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4.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5.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6.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7.xml" ContentType="application/vnd.openxmlformats-officedocument.drawing+xml"/>
  <Override PartName="/xl/worksheets/sheet33.xml" ContentType="application/vnd.openxmlformats-officedocument.spreadsheetml.worksheet+xml"/>
  <Override PartName="/xl/drawings/drawing8.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drawings/drawing9.xml" ContentType="application/vnd.openxmlformats-officedocument.drawing+xml"/>
  <Override PartName="/xl/worksheets/sheet38.xml" ContentType="application/vnd.openxmlformats-officedocument.spreadsheetml.worksheet+xml"/>
  <Override PartName="/xl/drawings/drawing10.xml" ContentType="application/vnd.openxmlformats-officedocument.drawing+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drawings/drawing11.xml" ContentType="application/vnd.openxmlformats-officedocument.drawing+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drawings/drawing12.xml" ContentType="application/vnd.openxmlformats-officedocument.drawing+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drawings/drawing13.xml" ContentType="application/vnd.openxmlformats-officedocument.drawing+xml"/>
  <Override PartName="/xl/worksheets/sheet53.xml" ContentType="application/vnd.openxmlformats-officedocument.spreadsheetml.worksheet+xml"/>
  <Override PartName="/xl/drawings/drawing14.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drawings/drawing15.xml" ContentType="application/vnd.openxmlformats-officedocument.drawing+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drawings/drawing16.xml" ContentType="application/vnd.openxmlformats-officedocument.drawing+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drawings/drawing17.xml" ContentType="application/vnd.openxmlformats-officedocument.drawing+xml"/>
  <Override PartName="/xl/worksheets/sheet67.xml" ContentType="application/vnd.openxmlformats-officedocument.spreadsheetml.worksheet+xml"/>
  <Override PartName="/xl/drawings/drawing18.xml" ContentType="application/vnd.openxmlformats-officedocument.drawing+xml"/>
  <Override PartName="/xl/worksheets/sheet68.xml" ContentType="application/vnd.openxmlformats-officedocument.spreadsheetml.worksheet+xml"/>
  <Override PartName="/xl/worksheets/sheet69.xml" ContentType="application/vnd.openxmlformats-officedocument.spreadsheetml.worksheet+xml"/>
  <Override PartName="/xl/drawings/drawing19.xml" ContentType="application/vnd.openxmlformats-officedocument.drawing+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drawings/drawing20.xml" ContentType="application/vnd.openxmlformats-officedocument.drawing+xml"/>
  <Override PartName="/xl/worksheets/sheet75.xml" ContentType="application/vnd.openxmlformats-officedocument.spreadsheetml.worksheet+xml"/>
  <Override PartName="/xl/drawings/drawing21.xml" ContentType="application/vnd.openxmlformats-officedocument.drawing+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drawings/drawing22.xml" ContentType="application/vnd.openxmlformats-officedocument.drawing+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drawings/drawing23.xml" ContentType="application/vnd.openxmlformats-officedocument.drawing+xml"/>
  <Override PartName="/xl/worksheets/sheet88.xml" ContentType="application/vnd.openxmlformats-officedocument.spreadsheetml.worksheet+xml"/>
  <Override PartName="/xl/drawings/drawing24.xml" ContentType="application/vnd.openxmlformats-officedocument.drawing+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ME" sheetId="1" state="visible" r:id="rId1"/>
    <sheet name="Nomenclatura" sheetId="2" state="visible" r:id="rId2"/>
    <sheet name="Tablero" sheetId="3" state="visible" r:id="rId3"/>
    <sheet name="Indice" sheetId="4" state="visible" r:id="rId4"/>
    <sheet name="Punto_profesor" sheetId="5" state="visible" r:id="rId5"/>
    <sheet name="S-1 Resumen por estudio" sheetId="6" state="visible" r:id="rId6"/>
    <sheet name="S-2 Qué se movió en cada barrid" sheetId="7" state="visible" r:id="rId7"/>
    <sheet name="S-3 Rangos KALINA comparados" sheetId="8" state="visible" r:id="rId8"/>
    <sheet name="S-4 Datos del profesor conserva" sheetId="9" state="visible" r:id="rId9"/>
    <sheet name="S-5 Criterios que bloquean, por" sheetId="10" state="visible" r:id="rId10"/>
    <sheet name="S Gráficos" sheetId="11" state="visible" r:id="rId11"/>
    <sheet name="S Datos de gráficos" sheetId="12" state="visible" r:id="rId12"/>
    <sheet name="1.1-1 Condiciones qué quedó fij" sheetId="13" state="visible" r:id="rId13"/>
    <sheet name="1.1-2 Corridas por parte y por" sheetId="14" state="visible" r:id="rId14"/>
    <sheet name="1.1-3 Comparación antes y despu" sheetId="15" state="visible" r:id="rId15"/>
    <sheet name="1.1-R Resultados por barrido" sheetId="16" state="visible" r:id="rId16"/>
    <sheet name="2.1-1 Condiciones qué quedó fij" sheetId="17" state="visible" r:id="rId17"/>
    <sheet name="2.1-2 Corridas por parte y por" sheetId="18" state="visible" r:id="rId18"/>
    <sheet name="2.1-3 Distancia al punto del pr" sheetId="19" state="visible" r:id="rId19"/>
    <sheet name="2.1-R Resultados por barrido" sheetId="20" state="visible" r:id="rId20"/>
    <sheet name="2.2-1 Condiciones qué quedó fij" sheetId="21" state="visible" r:id="rId21"/>
    <sheet name="2.2-2 Corridas por parte y por" sheetId="22" state="visible" r:id="rId22"/>
    <sheet name="2.2-3 Resumen de la malla de do" sheetId="23" state="visible" r:id="rId23"/>
    <sheet name="2.2-R Resultados por barrido" sheetId="24" state="visible" r:id="rId24"/>
    <sheet name="2.3-1 Condiciones qué quedó fij" sheetId="25" state="visible" r:id="rId25"/>
    <sheet name="2.3-2 Corridas por parte y por" sheetId="26" state="visible" r:id="rId26"/>
    <sheet name="2.3-3 Malla con η y ε en 0.40," sheetId="27" state="visible" r:id="rId27"/>
    <sheet name="2.3-R Resultados por barrido" sheetId="28" state="visible" r:id="rId28"/>
    <sheet name="2.4-1 Condiciones qué quedó fij" sheetId="29" state="visible" r:id="rId29"/>
    <sheet name="2.4-2 Corridas por parte y por" sheetId="30" state="visible" r:id="rId30"/>
    <sheet name="2.4-3 Malla T_sumidero x P_baja" sheetId="31" state="visible" r:id="rId31"/>
    <sheet name="2.4-R Resultados por barrido" sheetId="32" state="visible" r:id="rId32"/>
    <sheet name="2 Gráficos" sheetId="33" state="visible" r:id="rId33"/>
    <sheet name="2 Datos de gráficos" sheetId="34" state="visible" r:id="rId34"/>
    <sheet name="3.1-1 Condiciones qué quedó fij" sheetId="35" state="visible" r:id="rId35"/>
    <sheet name="3.1-2 Corridas por parte y por" sheetId="36" state="visible" r:id="rId36"/>
    <sheet name="3.1-3 Influencia y margen por v" sheetId="37" state="visible" r:id="rId37"/>
    <sheet name="3.1-R Resultados por barrido" sheetId="38" state="visible" r:id="rId38"/>
    <sheet name="3.2-1 Condiciones qué quedó fij" sheetId="39" state="visible" r:id="rId39"/>
    <sheet name="3.2-2 Corridas por parte y por" sheetId="40" state="visible" r:id="rId40"/>
    <sheet name="3.2-3 Separación KALINA  no KAL" sheetId="41" state="visible" r:id="rId41"/>
    <sheet name="3.2-4 Influencia de cada variab" sheetId="42" state="visible" r:id="rId42"/>
    <sheet name="3.2-5 Rangos de presión de los" sheetId="43" state="visible" r:id="rId43"/>
    <sheet name="3.2-6 Ventana KALINA por franja" sheetId="44" state="visible" r:id="rId44"/>
    <sheet name="3.2-7 Ventana KALINA por franja" sheetId="45" state="visible" r:id="rId45"/>
    <sheet name="3.2-8 Ventana KALINA por franja" sheetId="46" state="visible" r:id="rId46"/>
    <sheet name="3.2-R Resultados por barrido" sheetId="47" state="visible" r:id="rId47"/>
    <sheet name="3.3-1 Condiciones qué quedó fij" sheetId="48" state="visible" r:id="rId48"/>
    <sheet name="3.3-2 Corridas por parte y por" sheetId="49" state="visible" r:id="rId49"/>
    <sheet name="3.3-3 Techo de P_baja antes de" sheetId="50" state="visible" r:id="rId50"/>
    <sheet name="3.3-4 Techo de P_baja por franj" sheetId="51" state="visible" r:id="rId51"/>
    <sheet name="3.3-R Resultados por barrido" sheetId="52" state="visible" r:id="rId52"/>
    <sheet name="3 Gráficos" sheetId="53" state="visible" r:id="rId53"/>
    <sheet name="3 Datos de gráficos" sheetId="54" state="visible" r:id="rId54"/>
    <sheet name="4.1-1 Condiciones qué quedó fij" sheetId="55" state="visible" r:id="rId55"/>
    <sheet name="4.1-2 Corridas por parte y por" sheetId="56" state="visible" r:id="rId56"/>
    <sheet name="4.1-3 Resumen por escenario de" sheetId="57" state="visible" r:id="rId57"/>
    <sheet name="4.1-4 Rangos por escenario (KAL" sheetId="58" state="visible" r:id="rId58"/>
    <sheet name="4.1-R Resultados por barrido" sheetId="59" state="visible" r:id="rId59"/>
    <sheet name="4.2-1 Condiciones qué quedó fij" sheetId="60" state="visible" r:id="rId60"/>
    <sheet name="4.2-2 Corridas por parte y por" sheetId="61" state="visible" r:id="rId61"/>
    <sheet name="4.2-3 Frontera KALINA con las p" sheetId="62" state="visible" r:id="rId62"/>
    <sheet name="4.2-R Resultados por barrido" sheetId="63" state="visible" r:id="rId63"/>
    <sheet name="4.3-1 Condiciones qué quedó fij" sheetId="64" state="visible" r:id="rId64"/>
    <sheet name="4.3-2 Corridas por parte y por" sheetId="65" state="visible" r:id="rId65"/>
    <sheet name="4.3-3 Escalera de conservación" sheetId="66" state="visible" r:id="rId66"/>
    <sheet name="4.3-4 Verificación teqp contra" sheetId="67" state="visible" r:id="rId67"/>
    <sheet name="4.3-R Resultados por barrido" sheetId="68" state="visible" r:id="rId68"/>
    <sheet name="4 Gráficos" sheetId="69" state="visible" r:id="rId69"/>
    <sheet name="4 Datos de gráficos" sheetId="70" state="visible" r:id="rId70"/>
    <sheet name="5.1-1 Condiciones qué quedó fij" sheetId="71" state="visible" r:id="rId71"/>
    <sheet name="5.1-2 Corridas por parte y por" sheetId="72" state="visible" r:id="rId72"/>
    <sheet name="5.1-3 Óptimos de η por arranque" sheetId="73" state="visible" r:id="rId73"/>
    <sheet name="5.1-R Resultados por barrido" sheetId="74" state="visible" r:id="rId74"/>
    <sheet name="5 Gráficos" sheetId="75" state="visible" r:id="rId75"/>
    <sheet name="5 Datos de gráficos" sheetId="76" state="visible" r:id="rId76"/>
    <sheet name="6.1-1 Condiciones qué quedó fij" sheetId="77" state="visible" r:id="rId77"/>
    <sheet name="6.1-2 Corridas por parte y por" sheetId="78" state="visible" r:id="rId78"/>
    <sheet name="6.1-3 Paridad teqp contra el mo" sheetId="79" state="visible" r:id="rId79"/>
    <sheet name="6.1-4 Costo del subenfriamiento" sheetId="80" state="visible" r:id="rId80"/>
    <sheet name="6.1-R Resultados por barrido" sheetId="81" state="visible" r:id="rId81"/>
    <sheet name="6.2-1 Condiciones qué quedó fij" sheetId="82" state="visible" r:id="rId82"/>
    <sheet name="6.2-2 Corridas por parte y por" sheetId="83" state="visible" r:id="rId83"/>
    <sheet name="6.2-3 Catálogo Húsavík (reprodu" sheetId="84" state="visible" r:id="rId84"/>
    <sheet name="6.2-4 Rangos KALINA por variabl" sheetId="85" state="visible" r:id="rId85"/>
    <sheet name="6.2-5 Frontera KALINA al variar" sheetId="86" state="visible" r:id="rId86"/>
    <sheet name="6.2-R Resultados por barrido" sheetId="87" state="visible" r:id="rId87"/>
    <sheet name="6 Gráficos" sheetId="88" state="visible" r:id="rId88"/>
    <sheet name="6 Datos de gráficos" sheetId="89" state="visible" r:id="rId89"/>
    <sheet name="A.1 Anexo fuera de rango" sheetId="90" state="visible" r:id="rId90"/>
    <sheet name="Datos" sheetId="91" state="visible" r:id="rId91"/>
    <sheet name="Condiciones" sheetId="92" state="visible" r:id="rId92"/>
    <sheet name="Partes" sheetId="93" state="visible" r:id="rId93"/>
    <sheet name="Aux_tablero" sheetId="94" state="hidden" r:id="rId94"/>
    <sheet name="Aux_puntos" sheetId="95" state="hidden" r:id="rId95"/>
  </sheets>
  <definedNames>
    <definedName name="_xlnm._FilterDatabase" localSheetId="5" hidden="1">'S-1 Resumen por estudio'!$A$7:$L$21</definedName>
    <definedName name="_xlnm._FilterDatabase" localSheetId="6" hidden="1">'S-2 Qué se movió en cada barrid'!$A$7:$N$65</definedName>
    <definedName name="_xlnm._FilterDatabase" localSheetId="7" hidden="1">'S-3 Rangos KALINA comparados'!$A$7:$H$41</definedName>
    <definedName name="_xlnm._FilterDatabase" localSheetId="8" hidden="1">'S-4 Datos del profesor conserva'!$A$7:$D$18</definedName>
    <definedName name="_xlnm._FilterDatabase" localSheetId="9" hidden="1">'S-5 Criterios que bloquean, por'!$A$7:$J$21</definedName>
    <definedName name="_xlnm._FilterDatabase" localSheetId="12" hidden="1">'1.1-1 Condiciones qué quedó fij'!$A$8:$G$60</definedName>
    <definedName name="_xlnm._FilterDatabase" localSheetId="13" hidden="1">'1.1-2 Corridas por parte y por'!$A$8:$K$12</definedName>
    <definedName name="_xlnm._FilterDatabase" localSheetId="14" hidden="1">'1.1-3 Comparación antes y despu'!$A$8:$J$49</definedName>
    <definedName name="_xlnm._FilterDatabase" localSheetId="16" hidden="1">'2.1-1 Condiciones qué quedó fij'!$A$8:$H$21</definedName>
    <definedName name="_xlnm._FilterDatabase" localSheetId="17" hidden="1">'2.1-2 Corridas por parte y por'!$A$8:$K$9</definedName>
    <definedName name="_xlnm._FilterDatabase" localSheetId="18" hidden="1">'2.1-3 Distancia al punto del pr'!$A$8:$M$18</definedName>
    <definedName name="_xlnm._FilterDatabase" localSheetId="20" hidden="1">'2.2-1 Condiciones qué quedó fij'!$A$12:$G$38</definedName>
    <definedName name="_xlnm._FilterDatabase" localSheetId="21" hidden="1">'2.2-2 Corridas por parte y por'!$A$12:$K$14</definedName>
    <definedName name="_xlnm._FilterDatabase" localSheetId="22" hidden="1">'2.2-3 Resumen de la malla de do'!$A$12:$M$24</definedName>
    <definedName name="_xlnm._FilterDatabase" localSheetId="24" hidden="1">'2.3-1 Condiciones qué quedó fij'!$A$18:$G$70</definedName>
    <definedName name="_xlnm._FilterDatabase" localSheetId="25" hidden="1">'2.3-2 Corridas por parte y por'!$A$18:$K$22</definedName>
    <definedName name="_xlnm._FilterDatabase" localSheetId="26" hidden="1">'2.3-3 Malla con η y ε en 0.40,'!$A$18:$O$39</definedName>
    <definedName name="_xlnm._FilterDatabase" localSheetId="28" hidden="1">'2.4-1 Condiciones qué quedó fij'!$A$18:$G$70</definedName>
    <definedName name="_xlnm._FilterDatabase" localSheetId="29" hidden="1">'2.4-2 Corridas por parte y por'!$A$18:$K$22</definedName>
    <definedName name="_xlnm._FilterDatabase" localSheetId="30" hidden="1">'2.4-3 Malla T_sumidero x P_baja'!$A$18:$M$38</definedName>
    <definedName name="_xlnm._FilterDatabase" localSheetId="34" hidden="1">'3.1-1 Condiciones qué quedó fij'!$A$8:$H$21</definedName>
    <definedName name="_xlnm._FilterDatabase" localSheetId="35" hidden="1">'3.1-2 Corridas por parte y por'!$A$8:$K$9</definedName>
    <definedName name="_xlnm._FilterDatabase" localSheetId="36" hidden="1">'3.1-3 Influencia y margen por v'!$A$8:$J$18</definedName>
    <definedName name="_xlnm._FilterDatabase" localSheetId="38" hidden="1">'3.2-1 Condiciones qué quedó fij'!$A$8:$G$34</definedName>
    <definedName name="_xlnm._FilterDatabase" localSheetId="39" hidden="1">'3.2-2 Corridas por parte y por'!$A$8:$K$10</definedName>
    <definedName name="_xlnm._FilterDatabase" localSheetId="40" hidden="1">'3.2-3 Separación KALINA  no KAL'!$A$8:$K$60</definedName>
    <definedName name="_xlnm._FilterDatabase" localSheetId="41" hidden="1">'3.2-4 Influencia de cada variab'!$A$8:$H$48</definedName>
    <definedName name="_xlnm._FilterDatabase" localSheetId="42" hidden="1">'3.2-5 Rangos de presión de los'!$A$8:$J$16</definedName>
    <definedName name="_xlnm._FilterDatabase" localSheetId="43" hidden="1">'3.2-6 Ventana KALINA por franja'!$A$8:$M$14</definedName>
    <definedName name="_xlnm._FilterDatabase" localSheetId="44" hidden="1">'3.2-7 Ventana KALINA por franja'!$A$8:$M$14</definedName>
    <definedName name="_xlnm._FilterDatabase" localSheetId="45" hidden="1">'3.2-8 Ventana KALINA por franja'!$A$8:$M$12</definedName>
    <definedName name="_xlnm._FilterDatabase" localSheetId="47" hidden="1">'3.3-1 Condiciones qué quedó fij'!$A$8:$G$21</definedName>
    <definedName name="_xlnm._FilterDatabase" localSheetId="48" hidden="1">'3.3-2 Corridas por parte y por'!$A$8:$K$9</definedName>
    <definedName name="_xlnm._FilterDatabase" localSheetId="49" hidden="1">'3.3-3 Techo de P_baja antes de'!$A$8:$H$20</definedName>
    <definedName name="_xlnm._FilterDatabase" localSheetId="50" hidden="1">'3.3-4 Techo de P_baja por franj'!$A$8:$G$14</definedName>
    <definedName name="_xlnm._FilterDatabase" localSheetId="54" hidden="1">'4.1-1 Condiciones qué quedó fij'!$A$21:$G$86</definedName>
    <definedName name="_xlnm._FilterDatabase" localSheetId="55" hidden="1">'4.1-2 Corridas por parte y por'!$A$21:$K$26</definedName>
    <definedName name="_xlnm._FilterDatabase" localSheetId="56" hidden="1">'4.1-3 Resumen por escenario de'!$A$21:$S$26</definedName>
    <definedName name="_xlnm._FilterDatabase" localSheetId="57" hidden="1">'4.1-4 Rangos por escenario (KAL'!$A$21:$K$79</definedName>
    <definedName name="_xlnm._FilterDatabase" localSheetId="59" hidden="1">'4.2-1 Condiciones qué quedó fij'!$A$8:$G$21</definedName>
    <definedName name="_xlnm._FilterDatabase" localSheetId="60" hidden="1">'4.2-2 Corridas por parte y por'!$A$8:$K$9</definedName>
    <definedName name="_xlnm._FilterDatabase" localSheetId="61" hidden="1">'4.2-3 Frontera KALINA con las p'!$A$8:$G$23</definedName>
    <definedName name="_xlnm._FilterDatabase" localSheetId="63" hidden="1">'4.3-1 Condiciones qué quedó fij'!$A$27:$G$287</definedName>
    <definedName name="_xlnm._FilterDatabase" localSheetId="64" hidden="1">'4.3-2 Corridas por parte y por'!$A$27:$K$47</definedName>
    <definedName name="_xlnm._FilterDatabase" localSheetId="65" hidden="1">'4.3-3 Escalera de conservación'!$A$25:$K$43</definedName>
    <definedName name="_xlnm._FilterDatabase" localSheetId="66" hidden="1">'4.3-4 Verificación teqp contra'!$A$7:$W$10</definedName>
    <definedName name="_xlnm._FilterDatabase" localSheetId="70" hidden="1">'5.1-1 Condiciones qué quedó fij'!$A$21:$G$86</definedName>
    <definedName name="_xlnm._FilterDatabase" localSheetId="71" hidden="1">'5.1-2 Corridas por parte y por'!$A$21:$K$26</definedName>
    <definedName name="_xlnm._FilterDatabase" localSheetId="72" hidden="1">'5.1-3 Óptimos de η por arranque'!$A$21:$V$26</definedName>
    <definedName name="_xlnm._FilterDatabase" localSheetId="76" hidden="1">'6.1-1 Condiciones qué quedó fij'!$A$7:$G$46</definedName>
    <definedName name="_xlnm._FilterDatabase" localSheetId="77" hidden="1">'6.1-2 Corridas por parte y por'!$A$7:$K$10</definedName>
    <definedName name="_xlnm._FilterDatabase" localSheetId="78" hidden="1">'6.1-3 Paridad teqp contra el mo'!$A$7:$O$19</definedName>
    <definedName name="_xlnm._FilterDatabase" localSheetId="79" hidden="1">'6.1-4 Costo del subenfriamiento'!$A$7:$N$23</definedName>
    <definedName name="_xlnm._FilterDatabase" localSheetId="81" hidden="1">'6.2-1 Condiciones qué quedó fij'!$A$18:$H$83</definedName>
    <definedName name="_xlnm._FilterDatabase" localSheetId="82" hidden="1">'6.2-2 Corridas por parte y por'!$A$18:$K$23</definedName>
    <definedName name="_xlnm._FilterDatabase" localSheetId="83" hidden="1">'6.2-3 Catálogo Húsavík (reprodu'!$A$8:$K$24</definedName>
    <definedName name="_xlnm._FilterDatabase" localSheetId="84" hidden="1">'6.2-4 Rangos KALINA por variabl'!$A$8:$H$18</definedName>
    <definedName name="_xlnm._FilterDatabase" localSheetId="85" hidden="1">'6.2-5 Frontera KALINA al variar'!$A$8:$D$17</definedName>
    <definedName name="_xlnm._FilterDatabase" localSheetId="90" hidden="1">'Datos'!$A$1:$AE$4582</definedName>
    <definedName name="_xlnm._FilterDatabase" localSheetId="91" hidden="1">'Condiciones'!$A$1:$O$768</definedName>
    <definedName name="_xlnm._FilterDatabase" localSheetId="92" hidden="1">'Partes'!$A$1:$H$52</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15">
    <font>
      <name val="Calibri"/>
      <family val="2"/>
      <color theme="1"/>
      <sz val="11"/>
      <scheme val="minor"/>
    </font>
    <font>
      <b val="1"/>
      <sz val="13"/>
    </font>
    <font>
      <b val="1"/>
    </font>
    <font>
      <b val="1"/>
      <sz val="14"/>
    </font>
    <font>
      <b val="1"/>
      <sz val="11"/>
    </font>
    <font>
      <b val="1"/>
      <color rgb="00FFFFFF"/>
    </font>
    <font>
      <i val="1"/>
      <sz val="9"/>
    </font>
    <font/>
    <font>
      <i val="1"/>
    </font>
    <font>
      <b val="1"/>
      <color rgb="00FFFFFF"/>
      <sz val="12"/>
    </font>
    <font>
      <b val="1"/>
      <sz val="12"/>
    </font>
    <font>
      <b val="1"/>
      <sz val="9"/>
    </font>
    <font>
      <b val="1"/>
      <color rgb="002E7D32"/>
      <sz val="14"/>
    </font>
    <font>
      <sz val="10"/>
    </font>
    <font>
      <name val="Calibri"/>
      <family val="2"/>
      <color theme="10"/>
      <sz val="12"/>
      <scheme val="minor"/>
    </font>
  </fonts>
  <fills count="14">
    <fill>
      <patternFill/>
    </fill>
    <fill>
      <patternFill patternType="gray125"/>
    </fill>
    <fill>
      <patternFill patternType="solid">
        <fgColor rgb="00C6EFCE"/>
      </patternFill>
    </fill>
    <fill>
      <patternFill patternType="solid">
        <fgColor rgb="00FFD9A0"/>
      </patternFill>
    </fill>
    <fill>
      <patternFill patternType="solid">
        <fgColor rgb="00FFF2A8"/>
      </patternFill>
    </fill>
    <fill>
      <patternFill patternType="solid">
        <fgColor rgb="00F8B4B4"/>
      </patternFill>
    </fill>
    <fill>
      <patternFill patternType="solid">
        <fgColor rgb="00D9D9D9"/>
      </patternFill>
    </fill>
    <fill>
      <patternFill patternType="solid">
        <fgColor rgb="00DDEBF7"/>
      </patternFill>
    </fill>
    <fill>
      <patternFill patternType="solid">
        <fgColor rgb="001F4E79"/>
      </patternFill>
    </fill>
    <fill>
      <patternFill patternType="solid">
        <fgColor rgb="00E0E0E0"/>
      </patternFill>
    </fill>
    <fill>
      <patternFill patternType="solid">
        <fgColor rgb="0090CAF9"/>
      </patternFill>
    </fill>
    <fill>
      <patternFill patternType="solid">
        <fgColor rgb="00FFB74D"/>
      </patternFill>
    </fill>
    <fill>
      <patternFill patternType="solid">
        <fgColor rgb="00BDD7EE"/>
      </patternFill>
    </fill>
    <fill>
      <patternFill patternType="solid">
        <fgColor rgb="00FFF2CC"/>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2">
    <xf numFmtId="0" fontId="0" fillId="0" borderId="0"/>
    <xf numFmtId="0" fontId="14" fillId="0" borderId="0"/>
  </cellStyleXfs>
  <cellXfs count="4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3" fillId="0" borderId="0" pivotButton="0" quotePrefix="0" xfId="0"/>
    <xf numFmtId="0" fontId="2" fillId="7" borderId="1" pivotButton="0" quotePrefix="0" xfId="0"/>
    <xf numFmtId="0" fontId="0" fillId="0"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xf numFmtId="0" fontId="2" fillId="0" borderId="0" pivotButton="0" quotePrefix="0" xfId="0"/>
    <xf numFmtId="0" fontId="10" fillId="13" borderId="0" pivotButton="0" quotePrefix="0" xfId="0"/>
    <xf numFmtId="0" fontId="11" fillId="0" borderId="1" applyAlignment="1" pivotButton="0" quotePrefix="0" xfId="0">
      <alignment wrapText="1"/>
    </xf>
    <xf numFmtId="0" fontId="12" fillId="0" borderId="1" pivotButton="0" quotePrefix="0" xfId="0"/>
    <xf numFmtId="0" fontId="0" fillId="0" borderId="1" pivotButton="0" quotePrefix="0" xfId="0"/>
    <xf numFmtId="0" fontId="0" fillId="0" borderId="0" applyAlignment="1" pivotButton="0" quotePrefix="0" xfId="0">
      <alignment vertical="top" wrapText="1"/>
    </xf>
    <xf numFmtId="0" fontId="14" fillId="0" borderId="1" pivotButton="0" quotePrefix="0" xfId="1"/>
    <xf numFmtId="0" fontId="1" fillId="0" borderId="0" applyAlignment="1" pivotButton="0" quotePrefix="0" xfId="0">
      <alignment/>
    </xf>
    <xf numFmtId="0" fontId="0" fillId="0" borderId="0" applyAlignment="1" pivotButton="0" quotePrefix="0" xfId="0">
      <alignment/>
    </xf>
    <xf numFmtId="0" fontId="7" fillId="0" borderId="0" applyAlignment="1" pivotButton="0" quotePrefix="0" xfId="0">
      <alignment/>
    </xf>
    <xf numFmtId="0" fontId="2" fillId="7" borderId="1" applyAlignment="1" pivotButton="0" quotePrefix="0" xfId="0">
      <alignment vertical="top" wrapText="1"/>
    </xf>
    <xf numFmtId="0" fontId="8" fillId="0" borderId="0" pivotButton="0" quotePrefix="0" xfId="0"/>
    <xf numFmtId="0" fontId="4" fillId="0" borderId="0" pivotButton="0" quotePrefix="0" xfId="0"/>
    <xf numFmtId="0" fontId="6" fillId="0" borderId="0" pivotButton="0" quotePrefix="0" xfId="0"/>
    <xf numFmtId="0" fontId="0" fillId="9" borderId="1" pivotButton="0" quotePrefix="0" xfId="0"/>
    <xf numFmtId="0" fontId="0" fillId="10" borderId="1" pivotButton="0" quotePrefix="0" xfId="0"/>
    <xf numFmtId="0" fontId="0" fillId="11" borderId="1" pivotButton="0" quotePrefix="0" xfId="0"/>
    <xf numFmtId="2" fontId="0" fillId="0" borderId="1" pivotButton="0" quotePrefix="0" xfId="0"/>
    <xf numFmtId="0" fontId="5" fillId="8" borderId="0" pivotButton="0" quotePrefix="0" xfId="0"/>
    <xf numFmtId="0" fontId="0" fillId="8" borderId="0" pivotButton="0" quotePrefix="0" xfId="0"/>
    <xf numFmtId="0" fontId="0" fillId="5" borderId="1" pivotButton="0" quotePrefix="0" xfId="0"/>
    <xf numFmtId="0" fontId="9" fillId="8" borderId="0" pivotButton="0" quotePrefix="0" xfId="0"/>
    <xf numFmtId="0" fontId="4" fillId="12" borderId="0" pivotButton="0" quotePrefix="0" xfId="0"/>
    <xf numFmtId="164" fontId="0" fillId="0" borderId="1" pivotButton="0" quotePrefix="0" xfId="0"/>
    <xf numFmtId="1" fontId="0" fillId="0" borderId="1" pivotButton="0" quotePrefix="0" xfId="0"/>
    <xf numFmtId="165" fontId="0" fillId="0" borderId="1" pivotButton="0" quotePrefix="0" xfId="0"/>
    <xf numFmtId="0" fontId="0" fillId="6" borderId="1" pivotButton="0" quotePrefix="0" xfId="0"/>
    <xf numFmtId="0" fontId="0" fillId="3" borderId="1" pivotButton="0" quotePrefix="0" xfId="0"/>
    <xf numFmtId="0" fontId="0" fillId="4" borderId="1" pivotButton="0" quotePrefix="0" xfId="0"/>
    <xf numFmtId="0" fontId="2" fillId="0" borderId="0" applyAlignment="1" pivotButton="0" quotePrefix="0" xfId="0">
      <alignment/>
    </xf>
    <xf numFmtId="0" fontId="0" fillId="2" borderId="1" pivotButton="0" quotePrefix="0" xfId="0"/>
    <xf numFmtId="0" fontId="3" fillId="5"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styles" Target="styles.xml" Id="rId96" /><Relationship Type="http://schemas.openxmlformats.org/officeDocument/2006/relationships/theme" Target="theme/theme1.xml" Id="rId97" /></Relationships>
</file>

<file path=xl/charts/chart1.xml><?xml version="1.0" encoding="utf-8"?>
<chartSpace xmlns:a="http://schemas.openxmlformats.org/drawingml/2006/main" xmlns="http://schemas.openxmlformats.org/drawingml/2006/chart">
  <chart>
    <title>
      <tx>
        <rich>
          <a:bodyPr/>
          <a:p>
            <a:pPr>
              <a:defRPr/>
            </a:pPr>
            <a:r>
              <a:t>Puntos por clase</a:t>
            </a:r>
          </a:p>
        </rich>
      </tx>
    </title>
    <plotArea>
      <barChart>
        <barDir val="col"/>
        <grouping val="clustered"/>
        <ser>
          <idx val="0"/>
          <order val="0"/>
          <spPr>
            <a:ln>
              <a:prstDash val="solid"/>
            </a:ln>
          </spPr>
          <dPt>
            <idx val="0"/>
            <spPr>
              <a:solidFill>
                <a:srgbClr val="2E7D32"/>
              </a:solidFill>
              <a:ln>
                <a:prstDash val="solid"/>
              </a:ln>
            </spPr>
          </dPt>
          <dPt>
            <idx val="1"/>
            <spPr>
              <a:solidFill>
                <a:srgbClr val="EF8A17"/>
              </a:solidFill>
              <a:ln>
                <a:prstDash val="solid"/>
              </a:ln>
            </spPr>
          </dPt>
          <dPt>
            <idx val="2"/>
            <spPr>
              <a:solidFill>
                <a:srgbClr val="C9A227"/>
              </a:solidFill>
              <a:ln>
                <a:prstDash val="solid"/>
              </a:ln>
            </spPr>
          </dPt>
          <dPt>
            <idx val="3"/>
            <spPr>
              <a:solidFill>
                <a:srgbClr val="C62828"/>
              </a:solidFill>
              <a:ln>
                <a:prstDash val="solid"/>
              </a:ln>
            </spPr>
          </dPt>
          <dPt>
            <idx val="4"/>
            <spPr>
              <a:solidFill>
                <a:srgbClr val="9E9E9E"/>
              </a:solidFill>
              <a:ln>
                <a:prstDash val="solid"/>
              </a:ln>
            </spPr>
          </dPt>
          <cat>
            <numRef>
              <f>'Tablero'!$Z$5:$Z$9</f>
            </numRef>
          </cat>
          <val>
            <numRef>
              <f>'Tablero'!$AA$5:$AA$9</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Número de puntos</a:t>
                </a:r>
              </a:p>
            </rich>
          </tx>
        </title>
        <majorTickMark val="none"/>
        <minorTickMark val="none"/>
        <crossAx val="10"/>
      </valAx>
    </plotArea>
    <plotVisOnly val="0"/>
    <dispBlanksAs val="gap"/>
  </chart>
</chartSpace>
</file>

<file path=xl/charts/chart2.xml><?xml version="1.0" encoding="utf-8"?>
<chartSpace xmlns:a="http://schemas.openxmlformats.org/drawingml/2006/main" xmlns="http://schemas.openxmlformats.org/drawingml/2006/chart">
  <chart>
    <title>
      <tx>
        <rich>
          <a:bodyPr/>
          <a:p>
            <a:pPr>
              <a:defRPr/>
            </a:pPr>
            <a:r>
              <a:t>Criterios que bloquean (genuinos no KALINA)</a:t>
            </a:r>
          </a:p>
        </rich>
      </tx>
    </title>
    <plotArea>
      <barChart>
        <barDir val="col"/>
        <grouping val="clustered"/>
        <ser>
          <idx val="0"/>
          <order val="0"/>
          <spPr>
            <a:solidFill>
              <a:srgbClr val="C62828"/>
            </a:solidFill>
            <a:ln>
              <a:prstDash val="solid"/>
            </a:ln>
          </spPr>
          <cat>
            <numRef>
              <f>'Tablero'!$Z$12:$Z$15</f>
            </numRef>
          </cat>
          <val>
            <numRef>
              <f>'Tablero'!$AA$12:$AA$15</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0"/>
    <dispBlanksAs val="gap"/>
  </chart>
</chartSpace>
</file>

<file path=xl/charts/chart3.xml><?xml version="1.0" encoding="utf-8"?>
<chartSpace xmlns:a="http://schemas.openxmlformats.org/drawingml/2006/main" xmlns="http://schemas.openxmlformats.org/drawingml/2006/chart">
  <style val="13"/>
  <chart>
    <title>
      <tx>
        <rich>
          <a:bodyPr/>
          <a:p>
            <a:pPr>
              <a:defRPr/>
            </a:pPr>
            <a:r>
              <a:t>Dispersión (ejes indicados en L4 y L5)</a:t>
            </a:r>
          </a:p>
        </rich>
      </tx>
    </title>
    <plotArea>
      <scatterChart>
        <ser>
          <idx val="0"/>
          <order val="0"/>
          <tx>
            <v>KALINA</v>
          </tx>
          <spPr>
            <a:ln>
              <a:noFill/>
              <a:prstDash val="solid"/>
            </a:ln>
          </spPr>
          <marker>
            <symbol val="circle"/>
            <size val="6"/>
            <spPr>
              <a:solidFill>
                <a:srgbClr val="2E7D32"/>
              </a:solidFill>
              <a:ln>
                <a:solidFill>
                  <a:srgbClr val="2E7D32"/>
                </a:solidFill>
                <a:prstDash val="solid"/>
              </a:ln>
            </spPr>
          </marker>
          <xVal>
            <numRef>
              <f>'Tablero'!$AC$5:$AC$904</f>
            </numRef>
          </xVal>
          <yVal>
            <numRef>
              <f>'Tablero'!$AD$5:$AD$904</f>
            </numRef>
          </yVal>
        </ser>
        <ser>
          <idx val="1"/>
          <order val="1"/>
          <tx>
            <v>Corregible</v>
          </tx>
          <spPr>
            <a:ln>
              <a:noFill/>
              <a:prstDash val="solid"/>
            </a:ln>
          </spPr>
          <marker>
            <symbol val="triangle"/>
            <size val="6"/>
            <spPr>
              <a:solidFill>
                <a:srgbClr val="EF8A17"/>
              </a:solidFill>
              <a:ln>
                <a:solidFill>
                  <a:srgbClr val="EF8A17"/>
                </a:solidFill>
                <a:prstDash val="solid"/>
              </a:ln>
            </spPr>
          </marker>
          <xVal>
            <numRef>
              <f>'Tablero'!$AE$5:$AE$904</f>
            </numRef>
          </xVal>
          <yVal>
            <numRef>
              <f>'Tablero'!$AF$5:$AF$904</f>
            </numRef>
          </yVal>
        </ser>
        <ser>
          <idx val="2"/>
          <order val="2"/>
          <tx>
            <v>Inviable</v>
          </tx>
          <spPr>
            <a:ln>
              <a:noFill/>
              <a:prstDash val="solid"/>
            </a:ln>
          </spPr>
          <marker>
            <symbol val="square"/>
            <size val="6"/>
            <spPr>
              <a:solidFill>
                <a:srgbClr val="C9A227"/>
              </a:solidFill>
              <a:ln>
                <a:solidFill>
                  <a:srgbClr val="C9A227"/>
                </a:solidFill>
                <a:prstDash val="solid"/>
              </a:ln>
            </spPr>
          </marker>
          <xVal>
            <numRef>
              <f>'Tablero'!$AG$5:$AG$904</f>
            </numRef>
          </xVal>
          <yVal>
            <numRef>
              <f>'Tablero'!$AH$5:$AH$904</f>
            </numRef>
          </yVal>
        </ser>
        <ser>
          <idx val="3"/>
          <order val="3"/>
          <tx>
            <v>No convergió o N2</v>
          </tx>
          <spPr>
            <a:ln>
              <a:noFill/>
              <a:prstDash val="solid"/>
            </a:ln>
          </spPr>
          <marker>
            <symbol val="x"/>
            <size val="6"/>
            <spPr>
              <a:solidFill>
                <a:srgbClr val="C62828"/>
              </a:solidFill>
              <a:ln>
                <a:solidFill>
                  <a:srgbClr val="C62828"/>
                </a:solidFill>
                <a:prstDash val="solid"/>
              </a:ln>
            </spPr>
          </marker>
          <xVal>
            <numRef>
              <f>'Tablero'!$AI$5:$AI$904</f>
            </numRef>
          </xVal>
          <yVal>
            <numRef>
              <f>'Tablero'!$AJ$5:$AJ$904</f>
            </numRef>
          </yVal>
        </ser>
        <axId val="10"/>
        <axId val="20"/>
      </scatterChart>
      <valAx>
        <axId val="10"/>
        <scaling>
          <orientation val="minMax"/>
        </scaling>
        <delete val="0"/>
        <axPos val="l"/>
        <majorGridlines/>
        <title>
          <tx>
            <strRef>
              <f>'Tablero'!$L$4</f>
            </strRef>
          </tx>
          <overlay val="0"/>
        </title>
        <majorTickMark val="none"/>
        <minorTickMark val="none"/>
        <crossAx val="20"/>
      </valAx>
      <valAx>
        <axId val="20"/>
        <scaling>
          <orientation val="minMax"/>
        </scaling>
        <delete val="0"/>
        <axPos val="l"/>
        <majorGridlines/>
        <title>
          <tx>
            <strRef>
              <f>'Tablero'!$L$5</f>
            </strRef>
          </tx>
          <overlay val="0"/>
        </title>
        <majorTickMark val="none"/>
        <minorTickMark val="none"/>
        <crossAx val="10"/>
      </valAx>
    </plotArea>
    <legend>
      <legendPos val="r"/>
    </legend>
    <plotVisOnly val="0"/>
    <dispBlanksAs val="gap"/>
  </chart>
</chartSpace>
</file>

<file path=xl/charts/chart4.xml><?xml version="1.0" encoding="utf-8"?>
<chartSpace xmlns:a="http://schemas.openxmlformats.org/drawingml/2006/main" xmlns="http://schemas.openxmlformats.org/drawingml/2006/chart">
  <style val="10"/>
  <chart>
    <title>
      <tx>
        <rich>
          <a:bodyPr/>
          <a:p>
            <a:pPr>
              <a:defRPr sz="1100" b="1"/>
            </a:pPr>
            <a:r>
              <a:rPr sz="1100" b="1"/>
              <a:t>Resultado de cada barrido: puntos por clase</a:t>
            </a:r>
          </a:p>
        </rich>
      </tx>
      <overlay val="0"/>
    </title>
    <plotArea>
      <barChart>
        <barDir val="bar"/>
        <grouping val="stacked"/>
        <varyColors val="0"/>
        <ser>
          <idx val="0"/>
          <order val="0"/>
          <tx>
            <v>KALINA (n = 1662)</v>
          </tx>
          <spPr>
            <a:solidFill>
              <a:srgbClr val="2E7D32"/>
            </a:solidFill>
            <a:ln>
              <a:solidFill>
                <a:srgbClr val="2E7D32"/>
              </a:solidFill>
              <a:prstDash val="solid"/>
            </a:ln>
          </spPr>
          <invertIfNegative val="0"/>
          <cat>
            <numRef>
              <f>'S Datos de gráficos'!$A$6:$A$19</f>
            </numRef>
          </cat>
          <val>
            <numRef>
              <f>'S Datos de gráficos'!$B$6:$B$19</f>
            </numRef>
          </val>
        </ser>
        <ser>
          <idx val="1"/>
          <order val="1"/>
          <tx>
            <v>Corregible (n = 1701)</v>
          </tx>
          <spPr>
            <a:solidFill>
              <a:srgbClr val="EF8A17"/>
            </a:solidFill>
            <a:ln>
              <a:solidFill>
                <a:srgbClr val="EF8A17"/>
              </a:solidFill>
              <a:prstDash val="solid"/>
            </a:ln>
          </spPr>
          <invertIfNegative val="0"/>
          <cat>
            <numRef>
              <f>'S Datos de gráficos'!$A$6:$A$19</f>
            </numRef>
          </cat>
          <val>
            <numRef>
              <f>'S Datos de gráficos'!$C$6:$C$19</f>
            </numRef>
          </val>
        </ser>
        <ser>
          <idx val="2"/>
          <order val="2"/>
          <tx>
            <v>Inviable (n = 344)</v>
          </tx>
          <spPr>
            <a:solidFill>
              <a:srgbClr val="C9A227"/>
            </a:solidFill>
            <a:ln>
              <a:solidFill>
                <a:srgbClr val="C9A227"/>
              </a:solidFill>
              <a:prstDash val="solid"/>
            </a:ln>
          </spPr>
          <invertIfNegative val="0"/>
          <cat>
            <numRef>
              <f>'S Datos de gráficos'!$A$6:$A$19</f>
            </numRef>
          </cat>
          <val>
            <numRef>
              <f>'S Datos de gráficos'!$D$6:$D$19</f>
            </numRef>
          </val>
        </ser>
        <ser>
          <idx val="3"/>
          <order val="3"/>
          <tx>
            <v>No convergió (n = 718)</v>
          </tx>
          <spPr>
            <a:solidFill>
              <a:srgbClr val="C62828"/>
            </a:solidFill>
            <a:ln>
              <a:solidFill>
                <a:srgbClr val="C62828"/>
              </a:solidFill>
              <a:prstDash val="solid"/>
            </a:ln>
          </spPr>
          <invertIfNegative val="0"/>
          <cat>
            <numRef>
              <f>'S Datos de gráficos'!$A$6:$A$19</f>
            </numRef>
          </cat>
          <val>
            <numRef>
              <f>'S Datos de gráficos'!$E$6:$E$19</f>
            </numRef>
          </val>
        </ser>
        <ser>
          <idx val="4"/>
          <order val="4"/>
          <tx>
            <v>Falso convergido (n = 135)</v>
          </tx>
          <spPr>
            <a:solidFill>
              <a:srgbClr val="9E9E9E"/>
            </a:solidFill>
            <a:ln>
              <a:solidFill>
                <a:srgbClr val="9E9E9E"/>
              </a:solidFill>
              <a:prstDash val="solid"/>
            </a:ln>
          </spPr>
          <invertIfNegative val="0"/>
          <cat>
            <numRef>
              <f>'S Datos de gráficos'!$A$6:$A$19</f>
            </numRef>
          </cat>
          <val>
            <numRef>
              <f>'S Datos de gráficos'!$F$6:$F$19</f>
            </numRef>
          </val>
        </ser>
        <gapWidth val="150"/>
        <overlap val="100"/>
        <axId val="10"/>
        <axId val="100"/>
      </barChart>
      <catAx>
        <axId val="10"/>
        <scaling>
          <orientation val="maxMin"/>
        </scaling>
        <delete val="0"/>
        <axPos val="l"/>
        <title>
          <tx>
            <rich>
              <a:bodyPr/>
              <a:p>
                <a:pPr>
                  <a:defRPr sz="900" b="0"/>
                </a:pPr>
                <a:r>
                  <a:rPr sz="900" b="0"/>
                  <a:t>Estudio</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Número de puntos</a:t>
                </a:r>
              </a:p>
            </rich>
          </tx>
          <overlay val="0"/>
        </title>
        <majorTickMark val="none"/>
        <minorTickMark val="none"/>
        <tickLblPos val="high"/>
        <txPr>
          <a:bodyPr/>
          <a:p>
            <a:pPr>
              <a:defRPr sz="800" b="0"/>
            </a:pPr>
            <a:r>
              <a:t/>
            </a:r>
            <a:endParaRPr sz="800" b="0"/>
          </a:p>
        </txPr>
        <crossAx val="10"/>
        <crosses val="autoZero"/>
      </valAx>
    </plotArea>
    <legend>
      <legendPos val="b"/>
      <overlay val="0"/>
      <txPr>
        <a:bodyPr/>
        <a:p>
          <a:pPr>
            <a:defRPr sz="800" b="0"/>
          </a:pPr>
          <a:r>
            <a:t/>
          </a:r>
          <a:endParaRPr sz="800" b="0"/>
        </a:p>
      </txPr>
    </legend>
    <plotVisOnly val="0"/>
    <dispBlanksAs val="gap"/>
  </chart>
</chartSpace>
</file>

<file path=xl/charts/chart5.xml><?xml version="1.0" encoding="utf-8"?>
<chartSpace xmlns:a="http://schemas.openxmlformats.org/drawingml/2006/main" xmlns="http://schemas.openxmlformats.org/drawingml/2006/chart">
  <style val="10"/>
  <chart>
    <title>
      <tx>
        <rich>
          <a:bodyPr/>
          <a:p>
            <a:pPr>
              <a:defRPr sz="1100" b="1"/>
            </a:pPr>
            <a:r>
              <a:rPr sz="1100" b="1"/>
              <a:t>Resultado de cada barrido: puntos por clase</a:t>
            </a:r>
          </a:p>
        </rich>
      </tx>
      <overlay val="0"/>
    </title>
    <plotArea>
      <barChart>
        <barDir val="bar"/>
        <grouping val="stacked"/>
        <varyColors val="0"/>
        <ser>
          <idx val="0"/>
          <order val="0"/>
          <tx>
            <v>KALINA (n = 1662)</v>
          </tx>
          <spPr>
            <a:solidFill>
              <a:srgbClr val="2E7D32"/>
            </a:solidFill>
            <a:ln>
              <a:solidFill>
                <a:srgbClr val="2E7D32"/>
              </a:solidFill>
              <a:prstDash val="solid"/>
            </a:ln>
          </spPr>
          <invertIfNegative val="0"/>
          <cat>
            <numRef>
              <f>'S Datos de gráficos'!$A$6:$A$19</f>
            </numRef>
          </cat>
          <val>
            <numRef>
              <f>'S Datos de gráficos'!$B$6:$B$19</f>
            </numRef>
          </val>
        </ser>
        <ser>
          <idx val="1"/>
          <order val="1"/>
          <tx>
            <v>Corregible (n = 1701)</v>
          </tx>
          <spPr>
            <a:solidFill>
              <a:srgbClr val="EF8A17"/>
            </a:solidFill>
            <a:ln>
              <a:solidFill>
                <a:srgbClr val="EF8A17"/>
              </a:solidFill>
              <a:prstDash val="solid"/>
            </a:ln>
          </spPr>
          <invertIfNegative val="0"/>
          <cat>
            <numRef>
              <f>'S Datos de gráficos'!$A$6:$A$19</f>
            </numRef>
          </cat>
          <val>
            <numRef>
              <f>'S Datos de gráficos'!$C$6:$C$19</f>
            </numRef>
          </val>
        </ser>
        <ser>
          <idx val="2"/>
          <order val="2"/>
          <tx>
            <v>Inviable (n = 344)</v>
          </tx>
          <spPr>
            <a:solidFill>
              <a:srgbClr val="C9A227"/>
            </a:solidFill>
            <a:ln>
              <a:solidFill>
                <a:srgbClr val="C9A227"/>
              </a:solidFill>
              <a:prstDash val="solid"/>
            </a:ln>
          </spPr>
          <invertIfNegative val="0"/>
          <cat>
            <numRef>
              <f>'S Datos de gráficos'!$A$6:$A$19</f>
            </numRef>
          </cat>
          <val>
            <numRef>
              <f>'S Datos de gráficos'!$D$6:$D$19</f>
            </numRef>
          </val>
        </ser>
        <ser>
          <idx val="3"/>
          <order val="3"/>
          <tx>
            <v>No convergió (n = 718)</v>
          </tx>
          <spPr>
            <a:solidFill>
              <a:srgbClr val="C62828"/>
            </a:solidFill>
            <a:ln>
              <a:solidFill>
                <a:srgbClr val="C62828"/>
              </a:solidFill>
              <a:prstDash val="solid"/>
            </a:ln>
          </spPr>
          <invertIfNegative val="0"/>
          <cat>
            <numRef>
              <f>'S Datos de gráficos'!$A$6:$A$19</f>
            </numRef>
          </cat>
          <val>
            <numRef>
              <f>'S Datos de gráficos'!$E$6:$E$19</f>
            </numRef>
          </val>
        </ser>
        <ser>
          <idx val="4"/>
          <order val="4"/>
          <tx>
            <v>Falso convergido (n = 135)</v>
          </tx>
          <spPr>
            <a:solidFill>
              <a:srgbClr val="9E9E9E"/>
            </a:solidFill>
            <a:ln>
              <a:solidFill>
                <a:srgbClr val="9E9E9E"/>
              </a:solidFill>
              <a:prstDash val="solid"/>
            </a:ln>
          </spPr>
          <invertIfNegative val="0"/>
          <cat>
            <numRef>
              <f>'S Datos de gráficos'!$A$6:$A$19</f>
            </numRef>
          </cat>
          <val>
            <numRef>
              <f>'S Datos de gráficos'!$F$6:$F$19</f>
            </numRef>
          </val>
        </ser>
        <gapWidth val="150"/>
        <overlap val="100"/>
        <axId val="10"/>
        <axId val="100"/>
      </barChart>
      <catAx>
        <axId val="10"/>
        <scaling>
          <orientation val="maxMin"/>
        </scaling>
        <delete val="0"/>
        <axPos val="l"/>
        <title>
          <tx>
            <rich>
              <a:bodyPr/>
              <a:p>
                <a:pPr>
                  <a:defRPr sz="900" b="0"/>
                </a:pPr>
                <a:r>
                  <a:rPr sz="900" b="0"/>
                  <a:t>Estudio</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Número de puntos</a:t>
                </a:r>
              </a:p>
            </rich>
          </tx>
          <overlay val="0"/>
        </title>
        <majorTickMark val="none"/>
        <minorTickMark val="none"/>
        <tickLblPos val="high"/>
        <txPr>
          <a:bodyPr/>
          <a:p>
            <a:pPr>
              <a:defRPr sz="800" b="0"/>
            </a:pPr>
            <a:r>
              <a:t/>
            </a:r>
            <a:endParaRPr sz="800" b="0"/>
          </a:p>
        </txPr>
        <crossAx val="10"/>
        <crosses val="autoZero"/>
      </valAx>
    </plotArea>
    <legend>
      <legendPos val="b"/>
      <overlay val="0"/>
      <txPr>
        <a:bodyPr/>
        <a:p>
          <a:pPr>
            <a:defRPr sz="800" b="0"/>
          </a:pPr>
          <a:r>
            <a:t/>
          </a:r>
          <a:endParaRPr sz="800" b="0"/>
        </a:p>
      </txPr>
    </legend>
    <plotVisOnly val="0"/>
    <dispBlanksAs val="gap"/>
  </chart>
</chartSpace>
</file>

<file path=xl/charts/chart6.xml><?xml version="1.0" encoding="utf-8"?>
<chartSpace xmlns:a="http://schemas.openxmlformats.org/drawingml/2006/main" xmlns="http://schemas.openxmlformats.org/drawingml/2006/chart">
  <style val="13"/>
  <chart>
    <title>
      <tx>
        <rich>
          <a:bodyPr/>
          <a:p>
            <a:pPr>
              <a:defRPr sz="900" b="1"/>
            </a:pPr>
            <a:r>
              <a:rPr sz="900" b="1"/>
              <a:t>T_fuente</a:t>
            </a:r>
          </a:p>
        </rich>
      </tx>
      <overlay val="0"/>
    </title>
    <plotArea>
      <scatterChart>
        <varyColors val="0"/>
        <ser>
          <idx val="0"/>
          <order val="0"/>
          <tx>
            <v>Corregible (n = 1)</v>
          </tx>
          <spPr>
            <a:ln>
              <a:noFill/>
              <a:prstDash val="solid"/>
            </a:ln>
          </spPr>
          <marker>
            <symbol val="triangle"/>
            <size val="6"/>
            <spPr>
              <a:solidFill>
                <a:srgbClr val="EF8A17"/>
              </a:solidFill>
              <a:ln>
                <a:solidFill>
                  <a:srgbClr val="EF8A17"/>
                </a:solidFill>
                <a:prstDash val="solid"/>
              </a:ln>
            </spPr>
          </marker>
          <xVal>
            <numRef>
              <f>'2 Datos de gráficos'!$B$6</f>
            </numRef>
          </xVal>
          <yVal>
            <numRef>
              <f>'2 Datos de gráficos'!$A$6</f>
            </numRef>
          </yVal>
        </ser>
        <ser>
          <idx val="1"/>
          <order val="1"/>
          <tx>
            <v>Corregible, fuera de rango (n = 5)</v>
          </tx>
          <spPr>
            <a:ln>
              <a:noFill/>
              <a:prstDash val="solid"/>
            </a:ln>
          </spPr>
          <marker>
            <symbol val="triangle"/>
            <size val="6"/>
            <spPr>
              <a:noFill/>
              <a:ln>
                <a:solidFill>
                  <a:srgbClr val="EF8A17"/>
                </a:solidFill>
                <a:prstDash val="solid"/>
              </a:ln>
            </spPr>
          </marker>
          <xVal>
            <numRef>
              <f>'2 Datos de gráficos'!$D$6:$D$10</f>
            </numRef>
          </xVal>
          <yVal>
            <numRef>
              <f>'2 Datos de gráficos'!$C$6:$C$10</f>
            </numRef>
          </yVal>
        </ser>
        <ser>
          <idx val="2"/>
          <order val="2"/>
          <tx>
            <v>Inviable, fuera de rango (n = 1)</v>
          </tx>
          <spPr>
            <a:ln>
              <a:noFill/>
              <a:prstDash val="solid"/>
            </a:ln>
          </spPr>
          <marker>
            <symbol val="square"/>
            <size val="6"/>
            <spPr>
              <a:noFill/>
              <a:ln>
                <a:solidFill>
                  <a:srgbClr val="C9A227"/>
                </a:solidFill>
                <a:prstDash val="solid"/>
              </a:ln>
            </spPr>
          </marker>
          <xVal>
            <numRef>
              <f>'2 Datos de gráficos'!$F$6</f>
            </numRef>
          </xVal>
          <yVal>
            <numRef>
              <f>'2 Datos de gráficos'!$E$6</f>
            </numRef>
          </yVal>
        </ser>
        <ser>
          <idx val="3"/>
          <order val="3"/>
          <tx>
            <v>No convergió (n = 10)</v>
          </tx>
          <spPr>
            <a:ln>
              <a:noFill/>
              <a:prstDash val="solid"/>
            </a:ln>
          </spPr>
          <marker>
            <symbol val="x"/>
            <size val="7"/>
            <spPr>
              <a:noFill/>
              <a:ln>
                <a:solidFill>
                  <a:srgbClr val="C62828"/>
                </a:solidFill>
                <a:prstDash val="solid"/>
              </a:ln>
            </spPr>
          </marker>
          <xVal>
            <numRef>
              <f>'2 Datos de gráficos'!$H$6:$H$15</f>
            </numRef>
          </xVal>
          <yVal>
            <numRef>
              <f>'2 Datos de gráficos'!$G$6:$G$15</f>
            </numRef>
          </yVal>
        </ser>
        <ser>
          <idx val="4"/>
          <order val="4"/>
          <tx>
            <v>Falso convergido (n = 5)</v>
          </tx>
          <spPr>
            <a:ln>
              <a:noFill/>
              <a:prstDash val="solid"/>
            </a:ln>
          </spPr>
          <marker>
            <symbol val="x"/>
            <size val="7"/>
            <spPr>
              <a:noFill/>
              <a:ln>
                <a:solidFill>
                  <a:srgbClr val="9E9E9E"/>
                </a:solidFill>
                <a:prstDash val="solid"/>
              </a:ln>
            </spPr>
          </marker>
          <xVal>
            <numRef>
              <f>'2 Datos de gráficos'!$J$6:$J$10</f>
            </numRef>
          </xVal>
          <yVal>
            <numRef>
              <f>'2 Datos de gráficos'!$I$6:$I$10</f>
            </numRef>
          </yVal>
        </ser>
        <axId val="10"/>
        <axId val="20"/>
      </scatterChart>
      <valAx>
        <axId val="10"/>
        <scaling>
          <orientation val="minMax"/>
          <max val="650"/>
          <min val="300"/>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50"/>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7.xml><?xml version="1.0" encoding="utf-8"?>
<chartSpace xmlns:a="http://schemas.openxmlformats.org/drawingml/2006/main" xmlns="http://schemas.openxmlformats.org/drawingml/2006/chart">
  <style val="13"/>
  <chart>
    <title>
      <tx>
        <rich>
          <a:bodyPr/>
          <a:p>
            <a:pPr>
              <a:defRPr sz="900" b="1"/>
            </a:pPr>
            <a:r>
              <a:rPr sz="900" b="1"/>
              <a:t>T_sumidero</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gráficos'!$L$6:$L$15</f>
            </numRef>
          </xVal>
          <yVal>
            <numRef>
              <f>'2 Datos de gráficos'!$K$6:$K$15</f>
            </numRef>
          </yVal>
        </ser>
        <axId val="10"/>
        <axId val="20"/>
      </scatterChart>
      <valAx>
        <axId val="10"/>
        <scaling>
          <orientation val="minMax"/>
          <max val="305"/>
          <min val="280"/>
        </scaling>
        <delete val="0"/>
        <axPos val="l"/>
        <majorGridlines/>
        <title>
          <tx>
            <rich>
              <a:bodyPr/>
              <a:p>
                <a:pPr>
                  <a:defRPr sz="800" b="0"/>
                </a:pPr>
                <a:r>
                  <a:rPr sz="800" b="0"/>
                  <a:t>Temperatura del sumidero, T_sumidero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8.xml><?xml version="1.0" encoding="utf-8"?>
<chartSpace xmlns:a="http://schemas.openxmlformats.org/drawingml/2006/main" xmlns="http://schemas.openxmlformats.org/drawingml/2006/chart">
  <style val="13"/>
  <chart>
    <title>
      <tx>
        <rich>
          <a:bodyPr/>
          <a:p>
            <a:pPr>
              <a:defRPr sz="900" b="1"/>
            </a:pPr>
            <a:r>
              <a:rPr sz="900" b="1"/>
              <a:t>P_alta</a:t>
            </a:r>
          </a:p>
        </rich>
      </tx>
      <overlay val="0"/>
    </title>
    <plotArea>
      <scatterChart>
        <varyColors val="0"/>
        <ser>
          <idx val="0"/>
          <order val="0"/>
          <tx>
            <v>No convergió (n = 11)</v>
          </tx>
          <spPr>
            <a:ln>
              <a:noFill/>
              <a:prstDash val="solid"/>
            </a:ln>
          </spPr>
          <marker>
            <symbol val="x"/>
            <size val="7"/>
            <spPr>
              <a:noFill/>
              <a:ln>
                <a:solidFill>
                  <a:srgbClr val="C62828"/>
                </a:solidFill>
                <a:prstDash val="solid"/>
              </a:ln>
            </spPr>
          </marker>
          <xVal>
            <numRef>
              <f>'2 Datos de gráficos'!$N$6:$N$16</f>
            </numRef>
          </xVal>
          <yVal>
            <numRef>
              <f>'2 Datos de gráficos'!$M$6:$M$16</f>
            </numRef>
          </yVal>
        </ser>
        <ser>
          <idx val="1"/>
          <order val="1"/>
          <tx>
            <v>Falso convergido (n = 13)</v>
          </tx>
          <spPr>
            <a:ln>
              <a:noFill/>
              <a:prstDash val="solid"/>
            </a:ln>
          </spPr>
          <marker>
            <symbol val="x"/>
            <size val="7"/>
            <spPr>
              <a:noFill/>
              <a:ln>
                <a:solidFill>
                  <a:srgbClr val="9E9E9E"/>
                </a:solidFill>
                <a:prstDash val="solid"/>
              </a:ln>
            </spPr>
          </marker>
          <xVal>
            <numRef>
              <f>'2 Datos de gráficos'!$P$6:$P$18</f>
            </numRef>
          </xVal>
          <yVal>
            <numRef>
              <f>'2 Datos de gráficos'!$O$6:$O$18</f>
            </numRef>
          </yVal>
        </ser>
        <axId val="10"/>
        <axId val="20"/>
      </scatterChart>
      <valAx>
        <axId val="10"/>
        <scaling>
          <orientation val="minMax"/>
          <max val="10000"/>
          <min val="0"/>
        </scaling>
        <delete val="0"/>
        <axPos val="l"/>
        <majorGridlines/>
        <title>
          <tx>
            <rich>
              <a:bodyPr/>
              <a:p>
                <a:pPr>
                  <a:defRPr sz="800" b="0"/>
                </a:pPr>
                <a:r>
                  <a:rPr sz="800" b="0"/>
                  <a:t>Presión de alta, P_alta [kPa]</a:t>
                </a:r>
              </a:p>
            </rich>
          </tx>
          <overlay val="0"/>
        </title>
        <majorTickMark val="none"/>
        <minorTickMark val="none"/>
        <tickLblPos val="low"/>
        <txPr>
          <a:bodyPr/>
          <a:p>
            <a:pPr>
              <a:defRPr sz="700" b="0"/>
            </a:pPr>
            <a:r>
              <a:t/>
            </a:r>
            <a:endParaRPr sz="700" b="0"/>
          </a:p>
        </txPr>
        <crossAx val="20"/>
        <crosses val="min"/>
        <majorUnit val="2000"/>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9.xml><?xml version="1.0" encoding="utf-8"?>
<chartSpace xmlns:a="http://schemas.openxmlformats.org/drawingml/2006/main" xmlns="http://schemas.openxmlformats.org/drawingml/2006/chart">
  <style val="13"/>
  <chart>
    <title>
      <tx>
        <rich>
          <a:bodyPr/>
          <a:p>
            <a:pPr>
              <a:defRPr sz="900" b="1"/>
            </a:pPr>
            <a:r>
              <a:rPr sz="900" b="1"/>
              <a:t>P_baja</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gráficos'!$R$6:$R$15</f>
            </numRef>
          </xVal>
          <yVal>
            <numRef>
              <f>'2 Datos de gráficos'!$Q$6:$Q$15</f>
            </numRef>
          </yVal>
        </ser>
        <axId val="10"/>
        <axId val="20"/>
      </scatterChart>
      <valAx>
        <axId val="10"/>
        <scaling>
          <orientation val="minMax"/>
          <max val="1500"/>
          <min val="0"/>
        </scaling>
        <delete val="0"/>
        <axPos val="l"/>
        <majorGridlines/>
        <title>
          <tx>
            <rich>
              <a:bodyPr/>
              <a:p>
                <a:pPr>
                  <a:defRPr sz="800" b="0"/>
                </a:pPr>
                <a:r>
                  <a:rPr sz="800" b="0"/>
                  <a:t>Presión de baja, P_baja [kPa]</a:t>
                </a:r>
              </a:p>
            </rich>
          </tx>
          <overlay val="0"/>
        </title>
        <majorTickMark val="none"/>
        <minorTickMark val="none"/>
        <tickLblPos val="low"/>
        <txPr>
          <a:bodyPr/>
          <a:p>
            <a:pPr>
              <a:defRPr sz="700" b="0"/>
            </a:pPr>
            <a:r>
              <a:t/>
            </a:r>
            <a:endParaRPr sz="700" b="0"/>
          </a:p>
        </txPr>
        <crossAx val="20"/>
        <crosses val="min"/>
        <majorUnit val="250"/>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10.xml><?xml version="1.0" encoding="utf-8"?>
<chartSpace xmlns:a="http://schemas.openxmlformats.org/drawingml/2006/main" xmlns="http://schemas.openxmlformats.org/drawingml/2006/chart">
  <style val="13"/>
  <chart>
    <title>
      <tx>
        <rich>
          <a:bodyPr/>
          <a:p>
            <a:pPr>
              <a:defRPr sz="900" b="1"/>
            </a:pPr>
            <a:r>
              <a:rPr sz="900" b="1"/>
              <a:t>x_b</a:t>
            </a:r>
          </a:p>
        </rich>
      </tx>
      <overlay val="0"/>
    </title>
    <plotArea>
      <scatterChart>
        <varyColors val="0"/>
        <ser>
          <idx val="0"/>
          <order val="0"/>
          <tx>
            <v>Inviable, fuera de rango (n = 1)</v>
          </tx>
          <spPr>
            <a:ln>
              <a:noFill/>
              <a:prstDash val="solid"/>
            </a:ln>
          </spPr>
          <marker>
            <symbol val="square"/>
            <size val="6"/>
            <spPr>
              <a:noFill/>
              <a:ln>
                <a:solidFill>
                  <a:srgbClr val="C9A227"/>
                </a:solidFill>
                <a:prstDash val="solid"/>
              </a:ln>
            </spPr>
          </marker>
          <xVal>
            <numRef>
              <f>'2 Datos de gráficos'!$T$6</f>
            </numRef>
          </xVal>
          <yVal>
            <numRef>
              <f>'2 Datos de gráficos'!$S$6</f>
            </numRef>
          </yVal>
        </ser>
        <ser>
          <idx val="1"/>
          <order val="1"/>
          <tx>
            <v>No convergió (n = 12)</v>
          </tx>
          <spPr>
            <a:ln>
              <a:noFill/>
              <a:prstDash val="solid"/>
            </a:ln>
          </spPr>
          <marker>
            <symbol val="x"/>
            <size val="7"/>
            <spPr>
              <a:noFill/>
              <a:ln>
                <a:solidFill>
                  <a:srgbClr val="C62828"/>
                </a:solidFill>
                <a:prstDash val="solid"/>
              </a:ln>
            </spPr>
          </marker>
          <xVal>
            <numRef>
              <f>'2 Datos de gráficos'!$V$6:$V$17</f>
            </numRef>
          </xVal>
          <yVal>
            <numRef>
              <f>'2 Datos de gráficos'!$U$6:$U$17</f>
            </numRef>
          </yVal>
        </ser>
        <ser>
          <idx val="2"/>
          <order val="2"/>
          <tx>
            <v>Falso convergido (n = 1)</v>
          </tx>
          <spPr>
            <a:ln>
              <a:noFill/>
              <a:prstDash val="solid"/>
            </a:ln>
          </spPr>
          <marker>
            <symbol val="x"/>
            <size val="7"/>
            <spPr>
              <a:noFill/>
              <a:ln>
                <a:solidFill>
                  <a:srgbClr val="9E9E9E"/>
                </a:solidFill>
                <a:prstDash val="solid"/>
              </a:ln>
            </spPr>
          </marker>
          <xVal>
            <numRef>
              <f>'2 Datos de gráficos'!$X$6</f>
            </numRef>
          </xVal>
          <yVal>
            <numRef>
              <f>'2 Datos de gráficos'!$W$6</f>
            </numRef>
          </yVal>
        </ser>
        <axId val="10"/>
        <axId val="20"/>
      </scatterChart>
      <valAx>
        <axId val="10"/>
        <scaling>
          <orientation val="minMax"/>
          <max val="0.9"/>
          <min val="0.2"/>
        </scaling>
        <delete val="0"/>
        <axPos val="l"/>
        <majorGridlines/>
        <title>
          <tx>
            <rich>
              <a:bodyPr/>
              <a:p>
                <a:pPr>
                  <a:defRPr sz="800" b="0"/>
                </a:pPr>
                <a:r>
                  <a:rPr sz="800" b="0"/>
                  <a:t>Fracción de amoníaco de la mezcla base, x_b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11.xml><?xml version="1.0" encoding="utf-8"?>
<chartSpace xmlns:a="http://schemas.openxmlformats.org/drawingml/2006/main" xmlns="http://schemas.openxmlformats.org/drawingml/2006/chart">
  <style val="13"/>
  <chart>
    <title>
      <tx>
        <rich>
          <a:bodyPr/>
          <a:p>
            <a:pPr>
              <a:defRPr sz="900" b="1"/>
            </a:pPr>
            <a:r>
              <a:rPr sz="900" b="1"/>
              <a:t>η_t</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gráficos'!$Z$6:$Z$15</f>
            </numRef>
          </xVal>
          <yVal>
            <numRef>
              <f>'2 Datos de gráficos'!$Y$6:$Y$15</f>
            </numRef>
          </yVal>
        </ser>
        <axId val="10"/>
        <axId val="20"/>
      </scatterChart>
      <valAx>
        <axId val="10"/>
        <scaling>
          <orientation val="minMax"/>
          <max val="0.9"/>
          <min val="0.75"/>
        </scaling>
        <delete val="0"/>
        <axPos val="l"/>
        <majorGridlines/>
        <title>
          <tx>
            <rich>
              <a:bodyPr/>
              <a:p>
                <a:pPr>
                  <a:defRPr sz="800" b="0"/>
                </a:pPr>
                <a:r>
                  <a:rPr sz="800" b="0"/>
                  <a:t>Eficiencia isentrópica de la turbina, η_t [–]</a:t>
                </a:r>
              </a:p>
            </rich>
          </tx>
          <overlay val="0"/>
        </title>
        <majorTickMark val="none"/>
        <minorTickMark val="none"/>
        <tickLblPos val="low"/>
        <txPr>
          <a:bodyPr/>
          <a:p>
            <a:pPr>
              <a:defRPr sz="700" b="0"/>
            </a:pPr>
            <a:r>
              <a:t/>
            </a:r>
            <a:endParaRPr sz="700" b="0"/>
          </a:p>
        </txPr>
        <crossAx val="20"/>
        <crosses val="min"/>
        <majorUnit val="0.025"/>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12.xml><?xml version="1.0" encoding="utf-8"?>
<chartSpace xmlns:a="http://schemas.openxmlformats.org/drawingml/2006/main" xmlns="http://schemas.openxmlformats.org/drawingml/2006/chart">
  <style val="13"/>
  <chart>
    <title>
      <tx>
        <rich>
          <a:bodyPr/>
          <a:p>
            <a:pPr>
              <a:defRPr sz="900" b="1"/>
            </a:pPr>
            <a:r>
              <a:rPr sz="900" b="1"/>
              <a:t>η_p</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gráficos'!$AB$6:$AB$15</f>
            </numRef>
          </xVal>
          <yVal>
            <numRef>
              <f>'2 Datos de gráficos'!$AA$6:$AA$15</f>
            </numRef>
          </yVal>
        </ser>
        <axId val="10"/>
        <axId val="20"/>
      </scatterChart>
      <valAx>
        <axId val="10"/>
        <scaling>
          <orientation val="minMax"/>
          <max val="0.8500000000000001"/>
          <min val="0.65"/>
        </scaling>
        <delete val="0"/>
        <axPos val="l"/>
        <majorGridlines/>
        <title>
          <tx>
            <rich>
              <a:bodyPr/>
              <a:p>
                <a:pPr>
                  <a:defRPr sz="800" b="0"/>
                </a:pPr>
                <a:r>
                  <a:rPr sz="800" b="0"/>
                  <a:t>Eficiencia isentrópica de la bomba, η_p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13.xml><?xml version="1.0" encoding="utf-8"?>
<chartSpace xmlns:a="http://schemas.openxmlformats.org/drawingml/2006/main" xmlns="http://schemas.openxmlformats.org/drawingml/2006/chart">
  <style val="13"/>
  <chart>
    <title>
      <tx>
        <rich>
          <a:bodyPr/>
          <a:p>
            <a:pPr>
              <a:defRPr sz="900" b="1"/>
            </a:pPr>
            <a:r>
              <a:rPr sz="900" b="1"/>
              <a:t>ε_HRVG</a:t>
            </a:r>
          </a:p>
        </rich>
      </tx>
      <overlay val="0"/>
    </title>
    <plotArea>
      <scatterChart>
        <varyColors val="0"/>
        <ser>
          <idx val="0"/>
          <order val="0"/>
          <tx>
            <v>Corregible, fuera de rango (n = 7)</v>
          </tx>
          <spPr>
            <a:ln>
              <a:noFill/>
              <a:prstDash val="solid"/>
            </a:ln>
          </spPr>
          <marker>
            <symbol val="triangle"/>
            <size val="6"/>
            <spPr>
              <a:noFill/>
              <a:ln>
                <a:solidFill>
                  <a:srgbClr val="EF8A17"/>
                </a:solidFill>
                <a:prstDash val="solid"/>
              </a:ln>
            </spPr>
          </marker>
          <xVal>
            <numRef>
              <f>'2 Datos de gráficos'!$AD$6:$AD$12</f>
            </numRef>
          </xVal>
          <yVal>
            <numRef>
              <f>'2 Datos de gráficos'!$AC$6:$AC$12</f>
            </numRef>
          </yVal>
        </ser>
        <ser>
          <idx val="1"/>
          <order val="1"/>
          <tx>
            <v>No convergió (n = 3)</v>
          </tx>
          <spPr>
            <a:ln>
              <a:noFill/>
              <a:prstDash val="solid"/>
            </a:ln>
          </spPr>
          <marker>
            <symbol val="x"/>
            <size val="7"/>
            <spPr>
              <a:noFill/>
              <a:ln>
                <a:solidFill>
                  <a:srgbClr val="C62828"/>
                </a:solidFill>
                <a:prstDash val="solid"/>
              </a:ln>
            </spPr>
          </marker>
          <xVal>
            <numRef>
              <f>'2 Datos de gráficos'!$AF$6:$AF$8</f>
            </numRef>
          </xVal>
          <yVal>
            <numRef>
              <f>'2 Datos de gráficos'!$AE$6:$AE$8</f>
            </numRef>
          </yVal>
        </ser>
        <ser>
          <idx val="2"/>
          <order val="2"/>
          <tx>
            <v>Falso convergido (n = 2)</v>
          </tx>
          <spPr>
            <a:ln>
              <a:noFill/>
              <a:prstDash val="solid"/>
            </a:ln>
          </spPr>
          <marker>
            <symbol val="x"/>
            <size val="7"/>
            <spPr>
              <a:noFill/>
              <a:ln>
                <a:solidFill>
                  <a:srgbClr val="9E9E9E"/>
                </a:solidFill>
                <a:prstDash val="solid"/>
              </a:ln>
            </spPr>
          </marker>
          <xVal>
            <numRef>
              <f>'2 Datos de gráficos'!$AH$6:$AH$7</f>
            </numRef>
          </xVal>
          <yVal>
            <numRef>
              <f>'2 Datos de gráficos'!$AG$6:$AG$7</f>
            </numRef>
          </yVal>
        </ser>
        <axId val="10"/>
        <axId val="20"/>
      </scatterChart>
      <valAx>
        <axId val="10"/>
        <scaling>
          <orientation val="minMax"/>
          <max val="0.86"/>
          <min val="0.74"/>
        </scaling>
        <delete val="0"/>
        <axPos val="l"/>
        <majorGridlines/>
        <title>
          <tx>
            <rich>
              <a:bodyPr/>
              <a:p>
                <a:pPr>
                  <a:defRPr sz="800" b="0"/>
                </a:pPr>
                <a:r>
                  <a:rPr sz="800" b="0"/>
                  <a:t>Efectividad del generador de vapor, ε_HRVG [–]</a:t>
                </a:r>
              </a:p>
            </rich>
          </tx>
          <overlay val="0"/>
        </title>
        <majorTickMark val="none"/>
        <minorTickMark val="none"/>
        <tickLblPos val="low"/>
        <txPr>
          <a:bodyPr/>
          <a:p>
            <a:pPr>
              <a:defRPr sz="700" b="0"/>
            </a:pPr>
            <a:r>
              <a:t/>
            </a:r>
            <a:endParaRPr sz="700" b="0"/>
          </a:p>
        </txPr>
        <crossAx val="20"/>
        <crosses val="min"/>
        <majorUnit val="0.02"/>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14.xml><?xml version="1.0" encoding="utf-8"?>
<chartSpace xmlns:a="http://schemas.openxmlformats.org/drawingml/2006/main" xmlns="http://schemas.openxmlformats.org/drawingml/2006/chart">
  <style val="13"/>
  <chart>
    <title>
      <tx>
        <rich>
          <a:bodyPr/>
          <a:p>
            <a:pPr>
              <a:defRPr sz="900" b="1"/>
            </a:pPr>
            <a:r>
              <a:rPr sz="900" b="1"/>
              <a:t>ε_reg</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gráficos'!$AJ$6:$AJ$15</f>
            </numRef>
          </xVal>
          <yVal>
            <numRef>
              <f>'2 Datos de gráficos'!$AI$6:$AI$15</f>
            </numRef>
          </yVal>
        </ser>
        <axId val="10"/>
        <axId val="20"/>
      </scatterChart>
      <valAx>
        <axId val="10"/>
        <scaling>
          <orientation val="minMax"/>
          <max val="0.86"/>
          <min val="0.74"/>
        </scaling>
        <delete val="0"/>
        <axPos val="l"/>
        <majorGridlines/>
        <title>
          <tx>
            <rich>
              <a:bodyPr/>
              <a:p>
                <a:pPr>
                  <a:defRPr sz="800" b="0"/>
                </a:pPr>
                <a:r>
                  <a:rPr sz="800" b="0"/>
                  <a:t>Efectividad del regenerador, ε_reg [–]</a:t>
                </a:r>
              </a:p>
            </rich>
          </tx>
          <overlay val="0"/>
        </title>
        <majorTickMark val="none"/>
        <minorTickMark val="none"/>
        <tickLblPos val="low"/>
        <txPr>
          <a:bodyPr/>
          <a:p>
            <a:pPr>
              <a:defRPr sz="700" b="0"/>
            </a:pPr>
            <a:r>
              <a:t/>
            </a:r>
            <a:endParaRPr sz="700" b="0"/>
          </a:p>
        </txPr>
        <crossAx val="20"/>
        <crosses val="min"/>
        <majorUnit val="0.02"/>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15.xml><?xml version="1.0" encoding="utf-8"?>
<chartSpace xmlns:a="http://schemas.openxmlformats.org/drawingml/2006/main" xmlns="http://schemas.openxmlformats.org/drawingml/2006/chart">
  <style val="13"/>
  <chart>
    <title>
      <tx>
        <rich>
          <a:bodyPr/>
          <a:p>
            <a:pPr>
              <a:defRPr sz="900" b="1"/>
            </a:pPr>
            <a:r>
              <a:rPr sz="900" b="1"/>
              <a:t>ε_cond</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gráficos'!$AL$6:$AL$15</f>
            </numRef>
          </xVal>
          <yVal>
            <numRef>
              <f>'2 Datos de gráficos'!$AK$6:$AK$15</f>
            </numRef>
          </yVal>
        </ser>
        <axId val="10"/>
        <axId val="20"/>
      </scatterChart>
      <valAx>
        <axId val="10"/>
        <scaling>
          <orientation val="minMax"/>
          <max val="0.86"/>
          <min val="0.7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20"/>
        <crosses val="min"/>
        <majorUnit val="0.02"/>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16.xml><?xml version="1.0" encoding="utf-8"?>
<chartSpace xmlns:a="http://schemas.openxmlformats.org/drawingml/2006/main" xmlns="http://schemas.openxmlformats.org/drawingml/2006/chart">
  <style val="13"/>
  <chart>
    <title>
      <tx>
        <rich>
          <a:bodyPr/>
          <a:p>
            <a:pPr>
              <a:defRPr sz="1100" b="1"/>
            </a:pPr>
            <a:r>
              <a:rPr sz="1100" b="1"/>
              <a:t>Ruta A: conservando la fuente del profesor (623 K), 0 KALINA</a:t>
            </a:r>
          </a:p>
        </rich>
      </tx>
      <overlay val="0"/>
    </title>
    <plotArea>
      <scatterChart>
        <varyColors val="0"/>
        <ser>
          <idx val="0"/>
          <order val="0"/>
          <tx>
            <v>Corregible, fuera de rango (n = 36)</v>
          </tx>
          <spPr>
            <a:ln>
              <a:noFill/>
              <a:prstDash val="solid"/>
            </a:ln>
          </spPr>
          <marker>
            <symbol val="triangle"/>
            <size val="6"/>
            <spPr>
              <a:noFill/>
              <a:ln>
                <a:solidFill>
                  <a:srgbClr val="EF8A17"/>
                </a:solidFill>
                <a:prstDash val="solid"/>
              </a:ln>
            </spPr>
          </marker>
          <xVal>
            <numRef>
              <f>'2 Datos de gráficos'!$AO$6:$AO$41</f>
            </numRef>
          </xVal>
          <yVal>
            <numRef>
              <f>'2 Datos de gráficos'!$AN$6:$AN$41</f>
            </numRef>
          </yVal>
        </ser>
        <axId val="10"/>
        <axId val="20"/>
      </scatterChart>
      <valAx>
        <axId val="10"/>
        <scaling>
          <orientation val="minMax"/>
          <max val="2000"/>
          <min val="25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20"/>
        <crosses val="min"/>
        <majorUnit val="250"/>
      </valAx>
      <valAx>
        <axId val="20"/>
        <scaling>
          <orientation val="minMax"/>
          <max val="0.8100000000000001"/>
          <min val="0.75"/>
        </scaling>
        <delete val="0"/>
        <axPos val="l"/>
        <majorGridlines/>
        <title>
          <tx>
            <rich>
              <a:bodyPr/>
              <a:p>
                <a:pPr>
                  <a:defRPr sz="900" b="0"/>
                </a:pPr>
                <a:r>
                  <a:rPr sz="900" b="0"/>
                  <a:t>Efectividad del generador de vapor, ε_HRVG [–]</a:t>
                </a:r>
              </a:p>
            </rich>
          </tx>
          <overlay val="0"/>
        </title>
        <majorTickMark val="none"/>
        <minorTickMark val="none"/>
        <tickLblPos val="low"/>
        <txPr>
          <a:bodyPr/>
          <a:p>
            <a:pPr>
              <a:defRPr sz="800" b="0"/>
            </a:pPr>
            <a:r>
              <a:t/>
            </a:r>
            <a:endParaRPr sz="800" b="0"/>
          </a:p>
        </txPr>
        <crossAx val="10"/>
        <crosses val="min"/>
        <majorUnit val="0.01"/>
      </valAx>
    </plotArea>
    <legend>
      <legendPos val="b"/>
      <overlay val="0"/>
      <txPr>
        <a:bodyPr/>
        <a:p>
          <a:pPr>
            <a:defRPr sz="800" b="0"/>
          </a:pPr>
          <a:r>
            <a:t/>
          </a:r>
          <a:endParaRPr sz="800" b="0"/>
        </a:p>
      </txPr>
    </legend>
    <plotVisOnly val="0"/>
    <dispBlanksAs val="gap"/>
  </chart>
</chartSpace>
</file>

<file path=xl/charts/chart17.xml><?xml version="1.0" encoding="utf-8"?>
<chartSpace xmlns:a="http://schemas.openxmlformats.org/drawingml/2006/main" xmlns="http://schemas.openxmlformats.org/drawingml/2006/chart">
  <style val="13"/>
  <chart>
    <title>
      <tx>
        <rich>
          <a:bodyPr/>
          <a:p>
            <a:pPr>
              <a:defRPr sz="1100" b="1"/>
            </a:pPr>
            <a:r>
              <a:rPr sz="1100" b="1"/>
              <a:t>Ruta B: KALINA con T_fuente entre 390 y 434 K</a:t>
            </a:r>
          </a:p>
        </rich>
      </tx>
      <overlay val="0"/>
    </title>
    <plotArea>
      <scatterChart>
        <varyColors val="0"/>
        <ser>
          <idx val="0"/>
          <order val="0"/>
          <tx>
            <v>KALINA (n = 48)</v>
          </tx>
          <spPr>
            <a:ln>
              <a:noFill/>
              <a:prstDash val="solid"/>
            </a:ln>
          </spPr>
          <marker>
            <symbol val="circle"/>
            <size val="6"/>
            <spPr>
              <a:solidFill>
                <a:srgbClr val="2E7D32"/>
              </a:solidFill>
              <a:ln>
                <a:solidFill>
                  <a:srgbClr val="2E7D32"/>
                </a:solidFill>
                <a:prstDash val="solid"/>
              </a:ln>
            </spPr>
          </marker>
          <xVal>
            <numRef>
              <f>'2 Datos de gráficos'!$AR$6:$AR$53</f>
            </numRef>
          </xVal>
          <yVal>
            <numRef>
              <f>'2 Datos de gráficos'!$AQ$6:$AQ$53</f>
            </numRef>
          </yVal>
        </ser>
        <ser>
          <idx val="1"/>
          <order val="1"/>
          <tx>
            <v>KALINA, fuera de rango (n = 11)</v>
          </tx>
          <spPr>
            <a:ln>
              <a:noFill/>
              <a:prstDash val="solid"/>
            </a:ln>
          </spPr>
          <marker>
            <symbol val="circle"/>
            <size val="6"/>
            <spPr>
              <a:noFill/>
              <a:ln>
                <a:solidFill>
                  <a:srgbClr val="2E7D32"/>
                </a:solidFill>
                <a:prstDash val="solid"/>
              </a:ln>
            </spPr>
          </marker>
          <xVal>
            <numRef>
              <f>'2 Datos de gráficos'!$AT$6:$AT$16</f>
            </numRef>
          </xVal>
          <yVal>
            <numRef>
              <f>'2 Datos de gráficos'!$AS$6:$AS$16</f>
            </numRef>
          </yVal>
        </ser>
        <ser>
          <idx val="2"/>
          <order val="2"/>
          <tx>
            <v>Corregible (n = 12)</v>
          </tx>
          <spPr>
            <a:ln>
              <a:noFill/>
              <a:prstDash val="solid"/>
            </a:ln>
          </spPr>
          <marker>
            <symbol val="triangle"/>
            <size val="6"/>
            <spPr>
              <a:solidFill>
                <a:srgbClr val="EF8A17"/>
              </a:solidFill>
              <a:ln>
                <a:solidFill>
                  <a:srgbClr val="EF8A17"/>
                </a:solidFill>
                <a:prstDash val="solid"/>
              </a:ln>
            </spPr>
          </marker>
          <xVal>
            <numRef>
              <f>'2 Datos de gráficos'!$AV$6:$AV$17</f>
            </numRef>
          </xVal>
          <yVal>
            <numRef>
              <f>'2 Datos de gráficos'!$AU$6:$AU$17</f>
            </numRef>
          </yVal>
        </ser>
        <ser>
          <idx val="3"/>
          <order val="3"/>
          <tx>
            <v>Corregible, fuera de rango (n = 58)</v>
          </tx>
          <spPr>
            <a:ln>
              <a:noFill/>
              <a:prstDash val="solid"/>
            </a:ln>
          </spPr>
          <marker>
            <symbol val="triangle"/>
            <size val="6"/>
            <spPr>
              <a:noFill/>
              <a:ln>
                <a:solidFill>
                  <a:srgbClr val="EF8A17"/>
                </a:solidFill>
                <a:prstDash val="solid"/>
              </a:ln>
            </spPr>
          </marker>
          <xVal>
            <numRef>
              <f>'2 Datos de gráficos'!$AX$6:$AX$63</f>
            </numRef>
          </xVal>
          <yVal>
            <numRef>
              <f>'2 Datos de gráficos'!$AW$6:$AW$63</f>
            </numRef>
          </yVal>
        </ser>
        <ser>
          <idx val="4"/>
          <order val="4"/>
          <tx>
            <v>No convergió (n = 3)</v>
          </tx>
          <spPr>
            <a:ln>
              <a:noFill/>
              <a:prstDash val="solid"/>
            </a:ln>
          </spPr>
          <marker>
            <symbol val="x"/>
            <size val="7"/>
            <spPr>
              <a:noFill/>
              <a:ln>
                <a:solidFill>
                  <a:srgbClr val="C62828"/>
                </a:solidFill>
                <a:prstDash val="solid"/>
              </a:ln>
            </spPr>
          </marker>
          <xVal>
            <numRef>
              <f>'2 Datos de gráficos'!$AZ$6:$AZ$8</f>
            </numRef>
          </xVal>
          <yVal>
            <numRef>
              <f>'2 Datos de gráficos'!$AY$6:$AY$8</f>
            </numRef>
          </yVal>
        </ser>
        <ser>
          <idx val="5"/>
          <order val="5"/>
          <tx>
            <v>Falso convergido (n = 12)</v>
          </tx>
          <spPr>
            <a:ln>
              <a:noFill/>
              <a:prstDash val="solid"/>
            </a:ln>
          </spPr>
          <marker>
            <symbol val="x"/>
            <size val="7"/>
            <spPr>
              <a:noFill/>
              <a:ln>
                <a:solidFill>
                  <a:srgbClr val="9E9E9E"/>
                </a:solidFill>
                <a:prstDash val="solid"/>
              </a:ln>
            </spPr>
          </marker>
          <xVal>
            <numRef>
              <f>'2 Datos de gráficos'!$BB$6:$BB$17</f>
            </numRef>
          </xVal>
          <yVal>
            <numRef>
              <f>'2 Datos de gráficos'!$BA$6:$BA$17</f>
            </numRef>
          </yVal>
        </ser>
        <axId val="10"/>
        <axId val="20"/>
      </scatterChart>
      <valAx>
        <axId val="10"/>
        <scaling>
          <orientation val="minMax"/>
          <max val="2000"/>
          <min val="25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20"/>
        <crosses val="min"/>
        <majorUnit val="250"/>
      </valAx>
      <valAx>
        <axId val="20"/>
        <scaling>
          <orientation val="minMax"/>
          <max val="600"/>
          <min val="350"/>
        </scaling>
        <delete val="0"/>
        <axPos val="l"/>
        <majorGridlines/>
        <title>
          <tx>
            <rich>
              <a:bodyPr/>
              <a:p>
                <a:pPr>
                  <a:defRPr sz="900" b="0"/>
                </a:pPr>
                <a:r>
                  <a:rPr sz="900" b="0"/>
                  <a:t>Temperatura de la fuente, T_fuente [K]</a:t>
                </a:r>
              </a:p>
            </rich>
          </tx>
          <overlay val="0"/>
        </title>
        <majorTickMark val="none"/>
        <minorTickMark val="none"/>
        <tickLblPos val="low"/>
        <txPr>
          <a:bodyPr/>
          <a:p>
            <a:pPr>
              <a:defRPr sz="800" b="0"/>
            </a:pPr>
            <a:r>
              <a:t/>
            </a:r>
            <a:endParaRPr sz="800" b="0"/>
          </a:p>
        </txPr>
        <crossAx val="10"/>
        <crosses val="min"/>
        <majorUnit val="50"/>
      </valAx>
    </plotArea>
    <legend>
      <legendPos val="b"/>
      <overlay val="0"/>
      <txPr>
        <a:bodyPr/>
        <a:p>
          <a:pPr>
            <a:defRPr sz="800" b="0"/>
          </a:pPr>
          <a:r>
            <a:t/>
          </a:r>
          <a:endParaRPr sz="800" b="0"/>
        </a:p>
      </txPr>
    </legend>
    <plotVisOnly val="0"/>
    <dispBlanksAs val="gap"/>
  </chart>
</chartSpace>
</file>

<file path=xl/charts/chart18.xml><?xml version="1.0" encoding="utf-8"?>
<chartSpace xmlns:a="http://schemas.openxmlformats.org/drawingml/2006/main" xmlns="http://schemas.openxmlformats.org/drawingml/2006/chart">
  <style val="13"/>
  <chart>
    <title>
      <tx>
        <rich>
          <a:bodyPr/>
          <a:p>
            <a:pPr>
              <a:defRPr sz="900" b="1"/>
            </a:pPr>
            <a:r>
              <a:rPr sz="900" b="1"/>
              <a:t>η_t</a:t>
            </a:r>
          </a:p>
        </rich>
      </tx>
      <overlay val="0"/>
    </title>
    <plotArea>
      <scatterChart>
        <varyColors val="0"/>
        <ser>
          <idx val="0"/>
          <order val="0"/>
          <tx>
            <v>No convergió (n = 12)</v>
          </tx>
          <spPr>
            <a:ln>
              <a:noFill/>
              <a:prstDash val="solid"/>
            </a:ln>
          </spPr>
          <marker>
            <symbol val="x"/>
            <size val="7"/>
            <spPr>
              <a:noFill/>
              <a:ln>
                <a:solidFill>
                  <a:srgbClr val="C62828"/>
                </a:solidFill>
                <a:prstDash val="solid"/>
              </a:ln>
            </spPr>
          </marker>
          <xVal>
            <numRef>
              <f>'2 Datos de gráficos'!$BE$6:$BE$17</f>
            </numRef>
          </xVal>
          <yVal>
            <numRef>
              <f>'2 Datos de gráficos'!$BD$6:$BD$17</f>
            </numRef>
          </yVal>
        </ser>
        <axId val="10"/>
        <axId val="20"/>
      </scatterChart>
      <valAx>
        <axId val="10"/>
        <scaling>
          <orientation val="minMax"/>
          <max val="1"/>
          <min val="0.4"/>
        </scaling>
        <delete val="0"/>
        <axPos val="l"/>
        <majorGridlines/>
        <title>
          <tx>
            <rich>
              <a:bodyPr/>
              <a:p>
                <a:pPr>
                  <a:defRPr sz="800" b="0"/>
                </a:pPr>
                <a:r>
                  <a:rPr sz="800" b="0"/>
                  <a:t>Eficiencia isentrópica de la turbina, η_t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19.xml><?xml version="1.0" encoding="utf-8"?>
<chartSpace xmlns:a="http://schemas.openxmlformats.org/drawingml/2006/main" xmlns="http://schemas.openxmlformats.org/drawingml/2006/chart">
  <style val="13"/>
  <chart>
    <title>
      <tx>
        <rich>
          <a:bodyPr/>
          <a:p>
            <a:pPr>
              <a:defRPr sz="900" b="1"/>
            </a:pPr>
            <a:r>
              <a:rPr sz="900" b="1"/>
              <a:t>η_p</a:t>
            </a:r>
          </a:p>
        </rich>
      </tx>
      <overlay val="0"/>
    </title>
    <plotArea>
      <scatterChart>
        <varyColors val="0"/>
        <ser>
          <idx val="0"/>
          <order val="0"/>
          <tx>
            <v>No convergió (n = 12)</v>
          </tx>
          <spPr>
            <a:ln>
              <a:noFill/>
              <a:prstDash val="solid"/>
            </a:ln>
          </spPr>
          <marker>
            <symbol val="x"/>
            <size val="7"/>
            <spPr>
              <a:noFill/>
              <a:ln>
                <a:solidFill>
                  <a:srgbClr val="C62828"/>
                </a:solidFill>
                <a:prstDash val="solid"/>
              </a:ln>
            </spPr>
          </marker>
          <xVal>
            <numRef>
              <f>'2 Datos de gráficos'!$BG$6:$BG$17</f>
            </numRef>
          </xVal>
          <yVal>
            <numRef>
              <f>'2 Datos de gráficos'!$BF$6:$BF$17</f>
            </numRef>
          </yVal>
        </ser>
        <axId val="10"/>
        <axId val="20"/>
      </scatterChart>
      <valAx>
        <axId val="10"/>
        <scaling>
          <orientation val="minMax"/>
          <max val="1"/>
          <min val="0.4"/>
        </scaling>
        <delete val="0"/>
        <axPos val="l"/>
        <majorGridlines/>
        <title>
          <tx>
            <rich>
              <a:bodyPr/>
              <a:p>
                <a:pPr>
                  <a:defRPr sz="800" b="0"/>
                </a:pPr>
                <a:r>
                  <a:rPr sz="800" b="0"/>
                  <a:t>Eficiencia isentrópica de la bomba, η_p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20.xml><?xml version="1.0" encoding="utf-8"?>
<chartSpace xmlns:a="http://schemas.openxmlformats.org/drawingml/2006/main" xmlns="http://schemas.openxmlformats.org/drawingml/2006/chart">
  <style val="13"/>
  <chart>
    <title>
      <tx>
        <rich>
          <a:bodyPr/>
          <a:p>
            <a:pPr>
              <a:defRPr sz="900" b="1"/>
            </a:pPr>
            <a:r>
              <a:rPr sz="900" b="1"/>
              <a:t>ε_HRVG</a:t>
            </a:r>
          </a:p>
        </rich>
      </tx>
      <overlay val="0"/>
    </title>
    <plotArea>
      <scatterChart>
        <varyColors val="0"/>
        <ser>
          <idx val="0"/>
          <order val="0"/>
          <tx>
            <v>Corregible, fuera de rango (n = 24)</v>
          </tx>
          <spPr>
            <a:ln>
              <a:noFill/>
              <a:prstDash val="solid"/>
            </a:ln>
          </spPr>
          <marker>
            <symbol val="triangle"/>
            <size val="6"/>
            <spPr>
              <a:noFill/>
              <a:ln>
                <a:solidFill>
                  <a:srgbClr val="EF8A17"/>
                </a:solidFill>
                <a:prstDash val="solid"/>
              </a:ln>
            </spPr>
          </marker>
          <xVal>
            <numRef>
              <f>'2 Datos de gráficos'!$BI$6:$BI$29</f>
            </numRef>
          </xVal>
          <yVal>
            <numRef>
              <f>'2 Datos de gráficos'!$BH$6:$BH$29</f>
            </numRef>
          </yVal>
        </ser>
        <ser>
          <idx val="1"/>
          <order val="1"/>
          <tx>
            <v>No convergió (n = 6)</v>
          </tx>
          <spPr>
            <a:ln>
              <a:noFill/>
              <a:prstDash val="solid"/>
            </a:ln>
          </spPr>
          <marker>
            <symbol val="x"/>
            <size val="7"/>
            <spPr>
              <a:noFill/>
              <a:ln>
                <a:solidFill>
                  <a:srgbClr val="C62828"/>
                </a:solidFill>
                <a:prstDash val="solid"/>
              </a:ln>
            </spPr>
          </marker>
          <xVal>
            <numRef>
              <f>'2 Datos de gráficos'!$BK$6:$BK$11</f>
            </numRef>
          </xVal>
          <yVal>
            <numRef>
              <f>'2 Datos de gráficos'!$BJ$6:$BJ$11</f>
            </numRef>
          </yVal>
        </ser>
        <ser>
          <idx val="2"/>
          <order val="2"/>
          <tx>
            <v>Falso convergido (n = 2)</v>
          </tx>
          <spPr>
            <a:ln>
              <a:noFill/>
              <a:prstDash val="solid"/>
            </a:ln>
          </spPr>
          <marker>
            <symbol val="x"/>
            <size val="7"/>
            <spPr>
              <a:noFill/>
              <a:ln>
                <a:solidFill>
                  <a:srgbClr val="9E9E9E"/>
                </a:solidFill>
                <a:prstDash val="solid"/>
              </a:ln>
            </spPr>
          </marker>
          <xVal>
            <numRef>
              <f>'2 Datos de gráficos'!$BM$6:$BM$7</f>
            </numRef>
          </xVal>
          <yVal>
            <numRef>
              <f>'2 Datos de gráficos'!$BL$6:$BL$7</f>
            </numRef>
          </yVal>
        </ser>
        <axId val="10"/>
        <axId val="20"/>
      </scatterChart>
      <valAx>
        <axId val="10"/>
        <scaling>
          <orientation val="minMax"/>
          <max val="1"/>
          <min val="0.4"/>
        </scaling>
        <delete val="0"/>
        <axPos val="l"/>
        <majorGridlines/>
        <title>
          <tx>
            <rich>
              <a:bodyPr/>
              <a:p>
                <a:pPr>
                  <a:defRPr sz="800" b="0"/>
                </a:pPr>
                <a:r>
                  <a:rPr sz="800" b="0"/>
                  <a:t>Efectividad del generador de vapor, ε_HRVG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21.xml><?xml version="1.0" encoding="utf-8"?>
<chartSpace xmlns:a="http://schemas.openxmlformats.org/drawingml/2006/main" xmlns="http://schemas.openxmlformats.org/drawingml/2006/chart">
  <style val="13"/>
  <chart>
    <title>
      <tx>
        <rich>
          <a:bodyPr/>
          <a:p>
            <a:pPr>
              <a:defRPr sz="900" b="1"/>
            </a:pPr>
            <a:r>
              <a:rPr sz="900" b="1"/>
              <a:t>ε_reg</a:t>
            </a:r>
          </a:p>
        </rich>
      </tx>
      <overlay val="0"/>
    </title>
    <plotArea>
      <scatterChart>
        <varyColors val="0"/>
        <ser>
          <idx val="0"/>
          <order val="0"/>
          <tx>
            <v>No convergió (n = 12)</v>
          </tx>
          <spPr>
            <a:ln>
              <a:noFill/>
              <a:prstDash val="solid"/>
            </a:ln>
          </spPr>
          <marker>
            <symbol val="x"/>
            <size val="7"/>
            <spPr>
              <a:noFill/>
              <a:ln>
                <a:solidFill>
                  <a:srgbClr val="C62828"/>
                </a:solidFill>
                <a:prstDash val="solid"/>
              </a:ln>
            </spPr>
          </marker>
          <xVal>
            <numRef>
              <f>'2 Datos de gráficos'!$BO$6:$BO$17</f>
            </numRef>
          </xVal>
          <yVal>
            <numRef>
              <f>'2 Datos de gráficos'!$BN$6:$BN$17</f>
            </numRef>
          </yVal>
        </ser>
        <axId val="10"/>
        <axId val="20"/>
      </scatterChart>
      <valAx>
        <axId val="10"/>
        <scaling>
          <orientation val="minMax"/>
          <max val="1"/>
          <min val="0.4"/>
        </scaling>
        <delete val="0"/>
        <axPos val="l"/>
        <majorGridlines/>
        <title>
          <tx>
            <rich>
              <a:bodyPr/>
              <a:p>
                <a:pPr>
                  <a:defRPr sz="800" b="0"/>
                </a:pPr>
                <a:r>
                  <a:rPr sz="800" b="0"/>
                  <a:t>Efectividad del regenerador, ε_reg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22.xml><?xml version="1.0" encoding="utf-8"?>
<chartSpace xmlns:a="http://schemas.openxmlformats.org/drawingml/2006/main" xmlns="http://schemas.openxmlformats.org/drawingml/2006/chart">
  <style val="13"/>
  <chart>
    <title>
      <tx>
        <rich>
          <a:bodyPr/>
          <a:p>
            <a:pPr>
              <a:defRPr sz="900" b="1"/>
            </a:pPr>
            <a:r>
              <a:rPr sz="900" b="1"/>
              <a:t>ε_cond</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gráficos'!$BQ$6:$BQ$15</f>
            </numRef>
          </xVal>
          <yVal>
            <numRef>
              <f>'2 Datos de gráficos'!$BP$6:$BP$15</f>
            </numRef>
          </yVal>
        </ser>
        <ser>
          <idx val="1"/>
          <order val="1"/>
          <tx>
            <v>Falso convergido (n = 2)</v>
          </tx>
          <spPr>
            <a:ln>
              <a:noFill/>
              <a:prstDash val="solid"/>
            </a:ln>
          </spPr>
          <marker>
            <symbol val="x"/>
            <size val="7"/>
            <spPr>
              <a:noFill/>
              <a:ln>
                <a:solidFill>
                  <a:srgbClr val="9E9E9E"/>
                </a:solidFill>
                <a:prstDash val="solid"/>
              </a:ln>
            </spPr>
          </marker>
          <xVal>
            <numRef>
              <f>'2 Datos de gráficos'!$BS$6:$BS$7</f>
            </numRef>
          </xVal>
          <yVal>
            <numRef>
              <f>'2 Datos de gráficos'!$BR$6:$BR$7</f>
            </numRef>
          </yVal>
        </ser>
        <axId val="10"/>
        <axId val="20"/>
      </scatterChart>
      <valAx>
        <axId val="10"/>
        <scaling>
          <orientation val="minMax"/>
          <max val="1"/>
          <min val="0.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23.xml><?xml version="1.0" encoding="utf-8"?>
<chartSpace xmlns:a="http://schemas.openxmlformats.org/drawingml/2006/main" xmlns="http://schemas.openxmlformats.org/drawingml/2006/chart">
  <style val="13"/>
  <chart>
    <title>
      <tx>
        <rich>
          <a:bodyPr/>
          <a:p>
            <a:pPr>
              <a:defRPr sz="1100" b="1"/>
            </a:pPr>
            <a:r>
              <a:rPr sz="1100" b="1"/>
              <a:t>Parte 2.3b: 0 KALINA con η y ε en [0.40, 0.95]</a:t>
            </a:r>
          </a:p>
        </rich>
      </tx>
      <overlay val="0"/>
    </title>
    <plotArea>
      <scatterChart>
        <varyColors val="0"/>
        <ser>
          <idx val="0"/>
          <order val="0"/>
          <tx>
            <v>Corregible, fuera de rango (n = 48)</v>
          </tx>
          <spPr>
            <a:ln>
              <a:noFill/>
              <a:prstDash val="solid"/>
            </a:ln>
          </spPr>
          <marker>
            <symbol val="triangle"/>
            <size val="6"/>
            <spPr>
              <a:noFill/>
              <a:ln>
                <a:solidFill>
                  <a:srgbClr val="EF8A17"/>
                </a:solidFill>
                <a:prstDash val="solid"/>
              </a:ln>
            </spPr>
          </marker>
          <xVal>
            <numRef>
              <f>'2 Datos de gráficos'!$BV$6:$BV$53</f>
            </numRef>
          </xVal>
          <yVal>
            <numRef>
              <f>'2 Datos de gráficos'!$BU$6:$BU$53</f>
            </numRef>
          </yVal>
        </ser>
        <ser>
          <idx val="1"/>
          <order val="1"/>
          <tx>
            <v>No convergió (n = 12)</v>
          </tx>
          <spPr>
            <a:ln>
              <a:noFill/>
              <a:prstDash val="solid"/>
            </a:ln>
          </spPr>
          <marker>
            <symbol val="x"/>
            <size val="7"/>
            <spPr>
              <a:noFill/>
              <a:ln>
                <a:solidFill>
                  <a:srgbClr val="C62828"/>
                </a:solidFill>
                <a:prstDash val="solid"/>
              </a:ln>
            </spPr>
          </marker>
          <xVal>
            <numRef>
              <f>'2 Datos de gráficos'!$BX$6:$BX$17</f>
            </numRef>
          </xVal>
          <yVal>
            <numRef>
              <f>'2 Datos de gráficos'!$BW$6:$BW$17</f>
            </numRef>
          </yVal>
        </ser>
        <axId val="10"/>
        <axId val="20"/>
      </scatterChart>
      <valAx>
        <axId val="10"/>
        <scaling>
          <orientation val="minMax"/>
          <max val="1"/>
          <min val="0.4"/>
        </scaling>
        <delete val="0"/>
        <axPos val="l"/>
        <majorGridlines/>
        <title>
          <tx>
            <rich>
              <a:bodyPr/>
              <a:p>
                <a:pPr>
                  <a:defRPr sz="900" b="0"/>
                </a:pPr>
                <a:r>
                  <a:rPr sz="900" b="0"/>
                  <a:t>Efectividad del condensador, ε_cond [–]</a:t>
                </a:r>
              </a:p>
            </rich>
          </tx>
          <overlay val="0"/>
        </title>
        <majorTickMark val="none"/>
        <minorTickMark val="none"/>
        <tickLblPos val="low"/>
        <txPr>
          <a:bodyPr/>
          <a:p>
            <a:pPr>
              <a:defRPr sz="800" b="0"/>
            </a:pPr>
            <a:r>
              <a:t/>
            </a:r>
            <a:endParaRPr sz="800" b="0"/>
          </a:p>
        </txPr>
        <crossAx val="20"/>
        <crosses val="min"/>
        <majorUnit val="0.1"/>
      </valAx>
      <valAx>
        <axId val="20"/>
        <scaling>
          <orientation val="minMax"/>
          <max val="0.8"/>
          <min val="0.4"/>
        </scaling>
        <delete val="0"/>
        <axPos val="l"/>
        <majorGridlines/>
        <title>
          <tx>
            <rich>
              <a:bodyPr/>
              <a:p>
                <a:pPr>
                  <a:defRPr sz="900" b="0"/>
                </a:pPr>
                <a:r>
                  <a:rPr sz="900" b="0"/>
                  <a:t>Efectividad del generador de vapor, ε_HRVG [–]</a:t>
                </a:r>
              </a:p>
            </rich>
          </tx>
          <overlay val="0"/>
        </title>
        <majorTickMark val="none"/>
        <minorTickMark val="none"/>
        <tickLblPos val="low"/>
        <txPr>
          <a:bodyPr/>
          <a:p>
            <a:pPr>
              <a:defRPr sz="800" b="0"/>
            </a:pPr>
            <a:r>
              <a:t/>
            </a:r>
            <a:endParaRPr sz="800" b="0"/>
          </a:p>
        </txPr>
        <crossAx val="10"/>
        <crosses val="min"/>
        <majorUnit val="0.1"/>
      </valAx>
    </plotArea>
    <legend>
      <legendPos val="b"/>
      <overlay val="0"/>
      <txPr>
        <a:bodyPr/>
        <a:p>
          <a:pPr>
            <a:defRPr sz="800" b="0"/>
          </a:pPr>
          <a:r>
            <a:t/>
          </a:r>
          <a:endParaRPr sz="800" b="0"/>
        </a:p>
      </txPr>
    </legend>
    <plotVisOnly val="0"/>
    <dispBlanksAs val="gap"/>
  </chart>
</chartSpace>
</file>

<file path=xl/charts/chart24.xml><?xml version="1.0" encoding="utf-8"?>
<chartSpace xmlns:a="http://schemas.openxmlformats.org/drawingml/2006/main" xmlns="http://schemas.openxmlformats.org/drawingml/2006/chart">
  <style val="13"/>
  <chart>
    <title>
      <tx>
        <rich>
          <a:bodyPr/>
          <a:p>
            <a:pPr>
              <a:defRPr sz="1100" b="1"/>
            </a:pPr>
            <a:r>
              <a:rPr sz="1100" b="1"/>
              <a:t>Parte 2.3c: 19 KALINA con η y ε en [0.40, 0.95]</a:t>
            </a:r>
          </a:p>
        </rich>
      </tx>
      <overlay val="0"/>
    </title>
    <plotArea>
      <scatterChart>
        <varyColors val="0"/>
        <ser>
          <idx val="0"/>
          <order val="0"/>
          <tx>
            <v>KALINA, fuera de rango (n = 19)</v>
          </tx>
          <spPr>
            <a:ln>
              <a:noFill/>
              <a:prstDash val="solid"/>
            </a:ln>
          </spPr>
          <marker>
            <symbol val="circle"/>
            <size val="6"/>
            <spPr>
              <a:noFill/>
              <a:ln>
                <a:solidFill>
                  <a:srgbClr val="2E7D32"/>
                </a:solidFill>
                <a:prstDash val="solid"/>
              </a:ln>
            </spPr>
          </marker>
          <xVal>
            <numRef>
              <f>'2 Datos de gráficos'!$CA$6:$CA$24</f>
            </numRef>
          </xVal>
          <yVal>
            <numRef>
              <f>'2 Datos de gráficos'!$BZ$6:$BZ$24</f>
            </numRef>
          </yVal>
        </ser>
        <ser>
          <idx val="1"/>
          <order val="1"/>
          <tx>
            <v>Corregible, fuera de rango (n = 43)</v>
          </tx>
          <spPr>
            <a:ln>
              <a:noFill/>
              <a:prstDash val="solid"/>
            </a:ln>
          </spPr>
          <marker>
            <symbol val="triangle"/>
            <size val="6"/>
            <spPr>
              <a:noFill/>
              <a:ln>
                <a:solidFill>
                  <a:srgbClr val="EF8A17"/>
                </a:solidFill>
                <a:prstDash val="solid"/>
              </a:ln>
            </spPr>
          </marker>
          <xVal>
            <numRef>
              <f>'2 Datos de gráficos'!$CC$6:$CC$48</f>
            </numRef>
          </xVal>
          <yVal>
            <numRef>
              <f>'2 Datos de gráficos'!$CB$6:$CB$48</f>
            </numRef>
          </yVal>
        </ser>
        <ser>
          <idx val="2"/>
          <order val="2"/>
          <tx>
            <v>No convergió (n = 2)</v>
          </tx>
          <spPr>
            <a:ln>
              <a:noFill/>
              <a:prstDash val="solid"/>
            </a:ln>
          </spPr>
          <marker>
            <symbol val="x"/>
            <size val="7"/>
            <spPr>
              <a:noFill/>
              <a:ln>
                <a:solidFill>
                  <a:srgbClr val="C62828"/>
                </a:solidFill>
                <a:prstDash val="solid"/>
              </a:ln>
            </spPr>
          </marker>
          <xVal>
            <numRef>
              <f>'2 Datos de gráficos'!$CE$6:$CE$7</f>
            </numRef>
          </xVal>
          <yVal>
            <numRef>
              <f>'2 Datos de gráficos'!$CD$6:$CD$7</f>
            </numRef>
          </yVal>
        </ser>
        <axId val="10"/>
        <axId val="20"/>
      </scatterChart>
      <valAx>
        <axId val="10"/>
        <scaling>
          <orientation val="minMax"/>
          <max val="2000"/>
          <min val="25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20"/>
        <crosses val="min"/>
        <majorUnit val="250"/>
      </valAx>
      <valAx>
        <axId val="20"/>
        <scaling>
          <orientation val="minMax"/>
          <max val="0.7000000000000001"/>
          <min val="0.4"/>
        </scaling>
        <delete val="0"/>
        <axPos val="l"/>
        <majorGridlines/>
        <title>
          <tx>
            <rich>
              <a:bodyPr/>
              <a:p>
                <a:pPr>
                  <a:defRPr sz="900" b="0"/>
                </a:pPr>
                <a:r>
                  <a:rPr sz="900" b="0"/>
                  <a:t>Efectividad del generador de vapor, ε_HRVG [–]</a:t>
                </a:r>
              </a:p>
            </rich>
          </tx>
          <overlay val="0"/>
        </title>
        <majorTickMark val="none"/>
        <minorTickMark val="none"/>
        <tickLblPos val="low"/>
        <txPr>
          <a:bodyPr/>
          <a:p>
            <a:pPr>
              <a:defRPr sz="800" b="0"/>
            </a:pPr>
            <a:r>
              <a:t/>
            </a:r>
            <a:endParaRPr sz="800" b="0"/>
          </a:p>
        </txPr>
        <crossAx val="10"/>
        <crosses val="min"/>
        <majorUnit val="0.05"/>
      </valAx>
    </plotArea>
    <legend>
      <legendPos val="b"/>
      <overlay val="0"/>
      <txPr>
        <a:bodyPr/>
        <a:p>
          <a:pPr>
            <a:defRPr sz="800" b="0"/>
          </a:pPr>
          <a:r>
            <a:t/>
          </a:r>
          <a:endParaRPr sz="800" b="0"/>
        </a:p>
      </txPr>
    </legend>
    <plotVisOnly val="0"/>
    <dispBlanksAs val="gap"/>
  </chart>
</chartSpace>
</file>

<file path=xl/charts/chart25.xml><?xml version="1.0" encoding="utf-8"?>
<chartSpace xmlns:a="http://schemas.openxmlformats.org/drawingml/2006/main" xmlns="http://schemas.openxmlformats.org/drawingml/2006/chart">
  <style val="13"/>
  <chart>
    <title>
      <tx>
        <rich>
          <a:bodyPr/>
          <a:p>
            <a:pPr>
              <a:defRPr sz="1100" b="1"/>
            </a:pPr>
            <a:r>
              <a:rPr sz="1100" b="1"/>
              <a:t>Parte 2.3d: 1 KALINA con η y ε en [0.40, 0.95]</a:t>
            </a:r>
          </a:p>
        </rich>
      </tx>
      <overlay val="0"/>
    </title>
    <plotArea>
      <scatterChart>
        <varyColors val="0"/>
        <ser>
          <idx val="0"/>
          <order val="0"/>
          <tx>
            <v>KALINA (n = 1)</v>
          </tx>
          <spPr>
            <a:ln>
              <a:noFill/>
              <a:prstDash val="solid"/>
            </a:ln>
          </spPr>
          <marker>
            <symbol val="circle"/>
            <size val="6"/>
            <spPr>
              <a:solidFill>
                <a:srgbClr val="2E7D32"/>
              </a:solidFill>
              <a:ln>
                <a:solidFill>
                  <a:srgbClr val="2E7D32"/>
                </a:solidFill>
                <a:prstDash val="solid"/>
              </a:ln>
            </spPr>
          </marker>
          <xVal>
            <numRef>
              <f>'2 Datos de gráficos'!$CH$6</f>
            </numRef>
          </xVal>
          <yVal>
            <numRef>
              <f>'2 Datos de gráficos'!$CG$6</f>
            </numRef>
          </yVal>
        </ser>
        <ser>
          <idx val="1"/>
          <order val="1"/>
          <tx>
            <v>Corregible (n = 4)</v>
          </tx>
          <spPr>
            <a:ln>
              <a:noFill/>
              <a:prstDash val="solid"/>
            </a:ln>
          </spPr>
          <marker>
            <symbol val="triangle"/>
            <size val="6"/>
            <spPr>
              <a:solidFill>
                <a:srgbClr val="EF8A17"/>
              </a:solidFill>
              <a:ln>
                <a:solidFill>
                  <a:srgbClr val="EF8A17"/>
                </a:solidFill>
                <a:prstDash val="solid"/>
              </a:ln>
            </spPr>
          </marker>
          <xVal>
            <numRef>
              <f>'2 Datos de gráficos'!$CJ$6:$CJ$9</f>
            </numRef>
          </xVal>
          <yVal>
            <numRef>
              <f>'2 Datos de gráficos'!$CI$6:$CI$9</f>
            </numRef>
          </yVal>
        </ser>
        <ser>
          <idx val="2"/>
          <order val="2"/>
          <tx>
            <v>Corregible, fuera de rango (n = 14)</v>
          </tx>
          <spPr>
            <a:ln>
              <a:noFill/>
              <a:prstDash val="solid"/>
            </a:ln>
          </spPr>
          <marker>
            <symbol val="triangle"/>
            <size val="6"/>
            <spPr>
              <a:noFill/>
              <a:ln>
                <a:solidFill>
                  <a:srgbClr val="EF8A17"/>
                </a:solidFill>
                <a:prstDash val="solid"/>
              </a:ln>
            </spPr>
          </marker>
          <xVal>
            <numRef>
              <f>'2 Datos de gráficos'!$CL$6:$CL$19</f>
            </numRef>
          </xVal>
          <yVal>
            <numRef>
              <f>'2 Datos de gráficos'!$CK$6:$CK$19</f>
            </numRef>
          </yVal>
        </ser>
        <ser>
          <idx val="3"/>
          <order val="3"/>
          <tx>
            <v>Inviable (n = 1)</v>
          </tx>
          <spPr>
            <a:ln>
              <a:noFill/>
              <a:prstDash val="solid"/>
            </a:ln>
          </spPr>
          <marker>
            <symbol val="square"/>
            <size val="6"/>
            <spPr>
              <a:solidFill>
                <a:srgbClr val="C9A227"/>
              </a:solidFill>
              <a:ln>
                <a:solidFill>
                  <a:srgbClr val="C9A227"/>
                </a:solidFill>
                <a:prstDash val="solid"/>
              </a:ln>
            </spPr>
          </marker>
          <xVal>
            <numRef>
              <f>'2 Datos de gráficos'!$CN$6</f>
            </numRef>
          </xVal>
          <yVal>
            <numRef>
              <f>'2 Datos de gráficos'!$CM$6</f>
            </numRef>
          </yVal>
        </ser>
        <ser>
          <idx val="4"/>
          <order val="4"/>
          <tx>
            <v>No convergió (n = 1)</v>
          </tx>
          <spPr>
            <a:ln>
              <a:noFill/>
              <a:prstDash val="solid"/>
            </a:ln>
          </spPr>
          <marker>
            <symbol val="x"/>
            <size val="7"/>
            <spPr>
              <a:noFill/>
              <a:ln>
                <a:solidFill>
                  <a:srgbClr val="C62828"/>
                </a:solidFill>
                <a:prstDash val="solid"/>
              </a:ln>
            </spPr>
          </marker>
          <xVal>
            <numRef>
              <f>'2 Datos de gráficos'!$CP$6</f>
            </numRef>
          </xVal>
          <yVal>
            <numRef>
              <f>'2 Datos de gráficos'!$CO$6</f>
            </numRef>
          </yVal>
        </ser>
        <axId val="10"/>
        <axId val="20"/>
      </scatterChart>
      <valAx>
        <axId val="10"/>
        <scaling>
          <orientation val="minMax"/>
          <max val="0.96"/>
          <min val="0.84"/>
        </scaling>
        <delete val="0"/>
        <axPos val="l"/>
        <majorGridlines/>
        <title>
          <tx>
            <rich>
              <a:bodyPr/>
              <a:p>
                <a:pPr>
                  <a:defRPr sz="900" b="0"/>
                </a:pPr>
                <a:r>
                  <a:rPr sz="900" b="0"/>
                  <a:t>Efectividad del condensador, ε_cond [–]</a:t>
                </a:r>
              </a:p>
            </rich>
          </tx>
          <overlay val="0"/>
        </title>
        <majorTickMark val="none"/>
        <minorTickMark val="none"/>
        <tickLblPos val="low"/>
        <txPr>
          <a:bodyPr/>
          <a:p>
            <a:pPr>
              <a:defRPr sz="800" b="0"/>
            </a:pPr>
            <a:r>
              <a:t/>
            </a:r>
            <a:endParaRPr sz="800" b="0"/>
          </a:p>
        </txPr>
        <crossAx val="20"/>
        <crosses val="min"/>
        <majorUnit val="0.02"/>
      </valAx>
      <valAx>
        <axId val="20"/>
        <scaling>
          <orientation val="minMax"/>
          <max val="575"/>
          <min val="400"/>
        </scaling>
        <delete val="0"/>
        <axPos val="l"/>
        <majorGridlines/>
        <title>
          <tx>
            <rich>
              <a:bodyPr/>
              <a:p>
                <a:pPr>
                  <a:defRPr sz="900" b="0"/>
                </a:pPr>
                <a:r>
                  <a:rPr sz="900" b="0"/>
                  <a:t>Temperatura de la fuente, T_fuente [K]</a:t>
                </a:r>
              </a:p>
            </rich>
          </tx>
          <overlay val="0"/>
        </title>
        <majorTickMark val="none"/>
        <minorTickMark val="none"/>
        <tickLblPos val="low"/>
        <txPr>
          <a:bodyPr/>
          <a:p>
            <a:pPr>
              <a:defRPr sz="800" b="0"/>
            </a:pPr>
            <a:r>
              <a:t/>
            </a:r>
            <a:endParaRPr sz="800" b="0"/>
          </a:p>
        </txPr>
        <crossAx val="10"/>
        <crosses val="min"/>
        <majorUnit val="25"/>
      </valAx>
    </plotArea>
    <legend>
      <legendPos val="b"/>
      <overlay val="0"/>
      <txPr>
        <a:bodyPr/>
        <a:p>
          <a:pPr>
            <a:defRPr sz="800" b="0"/>
          </a:pPr>
          <a:r>
            <a:t/>
          </a:r>
          <a:endParaRPr sz="800" b="0"/>
        </a:p>
      </txPr>
    </legend>
    <plotVisOnly val="0"/>
    <dispBlanksAs val="gap"/>
  </chart>
</chartSpace>
</file>

<file path=xl/charts/chart26.xml><?xml version="1.0" encoding="utf-8"?>
<chartSpace xmlns:a="http://schemas.openxmlformats.org/drawingml/2006/main" xmlns="http://schemas.openxmlformats.org/drawingml/2006/chart">
  <style val="13"/>
  <chart>
    <title>
      <tx>
        <rich>
          <a:bodyPr/>
          <a:p>
            <a:pPr>
              <a:defRPr sz="1100" b="1"/>
            </a:pPr>
            <a:r>
              <a:rPr sz="1100" b="1"/>
              <a:t>P_baja mínima de KALINA según el clima</a:t>
            </a:r>
          </a:p>
        </rich>
      </tx>
      <overlay val="0"/>
    </title>
    <plotArea>
      <scatterChart>
        <varyColors val="0"/>
        <ser>
          <idx val="0"/>
          <order val="0"/>
          <tx>
            <v>2.4a · T_fuente = 403 K (A*)</v>
          </tx>
          <spPr>
            <a:ln w="22000">
              <a:solidFill>
                <a:srgbClr val="2E7D32"/>
              </a:solidFill>
              <a:prstDash val="solid"/>
            </a:ln>
          </spPr>
          <marker>
            <symbol val="circle"/>
            <size val="5"/>
            <spPr>
              <a:solidFill>
                <a:srgbClr val="2E7D32"/>
              </a:solidFill>
              <a:ln>
                <a:solidFill>
                  <a:srgbClr val="2E7D32"/>
                </a:solidFill>
                <a:prstDash val="solid"/>
              </a:ln>
            </spPr>
          </marker>
          <xVal>
            <numRef>
              <f>'2 Datos de gráficos'!$CS$6:$CS$10</f>
            </numRef>
          </xVal>
          <yVal>
            <numRef>
              <f>'2 Datos de gráficos'!$CR$6:$CR$10</f>
            </numRef>
          </yVal>
          <smooth val="0"/>
        </ser>
        <ser>
          <idx val="1"/>
          <order val="1"/>
          <tx>
            <v>2.4b · T_fuente = 420 K</v>
          </tx>
          <spPr>
            <a:ln w="22000">
              <a:solidFill>
                <a:srgbClr val="1565C0"/>
              </a:solidFill>
              <a:prstDash val="solid"/>
            </a:ln>
          </spPr>
          <marker>
            <symbol val="circle"/>
            <size val="5"/>
            <spPr>
              <a:solidFill>
                <a:srgbClr val="1565C0"/>
              </a:solidFill>
              <a:ln>
                <a:solidFill>
                  <a:srgbClr val="1565C0"/>
                </a:solidFill>
                <a:prstDash val="solid"/>
              </a:ln>
            </spPr>
          </marker>
          <xVal>
            <numRef>
              <f>'2 Datos de gráficos'!$CU$6:$CU$10</f>
            </numRef>
          </xVal>
          <yVal>
            <numRef>
              <f>'2 Datos de gráficos'!$CT$6:$CT$10</f>
            </numRef>
          </yVal>
          <smooth val="0"/>
        </ser>
        <ser>
          <idx val="2"/>
          <order val="2"/>
          <tx>
            <v>2.4c · ε_HRVG = 0.40 (fuente del profesor) · fuera de rango</v>
          </tx>
          <spPr>
            <a:ln w="22000">
              <a:solidFill>
                <a:srgbClr val="EF8A17"/>
              </a:solidFill>
              <a:prstDash val="solid"/>
            </a:ln>
          </spPr>
          <marker>
            <symbol val="circle"/>
            <size val="5"/>
            <spPr>
              <a:solidFill>
                <a:srgbClr val="EF8A17"/>
              </a:solidFill>
              <a:ln>
                <a:solidFill>
                  <a:srgbClr val="EF8A17"/>
                </a:solidFill>
                <a:prstDash val="solid"/>
              </a:ln>
            </spPr>
          </marker>
          <xVal>
            <numRef>
              <f>'2 Datos de gráficos'!$CW$6:$CW$10</f>
            </numRef>
          </xVal>
          <yVal>
            <numRef>
              <f>'2 Datos de gráficos'!$CV$6:$CV$10</f>
            </numRef>
          </yVal>
          <smooth val="0"/>
        </ser>
        <axId val="10"/>
        <axId val="20"/>
      </scatterChart>
      <valAx>
        <axId val="10"/>
        <scaling>
          <orientation val="minMax"/>
          <max val="305"/>
          <min val="275"/>
        </scaling>
        <delete val="0"/>
        <axPos val="l"/>
        <majorGridlines/>
        <title>
          <tx>
            <rich>
              <a:bodyPr/>
              <a:p>
                <a:pPr>
                  <a:defRPr sz="900" b="0"/>
                </a:pPr>
                <a:r>
                  <a:rPr sz="900" b="0"/>
                  <a:t>Temperatura del sumidero, T_sumidero [K]</a:t>
                </a:r>
              </a:p>
            </rich>
          </tx>
          <overlay val="0"/>
        </title>
        <majorTickMark val="none"/>
        <minorTickMark val="none"/>
        <tickLblPos val="low"/>
        <txPr>
          <a:bodyPr/>
          <a:p>
            <a:pPr>
              <a:defRPr sz="800" b="0"/>
            </a:pPr>
            <a:r>
              <a:t/>
            </a:r>
            <a:endParaRPr sz="800" b="0"/>
          </a:p>
        </txPr>
        <crossAx val="20"/>
        <crosses val="min"/>
        <majorUnit val="5"/>
      </valAx>
      <valAx>
        <axId val="20"/>
        <scaling>
          <orientation val="minMax"/>
          <max val="1400"/>
          <min val="200"/>
        </scaling>
        <delete val="0"/>
        <axPos val="l"/>
        <majorGridlines/>
        <title>
          <tx>
            <rich>
              <a:bodyPr/>
              <a:p>
                <a:pPr>
                  <a:defRPr sz="900" b="0"/>
                </a:pPr>
                <a:r>
                  <a:rPr sz="900" b="0"/>
                  <a:t>P_baja mínima de KALINA [kPa]</a:t>
                </a:r>
              </a:p>
            </rich>
          </tx>
          <overlay val="0"/>
        </title>
        <majorTickMark val="none"/>
        <minorTickMark val="none"/>
        <tickLblPos val="low"/>
        <txPr>
          <a:bodyPr/>
          <a:p>
            <a:pPr>
              <a:defRPr sz="800" b="0"/>
            </a:pPr>
            <a:r>
              <a:t/>
            </a:r>
            <a:endParaRPr sz="800" b="0"/>
          </a:p>
        </txPr>
        <crossAx val="10"/>
        <crosses val="min"/>
        <majorUnit val="200"/>
      </valAx>
    </plotArea>
    <legend>
      <legendPos val="b"/>
      <overlay val="0"/>
      <txPr>
        <a:bodyPr/>
        <a:p>
          <a:pPr>
            <a:defRPr sz="800" b="0"/>
          </a:pPr>
          <a:r>
            <a:t/>
          </a:r>
          <a:endParaRPr sz="800" b="0"/>
        </a:p>
      </txPr>
    </legend>
    <plotVisOnly val="0"/>
    <dispBlanksAs val="gap"/>
  </chart>
</chartSpace>
</file>

<file path=xl/charts/chart27.xml><?xml version="1.0" encoding="utf-8"?>
<chartSpace xmlns:a="http://schemas.openxmlformats.org/drawingml/2006/main" xmlns="http://schemas.openxmlformats.org/drawingml/2006/chart">
  <style val="13"/>
  <chart>
    <title>
      <tx>
        <rich>
          <a:bodyPr/>
          <a:p>
            <a:pPr>
              <a:defRPr sz="1100" b="1"/>
            </a:pPr>
            <a:r>
              <a:rPr sz="1100" b="1"/>
              <a:t>η máxima de KALINA según el clima</a:t>
            </a:r>
          </a:p>
        </rich>
      </tx>
      <overlay val="0"/>
    </title>
    <plotArea>
      <scatterChart>
        <varyColors val="0"/>
        <ser>
          <idx val="0"/>
          <order val="0"/>
          <tx>
            <v>2.4a · T_fuente = 403 K (A*)</v>
          </tx>
          <spPr>
            <a:ln w="22000">
              <a:solidFill>
                <a:srgbClr val="2E7D32"/>
              </a:solidFill>
              <a:prstDash val="solid"/>
            </a:ln>
          </spPr>
          <marker>
            <symbol val="circle"/>
            <size val="5"/>
            <spPr>
              <a:solidFill>
                <a:srgbClr val="2E7D32"/>
              </a:solidFill>
              <a:ln>
                <a:solidFill>
                  <a:srgbClr val="2E7D32"/>
                </a:solidFill>
                <a:prstDash val="solid"/>
              </a:ln>
            </spPr>
          </marker>
          <xVal>
            <numRef>
              <f>'2 Datos de gráficos'!$CY$6:$CY$10</f>
            </numRef>
          </xVal>
          <yVal>
            <numRef>
              <f>'2 Datos de gráficos'!$CX$6:$CX$10</f>
            </numRef>
          </yVal>
          <smooth val="0"/>
        </ser>
        <ser>
          <idx val="1"/>
          <order val="1"/>
          <tx>
            <v>2.4b · T_fuente = 420 K</v>
          </tx>
          <spPr>
            <a:ln w="22000">
              <a:solidFill>
                <a:srgbClr val="1565C0"/>
              </a:solidFill>
              <a:prstDash val="solid"/>
            </a:ln>
          </spPr>
          <marker>
            <symbol val="circle"/>
            <size val="5"/>
            <spPr>
              <a:solidFill>
                <a:srgbClr val="1565C0"/>
              </a:solidFill>
              <a:ln>
                <a:solidFill>
                  <a:srgbClr val="1565C0"/>
                </a:solidFill>
                <a:prstDash val="solid"/>
              </a:ln>
            </spPr>
          </marker>
          <xVal>
            <numRef>
              <f>'2 Datos de gráficos'!$DA$6:$DA$10</f>
            </numRef>
          </xVal>
          <yVal>
            <numRef>
              <f>'2 Datos de gráficos'!$CZ$6:$CZ$10</f>
            </numRef>
          </yVal>
          <smooth val="0"/>
        </ser>
        <ser>
          <idx val="2"/>
          <order val="2"/>
          <tx>
            <v>2.4c · ε_HRVG = 0.40 (fuente del profesor) · fuera de rango</v>
          </tx>
          <spPr>
            <a:ln w="22000">
              <a:solidFill>
                <a:srgbClr val="EF8A17"/>
              </a:solidFill>
              <a:prstDash val="solid"/>
            </a:ln>
          </spPr>
          <marker>
            <symbol val="circle"/>
            <size val="5"/>
            <spPr>
              <a:solidFill>
                <a:srgbClr val="EF8A17"/>
              </a:solidFill>
              <a:ln>
                <a:solidFill>
                  <a:srgbClr val="EF8A17"/>
                </a:solidFill>
                <a:prstDash val="solid"/>
              </a:ln>
            </spPr>
          </marker>
          <xVal>
            <numRef>
              <f>'2 Datos de gráficos'!$DC$6:$DC$10</f>
            </numRef>
          </xVal>
          <yVal>
            <numRef>
              <f>'2 Datos de gráficos'!$DB$6:$DB$10</f>
            </numRef>
          </yVal>
          <smooth val="0"/>
        </ser>
        <axId val="10"/>
        <axId val="20"/>
      </scatterChart>
      <valAx>
        <axId val="10"/>
        <scaling>
          <orientation val="minMax"/>
          <max val="305"/>
          <min val="275"/>
        </scaling>
        <delete val="0"/>
        <axPos val="l"/>
        <majorGridlines/>
        <title>
          <tx>
            <rich>
              <a:bodyPr/>
              <a:p>
                <a:pPr>
                  <a:defRPr sz="900" b="0"/>
                </a:pPr>
                <a:r>
                  <a:rPr sz="900" b="0"/>
                  <a:t>Temperatura del sumidero, T_sumidero [K]</a:t>
                </a:r>
              </a:p>
            </rich>
          </tx>
          <overlay val="0"/>
        </title>
        <majorTickMark val="none"/>
        <minorTickMark val="none"/>
        <tickLblPos val="low"/>
        <txPr>
          <a:bodyPr/>
          <a:p>
            <a:pPr>
              <a:defRPr sz="800" b="0"/>
            </a:pPr>
            <a:r>
              <a:t/>
            </a:r>
            <a:endParaRPr sz="800" b="0"/>
          </a:p>
        </txPr>
        <crossAx val="20"/>
        <crosses val="min"/>
        <majorUnit val="5"/>
      </valAx>
      <valAx>
        <axId val="20"/>
        <scaling>
          <orientation val="minMax"/>
          <max val="12"/>
          <min val="6"/>
        </scaling>
        <delete val="0"/>
        <axPos val="l"/>
        <majorGridlines/>
        <title>
          <tx>
            <rich>
              <a:bodyPr/>
              <a:p>
                <a:pPr>
                  <a:defRPr sz="900" b="0"/>
                </a:pPr>
                <a:r>
                  <a:rPr sz="900" b="0"/>
                  <a:t>η máxima de KALINA [%]</a:t>
                </a:r>
              </a:p>
            </rich>
          </tx>
          <overlay val="0"/>
        </title>
        <majorTickMark val="none"/>
        <minorTickMark val="none"/>
        <tickLblPos val="low"/>
        <txPr>
          <a:bodyPr/>
          <a:p>
            <a:pPr>
              <a:defRPr sz="800" b="0"/>
            </a:pPr>
            <a:r>
              <a:t/>
            </a:r>
            <a:endParaRPr sz="800" b="0"/>
          </a:p>
        </txPr>
        <crossAx val="10"/>
        <crosses val="min"/>
        <majorUnit val="1"/>
      </valAx>
    </plotArea>
    <legend>
      <legendPos val="b"/>
      <overlay val="0"/>
      <txPr>
        <a:bodyPr/>
        <a:p>
          <a:pPr>
            <a:defRPr sz="800" b="0"/>
          </a:pPr>
          <a:r>
            <a:t/>
          </a:r>
          <a:endParaRPr sz="800" b="0"/>
        </a:p>
      </txPr>
    </legend>
    <plotVisOnly val="0"/>
    <dispBlanksAs val="gap"/>
  </chart>
</chartSpace>
</file>

<file path=xl/charts/chart28.xml><?xml version="1.0" encoding="utf-8"?>
<chartSpace xmlns:a="http://schemas.openxmlformats.org/drawingml/2006/main" xmlns="http://schemas.openxmlformats.org/drawingml/2006/chart">
  <style val="13"/>
  <chart>
    <title>
      <tx>
        <rich>
          <a:bodyPr/>
          <a:p>
            <a:pPr>
              <a:defRPr sz="900" b="1"/>
            </a:pPr>
            <a:r>
              <a:rPr sz="900" b="1"/>
              <a:t>T_fuente</a:t>
            </a:r>
          </a:p>
        </rich>
      </tx>
      <overlay val="0"/>
    </title>
    <plotArea>
      <scatterChart>
        <varyColors val="0"/>
        <ser>
          <idx val="0"/>
          <order val="0"/>
          <tx>
            <v>Corregible (n = 1)</v>
          </tx>
          <spPr>
            <a:ln>
              <a:noFill/>
              <a:prstDash val="solid"/>
            </a:ln>
          </spPr>
          <marker>
            <symbol val="triangle"/>
            <size val="6"/>
            <spPr>
              <a:solidFill>
                <a:srgbClr val="EF8A17"/>
              </a:solidFill>
              <a:ln>
                <a:solidFill>
                  <a:srgbClr val="EF8A17"/>
                </a:solidFill>
                <a:prstDash val="solid"/>
              </a:ln>
            </spPr>
          </marker>
          <xVal>
            <numRef>
              <f>'2 Datos de gráficos'!$B$6</f>
            </numRef>
          </xVal>
          <yVal>
            <numRef>
              <f>'2 Datos de gráficos'!$A$6</f>
            </numRef>
          </yVal>
        </ser>
        <ser>
          <idx val="1"/>
          <order val="1"/>
          <tx>
            <v>Corregible, fuera de rango (n = 5)</v>
          </tx>
          <spPr>
            <a:ln>
              <a:noFill/>
              <a:prstDash val="solid"/>
            </a:ln>
          </spPr>
          <marker>
            <symbol val="triangle"/>
            <size val="6"/>
            <spPr>
              <a:noFill/>
              <a:ln>
                <a:solidFill>
                  <a:srgbClr val="EF8A17"/>
                </a:solidFill>
                <a:prstDash val="solid"/>
              </a:ln>
            </spPr>
          </marker>
          <xVal>
            <numRef>
              <f>'2 Datos de gráficos'!$D$6:$D$10</f>
            </numRef>
          </xVal>
          <yVal>
            <numRef>
              <f>'2 Datos de gráficos'!$C$6:$C$10</f>
            </numRef>
          </yVal>
        </ser>
        <ser>
          <idx val="2"/>
          <order val="2"/>
          <tx>
            <v>Inviable, fuera de rango (n = 1)</v>
          </tx>
          <spPr>
            <a:ln>
              <a:noFill/>
              <a:prstDash val="solid"/>
            </a:ln>
          </spPr>
          <marker>
            <symbol val="square"/>
            <size val="6"/>
            <spPr>
              <a:noFill/>
              <a:ln>
                <a:solidFill>
                  <a:srgbClr val="C9A227"/>
                </a:solidFill>
                <a:prstDash val="solid"/>
              </a:ln>
            </spPr>
          </marker>
          <xVal>
            <numRef>
              <f>'2 Datos de gráficos'!$F$6</f>
            </numRef>
          </xVal>
          <yVal>
            <numRef>
              <f>'2 Datos de gráficos'!$E$6</f>
            </numRef>
          </yVal>
        </ser>
        <ser>
          <idx val="3"/>
          <order val="3"/>
          <tx>
            <v>No convergió (n = 10)</v>
          </tx>
          <spPr>
            <a:ln>
              <a:noFill/>
              <a:prstDash val="solid"/>
            </a:ln>
          </spPr>
          <marker>
            <symbol val="x"/>
            <size val="7"/>
            <spPr>
              <a:noFill/>
              <a:ln>
                <a:solidFill>
                  <a:srgbClr val="C62828"/>
                </a:solidFill>
                <a:prstDash val="solid"/>
              </a:ln>
            </spPr>
          </marker>
          <xVal>
            <numRef>
              <f>'2 Datos de gráficos'!$H$6:$H$15</f>
            </numRef>
          </xVal>
          <yVal>
            <numRef>
              <f>'2 Datos de gráficos'!$G$6:$G$15</f>
            </numRef>
          </yVal>
        </ser>
        <ser>
          <idx val="4"/>
          <order val="4"/>
          <tx>
            <v>Falso convergido (n = 5)</v>
          </tx>
          <spPr>
            <a:ln>
              <a:noFill/>
              <a:prstDash val="solid"/>
            </a:ln>
          </spPr>
          <marker>
            <symbol val="x"/>
            <size val="7"/>
            <spPr>
              <a:noFill/>
              <a:ln>
                <a:solidFill>
                  <a:srgbClr val="9E9E9E"/>
                </a:solidFill>
                <a:prstDash val="solid"/>
              </a:ln>
            </spPr>
          </marker>
          <xVal>
            <numRef>
              <f>'2 Datos de gráficos'!$J$6:$J$10</f>
            </numRef>
          </xVal>
          <yVal>
            <numRef>
              <f>'2 Datos de gráficos'!$I$6:$I$10</f>
            </numRef>
          </yVal>
        </ser>
        <axId val="10"/>
        <axId val="20"/>
      </scatterChart>
      <valAx>
        <axId val="10"/>
        <scaling>
          <orientation val="minMax"/>
          <max val="650"/>
          <min val="300"/>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50"/>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29.xml><?xml version="1.0" encoding="utf-8"?>
<chartSpace xmlns:a="http://schemas.openxmlformats.org/drawingml/2006/main" xmlns="http://schemas.openxmlformats.org/drawingml/2006/chart">
  <style val="13"/>
  <chart>
    <title>
      <tx>
        <rich>
          <a:bodyPr/>
          <a:p>
            <a:pPr>
              <a:defRPr sz="900" b="1"/>
            </a:pPr>
            <a:r>
              <a:rPr sz="900" b="1"/>
              <a:t>T_sumidero</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gráficos'!$L$6:$L$15</f>
            </numRef>
          </xVal>
          <yVal>
            <numRef>
              <f>'2 Datos de gráficos'!$K$6:$K$15</f>
            </numRef>
          </yVal>
        </ser>
        <axId val="10"/>
        <axId val="20"/>
      </scatterChart>
      <valAx>
        <axId val="10"/>
        <scaling>
          <orientation val="minMax"/>
          <max val="305"/>
          <min val="280"/>
        </scaling>
        <delete val="0"/>
        <axPos val="l"/>
        <majorGridlines/>
        <title>
          <tx>
            <rich>
              <a:bodyPr/>
              <a:p>
                <a:pPr>
                  <a:defRPr sz="800" b="0"/>
                </a:pPr>
                <a:r>
                  <a:rPr sz="800" b="0"/>
                  <a:t>Temperatura del sumidero, T_sumidero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30.xml><?xml version="1.0" encoding="utf-8"?>
<chartSpace xmlns:a="http://schemas.openxmlformats.org/drawingml/2006/main" xmlns="http://schemas.openxmlformats.org/drawingml/2006/chart">
  <style val="13"/>
  <chart>
    <title>
      <tx>
        <rich>
          <a:bodyPr/>
          <a:p>
            <a:pPr>
              <a:defRPr sz="900" b="1"/>
            </a:pPr>
            <a:r>
              <a:rPr sz="900" b="1"/>
              <a:t>P_alta</a:t>
            </a:r>
          </a:p>
        </rich>
      </tx>
      <overlay val="0"/>
    </title>
    <plotArea>
      <scatterChart>
        <varyColors val="0"/>
        <ser>
          <idx val="0"/>
          <order val="0"/>
          <tx>
            <v>No convergió (n = 11)</v>
          </tx>
          <spPr>
            <a:ln>
              <a:noFill/>
              <a:prstDash val="solid"/>
            </a:ln>
          </spPr>
          <marker>
            <symbol val="x"/>
            <size val="7"/>
            <spPr>
              <a:noFill/>
              <a:ln>
                <a:solidFill>
                  <a:srgbClr val="C62828"/>
                </a:solidFill>
                <a:prstDash val="solid"/>
              </a:ln>
            </spPr>
          </marker>
          <xVal>
            <numRef>
              <f>'2 Datos de gráficos'!$N$6:$N$16</f>
            </numRef>
          </xVal>
          <yVal>
            <numRef>
              <f>'2 Datos de gráficos'!$M$6:$M$16</f>
            </numRef>
          </yVal>
        </ser>
        <ser>
          <idx val="1"/>
          <order val="1"/>
          <tx>
            <v>Falso convergido (n = 13)</v>
          </tx>
          <spPr>
            <a:ln>
              <a:noFill/>
              <a:prstDash val="solid"/>
            </a:ln>
          </spPr>
          <marker>
            <symbol val="x"/>
            <size val="7"/>
            <spPr>
              <a:noFill/>
              <a:ln>
                <a:solidFill>
                  <a:srgbClr val="9E9E9E"/>
                </a:solidFill>
                <a:prstDash val="solid"/>
              </a:ln>
            </spPr>
          </marker>
          <xVal>
            <numRef>
              <f>'2 Datos de gráficos'!$P$6:$P$18</f>
            </numRef>
          </xVal>
          <yVal>
            <numRef>
              <f>'2 Datos de gráficos'!$O$6:$O$18</f>
            </numRef>
          </yVal>
        </ser>
        <axId val="10"/>
        <axId val="20"/>
      </scatterChart>
      <valAx>
        <axId val="10"/>
        <scaling>
          <orientation val="minMax"/>
          <max val="10000"/>
          <min val="0"/>
        </scaling>
        <delete val="0"/>
        <axPos val="l"/>
        <majorGridlines/>
        <title>
          <tx>
            <rich>
              <a:bodyPr/>
              <a:p>
                <a:pPr>
                  <a:defRPr sz="800" b="0"/>
                </a:pPr>
                <a:r>
                  <a:rPr sz="800" b="0"/>
                  <a:t>Presión de alta, P_alta [kPa]</a:t>
                </a:r>
              </a:p>
            </rich>
          </tx>
          <overlay val="0"/>
        </title>
        <majorTickMark val="none"/>
        <minorTickMark val="none"/>
        <tickLblPos val="low"/>
        <txPr>
          <a:bodyPr/>
          <a:p>
            <a:pPr>
              <a:defRPr sz="700" b="0"/>
            </a:pPr>
            <a:r>
              <a:t/>
            </a:r>
            <a:endParaRPr sz="700" b="0"/>
          </a:p>
        </txPr>
        <crossAx val="20"/>
        <crosses val="min"/>
        <majorUnit val="2000"/>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31.xml><?xml version="1.0" encoding="utf-8"?>
<chartSpace xmlns:a="http://schemas.openxmlformats.org/drawingml/2006/main" xmlns="http://schemas.openxmlformats.org/drawingml/2006/chart">
  <style val="13"/>
  <chart>
    <title>
      <tx>
        <rich>
          <a:bodyPr/>
          <a:p>
            <a:pPr>
              <a:defRPr sz="900" b="1"/>
            </a:pPr>
            <a:r>
              <a:rPr sz="900" b="1"/>
              <a:t>P_baja</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gráficos'!$R$6:$R$15</f>
            </numRef>
          </xVal>
          <yVal>
            <numRef>
              <f>'2 Datos de gráficos'!$Q$6:$Q$15</f>
            </numRef>
          </yVal>
        </ser>
        <axId val="10"/>
        <axId val="20"/>
      </scatterChart>
      <valAx>
        <axId val="10"/>
        <scaling>
          <orientation val="minMax"/>
          <max val="1500"/>
          <min val="0"/>
        </scaling>
        <delete val="0"/>
        <axPos val="l"/>
        <majorGridlines/>
        <title>
          <tx>
            <rich>
              <a:bodyPr/>
              <a:p>
                <a:pPr>
                  <a:defRPr sz="800" b="0"/>
                </a:pPr>
                <a:r>
                  <a:rPr sz="800" b="0"/>
                  <a:t>Presión de baja, P_baja [kPa]</a:t>
                </a:r>
              </a:p>
            </rich>
          </tx>
          <overlay val="0"/>
        </title>
        <majorTickMark val="none"/>
        <minorTickMark val="none"/>
        <tickLblPos val="low"/>
        <txPr>
          <a:bodyPr/>
          <a:p>
            <a:pPr>
              <a:defRPr sz="700" b="0"/>
            </a:pPr>
            <a:r>
              <a:t/>
            </a:r>
            <a:endParaRPr sz="700" b="0"/>
          </a:p>
        </txPr>
        <crossAx val="20"/>
        <crosses val="min"/>
        <majorUnit val="250"/>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32.xml><?xml version="1.0" encoding="utf-8"?>
<chartSpace xmlns:a="http://schemas.openxmlformats.org/drawingml/2006/main" xmlns="http://schemas.openxmlformats.org/drawingml/2006/chart">
  <style val="13"/>
  <chart>
    <title>
      <tx>
        <rich>
          <a:bodyPr/>
          <a:p>
            <a:pPr>
              <a:defRPr sz="900" b="1"/>
            </a:pPr>
            <a:r>
              <a:rPr sz="900" b="1"/>
              <a:t>x_b</a:t>
            </a:r>
          </a:p>
        </rich>
      </tx>
      <overlay val="0"/>
    </title>
    <plotArea>
      <scatterChart>
        <varyColors val="0"/>
        <ser>
          <idx val="0"/>
          <order val="0"/>
          <tx>
            <v>Inviable, fuera de rango (n = 1)</v>
          </tx>
          <spPr>
            <a:ln>
              <a:noFill/>
              <a:prstDash val="solid"/>
            </a:ln>
          </spPr>
          <marker>
            <symbol val="square"/>
            <size val="6"/>
            <spPr>
              <a:noFill/>
              <a:ln>
                <a:solidFill>
                  <a:srgbClr val="C9A227"/>
                </a:solidFill>
                <a:prstDash val="solid"/>
              </a:ln>
            </spPr>
          </marker>
          <xVal>
            <numRef>
              <f>'2 Datos de gráficos'!$T$6</f>
            </numRef>
          </xVal>
          <yVal>
            <numRef>
              <f>'2 Datos de gráficos'!$S$6</f>
            </numRef>
          </yVal>
        </ser>
        <ser>
          <idx val="1"/>
          <order val="1"/>
          <tx>
            <v>No convergió (n = 12)</v>
          </tx>
          <spPr>
            <a:ln>
              <a:noFill/>
              <a:prstDash val="solid"/>
            </a:ln>
          </spPr>
          <marker>
            <symbol val="x"/>
            <size val="7"/>
            <spPr>
              <a:noFill/>
              <a:ln>
                <a:solidFill>
                  <a:srgbClr val="C62828"/>
                </a:solidFill>
                <a:prstDash val="solid"/>
              </a:ln>
            </spPr>
          </marker>
          <xVal>
            <numRef>
              <f>'2 Datos de gráficos'!$V$6:$V$17</f>
            </numRef>
          </xVal>
          <yVal>
            <numRef>
              <f>'2 Datos de gráficos'!$U$6:$U$17</f>
            </numRef>
          </yVal>
        </ser>
        <ser>
          <idx val="2"/>
          <order val="2"/>
          <tx>
            <v>Falso convergido (n = 1)</v>
          </tx>
          <spPr>
            <a:ln>
              <a:noFill/>
              <a:prstDash val="solid"/>
            </a:ln>
          </spPr>
          <marker>
            <symbol val="x"/>
            <size val="7"/>
            <spPr>
              <a:noFill/>
              <a:ln>
                <a:solidFill>
                  <a:srgbClr val="9E9E9E"/>
                </a:solidFill>
                <a:prstDash val="solid"/>
              </a:ln>
            </spPr>
          </marker>
          <xVal>
            <numRef>
              <f>'2 Datos de gráficos'!$X$6</f>
            </numRef>
          </xVal>
          <yVal>
            <numRef>
              <f>'2 Datos de gráficos'!$W$6</f>
            </numRef>
          </yVal>
        </ser>
        <axId val="10"/>
        <axId val="20"/>
      </scatterChart>
      <valAx>
        <axId val="10"/>
        <scaling>
          <orientation val="minMax"/>
          <max val="0.9"/>
          <min val="0.2"/>
        </scaling>
        <delete val="0"/>
        <axPos val="l"/>
        <majorGridlines/>
        <title>
          <tx>
            <rich>
              <a:bodyPr/>
              <a:p>
                <a:pPr>
                  <a:defRPr sz="800" b="0"/>
                </a:pPr>
                <a:r>
                  <a:rPr sz="800" b="0"/>
                  <a:t>Fracción de amoníaco de la mezcla base, x_b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33.xml><?xml version="1.0" encoding="utf-8"?>
<chartSpace xmlns:a="http://schemas.openxmlformats.org/drawingml/2006/main" xmlns="http://schemas.openxmlformats.org/drawingml/2006/chart">
  <style val="13"/>
  <chart>
    <title>
      <tx>
        <rich>
          <a:bodyPr/>
          <a:p>
            <a:pPr>
              <a:defRPr sz="900" b="1"/>
            </a:pPr>
            <a:r>
              <a:rPr sz="900" b="1"/>
              <a:t>η_t</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gráficos'!$Z$6:$Z$15</f>
            </numRef>
          </xVal>
          <yVal>
            <numRef>
              <f>'2 Datos de gráficos'!$Y$6:$Y$15</f>
            </numRef>
          </yVal>
        </ser>
        <axId val="10"/>
        <axId val="20"/>
      </scatterChart>
      <valAx>
        <axId val="10"/>
        <scaling>
          <orientation val="minMax"/>
          <max val="0.9"/>
          <min val="0.75"/>
        </scaling>
        <delete val="0"/>
        <axPos val="l"/>
        <majorGridlines/>
        <title>
          <tx>
            <rich>
              <a:bodyPr/>
              <a:p>
                <a:pPr>
                  <a:defRPr sz="800" b="0"/>
                </a:pPr>
                <a:r>
                  <a:rPr sz="800" b="0"/>
                  <a:t>Eficiencia isentrópica de la turbina, η_t [–]</a:t>
                </a:r>
              </a:p>
            </rich>
          </tx>
          <overlay val="0"/>
        </title>
        <majorTickMark val="none"/>
        <minorTickMark val="none"/>
        <tickLblPos val="low"/>
        <txPr>
          <a:bodyPr/>
          <a:p>
            <a:pPr>
              <a:defRPr sz="700" b="0"/>
            </a:pPr>
            <a:r>
              <a:t/>
            </a:r>
            <a:endParaRPr sz="700" b="0"/>
          </a:p>
        </txPr>
        <crossAx val="20"/>
        <crosses val="min"/>
        <majorUnit val="0.025"/>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34.xml><?xml version="1.0" encoding="utf-8"?>
<chartSpace xmlns:a="http://schemas.openxmlformats.org/drawingml/2006/main" xmlns="http://schemas.openxmlformats.org/drawingml/2006/chart">
  <style val="13"/>
  <chart>
    <title>
      <tx>
        <rich>
          <a:bodyPr/>
          <a:p>
            <a:pPr>
              <a:defRPr sz="900" b="1"/>
            </a:pPr>
            <a:r>
              <a:rPr sz="900" b="1"/>
              <a:t>η_p</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gráficos'!$AB$6:$AB$15</f>
            </numRef>
          </xVal>
          <yVal>
            <numRef>
              <f>'2 Datos de gráficos'!$AA$6:$AA$15</f>
            </numRef>
          </yVal>
        </ser>
        <axId val="10"/>
        <axId val="20"/>
      </scatterChart>
      <valAx>
        <axId val="10"/>
        <scaling>
          <orientation val="minMax"/>
          <max val="0.8500000000000001"/>
          <min val="0.65"/>
        </scaling>
        <delete val="0"/>
        <axPos val="l"/>
        <majorGridlines/>
        <title>
          <tx>
            <rich>
              <a:bodyPr/>
              <a:p>
                <a:pPr>
                  <a:defRPr sz="800" b="0"/>
                </a:pPr>
                <a:r>
                  <a:rPr sz="800" b="0"/>
                  <a:t>Eficiencia isentrópica de la bomba, η_p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35.xml><?xml version="1.0" encoding="utf-8"?>
<chartSpace xmlns:a="http://schemas.openxmlformats.org/drawingml/2006/main" xmlns="http://schemas.openxmlformats.org/drawingml/2006/chart">
  <style val="13"/>
  <chart>
    <title>
      <tx>
        <rich>
          <a:bodyPr/>
          <a:p>
            <a:pPr>
              <a:defRPr sz="900" b="1"/>
            </a:pPr>
            <a:r>
              <a:rPr sz="900" b="1"/>
              <a:t>ε_HRVG</a:t>
            </a:r>
          </a:p>
        </rich>
      </tx>
      <overlay val="0"/>
    </title>
    <plotArea>
      <scatterChart>
        <varyColors val="0"/>
        <ser>
          <idx val="0"/>
          <order val="0"/>
          <tx>
            <v>Corregible, fuera de rango (n = 7)</v>
          </tx>
          <spPr>
            <a:ln>
              <a:noFill/>
              <a:prstDash val="solid"/>
            </a:ln>
          </spPr>
          <marker>
            <symbol val="triangle"/>
            <size val="6"/>
            <spPr>
              <a:noFill/>
              <a:ln>
                <a:solidFill>
                  <a:srgbClr val="EF8A17"/>
                </a:solidFill>
                <a:prstDash val="solid"/>
              </a:ln>
            </spPr>
          </marker>
          <xVal>
            <numRef>
              <f>'2 Datos de gráficos'!$AD$6:$AD$12</f>
            </numRef>
          </xVal>
          <yVal>
            <numRef>
              <f>'2 Datos de gráficos'!$AC$6:$AC$12</f>
            </numRef>
          </yVal>
        </ser>
        <ser>
          <idx val="1"/>
          <order val="1"/>
          <tx>
            <v>No convergió (n = 3)</v>
          </tx>
          <spPr>
            <a:ln>
              <a:noFill/>
              <a:prstDash val="solid"/>
            </a:ln>
          </spPr>
          <marker>
            <symbol val="x"/>
            <size val="7"/>
            <spPr>
              <a:noFill/>
              <a:ln>
                <a:solidFill>
                  <a:srgbClr val="C62828"/>
                </a:solidFill>
                <a:prstDash val="solid"/>
              </a:ln>
            </spPr>
          </marker>
          <xVal>
            <numRef>
              <f>'2 Datos de gráficos'!$AF$6:$AF$8</f>
            </numRef>
          </xVal>
          <yVal>
            <numRef>
              <f>'2 Datos de gráficos'!$AE$6:$AE$8</f>
            </numRef>
          </yVal>
        </ser>
        <ser>
          <idx val="2"/>
          <order val="2"/>
          <tx>
            <v>Falso convergido (n = 2)</v>
          </tx>
          <spPr>
            <a:ln>
              <a:noFill/>
              <a:prstDash val="solid"/>
            </a:ln>
          </spPr>
          <marker>
            <symbol val="x"/>
            <size val="7"/>
            <spPr>
              <a:noFill/>
              <a:ln>
                <a:solidFill>
                  <a:srgbClr val="9E9E9E"/>
                </a:solidFill>
                <a:prstDash val="solid"/>
              </a:ln>
            </spPr>
          </marker>
          <xVal>
            <numRef>
              <f>'2 Datos de gráficos'!$AH$6:$AH$7</f>
            </numRef>
          </xVal>
          <yVal>
            <numRef>
              <f>'2 Datos de gráficos'!$AG$6:$AG$7</f>
            </numRef>
          </yVal>
        </ser>
        <axId val="10"/>
        <axId val="20"/>
      </scatterChart>
      <valAx>
        <axId val="10"/>
        <scaling>
          <orientation val="minMax"/>
          <max val="0.86"/>
          <min val="0.74"/>
        </scaling>
        <delete val="0"/>
        <axPos val="l"/>
        <majorGridlines/>
        <title>
          <tx>
            <rich>
              <a:bodyPr/>
              <a:p>
                <a:pPr>
                  <a:defRPr sz="800" b="0"/>
                </a:pPr>
                <a:r>
                  <a:rPr sz="800" b="0"/>
                  <a:t>Efectividad del generador de vapor, ε_HRVG [–]</a:t>
                </a:r>
              </a:p>
            </rich>
          </tx>
          <overlay val="0"/>
        </title>
        <majorTickMark val="none"/>
        <minorTickMark val="none"/>
        <tickLblPos val="low"/>
        <txPr>
          <a:bodyPr/>
          <a:p>
            <a:pPr>
              <a:defRPr sz="700" b="0"/>
            </a:pPr>
            <a:r>
              <a:t/>
            </a:r>
            <a:endParaRPr sz="700" b="0"/>
          </a:p>
        </txPr>
        <crossAx val="20"/>
        <crosses val="min"/>
        <majorUnit val="0.02"/>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36.xml><?xml version="1.0" encoding="utf-8"?>
<chartSpace xmlns:a="http://schemas.openxmlformats.org/drawingml/2006/main" xmlns="http://schemas.openxmlformats.org/drawingml/2006/chart">
  <style val="13"/>
  <chart>
    <title>
      <tx>
        <rich>
          <a:bodyPr/>
          <a:p>
            <a:pPr>
              <a:defRPr sz="900" b="1"/>
            </a:pPr>
            <a:r>
              <a:rPr sz="900" b="1"/>
              <a:t>ε_reg</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gráficos'!$AJ$6:$AJ$15</f>
            </numRef>
          </xVal>
          <yVal>
            <numRef>
              <f>'2 Datos de gráficos'!$AI$6:$AI$15</f>
            </numRef>
          </yVal>
        </ser>
        <axId val="10"/>
        <axId val="20"/>
      </scatterChart>
      <valAx>
        <axId val="10"/>
        <scaling>
          <orientation val="minMax"/>
          <max val="0.86"/>
          <min val="0.74"/>
        </scaling>
        <delete val="0"/>
        <axPos val="l"/>
        <majorGridlines/>
        <title>
          <tx>
            <rich>
              <a:bodyPr/>
              <a:p>
                <a:pPr>
                  <a:defRPr sz="800" b="0"/>
                </a:pPr>
                <a:r>
                  <a:rPr sz="800" b="0"/>
                  <a:t>Efectividad del regenerador, ε_reg [–]</a:t>
                </a:r>
              </a:p>
            </rich>
          </tx>
          <overlay val="0"/>
        </title>
        <majorTickMark val="none"/>
        <minorTickMark val="none"/>
        <tickLblPos val="low"/>
        <txPr>
          <a:bodyPr/>
          <a:p>
            <a:pPr>
              <a:defRPr sz="700" b="0"/>
            </a:pPr>
            <a:r>
              <a:t/>
            </a:r>
            <a:endParaRPr sz="700" b="0"/>
          </a:p>
        </txPr>
        <crossAx val="20"/>
        <crosses val="min"/>
        <majorUnit val="0.02"/>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37.xml><?xml version="1.0" encoding="utf-8"?>
<chartSpace xmlns:a="http://schemas.openxmlformats.org/drawingml/2006/main" xmlns="http://schemas.openxmlformats.org/drawingml/2006/chart">
  <style val="13"/>
  <chart>
    <title>
      <tx>
        <rich>
          <a:bodyPr/>
          <a:p>
            <a:pPr>
              <a:defRPr sz="900" b="1"/>
            </a:pPr>
            <a:r>
              <a:rPr sz="900" b="1"/>
              <a:t>ε_cond</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gráficos'!$AL$6:$AL$15</f>
            </numRef>
          </xVal>
          <yVal>
            <numRef>
              <f>'2 Datos de gráficos'!$AK$6:$AK$15</f>
            </numRef>
          </yVal>
        </ser>
        <axId val="10"/>
        <axId val="20"/>
      </scatterChart>
      <valAx>
        <axId val="10"/>
        <scaling>
          <orientation val="minMax"/>
          <max val="0.86"/>
          <min val="0.7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20"/>
        <crosses val="min"/>
        <majorUnit val="0.02"/>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38.xml><?xml version="1.0" encoding="utf-8"?>
<chartSpace xmlns:a="http://schemas.openxmlformats.org/drawingml/2006/main" xmlns="http://schemas.openxmlformats.org/drawingml/2006/chart">
  <style val="13"/>
  <chart>
    <title>
      <tx>
        <rich>
          <a:bodyPr/>
          <a:p>
            <a:pPr>
              <a:defRPr sz="1100" b="1"/>
            </a:pPr>
            <a:r>
              <a:rPr sz="1100" b="1"/>
              <a:t>Ruta A: conservando la fuente del profesor (623 K), 0 KALINA</a:t>
            </a:r>
          </a:p>
        </rich>
      </tx>
      <overlay val="0"/>
    </title>
    <plotArea>
      <scatterChart>
        <varyColors val="0"/>
        <ser>
          <idx val="0"/>
          <order val="0"/>
          <tx>
            <v>Corregible, fuera de rango (n = 36)</v>
          </tx>
          <spPr>
            <a:ln>
              <a:noFill/>
              <a:prstDash val="solid"/>
            </a:ln>
          </spPr>
          <marker>
            <symbol val="triangle"/>
            <size val="6"/>
            <spPr>
              <a:noFill/>
              <a:ln>
                <a:solidFill>
                  <a:srgbClr val="EF8A17"/>
                </a:solidFill>
                <a:prstDash val="solid"/>
              </a:ln>
            </spPr>
          </marker>
          <xVal>
            <numRef>
              <f>'2 Datos de gráficos'!$AO$6:$AO$41</f>
            </numRef>
          </xVal>
          <yVal>
            <numRef>
              <f>'2 Datos de gráficos'!$AN$6:$AN$41</f>
            </numRef>
          </yVal>
        </ser>
        <axId val="10"/>
        <axId val="20"/>
      </scatterChart>
      <valAx>
        <axId val="10"/>
        <scaling>
          <orientation val="minMax"/>
          <max val="2000"/>
          <min val="25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20"/>
        <crosses val="min"/>
        <majorUnit val="250"/>
      </valAx>
      <valAx>
        <axId val="20"/>
        <scaling>
          <orientation val="minMax"/>
          <max val="0.8100000000000001"/>
          <min val="0.75"/>
        </scaling>
        <delete val="0"/>
        <axPos val="l"/>
        <majorGridlines/>
        <title>
          <tx>
            <rich>
              <a:bodyPr/>
              <a:p>
                <a:pPr>
                  <a:defRPr sz="900" b="0"/>
                </a:pPr>
                <a:r>
                  <a:rPr sz="900" b="0"/>
                  <a:t>Efectividad del generador de vapor, ε_HRVG [–]</a:t>
                </a:r>
              </a:p>
            </rich>
          </tx>
          <overlay val="0"/>
        </title>
        <majorTickMark val="none"/>
        <minorTickMark val="none"/>
        <tickLblPos val="low"/>
        <txPr>
          <a:bodyPr/>
          <a:p>
            <a:pPr>
              <a:defRPr sz="800" b="0"/>
            </a:pPr>
            <a:r>
              <a:t/>
            </a:r>
            <a:endParaRPr sz="800" b="0"/>
          </a:p>
        </txPr>
        <crossAx val="10"/>
        <crosses val="min"/>
        <majorUnit val="0.01"/>
      </valAx>
    </plotArea>
    <legend>
      <legendPos val="b"/>
      <overlay val="0"/>
      <txPr>
        <a:bodyPr/>
        <a:p>
          <a:pPr>
            <a:defRPr sz="800" b="0"/>
          </a:pPr>
          <a:r>
            <a:t/>
          </a:r>
          <a:endParaRPr sz="800" b="0"/>
        </a:p>
      </txPr>
    </legend>
    <plotVisOnly val="0"/>
    <dispBlanksAs val="gap"/>
  </chart>
</chartSpace>
</file>

<file path=xl/charts/chart39.xml><?xml version="1.0" encoding="utf-8"?>
<chartSpace xmlns:a="http://schemas.openxmlformats.org/drawingml/2006/main" xmlns="http://schemas.openxmlformats.org/drawingml/2006/chart">
  <style val="13"/>
  <chart>
    <title>
      <tx>
        <rich>
          <a:bodyPr/>
          <a:p>
            <a:pPr>
              <a:defRPr sz="1100" b="1"/>
            </a:pPr>
            <a:r>
              <a:rPr sz="1100" b="1"/>
              <a:t>Ruta B: KALINA con T_fuente entre 390 y 434 K</a:t>
            </a:r>
          </a:p>
        </rich>
      </tx>
      <overlay val="0"/>
    </title>
    <plotArea>
      <scatterChart>
        <varyColors val="0"/>
        <ser>
          <idx val="0"/>
          <order val="0"/>
          <tx>
            <v>KALINA (n = 48)</v>
          </tx>
          <spPr>
            <a:ln>
              <a:noFill/>
              <a:prstDash val="solid"/>
            </a:ln>
          </spPr>
          <marker>
            <symbol val="circle"/>
            <size val="6"/>
            <spPr>
              <a:solidFill>
                <a:srgbClr val="2E7D32"/>
              </a:solidFill>
              <a:ln>
                <a:solidFill>
                  <a:srgbClr val="2E7D32"/>
                </a:solidFill>
                <a:prstDash val="solid"/>
              </a:ln>
            </spPr>
          </marker>
          <xVal>
            <numRef>
              <f>'2 Datos de gráficos'!$AR$6:$AR$53</f>
            </numRef>
          </xVal>
          <yVal>
            <numRef>
              <f>'2 Datos de gráficos'!$AQ$6:$AQ$53</f>
            </numRef>
          </yVal>
        </ser>
        <ser>
          <idx val="1"/>
          <order val="1"/>
          <tx>
            <v>KALINA, fuera de rango (n = 11)</v>
          </tx>
          <spPr>
            <a:ln>
              <a:noFill/>
              <a:prstDash val="solid"/>
            </a:ln>
          </spPr>
          <marker>
            <symbol val="circle"/>
            <size val="6"/>
            <spPr>
              <a:noFill/>
              <a:ln>
                <a:solidFill>
                  <a:srgbClr val="2E7D32"/>
                </a:solidFill>
                <a:prstDash val="solid"/>
              </a:ln>
            </spPr>
          </marker>
          <xVal>
            <numRef>
              <f>'2 Datos de gráficos'!$AT$6:$AT$16</f>
            </numRef>
          </xVal>
          <yVal>
            <numRef>
              <f>'2 Datos de gráficos'!$AS$6:$AS$16</f>
            </numRef>
          </yVal>
        </ser>
        <ser>
          <idx val="2"/>
          <order val="2"/>
          <tx>
            <v>Corregible (n = 12)</v>
          </tx>
          <spPr>
            <a:ln>
              <a:noFill/>
              <a:prstDash val="solid"/>
            </a:ln>
          </spPr>
          <marker>
            <symbol val="triangle"/>
            <size val="6"/>
            <spPr>
              <a:solidFill>
                <a:srgbClr val="EF8A17"/>
              </a:solidFill>
              <a:ln>
                <a:solidFill>
                  <a:srgbClr val="EF8A17"/>
                </a:solidFill>
                <a:prstDash val="solid"/>
              </a:ln>
            </spPr>
          </marker>
          <xVal>
            <numRef>
              <f>'2 Datos de gráficos'!$AV$6:$AV$17</f>
            </numRef>
          </xVal>
          <yVal>
            <numRef>
              <f>'2 Datos de gráficos'!$AU$6:$AU$17</f>
            </numRef>
          </yVal>
        </ser>
        <ser>
          <idx val="3"/>
          <order val="3"/>
          <tx>
            <v>Corregible, fuera de rango (n = 58)</v>
          </tx>
          <spPr>
            <a:ln>
              <a:noFill/>
              <a:prstDash val="solid"/>
            </a:ln>
          </spPr>
          <marker>
            <symbol val="triangle"/>
            <size val="6"/>
            <spPr>
              <a:noFill/>
              <a:ln>
                <a:solidFill>
                  <a:srgbClr val="EF8A17"/>
                </a:solidFill>
                <a:prstDash val="solid"/>
              </a:ln>
            </spPr>
          </marker>
          <xVal>
            <numRef>
              <f>'2 Datos de gráficos'!$AX$6:$AX$63</f>
            </numRef>
          </xVal>
          <yVal>
            <numRef>
              <f>'2 Datos de gráficos'!$AW$6:$AW$63</f>
            </numRef>
          </yVal>
        </ser>
        <ser>
          <idx val="4"/>
          <order val="4"/>
          <tx>
            <v>No convergió (n = 3)</v>
          </tx>
          <spPr>
            <a:ln>
              <a:noFill/>
              <a:prstDash val="solid"/>
            </a:ln>
          </spPr>
          <marker>
            <symbol val="x"/>
            <size val="7"/>
            <spPr>
              <a:noFill/>
              <a:ln>
                <a:solidFill>
                  <a:srgbClr val="C62828"/>
                </a:solidFill>
                <a:prstDash val="solid"/>
              </a:ln>
            </spPr>
          </marker>
          <xVal>
            <numRef>
              <f>'2 Datos de gráficos'!$AZ$6:$AZ$8</f>
            </numRef>
          </xVal>
          <yVal>
            <numRef>
              <f>'2 Datos de gráficos'!$AY$6:$AY$8</f>
            </numRef>
          </yVal>
        </ser>
        <ser>
          <idx val="5"/>
          <order val="5"/>
          <tx>
            <v>Falso convergido (n = 12)</v>
          </tx>
          <spPr>
            <a:ln>
              <a:noFill/>
              <a:prstDash val="solid"/>
            </a:ln>
          </spPr>
          <marker>
            <symbol val="x"/>
            <size val="7"/>
            <spPr>
              <a:noFill/>
              <a:ln>
                <a:solidFill>
                  <a:srgbClr val="9E9E9E"/>
                </a:solidFill>
                <a:prstDash val="solid"/>
              </a:ln>
            </spPr>
          </marker>
          <xVal>
            <numRef>
              <f>'2 Datos de gráficos'!$BB$6:$BB$17</f>
            </numRef>
          </xVal>
          <yVal>
            <numRef>
              <f>'2 Datos de gráficos'!$BA$6:$BA$17</f>
            </numRef>
          </yVal>
        </ser>
        <axId val="10"/>
        <axId val="20"/>
      </scatterChart>
      <valAx>
        <axId val="10"/>
        <scaling>
          <orientation val="minMax"/>
          <max val="2000"/>
          <min val="25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20"/>
        <crosses val="min"/>
        <majorUnit val="250"/>
      </valAx>
      <valAx>
        <axId val="20"/>
        <scaling>
          <orientation val="minMax"/>
          <max val="600"/>
          <min val="350"/>
        </scaling>
        <delete val="0"/>
        <axPos val="l"/>
        <majorGridlines/>
        <title>
          <tx>
            <rich>
              <a:bodyPr/>
              <a:p>
                <a:pPr>
                  <a:defRPr sz="900" b="0"/>
                </a:pPr>
                <a:r>
                  <a:rPr sz="900" b="0"/>
                  <a:t>Temperatura de la fuente, T_fuente [K]</a:t>
                </a:r>
              </a:p>
            </rich>
          </tx>
          <overlay val="0"/>
        </title>
        <majorTickMark val="none"/>
        <minorTickMark val="none"/>
        <tickLblPos val="low"/>
        <txPr>
          <a:bodyPr/>
          <a:p>
            <a:pPr>
              <a:defRPr sz="800" b="0"/>
            </a:pPr>
            <a:r>
              <a:t/>
            </a:r>
            <a:endParaRPr sz="800" b="0"/>
          </a:p>
        </txPr>
        <crossAx val="10"/>
        <crosses val="min"/>
        <majorUnit val="50"/>
      </valAx>
    </plotArea>
    <legend>
      <legendPos val="b"/>
      <overlay val="0"/>
      <txPr>
        <a:bodyPr/>
        <a:p>
          <a:pPr>
            <a:defRPr sz="800" b="0"/>
          </a:pPr>
          <a:r>
            <a:t/>
          </a:r>
          <a:endParaRPr sz="800" b="0"/>
        </a:p>
      </txPr>
    </legend>
    <plotVisOnly val="0"/>
    <dispBlanksAs val="gap"/>
  </chart>
</chartSpace>
</file>

<file path=xl/charts/chart40.xml><?xml version="1.0" encoding="utf-8"?>
<chartSpace xmlns:a="http://schemas.openxmlformats.org/drawingml/2006/main" xmlns="http://schemas.openxmlformats.org/drawingml/2006/chart">
  <style val="13"/>
  <chart>
    <title>
      <tx>
        <rich>
          <a:bodyPr/>
          <a:p>
            <a:pPr>
              <a:defRPr sz="900" b="1"/>
            </a:pPr>
            <a:r>
              <a:rPr sz="900" b="1"/>
              <a:t>η_t</a:t>
            </a:r>
          </a:p>
        </rich>
      </tx>
      <overlay val="0"/>
    </title>
    <plotArea>
      <scatterChart>
        <varyColors val="0"/>
        <ser>
          <idx val="0"/>
          <order val="0"/>
          <tx>
            <v>No convergió (n = 12)</v>
          </tx>
          <spPr>
            <a:ln>
              <a:noFill/>
              <a:prstDash val="solid"/>
            </a:ln>
          </spPr>
          <marker>
            <symbol val="x"/>
            <size val="7"/>
            <spPr>
              <a:noFill/>
              <a:ln>
                <a:solidFill>
                  <a:srgbClr val="C62828"/>
                </a:solidFill>
                <a:prstDash val="solid"/>
              </a:ln>
            </spPr>
          </marker>
          <xVal>
            <numRef>
              <f>'2 Datos de gráficos'!$BE$6:$BE$17</f>
            </numRef>
          </xVal>
          <yVal>
            <numRef>
              <f>'2 Datos de gráficos'!$BD$6:$BD$17</f>
            </numRef>
          </yVal>
        </ser>
        <axId val="10"/>
        <axId val="20"/>
      </scatterChart>
      <valAx>
        <axId val="10"/>
        <scaling>
          <orientation val="minMax"/>
          <max val="1"/>
          <min val="0.4"/>
        </scaling>
        <delete val="0"/>
        <axPos val="l"/>
        <majorGridlines/>
        <title>
          <tx>
            <rich>
              <a:bodyPr/>
              <a:p>
                <a:pPr>
                  <a:defRPr sz="800" b="0"/>
                </a:pPr>
                <a:r>
                  <a:rPr sz="800" b="0"/>
                  <a:t>Eficiencia isentrópica de la turbina, η_t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41.xml><?xml version="1.0" encoding="utf-8"?>
<chartSpace xmlns:a="http://schemas.openxmlformats.org/drawingml/2006/main" xmlns="http://schemas.openxmlformats.org/drawingml/2006/chart">
  <style val="13"/>
  <chart>
    <title>
      <tx>
        <rich>
          <a:bodyPr/>
          <a:p>
            <a:pPr>
              <a:defRPr sz="900" b="1"/>
            </a:pPr>
            <a:r>
              <a:rPr sz="900" b="1"/>
              <a:t>η_p</a:t>
            </a:r>
          </a:p>
        </rich>
      </tx>
      <overlay val="0"/>
    </title>
    <plotArea>
      <scatterChart>
        <varyColors val="0"/>
        <ser>
          <idx val="0"/>
          <order val="0"/>
          <tx>
            <v>No convergió (n = 12)</v>
          </tx>
          <spPr>
            <a:ln>
              <a:noFill/>
              <a:prstDash val="solid"/>
            </a:ln>
          </spPr>
          <marker>
            <symbol val="x"/>
            <size val="7"/>
            <spPr>
              <a:noFill/>
              <a:ln>
                <a:solidFill>
                  <a:srgbClr val="C62828"/>
                </a:solidFill>
                <a:prstDash val="solid"/>
              </a:ln>
            </spPr>
          </marker>
          <xVal>
            <numRef>
              <f>'2 Datos de gráficos'!$BG$6:$BG$17</f>
            </numRef>
          </xVal>
          <yVal>
            <numRef>
              <f>'2 Datos de gráficos'!$BF$6:$BF$17</f>
            </numRef>
          </yVal>
        </ser>
        <axId val="10"/>
        <axId val="20"/>
      </scatterChart>
      <valAx>
        <axId val="10"/>
        <scaling>
          <orientation val="minMax"/>
          <max val="1"/>
          <min val="0.4"/>
        </scaling>
        <delete val="0"/>
        <axPos val="l"/>
        <majorGridlines/>
        <title>
          <tx>
            <rich>
              <a:bodyPr/>
              <a:p>
                <a:pPr>
                  <a:defRPr sz="800" b="0"/>
                </a:pPr>
                <a:r>
                  <a:rPr sz="800" b="0"/>
                  <a:t>Eficiencia isentrópica de la bomba, η_p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42.xml><?xml version="1.0" encoding="utf-8"?>
<chartSpace xmlns:a="http://schemas.openxmlformats.org/drawingml/2006/main" xmlns="http://schemas.openxmlformats.org/drawingml/2006/chart">
  <style val="13"/>
  <chart>
    <title>
      <tx>
        <rich>
          <a:bodyPr/>
          <a:p>
            <a:pPr>
              <a:defRPr sz="900" b="1"/>
            </a:pPr>
            <a:r>
              <a:rPr sz="900" b="1"/>
              <a:t>ε_HRVG</a:t>
            </a:r>
          </a:p>
        </rich>
      </tx>
      <overlay val="0"/>
    </title>
    <plotArea>
      <scatterChart>
        <varyColors val="0"/>
        <ser>
          <idx val="0"/>
          <order val="0"/>
          <tx>
            <v>Corregible, fuera de rango (n = 24)</v>
          </tx>
          <spPr>
            <a:ln>
              <a:noFill/>
              <a:prstDash val="solid"/>
            </a:ln>
          </spPr>
          <marker>
            <symbol val="triangle"/>
            <size val="6"/>
            <spPr>
              <a:noFill/>
              <a:ln>
                <a:solidFill>
                  <a:srgbClr val="EF8A17"/>
                </a:solidFill>
                <a:prstDash val="solid"/>
              </a:ln>
            </spPr>
          </marker>
          <xVal>
            <numRef>
              <f>'2 Datos de gráficos'!$BI$6:$BI$29</f>
            </numRef>
          </xVal>
          <yVal>
            <numRef>
              <f>'2 Datos de gráficos'!$BH$6:$BH$29</f>
            </numRef>
          </yVal>
        </ser>
        <ser>
          <idx val="1"/>
          <order val="1"/>
          <tx>
            <v>No convergió (n = 6)</v>
          </tx>
          <spPr>
            <a:ln>
              <a:noFill/>
              <a:prstDash val="solid"/>
            </a:ln>
          </spPr>
          <marker>
            <symbol val="x"/>
            <size val="7"/>
            <spPr>
              <a:noFill/>
              <a:ln>
                <a:solidFill>
                  <a:srgbClr val="C62828"/>
                </a:solidFill>
                <a:prstDash val="solid"/>
              </a:ln>
            </spPr>
          </marker>
          <xVal>
            <numRef>
              <f>'2 Datos de gráficos'!$BK$6:$BK$11</f>
            </numRef>
          </xVal>
          <yVal>
            <numRef>
              <f>'2 Datos de gráficos'!$BJ$6:$BJ$11</f>
            </numRef>
          </yVal>
        </ser>
        <ser>
          <idx val="2"/>
          <order val="2"/>
          <tx>
            <v>Falso convergido (n = 2)</v>
          </tx>
          <spPr>
            <a:ln>
              <a:noFill/>
              <a:prstDash val="solid"/>
            </a:ln>
          </spPr>
          <marker>
            <symbol val="x"/>
            <size val="7"/>
            <spPr>
              <a:noFill/>
              <a:ln>
                <a:solidFill>
                  <a:srgbClr val="9E9E9E"/>
                </a:solidFill>
                <a:prstDash val="solid"/>
              </a:ln>
            </spPr>
          </marker>
          <xVal>
            <numRef>
              <f>'2 Datos de gráficos'!$BM$6:$BM$7</f>
            </numRef>
          </xVal>
          <yVal>
            <numRef>
              <f>'2 Datos de gráficos'!$BL$6:$BL$7</f>
            </numRef>
          </yVal>
        </ser>
        <axId val="10"/>
        <axId val="20"/>
      </scatterChart>
      <valAx>
        <axId val="10"/>
        <scaling>
          <orientation val="minMax"/>
          <max val="1"/>
          <min val="0.4"/>
        </scaling>
        <delete val="0"/>
        <axPos val="l"/>
        <majorGridlines/>
        <title>
          <tx>
            <rich>
              <a:bodyPr/>
              <a:p>
                <a:pPr>
                  <a:defRPr sz="800" b="0"/>
                </a:pPr>
                <a:r>
                  <a:rPr sz="800" b="0"/>
                  <a:t>Efectividad del generador de vapor, ε_HRVG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43.xml><?xml version="1.0" encoding="utf-8"?>
<chartSpace xmlns:a="http://schemas.openxmlformats.org/drawingml/2006/main" xmlns="http://schemas.openxmlformats.org/drawingml/2006/chart">
  <style val="13"/>
  <chart>
    <title>
      <tx>
        <rich>
          <a:bodyPr/>
          <a:p>
            <a:pPr>
              <a:defRPr sz="900" b="1"/>
            </a:pPr>
            <a:r>
              <a:rPr sz="900" b="1"/>
              <a:t>ε_reg</a:t>
            </a:r>
          </a:p>
        </rich>
      </tx>
      <overlay val="0"/>
    </title>
    <plotArea>
      <scatterChart>
        <varyColors val="0"/>
        <ser>
          <idx val="0"/>
          <order val="0"/>
          <tx>
            <v>No convergió (n = 12)</v>
          </tx>
          <spPr>
            <a:ln>
              <a:noFill/>
              <a:prstDash val="solid"/>
            </a:ln>
          </spPr>
          <marker>
            <symbol val="x"/>
            <size val="7"/>
            <spPr>
              <a:noFill/>
              <a:ln>
                <a:solidFill>
                  <a:srgbClr val="C62828"/>
                </a:solidFill>
                <a:prstDash val="solid"/>
              </a:ln>
            </spPr>
          </marker>
          <xVal>
            <numRef>
              <f>'2 Datos de gráficos'!$BO$6:$BO$17</f>
            </numRef>
          </xVal>
          <yVal>
            <numRef>
              <f>'2 Datos de gráficos'!$BN$6:$BN$17</f>
            </numRef>
          </yVal>
        </ser>
        <axId val="10"/>
        <axId val="20"/>
      </scatterChart>
      <valAx>
        <axId val="10"/>
        <scaling>
          <orientation val="minMax"/>
          <max val="1"/>
          <min val="0.4"/>
        </scaling>
        <delete val="0"/>
        <axPos val="l"/>
        <majorGridlines/>
        <title>
          <tx>
            <rich>
              <a:bodyPr/>
              <a:p>
                <a:pPr>
                  <a:defRPr sz="800" b="0"/>
                </a:pPr>
                <a:r>
                  <a:rPr sz="800" b="0"/>
                  <a:t>Efectividad del regenerador, ε_reg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44.xml><?xml version="1.0" encoding="utf-8"?>
<chartSpace xmlns:a="http://schemas.openxmlformats.org/drawingml/2006/main" xmlns="http://schemas.openxmlformats.org/drawingml/2006/chart">
  <style val="13"/>
  <chart>
    <title>
      <tx>
        <rich>
          <a:bodyPr/>
          <a:p>
            <a:pPr>
              <a:defRPr sz="900" b="1"/>
            </a:pPr>
            <a:r>
              <a:rPr sz="900" b="1"/>
              <a:t>ε_cond</a:t>
            </a:r>
          </a:p>
        </rich>
      </tx>
      <overlay val="0"/>
    </title>
    <plotArea>
      <scatterChart>
        <varyColors val="0"/>
        <ser>
          <idx val="0"/>
          <order val="0"/>
          <tx>
            <v>No convergió (n = 10)</v>
          </tx>
          <spPr>
            <a:ln>
              <a:noFill/>
              <a:prstDash val="solid"/>
            </a:ln>
          </spPr>
          <marker>
            <symbol val="x"/>
            <size val="7"/>
            <spPr>
              <a:noFill/>
              <a:ln>
                <a:solidFill>
                  <a:srgbClr val="C62828"/>
                </a:solidFill>
                <a:prstDash val="solid"/>
              </a:ln>
            </spPr>
          </marker>
          <xVal>
            <numRef>
              <f>'2 Datos de gráficos'!$BQ$6:$BQ$15</f>
            </numRef>
          </xVal>
          <yVal>
            <numRef>
              <f>'2 Datos de gráficos'!$BP$6:$BP$15</f>
            </numRef>
          </yVal>
        </ser>
        <ser>
          <idx val="1"/>
          <order val="1"/>
          <tx>
            <v>Falso convergido (n = 2)</v>
          </tx>
          <spPr>
            <a:ln>
              <a:noFill/>
              <a:prstDash val="solid"/>
            </a:ln>
          </spPr>
          <marker>
            <symbol val="x"/>
            <size val="7"/>
            <spPr>
              <a:noFill/>
              <a:ln>
                <a:solidFill>
                  <a:srgbClr val="9E9E9E"/>
                </a:solidFill>
                <a:prstDash val="solid"/>
              </a:ln>
            </spPr>
          </marker>
          <xVal>
            <numRef>
              <f>'2 Datos de gráficos'!$BS$6:$BS$7</f>
            </numRef>
          </xVal>
          <yVal>
            <numRef>
              <f>'2 Datos de gráficos'!$BR$6:$BR$7</f>
            </numRef>
          </yVal>
        </ser>
        <axId val="10"/>
        <axId val="20"/>
      </scatterChart>
      <valAx>
        <axId val="10"/>
        <scaling>
          <orientation val="minMax"/>
          <max val="1"/>
          <min val="0.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4.5"/>
          <min val="0"/>
        </scaling>
        <delete val="0"/>
        <axPos val="l"/>
        <majorGridlines/>
        <title>
          <tx>
            <rich>
              <a:bodyPr/>
              <a:p>
                <a:pPr>
                  <a:defRPr sz="800" b="0"/>
                </a:pPr>
                <a:r>
                  <a:rPr sz="800" b="0"/>
                  <a:t>Clase (4 K · 3 C · 2 I · 1 NC · 0 N2)</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45.xml><?xml version="1.0" encoding="utf-8"?>
<chartSpace xmlns:a="http://schemas.openxmlformats.org/drawingml/2006/main" xmlns="http://schemas.openxmlformats.org/drawingml/2006/chart">
  <style val="13"/>
  <chart>
    <title>
      <tx>
        <rich>
          <a:bodyPr/>
          <a:p>
            <a:pPr>
              <a:defRPr sz="1100" b="1"/>
            </a:pPr>
            <a:r>
              <a:rPr sz="1100" b="1"/>
              <a:t>Parte 2.3b: 0 KALINA con η y ε en [0.40, 0.95]</a:t>
            </a:r>
          </a:p>
        </rich>
      </tx>
      <overlay val="0"/>
    </title>
    <plotArea>
      <scatterChart>
        <varyColors val="0"/>
        <ser>
          <idx val="0"/>
          <order val="0"/>
          <tx>
            <v>Corregible, fuera de rango (n = 48)</v>
          </tx>
          <spPr>
            <a:ln>
              <a:noFill/>
              <a:prstDash val="solid"/>
            </a:ln>
          </spPr>
          <marker>
            <symbol val="triangle"/>
            <size val="6"/>
            <spPr>
              <a:noFill/>
              <a:ln>
                <a:solidFill>
                  <a:srgbClr val="EF8A17"/>
                </a:solidFill>
                <a:prstDash val="solid"/>
              </a:ln>
            </spPr>
          </marker>
          <xVal>
            <numRef>
              <f>'2 Datos de gráficos'!$BV$6:$BV$53</f>
            </numRef>
          </xVal>
          <yVal>
            <numRef>
              <f>'2 Datos de gráficos'!$BU$6:$BU$53</f>
            </numRef>
          </yVal>
        </ser>
        <ser>
          <idx val="1"/>
          <order val="1"/>
          <tx>
            <v>No convergió (n = 12)</v>
          </tx>
          <spPr>
            <a:ln>
              <a:noFill/>
              <a:prstDash val="solid"/>
            </a:ln>
          </spPr>
          <marker>
            <symbol val="x"/>
            <size val="7"/>
            <spPr>
              <a:noFill/>
              <a:ln>
                <a:solidFill>
                  <a:srgbClr val="C62828"/>
                </a:solidFill>
                <a:prstDash val="solid"/>
              </a:ln>
            </spPr>
          </marker>
          <xVal>
            <numRef>
              <f>'2 Datos de gráficos'!$BX$6:$BX$17</f>
            </numRef>
          </xVal>
          <yVal>
            <numRef>
              <f>'2 Datos de gráficos'!$BW$6:$BW$17</f>
            </numRef>
          </yVal>
        </ser>
        <axId val="10"/>
        <axId val="20"/>
      </scatterChart>
      <valAx>
        <axId val="10"/>
        <scaling>
          <orientation val="minMax"/>
          <max val="1"/>
          <min val="0.4"/>
        </scaling>
        <delete val="0"/>
        <axPos val="l"/>
        <majorGridlines/>
        <title>
          <tx>
            <rich>
              <a:bodyPr/>
              <a:p>
                <a:pPr>
                  <a:defRPr sz="900" b="0"/>
                </a:pPr>
                <a:r>
                  <a:rPr sz="900" b="0"/>
                  <a:t>Efectividad del condensador, ε_cond [–]</a:t>
                </a:r>
              </a:p>
            </rich>
          </tx>
          <overlay val="0"/>
        </title>
        <majorTickMark val="none"/>
        <minorTickMark val="none"/>
        <tickLblPos val="low"/>
        <txPr>
          <a:bodyPr/>
          <a:p>
            <a:pPr>
              <a:defRPr sz="800" b="0"/>
            </a:pPr>
            <a:r>
              <a:t/>
            </a:r>
            <a:endParaRPr sz="800" b="0"/>
          </a:p>
        </txPr>
        <crossAx val="20"/>
        <crosses val="min"/>
        <majorUnit val="0.1"/>
      </valAx>
      <valAx>
        <axId val="20"/>
        <scaling>
          <orientation val="minMax"/>
          <max val="0.8"/>
          <min val="0.4"/>
        </scaling>
        <delete val="0"/>
        <axPos val="l"/>
        <majorGridlines/>
        <title>
          <tx>
            <rich>
              <a:bodyPr/>
              <a:p>
                <a:pPr>
                  <a:defRPr sz="900" b="0"/>
                </a:pPr>
                <a:r>
                  <a:rPr sz="900" b="0"/>
                  <a:t>Efectividad del generador de vapor, ε_HRVG [–]</a:t>
                </a:r>
              </a:p>
            </rich>
          </tx>
          <overlay val="0"/>
        </title>
        <majorTickMark val="none"/>
        <minorTickMark val="none"/>
        <tickLblPos val="low"/>
        <txPr>
          <a:bodyPr/>
          <a:p>
            <a:pPr>
              <a:defRPr sz="800" b="0"/>
            </a:pPr>
            <a:r>
              <a:t/>
            </a:r>
            <a:endParaRPr sz="800" b="0"/>
          </a:p>
        </txPr>
        <crossAx val="10"/>
        <crosses val="min"/>
        <majorUnit val="0.1"/>
      </valAx>
    </plotArea>
    <legend>
      <legendPos val="b"/>
      <overlay val="0"/>
      <txPr>
        <a:bodyPr/>
        <a:p>
          <a:pPr>
            <a:defRPr sz="800" b="0"/>
          </a:pPr>
          <a:r>
            <a:t/>
          </a:r>
          <a:endParaRPr sz="800" b="0"/>
        </a:p>
      </txPr>
    </legend>
    <plotVisOnly val="0"/>
    <dispBlanksAs val="gap"/>
  </chart>
</chartSpace>
</file>

<file path=xl/charts/chart46.xml><?xml version="1.0" encoding="utf-8"?>
<chartSpace xmlns:a="http://schemas.openxmlformats.org/drawingml/2006/main" xmlns="http://schemas.openxmlformats.org/drawingml/2006/chart">
  <style val="13"/>
  <chart>
    <title>
      <tx>
        <rich>
          <a:bodyPr/>
          <a:p>
            <a:pPr>
              <a:defRPr sz="1100" b="1"/>
            </a:pPr>
            <a:r>
              <a:rPr sz="1100" b="1"/>
              <a:t>Parte 2.3c: 19 KALINA con η y ε en [0.40, 0.95]</a:t>
            </a:r>
          </a:p>
        </rich>
      </tx>
      <overlay val="0"/>
    </title>
    <plotArea>
      <scatterChart>
        <varyColors val="0"/>
        <ser>
          <idx val="0"/>
          <order val="0"/>
          <tx>
            <v>KALINA, fuera de rango (n = 19)</v>
          </tx>
          <spPr>
            <a:ln>
              <a:noFill/>
              <a:prstDash val="solid"/>
            </a:ln>
          </spPr>
          <marker>
            <symbol val="circle"/>
            <size val="6"/>
            <spPr>
              <a:noFill/>
              <a:ln>
                <a:solidFill>
                  <a:srgbClr val="2E7D32"/>
                </a:solidFill>
                <a:prstDash val="solid"/>
              </a:ln>
            </spPr>
          </marker>
          <xVal>
            <numRef>
              <f>'2 Datos de gráficos'!$CA$6:$CA$24</f>
            </numRef>
          </xVal>
          <yVal>
            <numRef>
              <f>'2 Datos de gráficos'!$BZ$6:$BZ$24</f>
            </numRef>
          </yVal>
        </ser>
        <ser>
          <idx val="1"/>
          <order val="1"/>
          <tx>
            <v>Corregible, fuera de rango (n = 43)</v>
          </tx>
          <spPr>
            <a:ln>
              <a:noFill/>
              <a:prstDash val="solid"/>
            </a:ln>
          </spPr>
          <marker>
            <symbol val="triangle"/>
            <size val="6"/>
            <spPr>
              <a:noFill/>
              <a:ln>
                <a:solidFill>
                  <a:srgbClr val="EF8A17"/>
                </a:solidFill>
                <a:prstDash val="solid"/>
              </a:ln>
            </spPr>
          </marker>
          <xVal>
            <numRef>
              <f>'2 Datos de gráficos'!$CC$6:$CC$48</f>
            </numRef>
          </xVal>
          <yVal>
            <numRef>
              <f>'2 Datos de gráficos'!$CB$6:$CB$48</f>
            </numRef>
          </yVal>
        </ser>
        <ser>
          <idx val="2"/>
          <order val="2"/>
          <tx>
            <v>No convergió (n = 2)</v>
          </tx>
          <spPr>
            <a:ln>
              <a:noFill/>
              <a:prstDash val="solid"/>
            </a:ln>
          </spPr>
          <marker>
            <symbol val="x"/>
            <size val="7"/>
            <spPr>
              <a:noFill/>
              <a:ln>
                <a:solidFill>
                  <a:srgbClr val="C62828"/>
                </a:solidFill>
                <a:prstDash val="solid"/>
              </a:ln>
            </spPr>
          </marker>
          <xVal>
            <numRef>
              <f>'2 Datos de gráficos'!$CE$6:$CE$7</f>
            </numRef>
          </xVal>
          <yVal>
            <numRef>
              <f>'2 Datos de gráficos'!$CD$6:$CD$7</f>
            </numRef>
          </yVal>
        </ser>
        <axId val="10"/>
        <axId val="20"/>
      </scatterChart>
      <valAx>
        <axId val="10"/>
        <scaling>
          <orientation val="minMax"/>
          <max val="2000"/>
          <min val="25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20"/>
        <crosses val="min"/>
        <majorUnit val="250"/>
      </valAx>
      <valAx>
        <axId val="20"/>
        <scaling>
          <orientation val="minMax"/>
          <max val="0.7000000000000001"/>
          <min val="0.4"/>
        </scaling>
        <delete val="0"/>
        <axPos val="l"/>
        <majorGridlines/>
        <title>
          <tx>
            <rich>
              <a:bodyPr/>
              <a:p>
                <a:pPr>
                  <a:defRPr sz="900" b="0"/>
                </a:pPr>
                <a:r>
                  <a:rPr sz="900" b="0"/>
                  <a:t>Efectividad del generador de vapor, ε_HRVG [–]</a:t>
                </a:r>
              </a:p>
            </rich>
          </tx>
          <overlay val="0"/>
        </title>
        <majorTickMark val="none"/>
        <minorTickMark val="none"/>
        <tickLblPos val="low"/>
        <txPr>
          <a:bodyPr/>
          <a:p>
            <a:pPr>
              <a:defRPr sz="800" b="0"/>
            </a:pPr>
            <a:r>
              <a:t/>
            </a:r>
            <a:endParaRPr sz="800" b="0"/>
          </a:p>
        </txPr>
        <crossAx val="10"/>
        <crosses val="min"/>
        <majorUnit val="0.05"/>
      </valAx>
    </plotArea>
    <legend>
      <legendPos val="b"/>
      <overlay val="0"/>
      <txPr>
        <a:bodyPr/>
        <a:p>
          <a:pPr>
            <a:defRPr sz="800" b="0"/>
          </a:pPr>
          <a:r>
            <a:t/>
          </a:r>
          <a:endParaRPr sz="800" b="0"/>
        </a:p>
      </txPr>
    </legend>
    <plotVisOnly val="0"/>
    <dispBlanksAs val="gap"/>
  </chart>
</chartSpace>
</file>

<file path=xl/charts/chart47.xml><?xml version="1.0" encoding="utf-8"?>
<chartSpace xmlns:a="http://schemas.openxmlformats.org/drawingml/2006/main" xmlns="http://schemas.openxmlformats.org/drawingml/2006/chart">
  <style val="13"/>
  <chart>
    <title>
      <tx>
        <rich>
          <a:bodyPr/>
          <a:p>
            <a:pPr>
              <a:defRPr sz="1100" b="1"/>
            </a:pPr>
            <a:r>
              <a:rPr sz="1100" b="1"/>
              <a:t>Parte 2.3d: 1 KALINA con η y ε en [0.40, 0.95]</a:t>
            </a:r>
          </a:p>
        </rich>
      </tx>
      <overlay val="0"/>
    </title>
    <plotArea>
      <scatterChart>
        <varyColors val="0"/>
        <ser>
          <idx val="0"/>
          <order val="0"/>
          <tx>
            <v>KALINA (n = 1)</v>
          </tx>
          <spPr>
            <a:ln>
              <a:noFill/>
              <a:prstDash val="solid"/>
            </a:ln>
          </spPr>
          <marker>
            <symbol val="circle"/>
            <size val="6"/>
            <spPr>
              <a:solidFill>
                <a:srgbClr val="2E7D32"/>
              </a:solidFill>
              <a:ln>
                <a:solidFill>
                  <a:srgbClr val="2E7D32"/>
                </a:solidFill>
                <a:prstDash val="solid"/>
              </a:ln>
            </spPr>
          </marker>
          <xVal>
            <numRef>
              <f>'2 Datos de gráficos'!$CH$6</f>
            </numRef>
          </xVal>
          <yVal>
            <numRef>
              <f>'2 Datos de gráficos'!$CG$6</f>
            </numRef>
          </yVal>
        </ser>
        <ser>
          <idx val="1"/>
          <order val="1"/>
          <tx>
            <v>Corregible (n = 4)</v>
          </tx>
          <spPr>
            <a:ln>
              <a:noFill/>
              <a:prstDash val="solid"/>
            </a:ln>
          </spPr>
          <marker>
            <symbol val="triangle"/>
            <size val="6"/>
            <spPr>
              <a:solidFill>
                <a:srgbClr val="EF8A17"/>
              </a:solidFill>
              <a:ln>
                <a:solidFill>
                  <a:srgbClr val="EF8A17"/>
                </a:solidFill>
                <a:prstDash val="solid"/>
              </a:ln>
            </spPr>
          </marker>
          <xVal>
            <numRef>
              <f>'2 Datos de gráficos'!$CJ$6:$CJ$9</f>
            </numRef>
          </xVal>
          <yVal>
            <numRef>
              <f>'2 Datos de gráficos'!$CI$6:$CI$9</f>
            </numRef>
          </yVal>
        </ser>
        <ser>
          <idx val="2"/>
          <order val="2"/>
          <tx>
            <v>Corregible, fuera de rango (n = 14)</v>
          </tx>
          <spPr>
            <a:ln>
              <a:noFill/>
              <a:prstDash val="solid"/>
            </a:ln>
          </spPr>
          <marker>
            <symbol val="triangle"/>
            <size val="6"/>
            <spPr>
              <a:noFill/>
              <a:ln>
                <a:solidFill>
                  <a:srgbClr val="EF8A17"/>
                </a:solidFill>
                <a:prstDash val="solid"/>
              </a:ln>
            </spPr>
          </marker>
          <xVal>
            <numRef>
              <f>'2 Datos de gráficos'!$CL$6:$CL$19</f>
            </numRef>
          </xVal>
          <yVal>
            <numRef>
              <f>'2 Datos de gráficos'!$CK$6:$CK$19</f>
            </numRef>
          </yVal>
        </ser>
        <ser>
          <idx val="3"/>
          <order val="3"/>
          <tx>
            <v>Inviable (n = 1)</v>
          </tx>
          <spPr>
            <a:ln>
              <a:noFill/>
              <a:prstDash val="solid"/>
            </a:ln>
          </spPr>
          <marker>
            <symbol val="square"/>
            <size val="6"/>
            <spPr>
              <a:solidFill>
                <a:srgbClr val="C9A227"/>
              </a:solidFill>
              <a:ln>
                <a:solidFill>
                  <a:srgbClr val="C9A227"/>
                </a:solidFill>
                <a:prstDash val="solid"/>
              </a:ln>
            </spPr>
          </marker>
          <xVal>
            <numRef>
              <f>'2 Datos de gráficos'!$CN$6</f>
            </numRef>
          </xVal>
          <yVal>
            <numRef>
              <f>'2 Datos de gráficos'!$CM$6</f>
            </numRef>
          </yVal>
        </ser>
        <ser>
          <idx val="4"/>
          <order val="4"/>
          <tx>
            <v>No convergió (n = 1)</v>
          </tx>
          <spPr>
            <a:ln>
              <a:noFill/>
              <a:prstDash val="solid"/>
            </a:ln>
          </spPr>
          <marker>
            <symbol val="x"/>
            <size val="7"/>
            <spPr>
              <a:noFill/>
              <a:ln>
                <a:solidFill>
                  <a:srgbClr val="C62828"/>
                </a:solidFill>
                <a:prstDash val="solid"/>
              </a:ln>
            </spPr>
          </marker>
          <xVal>
            <numRef>
              <f>'2 Datos de gráficos'!$CP$6</f>
            </numRef>
          </xVal>
          <yVal>
            <numRef>
              <f>'2 Datos de gráficos'!$CO$6</f>
            </numRef>
          </yVal>
        </ser>
        <axId val="10"/>
        <axId val="20"/>
      </scatterChart>
      <valAx>
        <axId val="10"/>
        <scaling>
          <orientation val="minMax"/>
          <max val="0.96"/>
          <min val="0.84"/>
        </scaling>
        <delete val="0"/>
        <axPos val="l"/>
        <majorGridlines/>
        <title>
          <tx>
            <rich>
              <a:bodyPr/>
              <a:p>
                <a:pPr>
                  <a:defRPr sz="900" b="0"/>
                </a:pPr>
                <a:r>
                  <a:rPr sz="900" b="0"/>
                  <a:t>Efectividad del condensador, ε_cond [–]</a:t>
                </a:r>
              </a:p>
            </rich>
          </tx>
          <overlay val="0"/>
        </title>
        <majorTickMark val="none"/>
        <minorTickMark val="none"/>
        <tickLblPos val="low"/>
        <txPr>
          <a:bodyPr/>
          <a:p>
            <a:pPr>
              <a:defRPr sz="800" b="0"/>
            </a:pPr>
            <a:r>
              <a:t/>
            </a:r>
            <a:endParaRPr sz="800" b="0"/>
          </a:p>
        </txPr>
        <crossAx val="20"/>
        <crosses val="min"/>
        <majorUnit val="0.02"/>
      </valAx>
      <valAx>
        <axId val="20"/>
        <scaling>
          <orientation val="minMax"/>
          <max val="575"/>
          <min val="400"/>
        </scaling>
        <delete val="0"/>
        <axPos val="l"/>
        <majorGridlines/>
        <title>
          <tx>
            <rich>
              <a:bodyPr/>
              <a:p>
                <a:pPr>
                  <a:defRPr sz="900" b="0"/>
                </a:pPr>
                <a:r>
                  <a:rPr sz="900" b="0"/>
                  <a:t>Temperatura de la fuente, T_fuente [K]</a:t>
                </a:r>
              </a:p>
            </rich>
          </tx>
          <overlay val="0"/>
        </title>
        <majorTickMark val="none"/>
        <minorTickMark val="none"/>
        <tickLblPos val="low"/>
        <txPr>
          <a:bodyPr/>
          <a:p>
            <a:pPr>
              <a:defRPr sz="800" b="0"/>
            </a:pPr>
            <a:r>
              <a:t/>
            </a:r>
            <a:endParaRPr sz="800" b="0"/>
          </a:p>
        </txPr>
        <crossAx val="10"/>
        <crosses val="min"/>
        <majorUnit val="25"/>
      </valAx>
    </plotArea>
    <legend>
      <legendPos val="b"/>
      <overlay val="0"/>
      <txPr>
        <a:bodyPr/>
        <a:p>
          <a:pPr>
            <a:defRPr sz="800" b="0"/>
          </a:pPr>
          <a:r>
            <a:t/>
          </a:r>
          <a:endParaRPr sz="800" b="0"/>
        </a:p>
      </txPr>
    </legend>
    <plotVisOnly val="0"/>
    <dispBlanksAs val="gap"/>
  </chart>
</chartSpace>
</file>

<file path=xl/charts/chart48.xml><?xml version="1.0" encoding="utf-8"?>
<chartSpace xmlns:a="http://schemas.openxmlformats.org/drawingml/2006/main" xmlns="http://schemas.openxmlformats.org/drawingml/2006/chart">
  <style val="13"/>
  <chart>
    <title>
      <tx>
        <rich>
          <a:bodyPr/>
          <a:p>
            <a:pPr>
              <a:defRPr sz="1100" b="1"/>
            </a:pPr>
            <a:r>
              <a:rPr sz="1100" b="1"/>
              <a:t>P_baja mínima de KALINA según el clima</a:t>
            </a:r>
          </a:p>
        </rich>
      </tx>
      <overlay val="0"/>
    </title>
    <plotArea>
      <scatterChart>
        <varyColors val="0"/>
        <ser>
          <idx val="0"/>
          <order val="0"/>
          <tx>
            <v>2.4a · T_fuente = 403 K (A*)</v>
          </tx>
          <spPr>
            <a:ln w="22000">
              <a:solidFill>
                <a:srgbClr val="2E7D32"/>
              </a:solidFill>
              <a:prstDash val="solid"/>
            </a:ln>
          </spPr>
          <marker>
            <symbol val="circle"/>
            <size val="5"/>
            <spPr>
              <a:solidFill>
                <a:srgbClr val="2E7D32"/>
              </a:solidFill>
              <a:ln>
                <a:solidFill>
                  <a:srgbClr val="2E7D32"/>
                </a:solidFill>
                <a:prstDash val="solid"/>
              </a:ln>
            </spPr>
          </marker>
          <xVal>
            <numRef>
              <f>'2 Datos de gráficos'!$CS$6:$CS$10</f>
            </numRef>
          </xVal>
          <yVal>
            <numRef>
              <f>'2 Datos de gráficos'!$CR$6:$CR$10</f>
            </numRef>
          </yVal>
          <smooth val="0"/>
        </ser>
        <ser>
          <idx val="1"/>
          <order val="1"/>
          <tx>
            <v>2.4b · T_fuente = 420 K</v>
          </tx>
          <spPr>
            <a:ln w="22000">
              <a:solidFill>
                <a:srgbClr val="1565C0"/>
              </a:solidFill>
              <a:prstDash val="solid"/>
            </a:ln>
          </spPr>
          <marker>
            <symbol val="circle"/>
            <size val="5"/>
            <spPr>
              <a:solidFill>
                <a:srgbClr val="1565C0"/>
              </a:solidFill>
              <a:ln>
                <a:solidFill>
                  <a:srgbClr val="1565C0"/>
                </a:solidFill>
                <a:prstDash val="solid"/>
              </a:ln>
            </spPr>
          </marker>
          <xVal>
            <numRef>
              <f>'2 Datos de gráficos'!$CU$6:$CU$10</f>
            </numRef>
          </xVal>
          <yVal>
            <numRef>
              <f>'2 Datos de gráficos'!$CT$6:$CT$10</f>
            </numRef>
          </yVal>
          <smooth val="0"/>
        </ser>
        <ser>
          <idx val="2"/>
          <order val="2"/>
          <tx>
            <v>2.4c · ε_HRVG = 0.40 (fuente del profesor) · fuera de rango</v>
          </tx>
          <spPr>
            <a:ln w="22000">
              <a:solidFill>
                <a:srgbClr val="EF8A17"/>
              </a:solidFill>
              <a:prstDash val="solid"/>
            </a:ln>
          </spPr>
          <marker>
            <symbol val="circle"/>
            <size val="5"/>
            <spPr>
              <a:solidFill>
                <a:srgbClr val="EF8A17"/>
              </a:solidFill>
              <a:ln>
                <a:solidFill>
                  <a:srgbClr val="EF8A17"/>
                </a:solidFill>
                <a:prstDash val="solid"/>
              </a:ln>
            </spPr>
          </marker>
          <xVal>
            <numRef>
              <f>'2 Datos de gráficos'!$CW$6:$CW$10</f>
            </numRef>
          </xVal>
          <yVal>
            <numRef>
              <f>'2 Datos de gráficos'!$CV$6:$CV$10</f>
            </numRef>
          </yVal>
          <smooth val="0"/>
        </ser>
        <axId val="10"/>
        <axId val="20"/>
      </scatterChart>
      <valAx>
        <axId val="10"/>
        <scaling>
          <orientation val="minMax"/>
          <max val="305"/>
          <min val="275"/>
        </scaling>
        <delete val="0"/>
        <axPos val="l"/>
        <majorGridlines/>
        <title>
          <tx>
            <rich>
              <a:bodyPr/>
              <a:p>
                <a:pPr>
                  <a:defRPr sz="900" b="0"/>
                </a:pPr>
                <a:r>
                  <a:rPr sz="900" b="0"/>
                  <a:t>Temperatura del sumidero, T_sumidero [K]</a:t>
                </a:r>
              </a:p>
            </rich>
          </tx>
          <overlay val="0"/>
        </title>
        <majorTickMark val="none"/>
        <minorTickMark val="none"/>
        <tickLblPos val="low"/>
        <txPr>
          <a:bodyPr/>
          <a:p>
            <a:pPr>
              <a:defRPr sz="800" b="0"/>
            </a:pPr>
            <a:r>
              <a:t/>
            </a:r>
            <a:endParaRPr sz="800" b="0"/>
          </a:p>
        </txPr>
        <crossAx val="20"/>
        <crosses val="min"/>
        <majorUnit val="5"/>
      </valAx>
      <valAx>
        <axId val="20"/>
        <scaling>
          <orientation val="minMax"/>
          <max val="1400"/>
          <min val="200"/>
        </scaling>
        <delete val="0"/>
        <axPos val="l"/>
        <majorGridlines/>
        <title>
          <tx>
            <rich>
              <a:bodyPr/>
              <a:p>
                <a:pPr>
                  <a:defRPr sz="900" b="0"/>
                </a:pPr>
                <a:r>
                  <a:rPr sz="900" b="0"/>
                  <a:t>P_baja mínima de KALINA [kPa]</a:t>
                </a:r>
              </a:p>
            </rich>
          </tx>
          <overlay val="0"/>
        </title>
        <majorTickMark val="none"/>
        <minorTickMark val="none"/>
        <tickLblPos val="low"/>
        <txPr>
          <a:bodyPr/>
          <a:p>
            <a:pPr>
              <a:defRPr sz="800" b="0"/>
            </a:pPr>
            <a:r>
              <a:t/>
            </a:r>
            <a:endParaRPr sz="800" b="0"/>
          </a:p>
        </txPr>
        <crossAx val="10"/>
        <crosses val="min"/>
        <majorUnit val="200"/>
      </valAx>
    </plotArea>
    <legend>
      <legendPos val="b"/>
      <overlay val="0"/>
      <txPr>
        <a:bodyPr/>
        <a:p>
          <a:pPr>
            <a:defRPr sz="800" b="0"/>
          </a:pPr>
          <a:r>
            <a:t/>
          </a:r>
          <a:endParaRPr sz="800" b="0"/>
        </a:p>
      </txPr>
    </legend>
    <plotVisOnly val="0"/>
    <dispBlanksAs val="gap"/>
  </chart>
</chartSpace>
</file>

<file path=xl/charts/chart49.xml><?xml version="1.0" encoding="utf-8"?>
<chartSpace xmlns:a="http://schemas.openxmlformats.org/drawingml/2006/main" xmlns="http://schemas.openxmlformats.org/drawingml/2006/chart">
  <style val="13"/>
  <chart>
    <title>
      <tx>
        <rich>
          <a:bodyPr/>
          <a:p>
            <a:pPr>
              <a:defRPr sz="1100" b="1"/>
            </a:pPr>
            <a:r>
              <a:rPr sz="1100" b="1"/>
              <a:t>η máxima de KALINA según el clima</a:t>
            </a:r>
          </a:p>
        </rich>
      </tx>
      <overlay val="0"/>
    </title>
    <plotArea>
      <scatterChart>
        <varyColors val="0"/>
        <ser>
          <idx val="0"/>
          <order val="0"/>
          <tx>
            <v>2.4a · T_fuente = 403 K (A*)</v>
          </tx>
          <spPr>
            <a:ln w="22000">
              <a:solidFill>
                <a:srgbClr val="2E7D32"/>
              </a:solidFill>
              <a:prstDash val="solid"/>
            </a:ln>
          </spPr>
          <marker>
            <symbol val="circle"/>
            <size val="5"/>
            <spPr>
              <a:solidFill>
                <a:srgbClr val="2E7D32"/>
              </a:solidFill>
              <a:ln>
                <a:solidFill>
                  <a:srgbClr val="2E7D32"/>
                </a:solidFill>
                <a:prstDash val="solid"/>
              </a:ln>
            </spPr>
          </marker>
          <xVal>
            <numRef>
              <f>'2 Datos de gráficos'!$CY$6:$CY$10</f>
            </numRef>
          </xVal>
          <yVal>
            <numRef>
              <f>'2 Datos de gráficos'!$CX$6:$CX$10</f>
            </numRef>
          </yVal>
          <smooth val="0"/>
        </ser>
        <ser>
          <idx val="1"/>
          <order val="1"/>
          <tx>
            <v>2.4b · T_fuente = 420 K</v>
          </tx>
          <spPr>
            <a:ln w="22000">
              <a:solidFill>
                <a:srgbClr val="1565C0"/>
              </a:solidFill>
              <a:prstDash val="solid"/>
            </a:ln>
          </spPr>
          <marker>
            <symbol val="circle"/>
            <size val="5"/>
            <spPr>
              <a:solidFill>
                <a:srgbClr val="1565C0"/>
              </a:solidFill>
              <a:ln>
                <a:solidFill>
                  <a:srgbClr val="1565C0"/>
                </a:solidFill>
                <a:prstDash val="solid"/>
              </a:ln>
            </spPr>
          </marker>
          <xVal>
            <numRef>
              <f>'2 Datos de gráficos'!$DA$6:$DA$10</f>
            </numRef>
          </xVal>
          <yVal>
            <numRef>
              <f>'2 Datos de gráficos'!$CZ$6:$CZ$10</f>
            </numRef>
          </yVal>
          <smooth val="0"/>
        </ser>
        <ser>
          <idx val="2"/>
          <order val="2"/>
          <tx>
            <v>2.4c · ε_HRVG = 0.40 (fuente del profesor) · fuera de rango</v>
          </tx>
          <spPr>
            <a:ln w="22000">
              <a:solidFill>
                <a:srgbClr val="EF8A17"/>
              </a:solidFill>
              <a:prstDash val="solid"/>
            </a:ln>
          </spPr>
          <marker>
            <symbol val="circle"/>
            <size val="5"/>
            <spPr>
              <a:solidFill>
                <a:srgbClr val="EF8A17"/>
              </a:solidFill>
              <a:ln>
                <a:solidFill>
                  <a:srgbClr val="EF8A17"/>
                </a:solidFill>
                <a:prstDash val="solid"/>
              </a:ln>
            </spPr>
          </marker>
          <xVal>
            <numRef>
              <f>'2 Datos de gráficos'!$DC$6:$DC$10</f>
            </numRef>
          </xVal>
          <yVal>
            <numRef>
              <f>'2 Datos de gráficos'!$DB$6:$DB$10</f>
            </numRef>
          </yVal>
          <smooth val="0"/>
        </ser>
        <axId val="10"/>
        <axId val="20"/>
      </scatterChart>
      <valAx>
        <axId val="10"/>
        <scaling>
          <orientation val="minMax"/>
          <max val="305"/>
          <min val="275"/>
        </scaling>
        <delete val="0"/>
        <axPos val="l"/>
        <majorGridlines/>
        <title>
          <tx>
            <rich>
              <a:bodyPr/>
              <a:p>
                <a:pPr>
                  <a:defRPr sz="900" b="0"/>
                </a:pPr>
                <a:r>
                  <a:rPr sz="900" b="0"/>
                  <a:t>Temperatura del sumidero, T_sumidero [K]</a:t>
                </a:r>
              </a:p>
            </rich>
          </tx>
          <overlay val="0"/>
        </title>
        <majorTickMark val="none"/>
        <minorTickMark val="none"/>
        <tickLblPos val="low"/>
        <txPr>
          <a:bodyPr/>
          <a:p>
            <a:pPr>
              <a:defRPr sz="800" b="0"/>
            </a:pPr>
            <a:r>
              <a:t/>
            </a:r>
            <a:endParaRPr sz="800" b="0"/>
          </a:p>
        </txPr>
        <crossAx val="20"/>
        <crosses val="min"/>
        <majorUnit val="5"/>
      </valAx>
      <valAx>
        <axId val="20"/>
        <scaling>
          <orientation val="minMax"/>
          <max val="12"/>
          <min val="6"/>
        </scaling>
        <delete val="0"/>
        <axPos val="l"/>
        <majorGridlines/>
        <title>
          <tx>
            <rich>
              <a:bodyPr/>
              <a:p>
                <a:pPr>
                  <a:defRPr sz="900" b="0"/>
                </a:pPr>
                <a:r>
                  <a:rPr sz="900" b="0"/>
                  <a:t>η máxima de KALINA [%]</a:t>
                </a:r>
              </a:p>
            </rich>
          </tx>
          <overlay val="0"/>
        </title>
        <majorTickMark val="none"/>
        <minorTickMark val="none"/>
        <tickLblPos val="low"/>
        <txPr>
          <a:bodyPr/>
          <a:p>
            <a:pPr>
              <a:defRPr sz="800" b="0"/>
            </a:pPr>
            <a:r>
              <a:t/>
            </a:r>
            <a:endParaRPr sz="800" b="0"/>
          </a:p>
        </txPr>
        <crossAx val="10"/>
        <crosses val="min"/>
        <majorUnit val="1"/>
      </valAx>
    </plotArea>
    <legend>
      <legendPos val="b"/>
      <overlay val="0"/>
      <txPr>
        <a:bodyPr/>
        <a:p>
          <a:pPr>
            <a:defRPr sz="800" b="0"/>
          </a:pPr>
          <a:r>
            <a:t/>
          </a:r>
          <a:endParaRPr sz="800" b="0"/>
        </a:p>
      </txPr>
    </legend>
    <plotVisOnly val="0"/>
    <dispBlanksAs val="gap"/>
  </chart>
</chartSpace>
</file>

<file path=xl/charts/chart50.xml><?xml version="1.0" encoding="utf-8"?>
<chartSpace xmlns:a="http://schemas.openxmlformats.org/drawingml/2006/main" xmlns="http://schemas.openxmlformats.org/drawingml/2006/chart">
  <style val="10"/>
  <chart>
    <title>
      <tx>
        <rich>
          <a:bodyPr/>
          <a:p>
            <a:pPr>
              <a:defRPr sz="1100" b="1"/>
            </a:pPr>
            <a:r>
              <a:rPr sz="1100" b="1"/>
              <a:t>Pegado a A*, T_fuente es la variable más sensible (E = 10.9)</a:t>
            </a:r>
          </a:p>
        </rich>
      </tx>
      <overlay val="0"/>
    </title>
    <plotArea>
      <barChart>
        <barDir val="bar"/>
        <grouping val="clustered"/>
        <varyColors val="0"/>
        <ser>
          <idx val="0"/>
          <order val="0"/>
          <tx>
            <v>Elasticidad de η, E [–]</v>
          </tx>
          <spPr>
            <a:solidFill>
              <a:srgbClr val="2E7D32"/>
            </a:solidFill>
            <a:ln>
              <a:solidFill>
                <a:srgbClr val="2E7D32"/>
              </a:solidFill>
              <a:prstDash val="solid"/>
            </a:ln>
          </spPr>
          <invertIfNegative val="0"/>
          <dPt>
            <idx val="0"/>
            <invertIfNegative val="0"/>
            <spPr>
              <a:solidFill>
                <a:srgbClr val="2E7D32"/>
              </a:solidFill>
              <a:ln>
                <a:prstDash val="solid"/>
              </a:ln>
            </spPr>
          </dPt>
          <dPt>
            <idx val="1"/>
            <invertIfNegative val="0"/>
            <spPr>
              <a:solidFill>
                <a:srgbClr val="C62828"/>
              </a:solidFill>
              <a:ln>
                <a:prstDash val="solid"/>
              </a:ln>
            </spPr>
          </dPt>
          <dPt>
            <idx val="2"/>
            <invertIfNegative val="0"/>
            <spPr>
              <a:solidFill>
                <a:srgbClr val="C62828"/>
              </a:solidFill>
              <a:ln>
                <a:prstDash val="solid"/>
              </a:ln>
            </spPr>
          </dPt>
          <dPt>
            <idx val="3"/>
            <invertIfNegative val="0"/>
            <spPr>
              <a:solidFill>
                <a:srgbClr val="2E7D32"/>
              </a:solidFill>
              <a:ln>
                <a:prstDash val="solid"/>
              </a:ln>
            </spPr>
          </dPt>
          <dPt>
            <idx val="4"/>
            <invertIfNegative val="0"/>
            <spPr>
              <a:solidFill>
                <a:srgbClr val="2E7D32"/>
              </a:solidFill>
              <a:ln>
                <a:prstDash val="solid"/>
              </a:ln>
            </spPr>
          </dPt>
          <dPt>
            <idx val="5"/>
            <invertIfNegative val="0"/>
            <spPr>
              <a:solidFill>
                <a:srgbClr val="2E7D32"/>
              </a:solidFill>
              <a:ln>
                <a:prstDash val="solid"/>
              </a:ln>
            </spPr>
          </dPt>
          <dPt>
            <idx val="6"/>
            <invertIfNegative val="0"/>
            <spPr>
              <a:solidFill>
                <a:srgbClr val="C62828"/>
              </a:solidFill>
              <a:ln>
                <a:prstDash val="solid"/>
              </a:ln>
            </spPr>
          </dPt>
          <dPt>
            <idx val="7"/>
            <invertIfNegative val="0"/>
            <spPr>
              <a:solidFill>
                <a:srgbClr val="2E7D32"/>
              </a:solidFill>
              <a:ln>
                <a:prstDash val="solid"/>
              </a:ln>
            </spPr>
          </dPt>
          <dPt>
            <idx val="8"/>
            <invertIfNegative val="0"/>
            <spPr>
              <a:solidFill>
                <a:srgbClr val="2E7D32"/>
              </a:solidFill>
              <a:ln>
                <a:prstDash val="solid"/>
              </a:ln>
            </spPr>
          </dPt>
          <dPt>
            <idx val="9"/>
            <invertIfNegative val="0"/>
            <spPr>
              <a:solidFill>
                <a:srgbClr val="2E7D32"/>
              </a:solidFill>
              <a:ln>
                <a:prstDash val="solid"/>
              </a:ln>
            </spPr>
          </dPt>
          <cat>
            <numRef>
              <f>'3 Datos de gráficos'!$D$6:$D$15</f>
            </numRef>
          </cat>
          <val>
            <numRef>
              <f>'3 Datos de gráficos'!$E$6:$E$15</f>
            </numRef>
          </val>
        </ser>
        <gapWidth val="150"/>
        <axId val="10"/>
        <axId val="100"/>
      </barChart>
      <catAx>
        <axId val="10"/>
        <scaling>
          <orientation val="minMax"/>
        </scaling>
        <delete val="0"/>
        <axPos val="l"/>
        <title>
          <tx>
            <rich>
              <a:bodyPr/>
              <a:p>
                <a:pPr>
                  <a:defRPr sz="900" b="0"/>
                </a:pPr>
                <a:r>
                  <a:rPr sz="900" b="0"/>
                  <a:t>Variable</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Elasticidad de η, E [–]</a:t>
                </a:r>
              </a:p>
            </rich>
          </tx>
          <overlay val="0"/>
        </title>
        <majorTickMark val="none"/>
        <minorTickMark val="none"/>
        <tickLblPos val="low"/>
        <txPr>
          <a:bodyPr/>
          <a:p>
            <a:pPr>
              <a:defRPr sz="800" b="0"/>
            </a:pPr>
            <a:r>
              <a:t/>
            </a:r>
            <a:endParaRPr sz="800" b="0"/>
          </a:p>
        </txPr>
        <crossAx val="10"/>
        <crosses val="autoZero"/>
      </valAx>
    </plotArea>
    <plotVisOnly val="0"/>
    <dispBlanksAs val="gap"/>
  </chart>
</chartSpace>
</file>

<file path=xl/charts/chart51.xml><?xml version="1.0" encoding="utf-8"?>
<chartSpace xmlns:a="http://schemas.openxmlformats.org/drawingml/2006/main" xmlns="http://schemas.openxmlformats.org/drawingml/2006/chart">
  <style val="10"/>
  <chart>
    <title>
      <tx>
        <rich>
          <a:bodyPr/>
          <a:p>
            <a:pPr>
              <a:defRPr sz="1100" b="1"/>
            </a:pPr>
            <a:r>
              <a:rPr sz="1100" b="1"/>
              <a:t>A* está a menos del 6 % del rango de la frontera de O2 en 8 de 9 variables</a:t>
            </a:r>
          </a:p>
        </rich>
      </tx>
      <overlay val="0"/>
    </title>
    <plotArea>
      <barChart>
        <barDir val="bar"/>
        <grouping val="clustered"/>
        <varyColors val="0"/>
        <ser>
          <idx val="0"/>
          <order val="0"/>
          <tx>
            <v>Distancia a la frontera / rango [–]</v>
          </tx>
          <spPr>
            <a:solidFill>
              <a:srgbClr val="2E7D32"/>
            </a:solidFill>
            <a:ln>
              <a:solidFill>
                <a:srgbClr val="2E7D32"/>
              </a:solidFill>
              <a:prstDash val="solid"/>
            </a:ln>
          </spPr>
          <invertIfNegative val="0"/>
          <dPt>
            <idx val="0"/>
            <invertIfNegative val="0"/>
            <spPr>
              <a:solidFill>
                <a:srgbClr val="2E7D32"/>
              </a:solidFill>
              <a:ln>
                <a:prstDash val="solid"/>
              </a:ln>
            </spPr>
          </dPt>
          <dPt>
            <idx val="1"/>
            <invertIfNegative val="0"/>
            <spPr>
              <a:solidFill>
                <a:srgbClr val="C62828"/>
              </a:solidFill>
              <a:ln>
                <a:prstDash val="solid"/>
              </a:ln>
            </spPr>
          </dPt>
          <dPt>
            <idx val="2"/>
            <invertIfNegative val="0"/>
            <spPr>
              <a:solidFill>
                <a:srgbClr val="C62828"/>
              </a:solidFill>
              <a:ln>
                <a:prstDash val="solid"/>
              </a:ln>
            </spPr>
          </dPt>
          <dPt>
            <idx val="3"/>
            <invertIfNegative val="0"/>
            <spPr>
              <a:solidFill>
                <a:srgbClr val="C62828"/>
              </a:solidFill>
              <a:ln>
                <a:prstDash val="solid"/>
              </a:ln>
            </spPr>
          </dPt>
          <dPt>
            <idx val="4"/>
            <invertIfNegative val="0"/>
            <spPr>
              <a:solidFill>
                <a:srgbClr val="C62828"/>
              </a:solidFill>
              <a:ln>
                <a:prstDash val="solid"/>
              </a:ln>
            </spPr>
          </dPt>
          <dPt>
            <idx val="5"/>
            <invertIfNegative val="0"/>
            <spPr>
              <a:solidFill>
                <a:srgbClr val="C62828"/>
              </a:solidFill>
              <a:ln>
                <a:prstDash val="solid"/>
              </a:ln>
            </spPr>
          </dPt>
          <dPt>
            <idx val="6"/>
            <invertIfNegative val="0"/>
            <spPr>
              <a:solidFill>
                <a:srgbClr val="C62828"/>
              </a:solidFill>
              <a:ln>
                <a:prstDash val="solid"/>
              </a:ln>
            </spPr>
          </dPt>
          <dPt>
            <idx val="7"/>
            <invertIfNegative val="0"/>
            <spPr>
              <a:solidFill>
                <a:srgbClr val="C62828"/>
              </a:solidFill>
              <a:ln>
                <a:prstDash val="solid"/>
              </a:ln>
            </spPr>
          </dPt>
          <dPt>
            <idx val="8"/>
            <invertIfNegative val="0"/>
            <spPr>
              <a:solidFill>
                <a:srgbClr val="C62828"/>
              </a:solidFill>
              <a:ln>
                <a:prstDash val="solid"/>
              </a:ln>
            </spPr>
          </dPt>
          <cat>
            <numRef>
              <f>'3 Datos de gráficos'!$BP$6:$BP$14</f>
            </numRef>
          </cat>
          <val>
            <numRef>
              <f>'3 Datos de gráficos'!$BQ$6:$BQ$14</f>
            </numRef>
          </val>
        </ser>
        <gapWidth val="150"/>
        <axId val="10"/>
        <axId val="100"/>
      </barChart>
      <catAx>
        <axId val="10"/>
        <scaling>
          <orientation val="minMax"/>
        </scaling>
        <delete val="0"/>
        <axPos val="l"/>
        <title>
          <tx>
            <rich>
              <a:bodyPr/>
              <a:p>
                <a:pPr>
                  <a:defRPr sz="900" b="0"/>
                </a:pPr>
                <a:r>
                  <a:rPr sz="900" b="0"/>
                  <a:t>Variable</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Distancia a la frontera / rango [–]</a:t>
                </a:r>
              </a:p>
            </rich>
          </tx>
          <overlay val="0"/>
        </title>
        <majorTickMark val="none"/>
        <minorTickMark val="none"/>
        <tickLblPos val="low"/>
        <txPr>
          <a:bodyPr/>
          <a:p>
            <a:pPr>
              <a:defRPr sz="800" b="0"/>
            </a:pPr>
            <a:r>
              <a:t/>
            </a:r>
            <a:endParaRPr sz="800" b="0"/>
          </a:p>
        </txPr>
        <crossAx val="10"/>
        <crosses val="autoZero"/>
      </valAx>
    </plotArea>
    <plotVisOnly val="0"/>
    <dispBlanksAs val="gap"/>
  </chart>
</chartSpace>
</file>

<file path=xl/charts/chart52.xml><?xml version="1.0" encoding="utf-8"?>
<chartSpace xmlns:a="http://schemas.openxmlformats.org/drawingml/2006/main" xmlns="http://schemas.openxmlformats.org/drawingml/2006/chart">
  <style val="10"/>
  <chart>
    <title>
      <tx>
        <rich>
          <a:bodyPr/>
          <a:p>
            <a:pPr>
              <a:defRPr sz="1100" b="1"/>
            </a:pPr>
            <a:r>
              <a:rPr sz="1100" b="1"/>
              <a:t>Cerca de A*, x_b y P_baja son las que más mueven η en su rango</a:t>
            </a:r>
          </a:p>
        </rich>
      </tx>
      <overlay val="0"/>
    </title>
    <plotArea>
      <barChart>
        <barDir val="bar"/>
        <grouping val="clustered"/>
        <varyColors val="0"/>
        <ser>
          <idx val="0"/>
          <order val="0"/>
          <tx>
            <v>Δη (máx − mín) [pp]</v>
          </tx>
          <spPr>
            <a:solidFill>
              <a:srgbClr val="2E7D32"/>
            </a:solidFill>
            <a:ln>
              <a:solidFill>
                <a:srgbClr val="2E7D32"/>
              </a:solidFill>
              <a:prstDash val="solid"/>
            </a:ln>
          </spPr>
          <invertIfNegative val="0"/>
          <cat>
            <numRef>
              <f>'3 Datos de gráficos'!$A$6:$A$15</f>
            </numRef>
          </cat>
          <val>
            <numRef>
              <f>'3 Datos de gráficos'!$B$6:$B$15</f>
            </numRef>
          </val>
        </ser>
        <gapWidth val="150"/>
        <axId val="10"/>
        <axId val="100"/>
      </barChart>
      <catAx>
        <axId val="10"/>
        <scaling>
          <orientation val="minMax"/>
        </scaling>
        <delete val="0"/>
        <axPos val="l"/>
        <title>
          <tx>
            <rich>
              <a:bodyPr/>
              <a:p>
                <a:pPr>
                  <a:defRPr sz="900" b="0"/>
                </a:pPr>
                <a:r>
                  <a:rPr sz="900" b="0"/>
                  <a:t>Variable</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Δη (máx − mín) [pp]</a:t>
                </a:r>
              </a:p>
            </rich>
          </tx>
          <overlay val="0"/>
        </title>
        <majorTickMark val="none"/>
        <minorTickMark val="none"/>
        <tickLblPos val="low"/>
        <txPr>
          <a:bodyPr/>
          <a:p>
            <a:pPr>
              <a:defRPr sz="800" b="0"/>
            </a:pPr>
            <a:r>
              <a:t/>
            </a:r>
            <a:endParaRPr sz="800" b="0"/>
          </a:p>
        </txPr>
        <crossAx val="10"/>
        <crosses val="autoZero"/>
      </valAx>
    </plotArea>
    <plotVisOnly val="0"/>
    <dispBlanksAs val="gap"/>
  </chart>
</chartSpace>
</file>

<file path=xl/charts/chart53.xml><?xml version="1.0" encoding="utf-8"?>
<chartSpace xmlns:a="http://schemas.openxmlformats.org/drawingml/2006/main" xmlns="http://schemas.openxmlformats.org/drawingml/2006/chart">
  <style val="13"/>
  <chart>
    <title>
      <tx>
        <rich>
          <a:bodyPr/>
          <a:p>
            <a:pPr>
              <a:defRPr sz="900" b="1"/>
            </a:pPr>
            <a:r>
              <a:rPr sz="900" b="1"/>
              <a:t>T_fuente</a:t>
            </a:r>
          </a:p>
        </rich>
      </tx>
      <overlay val="0"/>
    </title>
    <plotArea>
      <scatterChart>
        <varyColors val="0"/>
        <ser>
          <idx val="0"/>
          <order val="0"/>
          <tx>
            <v>KALINA (n = 2)</v>
          </tx>
          <spPr>
            <a:ln>
              <a:noFill/>
              <a:prstDash val="solid"/>
            </a:ln>
          </spPr>
          <marker>
            <symbol val="circle"/>
            <size val="6"/>
            <spPr>
              <a:solidFill>
                <a:srgbClr val="2E7D32"/>
              </a:solidFill>
              <a:ln>
                <a:solidFill>
                  <a:srgbClr val="2E7D32"/>
                </a:solidFill>
                <a:prstDash val="solid"/>
              </a:ln>
            </spPr>
          </marker>
          <xVal>
            <numRef>
              <f>'3 Datos de gráficos'!$H$6:$H$7</f>
            </numRef>
          </xVal>
          <yVal>
            <numRef>
              <f>'3 Datos de gráficos'!$G$6:$G$7</f>
            </numRef>
          </yVal>
        </ser>
        <ser>
          <idx val="1"/>
          <order val="1"/>
          <tx>
            <v>Corregible (n = 2)</v>
          </tx>
          <spPr>
            <a:ln>
              <a:noFill/>
              <a:prstDash val="solid"/>
            </a:ln>
          </spPr>
          <marker>
            <symbol val="triangle"/>
            <size val="6"/>
            <spPr>
              <a:solidFill>
                <a:srgbClr val="EF8A17"/>
              </a:solidFill>
              <a:ln>
                <a:solidFill>
                  <a:srgbClr val="EF8A17"/>
                </a:solidFill>
                <a:prstDash val="solid"/>
              </a:ln>
            </spPr>
          </marker>
          <xVal>
            <numRef>
              <f>'3 Datos de gráficos'!$J$6:$J$7</f>
            </numRef>
          </xVal>
          <yVal>
            <numRef>
              <f>'3 Datos de gráficos'!$I$6:$I$7</f>
            </numRef>
          </yVal>
        </ser>
        <ser>
          <idx val="2"/>
          <order val="2"/>
          <tx>
            <v>Corregible, fuera de rango (n = 8)</v>
          </tx>
          <spPr>
            <a:ln>
              <a:noFill/>
              <a:prstDash val="solid"/>
            </a:ln>
          </spPr>
          <marker>
            <symbol val="triangle"/>
            <size val="6"/>
            <spPr>
              <a:noFill/>
              <a:ln>
                <a:solidFill>
                  <a:srgbClr val="EF8A17"/>
                </a:solidFill>
                <a:prstDash val="solid"/>
              </a:ln>
            </spPr>
          </marker>
          <xVal>
            <numRef>
              <f>'3 Datos de gráficos'!$L$6:$L$13</f>
            </numRef>
          </xVal>
          <yVal>
            <numRef>
              <f>'3 Datos de gráficos'!$K$6:$K$13</f>
            </numRef>
          </yVal>
        </ser>
        <ser>
          <idx val="3"/>
          <order val="3"/>
          <tx>
            <v>No convergió (n = 4)</v>
          </tx>
          <spPr>
            <a:ln>
              <a:noFill/>
              <a:prstDash val="solid"/>
            </a:ln>
          </spPr>
          <marker>
            <symbol val="x"/>
            <size val="7"/>
            <spPr>
              <a:noFill/>
              <a:ln>
                <a:solidFill>
                  <a:srgbClr val="C62828"/>
                </a:solidFill>
                <a:prstDash val="solid"/>
              </a:ln>
            </spPr>
          </marker>
          <xVal>
            <numRef>
              <f>'3 Datos de gráficos'!$N$6:$N$9</f>
            </numRef>
          </xVal>
          <yVal>
            <numRef>
              <f>'3 Datos de gráficos'!$M$6:$M$9</f>
            </numRef>
          </yVal>
        </ser>
        <ser>
          <idx val="4"/>
          <order val="4"/>
          <tx>
            <v>Falso convergido (n = 1)</v>
          </tx>
          <spPr>
            <a:ln>
              <a:noFill/>
              <a:prstDash val="solid"/>
            </a:ln>
          </spPr>
          <marker>
            <symbol val="x"/>
            <size val="7"/>
            <spPr>
              <a:noFill/>
              <a:ln>
                <a:solidFill>
                  <a:srgbClr val="9E9E9E"/>
                </a:solidFill>
                <a:prstDash val="solid"/>
              </a:ln>
            </spPr>
          </marker>
          <xVal>
            <numRef>
              <f>'3 Datos de gráficos'!$P$6</f>
            </numRef>
          </xVal>
          <yVal>
            <numRef>
              <f>'3 Datos de gráficos'!$O$6</f>
            </numRef>
          </yVal>
        </ser>
        <axId val="10"/>
        <axId val="20"/>
      </scatterChart>
      <valAx>
        <axId val="10"/>
        <scaling>
          <orientation val="minMax"/>
          <max val="650"/>
          <min val="300"/>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50"/>
      </valAx>
      <valAx>
        <axId val="20"/>
        <scaling>
          <orientation val="minMax"/>
          <max val="12.5"/>
          <min val="-2.5"/>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5"/>
      </valAx>
    </plotArea>
    <legend>
      <legendPos val="b"/>
      <overlay val="0"/>
      <txPr>
        <a:bodyPr/>
        <a:p>
          <a:pPr>
            <a:defRPr sz="700" b="0"/>
          </a:pPr>
          <a:r>
            <a:t/>
          </a:r>
          <a:endParaRPr sz="700" b="0"/>
        </a:p>
      </txPr>
    </legend>
    <plotVisOnly val="0"/>
    <dispBlanksAs val="gap"/>
  </chart>
</chartSpace>
</file>

<file path=xl/charts/chart54.xml><?xml version="1.0" encoding="utf-8"?>
<chartSpace xmlns:a="http://schemas.openxmlformats.org/drawingml/2006/main" xmlns="http://schemas.openxmlformats.org/drawingml/2006/chart">
  <style val="13"/>
  <chart>
    <title>
      <tx>
        <rich>
          <a:bodyPr/>
          <a:p>
            <a:pPr>
              <a:defRPr sz="900" b="1"/>
            </a:pPr>
            <a:r>
              <a:rPr sz="900" b="1"/>
              <a:t>T_sumidero</a:t>
            </a:r>
          </a:p>
        </rich>
      </tx>
      <overlay val="0"/>
    </title>
    <plotArea>
      <scatterChart>
        <varyColors val="0"/>
        <ser>
          <idx val="0"/>
          <order val="0"/>
          <tx>
            <v>KALINA (n = 14)</v>
          </tx>
          <spPr>
            <a:ln>
              <a:noFill/>
              <a:prstDash val="solid"/>
            </a:ln>
          </spPr>
          <marker>
            <symbol val="circle"/>
            <size val="6"/>
            <spPr>
              <a:solidFill>
                <a:srgbClr val="2E7D32"/>
              </a:solidFill>
              <a:ln>
                <a:solidFill>
                  <a:srgbClr val="2E7D32"/>
                </a:solidFill>
                <a:prstDash val="solid"/>
              </a:ln>
            </spPr>
          </marker>
          <xVal>
            <numRef>
              <f>'3 Datos de gráficos'!$R$6:$R$19</f>
            </numRef>
          </xVal>
          <yVal>
            <numRef>
              <f>'3 Datos de gráficos'!$Q$6:$Q$19</f>
            </numRef>
          </yVal>
        </ser>
        <ser>
          <idx val="1"/>
          <order val="1"/>
          <tx>
            <v>Corregible (n = 3)</v>
          </tx>
          <spPr>
            <a:ln>
              <a:noFill/>
              <a:prstDash val="solid"/>
            </a:ln>
          </spPr>
          <marker>
            <symbol val="triangle"/>
            <size val="6"/>
            <spPr>
              <a:solidFill>
                <a:srgbClr val="EF8A17"/>
              </a:solidFill>
              <a:ln>
                <a:solidFill>
                  <a:srgbClr val="EF8A17"/>
                </a:solidFill>
                <a:prstDash val="solid"/>
              </a:ln>
            </spPr>
          </marker>
          <xVal>
            <numRef>
              <f>'3 Datos de gráficos'!$T$6:$T$8</f>
            </numRef>
          </xVal>
          <yVal>
            <numRef>
              <f>'3 Datos de gráficos'!$S$6:$S$8</f>
            </numRef>
          </yVal>
        </ser>
        <axId val="10"/>
        <axId val="20"/>
      </scatterChart>
      <valAx>
        <axId val="10"/>
        <scaling>
          <orientation val="minMax"/>
          <max val="305"/>
          <min val="280"/>
        </scaling>
        <delete val="0"/>
        <axPos val="l"/>
        <majorGridlines/>
        <title>
          <tx>
            <rich>
              <a:bodyPr/>
              <a:p>
                <a:pPr>
                  <a:defRPr sz="800" b="0"/>
                </a:pPr>
                <a:r>
                  <a:rPr sz="800" b="0"/>
                  <a:t>Temperatura del sumidero, T_sumidero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8.800000000000001"/>
          <min val="7.600000000000001"/>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55.xml><?xml version="1.0" encoding="utf-8"?>
<chartSpace xmlns:a="http://schemas.openxmlformats.org/drawingml/2006/main" xmlns="http://schemas.openxmlformats.org/drawingml/2006/chart">
  <style val="13"/>
  <chart>
    <title>
      <tx>
        <rich>
          <a:bodyPr/>
          <a:p>
            <a:pPr>
              <a:defRPr sz="900" b="1"/>
            </a:pPr>
            <a:r>
              <a:rPr sz="900" b="1"/>
              <a:t>P_alta</a:t>
            </a:r>
          </a:p>
        </rich>
      </tx>
      <overlay val="0"/>
    </title>
    <plotArea>
      <scatterChart>
        <varyColors val="0"/>
        <ser>
          <idx val="0"/>
          <order val="0"/>
          <tx>
            <v>KALINA (n = 2)</v>
          </tx>
          <spPr>
            <a:ln>
              <a:noFill/>
              <a:prstDash val="solid"/>
            </a:ln>
          </spPr>
          <marker>
            <symbol val="circle"/>
            <size val="6"/>
            <spPr>
              <a:solidFill>
                <a:srgbClr val="2E7D32"/>
              </a:solidFill>
              <a:ln>
                <a:solidFill>
                  <a:srgbClr val="2E7D32"/>
                </a:solidFill>
                <a:prstDash val="solid"/>
              </a:ln>
            </spPr>
          </marker>
          <xVal>
            <numRef>
              <f>'3 Datos de gráficos'!$V$6:$V$7</f>
            </numRef>
          </xVal>
          <yVal>
            <numRef>
              <f>'3 Datos de gráficos'!$U$6:$U$7</f>
            </numRef>
          </yVal>
        </ser>
        <ser>
          <idx val="1"/>
          <order val="1"/>
          <tx>
            <v>Corregible (n = 5)</v>
          </tx>
          <spPr>
            <a:ln>
              <a:noFill/>
              <a:prstDash val="solid"/>
            </a:ln>
          </spPr>
          <marker>
            <symbol val="triangle"/>
            <size val="6"/>
            <spPr>
              <a:solidFill>
                <a:srgbClr val="EF8A17"/>
              </a:solidFill>
              <a:ln>
                <a:solidFill>
                  <a:srgbClr val="EF8A17"/>
                </a:solidFill>
                <a:prstDash val="solid"/>
              </a:ln>
            </spPr>
          </marker>
          <xVal>
            <numRef>
              <f>'3 Datos de gráficos'!$X$6:$X$10</f>
            </numRef>
          </xVal>
          <yVal>
            <numRef>
              <f>'3 Datos de gráficos'!$W$6:$W$10</f>
            </numRef>
          </yVal>
        </ser>
        <ser>
          <idx val="2"/>
          <order val="2"/>
          <tx>
            <v>No convergió (n = 8)</v>
          </tx>
          <spPr>
            <a:ln>
              <a:noFill/>
              <a:prstDash val="solid"/>
            </a:ln>
          </spPr>
          <marker>
            <symbol val="x"/>
            <size val="7"/>
            <spPr>
              <a:noFill/>
              <a:ln>
                <a:solidFill>
                  <a:srgbClr val="C62828"/>
                </a:solidFill>
                <a:prstDash val="solid"/>
              </a:ln>
            </spPr>
          </marker>
          <xVal>
            <numRef>
              <f>'3 Datos de gráficos'!$Z$6:$Z$13</f>
            </numRef>
          </xVal>
          <yVal>
            <numRef>
              <f>'3 Datos de gráficos'!$Y$6:$Y$13</f>
            </numRef>
          </yVal>
        </ser>
        <ser>
          <idx val="3"/>
          <order val="3"/>
          <tx>
            <v>Falso convergido (n = 2)</v>
          </tx>
          <spPr>
            <a:ln>
              <a:noFill/>
              <a:prstDash val="solid"/>
            </a:ln>
          </spPr>
          <marker>
            <symbol val="x"/>
            <size val="7"/>
            <spPr>
              <a:noFill/>
              <a:ln>
                <a:solidFill>
                  <a:srgbClr val="9E9E9E"/>
                </a:solidFill>
                <a:prstDash val="solid"/>
              </a:ln>
            </spPr>
          </marker>
          <xVal>
            <numRef>
              <f>'3 Datos de gráficos'!$AB$6:$AB$7</f>
            </numRef>
          </xVal>
          <yVal>
            <numRef>
              <f>'3 Datos de gráficos'!$AA$6:$AA$7</f>
            </numRef>
          </yVal>
        </ser>
        <axId val="10"/>
        <axId val="20"/>
      </scatterChart>
      <valAx>
        <axId val="10"/>
        <scaling>
          <orientation val="minMax"/>
          <max val="10000"/>
          <min val="0"/>
        </scaling>
        <delete val="0"/>
        <axPos val="l"/>
        <majorGridlines/>
        <title>
          <tx>
            <rich>
              <a:bodyPr/>
              <a:p>
                <a:pPr>
                  <a:defRPr sz="800" b="0"/>
                </a:pPr>
                <a:r>
                  <a:rPr sz="800" b="0"/>
                  <a:t>Presión de alta, P_alta [kPa]</a:t>
                </a:r>
              </a:p>
            </rich>
          </tx>
          <overlay val="0"/>
        </title>
        <majorTickMark val="none"/>
        <minorTickMark val="none"/>
        <tickLblPos val="low"/>
        <txPr>
          <a:bodyPr/>
          <a:p>
            <a:pPr>
              <a:defRPr sz="700" b="0"/>
            </a:pPr>
            <a:r>
              <a:t/>
            </a:r>
            <a:endParaRPr sz="700" b="0"/>
          </a:p>
        </txPr>
        <crossAx val="20"/>
        <crosses val="min"/>
        <majorUnit val="2000"/>
      </valAx>
      <valAx>
        <axId val="20"/>
        <scaling>
          <orientation val="minMax"/>
          <max val="10"/>
          <min val="-2"/>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
      </valAx>
    </plotArea>
    <legend>
      <legendPos val="b"/>
      <overlay val="0"/>
      <txPr>
        <a:bodyPr/>
        <a:p>
          <a:pPr>
            <a:defRPr sz="700" b="0"/>
          </a:pPr>
          <a:r>
            <a:t/>
          </a:r>
          <a:endParaRPr sz="700" b="0"/>
        </a:p>
      </txPr>
    </legend>
    <plotVisOnly val="0"/>
    <dispBlanksAs val="gap"/>
  </chart>
</chartSpace>
</file>

<file path=xl/charts/chart56.xml><?xml version="1.0" encoding="utf-8"?>
<chartSpace xmlns:a="http://schemas.openxmlformats.org/drawingml/2006/main" xmlns="http://schemas.openxmlformats.org/drawingml/2006/chart">
  <style val="13"/>
  <chart>
    <title>
      <tx>
        <rich>
          <a:bodyPr/>
          <a:p>
            <a:pPr>
              <a:defRPr sz="900" b="1"/>
            </a:pPr>
            <a:r>
              <a:rPr sz="900" b="1"/>
              <a:t>P_baja</a:t>
            </a:r>
          </a:p>
        </rich>
      </tx>
      <overlay val="0"/>
    </title>
    <plotArea>
      <scatterChart>
        <varyColors val="0"/>
        <ser>
          <idx val="0"/>
          <order val="0"/>
          <tx>
            <v>KALINA (n = 11)</v>
          </tx>
          <spPr>
            <a:ln>
              <a:noFill/>
              <a:prstDash val="solid"/>
            </a:ln>
          </spPr>
          <marker>
            <symbol val="circle"/>
            <size val="6"/>
            <spPr>
              <a:solidFill>
                <a:srgbClr val="2E7D32"/>
              </a:solidFill>
              <a:ln>
                <a:solidFill>
                  <a:srgbClr val="2E7D32"/>
                </a:solidFill>
                <a:prstDash val="solid"/>
              </a:ln>
            </spPr>
          </marker>
          <xVal>
            <numRef>
              <f>'3 Datos de gráficos'!$AD$6:$AD$16</f>
            </numRef>
          </xVal>
          <yVal>
            <numRef>
              <f>'3 Datos de gráficos'!$AC$6:$AC$16</f>
            </numRef>
          </yVal>
        </ser>
        <ser>
          <idx val="1"/>
          <order val="1"/>
          <tx>
            <v>Corregible (n = 5)</v>
          </tx>
          <spPr>
            <a:ln>
              <a:noFill/>
              <a:prstDash val="solid"/>
            </a:ln>
          </spPr>
          <marker>
            <symbol val="triangle"/>
            <size val="6"/>
            <spPr>
              <a:solidFill>
                <a:srgbClr val="EF8A17"/>
              </a:solidFill>
              <a:ln>
                <a:solidFill>
                  <a:srgbClr val="EF8A17"/>
                </a:solidFill>
                <a:prstDash val="solid"/>
              </a:ln>
            </spPr>
          </marker>
          <xVal>
            <numRef>
              <f>'3 Datos de gráficos'!$AF$6:$AF$10</f>
            </numRef>
          </xVal>
          <yVal>
            <numRef>
              <f>'3 Datos de gráficos'!$AE$6:$AE$10</f>
            </numRef>
          </yVal>
        </ser>
        <ser>
          <idx val="2"/>
          <order val="2"/>
          <tx>
            <v>Inviable (n = 1)</v>
          </tx>
          <spPr>
            <a:ln>
              <a:noFill/>
              <a:prstDash val="solid"/>
            </a:ln>
          </spPr>
          <marker>
            <symbol val="square"/>
            <size val="6"/>
            <spPr>
              <a:solidFill>
                <a:srgbClr val="C9A227"/>
              </a:solidFill>
              <a:ln>
                <a:solidFill>
                  <a:srgbClr val="C9A227"/>
                </a:solidFill>
                <a:prstDash val="solid"/>
              </a:ln>
            </spPr>
          </marker>
          <xVal>
            <numRef>
              <f>'3 Datos de gráficos'!$AH$6</f>
            </numRef>
          </xVal>
          <yVal>
            <numRef>
              <f>'3 Datos de gráficos'!$AG$6</f>
            </numRef>
          </yVal>
        </ser>
        <axId val="10"/>
        <axId val="20"/>
      </scatterChart>
      <valAx>
        <axId val="10"/>
        <scaling>
          <orientation val="minMax"/>
          <max val="1500"/>
          <min val="0"/>
        </scaling>
        <delete val="0"/>
        <axPos val="l"/>
        <majorGridlines/>
        <title>
          <tx>
            <rich>
              <a:bodyPr/>
              <a:p>
                <a:pPr>
                  <a:defRPr sz="800" b="0"/>
                </a:pPr>
                <a:r>
                  <a:rPr sz="800" b="0"/>
                  <a:t>Presión de baja, P_baja [kPa]</a:t>
                </a:r>
              </a:p>
            </rich>
          </tx>
          <overlay val="0"/>
        </title>
        <majorTickMark val="none"/>
        <minorTickMark val="none"/>
        <tickLblPos val="low"/>
        <txPr>
          <a:bodyPr/>
          <a:p>
            <a:pPr>
              <a:defRPr sz="700" b="0"/>
            </a:pPr>
            <a:r>
              <a:t/>
            </a:r>
            <a:endParaRPr sz="700" b="0"/>
          </a:p>
        </txPr>
        <crossAx val="20"/>
        <crosses val="min"/>
        <majorUnit val="250"/>
      </valAx>
      <valAx>
        <axId val="20"/>
        <scaling>
          <orientation val="minMax"/>
          <max val="12"/>
          <min val="-2"/>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
      </valAx>
    </plotArea>
    <legend>
      <legendPos val="b"/>
      <overlay val="0"/>
      <txPr>
        <a:bodyPr/>
        <a:p>
          <a:pPr>
            <a:defRPr sz="700" b="0"/>
          </a:pPr>
          <a:r>
            <a:t/>
          </a:r>
          <a:endParaRPr sz="700" b="0"/>
        </a:p>
      </txPr>
    </legend>
    <plotVisOnly val="0"/>
    <dispBlanksAs val="gap"/>
  </chart>
</chartSpace>
</file>

<file path=xl/charts/chart57.xml><?xml version="1.0" encoding="utf-8"?>
<chartSpace xmlns:a="http://schemas.openxmlformats.org/drawingml/2006/main" xmlns="http://schemas.openxmlformats.org/drawingml/2006/chart">
  <style val="13"/>
  <chart>
    <title>
      <tx>
        <rich>
          <a:bodyPr/>
          <a:p>
            <a:pPr>
              <a:defRPr sz="900" b="1"/>
            </a:pPr>
            <a:r>
              <a:rPr sz="900" b="1"/>
              <a:t>x_b</a:t>
            </a:r>
          </a:p>
        </rich>
      </tx>
      <overlay val="0"/>
    </title>
    <plotArea>
      <scatterChart>
        <varyColors val="0"/>
        <ser>
          <idx val="0"/>
          <order val="0"/>
          <tx>
            <v>KALINA (n = 2)</v>
          </tx>
          <spPr>
            <a:ln>
              <a:noFill/>
              <a:prstDash val="solid"/>
            </a:ln>
          </spPr>
          <marker>
            <symbol val="circle"/>
            <size val="6"/>
            <spPr>
              <a:solidFill>
                <a:srgbClr val="2E7D32"/>
              </a:solidFill>
              <a:ln>
                <a:solidFill>
                  <a:srgbClr val="2E7D32"/>
                </a:solidFill>
                <a:prstDash val="solid"/>
              </a:ln>
            </spPr>
          </marker>
          <xVal>
            <numRef>
              <f>'3 Datos de gráficos'!$AJ$6:$AJ$7</f>
            </numRef>
          </xVal>
          <yVal>
            <numRef>
              <f>'3 Datos de gráficos'!$AI$6:$AI$7</f>
            </numRef>
          </yVal>
        </ser>
        <ser>
          <idx val="1"/>
          <order val="1"/>
          <tx>
            <v>Corregible (n = 8)</v>
          </tx>
          <spPr>
            <a:ln>
              <a:noFill/>
              <a:prstDash val="solid"/>
            </a:ln>
          </spPr>
          <marker>
            <symbol val="triangle"/>
            <size val="6"/>
            <spPr>
              <a:solidFill>
                <a:srgbClr val="EF8A17"/>
              </a:solidFill>
              <a:ln>
                <a:solidFill>
                  <a:srgbClr val="EF8A17"/>
                </a:solidFill>
                <a:prstDash val="solid"/>
              </a:ln>
            </spPr>
          </marker>
          <xVal>
            <numRef>
              <f>'3 Datos de gráficos'!$AL$6:$AL$13</f>
            </numRef>
          </xVal>
          <yVal>
            <numRef>
              <f>'3 Datos de gráficos'!$AK$6:$AK$13</f>
            </numRef>
          </yVal>
        </ser>
        <ser>
          <idx val="2"/>
          <order val="2"/>
          <tx>
            <v>Inviable (n = 3)</v>
          </tx>
          <spPr>
            <a:ln>
              <a:noFill/>
              <a:prstDash val="solid"/>
            </a:ln>
          </spPr>
          <marker>
            <symbol val="square"/>
            <size val="6"/>
            <spPr>
              <a:solidFill>
                <a:srgbClr val="C9A227"/>
              </a:solidFill>
              <a:ln>
                <a:solidFill>
                  <a:srgbClr val="C9A227"/>
                </a:solidFill>
                <a:prstDash val="solid"/>
              </a:ln>
            </spPr>
          </marker>
          <xVal>
            <numRef>
              <f>'3 Datos de gráficos'!$AN$6:$AN$8</f>
            </numRef>
          </xVal>
          <yVal>
            <numRef>
              <f>'3 Datos de gráficos'!$AM$6:$AM$8</f>
            </numRef>
          </yVal>
        </ser>
        <ser>
          <idx val="3"/>
          <order val="3"/>
          <tx>
            <v>No convergió (n = 1)</v>
          </tx>
          <spPr>
            <a:ln>
              <a:noFill/>
              <a:prstDash val="solid"/>
            </a:ln>
          </spPr>
          <marker>
            <symbol val="x"/>
            <size val="7"/>
            <spPr>
              <a:noFill/>
              <a:ln>
                <a:solidFill>
                  <a:srgbClr val="C62828"/>
                </a:solidFill>
                <a:prstDash val="solid"/>
              </a:ln>
            </spPr>
          </marker>
          <xVal>
            <numRef>
              <f>'3 Datos de gráficos'!$AP$6</f>
            </numRef>
          </xVal>
          <yVal>
            <numRef>
              <f>'3 Datos de gráficos'!$AO$6</f>
            </numRef>
          </yVal>
        </ser>
        <ser>
          <idx val="4"/>
          <order val="4"/>
          <tx>
            <v>Falso convergido (n = 3)</v>
          </tx>
          <spPr>
            <a:ln>
              <a:noFill/>
              <a:prstDash val="solid"/>
            </a:ln>
          </spPr>
          <marker>
            <symbol val="x"/>
            <size val="7"/>
            <spPr>
              <a:noFill/>
              <a:ln>
                <a:solidFill>
                  <a:srgbClr val="9E9E9E"/>
                </a:solidFill>
                <a:prstDash val="solid"/>
              </a:ln>
            </spPr>
          </marker>
          <xVal>
            <numRef>
              <f>'3 Datos de gráficos'!$AR$6:$AR$8</f>
            </numRef>
          </xVal>
          <yVal>
            <numRef>
              <f>'3 Datos de gráficos'!$AQ$6:$AQ$8</f>
            </numRef>
          </yVal>
        </ser>
        <axId val="10"/>
        <axId val="20"/>
      </scatterChart>
      <valAx>
        <axId val="10"/>
        <scaling>
          <orientation val="minMax"/>
          <max val="0.9"/>
          <min val="0.2"/>
        </scaling>
        <delete val="0"/>
        <axPos val="l"/>
        <majorGridlines/>
        <title>
          <tx>
            <rich>
              <a:bodyPr/>
              <a:p>
                <a:pPr>
                  <a:defRPr sz="800" b="0"/>
                </a:pPr>
                <a:r>
                  <a:rPr sz="800" b="0"/>
                  <a:t>Fracción de amoníaco de la mezcla base, x_b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2.5"/>
          <min val="-2.5"/>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5"/>
      </valAx>
    </plotArea>
    <legend>
      <legendPos val="b"/>
      <overlay val="0"/>
      <txPr>
        <a:bodyPr/>
        <a:p>
          <a:pPr>
            <a:defRPr sz="700" b="0"/>
          </a:pPr>
          <a:r>
            <a:t/>
          </a:r>
          <a:endParaRPr sz="700" b="0"/>
        </a:p>
      </txPr>
    </legend>
    <plotVisOnly val="0"/>
    <dispBlanksAs val="gap"/>
  </chart>
</chartSpace>
</file>

<file path=xl/charts/chart58.xml><?xml version="1.0" encoding="utf-8"?>
<chartSpace xmlns:a="http://schemas.openxmlformats.org/drawingml/2006/main" xmlns="http://schemas.openxmlformats.org/drawingml/2006/chart">
  <style val="13"/>
  <chart>
    <title>
      <tx>
        <rich>
          <a:bodyPr/>
          <a:p>
            <a:pPr>
              <a:defRPr sz="900" b="1"/>
            </a:pPr>
            <a:r>
              <a:rPr sz="900" b="1"/>
              <a:t>η_t</a:t>
            </a:r>
          </a:p>
        </rich>
      </tx>
      <overlay val="0"/>
    </title>
    <plotArea>
      <scatterChart>
        <varyColors val="0"/>
        <ser>
          <idx val="0"/>
          <order val="0"/>
          <tx>
            <v>KALINA (n = 10)</v>
          </tx>
          <spPr>
            <a:ln>
              <a:noFill/>
              <a:prstDash val="solid"/>
            </a:ln>
          </spPr>
          <marker>
            <symbol val="circle"/>
            <size val="6"/>
            <spPr>
              <a:solidFill>
                <a:srgbClr val="2E7D32"/>
              </a:solidFill>
              <a:ln>
                <a:solidFill>
                  <a:srgbClr val="2E7D32"/>
                </a:solidFill>
                <a:prstDash val="solid"/>
              </a:ln>
            </spPr>
          </marker>
          <xVal>
            <numRef>
              <f>'3 Datos de gráficos'!$AT$6:$AT$15</f>
            </numRef>
          </xVal>
          <yVal>
            <numRef>
              <f>'3 Datos de gráficos'!$AS$6:$AS$15</f>
            </numRef>
          </yVal>
        </ser>
        <ser>
          <idx val="1"/>
          <order val="1"/>
          <tx>
            <v>Corregible (n = 7)</v>
          </tx>
          <spPr>
            <a:ln>
              <a:noFill/>
              <a:prstDash val="solid"/>
            </a:ln>
          </spPr>
          <marker>
            <symbol val="triangle"/>
            <size val="6"/>
            <spPr>
              <a:solidFill>
                <a:srgbClr val="EF8A17"/>
              </a:solidFill>
              <a:ln>
                <a:solidFill>
                  <a:srgbClr val="EF8A17"/>
                </a:solidFill>
                <a:prstDash val="solid"/>
              </a:ln>
            </spPr>
          </marker>
          <xVal>
            <numRef>
              <f>'3 Datos de gráficos'!$AV$6:$AV$12</f>
            </numRef>
          </xVal>
          <yVal>
            <numRef>
              <f>'3 Datos de gráficos'!$AU$6:$AU$12</f>
            </numRef>
          </yVal>
        </ser>
        <axId val="10"/>
        <axId val="20"/>
      </scatterChart>
      <valAx>
        <axId val="10"/>
        <scaling>
          <orientation val="minMax"/>
          <max val="1"/>
          <min val="0.4"/>
        </scaling>
        <delete val="0"/>
        <axPos val="l"/>
        <majorGridlines/>
        <title>
          <tx>
            <rich>
              <a:bodyPr/>
              <a:p>
                <a:pPr>
                  <a:defRPr sz="800" b="0"/>
                </a:pPr>
                <a:r>
                  <a:rPr sz="800" b="0"/>
                  <a:t>Eficiencia isentrópica de la turbina, η_t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0"/>
          <min val="3"/>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59.xml><?xml version="1.0" encoding="utf-8"?>
<chartSpace xmlns:a="http://schemas.openxmlformats.org/drawingml/2006/main" xmlns="http://schemas.openxmlformats.org/drawingml/2006/chart">
  <style val="13"/>
  <chart>
    <title>
      <tx>
        <rich>
          <a:bodyPr/>
          <a:p>
            <a:pPr>
              <a:defRPr sz="900" b="1"/>
            </a:pPr>
            <a:r>
              <a:rPr sz="900" b="1"/>
              <a:t>η_p</a:t>
            </a:r>
          </a:p>
        </rich>
      </tx>
      <overlay val="0"/>
    </title>
    <plotArea>
      <scatterChart>
        <varyColors val="0"/>
        <ser>
          <idx val="0"/>
          <order val="0"/>
          <tx>
            <v>KALINA (n = 17)</v>
          </tx>
          <spPr>
            <a:ln>
              <a:noFill/>
              <a:prstDash val="solid"/>
            </a:ln>
          </spPr>
          <marker>
            <symbol val="circle"/>
            <size val="6"/>
            <spPr>
              <a:solidFill>
                <a:srgbClr val="2E7D32"/>
              </a:solidFill>
              <a:ln>
                <a:solidFill>
                  <a:srgbClr val="2E7D32"/>
                </a:solidFill>
                <a:prstDash val="solid"/>
              </a:ln>
            </spPr>
          </marker>
          <xVal>
            <numRef>
              <f>'3 Datos de gráficos'!$AX$6:$AX$22</f>
            </numRef>
          </xVal>
          <yVal>
            <numRef>
              <f>'3 Datos de gráficos'!$AW$6:$AW$22</f>
            </numRef>
          </yVal>
        </ser>
        <axId val="10"/>
        <axId val="20"/>
      </scatterChart>
      <valAx>
        <axId val="10"/>
        <scaling>
          <orientation val="minMax"/>
          <max val="1"/>
          <min val="0.4"/>
        </scaling>
        <delete val="0"/>
        <axPos val="l"/>
        <majorGridlines/>
        <title>
          <tx>
            <rich>
              <a:bodyPr/>
              <a:p>
                <a:pPr>
                  <a:defRPr sz="800" b="0"/>
                </a:pPr>
                <a:r>
                  <a:rPr sz="800" b="0"/>
                  <a:t>Eficiencia isentrópica de la bomba, η_p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8.75"/>
          <min val="7.25"/>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0.25"/>
      </valAx>
    </plotArea>
    <legend>
      <legendPos val="b"/>
      <overlay val="0"/>
      <txPr>
        <a:bodyPr/>
        <a:p>
          <a:pPr>
            <a:defRPr sz="700" b="0"/>
          </a:pPr>
          <a:r>
            <a:t/>
          </a:r>
          <a:endParaRPr sz="700" b="0"/>
        </a:p>
      </txPr>
    </legend>
    <plotVisOnly val="0"/>
    <dispBlanksAs val="gap"/>
  </chart>
</chartSpace>
</file>

<file path=xl/charts/chart60.xml><?xml version="1.0" encoding="utf-8"?>
<chartSpace xmlns:a="http://schemas.openxmlformats.org/drawingml/2006/main" xmlns="http://schemas.openxmlformats.org/drawingml/2006/chart">
  <style val="13"/>
  <chart>
    <title>
      <tx>
        <rich>
          <a:bodyPr/>
          <a:p>
            <a:pPr>
              <a:defRPr sz="900" b="1"/>
            </a:pPr>
            <a:r>
              <a:rPr sz="900" b="1"/>
              <a:t>ε_HRVG</a:t>
            </a:r>
          </a:p>
        </rich>
      </tx>
      <overlay val="0"/>
    </title>
    <plotArea>
      <scatterChart>
        <varyColors val="0"/>
        <ser>
          <idx val="0"/>
          <order val="0"/>
          <tx>
            <v>KALINA (n = 14)</v>
          </tx>
          <spPr>
            <a:ln>
              <a:noFill/>
              <a:prstDash val="solid"/>
            </a:ln>
          </spPr>
          <marker>
            <symbol val="circle"/>
            <size val="6"/>
            <spPr>
              <a:solidFill>
                <a:srgbClr val="2E7D32"/>
              </a:solidFill>
              <a:ln>
                <a:solidFill>
                  <a:srgbClr val="2E7D32"/>
                </a:solidFill>
                <a:prstDash val="solid"/>
              </a:ln>
            </spPr>
          </marker>
          <xVal>
            <numRef>
              <f>'3 Datos de gráficos'!$AZ$6:$AZ$19</f>
            </numRef>
          </xVal>
          <yVal>
            <numRef>
              <f>'3 Datos de gráficos'!$AY$6:$AY$19</f>
            </numRef>
          </yVal>
        </ser>
        <ser>
          <idx val="1"/>
          <order val="1"/>
          <tx>
            <v>Corregible (n = 2)</v>
          </tx>
          <spPr>
            <a:ln>
              <a:noFill/>
              <a:prstDash val="solid"/>
            </a:ln>
          </spPr>
          <marker>
            <symbol val="triangle"/>
            <size val="6"/>
            <spPr>
              <a:solidFill>
                <a:srgbClr val="EF8A17"/>
              </a:solidFill>
              <a:ln>
                <a:solidFill>
                  <a:srgbClr val="EF8A17"/>
                </a:solidFill>
                <a:prstDash val="solid"/>
              </a:ln>
            </spPr>
          </marker>
          <xVal>
            <numRef>
              <f>'3 Datos de gráficos'!$BB$6:$BB$7</f>
            </numRef>
          </xVal>
          <yVal>
            <numRef>
              <f>'3 Datos de gráficos'!$BA$6:$BA$7</f>
            </numRef>
          </yVal>
        </ser>
        <ser>
          <idx val="2"/>
          <order val="2"/>
          <tx>
            <v>Inviable (n = 1)</v>
          </tx>
          <spPr>
            <a:ln>
              <a:noFill/>
              <a:prstDash val="solid"/>
            </a:ln>
          </spPr>
          <marker>
            <symbol val="square"/>
            <size val="6"/>
            <spPr>
              <a:solidFill>
                <a:srgbClr val="C9A227"/>
              </a:solidFill>
              <a:ln>
                <a:solidFill>
                  <a:srgbClr val="C9A227"/>
                </a:solidFill>
                <a:prstDash val="solid"/>
              </a:ln>
            </spPr>
          </marker>
          <xVal>
            <numRef>
              <f>'3 Datos de gráficos'!$BD$6</f>
            </numRef>
          </xVal>
          <yVal>
            <numRef>
              <f>'3 Datos de gráficos'!$BC$6</f>
            </numRef>
          </yVal>
        </ser>
        <axId val="10"/>
        <axId val="20"/>
      </scatterChart>
      <valAx>
        <axId val="10"/>
        <scaling>
          <orientation val="minMax"/>
          <max val="1"/>
          <min val="0.4"/>
        </scaling>
        <delete val="0"/>
        <axPos val="l"/>
        <majorGridlines/>
        <title>
          <tx>
            <rich>
              <a:bodyPr/>
              <a:p>
                <a:pPr>
                  <a:defRPr sz="800" b="0"/>
                </a:pPr>
                <a:r>
                  <a:rPr sz="800" b="0"/>
                  <a:t>Efectividad del generador de vapor, ε_HRVG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0"/>
          <min val="2"/>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
      </valAx>
    </plotArea>
    <legend>
      <legendPos val="b"/>
      <overlay val="0"/>
      <txPr>
        <a:bodyPr/>
        <a:p>
          <a:pPr>
            <a:defRPr sz="700" b="0"/>
          </a:pPr>
          <a:r>
            <a:t/>
          </a:r>
          <a:endParaRPr sz="700" b="0"/>
        </a:p>
      </txPr>
    </legend>
    <plotVisOnly val="0"/>
    <dispBlanksAs val="gap"/>
  </chart>
</chartSpace>
</file>

<file path=xl/charts/chart61.xml><?xml version="1.0" encoding="utf-8"?>
<chartSpace xmlns:a="http://schemas.openxmlformats.org/drawingml/2006/main" xmlns="http://schemas.openxmlformats.org/drawingml/2006/chart">
  <style val="13"/>
  <chart>
    <title>
      <tx>
        <rich>
          <a:bodyPr/>
          <a:p>
            <a:pPr>
              <a:defRPr sz="900" b="1"/>
            </a:pPr>
            <a:r>
              <a:rPr sz="900" b="1"/>
              <a:t>ε_reg</a:t>
            </a:r>
          </a:p>
        </rich>
      </tx>
      <overlay val="0"/>
    </title>
    <plotArea>
      <scatterChart>
        <varyColors val="0"/>
        <ser>
          <idx val="0"/>
          <order val="0"/>
          <tx>
            <v>KALINA (n = 8)</v>
          </tx>
          <spPr>
            <a:ln>
              <a:noFill/>
              <a:prstDash val="solid"/>
            </a:ln>
          </spPr>
          <marker>
            <symbol val="circle"/>
            <size val="6"/>
            <spPr>
              <a:solidFill>
                <a:srgbClr val="2E7D32"/>
              </a:solidFill>
              <a:ln>
                <a:solidFill>
                  <a:srgbClr val="2E7D32"/>
                </a:solidFill>
                <a:prstDash val="solid"/>
              </a:ln>
            </spPr>
          </marker>
          <xVal>
            <numRef>
              <f>'3 Datos de gráficos'!$BF$6:$BF$13</f>
            </numRef>
          </xVal>
          <yVal>
            <numRef>
              <f>'3 Datos de gráficos'!$BE$6:$BE$13</f>
            </numRef>
          </yVal>
        </ser>
        <ser>
          <idx val="1"/>
          <order val="1"/>
          <tx>
            <v>Corregible (n = 9)</v>
          </tx>
          <spPr>
            <a:ln>
              <a:noFill/>
              <a:prstDash val="solid"/>
            </a:ln>
          </spPr>
          <marker>
            <symbol val="triangle"/>
            <size val="6"/>
            <spPr>
              <a:solidFill>
                <a:srgbClr val="EF8A17"/>
              </a:solidFill>
              <a:ln>
                <a:solidFill>
                  <a:srgbClr val="EF8A17"/>
                </a:solidFill>
                <a:prstDash val="solid"/>
              </a:ln>
            </spPr>
          </marker>
          <xVal>
            <numRef>
              <f>'3 Datos de gráficos'!$BH$6:$BH$14</f>
            </numRef>
          </xVal>
          <yVal>
            <numRef>
              <f>'3 Datos de gráficos'!$BG$6:$BG$14</f>
            </numRef>
          </yVal>
        </ser>
        <axId val="10"/>
        <axId val="20"/>
      </scatterChart>
      <valAx>
        <axId val="10"/>
        <scaling>
          <orientation val="minMax"/>
          <max val="1"/>
          <min val="0.4"/>
        </scaling>
        <delete val="0"/>
        <axPos val="l"/>
        <majorGridlines/>
        <title>
          <tx>
            <rich>
              <a:bodyPr/>
              <a:p>
                <a:pPr>
                  <a:defRPr sz="800" b="0"/>
                </a:pPr>
                <a:r>
                  <a:rPr sz="800" b="0"/>
                  <a:t>Efectividad del regenerador, ε_reg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1"/>
          <min val="5"/>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62.xml><?xml version="1.0" encoding="utf-8"?>
<chartSpace xmlns:a="http://schemas.openxmlformats.org/drawingml/2006/main" xmlns="http://schemas.openxmlformats.org/drawingml/2006/chart">
  <style val="13"/>
  <chart>
    <title>
      <tx>
        <rich>
          <a:bodyPr/>
          <a:p>
            <a:pPr>
              <a:defRPr sz="900" b="1"/>
            </a:pPr>
            <a:r>
              <a:rPr sz="900" b="1"/>
              <a:t>ε_cond</a:t>
            </a:r>
          </a:p>
        </rich>
      </tx>
      <overlay val="0"/>
    </title>
    <plotArea>
      <scatterChart>
        <varyColors val="0"/>
        <ser>
          <idx val="0"/>
          <order val="0"/>
          <tx>
            <v>KALINA (n = 5)</v>
          </tx>
          <spPr>
            <a:ln>
              <a:noFill/>
              <a:prstDash val="solid"/>
            </a:ln>
          </spPr>
          <marker>
            <symbol val="circle"/>
            <size val="6"/>
            <spPr>
              <a:solidFill>
                <a:srgbClr val="2E7D32"/>
              </a:solidFill>
              <a:ln>
                <a:solidFill>
                  <a:srgbClr val="2E7D32"/>
                </a:solidFill>
                <a:prstDash val="solid"/>
              </a:ln>
            </spPr>
          </marker>
          <xVal>
            <numRef>
              <f>'3 Datos de gráficos'!$BJ$6:$BJ$10</f>
            </numRef>
          </xVal>
          <yVal>
            <numRef>
              <f>'3 Datos de gráficos'!$BI$6:$BI$10</f>
            </numRef>
          </yVal>
        </ser>
        <ser>
          <idx val="1"/>
          <order val="1"/>
          <tx>
            <v>Corregible (n = 8)</v>
          </tx>
          <spPr>
            <a:ln>
              <a:noFill/>
              <a:prstDash val="solid"/>
            </a:ln>
          </spPr>
          <marker>
            <symbol val="triangle"/>
            <size val="6"/>
            <spPr>
              <a:solidFill>
                <a:srgbClr val="EF8A17"/>
              </a:solidFill>
              <a:ln>
                <a:solidFill>
                  <a:srgbClr val="EF8A17"/>
                </a:solidFill>
                <a:prstDash val="solid"/>
              </a:ln>
            </spPr>
          </marker>
          <xVal>
            <numRef>
              <f>'3 Datos de gráficos'!$BL$6:$BL$13</f>
            </numRef>
          </xVal>
          <yVal>
            <numRef>
              <f>'3 Datos de gráficos'!$BK$6:$BK$13</f>
            </numRef>
          </yVal>
        </ser>
        <ser>
          <idx val="2"/>
          <order val="2"/>
          <tx>
            <v>No convergió (n = 4)</v>
          </tx>
          <spPr>
            <a:ln>
              <a:noFill/>
              <a:prstDash val="solid"/>
            </a:ln>
          </spPr>
          <marker>
            <symbol val="x"/>
            <size val="7"/>
            <spPr>
              <a:noFill/>
              <a:ln>
                <a:solidFill>
                  <a:srgbClr val="C62828"/>
                </a:solidFill>
                <a:prstDash val="solid"/>
              </a:ln>
            </spPr>
          </marker>
          <xVal>
            <numRef>
              <f>'3 Datos de gráficos'!$BN$6:$BN$9</f>
            </numRef>
          </xVal>
          <yVal>
            <numRef>
              <f>'3 Datos de gráficos'!$BM$6:$BM$9</f>
            </numRef>
          </yVal>
        </ser>
        <axId val="10"/>
        <axId val="20"/>
      </scatterChart>
      <valAx>
        <axId val="10"/>
        <scaling>
          <orientation val="minMax"/>
          <max val="1"/>
          <min val="0.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0"/>
          <min val="-2"/>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
      </valAx>
    </plotArea>
    <legend>
      <legendPos val="b"/>
      <overlay val="0"/>
      <txPr>
        <a:bodyPr/>
        <a:p>
          <a:pPr>
            <a:defRPr sz="700" b="0"/>
          </a:pPr>
          <a:r>
            <a:t/>
          </a:r>
          <a:endParaRPr sz="700" b="0"/>
        </a:p>
      </txPr>
    </legend>
    <plotVisOnly val="0"/>
    <dispBlanksAs val="gap"/>
  </chart>
</chartSpace>
</file>

<file path=xl/charts/chart63.xml><?xml version="1.0" encoding="utf-8"?>
<chartSpace xmlns:a="http://schemas.openxmlformats.org/drawingml/2006/main" xmlns="http://schemas.openxmlformats.org/drawingml/2006/chart">
  <style val="10"/>
  <chart>
    <title>
      <tx>
        <rich>
          <a:bodyPr/>
          <a:p>
            <a:pPr>
              <a:defRPr sz="1100" b="1"/>
            </a:pPr>
            <a:r>
              <a:rPr sz="1100" b="1"/>
              <a:t>Influencia de cada variable sobre η (PRCC, 430 puntos)</a:t>
            </a:r>
          </a:p>
        </rich>
      </tx>
      <overlay val="0"/>
    </title>
    <plotArea>
      <barChart>
        <barDir val="bar"/>
        <grouping val="clustered"/>
        <varyColors val="0"/>
        <ser>
          <idx val="0"/>
          <order val="0"/>
          <tx>
            <v>PRCC sobre η [–]</v>
          </tx>
          <spPr>
            <a:solidFill>
              <a:srgbClr val="2E7D32"/>
            </a:solidFill>
            <a:ln>
              <a:solidFill>
                <a:srgbClr val="2E7D32"/>
              </a:solidFill>
              <a:prstDash val="solid"/>
            </a:ln>
          </spPr>
          <invertIfNegative val="0"/>
          <dPt>
            <idx val="0"/>
            <invertIfNegative val="0"/>
            <spPr>
              <a:solidFill>
                <a:srgbClr val="2E7D32"/>
              </a:solidFill>
              <a:ln>
                <a:prstDash val="solid"/>
              </a:ln>
            </spPr>
          </dPt>
          <dPt>
            <idx val="1"/>
            <invertIfNegative val="0"/>
            <spPr>
              <a:solidFill>
                <a:srgbClr val="2E7D32"/>
              </a:solidFill>
              <a:ln>
                <a:prstDash val="solid"/>
              </a:ln>
            </spPr>
          </dPt>
          <dPt>
            <idx val="2"/>
            <invertIfNegative val="0"/>
            <spPr>
              <a:solidFill>
                <a:srgbClr val="C62828"/>
              </a:solidFill>
              <a:ln>
                <a:prstDash val="solid"/>
              </a:ln>
            </spPr>
          </dPt>
          <dPt>
            <idx val="3"/>
            <invertIfNegative val="0"/>
            <spPr>
              <a:solidFill>
                <a:srgbClr val="2E7D32"/>
              </a:solidFill>
              <a:ln>
                <a:prstDash val="solid"/>
              </a:ln>
            </spPr>
          </dPt>
          <dPt>
            <idx val="4"/>
            <invertIfNegative val="0"/>
            <spPr>
              <a:solidFill>
                <a:srgbClr val="2E7D32"/>
              </a:solidFill>
              <a:ln>
                <a:prstDash val="solid"/>
              </a:ln>
            </spPr>
          </dPt>
          <dPt>
            <idx val="5"/>
            <invertIfNegative val="0"/>
            <spPr>
              <a:solidFill>
                <a:srgbClr val="2E7D32"/>
              </a:solidFill>
              <a:ln>
                <a:prstDash val="solid"/>
              </a:ln>
            </spPr>
          </dPt>
          <dPt>
            <idx val="6"/>
            <invertIfNegative val="0"/>
            <spPr>
              <a:solidFill>
                <a:srgbClr val="2E7D32"/>
              </a:solidFill>
              <a:ln>
                <a:prstDash val="solid"/>
              </a:ln>
            </spPr>
          </dPt>
          <dPt>
            <idx val="7"/>
            <invertIfNegative val="0"/>
            <spPr>
              <a:solidFill>
                <a:srgbClr val="2E7D32"/>
              </a:solidFill>
              <a:ln>
                <a:prstDash val="solid"/>
              </a:ln>
            </spPr>
          </dPt>
          <dPt>
            <idx val="8"/>
            <invertIfNegative val="0"/>
            <spPr>
              <a:solidFill>
                <a:srgbClr val="2E7D32"/>
              </a:solidFill>
              <a:ln>
                <a:prstDash val="solid"/>
              </a:ln>
            </spPr>
          </dPt>
          <dPt>
            <idx val="9"/>
            <invertIfNegative val="0"/>
            <spPr>
              <a:solidFill>
                <a:srgbClr val="C62828"/>
              </a:solidFill>
              <a:ln>
                <a:prstDash val="solid"/>
              </a:ln>
            </spPr>
          </dPt>
          <cat>
            <numRef>
              <f>'3 Datos de gráficos'!$EW$6:$EW$15</f>
            </numRef>
          </cat>
          <val>
            <numRef>
              <f>'3 Datos de gráficos'!$EX$6:$EX$15</f>
            </numRef>
          </val>
        </ser>
        <gapWidth val="150"/>
        <axId val="10"/>
        <axId val="100"/>
      </barChart>
      <catAx>
        <axId val="10"/>
        <scaling>
          <orientation val="minMax"/>
        </scaling>
        <delete val="0"/>
        <axPos val="l"/>
        <title>
          <tx>
            <rich>
              <a:bodyPr/>
              <a:p>
                <a:pPr>
                  <a:defRPr sz="900" b="0"/>
                </a:pPr>
                <a:r>
                  <a:rPr sz="900" b="0"/>
                  <a:t>Variable</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PRCC sobre η [–]</a:t>
                </a:r>
              </a:p>
            </rich>
          </tx>
          <overlay val="0"/>
        </title>
        <majorTickMark val="none"/>
        <minorTickMark val="none"/>
        <tickLblPos val="low"/>
        <txPr>
          <a:bodyPr/>
          <a:p>
            <a:pPr>
              <a:defRPr sz="800" b="0"/>
            </a:pPr>
            <a:r>
              <a:t/>
            </a:r>
            <a:endParaRPr sz="800" b="0"/>
          </a:p>
        </txPr>
        <crossAx val="10"/>
        <crosses val="autoZero"/>
      </valAx>
    </plotArea>
    <plotVisOnly val="0"/>
    <dispBlanksAs val="gap"/>
  </chart>
</chartSpace>
</file>

<file path=xl/charts/chart64.xml><?xml version="1.0" encoding="utf-8"?>
<chartSpace xmlns:a="http://schemas.openxmlformats.org/drawingml/2006/main" xmlns="http://schemas.openxmlformats.org/drawingml/2006/chart">
  <style val="13"/>
  <chart>
    <title>
      <tx>
        <rich>
          <a:bodyPr/>
          <a:p>
            <a:pPr>
              <a:defRPr sz="900" b="1"/>
            </a:pPr>
            <a:r>
              <a:rPr sz="900" b="1"/>
              <a:t>T_fuente</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gráficos'!$BT$6:$BT$126</f>
            </numRef>
          </xVal>
          <yVal>
            <numRef>
              <f>'3 Datos de gráficos'!$BS$6:$BS$126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gráficos'!$BV$6:$BV$336</f>
            </numRef>
          </xVal>
          <yVal>
            <numRef>
              <f>'3 Datos de gráficos'!$BU$6:$BU$336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gráficos'!$BX$6:$BX$53</f>
            </numRef>
          </xVal>
          <yVal>
            <numRef>
              <f>'3 Datos de gráficos'!$BW$6:$BW$53</f>
            </numRef>
          </yVal>
          <smooth val="0"/>
        </ser>
        <axId val="10"/>
        <axId val="20"/>
      </scatterChart>
      <valAx>
        <axId val="10"/>
        <scaling>
          <orientation val="minMax"/>
          <max val="500"/>
          <min val="375"/>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25"/>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65.xml><?xml version="1.0" encoding="utf-8"?>
<chartSpace xmlns:a="http://schemas.openxmlformats.org/drawingml/2006/main" xmlns="http://schemas.openxmlformats.org/drawingml/2006/chart">
  <style val="13"/>
  <chart>
    <title>
      <tx>
        <rich>
          <a:bodyPr/>
          <a:p>
            <a:pPr>
              <a:defRPr sz="900" b="1"/>
            </a:pPr>
            <a:r>
              <a:rPr sz="900" b="1"/>
              <a:t>T_sumidero</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gráficos'!$BZ$6:$BZ$126</f>
            </numRef>
          </xVal>
          <yVal>
            <numRef>
              <f>'3 Datos de gráficos'!$BY$6:$BY$126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gráficos'!$CB$6:$CB$336</f>
            </numRef>
          </xVal>
          <yVal>
            <numRef>
              <f>'3 Datos de gráficos'!$CA$6:$CA$336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gráficos'!$CD$6:$CD$53</f>
            </numRef>
          </xVal>
          <yVal>
            <numRef>
              <f>'3 Datos de gráficos'!$CC$6:$CC$53</f>
            </numRef>
          </yVal>
          <smooth val="0"/>
        </ser>
        <axId val="10"/>
        <axId val="20"/>
      </scatterChart>
      <valAx>
        <axId val="10"/>
        <scaling>
          <orientation val="minMax"/>
          <max val="305"/>
          <min val="275"/>
        </scaling>
        <delete val="0"/>
        <axPos val="l"/>
        <majorGridlines/>
        <title>
          <tx>
            <rich>
              <a:bodyPr/>
              <a:p>
                <a:pPr>
                  <a:defRPr sz="800" b="0"/>
                </a:pPr>
                <a:r>
                  <a:rPr sz="800" b="0"/>
                  <a:t>Temperatura del sumidero, T_sumidero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66.xml><?xml version="1.0" encoding="utf-8"?>
<chartSpace xmlns:a="http://schemas.openxmlformats.org/drawingml/2006/main" xmlns="http://schemas.openxmlformats.org/drawingml/2006/chart">
  <style val="13"/>
  <chart>
    <title>
      <tx>
        <rich>
          <a:bodyPr/>
          <a:p>
            <a:pPr>
              <a:defRPr sz="900" b="1"/>
            </a:pPr>
            <a:r>
              <a:rPr sz="900" b="1"/>
              <a:t>P_alta</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gráficos'!$CF$6:$CF$126</f>
            </numRef>
          </xVal>
          <yVal>
            <numRef>
              <f>'3 Datos de gráficos'!$CE$6:$CE$126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gráficos'!$CH$6:$CH$336</f>
            </numRef>
          </xVal>
          <yVal>
            <numRef>
              <f>'3 Datos de gráficos'!$CG$6:$CG$336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gráficos'!$CJ$6:$CJ$53</f>
            </numRef>
          </xVal>
          <yVal>
            <numRef>
              <f>'3 Datos de gráficos'!$CI$6:$CI$53</f>
            </numRef>
          </yVal>
          <smooth val="0"/>
        </ser>
        <axId val="10"/>
        <axId val="20"/>
      </scatterChart>
      <valAx>
        <axId val="10"/>
        <scaling>
          <orientation val="minMax"/>
          <max val="5000"/>
          <min val="2000"/>
        </scaling>
        <delete val="0"/>
        <axPos val="l"/>
        <majorGridlines/>
        <title>
          <tx>
            <rich>
              <a:bodyPr/>
              <a:p>
                <a:pPr>
                  <a:defRPr sz="800" b="0"/>
                </a:pPr>
                <a:r>
                  <a:rPr sz="800" b="0"/>
                  <a:t>Presión de alta, P_alta [kPa]</a:t>
                </a:r>
              </a:p>
            </rich>
          </tx>
          <overlay val="0"/>
        </title>
        <majorTickMark val="none"/>
        <minorTickMark val="none"/>
        <tickLblPos val="low"/>
        <txPr>
          <a:bodyPr/>
          <a:p>
            <a:pPr>
              <a:defRPr sz="700" b="0"/>
            </a:pPr>
            <a:r>
              <a:t/>
            </a:r>
            <a:endParaRPr sz="700" b="0"/>
          </a:p>
        </txPr>
        <crossAx val="20"/>
        <crosses val="min"/>
        <majorUnit val="500"/>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67.xml><?xml version="1.0" encoding="utf-8"?>
<chartSpace xmlns:a="http://schemas.openxmlformats.org/drawingml/2006/main" xmlns="http://schemas.openxmlformats.org/drawingml/2006/chart">
  <style val="13"/>
  <chart>
    <title>
      <tx>
        <rich>
          <a:bodyPr/>
          <a:p>
            <a:pPr>
              <a:defRPr sz="900" b="1"/>
            </a:pPr>
            <a:r>
              <a:rPr sz="900" b="1"/>
              <a:t>P_baja</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gráficos'!$CL$6:$CL$126</f>
            </numRef>
          </xVal>
          <yVal>
            <numRef>
              <f>'3 Datos de gráficos'!$CK$6:$CK$126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gráficos'!$CN$6:$CN$336</f>
            </numRef>
          </xVal>
          <yVal>
            <numRef>
              <f>'3 Datos de gráficos'!$CM$6:$CM$336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gráficos'!$CP$6:$CP$53</f>
            </numRef>
          </xVal>
          <yVal>
            <numRef>
              <f>'3 Datos de gráficos'!$CO$6:$CO$53</f>
            </numRef>
          </yVal>
          <smooth val="0"/>
        </ser>
        <axId val="10"/>
        <axId val="20"/>
      </scatterChart>
      <valAx>
        <axId val="10"/>
        <scaling>
          <orientation val="minMax"/>
          <max val="1500"/>
          <min val="250"/>
        </scaling>
        <delete val="0"/>
        <axPos val="l"/>
        <majorGridlines/>
        <title>
          <tx>
            <rich>
              <a:bodyPr/>
              <a:p>
                <a:pPr>
                  <a:defRPr sz="800" b="0"/>
                </a:pPr>
                <a:r>
                  <a:rPr sz="800" b="0"/>
                  <a:t>Presión de baja, P_baja [kPa]</a:t>
                </a:r>
              </a:p>
            </rich>
          </tx>
          <overlay val="0"/>
        </title>
        <majorTickMark val="none"/>
        <minorTickMark val="none"/>
        <tickLblPos val="low"/>
        <txPr>
          <a:bodyPr/>
          <a:p>
            <a:pPr>
              <a:defRPr sz="700" b="0"/>
            </a:pPr>
            <a:r>
              <a:t/>
            </a:r>
            <a:endParaRPr sz="700" b="0"/>
          </a:p>
        </txPr>
        <crossAx val="20"/>
        <crosses val="min"/>
        <majorUnit val="250"/>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68.xml><?xml version="1.0" encoding="utf-8"?>
<chartSpace xmlns:a="http://schemas.openxmlformats.org/drawingml/2006/main" xmlns="http://schemas.openxmlformats.org/drawingml/2006/chart">
  <style val="13"/>
  <chart>
    <title>
      <tx>
        <rich>
          <a:bodyPr/>
          <a:p>
            <a:pPr>
              <a:defRPr sz="900" b="1"/>
            </a:pPr>
            <a:r>
              <a:rPr sz="900" b="1"/>
              <a:t>x_b</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gráficos'!$CR$6:$CR$126</f>
            </numRef>
          </xVal>
          <yVal>
            <numRef>
              <f>'3 Datos de gráficos'!$CQ$6:$CQ$126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gráficos'!$CT$6:$CT$336</f>
            </numRef>
          </xVal>
          <yVal>
            <numRef>
              <f>'3 Datos de gráficos'!$CS$6:$CS$336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gráficos'!$CV$6:$CV$53</f>
            </numRef>
          </xVal>
          <yVal>
            <numRef>
              <f>'3 Datos de gráficos'!$CU$6:$CU$53</f>
            </numRef>
          </yVal>
          <smooth val="0"/>
        </ser>
        <axId val="10"/>
        <axId val="20"/>
      </scatterChart>
      <valAx>
        <axId val="10"/>
        <scaling>
          <orientation val="minMax"/>
          <max val="0.9"/>
          <min val="0.5"/>
        </scaling>
        <delete val="0"/>
        <axPos val="l"/>
        <majorGridlines/>
        <title>
          <tx>
            <rich>
              <a:bodyPr/>
              <a:p>
                <a:pPr>
                  <a:defRPr sz="800" b="0"/>
                </a:pPr>
                <a:r>
                  <a:rPr sz="800" b="0"/>
                  <a:t>Fracción de amoníaco de la mezcla base, x_b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69.xml><?xml version="1.0" encoding="utf-8"?>
<chartSpace xmlns:a="http://schemas.openxmlformats.org/drawingml/2006/main" xmlns="http://schemas.openxmlformats.org/drawingml/2006/chart">
  <style val="13"/>
  <chart>
    <title>
      <tx>
        <rich>
          <a:bodyPr/>
          <a:p>
            <a:pPr>
              <a:defRPr sz="900" b="1"/>
            </a:pPr>
            <a:r>
              <a:rPr sz="900" b="1"/>
              <a:t>η_t</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gráficos'!$CX$6:$CX$126</f>
            </numRef>
          </xVal>
          <yVal>
            <numRef>
              <f>'3 Datos de gráficos'!$CW$6:$CW$126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gráficos'!$CZ$6:$CZ$336</f>
            </numRef>
          </xVal>
          <yVal>
            <numRef>
              <f>'3 Datos de gráficos'!$CY$6:$CY$336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gráficos'!$DB$6:$DB$53</f>
            </numRef>
          </xVal>
          <yVal>
            <numRef>
              <f>'3 Datos de gráficos'!$DA$6:$DA$53</f>
            </numRef>
          </yVal>
          <smooth val="0"/>
        </ser>
        <axId val="10"/>
        <axId val="20"/>
      </scatterChart>
      <valAx>
        <axId val="10"/>
        <scaling>
          <orientation val="minMax"/>
          <max val="0.9500000000000001"/>
          <min val="0.75"/>
        </scaling>
        <delete val="0"/>
        <axPos val="l"/>
        <majorGridlines/>
        <title>
          <tx>
            <rich>
              <a:bodyPr/>
              <a:p>
                <a:pPr>
                  <a:defRPr sz="800" b="0"/>
                </a:pPr>
                <a:r>
                  <a:rPr sz="800" b="0"/>
                  <a:t>Eficiencia isentrópica de la turbina, η_t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70.xml><?xml version="1.0" encoding="utf-8"?>
<chartSpace xmlns:a="http://schemas.openxmlformats.org/drawingml/2006/main" xmlns="http://schemas.openxmlformats.org/drawingml/2006/chart">
  <style val="13"/>
  <chart>
    <title>
      <tx>
        <rich>
          <a:bodyPr/>
          <a:p>
            <a:pPr>
              <a:defRPr sz="900" b="1"/>
            </a:pPr>
            <a:r>
              <a:rPr sz="900" b="1"/>
              <a:t>η_p</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gráficos'!$DD$6:$DD$126</f>
            </numRef>
          </xVal>
          <yVal>
            <numRef>
              <f>'3 Datos de gráficos'!$DC$6:$DC$126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gráficos'!$DF$6:$DF$336</f>
            </numRef>
          </xVal>
          <yVal>
            <numRef>
              <f>'3 Datos de gráficos'!$DE$6:$DE$336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gráficos'!$DH$6:$DH$53</f>
            </numRef>
          </xVal>
          <yVal>
            <numRef>
              <f>'3 Datos de gráficos'!$DG$6:$DG$53</f>
            </numRef>
          </yVal>
          <smooth val="0"/>
        </ser>
        <axId val="10"/>
        <axId val="20"/>
      </scatterChart>
      <valAx>
        <axId val="10"/>
        <scaling>
          <orientation val="minMax"/>
          <max val="0.9"/>
          <min val="0.65"/>
        </scaling>
        <delete val="0"/>
        <axPos val="l"/>
        <majorGridlines/>
        <title>
          <tx>
            <rich>
              <a:bodyPr/>
              <a:p>
                <a:pPr>
                  <a:defRPr sz="800" b="0"/>
                </a:pPr>
                <a:r>
                  <a:rPr sz="800" b="0"/>
                  <a:t>Eficiencia isentrópica de la bomba, η_p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71.xml><?xml version="1.0" encoding="utf-8"?>
<chartSpace xmlns:a="http://schemas.openxmlformats.org/drawingml/2006/main" xmlns="http://schemas.openxmlformats.org/drawingml/2006/chart">
  <style val="13"/>
  <chart>
    <title>
      <tx>
        <rich>
          <a:bodyPr/>
          <a:p>
            <a:pPr>
              <a:defRPr sz="900" b="1"/>
            </a:pPr>
            <a:r>
              <a:rPr sz="900" b="1"/>
              <a:t>ε_HRVG</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gráficos'!$DJ$6:$DJ$126</f>
            </numRef>
          </xVal>
          <yVal>
            <numRef>
              <f>'3 Datos de gráficos'!$DI$6:$DI$126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gráficos'!$DL$6:$DL$336</f>
            </numRef>
          </xVal>
          <yVal>
            <numRef>
              <f>'3 Datos de gráficos'!$DK$6:$DK$336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gráficos'!$DN$6:$DN$53</f>
            </numRef>
          </xVal>
          <yVal>
            <numRef>
              <f>'3 Datos de gráficos'!$DM$6:$DM$53</f>
            </numRef>
          </yVal>
          <smooth val="0"/>
        </ser>
        <axId val="10"/>
        <axId val="20"/>
      </scatterChart>
      <valAx>
        <axId val="10"/>
        <scaling>
          <orientation val="minMax"/>
          <max val="1"/>
          <min val="0.6000000000000001"/>
        </scaling>
        <delete val="0"/>
        <axPos val="l"/>
        <majorGridlines/>
        <title>
          <tx>
            <rich>
              <a:bodyPr/>
              <a:p>
                <a:pPr>
                  <a:defRPr sz="800" b="0"/>
                </a:pPr>
                <a:r>
                  <a:rPr sz="800" b="0"/>
                  <a:t>Efectividad del generador de vapor, ε_HRVG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72.xml><?xml version="1.0" encoding="utf-8"?>
<chartSpace xmlns:a="http://schemas.openxmlformats.org/drawingml/2006/main" xmlns="http://schemas.openxmlformats.org/drawingml/2006/chart">
  <style val="13"/>
  <chart>
    <title>
      <tx>
        <rich>
          <a:bodyPr/>
          <a:p>
            <a:pPr>
              <a:defRPr sz="900" b="1"/>
            </a:pPr>
            <a:r>
              <a:rPr sz="900" b="1"/>
              <a:t>ε_reg</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gráficos'!$DP$6:$DP$126</f>
            </numRef>
          </xVal>
          <yVal>
            <numRef>
              <f>'3 Datos de gráficos'!$DO$6:$DO$126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gráficos'!$DR$6:$DR$336</f>
            </numRef>
          </xVal>
          <yVal>
            <numRef>
              <f>'3 Datos de gráficos'!$DQ$6:$DQ$336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gráficos'!$DT$6:$DT$53</f>
            </numRef>
          </xVal>
          <yVal>
            <numRef>
              <f>'3 Datos de gráficos'!$DS$6:$DS$53</f>
            </numRef>
          </yVal>
          <smooth val="0"/>
        </ser>
        <axId val="10"/>
        <axId val="20"/>
      </scatterChart>
      <valAx>
        <axId val="10"/>
        <scaling>
          <orientation val="minMax"/>
          <max val="1"/>
          <min val="0.6000000000000001"/>
        </scaling>
        <delete val="0"/>
        <axPos val="l"/>
        <majorGridlines/>
        <title>
          <tx>
            <rich>
              <a:bodyPr/>
              <a:p>
                <a:pPr>
                  <a:defRPr sz="800" b="0"/>
                </a:pPr>
                <a:r>
                  <a:rPr sz="800" b="0"/>
                  <a:t>Efectividad del regenerador, ε_reg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73.xml><?xml version="1.0" encoding="utf-8"?>
<chartSpace xmlns:a="http://schemas.openxmlformats.org/drawingml/2006/main" xmlns="http://schemas.openxmlformats.org/drawingml/2006/chart">
  <style val="13"/>
  <chart>
    <title>
      <tx>
        <rich>
          <a:bodyPr/>
          <a:p>
            <a:pPr>
              <a:defRPr sz="900" b="1"/>
            </a:pPr>
            <a:r>
              <a:rPr sz="900" b="1"/>
              <a:t>ε_cond</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gráficos'!$DV$6:$DV$126</f>
            </numRef>
          </xVal>
          <yVal>
            <numRef>
              <f>'3 Datos de gráficos'!$DU$6:$DU$126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gráficos'!$DX$6:$DX$336</f>
            </numRef>
          </xVal>
          <yVal>
            <numRef>
              <f>'3 Datos de gráficos'!$DW$6:$DW$336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gráficos'!$DZ$6:$DZ$53</f>
            </numRef>
          </xVal>
          <yVal>
            <numRef>
              <f>'3 Datos de gráficos'!$DY$6:$DY$53</f>
            </numRef>
          </yVal>
          <smooth val="0"/>
        </ser>
        <axId val="10"/>
        <axId val="20"/>
      </scatterChart>
      <valAx>
        <axId val="10"/>
        <scaling>
          <orientation val="minMax"/>
          <max val="0.9500000000000001"/>
          <min val="0.7000000000000001"/>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74.xml><?xml version="1.0" encoding="utf-8"?>
<chartSpace xmlns:a="http://schemas.openxmlformats.org/drawingml/2006/main" xmlns="http://schemas.openxmlformats.org/drawingml/2006/chart">
  <style val="13"/>
  <chart>
    <title>
      <tx>
        <rich>
          <a:bodyPr/>
          <a:p>
            <a:pPr>
              <a:defRPr sz="1100" b="1"/>
            </a:pPr>
            <a:r>
              <a:rPr sz="1100" b="1"/>
              <a:t>El 90 % de los KALINA tiene razón de presiones entre 1.7 y 5.3</a:t>
            </a:r>
          </a:p>
        </rich>
      </tx>
      <overlay val="0"/>
    </title>
    <plotArea>
      <scatterChart>
        <varyColors val="0"/>
        <ser>
          <idx val="0"/>
          <order val="0"/>
          <tx>
            <v>KALINA (n = 83)</v>
          </tx>
          <spPr>
            <a:ln>
              <a:noFill/>
              <a:prstDash val="solid"/>
            </a:ln>
          </spPr>
          <marker>
            <symbol val="circle"/>
            <size val="6"/>
            <spPr>
              <a:solidFill>
                <a:srgbClr val="2E7D32"/>
              </a:solidFill>
              <a:ln>
                <a:solidFill>
                  <a:srgbClr val="2E7D32"/>
                </a:solidFill>
                <a:prstDash val="solid"/>
              </a:ln>
            </spPr>
          </marker>
          <xVal>
            <numRef>
              <f>'3 Datos de gráficos'!$EC$6:$EC$88</f>
            </numRef>
          </xVal>
          <yVal>
            <numRef>
              <f>'3 Datos de gráficos'!$EB$6:$EB$88</f>
            </numRef>
          </yVal>
        </ser>
        <ser>
          <idx val="1"/>
          <order val="1"/>
          <tx>
            <v>KALINA, fuera de rango (n = 38)</v>
          </tx>
          <spPr>
            <a:ln>
              <a:noFill/>
              <a:prstDash val="solid"/>
            </a:ln>
          </spPr>
          <marker>
            <symbol val="circle"/>
            <size val="6"/>
            <spPr>
              <a:noFill/>
              <a:ln>
                <a:solidFill>
                  <a:srgbClr val="2E7D32"/>
                </a:solidFill>
                <a:prstDash val="solid"/>
              </a:ln>
            </spPr>
          </marker>
          <xVal>
            <numRef>
              <f>'3 Datos de gráficos'!$EE$6:$EE$43</f>
            </numRef>
          </xVal>
          <yVal>
            <numRef>
              <f>'3 Datos de gráficos'!$ED$6:$ED$43</f>
            </numRef>
          </yVal>
        </ser>
        <ser>
          <idx val="2"/>
          <order val="2"/>
          <tx>
            <v>Corregible (n = 132)</v>
          </tx>
          <spPr>
            <a:ln>
              <a:noFill/>
              <a:prstDash val="solid"/>
            </a:ln>
          </spPr>
          <marker>
            <symbol val="triangle"/>
            <size val="6"/>
            <spPr>
              <a:solidFill>
                <a:srgbClr val="EF8A17"/>
              </a:solidFill>
              <a:ln>
                <a:solidFill>
                  <a:srgbClr val="EF8A17"/>
                </a:solidFill>
                <a:prstDash val="solid"/>
              </a:ln>
            </spPr>
          </marker>
          <xVal>
            <numRef>
              <f>'3 Datos de gráficos'!$EG$6:$EG$137</f>
            </numRef>
          </xVal>
          <yVal>
            <numRef>
              <f>'3 Datos de gráficos'!$EF$6:$EF$137</f>
            </numRef>
          </yVal>
        </ser>
        <ser>
          <idx val="3"/>
          <order val="3"/>
          <tx>
            <v>Corregible, fuera de rango (n = 176)</v>
          </tx>
          <spPr>
            <a:ln>
              <a:noFill/>
              <a:prstDash val="solid"/>
            </a:ln>
          </spPr>
          <marker>
            <symbol val="triangle"/>
            <size val="6"/>
            <spPr>
              <a:noFill/>
              <a:ln>
                <a:solidFill>
                  <a:srgbClr val="EF8A17"/>
                </a:solidFill>
                <a:prstDash val="solid"/>
              </a:ln>
            </spPr>
          </marker>
          <xVal>
            <numRef>
              <f>'3 Datos de gráficos'!$EI$6:$EI$181</f>
            </numRef>
          </xVal>
          <yVal>
            <numRef>
              <f>'3 Datos de gráficos'!$EH$6:$EH$181</f>
            </numRef>
          </yVal>
        </ser>
        <ser>
          <idx val="4"/>
          <order val="4"/>
          <tx>
            <v>Inviable (n = 18)</v>
          </tx>
          <spPr>
            <a:ln>
              <a:noFill/>
              <a:prstDash val="solid"/>
            </a:ln>
          </spPr>
          <marker>
            <symbol val="square"/>
            <size val="6"/>
            <spPr>
              <a:solidFill>
                <a:srgbClr val="C9A227"/>
              </a:solidFill>
              <a:ln>
                <a:solidFill>
                  <a:srgbClr val="C9A227"/>
                </a:solidFill>
                <a:prstDash val="solid"/>
              </a:ln>
            </spPr>
          </marker>
          <xVal>
            <numRef>
              <f>'3 Datos de gráficos'!$EK$6:$EK$23</f>
            </numRef>
          </xVal>
          <yVal>
            <numRef>
              <f>'3 Datos de gráficos'!$EJ$6:$EJ$23</f>
            </numRef>
          </yVal>
        </ser>
        <ser>
          <idx val="5"/>
          <order val="5"/>
          <tx>
            <v>Inviable, fuera de rango (n = 5)</v>
          </tx>
          <spPr>
            <a:ln>
              <a:noFill/>
              <a:prstDash val="solid"/>
            </a:ln>
          </spPr>
          <marker>
            <symbol val="square"/>
            <size val="6"/>
            <spPr>
              <a:noFill/>
              <a:ln>
                <a:solidFill>
                  <a:srgbClr val="C9A227"/>
                </a:solidFill>
                <a:prstDash val="solid"/>
              </a:ln>
            </spPr>
          </marker>
          <xVal>
            <numRef>
              <f>'3 Datos de gráficos'!$EM$6:$EM$10</f>
            </numRef>
          </xVal>
          <yVal>
            <numRef>
              <f>'3 Datos de gráficos'!$EL$6:$EL$10</f>
            </numRef>
          </yVal>
        </ser>
        <ser>
          <idx val="6"/>
          <order val="6"/>
          <tx>
            <v>No convergió (n = 35)</v>
          </tx>
          <spPr>
            <a:ln>
              <a:noFill/>
              <a:prstDash val="solid"/>
            </a:ln>
          </spPr>
          <marker>
            <symbol val="x"/>
            <size val="7"/>
            <spPr>
              <a:noFill/>
              <a:ln>
                <a:solidFill>
                  <a:srgbClr val="C62828"/>
                </a:solidFill>
                <a:prstDash val="solid"/>
              </a:ln>
            </spPr>
          </marker>
          <xVal>
            <numRef>
              <f>'3 Datos de gráficos'!$EO$6:$EO$40</f>
            </numRef>
          </xVal>
          <yVal>
            <numRef>
              <f>'3 Datos de gráficos'!$EN$6:$EN$40</f>
            </numRef>
          </yVal>
        </ser>
        <ser>
          <idx val="7"/>
          <order val="7"/>
          <tx>
            <v>Falso convergido (n = 13)</v>
          </tx>
          <spPr>
            <a:ln>
              <a:noFill/>
              <a:prstDash val="solid"/>
            </a:ln>
          </spPr>
          <marker>
            <symbol val="x"/>
            <size val="7"/>
            <spPr>
              <a:noFill/>
              <a:ln>
                <a:solidFill>
                  <a:srgbClr val="9E9E9E"/>
                </a:solidFill>
                <a:prstDash val="solid"/>
              </a:ln>
            </spPr>
          </marker>
          <xVal>
            <numRef>
              <f>'3 Datos de gráficos'!$EQ$6:$EQ$18</f>
            </numRef>
          </xVal>
          <yVal>
            <numRef>
              <f>'3 Datos de gráficos'!$EP$6:$EP$18</f>
            </numRef>
          </yVal>
        </ser>
        <ser>
          <idx val="8"/>
          <order val="8"/>
          <tx>
            <v>r_P = 1.69</v>
          </tx>
          <spPr>
            <a:ln w="22000">
              <a:solidFill>
                <a:srgbClr val="000000"/>
              </a:solidFill>
              <a:prstDash val="dash"/>
            </a:ln>
          </spPr>
          <marker>
            <symbol val="none"/>
            <size val="5"/>
            <spPr>
              <a:solidFill>
                <a:srgbClr val="000000"/>
              </a:solidFill>
              <a:ln>
                <a:solidFill>
                  <a:srgbClr val="000000"/>
                </a:solidFill>
                <a:prstDash val="solid"/>
              </a:ln>
            </spPr>
          </marker>
          <xVal>
            <numRef>
              <f>'3 Datos de gráficos'!$ES$6:$ES$7</f>
            </numRef>
          </xVal>
          <yVal>
            <numRef>
              <f>'3 Datos de gráficos'!$ER$6:$ER$7</f>
            </numRef>
          </yVal>
          <smooth val="0"/>
        </ser>
        <ser>
          <idx val="9"/>
          <order val="9"/>
          <tx>
            <v>r_P = 5.34</v>
          </tx>
          <spPr>
            <a:ln w="22000">
              <a:solidFill>
                <a:srgbClr val="000000"/>
              </a:solidFill>
              <a:prstDash val="dash"/>
            </a:ln>
          </spPr>
          <marker>
            <symbol val="none"/>
            <size val="5"/>
            <spPr>
              <a:solidFill>
                <a:srgbClr val="000000"/>
              </a:solidFill>
              <a:ln>
                <a:solidFill>
                  <a:srgbClr val="000000"/>
                </a:solidFill>
                <a:prstDash val="solid"/>
              </a:ln>
            </spPr>
          </marker>
          <xVal>
            <numRef>
              <f>'3 Datos de gráficos'!$EU$6:$EU$7</f>
            </numRef>
          </xVal>
          <yVal>
            <numRef>
              <f>'3 Datos de gráficos'!$ET$6:$ET$7</f>
            </numRef>
          </yVal>
          <smooth val="0"/>
        </ser>
        <axId val="10"/>
        <axId val="20"/>
      </scatterChart>
      <valAx>
        <axId val="10"/>
        <scaling>
          <orientation val="minMax"/>
          <max val="5000"/>
          <min val="2000"/>
        </scaling>
        <delete val="0"/>
        <axPos val="l"/>
        <majorGridlines/>
        <title>
          <tx>
            <rich>
              <a:bodyPr/>
              <a:p>
                <a:pPr>
                  <a:defRPr sz="900" b="0"/>
                </a:pPr>
                <a:r>
                  <a:rPr sz="900" b="0"/>
                  <a:t>Presión de alta, P_alta [kPa]</a:t>
                </a:r>
              </a:p>
            </rich>
          </tx>
          <overlay val="0"/>
        </title>
        <majorTickMark val="none"/>
        <minorTickMark val="none"/>
        <tickLblPos val="low"/>
        <txPr>
          <a:bodyPr/>
          <a:p>
            <a:pPr>
              <a:defRPr sz="800" b="0"/>
            </a:pPr>
            <a:r>
              <a:t/>
            </a:r>
            <a:endParaRPr sz="800" b="0"/>
          </a:p>
        </txPr>
        <crossAx val="20"/>
        <crosses val="min"/>
        <majorUnit val="500"/>
      </valAx>
      <valAx>
        <axId val="20"/>
        <scaling>
          <orientation val="minMax"/>
          <max val="1500"/>
          <min val="25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10"/>
        <crosses val="min"/>
        <majorUnit val="250"/>
      </valAx>
    </plotArea>
    <legend>
      <legendPos val="b"/>
      <overlay val="0"/>
      <txPr>
        <a:bodyPr/>
        <a:p>
          <a:pPr>
            <a:defRPr sz="800" b="0"/>
          </a:pPr>
          <a:r>
            <a:t/>
          </a:r>
          <a:endParaRPr sz="800" b="0"/>
        </a:p>
      </txPr>
    </legend>
    <plotVisOnly val="0"/>
    <dispBlanksAs val="gap"/>
  </chart>
</chartSpace>
</file>

<file path=xl/charts/chart75.xml><?xml version="1.0" encoding="utf-8"?>
<chartSpace xmlns:a="http://schemas.openxmlformats.org/drawingml/2006/main" xmlns="http://schemas.openxmlformats.org/drawingml/2006/chart">
  <style val="10"/>
  <chart>
    <title>
      <tx>
        <rich>
          <a:bodyPr/>
          <a:p>
            <a:pPr>
              <a:defRPr sz="1100" b="1"/>
            </a:pPr>
            <a:r>
              <a:rPr sz="1100" b="1"/>
              <a:t>Diferencia de presiones, ΔP [kPa]</a:t>
            </a:r>
          </a:p>
        </rich>
      </tx>
      <overlay val="0"/>
    </title>
    <plotArea>
      <barChart>
        <barDir val="col"/>
        <grouping val="clustered"/>
        <varyColors val="0"/>
        <ser>
          <idx val="0"/>
          <order val="0"/>
          <tx>
            <v>KALINA (n = 121)</v>
          </tx>
          <spPr>
            <a:solidFill>
              <a:srgbClr val="2E7D32"/>
            </a:solidFill>
            <a:ln>
              <a:solidFill>
                <a:srgbClr val="2E7D32"/>
              </a:solidFill>
              <a:prstDash val="solid"/>
            </a:ln>
          </spPr>
          <invertIfNegative val="0"/>
          <cat>
            <numRef>
              <f>'3 Datos de gráficos'!$EZ$6:$EZ$25</f>
            </numRef>
          </cat>
          <val>
            <numRef>
              <f>'3 Datos de gráficos'!$FA$6:$FA$25</f>
            </numRef>
          </val>
        </ser>
        <ser>
          <idx val="1"/>
          <order val="1"/>
          <tx>
            <v>resto (n = 331)</v>
          </tx>
          <spPr>
            <a:solidFill>
              <a:srgbClr val="BDBDBD"/>
            </a:solidFill>
            <a:ln>
              <a:solidFill>
                <a:srgbClr val="BDBDBD"/>
              </a:solidFill>
              <a:prstDash val="solid"/>
            </a:ln>
          </spPr>
          <invertIfNegative val="0"/>
          <cat>
            <numRef>
              <f>'3 Datos de gráficos'!$EZ$6:$EZ$25</f>
            </numRef>
          </cat>
          <val>
            <numRef>
              <f>'3 Datos de gráficos'!$FB$6:$FB$25</f>
            </numRef>
          </val>
        </ser>
        <ser>
          <idx val="2"/>
          <order val="2"/>
          <tx>
            <v>sin resultado (n = 48)</v>
          </tx>
          <spPr>
            <a:solidFill>
              <a:srgbClr val="C62828"/>
            </a:solidFill>
            <a:ln>
              <a:solidFill>
                <a:srgbClr val="C62828"/>
              </a:solidFill>
              <a:prstDash val="solid"/>
            </a:ln>
          </spPr>
          <invertIfNegative val="0"/>
          <cat>
            <numRef>
              <f>'3 Datos de gráficos'!$EZ$6:$EZ$25</f>
            </numRef>
          </cat>
          <val>
            <numRef>
              <f>'3 Datos de gráficos'!$FC$6:$FC$25</f>
            </numRef>
          </val>
        </ser>
        <gapWidth val="150"/>
        <axId val="10"/>
        <axId val="100"/>
      </barChart>
      <catAx>
        <axId val="10"/>
        <scaling>
          <orientation val="minMax"/>
        </scaling>
        <delete val="0"/>
        <axPos val="l"/>
        <title>
          <tx>
            <rich>
              <a:bodyPr/>
              <a:p>
                <a:pPr>
                  <a:defRPr sz="900" b="0"/>
                </a:pPr>
                <a:r>
                  <a:rPr sz="900" b="0"/>
                  <a:t>Diferencia de presiones, ΔP [kPa]</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Número de puntos</a:t>
                </a:r>
              </a:p>
            </rich>
          </tx>
          <overlay val="0"/>
        </title>
        <majorTickMark val="none"/>
        <minorTickMark val="none"/>
        <tickLblPos val="low"/>
        <txPr>
          <a:bodyPr/>
          <a:p>
            <a:pPr>
              <a:defRPr sz="800" b="0"/>
            </a:pPr>
            <a:r>
              <a:t/>
            </a:r>
            <a:endParaRPr sz="800" b="0"/>
          </a:p>
        </txPr>
        <crossAx val="10"/>
        <crosses val="autoZero"/>
      </valAx>
    </plotArea>
    <legend>
      <legendPos val="b"/>
      <overlay val="0"/>
      <txPr>
        <a:bodyPr/>
        <a:p>
          <a:pPr>
            <a:defRPr sz="800" b="0"/>
          </a:pPr>
          <a:r>
            <a:t/>
          </a:r>
          <a:endParaRPr sz="800" b="0"/>
        </a:p>
      </txPr>
    </legend>
    <plotVisOnly val="0"/>
    <dispBlanksAs val="gap"/>
  </chart>
</chartSpace>
</file>

<file path=xl/charts/chart76.xml><?xml version="1.0" encoding="utf-8"?>
<chartSpace xmlns:a="http://schemas.openxmlformats.org/drawingml/2006/main" xmlns="http://schemas.openxmlformats.org/drawingml/2006/chart">
  <style val="10"/>
  <chart>
    <title>
      <tx>
        <rich>
          <a:bodyPr/>
          <a:p>
            <a:pPr>
              <a:defRPr sz="1100" b="1"/>
            </a:pPr>
            <a:r>
              <a:rPr sz="1100" b="1"/>
              <a:t>Razón de presiones, r_P [–]</a:t>
            </a:r>
          </a:p>
        </rich>
      </tx>
      <overlay val="0"/>
    </title>
    <plotArea>
      <barChart>
        <barDir val="col"/>
        <grouping val="clustered"/>
        <varyColors val="0"/>
        <ser>
          <idx val="0"/>
          <order val="0"/>
          <tx>
            <v>KALINA (n = 121)</v>
          </tx>
          <spPr>
            <a:solidFill>
              <a:srgbClr val="2E7D32"/>
            </a:solidFill>
            <a:ln>
              <a:solidFill>
                <a:srgbClr val="2E7D32"/>
              </a:solidFill>
              <a:prstDash val="solid"/>
            </a:ln>
          </spPr>
          <invertIfNegative val="0"/>
          <cat>
            <numRef>
              <f>'3 Datos de gráficos'!$FD$6:$FD$25</f>
            </numRef>
          </cat>
          <val>
            <numRef>
              <f>'3 Datos de gráficos'!$FE$6:$FE$25</f>
            </numRef>
          </val>
        </ser>
        <ser>
          <idx val="1"/>
          <order val="1"/>
          <tx>
            <v>resto (n = 331)</v>
          </tx>
          <spPr>
            <a:solidFill>
              <a:srgbClr val="BDBDBD"/>
            </a:solidFill>
            <a:ln>
              <a:solidFill>
                <a:srgbClr val="BDBDBD"/>
              </a:solidFill>
              <a:prstDash val="solid"/>
            </a:ln>
          </spPr>
          <invertIfNegative val="0"/>
          <cat>
            <numRef>
              <f>'3 Datos de gráficos'!$FD$6:$FD$25</f>
            </numRef>
          </cat>
          <val>
            <numRef>
              <f>'3 Datos de gráficos'!$FF$6:$FF$25</f>
            </numRef>
          </val>
        </ser>
        <ser>
          <idx val="2"/>
          <order val="2"/>
          <tx>
            <v>sin resultado (n = 48)</v>
          </tx>
          <spPr>
            <a:solidFill>
              <a:srgbClr val="C62828"/>
            </a:solidFill>
            <a:ln>
              <a:solidFill>
                <a:srgbClr val="C62828"/>
              </a:solidFill>
              <a:prstDash val="solid"/>
            </a:ln>
          </spPr>
          <invertIfNegative val="0"/>
          <cat>
            <numRef>
              <f>'3 Datos de gráficos'!$FD$6:$FD$25</f>
            </numRef>
          </cat>
          <val>
            <numRef>
              <f>'3 Datos de gráficos'!$FG$6:$FG$25</f>
            </numRef>
          </val>
        </ser>
        <gapWidth val="150"/>
        <axId val="10"/>
        <axId val="100"/>
      </barChart>
      <catAx>
        <axId val="10"/>
        <scaling>
          <orientation val="minMax"/>
        </scaling>
        <delete val="0"/>
        <axPos val="l"/>
        <title>
          <tx>
            <rich>
              <a:bodyPr/>
              <a:p>
                <a:pPr>
                  <a:defRPr sz="900" b="0"/>
                </a:pPr>
                <a:r>
                  <a:rPr sz="900" b="0"/>
                  <a:t>Razón de presiones, r_P [–]</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Número de puntos</a:t>
                </a:r>
              </a:p>
            </rich>
          </tx>
          <overlay val="0"/>
        </title>
        <majorTickMark val="none"/>
        <minorTickMark val="none"/>
        <tickLblPos val="low"/>
        <txPr>
          <a:bodyPr/>
          <a:p>
            <a:pPr>
              <a:defRPr sz="800" b="0"/>
            </a:pPr>
            <a:r>
              <a:t/>
            </a:r>
            <a:endParaRPr sz="800" b="0"/>
          </a:p>
        </txPr>
        <crossAx val="10"/>
        <crosses val="autoZero"/>
      </valAx>
    </plotArea>
    <legend>
      <legendPos val="b"/>
      <overlay val="0"/>
      <txPr>
        <a:bodyPr/>
        <a:p>
          <a:pPr>
            <a:defRPr sz="800" b="0"/>
          </a:pPr>
          <a:r>
            <a:t/>
          </a:r>
          <a:endParaRPr sz="800" b="0"/>
        </a:p>
      </txPr>
    </legend>
    <plotVisOnly val="0"/>
    <dispBlanksAs val="gap"/>
  </chart>
</chartSpace>
</file>

<file path=xl/charts/chart77.xml><?xml version="1.0" encoding="utf-8"?>
<chartSpace xmlns:a="http://schemas.openxmlformats.org/drawingml/2006/main" xmlns="http://schemas.openxmlformats.org/drawingml/2006/chart">
  <style val="10"/>
  <chart>
    <title>
      <tx>
        <rich>
          <a:bodyPr/>
          <a:p>
            <a:pPr>
              <a:defRPr sz="1100" b="1"/>
            </a:pPr>
            <a:r>
              <a:rPr sz="1100" b="1"/>
              <a:t>Fracción de KALINA al subir P_baja entre 1500 y 2500 kPa</a:t>
            </a:r>
          </a:p>
        </rich>
      </tx>
      <overlay val="0"/>
    </title>
    <plotArea>
      <barChart>
        <barDir val="col"/>
        <grouping val="stacked"/>
        <varyColors val="0"/>
        <ser>
          <idx val="0"/>
          <order val="0"/>
          <tx>
            <v>KALINA dentro del rango (n = 45)</v>
          </tx>
          <spPr>
            <a:solidFill>
              <a:srgbClr val="2E7D32"/>
            </a:solidFill>
            <a:ln>
              <a:solidFill>
                <a:srgbClr val="2E7D32"/>
              </a:solidFill>
              <a:prstDash val="solid"/>
            </a:ln>
          </spPr>
          <invertIfNegative val="0"/>
          <cat>
            <numRef>
              <f>'3 Datos de gráficos'!$FI$6:$FI$15</f>
            </numRef>
          </cat>
          <val>
            <numRef>
              <f>'3 Datos de gráficos'!$FJ$6:$FJ$15</f>
            </numRef>
          </val>
        </ser>
        <ser>
          <idx val="1"/>
          <order val="1"/>
          <tx>
            <v>KALINA fuera de rango (n = 30)</v>
          </tx>
          <spPr>
            <a:solidFill>
              <a:srgbClr val="A5D6A7"/>
            </a:solidFill>
            <a:ln>
              <a:solidFill>
                <a:srgbClr val="A5D6A7"/>
              </a:solidFill>
              <a:prstDash val="solid"/>
            </a:ln>
          </spPr>
          <invertIfNegative val="0"/>
          <cat>
            <numRef>
              <f>'3 Datos de gráficos'!$FI$6:$FI$15</f>
            </numRef>
          </cat>
          <val>
            <numRef>
              <f>'3 Datos de gráficos'!$FK$6:$FK$15</f>
            </numRef>
          </val>
        </ser>
        <gapWidth val="150"/>
        <overlap val="100"/>
        <axId val="10"/>
        <axId val="100"/>
      </barChart>
      <catAx>
        <axId val="10"/>
        <scaling>
          <orientation val="minMax"/>
        </scaling>
        <delete val="0"/>
        <axPos val="l"/>
        <title>
          <tx>
            <rich>
              <a:bodyPr/>
              <a:p>
                <a:pPr>
                  <a:defRPr sz="900" b="0"/>
                </a:pPr>
                <a:r>
                  <a:rPr sz="900" b="0"/>
                  <a:t>Franja de P_baja [kPa]</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 de puntos KALINA</a:t>
                </a:r>
              </a:p>
            </rich>
          </tx>
          <overlay val="0"/>
        </title>
        <majorTickMark val="none"/>
        <minorTickMark val="none"/>
        <tickLblPos val="low"/>
        <txPr>
          <a:bodyPr/>
          <a:p>
            <a:pPr>
              <a:defRPr sz="800" b="0"/>
            </a:pPr>
            <a:r>
              <a:t/>
            </a:r>
            <a:endParaRPr sz="800" b="0"/>
          </a:p>
        </txPr>
        <crossAx val="10"/>
        <crosses val="autoZero"/>
      </valAx>
    </plotArea>
    <legend>
      <legendPos val="b"/>
      <overlay val="0"/>
      <txPr>
        <a:bodyPr/>
        <a:p>
          <a:pPr>
            <a:defRPr sz="800" b="0"/>
          </a:pPr>
          <a:r>
            <a:t/>
          </a:r>
          <a:endParaRPr sz="800" b="0"/>
        </a:p>
      </txPr>
    </legend>
    <plotVisOnly val="0"/>
    <dispBlanksAs val="gap"/>
  </chart>
</chartSpace>
</file>

<file path=xl/charts/chart78.xml><?xml version="1.0" encoding="utf-8"?>
<chartSpace xmlns:a="http://schemas.openxmlformats.org/drawingml/2006/main" xmlns="http://schemas.openxmlformats.org/drawingml/2006/chart">
  <style val="10"/>
  <chart>
    <title>
      <tx>
        <rich>
          <a:bodyPr/>
          <a:p>
            <a:pPr>
              <a:defRPr sz="1100" b="1"/>
            </a:pPr>
            <a:r>
              <a:rPr sz="1100" b="1"/>
              <a:t>Cerca de A*, x_b y P_baja son las que más mueven η en su rango</a:t>
            </a:r>
          </a:p>
        </rich>
      </tx>
      <overlay val="0"/>
    </title>
    <plotArea>
      <barChart>
        <barDir val="bar"/>
        <grouping val="clustered"/>
        <varyColors val="0"/>
        <ser>
          <idx val="0"/>
          <order val="0"/>
          <tx>
            <v>Δη (máx − mín) [pp]</v>
          </tx>
          <spPr>
            <a:solidFill>
              <a:srgbClr val="2E7D32"/>
            </a:solidFill>
            <a:ln>
              <a:solidFill>
                <a:srgbClr val="2E7D32"/>
              </a:solidFill>
              <a:prstDash val="solid"/>
            </a:ln>
          </spPr>
          <invertIfNegative val="0"/>
          <cat>
            <numRef>
              <f>'3 Datos de gráficos'!$A$6:$A$15</f>
            </numRef>
          </cat>
          <val>
            <numRef>
              <f>'3 Datos de gráficos'!$B$6:$B$15</f>
            </numRef>
          </val>
        </ser>
        <gapWidth val="150"/>
        <axId val="10"/>
        <axId val="100"/>
      </barChart>
      <catAx>
        <axId val="10"/>
        <scaling>
          <orientation val="minMax"/>
        </scaling>
        <delete val="0"/>
        <axPos val="l"/>
        <title>
          <tx>
            <rich>
              <a:bodyPr/>
              <a:p>
                <a:pPr>
                  <a:defRPr sz="900" b="0"/>
                </a:pPr>
                <a:r>
                  <a:rPr sz="900" b="0"/>
                  <a:t>Variable</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Δη (máx − mín) [pp]</a:t>
                </a:r>
              </a:p>
            </rich>
          </tx>
          <overlay val="0"/>
        </title>
        <majorTickMark val="none"/>
        <minorTickMark val="none"/>
        <tickLblPos val="low"/>
        <txPr>
          <a:bodyPr/>
          <a:p>
            <a:pPr>
              <a:defRPr sz="800" b="0"/>
            </a:pPr>
            <a:r>
              <a:t/>
            </a:r>
            <a:endParaRPr sz="800" b="0"/>
          </a:p>
        </txPr>
        <crossAx val="10"/>
        <crosses val="autoZero"/>
      </valAx>
    </plotArea>
    <plotVisOnly val="0"/>
    <dispBlanksAs val="gap"/>
  </chart>
</chartSpace>
</file>

<file path=xl/charts/chart79.xml><?xml version="1.0" encoding="utf-8"?>
<chartSpace xmlns:a="http://schemas.openxmlformats.org/drawingml/2006/main" xmlns="http://schemas.openxmlformats.org/drawingml/2006/chart">
  <style val="10"/>
  <chart>
    <title>
      <tx>
        <rich>
          <a:bodyPr/>
          <a:p>
            <a:pPr>
              <a:defRPr sz="1100" b="1"/>
            </a:pPr>
            <a:r>
              <a:rPr sz="1100" b="1"/>
              <a:t>Pegado a A*, T_fuente es la variable más sensible (E = 10.9)</a:t>
            </a:r>
          </a:p>
        </rich>
      </tx>
      <overlay val="0"/>
    </title>
    <plotArea>
      <barChart>
        <barDir val="bar"/>
        <grouping val="clustered"/>
        <varyColors val="0"/>
        <ser>
          <idx val="0"/>
          <order val="0"/>
          <tx>
            <v>Elasticidad de η, E [–]</v>
          </tx>
          <spPr>
            <a:solidFill>
              <a:srgbClr val="2E7D32"/>
            </a:solidFill>
            <a:ln>
              <a:solidFill>
                <a:srgbClr val="2E7D32"/>
              </a:solidFill>
              <a:prstDash val="solid"/>
            </a:ln>
          </spPr>
          <invertIfNegative val="0"/>
          <dPt>
            <idx val="0"/>
            <invertIfNegative val="0"/>
            <spPr>
              <a:solidFill>
                <a:srgbClr val="2E7D32"/>
              </a:solidFill>
              <a:ln>
                <a:prstDash val="solid"/>
              </a:ln>
            </spPr>
          </dPt>
          <dPt>
            <idx val="1"/>
            <invertIfNegative val="0"/>
            <spPr>
              <a:solidFill>
                <a:srgbClr val="C62828"/>
              </a:solidFill>
              <a:ln>
                <a:prstDash val="solid"/>
              </a:ln>
            </spPr>
          </dPt>
          <dPt>
            <idx val="2"/>
            <invertIfNegative val="0"/>
            <spPr>
              <a:solidFill>
                <a:srgbClr val="C62828"/>
              </a:solidFill>
              <a:ln>
                <a:prstDash val="solid"/>
              </a:ln>
            </spPr>
          </dPt>
          <dPt>
            <idx val="3"/>
            <invertIfNegative val="0"/>
            <spPr>
              <a:solidFill>
                <a:srgbClr val="2E7D32"/>
              </a:solidFill>
              <a:ln>
                <a:prstDash val="solid"/>
              </a:ln>
            </spPr>
          </dPt>
          <dPt>
            <idx val="4"/>
            <invertIfNegative val="0"/>
            <spPr>
              <a:solidFill>
                <a:srgbClr val="2E7D32"/>
              </a:solidFill>
              <a:ln>
                <a:prstDash val="solid"/>
              </a:ln>
            </spPr>
          </dPt>
          <dPt>
            <idx val="5"/>
            <invertIfNegative val="0"/>
            <spPr>
              <a:solidFill>
                <a:srgbClr val="2E7D32"/>
              </a:solidFill>
              <a:ln>
                <a:prstDash val="solid"/>
              </a:ln>
            </spPr>
          </dPt>
          <dPt>
            <idx val="6"/>
            <invertIfNegative val="0"/>
            <spPr>
              <a:solidFill>
                <a:srgbClr val="C62828"/>
              </a:solidFill>
              <a:ln>
                <a:prstDash val="solid"/>
              </a:ln>
            </spPr>
          </dPt>
          <dPt>
            <idx val="7"/>
            <invertIfNegative val="0"/>
            <spPr>
              <a:solidFill>
                <a:srgbClr val="2E7D32"/>
              </a:solidFill>
              <a:ln>
                <a:prstDash val="solid"/>
              </a:ln>
            </spPr>
          </dPt>
          <dPt>
            <idx val="8"/>
            <invertIfNegative val="0"/>
            <spPr>
              <a:solidFill>
                <a:srgbClr val="2E7D32"/>
              </a:solidFill>
              <a:ln>
                <a:prstDash val="solid"/>
              </a:ln>
            </spPr>
          </dPt>
          <dPt>
            <idx val="9"/>
            <invertIfNegative val="0"/>
            <spPr>
              <a:solidFill>
                <a:srgbClr val="2E7D32"/>
              </a:solidFill>
              <a:ln>
                <a:prstDash val="solid"/>
              </a:ln>
            </spPr>
          </dPt>
          <cat>
            <numRef>
              <f>'3 Datos de gráficos'!$D$6:$D$15</f>
            </numRef>
          </cat>
          <val>
            <numRef>
              <f>'3 Datos de gráficos'!$E$6:$E$15</f>
            </numRef>
          </val>
        </ser>
        <gapWidth val="150"/>
        <axId val="10"/>
        <axId val="100"/>
      </barChart>
      <catAx>
        <axId val="10"/>
        <scaling>
          <orientation val="minMax"/>
        </scaling>
        <delete val="0"/>
        <axPos val="l"/>
        <title>
          <tx>
            <rich>
              <a:bodyPr/>
              <a:p>
                <a:pPr>
                  <a:defRPr sz="900" b="0"/>
                </a:pPr>
                <a:r>
                  <a:rPr sz="900" b="0"/>
                  <a:t>Variable</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Elasticidad de η, E [–]</a:t>
                </a:r>
              </a:p>
            </rich>
          </tx>
          <overlay val="0"/>
        </title>
        <majorTickMark val="none"/>
        <minorTickMark val="none"/>
        <tickLblPos val="low"/>
        <txPr>
          <a:bodyPr/>
          <a:p>
            <a:pPr>
              <a:defRPr sz="800" b="0"/>
            </a:pPr>
            <a:r>
              <a:t/>
            </a:r>
            <a:endParaRPr sz="800" b="0"/>
          </a:p>
        </txPr>
        <crossAx val="10"/>
        <crosses val="autoZero"/>
      </valAx>
    </plotArea>
    <plotVisOnly val="0"/>
    <dispBlanksAs val="gap"/>
  </chart>
</chartSpace>
</file>

<file path=xl/charts/chart80.xml><?xml version="1.0" encoding="utf-8"?>
<chartSpace xmlns:a="http://schemas.openxmlformats.org/drawingml/2006/main" xmlns="http://schemas.openxmlformats.org/drawingml/2006/chart">
  <style val="13"/>
  <chart>
    <title>
      <tx>
        <rich>
          <a:bodyPr/>
          <a:p>
            <a:pPr>
              <a:defRPr sz="900" b="1"/>
            </a:pPr>
            <a:r>
              <a:rPr sz="900" b="1"/>
              <a:t>T_fuente</a:t>
            </a:r>
          </a:p>
        </rich>
      </tx>
      <overlay val="0"/>
    </title>
    <plotArea>
      <scatterChart>
        <varyColors val="0"/>
        <ser>
          <idx val="0"/>
          <order val="0"/>
          <tx>
            <v>KALINA (n = 2)</v>
          </tx>
          <spPr>
            <a:ln>
              <a:noFill/>
              <a:prstDash val="solid"/>
            </a:ln>
          </spPr>
          <marker>
            <symbol val="circle"/>
            <size val="6"/>
            <spPr>
              <a:solidFill>
                <a:srgbClr val="2E7D32"/>
              </a:solidFill>
              <a:ln>
                <a:solidFill>
                  <a:srgbClr val="2E7D32"/>
                </a:solidFill>
                <a:prstDash val="solid"/>
              </a:ln>
            </spPr>
          </marker>
          <xVal>
            <numRef>
              <f>'3 Datos de gráficos'!$H$6:$H$7</f>
            </numRef>
          </xVal>
          <yVal>
            <numRef>
              <f>'3 Datos de gráficos'!$G$6:$G$7</f>
            </numRef>
          </yVal>
        </ser>
        <ser>
          <idx val="1"/>
          <order val="1"/>
          <tx>
            <v>Corregible (n = 2)</v>
          </tx>
          <spPr>
            <a:ln>
              <a:noFill/>
              <a:prstDash val="solid"/>
            </a:ln>
          </spPr>
          <marker>
            <symbol val="triangle"/>
            <size val="6"/>
            <spPr>
              <a:solidFill>
                <a:srgbClr val="EF8A17"/>
              </a:solidFill>
              <a:ln>
                <a:solidFill>
                  <a:srgbClr val="EF8A17"/>
                </a:solidFill>
                <a:prstDash val="solid"/>
              </a:ln>
            </spPr>
          </marker>
          <xVal>
            <numRef>
              <f>'3 Datos de gráficos'!$J$6:$J$7</f>
            </numRef>
          </xVal>
          <yVal>
            <numRef>
              <f>'3 Datos de gráficos'!$I$6:$I$7</f>
            </numRef>
          </yVal>
        </ser>
        <ser>
          <idx val="2"/>
          <order val="2"/>
          <tx>
            <v>Corregible, fuera de rango (n = 8)</v>
          </tx>
          <spPr>
            <a:ln>
              <a:noFill/>
              <a:prstDash val="solid"/>
            </a:ln>
          </spPr>
          <marker>
            <symbol val="triangle"/>
            <size val="6"/>
            <spPr>
              <a:noFill/>
              <a:ln>
                <a:solidFill>
                  <a:srgbClr val="EF8A17"/>
                </a:solidFill>
                <a:prstDash val="solid"/>
              </a:ln>
            </spPr>
          </marker>
          <xVal>
            <numRef>
              <f>'3 Datos de gráficos'!$L$6:$L$13</f>
            </numRef>
          </xVal>
          <yVal>
            <numRef>
              <f>'3 Datos de gráficos'!$K$6:$K$13</f>
            </numRef>
          </yVal>
        </ser>
        <ser>
          <idx val="3"/>
          <order val="3"/>
          <tx>
            <v>No convergió (n = 4)</v>
          </tx>
          <spPr>
            <a:ln>
              <a:noFill/>
              <a:prstDash val="solid"/>
            </a:ln>
          </spPr>
          <marker>
            <symbol val="x"/>
            <size val="7"/>
            <spPr>
              <a:noFill/>
              <a:ln>
                <a:solidFill>
                  <a:srgbClr val="C62828"/>
                </a:solidFill>
                <a:prstDash val="solid"/>
              </a:ln>
            </spPr>
          </marker>
          <xVal>
            <numRef>
              <f>'3 Datos de gráficos'!$N$6:$N$9</f>
            </numRef>
          </xVal>
          <yVal>
            <numRef>
              <f>'3 Datos de gráficos'!$M$6:$M$9</f>
            </numRef>
          </yVal>
        </ser>
        <ser>
          <idx val="4"/>
          <order val="4"/>
          <tx>
            <v>Falso convergido (n = 1)</v>
          </tx>
          <spPr>
            <a:ln>
              <a:noFill/>
              <a:prstDash val="solid"/>
            </a:ln>
          </spPr>
          <marker>
            <symbol val="x"/>
            <size val="7"/>
            <spPr>
              <a:noFill/>
              <a:ln>
                <a:solidFill>
                  <a:srgbClr val="9E9E9E"/>
                </a:solidFill>
                <a:prstDash val="solid"/>
              </a:ln>
            </spPr>
          </marker>
          <xVal>
            <numRef>
              <f>'3 Datos de gráficos'!$P$6</f>
            </numRef>
          </xVal>
          <yVal>
            <numRef>
              <f>'3 Datos de gráficos'!$O$6</f>
            </numRef>
          </yVal>
        </ser>
        <axId val="10"/>
        <axId val="20"/>
      </scatterChart>
      <valAx>
        <axId val="10"/>
        <scaling>
          <orientation val="minMax"/>
          <max val="650"/>
          <min val="300"/>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50"/>
      </valAx>
      <valAx>
        <axId val="20"/>
        <scaling>
          <orientation val="minMax"/>
          <max val="12.5"/>
          <min val="-2.5"/>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5"/>
      </valAx>
    </plotArea>
    <legend>
      <legendPos val="b"/>
      <overlay val="0"/>
      <txPr>
        <a:bodyPr/>
        <a:p>
          <a:pPr>
            <a:defRPr sz="700" b="0"/>
          </a:pPr>
          <a:r>
            <a:t/>
          </a:r>
          <a:endParaRPr sz="700" b="0"/>
        </a:p>
      </txPr>
    </legend>
    <plotVisOnly val="0"/>
    <dispBlanksAs val="gap"/>
  </chart>
</chartSpace>
</file>

<file path=xl/charts/chart81.xml><?xml version="1.0" encoding="utf-8"?>
<chartSpace xmlns:a="http://schemas.openxmlformats.org/drawingml/2006/main" xmlns="http://schemas.openxmlformats.org/drawingml/2006/chart">
  <style val="13"/>
  <chart>
    <title>
      <tx>
        <rich>
          <a:bodyPr/>
          <a:p>
            <a:pPr>
              <a:defRPr sz="900" b="1"/>
            </a:pPr>
            <a:r>
              <a:rPr sz="900" b="1"/>
              <a:t>T_sumidero</a:t>
            </a:r>
          </a:p>
        </rich>
      </tx>
      <overlay val="0"/>
    </title>
    <plotArea>
      <scatterChart>
        <varyColors val="0"/>
        <ser>
          <idx val="0"/>
          <order val="0"/>
          <tx>
            <v>KALINA (n = 14)</v>
          </tx>
          <spPr>
            <a:ln>
              <a:noFill/>
              <a:prstDash val="solid"/>
            </a:ln>
          </spPr>
          <marker>
            <symbol val="circle"/>
            <size val="6"/>
            <spPr>
              <a:solidFill>
                <a:srgbClr val="2E7D32"/>
              </a:solidFill>
              <a:ln>
                <a:solidFill>
                  <a:srgbClr val="2E7D32"/>
                </a:solidFill>
                <a:prstDash val="solid"/>
              </a:ln>
            </spPr>
          </marker>
          <xVal>
            <numRef>
              <f>'3 Datos de gráficos'!$R$6:$R$19</f>
            </numRef>
          </xVal>
          <yVal>
            <numRef>
              <f>'3 Datos de gráficos'!$Q$6:$Q$19</f>
            </numRef>
          </yVal>
        </ser>
        <ser>
          <idx val="1"/>
          <order val="1"/>
          <tx>
            <v>Corregible (n = 3)</v>
          </tx>
          <spPr>
            <a:ln>
              <a:noFill/>
              <a:prstDash val="solid"/>
            </a:ln>
          </spPr>
          <marker>
            <symbol val="triangle"/>
            <size val="6"/>
            <spPr>
              <a:solidFill>
                <a:srgbClr val="EF8A17"/>
              </a:solidFill>
              <a:ln>
                <a:solidFill>
                  <a:srgbClr val="EF8A17"/>
                </a:solidFill>
                <a:prstDash val="solid"/>
              </a:ln>
            </spPr>
          </marker>
          <xVal>
            <numRef>
              <f>'3 Datos de gráficos'!$T$6:$T$8</f>
            </numRef>
          </xVal>
          <yVal>
            <numRef>
              <f>'3 Datos de gráficos'!$S$6:$S$8</f>
            </numRef>
          </yVal>
        </ser>
        <axId val="10"/>
        <axId val="20"/>
      </scatterChart>
      <valAx>
        <axId val="10"/>
        <scaling>
          <orientation val="minMax"/>
          <max val="305"/>
          <min val="280"/>
        </scaling>
        <delete val="0"/>
        <axPos val="l"/>
        <majorGridlines/>
        <title>
          <tx>
            <rich>
              <a:bodyPr/>
              <a:p>
                <a:pPr>
                  <a:defRPr sz="800" b="0"/>
                </a:pPr>
                <a:r>
                  <a:rPr sz="800" b="0"/>
                  <a:t>Temperatura del sumidero, T_sumidero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8.800000000000001"/>
          <min val="7.600000000000001"/>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82.xml><?xml version="1.0" encoding="utf-8"?>
<chartSpace xmlns:a="http://schemas.openxmlformats.org/drawingml/2006/main" xmlns="http://schemas.openxmlformats.org/drawingml/2006/chart">
  <style val="13"/>
  <chart>
    <title>
      <tx>
        <rich>
          <a:bodyPr/>
          <a:p>
            <a:pPr>
              <a:defRPr sz="900" b="1"/>
            </a:pPr>
            <a:r>
              <a:rPr sz="900" b="1"/>
              <a:t>P_alta</a:t>
            </a:r>
          </a:p>
        </rich>
      </tx>
      <overlay val="0"/>
    </title>
    <plotArea>
      <scatterChart>
        <varyColors val="0"/>
        <ser>
          <idx val="0"/>
          <order val="0"/>
          <tx>
            <v>KALINA (n = 2)</v>
          </tx>
          <spPr>
            <a:ln>
              <a:noFill/>
              <a:prstDash val="solid"/>
            </a:ln>
          </spPr>
          <marker>
            <symbol val="circle"/>
            <size val="6"/>
            <spPr>
              <a:solidFill>
                <a:srgbClr val="2E7D32"/>
              </a:solidFill>
              <a:ln>
                <a:solidFill>
                  <a:srgbClr val="2E7D32"/>
                </a:solidFill>
                <a:prstDash val="solid"/>
              </a:ln>
            </spPr>
          </marker>
          <xVal>
            <numRef>
              <f>'3 Datos de gráficos'!$V$6:$V$7</f>
            </numRef>
          </xVal>
          <yVal>
            <numRef>
              <f>'3 Datos de gráficos'!$U$6:$U$7</f>
            </numRef>
          </yVal>
        </ser>
        <ser>
          <idx val="1"/>
          <order val="1"/>
          <tx>
            <v>Corregible (n = 5)</v>
          </tx>
          <spPr>
            <a:ln>
              <a:noFill/>
              <a:prstDash val="solid"/>
            </a:ln>
          </spPr>
          <marker>
            <symbol val="triangle"/>
            <size val="6"/>
            <spPr>
              <a:solidFill>
                <a:srgbClr val="EF8A17"/>
              </a:solidFill>
              <a:ln>
                <a:solidFill>
                  <a:srgbClr val="EF8A17"/>
                </a:solidFill>
                <a:prstDash val="solid"/>
              </a:ln>
            </spPr>
          </marker>
          <xVal>
            <numRef>
              <f>'3 Datos de gráficos'!$X$6:$X$10</f>
            </numRef>
          </xVal>
          <yVal>
            <numRef>
              <f>'3 Datos de gráficos'!$W$6:$W$10</f>
            </numRef>
          </yVal>
        </ser>
        <ser>
          <idx val="2"/>
          <order val="2"/>
          <tx>
            <v>No convergió (n = 8)</v>
          </tx>
          <spPr>
            <a:ln>
              <a:noFill/>
              <a:prstDash val="solid"/>
            </a:ln>
          </spPr>
          <marker>
            <symbol val="x"/>
            <size val="7"/>
            <spPr>
              <a:noFill/>
              <a:ln>
                <a:solidFill>
                  <a:srgbClr val="C62828"/>
                </a:solidFill>
                <a:prstDash val="solid"/>
              </a:ln>
            </spPr>
          </marker>
          <xVal>
            <numRef>
              <f>'3 Datos de gráficos'!$Z$6:$Z$13</f>
            </numRef>
          </xVal>
          <yVal>
            <numRef>
              <f>'3 Datos de gráficos'!$Y$6:$Y$13</f>
            </numRef>
          </yVal>
        </ser>
        <ser>
          <idx val="3"/>
          <order val="3"/>
          <tx>
            <v>Falso convergido (n = 2)</v>
          </tx>
          <spPr>
            <a:ln>
              <a:noFill/>
              <a:prstDash val="solid"/>
            </a:ln>
          </spPr>
          <marker>
            <symbol val="x"/>
            <size val="7"/>
            <spPr>
              <a:noFill/>
              <a:ln>
                <a:solidFill>
                  <a:srgbClr val="9E9E9E"/>
                </a:solidFill>
                <a:prstDash val="solid"/>
              </a:ln>
            </spPr>
          </marker>
          <xVal>
            <numRef>
              <f>'3 Datos de gráficos'!$AB$6:$AB$7</f>
            </numRef>
          </xVal>
          <yVal>
            <numRef>
              <f>'3 Datos de gráficos'!$AA$6:$AA$7</f>
            </numRef>
          </yVal>
        </ser>
        <axId val="10"/>
        <axId val="20"/>
      </scatterChart>
      <valAx>
        <axId val="10"/>
        <scaling>
          <orientation val="minMax"/>
          <max val="10000"/>
          <min val="0"/>
        </scaling>
        <delete val="0"/>
        <axPos val="l"/>
        <majorGridlines/>
        <title>
          <tx>
            <rich>
              <a:bodyPr/>
              <a:p>
                <a:pPr>
                  <a:defRPr sz="800" b="0"/>
                </a:pPr>
                <a:r>
                  <a:rPr sz="800" b="0"/>
                  <a:t>Presión de alta, P_alta [kPa]</a:t>
                </a:r>
              </a:p>
            </rich>
          </tx>
          <overlay val="0"/>
        </title>
        <majorTickMark val="none"/>
        <minorTickMark val="none"/>
        <tickLblPos val="low"/>
        <txPr>
          <a:bodyPr/>
          <a:p>
            <a:pPr>
              <a:defRPr sz="700" b="0"/>
            </a:pPr>
            <a:r>
              <a:t/>
            </a:r>
            <a:endParaRPr sz="700" b="0"/>
          </a:p>
        </txPr>
        <crossAx val="20"/>
        <crosses val="min"/>
        <majorUnit val="2000"/>
      </valAx>
      <valAx>
        <axId val="20"/>
        <scaling>
          <orientation val="minMax"/>
          <max val="10"/>
          <min val="-2"/>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
      </valAx>
    </plotArea>
    <legend>
      <legendPos val="b"/>
      <overlay val="0"/>
      <txPr>
        <a:bodyPr/>
        <a:p>
          <a:pPr>
            <a:defRPr sz="700" b="0"/>
          </a:pPr>
          <a:r>
            <a:t/>
          </a:r>
          <a:endParaRPr sz="700" b="0"/>
        </a:p>
      </txPr>
    </legend>
    <plotVisOnly val="0"/>
    <dispBlanksAs val="gap"/>
  </chart>
</chartSpace>
</file>

<file path=xl/charts/chart83.xml><?xml version="1.0" encoding="utf-8"?>
<chartSpace xmlns:a="http://schemas.openxmlformats.org/drawingml/2006/main" xmlns="http://schemas.openxmlformats.org/drawingml/2006/chart">
  <style val="13"/>
  <chart>
    <title>
      <tx>
        <rich>
          <a:bodyPr/>
          <a:p>
            <a:pPr>
              <a:defRPr sz="900" b="1"/>
            </a:pPr>
            <a:r>
              <a:rPr sz="900" b="1"/>
              <a:t>P_baja</a:t>
            </a:r>
          </a:p>
        </rich>
      </tx>
      <overlay val="0"/>
    </title>
    <plotArea>
      <scatterChart>
        <varyColors val="0"/>
        <ser>
          <idx val="0"/>
          <order val="0"/>
          <tx>
            <v>KALINA (n = 11)</v>
          </tx>
          <spPr>
            <a:ln>
              <a:noFill/>
              <a:prstDash val="solid"/>
            </a:ln>
          </spPr>
          <marker>
            <symbol val="circle"/>
            <size val="6"/>
            <spPr>
              <a:solidFill>
                <a:srgbClr val="2E7D32"/>
              </a:solidFill>
              <a:ln>
                <a:solidFill>
                  <a:srgbClr val="2E7D32"/>
                </a:solidFill>
                <a:prstDash val="solid"/>
              </a:ln>
            </spPr>
          </marker>
          <xVal>
            <numRef>
              <f>'3 Datos de gráficos'!$AD$6:$AD$16</f>
            </numRef>
          </xVal>
          <yVal>
            <numRef>
              <f>'3 Datos de gráficos'!$AC$6:$AC$16</f>
            </numRef>
          </yVal>
        </ser>
        <ser>
          <idx val="1"/>
          <order val="1"/>
          <tx>
            <v>Corregible (n = 5)</v>
          </tx>
          <spPr>
            <a:ln>
              <a:noFill/>
              <a:prstDash val="solid"/>
            </a:ln>
          </spPr>
          <marker>
            <symbol val="triangle"/>
            <size val="6"/>
            <spPr>
              <a:solidFill>
                <a:srgbClr val="EF8A17"/>
              </a:solidFill>
              <a:ln>
                <a:solidFill>
                  <a:srgbClr val="EF8A17"/>
                </a:solidFill>
                <a:prstDash val="solid"/>
              </a:ln>
            </spPr>
          </marker>
          <xVal>
            <numRef>
              <f>'3 Datos de gráficos'!$AF$6:$AF$10</f>
            </numRef>
          </xVal>
          <yVal>
            <numRef>
              <f>'3 Datos de gráficos'!$AE$6:$AE$10</f>
            </numRef>
          </yVal>
        </ser>
        <ser>
          <idx val="2"/>
          <order val="2"/>
          <tx>
            <v>Inviable (n = 1)</v>
          </tx>
          <spPr>
            <a:ln>
              <a:noFill/>
              <a:prstDash val="solid"/>
            </a:ln>
          </spPr>
          <marker>
            <symbol val="square"/>
            <size val="6"/>
            <spPr>
              <a:solidFill>
                <a:srgbClr val="C9A227"/>
              </a:solidFill>
              <a:ln>
                <a:solidFill>
                  <a:srgbClr val="C9A227"/>
                </a:solidFill>
                <a:prstDash val="solid"/>
              </a:ln>
            </spPr>
          </marker>
          <xVal>
            <numRef>
              <f>'3 Datos de gráficos'!$AH$6</f>
            </numRef>
          </xVal>
          <yVal>
            <numRef>
              <f>'3 Datos de gráficos'!$AG$6</f>
            </numRef>
          </yVal>
        </ser>
        <axId val="10"/>
        <axId val="20"/>
      </scatterChart>
      <valAx>
        <axId val="10"/>
        <scaling>
          <orientation val="minMax"/>
          <max val="1500"/>
          <min val="0"/>
        </scaling>
        <delete val="0"/>
        <axPos val="l"/>
        <majorGridlines/>
        <title>
          <tx>
            <rich>
              <a:bodyPr/>
              <a:p>
                <a:pPr>
                  <a:defRPr sz="800" b="0"/>
                </a:pPr>
                <a:r>
                  <a:rPr sz="800" b="0"/>
                  <a:t>Presión de baja, P_baja [kPa]</a:t>
                </a:r>
              </a:p>
            </rich>
          </tx>
          <overlay val="0"/>
        </title>
        <majorTickMark val="none"/>
        <minorTickMark val="none"/>
        <tickLblPos val="low"/>
        <txPr>
          <a:bodyPr/>
          <a:p>
            <a:pPr>
              <a:defRPr sz="700" b="0"/>
            </a:pPr>
            <a:r>
              <a:t/>
            </a:r>
            <a:endParaRPr sz="700" b="0"/>
          </a:p>
        </txPr>
        <crossAx val="20"/>
        <crosses val="min"/>
        <majorUnit val="250"/>
      </valAx>
      <valAx>
        <axId val="20"/>
        <scaling>
          <orientation val="minMax"/>
          <max val="12"/>
          <min val="-2"/>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
      </valAx>
    </plotArea>
    <legend>
      <legendPos val="b"/>
      <overlay val="0"/>
      <txPr>
        <a:bodyPr/>
        <a:p>
          <a:pPr>
            <a:defRPr sz="700" b="0"/>
          </a:pPr>
          <a:r>
            <a:t/>
          </a:r>
          <a:endParaRPr sz="700" b="0"/>
        </a:p>
      </txPr>
    </legend>
    <plotVisOnly val="0"/>
    <dispBlanksAs val="gap"/>
  </chart>
</chartSpace>
</file>

<file path=xl/charts/chart84.xml><?xml version="1.0" encoding="utf-8"?>
<chartSpace xmlns:a="http://schemas.openxmlformats.org/drawingml/2006/main" xmlns="http://schemas.openxmlformats.org/drawingml/2006/chart">
  <style val="13"/>
  <chart>
    <title>
      <tx>
        <rich>
          <a:bodyPr/>
          <a:p>
            <a:pPr>
              <a:defRPr sz="900" b="1"/>
            </a:pPr>
            <a:r>
              <a:rPr sz="900" b="1"/>
              <a:t>x_b</a:t>
            </a:r>
          </a:p>
        </rich>
      </tx>
      <overlay val="0"/>
    </title>
    <plotArea>
      <scatterChart>
        <varyColors val="0"/>
        <ser>
          <idx val="0"/>
          <order val="0"/>
          <tx>
            <v>KALINA (n = 2)</v>
          </tx>
          <spPr>
            <a:ln>
              <a:noFill/>
              <a:prstDash val="solid"/>
            </a:ln>
          </spPr>
          <marker>
            <symbol val="circle"/>
            <size val="6"/>
            <spPr>
              <a:solidFill>
                <a:srgbClr val="2E7D32"/>
              </a:solidFill>
              <a:ln>
                <a:solidFill>
                  <a:srgbClr val="2E7D32"/>
                </a:solidFill>
                <a:prstDash val="solid"/>
              </a:ln>
            </spPr>
          </marker>
          <xVal>
            <numRef>
              <f>'3 Datos de gráficos'!$AJ$6:$AJ$7</f>
            </numRef>
          </xVal>
          <yVal>
            <numRef>
              <f>'3 Datos de gráficos'!$AI$6:$AI$7</f>
            </numRef>
          </yVal>
        </ser>
        <ser>
          <idx val="1"/>
          <order val="1"/>
          <tx>
            <v>Corregible (n = 8)</v>
          </tx>
          <spPr>
            <a:ln>
              <a:noFill/>
              <a:prstDash val="solid"/>
            </a:ln>
          </spPr>
          <marker>
            <symbol val="triangle"/>
            <size val="6"/>
            <spPr>
              <a:solidFill>
                <a:srgbClr val="EF8A17"/>
              </a:solidFill>
              <a:ln>
                <a:solidFill>
                  <a:srgbClr val="EF8A17"/>
                </a:solidFill>
                <a:prstDash val="solid"/>
              </a:ln>
            </spPr>
          </marker>
          <xVal>
            <numRef>
              <f>'3 Datos de gráficos'!$AL$6:$AL$13</f>
            </numRef>
          </xVal>
          <yVal>
            <numRef>
              <f>'3 Datos de gráficos'!$AK$6:$AK$13</f>
            </numRef>
          </yVal>
        </ser>
        <ser>
          <idx val="2"/>
          <order val="2"/>
          <tx>
            <v>Inviable (n = 3)</v>
          </tx>
          <spPr>
            <a:ln>
              <a:noFill/>
              <a:prstDash val="solid"/>
            </a:ln>
          </spPr>
          <marker>
            <symbol val="square"/>
            <size val="6"/>
            <spPr>
              <a:solidFill>
                <a:srgbClr val="C9A227"/>
              </a:solidFill>
              <a:ln>
                <a:solidFill>
                  <a:srgbClr val="C9A227"/>
                </a:solidFill>
                <a:prstDash val="solid"/>
              </a:ln>
            </spPr>
          </marker>
          <xVal>
            <numRef>
              <f>'3 Datos de gráficos'!$AN$6:$AN$8</f>
            </numRef>
          </xVal>
          <yVal>
            <numRef>
              <f>'3 Datos de gráficos'!$AM$6:$AM$8</f>
            </numRef>
          </yVal>
        </ser>
        <ser>
          <idx val="3"/>
          <order val="3"/>
          <tx>
            <v>No convergió (n = 1)</v>
          </tx>
          <spPr>
            <a:ln>
              <a:noFill/>
              <a:prstDash val="solid"/>
            </a:ln>
          </spPr>
          <marker>
            <symbol val="x"/>
            <size val="7"/>
            <spPr>
              <a:noFill/>
              <a:ln>
                <a:solidFill>
                  <a:srgbClr val="C62828"/>
                </a:solidFill>
                <a:prstDash val="solid"/>
              </a:ln>
            </spPr>
          </marker>
          <xVal>
            <numRef>
              <f>'3 Datos de gráficos'!$AP$6</f>
            </numRef>
          </xVal>
          <yVal>
            <numRef>
              <f>'3 Datos de gráficos'!$AO$6</f>
            </numRef>
          </yVal>
        </ser>
        <ser>
          <idx val="4"/>
          <order val="4"/>
          <tx>
            <v>Falso convergido (n = 3)</v>
          </tx>
          <spPr>
            <a:ln>
              <a:noFill/>
              <a:prstDash val="solid"/>
            </a:ln>
          </spPr>
          <marker>
            <symbol val="x"/>
            <size val="7"/>
            <spPr>
              <a:noFill/>
              <a:ln>
                <a:solidFill>
                  <a:srgbClr val="9E9E9E"/>
                </a:solidFill>
                <a:prstDash val="solid"/>
              </a:ln>
            </spPr>
          </marker>
          <xVal>
            <numRef>
              <f>'3 Datos de gráficos'!$AR$6:$AR$8</f>
            </numRef>
          </xVal>
          <yVal>
            <numRef>
              <f>'3 Datos de gráficos'!$AQ$6:$AQ$8</f>
            </numRef>
          </yVal>
        </ser>
        <axId val="10"/>
        <axId val="20"/>
      </scatterChart>
      <valAx>
        <axId val="10"/>
        <scaling>
          <orientation val="minMax"/>
          <max val="0.9"/>
          <min val="0.2"/>
        </scaling>
        <delete val="0"/>
        <axPos val="l"/>
        <majorGridlines/>
        <title>
          <tx>
            <rich>
              <a:bodyPr/>
              <a:p>
                <a:pPr>
                  <a:defRPr sz="800" b="0"/>
                </a:pPr>
                <a:r>
                  <a:rPr sz="800" b="0"/>
                  <a:t>Fracción de amoníaco de la mezcla base, x_b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2.5"/>
          <min val="-2.5"/>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5"/>
      </valAx>
    </plotArea>
    <legend>
      <legendPos val="b"/>
      <overlay val="0"/>
      <txPr>
        <a:bodyPr/>
        <a:p>
          <a:pPr>
            <a:defRPr sz="700" b="0"/>
          </a:pPr>
          <a:r>
            <a:t/>
          </a:r>
          <a:endParaRPr sz="700" b="0"/>
        </a:p>
      </txPr>
    </legend>
    <plotVisOnly val="0"/>
    <dispBlanksAs val="gap"/>
  </chart>
</chartSpace>
</file>

<file path=xl/charts/chart85.xml><?xml version="1.0" encoding="utf-8"?>
<chartSpace xmlns:a="http://schemas.openxmlformats.org/drawingml/2006/main" xmlns="http://schemas.openxmlformats.org/drawingml/2006/chart">
  <style val="13"/>
  <chart>
    <title>
      <tx>
        <rich>
          <a:bodyPr/>
          <a:p>
            <a:pPr>
              <a:defRPr sz="900" b="1"/>
            </a:pPr>
            <a:r>
              <a:rPr sz="900" b="1"/>
              <a:t>η_t</a:t>
            </a:r>
          </a:p>
        </rich>
      </tx>
      <overlay val="0"/>
    </title>
    <plotArea>
      <scatterChart>
        <varyColors val="0"/>
        <ser>
          <idx val="0"/>
          <order val="0"/>
          <tx>
            <v>KALINA (n = 10)</v>
          </tx>
          <spPr>
            <a:ln>
              <a:noFill/>
              <a:prstDash val="solid"/>
            </a:ln>
          </spPr>
          <marker>
            <symbol val="circle"/>
            <size val="6"/>
            <spPr>
              <a:solidFill>
                <a:srgbClr val="2E7D32"/>
              </a:solidFill>
              <a:ln>
                <a:solidFill>
                  <a:srgbClr val="2E7D32"/>
                </a:solidFill>
                <a:prstDash val="solid"/>
              </a:ln>
            </spPr>
          </marker>
          <xVal>
            <numRef>
              <f>'3 Datos de gráficos'!$AT$6:$AT$15</f>
            </numRef>
          </xVal>
          <yVal>
            <numRef>
              <f>'3 Datos de gráficos'!$AS$6:$AS$15</f>
            </numRef>
          </yVal>
        </ser>
        <ser>
          <idx val="1"/>
          <order val="1"/>
          <tx>
            <v>Corregible (n = 7)</v>
          </tx>
          <spPr>
            <a:ln>
              <a:noFill/>
              <a:prstDash val="solid"/>
            </a:ln>
          </spPr>
          <marker>
            <symbol val="triangle"/>
            <size val="6"/>
            <spPr>
              <a:solidFill>
                <a:srgbClr val="EF8A17"/>
              </a:solidFill>
              <a:ln>
                <a:solidFill>
                  <a:srgbClr val="EF8A17"/>
                </a:solidFill>
                <a:prstDash val="solid"/>
              </a:ln>
            </spPr>
          </marker>
          <xVal>
            <numRef>
              <f>'3 Datos de gráficos'!$AV$6:$AV$12</f>
            </numRef>
          </xVal>
          <yVal>
            <numRef>
              <f>'3 Datos de gráficos'!$AU$6:$AU$12</f>
            </numRef>
          </yVal>
        </ser>
        <axId val="10"/>
        <axId val="20"/>
      </scatterChart>
      <valAx>
        <axId val="10"/>
        <scaling>
          <orientation val="minMax"/>
          <max val="1"/>
          <min val="0.4"/>
        </scaling>
        <delete val="0"/>
        <axPos val="l"/>
        <majorGridlines/>
        <title>
          <tx>
            <rich>
              <a:bodyPr/>
              <a:p>
                <a:pPr>
                  <a:defRPr sz="800" b="0"/>
                </a:pPr>
                <a:r>
                  <a:rPr sz="800" b="0"/>
                  <a:t>Eficiencia isentrópica de la turbina, η_t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0"/>
          <min val="3"/>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86.xml><?xml version="1.0" encoding="utf-8"?>
<chartSpace xmlns:a="http://schemas.openxmlformats.org/drawingml/2006/main" xmlns="http://schemas.openxmlformats.org/drawingml/2006/chart">
  <style val="13"/>
  <chart>
    <title>
      <tx>
        <rich>
          <a:bodyPr/>
          <a:p>
            <a:pPr>
              <a:defRPr sz="900" b="1"/>
            </a:pPr>
            <a:r>
              <a:rPr sz="900" b="1"/>
              <a:t>η_p</a:t>
            </a:r>
          </a:p>
        </rich>
      </tx>
      <overlay val="0"/>
    </title>
    <plotArea>
      <scatterChart>
        <varyColors val="0"/>
        <ser>
          <idx val="0"/>
          <order val="0"/>
          <tx>
            <v>KALINA (n = 17)</v>
          </tx>
          <spPr>
            <a:ln>
              <a:noFill/>
              <a:prstDash val="solid"/>
            </a:ln>
          </spPr>
          <marker>
            <symbol val="circle"/>
            <size val="6"/>
            <spPr>
              <a:solidFill>
                <a:srgbClr val="2E7D32"/>
              </a:solidFill>
              <a:ln>
                <a:solidFill>
                  <a:srgbClr val="2E7D32"/>
                </a:solidFill>
                <a:prstDash val="solid"/>
              </a:ln>
            </spPr>
          </marker>
          <xVal>
            <numRef>
              <f>'3 Datos de gráficos'!$AX$6:$AX$22</f>
            </numRef>
          </xVal>
          <yVal>
            <numRef>
              <f>'3 Datos de gráficos'!$AW$6:$AW$22</f>
            </numRef>
          </yVal>
        </ser>
        <axId val="10"/>
        <axId val="20"/>
      </scatterChart>
      <valAx>
        <axId val="10"/>
        <scaling>
          <orientation val="minMax"/>
          <max val="1"/>
          <min val="0.4"/>
        </scaling>
        <delete val="0"/>
        <axPos val="l"/>
        <majorGridlines/>
        <title>
          <tx>
            <rich>
              <a:bodyPr/>
              <a:p>
                <a:pPr>
                  <a:defRPr sz="800" b="0"/>
                </a:pPr>
                <a:r>
                  <a:rPr sz="800" b="0"/>
                  <a:t>Eficiencia isentrópica de la bomba, η_p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8.75"/>
          <min val="7.25"/>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0.25"/>
      </valAx>
    </plotArea>
    <legend>
      <legendPos val="b"/>
      <overlay val="0"/>
      <txPr>
        <a:bodyPr/>
        <a:p>
          <a:pPr>
            <a:defRPr sz="700" b="0"/>
          </a:pPr>
          <a:r>
            <a:t/>
          </a:r>
          <a:endParaRPr sz="700" b="0"/>
        </a:p>
      </txPr>
    </legend>
    <plotVisOnly val="0"/>
    <dispBlanksAs val="gap"/>
  </chart>
</chartSpace>
</file>

<file path=xl/charts/chart87.xml><?xml version="1.0" encoding="utf-8"?>
<chartSpace xmlns:a="http://schemas.openxmlformats.org/drawingml/2006/main" xmlns="http://schemas.openxmlformats.org/drawingml/2006/chart">
  <style val="13"/>
  <chart>
    <title>
      <tx>
        <rich>
          <a:bodyPr/>
          <a:p>
            <a:pPr>
              <a:defRPr sz="900" b="1"/>
            </a:pPr>
            <a:r>
              <a:rPr sz="900" b="1"/>
              <a:t>ε_HRVG</a:t>
            </a:r>
          </a:p>
        </rich>
      </tx>
      <overlay val="0"/>
    </title>
    <plotArea>
      <scatterChart>
        <varyColors val="0"/>
        <ser>
          <idx val="0"/>
          <order val="0"/>
          <tx>
            <v>KALINA (n = 14)</v>
          </tx>
          <spPr>
            <a:ln>
              <a:noFill/>
              <a:prstDash val="solid"/>
            </a:ln>
          </spPr>
          <marker>
            <symbol val="circle"/>
            <size val="6"/>
            <spPr>
              <a:solidFill>
                <a:srgbClr val="2E7D32"/>
              </a:solidFill>
              <a:ln>
                <a:solidFill>
                  <a:srgbClr val="2E7D32"/>
                </a:solidFill>
                <a:prstDash val="solid"/>
              </a:ln>
            </spPr>
          </marker>
          <xVal>
            <numRef>
              <f>'3 Datos de gráficos'!$AZ$6:$AZ$19</f>
            </numRef>
          </xVal>
          <yVal>
            <numRef>
              <f>'3 Datos de gráficos'!$AY$6:$AY$19</f>
            </numRef>
          </yVal>
        </ser>
        <ser>
          <idx val="1"/>
          <order val="1"/>
          <tx>
            <v>Corregible (n = 2)</v>
          </tx>
          <spPr>
            <a:ln>
              <a:noFill/>
              <a:prstDash val="solid"/>
            </a:ln>
          </spPr>
          <marker>
            <symbol val="triangle"/>
            <size val="6"/>
            <spPr>
              <a:solidFill>
                <a:srgbClr val="EF8A17"/>
              </a:solidFill>
              <a:ln>
                <a:solidFill>
                  <a:srgbClr val="EF8A17"/>
                </a:solidFill>
                <a:prstDash val="solid"/>
              </a:ln>
            </spPr>
          </marker>
          <xVal>
            <numRef>
              <f>'3 Datos de gráficos'!$BB$6:$BB$7</f>
            </numRef>
          </xVal>
          <yVal>
            <numRef>
              <f>'3 Datos de gráficos'!$BA$6:$BA$7</f>
            </numRef>
          </yVal>
        </ser>
        <ser>
          <idx val="2"/>
          <order val="2"/>
          <tx>
            <v>Inviable (n = 1)</v>
          </tx>
          <spPr>
            <a:ln>
              <a:noFill/>
              <a:prstDash val="solid"/>
            </a:ln>
          </spPr>
          <marker>
            <symbol val="square"/>
            <size val="6"/>
            <spPr>
              <a:solidFill>
                <a:srgbClr val="C9A227"/>
              </a:solidFill>
              <a:ln>
                <a:solidFill>
                  <a:srgbClr val="C9A227"/>
                </a:solidFill>
                <a:prstDash val="solid"/>
              </a:ln>
            </spPr>
          </marker>
          <xVal>
            <numRef>
              <f>'3 Datos de gráficos'!$BD$6</f>
            </numRef>
          </xVal>
          <yVal>
            <numRef>
              <f>'3 Datos de gráficos'!$BC$6</f>
            </numRef>
          </yVal>
        </ser>
        <axId val="10"/>
        <axId val="20"/>
      </scatterChart>
      <valAx>
        <axId val="10"/>
        <scaling>
          <orientation val="minMax"/>
          <max val="1"/>
          <min val="0.4"/>
        </scaling>
        <delete val="0"/>
        <axPos val="l"/>
        <majorGridlines/>
        <title>
          <tx>
            <rich>
              <a:bodyPr/>
              <a:p>
                <a:pPr>
                  <a:defRPr sz="800" b="0"/>
                </a:pPr>
                <a:r>
                  <a:rPr sz="800" b="0"/>
                  <a:t>Efectividad del generador de vapor, ε_HRVG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0"/>
          <min val="2"/>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
      </valAx>
    </plotArea>
    <legend>
      <legendPos val="b"/>
      <overlay val="0"/>
      <txPr>
        <a:bodyPr/>
        <a:p>
          <a:pPr>
            <a:defRPr sz="700" b="0"/>
          </a:pPr>
          <a:r>
            <a:t/>
          </a:r>
          <a:endParaRPr sz="700" b="0"/>
        </a:p>
      </txPr>
    </legend>
    <plotVisOnly val="0"/>
    <dispBlanksAs val="gap"/>
  </chart>
</chartSpace>
</file>

<file path=xl/charts/chart88.xml><?xml version="1.0" encoding="utf-8"?>
<chartSpace xmlns:a="http://schemas.openxmlformats.org/drawingml/2006/main" xmlns="http://schemas.openxmlformats.org/drawingml/2006/chart">
  <style val="13"/>
  <chart>
    <title>
      <tx>
        <rich>
          <a:bodyPr/>
          <a:p>
            <a:pPr>
              <a:defRPr sz="900" b="1"/>
            </a:pPr>
            <a:r>
              <a:rPr sz="900" b="1"/>
              <a:t>ε_reg</a:t>
            </a:r>
          </a:p>
        </rich>
      </tx>
      <overlay val="0"/>
    </title>
    <plotArea>
      <scatterChart>
        <varyColors val="0"/>
        <ser>
          <idx val="0"/>
          <order val="0"/>
          <tx>
            <v>KALINA (n = 8)</v>
          </tx>
          <spPr>
            <a:ln>
              <a:noFill/>
              <a:prstDash val="solid"/>
            </a:ln>
          </spPr>
          <marker>
            <symbol val="circle"/>
            <size val="6"/>
            <spPr>
              <a:solidFill>
                <a:srgbClr val="2E7D32"/>
              </a:solidFill>
              <a:ln>
                <a:solidFill>
                  <a:srgbClr val="2E7D32"/>
                </a:solidFill>
                <a:prstDash val="solid"/>
              </a:ln>
            </spPr>
          </marker>
          <xVal>
            <numRef>
              <f>'3 Datos de gráficos'!$BF$6:$BF$13</f>
            </numRef>
          </xVal>
          <yVal>
            <numRef>
              <f>'3 Datos de gráficos'!$BE$6:$BE$13</f>
            </numRef>
          </yVal>
        </ser>
        <ser>
          <idx val="1"/>
          <order val="1"/>
          <tx>
            <v>Corregible (n = 9)</v>
          </tx>
          <spPr>
            <a:ln>
              <a:noFill/>
              <a:prstDash val="solid"/>
            </a:ln>
          </spPr>
          <marker>
            <symbol val="triangle"/>
            <size val="6"/>
            <spPr>
              <a:solidFill>
                <a:srgbClr val="EF8A17"/>
              </a:solidFill>
              <a:ln>
                <a:solidFill>
                  <a:srgbClr val="EF8A17"/>
                </a:solidFill>
                <a:prstDash val="solid"/>
              </a:ln>
            </spPr>
          </marker>
          <xVal>
            <numRef>
              <f>'3 Datos de gráficos'!$BH$6:$BH$14</f>
            </numRef>
          </xVal>
          <yVal>
            <numRef>
              <f>'3 Datos de gráficos'!$BG$6:$BG$14</f>
            </numRef>
          </yVal>
        </ser>
        <axId val="10"/>
        <axId val="20"/>
      </scatterChart>
      <valAx>
        <axId val="10"/>
        <scaling>
          <orientation val="minMax"/>
          <max val="1"/>
          <min val="0.4"/>
        </scaling>
        <delete val="0"/>
        <axPos val="l"/>
        <majorGridlines/>
        <title>
          <tx>
            <rich>
              <a:bodyPr/>
              <a:p>
                <a:pPr>
                  <a:defRPr sz="800" b="0"/>
                </a:pPr>
                <a:r>
                  <a:rPr sz="800" b="0"/>
                  <a:t>Efectividad del regenerador, ε_reg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1"/>
          <min val="5"/>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89.xml><?xml version="1.0" encoding="utf-8"?>
<chartSpace xmlns:a="http://schemas.openxmlformats.org/drawingml/2006/main" xmlns="http://schemas.openxmlformats.org/drawingml/2006/chart">
  <style val="13"/>
  <chart>
    <title>
      <tx>
        <rich>
          <a:bodyPr/>
          <a:p>
            <a:pPr>
              <a:defRPr sz="900" b="1"/>
            </a:pPr>
            <a:r>
              <a:rPr sz="900" b="1"/>
              <a:t>ε_cond</a:t>
            </a:r>
          </a:p>
        </rich>
      </tx>
      <overlay val="0"/>
    </title>
    <plotArea>
      <scatterChart>
        <varyColors val="0"/>
        <ser>
          <idx val="0"/>
          <order val="0"/>
          <tx>
            <v>KALINA (n = 5)</v>
          </tx>
          <spPr>
            <a:ln>
              <a:noFill/>
              <a:prstDash val="solid"/>
            </a:ln>
          </spPr>
          <marker>
            <symbol val="circle"/>
            <size val="6"/>
            <spPr>
              <a:solidFill>
                <a:srgbClr val="2E7D32"/>
              </a:solidFill>
              <a:ln>
                <a:solidFill>
                  <a:srgbClr val="2E7D32"/>
                </a:solidFill>
                <a:prstDash val="solid"/>
              </a:ln>
            </spPr>
          </marker>
          <xVal>
            <numRef>
              <f>'3 Datos de gráficos'!$BJ$6:$BJ$10</f>
            </numRef>
          </xVal>
          <yVal>
            <numRef>
              <f>'3 Datos de gráficos'!$BI$6:$BI$10</f>
            </numRef>
          </yVal>
        </ser>
        <ser>
          <idx val="1"/>
          <order val="1"/>
          <tx>
            <v>Corregible (n = 8)</v>
          </tx>
          <spPr>
            <a:ln>
              <a:noFill/>
              <a:prstDash val="solid"/>
            </a:ln>
          </spPr>
          <marker>
            <symbol val="triangle"/>
            <size val="6"/>
            <spPr>
              <a:solidFill>
                <a:srgbClr val="EF8A17"/>
              </a:solidFill>
              <a:ln>
                <a:solidFill>
                  <a:srgbClr val="EF8A17"/>
                </a:solidFill>
                <a:prstDash val="solid"/>
              </a:ln>
            </spPr>
          </marker>
          <xVal>
            <numRef>
              <f>'3 Datos de gráficos'!$BL$6:$BL$13</f>
            </numRef>
          </xVal>
          <yVal>
            <numRef>
              <f>'3 Datos de gráficos'!$BK$6:$BK$13</f>
            </numRef>
          </yVal>
        </ser>
        <ser>
          <idx val="2"/>
          <order val="2"/>
          <tx>
            <v>No convergió (n = 4)</v>
          </tx>
          <spPr>
            <a:ln>
              <a:noFill/>
              <a:prstDash val="solid"/>
            </a:ln>
          </spPr>
          <marker>
            <symbol val="x"/>
            <size val="7"/>
            <spPr>
              <a:noFill/>
              <a:ln>
                <a:solidFill>
                  <a:srgbClr val="C62828"/>
                </a:solidFill>
                <a:prstDash val="solid"/>
              </a:ln>
            </spPr>
          </marker>
          <xVal>
            <numRef>
              <f>'3 Datos de gráficos'!$BN$6:$BN$9</f>
            </numRef>
          </xVal>
          <yVal>
            <numRef>
              <f>'3 Datos de gráficos'!$BM$6:$BM$9</f>
            </numRef>
          </yVal>
        </ser>
        <axId val="10"/>
        <axId val="20"/>
      </scatterChart>
      <valAx>
        <axId val="10"/>
        <scaling>
          <orientation val="minMax"/>
          <max val="1"/>
          <min val="0.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0"/>
          <min val="-2"/>
        </scaling>
        <delete val="0"/>
        <axPos val="l"/>
        <majorGridlines/>
        <title>
          <tx>
            <rich>
              <a:bodyPr/>
              <a:p>
                <a:pPr>
                  <a:defRPr sz="800" b="0"/>
                </a:pPr>
                <a:r>
                  <a:rPr sz="800" b="0"/>
                  <a:t>η [%] (−0.6 = sin η)</a:t>
                </a:r>
              </a:p>
            </rich>
          </tx>
          <overlay val="0"/>
        </title>
        <majorTickMark val="none"/>
        <minorTickMark val="none"/>
        <tickLblPos val="low"/>
        <txPr>
          <a:bodyPr/>
          <a:p>
            <a:pPr>
              <a:defRPr sz="700" b="0"/>
            </a:pPr>
            <a:r>
              <a:t/>
            </a:r>
            <a:endParaRPr sz="700" b="0"/>
          </a:p>
        </txPr>
        <crossAx val="10"/>
        <crosses val="min"/>
        <majorUnit val="2"/>
      </valAx>
    </plotArea>
    <legend>
      <legendPos val="b"/>
      <overlay val="0"/>
      <txPr>
        <a:bodyPr/>
        <a:p>
          <a:pPr>
            <a:defRPr sz="700" b="0"/>
          </a:pPr>
          <a:r>
            <a:t/>
          </a:r>
          <a:endParaRPr sz="700" b="0"/>
        </a:p>
      </txPr>
    </legend>
    <plotVisOnly val="0"/>
    <dispBlanksAs val="gap"/>
  </chart>
</chartSpace>
</file>

<file path=xl/charts/chart90.xml><?xml version="1.0" encoding="utf-8"?>
<chartSpace xmlns:a="http://schemas.openxmlformats.org/drawingml/2006/main" xmlns="http://schemas.openxmlformats.org/drawingml/2006/chart">
  <style val="10"/>
  <chart>
    <title>
      <tx>
        <rich>
          <a:bodyPr/>
          <a:p>
            <a:pPr>
              <a:defRPr sz="1100" b="1"/>
            </a:pPr>
            <a:r>
              <a:rPr sz="1100" b="1"/>
              <a:t>A* está a menos del 6 % del rango de la frontera de O2 en 8 de 9 variables</a:t>
            </a:r>
          </a:p>
        </rich>
      </tx>
      <overlay val="0"/>
    </title>
    <plotArea>
      <barChart>
        <barDir val="bar"/>
        <grouping val="clustered"/>
        <varyColors val="0"/>
        <ser>
          <idx val="0"/>
          <order val="0"/>
          <tx>
            <v>Distancia a la frontera / rango [–]</v>
          </tx>
          <spPr>
            <a:solidFill>
              <a:srgbClr val="2E7D32"/>
            </a:solidFill>
            <a:ln>
              <a:solidFill>
                <a:srgbClr val="2E7D32"/>
              </a:solidFill>
              <a:prstDash val="solid"/>
            </a:ln>
          </spPr>
          <invertIfNegative val="0"/>
          <dPt>
            <idx val="0"/>
            <invertIfNegative val="0"/>
            <spPr>
              <a:solidFill>
                <a:srgbClr val="2E7D32"/>
              </a:solidFill>
              <a:ln>
                <a:prstDash val="solid"/>
              </a:ln>
            </spPr>
          </dPt>
          <dPt>
            <idx val="1"/>
            <invertIfNegative val="0"/>
            <spPr>
              <a:solidFill>
                <a:srgbClr val="C62828"/>
              </a:solidFill>
              <a:ln>
                <a:prstDash val="solid"/>
              </a:ln>
            </spPr>
          </dPt>
          <dPt>
            <idx val="2"/>
            <invertIfNegative val="0"/>
            <spPr>
              <a:solidFill>
                <a:srgbClr val="C62828"/>
              </a:solidFill>
              <a:ln>
                <a:prstDash val="solid"/>
              </a:ln>
            </spPr>
          </dPt>
          <dPt>
            <idx val="3"/>
            <invertIfNegative val="0"/>
            <spPr>
              <a:solidFill>
                <a:srgbClr val="C62828"/>
              </a:solidFill>
              <a:ln>
                <a:prstDash val="solid"/>
              </a:ln>
            </spPr>
          </dPt>
          <dPt>
            <idx val="4"/>
            <invertIfNegative val="0"/>
            <spPr>
              <a:solidFill>
                <a:srgbClr val="C62828"/>
              </a:solidFill>
              <a:ln>
                <a:prstDash val="solid"/>
              </a:ln>
            </spPr>
          </dPt>
          <dPt>
            <idx val="5"/>
            <invertIfNegative val="0"/>
            <spPr>
              <a:solidFill>
                <a:srgbClr val="C62828"/>
              </a:solidFill>
              <a:ln>
                <a:prstDash val="solid"/>
              </a:ln>
            </spPr>
          </dPt>
          <dPt>
            <idx val="6"/>
            <invertIfNegative val="0"/>
            <spPr>
              <a:solidFill>
                <a:srgbClr val="C62828"/>
              </a:solidFill>
              <a:ln>
                <a:prstDash val="solid"/>
              </a:ln>
            </spPr>
          </dPt>
          <dPt>
            <idx val="7"/>
            <invertIfNegative val="0"/>
            <spPr>
              <a:solidFill>
                <a:srgbClr val="C62828"/>
              </a:solidFill>
              <a:ln>
                <a:prstDash val="solid"/>
              </a:ln>
            </spPr>
          </dPt>
          <dPt>
            <idx val="8"/>
            <invertIfNegative val="0"/>
            <spPr>
              <a:solidFill>
                <a:srgbClr val="C62828"/>
              </a:solidFill>
              <a:ln>
                <a:prstDash val="solid"/>
              </a:ln>
            </spPr>
          </dPt>
          <cat>
            <numRef>
              <f>'3 Datos de gráficos'!$BP$6:$BP$14</f>
            </numRef>
          </cat>
          <val>
            <numRef>
              <f>'3 Datos de gráficos'!$BQ$6:$BQ$14</f>
            </numRef>
          </val>
        </ser>
        <gapWidth val="150"/>
        <axId val="10"/>
        <axId val="100"/>
      </barChart>
      <catAx>
        <axId val="10"/>
        <scaling>
          <orientation val="minMax"/>
        </scaling>
        <delete val="0"/>
        <axPos val="l"/>
        <title>
          <tx>
            <rich>
              <a:bodyPr/>
              <a:p>
                <a:pPr>
                  <a:defRPr sz="900" b="0"/>
                </a:pPr>
                <a:r>
                  <a:rPr sz="900" b="0"/>
                  <a:t>Variable</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Distancia a la frontera / rango [–]</a:t>
                </a:r>
              </a:p>
            </rich>
          </tx>
          <overlay val="0"/>
        </title>
        <majorTickMark val="none"/>
        <minorTickMark val="none"/>
        <tickLblPos val="low"/>
        <txPr>
          <a:bodyPr/>
          <a:p>
            <a:pPr>
              <a:defRPr sz="800" b="0"/>
            </a:pPr>
            <a:r>
              <a:t/>
            </a:r>
            <a:endParaRPr sz="800" b="0"/>
          </a:p>
        </txPr>
        <crossAx val="10"/>
        <crosses val="autoZero"/>
      </valAx>
    </plotArea>
    <plotVisOnly val="0"/>
    <dispBlanksAs val="gap"/>
  </chart>
</chartSpace>
</file>

<file path=xl/charts/chart91.xml><?xml version="1.0" encoding="utf-8"?>
<chartSpace xmlns:a="http://schemas.openxmlformats.org/drawingml/2006/main" xmlns="http://schemas.openxmlformats.org/drawingml/2006/chart">
  <style val="13"/>
  <chart>
    <title>
      <tx>
        <rich>
          <a:bodyPr/>
          <a:p>
            <a:pPr>
              <a:defRPr sz="900" b="1"/>
            </a:pPr>
            <a:r>
              <a:rPr sz="900" b="1"/>
              <a:t>T_fuente</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gráficos'!$BT$6:$BT$126</f>
            </numRef>
          </xVal>
          <yVal>
            <numRef>
              <f>'3 Datos de gráficos'!$BS$6:$BS$126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gráficos'!$BV$6:$BV$336</f>
            </numRef>
          </xVal>
          <yVal>
            <numRef>
              <f>'3 Datos de gráficos'!$BU$6:$BU$336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gráficos'!$BX$6:$BX$53</f>
            </numRef>
          </xVal>
          <yVal>
            <numRef>
              <f>'3 Datos de gráficos'!$BW$6:$BW$53</f>
            </numRef>
          </yVal>
          <smooth val="0"/>
        </ser>
        <axId val="10"/>
        <axId val="20"/>
      </scatterChart>
      <valAx>
        <axId val="10"/>
        <scaling>
          <orientation val="minMax"/>
          <max val="500"/>
          <min val="375"/>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25"/>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92.xml><?xml version="1.0" encoding="utf-8"?>
<chartSpace xmlns:a="http://schemas.openxmlformats.org/drawingml/2006/main" xmlns="http://schemas.openxmlformats.org/drawingml/2006/chart">
  <style val="13"/>
  <chart>
    <title>
      <tx>
        <rich>
          <a:bodyPr/>
          <a:p>
            <a:pPr>
              <a:defRPr sz="900" b="1"/>
            </a:pPr>
            <a:r>
              <a:rPr sz="900" b="1"/>
              <a:t>T_sumidero</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gráficos'!$BZ$6:$BZ$126</f>
            </numRef>
          </xVal>
          <yVal>
            <numRef>
              <f>'3 Datos de gráficos'!$BY$6:$BY$126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gráficos'!$CB$6:$CB$336</f>
            </numRef>
          </xVal>
          <yVal>
            <numRef>
              <f>'3 Datos de gráficos'!$CA$6:$CA$336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gráficos'!$CD$6:$CD$53</f>
            </numRef>
          </xVal>
          <yVal>
            <numRef>
              <f>'3 Datos de gráficos'!$CC$6:$CC$53</f>
            </numRef>
          </yVal>
          <smooth val="0"/>
        </ser>
        <axId val="10"/>
        <axId val="20"/>
      </scatterChart>
      <valAx>
        <axId val="10"/>
        <scaling>
          <orientation val="minMax"/>
          <max val="305"/>
          <min val="275"/>
        </scaling>
        <delete val="0"/>
        <axPos val="l"/>
        <majorGridlines/>
        <title>
          <tx>
            <rich>
              <a:bodyPr/>
              <a:p>
                <a:pPr>
                  <a:defRPr sz="800" b="0"/>
                </a:pPr>
                <a:r>
                  <a:rPr sz="800" b="0"/>
                  <a:t>Temperatura del sumidero, T_sumidero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93.xml><?xml version="1.0" encoding="utf-8"?>
<chartSpace xmlns:a="http://schemas.openxmlformats.org/drawingml/2006/main" xmlns="http://schemas.openxmlformats.org/drawingml/2006/chart">
  <style val="13"/>
  <chart>
    <title>
      <tx>
        <rich>
          <a:bodyPr/>
          <a:p>
            <a:pPr>
              <a:defRPr sz="900" b="1"/>
            </a:pPr>
            <a:r>
              <a:rPr sz="900" b="1"/>
              <a:t>P_alta</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gráficos'!$CF$6:$CF$126</f>
            </numRef>
          </xVal>
          <yVal>
            <numRef>
              <f>'3 Datos de gráficos'!$CE$6:$CE$126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gráficos'!$CH$6:$CH$336</f>
            </numRef>
          </xVal>
          <yVal>
            <numRef>
              <f>'3 Datos de gráficos'!$CG$6:$CG$336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gráficos'!$CJ$6:$CJ$53</f>
            </numRef>
          </xVal>
          <yVal>
            <numRef>
              <f>'3 Datos de gráficos'!$CI$6:$CI$53</f>
            </numRef>
          </yVal>
          <smooth val="0"/>
        </ser>
        <axId val="10"/>
        <axId val="20"/>
      </scatterChart>
      <valAx>
        <axId val="10"/>
        <scaling>
          <orientation val="minMax"/>
          <max val="5000"/>
          <min val="2000"/>
        </scaling>
        <delete val="0"/>
        <axPos val="l"/>
        <majorGridlines/>
        <title>
          <tx>
            <rich>
              <a:bodyPr/>
              <a:p>
                <a:pPr>
                  <a:defRPr sz="800" b="0"/>
                </a:pPr>
                <a:r>
                  <a:rPr sz="800" b="0"/>
                  <a:t>Presión de alta, P_alta [kPa]</a:t>
                </a:r>
              </a:p>
            </rich>
          </tx>
          <overlay val="0"/>
        </title>
        <majorTickMark val="none"/>
        <minorTickMark val="none"/>
        <tickLblPos val="low"/>
        <txPr>
          <a:bodyPr/>
          <a:p>
            <a:pPr>
              <a:defRPr sz="700" b="0"/>
            </a:pPr>
            <a:r>
              <a:t/>
            </a:r>
            <a:endParaRPr sz="700" b="0"/>
          </a:p>
        </txPr>
        <crossAx val="20"/>
        <crosses val="min"/>
        <majorUnit val="500"/>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94.xml><?xml version="1.0" encoding="utf-8"?>
<chartSpace xmlns:a="http://schemas.openxmlformats.org/drawingml/2006/main" xmlns="http://schemas.openxmlformats.org/drawingml/2006/chart">
  <style val="13"/>
  <chart>
    <title>
      <tx>
        <rich>
          <a:bodyPr/>
          <a:p>
            <a:pPr>
              <a:defRPr sz="900" b="1"/>
            </a:pPr>
            <a:r>
              <a:rPr sz="900" b="1"/>
              <a:t>P_baja</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gráficos'!$CL$6:$CL$126</f>
            </numRef>
          </xVal>
          <yVal>
            <numRef>
              <f>'3 Datos de gráficos'!$CK$6:$CK$126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gráficos'!$CN$6:$CN$336</f>
            </numRef>
          </xVal>
          <yVal>
            <numRef>
              <f>'3 Datos de gráficos'!$CM$6:$CM$336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gráficos'!$CP$6:$CP$53</f>
            </numRef>
          </xVal>
          <yVal>
            <numRef>
              <f>'3 Datos de gráficos'!$CO$6:$CO$53</f>
            </numRef>
          </yVal>
          <smooth val="0"/>
        </ser>
        <axId val="10"/>
        <axId val="20"/>
      </scatterChart>
      <valAx>
        <axId val="10"/>
        <scaling>
          <orientation val="minMax"/>
          <max val="1500"/>
          <min val="250"/>
        </scaling>
        <delete val="0"/>
        <axPos val="l"/>
        <majorGridlines/>
        <title>
          <tx>
            <rich>
              <a:bodyPr/>
              <a:p>
                <a:pPr>
                  <a:defRPr sz="800" b="0"/>
                </a:pPr>
                <a:r>
                  <a:rPr sz="800" b="0"/>
                  <a:t>Presión de baja, P_baja [kPa]</a:t>
                </a:r>
              </a:p>
            </rich>
          </tx>
          <overlay val="0"/>
        </title>
        <majorTickMark val="none"/>
        <minorTickMark val="none"/>
        <tickLblPos val="low"/>
        <txPr>
          <a:bodyPr/>
          <a:p>
            <a:pPr>
              <a:defRPr sz="700" b="0"/>
            </a:pPr>
            <a:r>
              <a:t/>
            </a:r>
            <a:endParaRPr sz="700" b="0"/>
          </a:p>
        </txPr>
        <crossAx val="20"/>
        <crosses val="min"/>
        <majorUnit val="250"/>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95.xml><?xml version="1.0" encoding="utf-8"?>
<chartSpace xmlns:a="http://schemas.openxmlformats.org/drawingml/2006/main" xmlns="http://schemas.openxmlformats.org/drawingml/2006/chart">
  <style val="13"/>
  <chart>
    <title>
      <tx>
        <rich>
          <a:bodyPr/>
          <a:p>
            <a:pPr>
              <a:defRPr sz="900" b="1"/>
            </a:pPr>
            <a:r>
              <a:rPr sz="900" b="1"/>
              <a:t>x_b</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gráficos'!$CR$6:$CR$126</f>
            </numRef>
          </xVal>
          <yVal>
            <numRef>
              <f>'3 Datos de gráficos'!$CQ$6:$CQ$126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gráficos'!$CT$6:$CT$336</f>
            </numRef>
          </xVal>
          <yVal>
            <numRef>
              <f>'3 Datos de gráficos'!$CS$6:$CS$336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gráficos'!$CV$6:$CV$53</f>
            </numRef>
          </xVal>
          <yVal>
            <numRef>
              <f>'3 Datos de gráficos'!$CU$6:$CU$53</f>
            </numRef>
          </yVal>
          <smooth val="0"/>
        </ser>
        <axId val="10"/>
        <axId val="20"/>
      </scatterChart>
      <valAx>
        <axId val="10"/>
        <scaling>
          <orientation val="minMax"/>
          <max val="0.9"/>
          <min val="0.5"/>
        </scaling>
        <delete val="0"/>
        <axPos val="l"/>
        <majorGridlines/>
        <title>
          <tx>
            <rich>
              <a:bodyPr/>
              <a:p>
                <a:pPr>
                  <a:defRPr sz="800" b="0"/>
                </a:pPr>
                <a:r>
                  <a:rPr sz="800" b="0"/>
                  <a:t>Fracción de amoníaco de la mezcla base, x_b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96.xml><?xml version="1.0" encoding="utf-8"?>
<chartSpace xmlns:a="http://schemas.openxmlformats.org/drawingml/2006/main" xmlns="http://schemas.openxmlformats.org/drawingml/2006/chart">
  <style val="13"/>
  <chart>
    <title>
      <tx>
        <rich>
          <a:bodyPr/>
          <a:p>
            <a:pPr>
              <a:defRPr sz="900" b="1"/>
            </a:pPr>
            <a:r>
              <a:rPr sz="900" b="1"/>
              <a:t>η_t</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gráficos'!$CX$6:$CX$126</f>
            </numRef>
          </xVal>
          <yVal>
            <numRef>
              <f>'3 Datos de gráficos'!$CW$6:$CW$126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gráficos'!$CZ$6:$CZ$336</f>
            </numRef>
          </xVal>
          <yVal>
            <numRef>
              <f>'3 Datos de gráficos'!$CY$6:$CY$336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gráficos'!$DB$6:$DB$53</f>
            </numRef>
          </xVal>
          <yVal>
            <numRef>
              <f>'3 Datos de gráficos'!$DA$6:$DA$53</f>
            </numRef>
          </yVal>
          <smooth val="0"/>
        </ser>
        <axId val="10"/>
        <axId val="20"/>
      </scatterChart>
      <valAx>
        <axId val="10"/>
        <scaling>
          <orientation val="minMax"/>
          <max val="0.9500000000000001"/>
          <min val="0.75"/>
        </scaling>
        <delete val="0"/>
        <axPos val="l"/>
        <majorGridlines/>
        <title>
          <tx>
            <rich>
              <a:bodyPr/>
              <a:p>
                <a:pPr>
                  <a:defRPr sz="800" b="0"/>
                </a:pPr>
                <a:r>
                  <a:rPr sz="800" b="0"/>
                  <a:t>Eficiencia isentrópica de la turbina, η_t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97.xml><?xml version="1.0" encoding="utf-8"?>
<chartSpace xmlns:a="http://schemas.openxmlformats.org/drawingml/2006/main" xmlns="http://schemas.openxmlformats.org/drawingml/2006/chart">
  <style val="13"/>
  <chart>
    <title>
      <tx>
        <rich>
          <a:bodyPr/>
          <a:p>
            <a:pPr>
              <a:defRPr sz="900" b="1"/>
            </a:pPr>
            <a:r>
              <a:rPr sz="900" b="1"/>
              <a:t>η_p</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gráficos'!$DD$6:$DD$126</f>
            </numRef>
          </xVal>
          <yVal>
            <numRef>
              <f>'3 Datos de gráficos'!$DC$6:$DC$126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gráficos'!$DF$6:$DF$336</f>
            </numRef>
          </xVal>
          <yVal>
            <numRef>
              <f>'3 Datos de gráficos'!$DE$6:$DE$336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gráficos'!$DH$6:$DH$53</f>
            </numRef>
          </xVal>
          <yVal>
            <numRef>
              <f>'3 Datos de gráficos'!$DG$6:$DG$53</f>
            </numRef>
          </yVal>
          <smooth val="0"/>
        </ser>
        <axId val="10"/>
        <axId val="20"/>
      </scatterChart>
      <valAx>
        <axId val="10"/>
        <scaling>
          <orientation val="minMax"/>
          <max val="0.9"/>
          <min val="0.65"/>
        </scaling>
        <delete val="0"/>
        <axPos val="l"/>
        <majorGridlines/>
        <title>
          <tx>
            <rich>
              <a:bodyPr/>
              <a:p>
                <a:pPr>
                  <a:defRPr sz="800" b="0"/>
                </a:pPr>
                <a:r>
                  <a:rPr sz="800" b="0"/>
                  <a:t>Eficiencia isentrópica de la bomba, η_p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98.xml><?xml version="1.0" encoding="utf-8"?>
<chartSpace xmlns:a="http://schemas.openxmlformats.org/drawingml/2006/main" xmlns="http://schemas.openxmlformats.org/drawingml/2006/chart">
  <style val="13"/>
  <chart>
    <title>
      <tx>
        <rich>
          <a:bodyPr/>
          <a:p>
            <a:pPr>
              <a:defRPr sz="900" b="1"/>
            </a:pPr>
            <a:r>
              <a:rPr sz="900" b="1"/>
              <a:t>ε_HRVG</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gráficos'!$DJ$6:$DJ$126</f>
            </numRef>
          </xVal>
          <yVal>
            <numRef>
              <f>'3 Datos de gráficos'!$DI$6:$DI$126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gráficos'!$DL$6:$DL$336</f>
            </numRef>
          </xVal>
          <yVal>
            <numRef>
              <f>'3 Datos de gráficos'!$DK$6:$DK$336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gráficos'!$DN$6:$DN$53</f>
            </numRef>
          </xVal>
          <yVal>
            <numRef>
              <f>'3 Datos de gráficos'!$DM$6:$DM$53</f>
            </numRef>
          </yVal>
          <smooth val="0"/>
        </ser>
        <axId val="10"/>
        <axId val="20"/>
      </scatterChart>
      <valAx>
        <axId val="10"/>
        <scaling>
          <orientation val="minMax"/>
          <max val="1"/>
          <min val="0.6000000000000001"/>
        </scaling>
        <delete val="0"/>
        <axPos val="l"/>
        <majorGridlines/>
        <title>
          <tx>
            <rich>
              <a:bodyPr/>
              <a:p>
                <a:pPr>
                  <a:defRPr sz="800" b="0"/>
                </a:pPr>
                <a:r>
                  <a:rPr sz="800" b="0"/>
                  <a:t>Efectividad del generador de vapor, ε_HRVG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99.xml><?xml version="1.0" encoding="utf-8"?>
<chartSpace xmlns:a="http://schemas.openxmlformats.org/drawingml/2006/main" xmlns="http://schemas.openxmlformats.org/drawingml/2006/chart">
  <style val="13"/>
  <chart>
    <title>
      <tx>
        <rich>
          <a:bodyPr/>
          <a:p>
            <a:pPr>
              <a:defRPr sz="900" b="1"/>
            </a:pPr>
            <a:r>
              <a:rPr sz="900" b="1"/>
              <a:t>ε_reg</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gráficos'!$DP$6:$DP$126</f>
            </numRef>
          </xVal>
          <yVal>
            <numRef>
              <f>'3 Datos de gráficos'!$DO$6:$DO$126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gráficos'!$DR$6:$DR$336</f>
            </numRef>
          </xVal>
          <yVal>
            <numRef>
              <f>'3 Datos de gráficos'!$DQ$6:$DQ$336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gráficos'!$DT$6:$DT$53</f>
            </numRef>
          </xVal>
          <yVal>
            <numRef>
              <f>'3 Datos de gráficos'!$DS$6:$DS$53</f>
            </numRef>
          </yVal>
          <smooth val="0"/>
        </ser>
        <axId val="10"/>
        <axId val="20"/>
      </scatterChart>
      <valAx>
        <axId val="10"/>
        <scaling>
          <orientation val="minMax"/>
          <max val="1"/>
          <min val="0.6000000000000001"/>
        </scaling>
        <delete val="0"/>
        <axPos val="l"/>
        <majorGridlines/>
        <title>
          <tx>
            <rich>
              <a:bodyPr/>
              <a:p>
                <a:pPr>
                  <a:defRPr sz="800" b="0"/>
                </a:pPr>
                <a:r>
                  <a:rPr sz="800" b="0"/>
                  <a:t>Efectividad del regenerador, ε_reg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100.xml><?xml version="1.0" encoding="utf-8"?>
<chartSpace xmlns:a="http://schemas.openxmlformats.org/drawingml/2006/main" xmlns="http://schemas.openxmlformats.org/drawingml/2006/chart">
  <style val="13"/>
  <chart>
    <title>
      <tx>
        <rich>
          <a:bodyPr/>
          <a:p>
            <a:pPr>
              <a:defRPr sz="900" b="1"/>
            </a:pPr>
            <a:r>
              <a:rPr sz="900" b="1"/>
              <a:t>ε_cond</a:t>
            </a:r>
          </a:p>
        </rich>
      </tx>
      <overlay val="0"/>
    </title>
    <plotArea>
      <scatterChart>
        <varyColors val="0"/>
        <ser>
          <idx val="0"/>
          <order val="0"/>
          <tx>
            <v>KALINA (n = 121)</v>
          </tx>
          <spPr>
            <a:ln w="22000">
              <a:solidFill>
                <a:srgbClr val="2E7D32"/>
              </a:solidFill>
              <a:prstDash val="solid"/>
            </a:ln>
          </spPr>
          <marker>
            <symbol val="none"/>
            <size val="5"/>
            <spPr>
              <a:solidFill>
                <a:srgbClr val="2E7D32"/>
              </a:solidFill>
              <a:ln>
                <a:solidFill>
                  <a:srgbClr val="2E7D32"/>
                </a:solidFill>
                <a:prstDash val="solid"/>
              </a:ln>
            </spPr>
          </marker>
          <xVal>
            <numRef>
              <f>'3 Datos de gráficos'!$DV$6:$DV$126</f>
            </numRef>
          </xVal>
          <yVal>
            <numRef>
              <f>'3 Datos de gráficos'!$DU$6:$DU$126</f>
            </numRef>
          </yVal>
          <smooth val="0"/>
        </ser>
        <ser>
          <idx val="1"/>
          <order val="1"/>
          <tx>
            <v>resto genuino (n = 331)</v>
          </tx>
          <spPr>
            <a:ln w="22000">
              <a:solidFill>
                <a:srgbClr val="9E9E9E"/>
              </a:solidFill>
              <a:prstDash val="dash"/>
            </a:ln>
          </spPr>
          <marker>
            <symbol val="none"/>
            <size val="5"/>
            <spPr>
              <a:solidFill>
                <a:srgbClr val="9E9E9E"/>
              </a:solidFill>
              <a:ln>
                <a:solidFill>
                  <a:srgbClr val="9E9E9E"/>
                </a:solidFill>
                <a:prstDash val="solid"/>
              </a:ln>
            </spPr>
          </marker>
          <xVal>
            <numRef>
              <f>'3 Datos de gráficos'!$DX$6:$DX$336</f>
            </numRef>
          </xVal>
          <yVal>
            <numRef>
              <f>'3 Datos de gráficos'!$DW$6:$DW$336</f>
            </numRef>
          </yVal>
          <smooth val="0"/>
        </ser>
        <ser>
          <idx val="2"/>
          <order val="2"/>
          <tx>
            <v>sin resultado (n = 48)</v>
          </tx>
          <spPr>
            <a:ln w="22000">
              <a:solidFill>
                <a:srgbClr val="C62828"/>
              </a:solidFill>
              <a:prstDash val="dash"/>
            </a:ln>
          </spPr>
          <marker>
            <symbol val="none"/>
            <size val="5"/>
            <spPr>
              <a:solidFill>
                <a:srgbClr val="C62828"/>
              </a:solidFill>
              <a:ln>
                <a:solidFill>
                  <a:srgbClr val="C62828"/>
                </a:solidFill>
                <a:prstDash val="solid"/>
              </a:ln>
            </spPr>
          </marker>
          <xVal>
            <numRef>
              <f>'3 Datos de gráficos'!$DZ$6:$DZ$53</f>
            </numRef>
          </xVal>
          <yVal>
            <numRef>
              <f>'3 Datos de gráficos'!$DY$6:$DY$53</f>
            </numRef>
          </yVal>
          <smooth val="0"/>
        </ser>
        <axId val="10"/>
        <axId val="20"/>
      </scatterChart>
      <valAx>
        <axId val="10"/>
        <scaling>
          <orientation val="minMax"/>
          <max val="0.9500000000000001"/>
          <min val="0.7000000000000001"/>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
          <min val="0"/>
        </scaling>
        <delete val="0"/>
        <axPos val="l"/>
        <majorGridlines/>
        <title>
          <tx>
            <rich>
              <a:bodyPr/>
              <a:p>
                <a:pPr>
                  <a:defRPr sz="800" b="0"/>
                </a:pPr>
                <a:r>
                  <a:rPr sz="800" b="0"/>
                  <a:t>F(x)</a:t>
                </a:r>
              </a:p>
            </rich>
          </tx>
          <overlay val="0"/>
        </title>
        <majorTickMark val="none"/>
        <minorTickMark val="none"/>
        <tickLblPos val="low"/>
        <txPr>
          <a:bodyPr/>
          <a:p>
            <a:pPr>
              <a:defRPr sz="700" b="0"/>
            </a:pPr>
            <a:r>
              <a:t/>
            </a:r>
            <a:endParaRPr sz="700" b="0"/>
          </a:p>
        </txPr>
        <crossAx val="10"/>
        <crosses val="min"/>
        <majorUnit val="0.2"/>
      </valAx>
    </plotArea>
    <legend>
      <legendPos val="b"/>
      <overlay val="0"/>
      <txPr>
        <a:bodyPr/>
        <a:p>
          <a:pPr>
            <a:defRPr sz="700" b="0"/>
          </a:pPr>
          <a:r>
            <a:t/>
          </a:r>
          <a:endParaRPr sz="700" b="0"/>
        </a:p>
      </txPr>
    </legend>
    <plotVisOnly val="0"/>
    <dispBlanksAs val="gap"/>
  </chart>
</chartSpace>
</file>

<file path=xl/charts/chart101.xml><?xml version="1.0" encoding="utf-8"?>
<chartSpace xmlns:a="http://schemas.openxmlformats.org/drawingml/2006/main" xmlns="http://schemas.openxmlformats.org/drawingml/2006/chart">
  <style val="13"/>
  <chart>
    <title>
      <tx>
        <rich>
          <a:bodyPr/>
          <a:p>
            <a:pPr>
              <a:defRPr sz="1100" b="1"/>
            </a:pPr>
            <a:r>
              <a:rPr sz="1100" b="1"/>
              <a:t>El 90 % de los KALINA tiene razón de presiones entre 1.7 y 5.3</a:t>
            </a:r>
          </a:p>
        </rich>
      </tx>
      <overlay val="0"/>
    </title>
    <plotArea>
      <scatterChart>
        <varyColors val="0"/>
        <ser>
          <idx val="0"/>
          <order val="0"/>
          <tx>
            <v>KALINA (n = 83)</v>
          </tx>
          <spPr>
            <a:ln>
              <a:noFill/>
              <a:prstDash val="solid"/>
            </a:ln>
          </spPr>
          <marker>
            <symbol val="circle"/>
            <size val="6"/>
            <spPr>
              <a:solidFill>
                <a:srgbClr val="2E7D32"/>
              </a:solidFill>
              <a:ln>
                <a:solidFill>
                  <a:srgbClr val="2E7D32"/>
                </a:solidFill>
                <a:prstDash val="solid"/>
              </a:ln>
            </spPr>
          </marker>
          <xVal>
            <numRef>
              <f>'3 Datos de gráficos'!$EC$6:$EC$88</f>
            </numRef>
          </xVal>
          <yVal>
            <numRef>
              <f>'3 Datos de gráficos'!$EB$6:$EB$88</f>
            </numRef>
          </yVal>
        </ser>
        <ser>
          <idx val="1"/>
          <order val="1"/>
          <tx>
            <v>KALINA, fuera de rango (n = 38)</v>
          </tx>
          <spPr>
            <a:ln>
              <a:noFill/>
              <a:prstDash val="solid"/>
            </a:ln>
          </spPr>
          <marker>
            <symbol val="circle"/>
            <size val="6"/>
            <spPr>
              <a:noFill/>
              <a:ln>
                <a:solidFill>
                  <a:srgbClr val="2E7D32"/>
                </a:solidFill>
                <a:prstDash val="solid"/>
              </a:ln>
            </spPr>
          </marker>
          <xVal>
            <numRef>
              <f>'3 Datos de gráficos'!$EE$6:$EE$43</f>
            </numRef>
          </xVal>
          <yVal>
            <numRef>
              <f>'3 Datos de gráficos'!$ED$6:$ED$43</f>
            </numRef>
          </yVal>
        </ser>
        <ser>
          <idx val="2"/>
          <order val="2"/>
          <tx>
            <v>Corregible (n = 132)</v>
          </tx>
          <spPr>
            <a:ln>
              <a:noFill/>
              <a:prstDash val="solid"/>
            </a:ln>
          </spPr>
          <marker>
            <symbol val="triangle"/>
            <size val="6"/>
            <spPr>
              <a:solidFill>
                <a:srgbClr val="EF8A17"/>
              </a:solidFill>
              <a:ln>
                <a:solidFill>
                  <a:srgbClr val="EF8A17"/>
                </a:solidFill>
                <a:prstDash val="solid"/>
              </a:ln>
            </spPr>
          </marker>
          <xVal>
            <numRef>
              <f>'3 Datos de gráficos'!$EG$6:$EG$137</f>
            </numRef>
          </xVal>
          <yVal>
            <numRef>
              <f>'3 Datos de gráficos'!$EF$6:$EF$137</f>
            </numRef>
          </yVal>
        </ser>
        <ser>
          <idx val="3"/>
          <order val="3"/>
          <tx>
            <v>Corregible, fuera de rango (n = 176)</v>
          </tx>
          <spPr>
            <a:ln>
              <a:noFill/>
              <a:prstDash val="solid"/>
            </a:ln>
          </spPr>
          <marker>
            <symbol val="triangle"/>
            <size val="6"/>
            <spPr>
              <a:noFill/>
              <a:ln>
                <a:solidFill>
                  <a:srgbClr val="EF8A17"/>
                </a:solidFill>
                <a:prstDash val="solid"/>
              </a:ln>
            </spPr>
          </marker>
          <xVal>
            <numRef>
              <f>'3 Datos de gráficos'!$EI$6:$EI$181</f>
            </numRef>
          </xVal>
          <yVal>
            <numRef>
              <f>'3 Datos de gráficos'!$EH$6:$EH$181</f>
            </numRef>
          </yVal>
        </ser>
        <ser>
          <idx val="4"/>
          <order val="4"/>
          <tx>
            <v>Inviable (n = 18)</v>
          </tx>
          <spPr>
            <a:ln>
              <a:noFill/>
              <a:prstDash val="solid"/>
            </a:ln>
          </spPr>
          <marker>
            <symbol val="square"/>
            <size val="6"/>
            <spPr>
              <a:solidFill>
                <a:srgbClr val="C9A227"/>
              </a:solidFill>
              <a:ln>
                <a:solidFill>
                  <a:srgbClr val="C9A227"/>
                </a:solidFill>
                <a:prstDash val="solid"/>
              </a:ln>
            </spPr>
          </marker>
          <xVal>
            <numRef>
              <f>'3 Datos de gráficos'!$EK$6:$EK$23</f>
            </numRef>
          </xVal>
          <yVal>
            <numRef>
              <f>'3 Datos de gráficos'!$EJ$6:$EJ$23</f>
            </numRef>
          </yVal>
        </ser>
        <ser>
          <idx val="5"/>
          <order val="5"/>
          <tx>
            <v>Inviable, fuera de rango (n = 5)</v>
          </tx>
          <spPr>
            <a:ln>
              <a:noFill/>
              <a:prstDash val="solid"/>
            </a:ln>
          </spPr>
          <marker>
            <symbol val="square"/>
            <size val="6"/>
            <spPr>
              <a:noFill/>
              <a:ln>
                <a:solidFill>
                  <a:srgbClr val="C9A227"/>
                </a:solidFill>
                <a:prstDash val="solid"/>
              </a:ln>
            </spPr>
          </marker>
          <xVal>
            <numRef>
              <f>'3 Datos de gráficos'!$EM$6:$EM$10</f>
            </numRef>
          </xVal>
          <yVal>
            <numRef>
              <f>'3 Datos de gráficos'!$EL$6:$EL$10</f>
            </numRef>
          </yVal>
        </ser>
        <ser>
          <idx val="6"/>
          <order val="6"/>
          <tx>
            <v>No convergió (n = 35)</v>
          </tx>
          <spPr>
            <a:ln>
              <a:noFill/>
              <a:prstDash val="solid"/>
            </a:ln>
          </spPr>
          <marker>
            <symbol val="x"/>
            <size val="7"/>
            <spPr>
              <a:noFill/>
              <a:ln>
                <a:solidFill>
                  <a:srgbClr val="C62828"/>
                </a:solidFill>
                <a:prstDash val="solid"/>
              </a:ln>
            </spPr>
          </marker>
          <xVal>
            <numRef>
              <f>'3 Datos de gráficos'!$EO$6:$EO$40</f>
            </numRef>
          </xVal>
          <yVal>
            <numRef>
              <f>'3 Datos de gráficos'!$EN$6:$EN$40</f>
            </numRef>
          </yVal>
        </ser>
        <ser>
          <idx val="7"/>
          <order val="7"/>
          <tx>
            <v>Falso convergido (n = 13)</v>
          </tx>
          <spPr>
            <a:ln>
              <a:noFill/>
              <a:prstDash val="solid"/>
            </a:ln>
          </spPr>
          <marker>
            <symbol val="x"/>
            <size val="7"/>
            <spPr>
              <a:noFill/>
              <a:ln>
                <a:solidFill>
                  <a:srgbClr val="9E9E9E"/>
                </a:solidFill>
                <a:prstDash val="solid"/>
              </a:ln>
            </spPr>
          </marker>
          <xVal>
            <numRef>
              <f>'3 Datos de gráficos'!$EQ$6:$EQ$18</f>
            </numRef>
          </xVal>
          <yVal>
            <numRef>
              <f>'3 Datos de gráficos'!$EP$6:$EP$18</f>
            </numRef>
          </yVal>
        </ser>
        <ser>
          <idx val="8"/>
          <order val="8"/>
          <tx>
            <v>r_P = 1.69</v>
          </tx>
          <spPr>
            <a:ln w="22000">
              <a:solidFill>
                <a:srgbClr val="000000"/>
              </a:solidFill>
              <a:prstDash val="dash"/>
            </a:ln>
          </spPr>
          <marker>
            <symbol val="none"/>
            <size val="5"/>
            <spPr>
              <a:solidFill>
                <a:srgbClr val="000000"/>
              </a:solidFill>
              <a:ln>
                <a:solidFill>
                  <a:srgbClr val="000000"/>
                </a:solidFill>
                <a:prstDash val="solid"/>
              </a:ln>
            </spPr>
          </marker>
          <xVal>
            <numRef>
              <f>'3 Datos de gráficos'!$ES$6:$ES$7</f>
            </numRef>
          </xVal>
          <yVal>
            <numRef>
              <f>'3 Datos de gráficos'!$ER$6:$ER$7</f>
            </numRef>
          </yVal>
          <smooth val="0"/>
        </ser>
        <ser>
          <idx val="9"/>
          <order val="9"/>
          <tx>
            <v>r_P = 5.34</v>
          </tx>
          <spPr>
            <a:ln w="22000">
              <a:solidFill>
                <a:srgbClr val="000000"/>
              </a:solidFill>
              <a:prstDash val="dash"/>
            </a:ln>
          </spPr>
          <marker>
            <symbol val="none"/>
            <size val="5"/>
            <spPr>
              <a:solidFill>
                <a:srgbClr val="000000"/>
              </a:solidFill>
              <a:ln>
                <a:solidFill>
                  <a:srgbClr val="000000"/>
                </a:solidFill>
                <a:prstDash val="solid"/>
              </a:ln>
            </spPr>
          </marker>
          <xVal>
            <numRef>
              <f>'3 Datos de gráficos'!$EU$6:$EU$7</f>
            </numRef>
          </xVal>
          <yVal>
            <numRef>
              <f>'3 Datos de gráficos'!$ET$6:$ET$7</f>
            </numRef>
          </yVal>
          <smooth val="0"/>
        </ser>
        <axId val="10"/>
        <axId val="20"/>
      </scatterChart>
      <valAx>
        <axId val="10"/>
        <scaling>
          <orientation val="minMax"/>
          <max val="5000"/>
          <min val="2000"/>
        </scaling>
        <delete val="0"/>
        <axPos val="l"/>
        <majorGridlines/>
        <title>
          <tx>
            <rich>
              <a:bodyPr/>
              <a:p>
                <a:pPr>
                  <a:defRPr sz="900" b="0"/>
                </a:pPr>
                <a:r>
                  <a:rPr sz="900" b="0"/>
                  <a:t>Presión de alta, P_alta [kPa]</a:t>
                </a:r>
              </a:p>
            </rich>
          </tx>
          <overlay val="0"/>
        </title>
        <majorTickMark val="none"/>
        <minorTickMark val="none"/>
        <tickLblPos val="low"/>
        <txPr>
          <a:bodyPr/>
          <a:p>
            <a:pPr>
              <a:defRPr sz="800" b="0"/>
            </a:pPr>
            <a:r>
              <a:t/>
            </a:r>
            <a:endParaRPr sz="800" b="0"/>
          </a:p>
        </txPr>
        <crossAx val="20"/>
        <crosses val="min"/>
        <majorUnit val="500"/>
      </valAx>
      <valAx>
        <axId val="20"/>
        <scaling>
          <orientation val="minMax"/>
          <max val="1500"/>
          <min val="25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10"/>
        <crosses val="min"/>
        <majorUnit val="250"/>
      </valAx>
    </plotArea>
    <legend>
      <legendPos val="b"/>
      <overlay val="0"/>
      <txPr>
        <a:bodyPr/>
        <a:p>
          <a:pPr>
            <a:defRPr sz="800" b="0"/>
          </a:pPr>
          <a:r>
            <a:t/>
          </a:r>
          <a:endParaRPr sz="800" b="0"/>
        </a:p>
      </txPr>
    </legend>
    <plotVisOnly val="0"/>
    <dispBlanksAs val="gap"/>
  </chart>
</chartSpace>
</file>

<file path=xl/charts/chart102.xml><?xml version="1.0" encoding="utf-8"?>
<chartSpace xmlns:a="http://schemas.openxmlformats.org/drawingml/2006/main" xmlns="http://schemas.openxmlformats.org/drawingml/2006/chart">
  <style val="10"/>
  <chart>
    <title>
      <tx>
        <rich>
          <a:bodyPr/>
          <a:p>
            <a:pPr>
              <a:defRPr sz="1100" b="1"/>
            </a:pPr>
            <a:r>
              <a:rPr sz="1100" b="1"/>
              <a:t>Influencia de cada variable sobre η (PRCC, 430 puntos)</a:t>
            </a:r>
          </a:p>
        </rich>
      </tx>
      <overlay val="0"/>
    </title>
    <plotArea>
      <barChart>
        <barDir val="bar"/>
        <grouping val="clustered"/>
        <varyColors val="0"/>
        <ser>
          <idx val="0"/>
          <order val="0"/>
          <tx>
            <v>PRCC sobre η [–]</v>
          </tx>
          <spPr>
            <a:solidFill>
              <a:srgbClr val="2E7D32"/>
            </a:solidFill>
            <a:ln>
              <a:solidFill>
                <a:srgbClr val="2E7D32"/>
              </a:solidFill>
              <a:prstDash val="solid"/>
            </a:ln>
          </spPr>
          <invertIfNegative val="0"/>
          <dPt>
            <idx val="0"/>
            <invertIfNegative val="0"/>
            <spPr>
              <a:solidFill>
                <a:srgbClr val="2E7D32"/>
              </a:solidFill>
              <a:ln>
                <a:prstDash val="solid"/>
              </a:ln>
            </spPr>
          </dPt>
          <dPt>
            <idx val="1"/>
            <invertIfNegative val="0"/>
            <spPr>
              <a:solidFill>
                <a:srgbClr val="2E7D32"/>
              </a:solidFill>
              <a:ln>
                <a:prstDash val="solid"/>
              </a:ln>
            </spPr>
          </dPt>
          <dPt>
            <idx val="2"/>
            <invertIfNegative val="0"/>
            <spPr>
              <a:solidFill>
                <a:srgbClr val="C62828"/>
              </a:solidFill>
              <a:ln>
                <a:prstDash val="solid"/>
              </a:ln>
            </spPr>
          </dPt>
          <dPt>
            <idx val="3"/>
            <invertIfNegative val="0"/>
            <spPr>
              <a:solidFill>
                <a:srgbClr val="2E7D32"/>
              </a:solidFill>
              <a:ln>
                <a:prstDash val="solid"/>
              </a:ln>
            </spPr>
          </dPt>
          <dPt>
            <idx val="4"/>
            <invertIfNegative val="0"/>
            <spPr>
              <a:solidFill>
                <a:srgbClr val="2E7D32"/>
              </a:solidFill>
              <a:ln>
                <a:prstDash val="solid"/>
              </a:ln>
            </spPr>
          </dPt>
          <dPt>
            <idx val="5"/>
            <invertIfNegative val="0"/>
            <spPr>
              <a:solidFill>
                <a:srgbClr val="2E7D32"/>
              </a:solidFill>
              <a:ln>
                <a:prstDash val="solid"/>
              </a:ln>
            </spPr>
          </dPt>
          <dPt>
            <idx val="6"/>
            <invertIfNegative val="0"/>
            <spPr>
              <a:solidFill>
                <a:srgbClr val="2E7D32"/>
              </a:solidFill>
              <a:ln>
                <a:prstDash val="solid"/>
              </a:ln>
            </spPr>
          </dPt>
          <dPt>
            <idx val="7"/>
            <invertIfNegative val="0"/>
            <spPr>
              <a:solidFill>
                <a:srgbClr val="2E7D32"/>
              </a:solidFill>
              <a:ln>
                <a:prstDash val="solid"/>
              </a:ln>
            </spPr>
          </dPt>
          <dPt>
            <idx val="8"/>
            <invertIfNegative val="0"/>
            <spPr>
              <a:solidFill>
                <a:srgbClr val="2E7D32"/>
              </a:solidFill>
              <a:ln>
                <a:prstDash val="solid"/>
              </a:ln>
            </spPr>
          </dPt>
          <dPt>
            <idx val="9"/>
            <invertIfNegative val="0"/>
            <spPr>
              <a:solidFill>
                <a:srgbClr val="C62828"/>
              </a:solidFill>
              <a:ln>
                <a:prstDash val="solid"/>
              </a:ln>
            </spPr>
          </dPt>
          <cat>
            <numRef>
              <f>'3 Datos de gráficos'!$EW$6:$EW$15</f>
            </numRef>
          </cat>
          <val>
            <numRef>
              <f>'3 Datos de gráficos'!$EX$6:$EX$15</f>
            </numRef>
          </val>
        </ser>
        <gapWidth val="150"/>
        <axId val="10"/>
        <axId val="100"/>
      </barChart>
      <catAx>
        <axId val="10"/>
        <scaling>
          <orientation val="minMax"/>
        </scaling>
        <delete val="0"/>
        <axPos val="l"/>
        <title>
          <tx>
            <rich>
              <a:bodyPr/>
              <a:p>
                <a:pPr>
                  <a:defRPr sz="900" b="0"/>
                </a:pPr>
                <a:r>
                  <a:rPr sz="900" b="0"/>
                  <a:t>Variable</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PRCC sobre η [–]</a:t>
                </a:r>
              </a:p>
            </rich>
          </tx>
          <overlay val="0"/>
        </title>
        <majorTickMark val="none"/>
        <minorTickMark val="none"/>
        <tickLblPos val="low"/>
        <txPr>
          <a:bodyPr/>
          <a:p>
            <a:pPr>
              <a:defRPr sz="800" b="0"/>
            </a:pPr>
            <a:r>
              <a:t/>
            </a:r>
            <a:endParaRPr sz="800" b="0"/>
          </a:p>
        </txPr>
        <crossAx val="10"/>
        <crosses val="autoZero"/>
      </valAx>
    </plotArea>
    <plotVisOnly val="0"/>
    <dispBlanksAs val="gap"/>
  </chart>
</chartSpace>
</file>

<file path=xl/charts/chart103.xml><?xml version="1.0" encoding="utf-8"?>
<chartSpace xmlns:a="http://schemas.openxmlformats.org/drawingml/2006/main" xmlns="http://schemas.openxmlformats.org/drawingml/2006/chart">
  <style val="10"/>
  <chart>
    <title>
      <tx>
        <rich>
          <a:bodyPr/>
          <a:p>
            <a:pPr>
              <a:defRPr sz="1100" b="1"/>
            </a:pPr>
            <a:r>
              <a:rPr sz="1100" b="1"/>
              <a:t>Diferencia de presiones, ΔP [kPa]</a:t>
            </a:r>
          </a:p>
        </rich>
      </tx>
      <overlay val="0"/>
    </title>
    <plotArea>
      <barChart>
        <barDir val="col"/>
        <grouping val="clustered"/>
        <varyColors val="0"/>
        <ser>
          <idx val="0"/>
          <order val="0"/>
          <tx>
            <v>KALINA (n = 121)</v>
          </tx>
          <spPr>
            <a:solidFill>
              <a:srgbClr val="2E7D32"/>
            </a:solidFill>
            <a:ln>
              <a:solidFill>
                <a:srgbClr val="2E7D32"/>
              </a:solidFill>
              <a:prstDash val="solid"/>
            </a:ln>
          </spPr>
          <invertIfNegative val="0"/>
          <cat>
            <numRef>
              <f>'3 Datos de gráficos'!$EZ$6:$EZ$25</f>
            </numRef>
          </cat>
          <val>
            <numRef>
              <f>'3 Datos de gráficos'!$FA$6:$FA$25</f>
            </numRef>
          </val>
        </ser>
        <ser>
          <idx val="1"/>
          <order val="1"/>
          <tx>
            <v>resto (n = 331)</v>
          </tx>
          <spPr>
            <a:solidFill>
              <a:srgbClr val="BDBDBD"/>
            </a:solidFill>
            <a:ln>
              <a:solidFill>
                <a:srgbClr val="BDBDBD"/>
              </a:solidFill>
              <a:prstDash val="solid"/>
            </a:ln>
          </spPr>
          <invertIfNegative val="0"/>
          <cat>
            <numRef>
              <f>'3 Datos de gráficos'!$EZ$6:$EZ$25</f>
            </numRef>
          </cat>
          <val>
            <numRef>
              <f>'3 Datos de gráficos'!$FB$6:$FB$25</f>
            </numRef>
          </val>
        </ser>
        <ser>
          <idx val="2"/>
          <order val="2"/>
          <tx>
            <v>sin resultado (n = 48)</v>
          </tx>
          <spPr>
            <a:solidFill>
              <a:srgbClr val="C62828"/>
            </a:solidFill>
            <a:ln>
              <a:solidFill>
                <a:srgbClr val="C62828"/>
              </a:solidFill>
              <a:prstDash val="solid"/>
            </a:ln>
          </spPr>
          <invertIfNegative val="0"/>
          <cat>
            <numRef>
              <f>'3 Datos de gráficos'!$EZ$6:$EZ$25</f>
            </numRef>
          </cat>
          <val>
            <numRef>
              <f>'3 Datos de gráficos'!$FC$6:$FC$25</f>
            </numRef>
          </val>
        </ser>
        <gapWidth val="150"/>
        <axId val="10"/>
        <axId val="100"/>
      </barChart>
      <catAx>
        <axId val="10"/>
        <scaling>
          <orientation val="minMax"/>
        </scaling>
        <delete val="0"/>
        <axPos val="l"/>
        <title>
          <tx>
            <rich>
              <a:bodyPr/>
              <a:p>
                <a:pPr>
                  <a:defRPr sz="900" b="0"/>
                </a:pPr>
                <a:r>
                  <a:rPr sz="900" b="0"/>
                  <a:t>Diferencia de presiones, ΔP [kPa]</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Número de puntos</a:t>
                </a:r>
              </a:p>
            </rich>
          </tx>
          <overlay val="0"/>
        </title>
        <majorTickMark val="none"/>
        <minorTickMark val="none"/>
        <tickLblPos val="low"/>
        <txPr>
          <a:bodyPr/>
          <a:p>
            <a:pPr>
              <a:defRPr sz="800" b="0"/>
            </a:pPr>
            <a:r>
              <a:t/>
            </a:r>
            <a:endParaRPr sz="800" b="0"/>
          </a:p>
        </txPr>
        <crossAx val="10"/>
        <crosses val="autoZero"/>
      </valAx>
    </plotArea>
    <legend>
      <legendPos val="b"/>
      <overlay val="0"/>
      <txPr>
        <a:bodyPr/>
        <a:p>
          <a:pPr>
            <a:defRPr sz="800" b="0"/>
          </a:pPr>
          <a:r>
            <a:t/>
          </a:r>
          <a:endParaRPr sz="800" b="0"/>
        </a:p>
      </txPr>
    </legend>
    <plotVisOnly val="0"/>
    <dispBlanksAs val="gap"/>
  </chart>
</chartSpace>
</file>

<file path=xl/charts/chart104.xml><?xml version="1.0" encoding="utf-8"?>
<chartSpace xmlns:a="http://schemas.openxmlformats.org/drawingml/2006/main" xmlns="http://schemas.openxmlformats.org/drawingml/2006/chart">
  <style val="10"/>
  <chart>
    <title>
      <tx>
        <rich>
          <a:bodyPr/>
          <a:p>
            <a:pPr>
              <a:defRPr sz="1100" b="1"/>
            </a:pPr>
            <a:r>
              <a:rPr sz="1100" b="1"/>
              <a:t>Razón de presiones, r_P [–]</a:t>
            </a:r>
          </a:p>
        </rich>
      </tx>
      <overlay val="0"/>
    </title>
    <plotArea>
      <barChart>
        <barDir val="col"/>
        <grouping val="clustered"/>
        <varyColors val="0"/>
        <ser>
          <idx val="0"/>
          <order val="0"/>
          <tx>
            <v>KALINA (n = 121)</v>
          </tx>
          <spPr>
            <a:solidFill>
              <a:srgbClr val="2E7D32"/>
            </a:solidFill>
            <a:ln>
              <a:solidFill>
                <a:srgbClr val="2E7D32"/>
              </a:solidFill>
              <a:prstDash val="solid"/>
            </a:ln>
          </spPr>
          <invertIfNegative val="0"/>
          <cat>
            <numRef>
              <f>'3 Datos de gráficos'!$FD$6:$FD$25</f>
            </numRef>
          </cat>
          <val>
            <numRef>
              <f>'3 Datos de gráficos'!$FE$6:$FE$25</f>
            </numRef>
          </val>
        </ser>
        <ser>
          <idx val="1"/>
          <order val="1"/>
          <tx>
            <v>resto (n = 331)</v>
          </tx>
          <spPr>
            <a:solidFill>
              <a:srgbClr val="BDBDBD"/>
            </a:solidFill>
            <a:ln>
              <a:solidFill>
                <a:srgbClr val="BDBDBD"/>
              </a:solidFill>
              <a:prstDash val="solid"/>
            </a:ln>
          </spPr>
          <invertIfNegative val="0"/>
          <cat>
            <numRef>
              <f>'3 Datos de gráficos'!$FD$6:$FD$25</f>
            </numRef>
          </cat>
          <val>
            <numRef>
              <f>'3 Datos de gráficos'!$FF$6:$FF$25</f>
            </numRef>
          </val>
        </ser>
        <ser>
          <idx val="2"/>
          <order val="2"/>
          <tx>
            <v>sin resultado (n = 48)</v>
          </tx>
          <spPr>
            <a:solidFill>
              <a:srgbClr val="C62828"/>
            </a:solidFill>
            <a:ln>
              <a:solidFill>
                <a:srgbClr val="C62828"/>
              </a:solidFill>
              <a:prstDash val="solid"/>
            </a:ln>
          </spPr>
          <invertIfNegative val="0"/>
          <cat>
            <numRef>
              <f>'3 Datos de gráficos'!$FD$6:$FD$25</f>
            </numRef>
          </cat>
          <val>
            <numRef>
              <f>'3 Datos de gráficos'!$FG$6:$FG$25</f>
            </numRef>
          </val>
        </ser>
        <gapWidth val="150"/>
        <axId val="10"/>
        <axId val="100"/>
      </barChart>
      <catAx>
        <axId val="10"/>
        <scaling>
          <orientation val="minMax"/>
        </scaling>
        <delete val="0"/>
        <axPos val="l"/>
        <title>
          <tx>
            <rich>
              <a:bodyPr/>
              <a:p>
                <a:pPr>
                  <a:defRPr sz="900" b="0"/>
                </a:pPr>
                <a:r>
                  <a:rPr sz="900" b="0"/>
                  <a:t>Razón de presiones, r_P [–]</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Número de puntos</a:t>
                </a:r>
              </a:p>
            </rich>
          </tx>
          <overlay val="0"/>
        </title>
        <majorTickMark val="none"/>
        <minorTickMark val="none"/>
        <tickLblPos val="low"/>
        <txPr>
          <a:bodyPr/>
          <a:p>
            <a:pPr>
              <a:defRPr sz="800" b="0"/>
            </a:pPr>
            <a:r>
              <a:t/>
            </a:r>
            <a:endParaRPr sz="800" b="0"/>
          </a:p>
        </txPr>
        <crossAx val="10"/>
        <crosses val="autoZero"/>
      </valAx>
    </plotArea>
    <legend>
      <legendPos val="b"/>
      <overlay val="0"/>
      <txPr>
        <a:bodyPr/>
        <a:p>
          <a:pPr>
            <a:defRPr sz="800" b="0"/>
          </a:pPr>
          <a:r>
            <a:t/>
          </a:r>
          <a:endParaRPr sz="800" b="0"/>
        </a:p>
      </txPr>
    </legend>
    <plotVisOnly val="0"/>
    <dispBlanksAs val="gap"/>
  </chart>
</chartSpace>
</file>

<file path=xl/charts/chart105.xml><?xml version="1.0" encoding="utf-8"?>
<chartSpace xmlns:a="http://schemas.openxmlformats.org/drawingml/2006/main" xmlns="http://schemas.openxmlformats.org/drawingml/2006/chart">
  <style val="10"/>
  <chart>
    <title>
      <tx>
        <rich>
          <a:bodyPr/>
          <a:p>
            <a:pPr>
              <a:defRPr sz="1100" b="1"/>
            </a:pPr>
            <a:r>
              <a:rPr sz="1100" b="1"/>
              <a:t>Fracción de KALINA al subir P_baja entre 1500 y 2500 kPa</a:t>
            </a:r>
          </a:p>
        </rich>
      </tx>
      <overlay val="0"/>
    </title>
    <plotArea>
      <barChart>
        <barDir val="col"/>
        <grouping val="stacked"/>
        <varyColors val="0"/>
        <ser>
          <idx val="0"/>
          <order val="0"/>
          <tx>
            <v>KALINA dentro del rango (n = 45)</v>
          </tx>
          <spPr>
            <a:solidFill>
              <a:srgbClr val="2E7D32"/>
            </a:solidFill>
            <a:ln>
              <a:solidFill>
                <a:srgbClr val="2E7D32"/>
              </a:solidFill>
              <a:prstDash val="solid"/>
            </a:ln>
          </spPr>
          <invertIfNegative val="0"/>
          <cat>
            <numRef>
              <f>'3 Datos de gráficos'!$FI$6:$FI$15</f>
            </numRef>
          </cat>
          <val>
            <numRef>
              <f>'3 Datos de gráficos'!$FJ$6:$FJ$15</f>
            </numRef>
          </val>
        </ser>
        <ser>
          <idx val="1"/>
          <order val="1"/>
          <tx>
            <v>KALINA fuera de rango (n = 30)</v>
          </tx>
          <spPr>
            <a:solidFill>
              <a:srgbClr val="A5D6A7"/>
            </a:solidFill>
            <a:ln>
              <a:solidFill>
                <a:srgbClr val="A5D6A7"/>
              </a:solidFill>
              <a:prstDash val="solid"/>
            </a:ln>
          </spPr>
          <invertIfNegative val="0"/>
          <cat>
            <numRef>
              <f>'3 Datos de gráficos'!$FI$6:$FI$15</f>
            </numRef>
          </cat>
          <val>
            <numRef>
              <f>'3 Datos de gráficos'!$FK$6:$FK$15</f>
            </numRef>
          </val>
        </ser>
        <gapWidth val="150"/>
        <overlap val="100"/>
        <axId val="10"/>
        <axId val="100"/>
      </barChart>
      <catAx>
        <axId val="10"/>
        <scaling>
          <orientation val="minMax"/>
        </scaling>
        <delete val="0"/>
        <axPos val="l"/>
        <title>
          <tx>
            <rich>
              <a:bodyPr/>
              <a:p>
                <a:pPr>
                  <a:defRPr sz="900" b="0"/>
                </a:pPr>
                <a:r>
                  <a:rPr sz="900" b="0"/>
                  <a:t>Franja de P_baja [kPa]</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 de puntos KALINA</a:t>
                </a:r>
              </a:p>
            </rich>
          </tx>
          <overlay val="0"/>
        </title>
        <majorTickMark val="none"/>
        <minorTickMark val="none"/>
        <tickLblPos val="low"/>
        <txPr>
          <a:bodyPr/>
          <a:p>
            <a:pPr>
              <a:defRPr sz="800" b="0"/>
            </a:pPr>
            <a:r>
              <a:t/>
            </a:r>
            <a:endParaRPr sz="800" b="0"/>
          </a:p>
        </txPr>
        <crossAx val="10"/>
        <crosses val="autoZero"/>
      </valAx>
    </plotArea>
    <legend>
      <legendPos val="b"/>
      <overlay val="0"/>
      <txPr>
        <a:bodyPr/>
        <a:p>
          <a:pPr>
            <a:defRPr sz="800" b="0"/>
          </a:pPr>
          <a:r>
            <a:t/>
          </a:r>
          <a:endParaRPr sz="800" b="0"/>
        </a:p>
      </txPr>
    </legend>
    <plotVisOnly val="0"/>
    <dispBlanksAs val="gap"/>
  </chart>
</chartSpace>
</file>

<file path=xl/charts/chart106.xml><?xml version="1.0" encoding="utf-8"?>
<chartSpace xmlns:a="http://schemas.openxmlformats.org/drawingml/2006/main" xmlns="http://schemas.openxmlformats.org/drawingml/2006/chart">
  <style val="13"/>
  <chart>
    <title>
      <tx>
        <rich>
          <a:bodyPr/>
          <a:p>
            <a:pPr>
              <a:defRPr sz="1100" b="1"/>
            </a:pPr>
            <a:r>
              <a:rPr sz="1100" b="1"/>
              <a:t>Parte 4.1a (conserva sus temperaturas, T_fuente y T_sumidero): 4 KALINA de 119 evaluados, 2 confiables</a:t>
            </a:r>
          </a:p>
        </rich>
      </tx>
      <overlay val="0"/>
    </title>
    <plotArea>
      <scatterChart>
        <varyColors val="0"/>
        <ser>
          <idx val="0"/>
          <order val="0"/>
          <tx>
            <v>KALINA (n = 2)</v>
          </tx>
          <spPr>
            <a:ln>
              <a:noFill/>
              <a:prstDash val="solid"/>
            </a:ln>
          </spPr>
          <marker>
            <symbol val="circle"/>
            <size val="6"/>
            <spPr>
              <a:solidFill>
                <a:srgbClr val="2E7D32"/>
              </a:solidFill>
              <a:ln>
                <a:solidFill>
                  <a:srgbClr val="2E7D32"/>
                </a:solidFill>
                <a:prstDash val="solid"/>
              </a:ln>
            </spPr>
          </marker>
          <xVal>
            <numRef>
              <f>'4 Datos de gráficos'!$B$6:$B$7</f>
            </numRef>
          </xVal>
          <yVal>
            <numRef>
              <f>'4 Datos de gráficos'!$A$6:$A$7</f>
            </numRef>
          </yVal>
        </ser>
        <ser>
          <idx val="1"/>
          <order val="1"/>
          <tx>
            <v>KALINA, fuera de rango (n = 2)</v>
          </tx>
          <spPr>
            <a:ln>
              <a:noFill/>
              <a:prstDash val="solid"/>
            </a:ln>
          </spPr>
          <marker>
            <symbol val="circle"/>
            <size val="6"/>
            <spPr>
              <a:noFill/>
              <a:ln>
                <a:solidFill>
                  <a:srgbClr val="2E7D32"/>
                </a:solidFill>
                <a:prstDash val="solid"/>
              </a:ln>
            </spPr>
          </marker>
          <xVal>
            <numRef>
              <f>'4 Datos de gráficos'!$D$6:$D$7</f>
            </numRef>
          </xVal>
          <yVal>
            <numRef>
              <f>'4 Datos de gráficos'!$C$6:$C$7</f>
            </numRef>
          </yVal>
        </ser>
        <ser>
          <idx val="2"/>
          <order val="2"/>
          <tx>
            <v>Corregible (n = 5)</v>
          </tx>
          <spPr>
            <a:ln>
              <a:noFill/>
              <a:prstDash val="solid"/>
            </a:ln>
          </spPr>
          <marker>
            <symbol val="triangle"/>
            <size val="6"/>
            <spPr>
              <a:solidFill>
                <a:srgbClr val="EF8A17"/>
              </a:solidFill>
              <a:ln>
                <a:solidFill>
                  <a:srgbClr val="EF8A17"/>
                </a:solidFill>
                <a:prstDash val="solid"/>
              </a:ln>
            </spPr>
          </marker>
          <xVal>
            <numRef>
              <f>'4 Datos de gráficos'!$F$6:$F$10</f>
            </numRef>
          </xVal>
          <yVal>
            <numRef>
              <f>'4 Datos de gráficos'!$E$6:$E$10</f>
            </numRef>
          </yVal>
        </ser>
        <ser>
          <idx val="3"/>
          <order val="3"/>
          <tx>
            <v>Corregible, fuera de rango (n = 35)</v>
          </tx>
          <spPr>
            <a:ln>
              <a:noFill/>
              <a:prstDash val="solid"/>
            </a:ln>
          </spPr>
          <marker>
            <symbol val="triangle"/>
            <size val="6"/>
            <spPr>
              <a:noFill/>
              <a:ln>
                <a:solidFill>
                  <a:srgbClr val="EF8A17"/>
                </a:solidFill>
                <a:prstDash val="solid"/>
              </a:ln>
            </spPr>
          </marker>
          <xVal>
            <numRef>
              <f>'4 Datos de gráficos'!$H$6:$H$40</f>
            </numRef>
          </xVal>
          <yVal>
            <numRef>
              <f>'4 Datos de gráficos'!$G$6:$G$40</f>
            </numRef>
          </yVal>
        </ser>
        <ser>
          <idx val="4"/>
          <order val="4"/>
          <tx>
            <v>Inviable (n = 1)</v>
          </tx>
          <spPr>
            <a:ln>
              <a:noFill/>
              <a:prstDash val="solid"/>
            </a:ln>
          </spPr>
          <marker>
            <symbol val="square"/>
            <size val="6"/>
            <spPr>
              <a:solidFill>
                <a:srgbClr val="C9A227"/>
              </a:solidFill>
              <a:ln>
                <a:solidFill>
                  <a:srgbClr val="C9A227"/>
                </a:solidFill>
                <a:prstDash val="solid"/>
              </a:ln>
            </spPr>
          </marker>
          <xVal>
            <numRef>
              <f>'4 Datos de gráficos'!$J$6</f>
            </numRef>
          </xVal>
          <yVal>
            <numRef>
              <f>'4 Datos de gráficos'!$I$6</f>
            </numRef>
          </yVal>
        </ser>
        <ser>
          <idx val="5"/>
          <order val="5"/>
          <tx>
            <v>Inviable, fuera de rango (n = 14)</v>
          </tx>
          <spPr>
            <a:ln>
              <a:noFill/>
              <a:prstDash val="solid"/>
            </a:ln>
          </spPr>
          <marker>
            <symbol val="square"/>
            <size val="6"/>
            <spPr>
              <a:noFill/>
              <a:ln>
                <a:solidFill>
                  <a:srgbClr val="C9A227"/>
                </a:solidFill>
                <a:prstDash val="solid"/>
              </a:ln>
            </spPr>
          </marker>
          <xVal>
            <numRef>
              <f>'4 Datos de gráficos'!$L$6:$L$19</f>
            </numRef>
          </xVal>
          <yVal>
            <numRef>
              <f>'4 Datos de gráficos'!$K$6:$K$19</f>
            </numRef>
          </yVal>
        </ser>
        <ser>
          <idx val="6"/>
          <order val="6"/>
          <tx>
            <v>No convergió (n = 58)</v>
          </tx>
          <spPr>
            <a:ln>
              <a:noFill/>
              <a:prstDash val="solid"/>
            </a:ln>
          </spPr>
          <marker>
            <symbol val="x"/>
            <size val="7"/>
            <spPr>
              <a:noFill/>
              <a:ln>
                <a:solidFill>
                  <a:srgbClr val="C62828"/>
                </a:solidFill>
                <a:prstDash val="solid"/>
              </a:ln>
            </spPr>
          </marker>
          <xVal>
            <numRef>
              <f>'4 Datos de gráficos'!$N$6:$N$63</f>
            </numRef>
          </xVal>
          <yVal>
            <numRef>
              <f>'4 Datos de gráficos'!$M$6:$M$63</f>
            </numRef>
          </yVal>
        </ser>
        <ser>
          <idx val="7"/>
          <order val="7"/>
          <tx>
            <v>Falso convergido (n = 2)</v>
          </tx>
          <spPr>
            <a:ln>
              <a:noFill/>
              <a:prstDash val="solid"/>
            </a:ln>
          </spPr>
          <marker>
            <symbol val="x"/>
            <size val="7"/>
            <spPr>
              <a:noFill/>
              <a:ln>
                <a:solidFill>
                  <a:srgbClr val="9E9E9E"/>
                </a:solidFill>
                <a:prstDash val="solid"/>
              </a:ln>
            </spPr>
          </marker>
          <xVal>
            <numRef>
              <f>'4 Datos de gráficos'!$P$6:$P$7</f>
            </numRef>
          </xVal>
          <yVal>
            <numRef>
              <f>'4 Datos de gráficos'!$O$6:$O$7</f>
            </numRef>
          </yVal>
        </ser>
        <axId val="10"/>
        <axId val="20"/>
      </scatterChart>
      <valAx>
        <axId val="10"/>
        <scaling>
          <orientation val="minMax"/>
          <max val="5000"/>
          <min val="2000"/>
        </scaling>
        <delete val="0"/>
        <axPos val="l"/>
        <majorGridlines/>
        <title>
          <tx>
            <rich>
              <a:bodyPr/>
              <a:p>
                <a:pPr>
                  <a:defRPr sz="900" b="0"/>
                </a:pPr>
                <a:r>
                  <a:rPr sz="900" b="0"/>
                  <a:t>Presión de alta, P_alta [kPa]</a:t>
                </a:r>
              </a:p>
            </rich>
          </tx>
          <overlay val="0"/>
        </title>
        <majorTickMark val="none"/>
        <minorTickMark val="none"/>
        <tickLblPos val="low"/>
        <txPr>
          <a:bodyPr/>
          <a:p>
            <a:pPr>
              <a:defRPr sz="800" b="0"/>
            </a:pPr>
            <a:r>
              <a:t/>
            </a:r>
            <a:endParaRPr sz="800" b="0"/>
          </a:p>
        </txPr>
        <crossAx val="20"/>
        <crosses val="min"/>
        <majorUnit val="500"/>
      </valAx>
      <valAx>
        <axId val="20"/>
        <scaling>
          <orientation val="minMax"/>
          <max val="2000"/>
          <min val="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10"/>
        <crosses val="min"/>
        <majorUnit val="500"/>
      </valAx>
    </plotArea>
    <legend>
      <legendPos val="b"/>
      <overlay val="0"/>
      <txPr>
        <a:bodyPr/>
        <a:p>
          <a:pPr>
            <a:defRPr sz="800" b="0"/>
          </a:pPr>
          <a:r>
            <a:t/>
          </a:r>
          <a:endParaRPr sz="800" b="0"/>
        </a:p>
      </txPr>
    </legend>
    <plotVisOnly val="0"/>
    <dispBlanksAs val="gap"/>
  </chart>
</chartSpace>
</file>

<file path=xl/charts/chart107.xml><?xml version="1.0" encoding="utf-8"?>
<chartSpace xmlns:a="http://schemas.openxmlformats.org/drawingml/2006/main" xmlns="http://schemas.openxmlformats.org/drawingml/2006/chart">
  <style val="13"/>
  <chart>
    <title>
      <tx>
        <rich>
          <a:bodyPr/>
          <a:p>
            <a:pPr>
              <a:defRPr sz="1100" b="1"/>
            </a:pPr>
            <a:r>
              <a:rPr sz="1100" b="1"/>
              <a:t>Parte 4.1b (conserva sus presiones, P_alta y P_baja): 0 KALINA de 120 evaluados, 0 confiables</a:t>
            </a:r>
          </a:p>
        </rich>
      </tx>
      <overlay val="0"/>
    </title>
    <plotArea>
      <scatterChart>
        <varyColors val="0"/>
        <ser>
          <idx val="0"/>
          <order val="0"/>
          <tx>
            <v>Corregible (n = 12)</v>
          </tx>
          <spPr>
            <a:ln>
              <a:noFill/>
              <a:prstDash val="solid"/>
            </a:ln>
          </spPr>
          <marker>
            <symbol val="triangle"/>
            <size val="6"/>
            <spPr>
              <a:solidFill>
                <a:srgbClr val="EF8A17"/>
              </a:solidFill>
              <a:ln>
                <a:solidFill>
                  <a:srgbClr val="EF8A17"/>
                </a:solidFill>
                <a:prstDash val="solid"/>
              </a:ln>
            </spPr>
          </marker>
          <xVal>
            <numRef>
              <f>'4 Datos de gráficos'!$S$6:$S$17</f>
            </numRef>
          </xVal>
          <yVal>
            <numRef>
              <f>'4 Datos de gráficos'!$R$6:$R$17</f>
            </numRef>
          </yVal>
        </ser>
        <ser>
          <idx val="1"/>
          <order val="1"/>
          <tx>
            <v>Corregible, fuera de rango (n = 45)</v>
          </tx>
          <spPr>
            <a:ln>
              <a:noFill/>
              <a:prstDash val="solid"/>
            </a:ln>
          </spPr>
          <marker>
            <symbol val="triangle"/>
            <size val="6"/>
            <spPr>
              <a:noFill/>
              <a:ln>
                <a:solidFill>
                  <a:srgbClr val="EF8A17"/>
                </a:solidFill>
                <a:prstDash val="solid"/>
              </a:ln>
            </spPr>
          </marker>
          <xVal>
            <numRef>
              <f>'4 Datos de gráficos'!$U$6:$U$50</f>
            </numRef>
          </xVal>
          <yVal>
            <numRef>
              <f>'4 Datos de gráficos'!$T$6:$T$50</f>
            </numRef>
          </yVal>
        </ser>
        <ser>
          <idx val="2"/>
          <order val="2"/>
          <tx>
            <v>Inviable (n = 19)</v>
          </tx>
          <spPr>
            <a:ln>
              <a:noFill/>
              <a:prstDash val="solid"/>
            </a:ln>
          </spPr>
          <marker>
            <symbol val="square"/>
            <size val="6"/>
            <spPr>
              <a:solidFill>
                <a:srgbClr val="C9A227"/>
              </a:solidFill>
              <a:ln>
                <a:solidFill>
                  <a:srgbClr val="C9A227"/>
                </a:solidFill>
                <a:prstDash val="solid"/>
              </a:ln>
            </spPr>
          </marker>
          <xVal>
            <numRef>
              <f>'4 Datos de gráficos'!$W$6:$W$24</f>
            </numRef>
          </xVal>
          <yVal>
            <numRef>
              <f>'4 Datos de gráficos'!$V$6:$V$24</f>
            </numRef>
          </yVal>
        </ser>
        <ser>
          <idx val="3"/>
          <order val="3"/>
          <tx>
            <v>Inviable, fuera de rango (n = 19)</v>
          </tx>
          <spPr>
            <a:ln>
              <a:noFill/>
              <a:prstDash val="solid"/>
            </a:ln>
          </spPr>
          <marker>
            <symbol val="square"/>
            <size val="6"/>
            <spPr>
              <a:noFill/>
              <a:ln>
                <a:solidFill>
                  <a:srgbClr val="C9A227"/>
                </a:solidFill>
                <a:prstDash val="solid"/>
              </a:ln>
            </spPr>
          </marker>
          <xVal>
            <numRef>
              <f>'4 Datos de gráficos'!$Y$6:$Y$24</f>
            </numRef>
          </xVal>
          <yVal>
            <numRef>
              <f>'4 Datos de gráficos'!$X$6:$X$24</f>
            </numRef>
          </yVal>
        </ser>
        <ser>
          <idx val="4"/>
          <order val="4"/>
          <tx>
            <v>No convergió (n = 23)</v>
          </tx>
          <spPr>
            <a:ln>
              <a:noFill/>
              <a:prstDash val="solid"/>
            </a:ln>
          </spPr>
          <marker>
            <symbol val="x"/>
            <size val="7"/>
            <spPr>
              <a:noFill/>
              <a:ln>
                <a:solidFill>
                  <a:srgbClr val="C62828"/>
                </a:solidFill>
                <a:prstDash val="solid"/>
              </a:ln>
            </spPr>
          </marker>
          <xVal>
            <numRef>
              <f>'4 Datos de gráficos'!$AA$6:$AA$28</f>
            </numRef>
          </xVal>
          <yVal>
            <numRef>
              <f>'4 Datos de gráficos'!$Z$6:$Z$28</f>
            </numRef>
          </yVal>
        </ser>
        <ser>
          <idx val="5"/>
          <order val="5"/>
          <tx>
            <v>Falso convergido (n = 2)</v>
          </tx>
          <spPr>
            <a:ln>
              <a:noFill/>
              <a:prstDash val="solid"/>
            </a:ln>
          </spPr>
          <marker>
            <symbol val="x"/>
            <size val="7"/>
            <spPr>
              <a:noFill/>
              <a:ln>
                <a:solidFill>
                  <a:srgbClr val="9E9E9E"/>
                </a:solidFill>
                <a:prstDash val="solid"/>
              </a:ln>
            </spPr>
          </marker>
          <xVal>
            <numRef>
              <f>'4 Datos de gráficos'!$AC$6:$AC$7</f>
            </numRef>
          </xVal>
          <yVal>
            <numRef>
              <f>'4 Datos de gráficos'!$AB$6:$AB$7</f>
            </numRef>
          </yVal>
        </ser>
        <axId val="10"/>
        <axId val="20"/>
      </scatterChart>
      <valAx>
        <axId val="10"/>
        <scaling>
          <orientation val="minMax"/>
          <max val="650"/>
          <min val="350"/>
        </scaling>
        <delete val="0"/>
        <axPos val="l"/>
        <majorGridlines/>
        <title>
          <tx>
            <rich>
              <a:bodyPr/>
              <a:p>
                <a:pPr>
                  <a:defRPr sz="900" b="0"/>
                </a:pPr>
                <a:r>
                  <a:rPr sz="900" b="0"/>
                  <a:t>Temperatura de la fuente, T_fuente [K]</a:t>
                </a:r>
              </a:p>
            </rich>
          </tx>
          <overlay val="0"/>
        </title>
        <majorTickMark val="none"/>
        <minorTickMark val="none"/>
        <tickLblPos val="low"/>
        <txPr>
          <a:bodyPr/>
          <a:p>
            <a:pPr>
              <a:defRPr sz="800" b="0"/>
            </a:pPr>
            <a:r>
              <a:t/>
            </a:r>
            <a:endParaRPr sz="800" b="0"/>
          </a:p>
        </txPr>
        <crossAx val="20"/>
        <crosses val="min"/>
        <majorUnit val="50"/>
      </valAx>
      <valAx>
        <axId val="20"/>
        <scaling>
          <orientation val="minMax"/>
          <max val="1"/>
          <min val="0.4"/>
        </scaling>
        <delete val="0"/>
        <axPos val="l"/>
        <majorGridlines/>
        <title>
          <tx>
            <rich>
              <a:bodyPr/>
              <a:p>
                <a:pPr>
                  <a:defRPr sz="900" b="0"/>
                </a:pPr>
                <a:r>
                  <a:rPr sz="900" b="0"/>
                  <a:t>Efectividad del condensador, ε_cond [–]</a:t>
                </a:r>
              </a:p>
            </rich>
          </tx>
          <overlay val="0"/>
        </title>
        <majorTickMark val="none"/>
        <minorTickMark val="none"/>
        <tickLblPos val="low"/>
        <txPr>
          <a:bodyPr/>
          <a:p>
            <a:pPr>
              <a:defRPr sz="800" b="0"/>
            </a:pPr>
            <a:r>
              <a:t/>
            </a:r>
            <a:endParaRPr sz="800" b="0"/>
          </a:p>
        </txPr>
        <crossAx val="10"/>
        <crosses val="min"/>
        <majorUnit val="0.1"/>
      </valAx>
    </plotArea>
    <legend>
      <legendPos val="b"/>
      <overlay val="0"/>
      <txPr>
        <a:bodyPr/>
        <a:p>
          <a:pPr>
            <a:defRPr sz="800" b="0"/>
          </a:pPr>
          <a:r>
            <a:t/>
          </a:r>
          <a:endParaRPr sz="800" b="0"/>
        </a:p>
      </txPr>
    </legend>
    <plotVisOnly val="0"/>
    <dispBlanksAs val="gap"/>
  </chart>
</chartSpace>
</file>

<file path=xl/charts/chart108.xml><?xml version="1.0" encoding="utf-8"?>
<chartSpace xmlns:a="http://schemas.openxmlformats.org/drawingml/2006/main" xmlns="http://schemas.openxmlformats.org/drawingml/2006/chart">
  <style val="13"/>
  <chart>
    <title>
      <tx>
        <rich>
          <a:bodyPr/>
          <a:p>
            <a:pPr>
              <a:defRPr sz="1100" b="1"/>
            </a:pPr>
            <a:r>
              <a:rPr sz="1100" b="1"/>
              <a:t>Parte 4.1c (conserva sus presiones y su clima): 0 KALINA de 120 evaluados, 0 confiables</a:t>
            </a:r>
          </a:p>
        </rich>
      </tx>
      <overlay val="0"/>
    </title>
    <plotArea>
      <scatterChart>
        <varyColors val="0"/>
        <ser>
          <idx val="0"/>
          <order val="0"/>
          <tx>
            <v>Corregible (n = 6)</v>
          </tx>
          <spPr>
            <a:ln>
              <a:noFill/>
              <a:prstDash val="solid"/>
            </a:ln>
          </spPr>
          <marker>
            <symbol val="triangle"/>
            <size val="6"/>
            <spPr>
              <a:solidFill>
                <a:srgbClr val="EF8A17"/>
              </a:solidFill>
              <a:ln>
                <a:solidFill>
                  <a:srgbClr val="EF8A17"/>
                </a:solidFill>
                <a:prstDash val="solid"/>
              </a:ln>
            </spPr>
          </marker>
          <xVal>
            <numRef>
              <f>'4 Datos de gráficos'!$AF$6:$AF$11</f>
            </numRef>
          </xVal>
          <yVal>
            <numRef>
              <f>'4 Datos de gráficos'!$AE$6:$AE$11</f>
            </numRef>
          </yVal>
        </ser>
        <ser>
          <idx val="1"/>
          <order val="1"/>
          <tx>
            <v>Corregible, fuera de rango (n = 23)</v>
          </tx>
          <spPr>
            <a:ln>
              <a:noFill/>
              <a:prstDash val="solid"/>
            </a:ln>
          </spPr>
          <marker>
            <symbol val="triangle"/>
            <size val="6"/>
            <spPr>
              <a:noFill/>
              <a:ln>
                <a:solidFill>
                  <a:srgbClr val="EF8A17"/>
                </a:solidFill>
                <a:prstDash val="solid"/>
              </a:ln>
            </spPr>
          </marker>
          <xVal>
            <numRef>
              <f>'4 Datos de gráficos'!$AH$6:$AH$28</f>
            </numRef>
          </xVal>
          <yVal>
            <numRef>
              <f>'4 Datos de gráficos'!$AG$6:$AG$28</f>
            </numRef>
          </yVal>
        </ser>
        <ser>
          <idx val="2"/>
          <order val="2"/>
          <tx>
            <v>Inviable (n = 20)</v>
          </tx>
          <spPr>
            <a:ln>
              <a:noFill/>
              <a:prstDash val="solid"/>
            </a:ln>
          </spPr>
          <marker>
            <symbol val="square"/>
            <size val="6"/>
            <spPr>
              <a:solidFill>
                <a:srgbClr val="C9A227"/>
              </a:solidFill>
              <a:ln>
                <a:solidFill>
                  <a:srgbClr val="C9A227"/>
                </a:solidFill>
                <a:prstDash val="solid"/>
              </a:ln>
            </spPr>
          </marker>
          <xVal>
            <numRef>
              <f>'4 Datos de gráficos'!$AJ$6:$AJ$25</f>
            </numRef>
          </xVal>
          <yVal>
            <numRef>
              <f>'4 Datos de gráficos'!$AI$6:$AI$25</f>
            </numRef>
          </yVal>
        </ser>
        <ser>
          <idx val="3"/>
          <order val="3"/>
          <tx>
            <v>Inviable, fuera de rango (n = 35)</v>
          </tx>
          <spPr>
            <a:ln>
              <a:noFill/>
              <a:prstDash val="solid"/>
            </a:ln>
          </spPr>
          <marker>
            <symbol val="square"/>
            <size val="6"/>
            <spPr>
              <a:noFill/>
              <a:ln>
                <a:solidFill>
                  <a:srgbClr val="C9A227"/>
                </a:solidFill>
                <a:prstDash val="solid"/>
              </a:ln>
            </spPr>
          </marker>
          <xVal>
            <numRef>
              <f>'4 Datos de gráficos'!$AL$6:$AL$40</f>
            </numRef>
          </xVal>
          <yVal>
            <numRef>
              <f>'4 Datos de gráficos'!$AK$6:$AK$40</f>
            </numRef>
          </yVal>
        </ser>
        <ser>
          <idx val="4"/>
          <order val="4"/>
          <tx>
            <v>No convergió (n = 30)</v>
          </tx>
          <spPr>
            <a:ln>
              <a:noFill/>
              <a:prstDash val="solid"/>
            </a:ln>
          </spPr>
          <marker>
            <symbol val="x"/>
            <size val="7"/>
            <spPr>
              <a:noFill/>
              <a:ln>
                <a:solidFill>
                  <a:srgbClr val="C62828"/>
                </a:solidFill>
                <a:prstDash val="solid"/>
              </a:ln>
            </spPr>
          </marker>
          <xVal>
            <numRef>
              <f>'4 Datos de gráficos'!$AN$6:$AN$35</f>
            </numRef>
          </xVal>
          <yVal>
            <numRef>
              <f>'4 Datos de gráficos'!$AM$6:$AM$35</f>
            </numRef>
          </yVal>
        </ser>
        <ser>
          <idx val="5"/>
          <order val="5"/>
          <tx>
            <v>Falso convergido (n = 6)</v>
          </tx>
          <spPr>
            <a:ln>
              <a:noFill/>
              <a:prstDash val="solid"/>
            </a:ln>
          </spPr>
          <marker>
            <symbol val="x"/>
            <size val="7"/>
            <spPr>
              <a:noFill/>
              <a:ln>
                <a:solidFill>
                  <a:srgbClr val="9E9E9E"/>
                </a:solidFill>
                <a:prstDash val="solid"/>
              </a:ln>
            </spPr>
          </marker>
          <xVal>
            <numRef>
              <f>'4 Datos de gráficos'!$AP$6:$AP$11</f>
            </numRef>
          </xVal>
          <yVal>
            <numRef>
              <f>'4 Datos de gráficos'!$AO$6:$AO$11</f>
            </numRef>
          </yVal>
        </ser>
        <axId val="10"/>
        <axId val="20"/>
      </scatterChart>
      <valAx>
        <axId val="10"/>
        <scaling>
          <orientation val="minMax"/>
          <max val="650"/>
          <min val="350"/>
        </scaling>
        <delete val="0"/>
        <axPos val="l"/>
        <majorGridlines/>
        <title>
          <tx>
            <rich>
              <a:bodyPr/>
              <a:p>
                <a:pPr>
                  <a:defRPr sz="900" b="0"/>
                </a:pPr>
                <a:r>
                  <a:rPr sz="900" b="0"/>
                  <a:t>Temperatura de la fuente, T_fuente [K]</a:t>
                </a:r>
              </a:p>
            </rich>
          </tx>
          <overlay val="0"/>
        </title>
        <majorTickMark val="none"/>
        <minorTickMark val="none"/>
        <tickLblPos val="low"/>
        <txPr>
          <a:bodyPr/>
          <a:p>
            <a:pPr>
              <a:defRPr sz="800" b="0"/>
            </a:pPr>
            <a:r>
              <a:t/>
            </a:r>
            <a:endParaRPr sz="800" b="0"/>
          </a:p>
        </txPr>
        <crossAx val="20"/>
        <crosses val="min"/>
        <majorUnit val="50"/>
      </valAx>
      <valAx>
        <axId val="20"/>
        <scaling>
          <orientation val="minMax"/>
          <max val="1"/>
          <min val="0.4"/>
        </scaling>
        <delete val="0"/>
        <axPos val="l"/>
        <majorGridlines/>
        <title>
          <tx>
            <rich>
              <a:bodyPr/>
              <a:p>
                <a:pPr>
                  <a:defRPr sz="900" b="0"/>
                </a:pPr>
                <a:r>
                  <a:rPr sz="900" b="0"/>
                  <a:t>Efectividad del condensador, ε_cond [–]</a:t>
                </a:r>
              </a:p>
            </rich>
          </tx>
          <overlay val="0"/>
        </title>
        <majorTickMark val="none"/>
        <minorTickMark val="none"/>
        <tickLblPos val="low"/>
        <txPr>
          <a:bodyPr/>
          <a:p>
            <a:pPr>
              <a:defRPr sz="800" b="0"/>
            </a:pPr>
            <a:r>
              <a:t/>
            </a:r>
            <a:endParaRPr sz="800" b="0"/>
          </a:p>
        </txPr>
        <crossAx val="10"/>
        <crosses val="min"/>
        <majorUnit val="0.1"/>
      </valAx>
    </plotArea>
    <legend>
      <legendPos val="b"/>
      <overlay val="0"/>
      <txPr>
        <a:bodyPr/>
        <a:p>
          <a:pPr>
            <a:defRPr sz="800" b="0"/>
          </a:pPr>
          <a:r>
            <a:t/>
          </a:r>
          <a:endParaRPr sz="800" b="0"/>
        </a:p>
      </txPr>
    </legend>
    <plotVisOnly val="0"/>
    <dispBlanksAs val="gap"/>
  </chart>
</chartSpace>
</file>

<file path=xl/charts/chart109.xml><?xml version="1.0" encoding="utf-8"?>
<chartSpace xmlns:a="http://schemas.openxmlformats.org/drawingml/2006/main" xmlns="http://schemas.openxmlformats.org/drawingml/2006/chart">
  <style val="13"/>
  <chart>
    <title>
      <tx>
        <rich>
          <a:bodyPr/>
          <a:p>
            <a:pPr>
              <a:defRPr sz="1100" b="1"/>
            </a:pPr>
            <a:r>
              <a:rPr sz="1100" b="1"/>
              <a:t>Parte 4.1d (conserva su P_alta y sus temperaturas): 6 KALINA de 120 evaluados, 0 confiables</a:t>
            </a:r>
          </a:p>
        </rich>
      </tx>
      <overlay val="0"/>
    </title>
    <plotArea>
      <scatterChart>
        <varyColors val="0"/>
        <ser>
          <idx val="0"/>
          <order val="0"/>
          <tx>
            <v>KALINA, fuera de rango (n = 6)</v>
          </tx>
          <spPr>
            <a:ln>
              <a:noFill/>
              <a:prstDash val="solid"/>
            </a:ln>
          </spPr>
          <marker>
            <symbol val="circle"/>
            <size val="6"/>
            <spPr>
              <a:noFill/>
              <a:ln>
                <a:solidFill>
                  <a:srgbClr val="2E7D32"/>
                </a:solidFill>
                <a:prstDash val="solid"/>
              </a:ln>
            </spPr>
          </marker>
          <xVal>
            <numRef>
              <f>'4 Datos de gráficos'!$AS$6:$AS$11</f>
            </numRef>
          </xVal>
          <yVal>
            <numRef>
              <f>'4 Datos de gráficos'!$AR$6:$AR$11</f>
            </numRef>
          </yVal>
        </ser>
        <ser>
          <idx val="1"/>
          <order val="1"/>
          <tx>
            <v>Corregible (n = 7)</v>
          </tx>
          <spPr>
            <a:ln>
              <a:noFill/>
              <a:prstDash val="solid"/>
            </a:ln>
          </spPr>
          <marker>
            <symbol val="triangle"/>
            <size val="6"/>
            <spPr>
              <a:solidFill>
                <a:srgbClr val="EF8A17"/>
              </a:solidFill>
              <a:ln>
                <a:solidFill>
                  <a:srgbClr val="EF8A17"/>
                </a:solidFill>
                <a:prstDash val="solid"/>
              </a:ln>
            </spPr>
          </marker>
          <xVal>
            <numRef>
              <f>'4 Datos de gráficos'!$AU$6:$AU$12</f>
            </numRef>
          </xVal>
          <yVal>
            <numRef>
              <f>'4 Datos de gráficos'!$AT$6:$AT$12</f>
            </numRef>
          </yVal>
        </ser>
        <ser>
          <idx val="2"/>
          <order val="2"/>
          <tx>
            <v>Corregible, fuera de rango (n = 31)</v>
          </tx>
          <spPr>
            <a:ln>
              <a:noFill/>
              <a:prstDash val="solid"/>
            </a:ln>
          </spPr>
          <marker>
            <symbol val="triangle"/>
            <size val="6"/>
            <spPr>
              <a:noFill/>
              <a:ln>
                <a:solidFill>
                  <a:srgbClr val="EF8A17"/>
                </a:solidFill>
                <a:prstDash val="solid"/>
              </a:ln>
            </spPr>
          </marker>
          <xVal>
            <numRef>
              <f>'4 Datos de gráficos'!$AW$6:$AW$36</f>
            </numRef>
          </xVal>
          <yVal>
            <numRef>
              <f>'4 Datos de gráficos'!$AV$6:$AV$36</f>
            </numRef>
          </yVal>
        </ser>
        <ser>
          <idx val="3"/>
          <order val="3"/>
          <tx>
            <v>Inviable, fuera de rango (n = 18)</v>
          </tx>
          <spPr>
            <a:ln>
              <a:noFill/>
              <a:prstDash val="solid"/>
            </a:ln>
          </spPr>
          <marker>
            <symbol val="square"/>
            <size val="6"/>
            <spPr>
              <a:noFill/>
              <a:ln>
                <a:solidFill>
                  <a:srgbClr val="C9A227"/>
                </a:solidFill>
                <a:prstDash val="solid"/>
              </a:ln>
            </spPr>
          </marker>
          <xVal>
            <numRef>
              <f>'4 Datos de gráficos'!$AY$6:$AY$23</f>
            </numRef>
          </xVal>
          <yVal>
            <numRef>
              <f>'4 Datos de gráficos'!$AX$6:$AX$23</f>
            </numRef>
          </yVal>
        </ser>
        <ser>
          <idx val="4"/>
          <order val="4"/>
          <tx>
            <v>No convergió (n = 56)</v>
          </tx>
          <spPr>
            <a:ln>
              <a:noFill/>
              <a:prstDash val="solid"/>
            </a:ln>
          </spPr>
          <marker>
            <symbol val="x"/>
            <size val="7"/>
            <spPr>
              <a:noFill/>
              <a:ln>
                <a:solidFill>
                  <a:srgbClr val="C62828"/>
                </a:solidFill>
                <a:prstDash val="solid"/>
              </a:ln>
            </spPr>
          </marker>
          <xVal>
            <numRef>
              <f>'4 Datos de gráficos'!$BA$6:$BA$61</f>
            </numRef>
          </xVal>
          <yVal>
            <numRef>
              <f>'4 Datos de gráficos'!$AZ$6:$AZ$61</f>
            </numRef>
          </yVal>
        </ser>
        <ser>
          <idx val="5"/>
          <order val="5"/>
          <tx>
            <v>Falso convergido (n = 2)</v>
          </tx>
          <spPr>
            <a:ln>
              <a:noFill/>
              <a:prstDash val="solid"/>
            </a:ln>
          </spPr>
          <marker>
            <symbol val="x"/>
            <size val="7"/>
            <spPr>
              <a:noFill/>
              <a:ln>
                <a:solidFill>
                  <a:srgbClr val="9E9E9E"/>
                </a:solidFill>
                <a:prstDash val="solid"/>
              </a:ln>
            </spPr>
          </marker>
          <xVal>
            <numRef>
              <f>'4 Datos de gráficos'!$BC$6:$BC$7</f>
            </numRef>
          </xVal>
          <yVal>
            <numRef>
              <f>'4 Datos de gráficos'!$BB$6:$BB$7</f>
            </numRef>
          </yVal>
        </ser>
        <axId val="10"/>
        <axId val="20"/>
      </scatterChart>
      <valAx>
        <axId val="10"/>
        <scaling>
          <orientation val="minMax"/>
          <max val="0.9"/>
          <min val="0.5"/>
        </scaling>
        <delete val="0"/>
        <axPos val="l"/>
        <majorGridlines/>
        <title>
          <tx>
            <rich>
              <a:bodyPr/>
              <a:p>
                <a:pPr>
                  <a:defRPr sz="900" b="0"/>
                </a:pPr>
                <a:r>
                  <a:rPr sz="900" b="0"/>
                  <a:t>Fracción de amoníaco de la mezcla base, x_b [–]</a:t>
                </a:r>
              </a:p>
            </rich>
          </tx>
          <overlay val="0"/>
        </title>
        <majorTickMark val="none"/>
        <minorTickMark val="none"/>
        <tickLblPos val="low"/>
        <txPr>
          <a:bodyPr/>
          <a:p>
            <a:pPr>
              <a:defRPr sz="800" b="0"/>
            </a:pPr>
            <a:r>
              <a:t/>
            </a:r>
            <a:endParaRPr sz="800" b="0"/>
          </a:p>
        </txPr>
        <crossAx val="20"/>
        <crosses val="min"/>
        <majorUnit val="0.1"/>
      </valAx>
      <valAx>
        <axId val="20"/>
        <scaling>
          <orientation val="minMax"/>
          <max val="2000"/>
          <min val="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10"/>
        <crosses val="min"/>
        <majorUnit val="500"/>
      </valAx>
    </plotArea>
    <legend>
      <legendPos val="b"/>
      <overlay val="0"/>
      <txPr>
        <a:bodyPr/>
        <a:p>
          <a:pPr>
            <a:defRPr sz="800" b="0"/>
          </a:pPr>
          <a:r>
            <a:t/>
          </a:r>
          <a:endParaRPr sz="800" b="0"/>
        </a:p>
      </txPr>
    </legend>
    <plotVisOnly val="0"/>
    <dispBlanksAs val="gap"/>
  </chart>
</chartSpace>
</file>

<file path=xl/charts/chart110.xml><?xml version="1.0" encoding="utf-8"?>
<chartSpace xmlns:a="http://schemas.openxmlformats.org/drawingml/2006/main" xmlns="http://schemas.openxmlformats.org/drawingml/2006/chart">
  <style val="13"/>
  <chart>
    <title>
      <tx>
        <rich>
          <a:bodyPr/>
          <a:p>
            <a:pPr>
              <a:defRPr sz="1100" b="1"/>
            </a:pPr>
            <a:r>
              <a:rPr sz="1100" b="1"/>
              <a:t>Parte 4.1e (conserva su fuente y su composición, T_fuente y x_b): 10 KALINA de 119 evaluados, 0 confiables</a:t>
            </a:r>
          </a:p>
        </rich>
      </tx>
      <overlay val="0"/>
    </title>
    <plotArea>
      <scatterChart>
        <varyColors val="0"/>
        <ser>
          <idx val="0"/>
          <order val="0"/>
          <tx>
            <v>KALINA, fuera de rango (n = 10)</v>
          </tx>
          <spPr>
            <a:ln>
              <a:noFill/>
              <a:prstDash val="solid"/>
            </a:ln>
          </spPr>
          <marker>
            <symbol val="circle"/>
            <size val="6"/>
            <spPr>
              <a:noFill/>
              <a:ln>
                <a:solidFill>
                  <a:srgbClr val="2E7D32"/>
                </a:solidFill>
                <a:prstDash val="solid"/>
              </a:ln>
            </spPr>
          </marker>
          <xVal>
            <numRef>
              <f>'4 Datos de gráficos'!$BF$6:$BF$15</f>
            </numRef>
          </xVal>
          <yVal>
            <numRef>
              <f>'4 Datos de gráficos'!$BE$6:$BE$15</f>
            </numRef>
          </yVal>
        </ser>
        <ser>
          <idx val="1"/>
          <order val="1"/>
          <tx>
            <v>Corregible, fuera de rango (n = 55)</v>
          </tx>
          <spPr>
            <a:ln>
              <a:noFill/>
              <a:prstDash val="solid"/>
            </a:ln>
          </spPr>
          <marker>
            <symbol val="triangle"/>
            <size val="6"/>
            <spPr>
              <a:noFill/>
              <a:ln>
                <a:solidFill>
                  <a:srgbClr val="EF8A17"/>
                </a:solidFill>
                <a:prstDash val="solid"/>
              </a:ln>
            </spPr>
          </marker>
          <xVal>
            <numRef>
              <f>'4 Datos de gráficos'!$BH$6:$BH$60</f>
            </numRef>
          </xVal>
          <yVal>
            <numRef>
              <f>'4 Datos de gráficos'!$BG$6:$BG$60</f>
            </numRef>
          </yVal>
        </ser>
        <ser>
          <idx val="2"/>
          <order val="2"/>
          <tx>
            <v>Inviable, fuera de rango (n = 17)</v>
          </tx>
          <spPr>
            <a:ln>
              <a:noFill/>
              <a:prstDash val="solid"/>
            </a:ln>
          </spPr>
          <marker>
            <symbol val="square"/>
            <size val="6"/>
            <spPr>
              <a:noFill/>
              <a:ln>
                <a:solidFill>
                  <a:srgbClr val="C9A227"/>
                </a:solidFill>
                <a:prstDash val="solid"/>
              </a:ln>
            </spPr>
          </marker>
          <xVal>
            <numRef>
              <f>'4 Datos de gráficos'!$BJ$6:$BJ$22</f>
            </numRef>
          </xVal>
          <yVal>
            <numRef>
              <f>'4 Datos de gráficos'!$BI$6:$BI$22</f>
            </numRef>
          </yVal>
        </ser>
        <ser>
          <idx val="3"/>
          <order val="3"/>
          <tx>
            <v>No convergió (n = 37)</v>
          </tx>
          <spPr>
            <a:ln>
              <a:noFill/>
              <a:prstDash val="solid"/>
            </a:ln>
          </spPr>
          <marker>
            <symbol val="x"/>
            <size val="7"/>
            <spPr>
              <a:noFill/>
              <a:ln>
                <a:solidFill>
                  <a:srgbClr val="C62828"/>
                </a:solidFill>
                <a:prstDash val="solid"/>
              </a:ln>
            </spPr>
          </marker>
          <xVal>
            <numRef>
              <f>'4 Datos de gráficos'!$BL$6:$BL$42</f>
            </numRef>
          </xVal>
          <yVal>
            <numRef>
              <f>'4 Datos de gráficos'!$BK$6:$BK$42</f>
            </numRef>
          </yVal>
        </ser>
        <axId val="10"/>
        <axId val="20"/>
      </scatterChart>
      <valAx>
        <axId val="10"/>
        <scaling>
          <orientation val="minMax"/>
          <max val="5000"/>
          <min val="2000"/>
        </scaling>
        <delete val="0"/>
        <axPos val="l"/>
        <majorGridlines/>
        <title>
          <tx>
            <rich>
              <a:bodyPr/>
              <a:p>
                <a:pPr>
                  <a:defRPr sz="900" b="0"/>
                </a:pPr>
                <a:r>
                  <a:rPr sz="900" b="0"/>
                  <a:t>Presión de alta, P_alta [kPa]</a:t>
                </a:r>
              </a:p>
            </rich>
          </tx>
          <overlay val="0"/>
        </title>
        <majorTickMark val="none"/>
        <minorTickMark val="none"/>
        <tickLblPos val="low"/>
        <txPr>
          <a:bodyPr/>
          <a:p>
            <a:pPr>
              <a:defRPr sz="800" b="0"/>
            </a:pPr>
            <a:r>
              <a:t/>
            </a:r>
            <a:endParaRPr sz="800" b="0"/>
          </a:p>
        </txPr>
        <crossAx val="20"/>
        <crosses val="min"/>
        <majorUnit val="500"/>
      </valAx>
      <valAx>
        <axId val="20"/>
        <scaling>
          <orientation val="minMax"/>
          <max val="2000"/>
          <min val="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10"/>
        <crosses val="min"/>
        <majorUnit val="500"/>
      </valAx>
    </plotArea>
    <legend>
      <legendPos val="b"/>
      <overlay val="0"/>
      <txPr>
        <a:bodyPr/>
        <a:p>
          <a:pPr>
            <a:defRPr sz="800" b="0"/>
          </a:pPr>
          <a:r>
            <a:t/>
          </a:r>
          <a:endParaRPr sz="800" b="0"/>
        </a:p>
      </txPr>
    </legend>
    <plotVisOnly val="0"/>
    <dispBlanksAs val="gap"/>
  </chart>
</chartSpace>
</file>

<file path=xl/charts/chart111.xml><?xml version="1.0" encoding="utf-8"?>
<chartSpace xmlns:a="http://schemas.openxmlformats.org/drawingml/2006/main" xmlns="http://schemas.openxmlformats.org/drawingml/2006/chart">
  <style val="13"/>
  <chart>
    <title>
      <tx>
        <rich>
          <a:bodyPr/>
          <a:p>
            <a:pPr>
              <a:defRPr sz="900" b="1"/>
            </a:pPr>
            <a:r>
              <a:rPr sz="900" b="1"/>
              <a:t>T_sumidero = piso de O2 = 278.15 K</a:t>
            </a:r>
          </a:p>
        </rich>
      </tx>
      <overlay val="0"/>
    </title>
    <plotArea>
      <scatterChart>
        <varyColors val="0"/>
        <ser>
          <idx val="0"/>
          <order val="0"/>
          <tx>
            <v>KALINA (n = 44)</v>
          </tx>
          <spPr>
            <a:ln>
              <a:noFill/>
              <a:prstDash val="solid"/>
            </a:ln>
          </spPr>
          <marker>
            <symbol val="circle"/>
            <size val="6"/>
            <spPr>
              <a:solidFill>
                <a:srgbClr val="2E7D32"/>
              </a:solidFill>
              <a:ln>
                <a:solidFill>
                  <a:srgbClr val="2E7D32"/>
                </a:solidFill>
                <a:prstDash val="solid"/>
              </a:ln>
            </spPr>
          </marker>
          <xVal>
            <numRef>
              <f>'4 Datos de gráficos'!$BO$6:$BO$49</f>
            </numRef>
          </xVal>
          <yVal>
            <numRef>
              <f>'4 Datos de gráficos'!$BN$6:$BN$49</f>
            </numRef>
          </yVal>
        </ser>
        <ser>
          <idx val="1"/>
          <order val="1"/>
          <tx>
            <v>Inviable (n = 5)</v>
          </tx>
          <spPr>
            <a:ln>
              <a:noFill/>
              <a:prstDash val="solid"/>
            </a:ln>
          </spPr>
          <marker>
            <symbol val="square"/>
            <size val="6"/>
            <spPr>
              <a:solidFill>
                <a:srgbClr val="C9A227"/>
              </a:solidFill>
              <a:ln>
                <a:solidFill>
                  <a:srgbClr val="C9A227"/>
                </a:solidFill>
                <a:prstDash val="solid"/>
              </a:ln>
            </spPr>
          </marker>
          <xVal>
            <numRef>
              <f>'4 Datos de gráficos'!$BQ$6:$BQ$10</f>
            </numRef>
          </xVal>
          <yVal>
            <numRef>
              <f>'4 Datos de gráficos'!$BP$6:$BP$10</f>
            </numRef>
          </yVal>
        </ser>
        <ser>
          <idx val="2"/>
          <order val="2"/>
          <tx>
            <v>No convergió (n = 1)</v>
          </tx>
          <spPr>
            <a:ln>
              <a:noFill/>
              <a:prstDash val="solid"/>
            </a:ln>
          </spPr>
          <marker>
            <symbol val="x"/>
            <size val="7"/>
            <spPr>
              <a:noFill/>
              <a:ln>
                <a:solidFill>
                  <a:srgbClr val="C62828"/>
                </a:solidFill>
                <a:prstDash val="solid"/>
              </a:ln>
            </spPr>
          </marker>
          <xVal>
            <numRef>
              <f>'4 Datos de gráficos'!$BS$6</f>
            </numRef>
          </xVal>
          <yVal>
            <numRef>
              <f>'4 Datos de gráficos'!$BR$6</f>
            </numRef>
          </yVal>
        </ser>
        <ser>
          <idx val="3"/>
          <order val="3"/>
          <tx>
            <v>Falso convergido (n = 5)</v>
          </tx>
          <spPr>
            <a:ln>
              <a:noFill/>
              <a:prstDash val="solid"/>
            </a:ln>
          </spPr>
          <marker>
            <symbol val="x"/>
            <size val="7"/>
            <spPr>
              <a:noFill/>
              <a:ln>
                <a:solidFill>
                  <a:srgbClr val="9E9E9E"/>
                </a:solidFill>
                <a:prstDash val="solid"/>
              </a:ln>
            </spPr>
          </marker>
          <xVal>
            <numRef>
              <f>'4 Datos de gráficos'!$BU$6:$BU$10</f>
            </numRef>
          </xVal>
          <yVal>
            <numRef>
              <f>'4 Datos de gráficos'!$BT$6:$BT$10</f>
            </numRef>
          </yVal>
        </ser>
        <axId val="10"/>
        <axId val="20"/>
      </scatterChart>
      <valAx>
        <axId val="10"/>
        <scaling>
          <orientation val="minMax"/>
          <max val="410"/>
          <min val="385"/>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0.96"/>
          <min val="0.8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10"/>
        <crosses val="min"/>
        <majorUnit val="0.02"/>
      </valAx>
    </plotArea>
    <legend>
      <legendPos val="b"/>
      <overlay val="0"/>
      <txPr>
        <a:bodyPr/>
        <a:p>
          <a:pPr>
            <a:defRPr sz="700" b="0"/>
          </a:pPr>
          <a:r>
            <a:t/>
          </a:r>
          <a:endParaRPr sz="700" b="0"/>
        </a:p>
      </txPr>
    </legend>
    <plotVisOnly val="0"/>
    <dispBlanksAs val="gap"/>
  </chart>
</chartSpace>
</file>

<file path=xl/charts/chart112.xml><?xml version="1.0" encoding="utf-8"?>
<chartSpace xmlns:a="http://schemas.openxmlformats.org/drawingml/2006/main" xmlns="http://schemas.openxmlformats.org/drawingml/2006/chart">
  <style val="13"/>
  <chart>
    <title>
      <tx>
        <rich>
          <a:bodyPr/>
          <a:p>
            <a:pPr>
              <a:defRPr sz="900" b="1"/>
            </a:pPr>
            <a:r>
              <a:rPr sz="900" b="1"/>
              <a:t>T_sumidero = piso de O2 = 290.65 K</a:t>
            </a:r>
          </a:p>
        </rich>
      </tx>
      <overlay val="0"/>
    </title>
    <plotArea>
      <scatterChart>
        <varyColors val="0"/>
        <ser>
          <idx val="0"/>
          <order val="0"/>
          <tx>
            <v>KALINA (n = 44)</v>
          </tx>
          <spPr>
            <a:ln>
              <a:noFill/>
              <a:prstDash val="solid"/>
            </a:ln>
          </spPr>
          <marker>
            <symbol val="circle"/>
            <size val="6"/>
            <spPr>
              <a:solidFill>
                <a:srgbClr val="2E7D32"/>
              </a:solidFill>
              <a:ln>
                <a:solidFill>
                  <a:srgbClr val="2E7D32"/>
                </a:solidFill>
                <a:prstDash val="solid"/>
              </a:ln>
            </spPr>
          </marker>
          <xVal>
            <numRef>
              <f>'4 Datos de gráficos'!$BW$6:$BW$49</f>
            </numRef>
          </xVal>
          <yVal>
            <numRef>
              <f>'4 Datos de gráficos'!$BV$6:$BV$49</f>
            </numRef>
          </yVal>
        </ser>
        <ser>
          <idx val="1"/>
          <order val="1"/>
          <tx>
            <v>Corregible (n = 1)</v>
          </tx>
          <spPr>
            <a:ln>
              <a:noFill/>
              <a:prstDash val="solid"/>
            </a:ln>
          </spPr>
          <marker>
            <symbol val="triangle"/>
            <size val="6"/>
            <spPr>
              <a:solidFill>
                <a:srgbClr val="EF8A17"/>
              </a:solidFill>
              <a:ln>
                <a:solidFill>
                  <a:srgbClr val="EF8A17"/>
                </a:solidFill>
                <a:prstDash val="solid"/>
              </a:ln>
            </spPr>
          </marker>
          <xVal>
            <numRef>
              <f>'4 Datos de gráficos'!$BY$6</f>
            </numRef>
          </xVal>
          <yVal>
            <numRef>
              <f>'4 Datos de gráficos'!$BX$6</f>
            </numRef>
          </yVal>
        </ser>
        <ser>
          <idx val="2"/>
          <order val="2"/>
          <tx>
            <v>Inviable (n = 5)</v>
          </tx>
          <spPr>
            <a:ln>
              <a:noFill/>
              <a:prstDash val="solid"/>
            </a:ln>
          </spPr>
          <marker>
            <symbol val="square"/>
            <size val="6"/>
            <spPr>
              <a:solidFill>
                <a:srgbClr val="C9A227"/>
              </a:solidFill>
              <a:ln>
                <a:solidFill>
                  <a:srgbClr val="C9A227"/>
                </a:solidFill>
                <a:prstDash val="solid"/>
              </a:ln>
            </spPr>
          </marker>
          <xVal>
            <numRef>
              <f>'4 Datos de gráficos'!$CA$6:$CA$10</f>
            </numRef>
          </xVal>
          <yVal>
            <numRef>
              <f>'4 Datos de gráficos'!$BZ$6:$BZ$10</f>
            </numRef>
          </yVal>
        </ser>
        <ser>
          <idx val="3"/>
          <order val="3"/>
          <tx>
            <v>Falso convergido (n = 5)</v>
          </tx>
          <spPr>
            <a:ln>
              <a:noFill/>
              <a:prstDash val="solid"/>
            </a:ln>
          </spPr>
          <marker>
            <symbol val="x"/>
            <size val="7"/>
            <spPr>
              <a:noFill/>
              <a:ln>
                <a:solidFill>
                  <a:srgbClr val="9E9E9E"/>
                </a:solidFill>
                <a:prstDash val="solid"/>
              </a:ln>
            </spPr>
          </marker>
          <xVal>
            <numRef>
              <f>'4 Datos de gráficos'!$CC$6:$CC$10</f>
            </numRef>
          </xVal>
          <yVal>
            <numRef>
              <f>'4 Datos de gráficos'!$CB$6:$CB$10</f>
            </numRef>
          </yVal>
        </ser>
        <axId val="10"/>
        <axId val="20"/>
      </scatterChart>
      <valAx>
        <axId val="10"/>
        <scaling>
          <orientation val="minMax"/>
          <max val="410"/>
          <min val="385"/>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0.96"/>
          <min val="0.8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10"/>
        <crosses val="min"/>
        <majorUnit val="0.02"/>
      </valAx>
    </plotArea>
    <legend>
      <legendPos val="b"/>
      <overlay val="0"/>
      <txPr>
        <a:bodyPr/>
        <a:p>
          <a:pPr>
            <a:defRPr sz="700" b="0"/>
          </a:pPr>
          <a:r>
            <a:t/>
          </a:r>
          <a:endParaRPr sz="700" b="0"/>
        </a:p>
      </txPr>
    </legend>
    <plotVisOnly val="0"/>
    <dispBlanksAs val="gap"/>
  </chart>
</chartSpace>
</file>

<file path=xl/charts/chart113.xml><?xml version="1.0" encoding="utf-8"?>
<chartSpace xmlns:a="http://schemas.openxmlformats.org/drawingml/2006/main" xmlns="http://schemas.openxmlformats.org/drawingml/2006/chart">
  <style val="13"/>
  <chart>
    <title>
      <tx>
        <rich>
          <a:bodyPr/>
          <a:p>
            <a:pPr>
              <a:defRPr sz="900" b="1"/>
            </a:pPr>
            <a:r>
              <a:rPr sz="900" b="1"/>
              <a:t>T_sumidero = piso de O2 = 300.03 K</a:t>
            </a:r>
          </a:p>
        </rich>
      </tx>
      <overlay val="0"/>
    </title>
    <plotArea>
      <scatterChart>
        <varyColors val="0"/>
        <ser>
          <idx val="0"/>
          <order val="0"/>
          <tx>
            <v>KALINA (n = 16)</v>
          </tx>
          <spPr>
            <a:ln>
              <a:noFill/>
              <a:prstDash val="solid"/>
            </a:ln>
          </spPr>
          <marker>
            <symbol val="circle"/>
            <size val="6"/>
            <spPr>
              <a:solidFill>
                <a:srgbClr val="2E7D32"/>
              </a:solidFill>
              <a:ln>
                <a:solidFill>
                  <a:srgbClr val="2E7D32"/>
                </a:solidFill>
                <a:prstDash val="solid"/>
              </a:ln>
            </spPr>
          </marker>
          <xVal>
            <numRef>
              <f>'4 Datos de gráficos'!$CE$6:$CE$21</f>
            </numRef>
          </xVal>
          <yVal>
            <numRef>
              <f>'4 Datos de gráficos'!$CD$6:$CD$21</f>
            </numRef>
          </yVal>
        </ser>
        <ser>
          <idx val="1"/>
          <order val="1"/>
          <tx>
            <v>Corregible (n = 29)</v>
          </tx>
          <spPr>
            <a:ln>
              <a:noFill/>
              <a:prstDash val="solid"/>
            </a:ln>
          </spPr>
          <marker>
            <symbol val="triangle"/>
            <size val="6"/>
            <spPr>
              <a:solidFill>
                <a:srgbClr val="EF8A17"/>
              </a:solidFill>
              <a:ln>
                <a:solidFill>
                  <a:srgbClr val="EF8A17"/>
                </a:solidFill>
                <a:prstDash val="solid"/>
              </a:ln>
            </spPr>
          </marker>
          <xVal>
            <numRef>
              <f>'4 Datos de gráficos'!$CG$6:$CG$34</f>
            </numRef>
          </xVal>
          <yVal>
            <numRef>
              <f>'4 Datos de gráficos'!$CF$6:$CF$34</f>
            </numRef>
          </yVal>
        </ser>
        <ser>
          <idx val="2"/>
          <order val="2"/>
          <tx>
            <v>Inviable (n = 5)</v>
          </tx>
          <spPr>
            <a:ln>
              <a:noFill/>
              <a:prstDash val="solid"/>
            </a:ln>
          </spPr>
          <marker>
            <symbol val="square"/>
            <size val="6"/>
            <spPr>
              <a:solidFill>
                <a:srgbClr val="C9A227"/>
              </a:solidFill>
              <a:ln>
                <a:solidFill>
                  <a:srgbClr val="C9A227"/>
                </a:solidFill>
                <a:prstDash val="solid"/>
              </a:ln>
            </spPr>
          </marker>
          <xVal>
            <numRef>
              <f>'4 Datos de gráficos'!$CI$6:$CI$10</f>
            </numRef>
          </xVal>
          <yVal>
            <numRef>
              <f>'4 Datos de gráficos'!$CH$6:$CH$10</f>
            </numRef>
          </yVal>
        </ser>
        <ser>
          <idx val="3"/>
          <order val="3"/>
          <tx>
            <v>Falso convergido (n = 5)</v>
          </tx>
          <spPr>
            <a:ln>
              <a:noFill/>
              <a:prstDash val="solid"/>
            </a:ln>
          </spPr>
          <marker>
            <symbol val="x"/>
            <size val="7"/>
            <spPr>
              <a:noFill/>
              <a:ln>
                <a:solidFill>
                  <a:srgbClr val="9E9E9E"/>
                </a:solidFill>
                <a:prstDash val="solid"/>
              </a:ln>
            </spPr>
          </marker>
          <xVal>
            <numRef>
              <f>'4 Datos de gráficos'!$CK$6:$CK$10</f>
            </numRef>
          </xVal>
          <yVal>
            <numRef>
              <f>'4 Datos de gráficos'!$CJ$6:$CJ$10</f>
            </numRef>
          </yVal>
        </ser>
        <axId val="10"/>
        <axId val="20"/>
      </scatterChart>
      <valAx>
        <axId val="10"/>
        <scaling>
          <orientation val="minMax"/>
          <max val="410"/>
          <min val="385"/>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0.96"/>
          <min val="0.8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10"/>
        <crosses val="min"/>
        <majorUnit val="0.02"/>
      </valAx>
    </plotArea>
    <legend>
      <legendPos val="b"/>
      <overlay val="0"/>
      <txPr>
        <a:bodyPr/>
        <a:p>
          <a:pPr>
            <a:defRPr sz="700" b="0"/>
          </a:pPr>
          <a:r>
            <a:t/>
          </a:r>
          <a:endParaRPr sz="700" b="0"/>
        </a:p>
      </txPr>
    </legend>
    <plotVisOnly val="0"/>
    <dispBlanksAs val="gap"/>
  </chart>
</chartSpace>
</file>

<file path=xl/charts/chart114.xml><?xml version="1.0" encoding="utf-8"?>
<chartSpace xmlns:a="http://schemas.openxmlformats.org/drawingml/2006/main" xmlns="http://schemas.openxmlformats.org/drawingml/2006/chart">
  <style val="10"/>
  <chart>
    <title>
      <tx>
        <rich>
          <a:bodyPr/>
          <a:p>
            <a:pPr>
              <a:defRPr sz="1100" b="1"/>
            </a:pPr>
            <a:r>
              <a:rPr sz="1100" b="1"/>
              <a:t>Se conservan 8 de los 10 datos de diseño del profesor y sigue habiendo KALINA</a:t>
            </a:r>
          </a:p>
        </rich>
      </tx>
      <overlay val="0"/>
    </title>
    <plotArea>
      <barChart>
        <barDir val="col"/>
        <grouping val="clustered"/>
        <varyColors val="0"/>
        <ser>
          <idx val="0"/>
          <order val="0"/>
          <tx>
            <v>KALINA confiables</v>
          </tx>
          <spPr>
            <a:solidFill>
              <a:srgbClr val="2E7D32"/>
            </a:solidFill>
            <a:ln>
              <a:solidFill>
                <a:srgbClr val="2E7D32"/>
              </a:solidFill>
              <a:prstDash val="solid"/>
            </a:ln>
          </spPr>
          <invertIfNegative val="0"/>
          <dPt>
            <idx val="0"/>
            <invertIfNegative val="0"/>
            <spPr>
              <a:solidFill>
                <a:srgbClr val="81C784"/>
              </a:solidFill>
              <a:ln>
                <a:prstDash val="solid"/>
              </a:ln>
            </spPr>
          </dPt>
          <dPt>
            <idx val="1"/>
            <invertIfNegative val="0"/>
            <spPr>
              <a:solidFill>
                <a:srgbClr val="81C784"/>
              </a:solidFill>
              <a:ln>
                <a:prstDash val="solid"/>
              </a:ln>
            </spPr>
          </dPt>
          <dPt>
            <idx val="2"/>
            <invertIfNegative val="0"/>
            <spPr>
              <a:solidFill>
                <a:srgbClr val="81C784"/>
              </a:solidFill>
              <a:ln>
                <a:prstDash val="solid"/>
              </a:ln>
            </spPr>
          </dPt>
          <dPt>
            <idx val="3"/>
            <invertIfNegative val="0"/>
            <spPr>
              <a:solidFill>
                <a:srgbClr val="81C784"/>
              </a:solidFill>
              <a:ln>
                <a:prstDash val="solid"/>
              </a:ln>
            </spPr>
          </dPt>
          <dPt>
            <idx val="4"/>
            <invertIfNegative val="0"/>
            <spPr>
              <a:solidFill>
                <a:srgbClr val="81C784"/>
              </a:solidFill>
              <a:ln>
                <a:prstDash val="solid"/>
              </a:ln>
            </spPr>
          </dPt>
          <dPt>
            <idx val="5"/>
            <invertIfNegative val="0"/>
            <spPr>
              <a:solidFill>
                <a:srgbClr val="1B5E20"/>
              </a:solidFill>
              <a:ln>
                <a:prstDash val="solid"/>
              </a:ln>
            </spPr>
          </dPt>
          <dPt>
            <idx val="6"/>
            <invertIfNegative val="0"/>
            <spPr>
              <a:solidFill>
                <a:srgbClr val="81C784"/>
              </a:solidFill>
              <a:ln>
                <a:prstDash val="solid"/>
              </a:ln>
            </spPr>
          </dPt>
          <dPt>
            <idx val="7"/>
            <invertIfNegative val="0"/>
            <spPr>
              <a:solidFill>
                <a:srgbClr val="81C784"/>
              </a:solidFill>
              <a:ln>
                <a:prstDash val="solid"/>
              </a:ln>
            </spPr>
          </dPt>
          <dPt>
            <idx val="8"/>
            <invertIfNegative val="0"/>
            <spPr>
              <a:solidFill>
                <a:srgbClr val="1B5E20"/>
              </a:solidFill>
              <a:ln>
                <a:prstDash val="solid"/>
              </a:ln>
            </spPr>
          </dPt>
          <dPt>
            <idx val="9"/>
            <invertIfNegative val="0"/>
            <spPr>
              <a:solidFill>
                <a:srgbClr val="81C784"/>
              </a:solidFill>
              <a:ln>
                <a:prstDash val="solid"/>
              </a:ln>
            </spPr>
          </dPt>
          <dPt>
            <idx val="10"/>
            <invertIfNegative val="0"/>
            <spPr>
              <a:solidFill>
                <a:srgbClr val="81C784"/>
              </a:solidFill>
              <a:ln>
                <a:prstDash val="solid"/>
              </a:ln>
            </spPr>
          </dPt>
          <dPt>
            <idx val="11"/>
            <invertIfNegative val="0"/>
            <spPr>
              <a:solidFill>
                <a:srgbClr val="81C784"/>
              </a:solidFill>
              <a:ln>
                <a:prstDash val="solid"/>
              </a:ln>
            </spPr>
          </dPt>
          <dPt>
            <idx val="12"/>
            <invertIfNegative val="0"/>
            <spPr>
              <a:solidFill>
                <a:srgbClr val="1B5E20"/>
              </a:solidFill>
              <a:ln>
                <a:prstDash val="solid"/>
              </a:ln>
            </spPr>
          </dPt>
          <dPt>
            <idx val="13"/>
            <invertIfNegative val="0"/>
            <spPr>
              <a:solidFill>
                <a:srgbClr val="81C784"/>
              </a:solidFill>
              <a:ln>
                <a:prstDash val="solid"/>
              </a:ln>
            </spPr>
          </dPt>
          <dPt>
            <idx val="14"/>
            <invertIfNegative val="0"/>
            <spPr>
              <a:solidFill>
                <a:srgbClr val="81C784"/>
              </a:solidFill>
              <a:ln>
                <a:prstDash val="solid"/>
              </a:ln>
            </spPr>
          </dPt>
          <dPt>
            <idx val="15"/>
            <invertIfNegative val="0"/>
            <spPr>
              <a:solidFill>
                <a:srgbClr val="81C784"/>
              </a:solidFill>
              <a:ln>
                <a:prstDash val="solid"/>
              </a:ln>
            </spPr>
          </dPt>
          <dPt>
            <idx val="16"/>
            <invertIfNegative val="0"/>
            <spPr>
              <a:solidFill>
                <a:srgbClr val="1B5E20"/>
              </a:solidFill>
              <a:ln>
                <a:prstDash val="solid"/>
              </a:ln>
            </spPr>
          </dPt>
          <dPt>
            <idx val="17"/>
            <invertIfNegative val="0"/>
            <spPr>
              <a:solidFill>
                <a:srgbClr val="81C784"/>
              </a:solidFill>
              <a:ln>
                <a:prstDash val="solid"/>
              </a:ln>
            </spPr>
          </dPt>
          <cat>
            <numRef>
              <f>'4 Datos de gráficos'!$CM$6:$CM$23</f>
            </numRef>
          </cat>
          <val>
            <numRef>
              <f>'4 Datos de gráficos'!$CN$6:$CN$23</f>
            </numRef>
          </val>
        </ser>
        <gapWidth val="150"/>
        <axId val="10"/>
        <axId val="100"/>
      </barChart>
      <catAx>
        <axId val="10"/>
        <scaling>
          <orientation val="minMax"/>
        </scaling>
        <delete val="0"/>
        <axPos val="l"/>
        <title>
          <tx>
            <rich>
              <a:bodyPr/>
              <a:p>
                <a:pPr>
                  <a:defRPr sz="900" b="0"/>
                </a:pPr>
                <a:r>
                  <a:rPr sz="900" b="0"/>
                  <a:t>Conjunto conservado (R = ronda)</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KALINA confiables</a:t>
                </a:r>
              </a:p>
            </rich>
          </tx>
          <overlay val="0"/>
        </title>
        <majorTickMark val="none"/>
        <minorTickMark val="none"/>
        <tickLblPos val="low"/>
        <txPr>
          <a:bodyPr/>
          <a:p>
            <a:pPr>
              <a:defRPr sz="800" b="0"/>
            </a:pPr>
            <a:r>
              <a:t/>
            </a:r>
            <a:endParaRPr sz="800" b="0"/>
          </a:p>
        </txPr>
        <crossAx val="10"/>
        <crosses val="autoZero"/>
      </valAx>
    </plotArea>
    <plotVisOnly val="0"/>
    <dispBlanksAs val="gap"/>
  </chart>
</chartSpace>
</file>

<file path=xl/charts/chart115.xml><?xml version="1.0" encoding="utf-8"?>
<chartSpace xmlns:a="http://schemas.openxmlformats.org/drawingml/2006/main" xmlns="http://schemas.openxmlformats.org/drawingml/2006/chart">
  <style val="13"/>
  <chart>
    <title>
      <tx>
        <rich>
          <a:bodyPr/>
          <a:p>
            <a:pPr>
              <a:defRPr sz="1100" b="1"/>
            </a:pPr>
            <a:r>
              <a:rPr sz="1100" b="1"/>
              <a:t>teqp y el motor real coinciden en los 5 puntos que el motor real resolvió</a:t>
            </a:r>
          </a:p>
        </rich>
      </tx>
      <overlay val="0"/>
    </title>
    <plotArea>
      <scatterChart>
        <varyColors val="0"/>
        <ser>
          <idx val="0"/>
          <order val="0"/>
          <tx>
            <v>1:1</v>
          </tx>
          <spPr>
            <a:ln w="22000">
              <a:solidFill>
                <a:srgbClr val="424242"/>
              </a:solidFill>
              <a:prstDash val="solid"/>
            </a:ln>
          </spPr>
          <marker>
            <symbol val="none"/>
            <size val="5"/>
            <spPr>
              <a:solidFill>
                <a:srgbClr val="424242"/>
              </a:solidFill>
              <a:ln>
                <a:solidFill>
                  <a:srgbClr val="424242"/>
                </a:solidFill>
                <a:prstDash val="solid"/>
              </a:ln>
            </spPr>
          </marker>
          <xVal>
            <numRef>
              <f>'6 Datos de gráficos'!$B$6:$B$7</f>
            </numRef>
          </xVal>
          <yVal>
            <numRef>
              <f>'6 Datos de gráficos'!$A$6:$A$7</f>
            </numRef>
          </yVal>
          <smooth val="0"/>
        </ser>
        <ser>
          <idx val="1"/>
          <order val="1"/>
          <tx>
            <v>+0.7 pp</v>
          </tx>
          <spPr>
            <a:ln w="22000">
              <a:solidFill>
                <a:srgbClr val="A5D6A7"/>
              </a:solidFill>
              <a:prstDash val="dash"/>
            </a:ln>
          </spPr>
          <marker>
            <symbol val="none"/>
            <size val="5"/>
            <spPr>
              <a:solidFill>
                <a:srgbClr val="A5D6A7"/>
              </a:solidFill>
              <a:ln>
                <a:solidFill>
                  <a:srgbClr val="A5D6A7"/>
                </a:solidFill>
                <a:prstDash val="solid"/>
              </a:ln>
            </spPr>
          </marker>
          <xVal>
            <numRef>
              <f>'6 Datos de gráficos'!$D$6:$D$7</f>
            </numRef>
          </xVal>
          <yVal>
            <numRef>
              <f>'6 Datos de gráficos'!$C$6:$C$7</f>
            </numRef>
          </yVal>
          <smooth val="0"/>
        </ser>
        <ser>
          <idx val="2"/>
          <order val="2"/>
          <tx>
            <v>−0.7 pp</v>
          </tx>
          <spPr>
            <a:ln w="22000">
              <a:solidFill>
                <a:srgbClr val="A5D6A7"/>
              </a:solidFill>
              <a:prstDash val="dash"/>
            </a:ln>
          </spPr>
          <marker>
            <symbol val="none"/>
            <size val="5"/>
            <spPr>
              <a:solidFill>
                <a:srgbClr val="A5D6A7"/>
              </a:solidFill>
              <a:ln>
                <a:solidFill>
                  <a:srgbClr val="A5D6A7"/>
                </a:solidFill>
                <a:prstDash val="solid"/>
              </a:ln>
            </spPr>
          </marker>
          <xVal>
            <numRef>
              <f>'6 Datos de gráficos'!$F$6:$F$7</f>
            </numRef>
          </xVal>
          <yVal>
            <numRef>
              <f>'6 Datos de gráficos'!$E$6:$E$7</f>
            </numRef>
          </yVal>
          <smooth val="0"/>
        </ser>
        <ser>
          <idx val="3"/>
          <order val="3"/>
          <tx>
            <v>6.1a · motor real con 300 s (n = 2)</v>
          </tx>
          <spPr>
            <a:ln>
              <a:noFill/>
              <a:prstDash val="solid"/>
            </a:ln>
          </spPr>
          <marker>
            <symbol val="circle"/>
            <size val="8"/>
            <spPr>
              <a:solidFill>
                <a:srgbClr val="1565C0"/>
              </a:solidFill>
              <a:ln>
                <a:solidFill>
                  <a:srgbClr val="1565C0"/>
                </a:solidFill>
                <a:prstDash val="solid"/>
              </a:ln>
            </spPr>
          </marker>
          <xVal>
            <numRef>
              <f>'6 Datos de gráficos'!$H$6:$H$7</f>
            </numRef>
          </xVal>
          <yVal>
            <numRef>
              <f>'6 Datos de gráficos'!$G$6:$G$7</f>
            </numRef>
          </yVal>
          <smooth val="0"/>
        </ser>
        <ser>
          <idx val="4"/>
          <order val="4"/>
          <tx>
            <v>6.1d · motor real con 1500 s (n = 3)</v>
          </tx>
          <spPr>
            <a:ln>
              <a:noFill/>
              <a:prstDash val="solid"/>
            </a:ln>
          </spPr>
          <marker>
            <symbol val="circle"/>
            <size val="8"/>
            <spPr>
              <a:solidFill>
                <a:srgbClr val="2E7D32"/>
              </a:solidFill>
              <a:ln>
                <a:solidFill>
                  <a:srgbClr val="2E7D32"/>
                </a:solidFill>
                <a:prstDash val="solid"/>
              </a:ln>
            </spPr>
          </marker>
          <xVal>
            <numRef>
              <f>'6 Datos de gráficos'!$J$6:$J$8</f>
            </numRef>
          </xVal>
          <yVal>
            <numRef>
              <f>'6 Datos de gráficos'!$I$6:$I$8</f>
            </numRef>
          </yVal>
          <smooth val="0"/>
        </ser>
        <axId val="10"/>
        <axId val="20"/>
      </scatterChart>
      <valAx>
        <axId val="10"/>
        <scaling>
          <orientation val="minMax"/>
          <max val="17"/>
          <min val="0"/>
        </scaling>
        <delete val="0"/>
        <axPos val="l"/>
        <majorGridlines/>
        <title>
          <tx>
            <rich>
              <a:bodyPr/>
              <a:p>
                <a:pPr>
                  <a:defRPr sz="900" b="0"/>
                </a:pPr>
                <a:r>
                  <a:rPr sz="900" b="0"/>
                  <a:t>η con teqp [%]</a:t>
                </a:r>
              </a:p>
            </rich>
          </tx>
          <overlay val="0"/>
        </title>
        <majorTickMark val="none"/>
        <minorTickMark val="none"/>
        <tickLblPos val="low"/>
        <txPr>
          <a:bodyPr/>
          <a:p>
            <a:pPr>
              <a:defRPr sz="800" b="0"/>
            </a:pPr>
            <a:r>
              <a:t/>
            </a:r>
            <a:endParaRPr sz="800" b="0"/>
          </a:p>
        </txPr>
        <crossAx val="20"/>
        <crosses val="min"/>
        <majorUnit val="2"/>
      </valAx>
      <valAx>
        <axId val="20"/>
        <scaling>
          <orientation val="minMax"/>
          <max val="17"/>
          <min val="0"/>
        </scaling>
        <delete val="0"/>
        <axPos val="l"/>
        <majorGridlines/>
        <title>
          <tx>
            <rich>
              <a:bodyPr/>
              <a:p>
                <a:pPr>
                  <a:defRPr sz="900" b="0"/>
                </a:pPr>
                <a:r>
                  <a:rPr sz="900" b="0"/>
                  <a:t>η con el motor real [%]</a:t>
                </a:r>
              </a:p>
            </rich>
          </tx>
          <overlay val="0"/>
        </title>
        <majorTickMark val="none"/>
        <minorTickMark val="none"/>
        <tickLblPos val="low"/>
        <txPr>
          <a:bodyPr/>
          <a:p>
            <a:pPr>
              <a:defRPr sz="800" b="0"/>
            </a:pPr>
            <a:r>
              <a:t/>
            </a:r>
            <a:endParaRPr sz="800" b="0"/>
          </a:p>
        </txPr>
        <crossAx val="10"/>
        <crosses val="min"/>
        <majorUnit val="2"/>
      </valAx>
    </plotArea>
    <legend>
      <legendPos val="b"/>
      <overlay val="0"/>
      <txPr>
        <a:bodyPr/>
        <a:p>
          <a:pPr>
            <a:defRPr sz="800" b="0"/>
          </a:pPr>
          <a:r>
            <a:t/>
          </a:r>
          <a:endParaRPr sz="800" b="0"/>
        </a:p>
      </txPr>
    </legend>
    <plotVisOnly val="0"/>
    <dispBlanksAs val="gap"/>
  </chart>
</chartSpace>
</file>

<file path=xl/charts/chart116.xml><?xml version="1.0" encoding="utf-8"?>
<chartSpace xmlns:a="http://schemas.openxmlformats.org/drawingml/2006/main" xmlns="http://schemas.openxmlformats.org/drawingml/2006/chart">
  <style val="13"/>
  <chart>
    <title>
      <tx>
        <rich>
          <a:bodyPr/>
          <a:p>
            <a:pPr>
              <a:defRPr sz="1100" b="1"/>
            </a:pPr>
            <a:r>
              <a:rPr sz="1100" b="1"/>
              <a:t>Parte 4.1a (conserva sus temperaturas, T_fuente y T_sumidero): 4 KALINA de 119 evaluados, 2 confiables</a:t>
            </a:r>
          </a:p>
        </rich>
      </tx>
      <overlay val="0"/>
    </title>
    <plotArea>
      <scatterChart>
        <varyColors val="0"/>
        <ser>
          <idx val="0"/>
          <order val="0"/>
          <tx>
            <v>KALINA (n = 2)</v>
          </tx>
          <spPr>
            <a:ln>
              <a:noFill/>
              <a:prstDash val="solid"/>
            </a:ln>
          </spPr>
          <marker>
            <symbol val="circle"/>
            <size val="6"/>
            <spPr>
              <a:solidFill>
                <a:srgbClr val="2E7D32"/>
              </a:solidFill>
              <a:ln>
                <a:solidFill>
                  <a:srgbClr val="2E7D32"/>
                </a:solidFill>
                <a:prstDash val="solid"/>
              </a:ln>
            </spPr>
          </marker>
          <xVal>
            <numRef>
              <f>'4 Datos de gráficos'!$B$6:$B$7</f>
            </numRef>
          </xVal>
          <yVal>
            <numRef>
              <f>'4 Datos de gráficos'!$A$6:$A$7</f>
            </numRef>
          </yVal>
        </ser>
        <ser>
          <idx val="1"/>
          <order val="1"/>
          <tx>
            <v>KALINA, fuera de rango (n = 2)</v>
          </tx>
          <spPr>
            <a:ln>
              <a:noFill/>
              <a:prstDash val="solid"/>
            </a:ln>
          </spPr>
          <marker>
            <symbol val="circle"/>
            <size val="6"/>
            <spPr>
              <a:noFill/>
              <a:ln>
                <a:solidFill>
                  <a:srgbClr val="2E7D32"/>
                </a:solidFill>
                <a:prstDash val="solid"/>
              </a:ln>
            </spPr>
          </marker>
          <xVal>
            <numRef>
              <f>'4 Datos de gráficos'!$D$6:$D$7</f>
            </numRef>
          </xVal>
          <yVal>
            <numRef>
              <f>'4 Datos de gráficos'!$C$6:$C$7</f>
            </numRef>
          </yVal>
        </ser>
        <ser>
          <idx val="2"/>
          <order val="2"/>
          <tx>
            <v>Corregible (n = 5)</v>
          </tx>
          <spPr>
            <a:ln>
              <a:noFill/>
              <a:prstDash val="solid"/>
            </a:ln>
          </spPr>
          <marker>
            <symbol val="triangle"/>
            <size val="6"/>
            <spPr>
              <a:solidFill>
                <a:srgbClr val="EF8A17"/>
              </a:solidFill>
              <a:ln>
                <a:solidFill>
                  <a:srgbClr val="EF8A17"/>
                </a:solidFill>
                <a:prstDash val="solid"/>
              </a:ln>
            </spPr>
          </marker>
          <xVal>
            <numRef>
              <f>'4 Datos de gráficos'!$F$6:$F$10</f>
            </numRef>
          </xVal>
          <yVal>
            <numRef>
              <f>'4 Datos de gráficos'!$E$6:$E$10</f>
            </numRef>
          </yVal>
        </ser>
        <ser>
          <idx val="3"/>
          <order val="3"/>
          <tx>
            <v>Corregible, fuera de rango (n = 35)</v>
          </tx>
          <spPr>
            <a:ln>
              <a:noFill/>
              <a:prstDash val="solid"/>
            </a:ln>
          </spPr>
          <marker>
            <symbol val="triangle"/>
            <size val="6"/>
            <spPr>
              <a:noFill/>
              <a:ln>
                <a:solidFill>
                  <a:srgbClr val="EF8A17"/>
                </a:solidFill>
                <a:prstDash val="solid"/>
              </a:ln>
            </spPr>
          </marker>
          <xVal>
            <numRef>
              <f>'4 Datos de gráficos'!$H$6:$H$40</f>
            </numRef>
          </xVal>
          <yVal>
            <numRef>
              <f>'4 Datos de gráficos'!$G$6:$G$40</f>
            </numRef>
          </yVal>
        </ser>
        <ser>
          <idx val="4"/>
          <order val="4"/>
          <tx>
            <v>Inviable (n = 1)</v>
          </tx>
          <spPr>
            <a:ln>
              <a:noFill/>
              <a:prstDash val="solid"/>
            </a:ln>
          </spPr>
          <marker>
            <symbol val="square"/>
            <size val="6"/>
            <spPr>
              <a:solidFill>
                <a:srgbClr val="C9A227"/>
              </a:solidFill>
              <a:ln>
                <a:solidFill>
                  <a:srgbClr val="C9A227"/>
                </a:solidFill>
                <a:prstDash val="solid"/>
              </a:ln>
            </spPr>
          </marker>
          <xVal>
            <numRef>
              <f>'4 Datos de gráficos'!$J$6</f>
            </numRef>
          </xVal>
          <yVal>
            <numRef>
              <f>'4 Datos de gráficos'!$I$6</f>
            </numRef>
          </yVal>
        </ser>
        <ser>
          <idx val="5"/>
          <order val="5"/>
          <tx>
            <v>Inviable, fuera de rango (n = 14)</v>
          </tx>
          <spPr>
            <a:ln>
              <a:noFill/>
              <a:prstDash val="solid"/>
            </a:ln>
          </spPr>
          <marker>
            <symbol val="square"/>
            <size val="6"/>
            <spPr>
              <a:noFill/>
              <a:ln>
                <a:solidFill>
                  <a:srgbClr val="C9A227"/>
                </a:solidFill>
                <a:prstDash val="solid"/>
              </a:ln>
            </spPr>
          </marker>
          <xVal>
            <numRef>
              <f>'4 Datos de gráficos'!$L$6:$L$19</f>
            </numRef>
          </xVal>
          <yVal>
            <numRef>
              <f>'4 Datos de gráficos'!$K$6:$K$19</f>
            </numRef>
          </yVal>
        </ser>
        <ser>
          <idx val="6"/>
          <order val="6"/>
          <tx>
            <v>No convergió (n = 58)</v>
          </tx>
          <spPr>
            <a:ln>
              <a:noFill/>
              <a:prstDash val="solid"/>
            </a:ln>
          </spPr>
          <marker>
            <symbol val="x"/>
            <size val="7"/>
            <spPr>
              <a:noFill/>
              <a:ln>
                <a:solidFill>
                  <a:srgbClr val="C62828"/>
                </a:solidFill>
                <a:prstDash val="solid"/>
              </a:ln>
            </spPr>
          </marker>
          <xVal>
            <numRef>
              <f>'4 Datos de gráficos'!$N$6:$N$63</f>
            </numRef>
          </xVal>
          <yVal>
            <numRef>
              <f>'4 Datos de gráficos'!$M$6:$M$63</f>
            </numRef>
          </yVal>
        </ser>
        <ser>
          <idx val="7"/>
          <order val="7"/>
          <tx>
            <v>Falso convergido (n = 2)</v>
          </tx>
          <spPr>
            <a:ln>
              <a:noFill/>
              <a:prstDash val="solid"/>
            </a:ln>
          </spPr>
          <marker>
            <symbol val="x"/>
            <size val="7"/>
            <spPr>
              <a:noFill/>
              <a:ln>
                <a:solidFill>
                  <a:srgbClr val="9E9E9E"/>
                </a:solidFill>
                <a:prstDash val="solid"/>
              </a:ln>
            </spPr>
          </marker>
          <xVal>
            <numRef>
              <f>'4 Datos de gráficos'!$P$6:$P$7</f>
            </numRef>
          </xVal>
          <yVal>
            <numRef>
              <f>'4 Datos de gráficos'!$O$6:$O$7</f>
            </numRef>
          </yVal>
        </ser>
        <axId val="10"/>
        <axId val="20"/>
      </scatterChart>
      <valAx>
        <axId val="10"/>
        <scaling>
          <orientation val="minMax"/>
          <max val="5000"/>
          <min val="2000"/>
        </scaling>
        <delete val="0"/>
        <axPos val="l"/>
        <majorGridlines/>
        <title>
          <tx>
            <rich>
              <a:bodyPr/>
              <a:p>
                <a:pPr>
                  <a:defRPr sz="900" b="0"/>
                </a:pPr>
                <a:r>
                  <a:rPr sz="900" b="0"/>
                  <a:t>Presión de alta, P_alta [kPa]</a:t>
                </a:r>
              </a:p>
            </rich>
          </tx>
          <overlay val="0"/>
        </title>
        <majorTickMark val="none"/>
        <minorTickMark val="none"/>
        <tickLblPos val="low"/>
        <txPr>
          <a:bodyPr/>
          <a:p>
            <a:pPr>
              <a:defRPr sz="800" b="0"/>
            </a:pPr>
            <a:r>
              <a:t/>
            </a:r>
            <a:endParaRPr sz="800" b="0"/>
          </a:p>
        </txPr>
        <crossAx val="20"/>
        <crosses val="min"/>
        <majorUnit val="500"/>
      </valAx>
      <valAx>
        <axId val="20"/>
        <scaling>
          <orientation val="minMax"/>
          <max val="2000"/>
          <min val="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10"/>
        <crosses val="min"/>
        <majorUnit val="500"/>
      </valAx>
    </plotArea>
    <legend>
      <legendPos val="b"/>
      <overlay val="0"/>
      <txPr>
        <a:bodyPr/>
        <a:p>
          <a:pPr>
            <a:defRPr sz="800" b="0"/>
          </a:pPr>
          <a:r>
            <a:t/>
          </a:r>
          <a:endParaRPr sz="800" b="0"/>
        </a:p>
      </txPr>
    </legend>
    <plotVisOnly val="0"/>
    <dispBlanksAs val="gap"/>
  </chart>
</chartSpace>
</file>

<file path=xl/charts/chart117.xml><?xml version="1.0" encoding="utf-8"?>
<chartSpace xmlns:a="http://schemas.openxmlformats.org/drawingml/2006/main" xmlns="http://schemas.openxmlformats.org/drawingml/2006/chart">
  <style val="13"/>
  <chart>
    <title>
      <tx>
        <rich>
          <a:bodyPr/>
          <a:p>
            <a:pPr>
              <a:defRPr sz="1100" b="1"/>
            </a:pPr>
            <a:r>
              <a:rPr sz="1100" b="1"/>
              <a:t>Parte 4.1b (conserva sus presiones, P_alta y P_baja): 0 KALINA de 120 evaluados, 0 confiables</a:t>
            </a:r>
          </a:p>
        </rich>
      </tx>
      <overlay val="0"/>
    </title>
    <plotArea>
      <scatterChart>
        <varyColors val="0"/>
        <ser>
          <idx val="0"/>
          <order val="0"/>
          <tx>
            <v>Corregible (n = 12)</v>
          </tx>
          <spPr>
            <a:ln>
              <a:noFill/>
              <a:prstDash val="solid"/>
            </a:ln>
          </spPr>
          <marker>
            <symbol val="triangle"/>
            <size val="6"/>
            <spPr>
              <a:solidFill>
                <a:srgbClr val="EF8A17"/>
              </a:solidFill>
              <a:ln>
                <a:solidFill>
                  <a:srgbClr val="EF8A17"/>
                </a:solidFill>
                <a:prstDash val="solid"/>
              </a:ln>
            </spPr>
          </marker>
          <xVal>
            <numRef>
              <f>'4 Datos de gráficos'!$S$6:$S$17</f>
            </numRef>
          </xVal>
          <yVal>
            <numRef>
              <f>'4 Datos de gráficos'!$R$6:$R$17</f>
            </numRef>
          </yVal>
        </ser>
        <ser>
          <idx val="1"/>
          <order val="1"/>
          <tx>
            <v>Corregible, fuera de rango (n = 45)</v>
          </tx>
          <spPr>
            <a:ln>
              <a:noFill/>
              <a:prstDash val="solid"/>
            </a:ln>
          </spPr>
          <marker>
            <symbol val="triangle"/>
            <size val="6"/>
            <spPr>
              <a:noFill/>
              <a:ln>
                <a:solidFill>
                  <a:srgbClr val="EF8A17"/>
                </a:solidFill>
                <a:prstDash val="solid"/>
              </a:ln>
            </spPr>
          </marker>
          <xVal>
            <numRef>
              <f>'4 Datos de gráficos'!$U$6:$U$50</f>
            </numRef>
          </xVal>
          <yVal>
            <numRef>
              <f>'4 Datos de gráficos'!$T$6:$T$50</f>
            </numRef>
          </yVal>
        </ser>
        <ser>
          <idx val="2"/>
          <order val="2"/>
          <tx>
            <v>Inviable (n = 19)</v>
          </tx>
          <spPr>
            <a:ln>
              <a:noFill/>
              <a:prstDash val="solid"/>
            </a:ln>
          </spPr>
          <marker>
            <symbol val="square"/>
            <size val="6"/>
            <spPr>
              <a:solidFill>
                <a:srgbClr val="C9A227"/>
              </a:solidFill>
              <a:ln>
                <a:solidFill>
                  <a:srgbClr val="C9A227"/>
                </a:solidFill>
                <a:prstDash val="solid"/>
              </a:ln>
            </spPr>
          </marker>
          <xVal>
            <numRef>
              <f>'4 Datos de gráficos'!$W$6:$W$24</f>
            </numRef>
          </xVal>
          <yVal>
            <numRef>
              <f>'4 Datos de gráficos'!$V$6:$V$24</f>
            </numRef>
          </yVal>
        </ser>
        <ser>
          <idx val="3"/>
          <order val="3"/>
          <tx>
            <v>Inviable, fuera de rango (n = 19)</v>
          </tx>
          <spPr>
            <a:ln>
              <a:noFill/>
              <a:prstDash val="solid"/>
            </a:ln>
          </spPr>
          <marker>
            <symbol val="square"/>
            <size val="6"/>
            <spPr>
              <a:noFill/>
              <a:ln>
                <a:solidFill>
                  <a:srgbClr val="C9A227"/>
                </a:solidFill>
                <a:prstDash val="solid"/>
              </a:ln>
            </spPr>
          </marker>
          <xVal>
            <numRef>
              <f>'4 Datos de gráficos'!$Y$6:$Y$24</f>
            </numRef>
          </xVal>
          <yVal>
            <numRef>
              <f>'4 Datos de gráficos'!$X$6:$X$24</f>
            </numRef>
          </yVal>
        </ser>
        <ser>
          <idx val="4"/>
          <order val="4"/>
          <tx>
            <v>No convergió (n = 23)</v>
          </tx>
          <spPr>
            <a:ln>
              <a:noFill/>
              <a:prstDash val="solid"/>
            </a:ln>
          </spPr>
          <marker>
            <symbol val="x"/>
            <size val="7"/>
            <spPr>
              <a:noFill/>
              <a:ln>
                <a:solidFill>
                  <a:srgbClr val="C62828"/>
                </a:solidFill>
                <a:prstDash val="solid"/>
              </a:ln>
            </spPr>
          </marker>
          <xVal>
            <numRef>
              <f>'4 Datos de gráficos'!$AA$6:$AA$28</f>
            </numRef>
          </xVal>
          <yVal>
            <numRef>
              <f>'4 Datos de gráficos'!$Z$6:$Z$28</f>
            </numRef>
          </yVal>
        </ser>
        <ser>
          <idx val="5"/>
          <order val="5"/>
          <tx>
            <v>Falso convergido (n = 2)</v>
          </tx>
          <spPr>
            <a:ln>
              <a:noFill/>
              <a:prstDash val="solid"/>
            </a:ln>
          </spPr>
          <marker>
            <symbol val="x"/>
            <size val="7"/>
            <spPr>
              <a:noFill/>
              <a:ln>
                <a:solidFill>
                  <a:srgbClr val="9E9E9E"/>
                </a:solidFill>
                <a:prstDash val="solid"/>
              </a:ln>
            </spPr>
          </marker>
          <xVal>
            <numRef>
              <f>'4 Datos de gráficos'!$AC$6:$AC$7</f>
            </numRef>
          </xVal>
          <yVal>
            <numRef>
              <f>'4 Datos de gráficos'!$AB$6:$AB$7</f>
            </numRef>
          </yVal>
        </ser>
        <axId val="10"/>
        <axId val="20"/>
      </scatterChart>
      <valAx>
        <axId val="10"/>
        <scaling>
          <orientation val="minMax"/>
          <max val="650"/>
          <min val="350"/>
        </scaling>
        <delete val="0"/>
        <axPos val="l"/>
        <majorGridlines/>
        <title>
          <tx>
            <rich>
              <a:bodyPr/>
              <a:p>
                <a:pPr>
                  <a:defRPr sz="900" b="0"/>
                </a:pPr>
                <a:r>
                  <a:rPr sz="900" b="0"/>
                  <a:t>Temperatura de la fuente, T_fuente [K]</a:t>
                </a:r>
              </a:p>
            </rich>
          </tx>
          <overlay val="0"/>
        </title>
        <majorTickMark val="none"/>
        <minorTickMark val="none"/>
        <tickLblPos val="low"/>
        <txPr>
          <a:bodyPr/>
          <a:p>
            <a:pPr>
              <a:defRPr sz="800" b="0"/>
            </a:pPr>
            <a:r>
              <a:t/>
            </a:r>
            <a:endParaRPr sz="800" b="0"/>
          </a:p>
        </txPr>
        <crossAx val="20"/>
        <crosses val="min"/>
        <majorUnit val="50"/>
      </valAx>
      <valAx>
        <axId val="20"/>
        <scaling>
          <orientation val="minMax"/>
          <max val="1"/>
          <min val="0.4"/>
        </scaling>
        <delete val="0"/>
        <axPos val="l"/>
        <majorGridlines/>
        <title>
          <tx>
            <rich>
              <a:bodyPr/>
              <a:p>
                <a:pPr>
                  <a:defRPr sz="900" b="0"/>
                </a:pPr>
                <a:r>
                  <a:rPr sz="900" b="0"/>
                  <a:t>Efectividad del condensador, ε_cond [–]</a:t>
                </a:r>
              </a:p>
            </rich>
          </tx>
          <overlay val="0"/>
        </title>
        <majorTickMark val="none"/>
        <minorTickMark val="none"/>
        <tickLblPos val="low"/>
        <txPr>
          <a:bodyPr/>
          <a:p>
            <a:pPr>
              <a:defRPr sz="800" b="0"/>
            </a:pPr>
            <a:r>
              <a:t/>
            </a:r>
            <a:endParaRPr sz="800" b="0"/>
          </a:p>
        </txPr>
        <crossAx val="10"/>
        <crosses val="min"/>
        <majorUnit val="0.1"/>
      </valAx>
    </plotArea>
    <legend>
      <legendPos val="b"/>
      <overlay val="0"/>
      <txPr>
        <a:bodyPr/>
        <a:p>
          <a:pPr>
            <a:defRPr sz="800" b="0"/>
          </a:pPr>
          <a:r>
            <a:t/>
          </a:r>
          <a:endParaRPr sz="800" b="0"/>
        </a:p>
      </txPr>
    </legend>
    <plotVisOnly val="0"/>
    <dispBlanksAs val="gap"/>
  </chart>
</chartSpace>
</file>

<file path=xl/charts/chart118.xml><?xml version="1.0" encoding="utf-8"?>
<chartSpace xmlns:a="http://schemas.openxmlformats.org/drawingml/2006/main" xmlns="http://schemas.openxmlformats.org/drawingml/2006/chart">
  <style val="13"/>
  <chart>
    <title>
      <tx>
        <rich>
          <a:bodyPr/>
          <a:p>
            <a:pPr>
              <a:defRPr sz="1100" b="1"/>
            </a:pPr>
            <a:r>
              <a:rPr sz="1100" b="1"/>
              <a:t>Parte 4.1c (conserva sus presiones y su clima): 0 KALINA de 120 evaluados, 0 confiables</a:t>
            </a:r>
          </a:p>
        </rich>
      </tx>
      <overlay val="0"/>
    </title>
    <plotArea>
      <scatterChart>
        <varyColors val="0"/>
        <ser>
          <idx val="0"/>
          <order val="0"/>
          <tx>
            <v>Corregible (n = 6)</v>
          </tx>
          <spPr>
            <a:ln>
              <a:noFill/>
              <a:prstDash val="solid"/>
            </a:ln>
          </spPr>
          <marker>
            <symbol val="triangle"/>
            <size val="6"/>
            <spPr>
              <a:solidFill>
                <a:srgbClr val="EF8A17"/>
              </a:solidFill>
              <a:ln>
                <a:solidFill>
                  <a:srgbClr val="EF8A17"/>
                </a:solidFill>
                <a:prstDash val="solid"/>
              </a:ln>
            </spPr>
          </marker>
          <xVal>
            <numRef>
              <f>'4 Datos de gráficos'!$AF$6:$AF$11</f>
            </numRef>
          </xVal>
          <yVal>
            <numRef>
              <f>'4 Datos de gráficos'!$AE$6:$AE$11</f>
            </numRef>
          </yVal>
        </ser>
        <ser>
          <idx val="1"/>
          <order val="1"/>
          <tx>
            <v>Corregible, fuera de rango (n = 23)</v>
          </tx>
          <spPr>
            <a:ln>
              <a:noFill/>
              <a:prstDash val="solid"/>
            </a:ln>
          </spPr>
          <marker>
            <symbol val="triangle"/>
            <size val="6"/>
            <spPr>
              <a:noFill/>
              <a:ln>
                <a:solidFill>
                  <a:srgbClr val="EF8A17"/>
                </a:solidFill>
                <a:prstDash val="solid"/>
              </a:ln>
            </spPr>
          </marker>
          <xVal>
            <numRef>
              <f>'4 Datos de gráficos'!$AH$6:$AH$28</f>
            </numRef>
          </xVal>
          <yVal>
            <numRef>
              <f>'4 Datos de gráficos'!$AG$6:$AG$28</f>
            </numRef>
          </yVal>
        </ser>
        <ser>
          <idx val="2"/>
          <order val="2"/>
          <tx>
            <v>Inviable (n = 20)</v>
          </tx>
          <spPr>
            <a:ln>
              <a:noFill/>
              <a:prstDash val="solid"/>
            </a:ln>
          </spPr>
          <marker>
            <symbol val="square"/>
            <size val="6"/>
            <spPr>
              <a:solidFill>
                <a:srgbClr val="C9A227"/>
              </a:solidFill>
              <a:ln>
                <a:solidFill>
                  <a:srgbClr val="C9A227"/>
                </a:solidFill>
                <a:prstDash val="solid"/>
              </a:ln>
            </spPr>
          </marker>
          <xVal>
            <numRef>
              <f>'4 Datos de gráficos'!$AJ$6:$AJ$25</f>
            </numRef>
          </xVal>
          <yVal>
            <numRef>
              <f>'4 Datos de gráficos'!$AI$6:$AI$25</f>
            </numRef>
          </yVal>
        </ser>
        <ser>
          <idx val="3"/>
          <order val="3"/>
          <tx>
            <v>Inviable, fuera de rango (n = 35)</v>
          </tx>
          <spPr>
            <a:ln>
              <a:noFill/>
              <a:prstDash val="solid"/>
            </a:ln>
          </spPr>
          <marker>
            <symbol val="square"/>
            <size val="6"/>
            <spPr>
              <a:noFill/>
              <a:ln>
                <a:solidFill>
                  <a:srgbClr val="C9A227"/>
                </a:solidFill>
                <a:prstDash val="solid"/>
              </a:ln>
            </spPr>
          </marker>
          <xVal>
            <numRef>
              <f>'4 Datos de gráficos'!$AL$6:$AL$40</f>
            </numRef>
          </xVal>
          <yVal>
            <numRef>
              <f>'4 Datos de gráficos'!$AK$6:$AK$40</f>
            </numRef>
          </yVal>
        </ser>
        <ser>
          <idx val="4"/>
          <order val="4"/>
          <tx>
            <v>No convergió (n = 30)</v>
          </tx>
          <spPr>
            <a:ln>
              <a:noFill/>
              <a:prstDash val="solid"/>
            </a:ln>
          </spPr>
          <marker>
            <symbol val="x"/>
            <size val="7"/>
            <spPr>
              <a:noFill/>
              <a:ln>
                <a:solidFill>
                  <a:srgbClr val="C62828"/>
                </a:solidFill>
                <a:prstDash val="solid"/>
              </a:ln>
            </spPr>
          </marker>
          <xVal>
            <numRef>
              <f>'4 Datos de gráficos'!$AN$6:$AN$35</f>
            </numRef>
          </xVal>
          <yVal>
            <numRef>
              <f>'4 Datos de gráficos'!$AM$6:$AM$35</f>
            </numRef>
          </yVal>
        </ser>
        <ser>
          <idx val="5"/>
          <order val="5"/>
          <tx>
            <v>Falso convergido (n = 6)</v>
          </tx>
          <spPr>
            <a:ln>
              <a:noFill/>
              <a:prstDash val="solid"/>
            </a:ln>
          </spPr>
          <marker>
            <symbol val="x"/>
            <size val="7"/>
            <spPr>
              <a:noFill/>
              <a:ln>
                <a:solidFill>
                  <a:srgbClr val="9E9E9E"/>
                </a:solidFill>
                <a:prstDash val="solid"/>
              </a:ln>
            </spPr>
          </marker>
          <xVal>
            <numRef>
              <f>'4 Datos de gráficos'!$AP$6:$AP$11</f>
            </numRef>
          </xVal>
          <yVal>
            <numRef>
              <f>'4 Datos de gráficos'!$AO$6:$AO$11</f>
            </numRef>
          </yVal>
        </ser>
        <axId val="10"/>
        <axId val="20"/>
      </scatterChart>
      <valAx>
        <axId val="10"/>
        <scaling>
          <orientation val="minMax"/>
          <max val="650"/>
          <min val="350"/>
        </scaling>
        <delete val="0"/>
        <axPos val="l"/>
        <majorGridlines/>
        <title>
          <tx>
            <rich>
              <a:bodyPr/>
              <a:p>
                <a:pPr>
                  <a:defRPr sz="900" b="0"/>
                </a:pPr>
                <a:r>
                  <a:rPr sz="900" b="0"/>
                  <a:t>Temperatura de la fuente, T_fuente [K]</a:t>
                </a:r>
              </a:p>
            </rich>
          </tx>
          <overlay val="0"/>
        </title>
        <majorTickMark val="none"/>
        <minorTickMark val="none"/>
        <tickLblPos val="low"/>
        <txPr>
          <a:bodyPr/>
          <a:p>
            <a:pPr>
              <a:defRPr sz="800" b="0"/>
            </a:pPr>
            <a:r>
              <a:t/>
            </a:r>
            <a:endParaRPr sz="800" b="0"/>
          </a:p>
        </txPr>
        <crossAx val="20"/>
        <crosses val="min"/>
        <majorUnit val="50"/>
      </valAx>
      <valAx>
        <axId val="20"/>
        <scaling>
          <orientation val="minMax"/>
          <max val="1"/>
          <min val="0.4"/>
        </scaling>
        <delete val="0"/>
        <axPos val="l"/>
        <majorGridlines/>
        <title>
          <tx>
            <rich>
              <a:bodyPr/>
              <a:p>
                <a:pPr>
                  <a:defRPr sz="900" b="0"/>
                </a:pPr>
                <a:r>
                  <a:rPr sz="900" b="0"/>
                  <a:t>Efectividad del condensador, ε_cond [–]</a:t>
                </a:r>
              </a:p>
            </rich>
          </tx>
          <overlay val="0"/>
        </title>
        <majorTickMark val="none"/>
        <minorTickMark val="none"/>
        <tickLblPos val="low"/>
        <txPr>
          <a:bodyPr/>
          <a:p>
            <a:pPr>
              <a:defRPr sz="800" b="0"/>
            </a:pPr>
            <a:r>
              <a:t/>
            </a:r>
            <a:endParaRPr sz="800" b="0"/>
          </a:p>
        </txPr>
        <crossAx val="10"/>
        <crosses val="min"/>
        <majorUnit val="0.1"/>
      </valAx>
    </plotArea>
    <legend>
      <legendPos val="b"/>
      <overlay val="0"/>
      <txPr>
        <a:bodyPr/>
        <a:p>
          <a:pPr>
            <a:defRPr sz="800" b="0"/>
          </a:pPr>
          <a:r>
            <a:t/>
          </a:r>
          <a:endParaRPr sz="800" b="0"/>
        </a:p>
      </txPr>
    </legend>
    <plotVisOnly val="0"/>
    <dispBlanksAs val="gap"/>
  </chart>
</chartSpace>
</file>

<file path=xl/charts/chart119.xml><?xml version="1.0" encoding="utf-8"?>
<chartSpace xmlns:a="http://schemas.openxmlformats.org/drawingml/2006/main" xmlns="http://schemas.openxmlformats.org/drawingml/2006/chart">
  <style val="13"/>
  <chart>
    <title>
      <tx>
        <rich>
          <a:bodyPr/>
          <a:p>
            <a:pPr>
              <a:defRPr sz="1100" b="1"/>
            </a:pPr>
            <a:r>
              <a:rPr sz="1100" b="1"/>
              <a:t>Parte 4.1d (conserva su P_alta y sus temperaturas): 6 KALINA de 120 evaluados, 0 confiables</a:t>
            </a:r>
          </a:p>
        </rich>
      </tx>
      <overlay val="0"/>
    </title>
    <plotArea>
      <scatterChart>
        <varyColors val="0"/>
        <ser>
          <idx val="0"/>
          <order val="0"/>
          <tx>
            <v>KALINA, fuera de rango (n = 6)</v>
          </tx>
          <spPr>
            <a:ln>
              <a:noFill/>
              <a:prstDash val="solid"/>
            </a:ln>
          </spPr>
          <marker>
            <symbol val="circle"/>
            <size val="6"/>
            <spPr>
              <a:noFill/>
              <a:ln>
                <a:solidFill>
                  <a:srgbClr val="2E7D32"/>
                </a:solidFill>
                <a:prstDash val="solid"/>
              </a:ln>
            </spPr>
          </marker>
          <xVal>
            <numRef>
              <f>'4 Datos de gráficos'!$AS$6:$AS$11</f>
            </numRef>
          </xVal>
          <yVal>
            <numRef>
              <f>'4 Datos de gráficos'!$AR$6:$AR$11</f>
            </numRef>
          </yVal>
        </ser>
        <ser>
          <idx val="1"/>
          <order val="1"/>
          <tx>
            <v>Corregible (n = 7)</v>
          </tx>
          <spPr>
            <a:ln>
              <a:noFill/>
              <a:prstDash val="solid"/>
            </a:ln>
          </spPr>
          <marker>
            <symbol val="triangle"/>
            <size val="6"/>
            <spPr>
              <a:solidFill>
                <a:srgbClr val="EF8A17"/>
              </a:solidFill>
              <a:ln>
                <a:solidFill>
                  <a:srgbClr val="EF8A17"/>
                </a:solidFill>
                <a:prstDash val="solid"/>
              </a:ln>
            </spPr>
          </marker>
          <xVal>
            <numRef>
              <f>'4 Datos de gráficos'!$AU$6:$AU$12</f>
            </numRef>
          </xVal>
          <yVal>
            <numRef>
              <f>'4 Datos de gráficos'!$AT$6:$AT$12</f>
            </numRef>
          </yVal>
        </ser>
        <ser>
          <idx val="2"/>
          <order val="2"/>
          <tx>
            <v>Corregible, fuera de rango (n = 31)</v>
          </tx>
          <spPr>
            <a:ln>
              <a:noFill/>
              <a:prstDash val="solid"/>
            </a:ln>
          </spPr>
          <marker>
            <symbol val="triangle"/>
            <size val="6"/>
            <spPr>
              <a:noFill/>
              <a:ln>
                <a:solidFill>
                  <a:srgbClr val="EF8A17"/>
                </a:solidFill>
                <a:prstDash val="solid"/>
              </a:ln>
            </spPr>
          </marker>
          <xVal>
            <numRef>
              <f>'4 Datos de gráficos'!$AW$6:$AW$36</f>
            </numRef>
          </xVal>
          <yVal>
            <numRef>
              <f>'4 Datos de gráficos'!$AV$6:$AV$36</f>
            </numRef>
          </yVal>
        </ser>
        <ser>
          <idx val="3"/>
          <order val="3"/>
          <tx>
            <v>Inviable, fuera de rango (n = 18)</v>
          </tx>
          <spPr>
            <a:ln>
              <a:noFill/>
              <a:prstDash val="solid"/>
            </a:ln>
          </spPr>
          <marker>
            <symbol val="square"/>
            <size val="6"/>
            <spPr>
              <a:noFill/>
              <a:ln>
                <a:solidFill>
                  <a:srgbClr val="C9A227"/>
                </a:solidFill>
                <a:prstDash val="solid"/>
              </a:ln>
            </spPr>
          </marker>
          <xVal>
            <numRef>
              <f>'4 Datos de gráficos'!$AY$6:$AY$23</f>
            </numRef>
          </xVal>
          <yVal>
            <numRef>
              <f>'4 Datos de gráficos'!$AX$6:$AX$23</f>
            </numRef>
          </yVal>
        </ser>
        <ser>
          <idx val="4"/>
          <order val="4"/>
          <tx>
            <v>No convergió (n = 56)</v>
          </tx>
          <spPr>
            <a:ln>
              <a:noFill/>
              <a:prstDash val="solid"/>
            </a:ln>
          </spPr>
          <marker>
            <symbol val="x"/>
            <size val="7"/>
            <spPr>
              <a:noFill/>
              <a:ln>
                <a:solidFill>
                  <a:srgbClr val="C62828"/>
                </a:solidFill>
                <a:prstDash val="solid"/>
              </a:ln>
            </spPr>
          </marker>
          <xVal>
            <numRef>
              <f>'4 Datos de gráficos'!$BA$6:$BA$61</f>
            </numRef>
          </xVal>
          <yVal>
            <numRef>
              <f>'4 Datos de gráficos'!$AZ$6:$AZ$61</f>
            </numRef>
          </yVal>
        </ser>
        <ser>
          <idx val="5"/>
          <order val="5"/>
          <tx>
            <v>Falso convergido (n = 2)</v>
          </tx>
          <spPr>
            <a:ln>
              <a:noFill/>
              <a:prstDash val="solid"/>
            </a:ln>
          </spPr>
          <marker>
            <symbol val="x"/>
            <size val="7"/>
            <spPr>
              <a:noFill/>
              <a:ln>
                <a:solidFill>
                  <a:srgbClr val="9E9E9E"/>
                </a:solidFill>
                <a:prstDash val="solid"/>
              </a:ln>
            </spPr>
          </marker>
          <xVal>
            <numRef>
              <f>'4 Datos de gráficos'!$BC$6:$BC$7</f>
            </numRef>
          </xVal>
          <yVal>
            <numRef>
              <f>'4 Datos de gráficos'!$BB$6:$BB$7</f>
            </numRef>
          </yVal>
        </ser>
        <axId val="10"/>
        <axId val="20"/>
      </scatterChart>
      <valAx>
        <axId val="10"/>
        <scaling>
          <orientation val="minMax"/>
          <max val="0.9"/>
          <min val="0.5"/>
        </scaling>
        <delete val="0"/>
        <axPos val="l"/>
        <majorGridlines/>
        <title>
          <tx>
            <rich>
              <a:bodyPr/>
              <a:p>
                <a:pPr>
                  <a:defRPr sz="900" b="0"/>
                </a:pPr>
                <a:r>
                  <a:rPr sz="900" b="0"/>
                  <a:t>Fracción de amoníaco de la mezcla base, x_b [–]</a:t>
                </a:r>
              </a:p>
            </rich>
          </tx>
          <overlay val="0"/>
        </title>
        <majorTickMark val="none"/>
        <minorTickMark val="none"/>
        <tickLblPos val="low"/>
        <txPr>
          <a:bodyPr/>
          <a:p>
            <a:pPr>
              <a:defRPr sz="800" b="0"/>
            </a:pPr>
            <a:r>
              <a:t/>
            </a:r>
            <a:endParaRPr sz="800" b="0"/>
          </a:p>
        </txPr>
        <crossAx val="20"/>
        <crosses val="min"/>
        <majorUnit val="0.1"/>
      </valAx>
      <valAx>
        <axId val="20"/>
        <scaling>
          <orientation val="minMax"/>
          <max val="2000"/>
          <min val="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10"/>
        <crosses val="min"/>
        <majorUnit val="500"/>
      </valAx>
    </plotArea>
    <legend>
      <legendPos val="b"/>
      <overlay val="0"/>
      <txPr>
        <a:bodyPr/>
        <a:p>
          <a:pPr>
            <a:defRPr sz="800" b="0"/>
          </a:pPr>
          <a:r>
            <a:t/>
          </a:r>
          <a:endParaRPr sz="800" b="0"/>
        </a:p>
      </txPr>
    </legend>
    <plotVisOnly val="0"/>
    <dispBlanksAs val="gap"/>
  </chart>
</chartSpace>
</file>

<file path=xl/charts/chart120.xml><?xml version="1.0" encoding="utf-8"?>
<chartSpace xmlns:a="http://schemas.openxmlformats.org/drawingml/2006/main" xmlns="http://schemas.openxmlformats.org/drawingml/2006/chart">
  <style val="13"/>
  <chart>
    <title>
      <tx>
        <rich>
          <a:bodyPr/>
          <a:p>
            <a:pPr>
              <a:defRPr sz="1100" b="1"/>
            </a:pPr>
            <a:r>
              <a:rPr sz="1100" b="1"/>
              <a:t>Parte 4.1e (conserva su fuente y su composición, T_fuente y x_b): 10 KALINA de 119 evaluados, 0 confiables</a:t>
            </a:r>
          </a:p>
        </rich>
      </tx>
      <overlay val="0"/>
    </title>
    <plotArea>
      <scatterChart>
        <varyColors val="0"/>
        <ser>
          <idx val="0"/>
          <order val="0"/>
          <tx>
            <v>KALINA, fuera de rango (n = 10)</v>
          </tx>
          <spPr>
            <a:ln>
              <a:noFill/>
              <a:prstDash val="solid"/>
            </a:ln>
          </spPr>
          <marker>
            <symbol val="circle"/>
            <size val="6"/>
            <spPr>
              <a:noFill/>
              <a:ln>
                <a:solidFill>
                  <a:srgbClr val="2E7D32"/>
                </a:solidFill>
                <a:prstDash val="solid"/>
              </a:ln>
            </spPr>
          </marker>
          <xVal>
            <numRef>
              <f>'4 Datos de gráficos'!$BF$6:$BF$15</f>
            </numRef>
          </xVal>
          <yVal>
            <numRef>
              <f>'4 Datos de gráficos'!$BE$6:$BE$15</f>
            </numRef>
          </yVal>
        </ser>
        <ser>
          <idx val="1"/>
          <order val="1"/>
          <tx>
            <v>Corregible, fuera de rango (n = 55)</v>
          </tx>
          <spPr>
            <a:ln>
              <a:noFill/>
              <a:prstDash val="solid"/>
            </a:ln>
          </spPr>
          <marker>
            <symbol val="triangle"/>
            <size val="6"/>
            <spPr>
              <a:noFill/>
              <a:ln>
                <a:solidFill>
                  <a:srgbClr val="EF8A17"/>
                </a:solidFill>
                <a:prstDash val="solid"/>
              </a:ln>
            </spPr>
          </marker>
          <xVal>
            <numRef>
              <f>'4 Datos de gráficos'!$BH$6:$BH$60</f>
            </numRef>
          </xVal>
          <yVal>
            <numRef>
              <f>'4 Datos de gráficos'!$BG$6:$BG$60</f>
            </numRef>
          </yVal>
        </ser>
        <ser>
          <idx val="2"/>
          <order val="2"/>
          <tx>
            <v>Inviable, fuera de rango (n = 17)</v>
          </tx>
          <spPr>
            <a:ln>
              <a:noFill/>
              <a:prstDash val="solid"/>
            </a:ln>
          </spPr>
          <marker>
            <symbol val="square"/>
            <size val="6"/>
            <spPr>
              <a:noFill/>
              <a:ln>
                <a:solidFill>
                  <a:srgbClr val="C9A227"/>
                </a:solidFill>
                <a:prstDash val="solid"/>
              </a:ln>
            </spPr>
          </marker>
          <xVal>
            <numRef>
              <f>'4 Datos de gráficos'!$BJ$6:$BJ$22</f>
            </numRef>
          </xVal>
          <yVal>
            <numRef>
              <f>'4 Datos de gráficos'!$BI$6:$BI$22</f>
            </numRef>
          </yVal>
        </ser>
        <ser>
          <idx val="3"/>
          <order val="3"/>
          <tx>
            <v>No convergió (n = 37)</v>
          </tx>
          <spPr>
            <a:ln>
              <a:noFill/>
              <a:prstDash val="solid"/>
            </a:ln>
          </spPr>
          <marker>
            <symbol val="x"/>
            <size val="7"/>
            <spPr>
              <a:noFill/>
              <a:ln>
                <a:solidFill>
                  <a:srgbClr val="C62828"/>
                </a:solidFill>
                <a:prstDash val="solid"/>
              </a:ln>
            </spPr>
          </marker>
          <xVal>
            <numRef>
              <f>'4 Datos de gráficos'!$BL$6:$BL$42</f>
            </numRef>
          </xVal>
          <yVal>
            <numRef>
              <f>'4 Datos de gráficos'!$BK$6:$BK$42</f>
            </numRef>
          </yVal>
        </ser>
        <axId val="10"/>
        <axId val="20"/>
      </scatterChart>
      <valAx>
        <axId val="10"/>
        <scaling>
          <orientation val="minMax"/>
          <max val="5000"/>
          <min val="2000"/>
        </scaling>
        <delete val="0"/>
        <axPos val="l"/>
        <majorGridlines/>
        <title>
          <tx>
            <rich>
              <a:bodyPr/>
              <a:p>
                <a:pPr>
                  <a:defRPr sz="900" b="0"/>
                </a:pPr>
                <a:r>
                  <a:rPr sz="900" b="0"/>
                  <a:t>Presión de alta, P_alta [kPa]</a:t>
                </a:r>
              </a:p>
            </rich>
          </tx>
          <overlay val="0"/>
        </title>
        <majorTickMark val="none"/>
        <minorTickMark val="none"/>
        <tickLblPos val="low"/>
        <txPr>
          <a:bodyPr/>
          <a:p>
            <a:pPr>
              <a:defRPr sz="800" b="0"/>
            </a:pPr>
            <a:r>
              <a:t/>
            </a:r>
            <a:endParaRPr sz="800" b="0"/>
          </a:p>
        </txPr>
        <crossAx val="20"/>
        <crosses val="min"/>
        <majorUnit val="500"/>
      </valAx>
      <valAx>
        <axId val="20"/>
        <scaling>
          <orientation val="minMax"/>
          <max val="2000"/>
          <min val="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10"/>
        <crosses val="min"/>
        <majorUnit val="500"/>
      </valAx>
    </plotArea>
    <legend>
      <legendPos val="b"/>
      <overlay val="0"/>
      <txPr>
        <a:bodyPr/>
        <a:p>
          <a:pPr>
            <a:defRPr sz="800" b="0"/>
          </a:pPr>
          <a:r>
            <a:t/>
          </a:r>
          <a:endParaRPr sz="800" b="0"/>
        </a:p>
      </txPr>
    </legend>
    <plotVisOnly val="0"/>
    <dispBlanksAs val="gap"/>
  </chart>
</chartSpace>
</file>

<file path=xl/charts/chart121.xml><?xml version="1.0" encoding="utf-8"?>
<chartSpace xmlns:a="http://schemas.openxmlformats.org/drawingml/2006/main" xmlns="http://schemas.openxmlformats.org/drawingml/2006/chart">
  <style val="13"/>
  <chart>
    <title>
      <tx>
        <rich>
          <a:bodyPr/>
          <a:p>
            <a:pPr>
              <a:defRPr sz="900" b="1"/>
            </a:pPr>
            <a:r>
              <a:rPr sz="900" b="1"/>
              <a:t>T_sumidero = piso de O2 = 278.15 K</a:t>
            </a:r>
          </a:p>
        </rich>
      </tx>
      <overlay val="0"/>
    </title>
    <plotArea>
      <scatterChart>
        <varyColors val="0"/>
        <ser>
          <idx val="0"/>
          <order val="0"/>
          <tx>
            <v>KALINA (n = 44)</v>
          </tx>
          <spPr>
            <a:ln>
              <a:noFill/>
              <a:prstDash val="solid"/>
            </a:ln>
          </spPr>
          <marker>
            <symbol val="circle"/>
            <size val="6"/>
            <spPr>
              <a:solidFill>
                <a:srgbClr val="2E7D32"/>
              </a:solidFill>
              <a:ln>
                <a:solidFill>
                  <a:srgbClr val="2E7D32"/>
                </a:solidFill>
                <a:prstDash val="solid"/>
              </a:ln>
            </spPr>
          </marker>
          <xVal>
            <numRef>
              <f>'4 Datos de gráficos'!$BO$6:$BO$49</f>
            </numRef>
          </xVal>
          <yVal>
            <numRef>
              <f>'4 Datos de gráficos'!$BN$6:$BN$49</f>
            </numRef>
          </yVal>
        </ser>
        <ser>
          <idx val="1"/>
          <order val="1"/>
          <tx>
            <v>Inviable (n = 5)</v>
          </tx>
          <spPr>
            <a:ln>
              <a:noFill/>
              <a:prstDash val="solid"/>
            </a:ln>
          </spPr>
          <marker>
            <symbol val="square"/>
            <size val="6"/>
            <spPr>
              <a:solidFill>
                <a:srgbClr val="C9A227"/>
              </a:solidFill>
              <a:ln>
                <a:solidFill>
                  <a:srgbClr val="C9A227"/>
                </a:solidFill>
                <a:prstDash val="solid"/>
              </a:ln>
            </spPr>
          </marker>
          <xVal>
            <numRef>
              <f>'4 Datos de gráficos'!$BQ$6:$BQ$10</f>
            </numRef>
          </xVal>
          <yVal>
            <numRef>
              <f>'4 Datos de gráficos'!$BP$6:$BP$10</f>
            </numRef>
          </yVal>
        </ser>
        <ser>
          <idx val="2"/>
          <order val="2"/>
          <tx>
            <v>No convergió (n = 1)</v>
          </tx>
          <spPr>
            <a:ln>
              <a:noFill/>
              <a:prstDash val="solid"/>
            </a:ln>
          </spPr>
          <marker>
            <symbol val="x"/>
            <size val="7"/>
            <spPr>
              <a:noFill/>
              <a:ln>
                <a:solidFill>
                  <a:srgbClr val="C62828"/>
                </a:solidFill>
                <a:prstDash val="solid"/>
              </a:ln>
            </spPr>
          </marker>
          <xVal>
            <numRef>
              <f>'4 Datos de gráficos'!$BS$6</f>
            </numRef>
          </xVal>
          <yVal>
            <numRef>
              <f>'4 Datos de gráficos'!$BR$6</f>
            </numRef>
          </yVal>
        </ser>
        <ser>
          <idx val="3"/>
          <order val="3"/>
          <tx>
            <v>Falso convergido (n = 5)</v>
          </tx>
          <spPr>
            <a:ln>
              <a:noFill/>
              <a:prstDash val="solid"/>
            </a:ln>
          </spPr>
          <marker>
            <symbol val="x"/>
            <size val="7"/>
            <spPr>
              <a:noFill/>
              <a:ln>
                <a:solidFill>
                  <a:srgbClr val="9E9E9E"/>
                </a:solidFill>
                <a:prstDash val="solid"/>
              </a:ln>
            </spPr>
          </marker>
          <xVal>
            <numRef>
              <f>'4 Datos de gráficos'!$BU$6:$BU$10</f>
            </numRef>
          </xVal>
          <yVal>
            <numRef>
              <f>'4 Datos de gráficos'!$BT$6:$BT$10</f>
            </numRef>
          </yVal>
        </ser>
        <axId val="10"/>
        <axId val="20"/>
      </scatterChart>
      <valAx>
        <axId val="10"/>
        <scaling>
          <orientation val="minMax"/>
          <max val="410"/>
          <min val="385"/>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0.96"/>
          <min val="0.8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10"/>
        <crosses val="min"/>
        <majorUnit val="0.02"/>
      </valAx>
    </plotArea>
    <legend>
      <legendPos val="b"/>
      <overlay val="0"/>
      <txPr>
        <a:bodyPr/>
        <a:p>
          <a:pPr>
            <a:defRPr sz="700" b="0"/>
          </a:pPr>
          <a:r>
            <a:t/>
          </a:r>
          <a:endParaRPr sz="700" b="0"/>
        </a:p>
      </txPr>
    </legend>
    <plotVisOnly val="0"/>
    <dispBlanksAs val="gap"/>
  </chart>
</chartSpace>
</file>

<file path=xl/charts/chart122.xml><?xml version="1.0" encoding="utf-8"?>
<chartSpace xmlns:a="http://schemas.openxmlformats.org/drawingml/2006/main" xmlns="http://schemas.openxmlformats.org/drawingml/2006/chart">
  <style val="13"/>
  <chart>
    <title>
      <tx>
        <rich>
          <a:bodyPr/>
          <a:p>
            <a:pPr>
              <a:defRPr sz="900" b="1"/>
            </a:pPr>
            <a:r>
              <a:rPr sz="900" b="1"/>
              <a:t>T_sumidero = piso de O2 = 290.65 K</a:t>
            </a:r>
          </a:p>
        </rich>
      </tx>
      <overlay val="0"/>
    </title>
    <plotArea>
      <scatterChart>
        <varyColors val="0"/>
        <ser>
          <idx val="0"/>
          <order val="0"/>
          <tx>
            <v>KALINA (n = 44)</v>
          </tx>
          <spPr>
            <a:ln>
              <a:noFill/>
              <a:prstDash val="solid"/>
            </a:ln>
          </spPr>
          <marker>
            <symbol val="circle"/>
            <size val="6"/>
            <spPr>
              <a:solidFill>
                <a:srgbClr val="2E7D32"/>
              </a:solidFill>
              <a:ln>
                <a:solidFill>
                  <a:srgbClr val="2E7D32"/>
                </a:solidFill>
                <a:prstDash val="solid"/>
              </a:ln>
            </spPr>
          </marker>
          <xVal>
            <numRef>
              <f>'4 Datos de gráficos'!$BW$6:$BW$49</f>
            </numRef>
          </xVal>
          <yVal>
            <numRef>
              <f>'4 Datos de gráficos'!$BV$6:$BV$49</f>
            </numRef>
          </yVal>
        </ser>
        <ser>
          <idx val="1"/>
          <order val="1"/>
          <tx>
            <v>Corregible (n = 1)</v>
          </tx>
          <spPr>
            <a:ln>
              <a:noFill/>
              <a:prstDash val="solid"/>
            </a:ln>
          </spPr>
          <marker>
            <symbol val="triangle"/>
            <size val="6"/>
            <spPr>
              <a:solidFill>
                <a:srgbClr val="EF8A17"/>
              </a:solidFill>
              <a:ln>
                <a:solidFill>
                  <a:srgbClr val="EF8A17"/>
                </a:solidFill>
                <a:prstDash val="solid"/>
              </a:ln>
            </spPr>
          </marker>
          <xVal>
            <numRef>
              <f>'4 Datos de gráficos'!$BY$6</f>
            </numRef>
          </xVal>
          <yVal>
            <numRef>
              <f>'4 Datos de gráficos'!$BX$6</f>
            </numRef>
          </yVal>
        </ser>
        <ser>
          <idx val="2"/>
          <order val="2"/>
          <tx>
            <v>Inviable (n = 5)</v>
          </tx>
          <spPr>
            <a:ln>
              <a:noFill/>
              <a:prstDash val="solid"/>
            </a:ln>
          </spPr>
          <marker>
            <symbol val="square"/>
            <size val="6"/>
            <spPr>
              <a:solidFill>
                <a:srgbClr val="C9A227"/>
              </a:solidFill>
              <a:ln>
                <a:solidFill>
                  <a:srgbClr val="C9A227"/>
                </a:solidFill>
                <a:prstDash val="solid"/>
              </a:ln>
            </spPr>
          </marker>
          <xVal>
            <numRef>
              <f>'4 Datos de gráficos'!$CA$6:$CA$10</f>
            </numRef>
          </xVal>
          <yVal>
            <numRef>
              <f>'4 Datos de gráficos'!$BZ$6:$BZ$10</f>
            </numRef>
          </yVal>
        </ser>
        <ser>
          <idx val="3"/>
          <order val="3"/>
          <tx>
            <v>Falso convergido (n = 5)</v>
          </tx>
          <spPr>
            <a:ln>
              <a:noFill/>
              <a:prstDash val="solid"/>
            </a:ln>
          </spPr>
          <marker>
            <symbol val="x"/>
            <size val="7"/>
            <spPr>
              <a:noFill/>
              <a:ln>
                <a:solidFill>
                  <a:srgbClr val="9E9E9E"/>
                </a:solidFill>
                <a:prstDash val="solid"/>
              </a:ln>
            </spPr>
          </marker>
          <xVal>
            <numRef>
              <f>'4 Datos de gráficos'!$CC$6:$CC$10</f>
            </numRef>
          </xVal>
          <yVal>
            <numRef>
              <f>'4 Datos de gráficos'!$CB$6:$CB$10</f>
            </numRef>
          </yVal>
        </ser>
        <axId val="10"/>
        <axId val="20"/>
      </scatterChart>
      <valAx>
        <axId val="10"/>
        <scaling>
          <orientation val="minMax"/>
          <max val="410"/>
          <min val="385"/>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0.96"/>
          <min val="0.8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10"/>
        <crosses val="min"/>
        <majorUnit val="0.02"/>
      </valAx>
    </plotArea>
    <legend>
      <legendPos val="b"/>
      <overlay val="0"/>
      <txPr>
        <a:bodyPr/>
        <a:p>
          <a:pPr>
            <a:defRPr sz="700" b="0"/>
          </a:pPr>
          <a:r>
            <a:t/>
          </a:r>
          <a:endParaRPr sz="700" b="0"/>
        </a:p>
      </txPr>
    </legend>
    <plotVisOnly val="0"/>
    <dispBlanksAs val="gap"/>
  </chart>
</chartSpace>
</file>

<file path=xl/charts/chart123.xml><?xml version="1.0" encoding="utf-8"?>
<chartSpace xmlns:a="http://schemas.openxmlformats.org/drawingml/2006/main" xmlns="http://schemas.openxmlformats.org/drawingml/2006/chart">
  <style val="13"/>
  <chart>
    <title>
      <tx>
        <rich>
          <a:bodyPr/>
          <a:p>
            <a:pPr>
              <a:defRPr sz="900" b="1"/>
            </a:pPr>
            <a:r>
              <a:rPr sz="900" b="1"/>
              <a:t>T_sumidero = piso de O2 = 300.03 K</a:t>
            </a:r>
          </a:p>
        </rich>
      </tx>
      <overlay val="0"/>
    </title>
    <plotArea>
      <scatterChart>
        <varyColors val="0"/>
        <ser>
          <idx val="0"/>
          <order val="0"/>
          <tx>
            <v>KALINA (n = 16)</v>
          </tx>
          <spPr>
            <a:ln>
              <a:noFill/>
              <a:prstDash val="solid"/>
            </a:ln>
          </spPr>
          <marker>
            <symbol val="circle"/>
            <size val="6"/>
            <spPr>
              <a:solidFill>
                <a:srgbClr val="2E7D32"/>
              </a:solidFill>
              <a:ln>
                <a:solidFill>
                  <a:srgbClr val="2E7D32"/>
                </a:solidFill>
                <a:prstDash val="solid"/>
              </a:ln>
            </spPr>
          </marker>
          <xVal>
            <numRef>
              <f>'4 Datos de gráficos'!$CE$6:$CE$21</f>
            </numRef>
          </xVal>
          <yVal>
            <numRef>
              <f>'4 Datos de gráficos'!$CD$6:$CD$21</f>
            </numRef>
          </yVal>
        </ser>
        <ser>
          <idx val="1"/>
          <order val="1"/>
          <tx>
            <v>Corregible (n = 29)</v>
          </tx>
          <spPr>
            <a:ln>
              <a:noFill/>
              <a:prstDash val="solid"/>
            </a:ln>
          </spPr>
          <marker>
            <symbol val="triangle"/>
            <size val="6"/>
            <spPr>
              <a:solidFill>
                <a:srgbClr val="EF8A17"/>
              </a:solidFill>
              <a:ln>
                <a:solidFill>
                  <a:srgbClr val="EF8A17"/>
                </a:solidFill>
                <a:prstDash val="solid"/>
              </a:ln>
            </spPr>
          </marker>
          <xVal>
            <numRef>
              <f>'4 Datos de gráficos'!$CG$6:$CG$34</f>
            </numRef>
          </xVal>
          <yVal>
            <numRef>
              <f>'4 Datos de gráficos'!$CF$6:$CF$34</f>
            </numRef>
          </yVal>
        </ser>
        <ser>
          <idx val="2"/>
          <order val="2"/>
          <tx>
            <v>Inviable (n = 5)</v>
          </tx>
          <spPr>
            <a:ln>
              <a:noFill/>
              <a:prstDash val="solid"/>
            </a:ln>
          </spPr>
          <marker>
            <symbol val="square"/>
            <size val="6"/>
            <spPr>
              <a:solidFill>
                <a:srgbClr val="C9A227"/>
              </a:solidFill>
              <a:ln>
                <a:solidFill>
                  <a:srgbClr val="C9A227"/>
                </a:solidFill>
                <a:prstDash val="solid"/>
              </a:ln>
            </spPr>
          </marker>
          <xVal>
            <numRef>
              <f>'4 Datos de gráficos'!$CI$6:$CI$10</f>
            </numRef>
          </xVal>
          <yVal>
            <numRef>
              <f>'4 Datos de gráficos'!$CH$6:$CH$10</f>
            </numRef>
          </yVal>
        </ser>
        <ser>
          <idx val="3"/>
          <order val="3"/>
          <tx>
            <v>Falso convergido (n = 5)</v>
          </tx>
          <spPr>
            <a:ln>
              <a:noFill/>
              <a:prstDash val="solid"/>
            </a:ln>
          </spPr>
          <marker>
            <symbol val="x"/>
            <size val="7"/>
            <spPr>
              <a:noFill/>
              <a:ln>
                <a:solidFill>
                  <a:srgbClr val="9E9E9E"/>
                </a:solidFill>
                <a:prstDash val="solid"/>
              </a:ln>
            </spPr>
          </marker>
          <xVal>
            <numRef>
              <f>'4 Datos de gráficos'!$CK$6:$CK$10</f>
            </numRef>
          </xVal>
          <yVal>
            <numRef>
              <f>'4 Datos de gráficos'!$CJ$6:$CJ$10</f>
            </numRef>
          </yVal>
        </ser>
        <axId val="10"/>
        <axId val="20"/>
      </scatterChart>
      <valAx>
        <axId val="10"/>
        <scaling>
          <orientation val="minMax"/>
          <max val="410"/>
          <min val="385"/>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0.96"/>
          <min val="0.84"/>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10"/>
        <crosses val="min"/>
        <majorUnit val="0.02"/>
      </valAx>
    </plotArea>
    <legend>
      <legendPos val="b"/>
      <overlay val="0"/>
      <txPr>
        <a:bodyPr/>
        <a:p>
          <a:pPr>
            <a:defRPr sz="700" b="0"/>
          </a:pPr>
          <a:r>
            <a:t/>
          </a:r>
          <a:endParaRPr sz="700" b="0"/>
        </a:p>
      </txPr>
    </legend>
    <plotVisOnly val="0"/>
    <dispBlanksAs val="gap"/>
  </chart>
</chartSpace>
</file>

<file path=xl/charts/chart124.xml><?xml version="1.0" encoding="utf-8"?>
<chartSpace xmlns:a="http://schemas.openxmlformats.org/drawingml/2006/main" xmlns="http://schemas.openxmlformats.org/drawingml/2006/chart">
  <style val="10"/>
  <chart>
    <title>
      <tx>
        <rich>
          <a:bodyPr/>
          <a:p>
            <a:pPr>
              <a:defRPr sz="1100" b="1"/>
            </a:pPr>
            <a:r>
              <a:rPr sz="1100" b="1"/>
              <a:t>Se conservan 8 de los 10 datos de diseño del profesor y sigue habiendo KALINA</a:t>
            </a:r>
          </a:p>
        </rich>
      </tx>
      <overlay val="0"/>
    </title>
    <plotArea>
      <barChart>
        <barDir val="col"/>
        <grouping val="clustered"/>
        <varyColors val="0"/>
        <ser>
          <idx val="0"/>
          <order val="0"/>
          <tx>
            <v>KALINA confiables</v>
          </tx>
          <spPr>
            <a:solidFill>
              <a:srgbClr val="2E7D32"/>
            </a:solidFill>
            <a:ln>
              <a:solidFill>
                <a:srgbClr val="2E7D32"/>
              </a:solidFill>
              <a:prstDash val="solid"/>
            </a:ln>
          </spPr>
          <invertIfNegative val="0"/>
          <dPt>
            <idx val="0"/>
            <invertIfNegative val="0"/>
            <spPr>
              <a:solidFill>
                <a:srgbClr val="81C784"/>
              </a:solidFill>
              <a:ln>
                <a:prstDash val="solid"/>
              </a:ln>
            </spPr>
          </dPt>
          <dPt>
            <idx val="1"/>
            <invertIfNegative val="0"/>
            <spPr>
              <a:solidFill>
                <a:srgbClr val="81C784"/>
              </a:solidFill>
              <a:ln>
                <a:prstDash val="solid"/>
              </a:ln>
            </spPr>
          </dPt>
          <dPt>
            <idx val="2"/>
            <invertIfNegative val="0"/>
            <spPr>
              <a:solidFill>
                <a:srgbClr val="81C784"/>
              </a:solidFill>
              <a:ln>
                <a:prstDash val="solid"/>
              </a:ln>
            </spPr>
          </dPt>
          <dPt>
            <idx val="3"/>
            <invertIfNegative val="0"/>
            <spPr>
              <a:solidFill>
                <a:srgbClr val="81C784"/>
              </a:solidFill>
              <a:ln>
                <a:prstDash val="solid"/>
              </a:ln>
            </spPr>
          </dPt>
          <dPt>
            <idx val="4"/>
            <invertIfNegative val="0"/>
            <spPr>
              <a:solidFill>
                <a:srgbClr val="81C784"/>
              </a:solidFill>
              <a:ln>
                <a:prstDash val="solid"/>
              </a:ln>
            </spPr>
          </dPt>
          <dPt>
            <idx val="5"/>
            <invertIfNegative val="0"/>
            <spPr>
              <a:solidFill>
                <a:srgbClr val="1B5E20"/>
              </a:solidFill>
              <a:ln>
                <a:prstDash val="solid"/>
              </a:ln>
            </spPr>
          </dPt>
          <dPt>
            <idx val="6"/>
            <invertIfNegative val="0"/>
            <spPr>
              <a:solidFill>
                <a:srgbClr val="81C784"/>
              </a:solidFill>
              <a:ln>
                <a:prstDash val="solid"/>
              </a:ln>
            </spPr>
          </dPt>
          <dPt>
            <idx val="7"/>
            <invertIfNegative val="0"/>
            <spPr>
              <a:solidFill>
                <a:srgbClr val="81C784"/>
              </a:solidFill>
              <a:ln>
                <a:prstDash val="solid"/>
              </a:ln>
            </spPr>
          </dPt>
          <dPt>
            <idx val="8"/>
            <invertIfNegative val="0"/>
            <spPr>
              <a:solidFill>
                <a:srgbClr val="1B5E20"/>
              </a:solidFill>
              <a:ln>
                <a:prstDash val="solid"/>
              </a:ln>
            </spPr>
          </dPt>
          <dPt>
            <idx val="9"/>
            <invertIfNegative val="0"/>
            <spPr>
              <a:solidFill>
                <a:srgbClr val="81C784"/>
              </a:solidFill>
              <a:ln>
                <a:prstDash val="solid"/>
              </a:ln>
            </spPr>
          </dPt>
          <dPt>
            <idx val="10"/>
            <invertIfNegative val="0"/>
            <spPr>
              <a:solidFill>
                <a:srgbClr val="81C784"/>
              </a:solidFill>
              <a:ln>
                <a:prstDash val="solid"/>
              </a:ln>
            </spPr>
          </dPt>
          <dPt>
            <idx val="11"/>
            <invertIfNegative val="0"/>
            <spPr>
              <a:solidFill>
                <a:srgbClr val="81C784"/>
              </a:solidFill>
              <a:ln>
                <a:prstDash val="solid"/>
              </a:ln>
            </spPr>
          </dPt>
          <dPt>
            <idx val="12"/>
            <invertIfNegative val="0"/>
            <spPr>
              <a:solidFill>
                <a:srgbClr val="1B5E20"/>
              </a:solidFill>
              <a:ln>
                <a:prstDash val="solid"/>
              </a:ln>
            </spPr>
          </dPt>
          <dPt>
            <idx val="13"/>
            <invertIfNegative val="0"/>
            <spPr>
              <a:solidFill>
                <a:srgbClr val="81C784"/>
              </a:solidFill>
              <a:ln>
                <a:prstDash val="solid"/>
              </a:ln>
            </spPr>
          </dPt>
          <dPt>
            <idx val="14"/>
            <invertIfNegative val="0"/>
            <spPr>
              <a:solidFill>
                <a:srgbClr val="81C784"/>
              </a:solidFill>
              <a:ln>
                <a:prstDash val="solid"/>
              </a:ln>
            </spPr>
          </dPt>
          <dPt>
            <idx val="15"/>
            <invertIfNegative val="0"/>
            <spPr>
              <a:solidFill>
                <a:srgbClr val="81C784"/>
              </a:solidFill>
              <a:ln>
                <a:prstDash val="solid"/>
              </a:ln>
            </spPr>
          </dPt>
          <dPt>
            <idx val="16"/>
            <invertIfNegative val="0"/>
            <spPr>
              <a:solidFill>
                <a:srgbClr val="1B5E20"/>
              </a:solidFill>
              <a:ln>
                <a:prstDash val="solid"/>
              </a:ln>
            </spPr>
          </dPt>
          <dPt>
            <idx val="17"/>
            <invertIfNegative val="0"/>
            <spPr>
              <a:solidFill>
                <a:srgbClr val="81C784"/>
              </a:solidFill>
              <a:ln>
                <a:prstDash val="solid"/>
              </a:ln>
            </spPr>
          </dPt>
          <cat>
            <numRef>
              <f>'4 Datos de gráficos'!$CM$6:$CM$23</f>
            </numRef>
          </cat>
          <val>
            <numRef>
              <f>'4 Datos de gráficos'!$CN$6:$CN$23</f>
            </numRef>
          </val>
        </ser>
        <gapWidth val="150"/>
        <axId val="10"/>
        <axId val="100"/>
      </barChart>
      <catAx>
        <axId val="10"/>
        <scaling>
          <orientation val="minMax"/>
        </scaling>
        <delete val="0"/>
        <axPos val="l"/>
        <title>
          <tx>
            <rich>
              <a:bodyPr/>
              <a:p>
                <a:pPr>
                  <a:defRPr sz="900" b="0"/>
                </a:pPr>
                <a:r>
                  <a:rPr sz="900" b="0"/>
                  <a:t>Conjunto conservado (R = ronda)</a:t>
                </a:r>
              </a:p>
            </rich>
          </tx>
          <overlay val="0"/>
        </title>
        <majorTickMark val="none"/>
        <minorTickMark val="none"/>
        <tickLblPos val="low"/>
        <txPr>
          <a:bodyPr/>
          <a:p>
            <a:pPr>
              <a:defRPr sz="800" b="0"/>
            </a:pPr>
            <a:r>
              <a:t/>
            </a:r>
            <a:endParaRPr sz="800" b="0"/>
          </a:p>
        </txPr>
        <crossAx val="100"/>
        <crosses val="autoZero"/>
        <lblOffset val="100"/>
      </catAx>
      <valAx>
        <axId val="100"/>
        <scaling>
          <orientation val="minMax"/>
        </scaling>
        <delete val="0"/>
        <axPos val="l"/>
        <majorGridlines/>
        <title>
          <tx>
            <rich>
              <a:bodyPr/>
              <a:p>
                <a:pPr>
                  <a:defRPr sz="900" b="0"/>
                </a:pPr>
                <a:r>
                  <a:rPr sz="900" b="0"/>
                  <a:t>KALINA confiables</a:t>
                </a:r>
              </a:p>
            </rich>
          </tx>
          <overlay val="0"/>
        </title>
        <majorTickMark val="none"/>
        <minorTickMark val="none"/>
        <tickLblPos val="low"/>
        <txPr>
          <a:bodyPr/>
          <a:p>
            <a:pPr>
              <a:defRPr sz="800" b="0"/>
            </a:pPr>
            <a:r>
              <a:t/>
            </a:r>
            <a:endParaRPr sz="800" b="0"/>
          </a:p>
        </txPr>
        <crossAx val="10"/>
        <crosses val="autoZero"/>
      </valAx>
    </plotArea>
    <plotVisOnly val="0"/>
    <dispBlanksAs val="gap"/>
  </chart>
</chartSpace>
</file>

<file path=xl/charts/chart125.xml><?xml version="1.0" encoding="utf-8"?>
<chartSpace xmlns:a="http://schemas.openxmlformats.org/drawingml/2006/main" xmlns="http://schemas.openxmlformats.org/drawingml/2006/chart">
  <style val="13"/>
  <chart>
    <title>
      <tx>
        <rich>
          <a:bodyPr/>
          <a:p>
            <a:pPr>
              <a:defRPr sz="1100" b="1"/>
            </a:pPr>
            <a:r>
              <a:rPr sz="1100" b="1"/>
              <a:t>La búsqueda llega a η = 15.6 % dentro de la región KALINA (equipos a 0.95)</a:t>
            </a:r>
          </a:p>
        </rich>
      </tx>
      <overlay val="0"/>
    </title>
    <plotArea>
      <scatterChart>
        <varyColors val="0"/>
        <ser>
          <idx val="0"/>
          <order val="0"/>
          <tx>
            <v>evaluados y no aceptados (n = 509)</v>
          </tx>
          <spPr>
            <a:ln>
              <a:noFill/>
              <a:prstDash val="solid"/>
            </a:ln>
          </spPr>
          <marker>
            <symbol val="circle"/>
            <size val="4"/>
            <spPr>
              <a:solidFill>
                <a:srgbClr val="BDBDBD"/>
              </a:solidFill>
              <a:ln>
                <a:solidFill>
                  <a:srgbClr val="BDBDBD"/>
                </a:solidFill>
                <a:prstDash val="solid"/>
              </a:ln>
            </spPr>
          </marker>
          <xVal>
            <numRef>
              <f>'5 Datos de gráficos'!$L$6:$L$514</f>
            </numRef>
          </xVal>
          <yVal>
            <numRef>
              <f>'5 Datos de gráficos'!$K$6:$K$514</f>
            </numRef>
          </yVal>
          <smooth val="0"/>
        </ser>
        <ser>
          <idx val="1"/>
          <order val="1"/>
          <tx>
            <v>5.1a · libre (desde el mejor de 3.2): 15.0 % · último paso +0.45 pp</v>
          </tx>
          <spPr>
            <a:ln w="22000">
              <a:solidFill>
                <a:srgbClr val="1565C0"/>
              </a:solidFill>
              <a:prstDash val="solid"/>
            </a:ln>
          </spPr>
          <marker>
            <symbol val="circle"/>
            <size val="5"/>
            <spPr>
              <a:solidFill>
                <a:srgbClr val="1565C0"/>
              </a:solidFill>
              <a:ln>
                <a:solidFill>
                  <a:srgbClr val="1565C0"/>
                </a:solidFill>
                <a:prstDash val="solid"/>
              </a:ln>
            </spPr>
          </marker>
          <xVal>
            <numRef>
              <f>'5 Datos de gráficos'!$B$6:$B$12</f>
            </numRef>
          </xVal>
          <yVal>
            <numRef>
              <f>'5 Datos de gráficos'!$A$6:$A$12</f>
            </numRef>
          </yVal>
          <smooth val="0"/>
        </ser>
        <ser>
          <idx val="2"/>
          <order val="2"/>
          <tx>
            <v>5.1b · libre (desde el mejor de 2.4): 15.5 % · último paso +0.41 pp</v>
          </tx>
          <spPr>
            <a:ln w="22000">
              <a:solidFill>
                <a:srgbClr val="EF8A17"/>
              </a:solidFill>
              <a:prstDash val="solid"/>
            </a:ln>
          </spPr>
          <marker>
            <symbol val="circle"/>
            <size val="5"/>
            <spPr>
              <a:solidFill>
                <a:srgbClr val="EF8A17"/>
              </a:solidFill>
              <a:ln>
                <a:solidFill>
                  <a:srgbClr val="EF8A17"/>
                </a:solidFill>
                <a:prstDash val="solid"/>
              </a:ln>
            </spPr>
          </marker>
          <xVal>
            <numRef>
              <f>'5 Datos de gráficos'!$D$6:$D$12</f>
            </numRef>
          </xVal>
          <yVal>
            <numRef>
              <f>'5 Datos de gráficos'!$C$6:$C$12</f>
            </numRef>
          </yVal>
          <smooth val="0"/>
        </ser>
        <ser>
          <idx val="3"/>
          <order val="3"/>
          <tx>
            <v>5.1c · conserva sus temperaturas: 12.7 % · último paso +0.08 pp</v>
          </tx>
          <spPr>
            <a:ln w="22000">
              <a:solidFill>
                <a:srgbClr val="2E7D32"/>
              </a:solidFill>
              <a:prstDash val="solid"/>
            </a:ln>
          </spPr>
          <marker>
            <symbol val="circle"/>
            <size val="5"/>
            <spPr>
              <a:solidFill>
                <a:srgbClr val="2E7D32"/>
              </a:solidFill>
              <a:ln>
                <a:solidFill>
                  <a:srgbClr val="2E7D32"/>
                </a:solidFill>
                <a:prstDash val="solid"/>
              </a:ln>
            </spPr>
          </marker>
          <xVal>
            <numRef>
              <f>'5 Datos de gráficos'!$F$6:$F$13</f>
            </numRef>
          </xVal>
          <yVal>
            <numRef>
              <f>'5 Datos de gráficos'!$E$6:$E$13</f>
            </numRef>
          </yVal>
          <smooth val="0"/>
        </ser>
        <ser>
          <idx val="4"/>
          <order val="4"/>
          <tx>
            <v>5.1d · conserva sus presiones y su clima: 15.6 % · último paso +0.06 pp</v>
          </tx>
          <spPr>
            <a:ln w="22000">
              <a:solidFill>
                <a:srgbClr val="C62828"/>
              </a:solidFill>
              <a:prstDash val="solid"/>
            </a:ln>
          </spPr>
          <marker>
            <symbol val="circle"/>
            <size val="5"/>
            <spPr>
              <a:solidFill>
                <a:srgbClr val="C62828"/>
              </a:solidFill>
              <a:ln>
                <a:solidFill>
                  <a:srgbClr val="C62828"/>
                </a:solidFill>
                <a:prstDash val="solid"/>
              </a:ln>
            </spPr>
          </marker>
          <xVal>
            <numRef>
              <f>'5 Datos de gráficos'!$H$6:$H$16</f>
            </numRef>
          </xVal>
          <yVal>
            <numRef>
              <f>'5 Datos de gráficos'!$G$6:$G$16</f>
            </numRef>
          </yVal>
          <smooth val="0"/>
        </ser>
        <ser>
          <idx val="5"/>
          <order val="5"/>
          <tx>
            <v>5.1e · conserva su fuente y su x_b (fuera de rango): 11.1 % · último paso +0.18 pp</v>
          </tx>
          <spPr>
            <a:ln w="22000">
              <a:solidFill>
                <a:srgbClr val="7E57C2"/>
              </a:solidFill>
              <a:prstDash val="dash"/>
            </a:ln>
          </spPr>
          <marker>
            <symbol val="circle"/>
            <size val="5"/>
            <spPr>
              <a:solidFill>
                <a:srgbClr val="7E57C2"/>
              </a:solidFill>
              <a:ln>
                <a:solidFill>
                  <a:srgbClr val="7E57C2"/>
                </a:solidFill>
                <a:prstDash val="solid"/>
              </a:ln>
            </spPr>
          </marker>
          <xVal>
            <numRef>
              <f>'5 Datos de gráficos'!$J$6:$J$13</f>
            </numRef>
          </xVal>
          <yVal>
            <numRef>
              <f>'5 Datos de gráficos'!$I$6:$I$13</f>
            </numRef>
          </yVal>
          <smooth val="0"/>
        </ser>
        <axId val="10"/>
        <axId val="20"/>
      </scatterChart>
      <valAx>
        <axId val="10"/>
        <scaling>
          <orientation val="minMax"/>
          <max val="10"/>
          <min val="0"/>
        </scaling>
        <delete val="0"/>
        <axPos val="l"/>
        <majorGridlines/>
        <title>
          <tx>
            <rich>
              <a:bodyPr/>
              <a:p>
                <a:pPr>
                  <a:defRPr sz="900" b="0"/>
                </a:pPr>
                <a:r>
                  <a:rPr sz="900" b="0"/>
                  <a:t>Iteración de la búsqueda</a:t>
                </a:r>
              </a:p>
            </rich>
          </tx>
          <overlay val="0"/>
        </title>
        <majorTickMark val="none"/>
        <minorTickMark val="none"/>
        <tickLblPos val="low"/>
        <txPr>
          <a:bodyPr/>
          <a:p>
            <a:pPr>
              <a:defRPr sz="800" b="0"/>
            </a:pPr>
            <a:r>
              <a:t/>
            </a:r>
            <a:endParaRPr sz="800" b="0"/>
          </a:p>
        </txPr>
        <crossAx val="20"/>
        <crosses val="min"/>
        <majorUnit val="2"/>
      </valAx>
      <valAx>
        <axId val="20"/>
        <scaling>
          <orientation val="minMax"/>
          <max val="16"/>
          <min val="8"/>
        </scaling>
        <delete val="0"/>
        <axPos val="l"/>
        <majorGridlines/>
        <title>
          <tx>
            <rich>
              <a:bodyPr/>
              <a:p>
                <a:pPr>
                  <a:defRPr sz="900" b="0"/>
                </a:pPr>
                <a:r>
                  <a:rPr sz="900" b="0"/>
                  <a:t>Eficiencia térmica del ciclo, η [%]</a:t>
                </a:r>
              </a:p>
            </rich>
          </tx>
          <overlay val="0"/>
        </title>
        <majorTickMark val="none"/>
        <minorTickMark val="none"/>
        <tickLblPos val="low"/>
        <txPr>
          <a:bodyPr/>
          <a:p>
            <a:pPr>
              <a:defRPr sz="800" b="0"/>
            </a:pPr>
            <a:r>
              <a:t/>
            </a:r>
            <a:endParaRPr sz="800" b="0"/>
          </a:p>
        </txPr>
        <crossAx val="10"/>
        <crosses val="min"/>
        <majorUnit val="2"/>
      </valAx>
    </plotArea>
    <legend>
      <legendPos val="b"/>
      <overlay val="0"/>
      <txPr>
        <a:bodyPr/>
        <a:p>
          <a:pPr>
            <a:defRPr sz="800" b="0"/>
          </a:pPr>
          <a:r>
            <a:t/>
          </a:r>
          <a:endParaRPr sz="800" b="0"/>
        </a:p>
      </txPr>
    </legend>
    <plotVisOnly val="0"/>
    <dispBlanksAs val="gap"/>
  </chart>
</chartSpace>
</file>

<file path=xl/charts/chart126.xml><?xml version="1.0" encoding="utf-8"?>
<chartSpace xmlns:a="http://schemas.openxmlformats.org/drawingml/2006/main" xmlns="http://schemas.openxmlformats.org/drawingml/2006/chart">
  <style val="13"/>
  <chart>
    <title>
      <tx>
        <rich>
          <a:bodyPr/>
          <a:p>
            <a:pPr>
              <a:defRPr sz="1100" b="1"/>
            </a:pPr>
            <a:r>
              <a:rPr sz="1100" b="1"/>
              <a:t>La búsqueda llega a η = 15.6 % dentro de la región KALINA (equipos a 0.95)</a:t>
            </a:r>
          </a:p>
        </rich>
      </tx>
      <overlay val="0"/>
    </title>
    <plotArea>
      <scatterChart>
        <varyColors val="0"/>
        <ser>
          <idx val="0"/>
          <order val="0"/>
          <tx>
            <v>evaluados y no aceptados (n = 509)</v>
          </tx>
          <spPr>
            <a:ln>
              <a:noFill/>
              <a:prstDash val="solid"/>
            </a:ln>
          </spPr>
          <marker>
            <symbol val="circle"/>
            <size val="4"/>
            <spPr>
              <a:solidFill>
                <a:srgbClr val="BDBDBD"/>
              </a:solidFill>
              <a:ln>
                <a:solidFill>
                  <a:srgbClr val="BDBDBD"/>
                </a:solidFill>
                <a:prstDash val="solid"/>
              </a:ln>
            </spPr>
          </marker>
          <xVal>
            <numRef>
              <f>'5 Datos de gráficos'!$L$6:$L$514</f>
            </numRef>
          </xVal>
          <yVal>
            <numRef>
              <f>'5 Datos de gráficos'!$K$6:$K$514</f>
            </numRef>
          </yVal>
          <smooth val="0"/>
        </ser>
        <ser>
          <idx val="1"/>
          <order val="1"/>
          <tx>
            <v>5.1a · libre (desde el mejor de 3.2): 15.0 % · último paso +0.45 pp</v>
          </tx>
          <spPr>
            <a:ln w="22000">
              <a:solidFill>
                <a:srgbClr val="1565C0"/>
              </a:solidFill>
              <a:prstDash val="solid"/>
            </a:ln>
          </spPr>
          <marker>
            <symbol val="circle"/>
            <size val="5"/>
            <spPr>
              <a:solidFill>
                <a:srgbClr val="1565C0"/>
              </a:solidFill>
              <a:ln>
                <a:solidFill>
                  <a:srgbClr val="1565C0"/>
                </a:solidFill>
                <a:prstDash val="solid"/>
              </a:ln>
            </spPr>
          </marker>
          <xVal>
            <numRef>
              <f>'5 Datos de gráficos'!$B$6:$B$12</f>
            </numRef>
          </xVal>
          <yVal>
            <numRef>
              <f>'5 Datos de gráficos'!$A$6:$A$12</f>
            </numRef>
          </yVal>
          <smooth val="0"/>
        </ser>
        <ser>
          <idx val="2"/>
          <order val="2"/>
          <tx>
            <v>5.1b · libre (desde el mejor de 2.4): 15.5 % · último paso +0.41 pp</v>
          </tx>
          <spPr>
            <a:ln w="22000">
              <a:solidFill>
                <a:srgbClr val="EF8A17"/>
              </a:solidFill>
              <a:prstDash val="solid"/>
            </a:ln>
          </spPr>
          <marker>
            <symbol val="circle"/>
            <size val="5"/>
            <spPr>
              <a:solidFill>
                <a:srgbClr val="EF8A17"/>
              </a:solidFill>
              <a:ln>
                <a:solidFill>
                  <a:srgbClr val="EF8A17"/>
                </a:solidFill>
                <a:prstDash val="solid"/>
              </a:ln>
            </spPr>
          </marker>
          <xVal>
            <numRef>
              <f>'5 Datos de gráficos'!$D$6:$D$12</f>
            </numRef>
          </xVal>
          <yVal>
            <numRef>
              <f>'5 Datos de gráficos'!$C$6:$C$12</f>
            </numRef>
          </yVal>
          <smooth val="0"/>
        </ser>
        <ser>
          <idx val="3"/>
          <order val="3"/>
          <tx>
            <v>5.1c · conserva sus temperaturas: 12.7 % · último paso +0.08 pp</v>
          </tx>
          <spPr>
            <a:ln w="22000">
              <a:solidFill>
                <a:srgbClr val="2E7D32"/>
              </a:solidFill>
              <a:prstDash val="solid"/>
            </a:ln>
          </spPr>
          <marker>
            <symbol val="circle"/>
            <size val="5"/>
            <spPr>
              <a:solidFill>
                <a:srgbClr val="2E7D32"/>
              </a:solidFill>
              <a:ln>
                <a:solidFill>
                  <a:srgbClr val="2E7D32"/>
                </a:solidFill>
                <a:prstDash val="solid"/>
              </a:ln>
            </spPr>
          </marker>
          <xVal>
            <numRef>
              <f>'5 Datos de gráficos'!$F$6:$F$13</f>
            </numRef>
          </xVal>
          <yVal>
            <numRef>
              <f>'5 Datos de gráficos'!$E$6:$E$13</f>
            </numRef>
          </yVal>
          <smooth val="0"/>
        </ser>
        <ser>
          <idx val="4"/>
          <order val="4"/>
          <tx>
            <v>5.1d · conserva sus presiones y su clima: 15.6 % · último paso +0.06 pp</v>
          </tx>
          <spPr>
            <a:ln w="22000">
              <a:solidFill>
                <a:srgbClr val="C62828"/>
              </a:solidFill>
              <a:prstDash val="solid"/>
            </a:ln>
          </spPr>
          <marker>
            <symbol val="circle"/>
            <size val="5"/>
            <spPr>
              <a:solidFill>
                <a:srgbClr val="C62828"/>
              </a:solidFill>
              <a:ln>
                <a:solidFill>
                  <a:srgbClr val="C62828"/>
                </a:solidFill>
                <a:prstDash val="solid"/>
              </a:ln>
            </spPr>
          </marker>
          <xVal>
            <numRef>
              <f>'5 Datos de gráficos'!$H$6:$H$16</f>
            </numRef>
          </xVal>
          <yVal>
            <numRef>
              <f>'5 Datos de gráficos'!$G$6:$G$16</f>
            </numRef>
          </yVal>
          <smooth val="0"/>
        </ser>
        <ser>
          <idx val="5"/>
          <order val="5"/>
          <tx>
            <v>5.1e · conserva su fuente y su x_b (fuera de rango): 11.1 % · último paso +0.18 pp</v>
          </tx>
          <spPr>
            <a:ln w="22000">
              <a:solidFill>
                <a:srgbClr val="7E57C2"/>
              </a:solidFill>
              <a:prstDash val="dash"/>
            </a:ln>
          </spPr>
          <marker>
            <symbol val="circle"/>
            <size val="5"/>
            <spPr>
              <a:solidFill>
                <a:srgbClr val="7E57C2"/>
              </a:solidFill>
              <a:ln>
                <a:solidFill>
                  <a:srgbClr val="7E57C2"/>
                </a:solidFill>
                <a:prstDash val="solid"/>
              </a:ln>
            </spPr>
          </marker>
          <xVal>
            <numRef>
              <f>'5 Datos de gráficos'!$J$6:$J$13</f>
            </numRef>
          </xVal>
          <yVal>
            <numRef>
              <f>'5 Datos de gráficos'!$I$6:$I$13</f>
            </numRef>
          </yVal>
          <smooth val="0"/>
        </ser>
        <axId val="10"/>
        <axId val="20"/>
      </scatterChart>
      <valAx>
        <axId val="10"/>
        <scaling>
          <orientation val="minMax"/>
          <max val="10"/>
          <min val="0"/>
        </scaling>
        <delete val="0"/>
        <axPos val="l"/>
        <majorGridlines/>
        <title>
          <tx>
            <rich>
              <a:bodyPr/>
              <a:p>
                <a:pPr>
                  <a:defRPr sz="900" b="0"/>
                </a:pPr>
                <a:r>
                  <a:rPr sz="900" b="0"/>
                  <a:t>Iteración de la búsqueda</a:t>
                </a:r>
              </a:p>
            </rich>
          </tx>
          <overlay val="0"/>
        </title>
        <majorTickMark val="none"/>
        <minorTickMark val="none"/>
        <tickLblPos val="low"/>
        <txPr>
          <a:bodyPr/>
          <a:p>
            <a:pPr>
              <a:defRPr sz="800" b="0"/>
            </a:pPr>
            <a:r>
              <a:t/>
            </a:r>
            <a:endParaRPr sz="800" b="0"/>
          </a:p>
        </txPr>
        <crossAx val="20"/>
        <crosses val="min"/>
        <majorUnit val="2"/>
      </valAx>
      <valAx>
        <axId val="20"/>
        <scaling>
          <orientation val="minMax"/>
          <max val="16"/>
          <min val="8"/>
        </scaling>
        <delete val="0"/>
        <axPos val="l"/>
        <majorGridlines/>
        <title>
          <tx>
            <rich>
              <a:bodyPr/>
              <a:p>
                <a:pPr>
                  <a:defRPr sz="900" b="0"/>
                </a:pPr>
                <a:r>
                  <a:rPr sz="900" b="0"/>
                  <a:t>Eficiencia térmica del ciclo, η [%]</a:t>
                </a:r>
              </a:p>
            </rich>
          </tx>
          <overlay val="0"/>
        </title>
        <majorTickMark val="none"/>
        <minorTickMark val="none"/>
        <tickLblPos val="low"/>
        <txPr>
          <a:bodyPr/>
          <a:p>
            <a:pPr>
              <a:defRPr sz="800" b="0"/>
            </a:pPr>
            <a:r>
              <a:t/>
            </a:r>
            <a:endParaRPr sz="800" b="0"/>
          </a:p>
        </txPr>
        <crossAx val="10"/>
        <crosses val="min"/>
        <majorUnit val="2"/>
      </valAx>
    </plotArea>
    <legend>
      <legendPos val="b"/>
      <overlay val="0"/>
      <txPr>
        <a:bodyPr/>
        <a:p>
          <a:pPr>
            <a:defRPr sz="800" b="0"/>
          </a:pPr>
          <a:r>
            <a:t/>
          </a:r>
          <a:endParaRPr sz="800" b="0"/>
        </a:p>
      </txPr>
    </legend>
    <plotVisOnly val="0"/>
    <dispBlanksAs val="gap"/>
  </chart>
</chartSpace>
</file>

<file path=xl/charts/chart127.xml><?xml version="1.0" encoding="utf-8"?>
<chartSpace xmlns:a="http://schemas.openxmlformats.org/drawingml/2006/main" xmlns="http://schemas.openxmlformats.org/drawingml/2006/chart">
  <style val="13"/>
  <chart>
    <title>
      <tx>
        <rich>
          <a:bodyPr/>
          <a:p>
            <a:pPr>
              <a:defRPr sz="1100" b="1"/>
            </a:pPr>
            <a:r>
              <a:rPr sz="1100" b="1"/>
              <a:t>teqp y el motor real coinciden en los 5 puntos que el motor real resolvió</a:t>
            </a:r>
          </a:p>
        </rich>
      </tx>
      <overlay val="0"/>
    </title>
    <plotArea>
      <scatterChart>
        <varyColors val="0"/>
        <ser>
          <idx val="0"/>
          <order val="0"/>
          <tx>
            <v>1:1</v>
          </tx>
          <spPr>
            <a:ln w="22000">
              <a:solidFill>
                <a:srgbClr val="424242"/>
              </a:solidFill>
              <a:prstDash val="solid"/>
            </a:ln>
          </spPr>
          <marker>
            <symbol val="none"/>
            <size val="5"/>
            <spPr>
              <a:solidFill>
                <a:srgbClr val="424242"/>
              </a:solidFill>
              <a:ln>
                <a:solidFill>
                  <a:srgbClr val="424242"/>
                </a:solidFill>
                <a:prstDash val="solid"/>
              </a:ln>
            </spPr>
          </marker>
          <xVal>
            <numRef>
              <f>'6 Datos de gráficos'!$B$6:$B$7</f>
            </numRef>
          </xVal>
          <yVal>
            <numRef>
              <f>'6 Datos de gráficos'!$A$6:$A$7</f>
            </numRef>
          </yVal>
          <smooth val="0"/>
        </ser>
        <ser>
          <idx val="1"/>
          <order val="1"/>
          <tx>
            <v>+0.7 pp</v>
          </tx>
          <spPr>
            <a:ln w="22000">
              <a:solidFill>
                <a:srgbClr val="A5D6A7"/>
              </a:solidFill>
              <a:prstDash val="dash"/>
            </a:ln>
          </spPr>
          <marker>
            <symbol val="none"/>
            <size val="5"/>
            <spPr>
              <a:solidFill>
                <a:srgbClr val="A5D6A7"/>
              </a:solidFill>
              <a:ln>
                <a:solidFill>
                  <a:srgbClr val="A5D6A7"/>
                </a:solidFill>
                <a:prstDash val="solid"/>
              </a:ln>
            </spPr>
          </marker>
          <xVal>
            <numRef>
              <f>'6 Datos de gráficos'!$D$6:$D$7</f>
            </numRef>
          </xVal>
          <yVal>
            <numRef>
              <f>'6 Datos de gráficos'!$C$6:$C$7</f>
            </numRef>
          </yVal>
          <smooth val="0"/>
        </ser>
        <ser>
          <idx val="2"/>
          <order val="2"/>
          <tx>
            <v>−0.7 pp</v>
          </tx>
          <spPr>
            <a:ln w="22000">
              <a:solidFill>
                <a:srgbClr val="A5D6A7"/>
              </a:solidFill>
              <a:prstDash val="dash"/>
            </a:ln>
          </spPr>
          <marker>
            <symbol val="none"/>
            <size val="5"/>
            <spPr>
              <a:solidFill>
                <a:srgbClr val="A5D6A7"/>
              </a:solidFill>
              <a:ln>
                <a:solidFill>
                  <a:srgbClr val="A5D6A7"/>
                </a:solidFill>
                <a:prstDash val="solid"/>
              </a:ln>
            </spPr>
          </marker>
          <xVal>
            <numRef>
              <f>'6 Datos de gráficos'!$F$6:$F$7</f>
            </numRef>
          </xVal>
          <yVal>
            <numRef>
              <f>'6 Datos de gráficos'!$E$6:$E$7</f>
            </numRef>
          </yVal>
          <smooth val="0"/>
        </ser>
        <ser>
          <idx val="3"/>
          <order val="3"/>
          <tx>
            <v>6.1a · motor real con 300 s (n = 2)</v>
          </tx>
          <spPr>
            <a:ln>
              <a:noFill/>
              <a:prstDash val="solid"/>
            </a:ln>
          </spPr>
          <marker>
            <symbol val="circle"/>
            <size val="8"/>
            <spPr>
              <a:solidFill>
                <a:srgbClr val="1565C0"/>
              </a:solidFill>
              <a:ln>
                <a:solidFill>
                  <a:srgbClr val="1565C0"/>
                </a:solidFill>
                <a:prstDash val="solid"/>
              </a:ln>
            </spPr>
          </marker>
          <xVal>
            <numRef>
              <f>'6 Datos de gráficos'!$H$6:$H$7</f>
            </numRef>
          </xVal>
          <yVal>
            <numRef>
              <f>'6 Datos de gráficos'!$G$6:$G$7</f>
            </numRef>
          </yVal>
          <smooth val="0"/>
        </ser>
        <ser>
          <idx val="4"/>
          <order val="4"/>
          <tx>
            <v>6.1d · motor real con 1500 s (n = 3)</v>
          </tx>
          <spPr>
            <a:ln>
              <a:noFill/>
              <a:prstDash val="solid"/>
            </a:ln>
          </spPr>
          <marker>
            <symbol val="circle"/>
            <size val="8"/>
            <spPr>
              <a:solidFill>
                <a:srgbClr val="2E7D32"/>
              </a:solidFill>
              <a:ln>
                <a:solidFill>
                  <a:srgbClr val="2E7D32"/>
                </a:solidFill>
                <a:prstDash val="solid"/>
              </a:ln>
            </spPr>
          </marker>
          <xVal>
            <numRef>
              <f>'6 Datos de gráficos'!$J$6:$J$8</f>
            </numRef>
          </xVal>
          <yVal>
            <numRef>
              <f>'6 Datos de gráficos'!$I$6:$I$8</f>
            </numRef>
          </yVal>
          <smooth val="0"/>
        </ser>
        <axId val="10"/>
        <axId val="20"/>
      </scatterChart>
      <valAx>
        <axId val="10"/>
        <scaling>
          <orientation val="minMax"/>
          <max val="17"/>
          <min val="0"/>
        </scaling>
        <delete val="0"/>
        <axPos val="l"/>
        <majorGridlines/>
        <title>
          <tx>
            <rich>
              <a:bodyPr/>
              <a:p>
                <a:pPr>
                  <a:defRPr sz="900" b="0"/>
                </a:pPr>
                <a:r>
                  <a:rPr sz="900" b="0"/>
                  <a:t>η con teqp [%]</a:t>
                </a:r>
              </a:p>
            </rich>
          </tx>
          <overlay val="0"/>
        </title>
        <majorTickMark val="none"/>
        <minorTickMark val="none"/>
        <tickLblPos val="low"/>
        <txPr>
          <a:bodyPr/>
          <a:p>
            <a:pPr>
              <a:defRPr sz="800" b="0"/>
            </a:pPr>
            <a:r>
              <a:t/>
            </a:r>
            <a:endParaRPr sz="800" b="0"/>
          </a:p>
        </txPr>
        <crossAx val="20"/>
        <crosses val="min"/>
        <majorUnit val="2"/>
      </valAx>
      <valAx>
        <axId val="20"/>
        <scaling>
          <orientation val="minMax"/>
          <max val="17"/>
          <min val="0"/>
        </scaling>
        <delete val="0"/>
        <axPos val="l"/>
        <majorGridlines/>
        <title>
          <tx>
            <rich>
              <a:bodyPr/>
              <a:p>
                <a:pPr>
                  <a:defRPr sz="900" b="0"/>
                </a:pPr>
                <a:r>
                  <a:rPr sz="900" b="0"/>
                  <a:t>η con el motor real [%]</a:t>
                </a:r>
              </a:p>
            </rich>
          </tx>
          <overlay val="0"/>
        </title>
        <majorTickMark val="none"/>
        <minorTickMark val="none"/>
        <tickLblPos val="low"/>
        <txPr>
          <a:bodyPr/>
          <a:p>
            <a:pPr>
              <a:defRPr sz="800" b="0"/>
            </a:pPr>
            <a:r>
              <a:t/>
            </a:r>
            <a:endParaRPr sz="800" b="0"/>
          </a:p>
        </txPr>
        <crossAx val="10"/>
        <crosses val="min"/>
        <majorUnit val="2"/>
      </valAx>
    </plotArea>
    <legend>
      <legendPos val="b"/>
      <overlay val="0"/>
      <txPr>
        <a:bodyPr/>
        <a:p>
          <a:pPr>
            <a:defRPr sz="800" b="0"/>
          </a:pPr>
          <a:r>
            <a:t/>
          </a:r>
          <a:endParaRPr sz="800" b="0"/>
        </a:p>
      </txPr>
    </legend>
    <plotVisOnly val="0"/>
    <dispBlanksAs val="gap"/>
  </chart>
</chartSpace>
</file>

<file path=xl/charts/chart128.xml><?xml version="1.0" encoding="utf-8"?>
<chartSpace xmlns:a="http://schemas.openxmlformats.org/drawingml/2006/main" xmlns="http://schemas.openxmlformats.org/drawingml/2006/chart">
  <style val="13"/>
  <chart>
    <title>
      <tx>
        <rich>
          <a:bodyPr/>
          <a:p>
            <a:pPr>
              <a:defRPr sz="1100" b="1"/>
            </a:pPr>
            <a:r>
              <a:rPr sz="1100" b="1"/>
              <a:t>Húsavík: la P_baja mínima de KALINA sube con la fracción de amoníaco x_b</a:t>
            </a:r>
          </a:p>
        </rich>
      </tx>
      <overlay val="0"/>
    </title>
    <plotArea>
      <scatterChart>
        <varyColors val="0"/>
        <ser>
          <idx val="0"/>
          <order val="0"/>
          <tx>
            <v>KALINA (n = 70)</v>
          </tx>
          <spPr>
            <a:ln>
              <a:noFill/>
              <a:prstDash val="solid"/>
            </a:ln>
          </spPr>
          <marker>
            <symbol val="circle"/>
            <size val="6"/>
            <spPr>
              <a:solidFill>
                <a:srgbClr val="2E7D32"/>
              </a:solidFill>
              <a:ln>
                <a:solidFill>
                  <a:srgbClr val="2E7D32"/>
                </a:solidFill>
                <a:prstDash val="solid"/>
              </a:ln>
            </spPr>
          </marker>
          <xVal>
            <numRef>
              <f>'6 Datos de gráficos'!$M$6:$M$75</f>
            </numRef>
          </xVal>
          <yVal>
            <numRef>
              <f>'6 Datos de gráficos'!$L$6:$L$75</f>
            </numRef>
          </yVal>
        </ser>
        <ser>
          <idx val="1"/>
          <order val="1"/>
          <tx>
            <v>Corregible (n = 24)</v>
          </tx>
          <spPr>
            <a:ln>
              <a:noFill/>
              <a:prstDash val="solid"/>
            </a:ln>
          </spPr>
          <marker>
            <symbol val="triangle"/>
            <size val="6"/>
            <spPr>
              <a:solidFill>
                <a:srgbClr val="EF8A17"/>
              </a:solidFill>
              <a:ln>
                <a:solidFill>
                  <a:srgbClr val="EF8A17"/>
                </a:solidFill>
                <a:prstDash val="solid"/>
              </a:ln>
            </spPr>
          </marker>
          <xVal>
            <numRef>
              <f>'6 Datos de gráficos'!$O$6:$O$29</f>
            </numRef>
          </xVal>
          <yVal>
            <numRef>
              <f>'6 Datos de gráficos'!$N$6:$N$29</f>
            </numRef>
          </yVal>
        </ser>
        <ser>
          <idx val="2"/>
          <order val="2"/>
          <tx>
            <v>No convergió (n = 12)</v>
          </tx>
          <spPr>
            <a:ln>
              <a:noFill/>
              <a:prstDash val="solid"/>
            </a:ln>
          </spPr>
          <marker>
            <symbol val="x"/>
            <size val="7"/>
            <spPr>
              <a:noFill/>
              <a:ln>
                <a:solidFill>
                  <a:srgbClr val="C62828"/>
                </a:solidFill>
                <a:prstDash val="solid"/>
              </a:ln>
            </spPr>
          </marker>
          <xVal>
            <numRef>
              <f>'6 Datos de gráficos'!$Q$6:$Q$17</f>
            </numRef>
          </xVal>
          <yVal>
            <numRef>
              <f>'6 Datos de gráficos'!$P$6:$P$17</f>
            </numRef>
          </yVal>
        </ser>
        <ser>
          <idx val="3"/>
          <order val="3"/>
          <tx>
            <v>Falso convergido (n = 12)</v>
          </tx>
          <spPr>
            <a:ln>
              <a:noFill/>
              <a:prstDash val="solid"/>
            </a:ln>
          </spPr>
          <marker>
            <symbol val="x"/>
            <size val="7"/>
            <spPr>
              <a:noFill/>
              <a:ln>
                <a:solidFill>
                  <a:srgbClr val="9E9E9E"/>
                </a:solidFill>
                <a:prstDash val="solid"/>
              </a:ln>
            </spPr>
          </marker>
          <xVal>
            <numRef>
              <f>'6 Datos de gráficos'!$S$6:$S$17</f>
            </numRef>
          </xVal>
          <yVal>
            <numRef>
              <f>'6 Datos de gráficos'!$R$6:$R$17</f>
            </numRef>
          </yVal>
        </ser>
        <ser>
          <idx val="4"/>
          <order val="4"/>
          <tx>
            <v>P_baja mínima KALINA</v>
          </tx>
          <spPr>
            <a:ln w="22000">
              <a:solidFill>
                <a:srgbClr val="000000"/>
              </a:solidFill>
              <a:prstDash val="dash"/>
            </a:ln>
          </spPr>
          <marker>
            <symbol val="none"/>
            <size val="5"/>
            <spPr>
              <a:solidFill>
                <a:srgbClr val="000000"/>
              </a:solidFill>
              <a:ln>
                <a:solidFill>
                  <a:srgbClr val="000000"/>
                </a:solidFill>
                <a:prstDash val="solid"/>
              </a:ln>
            </spPr>
          </marker>
          <xVal>
            <numRef>
              <f>'6 Datos de gráficos'!$U$6:$U$17</f>
            </numRef>
          </xVal>
          <yVal>
            <numRef>
              <f>'6 Datos de gráficos'!$T$6:$T$17</f>
            </numRef>
          </yVal>
          <smooth val="0"/>
        </ser>
        <axId val="10"/>
        <axId val="20"/>
      </scatterChart>
      <valAx>
        <axId val="10"/>
        <scaling>
          <orientation val="minMax"/>
          <max val="1"/>
          <min val="0.2"/>
        </scaling>
        <delete val="0"/>
        <axPos val="l"/>
        <majorGridlines/>
        <title>
          <tx>
            <rich>
              <a:bodyPr/>
              <a:p>
                <a:pPr>
                  <a:defRPr sz="900" b="0"/>
                </a:pPr>
                <a:r>
                  <a:rPr sz="900" b="0"/>
                  <a:t>Fracción de amoníaco de la mezcla base, x_b [–]</a:t>
                </a:r>
              </a:p>
            </rich>
          </tx>
          <overlay val="0"/>
        </title>
        <majorTickMark val="none"/>
        <minorTickMark val="none"/>
        <tickLblPos val="low"/>
        <txPr>
          <a:bodyPr/>
          <a:p>
            <a:pPr>
              <a:defRPr sz="800" b="0"/>
            </a:pPr>
            <a:r>
              <a:t/>
            </a:r>
            <a:endParaRPr sz="800" b="0"/>
          </a:p>
        </txPr>
        <crossAx val="20"/>
        <crosses val="min"/>
        <majorUnit val="0.1"/>
      </valAx>
      <valAx>
        <axId val="20"/>
        <scaling>
          <orientation val="minMax"/>
          <max val="1200"/>
          <min val="20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10"/>
        <crosses val="min"/>
        <majorUnit val="200"/>
      </valAx>
    </plotArea>
    <legend>
      <legendPos val="b"/>
      <overlay val="0"/>
      <txPr>
        <a:bodyPr/>
        <a:p>
          <a:pPr>
            <a:defRPr sz="800" b="0"/>
          </a:pPr>
          <a:r>
            <a:t/>
          </a:r>
          <a:endParaRPr sz="800" b="0"/>
        </a:p>
      </txPr>
    </legend>
    <plotVisOnly val="0"/>
    <dispBlanksAs val="gap"/>
  </chart>
</chartSpace>
</file>

<file path=xl/charts/chart129.xml><?xml version="1.0" encoding="utf-8"?>
<chartSpace xmlns:a="http://schemas.openxmlformats.org/drawingml/2006/main" xmlns="http://schemas.openxmlformats.org/drawingml/2006/chart">
  <style val="13"/>
  <chart>
    <title>
      <tx>
        <rich>
          <a:bodyPr/>
          <a:p>
            <a:pPr>
              <a:defRPr sz="900" b="1"/>
            </a:pPr>
            <a:r>
              <a:rPr sz="900" b="1"/>
              <a:t>T_fuente</a:t>
            </a:r>
          </a:p>
        </rich>
      </tx>
      <overlay val="0"/>
    </title>
    <plotArea>
      <scatterChart>
        <varyColors val="0"/>
        <ser>
          <idx val="0"/>
          <order val="0"/>
          <tx>
            <v>KALINA (n = 7)</v>
          </tx>
          <spPr>
            <a:ln>
              <a:noFill/>
              <a:prstDash val="solid"/>
            </a:ln>
          </spPr>
          <marker>
            <symbol val="circle"/>
            <size val="6"/>
            <spPr>
              <a:solidFill>
                <a:srgbClr val="2E7D32"/>
              </a:solidFill>
              <a:ln>
                <a:solidFill>
                  <a:srgbClr val="2E7D32"/>
                </a:solidFill>
                <a:prstDash val="solid"/>
              </a:ln>
            </spPr>
          </marker>
          <xVal>
            <numRef>
              <f>'6 Datos de gráficos'!$X$6:$X$12</f>
            </numRef>
          </xVal>
          <yVal>
            <numRef>
              <f>'6 Datos de gráficos'!$W$6:$W$12</f>
            </numRef>
          </yVal>
        </ser>
        <ser>
          <idx val="1"/>
          <order val="1"/>
          <tx>
            <v>Corregible (n = 8)</v>
          </tx>
          <spPr>
            <a:ln>
              <a:noFill/>
              <a:prstDash val="solid"/>
            </a:ln>
          </spPr>
          <marker>
            <symbol val="triangle"/>
            <size val="6"/>
            <spPr>
              <a:solidFill>
                <a:srgbClr val="EF8A17"/>
              </a:solidFill>
              <a:ln>
                <a:solidFill>
                  <a:srgbClr val="EF8A17"/>
                </a:solidFill>
                <a:prstDash val="solid"/>
              </a:ln>
            </spPr>
          </marker>
          <xVal>
            <numRef>
              <f>'6 Datos de gráficos'!$Z$6:$Z$13</f>
            </numRef>
          </xVal>
          <yVal>
            <numRef>
              <f>'6 Datos de gráficos'!$Y$6:$Y$13</f>
            </numRef>
          </yVal>
        </ser>
        <axId val="10"/>
        <axId val="20"/>
      </scatterChart>
      <valAx>
        <axId val="10"/>
        <scaling>
          <orientation val="minMax"/>
          <max val="430"/>
          <min val="380"/>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10"/>
      </valAx>
      <valAx>
        <axId val="20"/>
        <scaling>
          <orientation val="minMax"/>
          <max val="13.5"/>
          <min val="12"/>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25"/>
      </valAx>
    </plotArea>
    <legend>
      <legendPos val="b"/>
      <overlay val="0"/>
      <txPr>
        <a:bodyPr/>
        <a:p>
          <a:pPr>
            <a:defRPr sz="700" b="0"/>
          </a:pPr>
          <a:r>
            <a:t/>
          </a:r>
          <a:endParaRPr sz="700" b="0"/>
        </a:p>
      </txPr>
    </legend>
    <plotVisOnly val="0"/>
    <dispBlanksAs val="gap"/>
  </chart>
</chartSpace>
</file>

<file path=xl/charts/chart130.xml><?xml version="1.0" encoding="utf-8"?>
<chartSpace xmlns:a="http://schemas.openxmlformats.org/drawingml/2006/main" xmlns="http://schemas.openxmlformats.org/drawingml/2006/chart">
  <style val="13"/>
  <chart>
    <title>
      <tx>
        <rich>
          <a:bodyPr/>
          <a:p>
            <a:pPr>
              <a:defRPr sz="900" b="1"/>
            </a:pPr>
            <a:r>
              <a:rPr sz="900" b="1"/>
              <a:t>T_sumidero</a:t>
            </a:r>
          </a:p>
        </rich>
      </tx>
      <overlay val="0"/>
    </title>
    <plotArea>
      <scatterChart>
        <varyColors val="0"/>
        <ser>
          <idx val="0"/>
          <order val="0"/>
          <tx>
            <v>KALINA (n = 8)</v>
          </tx>
          <spPr>
            <a:ln>
              <a:noFill/>
              <a:prstDash val="solid"/>
            </a:ln>
          </spPr>
          <marker>
            <symbol val="circle"/>
            <size val="6"/>
            <spPr>
              <a:solidFill>
                <a:srgbClr val="2E7D32"/>
              </a:solidFill>
              <a:ln>
                <a:solidFill>
                  <a:srgbClr val="2E7D32"/>
                </a:solidFill>
                <a:prstDash val="solid"/>
              </a:ln>
            </spPr>
          </marker>
          <xVal>
            <numRef>
              <f>'6 Datos de gráficos'!$AB$6:$AB$13</f>
            </numRef>
          </xVal>
          <yVal>
            <numRef>
              <f>'6 Datos de gráficos'!$AA$6:$AA$13</f>
            </numRef>
          </yVal>
        </ser>
        <ser>
          <idx val="1"/>
          <order val="1"/>
          <tx>
            <v>Corregible (n = 7)</v>
          </tx>
          <spPr>
            <a:ln>
              <a:noFill/>
              <a:prstDash val="solid"/>
            </a:ln>
          </spPr>
          <marker>
            <symbol val="triangle"/>
            <size val="6"/>
            <spPr>
              <a:solidFill>
                <a:srgbClr val="EF8A17"/>
              </a:solidFill>
              <a:ln>
                <a:solidFill>
                  <a:srgbClr val="EF8A17"/>
                </a:solidFill>
                <a:prstDash val="solid"/>
              </a:ln>
            </spPr>
          </marker>
          <xVal>
            <numRef>
              <f>'6 Datos de gráficos'!$AD$6:$AD$12</f>
            </numRef>
          </xVal>
          <yVal>
            <numRef>
              <f>'6 Datos de gráficos'!$AC$6:$AC$12</f>
            </numRef>
          </yVal>
        </ser>
        <axId val="10"/>
        <axId val="20"/>
      </scatterChart>
      <valAx>
        <axId val="10"/>
        <scaling>
          <orientation val="minMax"/>
          <max val="295"/>
          <min val="270"/>
        </scaling>
        <delete val="0"/>
        <axPos val="l"/>
        <majorGridlines/>
        <title>
          <tx>
            <rich>
              <a:bodyPr/>
              <a:p>
                <a:pPr>
                  <a:defRPr sz="800" b="0"/>
                </a:pPr>
                <a:r>
                  <a:rPr sz="800" b="0"/>
                  <a:t>Temperatura del sumidero, T_sumidero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13.75"/>
          <min val="12.5"/>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25"/>
      </valAx>
    </plotArea>
    <legend>
      <legendPos val="b"/>
      <overlay val="0"/>
      <txPr>
        <a:bodyPr/>
        <a:p>
          <a:pPr>
            <a:defRPr sz="700" b="0"/>
          </a:pPr>
          <a:r>
            <a:t/>
          </a:r>
          <a:endParaRPr sz="700" b="0"/>
        </a:p>
      </txPr>
    </legend>
    <plotVisOnly val="0"/>
    <dispBlanksAs val="gap"/>
  </chart>
</chartSpace>
</file>

<file path=xl/charts/chart131.xml><?xml version="1.0" encoding="utf-8"?>
<chartSpace xmlns:a="http://schemas.openxmlformats.org/drawingml/2006/main" xmlns="http://schemas.openxmlformats.org/drawingml/2006/chart">
  <style val="13"/>
  <chart>
    <title>
      <tx>
        <rich>
          <a:bodyPr/>
          <a:p>
            <a:pPr>
              <a:defRPr sz="900" b="1"/>
            </a:pPr>
            <a:r>
              <a:rPr sz="900" b="1"/>
              <a:t>P_alta</a:t>
            </a:r>
          </a:p>
        </rich>
      </tx>
      <overlay val="0"/>
    </title>
    <plotArea>
      <scatterChart>
        <varyColors val="0"/>
        <ser>
          <idx val="0"/>
          <order val="0"/>
          <tx>
            <v>KALINA (n = 12)</v>
          </tx>
          <spPr>
            <a:ln>
              <a:noFill/>
              <a:prstDash val="solid"/>
            </a:ln>
          </spPr>
          <marker>
            <symbol val="circle"/>
            <size val="6"/>
            <spPr>
              <a:solidFill>
                <a:srgbClr val="2E7D32"/>
              </a:solidFill>
              <a:ln>
                <a:solidFill>
                  <a:srgbClr val="2E7D32"/>
                </a:solidFill>
                <a:prstDash val="solid"/>
              </a:ln>
            </spPr>
          </marker>
          <xVal>
            <numRef>
              <f>'6 Datos de gráficos'!$AF$6:$AF$17</f>
            </numRef>
          </xVal>
          <yVal>
            <numRef>
              <f>'6 Datos de gráficos'!$AE$6:$AE$17</f>
            </numRef>
          </yVal>
        </ser>
        <ser>
          <idx val="1"/>
          <order val="1"/>
          <tx>
            <v>Corregible (n = 3)</v>
          </tx>
          <spPr>
            <a:ln>
              <a:noFill/>
              <a:prstDash val="solid"/>
            </a:ln>
          </spPr>
          <marker>
            <symbol val="triangle"/>
            <size val="6"/>
            <spPr>
              <a:solidFill>
                <a:srgbClr val="EF8A17"/>
              </a:solidFill>
              <a:ln>
                <a:solidFill>
                  <a:srgbClr val="EF8A17"/>
                </a:solidFill>
                <a:prstDash val="solid"/>
              </a:ln>
            </spPr>
          </marker>
          <xVal>
            <numRef>
              <f>'6 Datos de gráficos'!$AH$6:$AH$8</f>
            </numRef>
          </xVal>
          <yVal>
            <numRef>
              <f>'6 Datos de gráficos'!$AG$6:$AG$8</f>
            </numRef>
          </yVal>
        </ser>
        <axId val="10"/>
        <axId val="20"/>
      </scatterChart>
      <valAx>
        <axId val="10"/>
        <scaling>
          <orientation val="minMax"/>
          <max val="4000"/>
          <min val="2500"/>
        </scaling>
        <delete val="0"/>
        <axPos val="l"/>
        <majorGridlines/>
        <title>
          <tx>
            <rich>
              <a:bodyPr/>
              <a:p>
                <a:pPr>
                  <a:defRPr sz="800" b="0"/>
                </a:pPr>
                <a:r>
                  <a:rPr sz="800" b="0"/>
                  <a:t>Presión de alta, P_alta [kPa]</a:t>
                </a:r>
              </a:p>
            </rich>
          </tx>
          <overlay val="0"/>
        </title>
        <majorTickMark val="none"/>
        <minorTickMark val="none"/>
        <tickLblPos val="low"/>
        <txPr>
          <a:bodyPr/>
          <a:p>
            <a:pPr>
              <a:defRPr sz="700" b="0"/>
            </a:pPr>
            <a:r>
              <a:t/>
            </a:r>
            <a:endParaRPr sz="700" b="0"/>
          </a:p>
        </txPr>
        <crossAx val="20"/>
        <crosses val="min"/>
        <majorUnit val="250"/>
      </valAx>
      <valAx>
        <axId val="20"/>
        <scaling>
          <orientation val="minMax"/>
          <max val="14"/>
          <min val="11"/>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5"/>
      </valAx>
    </plotArea>
    <legend>
      <legendPos val="b"/>
      <overlay val="0"/>
      <txPr>
        <a:bodyPr/>
        <a:p>
          <a:pPr>
            <a:defRPr sz="700" b="0"/>
          </a:pPr>
          <a:r>
            <a:t/>
          </a:r>
          <a:endParaRPr sz="700" b="0"/>
        </a:p>
      </txPr>
    </legend>
    <plotVisOnly val="0"/>
    <dispBlanksAs val="gap"/>
  </chart>
</chartSpace>
</file>

<file path=xl/charts/chart132.xml><?xml version="1.0" encoding="utf-8"?>
<chartSpace xmlns:a="http://schemas.openxmlformats.org/drawingml/2006/main" xmlns="http://schemas.openxmlformats.org/drawingml/2006/chart">
  <style val="13"/>
  <chart>
    <title>
      <tx>
        <rich>
          <a:bodyPr/>
          <a:p>
            <a:pPr>
              <a:defRPr sz="900" b="1"/>
            </a:pPr>
            <a:r>
              <a:rPr sz="900" b="1"/>
              <a:t>P_baja</a:t>
            </a:r>
          </a:p>
        </rich>
      </tx>
      <overlay val="0"/>
    </title>
    <plotArea>
      <scatterChart>
        <varyColors val="0"/>
        <ser>
          <idx val="0"/>
          <order val="0"/>
          <tx>
            <v>KALINA (n = 11)</v>
          </tx>
          <spPr>
            <a:ln>
              <a:noFill/>
              <a:prstDash val="solid"/>
            </a:ln>
          </spPr>
          <marker>
            <symbol val="circle"/>
            <size val="6"/>
            <spPr>
              <a:solidFill>
                <a:srgbClr val="2E7D32"/>
              </a:solidFill>
              <a:ln>
                <a:solidFill>
                  <a:srgbClr val="2E7D32"/>
                </a:solidFill>
                <a:prstDash val="solid"/>
              </a:ln>
            </spPr>
          </marker>
          <xVal>
            <numRef>
              <f>'6 Datos de gráficos'!$AJ$6:$AJ$16</f>
            </numRef>
          </xVal>
          <yVal>
            <numRef>
              <f>'6 Datos de gráficos'!$AI$6:$AI$16</f>
            </numRef>
          </yVal>
        </ser>
        <ser>
          <idx val="1"/>
          <order val="1"/>
          <tx>
            <v>Corregible (n = 4)</v>
          </tx>
          <spPr>
            <a:ln>
              <a:noFill/>
              <a:prstDash val="solid"/>
            </a:ln>
          </spPr>
          <marker>
            <symbol val="triangle"/>
            <size val="6"/>
            <spPr>
              <a:solidFill>
                <a:srgbClr val="EF8A17"/>
              </a:solidFill>
              <a:ln>
                <a:solidFill>
                  <a:srgbClr val="EF8A17"/>
                </a:solidFill>
                <a:prstDash val="solid"/>
              </a:ln>
            </spPr>
          </marker>
          <xVal>
            <numRef>
              <f>'6 Datos de gráficos'!$AL$6:$AL$9</f>
            </numRef>
          </xVal>
          <yVal>
            <numRef>
              <f>'6 Datos de gráficos'!$AK$6:$AK$9</f>
            </numRef>
          </yVal>
        </ser>
        <axId val="10"/>
        <axId val="20"/>
      </scatterChart>
      <valAx>
        <axId val="10"/>
        <scaling>
          <orientation val="minMax"/>
          <max val="1200"/>
          <min val="400"/>
        </scaling>
        <delete val="0"/>
        <axPos val="l"/>
        <majorGridlines/>
        <title>
          <tx>
            <rich>
              <a:bodyPr/>
              <a:p>
                <a:pPr>
                  <a:defRPr sz="800" b="0"/>
                </a:pPr>
                <a:r>
                  <a:rPr sz="800" b="0"/>
                  <a:t>Presión de baja, P_baja [kPa]</a:t>
                </a:r>
              </a:p>
            </rich>
          </tx>
          <overlay val="0"/>
        </title>
        <majorTickMark val="none"/>
        <minorTickMark val="none"/>
        <tickLblPos val="low"/>
        <txPr>
          <a:bodyPr/>
          <a:p>
            <a:pPr>
              <a:defRPr sz="700" b="0"/>
            </a:pPr>
            <a:r>
              <a:t/>
            </a:r>
            <a:endParaRPr sz="700" b="0"/>
          </a:p>
        </txPr>
        <crossAx val="20"/>
        <crosses val="min"/>
        <majorUnit val="200"/>
      </valAx>
      <valAx>
        <axId val="20"/>
        <scaling>
          <orientation val="minMax"/>
          <max val="16"/>
          <min val="8"/>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133.xml><?xml version="1.0" encoding="utf-8"?>
<chartSpace xmlns:a="http://schemas.openxmlformats.org/drawingml/2006/main" xmlns="http://schemas.openxmlformats.org/drawingml/2006/chart">
  <style val="13"/>
  <chart>
    <title>
      <tx>
        <rich>
          <a:bodyPr/>
          <a:p>
            <a:pPr>
              <a:defRPr sz="900" b="1"/>
            </a:pPr>
            <a:r>
              <a:rPr sz="900" b="1"/>
              <a:t>x_b</a:t>
            </a:r>
          </a:p>
        </rich>
      </tx>
      <overlay val="0"/>
    </title>
    <plotArea>
      <scatterChart>
        <varyColors val="0"/>
        <ser>
          <idx val="0"/>
          <order val="0"/>
          <tx>
            <v>KALINA (n = 9)</v>
          </tx>
          <spPr>
            <a:ln>
              <a:noFill/>
              <a:prstDash val="solid"/>
            </a:ln>
          </spPr>
          <marker>
            <symbol val="circle"/>
            <size val="6"/>
            <spPr>
              <a:solidFill>
                <a:srgbClr val="2E7D32"/>
              </a:solidFill>
              <a:ln>
                <a:solidFill>
                  <a:srgbClr val="2E7D32"/>
                </a:solidFill>
                <a:prstDash val="solid"/>
              </a:ln>
            </spPr>
          </marker>
          <xVal>
            <numRef>
              <f>'6 Datos de gráficos'!$AN$6:$AN$14</f>
            </numRef>
          </xVal>
          <yVal>
            <numRef>
              <f>'6 Datos de gráficos'!$AM$6:$AM$14</f>
            </numRef>
          </yVal>
        </ser>
        <ser>
          <idx val="1"/>
          <order val="1"/>
          <tx>
            <v>Corregible (n = 5)</v>
          </tx>
          <spPr>
            <a:ln>
              <a:noFill/>
              <a:prstDash val="solid"/>
            </a:ln>
          </spPr>
          <marker>
            <symbol val="triangle"/>
            <size val="6"/>
            <spPr>
              <a:solidFill>
                <a:srgbClr val="EF8A17"/>
              </a:solidFill>
              <a:ln>
                <a:solidFill>
                  <a:srgbClr val="EF8A17"/>
                </a:solidFill>
                <a:prstDash val="solid"/>
              </a:ln>
            </spPr>
          </marker>
          <xVal>
            <numRef>
              <f>'6 Datos de gráficos'!$AP$6:$AP$10</f>
            </numRef>
          </xVal>
          <yVal>
            <numRef>
              <f>'6 Datos de gráficos'!$AO$6:$AO$10</f>
            </numRef>
          </yVal>
        </ser>
        <ser>
          <idx val="2"/>
          <order val="2"/>
          <tx>
            <v>No convergió (n = 1)</v>
          </tx>
          <spPr>
            <a:ln>
              <a:noFill/>
              <a:prstDash val="solid"/>
            </a:ln>
          </spPr>
          <marker>
            <symbol val="x"/>
            <size val="7"/>
            <spPr>
              <a:noFill/>
              <a:ln>
                <a:solidFill>
                  <a:srgbClr val="C62828"/>
                </a:solidFill>
                <a:prstDash val="solid"/>
              </a:ln>
            </spPr>
          </marker>
          <xVal>
            <numRef>
              <f>'6 Datos de gráficos'!$AR$6</f>
            </numRef>
          </xVal>
          <yVal>
            <numRef>
              <f>'6 Datos de gráficos'!$AQ$6</f>
            </numRef>
          </yVal>
        </ser>
        <axId val="10"/>
        <axId val="20"/>
      </scatterChart>
      <valAx>
        <axId val="10"/>
        <scaling>
          <orientation val="minMax"/>
          <max val="1"/>
          <min val="0.5"/>
        </scaling>
        <delete val="0"/>
        <axPos val="l"/>
        <majorGridlines/>
        <title>
          <tx>
            <rich>
              <a:bodyPr/>
              <a:p>
                <a:pPr>
                  <a:defRPr sz="800" b="0"/>
                </a:pPr>
                <a:r>
                  <a:rPr sz="800" b="0"/>
                  <a:t>Fracción de amoníaco de la mezcla base, x_b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5"/>
          <min val="0"/>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2.5"/>
      </valAx>
    </plotArea>
    <legend>
      <legendPos val="b"/>
      <overlay val="0"/>
      <txPr>
        <a:bodyPr/>
        <a:p>
          <a:pPr>
            <a:defRPr sz="700" b="0"/>
          </a:pPr>
          <a:r>
            <a:t/>
          </a:r>
          <a:endParaRPr sz="700" b="0"/>
        </a:p>
      </txPr>
    </legend>
    <plotVisOnly val="0"/>
    <dispBlanksAs val="gap"/>
  </chart>
</chartSpace>
</file>

<file path=xl/charts/chart134.xml><?xml version="1.0" encoding="utf-8"?>
<chartSpace xmlns:a="http://schemas.openxmlformats.org/drawingml/2006/main" xmlns="http://schemas.openxmlformats.org/drawingml/2006/chart">
  <style val="13"/>
  <chart>
    <title>
      <tx>
        <rich>
          <a:bodyPr/>
          <a:p>
            <a:pPr>
              <a:defRPr sz="900" b="1"/>
            </a:pPr>
            <a:r>
              <a:rPr sz="900" b="1"/>
              <a:t>η_t</a:t>
            </a:r>
          </a:p>
        </rich>
      </tx>
      <overlay val="0"/>
    </title>
    <plotArea>
      <scatterChart>
        <varyColors val="0"/>
        <ser>
          <idx val="0"/>
          <order val="0"/>
          <tx>
            <v>KALINA (n = 15)</v>
          </tx>
          <spPr>
            <a:ln>
              <a:noFill/>
              <a:prstDash val="solid"/>
            </a:ln>
          </spPr>
          <marker>
            <symbol val="circle"/>
            <size val="6"/>
            <spPr>
              <a:solidFill>
                <a:srgbClr val="2E7D32"/>
              </a:solidFill>
              <a:ln>
                <a:solidFill>
                  <a:srgbClr val="2E7D32"/>
                </a:solidFill>
                <a:prstDash val="solid"/>
              </a:ln>
            </spPr>
          </marker>
          <xVal>
            <numRef>
              <f>'6 Datos de gráficos'!$AT$6:$AT$20</f>
            </numRef>
          </xVal>
          <yVal>
            <numRef>
              <f>'6 Datos de gráficos'!$AS$6:$AS$20</f>
            </numRef>
          </yVal>
        </ser>
        <axId val="10"/>
        <axId val="20"/>
      </scatterChart>
      <valAx>
        <axId val="10"/>
        <scaling>
          <orientation val="minMax"/>
          <max val="0.9500000000000001"/>
          <min val="0.75"/>
        </scaling>
        <delete val="0"/>
        <axPos val="l"/>
        <majorGridlines/>
        <title>
          <tx>
            <rich>
              <a:bodyPr/>
              <a:p>
                <a:pPr>
                  <a:defRPr sz="800" b="0"/>
                </a:pPr>
                <a:r>
                  <a:rPr sz="800" b="0"/>
                  <a:t>Eficiencia isentrópica de la turbina, η_t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3.5"/>
          <min val="10.5"/>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5"/>
      </valAx>
    </plotArea>
    <legend>
      <legendPos val="b"/>
      <overlay val="0"/>
      <txPr>
        <a:bodyPr/>
        <a:p>
          <a:pPr>
            <a:defRPr sz="700" b="0"/>
          </a:pPr>
          <a:r>
            <a:t/>
          </a:r>
          <a:endParaRPr sz="700" b="0"/>
        </a:p>
      </txPr>
    </legend>
    <plotVisOnly val="0"/>
    <dispBlanksAs val="gap"/>
  </chart>
</chartSpace>
</file>

<file path=xl/charts/chart135.xml><?xml version="1.0" encoding="utf-8"?>
<chartSpace xmlns:a="http://schemas.openxmlformats.org/drawingml/2006/main" xmlns="http://schemas.openxmlformats.org/drawingml/2006/chart">
  <style val="13"/>
  <chart>
    <title>
      <tx>
        <rich>
          <a:bodyPr/>
          <a:p>
            <a:pPr>
              <a:defRPr sz="900" b="1"/>
            </a:pPr>
            <a:r>
              <a:rPr sz="900" b="1"/>
              <a:t>η_p</a:t>
            </a:r>
          </a:p>
        </rich>
      </tx>
      <overlay val="0"/>
    </title>
    <plotArea>
      <scatterChart>
        <varyColors val="0"/>
        <ser>
          <idx val="0"/>
          <order val="0"/>
          <tx>
            <v>KALINA (n = 15)</v>
          </tx>
          <spPr>
            <a:ln>
              <a:noFill/>
              <a:prstDash val="solid"/>
            </a:ln>
          </spPr>
          <marker>
            <symbol val="circle"/>
            <size val="6"/>
            <spPr>
              <a:solidFill>
                <a:srgbClr val="2E7D32"/>
              </a:solidFill>
              <a:ln>
                <a:solidFill>
                  <a:srgbClr val="2E7D32"/>
                </a:solidFill>
                <a:prstDash val="solid"/>
              </a:ln>
            </spPr>
          </marker>
          <xVal>
            <numRef>
              <f>'6 Datos de gráficos'!$AV$6:$AV$20</f>
            </numRef>
          </xVal>
          <yVal>
            <numRef>
              <f>'6 Datos de gráficos'!$AU$6:$AU$20</f>
            </numRef>
          </yVal>
        </ser>
        <axId val="10"/>
        <axId val="20"/>
      </scatterChart>
      <valAx>
        <axId val="10"/>
        <scaling>
          <orientation val="minMax"/>
          <max val="0.9"/>
          <min val="0.55"/>
        </scaling>
        <delete val="0"/>
        <axPos val="l"/>
        <majorGridlines/>
        <title>
          <tx>
            <rich>
              <a:bodyPr/>
              <a:p>
                <a:pPr>
                  <a:defRPr sz="800" b="0"/>
                </a:pPr>
                <a:r>
                  <a:rPr sz="800" b="0"/>
                  <a:t>Eficiencia isentrópica de la bomba, η_p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2.8"/>
          <min val="12.55"/>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05"/>
      </valAx>
    </plotArea>
    <legend>
      <legendPos val="b"/>
      <overlay val="0"/>
      <txPr>
        <a:bodyPr/>
        <a:p>
          <a:pPr>
            <a:defRPr sz="700" b="0"/>
          </a:pPr>
          <a:r>
            <a:t/>
          </a:r>
          <a:endParaRPr sz="700" b="0"/>
        </a:p>
      </txPr>
    </legend>
    <plotVisOnly val="0"/>
    <dispBlanksAs val="gap"/>
  </chart>
</chartSpace>
</file>

<file path=xl/charts/chart136.xml><?xml version="1.0" encoding="utf-8"?>
<chartSpace xmlns:a="http://schemas.openxmlformats.org/drawingml/2006/main" xmlns="http://schemas.openxmlformats.org/drawingml/2006/chart">
  <style val="13"/>
  <chart>
    <title>
      <tx>
        <rich>
          <a:bodyPr/>
          <a:p>
            <a:pPr>
              <a:defRPr sz="900" b="1"/>
            </a:pPr>
            <a:r>
              <a:rPr sz="900" b="1"/>
              <a:t>ε_HRVG</a:t>
            </a:r>
          </a:p>
        </rich>
      </tx>
      <overlay val="0"/>
    </title>
    <plotArea>
      <scatterChart>
        <varyColors val="0"/>
        <ser>
          <idx val="0"/>
          <order val="0"/>
          <tx>
            <v>KALINA (n = 14)</v>
          </tx>
          <spPr>
            <a:ln>
              <a:noFill/>
              <a:prstDash val="solid"/>
            </a:ln>
          </spPr>
          <marker>
            <symbol val="circle"/>
            <size val="6"/>
            <spPr>
              <a:solidFill>
                <a:srgbClr val="2E7D32"/>
              </a:solidFill>
              <a:ln>
                <a:solidFill>
                  <a:srgbClr val="2E7D32"/>
                </a:solidFill>
                <a:prstDash val="solid"/>
              </a:ln>
            </spPr>
          </marker>
          <xVal>
            <numRef>
              <f>'6 Datos de gráficos'!$AX$6:$AX$19</f>
            </numRef>
          </xVal>
          <yVal>
            <numRef>
              <f>'6 Datos de gráficos'!$AW$6:$AW$19</f>
            </numRef>
          </yVal>
        </ser>
        <ser>
          <idx val="1"/>
          <order val="1"/>
          <tx>
            <v>Corregible (n = 1)</v>
          </tx>
          <spPr>
            <a:ln>
              <a:noFill/>
              <a:prstDash val="solid"/>
            </a:ln>
          </spPr>
          <marker>
            <symbol val="triangle"/>
            <size val="6"/>
            <spPr>
              <a:solidFill>
                <a:srgbClr val="EF8A17"/>
              </a:solidFill>
              <a:ln>
                <a:solidFill>
                  <a:srgbClr val="EF8A17"/>
                </a:solidFill>
                <a:prstDash val="solid"/>
              </a:ln>
            </spPr>
          </marker>
          <xVal>
            <numRef>
              <f>'6 Datos de gráficos'!$AZ$6</f>
            </numRef>
          </xVal>
          <yVal>
            <numRef>
              <f>'6 Datos de gráficos'!$AY$6</f>
            </numRef>
          </yVal>
        </ser>
        <axId val="10"/>
        <axId val="20"/>
      </scatterChart>
      <valAx>
        <axId val="10"/>
        <scaling>
          <orientation val="minMax"/>
          <max val="1"/>
          <min val="0.5"/>
        </scaling>
        <delete val="0"/>
        <axPos val="l"/>
        <majorGridlines/>
        <title>
          <tx>
            <rich>
              <a:bodyPr/>
              <a:p>
                <a:pPr>
                  <a:defRPr sz="800" b="0"/>
                </a:pPr>
                <a:r>
                  <a:rPr sz="800" b="0"/>
                  <a:t>Efectividad del generador de vapor, ε_HRVG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3.25"/>
          <min val="11.5"/>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25"/>
      </valAx>
    </plotArea>
    <legend>
      <legendPos val="b"/>
      <overlay val="0"/>
      <txPr>
        <a:bodyPr/>
        <a:p>
          <a:pPr>
            <a:defRPr sz="700" b="0"/>
          </a:pPr>
          <a:r>
            <a:t/>
          </a:r>
          <a:endParaRPr sz="700" b="0"/>
        </a:p>
      </txPr>
    </legend>
    <plotVisOnly val="0"/>
    <dispBlanksAs val="gap"/>
  </chart>
</chartSpace>
</file>

<file path=xl/charts/chart137.xml><?xml version="1.0" encoding="utf-8"?>
<chartSpace xmlns:a="http://schemas.openxmlformats.org/drawingml/2006/main" xmlns="http://schemas.openxmlformats.org/drawingml/2006/chart">
  <style val="13"/>
  <chart>
    <title>
      <tx>
        <rich>
          <a:bodyPr/>
          <a:p>
            <a:pPr>
              <a:defRPr sz="900" b="1"/>
            </a:pPr>
            <a:r>
              <a:rPr sz="900" b="1"/>
              <a:t>ε_reg</a:t>
            </a:r>
          </a:p>
        </rich>
      </tx>
      <overlay val="0"/>
    </title>
    <plotArea>
      <scatterChart>
        <varyColors val="0"/>
        <ser>
          <idx val="0"/>
          <order val="0"/>
          <tx>
            <v>KALINA (n = 15)</v>
          </tx>
          <spPr>
            <a:ln>
              <a:noFill/>
              <a:prstDash val="solid"/>
            </a:ln>
          </spPr>
          <marker>
            <symbol val="circle"/>
            <size val="6"/>
            <spPr>
              <a:solidFill>
                <a:srgbClr val="2E7D32"/>
              </a:solidFill>
              <a:ln>
                <a:solidFill>
                  <a:srgbClr val="2E7D32"/>
                </a:solidFill>
                <a:prstDash val="solid"/>
              </a:ln>
            </spPr>
          </marker>
          <xVal>
            <numRef>
              <f>'6 Datos de gráficos'!$BB$6:$BB$20</f>
            </numRef>
          </xVal>
          <yVal>
            <numRef>
              <f>'6 Datos de gráficos'!$BA$6:$BA$20</f>
            </numRef>
          </yVal>
        </ser>
        <axId val="10"/>
        <axId val="20"/>
      </scatterChart>
      <valAx>
        <axId val="10"/>
        <scaling>
          <orientation val="minMax"/>
          <max val="1"/>
          <min val="0.4"/>
        </scaling>
        <delete val="0"/>
        <axPos val="l"/>
        <majorGridlines/>
        <title>
          <tx>
            <rich>
              <a:bodyPr/>
              <a:p>
                <a:pPr>
                  <a:defRPr sz="800" b="0"/>
                </a:pPr>
                <a:r>
                  <a:rPr sz="800" b="0"/>
                  <a:t>Efectividad del regenerador, ε_reg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3.25"/>
          <min val="11.75"/>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25"/>
      </valAx>
    </plotArea>
    <legend>
      <legendPos val="b"/>
      <overlay val="0"/>
      <txPr>
        <a:bodyPr/>
        <a:p>
          <a:pPr>
            <a:defRPr sz="700" b="0"/>
          </a:pPr>
          <a:r>
            <a:t/>
          </a:r>
          <a:endParaRPr sz="700" b="0"/>
        </a:p>
      </txPr>
    </legend>
    <plotVisOnly val="0"/>
    <dispBlanksAs val="gap"/>
  </chart>
</chartSpace>
</file>

<file path=xl/charts/chart138.xml><?xml version="1.0" encoding="utf-8"?>
<chartSpace xmlns:a="http://schemas.openxmlformats.org/drawingml/2006/main" xmlns="http://schemas.openxmlformats.org/drawingml/2006/chart">
  <style val="13"/>
  <chart>
    <title>
      <tx>
        <rich>
          <a:bodyPr/>
          <a:p>
            <a:pPr>
              <a:defRPr sz="900" b="1"/>
            </a:pPr>
            <a:r>
              <a:rPr sz="900" b="1"/>
              <a:t>ε_cond</a:t>
            </a:r>
          </a:p>
        </rich>
      </tx>
      <overlay val="0"/>
    </title>
    <plotArea>
      <scatterChart>
        <varyColors val="0"/>
        <ser>
          <idx val="0"/>
          <order val="0"/>
          <tx>
            <v>KALINA (n = 1)</v>
          </tx>
          <spPr>
            <a:ln>
              <a:noFill/>
              <a:prstDash val="solid"/>
            </a:ln>
          </spPr>
          <marker>
            <symbol val="circle"/>
            <size val="6"/>
            <spPr>
              <a:solidFill>
                <a:srgbClr val="2E7D32"/>
              </a:solidFill>
              <a:ln>
                <a:solidFill>
                  <a:srgbClr val="2E7D32"/>
                </a:solidFill>
                <a:prstDash val="solid"/>
              </a:ln>
            </spPr>
          </marker>
          <xVal>
            <numRef>
              <f>'6 Datos de gráficos'!$BD$6</f>
            </numRef>
          </xVal>
          <yVal>
            <numRef>
              <f>'6 Datos de gráficos'!$BC$6</f>
            </numRef>
          </yVal>
        </ser>
        <ser>
          <idx val="1"/>
          <order val="1"/>
          <tx>
            <v>Corregible (n = 13)</v>
          </tx>
          <spPr>
            <a:ln>
              <a:noFill/>
              <a:prstDash val="solid"/>
            </a:ln>
          </spPr>
          <marker>
            <symbol val="triangle"/>
            <size val="6"/>
            <spPr>
              <a:solidFill>
                <a:srgbClr val="EF8A17"/>
              </a:solidFill>
              <a:ln>
                <a:solidFill>
                  <a:srgbClr val="EF8A17"/>
                </a:solidFill>
                <a:prstDash val="solid"/>
              </a:ln>
            </spPr>
          </marker>
          <xVal>
            <numRef>
              <f>'6 Datos de gráficos'!$BF$6:$BF$18</f>
            </numRef>
          </xVal>
          <yVal>
            <numRef>
              <f>'6 Datos de gráficos'!$BE$6:$BE$18</f>
            </numRef>
          </yVal>
        </ser>
        <ser>
          <idx val="2"/>
          <order val="2"/>
          <tx>
            <v>No convergió (n = 1)</v>
          </tx>
          <spPr>
            <a:ln>
              <a:noFill/>
              <a:prstDash val="solid"/>
            </a:ln>
          </spPr>
          <marker>
            <symbol val="x"/>
            <size val="7"/>
            <spPr>
              <a:noFill/>
              <a:ln>
                <a:solidFill>
                  <a:srgbClr val="C62828"/>
                </a:solidFill>
                <a:prstDash val="solid"/>
              </a:ln>
            </spPr>
          </marker>
          <xVal>
            <numRef>
              <f>'6 Datos de gráficos'!$BH$6</f>
            </numRef>
          </xVal>
          <yVal>
            <numRef>
              <f>'6 Datos de gráficos'!$BG$6</f>
            </numRef>
          </yVal>
        </ser>
        <axId val="10"/>
        <axId val="20"/>
      </scatterChart>
      <valAx>
        <axId val="10"/>
        <scaling>
          <orientation val="minMax"/>
          <max val="0.9500000000000001"/>
          <min val="0.65"/>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5"/>
          <min val="0"/>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2.5"/>
      </valAx>
    </plotArea>
    <legend>
      <legendPos val="b"/>
      <overlay val="0"/>
      <txPr>
        <a:bodyPr/>
        <a:p>
          <a:pPr>
            <a:defRPr sz="700" b="0"/>
          </a:pPr>
          <a:r>
            <a:t/>
          </a:r>
          <a:endParaRPr sz="700" b="0"/>
        </a:p>
      </txPr>
    </legend>
    <plotVisOnly val="0"/>
    <dispBlanksAs val="gap"/>
  </chart>
</chartSpace>
</file>

<file path=xl/charts/chart139.xml><?xml version="1.0" encoding="utf-8"?>
<chartSpace xmlns:a="http://schemas.openxmlformats.org/drawingml/2006/main" xmlns="http://schemas.openxmlformats.org/drawingml/2006/chart">
  <style val="13"/>
  <chart>
    <title>
      <tx>
        <rich>
          <a:bodyPr/>
          <a:p>
            <a:pPr>
              <a:defRPr sz="1100" b="1"/>
            </a:pPr>
            <a:r>
              <a:rPr sz="1100" b="1"/>
              <a:t>Húsavík con poco amoníaco: η según x_b</a:t>
            </a:r>
          </a:p>
        </rich>
      </tx>
      <overlay val="0"/>
    </title>
    <plotArea>
      <scatterChart>
        <varyColors val="0"/>
        <ser>
          <idx val="0"/>
          <order val="0"/>
          <tx>
            <v>KALINA (n = 8)</v>
          </tx>
          <spPr>
            <a:ln>
              <a:noFill/>
              <a:prstDash val="solid"/>
            </a:ln>
          </spPr>
          <marker>
            <symbol val="circle"/>
            <size val="6"/>
            <spPr>
              <a:solidFill>
                <a:srgbClr val="2E7D32"/>
              </a:solidFill>
              <a:ln>
                <a:solidFill>
                  <a:srgbClr val="2E7D32"/>
                </a:solidFill>
                <a:prstDash val="solid"/>
              </a:ln>
            </spPr>
          </marker>
          <xVal>
            <numRef>
              <f>'6 Datos de gráficos'!$BK$6:$BK$13</f>
            </numRef>
          </xVal>
          <yVal>
            <numRef>
              <f>'6 Datos de gráficos'!$BJ$6:$BJ$13</f>
            </numRef>
          </yVal>
        </ser>
        <ser>
          <idx val="1"/>
          <order val="1"/>
          <tx>
            <v>No convergió (n = 5)</v>
          </tx>
          <spPr>
            <a:ln>
              <a:noFill/>
              <a:prstDash val="solid"/>
            </a:ln>
          </spPr>
          <marker>
            <symbol val="x"/>
            <size val="7"/>
            <spPr>
              <a:noFill/>
              <a:ln>
                <a:solidFill>
                  <a:srgbClr val="C62828"/>
                </a:solidFill>
                <a:prstDash val="solid"/>
              </a:ln>
            </spPr>
          </marker>
          <xVal>
            <numRef>
              <f>'6 Datos de gráficos'!$BM$6:$BM$10</f>
            </numRef>
          </xVal>
          <yVal>
            <numRef>
              <f>'6 Datos de gráficos'!$BL$6:$BL$10</f>
            </numRef>
          </yVal>
        </ser>
        <ser>
          <idx val="2"/>
          <order val="2"/>
          <tx>
            <v>Falso convergido (n = 4)</v>
          </tx>
          <spPr>
            <a:ln>
              <a:noFill/>
              <a:prstDash val="solid"/>
            </a:ln>
          </spPr>
          <marker>
            <symbol val="x"/>
            <size val="7"/>
            <spPr>
              <a:noFill/>
              <a:ln>
                <a:solidFill>
                  <a:srgbClr val="9E9E9E"/>
                </a:solidFill>
                <a:prstDash val="solid"/>
              </a:ln>
            </spPr>
          </marker>
          <xVal>
            <numRef>
              <f>'6 Datos de gráficos'!$BO$6:$BO$9</f>
            </numRef>
          </xVal>
          <yVal>
            <numRef>
              <f>'6 Datos de gráficos'!$BN$6:$BN$9</f>
            </numRef>
          </yVal>
        </ser>
        <axId val="10"/>
        <axId val="20"/>
      </scatterChart>
      <valAx>
        <axId val="10"/>
        <scaling>
          <orientation val="minMax"/>
          <max val="0.7000000000000001"/>
          <min val="0.2"/>
        </scaling>
        <delete val="0"/>
        <axPos val="l"/>
        <majorGridlines/>
        <title>
          <tx>
            <rich>
              <a:bodyPr/>
              <a:p>
                <a:pPr>
                  <a:defRPr sz="900" b="0"/>
                </a:pPr>
                <a:r>
                  <a:rPr sz="900" b="0"/>
                  <a:t>Fracción de amoníaco de la mezcla base, x_b [–]</a:t>
                </a:r>
              </a:p>
            </rich>
          </tx>
          <overlay val="0"/>
        </title>
        <majorTickMark val="none"/>
        <minorTickMark val="none"/>
        <tickLblPos val="low"/>
        <txPr>
          <a:bodyPr/>
          <a:p>
            <a:pPr>
              <a:defRPr sz="800" b="0"/>
            </a:pPr>
            <a:r>
              <a:t/>
            </a:r>
            <a:endParaRPr sz="800" b="0"/>
          </a:p>
        </txPr>
        <crossAx val="20"/>
        <crosses val="min"/>
        <majorUnit val="0.1"/>
      </valAx>
      <valAx>
        <axId val="20"/>
        <scaling>
          <orientation val="minMax"/>
          <max val="12.5"/>
          <min val="0"/>
        </scaling>
        <delete val="0"/>
        <axPos val="l"/>
        <majorGridlines/>
        <title>
          <tx>
            <rich>
              <a:bodyPr/>
              <a:p>
                <a:pPr>
                  <a:defRPr sz="900" b="0"/>
                </a:pPr>
                <a:r>
                  <a:rPr sz="900" b="0"/>
                  <a:t>η [%] (0 = sin η)</a:t>
                </a:r>
              </a:p>
            </rich>
          </tx>
          <overlay val="0"/>
        </title>
        <majorTickMark val="none"/>
        <minorTickMark val="none"/>
        <tickLblPos val="low"/>
        <txPr>
          <a:bodyPr/>
          <a:p>
            <a:pPr>
              <a:defRPr sz="800" b="0"/>
            </a:pPr>
            <a:r>
              <a:t/>
            </a:r>
            <a:endParaRPr sz="800" b="0"/>
          </a:p>
        </txPr>
        <crossAx val="10"/>
        <crosses val="min"/>
        <majorUnit val="2.5"/>
      </valAx>
    </plotArea>
    <legend>
      <legendPos val="b"/>
      <overlay val="0"/>
      <txPr>
        <a:bodyPr/>
        <a:p>
          <a:pPr>
            <a:defRPr sz="800" b="0"/>
          </a:pPr>
          <a:r>
            <a:t/>
          </a:r>
          <a:endParaRPr sz="800" b="0"/>
        </a:p>
      </txPr>
    </legend>
    <plotVisOnly val="0"/>
    <dispBlanksAs val="gap"/>
  </chart>
</chartSpace>
</file>

<file path=xl/charts/chart140.xml><?xml version="1.0" encoding="utf-8"?>
<chartSpace xmlns:a="http://schemas.openxmlformats.org/drawingml/2006/main" xmlns="http://schemas.openxmlformats.org/drawingml/2006/chart">
  <style val="13"/>
  <chart>
    <title>
      <tx>
        <rich>
          <a:bodyPr/>
          <a:p>
            <a:pPr>
              <a:defRPr sz="1100" b="1"/>
            </a:pPr>
            <a:r>
              <a:rPr sz="1100" b="1"/>
              <a:t>teqp y el motor real coinciden en los 5 puntos que el motor real resolvió</a:t>
            </a:r>
          </a:p>
        </rich>
      </tx>
      <overlay val="0"/>
    </title>
    <plotArea>
      <scatterChart>
        <varyColors val="0"/>
        <ser>
          <idx val="0"/>
          <order val="0"/>
          <tx>
            <v>1:1</v>
          </tx>
          <spPr>
            <a:ln w="22000">
              <a:solidFill>
                <a:srgbClr val="424242"/>
              </a:solidFill>
              <a:prstDash val="solid"/>
            </a:ln>
          </spPr>
          <marker>
            <symbol val="none"/>
            <size val="5"/>
            <spPr>
              <a:solidFill>
                <a:srgbClr val="424242"/>
              </a:solidFill>
              <a:ln>
                <a:solidFill>
                  <a:srgbClr val="424242"/>
                </a:solidFill>
                <a:prstDash val="solid"/>
              </a:ln>
            </spPr>
          </marker>
          <xVal>
            <numRef>
              <f>'6 Datos de gráficos'!$B$6:$B$7</f>
            </numRef>
          </xVal>
          <yVal>
            <numRef>
              <f>'6 Datos de gráficos'!$A$6:$A$7</f>
            </numRef>
          </yVal>
          <smooth val="0"/>
        </ser>
        <ser>
          <idx val="1"/>
          <order val="1"/>
          <tx>
            <v>+0.7 pp</v>
          </tx>
          <spPr>
            <a:ln w="22000">
              <a:solidFill>
                <a:srgbClr val="A5D6A7"/>
              </a:solidFill>
              <a:prstDash val="dash"/>
            </a:ln>
          </spPr>
          <marker>
            <symbol val="none"/>
            <size val="5"/>
            <spPr>
              <a:solidFill>
                <a:srgbClr val="A5D6A7"/>
              </a:solidFill>
              <a:ln>
                <a:solidFill>
                  <a:srgbClr val="A5D6A7"/>
                </a:solidFill>
                <a:prstDash val="solid"/>
              </a:ln>
            </spPr>
          </marker>
          <xVal>
            <numRef>
              <f>'6 Datos de gráficos'!$D$6:$D$7</f>
            </numRef>
          </xVal>
          <yVal>
            <numRef>
              <f>'6 Datos de gráficos'!$C$6:$C$7</f>
            </numRef>
          </yVal>
          <smooth val="0"/>
        </ser>
        <ser>
          <idx val="2"/>
          <order val="2"/>
          <tx>
            <v>−0.7 pp</v>
          </tx>
          <spPr>
            <a:ln w="22000">
              <a:solidFill>
                <a:srgbClr val="A5D6A7"/>
              </a:solidFill>
              <a:prstDash val="dash"/>
            </a:ln>
          </spPr>
          <marker>
            <symbol val="none"/>
            <size val="5"/>
            <spPr>
              <a:solidFill>
                <a:srgbClr val="A5D6A7"/>
              </a:solidFill>
              <a:ln>
                <a:solidFill>
                  <a:srgbClr val="A5D6A7"/>
                </a:solidFill>
                <a:prstDash val="solid"/>
              </a:ln>
            </spPr>
          </marker>
          <xVal>
            <numRef>
              <f>'6 Datos de gráficos'!$F$6:$F$7</f>
            </numRef>
          </xVal>
          <yVal>
            <numRef>
              <f>'6 Datos de gráficos'!$E$6:$E$7</f>
            </numRef>
          </yVal>
          <smooth val="0"/>
        </ser>
        <ser>
          <idx val="3"/>
          <order val="3"/>
          <tx>
            <v>6.1a · motor real con 300 s (n = 2)</v>
          </tx>
          <spPr>
            <a:ln>
              <a:noFill/>
              <a:prstDash val="solid"/>
            </a:ln>
          </spPr>
          <marker>
            <symbol val="circle"/>
            <size val="8"/>
            <spPr>
              <a:solidFill>
                <a:srgbClr val="1565C0"/>
              </a:solidFill>
              <a:ln>
                <a:solidFill>
                  <a:srgbClr val="1565C0"/>
                </a:solidFill>
                <a:prstDash val="solid"/>
              </a:ln>
            </spPr>
          </marker>
          <xVal>
            <numRef>
              <f>'6 Datos de gráficos'!$H$6:$H$7</f>
            </numRef>
          </xVal>
          <yVal>
            <numRef>
              <f>'6 Datos de gráficos'!$G$6:$G$7</f>
            </numRef>
          </yVal>
          <smooth val="0"/>
        </ser>
        <ser>
          <idx val="4"/>
          <order val="4"/>
          <tx>
            <v>6.1d · motor real con 1500 s (n = 3)</v>
          </tx>
          <spPr>
            <a:ln>
              <a:noFill/>
              <a:prstDash val="solid"/>
            </a:ln>
          </spPr>
          <marker>
            <symbol val="circle"/>
            <size val="8"/>
            <spPr>
              <a:solidFill>
                <a:srgbClr val="2E7D32"/>
              </a:solidFill>
              <a:ln>
                <a:solidFill>
                  <a:srgbClr val="2E7D32"/>
                </a:solidFill>
                <a:prstDash val="solid"/>
              </a:ln>
            </spPr>
          </marker>
          <xVal>
            <numRef>
              <f>'6 Datos de gráficos'!$J$6:$J$8</f>
            </numRef>
          </xVal>
          <yVal>
            <numRef>
              <f>'6 Datos de gráficos'!$I$6:$I$8</f>
            </numRef>
          </yVal>
          <smooth val="0"/>
        </ser>
        <axId val="10"/>
        <axId val="20"/>
      </scatterChart>
      <valAx>
        <axId val="10"/>
        <scaling>
          <orientation val="minMax"/>
          <max val="17"/>
          <min val="0"/>
        </scaling>
        <delete val="0"/>
        <axPos val="l"/>
        <majorGridlines/>
        <title>
          <tx>
            <rich>
              <a:bodyPr/>
              <a:p>
                <a:pPr>
                  <a:defRPr sz="900" b="0"/>
                </a:pPr>
                <a:r>
                  <a:rPr sz="900" b="0"/>
                  <a:t>η con teqp [%]</a:t>
                </a:r>
              </a:p>
            </rich>
          </tx>
          <overlay val="0"/>
        </title>
        <majorTickMark val="none"/>
        <minorTickMark val="none"/>
        <tickLblPos val="low"/>
        <txPr>
          <a:bodyPr/>
          <a:p>
            <a:pPr>
              <a:defRPr sz="800" b="0"/>
            </a:pPr>
            <a:r>
              <a:t/>
            </a:r>
            <a:endParaRPr sz="800" b="0"/>
          </a:p>
        </txPr>
        <crossAx val="20"/>
        <crosses val="min"/>
        <majorUnit val="2"/>
      </valAx>
      <valAx>
        <axId val="20"/>
        <scaling>
          <orientation val="minMax"/>
          <max val="17"/>
          <min val="0"/>
        </scaling>
        <delete val="0"/>
        <axPos val="l"/>
        <majorGridlines/>
        <title>
          <tx>
            <rich>
              <a:bodyPr/>
              <a:p>
                <a:pPr>
                  <a:defRPr sz="900" b="0"/>
                </a:pPr>
                <a:r>
                  <a:rPr sz="900" b="0"/>
                  <a:t>η con el motor real [%]</a:t>
                </a:r>
              </a:p>
            </rich>
          </tx>
          <overlay val="0"/>
        </title>
        <majorTickMark val="none"/>
        <minorTickMark val="none"/>
        <tickLblPos val="low"/>
        <txPr>
          <a:bodyPr/>
          <a:p>
            <a:pPr>
              <a:defRPr sz="800" b="0"/>
            </a:pPr>
            <a:r>
              <a:t/>
            </a:r>
            <a:endParaRPr sz="800" b="0"/>
          </a:p>
        </txPr>
        <crossAx val="10"/>
        <crosses val="min"/>
        <majorUnit val="2"/>
      </valAx>
    </plotArea>
    <legend>
      <legendPos val="b"/>
      <overlay val="0"/>
      <txPr>
        <a:bodyPr/>
        <a:p>
          <a:pPr>
            <a:defRPr sz="800" b="0"/>
          </a:pPr>
          <a:r>
            <a:t/>
          </a:r>
          <a:endParaRPr sz="800" b="0"/>
        </a:p>
      </txPr>
    </legend>
    <plotVisOnly val="0"/>
    <dispBlanksAs val="gap"/>
  </chart>
</chartSpace>
</file>

<file path=xl/charts/chart141.xml><?xml version="1.0" encoding="utf-8"?>
<chartSpace xmlns:a="http://schemas.openxmlformats.org/drawingml/2006/main" xmlns="http://schemas.openxmlformats.org/drawingml/2006/chart">
  <style val="13"/>
  <chart>
    <title>
      <tx>
        <rich>
          <a:bodyPr/>
          <a:p>
            <a:pPr>
              <a:defRPr sz="1100" b="1"/>
            </a:pPr>
            <a:r>
              <a:rPr sz="1100" b="1"/>
              <a:t>Húsavík: la P_baja mínima de KALINA sube con la fracción de amoníaco x_b</a:t>
            </a:r>
          </a:p>
        </rich>
      </tx>
      <overlay val="0"/>
    </title>
    <plotArea>
      <scatterChart>
        <varyColors val="0"/>
        <ser>
          <idx val="0"/>
          <order val="0"/>
          <tx>
            <v>KALINA (n = 70)</v>
          </tx>
          <spPr>
            <a:ln>
              <a:noFill/>
              <a:prstDash val="solid"/>
            </a:ln>
          </spPr>
          <marker>
            <symbol val="circle"/>
            <size val="6"/>
            <spPr>
              <a:solidFill>
                <a:srgbClr val="2E7D32"/>
              </a:solidFill>
              <a:ln>
                <a:solidFill>
                  <a:srgbClr val="2E7D32"/>
                </a:solidFill>
                <a:prstDash val="solid"/>
              </a:ln>
            </spPr>
          </marker>
          <xVal>
            <numRef>
              <f>'6 Datos de gráficos'!$M$6:$M$75</f>
            </numRef>
          </xVal>
          <yVal>
            <numRef>
              <f>'6 Datos de gráficos'!$L$6:$L$75</f>
            </numRef>
          </yVal>
        </ser>
        <ser>
          <idx val="1"/>
          <order val="1"/>
          <tx>
            <v>Corregible (n = 24)</v>
          </tx>
          <spPr>
            <a:ln>
              <a:noFill/>
              <a:prstDash val="solid"/>
            </a:ln>
          </spPr>
          <marker>
            <symbol val="triangle"/>
            <size val="6"/>
            <spPr>
              <a:solidFill>
                <a:srgbClr val="EF8A17"/>
              </a:solidFill>
              <a:ln>
                <a:solidFill>
                  <a:srgbClr val="EF8A17"/>
                </a:solidFill>
                <a:prstDash val="solid"/>
              </a:ln>
            </spPr>
          </marker>
          <xVal>
            <numRef>
              <f>'6 Datos de gráficos'!$O$6:$O$29</f>
            </numRef>
          </xVal>
          <yVal>
            <numRef>
              <f>'6 Datos de gráficos'!$N$6:$N$29</f>
            </numRef>
          </yVal>
        </ser>
        <ser>
          <idx val="2"/>
          <order val="2"/>
          <tx>
            <v>No convergió (n = 12)</v>
          </tx>
          <spPr>
            <a:ln>
              <a:noFill/>
              <a:prstDash val="solid"/>
            </a:ln>
          </spPr>
          <marker>
            <symbol val="x"/>
            <size val="7"/>
            <spPr>
              <a:noFill/>
              <a:ln>
                <a:solidFill>
                  <a:srgbClr val="C62828"/>
                </a:solidFill>
                <a:prstDash val="solid"/>
              </a:ln>
            </spPr>
          </marker>
          <xVal>
            <numRef>
              <f>'6 Datos de gráficos'!$Q$6:$Q$17</f>
            </numRef>
          </xVal>
          <yVal>
            <numRef>
              <f>'6 Datos de gráficos'!$P$6:$P$17</f>
            </numRef>
          </yVal>
        </ser>
        <ser>
          <idx val="3"/>
          <order val="3"/>
          <tx>
            <v>Falso convergido (n = 12)</v>
          </tx>
          <spPr>
            <a:ln>
              <a:noFill/>
              <a:prstDash val="solid"/>
            </a:ln>
          </spPr>
          <marker>
            <symbol val="x"/>
            <size val="7"/>
            <spPr>
              <a:noFill/>
              <a:ln>
                <a:solidFill>
                  <a:srgbClr val="9E9E9E"/>
                </a:solidFill>
                <a:prstDash val="solid"/>
              </a:ln>
            </spPr>
          </marker>
          <xVal>
            <numRef>
              <f>'6 Datos de gráficos'!$S$6:$S$17</f>
            </numRef>
          </xVal>
          <yVal>
            <numRef>
              <f>'6 Datos de gráficos'!$R$6:$R$17</f>
            </numRef>
          </yVal>
        </ser>
        <ser>
          <idx val="4"/>
          <order val="4"/>
          <tx>
            <v>P_baja mínima KALINA</v>
          </tx>
          <spPr>
            <a:ln w="22000">
              <a:solidFill>
                <a:srgbClr val="000000"/>
              </a:solidFill>
              <a:prstDash val="dash"/>
            </a:ln>
          </spPr>
          <marker>
            <symbol val="none"/>
            <size val="5"/>
            <spPr>
              <a:solidFill>
                <a:srgbClr val="000000"/>
              </a:solidFill>
              <a:ln>
                <a:solidFill>
                  <a:srgbClr val="000000"/>
                </a:solidFill>
                <a:prstDash val="solid"/>
              </a:ln>
            </spPr>
          </marker>
          <xVal>
            <numRef>
              <f>'6 Datos de gráficos'!$U$6:$U$17</f>
            </numRef>
          </xVal>
          <yVal>
            <numRef>
              <f>'6 Datos de gráficos'!$T$6:$T$17</f>
            </numRef>
          </yVal>
          <smooth val="0"/>
        </ser>
        <axId val="10"/>
        <axId val="20"/>
      </scatterChart>
      <valAx>
        <axId val="10"/>
        <scaling>
          <orientation val="minMax"/>
          <max val="1"/>
          <min val="0.2"/>
        </scaling>
        <delete val="0"/>
        <axPos val="l"/>
        <majorGridlines/>
        <title>
          <tx>
            <rich>
              <a:bodyPr/>
              <a:p>
                <a:pPr>
                  <a:defRPr sz="900" b="0"/>
                </a:pPr>
                <a:r>
                  <a:rPr sz="900" b="0"/>
                  <a:t>Fracción de amoníaco de la mezcla base, x_b [–]</a:t>
                </a:r>
              </a:p>
            </rich>
          </tx>
          <overlay val="0"/>
        </title>
        <majorTickMark val="none"/>
        <minorTickMark val="none"/>
        <tickLblPos val="low"/>
        <txPr>
          <a:bodyPr/>
          <a:p>
            <a:pPr>
              <a:defRPr sz="800" b="0"/>
            </a:pPr>
            <a:r>
              <a:t/>
            </a:r>
            <a:endParaRPr sz="800" b="0"/>
          </a:p>
        </txPr>
        <crossAx val="20"/>
        <crosses val="min"/>
        <majorUnit val="0.1"/>
      </valAx>
      <valAx>
        <axId val="20"/>
        <scaling>
          <orientation val="minMax"/>
          <max val="1200"/>
          <min val="200"/>
        </scaling>
        <delete val="0"/>
        <axPos val="l"/>
        <majorGridlines/>
        <title>
          <tx>
            <rich>
              <a:bodyPr/>
              <a:p>
                <a:pPr>
                  <a:defRPr sz="900" b="0"/>
                </a:pPr>
                <a:r>
                  <a:rPr sz="900" b="0"/>
                  <a:t>Presión de baja, P_baja [kPa]</a:t>
                </a:r>
              </a:p>
            </rich>
          </tx>
          <overlay val="0"/>
        </title>
        <majorTickMark val="none"/>
        <minorTickMark val="none"/>
        <tickLblPos val="low"/>
        <txPr>
          <a:bodyPr/>
          <a:p>
            <a:pPr>
              <a:defRPr sz="800" b="0"/>
            </a:pPr>
            <a:r>
              <a:t/>
            </a:r>
            <a:endParaRPr sz="800" b="0"/>
          </a:p>
        </txPr>
        <crossAx val="10"/>
        <crosses val="min"/>
        <majorUnit val="200"/>
      </valAx>
    </plotArea>
    <legend>
      <legendPos val="b"/>
      <overlay val="0"/>
      <txPr>
        <a:bodyPr/>
        <a:p>
          <a:pPr>
            <a:defRPr sz="800" b="0"/>
          </a:pPr>
          <a:r>
            <a:t/>
          </a:r>
          <a:endParaRPr sz="800" b="0"/>
        </a:p>
      </txPr>
    </legend>
    <plotVisOnly val="0"/>
    <dispBlanksAs val="gap"/>
  </chart>
</chartSpace>
</file>

<file path=xl/charts/chart142.xml><?xml version="1.0" encoding="utf-8"?>
<chartSpace xmlns:a="http://schemas.openxmlformats.org/drawingml/2006/main" xmlns="http://schemas.openxmlformats.org/drawingml/2006/chart">
  <style val="13"/>
  <chart>
    <title>
      <tx>
        <rich>
          <a:bodyPr/>
          <a:p>
            <a:pPr>
              <a:defRPr sz="900" b="1"/>
            </a:pPr>
            <a:r>
              <a:rPr sz="900" b="1"/>
              <a:t>T_fuente</a:t>
            </a:r>
          </a:p>
        </rich>
      </tx>
      <overlay val="0"/>
    </title>
    <plotArea>
      <scatterChart>
        <varyColors val="0"/>
        <ser>
          <idx val="0"/>
          <order val="0"/>
          <tx>
            <v>KALINA (n = 7)</v>
          </tx>
          <spPr>
            <a:ln>
              <a:noFill/>
              <a:prstDash val="solid"/>
            </a:ln>
          </spPr>
          <marker>
            <symbol val="circle"/>
            <size val="6"/>
            <spPr>
              <a:solidFill>
                <a:srgbClr val="2E7D32"/>
              </a:solidFill>
              <a:ln>
                <a:solidFill>
                  <a:srgbClr val="2E7D32"/>
                </a:solidFill>
                <a:prstDash val="solid"/>
              </a:ln>
            </spPr>
          </marker>
          <xVal>
            <numRef>
              <f>'6 Datos de gráficos'!$X$6:$X$12</f>
            </numRef>
          </xVal>
          <yVal>
            <numRef>
              <f>'6 Datos de gráficos'!$W$6:$W$12</f>
            </numRef>
          </yVal>
        </ser>
        <ser>
          <idx val="1"/>
          <order val="1"/>
          <tx>
            <v>Corregible (n = 8)</v>
          </tx>
          <spPr>
            <a:ln>
              <a:noFill/>
              <a:prstDash val="solid"/>
            </a:ln>
          </spPr>
          <marker>
            <symbol val="triangle"/>
            <size val="6"/>
            <spPr>
              <a:solidFill>
                <a:srgbClr val="EF8A17"/>
              </a:solidFill>
              <a:ln>
                <a:solidFill>
                  <a:srgbClr val="EF8A17"/>
                </a:solidFill>
                <a:prstDash val="solid"/>
              </a:ln>
            </spPr>
          </marker>
          <xVal>
            <numRef>
              <f>'6 Datos de gráficos'!$Z$6:$Z$13</f>
            </numRef>
          </xVal>
          <yVal>
            <numRef>
              <f>'6 Datos de gráficos'!$Y$6:$Y$13</f>
            </numRef>
          </yVal>
        </ser>
        <axId val="10"/>
        <axId val="20"/>
      </scatterChart>
      <valAx>
        <axId val="10"/>
        <scaling>
          <orientation val="minMax"/>
          <max val="430"/>
          <min val="380"/>
        </scaling>
        <delete val="0"/>
        <axPos val="l"/>
        <majorGridlines/>
        <title>
          <tx>
            <rich>
              <a:bodyPr/>
              <a:p>
                <a:pPr>
                  <a:defRPr sz="800" b="0"/>
                </a:pPr>
                <a:r>
                  <a:rPr sz="800" b="0"/>
                  <a:t>Temperatura de la fuente, T_fuente [K]</a:t>
                </a:r>
              </a:p>
            </rich>
          </tx>
          <overlay val="0"/>
        </title>
        <majorTickMark val="none"/>
        <minorTickMark val="none"/>
        <tickLblPos val="low"/>
        <txPr>
          <a:bodyPr/>
          <a:p>
            <a:pPr>
              <a:defRPr sz="700" b="0"/>
            </a:pPr>
            <a:r>
              <a:t/>
            </a:r>
            <a:endParaRPr sz="700" b="0"/>
          </a:p>
        </txPr>
        <crossAx val="20"/>
        <crosses val="min"/>
        <majorUnit val="10"/>
      </valAx>
      <valAx>
        <axId val="20"/>
        <scaling>
          <orientation val="minMax"/>
          <max val="13.5"/>
          <min val="12"/>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25"/>
      </valAx>
    </plotArea>
    <legend>
      <legendPos val="b"/>
      <overlay val="0"/>
      <txPr>
        <a:bodyPr/>
        <a:p>
          <a:pPr>
            <a:defRPr sz="700" b="0"/>
          </a:pPr>
          <a:r>
            <a:t/>
          </a:r>
          <a:endParaRPr sz="700" b="0"/>
        </a:p>
      </txPr>
    </legend>
    <plotVisOnly val="0"/>
    <dispBlanksAs val="gap"/>
  </chart>
</chartSpace>
</file>

<file path=xl/charts/chart143.xml><?xml version="1.0" encoding="utf-8"?>
<chartSpace xmlns:a="http://schemas.openxmlformats.org/drawingml/2006/main" xmlns="http://schemas.openxmlformats.org/drawingml/2006/chart">
  <style val="13"/>
  <chart>
    <title>
      <tx>
        <rich>
          <a:bodyPr/>
          <a:p>
            <a:pPr>
              <a:defRPr sz="900" b="1"/>
            </a:pPr>
            <a:r>
              <a:rPr sz="900" b="1"/>
              <a:t>T_sumidero</a:t>
            </a:r>
          </a:p>
        </rich>
      </tx>
      <overlay val="0"/>
    </title>
    <plotArea>
      <scatterChart>
        <varyColors val="0"/>
        <ser>
          <idx val="0"/>
          <order val="0"/>
          <tx>
            <v>KALINA (n = 8)</v>
          </tx>
          <spPr>
            <a:ln>
              <a:noFill/>
              <a:prstDash val="solid"/>
            </a:ln>
          </spPr>
          <marker>
            <symbol val="circle"/>
            <size val="6"/>
            <spPr>
              <a:solidFill>
                <a:srgbClr val="2E7D32"/>
              </a:solidFill>
              <a:ln>
                <a:solidFill>
                  <a:srgbClr val="2E7D32"/>
                </a:solidFill>
                <a:prstDash val="solid"/>
              </a:ln>
            </spPr>
          </marker>
          <xVal>
            <numRef>
              <f>'6 Datos de gráficos'!$AB$6:$AB$13</f>
            </numRef>
          </xVal>
          <yVal>
            <numRef>
              <f>'6 Datos de gráficos'!$AA$6:$AA$13</f>
            </numRef>
          </yVal>
        </ser>
        <ser>
          <idx val="1"/>
          <order val="1"/>
          <tx>
            <v>Corregible (n = 7)</v>
          </tx>
          <spPr>
            <a:ln>
              <a:noFill/>
              <a:prstDash val="solid"/>
            </a:ln>
          </spPr>
          <marker>
            <symbol val="triangle"/>
            <size val="6"/>
            <spPr>
              <a:solidFill>
                <a:srgbClr val="EF8A17"/>
              </a:solidFill>
              <a:ln>
                <a:solidFill>
                  <a:srgbClr val="EF8A17"/>
                </a:solidFill>
                <a:prstDash val="solid"/>
              </a:ln>
            </spPr>
          </marker>
          <xVal>
            <numRef>
              <f>'6 Datos de gráficos'!$AD$6:$AD$12</f>
            </numRef>
          </xVal>
          <yVal>
            <numRef>
              <f>'6 Datos de gráficos'!$AC$6:$AC$12</f>
            </numRef>
          </yVal>
        </ser>
        <axId val="10"/>
        <axId val="20"/>
      </scatterChart>
      <valAx>
        <axId val="10"/>
        <scaling>
          <orientation val="minMax"/>
          <max val="295"/>
          <min val="270"/>
        </scaling>
        <delete val="0"/>
        <axPos val="l"/>
        <majorGridlines/>
        <title>
          <tx>
            <rich>
              <a:bodyPr/>
              <a:p>
                <a:pPr>
                  <a:defRPr sz="800" b="0"/>
                </a:pPr>
                <a:r>
                  <a:rPr sz="800" b="0"/>
                  <a:t>Temperatura del sumidero, T_sumidero [K]</a:t>
                </a:r>
              </a:p>
            </rich>
          </tx>
          <overlay val="0"/>
        </title>
        <majorTickMark val="none"/>
        <minorTickMark val="none"/>
        <tickLblPos val="low"/>
        <txPr>
          <a:bodyPr/>
          <a:p>
            <a:pPr>
              <a:defRPr sz="700" b="0"/>
            </a:pPr>
            <a:r>
              <a:t/>
            </a:r>
            <a:endParaRPr sz="700" b="0"/>
          </a:p>
        </txPr>
        <crossAx val="20"/>
        <crosses val="min"/>
        <majorUnit val="5"/>
      </valAx>
      <valAx>
        <axId val="20"/>
        <scaling>
          <orientation val="minMax"/>
          <max val="13.75"/>
          <min val="12.5"/>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25"/>
      </valAx>
    </plotArea>
    <legend>
      <legendPos val="b"/>
      <overlay val="0"/>
      <txPr>
        <a:bodyPr/>
        <a:p>
          <a:pPr>
            <a:defRPr sz="700" b="0"/>
          </a:pPr>
          <a:r>
            <a:t/>
          </a:r>
          <a:endParaRPr sz="700" b="0"/>
        </a:p>
      </txPr>
    </legend>
    <plotVisOnly val="0"/>
    <dispBlanksAs val="gap"/>
  </chart>
</chartSpace>
</file>

<file path=xl/charts/chart144.xml><?xml version="1.0" encoding="utf-8"?>
<chartSpace xmlns:a="http://schemas.openxmlformats.org/drawingml/2006/main" xmlns="http://schemas.openxmlformats.org/drawingml/2006/chart">
  <style val="13"/>
  <chart>
    <title>
      <tx>
        <rich>
          <a:bodyPr/>
          <a:p>
            <a:pPr>
              <a:defRPr sz="900" b="1"/>
            </a:pPr>
            <a:r>
              <a:rPr sz="900" b="1"/>
              <a:t>P_alta</a:t>
            </a:r>
          </a:p>
        </rich>
      </tx>
      <overlay val="0"/>
    </title>
    <plotArea>
      <scatterChart>
        <varyColors val="0"/>
        <ser>
          <idx val="0"/>
          <order val="0"/>
          <tx>
            <v>KALINA (n = 12)</v>
          </tx>
          <spPr>
            <a:ln>
              <a:noFill/>
              <a:prstDash val="solid"/>
            </a:ln>
          </spPr>
          <marker>
            <symbol val="circle"/>
            <size val="6"/>
            <spPr>
              <a:solidFill>
                <a:srgbClr val="2E7D32"/>
              </a:solidFill>
              <a:ln>
                <a:solidFill>
                  <a:srgbClr val="2E7D32"/>
                </a:solidFill>
                <a:prstDash val="solid"/>
              </a:ln>
            </spPr>
          </marker>
          <xVal>
            <numRef>
              <f>'6 Datos de gráficos'!$AF$6:$AF$17</f>
            </numRef>
          </xVal>
          <yVal>
            <numRef>
              <f>'6 Datos de gráficos'!$AE$6:$AE$17</f>
            </numRef>
          </yVal>
        </ser>
        <ser>
          <idx val="1"/>
          <order val="1"/>
          <tx>
            <v>Corregible (n = 3)</v>
          </tx>
          <spPr>
            <a:ln>
              <a:noFill/>
              <a:prstDash val="solid"/>
            </a:ln>
          </spPr>
          <marker>
            <symbol val="triangle"/>
            <size val="6"/>
            <spPr>
              <a:solidFill>
                <a:srgbClr val="EF8A17"/>
              </a:solidFill>
              <a:ln>
                <a:solidFill>
                  <a:srgbClr val="EF8A17"/>
                </a:solidFill>
                <a:prstDash val="solid"/>
              </a:ln>
            </spPr>
          </marker>
          <xVal>
            <numRef>
              <f>'6 Datos de gráficos'!$AH$6:$AH$8</f>
            </numRef>
          </xVal>
          <yVal>
            <numRef>
              <f>'6 Datos de gráficos'!$AG$6:$AG$8</f>
            </numRef>
          </yVal>
        </ser>
        <axId val="10"/>
        <axId val="20"/>
      </scatterChart>
      <valAx>
        <axId val="10"/>
        <scaling>
          <orientation val="minMax"/>
          <max val="4000"/>
          <min val="2500"/>
        </scaling>
        <delete val="0"/>
        <axPos val="l"/>
        <majorGridlines/>
        <title>
          <tx>
            <rich>
              <a:bodyPr/>
              <a:p>
                <a:pPr>
                  <a:defRPr sz="800" b="0"/>
                </a:pPr>
                <a:r>
                  <a:rPr sz="800" b="0"/>
                  <a:t>Presión de alta, P_alta [kPa]</a:t>
                </a:r>
              </a:p>
            </rich>
          </tx>
          <overlay val="0"/>
        </title>
        <majorTickMark val="none"/>
        <minorTickMark val="none"/>
        <tickLblPos val="low"/>
        <txPr>
          <a:bodyPr/>
          <a:p>
            <a:pPr>
              <a:defRPr sz="700" b="0"/>
            </a:pPr>
            <a:r>
              <a:t/>
            </a:r>
            <a:endParaRPr sz="700" b="0"/>
          </a:p>
        </txPr>
        <crossAx val="20"/>
        <crosses val="min"/>
        <majorUnit val="250"/>
      </valAx>
      <valAx>
        <axId val="20"/>
        <scaling>
          <orientation val="minMax"/>
          <max val="14"/>
          <min val="11"/>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5"/>
      </valAx>
    </plotArea>
    <legend>
      <legendPos val="b"/>
      <overlay val="0"/>
      <txPr>
        <a:bodyPr/>
        <a:p>
          <a:pPr>
            <a:defRPr sz="700" b="0"/>
          </a:pPr>
          <a:r>
            <a:t/>
          </a:r>
          <a:endParaRPr sz="700" b="0"/>
        </a:p>
      </txPr>
    </legend>
    <plotVisOnly val="0"/>
    <dispBlanksAs val="gap"/>
  </chart>
</chartSpace>
</file>

<file path=xl/charts/chart145.xml><?xml version="1.0" encoding="utf-8"?>
<chartSpace xmlns:a="http://schemas.openxmlformats.org/drawingml/2006/main" xmlns="http://schemas.openxmlformats.org/drawingml/2006/chart">
  <style val="13"/>
  <chart>
    <title>
      <tx>
        <rich>
          <a:bodyPr/>
          <a:p>
            <a:pPr>
              <a:defRPr sz="900" b="1"/>
            </a:pPr>
            <a:r>
              <a:rPr sz="900" b="1"/>
              <a:t>P_baja</a:t>
            </a:r>
          </a:p>
        </rich>
      </tx>
      <overlay val="0"/>
    </title>
    <plotArea>
      <scatterChart>
        <varyColors val="0"/>
        <ser>
          <idx val="0"/>
          <order val="0"/>
          <tx>
            <v>KALINA (n = 11)</v>
          </tx>
          <spPr>
            <a:ln>
              <a:noFill/>
              <a:prstDash val="solid"/>
            </a:ln>
          </spPr>
          <marker>
            <symbol val="circle"/>
            <size val="6"/>
            <spPr>
              <a:solidFill>
                <a:srgbClr val="2E7D32"/>
              </a:solidFill>
              <a:ln>
                <a:solidFill>
                  <a:srgbClr val="2E7D32"/>
                </a:solidFill>
                <a:prstDash val="solid"/>
              </a:ln>
            </spPr>
          </marker>
          <xVal>
            <numRef>
              <f>'6 Datos de gráficos'!$AJ$6:$AJ$16</f>
            </numRef>
          </xVal>
          <yVal>
            <numRef>
              <f>'6 Datos de gráficos'!$AI$6:$AI$16</f>
            </numRef>
          </yVal>
        </ser>
        <ser>
          <idx val="1"/>
          <order val="1"/>
          <tx>
            <v>Corregible (n = 4)</v>
          </tx>
          <spPr>
            <a:ln>
              <a:noFill/>
              <a:prstDash val="solid"/>
            </a:ln>
          </spPr>
          <marker>
            <symbol val="triangle"/>
            <size val="6"/>
            <spPr>
              <a:solidFill>
                <a:srgbClr val="EF8A17"/>
              </a:solidFill>
              <a:ln>
                <a:solidFill>
                  <a:srgbClr val="EF8A17"/>
                </a:solidFill>
                <a:prstDash val="solid"/>
              </a:ln>
            </spPr>
          </marker>
          <xVal>
            <numRef>
              <f>'6 Datos de gráficos'!$AL$6:$AL$9</f>
            </numRef>
          </xVal>
          <yVal>
            <numRef>
              <f>'6 Datos de gráficos'!$AK$6:$AK$9</f>
            </numRef>
          </yVal>
        </ser>
        <axId val="10"/>
        <axId val="20"/>
      </scatterChart>
      <valAx>
        <axId val="10"/>
        <scaling>
          <orientation val="minMax"/>
          <max val="1200"/>
          <min val="400"/>
        </scaling>
        <delete val="0"/>
        <axPos val="l"/>
        <majorGridlines/>
        <title>
          <tx>
            <rich>
              <a:bodyPr/>
              <a:p>
                <a:pPr>
                  <a:defRPr sz="800" b="0"/>
                </a:pPr>
                <a:r>
                  <a:rPr sz="800" b="0"/>
                  <a:t>Presión de baja, P_baja [kPa]</a:t>
                </a:r>
              </a:p>
            </rich>
          </tx>
          <overlay val="0"/>
        </title>
        <majorTickMark val="none"/>
        <minorTickMark val="none"/>
        <tickLblPos val="low"/>
        <txPr>
          <a:bodyPr/>
          <a:p>
            <a:pPr>
              <a:defRPr sz="700" b="0"/>
            </a:pPr>
            <a:r>
              <a:t/>
            </a:r>
            <a:endParaRPr sz="700" b="0"/>
          </a:p>
        </txPr>
        <crossAx val="20"/>
        <crosses val="min"/>
        <majorUnit val="200"/>
      </valAx>
      <valAx>
        <axId val="20"/>
        <scaling>
          <orientation val="minMax"/>
          <max val="16"/>
          <min val="8"/>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1"/>
      </valAx>
    </plotArea>
    <legend>
      <legendPos val="b"/>
      <overlay val="0"/>
      <txPr>
        <a:bodyPr/>
        <a:p>
          <a:pPr>
            <a:defRPr sz="700" b="0"/>
          </a:pPr>
          <a:r>
            <a:t/>
          </a:r>
          <a:endParaRPr sz="700" b="0"/>
        </a:p>
      </txPr>
    </legend>
    <plotVisOnly val="0"/>
    <dispBlanksAs val="gap"/>
  </chart>
</chartSpace>
</file>

<file path=xl/charts/chart146.xml><?xml version="1.0" encoding="utf-8"?>
<chartSpace xmlns:a="http://schemas.openxmlformats.org/drawingml/2006/main" xmlns="http://schemas.openxmlformats.org/drawingml/2006/chart">
  <style val="13"/>
  <chart>
    <title>
      <tx>
        <rich>
          <a:bodyPr/>
          <a:p>
            <a:pPr>
              <a:defRPr sz="900" b="1"/>
            </a:pPr>
            <a:r>
              <a:rPr sz="900" b="1"/>
              <a:t>x_b</a:t>
            </a:r>
          </a:p>
        </rich>
      </tx>
      <overlay val="0"/>
    </title>
    <plotArea>
      <scatterChart>
        <varyColors val="0"/>
        <ser>
          <idx val="0"/>
          <order val="0"/>
          <tx>
            <v>KALINA (n = 9)</v>
          </tx>
          <spPr>
            <a:ln>
              <a:noFill/>
              <a:prstDash val="solid"/>
            </a:ln>
          </spPr>
          <marker>
            <symbol val="circle"/>
            <size val="6"/>
            <spPr>
              <a:solidFill>
                <a:srgbClr val="2E7D32"/>
              </a:solidFill>
              <a:ln>
                <a:solidFill>
                  <a:srgbClr val="2E7D32"/>
                </a:solidFill>
                <a:prstDash val="solid"/>
              </a:ln>
            </spPr>
          </marker>
          <xVal>
            <numRef>
              <f>'6 Datos de gráficos'!$AN$6:$AN$14</f>
            </numRef>
          </xVal>
          <yVal>
            <numRef>
              <f>'6 Datos de gráficos'!$AM$6:$AM$14</f>
            </numRef>
          </yVal>
        </ser>
        <ser>
          <idx val="1"/>
          <order val="1"/>
          <tx>
            <v>Corregible (n = 5)</v>
          </tx>
          <spPr>
            <a:ln>
              <a:noFill/>
              <a:prstDash val="solid"/>
            </a:ln>
          </spPr>
          <marker>
            <symbol val="triangle"/>
            <size val="6"/>
            <spPr>
              <a:solidFill>
                <a:srgbClr val="EF8A17"/>
              </a:solidFill>
              <a:ln>
                <a:solidFill>
                  <a:srgbClr val="EF8A17"/>
                </a:solidFill>
                <a:prstDash val="solid"/>
              </a:ln>
            </spPr>
          </marker>
          <xVal>
            <numRef>
              <f>'6 Datos de gráficos'!$AP$6:$AP$10</f>
            </numRef>
          </xVal>
          <yVal>
            <numRef>
              <f>'6 Datos de gráficos'!$AO$6:$AO$10</f>
            </numRef>
          </yVal>
        </ser>
        <ser>
          <idx val="2"/>
          <order val="2"/>
          <tx>
            <v>No convergió (n = 1)</v>
          </tx>
          <spPr>
            <a:ln>
              <a:noFill/>
              <a:prstDash val="solid"/>
            </a:ln>
          </spPr>
          <marker>
            <symbol val="x"/>
            <size val="7"/>
            <spPr>
              <a:noFill/>
              <a:ln>
                <a:solidFill>
                  <a:srgbClr val="C62828"/>
                </a:solidFill>
                <a:prstDash val="solid"/>
              </a:ln>
            </spPr>
          </marker>
          <xVal>
            <numRef>
              <f>'6 Datos de gráficos'!$AR$6</f>
            </numRef>
          </xVal>
          <yVal>
            <numRef>
              <f>'6 Datos de gráficos'!$AQ$6</f>
            </numRef>
          </yVal>
        </ser>
        <axId val="10"/>
        <axId val="20"/>
      </scatterChart>
      <valAx>
        <axId val="10"/>
        <scaling>
          <orientation val="minMax"/>
          <max val="1"/>
          <min val="0.5"/>
        </scaling>
        <delete val="0"/>
        <axPos val="l"/>
        <majorGridlines/>
        <title>
          <tx>
            <rich>
              <a:bodyPr/>
              <a:p>
                <a:pPr>
                  <a:defRPr sz="800" b="0"/>
                </a:pPr>
                <a:r>
                  <a:rPr sz="800" b="0"/>
                  <a:t>Fracción de amoníaco de la mezcla base, x_b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5"/>
          <min val="0"/>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2.5"/>
      </valAx>
    </plotArea>
    <legend>
      <legendPos val="b"/>
      <overlay val="0"/>
      <txPr>
        <a:bodyPr/>
        <a:p>
          <a:pPr>
            <a:defRPr sz="700" b="0"/>
          </a:pPr>
          <a:r>
            <a:t/>
          </a:r>
          <a:endParaRPr sz="700" b="0"/>
        </a:p>
      </txPr>
    </legend>
    <plotVisOnly val="0"/>
    <dispBlanksAs val="gap"/>
  </chart>
</chartSpace>
</file>

<file path=xl/charts/chart147.xml><?xml version="1.0" encoding="utf-8"?>
<chartSpace xmlns:a="http://schemas.openxmlformats.org/drawingml/2006/main" xmlns="http://schemas.openxmlformats.org/drawingml/2006/chart">
  <style val="13"/>
  <chart>
    <title>
      <tx>
        <rich>
          <a:bodyPr/>
          <a:p>
            <a:pPr>
              <a:defRPr sz="900" b="1"/>
            </a:pPr>
            <a:r>
              <a:rPr sz="900" b="1"/>
              <a:t>η_t</a:t>
            </a:r>
          </a:p>
        </rich>
      </tx>
      <overlay val="0"/>
    </title>
    <plotArea>
      <scatterChart>
        <varyColors val="0"/>
        <ser>
          <idx val="0"/>
          <order val="0"/>
          <tx>
            <v>KALINA (n = 15)</v>
          </tx>
          <spPr>
            <a:ln>
              <a:noFill/>
              <a:prstDash val="solid"/>
            </a:ln>
          </spPr>
          <marker>
            <symbol val="circle"/>
            <size val="6"/>
            <spPr>
              <a:solidFill>
                <a:srgbClr val="2E7D32"/>
              </a:solidFill>
              <a:ln>
                <a:solidFill>
                  <a:srgbClr val="2E7D32"/>
                </a:solidFill>
                <a:prstDash val="solid"/>
              </a:ln>
            </spPr>
          </marker>
          <xVal>
            <numRef>
              <f>'6 Datos de gráficos'!$AT$6:$AT$20</f>
            </numRef>
          </xVal>
          <yVal>
            <numRef>
              <f>'6 Datos de gráficos'!$AS$6:$AS$20</f>
            </numRef>
          </yVal>
        </ser>
        <axId val="10"/>
        <axId val="20"/>
      </scatterChart>
      <valAx>
        <axId val="10"/>
        <scaling>
          <orientation val="minMax"/>
          <max val="0.9500000000000001"/>
          <min val="0.75"/>
        </scaling>
        <delete val="0"/>
        <axPos val="l"/>
        <majorGridlines/>
        <title>
          <tx>
            <rich>
              <a:bodyPr/>
              <a:p>
                <a:pPr>
                  <a:defRPr sz="800" b="0"/>
                </a:pPr>
                <a:r>
                  <a:rPr sz="800" b="0"/>
                  <a:t>Eficiencia isentrópica de la turbina, η_t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3.5"/>
          <min val="10.5"/>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5"/>
      </valAx>
    </plotArea>
    <legend>
      <legendPos val="b"/>
      <overlay val="0"/>
      <txPr>
        <a:bodyPr/>
        <a:p>
          <a:pPr>
            <a:defRPr sz="700" b="0"/>
          </a:pPr>
          <a:r>
            <a:t/>
          </a:r>
          <a:endParaRPr sz="700" b="0"/>
        </a:p>
      </txPr>
    </legend>
    <plotVisOnly val="0"/>
    <dispBlanksAs val="gap"/>
  </chart>
</chartSpace>
</file>

<file path=xl/charts/chart148.xml><?xml version="1.0" encoding="utf-8"?>
<chartSpace xmlns:a="http://schemas.openxmlformats.org/drawingml/2006/main" xmlns="http://schemas.openxmlformats.org/drawingml/2006/chart">
  <style val="13"/>
  <chart>
    <title>
      <tx>
        <rich>
          <a:bodyPr/>
          <a:p>
            <a:pPr>
              <a:defRPr sz="900" b="1"/>
            </a:pPr>
            <a:r>
              <a:rPr sz="900" b="1"/>
              <a:t>η_p</a:t>
            </a:r>
          </a:p>
        </rich>
      </tx>
      <overlay val="0"/>
    </title>
    <plotArea>
      <scatterChart>
        <varyColors val="0"/>
        <ser>
          <idx val="0"/>
          <order val="0"/>
          <tx>
            <v>KALINA (n = 15)</v>
          </tx>
          <spPr>
            <a:ln>
              <a:noFill/>
              <a:prstDash val="solid"/>
            </a:ln>
          </spPr>
          <marker>
            <symbol val="circle"/>
            <size val="6"/>
            <spPr>
              <a:solidFill>
                <a:srgbClr val="2E7D32"/>
              </a:solidFill>
              <a:ln>
                <a:solidFill>
                  <a:srgbClr val="2E7D32"/>
                </a:solidFill>
                <a:prstDash val="solid"/>
              </a:ln>
            </spPr>
          </marker>
          <xVal>
            <numRef>
              <f>'6 Datos de gráficos'!$AV$6:$AV$20</f>
            </numRef>
          </xVal>
          <yVal>
            <numRef>
              <f>'6 Datos de gráficos'!$AU$6:$AU$20</f>
            </numRef>
          </yVal>
        </ser>
        <axId val="10"/>
        <axId val="20"/>
      </scatterChart>
      <valAx>
        <axId val="10"/>
        <scaling>
          <orientation val="minMax"/>
          <max val="0.9"/>
          <min val="0.55"/>
        </scaling>
        <delete val="0"/>
        <axPos val="l"/>
        <majorGridlines/>
        <title>
          <tx>
            <rich>
              <a:bodyPr/>
              <a:p>
                <a:pPr>
                  <a:defRPr sz="800" b="0"/>
                </a:pPr>
                <a:r>
                  <a:rPr sz="800" b="0"/>
                  <a:t>Eficiencia isentrópica de la bomba, η_p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2.8"/>
          <min val="12.55"/>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05"/>
      </valAx>
    </plotArea>
    <legend>
      <legendPos val="b"/>
      <overlay val="0"/>
      <txPr>
        <a:bodyPr/>
        <a:p>
          <a:pPr>
            <a:defRPr sz="700" b="0"/>
          </a:pPr>
          <a:r>
            <a:t/>
          </a:r>
          <a:endParaRPr sz="700" b="0"/>
        </a:p>
      </txPr>
    </legend>
    <plotVisOnly val="0"/>
    <dispBlanksAs val="gap"/>
  </chart>
</chartSpace>
</file>

<file path=xl/charts/chart149.xml><?xml version="1.0" encoding="utf-8"?>
<chartSpace xmlns:a="http://schemas.openxmlformats.org/drawingml/2006/main" xmlns="http://schemas.openxmlformats.org/drawingml/2006/chart">
  <style val="13"/>
  <chart>
    <title>
      <tx>
        <rich>
          <a:bodyPr/>
          <a:p>
            <a:pPr>
              <a:defRPr sz="900" b="1"/>
            </a:pPr>
            <a:r>
              <a:rPr sz="900" b="1"/>
              <a:t>ε_HRVG</a:t>
            </a:r>
          </a:p>
        </rich>
      </tx>
      <overlay val="0"/>
    </title>
    <plotArea>
      <scatterChart>
        <varyColors val="0"/>
        <ser>
          <idx val="0"/>
          <order val="0"/>
          <tx>
            <v>KALINA (n = 14)</v>
          </tx>
          <spPr>
            <a:ln>
              <a:noFill/>
              <a:prstDash val="solid"/>
            </a:ln>
          </spPr>
          <marker>
            <symbol val="circle"/>
            <size val="6"/>
            <spPr>
              <a:solidFill>
                <a:srgbClr val="2E7D32"/>
              </a:solidFill>
              <a:ln>
                <a:solidFill>
                  <a:srgbClr val="2E7D32"/>
                </a:solidFill>
                <a:prstDash val="solid"/>
              </a:ln>
            </spPr>
          </marker>
          <xVal>
            <numRef>
              <f>'6 Datos de gráficos'!$AX$6:$AX$19</f>
            </numRef>
          </xVal>
          <yVal>
            <numRef>
              <f>'6 Datos de gráficos'!$AW$6:$AW$19</f>
            </numRef>
          </yVal>
        </ser>
        <ser>
          <idx val="1"/>
          <order val="1"/>
          <tx>
            <v>Corregible (n = 1)</v>
          </tx>
          <spPr>
            <a:ln>
              <a:noFill/>
              <a:prstDash val="solid"/>
            </a:ln>
          </spPr>
          <marker>
            <symbol val="triangle"/>
            <size val="6"/>
            <spPr>
              <a:solidFill>
                <a:srgbClr val="EF8A17"/>
              </a:solidFill>
              <a:ln>
                <a:solidFill>
                  <a:srgbClr val="EF8A17"/>
                </a:solidFill>
                <a:prstDash val="solid"/>
              </a:ln>
            </spPr>
          </marker>
          <xVal>
            <numRef>
              <f>'6 Datos de gráficos'!$AZ$6</f>
            </numRef>
          </xVal>
          <yVal>
            <numRef>
              <f>'6 Datos de gráficos'!$AY$6</f>
            </numRef>
          </yVal>
        </ser>
        <axId val="10"/>
        <axId val="20"/>
      </scatterChart>
      <valAx>
        <axId val="10"/>
        <scaling>
          <orientation val="minMax"/>
          <max val="1"/>
          <min val="0.5"/>
        </scaling>
        <delete val="0"/>
        <axPos val="l"/>
        <majorGridlines/>
        <title>
          <tx>
            <rich>
              <a:bodyPr/>
              <a:p>
                <a:pPr>
                  <a:defRPr sz="800" b="0"/>
                </a:pPr>
                <a:r>
                  <a:rPr sz="800" b="0"/>
                  <a:t>Efectividad del generador de vapor, ε_HRVG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3.25"/>
          <min val="11.5"/>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25"/>
      </valAx>
    </plotArea>
    <legend>
      <legendPos val="b"/>
      <overlay val="0"/>
      <txPr>
        <a:bodyPr/>
        <a:p>
          <a:pPr>
            <a:defRPr sz="700" b="0"/>
          </a:pPr>
          <a:r>
            <a:t/>
          </a:r>
          <a:endParaRPr sz="700" b="0"/>
        </a:p>
      </txPr>
    </legend>
    <plotVisOnly val="0"/>
    <dispBlanksAs val="gap"/>
  </chart>
</chartSpace>
</file>

<file path=xl/charts/chart150.xml><?xml version="1.0" encoding="utf-8"?>
<chartSpace xmlns:a="http://schemas.openxmlformats.org/drawingml/2006/main" xmlns="http://schemas.openxmlformats.org/drawingml/2006/chart">
  <style val="13"/>
  <chart>
    <title>
      <tx>
        <rich>
          <a:bodyPr/>
          <a:p>
            <a:pPr>
              <a:defRPr sz="900" b="1"/>
            </a:pPr>
            <a:r>
              <a:rPr sz="900" b="1"/>
              <a:t>ε_reg</a:t>
            </a:r>
          </a:p>
        </rich>
      </tx>
      <overlay val="0"/>
    </title>
    <plotArea>
      <scatterChart>
        <varyColors val="0"/>
        <ser>
          <idx val="0"/>
          <order val="0"/>
          <tx>
            <v>KALINA (n = 15)</v>
          </tx>
          <spPr>
            <a:ln>
              <a:noFill/>
              <a:prstDash val="solid"/>
            </a:ln>
          </spPr>
          <marker>
            <symbol val="circle"/>
            <size val="6"/>
            <spPr>
              <a:solidFill>
                <a:srgbClr val="2E7D32"/>
              </a:solidFill>
              <a:ln>
                <a:solidFill>
                  <a:srgbClr val="2E7D32"/>
                </a:solidFill>
                <a:prstDash val="solid"/>
              </a:ln>
            </spPr>
          </marker>
          <xVal>
            <numRef>
              <f>'6 Datos de gráficos'!$BB$6:$BB$20</f>
            </numRef>
          </xVal>
          <yVal>
            <numRef>
              <f>'6 Datos de gráficos'!$BA$6:$BA$20</f>
            </numRef>
          </yVal>
        </ser>
        <axId val="10"/>
        <axId val="20"/>
      </scatterChart>
      <valAx>
        <axId val="10"/>
        <scaling>
          <orientation val="minMax"/>
          <max val="1"/>
          <min val="0.4"/>
        </scaling>
        <delete val="0"/>
        <axPos val="l"/>
        <majorGridlines/>
        <title>
          <tx>
            <rich>
              <a:bodyPr/>
              <a:p>
                <a:pPr>
                  <a:defRPr sz="800" b="0"/>
                </a:pPr>
                <a:r>
                  <a:rPr sz="800" b="0"/>
                  <a:t>Efectividad del regenerador, ε_reg [–]</a:t>
                </a:r>
              </a:p>
            </rich>
          </tx>
          <overlay val="0"/>
        </title>
        <majorTickMark val="none"/>
        <minorTickMark val="none"/>
        <tickLblPos val="low"/>
        <txPr>
          <a:bodyPr/>
          <a:p>
            <a:pPr>
              <a:defRPr sz="700" b="0"/>
            </a:pPr>
            <a:r>
              <a:t/>
            </a:r>
            <a:endParaRPr sz="700" b="0"/>
          </a:p>
        </txPr>
        <crossAx val="20"/>
        <crosses val="min"/>
        <majorUnit val="0.1"/>
      </valAx>
      <valAx>
        <axId val="20"/>
        <scaling>
          <orientation val="minMax"/>
          <max val="13.25"/>
          <min val="11.75"/>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0.25"/>
      </valAx>
    </plotArea>
    <legend>
      <legendPos val="b"/>
      <overlay val="0"/>
      <txPr>
        <a:bodyPr/>
        <a:p>
          <a:pPr>
            <a:defRPr sz="700" b="0"/>
          </a:pPr>
          <a:r>
            <a:t/>
          </a:r>
          <a:endParaRPr sz="700" b="0"/>
        </a:p>
      </txPr>
    </legend>
    <plotVisOnly val="0"/>
    <dispBlanksAs val="gap"/>
  </chart>
</chartSpace>
</file>

<file path=xl/charts/chart151.xml><?xml version="1.0" encoding="utf-8"?>
<chartSpace xmlns:a="http://schemas.openxmlformats.org/drawingml/2006/main" xmlns="http://schemas.openxmlformats.org/drawingml/2006/chart">
  <style val="13"/>
  <chart>
    <title>
      <tx>
        <rich>
          <a:bodyPr/>
          <a:p>
            <a:pPr>
              <a:defRPr sz="900" b="1"/>
            </a:pPr>
            <a:r>
              <a:rPr sz="900" b="1"/>
              <a:t>ε_cond</a:t>
            </a:r>
          </a:p>
        </rich>
      </tx>
      <overlay val="0"/>
    </title>
    <plotArea>
      <scatterChart>
        <varyColors val="0"/>
        <ser>
          <idx val="0"/>
          <order val="0"/>
          <tx>
            <v>KALINA (n = 1)</v>
          </tx>
          <spPr>
            <a:ln>
              <a:noFill/>
              <a:prstDash val="solid"/>
            </a:ln>
          </spPr>
          <marker>
            <symbol val="circle"/>
            <size val="6"/>
            <spPr>
              <a:solidFill>
                <a:srgbClr val="2E7D32"/>
              </a:solidFill>
              <a:ln>
                <a:solidFill>
                  <a:srgbClr val="2E7D32"/>
                </a:solidFill>
                <a:prstDash val="solid"/>
              </a:ln>
            </spPr>
          </marker>
          <xVal>
            <numRef>
              <f>'6 Datos de gráficos'!$BD$6</f>
            </numRef>
          </xVal>
          <yVal>
            <numRef>
              <f>'6 Datos de gráficos'!$BC$6</f>
            </numRef>
          </yVal>
        </ser>
        <ser>
          <idx val="1"/>
          <order val="1"/>
          <tx>
            <v>Corregible (n = 13)</v>
          </tx>
          <spPr>
            <a:ln>
              <a:noFill/>
              <a:prstDash val="solid"/>
            </a:ln>
          </spPr>
          <marker>
            <symbol val="triangle"/>
            <size val="6"/>
            <spPr>
              <a:solidFill>
                <a:srgbClr val="EF8A17"/>
              </a:solidFill>
              <a:ln>
                <a:solidFill>
                  <a:srgbClr val="EF8A17"/>
                </a:solidFill>
                <a:prstDash val="solid"/>
              </a:ln>
            </spPr>
          </marker>
          <xVal>
            <numRef>
              <f>'6 Datos de gráficos'!$BF$6:$BF$18</f>
            </numRef>
          </xVal>
          <yVal>
            <numRef>
              <f>'6 Datos de gráficos'!$BE$6:$BE$18</f>
            </numRef>
          </yVal>
        </ser>
        <ser>
          <idx val="2"/>
          <order val="2"/>
          <tx>
            <v>No convergió (n = 1)</v>
          </tx>
          <spPr>
            <a:ln>
              <a:noFill/>
              <a:prstDash val="solid"/>
            </a:ln>
          </spPr>
          <marker>
            <symbol val="x"/>
            <size val="7"/>
            <spPr>
              <a:noFill/>
              <a:ln>
                <a:solidFill>
                  <a:srgbClr val="C62828"/>
                </a:solidFill>
                <a:prstDash val="solid"/>
              </a:ln>
            </spPr>
          </marker>
          <xVal>
            <numRef>
              <f>'6 Datos de gráficos'!$BH$6</f>
            </numRef>
          </xVal>
          <yVal>
            <numRef>
              <f>'6 Datos de gráficos'!$BG$6</f>
            </numRef>
          </yVal>
        </ser>
        <axId val="10"/>
        <axId val="20"/>
      </scatterChart>
      <valAx>
        <axId val="10"/>
        <scaling>
          <orientation val="minMax"/>
          <max val="0.9500000000000001"/>
          <min val="0.65"/>
        </scaling>
        <delete val="0"/>
        <axPos val="l"/>
        <majorGridlines/>
        <title>
          <tx>
            <rich>
              <a:bodyPr/>
              <a:p>
                <a:pPr>
                  <a:defRPr sz="800" b="0"/>
                </a:pPr>
                <a:r>
                  <a:rPr sz="800" b="0"/>
                  <a:t>Efectividad del condensador, ε_cond [–]</a:t>
                </a:r>
              </a:p>
            </rich>
          </tx>
          <overlay val="0"/>
        </title>
        <majorTickMark val="none"/>
        <minorTickMark val="none"/>
        <tickLblPos val="low"/>
        <txPr>
          <a:bodyPr/>
          <a:p>
            <a:pPr>
              <a:defRPr sz="700" b="0"/>
            </a:pPr>
            <a:r>
              <a:t/>
            </a:r>
            <a:endParaRPr sz="700" b="0"/>
          </a:p>
        </txPr>
        <crossAx val="20"/>
        <crosses val="min"/>
        <majorUnit val="0.05"/>
      </valAx>
      <valAx>
        <axId val="20"/>
        <scaling>
          <orientation val="minMax"/>
          <max val="15"/>
          <min val="0"/>
        </scaling>
        <delete val="0"/>
        <axPos val="l"/>
        <majorGridlines/>
        <title>
          <tx>
            <rich>
              <a:bodyPr/>
              <a:p>
                <a:pPr>
                  <a:defRPr sz="800" b="0"/>
                </a:pPr>
                <a:r>
                  <a:rPr sz="800" b="0"/>
                  <a:t>η [%] (0 = sin η)</a:t>
                </a:r>
              </a:p>
            </rich>
          </tx>
          <overlay val="0"/>
        </title>
        <majorTickMark val="none"/>
        <minorTickMark val="none"/>
        <tickLblPos val="low"/>
        <txPr>
          <a:bodyPr/>
          <a:p>
            <a:pPr>
              <a:defRPr sz="700" b="0"/>
            </a:pPr>
            <a:r>
              <a:t/>
            </a:r>
            <a:endParaRPr sz="700" b="0"/>
          </a:p>
        </txPr>
        <crossAx val="10"/>
        <crosses val="min"/>
        <majorUnit val="2.5"/>
      </valAx>
    </plotArea>
    <legend>
      <legendPos val="b"/>
      <overlay val="0"/>
      <txPr>
        <a:bodyPr/>
        <a:p>
          <a:pPr>
            <a:defRPr sz="700" b="0"/>
          </a:pPr>
          <a:r>
            <a:t/>
          </a:r>
          <a:endParaRPr sz="700" b="0"/>
        </a:p>
      </txPr>
    </legend>
    <plotVisOnly val="0"/>
    <dispBlanksAs val="gap"/>
  </chart>
</chartSpace>
</file>

<file path=xl/charts/chart152.xml><?xml version="1.0" encoding="utf-8"?>
<chartSpace xmlns:a="http://schemas.openxmlformats.org/drawingml/2006/main" xmlns="http://schemas.openxmlformats.org/drawingml/2006/chart">
  <style val="13"/>
  <chart>
    <title>
      <tx>
        <rich>
          <a:bodyPr/>
          <a:p>
            <a:pPr>
              <a:defRPr sz="1100" b="1"/>
            </a:pPr>
            <a:r>
              <a:rPr sz="1100" b="1"/>
              <a:t>Húsavík con poco amoníaco: η según x_b</a:t>
            </a:r>
          </a:p>
        </rich>
      </tx>
      <overlay val="0"/>
    </title>
    <plotArea>
      <scatterChart>
        <varyColors val="0"/>
        <ser>
          <idx val="0"/>
          <order val="0"/>
          <tx>
            <v>KALINA (n = 8)</v>
          </tx>
          <spPr>
            <a:ln>
              <a:noFill/>
              <a:prstDash val="solid"/>
            </a:ln>
          </spPr>
          <marker>
            <symbol val="circle"/>
            <size val="6"/>
            <spPr>
              <a:solidFill>
                <a:srgbClr val="2E7D32"/>
              </a:solidFill>
              <a:ln>
                <a:solidFill>
                  <a:srgbClr val="2E7D32"/>
                </a:solidFill>
                <a:prstDash val="solid"/>
              </a:ln>
            </spPr>
          </marker>
          <xVal>
            <numRef>
              <f>'6 Datos de gráficos'!$BK$6:$BK$13</f>
            </numRef>
          </xVal>
          <yVal>
            <numRef>
              <f>'6 Datos de gráficos'!$BJ$6:$BJ$13</f>
            </numRef>
          </yVal>
        </ser>
        <ser>
          <idx val="1"/>
          <order val="1"/>
          <tx>
            <v>No convergió (n = 5)</v>
          </tx>
          <spPr>
            <a:ln>
              <a:noFill/>
              <a:prstDash val="solid"/>
            </a:ln>
          </spPr>
          <marker>
            <symbol val="x"/>
            <size val="7"/>
            <spPr>
              <a:noFill/>
              <a:ln>
                <a:solidFill>
                  <a:srgbClr val="C62828"/>
                </a:solidFill>
                <a:prstDash val="solid"/>
              </a:ln>
            </spPr>
          </marker>
          <xVal>
            <numRef>
              <f>'6 Datos de gráficos'!$BM$6:$BM$10</f>
            </numRef>
          </xVal>
          <yVal>
            <numRef>
              <f>'6 Datos de gráficos'!$BL$6:$BL$10</f>
            </numRef>
          </yVal>
        </ser>
        <ser>
          <idx val="2"/>
          <order val="2"/>
          <tx>
            <v>Falso convergido (n = 4)</v>
          </tx>
          <spPr>
            <a:ln>
              <a:noFill/>
              <a:prstDash val="solid"/>
            </a:ln>
          </spPr>
          <marker>
            <symbol val="x"/>
            <size val="7"/>
            <spPr>
              <a:noFill/>
              <a:ln>
                <a:solidFill>
                  <a:srgbClr val="9E9E9E"/>
                </a:solidFill>
                <a:prstDash val="solid"/>
              </a:ln>
            </spPr>
          </marker>
          <xVal>
            <numRef>
              <f>'6 Datos de gráficos'!$BO$6:$BO$9</f>
            </numRef>
          </xVal>
          <yVal>
            <numRef>
              <f>'6 Datos de gráficos'!$BN$6:$BN$9</f>
            </numRef>
          </yVal>
        </ser>
        <axId val="10"/>
        <axId val="20"/>
      </scatterChart>
      <valAx>
        <axId val="10"/>
        <scaling>
          <orientation val="minMax"/>
          <max val="0.7000000000000001"/>
          <min val="0.2"/>
        </scaling>
        <delete val="0"/>
        <axPos val="l"/>
        <majorGridlines/>
        <title>
          <tx>
            <rich>
              <a:bodyPr/>
              <a:p>
                <a:pPr>
                  <a:defRPr sz="900" b="0"/>
                </a:pPr>
                <a:r>
                  <a:rPr sz="900" b="0"/>
                  <a:t>Fracción de amoníaco de la mezcla base, x_b [–]</a:t>
                </a:r>
              </a:p>
            </rich>
          </tx>
          <overlay val="0"/>
        </title>
        <majorTickMark val="none"/>
        <minorTickMark val="none"/>
        <tickLblPos val="low"/>
        <txPr>
          <a:bodyPr/>
          <a:p>
            <a:pPr>
              <a:defRPr sz="800" b="0"/>
            </a:pPr>
            <a:r>
              <a:t/>
            </a:r>
            <a:endParaRPr sz="800" b="0"/>
          </a:p>
        </txPr>
        <crossAx val="20"/>
        <crosses val="min"/>
        <majorUnit val="0.1"/>
      </valAx>
      <valAx>
        <axId val="20"/>
        <scaling>
          <orientation val="minMax"/>
          <max val="12.5"/>
          <min val="0"/>
        </scaling>
        <delete val="0"/>
        <axPos val="l"/>
        <majorGridlines/>
        <title>
          <tx>
            <rich>
              <a:bodyPr/>
              <a:p>
                <a:pPr>
                  <a:defRPr sz="900" b="0"/>
                </a:pPr>
                <a:r>
                  <a:rPr sz="900" b="0"/>
                  <a:t>η [%] (0 = sin η)</a:t>
                </a:r>
              </a:p>
            </rich>
          </tx>
          <overlay val="0"/>
        </title>
        <majorTickMark val="none"/>
        <minorTickMark val="none"/>
        <tickLblPos val="low"/>
        <txPr>
          <a:bodyPr/>
          <a:p>
            <a:pPr>
              <a:defRPr sz="800" b="0"/>
            </a:pPr>
            <a:r>
              <a:t/>
            </a:r>
            <a:endParaRPr sz="800" b="0"/>
          </a:p>
        </txPr>
        <crossAx val="10"/>
        <crosses val="min"/>
        <majorUnit val="2.5"/>
      </valAx>
    </plotArea>
    <legend>
      <legendPos val="b"/>
      <overlay val="0"/>
      <txPr>
        <a:bodyPr/>
        <a:p>
          <a:pPr>
            <a:defRPr sz="800" b="0"/>
          </a:pPr>
          <a:r>
            <a:t/>
          </a:r>
          <a:endParaRPr sz="800" b="0"/>
        </a:p>
      </txPr>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 Type="http://schemas.openxmlformats.org/officeDocument/2006/relationships/chart" Target="/xl/charts/chart7.xml" Id="rId2" /><Relationship Type="http://schemas.openxmlformats.org/officeDocument/2006/relationships/chart" Target="/xl/charts/chart8.xml" Id="rId3" /><Relationship Type="http://schemas.openxmlformats.org/officeDocument/2006/relationships/chart" Target="/xl/charts/chart9.xml" Id="rId4" /><Relationship Type="http://schemas.openxmlformats.org/officeDocument/2006/relationships/chart" Target="/xl/charts/chart10.xml" Id="rId5" /><Relationship Type="http://schemas.openxmlformats.org/officeDocument/2006/relationships/chart" Target="/xl/charts/chart11.xml" Id="rId6" /><Relationship Type="http://schemas.openxmlformats.org/officeDocument/2006/relationships/chart" Target="/xl/charts/chart12.xml" Id="rId7" /><Relationship Type="http://schemas.openxmlformats.org/officeDocument/2006/relationships/chart" Target="/xl/charts/chart13.xml" Id="rId8" /><Relationship Type="http://schemas.openxmlformats.org/officeDocument/2006/relationships/chart" Target="/xl/charts/chart14.xml" Id="rId9" /><Relationship Type="http://schemas.openxmlformats.org/officeDocument/2006/relationships/chart" Target="/xl/charts/chart15.xml" Id="rId10" /></Relationships>
</file>

<file path=xl/drawings/_rels/drawing5.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s>
</file>

<file path=xl/drawings/_rels/drawing6.xml.rels><Relationships xmlns="http://schemas.openxmlformats.org/package/2006/relationships"><Relationship Type="http://schemas.openxmlformats.org/officeDocument/2006/relationships/chart" Target="/xl/charts/chart18.xml" Id="rId1" /><Relationship Type="http://schemas.openxmlformats.org/officeDocument/2006/relationships/chart" Target="/xl/charts/chart19.xml" Id="rId2" /><Relationship Type="http://schemas.openxmlformats.org/officeDocument/2006/relationships/chart" Target="/xl/charts/chart20.xml" Id="rId3" /><Relationship Type="http://schemas.openxmlformats.org/officeDocument/2006/relationships/chart" Target="/xl/charts/chart21.xml" Id="rId4" /><Relationship Type="http://schemas.openxmlformats.org/officeDocument/2006/relationships/chart" Target="/xl/charts/chart22.xml" Id="rId5" /><Relationship Type="http://schemas.openxmlformats.org/officeDocument/2006/relationships/chart" Target="/xl/charts/chart23.xml" Id="rId6" /><Relationship Type="http://schemas.openxmlformats.org/officeDocument/2006/relationships/chart" Target="/xl/charts/chart24.xml" Id="rId7" /><Relationship Type="http://schemas.openxmlformats.org/officeDocument/2006/relationships/chart" Target="/xl/charts/chart25.xml" Id="rId8" /></Relationships>
</file>

<file path=xl/drawings/_rels/drawing7.xml.rels><Relationships xmlns="http://schemas.openxmlformats.org/package/2006/relationships"><Relationship Type="http://schemas.openxmlformats.org/officeDocument/2006/relationships/chart" Target="/xl/charts/chart26.xml" Id="rId1" /><Relationship Type="http://schemas.openxmlformats.org/officeDocument/2006/relationships/chart" Target="/xl/charts/chart27.xml" Id="rId2" /></Relationships>
</file>

<file path=xl/drawings/_rels/drawing8.xml.rels><Relationships xmlns="http://schemas.openxmlformats.org/package/2006/relationships"><Relationship Type="http://schemas.openxmlformats.org/officeDocument/2006/relationships/chart" Target="/xl/charts/chart28.xml" Id="rId1" /><Relationship Type="http://schemas.openxmlformats.org/officeDocument/2006/relationships/chart" Target="/xl/charts/chart29.xml" Id="rId2" /><Relationship Type="http://schemas.openxmlformats.org/officeDocument/2006/relationships/chart" Target="/xl/charts/chart30.xml" Id="rId3" /><Relationship Type="http://schemas.openxmlformats.org/officeDocument/2006/relationships/chart" Target="/xl/charts/chart31.xml" Id="rId4" /><Relationship Type="http://schemas.openxmlformats.org/officeDocument/2006/relationships/chart" Target="/xl/charts/chart32.xml" Id="rId5" /><Relationship Type="http://schemas.openxmlformats.org/officeDocument/2006/relationships/chart" Target="/xl/charts/chart33.xml" Id="rId6" /><Relationship Type="http://schemas.openxmlformats.org/officeDocument/2006/relationships/chart" Target="/xl/charts/chart34.xml" Id="rId7" /><Relationship Type="http://schemas.openxmlformats.org/officeDocument/2006/relationships/chart" Target="/xl/charts/chart35.xml" Id="rId8" /><Relationship Type="http://schemas.openxmlformats.org/officeDocument/2006/relationships/chart" Target="/xl/charts/chart36.xml" Id="rId9" /><Relationship Type="http://schemas.openxmlformats.org/officeDocument/2006/relationships/chart" Target="/xl/charts/chart37.xml" Id="rId10" /><Relationship Type="http://schemas.openxmlformats.org/officeDocument/2006/relationships/chart" Target="/xl/charts/chart38.xml" Id="rId11" /><Relationship Type="http://schemas.openxmlformats.org/officeDocument/2006/relationships/chart" Target="/xl/charts/chart39.xml" Id="rId12" /><Relationship Type="http://schemas.openxmlformats.org/officeDocument/2006/relationships/chart" Target="/xl/charts/chart40.xml" Id="rId13" /><Relationship Type="http://schemas.openxmlformats.org/officeDocument/2006/relationships/chart" Target="/xl/charts/chart41.xml" Id="rId14" /><Relationship Type="http://schemas.openxmlformats.org/officeDocument/2006/relationships/chart" Target="/xl/charts/chart42.xml" Id="rId15" /><Relationship Type="http://schemas.openxmlformats.org/officeDocument/2006/relationships/chart" Target="/xl/charts/chart43.xml" Id="rId16" /><Relationship Type="http://schemas.openxmlformats.org/officeDocument/2006/relationships/chart" Target="/xl/charts/chart44.xml" Id="rId17" /><Relationship Type="http://schemas.openxmlformats.org/officeDocument/2006/relationships/chart" Target="/xl/charts/chart45.xml" Id="rId18" /><Relationship Type="http://schemas.openxmlformats.org/officeDocument/2006/relationships/chart" Target="/xl/charts/chart46.xml" Id="rId19" /><Relationship Type="http://schemas.openxmlformats.org/officeDocument/2006/relationships/chart" Target="/xl/charts/chart47.xml" Id="rId20" /><Relationship Type="http://schemas.openxmlformats.org/officeDocument/2006/relationships/chart" Target="/xl/charts/chart48.xml" Id="rId21" /><Relationship Type="http://schemas.openxmlformats.org/officeDocument/2006/relationships/chart" Target="/xl/charts/chart49.xml" Id="rId22" /></Relationships>
</file>

<file path=xl/drawings/_rels/drawing9.xml.rels><Relationships xmlns="http://schemas.openxmlformats.org/package/2006/relationships"><Relationship Type="http://schemas.openxmlformats.org/officeDocument/2006/relationships/chart" Target="/xl/charts/chart50.xml" Id="rId1" /><Relationship Type="http://schemas.openxmlformats.org/officeDocument/2006/relationships/chart" Target="/xl/charts/chart51.xml" Id="rId2" /></Relationships>
</file>

<file path=xl/drawings/_rels/drawing10.xml.rels><Relationships xmlns="http://schemas.openxmlformats.org/package/2006/relationships"><Relationship Type="http://schemas.openxmlformats.org/officeDocument/2006/relationships/chart" Target="/xl/charts/chart52.xml" Id="rId1" /><Relationship Type="http://schemas.openxmlformats.org/officeDocument/2006/relationships/chart" Target="/xl/charts/chart53.xml" Id="rId2" /><Relationship Type="http://schemas.openxmlformats.org/officeDocument/2006/relationships/chart" Target="/xl/charts/chart54.xml" Id="rId3" /><Relationship Type="http://schemas.openxmlformats.org/officeDocument/2006/relationships/chart" Target="/xl/charts/chart55.xml" Id="rId4" /><Relationship Type="http://schemas.openxmlformats.org/officeDocument/2006/relationships/chart" Target="/xl/charts/chart56.xml" Id="rId5" /><Relationship Type="http://schemas.openxmlformats.org/officeDocument/2006/relationships/chart" Target="/xl/charts/chart57.xml" Id="rId6" /><Relationship Type="http://schemas.openxmlformats.org/officeDocument/2006/relationships/chart" Target="/xl/charts/chart58.xml" Id="rId7" /><Relationship Type="http://schemas.openxmlformats.org/officeDocument/2006/relationships/chart" Target="/xl/charts/chart59.xml" Id="rId8" /><Relationship Type="http://schemas.openxmlformats.org/officeDocument/2006/relationships/chart" Target="/xl/charts/chart60.xml" Id="rId9" /><Relationship Type="http://schemas.openxmlformats.org/officeDocument/2006/relationships/chart" Target="/xl/charts/chart61.xml" Id="rId10" /><Relationship Type="http://schemas.openxmlformats.org/officeDocument/2006/relationships/chart" Target="/xl/charts/chart62.xml" Id="rId11" /></Relationships>
</file>

<file path=xl/drawings/_rels/drawing11.xml.rels><Relationships xmlns="http://schemas.openxmlformats.org/package/2006/relationships"><Relationship Type="http://schemas.openxmlformats.org/officeDocument/2006/relationships/chart" Target="/xl/charts/chart63.xml" Id="rId1" /></Relationships>
</file>

<file path=xl/drawings/_rels/drawing12.xml.rels><Relationships xmlns="http://schemas.openxmlformats.org/package/2006/relationships"><Relationship Type="http://schemas.openxmlformats.org/officeDocument/2006/relationships/chart" Target="/xl/charts/chart64.xml" Id="rId1" /><Relationship Type="http://schemas.openxmlformats.org/officeDocument/2006/relationships/chart" Target="/xl/charts/chart65.xml" Id="rId2" /><Relationship Type="http://schemas.openxmlformats.org/officeDocument/2006/relationships/chart" Target="/xl/charts/chart66.xml" Id="rId3" /><Relationship Type="http://schemas.openxmlformats.org/officeDocument/2006/relationships/chart" Target="/xl/charts/chart67.xml" Id="rId4" /><Relationship Type="http://schemas.openxmlformats.org/officeDocument/2006/relationships/chart" Target="/xl/charts/chart68.xml" Id="rId5" /><Relationship Type="http://schemas.openxmlformats.org/officeDocument/2006/relationships/chart" Target="/xl/charts/chart69.xml" Id="rId6" /><Relationship Type="http://schemas.openxmlformats.org/officeDocument/2006/relationships/chart" Target="/xl/charts/chart70.xml" Id="rId7" /><Relationship Type="http://schemas.openxmlformats.org/officeDocument/2006/relationships/chart" Target="/xl/charts/chart71.xml" Id="rId8" /><Relationship Type="http://schemas.openxmlformats.org/officeDocument/2006/relationships/chart" Target="/xl/charts/chart72.xml" Id="rId9" /><Relationship Type="http://schemas.openxmlformats.org/officeDocument/2006/relationships/chart" Target="/xl/charts/chart73.xml" Id="rId10" /><Relationship Type="http://schemas.openxmlformats.org/officeDocument/2006/relationships/chart" Target="/xl/charts/chart74.xml" Id="rId11" /><Relationship Type="http://schemas.openxmlformats.org/officeDocument/2006/relationships/chart" Target="/xl/charts/chart75.xml" Id="rId12" /><Relationship Type="http://schemas.openxmlformats.org/officeDocument/2006/relationships/chart" Target="/xl/charts/chart76.xml" Id="rId13" /></Relationships>
</file>

<file path=xl/drawings/_rels/drawing13.xml.rels><Relationships xmlns="http://schemas.openxmlformats.org/package/2006/relationships"><Relationship Type="http://schemas.openxmlformats.org/officeDocument/2006/relationships/chart" Target="/xl/charts/chart77.xml" Id="rId1" /></Relationships>
</file>

<file path=xl/drawings/_rels/drawing14.xml.rels><Relationships xmlns="http://schemas.openxmlformats.org/package/2006/relationships"><Relationship Type="http://schemas.openxmlformats.org/officeDocument/2006/relationships/chart" Target="/xl/charts/chart78.xml" Id="rId1" /><Relationship Type="http://schemas.openxmlformats.org/officeDocument/2006/relationships/chart" Target="/xl/charts/chart79.xml" Id="rId2" /><Relationship Type="http://schemas.openxmlformats.org/officeDocument/2006/relationships/chart" Target="/xl/charts/chart80.xml" Id="rId3" /><Relationship Type="http://schemas.openxmlformats.org/officeDocument/2006/relationships/chart" Target="/xl/charts/chart81.xml" Id="rId4" /><Relationship Type="http://schemas.openxmlformats.org/officeDocument/2006/relationships/chart" Target="/xl/charts/chart82.xml" Id="rId5" /><Relationship Type="http://schemas.openxmlformats.org/officeDocument/2006/relationships/chart" Target="/xl/charts/chart83.xml" Id="rId6" /><Relationship Type="http://schemas.openxmlformats.org/officeDocument/2006/relationships/chart" Target="/xl/charts/chart84.xml" Id="rId7" /><Relationship Type="http://schemas.openxmlformats.org/officeDocument/2006/relationships/chart" Target="/xl/charts/chart85.xml" Id="rId8" /><Relationship Type="http://schemas.openxmlformats.org/officeDocument/2006/relationships/chart" Target="/xl/charts/chart86.xml" Id="rId9" /><Relationship Type="http://schemas.openxmlformats.org/officeDocument/2006/relationships/chart" Target="/xl/charts/chart87.xml" Id="rId10" /><Relationship Type="http://schemas.openxmlformats.org/officeDocument/2006/relationships/chart" Target="/xl/charts/chart88.xml" Id="rId11" /><Relationship Type="http://schemas.openxmlformats.org/officeDocument/2006/relationships/chart" Target="/xl/charts/chart89.xml" Id="rId12" /><Relationship Type="http://schemas.openxmlformats.org/officeDocument/2006/relationships/chart" Target="/xl/charts/chart90.xml" Id="rId13" /><Relationship Type="http://schemas.openxmlformats.org/officeDocument/2006/relationships/chart" Target="/xl/charts/chart91.xml" Id="rId14" /><Relationship Type="http://schemas.openxmlformats.org/officeDocument/2006/relationships/chart" Target="/xl/charts/chart92.xml" Id="rId15" /><Relationship Type="http://schemas.openxmlformats.org/officeDocument/2006/relationships/chart" Target="/xl/charts/chart93.xml" Id="rId16" /><Relationship Type="http://schemas.openxmlformats.org/officeDocument/2006/relationships/chart" Target="/xl/charts/chart94.xml" Id="rId17" /><Relationship Type="http://schemas.openxmlformats.org/officeDocument/2006/relationships/chart" Target="/xl/charts/chart95.xml" Id="rId18" /><Relationship Type="http://schemas.openxmlformats.org/officeDocument/2006/relationships/chart" Target="/xl/charts/chart96.xml" Id="rId19" /><Relationship Type="http://schemas.openxmlformats.org/officeDocument/2006/relationships/chart" Target="/xl/charts/chart97.xml" Id="rId20" /><Relationship Type="http://schemas.openxmlformats.org/officeDocument/2006/relationships/chart" Target="/xl/charts/chart98.xml" Id="rId21" /><Relationship Type="http://schemas.openxmlformats.org/officeDocument/2006/relationships/chart" Target="/xl/charts/chart99.xml" Id="rId22" /><Relationship Type="http://schemas.openxmlformats.org/officeDocument/2006/relationships/chart" Target="/xl/charts/chart100.xml" Id="rId23" /><Relationship Type="http://schemas.openxmlformats.org/officeDocument/2006/relationships/chart" Target="/xl/charts/chart101.xml" Id="rId24" /><Relationship Type="http://schemas.openxmlformats.org/officeDocument/2006/relationships/chart" Target="/xl/charts/chart102.xml" Id="rId25" /><Relationship Type="http://schemas.openxmlformats.org/officeDocument/2006/relationships/chart" Target="/xl/charts/chart103.xml" Id="rId26" /><Relationship Type="http://schemas.openxmlformats.org/officeDocument/2006/relationships/chart" Target="/xl/charts/chart104.xml" Id="rId27" /><Relationship Type="http://schemas.openxmlformats.org/officeDocument/2006/relationships/chart" Target="/xl/charts/chart105.xml" Id="rId28" /></Relationships>
</file>

<file path=xl/drawings/_rels/drawing15.xml.rels><Relationships xmlns="http://schemas.openxmlformats.org/package/2006/relationships"><Relationship Type="http://schemas.openxmlformats.org/officeDocument/2006/relationships/chart" Target="/xl/charts/chart106.xml" Id="rId1" /><Relationship Type="http://schemas.openxmlformats.org/officeDocument/2006/relationships/chart" Target="/xl/charts/chart107.xml" Id="rId2" /><Relationship Type="http://schemas.openxmlformats.org/officeDocument/2006/relationships/chart" Target="/xl/charts/chart108.xml" Id="rId3" /><Relationship Type="http://schemas.openxmlformats.org/officeDocument/2006/relationships/chart" Target="/xl/charts/chart109.xml" Id="rId4" /><Relationship Type="http://schemas.openxmlformats.org/officeDocument/2006/relationships/chart" Target="/xl/charts/chart110.xml" Id="rId5" /></Relationships>
</file>

<file path=xl/drawings/_rels/drawing16.xml.rels><Relationships xmlns="http://schemas.openxmlformats.org/package/2006/relationships"><Relationship Type="http://schemas.openxmlformats.org/officeDocument/2006/relationships/chart" Target="/xl/charts/chart111.xml" Id="rId1" /><Relationship Type="http://schemas.openxmlformats.org/officeDocument/2006/relationships/chart" Target="/xl/charts/chart112.xml" Id="rId2" /><Relationship Type="http://schemas.openxmlformats.org/officeDocument/2006/relationships/chart" Target="/xl/charts/chart113.xml" Id="rId3" /></Relationships>
</file>

<file path=xl/drawings/_rels/drawing17.xml.rels><Relationships xmlns="http://schemas.openxmlformats.org/package/2006/relationships"><Relationship Type="http://schemas.openxmlformats.org/officeDocument/2006/relationships/chart" Target="/xl/charts/chart114.xml" Id="rId1" /></Relationships>
</file>

<file path=xl/drawings/_rels/drawing18.xml.rels><Relationships xmlns="http://schemas.openxmlformats.org/package/2006/relationships"><Relationship Type="http://schemas.openxmlformats.org/officeDocument/2006/relationships/chart" Target="/xl/charts/chart115.xml" Id="rId1" /></Relationships>
</file>

<file path=xl/drawings/_rels/drawing19.xml.rels><Relationships xmlns="http://schemas.openxmlformats.org/package/2006/relationships"><Relationship Type="http://schemas.openxmlformats.org/officeDocument/2006/relationships/chart" Target="/xl/charts/chart116.xml" Id="rId1" /><Relationship Type="http://schemas.openxmlformats.org/officeDocument/2006/relationships/chart" Target="/xl/charts/chart117.xml" Id="rId2" /><Relationship Type="http://schemas.openxmlformats.org/officeDocument/2006/relationships/chart" Target="/xl/charts/chart118.xml" Id="rId3" /><Relationship Type="http://schemas.openxmlformats.org/officeDocument/2006/relationships/chart" Target="/xl/charts/chart119.xml" Id="rId4" /><Relationship Type="http://schemas.openxmlformats.org/officeDocument/2006/relationships/chart" Target="/xl/charts/chart120.xml" Id="rId5" /><Relationship Type="http://schemas.openxmlformats.org/officeDocument/2006/relationships/chart" Target="/xl/charts/chart121.xml" Id="rId6" /><Relationship Type="http://schemas.openxmlformats.org/officeDocument/2006/relationships/chart" Target="/xl/charts/chart122.xml" Id="rId7" /><Relationship Type="http://schemas.openxmlformats.org/officeDocument/2006/relationships/chart" Target="/xl/charts/chart123.xml" Id="rId8" /><Relationship Type="http://schemas.openxmlformats.org/officeDocument/2006/relationships/chart" Target="/xl/charts/chart124.xml" Id="rId9" /></Relationships>
</file>

<file path=xl/drawings/_rels/drawing20.xml.rels><Relationships xmlns="http://schemas.openxmlformats.org/package/2006/relationships"><Relationship Type="http://schemas.openxmlformats.org/officeDocument/2006/relationships/chart" Target="/xl/charts/chart125.xml" Id="rId1" /></Relationships>
</file>

<file path=xl/drawings/_rels/drawing21.xml.rels><Relationships xmlns="http://schemas.openxmlformats.org/package/2006/relationships"><Relationship Type="http://schemas.openxmlformats.org/officeDocument/2006/relationships/chart" Target="/xl/charts/chart126.xml" Id="rId1" /></Relationships>
</file>

<file path=xl/drawings/_rels/drawing22.xml.rels><Relationships xmlns="http://schemas.openxmlformats.org/package/2006/relationships"><Relationship Type="http://schemas.openxmlformats.org/officeDocument/2006/relationships/chart" Target="/xl/charts/chart127.xml" Id="rId1" /></Relationships>
</file>

<file path=xl/drawings/_rels/drawing23.xml.rels><Relationships xmlns="http://schemas.openxmlformats.org/package/2006/relationships"><Relationship Type="http://schemas.openxmlformats.org/officeDocument/2006/relationships/chart" Target="/xl/charts/chart128.xml" Id="rId1" /><Relationship Type="http://schemas.openxmlformats.org/officeDocument/2006/relationships/chart" Target="/xl/charts/chart129.xml" Id="rId2" /><Relationship Type="http://schemas.openxmlformats.org/officeDocument/2006/relationships/chart" Target="/xl/charts/chart130.xml" Id="rId3" /><Relationship Type="http://schemas.openxmlformats.org/officeDocument/2006/relationships/chart" Target="/xl/charts/chart131.xml" Id="rId4" /><Relationship Type="http://schemas.openxmlformats.org/officeDocument/2006/relationships/chart" Target="/xl/charts/chart132.xml" Id="rId5" /><Relationship Type="http://schemas.openxmlformats.org/officeDocument/2006/relationships/chart" Target="/xl/charts/chart133.xml" Id="rId6" /><Relationship Type="http://schemas.openxmlformats.org/officeDocument/2006/relationships/chart" Target="/xl/charts/chart134.xml" Id="rId7" /><Relationship Type="http://schemas.openxmlformats.org/officeDocument/2006/relationships/chart" Target="/xl/charts/chart135.xml" Id="rId8" /><Relationship Type="http://schemas.openxmlformats.org/officeDocument/2006/relationships/chart" Target="/xl/charts/chart136.xml" Id="rId9" /><Relationship Type="http://schemas.openxmlformats.org/officeDocument/2006/relationships/chart" Target="/xl/charts/chart137.xml" Id="rId10" /><Relationship Type="http://schemas.openxmlformats.org/officeDocument/2006/relationships/chart" Target="/xl/charts/chart138.xml" Id="rId11" /><Relationship Type="http://schemas.openxmlformats.org/officeDocument/2006/relationships/chart" Target="/xl/charts/chart139.xml" Id="rId12" /></Relationships>
</file>

<file path=xl/drawings/_rels/drawing24.xml.rels><Relationships xmlns="http://schemas.openxmlformats.org/package/2006/relationships"><Relationship Type="http://schemas.openxmlformats.org/officeDocument/2006/relationships/chart" Target="/xl/charts/chart140.xml" Id="rId1" /><Relationship Type="http://schemas.openxmlformats.org/officeDocument/2006/relationships/chart" Target="/xl/charts/chart141.xml" Id="rId2" /><Relationship Type="http://schemas.openxmlformats.org/officeDocument/2006/relationships/chart" Target="/xl/charts/chart142.xml" Id="rId3" /><Relationship Type="http://schemas.openxmlformats.org/officeDocument/2006/relationships/chart" Target="/xl/charts/chart143.xml" Id="rId4" /><Relationship Type="http://schemas.openxmlformats.org/officeDocument/2006/relationships/chart" Target="/xl/charts/chart144.xml" Id="rId5" /><Relationship Type="http://schemas.openxmlformats.org/officeDocument/2006/relationships/chart" Target="/xl/charts/chart145.xml" Id="rId6" /><Relationship Type="http://schemas.openxmlformats.org/officeDocument/2006/relationships/chart" Target="/xl/charts/chart146.xml" Id="rId7" /><Relationship Type="http://schemas.openxmlformats.org/officeDocument/2006/relationships/chart" Target="/xl/charts/chart147.xml" Id="rId8" /><Relationship Type="http://schemas.openxmlformats.org/officeDocument/2006/relationships/chart" Target="/xl/charts/chart148.xml" Id="rId9" /><Relationship Type="http://schemas.openxmlformats.org/officeDocument/2006/relationships/chart" Target="/xl/charts/chart149.xml" Id="rId10" /><Relationship Type="http://schemas.openxmlformats.org/officeDocument/2006/relationships/chart" Target="/xl/charts/chart150.xml" Id="rId11" /><Relationship Type="http://schemas.openxmlformats.org/officeDocument/2006/relationships/chart" Target="/xl/charts/chart151.xml" Id="rId12" /><Relationship Type="http://schemas.openxmlformats.org/officeDocument/2006/relationships/chart" Target="/xl/charts/chart152.xml" Id="rId1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23</row>
      <rowOff>0</rowOff>
    </from>
    <ext cx="4680000" cy="252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7</row>
      <rowOff>0</rowOff>
    </from>
    <ext cx="6480000" cy="504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26</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7</row>
      <rowOff>0</rowOff>
    </from>
    <ext cx="3780000" cy="252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34</row>
      <rowOff>0</rowOff>
    </from>
    <ext cx="3780000" cy="252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49</row>
      <rowOff>0</rowOff>
    </from>
    <ext cx="3780000" cy="252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77</row>
      <rowOff>0</rowOff>
    </from>
    <ext cx="3780000" cy="25200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92</row>
      <rowOff>0</rowOff>
    </from>
    <ext cx="3780000" cy="25200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110</row>
      <rowOff>0</rowOff>
    </from>
    <ext cx="3780000" cy="2520000"/>
    <graphicFrame>
      <nvGraphicFramePr>
        <cNvPr id="6" name="Chart 6"/>
        <cNvGraphicFramePr/>
      </nvGraphicFramePr>
      <xfrm/>
      <a:graphic>
        <a:graphicData uri="http://schemas.openxmlformats.org/drawingml/2006/chart">
          <c:chart r:id="rId6"/>
        </a:graphicData>
      </a:graphic>
    </graphicFrame>
    <clientData/>
  </oneCellAnchor>
  <oneCellAnchor>
    <from>
      <col>11</col>
      <colOff>0</colOff>
      <row>125</row>
      <rowOff>0</rowOff>
    </from>
    <ext cx="3780000" cy="2520000"/>
    <graphicFrame>
      <nvGraphicFramePr>
        <cNvPr id="7" name="Chart 7"/>
        <cNvGraphicFramePr/>
      </nvGraphicFramePr>
      <xfrm/>
      <a:graphic>
        <a:graphicData uri="http://schemas.openxmlformats.org/drawingml/2006/chart">
          <c:chart r:id="rId7"/>
        </a:graphicData>
      </a:graphic>
    </graphicFrame>
    <clientData/>
  </oneCellAnchor>
  <oneCellAnchor>
    <from>
      <col>11</col>
      <colOff>0</colOff>
      <row>140</row>
      <rowOff>0</rowOff>
    </from>
    <ext cx="3780000" cy="2520000"/>
    <graphicFrame>
      <nvGraphicFramePr>
        <cNvPr id="8" name="Chart 8"/>
        <cNvGraphicFramePr/>
      </nvGraphicFramePr>
      <xfrm/>
      <a:graphic>
        <a:graphicData uri="http://schemas.openxmlformats.org/drawingml/2006/chart">
          <c:chart r:id="rId8"/>
        </a:graphicData>
      </a:graphic>
    </graphicFrame>
    <clientData/>
  </oneCellAnchor>
  <oneCellAnchor>
    <from>
      <col>11</col>
      <colOff>0</colOff>
      <row>155</row>
      <rowOff>0</rowOff>
    </from>
    <ext cx="3780000" cy="2520000"/>
    <graphicFrame>
      <nvGraphicFramePr>
        <cNvPr id="9" name="Chart 9"/>
        <cNvGraphicFramePr/>
      </nvGraphicFramePr>
      <xfrm/>
      <a:graphic>
        <a:graphicData uri="http://schemas.openxmlformats.org/drawingml/2006/chart">
          <c:chart r:id="rId9"/>
        </a:graphicData>
      </a:graphic>
    </graphicFrame>
    <clientData/>
  </oneCellAnchor>
  <oneCellAnchor>
    <from>
      <col>11</col>
      <colOff>0</colOff>
      <row>170</row>
      <rowOff>0</rowOff>
    </from>
    <ext cx="3780000" cy="2520000"/>
    <graphicFrame>
      <nvGraphicFramePr>
        <cNvPr id="10" name="Chart 10"/>
        <cNvGraphicFramePr/>
      </nvGraphicFramePr>
      <xfrm/>
      <a:graphic>
        <a:graphicData uri="http://schemas.openxmlformats.org/drawingml/2006/chart">
          <c:chart r:id="rId10"/>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6</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48</row>
      <rowOff>0</rowOff>
    </from>
    <ext cx="6120000" cy="30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7</row>
      <rowOff>0</rowOff>
    </from>
    <ext cx="3780000" cy="252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23</row>
      <rowOff>0</rowOff>
    </from>
    <ext cx="3780000" cy="25200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39</row>
      <rowOff>0</rowOff>
    </from>
    <ext cx="3780000" cy="252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76</row>
      <rowOff>0</rowOff>
    </from>
    <ext cx="3780000" cy="2520000"/>
    <graphicFrame>
      <nvGraphicFramePr>
        <cNvPr id="4" name="Chart 4"/>
        <cNvGraphicFramePr/>
      </nvGraphicFramePr>
      <xfrm/>
      <a:graphic>
        <a:graphicData uri="http://schemas.openxmlformats.org/drawingml/2006/chart">
          <c:chart r:id="rId4"/>
        </a:graphicData>
      </a:graphic>
    </graphicFrame>
    <clientData/>
  </oneCellAnchor>
  <oneCellAnchor>
    <from>
      <col>12</col>
      <colOff>0</colOff>
      <row>92</row>
      <rowOff>0</rowOff>
    </from>
    <ext cx="3780000" cy="252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115</row>
      <rowOff>0</rowOff>
    </from>
    <ext cx="6120000" cy="3060000"/>
    <graphicFrame>
      <nvGraphicFramePr>
        <cNvPr id="6" name="Chart 6"/>
        <cNvGraphicFramePr/>
      </nvGraphicFramePr>
      <xfrm/>
      <a:graphic>
        <a:graphicData uri="http://schemas.openxmlformats.org/drawingml/2006/chart">
          <c:chart r:id="rId6"/>
        </a:graphicData>
      </a:graphic>
    </graphicFrame>
    <clientData/>
  </oneCellAnchor>
  <oneCellAnchor>
    <from>
      <col>12</col>
      <colOff>0</colOff>
      <row>175</row>
      <rowOff>0</rowOff>
    </from>
    <ext cx="6120000" cy="3060000"/>
    <graphicFrame>
      <nvGraphicFramePr>
        <cNvPr id="7" name="Chart 7"/>
        <cNvGraphicFramePr/>
      </nvGraphicFramePr>
      <xfrm/>
      <a:graphic>
        <a:graphicData uri="http://schemas.openxmlformats.org/drawingml/2006/chart">
          <c:chart r:id="rId7"/>
        </a:graphicData>
      </a:graphic>
    </graphicFrame>
    <clientData/>
  </oneCellAnchor>
  <oneCellAnchor>
    <from>
      <col>12</col>
      <colOff>0</colOff>
      <row>246</row>
      <rowOff>0</rowOff>
    </from>
    <ext cx="6120000" cy="3060000"/>
    <graphicFrame>
      <nvGraphicFramePr>
        <cNvPr id="8" name="Chart 8"/>
        <cNvGraphicFramePr/>
      </nvGraphicFramePr>
      <xfrm/>
      <a:graphic>
        <a:graphicData uri="http://schemas.openxmlformats.org/drawingml/2006/chart">
          <c:chart r:id="rId8"/>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6</row>
      <rowOff>0</rowOff>
    </from>
    <ext cx="5400000" cy="3060000"/>
    <graphicFrame>
      <nvGraphicFramePr>
        <cNvPr id="1" name="Chart 1"/>
        <cNvGraphicFramePr/>
      </nvGraphicFramePr>
      <xfrm/>
      <a:graphic>
        <a:graphicData uri="http://schemas.openxmlformats.org/drawingml/2006/chart">
          <c:chart r:id="rId1"/>
        </a:graphicData>
      </a:graphic>
    </graphicFrame>
    <clientData/>
  </oneCellAnchor>
  <oneCellAnchor>
    <from>
      <col>22</col>
      <colOff>0</colOff>
      <row>6</row>
      <rowOff>0</rowOff>
    </from>
    <ext cx="5400000" cy="30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row>
      <rowOff>0</rowOff>
    </from>
    <ext cx="3780000" cy="252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4</row>
      <rowOff>0</rowOff>
    </from>
    <ext cx="3780000" cy="2520000"/>
    <graphicFrame>
      <nvGraphicFramePr>
        <cNvPr id="2" name="Chart 2"/>
        <cNvGraphicFramePr/>
      </nvGraphicFramePr>
      <xfrm/>
      <a:graphic>
        <a:graphicData uri="http://schemas.openxmlformats.org/drawingml/2006/chart">
          <c:chart r:id="rId2"/>
        </a:graphicData>
      </a:graphic>
    </graphicFrame>
    <clientData/>
  </oneCellAnchor>
  <oneCellAnchor>
    <from>
      <col>16</col>
      <colOff>0</colOff>
      <row>4</row>
      <rowOff>0</rowOff>
    </from>
    <ext cx="3780000" cy="252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19</row>
      <rowOff>0</rowOff>
    </from>
    <ext cx="3780000" cy="2520000"/>
    <graphicFrame>
      <nvGraphicFramePr>
        <cNvPr id="4" name="Chart 4"/>
        <cNvGraphicFramePr/>
      </nvGraphicFramePr>
      <xfrm/>
      <a:graphic>
        <a:graphicData uri="http://schemas.openxmlformats.org/drawingml/2006/chart">
          <c:chart r:id="rId4"/>
        </a:graphicData>
      </a:graphic>
    </graphicFrame>
    <clientData/>
  </oneCellAnchor>
  <oneCellAnchor>
    <from>
      <col>8</col>
      <colOff>0</colOff>
      <row>19</row>
      <rowOff>0</rowOff>
    </from>
    <ext cx="3780000" cy="2520000"/>
    <graphicFrame>
      <nvGraphicFramePr>
        <cNvPr id="5" name="Chart 5"/>
        <cNvGraphicFramePr/>
      </nvGraphicFramePr>
      <xfrm/>
      <a:graphic>
        <a:graphicData uri="http://schemas.openxmlformats.org/drawingml/2006/chart">
          <c:chart r:id="rId5"/>
        </a:graphicData>
      </a:graphic>
    </graphicFrame>
    <clientData/>
  </oneCellAnchor>
  <oneCellAnchor>
    <from>
      <col>16</col>
      <colOff>0</colOff>
      <row>19</row>
      <rowOff>0</rowOff>
    </from>
    <ext cx="3780000" cy="252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34</row>
      <rowOff>0</rowOff>
    </from>
    <ext cx="3780000" cy="2520000"/>
    <graphicFrame>
      <nvGraphicFramePr>
        <cNvPr id="7" name="Chart 7"/>
        <cNvGraphicFramePr/>
      </nvGraphicFramePr>
      <xfrm/>
      <a:graphic>
        <a:graphicData uri="http://schemas.openxmlformats.org/drawingml/2006/chart">
          <c:chart r:id="rId7"/>
        </a:graphicData>
      </a:graphic>
    </graphicFrame>
    <clientData/>
  </oneCellAnchor>
  <oneCellAnchor>
    <from>
      <col>8</col>
      <colOff>0</colOff>
      <row>34</row>
      <rowOff>0</rowOff>
    </from>
    <ext cx="3780000" cy="2520000"/>
    <graphicFrame>
      <nvGraphicFramePr>
        <cNvPr id="8" name="Chart 8"/>
        <cNvGraphicFramePr/>
      </nvGraphicFramePr>
      <xfrm/>
      <a:graphic>
        <a:graphicData uri="http://schemas.openxmlformats.org/drawingml/2006/chart">
          <c:chart r:id="rId8"/>
        </a:graphicData>
      </a:graphic>
    </graphicFrame>
    <clientData/>
  </oneCellAnchor>
  <oneCellAnchor>
    <from>
      <col>16</col>
      <colOff>0</colOff>
      <row>34</row>
      <rowOff>0</rowOff>
    </from>
    <ext cx="3780000" cy="252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49</row>
      <rowOff>0</rowOff>
    </from>
    <ext cx="3780000" cy="2520000"/>
    <graphicFrame>
      <nvGraphicFramePr>
        <cNvPr id="10" name="Chart 10"/>
        <cNvGraphicFramePr/>
      </nvGraphicFramePr>
      <xfrm/>
      <a:graphic>
        <a:graphicData uri="http://schemas.openxmlformats.org/drawingml/2006/chart">
          <c:chart r:id="rId10"/>
        </a:graphicData>
      </a:graphic>
    </graphicFrame>
    <clientData/>
  </oneCellAnchor>
  <oneCellAnchor>
    <from>
      <col>0</col>
      <colOff>0</colOff>
      <row>73</row>
      <rowOff>0</rowOff>
    </from>
    <ext cx="6120000" cy="306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100</row>
      <rowOff>0</rowOff>
    </from>
    <ext cx="6120000" cy="3060000"/>
    <graphicFrame>
      <nvGraphicFramePr>
        <cNvPr id="12" name="Chart 12"/>
        <cNvGraphicFramePr/>
      </nvGraphicFramePr>
      <xfrm/>
      <a:graphic>
        <a:graphicData uri="http://schemas.openxmlformats.org/drawingml/2006/chart">
          <c:chart r:id="rId12"/>
        </a:graphicData>
      </a:graphic>
    </graphicFrame>
    <clientData/>
  </oneCellAnchor>
  <oneCellAnchor>
    <from>
      <col>0</col>
      <colOff>0</colOff>
      <row>127</row>
      <rowOff>0</rowOff>
    </from>
    <ext cx="3780000" cy="2520000"/>
    <graphicFrame>
      <nvGraphicFramePr>
        <cNvPr id="13" name="Chart 13"/>
        <cNvGraphicFramePr/>
      </nvGraphicFramePr>
      <xfrm/>
      <a:graphic>
        <a:graphicData uri="http://schemas.openxmlformats.org/drawingml/2006/chart">
          <c:chart r:id="rId13"/>
        </a:graphicData>
      </a:graphic>
    </graphicFrame>
    <clientData/>
  </oneCellAnchor>
  <oneCellAnchor>
    <from>
      <col>8</col>
      <colOff>0</colOff>
      <row>127</row>
      <rowOff>0</rowOff>
    </from>
    <ext cx="3780000" cy="2520000"/>
    <graphicFrame>
      <nvGraphicFramePr>
        <cNvPr id="14" name="Chart 14"/>
        <cNvGraphicFramePr/>
      </nvGraphicFramePr>
      <xfrm/>
      <a:graphic>
        <a:graphicData uri="http://schemas.openxmlformats.org/drawingml/2006/chart">
          <c:chart r:id="rId14"/>
        </a:graphicData>
      </a:graphic>
    </graphicFrame>
    <clientData/>
  </oneCellAnchor>
  <oneCellAnchor>
    <from>
      <col>16</col>
      <colOff>0</colOff>
      <row>127</row>
      <rowOff>0</rowOff>
    </from>
    <ext cx="3780000" cy="252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142</row>
      <rowOff>0</rowOff>
    </from>
    <ext cx="3780000" cy="2520000"/>
    <graphicFrame>
      <nvGraphicFramePr>
        <cNvPr id="16" name="Chart 16"/>
        <cNvGraphicFramePr/>
      </nvGraphicFramePr>
      <xfrm/>
      <a:graphic>
        <a:graphicData uri="http://schemas.openxmlformats.org/drawingml/2006/chart">
          <c:chart r:id="rId16"/>
        </a:graphicData>
      </a:graphic>
    </graphicFrame>
    <clientData/>
  </oneCellAnchor>
  <oneCellAnchor>
    <from>
      <col>8</col>
      <colOff>0</colOff>
      <row>142</row>
      <rowOff>0</rowOff>
    </from>
    <ext cx="3780000" cy="2520000"/>
    <graphicFrame>
      <nvGraphicFramePr>
        <cNvPr id="17" name="Chart 17"/>
        <cNvGraphicFramePr/>
      </nvGraphicFramePr>
      <xfrm/>
      <a:graphic>
        <a:graphicData uri="http://schemas.openxmlformats.org/drawingml/2006/chart">
          <c:chart r:id="rId17"/>
        </a:graphicData>
      </a:graphic>
    </graphicFrame>
    <clientData/>
  </oneCellAnchor>
  <oneCellAnchor>
    <from>
      <col>0</col>
      <colOff>0</colOff>
      <row>166</row>
      <rowOff>0</rowOff>
    </from>
    <ext cx="6120000" cy="3060000"/>
    <graphicFrame>
      <nvGraphicFramePr>
        <cNvPr id="18" name="Chart 18"/>
        <cNvGraphicFramePr/>
      </nvGraphicFramePr>
      <xfrm/>
      <a:graphic>
        <a:graphicData uri="http://schemas.openxmlformats.org/drawingml/2006/chart">
          <c:chart r:id="rId18"/>
        </a:graphicData>
      </a:graphic>
    </graphicFrame>
    <clientData/>
  </oneCellAnchor>
  <oneCellAnchor>
    <from>
      <col>0</col>
      <colOff>0</colOff>
      <row>193</row>
      <rowOff>0</rowOff>
    </from>
    <ext cx="6120000" cy="3060000"/>
    <graphicFrame>
      <nvGraphicFramePr>
        <cNvPr id="19" name="Chart 19"/>
        <cNvGraphicFramePr/>
      </nvGraphicFramePr>
      <xfrm/>
      <a:graphic>
        <a:graphicData uri="http://schemas.openxmlformats.org/drawingml/2006/chart">
          <c:chart r:id="rId19"/>
        </a:graphicData>
      </a:graphic>
    </graphicFrame>
    <clientData/>
  </oneCellAnchor>
  <oneCellAnchor>
    <from>
      <col>0</col>
      <colOff>0</colOff>
      <row>220</row>
      <rowOff>0</rowOff>
    </from>
    <ext cx="6120000" cy="3060000"/>
    <graphicFrame>
      <nvGraphicFramePr>
        <cNvPr id="20" name="Chart 20"/>
        <cNvGraphicFramePr/>
      </nvGraphicFramePr>
      <xfrm/>
      <a:graphic>
        <a:graphicData uri="http://schemas.openxmlformats.org/drawingml/2006/chart">
          <c:chart r:id="rId20"/>
        </a:graphicData>
      </a:graphic>
    </graphicFrame>
    <clientData/>
  </oneCellAnchor>
  <oneCellAnchor>
    <from>
      <col>0</col>
      <colOff>0</colOff>
      <row>247</row>
      <rowOff>0</rowOff>
    </from>
    <ext cx="5400000" cy="3060000"/>
    <graphicFrame>
      <nvGraphicFramePr>
        <cNvPr id="21" name="Chart 21"/>
        <cNvGraphicFramePr/>
      </nvGraphicFramePr>
      <xfrm/>
      <a:graphic>
        <a:graphicData uri="http://schemas.openxmlformats.org/drawingml/2006/chart">
          <c:chart r:id="rId21"/>
        </a:graphicData>
      </a:graphic>
    </graphicFrame>
    <clientData/>
  </oneCellAnchor>
  <oneCellAnchor>
    <from>
      <col>10</col>
      <colOff>0</colOff>
      <row>247</row>
      <rowOff>0</rowOff>
    </from>
    <ext cx="5400000" cy="3060000"/>
    <graphicFrame>
      <nvGraphicFramePr>
        <cNvPr id="22" name="Chart 22"/>
        <cNvGraphicFramePr/>
      </nvGraphicFramePr>
      <xfrm/>
      <a:graphic>
        <a:graphicData uri="http://schemas.openxmlformats.org/drawingml/2006/chart">
          <c:chart r:id="rId22"/>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49</row>
      <rowOff>0</rowOff>
    </from>
    <ext cx="6120000" cy="30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6</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32</row>
      <rowOff>0</rowOff>
    </from>
    <ext cx="3780000" cy="252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47</row>
      <rowOff>0</rowOff>
    </from>
    <ext cx="3780000" cy="252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62</row>
      <rowOff>0</rowOff>
    </from>
    <ext cx="3780000" cy="25200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77</row>
      <rowOff>0</rowOff>
    </from>
    <ext cx="3780000" cy="25200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95</row>
      <rowOff>0</rowOff>
    </from>
    <ext cx="3780000" cy="2520000"/>
    <graphicFrame>
      <nvGraphicFramePr>
        <cNvPr id="6" name="Chart 6"/>
        <cNvGraphicFramePr/>
      </nvGraphicFramePr>
      <xfrm/>
      <a:graphic>
        <a:graphicData uri="http://schemas.openxmlformats.org/drawingml/2006/chart">
          <c:chart r:id="rId6"/>
        </a:graphicData>
      </a:graphic>
    </graphicFrame>
    <clientData/>
  </oneCellAnchor>
  <oneCellAnchor>
    <from>
      <col>11</col>
      <colOff>0</colOff>
      <row>117</row>
      <rowOff>0</rowOff>
    </from>
    <ext cx="3780000" cy="2520000"/>
    <graphicFrame>
      <nvGraphicFramePr>
        <cNvPr id="7" name="Chart 7"/>
        <cNvGraphicFramePr/>
      </nvGraphicFramePr>
      <xfrm/>
      <a:graphic>
        <a:graphicData uri="http://schemas.openxmlformats.org/drawingml/2006/chart">
          <c:chart r:id="rId7"/>
        </a:graphicData>
      </a:graphic>
    </graphicFrame>
    <clientData/>
  </oneCellAnchor>
  <oneCellAnchor>
    <from>
      <col>11</col>
      <colOff>0</colOff>
      <row>139</row>
      <rowOff>0</rowOff>
    </from>
    <ext cx="3780000" cy="2520000"/>
    <graphicFrame>
      <nvGraphicFramePr>
        <cNvPr id="8" name="Chart 8"/>
        <cNvGraphicFramePr/>
      </nvGraphicFramePr>
      <xfrm/>
      <a:graphic>
        <a:graphicData uri="http://schemas.openxmlformats.org/drawingml/2006/chart">
          <c:chart r:id="rId8"/>
        </a:graphicData>
      </a:graphic>
    </graphicFrame>
    <clientData/>
  </oneCellAnchor>
  <oneCellAnchor>
    <from>
      <col>11</col>
      <colOff>0</colOff>
      <row>161</row>
      <rowOff>0</rowOff>
    </from>
    <ext cx="3780000" cy="2520000"/>
    <graphicFrame>
      <nvGraphicFramePr>
        <cNvPr id="9" name="Chart 9"/>
        <cNvGraphicFramePr/>
      </nvGraphicFramePr>
      <xfrm/>
      <a:graphic>
        <a:graphicData uri="http://schemas.openxmlformats.org/drawingml/2006/chart">
          <c:chart r:id="rId9"/>
        </a:graphicData>
      </a:graphic>
    </graphicFrame>
    <clientData/>
  </oneCellAnchor>
  <oneCellAnchor>
    <from>
      <col>11</col>
      <colOff>0</colOff>
      <row>183</row>
      <rowOff>0</rowOff>
    </from>
    <ext cx="3780000" cy="2520000"/>
    <graphicFrame>
      <nvGraphicFramePr>
        <cNvPr id="10" name="Chart 10"/>
        <cNvGraphicFramePr/>
      </nvGraphicFramePr>
      <xfrm/>
      <a:graphic>
        <a:graphicData uri="http://schemas.openxmlformats.org/drawingml/2006/chart">
          <c:chart r:id="rId10"/>
        </a:graphicData>
      </a:graphic>
    </graphicFrame>
    <clientData/>
  </oneCellAnchor>
  <oneCellAnchor>
    <from>
      <col>11</col>
      <colOff>0</colOff>
      <row>205</row>
      <rowOff>0</rowOff>
    </from>
    <ext cx="3780000" cy="2520000"/>
    <graphicFrame>
      <nvGraphicFramePr>
        <cNvPr id="11" name="Chart 11"/>
        <cNvGraphicFramePr/>
      </nvGraphicFramePr>
      <xfrm/>
      <a:graphic>
        <a:graphicData uri="http://schemas.openxmlformats.org/drawingml/2006/chart">
          <c:chart r:id="rId1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53</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21</col>
      <colOff>0</colOff>
      <row>6</row>
      <rowOff>0</rowOff>
    </from>
    <ext cx="3780000" cy="2520000"/>
    <graphicFrame>
      <nvGraphicFramePr>
        <cNvPr id="1" name="Chart 1"/>
        <cNvGraphicFramePr/>
      </nvGraphicFramePr>
      <xfrm/>
      <a:graphic>
        <a:graphicData uri="http://schemas.openxmlformats.org/drawingml/2006/chart">
          <c:chart r:id="rId1"/>
        </a:graphicData>
      </a:graphic>
    </graphicFrame>
    <clientData/>
  </oneCellAnchor>
  <oneCellAnchor>
    <from>
      <col>29</col>
      <colOff>0</colOff>
      <row>6</row>
      <rowOff>0</rowOff>
    </from>
    <ext cx="3780000" cy="2520000"/>
    <graphicFrame>
      <nvGraphicFramePr>
        <cNvPr id="2" name="Chart 2"/>
        <cNvGraphicFramePr/>
      </nvGraphicFramePr>
      <xfrm/>
      <a:graphic>
        <a:graphicData uri="http://schemas.openxmlformats.org/drawingml/2006/chart">
          <c:chart r:id="rId2"/>
        </a:graphicData>
      </a:graphic>
    </graphicFrame>
    <clientData/>
  </oneCellAnchor>
  <oneCellAnchor>
    <from>
      <col>37</col>
      <colOff>0</colOff>
      <row>6</row>
      <rowOff>0</rowOff>
    </from>
    <ext cx="3780000" cy="2520000"/>
    <graphicFrame>
      <nvGraphicFramePr>
        <cNvPr id="3" name="Chart 3"/>
        <cNvGraphicFramePr/>
      </nvGraphicFramePr>
      <xfrm/>
      <a:graphic>
        <a:graphicData uri="http://schemas.openxmlformats.org/drawingml/2006/chart">
          <c:chart r:id="rId3"/>
        </a:graphicData>
      </a:graphic>
    </graphicFrame>
    <clientData/>
  </oneCellAnchor>
  <oneCellAnchor>
    <from>
      <col>21</col>
      <colOff>0</colOff>
      <row>21</row>
      <rowOff>0</rowOff>
    </from>
    <ext cx="3780000" cy="2520000"/>
    <graphicFrame>
      <nvGraphicFramePr>
        <cNvPr id="4" name="Chart 4"/>
        <cNvGraphicFramePr/>
      </nvGraphicFramePr>
      <xfrm/>
      <a:graphic>
        <a:graphicData uri="http://schemas.openxmlformats.org/drawingml/2006/chart">
          <c:chart r:id="rId4"/>
        </a:graphicData>
      </a:graphic>
    </graphicFrame>
    <clientData/>
  </oneCellAnchor>
  <oneCellAnchor>
    <from>
      <col>29</col>
      <colOff>0</colOff>
      <row>21</row>
      <rowOff>0</rowOff>
    </from>
    <ext cx="3780000" cy="2520000"/>
    <graphicFrame>
      <nvGraphicFramePr>
        <cNvPr id="5" name="Chart 5"/>
        <cNvGraphicFramePr/>
      </nvGraphicFramePr>
      <xfrm/>
      <a:graphic>
        <a:graphicData uri="http://schemas.openxmlformats.org/drawingml/2006/chart">
          <c:chart r:id="rId5"/>
        </a:graphicData>
      </a:graphic>
    </graphicFrame>
    <clientData/>
  </oneCellAnchor>
  <oneCellAnchor>
    <from>
      <col>37</col>
      <colOff>0</colOff>
      <row>21</row>
      <rowOff>0</rowOff>
    </from>
    <ext cx="3780000" cy="2520000"/>
    <graphicFrame>
      <nvGraphicFramePr>
        <cNvPr id="6" name="Chart 6"/>
        <cNvGraphicFramePr/>
      </nvGraphicFramePr>
      <xfrm/>
      <a:graphic>
        <a:graphicData uri="http://schemas.openxmlformats.org/drawingml/2006/chart">
          <c:chart r:id="rId6"/>
        </a:graphicData>
      </a:graphic>
    </graphicFrame>
    <clientData/>
  </oneCellAnchor>
  <oneCellAnchor>
    <from>
      <col>21</col>
      <colOff>0</colOff>
      <row>36</row>
      <rowOff>0</rowOff>
    </from>
    <ext cx="3780000" cy="2520000"/>
    <graphicFrame>
      <nvGraphicFramePr>
        <cNvPr id="7" name="Chart 7"/>
        <cNvGraphicFramePr/>
      </nvGraphicFramePr>
      <xfrm/>
      <a:graphic>
        <a:graphicData uri="http://schemas.openxmlformats.org/drawingml/2006/chart">
          <c:chart r:id="rId7"/>
        </a:graphicData>
      </a:graphic>
    </graphicFrame>
    <clientData/>
  </oneCellAnchor>
  <oneCellAnchor>
    <from>
      <col>29</col>
      <colOff>0</colOff>
      <row>36</row>
      <rowOff>0</rowOff>
    </from>
    <ext cx="3780000" cy="2520000"/>
    <graphicFrame>
      <nvGraphicFramePr>
        <cNvPr id="8" name="Chart 8"/>
        <cNvGraphicFramePr/>
      </nvGraphicFramePr>
      <xfrm/>
      <a:graphic>
        <a:graphicData uri="http://schemas.openxmlformats.org/drawingml/2006/chart">
          <c:chart r:id="rId8"/>
        </a:graphicData>
      </a:graphic>
    </graphicFrame>
    <clientData/>
  </oneCellAnchor>
  <oneCellAnchor>
    <from>
      <col>37</col>
      <colOff>0</colOff>
      <row>36</row>
      <rowOff>0</rowOff>
    </from>
    <ext cx="3780000" cy="2520000"/>
    <graphicFrame>
      <nvGraphicFramePr>
        <cNvPr id="9" name="Chart 9"/>
        <cNvGraphicFramePr/>
      </nvGraphicFramePr>
      <xfrm/>
      <a:graphic>
        <a:graphicData uri="http://schemas.openxmlformats.org/drawingml/2006/chart">
          <c:chart r:id="rId9"/>
        </a:graphicData>
      </a:graphic>
    </graphicFrame>
    <clientData/>
  </oneCellAnchor>
  <oneCellAnchor>
    <from>
      <col>21</col>
      <colOff>0</colOff>
      <row>51</row>
      <rowOff>0</rowOff>
    </from>
    <ext cx="3780000" cy="2520000"/>
    <graphicFrame>
      <nvGraphicFramePr>
        <cNvPr id="10" name="Chart 10"/>
        <cNvGraphicFramePr/>
      </nvGraphicFramePr>
      <xfrm/>
      <a:graphic>
        <a:graphicData uri="http://schemas.openxmlformats.org/drawingml/2006/chart">
          <c:chart r:id="rId10"/>
        </a:graphicData>
      </a:graphic>
    </graphicFrame>
    <clientData/>
  </oneCellAnchor>
  <oneCellAnchor>
    <from>
      <col>21</col>
      <colOff>0</colOff>
      <row>74</row>
      <rowOff>0</rowOff>
    </from>
    <ext cx="6120000" cy="3600000"/>
    <graphicFrame>
      <nvGraphicFramePr>
        <cNvPr id="11" name="Chart 11"/>
        <cNvGraphicFramePr/>
      </nvGraphicFramePr>
      <xfrm/>
      <a:graphic>
        <a:graphicData uri="http://schemas.openxmlformats.org/drawingml/2006/chart">
          <c:chart r:id="rId11"/>
        </a:graphicData>
      </a:graphic>
    </graphicFrame>
    <clientData/>
  </oneCellAnchor>
  <oneCellAnchor>
    <from>
      <col>21</col>
      <colOff>0</colOff>
      <row>102</row>
      <rowOff>0</rowOff>
    </from>
    <ext cx="5400000" cy="2880000"/>
    <graphicFrame>
      <nvGraphicFramePr>
        <cNvPr id="12" name="Chart 12"/>
        <cNvGraphicFramePr/>
      </nvGraphicFramePr>
      <xfrm/>
      <a:graphic>
        <a:graphicData uri="http://schemas.openxmlformats.org/drawingml/2006/chart">
          <c:chart r:id="rId12"/>
        </a:graphicData>
      </a:graphic>
    </graphicFrame>
    <clientData/>
  </oneCellAnchor>
  <oneCellAnchor>
    <from>
      <col>31</col>
      <colOff>0</colOff>
      <row>102</row>
      <rowOff>0</rowOff>
    </from>
    <ext cx="5400000" cy="2880000"/>
    <graphicFrame>
      <nvGraphicFramePr>
        <cNvPr id="13" name="Chart 13"/>
        <cNvGraphicFramePr/>
      </nvGraphicFramePr>
      <xfrm/>
      <a:graphic>
        <a:graphicData uri="http://schemas.openxmlformats.org/drawingml/2006/chart">
          <c:chart r:id="rId13"/>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21</col>
      <colOff>0</colOff>
      <row>6</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31</row>
      <rowOff>0</rowOff>
    </from>
    <ext cx="6120000" cy="306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58</row>
      <rowOff>0</rowOff>
    </from>
    <ext cx="3780000" cy="2520000"/>
    <graphicFrame>
      <nvGraphicFramePr>
        <cNvPr id="3" name="Chart 3"/>
        <cNvGraphicFramePr/>
      </nvGraphicFramePr>
      <xfrm/>
      <a:graphic>
        <a:graphicData uri="http://schemas.openxmlformats.org/drawingml/2006/chart">
          <c:chart r:id="rId3"/>
        </a:graphicData>
      </a:graphic>
    </graphicFrame>
    <clientData/>
  </oneCellAnchor>
  <oneCellAnchor>
    <from>
      <col>8</col>
      <colOff>0</colOff>
      <row>58</row>
      <rowOff>0</rowOff>
    </from>
    <ext cx="3780000" cy="2520000"/>
    <graphicFrame>
      <nvGraphicFramePr>
        <cNvPr id="4" name="Chart 4"/>
        <cNvGraphicFramePr/>
      </nvGraphicFramePr>
      <xfrm/>
      <a:graphic>
        <a:graphicData uri="http://schemas.openxmlformats.org/drawingml/2006/chart">
          <c:chart r:id="rId4"/>
        </a:graphicData>
      </a:graphic>
    </graphicFrame>
    <clientData/>
  </oneCellAnchor>
  <oneCellAnchor>
    <from>
      <col>16</col>
      <colOff>0</colOff>
      <row>58</row>
      <rowOff>0</rowOff>
    </from>
    <ext cx="3780000" cy="252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73</row>
      <rowOff>0</rowOff>
    </from>
    <ext cx="3780000" cy="2520000"/>
    <graphicFrame>
      <nvGraphicFramePr>
        <cNvPr id="6" name="Chart 6"/>
        <cNvGraphicFramePr/>
      </nvGraphicFramePr>
      <xfrm/>
      <a:graphic>
        <a:graphicData uri="http://schemas.openxmlformats.org/drawingml/2006/chart">
          <c:chart r:id="rId6"/>
        </a:graphicData>
      </a:graphic>
    </graphicFrame>
    <clientData/>
  </oneCellAnchor>
  <oneCellAnchor>
    <from>
      <col>8</col>
      <colOff>0</colOff>
      <row>73</row>
      <rowOff>0</rowOff>
    </from>
    <ext cx="3780000" cy="2520000"/>
    <graphicFrame>
      <nvGraphicFramePr>
        <cNvPr id="7" name="Chart 7"/>
        <cNvGraphicFramePr/>
      </nvGraphicFramePr>
      <xfrm/>
      <a:graphic>
        <a:graphicData uri="http://schemas.openxmlformats.org/drawingml/2006/chart">
          <c:chart r:id="rId7"/>
        </a:graphicData>
      </a:graphic>
    </graphicFrame>
    <clientData/>
  </oneCellAnchor>
  <oneCellAnchor>
    <from>
      <col>16</col>
      <colOff>0</colOff>
      <row>73</row>
      <rowOff>0</rowOff>
    </from>
    <ext cx="3780000" cy="2520000"/>
    <graphicFrame>
      <nvGraphicFramePr>
        <cNvPr id="8" name="Chart 8"/>
        <cNvGraphicFramePr/>
      </nvGraphicFramePr>
      <xfrm/>
      <a:graphic>
        <a:graphicData uri="http://schemas.openxmlformats.org/drawingml/2006/chart">
          <c:chart r:id="rId8"/>
        </a:graphicData>
      </a:graphic>
    </graphicFrame>
    <clientData/>
  </oneCellAnchor>
  <oneCellAnchor>
    <from>
      <col>0</col>
      <colOff>0</colOff>
      <row>88</row>
      <rowOff>0</rowOff>
    </from>
    <ext cx="3780000" cy="2520000"/>
    <graphicFrame>
      <nvGraphicFramePr>
        <cNvPr id="9" name="Chart 9"/>
        <cNvGraphicFramePr/>
      </nvGraphicFramePr>
      <xfrm/>
      <a:graphic>
        <a:graphicData uri="http://schemas.openxmlformats.org/drawingml/2006/chart">
          <c:chart r:id="rId9"/>
        </a:graphicData>
      </a:graphic>
    </graphicFrame>
    <clientData/>
  </oneCellAnchor>
  <oneCellAnchor>
    <from>
      <col>8</col>
      <colOff>0</colOff>
      <row>88</row>
      <rowOff>0</rowOff>
    </from>
    <ext cx="3780000" cy="2520000"/>
    <graphicFrame>
      <nvGraphicFramePr>
        <cNvPr id="10" name="Chart 10"/>
        <cNvGraphicFramePr/>
      </nvGraphicFramePr>
      <xfrm/>
      <a:graphic>
        <a:graphicData uri="http://schemas.openxmlformats.org/drawingml/2006/chart">
          <c:chart r:id="rId10"/>
        </a:graphicData>
      </a:graphic>
    </graphicFrame>
    <clientData/>
  </oneCellAnchor>
  <oneCellAnchor>
    <from>
      <col>16</col>
      <colOff>0</colOff>
      <row>88</row>
      <rowOff>0</rowOff>
    </from>
    <ext cx="3780000" cy="252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103</row>
      <rowOff>0</rowOff>
    </from>
    <ext cx="3780000" cy="2520000"/>
    <graphicFrame>
      <nvGraphicFramePr>
        <cNvPr id="12" name="Chart 12"/>
        <cNvGraphicFramePr/>
      </nvGraphicFramePr>
      <xfrm/>
      <a:graphic>
        <a:graphicData uri="http://schemas.openxmlformats.org/drawingml/2006/chart">
          <c:chart r:id="rId12"/>
        </a:graphicData>
      </a:graphic>
    </graphicFrame>
    <clientData/>
  </oneCellAnchor>
  <oneCellAnchor>
    <from>
      <col>0</col>
      <colOff>0</colOff>
      <row>127</row>
      <rowOff>0</rowOff>
    </from>
    <ext cx="6120000" cy="3060000"/>
    <graphicFrame>
      <nvGraphicFramePr>
        <cNvPr id="13" name="Chart 13"/>
        <cNvGraphicFramePr/>
      </nvGraphicFramePr>
      <xfrm/>
      <a:graphic>
        <a:graphicData uri="http://schemas.openxmlformats.org/drawingml/2006/chart">
          <c:chart r:id="rId13"/>
        </a:graphicData>
      </a:graphic>
    </graphicFrame>
    <clientData/>
  </oneCellAnchor>
  <oneCellAnchor>
    <from>
      <col>0</col>
      <colOff>0</colOff>
      <row>154</row>
      <rowOff>0</rowOff>
    </from>
    <ext cx="3780000" cy="2520000"/>
    <graphicFrame>
      <nvGraphicFramePr>
        <cNvPr id="14" name="Chart 14"/>
        <cNvGraphicFramePr/>
      </nvGraphicFramePr>
      <xfrm/>
      <a:graphic>
        <a:graphicData uri="http://schemas.openxmlformats.org/drawingml/2006/chart">
          <c:chart r:id="rId14"/>
        </a:graphicData>
      </a:graphic>
    </graphicFrame>
    <clientData/>
  </oneCellAnchor>
  <oneCellAnchor>
    <from>
      <col>8</col>
      <colOff>0</colOff>
      <row>154</row>
      <rowOff>0</rowOff>
    </from>
    <ext cx="3780000" cy="2520000"/>
    <graphicFrame>
      <nvGraphicFramePr>
        <cNvPr id="15" name="Chart 15"/>
        <cNvGraphicFramePr/>
      </nvGraphicFramePr>
      <xfrm/>
      <a:graphic>
        <a:graphicData uri="http://schemas.openxmlformats.org/drawingml/2006/chart">
          <c:chart r:id="rId15"/>
        </a:graphicData>
      </a:graphic>
    </graphicFrame>
    <clientData/>
  </oneCellAnchor>
  <oneCellAnchor>
    <from>
      <col>16</col>
      <colOff>0</colOff>
      <row>154</row>
      <rowOff>0</rowOff>
    </from>
    <ext cx="3780000" cy="2520000"/>
    <graphicFrame>
      <nvGraphicFramePr>
        <cNvPr id="16" name="Chart 16"/>
        <cNvGraphicFramePr/>
      </nvGraphicFramePr>
      <xfrm/>
      <a:graphic>
        <a:graphicData uri="http://schemas.openxmlformats.org/drawingml/2006/chart">
          <c:chart r:id="rId16"/>
        </a:graphicData>
      </a:graphic>
    </graphicFrame>
    <clientData/>
  </oneCellAnchor>
  <oneCellAnchor>
    <from>
      <col>0</col>
      <colOff>0</colOff>
      <row>169</row>
      <rowOff>0</rowOff>
    </from>
    <ext cx="3780000" cy="2520000"/>
    <graphicFrame>
      <nvGraphicFramePr>
        <cNvPr id="17" name="Chart 17"/>
        <cNvGraphicFramePr/>
      </nvGraphicFramePr>
      <xfrm/>
      <a:graphic>
        <a:graphicData uri="http://schemas.openxmlformats.org/drawingml/2006/chart">
          <c:chart r:id="rId17"/>
        </a:graphicData>
      </a:graphic>
    </graphicFrame>
    <clientData/>
  </oneCellAnchor>
  <oneCellAnchor>
    <from>
      <col>8</col>
      <colOff>0</colOff>
      <row>169</row>
      <rowOff>0</rowOff>
    </from>
    <ext cx="3780000" cy="2520000"/>
    <graphicFrame>
      <nvGraphicFramePr>
        <cNvPr id="18" name="Chart 18"/>
        <cNvGraphicFramePr/>
      </nvGraphicFramePr>
      <xfrm/>
      <a:graphic>
        <a:graphicData uri="http://schemas.openxmlformats.org/drawingml/2006/chart">
          <c:chart r:id="rId18"/>
        </a:graphicData>
      </a:graphic>
    </graphicFrame>
    <clientData/>
  </oneCellAnchor>
  <oneCellAnchor>
    <from>
      <col>16</col>
      <colOff>0</colOff>
      <row>169</row>
      <rowOff>0</rowOff>
    </from>
    <ext cx="3780000" cy="2520000"/>
    <graphicFrame>
      <nvGraphicFramePr>
        <cNvPr id="19" name="Chart 19"/>
        <cNvGraphicFramePr/>
      </nvGraphicFramePr>
      <xfrm/>
      <a:graphic>
        <a:graphicData uri="http://schemas.openxmlformats.org/drawingml/2006/chart">
          <c:chart r:id="rId19"/>
        </a:graphicData>
      </a:graphic>
    </graphicFrame>
    <clientData/>
  </oneCellAnchor>
  <oneCellAnchor>
    <from>
      <col>0</col>
      <colOff>0</colOff>
      <row>184</row>
      <rowOff>0</rowOff>
    </from>
    <ext cx="3780000" cy="2520000"/>
    <graphicFrame>
      <nvGraphicFramePr>
        <cNvPr id="20" name="Chart 20"/>
        <cNvGraphicFramePr/>
      </nvGraphicFramePr>
      <xfrm/>
      <a:graphic>
        <a:graphicData uri="http://schemas.openxmlformats.org/drawingml/2006/chart">
          <c:chart r:id="rId20"/>
        </a:graphicData>
      </a:graphic>
    </graphicFrame>
    <clientData/>
  </oneCellAnchor>
  <oneCellAnchor>
    <from>
      <col>8</col>
      <colOff>0</colOff>
      <row>184</row>
      <rowOff>0</rowOff>
    </from>
    <ext cx="3780000" cy="2520000"/>
    <graphicFrame>
      <nvGraphicFramePr>
        <cNvPr id="21" name="Chart 21"/>
        <cNvGraphicFramePr/>
      </nvGraphicFramePr>
      <xfrm/>
      <a:graphic>
        <a:graphicData uri="http://schemas.openxmlformats.org/drawingml/2006/chart">
          <c:chart r:id="rId21"/>
        </a:graphicData>
      </a:graphic>
    </graphicFrame>
    <clientData/>
  </oneCellAnchor>
  <oneCellAnchor>
    <from>
      <col>16</col>
      <colOff>0</colOff>
      <row>184</row>
      <rowOff>0</rowOff>
    </from>
    <ext cx="3780000" cy="2520000"/>
    <graphicFrame>
      <nvGraphicFramePr>
        <cNvPr id="22" name="Chart 22"/>
        <cNvGraphicFramePr/>
      </nvGraphicFramePr>
      <xfrm/>
      <a:graphic>
        <a:graphicData uri="http://schemas.openxmlformats.org/drawingml/2006/chart">
          <c:chart r:id="rId22"/>
        </a:graphicData>
      </a:graphic>
    </graphicFrame>
    <clientData/>
  </oneCellAnchor>
  <oneCellAnchor>
    <from>
      <col>0</col>
      <colOff>0</colOff>
      <row>199</row>
      <rowOff>0</rowOff>
    </from>
    <ext cx="3780000" cy="2520000"/>
    <graphicFrame>
      <nvGraphicFramePr>
        <cNvPr id="23" name="Chart 23"/>
        <cNvGraphicFramePr/>
      </nvGraphicFramePr>
      <xfrm/>
      <a:graphic>
        <a:graphicData uri="http://schemas.openxmlformats.org/drawingml/2006/chart">
          <c:chart r:id="rId23"/>
        </a:graphicData>
      </a:graphic>
    </graphicFrame>
    <clientData/>
  </oneCellAnchor>
  <oneCellAnchor>
    <from>
      <col>0</col>
      <colOff>0</colOff>
      <row>223</row>
      <rowOff>0</rowOff>
    </from>
    <ext cx="6120000" cy="3600000"/>
    <graphicFrame>
      <nvGraphicFramePr>
        <cNvPr id="24" name="Chart 24"/>
        <cNvGraphicFramePr/>
      </nvGraphicFramePr>
      <xfrm/>
      <a:graphic>
        <a:graphicData uri="http://schemas.openxmlformats.org/drawingml/2006/chart">
          <c:chart r:id="rId24"/>
        </a:graphicData>
      </a:graphic>
    </graphicFrame>
    <clientData/>
  </oneCellAnchor>
  <oneCellAnchor>
    <from>
      <col>0</col>
      <colOff>0</colOff>
      <row>252</row>
      <rowOff>0</rowOff>
    </from>
    <ext cx="6120000" cy="3060000"/>
    <graphicFrame>
      <nvGraphicFramePr>
        <cNvPr id="25" name="Chart 25"/>
        <cNvGraphicFramePr/>
      </nvGraphicFramePr>
      <xfrm/>
      <a:graphic>
        <a:graphicData uri="http://schemas.openxmlformats.org/drawingml/2006/chart">
          <c:chart r:id="rId25"/>
        </a:graphicData>
      </a:graphic>
    </graphicFrame>
    <clientData/>
  </oneCellAnchor>
  <oneCellAnchor>
    <from>
      <col>0</col>
      <colOff>0</colOff>
      <row>279</row>
      <rowOff>0</rowOff>
    </from>
    <ext cx="5400000" cy="2880000"/>
    <graphicFrame>
      <nvGraphicFramePr>
        <cNvPr id="26" name="Chart 26"/>
        <cNvGraphicFramePr/>
      </nvGraphicFramePr>
      <xfrm/>
      <a:graphic>
        <a:graphicData uri="http://schemas.openxmlformats.org/drawingml/2006/chart">
          <c:chart r:id="rId26"/>
        </a:graphicData>
      </a:graphic>
    </graphicFrame>
    <clientData/>
  </oneCellAnchor>
  <oneCellAnchor>
    <from>
      <col>10</col>
      <colOff>0</colOff>
      <row>279</row>
      <rowOff>0</rowOff>
    </from>
    <ext cx="5400000" cy="2880000"/>
    <graphicFrame>
      <nvGraphicFramePr>
        <cNvPr id="27" name="Chart 27"/>
        <cNvGraphicFramePr/>
      </nvGraphicFramePr>
      <xfrm/>
      <a:graphic>
        <a:graphicData uri="http://schemas.openxmlformats.org/drawingml/2006/chart">
          <c:chart r:id="rId27"/>
        </a:graphicData>
      </a:graphic>
    </graphicFrame>
    <clientData/>
  </oneCellAnchor>
  <oneCellAnchor>
    <from>
      <col>0</col>
      <colOff>0</colOff>
      <row>305</row>
      <rowOff>0</rowOff>
    </from>
    <ext cx="6120000" cy="3060000"/>
    <graphicFrame>
      <nvGraphicFramePr>
        <cNvPr id="28" name="Chart 28"/>
        <cNvGraphicFramePr/>
      </nvGraphicFramePr>
      <xfrm/>
      <a:graphic>
        <a:graphicData uri="http://schemas.openxmlformats.org/drawingml/2006/chart">
          <c:chart r:id="rId28"/>
        </a:graphicData>
      </a:graphic>
    </graphicFrame>
    <clientData/>
  </oneCellAnchor>
</wsDr>
</file>

<file path=xl/drawings/drawing1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19</col>
      <colOff>0</colOff>
      <row>6</row>
      <rowOff>0</rowOff>
    </from>
    <ext cx="6120000" cy="3420000"/>
    <graphicFrame>
      <nvGraphicFramePr>
        <cNvPr id="1" name="Chart 1"/>
        <cNvGraphicFramePr/>
      </nvGraphicFramePr>
      <xfrm/>
      <a:graphic>
        <a:graphicData uri="http://schemas.openxmlformats.org/drawingml/2006/chart">
          <c:chart r:id="rId1"/>
        </a:graphicData>
      </a:graphic>
    </graphicFrame>
    <clientData/>
  </oneCellAnchor>
  <oneCellAnchor>
    <from>
      <col>19</col>
      <colOff>0</colOff>
      <row>131</row>
      <rowOff>0</rowOff>
    </from>
    <ext cx="6120000" cy="3420000"/>
    <graphicFrame>
      <nvGraphicFramePr>
        <cNvPr id="2" name="Chart 2"/>
        <cNvGraphicFramePr/>
      </nvGraphicFramePr>
      <xfrm/>
      <a:graphic>
        <a:graphicData uri="http://schemas.openxmlformats.org/drawingml/2006/chart">
          <c:chart r:id="rId2"/>
        </a:graphicData>
      </a:graphic>
    </graphicFrame>
    <clientData/>
  </oneCellAnchor>
  <oneCellAnchor>
    <from>
      <col>19</col>
      <colOff>0</colOff>
      <row>257</row>
      <rowOff>0</rowOff>
    </from>
    <ext cx="6120000" cy="3420000"/>
    <graphicFrame>
      <nvGraphicFramePr>
        <cNvPr id="3" name="Chart 3"/>
        <cNvGraphicFramePr/>
      </nvGraphicFramePr>
      <xfrm/>
      <a:graphic>
        <a:graphicData uri="http://schemas.openxmlformats.org/drawingml/2006/chart">
          <c:chart r:id="rId3"/>
        </a:graphicData>
      </a:graphic>
    </graphicFrame>
    <clientData/>
  </oneCellAnchor>
  <oneCellAnchor>
    <from>
      <col>19</col>
      <colOff>0</colOff>
      <row>383</row>
      <rowOff>0</rowOff>
    </from>
    <ext cx="6120000" cy="3420000"/>
    <graphicFrame>
      <nvGraphicFramePr>
        <cNvPr id="4" name="Chart 4"/>
        <cNvGraphicFramePr/>
      </nvGraphicFramePr>
      <xfrm/>
      <a:graphic>
        <a:graphicData uri="http://schemas.openxmlformats.org/drawingml/2006/chart">
          <c:chart r:id="rId4"/>
        </a:graphicData>
      </a:graphic>
    </graphicFrame>
    <clientData/>
  </oneCellAnchor>
  <oneCellAnchor>
    <from>
      <col>19</col>
      <colOff>0</colOff>
      <row>509</row>
      <rowOff>0</rowOff>
    </from>
    <ext cx="612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1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6</row>
      <rowOff>0</rowOff>
    </from>
    <ext cx="3780000" cy="2880000"/>
    <graphicFrame>
      <nvGraphicFramePr>
        <cNvPr id="1" name="Chart 1"/>
        <cNvGraphicFramePr/>
      </nvGraphicFramePr>
      <xfrm/>
      <a:graphic>
        <a:graphicData uri="http://schemas.openxmlformats.org/drawingml/2006/chart">
          <c:chart r:id="rId1"/>
        </a:graphicData>
      </a:graphic>
    </graphicFrame>
    <clientData/>
  </oneCellAnchor>
  <oneCellAnchor>
    <from>
      <col>21</col>
      <colOff>0</colOff>
      <row>6</row>
      <rowOff>0</rowOff>
    </from>
    <ext cx="3780000" cy="2880000"/>
    <graphicFrame>
      <nvGraphicFramePr>
        <cNvPr id="2" name="Chart 2"/>
        <cNvGraphicFramePr/>
      </nvGraphicFramePr>
      <xfrm/>
      <a:graphic>
        <a:graphicData uri="http://schemas.openxmlformats.org/drawingml/2006/chart">
          <c:chart r:id="rId2"/>
        </a:graphicData>
      </a:graphic>
    </graphicFrame>
    <clientData/>
  </oneCellAnchor>
  <oneCellAnchor>
    <from>
      <col>29</col>
      <colOff>0</colOff>
      <row>6</row>
      <rowOff>0</rowOff>
    </from>
    <ext cx="378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1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48</row>
      <rowOff>0</rowOff>
    </from>
    <ext cx="6120000" cy="34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612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row>
      <rowOff>0</rowOff>
    </from>
    <ext cx="6120000" cy="34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32</row>
      <rowOff>0</rowOff>
    </from>
    <ext cx="6120000" cy="342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60</row>
      <rowOff>0</rowOff>
    </from>
    <ext cx="6120000" cy="342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88</row>
      <rowOff>0</rowOff>
    </from>
    <ext cx="6120000" cy="34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116</row>
      <rowOff>0</rowOff>
    </from>
    <ext cx="6120000" cy="342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144</row>
      <rowOff>0</rowOff>
    </from>
    <ext cx="3780000" cy="2880000"/>
    <graphicFrame>
      <nvGraphicFramePr>
        <cNvPr id="6" name="Chart 6"/>
        <cNvGraphicFramePr/>
      </nvGraphicFramePr>
      <xfrm/>
      <a:graphic>
        <a:graphicData uri="http://schemas.openxmlformats.org/drawingml/2006/chart">
          <c:chart r:id="rId6"/>
        </a:graphicData>
      </a:graphic>
    </graphicFrame>
    <clientData/>
  </oneCellAnchor>
  <oneCellAnchor>
    <from>
      <col>8</col>
      <colOff>0</colOff>
      <row>144</row>
      <rowOff>0</rowOff>
    </from>
    <ext cx="3780000" cy="2880000"/>
    <graphicFrame>
      <nvGraphicFramePr>
        <cNvPr id="7" name="Chart 7"/>
        <cNvGraphicFramePr/>
      </nvGraphicFramePr>
      <xfrm/>
      <a:graphic>
        <a:graphicData uri="http://schemas.openxmlformats.org/drawingml/2006/chart">
          <c:chart r:id="rId7"/>
        </a:graphicData>
      </a:graphic>
    </graphicFrame>
    <clientData/>
  </oneCellAnchor>
  <oneCellAnchor>
    <from>
      <col>16</col>
      <colOff>0</colOff>
      <row>144</row>
      <rowOff>0</rowOff>
    </from>
    <ext cx="3780000" cy="2880000"/>
    <graphicFrame>
      <nvGraphicFramePr>
        <cNvPr id="8" name="Chart 8"/>
        <cNvGraphicFramePr/>
      </nvGraphicFramePr>
      <xfrm/>
      <a:graphic>
        <a:graphicData uri="http://schemas.openxmlformats.org/drawingml/2006/chart">
          <c:chart r:id="rId8"/>
        </a:graphicData>
      </a:graphic>
    </graphicFrame>
    <clientData/>
  </oneCellAnchor>
  <oneCellAnchor>
    <from>
      <col>0</col>
      <colOff>0</colOff>
      <row>170</row>
      <rowOff>0</rowOff>
    </from>
    <ext cx="6120000" cy="3420000"/>
    <graphicFrame>
      <nvGraphicFramePr>
        <cNvPr id="9" name="Chart 9"/>
        <cNvGraphicFramePr/>
      </nvGraphicFramePr>
      <xfrm/>
      <a:graphic>
        <a:graphicData uri="http://schemas.openxmlformats.org/drawingml/2006/chart">
          <c:chart r:id="rId9"/>
        </a:graphicData>
      </a:graphic>
    </graphicFrame>
    <clientData/>
  </oneCellAnchor>
</wsDr>
</file>

<file path=xl/drawings/drawing2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21</col>
      <colOff>0</colOff>
      <row>6</row>
      <rowOff>0</rowOff>
    </from>
    <ext cx="6120000" cy="34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row>
      <rowOff>0</rowOff>
    </from>
    <ext cx="6120000" cy="34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24</row>
      <rowOff>0</rowOff>
    </from>
    <ext cx="612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15</col>
      <colOff>0</colOff>
      <row>301</row>
      <rowOff>0</rowOff>
    </from>
    <ext cx="6120000" cy="360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329</row>
      <rowOff>0</rowOff>
    </from>
    <ext cx="3780000" cy="2520000"/>
    <graphicFrame>
      <nvGraphicFramePr>
        <cNvPr id="2" name="Chart 2"/>
        <cNvGraphicFramePr/>
      </nvGraphicFramePr>
      <xfrm/>
      <a:graphic>
        <a:graphicData uri="http://schemas.openxmlformats.org/drawingml/2006/chart">
          <c:chart r:id="rId2"/>
        </a:graphicData>
      </a:graphic>
    </graphicFrame>
    <clientData/>
  </oneCellAnchor>
  <oneCellAnchor>
    <from>
      <col>15</col>
      <colOff>0</colOff>
      <row>344</row>
      <rowOff>0</rowOff>
    </from>
    <ext cx="3780000" cy="2520000"/>
    <graphicFrame>
      <nvGraphicFramePr>
        <cNvPr id="3" name="Chart 3"/>
        <cNvGraphicFramePr/>
      </nvGraphicFramePr>
      <xfrm/>
      <a:graphic>
        <a:graphicData uri="http://schemas.openxmlformats.org/drawingml/2006/chart">
          <c:chart r:id="rId3"/>
        </a:graphicData>
      </a:graphic>
    </graphicFrame>
    <clientData/>
  </oneCellAnchor>
  <oneCellAnchor>
    <from>
      <col>15</col>
      <colOff>0</colOff>
      <row>359</row>
      <rowOff>0</rowOff>
    </from>
    <ext cx="3780000" cy="2520000"/>
    <graphicFrame>
      <nvGraphicFramePr>
        <cNvPr id="4" name="Chart 4"/>
        <cNvGraphicFramePr/>
      </nvGraphicFramePr>
      <xfrm/>
      <a:graphic>
        <a:graphicData uri="http://schemas.openxmlformats.org/drawingml/2006/chart">
          <c:chart r:id="rId4"/>
        </a:graphicData>
      </a:graphic>
    </graphicFrame>
    <clientData/>
  </oneCellAnchor>
  <oneCellAnchor>
    <from>
      <col>15</col>
      <colOff>0</colOff>
      <row>374</row>
      <rowOff>0</rowOff>
    </from>
    <ext cx="3780000" cy="2520000"/>
    <graphicFrame>
      <nvGraphicFramePr>
        <cNvPr id="5" name="Chart 5"/>
        <cNvGraphicFramePr/>
      </nvGraphicFramePr>
      <xfrm/>
      <a:graphic>
        <a:graphicData uri="http://schemas.openxmlformats.org/drawingml/2006/chart">
          <c:chart r:id="rId5"/>
        </a:graphicData>
      </a:graphic>
    </graphicFrame>
    <clientData/>
  </oneCellAnchor>
  <oneCellAnchor>
    <from>
      <col>15</col>
      <colOff>0</colOff>
      <row>389</row>
      <rowOff>0</rowOff>
    </from>
    <ext cx="3780000" cy="2520000"/>
    <graphicFrame>
      <nvGraphicFramePr>
        <cNvPr id="6" name="Chart 6"/>
        <cNvGraphicFramePr/>
      </nvGraphicFramePr>
      <xfrm/>
      <a:graphic>
        <a:graphicData uri="http://schemas.openxmlformats.org/drawingml/2006/chart">
          <c:chart r:id="rId6"/>
        </a:graphicData>
      </a:graphic>
    </graphicFrame>
    <clientData/>
  </oneCellAnchor>
  <oneCellAnchor>
    <from>
      <col>15</col>
      <colOff>0</colOff>
      <row>404</row>
      <rowOff>0</rowOff>
    </from>
    <ext cx="3780000" cy="2520000"/>
    <graphicFrame>
      <nvGraphicFramePr>
        <cNvPr id="7" name="Chart 7"/>
        <cNvGraphicFramePr/>
      </nvGraphicFramePr>
      <xfrm/>
      <a:graphic>
        <a:graphicData uri="http://schemas.openxmlformats.org/drawingml/2006/chart">
          <c:chart r:id="rId7"/>
        </a:graphicData>
      </a:graphic>
    </graphicFrame>
    <clientData/>
  </oneCellAnchor>
  <oneCellAnchor>
    <from>
      <col>15</col>
      <colOff>0</colOff>
      <row>419</row>
      <rowOff>0</rowOff>
    </from>
    <ext cx="3780000" cy="2520000"/>
    <graphicFrame>
      <nvGraphicFramePr>
        <cNvPr id="8" name="Chart 8"/>
        <cNvGraphicFramePr/>
      </nvGraphicFramePr>
      <xfrm/>
      <a:graphic>
        <a:graphicData uri="http://schemas.openxmlformats.org/drawingml/2006/chart">
          <c:chart r:id="rId8"/>
        </a:graphicData>
      </a:graphic>
    </graphicFrame>
    <clientData/>
  </oneCellAnchor>
  <oneCellAnchor>
    <from>
      <col>15</col>
      <colOff>0</colOff>
      <row>434</row>
      <rowOff>0</rowOff>
    </from>
    <ext cx="3780000" cy="2520000"/>
    <graphicFrame>
      <nvGraphicFramePr>
        <cNvPr id="9" name="Chart 9"/>
        <cNvGraphicFramePr/>
      </nvGraphicFramePr>
      <xfrm/>
      <a:graphic>
        <a:graphicData uri="http://schemas.openxmlformats.org/drawingml/2006/chart">
          <c:chart r:id="rId9"/>
        </a:graphicData>
      </a:graphic>
    </graphicFrame>
    <clientData/>
  </oneCellAnchor>
  <oneCellAnchor>
    <from>
      <col>15</col>
      <colOff>0</colOff>
      <row>449</row>
      <rowOff>0</rowOff>
    </from>
    <ext cx="3780000" cy="2520000"/>
    <graphicFrame>
      <nvGraphicFramePr>
        <cNvPr id="10" name="Chart 10"/>
        <cNvGraphicFramePr/>
      </nvGraphicFramePr>
      <xfrm/>
      <a:graphic>
        <a:graphicData uri="http://schemas.openxmlformats.org/drawingml/2006/chart">
          <c:chart r:id="rId10"/>
        </a:graphicData>
      </a:graphic>
    </graphicFrame>
    <clientData/>
  </oneCellAnchor>
  <oneCellAnchor>
    <from>
      <col>15</col>
      <colOff>0</colOff>
      <row>464</row>
      <rowOff>0</rowOff>
    </from>
    <ext cx="3780000" cy="2520000"/>
    <graphicFrame>
      <nvGraphicFramePr>
        <cNvPr id="11" name="Chart 11"/>
        <cNvGraphicFramePr/>
      </nvGraphicFramePr>
      <xfrm/>
      <a:graphic>
        <a:graphicData uri="http://schemas.openxmlformats.org/drawingml/2006/chart">
          <c:chart r:id="rId11"/>
        </a:graphicData>
      </a:graphic>
    </graphicFrame>
    <clientData/>
  </oneCellAnchor>
  <oneCellAnchor>
    <from>
      <col>15</col>
      <colOff>0</colOff>
      <row>487</row>
      <rowOff>0</rowOff>
    </from>
    <ext cx="6120000" cy="3060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2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row>
      <rowOff>0</rowOff>
    </from>
    <ext cx="612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34</row>
      <rowOff>0</rowOff>
    </from>
    <ext cx="6120000" cy="36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63</row>
      <rowOff>0</rowOff>
    </from>
    <ext cx="3780000" cy="2520000"/>
    <graphicFrame>
      <nvGraphicFramePr>
        <cNvPr id="3" name="Chart 3"/>
        <cNvGraphicFramePr/>
      </nvGraphicFramePr>
      <xfrm/>
      <a:graphic>
        <a:graphicData uri="http://schemas.openxmlformats.org/drawingml/2006/chart">
          <c:chart r:id="rId3"/>
        </a:graphicData>
      </a:graphic>
    </graphicFrame>
    <clientData/>
  </oneCellAnchor>
  <oneCellAnchor>
    <from>
      <col>8</col>
      <colOff>0</colOff>
      <row>63</row>
      <rowOff>0</rowOff>
    </from>
    <ext cx="3780000" cy="2520000"/>
    <graphicFrame>
      <nvGraphicFramePr>
        <cNvPr id="4" name="Chart 4"/>
        <cNvGraphicFramePr/>
      </nvGraphicFramePr>
      <xfrm/>
      <a:graphic>
        <a:graphicData uri="http://schemas.openxmlformats.org/drawingml/2006/chart">
          <c:chart r:id="rId4"/>
        </a:graphicData>
      </a:graphic>
    </graphicFrame>
    <clientData/>
  </oneCellAnchor>
  <oneCellAnchor>
    <from>
      <col>16</col>
      <colOff>0</colOff>
      <row>63</row>
      <rowOff>0</rowOff>
    </from>
    <ext cx="3780000" cy="252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78</row>
      <rowOff>0</rowOff>
    </from>
    <ext cx="3780000" cy="2520000"/>
    <graphicFrame>
      <nvGraphicFramePr>
        <cNvPr id="6" name="Chart 6"/>
        <cNvGraphicFramePr/>
      </nvGraphicFramePr>
      <xfrm/>
      <a:graphic>
        <a:graphicData uri="http://schemas.openxmlformats.org/drawingml/2006/chart">
          <c:chart r:id="rId6"/>
        </a:graphicData>
      </a:graphic>
    </graphicFrame>
    <clientData/>
  </oneCellAnchor>
  <oneCellAnchor>
    <from>
      <col>8</col>
      <colOff>0</colOff>
      <row>78</row>
      <rowOff>0</rowOff>
    </from>
    <ext cx="3780000" cy="2520000"/>
    <graphicFrame>
      <nvGraphicFramePr>
        <cNvPr id="7" name="Chart 7"/>
        <cNvGraphicFramePr/>
      </nvGraphicFramePr>
      <xfrm/>
      <a:graphic>
        <a:graphicData uri="http://schemas.openxmlformats.org/drawingml/2006/chart">
          <c:chart r:id="rId7"/>
        </a:graphicData>
      </a:graphic>
    </graphicFrame>
    <clientData/>
  </oneCellAnchor>
  <oneCellAnchor>
    <from>
      <col>16</col>
      <colOff>0</colOff>
      <row>78</row>
      <rowOff>0</rowOff>
    </from>
    <ext cx="3780000" cy="2520000"/>
    <graphicFrame>
      <nvGraphicFramePr>
        <cNvPr id="8" name="Chart 8"/>
        <cNvGraphicFramePr/>
      </nvGraphicFramePr>
      <xfrm/>
      <a:graphic>
        <a:graphicData uri="http://schemas.openxmlformats.org/drawingml/2006/chart">
          <c:chart r:id="rId8"/>
        </a:graphicData>
      </a:graphic>
    </graphicFrame>
    <clientData/>
  </oneCellAnchor>
  <oneCellAnchor>
    <from>
      <col>0</col>
      <colOff>0</colOff>
      <row>93</row>
      <rowOff>0</rowOff>
    </from>
    <ext cx="3780000" cy="2520000"/>
    <graphicFrame>
      <nvGraphicFramePr>
        <cNvPr id="9" name="Chart 9"/>
        <cNvGraphicFramePr/>
      </nvGraphicFramePr>
      <xfrm/>
      <a:graphic>
        <a:graphicData uri="http://schemas.openxmlformats.org/drawingml/2006/chart">
          <c:chart r:id="rId9"/>
        </a:graphicData>
      </a:graphic>
    </graphicFrame>
    <clientData/>
  </oneCellAnchor>
  <oneCellAnchor>
    <from>
      <col>8</col>
      <colOff>0</colOff>
      <row>93</row>
      <rowOff>0</rowOff>
    </from>
    <ext cx="3780000" cy="2520000"/>
    <graphicFrame>
      <nvGraphicFramePr>
        <cNvPr id="10" name="Chart 10"/>
        <cNvGraphicFramePr/>
      </nvGraphicFramePr>
      <xfrm/>
      <a:graphic>
        <a:graphicData uri="http://schemas.openxmlformats.org/drawingml/2006/chart">
          <c:chart r:id="rId10"/>
        </a:graphicData>
      </a:graphic>
    </graphicFrame>
    <clientData/>
  </oneCellAnchor>
  <oneCellAnchor>
    <from>
      <col>16</col>
      <colOff>0</colOff>
      <row>93</row>
      <rowOff>0</rowOff>
    </from>
    <ext cx="3780000" cy="252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108</row>
      <rowOff>0</rowOff>
    </from>
    <ext cx="3780000" cy="2520000"/>
    <graphicFrame>
      <nvGraphicFramePr>
        <cNvPr id="12" name="Chart 12"/>
        <cNvGraphicFramePr/>
      </nvGraphicFramePr>
      <xfrm/>
      <a:graphic>
        <a:graphicData uri="http://schemas.openxmlformats.org/drawingml/2006/chart">
          <c:chart r:id="rId12"/>
        </a:graphicData>
      </a:graphic>
    </graphicFrame>
    <clientData/>
  </oneCellAnchor>
  <oneCellAnchor>
    <from>
      <col>0</col>
      <colOff>0</colOff>
      <row>132</row>
      <rowOff>0</rowOff>
    </from>
    <ext cx="6120000" cy="3060000"/>
    <graphicFrame>
      <nvGraphicFramePr>
        <cNvPr id="13" name="Chart 13"/>
        <cNvGraphicFramePr/>
      </nvGraphicFramePr>
      <xfrm/>
      <a:graphic>
        <a:graphicData uri="http://schemas.openxmlformats.org/drawingml/2006/chart">
          <c:chart r:id="rId1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Punto_profesor'!A1" TargetMode="External" Id="rId1" /><Relationship Type="http://schemas.openxmlformats.org/officeDocument/2006/relationships/hyperlink" Target="#'S-1 Resumen por estudio'!A1" TargetMode="External" Id="rId2" /><Relationship Type="http://schemas.openxmlformats.org/officeDocument/2006/relationships/hyperlink" Target="#'S-2 Qu&#233; se movi&#243; en cada barrid'!A1" TargetMode="External" Id="rId3" /><Relationship Type="http://schemas.openxmlformats.org/officeDocument/2006/relationships/hyperlink" Target="#'S-3 Rangos KALINA comparados'!A1" TargetMode="External" Id="rId4" /><Relationship Type="http://schemas.openxmlformats.org/officeDocument/2006/relationships/hyperlink" Target="#'S-4 Datos del profesor conserva'!A1" TargetMode="External" Id="rId5" /><Relationship Type="http://schemas.openxmlformats.org/officeDocument/2006/relationships/hyperlink" Target="#'S-5 Criterios que bloquean, por'!A1" TargetMode="External" Id="rId6" /><Relationship Type="http://schemas.openxmlformats.org/officeDocument/2006/relationships/hyperlink" Target="#'1.1-1 Condiciones qu&#233; qued&#243; fij'!A1" TargetMode="External" Id="rId7" /><Relationship Type="http://schemas.openxmlformats.org/officeDocument/2006/relationships/hyperlink" Target="#'1.1-2 Corridas por parte y por'!A1" TargetMode="External" Id="rId8" /><Relationship Type="http://schemas.openxmlformats.org/officeDocument/2006/relationships/hyperlink" Target="#'1.1-3 Comparaci&#243;n antes y despu'!A1" TargetMode="External" Id="rId9" /><Relationship Type="http://schemas.openxmlformats.org/officeDocument/2006/relationships/hyperlink" Target="#'2.1-1 Condiciones qu&#233; qued&#243; fij'!A1" TargetMode="External" Id="rId10" /><Relationship Type="http://schemas.openxmlformats.org/officeDocument/2006/relationships/hyperlink" Target="#'2.1-2 Corridas por parte y por'!A1" TargetMode="External" Id="rId11" /><Relationship Type="http://schemas.openxmlformats.org/officeDocument/2006/relationships/hyperlink" Target="#'2.1-3 Distancia al punto del pr'!A1" TargetMode="External" Id="rId12" /><Relationship Type="http://schemas.openxmlformats.org/officeDocument/2006/relationships/hyperlink" Target="#'2.2-1 Condiciones qu&#233; qued&#243; fij'!A1" TargetMode="External" Id="rId13" /><Relationship Type="http://schemas.openxmlformats.org/officeDocument/2006/relationships/hyperlink" Target="#'2.2-2 Corridas por parte y por'!A1" TargetMode="External" Id="rId14" /><Relationship Type="http://schemas.openxmlformats.org/officeDocument/2006/relationships/hyperlink" Target="#'2.2-3 Resumen de la malla de do'!A1" TargetMode="External" Id="rId15" /><Relationship Type="http://schemas.openxmlformats.org/officeDocument/2006/relationships/hyperlink" Target="#'2.3-1 Condiciones qu&#233; qued&#243; fij'!A1" TargetMode="External" Id="rId16" /><Relationship Type="http://schemas.openxmlformats.org/officeDocument/2006/relationships/hyperlink" Target="#'2.3-2 Corridas por parte y por'!A1" TargetMode="External" Id="rId17" /><Relationship Type="http://schemas.openxmlformats.org/officeDocument/2006/relationships/hyperlink" Target="#'2.3-3 Malla con &#951; y &#949; en 0.40,'!A1" TargetMode="External" Id="rId18" /><Relationship Type="http://schemas.openxmlformats.org/officeDocument/2006/relationships/hyperlink" Target="#'2.4-1 Condiciones qu&#233; qued&#243; fij'!A1" TargetMode="External" Id="rId19" /><Relationship Type="http://schemas.openxmlformats.org/officeDocument/2006/relationships/hyperlink" Target="#'2.4-2 Corridas por parte y por'!A1" TargetMode="External" Id="rId20" /><Relationship Type="http://schemas.openxmlformats.org/officeDocument/2006/relationships/hyperlink" Target="#'2.4-3 Malla T_sumidero x P_baja'!A1" TargetMode="External" Id="rId21" /><Relationship Type="http://schemas.openxmlformats.org/officeDocument/2006/relationships/hyperlink" Target="#'3.1-1 Condiciones qu&#233; qued&#243; fij'!A1" TargetMode="External" Id="rId22" /><Relationship Type="http://schemas.openxmlformats.org/officeDocument/2006/relationships/hyperlink" Target="#'3.1-2 Corridas por parte y por'!A1" TargetMode="External" Id="rId23" /><Relationship Type="http://schemas.openxmlformats.org/officeDocument/2006/relationships/hyperlink" Target="#'3.1-3 Influencia y margen por v'!A1" TargetMode="External" Id="rId24" /><Relationship Type="http://schemas.openxmlformats.org/officeDocument/2006/relationships/hyperlink" Target="#'3.2-1 Condiciones qu&#233; qued&#243; fij'!A1" TargetMode="External" Id="rId25" /><Relationship Type="http://schemas.openxmlformats.org/officeDocument/2006/relationships/hyperlink" Target="#'3.2-2 Corridas por parte y por'!A1" TargetMode="External" Id="rId26" /><Relationship Type="http://schemas.openxmlformats.org/officeDocument/2006/relationships/hyperlink" Target="#'3.2-3 Separaci&#243;n KALINA  no KAL'!A1" TargetMode="External" Id="rId27" /><Relationship Type="http://schemas.openxmlformats.org/officeDocument/2006/relationships/hyperlink" Target="#'3.2-4 Influencia de cada variab'!A1" TargetMode="External" Id="rId28" /><Relationship Type="http://schemas.openxmlformats.org/officeDocument/2006/relationships/hyperlink" Target="#'3.2-5 Rangos de presi&#243;n de los'!A1" TargetMode="External" Id="rId29" /><Relationship Type="http://schemas.openxmlformats.org/officeDocument/2006/relationships/hyperlink" Target="#'3.2-6 Ventana KALINA por franja'!A1" TargetMode="External" Id="rId30" /><Relationship Type="http://schemas.openxmlformats.org/officeDocument/2006/relationships/hyperlink" Target="#'3.2-7 Ventana KALINA por franja'!A1" TargetMode="External" Id="rId31" /><Relationship Type="http://schemas.openxmlformats.org/officeDocument/2006/relationships/hyperlink" Target="#'3.2-8 Ventana KALINA por franja'!A1" TargetMode="External" Id="rId32" /><Relationship Type="http://schemas.openxmlformats.org/officeDocument/2006/relationships/hyperlink" Target="#'3.3-1 Condiciones qu&#233; qued&#243; fij'!A1" TargetMode="External" Id="rId33" /><Relationship Type="http://schemas.openxmlformats.org/officeDocument/2006/relationships/hyperlink" Target="#'3.3-2 Corridas por parte y por'!A1" TargetMode="External" Id="rId34" /><Relationship Type="http://schemas.openxmlformats.org/officeDocument/2006/relationships/hyperlink" Target="#'3.3-3 Techo de P_baja antes de'!A1" TargetMode="External" Id="rId35" /><Relationship Type="http://schemas.openxmlformats.org/officeDocument/2006/relationships/hyperlink" Target="#'3.3-4 Techo de P_baja por franj'!A1" TargetMode="External" Id="rId36" /><Relationship Type="http://schemas.openxmlformats.org/officeDocument/2006/relationships/hyperlink" Target="#'4.1-1 Condiciones qu&#233; qued&#243; fij'!A1" TargetMode="External" Id="rId37" /><Relationship Type="http://schemas.openxmlformats.org/officeDocument/2006/relationships/hyperlink" Target="#'4.1-2 Corridas por parte y por'!A1" TargetMode="External" Id="rId38" /><Relationship Type="http://schemas.openxmlformats.org/officeDocument/2006/relationships/hyperlink" Target="#'4.1-3 Resumen por escenario de'!A1" TargetMode="External" Id="rId39" /><Relationship Type="http://schemas.openxmlformats.org/officeDocument/2006/relationships/hyperlink" Target="#'4.1-4 Rangos por escenario (KAL'!A1" TargetMode="External" Id="rId40" /><Relationship Type="http://schemas.openxmlformats.org/officeDocument/2006/relationships/hyperlink" Target="#'4.2-1 Condiciones qu&#233; qued&#243; fij'!A1" TargetMode="External" Id="rId41" /><Relationship Type="http://schemas.openxmlformats.org/officeDocument/2006/relationships/hyperlink" Target="#'4.2-2 Corridas por parte y por'!A1" TargetMode="External" Id="rId42" /><Relationship Type="http://schemas.openxmlformats.org/officeDocument/2006/relationships/hyperlink" Target="#'4.2-3 Frontera KALINA con las p'!A1" TargetMode="External" Id="rId43" /><Relationship Type="http://schemas.openxmlformats.org/officeDocument/2006/relationships/hyperlink" Target="#'4.3-1 Condiciones qu&#233; qued&#243; fij'!A1" TargetMode="External" Id="rId44" /><Relationship Type="http://schemas.openxmlformats.org/officeDocument/2006/relationships/hyperlink" Target="#'4.3-2 Corridas por parte y por'!A1" TargetMode="External" Id="rId45" /><Relationship Type="http://schemas.openxmlformats.org/officeDocument/2006/relationships/hyperlink" Target="#'4.3-3 Escalera de conservaci&#243;n'!A1" TargetMode="External" Id="rId46" /><Relationship Type="http://schemas.openxmlformats.org/officeDocument/2006/relationships/hyperlink" Target="#'4.3-4 Verificaci&#243;n teqp contra'!A1" TargetMode="External" Id="rId47" /><Relationship Type="http://schemas.openxmlformats.org/officeDocument/2006/relationships/hyperlink" Target="#'5.1-1 Condiciones qu&#233; qued&#243; fij'!A1" TargetMode="External" Id="rId48" /><Relationship Type="http://schemas.openxmlformats.org/officeDocument/2006/relationships/hyperlink" Target="#'5.1-2 Corridas por parte y por'!A1" TargetMode="External" Id="rId49" /><Relationship Type="http://schemas.openxmlformats.org/officeDocument/2006/relationships/hyperlink" Target="#'5.1-3 &#211;ptimos de &#951; por arranque'!A1" TargetMode="External" Id="rId50" /><Relationship Type="http://schemas.openxmlformats.org/officeDocument/2006/relationships/hyperlink" Target="#'6.1-1 Condiciones qu&#233; qued&#243; fij'!A1" TargetMode="External" Id="rId51" /><Relationship Type="http://schemas.openxmlformats.org/officeDocument/2006/relationships/hyperlink" Target="#'6.1-2 Corridas por parte y por'!A1" TargetMode="External" Id="rId52" /><Relationship Type="http://schemas.openxmlformats.org/officeDocument/2006/relationships/hyperlink" Target="#'6.1-3 Paridad teqp contra el mo'!A1" TargetMode="External" Id="rId53" /><Relationship Type="http://schemas.openxmlformats.org/officeDocument/2006/relationships/hyperlink" Target="#'6.1-4 Costo del subenfriamiento'!A1" TargetMode="External" Id="rId54" /><Relationship Type="http://schemas.openxmlformats.org/officeDocument/2006/relationships/hyperlink" Target="#'6.2-1 Condiciones qu&#233; qued&#243; fij'!A1" TargetMode="External" Id="rId55" /><Relationship Type="http://schemas.openxmlformats.org/officeDocument/2006/relationships/hyperlink" Target="#'6.2-2 Corridas por parte y por'!A1" TargetMode="External" Id="rId56" /><Relationship Type="http://schemas.openxmlformats.org/officeDocument/2006/relationships/hyperlink" Target="#'6.2-3 Cat&#225;logo H&#250;sav&#237;k (reprodu'!A1" TargetMode="External" Id="rId57" /><Relationship Type="http://schemas.openxmlformats.org/officeDocument/2006/relationships/hyperlink" Target="#'6.2-4 Rangos KALINA por variabl'!A1" TargetMode="External" Id="rId58" /><Relationship Type="http://schemas.openxmlformats.org/officeDocument/2006/relationships/hyperlink" Target="#'6.2-5 Frontera KALINA al variar'!A1" TargetMode="External" Id="rId59" /><Relationship Type="http://schemas.openxmlformats.org/officeDocument/2006/relationships/hyperlink" Target="#'S Gr&#225;ficos'!A1" TargetMode="External" Id="rId60" /><Relationship Type="http://schemas.openxmlformats.org/officeDocument/2006/relationships/hyperlink" Target="#'S Datos de gr&#225;ficos'!A1" TargetMode="External" Id="rId61" /><Relationship Type="http://schemas.openxmlformats.org/officeDocument/2006/relationships/hyperlink" Target="#'2 Gr&#225;ficos'!A1" TargetMode="External" Id="rId62" /><Relationship Type="http://schemas.openxmlformats.org/officeDocument/2006/relationships/hyperlink" Target="#'2 Datos de gr&#225;ficos'!A1" TargetMode="External" Id="rId63" /><Relationship Type="http://schemas.openxmlformats.org/officeDocument/2006/relationships/hyperlink" Target="#'3 Gr&#225;ficos'!A1" TargetMode="External" Id="rId64" /><Relationship Type="http://schemas.openxmlformats.org/officeDocument/2006/relationships/hyperlink" Target="#'3 Datos de gr&#225;ficos'!A1" TargetMode="External" Id="rId65" /><Relationship Type="http://schemas.openxmlformats.org/officeDocument/2006/relationships/hyperlink" Target="#'4 Gr&#225;ficos'!A1" TargetMode="External" Id="rId66" /><Relationship Type="http://schemas.openxmlformats.org/officeDocument/2006/relationships/hyperlink" Target="#'4 Datos de gr&#225;ficos'!A1" TargetMode="External" Id="rId67" /><Relationship Type="http://schemas.openxmlformats.org/officeDocument/2006/relationships/hyperlink" Target="#'5 Gr&#225;ficos'!A1" TargetMode="External" Id="rId68" /><Relationship Type="http://schemas.openxmlformats.org/officeDocument/2006/relationships/hyperlink" Target="#'5 Datos de gr&#225;ficos'!A1" TargetMode="External" Id="rId69" /><Relationship Type="http://schemas.openxmlformats.org/officeDocument/2006/relationships/hyperlink" Target="#'6 Gr&#225;ficos'!A1" TargetMode="External" Id="rId70" /><Relationship Type="http://schemas.openxmlformats.org/officeDocument/2006/relationships/hyperlink" Target="#'6 Datos de gr&#225;ficos'!A1" TargetMode="External" Id="rId71" /><Relationship Type="http://schemas.openxmlformats.org/officeDocument/2006/relationships/hyperlink" Target="#'1.1-R Resultados por barrido'!A1" TargetMode="External" Id="rId72" /><Relationship Type="http://schemas.openxmlformats.org/officeDocument/2006/relationships/hyperlink" Target="#'2.1-R Resultados por barrido'!A1" TargetMode="External" Id="rId73" /><Relationship Type="http://schemas.openxmlformats.org/officeDocument/2006/relationships/hyperlink" Target="#'2.2-R Resultados por barrido'!A1" TargetMode="External" Id="rId74" /><Relationship Type="http://schemas.openxmlformats.org/officeDocument/2006/relationships/hyperlink" Target="#'2.3-R Resultados por barrido'!A1" TargetMode="External" Id="rId75" /><Relationship Type="http://schemas.openxmlformats.org/officeDocument/2006/relationships/hyperlink" Target="#'2.4-R Resultados por barrido'!A1" TargetMode="External" Id="rId76" /><Relationship Type="http://schemas.openxmlformats.org/officeDocument/2006/relationships/hyperlink" Target="#'3.1-R Resultados por barrido'!A1" TargetMode="External" Id="rId77" /><Relationship Type="http://schemas.openxmlformats.org/officeDocument/2006/relationships/hyperlink" Target="#'3.2-R Resultados por barrido'!A1" TargetMode="External" Id="rId78" /><Relationship Type="http://schemas.openxmlformats.org/officeDocument/2006/relationships/hyperlink" Target="#'3.3-R Resultados por barrido'!A1" TargetMode="External" Id="rId79" /><Relationship Type="http://schemas.openxmlformats.org/officeDocument/2006/relationships/hyperlink" Target="#'4.1-R Resultados por barrido'!A1" TargetMode="External" Id="rId80" /><Relationship Type="http://schemas.openxmlformats.org/officeDocument/2006/relationships/hyperlink" Target="#'4.2-R Resultados por barrido'!A1" TargetMode="External" Id="rId81" /><Relationship Type="http://schemas.openxmlformats.org/officeDocument/2006/relationships/hyperlink" Target="#'4.3-R Resultados por barrido'!A1" TargetMode="External" Id="rId82" /><Relationship Type="http://schemas.openxmlformats.org/officeDocument/2006/relationships/hyperlink" Target="#'5.1-R Resultados por barrido'!A1" TargetMode="External" Id="rId83" /><Relationship Type="http://schemas.openxmlformats.org/officeDocument/2006/relationships/hyperlink" Target="#'6.1-R Resultados por barrido'!A1" TargetMode="External" Id="rId84" /><Relationship Type="http://schemas.openxmlformats.org/officeDocument/2006/relationships/hyperlink" Target="#'6.2-R Resultados por barrido'!A1" TargetMode="External" Id="rId85" /><Relationship Type="http://schemas.openxmlformats.org/officeDocument/2006/relationships/hyperlink" Target="#'A.1 Anexo fuera de rango'!A1" TargetMode="External" Id="rId86"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11.xml.rels><Relationships xmlns="http://schemas.openxmlformats.org/package/2006/relationships"><Relationship Type="http://schemas.openxmlformats.org/officeDocument/2006/relationships/hyperlink" Target="#'S Datos de gr&#225;ficos'!A4" TargetMode="External" Id="rId1" /><Relationship Type="http://schemas.openxmlformats.org/officeDocument/2006/relationships/drawing" Target="/xl/drawings/drawing3.xml" Id="rId2" /></Relationships>
</file>

<file path=xl/worksheets/_rels/sheet20.xml.rels><Relationships xmlns="http://schemas.openxmlformats.org/package/2006/relationships"><Relationship Type="http://schemas.openxmlformats.org/officeDocument/2006/relationships/drawing" Target="/xl/drawings/drawing4.xml" Id="rId1" /></Relationships>
</file>

<file path=xl/worksheets/_rels/sheet24.xml.rels><Relationships xmlns="http://schemas.openxmlformats.org/package/2006/relationships"><Relationship Type="http://schemas.openxmlformats.org/officeDocument/2006/relationships/drawing" Target="/xl/drawings/drawing5.xml" Id="rId1" /></Relationships>
</file>

<file path=xl/worksheets/_rels/sheet28.xml.rels><Relationships xmlns="http://schemas.openxmlformats.org/package/2006/relationships"><Relationship Type="http://schemas.openxmlformats.org/officeDocument/2006/relationships/drawing" Target="/xl/drawings/drawing6.xml" Id="rId1" /></Relationships>
</file>

<file path=xl/worksheets/_rels/sheet32.xml.rels><Relationships xmlns="http://schemas.openxmlformats.org/package/2006/relationships"><Relationship Type="http://schemas.openxmlformats.org/officeDocument/2006/relationships/drawing" Target="/xl/drawings/drawing7.xml" Id="rId1" /></Relationships>
</file>

<file path=xl/worksheets/_rels/sheet33.xml.rels><Relationships xmlns="http://schemas.openxmlformats.org/package/2006/relationships"><Relationship Type="http://schemas.openxmlformats.org/officeDocument/2006/relationships/hyperlink" Target="#'2 Datos de gr&#225;ficos'!A4" TargetMode="External" Id="rId1" /><Relationship Type="http://schemas.openxmlformats.org/officeDocument/2006/relationships/hyperlink" Target="#'2 Datos de gr&#225;ficos'!AN4" TargetMode="External" Id="rId2" /><Relationship Type="http://schemas.openxmlformats.org/officeDocument/2006/relationships/hyperlink" Target="#'2 Datos de gr&#225;ficos'!AQ4" TargetMode="External" Id="rId3" /><Relationship Type="http://schemas.openxmlformats.org/officeDocument/2006/relationships/hyperlink" Target="#'2 Datos de gr&#225;ficos'!BD4" TargetMode="External" Id="rId4" /><Relationship Type="http://schemas.openxmlformats.org/officeDocument/2006/relationships/hyperlink" Target="#'2 Datos de gr&#225;ficos'!BU4" TargetMode="External" Id="rId5" /><Relationship Type="http://schemas.openxmlformats.org/officeDocument/2006/relationships/hyperlink" Target="#'2 Datos de gr&#225;ficos'!BZ4" TargetMode="External" Id="rId6" /><Relationship Type="http://schemas.openxmlformats.org/officeDocument/2006/relationships/hyperlink" Target="#'2 Datos de gr&#225;ficos'!CG4" TargetMode="External" Id="rId7" /><Relationship Type="http://schemas.openxmlformats.org/officeDocument/2006/relationships/hyperlink" Target="#'2 Datos de gr&#225;ficos'!CR4" TargetMode="External" Id="rId8" /><Relationship Type="http://schemas.openxmlformats.org/officeDocument/2006/relationships/drawing" Target="/xl/drawings/drawing8.xml" Id="rId9" /></Relationships>
</file>

<file path=xl/worksheets/_rels/sheet37.xml.rels><Relationships xmlns="http://schemas.openxmlformats.org/package/2006/relationships"><Relationship Type="http://schemas.openxmlformats.org/officeDocument/2006/relationships/drawing" Target="/xl/drawings/drawing9.xml" Id="rId1" /></Relationships>
</file>

<file path=xl/worksheets/_rels/sheet38.xml.rels><Relationships xmlns="http://schemas.openxmlformats.org/package/2006/relationships"><Relationship Type="http://schemas.openxmlformats.org/officeDocument/2006/relationships/drawing" Target="/xl/drawings/drawing10.xml" Id="rId1" /></Relationships>
</file>

<file path=xl/worksheets/_rels/sheet42.xml.rels><Relationships xmlns="http://schemas.openxmlformats.org/package/2006/relationships"><Relationship Type="http://schemas.openxmlformats.org/officeDocument/2006/relationships/drawing" Target="/xl/drawings/drawing11.xml" Id="rId1" /></Relationships>
</file>

<file path=xl/worksheets/_rels/sheet47.xml.rels><Relationships xmlns="http://schemas.openxmlformats.org/package/2006/relationships"><Relationship Type="http://schemas.openxmlformats.org/officeDocument/2006/relationships/drawing" Target="/xl/drawings/drawing12.xml" Id="rId1" /></Relationships>
</file>

<file path=xl/worksheets/_rels/sheet52.xml.rels><Relationships xmlns="http://schemas.openxmlformats.org/package/2006/relationships"><Relationship Type="http://schemas.openxmlformats.org/officeDocument/2006/relationships/drawing" Target="/xl/drawings/drawing13.xml" Id="rId1" /></Relationships>
</file>

<file path=xl/worksheets/_rels/sheet53.xml.rels><Relationships xmlns="http://schemas.openxmlformats.org/package/2006/relationships"><Relationship Type="http://schemas.openxmlformats.org/officeDocument/2006/relationships/hyperlink" Target="#'3 Datos de gr&#225;ficos'!A4" TargetMode="External" Id="rId1" /><Relationship Type="http://schemas.openxmlformats.org/officeDocument/2006/relationships/hyperlink" Target="#'3 Datos de gr&#225;ficos'!D4" TargetMode="External" Id="rId2" /><Relationship Type="http://schemas.openxmlformats.org/officeDocument/2006/relationships/hyperlink" Target="#'3 Datos de gr&#225;ficos'!G4" TargetMode="External" Id="rId3" /><Relationship Type="http://schemas.openxmlformats.org/officeDocument/2006/relationships/hyperlink" Target="#'3 Datos de gr&#225;ficos'!BP4" TargetMode="External" Id="rId4" /><Relationship Type="http://schemas.openxmlformats.org/officeDocument/2006/relationships/hyperlink" Target="#'3 Datos de gr&#225;ficos'!BS4" TargetMode="External" Id="rId5" /><Relationship Type="http://schemas.openxmlformats.org/officeDocument/2006/relationships/hyperlink" Target="#'3 Datos de gr&#225;ficos'!EB4" TargetMode="External" Id="rId6" /><Relationship Type="http://schemas.openxmlformats.org/officeDocument/2006/relationships/hyperlink" Target="#'3 Datos de gr&#225;ficos'!EW4" TargetMode="External" Id="rId7" /><Relationship Type="http://schemas.openxmlformats.org/officeDocument/2006/relationships/hyperlink" Target="#'3 Datos de gr&#225;ficos'!EZ4" TargetMode="External" Id="rId8" /><Relationship Type="http://schemas.openxmlformats.org/officeDocument/2006/relationships/hyperlink" Target="#'3 Datos de gr&#225;ficos'!FI4" TargetMode="External" Id="rId9" /><Relationship Type="http://schemas.openxmlformats.org/officeDocument/2006/relationships/drawing" Target="/xl/drawings/drawing14.xml" Id="rId10" /></Relationships>
</file>

<file path=xl/worksheets/_rels/sheet59.xml.rels><Relationships xmlns="http://schemas.openxmlformats.org/package/2006/relationships"><Relationship Type="http://schemas.openxmlformats.org/officeDocument/2006/relationships/drawing" Target="/xl/drawings/drawing15.xml" Id="rId1" /></Relationships>
</file>

<file path=xl/worksheets/_rels/sheet63.xml.rels><Relationships xmlns="http://schemas.openxmlformats.org/package/2006/relationships"><Relationship Type="http://schemas.openxmlformats.org/officeDocument/2006/relationships/drawing" Target="/xl/drawings/drawing16.xml" Id="rId1" /></Relationships>
</file>

<file path=xl/worksheets/_rels/sheet66.xml.rels><Relationships xmlns="http://schemas.openxmlformats.org/package/2006/relationships"><Relationship Type="http://schemas.openxmlformats.org/officeDocument/2006/relationships/drawing" Target="/xl/drawings/drawing17.xml" Id="rId1" /></Relationships>
</file>

<file path=xl/worksheets/_rels/sheet67.xml.rels><Relationships xmlns="http://schemas.openxmlformats.org/package/2006/relationships"><Relationship Type="http://schemas.openxmlformats.org/officeDocument/2006/relationships/drawing" Target="/xl/drawings/drawing18.xml" Id="rId1" /></Relationships>
</file>

<file path=xl/worksheets/_rels/sheet69.xml.rels><Relationships xmlns="http://schemas.openxmlformats.org/package/2006/relationships"><Relationship Type="http://schemas.openxmlformats.org/officeDocument/2006/relationships/hyperlink" Target="#'4 Datos de gr&#225;ficos'!A4" TargetMode="External" Id="rId1" /><Relationship Type="http://schemas.openxmlformats.org/officeDocument/2006/relationships/hyperlink" Target="#'4 Datos de gr&#225;ficos'!R4" TargetMode="External" Id="rId2" /><Relationship Type="http://schemas.openxmlformats.org/officeDocument/2006/relationships/hyperlink" Target="#'4 Datos de gr&#225;ficos'!AE4" TargetMode="External" Id="rId3" /><Relationship Type="http://schemas.openxmlformats.org/officeDocument/2006/relationships/hyperlink" Target="#'4 Datos de gr&#225;ficos'!AR4" TargetMode="External" Id="rId4" /><Relationship Type="http://schemas.openxmlformats.org/officeDocument/2006/relationships/hyperlink" Target="#'4 Datos de gr&#225;ficos'!BE4" TargetMode="External" Id="rId5" /><Relationship Type="http://schemas.openxmlformats.org/officeDocument/2006/relationships/hyperlink" Target="#'4 Datos de gr&#225;ficos'!BN4" TargetMode="External" Id="rId6" /><Relationship Type="http://schemas.openxmlformats.org/officeDocument/2006/relationships/hyperlink" Target="#'4 Datos de gr&#225;ficos'!CM4" TargetMode="External" Id="rId7" /><Relationship Type="http://schemas.openxmlformats.org/officeDocument/2006/relationships/drawing" Target="/xl/drawings/drawing19.xml" Id="rId8" /></Relationships>
</file>

<file path=xl/worksheets/_rels/sheet74.xml.rels><Relationships xmlns="http://schemas.openxmlformats.org/package/2006/relationships"><Relationship Type="http://schemas.openxmlformats.org/officeDocument/2006/relationships/drawing" Target="/xl/drawings/drawing20.xml" Id="rId1" /></Relationships>
</file>

<file path=xl/worksheets/_rels/sheet75.xml.rels><Relationships xmlns="http://schemas.openxmlformats.org/package/2006/relationships"><Relationship Type="http://schemas.openxmlformats.org/officeDocument/2006/relationships/hyperlink" Target="#'5 Datos de gr&#225;ficos'!A4" TargetMode="External" Id="rId1" /><Relationship Type="http://schemas.openxmlformats.org/officeDocument/2006/relationships/drawing" Target="/xl/drawings/drawing21.xml" Id="rId2" /></Relationships>
</file>

<file path=xl/worksheets/_rels/sheet79.xml.rels><Relationships xmlns="http://schemas.openxmlformats.org/package/2006/relationships"><Relationship Type="http://schemas.openxmlformats.org/officeDocument/2006/relationships/drawing" Target="/xl/drawings/drawing22.xml" Id="rId1" /></Relationships>
</file>

<file path=xl/worksheets/_rels/sheet87.xml.rels><Relationships xmlns="http://schemas.openxmlformats.org/package/2006/relationships"><Relationship Type="http://schemas.openxmlformats.org/officeDocument/2006/relationships/drawing" Target="/xl/drawings/drawing23.xml" Id="rId1" /></Relationships>
</file>

<file path=xl/worksheets/_rels/sheet88.xml.rels><Relationships xmlns="http://schemas.openxmlformats.org/package/2006/relationships"><Relationship Type="http://schemas.openxmlformats.org/officeDocument/2006/relationships/hyperlink" Target="#'6 Datos de gr&#225;ficos'!A4" TargetMode="External" Id="rId1" /><Relationship Type="http://schemas.openxmlformats.org/officeDocument/2006/relationships/hyperlink" Target="#'6 Datos de gr&#225;ficos'!L4" TargetMode="External" Id="rId2" /><Relationship Type="http://schemas.openxmlformats.org/officeDocument/2006/relationships/hyperlink" Target="#'6 Datos de gr&#225;ficos'!W4" TargetMode="External" Id="rId3" /><Relationship Type="http://schemas.openxmlformats.org/officeDocument/2006/relationships/hyperlink" Target="#'6 Datos de gr&#225;ficos'!BJ4" TargetMode="External" Id="rId4" /><Relationship Type="http://schemas.openxmlformats.org/officeDocument/2006/relationships/drawing" Target="/xl/drawings/drawing24.xml" Id="rId5" /></Relationships>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30" customWidth="1" min="1" max="1"/>
  </cols>
  <sheetData>
    <row r="1">
      <c r="A1" s="1" t="inlineStr">
        <is>
          <t>Ciclo Kalina KCS-11 — resultados de la campaña final de barridos (M1–M10b)</t>
        </is>
      </c>
    </row>
    <row r="2">
      <c r="A2" t="inlineStr"/>
    </row>
    <row r="3">
      <c r="A3" t="inlineStr">
        <is>
          <t>Para qué es este libro: presentar las tablas y gráficos del análisis, ordenados por pregunta.</t>
        </is>
      </c>
    </row>
    <row r="4">
      <c r="A4" t="inlineStr">
        <is>
          <t>Cómo se numera: pregunta (1–6) → estudio (2.4) → parte (2.4a). Ver la hoja Nomenclatura. Solo se comparan puntos de la misma parte.</t>
        </is>
      </c>
    </row>
    <row r="5">
      <c r="A5" t="inlineStr">
        <is>
          <t>Cómo leer cada hoja: las primeras filas dicen qué caso es, el punto base, los datos fijos y barridos (parte por parte si hay varias), el filtro y la fuente; la tabla empieza después de una fila en blanco (con filtros); las notas van al final.</t>
        </is>
      </c>
    </row>
    <row r="6">
      <c r="A6" t="inlineStr">
        <is>
          <t>Hoja Tablero: elija un estudio o una parte en la celda B2 y se actualizan las cifras, las condiciones y los gráficos.</t>
        </is>
      </c>
    </row>
    <row r="7">
      <c r="A7" t="inlineStr">
        <is>
          <t>Hojas 'N Gráficos': gráficos nativos de Excel de cada pregunta (pase el cursor para ver los valores); cada uno lleva arriba su ID y título y abajo su pie con los datos fijos.</t>
        </is>
      </c>
    </row>
    <row r="8">
      <c r="A8" t="inlineStr">
        <is>
          <t>Hojas 'N Datos de gráficos': los números con los que Excel dibuja cada gráfico, un bloque por figura (si cambia un número, el gráfico cambia).</t>
        </is>
      </c>
    </row>
    <row r="9">
      <c r="A9" t="inlineStr">
        <is>
          <t>Cada gráfico, además, tiene una copia junto a la tabla de la que salen sus datos: a la derecha de su parte o variable en la hoja 'N.M-R Resultados por barrido', o debajo de su tabla resumen (3.1-3, 3.2-4, 4.3-3, 6.1-3, S-1). Los de 'N Gráficos' siguen donde estaban.</t>
        </is>
      </c>
    </row>
    <row r="10">
      <c r="A10" t="inlineStr">
        <is>
          <t>Hojas 'N.M-R Resultados por barrido': por estudio, la tabla de cada barrido con el valor de la variable barrida, la clase, η, W_net, ΔP, r_P y si está fuera de rango (los mismos puntos del tablero HTML).</t>
        </is>
      </c>
    </row>
    <row r="11">
      <c r="A11" t="inlineStr"/>
    </row>
    <row r="12">
      <c r="A12" t="inlineStr">
        <is>
          <t>Glosario:</t>
        </is>
      </c>
    </row>
    <row r="13">
      <c r="A13" t="inlineStr">
        <is>
          <t>• PP (punto del profesor): Los datos del enunciado: P_alta 3000 kPa, P_baja 400 kPa, x_b 0.50, T_fuente 623.15 K, T_sumidero 300.03 K, η_t 0.85, η_p 0.75, ε_HRVG 0.85, ε_reg 0.75, ε_cond 0.80. Con ellos el ciclo no converge.</t>
        </is>
      </c>
    </row>
    <row r="14">
      <c r="A14" t="inlineStr">
        <is>
          <t>• A* (punto ancla): El punto del profesor con solo dos cambios: T_fuente = 403 K y P_baja = 563.64 kPa. Es KALINA con η = 8.48 %. Se eligió en M2 como el cambio intermedio que vuelve funcional el ciclo, y M3 estudia la sensibilidad a su alrededor.</t>
        </is>
      </c>
    </row>
    <row r="15">
      <c r="A15" t="inlineStr">
        <is>
          <t>• Punto genuino: Punto cuya clase es KALINA, CORREGIBLE o INVIABLE: el modelo lo resolvió de verdad.</t>
        </is>
      </c>
    </row>
    <row r="16">
      <c r="A16" t="inlineStr">
        <is>
          <t>• Falso convergido: El solver dice que convergió, pero el clasificador lo marca NO_CONVERGIO: es una solución espuria y no cuenta como convergido.</t>
        </is>
      </c>
    </row>
    <row r="17">
      <c r="A17" t="inlineStr">
        <is>
          <t>• KALINA confiable: Punto KALINA dentro del rango validado del modelo de propiedades (IAPWS G4-01) y con todas sus η y ε en [0.40, 0.95].</t>
        </is>
      </c>
    </row>
    <row r="18">
      <c r="A18" t="inlineStr">
        <is>
          <t>• Fuera de rango: Punto con estados fuera del rango validado del modelo de propiedades (por ejemplo, líquido por encima de 420 K); su η se toma con cautela.</t>
        </is>
      </c>
    </row>
    <row r="19">
      <c r="A19" t="inlineStr">
        <is>
          <t>• O1: Criterio de título (calidad del vapor) a la salida de la turbina.</t>
        </is>
      </c>
    </row>
    <row r="20">
      <c r="A20" t="inlineStr">
        <is>
          <t>• O2: Criterio de cavitación: el líquido debe llegar subenfriado a la bomba.</t>
        </is>
      </c>
    </row>
    <row r="21">
      <c r="A21" t="inlineStr">
        <is>
          <t>• O3: Criterio de trabajo neto: el ciclo debe producir trabajo (W_net &gt; 0).</t>
        </is>
      </c>
    </row>
    <row r="22">
      <c r="A22" t="inlineStr">
        <is>
          <t>• O5: Criterio del separador: debe recibir una mezcla de dos fases.</t>
        </is>
      </c>
    </row>
    <row r="23">
      <c r="A23" t="inlineStr">
        <is>
          <t>• Piso de O2: Temperatura con la que se evalúa la cavitación. 300.03 K fija en M1–M3; desde M2S es igual a la T_sumidero de cada punto.</t>
        </is>
      </c>
    </row>
    <row r="24">
      <c r="A24" t="inlineStr">
        <is>
          <t>• Banda de η: Incertidumbre del modelo de propiedades: ±0.4–0.7 puntos porcentuales; diferencias menores no son concluyentes.</t>
        </is>
      </c>
    </row>
    <row r="25">
      <c r="A25" t="inlineStr">
        <is>
          <t>• Estudio y parte: Un estudio (p. ej. 2.4) es un barrido que responde una pregunta; si tiene partes con datos fijos distintos, cada una lleva una letra (2.4a). Solo se comparan puntos de la misma parte.</t>
        </is>
      </c>
    </row>
    <row r="26">
      <c r="A26" t="inlineStr"/>
    </row>
    <row r="27">
      <c r="A27" t="inlineStr">
        <is>
          <t>Colores de clase:</t>
        </is>
      </c>
    </row>
    <row r="28">
      <c r="A28" s="2" t="inlineStr">
        <is>
          <t>KALINA: cumple todos los criterios</t>
        </is>
      </c>
    </row>
    <row r="29">
      <c r="A29" s="3" t="inlineStr">
        <is>
          <t>CORREGIBLE: falla un criterio operativo (casi siempre O2)</t>
        </is>
      </c>
    </row>
    <row r="30">
      <c r="A30" s="4" t="inlineStr">
        <is>
          <t>INVIABLE: falla un criterio estructural (O3, O5…)</t>
        </is>
      </c>
    </row>
    <row r="31">
      <c r="A31" s="5" t="inlineStr">
        <is>
          <t>NO_CONVERGIO: el modelo no encontró un ciclo</t>
        </is>
      </c>
    </row>
    <row r="32">
      <c r="A32" s="6" t="inlineStr">
        <is>
          <t>Falso convergido: el solver dijo que convergió, pero no es un ciclo real (no cuenta)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46" customWidth="1" min="1" max="1"/>
    <col width="9" customWidth="1" min="2" max="2"/>
    <col width="40" customWidth="1" min="3" max="3"/>
    <col width="90" customWidth="1" min="4" max="4"/>
    <col width="20" customWidth="1" min="5" max="5"/>
  </cols>
  <sheetData>
    <row r="1">
      <c r="A1" s="1" t="inlineStr">
        <is>
          <t>Cómo se numera todo (como los capítulos de un informe)</t>
        </is>
      </c>
    </row>
    <row r="2">
      <c r="A2" s="7" t="inlineStr"/>
    </row>
    <row r="3">
      <c r="A3" s="7" t="inlineStr">
        <is>
          <t>• PREGUNTA (1 a 6): qué queremos saber. El anexo A es una curiosidad que no entra en las conclusiones.</t>
        </is>
      </c>
    </row>
    <row r="4">
      <c r="A4" s="7" t="inlineStr">
        <is>
          <t>• ESTUDIO (por ejemplo 2.4): un barrido que responde esa pregunta. El primer número es la pregunta.</t>
        </is>
      </c>
    </row>
    <row r="5">
      <c r="A5" s="7" t="inlineStr">
        <is>
          <t>• PARTE (por ejemplo 2.4a): cuando un estudio tiene partes con datos fijos distintos, cada una lleva una letra. REGLA: solo se comparan puntos de la misma parte.</t>
        </is>
      </c>
    </row>
    <row r="6">
      <c r="A6" s="7" t="inlineStr">
        <is>
          <t>• Tabla 4.1-1, Figura 3.2-2: tablas y figuras van numeradas por estudio (4.1-1 = tabla 1 del estudio 4.1). Las de síntesis de toda la campaña llevan S (Tabla S-4, Figura S-1).</t>
        </is>
      </c>
    </row>
    <row r="7">
      <c r="A7" s="7" t="inlineStr">
        <is>
          <t>• En cada estudio, la Tabla x.y-1 son las condiciones (qué quedó fijo y qué se barrió), la x.y-2 el conteo de corridas por clase y las siguientes, los resultados.</t>
        </is>
      </c>
    </row>
    <row r="8">
      <c r="A8" s="7" t="inlineStr">
        <is>
          <t>• El 'código de origen' (M05, KF-M05-3, B09-3…) es el nombre interno de los archivos de cálculo; solo sirve para rastrear un dato hasta su CSV.</t>
        </is>
      </c>
    </row>
    <row r="10">
      <c r="A10" s="8" t="inlineStr">
        <is>
          <t>Pregunta</t>
        </is>
      </c>
      <c r="B10" s="8" t="inlineStr">
        <is>
          <t>Estudio</t>
        </is>
      </c>
      <c r="C10" s="8" t="inlineStr">
        <is>
          <t>Nombre del estudio</t>
        </is>
      </c>
      <c r="D10" s="8" t="inlineStr">
        <is>
          <t>Partes (letra = datos fijos distintos)</t>
        </is>
      </c>
      <c r="E10" s="8" t="inlineStr">
        <is>
          <t>Código de origen</t>
        </is>
      </c>
    </row>
    <row r="11">
      <c r="A11" s="9" t="inlineStr">
        <is>
          <t>1 · ¿Funciona el ciclo con los datos del profesor?</t>
        </is>
      </c>
      <c r="B11" s="9" t="inlineStr">
        <is>
          <t>1.1</t>
        </is>
      </c>
      <c r="C11" s="9" t="inlineStr">
        <is>
          <t>Repetir el caso del profesor</t>
        </is>
      </c>
      <c r="D11" s="9" t="inlineStr">
        <is>
          <t>1.1a: punto del profesor | 1.1b: solo P_alta | 1.1c: solo x_b | 1.1d: temperatura ambiente hora a hora</t>
        </is>
      </c>
      <c r="E11" s="9" t="inlineStr">
        <is>
          <t>M01</t>
        </is>
      </c>
    </row>
    <row r="12">
      <c r="A12" s="9" t="inlineStr">
        <is>
          <t>2 · ¿Qué es lo mínimo que hay que cambiar para que funcione?</t>
        </is>
      </c>
      <c r="B12" s="9" t="inlineStr">
        <is>
          <t>2.1</t>
        </is>
      </c>
      <c r="C12" s="9" t="inlineStr">
        <is>
          <t>Un solo cambio</t>
        </is>
      </c>
      <c r="D12" s="9" t="inlineStr">
        <is>
          <t>una variable a la vez</t>
        </is>
      </c>
      <c r="E12" s="9" t="inlineStr">
        <is>
          <t>M02-N1</t>
        </is>
      </c>
    </row>
    <row r="13">
      <c r="A13" s="9" t="inlineStr">
        <is>
          <t>2 · ¿Qué es lo mínimo que hay que cambiar para que funcione?</t>
        </is>
      </c>
      <c r="B13" s="9" t="inlineStr">
        <is>
          <t>2.2</t>
        </is>
      </c>
      <c r="C13" s="9" t="inlineStr">
        <is>
          <t>Dos cambios</t>
        </is>
      </c>
      <c r="D13" s="9" t="inlineStr">
        <is>
          <t>2.2a: conservar la fuente (ε_HRVG × P_baja) | 2.2b: bajar la fuente (T_fuente × P_baja)</t>
        </is>
      </c>
      <c r="E13" s="9" t="inlineStr">
        <is>
          <t>M02-N2</t>
        </is>
      </c>
    </row>
    <row r="14">
      <c r="A14" s="9" t="inlineStr">
        <is>
          <t>2 · ¿Qué es lo mínimo que hay que cambiar para que funcione?</t>
        </is>
      </c>
      <c r="B14" s="9" t="inlineStr">
        <is>
          <t>2.3</t>
        </is>
      </c>
      <c r="C14" s="9" t="inlineStr">
        <is>
          <t>Dos cambios con η y ε en 0.40–0.95</t>
        </is>
      </c>
      <c r="D14" s="9" t="inlineStr">
        <is>
          <t>2.3a: un cambio | 2.3b: ε_HRVG × ε_cond | 2.3c: ε_HRVG × P_baja | 2.3d: T_fuente × ε_cond</t>
        </is>
      </c>
      <c r="E14" s="9" t="inlineStr">
        <is>
          <t>M02R</t>
        </is>
      </c>
    </row>
    <row r="15">
      <c r="A15" s="9" t="inlineStr">
        <is>
          <t>2 · ¿Qué es lo mínimo que hay que cambiar para que funcione?</t>
        </is>
      </c>
      <c r="B15" s="9" t="inlineStr">
        <is>
          <t>2.4</t>
        </is>
      </c>
      <c r="C15" s="9" t="inlineStr">
        <is>
          <t>Sumidero más frío</t>
        </is>
      </c>
      <c r="D15" s="9" t="inlineStr">
        <is>
          <t>2.4a: fuente a 403 K | 2.4b: fuente a 420 K | 2.4c: ε_HRVG = 0.40 (fuente del profesor) | 2.4d: datos exactos del profesor</t>
        </is>
      </c>
      <c r="E15" s="9" t="inlineStr">
        <is>
          <t>M02S</t>
        </is>
      </c>
    </row>
    <row r="16">
      <c r="A16" s="9" t="inlineStr">
        <is>
          <t>3 · ¿Qué variables importan y cuánto?</t>
        </is>
      </c>
      <c r="B16" s="9" t="inlineStr">
        <is>
          <t>3.1</t>
        </is>
      </c>
      <c r="C16" s="9" t="inlineStr">
        <is>
          <t>Sensibilidad local alrededor de A*</t>
        </is>
      </c>
      <c r="D16" s="9" t="inlineStr">
        <is>
          <t>alrededor de A*</t>
        </is>
      </c>
      <c r="E16" s="9" t="inlineStr">
        <is>
          <t>M03</t>
        </is>
      </c>
    </row>
    <row r="17">
      <c r="A17" s="9" t="inlineStr">
        <is>
          <t>3 · ¿Qué variables importan y cuánto?</t>
        </is>
      </c>
      <c r="B17" s="9" t="inlineStr">
        <is>
          <t>3.2</t>
        </is>
      </c>
      <c r="C17" s="9" t="inlineStr">
        <is>
          <t>Sensibilidad global (500 puntos)</t>
        </is>
      </c>
      <c r="D17" s="9" t="inlineStr">
        <is>
          <t>muestra de 300 puntos | muestra de 200 puntos</t>
        </is>
      </c>
      <c r="E17" s="9" t="inlineStr">
        <is>
          <t>M04, M04b</t>
        </is>
      </c>
    </row>
    <row r="18">
      <c r="A18" s="9" t="inlineStr">
        <is>
          <t>3 · ¿Qué variables importan y cuánto?</t>
        </is>
      </c>
      <c r="B18" s="9" t="inlineStr">
        <is>
          <t>3.3</t>
        </is>
      </c>
      <c r="C18" s="9" t="inlineStr">
        <is>
          <t>P_baja alta (1500–2500 kPa)</t>
        </is>
      </c>
      <c r="D18" s="9" t="inlineStr">
        <is>
          <t>P_baja de 1500 a 2500 kPa</t>
        </is>
      </c>
      <c r="E18" s="9" t="inlineStr">
        <is>
          <t>M04c</t>
        </is>
      </c>
    </row>
    <row r="19">
      <c r="A19" s="9" t="inlineStr">
        <is>
          <t>4 · ¿Qué datos del profesor se pueden conservar?</t>
        </is>
      </c>
      <c r="B19" s="9" t="inlineStr">
        <is>
          <t>4.1</t>
        </is>
      </c>
      <c r="C19" s="9" t="inlineStr">
        <is>
          <t>Escenarios de conservación</t>
        </is>
      </c>
      <c r="D19" s="9" t="inlineStr">
        <is>
          <t>4.1a: conserva sus temperaturas | 4.1b: conserva sus presiones | 4.1c: conserva sus presiones y su clima | 4.1d: conserva su P_alta y sus temperaturas | 4.1e: conserva su fuente y su x_b</t>
        </is>
      </c>
      <c r="E19" s="9" t="inlineStr">
        <is>
          <t>M05</t>
        </is>
      </c>
    </row>
    <row r="20">
      <c r="A20" s="9" t="inlineStr">
        <is>
          <t>4 · ¿Qué datos del profesor se pueden conservar?</t>
        </is>
      </c>
      <c r="B20" s="9" t="inlineStr">
        <is>
          <t>4.2</t>
        </is>
      </c>
      <c r="C20" s="9" t="inlineStr">
        <is>
          <t>Mapa con las presiones del profesor</t>
        </is>
      </c>
      <c r="D20" s="9" t="inlineStr">
        <is>
          <t>presiones del profesor, malla T_fuente × ε_cond × clima</t>
        </is>
      </c>
      <c r="E20" s="9" t="inlineStr">
        <is>
          <t>M05c</t>
        </is>
      </c>
    </row>
    <row r="21">
      <c r="A21" s="9" t="inlineStr">
        <is>
          <t>4 · ¿Qué datos del profesor se pueden conservar?</t>
        </is>
      </c>
      <c r="B21" s="9" t="inlineStr">
        <is>
          <t>4.3</t>
        </is>
      </c>
      <c r="C21" s="9" t="inlineStr">
        <is>
          <t>Escalera de conservación</t>
        </is>
      </c>
      <c r="D21" s="9" t="inlineStr">
        <is>
          <t>rondas 0 a 3; cada conjunto se nombra con sus variables (p. ej. 4.3 x_b+P_alta)</t>
        </is>
      </c>
      <c r="E21" s="9" t="inlineStr">
        <is>
          <t>M09</t>
        </is>
      </c>
    </row>
    <row r="22">
      <c r="A22" s="9" t="inlineStr">
        <is>
          <t>5 · ¿Cuánta eficiencia se puede lograr?</t>
        </is>
      </c>
      <c r="B22" s="9" t="inlineStr">
        <is>
          <t>5.1</t>
        </is>
      </c>
      <c r="C22" s="9" t="inlineStr">
        <is>
          <t>Búsqueda de la η máxima</t>
        </is>
      </c>
      <c r="D22" s="9" t="inlineStr">
        <is>
          <t>5.1a: libre, desde el mejor de 3.2 | 5.1b: libre, desde el mejor de 2.4 | 5.1c: conserva sus temperaturas | 5.1d: conserva sus presiones y su clima | 5.1e: conserva su fuente y su x_b</t>
        </is>
      </c>
      <c r="E22" s="9" t="inlineStr">
        <is>
          <t>M07</t>
        </is>
      </c>
    </row>
    <row r="23">
      <c r="A23" s="9" t="inlineStr">
        <is>
          <t>6 · ¿Son confiables los resultados?</t>
        </is>
      </c>
      <c r="B23" s="9" t="inlineStr">
        <is>
          <t>6.1</t>
        </is>
      </c>
      <c r="C23" s="9" t="inlineStr">
        <is>
          <t>Verificación con el motor de referencia</t>
        </is>
      </c>
      <c r="D23" s="9" t="inlineStr">
        <is>
          <t>6.1a: teqp frente al motor real | 6.1b: piso de cavitación a 30.4 °C | 6.1c: costo de exigir subenfriamiento</t>
        </is>
      </c>
      <c r="E23" s="9" t="inlineStr">
        <is>
          <t>M06</t>
        </is>
      </c>
    </row>
    <row r="24">
      <c r="A24" s="9" t="inlineStr">
        <is>
          <t>6 · ¿Son confiables los resultados?</t>
        </is>
      </c>
      <c r="B24" s="9" t="inlineStr">
        <is>
          <t>6.2</t>
        </is>
      </c>
      <c r="C24" s="9" t="inlineStr">
        <is>
          <t>Planta real de Húsavík</t>
        </is>
      </c>
      <c r="D24" s="9" t="inlineStr">
        <is>
          <t>6.2a: Fase 3 de septiembre | 6.2b: una variable a la vez | 6.2c: malla x_b × P_baja (x_b 0.70–0.91) | 6.2c: malla x_b × P_baja (x_b 0.30–0.70) | 6.2d: x_b bajo (0.30–0.70)</t>
        </is>
      </c>
      <c r="E24" s="9" t="inlineStr">
        <is>
          <t>M10, M10b</t>
        </is>
      </c>
    </row>
    <row r="25">
      <c r="A25" s="10" t="inlineStr">
        <is>
          <t>A · Anexo: equipos fuera del rango realista (no entra en las conclusiones)</t>
        </is>
      </c>
      <c r="B25" s="10" t="inlineStr">
        <is>
          <t>A.1</t>
        </is>
      </c>
      <c r="C25" s="10" t="inlineStr">
        <is>
          <t>Equipos fuera del rango realista</t>
        </is>
      </c>
      <c r="D25" s="10" t="inlineStr">
        <is>
          <t>η y ε de 0.20 a 0.99</t>
        </is>
      </c>
      <c r="E25" s="10" t="inlineStr">
        <is>
          <t>M08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904"/>
  <sheetViews>
    <sheetView workbookViewId="0">
      <selection activeCell="A1" sqref="A1"/>
    </sheetView>
  </sheetViews>
  <sheetFormatPr baseColWidth="8" defaultRowHeight="15"/>
  <cols>
    <col width="44" customWidth="1" min="1" max="1"/>
    <col width="62" customWidth="1" min="2" max="2"/>
    <col width="2" customWidth="1" min="3" max="3"/>
    <col width="16" customWidth="1" min="4" max="4"/>
    <col width="16" customWidth="1" min="5" max="5"/>
    <col width="16" customWidth="1" min="6" max="6"/>
    <col width="16" customWidth="1" min="7" max="7"/>
    <col width="16" customWidth="1" min="8" max="8"/>
    <col width="16" customWidth="1" min="9" max="9"/>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s>
  <sheetData>
    <row r="1">
      <c r="A1" s="11" t="inlineStr">
        <is>
          <t>Tablero de resultados — elija un estudio o una parte en B2</t>
        </is>
      </c>
    </row>
    <row r="2">
      <c r="A2" s="12" t="inlineStr">
        <is>
          <t>Estudio / parte:</t>
        </is>
      </c>
      <c r="B2" s="13" t="inlineStr">
        <is>
          <t>3.2 · Sensibilidad global (500 puntos)</t>
        </is>
      </c>
      <c r="C2">
        <f>INDEX(Aux_tablero!$B$11:$AY$11,MATCH($B$2,Aux_tablero!$B$1:$AY$1,0))</f>
        <v/>
      </c>
    </row>
    <row r="4">
      <c r="D4" s="14" t="inlineStr">
        <is>
          <t>Corridas</t>
        </is>
      </c>
      <c r="E4" s="14" t="inlineStr">
        <is>
          <t>Genuinas</t>
        </is>
      </c>
      <c r="F4" s="14" t="inlineStr">
        <is>
          <t>KALINA</t>
        </is>
      </c>
      <c r="G4" s="14" t="inlineStr">
        <is>
          <t>KALINA confiables</t>
        </is>
      </c>
      <c r="H4" s="14" t="inlineStr">
        <is>
          <t>η máx. KALINA [%]</t>
        </is>
      </c>
      <c r="I4" s="14" t="inlineStr">
        <is>
          <t>Criterio que más bloquea</t>
        </is>
      </c>
      <c r="K4" t="inlineStr">
        <is>
          <t>Eje X:</t>
        </is>
      </c>
      <c r="L4">
        <f>INDEX(Aux_tablero!$B$8:$AY$8,MATCH($B$2,Aux_tablero!$B$1:$AY$1,0))</f>
        <v/>
      </c>
      <c r="AC4" t="inlineStr">
        <is>
          <t>xK</t>
        </is>
      </c>
      <c r="AD4" t="inlineStr">
        <is>
          <t>yK</t>
        </is>
      </c>
      <c r="AE4" t="inlineStr">
        <is>
          <t>xC</t>
        </is>
      </c>
      <c r="AF4" t="inlineStr">
        <is>
          <t>yC</t>
        </is>
      </c>
      <c r="AG4" t="inlineStr">
        <is>
          <t>xI</t>
        </is>
      </c>
      <c r="AH4" t="inlineStr">
        <is>
          <t>yI</t>
        </is>
      </c>
      <c r="AI4" t="inlineStr">
        <is>
          <t>xN</t>
        </is>
      </c>
      <c r="AJ4" t="inlineStr">
        <is>
          <t>yN</t>
        </is>
      </c>
    </row>
    <row r="5">
      <c r="D5" s="15">
        <f>INDEX(Aux_tablero!$B$2:$AY$2,MATCH($B$2,Aux_tablero!$B$1:$AY$1,0))</f>
        <v/>
      </c>
      <c r="E5" s="15">
        <f>INDEX(Aux_tablero!$B$3:$AY$3,MATCH($B$2,Aux_tablero!$B$1:$AY$1,0))</f>
        <v/>
      </c>
      <c r="F5" s="15">
        <f>INDEX(Aux_tablero!$B$4:$AY$4,MATCH($B$2,Aux_tablero!$B$1:$AY$1,0))</f>
        <v/>
      </c>
      <c r="G5" s="15">
        <f>INDEX(Aux_tablero!$B$5:$AY$5,MATCH($B$2,Aux_tablero!$B$1:$AY$1,0))</f>
        <v/>
      </c>
      <c r="H5" s="15">
        <f>INDEX(Aux_tablero!$B$6:$AY$6,MATCH($B$2,Aux_tablero!$B$1:$AY$1,0))</f>
        <v/>
      </c>
      <c r="I5" s="15">
        <f>INDEX(Aux_tablero!$B$7:$AY$7,MATCH($B$2,Aux_tablero!$B$1:$AY$1,0))</f>
        <v/>
      </c>
      <c r="K5" t="inlineStr">
        <is>
          <t>Eje Y:</t>
        </is>
      </c>
      <c r="L5">
        <f>INDEX(Aux_tablero!$B$9:$AY$9,MATCH($B$2,Aux_tablero!$B$1:$AY$1,0))</f>
        <v/>
      </c>
      <c r="Z5" t="inlineStr">
        <is>
          <t>KALINA</t>
        </is>
      </c>
      <c r="AA5">
        <f>INDEX(Aux_tablero!$B$12:$AY$12,MATCH($B$2,Aux_tablero!$B$1:$AY$1,0))</f>
        <v/>
      </c>
      <c r="AC5">
        <f>IFERROR(IF(INDEX(Aux_puntos!$A$2:$OJ$901,1,MATCH($B$2&amp;"|xK",Aux_puntos!$1:$1,0))="",NA(),INDEX(Aux_puntos!$A$2:$OJ$901,1,MATCH($B$2&amp;"|xK",Aux_puntos!$1:$1,0))),NA())</f>
        <v/>
      </c>
      <c r="AD5">
        <f>IFERROR(IF(INDEX(Aux_puntos!$A$2:$OJ$901,1,MATCH($B$2&amp;"|yK",Aux_puntos!$1:$1,0))="",NA(),INDEX(Aux_puntos!$A$2:$OJ$901,1,MATCH($B$2&amp;"|yK",Aux_puntos!$1:$1,0))),NA())</f>
        <v/>
      </c>
      <c r="AE5">
        <f>IFERROR(IF(INDEX(Aux_puntos!$A$2:$OJ$901,1,MATCH($B$2&amp;"|xC",Aux_puntos!$1:$1,0))="",NA(),INDEX(Aux_puntos!$A$2:$OJ$901,1,MATCH($B$2&amp;"|xC",Aux_puntos!$1:$1,0))),NA())</f>
        <v/>
      </c>
      <c r="AF5">
        <f>IFERROR(IF(INDEX(Aux_puntos!$A$2:$OJ$901,1,MATCH($B$2&amp;"|yC",Aux_puntos!$1:$1,0))="",NA(),INDEX(Aux_puntos!$A$2:$OJ$901,1,MATCH($B$2&amp;"|yC",Aux_puntos!$1:$1,0))),NA())</f>
        <v/>
      </c>
      <c r="AG5">
        <f>IFERROR(IF(INDEX(Aux_puntos!$A$2:$OJ$901,1,MATCH($B$2&amp;"|xI",Aux_puntos!$1:$1,0))="",NA(),INDEX(Aux_puntos!$A$2:$OJ$901,1,MATCH($B$2&amp;"|xI",Aux_puntos!$1:$1,0))),NA())</f>
        <v/>
      </c>
      <c r="AH5">
        <f>IFERROR(IF(INDEX(Aux_puntos!$A$2:$OJ$901,1,MATCH($B$2&amp;"|yI",Aux_puntos!$1:$1,0))="",NA(),INDEX(Aux_puntos!$A$2:$OJ$901,1,MATCH($B$2&amp;"|yI",Aux_puntos!$1:$1,0))),NA())</f>
        <v/>
      </c>
      <c r="AI5">
        <f>IFERROR(IF(INDEX(Aux_puntos!$A$2:$OJ$901,1,MATCH($B$2&amp;"|xN",Aux_puntos!$1:$1,0))="",NA(),INDEX(Aux_puntos!$A$2:$OJ$901,1,MATCH($B$2&amp;"|xN",Aux_puntos!$1:$1,0))),NA())</f>
        <v/>
      </c>
      <c r="AJ5">
        <f>IFERROR(IF(INDEX(Aux_puntos!$A$2:$OJ$901,1,MATCH($B$2&amp;"|yN",Aux_puntos!$1:$1,0))="",NA(),INDEX(Aux_puntos!$A$2:$OJ$901,1,MATCH($B$2&amp;"|yN",Aux_puntos!$1:$1,0))),NA())</f>
        <v/>
      </c>
    </row>
    <row r="6">
      <c r="Z6" t="inlineStr">
        <is>
          <t>Corregible</t>
        </is>
      </c>
      <c r="AA6">
        <f>INDEX(Aux_tablero!$B$13:$AY$13,MATCH($B$2,Aux_tablero!$B$1:$AY$1,0))</f>
        <v/>
      </c>
      <c r="AC6">
        <f>IFERROR(IF(INDEX(Aux_puntos!$A$2:$OJ$901,2,MATCH($B$2&amp;"|xK",Aux_puntos!$1:$1,0))="",NA(),INDEX(Aux_puntos!$A$2:$OJ$901,2,MATCH($B$2&amp;"|xK",Aux_puntos!$1:$1,0))),NA())</f>
        <v/>
      </c>
      <c r="AD6">
        <f>IFERROR(IF(INDEX(Aux_puntos!$A$2:$OJ$901,2,MATCH($B$2&amp;"|yK",Aux_puntos!$1:$1,0))="",NA(),INDEX(Aux_puntos!$A$2:$OJ$901,2,MATCH($B$2&amp;"|yK",Aux_puntos!$1:$1,0))),NA())</f>
        <v/>
      </c>
      <c r="AE6">
        <f>IFERROR(IF(INDEX(Aux_puntos!$A$2:$OJ$901,2,MATCH($B$2&amp;"|xC",Aux_puntos!$1:$1,0))="",NA(),INDEX(Aux_puntos!$A$2:$OJ$901,2,MATCH($B$2&amp;"|xC",Aux_puntos!$1:$1,0))),NA())</f>
        <v/>
      </c>
      <c r="AF6">
        <f>IFERROR(IF(INDEX(Aux_puntos!$A$2:$OJ$901,2,MATCH($B$2&amp;"|yC",Aux_puntos!$1:$1,0))="",NA(),INDEX(Aux_puntos!$A$2:$OJ$901,2,MATCH($B$2&amp;"|yC",Aux_puntos!$1:$1,0))),NA())</f>
        <v/>
      </c>
      <c r="AG6">
        <f>IFERROR(IF(INDEX(Aux_puntos!$A$2:$OJ$901,2,MATCH($B$2&amp;"|xI",Aux_puntos!$1:$1,0))="",NA(),INDEX(Aux_puntos!$A$2:$OJ$901,2,MATCH($B$2&amp;"|xI",Aux_puntos!$1:$1,0))),NA())</f>
        <v/>
      </c>
      <c r="AH6">
        <f>IFERROR(IF(INDEX(Aux_puntos!$A$2:$OJ$901,2,MATCH($B$2&amp;"|yI",Aux_puntos!$1:$1,0))="",NA(),INDEX(Aux_puntos!$A$2:$OJ$901,2,MATCH($B$2&amp;"|yI",Aux_puntos!$1:$1,0))),NA())</f>
        <v/>
      </c>
      <c r="AI6">
        <f>IFERROR(IF(INDEX(Aux_puntos!$A$2:$OJ$901,2,MATCH($B$2&amp;"|xN",Aux_puntos!$1:$1,0))="",NA(),INDEX(Aux_puntos!$A$2:$OJ$901,2,MATCH($B$2&amp;"|xN",Aux_puntos!$1:$1,0))),NA())</f>
        <v/>
      </c>
      <c r="AJ6">
        <f>IFERROR(IF(INDEX(Aux_puntos!$A$2:$OJ$901,2,MATCH($B$2&amp;"|yN",Aux_puntos!$1:$1,0))="",NA(),INDEX(Aux_puntos!$A$2:$OJ$901,2,MATCH($B$2&amp;"|yN",Aux_puntos!$1:$1,0))),NA())</f>
        <v/>
      </c>
    </row>
    <row r="7">
      <c r="A7" s="12" t="inlineStr">
        <is>
          <t>Condiciones (datos fijos y barridos)</t>
        </is>
      </c>
      <c r="Z7" t="inlineStr">
        <is>
          <t>Inviable</t>
        </is>
      </c>
      <c r="AA7">
        <f>INDEX(Aux_tablero!$B$14:$AY$14,MATCH($B$2,Aux_tablero!$B$1:$AY$1,0))</f>
        <v/>
      </c>
      <c r="AC7">
        <f>IFERROR(IF(INDEX(Aux_puntos!$A$2:$OJ$901,3,MATCH($B$2&amp;"|xK",Aux_puntos!$1:$1,0))="",NA(),INDEX(Aux_puntos!$A$2:$OJ$901,3,MATCH($B$2&amp;"|xK",Aux_puntos!$1:$1,0))),NA())</f>
        <v/>
      </c>
      <c r="AD7">
        <f>IFERROR(IF(INDEX(Aux_puntos!$A$2:$OJ$901,3,MATCH($B$2&amp;"|yK",Aux_puntos!$1:$1,0))="",NA(),INDEX(Aux_puntos!$A$2:$OJ$901,3,MATCH($B$2&amp;"|yK",Aux_puntos!$1:$1,0))),NA())</f>
        <v/>
      </c>
      <c r="AE7">
        <f>IFERROR(IF(INDEX(Aux_puntos!$A$2:$OJ$901,3,MATCH($B$2&amp;"|xC",Aux_puntos!$1:$1,0))="",NA(),INDEX(Aux_puntos!$A$2:$OJ$901,3,MATCH($B$2&amp;"|xC",Aux_puntos!$1:$1,0))),NA())</f>
        <v/>
      </c>
      <c r="AF7">
        <f>IFERROR(IF(INDEX(Aux_puntos!$A$2:$OJ$901,3,MATCH($B$2&amp;"|yC",Aux_puntos!$1:$1,0))="",NA(),INDEX(Aux_puntos!$A$2:$OJ$901,3,MATCH($B$2&amp;"|yC",Aux_puntos!$1:$1,0))),NA())</f>
        <v/>
      </c>
      <c r="AG7">
        <f>IFERROR(IF(INDEX(Aux_puntos!$A$2:$OJ$901,3,MATCH($B$2&amp;"|xI",Aux_puntos!$1:$1,0))="",NA(),INDEX(Aux_puntos!$A$2:$OJ$901,3,MATCH($B$2&amp;"|xI",Aux_puntos!$1:$1,0))),NA())</f>
        <v/>
      </c>
      <c r="AH7">
        <f>IFERROR(IF(INDEX(Aux_puntos!$A$2:$OJ$901,3,MATCH($B$2&amp;"|yI",Aux_puntos!$1:$1,0))="",NA(),INDEX(Aux_puntos!$A$2:$OJ$901,3,MATCH($B$2&amp;"|yI",Aux_puntos!$1:$1,0))),NA())</f>
        <v/>
      </c>
      <c r="AI7">
        <f>IFERROR(IF(INDEX(Aux_puntos!$A$2:$OJ$901,3,MATCH($B$2&amp;"|xN",Aux_puntos!$1:$1,0))="",NA(),INDEX(Aux_puntos!$A$2:$OJ$901,3,MATCH($B$2&amp;"|xN",Aux_puntos!$1:$1,0))),NA())</f>
        <v/>
      </c>
      <c r="AJ7">
        <f>IFERROR(IF(INDEX(Aux_puntos!$A$2:$OJ$901,3,MATCH($B$2&amp;"|yN",Aux_puntos!$1:$1,0))="",NA(),INDEX(Aux_puntos!$A$2:$OJ$901,3,MATCH($B$2&amp;"|yN",Aux_puntos!$1:$1,0))),NA())</f>
        <v/>
      </c>
    </row>
    <row r="8">
      <c r="A8" s="16" t="inlineStr">
        <is>
          <t>Temperatura de la fuente, T_fuente [K]</t>
        </is>
      </c>
      <c r="B8" s="16">
        <f>INDEX(Aux_tablero!$B$21:$AY$21,MATCH($B$2,Aux_tablero!$B$1:$AY$1,0))</f>
        <v/>
      </c>
      <c r="Z8" t="inlineStr">
        <is>
          <t>No convergió</t>
        </is>
      </c>
      <c r="AA8">
        <f>INDEX(Aux_tablero!$B$15:$AY$15,MATCH($B$2,Aux_tablero!$B$1:$AY$1,0))</f>
        <v/>
      </c>
      <c r="AC8">
        <f>IFERROR(IF(INDEX(Aux_puntos!$A$2:$OJ$901,4,MATCH($B$2&amp;"|xK",Aux_puntos!$1:$1,0))="",NA(),INDEX(Aux_puntos!$A$2:$OJ$901,4,MATCH($B$2&amp;"|xK",Aux_puntos!$1:$1,0))),NA())</f>
        <v/>
      </c>
      <c r="AD8">
        <f>IFERROR(IF(INDEX(Aux_puntos!$A$2:$OJ$901,4,MATCH($B$2&amp;"|yK",Aux_puntos!$1:$1,0))="",NA(),INDEX(Aux_puntos!$A$2:$OJ$901,4,MATCH($B$2&amp;"|yK",Aux_puntos!$1:$1,0))),NA())</f>
        <v/>
      </c>
      <c r="AE8">
        <f>IFERROR(IF(INDEX(Aux_puntos!$A$2:$OJ$901,4,MATCH($B$2&amp;"|xC",Aux_puntos!$1:$1,0))="",NA(),INDEX(Aux_puntos!$A$2:$OJ$901,4,MATCH($B$2&amp;"|xC",Aux_puntos!$1:$1,0))),NA())</f>
        <v/>
      </c>
      <c r="AF8">
        <f>IFERROR(IF(INDEX(Aux_puntos!$A$2:$OJ$901,4,MATCH($B$2&amp;"|yC",Aux_puntos!$1:$1,0))="",NA(),INDEX(Aux_puntos!$A$2:$OJ$901,4,MATCH($B$2&amp;"|yC",Aux_puntos!$1:$1,0))),NA())</f>
        <v/>
      </c>
      <c r="AG8">
        <f>IFERROR(IF(INDEX(Aux_puntos!$A$2:$OJ$901,4,MATCH($B$2&amp;"|xI",Aux_puntos!$1:$1,0))="",NA(),INDEX(Aux_puntos!$A$2:$OJ$901,4,MATCH($B$2&amp;"|xI",Aux_puntos!$1:$1,0))),NA())</f>
        <v/>
      </c>
      <c r="AH8">
        <f>IFERROR(IF(INDEX(Aux_puntos!$A$2:$OJ$901,4,MATCH($B$2&amp;"|yI",Aux_puntos!$1:$1,0))="",NA(),INDEX(Aux_puntos!$A$2:$OJ$901,4,MATCH($B$2&amp;"|yI",Aux_puntos!$1:$1,0))),NA())</f>
        <v/>
      </c>
      <c r="AI8">
        <f>IFERROR(IF(INDEX(Aux_puntos!$A$2:$OJ$901,4,MATCH($B$2&amp;"|xN",Aux_puntos!$1:$1,0))="",NA(),INDEX(Aux_puntos!$A$2:$OJ$901,4,MATCH($B$2&amp;"|xN",Aux_puntos!$1:$1,0))),NA())</f>
        <v/>
      </c>
      <c r="AJ8">
        <f>IFERROR(IF(INDEX(Aux_puntos!$A$2:$OJ$901,4,MATCH($B$2&amp;"|yN",Aux_puntos!$1:$1,0))="",NA(),INDEX(Aux_puntos!$A$2:$OJ$901,4,MATCH($B$2&amp;"|yN",Aux_puntos!$1:$1,0))),NA())</f>
        <v/>
      </c>
    </row>
    <row r="9">
      <c r="A9" s="16" t="inlineStr">
        <is>
          <t>Temperatura del sumidero, T_sumidero [K]</t>
        </is>
      </c>
      <c r="B9" s="16">
        <f>INDEX(Aux_tablero!$B$22:$AY$22,MATCH($B$2,Aux_tablero!$B$1:$AY$1,0))</f>
        <v/>
      </c>
      <c r="Z9" t="inlineStr">
        <is>
          <t>Falso convergido</t>
        </is>
      </c>
      <c r="AA9">
        <f>INDEX(Aux_tablero!$B$16:$AY$16,MATCH($B$2,Aux_tablero!$B$1:$AY$1,0))</f>
        <v/>
      </c>
      <c r="AC9">
        <f>IFERROR(IF(INDEX(Aux_puntos!$A$2:$OJ$901,5,MATCH($B$2&amp;"|xK",Aux_puntos!$1:$1,0))="",NA(),INDEX(Aux_puntos!$A$2:$OJ$901,5,MATCH($B$2&amp;"|xK",Aux_puntos!$1:$1,0))),NA())</f>
        <v/>
      </c>
      <c r="AD9">
        <f>IFERROR(IF(INDEX(Aux_puntos!$A$2:$OJ$901,5,MATCH($B$2&amp;"|yK",Aux_puntos!$1:$1,0))="",NA(),INDEX(Aux_puntos!$A$2:$OJ$901,5,MATCH($B$2&amp;"|yK",Aux_puntos!$1:$1,0))),NA())</f>
        <v/>
      </c>
      <c r="AE9">
        <f>IFERROR(IF(INDEX(Aux_puntos!$A$2:$OJ$901,5,MATCH($B$2&amp;"|xC",Aux_puntos!$1:$1,0))="",NA(),INDEX(Aux_puntos!$A$2:$OJ$901,5,MATCH($B$2&amp;"|xC",Aux_puntos!$1:$1,0))),NA())</f>
        <v/>
      </c>
      <c r="AF9">
        <f>IFERROR(IF(INDEX(Aux_puntos!$A$2:$OJ$901,5,MATCH($B$2&amp;"|yC",Aux_puntos!$1:$1,0))="",NA(),INDEX(Aux_puntos!$A$2:$OJ$901,5,MATCH($B$2&amp;"|yC",Aux_puntos!$1:$1,0))),NA())</f>
        <v/>
      </c>
      <c r="AG9">
        <f>IFERROR(IF(INDEX(Aux_puntos!$A$2:$OJ$901,5,MATCH($B$2&amp;"|xI",Aux_puntos!$1:$1,0))="",NA(),INDEX(Aux_puntos!$A$2:$OJ$901,5,MATCH($B$2&amp;"|xI",Aux_puntos!$1:$1,0))),NA())</f>
        <v/>
      </c>
      <c r="AH9">
        <f>IFERROR(IF(INDEX(Aux_puntos!$A$2:$OJ$901,5,MATCH($B$2&amp;"|yI",Aux_puntos!$1:$1,0))="",NA(),INDEX(Aux_puntos!$A$2:$OJ$901,5,MATCH($B$2&amp;"|yI",Aux_puntos!$1:$1,0))),NA())</f>
        <v/>
      </c>
      <c r="AI9">
        <f>IFERROR(IF(INDEX(Aux_puntos!$A$2:$OJ$901,5,MATCH($B$2&amp;"|xN",Aux_puntos!$1:$1,0))="",NA(),INDEX(Aux_puntos!$A$2:$OJ$901,5,MATCH($B$2&amp;"|xN",Aux_puntos!$1:$1,0))),NA())</f>
        <v/>
      </c>
      <c r="AJ9">
        <f>IFERROR(IF(INDEX(Aux_puntos!$A$2:$OJ$901,5,MATCH($B$2&amp;"|yN",Aux_puntos!$1:$1,0))="",NA(),INDEX(Aux_puntos!$A$2:$OJ$901,5,MATCH($B$2&amp;"|yN",Aux_puntos!$1:$1,0))),NA())</f>
        <v/>
      </c>
    </row>
    <row r="10">
      <c r="A10" s="16" t="inlineStr">
        <is>
          <t>Presión de alta, P_alta [kPa]</t>
        </is>
      </c>
      <c r="B10" s="16">
        <f>INDEX(Aux_tablero!$B$23:$AY$23,MATCH($B$2,Aux_tablero!$B$1:$AY$1,0))</f>
        <v/>
      </c>
      <c r="AC10">
        <f>IFERROR(IF(INDEX(Aux_puntos!$A$2:$OJ$901,6,MATCH($B$2&amp;"|xK",Aux_puntos!$1:$1,0))="",NA(),INDEX(Aux_puntos!$A$2:$OJ$901,6,MATCH($B$2&amp;"|xK",Aux_puntos!$1:$1,0))),NA())</f>
        <v/>
      </c>
      <c r="AD10">
        <f>IFERROR(IF(INDEX(Aux_puntos!$A$2:$OJ$901,6,MATCH($B$2&amp;"|yK",Aux_puntos!$1:$1,0))="",NA(),INDEX(Aux_puntos!$A$2:$OJ$901,6,MATCH($B$2&amp;"|yK",Aux_puntos!$1:$1,0))),NA())</f>
        <v/>
      </c>
      <c r="AE10">
        <f>IFERROR(IF(INDEX(Aux_puntos!$A$2:$OJ$901,6,MATCH($B$2&amp;"|xC",Aux_puntos!$1:$1,0))="",NA(),INDEX(Aux_puntos!$A$2:$OJ$901,6,MATCH($B$2&amp;"|xC",Aux_puntos!$1:$1,0))),NA())</f>
        <v/>
      </c>
      <c r="AF10">
        <f>IFERROR(IF(INDEX(Aux_puntos!$A$2:$OJ$901,6,MATCH($B$2&amp;"|yC",Aux_puntos!$1:$1,0))="",NA(),INDEX(Aux_puntos!$A$2:$OJ$901,6,MATCH($B$2&amp;"|yC",Aux_puntos!$1:$1,0))),NA())</f>
        <v/>
      </c>
      <c r="AG10">
        <f>IFERROR(IF(INDEX(Aux_puntos!$A$2:$OJ$901,6,MATCH($B$2&amp;"|xI",Aux_puntos!$1:$1,0))="",NA(),INDEX(Aux_puntos!$A$2:$OJ$901,6,MATCH($B$2&amp;"|xI",Aux_puntos!$1:$1,0))),NA())</f>
        <v/>
      </c>
      <c r="AH10">
        <f>IFERROR(IF(INDEX(Aux_puntos!$A$2:$OJ$901,6,MATCH($B$2&amp;"|yI",Aux_puntos!$1:$1,0))="",NA(),INDEX(Aux_puntos!$A$2:$OJ$901,6,MATCH($B$2&amp;"|yI",Aux_puntos!$1:$1,0))),NA())</f>
        <v/>
      </c>
      <c r="AI10">
        <f>IFERROR(IF(INDEX(Aux_puntos!$A$2:$OJ$901,6,MATCH($B$2&amp;"|xN",Aux_puntos!$1:$1,0))="",NA(),INDEX(Aux_puntos!$A$2:$OJ$901,6,MATCH($B$2&amp;"|xN",Aux_puntos!$1:$1,0))),NA())</f>
        <v/>
      </c>
      <c r="AJ10">
        <f>IFERROR(IF(INDEX(Aux_puntos!$A$2:$OJ$901,6,MATCH($B$2&amp;"|yN",Aux_puntos!$1:$1,0))="",NA(),INDEX(Aux_puntos!$A$2:$OJ$901,6,MATCH($B$2&amp;"|yN",Aux_puntos!$1:$1,0))),NA())</f>
        <v/>
      </c>
    </row>
    <row r="11">
      <c r="A11" s="16" t="inlineStr">
        <is>
          <t>Presión de baja, P_baja [kPa]</t>
        </is>
      </c>
      <c r="B11" s="16">
        <f>INDEX(Aux_tablero!$B$24:$AY$24,MATCH($B$2,Aux_tablero!$B$1:$AY$1,0))</f>
        <v/>
      </c>
      <c r="AC11">
        <f>IFERROR(IF(INDEX(Aux_puntos!$A$2:$OJ$901,7,MATCH($B$2&amp;"|xK",Aux_puntos!$1:$1,0))="",NA(),INDEX(Aux_puntos!$A$2:$OJ$901,7,MATCH($B$2&amp;"|xK",Aux_puntos!$1:$1,0))),NA())</f>
        <v/>
      </c>
      <c r="AD11">
        <f>IFERROR(IF(INDEX(Aux_puntos!$A$2:$OJ$901,7,MATCH($B$2&amp;"|yK",Aux_puntos!$1:$1,0))="",NA(),INDEX(Aux_puntos!$A$2:$OJ$901,7,MATCH($B$2&amp;"|yK",Aux_puntos!$1:$1,0))),NA())</f>
        <v/>
      </c>
      <c r="AE11">
        <f>IFERROR(IF(INDEX(Aux_puntos!$A$2:$OJ$901,7,MATCH($B$2&amp;"|xC",Aux_puntos!$1:$1,0))="",NA(),INDEX(Aux_puntos!$A$2:$OJ$901,7,MATCH($B$2&amp;"|xC",Aux_puntos!$1:$1,0))),NA())</f>
        <v/>
      </c>
      <c r="AF11">
        <f>IFERROR(IF(INDEX(Aux_puntos!$A$2:$OJ$901,7,MATCH($B$2&amp;"|yC",Aux_puntos!$1:$1,0))="",NA(),INDEX(Aux_puntos!$A$2:$OJ$901,7,MATCH($B$2&amp;"|yC",Aux_puntos!$1:$1,0))),NA())</f>
        <v/>
      </c>
      <c r="AG11">
        <f>IFERROR(IF(INDEX(Aux_puntos!$A$2:$OJ$901,7,MATCH($B$2&amp;"|xI",Aux_puntos!$1:$1,0))="",NA(),INDEX(Aux_puntos!$A$2:$OJ$901,7,MATCH($B$2&amp;"|xI",Aux_puntos!$1:$1,0))),NA())</f>
        <v/>
      </c>
      <c r="AH11">
        <f>IFERROR(IF(INDEX(Aux_puntos!$A$2:$OJ$901,7,MATCH($B$2&amp;"|yI",Aux_puntos!$1:$1,0))="",NA(),INDEX(Aux_puntos!$A$2:$OJ$901,7,MATCH($B$2&amp;"|yI",Aux_puntos!$1:$1,0))),NA())</f>
        <v/>
      </c>
      <c r="AI11">
        <f>IFERROR(IF(INDEX(Aux_puntos!$A$2:$OJ$901,7,MATCH($B$2&amp;"|xN",Aux_puntos!$1:$1,0))="",NA(),INDEX(Aux_puntos!$A$2:$OJ$901,7,MATCH($B$2&amp;"|xN",Aux_puntos!$1:$1,0))),NA())</f>
        <v/>
      </c>
      <c r="AJ11">
        <f>IFERROR(IF(INDEX(Aux_puntos!$A$2:$OJ$901,7,MATCH($B$2&amp;"|yN",Aux_puntos!$1:$1,0))="",NA(),INDEX(Aux_puntos!$A$2:$OJ$901,7,MATCH($B$2&amp;"|yN",Aux_puntos!$1:$1,0))),NA())</f>
        <v/>
      </c>
    </row>
    <row r="12">
      <c r="A12" s="16" t="inlineStr">
        <is>
          <t>Fracción de amoníaco de la mezcla base, x_b [–]</t>
        </is>
      </c>
      <c r="B12" s="16">
        <f>INDEX(Aux_tablero!$B$25:$AY$25,MATCH($B$2,Aux_tablero!$B$1:$AY$1,0))</f>
        <v/>
      </c>
      <c r="Z12" t="inlineStr">
        <is>
          <t>O1 título</t>
        </is>
      </c>
      <c r="AA12">
        <f>INDEX(Aux_tablero!$B$17:$AY$17,MATCH($B$2,Aux_tablero!$B$1:$AY$1,0))</f>
        <v/>
      </c>
      <c r="AC12">
        <f>IFERROR(IF(INDEX(Aux_puntos!$A$2:$OJ$901,8,MATCH($B$2&amp;"|xK",Aux_puntos!$1:$1,0))="",NA(),INDEX(Aux_puntos!$A$2:$OJ$901,8,MATCH($B$2&amp;"|xK",Aux_puntos!$1:$1,0))),NA())</f>
        <v/>
      </c>
      <c r="AD12">
        <f>IFERROR(IF(INDEX(Aux_puntos!$A$2:$OJ$901,8,MATCH($B$2&amp;"|yK",Aux_puntos!$1:$1,0))="",NA(),INDEX(Aux_puntos!$A$2:$OJ$901,8,MATCH($B$2&amp;"|yK",Aux_puntos!$1:$1,0))),NA())</f>
        <v/>
      </c>
      <c r="AE12">
        <f>IFERROR(IF(INDEX(Aux_puntos!$A$2:$OJ$901,8,MATCH($B$2&amp;"|xC",Aux_puntos!$1:$1,0))="",NA(),INDEX(Aux_puntos!$A$2:$OJ$901,8,MATCH($B$2&amp;"|xC",Aux_puntos!$1:$1,0))),NA())</f>
        <v/>
      </c>
      <c r="AF12">
        <f>IFERROR(IF(INDEX(Aux_puntos!$A$2:$OJ$901,8,MATCH($B$2&amp;"|yC",Aux_puntos!$1:$1,0))="",NA(),INDEX(Aux_puntos!$A$2:$OJ$901,8,MATCH($B$2&amp;"|yC",Aux_puntos!$1:$1,0))),NA())</f>
        <v/>
      </c>
      <c r="AG12">
        <f>IFERROR(IF(INDEX(Aux_puntos!$A$2:$OJ$901,8,MATCH($B$2&amp;"|xI",Aux_puntos!$1:$1,0))="",NA(),INDEX(Aux_puntos!$A$2:$OJ$901,8,MATCH($B$2&amp;"|xI",Aux_puntos!$1:$1,0))),NA())</f>
        <v/>
      </c>
      <c r="AH12">
        <f>IFERROR(IF(INDEX(Aux_puntos!$A$2:$OJ$901,8,MATCH($B$2&amp;"|yI",Aux_puntos!$1:$1,0))="",NA(),INDEX(Aux_puntos!$A$2:$OJ$901,8,MATCH($B$2&amp;"|yI",Aux_puntos!$1:$1,0))),NA())</f>
        <v/>
      </c>
      <c r="AI12">
        <f>IFERROR(IF(INDEX(Aux_puntos!$A$2:$OJ$901,8,MATCH($B$2&amp;"|xN",Aux_puntos!$1:$1,0))="",NA(),INDEX(Aux_puntos!$A$2:$OJ$901,8,MATCH($B$2&amp;"|xN",Aux_puntos!$1:$1,0))),NA())</f>
        <v/>
      </c>
      <c r="AJ12">
        <f>IFERROR(IF(INDEX(Aux_puntos!$A$2:$OJ$901,8,MATCH($B$2&amp;"|yN",Aux_puntos!$1:$1,0))="",NA(),INDEX(Aux_puntos!$A$2:$OJ$901,8,MATCH($B$2&amp;"|yN",Aux_puntos!$1:$1,0))),NA())</f>
        <v/>
      </c>
    </row>
    <row r="13">
      <c r="A13" s="16" t="inlineStr">
        <is>
          <t>Flujo másico base, m_b [kg/s]</t>
        </is>
      </c>
      <c r="B13" s="16">
        <f>INDEX(Aux_tablero!$B$26:$AY$26,MATCH($B$2,Aux_tablero!$B$1:$AY$1,0))</f>
        <v/>
      </c>
      <c r="Z13" t="inlineStr">
        <is>
          <t>O2 cavitación</t>
        </is>
      </c>
      <c r="AA13">
        <f>INDEX(Aux_tablero!$B$18:$AY$18,MATCH($B$2,Aux_tablero!$B$1:$AY$1,0))</f>
        <v/>
      </c>
      <c r="AC13">
        <f>IFERROR(IF(INDEX(Aux_puntos!$A$2:$OJ$901,9,MATCH($B$2&amp;"|xK",Aux_puntos!$1:$1,0))="",NA(),INDEX(Aux_puntos!$A$2:$OJ$901,9,MATCH($B$2&amp;"|xK",Aux_puntos!$1:$1,0))),NA())</f>
        <v/>
      </c>
      <c r="AD13">
        <f>IFERROR(IF(INDEX(Aux_puntos!$A$2:$OJ$901,9,MATCH($B$2&amp;"|yK",Aux_puntos!$1:$1,0))="",NA(),INDEX(Aux_puntos!$A$2:$OJ$901,9,MATCH($B$2&amp;"|yK",Aux_puntos!$1:$1,0))),NA())</f>
        <v/>
      </c>
      <c r="AE13">
        <f>IFERROR(IF(INDEX(Aux_puntos!$A$2:$OJ$901,9,MATCH($B$2&amp;"|xC",Aux_puntos!$1:$1,0))="",NA(),INDEX(Aux_puntos!$A$2:$OJ$901,9,MATCH($B$2&amp;"|xC",Aux_puntos!$1:$1,0))),NA())</f>
        <v/>
      </c>
      <c r="AF13">
        <f>IFERROR(IF(INDEX(Aux_puntos!$A$2:$OJ$901,9,MATCH($B$2&amp;"|yC",Aux_puntos!$1:$1,0))="",NA(),INDEX(Aux_puntos!$A$2:$OJ$901,9,MATCH($B$2&amp;"|yC",Aux_puntos!$1:$1,0))),NA())</f>
        <v/>
      </c>
      <c r="AG13">
        <f>IFERROR(IF(INDEX(Aux_puntos!$A$2:$OJ$901,9,MATCH($B$2&amp;"|xI",Aux_puntos!$1:$1,0))="",NA(),INDEX(Aux_puntos!$A$2:$OJ$901,9,MATCH($B$2&amp;"|xI",Aux_puntos!$1:$1,0))),NA())</f>
        <v/>
      </c>
      <c r="AH13">
        <f>IFERROR(IF(INDEX(Aux_puntos!$A$2:$OJ$901,9,MATCH($B$2&amp;"|yI",Aux_puntos!$1:$1,0))="",NA(),INDEX(Aux_puntos!$A$2:$OJ$901,9,MATCH($B$2&amp;"|yI",Aux_puntos!$1:$1,0))),NA())</f>
        <v/>
      </c>
      <c r="AI13">
        <f>IFERROR(IF(INDEX(Aux_puntos!$A$2:$OJ$901,9,MATCH($B$2&amp;"|xN",Aux_puntos!$1:$1,0))="",NA(),INDEX(Aux_puntos!$A$2:$OJ$901,9,MATCH($B$2&amp;"|xN",Aux_puntos!$1:$1,0))),NA())</f>
        <v/>
      </c>
      <c r="AJ13">
        <f>IFERROR(IF(INDEX(Aux_puntos!$A$2:$OJ$901,9,MATCH($B$2&amp;"|yN",Aux_puntos!$1:$1,0))="",NA(),INDEX(Aux_puntos!$A$2:$OJ$901,9,MATCH($B$2&amp;"|yN",Aux_puntos!$1:$1,0))),NA())</f>
        <v/>
      </c>
    </row>
    <row r="14">
      <c r="A14" s="16" t="inlineStr">
        <is>
          <t>Eficiencia isentrópica de la turbina, η_t [–]</t>
        </is>
      </c>
      <c r="B14" s="16">
        <f>INDEX(Aux_tablero!$B$27:$AY$27,MATCH($B$2,Aux_tablero!$B$1:$AY$1,0))</f>
        <v/>
      </c>
      <c r="Z14" t="inlineStr">
        <is>
          <t>O3 trabajo neto</t>
        </is>
      </c>
      <c r="AA14">
        <f>INDEX(Aux_tablero!$B$19:$AY$19,MATCH($B$2,Aux_tablero!$B$1:$AY$1,0))</f>
        <v/>
      </c>
      <c r="AC14">
        <f>IFERROR(IF(INDEX(Aux_puntos!$A$2:$OJ$901,10,MATCH($B$2&amp;"|xK",Aux_puntos!$1:$1,0))="",NA(),INDEX(Aux_puntos!$A$2:$OJ$901,10,MATCH($B$2&amp;"|xK",Aux_puntos!$1:$1,0))),NA())</f>
        <v/>
      </c>
      <c r="AD14">
        <f>IFERROR(IF(INDEX(Aux_puntos!$A$2:$OJ$901,10,MATCH($B$2&amp;"|yK",Aux_puntos!$1:$1,0))="",NA(),INDEX(Aux_puntos!$A$2:$OJ$901,10,MATCH($B$2&amp;"|yK",Aux_puntos!$1:$1,0))),NA())</f>
        <v/>
      </c>
      <c r="AE14">
        <f>IFERROR(IF(INDEX(Aux_puntos!$A$2:$OJ$901,10,MATCH($B$2&amp;"|xC",Aux_puntos!$1:$1,0))="",NA(),INDEX(Aux_puntos!$A$2:$OJ$901,10,MATCH($B$2&amp;"|xC",Aux_puntos!$1:$1,0))),NA())</f>
        <v/>
      </c>
      <c r="AF14">
        <f>IFERROR(IF(INDEX(Aux_puntos!$A$2:$OJ$901,10,MATCH($B$2&amp;"|yC",Aux_puntos!$1:$1,0))="",NA(),INDEX(Aux_puntos!$A$2:$OJ$901,10,MATCH($B$2&amp;"|yC",Aux_puntos!$1:$1,0))),NA())</f>
        <v/>
      </c>
      <c r="AG14">
        <f>IFERROR(IF(INDEX(Aux_puntos!$A$2:$OJ$901,10,MATCH($B$2&amp;"|xI",Aux_puntos!$1:$1,0))="",NA(),INDEX(Aux_puntos!$A$2:$OJ$901,10,MATCH($B$2&amp;"|xI",Aux_puntos!$1:$1,0))),NA())</f>
        <v/>
      </c>
      <c r="AH14">
        <f>IFERROR(IF(INDEX(Aux_puntos!$A$2:$OJ$901,10,MATCH($B$2&amp;"|yI",Aux_puntos!$1:$1,0))="",NA(),INDEX(Aux_puntos!$A$2:$OJ$901,10,MATCH($B$2&amp;"|yI",Aux_puntos!$1:$1,0))),NA())</f>
        <v/>
      </c>
      <c r="AI14">
        <f>IFERROR(IF(INDEX(Aux_puntos!$A$2:$OJ$901,10,MATCH($B$2&amp;"|xN",Aux_puntos!$1:$1,0))="",NA(),INDEX(Aux_puntos!$A$2:$OJ$901,10,MATCH($B$2&amp;"|xN",Aux_puntos!$1:$1,0))),NA())</f>
        <v/>
      </c>
      <c r="AJ14">
        <f>IFERROR(IF(INDEX(Aux_puntos!$A$2:$OJ$901,10,MATCH($B$2&amp;"|yN",Aux_puntos!$1:$1,0))="",NA(),INDEX(Aux_puntos!$A$2:$OJ$901,10,MATCH($B$2&amp;"|yN",Aux_puntos!$1:$1,0))),NA())</f>
        <v/>
      </c>
    </row>
    <row r="15">
      <c r="A15" s="16" t="inlineStr">
        <is>
          <t>Eficiencia isentrópica de la bomba, η_p [–]</t>
        </is>
      </c>
      <c r="B15" s="16">
        <f>INDEX(Aux_tablero!$B$28:$AY$28,MATCH($B$2,Aux_tablero!$B$1:$AY$1,0))</f>
        <v/>
      </c>
      <c r="Z15" t="inlineStr">
        <is>
          <t>O5 separador</t>
        </is>
      </c>
      <c r="AA15">
        <f>INDEX(Aux_tablero!$B$20:$AY$20,MATCH($B$2,Aux_tablero!$B$1:$AY$1,0))</f>
        <v/>
      </c>
      <c r="AC15">
        <f>IFERROR(IF(INDEX(Aux_puntos!$A$2:$OJ$901,11,MATCH($B$2&amp;"|xK",Aux_puntos!$1:$1,0))="",NA(),INDEX(Aux_puntos!$A$2:$OJ$901,11,MATCH($B$2&amp;"|xK",Aux_puntos!$1:$1,0))),NA())</f>
        <v/>
      </c>
      <c r="AD15">
        <f>IFERROR(IF(INDEX(Aux_puntos!$A$2:$OJ$901,11,MATCH($B$2&amp;"|yK",Aux_puntos!$1:$1,0))="",NA(),INDEX(Aux_puntos!$A$2:$OJ$901,11,MATCH($B$2&amp;"|yK",Aux_puntos!$1:$1,0))),NA())</f>
        <v/>
      </c>
      <c r="AE15">
        <f>IFERROR(IF(INDEX(Aux_puntos!$A$2:$OJ$901,11,MATCH($B$2&amp;"|xC",Aux_puntos!$1:$1,0))="",NA(),INDEX(Aux_puntos!$A$2:$OJ$901,11,MATCH($B$2&amp;"|xC",Aux_puntos!$1:$1,0))),NA())</f>
        <v/>
      </c>
      <c r="AF15">
        <f>IFERROR(IF(INDEX(Aux_puntos!$A$2:$OJ$901,11,MATCH($B$2&amp;"|yC",Aux_puntos!$1:$1,0))="",NA(),INDEX(Aux_puntos!$A$2:$OJ$901,11,MATCH($B$2&amp;"|yC",Aux_puntos!$1:$1,0))),NA())</f>
        <v/>
      </c>
      <c r="AG15">
        <f>IFERROR(IF(INDEX(Aux_puntos!$A$2:$OJ$901,11,MATCH($B$2&amp;"|xI",Aux_puntos!$1:$1,0))="",NA(),INDEX(Aux_puntos!$A$2:$OJ$901,11,MATCH($B$2&amp;"|xI",Aux_puntos!$1:$1,0))),NA())</f>
        <v/>
      </c>
      <c r="AH15">
        <f>IFERROR(IF(INDEX(Aux_puntos!$A$2:$OJ$901,11,MATCH($B$2&amp;"|yI",Aux_puntos!$1:$1,0))="",NA(),INDEX(Aux_puntos!$A$2:$OJ$901,11,MATCH($B$2&amp;"|yI",Aux_puntos!$1:$1,0))),NA())</f>
        <v/>
      </c>
      <c r="AI15">
        <f>IFERROR(IF(INDEX(Aux_puntos!$A$2:$OJ$901,11,MATCH($B$2&amp;"|xN",Aux_puntos!$1:$1,0))="",NA(),INDEX(Aux_puntos!$A$2:$OJ$901,11,MATCH($B$2&amp;"|xN",Aux_puntos!$1:$1,0))),NA())</f>
        <v/>
      </c>
      <c r="AJ15">
        <f>IFERROR(IF(INDEX(Aux_puntos!$A$2:$OJ$901,11,MATCH($B$2&amp;"|yN",Aux_puntos!$1:$1,0))="",NA(),INDEX(Aux_puntos!$A$2:$OJ$901,11,MATCH($B$2&amp;"|yN",Aux_puntos!$1:$1,0))),NA())</f>
        <v/>
      </c>
    </row>
    <row r="16">
      <c r="A16" s="16" t="inlineStr">
        <is>
          <t>Efectividad del generador de vapor, ε_HRVG [–]</t>
        </is>
      </c>
      <c r="B16" s="16">
        <f>INDEX(Aux_tablero!$B$29:$AY$29,MATCH($B$2,Aux_tablero!$B$1:$AY$1,0))</f>
        <v/>
      </c>
      <c r="AC16">
        <f>IFERROR(IF(INDEX(Aux_puntos!$A$2:$OJ$901,12,MATCH($B$2&amp;"|xK",Aux_puntos!$1:$1,0))="",NA(),INDEX(Aux_puntos!$A$2:$OJ$901,12,MATCH($B$2&amp;"|xK",Aux_puntos!$1:$1,0))),NA())</f>
        <v/>
      </c>
      <c r="AD16">
        <f>IFERROR(IF(INDEX(Aux_puntos!$A$2:$OJ$901,12,MATCH($B$2&amp;"|yK",Aux_puntos!$1:$1,0))="",NA(),INDEX(Aux_puntos!$A$2:$OJ$901,12,MATCH($B$2&amp;"|yK",Aux_puntos!$1:$1,0))),NA())</f>
        <v/>
      </c>
      <c r="AE16">
        <f>IFERROR(IF(INDEX(Aux_puntos!$A$2:$OJ$901,12,MATCH($B$2&amp;"|xC",Aux_puntos!$1:$1,0))="",NA(),INDEX(Aux_puntos!$A$2:$OJ$901,12,MATCH($B$2&amp;"|xC",Aux_puntos!$1:$1,0))),NA())</f>
        <v/>
      </c>
      <c r="AF16">
        <f>IFERROR(IF(INDEX(Aux_puntos!$A$2:$OJ$901,12,MATCH($B$2&amp;"|yC",Aux_puntos!$1:$1,0))="",NA(),INDEX(Aux_puntos!$A$2:$OJ$901,12,MATCH($B$2&amp;"|yC",Aux_puntos!$1:$1,0))),NA())</f>
        <v/>
      </c>
      <c r="AG16">
        <f>IFERROR(IF(INDEX(Aux_puntos!$A$2:$OJ$901,12,MATCH($B$2&amp;"|xI",Aux_puntos!$1:$1,0))="",NA(),INDEX(Aux_puntos!$A$2:$OJ$901,12,MATCH($B$2&amp;"|xI",Aux_puntos!$1:$1,0))),NA())</f>
        <v/>
      </c>
      <c r="AH16">
        <f>IFERROR(IF(INDEX(Aux_puntos!$A$2:$OJ$901,12,MATCH($B$2&amp;"|yI",Aux_puntos!$1:$1,0))="",NA(),INDEX(Aux_puntos!$A$2:$OJ$901,12,MATCH($B$2&amp;"|yI",Aux_puntos!$1:$1,0))),NA())</f>
        <v/>
      </c>
      <c r="AI16">
        <f>IFERROR(IF(INDEX(Aux_puntos!$A$2:$OJ$901,12,MATCH($B$2&amp;"|xN",Aux_puntos!$1:$1,0))="",NA(),INDEX(Aux_puntos!$A$2:$OJ$901,12,MATCH($B$2&amp;"|xN",Aux_puntos!$1:$1,0))),NA())</f>
        <v/>
      </c>
      <c r="AJ16">
        <f>IFERROR(IF(INDEX(Aux_puntos!$A$2:$OJ$901,12,MATCH($B$2&amp;"|yN",Aux_puntos!$1:$1,0))="",NA(),INDEX(Aux_puntos!$A$2:$OJ$901,12,MATCH($B$2&amp;"|yN",Aux_puntos!$1:$1,0))),NA())</f>
        <v/>
      </c>
    </row>
    <row r="17">
      <c r="A17" s="16" t="inlineStr">
        <is>
          <t>Efectividad del regenerador, ε_reg [–]</t>
        </is>
      </c>
      <c r="B17" s="16">
        <f>INDEX(Aux_tablero!$B$30:$AY$30,MATCH($B$2,Aux_tablero!$B$1:$AY$1,0))</f>
        <v/>
      </c>
      <c r="AC17">
        <f>IFERROR(IF(INDEX(Aux_puntos!$A$2:$OJ$901,13,MATCH($B$2&amp;"|xK",Aux_puntos!$1:$1,0))="",NA(),INDEX(Aux_puntos!$A$2:$OJ$901,13,MATCH($B$2&amp;"|xK",Aux_puntos!$1:$1,0))),NA())</f>
        <v/>
      </c>
      <c r="AD17">
        <f>IFERROR(IF(INDEX(Aux_puntos!$A$2:$OJ$901,13,MATCH($B$2&amp;"|yK",Aux_puntos!$1:$1,0))="",NA(),INDEX(Aux_puntos!$A$2:$OJ$901,13,MATCH($B$2&amp;"|yK",Aux_puntos!$1:$1,0))),NA())</f>
        <v/>
      </c>
      <c r="AE17">
        <f>IFERROR(IF(INDEX(Aux_puntos!$A$2:$OJ$901,13,MATCH($B$2&amp;"|xC",Aux_puntos!$1:$1,0))="",NA(),INDEX(Aux_puntos!$A$2:$OJ$901,13,MATCH($B$2&amp;"|xC",Aux_puntos!$1:$1,0))),NA())</f>
        <v/>
      </c>
      <c r="AF17">
        <f>IFERROR(IF(INDEX(Aux_puntos!$A$2:$OJ$901,13,MATCH($B$2&amp;"|yC",Aux_puntos!$1:$1,0))="",NA(),INDEX(Aux_puntos!$A$2:$OJ$901,13,MATCH($B$2&amp;"|yC",Aux_puntos!$1:$1,0))),NA())</f>
        <v/>
      </c>
      <c r="AG17">
        <f>IFERROR(IF(INDEX(Aux_puntos!$A$2:$OJ$901,13,MATCH($B$2&amp;"|xI",Aux_puntos!$1:$1,0))="",NA(),INDEX(Aux_puntos!$A$2:$OJ$901,13,MATCH($B$2&amp;"|xI",Aux_puntos!$1:$1,0))),NA())</f>
        <v/>
      </c>
      <c r="AH17">
        <f>IFERROR(IF(INDEX(Aux_puntos!$A$2:$OJ$901,13,MATCH($B$2&amp;"|yI",Aux_puntos!$1:$1,0))="",NA(),INDEX(Aux_puntos!$A$2:$OJ$901,13,MATCH($B$2&amp;"|yI",Aux_puntos!$1:$1,0))),NA())</f>
        <v/>
      </c>
      <c r="AI17">
        <f>IFERROR(IF(INDEX(Aux_puntos!$A$2:$OJ$901,13,MATCH($B$2&amp;"|xN",Aux_puntos!$1:$1,0))="",NA(),INDEX(Aux_puntos!$A$2:$OJ$901,13,MATCH($B$2&amp;"|xN",Aux_puntos!$1:$1,0))),NA())</f>
        <v/>
      </c>
      <c r="AJ17">
        <f>IFERROR(IF(INDEX(Aux_puntos!$A$2:$OJ$901,13,MATCH($B$2&amp;"|yN",Aux_puntos!$1:$1,0))="",NA(),INDEX(Aux_puntos!$A$2:$OJ$901,13,MATCH($B$2&amp;"|yN",Aux_puntos!$1:$1,0))),NA())</f>
        <v/>
      </c>
    </row>
    <row r="18">
      <c r="A18" s="16" t="inlineStr">
        <is>
          <t>Efectividad del condensador, ε_cond [–]</t>
        </is>
      </c>
      <c r="B18" s="16">
        <f>INDEX(Aux_tablero!$B$31:$AY$31,MATCH($B$2,Aux_tablero!$B$1:$AY$1,0))</f>
        <v/>
      </c>
      <c r="AC18">
        <f>IFERROR(IF(INDEX(Aux_puntos!$A$2:$OJ$901,14,MATCH($B$2&amp;"|xK",Aux_puntos!$1:$1,0))="",NA(),INDEX(Aux_puntos!$A$2:$OJ$901,14,MATCH($B$2&amp;"|xK",Aux_puntos!$1:$1,0))),NA())</f>
        <v/>
      </c>
      <c r="AD18">
        <f>IFERROR(IF(INDEX(Aux_puntos!$A$2:$OJ$901,14,MATCH($B$2&amp;"|yK",Aux_puntos!$1:$1,0))="",NA(),INDEX(Aux_puntos!$A$2:$OJ$901,14,MATCH($B$2&amp;"|yK",Aux_puntos!$1:$1,0))),NA())</f>
        <v/>
      </c>
      <c r="AE18">
        <f>IFERROR(IF(INDEX(Aux_puntos!$A$2:$OJ$901,14,MATCH($B$2&amp;"|xC",Aux_puntos!$1:$1,0))="",NA(),INDEX(Aux_puntos!$A$2:$OJ$901,14,MATCH($B$2&amp;"|xC",Aux_puntos!$1:$1,0))),NA())</f>
        <v/>
      </c>
      <c r="AF18">
        <f>IFERROR(IF(INDEX(Aux_puntos!$A$2:$OJ$901,14,MATCH($B$2&amp;"|yC",Aux_puntos!$1:$1,0))="",NA(),INDEX(Aux_puntos!$A$2:$OJ$901,14,MATCH($B$2&amp;"|yC",Aux_puntos!$1:$1,0))),NA())</f>
        <v/>
      </c>
      <c r="AG18">
        <f>IFERROR(IF(INDEX(Aux_puntos!$A$2:$OJ$901,14,MATCH($B$2&amp;"|xI",Aux_puntos!$1:$1,0))="",NA(),INDEX(Aux_puntos!$A$2:$OJ$901,14,MATCH($B$2&amp;"|xI",Aux_puntos!$1:$1,0))),NA())</f>
        <v/>
      </c>
      <c r="AH18">
        <f>IFERROR(IF(INDEX(Aux_puntos!$A$2:$OJ$901,14,MATCH($B$2&amp;"|yI",Aux_puntos!$1:$1,0))="",NA(),INDEX(Aux_puntos!$A$2:$OJ$901,14,MATCH($B$2&amp;"|yI",Aux_puntos!$1:$1,0))),NA())</f>
        <v/>
      </c>
      <c r="AI18">
        <f>IFERROR(IF(INDEX(Aux_puntos!$A$2:$OJ$901,14,MATCH($B$2&amp;"|xN",Aux_puntos!$1:$1,0))="",NA(),INDEX(Aux_puntos!$A$2:$OJ$901,14,MATCH($B$2&amp;"|xN",Aux_puntos!$1:$1,0))),NA())</f>
        <v/>
      </c>
      <c r="AJ18">
        <f>IFERROR(IF(INDEX(Aux_puntos!$A$2:$OJ$901,14,MATCH($B$2&amp;"|yN",Aux_puntos!$1:$1,0))="",NA(),INDEX(Aux_puntos!$A$2:$OJ$901,14,MATCH($B$2&amp;"|yN",Aux_puntos!$1:$1,0))),NA())</f>
        <v/>
      </c>
    </row>
    <row r="19">
      <c r="A19" s="16" t="inlineStr">
        <is>
          <t>Piso de O2 (T de diseño de la bomba) [K]</t>
        </is>
      </c>
      <c r="B19" s="16">
        <f>INDEX(Aux_tablero!$B$32:$AY$32,MATCH($B$2,Aux_tablero!$B$1:$AY$1,0))</f>
        <v/>
      </c>
      <c r="AC19">
        <f>IFERROR(IF(INDEX(Aux_puntos!$A$2:$OJ$901,15,MATCH($B$2&amp;"|xK",Aux_puntos!$1:$1,0))="",NA(),INDEX(Aux_puntos!$A$2:$OJ$901,15,MATCH($B$2&amp;"|xK",Aux_puntos!$1:$1,0))),NA())</f>
        <v/>
      </c>
      <c r="AD19">
        <f>IFERROR(IF(INDEX(Aux_puntos!$A$2:$OJ$901,15,MATCH($B$2&amp;"|yK",Aux_puntos!$1:$1,0))="",NA(),INDEX(Aux_puntos!$A$2:$OJ$901,15,MATCH($B$2&amp;"|yK",Aux_puntos!$1:$1,0))),NA())</f>
        <v/>
      </c>
      <c r="AE19">
        <f>IFERROR(IF(INDEX(Aux_puntos!$A$2:$OJ$901,15,MATCH($B$2&amp;"|xC",Aux_puntos!$1:$1,0))="",NA(),INDEX(Aux_puntos!$A$2:$OJ$901,15,MATCH($B$2&amp;"|xC",Aux_puntos!$1:$1,0))),NA())</f>
        <v/>
      </c>
      <c r="AF19">
        <f>IFERROR(IF(INDEX(Aux_puntos!$A$2:$OJ$901,15,MATCH($B$2&amp;"|yC",Aux_puntos!$1:$1,0))="",NA(),INDEX(Aux_puntos!$A$2:$OJ$901,15,MATCH($B$2&amp;"|yC",Aux_puntos!$1:$1,0))),NA())</f>
        <v/>
      </c>
      <c r="AG19">
        <f>IFERROR(IF(INDEX(Aux_puntos!$A$2:$OJ$901,15,MATCH($B$2&amp;"|xI",Aux_puntos!$1:$1,0))="",NA(),INDEX(Aux_puntos!$A$2:$OJ$901,15,MATCH($B$2&amp;"|xI",Aux_puntos!$1:$1,0))),NA())</f>
        <v/>
      </c>
      <c r="AH19">
        <f>IFERROR(IF(INDEX(Aux_puntos!$A$2:$OJ$901,15,MATCH($B$2&amp;"|yI",Aux_puntos!$1:$1,0))="",NA(),INDEX(Aux_puntos!$A$2:$OJ$901,15,MATCH($B$2&amp;"|yI",Aux_puntos!$1:$1,0))),NA())</f>
        <v/>
      </c>
      <c r="AI19">
        <f>IFERROR(IF(INDEX(Aux_puntos!$A$2:$OJ$901,15,MATCH($B$2&amp;"|xN",Aux_puntos!$1:$1,0))="",NA(),INDEX(Aux_puntos!$A$2:$OJ$901,15,MATCH($B$2&amp;"|xN",Aux_puntos!$1:$1,0))),NA())</f>
        <v/>
      </c>
      <c r="AJ19">
        <f>IFERROR(IF(INDEX(Aux_puntos!$A$2:$OJ$901,15,MATCH($B$2&amp;"|yN",Aux_puntos!$1:$1,0))="",NA(),INDEX(Aux_puntos!$A$2:$OJ$901,15,MATCH($B$2&amp;"|yN",Aux_puntos!$1:$1,0))),NA())</f>
        <v/>
      </c>
    </row>
    <row r="20">
      <c r="A20" s="16" t="inlineStr">
        <is>
          <t>motor</t>
        </is>
      </c>
      <c r="B20" s="16">
        <f>INDEX(Aux_tablero!$B$33:$AY$33,MATCH($B$2,Aux_tablero!$B$1:$AY$1,0))</f>
        <v/>
      </c>
      <c r="AC20">
        <f>IFERROR(IF(INDEX(Aux_puntos!$A$2:$OJ$901,16,MATCH($B$2&amp;"|xK",Aux_puntos!$1:$1,0))="",NA(),INDEX(Aux_puntos!$A$2:$OJ$901,16,MATCH($B$2&amp;"|xK",Aux_puntos!$1:$1,0))),NA())</f>
        <v/>
      </c>
      <c r="AD20">
        <f>IFERROR(IF(INDEX(Aux_puntos!$A$2:$OJ$901,16,MATCH($B$2&amp;"|yK",Aux_puntos!$1:$1,0))="",NA(),INDEX(Aux_puntos!$A$2:$OJ$901,16,MATCH($B$2&amp;"|yK",Aux_puntos!$1:$1,0))),NA())</f>
        <v/>
      </c>
      <c r="AE20">
        <f>IFERROR(IF(INDEX(Aux_puntos!$A$2:$OJ$901,16,MATCH($B$2&amp;"|xC",Aux_puntos!$1:$1,0))="",NA(),INDEX(Aux_puntos!$A$2:$OJ$901,16,MATCH($B$2&amp;"|xC",Aux_puntos!$1:$1,0))),NA())</f>
        <v/>
      </c>
      <c r="AF20">
        <f>IFERROR(IF(INDEX(Aux_puntos!$A$2:$OJ$901,16,MATCH($B$2&amp;"|yC",Aux_puntos!$1:$1,0))="",NA(),INDEX(Aux_puntos!$A$2:$OJ$901,16,MATCH($B$2&amp;"|yC",Aux_puntos!$1:$1,0))),NA())</f>
        <v/>
      </c>
      <c r="AG20">
        <f>IFERROR(IF(INDEX(Aux_puntos!$A$2:$OJ$901,16,MATCH($B$2&amp;"|xI",Aux_puntos!$1:$1,0))="",NA(),INDEX(Aux_puntos!$A$2:$OJ$901,16,MATCH($B$2&amp;"|xI",Aux_puntos!$1:$1,0))),NA())</f>
        <v/>
      </c>
      <c r="AH20">
        <f>IFERROR(IF(INDEX(Aux_puntos!$A$2:$OJ$901,16,MATCH($B$2&amp;"|yI",Aux_puntos!$1:$1,0))="",NA(),INDEX(Aux_puntos!$A$2:$OJ$901,16,MATCH($B$2&amp;"|yI",Aux_puntos!$1:$1,0))),NA())</f>
        <v/>
      </c>
      <c r="AI20">
        <f>IFERROR(IF(INDEX(Aux_puntos!$A$2:$OJ$901,16,MATCH($B$2&amp;"|xN",Aux_puntos!$1:$1,0))="",NA(),INDEX(Aux_puntos!$A$2:$OJ$901,16,MATCH($B$2&amp;"|xN",Aux_puntos!$1:$1,0))),NA())</f>
        <v/>
      </c>
      <c r="AJ20">
        <f>IFERROR(IF(INDEX(Aux_puntos!$A$2:$OJ$901,16,MATCH($B$2&amp;"|yN",Aux_puntos!$1:$1,0))="",NA(),INDEX(Aux_puntos!$A$2:$OJ$901,16,MATCH($B$2&amp;"|yN",Aux_puntos!$1:$1,0))),NA())</f>
        <v/>
      </c>
    </row>
    <row r="21">
      <c r="AC21">
        <f>IFERROR(IF(INDEX(Aux_puntos!$A$2:$OJ$901,17,MATCH($B$2&amp;"|xK",Aux_puntos!$1:$1,0))="",NA(),INDEX(Aux_puntos!$A$2:$OJ$901,17,MATCH($B$2&amp;"|xK",Aux_puntos!$1:$1,0))),NA())</f>
        <v/>
      </c>
      <c r="AD21">
        <f>IFERROR(IF(INDEX(Aux_puntos!$A$2:$OJ$901,17,MATCH($B$2&amp;"|yK",Aux_puntos!$1:$1,0))="",NA(),INDEX(Aux_puntos!$A$2:$OJ$901,17,MATCH($B$2&amp;"|yK",Aux_puntos!$1:$1,0))),NA())</f>
        <v/>
      </c>
      <c r="AE21">
        <f>IFERROR(IF(INDEX(Aux_puntos!$A$2:$OJ$901,17,MATCH($B$2&amp;"|xC",Aux_puntos!$1:$1,0))="",NA(),INDEX(Aux_puntos!$A$2:$OJ$901,17,MATCH($B$2&amp;"|xC",Aux_puntos!$1:$1,0))),NA())</f>
        <v/>
      </c>
      <c r="AF21">
        <f>IFERROR(IF(INDEX(Aux_puntos!$A$2:$OJ$901,17,MATCH($B$2&amp;"|yC",Aux_puntos!$1:$1,0))="",NA(),INDEX(Aux_puntos!$A$2:$OJ$901,17,MATCH($B$2&amp;"|yC",Aux_puntos!$1:$1,0))),NA())</f>
        <v/>
      </c>
      <c r="AG21">
        <f>IFERROR(IF(INDEX(Aux_puntos!$A$2:$OJ$901,17,MATCH($B$2&amp;"|xI",Aux_puntos!$1:$1,0))="",NA(),INDEX(Aux_puntos!$A$2:$OJ$901,17,MATCH($B$2&amp;"|xI",Aux_puntos!$1:$1,0))),NA())</f>
        <v/>
      </c>
      <c r="AH21">
        <f>IFERROR(IF(INDEX(Aux_puntos!$A$2:$OJ$901,17,MATCH($B$2&amp;"|yI",Aux_puntos!$1:$1,0))="",NA(),INDEX(Aux_puntos!$A$2:$OJ$901,17,MATCH($B$2&amp;"|yI",Aux_puntos!$1:$1,0))),NA())</f>
        <v/>
      </c>
      <c r="AI21">
        <f>IFERROR(IF(INDEX(Aux_puntos!$A$2:$OJ$901,17,MATCH($B$2&amp;"|xN",Aux_puntos!$1:$1,0))="",NA(),INDEX(Aux_puntos!$A$2:$OJ$901,17,MATCH($B$2&amp;"|xN",Aux_puntos!$1:$1,0))),NA())</f>
        <v/>
      </c>
      <c r="AJ21">
        <f>IFERROR(IF(INDEX(Aux_puntos!$A$2:$OJ$901,17,MATCH($B$2&amp;"|yN",Aux_puntos!$1:$1,0))="",NA(),INDEX(Aux_puntos!$A$2:$OJ$901,17,MATCH($B$2&amp;"|yN",Aux_puntos!$1:$1,0))),NA())</f>
        <v/>
      </c>
    </row>
    <row r="22">
      <c r="A22" s="12" t="inlineStr">
        <is>
          <t>Pie:</t>
        </is>
      </c>
      <c r="AC22">
        <f>IFERROR(IF(INDEX(Aux_puntos!$A$2:$OJ$901,18,MATCH($B$2&amp;"|xK",Aux_puntos!$1:$1,0))="",NA(),INDEX(Aux_puntos!$A$2:$OJ$901,18,MATCH($B$2&amp;"|xK",Aux_puntos!$1:$1,0))),NA())</f>
        <v/>
      </c>
      <c r="AD22">
        <f>IFERROR(IF(INDEX(Aux_puntos!$A$2:$OJ$901,18,MATCH($B$2&amp;"|yK",Aux_puntos!$1:$1,0))="",NA(),INDEX(Aux_puntos!$A$2:$OJ$901,18,MATCH($B$2&amp;"|yK",Aux_puntos!$1:$1,0))),NA())</f>
        <v/>
      </c>
      <c r="AE22">
        <f>IFERROR(IF(INDEX(Aux_puntos!$A$2:$OJ$901,18,MATCH($B$2&amp;"|xC",Aux_puntos!$1:$1,0))="",NA(),INDEX(Aux_puntos!$A$2:$OJ$901,18,MATCH($B$2&amp;"|xC",Aux_puntos!$1:$1,0))),NA())</f>
        <v/>
      </c>
      <c r="AF22">
        <f>IFERROR(IF(INDEX(Aux_puntos!$A$2:$OJ$901,18,MATCH($B$2&amp;"|yC",Aux_puntos!$1:$1,0))="",NA(),INDEX(Aux_puntos!$A$2:$OJ$901,18,MATCH($B$2&amp;"|yC",Aux_puntos!$1:$1,0))),NA())</f>
        <v/>
      </c>
      <c r="AG22">
        <f>IFERROR(IF(INDEX(Aux_puntos!$A$2:$OJ$901,18,MATCH($B$2&amp;"|xI",Aux_puntos!$1:$1,0))="",NA(),INDEX(Aux_puntos!$A$2:$OJ$901,18,MATCH($B$2&amp;"|xI",Aux_puntos!$1:$1,0))),NA())</f>
        <v/>
      </c>
      <c r="AH22">
        <f>IFERROR(IF(INDEX(Aux_puntos!$A$2:$OJ$901,18,MATCH($B$2&amp;"|yI",Aux_puntos!$1:$1,0))="",NA(),INDEX(Aux_puntos!$A$2:$OJ$901,18,MATCH($B$2&amp;"|yI",Aux_puntos!$1:$1,0))),NA())</f>
        <v/>
      </c>
      <c r="AI22">
        <f>IFERROR(IF(INDEX(Aux_puntos!$A$2:$OJ$901,18,MATCH($B$2&amp;"|xN",Aux_puntos!$1:$1,0))="",NA(),INDEX(Aux_puntos!$A$2:$OJ$901,18,MATCH($B$2&amp;"|xN",Aux_puntos!$1:$1,0))),NA())</f>
        <v/>
      </c>
      <c r="AJ22">
        <f>IFERROR(IF(INDEX(Aux_puntos!$A$2:$OJ$901,18,MATCH($B$2&amp;"|yN",Aux_puntos!$1:$1,0))="",NA(),INDEX(Aux_puntos!$A$2:$OJ$901,18,MATCH($B$2&amp;"|yN",Aux_puntos!$1:$1,0))),NA())</f>
        <v/>
      </c>
    </row>
    <row r="23">
      <c r="A23" s="17">
        <f>INDEX(Aux_tablero!$B$10:$AY$10,MATCH($B$2,Aux_tablero!$B$1:$AY$1,0))</f>
        <v/>
      </c>
      <c r="AC23">
        <f>IFERROR(IF(INDEX(Aux_puntos!$A$2:$OJ$901,19,MATCH($B$2&amp;"|xK",Aux_puntos!$1:$1,0))="",NA(),INDEX(Aux_puntos!$A$2:$OJ$901,19,MATCH($B$2&amp;"|xK",Aux_puntos!$1:$1,0))),NA())</f>
        <v/>
      </c>
      <c r="AD23">
        <f>IFERROR(IF(INDEX(Aux_puntos!$A$2:$OJ$901,19,MATCH($B$2&amp;"|yK",Aux_puntos!$1:$1,0))="",NA(),INDEX(Aux_puntos!$A$2:$OJ$901,19,MATCH($B$2&amp;"|yK",Aux_puntos!$1:$1,0))),NA())</f>
        <v/>
      </c>
      <c r="AE23">
        <f>IFERROR(IF(INDEX(Aux_puntos!$A$2:$OJ$901,19,MATCH($B$2&amp;"|xC",Aux_puntos!$1:$1,0))="",NA(),INDEX(Aux_puntos!$A$2:$OJ$901,19,MATCH($B$2&amp;"|xC",Aux_puntos!$1:$1,0))),NA())</f>
        <v/>
      </c>
      <c r="AF23">
        <f>IFERROR(IF(INDEX(Aux_puntos!$A$2:$OJ$901,19,MATCH($B$2&amp;"|yC",Aux_puntos!$1:$1,0))="",NA(),INDEX(Aux_puntos!$A$2:$OJ$901,19,MATCH($B$2&amp;"|yC",Aux_puntos!$1:$1,0))),NA())</f>
        <v/>
      </c>
      <c r="AG23">
        <f>IFERROR(IF(INDEX(Aux_puntos!$A$2:$OJ$901,19,MATCH($B$2&amp;"|xI",Aux_puntos!$1:$1,0))="",NA(),INDEX(Aux_puntos!$A$2:$OJ$901,19,MATCH($B$2&amp;"|xI",Aux_puntos!$1:$1,0))),NA())</f>
        <v/>
      </c>
      <c r="AH23">
        <f>IFERROR(IF(INDEX(Aux_puntos!$A$2:$OJ$901,19,MATCH($B$2&amp;"|yI",Aux_puntos!$1:$1,0))="",NA(),INDEX(Aux_puntos!$A$2:$OJ$901,19,MATCH($B$2&amp;"|yI",Aux_puntos!$1:$1,0))),NA())</f>
        <v/>
      </c>
      <c r="AI23">
        <f>IFERROR(IF(INDEX(Aux_puntos!$A$2:$OJ$901,19,MATCH($B$2&amp;"|xN",Aux_puntos!$1:$1,0))="",NA(),INDEX(Aux_puntos!$A$2:$OJ$901,19,MATCH($B$2&amp;"|xN",Aux_puntos!$1:$1,0))),NA())</f>
        <v/>
      </c>
      <c r="AJ23">
        <f>IFERROR(IF(INDEX(Aux_puntos!$A$2:$OJ$901,19,MATCH($B$2&amp;"|yN",Aux_puntos!$1:$1,0))="",NA(),INDEX(Aux_puntos!$A$2:$OJ$901,19,MATCH($B$2&amp;"|yN",Aux_puntos!$1:$1,0))),NA())</f>
        <v/>
      </c>
    </row>
    <row r="24">
      <c r="AC24">
        <f>IFERROR(IF(INDEX(Aux_puntos!$A$2:$OJ$901,20,MATCH($B$2&amp;"|xK",Aux_puntos!$1:$1,0))="",NA(),INDEX(Aux_puntos!$A$2:$OJ$901,20,MATCH($B$2&amp;"|xK",Aux_puntos!$1:$1,0))),NA())</f>
        <v/>
      </c>
      <c r="AD24">
        <f>IFERROR(IF(INDEX(Aux_puntos!$A$2:$OJ$901,20,MATCH($B$2&amp;"|yK",Aux_puntos!$1:$1,0))="",NA(),INDEX(Aux_puntos!$A$2:$OJ$901,20,MATCH($B$2&amp;"|yK",Aux_puntos!$1:$1,0))),NA())</f>
        <v/>
      </c>
      <c r="AE24">
        <f>IFERROR(IF(INDEX(Aux_puntos!$A$2:$OJ$901,20,MATCH($B$2&amp;"|xC",Aux_puntos!$1:$1,0))="",NA(),INDEX(Aux_puntos!$A$2:$OJ$901,20,MATCH($B$2&amp;"|xC",Aux_puntos!$1:$1,0))),NA())</f>
        <v/>
      </c>
      <c r="AF24">
        <f>IFERROR(IF(INDEX(Aux_puntos!$A$2:$OJ$901,20,MATCH($B$2&amp;"|yC",Aux_puntos!$1:$1,0))="",NA(),INDEX(Aux_puntos!$A$2:$OJ$901,20,MATCH($B$2&amp;"|yC",Aux_puntos!$1:$1,0))),NA())</f>
        <v/>
      </c>
      <c r="AG24">
        <f>IFERROR(IF(INDEX(Aux_puntos!$A$2:$OJ$901,20,MATCH($B$2&amp;"|xI",Aux_puntos!$1:$1,0))="",NA(),INDEX(Aux_puntos!$A$2:$OJ$901,20,MATCH($B$2&amp;"|xI",Aux_puntos!$1:$1,0))),NA())</f>
        <v/>
      </c>
      <c r="AH24">
        <f>IFERROR(IF(INDEX(Aux_puntos!$A$2:$OJ$901,20,MATCH($B$2&amp;"|yI",Aux_puntos!$1:$1,0))="",NA(),INDEX(Aux_puntos!$A$2:$OJ$901,20,MATCH($B$2&amp;"|yI",Aux_puntos!$1:$1,0))),NA())</f>
        <v/>
      </c>
      <c r="AI24">
        <f>IFERROR(IF(INDEX(Aux_puntos!$A$2:$OJ$901,20,MATCH($B$2&amp;"|xN",Aux_puntos!$1:$1,0))="",NA(),INDEX(Aux_puntos!$A$2:$OJ$901,20,MATCH($B$2&amp;"|xN",Aux_puntos!$1:$1,0))),NA())</f>
        <v/>
      </c>
      <c r="AJ24">
        <f>IFERROR(IF(INDEX(Aux_puntos!$A$2:$OJ$901,20,MATCH($B$2&amp;"|yN",Aux_puntos!$1:$1,0))="",NA(),INDEX(Aux_puntos!$A$2:$OJ$901,20,MATCH($B$2&amp;"|yN",Aux_puntos!$1:$1,0))),NA())</f>
        <v/>
      </c>
    </row>
    <row r="25">
      <c r="AC25">
        <f>IFERROR(IF(INDEX(Aux_puntos!$A$2:$OJ$901,21,MATCH($B$2&amp;"|xK",Aux_puntos!$1:$1,0))="",NA(),INDEX(Aux_puntos!$A$2:$OJ$901,21,MATCH($B$2&amp;"|xK",Aux_puntos!$1:$1,0))),NA())</f>
        <v/>
      </c>
      <c r="AD25">
        <f>IFERROR(IF(INDEX(Aux_puntos!$A$2:$OJ$901,21,MATCH($B$2&amp;"|yK",Aux_puntos!$1:$1,0))="",NA(),INDEX(Aux_puntos!$A$2:$OJ$901,21,MATCH($B$2&amp;"|yK",Aux_puntos!$1:$1,0))),NA())</f>
        <v/>
      </c>
      <c r="AE25">
        <f>IFERROR(IF(INDEX(Aux_puntos!$A$2:$OJ$901,21,MATCH($B$2&amp;"|xC",Aux_puntos!$1:$1,0))="",NA(),INDEX(Aux_puntos!$A$2:$OJ$901,21,MATCH($B$2&amp;"|xC",Aux_puntos!$1:$1,0))),NA())</f>
        <v/>
      </c>
      <c r="AF25">
        <f>IFERROR(IF(INDEX(Aux_puntos!$A$2:$OJ$901,21,MATCH($B$2&amp;"|yC",Aux_puntos!$1:$1,0))="",NA(),INDEX(Aux_puntos!$A$2:$OJ$901,21,MATCH($B$2&amp;"|yC",Aux_puntos!$1:$1,0))),NA())</f>
        <v/>
      </c>
      <c r="AG25">
        <f>IFERROR(IF(INDEX(Aux_puntos!$A$2:$OJ$901,21,MATCH($B$2&amp;"|xI",Aux_puntos!$1:$1,0))="",NA(),INDEX(Aux_puntos!$A$2:$OJ$901,21,MATCH($B$2&amp;"|xI",Aux_puntos!$1:$1,0))),NA())</f>
        <v/>
      </c>
      <c r="AH25">
        <f>IFERROR(IF(INDEX(Aux_puntos!$A$2:$OJ$901,21,MATCH($B$2&amp;"|yI",Aux_puntos!$1:$1,0))="",NA(),INDEX(Aux_puntos!$A$2:$OJ$901,21,MATCH($B$2&amp;"|yI",Aux_puntos!$1:$1,0))),NA())</f>
        <v/>
      </c>
      <c r="AI25">
        <f>IFERROR(IF(INDEX(Aux_puntos!$A$2:$OJ$901,21,MATCH($B$2&amp;"|xN",Aux_puntos!$1:$1,0))="",NA(),INDEX(Aux_puntos!$A$2:$OJ$901,21,MATCH($B$2&amp;"|xN",Aux_puntos!$1:$1,0))),NA())</f>
        <v/>
      </c>
      <c r="AJ25">
        <f>IFERROR(IF(INDEX(Aux_puntos!$A$2:$OJ$901,21,MATCH($B$2&amp;"|yN",Aux_puntos!$1:$1,0))="",NA(),INDEX(Aux_puntos!$A$2:$OJ$901,21,MATCH($B$2&amp;"|yN",Aux_puntos!$1:$1,0))),NA())</f>
        <v/>
      </c>
    </row>
    <row r="26">
      <c r="AC26">
        <f>IFERROR(IF(INDEX(Aux_puntos!$A$2:$OJ$901,22,MATCH($B$2&amp;"|xK",Aux_puntos!$1:$1,0))="",NA(),INDEX(Aux_puntos!$A$2:$OJ$901,22,MATCH($B$2&amp;"|xK",Aux_puntos!$1:$1,0))),NA())</f>
        <v/>
      </c>
      <c r="AD26">
        <f>IFERROR(IF(INDEX(Aux_puntos!$A$2:$OJ$901,22,MATCH($B$2&amp;"|yK",Aux_puntos!$1:$1,0))="",NA(),INDEX(Aux_puntos!$A$2:$OJ$901,22,MATCH($B$2&amp;"|yK",Aux_puntos!$1:$1,0))),NA())</f>
        <v/>
      </c>
      <c r="AE26">
        <f>IFERROR(IF(INDEX(Aux_puntos!$A$2:$OJ$901,22,MATCH($B$2&amp;"|xC",Aux_puntos!$1:$1,0))="",NA(),INDEX(Aux_puntos!$A$2:$OJ$901,22,MATCH($B$2&amp;"|xC",Aux_puntos!$1:$1,0))),NA())</f>
        <v/>
      </c>
      <c r="AF26">
        <f>IFERROR(IF(INDEX(Aux_puntos!$A$2:$OJ$901,22,MATCH($B$2&amp;"|yC",Aux_puntos!$1:$1,0))="",NA(),INDEX(Aux_puntos!$A$2:$OJ$901,22,MATCH($B$2&amp;"|yC",Aux_puntos!$1:$1,0))),NA())</f>
        <v/>
      </c>
      <c r="AG26">
        <f>IFERROR(IF(INDEX(Aux_puntos!$A$2:$OJ$901,22,MATCH($B$2&amp;"|xI",Aux_puntos!$1:$1,0))="",NA(),INDEX(Aux_puntos!$A$2:$OJ$901,22,MATCH($B$2&amp;"|xI",Aux_puntos!$1:$1,0))),NA())</f>
        <v/>
      </c>
      <c r="AH26">
        <f>IFERROR(IF(INDEX(Aux_puntos!$A$2:$OJ$901,22,MATCH($B$2&amp;"|yI",Aux_puntos!$1:$1,0))="",NA(),INDEX(Aux_puntos!$A$2:$OJ$901,22,MATCH($B$2&amp;"|yI",Aux_puntos!$1:$1,0))),NA())</f>
        <v/>
      </c>
      <c r="AI26">
        <f>IFERROR(IF(INDEX(Aux_puntos!$A$2:$OJ$901,22,MATCH($B$2&amp;"|xN",Aux_puntos!$1:$1,0))="",NA(),INDEX(Aux_puntos!$A$2:$OJ$901,22,MATCH($B$2&amp;"|xN",Aux_puntos!$1:$1,0))),NA())</f>
        <v/>
      </c>
      <c r="AJ26">
        <f>IFERROR(IF(INDEX(Aux_puntos!$A$2:$OJ$901,22,MATCH($B$2&amp;"|yN",Aux_puntos!$1:$1,0))="",NA(),INDEX(Aux_puntos!$A$2:$OJ$901,22,MATCH($B$2&amp;"|yN",Aux_puntos!$1:$1,0))),NA())</f>
        <v/>
      </c>
    </row>
    <row r="27">
      <c r="AC27">
        <f>IFERROR(IF(INDEX(Aux_puntos!$A$2:$OJ$901,23,MATCH($B$2&amp;"|xK",Aux_puntos!$1:$1,0))="",NA(),INDEX(Aux_puntos!$A$2:$OJ$901,23,MATCH($B$2&amp;"|xK",Aux_puntos!$1:$1,0))),NA())</f>
        <v/>
      </c>
      <c r="AD27">
        <f>IFERROR(IF(INDEX(Aux_puntos!$A$2:$OJ$901,23,MATCH($B$2&amp;"|yK",Aux_puntos!$1:$1,0))="",NA(),INDEX(Aux_puntos!$A$2:$OJ$901,23,MATCH($B$2&amp;"|yK",Aux_puntos!$1:$1,0))),NA())</f>
        <v/>
      </c>
      <c r="AE27">
        <f>IFERROR(IF(INDEX(Aux_puntos!$A$2:$OJ$901,23,MATCH($B$2&amp;"|xC",Aux_puntos!$1:$1,0))="",NA(),INDEX(Aux_puntos!$A$2:$OJ$901,23,MATCH($B$2&amp;"|xC",Aux_puntos!$1:$1,0))),NA())</f>
        <v/>
      </c>
      <c r="AF27">
        <f>IFERROR(IF(INDEX(Aux_puntos!$A$2:$OJ$901,23,MATCH($B$2&amp;"|yC",Aux_puntos!$1:$1,0))="",NA(),INDEX(Aux_puntos!$A$2:$OJ$901,23,MATCH($B$2&amp;"|yC",Aux_puntos!$1:$1,0))),NA())</f>
        <v/>
      </c>
      <c r="AG27">
        <f>IFERROR(IF(INDEX(Aux_puntos!$A$2:$OJ$901,23,MATCH($B$2&amp;"|xI",Aux_puntos!$1:$1,0))="",NA(),INDEX(Aux_puntos!$A$2:$OJ$901,23,MATCH($B$2&amp;"|xI",Aux_puntos!$1:$1,0))),NA())</f>
        <v/>
      </c>
      <c r="AH27">
        <f>IFERROR(IF(INDEX(Aux_puntos!$A$2:$OJ$901,23,MATCH($B$2&amp;"|yI",Aux_puntos!$1:$1,0))="",NA(),INDEX(Aux_puntos!$A$2:$OJ$901,23,MATCH($B$2&amp;"|yI",Aux_puntos!$1:$1,0))),NA())</f>
        <v/>
      </c>
      <c r="AI27">
        <f>IFERROR(IF(INDEX(Aux_puntos!$A$2:$OJ$901,23,MATCH($B$2&amp;"|xN",Aux_puntos!$1:$1,0))="",NA(),INDEX(Aux_puntos!$A$2:$OJ$901,23,MATCH($B$2&amp;"|xN",Aux_puntos!$1:$1,0))),NA())</f>
        <v/>
      </c>
      <c r="AJ27">
        <f>IFERROR(IF(INDEX(Aux_puntos!$A$2:$OJ$901,23,MATCH($B$2&amp;"|yN",Aux_puntos!$1:$1,0))="",NA(),INDEX(Aux_puntos!$A$2:$OJ$901,23,MATCH($B$2&amp;"|yN",Aux_puntos!$1:$1,0))),NA())</f>
        <v/>
      </c>
    </row>
    <row r="28">
      <c r="AC28">
        <f>IFERROR(IF(INDEX(Aux_puntos!$A$2:$OJ$901,24,MATCH($B$2&amp;"|xK",Aux_puntos!$1:$1,0))="",NA(),INDEX(Aux_puntos!$A$2:$OJ$901,24,MATCH($B$2&amp;"|xK",Aux_puntos!$1:$1,0))),NA())</f>
        <v/>
      </c>
      <c r="AD28">
        <f>IFERROR(IF(INDEX(Aux_puntos!$A$2:$OJ$901,24,MATCH($B$2&amp;"|yK",Aux_puntos!$1:$1,0))="",NA(),INDEX(Aux_puntos!$A$2:$OJ$901,24,MATCH($B$2&amp;"|yK",Aux_puntos!$1:$1,0))),NA())</f>
        <v/>
      </c>
      <c r="AE28">
        <f>IFERROR(IF(INDEX(Aux_puntos!$A$2:$OJ$901,24,MATCH($B$2&amp;"|xC",Aux_puntos!$1:$1,0))="",NA(),INDEX(Aux_puntos!$A$2:$OJ$901,24,MATCH($B$2&amp;"|xC",Aux_puntos!$1:$1,0))),NA())</f>
        <v/>
      </c>
      <c r="AF28">
        <f>IFERROR(IF(INDEX(Aux_puntos!$A$2:$OJ$901,24,MATCH($B$2&amp;"|yC",Aux_puntos!$1:$1,0))="",NA(),INDEX(Aux_puntos!$A$2:$OJ$901,24,MATCH($B$2&amp;"|yC",Aux_puntos!$1:$1,0))),NA())</f>
        <v/>
      </c>
      <c r="AG28">
        <f>IFERROR(IF(INDEX(Aux_puntos!$A$2:$OJ$901,24,MATCH($B$2&amp;"|xI",Aux_puntos!$1:$1,0))="",NA(),INDEX(Aux_puntos!$A$2:$OJ$901,24,MATCH($B$2&amp;"|xI",Aux_puntos!$1:$1,0))),NA())</f>
        <v/>
      </c>
      <c r="AH28">
        <f>IFERROR(IF(INDEX(Aux_puntos!$A$2:$OJ$901,24,MATCH($B$2&amp;"|yI",Aux_puntos!$1:$1,0))="",NA(),INDEX(Aux_puntos!$A$2:$OJ$901,24,MATCH($B$2&amp;"|yI",Aux_puntos!$1:$1,0))),NA())</f>
        <v/>
      </c>
      <c r="AI28">
        <f>IFERROR(IF(INDEX(Aux_puntos!$A$2:$OJ$901,24,MATCH($B$2&amp;"|xN",Aux_puntos!$1:$1,0))="",NA(),INDEX(Aux_puntos!$A$2:$OJ$901,24,MATCH($B$2&amp;"|xN",Aux_puntos!$1:$1,0))),NA())</f>
        <v/>
      </c>
      <c r="AJ28">
        <f>IFERROR(IF(INDEX(Aux_puntos!$A$2:$OJ$901,24,MATCH($B$2&amp;"|yN",Aux_puntos!$1:$1,0))="",NA(),INDEX(Aux_puntos!$A$2:$OJ$901,24,MATCH($B$2&amp;"|yN",Aux_puntos!$1:$1,0))),NA())</f>
        <v/>
      </c>
    </row>
    <row r="29">
      <c r="AC29">
        <f>IFERROR(IF(INDEX(Aux_puntos!$A$2:$OJ$901,25,MATCH($B$2&amp;"|xK",Aux_puntos!$1:$1,0))="",NA(),INDEX(Aux_puntos!$A$2:$OJ$901,25,MATCH($B$2&amp;"|xK",Aux_puntos!$1:$1,0))),NA())</f>
        <v/>
      </c>
      <c r="AD29">
        <f>IFERROR(IF(INDEX(Aux_puntos!$A$2:$OJ$901,25,MATCH($B$2&amp;"|yK",Aux_puntos!$1:$1,0))="",NA(),INDEX(Aux_puntos!$A$2:$OJ$901,25,MATCH($B$2&amp;"|yK",Aux_puntos!$1:$1,0))),NA())</f>
        <v/>
      </c>
      <c r="AE29">
        <f>IFERROR(IF(INDEX(Aux_puntos!$A$2:$OJ$901,25,MATCH($B$2&amp;"|xC",Aux_puntos!$1:$1,0))="",NA(),INDEX(Aux_puntos!$A$2:$OJ$901,25,MATCH($B$2&amp;"|xC",Aux_puntos!$1:$1,0))),NA())</f>
        <v/>
      </c>
      <c r="AF29">
        <f>IFERROR(IF(INDEX(Aux_puntos!$A$2:$OJ$901,25,MATCH($B$2&amp;"|yC",Aux_puntos!$1:$1,0))="",NA(),INDEX(Aux_puntos!$A$2:$OJ$901,25,MATCH($B$2&amp;"|yC",Aux_puntos!$1:$1,0))),NA())</f>
        <v/>
      </c>
      <c r="AG29">
        <f>IFERROR(IF(INDEX(Aux_puntos!$A$2:$OJ$901,25,MATCH($B$2&amp;"|xI",Aux_puntos!$1:$1,0))="",NA(),INDEX(Aux_puntos!$A$2:$OJ$901,25,MATCH($B$2&amp;"|xI",Aux_puntos!$1:$1,0))),NA())</f>
        <v/>
      </c>
      <c r="AH29">
        <f>IFERROR(IF(INDEX(Aux_puntos!$A$2:$OJ$901,25,MATCH($B$2&amp;"|yI",Aux_puntos!$1:$1,0))="",NA(),INDEX(Aux_puntos!$A$2:$OJ$901,25,MATCH($B$2&amp;"|yI",Aux_puntos!$1:$1,0))),NA())</f>
        <v/>
      </c>
      <c r="AI29">
        <f>IFERROR(IF(INDEX(Aux_puntos!$A$2:$OJ$901,25,MATCH($B$2&amp;"|xN",Aux_puntos!$1:$1,0))="",NA(),INDEX(Aux_puntos!$A$2:$OJ$901,25,MATCH($B$2&amp;"|xN",Aux_puntos!$1:$1,0))),NA())</f>
        <v/>
      </c>
      <c r="AJ29">
        <f>IFERROR(IF(INDEX(Aux_puntos!$A$2:$OJ$901,25,MATCH($B$2&amp;"|yN",Aux_puntos!$1:$1,0))="",NA(),INDEX(Aux_puntos!$A$2:$OJ$901,25,MATCH($B$2&amp;"|yN",Aux_puntos!$1:$1,0))),NA())</f>
        <v/>
      </c>
    </row>
    <row r="30">
      <c r="AC30">
        <f>IFERROR(IF(INDEX(Aux_puntos!$A$2:$OJ$901,26,MATCH($B$2&amp;"|xK",Aux_puntos!$1:$1,0))="",NA(),INDEX(Aux_puntos!$A$2:$OJ$901,26,MATCH($B$2&amp;"|xK",Aux_puntos!$1:$1,0))),NA())</f>
        <v/>
      </c>
      <c r="AD30">
        <f>IFERROR(IF(INDEX(Aux_puntos!$A$2:$OJ$901,26,MATCH($B$2&amp;"|yK",Aux_puntos!$1:$1,0))="",NA(),INDEX(Aux_puntos!$A$2:$OJ$901,26,MATCH($B$2&amp;"|yK",Aux_puntos!$1:$1,0))),NA())</f>
        <v/>
      </c>
      <c r="AE30">
        <f>IFERROR(IF(INDEX(Aux_puntos!$A$2:$OJ$901,26,MATCH($B$2&amp;"|xC",Aux_puntos!$1:$1,0))="",NA(),INDEX(Aux_puntos!$A$2:$OJ$901,26,MATCH($B$2&amp;"|xC",Aux_puntos!$1:$1,0))),NA())</f>
        <v/>
      </c>
      <c r="AF30">
        <f>IFERROR(IF(INDEX(Aux_puntos!$A$2:$OJ$901,26,MATCH($B$2&amp;"|yC",Aux_puntos!$1:$1,0))="",NA(),INDEX(Aux_puntos!$A$2:$OJ$901,26,MATCH($B$2&amp;"|yC",Aux_puntos!$1:$1,0))),NA())</f>
        <v/>
      </c>
      <c r="AG30">
        <f>IFERROR(IF(INDEX(Aux_puntos!$A$2:$OJ$901,26,MATCH($B$2&amp;"|xI",Aux_puntos!$1:$1,0))="",NA(),INDEX(Aux_puntos!$A$2:$OJ$901,26,MATCH($B$2&amp;"|xI",Aux_puntos!$1:$1,0))),NA())</f>
        <v/>
      </c>
      <c r="AH30">
        <f>IFERROR(IF(INDEX(Aux_puntos!$A$2:$OJ$901,26,MATCH($B$2&amp;"|yI",Aux_puntos!$1:$1,0))="",NA(),INDEX(Aux_puntos!$A$2:$OJ$901,26,MATCH($B$2&amp;"|yI",Aux_puntos!$1:$1,0))),NA())</f>
        <v/>
      </c>
      <c r="AI30">
        <f>IFERROR(IF(INDEX(Aux_puntos!$A$2:$OJ$901,26,MATCH($B$2&amp;"|xN",Aux_puntos!$1:$1,0))="",NA(),INDEX(Aux_puntos!$A$2:$OJ$901,26,MATCH($B$2&amp;"|xN",Aux_puntos!$1:$1,0))),NA())</f>
        <v/>
      </c>
      <c r="AJ30">
        <f>IFERROR(IF(INDEX(Aux_puntos!$A$2:$OJ$901,26,MATCH($B$2&amp;"|yN",Aux_puntos!$1:$1,0))="",NA(),INDEX(Aux_puntos!$A$2:$OJ$901,26,MATCH($B$2&amp;"|yN",Aux_puntos!$1:$1,0))),NA())</f>
        <v/>
      </c>
    </row>
    <row r="31">
      <c r="AC31">
        <f>IFERROR(IF(INDEX(Aux_puntos!$A$2:$OJ$901,27,MATCH($B$2&amp;"|xK",Aux_puntos!$1:$1,0))="",NA(),INDEX(Aux_puntos!$A$2:$OJ$901,27,MATCH($B$2&amp;"|xK",Aux_puntos!$1:$1,0))),NA())</f>
        <v/>
      </c>
      <c r="AD31">
        <f>IFERROR(IF(INDEX(Aux_puntos!$A$2:$OJ$901,27,MATCH($B$2&amp;"|yK",Aux_puntos!$1:$1,0))="",NA(),INDEX(Aux_puntos!$A$2:$OJ$901,27,MATCH($B$2&amp;"|yK",Aux_puntos!$1:$1,0))),NA())</f>
        <v/>
      </c>
      <c r="AE31">
        <f>IFERROR(IF(INDEX(Aux_puntos!$A$2:$OJ$901,27,MATCH($B$2&amp;"|xC",Aux_puntos!$1:$1,0))="",NA(),INDEX(Aux_puntos!$A$2:$OJ$901,27,MATCH($B$2&amp;"|xC",Aux_puntos!$1:$1,0))),NA())</f>
        <v/>
      </c>
      <c r="AF31">
        <f>IFERROR(IF(INDEX(Aux_puntos!$A$2:$OJ$901,27,MATCH($B$2&amp;"|yC",Aux_puntos!$1:$1,0))="",NA(),INDEX(Aux_puntos!$A$2:$OJ$901,27,MATCH($B$2&amp;"|yC",Aux_puntos!$1:$1,0))),NA())</f>
        <v/>
      </c>
      <c r="AG31">
        <f>IFERROR(IF(INDEX(Aux_puntos!$A$2:$OJ$901,27,MATCH($B$2&amp;"|xI",Aux_puntos!$1:$1,0))="",NA(),INDEX(Aux_puntos!$A$2:$OJ$901,27,MATCH($B$2&amp;"|xI",Aux_puntos!$1:$1,0))),NA())</f>
        <v/>
      </c>
      <c r="AH31">
        <f>IFERROR(IF(INDEX(Aux_puntos!$A$2:$OJ$901,27,MATCH($B$2&amp;"|yI",Aux_puntos!$1:$1,0))="",NA(),INDEX(Aux_puntos!$A$2:$OJ$901,27,MATCH($B$2&amp;"|yI",Aux_puntos!$1:$1,0))),NA())</f>
        <v/>
      </c>
      <c r="AI31">
        <f>IFERROR(IF(INDEX(Aux_puntos!$A$2:$OJ$901,27,MATCH($B$2&amp;"|xN",Aux_puntos!$1:$1,0))="",NA(),INDEX(Aux_puntos!$A$2:$OJ$901,27,MATCH($B$2&amp;"|xN",Aux_puntos!$1:$1,0))),NA())</f>
        <v/>
      </c>
      <c r="AJ31">
        <f>IFERROR(IF(INDEX(Aux_puntos!$A$2:$OJ$901,27,MATCH($B$2&amp;"|yN",Aux_puntos!$1:$1,0))="",NA(),INDEX(Aux_puntos!$A$2:$OJ$901,27,MATCH($B$2&amp;"|yN",Aux_puntos!$1:$1,0))),NA())</f>
        <v/>
      </c>
    </row>
    <row r="32">
      <c r="AC32">
        <f>IFERROR(IF(INDEX(Aux_puntos!$A$2:$OJ$901,28,MATCH($B$2&amp;"|xK",Aux_puntos!$1:$1,0))="",NA(),INDEX(Aux_puntos!$A$2:$OJ$901,28,MATCH($B$2&amp;"|xK",Aux_puntos!$1:$1,0))),NA())</f>
        <v/>
      </c>
      <c r="AD32">
        <f>IFERROR(IF(INDEX(Aux_puntos!$A$2:$OJ$901,28,MATCH($B$2&amp;"|yK",Aux_puntos!$1:$1,0))="",NA(),INDEX(Aux_puntos!$A$2:$OJ$901,28,MATCH($B$2&amp;"|yK",Aux_puntos!$1:$1,0))),NA())</f>
        <v/>
      </c>
      <c r="AE32">
        <f>IFERROR(IF(INDEX(Aux_puntos!$A$2:$OJ$901,28,MATCH($B$2&amp;"|xC",Aux_puntos!$1:$1,0))="",NA(),INDEX(Aux_puntos!$A$2:$OJ$901,28,MATCH($B$2&amp;"|xC",Aux_puntos!$1:$1,0))),NA())</f>
        <v/>
      </c>
      <c r="AF32">
        <f>IFERROR(IF(INDEX(Aux_puntos!$A$2:$OJ$901,28,MATCH($B$2&amp;"|yC",Aux_puntos!$1:$1,0))="",NA(),INDEX(Aux_puntos!$A$2:$OJ$901,28,MATCH($B$2&amp;"|yC",Aux_puntos!$1:$1,0))),NA())</f>
        <v/>
      </c>
      <c r="AG32">
        <f>IFERROR(IF(INDEX(Aux_puntos!$A$2:$OJ$901,28,MATCH($B$2&amp;"|xI",Aux_puntos!$1:$1,0))="",NA(),INDEX(Aux_puntos!$A$2:$OJ$901,28,MATCH($B$2&amp;"|xI",Aux_puntos!$1:$1,0))),NA())</f>
        <v/>
      </c>
      <c r="AH32">
        <f>IFERROR(IF(INDEX(Aux_puntos!$A$2:$OJ$901,28,MATCH($B$2&amp;"|yI",Aux_puntos!$1:$1,0))="",NA(),INDEX(Aux_puntos!$A$2:$OJ$901,28,MATCH($B$2&amp;"|yI",Aux_puntos!$1:$1,0))),NA())</f>
        <v/>
      </c>
      <c r="AI32">
        <f>IFERROR(IF(INDEX(Aux_puntos!$A$2:$OJ$901,28,MATCH($B$2&amp;"|xN",Aux_puntos!$1:$1,0))="",NA(),INDEX(Aux_puntos!$A$2:$OJ$901,28,MATCH($B$2&amp;"|xN",Aux_puntos!$1:$1,0))),NA())</f>
        <v/>
      </c>
      <c r="AJ32">
        <f>IFERROR(IF(INDEX(Aux_puntos!$A$2:$OJ$901,28,MATCH($B$2&amp;"|yN",Aux_puntos!$1:$1,0))="",NA(),INDEX(Aux_puntos!$A$2:$OJ$901,28,MATCH($B$2&amp;"|yN",Aux_puntos!$1:$1,0))),NA())</f>
        <v/>
      </c>
    </row>
    <row r="33">
      <c r="AC33">
        <f>IFERROR(IF(INDEX(Aux_puntos!$A$2:$OJ$901,29,MATCH($B$2&amp;"|xK",Aux_puntos!$1:$1,0))="",NA(),INDEX(Aux_puntos!$A$2:$OJ$901,29,MATCH($B$2&amp;"|xK",Aux_puntos!$1:$1,0))),NA())</f>
        <v/>
      </c>
      <c r="AD33">
        <f>IFERROR(IF(INDEX(Aux_puntos!$A$2:$OJ$901,29,MATCH($B$2&amp;"|yK",Aux_puntos!$1:$1,0))="",NA(),INDEX(Aux_puntos!$A$2:$OJ$901,29,MATCH($B$2&amp;"|yK",Aux_puntos!$1:$1,0))),NA())</f>
        <v/>
      </c>
      <c r="AE33">
        <f>IFERROR(IF(INDEX(Aux_puntos!$A$2:$OJ$901,29,MATCH($B$2&amp;"|xC",Aux_puntos!$1:$1,0))="",NA(),INDEX(Aux_puntos!$A$2:$OJ$901,29,MATCH($B$2&amp;"|xC",Aux_puntos!$1:$1,0))),NA())</f>
        <v/>
      </c>
      <c r="AF33">
        <f>IFERROR(IF(INDEX(Aux_puntos!$A$2:$OJ$901,29,MATCH($B$2&amp;"|yC",Aux_puntos!$1:$1,0))="",NA(),INDEX(Aux_puntos!$A$2:$OJ$901,29,MATCH($B$2&amp;"|yC",Aux_puntos!$1:$1,0))),NA())</f>
        <v/>
      </c>
      <c r="AG33">
        <f>IFERROR(IF(INDEX(Aux_puntos!$A$2:$OJ$901,29,MATCH($B$2&amp;"|xI",Aux_puntos!$1:$1,0))="",NA(),INDEX(Aux_puntos!$A$2:$OJ$901,29,MATCH($B$2&amp;"|xI",Aux_puntos!$1:$1,0))),NA())</f>
        <v/>
      </c>
      <c r="AH33">
        <f>IFERROR(IF(INDEX(Aux_puntos!$A$2:$OJ$901,29,MATCH($B$2&amp;"|yI",Aux_puntos!$1:$1,0))="",NA(),INDEX(Aux_puntos!$A$2:$OJ$901,29,MATCH($B$2&amp;"|yI",Aux_puntos!$1:$1,0))),NA())</f>
        <v/>
      </c>
      <c r="AI33">
        <f>IFERROR(IF(INDEX(Aux_puntos!$A$2:$OJ$901,29,MATCH($B$2&amp;"|xN",Aux_puntos!$1:$1,0))="",NA(),INDEX(Aux_puntos!$A$2:$OJ$901,29,MATCH($B$2&amp;"|xN",Aux_puntos!$1:$1,0))),NA())</f>
        <v/>
      </c>
      <c r="AJ33">
        <f>IFERROR(IF(INDEX(Aux_puntos!$A$2:$OJ$901,29,MATCH($B$2&amp;"|yN",Aux_puntos!$1:$1,0))="",NA(),INDEX(Aux_puntos!$A$2:$OJ$901,29,MATCH($B$2&amp;"|yN",Aux_puntos!$1:$1,0))),NA())</f>
        <v/>
      </c>
    </row>
    <row r="34">
      <c r="AC34">
        <f>IFERROR(IF(INDEX(Aux_puntos!$A$2:$OJ$901,30,MATCH($B$2&amp;"|xK",Aux_puntos!$1:$1,0))="",NA(),INDEX(Aux_puntos!$A$2:$OJ$901,30,MATCH($B$2&amp;"|xK",Aux_puntos!$1:$1,0))),NA())</f>
        <v/>
      </c>
      <c r="AD34">
        <f>IFERROR(IF(INDEX(Aux_puntos!$A$2:$OJ$901,30,MATCH($B$2&amp;"|yK",Aux_puntos!$1:$1,0))="",NA(),INDEX(Aux_puntos!$A$2:$OJ$901,30,MATCH($B$2&amp;"|yK",Aux_puntos!$1:$1,0))),NA())</f>
        <v/>
      </c>
      <c r="AE34">
        <f>IFERROR(IF(INDEX(Aux_puntos!$A$2:$OJ$901,30,MATCH($B$2&amp;"|xC",Aux_puntos!$1:$1,0))="",NA(),INDEX(Aux_puntos!$A$2:$OJ$901,30,MATCH($B$2&amp;"|xC",Aux_puntos!$1:$1,0))),NA())</f>
        <v/>
      </c>
      <c r="AF34">
        <f>IFERROR(IF(INDEX(Aux_puntos!$A$2:$OJ$901,30,MATCH($B$2&amp;"|yC",Aux_puntos!$1:$1,0))="",NA(),INDEX(Aux_puntos!$A$2:$OJ$901,30,MATCH($B$2&amp;"|yC",Aux_puntos!$1:$1,0))),NA())</f>
        <v/>
      </c>
      <c r="AG34">
        <f>IFERROR(IF(INDEX(Aux_puntos!$A$2:$OJ$901,30,MATCH($B$2&amp;"|xI",Aux_puntos!$1:$1,0))="",NA(),INDEX(Aux_puntos!$A$2:$OJ$901,30,MATCH($B$2&amp;"|xI",Aux_puntos!$1:$1,0))),NA())</f>
        <v/>
      </c>
      <c r="AH34">
        <f>IFERROR(IF(INDEX(Aux_puntos!$A$2:$OJ$901,30,MATCH($B$2&amp;"|yI",Aux_puntos!$1:$1,0))="",NA(),INDEX(Aux_puntos!$A$2:$OJ$901,30,MATCH($B$2&amp;"|yI",Aux_puntos!$1:$1,0))),NA())</f>
        <v/>
      </c>
      <c r="AI34">
        <f>IFERROR(IF(INDEX(Aux_puntos!$A$2:$OJ$901,30,MATCH($B$2&amp;"|xN",Aux_puntos!$1:$1,0))="",NA(),INDEX(Aux_puntos!$A$2:$OJ$901,30,MATCH($B$2&amp;"|xN",Aux_puntos!$1:$1,0))),NA())</f>
        <v/>
      </c>
      <c r="AJ34">
        <f>IFERROR(IF(INDEX(Aux_puntos!$A$2:$OJ$901,30,MATCH($B$2&amp;"|yN",Aux_puntos!$1:$1,0))="",NA(),INDEX(Aux_puntos!$A$2:$OJ$901,30,MATCH($B$2&amp;"|yN",Aux_puntos!$1:$1,0))),NA())</f>
        <v/>
      </c>
    </row>
    <row r="35">
      <c r="AC35">
        <f>IFERROR(IF(INDEX(Aux_puntos!$A$2:$OJ$901,31,MATCH($B$2&amp;"|xK",Aux_puntos!$1:$1,0))="",NA(),INDEX(Aux_puntos!$A$2:$OJ$901,31,MATCH($B$2&amp;"|xK",Aux_puntos!$1:$1,0))),NA())</f>
        <v/>
      </c>
      <c r="AD35">
        <f>IFERROR(IF(INDEX(Aux_puntos!$A$2:$OJ$901,31,MATCH($B$2&amp;"|yK",Aux_puntos!$1:$1,0))="",NA(),INDEX(Aux_puntos!$A$2:$OJ$901,31,MATCH($B$2&amp;"|yK",Aux_puntos!$1:$1,0))),NA())</f>
        <v/>
      </c>
      <c r="AE35">
        <f>IFERROR(IF(INDEX(Aux_puntos!$A$2:$OJ$901,31,MATCH($B$2&amp;"|xC",Aux_puntos!$1:$1,0))="",NA(),INDEX(Aux_puntos!$A$2:$OJ$901,31,MATCH($B$2&amp;"|xC",Aux_puntos!$1:$1,0))),NA())</f>
        <v/>
      </c>
      <c r="AF35">
        <f>IFERROR(IF(INDEX(Aux_puntos!$A$2:$OJ$901,31,MATCH($B$2&amp;"|yC",Aux_puntos!$1:$1,0))="",NA(),INDEX(Aux_puntos!$A$2:$OJ$901,31,MATCH($B$2&amp;"|yC",Aux_puntos!$1:$1,0))),NA())</f>
        <v/>
      </c>
      <c r="AG35">
        <f>IFERROR(IF(INDEX(Aux_puntos!$A$2:$OJ$901,31,MATCH($B$2&amp;"|xI",Aux_puntos!$1:$1,0))="",NA(),INDEX(Aux_puntos!$A$2:$OJ$901,31,MATCH($B$2&amp;"|xI",Aux_puntos!$1:$1,0))),NA())</f>
        <v/>
      </c>
      <c r="AH35">
        <f>IFERROR(IF(INDEX(Aux_puntos!$A$2:$OJ$901,31,MATCH($B$2&amp;"|yI",Aux_puntos!$1:$1,0))="",NA(),INDEX(Aux_puntos!$A$2:$OJ$901,31,MATCH($B$2&amp;"|yI",Aux_puntos!$1:$1,0))),NA())</f>
        <v/>
      </c>
      <c r="AI35">
        <f>IFERROR(IF(INDEX(Aux_puntos!$A$2:$OJ$901,31,MATCH($B$2&amp;"|xN",Aux_puntos!$1:$1,0))="",NA(),INDEX(Aux_puntos!$A$2:$OJ$901,31,MATCH($B$2&amp;"|xN",Aux_puntos!$1:$1,0))),NA())</f>
        <v/>
      </c>
      <c r="AJ35">
        <f>IFERROR(IF(INDEX(Aux_puntos!$A$2:$OJ$901,31,MATCH($B$2&amp;"|yN",Aux_puntos!$1:$1,0))="",NA(),INDEX(Aux_puntos!$A$2:$OJ$901,31,MATCH($B$2&amp;"|yN",Aux_puntos!$1:$1,0))),NA())</f>
        <v/>
      </c>
    </row>
    <row r="36">
      <c r="AC36">
        <f>IFERROR(IF(INDEX(Aux_puntos!$A$2:$OJ$901,32,MATCH($B$2&amp;"|xK",Aux_puntos!$1:$1,0))="",NA(),INDEX(Aux_puntos!$A$2:$OJ$901,32,MATCH($B$2&amp;"|xK",Aux_puntos!$1:$1,0))),NA())</f>
        <v/>
      </c>
      <c r="AD36">
        <f>IFERROR(IF(INDEX(Aux_puntos!$A$2:$OJ$901,32,MATCH($B$2&amp;"|yK",Aux_puntos!$1:$1,0))="",NA(),INDEX(Aux_puntos!$A$2:$OJ$901,32,MATCH($B$2&amp;"|yK",Aux_puntos!$1:$1,0))),NA())</f>
        <v/>
      </c>
      <c r="AE36">
        <f>IFERROR(IF(INDEX(Aux_puntos!$A$2:$OJ$901,32,MATCH($B$2&amp;"|xC",Aux_puntos!$1:$1,0))="",NA(),INDEX(Aux_puntos!$A$2:$OJ$901,32,MATCH($B$2&amp;"|xC",Aux_puntos!$1:$1,0))),NA())</f>
        <v/>
      </c>
      <c r="AF36">
        <f>IFERROR(IF(INDEX(Aux_puntos!$A$2:$OJ$901,32,MATCH($B$2&amp;"|yC",Aux_puntos!$1:$1,0))="",NA(),INDEX(Aux_puntos!$A$2:$OJ$901,32,MATCH($B$2&amp;"|yC",Aux_puntos!$1:$1,0))),NA())</f>
        <v/>
      </c>
      <c r="AG36">
        <f>IFERROR(IF(INDEX(Aux_puntos!$A$2:$OJ$901,32,MATCH($B$2&amp;"|xI",Aux_puntos!$1:$1,0))="",NA(),INDEX(Aux_puntos!$A$2:$OJ$901,32,MATCH($B$2&amp;"|xI",Aux_puntos!$1:$1,0))),NA())</f>
        <v/>
      </c>
      <c r="AH36">
        <f>IFERROR(IF(INDEX(Aux_puntos!$A$2:$OJ$901,32,MATCH($B$2&amp;"|yI",Aux_puntos!$1:$1,0))="",NA(),INDEX(Aux_puntos!$A$2:$OJ$901,32,MATCH($B$2&amp;"|yI",Aux_puntos!$1:$1,0))),NA())</f>
        <v/>
      </c>
      <c r="AI36">
        <f>IFERROR(IF(INDEX(Aux_puntos!$A$2:$OJ$901,32,MATCH($B$2&amp;"|xN",Aux_puntos!$1:$1,0))="",NA(),INDEX(Aux_puntos!$A$2:$OJ$901,32,MATCH($B$2&amp;"|xN",Aux_puntos!$1:$1,0))),NA())</f>
        <v/>
      </c>
      <c r="AJ36">
        <f>IFERROR(IF(INDEX(Aux_puntos!$A$2:$OJ$901,32,MATCH($B$2&amp;"|yN",Aux_puntos!$1:$1,0))="",NA(),INDEX(Aux_puntos!$A$2:$OJ$901,32,MATCH($B$2&amp;"|yN",Aux_puntos!$1:$1,0))),NA())</f>
        <v/>
      </c>
    </row>
    <row r="37">
      <c r="AC37">
        <f>IFERROR(IF(INDEX(Aux_puntos!$A$2:$OJ$901,33,MATCH($B$2&amp;"|xK",Aux_puntos!$1:$1,0))="",NA(),INDEX(Aux_puntos!$A$2:$OJ$901,33,MATCH($B$2&amp;"|xK",Aux_puntos!$1:$1,0))),NA())</f>
        <v/>
      </c>
      <c r="AD37">
        <f>IFERROR(IF(INDEX(Aux_puntos!$A$2:$OJ$901,33,MATCH($B$2&amp;"|yK",Aux_puntos!$1:$1,0))="",NA(),INDEX(Aux_puntos!$A$2:$OJ$901,33,MATCH($B$2&amp;"|yK",Aux_puntos!$1:$1,0))),NA())</f>
        <v/>
      </c>
      <c r="AE37">
        <f>IFERROR(IF(INDEX(Aux_puntos!$A$2:$OJ$901,33,MATCH($B$2&amp;"|xC",Aux_puntos!$1:$1,0))="",NA(),INDEX(Aux_puntos!$A$2:$OJ$901,33,MATCH($B$2&amp;"|xC",Aux_puntos!$1:$1,0))),NA())</f>
        <v/>
      </c>
      <c r="AF37">
        <f>IFERROR(IF(INDEX(Aux_puntos!$A$2:$OJ$901,33,MATCH($B$2&amp;"|yC",Aux_puntos!$1:$1,0))="",NA(),INDEX(Aux_puntos!$A$2:$OJ$901,33,MATCH($B$2&amp;"|yC",Aux_puntos!$1:$1,0))),NA())</f>
        <v/>
      </c>
      <c r="AG37">
        <f>IFERROR(IF(INDEX(Aux_puntos!$A$2:$OJ$901,33,MATCH($B$2&amp;"|xI",Aux_puntos!$1:$1,0))="",NA(),INDEX(Aux_puntos!$A$2:$OJ$901,33,MATCH($B$2&amp;"|xI",Aux_puntos!$1:$1,0))),NA())</f>
        <v/>
      </c>
      <c r="AH37">
        <f>IFERROR(IF(INDEX(Aux_puntos!$A$2:$OJ$901,33,MATCH($B$2&amp;"|yI",Aux_puntos!$1:$1,0))="",NA(),INDEX(Aux_puntos!$A$2:$OJ$901,33,MATCH($B$2&amp;"|yI",Aux_puntos!$1:$1,0))),NA())</f>
        <v/>
      </c>
      <c r="AI37">
        <f>IFERROR(IF(INDEX(Aux_puntos!$A$2:$OJ$901,33,MATCH($B$2&amp;"|xN",Aux_puntos!$1:$1,0))="",NA(),INDEX(Aux_puntos!$A$2:$OJ$901,33,MATCH($B$2&amp;"|xN",Aux_puntos!$1:$1,0))),NA())</f>
        <v/>
      </c>
      <c r="AJ37">
        <f>IFERROR(IF(INDEX(Aux_puntos!$A$2:$OJ$901,33,MATCH($B$2&amp;"|yN",Aux_puntos!$1:$1,0))="",NA(),INDEX(Aux_puntos!$A$2:$OJ$901,33,MATCH($B$2&amp;"|yN",Aux_puntos!$1:$1,0))),NA())</f>
        <v/>
      </c>
    </row>
    <row r="38">
      <c r="AC38">
        <f>IFERROR(IF(INDEX(Aux_puntos!$A$2:$OJ$901,34,MATCH($B$2&amp;"|xK",Aux_puntos!$1:$1,0))="",NA(),INDEX(Aux_puntos!$A$2:$OJ$901,34,MATCH($B$2&amp;"|xK",Aux_puntos!$1:$1,0))),NA())</f>
        <v/>
      </c>
      <c r="AD38">
        <f>IFERROR(IF(INDEX(Aux_puntos!$A$2:$OJ$901,34,MATCH($B$2&amp;"|yK",Aux_puntos!$1:$1,0))="",NA(),INDEX(Aux_puntos!$A$2:$OJ$901,34,MATCH($B$2&amp;"|yK",Aux_puntos!$1:$1,0))),NA())</f>
        <v/>
      </c>
      <c r="AE38">
        <f>IFERROR(IF(INDEX(Aux_puntos!$A$2:$OJ$901,34,MATCH($B$2&amp;"|xC",Aux_puntos!$1:$1,0))="",NA(),INDEX(Aux_puntos!$A$2:$OJ$901,34,MATCH($B$2&amp;"|xC",Aux_puntos!$1:$1,0))),NA())</f>
        <v/>
      </c>
      <c r="AF38">
        <f>IFERROR(IF(INDEX(Aux_puntos!$A$2:$OJ$901,34,MATCH($B$2&amp;"|yC",Aux_puntos!$1:$1,0))="",NA(),INDEX(Aux_puntos!$A$2:$OJ$901,34,MATCH($B$2&amp;"|yC",Aux_puntos!$1:$1,0))),NA())</f>
        <v/>
      </c>
      <c r="AG38">
        <f>IFERROR(IF(INDEX(Aux_puntos!$A$2:$OJ$901,34,MATCH($B$2&amp;"|xI",Aux_puntos!$1:$1,0))="",NA(),INDEX(Aux_puntos!$A$2:$OJ$901,34,MATCH($B$2&amp;"|xI",Aux_puntos!$1:$1,0))),NA())</f>
        <v/>
      </c>
      <c r="AH38">
        <f>IFERROR(IF(INDEX(Aux_puntos!$A$2:$OJ$901,34,MATCH($B$2&amp;"|yI",Aux_puntos!$1:$1,0))="",NA(),INDEX(Aux_puntos!$A$2:$OJ$901,34,MATCH($B$2&amp;"|yI",Aux_puntos!$1:$1,0))),NA())</f>
        <v/>
      </c>
      <c r="AI38">
        <f>IFERROR(IF(INDEX(Aux_puntos!$A$2:$OJ$901,34,MATCH($B$2&amp;"|xN",Aux_puntos!$1:$1,0))="",NA(),INDEX(Aux_puntos!$A$2:$OJ$901,34,MATCH($B$2&amp;"|xN",Aux_puntos!$1:$1,0))),NA())</f>
        <v/>
      </c>
      <c r="AJ38">
        <f>IFERROR(IF(INDEX(Aux_puntos!$A$2:$OJ$901,34,MATCH($B$2&amp;"|yN",Aux_puntos!$1:$1,0))="",NA(),INDEX(Aux_puntos!$A$2:$OJ$901,34,MATCH($B$2&amp;"|yN",Aux_puntos!$1:$1,0))),NA())</f>
        <v/>
      </c>
    </row>
    <row r="39">
      <c r="AC39">
        <f>IFERROR(IF(INDEX(Aux_puntos!$A$2:$OJ$901,35,MATCH($B$2&amp;"|xK",Aux_puntos!$1:$1,0))="",NA(),INDEX(Aux_puntos!$A$2:$OJ$901,35,MATCH($B$2&amp;"|xK",Aux_puntos!$1:$1,0))),NA())</f>
        <v/>
      </c>
      <c r="AD39">
        <f>IFERROR(IF(INDEX(Aux_puntos!$A$2:$OJ$901,35,MATCH($B$2&amp;"|yK",Aux_puntos!$1:$1,0))="",NA(),INDEX(Aux_puntos!$A$2:$OJ$901,35,MATCH($B$2&amp;"|yK",Aux_puntos!$1:$1,0))),NA())</f>
        <v/>
      </c>
      <c r="AE39">
        <f>IFERROR(IF(INDEX(Aux_puntos!$A$2:$OJ$901,35,MATCH($B$2&amp;"|xC",Aux_puntos!$1:$1,0))="",NA(),INDEX(Aux_puntos!$A$2:$OJ$901,35,MATCH($B$2&amp;"|xC",Aux_puntos!$1:$1,0))),NA())</f>
        <v/>
      </c>
      <c r="AF39">
        <f>IFERROR(IF(INDEX(Aux_puntos!$A$2:$OJ$901,35,MATCH($B$2&amp;"|yC",Aux_puntos!$1:$1,0))="",NA(),INDEX(Aux_puntos!$A$2:$OJ$901,35,MATCH($B$2&amp;"|yC",Aux_puntos!$1:$1,0))),NA())</f>
        <v/>
      </c>
      <c r="AG39">
        <f>IFERROR(IF(INDEX(Aux_puntos!$A$2:$OJ$901,35,MATCH($B$2&amp;"|xI",Aux_puntos!$1:$1,0))="",NA(),INDEX(Aux_puntos!$A$2:$OJ$901,35,MATCH($B$2&amp;"|xI",Aux_puntos!$1:$1,0))),NA())</f>
        <v/>
      </c>
      <c r="AH39">
        <f>IFERROR(IF(INDEX(Aux_puntos!$A$2:$OJ$901,35,MATCH($B$2&amp;"|yI",Aux_puntos!$1:$1,0))="",NA(),INDEX(Aux_puntos!$A$2:$OJ$901,35,MATCH($B$2&amp;"|yI",Aux_puntos!$1:$1,0))),NA())</f>
        <v/>
      </c>
      <c r="AI39">
        <f>IFERROR(IF(INDEX(Aux_puntos!$A$2:$OJ$901,35,MATCH($B$2&amp;"|xN",Aux_puntos!$1:$1,0))="",NA(),INDEX(Aux_puntos!$A$2:$OJ$901,35,MATCH($B$2&amp;"|xN",Aux_puntos!$1:$1,0))),NA())</f>
        <v/>
      </c>
      <c r="AJ39">
        <f>IFERROR(IF(INDEX(Aux_puntos!$A$2:$OJ$901,35,MATCH($B$2&amp;"|yN",Aux_puntos!$1:$1,0))="",NA(),INDEX(Aux_puntos!$A$2:$OJ$901,35,MATCH($B$2&amp;"|yN",Aux_puntos!$1:$1,0))),NA())</f>
        <v/>
      </c>
    </row>
    <row r="40">
      <c r="AC40">
        <f>IFERROR(IF(INDEX(Aux_puntos!$A$2:$OJ$901,36,MATCH($B$2&amp;"|xK",Aux_puntos!$1:$1,0))="",NA(),INDEX(Aux_puntos!$A$2:$OJ$901,36,MATCH($B$2&amp;"|xK",Aux_puntos!$1:$1,0))),NA())</f>
        <v/>
      </c>
      <c r="AD40">
        <f>IFERROR(IF(INDEX(Aux_puntos!$A$2:$OJ$901,36,MATCH($B$2&amp;"|yK",Aux_puntos!$1:$1,0))="",NA(),INDEX(Aux_puntos!$A$2:$OJ$901,36,MATCH($B$2&amp;"|yK",Aux_puntos!$1:$1,0))),NA())</f>
        <v/>
      </c>
      <c r="AE40">
        <f>IFERROR(IF(INDEX(Aux_puntos!$A$2:$OJ$901,36,MATCH($B$2&amp;"|xC",Aux_puntos!$1:$1,0))="",NA(),INDEX(Aux_puntos!$A$2:$OJ$901,36,MATCH($B$2&amp;"|xC",Aux_puntos!$1:$1,0))),NA())</f>
        <v/>
      </c>
      <c r="AF40">
        <f>IFERROR(IF(INDEX(Aux_puntos!$A$2:$OJ$901,36,MATCH($B$2&amp;"|yC",Aux_puntos!$1:$1,0))="",NA(),INDEX(Aux_puntos!$A$2:$OJ$901,36,MATCH($B$2&amp;"|yC",Aux_puntos!$1:$1,0))),NA())</f>
        <v/>
      </c>
      <c r="AG40">
        <f>IFERROR(IF(INDEX(Aux_puntos!$A$2:$OJ$901,36,MATCH($B$2&amp;"|xI",Aux_puntos!$1:$1,0))="",NA(),INDEX(Aux_puntos!$A$2:$OJ$901,36,MATCH($B$2&amp;"|xI",Aux_puntos!$1:$1,0))),NA())</f>
        <v/>
      </c>
      <c r="AH40">
        <f>IFERROR(IF(INDEX(Aux_puntos!$A$2:$OJ$901,36,MATCH($B$2&amp;"|yI",Aux_puntos!$1:$1,0))="",NA(),INDEX(Aux_puntos!$A$2:$OJ$901,36,MATCH($B$2&amp;"|yI",Aux_puntos!$1:$1,0))),NA())</f>
        <v/>
      </c>
      <c r="AI40">
        <f>IFERROR(IF(INDEX(Aux_puntos!$A$2:$OJ$901,36,MATCH($B$2&amp;"|xN",Aux_puntos!$1:$1,0))="",NA(),INDEX(Aux_puntos!$A$2:$OJ$901,36,MATCH($B$2&amp;"|xN",Aux_puntos!$1:$1,0))),NA())</f>
        <v/>
      </c>
      <c r="AJ40">
        <f>IFERROR(IF(INDEX(Aux_puntos!$A$2:$OJ$901,36,MATCH($B$2&amp;"|yN",Aux_puntos!$1:$1,0))="",NA(),INDEX(Aux_puntos!$A$2:$OJ$901,36,MATCH($B$2&amp;"|yN",Aux_puntos!$1:$1,0))),NA())</f>
        <v/>
      </c>
    </row>
    <row r="41">
      <c r="AC41">
        <f>IFERROR(IF(INDEX(Aux_puntos!$A$2:$OJ$901,37,MATCH($B$2&amp;"|xK",Aux_puntos!$1:$1,0))="",NA(),INDEX(Aux_puntos!$A$2:$OJ$901,37,MATCH($B$2&amp;"|xK",Aux_puntos!$1:$1,0))),NA())</f>
        <v/>
      </c>
      <c r="AD41">
        <f>IFERROR(IF(INDEX(Aux_puntos!$A$2:$OJ$901,37,MATCH($B$2&amp;"|yK",Aux_puntos!$1:$1,0))="",NA(),INDEX(Aux_puntos!$A$2:$OJ$901,37,MATCH($B$2&amp;"|yK",Aux_puntos!$1:$1,0))),NA())</f>
        <v/>
      </c>
      <c r="AE41">
        <f>IFERROR(IF(INDEX(Aux_puntos!$A$2:$OJ$901,37,MATCH($B$2&amp;"|xC",Aux_puntos!$1:$1,0))="",NA(),INDEX(Aux_puntos!$A$2:$OJ$901,37,MATCH($B$2&amp;"|xC",Aux_puntos!$1:$1,0))),NA())</f>
        <v/>
      </c>
      <c r="AF41">
        <f>IFERROR(IF(INDEX(Aux_puntos!$A$2:$OJ$901,37,MATCH($B$2&amp;"|yC",Aux_puntos!$1:$1,0))="",NA(),INDEX(Aux_puntos!$A$2:$OJ$901,37,MATCH($B$2&amp;"|yC",Aux_puntos!$1:$1,0))),NA())</f>
        <v/>
      </c>
      <c r="AG41">
        <f>IFERROR(IF(INDEX(Aux_puntos!$A$2:$OJ$901,37,MATCH($B$2&amp;"|xI",Aux_puntos!$1:$1,0))="",NA(),INDEX(Aux_puntos!$A$2:$OJ$901,37,MATCH($B$2&amp;"|xI",Aux_puntos!$1:$1,0))),NA())</f>
        <v/>
      </c>
      <c r="AH41">
        <f>IFERROR(IF(INDEX(Aux_puntos!$A$2:$OJ$901,37,MATCH($B$2&amp;"|yI",Aux_puntos!$1:$1,0))="",NA(),INDEX(Aux_puntos!$A$2:$OJ$901,37,MATCH($B$2&amp;"|yI",Aux_puntos!$1:$1,0))),NA())</f>
        <v/>
      </c>
      <c r="AI41">
        <f>IFERROR(IF(INDEX(Aux_puntos!$A$2:$OJ$901,37,MATCH($B$2&amp;"|xN",Aux_puntos!$1:$1,0))="",NA(),INDEX(Aux_puntos!$A$2:$OJ$901,37,MATCH($B$2&amp;"|xN",Aux_puntos!$1:$1,0))),NA())</f>
        <v/>
      </c>
      <c r="AJ41">
        <f>IFERROR(IF(INDEX(Aux_puntos!$A$2:$OJ$901,37,MATCH($B$2&amp;"|yN",Aux_puntos!$1:$1,0))="",NA(),INDEX(Aux_puntos!$A$2:$OJ$901,37,MATCH($B$2&amp;"|yN",Aux_puntos!$1:$1,0))),NA())</f>
        <v/>
      </c>
    </row>
    <row r="42">
      <c r="AC42">
        <f>IFERROR(IF(INDEX(Aux_puntos!$A$2:$OJ$901,38,MATCH($B$2&amp;"|xK",Aux_puntos!$1:$1,0))="",NA(),INDEX(Aux_puntos!$A$2:$OJ$901,38,MATCH($B$2&amp;"|xK",Aux_puntos!$1:$1,0))),NA())</f>
        <v/>
      </c>
      <c r="AD42">
        <f>IFERROR(IF(INDEX(Aux_puntos!$A$2:$OJ$901,38,MATCH($B$2&amp;"|yK",Aux_puntos!$1:$1,0))="",NA(),INDEX(Aux_puntos!$A$2:$OJ$901,38,MATCH($B$2&amp;"|yK",Aux_puntos!$1:$1,0))),NA())</f>
        <v/>
      </c>
      <c r="AE42">
        <f>IFERROR(IF(INDEX(Aux_puntos!$A$2:$OJ$901,38,MATCH($B$2&amp;"|xC",Aux_puntos!$1:$1,0))="",NA(),INDEX(Aux_puntos!$A$2:$OJ$901,38,MATCH($B$2&amp;"|xC",Aux_puntos!$1:$1,0))),NA())</f>
        <v/>
      </c>
      <c r="AF42">
        <f>IFERROR(IF(INDEX(Aux_puntos!$A$2:$OJ$901,38,MATCH($B$2&amp;"|yC",Aux_puntos!$1:$1,0))="",NA(),INDEX(Aux_puntos!$A$2:$OJ$901,38,MATCH($B$2&amp;"|yC",Aux_puntos!$1:$1,0))),NA())</f>
        <v/>
      </c>
      <c r="AG42">
        <f>IFERROR(IF(INDEX(Aux_puntos!$A$2:$OJ$901,38,MATCH($B$2&amp;"|xI",Aux_puntos!$1:$1,0))="",NA(),INDEX(Aux_puntos!$A$2:$OJ$901,38,MATCH($B$2&amp;"|xI",Aux_puntos!$1:$1,0))),NA())</f>
        <v/>
      </c>
      <c r="AH42">
        <f>IFERROR(IF(INDEX(Aux_puntos!$A$2:$OJ$901,38,MATCH($B$2&amp;"|yI",Aux_puntos!$1:$1,0))="",NA(),INDEX(Aux_puntos!$A$2:$OJ$901,38,MATCH($B$2&amp;"|yI",Aux_puntos!$1:$1,0))),NA())</f>
        <v/>
      </c>
      <c r="AI42">
        <f>IFERROR(IF(INDEX(Aux_puntos!$A$2:$OJ$901,38,MATCH($B$2&amp;"|xN",Aux_puntos!$1:$1,0))="",NA(),INDEX(Aux_puntos!$A$2:$OJ$901,38,MATCH($B$2&amp;"|xN",Aux_puntos!$1:$1,0))),NA())</f>
        <v/>
      </c>
      <c r="AJ42">
        <f>IFERROR(IF(INDEX(Aux_puntos!$A$2:$OJ$901,38,MATCH($B$2&amp;"|yN",Aux_puntos!$1:$1,0))="",NA(),INDEX(Aux_puntos!$A$2:$OJ$901,38,MATCH($B$2&amp;"|yN",Aux_puntos!$1:$1,0))),NA())</f>
        <v/>
      </c>
    </row>
    <row r="43">
      <c r="AC43">
        <f>IFERROR(IF(INDEX(Aux_puntos!$A$2:$OJ$901,39,MATCH($B$2&amp;"|xK",Aux_puntos!$1:$1,0))="",NA(),INDEX(Aux_puntos!$A$2:$OJ$901,39,MATCH($B$2&amp;"|xK",Aux_puntos!$1:$1,0))),NA())</f>
        <v/>
      </c>
      <c r="AD43">
        <f>IFERROR(IF(INDEX(Aux_puntos!$A$2:$OJ$901,39,MATCH($B$2&amp;"|yK",Aux_puntos!$1:$1,0))="",NA(),INDEX(Aux_puntos!$A$2:$OJ$901,39,MATCH($B$2&amp;"|yK",Aux_puntos!$1:$1,0))),NA())</f>
        <v/>
      </c>
      <c r="AE43">
        <f>IFERROR(IF(INDEX(Aux_puntos!$A$2:$OJ$901,39,MATCH($B$2&amp;"|xC",Aux_puntos!$1:$1,0))="",NA(),INDEX(Aux_puntos!$A$2:$OJ$901,39,MATCH($B$2&amp;"|xC",Aux_puntos!$1:$1,0))),NA())</f>
        <v/>
      </c>
      <c r="AF43">
        <f>IFERROR(IF(INDEX(Aux_puntos!$A$2:$OJ$901,39,MATCH($B$2&amp;"|yC",Aux_puntos!$1:$1,0))="",NA(),INDEX(Aux_puntos!$A$2:$OJ$901,39,MATCH($B$2&amp;"|yC",Aux_puntos!$1:$1,0))),NA())</f>
        <v/>
      </c>
      <c r="AG43">
        <f>IFERROR(IF(INDEX(Aux_puntos!$A$2:$OJ$901,39,MATCH($B$2&amp;"|xI",Aux_puntos!$1:$1,0))="",NA(),INDEX(Aux_puntos!$A$2:$OJ$901,39,MATCH($B$2&amp;"|xI",Aux_puntos!$1:$1,0))),NA())</f>
        <v/>
      </c>
      <c r="AH43">
        <f>IFERROR(IF(INDEX(Aux_puntos!$A$2:$OJ$901,39,MATCH($B$2&amp;"|yI",Aux_puntos!$1:$1,0))="",NA(),INDEX(Aux_puntos!$A$2:$OJ$901,39,MATCH($B$2&amp;"|yI",Aux_puntos!$1:$1,0))),NA())</f>
        <v/>
      </c>
      <c r="AI43">
        <f>IFERROR(IF(INDEX(Aux_puntos!$A$2:$OJ$901,39,MATCH($B$2&amp;"|xN",Aux_puntos!$1:$1,0))="",NA(),INDEX(Aux_puntos!$A$2:$OJ$901,39,MATCH($B$2&amp;"|xN",Aux_puntos!$1:$1,0))),NA())</f>
        <v/>
      </c>
      <c r="AJ43">
        <f>IFERROR(IF(INDEX(Aux_puntos!$A$2:$OJ$901,39,MATCH($B$2&amp;"|yN",Aux_puntos!$1:$1,0))="",NA(),INDEX(Aux_puntos!$A$2:$OJ$901,39,MATCH($B$2&amp;"|yN",Aux_puntos!$1:$1,0))),NA())</f>
        <v/>
      </c>
    </row>
    <row r="44">
      <c r="AC44">
        <f>IFERROR(IF(INDEX(Aux_puntos!$A$2:$OJ$901,40,MATCH($B$2&amp;"|xK",Aux_puntos!$1:$1,0))="",NA(),INDEX(Aux_puntos!$A$2:$OJ$901,40,MATCH($B$2&amp;"|xK",Aux_puntos!$1:$1,0))),NA())</f>
        <v/>
      </c>
      <c r="AD44">
        <f>IFERROR(IF(INDEX(Aux_puntos!$A$2:$OJ$901,40,MATCH($B$2&amp;"|yK",Aux_puntos!$1:$1,0))="",NA(),INDEX(Aux_puntos!$A$2:$OJ$901,40,MATCH($B$2&amp;"|yK",Aux_puntos!$1:$1,0))),NA())</f>
        <v/>
      </c>
      <c r="AE44">
        <f>IFERROR(IF(INDEX(Aux_puntos!$A$2:$OJ$901,40,MATCH($B$2&amp;"|xC",Aux_puntos!$1:$1,0))="",NA(),INDEX(Aux_puntos!$A$2:$OJ$901,40,MATCH($B$2&amp;"|xC",Aux_puntos!$1:$1,0))),NA())</f>
        <v/>
      </c>
      <c r="AF44">
        <f>IFERROR(IF(INDEX(Aux_puntos!$A$2:$OJ$901,40,MATCH($B$2&amp;"|yC",Aux_puntos!$1:$1,0))="",NA(),INDEX(Aux_puntos!$A$2:$OJ$901,40,MATCH($B$2&amp;"|yC",Aux_puntos!$1:$1,0))),NA())</f>
        <v/>
      </c>
      <c r="AG44">
        <f>IFERROR(IF(INDEX(Aux_puntos!$A$2:$OJ$901,40,MATCH($B$2&amp;"|xI",Aux_puntos!$1:$1,0))="",NA(),INDEX(Aux_puntos!$A$2:$OJ$901,40,MATCH($B$2&amp;"|xI",Aux_puntos!$1:$1,0))),NA())</f>
        <v/>
      </c>
      <c r="AH44">
        <f>IFERROR(IF(INDEX(Aux_puntos!$A$2:$OJ$901,40,MATCH($B$2&amp;"|yI",Aux_puntos!$1:$1,0))="",NA(),INDEX(Aux_puntos!$A$2:$OJ$901,40,MATCH($B$2&amp;"|yI",Aux_puntos!$1:$1,0))),NA())</f>
        <v/>
      </c>
      <c r="AI44">
        <f>IFERROR(IF(INDEX(Aux_puntos!$A$2:$OJ$901,40,MATCH($B$2&amp;"|xN",Aux_puntos!$1:$1,0))="",NA(),INDEX(Aux_puntos!$A$2:$OJ$901,40,MATCH($B$2&amp;"|xN",Aux_puntos!$1:$1,0))),NA())</f>
        <v/>
      </c>
      <c r="AJ44">
        <f>IFERROR(IF(INDEX(Aux_puntos!$A$2:$OJ$901,40,MATCH($B$2&amp;"|yN",Aux_puntos!$1:$1,0))="",NA(),INDEX(Aux_puntos!$A$2:$OJ$901,40,MATCH($B$2&amp;"|yN",Aux_puntos!$1:$1,0))),NA())</f>
        <v/>
      </c>
    </row>
    <row r="45">
      <c r="AC45">
        <f>IFERROR(IF(INDEX(Aux_puntos!$A$2:$OJ$901,41,MATCH($B$2&amp;"|xK",Aux_puntos!$1:$1,0))="",NA(),INDEX(Aux_puntos!$A$2:$OJ$901,41,MATCH($B$2&amp;"|xK",Aux_puntos!$1:$1,0))),NA())</f>
        <v/>
      </c>
      <c r="AD45">
        <f>IFERROR(IF(INDEX(Aux_puntos!$A$2:$OJ$901,41,MATCH($B$2&amp;"|yK",Aux_puntos!$1:$1,0))="",NA(),INDEX(Aux_puntos!$A$2:$OJ$901,41,MATCH($B$2&amp;"|yK",Aux_puntos!$1:$1,0))),NA())</f>
        <v/>
      </c>
      <c r="AE45">
        <f>IFERROR(IF(INDEX(Aux_puntos!$A$2:$OJ$901,41,MATCH($B$2&amp;"|xC",Aux_puntos!$1:$1,0))="",NA(),INDEX(Aux_puntos!$A$2:$OJ$901,41,MATCH($B$2&amp;"|xC",Aux_puntos!$1:$1,0))),NA())</f>
        <v/>
      </c>
      <c r="AF45">
        <f>IFERROR(IF(INDEX(Aux_puntos!$A$2:$OJ$901,41,MATCH($B$2&amp;"|yC",Aux_puntos!$1:$1,0))="",NA(),INDEX(Aux_puntos!$A$2:$OJ$901,41,MATCH($B$2&amp;"|yC",Aux_puntos!$1:$1,0))),NA())</f>
        <v/>
      </c>
      <c r="AG45">
        <f>IFERROR(IF(INDEX(Aux_puntos!$A$2:$OJ$901,41,MATCH($B$2&amp;"|xI",Aux_puntos!$1:$1,0))="",NA(),INDEX(Aux_puntos!$A$2:$OJ$901,41,MATCH($B$2&amp;"|xI",Aux_puntos!$1:$1,0))),NA())</f>
        <v/>
      </c>
      <c r="AH45">
        <f>IFERROR(IF(INDEX(Aux_puntos!$A$2:$OJ$901,41,MATCH($B$2&amp;"|yI",Aux_puntos!$1:$1,0))="",NA(),INDEX(Aux_puntos!$A$2:$OJ$901,41,MATCH($B$2&amp;"|yI",Aux_puntos!$1:$1,0))),NA())</f>
        <v/>
      </c>
      <c r="AI45">
        <f>IFERROR(IF(INDEX(Aux_puntos!$A$2:$OJ$901,41,MATCH($B$2&amp;"|xN",Aux_puntos!$1:$1,0))="",NA(),INDEX(Aux_puntos!$A$2:$OJ$901,41,MATCH($B$2&amp;"|xN",Aux_puntos!$1:$1,0))),NA())</f>
        <v/>
      </c>
      <c r="AJ45">
        <f>IFERROR(IF(INDEX(Aux_puntos!$A$2:$OJ$901,41,MATCH($B$2&amp;"|yN",Aux_puntos!$1:$1,0))="",NA(),INDEX(Aux_puntos!$A$2:$OJ$901,41,MATCH($B$2&amp;"|yN",Aux_puntos!$1:$1,0))),NA())</f>
        <v/>
      </c>
    </row>
    <row r="46">
      <c r="AC46">
        <f>IFERROR(IF(INDEX(Aux_puntos!$A$2:$OJ$901,42,MATCH($B$2&amp;"|xK",Aux_puntos!$1:$1,0))="",NA(),INDEX(Aux_puntos!$A$2:$OJ$901,42,MATCH($B$2&amp;"|xK",Aux_puntos!$1:$1,0))),NA())</f>
        <v/>
      </c>
      <c r="AD46">
        <f>IFERROR(IF(INDEX(Aux_puntos!$A$2:$OJ$901,42,MATCH($B$2&amp;"|yK",Aux_puntos!$1:$1,0))="",NA(),INDEX(Aux_puntos!$A$2:$OJ$901,42,MATCH($B$2&amp;"|yK",Aux_puntos!$1:$1,0))),NA())</f>
        <v/>
      </c>
      <c r="AE46">
        <f>IFERROR(IF(INDEX(Aux_puntos!$A$2:$OJ$901,42,MATCH($B$2&amp;"|xC",Aux_puntos!$1:$1,0))="",NA(),INDEX(Aux_puntos!$A$2:$OJ$901,42,MATCH($B$2&amp;"|xC",Aux_puntos!$1:$1,0))),NA())</f>
        <v/>
      </c>
      <c r="AF46">
        <f>IFERROR(IF(INDEX(Aux_puntos!$A$2:$OJ$901,42,MATCH($B$2&amp;"|yC",Aux_puntos!$1:$1,0))="",NA(),INDEX(Aux_puntos!$A$2:$OJ$901,42,MATCH($B$2&amp;"|yC",Aux_puntos!$1:$1,0))),NA())</f>
        <v/>
      </c>
      <c r="AG46">
        <f>IFERROR(IF(INDEX(Aux_puntos!$A$2:$OJ$901,42,MATCH($B$2&amp;"|xI",Aux_puntos!$1:$1,0))="",NA(),INDEX(Aux_puntos!$A$2:$OJ$901,42,MATCH($B$2&amp;"|xI",Aux_puntos!$1:$1,0))),NA())</f>
        <v/>
      </c>
      <c r="AH46">
        <f>IFERROR(IF(INDEX(Aux_puntos!$A$2:$OJ$901,42,MATCH($B$2&amp;"|yI",Aux_puntos!$1:$1,0))="",NA(),INDEX(Aux_puntos!$A$2:$OJ$901,42,MATCH($B$2&amp;"|yI",Aux_puntos!$1:$1,0))),NA())</f>
        <v/>
      </c>
      <c r="AI46">
        <f>IFERROR(IF(INDEX(Aux_puntos!$A$2:$OJ$901,42,MATCH($B$2&amp;"|xN",Aux_puntos!$1:$1,0))="",NA(),INDEX(Aux_puntos!$A$2:$OJ$901,42,MATCH($B$2&amp;"|xN",Aux_puntos!$1:$1,0))),NA())</f>
        <v/>
      </c>
      <c r="AJ46">
        <f>IFERROR(IF(INDEX(Aux_puntos!$A$2:$OJ$901,42,MATCH($B$2&amp;"|yN",Aux_puntos!$1:$1,0))="",NA(),INDEX(Aux_puntos!$A$2:$OJ$901,42,MATCH($B$2&amp;"|yN",Aux_puntos!$1:$1,0))),NA())</f>
        <v/>
      </c>
    </row>
    <row r="47">
      <c r="AC47">
        <f>IFERROR(IF(INDEX(Aux_puntos!$A$2:$OJ$901,43,MATCH($B$2&amp;"|xK",Aux_puntos!$1:$1,0))="",NA(),INDEX(Aux_puntos!$A$2:$OJ$901,43,MATCH($B$2&amp;"|xK",Aux_puntos!$1:$1,0))),NA())</f>
        <v/>
      </c>
      <c r="AD47">
        <f>IFERROR(IF(INDEX(Aux_puntos!$A$2:$OJ$901,43,MATCH($B$2&amp;"|yK",Aux_puntos!$1:$1,0))="",NA(),INDEX(Aux_puntos!$A$2:$OJ$901,43,MATCH($B$2&amp;"|yK",Aux_puntos!$1:$1,0))),NA())</f>
        <v/>
      </c>
      <c r="AE47">
        <f>IFERROR(IF(INDEX(Aux_puntos!$A$2:$OJ$901,43,MATCH($B$2&amp;"|xC",Aux_puntos!$1:$1,0))="",NA(),INDEX(Aux_puntos!$A$2:$OJ$901,43,MATCH($B$2&amp;"|xC",Aux_puntos!$1:$1,0))),NA())</f>
        <v/>
      </c>
      <c r="AF47">
        <f>IFERROR(IF(INDEX(Aux_puntos!$A$2:$OJ$901,43,MATCH($B$2&amp;"|yC",Aux_puntos!$1:$1,0))="",NA(),INDEX(Aux_puntos!$A$2:$OJ$901,43,MATCH($B$2&amp;"|yC",Aux_puntos!$1:$1,0))),NA())</f>
        <v/>
      </c>
      <c r="AG47">
        <f>IFERROR(IF(INDEX(Aux_puntos!$A$2:$OJ$901,43,MATCH($B$2&amp;"|xI",Aux_puntos!$1:$1,0))="",NA(),INDEX(Aux_puntos!$A$2:$OJ$901,43,MATCH($B$2&amp;"|xI",Aux_puntos!$1:$1,0))),NA())</f>
        <v/>
      </c>
      <c r="AH47">
        <f>IFERROR(IF(INDEX(Aux_puntos!$A$2:$OJ$901,43,MATCH($B$2&amp;"|yI",Aux_puntos!$1:$1,0))="",NA(),INDEX(Aux_puntos!$A$2:$OJ$901,43,MATCH($B$2&amp;"|yI",Aux_puntos!$1:$1,0))),NA())</f>
        <v/>
      </c>
      <c r="AI47">
        <f>IFERROR(IF(INDEX(Aux_puntos!$A$2:$OJ$901,43,MATCH($B$2&amp;"|xN",Aux_puntos!$1:$1,0))="",NA(),INDEX(Aux_puntos!$A$2:$OJ$901,43,MATCH($B$2&amp;"|xN",Aux_puntos!$1:$1,0))),NA())</f>
        <v/>
      </c>
      <c r="AJ47">
        <f>IFERROR(IF(INDEX(Aux_puntos!$A$2:$OJ$901,43,MATCH($B$2&amp;"|yN",Aux_puntos!$1:$1,0))="",NA(),INDEX(Aux_puntos!$A$2:$OJ$901,43,MATCH($B$2&amp;"|yN",Aux_puntos!$1:$1,0))),NA())</f>
        <v/>
      </c>
    </row>
    <row r="48">
      <c r="AC48">
        <f>IFERROR(IF(INDEX(Aux_puntos!$A$2:$OJ$901,44,MATCH($B$2&amp;"|xK",Aux_puntos!$1:$1,0))="",NA(),INDEX(Aux_puntos!$A$2:$OJ$901,44,MATCH($B$2&amp;"|xK",Aux_puntos!$1:$1,0))),NA())</f>
        <v/>
      </c>
      <c r="AD48">
        <f>IFERROR(IF(INDEX(Aux_puntos!$A$2:$OJ$901,44,MATCH($B$2&amp;"|yK",Aux_puntos!$1:$1,0))="",NA(),INDEX(Aux_puntos!$A$2:$OJ$901,44,MATCH($B$2&amp;"|yK",Aux_puntos!$1:$1,0))),NA())</f>
        <v/>
      </c>
      <c r="AE48">
        <f>IFERROR(IF(INDEX(Aux_puntos!$A$2:$OJ$901,44,MATCH($B$2&amp;"|xC",Aux_puntos!$1:$1,0))="",NA(),INDEX(Aux_puntos!$A$2:$OJ$901,44,MATCH($B$2&amp;"|xC",Aux_puntos!$1:$1,0))),NA())</f>
        <v/>
      </c>
      <c r="AF48">
        <f>IFERROR(IF(INDEX(Aux_puntos!$A$2:$OJ$901,44,MATCH($B$2&amp;"|yC",Aux_puntos!$1:$1,0))="",NA(),INDEX(Aux_puntos!$A$2:$OJ$901,44,MATCH($B$2&amp;"|yC",Aux_puntos!$1:$1,0))),NA())</f>
        <v/>
      </c>
      <c r="AG48">
        <f>IFERROR(IF(INDEX(Aux_puntos!$A$2:$OJ$901,44,MATCH($B$2&amp;"|xI",Aux_puntos!$1:$1,0))="",NA(),INDEX(Aux_puntos!$A$2:$OJ$901,44,MATCH($B$2&amp;"|xI",Aux_puntos!$1:$1,0))),NA())</f>
        <v/>
      </c>
      <c r="AH48">
        <f>IFERROR(IF(INDEX(Aux_puntos!$A$2:$OJ$901,44,MATCH($B$2&amp;"|yI",Aux_puntos!$1:$1,0))="",NA(),INDEX(Aux_puntos!$A$2:$OJ$901,44,MATCH($B$2&amp;"|yI",Aux_puntos!$1:$1,0))),NA())</f>
        <v/>
      </c>
      <c r="AI48">
        <f>IFERROR(IF(INDEX(Aux_puntos!$A$2:$OJ$901,44,MATCH($B$2&amp;"|xN",Aux_puntos!$1:$1,0))="",NA(),INDEX(Aux_puntos!$A$2:$OJ$901,44,MATCH($B$2&amp;"|xN",Aux_puntos!$1:$1,0))),NA())</f>
        <v/>
      </c>
      <c r="AJ48">
        <f>IFERROR(IF(INDEX(Aux_puntos!$A$2:$OJ$901,44,MATCH($B$2&amp;"|yN",Aux_puntos!$1:$1,0))="",NA(),INDEX(Aux_puntos!$A$2:$OJ$901,44,MATCH($B$2&amp;"|yN",Aux_puntos!$1:$1,0))),NA())</f>
        <v/>
      </c>
    </row>
    <row r="49">
      <c r="AC49">
        <f>IFERROR(IF(INDEX(Aux_puntos!$A$2:$OJ$901,45,MATCH($B$2&amp;"|xK",Aux_puntos!$1:$1,0))="",NA(),INDEX(Aux_puntos!$A$2:$OJ$901,45,MATCH($B$2&amp;"|xK",Aux_puntos!$1:$1,0))),NA())</f>
        <v/>
      </c>
      <c r="AD49">
        <f>IFERROR(IF(INDEX(Aux_puntos!$A$2:$OJ$901,45,MATCH($B$2&amp;"|yK",Aux_puntos!$1:$1,0))="",NA(),INDEX(Aux_puntos!$A$2:$OJ$901,45,MATCH($B$2&amp;"|yK",Aux_puntos!$1:$1,0))),NA())</f>
        <v/>
      </c>
      <c r="AE49">
        <f>IFERROR(IF(INDEX(Aux_puntos!$A$2:$OJ$901,45,MATCH($B$2&amp;"|xC",Aux_puntos!$1:$1,0))="",NA(),INDEX(Aux_puntos!$A$2:$OJ$901,45,MATCH($B$2&amp;"|xC",Aux_puntos!$1:$1,0))),NA())</f>
        <v/>
      </c>
      <c r="AF49">
        <f>IFERROR(IF(INDEX(Aux_puntos!$A$2:$OJ$901,45,MATCH($B$2&amp;"|yC",Aux_puntos!$1:$1,0))="",NA(),INDEX(Aux_puntos!$A$2:$OJ$901,45,MATCH($B$2&amp;"|yC",Aux_puntos!$1:$1,0))),NA())</f>
        <v/>
      </c>
      <c r="AG49">
        <f>IFERROR(IF(INDEX(Aux_puntos!$A$2:$OJ$901,45,MATCH($B$2&amp;"|xI",Aux_puntos!$1:$1,0))="",NA(),INDEX(Aux_puntos!$A$2:$OJ$901,45,MATCH($B$2&amp;"|xI",Aux_puntos!$1:$1,0))),NA())</f>
        <v/>
      </c>
      <c r="AH49">
        <f>IFERROR(IF(INDEX(Aux_puntos!$A$2:$OJ$901,45,MATCH($B$2&amp;"|yI",Aux_puntos!$1:$1,0))="",NA(),INDEX(Aux_puntos!$A$2:$OJ$901,45,MATCH($B$2&amp;"|yI",Aux_puntos!$1:$1,0))),NA())</f>
        <v/>
      </c>
      <c r="AI49">
        <f>IFERROR(IF(INDEX(Aux_puntos!$A$2:$OJ$901,45,MATCH($B$2&amp;"|xN",Aux_puntos!$1:$1,0))="",NA(),INDEX(Aux_puntos!$A$2:$OJ$901,45,MATCH($B$2&amp;"|xN",Aux_puntos!$1:$1,0))),NA())</f>
        <v/>
      </c>
      <c r="AJ49">
        <f>IFERROR(IF(INDEX(Aux_puntos!$A$2:$OJ$901,45,MATCH($B$2&amp;"|yN",Aux_puntos!$1:$1,0))="",NA(),INDEX(Aux_puntos!$A$2:$OJ$901,45,MATCH($B$2&amp;"|yN",Aux_puntos!$1:$1,0))),NA())</f>
        <v/>
      </c>
    </row>
    <row r="50">
      <c r="AC50">
        <f>IFERROR(IF(INDEX(Aux_puntos!$A$2:$OJ$901,46,MATCH($B$2&amp;"|xK",Aux_puntos!$1:$1,0))="",NA(),INDEX(Aux_puntos!$A$2:$OJ$901,46,MATCH($B$2&amp;"|xK",Aux_puntos!$1:$1,0))),NA())</f>
        <v/>
      </c>
      <c r="AD50">
        <f>IFERROR(IF(INDEX(Aux_puntos!$A$2:$OJ$901,46,MATCH($B$2&amp;"|yK",Aux_puntos!$1:$1,0))="",NA(),INDEX(Aux_puntos!$A$2:$OJ$901,46,MATCH($B$2&amp;"|yK",Aux_puntos!$1:$1,0))),NA())</f>
        <v/>
      </c>
      <c r="AE50">
        <f>IFERROR(IF(INDEX(Aux_puntos!$A$2:$OJ$901,46,MATCH($B$2&amp;"|xC",Aux_puntos!$1:$1,0))="",NA(),INDEX(Aux_puntos!$A$2:$OJ$901,46,MATCH($B$2&amp;"|xC",Aux_puntos!$1:$1,0))),NA())</f>
        <v/>
      </c>
      <c r="AF50">
        <f>IFERROR(IF(INDEX(Aux_puntos!$A$2:$OJ$901,46,MATCH($B$2&amp;"|yC",Aux_puntos!$1:$1,0))="",NA(),INDEX(Aux_puntos!$A$2:$OJ$901,46,MATCH($B$2&amp;"|yC",Aux_puntos!$1:$1,0))),NA())</f>
        <v/>
      </c>
      <c r="AG50">
        <f>IFERROR(IF(INDEX(Aux_puntos!$A$2:$OJ$901,46,MATCH($B$2&amp;"|xI",Aux_puntos!$1:$1,0))="",NA(),INDEX(Aux_puntos!$A$2:$OJ$901,46,MATCH($B$2&amp;"|xI",Aux_puntos!$1:$1,0))),NA())</f>
        <v/>
      </c>
      <c r="AH50">
        <f>IFERROR(IF(INDEX(Aux_puntos!$A$2:$OJ$901,46,MATCH($B$2&amp;"|yI",Aux_puntos!$1:$1,0))="",NA(),INDEX(Aux_puntos!$A$2:$OJ$901,46,MATCH($B$2&amp;"|yI",Aux_puntos!$1:$1,0))),NA())</f>
        <v/>
      </c>
      <c r="AI50">
        <f>IFERROR(IF(INDEX(Aux_puntos!$A$2:$OJ$901,46,MATCH($B$2&amp;"|xN",Aux_puntos!$1:$1,0))="",NA(),INDEX(Aux_puntos!$A$2:$OJ$901,46,MATCH($B$2&amp;"|xN",Aux_puntos!$1:$1,0))),NA())</f>
        <v/>
      </c>
      <c r="AJ50">
        <f>IFERROR(IF(INDEX(Aux_puntos!$A$2:$OJ$901,46,MATCH($B$2&amp;"|yN",Aux_puntos!$1:$1,0))="",NA(),INDEX(Aux_puntos!$A$2:$OJ$901,46,MATCH($B$2&amp;"|yN",Aux_puntos!$1:$1,0))),NA())</f>
        <v/>
      </c>
    </row>
    <row r="51">
      <c r="AC51">
        <f>IFERROR(IF(INDEX(Aux_puntos!$A$2:$OJ$901,47,MATCH($B$2&amp;"|xK",Aux_puntos!$1:$1,0))="",NA(),INDEX(Aux_puntos!$A$2:$OJ$901,47,MATCH($B$2&amp;"|xK",Aux_puntos!$1:$1,0))),NA())</f>
        <v/>
      </c>
      <c r="AD51">
        <f>IFERROR(IF(INDEX(Aux_puntos!$A$2:$OJ$901,47,MATCH($B$2&amp;"|yK",Aux_puntos!$1:$1,0))="",NA(),INDEX(Aux_puntos!$A$2:$OJ$901,47,MATCH($B$2&amp;"|yK",Aux_puntos!$1:$1,0))),NA())</f>
        <v/>
      </c>
      <c r="AE51">
        <f>IFERROR(IF(INDEX(Aux_puntos!$A$2:$OJ$901,47,MATCH($B$2&amp;"|xC",Aux_puntos!$1:$1,0))="",NA(),INDEX(Aux_puntos!$A$2:$OJ$901,47,MATCH($B$2&amp;"|xC",Aux_puntos!$1:$1,0))),NA())</f>
        <v/>
      </c>
      <c r="AF51">
        <f>IFERROR(IF(INDEX(Aux_puntos!$A$2:$OJ$901,47,MATCH($B$2&amp;"|yC",Aux_puntos!$1:$1,0))="",NA(),INDEX(Aux_puntos!$A$2:$OJ$901,47,MATCH($B$2&amp;"|yC",Aux_puntos!$1:$1,0))),NA())</f>
        <v/>
      </c>
      <c r="AG51">
        <f>IFERROR(IF(INDEX(Aux_puntos!$A$2:$OJ$901,47,MATCH($B$2&amp;"|xI",Aux_puntos!$1:$1,0))="",NA(),INDEX(Aux_puntos!$A$2:$OJ$901,47,MATCH($B$2&amp;"|xI",Aux_puntos!$1:$1,0))),NA())</f>
        <v/>
      </c>
      <c r="AH51">
        <f>IFERROR(IF(INDEX(Aux_puntos!$A$2:$OJ$901,47,MATCH($B$2&amp;"|yI",Aux_puntos!$1:$1,0))="",NA(),INDEX(Aux_puntos!$A$2:$OJ$901,47,MATCH($B$2&amp;"|yI",Aux_puntos!$1:$1,0))),NA())</f>
        <v/>
      </c>
      <c r="AI51">
        <f>IFERROR(IF(INDEX(Aux_puntos!$A$2:$OJ$901,47,MATCH($B$2&amp;"|xN",Aux_puntos!$1:$1,0))="",NA(),INDEX(Aux_puntos!$A$2:$OJ$901,47,MATCH($B$2&amp;"|xN",Aux_puntos!$1:$1,0))),NA())</f>
        <v/>
      </c>
      <c r="AJ51">
        <f>IFERROR(IF(INDEX(Aux_puntos!$A$2:$OJ$901,47,MATCH($B$2&amp;"|yN",Aux_puntos!$1:$1,0))="",NA(),INDEX(Aux_puntos!$A$2:$OJ$901,47,MATCH($B$2&amp;"|yN",Aux_puntos!$1:$1,0))),NA())</f>
        <v/>
      </c>
    </row>
    <row r="52">
      <c r="AC52">
        <f>IFERROR(IF(INDEX(Aux_puntos!$A$2:$OJ$901,48,MATCH($B$2&amp;"|xK",Aux_puntos!$1:$1,0))="",NA(),INDEX(Aux_puntos!$A$2:$OJ$901,48,MATCH($B$2&amp;"|xK",Aux_puntos!$1:$1,0))),NA())</f>
        <v/>
      </c>
      <c r="AD52">
        <f>IFERROR(IF(INDEX(Aux_puntos!$A$2:$OJ$901,48,MATCH($B$2&amp;"|yK",Aux_puntos!$1:$1,0))="",NA(),INDEX(Aux_puntos!$A$2:$OJ$901,48,MATCH($B$2&amp;"|yK",Aux_puntos!$1:$1,0))),NA())</f>
        <v/>
      </c>
      <c r="AE52">
        <f>IFERROR(IF(INDEX(Aux_puntos!$A$2:$OJ$901,48,MATCH($B$2&amp;"|xC",Aux_puntos!$1:$1,0))="",NA(),INDEX(Aux_puntos!$A$2:$OJ$901,48,MATCH($B$2&amp;"|xC",Aux_puntos!$1:$1,0))),NA())</f>
        <v/>
      </c>
      <c r="AF52">
        <f>IFERROR(IF(INDEX(Aux_puntos!$A$2:$OJ$901,48,MATCH($B$2&amp;"|yC",Aux_puntos!$1:$1,0))="",NA(),INDEX(Aux_puntos!$A$2:$OJ$901,48,MATCH($B$2&amp;"|yC",Aux_puntos!$1:$1,0))),NA())</f>
        <v/>
      </c>
      <c r="AG52">
        <f>IFERROR(IF(INDEX(Aux_puntos!$A$2:$OJ$901,48,MATCH($B$2&amp;"|xI",Aux_puntos!$1:$1,0))="",NA(),INDEX(Aux_puntos!$A$2:$OJ$901,48,MATCH($B$2&amp;"|xI",Aux_puntos!$1:$1,0))),NA())</f>
        <v/>
      </c>
      <c r="AH52">
        <f>IFERROR(IF(INDEX(Aux_puntos!$A$2:$OJ$901,48,MATCH($B$2&amp;"|yI",Aux_puntos!$1:$1,0))="",NA(),INDEX(Aux_puntos!$A$2:$OJ$901,48,MATCH($B$2&amp;"|yI",Aux_puntos!$1:$1,0))),NA())</f>
        <v/>
      </c>
      <c r="AI52">
        <f>IFERROR(IF(INDEX(Aux_puntos!$A$2:$OJ$901,48,MATCH($B$2&amp;"|xN",Aux_puntos!$1:$1,0))="",NA(),INDEX(Aux_puntos!$A$2:$OJ$901,48,MATCH($B$2&amp;"|xN",Aux_puntos!$1:$1,0))),NA())</f>
        <v/>
      </c>
      <c r="AJ52">
        <f>IFERROR(IF(INDEX(Aux_puntos!$A$2:$OJ$901,48,MATCH($B$2&amp;"|yN",Aux_puntos!$1:$1,0))="",NA(),INDEX(Aux_puntos!$A$2:$OJ$901,48,MATCH($B$2&amp;"|yN",Aux_puntos!$1:$1,0))),NA())</f>
        <v/>
      </c>
    </row>
    <row r="53">
      <c r="AC53">
        <f>IFERROR(IF(INDEX(Aux_puntos!$A$2:$OJ$901,49,MATCH($B$2&amp;"|xK",Aux_puntos!$1:$1,0))="",NA(),INDEX(Aux_puntos!$A$2:$OJ$901,49,MATCH($B$2&amp;"|xK",Aux_puntos!$1:$1,0))),NA())</f>
        <v/>
      </c>
      <c r="AD53">
        <f>IFERROR(IF(INDEX(Aux_puntos!$A$2:$OJ$901,49,MATCH($B$2&amp;"|yK",Aux_puntos!$1:$1,0))="",NA(),INDEX(Aux_puntos!$A$2:$OJ$901,49,MATCH($B$2&amp;"|yK",Aux_puntos!$1:$1,0))),NA())</f>
        <v/>
      </c>
      <c r="AE53">
        <f>IFERROR(IF(INDEX(Aux_puntos!$A$2:$OJ$901,49,MATCH($B$2&amp;"|xC",Aux_puntos!$1:$1,0))="",NA(),INDEX(Aux_puntos!$A$2:$OJ$901,49,MATCH($B$2&amp;"|xC",Aux_puntos!$1:$1,0))),NA())</f>
        <v/>
      </c>
      <c r="AF53">
        <f>IFERROR(IF(INDEX(Aux_puntos!$A$2:$OJ$901,49,MATCH($B$2&amp;"|yC",Aux_puntos!$1:$1,0))="",NA(),INDEX(Aux_puntos!$A$2:$OJ$901,49,MATCH($B$2&amp;"|yC",Aux_puntos!$1:$1,0))),NA())</f>
        <v/>
      </c>
      <c r="AG53">
        <f>IFERROR(IF(INDEX(Aux_puntos!$A$2:$OJ$901,49,MATCH($B$2&amp;"|xI",Aux_puntos!$1:$1,0))="",NA(),INDEX(Aux_puntos!$A$2:$OJ$901,49,MATCH($B$2&amp;"|xI",Aux_puntos!$1:$1,0))),NA())</f>
        <v/>
      </c>
      <c r="AH53">
        <f>IFERROR(IF(INDEX(Aux_puntos!$A$2:$OJ$901,49,MATCH($B$2&amp;"|yI",Aux_puntos!$1:$1,0))="",NA(),INDEX(Aux_puntos!$A$2:$OJ$901,49,MATCH($B$2&amp;"|yI",Aux_puntos!$1:$1,0))),NA())</f>
        <v/>
      </c>
      <c r="AI53">
        <f>IFERROR(IF(INDEX(Aux_puntos!$A$2:$OJ$901,49,MATCH($B$2&amp;"|xN",Aux_puntos!$1:$1,0))="",NA(),INDEX(Aux_puntos!$A$2:$OJ$901,49,MATCH($B$2&amp;"|xN",Aux_puntos!$1:$1,0))),NA())</f>
        <v/>
      </c>
      <c r="AJ53">
        <f>IFERROR(IF(INDEX(Aux_puntos!$A$2:$OJ$901,49,MATCH($B$2&amp;"|yN",Aux_puntos!$1:$1,0))="",NA(),INDEX(Aux_puntos!$A$2:$OJ$901,49,MATCH($B$2&amp;"|yN",Aux_puntos!$1:$1,0))),NA())</f>
        <v/>
      </c>
    </row>
    <row r="54">
      <c r="AC54">
        <f>IFERROR(IF(INDEX(Aux_puntos!$A$2:$OJ$901,50,MATCH($B$2&amp;"|xK",Aux_puntos!$1:$1,0))="",NA(),INDEX(Aux_puntos!$A$2:$OJ$901,50,MATCH($B$2&amp;"|xK",Aux_puntos!$1:$1,0))),NA())</f>
        <v/>
      </c>
      <c r="AD54">
        <f>IFERROR(IF(INDEX(Aux_puntos!$A$2:$OJ$901,50,MATCH($B$2&amp;"|yK",Aux_puntos!$1:$1,0))="",NA(),INDEX(Aux_puntos!$A$2:$OJ$901,50,MATCH($B$2&amp;"|yK",Aux_puntos!$1:$1,0))),NA())</f>
        <v/>
      </c>
      <c r="AE54">
        <f>IFERROR(IF(INDEX(Aux_puntos!$A$2:$OJ$901,50,MATCH($B$2&amp;"|xC",Aux_puntos!$1:$1,0))="",NA(),INDEX(Aux_puntos!$A$2:$OJ$901,50,MATCH($B$2&amp;"|xC",Aux_puntos!$1:$1,0))),NA())</f>
        <v/>
      </c>
      <c r="AF54">
        <f>IFERROR(IF(INDEX(Aux_puntos!$A$2:$OJ$901,50,MATCH($B$2&amp;"|yC",Aux_puntos!$1:$1,0))="",NA(),INDEX(Aux_puntos!$A$2:$OJ$901,50,MATCH($B$2&amp;"|yC",Aux_puntos!$1:$1,0))),NA())</f>
        <v/>
      </c>
      <c r="AG54">
        <f>IFERROR(IF(INDEX(Aux_puntos!$A$2:$OJ$901,50,MATCH($B$2&amp;"|xI",Aux_puntos!$1:$1,0))="",NA(),INDEX(Aux_puntos!$A$2:$OJ$901,50,MATCH($B$2&amp;"|xI",Aux_puntos!$1:$1,0))),NA())</f>
        <v/>
      </c>
      <c r="AH54">
        <f>IFERROR(IF(INDEX(Aux_puntos!$A$2:$OJ$901,50,MATCH($B$2&amp;"|yI",Aux_puntos!$1:$1,0))="",NA(),INDEX(Aux_puntos!$A$2:$OJ$901,50,MATCH($B$2&amp;"|yI",Aux_puntos!$1:$1,0))),NA())</f>
        <v/>
      </c>
      <c r="AI54">
        <f>IFERROR(IF(INDEX(Aux_puntos!$A$2:$OJ$901,50,MATCH($B$2&amp;"|xN",Aux_puntos!$1:$1,0))="",NA(),INDEX(Aux_puntos!$A$2:$OJ$901,50,MATCH($B$2&amp;"|xN",Aux_puntos!$1:$1,0))),NA())</f>
        <v/>
      </c>
      <c r="AJ54">
        <f>IFERROR(IF(INDEX(Aux_puntos!$A$2:$OJ$901,50,MATCH($B$2&amp;"|yN",Aux_puntos!$1:$1,0))="",NA(),INDEX(Aux_puntos!$A$2:$OJ$901,50,MATCH($B$2&amp;"|yN",Aux_puntos!$1:$1,0))),NA())</f>
        <v/>
      </c>
    </row>
    <row r="55">
      <c r="AC55">
        <f>IFERROR(IF(INDEX(Aux_puntos!$A$2:$OJ$901,51,MATCH($B$2&amp;"|xK",Aux_puntos!$1:$1,0))="",NA(),INDEX(Aux_puntos!$A$2:$OJ$901,51,MATCH($B$2&amp;"|xK",Aux_puntos!$1:$1,0))),NA())</f>
        <v/>
      </c>
      <c r="AD55">
        <f>IFERROR(IF(INDEX(Aux_puntos!$A$2:$OJ$901,51,MATCH($B$2&amp;"|yK",Aux_puntos!$1:$1,0))="",NA(),INDEX(Aux_puntos!$A$2:$OJ$901,51,MATCH($B$2&amp;"|yK",Aux_puntos!$1:$1,0))),NA())</f>
        <v/>
      </c>
      <c r="AE55">
        <f>IFERROR(IF(INDEX(Aux_puntos!$A$2:$OJ$901,51,MATCH($B$2&amp;"|xC",Aux_puntos!$1:$1,0))="",NA(),INDEX(Aux_puntos!$A$2:$OJ$901,51,MATCH($B$2&amp;"|xC",Aux_puntos!$1:$1,0))),NA())</f>
        <v/>
      </c>
      <c r="AF55">
        <f>IFERROR(IF(INDEX(Aux_puntos!$A$2:$OJ$901,51,MATCH($B$2&amp;"|yC",Aux_puntos!$1:$1,0))="",NA(),INDEX(Aux_puntos!$A$2:$OJ$901,51,MATCH($B$2&amp;"|yC",Aux_puntos!$1:$1,0))),NA())</f>
        <v/>
      </c>
      <c r="AG55">
        <f>IFERROR(IF(INDEX(Aux_puntos!$A$2:$OJ$901,51,MATCH($B$2&amp;"|xI",Aux_puntos!$1:$1,0))="",NA(),INDEX(Aux_puntos!$A$2:$OJ$901,51,MATCH($B$2&amp;"|xI",Aux_puntos!$1:$1,0))),NA())</f>
        <v/>
      </c>
      <c r="AH55">
        <f>IFERROR(IF(INDEX(Aux_puntos!$A$2:$OJ$901,51,MATCH($B$2&amp;"|yI",Aux_puntos!$1:$1,0))="",NA(),INDEX(Aux_puntos!$A$2:$OJ$901,51,MATCH($B$2&amp;"|yI",Aux_puntos!$1:$1,0))),NA())</f>
        <v/>
      </c>
      <c r="AI55">
        <f>IFERROR(IF(INDEX(Aux_puntos!$A$2:$OJ$901,51,MATCH($B$2&amp;"|xN",Aux_puntos!$1:$1,0))="",NA(),INDEX(Aux_puntos!$A$2:$OJ$901,51,MATCH($B$2&amp;"|xN",Aux_puntos!$1:$1,0))),NA())</f>
        <v/>
      </c>
      <c r="AJ55">
        <f>IFERROR(IF(INDEX(Aux_puntos!$A$2:$OJ$901,51,MATCH($B$2&amp;"|yN",Aux_puntos!$1:$1,0))="",NA(),INDEX(Aux_puntos!$A$2:$OJ$901,51,MATCH($B$2&amp;"|yN",Aux_puntos!$1:$1,0))),NA())</f>
        <v/>
      </c>
    </row>
    <row r="56">
      <c r="AC56">
        <f>IFERROR(IF(INDEX(Aux_puntos!$A$2:$OJ$901,52,MATCH($B$2&amp;"|xK",Aux_puntos!$1:$1,0))="",NA(),INDEX(Aux_puntos!$A$2:$OJ$901,52,MATCH($B$2&amp;"|xK",Aux_puntos!$1:$1,0))),NA())</f>
        <v/>
      </c>
      <c r="AD56">
        <f>IFERROR(IF(INDEX(Aux_puntos!$A$2:$OJ$901,52,MATCH($B$2&amp;"|yK",Aux_puntos!$1:$1,0))="",NA(),INDEX(Aux_puntos!$A$2:$OJ$901,52,MATCH($B$2&amp;"|yK",Aux_puntos!$1:$1,0))),NA())</f>
        <v/>
      </c>
      <c r="AE56">
        <f>IFERROR(IF(INDEX(Aux_puntos!$A$2:$OJ$901,52,MATCH($B$2&amp;"|xC",Aux_puntos!$1:$1,0))="",NA(),INDEX(Aux_puntos!$A$2:$OJ$901,52,MATCH($B$2&amp;"|xC",Aux_puntos!$1:$1,0))),NA())</f>
        <v/>
      </c>
      <c r="AF56">
        <f>IFERROR(IF(INDEX(Aux_puntos!$A$2:$OJ$901,52,MATCH($B$2&amp;"|yC",Aux_puntos!$1:$1,0))="",NA(),INDEX(Aux_puntos!$A$2:$OJ$901,52,MATCH($B$2&amp;"|yC",Aux_puntos!$1:$1,0))),NA())</f>
        <v/>
      </c>
      <c r="AG56">
        <f>IFERROR(IF(INDEX(Aux_puntos!$A$2:$OJ$901,52,MATCH($B$2&amp;"|xI",Aux_puntos!$1:$1,0))="",NA(),INDEX(Aux_puntos!$A$2:$OJ$901,52,MATCH($B$2&amp;"|xI",Aux_puntos!$1:$1,0))),NA())</f>
        <v/>
      </c>
      <c r="AH56">
        <f>IFERROR(IF(INDEX(Aux_puntos!$A$2:$OJ$901,52,MATCH($B$2&amp;"|yI",Aux_puntos!$1:$1,0))="",NA(),INDEX(Aux_puntos!$A$2:$OJ$901,52,MATCH($B$2&amp;"|yI",Aux_puntos!$1:$1,0))),NA())</f>
        <v/>
      </c>
      <c r="AI56">
        <f>IFERROR(IF(INDEX(Aux_puntos!$A$2:$OJ$901,52,MATCH($B$2&amp;"|xN",Aux_puntos!$1:$1,0))="",NA(),INDEX(Aux_puntos!$A$2:$OJ$901,52,MATCH($B$2&amp;"|xN",Aux_puntos!$1:$1,0))),NA())</f>
        <v/>
      </c>
      <c r="AJ56">
        <f>IFERROR(IF(INDEX(Aux_puntos!$A$2:$OJ$901,52,MATCH($B$2&amp;"|yN",Aux_puntos!$1:$1,0))="",NA(),INDEX(Aux_puntos!$A$2:$OJ$901,52,MATCH($B$2&amp;"|yN",Aux_puntos!$1:$1,0))),NA())</f>
        <v/>
      </c>
    </row>
    <row r="57">
      <c r="AC57">
        <f>IFERROR(IF(INDEX(Aux_puntos!$A$2:$OJ$901,53,MATCH($B$2&amp;"|xK",Aux_puntos!$1:$1,0))="",NA(),INDEX(Aux_puntos!$A$2:$OJ$901,53,MATCH($B$2&amp;"|xK",Aux_puntos!$1:$1,0))),NA())</f>
        <v/>
      </c>
      <c r="AD57">
        <f>IFERROR(IF(INDEX(Aux_puntos!$A$2:$OJ$901,53,MATCH($B$2&amp;"|yK",Aux_puntos!$1:$1,0))="",NA(),INDEX(Aux_puntos!$A$2:$OJ$901,53,MATCH($B$2&amp;"|yK",Aux_puntos!$1:$1,0))),NA())</f>
        <v/>
      </c>
      <c r="AE57">
        <f>IFERROR(IF(INDEX(Aux_puntos!$A$2:$OJ$901,53,MATCH($B$2&amp;"|xC",Aux_puntos!$1:$1,0))="",NA(),INDEX(Aux_puntos!$A$2:$OJ$901,53,MATCH($B$2&amp;"|xC",Aux_puntos!$1:$1,0))),NA())</f>
        <v/>
      </c>
      <c r="AF57">
        <f>IFERROR(IF(INDEX(Aux_puntos!$A$2:$OJ$901,53,MATCH($B$2&amp;"|yC",Aux_puntos!$1:$1,0))="",NA(),INDEX(Aux_puntos!$A$2:$OJ$901,53,MATCH($B$2&amp;"|yC",Aux_puntos!$1:$1,0))),NA())</f>
        <v/>
      </c>
      <c r="AG57">
        <f>IFERROR(IF(INDEX(Aux_puntos!$A$2:$OJ$901,53,MATCH($B$2&amp;"|xI",Aux_puntos!$1:$1,0))="",NA(),INDEX(Aux_puntos!$A$2:$OJ$901,53,MATCH($B$2&amp;"|xI",Aux_puntos!$1:$1,0))),NA())</f>
        <v/>
      </c>
      <c r="AH57">
        <f>IFERROR(IF(INDEX(Aux_puntos!$A$2:$OJ$901,53,MATCH($B$2&amp;"|yI",Aux_puntos!$1:$1,0))="",NA(),INDEX(Aux_puntos!$A$2:$OJ$901,53,MATCH($B$2&amp;"|yI",Aux_puntos!$1:$1,0))),NA())</f>
        <v/>
      </c>
      <c r="AI57">
        <f>IFERROR(IF(INDEX(Aux_puntos!$A$2:$OJ$901,53,MATCH($B$2&amp;"|xN",Aux_puntos!$1:$1,0))="",NA(),INDEX(Aux_puntos!$A$2:$OJ$901,53,MATCH($B$2&amp;"|xN",Aux_puntos!$1:$1,0))),NA())</f>
        <v/>
      </c>
      <c r="AJ57">
        <f>IFERROR(IF(INDEX(Aux_puntos!$A$2:$OJ$901,53,MATCH($B$2&amp;"|yN",Aux_puntos!$1:$1,0))="",NA(),INDEX(Aux_puntos!$A$2:$OJ$901,53,MATCH($B$2&amp;"|yN",Aux_puntos!$1:$1,0))),NA())</f>
        <v/>
      </c>
    </row>
    <row r="58">
      <c r="AC58">
        <f>IFERROR(IF(INDEX(Aux_puntos!$A$2:$OJ$901,54,MATCH($B$2&amp;"|xK",Aux_puntos!$1:$1,0))="",NA(),INDEX(Aux_puntos!$A$2:$OJ$901,54,MATCH($B$2&amp;"|xK",Aux_puntos!$1:$1,0))),NA())</f>
        <v/>
      </c>
      <c r="AD58">
        <f>IFERROR(IF(INDEX(Aux_puntos!$A$2:$OJ$901,54,MATCH($B$2&amp;"|yK",Aux_puntos!$1:$1,0))="",NA(),INDEX(Aux_puntos!$A$2:$OJ$901,54,MATCH($B$2&amp;"|yK",Aux_puntos!$1:$1,0))),NA())</f>
        <v/>
      </c>
      <c r="AE58">
        <f>IFERROR(IF(INDEX(Aux_puntos!$A$2:$OJ$901,54,MATCH($B$2&amp;"|xC",Aux_puntos!$1:$1,0))="",NA(),INDEX(Aux_puntos!$A$2:$OJ$901,54,MATCH($B$2&amp;"|xC",Aux_puntos!$1:$1,0))),NA())</f>
        <v/>
      </c>
      <c r="AF58">
        <f>IFERROR(IF(INDEX(Aux_puntos!$A$2:$OJ$901,54,MATCH($B$2&amp;"|yC",Aux_puntos!$1:$1,0))="",NA(),INDEX(Aux_puntos!$A$2:$OJ$901,54,MATCH($B$2&amp;"|yC",Aux_puntos!$1:$1,0))),NA())</f>
        <v/>
      </c>
      <c r="AG58">
        <f>IFERROR(IF(INDEX(Aux_puntos!$A$2:$OJ$901,54,MATCH($B$2&amp;"|xI",Aux_puntos!$1:$1,0))="",NA(),INDEX(Aux_puntos!$A$2:$OJ$901,54,MATCH($B$2&amp;"|xI",Aux_puntos!$1:$1,0))),NA())</f>
        <v/>
      </c>
      <c r="AH58">
        <f>IFERROR(IF(INDEX(Aux_puntos!$A$2:$OJ$901,54,MATCH($B$2&amp;"|yI",Aux_puntos!$1:$1,0))="",NA(),INDEX(Aux_puntos!$A$2:$OJ$901,54,MATCH($B$2&amp;"|yI",Aux_puntos!$1:$1,0))),NA())</f>
        <v/>
      </c>
      <c r="AI58">
        <f>IFERROR(IF(INDEX(Aux_puntos!$A$2:$OJ$901,54,MATCH($B$2&amp;"|xN",Aux_puntos!$1:$1,0))="",NA(),INDEX(Aux_puntos!$A$2:$OJ$901,54,MATCH($B$2&amp;"|xN",Aux_puntos!$1:$1,0))),NA())</f>
        <v/>
      </c>
      <c r="AJ58">
        <f>IFERROR(IF(INDEX(Aux_puntos!$A$2:$OJ$901,54,MATCH($B$2&amp;"|yN",Aux_puntos!$1:$1,0))="",NA(),INDEX(Aux_puntos!$A$2:$OJ$901,54,MATCH($B$2&amp;"|yN",Aux_puntos!$1:$1,0))),NA())</f>
        <v/>
      </c>
    </row>
    <row r="59">
      <c r="AC59">
        <f>IFERROR(IF(INDEX(Aux_puntos!$A$2:$OJ$901,55,MATCH($B$2&amp;"|xK",Aux_puntos!$1:$1,0))="",NA(),INDEX(Aux_puntos!$A$2:$OJ$901,55,MATCH($B$2&amp;"|xK",Aux_puntos!$1:$1,0))),NA())</f>
        <v/>
      </c>
      <c r="AD59">
        <f>IFERROR(IF(INDEX(Aux_puntos!$A$2:$OJ$901,55,MATCH($B$2&amp;"|yK",Aux_puntos!$1:$1,0))="",NA(),INDEX(Aux_puntos!$A$2:$OJ$901,55,MATCH($B$2&amp;"|yK",Aux_puntos!$1:$1,0))),NA())</f>
        <v/>
      </c>
      <c r="AE59">
        <f>IFERROR(IF(INDEX(Aux_puntos!$A$2:$OJ$901,55,MATCH($B$2&amp;"|xC",Aux_puntos!$1:$1,0))="",NA(),INDEX(Aux_puntos!$A$2:$OJ$901,55,MATCH($B$2&amp;"|xC",Aux_puntos!$1:$1,0))),NA())</f>
        <v/>
      </c>
      <c r="AF59">
        <f>IFERROR(IF(INDEX(Aux_puntos!$A$2:$OJ$901,55,MATCH($B$2&amp;"|yC",Aux_puntos!$1:$1,0))="",NA(),INDEX(Aux_puntos!$A$2:$OJ$901,55,MATCH($B$2&amp;"|yC",Aux_puntos!$1:$1,0))),NA())</f>
        <v/>
      </c>
      <c r="AG59">
        <f>IFERROR(IF(INDEX(Aux_puntos!$A$2:$OJ$901,55,MATCH($B$2&amp;"|xI",Aux_puntos!$1:$1,0))="",NA(),INDEX(Aux_puntos!$A$2:$OJ$901,55,MATCH($B$2&amp;"|xI",Aux_puntos!$1:$1,0))),NA())</f>
        <v/>
      </c>
      <c r="AH59">
        <f>IFERROR(IF(INDEX(Aux_puntos!$A$2:$OJ$901,55,MATCH($B$2&amp;"|yI",Aux_puntos!$1:$1,0))="",NA(),INDEX(Aux_puntos!$A$2:$OJ$901,55,MATCH($B$2&amp;"|yI",Aux_puntos!$1:$1,0))),NA())</f>
        <v/>
      </c>
      <c r="AI59">
        <f>IFERROR(IF(INDEX(Aux_puntos!$A$2:$OJ$901,55,MATCH($B$2&amp;"|xN",Aux_puntos!$1:$1,0))="",NA(),INDEX(Aux_puntos!$A$2:$OJ$901,55,MATCH($B$2&amp;"|xN",Aux_puntos!$1:$1,0))),NA())</f>
        <v/>
      </c>
      <c r="AJ59">
        <f>IFERROR(IF(INDEX(Aux_puntos!$A$2:$OJ$901,55,MATCH($B$2&amp;"|yN",Aux_puntos!$1:$1,0))="",NA(),INDEX(Aux_puntos!$A$2:$OJ$901,55,MATCH($B$2&amp;"|yN",Aux_puntos!$1:$1,0))),NA())</f>
        <v/>
      </c>
    </row>
    <row r="60">
      <c r="AC60">
        <f>IFERROR(IF(INDEX(Aux_puntos!$A$2:$OJ$901,56,MATCH($B$2&amp;"|xK",Aux_puntos!$1:$1,0))="",NA(),INDEX(Aux_puntos!$A$2:$OJ$901,56,MATCH($B$2&amp;"|xK",Aux_puntos!$1:$1,0))),NA())</f>
        <v/>
      </c>
      <c r="AD60">
        <f>IFERROR(IF(INDEX(Aux_puntos!$A$2:$OJ$901,56,MATCH($B$2&amp;"|yK",Aux_puntos!$1:$1,0))="",NA(),INDEX(Aux_puntos!$A$2:$OJ$901,56,MATCH($B$2&amp;"|yK",Aux_puntos!$1:$1,0))),NA())</f>
        <v/>
      </c>
      <c r="AE60">
        <f>IFERROR(IF(INDEX(Aux_puntos!$A$2:$OJ$901,56,MATCH($B$2&amp;"|xC",Aux_puntos!$1:$1,0))="",NA(),INDEX(Aux_puntos!$A$2:$OJ$901,56,MATCH($B$2&amp;"|xC",Aux_puntos!$1:$1,0))),NA())</f>
        <v/>
      </c>
      <c r="AF60">
        <f>IFERROR(IF(INDEX(Aux_puntos!$A$2:$OJ$901,56,MATCH($B$2&amp;"|yC",Aux_puntos!$1:$1,0))="",NA(),INDEX(Aux_puntos!$A$2:$OJ$901,56,MATCH($B$2&amp;"|yC",Aux_puntos!$1:$1,0))),NA())</f>
        <v/>
      </c>
      <c r="AG60">
        <f>IFERROR(IF(INDEX(Aux_puntos!$A$2:$OJ$901,56,MATCH($B$2&amp;"|xI",Aux_puntos!$1:$1,0))="",NA(),INDEX(Aux_puntos!$A$2:$OJ$901,56,MATCH($B$2&amp;"|xI",Aux_puntos!$1:$1,0))),NA())</f>
        <v/>
      </c>
      <c r="AH60">
        <f>IFERROR(IF(INDEX(Aux_puntos!$A$2:$OJ$901,56,MATCH($B$2&amp;"|yI",Aux_puntos!$1:$1,0))="",NA(),INDEX(Aux_puntos!$A$2:$OJ$901,56,MATCH($B$2&amp;"|yI",Aux_puntos!$1:$1,0))),NA())</f>
        <v/>
      </c>
      <c r="AI60">
        <f>IFERROR(IF(INDEX(Aux_puntos!$A$2:$OJ$901,56,MATCH($B$2&amp;"|xN",Aux_puntos!$1:$1,0))="",NA(),INDEX(Aux_puntos!$A$2:$OJ$901,56,MATCH($B$2&amp;"|xN",Aux_puntos!$1:$1,0))),NA())</f>
        <v/>
      </c>
      <c r="AJ60">
        <f>IFERROR(IF(INDEX(Aux_puntos!$A$2:$OJ$901,56,MATCH($B$2&amp;"|yN",Aux_puntos!$1:$1,0))="",NA(),INDEX(Aux_puntos!$A$2:$OJ$901,56,MATCH($B$2&amp;"|yN",Aux_puntos!$1:$1,0))),NA())</f>
        <v/>
      </c>
    </row>
    <row r="61">
      <c r="AC61">
        <f>IFERROR(IF(INDEX(Aux_puntos!$A$2:$OJ$901,57,MATCH($B$2&amp;"|xK",Aux_puntos!$1:$1,0))="",NA(),INDEX(Aux_puntos!$A$2:$OJ$901,57,MATCH($B$2&amp;"|xK",Aux_puntos!$1:$1,0))),NA())</f>
        <v/>
      </c>
      <c r="AD61">
        <f>IFERROR(IF(INDEX(Aux_puntos!$A$2:$OJ$901,57,MATCH($B$2&amp;"|yK",Aux_puntos!$1:$1,0))="",NA(),INDEX(Aux_puntos!$A$2:$OJ$901,57,MATCH($B$2&amp;"|yK",Aux_puntos!$1:$1,0))),NA())</f>
        <v/>
      </c>
      <c r="AE61">
        <f>IFERROR(IF(INDEX(Aux_puntos!$A$2:$OJ$901,57,MATCH($B$2&amp;"|xC",Aux_puntos!$1:$1,0))="",NA(),INDEX(Aux_puntos!$A$2:$OJ$901,57,MATCH($B$2&amp;"|xC",Aux_puntos!$1:$1,0))),NA())</f>
        <v/>
      </c>
      <c r="AF61">
        <f>IFERROR(IF(INDEX(Aux_puntos!$A$2:$OJ$901,57,MATCH($B$2&amp;"|yC",Aux_puntos!$1:$1,0))="",NA(),INDEX(Aux_puntos!$A$2:$OJ$901,57,MATCH($B$2&amp;"|yC",Aux_puntos!$1:$1,0))),NA())</f>
        <v/>
      </c>
      <c r="AG61">
        <f>IFERROR(IF(INDEX(Aux_puntos!$A$2:$OJ$901,57,MATCH($B$2&amp;"|xI",Aux_puntos!$1:$1,0))="",NA(),INDEX(Aux_puntos!$A$2:$OJ$901,57,MATCH($B$2&amp;"|xI",Aux_puntos!$1:$1,0))),NA())</f>
        <v/>
      </c>
      <c r="AH61">
        <f>IFERROR(IF(INDEX(Aux_puntos!$A$2:$OJ$901,57,MATCH($B$2&amp;"|yI",Aux_puntos!$1:$1,0))="",NA(),INDEX(Aux_puntos!$A$2:$OJ$901,57,MATCH($B$2&amp;"|yI",Aux_puntos!$1:$1,0))),NA())</f>
        <v/>
      </c>
      <c r="AI61">
        <f>IFERROR(IF(INDEX(Aux_puntos!$A$2:$OJ$901,57,MATCH($B$2&amp;"|xN",Aux_puntos!$1:$1,0))="",NA(),INDEX(Aux_puntos!$A$2:$OJ$901,57,MATCH($B$2&amp;"|xN",Aux_puntos!$1:$1,0))),NA())</f>
        <v/>
      </c>
      <c r="AJ61">
        <f>IFERROR(IF(INDEX(Aux_puntos!$A$2:$OJ$901,57,MATCH($B$2&amp;"|yN",Aux_puntos!$1:$1,0))="",NA(),INDEX(Aux_puntos!$A$2:$OJ$901,57,MATCH($B$2&amp;"|yN",Aux_puntos!$1:$1,0))),NA())</f>
        <v/>
      </c>
    </row>
    <row r="62">
      <c r="AC62">
        <f>IFERROR(IF(INDEX(Aux_puntos!$A$2:$OJ$901,58,MATCH($B$2&amp;"|xK",Aux_puntos!$1:$1,0))="",NA(),INDEX(Aux_puntos!$A$2:$OJ$901,58,MATCH($B$2&amp;"|xK",Aux_puntos!$1:$1,0))),NA())</f>
        <v/>
      </c>
      <c r="AD62">
        <f>IFERROR(IF(INDEX(Aux_puntos!$A$2:$OJ$901,58,MATCH($B$2&amp;"|yK",Aux_puntos!$1:$1,0))="",NA(),INDEX(Aux_puntos!$A$2:$OJ$901,58,MATCH($B$2&amp;"|yK",Aux_puntos!$1:$1,0))),NA())</f>
        <v/>
      </c>
      <c r="AE62">
        <f>IFERROR(IF(INDEX(Aux_puntos!$A$2:$OJ$901,58,MATCH($B$2&amp;"|xC",Aux_puntos!$1:$1,0))="",NA(),INDEX(Aux_puntos!$A$2:$OJ$901,58,MATCH($B$2&amp;"|xC",Aux_puntos!$1:$1,0))),NA())</f>
        <v/>
      </c>
      <c r="AF62">
        <f>IFERROR(IF(INDEX(Aux_puntos!$A$2:$OJ$901,58,MATCH($B$2&amp;"|yC",Aux_puntos!$1:$1,0))="",NA(),INDEX(Aux_puntos!$A$2:$OJ$901,58,MATCH($B$2&amp;"|yC",Aux_puntos!$1:$1,0))),NA())</f>
        <v/>
      </c>
      <c r="AG62">
        <f>IFERROR(IF(INDEX(Aux_puntos!$A$2:$OJ$901,58,MATCH($B$2&amp;"|xI",Aux_puntos!$1:$1,0))="",NA(),INDEX(Aux_puntos!$A$2:$OJ$901,58,MATCH($B$2&amp;"|xI",Aux_puntos!$1:$1,0))),NA())</f>
        <v/>
      </c>
      <c r="AH62">
        <f>IFERROR(IF(INDEX(Aux_puntos!$A$2:$OJ$901,58,MATCH($B$2&amp;"|yI",Aux_puntos!$1:$1,0))="",NA(),INDEX(Aux_puntos!$A$2:$OJ$901,58,MATCH($B$2&amp;"|yI",Aux_puntos!$1:$1,0))),NA())</f>
        <v/>
      </c>
      <c r="AI62">
        <f>IFERROR(IF(INDEX(Aux_puntos!$A$2:$OJ$901,58,MATCH($B$2&amp;"|xN",Aux_puntos!$1:$1,0))="",NA(),INDEX(Aux_puntos!$A$2:$OJ$901,58,MATCH($B$2&amp;"|xN",Aux_puntos!$1:$1,0))),NA())</f>
        <v/>
      </c>
      <c r="AJ62">
        <f>IFERROR(IF(INDEX(Aux_puntos!$A$2:$OJ$901,58,MATCH($B$2&amp;"|yN",Aux_puntos!$1:$1,0))="",NA(),INDEX(Aux_puntos!$A$2:$OJ$901,58,MATCH($B$2&amp;"|yN",Aux_puntos!$1:$1,0))),NA())</f>
        <v/>
      </c>
    </row>
    <row r="63">
      <c r="AC63">
        <f>IFERROR(IF(INDEX(Aux_puntos!$A$2:$OJ$901,59,MATCH($B$2&amp;"|xK",Aux_puntos!$1:$1,0))="",NA(),INDEX(Aux_puntos!$A$2:$OJ$901,59,MATCH($B$2&amp;"|xK",Aux_puntos!$1:$1,0))),NA())</f>
        <v/>
      </c>
      <c r="AD63">
        <f>IFERROR(IF(INDEX(Aux_puntos!$A$2:$OJ$901,59,MATCH($B$2&amp;"|yK",Aux_puntos!$1:$1,0))="",NA(),INDEX(Aux_puntos!$A$2:$OJ$901,59,MATCH($B$2&amp;"|yK",Aux_puntos!$1:$1,0))),NA())</f>
        <v/>
      </c>
      <c r="AE63">
        <f>IFERROR(IF(INDEX(Aux_puntos!$A$2:$OJ$901,59,MATCH($B$2&amp;"|xC",Aux_puntos!$1:$1,0))="",NA(),INDEX(Aux_puntos!$A$2:$OJ$901,59,MATCH($B$2&amp;"|xC",Aux_puntos!$1:$1,0))),NA())</f>
        <v/>
      </c>
      <c r="AF63">
        <f>IFERROR(IF(INDEX(Aux_puntos!$A$2:$OJ$901,59,MATCH($B$2&amp;"|yC",Aux_puntos!$1:$1,0))="",NA(),INDEX(Aux_puntos!$A$2:$OJ$901,59,MATCH($B$2&amp;"|yC",Aux_puntos!$1:$1,0))),NA())</f>
        <v/>
      </c>
      <c r="AG63">
        <f>IFERROR(IF(INDEX(Aux_puntos!$A$2:$OJ$901,59,MATCH($B$2&amp;"|xI",Aux_puntos!$1:$1,0))="",NA(),INDEX(Aux_puntos!$A$2:$OJ$901,59,MATCH($B$2&amp;"|xI",Aux_puntos!$1:$1,0))),NA())</f>
        <v/>
      </c>
      <c r="AH63">
        <f>IFERROR(IF(INDEX(Aux_puntos!$A$2:$OJ$901,59,MATCH($B$2&amp;"|yI",Aux_puntos!$1:$1,0))="",NA(),INDEX(Aux_puntos!$A$2:$OJ$901,59,MATCH($B$2&amp;"|yI",Aux_puntos!$1:$1,0))),NA())</f>
        <v/>
      </c>
      <c r="AI63">
        <f>IFERROR(IF(INDEX(Aux_puntos!$A$2:$OJ$901,59,MATCH($B$2&amp;"|xN",Aux_puntos!$1:$1,0))="",NA(),INDEX(Aux_puntos!$A$2:$OJ$901,59,MATCH($B$2&amp;"|xN",Aux_puntos!$1:$1,0))),NA())</f>
        <v/>
      </c>
      <c r="AJ63">
        <f>IFERROR(IF(INDEX(Aux_puntos!$A$2:$OJ$901,59,MATCH($B$2&amp;"|yN",Aux_puntos!$1:$1,0))="",NA(),INDEX(Aux_puntos!$A$2:$OJ$901,59,MATCH($B$2&amp;"|yN",Aux_puntos!$1:$1,0))),NA())</f>
        <v/>
      </c>
    </row>
    <row r="64">
      <c r="AC64">
        <f>IFERROR(IF(INDEX(Aux_puntos!$A$2:$OJ$901,60,MATCH($B$2&amp;"|xK",Aux_puntos!$1:$1,0))="",NA(),INDEX(Aux_puntos!$A$2:$OJ$901,60,MATCH($B$2&amp;"|xK",Aux_puntos!$1:$1,0))),NA())</f>
        <v/>
      </c>
      <c r="AD64">
        <f>IFERROR(IF(INDEX(Aux_puntos!$A$2:$OJ$901,60,MATCH($B$2&amp;"|yK",Aux_puntos!$1:$1,0))="",NA(),INDEX(Aux_puntos!$A$2:$OJ$901,60,MATCH($B$2&amp;"|yK",Aux_puntos!$1:$1,0))),NA())</f>
        <v/>
      </c>
      <c r="AE64">
        <f>IFERROR(IF(INDEX(Aux_puntos!$A$2:$OJ$901,60,MATCH($B$2&amp;"|xC",Aux_puntos!$1:$1,0))="",NA(),INDEX(Aux_puntos!$A$2:$OJ$901,60,MATCH($B$2&amp;"|xC",Aux_puntos!$1:$1,0))),NA())</f>
        <v/>
      </c>
      <c r="AF64">
        <f>IFERROR(IF(INDEX(Aux_puntos!$A$2:$OJ$901,60,MATCH($B$2&amp;"|yC",Aux_puntos!$1:$1,0))="",NA(),INDEX(Aux_puntos!$A$2:$OJ$901,60,MATCH($B$2&amp;"|yC",Aux_puntos!$1:$1,0))),NA())</f>
        <v/>
      </c>
      <c r="AG64">
        <f>IFERROR(IF(INDEX(Aux_puntos!$A$2:$OJ$901,60,MATCH($B$2&amp;"|xI",Aux_puntos!$1:$1,0))="",NA(),INDEX(Aux_puntos!$A$2:$OJ$901,60,MATCH($B$2&amp;"|xI",Aux_puntos!$1:$1,0))),NA())</f>
        <v/>
      </c>
      <c r="AH64">
        <f>IFERROR(IF(INDEX(Aux_puntos!$A$2:$OJ$901,60,MATCH($B$2&amp;"|yI",Aux_puntos!$1:$1,0))="",NA(),INDEX(Aux_puntos!$A$2:$OJ$901,60,MATCH($B$2&amp;"|yI",Aux_puntos!$1:$1,0))),NA())</f>
        <v/>
      </c>
      <c r="AI64">
        <f>IFERROR(IF(INDEX(Aux_puntos!$A$2:$OJ$901,60,MATCH($B$2&amp;"|xN",Aux_puntos!$1:$1,0))="",NA(),INDEX(Aux_puntos!$A$2:$OJ$901,60,MATCH($B$2&amp;"|xN",Aux_puntos!$1:$1,0))),NA())</f>
        <v/>
      </c>
      <c r="AJ64">
        <f>IFERROR(IF(INDEX(Aux_puntos!$A$2:$OJ$901,60,MATCH($B$2&amp;"|yN",Aux_puntos!$1:$1,0))="",NA(),INDEX(Aux_puntos!$A$2:$OJ$901,60,MATCH($B$2&amp;"|yN",Aux_puntos!$1:$1,0))),NA())</f>
        <v/>
      </c>
    </row>
    <row r="65">
      <c r="AC65">
        <f>IFERROR(IF(INDEX(Aux_puntos!$A$2:$OJ$901,61,MATCH($B$2&amp;"|xK",Aux_puntos!$1:$1,0))="",NA(),INDEX(Aux_puntos!$A$2:$OJ$901,61,MATCH($B$2&amp;"|xK",Aux_puntos!$1:$1,0))),NA())</f>
        <v/>
      </c>
      <c r="AD65">
        <f>IFERROR(IF(INDEX(Aux_puntos!$A$2:$OJ$901,61,MATCH($B$2&amp;"|yK",Aux_puntos!$1:$1,0))="",NA(),INDEX(Aux_puntos!$A$2:$OJ$901,61,MATCH($B$2&amp;"|yK",Aux_puntos!$1:$1,0))),NA())</f>
        <v/>
      </c>
      <c r="AE65">
        <f>IFERROR(IF(INDEX(Aux_puntos!$A$2:$OJ$901,61,MATCH($B$2&amp;"|xC",Aux_puntos!$1:$1,0))="",NA(),INDEX(Aux_puntos!$A$2:$OJ$901,61,MATCH($B$2&amp;"|xC",Aux_puntos!$1:$1,0))),NA())</f>
        <v/>
      </c>
      <c r="AF65">
        <f>IFERROR(IF(INDEX(Aux_puntos!$A$2:$OJ$901,61,MATCH($B$2&amp;"|yC",Aux_puntos!$1:$1,0))="",NA(),INDEX(Aux_puntos!$A$2:$OJ$901,61,MATCH($B$2&amp;"|yC",Aux_puntos!$1:$1,0))),NA())</f>
        <v/>
      </c>
      <c r="AG65">
        <f>IFERROR(IF(INDEX(Aux_puntos!$A$2:$OJ$901,61,MATCH($B$2&amp;"|xI",Aux_puntos!$1:$1,0))="",NA(),INDEX(Aux_puntos!$A$2:$OJ$901,61,MATCH($B$2&amp;"|xI",Aux_puntos!$1:$1,0))),NA())</f>
        <v/>
      </c>
      <c r="AH65">
        <f>IFERROR(IF(INDEX(Aux_puntos!$A$2:$OJ$901,61,MATCH($B$2&amp;"|yI",Aux_puntos!$1:$1,0))="",NA(),INDEX(Aux_puntos!$A$2:$OJ$901,61,MATCH($B$2&amp;"|yI",Aux_puntos!$1:$1,0))),NA())</f>
        <v/>
      </c>
      <c r="AI65">
        <f>IFERROR(IF(INDEX(Aux_puntos!$A$2:$OJ$901,61,MATCH($B$2&amp;"|xN",Aux_puntos!$1:$1,0))="",NA(),INDEX(Aux_puntos!$A$2:$OJ$901,61,MATCH($B$2&amp;"|xN",Aux_puntos!$1:$1,0))),NA())</f>
        <v/>
      </c>
      <c r="AJ65">
        <f>IFERROR(IF(INDEX(Aux_puntos!$A$2:$OJ$901,61,MATCH($B$2&amp;"|yN",Aux_puntos!$1:$1,0))="",NA(),INDEX(Aux_puntos!$A$2:$OJ$901,61,MATCH($B$2&amp;"|yN",Aux_puntos!$1:$1,0))),NA())</f>
        <v/>
      </c>
    </row>
    <row r="66">
      <c r="AC66">
        <f>IFERROR(IF(INDEX(Aux_puntos!$A$2:$OJ$901,62,MATCH($B$2&amp;"|xK",Aux_puntos!$1:$1,0))="",NA(),INDEX(Aux_puntos!$A$2:$OJ$901,62,MATCH($B$2&amp;"|xK",Aux_puntos!$1:$1,0))),NA())</f>
        <v/>
      </c>
      <c r="AD66">
        <f>IFERROR(IF(INDEX(Aux_puntos!$A$2:$OJ$901,62,MATCH($B$2&amp;"|yK",Aux_puntos!$1:$1,0))="",NA(),INDEX(Aux_puntos!$A$2:$OJ$901,62,MATCH($B$2&amp;"|yK",Aux_puntos!$1:$1,0))),NA())</f>
        <v/>
      </c>
      <c r="AE66">
        <f>IFERROR(IF(INDEX(Aux_puntos!$A$2:$OJ$901,62,MATCH($B$2&amp;"|xC",Aux_puntos!$1:$1,0))="",NA(),INDEX(Aux_puntos!$A$2:$OJ$901,62,MATCH($B$2&amp;"|xC",Aux_puntos!$1:$1,0))),NA())</f>
        <v/>
      </c>
      <c r="AF66">
        <f>IFERROR(IF(INDEX(Aux_puntos!$A$2:$OJ$901,62,MATCH($B$2&amp;"|yC",Aux_puntos!$1:$1,0))="",NA(),INDEX(Aux_puntos!$A$2:$OJ$901,62,MATCH($B$2&amp;"|yC",Aux_puntos!$1:$1,0))),NA())</f>
        <v/>
      </c>
      <c r="AG66">
        <f>IFERROR(IF(INDEX(Aux_puntos!$A$2:$OJ$901,62,MATCH($B$2&amp;"|xI",Aux_puntos!$1:$1,0))="",NA(),INDEX(Aux_puntos!$A$2:$OJ$901,62,MATCH($B$2&amp;"|xI",Aux_puntos!$1:$1,0))),NA())</f>
        <v/>
      </c>
      <c r="AH66">
        <f>IFERROR(IF(INDEX(Aux_puntos!$A$2:$OJ$901,62,MATCH($B$2&amp;"|yI",Aux_puntos!$1:$1,0))="",NA(),INDEX(Aux_puntos!$A$2:$OJ$901,62,MATCH($B$2&amp;"|yI",Aux_puntos!$1:$1,0))),NA())</f>
        <v/>
      </c>
      <c r="AI66">
        <f>IFERROR(IF(INDEX(Aux_puntos!$A$2:$OJ$901,62,MATCH($B$2&amp;"|xN",Aux_puntos!$1:$1,0))="",NA(),INDEX(Aux_puntos!$A$2:$OJ$901,62,MATCH($B$2&amp;"|xN",Aux_puntos!$1:$1,0))),NA())</f>
        <v/>
      </c>
      <c r="AJ66">
        <f>IFERROR(IF(INDEX(Aux_puntos!$A$2:$OJ$901,62,MATCH($B$2&amp;"|yN",Aux_puntos!$1:$1,0))="",NA(),INDEX(Aux_puntos!$A$2:$OJ$901,62,MATCH($B$2&amp;"|yN",Aux_puntos!$1:$1,0))),NA())</f>
        <v/>
      </c>
    </row>
    <row r="67">
      <c r="AC67">
        <f>IFERROR(IF(INDEX(Aux_puntos!$A$2:$OJ$901,63,MATCH($B$2&amp;"|xK",Aux_puntos!$1:$1,0))="",NA(),INDEX(Aux_puntos!$A$2:$OJ$901,63,MATCH($B$2&amp;"|xK",Aux_puntos!$1:$1,0))),NA())</f>
        <v/>
      </c>
      <c r="AD67">
        <f>IFERROR(IF(INDEX(Aux_puntos!$A$2:$OJ$901,63,MATCH($B$2&amp;"|yK",Aux_puntos!$1:$1,0))="",NA(),INDEX(Aux_puntos!$A$2:$OJ$901,63,MATCH($B$2&amp;"|yK",Aux_puntos!$1:$1,0))),NA())</f>
        <v/>
      </c>
      <c r="AE67">
        <f>IFERROR(IF(INDEX(Aux_puntos!$A$2:$OJ$901,63,MATCH($B$2&amp;"|xC",Aux_puntos!$1:$1,0))="",NA(),INDEX(Aux_puntos!$A$2:$OJ$901,63,MATCH($B$2&amp;"|xC",Aux_puntos!$1:$1,0))),NA())</f>
        <v/>
      </c>
      <c r="AF67">
        <f>IFERROR(IF(INDEX(Aux_puntos!$A$2:$OJ$901,63,MATCH($B$2&amp;"|yC",Aux_puntos!$1:$1,0))="",NA(),INDEX(Aux_puntos!$A$2:$OJ$901,63,MATCH($B$2&amp;"|yC",Aux_puntos!$1:$1,0))),NA())</f>
        <v/>
      </c>
      <c r="AG67">
        <f>IFERROR(IF(INDEX(Aux_puntos!$A$2:$OJ$901,63,MATCH($B$2&amp;"|xI",Aux_puntos!$1:$1,0))="",NA(),INDEX(Aux_puntos!$A$2:$OJ$901,63,MATCH($B$2&amp;"|xI",Aux_puntos!$1:$1,0))),NA())</f>
        <v/>
      </c>
      <c r="AH67">
        <f>IFERROR(IF(INDEX(Aux_puntos!$A$2:$OJ$901,63,MATCH($B$2&amp;"|yI",Aux_puntos!$1:$1,0))="",NA(),INDEX(Aux_puntos!$A$2:$OJ$901,63,MATCH($B$2&amp;"|yI",Aux_puntos!$1:$1,0))),NA())</f>
        <v/>
      </c>
      <c r="AI67">
        <f>IFERROR(IF(INDEX(Aux_puntos!$A$2:$OJ$901,63,MATCH($B$2&amp;"|xN",Aux_puntos!$1:$1,0))="",NA(),INDEX(Aux_puntos!$A$2:$OJ$901,63,MATCH($B$2&amp;"|xN",Aux_puntos!$1:$1,0))),NA())</f>
        <v/>
      </c>
      <c r="AJ67">
        <f>IFERROR(IF(INDEX(Aux_puntos!$A$2:$OJ$901,63,MATCH($B$2&amp;"|yN",Aux_puntos!$1:$1,0))="",NA(),INDEX(Aux_puntos!$A$2:$OJ$901,63,MATCH($B$2&amp;"|yN",Aux_puntos!$1:$1,0))),NA())</f>
        <v/>
      </c>
    </row>
    <row r="68">
      <c r="AC68">
        <f>IFERROR(IF(INDEX(Aux_puntos!$A$2:$OJ$901,64,MATCH($B$2&amp;"|xK",Aux_puntos!$1:$1,0))="",NA(),INDEX(Aux_puntos!$A$2:$OJ$901,64,MATCH($B$2&amp;"|xK",Aux_puntos!$1:$1,0))),NA())</f>
        <v/>
      </c>
      <c r="AD68">
        <f>IFERROR(IF(INDEX(Aux_puntos!$A$2:$OJ$901,64,MATCH($B$2&amp;"|yK",Aux_puntos!$1:$1,0))="",NA(),INDEX(Aux_puntos!$A$2:$OJ$901,64,MATCH($B$2&amp;"|yK",Aux_puntos!$1:$1,0))),NA())</f>
        <v/>
      </c>
      <c r="AE68">
        <f>IFERROR(IF(INDEX(Aux_puntos!$A$2:$OJ$901,64,MATCH($B$2&amp;"|xC",Aux_puntos!$1:$1,0))="",NA(),INDEX(Aux_puntos!$A$2:$OJ$901,64,MATCH($B$2&amp;"|xC",Aux_puntos!$1:$1,0))),NA())</f>
        <v/>
      </c>
      <c r="AF68">
        <f>IFERROR(IF(INDEX(Aux_puntos!$A$2:$OJ$901,64,MATCH($B$2&amp;"|yC",Aux_puntos!$1:$1,0))="",NA(),INDEX(Aux_puntos!$A$2:$OJ$901,64,MATCH($B$2&amp;"|yC",Aux_puntos!$1:$1,0))),NA())</f>
        <v/>
      </c>
      <c r="AG68">
        <f>IFERROR(IF(INDEX(Aux_puntos!$A$2:$OJ$901,64,MATCH($B$2&amp;"|xI",Aux_puntos!$1:$1,0))="",NA(),INDEX(Aux_puntos!$A$2:$OJ$901,64,MATCH($B$2&amp;"|xI",Aux_puntos!$1:$1,0))),NA())</f>
        <v/>
      </c>
      <c r="AH68">
        <f>IFERROR(IF(INDEX(Aux_puntos!$A$2:$OJ$901,64,MATCH($B$2&amp;"|yI",Aux_puntos!$1:$1,0))="",NA(),INDEX(Aux_puntos!$A$2:$OJ$901,64,MATCH($B$2&amp;"|yI",Aux_puntos!$1:$1,0))),NA())</f>
        <v/>
      </c>
      <c r="AI68">
        <f>IFERROR(IF(INDEX(Aux_puntos!$A$2:$OJ$901,64,MATCH($B$2&amp;"|xN",Aux_puntos!$1:$1,0))="",NA(),INDEX(Aux_puntos!$A$2:$OJ$901,64,MATCH($B$2&amp;"|xN",Aux_puntos!$1:$1,0))),NA())</f>
        <v/>
      </c>
      <c r="AJ68">
        <f>IFERROR(IF(INDEX(Aux_puntos!$A$2:$OJ$901,64,MATCH($B$2&amp;"|yN",Aux_puntos!$1:$1,0))="",NA(),INDEX(Aux_puntos!$A$2:$OJ$901,64,MATCH($B$2&amp;"|yN",Aux_puntos!$1:$1,0))),NA())</f>
        <v/>
      </c>
    </row>
    <row r="69">
      <c r="AC69">
        <f>IFERROR(IF(INDEX(Aux_puntos!$A$2:$OJ$901,65,MATCH($B$2&amp;"|xK",Aux_puntos!$1:$1,0))="",NA(),INDEX(Aux_puntos!$A$2:$OJ$901,65,MATCH($B$2&amp;"|xK",Aux_puntos!$1:$1,0))),NA())</f>
        <v/>
      </c>
      <c r="AD69">
        <f>IFERROR(IF(INDEX(Aux_puntos!$A$2:$OJ$901,65,MATCH($B$2&amp;"|yK",Aux_puntos!$1:$1,0))="",NA(),INDEX(Aux_puntos!$A$2:$OJ$901,65,MATCH($B$2&amp;"|yK",Aux_puntos!$1:$1,0))),NA())</f>
        <v/>
      </c>
      <c r="AE69">
        <f>IFERROR(IF(INDEX(Aux_puntos!$A$2:$OJ$901,65,MATCH($B$2&amp;"|xC",Aux_puntos!$1:$1,0))="",NA(),INDEX(Aux_puntos!$A$2:$OJ$901,65,MATCH($B$2&amp;"|xC",Aux_puntos!$1:$1,0))),NA())</f>
        <v/>
      </c>
      <c r="AF69">
        <f>IFERROR(IF(INDEX(Aux_puntos!$A$2:$OJ$901,65,MATCH($B$2&amp;"|yC",Aux_puntos!$1:$1,0))="",NA(),INDEX(Aux_puntos!$A$2:$OJ$901,65,MATCH($B$2&amp;"|yC",Aux_puntos!$1:$1,0))),NA())</f>
        <v/>
      </c>
      <c r="AG69">
        <f>IFERROR(IF(INDEX(Aux_puntos!$A$2:$OJ$901,65,MATCH($B$2&amp;"|xI",Aux_puntos!$1:$1,0))="",NA(),INDEX(Aux_puntos!$A$2:$OJ$901,65,MATCH($B$2&amp;"|xI",Aux_puntos!$1:$1,0))),NA())</f>
        <v/>
      </c>
      <c r="AH69">
        <f>IFERROR(IF(INDEX(Aux_puntos!$A$2:$OJ$901,65,MATCH($B$2&amp;"|yI",Aux_puntos!$1:$1,0))="",NA(),INDEX(Aux_puntos!$A$2:$OJ$901,65,MATCH($B$2&amp;"|yI",Aux_puntos!$1:$1,0))),NA())</f>
        <v/>
      </c>
      <c r="AI69">
        <f>IFERROR(IF(INDEX(Aux_puntos!$A$2:$OJ$901,65,MATCH($B$2&amp;"|xN",Aux_puntos!$1:$1,0))="",NA(),INDEX(Aux_puntos!$A$2:$OJ$901,65,MATCH($B$2&amp;"|xN",Aux_puntos!$1:$1,0))),NA())</f>
        <v/>
      </c>
      <c r="AJ69">
        <f>IFERROR(IF(INDEX(Aux_puntos!$A$2:$OJ$901,65,MATCH($B$2&amp;"|yN",Aux_puntos!$1:$1,0))="",NA(),INDEX(Aux_puntos!$A$2:$OJ$901,65,MATCH($B$2&amp;"|yN",Aux_puntos!$1:$1,0))),NA())</f>
        <v/>
      </c>
    </row>
    <row r="70">
      <c r="AC70">
        <f>IFERROR(IF(INDEX(Aux_puntos!$A$2:$OJ$901,66,MATCH($B$2&amp;"|xK",Aux_puntos!$1:$1,0))="",NA(),INDEX(Aux_puntos!$A$2:$OJ$901,66,MATCH($B$2&amp;"|xK",Aux_puntos!$1:$1,0))),NA())</f>
        <v/>
      </c>
      <c r="AD70">
        <f>IFERROR(IF(INDEX(Aux_puntos!$A$2:$OJ$901,66,MATCH($B$2&amp;"|yK",Aux_puntos!$1:$1,0))="",NA(),INDEX(Aux_puntos!$A$2:$OJ$901,66,MATCH($B$2&amp;"|yK",Aux_puntos!$1:$1,0))),NA())</f>
        <v/>
      </c>
      <c r="AE70">
        <f>IFERROR(IF(INDEX(Aux_puntos!$A$2:$OJ$901,66,MATCH($B$2&amp;"|xC",Aux_puntos!$1:$1,0))="",NA(),INDEX(Aux_puntos!$A$2:$OJ$901,66,MATCH($B$2&amp;"|xC",Aux_puntos!$1:$1,0))),NA())</f>
        <v/>
      </c>
      <c r="AF70">
        <f>IFERROR(IF(INDEX(Aux_puntos!$A$2:$OJ$901,66,MATCH($B$2&amp;"|yC",Aux_puntos!$1:$1,0))="",NA(),INDEX(Aux_puntos!$A$2:$OJ$901,66,MATCH($B$2&amp;"|yC",Aux_puntos!$1:$1,0))),NA())</f>
        <v/>
      </c>
      <c r="AG70">
        <f>IFERROR(IF(INDEX(Aux_puntos!$A$2:$OJ$901,66,MATCH($B$2&amp;"|xI",Aux_puntos!$1:$1,0))="",NA(),INDEX(Aux_puntos!$A$2:$OJ$901,66,MATCH($B$2&amp;"|xI",Aux_puntos!$1:$1,0))),NA())</f>
        <v/>
      </c>
      <c r="AH70">
        <f>IFERROR(IF(INDEX(Aux_puntos!$A$2:$OJ$901,66,MATCH($B$2&amp;"|yI",Aux_puntos!$1:$1,0))="",NA(),INDEX(Aux_puntos!$A$2:$OJ$901,66,MATCH($B$2&amp;"|yI",Aux_puntos!$1:$1,0))),NA())</f>
        <v/>
      </c>
      <c r="AI70">
        <f>IFERROR(IF(INDEX(Aux_puntos!$A$2:$OJ$901,66,MATCH($B$2&amp;"|xN",Aux_puntos!$1:$1,0))="",NA(),INDEX(Aux_puntos!$A$2:$OJ$901,66,MATCH($B$2&amp;"|xN",Aux_puntos!$1:$1,0))),NA())</f>
        <v/>
      </c>
      <c r="AJ70">
        <f>IFERROR(IF(INDEX(Aux_puntos!$A$2:$OJ$901,66,MATCH($B$2&amp;"|yN",Aux_puntos!$1:$1,0))="",NA(),INDEX(Aux_puntos!$A$2:$OJ$901,66,MATCH($B$2&amp;"|yN",Aux_puntos!$1:$1,0))),NA())</f>
        <v/>
      </c>
    </row>
    <row r="71">
      <c r="AC71">
        <f>IFERROR(IF(INDEX(Aux_puntos!$A$2:$OJ$901,67,MATCH($B$2&amp;"|xK",Aux_puntos!$1:$1,0))="",NA(),INDEX(Aux_puntos!$A$2:$OJ$901,67,MATCH($B$2&amp;"|xK",Aux_puntos!$1:$1,0))),NA())</f>
        <v/>
      </c>
      <c r="AD71">
        <f>IFERROR(IF(INDEX(Aux_puntos!$A$2:$OJ$901,67,MATCH($B$2&amp;"|yK",Aux_puntos!$1:$1,0))="",NA(),INDEX(Aux_puntos!$A$2:$OJ$901,67,MATCH($B$2&amp;"|yK",Aux_puntos!$1:$1,0))),NA())</f>
        <v/>
      </c>
      <c r="AE71">
        <f>IFERROR(IF(INDEX(Aux_puntos!$A$2:$OJ$901,67,MATCH($B$2&amp;"|xC",Aux_puntos!$1:$1,0))="",NA(),INDEX(Aux_puntos!$A$2:$OJ$901,67,MATCH($B$2&amp;"|xC",Aux_puntos!$1:$1,0))),NA())</f>
        <v/>
      </c>
      <c r="AF71">
        <f>IFERROR(IF(INDEX(Aux_puntos!$A$2:$OJ$901,67,MATCH($B$2&amp;"|yC",Aux_puntos!$1:$1,0))="",NA(),INDEX(Aux_puntos!$A$2:$OJ$901,67,MATCH($B$2&amp;"|yC",Aux_puntos!$1:$1,0))),NA())</f>
        <v/>
      </c>
      <c r="AG71">
        <f>IFERROR(IF(INDEX(Aux_puntos!$A$2:$OJ$901,67,MATCH($B$2&amp;"|xI",Aux_puntos!$1:$1,0))="",NA(),INDEX(Aux_puntos!$A$2:$OJ$901,67,MATCH($B$2&amp;"|xI",Aux_puntos!$1:$1,0))),NA())</f>
        <v/>
      </c>
      <c r="AH71">
        <f>IFERROR(IF(INDEX(Aux_puntos!$A$2:$OJ$901,67,MATCH($B$2&amp;"|yI",Aux_puntos!$1:$1,0))="",NA(),INDEX(Aux_puntos!$A$2:$OJ$901,67,MATCH($B$2&amp;"|yI",Aux_puntos!$1:$1,0))),NA())</f>
        <v/>
      </c>
      <c r="AI71">
        <f>IFERROR(IF(INDEX(Aux_puntos!$A$2:$OJ$901,67,MATCH($B$2&amp;"|xN",Aux_puntos!$1:$1,0))="",NA(),INDEX(Aux_puntos!$A$2:$OJ$901,67,MATCH($B$2&amp;"|xN",Aux_puntos!$1:$1,0))),NA())</f>
        <v/>
      </c>
      <c r="AJ71">
        <f>IFERROR(IF(INDEX(Aux_puntos!$A$2:$OJ$901,67,MATCH($B$2&amp;"|yN",Aux_puntos!$1:$1,0))="",NA(),INDEX(Aux_puntos!$A$2:$OJ$901,67,MATCH($B$2&amp;"|yN",Aux_puntos!$1:$1,0))),NA())</f>
        <v/>
      </c>
    </row>
    <row r="72">
      <c r="AC72">
        <f>IFERROR(IF(INDEX(Aux_puntos!$A$2:$OJ$901,68,MATCH($B$2&amp;"|xK",Aux_puntos!$1:$1,0))="",NA(),INDEX(Aux_puntos!$A$2:$OJ$901,68,MATCH($B$2&amp;"|xK",Aux_puntos!$1:$1,0))),NA())</f>
        <v/>
      </c>
      <c r="AD72">
        <f>IFERROR(IF(INDEX(Aux_puntos!$A$2:$OJ$901,68,MATCH($B$2&amp;"|yK",Aux_puntos!$1:$1,0))="",NA(),INDEX(Aux_puntos!$A$2:$OJ$901,68,MATCH($B$2&amp;"|yK",Aux_puntos!$1:$1,0))),NA())</f>
        <v/>
      </c>
      <c r="AE72">
        <f>IFERROR(IF(INDEX(Aux_puntos!$A$2:$OJ$901,68,MATCH($B$2&amp;"|xC",Aux_puntos!$1:$1,0))="",NA(),INDEX(Aux_puntos!$A$2:$OJ$901,68,MATCH($B$2&amp;"|xC",Aux_puntos!$1:$1,0))),NA())</f>
        <v/>
      </c>
      <c r="AF72">
        <f>IFERROR(IF(INDEX(Aux_puntos!$A$2:$OJ$901,68,MATCH($B$2&amp;"|yC",Aux_puntos!$1:$1,0))="",NA(),INDEX(Aux_puntos!$A$2:$OJ$901,68,MATCH($B$2&amp;"|yC",Aux_puntos!$1:$1,0))),NA())</f>
        <v/>
      </c>
      <c r="AG72">
        <f>IFERROR(IF(INDEX(Aux_puntos!$A$2:$OJ$901,68,MATCH($B$2&amp;"|xI",Aux_puntos!$1:$1,0))="",NA(),INDEX(Aux_puntos!$A$2:$OJ$901,68,MATCH($B$2&amp;"|xI",Aux_puntos!$1:$1,0))),NA())</f>
        <v/>
      </c>
      <c r="AH72">
        <f>IFERROR(IF(INDEX(Aux_puntos!$A$2:$OJ$901,68,MATCH($B$2&amp;"|yI",Aux_puntos!$1:$1,0))="",NA(),INDEX(Aux_puntos!$A$2:$OJ$901,68,MATCH($B$2&amp;"|yI",Aux_puntos!$1:$1,0))),NA())</f>
        <v/>
      </c>
      <c r="AI72">
        <f>IFERROR(IF(INDEX(Aux_puntos!$A$2:$OJ$901,68,MATCH($B$2&amp;"|xN",Aux_puntos!$1:$1,0))="",NA(),INDEX(Aux_puntos!$A$2:$OJ$901,68,MATCH($B$2&amp;"|xN",Aux_puntos!$1:$1,0))),NA())</f>
        <v/>
      </c>
      <c r="AJ72">
        <f>IFERROR(IF(INDEX(Aux_puntos!$A$2:$OJ$901,68,MATCH($B$2&amp;"|yN",Aux_puntos!$1:$1,0))="",NA(),INDEX(Aux_puntos!$A$2:$OJ$901,68,MATCH($B$2&amp;"|yN",Aux_puntos!$1:$1,0))),NA())</f>
        <v/>
      </c>
    </row>
    <row r="73">
      <c r="AC73">
        <f>IFERROR(IF(INDEX(Aux_puntos!$A$2:$OJ$901,69,MATCH($B$2&amp;"|xK",Aux_puntos!$1:$1,0))="",NA(),INDEX(Aux_puntos!$A$2:$OJ$901,69,MATCH($B$2&amp;"|xK",Aux_puntos!$1:$1,0))),NA())</f>
        <v/>
      </c>
      <c r="AD73">
        <f>IFERROR(IF(INDEX(Aux_puntos!$A$2:$OJ$901,69,MATCH($B$2&amp;"|yK",Aux_puntos!$1:$1,0))="",NA(),INDEX(Aux_puntos!$A$2:$OJ$901,69,MATCH($B$2&amp;"|yK",Aux_puntos!$1:$1,0))),NA())</f>
        <v/>
      </c>
      <c r="AE73">
        <f>IFERROR(IF(INDEX(Aux_puntos!$A$2:$OJ$901,69,MATCH($B$2&amp;"|xC",Aux_puntos!$1:$1,0))="",NA(),INDEX(Aux_puntos!$A$2:$OJ$901,69,MATCH($B$2&amp;"|xC",Aux_puntos!$1:$1,0))),NA())</f>
        <v/>
      </c>
      <c r="AF73">
        <f>IFERROR(IF(INDEX(Aux_puntos!$A$2:$OJ$901,69,MATCH($B$2&amp;"|yC",Aux_puntos!$1:$1,0))="",NA(),INDEX(Aux_puntos!$A$2:$OJ$901,69,MATCH($B$2&amp;"|yC",Aux_puntos!$1:$1,0))),NA())</f>
        <v/>
      </c>
      <c r="AG73">
        <f>IFERROR(IF(INDEX(Aux_puntos!$A$2:$OJ$901,69,MATCH($B$2&amp;"|xI",Aux_puntos!$1:$1,0))="",NA(),INDEX(Aux_puntos!$A$2:$OJ$901,69,MATCH($B$2&amp;"|xI",Aux_puntos!$1:$1,0))),NA())</f>
        <v/>
      </c>
      <c r="AH73">
        <f>IFERROR(IF(INDEX(Aux_puntos!$A$2:$OJ$901,69,MATCH($B$2&amp;"|yI",Aux_puntos!$1:$1,0))="",NA(),INDEX(Aux_puntos!$A$2:$OJ$901,69,MATCH($B$2&amp;"|yI",Aux_puntos!$1:$1,0))),NA())</f>
        <v/>
      </c>
      <c r="AI73">
        <f>IFERROR(IF(INDEX(Aux_puntos!$A$2:$OJ$901,69,MATCH($B$2&amp;"|xN",Aux_puntos!$1:$1,0))="",NA(),INDEX(Aux_puntos!$A$2:$OJ$901,69,MATCH($B$2&amp;"|xN",Aux_puntos!$1:$1,0))),NA())</f>
        <v/>
      </c>
      <c r="AJ73">
        <f>IFERROR(IF(INDEX(Aux_puntos!$A$2:$OJ$901,69,MATCH($B$2&amp;"|yN",Aux_puntos!$1:$1,0))="",NA(),INDEX(Aux_puntos!$A$2:$OJ$901,69,MATCH($B$2&amp;"|yN",Aux_puntos!$1:$1,0))),NA())</f>
        <v/>
      </c>
    </row>
    <row r="74">
      <c r="AC74">
        <f>IFERROR(IF(INDEX(Aux_puntos!$A$2:$OJ$901,70,MATCH($B$2&amp;"|xK",Aux_puntos!$1:$1,0))="",NA(),INDEX(Aux_puntos!$A$2:$OJ$901,70,MATCH($B$2&amp;"|xK",Aux_puntos!$1:$1,0))),NA())</f>
        <v/>
      </c>
      <c r="AD74">
        <f>IFERROR(IF(INDEX(Aux_puntos!$A$2:$OJ$901,70,MATCH($B$2&amp;"|yK",Aux_puntos!$1:$1,0))="",NA(),INDEX(Aux_puntos!$A$2:$OJ$901,70,MATCH($B$2&amp;"|yK",Aux_puntos!$1:$1,0))),NA())</f>
        <v/>
      </c>
      <c r="AE74">
        <f>IFERROR(IF(INDEX(Aux_puntos!$A$2:$OJ$901,70,MATCH($B$2&amp;"|xC",Aux_puntos!$1:$1,0))="",NA(),INDEX(Aux_puntos!$A$2:$OJ$901,70,MATCH($B$2&amp;"|xC",Aux_puntos!$1:$1,0))),NA())</f>
        <v/>
      </c>
      <c r="AF74">
        <f>IFERROR(IF(INDEX(Aux_puntos!$A$2:$OJ$901,70,MATCH($B$2&amp;"|yC",Aux_puntos!$1:$1,0))="",NA(),INDEX(Aux_puntos!$A$2:$OJ$901,70,MATCH($B$2&amp;"|yC",Aux_puntos!$1:$1,0))),NA())</f>
        <v/>
      </c>
      <c r="AG74">
        <f>IFERROR(IF(INDEX(Aux_puntos!$A$2:$OJ$901,70,MATCH($B$2&amp;"|xI",Aux_puntos!$1:$1,0))="",NA(),INDEX(Aux_puntos!$A$2:$OJ$901,70,MATCH($B$2&amp;"|xI",Aux_puntos!$1:$1,0))),NA())</f>
        <v/>
      </c>
      <c r="AH74">
        <f>IFERROR(IF(INDEX(Aux_puntos!$A$2:$OJ$901,70,MATCH($B$2&amp;"|yI",Aux_puntos!$1:$1,0))="",NA(),INDEX(Aux_puntos!$A$2:$OJ$901,70,MATCH($B$2&amp;"|yI",Aux_puntos!$1:$1,0))),NA())</f>
        <v/>
      </c>
      <c r="AI74">
        <f>IFERROR(IF(INDEX(Aux_puntos!$A$2:$OJ$901,70,MATCH($B$2&amp;"|xN",Aux_puntos!$1:$1,0))="",NA(),INDEX(Aux_puntos!$A$2:$OJ$901,70,MATCH($B$2&amp;"|xN",Aux_puntos!$1:$1,0))),NA())</f>
        <v/>
      </c>
      <c r="AJ74">
        <f>IFERROR(IF(INDEX(Aux_puntos!$A$2:$OJ$901,70,MATCH($B$2&amp;"|yN",Aux_puntos!$1:$1,0))="",NA(),INDEX(Aux_puntos!$A$2:$OJ$901,70,MATCH($B$2&amp;"|yN",Aux_puntos!$1:$1,0))),NA())</f>
        <v/>
      </c>
    </row>
    <row r="75">
      <c r="AC75">
        <f>IFERROR(IF(INDEX(Aux_puntos!$A$2:$OJ$901,71,MATCH($B$2&amp;"|xK",Aux_puntos!$1:$1,0))="",NA(),INDEX(Aux_puntos!$A$2:$OJ$901,71,MATCH($B$2&amp;"|xK",Aux_puntos!$1:$1,0))),NA())</f>
        <v/>
      </c>
      <c r="AD75">
        <f>IFERROR(IF(INDEX(Aux_puntos!$A$2:$OJ$901,71,MATCH($B$2&amp;"|yK",Aux_puntos!$1:$1,0))="",NA(),INDEX(Aux_puntos!$A$2:$OJ$901,71,MATCH($B$2&amp;"|yK",Aux_puntos!$1:$1,0))),NA())</f>
        <v/>
      </c>
      <c r="AE75">
        <f>IFERROR(IF(INDEX(Aux_puntos!$A$2:$OJ$901,71,MATCH($B$2&amp;"|xC",Aux_puntos!$1:$1,0))="",NA(),INDEX(Aux_puntos!$A$2:$OJ$901,71,MATCH($B$2&amp;"|xC",Aux_puntos!$1:$1,0))),NA())</f>
        <v/>
      </c>
      <c r="AF75">
        <f>IFERROR(IF(INDEX(Aux_puntos!$A$2:$OJ$901,71,MATCH($B$2&amp;"|yC",Aux_puntos!$1:$1,0))="",NA(),INDEX(Aux_puntos!$A$2:$OJ$901,71,MATCH($B$2&amp;"|yC",Aux_puntos!$1:$1,0))),NA())</f>
        <v/>
      </c>
      <c r="AG75">
        <f>IFERROR(IF(INDEX(Aux_puntos!$A$2:$OJ$901,71,MATCH($B$2&amp;"|xI",Aux_puntos!$1:$1,0))="",NA(),INDEX(Aux_puntos!$A$2:$OJ$901,71,MATCH($B$2&amp;"|xI",Aux_puntos!$1:$1,0))),NA())</f>
        <v/>
      </c>
      <c r="AH75">
        <f>IFERROR(IF(INDEX(Aux_puntos!$A$2:$OJ$901,71,MATCH($B$2&amp;"|yI",Aux_puntos!$1:$1,0))="",NA(),INDEX(Aux_puntos!$A$2:$OJ$901,71,MATCH($B$2&amp;"|yI",Aux_puntos!$1:$1,0))),NA())</f>
        <v/>
      </c>
      <c r="AI75">
        <f>IFERROR(IF(INDEX(Aux_puntos!$A$2:$OJ$901,71,MATCH($B$2&amp;"|xN",Aux_puntos!$1:$1,0))="",NA(),INDEX(Aux_puntos!$A$2:$OJ$901,71,MATCH($B$2&amp;"|xN",Aux_puntos!$1:$1,0))),NA())</f>
        <v/>
      </c>
      <c r="AJ75">
        <f>IFERROR(IF(INDEX(Aux_puntos!$A$2:$OJ$901,71,MATCH($B$2&amp;"|yN",Aux_puntos!$1:$1,0))="",NA(),INDEX(Aux_puntos!$A$2:$OJ$901,71,MATCH($B$2&amp;"|yN",Aux_puntos!$1:$1,0))),NA())</f>
        <v/>
      </c>
    </row>
    <row r="76">
      <c r="AC76">
        <f>IFERROR(IF(INDEX(Aux_puntos!$A$2:$OJ$901,72,MATCH($B$2&amp;"|xK",Aux_puntos!$1:$1,0))="",NA(),INDEX(Aux_puntos!$A$2:$OJ$901,72,MATCH($B$2&amp;"|xK",Aux_puntos!$1:$1,0))),NA())</f>
        <v/>
      </c>
      <c r="AD76">
        <f>IFERROR(IF(INDEX(Aux_puntos!$A$2:$OJ$901,72,MATCH($B$2&amp;"|yK",Aux_puntos!$1:$1,0))="",NA(),INDEX(Aux_puntos!$A$2:$OJ$901,72,MATCH($B$2&amp;"|yK",Aux_puntos!$1:$1,0))),NA())</f>
        <v/>
      </c>
      <c r="AE76">
        <f>IFERROR(IF(INDEX(Aux_puntos!$A$2:$OJ$901,72,MATCH($B$2&amp;"|xC",Aux_puntos!$1:$1,0))="",NA(),INDEX(Aux_puntos!$A$2:$OJ$901,72,MATCH($B$2&amp;"|xC",Aux_puntos!$1:$1,0))),NA())</f>
        <v/>
      </c>
      <c r="AF76">
        <f>IFERROR(IF(INDEX(Aux_puntos!$A$2:$OJ$901,72,MATCH($B$2&amp;"|yC",Aux_puntos!$1:$1,0))="",NA(),INDEX(Aux_puntos!$A$2:$OJ$901,72,MATCH($B$2&amp;"|yC",Aux_puntos!$1:$1,0))),NA())</f>
        <v/>
      </c>
      <c r="AG76">
        <f>IFERROR(IF(INDEX(Aux_puntos!$A$2:$OJ$901,72,MATCH($B$2&amp;"|xI",Aux_puntos!$1:$1,0))="",NA(),INDEX(Aux_puntos!$A$2:$OJ$901,72,MATCH($B$2&amp;"|xI",Aux_puntos!$1:$1,0))),NA())</f>
        <v/>
      </c>
      <c r="AH76">
        <f>IFERROR(IF(INDEX(Aux_puntos!$A$2:$OJ$901,72,MATCH($B$2&amp;"|yI",Aux_puntos!$1:$1,0))="",NA(),INDEX(Aux_puntos!$A$2:$OJ$901,72,MATCH($B$2&amp;"|yI",Aux_puntos!$1:$1,0))),NA())</f>
        <v/>
      </c>
      <c r="AI76">
        <f>IFERROR(IF(INDEX(Aux_puntos!$A$2:$OJ$901,72,MATCH($B$2&amp;"|xN",Aux_puntos!$1:$1,0))="",NA(),INDEX(Aux_puntos!$A$2:$OJ$901,72,MATCH($B$2&amp;"|xN",Aux_puntos!$1:$1,0))),NA())</f>
        <v/>
      </c>
      <c r="AJ76">
        <f>IFERROR(IF(INDEX(Aux_puntos!$A$2:$OJ$901,72,MATCH($B$2&amp;"|yN",Aux_puntos!$1:$1,0))="",NA(),INDEX(Aux_puntos!$A$2:$OJ$901,72,MATCH($B$2&amp;"|yN",Aux_puntos!$1:$1,0))),NA())</f>
        <v/>
      </c>
    </row>
    <row r="77">
      <c r="AC77">
        <f>IFERROR(IF(INDEX(Aux_puntos!$A$2:$OJ$901,73,MATCH($B$2&amp;"|xK",Aux_puntos!$1:$1,0))="",NA(),INDEX(Aux_puntos!$A$2:$OJ$901,73,MATCH($B$2&amp;"|xK",Aux_puntos!$1:$1,0))),NA())</f>
        <v/>
      </c>
      <c r="AD77">
        <f>IFERROR(IF(INDEX(Aux_puntos!$A$2:$OJ$901,73,MATCH($B$2&amp;"|yK",Aux_puntos!$1:$1,0))="",NA(),INDEX(Aux_puntos!$A$2:$OJ$901,73,MATCH($B$2&amp;"|yK",Aux_puntos!$1:$1,0))),NA())</f>
        <v/>
      </c>
      <c r="AE77">
        <f>IFERROR(IF(INDEX(Aux_puntos!$A$2:$OJ$901,73,MATCH($B$2&amp;"|xC",Aux_puntos!$1:$1,0))="",NA(),INDEX(Aux_puntos!$A$2:$OJ$901,73,MATCH($B$2&amp;"|xC",Aux_puntos!$1:$1,0))),NA())</f>
        <v/>
      </c>
      <c r="AF77">
        <f>IFERROR(IF(INDEX(Aux_puntos!$A$2:$OJ$901,73,MATCH($B$2&amp;"|yC",Aux_puntos!$1:$1,0))="",NA(),INDEX(Aux_puntos!$A$2:$OJ$901,73,MATCH($B$2&amp;"|yC",Aux_puntos!$1:$1,0))),NA())</f>
        <v/>
      </c>
      <c r="AG77">
        <f>IFERROR(IF(INDEX(Aux_puntos!$A$2:$OJ$901,73,MATCH($B$2&amp;"|xI",Aux_puntos!$1:$1,0))="",NA(),INDEX(Aux_puntos!$A$2:$OJ$901,73,MATCH($B$2&amp;"|xI",Aux_puntos!$1:$1,0))),NA())</f>
        <v/>
      </c>
      <c r="AH77">
        <f>IFERROR(IF(INDEX(Aux_puntos!$A$2:$OJ$901,73,MATCH($B$2&amp;"|yI",Aux_puntos!$1:$1,0))="",NA(),INDEX(Aux_puntos!$A$2:$OJ$901,73,MATCH($B$2&amp;"|yI",Aux_puntos!$1:$1,0))),NA())</f>
        <v/>
      </c>
      <c r="AI77">
        <f>IFERROR(IF(INDEX(Aux_puntos!$A$2:$OJ$901,73,MATCH($B$2&amp;"|xN",Aux_puntos!$1:$1,0))="",NA(),INDEX(Aux_puntos!$A$2:$OJ$901,73,MATCH($B$2&amp;"|xN",Aux_puntos!$1:$1,0))),NA())</f>
        <v/>
      </c>
      <c r="AJ77">
        <f>IFERROR(IF(INDEX(Aux_puntos!$A$2:$OJ$901,73,MATCH($B$2&amp;"|yN",Aux_puntos!$1:$1,0))="",NA(),INDEX(Aux_puntos!$A$2:$OJ$901,73,MATCH($B$2&amp;"|yN",Aux_puntos!$1:$1,0))),NA())</f>
        <v/>
      </c>
    </row>
    <row r="78">
      <c r="AC78">
        <f>IFERROR(IF(INDEX(Aux_puntos!$A$2:$OJ$901,74,MATCH($B$2&amp;"|xK",Aux_puntos!$1:$1,0))="",NA(),INDEX(Aux_puntos!$A$2:$OJ$901,74,MATCH($B$2&amp;"|xK",Aux_puntos!$1:$1,0))),NA())</f>
        <v/>
      </c>
      <c r="AD78">
        <f>IFERROR(IF(INDEX(Aux_puntos!$A$2:$OJ$901,74,MATCH($B$2&amp;"|yK",Aux_puntos!$1:$1,0))="",NA(),INDEX(Aux_puntos!$A$2:$OJ$901,74,MATCH($B$2&amp;"|yK",Aux_puntos!$1:$1,0))),NA())</f>
        <v/>
      </c>
      <c r="AE78">
        <f>IFERROR(IF(INDEX(Aux_puntos!$A$2:$OJ$901,74,MATCH($B$2&amp;"|xC",Aux_puntos!$1:$1,0))="",NA(),INDEX(Aux_puntos!$A$2:$OJ$901,74,MATCH($B$2&amp;"|xC",Aux_puntos!$1:$1,0))),NA())</f>
        <v/>
      </c>
      <c r="AF78">
        <f>IFERROR(IF(INDEX(Aux_puntos!$A$2:$OJ$901,74,MATCH($B$2&amp;"|yC",Aux_puntos!$1:$1,0))="",NA(),INDEX(Aux_puntos!$A$2:$OJ$901,74,MATCH($B$2&amp;"|yC",Aux_puntos!$1:$1,0))),NA())</f>
        <v/>
      </c>
      <c r="AG78">
        <f>IFERROR(IF(INDEX(Aux_puntos!$A$2:$OJ$901,74,MATCH($B$2&amp;"|xI",Aux_puntos!$1:$1,0))="",NA(),INDEX(Aux_puntos!$A$2:$OJ$901,74,MATCH($B$2&amp;"|xI",Aux_puntos!$1:$1,0))),NA())</f>
        <v/>
      </c>
      <c r="AH78">
        <f>IFERROR(IF(INDEX(Aux_puntos!$A$2:$OJ$901,74,MATCH($B$2&amp;"|yI",Aux_puntos!$1:$1,0))="",NA(),INDEX(Aux_puntos!$A$2:$OJ$901,74,MATCH($B$2&amp;"|yI",Aux_puntos!$1:$1,0))),NA())</f>
        <v/>
      </c>
      <c r="AI78">
        <f>IFERROR(IF(INDEX(Aux_puntos!$A$2:$OJ$901,74,MATCH($B$2&amp;"|xN",Aux_puntos!$1:$1,0))="",NA(),INDEX(Aux_puntos!$A$2:$OJ$901,74,MATCH($B$2&amp;"|xN",Aux_puntos!$1:$1,0))),NA())</f>
        <v/>
      </c>
      <c r="AJ78">
        <f>IFERROR(IF(INDEX(Aux_puntos!$A$2:$OJ$901,74,MATCH($B$2&amp;"|yN",Aux_puntos!$1:$1,0))="",NA(),INDEX(Aux_puntos!$A$2:$OJ$901,74,MATCH($B$2&amp;"|yN",Aux_puntos!$1:$1,0))),NA())</f>
        <v/>
      </c>
    </row>
    <row r="79">
      <c r="AC79">
        <f>IFERROR(IF(INDEX(Aux_puntos!$A$2:$OJ$901,75,MATCH($B$2&amp;"|xK",Aux_puntos!$1:$1,0))="",NA(),INDEX(Aux_puntos!$A$2:$OJ$901,75,MATCH($B$2&amp;"|xK",Aux_puntos!$1:$1,0))),NA())</f>
        <v/>
      </c>
      <c r="AD79">
        <f>IFERROR(IF(INDEX(Aux_puntos!$A$2:$OJ$901,75,MATCH($B$2&amp;"|yK",Aux_puntos!$1:$1,0))="",NA(),INDEX(Aux_puntos!$A$2:$OJ$901,75,MATCH($B$2&amp;"|yK",Aux_puntos!$1:$1,0))),NA())</f>
        <v/>
      </c>
      <c r="AE79">
        <f>IFERROR(IF(INDEX(Aux_puntos!$A$2:$OJ$901,75,MATCH($B$2&amp;"|xC",Aux_puntos!$1:$1,0))="",NA(),INDEX(Aux_puntos!$A$2:$OJ$901,75,MATCH($B$2&amp;"|xC",Aux_puntos!$1:$1,0))),NA())</f>
        <v/>
      </c>
      <c r="AF79">
        <f>IFERROR(IF(INDEX(Aux_puntos!$A$2:$OJ$901,75,MATCH($B$2&amp;"|yC",Aux_puntos!$1:$1,0))="",NA(),INDEX(Aux_puntos!$A$2:$OJ$901,75,MATCH($B$2&amp;"|yC",Aux_puntos!$1:$1,0))),NA())</f>
        <v/>
      </c>
      <c r="AG79">
        <f>IFERROR(IF(INDEX(Aux_puntos!$A$2:$OJ$901,75,MATCH($B$2&amp;"|xI",Aux_puntos!$1:$1,0))="",NA(),INDEX(Aux_puntos!$A$2:$OJ$901,75,MATCH($B$2&amp;"|xI",Aux_puntos!$1:$1,0))),NA())</f>
        <v/>
      </c>
      <c r="AH79">
        <f>IFERROR(IF(INDEX(Aux_puntos!$A$2:$OJ$901,75,MATCH($B$2&amp;"|yI",Aux_puntos!$1:$1,0))="",NA(),INDEX(Aux_puntos!$A$2:$OJ$901,75,MATCH($B$2&amp;"|yI",Aux_puntos!$1:$1,0))),NA())</f>
        <v/>
      </c>
      <c r="AI79">
        <f>IFERROR(IF(INDEX(Aux_puntos!$A$2:$OJ$901,75,MATCH($B$2&amp;"|xN",Aux_puntos!$1:$1,0))="",NA(),INDEX(Aux_puntos!$A$2:$OJ$901,75,MATCH($B$2&amp;"|xN",Aux_puntos!$1:$1,0))),NA())</f>
        <v/>
      </c>
      <c r="AJ79">
        <f>IFERROR(IF(INDEX(Aux_puntos!$A$2:$OJ$901,75,MATCH($B$2&amp;"|yN",Aux_puntos!$1:$1,0))="",NA(),INDEX(Aux_puntos!$A$2:$OJ$901,75,MATCH($B$2&amp;"|yN",Aux_puntos!$1:$1,0))),NA())</f>
        <v/>
      </c>
    </row>
    <row r="80">
      <c r="AC80">
        <f>IFERROR(IF(INDEX(Aux_puntos!$A$2:$OJ$901,76,MATCH($B$2&amp;"|xK",Aux_puntos!$1:$1,0))="",NA(),INDEX(Aux_puntos!$A$2:$OJ$901,76,MATCH($B$2&amp;"|xK",Aux_puntos!$1:$1,0))),NA())</f>
        <v/>
      </c>
      <c r="AD80">
        <f>IFERROR(IF(INDEX(Aux_puntos!$A$2:$OJ$901,76,MATCH($B$2&amp;"|yK",Aux_puntos!$1:$1,0))="",NA(),INDEX(Aux_puntos!$A$2:$OJ$901,76,MATCH($B$2&amp;"|yK",Aux_puntos!$1:$1,0))),NA())</f>
        <v/>
      </c>
      <c r="AE80">
        <f>IFERROR(IF(INDEX(Aux_puntos!$A$2:$OJ$901,76,MATCH($B$2&amp;"|xC",Aux_puntos!$1:$1,0))="",NA(),INDEX(Aux_puntos!$A$2:$OJ$901,76,MATCH($B$2&amp;"|xC",Aux_puntos!$1:$1,0))),NA())</f>
        <v/>
      </c>
      <c r="AF80">
        <f>IFERROR(IF(INDEX(Aux_puntos!$A$2:$OJ$901,76,MATCH($B$2&amp;"|yC",Aux_puntos!$1:$1,0))="",NA(),INDEX(Aux_puntos!$A$2:$OJ$901,76,MATCH($B$2&amp;"|yC",Aux_puntos!$1:$1,0))),NA())</f>
        <v/>
      </c>
      <c r="AG80">
        <f>IFERROR(IF(INDEX(Aux_puntos!$A$2:$OJ$901,76,MATCH($B$2&amp;"|xI",Aux_puntos!$1:$1,0))="",NA(),INDEX(Aux_puntos!$A$2:$OJ$901,76,MATCH($B$2&amp;"|xI",Aux_puntos!$1:$1,0))),NA())</f>
        <v/>
      </c>
      <c r="AH80">
        <f>IFERROR(IF(INDEX(Aux_puntos!$A$2:$OJ$901,76,MATCH($B$2&amp;"|yI",Aux_puntos!$1:$1,0))="",NA(),INDEX(Aux_puntos!$A$2:$OJ$901,76,MATCH($B$2&amp;"|yI",Aux_puntos!$1:$1,0))),NA())</f>
        <v/>
      </c>
      <c r="AI80">
        <f>IFERROR(IF(INDEX(Aux_puntos!$A$2:$OJ$901,76,MATCH($B$2&amp;"|xN",Aux_puntos!$1:$1,0))="",NA(),INDEX(Aux_puntos!$A$2:$OJ$901,76,MATCH($B$2&amp;"|xN",Aux_puntos!$1:$1,0))),NA())</f>
        <v/>
      </c>
      <c r="AJ80">
        <f>IFERROR(IF(INDEX(Aux_puntos!$A$2:$OJ$901,76,MATCH($B$2&amp;"|yN",Aux_puntos!$1:$1,0))="",NA(),INDEX(Aux_puntos!$A$2:$OJ$901,76,MATCH($B$2&amp;"|yN",Aux_puntos!$1:$1,0))),NA())</f>
        <v/>
      </c>
    </row>
    <row r="81">
      <c r="AC81">
        <f>IFERROR(IF(INDEX(Aux_puntos!$A$2:$OJ$901,77,MATCH($B$2&amp;"|xK",Aux_puntos!$1:$1,0))="",NA(),INDEX(Aux_puntos!$A$2:$OJ$901,77,MATCH($B$2&amp;"|xK",Aux_puntos!$1:$1,0))),NA())</f>
        <v/>
      </c>
      <c r="AD81">
        <f>IFERROR(IF(INDEX(Aux_puntos!$A$2:$OJ$901,77,MATCH($B$2&amp;"|yK",Aux_puntos!$1:$1,0))="",NA(),INDEX(Aux_puntos!$A$2:$OJ$901,77,MATCH($B$2&amp;"|yK",Aux_puntos!$1:$1,0))),NA())</f>
        <v/>
      </c>
      <c r="AE81">
        <f>IFERROR(IF(INDEX(Aux_puntos!$A$2:$OJ$901,77,MATCH($B$2&amp;"|xC",Aux_puntos!$1:$1,0))="",NA(),INDEX(Aux_puntos!$A$2:$OJ$901,77,MATCH($B$2&amp;"|xC",Aux_puntos!$1:$1,0))),NA())</f>
        <v/>
      </c>
      <c r="AF81">
        <f>IFERROR(IF(INDEX(Aux_puntos!$A$2:$OJ$901,77,MATCH($B$2&amp;"|yC",Aux_puntos!$1:$1,0))="",NA(),INDEX(Aux_puntos!$A$2:$OJ$901,77,MATCH($B$2&amp;"|yC",Aux_puntos!$1:$1,0))),NA())</f>
        <v/>
      </c>
      <c r="AG81">
        <f>IFERROR(IF(INDEX(Aux_puntos!$A$2:$OJ$901,77,MATCH($B$2&amp;"|xI",Aux_puntos!$1:$1,0))="",NA(),INDEX(Aux_puntos!$A$2:$OJ$901,77,MATCH($B$2&amp;"|xI",Aux_puntos!$1:$1,0))),NA())</f>
        <v/>
      </c>
      <c r="AH81">
        <f>IFERROR(IF(INDEX(Aux_puntos!$A$2:$OJ$901,77,MATCH($B$2&amp;"|yI",Aux_puntos!$1:$1,0))="",NA(),INDEX(Aux_puntos!$A$2:$OJ$901,77,MATCH($B$2&amp;"|yI",Aux_puntos!$1:$1,0))),NA())</f>
        <v/>
      </c>
      <c r="AI81">
        <f>IFERROR(IF(INDEX(Aux_puntos!$A$2:$OJ$901,77,MATCH($B$2&amp;"|xN",Aux_puntos!$1:$1,0))="",NA(),INDEX(Aux_puntos!$A$2:$OJ$901,77,MATCH($B$2&amp;"|xN",Aux_puntos!$1:$1,0))),NA())</f>
        <v/>
      </c>
      <c r="AJ81">
        <f>IFERROR(IF(INDEX(Aux_puntos!$A$2:$OJ$901,77,MATCH($B$2&amp;"|yN",Aux_puntos!$1:$1,0))="",NA(),INDEX(Aux_puntos!$A$2:$OJ$901,77,MATCH($B$2&amp;"|yN",Aux_puntos!$1:$1,0))),NA())</f>
        <v/>
      </c>
    </row>
    <row r="82">
      <c r="AC82">
        <f>IFERROR(IF(INDEX(Aux_puntos!$A$2:$OJ$901,78,MATCH($B$2&amp;"|xK",Aux_puntos!$1:$1,0))="",NA(),INDEX(Aux_puntos!$A$2:$OJ$901,78,MATCH($B$2&amp;"|xK",Aux_puntos!$1:$1,0))),NA())</f>
        <v/>
      </c>
      <c r="AD82">
        <f>IFERROR(IF(INDEX(Aux_puntos!$A$2:$OJ$901,78,MATCH($B$2&amp;"|yK",Aux_puntos!$1:$1,0))="",NA(),INDEX(Aux_puntos!$A$2:$OJ$901,78,MATCH($B$2&amp;"|yK",Aux_puntos!$1:$1,0))),NA())</f>
        <v/>
      </c>
      <c r="AE82">
        <f>IFERROR(IF(INDEX(Aux_puntos!$A$2:$OJ$901,78,MATCH($B$2&amp;"|xC",Aux_puntos!$1:$1,0))="",NA(),INDEX(Aux_puntos!$A$2:$OJ$901,78,MATCH($B$2&amp;"|xC",Aux_puntos!$1:$1,0))),NA())</f>
        <v/>
      </c>
      <c r="AF82">
        <f>IFERROR(IF(INDEX(Aux_puntos!$A$2:$OJ$901,78,MATCH($B$2&amp;"|yC",Aux_puntos!$1:$1,0))="",NA(),INDEX(Aux_puntos!$A$2:$OJ$901,78,MATCH($B$2&amp;"|yC",Aux_puntos!$1:$1,0))),NA())</f>
        <v/>
      </c>
      <c r="AG82">
        <f>IFERROR(IF(INDEX(Aux_puntos!$A$2:$OJ$901,78,MATCH($B$2&amp;"|xI",Aux_puntos!$1:$1,0))="",NA(),INDEX(Aux_puntos!$A$2:$OJ$901,78,MATCH($B$2&amp;"|xI",Aux_puntos!$1:$1,0))),NA())</f>
        <v/>
      </c>
      <c r="AH82">
        <f>IFERROR(IF(INDEX(Aux_puntos!$A$2:$OJ$901,78,MATCH($B$2&amp;"|yI",Aux_puntos!$1:$1,0))="",NA(),INDEX(Aux_puntos!$A$2:$OJ$901,78,MATCH($B$2&amp;"|yI",Aux_puntos!$1:$1,0))),NA())</f>
        <v/>
      </c>
      <c r="AI82">
        <f>IFERROR(IF(INDEX(Aux_puntos!$A$2:$OJ$901,78,MATCH($B$2&amp;"|xN",Aux_puntos!$1:$1,0))="",NA(),INDEX(Aux_puntos!$A$2:$OJ$901,78,MATCH($B$2&amp;"|xN",Aux_puntos!$1:$1,0))),NA())</f>
        <v/>
      </c>
      <c r="AJ82">
        <f>IFERROR(IF(INDEX(Aux_puntos!$A$2:$OJ$901,78,MATCH($B$2&amp;"|yN",Aux_puntos!$1:$1,0))="",NA(),INDEX(Aux_puntos!$A$2:$OJ$901,78,MATCH($B$2&amp;"|yN",Aux_puntos!$1:$1,0))),NA())</f>
        <v/>
      </c>
    </row>
    <row r="83">
      <c r="AC83">
        <f>IFERROR(IF(INDEX(Aux_puntos!$A$2:$OJ$901,79,MATCH($B$2&amp;"|xK",Aux_puntos!$1:$1,0))="",NA(),INDEX(Aux_puntos!$A$2:$OJ$901,79,MATCH($B$2&amp;"|xK",Aux_puntos!$1:$1,0))),NA())</f>
        <v/>
      </c>
      <c r="AD83">
        <f>IFERROR(IF(INDEX(Aux_puntos!$A$2:$OJ$901,79,MATCH($B$2&amp;"|yK",Aux_puntos!$1:$1,0))="",NA(),INDEX(Aux_puntos!$A$2:$OJ$901,79,MATCH($B$2&amp;"|yK",Aux_puntos!$1:$1,0))),NA())</f>
        <v/>
      </c>
      <c r="AE83">
        <f>IFERROR(IF(INDEX(Aux_puntos!$A$2:$OJ$901,79,MATCH($B$2&amp;"|xC",Aux_puntos!$1:$1,0))="",NA(),INDEX(Aux_puntos!$A$2:$OJ$901,79,MATCH($B$2&amp;"|xC",Aux_puntos!$1:$1,0))),NA())</f>
        <v/>
      </c>
      <c r="AF83">
        <f>IFERROR(IF(INDEX(Aux_puntos!$A$2:$OJ$901,79,MATCH($B$2&amp;"|yC",Aux_puntos!$1:$1,0))="",NA(),INDEX(Aux_puntos!$A$2:$OJ$901,79,MATCH($B$2&amp;"|yC",Aux_puntos!$1:$1,0))),NA())</f>
        <v/>
      </c>
      <c r="AG83">
        <f>IFERROR(IF(INDEX(Aux_puntos!$A$2:$OJ$901,79,MATCH($B$2&amp;"|xI",Aux_puntos!$1:$1,0))="",NA(),INDEX(Aux_puntos!$A$2:$OJ$901,79,MATCH($B$2&amp;"|xI",Aux_puntos!$1:$1,0))),NA())</f>
        <v/>
      </c>
      <c r="AH83">
        <f>IFERROR(IF(INDEX(Aux_puntos!$A$2:$OJ$901,79,MATCH($B$2&amp;"|yI",Aux_puntos!$1:$1,0))="",NA(),INDEX(Aux_puntos!$A$2:$OJ$901,79,MATCH($B$2&amp;"|yI",Aux_puntos!$1:$1,0))),NA())</f>
        <v/>
      </c>
      <c r="AI83">
        <f>IFERROR(IF(INDEX(Aux_puntos!$A$2:$OJ$901,79,MATCH($B$2&amp;"|xN",Aux_puntos!$1:$1,0))="",NA(),INDEX(Aux_puntos!$A$2:$OJ$901,79,MATCH($B$2&amp;"|xN",Aux_puntos!$1:$1,0))),NA())</f>
        <v/>
      </c>
      <c r="AJ83">
        <f>IFERROR(IF(INDEX(Aux_puntos!$A$2:$OJ$901,79,MATCH($B$2&amp;"|yN",Aux_puntos!$1:$1,0))="",NA(),INDEX(Aux_puntos!$A$2:$OJ$901,79,MATCH($B$2&amp;"|yN",Aux_puntos!$1:$1,0))),NA())</f>
        <v/>
      </c>
    </row>
    <row r="84">
      <c r="AC84">
        <f>IFERROR(IF(INDEX(Aux_puntos!$A$2:$OJ$901,80,MATCH($B$2&amp;"|xK",Aux_puntos!$1:$1,0))="",NA(),INDEX(Aux_puntos!$A$2:$OJ$901,80,MATCH($B$2&amp;"|xK",Aux_puntos!$1:$1,0))),NA())</f>
        <v/>
      </c>
      <c r="AD84">
        <f>IFERROR(IF(INDEX(Aux_puntos!$A$2:$OJ$901,80,MATCH($B$2&amp;"|yK",Aux_puntos!$1:$1,0))="",NA(),INDEX(Aux_puntos!$A$2:$OJ$901,80,MATCH($B$2&amp;"|yK",Aux_puntos!$1:$1,0))),NA())</f>
        <v/>
      </c>
      <c r="AE84">
        <f>IFERROR(IF(INDEX(Aux_puntos!$A$2:$OJ$901,80,MATCH($B$2&amp;"|xC",Aux_puntos!$1:$1,0))="",NA(),INDEX(Aux_puntos!$A$2:$OJ$901,80,MATCH($B$2&amp;"|xC",Aux_puntos!$1:$1,0))),NA())</f>
        <v/>
      </c>
      <c r="AF84">
        <f>IFERROR(IF(INDEX(Aux_puntos!$A$2:$OJ$901,80,MATCH($B$2&amp;"|yC",Aux_puntos!$1:$1,0))="",NA(),INDEX(Aux_puntos!$A$2:$OJ$901,80,MATCH($B$2&amp;"|yC",Aux_puntos!$1:$1,0))),NA())</f>
        <v/>
      </c>
      <c r="AG84">
        <f>IFERROR(IF(INDEX(Aux_puntos!$A$2:$OJ$901,80,MATCH($B$2&amp;"|xI",Aux_puntos!$1:$1,0))="",NA(),INDEX(Aux_puntos!$A$2:$OJ$901,80,MATCH($B$2&amp;"|xI",Aux_puntos!$1:$1,0))),NA())</f>
        <v/>
      </c>
      <c r="AH84">
        <f>IFERROR(IF(INDEX(Aux_puntos!$A$2:$OJ$901,80,MATCH($B$2&amp;"|yI",Aux_puntos!$1:$1,0))="",NA(),INDEX(Aux_puntos!$A$2:$OJ$901,80,MATCH($B$2&amp;"|yI",Aux_puntos!$1:$1,0))),NA())</f>
        <v/>
      </c>
      <c r="AI84">
        <f>IFERROR(IF(INDEX(Aux_puntos!$A$2:$OJ$901,80,MATCH($B$2&amp;"|xN",Aux_puntos!$1:$1,0))="",NA(),INDEX(Aux_puntos!$A$2:$OJ$901,80,MATCH($B$2&amp;"|xN",Aux_puntos!$1:$1,0))),NA())</f>
        <v/>
      </c>
      <c r="AJ84">
        <f>IFERROR(IF(INDEX(Aux_puntos!$A$2:$OJ$901,80,MATCH($B$2&amp;"|yN",Aux_puntos!$1:$1,0))="",NA(),INDEX(Aux_puntos!$A$2:$OJ$901,80,MATCH($B$2&amp;"|yN",Aux_puntos!$1:$1,0))),NA())</f>
        <v/>
      </c>
    </row>
    <row r="85">
      <c r="AC85">
        <f>IFERROR(IF(INDEX(Aux_puntos!$A$2:$OJ$901,81,MATCH($B$2&amp;"|xK",Aux_puntos!$1:$1,0))="",NA(),INDEX(Aux_puntos!$A$2:$OJ$901,81,MATCH($B$2&amp;"|xK",Aux_puntos!$1:$1,0))),NA())</f>
        <v/>
      </c>
      <c r="AD85">
        <f>IFERROR(IF(INDEX(Aux_puntos!$A$2:$OJ$901,81,MATCH($B$2&amp;"|yK",Aux_puntos!$1:$1,0))="",NA(),INDEX(Aux_puntos!$A$2:$OJ$901,81,MATCH($B$2&amp;"|yK",Aux_puntos!$1:$1,0))),NA())</f>
        <v/>
      </c>
      <c r="AE85">
        <f>IFERROR(IF(INDEX(Aux_puntos!$A$2:$OJ$901,81,MATCH($B$2&amp;"|xC",Aux_puntos!$1:$1,0))="",NA(),INDEX(Aux_puntos!$A$2:$OJ$901,81,MATCH($B$2&amp;"|xC",Aux_puntos!$1:$1,0))),NA())</f>
        <v/>
      </c>
      <c r="AF85">
        <f>IFERROR(IF(INDEX(Aux_puntos!$A$2:$OJ$901,81,MATCH($B$2&amp;"|yC",Aux_puntos!$1:$1,0))="",NA(),INDEX(Aux_puntos!$A$2:$OJ$901,81,MATCH($B$2&amp;"|yC",Aux_puntos!$1:$1,0))),NA())</f>
        <v/>
      </c>
      <c r="AG85">
        <f>IFERROR(IF(INDEX(Aux_puntos!$A$2:$OJ$901,81,MATCH($B$2&amp;"|xI",Aux_puntos!$1:$1,0))="",NA(),INDEX(Aux_puntos!$A$2:$OJ$901,81,MATCH($B$2&amp;"|xI",Aux_puntos!$1:$1,0))),NA())</f>
        <v/>
      </c>
      <c r="AH85">
        <f>IFERROR(IF(INDEX(Aux_puntos!$A$2:$OJ$901,81,MATCH($B$2&amp;"|yI",Aux_puntos!$1:$1,0))="",NA(),INDEX(Aux_puntos!$A$2:$OJ$901,81,MATCH($B$2&amp;"|yI",Aux_puntos!$1:$1,0))),NA())</f>
        <v/>
      </c>
      <c r="AI85">
        <f>IFERROR(IF(INDEX(Aux_puntos!$A$2:$OJ$901,81,MATCH($B$2&amp;"|xN",Aux_puntos!$1:$1,0))="",NA(),INDEX(Aux_puntos!$A$2:$OJ$901,81,MATCH($B$2&amp;"|xN",Aux_puntos!$1:$1,0))),NA())</f>
        <v/>
      </c>
      <c r="AJ85">
        <f>IFERROR(IF(INDEX(Aux_puntos!$A$2:$OJ$901,81,MATCH($B$2&amp;"|yN",Aux_puntos!$1:$1,0))="",NA(),INDEX(Aux_puntos!$A$2:$OJ$901,81,MATCH($B$2&amp;"|yN",Aux_puntos!$1:$1,0))),NA())</f>
        <v/>
      </c>
    </row>
    <row r="86">
      <c r="AC86">
        <f>IFERROR(IF(INDEX(Aux_puntos!$A$2:$OJ$901,82,MATCH($B$2&amp;"|xK",Aux_puntos!$1:$1,0))="",NA(),INDEX(Aux_puntos!$A$2:$OJ$901,82,MATCH($B$2&amp;"|xK",Aux_puntos!$1:$1,0))),NA())</f>
        <v/>
      </c>
      <c r="AD86">
        <f>IFERROR(IF(INDEX(Aux_puntos!$A$2:$OJ$901,82,MATCH($B$2&amp;"|yK",Aux_puntos!$1:$1,0))="",NA(),INDEX(Aux_puntos!$A$2:$OJ$901,82,MATCH($B$2&amp;"|yK",Aux_puntos!$1:$1,0))),NA())</f>
        <v/>
      </c>
      <c r="AE86">
        <f>IFERROR(IF(INDEX(Aux_puntos!$A$2:$OJ$901,82,MATCH($B$2&amp;"|xC",Aux_puntos!$1:$1,0))="",NA(),INDEX(Aux_puntos!$A$2:$OJ$901,82,MATCH($B$2&amp;"|xC",Aux_puntos!$1:$1,0))),NA())</f>
        <v/>
      </c>
      <c r="AF86">
        <f>IFERROR(IF(INDEX(Aux_puntos!$A$2:$OJ$901,82,MATCH($B$2&amp;"|yC",Aux_puntos!$1:$1,0))="",NA(),INDEX(Aux_puntos!$A$2:$OJ$901,82,MATCH($B$2&amp;"|yC",Aux_puntos!$1:$1,0))),NA())</f>
        <v/>
      </c>
      <c r="AG86">
        <f>IFERROR(IF(INDEX(Aux_puntos!$A$2:$OJ$901,82,MATCH($B$2&amp;"|xI",Aux_puntos!$1:$1,0))="",NA(),INDEX(Aux_puntos!$A$2:$OJ$901,82,MATCH($B$2&amp;"|xI",Aux_puntos!$1:$1,0))),NA())</f>
        <v/>
      </c>
      <c r="AH86">
        <f>IFERROR(IF(INDEX(Aux_puntos!$A$2:$OJ$901,82,MATCH($B$2&amp;"|yI",Aux_puntos!$1:$1,0))="",NA(),INDEX(Aux_puntos!$A$2:$OJ$901,82,MATCH($B$2&amp;"|yI",Aux_puntos!$1:$1,0))),NA())</f>
        <v/>
      </c>
      <c r="AI86">
        <f>IFERROR(IF(INDEX(Aux_puntos!$A$2:$OJ$901,82,MATCH($B$2&amp;"|xN",Aux_puntos!$1:$1,0))="",NA(),INDEX(Aux_puntos!$A$2:$OJ$901,82,MATCH($B$2&amp;"|xN",Aux_puntos!$1:$1,0))),NA())</f>
        <v/>
      </c>
      <c r="AJ86">
        <f>IFERROR(IF(INDEX(Aux_puntos!$A$2:$OJ$901,82,MATCH($B$2&amp;"|yN",Aux_puntos!$1:$1,0))="",NA(),INDEX(Aux_puntos!$A$2:$OJ$901,82,MATCH($B$2&amp;"|yN",Aux_puntos!$1:$1,0))),NA())</f>
        <v/>
      </c>
    </row>
    <row r="87">
      <c r="AC87">
        <f>IFERROR(IF(INDEX(Aux_puntos!$A$2:$OJ$901,83,MATCH($B$2&amp;"|xK",Aux_puntos!$1:$1,0))="",NA(),INDEX(Aux_puntos!$A$2:$OJ$901,83,MATCH($B$2&amp;"|xK",Aux_puntos!$1:$1,0))),NA())</f>
        <v/>
      </c>
      <c r="AD87">
        <f>IFERROR(IF(INDEX(Aux_puntos!$A$2:$OJ$901,83,MATCH($B$2&amp;"|yK",Aux_puntos!$1:$1,0))="",NA(),INDEX(Aux_puntos!$A$2:$OJ$901,83,MATCH($B$2&amp;"|yK",Aux_puntos!$1:$1,0))),NA())</f>
        <v/>
      </c>
      <c r="AE87">
        <f>IFERROR(IF(INDEX(Aux_puntos!$A$2:$OJ$901,83,MATCH($B$2&amp;"|xC",Aux_puntos!$1:$1,0))="",NA(),INDEX(Aux_puntos!$A$2:$OJ$901,83,MATCH($B$2&amp;"|xC",Aux_puntos!$1:$1,0))),NA())</f>
        <v/>
      </c>
      <c r="AF87">
        <f>IFERROR(IF(INDEX(Aux_puntos!$A$2:$OJ$901,83,MATCH($B$2&amp;"|yC",Aux_puntos!$1:$1,0))="",NA(),INDEX(Aux_puntos!$A$2:$OJ$901,83,MATCH($B$2&amp;"|yC",Aux_puntos!$1:$1,0))),NA())</f>
        <v/>
      </c>
      <c r="AG87">
        <f>IFERROR(IF(INDEX(Aux_puntos!$A$2:$OJ$901,83,MATCH($B$2&amp;"|xI",Aux_puntos!$1:$1,0))="",NA(),INDEX(Aux_puntos!$A$2:$OJ$901,83,MATCH($B$2&amp;"|xI",Aux_puntos!$1:$1,0))),NA())</f>
        <v/>
      </c>
      <c r="AH87">
        <f>IFERROR(IF(INDEX(Aux_puntos!$A$2:$OJ$901,83,MATCH($B$2&amp;"|yI",Aux_puntos!$1:$1,0))="",NA(),INDEX(Aux_puntos!$A$2:$OJ$901,83,MATCH($B$2&amp;"|yI",Aux_puntos!$1:$1,0))),NA())</f>
        <v/>
      </c>
      <c r="AI87">
        <f>IFERROR(IF(INDEX(Aux_puntos!$A$2:$OJ$901,83,MATCH($B$2&amp;"|xN",Aux_puntos!$1:$1,0))="",NA(),INDEX(Aux_puntos!$A$2:$OJ$901,83,MATCH($B$2&amp;"|xN",Aux_puntos!$1:$1,0))),NA())</f>
        <v/>
      </c>
      <c r="AJ87">
        <f>IFERROR(IF(INDEX(Aux_puntos!$A$2:$OJ$901,83,MATCH($B$2&amp;"|yN",Aux_puntos!$1:$1,0))="",NA(),INDEX(Aux_puntos!$A$2:$OJ$901,83,MATCH($B$2&amp;"|yN",Aux_puntos!$1:$1,0))),NA())</f>
        <v/>
      </c>
    </row>
    <row r="88">
      <c r="AC88">
        <f>IFERROR(IF(INDEX(Aux_puntos!$A$2:$OJ$901,84,MATCH($B$2&amp;"|xK",Aux_puntos!$1:$1,0))="",NA(),INDEX(Aux_puntos!$A$2:$OJ$901,84,MATCH($B$2&amp;"|xK",Aux_puntos!$1:$1,0))),NA())</f>
        <v/>
      </c>
      <c r="AD88">
        <f>IFERROR(IF(INDEX(Aux_puntos!$A$2:$OJ$901,84,MATCH($B$2&amp;"|yK",Aux_puntos!$1:$1,0))="",NA(),INDEX(Aux_puntos!$A$2:$OJ$901,84,MATCH($B$2&amp;"|yK",Aux_puntos!$1:$1,0))),NA())</f>
        <v/>
      </c>
      <c r="AE88">
        <f>IFERROR(IF(INDEX(Aux_puntos!$A$2:$OJ$901,84,MATCH($B$2&amp;"|xC",Aux_puntos!$1:$1,0))="",NA(),INDEX(Aux_puntos!$A$2:$OJ$901,84,MATCH($B$2&amp;"|xC",Aux_puntos!$1:$1,0))),NA())</f>
        <v/>
      </c>
      <c r="AF88">
        <f>IFERROR(IF(INDEX(Aux_puntos!$A$2:$OJ$901,84,MATCH($B$2&amp;"|yC",Aux_puntos!$1:$1,0))="",NA(),INDEX(Aux_puntos!$A$2:$OJ$901,84,MATCH($B$2&amp;"|yC",Aux_puntos!$1:$1,0))),NA())</f>
        <v/>
      </c>
      <c r="AG88">
        <f>IFERROR(IF(INDEX(Aux_puntos!$A$2:$OJ$901,84,MATCH($B$2&amp;"|xI",Aux_puntos!$1:$1,0))="",NA(),INDEX(Aux_puntos!$A$2:$OJ$901,84,MATCH($B$2&amp;"|xI",Aux_puntos!$1:$1,0))),NA())</f>
        <v/>
      </c>
      <c r="AH88">
        <f>IFERROR(IF(INDEX(Aux_puntos!$A$2:$OJ$901,84,MATCH($B$2&amp;"|yI",Aux_puntos!$1:$1,0))="",NA(),INDEX(Aux_puntos!$A$2:$OJ$901,84,MATCH($B$2&amp;"|yI",Aux_puntos!$1:$1,0))),NA())</f>
        <v/>
      </c>
      <c r="AI88">
        <f>IFERROR(IF(INDEX(Aux_puntos!$A$2:$OJ$901,84,MATCH($B$2&amp;"|xN",Aux_puntos!$1:$1,0))="",NA(),INDEX(Aux_puntos!$A$2:$OJ$901,84,MATCH($B$2&amp;"|xN",Aux_puntos!$1:$1,0))),NA())</f>
        <v/>
      </c>
      <c r="AJ88">
        <f>IFERROR(IF(INDEX(Aux_puntos!$A$2:$OJ$901,84,MATCH($B$2&amp;"|yN",Aux_puntos!$1:$1,0))="",NA(),INDEX(Aux_puntos!$A$2:$OJ$901,84,MATCH($B$2&amp;"|yN",Aux_puntos!$1:$1,0))),NA())</f>
        <v/>
      </c>
    </row>
    <row r="89">
      <c r="AC89">
        <f>IFERROR(IF(INDEX(Aux_puntos!$A$2:$OJ$901,85,MATCH($B$2&amp;"|xK",Aux_puntos!$1:$1,0))="",NA(),INDEX(Aux_puntos!$A$2:$OJ$901,85,MATCH($B$2&amp;"|xK",Aux_puntos!$1:$1,0))),NA())</f>
        <v/>
      </c>
      <c r="AD89">
        <f>IFERROR(IF(INDEX(Aux_puntos!$A$2:$OJ$901,85,MATCH($B$2&amp;"|yK",Aux_puntos!$1:$1,0))="",NA(),INDEX(Aux_puntos!$A$2:$OJ$901,85,MATCH($B$2&amp;"|yK",Aux_puntos!$1:$1,0))),NA())</f>
        <v/>
      </c>
      <c r="AE89">
        <f>IFERROR(IF(INDEX(Aux_puntos!$A$2:$OJ$901,85,MATCH($B$2&amp;"|xC",Aux_puntos!$1:$1,0))="",NA(),INDEX(Aux_puntos!$A$2:$OJ$901,85,MATCH($B$2&amp;"|xC",Aux_puntos!$1:$1,0))),NA())</f>
        <v/>
      </c>
      <c r="AF89">
        <f>IFERROR(IF(INDEX(Aux_puntos!$A$2:$OJ$901,85,MATCH($B$2&amp;"|yC",Aux_puntos!$1:$1,0))="",NA(),INDEX(Aux_puntos!$A$2:$OJ$901,85,MATCH($B$2&amp;"|yC",Aux_puntos!$1:$1,0))),NA())</f>
        <v/>
      </c>
      <c r="AG89">
        <f>IFERROR(IF(INDEX(Aux_puntos!$A$2:$OJ$901,85,MATCH($B$2&amp;"|xI",Aux_puntos!$1:$1,0))="",NA(),INDEX(Aux_puntos!$A$2:$OJ$901,85,MATCH($B$2&amp;"|xI",Aux_puntos!$1:$1,0))),NA())</f>
        <v/>
      </c>
      <c r="AH89">
        <f>IFERROR(IF(INDEX(Aux_puntos!$A$2:$OJ$901,85,MATCH($B$2&amp;"|yI",Aux_puntos!$1:$1,0))="",NA(),INDEX(Aux_puntos!$A$2:$OJ$901,85,MATCH($B$2&amp;"|yI",Aux_puntos!$1:$1,0))),NA())</f>
        <v/>
      </c>
      <c r="AI89">
        <f>IFERROR(IF(INDEX(Aux_puntos!$A$2:$OJ$901,85,MATCH($B$2&amp;"|xN",Aux_puntos!$1:$1,0))="",NA(),INDEX(Aux_puntos!$A$2:$OJ$901,85,MATCH($B$2&amp;"|xN",Aux_puntos!$1:$1,0))),NA())</f>
        <v/>
      </c>
      <c r="AJ89">
        <f>IFERROR(IF(INDEX(Aux_puntos!$A$2:$OJ$901,85,MATCH($B$2&amp;"|yN",Aux_puntos!$1:$1,0))="",NA(),INDEX(Aux_puntos!$A$2:$OJ$901,85,MATCH($B$2&amp;"|yN",Aux_puntos!$1:$1,0))),NA())</f>
        <v/>
      </c>
    </row>
    <row r="90">
      <c r="AC90">
        <f>IFERROR(IF(INDEX(Aux_puntos!$A$2:$OJ$901,86,MATCH($B$2&amp;"|xK",Aux_puntos!$1:$1,0))="",NA(),INDEX(Aux_puntos!$A$2:$OJ$901,86,MATCH($B$2&amp;"|xK",Aux_puntos!$1:$1,0))),NA())</f>
        <v/>
      </c>
      <c r="AD90">
        <f>IFERROR(IF(INDEX(Aux_puntos!$A$2:$OJ$901,86,MATCH($B$2&amp;"|yK",Aux_puntos!$1:$1,0))="",NA(),INDEX(Aux_puntos!$A$2:$OJ$901,86,MATCH($B$2&amp;"|yK",Aux_puntos!$1:$1,0))),NA())</f>
        <v/>
      </c>
      <c r="AE90">
        <f>IFERROR(IF(INDEX(Aux_puntos!$A$2:$OJ$901,86,MATCH($B$2&amp;"|xC",Aux_puntos!$1:$1,0))="",NA(),INDEX(Aux_puntos!$A$2:$OJ$901,86,MATCH($B$2&amp;"|xC",Aux_puntos!$1:$1,0))),NA())</f>
        <v/>
      </c>
      <c r="AF90">
        <f>IFERROR(IF(INDEX(Aux_puntos!$A$2:$OJ$901,86,MATCH($B$2&amp;"|yC",Aux_puntos!$1:$1,0))="",NA(),INDEX(Aux_puntos!$A$2:$OJ$901,86,MATCH($B$2&amp;"|yC",Aux_puntos!$1:$1,0))),NA())</f>
        <v/>
      </c>
      <c r="AG90">
        <f>IFERROR(IF(INDEX(Aux_puntos!$A$2:$OJ$901,86,MATCH($B$2&amp;"|xI",Aux_puntos!$1:$1,0))="",NA(),INDEX(Aux_puntos!$A$2:$OJ$901,86,MATCH($B$2&amp;"|xI",Aux_puntos!$1:$1,0))),NA())</f>
        <v/>
      </c>
      <c r="AH90">
        <f>IFERROR(IF(INDEX(Aux_puntos!$A$2:$OJ$901,86,MATCH($B$2&amp;"|yI",Aux_puntos!$1:$1,0))="",NA(),INDEX(Aux_puntos!$A$2:$OJ$901,86,MATCH($B$2&amp;"|yI",Aux_puntos!$1:$1,0))),NA())</f>
        <v/>
      </c>
      <c r="AI90">
        <f>IFERROR(IF(INDEX(Aux_puntos!$A$2:$OJ$901,86,MATCH($B$2&amp;"|xN",Aux_puntos!$1:$1,0))="",NA(),INDEX(Aux_puntos!$A$2:$OJ$901,86,MATCH($B$2&amp;"|xN",Aux_puntos!$1:$1,0))),NA())</f>
        <v/>
      </c>
      <c r="AJ90">
        <f>IFERROR(IF(INDEX(Aux_puntos!$A$2:$OJ$901,86,MATCH($B$2&amp;"|yN",Aux_puntos!$1:$1,0))="",NA(),INDEX(Aux_puntos!$A$2:$OJ$901,86,MATCH($B$2&amp;"|yN",Aux_puntos!$1:$1,0))),NA())</f>
        <v/>
      </c>
    </row>
    <row r="91">
      <c r="AC91">
        <f>IFERROR(IF(INDEX(Aux_puntos!$A$2:$OJ$901,87,MATCH($B$2&amp;"|xK",Aux_puntos!$1:$1,0))="",NA(),INDEX(Aux_puntos!$A$2:$OJ$901,87,MATCH($B$2&amp;"|xK",Aux_puntos!$1:$1,0))),NA())</f>
        <v/>
      </c>
      <c r="AD91">
        <f>IFERROR(IF(INDEX(Aux_puntos!$A$2:$OJ$901,87,MATCH($B$2&amp;"|yK",Aux_puntos!$1:$1,0))="",NA(),INDEX(Aux_puntos!$A$2:$OJ$901,87,MATCH($B$2&amp;"|yK",Aux_puntos!$1:$1,0))),NA())</f>
        <v/>
      </c>
      <c r="AE91">
        <f>IFERROR(IF(INDEX(Aux_puntos!$A$2:$OJ$901,87,MATCH($B$2&amp;"|xC",Aux_puntos!$1:$1,0))="",NA(),INDEX(Aux_puntos!$A$2:$OJ$901,87,MATCH($B$2&amp;"|xC",Aux_puntos!$1:$1,0))),NA())</f>
        <v/>
      </c>
      <c r="AF91">
        <f>IFERROR(IF(INDEX(Aux_puntos!$A$2:$OJ$901,87,MATCH($B$2&amp;"|yC",Aux_puntos!$1:$1,0))="",NA(),INDEX(Aux_puntos!$A$2:$OJ$901,87,MATCH($B$2&amp;"|yC",Aux_puntos!$1:$1,0))),NA())</f>
        <v/>
      </c>
      <c r="AG91">
        <f>IFERROR(IF(INDEX(Aux_puntos!$A$2:$OJ$901,87,MATCH($B$2&amp;"|xI",Aux_puntos!$1:$1,0))="",NA(),INDEX(Aux_puntos!$A$2:$OJ$901,87,MATCH($B$2&amp;"|xI",Aux_puntos!$1:$1,0))),NA())</f>
        <v/>
      </c>
      <c r="AH91">
        <f>IFERROR(IF(INDEX(Aux_puntos!$A$2:$OJ$901,87,MATCH($B$2&amp;"|yI",Aux_puntos!$1:$1,0))="",NA(),INDEX(Aux_puntos!$A$2:$OJ$901,87,MATCH($B$2&amp;"|yI",Aux_puntos!$1:$1,0))),NA())</f>
        <v/>
      </c>
      <c r="AI91">
        <f>IFERROR(IF(INDEX(Aux_puntos!$A$2:$OJ$901,87,MATCH($B$2&amp;"|xN",Aux_puntos!$1:$1,0))="",NA(),INDEX(Aux_puntos!$A$2:$OJ$901,87,MATCH($B$2&amp;"|xN",Aux_puntos!$1:$1,0))),NA())</f>
        <v/>
      </c>
      <c r="AJ91">
        <f>IFERROR(IF(INDEX(Aux_puntos!$A$2:$OJ$901,87,MATCH($B$2&amp;"|yN",Aux_puntos!$1:$1,0))="",NA(),INDEX(Aux_puntos!$A$2:$OJ$901,87,MATCH($B$2&amp;"|yN",Aux_puntos!$1:$1,0))),NA())</f>
        <v/>
      </c>
    </row>
    <row r="92">
      <c r="AC92">
        <f>IFERROR(IF(INDEX(Aux_puntos!$A$2:$OJ$901,88,MATCH($B$2&amp;"|xK",Aux_puntos!$1:$1,0))="",NA(),INDEX(Aux_puntos!$A$2:$OJ$901,88,MATCH($B$2&amp;"|xK",Aux_puntos!$1:$1,0))),NA())</f>
        <v/>
      </c>
      <c r="AD92">
        <f>IFERROR(IF(INDEX(Aux_puntos!$A$2:$OJ$901,88,MATCH($B$2&amp;"|yK",Aux_puntos!$1:$1,0))="",NA(),INDEX(Aux_puntos!$A$2:$OJ$901,88,MATCH($B$2&amp;"|yK",Aux_puntos!$1:$1,0))),NA())</f>
        <v/>
      </c>
      <c r="AE92">
        <f>IFERROR(IF(INDEX(Aux_puntos!$A$2:$OJ$901,88,MATCH($B$2&amp;"|xC",Aux_puntos!$1:$1,0))="",NA(),INDEX(Aux_puntos!$A$2:$OJ$901,88,MATCH($B$2&amp;"|xC",Aux_puntos!$1:$1,0))),NA())</f>
        <v/>
      </c>
      <c r="AF92">
        <f>IFERROR(IF(INDEX(Aux_puntos!$A$2:$OJ$901,88,MATCH($B$2&amp;"|yC",Aux_puntos!$1:$1,0))="",NA(),INDEX(Aux_puntos!$A$2:$OJ$901,88,MATCH($B$2&amp;"|yC",Aux_puntos!$1:$1,0))),NA())</f>
        <v/>
      </c>
      <c r="AG92">
        <f>IFERROR(IF(INDEX(Aux_puntos!$A$2:$OJ$901,88,MATCH($B$2&amp;"|xI",Aux_puntos!$1:$1,0))="",NA(),INDEX(Aux_puntos!$A$2:$OJ$901,88,MATCH($B$2&amp;"|xI",Aux_puntos!$1:$1,0))),NA())</f>
        <v/>
      </c>
      <c r="AH92">
        <f>IFERROR(IF(INDEX(Aux_puntos!$A$2:$OJ$901,88,MATCH($B$2&amp;"|yI",Aux_puntos!$1:$1,0))="",NA(),INDEX(Aux_puntos!$A$2:$OJ$901,88,MATCH($B$2&amp;"|yI",Aux_puntos!$1:$1,0))),NA())</f>
        <v/>
      </c>
      <c r="AI92">
        <f>IFERROR(IF(INDEX(Aux_puntos!$A$2:$OJ$901,88,MATCH($B$2&amp;"|xN",Aux_puntos!$1:$1,0))="",NA(),INDEX(Aux_puntos!$A$2:$OJ$901,88,MATCH($B$2&amp;"|xN",Aux_puntos!$1:$1,0))),NA())</f>
        <v/>
      </c>
      <c r="AJ92">
        <f>IFERROR(IF(INDEX(Aux_puntos!$A$2:$OJ$901,88,MATCH($B$2&amp;"|yN",Aux_puntos!$1:$1,0))="",NA(),INDEX(Aux_puntos!$A$2:$OJ$901,88,MATCH($B$2&amp;"|yN",Aux_puntos!$1:$1,0))),NA())</f>
        <v/>
      </c>
    </row>
    <row r="93">
      <c r="AC93">
        <f>IFERROR(IF(INDEX(Aux_puntos!$A$2:$OJ$901,89,MATCH($B$2&amp;"|xK",Aux_puntos!$1:$1,0))="",NA(),INDEX(Aux_puntos!$A$2:$OJ$901,89,MATCH($B$2&amp;"|xK",Aux_puntos!$1:$1,0))),NA())</f>
        <v/>
      </c>
      <c r="AD93">
        <f>IFERROR(IF(INDEX(Aux_puntos!$A$2:$OJ$901,89,MATCH($B$2&amp;"|yK",Aux_puntos!$1:$1,0))="",NA(),INDEX(Aux_puntos!$A$2:$OJ$901,89,MATCH($B$2&amp;"|yK",Aux_puntos!$1:$1,0))),NA())</f>
        <v/>
      </c>
      <c r="AE93">
        <f>IFERROR(IF(INDEX(Aux_puntos!$A$2:$OJ$901,89,MATCH($B$2&amp;"|xC",Aux_puntos!$1:$1,0))="",NA(),INDEX(Aux_puntos!$A$2:$OJ$901,89,MATCH($B$2&amp;"|xC",Aux_puntos!$1:$1,0))),NA())</f>
        <v/>
      </c>
      <c r="AF93">
        <f>IFERROR(IF(INDEX(Aux_puntos!$A$2:$OJ$901,89,MATCH($B$2&amp;"|yC",Aux_puntos!$1:$1,0))="",NA(),INDEX(Aux_puntos!$A$2:$OJ$901,89,MATCH($B$2&amp;"|yC",Aux_puntos!$1:$1,0))),NA())</f>
        <v/>
      </c>
      <c r="AG93">
        <f>IFERROR(IF(INDEX(Aux_puntos!$A$2:$OJ$901,89,MATCH($B$2&amp;"|xI",Aux_puntos!$1:$1,0))="",NA(),INDEX(Aux_puntos!$A$2:$OJ$901,89,MATCH($B$2&amp;"|xI",Aux_puntos!$1:$1,0))),NA())</f>
        <v/>
      </c>
      <c r="AH93">
        <f>IFERROR(IF(INDEX(Aux_puntos!$A$2:$OJ$901,89,MATCH($B$2&amp;"|yI",Aux_puntos!$1:$1,0))="",NA(),INDEX(Aux_puntos!$A$2:$OJ$901,89,MATCH($B$2&amp;"|yI",Aux_puntos!$1:$1,0))),NA())</f>
        <v/>
      </c>
      <c r="AI93">
        <f>IFERROR(IF(INDEX(Aux_puntos!$A$2:$OJ$901,89,MATCH($B$2&amp;"|xN",Aux_puntos!$1:$1,0))="",NA(),INDEX(Aux_puntos!$A$2:$OJ$901,89,MATCH($B$2&amp;"|xN",Aux_puntos!$1:$1,0))),NA())</f>
        <v/>
      </c>
      <c r="AJ93">
        <f>IFERROR(IF(INDEX(Aux_puntos!$A$2:$OJ$901,89,MATCH($B$2&amp;"|yN",Aux_puntos!$1:$1,0))="",NA(),INDEX(Aux_puntos!$A$2:$OJ$901,89,MATCH($B$2&amp;"|yN",Aux_puntos!$1:$1,0))),NA())</f>
        <v/>
      </c>
    </row>
    <row r="94">
      <c r="AC94">
        <f>IFERROR(IF(INDEX(Aux_puntos!$A$2:$OJ$901,90,MATCH($B$2&amp;"|xK",Aux_puntos!$1:$1,0))="",NA(),INDEX(Aux_puntos!$A$2:$OJ$901,90,MATCH($B$2&amp;"|xK",Aux_puntos!$1:$1,0))),NA())</f>
        <v/>
      </c>
      <c r="AD94">
        <f>IFERROR(IF(INDEX(Aux_puntos!$A$2:$OJ$901,90,MATCH($B$2&amp;"|yK",Aux_puntos!$1:$1,0))="",NA(),INDEX(Aux_puntos!$A$2:$OJ$901,90,MATCH($B$2&amp;"|yK",Aux_puntos!$1:$1,0))),NA())</f>
        <v/>
      </c>
      <c r="AE94">
        <f>IFERROR(IF(INDEX(Aux_puntos!$A$2:$OJ$901,90,MATCH($B$2&amp;"|xC",Aux_puntos!$1:$1,0))="",NA(),INDEX(Aux_puntos!$A$2:$OJ$901,90,MATCH($B$2&amp;"|xC",Aux_puntos!$1:$1,0))),NA())</f>
        <v/>
      </c>
      <c r="AF94">
        <f>IFERROR(IF(INDEX(Aux_puntos!$A$2:$OJ$901,90,MATCH($B$2&amp;"|yC",Aux_puntos!$1:$1,0))="",NA(),INDEX(Aux_puntos!$A$2:$OJ$901,90,MATCH($B$2&amp;"|yC",Aux_puntos!$1:$1,0))),NA())</f>
        <v/>
      </c>
      <c r="AG94">
        <f>IFERROR(IF(INDEX(Aux_puntos!$A$2:$OJ$901,90,MATCH($B$2&amp;"|xI",Aux_puntos!$1:$1,0))="",NA(),INDEX(Aux_puntos!$A$2:$OJ$901,90,MATCH($B$2&amp;"|xI",Aux_puntos!$1:$1,0))),NA())</f>
        <v/>
      </c>
      <c r="AH94">
        <f>IFERROR(IF(INDEX(Aux_puntos!$A$2:$OJ$901,90,MATCH($B$2&amp;"|yI",Aux_puntos!$1:$1,0))="",NA(),INDEX(Aux_puntos!$A$2:$OJ$901,90,MATCH($B$2&amp;"|yI",Aux_puntos!$1:$1,0))),NA())</f>
        <v/>
      </c>
      <c r="AI94">
        <f>IFERROR(IF(INDEX(Aux_puntos!$A$2:$OJ$901,90,MATCH($B$2&amp;"|xN",Aux_puntos!$1:$1,0))="",NA(),INDEX(Aux_puntos!$A$2:$OJ$901,90,MATCH($B$2&amp;"|xN",Aux_puntos!$1:$1,0))),NA())</f>
        <v/>
      </c>
      <c r="AJ94">
        <f>IFERROR(IF(INDEX(Aux_puntos!$A$2:$OJ$901,90,MATCH($B$2&amp;"|yN",Aux_puntos!$1:$1,0))="",NA(),INDEX(Aux_puntos!$A$2:$OJ$901,90,MATCH($B$2&amp;"|yN",Aux_puntos!$1:$1,0))),NA())</f>
        <v/>
      </c>
    </row>
    <row r="95">
      <c r="AC95">
        <f>IFERROR(IF(INDEX(Aux_puntos!$A$2:$OJ$901,91,MATCH($B$2&amp;"|xK",Aux_puntos!$1:$1,0))="",NA(),INDEX(Aux_puntos!$A$2:$OJ$901,91,MATCH($B$2&amp;"|xK",Aux_puntos!$1:$1,0))),NA())</f>
        <v/>
      </c>
      <c r="AD95">
        <f>IFERROR(IF(INDEX(Aux_puntos!$A$2:$OJ$901,91,MATCH($B$2&amp;"|yK",Aux_puntos!$1:$1,0))="",NA(),INDEX(Aux_puntos!$A$2:$OJ$901,91,MATCH($B$2&amp;"|yK",Aux_puntos!$1:$1,0))),NA())</f>
        <v/>
      </c>
      <c r="AE95">
        <f>IFERROR(IF(INDEX(Aux_puntos!$A$2:$OJ$901,91,MATCH($B$2&amp;"|xC",Aux_puntos!$1:$1,0))="",NA(),INDEX(Aux_puntos!$A$2:$OJ$901,91,MATCH($B$2&amp;"|xC",Aux_puntos!$1:$1,0))),NA())</f>
        <v/>
      </c>
      <c r="AF95">
        <f>IFERROR(IF(INDEX(Aux_puntos!$A$2:$OJ$901,91,MATCH($B$2&amp;"|yC",Aux_puntos!$1:$1,0))="",NA(),INDEX(Aux_puntos!$A$2:$OJ$901,91,MATCH($B$2&amp;"|yC",Aux_puntos!$1:$1,0))),NA())</f>
        <v/>
      </c>
      <c r="AG95">
        <f>IFERROR(IF(INDEX(Aux_puntos!$A$2:$OJ$901,91,MATCH($B$2&amp;"|xI",Aux_puntos!$1:$1,0))="",NA(),INDEX(Aux_puntos!$A$2:$OJ$901,91,MATCH($B$2&amp;"|xI",Aux_puntos!$1:$1,0))),NA())</f>
        <v/>
      </c>
      <c r="AH95">
        <f>IFERROR(IF(INDEX(Aux_puntos!$A$2:$OJ$901,91,MATCH($B$2&amp;"|yI",Aux_puntos!$1:$1,0))="",NA(),INDEX(Aux_puntos!$A$2:$OJ$901,91,MATCH($B$2&amp;"|yI",Aux_puntos!$1:$1,0))),NA())</f>
        <v/>
      </c>
      <c r="AI95">
        <f>IFERROR(IF(INDEX(Aux_puntos!$A$2:$OJ$901,91,MATCH($B$2&amp;"|xN",Aux_puntos!$1:$1,0))="",NA(),INDEX(Aux_puntos!$A$2:$OJ$901,91,MATCH($B$2&amp;"|xN",Aux_puntos!$1:$1,0))),NA())</f>
        <v/>
      </c>
      <c r="AJ95">
        <f>IFERROR(IF(INDEX(Aux_puntos!$A$2:$OJ$901,91,MATCH($B$2&amp;"|yN",Aux_puntos!$1:$1,0))="",NA(),INDEX(Aux_puntos!$A$2:$OJ$901,91,MATCH($B$2&amp;"|yN",Aux_puntos!$1:$1,0))),NA())</f>
        <v/>
      </c>
    </row>
    <row r="96">
      <c r="AC96">
        <f>IFERROR(IF(INDEX(Aux_puntos!$A$2:$OJ$901,92,MATCH($B$2&amp;"|xK",Aux_puntos!$1:$1,0))="",NA(),INDEX(Aux_puntos!$A$2:$OJ$901,92,MATCH($B$2&amp;"|xK",Aux_puntos!$1:$1,0))),NA())</f>
        <v/>
      </c>
      <c r="AD96">
        <f>IFERROR(IF(INDEX(Aux_puntos!$A$2:$OJ$901,92,MATCH($B$2&amp;"|yK",Aux_puntos!$1:$1,0))="",NA(),INDEX(Aux_puntos!$A$2:$OJ$901,92,MATCH($B$2&amp;"|yK",Aux_puntos!$1:$1,0))),NA())</f>
        <v/>
      </c>
      <c r="AE96">
        <f>IFERROR(IF(INDEX(Aux_puntos!$A$2:$OJ$901,92,MATCH($B$2&amp;"|xC",Aux_puntos!$1:$1,0))="",NA(),INDEX(Aux_puntos!$A$2:$OJ$901,92,MATCH($B$2&amp;"|xC",Aux_puntos!$1:$1,0))),NA())</f>
        <v/>
      </c>
      <c r="AF96">
        <f>IFERROR(IF(INDEX(Aux_puntos!$A$2:$OJ$901,92,MATCH($B$2&amp;"|yC",Aux_puntos!$1:$1,0))="",NA(),INDEX(Aux_puntos!$A$2:$OJ$901,92,MATCH($B$2&amp;"|yC",Aux_puntos!$1:$1,0))),NA())</f>
        <v/>
      </c>
      <c r="AG96">
        <f>IFERROR(IF(INDEX(Aux_puntos!$A$2:$OJ$901,92,MATCH($B$2&amp;"|xI",Aux_puntos!$1:$1,0))="",NA(),INDEX(Aux_puntos!$A$2:$OJ$901,92,MATCH($B$2&amp;"|xI",Aux_puntos!$1:$1,0))),NA())</f>
        <v/>
      </c>
      <c r="AH96">
        <f>IFERROR(IF(INDEX(Aux_puntos!$A$2:$OJ$901,92,MATCH($B$2&amp;"|yI",Aux_puntos!$1:$1,0))="",NA(),INDEX(Aux_puntos!$A$2:$OJ$901,92,MATCH($B$2&amp;"|yI",Aux_puntos!$1:$1,0))),NA())</f>
        <v/>
      </c>
      <c r="AI96">
        <f>IFERROR(IF(INDEX(Aux_puntos!$A$2:$OJ$901,92,MATCH($B$2&amp;"|xN",Aux_puntos!$1:$1,0))="",NA(),INDEX(Aux_puntos!$A$2:$OJ$901,92,MATCH($B$2&amp;"|xN",Aux_puntos!$1:$1,0))),NA())</f>
        <v/>
      </c>
      <c r="AJ96">
        <f>IFERROR(IF(INDEX(Aux_puntos!$A$2:$OJ$901,92,MATCH($B$2&amp;"|yN",Aux_puntos!$1:$1,0))="",NA(),INDEX(Aux_puntos!$A$2:$OJ$901,92,MATCH($B$2&amp;"|yN",Aux_puntos!$1:$1,0))),NA())</f>
        <v/>
      </c>
    </row>
    <row r="97">
      <c r="AC97">
        <f>IFERROR(IF(INDEX(Aux_puntos!$A$2:$OJ$901,93,MATCH($B$2&amp;"|xK",Aux_puntos!$1:$1,0))="",NA(),INDEX(Aux_puntos!$A$2:$OJ$901,93,MATCH($B$2&amp;"|xK",Aux_puntos!$1:$1,0))),NA())</f>
        <v/>
      </c>
      <c r="AD97">
        <f>IFERROR(IF(INDEX(Aux_puntos!$A$2:$OJ$901,93,MATCH($B$2&amp;"|yK",Aux_puntos!$1:$1,0))="",NA(),INDEX(Aux_puntos!$A$2:$OJ$901,93,MATCH($B$2&amp;"|yK",Aux_puntos!$1:$1,0))),NA())</f>
        <v/>
      </c>
      <c r="AE97">
        <f>IFERROR(IF(INDEX(Aux_puntos!$A$2:$OJ$901,93,MATCH($B$2&amp;"|xC",Aux_puntos!$1:$1,0))="",NA(),INDEX(Aux_puntos!$A$2:$OJ$901,93,MATCH($B$2&amp;"|xC",Aux_puntos!$1:$1,0))),NA())</f>
        <v/>
      </c>
      <c r="AF97">
        <f>IFERROR(IF(INDEX(Aux_puntos!$A$2:$OJ$901,93,MATCH($B$2&amp;"|yC",Aux_puntos!$1:$1,0))="",NA(),INDEX(Aux_puntos!$A$2:$OJ$901,93,MATCH($B$2&amp;"|yC",Aux_puntos!$1:$1,0))),NA())</f>
        <v/>
      </c>
      <c r="AG97">
        <f>IFERROR(IF(INDEX(Aux_puntos!$A$2:$OJ$901,93,MATCH($B$2&amp;"|xI",Aux_puntos!$1:$1,0))="",NA(),INDEX(Aux_puntos!$A$2:$OJ$901,93,MATCH($B$2&amp;"|xI",Aux_puntos!$1:$1,0))),NA())</f>
        <v/>
      </c>
      <c r="AH97">
        <f>IFERROR(IF(INDEX(Aux_puntos!$A$2:$OJ$901,93,MATCH($B$2&amp;"|yI",Aux_puntos!$1:$1,0))="",NA(),INDEX(Aux_puntos!$A$2:$OJ$901,93,MATCH($B$2&amp;"|yI",Aux_puntos!$1:$1,0))),NA())</f>
        <v/>
      </c>
      <c r="AI97">
        <f>IFERROR(IF(INDEX(Aux_puntos!$A$2:$OJ$901,93,MATCH($B$2&amp;"|xN",Aux_puntos!$1:$1,0))="",NA(),INDEX(Aux_puntos!$A$2:$OJ$901,93,MATCH($B$2&amp;"|xN",Aux_puntos!$1:$1,0))),NA())</f>
        <v/>
      </c>
      <c r="AJ97">
        <f>IFERROR(IF(INDEX(Aux_puntos!$A$2:$OJ$901,93,MATCH($B$2&amp;"|yN",Aux_puntos!$1:$1,0))="",NA(),INDEX(Aux_puntos!$A$2:$OJ$901,93,MATCH($B$2&amp;"|yN",Aux_puntos!$1:$1,0))),NA())</f>
        <v/>
      </c>
    </row>
    <row r="98">
      <c r="AC98">
        <f>IFERROR(IF(INDEX(Aux_puntos!$A$2:$OJ$901,94,MATCH($B$2&amp;"|xK",Aux_puntos!$1:$1,0))="",NA(),INDEX(Aux_puntos!$A$2:$OJ$901,94,MATCH($B$2&amp;"|xK",Aux_puntos!$1:$1,0))),NA())</f>
        <v/>
      </c>
      <c r="AD98">
        <f>IFERROR(IF(INDEX(Aux_puntos!$A$2:$OJ$901,94,MATCH($B$2&amp;"|yK",Aux_puntos!$1:$1,0))="",NA(),INDEX(Aux_puntos!$A$2:$OJ$901,94,MATCH($B$2&amp;"|yK",Aux_puntos!$1:$1,0))),NA())</f>
        <v/>
      </c>
      <c r="AE98">
        <f>IFERROR(IF(INDEX(Aux_puntos!$A$2:$OJ$901,94,MATCH($B$2&amp;"|xC",Aux_puntos!$1:$1,0))="",NA(),INDEX(Aux_puntos!$A$2:$OJ$901,94,MATCH($B$2&amp;"|xC",Aux_puntos!$1:$1,0))),NA())</f>
        <v/>
      </c>
      <c r="AF98">
        <f>IFERROR(IF(INDEX(Aux_puntos!$A$2:$OJ$901,94,MATCH($B$2&amp;"|yC",Aux_puntos!$1:$1,0))="",NA(),INDEX(Aux_puntos!$A$2:$OJ$901,94,MATCH($B$2&amp;"|yC",Aux_puntos!$1:$1,0))),NA())</f>
        <v/>
      </c>
      <c r="AG98">
        <f>IFERROR(IF(INDEX(Aux_puntos!$A$2:$OJ$901,94,MATCH($B$2&amp;"|xI",Aux_puntos!$1:$1,0))="",NA(),INDEX(Aux_puntos!$A$2:$OJ$901,94,MATCH($B$2&amp;"|xI",Aux_puntos!$1:$1,0))),NA())</f>
        <v/>
      </c>
      <c r="AH98">
        <f>IFERROR(IF(INDEX(Aux_puntos!$A$2:$OJ$901,94,MATCH($B$2&amp;"|yI",Aux_puntos!$1:$1,0))="",NA(),INDEX(Aux_puntos!$A$2:$OJ$901,94,MATCH($B$2&amp;"|yI",Aux_puntos!$1:$1,0))),NA())</f>
        <v/>
      </c>
      <c r="AI98">
        <f>IFERROR(IF(INDEX(Aux_puntos!$A$2:$OJ$901,94,MATCH($B$2&amp;"|xN",Aux_puntos!$1:$1,0))="",NA(),INDEX(Aux_puntos!$A$2:$OJ$901,94,MATCH($B$2&amp;"|xN",Aux_puntos!$1:$1,0))),NA())</f>
        <v/>
      </c>
      <c r="AJ98">
        <f>IFERROR(IF(INDEX(Aux_puntos!$A$2:$OJ$901,94,MATCH($B$2&amp;"|yN",Aux_puntos!$1:$1,0))="",NA(),INDEX(Aux_puntos!$A$2:$OJ$901,94,MATCH($B$2&amp;"|yN",Aux_puntos!$1:$1,0))),NA())</f>
        <v/>
      </c>
    </row>
    <row r="99">
      <c r="AC99">
        <f>IFERROR(IF(INDEX(Aux_puntos!$A$2:$OJ$901,95,MATCH($B$2&amp;"|xK",Aux_puntos!$1:$1,0))="",NA(),INDEX(Aux_puntos!$A$2:$OJ$901,95,MATCH($B$2&amp;"|xK",Aux_puntos!$1:$1,0))),NA())</f>
        <v/>
      </c>
      <c r="AD99">
        <f>IFERROR(IF(INDEX(Aux_puntos!$A$2:$OJ$901,95,MATCH($B$2&amp;"|yK",Aux_puntos!$1:$1,0))="",NA(),INDEX(Aux_puntos!$A$2:$OJ$901,95,MATCH($B$2&amp;"|yK",Aux_puntos!$1:$1,0))),NA())</f>
        <v/>
      </c>
      <c r="AE99">
        <f>IFERROR(IF(INDEX(Aux_puntos!$A$2:$OJ$901,95,MATCH($B$2&amp;"|xC",Aux_puntos!$1:$1,0))="",NA(),INDEX(Aux_puntos!$A$2:$OJ$901,95,MATCH($B$2&amp;"|xC",Aux_puntos!$1:$1,0))),NA())</f>
        <v/>
      </c>
      <c r="AF99">
        <f>IFERROR(IF(INDEX(Aux_puntos!$A$2:$OJ$901,95,MATCH($B$2&amp;"|yC",Aux_puntos!$1:$1,0))="",NA(),INDEX(Aux_puntos!$A$2:$OJ$901,95,MATCH($B$2&amp;"|yC",Aux_puntos!$1:$1,0))),NA())</f>
        <v/>
      </c>
      <c r="AG99">
        <f>IFERROR(IF(INDEX(Aux_puntos!$A$2:$OJ$901,95,MATCH($B$2&amp;"|xI",Aux_puntos!$1:$1,0))="",NA(),INDEX(Aux_puntos!$A$2:$OJ$901,95,MATCH($B$2&amp;"|xI",Aux_puntos!$1:$1,0))),NA())</f>
        <v/>
      </c>
      <c r="AH99">
        <f>IFERROR(IF(INDEX(Aux_puntos!$A$2:$OJ$901,95,MATCH($B$2&amp;"|yI",Aux_puntos!$1:$1,0))="",NA(),INDEX(Aux_puntos!$A$2:$OJ$901,95,MATCH($B$2&amp;"|yI",Aux_puntos!$1:$1,0))),NA())</f>
        <v/>
      </c>
      <c r="AI99">
        <f>IFERROR(IF(INDEX(Aux_puntos!$A$2:$OJ$901,95,MATCH($B$2&amp;"|xN",Aux_puntos!$1:$1,0))="",NA(),INDEX(Aux_puntos!$A$2:$OJ$901,95,MATCH($B$2&amp;"|xN",Aux_puntos!$1:$1,0))),NA())</f>
        <v/>
      </c>
      <c r="AJ99">
        <f>IFERROR(IF(INDEX(Aux_puntos!$A$2:$OJ$901,95,MATCH($B$2&amp;"|yN",Aux_puntos!$1:$1,0))="",NA(),INDEX(Aux_puntos!$A$2:$OJ$901,95,MATCH($B$2&amp;"|yN",Aux_puntos!$1:$1,0))),NA())</f>
        <v/>
      </c>
    </row>
    <row r="100">
      <c r="AC100">
        <f>IFERROR(IF(INDEX(Aux_puntos!$A$2:$OJ$901,96,MATCH($B$2&amp;"|xK",Aux_puntos!$1:$1,0))="",NA(),INDEX(Aux_puntos!$A$2:$OJ$901,96,MATCH($B$2&amp;"|xK",Aux_puntos!$1:$1,0))),NA())</f>
        <v/>
      </c>
      <c r="AD100">
        <f>IFERROR(IF(INDEX(Aux_puntos!$A$2:$OJ$901,96,MATCH($B$2&amp;"|yK",Aux_puntos!$1:$1,0))="",NA(),INDEX(Aux_puntos!$A$2:$OJ$901,96,MATCH($B$2&amp;"|yK",Aux_puntos!$1:$1,0))),NA())</f>
        <v/>
      </c>
      <c r="AE100">
        <f>IFERROR(IF(INDEX(Aux_puntos!$A$2:$OJ$901,96,MATCH($B$2&amp;"|xC",Aux_puntos!$1:$1,0))="",NA(),INDEX(Aux_puntos!$A$2:$OJ$901,96,MATCH($B$2&amp;"|xC",Aux_puntos!$1:$1,0))),NA())</f>
        <v/>
      </c>
      <c r="AF100">
        <f>IFERROR(IF(INDEX(Aux_puntos!$A$2:$OJ$901,96,MATCH($B$2&amp;"|yC",Aux_puntos!$1:$1,0))="",NA(),INDEX(Aux_puntos!$A$2:$OJ$901,96,MATCH($B$2&amp;"|yC",Aux_puntos!$1:$1,0))),NA())</f>
        <v/>
      </c>
      <c r="AG100">
        <f>IFERROR(IF(INDEX(Aux_puntos!$A$2:$OJ$901,96,MATCH($B$2&amp;"|xI",Aux_puntos!$1:$1,0))="",NA(),INDEX(Aux_puntos!$A$2:$OJ$901,96,MATCH($B$2&amp;"|xI",Aux_puntos!$1:$1,0))),NA())</f>
        <v/>
      </c>
      <c r="AH100">
        <f>IFERROR(IF(INDEX(Aux_puntos!$A$2:$OJ$901,96,MATCH($B$2&amp;"|yI",Aux_puntos!$1:$1,0))="",NA(),INDEX(Aux_puntos!$A$2:$OJ$901,96,MATCH($B$2&amp;"|yI",Aux_puntos!$1:$1,0))),NA())</f>
        <v/>
      </c>
      <c r="AI100">
        <f>IFERROR(IF(INDEX(Aux_puntos!$A$2:$OJ$901,96,MATCH($B$2&amp;"|xN",Aux_puntos!$1:$1,0))="",NA(),INDEX(Aux_puntos!$A$2:$OJ$901,96,MATCH($B$2&amp;"|xN",Aux_puntos!$1:$1,0))),NA())</f>
        <v/>
      </c>
      <c r="AJ100">
        <f>IFERROR(IF(INDEX(Aux_puntos!$A$2:$OJ$901,96,MATCH($B$2&amp;"|yN",Aux_puntos!$1:$1,0))="",NA(),INDEX(Aux_puntos!$A$2:$OJ$901,96,MATCH($B$2&amp;"|yN",Aux_puntos!$1:$1,0))),NA())</f>
        <v/>
      </c>
    </row>
    <row r="101">
      <c r="AC101">
        <f>IFERROR(IF(INDEX(Aux_puntos!$A$2:$OJ$901,97,MATCH($B$2&amp;"|xK",Aux_puntos!$1:$1,0))="",NA(),INDEX(Aux_puntos!$A$2:$OJ$901,97,MATCH($B$2&amp;"|xK",Aux_puntos!$1:$1,0))),NA())</f>
        <v/>
      </c>
      <c r="AD101">
        <f>IFERROR(IF(INDEX(Aux_puntos!$A$2:$OJ$901,97,MATCH($B$2&amp;"|yK",Aux_puntos!$1:$1,0))="",NA(),INDEX(Aux_puntos!$A$2:$OJ$901,97,MATCH($B$2&amp;"|yK",Aux_puntos!$1:$1,0))),NA())</f>
        <v/>
      </c>
      <c r="AE101">
        <f>IFERROR(IF(INDEX(Aux_puntos!$A$2:$OJ$901,97,MATCH($B$2&amp;"|xC",Aux_puntos!$1:$1,0))="",NA(),INDEX(Aux_puntos!$A$2:$OJ$901,97,MATCH($B$2&amp;"|xC",Aux_puntos!$1:$1,0))),NA())</f>
        <v/>
      </c>
      <c r="AF101">
        <f>IFERROR(IF(INDEX(Aux_puntos!$A$2:$OJ$901,97,MATCH($B$2&amp;"|yC",Aux_puntos!$1:$1,0))="",NA(),INDEX(Aux_puntos!$A$2:$OJ$901,97,MATCH($B$2&amp;"|yC",Aux_puntos!$1:$1,0))),NA())</f>
        <v/>
      </c>
      <c r="AG101">
        <f>IFERROR(IF(INDEX(Aux_puntos!$A$2:$OJ$901,97,MATCH($B$2&amp;"|xI",Aux_puntos!$1:$1,0))="",NA(),INDEX(Aux_puntos!$A$2:$OJ$901,97,MATCH($B$2&amp;"|xI",Aux_puntos!$1:$1,0))),NA())</f>
        <v/>
      </c>
      <c r="AH101">
        <f>IFERROR(IF(INDEX(Aux_puntos!$A$2:$OJ$901,97,MATCH($B$2&amp;"|yI",Aux_puntos!$1:$1,0))="",NA(),INDEX(Aux_puntos!$A$2:$OJ$901,97,MATCH($B$2&amp;"|yI",Aux_puntos!$1:$1,0))),NA())</f>
        <v/>
      </c>
      <c r="AI101">
        <f>IFERROR(IF(INDEX(Aux_puntos!$A$2:$OJ$901,97,MATCH($B$2&amp;"|xN",Aux_puntos!$1:$1,0))="",NA(),INDEX(Aux_puntos!$A$2:$OJ$901,97,MATCH($B$2&amp;"|xN",Aux_puntos!$1:$1,0))),NA())</f>
        <v/>
      </c>
      <c r="AJ101">
        <f>IFERROR(IF(INDEX(Aux_puntos!$A$2:$OJ$901,97,MATCH($B$2&amp;"|yN",Aux_puntos!$1:$1,0))="",NA(),INDEX(Aux_puntos!$A$2:$OJ$901,97,MATCH($B$2&amp;"|yN",Aux_puntos!$1:$1,0))),NA())</f>
        <v/>
      </c>
    </row>
    <row r="102">
      <c r="AC102">
        <f>IFERROR(IF(INDEX(Aux_puntos!$A$2:$OJ$901,98,MATCH($B$2&amp;"|xK",Aux_puntos!$1:$1,0))="",NA(),INDEX(Aux_puntos!$A$2:$OJ$901,98,MATCH($B$2&amp;"|xK",Aux_puntos!$1:$1,0))),NA())</f>
        <v/>
      </c>
      <c r="AD102">
        <f>IFERROR(IF(INDEX(Aux_puntos!$A$2:$OJ$901,98,MATCH($B$2&amp;"|yK",Aux_puntos!$1:$1,0))="",NA(),INDEX(Aux_puntos!$A$2:$OJ$901,98,MATCH($B$2&amp;"|yK",Aux_puntos!$1:$1,0))),NA())</f>
        <v/>
      </c>
      <c r="AE102">
        <f>IFERROR(IF(INDEX(Aux_puntos!$A$2:$OJ$901,98,MATCH($B$2&amp;"|xC",Aux_puntos!$1:$1,0))="",NA(),INDEX(Aux_puntos!$A$2:$OJ$901,98,MATCH($B$2&amp;"|xC",Aux_puntos!$1:$1,0))),NA())</f>
        <v/>
      </c>
      <c r="AF102">
        <f>IFERROR(IF(INDEX(Aux_puntos!$A$2:$OJ$901,98,MATCH($B$2&amp;"|yC",Aux_puntos!$1:$1,0))="",NA(),INDEX(Aux_puntos!$A$2:$OJ$901,98,MATCH($B$2&amp;"|yC",Aux_puntos!$1:$1,0))),NA())</f>
        <v/>
      </c>
      <c r="AG102">
        <f>IFERROR(IF(INDEX(Aux_puntos!$A$2:$OJ$901,98,MATCH($B$2&amp;"|xI",Aux_puntos!$1:$1,0))="",NA(),INDEX(Aux_puntos!$A$2:$OJ$901,98,MATCH($B$2&amp;"|xI",Aux_puntos!$1:$1,0))),NA())</f>
        <v/>
      </c>
      <c r="AH102">
        <f>IFERROR(IF(INDEX(Aux_puntos!$A$2:$OJ$901,98,MATCH($B$2&amp;"|yI",Aux_puntos!$1:$1,0))="",NA(),INDEX(Aux_puntos!$A$2:$OJ$901,98,MATCH($B$2&amp;"|yI",Aux_puntos!$1:$1,0))),NA())</f>
        <v/>
      </c>
      <c r="AI102">
        <f>IFERROR(IF(INDEX(Aux_puntos!$A$2:$OJ$901,98,MATCH($B$2&amp;"|xN",Aux_puntos!$1:$1,0))="",NA(),INDEX(Aux_puntos!$A$2:$OJ$901,98,MATCH($B$2&amp;"|xN",Aux_puntos!$1:$1,0))),NA())</f>
        <v/>
      </c>
      <c r="AJ102">
        <f>IFERROR(IF(INDEX(Aux_puntos!$A$2:$OJ$901,98,MATCH($B$2&amp;"|yN",Aux_puntos!$1:$1,0))="",NA(),INDEX(Aux_puntos!$A$2:$OJ$901,98,MATCH($B$2&amp;"|yN",Aux_puntos!$1:$1,0))),NA())</f>
        <v/>
      </c>
    </row>
    <row r="103">
      <c r="AC103">
        <f>IFERROR(IF(INDEX(Aux_puntos!$A$2:$OJ$901,99,MATCH($B$2&amp;"|xK",Aux_puntos!$1:$1,0))="",NA(),INDEX(Aux_puntos!$A$2:$OJ$901,99,MATCH($B$2&amp;"|xK",Aux_puntos!$1:$1,0))),NA())</f>
        <v/>
      </c>
      <c r="AD103">
        <f>IFERROR(IF(INDEX(Aux_puntos!$A$2:$OJ$901,99,MATCH($B$2&amp;"|yK",Aux_puntos!$1:$1,0))="",NA(),INDEX(Aux_puntos!$A$2:$OJ$901,99,MATCH($B$2&amp;"|yK",Aux_puntos!$1:$1,0))),NA())</f>
        <v/>
      </c>
      <c r="AE103">
        <f>IFERROR(IF(INDEX(Aux_puntos!$A$2:$OJ$901,99,MATCH($B$2&amp;"|xC",Aux_puntos!$1:$1,0))="",NA(),INDEX(Aux_puntos!$A$2:$OJ$901,99,MATCH($B$2&amp;"|xC",Aux_puntos!$1:$1,0))),NA())</f>
        <v/>
      </c>
      <c r="AF103">
        <f>IFERROR(IF(INDEX(Aux_puntos!$A$2:$OJ$901,99,MATCH($B$2&amp;"|yC",Aux_puntos!$1:$1,0))="",NA(),INDEX(Aux_puntos!$A$2:$OJ$901,99,MATCH($B$2&amp;"|yC",Aux_puntos!$1:$1,0))),NA())</f>
        <v/>
      </c>
      <c r="AG103">
        <f>IFERROR(IF(INDEX(Aux_puntos!$A$2:$OJ$901,99,MATCH($B$2&amp;"|xI",Aux_puntos!$1:$1,0))="",NA(),INDEX(Aux_puntos!$A$2:$OJ$901,99,MATCH($B$2&amp;"|xI",Aux_puntos!$1:$1,0))),NA())</f>
        <v/>
      </c>
      <c r="AH103">
        <f>IFERROR(IF(INDEX(Aux_puntos!$A$2:$OJ$901,99,MATCH($B$2&amp;"|yI",Aux_puntos!$1:$1,0))="",NA(),INDEX(Aux_puntos!$A$2:$OJ$901,99,MATCH($B$2&amp;"|yI",Aux_puntos!$1:$1,0))),NA())</f>
        <v/>
      </c>
      <c r="AI103">
        <f>IFERROR(IF(INDEX(Aux_puntos!$A$2:$OJ$901,99,MATCH($B$2&amp;"|xN",Aux_puntos!$1:$1,0))="",NA(),INDEX(Aux_puntos!$A$2:$OJ$901,99,MATCH($B$2&amp;"|xN",Aux_puntos!$1:$1,0))),NA())</f>
        <v/>
      </c>
      <c r="AJ103">
        <f>IFERROR(IF(INDEX(Aux_puntos!$A$2:$OJ$901,99,MATCH($B$2&amp;"|yN",Aux_puntos!$1:$1,0))="",NA(),INDEX(Aux_puntos!$A$2:$OJ$901,99,MATCH($B$2&amp;"|yN",Aux_puntos!$1:$1,0))),NA())</f>
        <v/>
      </c>
    </row>
    <row r="104">
      <c r="AC104">
        <f>IFERROR(IF(INDEX(Aux_puntos!$A$2:$OJ$901,100,MATCH($B$2&amp;"|xK",Aux_puntos!$1:$1,0))="",NA(),INDEX(Aux_puntos!$A$2:$OJ$901,100,MATCH($B$2&amp;"|xK",Aux_puntos!$1:$1,0))),NA())</f>
        <v/>
      </c>
      <c r="AD104">
        <f>IFERROR(IF(INDEX(Aux_puntos!$A$2:$OJ$901,100,MATCH($B$2&amp;"|yK",Aux_puntos!$1:$1,0))="",NA(),INDEX(Aux_puntos!$A$2:$OJ$901,100,MATCH($B$2&amp;"|yK",Aux_puntos!$1:$1,0))),NA())</f>
        <v/>
      </c>
      <c r="AE104">
        <f>IFERROR(IF(INDEX(Aux_puntos!$A$2:$OJ$901,100,MATCH($B$2&amp;"|xC",Aux_puntos!$1:$1,0))="",NA(),INDEX(Aux_puntos!$A$2:$OJ$901,100,MATCH($B$2&amp;"|xC",Aux_puntos!$1:$1,0))),NA())</f>
        <v/>
      </c>
      <c r="AF104">
        <f>IFERROR(IF(INDEX(Aux_puntos!$A$2:$OJ$901,100,MATCH($B$2&amp;"|yC",Aux_puntos!$1:$1,0))="",NA(),INDEX(Aux_puntos!$A$2:$OJ$901,100,MATCH($B$2&amp;"|yC",Aux_puntos!$1:$1,0))),NA())</f>
        <v/>
      </c>
      <c r="AG104">
        <f>IFERROR(IF(INDEX(Aux_puntos!$A$2:$OJ$901,100,MATCH($B$2&amp;"|xI",Aux_puntos!$1:$1,0))="",NA(),INDEX(Aux_puntos!$A$2:$OJ$901,100,MATCH($B$2&amp;"|xI",Aux_puntos!$1:$1,0))),NA())</f>
        <v/>
      </c>
      <c r="AH104">
        <f>IFERROR(IF(INDEX(Aux_puntos!$A$2:$OJ$901,100,MATCH($B$2&amp;"|yI",Aux_puntos!$1:$1,0))="",NA(),INDEX(Aux_puntos!$A$2:$OJ$901,100,MATCH($B$2&amp;"|yI",Aux_puntos!$1:$1,0))),NA())</f>
        <v/>
      </c>
      <c r="AI104">
        <f>IFERROR(IF(INDEX(Aux_puntos!$A$2:$OJ$901,100,MATCH($B$2&amp;"|xN",Aux_puntos!$1:$1,0))="",NA(),INDEX(Aux_puntos!$A$2:$OJ$901,100,MATCH($B$2&amp;"|xN",Aux_puntos!$1:$1,0))),NA())</f>
        <v/>
      </c>
      <c r="AJ104">
        <f>IFERROR(IF(INDEX(Aux_puntos!$A$2:$OJ$901,100,MATCH($B$2&amp;"|yN",Aux_puntos!$1:$1,0))="",NA(),INDEX(Aux_puntos!$A$2:$OJ$901,100,MATCH($B$2&amp;"|yN",Aux_puntos!$1:$1,0))),NA())</f>
        <v/>
      </c>
    </row>
    <row r="105">
      <c r="AC105">
        <f>IFERROR(IF(INDEX(Aux_puntos!$A$2:$OJ$901,101,MATCH($B$2&amp;"|xK",Aux_puntos!$1:$1,0))="",NA(),INDEX(Aux_puntos!$A$2:$OJ$901,101,MATCH($B$2&amp;"|xK",Aux_puntos!$1:$1,0))),NA())</f>
        <v/>
      </c>
      <c r="AD105">
        <f>IFERROR(IF(INDEX(Aux_puntos!$A$2:$OJ$901,101,MATCH($B$2&amp;"|yK",Aux_puntos!$1:$1,0))="",NA(),INDEX(Aux_puntos!$A$2:$OJ$901,101,MATCH($B$2&amp;"|yK",Aux_puntos!$1:$1,0))),NA())</f>
        <v/>
      </c>
      <c r="AE105">
        <f>IFERROR(IF(INDEX(Aux_puntos!$A$2:$OJ$901,101,MATCH($B$2&amp;"|xC",Aux_puntos!$1:$1,0))="",NA(),INDEX(Aux_puntos!$A$2:$OJ$901,101,MATCH($B$2&amp;"|xC",Aux_puntos!$1:$1,0))),NA())</f>
        <v/>
      </c>
      <c r="AF105">
        <f>IFERROR(IF(INDEX(Aux_puntos!$A$2:$OJ$901,101,MATCH($B$2&amp;"|yC",Aux_puntos!$1:$1,0))="",NA(),INDEX(Aux_puntos!$A$2:$OJ$901,101,MATCH($B$2&amp;"|yC",Aux_puntos!$1:$1,0))),NA())</f>
        <v/>
      </c>
      <c r="AG105">
        <f>IFERROR(IF(INDEX(Aux_puntos!$A$2:$OJ$901,101,MATCH($B$2&amp;"|xI",Aux_puntos!$1:$1,0))="",NA(),INDEX(Aux_puntos!$A$2:$OJ$901,101,MATCH($B$2&amp;"|xI",Aux_puntos!$1:$1,0))),NA())</f>
        <v/>
      </c>
      <c r="AH105">
        <f>IFERROR(IF(INDEX(Aux_puntos!$A$2:$OJ$901,101,MATCH($B$2&amp;"|yI",Aux_puntos!$1:$1,0))="",NA(),INDEX(Aux_puntos!$A$2:$OJ$901,101,MATCH($B$2&amp;"|yI",Aux_puntos!$1:$1,0))),NA())</f>
        <v/>
      </c>
      <c r="AI105">
        <f>IFERROR(IF(INDEX(Aux_puntos!$A$2:$OJ$901,101,MATCH($B$2&amp;"|xN",Aux_puntos!$1:$1,0))="",NA(),INDEX(Aux_puntos!$A$2:$OJ$901,101,MATCH($B$2&amp;"|xN",Aux_puntos!$1:$1,0))),NA())</f>
        <v/>
      </c>
      <c r="AJ105">
        <f>IFERROR(IF(INDEX(Aux_puntos!$A$2:$OJ$901,101,MATCH($B$2&amp;"|yN",Aux_puntos!$1:$1,0))="",NA(),INDEX(Aux_puntos!$A$2:$OJ$901,101,MATCH($B$2&amp;"|yN",Aux_puntos!$1:$1,0))),NA())</f>
        <v/>
      </c>
    </row>
    <row r="106">
      <c r="AC106">
        <f>IFERROR(IF(INDEX(Aux_puntos!$A$2:$OJ$901,102,MATCH($B$2&amp;"|xK",Aux_puntos!$1:$1,0))="",NA(),INDEX(Aux_puntos!$A$2:$OJ$901,102,MATCH($B$2&amp;"|xK",Aux_puntos!$1:$1,0))),NA())</f>
        <v/>
      </c>
      <c r="AD106">
        <f>IFERROR(IF(INDEX(Aux_puntos!$A$2:$OJ$901,102,MATCH($B$2&amp;"|yK",Aux_puntos!$1:$1,0))="",NA(),INDEX(Aux_puntos!$A$2:$OJ$901,102,MATCH($B$2&amp;"|yK",Aux_puntos!$1:$1,0))),NA())</f>
        <v/>
      </c>
      <c r="AE106">
        <f>IFERROR(IF(INDEX(Aux_puntos!$A$2:$OJ$901,102,MATCH($B$2&amp;"|xC",Aux_puntos!$1:$1,0))="",NA(),INDEX(Aux_puntos!$A$2:$OJ$901,102,MATCH($B$2&amp;"|xC",Aux_puntos!$1:$1,0))),NA())</f>
        <v/>
      </c>
      <c r="AF106">
        <f>IFERROR(IF(INDEX(Aux_puntos!$A$2:$OJ$901,102,MATCH($B$2&amp;"|yC",Aux_puntos!$1:$1,0))="",NA(),INDEX(Aux_puntos!$A$2:$OJ$901,102,MATCH($B$2&amp;"|yC",Aux_puntos!$1:$1,0))),NA())</f>
        <v/>
      </c>
      <c r="AG106">
        <f>IFERROR(IF(INDEX(Aux_puntos!$A$2:$OJ$901,102,MATCH($B$2&amp;"|xI",Aux_puntos!$1:$1,0))="",NA(),INDEX(Aux_puntos!$A$2:$OJ$901,102,MATCH($B$2&amp;"|xI",Aux_puntos!$1:$1,0))),NA())</f>
        <v/>
      </c>
      <c r="AH106">
        <f>IFERROR(IF(INDEX(Aux_puntos!$A$2:$OJ$901,102,MATCH($B$2&amp;"|yI",Aux_puntos!$1:$1,0))="",NA(),INDEX(Aux_puntos!$A$2:$OJ$901,102,MATCH($B$2&amp;"|yI",Aux_puntos!$1:$1,0))),NA())</f>
        <v/>
      </c>
      <c r="AI106">
        <f>IFERROR(IF(INDEX(Aux_puntos!$A$2:$OJ$901,102,MATCH($B$2&amp;"|xN",Aux_puntos!$1:$1,0))="",NA(),INDEX(Aux_puntos!$A$2:$OJ$901,102,MATCH($B$2&amp;"|xN",Aux_puntos!$1:$1,0))),NA())</f>
        <v/>
      </c>
      <c r="AJ106">
        <f>IFERROR(IF(INDEX(Aux_puntos!$A$2:$OJ$901,102,MATCH($B$2&amp;"|yN",Aux_puntos!$1:$1,0))="",NA(),INDEX(Aux_puntos!$A$2:$OJ$901,102,MATCH($B$2&amp;"|yN",Aux_puntos!$1:$1,0))),NA())</f>
        <v/>
      </c>
    </row>
    <row r="107">
      <c r="AC107">
        <f>IFERROR(IF(INDEX(Aux_puntos!$A$2:$OJ$901,103,MATCH($B$2&amp;"|xK",Aux_puntos!$1:$1,0))="",NA(),INDEX(Aux_puntos!$A$2:$OJ$901,103,MATCH($B$2&amp;"|xK",Aux_puntos!$1:$1,0))),NA())</f>
        <v/>
      </c>
      <c r="AD107">
        <f>IFERROR(IF(INDEX(Aux_puntos!$A$2:$OJ$901,103,MATCH($B$2&amp;"|yK",Aux_puntos!$1:$1,0))="",NA(),INDEX(Aux_puntos!$A$2:$OJ$901,103,MATCH($B$2&amp;"|yK",Aux_puntos!$1:$1,0))),NA())</f>
        <v/>
      </c>
      <c r="AE107">
        <f>IFERROR(IF(INDEX(Aux_puntos!$A$2:$OJ$901,103,MATCH($B$2&amp;"|xC",Aux_puntos!$1:$1,0))="",NA(),INDEX(Aux_puntos!$A$2:$OJ$901,103,MATCH($B$2&amp;"|xC",Aux_puntos!$1:$1,0))),NA())</f>
        <v/>
      </c>
      <c r="AF107">
        <f>IFERROR(IF(INDEX(Aux_puntos!$A$2:$OJ$901,103,MATCH($B$2&amp;"|yC",Aux_puntos!$1:$1,0))="",NA(),INDEX(Aux_puntos!$A$2:$OJ$901,103,MATCH($B$2&amp;"|yC",Aux_puntos!$1:$1,0))),NA())</f>
        <v/>
      </c>
      <c r="AG107">
        <f>IFERROR(IF(INDEX(Aux_puntos!$A$2:$OJ$901,103,MATCH($B$2&amp;"|xI",Aux_puntos!$1:$1,0))="",NA(),INDEX(Aux_puntos!$A$2:$OJ$901,103,MATCH($B$2&amp;"|xI",Aux_puntos!$1:$1,0))),NA())</f>
        <v/>
      </c>
      <c r="AH107">
        <f>IFERROR(IF(INDEX(Aux_puntos!$A$2:$OJ$901,103,MATCH($B$2&amp;"|yI",Aux_puntos!$1:$1,0))="",NA(),INDEX(Aux_puntos!$A$2:$OJ$901,103,MATCH($B$2&amp;"|yI",Aux_puntos!$1:$1,0))),NA())</f>
        <v/>
      </c>
      <c r="AI107">
        <f>IFERROR(IF(INDEX(Aux_puntos!$A$2:$OJ$901,103,MATCH($B$2&amp;"|xN",Aux_puntos!$1:$1,0))="",NA(),INDEX(Aux_puntos!$A$2:$OJ$901,103,MATCH($B$2&amp;"|xN",Aux_puntos!$1:$1,0))),NA())</f>
        <v/>
      </c>
      <c r="AJ107">
        <f>IFERROR(IF(INDEX(Aux_puntos!$A$2:$OJ$901,103,MATCH($B$2&amp;"|yN",Aux_puntos!$1:$1,0))="",NA(),INDEX(Aux_puntos!$A$2:$OJ$901,103,MATCH($B$2&amp;"|yN",Aux_puntos!$1:$1,0))),NA())</f>
        <v/>
      </c>
    </row>
    <row r="108">
      <c r="AC108">
        <f>IFERROR(IF(INDEX(Aux_puntos!$A$2:$OJ$901,104,MATCH($B$2&amp;"|xK",Aux_puntos!$1:$1,0))="",NA(),INDEX(Aux_puntos!$A$2:$OJ$901,104,MATCH($B$2&amp;"|xK",Aux_puntos!$1:$1,0))),NA())</f>
        <v/>
      </c>
      <c r="AD108">
        <f>IFERROR(IF(INDEX(Aux_puntos!$A$2:$OJ$901,104,MATCH($B$2&amp;"|yK",Aux_puntos!$1:$1,0))="",NA(),INDEX(Aux_puntos!$A$2:$OJ$901,104,MATCH($B$2&amp;"|yK",Aux_puntos!$1:$1,0))),NA())</f>
        <v/>
      </c>
      <c r="AE108">
        <f>IFERROR(IF(INDEX(Aux_puntos!$A$2:$OJ$901,104,MATCH($B$2&amp;"|xC",Aux_puntos!$1:$1,0))="",NA(),INDEX(Aux_puntos!$A$2:$OJ$901,104,MATCH($B$2&amp;"|xC",Aux_puntos!$1:$1,0))),NA())</f>
        <v/>
      </c>
      <c r="AF108">
        <f>IFERROR(IF(INDEX(Aux_puntos!$A$2:$OJ$901,104,MATCH($B$2&amp;"|yC",Aux_puntos!$1:$1,0))="",NA(),INDEX(Aux_puntos!$A$2:$OJ$901,104,MATCH($B$2&amp;"|yC",Aux_puntos!$1:$1,0))),NA())</f>
        <v/>
      </c>
      <c r="AG108">
        <f>IFERROR(IF(INDEX(Aux_puntos!$A$2:$OJ$901,104,MATCH($B$2&amp;"|xI",Aux_puntos!$1:$1,0))="",NA(),INDEX(Aux_puntos!$A$2:$OJ$901,104,MATCH($B$2&amp;"|xI",Aux_puntos!$1:$1,0))),NA())</f>
        <v/>
      </c>
      <c r="AH108">
        <f>IFERROR(IF(INDEX(Aux_puntos!$A$2:$OJ$901,104,MATCH($B$2&amp;"|yI",Aux_puntos!$1:$1,0))="",NA(),INDEX(Aux_puntos!$A$2:$OJ$901,104,MATCH($B$2&amp;"|yI",Aux_puntos!$1:$1,0))),NA())</f>
        <v/>
      </c>
      <c r="AI108">
        <f>IFERROR(IF(INDEX(Aux_puntos!$A$2:$OJ$901,104,MATCH($B$2&amp;"|xN",Aux_puntos!$1:$1,0))="",NA(),INDEX(Aux_puntos!$A$2:$OJ$901,104,MATCH($B$2&amp;"|xN",Aux_puntos!$1:$1,0))),NA())</f>
        <v/>
      </c>
      <c r="AJ108">
        <f>IFERROR(IF(INDEX(Aux_puntos!$A$2:$OJ$901,104,MATCH($B$2&amp;"|yN",Aux_puntos!$1:$1,0))="",NA(),INDEX(Aux_puntos!$A$2:$OJ$901,104,MATCH($B$2&amp;"|yN",Aux_puntos!$1:$1,0))),NA())</f>
        <v/>
      </c>
    </row>
    <row r="109">
      <c r="AC109">
        <f>IFERROR(IF(INDEX(Aux_puntos!$A$2:$OJ$901,105,MATCH($B$2&amp;"|xK",Aux_puntos!$1:$1,0))="",NA(),INDEX(Aux_puntos!$A$2:$OJ$901,105,MATCH($B$2&amp;"|xK",Aux_puntos!$1:$1,0))),NA())</f>
        <v/>
      </c>
      <c r="AD109">
        <f>IFERROR(IF(INDEX(Aux_puntos!$A$2:$OJ$901,105,MATCH($B$2&amp;"|yK",Aux_puntos!$1:$1,0))="",NA(),INDEX(Aux_puntos!$A$2:$OJ$901,105,MATCH($B$2&amp;"|yK",Aux_puntos!$1:$1,0))),NA())</f>
        <v/>
      </c>
      <c r="AE109">
        <f>IFERROR(IF(INDEX(Aux_puntos!$A$2:$OJ$901,105,MATCH($B$2&amp;"|xC",Aux_puntos!$1:$1,0))="",NA(),INDEX(Aux_puntos!$A$2:$OJ$901,105,MATCH($B$2&amp;"|xC",Aux_puntos!$1:$1,0))),NA())</f>
        <v/>
      </c>
      <c r="AF109">
        <f>IFERROR(IF(INDEX(Aux_puntos!$A$2:$OJ$901,105,MATCH($B$2&amp;"|yC",Aux_puntos!$1:$1,0))="",NA(),INDEX(Aux_puntos!$A$2:$OJ$901,105,MATCH($B$2&amp;"|yC",Aux_puntos!$1:$1,0))),NA())</f>
        <v/>
      </c>
      <c r="AG109">
        <f>IFERROR(IF(INDEX(Aux_puntos!$A$2:$OJ$901,105,MATCH($B$2&amp;"|xI",Aux_puntos!$1:$1,0))="",NA(),INDEX(Aux_puntos!$A$2:$OJ$901,105,MATCH($B$2&amp;"|xI",Aux_puntos!$1:$1,0))),NA())</f>
        <v/>
      </c>
      <c r="AH109">
        <f>IFERROR(IF(INDEX(Aux_puntos!$A$2:$OJ$901,105,MATCH($B$2&amp;"|yI",Aux_puntos!$1:$1,0))="",NA(),INDEX(Aux_puntos!$A$2:$OJ$901,105,MATCH($B$2&amp;"|yI",Aux_puntos!$1:$1,0))),NA())</f>
        <v/>
      </c>
      <c r="AI109">
        <f>IFERROR(IF(INDEX(Aux_puntos!$A$2:$OJ$901,105,MATCH($B$2&amp;"|xN",Aux_puntos!$1:$1,0))="",NA(),INDEX(Aux_puntos!$A$2:$OJ$901,105,MATCH($B$2&amp;"|xN",Aux_puntos!$1:$1,0))),NA())</f>
        <v/>
      </c>
      <c r="AJ109">
        <f>IFERROR(IF(INDEX(Aux_puntos!$A$2:$OJ$901,105,MATCH($B$2&amp;"|yN",Aux_puntos!$1:$1,0))="",NA(),INDEX(Aux_puntos!$A$2:$OJ$901,105,MATCH($B$2&amp;"|yN",Aux_puntos!$1:$1,0))),NA())</f>
        <v/>
      </c>
    </row>
    <row r="110">
      <c r="AC110">
        <f>IFERROR(IF(INDEX(Aux_puntos!$A$2:$OJ$901,106,MATCH($B$2&amp;"|xK",Aux_puntos!$1:$1,0))="",NA(),INDEX(Aux_puntos!$A$2:$OJ$901,106,MATCH($B$2&amp;"|xK",Aux_puntos!$1:$1,0))),NA())</f>
        <v/>
      </c>
      <c r="AD110">
        <f>IFERROR(IF(INDEX(Aux_puntos!$A$2:$OJ$901,106,MATCH($B$2&amp;"|yK",Aux_puntos!$1:$1,0))="",NA(),INDEX(Aux_puntos!$A$2:$OJ$901,106,MATCH($B$2&amp;"|yK",Aux_puntos!$1:$1,0))),NA())</f>
        <v/>
      </c>
      <c r="AE110">
        <f>IFERROR(IF(INDEX(Aux_puntos!$A$2:$OJ$901,106,MATCH($B$2&amp;"|xC",Aux_puntos!$1:$1,0))="",NA(),INDEX(Aux_puntos!$A$2:$OJ$901,106,MATCH($B$2&amp;"|xC",Aux_puntos!$1:$1,0))),NA())</f>
        <v/>
      </c>
      <c r="AF110">
        <f>IFERROR(IF(INDEX(Aux_puntos!$A$2:$OJ$901,106,MATCH($B$2&amp;"|yC",Aux_puntos!$1:$1,0))="",NA(),INDEX(Aux_puntos!$A$2:$OJ$901,106,MATCH($B$2&amp;"|yC",Aux_puntos!$1:$1,0))),NA())</f>
        <v/>
      </c>
      <c r="AG110">
        <f>IFERROR(IF(INDEX(Aux_puntos!$A$2:$OJ$901,106,MATCH($B$2&amp;"|xI",Aux_puntos!$1:$1,0))="",NA(),INDEX(Aux_puntos!$A$2:$OJ$901,106,MATCH($B$2&amp;"|xI",Aux_puntos!$1:$1,0))),NA())</f>
        <v/>
      </c>
      <c r="AH110">
        <f>IFERROR(IF(INDEX(Aux_puntos!$A$2:$OJ$901,106,MATCH($B$2&amp;"|yI",Aux_puntos!$1:$1,0))="",NA(),INDEX(Aux_puntos!$A$2:$OJ$901,106,MATCH($B$2&amp;"|yI",Aux_puntos!$1:$1,0))),NA())</f>
        <v/>
      </c>
      <c r="AI110">
        <f>IFERROR(IF(INDEX(Aux_puntos!$A$2:$OJ$901,106,MATCH($B$2&amp;"|xN",Aux_puntos!$1:$1,0))="",NA(),INDEX(Aux_puntos!$A$2:$OJ$901,106,MATCH($B$2&amp;"|xN",Aux_puntos!$1:$1,0))),NA())</f>
        <v/>
      </c>
      <c r="AJ110">
        <f>IFERROR(IF(INDEX(Aux_puntos!$A$2:$OJ$901,106,MATCH($B$2&amp;"|yN",Aux_puntos!$1:$1,0))="",NA(),INDEX(Aux_puntos!$A$2:$OJ$901,106,MATCH($B$2&amp;"|yN",Aux_puntos!$1:$1,0))),NA())</f>
        <v/>
      </c>
    </row>
    <row r="111">
      <c r="AC111">
        <f>IFERROR(IF(INDEX(Aux_puntos!$A$2:$OJ$901,107,MATCH($B$2&amp;"|xK",Aux_puntos!$1:$1,0))="",NA(),INDEX(Aux_puntos!$A$2:$OJ$901,107,MATCH($B$2&amp;"|xK",Aux_puntos!$1:$1,0))),NA())</f>
        <v/>
      </c>
      <c r="AD111">
        <f>IFERROR(IF(INDEX(Aux_puntos!$A$2:$OJ$901,107,MATCH($B$2&amp;"|yK",Aux_puntos!$1:$1,0))="",NA(),INDEX(Aux_puntos!$A$2:$OJ$901,107,MATCH($B$2&amp;"|yK",Aux_puntos!$1:$1,0))),NA())</f>
        <v/>
      </c>
      <c r="AE111">
        <f>IFERROR(IF(INDEX(Aux_puntos!$A$2:$OJ$901,107,MATCH($B$2&amp;"|xC",Aux_puntos!$1:$1,0))="",NA(),INDEX(Aux_puntos!$A$2:$OJ$901,107,MATCH($B$2&amp;"|xC",Aux_puntos!$1:$1,0))),NA())</f>
        <v/>
      </c>
      <c r="AF111">
        <f>IFERROR(IF(INDEX(Aux_puntos!$A$2:$OJ$901,107,MATCH($B$2&amp;"|yC",Aux_puntos!$1:$1,0))="",NA(),INDEX(Aux_puntos!$A$2:$OJ$901,107,MATCH($B$2&amp;"|yC",Aux_puntos!$1:$1,0))),NA())</f>
        <v/>
      </c>
      <c r="AG111">
        <f>IFERROR(IF(INDEX(Aux_puntos!$A$2:$OJ$901,107,MATCH($B$2&amp;"|xI",Aux_puntos!$1:$1,0))="",NA(),INDEX(Aux_puntos!$A$2:$OJ$901,107,MATCH($B$2&amp;"|xI",Aux_puntos!$1:$1,0))),NA())</f>
        <v/>
      </c>
      <c r="AH111">
        <f>IFERROR(IF(INDEX(Aux_puntos!$A$2:$OJ$901,107,MATCH($B$2&amp;"|yI",Aux_puntos!$1:$1,0))="",NA(),INDEX(Aux_puntos!$A$2:$OJ$901,107,MATCH($B$2&amp;"|yI",Aux_puntos!$1:$1,0))),NA())</f>
        <v/>
      </c>
      <c r="AI111">
        <f>IFERROR(IF(INDEX(Aux_puntos!$A$2:$OJ$901,107,MATCH($B$2&amp;"|xN",Aux_puntos!$1:$1,0))="",NA(),INDEX(Aux_puntos!$A$2:$OJ$901,107,MATCH($B$2&amp;"|xN",Aux_puntos!$1:$1,0))),NA())</f>
        <v/>
      </c>
      <c r="AJ111">
        <f>IFERROR(IF(INDEX(Aux_puntos!$A$2:$OJ$901,107,MATCH($B$2&amp;"|yN",Aux_puntos!$1:$1,0))="",NA(),INDEX(Aux_puntos!$A$2:$OJ$901,107,MATCH($B$2&amp;"|yN",Aux_puntos!$1:$1,0))),NA())</f>
        <v/>
      </c>
    </row>
    <row r="112">
      <c r="AC112">
        <f>IFERROR(IF(INDEX(Aux_puntos!$A$2:$OJ$901,108,MATCH($B$2&amp;"|xK",Aux_puntos!$1:$1,0))="",NA(),INDEX(Aux_puntos!$A$2:$OJ$901,108,MATCH($B$2&amp;"|xK",Aux_puntos!$1:$1,0))),NA())</f>
        <v/>
      </c>
      <c r="AD112">
        <f>IFERROR(IF(INDEX(Aux_puntos!$A$2:$OJ$901,108,MATCH($B$2&amp;"|yK",Aux_puntos!$1:$1,0))="",NA(),INDEX(Aux_puntos!$A$2:$OJ$901,108,MATCH($B$2&amp;"|yK",Aux_puntos!$1:$1,0))),NA())</f>
        <v/>
      </c>
      <c r="AE112">
        <f>IFERROR(IF(INDEX(Aux_puntos!$A$2:$OJ$901,108,MATCH($B$2&amp;"|xC",Aux_puntos!$1:$1,0))="",NA(),INDEX(Aux_puntos!$A$2:$OJ$901,108,MATCH($B$2&amp;"|xC",Aux_puntos!$1:$1,0))),NA())</f>
        <v/>
      </c>
      <c r="AF112">
        <f>IFERROR(IF(INDEX(Aux_puntos!$A$2:$OJ$901,108,MATCH($B$2&amp;"|yC",Aux_puntos!$1:$1,0))="",NA(),INDEX(Aux_puntos!$A$2:$OJ$901,108,MATCH($B$2&amp;"|yC",Aux_puntos!$1:$1,0))),NA())</f>
        <v/>
      </c>
      <c r="AG112">
        <f>IFERROR(IF(INDEX(Aux_puntos!$A$2:$OJ$901,108,MATCH($B$2&amp;"|xI",Aux_puntos!$1:$1,0))="",NA(),INDEX(Aux_puntos!$A$2:$OJ$901,108,MATCH($B$2&amp;"|xI",Aux_puntos!$1:$1,0))),NA())</f>
        <v/>
      </c>
      <c r="AH112">
        <f>IFERROR(IF(INDEX(Aux_puntos!$A$2:$OJ$901,108,MATCH($B$2&amp;"|yI",Aux_puntos!$1:$1,0))="",NA(),INDEX(Aux_puntos!$A$2:$OJ$901,108,MATCH($B$2&amp;"|yI",Aux_puntos!$1:$1,0))),NA())</f>
        <v/>
      </c>
      <c r="AI112">
        <f>IFERROR(IF(INDEX(Aux_puntos!$A$2:$OJ$901,108,MATCH($B$2&amp;"|xN",Aux_puntos!$1:$1,0))="",NA(),INDEX(Aux_puntos!$A$2:$OJ$901,108,MATCH($B$2&amp;"|xN",Aux_puntos!$1:$1,0))),NA())</f>
        <v/>
      </c>
      <c r="AJ112">
        <f>IFERROR(IF(INDEX(Aux_puntos!$A$2:$OJ$901,108,MATCH($B$2&amp;"|yN",Aux_puntos!$1:$1,0))="",NA(),INDEX(Aux_puntos!$A$2:$OJ$901,108,MATCH($B$2&amp;"|yN",Aux_puntos!$1:$1,0))),NA())</f>
        <v/>
      </c>
    </row>
    <row r="113">
      <c r="AC113">
        <f>IFERROR(IF(INDEX(Aux_puntos!$A$2:$OJ$901,109,MATCH($B$2&amp;"|xK",Aux_puntos!$1:$1,0))="",NA(),INDEX(Aux_puntos!$A$2:$OJ$901,109,MATCH($B$2&amp;"|xK",Aux_puntos!$1:$1,0))),NA())</f>
        <v/>
      </c>
      <c r="AD113">
        <f>IFERROR(IF(INDEX(Aux_puntos!$A$2:$OJ$901,109,MATCH($B$2&amp;"|yK",Aux_puntos!$1:$1,0))="",NA(),INDEX(Aux_puntos!$A$2:$OJ$901,109,MATCH($B$2&amp;"|yK",Aux_puntos!$1:$1,0))),NA())</f>
        <v/>
      </c>
      <c r="AE113">
        <f>IFERROR(IF(INDEX(Aux_puntos!$A$2:$OJ$901,109,MATCH($B$2&amp;"|xC",Aux_puntos!$1:$1,0))="",NA(),INDEX(Aux_puntos!$A$2:$OJ$901,109,MATCH($B$2&amp;"|xC",Aux_puntos!$1:$1,0))),NA())</f>
        <v/>
      </c>
      <c r="AF113">
        <f>IFERROR(IF(INDEX(Aux_puntos!$A$2:$OJ$901,109,MATCH($B$2&amp;"|yC",Aux_puntos!$1:$1,0))="",NA(),INDEX(Aux_puntos!$A$2:$OJ$901,109,MATCH($B$2&amp;"|yC",Aux_puntos!$1:$1,0))),NA())</f>
        <v/>
      </c>
      <c r="AG113">
        <f>IFERROR(IF(INDEX(Aux_puntos!$A$2:$OJ$901,109,MATCH($B$2&amp;"|xI",Aux_puntos!$1:$1,0))="",NA(),INDEX(Aux_puntos!$A$2:$OJ$901,109,MATCH($B$2&amp;"|xI",Aux_puntos!$1:$1,0))),NA())</f>
        <v/>
      </c>
      <c r="AH113">
        <f>IFERROR(IF(INDEX(Aux_puntos!$A$2:$OJ$901,109,MATCH($B$2&amp;"|yI",Aux_puntos!$1:$1,0))="",NA(),INDEX(Aux_puntos!$A$2:$OJ$901,109,MATCH($B$2&amp;"|yI",Aux_puntos!$1:$1,0))),NA())</f>
        <v/>
      </c>
      <c r="AI113">
        <f>IFERROR(IF(INDEX(Aux_puntos!$A$2:$OJ$901,109,MATCH($B$2&amp;"|xN",Aux_puntos!$1:$1,0))="",NA(),INDEX(Aux_puntos!$A$2:$OJ$901,109,MATCH($B$2&amp;"|xN",Aux_puntos!$1:$1,0))),NA())</f>
        <v/>
      </c>
      <c r="AJ113">
        <f>IFERROR(IF(INDEX(Aux_puntos!$A$2:$OJ$901,109,MATCH($B$2&amp;"|yN",Aux_puntos!$1:$1,0))="",NA(),INDEX(Aux_puntos!$A$2:$OJ$901,109,MATCH($B$2&amp;"|yN",Aux_puntos!$1:$1,0))),NA())</f>
        <v/>
      </c>
    </row>
    <row r="114">
      <c r="AC114">
        <f>IFERROR(IF(INDEX(Aux_puntos!$A$2:$OJ$901,110,MATCH($B$2&amp;"|xK",Aux_puntos!$1:$1,0))="",NA(),INDEX(Aux_puntos!$A$2:$OJ$901,110,MATCH($B$2&amp;"|xK",Aux_puntos!$1:$1,0))),NA())</f>
        <v/>
      </c>
      <c r="AD114">
        <f>IFERROR(IF(INDEX(Aux_puntos!$A$2:$OJ$901,110,MATCH($B$2&amp;"|yK",Aux_puntos!$1:$1,0))="",NA(),INDEX(Aux_puntos!$A$2:$OJ$901,110,MATCH($B$2&amp;"|yK",Aux_puntos!$1:$1,0))),NA())</f>
        <v/>
      </c>
      <c r="AE114">
        <f>IFERROR(IF(INDEX(Aux_puntos!$A$2:$OJ$901,110,MATCH($B$2&amp;"|xC",Aux_puntos!$1:$1,0))="",NA(),INDEX(Aux_puntos!$A$2:$OJ$901,110,MATCH($B$2&amp;"|xC",Aux_puntos!$1:$1,0))),NA())</f>
        <v/>
      </c>
      <c r="AF114">
        <f>IFERROR(IF(INDEX(Aux_puntos!$A$2:$OJ$901,110,MATCH($B$2&amp;"|yC",Aux_puntos!$1:$1,0))="",NA(),INDEX(Aux_puntos!$A$2:$OJ$901,110,MATCH($B$2&amp;"|yC",Aux_puntos!$1:$1,0))),NA())</f>
        <v/>
      </c>
      <c r="AG114">
        <f>IFERROR(IF(INDEX(Aux_puntos!$A$2:$OJ$901,110,MATCH($B$2&amp;"|xI",Aux_puntos!$1:$1,0))="",NA(),INDEX(Aux_puntos!$A$2:$OJ$901,110,MATCH($B$2&amp;"|xI",Aux_puntos!$1:$1,0))),NA())</f>
        <v/>
      </c>
      <c r="AH114">
        <f>IFERROR(IF(INDEX(Aux_puntos!$A$2:$OJ$901,110,MATCH($B$2&amp;"|yI",Aux_puntos!$1:$1,0))="",NA(),INDEX(Aux_puntos!$A$2:$OJ$901,110,MATCH($B$2&amp;"|yI",Aux_puntos!$1:$1,0))),NA())</f>
        <v/>
      </c>
      <c r="AI114">
        <f>IFERROR(IF(INDEX(Aux_puntos!$A$2:$OJ$901,110,MATCH($B$2&amp;"|xN",Aux_puntos!$1:$1,0))="",NA(),INDEX(Aux_puntos!$A$2:$OJ$901,110,MATCH($B$2&amp;"|xN",Aux_puntos!$1:$1,0))),NA())</f>
        <v/>
      </c>
      <c r="AJ114">
        <f>IFERROR(IF(INDEX(Aux_puntos!$A$2:$OJ$901,110,MATCH($B$2&amp;"|yN",Aux_puntos!$1:$1,0))="",NA(),INDEX(Aux_puntos!$A$2:$OJ$901,110,MATCH($B$2&amp;"|yN",Aux_puntos!$1:$1,0))),NA())</f>
        <v/>
      </c>
    </row>
    <row r="115">
      <c r="AC115">
        <f>IFERROR(IF(INDEX(Aux_puntos!$A$2:$OJ$901,111,MATCH($B$2&amp;"|xK",Aux_puntos!$1:$1,0))="",NA(),INDEX(Aux_puntos!$A$2:$OJ$901,111,MATCH($B$2&amp;"|xK",Aux_puntos!$1:$1,0))),NA())</f>
        <v/>
      </c>
      <c r="AD115">
        <f>IFERROR(IF(INDEX(Aux_puntos!$A$2:$OJ$901,111,MATCH($B$2&amp;"|yK",Aux_puntos!$1:$1,0))="",NA(),INDEX(Aux_puntos!$A$2:$OJ$901,111,MATCH($B$2&amp;"|yK",Aux_puntos!$1:$1,0))),NA())</f>
        <v/>
      </c>
      <c r="AE115">
        <f>IFERROR(IF(INDEX(Aux_puntos!$A$2:$OJ$901,111,MATCH($B$2&amp;"|xC",Aux_puntos!$1:$1,0))="",NA(),INDEX(Aux_puntos!$A$2:$OJ$901,111,MATCH($B$2&amp;"|xC",Aux_puntos!$1:$1,0))),NA())</f>
        <v/>
      </c>
      <c r="AF115">
        <f>IFERROR(IF(INDEX(Aux_puntos!$A$2:$OJ$901,111,MATCH($B$2&amp;"|yC",Aux_puntos!$1:$1,0))="",NA(),INDEX(Aux_puntos!$A$2:$OJ$901,111,MATCH($B$2&amp;"|yC",Aux_puntos!$1:$1,0))),NA())</f>
        <v/>
      </c>
      <c r="AG115">
        <f>IFERROR(IF(INDEX(Aux_puntos!$A$2:$OJ$901,111,MATCH($B$2&amp;"|xI",Aux_puntos!$1:$1,0))="",NA(),INDEX(Aux_puntos!$A$2:$OJ$901,111,MATCH($B$2&amp;"|xI",Aux_puntos!$1:$1,0))),NA())</f>
        <v/>
      </c>
      <c r="AH115">
        <f>IFERROR(IF(INDEX(Aux_puntos!$A$2:$OJ$901,111,MATCH($B$2&amp;"|yI",Aux_puntos!$1:$1,0))="",NA(),INDEX(Aux_puntos!$A$2:$OJ$901,111,MATCH($B$2&amp;"|yI",Aux_puntos!$1:$1,0))),NA())</f>
        <v/>
      </c>
      <c r="AI115">
        <f>IFERROR(IF(INDEX(Aux_puntos!$A$2:$OJ$901,111,MATCH($B$2&amp;"|xN",Aux_puntos!$1:$1,0))="",NA(),INDEX(Aux_puntos!$A$2:$OJ$901,111,MATCH($B$2&amp;"|xN",Aux_puntos!$1:$1,0))),NA())</f>
        <v/>
      </c>
      <c r="AJ115">
        <f>IFERROR(IF(INDEX(Aux_puntos!$A$2:$OJ$901,111,MATCH($B$2&amp;"|yN",Aux_puntos!$1:$1,0))="",NA(),INDEX(Aux_puntos!$A$2:$OJ$901,111,MATCH($B$2&amp;"|yN",Aux_puntos!$1:$1,0))),NA())</f>
        <v/>
      </c>
    </row>
    <row r="116">
      <c r="AC116">
        <f>IFERROR(IF(INDEX(Aux_puntos!$A$2:$OJ$901,112,MATCH($B$2&amp;"|xK",Aux_puntos!$1:$1,0))="",NA(),INDEX(Aux_puntos!$A$2:$OJ$901,112,MATCH($B$2&amp;"|xK",Aux_puntos!$1:$1,0))),NA())</f>
        <v/>
      </c>
      <c r="AD116">
        <f>IFERROR(IF(INDEX(Aux_puntos!$A$2:$OJ$901,112,MATCH($B$2&amp;"|yK",Aux_puntos!$1:$1,0))="",NA(),INDEX(Aux_puntos!$A$2:$OJ$901,112,MATCH($B$2&amp;"|yK",Aux_puntos!$1:$1,0))),NA())</f>
        <v/>
      </c>
      <c r="AE116">
        <f>IFERROR(IF(INDEX(Aux_puntos!$A$2:$OJ$901,112,MATCH($B$2&amp;"|xC",Aux_puntos!$1:$1,0))="",NA(),INDEX(Aux_puntos!$A$2:$OJ$901,112,MATCH($B$2&amp;"|xC",Aux_puntos!$1:$1,0))),NA())</f>
        <v/>
      </c>
      <c r="AF116">
        <f>IFERROR(IF(INDEX(Aux_puntos!$A$2:$OJ$901,112,MATCH($B$2&amp;"|yC",Aux_puntos!$1:$1,0))="",NA(),INDEX(Aux_puntos!$A$2:$OJ$901,112,MATCH($B$2&amp;"|yC",Aux_puntos!$1:$1,0))),NA())</f>
        <v/>
      </c>
      <c r="AG116">
        <f>IFERROR(IF(INDEX(Aux_puntos!$A$2:$OJ$901,112,MATCH($B$2&amp;"|xI",Aux_puntos!$1:$1,0))="",NA(),INDEX(Aux_puntos!$A$2:$OJ$901,112,MATCH($B$2&amp;"|xI",Aux_puntos!$1:$1,0))),NA())</f>
        <v/>
      </c>
      <c r="AH116">
        <f>IFERROR(IF(INDEX(Aux_puntos!$A$2:$OJ$901,112,MATCH($B$2&amp;"|yI",Aux_puntos!$1:$1,0))="",NA(),INDEX(Aux_puntos!$A$2:$OJ$901,112,MATCH($B$2&amp;"|yI",Aux_puntos!$1:$1,0))),NA())</f>
        <v/>
      </c>
      <c r="AI116">
        <f>IFERROR(IF(INDEX(Aux_puntos!$A$2:$OJ$901,112,MATCH($B$2&amp;"|xN",Aux_puntos!$1:$1,0))="",NA(),INDEX(Aux_puntos!$A$2:$OJ$901,112,MATCH($B$2&amp;"|xN",Aux_puntos!$1:$1,0))),NA())</f>
        <v/>
      </c>
      <c r="AJ116">
        <f>IFERROR(IF(INDEX(Aux_puntos!$A$2:$OJ$901,112,MATCH($B$2&amp;"|yN",Aux_puntos!$1:$1,0))="",NA(),INDEX(Aux_puntos!$A$2:$OJ$901,112,MATCH($B$2&amp;"|yN",Aux_puntos!$1:$1,0))),NA())</f>
        <v/>
      </c>
    </row>
    <row r="117">
      <c r="AC117">
        <f>IFERROR(IF(INDEX(Aux_puntos!$A$2:$OJ$901,113,MATCH($B$2&amp;"|xK",Aux_puntos!$1:$1,0))="",NA(),INDEX(Aux_puntos!$A$2:$OJ$901,113,MATCH($B$2&amp;"|xK",Aux_puntos!$1:$1,0))),NA())</f>
        <v/>
      </c>
      <c r="AD117">
        <f>IFERROR(IF(INDEX(Aux_puntos!$A$2:$OJ$901,113,MATCH($B$2&amp;"|yK",Aux_puntos!$1:$1,0))="",NA(),INDEX(Aux_puntos!$A$2:$OJ$901,113,MATCH($B$2&amp;"|yK",Aux_puntos!$1:$1,0))),NA())</f>
        <v/>
      </c>
      <c r="AE117">
        <f>IFERROR(IF(INDEX(Aux_puntos!$A$2:$OJ$901,113,MATCH($B$2&amp;"|xC",Aux_puntos!$1:$1,0))="",NA(),INDEX(Aux_puntos!$A$2:$OJ$901,113,MATCH($B$2&amp;"|xC",Aux_puntos!$1:$1,0))),NA())</f>
        <v/>
      </c>
      <c r="AF117">
        <f>IFERROR(IF(INDEX(Aux_puntos!$A$2:$OJ$901,113,MATCH($B$2&amp;"|yC",Aux_puntos!$1:$1,0))="",NA(),INDEX(Aux_puntos!$A$2:$OJ$901,113,MATCH($B$2&amp;"|yC",Aux_puntos!$1:$1,0))),NA())</f>
        <v/>
      </c>
      <c r="AG117">
        <f>IFERROR(IF(INDEX(Aux_puntos!$A$2:$OJ$901,113,MATCH($B$2&amp;"|xI",Aux_puntos!$1:$1,0))="",NA(),INDEX(Aux_puntos!$A$2:$OJ$901,113,MATCH($B$2&amp;"|xI",Aux_puntos!$1:$1,0))),NA())</f>
        <v/>
      </c>
      <c r="AH117">
        <f>IFERROR(IF(INDEX(Aux_puntos!$A$2:$OJ$901,113,MATCH($B$2&amp;"|yI",Aux_puntos!$1:$1,0))="",NA(),INDEX(Aux_puntos!$A$2:$OJ$901,113,MATCH($B$2&amp;"|yI",Aux_puntos!$1:$1,0))),NA())</f>
        <v/>
      </c>
      <c r="AI117">
        <f>IFERROR(IF(INDEX(Aux_puntos!$A$2:$OJ$901,113,MATCH($B$2&amp;"|xN",Aux_puntos!$1:$1,0))="",NA(),INDEX(Aux_puntos!$A$2:$OJ$901,113,MATCH($B$2&amp;"|xN",Aux_puntos!$1:$1,0))),NA())</f>
        <v/>
      </c>
      <c r="AJ117">
        <f>IFERROR(IF(INDEX(Aux_puntos!$A$2:$OJ$901,113,MATCH($B$2&amp;"|yN",Aux_puntos!$1:$1,0))="",NA(),INDEX(Aux_puntos!$A$2:$OJ$901,113,MATCH($B$2&amp;"|yN",Aux_puntos!$1:$1,0))),NA())</f>
        <v/>
      </c>
    </row>
    <row r="118">
      <c r="AC118">
        <f>IFERROR(IF(INDEX(Aux_puntos!$A$2:$OJ$901,114,MATCH($B$2&amp;"|xK",Aux_puntos!$1:$1,0))="",NA(),INDEX(Aux_puntos!$A$2:$OJ$901,114,MATCH($B$2&amp;"|xK",Aux_puntos!$1:$1,0))),NA())</f>
        <v/>
      </c>
      <c r="AD118">
        <f>IFERROR(IF(INDEX(Aux_puntos!$A$2:$OJ$901,114,MATCH($B$2&amp;"|yK",Aux_puntos!$1:$1,0))="",NA(),INDEX(Aux_puntos!$A$2:$OJ$901,114,MATCH($B$2&amp;"|yK",Aux_puntos!$1:$1,0))),NA())</f>
        <v/>
      </c>
      <c r="AE118">
        <f>IFERROR(IF(INDEX(Aux_puntos!$A$2:$OJ$901,114,MATCH($B$2&amp;"|xC",Aux_puntos!$1:$1,0))="",NA(),INDEX(Aux_puntos!$A$2:$OJ$901,114,MATCH($B$2&amp;"|xC",Aux_puntos!$1:$1,0))),NA())</f>
        <v/>
      </c>
      <c r="AF118">
        <f>IFERROR(IF(INDEX(Aux_puntos!$A$2:$OJ$901,114,MATCH($B$2&amp;"|yC",Aux_puntos!$1:$1,0))="",NA(),INDEX(Aux_puntos!$A$2:$OJ$901,114,MATCH($B$2&amp;"|yC",Aux_puntos!$1:$1,0))),NA())</f>
        <v/>
      </c>
      <c r="AG118">
        <f>IFERROR(IF(INDEX(Aux_puntos!$A$2:$OJ$901,114,MATCH($B$2&amp;"|xI",Aux_puntos!$1:$1,0))="",NA(),INDEX(Aux_puntos!$A$2:$OJ$901,114,MATCH($B$2&amp;"|xI",Aux_puntos!$1:$1,0))),NA())</f>
        <v/>
      </c>
      <c r="AH118">
        <f>IFERROR(IF(INDEX(Aux_puntos!$A$2:$OJ$901,114,MATCH($B$2&amp;"|yI",Aux_puntos!$1:$1,0))="",NA(),INDEX(Aux_puntos!$A$2:$OJ$901,114,MATCH($B$2&amp;"|yI",Aux_puntos!$1:$1,0))),NA())</f>
        <v/>
      </c>
      <c r="AI118">
        <f>IFERROR(IF(INDEX(Aux_puntos!$A$2:$OJ$901,114,MATCH($B$2&amp;"|xN",Aux_puntos!$1:$1,0))="",NA(),INDEX(Aux_puntos!$A$2:$OJ$901,114,MATCH($B$2&amp;"|xN",Aux_puntos!$1:$1,0))),NA())</f>
        <v/>
      </c>
      <c r="AJ118">
        <f>IFERROR(IF(INDEX(Aux_puntos!$A$2:$OJ$901,114,MATCH($B$2&amp;"|yN",Aux_puntos!$1:$1,0))="",NA(),INDEX(Aux_puntos!$A$2:$OJ$901,114,MATCH($B$2&amp;"|yN",Aux_puntos!$1:$1,0))),NA())</f>
        <v/>
      </c>
    </row>
    <row r="119">
      <c r="AC119">
        <f>IFERROR(IF(INDEX(Aux_puntos!$A$2:$OJ$901,115,MATCH($B$2&amp;"|xK",Aux_puntos!$1:$1,0))="",NA(),INDEX(Aux_puntos!$A$2:$OJ$901,115,MATCH($B$2&amp;"|xK",Aux_puntos!$1:$1,0))),NA())</f>
        <v/>
      </c>
      <c r="AD119">
        <f>IFERROR(IF(INDEX(Aux_puntos!$A$2:$OJ$901,115,MATCH($B$2&amp;"|yK",Aux_puntos!$1:$1,0))="",NA(),INDEX(Aux_puntos!$A$2:$OJ$901,115,MATCH($B$2&amp;"|yK",Aux_puntos!$1:$1,0))),NA())</f>
        <v/>
      </c>
      <c r="AE119">
        <f>IFERROR(IF(INDEX(Aux_puntos!$A$2:$OJ$901,115,MATCH($B$2&amp;"|xC",Aux_puntos!$1:$1,0))="",NA(),INDEX(Aux_puntos!$A$2:$OJ$901,115,MATCH($B$2&amp;"|xC",Aux_puntos!$1:$1,0))),NA())</f>
        <v/>
      </c>
      <c r="AF119">
        <f>IFERROR(IF(INDEX(Aux_puntos!$A$2:$OJ$901,115,MATCH($B$2&amp;"|yC",Aux_puntos!$1:$1,0))="",NA(),INDEX(Aux_puntos!$A$2:$OJ$901,115,MATCH($B$2&amp;"|yC",Aux_puntos!$1:$1,0))),NA())</f>
        <v/>
      </c>
      <c r="AG119">
        <f>IFERROR(IF(INDEX(Aux_puntos!$A$2:$OJ$901,115,MATCH($B$2&amp;"|xI",Aux_puntos!$1:$1,0))="",NA(),INDEX(Aux_puntos!$A$2:$OJ$901,115,MATCH($B$2&amp;"|xI",Aux_puntos!$1:$1,0))),NA())</f>
        <v/>
      </c>
      <c r="AH119">
        <f>IFERROR(IF(INDEX(Aux_puntos!$A$2:$OJ$901,115,MATCH($B$2&amp;"|yI",Aux_puntos!$1:$1,0))="",NA(),INDEX(Aux_puntos!$A$2:$OJ$901,115,MATCH($B$2&amp;"|yI",Aux_puntos!$1:$1,0))),NA())</f>
        <v/>
      </c>
      <c r="AI119">
        <f>IFERROR(IF(INDEX(Aux_puntos!$A$2:$OJ$901,115,MATCH($B$2&amp;"|xN",Aux_puntos!$1:$1,0))="",NA(),INDEX(Aux_puntos!$A$2:$OJ$901,115,MATCH($B$2&amp;"|xN",Aux_puntos!$1:$1,0))),NA())</f>
        <v/>
      </c>
      <c r="AJ119">
        <f>IFERROR(IF(INDEX(Aux_puntos!$A$2:$OJ$901,115,MATCH($B$2&amp;"|yN",Aux_puntos!$1:$1,0))="",NA(),INDEX(Aux_puntos!$A$2:$OJ$901,115,MATCH($B$2&amp;"|yN",Aux_puntos!$1:$1,0))),NA())</f>
        <v/>
      </c>
    </row>
    <row r="120">
      <c r="AC120">
        <f>IFERROR(IF(INDEX(Aux_puntos!$A$2:$OJ$901,116,MATCH($B$2&amp;"|xK",Aux_puntos!$1:$1,0))="",NA(),INDEX(Aux_puntos!$A$2:$OJ$901,116,MATCH($B$2&amp;"|xK",Aux_puntos!$1:$1,0))),NA())</f>
        <v/>
      </c>
      <c r="AD120">
        <f>IFERROR(IF(INDEX(Aux_puntos!$A$2:$OJ$901,116,MATCH($B$2&amp;"|yK",Aux_puntos!$1:$1,0))="",NA(),INDEX(Aux_puntos!$A$2:$OJ$901,116,MATCH($B$2&amp;"|yK",Aux_puntos!$1:$1,0))),NA())</f>
        <v/>
      </c>
      <c r="AE120">
        <f>IFERROR(IF(INDEX(Aux_puntos!$A$2:$OJ$901,116,MATCH($B$2&amp;"|xC",Aux_puntos!$1:$1,0))="",NA(),INDEX(Aux_puntos!$A$2:$OJ$901,116,MATCH($B$2&amp;"|xC",Aux_puntos!$1:$1,0))),NA())</f>
        <v/>
      </c>
      <c r="AF120">
        <f>IFERROR(IF(INDEX(Aux_puntos!$A$2:$OJ$901,116,MATCH($B$2&amp;"|yC",Aux_puntos!$1:$1,0))="",NA(),INDEX(Aux_puntos!$A$2:$OJ$901,116,MATCH($B$2&amp;"|yC",Aux_puntos!$1:$1,0))),NA())</f>
        <v/>
      </c>
      <c r="AG120">
        <f>IFERROR(IF(INDEX(Aux_puntos!$A$2:$OJ$901,116,MATCH($B$2&amp;"|xI",Aux_puntos!$1:$1,0))="",NA(),INDEX(Aux_puntos!$A$2:$OJ$901,116,MATCH($B$2&amp;"|xI",Aux_puntos!$1:$1,0))),NA())</f>
        <v/>
      </c>
      <c r="AH120">
        <f>IFERROR(IF(INDEX(Aux_puntos!$A$2:$OJ$901,116,MATCH($B$2&amp;"|yI",Aux_puntos!$1:$1,0))="",NA(),INDEX(Aux_puntos!$A$2:$OJ$901,116,MATCH($B$2&amp;"|yI",Aux_puntos!$1:$1,0))),NA())</f>
        <v/>
      </c>
      <c r="AI120">
        <f>IFERROR(IF(INDEX(Aux_puntos!$A$2:$OJ$901,116,MATCH($B$2&amp;"|xN",Aux_puntos!$1:$1,0))="",NA(),INDEX(Aux_puntos!$A$2:$OJ$901,116,MATCH($B$2&amp;"|xN",Aux_puntos!$1:$1,0))),NA())</f>
        <v/>
      </c>
      <c r="AJ120">
        <f>IFERROR(IF(INDEX(Aux_puntos!$A$2:$OJ$901,116,MATCH($B$2&amp;"|yN",Aux_puntos!$1:$1,0))="",NA(),INDEX(Aux_puntos!$A$2:$OJ$901,116,MATCH($B$2&amp;"|yN",Aux_puntos!$1:$1,0))),NA())</f>
        <v/>
      </c>
    </row>
    <row r="121">
      <c r="AC121">
        <f>IFERROR(IF(INDEX(Aux_puntos!$A$2:$OJ$901,117,MATCH($B$2&amp;"|xK",Aux_puntos!$1:$1,0))="",NA(),INDEX(Aux_puntos!$A$2:$OJ$901,117,MATCH($B$2&amp;"|xK",Aux_puntos!$1:$1,0))),NA())</f>
        <v/>
      </c>
      <c r="AD121">
        <f>IFERROR(IF(INDEX(Aux_puntos!$A$2:$OJ$901,117,MATCH($B$2&amp;"|yK",Aux_puntos!$1:$1,0))="",NA(),INDEX(Aux_puntos!$A$2:$OJ$901,117,MATCH($B$2&amp;"|yK",Aux_puntos!$1:$1,0))),NA())</f>
        <v/>
      </c>
      <c r="AE121">
        <f>IFERROR(IF(INDEX(Aux_puntos!$A$2:$OJ$901,117,MATCH($B$2&amp;"|xC",Aux_puntos!$1:$1,0))="",NA(),INDEX(Aux_puntos!$A$2:$OJ$901,117,MATCH($B$2&amp;"|xC",Aux_puntos!$1:$1,0))),NA())</f>
        <v/>
      </c>
      <c r="AF121">
        <f>IFERROR(IF(INDEX(Aux_puntos!$A$2:$OJ$901,117,MATCH($B$2&amp;"|yC",Aux_puntos!$1:$1,0))="",NA(),INDEX(Aux_puntos!$A$2:$OJ$901,117,MATCH($B$2&amp;"|yC",Aux_puntos!$1:$1,0))),NA())</f>
        <v/>
      </c>
      <c r="AG121">
        <f>IFERROR(IF(INDEX(Aux_puntos!$A$2:$OJ$901,117,MATCH($B$2&amp;"|xI",Aux_puntos!$1:$1,0))="",NA(),INDEX(Aux_puntos!$A$2:$OJ$901,117,MATCH($B$2&amp;"|xI",Aux_puntos!$1:$1,0))),NA())</f>
        <v/>
      </c>
      <c r="AH121">
        <f>IFERROR(IF(INDEX(Aux_puntos!$A$2:$OJ$901,117,MATCH($B$2&amp;"|yI",Aux_puntos!$1:$1,0))="",NA(),INDEX(Aux_puntos!$A$2:$OJ$901,117,MATCH($B$2&amp;"|yI",Aux_puntos!$1:$1,0))),NA())</f>
        <v/>
      </c>
      <c r="AI121">
        <f>IFERROR(IF(INDEX(Aux_puntos!$A$2:$OJ$901,117,MATCH($B$2&amp;"|xN",Aux_puntos!$1:$1,0))="",NA(),INDEX(Aux_puntos!$A$2:$OJ$901,117,MATCH($B$2&amp;"|xN",Aux_puntos!$1:$1,0))),NA())</f>
        <v/>
      </c>
      <c r="AJ121">
        <f>IFERROR(IF(INDEX(Aux_puntos!$A$2:$OJ$901,117,MATCH($B$2&amp;"|yN",Aux_puntos!$1:$1,0))="",NA(),INDEX(Aux_puntos!$A$2:$OJ$901,117,MATCH($B$2&amp;"|yN",Aux_puntos!$1:$1,0))),NA())</f>
        <v/>
      </c>
    </row>
    <row r="122">
      <c r="AC122">
        <f>IFERROR(IF(INDEX(Aux_puntos!$A$2:$OJ$901,118,MATCH($B$2&amp;"|xK",Aux_puntos!$1:$1,0))="",NA(),INDEX(Aux_puntos!$A$2:$OJ$901,118,MATCH($B$2&amp;"|xK",Aux_puntos!$1:$1,0))),NA())</f>
        <v/>
      </c>
      <c r="AD122">
        <f>IFERROR(IF(INDEX(Aux_puntos!$A$2:$OJ$901,118,MATCH($B$2&amp;"|yK",Aux_puntos!$1:$1,0))="",NA(),INDEX(Aux_puntos!$A$2:$OJ$901,118,MATCH($B$2&amp;"|yK",Aux_puntos!$1:$1,0))),NA())</f>
        <v/>
      </c>
      <c r="AE122">
        <f>IFERROR(IF(INDEX(Aux_puntos!$A$2:$OJ$901,118,MATCH($B$2&amp;"|xC",Aux_puntos!$1:$1,0))="",NA(),INDEX(Aux_puntos!$A$2:$OJ$901,118,MATCH($B$2&amp;"|xC",Aux_puntos!$1:$1,0))),NA())</f>
        <v/>
      </c>
      <c r="AF122">
        <f>IFERROR(IF(INDEX(Aux_puntos!$A$2:$OJ$901,118,MATCH($B$2&amp;"|yC",Aux_puntos!$1:$1,0))="",NA(),INDEX(Aux_puntos!$A$2:$OJ$901,118,MATCH($B$2&amp;"|yC",Aux_puntos!$1:$1,0))),NA())</f>
        <v/>
      </c>
      <c r="AG122">
        <f>IFERROR(IF(INDEX(Aux_puntos!$A$2:$OJ$901,118,MATCH($B$2&amp;"|xI",Aux_puntos!$1:$1,0))="",NA(),INDEX(Aux_puntos!$A$2:$OJ$901,118,MATCH($B$2&amp;"|xI",Aux_puntos!$1:$1,0))),NA())</f>
        <v/>
      </c>
      <c r="AH122">
        <f>IFERROR(IF(INDEX(Aux_puntos!$A$2:$OJ$901,118,MATCH($B$2&amp;"|yI",Aux_puntos!$1:$1,0))="",NA(),INDEX(Aux_puntos!$A$2:$OJ$901,118,MATCH($B$2&amp;"|yI",Aux_puntos!$1:$1,0))),NA())</f>
        <v/>
      </c>
      <c r="AI122">
        <f>IFERROR(IF(INDEX(Aux_puntos!$A$2:$OJ$901,118,MATCH($B$2&amp;"|xN",Aux_puntos!$1:$1,0))="",NA(),INDEX(Aux_puntos!$A$2:$OJ$901,118,MATCH($B$2&amp;"|xN",Aux_puntos!$1:$1,0))),NA())</f>
        <v/>
      </c>
      <c r="AJ122">
        <f>IFERROR(IF(INDEX(Aux_puntos!$A$2:$OJ$901,118,MATCH($B$2&amp;"|yN",Aux_puntos!$1:$1,0))="",NA(),INDEX(Aux_puntos!$A$2:$OJ$901,118,MATCH($B$2&amp;"|yN",Aux_puntos!$1:$1,0))),NA())</f>
        <v/>
      </c>
    </row>
    <row r="123">
      <c r="AC123">
        <f>IFERROR(IF(INDEX(Aux_puntos!$A$2:$OJ$901,119,MATCH($B$2&amp;"|xK",Aux_puntos!$1:$1,0))="",NA(),INDEX(Aux_puntos!$A$2:$OJ$901,119,MATCH($B$2&amp;"|xK",Aux_puntos!$1:$1,0))),NA())</f>
        <v/>
      </c>
      <c r="AD123">
        <f>IFERROR(IF(INDEX(Aux_puntos!$A$2:$OJ$901,119,MATCH($B$2&amp;"|yK",Aux_puntos!$1:$1,0))="",NA(),INDEX(Aux_puntos!$A$2:$OJ$901,119,MATCH($B$2&amp;"|yK",Aux_puntos!$1:$1,0))),NA())</f>
        <v/>
      </c>
      <c r="AE123">
        <f>IFERROR(IF(INDEX(Aux_puntos!$A$2:$OJ$901,119,MATCH($B$2&amp;"|xC",Aux_puntos!$1:$1,0))="",NA(),INDEX(Aux_puntos!$A$2:$OJ$901,119,MATCH($B$2&amp;"|xC",Aux_puntos!$1:$1,0))),NA())</f>
        <v/>
      </c>
      <c r="AF123">
        <f>IFERROR(IF(INDEX(Aux_puntos!$A$2:$OJ$901,119,MATCH($B$2&amp;"|yC",Aux_puntos!$1:$1,0))="",NA(),INDEX(Aux_puntos!$A$2:$OJ$901,119,MATCH($B$2&amp;"|yC",Aux_puntos!$1:$1,0))),NA())</f>
        <v/>
      </c>
      <c r="AG123">
        <f>IFERROR(IF(INDEX(Aux_puntos!$A$2:$OJ$901,119,MATCH($B$2&amp;"|xI",Aux_puntos!$1:$1,0))="",NA(),INDEX(Aux_puntos!$A$2:$OJ$901,119,MATCH($B$2&amp;"|xI",Aux_puntos!$1:$1,0))),NA())</f>
        <v/>
      </c>
      <c r="AH123">
        <f>IFERROR(IF(INDEX(Aux_puntos!$A$2:$OJ$901,119,MATCH($B$2&amp;"|yI",Aux_puntos!$1:$1,0))="",NA(),INDEX(Aux_puntos!$A$2:$OJ$901,119,MATCH($B$2&amp;"|yI",Aux_puntos!$1:$1,0))),NA())</f>
        <v/>
      </c>
      <c r="AI123">
        <f>IFERROR(IF(INDEX(Aux_puntos!$A$2:$OJ$901,119,MATCH($B$2&amp;"|xN",Aux_puntos!$1:$1,0))="",NA(),INDEX(Aux_puntos!$A$2:$OJ$901,119,MATCH($B$2&amp;"|xN",Aux_puntos!$1:$1,0))),NA())</f>
        <v/>
      </c>
      <c r="AJ123">
        <f>IFERROR(IF(INDEX(Aux_puntos!$A$2:$OJ$901,119,MATCH($B$2&amp;"|yN",Aux_puntos!$1:$1,0))="",NA(),INDEX(Aux_puntos!$A$2:$OJ$901,119,MATCH($B$2&amp;"|yN",Aux_puntos!$1:$1,0))),NA())</f>
        <v/>
      </c>
    </row>
    <row r="124">
      <c r="AC124">
        <f>IFERROR(IF(INDEX(Aux_puntos!$A$2:$OJ$901,120,MATCH($B$2&amp;"|xK",Aux_puntos!$1:$1,0))="",NA(),INDEX(Aux_puntos!$A$2:$OJ$901,120,MATCH($B$2&amp;"|xK",Aux_puntos!$1:$1,0))),NA())</f>
        <v/>
      </c>
      <c r="AD124">
        <f>IFERROR(IF(INDEX(Aux_puntos!$A$2:$OJ$901,120,MATCH($B$2&amp;"|yK",Aux_puntos!$1:$1,0))="",NA(),INDEX(Aux_puntos!$A$2:$OJ$901,120,MATCH($B$2&amp;"|yK",Aux_puntos!$1:$1,0))),NA())</f>
        <v/>
      </c>
      <c r="AE124">
        <f>IFERROR(IF(INDEX(Aux_puntos!$A$2:$OJ$901,120,MATCH($B$2&amp;"|xC",Aux_puntos!$1:$1,0))="",NA(),INDEX(Aux_puntos!$A$2:$OJ$901,120,MATCH($B$2&amp;"|xC",Aux_puntos!$1:$1,0))),NA())</f>
        <v/>
      </c>
      <c r="AF124">
        <f>IFERROR(IF(INDEX(Aux_puntos!$A$2:$OJ$901,120,MATCH($B$2&amp;"|yC",Aux_puntos!$1:$1,0))="",NA(),INDEX(Aux_puntos!$A$2:$OJ$901,120,MATCH($B$2&amp;"|yC",Aux_puntos!$1:$1,0))),NA())</f>
        <v/>
      </c>
      <c r="AG124">
        <f>IFERROR(IF(INDEX(Aux_puntos!$A$2:$OJ$901,120,MATCH($B$2&amp;"|xI",Aux_puntos!$1:$1,0))="",NA(),INDEX(Aux_puntos!$A$2:$OJ$901,120,MATCH($B$2&amp;"|xI",Aux_puntos!$1:$1,0))),NA())</f>
        <v/>
      </c>
      <c r="AH124">
        <f>IFERROR(IF(INDEX(Aux_puntos!$A$2:$OJ$901,120,MATCH($B$2&amp;"|yI",Aux_puntos!$1:$1,0))="",NA(),INDEX(Aux_puntos!$A$2:$OJ$901,120,MATCH($B$2&amp;"|yI",Aux_puntos!$1:$1,0))),NA())</f>
        <v/>
      </c>
      <c r="AI124">
        <f>IFERROR(IF(INDEX(Aux_puntos!$A$2:$OJ$901,120,MATCH($B$2&amp;"|xN",Aux_puntos!$1:$1,0))="",NA(),INDEX(Aux_puntos!$A$2:$OJ$901,120,MATCH($B$2&amp;"|xN",Aux_puntos!$1:$1,0))),NA())</f>
        <v/>
      </c>
      <c r="AJ124">
        <f>IFERROR(IF(INDEX(Aux_puntos!$A$2:$OJ$901,120,MATCH($B$2&amp;"|yN",Aux_puntos!$1:$1,0))="",NA(),INDEX(Aux_puntos!$A$2:$OJ$901,120,MATCH($B$2&amp;"|yN",Aux_puntos!$1:$1,0))),NA())</f>
        <v/>
      </c>
    </row>
    <row r="125">
      <c r="AC125">
        <f>IFERROR(IF(INDEX(Aux_puntos!$A$2:$OJ$901,121,MATCH($B$2&amp;"|xK",Aux_puntos!$1:$1,0))="",NA(),INDEX(Aux_puntos!$A$2:$OJ$901,121,MATCH($B$2&amp;"|xK",Aux_puntos!$1:$1,0))),NA())</f>
        <v/>
      </c>
      <c r="AD125">
        <f>IFERROR(IF(INDEX(Aux_puntos!$A$2:$OJ$901,121,MATCH($B$2&amp;"|yK",Aux_puntos!$1:$1,0))="",NA(),INDEX(Aux_puntos!$A$2:$OJ$901,121,MATCH($B$2&amp;"|yK",Aux_puntos!$1:$1,0))),NA())</f>
        <v/>
      </c>
      <c r="AE125">
        <f>IFERROR(IF(INDEX(Aux_puntos!$A$2:$OJ$901,121,MATCH($B$2&amp;"|xC",Aux_puntos!$1:$1,0))="",NA(),INDEX(Aux_puntos!$A$2:$OJ$901,121,MATCH($B$2&amp;"|xC",Aux_puntos!$1:$1,0))),NA())</f>
        <v/>
      </c>
      <c r="AF125">
        <f>IFERROR(IF(INDEX(Aux_puntos!$A$2:$OJ$901,121,MATCH($B$2&amp;"|yC",Aux_puntos!$1:$1,0))="",NA(),INDEX(Aux_puntos!$A$2:$OJ$901,121,MATCH($B$2&amp;"|yC",Aux_puntos!$1:$1,0))),NA())</f>
        <v/>
      </c>
      <c r="AG125">
        <f>IFERROR(IF(INDEX(Aux_puntos!$A$2:$OJ$901,121,MATCH($B$2&amp;"|xI",Aux_puntos!$1:$1,0))="",NA(),INDEX(Aux_puntos!$A$2:$OJ$901,121,MATCH($B$2&amp;"|xI",Aux_puntos!$1:$1,0))),NA())</f>
        <v/>
      </c>
      <c r="AH125">
        <f>IFERROR(IF(INDEX(Aux_puntos!$A$2:$OJ$901,121,MATCH($B$2&amp;"|yI",Aux_puntos!$1:$1,0))="",NA(),INDEX(Aux_puntos!$A$2:$OJ$901,121,MATCH($B$2&amp;"|yI",Aux_puntos!$1:$1,0))),NA())</f>
        <v/>
      </c>
      <c r="AI125">
        <f>IFERROR(IF(INDEX(Aux_puntos!$A$2:$OJ$901,121,MATCH($B$2&amp;"|xN",Aux_puntos!$1:$1,0))="",NA(),INDEX(Aux_puntos!$A$2:$OJ$901,121,MATCH($B$2&amp;"|xN",Aux_puntos!$1:$1,0))),NA())</f>
        <v/>
      </c>
      <c r="AJ125">
        <f>IFERROR(IF(INDEX(Aux_puntos!$A$2:$OJ$901,121,MATCH($B$2&amp;"|yN",Aux_puntos!$1:$1,0))="",NA(),INDEX(Aux_puntos!$A$2:$OJ$901,121,MATCH($B$2&amp;"|yN",Aux_puntos!$1:$1,0))),NA())</f>
        <v/>
      </c>
    </row>
    <row r="126">
      <c r="AC126">
        <f>IFERROR(IF(INDEX(Aux_puntos!$A$2:$OJ$901,122,MATCH($B$2&amp;"|xK",Aux_puntos!$1:$1,0))="",NA(),INDEX(Aux_puntos!$A$2:$OJ$901,122,MATCH($B$2&amp;"|xK",Aux_puntos!$1:$1,0))),NA())</f>
        <v/>
      </c>
      <c r="AD126">
        <f>IFERROR(IF(INDEX(Aux_puntos!$A$2:$OJ$901,122,MATCH($B$2&amp;"|yK",Aux_puntos!$1:$1,0))="",NA(),INDEX(Aux_puntos!$A$2:$OJ$901,122,MATCH($B$2&amp;"|yK",Aux_puntos!$1:$1,0))),NA())</f>
        <v/>
      </c>
      <c r="AE126">
        <f>IFERROR(IF(INDEX(Aux_puntos!$A$2:$OJ$901,122,MATCH($B$2&amp;"|xC",Aux_puntos!$1:$1,0))="",NA(),INDEX(Aux_puntos!$A$2:$OJ$901,122,MATCH($B$2&amp;"|xC",Aux_puntos!$1:$1,0))),NA())</f>
        <v/>
      </c>
      <c r="AF126">
        <f>IFERROR(IF(INDEX(Aux_puntos!$A$2:$OJ$901,122,MATCH($B$2&amp;"|yC",Aux_puntos!$1:$1,0))="",NA(),INDEX(Aux_puntos!$A$2:$OJ$901,122,MATCH($B$2&amp;"|yC",Aux_puntos!$1:$1,0))),NA())</f>
        <v/>
      </c>
      <c r="AG126">
        <f>IFERROR(IF(INDEX(Aux_puntos!$A$2:$OJ$901,122,MATCH($B$2&amp;"|xI",Aux_puntos!$1:$1,0))="",NA(),INDEX(Aux_puntos!$A$2:$OJ$901,122,MATCH($B$2&amp;"|xI",Aux_puntos!$1:$1,0))),NA())</f>
        <v/>
      </c>
      <c r="AH126">
        <f>IFERROR(IF(INDEX(Aux_puntos!$A$2:$OJ$901,122,MATCH($B$2&amp;"|yI",Aux_puntos!$1:$1,0))="",NA(),INDEX(Aux_puntos!$A$2:$OJ$901,122,MATCH($B$2&amp;"|yI",Aux_puntos!$1:$1,0))),NA())</f>
        <v/>
      </c>
      <c r="AI126">
        <f>IFERROR(IF(INDEX(Aux_puntos!$A$2:$OJ$901,122,MATCH($B$2&amp;"|xN",Aux_puntos!$1:$1,0))="",NA(),INDEX(Aux_puntos!$A$2:$OJ$901,122,MATCH($B$2&amp;"|xN",Aux_puntos!$1:$1,0))),NA())</f>
        <v/>
      </c>
      <c r="AJ126">
        <f>IFERROR(IF(INDEX(Aux_puntos!$A$2:$OJ$901,122,MATCH($B$2&amp;"|yN",Aux_puntos!$1:$1,0))="",NA(),INDEX(Aux_puntos!$A$2:$OJ$901,122,MATCH($B$2&amp;"|yN",Aux_puntos!$1:$1,0))),NA())</f>
        <v/>
      </c>
    </row>
    <row r="127">
      <c r="AC127">
        <f>IFERROR(IF(INDEX(Aux_puntos!$A$2:$OJ$901,123,MATCH($B$2&amp;"|xK",Aux_puntos!$1:$1,0))="",NA(),INDEX(Aux_puntos!$A$2:$OJ$901,123,MATCH($B$2&amp;"|xK",Aux_puntos!$1:$1,0))),NA())</f>
        <v/>
      </c>
      <c r="AD127">
        <f>IFERROR(IF(INDEX(Aux_puntos!$A$2:$OJ$901,123,MATCH($B$2&amp;"|yK",Aux_puntos!$1:$1,0))="",NA(),INDEX(Aux_puntos!$A$2:$OJ$901,123,MATCH($B$2&amp;"|yK",Aux_puntos!$1:$1,0))),NA())</f>
        <v/>
      </c>
      <c r="AE127">
        <f>IFERROR(IF(INDEX(Aux_puntos!$A$2:$OJ$901,123,MATCH($B$2&amp;"|xC",Aux_puntos!$1:$1,0))="",NA(),INDEX(Aux_puntos!$A$2:$OJ$901,123,MATCH($B$2&amp;"|xC",Aux_puntos!$1:$1,0))),NA())</f>
        <v/>
      </c>
      <c r="AF127">
        <f>IFERROR(IF(INDEX(Aux_puntos!$A$2:$OJ$901,123,MATCH($B$2&amp;"|yC",Aux_puntos!$1:$1,0))="",NA(),INDEX(Aux_puntos!$A$2:$OJ$901,123,MATCH($B$2&amp;"|yC",Aux_puntos!$1:$1,0))),NA())</f>
        <v/>
      </c>
      <c r="AG127">
        <f>IFERROR(IF(INDEX(Aux_puntos!$A$2:$OJ$901,123,MATCH($B$2&amp;"|xI",Aux_puntos!$1:$1,0))="",NA(),INDEX(Aux_puntos!$A$2:$OJ$901,123,MATCH($B$2&amp;"|xI",Aux_puntos!$1:$1,0))),NA())</f>
        <v/>
      </c>
      <c r="AH127">
        <f>IFERROR(IF(INDEX(Aux_puntos!$A$2:$OJ$901,123,MATCH($B$2&amp;"|yI",Aux_puntos!$1:$1,0))="",NA(),INDEX(Aux_puntos!$A$2:$OJ$901,123,MATCH($B$2&amp;"|yI",Aux_puntos!$1:$1,0))),NA())</f>
        <v/>
      </c>
      <c r="AI127">
        <f>IFERROR(IF(INDEX(Aux_puntos!$A$2:$OJ$901,123,MATCH($B$2&amp;"|xN",Aux_puntos!$1:$1,0))="",NA(),INDEX(Aux_puntos!$A$2:$OJ$901,123,MATCH($B$2&amp;"|xN",Aux_puntos!$1:$1,0))),NA())</f>
        <v/>
      </c>
      <c r="AJ127">
        <f>IFERROR(IF(INDEX(Aux_puntos!$A$2:$OJ$901,123,MATCH($B$2&amp;"|yN",Aux_puntos!$1:$1,0))="",NA(),INDEX(Aux_puntos!$A$2:$OJ$901,123,MATCH($B$2&amp;"|yN",Aux_puntos!$1:$1,0))),NA())</f>
        <v/>
      </c>
    </row>
    <row r="128">
      <c r="AC128">
        <f>IFERROR(IF(INDEX(Aux_puntos!$A$2:$OJ$901,124,MATCH($B$2&amp;"|xK",Aux_puntos!$1:$1,0))="",NA(),INDEX(Aux_puntos!$A$2:$OJ$901,124,MATCH($B$2&amp;"|xK",Aux_puntos!$1:$1,0))),NA())</f>
        <v/>
      </c>
      <c r="AD128">
        <f>IFERROR(IF(INDEX(Aux_puntos!$A$2:$OJ$901,124,MATCH($B$2&amp;"|yK",Aux_puntos!$1:$1,0))="",NA(),INDEX(Aux_puntos!$A$2:$OJ$901,124,MATCH($B$2&amp;"|yK",Aux_puntos!$1:$1,0))),NA())</f>
        <v/>
      </c>
      <c r="AE128">
        <f>IFERROR(IF(INDEX(Aux_puntos!$A$2:$OJ$901,124,MATCH($B$2&amp;"|xC",Aux_puntos!$1:$1,0))="",NA(),INDEX(Aux_puntos!$A$2:$OJ$901,124,MATCH($B$2&amp;"|xC",Aux_puntos!$1:$1,0))),NA())</f>
        <v/>
      </c>
      <c r="AF128">
        <f>IFERROR(IF(INDEX(Aux_puntos!$A$2:$OJ$901,124,MATCH($B$2&amp;"|yC",Aux_puntos!$1:$1,0))="",NA(),INDEX(Aux_puntos!$A$2:$OJ$901,124,MATCH($B$2&amp;"|yC",Aux_puntos!$1:$1,0))),NA())</f>
        <v/>
      </c>
      <c r="AG128">
        <f>IFERROR(IF(INDEX(Aux_puntos!$A$2:$OJ$901,124,MATCH($B$2&amp;"|xI",Aux_puntos!$1:$1,0))="",NA(),INDEX(Aux_puntos!$A$2:$OJ$901,124,MATCH($B$2&amp;"|xI",Aux_puntos!$1:$1,0))),NA())</f>
        <v/>
      </c>
      <c r="AH128">
        <f>IFERROR(IF(INDEX(Aux_puntos!$A$2:$OJ$901,124,MATCH($B$2&amp;"|yI",Aux_puntos!$1:$1,0))="",NA(),INDEX(Aux_puntos!$A$2:$OJ$901,124,MATCH($B$2&amp;"|yI",Aux_puntos!$1:$1,0))),NA())</f>
        <v/>
      </c>
      <c r="AI128">
        <f>IFERROR(IF(INDEX(Aux_puntos!$A$2:$OJ$901,124,MATCH($B$2&amp;"|xN",Aux_puntos!$1:$1,0))="",NA(),INDEX(Aux_puntos!$A$2:$OJ$901,124,MATCH($B$2&amp;"|xN",Aux_puntos!$1:$1,0))),NA())</f>
        <v/>
      </c>
      <c r="AJ128">
        <f>IFERROR(IF(INDEX(Aux_puntos!$A$2:$OJ$901,124,MATCH($B$2&amp;"|yN",Aux_puntos!$1:$1,0))="",NA(),INDEX(Aux_puntos!$A$2:$OJ$901,124,MATCH($B$2&amp;"|yN",Aux_puntos!$1:$1,0))),NA())</f>
        <v/>
      </c>
    </row>
    <row r="129">
      <c r="AC129">
        <f>IFERROR(IF(INDEX(Aux_puntos!$A$2:$OJ$901,125,MATCH($B$2&amp;"|xK",Aux_puntos!$1:$1,0))="",NA(),INDEX(Aux_puntos!$A$2:$OJ$901,125,MATCH($B$2&amp;"|xK",Aux_puntos!$1:$1,0))),NA())</f>
        <v/>
      </c>
      <c r="AD129">
        <f>IFERROR(IF(INDEX(Aux_puntos!$A$2:$OJ$901,125,MATCH($B$2&amp;"|yK",Aux_puntos!$1:$1,0))="",NA(),INDEX(Aux_puntos!$A$2:$OJ$901,125,MATCH($B$2&amp;"|yK",Aux_puntos!$1:$1,0))),NA())</f>
        <v/>
      </c>
      <c r="AE129">
        <f>IFERROR(IF(INDEX(Aux_puntos!$A$2:$OJ$901,125,MATCH($B$2&amp;"|xC",Aux_puntos!$1:$1,0))="",NA(),INDEX(Aux_puntos!$A$2:$OJ$901,125,MATCH($B$2&amp;"|xC",Aux_puntos!$1:$1,0))),NA())</f>
        <v/>
      </c>
      <c r="AF129">
        <f>IFERROR(IF(INDEX(Aux_puntos!$A$2:$OJ$901,125,MATCH($B$2&amp;"|yC",Aux_puntos!$1:$1,0))="",NA(),INDEX(Aux_puntos!$A$2:$OJ$901,125,MATCH($B$2&amp;"|yC",Aux_puntos!$1:$1,0))),NA())</f>
        <v/>
      </c>
      <c r="AG129">
        <f>IFERROR(IF(INDEX(Aux_puntos!$A$2:$OJ$901,125,MATCH($B$2&amp;"|xI",Aux_puntos!$1:$1,0))="",NA(),INDEX(Aux_puntos!$A$2:$OJ$901,125,MATCH($B$2&amp;"|xI",Aux_puntos!$1:$1,0))),NA())</f>
        <v/>
      </c>
      <c r="AH129">
        <f>IFERROR(IF(INDEX(Aux_puntos!$A$2:$OJ$901,125,MATCH($B$2&amp;"|yI",Aux_puntos!$1:$1,0))="",NA(),INDEX(Aux_puntos!$A$2:$OJ$901,125,MATCH($B$2&amp;"|yI",Aux_puntos!$1:$1,0))),NA())</f>
        <v/>
      </c>
      <c r="AI129">
        <f>IFERROR(IF(INDEX(Aux_puntos!$A$2:$OJ$901,125,MATCH($B$2&amp;"|xN",Aux_puntos!$1:$1,0))="",NA(),INDEX(Aux_puntos!$A$2:$OJ$901,125,MATCH($B$2&amp;"|xN",Aux_puntos!$1:$1,0))),NA())</f>
        <v/>
      </c>
      <c r="AJ129">
        <f>IFERROR(IF(INDEX(Aux_puntos!$A$2:$OJ$901,125,MATCH($B$2&amp;"|yN",Aux_puntos!$1:$1,0))="",NA(),INDEX(Aux_puntos!$A$2:$OJ$901,125,MATCH($B$2&amp;"|yN",Aux_puntos!$1:$1,0))),NA())</f>
        <v/>
      </c>
    </row>
    <row r="130">
      <c r="AC130">
        <f>IFERROR(IF(INDEX(Aux_puntos!$A$2:$OJ$901,126,MATCH($B$2&amp;"|xK",Aux_puntos!$1:$1,0))="",NA(),INDEX(Aux_puntos!$A$2:$OJ$901,126,MATCH($B$2&amp;"|xK",Aux_puntos!$1:$1,0))),NA())</f>
        <v/>
      </c>
      <c r="AD130">
        <f>IFERROR(IF(INDEX(Aux_puntos!$A$2:$OJ$901,126,MATCH($B$2&amp;"|yK",Aux_puntos!$1:$1,0))="",NA(),INDEX(Aux_puntos!$A$2:$OJ$901,126,MATCH($B$2&amp;"|yK",Aux_puntos!$1:$1,0))),NA())</f>
        <v/>
      </c>
      <c r="AE130">
        <f>IFERROR(IF(INDEX(Aux_puntos!$A$2:$OJ$901,126,MATCH($B$2&amp;"|xC",Aux_puntos!$1:$1,0))="",NA(),INDEX(Aux_puntos!$A$2:$OJ$901,126,MATCH($B$2&amp;"|xC",Aux_puntos!$1:$1,0))),NA())</f>
        <v/>
      </c>
      <c r="AF130">
        <f>IFERROR(IF(INDEX(Aux_puntos!$A$2:$OJ$901,126,MATCH($B$2&amp;"|yC",Aux_puntos!$1:$1,0))="",NA(),INDEX(Aux_puntos!$A$2:$OJ$901,126,MATCH($B$2&amp;"|yC",Aux_puntos!$1:$1,0))),NA())</f>
        <v/>
      </c>
      <c r="AG130">
        <f>IFERROR(IF(INDEX(Aux_puntos!$A$2:$OJ$901,126,MATCH($B$2&amp;"|xI",Aux_puntos!$1:$1,0))="",NA(),INDEX(Aux_puntos!$A$2:$OJ$901,126,MATCH($B$2&amp;"|xI",Aux_puntos!$1:$1,0))),NA())</f>
        <v/>
      </c>
      <c r="AH130">
        <f>IFERROR(IF(INDEX(Aux_puntos!$A$2:$OJ$901,126,MATCH($B$2&amp;"|yI",Aux_puntos!$1:$1,0))="",NA(),INDEX(Aux_puntos!$A$2:$OJ$901,126,MATCH($B$2&amp;"|yI",Aux_puntos!$1:$1,0))),NA())</f>
        <v/>
      </c>
      <c r="AI130">
        <f>IFERROR(IF(INDEX(Aux_puntos!$A$2:$OJ$901,126,MATCH($B$2&amp;"|xN",Aux_puntos!$1:$1,0))="",NA(),INDEX(Aux_puntos!$A$2:$OJ$901,126,MATCH($B$2&amp;"|xN",Aux_puntos!$1:$1,0))),NA())</f>
        <v/>
      </c>
      <c r="AJ130">
        <f>IFERROR(IF(INDEX(Aux_puntos!$A$2:$OJ$901,126,MATCH($B$2&amp;"|yN",Aux_puntos!$1:$1,0))="",NA(),INDEX(Aux_puntos!$A$2:$OJ$901,126,MATCH($B$2&amp;"|yN",Aux_puntos!$1:$1,0))),NA())</f>
        <v/>
      </c>
    </row>
    <row r="131">
      <c r="AC131">
        <f>IFERROR(IF(INDEX(Aux_puntos!$A$2:$OJ$901,127,MATCH($B$2&amp;"|xK",Aux_puntos!$1:$1,0))="",NA(),INDEX(Aux_puntos!$A$2:$OJ$901,127,MATCH($B$2&amp;"|xK",Aux_puntos!$1:$1,0))),NA())</f>
        <v/>
      </c>
      <c r="AD131">
        <f>IFERROR(IF(INDEX(Aux_puntos!$A$2:$OJ$901,127,MATCH($B$2&amp;"|yK",Aux_puntos!$1:$1,0))="",NA(),INDEX(Aux_puntos!$A$2:$OJ$901,127,MATCH($B$2&amp;"|yK",Aux_puntos!$1:$1,0))),NA())</f>
        <v/>
      </c>
      <c r="AE131">
        <f>IFERROR(IF(INDEX(Aux_puntos!$A$2:$OJ$901,127,MATCH($B$2&amp;"|xC",Aux_puntos!$1:$1,0))="",NA(),INDEX(Aux_puntos!$A$2:$OJ$901,127,MATCH($B$2&amp;"|xC",Aux_puntos!$1:$1,0))),NA())</f>
        <v/>
      </c>
      <c r="AF131">
        <f>IFERROR(IF(INDEX(Aux_puntos!$A$2:$OJ$901,127,MATCH($B$2&amp;"|yC",Aux_puntos!$1:$1,0))="",NA(),INDEX(Aux_puntos!$A$2:$OJ$901,127,MATCH($B$2&amp;"|yC",Aux_puntos!$1:$1,0))),NA())</f>
        <v/>
      </c>
      <c r="AG131">
        <f>IFERROR(IF(INDEX(Aux_puntos!$A$2:$OJ$901,127,MATCH($B$2&amp;"|xI",Aux_puntos!$1:$1,0))="",NA(),INDEX(Aux_puntos!$A$2:$OJ$901,127,MATCH($B$2&amp;"|xI",Aux_puntos!$1:$1,0))),NA())</f>
        <v/>
      </c>
      <c r="AH131">
        <f>IFERROR(IF(INDEX(Aux_puntos!$A$2:$OJ$901,127,MATCH($B$2&amp;"|yI",Aux_puntos!$1:$1,0))="",NA(),INDEX(Aux_puntos!$A$2:$OJ$901,127,MATCH($B$2&amp;"|yI",Aux_puntos!$1:$1,0))),NA())</f>
        <v/>
      </c>
      <c r="AI131">
        <f>IFERROR(IF(INDEX(Aux_puntos!$A$2:$OJ$901,127,MATCH($B$2&amp;"|xN",Aux_puntos!$1:$1,0))="",NA(),INDEX(Aux_puntos!$A$2:$OJ$901,127,MATCH($B$2&amp;"|xN",Aux_puntos!$1:$1,0))),NA())</f>
        <v/>
      </c>
      <c r="AJ131">
        <f>IFERROR(IF(INDEX(Aux_puntos!$A$2:$OJ$901,127,MATCH($B$2&amp;"|yN",Aux_puntos!$1:$1,0))="",NA(),INDEX(Aux_puntos!$A$2:$OJ$901,127,MATCH($B$2&amp;"|yN",Aux_puntos!$1:$1,0))),NA())</f>
        <v/>
      </c>
    </row>
    <row r="132">
      <c r="AC132">
        <f>IFERROR(IF(INDEX(Aux_puntos!$A$2:$OJ$901,128,MATCH($B$2&amp;"|xK",Aux_puntos!$1:$1,0))="",NA(),INDEX(Aux_puntos!$A$2:$OJ$901,128,MATCH($B$2&amp;"|xK",Aux_puntos!$1:$1,0))),NA())</f>
        <v/>
      </c>
      <c r="AD132">
        <f>IFERROR(IF(INDEX(Aux_puntos!$A$2:$OJ$901,128,MATCH($B$2&amp;"|yK",Aux_puntos!$1:$1,0))="",NA(),INDEX(Aux_puntos!$A$2:$OJ$901,128,MATCH($B$2&amp;"|yK",Aux_puntos!$1:$1,0))),NA())</f>
        <v/>
      </c>
      <c r="AE132">
        <f>IFERROR(IF(INDEX(Aux_puntos!$A$2:$OJ$901,128,MATCH($B$2&amp;"|xC",Aux_puntos!$1:$1,0))="",NA(),INDEX(Aux_puntos!$A$2:$OJ$901,128,MATCH($B$2&amp;"|xC",Aux_puntos!$1:$1,0))),NA())</f>
        <v/>
      </c>
      <c r="AF132">
        <f>IFERROR(IF(INDEX(Aux_puntos!$A$2:$OJ$901,128,MATCH($B$2&amp;"|yC",Aux_puntos!$1:$1,0))="",NA(),INDEX(Aux_puntos!$A$2:$OJ$901,128,MATCH($B$2&amp;"|yC",Aux_puntos!$1:$1,0))),NA())</f>
        <v/>
      </c>
      <c r="AG132">
        <f>IFERROR(IF(INDEX(Aux_puntos!$A$2:$OJ$901,128,MATCH($B$2&amp;"|xI",Aux_puntos!$1:$1,0))="",NA(),INDEX(Aux_puntos!$A$2:$OJ$901,128,MATCH($B$2&amp;"|xI",Aux_puntos!$1:$1,0))),NA())</f>
        <v/>
      </c>
      <c r="AH132">
        <f>IFERROR(IF(INDEX(Aux_puntos!$A$2:$OJ$901,128,MATCH($B$2&amp;"|yI",Aux_puntos!$1:$1,0))="",NA(),INDEX(Aux_puntos!$A$2:$OJ$901,128,MATCH($B$2&amp;"|yI",Aux_puntos!$1:$1,0))),NA())</f>
        <v/>
      </c>
      <c r="AI132">
        <f>IFERROR(IF(INDEX(Aux_puntos!$A$2:$OJ$901,128,MATCH($B$2&amp;"|xN",Aux_puntos!$1:$1,0))="",NA(),INDEX(Aux_puntos!$A$2:$OJ$901,128,MATCH($B$2&amp;"|xN",Aux_puntos!$1:$1,0))),NA())</f>
        <v/>
      </c>
      <c r="AJ132">
        <f>IFERROR(IF(INDEX(Aux_puntos!$A$2:$OJ$901,128,MATCH($B$2&amp;"|yN",Aux_puntos!$1:$1,0))="",NA(),INDEX(Aux_puntos!$A$2:$OJ$901,128,MATCH($B$2&amp;"|yN",Aux_puntos!$1:$1,0))),NA())</f>
        <v/>
      </c>
    </row>
    <row r="133">
      <c r="AC133">
        <f>IFERROR(IF(INDEX(Aux_puntos!$A$2:$OJ$901,129,MATCH($B$2&amp;"|xK",Aux_puntos!$1:$1,0))="",NA(),INDEX(Aux_puntos!$A$2:$OJ$901,129,MATCH($B$2&amp;"|xK",Aux_puntos!$1:$1,0))),NA())</f>
        <v/>
      </c>
      <c r="AD133">
        <f>IFERROR(IF(INDEX(Aux_puntos!$A$2:$OJ$901,129,MATCH($B$2&amp;"|yK",Aux_puntos!$1:$1,0))="",NA(),INDEX(Aux_puntos!$A$2:$OJ$901,129,MATCH($B$2&amp;"|yK",Aux_puntos!$1:$1,0))),NA())</f>
        <v/>
      </c>
      <c r="AE133">
        <f>IFERROR(IF(INDEX(Aux_puntos!$A$2:$OJ$901,129,MATCH($B$2&amp;"|xC",Aux_puntos!$1:$1,0))="",NA(),INDEX(Aux_puntos!$A$2:$OJ$901,129,MATCH($B$2&amp;"|xC",Aux_puntos!$1:$1,0))),NA())</f>
        <v/>
      </c>
      <c r="AF133">
        <f>IFERROR(IF(INDEX(Aux_puntos!$A$2:$OJ$901,129,MATCH($B$2&amp;"|yC",Aux_puntos!$1:$1,0))="",NA(),INDEX(Aux_puntos!$A$2:$OJ$901,129,MATCH($B$2&amp;"|yC",Aux_puntos!$1:$1,0))),NA())</f>
        <v/>
      </c>
      <c r="AG133">
        <f>IFERROR(IF(INDEX(Aux_puntos!$A$2:$OJ$901,129,MATCH($B$2&amp;"|xI",Aux_puntos!$1:$1,0))="",NA(),INDEX(Aux_puntos!$A$2:$OJ$901,129,MATCH($B$2&amp;"|xI",Aux_puntos!$1:$1,0))),NA())</f>
        <v/>
      </c>
      <c r="AH133">
        <f>IFERROR(IF(INDEX(Aux_puntos!$A$2:$OJ$901,129,MATCH($B$2&amp;"|yI",Aux_puntos!$1:$1,0))="",NA(),INDEX(Aux_puntos!$A$2:$OJ$901,129,MATCH($B$2&amp;"|yI",Aux_puntos!$1:$1,0))),NA())</f>
        <v/>
      </c>
      <c r="AI133">
        <f>IFERROR(IF(INDEX(Aux_puntos!$A$2:$OJ$901,129,MATCH($B$2&amp;"|xN",Aux_puntos!$1:$1,0))="",NA(),INDEX(Aux_puntos!$A$2:$OJ$901,129,MATCH($B$2&amp;"|xN",Aux_puntos!$1:$1,0))),NA())</f>
        <v/>
      </c>
      <c r="AJ133">
        <f>IFERROR(IF(INDEX(Aux_puntos!$A$2:$OJ$901,129,MATCH($B$2&amp;"|yN",Aux_puntos!$1:$1,0))="",NA(),INDEX(Aux_puntos!$A$2:$OJ$901,129,MATCH($B$2&amp;"|yN",Aux_puntos!$1:$1,0))),NA())</f>
        <v/>
      </c>
    </row>
    <row r="134">
      <c r="AC134">
        <f>IFERROR(IF(INDEX(Aux_puntos!$A$2:$OJ$901,130,MATCH($B$2&amp;"|xK",Aux_puntos!$1:$1,0))="",NA(),INDEX(Aux_puntos!$A$2:$OJ$901,130,MATCH($B$2&amp;"|xK",Aux_puntos!$1:$1,0))),NA())</f>
        <v/>
      </c>
      <c r="AD134">
        <f>IFERROR(IF(INDEX(Aux_puntos!$A$2:$OJ$901,130,MATCH($B$2&amp;"|yK",Aux_puntos!$1:$1,0))="",NA(),INDEX(Aux_puntos!$A$2:$OJ$901,130,MATCH($B$2&amp;"|yK",Aux_puntos!$1:$1,0))),NA())</f>
        <v/>
      </c>
      <c r="AE134">
        <f>IFERROR(IF(INDEX(Aux_puntos!$A$2:$OJ$901,130,MATCH($B$2&amp;"|xC",Aux_puntos!$1:$1,0))="",NA(),INDEX(Aux_puntos!$A$2:$OJ$901,130,MATCH($B$2&amp;"|xC",Aux_puntos!$1:$1,0))),NA())</f>
        <v/>
      </c>
      <c r="AF134">
        <f>IFERROR(IF(INDEX(Aux_puntos!$A$2:$OJ$901,130,MATCH($B$2&amp;"|yC",Aux_puntos!$1:$1,0))="",NA(),INDEX(Aux_puntos!$A$2:$OJ$901,130,MATCH($B$2&amp;"|yC",Aux_puntos!$1:$1,0))),NA())</f>
        <v/>
      </c>
      <c r="AG134">
        <f>IFERROR(IF(INDEX(Aux_puntos!$A$2:$OJ$901,130,MATCH($B$2&amp;"|xI",Aux_puntos!$1:$1,0))="",NA(),INDEX(Aux_puntos!$A$2:$OJ$901,130,MATCH($B$2&amp;"|xI",Aux_puntos!$1:$1,0))),NA())</f>
        <v/>
      </c>
      <c r="AH134">
        <f>IFERROR(IF(INDEX(Aux_puntos!$A$2:$OJ$901,130,MATCH($B$2&amp;"|yI",Aux_puntos!$1:$1,0))="",NA(),INDEX(Aux_puntos!$A$2:$OJ$901,130,MATCH($B$2&amp;"|yI",Aux_puntos!$1:$1,0))),NA())</f>
        <v/>
      </c>
      <c r="AI134">
        <f>IFERROR(IF(INDEX(Aux_puntos!$A$2:$OJ$901,130,MATCH($B$2&amp;"|xN",Aux_puntos!$1:$1,0))="",NA(),INDEX(Aux_puntos!$A$2:$OJ$901,130,MATCH($B$2&amp;"|xN",Aux_puntos!$1:$1,0))),NA())</f>
        <v/>
      </c>
      <c r="AJ134">
        <f>IFERROR(IF(INDEX(Aux_puntos!$A$2:$OJ$901,130,MATCH($B$2&amp;"|yN",Aux_puntos!$1:$1,0))="",NA(),INDEX(Aux_puntos!$A$2:$OJ$901,130,MATCH($B$2&amp;"|yN",Aux_puntos!$1:$1,0))),NA())</f>
        <v/>
      </c>
    </row>
    <row r="135">
      <c r="AC135">
        <f>IFERROR(IF(INDEX(Aux_puntos!$A$2:$OJ$901,131,MATCH($B$2&amp;"|xK",Aux_puntos!$1:$1,0))="",NA(),INDEX(Aux_puntos!$A$2:$OJ$901,131,MATCH($B$2&amp;"|xK",Aux_puntos!$1:$1,0))),NA())</f>
        <v/>
      </c>
      <c r="AD135">
        <f>IFERROR(IF(INDEX(Aux_puntos!$A$2:$OJ$901,131,MATCH($B$2&amp;"|yK",Aux_puntos!$1:$1,0))="",NA(),INDEX(Aux_puntos!$A$2:$OJ$901,131,MATCH($B$2&amp;"|yK",Aux_puntos!$1:$1,0))),NA())</f>
        <v/>
      </c>
      <c r="AE135">
        <f>IFERROR(IF(INDEX(Aux_puntos!$A$2:$OJ$901,131,MATCH($B$2&amp;"|xC",Aux_puntos!$1:$1,0))="",NA(),INDEX(Aux_puntos!$A$2:$OJ$901,131,MATCH($B$2&amp;"|xC",Aux_puntos!$1:$1,0))),NA())</f>
        <v/>
      </c>
      <c r="AF135">
        <f>IFERROR(IF(INDEX(Aux_puntos!$A$2:$OJ$901,131,MATCH($B$2&amp;"|yC",Aux_puntos!$1:$1,0))="",NA(),INDEX(Aux_puntos!$A$2:$OJ$901,131,MATCH($B$2&amp;"|yC",Aux_puntos!$1:$1,0))),NA())</f>
        <v/>
      </c>
      <c r="AG135">
        <f>IFERROR(IF(INDEX(Aux_puntos!$A$2:$OJ$901,131,MATCH($B$2&amp;"|xI",Aux_puntos!$1:$1,0))="",NA(),INDEX(Aux_puntos!$A$2:$OJ$901,131,MATCH($B$2&amp;"|xI",Aux_puntos!$1:$1,0))),NA())</f>
        <v/>
      </c>
      <c r="AH135">
        <f>IFERROR(IF(INDEX(Aux_puntos!$A$2:$OJ$901,131,MATCH($B$2&amp;"|yI",Aux_puntos!$1:$1,0))="",NA(),INDEX(Aux_puntos!$A$2:$OJ$901,131,MATCH($B$2&amp;"|yI",Aux_puntos!$1:$1,0))),NA())</f>
        <v/>
      </c>
      <c r="AI135">
        <f>IFERROR(IF(INDEX(Aux_puntos!$A$2:$OJ$901,131,MATCH($B$2&amp;"|xN",Aux_puntos!$1:$1,0))="",NA(),INDEX(Aux_puntos!$A$2:$OJ$901,131,MATCH($B$2&amp;"|xN",Aux_puntos!$1:$1,0))),NA())</f>
        <v/>
      </c>
      <c r="AJ135">
        <f>IFERROR(IF(INDEX(Aux_puntos!$A$2:$OJ$901,131,MATCH($B$2&amp;"|yN",Aux_puntos!$1:$1,0))="",NA(),INDEX(Aux_puntos!$A$2:$OJ$901,131,MATCH($B$2&amp;"|yN",Aux_puntos!$1:$1,0))),NA())</f>
        <v/>
      </c>
    </row>
    <row r="136">
      <c r="AC136">
        <f>IFERROR(IF(INDEX(Aux_puntos!$A$2:$OJ$901,132,MATCH($B$2&amp;"|xK",Aux_puntos!$1:$1,0))="",NA(),INDEX(Aux_puntos!$A$2:$OJ$901,132,MATCH($B$2&amp;"|xK",Aux_puntos!$1:$1,0))),NA())</f>
        <v/>
      </c>
      <c r="AD136">
        <f>IFERROR(IF(INDEX(Aux_puntos!$A$2:$OJ$901,132,MATCH($B$2&amp;"|yK",Aux_puntos!$1:$1,0))="",NA(),INDEX(Aux_puntos!$A$2:$OJ$901,132,MATCH($B$2&amp;"|yK",Aux_puntos!$1:$1,0))),NA())</f>
        <v/>
      </c>
      <c r="AE136">
        <f>IFERROR(IF(INDEX(Aux_puntos!$A$2:$OJ$901,132,MATCH($B$2&amp;"|xC",Aux_puntos!$1:$1,0))="",NA(),INDEX(Aux_puntos!$A$2:$OJ$901,132,MATCH($B$2&amp;"|xC",Aux_puntos!$1:$1,0))),NA())</f>
        <v/>
      </c>
      <c r="AF136">
        <f>IFERROR(IF(INDEX(Aux_puntos!$A$2:$OJ$901,132,MATCH($B$2&amp;"|yC",Aux_puntos!$1:$1,0))="",NA(),INDEX(Aux_puntos!$A$2:$OJ$901,132,MATCH($B$2&amp;"|yC",Aux_puntos!$1:$1,0))),NA())</f>
        <v/>
      </c>
      <c r="AG136">
        <f>IFERROR(IF(INDEX(Aux_puntos!$A$2:$OJ$901,132,MATCH($B$2&amp;"|xI",Aux_puntos!$1:$1,0))="",NA(),INDEX(Aux_puntos!$A$2:$OJ$901,132,MATCH($B$2&amp;"|xI",Aux_puntos!$1:$1,0))),NA())</f>
        <v/>
      </c>
      <c r="AH136">
        <f>IFERROR(IF(INDEX(Aux_puntos!$A$2:$OJ$901,132,MATCH($B$2&amp;"|yI",Aux_puntos!$1:$1,0))="",NA(),INDEX(Aux_puntos!$A$2:$OJ$901,132,MATCH($B$2&amp;"|yI",Aux_puntos!$1:$1,0))),NA())</f>
        <v/>
      </c>
      <c r="AI136">
        <f>IFERROR(IF(INDEX(Aux_puntos!$A$2:$OJ$901,132,MATCH($B$2&amp;"|xN",Aux_puntos!$1:$1,0))="",NA(),INDEX(Aux_puntos!$A$2:$OJ$901,132,MATCH($B$2&amp;"|xN",Aux_puntos!$1:$1,0))),NA())</f>
        <v/>
      </c>
      <c r="AJ136">
        <f>IFERROR(IF(INDEX(Aux_puntos!$A$2:$OJ$901,132,MATCH($B$2&amp;"|yN",Aux_puntos!$1:$1,0))="",NA(),INDEX(Aux_puntos!$A$2:$OJ$901,132,MATCH($B$2&amp;"|yN",Aux_puntos!$1:$1,0))),NA())</f>
        <v/>
      </c>
    </row>
    <row r="137">
      <c r="AC137">
        <f>IFERROR(IF(INDEX(Aux_puntos!$A$2:$OJ$901,133,MATCH($B$2&amp;"|xK",Aux_puntos!$1:$1,0))="",NA(),INDEX(Aux_puntos!$A$2:$OJ$901,133,MATCH($B$2&amp;"|xK",Aux_puntos!$1:$1,0))),NA())</f>
        <v/>
      </c>
      <c r="AD137">
        <f>IFERROR(IF(INDEX(Aux_puntos!$A$2:$OJ$901,133,MATCH($B$2&amp;"|yK",Aux_puntos!$1:$1,0))="",NA(),INDEX(Aux_puntos!$A$2:$OJ$901,133,MATCH($B$2&amp;"|yK",Aux_puntos!$1:$1,0))),NA())</f>
        <v/>
      </c>
      <c r="AE137">
        <f>IFERROR(IF(INDEX(Aux_puntos!$A$2:$OJ$901,133,MATCH($B$2&amp;"|xC",Aux_puntos!$1:$1,0))="",NA(),INDEX(Aux_puntos!$A$2:$OJ$901,133,MATCH($B$2&amp;"|xC",Aux_puntos!$1:$1,0))),NA())</f>
        <v/>
      </c>
      <c r="AF137">
        <f>IFERROR(IF(INDEX(Aux_puntos!$A$2:$OJ$901,133,MATCH($B$2&amp;"|yC",Aux_puntos!$1:$1,0))="",NA(),INDEX(Aux_puntos!$A$2:$OJ$901,133,MATCH($B$2&amp;"|yC",Aux_puntos!$1:$1,0))),NA())</f>
        <v/>
      </c>
      <c r="AG137">
        <f>IFERROR(IF(INDEX(Aux_puntos!$A$2:$OJ$901,133,MATCH($B$2&amp;"|xI",Aux_puntos!$1:$1,0))="",NA(),INDEX(Aux_puntos!$A$2:$OJ$901,133,MATCH($B$2&amp;"|xI",Aux_puntos!$1:$1,0))),NA())</f>
        <v/>
      </c>
      <c r="AH137">
        <f>IFERROR(IF(INDEX(Aux_puntos!$A$2:$OJ$901,133,MATCH($B$2&amp;"|yI",Aux_puntos!$1:$1,0))="",NA(),INDEX(Aux_puntos!$A$2:$OJ$901,133,MATCH($B$2&amp;"|yI",Aux_puntos!$1:$1,0))),NA())</f>
        <v/>
      </c>
      <c r="AI137">
        <f>IFERROR(IF(INDEX(Aux_puntos!$A$2:$OJ$901,133,MATCH($B$2&amp;"|xN",Aux_puntos!$1:$1,0))="",NA(),INDEX(Aux_puntos!$A$2:$OJ$901,133,MATCH($B$2&amp;"|xN",Aux_puntos!$1:$1,0))),NA())</f>
        <v/>
      </c>
      <c r="AJ137">
        <f>IFERROR(IF(INDEX(Aux_puntos!$A$2:$OJ$901,133,MATCH($B$2&amp;"|yN",Aux_puntos!$1:$1,0))="",NA(),INDEX(Aux_puntos!$A$2:$OJ$901,133,MATCH($B$2&amp;"|yN",Aux_puntos!$1:$1,0))),NA())</f>
        <v/>
      </c>
    </row>
    <row r="138">
      <c r="AC138">
        <f>IFERROR(IF(INDEX(Aux_puntos!$A$2:$OJ$901,134,MATCH($B$2&amp;"|xK",Aux_puntos!$1:$1,0))="",NA(),INDEX(Aux_puntos!$A$2:$OJ$901,134,MATCH($B$2&amp;"|xK",Aux_puntos!$1:$1,0))),NA())</f>
        <v/>
      </c>
      <c r="AD138">
        <f>IFERROR(IF(INDEX(Aux_puntos!$A$2:$OJ$901,134,MATCH($B$2&amp;"|yK",Aux_puntos!$1:$1,0))="",NA(),INDEX(Aux_puntos!$A$2:$OJ$901,134,MATCH($B$2&amp;"|yK",Aux_puntos!$1:$1,0))),NA())</f>
        <v/>
      </c>
      <c r="AE138">
        <f>IFERROR(IF(INDEX(Aux_puntos!$A$2:$OJ$901,134,MATCH($B$2&amp;"|xC",Aux_puntos!$1:$1,0))="",NA(),INDEX(Aux_puntos!$A$2:$OJ$901,134,MATCH($B$2&amp;"|xC",Aux_puntos!$1:$1,0))),NA())</f>
        <v/>
      </c>
      <c r="AF138">
        <f>IFERROR(IF(INDEX(Aux_puntos!$A$2:$OJ$901,134,MATCH($B$2&amp;"|yC",Aux_puntos!$1:$1,0))="",NA(),INDEX(Aux_puntos!$A$2:$OJ$901,134,MATCH($B$2&amp;"|yC",Aux_puntos!$1:$1,0))),NA())</f>
        <v/>
      </c>
      <c r="AG138">
        <f>IFERROR(IF(INDEX(Aux_puntos!$A$2:$OJ$901,134,MATCH($B$2&amp;"|xI",Aux_puntos!$1:$1,0))="",NA(),INDEX(Aux_puntos!$A$2:$OJ$901,134,MATCH($B$2&amp;"|xI",Aux_puntos!$1:$1,0))),NA())</f>
        <v/>
      </c>
      <c r="AH138">
        <f>IFERROR(IF(INDEX(Aux_puntos!$A$2:$OJ$901,134,MATCH($B$2&amp;"|yI",Aux_puntos!$1:$1,0))="",NA(),INDEX(Aux_puntos!$A$2:$OJ$901,134,MATCH($B$2&amp;"|yI",Aux_puntos!$1:$1,0))),NA())</f>
        <v/>
      </c>
      <c r="AI138">
        <f>IFERROR(IF(INDEX(Aux_puntos!$A$2:$OJ$901,134,MATCH($B$2&amp;"|xN",Aux_puntos!$1:$1,0))="",NA(),INDEX(Aux_puntos!$A$2:$OJ$901,134,MATCH($B$2&amp;"|xN",Aux_puntos!$1:$1,0))),NA())</f>
        <v/>
      </c>
      <c r="AJ138">
        <f>IFERROR(IF(INDEX(Aux_puntos!$A$2:$OJ$901,134,MATCH($B$2&amp;"|yN",Aux_puntos!$1:$1,0))="",NA(),INDEX(Aux_puntos!$A$2:$OJ$901,134,MATCH($B$2&amp;"|yN",Aux_puntos!$1:$1,0))),NA())</f>
        <v/>
      </c>
    </row>
    <row r="139">
      <c r="AC139">
        <f>IFERROR(IF(INDEX(Aux_puntos!$A$2:$OJ$901,135,MATCH($B$2&amp;"|xK",Aux_puntos!$1:$1,0))="",NA(),INDEX(Aux_puntos!$A$2:$OJ$901,135,MATCH($B$2&amp;"|xK",Aux_puntos!$1:$1,0))),NA())</f>
        <v/>
      </c>
      <c r="AD139">
        <f>IFERROR(IF(INDEX(Aux_puntos!$A$2:$OJ$901,135,MATCH($B$2&amp;"|yK",Aux_puntos!$1:$1,0))="",NA(),INDEX(Aux_puntos!$A$2:$OJ$901,135,MATCH($B$2&amp;"|yK",Aux_puntos!$1:$1,0))),NA())</f>
        <v/>
      </c>
      <c r="AE139">
        <f>IFERROR(IF(INDEX(Aux_puntos!$A$2:$OJ$901,135,MATCH($B$2&amp;"|xC",Aux_puntos!$1:$1,0))="",NA(),INDEX(Aux_puntos!$A$2:$OJ$901,135,MATCH($B$2&amp;"|xC",Aux_puntos!$1:$1,0))),NA())</f>
        <v/>
      </c>
      <c r="AF139">
        <f>IFERROR(IF(INDEX(Aux_puntos!$A$2:$OJ$901,135,MATCH($B$2&amp;"|yC",Aux_puntos!$1:$1,0))="",NA(),INDEX(Aux_puntos!$A$2:$OJ$901,135,MATCH($B$2&amp;"|yC",Aux_puntos!$1:$1,0))),NA())</f>
        <v/>
      </c>
      <c r="AG139">
        <f>IFERROR(IF(INDEX(Aux_puntos!$A$2:$OJ$901,135,MATCH($B$2&amp;"|xI",Aux_puntos!$1:$1,0))="",NA(),INDEX(Aux_puntos!$A$2:$OJ$901,135,MATCH($B$2&amp;"|xI",Aux_puntos!$1:$1,0))),NA())</f>
        <v/>
      </c>
      <c r="AH139">
        <f>IFERROR(IF(INDEX(Aux_puntos!$A$2:$OJ$901,135,MATCH($B$2&amp;"|yI",Aux_puntos!$1:$1,0))="",NA(),INDEX(Aux_puntos!$A$2:$OJ$901,135,MATCH($B$2&amp;"|yI",Aux_puntos!$1:$1,0))),NA())</f>
        <v/>
      </c>
      <c r="AI139">
        <f>IFERROR(IF(INDEX(Aux_puntos!$A$2:$OJ$901,135,MATCH($B$2&amp;"|xN",Aux_puntos!$1:$1,0))="",NA(),INDEX(Aux_puntos!$A$2:$OJ$901,135,MATCH($B$2&amp;"|xN",Aux_puntos!$1:$1,0))),NA())</f>
        <v/>
      </c>
      <c r="AJ139">
        <f>IFERROR(IF(INDEX(Aux_puntos!$A$2:$OJ$901,135,MATCH($B$2&amp;"|yN",Aux_puntos!$1:$1,0))="",NA(),INDEX(Aux_puntos!$A$2:$OJ$901,135,MATCH($B$2&amp;"|yN",Aux_puntos!$1:$1,0))),NA())</f>
        <v/>
      </c>
    </row>
    <row r="140">
      <c r="AC140">
        <f>IFERROR(IF(INDEX(Aux_puntos!$A$2:$OJ$901,136,MATCH($B$2&amp;"|xK",Aux_puntos!$1:$1,0))="",NA(),INDEX(Aux_puntos!$A$2:$OJ$901,136,MATCH($B$2&amp;"|xK",Aux_puntos!$1:$1,0))),NA())</f>
        <v/>
      </c>
      <c r="AD140">
        <f>IFERROR(IF(INDEX(Aux_puntos!$A$2:$OJ$901,136,MATCH($B$2&amp;"|yK",Aux_puntos!$1:$1,0))="",NA(),INDEX(Aux_puntos!$A$2:$OJ$901,136,MATCH($B$2&amp;"|yK",Aux_puntos!$1:$1,0))),NA())</f>
        <v/>
      </c>
      <c r="AE140">
        <f>IFERROR(IF(INDEX(Aux_puntos!$A$2:$OJ$901,136,MATCH($B$2&amp;"|xC",Aux_puntos!$1:$1,0))="",NA(),INDEX(Aux_puntos!$A$2:$OJ$901,136,MATCH($B$2&amp;"|xC",Aux_puntos!$1:$1,0))),NA())</f>
        <v/>
      </c>
      <c r="AF140">
        <f>IFERROR(IF(INDEX(Aux_puntos!$A$2:$OJ$901,136,MATCH($B$2&amp;"|yC",Aux_puntos!$1:$1,0))="",NA(),INDEX(Aux_puntos!$A$2:$OJ$901,136,MATCH($B$2&amp;"|yC",Aux_puntos!$1:$1,0))),NA())</f>
        <v/>
      </c>
      <c r="AG140">
        <f>IFERROR(IF(INDEX(Aux_puntos!$A$2:$OJ$901,136,MATCH($B$2&amp;"|xI",Aux_puntos!$1:$1,0))="",NA(),INDEX(Aux_puntos!$A$2:$OJ$901,136,MATCH($B$2&amp;"|xI",Aux_puntos!$1:$1,0))),NA())</f>
        <v/>
      </c>
      <c r="AH140">
        <f>IFERROR(IF(INDEX(Aux_puntos!$A$2:$OJ$901,136,MATCH($B$2&amp;"|yI",Aux_puntos!$1:$1,0))="",NA(),INDEX(Aux_puntos!$A$2:$OJ$901,136,MATCH($B$2&amp;"|yI",Aux_puntos!$1:$1,0))),NA())</f>
        <v/>
      </c>
      <c r="AI140">
        <f>IFERROR(IF(INDEX(Aux_puntos!$A$2:$OJ$901,136,MATCH($B$2&amp;"|xN",Aux_puntos!$1:$1,0))="",NA(),INDEX(Aux_puntos!$A$2:$OJ$901,136,MATCH($B$2&amp;"|xN",Aux_puntos!$1:$1,0))),NA())</f>
        <v/>
      </c>
      <c r="AJ140">
        <f>IFERROR(IF(INDEX(Aux_puntos!$A$2:$OJ$901,136,MATCH($B$2&amp;"|yN",Aux_puntos!$1:$1,0))="",NA(),INDEX(Aux_puntos!$A$2:$OJ$901,136,MATCH($B$2&amp;"|yN",Aux_puntos!$1:$1,0))),NA())</f>
        <v/>
      </c>
    </row>
    <row r="141">
      <c r="AC141">
        <f>IFERROR(IF(INDEX(Aux_puntos!$A$2:$OJ$901,137,MATCH($B$2&amp;"|xK",Aux_puntos!$1:$1,0))="",NA(),INDEX(Aux_puntos!$A$2:$OJ$901,137,MATCH($B$2&amp;"|xK",Aux_puntos!$1:$1,0))),NA())</f>
        <v/>
      </c>
      <c r="AD141">
        <f>IFERROR(IF(INDEX(Aux_puntos!$A$2:$OJ$901,137,MATCH($B$2&amp;"|yK",Aux_puntos!$1:$1,0))="",NA(),INDEX(Aux_puntos!$A$2:$OJ$901,137,MATCH($B$2&amp;"|yK",Aux_puntos!$1:$1,0))),NA())</f>
        <v/>
      </c>
      <c r="AE141">
        <f>IFERROR(IF(INDEX(Aux_puntos!$A$2:$OJ$901,137,MATCH($B$2&amp;"|xC",Aux_puntos!$1:$1,0))="",NA(),INDEX(Aux_puntos!$A$2:$OJ$901,137,MATCH($B$2&amp;"|xC",Aux_puntos!$1:$1,0))),NA())</f>
        <v/>
      </c>
      <c r="AF141">
        <f>IFERROR(IF(INDEX(Aux_puntos!$A$2:$OJ$901,137,MATCH($B$2&amp;"|yC",Aux_puntos!$1:$1,0))="",NA(),INDEX(Aux_puntos!$A$2:$OJ$901,137,MATCH($B$2&amp;"|yC",Aux_puntos!$1:$1,0))),NA())</f>
        <v/>
      </c>
      <c r="AG141">
        <f>IFERROR(IF(INDEX(Aux_puntos!$A$2:$OJ$901,137,MATCH($B$2&amp;"|xI",Aux_puntos!$1:$1,0))="",NA(),INDEX(Aux_puntos!$A$2:$OJ$901,137,MATCH($B$2&amp;"|xI",Aux_puntos!$1:$1,0))),NA())</f>
        <v/>
      </c>
      <c r="AH141">
        <f>IFERROR(IF(INDEX(Aux_puntos!$A$2:$OJ$901,137,MATCH($B$2&amp;"|yI",Aux_puntos!$1:$1,0))="",NA(),INDEX(Aux_puntos!$A$2:$OJ$901,137,MATCH($B$2&amp;"|yI",Aux_puntos!$1:$1,0))),NA())</f>
        <v/>
      </c>
      <c r="AI141">
        <f>IFERROR(IF(INDEX(Aux_puntos!$A$2:$OJ$901,137,MATCH($B$2&amp;"|xN",Aux_puntos!$1:$1,0))="",NA(),INDEX(Aux_puntos!$A$2:$OJ$901,137,MATCH($B$2&amp;"|xN",Aux_puntos!$1:$1,0))),NA())</f>
        <v/>
      </c>
      <c r="AJ141">
        <f>IFERROR(IF(INDEX(Aux_puntos!$A$2:$OJ$901,137,MATCH($B$2&amp;"|yN",Aux_puntos!$1:$1,0))="",NA(),INDEX(Aux_puntos!$A$2:$OJ$901,137,MATCH($B$2&amp;"|yN",Aux_puntos!$1:$1,0))),NA())</f>
        <v/>
      </c>
    </row>
    <row r="142">
      <c r="AC142">
        <f>IFERROR(IF(INDEX(Aux_puntos!$A$2:$OJ$901,138,MATCH($B$2&amp;"|xK",Aux_puntos!$1:$1,0))="",NA(),INDEX(Aux_puntos!$A$2:$OJ$901,138,MATCH($B$2&amp;"|xK",Aux_puntos!$1:$1,0))),NA())</f>
        <v/>
      </c>
      <c r="AD142">
        <f>IFERROR(IF(INDEX(Aux_puntos!$A$2:$OJ$901,138,MATCH($B$2&amp;"|yK",Aux_puntos!$1:$1,0))="",NA(),INDEX(Aux_puntos!$A$2:$OJ$901,138,MATCH($B$2&amp;"|yK",Aux_puntos!$1:$1,0))),NA())</f>
        <v/>
      </c>
      <c r="AE142">
        <f>IFERROR(IF(INDEX(Aux_puntos!$A$2:$OJ$901,138,MATCH($B$2&amp;"|xC",Aux_puntos!$1:$1,0))="",NA(),INDEX(Aux_puntos!$A$2:$OJ$901,138,MATCH($B$2&amp;"|xC",Aux_puntos!$1:$1,0))),NA())</f>
        <v/>
      </c>
      <c r="AF142">
        <f>IFERROR(IF(INDEX(Aux_puntos!$A$2:$OJ$901,138,MATCH($B$2&amp;"|yC",Aux_puntos!$1:$1,0))="",NA(),INDEX(Aux_puntos!$A$2:$OJ$901,138,MATCH($B$2&amp;"|yC",Aux_puntos!$1:$1,0))),NA())</f>
        <v/>
      </c>
      <c r="AG142">
        <f>IFERROR(IF(INDEX(Aux_puntos!$A$2:$OJ$901,138,MATCH($B$2&amp;"|xI",Aux_puntos!$1:$1,0))="",NA(),INDEX(Aux_puntos!$A$2:$OJ$901,138,MATCH($B$2&amp;"|xI",Aux_puntos!$1:$1,0))),NA())</f>
        <v/>
      </c>
      <c r="AH142">
        <f>IFERROR(IF(INDEX(Aux_puntos!$A$2:$OJ$901,138,MATCH($B$2&amp;"|yI",Aux_puntos!$1:$1,0))="",NA(),INDEX(Aux_puntos!$A$2:$OJ$901,138,MATCH($B$2&amp;"|yI",Aux_puntos!$1:$1,0))),NA())</f>
        <v/>
      </c>
      <c r="AI142">
        <f>IFERROR(IF(INDEX(Aux_puntos!$A$2:$OJ$901,138,MATCH($B$2&amp;"|xN",Aux_puntos!$1:$1,0))="",NA(),INDEX(Aux_puntos!$A$2:$OJ$901,138,MATCH($B$2&amp;"|xN",Aux_puntos!$1:$1,0))),NA())</f>
        <v/>
      </c>
      <c r="AJ142">
        <f>IFERROR(IF(INDEX(Aux_puntos!$A$2:$OJ$901,138,MATCH($B$2&amp;"|yN",Aux_puntos!$1:$1,0))="",NA(),INDEX(Aux_puntos!$A$2:$OJ$901,138,MATCH($B$2&amp;"|yN",Aux_puntos!$1:$1,0))),NA())</f>
        <v/>
      </c>
    </row>
    <row r="143">
      <c r="AC143">
        <f>IFERROR(IF(INDEX(Aux_puntos!$A$2:$OJ$901,139,MATCH($B$2&amp;"|xK",Aux_puntos!$1:$1,0))="",NA(),INDEX(Aux_puntos!$A$2:$OJ$901,139,MATCH($B$2&amp;"|xK",Aux_puntos!$1:$1,0))),NA())</f>
        <v/>
      </c>
      <c r="AD143">
        <f>IFERROR(IF(INDEX(Aux_puntos!$A$2:$OJ$901,139,MATCH($B$2&amp;"|yK",Aux_puntos!$1:$1,0))="",NA(),INDEX(Aux_puntos!$A$2:$OJ$901,139,MATCH($B$2&amp;"|yK",Aux_puntos!$1:$1,0))),NA())</f>
        <v/>
      </c>
      <c r="AE143">
        <f>IFERROR(IF(INDEX(Aux_puntos!$A$2:$OJ$901,139,MATCH($B$2&amp;"|xC",Aux_puntos!$1:$1,0))="",NA(),INDEX(Aux_puntos!$A$2:$OJ$901,139,MATCH($B$2&amp;"|xC",Aux_puntos!$1:$1,0))),NA())</f>
        <v/>
      </c>
      <c r="AF143">
        <f>IFERROR(IF(INDEX(Aux_puntos!$A$2:$OJ$901,139,MATCH($B$2&amp;"|yC",Aux_puntos!$1:$1,0))="",NA(),INDEX(Aux_puntos!$A$2:$OJ$901,139,MATCH($B$2&amp;"|yC",Aux_puntos!$1:$1,0))),NA())</f>
        <v/>
      </c>
      <c r="AG143">
        <f>IFERROR(IF(INDEX(Aux_puntos!$A$2:$OJ$901,139,MATCH($B$2&amp;"|xI",Aux_puntos!$1:$1,0))="",NA(),INDEX(Aux_puntos!$A$2:$OJ$901,139,MATCH($B$2&amp;"|xI",Aux_puntos!$1:$1,0))),NA())</f>
        <v/>
      </c>
      <c r="AH143">
        <f>IFERROR(IF(INDEX(Aux_puntos!$A$2:$OJ$901,139,MATCH($B$2&amp;"|yI",Aux_puntos!$1:$1,0))="",NA(),INDEX(Aux_puntos!$A$2:$OJ$901,139,MATCH($B$2&amp;"|yI",Aux_puntos!$1:$1,0))),NA())</f>
        <v/>
      </c>
      <c r="AI143">
        <f>IFERROR(IF(INDEX(Aux_puntos!$A$2:$OJ$901,139,MATCH($B$2&amp;"|xN",Aux_puntos!$1:$1,0))="",NA(),INDEX(Aux_puntos!$A$2:$OJ$901,139,MATCH($B$2&amp;"|xN",Aux_puntos!$1:$1,0))),NA())</f>
        <v/>
      </c>
      <c r="AJ143">
        <f>IFERROR(IF(INDEX(Aux_puntos!$A$2:$OJ$901,139,MATCH($B$2&amp;"|yN",Aux_puntos!$1:$1,0))="",NA(),INDEX(Aux_puntos!$A$2:$OJ$901,139,MATCH($B$2&amp;"|yN",Aux_puntos!$1:$1,0))),NA())</f>
        <v/>
      </c>
    </row>
    <row r="144">
      <c r="AC144">
        <f>IFERROR(IF(INDEX(Aux_puntos!$A$2:$OJ$901,140,MATCH($B$2&amp;"|xK",Aux_puntos!$1:$1,0))="",NA(),INDEX(Aux_puntos!$A$2:$OJ$901,140,MATCH($B$2&amp;"|xK",Aux_puntos!$1:$1,0))),NA())</f>
        <v/>
      </c>
      <c r="AD144">
        <f>IFERROR(IF(INDEX(Aux_puntos!$A$2:$OJ$901,140,MATCH($B$2&amp;"|yK",Aux_puntos!$1:$1,0))="",NA(),INDEX(Aux_puntos!$A$2:$OJ$901,140,MATCH($B$2&amp;"|yK",Aux_puntos!$1:$1,0))),NA())</f>
        <v/>
      </c>
      <c r="AE144">
        <f>IFERROR(IF(INDEX(Aux_puntos!$A$2:$OJ$901,140,MATCH($B$2&amp;"|xC",Aux_puntos!$1:$1,0))="",NA(),INDEX(Aux_puntos!$A$2:$OJ$901,140,MATCH($B$2&amp;"|xC",Aux_puntos!$1:$1,0))),NA())</f>
        <v/>
      </c>
      <c r="AF144">
        <f>IFERROR(IF(INDEX(Aux_puntos!$A$2:$OJ$901,140,MATCH($B$2&amp;"|yC",Aux_puntos!$1:$1,0))="",NA(),INDEX(Aux_puntos!$A$2:$OJ$901,140,MATCH($B$2&amp;"|yC",Aux_puntos!$1:$1,0))),NA())</f>
        <v/>
      </c>
      <c r="AG144">
        <f>IFERROR(IF(INDEX(Aux_puntos!$A$2:$OJ$901,140,MATCH($B$2&amp;"|xI",Aux_puntos!$1:$1,0))="",NA(),INDEX(Aux_puntos!$A$2:$OJ$901,140,MATCH($B$2&amp;"|xI",Aux_puntos!$1:$1,0))),NA())</f>
        <v/>
      </c>
      <c r="AH144">
        <f>IFERROR(IF(INDEX(Aux_puntos!$A$2:$OJ$901,140,MATCH($B$2&amp;"|yI",Aux_puntos!$1:$1,0))="",NA(),INDEX(Aux_puntos!$A$2:$OJ$901,140,MATCH($B$2&amp;"|yI",Aux_puntos!$1:$1,0))),NA())</f>
        <v/>
      </c>
      <c r="AI144">
        <f>IFERROR(IF(INDEX(Aux_puntos!$A$2:$OJ$901,140,MATCH($B$2&amp;"|xN",Aux_puntos!$1:$1,0))="",NA(),INDEX(Aux_puntos!$A$2:$OJ$901,140,MATCH($B$2&amp;"|xN",Aux_puntos!$1:$1,0))),NA())</f>
        <v/>
      </c>
      <c r="AJ144">
        <f>IFERROR(IF(INDEX(Aux_puntos!$A$2:$OJ$901,140,MATCH($B$2&amp;"|yN",Aux_puntos!$1:$1,0))="",NA(),INDEX(Aux_puntos!$A$2:$OJ$901,140,MATCH($B$2&amp;"|yN",Aux_puntos!$1:$1,0))),NA())</f>
        <v/>
      </c>
    </row>
    <row r="145">
      <c r="AC145">
        <f>IFERROR(IF(INDEX(Aux_puntos!$A$2:$OJ$901,141,MATCH($B$2&amp;"|xK",Aux_puntos!$1:$1,0))="",NA(),INDEX(Aux_puntos!$A$2:$OJ$901,141,MATCH($B$2&amp;"|xK",Aux_puntos!$1:$1,0))),NA())</f>
        <v/>
      </c>
      <c r="AD145">
        <f>IFERROR(IF(INDEX(Aux_puntos!$A$2:$OJ$901,141,MATCH($B$2&amp;"|yK",Aux_puntos!$1:$1,0))="",NA(),INDEX(Aux_puntos!$A$2:$OJ$901,141,MATCH($B$2&amp;"|yK",Aux_puntos!$1:$1,0))),NA())</f>
        <v/>
      </c>
      <c r="AE145">
        <f>IFERROR(IF(INDEX(Aux_puntos!$A$2:$OJ$901,141,MATCH($B$2&amp;"|xC",Aux_puntos!$1:$1,0))="",NA(),INDEX(Aux_puntos!$A$2:$OJ$901,141,MATCH($B$2&amp;"|xC",Aux_puntos!$1:$1,0))),NA())</f>
        <v/>
      </c>
      <c r="AF145">
        <f>IFERROR(IF(INDEX(Aux_puntos!$A$2:$OJ$901,141,MATCH($B$2&amp;"|yC",Aux_puntos!$1:$1,0))="",NA(),INDEX(Aux_puntos!$A$2:$OJ$901,141,MATCH($B$2&amp;"|yC",Aux_puntos!$1:$1,0))),NA())</f>
        <v/>
      </c>
      <c r="AG145">
        <f>IFERROR(IF(INDEX(Aux_puntos!$A$2:$OJ$901,141,MATCH($B$2&amp;"|xI",Aux_puntos!$1:$1,0))="",NA(),INDEX(Aux_puntos!$A$2:$OJ$901,141,MATCH($B$2&amp;"|xI",Aux_puntos!$1:$1,0))),NA())</f>
        <v/>
      </c>
      <c r="AH145">
        <f>IFERROR(IF(INDEX(Aux_puntos!$A$2:$OJ$901,141,MATCH($B$2&amp;"|yI",Aux_puntos!$1:$1,0))="",NA(),INDEX(Aux_puntos!$A$2:$OJ$901,141,MATCH($B$2&amp;"|yI",Aux_puntos!$1:$1,0))),NA())</f>
        <v/>
      </c>
      <c r="AI145">
        <f>IFERROR(IF(INDEX(Aux_puntos!$A$2:$OJ$901,141,MATCH($B$2&amp;"|xN",Aux_puntos!$1:$1,0))="",NA(),INDEX(Aux_puntos!$A$2:$OJ$901,141,MATCH($B$2&amp;"|xN",Aux_puntos!$1:$1,0))),NA())</f>
        <v/>
      </c>
      <c r="AJ145">
        <f>IFERROR(IF(INDEX(Aux_puntos!$A$2:$OJ$901,141,MATCH($B$2&amp;"|yN",Aux_puntos!$1:$1,0))="",NA(),INDEX(Aux_puntos!$A$2:$OJ$901,141,MATCH($B$2&amp;"|yN",Aux_puntos!$1:$1,0))),NA())</f>
        <v/>
      </c>
    </row>
    <row r="146">
      <c r="AC146">
        <f>IFERROR(IF(INDEX(Aux_puntos!$A$2:$OJ$901,142,MATCH($B$2&amp;"|xK",Aux_puntos!$1:$1,0))="",NA(),INDEX(Aux_puntos!$A$2:$OJ$901,142,MATCH($B$2&amp;"|xK",Aux_puntos!$1:$1,0))),NA())</f>
        <v/>
      </c>
      <c r="AD146">
        <f>IFERROR(IF(INDEX(Aux_puntos!$A$2:$OJ$901,142,MATCH($B$2&amp;"|yK",Aux_puntos!$1:$1,0))="",NA(),INDEX(Aux_puntos!$A$2:$OJ$901,142,MATCH($B$2&amp;"|yK",Aux_puntos!$1:$1,0))),NA())</f>
        <v/>
      </c>
      <c r="AE146">
        <f>IFERROR(IF(INDEX(Aux_puntos!$A$2:$OJ$901,142,MATCH($B$2&amp;"|xC",Aux_puntos!$1:$1,0))="",NA(),INDEX(Aux_puntos!$A$2:$OJ$901,142,MATCH($B$2&amp;"|xC",Aux_puntos!$1:$1,0))),NA())</f>
        <v/>
      </c>
      <c r="AF146">
        <f>IFERROR(IF(INDEX(Aux_puntos!$A$2:$OJ$901,142,MATCH($B$2&amp;"|yC",Aux_puntos!$1:$1,0))="",NA(),INDEX(Aux_puntos!$A$2:$OJ$901,142,MATCH($B$2&amp;"|yC",Aux_puntos!$1:$1,0))),NA())</f>
        <v/>
      </c>
      <c r="AG146">
        <f>IFERROR(IF(INDEX(Aux_puntos!$A$2:$OJ$901,142,MATCH($B$2&amp;"|xI",Aux_puntos!$1:$1,0))="",NA(),INDEX(Aux_puntos!$A$2:$OJ$901,142,MATCH($B$2&amp;"|xI",Aux_puntos!$1:$1,0))),NA())</f>
        <v/>
      </c>
      <c r="AH146">
        <f>IFERROR(IF(INDEX(Aux_puntos!$A$2:$OJ$901,142,MATCH($B$2&amp;"|yI",Aux_puntos!$1:$1,0))="",NA(),INDEX(Aux_puntos!$A$2:$OJ$901,142,MATCH($B$2&amp;"|yI",Aux_puntos!$1:$1,0))),NA())</f>
        <v/>
      </c>
      <c r="AI146">
        <f>IFERROR(IF(INDEX(Aux_puntos!$A$2:$OJ$901,142,MATCH($B$2&amp;"|xN",Aux_puntos!$1:$1,0))="",NA(),INDEX(Aux_puntos!$A$2:$OJ$901,142,MATCH($B$2&amp;"|xN",Aux_puntos!$1:$1,0))),NA())</f>
        <v/>
      </c>
      <c r="AJ146">
        <f>IFERROR(IF(INDEX(Aux_puntos!$A$2:$OJ$901,142,MATCH($B$2&amp;"|yN",Aux_puntos!$1:$1,0))="",NA(),INDEX(Aux_puntos!$A$2:$OJ$901,142,MATCH($B$2&amp;"|yN",Aux_puntos!$1:$1,0))),NA())</f>
        <v/>
      </c>
    </row>
    <row r="147">
      <c r="AC147">
        <f>IFERROR(IF(INDEX(Aux_puntos!$A$2:$OJ$901,143,MATCH($B$2&amp;"|xK",Aux_puntos!$1:$1,0))="",NA(),INDEX(Aux_puntos!$A$2:$OJ$901,143,MATCH($B$2&amp;"|xK",Aux_puntos!$1:$1,0))),NA())</f>
        <v/>
      </c>
      <c r="AD147">
        <f>IFERROR(IF(INDEX(Aux_puntos!$A$2:$OJ$901,143,MATCH($B$2&amp;"|yK",Aux_puntos!$1:$1,0))="",NA(),INDEX(Aux_puntos!$A$2:$OJ$901,143,MATCH($B$2&amp;"|yK",Aux_puntos!$1:$1,0))),NA())</f>
        <v/>
      </c>
      <c r="AE147">
        <f>IFERROR(IF(INDEX(Aux_puntos!$A$2:$OJ$901,143,MATCH($B$2&amp;"|xC",Aux_puntos!$1:$1,0))="",NA(),INDEX(Aux_puntos!$A$2:$OJ$901,143,MATCH($B$2&amp;"|xC",Aux_puntos!$1:$1,0))),NA())</f>
        <v/>
      </c>
      <c r="AF147">
        <f>IFERROR(IF(INDEX(Aux_puntos!$A$2:$OJ$901,143,MATCH($B$2&amp;"|yC",Aux_puntos!$1:$1,0))="",NA(),INDEX(Aux_puntos!$A$2:$OJ$901,143,MATCH($B$2&amp;"|yC",Aux_puntos!$1:$1,0))),NA())</f>
        <v/>
      </c>
      <c r="AG147">
        <f>IFERROR(IF(INDEX(Aux_puntos!$A$2:$OJ$901,143,MATCH($B$2&amp;"|xI",Aux_puntos!$1:$1,0))="",NA(),INDEX(Aux_puntos!$A$2:$OJ$901,143,MATCH($B$2&amp;"|xI",Aux_puntos!$1:$1,0))),NA())</f>
        <v/>
      </c>
      <c r="AH147">
        <f>IFERROR(IF(INDEX(Aux_puntos!$A$2:$OJ$901,143,MATCH($B$2&amp;"|yI",Aux_puntos!$1:$1,0))="",NA(),INDEX(Aux_puntos!$A$2:$OJ$901,143,MATCH($B$2&amp;"|yI",Aux_puntos!$1:$1,0))),NA())</f>
        <v/>
      </c>
      <c r="AI147">
        <f>IFERROR(IF(INDEX(Aux_puntos!$A$2:$OJ$901,143,MATCH($B$2&amp;"|xN",Aux_puntos!$1:$1,0))="",NA(),INDEX(Aux_puntos!$A$2:$OJ$901,143,MATCH($B$2&amp;"|xN",Aux_puntos!$1:$1,0))),NA())</f>
        <v/>
      </c>
      <c r="AJ147">
        <f>IFERROR(IF(INDEX(Aux_puntos!$A$2:$OJ$901,143,MATCH($B$2&amp;"|yN",Aux_puntos!$1:$1,0))="",NA(),INDEX(Aux_puntos!$A$2:$OJ$901,143,MATCH($B$2&amp;"|yN",Aux_puntos!$1:$1,0))),NA())</f>
        <v/>
      </c>
    </row>
    <row r="148">
      <c r="AC148">
        <f>IFERROR(IF(INDEX(Aux_puntos!$A$2:$OJ$901,144,MATCH($B$2&amp;"|xK",Aux_puntos!$1:$1,0))="",NA(),INDEX(Aux_puntos!$A$2:$OJ$901,144,MATCH($B$2&amp;"|xK",Aux_puntos!$1:$1,0))),NA())</f>
        <v/>
      </c>
      <c r="AD148">
        <f>IFERROR(IF(INDEX(Aux_puntos!$A$2:$OJ$901,144,MATCH($B$2&amp;"|yK",Aux_puntos!$1:$1,0))="",NA(),INDEX(Aux_puntos!$A$2:$OJ$901,144,MATCH($B$2&amp;"|yK",Aux_puntos!$1:$1,0))),NA())</f>
        <v/>
      </c>
      <c r="AE148">
        <f>IFERROR(IF(INDEX(Aux_puntos!$A$2:$OJ$901,144,MATCH($B$2&amp;"|xC",Aux_puntos!$1:$1,0))="",NA(),INDEX(Aux_puntos!$A$2:$OJ$901,144,MATCH($B$2&amp;"|xC",Aux_puntos!$1:$1,0))),NA())</f>
        <v/>
      </c>
      <c r="AF148">
        <f>IFERROR(IF(INDEX(Aux_puntos!$A$2:$OJ$901,144,MATCH($B$2&amp;"|yC",Aux_puntos!$1:$1,0))="",NA(),INDEX(Aux_puntos!$A$2:$OJ$901,144,MATCH($B$2&amp;"|yC",Aux_puntos!$1:$1,0))),NA())</f>
        <v/>
      </c>
      <c r="AG148">
        <f>IFERROR(IF(INDEX(Aux_puntos!$A$2:$OJ$901,144,MATCH($B$2&amp;"|xI",Aux_puntos!$1:$1,0))="",NA(),INDEX(Aux_puntos!$A$2:$OJ$901,144,MATCH($B$2&amp;"|xI",Aux_puntos!$1:$1,0))),NA())</f>
        <v/>
      </c>
      <c r="AH148">
        <f>IFERROR(IF(INDEX(Aux_puntos!$A$2:$OJ$901,144,MATCH($B$2&amp;"|yI",Aux_puntos!$1:$1,0))="",NA(),INDEX(Aux_puntos!$A$2:$OJ$901,144,MATCH($B$2&amp;"|yI",Aux_puntos!$1:$1,0))),NA())</f>
        <v/>
      </c>
      <c r="AI148">
        <f>IFERROR(IF(INDEX(Aux_puntos!$A$2:$OJ$901,144,MATCH($B$2&amp;"|xN",Aux_puntos!$1:$1,0))="",NA(),INDEX(Aux_puntos!$A$2:$OJ$901,144,MATCH($B$2&amp;"|xN",Aux_puntos!$1:$1,0))),NA())</f>
        <v/>
      </c>
      <c r="AJ148">
        <f>IFERROR(IF(INDEX(Aux_puntos!$A$2:$OJ$901,144,MATCH($B$2&amp;"|yN",Aux_puntos!$1:$1,0))="",NA(),INDEX(Aux_puntos!$A$2:$OJ$901,144,MATCH($B$2&amp;"|yN",Aux_puntos!$1:$1,0))),NA())</f>
        <v/>
      </c>
    </row>
    <row r="149">
      <c r="AC149">
        <f>IFERROR(IF(INDEX(Aux_puntos!$A$2:$OJ$901,145,MATCH($B$2&amp;"|xK",Aux_puntos!$1:$1,0))="",NA(),INDEX(Aux_puntos!$A$2:$OJ$901,145,MATCH($B$2&amp;"|xK",Aux_puntos!$1:$1,0))),NA())</f>
        <v/>
      </c>
      <c r="AD149">
        <f>IFERROR(IF(INDEX(Aux_puntos!$A$2:$OJ$901,145,MATCH($B$2&amp;"|yK",Aux_puntos!$1:$1,0))="",NA(),INDEX(Aux_puntos!$A$2:$OJ$901,145,MATCH($B$2&amp;"|yK",Aux_puntos!$1:$1,0))),NA())</f>
        <v/>
      </c>
      <c r="AE149">
        <f>IFERROR(IF(INDEX(Aux_puntos!$A$2:$OJ$901,145,MATCH($B$2&amp;"|xC",Aux_puntos!$1:$1,0))="",NA(),INDEX(Aux_puntos!$A$2:$OJ$901,145,MATCH($B$2&amp;"|xC",Aux_puntos!$1:$1,0))),NA())</f>
        <v/>
      </c>
      <c r="AF149">
        <f>IFERROR(IF(INDEX(Aux_puntos!$A$2:$OJ$901,145,MATCH($B$2&amp;"|yC",Aux_puntos!$1:$1,0))="",NA(),INDEX(Aux_puntos!$A$2:$OJ$901,145,MATCH($B$2&amp;"|yC",Aux_puntos!$1:$1,0))),NA())</f>
        <v/>
      </c>
      <c r="AG149">
        <f>IFERROR(IF(INDEX(Aux_puntos!$A$2:$OJ$901,145,MATCH($B$2&amp;"|xI",Aux_puntos!$1:$1,0))="",NA(),INDEX(Aux_puntos!$A$2:$OJ$901,145,MATCH($B$2&amp;"|xI",Aux_puntos!$1:$1,0))),NA())</f>
        <v/>
      </c>
      <c r="AH149">
        <f>IFERROR(IF(INDEX(Aux_puntos!$A$2:$OJ$901,145,MATCH($B$2&amp;"|yI",Aux_puntos!$1:$1,0))="",NA(),INDEX(Aux_puntos!$A$2:$OJ$901,145,MATCH($B$2&amp;"|yI",Aux_puntos!$1:$1,0))),NA())</f>
        <v/>
      </c>
      <c r="AI149">
        <f>IFERROR(IF(INDEX(Aux_puntos!$A$2:$OJ$901,145,MATCH($B$2&amp;"|xN",Aux_puntos!$1:$1,0))="",NA(),INDEX(Aux_puntos!$A$2:$OJ$901,145,MATCH($B$2&amp;"|xN",Aux_puntos!$1:$1,0))),NA())</f>
        <v/>
      </c>
      <c r="AJ149">
        <f>IFERROR(IF(INDEX(Aux_puntos!$A$2:$OJ$901,145,MATCH($B$2&amp;"|yN",Aux_puntos!$1:$1,0))="",NA(),INDEX(Aux_puntos!$A$2:$OJ$901,145,MATCH($B$2&amp;"|yN",Aux_puntos!$1:$1,0))),NA())</f>
        <v/>
      </c>
    </row>
    <row r="150">
      <c r="AC150">
        <f>IFERROR(IF(INDEX(Aux_puntos!$A$2:$OJ$901,146,MATCH($B$2&amp;"|xK",Aux_puntos!$1:$1,0))="",NA(),INDEX(Aux_puntos!$A$2:$OJ$901,146,MATCH($B$2&amp;"|xK",Aux_puntos!$1:$1,0))),NA())</f>
        <v/>
      </c>
      <c r="AD150">
        <f>IFERROR(IF(INDEX(Aux_puntos!$A$2:$OJ$901,146,MATCH($B$2&amp;"|yK",Aux_puntos!$1:$1,0))="",NA(),INDEX(Aux_puntos!$A$2:$OJ$901,146,MATCH($B$2&amp;"|yK",Aux_puntos!$1:$1,0))),NA())</f>
        <v/>
      </c>
      <c r="AE150">
        <f>IFERROR(IF(INDEX(Aux_puntos!$A$2:$OJ$901,146,MATCH($B$2&amp;"|xC",Aux_puntos!$1:$1,0))="",NA(),INDEX(Aux_puntos!$A$2:$OJ$901,146,MATCH($B$2&amp;"|xC",Aux_puntos!$1:$1,0))),NA())</f>
        <v/>
      </c>
      <c r="AF150">
        <f>IFERROR(IF(INDEX(Aux_puntos!$A$2:$OJ$901,146,MATCH($B$2&amp;"|yC",Aux_puntos!$1:$1,0))="",NA(),INDEX(Aux_puntos!$A$2:$OJ$901,146,MATCH($B$2&amp;"|yC",Aux_puntos!$1:$1,0))),NA())</f>
        <v/>
      </c>
      <c r="AG150">
        <f>IFERROR(IF(INDEX(Aux_puntos!$A$2:$OJ$901,146,MATCH($B$2&amp;"|xI",Aux_puntos!$1:$1,0))="",NA(),INDEX(Aux_puntos!$A$2:$OJ$901,146,MATCH($B$2&amp;"|xI",Aux_puntos!$1:$1,0))),NA())</f>
        <v/>
      </c>
      <c r="AH150">
        <f>IFERROR(IF(INDEX(Aux_puntos!$A$2:$OJ$901,146,MATCH($B$2&amp;"|yI",Aux_puntos!$1:$1,0))="",NA(),INDEX(Aux_puntos!$A$2:$OJ$901,146,MATCH($B$2&amp;"|yI",Aux_puntos!$1:$1,0))),NA())</f>
        <v/>
      </c>
      <c r="AI150">
        <f>IFERROR(IF(INDEX(Aux_puntos!$A$2:$OJ$901,146,MATCH($B$2&amp;"|xN",Aux_puntos!$1:$1,0))="",NA(),INDEX(Aux_puntos!$A$2:$OJ$901,146,MATCH($B$2&amp;"|xN",Aux_puntos!$1:$1,0))),NA())</f>
        <v/>
      </c>
      <c r="AJ150">
        <f>IFERROR(IF(INDEX(Aux_puntos!$A$2:$OJ$901,146,MATCH($B$2&amp;"|yN",Aux_puntos!$1:$1,0))="",NA(),INDEX(Aux_puntos!$A$2:$OJ$901,146,MATCH($B$2&amp;"|yN",Aux_puntos!$1:$1,0))),NA())</f>
        <v/>
      </c>
    </row>
    <row r="151">
      <c r="AC151">
        <f>IFERROR(IF(INDEX(Aux_puntos!$A$2:$OJ$901,147,MATCH($B$2&amp;"|xK",Aux_puntos!$1:$1,0))="",NA(),INDEX(Aux_puntos!$A$2:$OJ$901,147,MATCH($B$2&amp;"|xK",Aux_puntos!$1:$1,0))),NA())</f>
        <v/>
      </c>
      <c r="AD151">
        <f>IFERROR(IF(INDEX(Aux_puntos!$A$2:$OJ$901,147,MATCH($B$2&amp;"|yK",Aux_puntos!$1:$1,0))="",NA(),INDEX(Aux_puntos!$A$2:$OJ$901,147,MATCH($B$2&amp;"|yK",Aux_puntos!$1:$1,0))),NA())</f>
        <v/>
      </c>
      <c r="AE151">
        <f>IFERROR(IF(INDEX(Aux_puntos!$A$2:$OJ$901,147,MATCH($B$2&amp;"|xC",Aux_puntos!$1:$1,0))="",NA(),INDEX(Aux_puntos!$A$2:$OJ$901,147,MATCH($B$2&amp;"|xC",Aux_puntos!$1:$1,0))),NA())</f>
        <v/>
      </c>
      <c r="AF151">
        <f>IFERROR(IF(INDEX(Aux_puntos!$A$2:$OJ$901,147,MATCH($B$2&amp;"|yC",Aux_puntos!$1:$1,0))="",NA(),INDEX(Aux_puntos!$A$2:$OJ$901,147,MATCH($B$2&amp;"|yC",Aux_puntos!$1:$1,0))),NA())</f>
        <v/>
      </c>
      <c r="AG151">
        <f>IFERROR(IF(INDEX(Aux_puntos!$A$2:$OJ$901,147,MATCH($B$2&amp;"|xI",Aux_puntos!$1:$1,0))="",NA(),INDEX(Aux_puntos!$A$2:$OJ$901,147,MATCH($B$2&amp;"|xI",Aux_puntos!$1:$1,0))),NA())</f>
        <v/>
      </c>
      <c r="AH151">
        <f>IFERROR(IF(INDEX(Aux_puntos!$A$2:$OJ$901,147,MATCH($B$2&amp;"|yI",Aux_puntos!$1:$1,0))="",NA(),INDEX(Aux_puntos!$A$2:$OJ$901,147,MATCH($B$2&amp;"|yI",Aux_puntos!$1:$1,0))),NA())</f>
        <v/>
      </c>
      <c r="AI151">
        <f>IFERROR(IF(INDEX(Aux_puntos!$A$2:$OJ$901,147,MATCH($B$2&amp;"|xN",Aux_puntos!$1:$1,0))="",NA(),INDEX(Aux_puntos!$A$2:$OJ$901,147,MATCH($B$2&amp;"|xN",Aux_puntos!$1:$1,0))),NA())</f>
        <v/>
      </c>
      <c r="AJ151">
        <f>IFERROR(IF(INDEX(Aux_puntos!$A$2:$OJ$901,147,MATCH($B$2&amp;"|yN",Aux_puntos!$1:$1,0))="",NA(),INDEX(Aux_puntos!$A$2:$OJ$901,147,MATCH($B$2&amp;"|yN",Aux_puntos!$1:$1,0))),NA())</f>
        <v/>
      </c>
    </row>
    <row r="152">
      <c r="AC152">
        <f>IFERROR(IF(INDEX(Aux_puntos!$A$2:$OJ$901,148,MATCH($B$2&amp;"|xK",Aux_puntos!$1:$1,0))="",NA(),INDEX(Aux_puntos!$A$2:$OJ$901,148,MATCH($B$2&amp;"|xK",Aux_puntos!$1:$1,0))),NA())</f>
        <v/>
      </c>
      <c r="AD152">
        <f>IFERROR(IF(INDEX(Aux_puntos!$A$2:$OJ$901,148,MATCH($B$2&amp;"|yK",Aux_puntos!$1:$1,0))="",NA(),INDEX(Aux_puntos!$A$2:$OJ$901,148,MATCH($B$2&amp;"|yK",Aux_puntos!$1:$1,0))),NA())</f>
        <v/>
      </c>
      <c r="AE152">
        <f>IFERROR(IF(INDEX(Aux_puntos!$A$2:$OJ$901,148,MATCH($B$2&amp;"|xC",Aux_puntos!$1:$1,0))="",NA(),INDEX(Aux_puntos!$A$2:$OJ$901,148,MATCH($B$2&amp;"|xC",Aux_puntos!$1:$1,0))),NA())</f>
        <v/>
      </c>
      <c r="AF152">
        <f>IFERROR(IF(INDEX(Aux_puntos!$A$2:$OJ$901,148,MATCH($B$2&amp;"|yC",Aux_puntos!$1:$1,0))="",NA(),INDEX(Aux_puntos!$A$2:$OJ$901,148,MATCH($B$2&amp;"|yC",Aux_puntos!$1:$1,0))),NA())</f>
        <v/>
      </c>
      <c r="AG152">
        <f>IFERROR(IF(INDEX(Aux_puntos!$A$2:$OJ$901,148,MATCH($B$2&amp;"|xI",Aux_puntos!$1:$1,0))="",NA(),INDEX(Aux_puntos!$A$2:$OJ$901,148,MATCH($B$2&amp;"|xI",Aux_puntos!$1:$1,0))),NA())</f>
        <v/>
      </c>
      <c r="AH152">
        <f>IFERROR(IF(INDEX(Aux_puntos!$A$2:$OJ$901,148,MATCH($B$2&amp;"|yI",Aux_puntos!$1:$1,0))="",NA(),INDEX(Aux_puntos!$A$2:$OJ$901,148,MATCH($B$2&amp;"|yI",Aux_puntos!$1:$1,0))),NA())</f>
        <v/>
      </c>
      <c r="AI152">
        <f>IFERROR(IF(INDEX(Aux_puntos!$A$2:$OJ$901,148,MATCH($B$2&amp;"|xN",Aux_puntos!$1:$1,0))="",NA(),INDEX(Aux_puntos!$A$2:$OJ$901,148,MATCH($B$2&amp;"|xN",Aux_puntos!$1:$1,0))),NA())</f>
        <v/>
      </c>
      <c r="AJ152">
        <f>IFERROR(IF(INDEX(Aux_puntos!$A$2:$OJ$901,148,MATCH($B$2&amp;"|yN",Aux_puntos!$1:$1,0))="",NA(),INDEX(Aux_puntos!$A$2:$OJ$901,148,MATCH($B$2&amp;"|yN",Aux_puntos!$1:$1,0))),NA())</f>
        <v/>
      </c>
    </row>
    <row r="153">
      <c r="AC153">
        <f>IFERROR(IF(INDEX(Aux_puntos!$A$2:$OJ$901,149,MATCH($B$2&amp;"|xK",Aux_puntos!$1:$1,0))="",NA(),INDEX(Aux_puntos!$A$2:$OJ$901,149,MATCH($B$2&amp;"|xK",Aux_puntos!$1:$1,0))),NA())</f>
        <v/>
      </c>
      <c r="AD153">
        <f>IFERROR(IF(INDEX(Aux_puntos!$A$2:$OJ$901,149,MATCH($B$2&amp;"|yK",Aux_puntos!$1:$1,0))="",NA(),INDEX(Aux_puntos!$A$2:$OJ$901,149,MATCH($B$2&amp;"|yK",Aux_puntos!$1:$1,0))),NA())</f>
        <v/>
      </c>
      <c r="AE153">
        <f>IFERROR(IF(INDEX(Aux_puntos!$A$2:$OJ$901,149,MATCH($B$2&amp;"|xC",Aux_puntos!$1:$1,0))="",NA(),INDEX(Aux_puntos!$A$2:$OJ$901,149,MATCH($B$2&amp;"|xC",Aux_puntos!$1:$1,0))),NA())</f>
        <v/>
      </c>
      <c r="AF153">
        <f>IFERROR(IF(INDEX(Aux_puntos!$A$2:$OJ$901,149,MATCH($B$2&amp;"|yC",Aux_puntos!$1:$1,0))="",NA(),INDEX(Aux_puntos!$A$2:$OJ$901,149,MATCH($B$2&amp;"|yC",Aux_puntos!$1:$1,0))),NA())</f>
        <v/>
      </c>
      <c r="AG153">
        <f>IFERROR(IF(INDEX(Aux_puntos!$A$2:$OJ$901,149,MATCH($B$2&amp;"|xI",Aux_puntos!$1:$1,0))="",NA(),INDEX(Aux_puntos!$A$2:$OJ$901,149,MATCH($B$2&amp;"|xI",Aux_puntos!$1:$1,0))),NA())</f>
        <v/>
      </c>
      <c r="AH153">
        <f>IFERROR(IF(INDEX(Aux_puntos!$A$2:$OJ$901,149,MATCH($B$2&amp;"|yI",Aux_puntos!$1:$1,0))="",NA(),INDEX(Aux_puntos!$A$2:$OJ$901,149,MATCH($B$2&amp;"|yI",Aux_puntos!$1:$1,0))),NA())</f>
        <v/>
      </c>
      <c r="AI153">
        <f>IFERROR(IF(INDEX(Aux_puntos!$A$2:$OJ$901,149,MATCH($B$2&amp;"|xN",Aux_puntos!$1:$1,0))="",NA(),INDEX(Aux_puntos!$A$2:$OJ$901,149,MATCH($B$2&amp;"|xN",Aux_puntos!$1:$1,0))),NA())</f>
        <v/>
      </c>
      <c r="AJ153">
        <f>IFERROR(IF(INDEX(Aux_puntos!$A$2:$OJ$901,149,MATCH($B$2&amp;"|yN",Aux_puntos!$1:$1,0))="",NA(),INDEX(Aux_puntos!$A$2:$OJ$901,149,MATCH($B$2&amp;"|yN",Aux_puntos!$1:$1,0))),NA())</f>
        <v/>
      </c>
    </row>
    <row r="154">
      <c r="AC154">
        <f>IFERROR(IF(INDEX(Aux_puntos!$A$2:$OJ$901,150,MATCH($B$2&amp;"|xK",Aux_puntos!$1:$1,0))="",NA(),INDEX(Aux_puntos!$A$2:$OJ$901,150,MATCH($B$2&amp;"|xK",Aux_puntos!$1:$1,0))),NA())</f>
        <v/>
      </c>
      <c r="AD154">
        <f>IFERROR(IF(INDEX(Aux_puntos!$A$2:$OJ$901,150,MATCH($B$2&amp;"|yK",Aux_puntos!$1:$1,0))="",NA(),INDEX(Aux_puntos!$A$2:$OJ$901,150,MATCH($B$2&amp;"|yK",Aux_puntos!$1:$1,0))),NA())</f>
        <v/>
      </c>
      <c r="AE154">
        <f>IFERROR(IF(INDEX(Aux_puntos!$A$2:$OJ$901,150,MATCH($B$2&amp;"|xC",Aux_puntos!$1:$1,0))="",NA(),INDEX(Aux_puntos!$A$2:$OJ$901,150,MATCH($B$2&amp;"|xC",Aux_puntos!$1:$1,0))),NA())</f>
        <v/>
      </c>
      <c r="AF154">
        <f>IFERROR(IF(INDEX(Aux_puntos!$A$2:$OJ$901,150,MATCH($B$2&amp;"|yC",Aux_puntos!$1:$1,0))="",NA(),INDEX(Aux_puntos!$A$2:$OJ$901,150,MATCH($B$2&amp;"|yC",Aux_puntos!$1:$1,0))),NA())</f>
        <v/>
      </c>
      <c r="AG154">
        <f>IFERROR(IF(INDEX(Aux_puntos!$A$2:$OJ$901,150,MATCH($B$2&amp;"|xI",Aux_puntos!$1:$1,0))="",NA(),INDEX(Aux_puntos!$A$2:$OJ$901,150,MATCH($B$2&amp;"|xI",Aux_puntos!$1:$1,0))),NA())</f>
        <v/>
      </c>
      <c r="AH154">
        <f>IFERROR(IF(INDEX(Aux_puntos!$A$2:$OJ$901,150,MATCH($B$2&amp;"|yI",Aux_puntos!$1:$1,0))="",NA(),INDEX(Aux_puntos!$A$2:$OJ$901,150,MATCH($B$2&amp;"|yI",Aux_puntos!$1:$1,0))),NA())</f>
        <v/>
      </c>
      <c r="AI154">
        <f>IFERROR(IF(INDEX(Aux_puntos!$A$2:$OJ$901,150,MATCH($B$2&amp;"|xN",Aux_puntos!$1:$1,0))="",NA(),INDEX(Aux_puntos!$A$2:$OJ$901,150,MATCH($B$2&amp;"|xN",Aux_puntos!$1:$1,0))),NA())</f>
        <v/>
      </c>
      <c r="AJ154">
        <f>IFERROR(IF(INDEX(Aux_puntos!$A$2:$OJ$901,150,MATCH($B$2&amp;"|yN",Aux_puntos!$1:$1,0))="",NA(),INDEX(Aux_puntos!$A$2:$OJ$901,150,MATCH($B$2&amp;"|yN",Aux_puntos!$1:$1,0))),NA())</f>
        <v/>
      </c>
    </row>
    <row r="155">
      <c r="AC155">
        <f>IFERROR(IF(INDEX(Aux_puntos!$A$2:$OJ$901,151,MATCH($B$2&amp;"|xK",Aux_puntos!$1:$1,0))="",NA(),INDEX(Aux_puntos!$A$2:$OJ$901,151,MATCH($B$2&amp;"|xK",Aux_puntos!$1:$1,0))),NA())</f>
        <v/>
      </c>
      <c r="AD155">
        <f>IFERROR(IF(INDEX(Aux_puntos!$A$2:$OJ$901,151,MATCH($B$2&amp;"|yK",Aux_puntos!$1:$1,0))="",NA(),INDEX(Aux_puntos!$A$2:$OJ$901,151,MATCH($B$2&amp;"|yK",Aux_puntos!$1:$1,0))),NA())</f>
        <v/>
      </c>
      <c r="AE155">
        <f>IFERROR(IF(INDEX(Aux_puntos!$A$2:$OJ$901,151,MATCH($B$2&amp;"|xC",Aux_puntos!$1:$1,0))="",NA(),INDEX(Aux_puntos!$A$2:$OJ$901,151,MATCH($B$2&amp;"|xC",Aux_puntos!$1:$1,0))),NA())</f>
        <v/>
      </c>
      <c r="AF155">
        <f>IFERROR(IF(INDEX(Aux_puntos!$A$2:$OJ$901,151,MATCH($B$2&amp;"|yC",Aux_puntos!$1:$1,0))="",NA(),INDEX(Aux_puntos!$A$2:$OJ$901,151,MATCH($B$2&amp;"|yC",Aux_puntos!$1:$1,0))),NA())</f>
        <v/>
      </c>
      <c r="AG155">
        <f>IFERROR(IF(INDEX(Aux_puntos!$A$2:$OJ$901,151,MATCH($B$2&amp;"|xI",Aux_puntos!$1:$1,0))="",NA(),INDEX(Aux_puntos!$A$2:$OJ$901,151,MATCH($B$2&amp;"|xI",Aux_puntos!$1:$1,0))),NA())</f>
        <v/>
      </c>
      <c r="AH155">
        <f>IFERROR(IF(INDEX(Aux_puntos!$A$2:$OJ$901,151,MATCH($B$2&amp;"|yI",Aux_puntos!$1:$1,0))="",NA(),INDEX(Aux_puntos!$A$2:$OJ$901,151,MATCH($B$2&amp;"|yI",Aux_puntos!$1:$1,0))),NA())</f>
        <v/>
      </c>
      <c r="AI155">
        <f>IFERROR(IF(INDEX(Aux_puntos!$A$2:$OJ$901,151,MATCH($B$2&amp;"|xN",Aux_puntos!$1:$1,0))="",NA(),INDEX(Aux_puntos!$A$2:$OJ$901,151,MATCH($B$2&amp;"|xN",Aux_puntos!$1:$1,0))),NA())</f>
        <v/>
      </c>
      <c r="AJ155">
        <f>IFERROR(IF(INDEX(Aux_puntos!$A$2:$OJ$901,151,MATCH($B$2&amp;"|yN",Aux_puntos!$1:$1,0))="",NA(),INDEX(Aux_puntos!$A$2:$OJ$901,151,MATCH($B$2&amp;"|yN",Aux_puntos!$1:$1,0))),NA())</f>
        <v/>
      </c>
    </row>
    <row r="156">
      <c r="AC156">
        <f>IFERROR(IF(INDEX(Aux_puntos!$A$2:$OJ$901,152,MATCH($B$2&amp;"|xK",Aux_puntos!$1:$1,0))="",NA(),INDEX(Aux_puntos!$A$2:$OJ$901,152,MATCH($B$2&amp;"|xK",Aux_puntos!$1:$1,0))),NA())</f>
        <v/>
      </c>
      <c r="AD156">
        <f>IFERROR(IF(INDEX(Aux_puntos!$A$2:$OJ$901,152,MATCH($B$2&amp;"|yK",Aux_puntos!$1:$1,0))="",NA(),INDEX(Aux_puntos!$A$2:$OJ$901,152,MATCH($B$2&amp;"|yK",Aux_puntos!$1:$1,0))),NA())</f>
        <v/>
      </c>
      <c r="AE156">
        <f>IFERROR(IF(INDEX(Aux_puntos!$A$2:$OJ$901,152,MATCH($B$2&amp;"|xC",Aux_puntos!$1:$1,0))="",NA(),INDEX(Aux_puntos!$A$2:$OJ$901,152,MATCH($B$2&amp;"|xC",Aux_puntos!$1:$1,0))),NA())</f>
        <v/>
      </c>
      <c r="AF156">
        <f>IFERROR(IF(INDEX(Aux_puntos!$A$2:$OJ$901,152,MATCH($B$2&amp;"|yC",Aux_puntos!$1:$1,0))="",NA(),INDEX(Aux_puntos!$A$2:$OJ$901,152,MATCH($B$2&amp;"|yC",Aux_puntos!$1:$1,0))),NA())</f>
        <v/>
      </c>
      <c r="AG156">
        <f>IFERROR(IF(INDEX(Aux_puntos!$A$2:$OJ$901,152,MATCH($B$2&amp;"|xI",Aux_puntos!$1:$1,0))="",NA(),INDEX(Aux_puntos!$A$2:$OJ$901,152,MATCH($B$2&amp;"|xI",Aux_puntos!$1:$1,0))),NA())</f>
        <v/>
      </c>
      <c r="AH156">
        <f>IFERROR(IF(INDEX(Aux_puntos!$A$2:$OJ$901,152,MATCH($B$2&amp;"|yI",Aux_puntos!$1:$1,0))="",NA(),INDEX(Aux_puntos!$A$2:$OJ$901,152,MATCH($B$2&amp;"|yI",Aux_puntos!$1:$1,0))),NA())</f>
        <v/>
      </c>
      <c r="AI156">
        <f>IFERROR(IF(INDEX(Aux_puntos!$A$2:$OJ$901,152,MATCH($B$2&amp;"|xN",Aux_puntos!$1:$1,0))="",NA(),INDEX(Aux_puntos!$A$2:$OJ$901,152,MATCH($B$2&amp;"|xN",Aux_puntos!$1:$1,0))),NA())</f>
        <v/>
      </c>
      <c r="AJ156">
        <f>IFERROR(IF(INDEX(Aux_puntos!$A$2:$OJ$901,152,MATCH($B$2&amp;"|yN",Aux_puntos!$1:$1,0))="",NA(),INDEX(Aux_puntos!$A$2:$OJ$901,152,MATCH($B$2&amp;"|yN",Aux_puntos!$1:$1,0))),NA())</f>
        <v/>
      </c>
    </row>
    <row r="157">
      <c r="AC157">
        <f>IFERROR(IF(INDEX(Aux_puntos!$A$2:$OJ$901,153,MATCH($B$2&amp;"|xK",Aux_puntos!$1:$1,0))="",NA(),INDEX(Aux_puntos!$A$2:$OJ$901,153,MATCH($B$2&amp;"|xK",Aux_puntos!$1:$1,0))),NA())</f>
        <v/>
      </c>
      <c r="AD157">
        <f>IFERROR(IF(INDEX(Aux_puntos!$A$2:$OJ$901,153,MATCH($B$2&amp;"|yK",Aux_puntos!$1:$1,0))="",NA(),INDEX(Aux_puntos!$A$2:$OJ$901,153,MATCH($B$2&amp;"|yK",Aux_puntos!$1:$1,0))),NA())</f>
        <v/>
      </c>
      <c r="AE157">
        <f>IFERROR(IF(INDEX(Aux_puntos!$A$2:$OJ$901,153,MATCH($B$2&amp;"|xC",Aux_puntos!$1:$1,0))="",NA(),INDEX(Aux_puntos!$A$2:$OJ$901,153,MATCH($B$2&amp;"|xC",Aux_puntos!$1:$1,0))),NA())</f>
        <v/>
      </c>
      <c r="AF157">
        <f>IFERROR(IF(INDEX(Aux_puntos!$A$2:$OJ$901,153,MATCH($B$2&amp;"|yC",Aux_puntos!$1:$1,0))="",NA(),INDEX(Aux_puntos!$A$2:$OJ$901,153,MATCH($B$2&amp;"|yC",Aux_puntos!$1:$1,0))),NA())</f>
        <v/>
      </c>
      <c r="AG157">
        <f>IFERROR(IF(INDEX(Aux_puntos!$A$2:$OJ$901,153,MATCH($B$2&amp;"|xI",Aux_puntos!$1:$1,0))="",NA(),INDEX(Aux_puntos!$A$2:$OJ$901,153,MATCH($B$2&amp;"|xI",Aux_puntos!$1:$1,0))),NA())</f>
        <v/>
      </c>
      <c r="AH157">
        <f>IFERROR(IF(INDEX(Aux_puntos!$A$2:$OJ$901,153,MATCH($B$2&amp;"|yI",Aux_puntos!$1:$1,0))="",NA(),INDEX(Aux_puntos!$A$2:$OJ$901,153,MATCH($B$2&amp;"|yI",Aux_puntos!$1:$1,0))),NA())</f>
        <v/>
      </c>
      <c r="AI157">
        <f>IFERROR(IF(INDEX(Aux_puntos!$A$2:$OJ$901,153,MATCH($B$2&amp;"|xN",Aux_puntos!$1:$1,0))="",NA(),INDEX(Aux_puntos!$A$2:$OJ$901,153,MATCH($B$2&amp;"|xN",Aux_puntos!$1:$1,0))),NA())</f>
        <v/>
      </c>
      <c r="AJ157">
        <f>IFERROR(IF(INDEX(Aux_puntos!$A$2:$OJ$901,153,MATCH($B$2&amp;"|yN",Aux_puntos!$1:$1,0))="",NA(),INDEX(Aux_puntos!$A$2:$OJ$901,153,MATCH($B$2&amp;"|yN",Aux_puntos!$1:$1,0))),NA())</f>
        <v/>
      </c>
    </row>
    <row r="158">
      <c r="AC158">
        <f>IFERROR(IF(INDEX(Aux_puntos!$A$2:$OJ$901,154,MATCH($B$2&amp;"|xK",Aux_puntos!$1:$1,0))="",NA(),INDEX(Aux_puntos!$A$2:$OJ$901,154,MATCH($B$2&amp;"|xK",Aux_puntos!$1:$1,0))),NA())</f>
        <v/>
      </c>
      <c r="AD158">
        <f>IFERROR(IF(INDEX(Aux_puntos!$A$2:$OJ$901,154,MATCH($B$2&amp;"|yK",Aux_puntos!$1:$1,0))="",NA(),INDEX(Aux_puntos!$A$2:$OJ$901,154,MATCH($B$2&amp;"|yK",Aux_puntos!$1:$1,0))),NA())</f>
        <v/>
      </c>
      <c r="AE158">
        <f>IFERROR(IF(INDEX(Aux_puntos!$A$2:$OJ$901,154,MATCH($B$2&amp;"|xC",Aux_puntos!$1:$1,0))="",NA(),INDEX(Aux_puntos!$A$2:$OJ$901,154,MATCH($B$2&amp;"|xC",Aux_puntos!$1:$1,0))),NA())</f>
        <v/>
      </c>
      <c r="AF158">
        <f>IFERROR(IF(INDEX(Aux_puntos!$A$2:$OJ$901,154,MATCH($B$2&amp;"|yC",Aux_puntos!$1:$1,0))="",NA(),INDEX(Aux_puntos!$A$2:$OJ$901,154,MATCH($B$2&amp;"|yC",Aux_puntos!$1:$1,0))),NA())</f>
        <v/>
      </c>
      <c r="AG158">
        <f>IFERROR(IF(INDEX(Aux_puntos!$A$2:$OJ$901,154,MATCH($B$2&amp;"|xI",Aux_puntos!$1:$1,0))="",NA(),INDEX(Aux_puntos!$A$2:$OJ$901,154,MATCH($B$2&amp;"|xI",Aux_puntos!$1:$1,0))),NA())</f>
        <v/>
      </c>
      <c r="AH158">
        <f>IFERROR(IF(INDEX(Aux_puntos!$A$2:$OJ$901,154,MATCH($B$2&amp;"|yI",Aux_puntos!$1:$1,0))="",NA(),INDEX(Aux_puntos!$A$2:$OJ$901,154,MATCH($B$2&amp;"|yI",Aux_puntos!$1:$1,0))),NA())</f>
        <v/>
      </c>
      <c r="AI158">
        <f>IFERROR(IF(INDEX(Aux_puntos!$A$2:$OJ$901,154,MATCH($B$2&amp;"|xN",Aux_puntos!$1:$1,0))="",NA(),INDEX(Aux_puntos!$A$2:$OJ$901,154,MATCH($B$2&amp;"|xN",Aux_puntos!$1:$1,0))),NA())</f>
        <v/>
      </c>
      <c r="AJ158">
        <f>IFERROR(IF(INDEX(Aux_puntos!$A$2:$OJ$901,154,MATCH($B$2&amp;"|yN",Aux_puntos!$1:$1,0))="",NA(),INDEX(Aux_puntos!$A$2:$OJ$901,154,MATCH($B$2&amp;"|yN",Aux_puntos!$1:$1,0))),NA())</f>
        <v/>
      </c>
    </row>
    <row r="159">
      <c r="AC159">
        <f>IFERROR(IF(INDEX(Aux_puntos!$A$2:$OJ$901,155,MATCH($B$2&amp;"|xK",Aux_puntos!$1:$1,0))="",NA(),INDEX(Aux_puntos!$A$2:$OJ$901,155,MATCH($B$2&amp;"|xK",Aux_puntos!$1:$1,0))),NA())</f>
        <v/>
      </c>
      <c r="AD159">
        <f>IFERROR(IF(INDEX(Aux_puntos!$A$2:$OJ$901,155,MATCH($B$2&amp;"|yK",Aux_puntos!$1:$1,0))="",NA(),INDEX(Aux_puntos!$A$2:$OJ$901,155,MATCH($B$2&amp;"|yK",Aux_puntos!$1:$1,0))),NA())</f>
        <v/>
      </c>
      <c r="AE159">
        <f>IFERROR(IF(INDEX(Aux_puntos!$A$2:$OJ$901,155,MATCH($B$2&amp;"|xC",Aux_puntos!$1:$1,0))="",NA(),INDEX(Aux_puntos!$A$2:$OJ$901,155,MATCH($B$2&amp;"|xC",Aux_puntos!$1:$1,0))),NA())</f>
        <v/>
      </c>
      <c r="AF159">
        <f>IFERROR(IF(INDEX(Aux_puntos!$A$2:$OJ$901,155,MATCH($B$2&amp;"|yC",Aux_puntos!$1:$1,0))="",NA(),INDEX(Aux_puntos!$A$2:$OJ$901,155,MATCH($B$2&amp;"|yC",Aux_puntos!$1:$1,0))),NA())</f>
        <v/>
      </c>
      <c r="AG159">
        <f>IFERROR(IF(INDEX(Aux_puntos!$A$2:$OJ$901,155,MATCH($B$2&amp;"|xI",Aux_puntos!$1:$1,0))="",NA(),INDEX(Aux_puntos!$A$2:$OJ$901,155,MATCH($B$2&amp;"|xI",Aux_puntos!$1:$1,0))),NA())</f>
        <v/>
      </c>
      <c r="AH159">
        <f>IFERROR(IF(INDEX(Aux_puntos!$A$2:$OJ$901,155,MATCH($B$2&amp;"|yI",Aux_puntos!$1:$1,0))="",NA(),INDEX(Aux_puntos!$A$2:$OJ$901,155,MATCH($B$2&amp;"|yI",Aux_puntos!$1:$1,0))),NA())</f>
        <v/>
      </c>
      <c r="AI159">
        <f>IFERROR(IF(INDEX(Aux_puntos!$A$2:$OJ$901,155,MATCH($B$2&amp;"|xN",Aux_puntos!$1:$1,0))="",NA(),INDEX(Aux_puntos!$A$2:$OJ$901,155,MATCH($B$2&amp;"|xN",Aux_puntos!$1:$1,0))),NA())</f>
        <v/>
      </c>
      <c r="AJ159">
        <f>IFERROR(IF(INDEX(Aux_puntos!$A$2:$OJ$901,155,MATCH($B$2&amp;"|yN",Aux_puntos!$1:$1,0))="",NA(),INDEX(Aux_puntos!$A$2:$OJ$901,155,MATCH($B$2&amp;"|yN",Aux_puntos!$1:$1,0))),NA())</f>
        <v/>
      </c>
    </row>
    <row r="160">
      <c r="AC160">
        <f>IFERROR(IF(INDEX(Aux_puntos!$A$2:$OJ$901,156,MATCH($B$2&amp;"|xK",Aux_puntos!$1:$1,0))="",NA(),INDEX(Aux_puntos!$A$2:$OJ$901,156,MATCH($B$2&amp;"|xK",Aux_puntos!$1:$1,0))),NA())</f>
        <v/>
      </c>
      <c r="AD160">
        <f>IFERROR(IF(INDEX(Aux_puntos!$A$2:$OJ$901,156,MATCH($B$2&amp;"|yK",Aux_puntos!$1:$1,0))="",NA(),INDEX(Aux_puntos!$A$2:$OJ$901,156,MATCH($B$2&amp;"|yK",Aux_puntos!$1:$1,0))),NA())</f>
        <v/>
      </c>
      <c r="AE160">
        <f>IFERROR(IF(INDEX(Aux_puntos!$A$2:$OJ$901,156,MATCH($B$2&amp;"|xC",Aux_puntos!$1:$1,0))="",NA(),INDEX(Aux_puntos!$A$2:$OJ$901,156,MATCH($B$2&amp;"|xC",Aux_puntos!$1:$1,0))),NA())</f>
        <v/>
      </c>
      <c r="AF160">
        <f>IFERROR(IF(INDEX(Aux_puntos!$A$2:$OJ$901,156,MATCH($B$2&amp;"|yC",Aux_puntos!$1:$1,0))="",NA(),INDEX(Aux_puntos!$A$2:$OJ$901,156,MATCH($B$2&amp;"|yC",Aux_puntos!$1:$1,0))),NA())</f>
        <v/>
      </c>
      <c r="AG160">
        <f>IFERROR(IF(INDEX(Aux_puntos!$A$2:$OJ$901,156,MATCH($B$2&amp;"|xI",Aux_puntos!$1:$1,0))="",NA(),INDEX(Aux_puntos!$A$2:$OJ$901,156,MATCH($B$2&amp;"|xI",Aux_puntos!$1:$1,0))),NA())</f>
        <v/>
      </c>
      <c r="AH160">
        <f>IFERROR(IF(INDEX(Aux_puntos!$A$2:$OJ$901,156,MATCH($B$2&amp;"|yI",Aux_puntos!$1:$1,0))="",NA(),INDEX(Aux_puntos!$A$2:$OJ$901,156,MATCH($B$2&amp;"|yI",Aux_puntos!$1:$1,0))),NA())</f>
        <v/>
      </c>
      <c r="AI160">
        <f>IFERROR(IF(INDEX(Aux_puntos!$A$2:$OJ$901,156,MATCH($B$2&amp;"|xN",Aux_puntos!$1:$1,0))="",NA(),INDEX(Aux_puntos!$A$2:$OJ$901,156,MATCH($B$2&amp;"|xN",Aux_puntos!$1:$1,0))),NA())</f>
        <v/>
      </c>
      <c r="AJ160">
        <f>IFERROR(IF(INDEX(Aux_puntos!$A$2:$OJ$901,156,MATCH($B$2&amp;"|yN",Aux_puntos!$1:$1,0))="",NA(),INDEX(Aux_puntos!$A$2:$OJ$901,156,MATCH($B$2&amp;"|yN",Aux_puntos!$1:$1,0))),NA())</f>
        <v/>
      </c>
    </row>
    <row r="161">
      <c r="AC161">
        <f>IFERROR(IF(INDEX(Aux_puntos!$A$2:$OJ$901,157,MATCH($B$2&amp;"|xK",Aux_puntos!$1:$1,0))="",NA(),INDEX(Aux_puntos!$A$2:$OJ$901,157,MATCH($B$2&amp;"|xK",Aux_puntos!$1:$1,0))),NA())</f>
        <v/>
      </c>
      <c r="AD161">
        <f>IFERROR(IF(INDEX(Aux_puntos!$A$2:$OJ$901,157,MATCH($B$2&amp;"|yK",Aux_puntos!$1:$1,0))="",NA(),INDEX(Aux_puntos!$A$2:$OJ$901,157,MATCH($B$2&amp;"|yK",Aux_puntos!$1:$1,0))),NA())</f>
        <v/>
      </c>
      <c r="AE161">
        <f>IFERROR(IF(INDEX(Aux_puntos!$A$2:$OJ$901,157,MATCH($B$2&amp;"|xC",Aux_puntos!$1:$1,0))="",NA(),INDEX(Aux_puntos!$A$2:$OJ$901,157,MATCH($B$2&amp;"|xC",Aux_puntos!$1:$1,0))),NA())</f>
        <v/>
      </c>
      <c r="AF161">
        <f>IFERROR(IF(INDEX(Aux_puntos!$A$2:$OJ$901,157,MATCH($B$2&amp;"|yC",Aux_puntos!$1:$1,0))="",NA(),INDEX(Aux_puntos!$A$2:$OJ$901,157,MATCH($B$2&amp;"|yC",Aux_puntos!$1:$1,0))),NA())</f>
        <v/>
      </c>
      <c r="AG161">
        <f>IFERROR(IF(INDEX(Aux_puntos!$A$2:$OJ$901,157,MATCH($B$2&amp;"|xI",Aux_puntos!$1:$1,0))="",NA(),INDEX(Aux_puntos!$A$2:$OJ$901,157,MATCH($B$2&amp;"|xI",Aux_puntos!$1:$1,0))),NA())</f>
        <v/>
      </c>
      <c r="AH161">
        <f>IFERROR(IF(INDEX(Aux_puntos!$A$2:$OJ$901,157,MATCH($B$2&amp;"|yI",Aux_puntos!$1:$1,0))="",NA(),INDEX(Aux_puntos!$A$2:$OJ$901,157,MATCH($B$2&amp;"|yI",Aux_puntos!$1:$1,0))),NA())</f>
        <v/>
      </c>
      <c r="AI161">
        <f>IFERROR(IF(INDEX(Aux_puntos!$A$2:$OJ$901,157,MATCH($B$2&amp;"|xN",Aux_puntos!$1:$1,0))="",NA(),INDEX(Aux_puntos!$A$2:$OJ$901,157,MATCH($B$2&amp;"|xN",Aux_puntos!$1:$1,0))),NA())</f>
        <v/>
      </c>
      <c r="AJ161">
        <f>IFERROR(IF(INDEX(Aux_puntos!$A$2:$OJ$901,157,MATCH($B$2&amp;"|yN",Aux_puntos!$1:$1,0))="",NA(),INDEX(Aux_puntos!$A$2:$OJ$901,157,MATCH($B$2&amp;"|yN",Aux_puntos!$1:$1,0))),NA())</f>
        <v/>
      </c>
    </row>
    <row r="162">
      <c r="AC162">
        <f>IFERROR(IF(INDEX(Aux_puntos!$A$2:$OJ$901,158,MATCH($B$2&amp;"|xK",Aux_puntos!$1:$1,0))="",NA(),INDEX(Aux_puntos!$A$2:$OJ$901,158,MATCH($B$2&amp;"|xK",Aux_puntos!$1:$1,0))),NA())</f>
        <v/>
      </c>
      <c r="AD162">
        <f>IFERROR(IF(INDEX(Aux_puntos!$A$2:$OJ$901,158,MATCH($B$2&amp;"|yK",Aux_puntos!$1:$1,0))="",NA(),INDEX(Aux_puntos!$A$2:$OJ$901,158,MATCH($B$2&amp;"|yK",Aux_puntos!$1:$1,0))),NA())</f>
        <v/>
      </c>
      <c r="AE162">
        <f>IFERROR(IF(INDEX(Aux_puntos!$A$2:$OJ$901,158,MATCH($B$2&amp;"|xC",Aux_puntos!$1:$1,0))="",NA(),INDEX(Aux_puntos!$A$2:$OJ$901,158,MATCH($B$2&amp;"|xC",Aux_puntos!$1:$1,0))),NA())</f>
        <v/>
      </c>
      <c r="AF162">
        <f>IFERROR(IF(INDEX(Aux_puntos!$A$2:$OJ$901,158,MATCH($B$2&amp;"|yC",Aux_puntos!$1:$1,0))="",NA(),INDEX(Aux_puntos!$A$2:$OJ$901,158,MATCH($B$2&amp;"|yC",Aux_puntos!$1:$1,0))),NA())</f>
        <v/>
      </c>
      <c r="AG162">
        <f>IFERROR(IF(INDEX(Aux_puntos!$A$2:$OJ$901,158,MATCH($B$2&amp;"|xI",Aux_puntos!$1:$1,0))="",NA(),INDEX(Aux_puntos!$A$2:$OJ$901,158,MATCH($B$2&amp;"|xI",Aux_puntos!$1:$1,0))),NA())</f>
        <v/>
      </c>
      <c r="AH162">
        <f>IFERROR(IF(INDEX(Aux_puntos!$A$2:$OJ$901,158,MATCH($B$2&amp;"|yI",Aux_puntos!$1:$1,0))="",NA(),INDEX(Aux_puntos!$A$2:$OJ$901,158,MATCH($B$2&amp;"|yI",Aux_puntos!$1:$1,0))),NA())</f>
        <v/>
      </c>
      <c r="AI162">
        <f>IFERROR(IF(INDEX(Aux_puntos!$A$2:$OJ$901,158,MATCH($B$2&amp;"|xN",Aux_puntos!$1:$1,0))="",NA(),INDEX(Aux_puntos!$A$2:$OJ$901,158,MATCH($B$2&amp;"|xN",Aux_puntos!$1:$1,0))),NA())</f>
        <v/>
      </c>
      <c r="AJ162">
        <f>IFERROR(IF(INDEX(Aux_puntos!$A$2:$OJ$901,158,MATCH($B$2&amp;"|yN",Aux_puntos!$1:$1,0))="",NA(),INDEX(Aux_puntos!$A$2:$OJ$901,158,MATCH($B$2&amp;"|yN",Aux_puntos!$1:$1,0))),NA())</f>
        <v/>
      </c>
    </row>
    <row r="163">
      <c r="AC163">
        <f>IFERROR(IF(INDEX(Aux_puntos!$A$2:$OJ$901,159,MATCH($B$2&amp;"|xK",Aux_puntos!$1:$1,0))="",NA(),INDEX(Aux_puntos!$A$2:$OJ$901,159,MATCH($B$2&amp;"|xK",Aux_puntos!$1:$1,0))),NA())</f>
        <v/>
      </c>
      <c r="AD163">
        <f>IFERROR(IF(INDEX(Aux_puntos!$A$2:$OJ$901,159,MATCH($B$2&amp;"|yK",Aux_puntos!$1:$1,0))="",NA(),INDEX(Aux_puntos!$A$2:$OJ$901,159,MATCH($B$2&amp;"|yK",Aux_puntos!$1:$1,0))),NA())</f>
        <v/>
      </c>
      <c r="AE163">
        <f>IFERROR(IF(INDEX(Aux_puntos!$A$2:$OJ$901,159,MATCH($B$2&amp;"|xC",Aux_puntos!$1:$1,0))="",NA(),INDEX(Aux_puntos!$A$2:$OJ$901,159,MATCH($B$2&amp;"|xC",Aux_puntos!$1:$1,0))),NA())</f>
        <v/>
      </c>
      <c r="AF163">
        <f>IFERROR(IF(INDEX(Aux_puntos!$A$2:$OJ$901,159,MATCH($B$2&amp;"|yC",Aux_puntos!$1:$1,0))="",NA(),INDEX(Aux_puntos!$A$2:$OJ$901,159,MATCH($B$2&amp;"|yC",Aux_puntos!$1:$1,0))),NA())</f>
        <v/>
      </c>
      <c r="AG163">
        <f>IFERROR(IF(INDEX(Aux_puntos!$A$2:$OJ$901,159,MATCH($B$2&amp;"|xI",Aux_puntos!$1:$1,0))="",NA(),INDEX(Aux_puntos!$A$2:$OJ$901,159,MATCH($B$2&amp;"|xI",Aux_puntos!$1:$1,0))),NA())</f>
        <v/>
      </c>
      <c r="AH163">
        <f>IFERROR(IF(INDEX(Aux_puntos!$A$2:$OJ$901,159,MATCH($B$2&amp;"|yI",Aux_puntos!$1:$1,0))="",NA(),INDEX(Aux_puntos!$A$2:$OJ$901,159,MATCH($B$2&amp;"|yI",Aux_puntos!$1:$1,0))),NA())</f>
        <v/>
      </c>
      <c r="AI163">
        <f>IFERROR(IF(INDEX(Aux_puntos!$A$2:$OJ$901,159,MATCH($B$2&amp;"|xN",Aux_puntos!$1:$1,0))="",NA(),INDEX(Aux_puntos!$A$2:$OJ$901,159,MATCH($B$2&amp;"|xN",Aux_puntos!$1:$1,0))),NA())</f>
        <v/>
      </c>
      <c r="AJ163">
        <f>IFERROR(IF(INDEX(Aux_puntos!$A$2:$OJ$901,159,MATCH($B$2&amp;"|yN",Aux_puntos!$1:$1,0))="",NA(),INDEX(Aux_puntos!$A$2:$OJ$901,159,MATCH($B$2&amp;"|yN",Aux_puntos!$1:$1,0))),NA())</f>
        <v/>
      </c>
    </row>
    <row r="164">
      <c r="AC164">
        <f>IFERROR(IF(INDEX(Aux_puntos!$A$2:$OJ$901,160,MATCH($B$2&amp;"|xK",Aux_puntos!$1:$1,0))="",NA(),INDEX(Aux_puntos!$A$2:$OJ$901,160,MATCH($B$2&amp;"|xK",Aux_puntos!$1:$1,0))),NA())</f>
        <v/>
      </c>
      <c r="AD164">
        <f>IFERROR(IF(INDEX(Aux_puntos!$A$2:$OJ$901,160,MATCH($B$2&amp;"|yK",Aux_puntos!$1:$1,0))="",NA(),INDEX(Aux_puntos!$A$2:$OJ$901,160,MATCH($B$2&amp;"|yK",Aux_puntos!$1:$1,0))),NA())</f>
        <v/>
      </c>
      <c r="AE164">
        <f>IFERROR(IF(INDEX(Aux_puntos!$A$2:$OJ$901,160,MATCH($B$2&amp;"|xC",Aux_puntos!$1:$1,0))="",NA(),INDEX(Aux_puntos!$A$2:$OJ$901,160,MATCH($B$2&amp;"|xC",Aux_puntos!$1:$1,0))),NA())</f>
        <v/>
      </c>
      <c r="AF164">
        <f>IFERROR(IF(INDEX(Aux_puntos!$A$2:$OJ$901,160,MATCH($B$2&amp;"|yC",Aux_puntos!$1:$1,0))="",NA(),INDEX(Aux_puntos!$A$2:$OJ$901,160,MATCH($B$2&amp;"|yC",Aux_puntos!$1:$1,0))),NA())</f>
        <v/>
      </c>
      <c r="AG164">
        <f>IFERROR(IF(INDEX(Aux_puntos!$A$2:$OJ$901,160,MATCH($B$2&amp;"|xI",Aux_puntos!$1:$1,0))="",NA(),INDEX(Aux_puntos!$A$2:$OJ$901,160,MATCH($B$2&amp;"|xI",Aux_puntos!$1:$1,0))),NA())</f>
        <v/>
      </c>
      <c r="AH164">
        <f>IFERROR(IF(INDEX(Aux_puntos!$A$2:$OJ$901,160,MATCH($B$2&amp;"|yI",Aux_puntos!$1:$1,0))="",NA(),INDEX(Aux_puntos!$A$2:$OJ$901,160,MATCH($B$2&amp;"|yI",Aux_puntos!$1:$1,0))),NA())</f>
        <v/>
      </c>
      <c r="AI164">
        <f>IFERROR(IF(INDEX(Aux_puntos!$A$2:$OJ$901,160,MATCH($B$2&amp;"|xN",Aux_puntos!$1:$1,0))="",NA(),INDEX(Aux_puntos!$A$2:$OJ$901,160,MATCH($B$2&amp;"|xN",Aux_puntos!$1:$1,0))),NA())</f>
        <v/>
      </c>
      <c r="AJ164">
        <f>IFERROR(IF(INDEX(Aux_puntos!$A$2:$OJ$901,160,MATCH($B$2&amp;"|yN",Aux_puntos!$1:$1,0))="",NA(),INDEX(Aux_puntos!$A$2:$OJ$901,160,MATCH($B$2&amp;"|yN",Aux_puntos!$1:$1,0))),NA())</f>
        <v/>
      </c>
    </row>
    <row r="165">
      <c r="AC165">
        <f>IFERROR(IF(INDEX(Aux_puntos!$A$2:$OJ$901,161,MATCH($B$2&amp;"|xK",Aux_puntos!$1:$1,0))="",NA(),INDEX(Aux_puntos!$A$2:$OJ$901,161,MATCH($B$2&amp;"|xK",Aux_puntos!$1:$1,0))),NA())</f>
        <v/>
      </c>
      <c r="AD165">
        <f>IFERROR(IF(INDEX(Aux_puntos!$A$2:$OJ$901,161,MATCH($B$2&amp;"|yK",Aux_puntos!$1:$1,0))="",NA(),INDEX(Aux_puntos!$A$2:$OJ$901,161,MATCH($B$2&amp;"|yK",Aux_puntos!$1:$1,0))),NA())</f>
        <v/>
      </c>
      <c r="AE165">
        <f>IFERROR(IF(INDEX(Aux_puntos!$A$2:$OJ$901,161,MATCH($B$2&amp;"|xC",Aux_puntos!$1:$1,0))="",NA(),INDEX(Aux_puntos!$A$2:$OJ$901,161,MATCH($B$2&amp;"|xC",Aux_puntos!$1:$1,0))),NA())</f>
        <v/>
      </c>
      <c r="AF165">
        <f>IFERROR(IF(INDEX(Aux_puntos!$A$2:$OJ$901,161,MATCH($B$2&amp;"|yC",Aux_puntos!$1:$1,0))="",NA(),INDEX(Aux_puntos!$A$2:$OJ$901,161,MATCH($B$2&amp;"|yC",Aux_puntos!$1:$1,0))),NA())</f>
        <v/>
      </c>
      <c r="AG165">
        <f>IFERROR(IF(INDEX(Aux_puntos!$A$2:$OJ$901,161,MATCH($B$2&amp;"|xI",Aux_puntos!$1:$1,0))="",NA(),INDEX(Aux_puntos!$A$2:$OJ$901,161,MATCH($B$2&amp;"|xI",Aux_puntos!$1:$1,0))),NA())</f>
        <v/>
      </c>
      <c r="AH165">
        <f>IFERROR(IF(INDEX(Aux_puntos!$A$2:$OJ$901,161,MATCH($B$2&amp;"|yI",Aux_puntos!$1:$1,0))="",NA(),INDEX(Aux_puntos!$A$2:$OJ$901,161,MATCH($B$2&amp;"|yI",Aux_puntos!$1:$1,0))),NA())</f>
        <v/>
      </c>
      <c r="AI165">
        <f>IFERROR(IF(INDEX(Aux_puntos!$A$2:$OJ$901,161,MATCH($B$2&amp;"|xN",Aux_puntos!$1:$1,0))="",NA(),INDEX(Aux_puntos!$A$2:$OJ$901,161,MATCH($B$2&amp;"|xN",Aux_puntos!$1:$1,0))),NA())</f>
        <v/>
      </c>
      <c r="AJ165">
        <f>IFERROR(IF(INDEX(Aux_puntos!$A$2:$OJ$901,161,MATCH($B$2&amp;"|yN",Aux_puntos!$1:$1,0))="",NA(),INDEX(Aux_puntos!$A$2:$OJ$901,161,MATCH($B$2&amp;"|yN",Aux_puntos!$1:$1,0))),NA())</f>
        <v/>
      </c>
    </row>
    <row r="166">
      <c r="AC166">
        <f>IFERROR(IF(INDEX(Aux_puntos!$A$2:$OJ$901,162,MATCH($B$2&amp;"|xK",Aux_puntos!$1:$1,0))="",NA(),INDEX(Aux_puntos!$A$2:$OJ$901,162,MATCH($B$2&amp;"|xK",Aux_puntos!$1:$1,0))),NA())</f>
        <v/>
      </c>
      <c r="AD166">
        <f>IFERROR(IF(INDEX(Aux_puntos!$A$2:$OJ$901,162,MATCH($B$2&amp;"|yK",Aux_puntos!$1:$1,0))="",NA(),INDEX(Aux_puntos!$A$2:$OJ$901,162,MATCH($B$2&amp;"|yK",Aux_puntos!$1:$1,0))),NA())</f>
        <v/>
      </c>
      <c r="AE166">
        <f>IFERROR(IF(INDEX(Aux_puntos!$A$2:$OJ$901,162,MATCH($B$2&amp;"|xC",Aux_puntos!$1:$1,0))="",NA(),INDEX(Aux_puntos!$A$2:$OJ$901,162,MATCH($B$2&amp;"|xC",Aux_puntos!$1:$1,0))),NA())</f>
        <v/>
      </c>
      <c r="AF166">
        <f>IFERROR(IF(INDEX(Aux_puntos!$A$2:$OJ$901,162,MATCH($B$2&amp;"|yC",Aux_puntos!$1:$1,0))="",NA(),INDEX(Aux_puntos!$A$2:$OJ$901,162,MATCH($B$2&amp;"|yC",Aux_puntos!$1:$1,0))),NA())</f>
        <v/>
      </c>
      <c r="AG166">
        <f>IFERROR(IF(INDEX(Aux_puntos!$A$2:$OJ$901,162,MATCH($B$2&amp;"|xI",Aux_puntos!$1:$1,0))="",NA(),INDEX(Aux_puntos!$A$2:$OJ$901,162,MATCH($B$2&amp;"|xI",Aux_puntos!$1:$1,0))),NA())</f>
        <v/>
      </c>
      <c r="AH166">
        <f>IFERROR(IF(INDEX(Aux_puntos!$A$2:$OJ$901,162,MATCH($B$2&amp;"|yI",Aux_puntos!$1:$1,0))="",NA(),INDEX(Aux_puntos!$A$2:$OJ$901,162,MATCH($B$2&amp;"|yI",Aux_puntos!$1:$1,0))),NA())</f>
        <v/>
      </c>
      <c r="AI166">
        <f>IFERROR(IF(INDEX(Aux_puntos!$A$2:$OJ$901,162,MATCH($B$2&amp;"|xN",Aux_puntos!$1:$1,0))="",NA(),INDEX(Aux_puntos!$A$2:$OJ$901,162,MATCH($B$2&amp;"|xN",Aux_puntos!$1:$1,0))),NA())</f>
        <v/>
      </c>
      <c r="AJ166">
        <f>IFERROR(IF(INDEX(Aux_puntos!$A$2:$OJ$901,162,MATCH($B$2&amp;"|yN",Aux_puntos!$1:$1,0))="",NA(),INDEX(Aux_puntos!$A$2:$OJ$901,162,MATCH($B$2&amp;"|yN",Aux_puntos!$1:$1,0))),NA())</f>
        <v/>
      </c>
    </row>
    <row r="167">
      <c r="AC167">
        <f>IFERROR(IF(INDEX(Aux_puntos!$A$2:$OJ$901,163,MATCH($B$2&amp;"|xK",Aux_puntos!$1:$1,0))="",NA(),INDEX(Aux_puntos!$A$2:$OJ$901,163,MATCH($B$2&amp;"|xK",Aux_puntos!$1:$1,0))),NA())</f>
        <v/>
      </c>
      <c r="AD167">
        <f>IFERROR(IF(INDEX(Aux_puntos!$A$2:$OJ$901,163,MATCH($B$2&amp;"|yK",Aux_puntos!$1:$1,0))="",NA(),INDEX(Aux_puntos!$A$2:$OJ$901,163,MATCH($B$2&amp;"|yK",Aux_puntos!$1:$1,0))),NA())</f>
        <v/>
      </c>
      <c r="AE167">
        <f>IFERROR(IF(INDEX(Aux_puntos!$A$2:$OJ$901,163,MATCH($B$2&amp;"|xC",Aux_puntos!$1:$1,0))="",NA(),INDEX(Aux_puntos!$A$2:$OJ$901,163,MATCH($B$2&amp;"|xC",Aux_puntos!$1:$1,0))),NA())</f>
        <v/>
      </c>
      <c r="AF167">
        <f>IFERROR(IF(INDEX(Aux_puntos!$A$2:$OJ$901,163,MATCH($B$2&amp;"|yC",Aux_puntos!$1:$1,0))="",NA(),INDEX(Aux_puntos!$A$2:$OJ$901,163,MATCH($B$2&amp;"|yC",Aux_puntos!$1:$1,0))),NA())</f>
        <v/>
      </c>
      <c r="AG167">
        <f>IFERROR(IF(INDEX(Aux_puntos!$A$2:$OJ$901,163,MATCH($B$2&amp;"|xI",Aux_puntos!$1:$1,0))="",NA(),INDEX(Aux_puntos!$A$2:$OJ$901,163,MATCH($B$2&amp;"|xI",Aux_puntos!$1:$1,0))),NA())</f>
        <v/>
      </c>
      <c r="AH167">
        <f>IFERROR(IF(INDEX(Aux_puntos!$A$2:$OJ$901,163,MATCH($B$2&amp;"|yI",Aux_puntos!$1:$1,0))="",NA(),INDEX(Aux_puntos!$A$2:$OJ$901,163,MATCH($B$2&amp;"|yI",Aux_puntos!$1:$1,0))),NA())</f>
        <v/>
      </c>
      <c r="AI167">
        <f>IFERROR(IF(INDEX(Aux_puntos!$A$2:$OJ$901,163,MATCH($B$2&amp;"|xN",Aux_puntos!$1:$1,0))="",NA(),INDEX(Aux_puntos!$A$2:$OJ$901,163,MATCH($B$2&amp;"|xN",Aux_puntos!$1:$1,0))),NA())</f>
        <v/>
      </c>
      <c r="AJ167">
        <f>IFERROR(IF(INDEX(Aux_puntos!$A$2:$OJ$901,163,MATCH($B$2&amp;"|yN",Aux_puntos!$1:$1,0))="",NA(),INDEX(Aux_puntos!$A$2:$OJ$901,163,MATCH($B$2&amp;"|yN",Aux_puntos!$1:$1,0))),NA())</f>
        <v/>
      </c>
    </row>
    <row r="168">
      <c r="AC168">
        <f>IFERROR(IF(INDEX(Aux_puntos!$A$2:$OJ$901,164,MATCH($B$2&amp;"|xK",Aux_puntos!$1:$1,0))="",NA(),INDEX(Aux_puntos!$A$2:$OJ$901,164,MATCH($B$2&amp;"|xK",Aux_puntos!$1:$1,0))),NA())</f>
        <v/>
      </c>
      <c r="AD168">
        <f>IFERROR(IF(INDEX(Aux_puntos!$A$2:$OJ$901,164,MATCH($B$2&amp;"|yK",Aux_puntos!$1:$1,0))="",NA(),INDEX(Aux_puntos!$A$2:$OJ$901,164,MATCH($B$2&amp;"|yK",Aux_puntos!$1:$1,0))),NA())</f>
        <v/>
      </c>
      <c r="AE168">
        <f>IFERROR(IF(INDEX(Aux_puntos!$A$2:$OJ$901,164,MATCH($B$2&amp;"|xC",Aux_puntos!$1:$1,0))="",NA(),INDEX(Aux_puntos!$A$2:$OJ$901,164,MATCH($B$2&amp;"|xC",Aux_puntos!$1:$1,0))),NA())</f>
        <v/>
      </c>
      <c r="AF168">
        <f>IFERROR(IF(INDEX(Aux_puntos!$A$2:$OJ$901,164,MATCH($B$2&amp;"|yC",Aux_puntos!$1:$1,0))="",NA(),INDEX(Aux_puntos!$A$2:$OJ$901,164,MATCH($B$2&amp;"|yC",Aux_puntos!$1:$1,0))),NA())</f>
        <v/>
      </c>
      <c r="AG168">
        <f>IFERROR(IF(INDEX(Aux_puntos!$A$2:$OJ$901,164,MATCH($B$2&amp;"|xI",Aux_puntos!$1:$1,0))="",NA(),INDEX(Aux_puntos!$A$2:$OJ$901,164,MATCH($B$2&amp;"|xI",Aux_puntos!$1:$1,0))),NA())</f>
        <v/>
      </c>
      <c r="AH168">
        <f>IFERROR(IF(INDEX(Aux_puntos!$A$2:$OJ$901,164,MATCH($B$2&amp;"|yI",Aux_puntos!$1:$1,0))="",NA(),INDEX(Aux_puntos!$A$2:$OJ$901,164,MATCH($B$2&amp;"|yI",Aux_puntos!$1:$1,0))),NA())</f>
        <v/>
      </c>
      <c r="AI168">
        <f>IFERROR(IF(INDEX(Aux_puntos!$A$2:$OJ$901,164,MATCH($B$2&amp;"|xN",Aux_puntos!$1:$1,0))="",NA(),INDEX(Aux_puntos!$A$2:$OJ$901,164,MATCH($B$2&amp;"|xN",Aux_puntos!$1:$1,0))),NA())</f>
        <v/>
      </c>
      <c r="AJ168">
        <f>IFERROR(IF(INDEX(Aux_puntos!$A$2:$OJ$901,164,MATCH($B$2&amp;"|yN",Aux_puntos!$1:$1,0))="",NA(),INDEX(Aux_puntos!$A$2:$OJ$901,164,MATCH($B$2&amp;"|yN",Aux_puntos!$1:$1,0))),NA())</f>
        <v/>
      </c>
    </row>
    <row r="169">
      <c r="AC169">
        <f>IFERROR(IF(INDEX(Aux_puntos!$A$2:$OJ$901,165,MATCH($B$2&amp;"|xK",Aux_puntos!$1:$1,0))="",NA(),INDEX(Aux_puntos!$A$2:$OJ$901,165,MATCH($B$2&amp;"|xK",Aux_puntos!$1:$1,0))),NA())</f>
        <v/>
      </c>
      <c r="AD169">
        <f>IFERROR(IF(INDEX(Aux_puntos!$A$2:$OJ$901,165,MATCH($B$2&amp;"|yK",Aux_puntos!$1:$1,0))="",NA(),INDEX(Aux_puntos!$A$2:$OJ$901,165,MATCH($B$2&amp;"|yK",Aux_puntos!$1:$1,0))),NA())</f>
        <v/>
      </c>
      <c r="AE169">
        <f>IFERROR(IF(INDEX(Aux_puntos!$A$2:$OJ$901,165,MATCH($B$2&amp;"|xC",Aux_puntos!$1:$1,0))="",NA(),INDEX(Aux_puntos!$A$2:$OJ$901,165,MATCH($B$2&amp;"|xC",Aux_puntos!$1:$1,0))),NA())</f>
        <v/>
      </c>
      <c r="AF169">
        <f>IFERROR(IF(INDEX(Aux_puntos!$A$2:$OJ$901,165,MATCH($B$2&amp;"|yC",Aux_puntos!$1:$1,0))="",NA(),INDEX(Aux_puntos!$A$2:$OJ$901,165,MATCH($B$2&amp;"|yC",Aux_puntos!$1:$1,0))),NA())</f>
        <v/>
      </c>
      <c r="AG169">
        <f>IFERROR(IF(INDEX(Aux_puntos!$A$2:$OJ$901,165,MATCH($B$2&amp;"|xI",Aux_puntos!$1:$1,0))="",NA(),INDEX(Aux_puntos!$A$2:$OJ$901,165,MATCH($B$2&amp;"|xI",Aux_puntos!$1:$1,0))),NA())</f>
        <v/>
      </c>
      <c r="AH169">
        <f>IFERROR(IF(INDEX(Aux_puntos!$A$2:$OJ$901,165,MATCH($B$2&amp;"|yI",Aux_puntos!$1:$1,0))="",NA(),INDEX(Aux_puntos!$A$2:$OJ$901,165,MATCH($B$2&amp;"|yI",Aux_puntos!$1:$1,0))),NA())</f>
        <v/>
      </c>
      <c r="AI169">
        <f>IFERROR(IF(INDEX(Aux_puntos!$A$2:$OJ$901,165,MATCH($B$2&amp;"|xN",Aux_puntos!$1:$1,0))="",NA(),INDEX(Aux_puntos!$A$2:$OJ$901,165,MATCH($B$2&amp;"|xN",Aux_puntos!$1:$1,0))),NA())</f>
        <v/>
      </c>
      <c r="AJ169">
        <f>IFERROR(IF(INDEX(Aux_puntos!$A$2:$OJ$901,165,MATCH($B$2&amp;"|yN",Aux_puntos!$1:$1,0))="",NA(),INDEX(Aux_puntos!$A$2:$OJ$901,165,MATCH($B$2&amp;"|yN",Aux_puntos!$1:$1,0))),NA())</f>
        <v/>
      </c>
    </row>
    <row r="170">
      <c r="AC170">
        <f>IFERROR(IF(INDEX(Aux_puntos!$A$2:$OJ$901,166,MATCH($B$2&amp;"|xK",Aux_puntos!$1:$1,0))="",NA(),INDEX(Aux_puntos!$A$2:$OJ$901,166,MATCH($B$2&amp;"|xK",Aux_puntos!$1:$1,0))),NA())</f>
        <v/>
      </c>
      <c r="AD170">
        <f>IFERROR(IF(INDEX(Aux_puntos!$A$2:$OJ$901,166,MATCH($B$2&amp;"|yK",Aux_puntos!$1:$1,0))="",NA(),INDEX(Aux_puntos!$A$2:$OJ$901,166,MATCH($B$2&amp;"|yK",Aux_puntos!$1:$1,0))),NA())</f>
        <v/>
      </c>
      <c r="AE170">
        <f>IFERROR(IF(INDEX(Aux_puntos!$A$2:$OJ$901,166,MATCH($B$2&amp;"|xC",Aux_puntos!$1:$1,0))="",NA(),INDEX(Aux_puntos!$A$2:$OJ$901,166,MATCH($B$2&amp;"|xC",Aux_puntos!$1:$1,0))),NA())</f>
        <v/>
      </c>
      <c r="AF170">
        <f>IFERROR(IF(INDEX(Aux_puntos!$A$2:$OJ$901,166,MATCH($B$2&amp;"|yC",Aux_puntos!$1:$1,0))="",NA(),INDEX(Aux_puntos!$A$2:$OJ$901,166,MATCH($B$2&amp;"|yC",Aux_puntos!$1:$1,0))),NA())</f>
        <v/>
      </c>
      <c r="AG170">
        <f>IFERROR(IF(INDEX(Aux_puntos!$A$2:$OJ$901,166,MATCH($B$2&amp;"|xI",Aux_puntos!$1:$1,0))="",NA(),INDEX(Aux_puntos!$A$2:$OJ$901,166,MATCH($B$2&amp;"|xI",Aux_puntos!$1:$1,0))),NA())</f>
        <v/>
      </c>
      <c r="AH170">
        <f>IFERROR(IF(INDEX(Aux_puntos!$A$2:$OJ$901,166,MATCH($B$2&amp;"|yI",Aux_puntos!$1:$1,0))="",NA(),INDEX(Aux_puntos!$A$2:$OJ$901,166,MATCH($B$2&amp;"|yI",Aux_puntos!$1:$1,0))),NA())</f>
        <v/>
      </c>
      <c r="AI170">
        <f>IFERROR(IF(INDEX(Aux_puntos!$A$2:$OJ$901,166,MATCH($B$2&amp;"|xN",Aux_puntos!$1:$1,0))="",NA(),INDEX(Aux_puntos!$A$2:$OJ$901,166,MATCH($B$2&amp;"|xN",Aux_puntos!$1:$1,0))),NA())</f>
        <v/>
      </c>
      <c r="AJ170">
        <f>IFERROR(IF(INDEX(Aux_puntos!$A$2:$OJ$901,166,MATCH($B$2&amp;"|yN",Aux_puntos!$1:$1,0))="",NA(),INDEX(Aux_puntos!$A$2:$OJ$901,166,MATCH($B$2&amp;"|yN",Aux_puntos!$1:$1,0))),NA())</f>
        <v/>
      </c>
    </row>
    <row r="171">
      <c r="AC171">
        <f>IFERROR(IF(INDEX(Aux_puntos!$A$2:$OJ$901,167,MATCH($B$2&amp;"|xK",Aux_puntos!$1:$1,0))="",NA(),INDEX(Aux_puntos!$A$2:$OJ$901,167,MATCH($B$2&amp;"|xK",Aux_puntos!$1:$1,0))),NA())</f>
        <v/>
      </c>
      <c r="AD171">
        <f>IFERROR(IF(INDEX(Aux_puntos!$A$2:$OJ$901,167,MATCH($B$2&amp;"|yK",Aux_puntos!$1:$1,0))="",NA(),INDEX(Aux_puntos!$A$2:$OJ$901,167,MATCH($B$2&amp;"|yK",Aux_puntos!$1:$1,0))),NA())</f>
        <v/>
      </c>
      <c r="AE171">
        <f>IFERROR(IF(INDEX(Aux_puntos!$A$2:$OJ$901,167,MATCH($B$2&amp;"|xC",Aux_puntos!$1:$1,0))="",NA(),INDEX(Aux_puntos!$A$2:$OJ$901,167,MATCH($B$2&amp;"|xC",Aux_puntos!$1:$1,0))),NA())</f>
        <v/>
      </c>
      <c r="AF171">
        <f>IFERROR(IF(INDEX(Aux_puntos!$A$2:$OJ$901,167,MATCH($B$2&amp;"|yC",Aux_puntos!$1:$1,0))="",NA(),INDEX(Aux_puntos!$A$2:$OJ$901,167,MATCH($B$2&amp;"|yC",Aux_puntos!$1:$1,0))),NA())</f>
        <v/>
      </c>
      <c r="AG171">
        <f>IFERROR(IF(INDEX(Aux_puntos!$A$2:$OJ$901,167,MATCH($B$2&amp;"|xI",Aux_puntos!$1:$1,0))="",NA(),INDEX(Aux_puntos!$A$2:$OJ$901,167,MATCH($B$2&amp;"|xI",Aux_puntos!$1:$1,0))),NA())</f>
        <v/>
      </c>
      <c r="AH171">
        <f>IFERROR(IF(INDEX(Aux_puntos!$A$2:$OJ$901,167,MATCH($B$2&amp;"|yI",Aux_puntos!$1:$1,0))="",NA(),INDEX(Aux_puntos!$A$2:$OJ$901,167,MATCH($B$2&amp;"|yI",Aux_puntos!$1:$1,0))),NA())</f>
        <v/>
      </c>
      <c r="AI171">
        <f>IFERROR(IF(INDEX(Aux_puntos!$A$2:$OJ$901,167,MATCH($B$2&amp;"|xN",Aux_puntos!$1:$1,0))="",NA(),INDEX(Aux_puntos!$A$2:$OJ$901,167,MATCH($B$2&amp;"|xN",Aux_puntos!$1:$1,0))),NA())</f>
        <v/>
      </c>
      <c r="AJ171">
        <f>IFERROR(IF(INDEX(Aux_puntos!$A$2:$OJ$901,167,MATCH($B$2&amp;"|yN",Aux_puntos!$1:$1,0))="",NA(),INDEX(Aux_puntos!$A$2:$OJ$901,167,MATCH($B$2&amp;"|yN",Aux_puntos!$1:$1,0))),NA())</f>
        <v/>
      </c>
    </row>
    <row r="172">
      <c r="AC172">
        <f>IFERROR(IF(INDEX(Aux_puntos!$A$2:$OJ$901,168,MATCH($B$2&amp;"|xK",Aux_puntos!$1:$1,0))="",NA(),INDEX(Aux_puntos!$A$2:$OJ$901,168,MATCH($B$2&amp;"|xK",Aux_puntos!$1:$1,0))),NA())</f>
        <v/>
      </c>
      <c r="AD172">
        <f>IFERROR(IF(INDEX(Aux_puntos!$A$2:$OJ$901,168,MATCH($B$2&amp;"|yK",Aux_puntos!$1:$1,0))="",NA(),INDEX(Aux_puntos!$A$2:$OJ$901,168,MATCH($B$2&amp;"|yK",Aux_puntos!$1:$1,0))),NA())</f>
        <v/>
      </c>
      <c r="AE172">
        <f>IFERROR(IF(INDEX(Aux_puntos!$A$2:$OJ$901,168,MATCH($B$2&amp;"|xC",Aux_puntos!$1:$1,0))="",NA(),INDEX(Aux_puntos!$A$2:$OJ$901,168,MATCH($B$2&amp;"|xC",Aux_puntos!$1:$1,0))),NA())</f>
        <v/>
      </c>
      <c r="AF172">
        <f>IFERROR(IF(INDEX(Aux_puntos!$A$2:$OJ$901,168,MATCH($B$2&amp;"|yC",Aux_puntos!$1:$1,0))="",NA(),INDEX(Aux_puntos!$A$2:$OJ$901,168,MATCH($B$2&amp;"|yC",Aux_puntos!$1:$1,0))),NA())</f>
        <v/>
      </c>
      <c r="AG172">
        <f>IFERROR(IF(INDEX(Aux_puntos!$A$2:$OJ$901,168,MATCH($B$2&amp;"|xI",Aux_puntos!$1:$1,0))="",NA(),INDEX(Aux_puntos!$A$2:$OJ$901,168,MATCH($B$2&amp;"|xI",Aux_puntos!$1:$1,0))),NA())</f>
        <v/>
      </c>
      <c r="AH172">
        <f>IFERROR(IF(INDEX(Aux_puntos!$A$2:$OJ$901,168,MATCH($B$2&amp;"|yI",Aux_puntos!$1:$1,0))="",NA(),INDEX(Aux_puntos!$A$2:$OJ$901,168,MATCH($B$2&amp;"|yI",Aux_puntos!$1:$1,0))),NA())</f>
        <v/>
      </c>
      <c r="AI172">
        <f>IFERROR(IF(INDEX(Aux_puntos!$A$2:$OJ$901,168,MATCH($B$2&amp;"|xN",Aux_puntos!$1:$1,0))="",NA(),INDEX(Aux_puntos!$A$2:$OJ$901,168,MATCH($B$2&amp;"|xN",Aux_puntos!$1:$1,0))),NA())</f>
        <v/>
      </c>
      <c r="AJ172">
        <f>IFERROR(IF(INDEX(Aux_puntos!$A$2:$OJ$901,168,MATCH($B$2&amp;"|yN",Aux_puntos!$1:$1,0))="",NA(),INDEX(Aux_puntos!$A$2:$OJ$901,168,MATCH($B$2&amp;"|yN",Aux_puntos!$1:$1,0))),NA())</f>
        <v/>
      </c>
    </row>
    <row r="173">
      <c r="AC173">
        <f>IFERROR(IF(INDEX(Aux_puntos!$A$2:$OJ$901,169,MATCH($B$2&amp;"|xK",Aux_puntos!$1:$1,0))="",NA(),INDEX(Aux_puntos!$A$2:$OJ$901,169,MATCH($B$2&amp;"|xK",Aux_puntos!$1:$1,0))),NA())</f>
        <v/>
      </c>
      <c r="AD173">
        <f>IFERROR(IF(INDEX(Aux_puntos!$A$2:$OJ$901,169,MATCH($B$2&amp;"|yK",Aux_puntos!$1:$1,0))="",NA(),INDEX(Aux_puntos!$A$2:$OJ$901,169,MATCH($B$2&amp;"|yK",Aux_puntos!$1:$1,0))),NA())</f>
        <v/>
      </c>
      <c r="AE173">
        <f>IFERROR(IF(INDEX(Aux_puntos!$A$2:$OJ$901,169,MATCH($B$2&amp;"|xC",Aux_puntos!$1:$1,0))="",NA(),INDEX(Aux_puntos!$A$2:$OJ$901,169,MATCH($B$2&amp;"|xC",Aux_puntos!$1:$1,0))),NA())</f>
        <v/>
      </c>
      <c r="AF173">
        <f>IFERROR(IF(INDEX(Aux_puntos!$A$2:$OJ$901,169,MATCH($B$2&amp;"|yC",Aux_puntos!$1:$1,0))="",NA(),INDEX(Aux_puntos!$A$2:$OJ$901,169,MATCH($B$2&amp;"|yC",Aux_puntos!$1:$1,0))),NA())</f>
        <v/>
      </c>
      <c r="AG173">
        <f>IFERROR(IF(INDEX(Aux_puntos!$A$2:$OJ$901,169,MATCH($B$2&amp;"|xI",Aux_puntos!$1:$1,0))="",NA(),INDEX(Aux_puntos!$A$2:$OJ$901,169,MATCH($B$2&amp;"|xI",Aux_puntos!$1:$1,0))),NA())</f>
        <v/>
      </c>
      <c r="AH173">
        <f>IFERROR(IF(INDEX(Aux_puntos!$A$2:$OJ$901,169,MATCH($B$2&amp;"|yI",Aux_puntos!$1:$1,0))="",NA(),INDEX(Aux_puntos!$A$2:$OJ$901,169,MATCH($B$2&amp;"|yI",Aux_puntos!$1:$1,0))),NA())</f>
        <v/>
      </c>
      <c r="AI173">
        <f>IFERROR(IF(INDEX(Aux_puntos!$A$2:$OJ$901,169,MATCH($B$2&amp;"|xN",Aux_puntos!$1:$1,0))="",NA(),INDEX(Aux_puntos!$A$2:$OJ$901,169,MATCH($B$2&amp;"|xN",Aux_puntos!$1:$1,0))),NA())</f>
        <v/>
      </c>
      <c r="AJ173">
        <f>IFERROR(IF(INDEX(Aux_puntos!$A$2:$OJ$901,169,MATCH($B$2&amp;"|yN",Aux_puntos!$1:$1,0))="",NA(),INDEX(Aux_puntos!$A$2:$OJ$901,169,MATCH($B$2&amp;"|yN",Aux_puntos!$1:$1,0))),NA())</f>
        <v/>
      </c>
    </row>
    <row r="174">
      <c r="AC174">
        <f>IFERROR(IF(INDEX(Aux_puntos!$A$2:$OJ$901,170,MATCH($B$2&amp;"|xK",Aux_puntos!$1:$1,0))="",NA(),INDEX(Aux_puntos!$A$2:$OJ$901,170,MATCH($B$2&amp;"|xK",Aux_puntos!$1:$1,0))),NA())</f>
        <v/>
      </c>
      <c r="AD174">
        <f>IFERROR(IF(INDEX(Aux_puntos!$A$2:$OJ$901,170,MATCH($B$2&amp;"|yK",Aux_puntos!$1:$1,0))="",NA(),INDEX(Aux_puntos!$A$2:$OJ$901,170,MATCH($B$2&amp;"|yK",Aux_puntos!$1:$1,0))),NA())</f>
        <v/>
      </c>
      <c r="AE174">
        <f>IFERROR(IF(INDEX(Aux_puntos!$A$2:$OJ$901,170,MATCH($B$2&amp;"|xC",Aux_puntos!$1:$1,0))="",NA(),INDEX(Aux_puntos!$A$2:$OJ$901,170,MATCH($B$2&amp;"|xC",Aux_puntos!$1:$1,0))),NA())</f>
        <v/>
      </c>
      <c r="AF174">
        <f>IFERROR(IF(INDEX(Aux_puntos!$A$2:$OJ$901,170,MATCH($B$2&amp;"|yC",Aux_puntos!$1:$1,0))="",NA(),INDEX(Aux_puntos!$A$2:$OJ$901,170,MATCH($B$2&amp;"|yC",Aux_puntos!$1:$1,0))),NA())</f>
        <v/>
      </c>
      <c r="AG174">
        <f>IFERROR(IF(INDEX(Aux_puntos!$A$2:$OJ$901,170,MATCH($B$2&amp;"|xI",Aux_puntos!$1:$1,0))="",NA(),INDEX(Aux_puntos!$A$2:$OJ$901,170,MATCH($B$2&amp;"|xI",Aux_puntos!$1:$1,0))),NA())</f>
        <v/>
      </c>
      <c r="AH174">
        <f>IFERROR(IF(INDEX(Aux_puntos!$A$2:$OJ$901,170,MATCH($B$2&amp;"|yI",Aux_puntos!$1:$1,0))="",NA(),INDEX(Aux_puntos!$A$2:$OJ$901,170,MATCH($B$2&amp;"|yI",Aux_puntos!$1:$1,0))),NA())</f>
        <v/>
      </c>
      <c r="AI174">
        <f>IFERROR(IF(INDEX(Aux_puntos!$A$2:$OJ$901,170,MATCH($B$2&amp;"|xN",Aux_puntos!$1:$1,0))="",NA(),INDEX(Aux_puntos!$A$2:$OJ$901,170,MATCH($B$2&amp;"|xN",Aux_puntos!$1:$1,0))),NA())</f>
        <v/>
      </c>
      <c r="AJ174">
        <f>IFERROR(IF(INDEX(Aux_puntos!$A$2:$OJ$901,170,MATCH($B$2&amp;"|yN",Aux_puntos!$1:$1,0))="",NA(),INDEX(Aux_puntos!$A$2:$OJ$901,170,MATCH($B$2&amp;"|yN",Aux_puntos!$1:$1,0))),NA())</f>
        <v/>
      </c>
    </row>
    <row r="175">
      <c r="AC175">
        <f>IFERROR(IF(INDEX(Aux_puntos!$A$2:$OJ$901,171,MATCH($B$2&amp;"|xK",Aux_puntos!$1:$1,0))="",NA(),INDEX(Aux_puntos!$A$2:$OJ$901,171,MATCH($B$2&amp;"|xK",Aux_puntos!$1:$1,0))),NA())</f>
        <v/>
      </c>
      <c r="AD175">
        <f>IFERROR(IF(INDEX(Aux_puntos!$A$2:$OJ$901,171,MATCH($B$2&amp;"|yK",Aux_puntos!$1:$1,0))="",NA(),INDEX(Aux_puntos!$A$2:$OJ$901,171,MATCH($B$2&amp;"|yK",Aux_puntos!$1:$1,0))),NA())</f>
        <v/>
      </c>
      <c r="AE175">
        <f>IFERROR(IF(INDEX(Aux_puntos!$A$2:$OJ$901,171,MATCH($B$2&amp;"|xC",Aux_puntos!$1:$1,0))="",NA(),INDEX(Aux_puntos!$A$2:$OJ$901,171,MATCH($B$2&amp;"|xC",Aux_puntos!$1:$1,0))),NA())</f>
        <v/>
      </c>
      <c r="AF175">
        <f>IFERROR(IF(INDEX(Aux_puntos!$A$2:$OJ$901,171,MATCH($B$2&amp;"|yC",Aux_puntos!$1:$1,0))="",NA(),INDEX(Aux_puntos!$A$2:$OJ$901,171,MATCH($B$2&amp;"|yC",Aux_puntos!$1:$1,0))),NA())</f>
        <v/>
      </c>
      <c r="AG175">
        <f>IFERROR(IF(INDEX(Aux_puntos!$A$2:$OJ$901,171,MATCH($B$2&amp;"|xI",Aux_puntos!$1:$1,0))="",NA(),INDEX(Aux_puntos!$A$2:$OJ$901,171,MATCH($B$2&amp;"|xI",Aux_puntos!$1:$1,0))),NA())</f>
        <v/>
      </c>
      <c r="AH175">
        <f>IFERROR(IF(INDEX(Aux_puntos!$A$2:$OJ$901,171,MATCH($B$2&amp;"|yI",Aux_puntos!$1:$1,0))="",NA(),INDEX(Aux_puntos!$A$2:$OJ$901,171,MATCH($B$2&amp;"|yI",Aux_puntos!$1:$1,0))),NA())</f>
        <v/>
      </c>
      <c r="AI175">
        <f>IFERROR(IF(INDEX(Aux_puntos!$A$2:$OJ$901,171,MATCH($B$2&amp;"|xN",Aux_puntos!$1:$1,0))="",NA(),INDEX(Aux_puntos!$A$2:$OJ$901,171,MATCH($B$2&amp;"|xN",Aux_puntos!$1:$1,0))),NA())</f>
        <v/>
      </c>
      <c r="AJ175">
        <f>IFERROR(IF(INDEX(Aux_puntos!$A$2:$OJ$901,171,MATCH($B$2&amp;"|yN",Aux_puntos!$1:$1,0))="",NA(),INDEX(Aux_puntos!$A$2:$OJ$901,171,MATCH($B$2&amp;"|yN",Aux_puntos!$1:$1,0))),NA())</f>
        <v/>
      </c>
    </row>
    <row r="176">
      <c r="AC176">
        <f>IFERROR(IF(INDEX(Aux_puntos!$A$2:$OJ$901,172,MATCH($B$2&amp;"|xK",Aux_puntos!$1:$1,0))="",NA(),INDEX(Aux_puntos!$A$2:$OJ$901,172,MATCH($B$2&amp;"|xK",Aux_puntos!$1:$1,0))),NA())</f>
        <v/>
      </c>
      <c r="AD176">
        <f>IFERROR(IF(INDEX(Aux_puntos!$A$2:$OJ$901,172,MATCH($B$2&amp;"|yK",Aux_puntos!$1:$1,0))="",NA(),INDEX(Aux_puntos!$A$2:$OJ$901,172,MATCH($B$2&amp;"|yK",Aux_puntos!$1:$1,0))),NA())</f>
        <v/>
      </c>
      <c r="AE176">
        <f>IFERROR(IF(INDEX(Aux_puntos!$A$2:$OJ$901,172,MATCH($B$2&amp;"|xC",Aux_puntos!$1:$1,0))="",NA(),INDEX(Aux_puntos!$A$2:$OJ$901,172,MATCH($B$2&amp;"|xC",Aux_puntos!$1:$1,0))),NA())</f>
        <v/>
      </c>
      <c r="AF176">
        <f>IFERROR(IF(INDEX(Aux_puntos!$A$2:$OJ$901,172,MATCH($B$2&amp;"|yC",Aux_puntos!$1:$1,0))="",NA(),INDEX(Aux_puntos!$A$2:$OJ$901,172,MATCH($B$2&amp;"|yC",Aux_puntos!$1:$1,0))),NA())</f>
        <v/>
      </c>
      <c r="AG176">
        <f>IFERROR(IF(INDEX(Aux_puntos!$A$2:$OJ$901,172,MATCH($B$2&amp;"|xI",Aux_puntos!$1:$1,0))="",NA(),INDEX(Aux_puntos!$A$2:$OJ$901,172,MATCH($B$2&amp;"|xI",Aux_puntos!$1:$1,0))),NA())</f>
        <v/>
      </c>
      <c r="AH176">
        <f>IFERROR(IF(INDEX(Aux_puntos!$A$2:$OJ$901,172,MATCH($B$2&amp;"|yI",Aux_puntos!$1:$1,0))="",NA(),INDEX(Aux_puntos!$A$2:$OJ$901,172,MATCH($B$2&amp;"|yI",Aux_puntos!$1:$1,0))),NA())</f>
        <v/>
      </c>
      <c r="AI176">
        <f>IFERROR(IF(INDEX(Aux_puntos!$A$2:$OJ$901,172,MATCH($B$2&amp;"|xN",Aux_puntos!$1:$1,0))="",NA(),INDEX(Aux_puntos!$A$2:$OJ$901,172,MATCH($B$2&amp;"|xN",Aux_puntos!$1:$1,0))),NA())</f>
        <v/>
      </c>
      <c r="AJ176">
        <f>IFERROR(IF(INDEX(Aux_puntos!$A$2:$OJ$901,172,MATCH($B$2&amp;"|yN",Aux_puntos!$1:$1,0))="",NA(),INDEX(Aux_puntos!$A$2:$OJ$901,172,MATCH($B$2&amp;"|yN",Aux_puntos!$1:$1,0))),NA())</f>
        <v/>
      </c>
    </row>
    <row r="177">
      <c r="AC177">
        <f>IFERROR(IF(INDEX(Aux_puntos!$A$2:$OJ$901,173,MATCH($B$2&amp;"|xK",Aux_puntos!$1:$1,0))="",NA(),INDEX(Aux_puntos!$A$2:$OJ$901,173,MATCH($B$2&amp;"|xK",Aux_puntos!$1:$1,0))),NA())</f>
        <v/>
      </c>
      <c r="AD177">
        <f>IFERROR(IF(INDEX(Aux_puntos!$A$2:$OJ$901,173,MATCH($B$2&amp;"|yK",Aux_puntos!$1:$1,0))="",NA(),INDEX(Aux_puntos!$A$2:$OJ$901,173,MATCH($B$2&amp;"|yK",Aux_puntos!$1:$1,0))),NA())</f>
        <v/>
      </c>
      <c r="AE177">
        <f>IFERROR(IF(INDEX(Aux_puntos!$A$2:$OJ$901,173,MATCH($B$2&amp;"|xC",Aux_puntos!$1:$1,0))="",NA(),INDEX(Aux_puntos!$A$2:$OJ$901,173,MATCH($B$2&amp;"|xC",Aux_puntos!$1:$1,0))),NA())</f>
        <v/>
      </c>
      <c r="AF177">
        <f>IFERROR(IF(INDEX(Aux_puntos!$A$2:$OJ$901,173,MATCH($B$2&amp;"|yC",Aux_puntos!$1:$1,0))="",NA(),INDEX(Aux_puntos!$A$2:$OJ$901,173,MATCH($B$2&amp;"|yC",Aux_puntos!$1:$1,0))),NA())</f>
        <v/>
      </c>
      <c r="AG177">
        <f>IFERROR(IF(INDEX(Aux_puntos!$A$2:$OJ$901,173,MATCH($B$2&amp;"|xI",Aux_puntos!$1:$1,0))="",NA(),INDEX(Aux_puntos!$A$2:$OJ$901,173,MATCH($B$2&amp;"|xI",Aux_puntos!$1:$1,0))),NA())</f>
        <v/>
      </c>
      <c r="AH177">
        <f>IFERROR(IF(INDEX(Aux_puntos!$A$2:$OJ$901,173,MATCH($B$2&amp;"|yI",Aux_puntos!$1:$1,0))="",NA(),INDEX(Aux_puntos!$A$2:$OJ$901,173,MATCH($B$2&amp;"|yI",Aux_puntos!$1:$1,0))),NA())</f>
        <v/>
      </c>
      <c r="AI177">
        <f>IFERROR(IF(INDEX(Aux_puntos!$A$2:$OJ$901,173,MATCH($B$2&amp;"|xN",Aux_puntos!$1:$1,0))="",NA(),INDEX(Aux_puntos!$A$2:$OJ$901,173,MATCH($B$2&amp;"|xN",Aux_puntos!$1:$1,0))),NA())</f>
        <v/>
      </c>
      <c r="AJ177">
        <f>IFERROR(IF(INDEX(Aux_puntos!$A$2:$OJ$901,173,MATCH($B$2&amp;"|yN",Aux_puntos!$1:$1,0))="",NA(),INDEX(Aux_puntos!$A$2:$OJ$901,173,MATCH($B$2&amp;"|yN",Aux_puntos!$1:$1,0))),NA())</f>
        <v/>
      </c>
    </row>
    <row r="178">
      <c r="AC178">
        <f>IFERROR(IF(INDEX(Aux_puntos!$A$2:$OJ$901,174,MATCH($B$2&amp;"|xK",Aux_puntos!$1:$1,0))="",NA(),INDEX(Aux_puntos!$A$2:$OJ$901,174,MATCH($B$2&amp;"|xK",Aux_puntos!$1:$1,0))),NA())</f>
        <v/>
      </c>
      <c r="AD178">
        <f>IFERROR(IF(INDEX(Aux_puntos!$A$2:$OJ$901,174,MATCH($B$2&amp;"|yK",Aux_puntos!$1:$1,0))="",NA(),INDEX(Aux_puntos!$A$2:$OJ$901,174,MATCH($B$2&amp;"|yK",Aux_puntos!$1:$1,0))),NA())</f>
        <v/>
      </c>
      <c r="AE178">
        <f>IFERROR(IF(INDEX(Aux_puntos!$A$2:$OJ$901,174,MATCH($B$2&amp;"|xC",Aux_puntos!$1:$1,0))="",NA(),INDEX(Aux_puntos!$A$2:$OJ$901,174,MATCH($B$2&amp;"|xC",Aux_puntos!$1:$1,0))),NA())</f>
        <v/>
      </c>
      <c r="AF178">
        <f>IFERROR(IF(INDEX(Aux_puntos!$A$2:$OJ$901,174,MATCH($B$2&amp;"|yC",Aux_puntos!$1:$1,0))="",NA(),INDEX(Aux_puntos!$A$2:$OJ$901,174,MATCH($B$2&amp;"|yC",Aux_puntos!$1:$1,0))),NA())</f>
        <v/>
      </c>
      <c r="AG178">
        <f>IFERROR(IF(INDEX(Aux_puntos!$A$2:$OJ$901,174,MATCH($B$2&amp;"|xI",Aux_puntos!$1:$1,0))="",NA(),INDEX(Aux_puntos!$A$2:$OJ$901,174,MATCH($B$2&amp;"|xI",Aux_puntos!$1:$1,0))),NA())</f>
        <v/>
      </c>
      <c r="AH178">
        <f>IFERROR(IF(INDEX(Aux_puntos!$A$2:$OJ$901,174,MATCH($B$2&amp;"|yI",Aux_puntos!$1:$1,0))="",NA(),INDEX(Aux_puntos!$A$2:$OJ$901,174,MATCH($B$2&amp;"|yI",Aux_puntos!$1:$1,0))),NA())</f>
        <v/>
      </c>
      <c r="AI178">
        <f>IFERROR(IF(INDEX(Aux_puntos!$A$2:$OJ$901,174,MATCH($B$2&amp;"|xN",Aux_puntos!$1:$1,0))="",NA(),INDEX(Aux_puntos!$A$2:$OJ$901,174,MATCH($B$2&amp;"|xN",Aux_puntos!$1:$1,0))),NA())</f>
        <v/>
      </c>
      <c r="AJ178">
        <f>IFERROR(IF(INDEX(Aux_puntos!$A$2:$OJ$901,174,MATCH($B$2&amp;"|yN",Aux_puntos!$1:$1,0))="",NA(),INDEX(Aux_puntos!$A$2:$OJ$901,174,MATCH($B$2&amp;"|yN",Aux_puntos!$1:$1,0))),NA())</f>
        <v/>
      </c>
    </row>
    <row r="179">
      <c r="AC179">
        <f>IFERROR(IF(INDEX(Aux_puntos!$A$2:$OJ$901,175,MATCH($B$2&amp;"|xK",Aux_puntos!$1:$1,0))="",NA(),INDEX(Aux_puntos!$A$2:$OJ$901,175,MATCH($B$2&amp;"|xK",Aux_puntos!$1:$1,0))),NA())</f>
        <v/>
      </c>
      <c r="AD179">
        <f>IFERROR(IF(INDEX(Aux_puntos!$A$2:$OJ$901,175,MATCH($B$2&amp;"|yK",Aux_puntos!$1:$1,0))="",NA(),INDEX(Aux_puntos!$A$2:$OJ$901,175,MATCH($B$2&amp;"|yK",Aux_puntos!$1:$1,0))),NA())</f>
        <v/>
      </c>
      <c r="AE179">
        <f>IFERROR(IF(INDEX(Aux_puntos!$A$2:$OJ$901,175,MATCH($B$2&amp;"|xC",Aux_puntos!$1:$1,0))="",NA(),INDEX(Aux_puntos!$A$2:$OJ$901,175,MATCH($B$2&amp;"|xC",Aux_puntos!$1:$1,0))),NA())</f>
        <v/>
      </c>
      <c r="AF179">
        <f>IFERROR(IF(INDEX(Aux_puntos!$A$2:$OJ$901,175,MATCH($B$2&amp;"|yC",Aux_puntos!$1:$1,0))="",NA(),INDEX(Aux_puntos!$A$2:$OJ$901,175,MATCH($B$2&amp;"|yC",Aux_puntos!$1:$1,0))),NA())</f>
        <v/>
      </c>
      <c r="AG179">
        <f>IFERROR(IF(INDEX(Aux_puntos!$A$2:$OJ$901,175,MATCH($B$2&amp;"|xI",Aux_puntos!$1:$1,0))="",NA(),INDEX(Aux_puntos!$A$2:$OJ$901,175,MATCH($B$2&amp;"|xI",Aux_puntos!$1:$1,0))),NA())</f>
        <v/>
      </c>
      <c r="AH179">
        <f>IFERROR(IF(INDEX(Aux_puntos!$A$2:$OJ$901,175,MATCH($B$2&amp;"|yI",Aux_puntos!$1:$1,0))="",NA(),INDEX(Aux_puntos!$A$2:$OJ$901,175,MATCH($B$2&amp;"|yI",Aux_puntos!$1:$1,0))),NA())</f>
        <v/>
      </c>
      <c r="AI179">
        <f>IFERROR(IF(INDEX(Aux_puntos!$A$2:$OJ$901,175,MATCH($B$2&amp;"|xN",Aux_puntos!$1:$1,0))="",NA(),INDEX(Aux_puntos!$A$2:$OJ$901,175,MATCH($B$2&amp;"|xN",Aux_puntos!$1:$1,0))),NA())</f>
        <v/>
      </c>
      <c r="AJ179">
        <f>IFERROR(IF(INDEX(Aux_puntos!$A$2:$OJ$901,175,MATCH($B$2&amp;"|yN",Aux_puntos!$1:$1,0))="",NA(),INDEX(Aux_puntos!$A$2:$OJ$901,175,MATCH($B$2&amp;"|yN",Aux_puntos!$1:$1,0))),NA())</f>
        <v/>
      </c>
    </row>
    <row r="180">
      <c r="AC180">
        <f>IFERROR(IF(INDEX(Aux_puntos!$A$2:$OJ$901,176,MATCH($B$2&amp;"|xK",Aux_puntos!$1:$1,0))="",NA(),INDEX(Aux_puntos!$A$2:$OJ$901,176,MATCH($B$2&amp;"|xK",Aux_puntos!$1:$1,0))),NA())</f>
        <v/>
      </c>
      <c r="AD180">
        <f>IFERROR(IF(INDEX(Aux_puntos!$A$2:$OJ$901,176,MATCH($B$2&amp;"|yK",Aux_puntos!$1:$1,0))="",NA(),INDEX(Aux_puntos!$A$2:$OJ$901,176,MATCH($B$2&amp;"|yK",Aux_puntos!$1:$1,0))),NA())</f>
        <v/>
      </c>
      <c r="AE180">
        <f>IFERROR(IF(INDEX(Aux_puntos!$A$2:$OJ$901,176,MATCH($B$2&amp;"|xC",Aux_puntos!$1:$1,0))="",NA(),INDEX(Aux_puntos!$A$2:$OJ$901,176,MATCH($B$2&amp;"|xC",Aux_puntos!$1:$1,0))),NA())</f>
        <v/>
      </c>
      <c r="AF180">
        <f>IFERROR(IF(INDEX(Aux_puntos!$A$2:$OJ$901,176,MATCH($B$2&amp;"|yC",Aux_puntos!$1:$1,0))="",NA(),INDEX(Aux_puntos!$A$2:$OJ$901,176,MATCH($B$2&amp;"|yC",Aux_puntos!$1:$1,0))),NA())</f>
        <v/>
      </c>
      <c r="AG180">
        <f>IFERROR(IF(INDEX(Aux_puntos!$A$2:$OJ$901,176,MATCH($B$2&amp;"|xI",Aux_puntos!$1:$1,0))="",NA(),INDEX(Aux_puntos!$A$2:$OJ$901,176,MATCH($B$2&amp;"|xI",Aux_puntos!$1:$1,0))),NA())</f>
        <v/>
      </c>
      <c r="AH180">
        <f>IFERROR(IF(INDEX(Aux_puntos!$A$2:$OJ$901,176,MATCH($B$2&amp;"|yI",Aux_puntos!$1:$1,0))="",NA(),INDEX(Aux_puntos!$A$2:$OJ$901,176,MATCH($B$2&amp;"|yI",Aux_puntos!$1:$1,0))),NA())</f>
        <v/>
      </c>
      <c r="AI180">
        <f>IFERROR(IF(INDEX(Aux_puntos!$A$2:$OJ$901,176,MATCH($B$2&amp;"|xN",Aux_puntos!$1:$1,0))="",NA(),INDEX(Aux_puntos!$A$2:$OJ$901,176,MATCH($B$2&amp;"|xN",Aux_puntos!$1:$1,0))),NA())</f>
        <v/>
      </c>
      <c r="AJ180">
        <f>IFERROR(IF(INDEX(Aux_puntos!$A$2:$OJ$901,176,MATCH($B$2&amp;"|yN",Aux_puntos!$1:$1,0))="",NA(),INDEX(Aux_puntos!$A$2:$OJ$901,176,MATCH($B$2&amp;"|yN",Aux_puntos!$1:$1,0))),NA())</f>
        <v/>
      </c>
    </row>
    <row r="181">
      <c r="AC181">
        <f>IFERROR(IF(INDEX(Aux_puntos!$A$2:$OJ$901,177,MATCH($B$2&amp;"|xK",Aux_puntos!$1:$1,0))="",NA(),INDEX(Aux_puntos!$A$2:$OJ$901,177,MATCH($B$2&amp;"|xK",Aux_puntos!$1:$1,0))),NA())</f>
        <v/>
      </c>
      <c r="AD181">
        <f>IFERROR(IF(INDEX(Aux_puntos!$A$2:$OJ$901,177,MATCH($B$2&amp;"|yK",Aux_puntos!$1:$1,0))="",NA(),INDEX(Aux_puntos!$A$2:$OJ$901,177,MATCH($B$2&amp;"|yK",Aux_puntos!$1:$1,0))),NA())</f>
        <v/>
      </c>
      <c r="AE181">
        <f>IFERROR(IF(INDEX(Aux_puntos!$A$2:$OJ$901,177,MATCH($B$2&amp;"|xC",Aux_puntos!$1:$1,0))="",NA(),INDEX(Aux_puntos!$A$2:$OJ$901,177,MATCH($B$2&amp;"|xC",Aux_puntos!$1:$1,0))),NA())</f>
        <v/>
      </c>
      <c r="AF181">
        <f>IFERROR(IF(INDEX(Aux_puntos!$A$2:$OJ$901,177,MATCH($B$2&amp;"|yC",Aux_puntos!$1:$1,0))="",NA(),INDEX(Aux_puntos!$A$2:$OJ$901,177,MATCH($B$2&amp;"|yC",Aux_puntos!$1:$1,0))),NA())</f>
        <v/>
      </c>
      <c r="AG181">
        <f>IFERROR(IF(INDEX(Aux_puntos!$A$2:$OJ$901,177,MATCH($B$2&amp;"|xI",Aux_puntos!$1:$1,0))="",NA(),INDEX(Aux_puntos!$A$2:$OJ$901,177,MATCH($B$2&amp;"|xI",Aux_puntos!$1:$1,0))),NA())</f>
        <v/>
      </c>
      <c r="AH181">
        <f>IFERROR(IF(INDEX(Aux_puntos!$A$2:$OJ$901,177,MATCH($B$2&amp;"|yI",Aux_puntos!$1:$1,0))="",NA(),INDEX(Aux_puntos!$A$2:$OJ$901,177,MATCH($B$2&amp;"|yI",Aux_puntos!$1:$1,0))),NA())</f>
        <v/>
      </c>
      <c r="AI181">
        <f>IFERROR(IF(INDEX(Aux_puntos!$A$2:$OJ$901,177,MATCH($B$2&amp;"|xN",Aux_puntos!$1:$1,0))="",NA(),INDEX(Aux_puntos!$A$2:$OJ$901,177,MATCH($B$2&amp;"|xN",Aux_puntos!$1:$1,0))),NA())</f>
        <v/>
      </c>
      <c r="AJ181">
        <f>IFERROR(IF(INDEX(Aux_puntos!$A$2:$OJ$901,177,MATCH($B$2&amp;"|yN",Aux_puntos!$1:$1,0))="",NA(),INDEX(Aux_puntos!$A$2:$OJ$901,177,MATCH($B$2&amp;"|yN",Aux_puntos!$1:$1,0))),NA())</f>
        <v/>
      </c>
    </row>
    <row r="182">
      <c r="AC182">
        <f>IFERROR(IF(INDEX(Aux_puntos!$A$2:$OJ$901,178,MATCH($B$2&amp;"|xK",Aux_puntos!$1:$1,0))="",NA(),INDEX(Aux_puntos!$A$2:$OJ$901,178,MATCH($B$2&amp;"|xK",Aux_puntos!$1:$1,0))),NA())</f>
        <v/>
      </c>
      <c r="AD182">
        <f>IFERROR(IF(INDEX(Aux_puntos!$A$2:$OJ$901,178,MATCH($B$2&amp;"|yK",Aux_puntos!$1:$1,0))="",NA(),INDEX(Aux_puntos!$A$2:$OJ$901,178,MATCH($B$2&amp;"|yK",Aux_puntos!$1:$1,0))),NA())</f>
        <v/>
      </c>
      <c r="AE182">
        <f>IFERROR(IF(INDEX(Aux_puntos!$A$2:$OJ$901,178,MATCH($B$2&amp;"|xC",Aux_puntos!$1:$1,0))="",NA(),INDEX(Aux_puntos!$A$2:$OJ$901,178,MATCH($B$2&amp;"|xC",Aux_puntos!$1:$1,0))),NA())</f>
        <v/>
      </c>
      <c r="AF182">
        <f>IFERROR(IF(INDEX(Aux_puntos!$A$2:$OJ$901,178,MATCH($B$2&amp;"|yC",Aux_puntos!$1:$1,0))="",NA(),INDEX(Aux_puntos!$A$2:$OJ$901,178,MATCH($B$2&amp;"|yC",Aux_puntos!$1:$1,0))),NA())</f>
        <v/>
      </c>
      <c r="AG182">
        <f>IFERROR(IF(INDEX(Aux_puntos!$A$2:$OJ$901,178,MATCH($B$2&amp;"|xI",Aux_puntos!$1:$1,0))="",NA(),INDEX(Aux_puntos!$A$2:$OJ$901,178,MATCH($B$2&amp;"|xI",Aux_puntos!$1:$1,0))),NA())</f>
        <v/>
      </c>
      <c r="AH182">
        <f>IFERROR(IF(INDEX(Aux_puntos!$A$2:$OJ$901,178,MATCH($B$2&amp;"|yI",Aux_puntos!$1:$1,0))="",NA(),INDEX(Aux_puntos!$A$2:$OJ$901,178,MATCH($B$2&amp;"|yI",Aux_puntos!$1:$1,0))),NA())</f>
        <v/>
      </c>
      <c r="AI182">
        <f>IFERROR(IF(INDEX(Aux_puntos!$A$2:$OJ$901,178,MATCH($B$2&amp;"|xN",Aux_puntos!$1:$1,0))="",NA(),INDEX(Aux_puntos!$A$2:$OJ$901,178,MATCH($B$2&amp;"|xN",Aux_puntos!$1:$1,0))),NA())</f>
        <v/>
      </c>
      <c r="AJ182">
        <f>IFERROR(IF(INDEX(Aux_puntos!$A$2:$OJ$901,178,MATCH($B$2&amp;"|yN",Aux_puntos!$1:$1,0))="",NA(),INDEX(Aux_puntos!$A$2:$OJ$901,178,MATCH($B$2&amp;"|yN",Aux_puntos!$1:$1,0))),NA())</f>
        <v/>
      </c>
    </row>
    <row r="183">
      <c r="AC183">
        <f>IFERROR(IF(INDEX(Aux_puntos!$A$2:$OJ$901,179,MATCH($B$2&amp;"|xK",Aux_puntos!$1:$1,0))="",NA(),INDEX(Aux_puntos!$A$2:$OJ$901,179,MATCH($B$2&amp;"|xK",Aux_puntos!$1:$1,0))),NA())</f>
        <v/>
      </c>
      <c r="AD183">
        <f>IFERROR(IF(INDEX(Aux_puntos!$A$2:$OJ$901,179,MATCH($B$2&amp;"|yK",Aux_puntos!$1:$1,0))="",NA(),INDEX(Aux_puntos!$A$2:$OJ$901,179,MATCH($B$2&amp;"|yK",Aux_puntos!$1:$1,0))),NA())</f>
        <v/>
      </c>
      <c r="AE183">
        <f>IFERROR(IF(INDEX(Aux_puntos!$A$2:$OJ$901,179,MATCH($B$2&amp;"|xC",Aux_puntos!$1:$1,0))="",NA(),INDEX(Aux_puntos!$A$2:$OJ$901,179,MATCH($B$2&amp;"|xC",Aux_puntos!$1:$1,0))),NA())</f>
        <v/>
      </c>
      <c r="AF183">
        <f>IFERROR(IF(INDEX(Aux_puntos!$A$2:$OJ$901,179,MATCH($B$2&amp;"|yC",Aux_puntos!$1:$1,0))="",NA(),INDEX(Aux_puntos!$A$2:$OJ$901,179,MATCH($B$2&amp;"|yC",Aux_puntos!$1:$1,0))),NA())</f>
        <v/>
      </c>
      <c r="AG183">
        <f>IFERROR(IF(INDEX(Aux_puntos!$A$2:$OJ$901,179,MATCH($B$2&amp;"|xI",Aux_puntos!$1:$1,0))="",NA(),INDEX(Aux_puntos!$A$2:$OJ$901,179,MATCH($B$2&amp;"|xI",Aux_puntos!$1:$1,0))),NA())</f>
        <v/>
      </c>
      <c r="AH183">
        <f>IFERROR(IF(INDEX(Aux_puntos!$A$2:$OJ$901,179,MATCH($B$2&amp;"|yI",Aux_puntos!$1:$1,0))="",NA(),INDEX(Aux_puntos!$A$2:$OJ$901,179,MATCH($B$2&amp;"|yI",Aux_puntos!$1:$1,0))),NA())</f>
        <v/>
      </c>
      <c r="AI183">
        <f>IFERROR(IF(INDEX(Aux_puntos!$A$2:$OJ$901,179,MATCH($B$2&amp;"|xN",Aux_puntos!$1:$1,0))="",NA(),INDEX(Aux_puntos!$A$2:$OJ$901,179,MATCH($B$2&amp;"|xN",Aux_puntos!$1:$1,0))),NA())</f>
        <v/>
      </c>
      <c r="AJ183">
        <f>IFERROR(IF(INDEX(Aux_puntos!$A$2:$OJ$901,179,MATCH($B$2&amp;"|yN",Aux_puntos!$1:$1,0))="",NA(),INDEX(Aux_puntos!$A$2:$OJ$901,179,MATCH($B$2&amp;"|yN",Aux_puntos!$1:$1,0))),NA())</f>
        <v/>
      </c>
    </row>
    <row r="184">
      <c r="AC184">
        <f>IFERROR(IF(INDEX(Aux_puntos!$A$2:$OJ$901,180,MATCH($B$2&amp;"|xK",Aux_puntos!$1:$1,0))="",NA(),INDEX(Aux_puntos!$A$2:$OJ$901,180,MATCH($B$2&amp;"|xK",Aux_puntos!$1:$1,0))),NA())</f>
        <v/>
      </c>
      <c r="AD184">
        <f>IFERROR(IF(INDEX(Aux_puntos!$A$2:$OJ$901,180,MATCH($B$2&amp;"|yK",Aux_puntos!$1:$1,0))="",NA(),INDEX(Aux_puntos!$A$2:$OJ$901,180,MATCH($B$2&amp;"|yK",Aux_puntos!$1:$1,0))),NA())</f>
        <v/>
      </c>
      <c r="AE184">
        <f>IFERROR(IF(INDEX(Aux_puntos!$A$2:$OJ$901,180,MATCH($B$2&amp;"|xC",Aux_puntos!$1:$1,0))="",NA(),INDEX(Aux_puntos!$A$2:$OJ$901,180,MATCH($B$2&amp;"|xC",Aux_puntos!$1:$1,0))),NA())</f>
        <v/>
      </c>
      <c r="AF184">
        <f>IFERROR(IF(INDEX(Aux_puntos!$A$2:$OJ$901,180,MATCH($B$2&amp;"|yC",Aux_puntos!$1:$1,0))="",NA(),INDEX(Aux_puntos!$A$2:$OJ$901,180,MATCH($B$2&amp;"|yC",Aux_puntos!$1:$1,0))),NA())</f>
        <v/>
      </c>
      <c r="AG184">
        <f>IFERROR(IF(INDEX(Aux_puntos!$A$2:$OJ$901,180,MATCH($B$2&amp;"|xI",Aux_puntos!$1:$1,0))="",NA(),INDEX(Aux_puntos!$A$2:$OJ$901,180,MATCH($B$2&amp;"|xI",Aux_puntos!$1:$1,0))),NA())</f>
        <v/>
      </c>
      <c r="AH184">
        <f>IFERROR(IF(INDEX(Aux_puntos!$A$2:$OJ$901,180,MATCH($B$2&amp;"|yI",Aux_puntos!$1:$1,0))="",NA(),INDEX(Aux_puntos!$A$2:$OJ$901,180,MATCH($B$2&amp;"|yI",Aux_puntos!$1:$1,0))),NA())</f>
        <v/>
      </c>
      <c r="AI184">
        <f>IFERROR(IF(INDEX(Aux_puntos!$A$2:$OJ$901,180,MATCH($B$2&amp;"|xN",Aux_puntos!$1:$1,0))="",NA(),INDEX(Aux_puntos!$A$2:$OJ$901,180,MATCH($B$2&amp;"|xN",Aux_puntos!$1:$1,0))),NA())</f>
        <v/>
      </c>
      <c r="AJ184">
        <f>IFERROR(IF(INDEX(Aux_puntos!$A$2:$OJ$901,180,MATCH($B$2&amp;"|yN",Aux_puntos!$1:$1,0))="",NA(),INDEX(Aux_puntos!$A$2:$OJ$901,180,MATCH($B$2&amp;"|yN",Aux_puntos!$1:$1,0))),NA())</f>
        <v/>
      </c>
    </row>
    <row r="185">
      <c r="AC185">
        <f>IFERROR(IF(INDEX(Aux_puntos!$A$2:$OJ$901,181,MATCH($B$2&amp;"|xK",Aux_puntos!$1:$1,0))="",NA(),INDEX(Aux_puntos!$A$2:$OJ$901,181,MATCH($B$2&amp;"|xK",Aux_puntos!$1:$1,0))),NA())</f>
        <v/>
      </c>
      <c r="AD185">
        <f>IFERROR(IF(INDEX(Aux_puntos!$A$2:$OJ$901,181,MATCH($B$2&amp;"|yK",Aux_puntos!$1:$1,0))="",NA(),INDEX(Aux_puntos!$A$2:$OJ$901,181,MATCH($B$2&amp;"|yK",Aux_puntos!$1:$1,0))),NA())</f>
        <v/>
      </c>
      <c r="AE185">
        <f>IFERROR(IF(INDEX(Aux_puntos!$A$2:$OJ$901,181,MATCH($B$2&amp;"|xC",Aux_puntos!$1:$1,0))="",NA(),INDEX(Aux_puntos!$A$2:$OJ$901,181,MATCH($B$2&amp;"|xC",Aux_puntos!$1:$1,0))),NA())</f>
        <v/>
      </c>
      <c r="AF185">
        <f>IFERROR(IF(INDEX(Aux_puntos!$A$2:$OJ$901,181,MATCH($B$2&amp;"|yC",Aux_puntos!$1:$1,0))="",NA(),INDEX(Aux_puntos!$A$2:$OJ$901,181,MATCH($B$2&amp;"|yC",Aux_puntos!$1:$1,0))),NA())</f>
        <v/>
      </c>
      <c r="AG185">
        <f>IFERROR(IF(INDEX(Aux_puntos!$A$2:$OJ$901,181,MATCH($B$2&amp;"|xI",Aux_puntos!$1:$1,0))="",NA(),INDEX(Aux_puntos!$A$2:$OJ$901,181,MATCH($B$2&amp;"|xI",Aux_puntos!$1:$1,0))),NA())</f>
        <v/>
      </c>
      <c r="AH185">
        <f>IFERROR(IF(INDEX(Aux_puntos!$A$2:$OJ$901,181,MATCH($B$2&amp;"|yI",Aux_puntos!$1:$1,0))="",NA(),INDEX(Aux_puntos!$A$2:$OJ$901,181,MATCH($B$2&amp;"|yI",Aux_puntos!$1:$1,0))),NA())</f>
        <v/>
      </c>
      <c r="AI185">
        <f>IFERROR(IF(INDEX(Aux_puntos!$A$2:$OJ$901,181,MATCH($B$2&amp;"|xN",Aux_puntos!$1:$1,0))="",NA(),INDEX(Aux_puntos!$A$2:$OJ$901,181,MATCH($B$2&amp;"|xN",Aux_puntos!$1:$1,0))),NA())</f>
        <v/>
      </c>
      <c r="AJ185">
        <f>IFERROR(IF(INDEX(Aux_puntos!$A$2:$OJ$901,181,MATCH($B$2&amp;"|yN",Aux_puntos!$1:$1,0))="",NA(),INDEX(Aux_puntos!$A$2:$OJ$901,181,MATCH($B$2&amp;"|yN",Aux_puntos!$1:$1,0))),NA())</f>
        <v/>
      </c>
    </row>
    <row r="186">
      <c r="AC186">
        <f>IFERROR(IF(INDEX(Aux_puntos!$A$2:$OJ$901,182,MATCH($B$2&amp;"|xK",Aux_puntos!$1:$1,0))="",NA(),INDEX(Aux_puntos!$A$2:$OJ$901,182,MATCH($B$2&amp;"|xK",Aux_puntos!$1:$1,0))),NA())</f>
        <v/>
      </c>
      <c r="AD186">
        <f>IFERROR(IF(INDEX(Aux_puntos!$A$2:$OJ$901,182,MATCH($B$2&amp;"|yK",Aux_puntos!$1:$1,0))="",NA(),INDEX(Aux_puntos!$A$2:$OJ$901,182,MATCH($B$2&amp;"|yK",Aux_puntos!$1:$1,0))),NA())</f>
        <v/>
      </c>
      <c r="AE186">
        <f>IFERROR(IF(INDEX(Aux_puntos!$A$2:$OJ$901,182,MATCH($B$2&amp;"|xC",Aux_puntos!$1:$1,0))="",NA(),INDEX(Aux_puntos!$A$2:$OJ$901,182,MATCH($B$2&amp;"|xC",Aux_puntos!$1:$1,0))),NA())</f>
        <v/>
      </c>
      <c r="AF186">
        <f>IFERROR(IF(INDEX(Aux_puntos!$A$2:$OJ$901,182,MATCH($B$2&amp;"|yC",Aux_puntos!$1:$1,0))="",NA(),INDEX(Aux_puntos!$A$2:$OJ$901,182,MATCH($B$2&amp;"|yC",Aux_puntos!$1:$1,0))),NA())</f>
        <v/>
      </c>
      <c r="AG186">
        <f>IFERROR(IF(INDEX(Aux_puntos!$A$2:$OJ$901,182,MATCH($B$2&amp;"|xI",Aux_puntos!$1:$1,0))="",NA(),INDEX(Aux_puntos!$A$2:$OJ$901,182,MATCH($B$2&amp;"|xI",Aux_puntos!$1:$1,0))),NA())</f>
        <v/>
      </c>
      <c r="AH186">
        <f>IFERROR(IF(INDEX(Aux_puntos!$A$2:$OJ$901,182,MATCH($B$2&amp;"|yI",Aux_puntos!$1:$1,0))="",NA(),INDEX(Aux_puntos!$A$2:$OJ$901,182,MATCH($B$2&amp;"|yI",Aux_puntos!$1:$1,0))),NA())</f>
        <v/>
      </c>
      <c r="AI186">
        <f>IFERROR(IF(INDEX(Aux_puntos!$A$2:$OJ$901,182,MATCH($B$2&amp;"|xN",Aux_puntos!$1:$1,0))="",NA(),INDEX(Aux_puntos!$A$2:$OJ$901,182,MATCH($B$2&amp;"|xN",Aux_puntos!$1:$1,0))),NA())</f>
        <v/>
      </c>
      <c r="AJ186">
        <f>IFERROR(IF(INDEX(Aux_puntos!$A$2:$OJ$901,182,MATCH($B$2&amp;"|yN",Aux_puntos!$1:$1,0))="",NA(),INDEX(Aux_puntos!$A$2:$OJ$901,182,MATCH($B$2&amp;"|yN",Aux_puntos!$1:$1,0))),NA())</f>
        <v/>
      </c>
    </row>
    <row r="187">
      <c r="AC187">
        <f>IFERROR(IF(INDEX(Aux_puntos!$A$2:$OJ$901,183,MATCH($B$2&amp;"|xK",Aux_puntos!$1:$1,0))="",NA(),INDEX(Aux_puntos!$A$2:$OJ$901,183,MATCH($B$2&amp;"|xK",Aux_puntos!$1:$1,0))),NA())</f>
        <v/>
      </c>
      <c r="AD187">
        <f>IFERROR(IF(INDEX(Aux_puntos!$A$2:$OJ$901,183,MATCH($B$2&amp;"|yK",Aux_puntos!$1:$1,0))="",NA(),INDEX(Aux_puntos!$A$2:$OJ$901,183,MATCH($B$2&amp;"|yK",Aux_puntos!$1:$1,0))),NA())</f>
        <v/>
      </c>
      <c r="AE187">
        <f>IFERROR(IF(INDEX(Aux_puntos!$A$2:$OJ$901,183,MATCH($B$2&amp;"|xC",Aux_puntos!$1:$1,0))="",NA(),INDEX(Aux_puntos!$A$2:$OJ$901,183,MATCH($B$2&amp;"|xC",Aux_puntos!$1:$1,0))),NA())</f>
        <v/>
      </c>
      <c r="AF187">
        <f>IFERROR(IF(INDEX(Aux_puntos!$A$2:$OJ$901,183,MATCH($B$2&amp;"|yC",Aux_puntos!$1:$1,0))="",NA(),INDEX(Aux_puntos!$A$2:$OJ$901,183,MATCH($B$2&amp;"|yC",Aux_puntos!$1:$1,0))),NA())</f>
        <v/>
      </c>
      <c r="AG187">
        <f>IFERROR(IF(INDEX(Aux_puntos!$A$2:$OJ$901,183,MATCH($B$2&amp;"|xI",Aux_puntos!$1:$1,0))="",NA(),INDEX(Aux_puntos!$A$2:$OJ$901,183,MATCH($B$2&amp;"|xI",Aux_puntos!$1:$1,0))),NA())</f>
        <v/>
      </c>
      <c r="AH187">
        <f>IFERROR(IF(INDEX(Aux_puntos!$A$2:$OJ$901,183,MATCH($B$2&amp;"|yI",Aux_puntos!$1:$1,0))="",NA(),INDEX(Aux_puntos!$A$2:$OJ$901,183,MATCH($B$2&amp;"|yI",Aux_puntos!$1:$1,0))),NA())</f>
        <v/>
      </c>
      <c r="AI187">
        <f>IFERROR(IF(INDEX(Aux_puntos!$A$2:$OJ$901,183,MATCH($B$2&amp;"|xN",Aux_puntos!$1:$1,0))="",NA(),INDEX(Aux_puntos!$A$2:$OJ$901,183,MATCH($B$2&amp;"|xN",Aux_puntos!$1:$1,0))),NA())</f>
        <v/>
      </c>
      <c r="AJ187">
        <f>IFERROR(IF(INDEX(Aux_puntos!$A$2:$OJ$901,183,MATCH($B$2&amp;"|yN",Aux_puntos!$1:$1,0))="",NA(),INDEX(Aux_puntos!$A$2:$OJ$901,183,MATCH($B$2&amp;"|yN",Aux_puntos!$1:$1,0))),NA())</f>
        <v/>
      </c>
    </row>
    <row r="188">
      <c r="AC188">
        <f>IFERROR(IF(INDEX(Aux_puntos!$A$2:$OJ$901,184,MATCH($B$2&amp;"|xK",Aux_puntos!$1:$1,0))="",NA(),INDEX(Aux_puntos!$A$2:$OJ$901,184,MATCH($B$2&amp;"|xK",Aux_puntos!$1:$1,0))),NA())</f>
        <v/>
      </c>
      <c r="AD188">
        <f>IFERROR(IF(INDEX(Aux_puntos!$A$2:$OJ$901,184,MATCH($B$2&amp;"|yK",Aux_puntos!$1:$1,0))="",NA(),INDEX(Aux_puntos!$A$2:$OJ$901,184,MATCH($B$2&amp;"|yK",Aux_puntos!$1:$1,0))),NA())</f>
        <v/>
      </c>
      <c r="AE188">
        <f>IFERROR(IF(INDEX(Aux_puntos!$A$2:$OJ$901,184,MATCH($B$2&amp;"|xC",Aux_puntos!$1:$1,0))="",NA(),INDEX(Aux_puntos!$A$2:$OJ$901,184,MATCH($B$2&amp;"|xC",Aux_puntos!$1:$1,0))),NA())</f>
        <v/>
      </c>
      <c r="AF188">
        <f>IFERROR(IF(INDEX(Aux_puntos!$A$2:$OJ$901,184,MATCH($B$2&amp;"|yC",Aux_puntos!$1:$1,0))="",NA(),INDEX(Aux_puntos!$A$2:$OJ$901,184,MATCH($B$2&amp;"|yC",Aux_puntos!$1:$1,0))),NA())</f>
        <v/>
      </c>
      <c r="AG188">
        <f>IFERROR(IF(INDEX(Aux_puntos!$A$2:$OJ$901,184,MATCH($B$2&amp;"|xI",Aux_puntos!$1:$1,0))="",NA(),INDEX(Aux_puntos!$A$2:$OJ$901,184,MATCH($B$2&amp;"|xI",Aux_puntos!$1:$1,0))),NA())</f>
        <v/>
      </c>
      <c r="AH188">
        <f>IFERROR(IF(INDEX(Aux_puntos!$A$2:$OJ$901,184,MATCH($B$2&amp;"|yI",Aux_puntos!$1:$1,0))="",NA(),INDEX(Aux_puntos!$A$2:$OJ$901,184,MATCH($B$2&amp;"|yI",Aux_puntos!$1:$1,0))),NA())</f>
        <v/>
      </c>
      <c r="AI188">
        <f>IFERROR(IF(INDEX(Aux_puntos!$A$2:$OJ$901,184,MATCH($B$2&amp;"|xN",Aux_puntos!$1:$1,0))="",NA(),INDEX(Aux_puntos!$A$2:$OJ$901,184,MATCH($B$2&amp;"|xN",Aux_puntos!$1:$1,0))),NA())</f>
        <v/>
      </c>
      <c r="AJ188">
        <f>IFERROR(IF(INDEX(Aux_puntos!$A$2:$OJ$901,184,MATCH($B$2&amp;"|yN",Aux_puntos!$1:$1,0))="",NA(),INDEX(Aux_puntos!$A$2:$OJ$901,184,MATCH($B$2&amp;"|yN",Aux_puntos!$1:$1,0))),NA())</f>
        <v/>
      </c>
    </row>
    <row r="189">
      <c r="AC189">
        <f>IFERROR(IF(INDEX(Aux_puntos!$A$2:$OJ$901,185,MATCH($B$2&amp;"|xK",Aux_puntos!$1:$1,0))="",NA(),INDEX(Aux_puntos!$A$2:$OJ$901,185,MATCH($B$2&amp;"|xK",Aux_puntos!$1:$1,0))),NA())</f>
        <v/>
      </c>
      <c r="AD189">
        <f>IFERROR(IF(INDEX(Aux_puntos!$A$2:$OJ$901,185,MATCH($B$2&amp;"|yK",Aux_puntos!$1:$1,0))="",NA(),INDEX(Aux_puntos!$A$2:$OJ$901,185,MATCH($B$2&amp;"|yK",Aux_puntos!$1:$1,0))),NA())</f>
        <v/>
      </c>
      <c r="AE189">
        <f>IFERROR(IF(INDEX(Aux_puntos!$A$2:$OJ$901,185,MATCH($B$2&amp;"|xC",Aux_puntos!$1:$1,0))="",NA(),INDEX(Aux_puntos!$A$2:$OJ$901,185,MATCH($B$2&amp;"|xC",Aux_puntos!$1:$1,0))),NA())</f>
        <v/>
      </c>
      <c r="AF189">
        <f>IFERROR(IF(INDEX(Aux_puntos!$A$2:$OJ$901,185,MATCH($B$2&amp;"|yC",Aux_puntos!$1:$1,0))="",NA(),INDEX(Aux_puntos!$A$2:$OJ$901,185,MATCH($B$2&amp;"|yC",Aux_puntos!$1:$1,0))),NA())</f>
        <v/>
      </c>
      <c r="AG189">
        <f>IFERROR(IF(INDEX(Aux_puntos!$A$2:$OJ$901,185,MATCH($B$2&amp;"|xI",Aux_puntos!$1:$1,0))="",NA(),INDEX(Aux_puntos!$A$2:$OJ$901,185,MATCH($B$2&amp;"|xI",Aux_puntos!$1:$1,0))),NA())</f>
        <v/>
      </c>
      <c r="AH189">
        <f>IFERROR(IF(INDEX(Aux_puntos!$A$2:$OJ$901,185,MATCH($B$2&amp;"|yI",Aux_puntos!$1:$1,0))="",NA(),INDEX(Aux_puntos!$A$2:$OJ$901,185,MATCH($B$2&amp;"|yI",Aux_puntos!$1:$1,0))),NA())</f>
        <v/>
      </c>
      <c r="AI189">
        <f>IFERROR(IF(INDEX(Aux_puntos!$A$2:$OJ$901,185,MATCH($B$2&amp;"|xN",Aux_puntos!$1:$1,0))="",NA(),INDEX(Aux_puntos!$A$2:$OJ$901,185,MATCH($B$2&amp;"|xN",Aux_puntos!$1:$1,0))),NA())</f>
        <v/>
      </c>
      <c r="AJ189">
        <f>IFERROR(IF(INDEX(Aux_puntos!$A$2:$OJ$901,185,MATCH($B$2&amp;"|yN",Aux_puntos!$1:$1,0))="",NA(),INDEX(Aux_puntos!$A$2:$OJ$901,185,MATCH($B$2&amp;"|yN",Aux_puntos!$1:$1,0))),NA())</f>
        <v/>
      </c>
    </row>
    <row r="190">
      <c r="AC190">
        <f>IFERROR(IF(INDEX(Aux_puntos!$A$2:$OJ$901,186,MATCH($B$2&amp;"|xK",Aux_puntos!$1:$1,0))="",NA(),INDEX(Aux_puntos!$A$2:$OJ$901,186,MATCH($B$2&amp;"|xK",Aux_puntos!$1:$1,0))),NA())</f>
        <v/>
      </c>
      <c r="AD190">
        <f>IFERROR(IF(INDEX(Aux_puntos!$A$2:$OJ$901,186,MATCH($B$2&amp;"|yK",Aux_puntos!$1:$1,0))="",NA(),INDEX(Aux_puntos!$A$2:$OJ$901,186,MATCH($B$2&amp;"|yK",Aux_puntos!$1:$1,0))),NA())</f>
        <v/>
      </c>
      <c r="AE190">
        <f>IFERROR(IF(INDEX(Aux_puntos!$A$2:$OJ$901,186,MATCH($B$2&amp;"|xC",Aux_puntos!$1:$1,0))="",NA(),INDEX(Aux_puntos!$A$2:$OJ$901,186,MATCH($B$2&amp;"|xC",Aux_puntos!$1:$1,0))),NA())</f>
        <v/>
      </c>
      <c r="AF190">
        <f>IFERROR(IF(INDEX(Aux_puntos!$A$2:$OJ$901,186,MATCH($B$2&amp;"|yC",Aux_puntos!$1:$1,0))="",NA(),INDEX(Aux_puntos!$A$2:$OJ$901,186,MATCH($B$2&amp;"|yC",Aux_puntos!$1:$1,0))),NA())</f>
        <v/>
      </c>
      <c r="AG190">
        <f>IFERROR(IF(INDEX(Aux_puntos!$A$2:$OJ$901,186,MATCH($B$2&amp;"|xI",Aux_puntos!$1:$1,0))="",NA(),INDEX(Aux_puntos!$A$2:$OJ$901,186,MATCH($B$2&amp;"|xI",Aux_puntos!$1:$1,0))),NA())</f>
        <v/>
      </c>
      <c r="AH190">
        <f>IFERROR(IF(INDEX(Aux_puntos!$A$2:$OJ$901,186,MATCH($B$2&amp;"|yI",Aux_puntos!$1:$1,0))="",NA(),INDEX(Aux_puntos!$A$2:$OJ$901,186,MATCH($B$2&amp;"|yI",Aux_puntos!$1:$1,0))),NA())</f>
        <v/>
      </c>
      <c r="AI190">
        <f>IFERROR(IF(INDEX(Aux_puntos!$A$2:$OJ$901,186,MATCH($B$2&amp;"|xN",Aux_puntos!$1:$1,0))="",NA(),INDEX(Aux_puntos!$A$2:$OJ$901,186,MATCH($B$2&amp;"|xN",Aux_puntos!$1:$1,0))),NA())</f>
        <v/>
      </c>
      <c r="AJ190">
        <f>IFERROR(IF(INDEX(Aux_puntos!$A$2:$OJ$901,186,MATCH($B$2&amp;"|yN",Aux_puntos!$1:$1,0))="",NA(),INDEX(Aux_puntos!$A$2:$OJ$901,186,MATCH($B$2&amp;"|yN",Aux_puntos!$1:$1,0))),NA())</f>
        <v/>
      </c>
    </row>
    <row r="191">
      <c r="AC191">
        <f>IFERROR(IF(INDEX(Aux_puntos!$A$2:$OJ$901,187,MATCH($B$2&amp;"|xK",Aux_puntos!$1:$1,0))="",NA(),INDEX(Aux_puntos!$A$2:$OJ$901,187,MATCH($B$2&amp;"|xK",Aux_puntos!$1:$1,0))),NA())</f>
        <v/>
      </c>
      <c r="AD191">
        <f>IFERROR(IF(INDEX(Aux_puntos!$A$2:$OJ$901,187,MATCH($B$2&amp;"|yK",Aux_puntos!$1:$1,0))="",NA(),INDEX(Aux_puntos!$A$2:$OJ$901,187,MATCH($B$2&amp;"|yK",Aux_puntos!$1:$1,0))),NA())</f>
        <v/>
      </c>
      <c r="AE191">
        <f>IFERROR(IF(INDEX(Aux_puntos!$A$2:$OJ$901,187,MATCH($B$2&amp;"|xC",Aux_puntos!$1:$1,0))="",NA(),INDEX(Aux_puntos!$A$2:$OJ$901,187,MATCH($B$2&amp;"|xC",Aux_puntos!$1:$1,0))),NA())</f>
        <v/>
      </c>
      <c r="AF191">
        <f>IFERROR(IF(INDEX(Aux_puntos!$A$2:$OJ$901,187,MATCH($B$2&amp;"|yC",Aux_puntos!$1:$1,0))="",NA(),INDEX(Aux_puntos!$A$2:$OJ$901,187,MATCH($B$2&amp;"|yC",Aux_puntos!$1:$1,0))),NA())</f>
        <v/>
      </c>
      <c r="AG191">
        <f>IFERROR(IF(INDEX(Aux_puntos!$A$2:$OJ$901,187,MATCH($B$2&amp;"|xI",Aux_puntos!$1:$1,0))="",NA(),INDEX(Aux_puntos!$A$2:$OJ$901,187,MATCH($B$2&amp;"|xI",Aux_puntos!$1:$1,0))),NA())</f>
        <v/>
      </c>
      <c r="AH191">
        <f>IFERROR(IF(INDEX(Aux_puntos!$A$2:$OJ$901,187,MATCH($B$2&amp;"|yI",Aux_puntos!$1:$1,0))="",NA(),INDEX(Aux_puntos!$A$2:$OJ$901,187,MATCH($B$2&amp;"|yI",Aux_puntos!$1:$1,0))),NA())</f>
        <v/>
      </c>
      <c r="AI191">
        <f>IFERROR(IF(INDEX(Aux_puntos!$A$2:$OJ$901,187,MATCH($B$2&amp;"|xN",Aux_puntos!$1:$1,0))="",NA(),INDEX(Aux_puntos!$A$2:$OJ$901,187,MATCH($B$2&amp;"|xN",Aux_puntos!$1:$1,0))),NA())</f>
        <v/>
      </c>
      <c r="AJ191">
        <f>IFERROR(IF(INDEX(Aux_puntos!$A$2:$OJ$901,187,MATCH($B$2&amp;"|yN",Aux_puntos!$1:$1,0))="",NA(),INDEX(Aux_puntos!$A$2:$OJ$901,187,MATCH($B$2&amp;"|yN",Aux_puntos!$1:$1,0))),NA())</f>
        <v/>
      </c>
    </row>
    <row r="192">
      <c r="AC192">
        <f>IFERROR(IF(INDEX(Aux_puntos!$A$2:$OJ$901,188,MATCH($B$2&amp;"|xK",Aux_puntos!$1:$1,0))="",NA(),INDEX(Aux_puntos!$A$2:$OJ$901,188,MATCH($B$2&amp;"|xK",Aux_puntos!$1:$1,0))),NA())</f>
        <v/>
      </c>
      <c r="AD192">
        <f>IFERROR(IF(INDEX(Aux_puntos!$A$2:$OJ$901,188,MATCH($B$2&amp;"|yK",Aux_puntos!$1:$1,0))="",NA(),INDEX(Aux_puntos!$A$2:$OJ$901,188,MATCH($B$2&amp;"|yK",Aux_puntos!$1:$1,0))),NA())</f>
        <v/>
      </c>
      <c r="AE192">
        <f>IFERROR(IF(INDEX(Aux_puntos!$A$2:$OJ$901,188,MATCH($B$2&amp;"|xC",Aux_puntos!$1:$1,0))="",NA(),INDEX(Aux_puntos!$A$2:$OJ$901,188,MATCH($B$2&amp;"|xC",Aux_puntos!$1:$1,0))),NA())</f>
        <v/>
      </c>
      <c r="AF192">
        <f>IFERROR(IF(INDEX(Aux_puntos!$A$2:$OJ$901,188,MATCH($B$2&amp;"|yC",Aux_puntos!$1:$1,0))="",NA(),INDEX(Aux_puntos!$A$2:$OJ$901,188,MATCH($B$2&amp;"|yC",Aux_puntos!$1:$1,0))),NA())</f>
        <v/>
      </c>
      <c r="AG192">
        <f>IFERROR(IF(INDEX(Aux_puntos!$A$2:$OJ$901,188,MATCH($B$2&amp;"|xI",Aux_puntos!$1:$1,0))="",NA(),INDEX(Aux_puntos!$A$2:$OJ$901,188,MATCH($B$2&amp;"|xI",Aux_puntos!$1:$1,0))),NA())</f>
        <v/>
      </c>
      <c r="AH192">
        <f>IFERROR(IF(INDEX(Aux_puntos!$A$2:$OJ$901,188,MATCH($B$2&amp;"|yI",Aux_puntos!$1:$1,0))="",NA(),INDEX(Aux_puntos!$A$2:$OJ$901,188,MATCH($B$2&amp;"|yI",Aux_puntos!$1:$1,0))),NA())</f>
        <v/>
      </c>
      <c r="AI192">
        <f>IFERROR(IF(INDEX(Aux_puntos!$A$2:$OJ$901,188,MATCH($B$2&amp;"|xN",Aux_puntos!$1:$1,0))="",NA(),INDEX(Aux_puntos!$A$2:$OJ$901,188,MATCH($B$2&amp;"|xN",Aux_puntos!$1:$1,0))),NA())</f>
        <v/>
      </c>
      <c r="AJ192">
        <f>IFERROR(IF(INDEX(Aux_puntos!$A$2:$OJ$901,188,MATCH($B$2&amp;"|yN",Aux_puntos!$1:$1,0))="",NA(),INDEX(Aux_puntos!$A$2:$OJ$901,188,MATCH($B$2&amp;"|yN",Aux_puntos!$1:$1,0))),NA())</f>
        <v/>
      </c>
    </row>
    <row r="193">
      <c r="AC193">
        <f>IFERROR(IF(INDEX(Aux_puntos!$A$2:$OJ$901,189,MATCH($B$2&amp;"|xK",Aux_puntos!$1:$1,0))="",NA(),INDEX(Aux_puntos!$A$2:$OJ$901,189,MATCH($B$2&amp;"|xK",Aux_puntos!$1:$1,0))),NA())</f>
        <v/>
      </c>
      <c r="AD193">
        <f>IFERROR(IF(INDEX(Aux_puntos!$A$2:$OJ$901,189,MATCH($B$2&amp;"|yK",Aux_puntos!$1:$1,0))="",NA(),INDEX(Aux_puntos!$A$2:$OJ$901,189,MATCH($B$2&amp;"|yK",Aux_puntos!$1:$1,0))),NA())</f>
        <v/>
      </c>
      <c r="AE193">
        <f>IFERROR(IF(INDEX(Aux_puntos!$A$2:$OJ$901,189,MATCH($B$2&amp;"|xC",Aux_puntos!$1:$1,0))="",NA(),INDEX(Aux_puntos!$A$2:$OJ$901,189,MATCH($B$2&amp;"|xC",Aux_puntos!$1:$1,0))),NA())</f>
        <v/>
      </c>
      <c r="AF193">
        <f>IFERROR(IF(INDEX(Aux_puntos!$A$2:$OJ$901,189,MATCH($B$2&amp;"|yC",Aux_puntos!$1:$1,0))="",NA(),INDEX(Aux_puntos!$A$2:$OJ$901,189,MATCH($B$2&amp;"|yC",Aux_puntos!$1:$1,0))),NA())</f>
        <v/>
      </c>
      <c r="AG193">
        <f>IFERROR(IF(INDEX(Aux_puntos!$A$2:$OJ$901,189,MATCH($B$2&amp;"|xI",Aux_puntos!$1:$1,0))="",NA(),INDEX(Aux_puntos!$A$2:$OJ$901,189,MATCH($B$2&amp;"|xI",Aux_puntos!$1:$1,0))),NA())</f>
        <v/>
      </c>
      <c r="AH193">
        <f>IFERROR(IF(INDEX(Aux_puntos!$A$2:$OJ$901,189,MATCH($B$2&amp;"|yI",Aux_puntos!$1:$1,0))="",NA(),INDEX(Aux_puntos!$A$2:$OJ$901,189,MATCH($B$2&amp;"|yI",Aux_puntos!$1:$1,0))),NA())</f>
        <v/>
      </c>
      <c r="AI193">
        <f>IFERROR(IF(INDEX(Aux_puntos!$A$2:$OJ$901,189,MATCH($B$2&amp;"|xN",Aux_puntos!$1:$1,0))="",NA(),INDEX(Aux_puntos!$A$2:$OJ$901,189,MATCH($B$2&amp;"|xN",Aux_puntos!$1:$1,0))),NA())</f>
        <v/>
      </c>
      <c r="AJ193">
        <f>IFERROR(IF(INDEX(Aux_puntos!$A$2:$OJ$901,189,MATCH($B$2&amp;"|yN",Aux_puntos!$1:$1,0))="",NA(),INDEX(Aux_puntos!$A$2:$OJ$901,189,MATCH($B$2&amp;"|yN",Aux_puntos!$1:$1,0))),NA())</f>
        <v/>
      </c>
    </row>
    <row r="194">
      <c r="AC194">
        <f>IFERROR(IF(INDEX(Aux_puntos!$A$2:$OJ$901,190,MATCH($B$2&amp;"|xK",Aux_puntos!$1:$1,0))="",NA(),INDEX(Aux_puntos!$A$2:$OJ$901,190,MATCH($B$2&amp;"|xK",Aux_puntos!$1:$1,0))),NA())</f>
        <v/>
      </c>
      <c r="AD194">
        <f>IFERROR(IF(INDEX(Aux_puntos!$A$2:$OJ$901,190,MATCH($B$2&amp;"|yK",Aux_puntos!$1:$1,0))="",NA(),INDEX(Aux_puntos!$A$2:$OJ$901,190,MATCH($B$2&amp;"|yK",Aux_puntos!$1:$1,0))),NA())</f>
        <v/>
      </c>
      <c r="AE194">
        <f>IFERROR(IF(INDEX(Aux_puntos!$A$2:$OJ$901,190,MATCH($B$2&amp;"|xC",Aux_puntos!$1:$1,0))="",NA(),INDEX(Aux_puntos!$A$2:$OJ$901,190,MATCH($B$2&amp;"|xC",Aux_puntos!$1:$1,0))),NA())</f>
        <v/>
      </c>
      <c r="AF194">
        <f>IFERROR(IF(INDEX(Aux_puntos!$A$2:$OJ$901,190,MATCH($B$2&amp;"|yC",Aux_puntos!$1:$1,0))="",NA(),INDEX(Aux_puntos!$A$2:$OJ$901,190,MATCH($B$2&amp;"|yC",Aux_puntos!$1:$1,0))),NA())</f>
        <v/>
      </c>
      <c r="AG194">
        <f>IFERROR(IF(INDEX(Aux_puntos!$A$2:$OJ$901,190,MATCH($B$2&amp;"|xI",Aux_puntos!$1:$1,0))="",NA(),INDEX(Aux_puntos!$A$2:$OJ$901,190,MATCH($B$2&amp;"|xI",Aux_puntos!$1:$1,0))),NA())</f>
        <v/>
      </c>
      <c r="AH194">
        <f>IFERROR(IF(INDEX(Aux_puntos!$A$2:$OJ$901,190,MATCH($B$2&amp;"|yI",Aux_puntos!$1:$1,0))="",NA(),INDEX(Aux_puntos!$A$2:$OJ$901,190,MATCH($B$2&amp;"|yI",Aux_puntos!$1:$1,0))),NA())</f>
        <v/>
      </c>
      <c r="AI194">
        <f>IFERROR(IF(INDEX(Aux_puntos!$A$2:$OJ$901,190,MATCH($B$2&amp;"|xN",Aux_puntos!$1:$1,0))="",NA(),INDEX(Aux_puntos!$A$2:$OJ$901,190,MATCH($B$2&amp;"|xN",Aux_puntos!$1:$1,0))),NA())</f>
        <v/>
      </c>
      <c r="AJ194">
        <f>IFERROR(IF(INDEX(Aux_puntos!$A$2:$OJ$901,190,MATCH($B$2&amp;"|yN",Aux_puntos!$1:$1,0))="",NA(),INDEX(Aux_puntos!$A$2:$OJ$901,190,MATCH($B$2&amp;"|yN",Aux_puntos!$1:$1,0))),NA())</f>
        <v/>
      </c>
    </row>
    <row r="195">
      <c r="AC195">
        <f>IFERROR(IF(INDEX(Aux_puntos!$A$2:$OJ$901,191,MATCH($B$2&amp;"|xK",Aux_puntos!$1:$1,0))="",NA(),INDEX(Aux_puntos!$A$2:$OJ$901,191,MATCH($B$2&amp;"|xK",Aux_puntos!$1:$1,0))),NA())</f>
        <v/>
      </c>
      <c r="AD195">
        <f>IFERROR(IF(INDEX(Aux_puntos!$A$2:$OJ$901,191,MATCH($B$2&amp;"|yK",Aux_puntos!$1:$1,0))="",NA(),INDEX(Aux_puntos!$A$2:$OJ$901,191,MATCH($B$2&amp;"|yK",Aux_puntos!$1:$1,0))),NA())</f>
        <v/>
      </c>
      <c r="AE195">
        <f>IFERROR(IF(INDEX(Aux_puntos!$A$2:$OJ$901,191,MATCH($B$2&amp;"|xC",Aux_puntos!$1:$1,0))="",NA(),INDEX(Aux_puntos!$A$2:$OJ$901,191,MATCH($B$2&amp;"|xC",Aux_puntos!$1:$1,0))),NA())</f>
        <v/>
      </c>
      <c r="AF195">
        <f>IFERROR(IF(INDEX(Aux_puntos!$A$2:$OJ$901,191,MATCH($B$2&amp;"|yC",Aux_puntos!$1:$1,0))="",NA(),INDEX(Aux_puntos!$A$2:$OJ$901,191,MATCH($B$2&amp;"|yC",Aux_puntos!$1:$1,0))),NA())</f>
        <v/>
      </c>
      <c r="AG195">
        <f>IFERROR(IF(INDEX(Aux_puntos!$A$2:$OJ$901,191,MATCH($B$2&amp;"|xI",Aux_puntos!$1:$1,0))="",NA(),INDEX(Aux_puntos!$A$2:$OJ$901,191,MATCH($B$2&amp;"|xI",Aux_puntos!$1:$1,0))),NA())</f>
        <v/>
      </c>
      <c r="AH195">
        <f>IFERROR(IF(INDEX(Aux_puntos!$A$2:$OJ$901,191,MATCH($B$2&amp;"|yI",Aux_puntos!$1:$1,0))="",NA(),INDEX(Aux_puntos!$A$2:$OJ$901,191,MATCH($B$2&amp;"|yI",Aux_puntos!$1:$1,0))),NA())</f>
        <v/>
      </c>
      <c r="AI195">
        <f>IFERROR(IF(INDEX(Aux_puntos!$A$2:$OJ$901,191,MATCH($B$2&amp;"|xN",Aux_puntos!$1:$1,0))="",NA(),INDEX(Aux_puntos!$A$2:$OJ$901,191,MATCH($B$2&amp;"|xN",Aux_puntos!$1:$1,0))),NA())</f>
        <v/>
      </c>
      <c r="AJ195">
        <f>IFERROR(IF(INDEX(Aux_puntos!$A$2:$OJ$901,191,MATCH($B$2&amp;"|yN",Aux_puntos!$1:$1,0))="",NA(),INDEX(Aux_puntos!$A$2:$OJ$901,191,MATCH($B$2&amp;"|yN",Aux_puntos!$1:$1,0))),NA())</f>
        <v/>
      </c>
    </row>
    <row r="196">
      <c r="AC196">
        <f>IFERROR(IF(INDEX(Aux_puntos!$A$2:$OJ$901,192,MATCH($B$2&amp;"|xK",Aux_puntos!$1:$1,0))="",NA(),INDEX(Aux_puntos!$A$2:$OJ$901,192,MATCH($B$2&amp;"|xK",Aux_puntos!$1:$1,0))),NA())</f>
        <v/>
      </c>
      <c r="AD196">
        <f>IFERROR(IF(INDEX(Aux_puntos!$A$2:$OJ$901,192,MATCH($B$2&amp;"|yK",Aux_puntos!$1:$1,0))="",NA(),INDEX(Aux_puntos!$A$2:$OJ$901,192,MATCH($B$2&amp;"|yK",Aux_puntos!$1:$1,0))),NA())</f>
        <v/>
      </c>
      <c r="AE196">
        <f>IFERROR(IF(INDEX(Aux_puntos!$A$2:$OJ$901,192,MATCH($B$2&amp;"|xC",Aux_puntos!$1:$1,0))="",NA(),INDEX(Aux_puntos!$A$2:$OJ$901,192,MATCH($B$2&amp;"|xC",Aux_puntos!$1:$1,0))),NA())</f>
        <v/>
      </c>
      <c r="AF196">
        <f>IFERROR(IF(INDEX(Aux_puntos!$A$2:$OJ$901,192,MATCH($B$2&amp;"|yC",Aux_puntos!$1:$1,0))="",NA(),INDEX(Aux_puntos!$A$2:$OJ$901,192,MATCH($B$2&amp;"|yC",Aux_puntos!$1:$1,0))),NA())</f>
        <v/>
      </c>
      <c r="AG196">
        <f>IFERROR(IF(INDEX(Aux_puntos!$A$2:$OJ$901,192,MATCH($B$2&amp;"|xI",Aux_puntos!$1:$1,0))="",NA(),INDEX(Aux_puntos!$A$2:$OJ$901,192,MATCH($B$2&amp;"|xI",Aux_puntos!$1:$1,0))),NA())</f>
        <v/>
      </c>
      <c r="AH196">
        <f>IFERROR(IF(INDEX(Aux_puntos!$A$2:$OJ$901,192,MATCH($B$2&amp;"|yI",Aux_puntos!$1:$1,0))="",NA(),INDEX(Aux_puntos!$A$2:$OJ$901,192,MATCH($B$2&amp;"|yI",Aux_puntos!$1:$1,0))),NA())</f>
        <v/>
      </c>
      <c r="AI196">
        <f>IFERROR(IF(INDEX(Aux_puntos!$A$2:$OJ$901,192,MATCH($B$2&amp;"|xN",Aux_puntos!$1:$1,0))="",NA(),INDEX(Aux_puntos!$A$2:$OJ$901,192,MATCH($B$2&amp;"|xN",Aux_puntos!$1:$1,0))),NA())</f>
        <v/>
      </c>
      <c r="AJ196">
        <f>IFERROR(IF(INDEX(Aux_puntos!$A$2:$OJ$901,192,MATCH($B$2&amp;"|yN",Aux_puntos!$1:$1,0))="",NA(),INDEX(Aux_puntos!$A$2:$OJ$901,192,MATCH($B$2&amp;"|yN",Aux_puntos!$1:$1,0))),NA())</f>
        <v/>
      </c>
    </row>
    <row r="197">
      <c r="AC197">
        <f>IFERROR(IF(INDEX(Aux_puntos!$A$2:$OJ$901,193,MATCH($B$2&amp;"|xK",Aux_puntos!$1:$1,0))="",NA(),INDEX(Aux_puntos!$A$2:$OJ$901,193,MATCH($B$2&amp;"|xK",Aux_puntos!$1:$1,0))),NA())</f>
        <v/>
      </c>
      <c r="AD197">
        <f>IFERROR(IF(INDEX(Aux_puntos!$A$2:$OJ$901,193,MATCH($B$2&amp;"|yK",Aux_puntos!$1:$1,0))="",NA(),INDEX(Aux_puntos!$A$2:$OJ$901,193,MATCH($B$2&amp;"|yK",Aux_puntos!$1:$1,0))),NA())</f>
        <v/>
      </c>
      <c r="AE197">
        <f>IFERROR(IF(INDEX(Aux_puntos!$A$2:$OJ$901,193,MATCH($B$2&amp;"|xC",Aux_puntos!$1:$1,0))="",NA(),INDEX(Aux_puntos!$A$2:$OJ$901,193,MATCH($B$2&amp;"|xC",Aux_puntos!$1:$1,0))),NA())</f>
        <v/>
      </c>
      <c r="AF197">
        <f>IFERROR(IF(INDEX(Aux_puntos!$A$2:$OJ$901,193,MATCH($B$2&amp;"|yC",Aux_puntos!$1:$1,0))="",NA(),INDEX(Aux_puntos!$A$2:$OJ$901,193,MATCH($B$2&amp;"|yC",Aux_puntos!$1:$1,0))),NA())</f>
        <v/>
      </c>
      <c r="AG197">
        <f>IFERROR(IF(INDEX(Aux_puntos!$A$2:$OJ$901,193,MATCH($B$2&amp;"|xI",Aux_puntos!$1:$1,0))="",NA(),INDEX(Aux_puntos!$A$2:$OJ$901,193,MATCH($B$2&amp;"|xI",Aux_puntos!$1:$1,0))),NA())</f>
        <v/>
      </c>
      <c r="AH197">
        <f>IFERROR(IF(INDEX(Aux_puntos!$A$2:$OJ$901,193,MATCH($B$2&amp;"|yI",Aux_puntos!$1:$1,0))="",NA(),INDEX(Aux_puntos!$A$2:$OJ$901,193,MATCH($B$2&amp;"|yI",Aux_puntos!$1:$1,0))),NA())</f>
        <v/>
      </c>
      <c r="AI197">
        <f>IFERROR(IF(INDEX(Aux_puntos!$A$2:$OJ$901,193,MATCH($B$2&amp;"|xN",Aux_puntos!$1:$1,0))="",NA(),INDEX(Aux_puntos!$A$2:$OJ$901,193,MATCH($B$2&amp;"|xN",Aux_puntos!$1:$1,0))),NA())</f>
        <v/>
      </c>
      <c r="AJ197">
        <f>IFERROR(IF(INDEX(Aux_puntos!$A$2:$OJ$901,193,MATCH($B$2&amp;"|yN",Aux_puntos!$1:$1,0))="",NA(),INDEX(Aux_puntos!$A$2:$OJ$901,193,MATCH($B$2&amp;"|yN",Aux_puntos!$1:$1,0))),NA())</f>
        <v/>
      </c>
    </row>
    <row r="198">
      <c r="AC198">
        <f>IFERROR(IF(INDEX(Aux_puntos!$A$2:$OJ$901,194,MATCH($B$2&amp;"|xK",Aux_puntos!$1:$1,0))="",NA(),INDEX(Aux_puntos!$A$2:$OJ$901,194,MATCH($B$2&amp;"|xK",Aux_puntos!$1:$1,0))),NA())</f>
        <v/>
      </c>
      <c r="AD198">
        <f>IFERROR(IF(INDEX(Aux_puntos!$A$2:$OJ$901,194,MATCH($B$2&amp;"|yK",Aux_puntos!$1:$1,0))="",NA(),INDEX(Aux_puntos!$A$2:$OJ$901,194,MATCH($B$2&amp;"|yK",Aux_puntos!$1:$1,0))),NA())</f>
        <v/>
      </c>
      <c r="AE198">
        <f>IFERROR(IF(INDEX(Aux_puntos!$A$2:$OJ$901,194,MATCH($B$2&amp;"|xC",Aux_puntos!$1:$1,0))="",NA(),INDEX(Aux_puntos!$A$2:$OJ$901,194,MATCH($B$2&amp;"|xC",Aux_puntos!$1:$1,0))),NA())</f>
        <v/>
      </c>
      <c r="AF198">
        <f>IFERROR(IF(INDEX(Aux_puntos!$A$2:$OJ$901,194,MATCH($B$2&amp;"|yC",Aux_puntos!$1:$1,0))="",NA(),INDEX(Aux_puntos!$A$2:$OJ$901,194,MATCH($B$2&amp;"|yC",Aux_puntos!$1:$1,0))),NA())</f>
        <v/>
      </c>
      <c r="AG198">
        <f>IFERROR(IF(INDEX(Aux_puntos!$A$2:$OJ$901,194,MATCH($B$2&amp;"|xI",Aux_puntos!$1:$1,0))="",NA(),INDEX(Aux_puntos!$A$2:$OJ$901,194,MATCH($B$2&amp;"|xI",Aux_puntos!$1:$1,0))),NA())</f>
        <v/>
      </c>
      <c r="AH198">
        <f>IFERROR(IF(INDEX(Aux_puntos!$A$2:$OJ$901,194,MATCH($B$2&amp;"|yI",Aux_puntos!$1:$1,0))="",NA(),INDEX(Aux_puntos!$A$2:$OJ$901,194,MATCH($B$2&amp;"|yI",Aux_puntos!$1:$1,0))),NA())</f>
        <v/>
      </c>
      <c r="AI198">
        <f>IFERROR(IF(INDEX(Aux_puntos!$A$2:$OJ$901,194,MATCH($B$2&amp;"|xN",Aux_puntos!$1:$1,0))="",NA(),INDEX(Aux_puntos!$A$2:$OJ$901,194,MATCH($B$2&amp;"|xN",Aux_puntos!$1:$1,0))),NA())</f>
        <v/>
      </c>
      <c r="AJ198">
        <f>IFERROR(IF(INDEX(Aux_puntos!$A$2:$OJ$901,194,MATCH($B$2&amp;"|yN",Aux_puntos!$1:$1,0))="",NA(),INDEX(Aux_puntos!$A$2:$OJ$901,194,MATCH($B$2&amp;"|yN",Aux_puntos!$1:$1,0))),NA())</f>
        <v/>
      </c>
    </row>
    <row r="199">
      <c r="AC199">
        <f>IFERROR(IF(INDEX(Aux_puntos!$A$2:$OJ$901,195,MATCH($B$2&amp;"|xK",Aux_puntos!$1:$1,0))="",NA(),INDEX(Aux_puntos!$A$2:$OJ$901,195,MATCH($B$2&amp;"|xK",Aux_puntos!$1:$1,0))),NA())</f>
        <v/>
      </c>
      <c r="AD199">
        <f>IFERROR(IF(INDEX(Aux_puntos!$A$2:$OJ$901,195,MATCH($B$2&amp;"|yK",Aux_puntos!$1:$1,0))="",NA(),INDEX(Aux_puntos!$A$2:$OJ$901,195,MATCH($B$2&amp;"|yK",Aux_puntos!$1:$1,0))),NA())</f>
        <v/>
      </c>
      <c r="AE199">
        <f>IFERROR(IF(INDEX(Aux_puntos!$A$2:$OJ$901,195,MATCH($B$2&amp;"|xC",Aux_puntos!$1:$1,0))="",NA(),INDEX(Aux_puntos!$A$2:$OJ$901,195,MATCH($B$2&amp;"|xC",Aux_puntos!$1:$1,0))),NA())</f>
        <v/>
      </c>
      <c r="AF199">
        <f>IFERROR(IF(INDEX(Aux_puntos!$A$2:$OJ$901,195,MATCH($B$2&amp;"|yC",Aux_puntos!$1:$1,0))="",NA(),INDEX(Aux_puntos!$A$2:$OJ$901,195,MATCH($B$2&amp;"|yC",Aux_puntos!$1:$1,0))),NA())</f>
        <v/>
      </c>
      <c r="AG199">
        <f>IFERROR(IF(INDEX(Aux_puntos!$A$2:$OJ$901,195,MATCH($B$2&amp;"|xI",Aux_puntos!$1:$1,0))="",NA(),INDEX(Aux_puntos!$A$2:$OJ$901,195,MATCH($B$2&amp;"|xI",Aux_puntos!$1:$1,0))),NA())</f>
        <v/>
      </c>
      <c r="AH199">
        <f>IFERROR(IF(INDEX(Aux_puntos!$A$2:$OJ$901,195,MATCH($B$2&amp;"|yI",Aux_puntos!$1:$1,0))="",NA(),INDEX(Aux_puntos!$A$2:$OJ$901,195,MATCH($B$2&amp;"|yI",Aux_puntos!$1:$1,0))),NA())</f>
        <v/>
      </c>
      <c r="AI199">
        <f>IFERROR(IF(INDEX(Aux_puntos!$A$2:$OJ$901,195,MATCH($B$2&amp;"|xN",Aux_puntos!$1:$1,0))="",NA(),INDEX(Aux_puntos!$A$2:$OJ$901,195,MATCH($B$2&amp;"|xN",Aux_puntos!$1:$1,0))),NA())</f>
        <v/>
      </c>
      <c r="AJ199">
        <f>IFERROR(IF(INDEX(Aux_puntos!$A$2:$OJ$901,195,MATCH($B$2&amp;"|yN",Aux_puntos!$1:$1,0))="",NA(),INDEX(Aux_puntos!$A$2:$OJ$901,195,MATCH($B$2&amp;"|yN",Aux_puntos!$1:$1,0))),NA())</f>
        <v/>
      </c>
    </row>
    <row r="200">
      <c r="AC200">
        <f>IFERROR(IF(INDEX(Aux_puntos!$A$2:$OJ$901,196,MATCH($B$2&amp;"|xK",Aux_puntos!$1:$1,0))="",NA(),INDEX(Aux_puntos!$A$2:$OJ$901,196,MATCH($B$2&amp;"|xK",Aux_puntos!$1:$1,0))),NA())</f>
        <v/>
      </c>
      <c r="AD200">
        <f>IFERROR(IF(INDEX(Aux_puntos!$A$2:$OJ$901,196,MATCH($B$2&amp;"|yK",Aux_puntos!$1:$1,0))="",NA(),INDEX(Aux_puntos!$A$2:$OJ$901,196,MATCH($B$2&amp;"|yK",Aux_puntos!$1:$1,0))),NA())</f>
        <v/>
      </c>
      <c r="AE200">
        <f>IFERROR(IF(INDEX(Aux_puntos!$A$2:$OJ$901,196,MATCH($B$2&amp;"|xC",Aux_puntos!$1:$1,0))="",NA(),INDEX(Aux_puntos!$A$2:$OJ$901,196,MATCH($B$2&amp;"|xC",Aux_puntos!$1:$1,0))),NA())</f>
        <v/>
      </c>
      <c r="AF200">
        <f>IFERROR(IF(INDEX(Aux_puntos!$A$2:$OJ$901,196,MATCH($B$2&amp;"|yC",Aux_puntos!$1:$1,0))="",NA(),INDEX(Aux_puntos!$A$2:$OJ$901,196,MATCH($B$2&amp;"|yC",Aux_puntos!$1:$1,0))),NA())</f>
        <v/>
      </c>
      <c r="AG200">
        <f>IFERROR(IF(INDEX(Aux_puntos!$A$2:$OJ$901,196,MATCH($B$2&amp;"|xI",Aux_puntos!$1:$1,0))="",NA(),INDEX(Aux_puntos!$A$2:$OJ$901,196,MATCH($B$2&amp;"|xI",Aux_puntos!$1:$1,0))),NA())</f>
        <v/>
      </c>
      <c r="AH200">
        <f>IFERROR(IF(INDEX(Aux_puntos!$A$2:$OJ$901,196,MATCH($B$2&amp;"|yI",Aux_puntos!$1:$1,0))="",NA(),INDEX(Aux_puntos!$A$2:$OJ$901,196,MATCH($B$2&amp;"|yI",Aux_puntos!$1:$1,0))),NA())</f>
        <v/>
      </c>
      <c r="AI200">
        <f>IFERROR(IF(INDEX(Aux_puntos!$A$2:$OJ$901,196,MATCH($B$2&amp;"|xN",Aux_puntos!$1:$1,0))="",NA(),INDEX(Aux_puntos!$A$2:$OJ$901,196,MATCH($B$2&amp;"|xN",Aux_puntos!$1:$1,0))),NA())</f>
        <v/>
      </c>
      <c r="AJ200">
        <f>IFERROR(IF(INDEX(Aux_puntos!$A$2:$OJ$901,196,MATCH($B$2&amp;"|yN",Aux_puntos!$1:$1,0))="",NA(),INDEX(Aux_puntos!$A$2:$OJ$901,196,MATCH($B$2&amp;"|yN",Aux_puntos!$1:$1,0))),NA())</f>
        <v/>
      </c>
    </row>
    <row r="201">
      <c r="AC201">
        <f>IFERROR(IF(INDEX(Aux_puntos!$A$2:$OJ$901,197,MATCH($B$2&amp;"|xK",Aux_puntos!$1:$1,0))="",NA(),INDEX(Aux_puntos!$A$2:$OJ$901,197,MATCH($B$2&amp;"|xK",Aux_puntos!$1:$1,0))),NA())</f>
        <v/>
      </c>
      <c r="AD201">
        <f>IFERROR(IF(INDEX(Aux_puntos!$A$2:$OJ$901,197,MATCH($B$2&amp;"|yK",Aux_puntos!$1:$1,0))="",NA(),INDEX(Aux_puntos!$A$2:$OJ$901,197,MATCH($B$2&amp;"|yK",Aux_puntos!$1:$1,0))),NA())</f>
        <v/>
      </c>
      <c r="AE201">
        <f>IFERROR(IF(INDEX(Aux_puntos!$A$2:$OJ$901,197,MATCH($B$2&amp;"|xC",Aux_puntos!$1:$1,0))="",NA(),INDEX(Aux_puntos!$A$2:$OJ$901,197,MATCH($B$2&amp;"|xC",Aux_puntos!$1:$1,0))),NA())</f>
        <v/>
      </c>
      <c r="AF201">
        <f>IFERROR(IF(INDEX(Aux_puntos!$A$2:$OJ$901,197,MATCH($B$2&amp;"|yC",Aux_puntos!$1:$1,0))="",NA(),INDEX(Aux_puntos!$A$2:$OJ$901,197,MATCH($B$2&amp;"|yC",Aux_puntos!$1:$1,0))),NA())</f>
        <v/>
      </c>
      <c r="AG201">
        <f>IFERROR(IF(INDEX(Aux_puntos!$A$2:$OJ$901,197,MATCH($B$2&amp;"|xI",Aux_puntos!$1:$1,0))="",NA(),INDEX(Aux_puntos!$A$2:$OJ$901,197,MATCH($B$2&amp;"|xI",Aux_puntos!$1:$1,0))),NA())</f>
        <v/>
      </c>
      <c r="AH201">
        <f>IFERROR(IF(INDEX(Aux_puntos!$A$2:$OJ$901,197,MATCH($B$2&amp;"|yI",Aux_puntos!$1:$1,0))="",NA(),INDEX(Aux_puntos!$A$2:$OJ$901,197,MATCH($B$2&amp;"|yI",Aux_puntos!$1:$1,0))),NA())</f>
        <v/>
      </c>
      <c r="AI201">
        <f>IFERROR(IF(INDEX(Aux_puntos!$A$2:$OJ$901,197,MATCH($B$2&amp;"|xN",Aux_puntos!$1:$1,0))="",NA(),INDEX(Aux_puntos!$A$2:$OJ$901,197,MATCH($B$2&amp;"|xN",Aux_puntos!$1:$1,0))),NA())</f>
        <v/>
      </c>
      <c r="AJ201">
        <f>IFERROR(IF(INDEX(Aux_puntos!$A$2:$OJ$901,197,MATCH($B$2&amp;"|yN",Aux_puntos!$1:$1,0))="",NA(),INDEX(Aux_puntos!$A$2:$OJ$901,197,MATCH($B$2&amp;"|yN",Aux_puntos!$1:$1,0))),NA())</f>
        <v/>
      </c>
    </row>
    <row r="202">
      <c r="AC202">
        <f>IFERROR(IF(INDEX(Aux_puntos!$A$2:$OJ$901,198,MATCH($B$2&amp;"|xK",Aux_puntos!$1:$1,0))="",NA(),INDEX(Aux_puntos!$A$2:$OJ$901,198,MATCH($B$2&amp;"|xK",Aux_puntos!$1:$1,0))),NA())</f>
        <v/>
      </c>
      <c r="AD202">
        <f>IFERROR(IF(INDEX(Aux_puntos!$A$2:$OJ$901,198,MATCH($B$2&amp;"|yK",Aux_puntos!$1:$1,0))="",NA(),INDEX(Aux_puntos!$A$2:$OJ$901,198,MATCH($B$2&amp;"|yK",Aux_puntos!$1:$1,0))),NA())</f>
        <v/>
      </c>
      <c r="AE202">
        <f>IFERROR(IF(INDEX(Aux_puntos!$A$2:$OJ$901,198,MATCH($B$2&amp;"|xC",Aux_puntos!$1:$1,0))="",NA(),INDEX(Aux_puntos!$A$2:$OJ$901,198,MATCH($B$2&amp;"|xC",Aux_puntos!$1:$1,0))),NA())</f>
        <v/>
      </c>
      <c r="AF202">
        <f>IFERROR(IF(INDEX(Aux_puntos!$A$2:$OJ$901,198,MATCH($B$2&amp;"|yC",Aux_puntos!$1:$1,0))="",NA(),INDEX(Aux_puntos!$A$2:$OJ$901,198,MATCH($B$2&amp;"|yC",Aux_puntos!$1:$1,0))),NA())</f>
        <v/>
      </c>
      <c r="AG202">
        <f>IFERROR(IF(INDEX(Aux_puntos!$A$2:$OJ$901,198,MATCH($B$2&amp;"|xI",Aux_puntos!$1:$1,0))="",NA(),INDEX(Aux_puntos!$A$2:$OJ$901,198,MATCH($B$2&amp;"|xI",Aux_puntos!$1:$1,0))),NA())</f>
        <v/>
      </c>
      <c r="AH202">
        <f>IFERROR(IF(INDEX(Aux_puntos!$A$2:$OJ$901,198,MATCH($B$2&amp;"|yI",Aux_puntos!$1:$1,0))="",NA(),INDEX(Aux_puntos!$A$2:$OJ$901,198,MATCH($B$2&amp;"|yI",Aux_puntos!$1:$1,0))),NA())</f>
        <v/>
      </c>
      <c r="AI202">
        <f>IFERROR(IF(INDEX(Aux_puntos!$A$2:$OJ$901,198,MATCH($B$2&amp;"|xN",Aux_puntos!$1:$1,0))="",NA(),INDEX(Aux_puntos!$A$2:$OJ$901,198,MATCH($B$2&amp;"|xN",Aux_puntos!$1:$1,0))),NA())</f>
        <v/>
      </c>
      <c r="AJ202">
        <f>IFERROR(IF(INDEX(Aux_puntos!$A$2:$OJ$901,198,MATCH($B$2&amp;"|yN",Aux_puntos!$1:$1,0))="",NA(),INDEX(Aux_puntos!$A$2:$OJ$901,198,MATCH($B$2&amp;"|yN",Aux_puntos!$1:$1,0))),NA())</f>
        <v/>
      </c>
    </row>
    <row r="203">
      <c r="AC203">
        <f>IFERROR(IF(INDEX(Aux_puntos!$A$2:$OJ$901,199,MATCH($B$2&amp;"|xK",Aux_puntos!$1:$1,0))="",NA(),INDEX(Aux_puntos!$A$2:$OJ$901,199,MATCH($B$2&amp;"|xK",Aux_puntos!$1:$1,0))),NA())</f>
        <v/>
      </c>
      <c r="AD203">
        <f>IFERROR(IF(INDEX(Aux_puntos!$A$2:$OJ$901,199,MATCH($B$2&amp;"|yK",Aux_puntos!$1:$1,0))="",NA(),INDEX(Aux_puntos!$A$2:$OJ$901,199,MATCH($B$2&amp;"|yK",Aux_puntos!$1:$1,0))),NA())</f>
        <v/>
      </c>
      <c r="AE203">
        <f>IFERROR(IF(INDEX(Aux_puntos!$A$2:$OJ$901,199,MATCH($B$2&amp;"|xC",Aux_puntos!$1:$1,0))="",NA(),INDEX(Aux_puntos!$A$2:$OJ$901,199,MATCH($B$2&amp;"|xC",Aux_puntos!$1:$1,0))),NA())</f>
        <v/>
      </c>
      <c r="AF203">
        <f>IFERROR(IF(INDEX(Aux_puntos!$A$2:$OJ$901,199,MATCH($B$2&amp;"|yC",Aux_puntos!$1:$1,0))="",NA(),INDEX(Aux_puntos!$A$2:$OJ$901,199,MATCH($B$2&amp;"|yC",Aux_puntos!$1:$1,0))),NA())</f>
        <v/>
      </c>
      <c r="AG203">
        <f>IFERROR(IF(INDEX(Aux_puntos!$A$2:$OJ$901,199,MATCH($B$2&amp;"|xI",Aux_puntos!$1:$1,0))="",NA(),INDEX(Aux_puntos!$A$2:$OJ$901,199,MATCH($B$2&amp;"|xI",Aux_puntos!$1:$1,0))),NA())</f>
        <v/>
      </c>
      <c r="AH203">
        <f>IFERROR(IF(INDEX(Aux_puntos!$A$2:$OJ$901,199,MATCH($B$2&amp;"|yI",Aux_puntos!$1:$1,0))="",NA(),INDEX(Aux_puntos!$A$2:$OJ$901,199,MATCH($B$2&amp;"|yI",Aux_puntos!$1:$1,0))),NA())</f>
        <v/>
      </c>
      <c r="AI203">
        <f>IFERROR(IF(INDEX(Aux_puntos!$A$2:$OJ$901,199,MATCH($B$2&amp;"|xN",Aux_puntos!$1:$1,0))="",NA(),INDEX(Aux_puntos!$A$2:$OJ$901,199,MATCH($B$2&amp;"|xN",Aux_puntos!$1:$1,0))),NA())</f>
        <v/>
      </c>
      <c r="AJ203">
        <f>IFERROR(IF(INDEX(Aux_puntos!$A$2:$OJ$901,199,MATCH($B$2&amp;"|yN",Aux_puntos!$1:$1,0))="",NA(),INDEX(Aux_puntos!$A$2:$OJ$901,199,MATCH($B$2&amp;"|yN",Aux_puntos!$1:$1,0))),NA())</f>
        <v/>
      </c>
    </row>
    <row r="204">
      <c r="AC204">
        <f>IFERROR(IF(INDEX(Aux_puntos!$A$2:$OJ$901,200,MATCH($B$2&amp;"|xK",Aux_puntos!$1:$1,0))="",NA(),INDEX(Aux_puntos!$A$2:$OJ$901,200,MATCH($B$2&amp;"|xK",Aux_puntos!$1:$1,0))),NA())</f>
        <v/>
      </c>
      <c r="AD204">
        <f>IFERROR(IF(INDEX(Aux_puntos!$A$2:$OJ$901,200,MATCH($B$2&amp;"|yK",Aux_puntos!$1:$1,0))="",NA(),INDEX(Aux_puntos!$A$2:$OJ$901,200,MATCH($B$2&amp;"|yK",Aux_puntos!$1:$1,0))),NA())</f>
        <v/>
      </c>
      <c r="AE204">
        <f>IFERROR(IF(INDEX(Aux_puntos!$A$2:$OJ$901,200,MATCH($B$2&amp;"|xC",Aux_puntos!$1:$1,0))="",NA(),INDEX(Aux_puntos!$A$2:$OJ$901,200,MATCH($B$2&amp;"|xC",Aux_puntos!$1:$1,0))),NA())</f>
        <v/>
      </c>
      <c r="AF204">
        <f>IFERROR(IF(INDEX(Aux_puntos!$A$2:$OJ$901,200,MATCH($B$2&amp;"|yC",Aux_puntos!$1:$1,0))="",NA(),INDEX(Aux_puntos!$A$2:$OJ$901,200,MATCH($B$2&amp;"|yC",Aux_puntos!$1:$1,0))),NA())</f>
        <v/>
      </c>
      <c r="AG204">
        <f>IFERROR(IF(INDEX(Aux_puntos!$A$2:$OJ$901,200,MATCH($B$2&amp;"|xI",Aux_puntos!$1:$1,0))="",NA(),INDEX(Aux_puntos!$A$2:$OJ$901,200,MATCH($B$2&amp;"|xI",Aux_puntos!$1:$1,0))),NA())</f>
        <v/>
      </c>
      <c r="AH204">
        <f>IFERROR(IF(INDEX(Aux_puntos!$A$2:$OJ$901,200,MATCH($B$2&amp;"|yI",Aux_puntos!$1:$1,0))="",NA(),INDEX(Aux_puntos!$A$2:$OJ$901,200,MATCH($B$2&amp;"|yI",Aux_puntos!$1:$1,0))),NA())</f>
        <v/>
      </c>
      <c r="AI204">
        <f>IFERROR(IF(INDEX(Aux_puntos!$A$2:$OJ$901,200,MATCH($B$2&amp;"|xN",Aux_puntos!$1:$1,0))="",NA(),INDEX(Aux_puntos!$A$2:$OJ$901,200,MATCH($B$2&amp;"|xN",Aux_puntos!$1:$1,0))),NA())</f>
        <v/>
      </c>
      <c r="AJ204">
        <f>IFERROR(IF(INDEX(Aux_puntos!$A$2:$OJ$901,200,MATCH($B$2&amp;"|yN",Aux_puntos!$1:$1,0))="",NA(),INDEX(Aux_puntos!$A$2:$OJ$901,200,MATCH($B$2&amp;"|yN",Aux_puntos!$1:$1,0))),NA())</f>
        <v/>
      </c>
    </row>
    <row r="205">
      <c r="AC205">
        <f>IFERROR(IF(INDEX(Aux_puntos!$A$2:$OJ$901,201,MATCH($B$2&amp;"|xK",Aux_puntos!$1:$1,0))="",NA(),INDEX(Aux_puntos!$A$2:$OJ$901,201,MATCH($B$2&amp;"|xK",Aux_puntos!$1:$1,0))),NA())</f>
        <v/>
      </c>
      <c r="AD205">
        <f>IFERROR(IF(INDEX(Aux_puntos!$A$2:$OJ$901,201,MATCH($B$2&amp;"|yK",Aux_puntos!$1:$1,0))="",NA(),INDEX(Aux_puntos!$A$2:$OJ$901,201,MATCH($B$2&amp;"|yK",Aux_puntos!$1:$1,0))),NA())</f>
        <v/>
      </c>
      <c r="AE205">
        <f>IFERROR(IF(INDEX(Aux_puntos!$A$2:$OJ$901,201,MATCH($B$2&amp;"|xC",Aux_puntos!$1:$1,0))="",NA(),INDEX(Aux_puntos!$A$2:$OJ$901,201,MATCH($B$2&amp;"|xC",Aux_puntos!$1:$1,0))),NA())</f>
        <v/>
      </c>
      <c r="AF205">
        <f>IFERROR(IF(INDEX(Aux_puntos!$A$2:$OJ$901,201,MATCH($B$2&amp;"|yC",Aux_puntos!$1:$1,0))="",NA(),INDEX(Aux_puntos!$A$2:$OJ$901,201,MATCH($B$2&amp;"|yC",Aux_puntos!$1:$1,0))),NA())</f>
        <v/>
      </c>
      <c r="AG205">
        <f>IFERROR(IF(INDEX(Aux_puntos!$A$2:$OJ$901,201,MATCH($B$2&amp;"|xI",Aux_puntos!$1:$1,0))="",NA(),INDEX(Aux_puntos!$A$2:$OJ$901,201,MATCH($B$2&amp;"|xI",Aux_puntos!$1:$1,0))),NA())</f>
        <v/>
      </c>
      <c r="AH205">
        <f>IFERROR(IF(INDEX(Aux_puntos!$A$2:$OJ$901,201,MATCH($B$2&amp;"|yI",Aux_puntos!$1:$1,0))="",NA(),INDEX(Aux_puntos!$A$2:$OJ$901,201,MATCH($B$2&amp;"|yI",Aux_puntos!$1:$1,0))),NA())</f>
        <v/>
      </c>
      <c r="AI205">
        <f>IFERROR(IF(INDEX(Aux_puntos!$A$2:$OJ$901,201,MATCH($B$2&amp;"|xN",Aux_puntos!$1:$1,0))="",NA(),INDEX(Aux_puntos!$A$2:$OJ$901,201,MATCH($B$2&amp;"|xN",Aux_puntos!$1:$1,0))),NA())</f>
        <v/>
      </c>
      <c r="AJ205">
        <f>IFERROR(IF(INDEX(Aux_puntos!$A$2:$OJ$901,201,MATCH($B$2&amp;"|yN",Aux_puntos!$1:$1,0))="",NA(),INDEX(Aux_puntos!$A$2:$OJ$901,201,MATCH($B$2&amp;"|yN",Aux_puntos!$1:$1,0))),NA())</f>
        <v/>
      </c>
    </row>
    <row r="206">
      <c r="AC206">
        <f>IFERROR(IF(INDEX(Aux_puntos!$A$2:$OJ$901,202,MATCH($B$2&amp;"|xK",Aux_puntos!$1:$1,0))="",NA(),INDEX(Aux_puntos!$A$2:$OJ$901,202,MATCH($B$2&amp;"|xK",Aux_puntos!$1:$1,0))),NA())</f>
        <v/>
      </c>
      <c r="AD206">
        <f>IFERROR(IF(INDEX(Aux_puntos!$A$2:$OJ$901,202,MATCH($B$2&amp;"|yK",Aux_puntos!$1:$1,0))="",NA(),INDEX(Aux_puntos!$A$2:$OJ$901,202,MATCH($B$2&amp;"|yK",Aux_puntos!$1:$1,0))),NA())</f>
        <v/>
      </c>
      <c r="AE206">
        <f>IFERROR(IF(INDEX(Aux_puntos!$A$2:$OJ$901,202,MATCH($B$2&amp;"|xC",Aux_puntos!$1:$1,0))="",NA(),INDEX(Aux_puntos!$A$2:$OJ$901,202,MATCH($B$2&amp;"|xC",Aux_puntos!$1:$1,0))),NA())</f>
        <v/>
      </c>
      <c r="AF206">
        <f>IFERROR(IF(INDEX(Aux_puntos!$A$2:$OJ$901,202,MATCH($B$2&amp;"|yC",Aux_puntos!$1:$1,0))="",NA(),INDEX(Aux_puntos!$A$2:$OJ$901,202,MATCH($B$2&amp;"|yC",Aux_puntos!$1:$1,0))),NA())</f>
        <v/>
      </c>
      <c r="AG206">
        <f>IFERROR(IF(INDEX(Aux_puntos!$A$2:$OJ$901,202,MATCH($B$2&amp;"|xI",Aux_puntos!$1:$1,0))="",NA(),INDEX(Aux_puntos!$A$2:$OJ$901,202,MATCH($B$2&amp;"|xI",Aux_puntos!$1:$1,0))),NA())</f>
        <v/>
      </c>
      <c r="AH206">
        <f>IFERROR(IF(INDEX(Aux_puntos!$A$2:$OJ$901,202,MATCH($B$2&amp;"|yI",Aux_puntos!$1:$1,0))="",NA(),INDEX(Aux_puntos!$A$2:$OJ$901,202,MATCH($B$2&amp;"|yI",Aux_puntos!$1:$1,0))),NA())</f>
        <v/>
      </c>
      <c r="AI206">
        <f>IFERROR(IF(INDEX(Aux_puntos!$A$2:$OJ$901,202,MATCH($B$2&amp;"|xN",Aux_puntos!$1:$1,0))="",NA(),INDEX(Aux_puntos!$A$2:$OJ$901,202,MATCH($B$2&amp;"|xN",Aux_puntos!$1:$1,0))),NA())</f>
        <v/>
      </c>
      <c r="AJ206">
        <f>IFERROR(IF(INDEX(Aux_puntos!$A$2:$OJ$901,202,MATCH($B$2&amp;"|yN",Aux_puntos!$1:$1,0))="",NA(),INDEX(Aux_puntos!$A$2:$OJ$901,202,MATCH($B$2&amp;"|yN",Aux_puntos!$1:$1,0))),NA())</f>
        <v/>
      </c>
    </row>
    <row r="207">
      <c r="AC207">
        <f>IFERROR(IF(INDEX(Aux_puntos!$A$2:$OJ$901,203,MATCH($B$2&amp;"|xK",Aux_puntos!$1:$1,0))="",NA(),INDEX(Aux_puntos!$A$2:$OJ$901,203,MATCH($B$2&amp;"|xK",Aux_puntos!$1:$1,0))),NA())</f>
        <v/>
      </c>
      <c r="AD207">
        <f>IFERROR(IF(INDEX(Aux_puntos!$A$2:$OJ$901,203,MATCH($B$2&amp;"|yK",Aux_puntos!$1:$1,0))="",NA(),INDEX(Aux_puntos!$A$2:$OJ$901,203,MATCH($B$2&amp;"|yK",Aux_puntos!$1:$1,0))),NA())</f>
        <v/>
      </c>
      <c r="AE207">
        <f>IFERROR(IF(INDEX(Aux_puntos!$A$2:$OJ$901,203,MATCH($B$2&amp;"|xC",Aux_puntos!$1:$1,0))="",NA(),INDEX(Aux_puntos!$A$2:$OJ$901,203,MATCH($B$2&amp;"|xC",Aux_puntos!$1:$1,0))),NA())</f>
        <v/>
      </c>
      <c r="AF207">
        <f>IFERROR(IF(INDEX(Aux_puntos!$A$2:$OJ$901,203,MATCH($B$2&amp;"|yC",Aux_puntos!$1:$1,0))="",NA(),INDEX(Aux_puntos!$A$2:$OJ$901,203,MATCH($B$2&amp;"|yC",Aux_puntos!$1:$1,0))),NA())</f>
        <v/>
      </c>
      <c r="AG207">
        <f>IFERROR(IF(INDEX(Aux_puntos!$A$2:$OJ$901,203,MATCH($B$2&amp;"|xI",Aux_puntos!$1:$1,0))="",NA(),INDEX(Aux_puntos!$A$2:$OJ$901,203,MATCH($B$2&amp;"|xI",Aux_puntos!$1:$1,0))),NA())</f>
        <v/>
      </c>
      <c r="AH207">
        <f>IFERROR(IF(INDEX(Aux_puntos!$A$2:$OJ$901,203,MATCH($B$2&amp;"|yI",Aux_puntos!$1:$1,0))="",NA(),INDEX(Aux_puntos!$A$2:$OJ$901,203,MATCH($B$2&amp;"|yI",Aux_puntos!$1:$1,0))),NA())</f>
        <v/>
      </c>
      <c r="AI207">
        <f>IFERROR(IF(INDEX(Aux_puntos!$A$2:$OJ$901,203,MATCH($B$2&amp;"|xN",Aux_puntos!$1:$1,0))="",NA(),INDEX(Aux_puntos!$A$2:$OJ$901,203,MATCH($B$2&amp;"|xN",Aux_puntos!$1:$1,0))),NA())</f>
        <v/>
      </c>
      <c r="AJ207">
        <f>IFERROR(IF(INDEX(Aux_puntos!$A$2:$OJ$901,203,MATCH($B$2&amp;"|yN",Aux_puntos!$1:$1,0))="",NA(),INDEX(Aux_puntos!$A$2:$OJ$901,203,MATCH($B$2&amp;"|yN",Aux_puntos!$1:$1,0))),NA())</f>
        <v/>
      </c>
    </row>
    <row r="208">
      <c r="AC208">
        <f>IFERROR(IF(INDEX(Aux_puntos!$A$2:$OJ$901,204,MATCH($B$2&amp;"|xK",Aux_puntos!$1:$1,0))="",NA(),INDEX(Aux_puntos!$A$2:$OJ$901,204,MATCH($B$2&amp;"|xK",Aux_puntos!$1:$1,0))),NA())</f>
        <v/>
      </c>
      <c r="AD208">
        <f>IFERROR(IF(INDEX(Aux_puntos!$A$2:$OJ$901,204,MATCH($B$2&amp;"|yK",Aux_puntos!$1:$1,0))="",NA(),INDEX(Aux_puntos!$A$2:$OJ$901,204,MATCH($B$2&amp;"|yK",Aux_puntos!$1:$1,0))),NA())</f>
        <v/>
      </c>
      <c r="AE208">
        <f>IFERROR(IF(INDEX(Aux_puntos!$A$2:$OJ$901,204,MATCH($B$2&amp;"|xC",Aux_puntos!$1:$1,0))="",NA(),INDEX(Aux_puntos!$A$2:$OJ$901,204,MATCH($B$2&amp;"|xC",Aux_puntos!$1:$1,0))),NA())</f>
        <v/>
      </c>
      <c r="AF208">
        <f>IFERROR(IF(INDEX(Aux_puntos!$A$2:$OJ$901,204,MATCH($B$2&amp;"|yC",Aux_puntos!$1:$1,0))="",NA(),INDEX(Aux_puntos!$A$2:$OJ$901,204,MATCH($B$2&amp;"|yC",Aux_puntos!$1:$1,0))),NA())</f>
        <v/>
      </c>
      <c r="AG208">
        <f>IFERROR(IF(INDEX(Aux_puntos!$A$2:$OJ$901,204,MATCH($B$2&amp;"|xI",Aux_puntos!$1:$1,0))="",NA(),INDEX(Aux_puntos!$A$2:$OJ$901,204,MATCH($B$2&amp;"|xI",Aux_puntos!$1:$1,0))),NA())</f>
        <v/>
      </c>
      <c r="AH208">
        <f>IFERROR(IF(INDEX(Aux_puntos!$A$2:$OJ$901,204,MATCH($B$2&amp;"|yI",Aux_puntos!$1:$1,0))="",NA(),INDEX(Aux_puntos!$A$2:$OJ$901,204,MATCH($B$2&amp;"|yI",Aux_puntos!$1:$1,0))),NA())</f>
        <v/>
      </c>
      <c r="AI208">
        <f>IFERROR(IF(INDEX(Aux_puntos!$A$2:$OJ$901,204,MATCH($B$2&amp;"|xN",Aux_puntos!$1:$1,0))="",NA(),INDEX(Aux_puntos!$A$2:$OJ$901,204,MATCH($B$2&amp;"|xN",Aux_puntos!$1:$1,0))),NA())</f>
        <v/>
      </c>
      <c r="AJ208">
        <f>IFERROR(IF(INDEX(Aux_puntos!$A$2:$OJ$901,204,MATCH($B$2&amp;"|yN",Aux_puntos!$1:$1,0))="",NA(),INDEX(Aux_puntos!$A$2:$OJ$901,204,MATCH($B$2&amp;"|yN",Aux_puntos!$1:$1,0))),NA())</f>
        <v/>
      </c>
    </row>
    <row r="209">
      <c r="AC209">
        <f>IFERROR(IF(INDEX(Aux_puntos!$A$2:$OJ$901,205,MATCH($B$2&amp;"|xK",Aux_puntos!$1:$1,0))="",NA(),INDEX(Aux_puntos!$A$2:$OJ$901,205,MATCH($B$2&amp;"|xK",Aux_puntos!$1:$1,0))),NA())</f>
        <v/>
      </c>
      <c r="AD209">
        <f>IFERROR(IF(INDEX(Aux_puntos!$A$2:$OJ$901,205,MATCH($B$2&amp;"|yK",Aux_puntos!$1:$1,0))="",NA(),INDEX(Aux_puntos!$A$2:$OJ$901,205,MATCH($B$2&amp;"|yK",Aux_puntos!$1:$1,0))),NA())</f>
        <v/>
      </c>
      <c r="AE209">
        <f>IFERROR(IF(INDEX(Aux_puntos!$A$2:$OJ$901,205,MATCH($B$2&amp;"|xC",Aux_puntos!$1:$1,0))="",NA(),INDEX(Aux_puntos!$A$2:$OJ$901,205,MATCH($B$2&amp;"|xC",Aux_puntos!$1:$1,0))),NA())</f>
        <v/>
      </c>
      <c r="AF209">
        <f>IFERROR(IF(INDEX(Aux_puntos!$A$2:$OJ$901,205,MATCH($B$2&amp;"|yC",Aux_puntos!$1:$1,0))="",NA(),INDEX(Aux_puntos!$A$2:$OJ$901,205,MATCH($B$2&amp;"|yC",Aux_puntos!$1:$1,0))),NA())</f>
        <v/>
      </c>
      <c r="AG209">
        <f>IFERROR(IF(INDEX(Aux_puntos!$A$2:$OJ$901,205,MATCH($B$2&amp;"|xI",Aux_puntos!$1:$1,0))="",NA(),INDEX(Aux_puntos!$A$2:$OJ$901,205,MATCH($B$2&amp;"|xI",Aux_puntos!$1:$1,0))),NA())</f>
        <v/>
      </c>
      <c r="AH209">
        <f>IFERROR(IF(INDEX(Aux_puntos!$A$2:$OJ$901,205,MATCH($B$2&amp;"|yI",Aux_puntos!$1:$1,0))="",NA(),INDEX(Aux_puntos!$A$2:$OJ$901,205,MATCH($B$2&amp;"|yI",Aux_puntos!$1:$1,0))),NA())</f>
        <v/>
      </c>
      <c r="AI209">
        <f>IFERROR(IF(INDEX(Aux_puntos!$A$2:$OJ$901,205,MATCH($B$2&amp;"|xN",Aux_puntos!$1:$1,0))="",NA(),INDEX(Aux_puntos!$A$2:$OJ$901,205,MATCH($B$2&amp;"|xN",Aux_puntos!$1:$1,0))),NA())</f>
        <v/>
      </c>
      <c r="AJ209">
        <f>IFERROR(IF(INDEX(Aux_puntos!$A$2:$OJ$901,205,MATCH($B$2&amp;"|yN",Aux_puntos!$1:$1,0))="",NA(),INDEX(Aux_puntos!$A$2:$OJ$901,205,MATCH($B$2&amp;"|yN",Aux_puntos!$1:$1,0))),NA())</f>
        <v/>
      </c>
    </row>
    <row r="210">
      <c r="AC210">
        <f>IFERROR(IF(INDEX(Aux_puntos!$A$2:$OJ$901,206,MATCH($B$2&amp;"|xK",Aux_puntos!$1:$1,0))="",NA(),INDEX(Aux_puntos!$A$2:$OJ$901,206,MATCH($B$2&amp;"|xK",Aux_puntos!$1:$1,0))),NA())</f>
        <v/>
      </c>
      <c r="AD210">
        <f>IFERROR(IF(INDEX(Aux_puntos!$A$2:$OJ$901,206,MATCH($B$2&amp;"|yK",Aux_puntos!$1:$1,0))="",NA(),INDEX(Aux_puntos!$A$2:$OJ$901,206,MATCH($B$2&amp;"|yK",Aux_puntos!$1:$1,0))),NA())</f>
        <v/>
      </c>
      <c r="AE210">
        <f>IFERROR(IF(INDEX(Aux_puntos!$A$2:$OJ$901,206,MATCH($B$2&amp;"|xC",Aux_puntos!$1:$1,0))="",NA(),INDEX(Aux_puntos!$A$2:$OJ$901,206,MATCH($B$2&amp;"|xC",Aux_puntos!$1:$1,0))),NA())</f>
        <v/>
      </c>
      <c r="AF210">
        <f>IFERROR(IF(INDEX(Aux_puntos!$A$2:$OJ$901,206,MATCH($B$2&amp;"|yC",Aux_puntos!$1:$1,0))="",NA(),INDEX(Aux_puntos!$A$2:$OJ$901,206,MATCH($B$2&amp;"|yC",Aux_puntos!$1:$1,0))),NA())</f>
        <v/>
      </c>
      <c r="AG210">
        <f>IFERROR(IF(INDEX(Aux_puntos!$A$2:$OJ$901,206,MATCH($B$2&amp;"|xI",Aux_puntos!$1:$1,0))="",NA(),INDEX(Aux_puntos!$A$2:$OJ$901,206,MATCH($B$2&amp;"|xI",Aux_puntos!$1:$1,0))),NA())</f>
        <v/>
      </c>
      <c r="AH210">
        <f>IFERROR(IF(INDEX(Aux_puntos!$A$2:$OJ$901,206,MATCH($B$2&amp;"|yI",Aux_puntos!$1:$1,0))="",NA(),INDEX(Aux_puntos!$A$2:$OJ$901,206,MATCH($B$2&amp;"|yI",Aux_puntos!$1:$1,0))),NA())</f>
        <v/>
      </c>
      <c r="AI210">
        <f>IFERROR(IF(INDEX(Aux_puntos!$A$2:$OJ$901,206,MATCH($B$2&amp;"|xN",Aux_puntos!$1:$1,0))="",NA(),INDEX(Aux_puntos!$A$2:$OJ$901,206,MATCH($B$2&amp;"|xN",Aux_puntos!$1:$1,0))),NA())</f>
        <v/>
      </c>
      <c r="AJ210">
        <f>IFERROR(IF(INDEX(Aux_puntos!$A$2:$OJ$901,206,MATCH($B$2&amp;"|yN",Aux_puntos!$1:$1,0))="",NA(),INDEX(Aux_puntos!$A$2:$OJ$901,206,MATCH($B$2&amp;"|yN",Aux_puntos!$1:$1,0))),NA())</f>
        <v/>
      </c>
    </row>
    <row r="211">
      <c r="AC211">
        <f>IFERROR(IF(INDEX(Aux_puntos!$A$2:$OJ$901,207,MATCH($B$2&amp;"|xK",Aux_puntos!$1:$1,0))="",NA(),INDEX(Aux_puntos!$A$2:$OJ$901,207,MATCH($B$2&amp;"|xK",Aux_puntos!$1:$1,0))),NA())</f>
        <v/>
      </c>
      <c r="AD211">
        <f>IFERROR(IF(INDEX(Aux_puntos!$A$2:$OJ$901,207,MATCH($B$2&amp;"|yK",Aux_puntos!$1:$1,0))="",NA(),INDEX(Aux_puntos!$A$2:$OJ$901,207,MATCH($B$2&amp;"|yK",Aux_puntos!$1:$1,0))),NA())</f>
        <v/>
      </c>
      <c r="AE211">
        <f>IFERROR(IF(INDEX(Aux_puntos!$A$2:$OJ$901,207,MATCH($B$2&amp;"|xC",Aux_puntos!$1:$1,0))="",NA(),INDEX(Aux_puntos!$A$2:$OJ$901,207,MATCH($B$2&amp;"|xC",Aux_puntos!$1:$1,0))),NA())</f>
        <v/>
      </c>
      <c r="AF211">
        <f>IFERROR(IF(INDEX(Aux_puntos!$A$2:$OJ$901,207,MATCH($B$2&amp;"|yC",Aux_puntos!$1:$1,0))="",NA(),INDEX(Aux_puntos!$A$2:$OJ$901,207,MATCH($B$2&amp;"|yC",Aux_puntos!$1:$1,0))),NA())</f>
        <v/>
      </c>
      <c r="AG211">
        <f>IFERROR(IF(INDEX(Aux_puntos!$A$2:$OJ$901,207,MATCH($B$2&amp;"|xI",Aux_puntos!$1:$1,0))="",NA(),INDEX(Aux_puntos!$A$2:$OJ$901,207,MATCH($B$2&amp;"|xI",Aux_puntos!$1:$1,0))),NA())</f>
        <v/>
      </c>
      <c r="AH211">
        <f>IFERROR(IF(INDEX(Aux_puntos!$A$2:$OJ$901,207,MATCH($B$2&amp;"|yI",Aux_puntos!$1:$1,0))="",NA(),INDEX(Aux_puntos!$A$2:$OJ$901,207,MATCH($B$2&amp;"|yI",Aux_puntos!$1:$1,0))),NA())</f>
        <v/>
      </c>
      <c r="AI211">
        <f>IFERROR(IF(INDEX(Aux_puntos!$A$2:$OJ$901,207,MATCH($B$2&amp;"|xN",Aux_puntos!$1:$1,0))="",NA(),INDEX(Aux_puntos!$A$2:$OJ$901,207,MATCH($B$2&amp;"|xN",Aux_puntos!$1:$1,0))),NA())</f>
        <v/>
      </c>
      <c r="AJ211">
        <f>IFERROR(IF(INDEX(Aux_puntos!$A$2:$OJ$901,207,MATCH($B$2&amp;"|yN",Aux_puntos!$1:$1,0))="",NA(),INDEX(Aux_puntos!$A$2:$OJ$901,207,MATCH($B$2&amp;"|yN",Aux_puntos!$1:$1,0))),NA())</f>
        <v/>
      </c>
    </row>
    <row r="212">
      <c r="AC212">
        <f>IFERROR(IF(INDEX(Aux_puntos!$A$2:$OJ$901,208,MATCH($B$2&amp;"|xK",Aux_puntos!$1:$1,0))="",NA(),INDEX(Aux_puntos!$A$2:$OJ$901,208,MATCH($B$2&amp;"|xK",Aux_puntos!$1:$1,0))),NA())</f>
        <v/>
      </c>
      <c r="AD212">
        <f>IFERROR(IF(INDEX(Aux_puntos!$A$2:$OJ$901,208,MATCH($B$2&amp;"|yK",Aux_puntos!$1:$1,0))="",NA(),INDEX(Aux_puntos!$A$2:$OJ$901,208,MATCH($B$2&amp;"|yK",Aux_puntos!$1:$1,0))),NA())</f>
        <v/>
      </c>
      <c r="AE212">
        <f>IFERROR(IF(INDEX(Aux_puntos!$A$2:$OJ$901,208,MATCH($B$2&amp;"|xC",Aux_puntos!$1:$1,0))="",NA(),INDEX(Aux_puntos!$A$2:$OJ$901,208,MATCH($B$2&amp;"|xC",Aux_puntos!$1:$1,0))),NA())</f>
        <v/>
      </c>
      <c r="AF212">
        <f>IFERROR(IF(INDEX(Aux_puntos!$A$2:$OJ$901,208,MATCH($B$2&amp;"|yC",Aux_puntos!$1:$1,0))="",NA(),INDEX(Aux_puntos!$A$2:$OJ$901,208,MATCH($B$2&amp;"|yC",Aux_puntos!$1:$1,0))),NA())</f>
        <v/>
      </c>
      <c r="AG212">
        <f>IFERROR(IF(INDEX(Aux_puntos!$A$2:$OJ$901,208,MATCH($B$2&amp;"|xI",Aux_puntos!$1:$1,0))="",NA(),INDEX(Aux_puntos!$A$2:$OJ$901,208,MATCH($B$2&amp;"|xI",Aux_puntos!$1:$1,0))),NA())</f>
        <v/>
      </c>
      <c r="AH212">
        <f>IFERROR(IF(INDEX(Aux_puntos!$A$2:$OJ$901,208,MATCH($B$2&amp;"|yI",Aux_puntos!$1:$1,0))="",NA(),INDEX(Aux_puntos!$A$2:$OJ$901,208,MATCH($B$2&amp;"|yI",Aux_puntos!$1:$1,0))),NA())</f>
        <v/>
      </c>
      <c r="AI212">
        <f>IFERROR(IF(INDEX(Aux_puntos!$A$2:$OJ$901,208,MATCH($B$2&amp;"|xN",Aux_puntos!$1:$1,0))="",NA(),INDEX(Aux_puntos!$A$2:$OJ$901,208,MATCH($B$2&amp;"|xN",Aux_puntos!$1:$1,0))),NA())</f>
        <v/>
      </c>
      <c r="AJ212">
        <f>IFERROR(IF(INDEX(Aux_puntos!$A$2:$OJ$901,208,MATCH($B$2&amp;"|yN",Aux_puntos!$1:$1,0))="",NA(),INDEX(Aux_puntos!$A$2:$OJ$901,208,MATCH($B$2&amp;"|yN",Aux_puntos!$1:$1,0))),NA())</f>
        <v/>
      </c>
    </row>
    <row r="213">
      <c r="AC213">
        <f>IFERROR(IF(INDEX(Aux_puntos!$A$2:$OJ$901,209,MATCH($B$2&amp;"|xK",Aux_puntos!$1:$1,0))="",NA(),INDEX(Aux_puntos!$A$2:$OJ$901,209,MATCH($B$2&amp;"|xK",Aux_puntos!$1:$1,0))),NA())</f>
        <v/>
      </c>
      <c r="AD213">
        <f>IFERROR(IF(INDEX(Aux_puntos!$A$2:$OJ$901,209,MATCH($B$2&amp;"|yK",Aux_puntos!$1:$1,0))="",NA(),INDEX(Aux_puntos!$A$2:$OJ$901,209,MATCH($B$2&amp;"|yK",Aux_puntos!$1:$1,0))),NA())</f>
        <v/>
      </c>
      <c r="AE213">
        <f>IFERROR(IF(INDEX(Aux_puntos!$A$2:$OJ$901,209,MATCH($B$2&amp;"|xC",Aux_puntos!$1:$1,0))="",NA(),INDEX(Aux_puntos!$A$2:$OJ$901,209,MATCH($B$2&amp;"|xC",Aux_puntos!$1:$1,0))),NA())</f>
        <v/>
      </c>
      <c r="AF213">
        <f>IFERROR(IF(INDEX(Aux_puntos!$A$2:$OJ$901,209,MATCH($B$2&amp;"|yC",Aux_puntos!$1:$1,0))="",NA(),INDEX(Aux_puntos!$A$2:$OJ$901,209,MATCH($B$2&amp;"|yC",Aux_puntos!$1:$1,0))),NA())</f>
        <v/>
      </c>
      <c r="AG213">
        <f>IFERROR(IF(INDEX(Aux_puntos!$A$2:$OJ$901,209,MATCH($B$2&amp;"|xI",Aux_puntos!$1:$1,0))="",NA(),INDEX(Aux_puntos!$A$2:$OJ$901,209,MATCH($B$2&amp;"|xI",Aux_puntos!$1:$1,0))),NA())</f>
        <v/>
      </c>
      <c r="AH213">
        <f>IFERROR(IF(INDEX(Aux_puntos!$A$2:$OJ$901,209,MATCH($B$2&amp;"|yI",Aux_puntos!$1:$1,0))="",NA(),INDEX(Aux_puntos!$A$2:$OJ$901,209,MATCH($B$2&amp;"|yI",Aux_puntos!$1:$1,0))),NA())</f>
        <v/>
      </c>
      <c r="AI213">
        <f>IFERROR(IF(INDEX(Aux_puntos!$A$2:$OJ$901,209,MATCH($B$2&amp;"|xN",Aux_puntos!$1:$1,0))="",NA(),INDEX(Aux_puntos!$A$2:$OJ$901,209,MATCH($B$2&amp;"|xN",Aux_puntos!$1:$1,0))),NA())</f>
        <v/>
      </c>
      <c r="AJ213">
        <f>IFERROR(IF(INDEX(Aux_puntos!$A$2:$OJ$901,209,MATCH($B$2&amp;"|yN",Aux_puntos!$1:$1,0))="",NA(),INDEX(Aux_puntos!$A$2:$OJ$901,209,MATCH($B$2&amp;"|yN",Aux_puntos!$1:$1,0))),NA())</f>
        <v/>
      </c>
    </row>
    <row r="214">
      <c r="AC214">
        <f>IFERROR(IF(INDEX(Aux_puntos!$A$2:$OJ$901,210,MATCH($B$2&amp;"|xK",Aux_puntos!$1:$1,0))="",NA(),INDEX(Aux_puntos!$A$2:$OJ$901,210,MATCH($B$2&amp;"|xK",Aux_puntos!$1:$1,0))),NA())</f>
        <v/>
      </c>
      <c r="AD214">
        <f>IFERROR(IF(INDEX(Aux_puntos!$A$2:$OJ$901,210,MATCH($B$2&amp;"|yK",Aux_puntos!$1:$1,0))="",NA(),INDEX(Aux_puntos!$A$2:$OJ$901,210,MATCH($B$2&amp;"|yK",Aux_puntos!$1:$1,0))),NA())</f>
        <v/>
      </c>
      <c r="AE214">
        <f>IFERROR(IF(INDEX(Aux_puntos!$A$2:$OJ$901,210,MATCH($B$2&amp;"|xC",Aux_puntos!$1:$1,0))="",NA(),INDEX(Aux_puntos!$A$2:$OJ$901,210,MATCH($B$2&amp;"|xC",Aux_puntos!$1:$1,0))),NA())</f>
        <v/>
      </c>
      <c r="AF214">
        <f>IFERROR(IF(INDEX(Aux_puntos!$A$2:$OJ$901,210,MATCH($B$2&amp;"|yC",Aux_puntos!$1:$1,0))="",NA(),INDEX(Aux_puntos!$A$2:$OJ$901,210,MATCH($B$2&amp;"|yC",Aux_puntos!$1:$1,0))),NA())</f>
        <v/>
      </c>
      <c r="AG214">
        <f>IFERROR(IF(INDEX(Aux_puntos!$A$2:$OJ$901,210,MATCH($B$2&amp;"|xI",Aux_puntos!$1:$1,0))="",NA(),INDEX(Aux_puntos!$A$2:$OJ$901,210,MATCH($B$2&amp;"|xI",Aux_puntos!$1:$1,0))),NA())</f>
        <v/>
      </c>
      <c r="AH214">
        <f>IFERROR(IF(INDEX(Aux_puntos!$A$2:$OJ$901,210,MATCH($B$2&amp;"|yI",Aux_puntos!$1:$1,0))="",NA(),INDEX(Aux_puntos!$A$2:$OJ$901,210,MATCH($B$2&amp;"|yI",Aux_puntos!$1:$1,0))),NA())</f>
        <v/>
      </c>
      <c r="AI214">
        <f>IFERROR(IF(INDEX(Aux_puntos!$A$2:$OJ$901,210,MATCH($B$2&amp;"|xN",Aux_puntos!$1:$1,0))="",NA(),INDEX(Aux_puntos!$A$2:$OJ$901,210,MATCH($B$2&amp;"|xN",Aux_puntos!$1:$1,0))),NA())</f>
        <v/>
      </c>
      <c r="AJ214">
        <f>IFERROR(IF(INDEX(Aux_puntos!$A$2:$OJ$901,210,MATCH($B$2&amp;"|yN",Aux_puntos!$1:$1,0))="",NA(),INDEX(Aux_puntos!$A$2:$OJ$901,210,MATCH($B$2&amp;"|yN",Aux_puntos!$1:$1,0))),NA())</f>
        <v/>
      </c>
    </row>
    <row r="215">
      <c r="AC215">
        <f>IFERROR(IF(INDEX(Aux_puntos!$A$2:$OJ$901,211,MATCH($B$2&amp;"|xK",Aux_puntos!$1:$1,0))="",NA(),INDEX(Aux_puntos!$A$2:$OJ$901,211,MATCH($B$2&amp;"|xK",Aux_puntos!$1:$1,0))),NA())</f>
        <v/>
      </c>
      <c r="AD215">
        <f>IFERROR(IF(INDEX(Aux_puntos!$A$2:$OJ$901,211,MATCH($B$2&amp;"|yK",Aux_puntos!$1:$1,0))="",NA(),INDEX(Aux_puntos!$A$2:$OJ$901,211,MATCH($B$2&amp;"|yK",Aux_puntos!$1:$1,0))),NA())</f>
        <v/>
      </c>
      <c r="AE215">
        <f>IFERROR(IF(INDEX(Aux_puntos!$A$2:$OJ$901,211,MATCH($B$2&amp;"|xC",Aux_puntos!$1:$1,0))="",NA(),INDEX(Aux_puntos!$A$2:$OJ$901,211,MATCH($B$2&amp;"|xC",Aux_puntos!$1:$1,0))),NA())</f>
        <v/>
      </c>
      <c r="AF215">
        <f>IFERROR(IF(INDEX(Aux_puntos!$A$2:$OJ$901,211,MATCH($B$2&amp;"|yC",Aux_puntos!$1:$1,0))="",NA(),INDEX(Aux_puntos!$A$2:$OJ$901,211,MATCH($B$2&amp;"|yC",Aux_puntos!$1:$1,0))),NA())</f>
        <v/>
      </c>
      <c r="AG215">
        <f>IFERROR(IF(INDEX(Aux_puntos!$A$2:$OJ$901,211,MATCH($B$2&amp;"|xI",Aux_puntos!$1:$1,0))="",NA(),INDEX(Aux_puntos!$A$2:$OJ$901,211,MATCH($B$2&amp;"|xI",Aux_puntos!$1:$1,0))),NA())</f>
        <v/>
      </c>
      <c r="AH215">
        <f>IFERROR(IF(INDEX(Aux_puntos!$A$2:$OJ$901,211,MATCH($B$2&amp;"|yI",Aux_puntos!$1:$1,0))="",NA(),INDEX(Aux_puntos!$A$2:$OJ$901,211,MATCH($B$2&amp;"|yI",Aux_puntos!$1:$1,0))),NA())</f>
        <v/>
      </c>
      <c r="AI215">
        <f>IFERROR(IF(INDEX(Aux_puntos!$A$2:$OJ$901,211,MATCH($B$2&amp;"|xN",Aux_puntos!$1:$1,0))="",NA(),INDEX(Aux_puntos!$A$2:$OJ$901,211,MATCH($B$2&amp;"|xN",Aux_puntos!$1:$1,0))),NA())</f>
        <v/>
      </c>
      <c r="AJ215">
        <f>IFERROR(IF(INDEX(Aux_puntos!$A$2:$OJ$901,211,MATCH($B$2&amp;"|yN",Aux_puntos!$1:$1,0))="",NA(),INDEX(Aux_puntos!$A$2:$OJ$901,211,MATCH($B$2&amp;"|yN",Aux_puntos!$1:$1,0))),NA())</f>
        <v/>
      </c>
    </row>
    <row r="216">
      <c r="AC216">
        <f>IFERROR(IF(INDEX(Aux_puntos!$A$2:$OJ$901,212,MATCH($B$2&amp;"|xK",Aux_puntos!$1:$1,0))="",NA(),INDEX(Aux_puntos!$A$2:$OJ$901,212,MATCH($B$2&amp;"|xK",Aux_puntos!$1:$1,0))),NA())</f>
        <v/>
      </c>
      <c r="AD216">
        <f>IFERROR(IF(INDEX(Aux_puntos!$A$2:$OJ$901,212,MATCH($B$2&amp;"|yK",Aux_puntos!$1:$1,0))="",NA(),INDEX(Aux_puntos!$A$2:$OJ$901,212,MATCH($B$2&amp;"|yK",Aux_puntos!$1:$1,0))),NA())</f>
        <v/>
      </c>
      <c r="AE216">
        <f>IFERROR(IF(INDEX(Aux_puntos!$A$2:$OJ$901,212,MATCH($B$2&amp;"|xC",Aux_puntos!$1:$1,0))="",NA(),INDEX(Aux_puntos!$A$2:$OJ$901,212,MATCH($B$2&amp;"|xC",Aux_puntos!$1:$1,0))),NA())</f>
        <v/>
      </c>
      <c r="AF216">
        <f>IFERROR(IF(INDEX(Aux_puntos!$A$2:$OJ$901,212,MATCH($B$2&amp;"|yC",Aux_puntos!$1:$1,0))="",NA(),INDEX(Aux_puntos!$A$2:$OJ$901,212,MATCH($B$2&amp;"|yC",Aux_puntos!$1:$1,0))),NA())</f>
        <v/>
      </c>
      <c r="AG216">
        <f>IFERROR(IF(INDEX(Aux_puntos!$A$2:$OJ$901,212,MATCH($B$2&amp;"|xI",Aux_puntos!$1:$1,0))="",NA(),INDEX(Aux_puntos!$A$2:$OJ$901,212,MATCH($B$2&amp;"|xI",Aux_puntos!$1:$1,0))),NA())</f>
        <v/>
      </c>
      <c r="AH216">
        <f>IFERROR(IF(INDEX(Aux_puntos!$A$2:$OJ$901,212,MATCH($B$2&amp;"|yI",Aux_puntos!$1:$1,0))="",NA(),INDEX(Aux_puntos!$A$2:$OJ$901,212,MATCH($B$2&amp;"|yI",Aux_puntos!$1:$1,0))),NA())</f>
        <v/>
      </c>
      <c r="AI216">
        <f>IFERROR(IF(INDEX(Aux_puntos!$A$2:$OJ$901,212,MATCH($B$2&amp;"|xN",Aux_puntos!$1:$1,0))="",NA(),INDEX(Aux_puntos!$A$2:$OJ$901,212,MATCH($B$2&amp;"|xN",Aux_puntos!$1:$1,0))),NA())</f>
        <v/>
      </c>
      <c r="AJ216">
        <f>IFERROR(IF(INDEX(Aux_puntos!$A$2:$OJ$901,212,MATCH($B$2&amp;"|yN",Aux_puntos!$1:$1,0))="",NA(),INDEX(Aux_puntos!$A$2:$OJ$901,212,MATCH($B$2&amp;"|yN",Aux_puntos!$1:$1,0))),NA())</f>
        <v/>
      </c>
    </row>
    <row r="217">
      <c r="AC217">
        <f>IFERROR(IF(INDEX(Aux_puntos!$A$2:$OJ$901,213,MATCH($B$2&amp;"|xK",Aux_puntos!$1:$1,0))="",NA(),INDEX(Aux_puntos!$A$2:$OJ$901,213,MATCH($B$2&amp;"|xK",Aux_puntos!$1:$1,0))),NA())</f>
        <v/>
      </c>
      <c r="AD217">
        <f>IFERROR(IF(INDEX(Aux_puntos!$A$2:$OJ$901,213,MATCH($B$2&amp;"|yK",Aux_puntos!$1:$1,0))="",NA(),INDEX(Aux_puntos!$A$2:$OJ$901,213,MATCH($B$2&amp;"|yK",Aux_puntos!$1:$1,0))),NA())</f>
        <v/>
      </c>
      <c r="AE217">
        <f>IFERROR(IF(INDEX(Aux_puntos!$A$2:$OJ$901,213,MATCH($B$2&amp;"|xC",Aux_puntos!$1:$1,0))="",NA(),INDEX(Aux_puntos!$A$2:$OJ$901,213,MATCH($B$2&amp;"|xC",Aux_puntos!$1:$1,0))),NA())</f>
        <v/>
      </c>
      <c r="AF217">
        <f>IFERROR(IF(INDEX(Aux_puntos!$A$2:$OJ$901,213,MATCH($B$2&amp;"|yC",Aux_puntos!$1:$1,0))="",NA(),INDEX(Aux_puntos!$A$2:$OJ$901,213,MATCH($B$2&amp;"|yC",Aux_puntos!$1:$1,0))),NA())</f>
        <v/>
      </c>
      <c r="AG217">
        <f>IFERROR(IF(INDEX(Aux_puntos!$A$2:$OJ$901,213,MATCH($B$2&amp;"|xI",Aux_puntos!$1:$1,0))="",NA(),INDEX(Aux_puntos!$A$2:$OJ$901,213,MATCH($B$2&amp;"|xI",Aux_puntos!$1:$1,0))),NA())</f>
        <v/>
      </c>
      <c r="AH217">
        <f>IFERROR(IF(INDEX(Aux_puntos!$A$2:$OJ$901,213,MATCH($B$2&amp;"|yI",Aux_puntos!$1:$1,0))="",NA(),INDEX(Aux_puntos!$A$2:$OJ$901,213,MATCH($B$2&amp;"|yI",Aux_puntos!$1:$1,0))),NA())</f>
        <v/>
      </c>
      <c r="AI217">
        <f>IFERROR(IF(INDEX(Aux_puntos!$A$2:$OJ$901,213,MATCH($B$2&amp;"|xN",Aux_puntos!$1:$1,0))="",NA(),INDEX(Aux_puntos!$A$2:$OJ$901,213,MATCH($B$2&amp;"|xN",Aux_puntos!$1:$1,0))),NA())</f>
        <v/>
      </c>
      <c r="AJ217">
        <f>IFERROR(IF(INDEX(Aux_puntos!$A$2:$OJ$901,213,MATCH($B$2&amp;"|yN",Aux_puntos!$1:$1,0))="",NA(),INDEX(Aux_puntos!$A$2:$OJ$901,213,MATCH($B$2&amp;"|yN",Aux_puntos!$1:$1,0))),NA())</f>
        <v/>
      </c>
    </row>
    <row r="218">
      <c r="AC218">
        <f>IFERROR(IF(INDEX(Aux_puntos!$A$2:$OJ$901,214,MATCH($B$2&amp;"|xK",Aux_puntos!$1:$1,0))="",NA(),INDEX(Aux_puntos!$A$2:$OJ$901,214,MATCH($B$2&amp;"|xK",Aux_puntos!$1:$1,0))),NA())</f>
        <v/>
      </c>
      <c r="AD218">
        <f>IFERROR(IF(INDEX(Aux_puntos!$A$2:$OJ$901,214,MATCH($B$2&amp;"|yK",Aux_puntos!$1:$1,0))="",NA(),INDEX(Aux_puntos!$A$2:$OJ$901,214,MATCH($B$2&amp;"|yK",Aux_puntos!$1:$1,0))),NA())</f>
        <v/>
      </c>
      <c r="AE218">
        <f>IFERROR(IF(INDEX(Aux_puntos!$A$2:$OJ$901,214,MATCH($B$2&amp;"|xC",Aux_puntos!$1:$1,0))="",NA(),INDEX(Aux_puntos!$A$2:$OJ$901,214,MATCH($B$2&amp;"|xC",Aux_puntos!$1:$1,0))),NA())</f>
        <v/>
      </c>
      <c r="AF218">
        <f>IFERROR(IF(INDEX(Aux_puntos!$A$2:$OJ$901,214,MATCH($B$2&amp;"|yC",Aux_puntos!$1:$1,0))="",NA(),INDEX(Aux_puntos!$A$2:$OJ$901,214,MATCH($B$2&amp;"|yC",Aux_puntos!$1:$1,0))),NA())</f>
        <v/>
      </c>
      <c r="AG218">
        <f>IFERROR(IF(INDEX(Aux_puntos!$A$2:$OJ$901,214,MATCH($B$2&amp;"|xI",Aux_puntos!$1:$1,0))="",NA(),INDEX(Aux_puntos!$A$2:$OJ$901,214,MATCH($B$2&amp;"|xI",Aux_puntos!$1:$1,0))),NA())</f>
        <v/>
      </c>
      <c r="AH218">
        <f>IFERROR(IF(INDEX(Aux_puntos!$A$2:$OJ$901,214,MATCH($B$2&amp;"|yI",Aux_puntos!$1:$1,0))="",NA(),INDEX(Aux_puntos!$A$2:$OJ$901,214,MATCH($B$2&amp;"|yI",Aux_puntos!$1:$1,0))),NA())</f>
        <v/>
      </c>
      <c r="AI218">
        <f>IFERROR(IF(INDEX(Aux_puntos!$A$2:$OJ$901,214,MATCH($B$2&amp;"|xN",Aux_puntos!$1:$1,0))="",NA(),INDEX(Aux_puntos!$A$2:$OJ$901,214,MATCH($B$2&amp;"|xN",Aux_puntos!$1:$1,0))),NA())</f>
        <v/>
      </c>
      <c r="AJ218">
        <f>IFERROR(IF(INDEX(Aux_puntos!$A$2:$OJ$901,214,MATCH($B$2&amp;"|yN",Aux_puntos!$1:$1,0))="",NA(),INDEX(Aux_puntos!$A$2:$OJ$901,214,MATCH($B$2&amp;"|yN",Aux_puntos!$1:$1,0))),NA())</f>
        <v/>
      </c>
    </row>
    <row r="219">
      <c r="AC219">
        <f>IFERROR(IF(INDEX(Aux_puntos!$A$2:$OJ$901,215,MATCH($B$2&amp;"|xK",Aux_puntos!$1:$1,0))="",NA(),INDEX(Aux_puntos!$A$2:$OJ$901,215,MATCH($B$2&amp;"|xK",Aux_puntos!$1:$1,0))),NA())</f>
        <v/>
      </c>
      <c r="AD219">
        <f>IFERROR(IF(INDEX(Aux_puntos!$A$2:$OJ$901,215,MATCH($B$2&amp;"|yK",Aux_puntos!$1:$1,0))="",NA(),INDEX(Aux_puntos!$A$2:$OJ$901,215,MATCH($B$2&amp;"|yK",Aux_puntos!$1:$1,0))),NA())</f>
        <v/>
      </c>
      <c r="AE219">
        <f>IFERROR(IF(INDEX(Aux_puntos!$A$2:$OJ$901,215,MATCH($B$2&amp;"|xC",Aux_puntos!$1:$1,0))="",NA(),INDEX(Aux_puntos!$A$2:$OJ$901,215,MATCH($B$2&amp;"|xC",Aux_puntos!$1:$1,0))),NA())</f>
        <v/>
      </c>
      <c r="AF219">
        <f>IFERROR(IF(INDEX(Aux_puntos!$A$2:$OJ$901,215,MATCH($B$2&amp;"|yC",Aux_puntos!$1:$1,0))="",NA(),INDEX(Aux_puntos!$A$2:$OJ$901,215,MATCH($B$2&amp;"|yC",Aux_puntos!$1:$1,0))),NA())</f>
        <v/>
      </c>
      <c r="AG219">
        <f>IFERROR(IF(INDEX(Aux_puntos!$A$2:$OJ$901,215,MATCH($B$2&amp;"|xI",Aux_puntos!$1:$1,0))="",NA(),INDEX(Aux_puntos!$A$2:$OJ$901,215,MATCH($B$2&amp;"|xI",Aux_puntos!$1:$1,0))),NA())</f>
        <v/>
      </c>
      <c r="AH219">
        <f>IFERROR(IF(INDEX(Aux_puntos!$A$2:$OJ$901,215,MATCH($B$2&amp;"|yI",Aux_puntos!$1:$1,0))="",NA(),INDEX(Aux_puntos!$A$2:$OJ$901,215,MATCH($B$2&amp;"|yI",Aux_puntos!$1:$1,0))),NA())</f>
        <v/>
      </c>
      <c r="AI219">
        <f>IFERROR(IF(INDEX(Aux_puntos!$A$2:$OJ$901,215,MATCH($B$2&amp;"|xN",Aux_puntos!$1:$1,0))="",NA(),INDEX(Aux_puntos!$A$2:$OJ$901,215,MATCH($B$2&amp;"|xN",Aux_puntos!$1:$1,0))),NA())</f>
        <v/>
      </c>
      <c r="AJ219">
        <f>IFERROR(IF(INDEX(Aux_puntos!$A$2:$OJ$901,215,MATCH($B$2&amp;"|yN",Aux_puntos!$1:$1,0))="",NA(),INDEX(Aux_puntos!$A$2:$OJ$901,215,MATCH($B$2&amp;"|yN",Aux_puntos!$1:$1,0))),NA())</f>
        <v/>
      </c>
    </row>
    <row r="220">
      <c r="AC220">
        <f>IFERROR(IF(INDEX(Aux_puntos!$A$2:$OJ$901,216,MATCH($B$2&amp;"|xK",Aux_puntos!$1:$1,0))="",NA(),INDEX(Aux_puntos!$A$2:$OJ$901,216,MATCH($B$2&amp;"|xK",Aux_puntos!$1:$1,0))),NA())</f>
        <v/>
      </c>
      <c r="AD220">
        <f>IFERROR(IF(INDEX(Aux_puntos!$A$2:$OJ$901,216,MATCH($B$2&amp;"|yK",Aux_puntos!$1:$1,0))="",NA(),INDEX(Aux_puntos!$A$2:$OJ$901,216,MATCH($B$2&amp;"|yK",Aux_puntos!$1:$1,0))),NA())</f>
        <v/>
      </c>
      <c r="AE220">
        <f>IFERROR(IF(INDEX(Aux_puntos!$A$2:$OJ$901,216,MATCH($B$2&amp;"|xC",Aux_puntos!$1:$1,0))="",NA(),INDEX(Aux_puntos!$A$2:$OJ$901,216,MATCH($B$2&amp;"|xC",Aux_puntos!$1:$1,0))),NA())</f>
        <v/>
      </c>
      <c r="AF220">
        <f>IFERROR(IF(INDEX(Aux_puntos!$A$2:$OJ$901,216,MATCH($B$2&amp;"|yC",Aux_puntos!$1:$1,0))="",NA(),INDEX(Aux_puntos!$A$2:$OJ$901,216,MATCH($B$2&amp;"|yC",Aux_puntos!$1:$1,0))),NA())</f>
        <v/>
      </c>
      <c r="AG220">
        <f>IFERROR(IF(INDEX(Aux_puntos!$A$2:$OJ$901,216,MATCH($B$2&amp;"|xI",Aux_puntos!$1:$1,0))="",NA(),INDEX(Aux_puntos!$A$2:$OJ$901,216,MATCH($B$2&amp;"|xI",Aux_puntos!$1:$1,0))),NA())</f>
        <v/>
      </c>
      <c r="AH220">
        <f>IFERROR(IF(INDEX(Aux_puntos!$A$2:$OJ$901,216,MATCH($B$2&amp;"|yI",Aux_puntos!$1:$1,0))="",NA(),INDEX(Aux_puntos!$A$2:$OJ$901,216,MATCH($B$2&amp;"|yI",Aux_puntos!$1:$1,0))),NA())</f>
        <v/>
      </c>
      <c r="AI220">
        <f>IFERROR(IF(INDEX(Aux_puntos!$A$2:$OJ$901,216,MATCH($B$2&amp;"|xN",Aux_puntos!$1:$1,0))="",NA(),INDEX(Aux_puntos!$A$2:$OJ$901,216,MATCH($B$2&amp;"|xN",Aux_puntos!$1:$1,0))),NA())</f>
        <v/>
      </c>
      <c r="AJ220">
        <f>IFERROR(IF(INDEX(Aux_puntos!$A$2:$OJ$901,216,MATCH($B$2&amp;"|yN",Aux_puntos!$1:$1,0))="",NA(),INDEX(Aux_puntos!$A$2:$OJ$901,216,MATCH($B$2&amp;"|yN",Aux_puntos!$1:$1,0))),NA())</f>
        <v/>
      </c>
    </row>
    <row r="221">
      <c r="AC221">
        <f>IFERROR(IF(INDEX(Aux_puntos!$A$2:$OJ$901,217,MATCH($B$2&amp;"|xK",Aux_puntos!$1:$1,0))="",NA(),INDEX(Aux_puntos!$A$2:$OJ$901,217,MATCH($B$2&amp;"|xK",Aux_puntos!$1:$1,0))),NA())</f>
        <v/>
      </c>
      <c r="AD221">
        <f>IFERROR(IF(INDEX(Aux_puntos!$A$2:$OJ$901,217,MATCH($B$2&amp;"|yK",Aux_puntos!$1:$1,0))="",NA(),INDEX(Aux_puntos!$A$2:$OJ$901,217,MATCH($B$2&amp;"|yK",Aux_puntos!$1:$1,0))),NA())</f>
        <v/>
      </c>
      <c r="AE221">
        <f>IFERROR(IF(INDEX(Aux_puntos!$A$2:$OJ$901,217,MATCH($B$2&amp;"|xC",Aux_puntos!$1:$1,0))="",NA(),INDEX(Aux_puntos!$A$2:$OJ$901,217,MATCH($B$2&amp;"|xC",Aux_puntos!$1:$1,0))),NA())</f>
        <v/>
      </c>
      <c r="AF221">
        <f>IFERROR(IF(INDEX(Aux_puntos!$A$2:$OJ$901,217,MATCH($B$2&amp;"|yC",Aux_puntos!$1:$1,0))="",NA(),INDEX(Aux_puntos!$A$2:$OJ$901,217,MATCH($B$2&amp;"|yC",Aux_puntos!$1:$1,0))),NA())</f>
        <v/>
      </c>
      <c r="AG221">
        <f>IFERROR(IF(INDEX(Aux_puntos!$A$2:$OJ$901,217,MATCH($B$2&amp;"|xI",Aux_puntos!$1:$1,0))="",NA(),INDEX(Aux_puntos!$A$2:$OJ$901,217,MATCH($B$2&amp;"|xI",Aux_puntos!$1:$1,0))),NA())</f>
        <v/>
      </c>
      <c r="AH221">
        <f>IFERROR(IF(INDEX(Aux_puntos!$A$2:$OJ$901,217,MATCH($B$2&amp;"|yI",Aux_puntos!$1:$1,0))="",NA(),INDEX(Aux_puntos!$A$2:$OJ$901,217,MATCH($B$2&amp;"|yI",Aux_puntos!$1:$1,0))),NA())</f>
        <v/>
      </c>
      <c r="AI221">
        <f>IFERROR(IF(INDEX(Aux_puntos!$A$2:$OJ$901,217,MATCH($B$2&amp;"|xN",Aux_puntos!$1:$1,0))="",NA(),INDEX(Aux_puntos!$A$2:$OJ$901,217,MATCH($B$2&amp;"|xN",Aux_puntos!$1:$1,0))),NA())</f>
        <v/>
      </c>
      <c r="AJ221">
        <f>IFERROR(IF(INDEX(Aux_puntos!$A$2:$OJ$901,217,MATCH($B$2&amp;"|yN",Aux_puntos!$1:$1,0))="",NA(),INDEX(Aux_puntos!$A$2:$OJ$901,217,MATCH($B$2&amp;"|yN",Aux_puntos!$1:$1,0))),NA())</f>
        <v/>
      </c>
    </row>
    <row r="222">
      <c r="AC222">
        <f>IFERROR(IF(INDEX(Aux_puntos!$A$2:$OJ$901,218,MATCH($B$2&amp;"|xK",Aux_puntos!$1:$1,0))="",NA(),INDEX(Aux_puntos!$A$2:$OJ$901,218,MATCH($B$2&amp;"|xK",Aux_puntos!$1:$1,0))),NA())</f>
        <v/>
      </c>
      <c r="AD222">
        <f>IFERROR(IF(INDEX(Aux_puntos!$A$2:$OJ$901,218,MATCH($B$2&amp;"|yK",Aux_puntos!$1:$1,0))="",NA(),INDEX(Aux_puntos!$A$2:$OJ$901,218,MATCH($B$2&amp;"|yK",Aux_puntos!$1:$1,0))),NA())</f>
        <v/>
      </c>
      <c r="AE222">
        <f>IFERROR(IF(INDEX(Aux_puntos!$A$2:$OJ$901,218,MATCH($B$2&amp;"|xC",Aux_puntos!$1:$1,0))="",NA(),INDEX(Aux_puntos!$A$2:$OJ$901,218,MATCH($B$2&amp;"|xC",Aux_puntos!$1:$1,0))),NA())</f>
        <v/>
      </c>
      <c r="AF222">
        <f>IFERROR(IF(INDEX(Aux_puntos!$A$2:$OJ$901,218,MATCH($B$2&amp;"|yC",Aux_puntos!$1:$1,0))="",NA(),INDEX(Aux_puntos!$A$2:$OJ$901,218,MATCH($B$2&amp;"|yC",Aux_puntos!$1:$1,0))),NA())</f>
        <v/>
      </c>
      <c r="AG222">
        <f>IFERROR(IF(INDEX(Aux_puntos!$A$2:$OJ$901,218,MATCH($B$2&amp;"|xI",Aux_puntos!$1:$1,0))="",NA(),INDEX(Aux_puntos!$A$2:$OJ$901,218,MATCH($B$2&amp;"|xI",Aux_puntos!$1:$1,0))),NA())</f>
        <v/>
      </c>
      <c r="AH222">
        <f>IFERROR(IF(INDEX(Aux_puntos!$A$2:$OJ$901,218,MATCH($B$2&amp;"|yI",Aux_puntos!$1:$1,0))="",NA(),INDEX(Aux_puntos!$A$2:$OJ$901,218,MATCH($B$2&amp;"|yI",Aux_puntos!$1:$1,0))),NA())</f>
        <v/>
      </c>
      <c r="AI222">
        <f>IFERROR(IF(INDEX(Aux_puntos!$A$2:$OJ$901,218,MATCH($B$2&amp;"|xN",Aux_puntos!$1:$1,0))="",NA(),INDEX(Aux_puntos!$A$2:$OJ$901,218,MATCH($B$2&amp;"|xN",Aux_puntos!$1:$1,0))),NA())</f>
        <v/>
      </c>
      <c r="AJ222">
        <f>IFERROR(IF(INDEX(Aux_puntos!$A$2:$OJ$901,218,MATCH($B$2&amp;"|yN",Aux_puntos!$1:$1,0))="",NA(),INDEX(Aux_puntos!$A$2:$OJ$901,218,MATCH($B$2&amp;"|yN",Aux_puntos!$1:$1,0))),NA())</f>
        <v/>
      </c>
    </row>
    <row r="223">
      <c r="AC223">
        <f>IFERROR(IF(INDEX(Aux_puntos!$A$2:$OJ$901,219,MATCH($B$2&amp;"|xK",Aux_puntos!$1:$1,0))="",NA(),INDEX(Aux_puntos!$A$2:$OJ$901,219,MATCH($B$2&amp;"|xK",Aux_puntos!$1:$1,0))),NA())</f>
        <v/>
      </c>
      <c r="AD223">
        <f>IFERROR(IF(INDEX(Aux_puntos!$A$2:$OJ$901,219,MATCH($B$2&amp;"|yK",Aux_puntos!$1:$1,0))="",NA(),INDEX(Aux_puntos!$A$2:$OJ$901,219,MATCH($B$2&amp;"|yK",Aux_puntos!$1:$1,0))),NA())</f>
        <v/>
      </c>
      <c r="AE223">
        <f>IFERROR(IF(INDEX(Aux_puntos!$A$2:$OJ$901,219,MATCH($B$2&amp;"|xC",Aux_puntos!$1:$1,0))="",NA(),INDEX(Aux_puntos!$A$2:$OJ$901,219,MATCH($B$2&amp;"|xC",Aux_puntos!$1:$1,0))),NA())</f>
        <v/>
      </c>
      <c r="AF223">
        <f>IFERROR(IF(INDEX(Aux_puntos!$A$2:$OJ$901,219,MATCH($B$2&amp;"|yC",Aux_puntos!$1:$1,0))="",NA(),INDEX(Aux_puntos!$A$2:$OJ$901,219,MATCH($B$2&amp;"|yC",Aux_puntos!$1:$1,0))),NA())</f>
        <v/>
      </c>
      <c r="AG223">
        <f>IFERROR(IF(INDEX(Aux_puntos!$A$2:$OJ$901,219,MATCH($B$2&amp;"|xI",Aux_puntos!$1:$1,0))="",NA(),INDEX(Aux_puntos!$A$2:$OJ$901,219,MATCH($B$2&amp;"|xI",Aux_puntos!$1:$1,0))),NA())</f>
        <v/>
      </c>
      <c r="AH223">
        <f>IFERROR(IF(INDEX(Aux_puntos!$A$2:$OJ$901,219,MATCH($B$2&amp;"|yI",Aux_puntos!$1:$1,0))="",NA(),INDEX(Aux_puntos!$A$2:$OJ$901,219,MATCH($B$2&amp;"|yI",Aux_puntos!$1:$1,0))),NA())</f>
        <v/>
      </c>
      <c r="AI223">
        <f>IFERROR(IF(INDEX(Aux_puntos!$A$2:$OJ$901,219,MATCH($B$2&amp;"|xN",Aux_puntos!$1:$1,0))="",NA(),INDEX(Aux_puntos!$A$2:$OJ$901,219,MATCH($B$2&amp;"|xN",Aux_puntos!$1:$1,0))),NA())</f>
        <v/>
      </c>
      <c r="AJ223">
        <f>IFERROR(IF(INDEX(Aux_puntos!$A$2:$OJ$901,219,MATCH($B$2&amp;"|yN",Aux_puntos!$1:$1,0))="",NA(),INDEX(Aux_puntos!$A$2:$OJ$901,219,MATCH($B$2&amp;"|yN",Aux_puntos!$1:$1,0))),NA())</f>
        <v/>
      </c>
    </row>
    <row r="224">
      <c r="AC224">
        <f>IFERROR(IF(INDEX(Aux_puntos!$A$2:$OJ$901,220,MATCH($B$2&amp;"|xK",Aux_puntos!$1:$1,0))="",NA(),INDEX(Aux_puntos!$A$2:$OJ$901,220,MATCH($B$2&amp;"|xK",Aux_puntos!$1:$1,0))),NA())</f>
        <v/>
      </c>
      <c r="AD224">
        <f>IFERROR(IF(INDEX(Aux_puntos!$A$2:$OJ$901,220,MATCH($B$2&amp;"|yK",Aux_puntos!$1:$1,0))="",NA(),INDEX(Aux_puntos!$A$2:$OJ$901,220,MATCH($B$2&amp;"|yK",Aux_puntos!$1:$1,0))),NA())</f>
        <v/>
      </c>
      <c r="AE224">
        <f>IFERROR(IF(INDEX(Aux_puntos!$A$2:$OJ$901,220,MATCH($B$2&amp;"|xC",Aux_puntos!$1:$1,0))="",NA(),INDEX(Aux_puntos!$A$2:$OJ$901,220,MATCH($B$2&amp;"|xC",Aux_puntos!$1:$1,0))),NA())</f>
        <v/>
      </c>
      <c r="AF224">
        <f>IFERROR(IF(INDEX(Aux_puntos!$A$2:$OJ$901,220,MATCH($B$2&amp;"|yC",Aux_puntos!$1:$1,0))="",NA(),INDEX(Aux_puntos!$A$2:$OJ$901,220,MATCH($B$2&amp;"|yC",Aux_puntos!$1:$1,0))),NA())</f>
        <v/>
      </c>
      <c r="AG224">
        <f>IFERROR(IF(INDEX(Aux_puntos!$A$2:$OJ$901,220,MATCH($B$2&amp;"|xI",Aux_puntos!$1:$1,0))="",NA(),INDEX(Aux_puntos!$A$2:$OJ$901,220,MATCH($B$2&amp;"|xI",Aux_puntos!$1:$1,0))),NA())</f>
        <v/>
      </c>
      <c r="AH224">
        <f>IFERROR(IF(INDEX(Aux_puntos!$A$2:$OJ$901,220,MATCH($B$2&amp;"|yI",Aux_puntos!$1:$1,0))="",NA(),INDEX(Aux_puntos!$A$2:$OJ$901,220,MATCH($B$2&amp;"|yI",Aux_puntos!$1:$1,0))),NA())</f>
        <v/>
      </c>
      <c r="AI224">
        <f>IFERROR(IF(INDEX(Aux_puntos!$A$2:$OJ$901,220,MATCH($B$2&amp;"|xN",Aux_puntos!$1:$1,0))="",NA(),INDEX(Aux_puntos!$A$2:$OJ$901,220,MATCH($B$2&amp;"|xN",Aux_puntos!$1:$1,0))),NA())</f>
        <v/>
      </c>
      <c r="AJ224">
        <f>IFERROR(IF(INDEX(Aux_puntos!$A$2:$OJ$901,220,MATCH($B$2&amp;"|yN",Aux_puntos!$1:$1,0))="",NA(),INDEX(Aux_puntos!$A$2:$OJ$901,220,MATCH($B$2&amp;"|yN",Aux_puntos!$1:$1,0))),NA())</f>
        <v/>
      </c>
    </row>
    <row r="225">
      <c r="AC225">
        <f>IFERROR(IF(INDEX(Aux_puntos!$A$2:$OJ$901,221,MATCH($B$2&amp;"|xK",Aux_puntos!$1:$1,0))="",NA(),INDEX(Aux_puntos!$A$2:$OJ$901,221,MATCH($B$2&amp;"|xK",Aux_puntos!$1:$1,0))),NA())</f>
        <v/>
      </c>
      <c r="AD225">
        <f>IFERROR(IF(INDEX(Aux_puntos!$A$2:$OJ$901,221,MATCH($B$2&amp;"|yK",Aux_puntos!$1:$1,0))="",NA(),INDEX(Aux_puntos!$A$2:$OJ$901,221,MATCH($B$2&amp;"|yK",Aux_puntos!$1:$1,0))),NA())</f>
        <v/>
      </c>
      <c r="AE225">
        <f>IFERROR(IF(INDEX(Aux_puntos!$A$2:$OJ$901,221,MATCH($B$2&amp;"|xC",Aux_puntos!$1:$1,0))="",NA(),INDEX(Aux_puntos!$A$2:$OJ$901,221,MATCH($B$2&amp;"|xC",Aux_puntos!$1:$1,0))),NA())</f>
        <v/>
      </c>
      <c r="AF225">
        <f>IFERROR(IF(INDEX(Aux_puntos!$A$2:$OJ$901,221,MATCH($B$2&amp;"|yC",Aux_puntos!$1:$1,0))="",NA(),INDEX(Aux_puntos!$A$2:$OJ$901,221,MATCH($B$2&amp;"|yC",Aux_puntos!$1:$1,0))),NA())</f>
        <v/>
      </c>
      <c r="AG225">
        <f>IFERROR(IF(INDEX(Aux_puntos!$A$2:$OJ$901,221,MATCH($B$2&amp;"|xI",Aux_puntos!$1:$1,0))="",NA(),INDEX(Aux_puntos!$A$2:$OJ$901,221,MATCH($B$2&amp;"|xI",Aux_puntos!$1:$1,0))),NA())</f>
        <v/>
      </c>
      <c r="AH225">
        <f>IFERROR(IF(INDEX(Aux_puntos!$A$2:$OJ$901,221,MATCH($B$2&amp;"|yI",Aux_puntos!$1:$1,0))="",NA(),INDEX(Aux_puntos!$A$2:$OJ$901,221,MATCH($B$2&amp;"|yI",Aux_puntos!$1:$1,0))),NA())</f>
        <v/>
      </c>
      <c r="AI225">
        <f>IFERROR(IF(INDEX(Aux_puntos!$A$2:$OJ$901,221,MATCH($B$2&amp;"|xN",Aux_puntos!$1:$1,0))="",NA(),INDEX(Aux_puntos!$A$2:$OJ$901,221,MATCH($B$2&amp;"|xN",Aux_puntos!$1:$1,0))),NA())</f>
        <v/>
      </c>
      <c r="AJ225">
        <f>IFERROR(IF(INDEX(Aux_puntos!$A$2:$OJ$901,221,MATCH($B$2&amp;"|yN",Aux_puntos!$1:$1,0))="",NA(),INDEX(Aux_puntos!$A$2:$OJ$901,221,MATCH($B$2&amp;"|yN",Aux_puntos!$1:$1,0))),NA())</f>
        <v/>
      </c>
    </row>
    <row r="226">
      <c r="AC226">
        <f>IFERROR(IF(INDEX(Aux_puntos!$A$2:$OJ$901,222,MATCH($B$2&amp;"|xK",Aux_puntos!$1:$1,0))="",NA(),INDEX(Aux_puntos!$A$2:$OJ$901,222,MATCH($B$2&amp;"|xK",Aux_puntos!$1:$1,0))),NA())</f>
        <v/>
      </c>
      <c r="AD226">
        <f>IFERROR(IF(INDEX(Aux_puntos!$A$2:$OJ$901,222,MATCH($B$2&amp;"|yK",Aux_puntos!$1:$1,0))="",NA(),INDEX(Aux_puntos!$A$2:$OJ$901,222,MATCH($B$2&amp;"|yK",Aux_puntos!$1:$1,0))),NA())</f>
        <v/>
      </c>
      <c r="AE226">
        <f>IFERROR(IF(INDEX(Aux_puntos!$A$2:$OJ$901,222,MATCH($B$2&amp;"|xC",Aux_puntos!$1:$1,0))="",NA(),INDEX(Aux_puntos!$A$2:$OJ$901,222,MATCH($B$2&amp;"|xC",Aux_puntos!$1:$1,0))),NA())</f>
        <v/>
      </c>
      <c r="AF226">
        <f>IFERROR(IF(INDEX(Aux_puntos!$A$2:$OJ$901,222,MATCH($B$2&amp;"|yC",Aux_puntos!$1:$1,0))="",NA(),INDEX(Aux_puntos!$A$2:$OJ$901,222,MATCH($B$2&amp;"|yC",Aux_puntos!$1:$1,0))),NA())</f>
        <v/>
      </c>
      <c r="AG226">
        <f>IFERROR(IF(INDEX(Aux_puntos!$A$2:$OJ$901,222,MATCH($B$2&amp;"|xI",Aux_puntos!$1:$1,0))="",NA(),INDEX(Aux_puntos!$A$2:$OJ$901,222,MATCH($B$2&amp;"|xI",Aux_puntos!$1:$1,0))),NA())</f>
        <v/>
      </c>
      <c r="AH226">
        <f>IFERROR(IF(INDEX(Aux_puntos!$A$2:$OJ$901,222,MATCH($B$2&amp;"|yI",Aux_puntos!$1:$1,0))="",NA(),INDEX(Aux_puntos!$A$2:$OJ$901,222,MATCH($B$2&amp;"|yI",Aux_puntos!$1:$1,0))),NA())</f>
        <v/>
      </c>
      <c r="AI226">
        <f>IFERROR(IF(INDEX(Aux_puntos!$A$2:$OJ$901,222,MATCH($B$2&amp;"|xN",Aux_puntos!$1:$1,0))="",NA(),INDEX(Aux_puntos!$A$2:$OJ$901,222,MATCH($B$2&amp;"|xN",Aux_puntos!$1:$1,0))),NA())</f>
        <v/>
      </c>
      <c r="AJ226">
        <f>IFERROR(IF(INDEX(Aux_puntos!$A$2:$OJ$901,222,MATCH($B$2&amp;"|yN",Aux_puntos!$1:$1,0))="",NA(),INDEX(Aux_puntos!$A$2:$OJ$901,222,MATCH($B$2&amp;"|yN",Aux_puntos!$1:$1,0))),NA())</f>
        <v/>
      </c>
    </row>
    <row r="227">
      <c r="AC227">
        <f>IFERROR(IF(INDEX(Aux_puntos!$A$2:$OJ$901,223,MATCH($B$2&amp;"|xK",Aux_puntos!$1:$1,0))="",NA(),INDEX(Aux_puntos!$A$2:$OJ$901,223,MATCH($B$2&amp;"|xK",Aux_puntos!$1:$1,0))),NA())</f>
        <v/>
      </c>
      <c r="AD227">
        <f>IFERROR(IF(INDEX(Aux_puntos!$A$2:$OJ$901,223,MATCH($B$2&amp;"|yK",Aux_puntos!$1:$1,0))="",NA(),INDEX(Aux_puntos!$A$2:$OJ$901,223,MATCH($B$2&amp;"|yK",Aux_puntos!$1:$1,0))),NA())</f>
        <v/>
      </c>
      <c r="AE227">
        <f>IFERROR(IF(INDEX(Aux_puntos!$A$2:$OJ$901,223,MATCH($B$2&amp;"|xC",Aux_puntos!$1:$1,0))="",NA(),INDEX(Aux_puntos!$A$2:$OJ$901,223,MATCH($B$2&amp;"|xC",Aux_puntos!$1:$1,0))),NA())</f>
        <v/>
      </c>
      <c r="AF227">
        <f>IFERROR(IF(INDEX(Aux_puntos!$A$2:$OJ$901,223,MATCH($B$2&amp;"|yC",Aux_puntos!$1:$1,0))="",NA(),INDEX(Aux_puntos!$A$2:$OJ$901,223,MATCH($B$2&amp;"|yC",Aux_puntos!$1:$1,0))),NA())</f>
        <v/>
      </c>
      <c r="AG227">
        <f>IFERROR(IF(INDEX(Aux_puntos!$A$2:$OJ$901,223,MATCH($B$2&amp;"|xI",Aux_puntos!$1:$1,0))="",NA(),INDEX(Aux_puntos!$A$2:$OJ$901,223,MATCH($B$2&amp;"|xI",Aux_puntos!$1:$1,0))),NA())</f>
        <v/>
      </c>
      <c r="AH227">
        <f>IFERROR(IF(INDEX(Aux_puntos!$A$2:$OJ$901,223,MATCH($B$2&amp;"|yI",Aux_puntos!$1:$1,0))="",NA(),INDEX(Aux_puntos!$A$2:$OJ$901,223,MATCH($B$2&amp;"|yI",Aux_puntos!$1:$1,0))),NA())</f>
        <v/>
      </c>
      <c r="AI227">
        <f>IFERROR(IF(INDEX(Aux_puntos!$A$2:$OJ$901,223,MATCH($B$2&amp;"|xN",Aux_puntos!$1:$1,0))="",NA(),INDEX(Aux_puntos!$A$2:$OJ$901,223,MATCH($B$2&amp;"|xN",Aux_puntos!$1:$1,0))),NA())</f>
        <v/>
      </c>
      <c r="AJ227">
        <f>IFERROR(IF(INDEX(Aux_puntos!$A$2:$OJ$901,223,MATCH($B$2&amp;"|yN",Aux_puntos!$1:$1,0))="",NA(),INDEX(Aux_puntos!$A$2:$OJ$901,223,MATCH($B$2&amp;"|yN",Aux_puntos!$1:$1,0))),NA())</f>
        <v/>
      </c>
    </row>
    <row r="228">
      <c r="AC228">
        <f>IFERROR(IF(INDEX(Aux_puntos!$A$2:$OJ$901,224,MATCH($B$2&amp;"|xK",Aux_puntos!$1:$1,0))="",NA(),INDEX(Aux_puntos!$A$2:$OJ$901,224,MATCH($B$2&amp;"|xK",Aux_puntos!$1:$1,0))),NA())</f>
        <v/>
      </c>
      <c r="AD228">
        <f>IFERROR(IF(INDEX(Aux_puntos!$A$2:$OJ$901,224,MATCH($B$2&amp;"|yK",Aux_puntos!$1:$1,0))="",NA(),INDEX(Aux_puntos!$A$2:$OJ$901,224,MATCH($B$2&amp;"|yK",Aux_puntos!$1:$1,0))),NA())</f>
        <v/>
      </c>
      <c r="AE228">
        <f>IFERROR(IF(INDEX(Aux_puntos!$A$2:$OJ$901,224,MATCH($B$2&amp;"|xC",Aux_puntos!$1:$1,0))="",NA(),INDEX(Aux_puntos!$A$2:$OJ$901,224,MATCH($B$2&amp;"|xC",Aux_puntos!$1:$1,0))),NA())</f>
        <v/>
      </c>
      <c r="AF228">
        <f>IFERROR(IF(INDEX(Aux_puntos!$A$2:$OJ$901,224,MATCH($B$2&amp;"|yC",Aux_puntos!$1:$1,0))="",NA(),INDEX(Aux_puntos!$A$2:$OJ$901,224,MATCH($B$2&amp;"|yC",Aux_puntos!$1:$1,0))),NA())</f>
        <v/>
      </c>
      <c r="AG228">
        <f>IFERROR(IF(INDEX(Aux_puntos!$A$2:$OJ$901,224,MATCH($B$2&amp;"|xI",Aux_puntos!$1:$1,0))="",NA(),INDEX(Aux_puntos!$A$2:$OJ$901,224,MATCH($B$2&amp;"|xI",Aux_puntos!$1:$1,0))),NA())</f>
        <v/>
      </c>
      <c r="AH228">
        <f>IFERROR(IF(INDEX(Aux_puntos!$A$2:$OJ$901,224,MATCH($B$2&amp;"|yI",Aux_puntos!$1:$1,0))="",NA(),INDEX(Aux_puntos!$A$2:$OJ$901,224,MATCH($B$2&amp;"|yI",Aux_puntos!$1:$1,0))),NA())</f>
        <v/>
      </c>
      <c r="AI228">
        <f>IFERROR(IF(INDEX(Aux_puntos!$A$2:$OJ$901,224,MATCH($B$2&amp;"|xN",Aux_puntos!$1:$1,0))="",NA(),INDEX(Aux_puntos!$A$2:$OJ$901,224,MATCH($B$2&amp;"|xN",Aux_puntos!$1:$1,0))),NA())</f>
        <v/>
      </c>
      <c r="AJ228">
        <f>IFERROR(IF(INDEX(Aux_puntos!$A$2:$OJ$901,224,MATCH($B$2&amp;"|yN",Aux_puntos!$1:$1,0))="",NA(),INDEX(Aux_puntos!$A$2:$OJ$901,224,MATCH($B$2&amp;"|yN",Aux_puntos!$1:$1,0))),NA())</f>
        <v/>
      </c>
    </row>
    <row r="229">
      <c r="AC229">
        <f>IFERROR(IF(INDEX(Aux_puntos!$A$2:$OJ$901,225,MATCH($B$2&amp;"|xK",Aux_puntos!$1:$1,0))="",NA(),INDEX(Aux_puntos!$A$2:$OJ$901,225,MATCH($B$2&amp;"|xK",Aux_puntos!$1:$1,0))),NA())</f>
        <v/>
      </c>
      <c r="AD229">
        <f>IFERROR(IF(INDEX(Aux_puntos!$A$2:$OJ$901,225,MATCH($B$2&amp;"|yK",Aux_puntos!$1:$1,0))="",NA(),INDEX(Aux_puntos!$A$2:$OJ$901,225,MATCH($B$2&amp;"|yK",Aux_puntos!$1:$1,0))),NA())</f>
        <v/>
      </c>
      <c r="AE229">
        <f>IFERROR(IF(INDEX(Aux_puntos!$A$2:$OJ$901,225,MATCH($B$2&amp;"|xC",Aux_puntos!$1:$1,0))="",NA(),INDEX(Aux_puntos!$A$2:$OJ$901,225,MATCH($B$2&amp;"|xC",Aux_puntos!$1:$1,0))),NA())</f>
        <v/>
      </c>
      <c r="AF229">
        <f>IFERROR(IF(INDEX(Aux_puntos!$A$2:$OJ$901,225,MATCH($B$2&amp;"|yC",Aux_puntos!$1:$1,0))="",NA(),INDEX(Aux_puntos!$A$2:$OJ$901,225,MATCH($B$2&amp;"|yC",Aux_puntos!$1:$1,0))),NA())</f>
        <v/>
      </c>
      <c r="AG229">
        <f>IFERROR(IF(INDEX(Aux_puntos!$A$2:$OJ$901,225,MATCH($B$2&amp;"|xI",Aux_puntos!$1:$1,0))="",NA(),INDEX(Aux_puntos!$A$2:$OJ$901,225,MATCH($B$2&amp;"|xI",Aux_puntos!$1:$1,0))),NA())</f>
        <v/>
      </c>
      <c r="AH229">
        <f>IFERROR(IF(INDEX(Aux_puntos!$A$2:$OJ$901,225,MATCH($B$2&amp;"|yI",Aux_puntos!$1:$1,0))="",NA(),INDEX(Aux_puntos!$A$2:$OJ$901,225,MATCH($B$2&amp;"|yI",Aux_puntos!$1:$1,0))),NA())</f>
        <v/>
      </c>
      <c r="AI229">
        <f>IFERROR(IF(INDEX(Aux_puntos!$A$2:$OJ$901,225,MATCH($B$2&amp;"|xN",Aux_puntos!$1:$1,0))="",NA(),INDEX(Aux_puntos!$A$2:$OJ$901,225,MATCH($B$2&amp;"|xN",Aux_puntos!$1:$1,0))),NA())</f>
        <v/>
      </c>
      <c r="AJ229">
        <f>IFERROR(IF(INDEX(Aux_puntos!$A$2:$OJ$901,225,MATCH($B$2&amp;"|yN",Aux_puntos!$1:$1,0))="",NA(),INDEX(Aux_puntos!$A$2:$OJ$901,225,MATCH($B$2&amp;"|yN",Aux_puntos!$1:$1,0))),NA())</f>
        <v/>
      </c>
    </row>
    <row r="230">
      <c r="AC230">
        <f>IFERROR(IF(INDEX(Aux_puntos!$A$2:$OJ$901,226,MATCH($B$2&amp;"|xK",Aux_puntos!$1:$1,0))="",NA(),INDEX(Aux_puntos!$A$2:$OJ$901,226,MATCH($B$2&amp;"|xK",Aux_puntos!$1:$1,0))),NA())</f>
        <v/>
      </c>
      <c r="AD230">
        <f>IFERROR(IF(INDEX(Aux_puntos!$A$2:$OJ$901,226,MATCH($B$2&amp;"|yK",Aux_puntos!$1:$1,0))="",NA(),INDEX(Aux_puntos!$A$2:$OJ$901,226,MATCH($B$2&amp;"|yK",Aux_puntos!$1:$1,0))),NA())</f>
        <v/>
      </c>
      <c r="AE230">
        <f>IFERROR(IF(INDEX(Aux_puntos!$A$2:$OJ$901,226,MATCH($B$2&amp;"|xC",Aux_puntos!$1:$1,0))="",NA(),INDEX(Aux_puntos!$A$2:$OJ$901,226,MATCH($B$2&amp;"|xC",Aux_puntos!$1:$1,0))),NA())</f>
        <v/>
      </c>
      <c r="AF230">
        <f>IFERROR(IF(INDEX(Aux_puntos!$A$2:$OJ$901,226,MATCH($B$2&amp;"|yC",Aux_puntos!$1:$1,0))="",NA(),INDEX(Aux_puntos!$A$2:$OJ$901,226,MATCH($B$2&amp;"|yC",Aux_puntos!$1:$1,0))),NA())</f>
        <v/>
      </c>
      <c r="AG230">
        <f>IFERROR(IF(INDEX(Aux_puntos!$A$2:$OJ$901,226,MATCH($B$2&amp;"|xI",Aux_puntos!$1:$1,0))="",NA(),INDEX(Aux_puntos!$A$2:$OJ$901,226,MATCH($B$2&amp;"|xI",Aux_puntos!$1:$1,0))),NA())</f>
        <v/>
      </c>
      <c r="AH230">
        <f>IFERROR(IF(INDEX(Aux_puntos!$A$2:$OJ$901,226,MATCH($B$2&amp;"|yI",Aux_puntos!$1:$1,0))="",NA(),INDEX(Aux_puntos!$A$2:$OJ$901,226,MATCH($B$2&amp;"|yI",Aux_puntos!$1:$1,0))),NA())</f>
        <v/>
      </c>
      <c r="AI230">
        <f>IFERROR(IF(INDEX(Aux_puntos!$A$2:$OJ$901,226,MATCH($B$2&amp;"|xN",Aux_puntos!$1:$1,0))="",NA(),INDEX(Aux_puntos!$A$2:$OJ$901,226,MATCH($B$2&amp;"|xN",Aux_puntos!$1:$1,0))),NA())</f>
        <v/>
      </c>
      <c r="AJ230">
        <f>IFERROR(IF(INDEX(Aux_puntos!$A$2:$OJ$901,226,MATCH($B$2&amp;"|yN",Aux_puntos!$1:$1,0))="",NA(),INDEX(Aux_puntos!$A$2:$OJ$901,226,MATCH($B$2&amp;"|yN",Aux_puntos!$1:$1,0))),NA())</f>
        <v/>
      </c>
    </row>
    <row r="231">
      <c r="AC231">
        <f>IFERROR(IF(INDEX(Aux_puntos!$A$2:$OJ$901,227,MATCH($B$2&amp;"|xK",Aux_puntos!$1:$1,0))="",NA(),INDEX(Aux_puntos!$A$2:$OJ$901,227,MATCH($B$2&amp;"|xK",Aux_puntos!$1:$1,0))),NA())</f>
        <v/>
      </c>
      <c r="AD231">
        <f>IFERROR(IF(INDEX(Aux_puntos!$A$2:$OJ$901,227,MATCH($B$2&amp;"|yK",Aux_puntos!$1:$1,0))="",NA(),INDEX(Aux_puntos!$A$2:$OJ$901,227,MATCH($B$2&amp;"|yK",Aux_puntos!$1:$1,0))),NA())</f>
        <v/>
      </c>
      <c r="AE231">
        <f>IFERROR(IF(INDEX(Aux_puntos!$A$2:$OJ$901,227,MATCH($B$2&amp;"|xC",Aux_puntos!$1:$1,0))="",NA(),INDEX(Aux_puntos!$A$2:$OJ$901,227,MATCH($B$2&amp;"|xC",Aux_puntos!$1:$1,0))),NA())</f>
        <v/>
      </c>
      <c r="AF231">
        <f>IFERROR(IF(INDEX(Aux_puntos!$A$2:$OJ$901,227,MATCH($B$2&amp;"|yC",Aux_puntos!$1:$1,0))="",NA(),INDEX(Aux_puntos!$A$2:$OJ$901,227,MATCH($B$2&amp;"|yC",Aux_puntos!$1:$1,0))),NA())</f>
        <v/>
      </c>
      <c r="AG231">
        <f>IFERROR(IF(INDEX(Aux_puntos!$A$2:$OJ$901,227,MATCH($B$2&amp;"|xI",Aux_puntos!$1:$1,0))="",NA(),INDEX(Aux_puntos!$A$2:$OJ$901,227,MATCH($B$2&amp;"|xI",Aux_puntos!$1:$1,0))),NA())</f>
        <v/>
      </c>
      <c r="AH231">
        <f>IFERROR(IF(INDEX(Aux_puntos!$A$2:$OJ$901,227,MATCH($B$2&amp;"|yI",Aux_puntos!$1:$1,0))="",NA(),INDEX(Aux_puntos!$A$2:$OJ$901,227,MATCH($B$2&amp;"|yI",Aux_puntos!$1:$1,0))),NA())</f>
        <v/>
      </c>
      <c r="AI231">
        <f>IFERROR(IF(INDEX(Aux_puntos!$A$2:$OJ$901,227,MATCH($B$2&amp;"|xN",Aux_puntos!$1:$1,0))="",NA(),INDEX(Aux_puntos!$A$2:$OJ$901,227,MATCH($B$2&amp;"|xN",Aux_puntos!$1:$1,0))),NA())</f>
        <v/>
      </c>
      <c r="AJ231">
        <f>IFERROR(IF(INDEX(Aux_puntos!$A$2:$OJ$901,227,MATCH($B$2&amp;"|yN",Aux_puntos!$1:$1,0))="",NA(),INDEX(Aux_puntos!$A$2:$OJ$901,227,MATCH($B$2&amp;"|yN",Aux_puntos!$1:$1,0))),NA())</f>
        <v/>
      </c>
    </row>
    <row r="232">
      <c r="AC232">
        <f>IFERROR(IF(INDEX(Aux_puntos!$A$2:$OJ$901,228,MATCH($B$2&amp;"|xK",Aux_puntos!$1:$1,0))="",NA(),INDEX(Aux_puntos!$A$2:$OJ$901,228,MATCH($B$2&amp;"|xK",Aux_puntos!$1:$1,0))),NA())</f>
        <v/>
      </c>
      <c r="AD232">
        <f>IFERROR(IF(INDEX(Aux_puntos!$A$2:$OJ$901,228,MATCH($B$2&amp;"|yK",Aux_puntos!$1:$1,0))="",NA(),INDEX(Aux_puntos!$A$2:$OJ$901,228,MATCH($B$2&amp;"|yK",Aux_puntos!$1:$1,0))),NA())</f>
        <v/>
      </c>
      <c r="AE232">
        <f>IFERROR(IF(INDEX(Aux_puntos!$A$2:$OJ$901,228,MATCH($B$2&amp;"|xC",Aux_puntos!$1:$1,0))="",NA(),INDEX(Aux_puntos!$A$2:$OJ$901,228,MATCH($B$2&amp;"|xC",Aux_puntos!$1:$1,0))),NA())</f>
        <v/>
      </c>
      <c r="AF232">
        <f>IFERROR(IF(INDEX(Aux_puntos!$A$2:$OJ$901,228,MATCH($B$2&amp;"|yC",Aux_puntos!$1:$1,0))="",NA(),INDEX(Aux_puntos!$A$2:$OJ$901,228,MATCH($B$2&amp;"|yC",Aux_puntos!$1:$1,0))),NA())</f>
        <v/>
      </c>
      <c r="AG232">
        <f>IFERROR(IF(INDEX(Aux_puntos!$A$2:$OJ$901,228,MATCH($B$2&amp;"|xI",Aux_puntos!$1:$1,0))="",NA(),INDEX(Aux_puntos!$A$2:$OJ$901,228,MATCH($B$2&amp;"|xI",Aux_puntos!$1:$1,0))),NA())</f>
        <v/>
      </c>
      <c r="AH232">
        <f>IFERROR(IF(INDEX(Aux_puntos!$A$2:$OJ$901,228,MATCH($B$2&amp;"|yI",Aux_puntos!$1:$1,0))="",NA(),INDEX(Aux_puntos!$A$2:$OJ$901,228,MATCH($B$2&amp;"|yI",Aux_puntos!$1:$1,0))),NA())</f>
        <v/>
      </c>
      <c r="AI232">
        <f>IFERROR(IF(INDEX(Aux_puntos!$A$2:$OJ$901,228,MATCH($B$2&amp;"|xN",Aux_puntos!$1:$1,0))="",NA(),INDEX(Aux_puntos!$A$2:$OJ$901,228,MATCH($B$2&amp;"|xN",Aux_puntos!$1:$1,0))),NA())</f>
        <v/>
      </c>
      <c r="AJ232">
        <f>IFERROR(IF(INDEX(Aux_puntos!$A$2:$OJ$901,228,MATCH($B$2&amp;"|yN",Aux_puntos!$1:$1,0))="",NA(),INDEX(Aux_puntos!$A$2:$OJ$901,228,MATCH($B$2&amp;"|yN",Aux_puntos!$1:$1,0))),NA())</f>
        <v/>
      </c>
    </row>
    <row r="233">
      <c r="AC233">
        <f>IFERROR(IF(INDEX(Aux_puntos!$A$2:$OJ$901,229,MATCH($B$2&amp;"|xK",Aux_puntos!$1:$1,0))="",NA(),INDEX(Aux_puntos!$A$2:$OJ$901,229,MATCH($B$2&amp;"|xK",Aux_puntos!$1:$1,0))),NA())</f>
        <v/>
      </c>
      <c r="AD233">
        <f>IFERROR(IF(INDEX(Aux_puntos!$A$2:$OJ$901,229,MATCH($B$2&amp;"|yK",Aux_puntos!$1:$1,0))="",NA(),INDEX(Aux_puntos!$A$2:$OJ$901,229,MATCH($B$2&amp;"|yK",Aux_puntos!$1:$1,0))),NA())</f>
        <v/>
      </c>
      <c r="AE233">
        <f>IFERROR(IF(INDEX(Aux_puntos!$A$2:$OJ$901,229,MATCH($B$2&amp;"|xC",Aux_puntos!$1:$1,0))="",NA(),INDEX(Aux_puntos!$A$2:$OJ$901,229,MATCH($B$2&amp;"|xC",Aux_puntos!$1:$1,0))),NA())</f>
        <v/>
      </c>
      <c r="AF233">
        <f>IFERROR(IF(INDEX(Aux_puntos!$A$2:$OJ$901,229,MATCH($B$2&amp;"|yC",Aux_puntos!$1:$1,0))="",NA(),INDEX(Aux_puntos!$A$2:$OJ$901,229,MATCH($B$2&amp;"|yC",Aux_puntos!$1:$1,0))),NA())</f>
        <v/>
      </c>
      <c r="AG233">
        <f>IFERROR(IF(INDEX(Aux_puntos!$A$2:$OJ$901,229,MATCH($B$2&amp;"|xI",Aux_puntos!$1:$1,0))="",NA(),INDEX(Aux_puntos!$A$2:$OJ$901,229,MATCH($B$2&amp;"|xI",Aux_puntos!$1:$1,0))),NA())</f>
        <v/>
      </c>
      <c r="AH233">
        <f>IFERROR(IF(INDEX(Aux_puntos!$A$2:$OJ$901,229,MATCH($B$2&amp;"|yI",Aux_puntos!$1:$1,0))="",NA(),INDEX(Aux_puntos!$A$2:$OJ$901,229,MATCH($B$2&amp;"|yI",Aux_puntos!$1:$1,0))),NA())</f>
        <v/>
      </c>
      <c r="AI233">
        <f>IFERROR(IF(INDEX(Aux_puntos!$A$2:$OJ$901,229,MATCH($B$2&amp;"|xN",Aux_puntos!$1:$1,0))="",NA(),INDEX(Aux_puntos!$A$2:$OJ$901,229,MATCH($B$2&amp;"|xN",Aux_puntos!$1:$1,0))),NA())</f>
        <v/>
      </c>
      <c r="AJ233">
        <f>IFERROR(IF(INDEX(Aux_puntos!$A$2:$OJ$901,229,MATCH($B$2&amp;"|yN",Aux_puntos!$1:$1,0))="",NA(),INDEX(Aux_puntos!$A$2:$OJ$901,229,MATCH($B$2&amp;"|yN",Aux_puntos!$1:$1,0))),NA())</f>
        <v/>
      </c>
    </row>
    <row r="234">
      <c r="AC234">
        <f>IFERROR(IF(INDEX(Aux_puntos!$A$2:$OJ$901,230,MATCH($B$2&amp;"|xK",Aux_puntos!$1:$1,0))="",NA(),INDEX(Aux_puntos!$A$2:$OJ$901,230,MATCH($B$2&amp;"|xK",Aux_puntos!$1:$1,0))),NA())</f>
        <v/>
      </c>
      <c r="AD234">
        <f>IFERROR(IF(INDEX(Aux_puntos!$A$2:$OJ$901,230,MATCH($B$2&amp;"|yK",Aux_puntos!$1:$1,0))="",NA(),INDEX(Aux_puntos!$A$2:$OJ$901,230,MATCH($B$2&amp;"|yK",Aux_puntos!$1:$1,0))),NA())</f>
        <v/>
      </c>
      <c r="AE234">
        <f>IFERROR(IF(INDEX(Aux_puntos!$A$2:$OJ$901,230,MATCH($B$2&amp;"|xC",Aux_puntos!$1:$1,0))="",NA(),INDEX(Aux_puntos!$A$2:$OJ$901,230,MATCH($B$2&amp;"|xC",Aux_puntos!$1:$1,0))),NA())</f>
        <v/>
      </c>
      <c r="AF234">
        <f>IFERROR(IF(INDEX(Aux_puntos!$A$2:$OJ$901,230,MATCH($B$2&amp;"|yC",Aux_puntos!$1:$1,0))="",NA(),INDEX(Aux_puntos!$A$2:$OJ$901,230,MATCH($B$2&amp;"|yC",Aux_puntos!$1:$1,0))),NA())</f>
        <v/>
      </c>
      <c r="AG234">
        <f>IFERROR(IF(INDEX(Aux_puntos!$A$2:$OJ$901,230,MATCH($B$2&amp;"|xI",Aux_puntos!$1:$1,0))="",NA(),INDEX(Aux_puntos!$A$2:$OJ$901,230,MATCH($B$2&amp;"|xI",Aux_puntos!$1:$1,0))),NA())</f>
        <v/>
      </c>
      <c r="AH234">
        <f>IFERROR(IF(INDEX(Aux_puntos!$A$2:$OJ$901,230,MATCH($B$2&amp;"|yI",Aux_puntos!$1:$1,0))="",NA(),INDEX(Aux_puntos!$A$2:$OJ$901,230,MATCH($B$2&amp;"|yI",Aux_puntos!$1:$1,0))),NA())</f>
        <v/>
      </c>
      <c r="AI234">
        <f>IFERROR(IF(INDEX(Aux_puntos!$A$2:$OJ$901,230,MATCH($B$2&amp;"|xN",Aux_puntos!$1:$1,0))="",NA(),INDEX(Aux_puntos!$A$2:$OJ$901,230,MATCH($B$2&amp;"|xN",Aux_puntos!$1:$1,0))),NA())</f>
        <v/>
      </c>
      <c r="AJ234">
        <f>IFERROR(IF(INDEX(Aux_puntos!$A$2:$OJ$901,230,MATCH($B$2&amp;"|yN",Aux_puntos!$1:$1,0))="",NA(),INDEX(Aux_puntos!$A$2:$OJ$901,230,MATCH($B$2&amp;"|yN",Aux_puntos!$1:$1,0))),NA())</f>
        <v/>
      </c>
    </row>
    <row r="235">
      <c r="AC235">
        <f>IFERROR(IF(INDEX(Aux_puntos!$A$2:$OJ$901,231,MATCH($B$2&amp;"|xK",Aux_puntos!$1:$1,0))="",NA(),INDEX(Aux_puntos!$A$2:$OJ$901,231,MATCH($B$2&amp;"|xK",Aux_puntos!$1:$1,0))),NA())</f>
        <v/>
      </c>
      <c r="AD235">
        <f>IFERROR(IF(INDEX(Aux_puntos!$A$2:$OJ$901,231,MATCH($B$2&amp;"|yK",Aux_puntos!$1:$1,0))="",NA(),INDEX(Aux_puntos!$A$2:$OJ$901,231,MATCH($B$2&amp;"|yK",Aux_puntos!$1:$1,0))),NA())</f>
        <v/>
      </c>
      <c r="AE235">
        <f>IFERROR(IF(INDEX(Aux_puntos!$A$2:$OJ$901,231,MATCH($B$2&amp;"|xC",Aux_puntos!$1:$1,0))="",NA(),INDEX(Aux_puntos!$A$2:$OJ$901,231,MATCH($B$2&amp;"|xC",Aux_puntos!$1:$1,0))),NA())</f>
        <v/>
      </c>
      <c r="AF235">
        <f>IFERROR(IF(INDEX(Aux_puntos!$A$2:$OJ$901,231,MATCH($B$2&amp;"|yC",Aux_puntos!$1:$1,0))="",NA(),INDEX(Aux_puntos!$A$2:$OJ$901,231,MATCH($B$2&amp;"|yC",Aux_puntos!$1:$1,0))),NA())</f>
        <v/>
      </c>
      <c r="AG235">
        <f>IFERROR(IF(INDEX(Aux_puntos!$A$2:$OJ$901,231,MATCH($B$2&amp;"|xI",Aux_puntos!$1:$1,0))="",NA(),INDEX(Aux_puntos!$A$2:$OJ$901,231,MATCH($B$2&amp;"|xI",Aux_puntos!$1:$1,0))),NA())</f>
        <v/>
      </c>
      <c r="AH235">
        <f>IFERROR(IF(INDEX(Aux_puntos!$A$2:$OJ$901,231,MATCH($B$2&amp;"|yI",Aux_puntos!$1:$1,0))="",NA(),INDEX(Aux_puntos!$A$2:$OJ$901,231,MATCH($B$2&amp;"|yI",Aux_puntos!$1:$1,0))),NA())</f>
        <v/>
      </c>
      <c r="AI235">
        <f>IFERROR(IF(INDEX(Aux_puntos!$A$2:$OJ$901,231,MATCH($B$2&amp;"|xN",Aux_puntos!$1:$1,0))="",NA(),INDEX(Aux_puntos!$A$2:$OJ$901,231,MATCH($B$2&amp;"|xN",Aux_puntos!$1:$1,0))),NA())</f>
        <v/>
      </c>
      <c r="AJ235">
        <f>IFERROR(IF(INDEX(Aux_puntos!$A$2:$OJ$901,231,MATCH($B$2&amp;"|yN",Aux_puntos!$1:$1,0))="",NA(),INDEX(Aux_puntos!$A$2:$OJ$901,231,MATCH($B$2&amp;"|yN",Aux_puntos!$1:$1,0))),NA())</f>
        <v/>
      </c>
    </row>
    <row r="236">
      <c r="AC236">
        <f>IFERROR(IF(INDEX(Aux_puntos!$A$2:$OJ$901,232,MATCH($B$2&amp;"|xK",Aux_puntos!$1:$1,0))="",NA(),INDEX(Aux_puntos!$A$2:$OJ$901,232,MATCH($B$2&amp;"|xK",Aux_puntos!$1:$1,0))),NA())</f>
        <v/>
      </c>
      <c r="AD236">
        <f>IFERROR(IF(INDEX(Aux_puntos!$A$2:$OJ$901,232,MATCH($B$2&amp;"|yK",Aux_puntos!$1:$1,0))="",NA(),INDEX(Aux_puntos!$A$2:$OJ$901,232,MATCH($B$2&amp;"|yK",Aux_puntos!$1:$1,0))),NA())</f>
        <v/>
      </c>
      <c r="AE236">
        <f>IFERROR(IF(INDEX(Aux_puntos!$A$2:$OJ$901,232,MATCH($B$2&amp;"|xC",Aux_puntos!$1:$1,0))="",NA(),INDEX(Aux_puntos!$A$2:$OJ$901,232,MATCH($B$2&amp;"|xC",Aux_puntos!$1:$1,0))),NA())</f>
        <v/>
      </c>
      <c r="AF236">
        <f>IFERROR(IF(INDEX(Aux_puntos!$A$2:$OJ$901,232,MATCH($B$2&amp;"|yC",Aux_puntos!$1:$1,0))="",NA(),INDEX(Aux_puntos!$A$2:$OJ$901,232,MATCH($B$2&amp;"|yC",Aux_puntos!$1:$1,0))),NA())</f>
        <v/>
      </c>
      <c r="AG236">
        <f>IFERROR(IF(INDEX(Aux_puntos!$A$2:$OJ$901,232,MATCH($B$2&amp;"|xI",Aux_puntos!$1:$1,0))="",NA(),INDEX(Aux_puntos!$A$2:$OJ$901,232,MATCH($B$2&amp;"|xI",Aux_puntos!$1:$1,0))),NA())</f>
        <v/>
      </c>
      <c r="AH236">
        <f>IFERROR(IF(INDEX(Aux_puntos!$A$2:$OJ$901,232,MATCH($B$2&amp;"|yI",Aux_puntos!$1:$1,0))="",NA(),INDEX(Aux_puntos!$A$2:$OJ$901,232,MATCH($B$2&amp;"|yI",Aux_puntos!$1:$1,0))),NA())</f>
        <v/>
      </c>
      <c r="AI236">
        <f>IFERROR(IF(INDEX(Aux_puntos!$A$2:$OJ$901,232,MATCH($B$2&amp;"|xN",Aux_puntos!$1:$1,0))="",NA(),INDEX(Aux_puntos!$A$2:$OJ$901,232,MATCH($B$2&amp;"|xN",Aux_puntos!$1:$1,0))),NA())</f>
        <v/>
      </c>
      <c r="AJ236">
        <f>IFERROR(IF(INDEX(Aux_puntos!$A$2:$OJ$901,232,MATCH($B$2&amp;"|yN",Aux_puntos!$1:$1,0))="",NA(),INDEX(Aux_puntos!$A$2:$OJ$901,232,MATCH($B$2&amp;"|yN",Aux_puntos!$1:$1,0))),NA())</f>
        <v/>
      </c>
    </row>
    <row r="237">
      <c r="AC237">
        <f>IFERROR(IF(INDEX(Aux_puntos!$A$2:$OJ$901,233,MATCH($B$2&amp;"|xK",Aux_puntos!$1:$1,0))="",NA(),INDEX(Aux_puntos!$A$2:$OJ$901,233,MATCH($B$2&amp;"|xK",Aux_puntos!$1:$1,0))),NA())</f>
        <v/>
      </c>
      <c r="AD237">
        <f>IFERROR(IF(INDEX(Aux_puntos!$A$2:$OJ$901,233,MATCH($B$2&amp;"|yK",Aux_puntos!$1:$1,0))="",NA(),INDEX(Aux_puntos!$A$2:$OJ$901,233,MATCH($B$2&amp;"|yK",Aux_puntos!$1:$1,0))),NA())</f>
        <v/>
      </c>
      <c r="AE237">
        <f>IFERROR(IF(INDEX(Aux_puntos!$A$2:$OJ$901,233,MATCH($B$2&amp;"|xC",Aux_puntos!$1:$1,0))="",NA(),INDEX(Aux_puntos!$A$2:$OJ$901,233,MATCH($B$2&amp;"|xC",Aux_puntos!$1:$1,0))),NA())</f>
        <v/>
      </c>
      <c r="AF237">
        <f>IFERROR(IF(INDEX(Aux_puntos!$A$2:$OJ$901,233,MATCH($B$2&amp;"|yC",Aux_puntos!$1:$1,0))="",NA(),INDEX(Aux_puntos!$A$2:$OJ$901,233,MATCH($B$2&amp;"|yC",Aux_puntos!$1:$1,0))),NA())</f>
        <v/>
      </c>
      <c r="AG237">
        <f>IFERROR(IF(INDEX(Aux_puntos!$A$2:$OJ$901,233,MATCH($B$2&amp;"|xI",Aux_puntos!$1:$1,0))="",NA(),INDEX(Aux_puntos!$A$2:$OJ$901,233,MATCH($B$2&amp;"|xI",Aux_puntos!$1:$1,0))),NA())</f>
        <v/>
      </c>
      <c r="AH237">
        <f>IFERROR(IF(INDEX(Aux_puntos!$A$2:$OJ$901,233,MATCH($B$2&amp;"|yI",Aux_puntos!$1:$1,0))="",NA(),INDEX(Aux_puntos!$A$2:$OJ$901,233,MATCH($B$2&amp;"|yI",Aux_puntos!$1:$1,0))),NA())</f>
        <v/>
      </c>
      <c r="AI237">
        <f>IFERROR(IF(INDEX(Aux_puntos!$A$2:$OJ$901,233,MATCH($B$2&amp;"|xN",Aux_puntos!$1:$1,0))="",NA(),INDEX(Aux_puntos!$A$2:$OJ$901,233,MATCH($B$2&amp;"|xN",Aux_puntos!$1:$1,0))),NA())</f>
        <v/>
      </c>
      <c r="AJ237">
        <f>IFERROR(IF(INDEX(Aux_puntos!$A$2:$OJ$901,233,MATCH($B$2&amp;"|yN",Aux_puntos!$1:$1,0))="",NA(),INDEX(Aux_puntos!$A$2:$OJ$901,233,MATCH($B$2&amp;"|yN",Aux_puntos!$1:$1,0))),NA())</f>
        <v/>
      </c>
    </row>
    <row r="238">
      <c r="AC238">
        <f>IFERROR(IF(INDEX(Aux_puntos!$A$2:$OJ$901,234,MATCH($B$2&amp;"|xK",Aux_puntos!$1:$1,0))="",NA(),INDEX(Aux_puntos!$A$2:$OJ$901,234,MATCH($B$2&amp;"|xK",Aux_puntos!$1:$1,0))),NA())</f>
        <v/>
      </c>
      <c r="AD238">
        <f>IFERROR(IF(INDEX(Aux_puntos!$A$2:$OJ$901,234,MATCH($B$2&amp;"|yK",Aux_puntos!$1:$1,0))="",NA(),INDEX(Aux_puntos!$A$2:$OJ$901,234,MATCH($B$2&amp;"|yK",Aux_puntos!$1:$1,0))),NA())</f>
        <v/>
      </c>
      <c r="AE238">
        <f>IFERROR(IF(INDEX(Aux_puntos!$A$2:$OJ$901,234,MATCH($B$2&amp;"|xC",Aux_puntos!$1:$1,0))="",NA(),INDEX(Aux_puntos!$A$2:$OJ$901,234,MATCH($B$2&amp;"|xC",Aux_puntos!$1:$1,0))),NA())</f>
        <v/>
      </c>
      <c r="AF238">
        <f>IFERROR(IF(INDEX(Aux_puntos!$A$2:$OJ$901,234,MATCH($B$2&amp;"|yC",Aux_puntos!$1:$1,0))="",NA(),INDEX(Aux_puntos!$A$2:$OJ$901,234,MATCH($B$2&amp;"|yC",Aux_puntos!$1:$1,0))),NA())</f>
        <v/>
      </c>
      <c r="AG238">
        <f>IFERROR(IF(INDEX(Aux_puntos!$A$2:$OJ$901,234,MATCH($B$2&amp;"|xI",Aux_puntos!$1:$1,0))="",NA(),INDEX(Aux_puntos!$A$2:$OJ$901,234,MATCH($B$2&amp;"|xI",Aux_puntos!$1:$1,0))),NA())</f>
        <v/>
      </c>
      <c r="AH238">
        <f>IFERROR(IF(INDEX(Aux_puntos!$A$2:$OJ$901,234,MATCH($B$2&amp;"|yI",Aux_puntos!$1:$1,0))="",NA(),INDEX(Aux_puntos!$A$2:$OJ$901,234,MATCH($B$2&amp;"|yI",Aux_puntos!$1:$1,0))),NA())</f>
        <v/>
      </c>
      <c r="AI238">
        <f>IFERROR(IF(INDEX(Aux_puntos!$A$2:$OJ$901,234,MATCH($B$2&amp;"|xN",Aux_puntos!$1:$1,0))="",NA(),INDEX(Aux_puntos!$A$2:$OJ$901,234,MATCH($B$2&amp;"|xN",Aux_puntos!$1:$1,0))),NA())</f>
        <v/>
      </c>
      <c r="AJ238">
        <f>IFERROR(IF(INDEX(Aux_puntos!$A$2:$OJ$901,234,MATCH($B$2&amp;"|yN",Aux_puntos!$1:$1,0))="",NA(),INDEX(Aux_puntos!$A$2:$OJ$901,234,MATCH($B$2&amp;"|yN",Aux_puntos!$1:$1,0))),NA())</f>
        <v/>
      </c>
    </row>
    <row r="239">
      <c r="AC239">
        <f>IFERROR(IF(INDEX(Aux_puntos!$A$2:$OJ$901,235,MATCH($B$2&amp;"|xK",Aux_puntos!$1:$1,0))="",NA(),INDEX(Aux_puntos!$A$2:$OJ$901,235,MATCH($B$2&amp;"|xK",Aux_puntos!$1:$1,0))),NA())</f>
        <v/>
      </c>
      <c r="AD239">
        <f>IFERROR(IF(INDEX(Aux_puntos!$A$2:$OJ$901,235,MATCH($B$2&amp;"|yK",Aux_puntos!$1:$1,0))="",NA(),INDEX(Aux_puntos!$A$2:$OJ$901,235,MATCH($B$2&amp;"|yK",Aux_puntos!$1:$1,0))),NA())</f>
        <v/>
      </c>
      <c r="AE239">
        <f>IFERROR(IF(INDEX(Aux_puntos!$A$2:$OJ$901,235,MATCH($B$2&amp;"|xC",Aux_puntos!$1:$1,0))="",NA(),INDEX(Aux_puntos!$A$2:$OJ$901,235,MATCH($B$2&amp;"|xC",Aux_puntos!$1:$1,0))),NA())</f>
        <v/>
      </c>
      <c r="AF239">
        <f>IFERROR(IF(INDEX(Aux_puntos!$A$2:$OJ$901,235,MATCH($B$2&amp;"|yC",Aux_puntos!$1:$1,0))="",NA(),INDEX(Aux_puntos!$A$2:$OJ$901,235,MATCH($B$2&amp;"|yC",Aux_puntos!$1:$1,0))),NA())</f>
        <v/>
      </c>
      <c r="AG239">
        <f>IFERROR(IF(INDEX(Aux_puntos!$A$2:$OJ$901,235,MATCH($B$2&amp;"|xI",Aux_puntos!$1:$1,0))="",NA(),INDEX(Aux_puntos!$A$2:$OJ$901,235,MATCH($B$2&amp;"|xI",Aux_puntos!$1:$1,0))),NA())</f>
        <v/>
      </c>
      <c r="AH239">
        <f>IFERROR(IF(INDEX(Aux_puntos!$A$2:$OJ$901,235,MATCH($B$2&amp;"|yI",Aux_puntos!$1:$1,0))="",NA(),INDEX(Aux_puntos!$A$2:$OJ$901,235,MATCH($B$2&amp;"|yI",Aux_puntos!$1:$1,0))),NA())</f>
        <v/>
      </c>
      <c r="AI239">
        <f>IFERROR(IF(INDEX(Aux_puntos!$A$2:$OJ$901,235,MATCH($B$2&amp;"|xN",Aux_puntos!$1:$1,0))="",NA(),INDEX(Aux_puntos!$A$2:$OJ$901,235,MATCH($B$2&amp;"|xN",Aux_puntos!$1:$1,0))),NA())</f>
        <v/>
      </c>
      <c r="AJ239">
        <f>IFERROR(IF(INDEX(Aux_puntos!$A$2:$OJ$901,235,MATCH($B$2&amp;"|yN",Aux_puntos!$1:$1,0))="",NA(),INDEX(Aux_puntos!$A$2:$OJ$901,235,MATCH($B$2&amp;"|yN",Aux_puntos!$1:$1,0))),NA())</f>
        <v/>
      </c>
    </row>
    <row r="240">
      <c r="AC240">
        <f>IFERROR(IF(INDEX(Aux_puntos!$A$2:$OJ$901,236,MATCH($B$2&amp;"|xK",Aux_puntos!$1:$1,0))="",NA(),INDEX(Aux_puntos!$A$2:$OJ$901,236,MATCH($B$2&amp;"|xK",Aux_puntos!$1:$1,0))),NA())</f>
        <v/>
      </c>
      <c r="AD240">
        <f>IFERROR(IF(INDEX(Aux_puntos!$A$2:$OJ$901,236,MATCH($B$2&amp;"|yK",Aux_puntos!$1:$1,0))="",NA(),INDEX(Aux_puntos!$A$2:$OJ$901,236,MATCH($B$2&amp;"|yK",Aux_puntos!$1:$1,0))),NA())</f>
        <v/>
      </c>
      <c r="AE240">
        <f>IFERROR(IF(INDEX(Aux_puntos!$A$2:$OJ$901,236,MATCH($B$2&amp;"|xC",Aux_puntos!$1:$1,0))="",NA(),INDEX(Aux_puntos!$A$2:$OJ$901,236,MATCH($B$2&amp;"|xC",Aux_puntos!$1:$1,0))),NA())</f>
        <v/>
      </c>
      <c r="AF240">
        <f>IFERROR(IF(INDEX(Aux_puntos!$A$2:$OJ$901,236,MATCH($B$2&amp;"|yC",Aux_puntos!$1:$1,0))="",NA(),INDEX(Aux_puntos!$A$2:$OJ$901,236,MATCH($B$2&amp;"|yC",Aux_puntos!$1:$1,0))),NA())</f>
        <v/>
      </c>
      <c r="AG240">
        <f>IFERROR(IF(INDEX(Aux_puntos!$A$2:$OJ$901,236,MATCH($B$2&amp;"|xI",Aux_puntos!$1:$1,0))="",NA(),INDEX(Aux_puntos!$A$2:$OJ$901,236,MATCH($B$2&amp;"|xI",Aux_puntos!$1:$1,0))),NA())</f>
        <v/>
      </c>
      <c r="AH240">
        <f>IFERROR(IF(INDEX(Aux_puntos!$A$2:$OJ$901,236,MATCH($B$2&amp;"|yI",Aux_puntos!$1:$1,0))="",NA(),INDEX(Aux_puntos!$A$2:$OJ$901,236,MATCH($B$2&amp;"|yI",Aux_puntos!$1:$1,0))),NA())</f>
        <v/>
      </c>
      <c r="AI240">
        <f>IFERROR(IF(INDEX(Aux_puntos!$A$2:$OJ$901,236,MATCH($B$2&amp;"|xN",Aux_puntos!$1:$1,0))="",NA(),INDEX(Aux_puntos!$A$2:$OJ$901,236,MATCH($B$2&amp;"|xN",Aux_puntos!$1:$1,0))),NA())</f>
        <v/>
      </c>
      <c r="AJ240">
        <f>IFERROR(IF(INDEX(Aux_puntos!$A$2:$OJ$901,236,MATCH($B$2&amp;"|yN",Aux_puntos!$1:$1,0))="",NA(),INDEX(Aux_puntos!$A$2:$OJ$901,236,MATCH($B$2&amp;"|yN",Aux_puntos!$1:$1,0))),NA())</f>
        <v/>
      </c>
    </row>
    <row r="241">
      <c r="AC241">
        <f>IFERROR(IF(INDEX(Aux_puntos!$A$2:$OJ$901,237,MATCH($B$2&amp;"|xK",Aux_puntos!$1:$1,0))="",NA(),INDEX(Aux_puntos!$A$2:$OJ$901,237,MATCH($B$2&amp;"|xK",Aux_puntos!$1:$1,0))),NA())</f>
        <v/>
      </c>
      <c r="AD241">
        <f>IFERROR(IF(INDEX(Aux_puntos!$A$2:$OJ$901,237,MATCH($B$2&amp;"|yK",Aux_puntos!$1:$1,0))="",NA(),INDEX(Aux_puntos!$A$2:$OJ$901,237,MATCH($B$2&amp;"|yK",Aux_puntos!$1:$1,0))),NA())</f>
        <v/>
      </c>
      <c r="AE241">
        <f>IFERROR(IF(INDEX(Aux_puntos!$A$2:$OJ$901,237,MATCH($B$2&amp;"|xC",Aux_puntos!$1:$1,0))="",NA(),INDEX(Aux_puntos!$A$2:$OJ$901,237,MATCH($B$2&amp;"|xC",Aux_puntos!$1:$1,0))),NA())</f>
        <v/>
      </c>
      <c r="AF241">
        <f>IFERROR(IF(INDEX(Aux_puntos!$A$2:$OJ$901,237,MATCH($B$2&amp;"|yC",Aux_puntos!$1:$1,0))="",NA(),INDEX(Aux_puntos!$A$2:$OJ$901,237,MATCH($B$2&amp;"|yC",Aux_puntos!$1:$1,0))),NA())</f>
        <v/>
      </c>
      <c r="AG241">
        <f>IFERROR(IF(INDEX(Aux_puntos!$A$2:$OJ$901,237,MATCH($B$2&amp;"|xI",Aux_puntos!$1:$1,0))="",NA(),INDEX(Aux_puntos!$A$2:$OJ$901,237,MATCH($B$2&amp;"|xI",Aux_puntos!$1:$1,0))),NA())</f>
        <v/>
      </c>
      <c r="AH241">
        <f>IFERROR(IF(INDEX(Aux_puntos!$A$2:$OJ$901,237,MATCH($B$2&amp;"|yI",Aux_puntos!$1:$1,0))="",NA(),INDEX(Aux_puntos!$A$2:$OJ$901,237,MATCH($B$2&amp;"|yI",Aux_puntos!$1:$1,0))),NA())</f>
        <v/>
      </c>
      <c r="AI241">
        <f>IFERROR(IF(INDEX(Aux_puntos!$A$2:$OJ$901,237,MATCH($B$2&amp;"|xN",Aux_puntos!$1:$1,0))="",NA(),INDEX(Aux_puntos!$A$2:$OJ$901,237,MATCH($B$2&amp;"|xN",Aux_puntos!$1:$1,0))),NA())</f>
        <v/>
      </c>
      <c r="AJ241">
        <f>IFERROR(IF(INDEX(Aux_puntos!$A$2:$OJ$901,237,MATCH($B$2&amp;"|yN",Aux_puntos!$1:$1,0))="",NA(),INDEX(Aux_puntos!$A$2:$OJ$901,237,MATCH($B$2&amp;"|yN",Aux_puntos!$1:$1,0))),NA())</f>
        <v/>
      </c>
    </row>
    <row r="242">
      <c r="AC242">
        <f>IFERROR(IF(INDEX(Aux_puntos!$A$2:$OJ$901,238,MATCH($B$2&amp;"|xK",Aux_puntos!$1:$1,0))="",NA(),INDEX(Aux_puntos!$A$2:$OJ$901,238,MATCH($B$2&amp;"|xK",Aux_puntos!$1:$1,0))),NA())</f>
        <v/>
      </c>
      <c r="AD242">
        <f>IFERROR(IF(INDEX(Aux_puntos!$A$2:$OJ$901,238,MATCH($B$2&amp;"|yK",Aux_puntos!$1:$1,0))="",NA(),INDEX(Aux_puntos!$A$2:$OJ$901,238,MATCH($B$2&amp;"|yK",Aux_puntos!$1:$1,0))),NA())</f>
        <v/>
      </c>
      <c r="AE242">
        <f>IFERROR(IF(INDEX(Aux_puntos!$A$2:$OJ$901,238,MATCH($B$2&amp;"|xC",Aux_puntos!$1:$1,0))="",NA(),INDEX(Aux_puntos!$A$2:$OJ$901,238,MATCH($B$2&amp;"|xC",Aux_puntos!$1:$1,0))),NA())</f>
        <v/>
      </c>
      <c r="AF242">
        <f>IFERROR(IF(INDEX(Aux_puntos!$A$2:$OJ$901,238,MATCH($B$2&amp;"|yC",Aux_puntos!$1:$1,0))="",NA(),INDEX(Aux_puntos!$A$2:$OJ$901,238,MATCH($B$2&amp;"|yC",Aux_puntos!$1:$1,0))),NA())</f>
        <v/>
      </c>
      <c r="AG242">
        <f>IFERROR(IF(INDEX(Aux_puntos!$A$2:$OJ$901,238,MATCH($B$2&amp;"|xI",Aux_puntos!$1:$1,0))="",NA(),INDEX(Aux_puntos!$A$2:$OJ$901,238,MATCH($B$2&amp;"|xI",Aux_puntos!$1:$1,0))),NA())</f>
        <v/>
      </c>
      <c r="AH242">
        <f>IFERROR(IF(INDEX(Aux_puntos!$A$2:$OJ$901,238,MATCH($B$2&amp;"|yI",Aux_puntos!$1:$1,0))="",NA(),INDEX(Aux_puntos!$A$2:$OJ$901,238,MATCH($B$2&amp;"|yI",Aux_puntos!$1:$1,0))),NA())</f>
        <v/>
      </c>
      <c r="AI242">
        <f>IFERROR(IF(INDEX(Aux_puntos!$A$2:$OJ$901,238,MATCH($B$2&amp;"|xN",Aux_puntos!$1:$1,0))="",NA(),INDEX(Aux_puntos!$A$2:$OJ$901,238,MATCH($B$2&amp;"|xN",Aux_puntos!$1:$1,0))),NA())</f>
        <v/>
      </c>
      <c r="AJ242">
        <f>IFERROR(IF(INDEX(Aux_puntos!$A$2:$OJ$901,238,MATCH($B$2&amp;"|yN",Aux_puntos!$1:$1,0))="",NA(),INDEX(Aux_puntos!$A$2:$OJ$901,238,MATCH($B$2&amp;"|yN",Aux_puntos!$1:$1,0))),NA())</f>
        <v/>
      </c>
    </row>
    <row r="243">
      <c r="AC243">
        <f>IFERROR(IF(INDEX(Aux_puntos!$A$2:$OJ$901,239,MATCH($B$2&amp;"|xK",Aux_puntos!$1:$1,0))="",NA(),INDEX(Aux_puntos!$A$2:$OJ$901,239,MATCH($B$2&amp;"|xK",Aux_puntos!$1:$1,0))),NA())</f>
        <v/>
      </c>
      <c r="AD243">
        <f>IFERROR(IF(INDEX(Aux_puntos!$A$2:$OJ$901,239,MATCH($B$2&amp;"|yK",Aux_puntos!$1:$1,0))="",NA(),INDEX(Aux_puntos!$A$2:$OJ$901,239,MATCH($B$2&amp;"|yK",Aux_puntos!$1:$1,0))),NA())</f>
        <v/>
      </c>
      <c r="AE243">
        <f>IFERROR(IF(INDEX(Aux_puntos!$A$2:$OJ$901,239,MATCH($B$2&amp;"|xC",Aux_puntos!$1:$1,0))="",NA(),INDEX(Aux_puntos!$A$2:$OJ$901,239,MATCH($B$2&amp;"|xC",Aux_puntos!$1:$1,0))),NA())</f>
        <v/>
      </c>
      <c r="AF243">
        <f>IFERROR(IF(INDEX(Aux_puntos!$A$2:$OJ$901,239,MATCH($B$2&amp;"|yC",Aux_puntos!$1:$1,0))="",NA(),INDEX(Aux_puntos!$A$2:$OJ$901,239,MATCH($B$2&amp;"|yC",Aux_puntos!$1:$1,0))),NA())</f>
        <v/>
      </c>
      <c r="AG243">
        <f>IFERROR(IF(INDEX(Aux_puntos!$A$2:$OJ$901,239,MATCH($B$2&amp;"|xI",Aux_puntos!$1:$1,0))="",NA(),INDEX(Aux_puntos!$A$2:$OJ$901,239,MATCH($B$2&amp;"|xI",Aux_puntos!$1:$1,0))),NA())</f>
        <v/>
      </c>
      <c r="AH243">
        <f>IFERROR(IF(INDEX(Aux_puntos!$A$2:$OJ$901,239,MATCH($B$2&amp;"|yI",Aux_puntos!$1:$1,0))="",NA(),INDEX(Aux_puntos!$A$2:$OJ$901,239,MATCH($B$2&amp;"|yI",Aux_puntos!$1:$1,0))),NA())</f>
        <v/>
      </c>
      <c r="AI243">
        <f>IFERROR(IF(INDEX(Aux_puntos!$A$2:$OJ$901,239,MATCH($B$2&amp;"|xN",Aux_puntos!$1:$1,0))="",NA(),INDEX(Aux_puntos!$A$2:$OJ$901,239,MATCH($B$2&amp;"|xN",Aux_puntos!$1:$1,0))),NA())</f>
        <v/>
      </c>
      <c r="AJ243">
        <f>IFERROR(IF(INDEX(Aux_puntos!$A$2:$OJ$901,239,MATCH($B$2&amp;"|yN",Aux_puntos!$1:$1,0))="",NA(),INDEX(Aux_puntos!$A$2:$OJ$901,239,MATCH($B$2&amp;"|yN",Aux_puntos!$1:$1,0))),NA())</f>
        <v/>
      </c>
    </row>
    <row r="244">
      <c r="AC244">
        <f>IFERROR(IF(INDEX(Aux_puntos!$A$2:$OJ$901,240,MATCH($B$2&amp;"|xK",Aux_puntos!$1:$1,0))="",NA(),INDEX(Aux_puntos!$A$2:$OJ$901,240,MATCH($B$2&amp;"|xK",Aux_puntos!$1:$1,0))),NA())</f>
        <v/>
      </c>
      <c r="AD244">
        <f>IFERROR(IF(INDEX(Aux_puntos!$A$2:$OJ$901,240,MATCH($B$2&amp;"|yK",Aux_puntos!$1:$1,0))="",NA(),INDEX(Aux_puntos!$A$2:$OJ$901,240,MATCH($B$2&amp;"|yK",Aux_puntos!$1:$1,0))),NA())</f>
        <v/>
      </c>
      <c r="AE244">
        <f>IFERROR(IF(INDEX(Aux_puntos!$A$2:$OJ$901,240,MATCH($B$2&amp;"|xC",Aux_puntos!$1:$1,0))="",NA(),INDEX(Aux_puntos!$A$2:$OJ$901,240,MATCH($B$2&amp;"|xC",Aux_puntos!$1:$1,0))),NA())</f>
        <v/>
      </c>
      <c r="AF244">
        <f>IFERROR(IF(INDEX(Aux_puntos!$A$2:$OJ$901,240,MATCH($B$2&amp;"|yC",Aux_puntos!$1:$1,0))="",NA(),INDEX(Aux_puntos!$A$2:$OJ$901,240,MATCH($B$2&amp;"|yC",Aux_puntos!$1:$1,0))),NA())</f>
        <v/>
      </c>
      <c r="AG244">
        <f>IFERROR(IF(INDEX(Aux_puntos!$A$2:$OJ$901,240,MATCH($B$2&amp;"|xI",Aux_puntos!$1:$1,0))="",NA(),INDEX(Aux_puntos!$A$2:$OJ$901,240,MATCH($B$2&amp;"|xI",Aux_puntos!$1:$1,0))),NA())</f>
        <v/>
      </c>
      <c r="AH244">
        <f>IFERROR(IF(INDEX(Aux_puntos!$A$2:$OJ$901,240,MATCH($B$2&amp;"|yI",Aux_puntos!$1:$1,0))="",NA(),INDEX(Aux_puntos!$A$2:$OJ$901,240,MATCH($B$2&amp;"|yI",Aux_puntos!$1:$1,0))),NA())</f>
        <v/>
      </c>
      <c r="AI244">
        <f>IFERROR(IF(INDEX(Aux_puntos!$A$2:$OJ$901,240,MATCH($B$2&amp;"|xN",Aux_puntos!$1:$1,0))="",NA(),INDEX(Aux_puntos!$A$2:$OJ$901,240,MATCH($B$2&amp;"|xN",Aux_puntos!$1:$1,0))),NA())</f>
        <v/>
      </c>
      <c r="AJ244">
        <f>IFERROR(IF(INDEX(Aux_puntos!$A$2:$OJ$901,240,MATCH($B$2&amp;"|yN",Aux_puntos!$1:$1,0))="",NA(),INDEX(Aux_puntos!$A$2:$OJ$901,240,MATCH($B$2&amp;"|yN",Aux_puntos!$1:$1,0))),NA())</f>
        <v/>
      </c>
    </row>
    <row r="245">
      <c r="AC245">
        <f>IFERROR(IF(INDEX(Aux_puntos!$A$2:$OJ$901,241,MATCH($B$2&amp;"|xK",Aux_puntos!$1:$1,0))="",NA(),INDEX(Aux_puntos!$A$2:$OJ$901,241,MATCH($B$2&amp;"|xK",Aux_puntos!$1:$1,0))),NA())</f>
        <v/>
      </c>
      <c r="AD245">
        <f>IFERROR(IF(INDEX(Aux_puntos!$A$2:$OJ$901,241,MATCH($B$2&amp;"|yK",Aux_puntos!$1:$1,0))="",NA(),INDEX(Aux_puntos!$A$2:$OJ$901,241,MATCH($B$2&amp;"|yK",Aux_puntos!$1:$1,0))),NA())</f>
        <v/>
      </c>
      <c r="AE245">
        <f>IFERROR(IF(INDEX(Aux_puntos!$A$2:$OJ$901,241,MATCH($B$2&amp;"|xC",Aux_puntos!$1:$1,0))="",NA(),INDEX(Aux_puntos!$A$2:$OJ$901,241,MATCH($B$2&amp;"|xC",Aux_puntos!$1:$1,0))),NA())</f>
        <v/>
      </c>
      <c r="AF245">
        <f>IFERROR(IF(INDEX(Aux_puntos!$A$2:$OJ$901,241,MATCH($B$2&amp;"|yC",Aux_puntos!$1:$1,0))="",NA(),INDEX(Aux_puntos!$A$2:$OJ$901,241,MATCH($B$2&amp;"|yC",Aux_puntos!$1:$1,0))),NA())</f>
        <v/>
      </c>
      <c r="AG245">
        <f>IFERROR(IF(INDEX(Aux_puntos!$A$2:$OJ$901,241,MATCH($B$2&amp;"|xI",Aux_puntos!$1:$1,0))="",NA(),INDEX(Aux_puntos!$A$2:$OJ$901,241,MATCH($B$2&amp;"|xI",Aux_puntos!$1:$1,0))),NA())</f>
        <v/>
      </c>
      <c r="AH245">
        <f>IFERROR(IF(INDEX(Aux_puntos!$A$2:$OJ$901,241,MATCH($B$2&amp;"|yI",Aux_puntos!$1:$1,0))="",NA(),INDEX(Aux_puntos!$A$2:$OJ$901,241,MATCH($B$2&amp;"|yI",Aux_puntos!$1:$1,0))),NA())</f>
        <v/>
      </c>
      <c r="AI245">
        <f>IFERROR(IF(INDEX(Aux_puntos!$A$2:$OJ$901,241,MATCH($B$2&amp;"|xN",Aux_puntos!$1:$1,0))="",NA(),INDEX(Aux_puntos!$A$2:$OJ$901,241,MATCH($B$2&amp;"|xN",Aux_puntos!$1:$1,0))),NA())</f>
        <v/>
      </c>
      <c r="AJ245">
        <f>IFERROR(IF(INDEX(Aux_puntos!$A$2:$OJ$901,241,MATCH($B$2&amp;"|yN",Aux_puntos!$1:$1,0))="",NA(),INDEX(Aux_puntos!$A$2:$OJ$901,241,MATCH($B$2&amp;"|yN",Aux_puntos!$1:$1,0))),NA())</f>
        <v/>
      </c>
    </row>
    <row r="246">
      <c r="AC246">
        <f>IFERROR(IF(INDEX(Aux_puntos!$A$2:$OJ$901,242,MATCH($B$2&amp;"|xK",Aux_puntos!$1:$1,0))="",NA(),INDEX(Aux_puntos!$A$2:$OJ$901,242,MATCH($B$2&amp;"|xK",Aux_puntos!$1:$1,0))),NA())</f>
        <v/>
      </c>
      <c r="AD246">
        <f>IFERROR(IF(INDEX(Aux_puntos!$A$2:$OJ$901,242,MATCH($B$2&amp;"|yK",Aux_puntos!$1:$1,0))="",NA(),INDEX(Aux_puntos!$A$2:$OJ$901,242,MATCH($B$2&amp;"|yK",Aux_puntos!$1:$1,0))),NA())</f>
        <v/>
      </c>
      <c r="AE246">
        <f>IFERROR(IF(INDEX(Aux_puntos!$A$2:$OJ$901,242,MATCH($B$2&amp;"|xC",Aux_puntos!$1:$1,0))="",NA(),INDEX(Aux_puntos!$A$2:$OJ$901,242,MATCH($B$2&amp;"|xC",Aux_puntos!$1:$1,0))),NA())</f>
        <v/>
      </c>
      <c r="AF246">
        <f>IFERROR(IF(INDEX(Aux_puntos!$A$2:$OJ$901,242,MATCH($B$2&amp;"|yC",Aux_puntos!$1:$1,0))="",NA(),INDEX(Aux_puntos!$A$2:$OJ$901,242,MATCH($B$2&amp;"|yC",Aux_puntos!$1:$1,0))),NA())</f>
        <v/>
      </c>
      <c r="AG246">
        <f>IFERROR(IF(INDEX(Aux_puntos!$A$2:$OJ$901,242,MATCH($B$2&amp;"|xI",Aux_puntos!$1:$1,0))="",NA(),INDEX(Aux_puntos!$A$2:$OJ$901,242,MATCH($B$2&amp;"|xI",Aux_puntos!$1:$1,0))),NA())</f>
        <v/>
      </c>
      <c r="AH246">
        <f>IFERROR(IF(INDEX(Aux_puntos!$A$2:$OJ$901,242,MATCH($B$2&amp;"|yI",Aux_puntos!$1:$1,0))="",NA(),INDEX(Aux_puntos!$A$2:$OJ$901,242,MATCH($B$2&amp;"|yI",Aux_puntos!$1:$1,0))),NA())</f>
        <v/>
      </c>
      <c r="AI246">
        <f>IFERROR(IF(INDEX(Aux_puntos!$A$2:$OJ$901,242,MATCH($B$2&amp;"|xN",Aux_puntos!$1:$1,0))="",NA(),INDEX(Aux_puntos!$A$2:$OJ$901,242,MATCH($B$2&amp;"|xN",Aux_puntos!$1:$1,0))),NA())</f>
        <v/>
      </c>
      <c r="AJ246">
        <f>IFERROR(IF(INDEX(Aux_puntos!$A$2:$OJ$901,242,MATCH($B$2&amp;"|yN",Aux_puntos!$1:$1,0))="",NA(),INDEX(Aux_puntos!$A$2:$OJ$901,242,MATCH($B$2&amp;"|yN",Aux_puntos!$1:$1,0))),NA())</f>
        <v/>
      </c>
    </row>
    <row r="247">
      <c r="AC247">
        <f>IFERROR(IF(INDEX(Aux_puntos!$A$2:$OJ$901,243,MATCH($B$2&amp;"|xK",Aux_puntos!$1:$1,0))="",NA(),INDEX(Aux_puntos!$A$2:$OJ$901,243,MATCH($B$2&amp;"|xK",Aux_puntos!$1:$1,0))),NA())</f>
        <v/>
      </c>
      <c r="AD247">
        <f>IFERROR(IF(INDEX(Aux_puntos!$A$2:$OJ$901,243,MATCH($B$2&amp;"|yK",Aux_puntos!$1:$1,0))="",NA(),INDEX(Aux_puntos!$A$2:$OJ$901,243,MATCH($B$2&amp;"|yK",Aux_puntos!$1:$1,0))),NA())</f>
        <v/>
      </c>
      <c r="AE247">
        <f>IFERROR(IF(INDEX(Aux_puntos!$A$2:$OJ$901,243,MATCH($B$2&amp;"|xC",Aux_puntos!$1:$1,0))="",NA(),INDEX(Aux_puntos!$A$2:$OJ$901,243,MATCH($B$2&amp;"|xC",Aux_puntos!$1:$1,0))),NA())</f>
        <v/>
      </c>
      <c r="AF247">
        <f>IFERROR(IF(INDEX(Aux_puntos!$A$2:$OJ$901,243,MATCH($B$2&amp;"|yC",Aux_puntos!$1:$1,0))="",NA(),INDEX(Aux_puntos!$A$2:$OJ$901,243,MATCH($B$2&amp;"|yC",Aux_puntos!$1:$1,0))),NA())</f>
        <v/>
      </c>
      <c r="AG247">
        <f>IFERROR(IF(INDEX(Aux_puntos!$A$2:$OJ$901,243,MATCH($B$2&amp;"|xI",Aux_puntos!$1:$1,0))="",NA(),INDEX(Aux_puntos!$A$2:$OJ$901,243,MATCH($B$2&amp;"|xI",Aux_puntos!$1:$1,0))),NA())</f>
        <v/>
      </c>
      <c r="AH247">
        <f>IFERROR(IF(INDEX(Aux_puntos!$A$2:$OJ$901,243,MATCH($B$2&amp;"|yI",Aux_puntos!$1:$1,0))="",NA(),INDEX(Aux_puntos!$A$2:$OJ$901,243,MATCH($B$2&amp;"|yI",Aux_puntos!$1:$1,0))),NA())</f>
        <v/>
      </c>
      <c r="AI247">
        <f>IFERROR(IF(INDEX(Aux_puntos!$A$2:$OJ$901,243,MATCH($B$2&amp;"|xN",Aux_puntos!$1:$1,0))="",NA(),INDEX(Aux_puntos!$A$2:$OJ$901,243,MATCH($B$2&amp;"|xN",Aux_puntos!$1:$1,0))),NA())</f>
        <v/>
      </c>
      <c r="AJ247">
        <f>IFERROR(IF(INDEX(Aux_puntos!$A$2:$OJ$901,243,MATCH($B$2&amp;"|yN",Aux_puntos!$1:$1,0))="",NA(),INDEX(Aux_puntos!$A$2:$OJ$901,243,MATCH($B$2&amp;"|yN",Aux_puntos!$1:$1,0))),NA())</f>
        <v/>
      </c>
    </row>
    <row r="248">
      <c r="AC248">
        <f>IFERROR(IF(INDEX(Aux_puntos!$A$2:$OJ$901,244,MATCH($B$2&amp;"|xK",Aux_puntos!$1:$1,0))="",NA(),INDEX(Aux_puntos!$A$2:$OJ$901,244,MATCH($B$2&amp;"|xK",Aux_puntos!$1:$1,0))),NA())</f>
        <v/>
      </c>
      <c r="AD248">
        <f>IFERROR(IF(INDEX(Aux_puntos!$A$2:$OJ$901,244,MATCH($B$2&amp;"|yK",Aux_puntos!$1:$1,0))="",NA(),INDEX(Aux_puntos!$A$2:$OJ$901,244,MATCH($B$2&amp;"|yK",Aux_puntos!$1:$1,0))),NA())</f>
        <v/>
      </c>
      <c r="AE248">
        <f>IFERROR(IF(INDEX(Aux_puntos!$A$2:$OJ$901,244,MATCH($B$2&amp;"|xC",Aux_puntos!$1:$1,0))="",NA(),INDEX(Aux_puntos!$A$2:$OJ$901,244,MATCH($B$2&amp;"|xC",Aux_puntos!$1:$1,0))),NA())</f>
        <v/>
      </c>
      <c r="AF248">
        <f>IFERROR(IF(INDEX(Aux_puntos!$A$2:$OJ$901,244,MATCH($B$2&amp;"|yC",Aux_puntos!$1:$1,0))="",NA(),INDEX(Aux_puntos!$A$2:$OJ$901,244,MATCH($B$2&amp;"|yC",Aux_puntos!$1:$1,0))),NA())</f>
        <v/>
      </c>
      <c r="AG248">
        <f>IFERROR(IF(INDEX(Aux_puntos!$A$2:$OJ$901,244,MATCH($B$2&amp;"|xI",Aux_puntos!$1:$1,0))="",NA(),INDEX(Aux_puntos!$A$2:$OJ$901,244,MATCH($B$2&amp;"|xI",Aux_puntos!$1:$1,0))),NA())</f>
        <v/>
      </c>
      <c r="AH248">
        <f>IFERROR(IF(INDEX(Aux_puntos!$A$2:$OJ$901,244,MATCH($B$2&amp;"|yI",Aux_puntos!$1:$1,0))="",NA(),INDEX(Aux_puntos!$A$2:$OJ$901,244,MATCH($B$2&amp;"|yI",Aux_puntos!$1:$1,0))),NA())</f>
        <v/>
      </c>
      <c r="AI248">
        <f>IFERROR(IF(INDEX(Aux_puntos!$A$2:$OJ$901,244,MATCH($B$2&amp;"|xN",Aux_puntos!$1:$1,0))="",NA(),INDEX(Aux_puntos!$A$2:$OJ$901,244,MATCH($B$2&amp;"|xN",Aux_puntos!$1:$1,0))),NA())</f>
        <v/>
      </c>
      <c r="AJ248">
        <f>IFERROR(IF(INDEX(Aux_puntos!$A$2:$OJ$901,244,MATCH($B$2&amp;"|yN",Aux_puntos!$1:$1,0))="",NA(),INDEX(Aux_puntos!$A$2:$OJ$901,244,MATCH($B$2&amp;"|yN",Aux_puntos!$1:$1,0))),NA())</f>
        <v/>
      </c>
    </row>
    <row r="249">
      <c r="AC249">
        <f>IFERROR(IF(INDEX(Aux_puntos!$A$2:$OJ$901,245,MATCH($B$2&amp;"|xK",Aux_puntos!$1:$1,0))="",NA(),INDEX(Aux_puntos!$A$2:$OJ$901,245,MATCH($B$2&amp;"|xK",Aux_puntos!$1:$1,0))),NA())</f>
        <v/>
      </c>
      <c r="AD249">
        <f>IFERROR(IF(INDEX(Aux_puntos!$A$2:$OJ$901,245,MATCH($B$2&amp;"|yK",Aux_puntos!$1:$1,0))="",NA(),INDEX(Aux_puntos!$A$2:$OJ$901,245,MATCH($B$2&amp;"|yK",Aux_puntos!$1:$1,0))),NA())</f>
        <v/>
      </c>
      <c r="AE249">
        <f>IFERROR(IF(INDEX(Aux_puntos!$A$2:$OJ$901,245,MATCH($B$2&amp;"|xC",Aux_puntos!$1:$1,0))="",NA(),INDEX(Aux_puntos!$A$2:$OJ$901,245,MATCH($B$2&amp;"|xC",Aux_puntos!$1:$1,0))),NA())</f>
        <v/>
      </c>
      <c r="AF249">
        <f>IFERROR(IF(INDEX(Aux_puntos!$A$2:$OJ$901,245,MATCH($B$2&amp;"|yC",Aux_puntos!$1:$1,0))="",NA(),INDEX(Aux_puntos!$A$2:$OJ$901,245,MATCH($B$2&amp;"|yC",Aux_puntos!$1:$1,0))),NA())</f>
        <v/>
      </c>
      <c r="AG249">
        <f>IFERROR(IF(INDEX(Aux_puntos!$A$2:$OJ$901,245,MATCH($B$2&amp;"|xI",Aux_puntos!$1:$1,0))="",NA(),INDEX(Aux_puntos!$A$2:$OJ$901,245,MATCH($B$2&amp;"|xI",Aux_puntos!$1:$1,0))),NA())</f>
        <v/>
      </c>
      <c r="AH249">
        <f>IFERROR(IF(INDEX(Aux_puntos!$A$2:$OJ$901,245,MATCH($B$2&amp;"|yI",Aux_puntos!$1:$1,0))="",NA(),INDEX(Aux_puntos!$A$2:$OJ$901,245,MATCH($B$2&amp;"|yI",Aux_puntos!$1:$1,0))),NA())</f>
        <v/>
      </c>
      <c r="AI249">
        <f>IFERROR(IF(INDEX(Aux_puntos!$A$2:$OJ$901,245,MATCH($B$2&amp;"|xN",Aux_puntos!$1:$1,0))="",NA(),INDEX(Aux_puntos!$A$2:$OJ$901,245,MATCH($B$2&amp;"|xN",Aux_puntos!$1:$1,0))),NA())</f>
        <v/>
      </c>
      <c r="AJ249">
        <f>IFERROR(IF(INDEX(Aux_puntos!$A$2:$OJ$901,245,MATCH($B$2&amp;"|yN",Aux_puntos!$1:$1,0))="",NA(),INDEX(Aux_puntos!$A$2:$OJ$901,245,MATCH($B$2&amp;"|yN",Aux_puntos!$1:$1,0))),NA())</f>
        <v/>
      </c>
    </row>
    <row r="250">
      <c r="AC250">
        <f>IFERROR(IF(INDEX(Aux_puntos!$A$2:$OJ$901,246,MATCH($B$2&amp;"|xK",Aux_puntos!$1:$1,0))="",NA(),INDEX(Aux_puntos!$A$2:$OJ$901,246,MATCH($B$2&amp;"|xK",Aux_puntos!$1:$1,0))),NA())</f>
        <v/>
      </c>
      <c r="AD250">
        <f>IFERROR(IF(INDEX(Aux_puntos!$A$2:$OJ$901,246,MATCH($B$2&amp;"|yK",Aux_puntos!$1:$1,0))="",NA(),INDEX(Aux_puntos!$A$2:$OJ$901,246,MATCH($B$2&amp;"|yK",Aux_puntos!$1:$1,0))),NA())</f>
        <v/>
      </c>
      <c r="AE250">
        <f>IFERROR(IF(INDEX(Aux_puntos!$A$2:$OJ$901,246,MATCH($B$2&amp;"|xC",Aux_puntos!$1:$1,0))="",NA(),INDEX(Aux_puntos!$A$2:$OJ$901,246,MATCH($B$2&amp;"|xC",Aux_puntos!$1:$1,0))),NA())</f>
        <v/>
      </c>
      <c r="AF250">
        <f>IFERROR(IF(INDEX(Aux_puntos!$A$2:$OJ$901,246,MATCH($B$2&amp;"|yC",Aux_puntos!$1:$1,0))="",NA(),INDEX(Aux_puntos!$A$2:$OJ$901,246,MATCH($B$2&amp;"|yC",Aux_puntos!$1:$1,0))),NA())</f>
        <v/>
      </c>
      <c r="AG250">
        <f>IFERROR(IF(INDEX(Aux_puntos!$A$2:$OJ$901,246,MATCH($B$2&amp;"|xI",Aux_puntos!$1:$1,0))="",NA(),INDEX(Aux_puntos!$A$2:$OJ$901,246,MATCH($B$2&amp;"|xI",Aux_puntos!$1:$1,0))),NA())</f>
        <v/>
      </c>
      <c r="AH250">
        <f>IFERROR(IF(INDEX(Aux_puntos!$A$2:$OJ$901,246,MATCH($B$2&amp;"|yI",Aux_puntos!$1:$1,0))="",NA(),INDEX(Aux_puntos!$A$2:$OJ$901,246,MATCH($B$2&amp;"|yI",Aux_puntos!$1:$1,0))),NA())</f>
        <v/>
      </c>
      <c r="AI250">
        <f>IFERROR(IF(INDEX(Aux_puntos!$A$2:$OJ$901,246,MATCH($B$2&amp;"|xN",Aux_puntos!$1:$1,0))="",NA(),INDEX(Aux_puntos!$A$2:$OJ$901,246,MATCH($B$2&amp;"|xN",Aux_puntos!$1:$1,0))),NA())</f>
        <v/>
      </c>
      <c r="AJ250">
        <f>IFERROR(IF(INDEX(Aux_puntos!$A$2:$OJ$901,246,MATCH($B$2&amp;"|yN",Aux_puntos!$1:$1,0))="",NA(),INDEX(Aux_puntos!$A$2:$OJ$901,246,MATCH($B$2&amp;"|yN",Aux_puntos!$1:$1,0))),NA())</f>
        <v/>
      </c>
    </row>
    <row r="251">
      <c r="AC251">
        <f>IFERROR(IF(INDEX(Aux_puntos!$A$2:$OJ$901,247,MATCH($B$2&amp;"|xK",Aux_puntos!$1:$1,0))="",NA(),INDEX(Aux_puntos!$A$2:$OJ$901,247,MATCH($B$2&amp;"|xK",Aux_puntos!$1:$1,0))),NA())</f>
        <v/>
      </c>
      <c r="AD251">
        <f>IFERROR(IF(INDEX(Aux_puntos!$A$2:$OJ$901,247,MATCH($B$2&amp;"|yK",Aux_puntos!$1:$1,0))="",NA(),INDEX(Aux_puntos!$A$2:$OJ$901,247,MATCH($B$2&amp;"|yK",Aux_puntos!$1:$1,0))),NA())</f>
        <v/>
      </c>
      <c r="AE251">
        <f>IFERROR(IF(INDEX(Aux_puntos!$A$2:$OJ$901,247,MATCH($B$2&amp;"|xC",Aux_puntos!$1:$1,0))="",NA(),INDEX(Aux_puntos!$A$2:$OJ$901,247,MATCH($B$2&amp;"|xC",Aux_puntos!$1:$1,0))),NA())</f>
        <v/>
      </c>
      <c r="AF251">
        <f>IFERROR(IF(INDEX(Aux_puntos!$A$2:$OJ$901,247,MATCH($B$2&amp;"|yC",Aux_puntos!$1:$1,0))="",NA(),INDEX(Aux_puntos!$A$2:$OJ$901,247,MATCH($B$2&amp;"|yC",Aux_puntos!$1:$1,0))),NA())</f>
        <v/>
      </c>
      <c r="AG251">
        <f>IFERROR(IF(INDEX(Aux_puntos!$A$2:$OJ$901,247,MATCH($B$2&amp;"|xI",Aux_puntos!$1:$1,0))="",NA(),INDEX(Aux_puntos!$A$2:$OJ$901,247,MATCH($B$2&amp;"|xI",Aux_puntos!$1:$1,0))),NA())</f>
        <v/>
      </c>
      <c r="AH251">
        <f>IFERROR(IF(INDEX(Aux_puntos!$A$2:$OJ$901,247,MATCH($B$2&amp;"|yI",Aux_puntos!$1:$1,0))="",NA(),INDEX(Aux_puntos!$A$2:$OJ$901,247,MATCH($B$2&amp;"|yI",Aux_puntos!$1:$1,0))),NA())</f>
        <v/>
      </c>
      <c r="AI251">
        <f>IFERROR(IF(INDEX(Aux_puntos!$A$2:$OJ$901,247,MATCH($B$2&amp;"|xN",Aux_puntos!$1:$1,0))="",NA(),INDEX(Aux_puntos!$A$2:$OJ$901,247,MATCH($B$2&amp;"|xN",Aux_puntos!$1:$1,0))),NA())</f>
        <v/>
      </c>
      <c r="AJ251">
        <f>IFERROR(IF(INDEX(Aux_puntos!$A$2:$OJ$901,247,MATCH($B$2&amp;"|yN",Aux_puntos!$1:$1,0))="",NA(),INDEX(Aux_puntos!$A$2:$OJ$901,247,MATCH($B$2&amp;"|yN",Aux_puntos!$1:$1,0))),NA())</f>
        <v/>
      </c>
    </row>
    <row r="252">
      <c r="AC252">
        <f>IFERROR(IF(INDEX(Aux_puntos!$A$2:$OJ$901,248,MATCH($B$2&amp;"|xK",Aux_puntos!$1:$1,0))="",NA(),INDEX(Aux_puntos!$A$2:$OJ$901,248,MATCH($B$2&amp;"|xK",Aux_puntos!$1:$1,0))),NA())</f>
        <v/>
      </c>
      <c r="AD252">
        <f>IFERROR(IF(INDEX(Aux_puntos!$A$2:$OJ$901,248,MATCH($B$2&amp;"|yK",Aux_puntos!$1:$1,0))="",NA(),INDEX(Aux_puntos!$A$2:$OJ$901,248,MATCH($B$2&amp;"|yK",Aux_puntos!$1:$1,0))),NA())</f>
        <v/>
      </c>
      <c r="AE252">
        <f>IFERROR(IF(INDEX(Aux_puntos!$A$2:$OJ$901,248,MATCH($B$2&amp;"|xC",Aux_puntos!$1:$1,0))="",NA(),INDEX(Aux_puntos!$A$2:$OJ$901,248,MATCH($B$2&amp;"|xC",Aux_puntos!$1:$1,0))),NA())</f>
        <v/>
      </c>
      <c r="AF252">
        <f>IFERROR(IF(INDEX(Aux_puntos!$A$2:$OJ$901,248,MATCH($B$2&amp;"|yC",Aux_puntos!$1:$1,0))="",NA(),INDEX(Aux_puntos!$A$2:$OJ$901,248,MATCH($B$2&amp;"|yC",Aux_puntos!$1:$1,0))),NA())</f>
        <v/>
      </c>
      <c r="AG252">
        <f>IFERROR(IF(INDEX(Aux_puntos!$A$2:$OJ$901,248,MATCH($B$2&amp;"|xI",Aux_puntos!$1:$1,0))="",NA(),INDEX(Aux_puntos!$A$2:$OJ$901,248,MATCH($B$2&amp;"|xI",Aux_puntos!$1:$1,0))),NA())</f>
        <v/>
      </c>
      <c r="AH252">
        <f>IFERROR(IF(INDEX(Aux_puntos!$A$2:$OJ$901,248,MATCH($B$2&amp;"|yI",Aux_puntos!$1:$1,0))="",NA(),INDEX(Aux_puntos!$A$2:$OJ$901,248,MATCH($B$2&amp;"|yI",Aux_puntos!$1:$1,0))),NA())</f>
        <v/>
      </c>
      <c r="AI252">
        <f>IFERROR(IF(INDEX(Aux_puntos!$A$2:$OJ$901,248,MATCH($B$2&amp;"|xN",Aux_puntos!$1:$1,0))="",NA(),INDEX(Aux_puntos!$A$2:$OJ$901,248,MATCH($B$2&amp;"|xN",Aux_puntos!$1:$1,0))),NA())</f>
        <v/>
      </c>
      <c r="AJ252">
        <f>IFERROR(IF(INDEX(Aux_puntos!$A$2:$OJ$901,248,MATCH($B$2&amp;"|yN",Aux_puntos!$1:$1,0))="",NA(),INDEX(Aux_puntos!$A$2:$OJ$901,248,MATCH($B$2&amp;"|yN",Aux_puntos!$1:$1,0))),NA())</f>
        <v/>
      </c>
    </row>
    <row r="253">
      <c r="AC253">
        <f>IFERROR(IF(INDEX(Aux_puntos!$A$2:$OJ$901,249,MATCH($B$2&amp;"|xK",Aux_puntos!$1:$1,0))="",NA(),INDEX(Aux_puntos!$A$2:$OJ$901,249,MATCH($B$2&amp;"|xK",Aux_puntos!$1:$1,0))),NA())</f>
        <v/>
      </c>
      <c r="AD253">
        <f>IFERROR(IF(INDEX(Aux_puntos!$A$2:$OJ$901,249,MATCH($B$2&amp;"|yK",Aux_puntos!$1:$1,0))="",NA(),INDEX(Aux_puntos!$A$2:$OJ$901,249,MATCH($B$2&amp;"|yK",Aux_puntos!$1:$1,0))),NA())</f>
        <v/>
      </c>
      <c r="AE253">
        <f>IFERROR(IF(INDEX(Aux_puntos!$A$2:$OJ$901,249,MATCH($B$2&amp;"|xC",Aux_puntos!$1:$1,0))="",NA(),INDEX(Aux_puntos!$A$2:$OJ$901,249,MATCH($B$2&amp;"|xC",Aux_puntos!$1:$1,0))),NA())</f>
        <v/>
      </c>
      <c r="AF253">
        <f>IFERROR(IF(INDEX(Aux_puntos!$A$2:$OJ$901,249,MATCH($B$2&amp;"|yC",Aux_puntos!$1:$1,0))="",NA(),INDEX(Aux_puntos!$A$2:$OJ$901,249,MATCH($B$2&amp;"|yC",Aux_puntos!$1:$1,0))),NA())</f>
        <v/>
      </c>
      <c r="AG253">
        <f>IFERROR(IF(INDEX(Aux_puntos!$A$2:$OJ$901,249,MATCH($B$2&amp;"|xI",Aux_puntos!$1:$1,0))="",NA(),INDEX(Aux_puntos!$A$2:$OJ$901,249,MATCH($B$2&amp;"|xI",Aux_puntos!$1:$1,0))),NA())</f>
        <v/>
      </c>
      <c r="AH253">
        <f>IFERROR(IF(INDEX(Aux_puntos!$A$2:$OJ$901,249,MATCH($B$2&amp;"|yI",Aux_puntos!$1:$1,0))="",NA(),INDEX(Aux_puntos!$A$2:$OJ$901,249,MATCH($B$2&amp;"|yI",Aux_puntos!$1:$1,0))),NA())</f>
        <v/>
      </c>
      <c r="AI253">
        <f>IFERROR(IF(INDEX(Aux_puntos!$A$2:$OJ$901,249,MATCH($B$2&amp;"|xN",Aux_puntos!$1:$1,0))="",NA(),INDEX(Aux_puntos!$A$2:$OJ$901,249,MATCH($B$2&amp;"|xN",Aux_puntos!$1:$1,0))),NA())</f>
        <v/>
      </c>
      <c r="AJ253">
        <f>IFERROR(IF(INDEX(Aux_puntos!$A$2:$OJ$901,249,MATCH($B$2&amp;"|yN",Aux_puntos!$1:$1,0))="",NA(),INDEX(Aux_puntos!$A$2:$OJ$901,249,MATCH($B$2&amp;"|yN",Aux_puntos!$1:$1,0))),NA())</f>
        <v/>
      </c>
    </row>
    <row r="254">
      <c r="AC254">
        <f>IFERROR(IF(INDEX(Aux_puntos!$A$2:$OJ$901,250,MATCH($B$2&amp;"|xK",Aux_puntos!$1:$1,0))="",NA(),INDEX(Aux_puntos!$A$2:$OJ$901,250,MATCH($B$2&amp;"|xK",Aux_puntos!$1:$1,0))),NA())</f>
        <v/>
      </c>
      <c r="AD254">
        <f>IFERROR(IF(INDEX(Aux_puntos!$A$2:$OJ$901,250,MATCH($B$2&amp;"|yK",Aux_puntos!$1:$1,0))="",NA(),INDEX(Aux_puntos!$A$2:$OJ$901,250,MATCH($B$2&amp;"|yK",Aux_puntos!$1:$1,0))),NA())</f>
        <v/>
      </c>
      <c r="AE254">
        <f>IFERROR(IF(INDEX(Aux_puntos!$A$2:$OJ$901,250,MATCH($B$2&amp;"|xC",Aux_puntos!$1:$1,0))="",NA(),INDEX(Aux_puntos!$A$2:$OJ$901,250,MATCH($B$2&amp;"|xC",Aux_puntos!$1:$1,0))),NA())</f>
        <v/>
      </c>
      <c r="AF254">
        <f>IFERROR(IF(INDEX(Aux_puntos!$A$2:$OJ$901,250,MATCH($B$2&amp;"|yC",Aux_puntos!$1:$1,0))="",NA(),INDEX(Aux_puntos!$A$2:$OJ$901,250,MATCH($B$2&amp;"|yC",Aux_puntos!$1:$1,0))),NA())</f>
        <v/>
      </c>
      <c r="AG254">
        <f>IFERROR(IF(INDEX(Aux_puntos!$A$2:$OJ$901,250,MATCH($B$2&amp;"|xI",Aux_puntos!$1:$1,0))="",NA(),INDEX(Aux_puntos!$A$2:$OJ$901,250,MATCH($B$2&amp;"|xI",Aux_puntos!$1:$1,0))),NA())</f>
        <v/>
      </c>
      <c r="AH254">
        <f>IFERROR(IF(INDEX(Aux_puntos!$A$2:$OJ$901,250,MATCH($B$2&amp;"|yI",Aux_puntos!$1:$1,0))="",NA(),INDEX(Aux_puntos!$A$2:$OJ$901,250,MATCH($B$2&amp;"|yI",Aux_puntos!$1:$1,0))),NA())</f>
        <v/>
      </c>
      <c r="AI254">
        <f>IFERROR(IF(INDEX(Aux_puntos!$A$2:$OJ$901,250,MATCH($B$2&amp;"|xN",Aux_puntos!$1:$1,0))="",NA(),INDEX(Aux_puntos!$A$2:$OJ$901,250,MATCH($B$2&amp;"|xN",Aux_puntos!$1:$1,0))),NA())</f>
        <v/>
      </c>
      <c r="AJ254">
        <f>IFERROR(IF(INDEX(Aux_puntos!$A$2:$OJ$901,250,MATCH($B$2&amp;"|yN",Aux_puntos!$1:$1,0))="",NA(),INDEX(Aux_puntos!$A$2:$OJ$901,250,MATCH($B$2&amp;"|yN",Aux_puntos!$1:$1,0))),NA())</f>
        <v/>
      </c>
    </row>
    <row r="255">
      <c r="AC255">
        <f>IFERROR(IF(INDEX(Aux_puntos!$A$2:$OJ$901,251,MATCH($B$2&amp;"|xK",Aux_puntos!$1:$1,0))="",NA(),INDEX(Aux_puntos!$A$2:$OJ$901,251,MATCH($B$2&amp;"|xK",Aux_puntos!$1:$1,0))),NA())</f>
        <v/>
      </c>
      <c r="AD255">
        <f>IFERROR(IF(INDEX(Aux_puntos!$A$2:$OJ$901,251,MATCH($B$2&amp;"|yK",Aux_puntos!$1:$1,0))="",NA(),INDEX(Aux_puntos!$A$2:$OJ$901,251,MATCH($B$2&amp;"|yK",Aux_puntos!$1:$1,0))),NA())</f>
        <v/>
      </c>
      <c r="AE255">
        <f>IFERROR(IF(INDEX(Aux_puntos!$A$2:$OJ$901,251,MATCH($B$2&amp;"|xC",Aux_puntos!$1:$1,0))="",NA(),INDEX(Aux_puntos!$A$2:$OJ$901,251,MATCH($B$2&amp;"|xC",Aux_puntos!$1:$1,0))),NA())</f>
        <v/>
      </c>
      <c r="AF255">
        <f>IFERROR(IF(INDEX(Aux_puntos!$A$2:$OJ$901,251,MATCH($B$2&amp;"|yC",Aux_puntos!$1:$1,0))="",NA(),INDEX(Aux_puntos!$A$2:$OJ$901,251,MATCH($B$2&amp;"|yC",Aux_puntos!$1:$1,0))),NA())</f>
        <v/>
      </c>
      <c r="AG255">
        <f>IFERROR(IF(INDEX(Aux_puntos!$A$2:$OJ$901,251,MATCH($B$2&amp;"|xI",Aux_puntos!$1:$1,0))="",NA(),INDEX(Aux_puntos!$A$2:$OJ$901,251,MATCH($B$2&amp;"|xI",Aux_puntos!$1:$1,0))),NA())</f>
        <v/>
      </c>
      <c r="AH255">
        <f>IFERROR(IF(INDEX(Aux_puntos!$A$2:$OJ$901,251,MATCH($B$2&amp;"|yI",Aux_puntos!$1:$1,0))="",NA(),INDEX(Aux_puntos!$A$2:$OJ$901,251,MATCH($B$2&amp;"|yI",Aux_puntos!$1:$1,0))),NA())</f>
        <v/>
      </c>
      <c r="AI255">
        <f>IFERROR(IF(INDEX(Aux_puntos!$A$2:$OJ$901,251,MATCH($B$2&amp;"|xN",Aux_puntos!$1:$1,0))="",NA(),INDEX(Aux_puntos!$A$2:$OJ$901,251,MATCH($B$2&amp;"|xN",Aux_puntos!$1:$1,0))),NA())</f>
        <v/>
      </c>
      <c r="AJ255">
        <f>IFERROR(IF(INDEX(Aux_puntos!$A$2:$OJ$901,251,MATCH($B$2&amp;"|yN",Aux_puntos!$1:$1,0))="",NA(),INDEX(Aux_puntos!$A$2:$OJ$901,251,MATCH($B$2&amp;"|yN",Aux_puntos!$1:$1,0))),NA())</f>
        <v/>
      </c>
    </row>
    <row r="256">
      <c r="AC256">
        <f>IFERROR(IF(INDEX(Aux_puntos!$A$2:$OJ$901,252,MATCH($B$2&amp;"|xK",Aux_puntos!$1:$1,0))="",NA(),INDEX(Aux_puntos!$A$2:$OJ$901,252,MATCH($B$2&amp;"|xK",Aux_puntos!$1:$1,0))),NA())</f>
        <v/>
      </c>
      <c r="AD256">
        <f>IFERROR(IF(INDEX(Aux_puntos!$A$2:$OJ$901,252,MATCH($B$2&amp;"|yK",Aux_puntos!$1:$1,0))="",NA(),INDEX(Aux_puntos!$A$2:$OJ$901,252,MATCH($B$2&amp;"|yK",Aux_puntos!$1:$1,0))),NA())</f>
        <v/>
      </c>
      <c r="AE256">
        <f>IFERROR(IF(INDEX(Aux_puntos!$A$2:$OJ$901,252,MATCH($B$2&amp;"|xC",Aux_puntos!$1:$1,0))="",NA(),INDEX(Aux_puntos!$A$2:$OJ$901,252,MATCH($B$2&amp;"|xC",Aux_puntos!$1:$1,0))),NA())</f>
        <v/>
      </c>
      <c r="AF256">
        <f>IFERROR(IF(INDEX(Aux_puntos!$A$2:$OJ$901,252,MATCH($B$2&amp;"|yC",Aux_puntos!$1:$1,0))="",NA(),INDEX(Aux_puntos!$A$2:$OJ$901,252,MATCH($B$2&amp;"|yC",Aux_puntos!$1:$1,0))),NA())</f>
        <v/>
      </c>
      <c r="AG256">
        <f>IFERROR(IF(INDEX(Aux_puntos!$A$2:$OJ$901,252,MATCH($B$2&amp;"|xI",Aux_puntos!$1:$1,0))="",NA(),INDEX(Aux_puntos!$A$2:$OJ$901,252,MATCH($B$2&amp;"|xI",Aux_puntos!$1:$1,0))),NA())</f>
        <v/>
      </c>
      <c r="AH256">
        <f>IFERROR(IF(INDEX(Aux_puntos!$A$2:$OJ$901,252,MATCH($B$2&amp;"|yI",Aux_puntos!$1:$1,0))="",NA(),INDEX(Aux_puntos!$A$2:$OJ$901,252,MATCH($B$2&amp;"|yI",Aux_puntos!$1:$1,0))),NA())</f>
        <v/>
      </c>
      <c r="AI256">
        <f>IFERROR(IF(INDEX(Aux_puntos!$A$2:$OJ$901,252,MATCH($B$2&amp;"|xN",Aux_puntos!$1:$1,0))="",NA(),INDEX(Aux_puntos!$A$2:$OJ$901,252,MATCH($B$2&amp;"|xN",Aux_puntos!$1:$1,0))),NA())</f>
        <v/>
      </c>
      <c r="AJ256">
        <f>IFERROR(IF(INDEX(Aux_puntos!$A$2:$OJ$901,252,MATCH($B$2&amp;"|yN",Aux_puntos!$1:$1,0))="",NA(),INDEX(Aux_puntos!$A$2:$OJ$901,252,MATCH($B$2&amp;"|yN",Aux_puntos!$1:$1,0))),NA())</f>
        <v/>
      </c>
    </row>
    <row r="257">
      <c r="AC257">
        <f>IFERROR(IF(INDEX(Aux_puntos!$A$2:$OJ$901,253,MATCH($B$2&amp;"|xK",Aux_puntos!$1:$1,0))="",NA(),INDEX(Aux_puntos!$A$2:$OJ$901,253,MATCH($B$2&amp;"|xK",Aux_puntos!$1:$1,0))),NA())</f>
        <v/>
      </c>
      <c r="AD257">
        <f>IFERROR(IF(INDEX(Aux_puntos!$A$2:$OJ$901,253,MATCH($B$2&amp;"|yK",Aux_puntos!$1:$1,0))="",NA(),INDEX(Aux_puntos!$A$2:$OJ$901,253,MATCH($B$2&amp;"|yK",Aux_puntos!$1:$1,0))),NA())</f>
        <v/>
      </c>
      <c r="AE257">
        <f>IFERROR(IF(INDEX(Aux_puntos!$A$2:$OJ$901,253,MATCH($B$2&amp;"|xC",Aux_puntos!$1:$1,0))="",NA(),INDEX(Aux_puntos!$A$2:$OJ$901,253,MATCH($B$2&amp;"|xC",Aux_puntos!$1:$1,0))),NA())</f>
        <v/>
      </c>
      <c r="AF257">
        <f>IFERROR(IF(INDEX(Aux_puntos!$A$2:$OJ$901,253,MATCH($B$2&amp;"|yC",Aux_puntos!$1:$1,0))="",NA(),INDEX(Aux_puntos!$A$2:$OJ$901,253,MATCH($B$2&amp;"|yC",Aux_puntos!$1:$1,0))),NA())</f>
        <v/>
      </c>
      <c r="AG257">
        <f>IFERROR(IF(INDEX(Aux_puntos!$A$2:$OJ$901,253,MATCH($B$2&amp;"|xI",Aux_puntos!$1:$1,0))="",NA(),INDEX(Aux_puntos!$A$2:$OJ$901,253,MATCH($B$2&amp;"|xI",Aux_puntos!$1:$1,0))),NA())</f>
        <v/>
      </c>
      <c r="AH257">
        <f>IFERROR(IF(INDEX(Aux_puntos!$A$2:$OJ$901,253,MATCH($B$2&amp;"|yI",Aux_puntos!$1:$1,0))="",NA(),INDEX(Aux_puntos!$A$2:$OJ$901,253,MATCH($B$2&amp;"|yI",Aux_puntos!$1:$1,0))),NA())</f>
        <v/>
      </c>
      <c r="AI257">
        <f>IFERROR(IF(INDEX(Aux_puntos!$A$2:$OJ$901,253,MATCH($B$2&amp;"|xN",Aux_puntos!$1:$1,0))="",NA(),INDEX(Aux_puntos!$A$2:$OJ$901,253,MATCH($B$2&amp;"|xN",Aux_puntos!$1:$1,0))),NA())</f>
        <v/>
      </c>
      <c r="AJ257">
        <f>IFERROR(IF(INDEX(Aux_puntos!$A$2:$OJ$901,253,MATCH($B$2&amp;"|yN",Aux_puntos!$1:$1,0))="",NA(),INDEX(Aux_puntos!$A$2:$OJ$901,253,MATCH($B$2&amp;"|yN",Aux_puntos!$1:$1,0))),NA())</f>
        <v/>
      </c>
    </row>
    <row r="258">
      <c r="AC258">
        <f>IFERROR(IF(INDEX(Aux_puntos!$A$2:$OJ$901,254,MATCH($B$2&amp;"|xK",Aux_puntos!$1:$1,0))="",NA(),INDEX(Aux_puntos!$A$2:$OJ$901,254,MATCH($B$2&amp;"|xK",Aux_puntos!$1:$1,0))),NA())</f>
        <v/>
      </c>
      <c r="AD258">
        <f>IFERROR(IF(INDEX(Aux_puntos!$A$2:$OJ$901,254,MATCH($B$2&amp;"|yK",Aux_puntos!$1:$1,0))="",NA(),INDEX(Aux_puntos!$A$2:$OJ$901,254,MATCH($B$2&amp;"|yK",Aux_puntos!$1:$1,0))),NA())</f>
        <v/>
      </c>
      <c r="AE258">
        <f>IFERROR(IF(INDEX(Aux_puntos!$A$2:$OJ$901,254,MATCH($B$2&amp;"|xC",Aux_puntos!$1:$1,0))="",NA(),INDEX(Aux_puntos!$A$2:$OJ$901,254,MATCH($B$2&amp;"|xC",Aux_puntos!$1:$1,0))),NA())</f>
        <v/>
      </c>
      <c r="AF258">
        <f>IFERROR(IF(INDEX(Aux_puntos!$A$2:$OJ$901,254,MATCH($B$2&amp;"|yC",Aux_puntos!$1:$1,0))="",NA(),INDEX(Aux_puntos!$A$2:$OJ$901,254,MATCH($B$2&amp;"|yC",Aux_puntos!$1:$1,0))),NA())</f>
        <v/>
      </c>
      <c r="AG258">
        <f>IFERROR(IF(INDEX(Aux_puntos!$A$2:$OJ$901,254,MATCH($B$2&amp;"|xI",Aux_puntos!$1:$1,0))="",NA(),INDEX(Aux_puntos!$A$2:$OJ$901,254,MATCH($B$2&amp;"|xI",Aux_puntos!$1:$1,0))),NA())</f>
        <v/>
      </c>
      <c r="AH258">
        <f>IFERROR(IF(INDEX(Aux_puntos!$A$2:$OJ$901,254,MATCH($B$2&amp;"|yI",Aux_puntos!$1:$1,0))="",NA(),INDEX(Aux_puntos!$A$2:$OJ$901,254,MATCH($B$2&amp;"|yI",Aux_puntos!$1:$1,0))),NA())</f>
        <v/>
      </c>
      <c r="AI258">
        <f>IFERROR(IF(INDEX(Aux_puntos!$A$2:$OJ$901,254,MATCH($B$2&amp;"|xN",Aux_puntos!$1:$1,0))="",NA(),INDEX(Aux_puntos!$A$2:$OJ$901,254,MATCH($B$2&amp;"|xN",Aux_puntos!$1:$1,0))),NA())</f>
        <v/>
      </c>
      <c r="AJ258">
        <f>IFERROR(IF(INDEX(Aux_puntos!$A$2:$OJ$901,254,MATCH($B$2&amp;"|yN",Aux_puntos!$1:$1,0))="",NA(),INDEX(Aux_puntos!$A$2:$OJ$901,254,MATCH($B$2&amp;"|yN",Aux_puntos!$1:$1,0))),NA())</f>
        <v/>
      </c>
    </row>
    <row r="259">
      <c r="AC259">
        <f>IFERROR(IF(INDEX(Aux_puntos!$A$2:$OJ$901,255,MATCH($B$2&amp;"|xK",Aux_puntos!$1:$1,0))="",NA(),INDEX(Aux_puntos!$A$2:$OJ$901,255,MATCH($B$2&amp;"|xK",Aux_puntos!$1:$1,0))),NA())</f>
        <v/>
      </c>
      <c r="AD259">
        <f>IFERROR(IF(INDEX(Aux_puntos!$A$2:$OJ$901,255,MATCH($B$2&amp;"|yK",Aux_puntos!$1:$1,0))="",NA(),INDEX(Aux_puntos!$A$2:$OJ$901,255,MATCH($B$2&amp;"|yK",Aux_puntos!$1:$1,0))),NA())</f>
        <v/>
      </c>
      <c r="AE259">
        <f>IFERROR(IF(INDEX(Aux_puntos!$A$2:$OJ$901,255,MATCH($B$2&amp;"|xC",Aux_puntos!$1:$1,0))="",NA(),INDEX(Aux_puntos!$A$2:$OJ$901,255,MATCH($B$2&amp;"|xC",Aux_puntos!$1:$1,0))),NA())</f>
        <v/>
      </c>
      <c r="AF259">
        <f>IFERROR(IF(INDEX(Aux_puntos!$A$2:$OJ$901,255,MATCH($B$2&amp;"|yC",Aux_puntos!$1:$1,0))="",NA(),INDEX(Aux_puntos!$A$2:$OJ$901,255,MATCH($B$2&amp;"|yC",Aux_puntos!$1:$1,0))),NA())</f>
        <v/>
      </c>
      <c r="AG259">
        <f>IFERROR(IF(INDEX(Aux_puntos!$A$2:$OJ$901,255,MATCH($B$2&amp;"|xI",Aux_puntos!$1:$1,0))="",NA(),INDEX(Aux_puntos!$A$2:$OJ$901,255,MATCH($B$2&amp;"|xI",Aux_puntos!$1:$1,0))),NA())</f>
        <v/>
      </c>
      <c r="AH259">
        <f>IFERROR(IF(INDEX(Aux_puntos!$A$2:$OJ$901,255,MATCH($B$2&amp;"|yI",Aux_puntos!$1:$1,0))="",NA(),INDEX(Aux_puntos!$A$2:$OJ$901,255,MATCH($B$2&amp;"|yI",Aux_puntos!$1:$1,0))),NA())</f>
        <v/>
      </c>
      <c r="AI259">
        <f>IFERROR(IF(INDEX(Aux_puntos!$A$2:$OJ$901,255,MATCH($B$2&amp;"|xN",Aux_puntos!$1:$1,0))="",NA(),INDEX(Aux_puntos!$A$2:$OJ$901,255,MATCH($B$2&amp;"|xN",Aux_puntos!$1:$1,0))),NA())</f>
        <v/>
      </c>
      <c r="AJ259">
        <f>IFERROR(IF(INDEX(Aux_puntos!$A$2:$OJ$901,255,MATCH($B$2&amp;"|yN",Aux_puntos!$1:$1,0))="",NA(),INDEX(Aux_puntos!$A$2:$OJ$901,255,MATCH($B$2&amp;"|yN",Aux_puntos!$1:$1,0))),NA())</f>
        <v/>
      </c>
    </row>
    <row r="260">
      <c r="AC260">
        <f>IFERROR(IF(INDEX(Aux_puntos!$A$2:$OJ$901,256,MATCH($B$2&amp;"|xK",Aux_puntos!$1:$1,0))="",NA(),INDEX(Aux_puntos!$A$2:$OJ$901,256,MATCH($B$2&amp;"|xK",Aux_puntos!$1:$1,0))),NA())</f>
        <v/>
      </c>
      <c r="AD260">
        <f>IFERROR(IF(INDEX(Aux_puntos!$A$2:$OJ$901,256,MATCH($B$2&amp;"|yK",Aux_puntos!$1:$1,0))="",NA(),INDEX(Aux_puntos!$A$2:$OJ$901,256,MATCH($B$2&amp;"|yK",Aux_puntos!$1:$1,0))),NA())</f>
        <v/>
      </c>
      <c r="AE260">
        <f>IFERROR(IF(INDEX(Aux_puntos!$A$2:$OJ$901,256,MATCH($B$2&amp;"|xC",Aux_puntos!$1:$1,0))="",NA(),INDEX(Aux_puntos!$A$2:$OJ$901,256,MATCH($B$2&amp;"|xC",Aux_puntos!$1:$1,0))),NA())</f>
        <v/>
      </c>
      <c r="AF260">
        <f>IFERROR(IF(INDEX(Aux_puntos!$A$2:$OJ$901,256,MATCH($B$2&amp;"|yC",Aux_puntos!$1:$1,0))="",NA(),INDEX(Aux_puntos!$A$2:$OJ$901,256,MATCH($B$2&amp;"|yC",Aux_puntos!$1:$1,0))),NA())</f>
        <v/>
      </c>
      <c r="AG260">
        <f>IFERROR(IF(INDEX(Aux_puntos!$A$2:$OJ$901,256,MATCH($B$2&amp;"|xI",Aux_puntos!$1:$1,0))="",NA(),INDEX(Aux_puntos!$A$2:$OJ$901,256,MATCH($B$2&amp;"|xI",Aux_puntos!$1:$1,0))),NA())</f>
        <v/>
      </c>
      <c r="AH260">
        <f>IFERROR(IF(INDEX(Aux_puntos!$A$2:$OJ$901,256,MATCH($B$2&amp;"|yI",Aux_puntos!$1:$1,0))="",NA(),INDEX(Aux_puntos!$A$2:$OJ$901,256,MATCH($B$2&amp;"|yI",Aux_puntos!$1:$1,0))),NA())</f>
        <v/>
      </c>
      <c r="AI260">
        <f>IFERROR(IF(INDEX(Aux_puntos!$A$2:$OJ$901,256,MATCH($B$2&amp;"|xN",Aux_puntos!$1:$1,0))="",NA(),INDEX(Aux_puntos!$A$2:$OJ$901,256,MATCH($B$2&amp;"|xN",Aux_puntos!$1:$1,0))),NA())</f>
        <v/>
      </c>
      <c r="AJ260">
        <f>IFERROR(IF(INDEX(Aux_puntos!$A$2:$OJ$901,256,MATCH($B$2&amp;"|yN",Aux_puntos!$1:$1,0))="",NA(),INDEX(Aux_puntos!$A$2:$OJ$901,256,MATCH($B$2&amp;"|yN",Aux_puntos!$1:$1,0))),NA())</f>
        <v/>
      </c>
    </row>
    <row r="261">
      <c r="AC261">
        <f>IFERROR(IF(INDEX(Aux_puntos!$A$2:$OJ$901,257,MATCH($B$2&amp;"|xK",Aux_puntos!$1:$1,0))="",NA(),INDEX(Aux_puntos!$A$2:$OJ$901,257,MATCH($B$2&amp;"|xK",Aux_puntos!$1:$1,0))),NA())</f>
        <v/>
      </c>
      <c r="AD261">
        <f>IFERROR(IF(INDEX(Aux_puntos!$A$2:$OJ$901,257,MATCH($B$2&amp;"|yK",Aux_puntos!$1:$1,0))="",NA(),INDEX(Aux_puntos!$A$2:$OJ$901,257,MATCH($B$2&amp;"|yK",Aux_puntos!$1:$1,0))),NA())</f>
        <v/>
      </c>
      <c r="AE261">
        <f>IFERROR(IF(INDEX(Aux_puntos!$A$2:$OJ$901,257,MATCH($B$2&amp;"|xC",Aux_puntos!$1:$1,0))="",NA(),INDEX(Aux_puntos!$A$2:$OJ$901,257,MATCH($B$2&amp;"|xC",Aux_puntos!$1:$1,0))),NA())</f>
        <v/>
      </c>
      <c r="AF261">
        <f>IFERROR(IF(INDEX(Aux_puntos!$A$2:$OJ$901,257,MATCH($B$2&amp;"|yC",Aux_puntos!$1:$1,0))="",NA(),INDEX(Aux_puntos!$A$2:$OJ$901,257,MATCH($B$2&amp;"|yC",Aux_puntos!$1:$1,0))),NA())</f>
        <v/>
      </c>
      <c r="AG261">
        <f>IFERROR(IF(INDEX(Aux_puntos!$A$2:$OJ$901,257,MATCH($B$2&amp;"|xI",Aux_puntos!$1:$1,0))="",NA(),INDEX(Aux_puntos!$A$2:$OJ$901,257,MATCH($B$2&amp;"|xI",Aux_puntos!$1:$1,0))),NA())</f>
        <v/>
      </c>
      <c r="AH261">
        <f>IFERROR(IF(INDEX(Aux_puntos!$A$2:$OJ$901,257,MATCH($B$2&amp;"|yI",Aux_puntos!$1:$1,0))="",NA(),INDEX(Aux_puntos!$A$2:$OJ$901,257,MATCH($B$2&amp;"|yI",Aux_puntos!$1:$1,0))),NA())</f>
        <v/>
      </c>
      <c r="AI261">
        <f>IFERROR(IF(INDEX(Aux_puntos!$A$2:$OJ$901,257,MATCH($B$2&amp;"|xN",Aux_puntos!$1:$1,0))="",NA(),INDEX(Aux_puntos!$A$2:$OJ$901,257,MATCH($B$2&amp;"|xN",Aux_puntos!$1:$1,0))),NA())</f>
        <v/>
      </c>
      <c r="AJ261">
        <f>IFERROR(IF(INDEX(Aux_puntos!$A$2:$OJ$901,257,MATCH($B$2&amp;"|yN",Aux_puntos!$1:$1,0))="",NA(),INDEX(Aux_puntos!$A$2:$OJ$901,257,MATCH($B$2&amp;"|yN",Aux_puntos!$1:$1,0))),NA())</f>
        <v/>
      </c>
    </row>
    <row r="262">
      <c r="AC262">
        <f>IFERROR(IF(INDEX(Aux_puntos!$A$2:$OJ$901,258,MATCH($B$2&amp;"|xK",Aux_puntos!$1:$1,0))="",NA(),INDEX(Aux_puntos!$A$2:$OJ$901,258,MATCH($B$2&amp;"|xK",Aux_puntos!$1:$1,0))),NA())</f>
        <v/>
      </c>
      <c r="AD262">
        <f>IFERROR(IF(INDEX(Aux_puntos!$A$2:$OJ$901,258,MATCH($B$2&amp;"|yK",Aux_puntos!$1:$1,0))="",NA(),INDEX(Aux_puntos!$A$2:$OJ$901,258,MATCH($B$2&amp;"|yK",Aux_puntos!$1:$1,0))),NA())</f>
        <v/>
      </c>
      <c r="AE262">
        <f>IFERROR(IF(INDEX(Aux_puntos!$A$2:$OJ$901,258,MATCH($B$2&amp;"|xC",Aux_puntos!$1:$1,0))="",NA(),INDEX(Aux_puntos!$A$2:$OJ$901,258,MATCH($B$2&amp;"|xC",Aux_puntos!$1:$1,0))),NA())</f>
        <v/>
      </c>
      <c r="AF262">
        <f>IFERROR(IF(INDEX(Aux_puntos!$A$2:$OJ$901,258,MATCH($B$2&amp;"|yC",Aux_puntos!$1:$1,0))="",NA(),INDEX(Aux_puntos!$A$2:$OJ$901,258,MATCH($B$2&amp;"|yC",Aux_puntos!$1:$1,0))),NA())</f>
        <v/>
      </c>
      <c r="AG262">
        <f>IFERROR(IF(INDEX(Aux_puntos!$A$2:$OJ$901,258,MATCH($B$2&amp;"|xI",Aux_puntos!$1:$1,0))="",NA(),INDEX(Aux_puntos!$A$2:$OJ$901,258,MATCH($B$2&amp;"|xI",Aux_puntos!$1:$1,0))),NA())</f>
        <v/>
      </c>
      <c r="AH262">
        <f>IFERROR(IF(INDEX(Aux_puntos!$A$2:$OJ$901,258,MATCH($B$2&amp;"|yI",Aux_puntos!$1:$1,0))="",NA(),INDEX(Aux_puntos!$A$2:$OJ$901,258,MATCH($B$2&amp;"|yI",Aux_puntos!$1:$1,0))),NA())</f>
        <v/>
      </c>
      <c r="AI262">
        <f>IFERROR(IF(INDEX(Aux_puntos!$A$2:$OJ$901,258,MATCH($B$2&amp;"|xN",Aux_puntos!$1:$1,0))="",NA(),INDEX(Aux_puntos!$A$2:$OJ$901,258,MATCH($B$2&amp;"|xN",Aux_puntos!$1:$1,0))),NA())</f>
        <v/>
      </c>
      <c r="AJ262">
        <f>IFERROR(IF(INDEX(Aux_puntos!$A$2:$OJ$901,258,MATCH($B$2&amp;"|yN",Aux_puntos!$1:$1,0))="",NA(),INDEX(Aux_puntos!$A$2:$OJ$901,258,MATCH($B$2&amp;"|yN",Aux_puntos!$1:$1,0))),NA())</f>
        <v/>
      </c>
    </row>
    <row r="263">
      <c r="AC263">
        <f>IFERROR(IF(INDEX(Aux_puntos!$A$2:$OJ$901,259,MATCH($B$2&amp;"|xK",Aux_puntos!$1:$1,0))="",NA(),INDEX(Aux_puntos!$A$2:$OJ$901,259,MATCH($B$2&amp;"|xK",Aux_puntos!$1:$1,0))),NA())</f>
        <v/>
      </c>
      <c r="AD263">
        <f>IFERROR(IF(INDEX(Aux_puntos!$A$2:$OJ$901,259,MATCH($B$2&amp;"|yK",Aux_puntos!$1:$1,0))="",NA(),INDEX(Aux_puntos!$A$2:$OJ$901,259,MATCH($B$2&amp;"|yK",Aux_puntos!$1:$1,0))),NA())</f>
        <v/>
      </c>
      <c r="AE263">
        <f>IFERROR(IF(INDEX(Aux_puntos!$A$2:$OJ$901,259,MATCH($B$2&amp;"|xC",Aux_puntos!$1:$1,0))="",NA(),INDEX(Aux_puntos!$A$2:$OJ$901,259,MATCH($B$2&amp;"|xC",Aux_puntos!$1:$1,0))),NA())</f>
        <v/>
      </c>
      <c r="AF263">
        <f>IFERROR(IF(INDEX(Aux_puntos!$A$2:$OJ$901,259,MATCH($B$2&amp;"|yC",Aux_puntos!$1:$1,0))="",NA(),INDEX(Aux_puntos!$A$2:$OJ$901,259,MATCH($B$2&amp;"|yC",Aux_puntos!$1:$1,0))),NA())</f>
        <v/>
      </c>
      <c r="AG263">
        <f>IFERROR(IF(INDEX(Aux_puntos!$A$2:$OJ$901,259,MATCH($B$2&amp;"|xI",Aux_puntos!$1:$1,0))="",NA(),INDEX(Aux_puntos!$A$2:$OJ$901,259,MATCH($B$2&amp;"|xI",Aux_puntos!$1:$1,0))),NA())</f>
        <v/>
      </c>
      <c r="AH263">
        <f>IFERROR(IF(INDEX(Aux_puntos!$A$2:$OJ$901,259,MATCH($B$2&amp;"|yI",Aux_puntos!$1:$1,0))="",NA(),INDEX(Aux_puntos!$A$2:$OJ$901,259,MATCH($B$2&amp;"|yI",Aux_puntos!$1:$1,0))),NA())</f>
        <v/>
      </c>
      <c r="AI263">
        <f>IFERROR(IF(INDEX(Aux_puntos!$A$2:$OJ$901,259,MATCH($B$2&amp;"|xN",Aux_puntos!$1:$1,0))="",NA(),INDEX(Aux_puntos!$A$2:$OJ$901,259,MATCH($B$2&amp;"|xN",Aux_puntos!$1:$1,0))),NA())</f>
        <v/>
      </c>
      <c r="AJ263">
        <f>IFERROR(IF(INDEX(Aux_puntos!$A$2:$OJ$901,259,MATCH($B$2&amp;"|yN",Aux_puntos!$1:$1,0))="",NA(),INDEX(Aux_puntos!$A$2:$OJ$901,259,MATCH($B$2&amp;"|yN",Aux_puntos!$1:$1,0))),NA())</f>
        <v/>
      </c>
    </row>
    <row r="264">
      <c r="AC264">
        <f>IFERROR(IF(INDEX(Aux_puntos!$A$2:$OJ$901,260,MATCH($B$2&amp;"|xK",Aux_puntos!$1:$1,0))="",NA(),INDEX(Aux_puntos!$A$2:$OJ$901,260,MATCH($B$2&amp;"|xK",Aux_puntos!$1:$1,0))),NA())</f>
        <v/>
      </c>
      <c r="AD264">
        <f>IFERROR(IF(INDEX(Aux_puntos!$A$2:$OJ$901,260,MATCH($B$2&amp;"|yK",Aux_puntos!$1:$1,0))="",NA(),INDEX(Aux_puntos!$A$2:$OJ$901,260,MATCH($B$2&amp;"|yK",Aux_puntos!$1:$1,0))),NA())</f>
        <v/>
      </c>
      <c r="AE264">
        <f>IFERROR(IF(INDEX(Aux_puntos!$A$2:$OJ$901,260,MATCH($B$2&amp;"|xC",Aux_puntos!$1:$1,0))="",NA(),INDEX(Aux_puntos!$A$2:$OJ$901,260,MATCH($B$2&amp;"|xC",Aux_puntos!$1:$1,0))),NA())</f>
        <v/>
      </c>
      <c r="AF264">
        <f>IFERROR(IF(INDEX(Aux_puntos!$A$2:$OJ$901,260,MATCH($B$2&amp;"|yC",Aux_puntos!$1:$1,0))="",NA(),INDEX(Aux_puntos!$A$2:$OJ$901,260,MATCH($B$2&amp;"|yC",Aux_puntos!$1:$1,0))),NA())</f>
        <v/>
      </c>
      <c r="AG264">
        <f>IFERROR(IF(INDEX(Aux_puntos!$A$2:$OJ$901,260,MATCH($B$2&amp;"|xI",Aux_puntos!$1:$1,0))="",NA(),INDEX(Aux_puntos!$A$2:$OJ$901,260,MATCH($B$2&amp;"|xI",Aux_puntos!$1:$1,0))),NA())</f>
        <v/>
      </c>
      <c r="AH264">
        <f>IFERROR(IF(INDEX(Aux_puntos!$A$2:$OJ$901,260,MATCH($B$2&amp;"|yI",Aux_puntos!$1:$1,0))="",NA(),INDEX(Aux_puntos!$A$2:$OJ$901,260,MATCH($B$2&amp;"|yI",Aux_puntos!$1:$1,0))),NA())</f>
        <v/>
      </c>
      <c r="AI264">
        <f>IFERROR(IF(INDEX(Aux_puntos!$A$2:$OJ$901,260,MATCH($B$2&amp;"|xN",Aux_puntos!$1:$1,0))="",NA(),INDEX(Aux_puntos!$A$2:$OJ$901,260,MATCH($B$2&amp;"|xN",Aux_puntos!$1:$1,0))),NA())</f>
        <v/>
      </c>
      <c r="AJ264">
        <f>IFERROR(IF(INDEX(Aux_puntos!$A$2:$OJ$901,260,MATCH($B$2&amp;"|yN",Aux_puntos!$1:$1,0))="",NA(),INDEX(Aux_puntos!$A$2:$OJ$901,260,MATCH($B$2&amp;"|yN",Aux_puntos!$1:$1,0))),NA())</f>
        <v/>
      </c>
    </row>
    <row r="265">
      <c r="AC265">
        <f>IFERROR(IF(INDEX(Aux_puntos!$A$2:$OJ$901,261,MATCH($B$2&amp;"|xK",Aux_puntos!$1:$1,0))="",NA(),INDEX(Aux_puntos!$A$2:$OJ$901,261,MATCH($B$2&amp;"|xK",Aux_puntos!$1:$1,0))),NA())</f>
        <v/>
      </c>
      <c r="AD265">
        <f>IFERROR(IF(INDEX(Aux_puntos!$A$2:$OJ$901,261,MATCH($B$2&amp;"|yK",Aux_puntos!$1:$1,0))="",NA(),INDEX(Aux_puntos!$A$2:$OJ$901,261,MATCH($B$2&amp;"|yK",Aux_puntos!$1:$1,0))),NA())</f>
        <v/>
      </c>
      <c r="AE265">
        <f>IFERROR(IF(INDEX(Aux_puntos!$A$2:$OJ$901,261,MATCH($B$2&amp;"|xC",Aux_puntos!$1:$1,0))="",NA(),INDEX(Aux_puntos!$A$2:$OJ$901,261,MATCH($B$2&amp;"|xC",Aux_puntos!$1:$1,0))),NA())</f>
        <v/>
      </c>
      <c r="AF265">
        <f>IFERROR(IF(INDEX(Aux_puntos!$A$2:$OJ$901,261,MATCH($B$2&amp;"|yC",Aux_puntos!$1:$1,0))="",NA(),INDEX(Aux_puntos!$A$2:$OJ$901,261,MATCH($B$2&amp;"|yC",Aux_puntos!$1:$1,0))),NA())</f>
        <v/>
      </c>
      <c r="AG265">
        <f>IFERROR(IF(INDEX(Aux_puntos!$A$2:$OJ$901,261,MATCH($B$2&amp;"|xI",Aux_puntos!$1:$1,0))="",NA(),INDEX(Aux_puntos!$A$2:$OJ$901,261,MATCH($B$2&amp;"|xI",Aux_puntos!$1:$1,0))),NA())</f>
        <v/>
      </c>
      <c r="AH265">
        <f>IFERROR(IF(INDEX(Aux_puntos!$A$2:$OJ$901,261,MATCH($B$2&amp;"|yI",Aux_puntos!$1:$1,0))="",NA(),INDEX(Aux_puntos!$A$2:$OJ$901,261,MATCH($B$2&amp;"|yI",Aux_puntos!$1:$1,0))),NA())</f>
        <v/>
      </c>
      <c r="AI265">
        <f>IFERROR(IF(INDEX(Aux_puntos!$A$2:$OJ$901,261,MATCH($B$2&amp;"|xN",Aux_puntos!$1:$1,0))="",NA(),INDEX(Aux_puntos!$A$2:$OJ$901,261,MATCH($B$2&amp;"|xN",Aux_puntos!$1:$1,0))),NA())</f>
        <v/>
      </c>
      <c r="AJ265">
        <f>IFERROR(IF(INDEX(Aux_puntos!$A$2:$OJ$901,261,MATCH($B$2&amp;"|yN",Aux_puntos!$1:$1,0))="",NA(),INDEX(Aux_puntos!$A$2:$OJ$901,261,MATCH($B$2&amp;"|yN",Aux_puntos!$1:$1,0))),NA())</f>
        <v/>
      </c>
    </row>
    <row r="266">
      <c r="AC266">
        <f>IFERROR(IF(INDEX(Aux_puntos!$A$2:$OJ$901,262,MATCH($B$2&amp;"|xK",Aux_puntos!$1:$1,0))="",NA(),INDEX(Aux_puntos!$A$2:$OJ$901,262,MATCH($B$2&amp;"|xK",Aux_puntos!$1:$1,0))),NA())</f>
        <v/>
      </c>
      <c r="AD266">
        <f>IFERROR(IF(INDEX(Aux_puntos!$A$2:$OJ$901,262,MATCH($B$2&amp;"|yK",Aux_puntos!$1:$1,0))="",NA(),INDEX(Aux_puntos!$A$2:$OJ$901,262,MATCH($B$2&amp;"|yK",Aux_puntos!$1:$1,0))),NA())</f>
        <v/>
      </c>
      <c r="AE266">
        <f>IFERROR(IF(INDEX(Aux_puntos!$A$2:$OJ$901,262,MATCH($B$2&amp;"|xC",Aux_puntos!$1:$1,0))="",NA(),INDEX(Aux_puntos!$A$2:$OJ$901,262,MATCH($B$2&amp;"|xC",Aux_puntos!$1:$1,0))),NA())</f>
        <v/>
      </c>
      <c r="AF266">
        <f>IFERROR(IF(INDEX(Aux_puntos!$A$2:$OJ$901,262,MATCH($B$2&amp;"|yC",Aux_puntos!$1:$1,0))="",NA(),INDEX(Aux_puntos!$A$2:$OJ$901,262,MATCH($B$2&amp;"|yC",Aux_puntos!$1:$1,0))),NA())</f>
        <v/>
      </c>
      <c r="AG266">
        <f>IFERROR(IF(INDEX(Aux_puntos!$A$2:$OJ$901,262,MATCH($B$2&amp;"|xI",Aux_puntos!$1:$1,0))="",NA(),INDEX(Aux_puntos!$A$2:$OJ$901,262,MATCH($B$2&amp;"|xI",Aux_puntos!$1:$1,0))),NA())</f>
        <v/>
      </c>
      <c r="AH266">
        <f>IFERROR(IF(INDEX(Aux_puntos!$A$2:$OJ$901,262,MATCH($B$2&amp;"|yI",Aux_puntos!$1:$1,0))="",NA(),INDEX(Aux_puntos!$A$2:$OJ$901,262,MATCH($B$2&amp;"|yI",Aux_puntos!$1:$1,0))),NA())</f>
        <v/>
      </c>
      <c r="AI266">
        <f>IFERROR(IF(INDEX(Aux_puntos!$A$2:$OJ$901,262,MATCH($B$2&amp;"|xN",Aux_puntos!$1:$1,0))="",NA(),INDEX(Aux_puntos!$A$2:$OJ$901,262,MATCH($B$2&amp;"|xN",Aux_puntos!$1:$1,0))),NA())</f>
        <v/>
      </c>
      <c r="AJ266">
        <f>IFERROR(IF(INDEX(Aux_puntos!$A$2:$OJ$901,262,MATCH($B$2&amp;"|yN",Aux_puntos!$1:$1,0))="",NA(),INDEX(Aux_puntos!$A$2:$OJ$901,262,MATCH($B$2&amp;"|yN",Aux_puntos!$1:$1,0))),NA())</f>
        <v/>
      </c>
    </row>
    <row r="267">
      <c r="AC267">
        <f>IFERROR(IF(INDEX(Aux_puntos!$A$2:$OJ$901,263,MATCH($B$2&amp;"|xK",Aux_puntos!$1:$1,0))="",NA(),INDEX(Aux_puntos!$A$2:$OJ$901,263,MATCH($B$2&amp;"|xK",Aux_puntos!$1:$1,0))),NA())</f>
        <v/>
      </c>
      <c r="AD267">
        <f>IFERROR(IF(INDEX(Aux_puntos!$A$2:$OJ$901,263,MATCH($B$2&amp;"|yK",Aux_puntos!$1:$1,0))="",NA(),INDEX(Aux_puntos!$A$2:$OJ$901,263,MATCH($B$2&amp;"|yK",Aux_puntos!$1:$1,0))),NA())</f>
        <v/>
      </c>
      <c r="AE267">
        <f>IFERROR(IF(INDEX(Aux_puntos!$A$2:$OJ$901,263,MATCH($B$2&amp;"|xC",Aux_puntos!$1:$1,0))="",NA(),INDEX(Aux_puntos!$A$2:$OJ$901,263,MATCH($B$2&amp;"|xC",Aux_puntos!$1:$1,0))),NA())</f>
        <v/>
      </c>
      <c r="AF267">
        <f>IFERROR(IF(INDEX(Aux_puntos!$A$2:$OJ$901,263,MATCH($B$2&amp;"|yC",Aux_puntos!$1:$1,0))="",NA(),INDEX(Aux_puntos!$A$2:$OJ$901,263,MATCH($B$2&amp;"|yC",Aux_puntos!$1:$1,0))),NA())</f>
        <v/>
      </c>
      <c r="AG267">
        <f>IFERROR(IF(INDEX(Aux_puntos!$A$2:$OJ$901,263,MATCH($B$2&amp;"|xI",Aux_puntos!$1:$1,0))="",NA(),INDEX(Aux_puntos!$A$2:$OJ$901,263,MATCH($B$2&amp;"|xI",Aux_puntos!$1:$1,0))),NA())</f>
        <v/>
      </c>
      <c r="AH267">
        <f>IFERROR(IF(INDEX(Aux_puntos!$A$2:$OJ$901,263,MATCH($B$2&amp;"|yI",Aux_puntos!$1:$1,0))="",NA(),INDEX(Aux_puntos!$A$2:$OJ$901,263,MATCH($B$2&amp;"|yI",Aux_puntos!$1:$1,0))),NA())</f>
        <v/>
      </c>
      <c r="AI267">
        <f>IFERROR(IF(INDEX(Aux_puntos!$A$2:$OJ$901,263,MATCH($B$2&amp;"|xN",Aux_puntos!$1:$1,0))="",NA(),INDEX(Aux_puntos!$A$2:$OJ$901,263,MATCH($B$2&amp;"|xN",Aux_puntos!$1:$1,0))),NA())</f>
        <v/>
      </c>
      <c r="AJ267">
        <f>IFERROR(IF(INDEX(Aux_puntos!$A$2:$OJ$901,263,MATCH($B$2&amp;"|yN",Aux_puntos!$1:$1,0))="",NA(),INDEX(Aux_puntos!$A$2:$OJ$901,263,MATCH($B$2&amp;"|yN",Aux_puntos!$1:$1,0))),NA())</f>
        <v/>
      </c>
    </row>
    <row r="268">
      <c r="AC268">
        <f>IFERROR(IF(INDEX(Aux_puntos!$A$2:$OJ$901,264,MATCH($B$2&amp;"|xK",Aux_puntos!$1:$1,0))="",NA(),INDEX(Aux_puntos!$A$2:$OJ$901,264,MATCH($B$2&amp;"|xK",Aux_puntos!$1:$1,0))),NA())</f>
        <v/>
      </c>
      <c r="AD268">
        <f>IFERROR(IF(INDEX(Aux_puntos!$A$2:$OJ$901,264,MATCH($B$2&amp;"|yK",Aux_puntos!$1:$1,0))="",NA(),INDEX(Aux_puntos!$A$2:$OJ$901,264,MATCH($B$2&amp;"|yK",Aux_puntos!$1:$1,0))),NA())</f>
        <v/>
      </c>
      <c r="AE268">
        <f>IFERROR(IF(INDEX(Aux_puntos!$A$2:$OJ$901,264,MATCH($B$2&amp;"|xC",Aux_puntos!$1:$1,0))="",NA(),INDEX(Aux_puntos!$A$2:$OJ$901,264,MATCH($B$2&amp;"|xC",Aux_puntos!$1:$1,0))),NA())</f>
        <v/>
      </c>
      <c r="AF268">
        <f>IFERROR(IF(INDEX(Aux_puntos!$A$2:$OJ$901,264,MATCH($B$2&amp;"|yC",Aux_puntos!$1:$1,0))="",NA(),INDEX(Aux_puntos!$A$2:$OJ$901,264,MATCH($B$2&amp;"|yC",Aux_puntos!$1:$1,0))),NA())</f>
        <v/>
      </c>
      <c r="AG268">
        <f>IFERROR(IF(INDEX(Aux_puntos!$A$2:$OJ$901,264,MATCH($B$2&amp;"|xI",Aux_puntos!$1:$1,0))="",NA(),INDEX(Aux_puntos!$A$2:$OJ$901,264,MATCH($B$2&amp;"|xI",Aux_puntos!$1:$1,0))),NA())</f>
        <v/>
      </c>
      <c r="AH268">
        <f>IFERROR(IF(INDEX(Aux_puntos!$A$2:$OJ$901,264,MATCH($B$2&amp;"|yI",Aux_puntos!$1:$1,0))="",NA(),INDEX(Aux_puntos!$A$2:$OJ$901,264,MATCH($B$2&amp;"|yI",Aux_puntos!$1:$1,0))),NA())</f>
        <v/>
      </c>
      <c r="AI268">
        <f>IFERROR(IF(INDEX(Aux_puntos!$A$2:$OJ$901,264,MATCH($B$2&amp;"|xN",Aux_puntos!$1:$1,0))="",NA(),INDEX(Aux_puntos!$A$2:$OJ$901,264,MATCH($B$2&amp;"|xN",Aux_puntos!$1:$1,0))),NA())</f>
        <v/>
      </c>
      <c r="AJ268">
        <f>IFERROR(IF(INDEX(Aux_puntos!$A$2:$OJ$901,264,MATCH($B$2&amp;"|yN",Aux_puntos!$1:$1,0))="",NA(),INDEX(Aux_puntos!$A$2:$OJ$901,264,MATCH($B$2&amp;"|yN",Aux_puntos!$1:$1,0))),NA())</f>
        <v/>
      </c>
    </row>
    <row r="269">
      <c r="AC269">
        <f>IFERROR(IF(INDEX(Aux_puntos!$A$2:$OJ$901,265,MATCH($B$2&amp;"|xK",Aux_puntos!$1:$1,0))="",NA(),INDEX(Aux_puntos!$A$2:$OJ$901,265,MATCH($B$2&amp;"|xK",Aux_puntos!$1:$1,0))),NA())</f>
        <v/>
      </c>
      <c r="AD269">
        <f>IFERROR(IF(INDEX(Aux_puntos!$A$2:$OJ$901,265,MATCH($B$2&amp;"|yK",Aux_puntos!$1:$1,0))="",NA(),INDEX(Aux_puntos!$A$2:$OJ$901,265,MATCH($B$2&amp;"|yK",Aux_puntos!$1:$1,0))),NA())</f>
        <v/>
      </c>
      <c r="AE269">
        <f>IFERROR(IF(INDEX(Aux_puntos!$A$2:$OJ$901,265,MATCH($B$2&amp;"|xC",Aux_puntos!$1:$1,0))="",NA(),INDEX(Aux_puntos!$A$2:$OJ$901,265,MATCH($B$2&amp;"|xC",Aux_puntos!$1:$1,0))),NA())</f>
        <v/>
      </c>
      <c r="AF269">
        <f>IFERROR(IF(INDEX(Aux_puntos!$A$2:$OJ$901,265,MATCH($B$2&amp;"|yC",Aux_puntos!$1:$1,0))="",NA(),INDEX(Aux_puntos!$A$2:$OJ$901,265,MATCH($B$2&amp;"|yC",Aux_puntos!$1:$1,0))),NA())</f>
        <v/>
      </c>
      <c r="AG269">
        <f>IFERROR(IF(INDEX(Aux_puntos!$A$2:$OJ$901,265,MATCH($B$2&amp;"|xI",Aux_puntos!$1:$1,0))="",NA(),INDEX(Aux_puntos!$A$2:$OJ$901,265,MATCH($B$2&amp;"|xI",Aux_puntos!$1:$1,0))),NA())</f>
        <v/>
      </c>
      <c r="AH269">
        <f>IFERROR(IF(INDEX(Aux_puntos!$A$2:$OJ$901,265,MATCH($B$2&amp;"|yI",Aux_puntos!$1:$1,0))="",NA(),INDEX(Aux_puntos!$A$2:$OJ$901,265,MATCH($B$2&amp;"|yI",Aux_puntos!$1:$1,0))),NA())</f>
        <v/>
      </c>
      <c r="AI269">
        <f>IFERROR(IF(INDEX(Aux_puntos!$A$2:$OJ$901,265,MATCH($B$2&amp;"|xN",Aux_puntos!$1:$1,0))="",NA(),INDEX(Aux_puntos!$A$2:$OJ$901,265,MATCH($B$2&amp;"|xN",Aux_puntos!$1:$1,0))),NA())</f>
        <v/>
      </c>
      <c r="AJ269">
        <f>IFERROR(IF(INDEX(Aux_puntos!$A$2:$OJ$901,265,MATCH($B$2&amp;"|yN",Aux_puntos!$1:$1,0))="",NA(),INDEX(Aux_puntos!$A$2:$OJ$901,265,MATCH($B$2&amp;"|yN",Aux_puntos!$1:$1,0))),NA())</f>
        <v/>
      </c>
    </row>
    <row r="270">
      <c r="AC270">
        <f>IFERROR(IF(INDEX(Aux_puntos!$A$2:$OJ$901,266,MATCH($B$2&amp;"|xK",Aux_puntos!$1:$1,0))="",NA(),INDEX(Aux_puntos!$A$2:$OJ$901,266,MATCH($B$2&amp;"|xK",Aux_puntos!$1:$1,0))),NA())</f>
        <v/>
      </c>
      <c r="AD270">
        <f>IFERROR(IF(INDEX(Aux_puntos!$A$2:$OJ$901,266,MATCH($B$2&amp;"|yK",Aux_puntos!$1:$1,0))="",NA(),INDEX(Aux_puntos!$A$2:$OJ$901,266,MATCH($B$2&amp;"|yK",Aux_puntos!$1:$1,0))),NA())</f>
        <v/>
      </c>
      <c r="AE270">
        <f>IFERROR(IF(INDEX(Aux_puntos!$A$2:$OJ$901,266,MATCH($B$2&amp;"|xC",Aux_puntos!$1:$1,0))="",NA(),INDEX(Aux_puntos!$A$2:$OJ$901,266,MATCH($B$2&amp;"|xC",Aux_puntos!$1:$1,0))),NA())</f>
        <v/>
      </c>
      <c r="AF270">
        <f>IFERROR(IF(INDEX(Aux_puntos!$A$2:$OJ$901,266,MATCH($B$2&amp;"|yC",Aux_puntos!$1:$1,0))="",NA(),INDEX(Aux_puntos!$A$2:$OJ$901,266,MATCH($B$2&amp;"|yC",Aux_puntos!$1:$1,0))),NA())</f>
        <v/>
      </c>
      <c r="AG270">
        <f>IFERROR(IF(INDEX(Aux_puntos!$A$2:$OJ$901,266,MATCH($B$2&amp;"|xI",Aux_puntos!$1:$1,0))="",NA(),INDEX(Aux_puntos!$A$2:$OJ$901,266,MATCH($B$2&amp;"|xI",Aux_puntos!$1:$1,0))),NA())</f>
        <v/>
      </c>
      <c r="AH270">
        <f>IFERROR(IF(INDEX(Aux_puntos!$A$2:$OJ$901,266,MATCH($B$2&amp;"|yI",Aux_puntos!$1:$1,0))="",NA(),INDEX(Aux_puntos!$A$2:$OJ$901,266,MATCH($B$2&amp;"|yI",Aux_puntos!$1:$1,0))),NA())</f>
        <v/>
      </c>
      <c r="AI270">
        <f>IFERROR(IF(INDEX(Aux_puntos!$A$2:$OJ$901,266,MATCH($B$2&amp;"|xN",Aux_puntos!$1:$1,0))="",NA(),INDEX(Aux_puntos!$A$2:$OJ$901,266,MATCH($B$2&amp;"|xN",Aux_puntos!$1:$1,0))),NA())</f>
        <v/>
      </c>
      <c r="AJ270">
        <f>IFERROR(IF(INDEX(Aux_puntos!$A$2:$OJ$901,266,MATCH($B$2&amp;"|yN",Aux_puntos!$1:$1,0))="",NA(),INDEX(Aux_puntos!$A$2:$OJ$901,266,MATCH($B$2&amp;"|yN",Aux_puntos!$1:$1,0))),NA())</f>
        <v/>
      </c>
    </row>
    <row r="271">
      <c r="AC271">
        <f>IFERROR(IF(INDEX(Aux_puntos!$A$2:$OJ$901,267,MATCH($B$2&amp;"|xK",Aux_puntos!$1:$1,0))="",NA(),INDEX(Aux_puntos!$A$2:$OJ$901,267,MATCH($B$2&amp;"|xK",Aux_puntos!$1:$1,0))),NA())</f>
        <v/>
      </c>
      <c r="AD271">
        <f>IFERROR(IF(INDEX(Aux_puntos!$A$2:$OJ$901,267,MATCH($B$2&amp;"|yK",Aux_puntos!$1:$1,0))="",NA(),INDEX(Aux_puntos!$A$2:$OJ$901,267,MATCH($B$2&amp;"|yK",Aux_puntos!$1:$1,0))),NA())</f>
        <v/>
      </c>
      <c r="AE271">
        <f>IFERROR(IF(INDEX(Aux_puntos!$A$2:$OJ$901,267,MATCH($B$2&amp;"|xC",Aux_puntos!$1:$1,0))="",NA(),INDEX(Aux_puntos!$A$2:$OJ$901,267,MATCH($B$2&amp;"|xC",Aux_puntos!$1:$1,0))),NA())</f>
        <v/>
      </c>
      <c r="AF271">
        <f>IFERROR(IF(INDEX(Aux_puntos!$A$2:$OJ$901,267,MATCH($B$2&amp;"|yC",Aux_puntos!$1:$1,0))="",NA(),INDEX(Aux_puntos!$A$2:$OJ$901,267,MATCH($B$2&amp;"|yC",Aux_puntos!$1:$1,0))),NA())</f>
        <v/>
      </c>
      <c r="AG271">
        <f>IFERROR(IF(INDEX(Aux_puntos!$A$2:$OJ$901,267,MATCH($B$2&amp;"|xI",Aux_puntos!$1:$1,0))="",NA(),INDEX(Aux_puntos!$A$2:$OJ$901,267,MATCH($B$2&amp;"|xI",Aux_puntos!$1:$1,0))),NA())</f>
        <v/>
      </c>
      <c r="AH271">
        <f>IFERROR(IF(INDEX(Aux_puntos!$A$2:$OJ$901,267,MATCH($B$2&amp;"|yI",Aux_puntos!$1:$1,0))="",NA(),INDEX(Aux_puntos!$A$2:$OJ$901,267,MATCH($B$2&amp;"|yI",Aux_puntos!$1:$1,0))),NA())</f>
        <v/>
      </c>
      <c r="AI271">
        <f>IFERROR(IF(INDEX(Aux_puntos!$A$2:$OJ$901,267,MATCH($B$2&amp;"|xN",Aux_puntos!$1:$1,0))="",NA(),INDEX(Aux_puntos!$A$2:$OJ$901,267,MATCH($B$2&amp;"|xN",Aux_puntos!$1:$1,0))),NA())</f>
        <v/>
      </c>
      <c r="AJ271">
        <f>IFERROR(IF(INDEX(Aux_puntos!$A$2:$OJ$901,267,MATCH($B$2&amp;"|yN",Aux_puntos!$1:$1,0))="",NA(),INDEX(Aux_puntos!$A$2:$OJ$901,267,MATCH($B$2&amp;"|yN",Aux_puntos!$1:$1,0))),NA())</f>
        <v/>
      </c>
    </row>
    <row r="272">
      <c r="AC272">
        <f>IFERROR(IF(INDEX(Aux_puntos!$A$2:$OJ$901,268,MATCH($B$2&amp;"|xK",Aux_puntos!$1:$1,0))="",NA(),INDEX(Aux_puntos!$A$2:$OJ$901,268,MATCH($B$2&amp;"|xK",Aux_puntos!$1:$1,0))),NA())</f>
        <v/>
      </c>
      <c r="AD272">
        <f>IFERROR(IF(INDEX(Aux_puntos!$A$2:$OJ$901,268,MATCH($B$2&amp;"|yK",Aux_puntos!$1:$1,0))="",NA(),INDEX(Aux_puntos!$A$2:$OJ$901,268,MATCH($B$2&amp;"|yK",Aux_puntos!$1:$1,0))),NA())</f>
        <v/>
      </c>
      <c r="AE272">
        <f>IFERROR(IF(INDEX(Aux_puntos!$A$2:$OJ$901,268,MATCH($B$2&amp;"|xC",Aux_puntos!$1:$1,0))="",NA(),INDEX(Aux_puntos!$A$2:$OJ$901,268,MATCH($B$2&amp;"|xC",Aux_puntos!$1:$1,0))),NA())</f>
        <v/>
      </c>
      <c r="AF272">
        <f>IFERROR(IF(INDEX(Aux_puntos!$A$2:$OJ$901,268,MATCH($B$2&amp;"|yC",Aux_puntos!$1:$1,0))="",NA(),INDEX(Aux_puntos!$A$2:$OJ$901,268,MATCH($B$2&amp;"|yC",Aux_puntos!$1:$1,0))),NA())</f>
        <v/>
      </c>
      <c r="AG272">
        <f>IFERROR(IF(INDEX(Aux_puntos!$A$2:$OJ$901,268,MATCH($B$2&amp;"|xI",Aux_puntos!$1:$1,0))="",NA(),INDEX(Aux_puntos!$A$2:$OJ$901,268,MATCH($B$2&amp;"|xI",Aux_puntos!$1:$1,0))),NA())</f>
        <v/>
      </c>
      <c r="AH272">
        <f>IFERROR(IF(INDEX(Aux_puntos!$A$2:$OJ$901,268,MATCH($B$2&amp;"|yI",Aux_puntos!$1:$1,0))="",NA(),INDEX(Aux_puntos!$A$2:$OJ$901,268,MATCH($B$2&amp;"|yI",Aux_puntos!$1:$1,0))),NA())</f>
        <v/>
      </c>
      <c r="AI272">
        <f>IFERROR(IF(INDEX(Aux_puntos!$A$2:$OJ$901,268,MATCH($B$2&amp;"|xN",Aux_puntos!$1:$1,0))="",NA(),INDEX(Aux_puntos!$A$2:$OJ$901,268,MATCH($B$2&amp;"|xN",Aux_puntos!$1:$1,0))),NA())</f>
        <v/>
      </c>
      <c r="AJ272">
        <f>IFERROR(IF(INDEX(Aux_puntos!$A$2:$OJ$901,268,MATCH($B$2&amp;"|yN",Aux_puntos!$1:$1,0))="",NA(),INDEX(Aux_puntos!$A$2:$OJ$901,268,MATCH($B$2&amp;"|yN",Aux_puntos!$1:$1,0))),NA())</f>
        <v/>
      </c>
    </row>
    <row r="273">
      <c r="AC273">
        <f>IFERROR(IF(INDEX(Aux_puntos!$A$2:$OJ$901,269,MATCH($B$2&amp;"|xK",Aux_puntos!$1:$1,0))="",NA(),INDEX(Aux_puntos!$A$2:$OJ$901,269,MATCH($B$2&amp;"|xK",Aux_puntos!$1:$1,0))),NA())</f>
        <v/>
      </c>
      <c r="AD273">
        <f>IFERROR(IF(INDEX(Aux_puntos!$A$2:$OJ$901,269,MATCH($B$2&amp;"|yK",Aux_puntos!$1:$1,0))="",NA(),INDEX(Aux_puntos!$A$2:$OJ$901,269,MATCH($B$2&amp;"|yK",Aux_puntos!$1:$1,0))),NA())</f>
        <v/>
      </c>
      <c r="AE273">
        <f>IFERROR(IF(INDEX(Aux_puntos!$A$2:$OJ$901,269,MATCH($B$2&amp;"|xC",Aux_puntos!$1:$1,0))="",NA(),INDEX(Aux_puntos!$A$2:$OJ$901,269,MATCH($B$2&amp;"|xC",Aux_puntos!$1:$1,0))),NA())</f>
        <v/>
      </c>
      <c r="AF273">
        <f>IFERROR(IF(INDEX(Aux_puntos!$A$2:$OJ$901,269,MATCH($B$2&amp;"|yC",Aux_puntos!$1:$1,0))="",NA(),INDEX(Aux_puntos!$A$2:$OJ$901,269,MATCH($B$2&amp;"|yC",Aux_puntos!$1:$1,0))),NA())</f>
        <v/>
      </c>
      <c r="AG273">
        <f>IFERROR(IF(INDEX(Aux_puntos!$A$2:$OJ$901,269,MATCH($B$2&amp;"|xI",Aux_puntos!$1:$1,0))="",NA(),INDEX(Aux_puntos!$A$2:$OJ$901,269,MATCH($B$2&amp;"|xI",Aux_puntos!$1:$1,0))),NA())</f>
        <v/>
      </c>
      <c r="AH273">
        <f>IFERROR(IF(INDEX(Aux_puntos!$A$2:$OJ$901,269,MATCH($B$2&amp;"|yI",Aux_puntos!$1:$1,0))="",NA(),INDEX(Aux_puntos!$A$2:$OJ$901,269,MATCH($B$2&amp;"|yI",Aux_puntos!$1:$1,0))),NA())</f>
        <v/>
      </c>
      <c r="AI273">
        <f>IFERROR(IF(INDEX(Aux_puntos!$A$2:$OJ$901,269,MATCH($B$2&amp;"|xN",Aux_puntos!$1:$1,0))="",NA(),INDEX(Aux_puntos!$A$2:$OJ$901,269,MATCH($B$2&amp;"|xN",Aux_puntos!$1:$1,0))),NA())</f>
        <v/>
      </c>
      <c r="AJ273">
        <f>IFERROR(IF(INDEX(Aux_puntos!$A$2:$OJ$901,269,MATCH($B$2&amp;"|yN",Aux_puntos!$1:$1,0))="",NA(),INDEX(Aux_puntos!$A$2:$OJ$901,269,MATCH($B$2&amp;"|yN",Aux_puntos!$1:$1,0))),NA())</f>
        <v/>
      </c>
    </row>
    <row r="274">
      <c r="AC274">
        <f>IFERROR(IF(INDEX(Aux_puntos!$A$2:$OJ$901,270,MATCH($B$2&amp;"|xK",Aux_puntos!$1:$1,0))="",NA(),INDEX(Aux_puntos!$A$2:$OJ$901,270,MATCH($B$2&amp;"|xK",Aux_puntos!$1:$1,0))),NA())</f>
        <v/>
      </c>
      <c r="AD274">
        <f>IFERROR(IF(INDEX(Aux_puntos!$A$2:$OJ$901,270,MATCH($B$2&amp;"|yK",Aux_puntos!$1:$1,0))="",NA(),INDEX(Aux_puntos!$A$2:$OJ$901,270,MATCH($B$2&amp;"|yK",Aux_puntos!$1:$1,0))),NA())</f>
        <v/>
      </c>
      <c r="AE274">
        <f>IFERROR(IF(INDEX(Aux_puntos!$A$2:$OJ$901,270,MATCH($B$2&amp;"|xC",Aux_puntos!$1:$1,0))="",NA(),INDEX(Aux_puntos!$A$2:$OJ$901,270,MATCH($B$2&amp;"|xC",Aux_puntos!$1:$1,0))),NA())</f>
        <v/>
      </c>
      <c r="AF274">
        <f>IFERROR(IF(INDEX(Aux_puntos!$A$2:$OJ$901,270,MATCH($B$2&amp;"|yC",Aux_puntos!$1:$1,0))="",NA(),INDEX(Aux_puntos!$A$2:$OJ$901,270,MATCH($B$2&amp;"|yC",Aux_puntos!$1:$1,0))),NA())</f>
        <v/>
      </c>
      <c r="AG274">
        <f>IFERROR(IF(INDEX(Aux_puntos!$A$2:$OJ$901,270,MATCH($B$2&amp;"|xI",Aux_puntos!$1:$1,0))="",NA(),INDEX(Aux_puntos!$A$2:$OJ$901,270,MATCH($B$2&amp;"|xI",Aux_puntos!$1:$1,0))),NA())</f>
        <v/>
      </c>
      <c r="AH274">
        <f>IFERROR(IF(INDEX(Aux_puntos!$A$2:$OJ$901,270,MATCH($B$2&amp;"|yI",Aux_puntos!$1:$1,0))="",NA(),INDEX(Aux_puntos!$A$2:$OJ$901,270,MATCH($B$2&amp;"|yI",Aux_puntos!$1:$1,0))),NA())</f>
        <v/>
      </c>
      <c r="AI274">
        <f>IFERROR(IF(INDEX(Aux_puntos!$A$2:$OJ$901,270,MATCH($B$2&amp;"|xN",Aux_puntos!$1:$1,0))="",NA(),INDEX(Aux_puntos!$A$2:$OJ$901,270,MATCH($B$2&amp;"|xN",Aux_puntos!$1:$1,0))),NA())</f>
        <v/>
      </c>
      <c r="AJ274">
        <f>IFERROR(IF(INDEX(Aux_puntos!$A$2:$OJ$901,270,MATCH($B$2&amp;"|yN",Aux_puntos!$1:$1,0))="",NA(),INDEX(Aux_puntos!$A$2:$OJ$901,270,MATCH($B$2&amp;"|yN",Aux_puntos!$1:$1,0))),NA())</f>
        <v/>
      </c>
    </row>
    <row r="275">
      <c r="AC275">
        <f>IFERROR(IF(INDEX(Aux_puntos!$A$2:$OJ$901,271,MATCH($B$2&amp;"|xK",Aux_puntos!$1:$1,0))="",NA(),INDEX(Aux_puntos!$A$2:$OJ$901,271,MATCH($B$2&amp;"|xK",Aux_puntos!$1:$1,0))),NA())</f>
        <v/>
      </c>
      <c r="AD275">
        <f>IFERROR(IF(INDEX(Aux_puntos!$A$2:$OJ$901,271,MATCH($B$2&amp;"|yK",Aux_puntos!$1:$1,0))="",NA(),INDEX(Aux_puntos!$A$2:$OJ$901,271,MATCH($B$2&amp;"|yK",Aux_puntos!$1:$1,0))),NA())</f>
        <v/>
      </c>
      <c r="AE275">
        <f>IFERROR(IF(INDEX(Aux_puntos!$A$2:$OJ$901,271,MATCH($B$2&amp;"|xC",Aux_puntos!$1:$1,0))="",NA(),INDEX(Aux_puntos!$A$2:$OJ$901,271,MATCH($B$2&amp;"|xC",Aux_puntos!$1:$1,0))),NA())</f>
        <v/>
      </c>
      <c r="AF275">
        <f>IFERROR(IF(INDEX(Aux_puntos!$A$2:$OJ$901,271,MATCH($B$2&amp;"|yC",Aux_puntos!$1:$1,0))="",NA(),INDEX(Aux_puntos!$A$2:$OJ$901,271,MATCH($B$2&amp;"|yC",Aux_puntos!$1:$1,0))),NA())</f>
        <v/>
      </c>
      <c r="AG275">
        <f>IFERROR(IF(INDEX(Aux_puntos!$A$2:$OJ$901,271,MATCH($B$2&amp;"|xI",Aux_puntos!$1:$1,0))="",NA(),INDEX(Aux_puntos!$A$2:$OJ$901,271,MATCH($B$2&amp;"|xI",Aux_puntos!$1:$1,0))),NA())</f>
        <v/>
      </c>
      <c r="AH275">
        <f>IFERROR(IF(INDEX(Aux_puntos!$A$2:$OJ$901,271,MATCH($B$2&amp;"|yI",Aux_puntos!$1:$1,0))="",NA(),INDEX(Aux_puntos!$A$2:$OJ$901,271,MATCH($B$2&amp;"|yI",Aux_puntos!$1:$1,0))),NA())</f>
        <v/>
      </c>
      <c r="AI275">
        <f>IFERROR(IF(INDEX(Aux_puntos!$A$2:$OJ$901,271,MATCH($B$2&amp;"|xN",Aux_puntos!$1:$1,0))="",NA(),INDEX(Aux_puntos!$A$2:$OJ$901,271,MATCH($B$2&amp;"|xN",Aux_puntos!$1:$1,0))),NA())</f>
        <v/>
      </c>
      <c r="AJ275">
        <f>IFERROR(IF(INDEX(Aux_puntos!$A$2:$OJ$901,271,MATCH($B$2&amp;"|yN",Aux_puntos!$1:$1,0))="",NA(),INDEX(Aux_puntos!$A$2:$OJ$901,271,MATCH($B$2&amp;"|yN",Aux_puntos!$1:$1,0))),NA())</f>
        <v/>
      </c>
    </row>
    <row r="276">
      <c r="AC276">
        <f>IFERROR(IF(INDEX(Aux_puntos!$A$2:$OJ$901,272,MATCH($B$2&amp;"|xK",Aux_puntos!$1:$1,0))="",NA(),INDEX(Aux_puntos!$A$2:$OJ$901,272,MATCH($B$2&amp;"|xK",Aux_puntos!$1:$1,0))),NA())</f>
        <v/>
      </c>
      <c r="AD276">
        <f>IFERROR(IF(INDEX(Aux_puntos!$A$2:$OJ$901,272,MATCH($B$2&amp;"|yK",Aux_puntos!$1:$1,0))="",NA(),INDEX(Aux_puntos!$A$2:$OJ$901,272,MATCH($B$2&amp;"|yK",Aux_puntos!$1:$1,0))),NA())</f>
        <v/>
      </c>
      <c r="AE276">
        <f>IFERROR(IF(INDEX(Aux_puntos!$A$2:$OJ$901,272,MATCH($B$2&amp;"|xC",Aux_puntos!$1:$1,0))="",NA(),INDEX(Aux_puntos!$A$2:$OJ$901,272,MATCH($B$2&amp;"|xC",Aux_puntos!$1:$1,0))),NA())</f>
        <v/>
      </c>
      <c r="AF276">
        <f>IFERROR(IF(INDEX(Aux_puntos!$A$2:$OJ$901,272,MATCH($B$2&amp;"|yC",Aux_puntos!$1:$1,0))="",NA(),INDEX(Aux_puntos!$A$2:$OJ$901,272,MATCH($B$2&amp;"|yC",Aux_puntos!$1:$1,0))),NA())</f>
        <v/>
      </c>
      <c r="AG276">
        <f>IFERROR(IF(INDEX(Aux_puntos!$A$2:$OJ$901,272,MATCH($B$2&amp;"|xI",Aux_puntos!$1:$1,0))="",NA(),INDEX(Aux_puntos!$A$2:$OJ$901,272,MATCH($B$2&amp;"|xI",Aux_puntos!$1:$1,0))),NA())</f>
        <v/>
      </c>
      <c r="AH276">
        <f>IFERROR(IF(INDEX(Aux_puntos!$A$2:$OJ$901,272,MATCH($B$2&amp;"|yI",Aux_puntos!$1:$1,0))="",NA(),INDEX(Aux_puntos!$A$2:$OJ$901,272,MATCH($B$2&amp;"|yI",Aux_puntos!$1:$1,0))),NA())</f>
        <v/>
      </c>
      <c r="AI276">
        <f>IFERROR(IF(INDEX(Aux_puntos!$A$2:$OJ$901,272,MATCH($B$2&amp;"|xN",Aux_puntos!$1:$1,0))="",NA(),INDEX(Aux_puntos!$A$2:$OJ$901,272,MATCH($B$2&amp;"|xN",Aux_puntos!$1:$1,0))),NA())</f>
        <v/>
      </c>
      <c r="AJ276">
        <f>IFERROR(IF(INDEX(Aux_puntos!$A$2:$OJ$901,272,MATCH($B$2&amp;"|yN",Aux_puntos!$1:$1,0))="",NA(),INDEX(Aux_puntos!$A$2:$OJ$901,272,MATCH($B$2&amp;"|yN",Aux_puntos!$1:$1,0))),NA())</f>
        <v/>
      </c>
    </row>
    <row r="277">
      <c r="AC277">
        <f>IFERROR(IF(INDEX(Aux_puntos!$A$2:$OJ$901,273,MATCH($B$2&amp;"|xK",Aux_puntos!$1:$1,0))="",NA(),INDEX(Aux_puntos!$A$2:$OJ$901,273,MATCH($B$2&amp;"|xK",Aux_puntos!$1:$1,0))),NA())</f>
        <v/>
      </c>
      <c r="AD277">
        <f>IFERROR(IF(INDEX(Aux_puntos!$A$2:$OJ$901,273,MATCH($B$2&amp;"|yK",Aux_puntos!$1:$1,0))="",NA(),INDEX(Aux_puntos!$A$2:$OJ$901,273,MATCH($B$2&amp;"|yK",Aux_puntos!$1:$1,0))),NA())</f>
        <v/>
      </c>
      <c r="AE277">
        <f>IFERROR(IF(INDEX(Aux_puntos!$A$2:$OJ$901,273,MATCH($B$2&amp;"|xC",Aux_puntos!$1:$1,0))="",NA(),INDEX(Aux_puntos!$A$2:$OJ$901,273,MATCH($B$2&amp;"|xC",Aux_puntos!$1:$1,0))),NA())</f>
        <v/>
      </c>
      <c r="AF277">
        <f>IFERROR(IF(INDEX(Aux_puntos!$A$2:$OJ$901,273,MATCH($B$2&amp;"|yC",Aux_puntos!$1:$1,0))="",NA(),INDEX(Aux_puntos!$A$2:$OJ$901,273,MATCH($B$2&amp;"|yC",Aux_puntos!$1:$1,0))),NA())</f>
        <v/>
      </c>
      <c r="AG277">
        <f>IFERROR(IF(INDEX(Aux_puntos!$A$2:$OJ$901,273,MATCH($B$2&amp;"|xI",Aux_puntos!$1:$1,0))="",NA(),INDEX(Aux_puntos!$A$2:$OJ$901,273,MATCH($B$2&amp;"|xI",Aux_puntos!$1:$1,0))),NA())</f>
        <v/>
      </c>
      <c r="AH277">
        <f>IFERROR(IF(INDEX(Aux_puntos!$A$2:$OJ$901,273,MATCH($B$2&amp;"|yI",Aux_puntos!$1:$1,0))="",NA(),INDEX(Aux_puntos!$A$2:$OJ$901,273,MATCH($B$2&amp;"|yI",Aux_puntos!$1:$1,0))),NA())</f>
        <v/>
      </c>
      <c r="AI277">
        <f>IFERROR(IF(INDEX(Aux_puntos!$A$2:$OJ$901,273,MATCH($B$2&amp;"|xN",Aux_puntos!$1:$1,0))="",NA(),INDEX(Aux_puntos!$A$2:$OJ$901,273,MATCH($B$2&amp;"|xN",Aux_puntos!$1:$1,0))),NA())</f>
        <v/>
      </c>
      <c r="AJ277">
        <f>IFERROR(IF(INDEX(Aux_puntos!$A$2:$OJ$901,273,MATCH($B$2&amp;"|yN",Aux_puntos!$1:$1,0))="",NA(),INDEX(Aux_puntos!$A$2:$OJ$901,273,MATCH($B$2&amp;"|yN",Aux_puntos!$1:$1,0))),NA())</f>
        <v/>
      </c>
    </row>
    <row r="278">
      <c r="AC278">
        <f>IFERROR(IF(INDEX(Aux_puntos!$A$2:$OJ$901,274,MATCH($B$2&amp;"|xK",Aux_puntos!$1:$1,0))="",NA(),INDEX(Aux_puntos!$A$2:$OJ$901,274,MATCH($B$2&amp;"|xK",Aux_puntos!$1:$1,0))),NA())</f>
        <v/>
      </c>
      <c r="AD278">
        <f>IFERROR(IF(INDEX(Aux_puntos!$A$2:$OJ$901,274,MATCH($B$2&amp;"|yK",Aux_puntos!$1:$1,0))="",NA(),INDEX(Aux_puntos!$A$2:$OJ$901,274,MATCH($B$2&amp;"|yK",Aux_puntos!$1:$1,0))),NA())</f>
        <v/>
      </c>
      <c r="AE278">
        <f>IFERROR(IF(INDEX(Aux_puntos!$A$2:$OJ$901,274,MATCH($B$2&amp;"|xC",Aux_puntos!$1:$1,0))="",NA(),INDEX(Aux_puntos!$A$2:$OJ$901,274,MATCH($B$2&amp;"|xC",Aux_puntos!$1:$1,0))),NA())</f>
        <v/>
      </c>
      <c r="AF278">
        <f>IFERROR(IF(INDEX(Aux_puntos!$A$2:$OJ$901,274,MATCH($B$2&amp;"|yC",Aux_puntos!$1:$1,0))="",NA(),INDEX(Aux_puntos!$A$2:$OJ$901,274,MATCH($B$2&amp;"|yC",Aux_puntos!$1:$1,0))),NA())</f>
        <v/>
      </c>
      <c r="AG278">
        <f>IFERROR(IF(INDEX(Aux_puntos!$A$2:$OJ$901,274,MATCH($B$2&amp;"|xI",Aux_puntos!$1:$1,0))="",NA(),INDEX(Aux_puntos!$A$2:$OJ$901,274,MATCH($B$2&amp;"|xI",Aux_puntos!$1:$1,0))),NA())</f>
        <v/>
      </c>
      <c r="AH278">
        <f>IFERROR(IF(INDEX(Aux_puntos!$A$2:$OJ$901,274,MATCH($B$2&amp;"|yI",Aux_puntos!$1:$1,0))="",NA(),INDEX(Aux_puntos!$A$2:$OJ$901,274,MATCH($B$2&amp;"|yI",Aux_puntos!$1:$1,0))),NA())</f>
        <v/>
      </c>
      <c r="AI278">
        <f>IFERROR(IF(INDEX(Aux_puntos!$A$2:$OJ$901,274,MATCH($B$2&amp;"|xN",Aux_puntos!$1:$1,0))="",NA(),INDEX(Aux_puntos!$A$2:$OJ$901,274,MATCH($B$2&amp;"|xN",Aux_puntos!$1:$1,0))),NA())</f>
        <v/>
      </c>
      <c r="AJ278">
        <f>IFERROR(IF(INDEX(Aux_puntos!$A$2:$OJ$901,274,MATCH($B$2&amp;"|yN",Aux_puntos!$1:$1,0))="",NA(),INDEX(Aux_puntos!$A$2:$OJ$901,274,MATCH($B$2&amp;"|yN",Aux_puntos!$1:$1,0))),NA())</f>
        <v/>
      </c>
    </row>
    <row r="279">
      <c r="AC279">
        <f>IFERROR(IF(INDEX(Aux_puntos!$A$2:$OJ$901,275,MATCH($B$2&amp;"|xK",Aux_puntos!$1:$1,0))="",NA(),INDEX(Aux_puntos!$A$2:$OJ$901,275,MATCH($B$2&amp;"|xK",Aux_puntos!$1:$1,0))),NA())</f>
        <v/>
      </c>
      <c r="AD279">
        <f>IFERROR(IF(INDEX(Aux_puntos!$A$2:$OJ$901,275,MATCH($B$2&amp;"|yK",Aux_puntos!$1:$1,0))="",NA(),INDEX(Aux_puntos!$A$2:$OJ$901,275,MATCH($B$2&amp;"|yK",Aux_puntos!$1:$1,0))),NA())</f>
        <v/>
      </c>
      <c r="AE279">
        <f>IFERROR(IF(INDEX(Aux_puntos!$A$2:$OJ$901,275,MATCH($B$2&amp;"|xC",Aux_puntos!$1:$1,0))="",NA(),INDEX(Aux_puntos!$A$2:$OJ$901,275,MATCH($B$2&amp;"|xC",Aux_puntos!$1:$1,0))),NA())</f>
        <v/>
      </c>
      <c r="AF279">
        <f>IFERROR(IF(INDEX(Aux_puntos!$A$2:$OJ$901,275,MATCH($B$2&amp;"|yC",Aux_puntos!$1:$1,0))="",NA(),INDEX(Aux_puntos!$A$2:$OJ$901,275,MATCH($B$2&amp;"|yC",Aux_puntos!$1:$1,0))),NA())</f>
        <v/>
      </c>
      <c r="AG279">
        <f>IFERROR(IF(INDEX(Aux_puntos!$A$2:$OJ$901,275,MATCH($B$2&amp;"|xI",Aux_puntos!$1:$1,0))="",NA(),INDEX(Aux_puntos!$A$2:$OJ$901,275,MATCH($B$2&amp;"|xI",Aux_puntos!$1:$1,0))),NA())</f>
        <v/>
      </c>
      <c r="AH279">
        <f>IFERROR(IF(INDEX(Aux_puntos!$A$2:$OJ$901,275,MATCH($B$2&amp;"|yI",Aux_puntos!$1:$1,0))="",NA(),INDEX(Aux_puntos!$A$2:$OJ$901,275,MATCH($B$2&amp;"|yI",Aux_puntos!$1:$1,0))),NA())</f>
        <v/>
      </c>
      <c r="AI279">
        <f>IFERROR(IF(INDEX(Aux_puntos!$A$2:$OJ$901,275,MATCH($B$2&amp;"|xN",Aux_puntos!$1:$1,0))="",NA(),INDEX(Aux_puntos!$A$2:$OJ$901,275,MATCH($B$2&amp;"|xN",Aux_puntos!$1:$1,0))),NA())</f>
        <v/>
      </c>
      <c r="AJ279">
        <f>IFERROR(IF(INDEX(Aux_puntos!$A$2:$OJ$901,275,MATCH($B$2&amp;"|yN",Aux_puntos!$1:$1,0))="",NA(),INDEX(Aux_puntos!$A$2:$OJ$901,275,MATCH($B$2&amp;"|yN",Aux_puntos!$1:$1,0))),NA())</f>
        <v/>
      </c>
    </row>
    <row r="280">
      <c r="AC280">
        <f>IFERROR(IF(INDEX(Aux_puntos!$A$2:$OJ$901,276,MATCH($B$2&amp;"|xK",Aux_puntos!$1:$1,0))="",NA(),INDEX(Aux_puntos!$A$2:$OJ$901,276,MATCH($B$2&amp;"|xK",Aux_puntos!$1:$1,0))),NA())</f>
        <v/>
      </c>
      <c r="AD280">
        <f>IFERROR(IF(INDEX(Aux_puntos!$A$2:$OJ$901,276,MATCH($B$2&amp;"|yK",Aux_puntos!$1:$1,0))="",NA(),INDEX(Aux_puntos!$A$2:$OJ$901,276,MATCH($B$2&amp;"|yK",Aux_puntos!$1:$1,0))),NA())</f>
        <v/>
      </c>
      <c r="AE280">
        <f>IFERROR(IF(INDEX(Aux_puntos!$A$2:$OJ$901,276,MATCH($B$2&amp;"|xC",Aux_puntos!$1:$1,0))="",NA(),INDEX(Aux_puntos!$A$2:$OJ$901,276,MATCH($B$2&amp;"|xC",Aux_puntos!$1:$1,0))),NA())</f>
        <v/>
      </c>
      <c r="AF280">
        <f>IFERROR(IF(INDEX(Aux_puntos!$A$2:$OJ$901,276,MATCH($B$2&amp;"|yC",Aux_puntos!$1:$1,0))="",NA(),INDEX(Aux_puntos!$A$2:$OJ$901,276,MATCH($B$2&amp;"|yC",Aux_puntos!$1:$1,0))),NA())</f>
        <v/>
      </c>
      <c r="AG280">
        <f>IFERROR(IF(INDEX(Aux_puntos!$A$2:$OJ$901,276,MATCH($B$2&amp;"|xI",Aux_puntos!$1:$1,0))="",NA(),INDEX(Aux_puntos!$A$2:$OJ$901,276,MATCH($B$2&amp;"|xI",Aux_puntos!$1:$1,0))),NA())</f>
        <v/>
      </c>
      <c r="AH280">
        <f>IFERROR(IF(INDEX(Aux_puntos!$A$2:$OJ$901,276,MATCH($B$2&amp;"|yI",Aux_puntos!$1:$1,0))="",NA(),INDEX(Aux_puntos!$A$2:$OJ$901,276,MATCH($B$2&amp;"|yI",Aux_puntos!$1:$1,0))),NA())</f>
        <v/>
      </c>
      <c r="AI280">
        <f>IFERROR(IF(INDEX(Aux_puntos!$A$2:$OJ$901,276,MATCH($B$2&amp;"|xN",Aux_puntos!$1:$1,0))="",NA(),INDEX(Aux_puntos!$A$2:$OJ$901,276,MATCH($B$2&amp;"|xN",Aux_puntos!$1:$1,0))),NA())</f>
        <v/>
      </c>
      <c r="AJ280">
        <f>IFERROR(IF(INDEX(Aux_puntos!$A$2:$OJ$901,276,MATCH($B$2&amp;"|yN",Aux_puntos!$1:$1,0))="",NA(),INDEX(Aux_puntos!$A$2:$OJ$901,276,MATCH($B$2&amp;"|yN",Aux_puntos!$1:$1,0))),NA())</f>
        <v/>
      </c>
    </row>
    <row r="281">
      <c r="AC281">
        <f>IFERROR(IF(INDEX(Aux_puntos!$A$2:$OJ$901,277,MATCH($B$2&amp;"|xK",Aux_puntos!$1:$1,0))="",NA(),INDEX(Aux_puntos!$A$2:$OJ$901,277,MATCH($B$2&amp;"|xK",Aux_puntos!$1:$1,0))),NA())</f>
        <v/>
      </c>
      <c r="AD281">
        <f>IFERROR(IF(INDEX(Aux_puntos!$A$2:$OJ$901,277,MATCH($B$2&amp;"|yK",Aux_puntos!$1:$1,0))="",NA(),INDEX(Aux_puntos!$A$2:$OJ$901,277,MATCH($B$2&amp;"|yK",Aux_puntos!$1:$1,0))),NA())</f>
        <v/>
      </c>
      <c r="AE281">
        <f>IFERROR(IF(INDEX(Aux_puntos!$A$2:$OJ$901,277,MATCH($B$2&amp;"|xC",Aux_puntos!$1:$1,0))="",NA(),INDEX(Aux_puntos!$A$2:$OJ$901,277,MATCH($B$2&amp;"|xC",Aux_puntos!$1:$1,0))),NA())</f>
        <v/>
      </c>
      <c r="AF281">
        <f>IFERROR(IF(INDEX(Aux_puntos!$A$2:$OJ$901,277,MATCH($B$2&amp;"|yC",Aux_puntos!$1:$1,0))="",NA(),INDEX(Aux_puntos!$A$2:$OJ$901,277,MATCH($B$2&amp;"|yC",Aux_puntos!$1:$1,0))),NA())</f>
        <v/>
      </c>
      <c r="AG281">
        <f>IFERROR(IF(INDEX(Aux_puntos!$A$2:$OJ$901,277,MATCH($B$2&amp;"|xI",Aux_puntos!$1:$1,0))="",NA(),INDEX(Aux_puntos!$A$2:$OJ$901,277,MATCH($B$2&amp;"|xI",Aux_puntos!$1:$1,0))),NA())</f>
        <v/>
      </c>
      <c r="AH281">
        <f>IFERROR(IF(INDEX(Aux_puntos!$A$2:$OJ$901,277,MATCH($B$2&amp;"|yI",Aux_puntos!$1:$1,0))="",NA(),INDEX(Aux_puntos!$A$2:$OJ$901,277,MATCH($B$2&amp;"|yI",Aux_puntos!$1:$1,0))),NA())</f>
        <v/>
      </c>
      <c r="AI281">
        <f>IFERROR(IF(INDEX(Aux_puntos!$A$2:$OJ$901,277,MATCH($B$2&amp;"|xN",Aux_puntos!$1:$1,0))="",NA(),INDEX(Aux_puntos!$A$2:$OJ$901,277,MATCH($B$2&amp;"|xN",Aux_puntos!$1:$1,0))),NA())</f>
        <v/>
      </c>
      <c r="AJ281">
        <f>IFERROR(IF(INDEX(Aux_puntos!$A$2:$OJ$901,277,MATCH($B$2&amp;"|yN",Aux_puntos!$1:$1,0))="",NA(),INDEX(Aux_puntos!$A$2:$OJ$901,277,MATCH($B$2&amp;"|yN",Aux_puntos!$1:$1,0))),NA())</f>
        <v/>
      </c>
    </row>
    <row r="282">
      <c r="AC282">
        <f>IFERROR(IF(INDEX(Aux_puntos!$A$2:$OJ$901,278,MATCH($B$2&amp;"|xK",Aux_puntos!$1:$1,0))="",NA(),INDEX(Aux_puntos!$A$2:$OJ$901,278,MATCH($B$2&amp;"|xK",Aux_puntos!$1:$1,0))),NA())</f>
        <v/>
      </c>
      <c r="AD282">
        <f>IFERROR(IF(INDEX(Aux_puntos!$A$2:$OJ$901,278,MATCH($B$2&amp;"|yK",Aux_puntos!$1:$1,0))="",NA(),INDEX(Aux_puntos!$A$2:$OJ$901,278,MATCH($B$2&amp;"|yK",Aux_puntos!$1:$1,0))),NA())</f>
        <v/>
      </c>
      <c r="AE282">
        <f>IFERROR(IF(INDEX(Aux_puntos!$A$2:$OJ$901,278,MATCH($B$2&amp;"|xC",Aux_puntos!$1:$1,0))="",NA(),INDEX(Aux_puntos!$A$2:$OJ$901,278,MATCH($B$2&amp;"|xC",Aux_puntos!$1:$1,0))),NA())</f>
        <v/>
      </c>
      <c r="AF282">
        <f>IFERROR(IF(INDEX(Aux_puntos!$A$2:$OJ$901,278,MATCH($B$2&amp;"|yC",Aux_puntos!$1:$1,0))="",NA(),INDEX(Aux_puntos!$A$2:$OJ$901,278,MATCH($B$2&amp;"|yC",Aux_puntos!$1:$1,0))),NA())</f>
        <v/>
      </c>
      <c r="AG282">
        <f>IFERROR(IF(INDEX(Aux_puntos!$A$2:$OJ$901,278,MATCH($B$2&amp;"|xI",Aux_puntos!$1:$1,0))="",NA(),INDEX(Aux_puntos!$A$2:$OJ$901,278,MATCH($B$2&amp;"|xI",Aux_puntos!$1:$1,0))),NA())</f>
        <v/>
      </c>
      <c r="AH282">
        <f>IFERROR(IF(INDEX(Aux_puntos!$A$2:$OJ$901,278,MATCH($B$2&amp;"|yI",Aux_puntos!$1:$1,0))="",NA(),INDEX(Aux_puntos!$A$2:$OJ$901,278,MATCH($B$2&amp;"|yI",Aux_puntos!$1:$1,0))),NA())</f>
        <v/>
      </c>
      <c r="AI282">
        <f>IFERROR(IF(INDEX(Aux_puntos!$A$2:$OJ$901,278,MATCH($B$2&amp;"|xN",Aux_puntos!$1:$1,0))="",NA(),INDEX(Aux_puntos!$A$2:$OJ$901,278,MATCH($B$2&amp;"|xN",Aux_puntos!$1:$1,0))),NA())</f>
        <v/>
      </c>
      <c r="AJ282">
        <f>IFERROR(IF(INDEX(Aux_puntos!$A$2:$OJ$901,278,MATCH($B$2&amp;"|yN",Aux_puntos!$1:$1,0))="",NA(),INDEX(Aux_puntos!$A$2:$OJ$901,278,MATCH($B$2&amp;"|yN",Aux_puntos!$1:$1,0))),NA())</f>
        <v/>
      </c>
    </row>
    <row r="283">
      <c r="AC283">
        <f>IFERROR(IF(INDEX(Aux_puntos!$A$2:$OJ$901,279,MATCH($B$2&amp;"|xK",Aux_puntos!$1:$1,0))="",NA(),INDEX(Aux_puntos!$A$2:$OJ$901,279,MATCH($B$2&amp;"|xK",Aux_puntos!$1:$1,0))),NA())</f>
        <v/>
      </c>
      <c r="AD283">
        <f>IFERROR(IF(INDEX(Aux_puntos!$A$2:$OJ$901,279,MATCH($B$2&amp;"|yK",Aux_puntos!$1:$1,0))="",NA(),INDEX(Aux_puntos!$A$2:$OJ$901,279,MATCH($B$2&amp;"|yK",Aux_puntos!$1:$1,0))),NA())</f>
        <v/>
      </c>
      <c r="AE283">
        <f>IFERROR(IF(INDEX(Aux_puntos!$A$2:$OJ$901,279,MATCH($B$2&amp;"|xC",Aux_puntos!$1:$1,0))="",NA(),INDEX(Aux_puntos!$A$2:$OJ$901,279,MATCH($B$2&amp;"|xC",Aux_puntos!$1:$1,0))),NA())</f>
        <v/>
      </c>
      <c r="AF283">
        <f>IFERROR(IF(INDEX(Aux_puntos!$A$2:$OJ$901,279,MATCH($B$2&amp;"|yC",Aux_puntos!$1:$1,0))="",NA(),INDEX(Aux_puntos!$A$2:$OJ$901,279,MATCH($B$2&amp;"|yC",Aux_puntos!$1:$1,0))),NA())</f>
        <v/>
      </c>
      <c r="AG283">
        <f>IFERROR(IF(INDEX(Aux_puntos!$A$2:$OJ$901,279,MATCH($B$2&amp;"|xI",Aux_puntos!$1:$1,0))="",NA(),INDEX(Aux_puntos!$A$2:$OJ$901,279,MATCH($B$2&amp;"|xI",Aux_puntos!$1:$1,0))),NA())</f>
        <v/>
      </c>
      <c r="AH283">
        <f>IFERROR(IF(INDEX(Aux_puntos!$A$2:$OJ$901,279,MATCH($B$2&amp;"|yI",Aux_puntos!$1:$1,0))="",NA(),INDEX(Aux_puntos!$A$2:$OJ$901,279,MATCH($B$2&amp;"|yI",Aux_puntos!$1:$1,0))),NA())</f>
        <v/>
      </c>
      <c r="AI283">
        <f>IFERROR(IF(INDEX(Aux_puntos!$A$2:$OJ$901,279,MATCH($B$2&amp;"|xN",Aux_puntos!$1:$1,0))="",NA(),INDEX(Aux_puntos!$A$2:$OJ$901,279,MATCH($B$2&amp;"|xN",Aux_puntos!$1:$1,0))),NA())</f>
        <v/>
      </c>
      <c r="AJ283">
        <f>IFERROR(IF(INDEX(Aux_puntos!$A$2:$OJ$901,279,MATCH($B$2&amp;"|yN",Aux_puntos!$1:$1,0))="",NA(),INDEX(Aux_puntos!$A$2:$OJ$901,279,MATCH($B$2&amp;"|yN",Aux_puntos!$1:$1,0))),NA())</f>
        <v/>
      </c>
    </row>
    <row r="284">
      <c r="AC284">
        <f>IFERROR(IF(INDEX(Aux_puntos!$A$2:$OJ$901,280,MATCH($B$2&amp;"|xK",Aux_puntos!$1:$1,0))="",NA(),INDEX(Aux_puntos!$A$2:$OJ$901,280,MATCH($B$2&amp;"|xK",Aux_puntos!$1:$1,0))),NA())</f>
        <v/>
      </c>
      <c r="AD284">
        <f>IFERROR(IF(INDEX(Aux_puntos!$A$2:$OJ$901,280,MATCH($B$2&amp;"|yK",Aux_puntos!$1:$1,0))="",NA(),INDEX(Aux_puntos!$A$2:$OJ$901,280,MATCH($B$2&amp;"|yK",Aux_puntos!$1:$1,0))),NA())</f>
        <v/>
      </c>
      <c r="AE284">
        <f>IFERROR(IF(INDEX(Aux_puntos!$A$2:$OJ$901,280,MATCH($B$2&amp;"|xC",Aux_puntos!$1:$1,0))="",NA(),INDEX(Aux_puntos!$A$2:$OJ$901,280,MATCH($B$2&amp;"|xC",Aux_puntos!$1:$1,0))),NA())</f>
        <v/>
      </c>
      <c r="AF284">
        <f>IFERROR(IF(INDEX(Aux_puntos!$A$2:$OJ$901,280,MATCH($B$2&amp;"|yC",Aux_puntos!$1:$1,0))="",NA(),INDEX(Aux_puntos!$A$2:$OJ$901,280,MATCH($B$2&amp;"|yC",Aux_puntos!$1:$1,0))),NA())</f>
        <v/>
      </c>
      <c r="AG284">
        <f>IFERROR(IF(INDEX(Aux_puntos!$A$2:$OJ$901,280,MATCH($B$2&amp;"|xI",Aux_puntos!$1:$1,0))="",NA(),INDEX(Aux_puntos!$A$2:$OJ$901,280,MATCH($B$2&amp;"|xI",Aux_puntos!$1:$1,0))),NA())</f>
        <v/>
      </c>
      <c r="AH284">
        <f>IFERROR(IF(INDEX(Aux_puntos!$A$2:$OJ$901,280,MATCH($B$2&amp;"|yI",Aux_puntos!$1:$1,0))="",NA(),INDEX(Aux_puntos!$A$2:$OJ$901,280,MATCH($B$2&amp;"|yI",Aux_puntos!$1:$1,0))),NA())</f>
        <v/>
      </c>
      <c r="AI284">
        <f>IFERROR(IF(INDEX(Aux_puntos!$A$2:$OJ$901,280,MATCH($B$2&amp;"|xN",Aux_puntos!$1:$1,0))="",NA(),INDEX(Aux_puntos!$A$2:$OJ$901,280,MATCH($B$2&amp;"|xN",Aux_puntos!$1:$1,0))),NA())</f>
        <v/>
      </c>
      <c r="AJ284">
        <f>IFERROR(IF(INDEX(Aux_puntos!$A$2:$OJ$901,280,MATCH($B$2&amp;"|yN",Aux_puntos!$1:$1,0))="",NA(),INDEX(Aux_puntos!$A$2:$OJ$901,280,MATCH($B$2&amp;"|yN",Aux_puntos!$1:$1,0))),NA())</f>
        <v/>
      </c>
    </row>
    <row r="285">
      <c r="AC285">
        <f>IFERROR(IF(INDEX(Aux_puntos!$A$2:$OJ$901,281,MATCH($B$2&amp;"|xK",Aux_puntos!$1:$1,0))="",NA(),INDEX(Aux_puntos!$A$2:$OJ$901,281,MATCH($B$2&amp;"|xK",Aux_puntos!$1:$1,0))),NA())</f>
        <v/>
      </c>
      <c r="AD285">
        <f>IFERROR(IF(INDEX(Aux_puntos!$A$2:$OJ$901,281,MATCH($B$2&amp;"|yK",Aux_puntos!$1:$1,0))="",NA(),INDEX(Aux_puntos!$A$2:$OJ$901,281,MATCH($B$2&amp;"|yK",Aux_puntos!$1:$1,0))),NA())</f>
        <v/>
      </c>
      <c r="AE285">
        <f>IFERROR(IF(INDEX(Aux_puntos!$A$2:$OJ$901,281,MATCH($B$2&amp;"|xC",Aux_puntos!$1:$1,0))="",NA(),INDEX(Aux_puntos!$A$2:$OJ$901,281,MATCH($B$2&amp;"|xC",Aux_puntos!$1:$1,0))),NA())</f>
        <v/>
      </c>
      <c r="AF285">
        <f>IFERROR(IF(INDEX(Aux_puntos!$A$2:$OJ$901,281,MATCH($B$2&amp;"|yC",Aux_puntos!$1:$1,0))="",NA(),INDEX(Aux_puntos!$A$2:$OJ$901,281,MATCH($B$2&amp;"|yC",Aux_puntos!$1:$1,0))),NA())</f>
        <v/>
      </c>
      <c r="AG285">
        <f>IFERROR(IF(INDEX(Aux_puntos!$A$2:$OJ$901,281,MATCH($B$2&amp;"|xI",Aux_puntos!$1:$1,0))="",NA(),INDEX(Aux_puntos!$A$2:$OJ$901,281,MATCH($B$2&amp;"|xI",Aux_puntos!$1:$1,0))),NA())</f>
        <v/>
      </c>
      <c r="AH285">
        <f>IFERROR(IF(INDEX(Aux_puntos!$A$2:$OJ$901,281,MATCH($B$2&amp;"|yI",Aux_puntos!$1:$1,0))="",NA(),INDEX(Aux_puntos!$A$2:$OJ$901,281,MATCH($B$2&amp;"|yI",Aux_puntos!$1:$1,0))),NA())</f>
        <v/>
      </c>
      <c r="AI285">
        <f>IFERROR(IF(INDEX(Aux_puntos!$A$2:$OJ$901,281,MATCH($B$2&amp;"|xN",Aux_puntos!$1:$1,0))="",NA(),INDEX(Aux_puntos!$A$2:$OJ$901,281,MATCH($B$2&amp;"|xN",Aux_puntos!$1:$1,0))),NA())</f>
        <v/>
      </c>
      <c r="AJ285">
        <f>IFERROR(IF(INDEX(Aux_puntos!$A$2:$OJ$901,281,MATCH($B$2&amp;"|yN",Aux_puntos!$1:$1,0))="",NA(),INDEX(Aux_puntos!$A$2:$OJ$901,281,MATCH($B$2&amp;"|yN",Aux_puntos!$1:$1,0))),NA())</f>
        <v/>
      </c>
    </row>
    <row r="286">
      <c r="AC286">
        <f>IFERROR(IF(INDEX(Aux_puntos!$A$2:$OJ$901,282,MATCH($B$2&amp;"|xK",Aux_puntos!$1:$1,0))="",NA(),INDEX(Aux_puntos!$A$2:$OJ$901,282,MATCH($B$2&amp;"|xK",Aux_puntos!$1:$1,0))),NA())</f>
        <v/>
      </c>
      <c r="AD286">
        <f>IFERROR(IF(INDEX(Aux_puntos!$A$2:$OJ$901,282,MATCH($B$2&amp;"|yK",Aux_puntos!$1:$1,0))="",NA(),INDEX(Aux_puntos!$A$2:$OJ$901,282,MATCH($B$2&amp;"|yK",Aux_puntos!$1:$1,0))),NA())</f>
        <v/>
      </c>
      <c r="AE286">
        <f>IFERROR(IF(INDEX(Aux_puntos!$A$2:$OJ$901,282,MATCH($B$2&amp;"|xC",Aux_puntos!$1:$1,0))="",NA(),INDEX(Aux_puntos!$A$2:$OJ$901,282,MATCH($B$2&amp;"|xC",Aux_puntos!$1:$1,0))),NA())</f>
        <v/>
      </c>
      <c r="AF286">
        <f>IFERROR(IF(INDEX(Aux_puntos!$A$2:$OJ$901,282,MATCH($B$2&amp;"|yC",Aux_puntos!$1:$1,0))="",NA(),INDEX(Aux_puntos!$A$2:$OJ$901,282,MATCH($B$2&amp;"|yC",Aux_puntos!$1:$1,0))),NA())</f>
        <v/>
      </c>
      <c r="AG286">
        <f>IFERROR(IF(INDEX(Aux_puntos!$A$2:$OJ$901,282,MATCH($B$2&amp;"|xI",Aux_puntos!$1:$1,0))="",NA(),INDEX(Aux_puntos!$A$2:$OJ$901,282,MATCH($B$2&amp;"|xI",Aux_puntos!$1:$1,0))),NA())</f>
        <v/>
      </c>
      <c r="AH286">
        <f>IFERROR(IF(INDEX(Aux_puntos!$A$2:$OJ$901,282,MATCH($B$2&amp;"|yI",Aux_puntos!$1:$1,0))="",NA(),INDEX(Aux_puntos!$A$2:$OJ$901,282,MATCH($B$2&amp;"|yI",Aux_puntos!$1:$1,0))),NA())</f>
        <v/>
      </c>
      <c r="AI286">
        <f>IFERROR(IF(INDEX(Aux_puntos!$A$2:$OJ$901,282,MATCH($B$2&amp;"|xN",Aux_puntos!$1:$1,0))="",NA(),INDEX(Aux_puntos!$A$2:$OJ$901,282,MATCH($B$2&amp;"|xN",Aux_puntos!$1:$1,0))),NA())</f>
        <v/>
      </c>
      <c r="AJ286">
        <f>IFERROR(IF(INDEX(Aux_puntos!$A$2:$OJ$901,282,MATCH($B$2&amp;"|yN",Aux_puntos!$1:$1,0))="",NA(),INDEX(Aux_puntos!$A$2:$OJ$901,282,MATCH($B$2&amp;"|yN",Aux_puntos!$1:$1,0))),NA())</f>
        <v/>
      </c>
    </row>
    <row r="287">
      <c r="AC287">
        <f>IFERROR(IF(INDEX(Aux_puntos!$A$2:$OJ$901,283,MATCH($B$2&amp;"|xK",Aux_puntos!$1:$1,0))="",NA(),INDEX(Aux_puntos!$A$2:$OJ$901,283,MATCH($B$2&amp;"|xK",Aux_puntos!$1:$1,0))),NA())</f>
        <v/>
      </c>
      <c r="AD287">
        <f>IFERROR(IF(INDEX(Aux_puntos!$A$2:$OJ$901,283,MATCH($B$2&amp;"|yK",Aux_puntos!$1:$1,0))="",NA(),INDEX(Aux_puntos!$A$2:$OJ$901,283,MATCH($B$2&amp;"|yK",Aux_puntos!$1:$1,0))),NA())</f>
        <v/>
      </c>
      <c r="AE287">
        <f>IFERROR(IF(INDEX(Aux_puntos!$A$2:$OJ$901,283,MATCH($B$2&amp;"|xC",Aux_puntos!$1:$1,0))="",NA(),INDEX(Aux_puntos!$A$2:$OJ$901,283,MATCH($B$2&amp;"|xC",Aux_puntos!$1:$1,0))),NA())</f>
        <v/>
      </c>
      <c r="AF287">
        <f>IFERROR(IF(INDEX(Aux_puntos!$A$2:$OJ$901,283,MATCH($B$2&amp;"|yC",Aux_puntos!$1:$1,0))="",NA(),INDEX(Aux_puntos!$A$2:$OJ$901,283,MATCH($B$2&amp;"|yC",Aux_puntos!$1:$1,0))),NA())</f>
        <v/>
      </c>
      <c r="AG287">
        <f>IFERROR(IF(INDEX(Aux_puntos!$A$2:$OJ$901,283,MATCH($B$2&amp;"|xI",Aux_puntos!$1:$1,0))="",NA(),INDEX(Aux_puntos!$A$2:$OJ$901,283,MATCH($B$2&amp;"|xI",Aux_puntos!$1:$1,0))),NA())</f>
        <v/>
      </c>
      <c r="AH287">
        <f>IFERROR(IF(INDEX(Aux_puntos!$A$2:$OJ$901,283,MATCH($B$2&amp;"|yI",Aux_puntos!$1:$1,0))="",NA(),INDEX(Aux_puntos!$A$2:$OJ$901,283,MATCH($B$2&amp;"|yI",Aux_puntos!$1:$1,0))),NA())</f>
        <v/>
      </c>
      <c r="AI287">
        <f>IFERROR(IF(INDEX(Aux_puntos!$A$2:$OJ$901,283,MATCH($B$2&amp;"|xN",Aux_puntos!$1:$1,0))="",NA(),INDEX(Aux_puntos!$A$2:$OJ$901,283,MATCH($B$2&amp;"|xN",Aux_puntos!$1:$1,0))),NA())</f>
        <v/>
      </c>
      <c r="AJ287">
        <f>IFERROR(IF(INDEX(Aux_puntos!$A$2:$OJ$901,283,MATCH($B$2&amp;"|yN",Aux_puntos!$1:$1,0))="",NA(),INDEX(Aux_puntos!$A$2:$OJ$901,283,MATCH($B$2&amp;"|yN",Aux_puntos!$1:$1,0))),NA())</f>
        <v/>
      </c>
    </row>
    <row r="288">
      <c r="AC288">
        <f>IFERROR(IF(INDEX(Aux_puntos!$A$2:$OJ$901,284,MATCH($B$2&amp;"|xK",Aux_puntos!$1:$1,0))="",NA(),INDEX(Aux_puntos!$A$2:$OJ$901,284,MATCH($B$2&amp;"|xK",Aux_puntos!$1:$1,0))),NA())</f>
        <v/>
      </c>
      <c r="AD288">
        <f>IFERROR(IF(INDEX(Aux_puntos!$A$2:$OJ$901,284,MATCH($B$2&amp;"|yK",Aux_puntos!$1:$1,0))="",NA(),INDEX(Aux_puntos!$A$2:$OJ$901,284,MATCH($B$2&amp;"|yK",Aux_puntos!$1:$1,0))),NA())</f>
        <v/>
      </c>
      <c r="AE288">
        <f>IFERROR(IF(INDEX(Aux_puntos!$A$2:$OJ$901,284,MATCH($B$2&amp;"|xC",Aux_puntos!$1:$1,0))="",NA(),INDEX(Aux_puntos!$A$2:$OJ$901,284,MATCH($B$2&amp;"|xC",Aux_puntos!$1:$1,0))),NA())</f>
        <v/>
      </c>
      <c r="AF288">
        <f>IFERROR(IF(INDEX(Aux_puntos!$A$2:$OJ$901,284,MATCH($B$2&amp;"|yC",Aux_puntos!$1:$1,0))="",NA(),INDEX(Aux_puntos!$A$2:$OJ$901,284,MATCH($B$2&amp;"|yC",Aux_puntos!$1:$1,0))),NA())</f>
        <v/>
      </c>
      <c r="AG288">
        <f>IFERROR(IF(INDEX(Aux_puntos!$A$2:$OJ$901,284,MATCH($B$2&amp;"|xI",Aux_puntos!$1:$1,0))="",NA(),INDEX(Aux_puntos!$A$2:$OJ$901,284,MATCH($B$2&amp;"|xI",Aux_puntos!$1:$1,0))),NA())</f>
        <v/>
      </c>
      <c r="AH288">
        <f>IFERROR(IF(INDEX(Aux_puntos!$A$2:$OJ$901,284,MATCH($B$2&amp;"|yI",Aux_puntos!$1:$1,0))="",NA(),INDEX(Aux_puntos!$A$2:$OJ$901,284,MATCH($B$2&amp;"|yI",Aux_puntos!$1:$1,0))),NA())</f>
        <v/>
      </c>
      <c r="AI288">
        <f>IFERROR(IF(INDEX(Aux_puntos!$A$2:$OJ$901,284,MATCH($B$2&amp;"|xN",Aux_puntos!$1:$1,0))="",NA(),INDEX(Aux_puntos!$A$2:$OJ$901,284,MATCH($B$2&amp;"|xN",Aux_puntos!$1:$1,0))),NA())</f>
        <v/>
      </c>
      <c r="AJ288">
        <f>IFERROR(IF(INDEX(Aux_puntos!$A$2:$OJ$901,284,MATCH($B$2&amp;"|yN",Aux_puntos!$1:$1,0))="",NA(),INDEX(Aux_puntos!$A$2:$OJ$901,284,MATCH($B$2&amp;"|yN",Aux_puntos!$1:$1,0))),NA())</f>
        <v/>
      </c>
    </row>
    <row r="289">
      <c r="AC289">
        <f>IFERROR(IF(INDEX(Aux_puntos!$A$2:$OJ$901,285,MATCH($B$2&amp;"|xK",Aux_puntos!$1:$1,0))="",NA(),INDEX(Aux_puntos!$A$2:$OJ$901,285,MATCH($B$2&amp;"|xK",Aux_puntos!$1:$1,0))),NA())</f>
        <v/>
      </c>
      <c r="AD289">
        <f>IFERROR(IF(INDEX(Aux_puntos!$A$2:$OJ$901,285,MATCH($B$2&amp;"|yK",Aux_puntos!$1:$1,0))="",NA(),INDEX(Aux_puntos!$A$2:$OJ$901,285,MATCH($B$2&amp;"|yK",Aux_puntos!$1:$1,0))),NA())</f>
        <v/>
      </c>
      <c r="AE289">
        <f>IFERROR(IF(INDEX(Aux_puntos!$A$2:$OJ$901,285,MATCH($B$2&amp;"|xC",Aux_puntos!$1:$1,0))="",NA(),INDEX(Aux_puntos!$A$2:$OJ$901,285,MATCH($B$2&amp;"|xC",Aux_puntos!$1:$1,0))),NA())</f>
        <v/>
      </c>
      <c r="AF289">
        <f>IFERROR(IF(INDEX(Aux_puntos!$A$2:$OJ$901,285,MATCH($B$2&amp;"|yC",Aux_puntos!$1:$1,0))="",NA(),INDEX(Aux_puntos!$A$2:$OJ$901,285,MATCH($B$2&amp;"|yC",Aux_puntos!$1:$1,0))),NA())</f>
        <v/>
      </c>
      <c r="AG289">
        <f>IFERROR(IF(INDEX(Aux_puntos!$A$2:$OJ$901,285,MATCH($B$2&amp;"|xI",Aux_puntos!$1:$1,0))="",NA(),INDEX(Aux_puntos!$A$2:$OJ$901,285,MATCH($B$2&amp;"|xI",Aux_puntos!$1:$1,0))),NA())</f>
        <v/>
      </c>
      <c r="AH289">
        <f>IFERROR(IF(INDEX(Aux_puntos!$A$2:$OJ$901,285,MATCH($B$2&amp;"|yI",Aux_puntos!$1:$1,0))="",NA(),INDEX(Aux_puntos!$A$2:$OJ$901,285,MATCH($B$2&amp;"|yI",Aux_puntos!$1:$1,0))),NA())</f>
        <v/>
      </c>
      <c r="AI289">
        <f>IFERROR(IF(INDEX(Aux_puntos!$A$2:$OJ$901,285,MATCH($B$2&amp;"|xN",Aux_puntos!$1:$1,0))="",NA(),INDEX(Aux_puntos!$A$2:$OJ$901,285,MATCH($B$2&amp;"|xN",Aux_puntos!$1:$1,0))),NA())</f>
        <v/>
      </c>
      <c r="AJ289">
        <f>IFERROR(IF(INDEX(Aux_puntos!$A$2:$OJ$901,285,MATCH($B$2&amp;"|yN",Aux_puntos!$1:$1,0))="",NA(),INDEX(Aux_puntos!$A$2:$OJ$901,285,MATCH($B$2&amp;"|yN",Aux_puntos!$1:$1,0))),NA())</f>
        <v/>
      </c>
    </row>
    <row r="290">
      <c r="AC290">
        <f>IFERROR(IF(INDEX(Aux_puntos!$A$2:$OJ$901,286,MATCH($B$2&amp;"|xK",Aux_puntos!$1:$1,0))="",NA(),INDEX(Aux_puntos!$A$2:$OJ$901,286,MATCH($B$2&amp;"|xK",Aux_puntos!$1:$1,0))),NA())</f>
        <v/>
      </c>
      <c r="AD290">
        <f>IFERROR(IF(INDEX(Aux_puntos!$A$2:$OJ$901,286,MATCH($B$2&amp;"|yK",Aux_puntos!$1:$1,0))="",NA(),INDEX(Aux_puntos!$A$2:$OJ$901,286,MATCH($B$2&amp;"|yK",Aux_puntos!$1:$1,0))),NA())</f>
        <v/>
      </c>
      <c r="AE290">
        <f>IFERROR(IF(INDEX(Aux_puntos!$A$2:$OJ$901,286,MATCH($B$2&amp;"|xC",Aux_puntos!$1:$1,0))="",NA(),INDEX(Aux_puntos!$A$2:$OJ$901,286,MATCH($B$2&amp;"|xC",Aux_puntos!$1:$1,0))),NA())</f>
        <v/>
      </c>
      <c r="AF290">
        <f>IFERROR(IF(INDEX(Aux_puntos!$A$2:$OJ$901,286,MATCH($B$2&amp;"|yC",Aux_puntos!$1:$1,0))="",NA(),INDEX(Aux_puntos!$A$2:$OJ$901,286,MATCH($B$2&amp;"|yC",Aux_puntos!$1:$1,0))),NA())</f>
        <v/>
      </c>
      <c r="AG290">
        <f>IFERROR(IF(INDEX(Aux_puntos!$A$2:$OJ$901,286,MATCH($B$2&amp;"|xI",Aux_puntos!$1:$1,0))="",NA(),INDEX(Aux_puntos!$A$2:$OJ$901,286,MATCH($B$2&amp;"|xI",Aux_puntos!$1:$1,0))),NA())</f>
        <v/>
      </c>
      <c r="AH290">
        <f>IFERROR(IF(INDEX(Aux_puntos!$A$2:$OJ$901,286,MATCH($B$2&amp;"|yI",Aux_puntos!$1:$1,0))="",NA(),INDEX(Aux_puntos!$A$2:$OJ$901,286,MATCH($B$2&amp;"|yI",Aux_puntos!$1:$1,0))),NA())</f>
        <v/>
      </c>
      <c r="AI290">
        <f>IFERROR(IF(INDEX(Aux_puntos!$A$2:$OJ$901,286,MATCH($B$2&amp;"|xN",Aux_puntos!$1:$1,0))="",NA(),INDEX(Aux_puntos!$A$2:$OJ$901,286,MATCH($B$2&amp;"|xN",Aux_puntos!$1:$1,0))),NA())</f>
        <v/>
      </c>
      <c r="AJ290">
        <f>IFERROR(IF(INDEX(Aux_puntos!$A$2:$OJ$901,286,MATCH($B$2&amp;"|yN",Aux_puntos!$1:$1,0))="",NA(),INDEX(Aux_puntos!$A$2:$OJ$901,286,MATCH($B$2&amp;"|yN",Aux_puntos!$1:$1,0))),NA())</f>
        <v/>
      </c>
    </row>
    <row r="291">
      <c r="AC291">
        <f>IFERROR(IF(INDEX(Aux_puntos!$A$2:$OJ$901,287,MATCH($B$2&amp;"|xK",Aux_puntos!$1:$1,0))="",NA(),INDEX(Aux_puntos!$A$2:$OJ$901,287,MATCH($B$2&amp;"|xK",Aux_puntos!$1:$1,0))),NA())</f>
        <v/>
      </c>
      <c r="AD291">
        <f>IFERROR(IF(INDEX(Aux_puntos!$A$2:$OJ$901,287,MATCH($B$2&amp;"|yK",Aux_puntos!$1:$1,0))="",NA(),INDEX(Aux_puntos!$A$2:$OJ$901,287,MATCH($B$2&amp;"|yK",Aux_puntos!$1:$1,0))),NA())</f>
        <v/>
      </c>
      <c r="AE291">
        <f>IFERROR(IF(INDEX(Aux_puntos!$A$2:$OJ$901,287,MATCH($B$2&amp;"|xC",Aux_puntos!$1:$1,0))="",NA(),INDEX(Aux_puntos!$A$2:$OJ$901,287,MATCH($B$2&amp;"|xC",Aux_puntos!$1:$1,0))),NA())</f>
        <v/>
      </c>
      <c r="AF291">
        <f>IFERROR(IF(INDEX(Aux_puntos!$A$2:$OJ$901,287,MATCH($B$2&amp;"|yC",Aux_puntos!$1:$1,0))="",NA(),INDEX(Aux_puntos!$A$2:$OJ$901,287,MATCH($B$2&amp;"|yC",Aux_puntos!$1:$1,0))),NA())</f>
        <v/>
      </c>
      <c r="AG291">
        <f>IFERROR(IF(INDEX(Aux_puntos!$A$2:$OJ$901,287,MATCH($B$2&amp;"|xI",Aux_puntos!$1:$1,0))="",NA(),INDEX(Aux_puntos!$A$2:$OJ$901,287,MATCH($B$2&amp;"|xI",Aux_puntos!$1:$1,0))),NA())</f>
        <v/>
      </c>
      <c r="AH291">
        <f>IFERROR(IF(INDEX(Aux_puntos!$A$2:$OJ$901,287,MATCH($B$2&amp;"|yI",Aux_puntos!$1:$1,0))="",NA(),INDEX(Aux_puntos!$A$2:$OJ$901,287,MATCH($B$2&amp;"|yI",Aux_puntos!$1:$1,0))),NA())</f>
        <v/>
      </c>
      <c r="AI291">
        <f>IFERROR(IF(INDEX(Aux_puntos!$A$2:$OJ$901,287,MATCH($B$2&amp;"|xN",Aux_puntos!$1:$1,0))="",NA(),INDEX(Aux_puntos!$A$2:$OJ$901,287,MATCH($B$2&amp;"|xN",Aux_puntos!$1:$1,0))),NA())</f>
        <v/>
      </c>
      <c r="AJ291">
        <f>IFERROR(IF(INDEX(Aux_puntos!$A$2:$OJ$901,287,MATCH($B$2&amp;"|yN",Aux_puntos!$1:$1,0))="",NA(),INDEX(Aux_puntos!$A$2:$OJ$901,287,MATCH($B$2&amp;"|yN",Aux_puntos!$1:$1,0))),NA())</f>
        <v/>
      </c>
    </row>
    <row r="292">
      <c r="AC292">
        <f>IFERROR(IF(INDEX(Aux_puntos!$A$2:$OJ$901,288,MATCH($B$2&amp;"|xK",Aux_puntos!$1:$1,0))="",NA(),INDEX(Aux_puntos!$A$2:$OJ$901,288,MATCH($B$2&amp;"|xK",Aux_puntos!$1:$1,0))),NA())</f>
        <v/>
      </c>
      <c r="AD292">
        <f>IFERROR(IF(INDEX(Aux_puntos!$A$2:$OJ$901,288,MATCH($B$2&amp;"|yK",Aux_puntos!$1:$1,0))="",NA(),INDEX(Aux_puntos!$A$2:$OJ$901,288,MATCH($B$2&amp;"|yK",Aux_puntos!$1:$1,0))),NA())</f>
        <v/>
      </c>
      <c r="AE292">
        <f>IFERROR(IF(INDEX(Aux_puntos!$A$2:$OJ$901,288,MATCH($B$2&amp;"|xC",Aux_puntos!$1:$1,0))="",NA(),INDEX(Aux_puntos!$A$2:$OJ$901,288,MATCH($B$2&amp;"|xC",Aux_puntos!$1:$1,0))),NA())</f>
        <v/>
      </c>
      <c r="AF292">
        <f>IFERROR(IF(INDEX(Aux_puntos!$A$2:$OJ$901,288,MATCH($B$2&amp;"|yC",Aux_puntos!$1:$1,0))="",NA(),INDEX(Aux_puntos!$A$2:$OJ$901,288,MATCH($B$2&amp;"|yC",Aux_puntos!$1:$1,0))),NA())</f>
        <v/>
      </c>
      <c r="AG292">
        <f>IFERROR(IF(INDEX(Aux_puntos!$A$2:$OJ$901,288,MATCH($B$2&amp;"|xI",Aux_puntos!$1:$1,0))="",NA(),INDEX(Aux_puntos!$A$2:$OJ$901,288,MATCH($B$2&amp;"|xI",Aux_puntos!$1:$1,0))),NA())</f>
        <v/>
      </c>
      <c r="AH292">
        <f>IFERROR(IF(INDEX(Aux_puntos!$A$2:$OJ$901,288,MATCH($B$2&amp;"|yI",Aux_puntos!$1:$1,0))="",NA(),INDEX(Aux_puntos!$A$2:$OJ$901,288,MATCH($B$2&amp;"|yI",Aux_puntos!$1:$1,0))),NA())</f>
        <v/>
      </c>
      <c r="AI292">
        <f>IFERROR(IF(INDEX(Aux_puntos!$A$2:$OJ$901,288,MATCH($B$2&amp;"|xN",Aux_puntos!$1:$1,0))="",NA(),INDEX(Aux_puntos!$A$2:$OJ$901,288,MATCH($B$2&amp;"|xN",Aux_puntos!$1:$1,0))),NA())</f>
        <v/>
      </c>
      <c r="AJ292">
        <f>IFERROR(IF(INDEX(Aux_puntos!$A$2:$OJ$901,288,MATCH($B$2&amp;"|yN",Aux_puntos!$1:$1,0))="",NA(),INDEX(Aux_puntos!$A$2:$OJ$901,288,MATCH($B$2&amp;"|yN",Aux_puntos!$1:$1,0))),NA())</f>
        <v/>
      </c>
    </row>
    <row r="293">
      <c r="AC293">
        <f>IFERROR(IF(INDEX(Aux_puntos!$A$2:$OJ$901,289,MATCH($B$2&amp;"|xK",Aux_puntos!$1:$1,0))="",NA(),INDEX(Aux_puntos!$A$2:$OJ$901,289,MATCH($B$2&amp;"|xK",Aux_puntos!$1:$1,0))),NA())</f>
        <v/>
      </c>
      <c r="AD293">
        <f>IFERROR(IF(INDEX(Aux_puntos!$A$2:$OJ$901,289,MATCH($B$2&amp;"|yK",Aux_puntos!$1:$1,0))="",NA(),INDEX(Aux_puntos!$A$2:$OJ$901,289,MATCH($B$2&amp;"|yK",Aux_puntos!$1:$1,0))),NA())</f>
        <v/>
      </c>
      <c r="AE293">
        <f>IFERROR(IF(INDEX(Aux_puntos!$A$2:$OJ$901,289,MATCH($B$2&amp;"|xC",Aux_puntos!$1:$1,0))="",NA(),INDEX(Aux_puntos!$A$2:$OJ$901,289,MATCH($B$2&amp;"|xC",Aux_puntos!$1:$1,0))),NA())</f>
        <v/>
      </c>
      <c r="AF293">
        <f>IFERROR(IF(INDEX(Aux_puntos!$A$2:$OJ$901,289,MATCH($B$2&amp;"|yC",Aux_puntos!$1:$1,0))="",NA(),INDEX(Aux_puntos!$A$2:$OJ$901,289,MATCH($B$2&amp;"|yC",Aux_puntos!$1:$1,0))),NA())</f>
        <v/>
      </c>
      <c r="AG293">
        <f>IFERROR(IF(INDEX(Aux_puntos!$A$2:$OJ$901,289,MATCH($B$2&amp;"|xI",Aux_puntos!$1:$1,0))="",NA(),INDEX(Aux_puntos!$A$2:$OJ$901,289,MATCH($B$2&amp;"|xI",Aux_puntos!$1:$1,0))),NA())</f>
        <v/>
      </c>
      <c r="AH293">
        <f>IFERROR(IF(INDEX(Aux_puntos!$A$2:$OJ$901,289,MATCH($B$2&amp;"|yI",Aux_puntos!$1:$1,0))="",NA(),INDEX(Aux_puntos!$A$2:$OJ$901,289,MATCH($B$2&amp;"|yI",Aux_puntos!$1:$1,0))),NA())</f>
        <v/>
      </c>
      <c r="AI293">
        <f>IFERROR(IF(INDEX(Aux_puntos!$A$2:$OJ$901,289,MATCH($B$2&amp;"|xN",Aux_puntos!$1:$1,0))="",NA(),INDEX(Aux_puntos!$A$2:$OJ$901,289,MATCH($B$2&amp;"|xN",Aux_puntos!$1:$1,0))),NA())</f>
        <v/>
      </c>
      <c r="AJ293">
        <f>IFERROR(IF(INDEX(Aux_puntos!$A$2:$OJ$901,289,MATCH($B$2&amp;"|yN",Aux_puntos!$1:$1,0))="",NA(),INDEX(Aux_puntos!$A$2:$OJ$901,289,MATCH($B$2&amp;"|yN",Aux_puntos!$1:$1,0))),NA())</f>
        <v/>
      </c>
    </row>
    <row r="294">
      <c r="AC294">
        <f>IFERROR(IF(INDEX(Aux_puntos!$A$2:$OJ$901,290,MATCH($B$2&amp;"|xK",Aux_puntos!$1:$1,0))="",NA(),INDEX(Aux_puntos!$A$2:$OJ$901,290,MATCH($B$2&amp;"|xK",Aux_puntos!$1:$1,0))),NA())</f>
        <v/>
      </c>
      <c r="AD294">
        <f>IFERROR(IF(INDEX(Aux_puntos!$A$2:$OJ$901,290,MATCH($B$2&amp;"|yK",Aux_puntos!$1:$1,0))="",NA(),INDEX(Aux_puntos!$A$2:$OJ$901,290,MATCH($B$2&amp;"|yK",Aux_puntos!$1:$1,0))),NA())</f>
        <v/>
      </c>
      <c r="AE294">
        <f>IFERROR(IF(INDEX(Aux_puntos!$A$2:$OJ$901,290,MATCH($B$2&amp;"|xC",Aux_puntos!$1:$1,0))="",NA(),INDEX(Aux_puntos!$A$2:$OJ$901,290,MATCH($B$2&amp;"|xC",Aux_puntos!$1:$1,0))),NA())</f>
        <v/>
      </c>
      <c r="AF294">
        <f>IFERROR(IF(INDEX(Aux_puntos!$A$2:$OJ$901,290,MATCH($B$2&amp;"|yC",Aux_puntos!$1:$1,0))="",NA(),INDEX(Aux_puntos!$A$2:$OJ$901,290,MATCH($B$2&amp;"|yC",Aux_puntos!$1:$1,0))),NA())</f>
        <v/>
      </c>
      <c r="AG294">
        <f>IFERROR(IF(INDEX(Aux_puntos!$A$2:$OJ$901,290,MATCH($B$2&amp;"|xI",Aux_puntos!$1:$1,0))="",NA(),INDEX(Aux_puntos!$A$2:$OJ$901,290,MATCH($B$2&amp;"|xI",Aux_puntos!$1:$1,0))),NA())</f>
        <v/>
      </c>
      <c r="AH294">
        <f>IFERROR(IF(INDEX(Aux_puntos!$A$2:$OJ$901,290,MATCH($B$2&amp;"|yI",Aux_puntos!$1:$1,0))="",NA(),INDEX(Aux_puntos!$A$2:$OJ$901,290,MATCH($B$2&amp;"|yI",Aux_puntos!$1:$1,0))),NA())</f>
        <v/>
      </c>
      <c r="AI294">
        <f>IFERROR(IF(INDEX(Aux_puntos!$A$2:$OJ$901,290,MATCH($B$2&amp;"|xN",Aux_puntos!$1:$1,0))="",NA(),INDEX(Aux_puntos!$A$2:$OJ$901,290,MATCH($B$2&amp;"|xN",Aux_puntos!$1:$1,0))),NA())</f>
        <v/>
      </c>
      <c r="AJ294">
        <f>IFERROR(IF(INDEX(Aux_puntos!$A$2:$OJ$901,290,MATCH($B$2&amp;"|yN",Aux_puntos!$1:$1,0))="",NA(),INDEX(Aux_puntos!$A$2:$OJ$901,290,MATCH($B$2&amp;"|yN",Aux_puntos!$1:$1,0))),NA())</f>
        <v/>
      </c>
    </row>
    <row r="295">
      <c r="AC295">
        <f>IFERROR(IF(INDEX(Aux_puntos!$A$2:$OJ$901,291,MATCH($B$2&amp;"|xK",Aux_puntos!$1:$1,0))="",NA(),INDEX(Aux_puntos!$A$2:$OJ$901,291,MATCH($B$2&amp;"|xK",Aux_puntos!$1:$1,0))),NA())</f>
        <v/>
      </c>
      <c r="AD295">
        <f>IFERROR(IF(INDEX(Aux_puntos!$A$2:$OJ$901,291,MATCH($B$2&amp;"|yK",Aux_puntos!$1:$1,0))="",NA(),INDEX(Aux_puntos!$A$2:$OJ$901,291,MATCH($B$2&amp;"|yK",Aux_puntos!$1:$1,0))),NA())</f>
        <v/>
      </c>
      <c r="AE295">
        <f>IFERROR(IF(INDEX(Aux_puntos!$A$2:$OJ$901,291,MATCH($B$2&amp;"|xC",Aux_puntos!$1:$1,0))="",NA(),INDEX(Aux_puntos!$A$2:$OJ$901,291,MATCH($B$2&amp;"|xC",Aux_puntos!$1:$1,0))),NA())</f>
        <v/>
      </c>
      <c r="AF295">
        <f>IFERROR(IF(INDEX(Aux_puntos!$A$2:$OJ$901,291,MATCH($B$2&amp;"|yC",Aux_puntos!$1:$1,0))="",NA(),INDEX(Aux_puntos!$A$2:$OJ$901,291,MATCH($B$2&amp;"|yC",Aux_puntos!$1:$1,0))),NA())</f>
        <v/>
      </c>
      <c r="AG295">
        <f>IFERROR(IF(INDEX(Aux_puntos!$A$2:$OJ$901,291,MATCH($B$2&amp;"|xI",Aux_puntos!$1:$1,0))="",NA(),INDEX(Aux_puntos!$A$2:$OJ$901,291,MATCH($B$2&amp;"|xI",Aux_puntos!$1:$1,0))),NA())</f>
        <v/>
      </c>
      <c r="AH295">
        <f>IFERROR(IF(INDEX(Aux_puntos!$A$2:$OJ$901,291,MATCH($B$2&amp;"|yI",Aux_puntos!$1:$1,0))="",NA(),INDEX(Aux_puntos!$A$2:$OJ$901,291,MATCH($B$2&amp;"|yI",Aux_puntos!$1:$1,0))),NA())</f>
        <v/>
      </c>
      <c r="AI295">
        <f>IFERROR(IF(INDEX(Aux_puntos!$A$2:$OJ$901,291,MATCH($B$2&amp;"|xN",Aux_puntos!$1:$1,0))="",NA(),INDEX(Aux_puntos!$A$2:$OJ$901,291,MATCH($B$2&amp;"|xN",Aux_puntos!$1:$1,0))),NA())</f>
        <v/>
      </c>
      <c r="AJ295">
        <f>IFERROR(IF(INDEX(Aux_puntos!$A$2:$OJ$901,291,MATCH($B$2&amp;"|yN",Aux_puntos!$1:$1,0))="",NA(),INDEX(Aux_puntos!$A$2:$OJ$901,291,MATCH($B$2&amp;"|yN",Aux_puntos!$1:$1,0))),NA())</f>
        <v/>
      </c>
    </row>
    <row r="296">
      <c r="AC296">
        <f>IFERROR(IF(INDEX(Aux_puntos!$A$2:$OJ$901,292,MATCH($B$2&amp;"|xK",Aux_puntos!$1:$1,0))="",NA(),INDEX(Aux_puntos!$A$2:$OJ$901,292,MATCH($B$2&amp;"|xK",Aux_puntos!$1:$1,0))),NA())</f>
        <v/>
      </c>
      <c r="AD296">
        <f>IFERROR(IF(INDEX(Aux_puntos!$A$2:$OJ$901,292,MATCH($B$2&amp;"|yK",Aux_puntos!$1:$1,0))="",NA(),INDEX(Aux_puntos!$A$2:$OJ$901,292,MATCH($B$2&amp;"|yK",Aux_puntos!$1:$1,0))),NA())</f>
        <v/>
      </c>
      <c r="AE296">
        <f>IFERROR(IF(INDEX(Aux_puntos!$A$2:$OJ$901,292,MATCH($B$2&amp;"|xC",Aux_puntos!$1:$1,0))="",NA(),INDEX(Aux_puntos!$A$2:$OJ$901,292,MATCH($B$2&amp;"|xC",Aux_puntos!$1:$1,0))),NA())</f>
        <v/>
      </c>
      <c r="AF296">
        <f>IFERROR(IF(INDEX(Aux_puntos!$A$2:$OJ$901,292,MATCH($B$2&amp;"|yC",Aux_puntos!$1:$1,0))="",NA(),INDEX(Aux_puntos!$A$2:$OJ$901,292,MATCH($B$2&amp;"|yC",Aux_puntos!$1:$1,0))),NA())</f>
        <v/>
      </c>
      <c r="AG296">
        <f>IFERROR(IF(INDEX(Aux_puntos!$A$2:$OJ$901,292,MATCH($B$2&amp;"|xI",Aux_puntos!$1:$1,0))="",NA(),INDEX(Aux_puntos!$A$2:$OJ$901,292,MATCH($B$2&amp;"|xI",Aux_puntos!$1:$1,0))),NA())</f>
        <v/>
      </c>
      <c r="AH296">
        <f>IFERROR(IF(INDEX(Aux_puntos!$A$2:$OJ$901,292,MATCH($B$2&amp;"|yI",Aux_puntos!$1:$1,0))="",NA(),INDEX(Aux_puntos!$A$2:$OJ$901,292,MATCH($B$2&amp;"|yI",Aux_puntos!$1:$1,0))),NA())</f>
        <v/>
      </c>
      <c r="AI296">
        <f>IFERROR(IF(INDEX(Aux_puntos!$A$2:$OJ$901,292,MATCH($B$2&amp;"|xN",Aux_puntos!$1:$1,0))="",NA(),INDEX(Aux_puntos!$A$2:$OJ$901,292,MATCH($B$2&amp;"|xN",Aux_puntos!$1:$1,0))),NA())</f>
        <v/>
      </c>
      <c r="AJ296">
        <f>IFERROR(IF(INDEX(Aux_puntos!$A$2:$OJ$901,292,MATCH($B$2&amp;"|yN",Aux_puntos!$1:$1,0))="",NA(),INDEX(Aux_puntos!$A$2:$OJ$901,292,MATCH($B$2&amp;"|yN",Aux_puntos!$1:$1,0))),NA())</f>
        <v/>
      </c>
    </row>
    <row r="297">
      <c r="AC297">
        <f>IFERROR(IF(INDEX(Aux_puntos!$A$2:$OJ$901,293,MATCH($B$2&amp;"|xK",Aux_puntos!$1:$1,0))="",NA(),INDEX(Aux_puntos!$A$2:$OJ$901,293,MATCH($B$2&amp;"|xK",Aux_puntos!$1:$1,0))),NA())</f>
        <v/>
      </c>
      <c r="AD297">
        <f>IFERROR(IF(INDEX(Aux_puntos!$A$2:$OJ$901,293,MATCH($B$2&amp;"|yK",Aux_puntos!$1:$1,0))="",NA(),INDEX(Aux_puntos!$A$2:$OJ$901,293,MATCH($B$2&amp;"|yK",Aux_puntos!$1:$1,0))),NA())</f>
        <v/>
      </c>
      <c r="AE297">
        <f>IFERROR(IF(INDEX(Aux_puntos!$A$2:$OJ$901,293,MATCH($B$2&amp;"|xC",Aux_puntos!$1:$1,0))="",NA(),INDEX(Aux_puntos!$A$2:$OJ$901,293,MATCH($B$2&amp;"|xC",Aux_puntos!$1:$1,0))),NA())</f>
        <v/>
      </c>
      <c r="AF297">
        <f>IFERROR(IF(INDEX(Aux_puntos!$A$2:$OJ$901,293,MATCH($B$2&amp;"|yC",Aux_puntos!$1:$1,0))="",NA(),INDEX(Aux_puntos!$A$2:$OJ$901,293,MATCH($B$2&amp;"|yC",Aux_puntos!$1:$1,0))),NA())</f>
        <v/>
      </c>
      <c r="AG297">
        <f>IFERROR(IF(INDEX(Aux_puntos!$A$2:$OJ$901,293,MATCH($B$2&amp;"|xI",Aux_puntos!$1:$1,0))="",NA(),INDEX(Aux_puntos!$A$2:$OJ$901,293,MATCH($B$2&amp;"|xI",Aux_puntos!$1:$1,0))),NA())</f>
        <v/>
      </c>
      <c r="AH297">
        <f>IFERROR(IF(INDEX(Aux_puntos!$A$2:$OJ$901,293,MATCH($B$2&amp;"|yI",Aux_puntos!$1:$1,0))="",NA(),INDEX(Aux_puntos!$A$2:$OJ$901,293,MATCH($B$2&amp;"|yI",Aux_puntos!$1:$1,0))),NA())</f>
        <v/>
      </c>
      <c r="AI297">
        <f>IFERROR(IF(INDEX(Aux_puntos!$A$2:$OJ$901,293,MATCH($B$2&amp;"|xN",Aux_puntos!$1:$1,0))="",NA(),INDEX(Aux_puntos!$A$2:$OJ$901,293,MATCH($B$2&amp;"|xN",Aux_puntos!$1:$1,0))),NA())</f>
        <v/>
      </c>
      <c r="AJ297">
        <f>IFERROR(IF(INDEX(Aux_puntos!$A$2:$OJ$901,293,MATCH($B$2&amp;"|yN",Aux_puntos!$1:$1,0))="",NA(),INDEX(Aux_puntos!$A$2:$OJ$901,293,MATCH($B$2&amp;"|yN",Aux_puntos!$1:$1,0))),NA())</f>
        <v/>
      </c>
    </row>
    <row r="298">
      <c r="AC298">
        <f>IFERROR(IF(INDEX(Aux_puntos!$A$2:$OJ$901,294,MATCH($B$2&amp;"|xK",Aux_puntos!$1:$1,0))="",NA(),INDEX(Aux_puntos!$A$2:$OJ$901,294,MATCH($B$2&amp;"|xK",Aux_puntos!$1:$1,0))),NA())</f>
        <v/>
      </c>
      <c r="AD298">
        <f>IFERROR(IF(INDEX(Aux_puntos!$A$2:$OJ$901,294,MATCH($B$2&amp;"|yK",Aux_puntos!$1:$1,0))="",NA(),INDEX(Aux_puntos!$A$2:$OJ$901,294,MATCH($B$2&amp;"|yK",Aux_puntos!$1:$1,0))),NA())</f>
        <v/>
      </c>
      <c r="AE298">
        <f>IFERROR(IF(INDEX(Aux_puntos!$A$2:$OJ$901,294,MATCH($B$2&amp;"|xC",Aux_puntos!$1:$1,0))="",NA(),INDEX(Aux_puntos!$A$2:$OJ$901,294,MATCH($B$2&amp;"|xC",Aux_puntos!$1:$1,0))),NA())</f>
        <v/>
      </c>
      <c r="AF298">
        <f>IFERROR(IF(INDEX(Aux_puntos!$A$2:$OJ$901,294,MATCH($B$2&amp;"|yC",Aux_puntos!$1:$1,0))="",NA(),INDEX(Aux_puntos!$A$2:$OJ$901,294,MATCH($B$2&amp;"|yC",Aux_puntos!$1:$1,0))),NA())</f>
        <v/>
      </c>
      <c r="AG298">
        <f>IFERROR(IF(INDEX(Aux_puntos!$A$2:$OJ$901,294,MATCH($B$2&amp;"|xI",Aux_puntos!$1:$1,0))="",NA(),INDEX(Aux_puntos!$A$2:$OJ$901,294,MATCH($B$2&amp;"|xI",Aux_puntos!$1:$1,0))),NA())</f>
        <v/>
      </c>
      <c r="AH298">
        <f>IFERROR(IF(INDEX(Aux_puntos!$A$2:$OJ$901,294,MATCH($B$2&amp;"|yI",Aux_puntos!$1:$1,0))="",NA(),INDEX(Aux_puntos!$A$2:$OJ$901,294,MATCH($B$2&amp;"|yI",Aux_puntos!$1:$1,0))),NA())</f>
        <v/>
      </c>
      <c r="AI298">
        <f>IFERROR(IF(INDEX(Aux_puntos!$A$2:$OJ$901,294,MATCH($B$2&amp;"|xN",Aux_puntos!$1:$1,0))="",NA(),INDEX(Aux_puntos!$A$2:$OJ$901,294,MATCH($B$2&amp;"|xN",Aux_puntos!$1:$1,0))),NA())</f>
        <v/>
      </c>
      <c r="AJ298">
        <f>IFERROR(IF(INDEX(Aux_puntos!$A$2:$OJ$901,294,MATCH($B$2&amp;"|yN",Aux_puntos!$1:$1,0))="",NA(),INDEX(Aux_puntos!$A$2:$OJ$901,294,MATCH($B$2&amp;"|yN",Aux_puntos!$1:$1,0))),NA())</f>
        <v/>
      </c>
    </row>
    <row r="299">
      <c r="AC299">
        <f>IFERROR(IF(INDEX(Aux_puntos!$A$2:$OJ$901,295,MATCH($B$2&amp;"|xK",Aux_puntos!$1:$1,0))="",NA(),INDEX(Aux_puntos!$A$2:$OJ$901,295,MATCH($B$2&amp;"|xK",Aux_puntos!$1:$1,0))),NA())</f>
        <v/>
      </c>
      <c r="AD299">
        <f>IFERROR(IF(INDEX(Aux_puntos!$A$2:$OJ$901,295,MATCH($B$2&amp;"|yK",Aux_puntos!$1:$1,0))="",NA(),INDEX(Aux_puntos!$A$2:$OJ$901,295,MATCH($B$2&amp;"|yK",Aux_puntos!$1:$1,0))),NA())</f>
        <v/>
      </c>
      <c r="AE299">
        <f>IFERROR(IF(INDEX(Aux_puntos!$A$2:$OJ$901,295,MATCH($B$2&amp;"|xC",Aux_puntos!$1:$1,0))="",NA(),INDEX(Aux_puntos!$A$2:$OJ$901,295,MATCH($B$2&amp;"|xC",Aux_puntos!$1:$1,0))),NA())</f>
        <v/>
      </c>
      <c r="AF299">
        <f>IFERROR(IF(INDEX(Aux_puntos!$A$2:$OJ$901,295,MATCH($B$2&amp;"|yC",Aux_puntos!$1:$1,0))="",NA(),INDEX(Aux_puntos!$A$2:$OJ$901,295,MATCH($B$2&amp;"|yC",Aux_puntos!$1:$1,0))),NA())</f>
        <v/>
      </c>
      <c r="AG299">
        <f>IFERROR(IF(INDEX(Aux_puntos!$A$2:$OJ$901,295,MATCH($B$2&amp;"|xI",Aux_puntos!$1:$1,0))="",NA(),INDEX(Aux_puntos!$A$2:$OJ$901,295,MATCH($B$2&amp;"|xI",Aux_puntos!$1:$1,0))),NA())</f>
        <v/>
      </c>
      <c r="AH299">
        <f>IFERROR(IF(INDEX(Aux_puntos!$A$2:$OJ$901,295,MATCH($B$2&amp;"|yI",Aux_puntos!$1:$1,0))="",NA(),INDEX(Aux_puntos!$A$2:$OJ$901,295,MATCH($B$2&amp;"|yI",Aux_puntos!$1:$1,0))),NA())</f>
        <v/>
      </c>
      <c r="AI299">
        <f>IFERROR(IF(INDEX(Aux_puntos!$A$2:$OJ$901,295,MATCH($B$2&amp;"|xN",Aux_puntos!$1:$1,0))="",NA(),INDEX(Aux_puntos!$A$2:$OJ$901,295,MATCH($B$2&amp;"|xN",Aux_puntos!$1:$1,0))),NA())</f>
        <v/>
      </c>
      <c r="AJ299">
        <f>IFERROR(IF(INDEX(Aux_puntos!$A$2:$OJ$901,295,MATCH($B$2&amp;"|yN",Aux_puntos!$1:$1,0))="",NA(),INDEX(Aux_puntos!$A$2:$OJ$901,295,MATCH($B$2&amp;"|yN",Aux_puntos!$1:$1,0))),NA())</f>
        <v/>
      </c>
    </row>
    <row r="300">
      <c r="AC300">
        <f>IFERROR(IF(INDEX(Aux_puntos!$A$2:$OJ$901,296,MATCH($B$2&amp;"|xK",Aux_puntos!$1:$1,0))="",NA(),INDEX(Aux_puntos!$A$2:$OJ$901,296,MATCH($B$2&amp;"|xK",Aux_puntos!$1:$1,0))),NA())</f>
        <v/>
      </c>
      <c r="AD300">
        <f>IFERROR(IF(INDEX(Aux_puntos!$A$2:$OJ$901,296,MATCH($B$2&amp;"|yK",Aux_puntos!$1:$1,0))="",NA(),INDEX(Aux_puntos!$A$2:$OJ$901,296,MATCH($B$2&amp;"|yK",Aux_puntos!$1:$1,0))),NA())</f>
        <v/>
      </c>
      <c r="AE300">
        <f>IFERROR(IF(INDEX(Aux_puntos!$A$2:$OJ$901,296,MATCH($B$2&amp;"|xC",Aux_puntos!$1:$1,0))="",NA(),INDEX(Aux_puntos!$A$2:$OJ$901,296,MATCH($B$2&amp;"|xC",Aux_puntos!$1:$1,0))),NA())</f>
        <v/>
      </c>
      <c r="AF300">
        <f>IFERROR(IF(INDEX(Aux_puntos!$A$2:$OJ$901,296,MATCH($B$2&amp;"|yC",Aux_puntos!$1:$1,0))="",NA(),INDEX(Aux_puntos!$A$2:$OJ$901,296,MATCH($B$2&amp;"|yC",Aux_puntos!$1:$1,0))),NA())</f>
        <v/>
      </c>
      <c r="AG300">
        <f>IFERROR(IF(INDEX(Aux_puntos!$A$2:$OJ$901,296,MATCH($B$2&amp;"|xI",Aux_puntos!$1:$1,0))="",NA(),INDEX(Aux_puntos!$A$2:$OJ$901,296,MATCH($B$2&amp;"|xI",Aux_puntos!$1:$1,0))),NA())</f>
        <v/>
      </c>
      <c r="AH300">
        <f>IFERROR(IF(INDEX(Aux_puntos!$A$2:$OJ$901,296,MATCH($B$2&amp;"|yI",Aux_puntos!$1:$1,0))="",NA(),INDEX(Aux_puntos!$A$2:$OJ$901,296,MATCH($B$2&amp;"|yI",Aux_puntos!$1:$1,0))),NA())</f>
        <v/>
      </c>
      <c r="AI300">
        <f>IFERROR(IF(INDEX(Aux_puntos!$A$2:$OJ$901,296,MATCH($B$2&amp;"|xN",Aux_puntos!$1:$1,0))="",NA(),INDEX(Aux_puntos!$A$2:$OJ$901,296,MATCH($B$2&amp;"|xN",Aux_puntos!$1:$1,0))),NA())</f>
        <v/>
      </c>
      <c r="AJ300">
        <f>IFERROR(IF(INDEX(Aux_puntos!$A$2:$OJ$901,296,MATCH($B$2&amp;"|yN",Aux_puntos!$1:$1,0))="",NA(),INDEX(Aux_puntos!$A$2:$OJ$901,296,MATCH($B$2&amp;"|yN",Aux_puntos!$1:$1,0))),NA())</f>
        <v/>
      </c>
    </row>
    <row r="301">
      <c r="AC301">
        <f>IFERROR(IF(INDEX(Aux_puntos!$A$2:$OJ$901,297,MATCH($B$2&amp;"|xK",Aux_puntos!$1:$1,0))="",NA(),INDEX(Aux_puntos!$A$2:$OJ$901,297,MATCH($B$2&amp;"|xK",Aux_puntos!$1:$1,0))),NA())</f>
        <v/>
      </c>
      <c r="AD301">
        <f>IFERROR(IF(INDEX(Aux_puntos!$A$2:$OJ$901,297,MATCH($B$2&amp;"|yK",Aux_puntos!$1:$1,0))="",NA(),INDEX(Aux_puntos!$A$2:$OJ$901,297,MATCH($B$2&amp;"|yK",Aux_puntos!$1:$1,0))),NA())</f>
        <v/>
      </c>
      <c r="AE301">
        <f>IFERROR(IF(INDEX(Aux_puntos!$A$2:$OJ$901,297,MATCH($B$2&amp;"|xC",Aux_puntos!$1:$1,0))="",NA(),INDEX(Aux_puntos!$A$2:$OJ$901,297,MATCH($B$2&amp;"|xC",Aux_puntos!$1:$1,0))),NA())</f>
        <v/>
      </c>
      <c r="AF301">
        <f>IFERROR(IF(INDEX(Aux_puntos!$A$2:$OJ$901,297,MATCH($B$2&amp;"|yC",Aux_puntos!$1:$1,0))="",NA(),INDEX(Aux_puntos!$A$2:$OJ$901,297,MATCH($B$2&amp;"|yC",Aux_puntos!$1:$1,0))),NA())</f>
        <v/>
      </c>
      <c r="AG301">
        <f>IFERROR(IF(INDEX(Aux_puntos!$A$2:$OJ$901,297,MATCH($B$2&amp;"|xI",Aux_puntos!$1:$1,0))="",NA(),INDEX(Aux_puntos!$A$2:$OJ$901,297,MATCH($B$2&amp;"|xI",Aux_puntos!$1:$1,0))),NA())</f>
        <v/>
      </c>
      <c r="AH301">
        <f>IFERROR(IF(INDEX(Aux_puntos!$A$2:$OJ$901,297,MATCH($B$2&amp;"|yI",Aux_puntos!$1:$1,0))="",NA(),INDEX(Aux_puntos!$A$2:$OJ$901,297,MATCH($B$2&amp;"|yI",Aux_puntos!$1:$1,0))),NA())</f>
        <v/>
      </c>
      <c r="AI301">
        <f>IFERROR(IF(INDEX(Aux_puntos!$A$2:$OJ$901,297,MATCH($B$2&amp;"|xN",Aux_puntos!$1:$1,0))="",NA(),INDEX(Aux_puntos!$A$2:$OJ$901,297,MATCH($B$2&amp;"|xN",Aux_puntos!$1:$1,0))),NA())</f>
        <v/>
      </c>
      <c r="AJ301">
        <f>IFERROR(IF(INDEX(Aux_puntos!$A$2:$OJ$901,297,MATCH($B$2&amp;"|yN",Aux_puntos!$1:$1,0))="",NA(),INDEX(Aux_puntos!$A$2:$OJ$901,297,MATCH($B$2&amp;"|yN",Aux_puntos!$1:$1,0))),NA())</f>
        <v/>
      </c>
    </row>
    <row r="302">
      <c r="AC302">
        <f>IFERROR(IF(INDEX(Aux_puntos!$A$2:$OJ$901,298,MATCH($B$2&amp;"|xK",Aux_puntos!$1:$1,0))="",NA(),INDEX(Aux_puntos!$A$2:$OJ$901,298,MATCH($B$2&amp;"|xK",Aux_puntos!$1:$1,0))),NA())</f>
        <v/>
      </c>
      <c r="AD302">
        <f>IFERROR(IF(INDEX(Aux_puntos!$A$2:$OJ$901,298,MATCH($B$2&amp;"|yK",Aux_puntos!$1:$1,0))="",NA(),INDEX(Aux_puntos!$A$2:$OJ$901,298,MATCH($B$2&amp;"|yK",Aux_puntos!$1:$1,0))),NA())</f>
        <v/>
      </c>
      <c r="AE302">
        <f>IFERROR(IF(INDEX(Aux_puntos!$A$2:$OJ$901,298,MATCH($B$2&amp;"|xC",Aux_puntos!$1:$1,0))="",NA(),INDEX(Aux_puntos!$A$2:$OJ$901,298,MATCH($B$2&amp;"|xC",Aux_puntos!$1:$1,0))),NA())</f>
        <v/>
      </c>
      <c r="AF302">
        <f>IFERROR(IF(INDEX(Aux_puntos!$A$2:$OJ$901,298,MATCH($B$2&amp;"|yC",Aux_puntos!$1:$1,0))="",NA(),INDEX(Aux_puntos!$A$2:$OJ$901,298,MATCH($B$2&amp;"|yC",Aux_puntos!$1:$1,0))),NA())</f>
        <v/>
      </c>
      <c r="AG302">
        <f>IFERROR(IF(INDEX(Aux_puntos!$A$2:$OJ$901,298,MATCH($B$2&amp;"|xI",Aux_puntos!$1:$1,0))="",NA(),INDEX(Aux_puntos!$A$2:$OJ$901,298,MATCH($B$2&amp;"|xI",Aux_puntos!$1:$1,0))),NA())</f>
        <v/>
      </c>
      <c r="AH302">
        <f>IFERROR(IF(INDEX(Aux_puntos!$A$2:$OJ$901,298,MATCH($B$2&amp;"|yI",Aux_puntos!$1:$1,0))="",NA(),INDEX(Aux_puntos!$A$2:$OJ$901,298,MATCH($B$2&amp;"|yI",Aux_puntos!$1:$1,0))),NA())</f>
        <v/>
      </c>
      <c r="AI302">
        <f>IFERROR(IF(INDEX(Aux_puntos!$A$2:$OJ$901,298,MATCH($B$2&amp;"|xN",Aux_puntos!$1:$1,0))="",NA(),INDEX(Aux_puntos!$A$2:$OJ$901,298,MATCH($B$2&amp;"|xN",Aux_puntos!$1:$1,0))),NA())</f>
        <v/>
      </c>
      <c r="AJ302">
        <f>IFERROR(IF(INDEX(Aux_puntos!$A$2:$OJ$901,298,MATCH($B$2&amp;"|yN",Aux_puntos!$1:$1,0))="",NA(),INDEX(Aux_puntos!$A$2:$OJ$901,298,MATCH($B$2&amp;"|yN",Aux_puntos!$1:$1,0))),NA())</f>
        <v/>
      </c>
    </row>
    <row r="303">
      <c r="AC303">
        <f>IFERROR(IF(INDEX(Aux_puntos!$A$2:$OJ$901,299,MATCH($B$2&amp;"|xK",Aux_puntos!$1:$1,0))="",NA(),INDEX(Aux_puntos!$A$2:$OJ$901,299,MATCH($B$2&amp;"|xK",Aux_puntos!$1:$1,0))),NA())</f>
        <v/>
      </c>
      <c r="AD303">
        <f>IFERROR(IF(INDEX(Aux_puntos!$A$2:$OJ$901,299,MATCH($B$2&amp;"|yK",Aux_puntos!$1:$1,0))="",NA(),INDEX(Aux_puntos!$A$2:$OJ$901,299,MATCH($B$2&amp;"|yK",Aux_puntos!$1:$1,0))),NA())</f>
        <v/>
      </c>
      <c r="AE303">
        <f>IFERROR(IF(INDEX(Aux_puntos!$A$2:$OJ$901,299,MATCH($B$2&amp;"|xC",Aux_puntos!$1:$1,0))="",NA(),INDEX(Aux_puntos!$A$2:$OJ$901,299,MATCH($B$2&amp;"|xC",Aux_puntos!$1:$1,0))),NA())</f>
        <v/>
      </c>
      <c r="AF303">
        <f>IFERROR(IF(INDEX(Aux_puntos!$A$2:$OJ$901,299,MATCH($B$2&amp;"|yC",Aux_puntos!$1:$1,0))="",NA(),INDEX(Aux_puntos!$A$2:$OJ$901,299,MATCH($B$2&amp;"|yC",Aux_puntos!$1:$1,0))),NA())</f>
        <v/>
      </c>
      <c r="AG303">
        <f>IFERROR(IF(INDEX(Aux_puntos!$A$2:$OJ$901,299,MATCH($B$2&amp;"|xI",Aux_puntos!$1:$1,0))="",NA(),INDEX(Aux_puntos!$A$2:$OJ$901,299,MATCH($B$2&amp;"|xI",Aux_puntos!$1:$1,0))),NA())</f>
        <v/>
      </c>
      <c r="AH303">
        <f>IFERROR(IF(INDEX(Aux_puntos!$A$2:$OJ$901,299,MATCH($B$2&amp;"|yI",Aux_puntos!$1:$1,0))="",NA(),INDEX(Aux_puntos!$A$2:$OJ$901,299,MATCH($B$2&amp;"|yI",Aux_puntos!$1:$1,0))),NA())</f>
        <v/>
      </c>
      <c r="AI303">
        <f>IFERROR(IF(INDEX(Aux_puntos!$A$2:$OJ$901,299,MATCH($B$2&amp;"|xN",Aux_puntos!$1:$1,0))="",NA(),INDEX(Aux_puntos!$A$2:$OJ$901,299,MATCH($B$2&amp;"|xN",Aux_puntos!$1:$1,0))),NA())</f>
        <v/>
      </c>
      <c r="AJ303">
        <f>IFERROR(IF(INDEX(Aux_puntos!$A$2:$OJ$901,299,MATCH($B$2&amp;"|yN",Aux_puntos!$1:$1,0))="",NA(),INDEX(Aux_puntos!$A$2:$OJ$901,299,MATCH($B$2&amp;"|yN",Aux_puntos!$1:$1,0))),NA())</f>
        <v/>
      </c>
    </row>
    <row r="304">
      <c r="AC304">
        <f>IFERROR(IF(INDEX(Aux_puntos!$A$2:$OJ$901,300,MATCH($B$2&amp;"|xK",Aux_puntos!$1:$1,0))="",NA(),INDEX(Aux_puntos!$A$2:$OJ$901,300,MATCH($B$2&amp;"|xK",Aux_puntos!$1:$1,0))),NA())</f>
        <v/>
      </c>
      <c r="AD304">
        <f>IFERROR(IF(INDEX(Aux_puntos!$A$2:$OJ$901,300,MATCH($B$2&amp;"|yK",Aux_puntos!$1:$1,0))="",NA(),INDEX(Aux_puntos!$A$2:$OJ$901,300,MATCH($B$2&amp;"|yK",Aux_puntos!$1:$1,0))),NA())</f>
        <v/>
      </c>
      <c r="AE304">
        <f>IFERROR(IF(INDEX(Aux_puntos!$A$2:$OJ$901,300,MATCH($B$2&amp;"|xC",Aux_puntos!$1:$1,0))="",NA(),INDEX(Aux_puntos!$A$2:$OJ$901,300,MATCH($B$2&amp;"|xC",Aux_puntos!$1:$1,0))),NA())</f>
        <v/>
      </c>
      <c r="AF304">
        <f>IFERROR(IF(INDEX(Aux_puntos!$A$2:$OJ$901,300,MATCH($B$2&amp;"|yC",Aux_puntos!$1:$1,0))="",NA(),INDEX(Aux_puntos!$A$2:$OJ$901,300,MATCH($B$2&amp;"|yC",Aux_puntos!$1:$1,0))),NA())</f>
        <v/>
      </c>
      <c r="AG304">
        <f>IFERROR(IF(INDEX(Aux_puntos!$A$2:$OJ$901,300,MATCH($B$2&amp;"|xI",Aux_puntos!$1:$1,0))="",NA(),INDEX(Aux_puntos!$A$2:$OJ$901,300,MATCH($B$2&amp;"|xI",Aux_puntos!$1:$1,0))),NA())</f>
        <v/>
      </c>
      <c r="AH304">
        <f>IFERROR(IF(INDEX(Aux_puntos!$A$2:$OJ$901,300,MATCH($B$2&amp;"|yI",Aux_puntos!$1:$1,0))="",NA(),INDEX(Aux_puntos!$A$2:$OJ$901,300,MATCH($B$2&amp;"|yI",Aux_puntos!$1:$1,0))),NA())</f>
        <v/>
      </c>
      <c r="AI304">
        <f>IFERROR(IF(INDEX(Aux_puntos!$A$2:$OJ$901,300,MATCH($B$2&amp;"|xN",Aux_puntos!$1:$1,0))="",NA(),INDEX(Aux_puntos!$A$2:$OJ$901,300,MATCH($B$2&amp;"|xN",Aux_puntos!$1:$1,0))),NA())</f>
        <v/>
      </c>
      <c r="AJ304">
        <f>IFERROR(IF(INDEX(Aux_puntos!$A$2:$OJ$901,300,MATCH($B$2&amp;"|yN",Aux_puntos!$1:$1,0))="",NA(),INDEX(Aux_puntos!$A$2:$OJ$901,300,MATCH($B$2&amp;"|yN",Aux_puntos!$1:$1,0))),NA())</f>
        <v/>
      </c>
    </row>
    <row r="305">
      <c r="AC305">
        <f>IFERROR(IF(INDEX(Aux_puntos!$A$2:$OJ$901,301,MATCH($B$2&amp;"|xK",Aux_puntos!$1:$1,0))="",NA(),INDEX(Aux_puntos!$A$2:$OJ$901,301,MATCH($B$2&amp;"|xK",Aux_puntos!$1:$1,0))),NA())</f>
        <v/>
      </c>
      <c r="AD305">
        <f>IFERROR(IF(INDEX(Aux_puntos!$A$2:$OJ$901,301,MATCH($B$2&amp;"|yK",Aux_puntos!$1:$1,0))="",NA(),INDEX(Aux_puntos!$A$2:$OJ$901,301,MATCH($B$2&amp;"|yK",Aux_puntos!$1:$1,0))),NA())</f>
        <v/>
      </c>
      <c r="AE305">
        <f>IFERROR(IF(INDEX(Aux_puntos!$A$2:$OJ$901,301,MATCH($B$2&amp;"|xC",Aux_puntos!$1:$1,0))="",NA(),INDEX(Aux_puntos!$A$2:$OJ$901,301,MATCH($B$2&amp;"|xC",Aux_puntos!$1:$1,0))),NA())</f>
        <v/>
      </c>
      <c r="AF305">
        <f>IFERROR(IF(INDEX(Aux_puntos!$A$2:$OJ$901,301,MATCH($B$2&amp;"|yC",Aux_puntos!$1:$1,0))="",NA(),INDEX(Aux_puntos!$A$2:$OJ$901,301,MATCH($B$2&amp;"|yC",Aux_puntos!$1:$1,0))),NA())</f>
        <v/>
      </c>
      <c r="AG305">
        <f>IFERROR(IF(INDEX(Aux_puntos!$A$2:$OJ$901,301,MATCH($B$2&amp;"|xI",Aux_puntos!$1:$1,0))="",NA(),INDEX(Aux_puntos!$A$2:$OJ$901,301,MATCH($B$2&amp;"|xI",Aux_puntos!$1:$1,0))),NA())</f>
        <v/>
      </c>
      <c r="AH305">
        <f>IFERROR(IF(INDEX(Aux_puntos!$A$2:$OJ$901,301,MATCH($B$2&amp;"|yI",Aux_puntos!$1:$1,0))="",NA(),INDEX(Aux_puntos!$A$2:$OJ$901,301,MATCH($B$2&amp;"|yI",Aux_puntos!$1:$1,0))),NA())</f>
        <v/>
      </c>
      <c r="AI305">
        <f>IFERROR(IF(INDEX(Aux_puntos!$A$2:$OJ$901,301,MATCH($B$2&amp;"|xN",Aux_puntos!$1:$1,0))="",NA(),INDEX(Aux_puntos!$A$2:$OJ$901,301,MATCH($B$2&amp;"|xN",Aux_puntos!$1:$1,0))),NA())</f>
        <v/>
      </c>
      <c r="AJ305">
        <f>IFERROR(IF(INDEX(Aux_puntos!$A$2:$OJ$901,301,MATCH($B$2&amp;"|yN",Aux_puntos!$1:$1,0))="",NA(),INDEX(Aux_puntos!$A$2:$OJ$901,301,MATCH($B$2&amp;"|yN",Aux_puntos!$1:$1,0))),NA())</f>
        <v/>
      </c>
    </row>
    <row r="306">
      <c r="AC306">
        <f>IFERROR(IF(INDEX(Aux_puntos!$A$2:$OJ$901,302,MATCH($B$2&amp;"|xK",Aux_puntos!$1:$1,0))="",NA(),INDEX(Aux_puntos!$A$2:$OJ$901,302,MATCH($B$2&amp;"|xK",Aux_puntos!$1:$1,0))),NA())</f>
        <v/>
      </c>
      <c r="AD306">
        <f>IFERROR(IF(INDEX(Aux_puntos!$A$2:$OJ$901,302,MATCH($B$2&amp;"|yK",Aux_puntos!$1:$1,0))="",NA(),INDEX(Aux_puntos!$A$2:$OJ$901,302,MATCH($B$2&amp;"|yK",Aux_puntos!$1:$1,0))),NA())</f>
        <v/>
      </c>
      <c r="AE306">
        <f>IFERROR(IF(INDEX(Aux_puntos!$A$2:$OJ$901,302,MATCH($B$2&amp;"|xC",Aux_puntos!$1:$1,0))="",NA(),INDEX(Aux_puntos!$A$2:$OJ$901,302,MATCH($B$2&amp;"|xC",Aux_puntos!$1:$1,0))),NA())</f>
        <v/>
      </c>
      <c r="AF306">
        <f>IFERROR(IF(INDEX(Aux_puntos!$A$2:$OJ$901,302,MATCH($B$2&amp;"|yC",Aux_puntos!$1:$1,0))="",NA(),INDEX(Aux_puntos!$A$2:$OJ$901,302,MATCH($B$2&amp;"|yC",Aux_puntos!$1:$1,0))),NA())</f>
        <v/>
      </c>
      <c r="AG306">
        <f>IFERROR(IF(INDEX(Aux_puntos!$A$2:$OJ$901,302,MATCH($B$2&amp;"|xI",Aux_puntos!$1:$1,0))="",NA(),INDEX(Aux_puntos!$A$2:$OJ$901,302,MATCH($B$2&amp;"|xI",Aux_puntos!$1:$1,0))),NA())</f>
        <v/>
      </c>
      <c r="AH306">
        <f>IFERROR(IF(INDEX(Aux_puntos!$A$2:$OJ$901,302,MATCH($B$2&amp;"|yI",Aux_puntos!$1:$1,0))="",NA(),INDEX(Aux_puntos!$A$2:$OJ$901,302,MATCH($B$2&amp;"|yI",Aux_puntos!$1:$1,0))),NA())</f>
        <v/>
      </c>
      <c r="AI306">
        <f>IFERROR(IF(INDEX(Aux_puntos!$A$2:$OJ$901,302,MATCH($B$2&amp;"|xN",Aux_puntos!$1:$1,0))="",NA(),INDEX(Aux_puntos!$A$2:$OJ$901,302,MATCH($B$2&amp;"|xN",Aux_puntos!$1:$1,0))),NA())</f>
        <v/>
      </c>
      <c r="AJ306">
        <f>IFERROR(IF(INDEX(Aux_puntos!$A$2:$OJ$901,302,MATCH($B$2&amp;"|yN",Aux_puntos!$1:$1,0))="",NA(),INDEX(Aux_puntos!$A$2:$OJ$901,302,MATCH($B$2&amp;"|yN",Aux_puntos!$1:$1,0))),NA())</f>
        <v/>
      </c>
    </row>
    <row r="307">
      <c r="AC307">
        <f>IFERROR(IF(INDEX(Aux_puntos!$A$2:$OJ$901,303,MATCH($B$2&amp;"|xK",Aux_puntos!$1:$1,0))="",NA(),INDEX(Aux_puntos!$A$2:$OJ$901,303,MATCH($B$2&amp;"|xK",Aux_puntos!$1:$1,0))),NA())</f>
        <v/>
      </c>
      <c r="AD307">
        <f>IFERROR(IF(INDEX(Aux_puntos!$A$2:$OJ$901,303,MATCH($B$2&amp;"|yK",Aux_puntos!$1:$1,0))="",NA(),INDEX(Aux_puntos!$A$2:$OJ$901,303,MATCH($B$2&amp;"|yK",Aux_puntos!$1:$1,0))),NA())</f>
        <v/>
      </c>
      <c r="AE307">
        <f>IFERROR(IF(INDEX(Aux_puntos!$A$2:$OJ$901,303,MATCH($B$2&amp;"|xC",Aux_puntos!$1:$1,0))="",NA(),INDEX(Aux_puntos!$A$2:$OJ$901,303,MATCH($B$2&amp;"|xC",Aux_puntos!$1:$1,0))),NA())</f>
        <v/>
      </c>
      <c r="AF307">
        <f>IFERROR(IF(INDEX(Aux_puntos!$A$2:$OJ$901,303,MATCH($B$2&amp;"|yC",Aux_puntos!$1:$1,0))="",NA(),INDEX(Aux_puntos!$A$2:$OJ$901,303,MATCH($B$2&amp;"|yC",Aux_puntos!$1:$1,0))),NA())</f>
        <v/>
      </c>
      <c r="AG307">
        <f>IFERROR(IF(INDEX(Aux_puntos!$A$2:$OJ$901,303,MATCH($B$2&amp;"|xI",Aux_puntos!$1:$1,0))="",NA(),INDEX(Aux_puntos!$A$2:$OJ$901,303,MATCH($B$2&amp;"|xI",Aux_puntos!$1:$1,0))),NA())</f>
        <v/>
      </c>
      <c r="AH307">
        <f>IFERROR(IF(INDEX(Aux_puntos!$A$2:$OJ$901,303,MATCH($B$2&amp;"|yI",Aux_puntos!$1:$1,0))="",NA(),INDEX(Aux_puntos!$A$2:$OJ$901,303,MATCH($B$2&amp;"|yI",Aux_puntos!$1:$1,0))),NA())</f>
        <v/>
      </c>
      <c r="AI307">
        <f>IFERROR(IF(INDEX(Aux_puntos!$A$2:$OJ$901,303,MATCH($B$2&amp;"|xN",Aux_puntos!$1:$1,0))="",NA(),INDEX(Aux_puntos!$A$2:$OJ$901,303,MATCH($B$2&amp;"|xN",Aux_puntos!$1:$1,0))),NA())</f>
        <v/>
      </c>
      <c r="AJ307">
        <f>IFERROR(IF(INDEX(Aux_puntos!$A$2:$OJ$901,303,MATCH($B$2&amp;"|yN",Aux_puntos!$1:$1,0))="",NA(),INDEX(Aux_puntos!$A$2:$OJ$901,303,MATCH($B$2&amp;"|yN",Aux_puntos!$1:$1,0))),NA())</f>
        <v/>
      </c>
    </row>
    <row r="308">
      <c r="AC308">
        <f>IFERROR(IF(INDEX(Aux_puntos!$A$2:$OJ$901,304,MATCH($B$2&amp;"|xK",Aux_puntos!$1:$1,0))="",NA(),INDEX(Aux_puntos!$A$2:$OJ$901,304,MATCH($B$2&amp;"|xK",Aux_puntos!$1:$1,0))),NA())</f>
        <v/>
      </c>
      <c r="AD308">
        <f>IFERROR(IF(INDEX(Aux_puntos!$A$2:$OJ$901,304,MATCH($B$2&amp;"|yK",Aux_puntos!$1:$1,0))="",NA(),INDEX(Aux_puntos!$A$2:$OJ$901,304,MATCH($B$2&amp;"|yK",Aux_puntos!$1:$1,0))),NA())</f>
        <v/>
      </c>
      <c r="AE308">
        <f>IFERROR(IF(INDEX(Aux_puntos!$A$2:$OJ$901,304,MATCH($B$2&amp;"|xC",Aux_puntos!$1:$1,0))="",NA(),INDEX(Aux_puntos!$A$2:$OJ$901,304,MATCH($B$2&amp;"|xC",Aux_puntos!$1:$1,0))),NA())</f>
        <v/>
      </c>
      <c r="AF308">
        <f>IFERROR(IF(INDEX(Aux_puntos!$A$2:$OJ$901,304,MATCH($B$2&amp;"|yC",Aux_puntos!$1:$1,0))="",NA(),INDEX(Aux_puntos!$A$2:$OJ$901,304,MATCH($B$2&amp;"|yC",Aux_puntos!$1:$1,0))),NA())</f>
        <v/>
      </c>
      <c r="AG308">
        <f>IFERROR(IF(INDEX(Aux_puntos!$A$2:$OJ$901,304,MATCH($B$2&amp;"|xI",Aux_puntos!$1:$1,0))="",NA(),INDEX(Aux_puntos!$A$2:$OJ$901,304,MATCH($B$2&amp;"|xI",Aux_puntos!$1:$1,0))),NA())</f>
        <v/>
      </c>
      <c r="AH308">
        <f>IFERROR(IF(INDEX(Aux_puntos!$A$2:$OJ$901,304,MATCH($B$2&amp;"|yI",Aux_puntos!$1:$1,0))="",NA(),INDEX(Aux_puntos!$A$2:$OJ$901,304,MATCH($B$2&amp;"|yI",Aux_puntos!$1:$1,0))),NA())</f>
        <v/>
      </c>
      <c r="AI308">
        <f>IFERROR(IF(INDEX(Aux_puntos!$A$2:$OJ$901,304,MATCH($B$2&amp;"|xN",Aux_puntos!$1:$1,0))="",NA(),INDEX(Aux_puntos!$A$2:$OJ$901,304,MATCH($B$2&amp;"|xN",Aux_puntos!$1:$1,0))),NA())</f>
        <v/>
      </c>
      <c r="AJ308">
        <f>IFERROR(IF(INDEX(Aux_puntos!$A$2:$OJ$901,304,MATCH($B$2&amp;"|yN",Aux_puntos!$1:$1,0))="",NA(),INDEX(Aux_puntos!$A$2:$OJ$901,304,MATCH($B$2&amp;"|yN",Aux_puntos!$1:$1,0))),NA())</f>
        <v/>
      </c>
    </row>
    <row r="309">
      <c r="AC309">
        <f>IFERROR(IF(INDEX(Aux_puntos!$A$2:$OJ$901,305,MATCH($B$2&amp;"|xK",Aux_puntos!$1:$1,0))="",NA(),INDEX(Aux_puntos!$A$2:$OJ$901,305,MATCH($B$2&amp;"|xK",Aux_puntos!$1:$1,0))),NA())</f>
        <v/>
      </c>
      <c r="AD309">
        <f>IFERROR(IF(INDEX(Aux_puntos!$A$2:$OJ$901,305,MATCH($B$2&amp;"|yK",Aux_puntos!$1:$1,0))="",NA(),INDEX(Aux_puntos!$A$2:$OJ$901,305,MATCH($B$2&amp;"|yK",Aux_puntos!$1:$1,0))),NA())</f>
        <v/>
      </c>
      <c r="AE309">
        <f>IFERROR(IF(INDEX(Aux_puntos!$A$2:$OJ$901,305,MATCH($B$2&amp;"|xC",Aux_puntos!$1:$1,0))="",NA(),INDEX(Aux_puntos!$A$2:$OJ$901,305,MATCH($B$2&amp;"|xC",Aux_puntos!$1:$1,0))),NA())</f>
        <v/>
      </c>
      <c r="AF309">
        <f>IFERROR(IF(INDEX(Aux_puntos!$A$2:$OJ$901,305,MATCH($B$2&amp;"|yC",Aux_puntos!$1:$1,0))="",NA(),INDEX(Aux_puntos!$A$2:$OJ$901,305,MATCH($B$2&amp;"|yC",Aux_puntos!$1:$1,0))),NA())</f>
        <v/>
      </c>
      <c r="AG309">
        <f>IFERROR(IF(INDEX(Aux_puntos!$A$2:$OJ$901,305,MATCH($B$2&amp;"|xI",Aux_puntos!$1:$1,0))="",NA(),INDEX(Aux_puntos!$A$2:$OJ$901,305,MATCH($B$2&amp;"|xI",Aux_puntos!$1:$1,0))),NA())</f>
        <v/>
      </c>
      <c r="AH309">
        <f>IFERROR(IF(INDEX(Aux_puntos!$A$2:$OJ$901,305,MATCH($B$2&amp;"|yI",Aux_puntos!$1:$1,0))="",NA(),INDEX(Aux_puntos!$A$2:$OJ$901,305,MATCH($B$2&amp;"|yI",Aux_puntos!$1:$1,0))),NA())</f>
        <v/>
      </c>
      <c r="AI309">
        <f>IFERROR(IF(INDEX(Aux_puntos!$A$2:$OJ$901,305,MATCH($B$2&amp;"|xN",Aux_puntos!$1:$1,0))="",NA(),INDEX(Aux_puntos!$A$2:$OJ$901,305,MATCH($B$2&amp;"|xN",Aux_puntos!$1:$1,0))),NA())</f>
        <v/>
      </c>
      <c r="AJ309">
        <f>IFERROR(IF(INDEX(Aux_puntos!$A$2:$OJ$901,305,MATCH($B$2&amp;"|yN",Aux_puntos!$1:$1,0))="",NA(),INDEX(Aux_puntos!$A$2:$OJ$901,305,MATCH($B$2&amp;"|yN",Aux_puntos!$1:$1,0))),NA())</f>
        <v/>
      </c>
    </row>
    <row r="310">
      <c r="AC310">
        <f>IFERROR(IF(INDEX(Aux_puntos!$A$2:$OJ$901,306,MATCH($B$2&amp;"|xK",Aux_puntos!$1:$1,0))="",NA(),INDEX(Aux_puntos!$A$2:$OJ$901,306,MATCH($B$2&amp;"|xK",Aux_puntos!$1:$1,0))),NA())</f>
        <v/>
      </c>
      <c r="AD310">
        <f>IFERROR(IF(INDEX(Aux_puntos!$A$2:$OJ$901,306,MATCH($B$2&amp;"|yK",Aux_puntos!$1:$1,0))="",NA(),INDEX(Aux_puntos!$A$2:$OJ$901,306,MATCH($B$2&amp;"|yK",Aux_puntos!$1:$1,0))),NA())</f>
        <v/>
      </c>
      <c r="AE310">
        <f>IFERROR(IF(INDEX(Aux_puntos!$A$2:$OJ$901,306,MATCH($B$2&amp;"|xC",Aux_puntos!$1:$1,0))="",NA(),INDEX(Aux_puntos!$A$2:$OJ$901,306,MATCH($B$2&amp;"|xC",Aux_puntos!$1:$1,0))),NA())</f>
        <v/>
      </c>
      <c r="AF310">
        <f>IFERROR(IF(INDEX(Aux_puntos!$A$2:$OJ$901,306,MATCH($B$2&amp;"|yC",Aux_puntos!$1:$1,0))="",NA(),INDEX(Aux_puntos!$A$2:$OJ$901,306,MATCH($B$2&amp;"|yC",Aux_puntos!$1:$1,0))),NA())</f>
        <v/>
      </c>
      <c r="AG310">
        <f>IFERROR(IF(INDEX(Aux_puntos!$A$2:$OJ$901,306,MATCH($B$2&amp;"|xI",Aux_puntos!$1:$1,0))="",NA(),INDEX(Aux_puntos!$A$2:$OJ$901,306,MATCH($B$2&amp;"|xI",Aux_puntos!$1:$1,0))),NA())</f>
        <v/>
      </c>
      <c r="AH310">
        <f>IFERROR(IF(INDEX(Aux_puntos!$A$2:$OJ$901,306,MATCH($B$2&amp;"|yI",Aux_puntos!$1:$1,0))="",NA(),INDEX(Aux_puntos!$A$2:$OJ$901,306,MATCH($B$2&amp;"|yI",Aux_puntos!$1:$1,0))),NA())</f>
        <v/>
      </c>
      <c r="AI310">
        <f>IFERROR(IF(INDEX(Aux_puntos!$A$2:$OJ$901,306,MATCH($B$2&amp;"|xN",Aux_puntos!$1:$1,0))="",NA(),INDEX(Aux_puntos!$A$2:$OJ$901,306,MATCH($B$2&amp;"|xN",Aux_puntos!$1:$1,0))),NA())</f>
        <v/>
      </c>
      <c r="AJ310">
        <f>IFERROR(IF(INDEX(Aux_puntos!$A$2:$OJ$901,306,MATCH($B$2&amp;"|yN",Aux_puntos!$1:$1,0))="",NA(),INDEX(Aux_puntos!$A$2:$OJ$901,306,MATCH($B$2&amp;"|yN",Aux_puntos!$1:$1,0))),NA())</f>
        <v/>
      </c>
    </row>
    <row r="311">
      <c r="AC311">
        <f>IFERROR(IF(INDEX(Aux_puntos!$A$2:$OJ$901,307,MATCH($B$2&amp;"|xK",Aux_puntos!$1:$1,0))="",NA(),INDEX(Aux_puntos!$A$2:$OJ$901,307,MATCH($B$2&amp;"|xK",Aux_puntos!$1:$1,0))),NA())</f>
        <v/>
      </c>
      <c r="AD311">
        <f>IFERROR(IF(INDEX(Aux_puntos!$A$2:$OJ$901,307,MATCH($B$2&amp;"|yK",Aux_puntos!$1:$1,0))="",NA(),INDEX(Aux_puntos!$A$2:$OJ$901,307,MATCH($B$2&amp;"|yK",Aux_puntos!$1:$1,0))),NA())</f>
        <v/>
      </c>
      <c r="AE311">
        <f>IFERROR(IF(INDEX(Aux_puntos!$A$2:$OJ$901,307,MATCH($B$2&amp;"|xC",Aux_puntos!$1:$1,0))="",NA(),INDEX(Aux_puntos!$A$2:$OJ$901,307,MATCH($B$2&amp;"|xC",Aux_puntos!$1:$1,0))),NA())</f>
        <v/>
      </c>
      <c r="AF311">
        <f>IFERROR(IF(INDEX(Aux_puntos!$A$2:$OJ$901,307,MATCH($B$2&amp;"|yC",Aux_puntos!$1:$1,0))="",NA(),INDEX(Aux_puntos!$A$2:$OJ$901,307,MATCH($B$2&amp;"|yC",Aux_puntos!$1:$1,0))),NA())</f>
        <v/>
      </c>
      <c r="AG311">
        <f>IFERROR(IF(INDEX(Aux_puntos!$A$2:$OJ$901,307,MATCH($B$2&amp;"|xI",Aux_puntos!$1:$1,0))="",NA(),INDEX(Aux_puntos!$A$2:$OJ$901,307,MATCH($B$2&amp;"|xI",Aux_puntos!$1:$1,0))),NA())</f>
        <v/>
      </c>
      <c r="AH311">
        <f>IFERROR(IF(INDEX(Aux_puntos!$A$2:$OJ$901,307,MATCH($B$2&amp;"|yI",Aux_puntos!$1:$1,0))="",NA(),INDEX(Aux_puntos!$A$2:$OJ$901,307,MATCH($B$2&amp;"|yI",Aux_puntos!$1:$1,0))),NA())</f>
        <v/>
      </c>
      <c r="AI311">
        <f>IFERROR(IF(INDEX(Aux_puntos!$A$2:$OJ$901,307,MATCH($B$2&amp;"|xN",Aux_puntos!$1:$1,0))="",NA(),INDEX(Aux_puntos!$A$2:$OJ$901,307,MATCH($B$2&amp;"|xN",Aux_puntos!$1:$1,0))),NA())</f>
        <v/>
      </c>
      <c r="AJ311">
        <f>IFERROR(IF(INDEX(Aux_puntos!$A$2:$OJ$901,307,MATCH($B$2&amp;"|yN",Aux_puntos!$1:$1,0))="",NA(),INDEX(Aux_puntos!$A$2:$OJ$901,307,MATCH($B$2&amp;"|yN",Aux_puntos!$1:$1,0))),NA())</f>
        <v/>
      </c>
    </row>
    <row r="312">
      <c r="AC312">
        <f>IFERROR(IF(INDEX(Aux_puntos!$A$2:$OJ$901,308,MATCH($B$2&amp;"|xK",Aux_puntos!$1:$1,0))="",NA(),INDEX(Aux_puntos!$A$2:$OJ$901,308,MATCH($B$2&amp;"|xK",Aux_puntos!$1:$1,0))),NA())</f>
        <v/>
      </c>
      <c r="AD312">
        <f>IFERROR(IF(INDEX(Aux_puntos!$A$2:$OJ$901,308,MATCH($B$2&amp;"|yK",Aux_puntos!$1:$1,0))="",NA(),INDEX(Aux_puntos!$A$2:$OJ$901,308,MATCH($B$2&amp;"|yK",Aux_puntos!$1:$1,0))),NA())</f>
        <v/>
      </c>
      <c r="AE312">
        <f>IFERROR(IF(INDEX(Aux_puntos!$A$2:$OJ$901,308,MATCH($B$2&amp;"|xC",Aux_puntos!$1:$1,0))="",NA(),INDEX(Aux_puntos!$A$2:$OJ$901,308,MATCH($B$2&amp;"|xC",Aux_puntos!$1:$1,0))),NA())</f>
        <v/>
      </c>
      <c r="AF312">
        <f>IFERROR(IF(INDEX(Aux_puntos!$A$2:$OJ$901,308,MATCH($B$2&amp;"|yC",Aux_puntos!$1:$1,0))="",NA(),INDEX(Aux_puntos!$A$2:$OJ$901,308,MATCH($B$2&amp;"|yC",Aux_puntos!$1:$1,0))),NA())</f>
        <v/>
      </c>
      <c r="AG312">
        <f>IFERROR(IF(INDEX(Aux_puntos!$A$2:$OJ$901,308,MATCH($B$2&amp;"|xI",Aux_puntos!$1:$1,0))="",NA(),INDEX(Aux_puntos!$A$2:$OJ$901,308,MATCH($B$2&amp;"|xI",Aux_puntos!$1:$1,0))),NA())</f>
        <v/>
      </c>
      <c r="AH312">
        <f>IFERROR(IF(INDEX(Aux_puntos!$A$2:$OJ$901,308,MATCH($B$2&amp;"|yI",Aux_puntos!$1:$1,0))="",NA(),INDEX(Aux_puntos!$A$2:$OJ$901,308,MATCH($B$2&amp;"|yI",Aux_puntos!$1:$1,0))),NA())</f>
        <v/>
      </c>
      <c r="AI312">
        <f>IFERROR(IF(INDEX(Aux_puntos!$A$2:$OJ$901,308,MATCH($B$2&amp;"|xN",Aux_puntos!$1:$1,0))="",NA(),INDEX(Aux_puntos!$A$2:$OJ$901,308,MATCH($B$2&amp;"|xN",Aux_puntos!$1:$1,0))),NA())</f>
        <v/>
      </c>
      <c r="AJ312">
        <f>IFERROR(IF(INDEX(Aux_puntos!$A$2:$OJ$901,308,MATCH($B$2&amp;"|yN",Aux_puntos!$1:$1,0))="",NA(),INDEX(Aux_puntos!$A$2:$OJ$901,308,MATCH($B$2&amp;"|yN",Aux_puntos!$1:$1,0))),NA())</f>
        <v/>
      </c>
    </row>
    <row r="313">
      <c r="AC313">
        <f>IFERROR(IF(INDEX(Aux_puntos!$A$2:$OJ$901,309,MATCH($B$2&amp;"|xK",Aux_puntos!$1:$1,0))="",NA(),INDEX(Aux_puntos!$A$2:$OJ$901,309,MATCH($B$2&amp;"|xK",Aux_puntos!$1:$1,0))),NA())</f>
        <v/>
      </c>
      <c r="AD313">
        <f>IFERROR(IF(INDEX(Aux_puntos!$A$2:$OJ$901,309,MATCH($B$2&amp;"|yK",Aux_puntos!$1:$1,0))="",NA(),INDEX(Aux_puntos!$A$2:$OJ$901,309,MATCH($B$2&amp;"|yK",Aux_puntos!$1:$1,0))),NA())</f>
        <v/>
      </c>
      <c r="AE313">
        <f>IFERROR(IF(INDEX(Aux_puntos!$A$2:$OJ$901,309,MATCH($B$2&amp;"|xC",Aux_puntos!$1:$1,0))="",NA(),INDEX(Aux_puntos!$A$2:$OJ$901,309,MATCH($B$2&amp;"|xC",Aux_puntos!$1:$1,0))),NA())</f>
        <v/>
      </c>
      <c r="AF313">
        <f>IFERROR(IF(INDEX(Aux_puntos!$A$2:$OJ$901,309,MATCH($B$2&amp;"|yC",Aux_puntos!$1:$1,0))="",NA(),INDEX(Aux_puntos!$A$2:$OJ$901,309,MATCH($B$2&amp;"|yC",Aux_puntos!$1:$1,0))),NA())</f>
        <v/>
      </c>
      <c r="AG313">
        <f>IFERROR(IF(INDEX(Aux_puntos!$A$2:$OJ$901,309,MATCH($B$2&amp;"|xI",Aux_puntos!$1:$1,0))="",NA(),INDEX(Aux_puntos!$A$2:$OJ$901,309,MATCH($B$2&amp;"|xI",Aux_puntos!$1:$1,0))),NA())</f>
        <v/>
      </c>
      <c r="AH313">
        <f>IFERROR(IF(INDEX(Aux_puntos!$A$2:$OJ$901,309,MATCH($B$2&amp;"|yI",Aux_puntos!$1:$1,0))="",NA(),INDEX(Aux_puntos!$A$2:$OJ$901,309,MATCH($B$2&amp;"|yI",Aux_puntos!$1:$1,0))),NA())</f>
        <v/>
      </c>
      <c r="AI313">
        <f>IFERROR(IF(INDEX(Aux_puntos!$A$2:$OJ$901,309,MATCH($B$2&amp;"|xN",Aux_puntos!$1:$1,0))="",NA(),INDEX(Aux_puntos!$A$2:$OJ$901,309,MATCH($B$2&amp;"|xN",Aux_puntos!$1:$1,0))),NA())</f>
        <v/>
      </c>
      <c r="AJ313">
        <f>IFERROR(IF(INDEX(Aux_puntos!$A$2:$OJ$901,309,MATCH($B$2&amp;"|yN",Aux_puntos!$1:$1,0))="",NA(),INDEX(Aux_puntos!$A$2:$OJ$901,309,MATCH($B$2&amp;"|yN",Aux_puntos!$1:$1,0))),NA())</f>
        <v/>
      </c>
    </row>
    <row r="314">
      <c r="AC314">
        <f>IFERROR(IF(INDEX(Aux_puntos!$A$2:$OJ$901,310,MATCH($B$2&amp;"|xK",Aux_puntos!$1:$1,0))="",NA(),INDEX(Aux_puntos!$A$2:$OJ$901,310,MATCH($B$2&amp;"|xK",Aux_puntos!$1:$1,0))),NA())</f>
        <v/>
      </c>
      <c r="AD314">
        <f>IFERROR(IF(INDEX(Aux_puntos!$A$2:$OJ$901,310,MATCH($B$2&amp;"|yK",Aux_puntos!$1:$1,0))="",NA(),INDEX(Aux_puntos!$A$2:$OJ$901,310,MATCH($B$2&amp;"|yK",Aux_puntos!$1:$1,0))),NA())</f>
        <v/>
      </c>
      <c r="AE314">
        <f>IFERROR(IF(INDEX(Aux_puntos!$A$2:$OJ$901,310,MATCH($B$2&amp;"|xC",Aux_puntos!$1:$1,0))="",NA(),INDEX(Aux_puntos!$A$2:$OJ$901,310,MATCH($B$2&amp;"|xC",Aux_puntos!$1:$1,0))),NA())</f>
        <v/>
      </c>
      <c r="AF314">
        <f>IFERROR(IF(INDEX(Aux_puntos!$A$2:$OJ$901,310,MATCH($B$2&amp;"|yC",Aux_puntos!$1:$1,0))="",NA(),INDEX(Aux_puntos!$A$2:$OJ$901,310,MATCH($B$2&amp;"|yC",Aux_puntos!$1:$1,0))),NA())</f>
        <v/>
      </c>
      <c r="AG314">
        <f>IFERROR(IF(INDEX(Aux_puntos!$A$2:$OJ$901,310,MATCH($B$2&amp;"|xI",Aux_puntos!$1:$1,0))="",NA(),INDEX(Aux_puntos!$A$2:$OJ$901,310,MATCH($B$2&amp;"|xI",Aux_puntos!$1:$1,0))),NA())</f>
        <v/>
      </c>
      <c r="AH314">
        <f>IFERROR(IF(INDEX(Aux_puntos!$A$2:$OJ$901,310,MATCH($B$2&amp;"|yI",Aux_puntos!$1:$1,0))="",NA(),INDEX(Aux_puntos!$A$2:$OJ$901,310,MATCH($B$2&amp;"|yI",Aux_puntos!$1:$1,0))),NA())</f>
        <v/>
      </c>
      <c r="AI314">
        <f>IFERROR(IF(INDEX(Aux_puntos!$A$2:$OJ$901,310,MATCH($B$2&amp;"|xN",Aux_puntos!$1:$1,0))="",NA(),INDEX(Aux_puntos!$A$2:$OJ$901,310,MATCH($B$2&amp;"|xN",Aux_puntos!$1:$1,0))),NA())</f>
        <v/>
      </c>
      <c r="AJ314">
        <f>IFERROR(IF(INDEX(Aux_puntos!$A$2:$OJ$901,310,MATCH($B$2&amp;"|yN",Aux_puntos!$1:$1,0))="",NA(),INDEX(Aux_puntos!$A$2:$OJ$901,310,MATCH($B$2&amp;"|yN",Aux_puntos!$1:$1,0))),NA())</f>
        <v/>
      </c>
    </row>
    <row r="315">
      <c r="AC315">
        <f>IFERROR(IF(INDEX(Aux_puntos!$A$2:$OJ$901,311,MATCH($B$2&amp;"|xK",Aux_puntos!$1:$1,0))="",NA(),INDEX(Aux_puntos!$A$2:$OJ$901,311,MATCH($B$2&amp;"|xK",Aux_puntos!$1:$1,0))),NA())</f>
        <v/>
      </c>
      <c r="AD315">
        <f>IFERROR(IF(INDEX(Aux_puntos!$A$2:$OJ$901,311,MATCH($B$2&amp;"|yK",Aux_puntos!$1:$1,0))="",NA(),INDEX(Aux_puntos!$A$2:$OJ$901,311,MATCH($B$2&amp;"|yK",Aux_puntos!$1:$1,0))),NA())</f>
        <v/>
      </c>
      <c r="AE315">
        <f>IFERROR(IF(INDEX(Aux_puntos!$A$2:$OJ$901,311,MATCH($B$2&amp;"|xC",Aux_puntos!$1:$1,0))="",NA(),INDEX(Aux_puntos!$A$2:$OJ$901,311,MATCH($B$2&amp;"|xC",Aux_puntos!$1:$1,0))),NA())</f>
        <v/>
      </c>
      <c r="AF315">
        <f>IFERROR(IF(INDEX(Aux_puntos!$A$2:$OJ$901,311,MATCH($B$2&amp;"|yC",Aux_puntos!$1:$1,0))="",NA(),INDEX(Aux_puntos!$A$2:$OJ$901,311,MATCH($B$2&amp;"|yC",Aux_puntos!$1:$1,0))),NA())</f>
        <v/>
      </c>
      <c r="AG315">
        <f>IFERROR(IF(INDEX(Aux_puntos!$A$2:$OJ$901,311,MATCH($B$2&amp;"|xI",Aux_puntos!$1:$1,0))="",NA(),INDEX(Aux_puntos!$A$2:$OJ$901,311,MATCH($B$2&amp;"|xI",Aux_puntos!$1:$1,0))),NA())</f>
        <v/>
      </c>
      <c r="AH315">
        <f>IFERROR(IF(INDEX(Aux_puntos!$A$2:$OJ$901,311,MATCH($B$2&amp;"|yI",Aux_puntos!$1:$1,0))="",NA(),INDEX(Aux_puntos!$A$2:$OJ$901,311,MATCH($B$2&amp;"|yI",Aux_puntos!$1:$1,0))),NA())</f>
        <v/>
      </c>
      <c r="AI315">
        <f>IFERROR(IF(INDEX(Aux_puntos!$A$2:$OJ$901,311,MATCH($B$2&amp;"|xN",Aux_puntos!$1:$1,0))="",NA(),INDEX(Aux_puntos!$A$2:$OJ$901,311,MATCH($B$2&amp;"|xN",Aux_puntos!$1:$1,0))),NA())</f>
        <v/>
      </c>
      <c r="AJ315">
        <f>IFERROR(IF(INDEX(Aux_puntos!$A$2:$OJ$901,311,MATCH($B$2&amp;"|yN",Aux_puntos!$1:$1,0))="",NA(),INDEX(Aux_puntos!$A$2:$OJ$901,311,MATCH($B$2&amp;"|yN",Aux_puntos!$1:$1,0))),NA())</f>
        <v/>
      </c>
    </row>
    <row r="316">
      <c r="AC316">
        <f>IFERROR(IF(INDEX(Aux_puntos!$A$2:$OJ$901,312,MATCH($B$2&amp;"|xK",Aux_puntos!$1:$1,0))="",NA(),INDEX(Aux_puntos!$A$2:$OJ$901,312,MATCH($B$2&amp;"|xK",Aux_puntos!$1:$1,0))),NA())</f>
        <v/>
      </c>
      <c r="AD316">
        <f>IFERROR(IF(INDEX(Aux_puntos!$A$2:$OJ$901,312,MATCH($B$2&amp;"|yK",Aux_puntos!$1:$1,0))="",NA(),INDEX(Aux_puntos!$A$2:$OJ$901,312,MATCH($B$2&amp;"|yK",Aux_puntos!$1:$1,0))),NA())</f>
        <v/>
      </c>
      <c r="AE316">
        <f>IFERROR(IF(INDEX(Aux_puntos!$A$2:$OJ$901,312,MATCH($B$2&amp;"|xC",Aux_puntos!$1:$1,0))="",NA(),INDEX(Aux_puntos!$A$2:$OJ$901,312,MATCH($B$2&amp;"|xC",Aux_puntos!$1:$1,0))),NA())</f>
        <v/>
      </c>
      <c r="AF316">
        <f>IFERROR(IF(INDEX(Aux_puntos!$A$2:$OJ$901,312,MATCH($B$2&amp;"|yC",Aux_puntos!$1:$1,0))="",NA(),INDEX(Aux_puntos!$A$2:$OJ$901,312,MATCH($B$2&amp;"|yC",Aux_puntos!$1:$1,0))),NA())</f>
        <v/>
      </c>
      <c r="AG316">
        <f>IFERROR(IF(INDEX(Aux_puntos!$A$2:$OJ$901,312,MATCH($B$2&amp;"|xI",Aux_puntos!$1:$1,0))="",NA(),INDEX(Aux_puntos!$A$2:$OJ$901,312,MATCH($B$2&amp;"|xI",Aux_puntos!$1:$1,0))),NA())</f>
        <v/>
      </c>
      <c r="AH316">
        <f>IFERROR(IF(INDEX(Aux_puntos!$A$2:$OJ$901,312,MATCH($B$2&amp;"|yI",Aux_puntos!$1:$1,0))="",NA(),INDEX(Aux_puntos!$A$2:$OJ$901,312,MATCH($B$2&amp;"|yI",Aux_puntos!$1:$1,0))),NA())</f>
        <v/>
      </c>
      <c r="AI316">
        <f>IFERROR(IF(INDEX(Aux_puntos!$A$2:$OJ$901,312,MATCH($B$2&amp;"|xN",Aux_puntos!$1:$1,0))="",NA(),INDEX(Aux_puntos!$A$2:$OJ$901,312,MATCH($B$2&amp;"|xN",Aux_puntos!$1:$1,0))),NA())</f>
        <v/>
      </c>
      <c r="AJ316">
        <f>IFERROR(IF(INDEX(Aux_puntos!$A$2:$OJ$901,312,MATCH($B$2&amp;"|yN",Aux_puntos!$1:$1,0))="",NA(),INDEX(Aux_puntos!$A$2:$OJ$901,312,MATCH($B$2&amp;"|yN",Aux_puntos!$1:$1,0))),NA())</f>
        <v/>
      </c>
    </row>
    <row r="317">
      <c r="AC317">
        <f>IFERROR(IF(INDEX(Aux_puntos!$A$2:$OJ$901,313,MATCH($B$2&amp;"|xK",Aux_puntos!$1:$1,0))="",NA(),INDEX(Aux_puntos!$A$2:$OJ$901,313,MATCH($B$2&amp;"|xK",Aux_puntos!$1:$1,0))),NA())</f>
        <v/>
      </c>
      <c r="AD317">
        <f>IFERROR(IF(INDEX(Aux_puntos!$A$2:$OJ$901,313,MATCH($B$2&amp;"|yK",Aux_puntos!$1:$1,0))="",NA(),INDEX(Aux_puntos!$A$2:$OJ$901,313,MATCH($B$2&amp;"|yK",Aux_puntos!$1:$1,0))),NA())</f>
        <v/>
      </c>
      <c r="AE317">
        <f>IFERROR(IF(INDEX(Aux_puntos!$A$2:$OJ$901,313,MATCH($B$2&amp;"|xC",Aux_puntos!$1:$1,0))="",NA(),INDEX(Aux_puntos!$A$2:$OJ$901,313,MATCH($B$2&amp;"|xC",Aux_puntos!$1:$1,0))),NA())</f>
        <v/>
      </c>
      <c r="AF317">
        <f>IFERROR(IF(INDEX(Aux_puntos!$A$2:$OJ$901,313,MATCH($B$2&amp;"|yC",Aux_puntos!$1:$1,0))="",NA(),INDEX(Aux_puntos!$A$2:$OJ$901,313,MATCH($B$2&amp;"|yC",Aux_puntos!$1:$1,0))),NA())</f>
        <v/>
      </c>
      <c r="AG317">
        <f>IFERROR(IF(INDEX(Aux_puntos!$A$2:$OJ$901,313,MATCH($B$2&amp;"|xI",Aux_puntos!$1:$1,0))="",NA(),INDEX(Aux_puntos!$A$2:$OJ$901,313,MATCH($B$2&amp;"|xI",Aux_puntos!$1:$1,0))),NA())</f>
        <v/>
      </c>
      <c r="AH317">
        <f>IFERROR(IF(INDEX(Aux_puntos!$A$2:$OJ$901,313,MATCH($B$2&amp;"|yI",Aux_puntos!$1:$1,0))="",NA(),INDEX(Aux_puntos!$A$2:$OJ$901,313,MATCH($B$2&amp;"|yI",Aux_puntos!$1:$1,0))),NA())</f>
        <v/>
      </c>
      <c r="AI317">
        <f>IFERROR(IF(INDEX(Aux_puntos!$A$2:$OJ$901,313,MATCH($B$2&amp;"|xN",Aux_puntos!$1:$1,0))="",NA(),INDEX(Aux_puntos!$A$2:$OJ$901,313,MATCH($B$2&amp;"|xN",Aux_puntos!$1:$1,0))),NA())</f>
        <v/>
      </c>
      <c r="AJ317">
        <f>IFERROR(IF(INDEX(Aux_puntos!$A$2:$OJ$901,313,MATCH($B$2&amp;"|yN",Aux_puntos!$1:$1,0))="",NA(),INDEX(Aux_puntos!$A$2:$OJ$901,313,MATCH($B$2&amp;"|yN",Aux_puntos!$1:$1,0))),NA())</f>
        <v/>
      </c>
    </row>
    <row r="318">
      <c r="AC318">
        <f>IFERROR(IF(INDEX(Aux_puntos!$A$2:$OJ$901,314,MATCH($B$2&amp;"|xK",Aux_puntos!$1:$1,0))="",NA(),INDEX(Aux_puntos!$A$2:$OJ$901,314,MATCH($B$2&amp;"|xK",Aux_puntos!$1:$1,0))),NA())</f>
        <v/>
      </c>
      <c r="AD318">
        <f>IFERROR(IF(INDEX(Aux_puntos!$A$2:$OJ$901,314,MATCH($B$2&amp;"|yK",Aux_puntos!$1:$1,0))="",NA(),INDEX(Aux_puntos!$A$2:$OJ$901,314,MATCH($B$2&amp;"|yK",Aux_puntos!$1:$1,0))),NA())</f>
        <v/>
      </c>
      <c r="AE318">
        <f>IFERROR(IF(INDEX(Aux_puntos!$A$2:$OJ$901,314,MATCH($B$2&amp;"|xC",Aux_puntos!$1:$1,0))="",NA(),INDEX(Aux_puntos!$A$2:$OJ$901,314,MATCH($B$2&amp;"|xC",Aux_puntos!$1:$1,0))),NA())</f>
        <v/>
      </c>
      <c r="AF318">
        <f>IFERROR(IF(INDEX(Aux_puntos!$A$2:$OJ$901,314,MATCH($B$2&amp;"|yC",Aux_puntos!$1:$1,0))="",NA(),INDEX(Aux_puntos!$A$2:$OJ$901,314,MATCH($B$2&amp;"|yC",Aux_puntos!$1:$1,0))),NA())</f>
        <v/>
      </c>
      <c r="AG318">
        <f>IFERROR(IF(INDEX(Aux_puntos!$A$2:$OJ$901,314,MATCH($B$2&amp;"|xI",Aux_puntos!$1:$1,0))="",NA(),INDEX(Aux_puntos!$A$2:$OJ$901,314,MATCH($B$2&amp;"|xI",Aux_puntos!$1:$1,0))),NA())</f>
        <v/>
      </c>
      <c r="AH318">
        <f>IFERROR(IF(INDEX(Aux_puntos!$A$2:$OJ$901,314,MATCH($B$2&amp;"|yI",Aux_puntos!$1:$1,0))="",NA(),INDEX(Aux_puntos!$A$2:$OJ$901,314,MATCH($B$2&amp;"|yI",Aux_puntos!$1:$1,0))),NA())</f>
        <v/>
      </c>
      <c r="AI318">
        <f>IFERROR(IF(INDEX(Aux_puntos!$A$2:$OJ$901,314,MATCH($B$2&amp;"|xN",Aux_puntos!$1:$1,0))="",NA(),INDEX(Aux_puntos!$A$2:$OJ$901,314,MATCH($B$2&amp;"|xN",Aux_puntos!$1:$1,0))),NA())</f>
        <v/>
      </c>
      <c r="AJ318">
        <f>IFERROR(IF(INDEX(Aux_puntos!$A$2:$OJ$901,314,MATCH($B$2&amp;"|yN",Aux_puntos!$1:$1,0))="",NA(),INDEX(Aux_puntos!$A$2:$OJ$901,314,MATCH($B$2&amp;"|yN",Aux_puntos!$1:$1,0))),NA())</f>
        <v/>
      </c>
    </row>
    <row r="319">
      <c r="AC319">
        <f>IFERROR(IF(INDEX(Aux_puntos!$A$2:$OJ$901,315,MATCH($B$2&amp;"|xK",Aux_puntos!$1:$1,0))="",NA(),INDEX(Aux_puntos!$A$2:$OJ$901,315,MATCH($B$2&amp;"|xK",Aux_puntos!$1:$1,0))),NA())</f>
        <v/>
      </c>
      <c r="AD319">
        <f>IFERROR(IF(INDEX(Aux_puntos!$A$2:$OJ$901,315,MATCH($B$2&amp;"|yK",Aux_puntos!$1:$1,0))="",NA(),INDEX(Aux_puntos!$A$2:$OJ$901,315,MATCH($B$2&amp;"|yK",Aux_puntos!$1:$1,0))),NA())</f>
        <v/>
      </c>
      <c r="AE319">
        <f>IFERROR(IF(INDEX(Aux_puntos!$A$2:$OJ$901,315,MATCH($B$2&amp;"|xC",Aux_puntos!$1:$1,0))="",NA(),INDEX(Aux_puntos!$A$2:$OJ$901,315,MATCH($B$2&amp;"|xC",Aux_puntos!$1:$1,0))),NA())</f>
        <v/>
      </c>
      <c r="AF319">
        <f>IFERROR(IF(INDEX(Aux_puntos!$A$2:$OJ$901,315,MATCH($B$2&amp;"|yC",Aux_puntos!$1:$1,0))="",NA(),INDEX(Aux_puntos!$A$2:$OJ$901,315,MATCH($B$2&amp;"|yC",Aux_puntos!$1:$1,0))),NA())</f>
        <v/>
      </c>
      <c r="AG319">
        <f>IFERROR(IF(INDEX(Aux_puntos!$A$2:$OJ$901,315,MATCH($B$2&amp;"|xI",Aux_puntos!$1:$1,0))="",NA(),INDEX(Aux_puntos!$A$2:$OJ$901,315,MATCH($B$2&amp;"|xI",Aux_puntos!$1:$1,0))),NA())</f>
        <v/>
      </c>
      <c r="AH319">
        <f>IFERROR(IF(INDEX(Aux_puntos!$A$2:$OJ$901,315,MATCH($B$2&amp;"|yI",Aux_puntos!$1:$1,0))="",NA(),INDEX(Aux_puntos!$A$2:$OJ$901,315,MATCH($B$2&amp;"|yI",Aux_puntos!$1:$1,0))),NA())</f>
        <v/>
      </c>
      <c r="AI319">
        <f>IFERROR(IF(INDEX(Aux_puntos!$A$2:$OJ$901,315,MATCH($B$2&amp;"|xN",Aux_puntos!$1:$1,0))="",NA(),INDEX(Aux_puntos!$A$2:$OJ$901,315,MATCH($B$2&amp;"|xN",Aux_puntos!$1:$1,0))),NA())</f>
        <v/>
      </c>
      <c r="AJ319">
        <f>IFERROR(IF(INDEX(Aux_puntos!$A$2:$OJ$901,315,MATCH($B$2&amp;"|yN",Aux_puntos!$1:$1,0))="",NA(),INDEX(Aux_puntos!$A$2:$OJ$901,315,MATCH($B$2&amp;"|yN",Aux_puntos!$1:$1,0))),NA())</f>
        <v/>
      </c>
    </row>
    <row r="320">
      <c r="AC320">
        <f>IFERROR(IF(INDEX(Aux_puntos!$A$2:$OJ$901,316,MATCH($B$2&amp;"|xK",Aux_puntos!$1:$1,0))="",NA(),INDEX(Aux_puntos!$A$2:$OJ$901,316,MATCH($B$2&amp;"|xK",Aux_puntos!$1:$1,0))),NA())</f>
        <v/>
      </c>
      <c r="AD320">
        <f>IFERROR(IF(INDEX(Aux_puntos!$A$2:$OJ$901,316,MATCH($B$2&amp;"|yK",Aux_puntos!$1:$1,0))="",NA(),INDEX(Aux_puntos!$A$2:$OJ$901,316,MATCH($B$2&amp;"|yK",Aux_puntos!$1:$1,0))),NA())</f>
        <v/>
      </c>
      <c r="AE320">
        <f>IFERROR(IF(INDEX(Aux_puntos!$A$2:$OJ$901,316,MATCH($B$2&amp;"|xC",Aux_puntos!$1:$1,0))="",NA(),INDEX(Aux_puntos!$A$2:$OJ$901,316,MATCH($B$2&amp;"|xC",Aux_puntos!$1:$1,0))),NA())</f>
        <v/>
      </c>
      <c r="AF320">
        <f>IFERROR(IF(INDEX(Aux_puntos!$A$2:$OJ$901,316,MATCH($B$2&amp;"|yC",Aux_puntos!$1:$1,0))="",NA(),INDEX(Aux_puntos!$A$2:$OJ$901,316,MATCH($B$2&amp;"|yC",Aux_puntos!$1:$1,0))),NA())</f>
        <v/>
      </c>
      <c r="AG320">
        <f>IFERROR(IF(INDEX(Aux_puntos!$A$2:$OJ$901,316,MATCH($B$2&amp;"|xI",Aux_puntos!$1:$1,0))="",NA(),INDEX(Aux_puntos!$A$2:$OJ$901,316,MATCH($B$2&amp;"|xI",Aux_puntos!$1:$1,0))),NA())</f>
        <v/>
      </c>
      <c r="AH320">
        <f>IFERROR(IF(INDEX(Aux_puntos!$A$2:$OJ$901,316,MATCH($B$2&amp;"|yI",Aux_puntos!$1:$1,0))="",NA(),INDEX(Aux_puntos!$A$2:$OJ$901,316,MATCH($B$2&amp;"|yI",Aux_puntos!$1:$1,0))),NA())</f>
        <v/>
      </c>
      <c r="AI320">
        <f>IFERROR(IF(INDEX(Aux_puntos!$A$2:$OJ$901,316,MATCH($B$2&amp;"|xN",Aux_puntos!$1:$1,0))="",NA(),INDEX(Aux_puntos!$A$2:$OJ$901,316,MATCH($B$2&amp;"|xN",Aux_puntos!$1:$1,0))),NA())</f>
        <v/>
      </c>
      <c r="AJ320">
        <f>IFERROR(IF(INDEX(Aux_puntos!$A$2:$OJ$901,316,MATCH($B$2&amp;"|yN",Aux_puntos!$1:$1,0))="",NA(),INDEX(Aux_puntos!$A$2:$OJ$901,316,MATCH($B$2&amp;"|yN",Aux_puntos!$1:$1,0))),NA())</f>
        <v/>
      </c>
    </row>
    <row r="321">
      <c r="AC321">
        <f>IFERROR(IF(INDEX(Aux_puntos!$A$2:$OJ$901,317,MATCH($B$2&amp;"|xK",Aux_puntos!$1:$1,0))="",NA(),INDEX(Aux_puntos!$A$2:$OJ$901,317,MATCH($B$2&amp;"|xK",Aux_puntos!$1:$1,0))),NA())</f>
        <v/>
      </c>
      <c r="AD321">
        <f>IFERROR(IF(INDEX(Aux_puntos!$A$2:$OJ$901,317,MATCH($B$2&amp;"|yK",Aux_puntos!$1:$1,0))="",NA(),INDEX(Aux_puntos!$A$2:$OJ$901,317,MATCH($B$2&amp;"|yK",Aux_puntos!$1:$1,0))),NA())</f>
        <v/>
      </c>
      <c r="AE321">
        <f>IFERROR(IF(INDEX(Aux_puntos!$A$2:$OJ$901,317,MATCH($B$2&amp;"|xC",Aux_puntos!$1:$1,0))="",NA(),INDEX(Aux_puntos!$A$2:$OJ$901,317,MATCH($B$2&amp;"|xC",Aux_puntos!$1:$1,0))),NA())</f>
        <v/>
      </c>
      <c r="AF321">
        <f>IFERROR(IF(INDEX(Aux_puntos!$A$2:$OJ$901,317,MATCH($B$2&amp;"|yC",Aux_puntos!$1:$1,0))="",NA(),INDEX(Aux_puntos!$A$2:$OJ$901,317,MATCH($B$2&amp;"|yC",Aux_puntos!$1:$1,0))),NA())</f>
        <v/>
      </c>
      <c r="AG321">
        <f>IFERROR(IF(INDEX(Aux_puntos!$A$2:$OJ$901,317,MATCH($B$2&amp;"|xI",Aux_puntos!$1:$1,0))="",NA(),INDEX(Aux_puntos!$A$2:$OJ$901,317,MATCH($B$2&amp;"|xI",Aux_puntos!$1:$1,0))),NA())</f>
        <v/>
      </c>
      <c r="AH321">
        <f>IFERROR(IF(INDEX(Aux_puntos!$A$2:$OJ$901,317,MATCH($B$2&amp;"|yI",Aux_puntos!$1:$1,0))="",NA(),INDEX(Aux_puntos!$A$2:$OJ$901,317,MATCH($B$2&amp;"|yI",Aux_puntos!$1:$1,0))),NA())</f>
        <v/>
      </c>
      <c r="AI321">
        <f>IFERROR(IF(INDEX(Aux_puntos!$A$2:$OJ$901,317,MATCH($B$2&amp;"|xN",Aux_puntos!$1:$1,0))="",NA(),INDEX(Aux_puntos!$A$2:$OJ$901,317,MATCH($B$2&amp;"|xN",Aux_puntos!$1:$1,0))),NA())</f>
        <v/>
      </c>
      <c r="AJ321">
        <f>IFERROR(IF(INDEX(Aux_puntos!$A$2:$OJ$901,317,MATCH($B$2&amp;"|yN",Aux_puntos!$1:$1,0))="",NA(),INDEX(Aux_puntos!$A$2:$OJ$901,317,MATCH($B$2&amp;"|yN",Aux_puntos!$1:$1,0))),NA())</f>
        <v/>
      </c>
    </row>
    <row r="322">
      <c r="AC322">
        <f>IFERROR(IF(INDEX(Aux_puntos!$A$2:$OJ$901,318,MATCH($B$2&amp;"|xK",Aux_puntos!$1:$1,0))="",NA(),INDEX(Aux_puntos!$A$2:$OJ$901,318,MATCH($B$2&amp;"|xK",Aux_puntos!$1:$1,0))),NA())</f>
        <v/>
      </c>
      <c r="AD322">
        <f>IFERROR(IF(INDEX(Aux_puntos!$A$2:$OJ$901,318,MATCH($B$2&amp;"|yK",Aux_puntos!$1:$1,0))="",NA(),INDEX(Aux_puntos!$A$2:$OJ$901,318,MATCH($B$2&amp;"|yK",Aux_puntos!$1:$1,0))),NA())</f>
        <v/>
      </c>
      <c r="AE322">
        <f>IFERROR(IF(INDEX(Aux_puntos!$A$2:$OJ$901,318,MATCH($B$2&amp;"|xC",Aux_puntos!$1:$1,0))="",NA(),INDEX(Aux_puntos!$A$2:$OJ$901,318,MATCH($B$2&amp;"|xC",Aux_puntos!$1:$1,0))),NA())</f>
        <v/>
      </c>
      <c r="AF322">
        <f>IFERROR(IF(INDEX(Aux_puntos!$A$2:$OJ$901,318,MATCH($B$2&amp;"|yC",Aux_puntos!$1:$1,0))="",NA(),INDEX(Aux_puntos!$A$2:$OJ$901,318,MATCH($B$2&amp;"|yC",Aux_puntos!$1:$1,0))),NA())</f>
        <v/>
      </c>
      <c r="AG322">
        <f>IFERROR(IF(INDEX(Aux_puntos!$A$2:$OJ$901,318,MATCH($B$2&amp;"|xI",Aux_puntos!$1:$1,0))="",NA(),INDEX(Aux_puntos!$A$2:$OJ$901,318,MATCH($B$2&amp;"|xI",Aux_puntos!$1:$1,0))),NA())</f>
        <v/>
      </c>
      <c r="AH322">
        <f>IFERROR(IF(INDEX(Aux_puntos!$A$2:$OJ$901,318,MATCH($B$2&amp;"|yI",Aux_puntos!$1:$1,0))="",NA(),INDEX(Aux_puntos!$A$2:$OJ$901,318,MATCH($B$2&amp;"|yI",Aux_puntos!$1:$1,0))),NA())</f>
        <v/>
      </c>
      <c r="AI322">
        <f>IFERROR(IF(INDEX(Aux_puntos!$A$2:$OJ$901,318,MATCH($B$2&amp;"|xN",Aux_puntos!$1:$1,0))="",NA(),INDEX(Aux_puntos!$A$2:$OJ$901,318,MATCH($B$2&amp;"|xN",Aux_puntos!$1:$1,0))),NA())</f>
        <v/>
      </c>
      <c r="AJ322">
        <f>IFERROR(IF(INDEX(Aux_puntos!$A$2:$OJ$901,318,MATCH($B$2&amp;"|yN",Aux_puntos!$1:$1,0))="",NA(),INDEX(Aux_puntos!$A$2:$OJ$901,318,MATCH($B$2&amp;"|yN",Aux_puntos!$1:$1,0))),NA())</f>
        <v/>
      </c>
    </row>
    <row r="323">
      <c r="AC323">
        <f>IFERROR(IF(INDEX(Aux_puntos!$A$2:$OJ$901,319,MATCH($B$2&amp;"|xK",Aux_puntos!$1:$1,0))="",NA(),INDEX(Aux_puntos!$A$2:$OJ$901,319,MATCH($B$2&amp;"|xK",Aux_puntos!$1:$1,0))),NA())</f>
        <v/>
      </c>
      <c r="AD323">
        <f>IFERROR(IF(INDEX(Aux_puntos!$A$2:$OJ$901,319,MATCH($B$2&amp;"|yK",Aux_puntos!$1:$1,0))="",NA(),INDEX(Aux_puntos!$A$2:$OJ$901,319,MATCH($B$2&amp;"|yK",Aux_puntos!$1:$1,0))),NA())</f>
        <v/>
      </c>
      <c r="AE323">
        <f>IFERROR(IF(INDEX(Aux_puntos!$A$2:$OJ$901,319,MATCH($B$2&amp;"|xC",Aux_puntos!$1:$1,0))="",NA(),INDEX(Aux_puntos!$A$2:$OJ$901,319,MATCH($B$2&amp;"|xC",Aux_puntos!$1:$1,0))),NA())</f>
        <v/>
      </c>
      <c r="AF323">
        <f>IFERROR(IF(INDEX(Aux_puntos!$A$2:$OJ$901,319,MATCH($B$2&amp;"|yC",Aux_puntos!$1:$1,0))="",NA(),INDEX(Aux_puntos!$A$2:$OJ$901,319,MATCH($B$2&amp;"|yC",Aux_puntos!$1:$1,0))),NA())</f>
        <v/>
      </c>
      <c r="AG323">
        <f>IFERROR(IF(INDEX(Aux_puntos!$A$2:$OJ$901,319,MATCH($B$2&amp;"|xI",Aux_puntos!$1:$1,0))="",NA(),INDEX(Aux_puntos!$A$2:$OJ$901,319,MATCH($B$2&amp;"|xI",Aux_puntos!$1:$1,0))),NA())</f>
        <v/>
      </c>
      <c r="AH323">
        <f>IFERROR(IF(INDEX(Aux_puntos!$A$2:$OJ$901,319,MATCH($B$2&amp;"|yI",Aux_puntos!$1:$1,0))="",NA(),INDEX(Aux_puntos!$A$2:$OJ$901,319,MATCH($B$2&amp;"|yI",Aux_puntos!$1:$1,0))),NA())</f>
        <v/>
      </c>
      <c r="AI323">
        <f>IFERROR(IF(INDEX(Aux_puntos!$A$2:$OJ$901,319,MATCH($B$2&amp;"|xN",Aux_puntos!$1:$1,0))="",NA(),INDEX(Aux_puntos!$A$2:$OJ$901,319,MATCH($B$2&amp;"|xN",Aux_puntos!$1:$1,0))),NA())</f>
        <v/>
      </c>
      <c r="AJ323">
        <f>IFERROR(IF(INDEX(Aux_puntos!$A$2:$OJ$901,319,MATCH($B$2&amp;"|yN",Aux_puntos!$1:$1,0))="",NA(),INDEX(Aux_puntos!$A$2:$OJ$901,319,MATCH($B$2&amp;"|yN",Aux_puntos!$1:$1,0))),NA())</f>
        <v/>
      </c>
    </row>
    <row r="324">
      <c r="AC324">
        <f>IFERROR(IF(INDEX(Aux_puntos!$A$2:$OJ$901,320,MATCH($B$2&amp;"|xK",Aux_puntos!$1:$1,0))="",NA(),INDEX(Aux_puntos!$A$2:$OJ$901,320,MATCH($B$2&amp;"|xK",Aux_puntos!$1:$1,0))),NA())</f>
        <v/>
      </c>
      <c r="AD324">
        <f>IFERROR(IF(INDEX(Aux_puntos!$A$2:$OJ$901,320,MATCH($B$2&amp;"|yK",Aux_puntos!$1:$1,0))="",NA(),INDEX(Aux_puntos!$A$2:$OJ$901,320,MATCH($B$2&amp;"|yK",Aux_puntos!$1:$1,0))),NA())</f>
        <v/>
      </c>
      <c r="AE324">
        <f>IFERROR(IF(INDEX(Aux_puntos!$A$2:$OJ$901,320,MATCH($B$2&amp;"|xC",Aux_puntos!$1:$1,0))="",NA(),INDEX(Aux_puntos!$A$2:$OJ$901,320,MATCH($B$2&amp;"|xC",Aux_puntos!$1:$1,0))),NA())</f>
        <v/>
      </c>
      <c r="AF324">
        <f>IFERROR(IF(INDEX(Aux_puntos!$A$2:$OJ$901,320,MATCH($B$2&amp;"|yC",Aux_puntos!$1:$1,0))="",NA(),INDEX(Aux_puntos!$A$2:$OJ$901,320,MATCH($B$2&amp;"|yC",Aux_puntos!$1:$1,0))),NA())</f>
        <v/>
      </c>
      <c r="AG324">
        <f>IFERROR(IF(INDEX(Aux_puntos!$A$2:$OJ$901,320,MATCH($B$2&amp;"|xI",Aux_puntos!$1:$1,0))="",NA(),INDEX(Aux_puntos!$A$2:$OJ$901,320,MATCH($B$2&amp;"|xI",Aux_puntos!$1:$1,0))),NA())</f>
        <v/>
      </c>
      <c r="AH324">
        <f>IFERROR(IF(INDEX(Aux_puntos!$A$2:$OJ$901,320,MATCH($B$2&amp;"|yI",Aux_puntos!$1:$1,0))="",NA(),INDEX(Aux_puntos!$A$2:$OJ$901,320,MATCH($B$2&amp;"|yI",Aux_puntos!$1:$1,0))),NA())</f>
        <v/>
      </c>
      <c r="AI324">
        <f>IFERROR(IF(INDEX(Aux_puntos!$A$2:$OJ$901,320,MATCH($B$2&amp;"|xN",Aux_puntos!$1:$1,0))="",NA(),INDEX(Aux_puntos!$A$2:$OJ$901,320,MATCH($B$2&amp;"|xN",Aux_puntos!$1:$1,0))),NA())</f>
        <v/>
      </c>
      <c r="AJ324">
        <f>IFERROR(IF(INDEX(Aux_puntos!$A$2:$OJ$901,320,MATCH($B$2&amp;"|yN",Aux_puntos!$1:$1,0))="",NA(),INDEX(Aux_puntos!$A$2:$OJ$901,320,MATCH($B$2&amp;"|yN",Aux_puntos!$1:$1,0))),NA())</f>
        <v/>
      </c>
    </row>
    <row r="325">
      <c r="AC325">
        <f>IFERROR(IF(INDEX(Aux_puntos!$A$2:$OJ$901,321,MATCH($B$2&amp;"|xK",Aux_puntos!$1:$1,0))="",NA(),INDEX(Aux_puntos!$A$2:$OJ$901,321,MATCH($B$2&amp;"|xK",Aux_puntos!$1:$1,0))),NA())</f>
        <v/>
      </c>
      <c r="AD325">
        <f>IFERROR(IF(INDEX(Aux_puntos!$A$2:$OJ$901,321,MATCH($B$2&amp;"|yK",Aux_puntos!$1:$1,0))="",NA(),INDEX(Aux_puntos!$A$2:$OJ$901,321,MATCH($B$2&amp;"|yK",Aux_puntos!$1:$1,0))),NA())</f>
        <v/>
      </c>
      <c r="AE325">
        <f>IFERROR(IF(INDEX(Aux_puntos!$A$2:$OJ$901,321,MATCH($B$2&amp;"|xC",Aux_puntos!$1:$1,0))="",NA(),INDEX(Aux_puntos!$A$2:$OJ$901,321,MATCH($B$2&amp;"|xC",Aux_puntos!$1:$1,0))),NA())</f>
        <v/>
      </c>
      <c r="AF325">
        <f>IFERROR(IF(INDEX(Aux_puntos!$A$2:$OJ$901,321,MATCH($B$2&amp;"|yC",Aux_puntos!$1:$1,0))="",NA(),INDEX(Aux_puntos!$A$2:$OJ$901,321,MATCH($B$2&amp;"|yC",Aux_puntos!$1:$1,0))),NA())</f>
        <v/>
      </c>
      <c r="AG325">
        <f>IFERROR(IF(INDEX(Aux_puntos!$A$2:$OJ$901,321,MATCH($B$2&amp;"|xI",Aux_puntos!$1:$1,0))="",NA(),INDEX(Aux_puntos!$A$2:$OJ$901,321,MATCH($B$2&amp;"|xI",Aux_puntos!$1:$1,0))),NA())</f>
        <v/>
      </c>
      <c r="AH325">
        <f>IFERROR(IF(INDEX(Aux_puntos!$A$2:$OJ$901,321,MATCH($B$2&amp;"|yI",Aux_puntos!$1:$1,0))="",NA(),INDEX(Aux_puntos!$A$2:$OJ$901,321,MATCH($B$2&amp;"|yI",Aux_puntos!$1:$1,0))),NA())</f>
        <v/>
      </c>
      <c r="AI325">
        <f>IFERROR(IF(INDEX(Aux_puntos!$A$2:$OJ$901,321,MATCH($B$2&amp;"|xN",Aux_puntos!$1:$1,0))="",NA(),INDEX(Aux_puntos!$A$2:$OJ$901,321,MATCH($B$2&amp;"|xN",Aux_puntos!$1:$1,0))),NA())</f>
        <v/>
      </c>
      <c r="AJ325">
        <f>IFERROR(IF(INDEX(Aux_puntos!$A$2:$OJ$901,321,MATCH($B$2&amp;"|yN",Aux_puntos!$1:$1,0))="",NA(),INDEX(Aux_puntos!$A$2:$OJ$901,321,MATCH($B$2&amp;"|yN",Aux_puntos!$1:$1,0))),NA())</f>
        <v/>
      </c>
    </row>
    <row r="326">
      <c r="AC326">
        <f>IFERROR(IF(INDEX(Aux_puntos!$A$2:$OJ$901,322,MATCH($B$2&amp;"|xK",Aux_puntos!$1:$1,0))="",NA(),INDEX(Aux_puntos!$A$2:$OJ$901,322,MATCH($B$2&amp;"|xK",Aux_puntos!$1:$1,0))),NA())</f>
        <v/>
      </c>
      <c r="AD326">
        <f>IFERROR(IF(INDEX(Aux_puntos!$A$2:$OJ$901,322,MATCH($B$2&amp;"|yK",Aux_puntos!$1:$1,0))="",NA(),INDEX(Aux_puntos!$A$2:$OJ$901,322,MATCH($B$2&amp;"|yK",Aux_puntos!$1:$1,0))),NA())</f>
        <v/>
      </c>
      <c r="AE326">
        <f>IFERROR(IF(INDEX(Aux_puntos!$A$2:$OJ$901,322,MATCH($B$2&amp;"|xC",Aux_puntos!$1:$1,0))="",NA(),INDEX(Aux_puntos!$A$2:$OJ$901,322,MATCH($B$2&amp;"|xC",Aux_puntos!$1:$1,0))),NA())</f>
        <v/>
      </c>
      <c r="AF326">
        <f>IFERROR(IF(INDEX(Aux_puntos!$A$2:$OJ$901,322,MATCH($B$2&amp;"|yC",Aux_puntos!$1:$1,0))="",NA(),INDEX(Aux_puntos!$A$2:$OJ$901,322,MATCH($B$2&amp;"|yC",Aux_puntos!$1:$1,0))),NA())</f>
        <v/>
      </c>
      <c r="AG326">
        <f>IFERROR(IF(INDEX(Aux_puntos!$A$2:$OJ$901,322,MATCH($B$2&amp;"|xI",Aux_puntos!$1:$1,0))="",NA(),INDEX(Aux_puntos!$A$2:$OJ$901,322,MATCH($B$2&amp;"|xI",Aux_puntos!$1:$1,0))),NA())</f>
        <v/>
      </c>
      <c r="AH326">
        <f>IFERROR(IF(INDEX(Aux_puntos!$A$2:$OJ$901,322,MATCH($B$2&amp;"|yI",Aux_puntos!$1:$1,0))="",NA(),INDEX(Aux_puntos!$A$2:$OJ$901,322,MATCH($B$2&amp;"|yI",Aux_puntos!$1:$1,0))),NA())</f>
        <v/>
      </c>
      <c r="AI326">
        <f>IFERROR(IF(INDEX(Aux_puntos!$A$2:$OJ$901,322,MATCH($B$2&amp;"|xN",Aux_puntos!$1:$1,0))="",NA(),INDEX(Aux_puntos!$A$2:$OJ$901,322,MATCH($B$2&amp;"|xN",Aux_puntos!$1:$1,0))),NA())</f>
        <v/>
      </c>
      <c r="AJ326">
        <f>IFERROR(IF(INDEX(Aux_puntos!$A$2:$OJ$901,322,MATCH($B$2&amp;"|yN",Aux_puntos!$1:$1,0))="",NA(),INDEX(Aux_puntos!$A$2:$OJ$901,322,MATCH($B$2&amp;"|yN",Aux_puntos!$1:$1,0))),NA())</f>
        <v/>
      </c>
    </row>
    <row r="327">
      <c r="AC327">
        <f>IFERROR(IF(INDEX(Aux_puntos!$A$2:$OJ$901,323,MATCH($B$2&amp;"|xK",Aux_puntos!$1:$1,0))="",NA(),INDEX(Aux_puntos!$A$2:$OJ$901,323,MATCH($B$2&amp;"|xK",Aux_puntos!$1:$1,0))),NA())</f>
        <v/>
      </c>
      <c r="AD327">
        <f>IFERROR(IF(INDEX(Aux_puntos!$A$2:$OJ$901,323,MATCH($B$2&amp;"|yK",Aux_puntos!$1:$1,0))="",NA(),INDEX(Aux_puntos!$A$2:$OJ$901,323,MATCH($B$2&amp;"|yK",Aux_puntos!$1:$1,0))),NA())</f>
        <v/>
      </c>
      <c r="AE327">
        <f>IFERROR(IF(INDEX(Aux_puntos!$A$2:$OJ$901,323,MATCH($B$2&amp;"|xC",Aux_puntos!$1:$1,0))="",NA(),INDEX(Aux_puntos!$A$2:$OJ$901,323,MATCH($B$2&amp;"|xC",Aux_puntos!$1:$1,0))),NA())</f>
        <v/>
      </c>
      <c r="AF327">
        <f>IFERROR(IF(INDEX(Aux_puntos!$A$2:$OJ$901,323,MATCH($B$2&amp;"|yC",Aux_puntos!$1:$1,0))="",NA(),INDEX(Aux_puntos!$A$2:$OJ$901,323,MATCH($B$2&amp;"|yC",Aux_puntos!$1:$1,0))),NA())</f>
        <v/>
      </c>
      <c r="AG327">
        <f>IFERROR(IF(INDEX(Aux_puntos!$A$2:$OJ$901,323,MATCH($B$2&amp;"|xI",Aux_puntos!$1:$1,0))="",NA(),INDEX(Aux_puntos!$A$2:$OJ$901,323,MATCH($B$2&amp;"|xI",Aux_puntos!$1:$1,0))),NA())</f>
        <v/>
      </c>
      <c r="AH327">
        <f>IFERROR(IF(INDEX(Aux_puntos!$A$2:$OJ$901,323,MATCH($B$2&amp;"|yI",Aux_puntos!$1:$1,0))="",NA(),INDEX(Aux_puntos!$A$2:$OJ$901,323,MATCH($B$2&amp;"|yI",Aux_puntos!$1:$1,0))),NA())</f>
        <v/>
      </c>
      <c r="AI327">
        <f>IFERROR(IF(INDEX(Aux_puntos!$A$2:$OJ$901,323,MATCH($B$2&amp;"|xN",Aux_puntos!$1:$1,0))="",NA(),INDEX(Aux_puntos!$A$2:$OJ$901,323,MATCH($B$2&amp;"|xN",Aux_puntos!$1:$1,0))),NA())</f>
        <v/>
      </c>
      <c r="AJ327">
        <f>IFERROR(IF(INDEX(Aux_puntos!$A$2:$OJ$901,323,MATCH($B$2&amp;"|yN",Aux_puntos!$1:$1,0))="",NA(),INDEX(Aux_puntos!$A$2:$OJ$901,323,MATCH($B$2&amp;"|yN",Aux_puntos!$1:$1,0))),NA())</f>
        <v/>
      </c>
    </row>
    <row r="328">
      <c r="AC328">
        <f>IFERROR(IF(INDEX(Aux_puntos!$A$2:$OJ$901,324,MATCH($B$2&amp;"|xK",Aux_puntos!$1:$1,0))="",NA(),INDEX(Aux_puntos!$A$2:$OJ$901,324,MATCH($B$2&amp;"|xK",Aux_puntos!$1:$1,0))),NA())</f>
        <v/>
      </c>
      <c r="AD328">
        <f>IFERROR(IF(INDEX(Aux_puntos!$A$2:$OJ$901,324,MATCH($B$2&amp;"|yK",Aux_puntos!$1:$1,0))="",NA(),INDEX(Aux_puntos!$A$2:$OJ$901,324,MATCH($B$2&amp;"|yK",Aux_puntos!$1:$1,0))),NA())</f>
        <v/>
      </c>
      <c r="AE328">
        <f>IFERROR(IF(INDEX(Aux_puntos!$A$2:$OJ$901,324,MATCH($B$2&amp;"|xC",Aux_puntos!$1:$1,0))="",NA(),INDEX(Aux_puntos!$A$2:$OJ$901,324,MATCH($B$2&amp;"|xC",Aux_puntos!$1:$1,0))),NA())</f>
        <v/>
      </c>
      <c r="AF328">
        <f>IFERROR(IF(INDEX(Aux_puntos!$A$2:$OJ$901,324,MATCH($B$2&amp;"|yC",Aux_puntos!$1:$1,0))="",NA(),INDEX(Aux_puntos!$A$2:$OJ$901,324,MATCH($B$2&amp;"|yC",Aux_puntos!$1:$1,0))),NA())</f>
        <v/>
      </c>
      <c r="AG328">
        <f>IFERROR(IF(INDEX(Aux_puntos!$A$2:$OJ$901,324,MATCH($B$2&amp;"|xI",Aux_puntos!$1:$1,0))="",NA(),INDEX(Aux_puntos!$A$2:$OJ$901,324,MATCH($B$2&amp;"|xI",Aux_puntos!$1:$1,0))),NA())</f>
        <v/>
      </c>
      <c r="AH328">
        <f>IFERROR(IF(INDEX(Aux_puntos!$A$2:$OJ$901,324,MATCH($B$2&amp;"|yI",Aux_puntos!$1:$1,0))="",NA(),INDEX(Aux_puntos!$A$2:$OJ$901,324,MATCH($B$2&amp;"|yI",Aux_puntos!$1:$1,0))),NA())</f>
        <v/>
      </c>
      <c r="AI328">
        <f>IFERROR(IF(INDEX(Aux_puntos!$A$2:$OJ$901,324,MATCH($B$2&amp;"|xN",Aux_puntos!$1:$1,0))="",NA(),INDEX(Aux_puntos!$A$2:$OJ$901,324,MATCH($B$2&amp;"|xN",Aux_puntos!$1:$1,0))),NA())</f>
        <v/>
      </c>
      <c r="AJ328">
        <f>IFERROR(IF(INDEX(Aux_puntos!$A$2:$OJ$901,324,MATCH($B$2&amp;"|yN",Aux_puntos!$1:$1,0))="",NA(),INDEX(Aux_puntos!$A$2:$OJ$901,324,MATCH($B$2&amp;"|yN",Aux_puntos!$1:$1,0))),NA())</f>
        <v/>
      </c>
    </row>
    <row r="329">
      <c r="AC329">
        <f>IFERROR(IF(INDEX(Aux_puntos!$A$2:$OJ$901,325,MATCH($B$2&amp;"|xK",Aux_puntos!$1:$1,0))="",NA(),INDEX(Aux_puntos!$A$2:$OJ$901,325,MATCH($B$2&amp;"|xK",Aux_puntos!$1:$1,0))),NA())</f>
        <v/>
      </c>
      <c r="AD329">
        <f>IFERROR(IF(INDEX(Aux_puntos!$A$2:$OJ$901,325,MATCH($B$2&amp;"|yK",Aux_puntos!$1:$1,0))="",NA(),INDEX(Aux_puntos!$A$2:$OJ$901,325,MATCH($B$2&amp;"|yK",Aux_puntos!$1:$1,0))),NA())</f>
        <v/>
      </c>
      <c r="AE329">
        <f>IFERROR(IF(INDEX(Aux_puntos!$A$2:$OJ$901,325,MATCH($B$2&amp;"|xC",Aux_puntos!$1:$1,0))="",NA(),INDEX(Aux_puntos!$A$2:$OJ$901,325,MATCH($B$2&amp;"|xC",Aux_puntos!$1:$1,0))),NA())</f>
        <v/>
      </c>
      <c r="AF329">
        <f>IFERROR(IF(INDEX(Aux_puntos!$A$2:$OJ$901,325,MATCH($B$2&amp;"|yC",Aux_puntos!$1:$1,0))="",NA(),INDEX(Aux_puntos!$A$2:$OJ$901,325,MATCH($B$2&amp;"|yC",Aux_puntos!$1:$1,0))),NA())</f>
        <v/>
      </c>
      <c r="AG329">
        <f>IFERROR(IF(INDEX(Aux_puntos!$A$2:$OJ$901,325,MATCH($B$2&amp;"|xI",Aux_puntos!$1:$1,0))="",NA(),INDEX(Aux_puntos!$A$2:$OJ$901,325,MATCH($B$2&amp;"|xI",Aux_puntos!$1:$1,0))),NA())</f>
        <v/>
      </c>
      <c r="AH329">
        <f>IFERROR(IF(INDEX(Aux_puntos!$A$2:$OJ$901,325,MATCH($B$2&amp;"|yI",Aux_puntos!$1:$1,0))="",NA(),INDEX(Aux_puntos!$A$2:$OJ$901,325,MATCH($B$2&amp;"|yI",Aux_puntos!$1:$1,0))),NA())</f>
        <v/>
      </c>
      <c r="AI329">
        <f>IFERROR(IF(INDEX(Aux_puntos!$A$2:$OJ$901,325,MATCH($B$2&amp;"|xN",Aux_puntos!$1:$1,0))="",NA(),INDEX(Aux_puntos!$A$2:$OJ$901,325,MATCH($B$2&amp;"|xN",Aux_puntos!$1:$1,0))),NA())</f>
        <v/>
      </c>
      <c r="AJ329">
        <f>IFERROR(IF(INDEX(Aux_puntos!$A$2:$OJ$901,325,MATCH($B$2&amp;"|yN",Aux_puntos!$1:$1,0))="",NA(),INDEX(Aux_puntos!$A$2:$OJ$901,325,MATCH($B$2&amp;"|yN",Aux_puntos!$1:$1,0))),NA())</f>
        <v/>
      </c>
    </row>
    <row r="330">
      <c r="AC330">
        <f>IFERROR(IF(INDEX(Aux_puntos!$A$2:$OJ$901,326,MATCH($B$2&amp;"|xK",Aux_puntos!$1:$1,0))="",NA(),INDEX(Aux_puntos!$A$2:$OJ$901,326,MATCH($B$2&amp;"|xK",Aux_puntos!$1:$1,0))),NA())</f>
        <v/>
      </c>
      <c r="AD330">
        <f>IFERROR(IF(INDEX(Aux_puntos!$A$2:$OJ$901,326,MATCH($B$2&amp;"|yK",Aux_puntos!$1:$1,0))="",NA(),INDEX(Aux_puntos!$A$2:$OJ$901,326,MATCH($B$2&amp;"|yK",Aux_puntos!$1:$1,0))),NA())</f>
        <v/>
      </c>
      <c r="AE330">
        <f>IFERROR(IF(INDEX(Aux_puntos!$A$2:$OJ$901,326,MATCH($B$2&amp;"|xC",Aux_puntos!$1:$1,0))="",NA(),INDEX(Aux_puntos!$A$2:$OJ$901,326,MATCH($B$2&amp;"|xC",Aux_puntos!$1:$1,0))),NA())</f>
        <v/>
      </c>
      <c r="AF330">
        <f>IFERROR(IF(INDEX(Aux_puntos!$A$2:$OJ$901,326,MATCH($B$2&amp;"|yC",Aux_puntos!$1:$1,0))="",NA(),INDEX(Aux_puntos!$A$2:$OJ$901,326,MATCH($B$2&amp;"|yC",Aux_puntos!$1:$1,0))),NA())</f>
        <v/>
      </c>
      <c r="AG330">
        <f>IFERROR(IF(INDEX(Aux_puntos!$A$2:$OJ$901,326,MATCH($B$2&amp;"|xI",Aux_puntos!$1:$1,0))="",NA(),INDEX(Aux_puntos!$A$2:$OJ$901,326,MATCH($B$2&amp;"|xI",Aux_puntos!$1:$1,0))),NA())</f>
        <v/>
      </c>
      <c r="AH330">
        <f>IFERROR(IF(INDEX(Aux_puntos!$A$2:$OJ$901,326,MATCH($B$2&amp;"|yI",Aux_puntos!$1:$1,0))="",NA(),INDEX(Aux_puntos!$A$2:$OJ$901,326,MATCH($B$2&amp;"|yI",Aux_puntos!$1:$1,0))),NA())</f>
        <v/>
      </c>
      <c r="AI330">
        <f>IFERROR(IF(INDEX(Aux_puntos!$A$2:$OJ$901,326,MATCH($B$2&amp;"|xN",Aux_puntos!$1:$1,0))="",NA(),INDEX(Aux_puntos!$A$2:$OJ$901,326,MATCH($B$2&amp;"|xN",Aux_puntos!$1:$1,0))),NA())</f>
        <v/>
      </c>
      <c r="AJ330">
        <f>IFERROR(IF(INDEX(Aux_puntos!$A$2:$OJ$901,326,MATCH($B$2&amp;"|yN",Aux_puntos!$1:$1,0))="",NA(),INDEX(Aux_puntos!$A$2:$OJ$901,326,MATCH($B$2&amp;"|yN",Aux_puntos!$1:$1,0))),NA())</f>
        <v/>
      </c>
    </row>
    <row r="331">
      <c r="AC331">
        <f>IFERROR(IF(INDEX(Aux_puntos!$A$2:$OJ$901,327,MATCH($B$2&amp;"|xK",Aux_puntos!$1:$1,0))="",NA(),INDEX(Aux_puntos!$A$2:$OJ$901,327,MATCH($B$2&amp;"|xK",Aux_puntos!$1:$1,0))),NA())</f>
        <v/>
      </c>
      <c r="AD331">
        <f>IFERROR(IF(INDEX(Aux_puntos!$A$2:$OJ$901,327,MATCH($B$2&amp;"|yK",Aux_puntos!$1:$1,0))="",NA(),INDEX(Aux_puntos!$A$2:$OJ$901,327,MATCH($B$2&amp;"|yK",Aux_puntos!$1:$1,0))),NA())</f>
        <v/>
      </c>
      <c r="AE331">
        <f>IFERROR(IF(INDEX(Aux_puntos!$A$2:$OJ$901,327,MATCH($B$2&amp;"|xC",Aux_puntos!$1:$1,0))="",NA(),INDEX(Aux_puntos!$A$2:$OJ$901,327,MATCH($B$2&amp;"|xC",Aux_puntos!$1:$1,0))),NA())</f>
        <v/>
      </c>
      <c r="AF331">
        <f>IFERROR(IF(INDEX(Aux_puntos!$A$2:$OJ$901,327,MATCH($B$2&amp;"|yC",Aux_puntos!$1:$1,0))="",NA(),INDEX(Aux_puntos!$A$2:$OJ$901,327,MATCH($B$2&amp;"|yC",Aux_puntos!$1:$1,0))),NA())</f>
        <v/>
      </c>
      <c r="AG331">
        <f>IFERROR(IF(INDEX(Aux_puntos!$A$2:$OJ$901,327,MATCH($B$2&amp;"|xI",Aux_puntos!$1:$1,0))="",NA(),INDEX(Aux_puntos!$A$2:$OJ$901,327,MATCH($B$2&amp;"|xI",Aux_puntos!$1:$1,0))),NA())</f>
        <v/>
      </c>
      <c r="AH331">
        <f>IFERROR(IF(INDEX(Aux_puntos!$A$2:$OJ$901,327,MATCH($B$2&amp;"|yI",Aux_puntos!$1:$1,0))="",NA(),INDEX(Aux_puntos!$A$2:$OJ$901,327,MATCH($B$2&amp;"|yI",Aux_puntos!$1:$1,0))),NA())</f>
        <v/>
      </c>
      <c r="AI331">
        <f>IFERROR(IF(INDEX(Aux_puntos!$A$2:$OJ$901,327,MATCH($B$2&amp;"|xN",Aux_puntos!$1:$1,0))="",NA(),INDEX(Aux_puntos!$A$2:$OJ$901,327,MATCH($B$2&amp;"|xN",Aux_puntos!$1:$1,0))),NA())</f>
        <v/>
      </c>
      <c r="AJ331">
        <f>IFERROR(IF(INDEX(Aux_puntos!$A$2:$OJ$901,327,MATCH($B$2&amp;"|yN",Aux_puntos!$1:$1,0))="",NA(),INDEX(Aux_puntos!$A$2:$OJ$901,327,MATCH($B$2&amp;"|yN",Aux_puntos!$1:$1,0))),NA())</f>
        <v/>
      </c>
    </row>
    <row r="332">
      <c r="AC332">
        <f>IFERROR(IF(INDEX(Aux_puntos!$A$2:$OJ$901,328,MATCH($B$2&amp;"|xK",Aux_puntos!$1:$1,0))="",NA(),INDEX(Aux_puntos!$A$2:$OJ$901,328,MATCH($B$2&amp;"|xK",Aux_puntos!$1:$1,0))),NA())</f>
        <v/>
      </c>
      <c r="AD332">
        <f>IFERROR(IF(INDEX(Aux_puntos!$A$2:$OJ$901,328,MATCH($B$2&amp;"|yK",Aux_puntos!$1:$1,0))="",NA(),INDEX(Aux_puntos!$A$2:$OJ$901,328,MATCH($B$2&amp;"|yK",Aux_puntos!$1:$1,0))),NA())</f>
        <v/>
      </c>
      <c r="AE332">
        <f>IFERROR(IF(INDEX(Aux_puntos!$A$2:$OJ$901,328,MATCH($B$2&amp;"|xC",Aux_puntos!$1:$1,0))="",NA(),INDEX(Aux_puntos!$A$2:$OJ$901,328,MATCH($B$2&amp;"|xC",Aux_puntos!$1:$1,0))),NA())</f>
        <v/>
      </c>
      <c r="AF332">
        <f>IFERROR(IF(INDEX(Aux_puntos!$A$2:$OJ$901,328,MATCH($B$2&amp;"|yC",Aux_puntos!$1:$1,0))="",NA(),INDEX(Aux_puntos!$A$2:$OJ$901,328,MATCH($B$2&amp;"|yC",Aux_puntos!$1:$1,0))),NA())</f>
        <v/>
      </c>
      <c r="AG332">
        <f>IFERROR(IF(INDEX(Aux_puntos!$A$2:$OJ$901,328,MATCH($B$2&amp;"|xI",Aux_puntos!$1:$1,0))="",NA(),INDEX(Aux_puntos!$A$2:$OJ$901,328,MATCH($B$2&amp;"|xI",Aux_puntos!$1:$1,0))),NA())</f>
        <v/>
      </c>
      <c r="AH332">
        <f>IFERROR(IF(INDEX(Aux_puntos!$A$2:$OJ$901,328,MATCH($B$2&amp;"|yI",Aux_puntos!$1:$1,0))="",NA(),INDEX(Aux_puntos!$A$2:$OJ$901,328,MATCH($B$2&amp;"|yI",Aux_puntos!$1:$1,0))),NA())</f>
        <v/>
      </c>
      <c r="AI332">
        <f>IFERROR(IF(INDEX(Aux_puntos!$A$2:$OJ$901,328,MATCH($B$2&amp;"|xN",Aux_puntos!$1:$1,0))="",NA(),INDEX(Aux_puntos!$A$2:$OJ$901,328,MATCH($B$2&amp;"|xN",Aux_puntos!$1:$1,0))),NA())</f>
        <v/>
      </c>
      <c r="AJ332">
        <f>IFERROR(IF(INDEX(Aux_puntos!$A$2:$OJ$901,328,MATCH($B$2&amp;"|yN",Aux_puntos!$1:$1,0))="",NA(),INDEX(Aux_puntos!$A$2:$OJ$901,328,MATCH($B$2&amp;"|yN",Aux_puntos!$1:$1,0))),NA())</f>
        <v/>
      </c>
    </row>
    <row r="333">
      <c r="AC333">
        <f>IFERROR(IF(INDEX(Aux_puntos!$A$2:$OJ$901,329,MATCH($B$2&amp;"|xK",Aux_puntos!$1:$1,0))="",NA(),INDEX(Aux_puntos!$A$2:$OJ$901,329,MATCH($B$2&amp;"|xK",Aux_puntos!$1:$1,0))),NA())</f>
        <v/>
      </c>
      <c r="AD333">
        <f>IFERROR(IF(INDEX(Aux_puntos!$A$2:$OJ$901,329,MATCH($B$2&amp;"|yK",Aux_puntos!$1:$1,0))="",NA(),INDEX(Aux_puntos!$A$2:$OJ$901,329,MATCH($B$2&amp;"|yK",Aux_puntos!$1:$1,0))),NA())</f>
        <v/>
      </c>
      <c r="AE333">
        <f>IFERROR(IF(INDEX(Aux_puntos!$A$2:$OJ$901,329,MATCH($B$2&amp;"|xC",Aux_puntos!$1:$1,0))="",NA(),INDEX(Aux_puntos!$A$2:$OJ$901,329,MATCH($B$2&amp;"|xC",Aux_puntos!$1:$1,0))),NA())</f>
        <v/>
      </c>
      <c r="AF333">
        <f>IFERROR(IF(INDEX(Aux_puntos!$A$2:$OJ$901,329,MATCH($B$2&amp;"|yC",Aux_puntos!$1:$1,0))="",NA(),INDEX(Aux_puntos!$A$2:$OJ$901,329,MATCH($B$2&amp;"|yC",Aux_puntos!$1:$1,0))),NA())</f>
        <v/>
      </c>
      <c r="AG333">
        <f>IFERROR(IF(INDEX(Aux_puntos!$A$2:$OJ$901,329,MATCH($B$2&amp;"|xI",Aux_puntos!$1:$1,0))="",NA(),INDEX(Aux_puntos!$A$2:$OJ$901,329,MATCH($B$2&amp;"|xI",Aux_puntos!$1:$1,0))),NA())</f>
        <v/>
      </c>
      <c r="AH333">
        <f>IFERROR(IF(INDEX(Aux_puntos!$A$2:$OJ$901,329,MATCH($B$2&amp;"|yI",Aux_puntos!$1:$1,0))="",NA(),INDEX(Aux_puntos!$A$2:$OJ$901,329,MATCH($B$2&amp;"|yI",Aux_puntos!$1:$1,0))),NA())</f>
        <v/>
      </c>
      <c r="AI333">
        <f>IFERROR(IF(INDEX(Aux_puntos!$A$2:$OJ$901,329,MATCH($B$2&amp;"|xN",Aux_puntos!$1:$1,0))="",NA(),INDEX(Aux_puntos!$A$2:$OJ$901,329,MATCH($B$2&amp;"|xN",Aux_puntos!$1:$1,0))),NA())</f>
        <v/>
      </c>
      <c r="AJ333">
        <f>IFERROR(IF(INDEX(Aux_puntos!$A$2:$OJ$901,329,MATCH($B$2&amp;"|yN",Aux_puntos!$1:$1,0))="",NA(),INDEX(Aux_puntos!$A$2:$OJ$901,329,MATCH($B$2&amp;"|yN",Aux_puntos!$1:$1,0))),NA())</f>
        <v/>
      </c>
    </row>
    <row r="334">
      <c r="AC334">
        <f>IFERROR(IF(INDEX(Aux_puntos!$A$2:$OJ$901,330,MATCH($B$2&amp;"|xK",Aux_puntos!$1:$1,0))="",NA(),INDEX(Aux_puntos!$A$2:$OJ$901,330,MATCH($B$2&amp;"|xK",Aux_puntos!$1:$1,0))),NA())</f>
        <v/>
      </c>
      <c r="AD334">
        <f>IFERROR(IF(INDEX(Aux_puntos!$A$2:$OJ$901,330,MATCH($B$2&amp;"|yK",Aux_puntos!$1:$1,0))="",NA(),INDEX(Aux_puntos!$A$2:$OJ$901,330,MATCH($B$2&amp;"|yK",Aux_puntos!$1:$1,0))),NA())</f>
        <v/>
      </c>
      <c r="AE334">
        <f>IFERROR(IF(INDEX(Aux_puntos!$A$2:$OJ$901,330,MATCH($B$2&amp;"|xC",Aux_puntos!$1:$1,0))="",NA(),INDEX(Aux_puntos!$A$2:$OJ$901,330,MATCH($B$2&amp;"|xC",Aux_puntos!$1:$1,0))),NA())</f>
        <v/>
      </c>
      <c r="AF334">
        <f>IFERROR(IF(INDEX(Aux_puntos!$A$2:$OJ$901,330,MATCH($B$2&amp;"|yC",Aux_puntos!$1:$1,0))="",NA(),INDEX(Aux_puntos!$A$2:$OJ$901,330,MATCH($B$2&amp;"|yC",Aux_puntos!$1:$1,0))),NA())</f>
        <v/>
      </c>
      <c r="AG334">
        <f>IFERROR(IF(INDEX(Aux_puntos!$A$2:$OJ$901,330,MATCH($B$2&amp;"|xI",Aux_puntos!$1:$1,0))="",NA(),INDEX(Aux_puntos!$A$2:$OJ$901,330,MATCH($B$2&amp;"|xI",Aux_puntos!$1:$1,0))),NA())</f>
        <v/>
      </c>
      <c r="AH334">
        <f>IFERROR(IF(INDEX(Aux_puntos!$A$2:$OJ$901,330,MATCH($B$2&amp;"|yI",Aux_puntos!$1:$1,0))="",NA(),INDEX(Aux_puntos!$A$2:$OJ$901,330,MATCH($B$2&amp;"|yI",Aux_puntos!$1:$1,0))),NA())</f>
        <v/>
      </c>
      <c r="AI334">
        <f>IFERROR(IF(INDEX(Aux_puntos!$A$2:$OJ$901,330,MATCH($B$2&amp;"|xN",Aux_puntos!$1:$1,0))="",NA(),INDEX(Aux_puntos!$A$2:$OJ$901,330,MATCH($B$2&amp;"|xN",Aux_puntos!$1:$1,0))),NA())</f>
        <v/>
      </c>
      <c r="AJ334">
        <f>IFERROR(IF(INDEX(Aux_puntos!$A$2:$OJ$901,330,MATCH($B$2&amp;"|yN",Aux_puntos!$1:$1,0))="",NA(),INDEX(Aux_puntos!$A$2:$OJ$901,330,MATCH($B$2&amp;"|yN",Aux_puntos!$1:$1,0))),NA())</f>
        <v/>
      </c>
    </row>
    <row r="335">
      <c r="AC335">
        <f>IFERROR(IF(INDEX(Aux_puntos!$A$2:$OJ$901,331,MATCH($B$2&amp;"|xK",Aux_puntos!$1:$1,0))="",NA(),INDEX(Aux_puntos!$A$2:$OJ$901,331,MATCH($B$2&amp;"|xK",Aux_puntos!$1:$1,0))),NA())</f>
        <v/>
      </c>
      <c r="AD335">
        <f>IFERROR(IF(INDEX(Aux_puntos!$A$2:$OJ$901,331,MATCH($B$2&amp;"|yK",Aux_puntos!$1:$1,0))="",NA(),INDEX(Aux_puntos!$A$2:$OJ$901,331,MATCH($B$2&amp;"|yK",Aux_puntos!$1:$1,0))),NA())</f>
        <v/>
      </c>
      <c r="AE335">
        <f>IFERROR(IF(INDEX(Aux_puntos!$A$2:$OJ$901,331,MATCH($B$2&amp;"|xC",Aux_puntos!$1:$1,0))="",NA(),INDEX(Aux_puntos!$A$2:$OJ$901,331,MATCH($B$2&amp;"|xC",Aux_puntos!$1:$1,0))),NA())</f>
        <v/>
      </c>
      <c r="AF335">
        <f>IFERROR(IF(INDEX(Aux_puntos!$A$2:$OJ$901,331,MATCH($B$2&amp;"|yC",Aux_puntos!$1:$1,0))="",NA(),INDEX(Aux_puntos!$A$2:$OJ$901,331,MATCH($B$2&amp;"|yC",Aux_puntos!$1:$1,0))),NA())</f>
        <v/>
      </c>
      <c r="AG335">
        <f>IFERROR(IF(INDEX(Aux_puntos!$A$2:$OJ$901,331,MATCH($B$2&amp;"|xI",Aux_puntos!$1:$1,0))="",NA(),INDEX(Aux_puntos!$A$2:$OJ$901,331,MATCH($B$2&amp;"|xI",Aux_puntos!$1:$1,0))),NA())</f>
        <v/>
      </c>
      <c r="AH335">
        <f>IFERROR(IF(INDEX(Aux_puntos!$A$2:$OJ$901,331,MATCH($B$2&amp;"|yI",Aux_puntos!$1:$1,0))="",NA(),INDEX(Aux_puntos!$A$2:$OJ$901,331,MATCH($B$2&amp;"|yI",Aux_puntos!$1:$1,0))),NA())</f>
        <v/>
      </c>
      <c r="AI335">
        <f>IFERROR(IF(INDEX(Aux_puntos!$A$2:$OJ$901,331,MATCH($B$2&amp;"|xN",Aux_puntos!$1:$1,0))="",NA(),INDEX(Aux_puntos!$A$2:$OJ$901,331,MATCH($B$2&amp;"|xN",Aux_puntos!$1:$1,0))),NA())</f>
        <v/>
      </c>
      <c r="AJ335">
        <f>IFERROR(IF(INDEX(Aux_puntos!$A$2:$OJ$901,331,MATCH($B$2&amp;"|yN",Aux_puntos!$1:$1,0))="",NA(),INDEX(Aux_puntos!$A$2:$OJ$901,331,MATCH($B$2&amp;"|yN",Aux_puntos!$1:$1,0))),NA())</f>
        <v/>
      </c>
    </row>
    <row r="336">
      <c r="AC336">
        <f>IFERROR(IF(INDEX(Aux_puntos!$A$2:$OJ$901,332,MATCH($B$2&amp;"|xK",Aux_puntos!$1:$1,0))="",NA(),INDEX(Aux_puntos!$A$2:$OJ$901,332,MATCH($B$2&amp;"|xK",Aux_puntos!$1:$1,0))),NA())</f>
        <v/>
      </c>
      <c r="AD336">
        <f>IFERROR(IF(INDEX(Aux_puntos!$A$2:$OJ$901,332,MATCH($B$2&amp;"|yK",Aux_puntos!$1:$1,0))="",NA(),INDEX(Aux_puntos!$A$2:$OJ$901,332,MATCH($B$2&amp;"|yK",Aux_puntos!$1:$1,0))),NA())</f>
        <v/>
      </c>
      <c r="AE336">
        <f>IFERROR(IF(INDEX(Aux_puntos!$A$2:$OJ$901,332,MATCH($B$2&amp;"|xC",Aux_puntos!$1:$1,0))="",NA(),INDEX(Aux_puntos!$A$2:$OJ$901,332,MATCH($B$2&amp;"|xC",Aux_puntos!$1:$1,0))),NA())</f>
        <v/>
      </c>
      <c r="AF336">
        <f>IFERROR(IF(INDEX(Aux_puntos!$A$2:$OJ$901,332,MATCH($B$2&amp;"|yC",Aux_puntos!$1:$1,0))="",NA(),INDEX(Aux_puntos!$A$2:$OJ$901,332,MATCH($B$2&amp;"|yC",Aux_puntos!$1:$1,0))),NA())</f>
        <v/>
      </c>
      <c r="AG336">
        <f>IFERROR(IF(INDEX(Aux_puntos!$A$2:$OJ$901,332,MATCH($B$2&amp;"|xI",Aux_puntos!$1:$1,0))="",NA(),INDEX(Aux_puntos!$A$2:$OJ$901,332,MATCH($B$2&amp;"|xI",Aux_puntos!$1:$1,0))),NA())</f>
        <v/>
      </c>
      <c r="AH336">
        <f>IFERROR(IF(INDEX(Aux_puntos!$A$2:$OJ$901,332,MATCH($B$2&amp;"|yI",Aux_puntos!$1:$1,0))="",NA(),INDEX(Aux_puntos!$A$2:$OJ$901,332,MATCH($B$2&amp;"|yI",Aux_puntos!$1:$1,0))),NA())</f>
        <v/>
      </c>
      <c r="AI336">
        <f>IFERROR(IF(INDEX(Aux_puntos!$A$2:$OJ$901,332,MATCH($B$2&amp;"|xN",Aux_puntos!$1:$1,0))="",NA(),INDEX(Aux_puntos!$A$2:$OJ$901,332,MATCH($B$2&amp;"|xN",Aux_puntos!$1:$1,0))),NA())</f>
        <v/>
      </c>
      <c r="AJ336">
        <f>IFERROR(IF(INDEX(Aux_puntos!$A$2:$OJ$901,332,MATCH($B$2&amp;"|yN",Aux_puntos!$1:$1,0))="",NA(),INDEX(Aux_puntos!$A$2:$OJ$901,332,MATCH($B$2&amp;"|yN",Aux_puntos!$1:$1,0))),NA())</f>
        <v/>
      </c>
    </row>
    <row r="337">
      <c r="AC337">
        <f>IFERROR(IF(INDEX(Aux_puntos!$A$2:$OJ$901,333,MATCH($B$2&amp;"|xK",Aux_puntos!$1:$1,0))="",NA(),INDEX(Aux_puntos!$A$2:$OJ$901,333,MATCH($B$2&amp;"|xK",Aux_puntos!$1:$1,0))),NA())</f>
        <v/>
      </c>
      <c r="AD337">
        <f>IFERROR(IF(INDEX(Aux_puntos!$A$2:$OJ$901,333,MATCH($B$2&amp;"|yK",Aux_puntos!$1:$1,0))="",NA(),INDEX(Aux_puntos!$A$2:$OJ$901,333,MATCH($B$2&amp;"|yK",Aux_puntos!$1:$1,0))),NA())</f>
        <v/>
      </c>
      <c r="AE337">
        <f>IFERROR(IF(INDEX(Aux_puntos!$A$2:$OJ$901,333,MATCH($B$2&amp;"|xC",Aux_puntos!$1:$1,0))="",NA(),INDEX(Aux_puntos!$A$2:$OJ$901,333,MATCH($B$2&amp;"|xC",Aux_puntos!$1:$1,0))),NA())</f>
        <v/>
      </c>
      <c r="AF337">
        <f>IFERROR(IF(INDEX(Aux_puntos!$A$2:$OJ$901,333,MATCH($B$2&amp;"|yC",Aux_puntos!$1:$1,0))="",NA(),INDEX(Aux_puntos!$A$2:$OJ$901,333,MATCH($B$2&amp;"|yC",Aux_puntos!$1:$1,0))),NA())</f>
        <v/>
      </c>
      <c r="AG337">
        <f>IFERROR(IF(INDEX(Aux_puntos!$A$2:$OJ$901,333,MATCH($B$2&amp;"|xI",Aux_puntos!$1:$1,0))="",NA(),INDEX(Aux_puntos!$A$2:$OJ$901,333,MATCH($B$2&amp;"|xI",Aux_puntos!$1:$1,0))),NA())</f>
        <v/>
      </c>
      <c r="AH337">
        <f>IFERROR(IF(INDEX(Aux_puntos!$A$2:$OJ$901,333,MATCH($B$2&amp;"|yI",Aux_puntos!$1:$1,0))="",NA(),INDEX(Aux_puntos!$A$2:$OJ$901,333,MATCH($B$2&amp;"|yI",Aux_puntos!$1:$1,0))),NA())</f>
        <v/>
      </c>
      <c r="AI337">
        <f>IFERROR(IF(INDEX(Aux_puntos!$A$2:$OJ$901,333,MATCH($B$2&amp;"|xN",Aux_puntos!$1:$1,0))="",NA(),INDEX(Aux_puntos!$A$2:$OJ$901,333,MATCH($B$2&amp;"|xN",Aux_puntos!$1:$1,0))),NA())</f>
        <v/>
      </c>
      <c r="AJ337">
        <f>IFERROR(IF(INDEX(Aux_puntos!$A$2:$OJ$901,333,MATCH($B$2&amp;"|yN",Aux_puntos!$1:$1,0))="",NA(),INDEX(Aux_puntos!$A$2:$OJ$901,333,MATCH($B$2&amp;"|yN",Aux_puntos!$1:$1,0))),NA())</f>
        <v/>
      </c>
    </row>
    <row r="338">
      <c r="AC338">
        <f>IFERROR(IF(INDEX(Aux_puntos!$A$2:$OJ$901,334,MATCH($B$2&amp;"|xK",Aux_puntos!$1:$1,0))="",NA(),INDEX(Aux_puntos!$A$2:$OJ$901,334,MATCH($B$2&amp;"|xK",Aux_puntos!$1:$1,0))),NA())</f>
        <v/>
      </c>
      <c r="AD338">
        <f>IFERROR(IF(INDEX(Aux_puntos!$A$2:$OJ$901,334,MATCH($B$2&amp;"|yK",Aux_puntos!$1:$1,0))="",NA(),INDEX(Aux_puntos!$A$2:$OJ$901,334,MATCH($B$2&amp;"|yK",Aux_puntos!$1:$1,0))),NA())</f>
        <v/>
      </c>
      <c r="AE338">
        <f>IFERROR(IF(INDEX(Aux_puntos!$A$2:$OJ$901,334,MATCH($B$2&amp;"|xC",Aux_puntos!$1:$1,0))="",NA(),INDEX(Aux_puntos!$A$2:$OJ$901,334,MATCH($B$2&amp;"|xC",Aux_puntos!$1:$1,0))),NA())</f>
        <v/>
      </c>
      <c r="AF338">
        <f>IFERROR(IF(INDEX(Aux_puntos!$A$2:$OJ$901,334,MATCH($B$2&amp;"|yC",Aux_puntos!$1:$1,0))="",NA(),INDEX(Aux_puntos!$A$2:$OJ$901,334,MATCH($B$2&amp;"|yC",Aux_puntos!$1:$1,0))),NA())</f>
        <v/>
      </c>
      <c r="AG338">
        <f>IFERROR(IF(INDEX(Aux_puntos!$A$2:$OJ$901,334,MATCH($B$2&amp;"|xI",Aux_puntos!$1:$1,0))="",NA(),INDEX(Aux_puntos!$A$2:$OJ$901,334,MATCH($B$2&amp;"|xI",Aux_puntos!$1:$1,0))),NA())</f>
        <v/>
      </c>
      <c r="AH338">
        <f>IFERROR(IF(INDEX(Aux_puntos!$A$2:$OJ$901,334,MATCH($B$2&amp;"|yI",Aux_puntos!$1:$1,0))="",NA(),INDEX(Aux_puntos!$A$2:$OJ$901,334,MATCH($B$2&amp;"|yI",Aux_puntos!$1:$1,0))),NA())</f>
        <v/>
      </c>
      <c r="AI338">
        <f>IFERROR(IF(INDEX(Aux_puntos!$A$2:$OJ$901,334,MATCH($B$2&amp;"|xN",Aux_puntos!$1:$1,0))="",NA(),INDEX(Aux_puntos!$A$2:$OJ$901,334,MATCH($B$2&amp;"|xN",Aux_puntos!$1:$1,0))),NA())</f>
        <v/>
      </c>
      <c r="AJ338">
        <f>IFERROR(IF(INDEX(Aux_puntos!$A$2:$OJ$901,334,MATCH($B$2&amp;"|yN",Aux_puntos!$1:$1,0))="",NA(),INDEX(Aux_puntos!$A$2:$OJ$901,334,MATCH($B$2&amp;"|yN",Aux_puntos!$1:$1,0))),NA())</f>
        <v/>
      </c>
    </row>
    <row r="339">
      <c r="AC339">
        <f>IFERROR(IF(INDEX(Aux_puntos!$A$2:$OJ$901,335,MATCH($B$2&amp;"|xK",Aux_puntos!$1:$1,0))="",NA(),INDEX(Aux_puntos!$A$2:$OJ$901,335,MATCH($B$2&amp;"|xK",Aux_puntos!$1:$1,0))),NA())</f>
        <v/>
      </c>
      <c r="AD339">
        <f>IFERROR(IF(INDEX(Aux_puntos!$A$2:$OJ$901,335,MATCH($B$2&amp;"|yK",Aux_puntos!$1:$1,0))="",NA(),INDEX(Aux_puntos!$A$2:$OJ$901,335,MATCH($B$2&amp;"|yK",Aux_puntos!$1:$1,0))),NA())</f>
        <v/>
      </c>
      <c r="AE339">
        <f>IFERROR(IF(INDEX(Aux_puntos!$A$2:$OJ$901,335,MATCH($B$2&amp;"|xC",Aux_puntos!$1:$1,0))="",NA(),INDEX(Aux_puntos!$A$2:$OJ$901,335,MATCH($B$2&amp;"|xC",Aux_puntos!$1:$1,0))),NA())</f>
        <v/>
      </c>
      <c r="AF339">
        <f>IFERROR(IF(INDEX(Aux_puntos!$A$2:$OJ$901,335,MATCH($B$2&amp;"|yC",Aux_puntos!$1:$1,0))="",NA(),INDEX(Aux_puntos!$A$2:$OJ$901,335,MATCH($B$2&amp;"|yC",Aux_puntos!$1:$1,0))),NA())</f>
        <v/>
      </c>
      <c r="AG339">
        <f>IFERROR(IF(INDEX(Aux_puntos!$A$2:$OJ$901,335,MATCH($B$2&amp;"|xI",Aux_puntos!$1:$1,0))="",NA(),INDEX(Aux_puntos!$A$2:$OJ$901,335,MATCH($B$2&amp;"|xI",Aux_puntos!$1:$1,0))),NA())</f>
        <v/>
      </c>
      <c r="AH339">
        <f>IFERROR(IF(INDEX(Aux_puntos!$A$2:$OJ$901,335,MATCH($B$2&amp;"|yI",Aux_puntos!$1:$1,0))="",NA(),INDEX(Aux_puntos!$A$2:$OJ$901,335,MATCH($B$2&amp;"|yI",Aux_puntos!$1:$1,0))),NA())</f>
        <v/>
      </c>
      <c r="AI339">
        <f>IFERROR(IF(INDEX(Aux_puntos!$A$2:$OJ$901,335,MATCH($B$2&amp;"|xN",Aux_puntos!$1:$1,0))="",NA(),INDEX(Aux_puntos!$A$2:$OJ$901,335,MATCH($B$2&amp;"|xN",Aux_puntos!$1:$1,0))),NA())</f>
        <v/>
      </c>
      <c r="AJ339">
        <f>IFERROR(IF(INDEX(Aux_puntos!$A$2:$OJ$901,335,MATCH($B$2&amp;"|yN",Aux_puntos!$1:$1,0))="",NA(),INDEX(Aux_puntos!$A$2:$OJ$901,335,MATCH($B$2&amp;"|yN",Aux_puntos!$1:$1,0))),NA())</f>
        <v/>
      </c>
    </row>
    <row r="340">
      <c r="AC340">
        <f>IFERROR(IF(INDEX(Aux_puntos!$A$2:$OJ$901,336,MATCH($B$2&amp;"|xK",Aux_puntos!$1:$1,0))="",NA(),INDEX(Aux_puntos!$A$2:$OJ$901,336,MATCH($B$2&amp;"|xK",Aux_puntos!$1:$1,0))),NA())</f>
        <v/>
      </c>
      <c r="AD340">
        <f>IFERROR(IF(INDEX(Aux_puntos!$A$2:$OJ$901,336,MATCH($B$2&amp;"|yK",Aux_puntos!$1:$1,0))="",NA(),INDEX(Aux_puntos!$A$2:$OJ$901,336,MATCH($B$2&amp;"|yK",Aux_puntos!$1:$1,0))),NA())</f>
        <v/>
      </c>
      <c r="AE340">
        <f>IFERROR(IF(INDEX(Aux_puntos!$A$2:$OJ$901,336,MATCH($B$2&amp;"|xC",Aux_puntos!$1:$1,0))="",NA(),INDEX(Aux_puntos!$A$2:$OJ$901,336,MATCH($B$2&amp;"|xC",Aux_puntos!$1:$1,0))),NA())</f>
        <v/>
      </c>
      <c r="AF340">
        <f>IFERROR(IF(INDEX(Aux_puntos!$A$2:$OJ$901,336,MATCH($B$2&amp;"|yC",Aux_puntos!$1:$1,0))="",NA(),INDEX(Aux_puntos!$A$2:$OJ$901,336,MATCH($B$2&amp;"|yC",Aux_puntos!$1:$1,0))),NA())</f>
        <v/>
      </c>
      <c r="AG340">
        <f>IFERROR(IF(INDEX(Aux_puntos!$A$2:$OJ$901,336,MATCH($B$2&amp;"|xI",Aux_puntos!$1:$1,0))="",NA(),INDEX(Aux_puntos!$A$2:$OJ$901,336,MATCH($B$2&amp;"|xI",Aux_puntos!$1:$1,0))),NA())</f>
        <v/>
      </c>
      <c r="AH340">
        <f>IFERROR(IF(INDEX(Aux_puntos!$A$2:$OJ$901,336,MATCH($B$2&amp;"|yI",Aux_puntos!$1:$1,0))="",NA(),INDEX(Aux_puntos!$A$2:$OJ$901,336,MATCH($B$2&amp;"|yI",Aux_puntos!$1:$1,0))),NA())</f>
        <v/>
      </c>
      <c r="AI340">
        <f>IFERROR(IF(INDEX(Aux_puntos!$A$2:$OJ$901,336,MATCH($B$2&amp;"|xN",Aux_puntos!$1:$1,0))="",NA(),INDEX(Aux_puntos!$A$2:$OJ$901,336,MATCH($B$2&amp;"|xN",Aux_puntos!$1:$1,0))),NA())</f>
        <v/>
      </c>
      <c r="AJ340">
        <f>IFERROR(IF(INDEX(Aux_puntos!$A$2:$OJ$901,336,MATCH($B$2&amp;"|yN",Aux_puntos!$1:$1,0))="",NA(),INDEX(Aux_puntos!$A$2:$OJ$901,336,MATCH($B$2&amp;"|yN",Aux_puntos!$1:$1,0))),NA())</f>
        <v/>
      </c>
    </row>
    <row r="341">
      <c r="AC341">
        <f>IFERROR(IF(INDEX(Aux_puntos!$A$2:$OJ$901,337,MATCH($B$2&amp;"|xK",Aux_puntos!$1:$1,0))="",NA(),INDEX(Aux_puntos!$A$2:$OJ$901,337,MATCH($B$2&amp;"|xK",Aux_puntos!$1:$1,0))),NA())</f>
        <v/>
      </c>
      <c r="AD341">
        <f>IFERROR(IF(INDEX(Aux_puntos!$A$2:$OJ$901,337,MATCH($B$2&amp;"|yK",Aux_puntos!$1:$1,0))="",NA(),INDEX(Aux_puntos!$A$2:$OJ$901,337,MATCH($B$2&amp;"|yK",Aux_puntos!$1:$1,0))),NA())</f>
        <v/>
      </c>
      <c r="AE341">
        <f>IFERROR(IF(INDEX(Aux_puntos!$A$2:$OJ$901,337,MATCH($B$2&amp;"|xC",Aux_puntos!$1:$1,0))="",NA(),INDEX(Aux_puntos!$A$2:$OJ$901,337,MATCH($B$2&amp;"|xC",Aux_puntos!$1:$1,0))),NA())</f>
        <v/>
      </c>
      <c r="AF341">
        <f>IFERROR(IF(INDEX(Aux_puntos!$A$2:$OJ$901,337,MATCH($B$2&amp;"|yC",Aux_puntos!$1:$1,0))="",NA(),INDEX(Aux_puntos!$A$2:$OJ$901,337,MATCH($B$2&amp;"|yC",Aux_puntos!$1:$1,0))),NA())</f>
        <v/>
      </c>
      <c r="AG341">
        <f>IFERROR(IF(INDEX(Aux_puntos!$A$2:$OJ$901,337,MATCH($B$2&amp;"|xI",Aux_puntos!$1:$1,0))="",NA(),INDEX(Aux_puntos!$A$2:$OJ$901,337,MATCH($B$2&amp;"|xI",Aux_puntos!$1:$1,0))),NA())</f>
        <v/>
      </c>
      <c r="AH341">
        <f>IFERROR(IF(INDEX(Aux_puntos!$A$2:$OJ$901,337,MATCH($B$2&amp;"|yI",Aux_puntos!$1:$1,0))="",NA(),INDEX(Aux_puntos!$A$2:$OJ$901,337,MATCH($B$2&amp;"|yI",Aux_puntos!$1:$1,0))),NA())</f>
        <v/>
      </c>
      <c r="AI341">
        <f>IFERROR(IF(INDEX(Aux_puntos!$A$2:$OJ$901,337,MATCH($B$2&amp;"|xN",Aux_puntos!$1:$1,0))="",NA(),INDEX(Aux_puntos!$A$2:$OJ$901,337,MATCH($B$2&amp;"|xN",Aux_puntos!$1:$1,0))),NA())</f>
        <v/>
      </c>
      <c r="AJ341">
        <f>IFERROR(IF(INDEX(Aux_puntos!$A$2:$OJ$901,337,MATCH($B$2&amp;"|yN",Aux_puntos!$1:$1,0))="",NA(),INDEX(Aux_puntos!$A$2:$OJ$901,337,MATCH($B$2&amp;"|yN",Aux_puntos!$1:$1,0))),NA())</f>
        <v/>
      </c>
    </row>
    <row r="342">
      <c r="AC342">
        <f>IFERROR(IF(INDEX(Aux_puntos!$A$2:$OJ$901,338,MATCH($B$2&amp;"|xK",Aux_puntos!$1:$1,0))="",NA(),INDEX(Aux_puntos!$A$2:$OJ$901,338,MATCH($B$2&amp;"|xK",Aux_puntos!$1:$1,0))),NA())</f>
        <v/>
      </c>
      <c r="AD342">
        <f>IFERROR(IF(INDEX(Aux_puntos!$A$2:$OJ$901,338,MATCH($B$2&amp;"|yK",Aux_puntos!$1:$1,0))="",NA(),INDEX(Aux_puntos!$A$2:$OJ$901,338,MATCH($B$2&amp;"|yK",Aux_puntos!$1:$1,0))),NA())</f>
        <v/>
      </c>
      <c r="AE342">
        <f>IFERROR(IF(INDEX(Aux_puntos!$A$2:$OJ$901,338,MATCH($B$2&amp;"|xC",Aux_puntos!$1:$1,0))="",NA(),INDEX(Aux_puntos!$A$2:$OJ$901,338,MATCH($B$2&amp;"|xC",Aux_puntos!$1:$1,0))),NA())</f>
        <v/>
      </c>
      <c r="AF342">
        <f>IFERROR(IF(INDEX(Aux_puntos!$A$2:$OJ$901,338,MATCH($B$2&amp;"|yC",Aux_puntos!$1:$1,0))="",NA(),INDEX(Aux_puntos!$A$2:$OJ$901,338,MATCH($B$2&amp;"|yC",Aux_puntos!$1:$1,0))),NA())</f>
        <v/>
      </c>
      <c r="AG342">
        <f>IFERROR(IF(INDEX(Aux_puntos!$A$2:$OJ$901,338,MATCH($B$2&amp;"|xI",Aux_puntos!$1:$1,0))="",NA(),INDEX(Aux_puntos!$A$2:$OJ$901,338,MATCH($B$2&amp;"|xI",Aux_puntos!$1:$1,0))),NA())</f>
        <v/>
      </c>
      <c r="AH342">
        <f>IFERROR(IF(INDEX(Aux_puntos!$A$2:$OJ$901,338,MATCH($B$2&amp;"|yI",Aux_puntos!$1:$1,0))="",NA(),INDEX(Aux_puntos!$A$2:$OJ$901,338,MATCH($B$2&amp;"|yI",Aux_puntos!$1:$1,0))),NA())</f>
        <v/>
      </c>
      <c r="AI342">
        <f>IFERROR(IF(INDEX(Aux_puntos!$A$2:$OJ$901,338,MATCH($B$2&amp;"|xN",Aux_puntos!$1:$1,0))="",NA(),INDEX(Aux_puntos!$A$2:$OJ$901,338,MATCH($B$2&amp;"|xN",Aux_puntos!$1:$1,0))),NA())</f>
        <v/>
      </c>
      <c r="AJ342">
        <f>IFERROR(IF(INDEX(Aux_puntos!$A$2:$OJ$901,338,MATCH($B$2&amp;"|yN",Aux_puntos!$1:$1,0))="",NA(),INDEX(Aux_puntos!$A$2:$OJ$901,338,MATCH($B$2&amp;"|yN",Aux_puntos!$1:$1,0))),NA())</f>
        <v/>
      </c>
    </row>
    <row r="343">
      <c r="AC343">
        <f>IFERROR(IF(INDEX(Aux_puntos!$A$2:$OJ$901,339,MATCH($B$2&amp;"|xK",Aux_puntos!$1:$1,0))="",NA(),INDEX(Aux_puntos!$A$2:$OJ$901,339,MATCH($B$2&amp;"|xK",Aux_puntos!$1:$1,0))),NA())</f>
        <v/>
      </c>
      <c r="AD343">
        <f>IFERROR(IF(INDEX(Aux_puntos!$A$2:$OJ$901,339,MATCH($B$2&amp;"|yK",Aux_puntos!$1:$1,0))="",NA(),INDEX(Aux_puntos!$A$2:$OJ$901,339,MATCH($B$2&amp;"|yK",Aux_puntos!$1:$1,0))),NA())</f>
        <v/>
      </c>
      <c r="AE343">
        <f>IFERROR(IF(INDEX(Aux_puntos!$A$2:$OJ$901,339,MATCH($B$2&amp;"|xC",Aux_puntos!$1:$1,0))="",NA(),INDEX(Aux_puntos!$A$2:$OJ$901,339,MATCH($B$2&amp;"|xC",Aux_puntos!$1:$1,0))),NA())</f>
        <v/>
      </c>
      <c r="AF343">
        <f>IFERROR(IF(INDEX(Aux_puntos!$A$2:$OJ$901,339,MATCH($B$2&amp;"|yC",Aux_puntos!$1:$1,0))="",NA(),INDEX(Aux_puntos!$A$2:$OJ$901,339,MATCH($B$2&amp;"|yC",Aux_puntos!$1:$1,0))),NA())</f>
        <v/>
      </c>
      <c r="AG343">
        <f>IFERROR(IF(INDEX(Aux_puntos!$A$2:$OJ$901,339,MATCH($B$2&amp;"|xI",Aux_puntos!$1:$1,0))="",NA(),INDEX(Aux_puntos!$A$2:$OJ$901,339,MATCH($B$2&amp;"|xI",Aux_puntos!$1:$1,0))),NA())</f>
        <v/>
      </c>
      <c r="AH343">
        <f>IFERROR(IF(INDEX(Aux_puntos!$A$2:$OJ$901,339,MATCH($B$2&amp;"|yI",Aux_puntos!$1:$1,0))="",NA(),INDEX(Aux_puntos!$A$2:$OJ$901,339,MATCH($B$2&amp;"|yI",Aux_puntos!$1:$1,0))),NA())</f>
        <v/>
      </c>
      <c r="AI343">
        <f>IFERROR(IF(INDEX(Aux_puntos!$A$2:$OJ$901,339,MATCH($B$2&amp;"|xN",Aux_puntos!$1:$1,0))="",NA(),INDEX(Aux_puntos!$A$2:$OJ$901,339,MATCH($B$2&amp;"|xN",Aux_puntos!$1:$1,0))),NA())</f>
        <v/>
      </c>
      <c r="AJ343">
        <f>IFERROR(IF(INDEX(Aux_puntos!$A$2:$OJ$901,339,MATCH($B$2&amp;"|yN",Aux_puntos!$1:$1,0))="",NA(),INDEX(Aux_puntos!$A$2:$OJ$901,339,MATCH($B$2&amp;"|yN",Aux_puntos!$1:$1,0))),NA())</f>
        <v/>
      </c>
    </row>
    <row r="344">
      <c r="AC344">
        <f>IFERROR(IF(INDEX(Aux_puntos!$A$2:$OJ$901,340,MATCH($B$2&amp;"|xK",Aux_puntos!$1:$1,0))="",NA(),INDEX(Aux_puntos!$A$2:$OJ$901,340,MATCH($B$2&amp;"|xK",Aux_puntos!$1:$1,0))),NA())</f>
        <v/>
      </c>
      <c r="AD344">
        <f>IFERROR(IF(INDEX(Aux_puntos!$A$2:$OJ$901,340,MATCH($B$2&amp;"|yK",Aux_puntos!$1:$1,0))="",NA(),INDEX(Aux_puntos!$A$2:$OJ$901,340,MATCH($B$2&amp;"|yK",Aux_puntos!$1:$1,0))),NA())</f>
        <v/>
      </c>
      <c r="AE344">
        <f>IFERROR(IF(INDEX(Aux_puntos!$A$2:$OJ$901,340,MATCH($B$2&amp;"|xC",Aux_puntos!$1:$1,0))="",NA(),INDEX(Aux_puntos!$A$2:$OJ$901,340,MATCH($B$2&amp;"|xC",Aux_puntos!$1:$1,0))),NA())</f>
        <v/>
      </c>
      <c r="AF344">
        <f>IFERROR(IF(INDEX(Aux_puntos!$A$2:$OJ$901,340,MATCH($B$2&amp;"|yC",Aux_puntos!$1:$1,0))="",NA(),INDEX(Aux_puntos!$A$2:$OJ$901,340,MATCH($B$2&amp;"|yC",Aux_puntos!$1:$1,0))),NA())</f>
        <v/>
      </c>
      <c r="AG344">
        <f>IFERROR(IF(INDEX(Aux_puntos!$A$2:$OJ$901,340,MATCH($B$2&amp;"|xI",Aux_puntos!$1:$1,0))="",NA(),INDEX(Aux_puntos!$A$2:$OJ$901,340,MATCH($B$2&amp;"|xI",Aux_puntos!$1:$1,0))),NA())</f>
        <v/>
      </c>
      <c r="AH344">
        <f>IFERROR(IF(INDEX(Aux_puntos!$A$2:$OJ$901,340,MATCH($B$2&amp;"|yI",Aux_puntos!$1:$1,0))="",NA(),INDEX(Aux_puntos!$A$2:$OJ$901,340,MATCH($B$2&amp;"|yI",Aux_puntos!$1:$1,0))),NA())</f>
        <v/>
      </c>
      <c r="AI344">
        <f>IFERROR(IF(INDEX(Aux_puntos!$A$2:$OJ$901,340,MATCH($B$2&amp;"|xN",Aux_puntos!$1:$1,0))="",NA(),INDEX(Aux_puntos!$A$2:$OJ$901,340,MATCH($B$2&amp;"|xN",Aux_puntos!$1:$1,0))),NA())</f>
        <v/>
      </c>
      <c r="AJ344">
        <f>IFERROR(IF(INDEX(Aux_puntos!$A$2:$OJ$901,340,MATCH($B$2&amp;"|yN",Aux_puntos!$1:$1,0))="",NA(),INDEX(Aux_puntos!$A$2:$OJ$901,340,MATCH($B$2&amp;"|yN",Aux_puntos!$1:$1,0))),NA())</f>
        <v/>
      </c>
    </row>
    <row r="345">
      <c r="AC345">
        <f>IFERROR(IF(INDEX(Aux_puntos!$A$2:$OJ$901,341,MATCH($B$2&amp;"|xK",Aux_puntos!$1:$1,0))="",NA(),INDEX(Aux_puntos!$A$2:$OJ$901,341,MATCH($B$2&amp;"|xK",Aux_puntos!$1:$1,0))),NA())</f>
        <v/>
      </c>
      <c r="AD345">
        <f>IFERROR(IF(INDEX(Aux_puntos!$A$2:$OJ$901,341,MATCH($B$2&amp;"|yK",Aux_puntos!$1:$1,0))="",NA(),INDEX(Aux_puntos!$A$2:$OJ$901,341,MATCH($B$2&amp;"|yK",Aux_puntos!$1:$1,0))),NA())</f>
        <v/>
      </c>
      <c r="AE345">
        <f>IFERROR(IF(INDEX(Aux_puntos!$A$2:$OJ$901,341,MATCH($B$2&amp;"|xC",Aux_puntos!$1:$1,0))="",NA(),INDEX(Aux_puntos!$A$2:$OJ$901,341,MATCH($B$2&amp;"|xC",Aux_puntos!$1:$1,0))),NA())</f>
        <v/>
      </c>
      <c r="AF345">
        <f>IFERROR(IF(INDEX(Aux_puntos!$A$2:$OJ$901,341,MATCH($B$2&amp;"|yC",Aux_puntos!$1:$1,0))="",NA(),INDEX(Aux_puntos!$A$2:$OJ$901,341,MATCH($B$2&amp;"|yC",Aux_puntos!$1:$1,0))),NA())</f>
        <v/>
      </c>
      <c r="AG345">
        <f>IFERROR(IF(INDEX(Aux_puntos!$A$2:$OJ$901,341,MATCH($B$2&amp;"|xI",Aux_puntos!$1:$1,0))="",NA(),INDEX(Aux_puntos!$A$2:$OJ$901,341,MATCH($B$2&amp;"|xI",Aux_puntos!$1:$1,0))),NA())</f>
        <v/>
      </c>
      <c r="AH345">
        <f>IFERROR(IF(INDEX(Aux_puntos!$A$2:$OJ$901,341,MATCH($B$2&amp;"|yI",Aux_puntos!$1:$1,0))="",NA(),INDEX(Aux_puntos!$A$2:$OJ$901,341,MATCH($B$2&amp;"|yI",Aux_puntos!$1:$1,0))),NA())</f>
        <v/>
      </c>
      <c r="AI345">
        <f>IFERROR(IF(INDEX(Aux_puntos!$A$2:$OJ$901,341,MATCH($B$2&amp;"|xN",Aux_puntos!$1:$1,0))="",NA(),INDEX(Aux_puntos!$A$2:$OJ$901,341,MATCH($B$2&amp;"|xN",Aux_puntos!$1:$1,0))),NA())</f>
        <v/>
      </c>
      <c r="AJ345">
        <f>IFERROR(IF(INDEX(Aux_puntos!$A$2:$OJ$901,341,MATCH($B$2&amp;"|yN",Aux_puntos!$1:$1,0))="",NA(),INDEX(Aux_puntos!$A$2:$OJ$901,341,MATCH($B$2&amp;"|yN",Aux_puntos!$1:$1,0))),NA())</f>
        <v/>
      </c>
    </row>
    <row r="346">
      <c r="AC346">
        <f>IFERROR(IF(INDEX(Aux_puntos!$A$2:$OJ$901,342,MATCH($B$2&amp;"|xK",Aux_puntos!$1:$1,0))="",NA(),INDEX(Aux_puntos!$A$2:$OJ$901,342,MATCH($B$2&amp;"|xK",Aux_puntos!$1:$1,0))),NA())</f>
        <v/>
      </c>
      <c r="AD346">
        <f>IFERROR(IF(INDEX(Aux_puntos!$A$2:$OJ$901,342,MATCH($B$2&amp;"|yK",Aux_puntos!$1:$1,0))="",NA(),INDEX(Aux_puntos!$A$2:$OJ$901,342,MATCH($B$2&amp;"|yK",Aux_puntos!$1:$1,0))),NA())</f>
        <v/>
      </c>
      <c r="AE346">
        <f>IFERROR(IF(INDEX(Aux_puntos!$A$2:$OJ$901,342,MATCH($B$2&amp;"|xC",Aux_puntos!$1:$1,0))="",NA(),INDEX(Aux_puntos!$A$2:$OJ$901,342,MATCH($B$2&amp;"|xC",Aux_puntos!$1:$1,0))),NA())</f>
        <v/>
      </c>
      <c r="AF346">
        <f>IFERROR(IF(INDEX(Aux_puntos!$A$2:$OJ$901,342,MATCH($B$2&amp;"|yC",Aux_puntos!$1:$1,0))="",NA(),INDEX(Aux_puntos!$A$2:$OJ$901,342,MATCH($B$2&amp;"|yC",Aux_puntos!$1:$1,0))),NA())</f>
        <v/>
      </c>
      <c r="AG346">
        <f>IFERROR(IF(INDEX(Aux_puntos!$A$2:$OJ$901,342,MATCH($B$2&amp;"|xI",Aux_puntos!$1:$1,0))="",NA(),INDEX(Aux_puntos!$A$2:$OJ$901,342,MATCH($B$2&amp;"|xI",Aux_puntos!$1:$1,0))),NA())</f>
        <v/>
      </c>
      <c r="AH346">
        <f>IFERROR(IF(INDEX(Aux_puntos!$A$2:$OJ$901,342,MATCH($B$2&amp;"|yI",Aux_puntos!$1:$1,0))="",NA(),INDEX(Aux_puntos!$A$2:$OJ$901,342,MATCH($B$2&amp;"|yI",Aux_puntos!$1:$1,0))),NA())</f>
        <v/>
      </c>
      <c r="AI346">
        <f>IFERROR(IF(INDEX(Aux_puntos!$A$2:$OJ$901,342,MATCH($B$2&amp;"|xN",Aux_puntos!$1:$1,0))="",NA(),INDEX(Aux_puntos!$A$2:$OJ$901,342,MATCH($B$2&amp;"|xN",Aux_puntos!$1:$1,0))),NA())</f>
        <v/>
      </c>
      <c r="AJ346">
        <f>IFERROR(IF(INDEX(Aux_puntos!$A$2:$OJ$901,342,MATCH($B$2&amp;"|yN",Aux_puntos!$1:$1,0))="",NA(),INDEX(Aux_puntos!$A$2:$OJ$901,342,MATCH($B$2&amp;"|yN",Aux_puntos!$1:$1,0))),NA())</f>
        <v/>
      </c>
    </row>
    <row r="347">
      <c r="AC347">
        <f>IFERROR(IF(INDEX(Aux_puntos!$A$2:$OJ$901,343,MATCH($B$2&amp;"|xK",Aux_puntos!$1:$1,0))="",NA(),INDEX(Aux_puntos!$A$2:$OJ$901,343,MATCH($B$2&amp;"|xK",Aux_puntos!$1:$1,0))),NA())</f>
        <v/>
      </c>
      <c r="AD347">
        <f>IFERROR(IF(INDEX(Aux_puntos!$A$2:$OJ$901,343,MATCH($B$2&amp;"|yK",Aux_puntos!$1:$1,0))="",NA(),INDEX(Aux_puntos!$A$2:$OJ$901,343,MATCH($B$2&amp;"|yK",Aux_puntos!$1:$1,0))),NA())</f>
        <v/>
      </c>
      <c r="AE347">
        <f>IFERROR(IF(INDEX(Aux_puntos!$A$2:$OJ$901,343,MATCH($B$2&amp;"|xC",Aux_puntos!$1:$1,0))="",NA(),INDEX(Aux_puntos!$A$2:$OJ$901,343,MATCH($B$2&amp;"|xC",Aux_puntos!$1:$1,0))),NA())</f>
        <v/>
      </c>
      <c r="AF347">
        <f>IFERROR(IF(INDEX(Aux_puntos!$A$2:$OJ$901,343,MATCH($B$2&amp;"|yC",Aux_puntos!$1:$1,0))="",NA(),INDEX(Aux_puntos!$A$2:$OJ$901,343,MATCH($B$2&amp;"|yC",Aux_puntos!$1:$1,0))),NA())</f>
        <v/>
      </c>
      <c r="AG347">
        <f>IFERROR(IF(INDEX(Aux_puntos!$A$2:$OJ$901,343,MATCH($B$2&amp;"|xI",Aux_puntos!$1:$1,0))="",NA(),INDEX(Aux_puntos!$A$2:$OJ$901,343,MATCH($B$2&amp;"|xI",Aux_puntos!$1:$1,0))),NA())</f>
        <v/>
      </c>
      <c r="AH347">
        <f>IFERROR(IF(INDEX(Aux_puntos!$A$2:$OJ$901,343,MATCH($B$2&amp;"|yI",Aux_puntos!$1:$1,0))="",NA(),INDEX(Aux_puntos!$A$2:$OJ$901,343,MATCH($B$2&amp;"|yI",Aux_puntos!$1:$1,0))),NA())</f>
        <v/>
      </c>
      <c r="AI347">
        <f>IFERROR(IF(INDEX(Aux_puntos!$A$2:$OJ$901,343,MATCH($B$2&amp;"|xN",Aux_puntos!$1:$1,0))="",NA(),INDEX(Aux_puntos!$A$2:$OJ$901,343,MATCH($B$2&amp;"|xN",Aux_puntos!$1:$1,0))),NA())</f>
        <v/>
      </c>
      <c r="AJ347">
        <f>IFERROR(IF(INDEX(Aux_puntos!$A$2:$OJ$901,343,MATCH($B$2&amp;"|yN",Aux_puntos!$1:$1,0))="",NA(),INDEX(Aux_puntos!$A$2:$OJ$901,343,MATCH($B$2&amp;"|yN",Aux_puntos!$1:$1,0))),NA())</f>
        <v/>
      </c>
    </row>
    <row r="348">
      <c r="AC348">
        <f>IFERROR(IF(INDEX(Aux_puntos!$A$2:$OJ$901,344,MATCH($B$2&amp;"|xK",Aux_puntos!$1:$1,0))="",NA(),INDEX(Aux_puntos!$A$2:$OJ$901,344,MATCH($B$2&amp;"|xK",Aux_puntos!$1:$1,0))),NA())</f>
        <v/>
      </c>
      <c r="AD348">
        <f>IFERROR(IF(INDEX(Aux_puntos!$A$2:$OJ$901,344,MATCH($B$2&amp;"|yK",Aux_puntos!$1:$1,0))="",NA(),INDEX(Aux_puntos!$A$2:$OJ$901,344,MATCH($B$2&amp;"|yK",Aux_puntos!$1:$1,0))),NA())</f>
        <v/>
      </c>
      <c r="AE348">
        <f>IFERROR(IF(INDEX(Aux_puntos!$A$2:$OJ$901,344,MATCH($B$2&amp;"|xC",Aux_puntos!$1:$1,0))="",NA(),INDEX(Aux_puntos!$A$2:$OJ$901,344,MATCH($B$2&amp;"|xC",Aux_puntos!$1:$1,0))),NA())</f>
        <v/>
      </c>
      <c r="AF348">
        <f>IFERROR(IF(INDEX(Aux_puntos!$A$2:$OJ$901,344,MATCH($B$2&amp;"|yC",Aux_puntos!$1:$1,0))="",NA(),INDEX(Aux_puntos!$A$2:$OJ$901,344,MATCH($B$2&amp;"|yC",Aux_puntos!$1:$1,0))),NA())</f>
        <v/>
      </c>
      <c r="AG348">
        <f>IFERROR(IF(INDEX(Aux_puntos!$A$2:$OJ$901,344,MATCH($B$2&amp;"|xI",Aux_puntos!$1:$1,0))="",NA(),INDEX(Aux_puntos!$A$2:$OJ$901,344,MATCH($B$2&amp;"|xI",Aux_puntos!$1:$1,0))),NA())</f>
        <v/>
      </c>
      <c r="AH348">
        <f>IFERROR(IF(INDEX(Aux_puntos!$A$2:$OJ$901,344,MATCH($B$2&amp;"|yI",Aux_puntos!$1:$1,0))="",NA(),INDEX(Aux_puntos!$A$2:$OJ$901,344,MATCH($B$2&amp;"|yI",Aux_puntos!$1:$1,0))),NA())</f>
        <v/>
      </c>
      <c r="AI348">
        <f>IFERROR(IF(INDEX(Aux_puntos!$A$2:$OJ$901,344,MATCH($B$2&amp;"|xN",Aux_puntos!$1:$1,0))="",NA(),INDEX(Aux_puntos!$A$2:$OJ$901,344,MATCH($B$2&amp;"|xN",Aux_puntos!$1:$1,0))),NA())</f>
        <v/>
      </c>
      <c r="AJ348">
        <f>IFERROR(IF(INDEX(Aux_puntos!$A$2:$OJ$901,344,MATCH($B$2&amp;"|yN",Aux_puntos!$1:$1,0))="",NA(),INDEX(Aux_puntos!$A$2:$OJ$901,344,MATCH($B$2&amp;"|yN",Aux_puntos!$1:$1,0))),NA())</f>
        <v/>
      </c>
    </row>
    <row r="349">
      <c r="AC349">
        <f>IFERROR(IF(INDEX(Aux_puntos!$A$2:$OJ$901,345,MATCH($B$2&amp;"|xK",Aux_puntos!$1:$1,0))="",NA(),INDEX(Aux_puntos!$A$2:$OJ$901,345,MATCH($B$2&amp;"|xK",Aux_puntos!$1:$1,0))),NA())</f>
        <v/>
      </c>
      <c r="AD349">
        <f>IFERROR(IF(INDEX(Aux_puntos!$A$2:$OJ$901,345,MATCH($B$2&amp;"|yK",Aux_puntos!$1:$1,0))="",NA(),INDEX(Aux_puntos!$A$2:$OJ$901,345,MATCH($B$2&amp;"|yK",Aux_puntos!$1:$1,0))),NA())</f>
        <v/>
      </c>
      <c r="AE349">
        <f>IFERROR(IF(INDEX(Aux_puntos!$A$2:$OJ$901,345,MATCH($B$2&amp;"|xC",Aux_puntos!$1:$1,0))="",NA(),INDEX(Aux_puntos!$A$2:$OJ$901,345,MATCH($B$2&amp;"|xC",Aux_puntos!$1:$1,0))),NA())</f>
        <v/>
      </c>
      <c r="AF349">
        <f>IFERROR(IF(INDEX(Aux_puntos!$A$2:$OJ$901,345,MATCH($B$2&amp;"|yC",Aux_puntos!$1:$1,0))="",NA(),INDEX(Aux_puntos!$A$2:$OJ$901,345,MATCH($B$2&amp;"|yC",Aux_puntos!$1:$1,0))),NA())</f>
        <v/>
      </c>
      <c r="AG349">
        <f>IFERROR(IF(INDEX(Aux_puntos!$A$2:$OJ$901,345,MATCH($B$2&amp;"|xI",Aux_puntos!$1:$1,0))="",NA(),INDEX(Aux_puntos!$A$2:$OJ$901,345,MATCH($B$2&amp;"|xI",Aux_puntos!$1:$1,0))),NA())</f>
        <v/>
      </c>
      <c r="AH349">
        <f>IFERROR(IF(INDEX(Aux_puntos!$A$2:$OJ$901,345,MATCH($B$2&amp;"|yI",Aux_puntos!$1:$1,0))="",NA(),INDEX(Aux_puntos!$A$2:$OJ$901,345,MATCH($B$2&amp;"|yI",Aux_puntos!$1:$1,0))),NA())</f>
        <v/>
      </c>
      <c r="AI349">
        <f>IFERROR(IF(INDEX(Aux_puntos!$A$2:$OJ$901,345,MATCH($B$2&amp;"|xN",Aux_puntos!$1:$1,0))="",NA(),INDEX(Aux_puntos!$A$2:$OJ$901,345,MATCH($B$2&amp;"|xN",Aux_puntos!$1:$1,0))),NA())</f>
        <v/>
      </c>
      <c r="AJ349">
        <f>IFERROR(IF(INDEX(Aux_puntos!$A$2:$OJ$901,345,MATCH($B$2&amp;"|yN",Aux_puntos!$1:$1,0))="",NA(),INDEX(Aux_puntos!$A$2:$OJ$901,345,MATCH($B$2&amp;"|yN",Aux_puntos!$1:$1,0))),NA())</f>
        <v/>
      </c>
    </row>
    <row r="350">
      <c r="AC350">
        <f>IFERROR(IF(INDEX(Aux_puntos!$A$2:$OJ$901,346,MATCH($B$2&amp;"|xK",Aux_puntos!$1:$1,0))="",NA(),INDEX(Aux_puntos!$A$2:$OJ$901,346,MATCH($B$2&amp;"|xK",Aux_puntos!$1:$1,0))),NA())</f>
        <v/>
      </c>
      <c r="AD350">
        <f>IFERROR(IF(INDEX(Aux_puntos!$A$2:$OJ$901,346,MATCH($B$2&amp;"|yK",Aux_puntos!$1:$1,0))="",NA(),INDEX(Aux_puntos!$A$2:$OJ$901,346,MATCH($B$2&amp;"|yK",Aux_puntos!$1:$1,0))),NA())</f>
        <v/>
      </c>
      <c r="AE350">
        <f>IFERROR(IF(INDEX(Aux_puntos!$A$2:$OJ$901,346,MATCH($B$2&amp;"|xC",Aux_puntos!$1:$1,0))="",NA(),INDEX(Aux_puntos!$A$2:$OJ$901,346,MATCH($B$2&amp;"|xC",Aux_puntos!$1:$1,0))),NA())</f>
        <v/>
      </c>
      <c r="AF350">
        <f>IFERROR(IF(INDEX(Aux_puntos!$A$2:$OJ$901,346,MATCH($B$2&amp;"|yC",Aux_puntos!$1:$1,0))="",NA(),INDEX(Aux_puntos!$A$2:$OJ$901,346,MATCH($B$2&amp;"|yC",Aux_puntos!$1:$1,0))),NA())</f>
        <v/>
      </c>
      <c r="AG350">
        <f>IFERROR(IF(INDEX(Aux_puntos!$A$2:$OJ$901,346,MATCH($B$2&amp;"|xI",Aux_puntos!$1:$1,0))="",NA(),INDEX(Aux_puntos!$A$2:$OJ$901,346,MATCH($B$2&amp;"|xI",Aux_puntos!$1:$1,0))),NA())</f>
        <v/>
      </c>
      <c r="AH350">
        <f>IFERROR(IF(INDEX(Aux_puntos!$A$2:$OJ$901,346,MATCH($B$2&amp;"|yI",Aux_puntos!$1:$1,0))="",NA(),INDEX(Aux_puntos!$A$2:$OJ$901,346,MATCH($B$2&amp;"|yI",Aux_puntos!$1:$1,0))),NA())</f>
        <v/>
      </c>
      <c r="AI350">
        <f>IFERROR(IF(INDEX(Aux_puntos!$A$2:$OJ$901,346,MATCH($B$2&amp;"|xN",Aux_puntos!$1:$1,0))="",NA(),INDEX(Aux_puntos!$A$2:$OJ$901,346,MATCH($B$2&amp;"|xN",Aux_puntos!$1:$1,0))),NA())</f>
        <v/>
      </c>
      <c r="AJ350">
        <f>IFERROR(IF(INDEX(Aux_puntos!$A$2:$OJ$901,346,MATCH($B$2&amp;"|yN",Aux_puntos!$1:$1,0))="",NA(),INDEX(Aux_puntos!$A$2:$OJ$901,346,MATCH($B$2&amp;"|yN",Aux_puntos!$1:$1,0))),NA())</f>
        <v/>
      </c>
    </row>
    <row r="351">
      <c r="AC351">
        <f>IFERROR(IF(INDEX(Aux_puntos!$A$2:$OJ$901,347,MATCH($B$2&amp;"|xK",Aux_puntos!$1:$1,0))="",NA(),INDEX(Aux_puntos!$A$2:$OJ$901,347,MATCH($B$2&amp;"|xK",Aux_puntos!$1:$1,0))),NA())</f>
        <v/>
      </c>
      <c r="AD351">
        <f>IFERROR(IF(INDEX(Aux_puntos!$A$2:$OJ$901,347,MATCH($B$2&amp;"|yK",Aux_puntos!$1:$1,0))="",NA(),INDEX(Aux_puntos!$A$2:$OJ$901,347,MATCH($B$2&amp;"|yK",Aux_puntos!$1:$1,0))),NA())</f>
        <v/>
      </c>
      <c r="AE351">
        <f>IFERROR(IF(INDEX(Aux_puntos!$A$2:$OJ$901,347,MATCH($B$2&amp;"|xC",Aux_puntos!$1:$1,0))="",NA(),INDEX(Aux_puntos!$A$2:$OJ$901,347,MATCH($B$2&amp;"|xC",Aux_puntos!$1:$1,0))),NA())</f>
        <v/>
      </c>
      <c r="AF351">
        <f>IFERROR(IF(INDEX(Aux_puntos!$A$2:$OJ$901,347,MATCH($B$2&amp;"|yC",Aux_puntos!$1:$1,0))="",NA(),INDEX(Aux_puntos!$A$2:$OJ$901,347,MATCH($B$2&amp;"|yC",Aux_puntos!$1:$1,0))),NA())</f>
        <v/>
      </c>
      <c r="AG351">
        <f>IFERROR(IF(INDEX(Aux_puntos!$A$2:$OJ$901,347,MATCH($B$2&amp;"|xI",Aux_puntos!$1:$1,0))="",NA(),INDEX(Aux_puntos!$A$2:$OJ$901,347,MATCH($B$2&amp;"|xI",Aux_puntos!$1:$1,0))),NA())</f>
        <v/>
      </c>
      <c r="AH351">
        <f>IFERROR(IF(INDEX(Aux_puntos!$A$2:$OJ$901,347,MATCH($B$2&amp;"|yI",Aux_puntos!$1:$1,0))="",NA(),INDEX(Aux_puntos!$A$2:$OJ$901,347,MATCH($B$2&amp;"|yI",Aux_puntos!$1:$1,0))),NA())</f>
        <v/>
      </c>
      <c r="AI351">
        <f>IFERROR(IF(INDEX(Aux_puntos!$A$2:$OJ$901,347,MATCH($B$2&amp;"|xN",Aux_puntos!$1:$1,0))="",NA(),INDEX(Aux_puntos!$A$2:$OJ$901,347,MATCH($B$2&amp;"|xN",Aux_puntos!$1:$1,0))),NA())</f>
        <v/>
      </c>
      <c r="AJ351">
        <f>IFERROR(IF(INDEX(Aux_puntos!$A$2:$OJ$901,347,MATCH($B$2&amp;"|yN",Aux_puntos!$1:$1,0))="",NA(),INDEX(Aux_puntos!$A$2:$OJ$901,347,MATCH($B$2&amp;"|yN",Aux_puntos!$1:$1,0))),NA())</f>
        <v/>
      </c>
    </row>
    <row r="352">
      <c r="AC352">
        <f>IFERROR(IF(INDEX(Aux_puntos!$A$2:$OJ$901,348,MATCH($B$2&amp;"|xK",Aux_puntos!$1:$1,0))="",NA(),INDEX(Aux_puntos!$A$2:$OJ$901,348,MATCH($B$2&amp;"|xK",Aux_puntos!$1:$1,0))),NA())</f>
        <v/>
      </c>
      <c r="AD352">
        <f>IFERROR(IF(INDEX(Aux_puntos!$A$2:$OJ$901,348,MATCH($B$2&amp;"|yK",Aux_puntos!$1:$1,0))="",NA(),INDEX(Aux_puntos!$A$2:$OJ$901,348,MATCH($B$2&amp;"|yK",Aux_puntos!$1:$1,0))),NA())</f>
        <v/>
      </c>
      <c r="AE352">
        <f>IFERROR(IF(INDEX(Aux_puntos!$A$2:$OJ$901,348,MATCH($B$2&amp;"|xC",Aux_puntos!$1:$1,0))="",NA(),INDEX(Aux_puntos!$A$2:$OJ$901,348,MATCH($B$2&amp;"|xC",Aux_puntos!$1:$1,0))),NA())</f>
        <v/>
      </c>
      <c r="AF352">
        <f>IFERROR(IF(INDEX(Aux_puntos!$A$2:$OJ$901,348,MATCH($B$2&amp;"|yC",Aux_puntos!$1:$1,0))="",NA(),INDEX(Aux_puntos!$A$2:$OJ$901,348,MATCH($B$2&amp;"|yC",Aux_puntos!$1:$1,0))),NA())</f>
        <v/>
      </c>
      <c r="AG352">
        <f>IFERROR(IF(INDEX(Aux_puntos!$A$2:$OJ$901,348,MATCH($B$2&amp;"|xI",Aux_puntos!$1:$1,0))="",NA(),INDEX(Aux_puntos!$A$2:$OJ$901,348,MATCH($B$2&amp;"|xI",Aux_puntos!$1:$1,0))),NA())</f>
        <v/>
      </c>
      <c r="AH352">
        <f>IFERROR(IF(INDEX(Aux_puntos!$A$2:$OJ$901,348,MATCH($B$2&amp;"|yI",Aux_puntos!$1:$1,0))="",NA(),INDEX(Aux_puntos!$A$2:$OJ$901,348,MATCH($B$2&amp;"|yI",Aux_puntos!$1:$1,0))),NA())</f>
        <v/>
      </c>
      <c r="AI352">
        <f>IFERROR(IF(INDEX(Aux_puntos!$A$2:$OJ$901,348,MATCH($B$2&amp;"|xN",Aux_puntos!$1:$1,0))="",NA(),INDEX(Aux_puntos!$A$2:$OJ$901,348,MATCH($B$2&amp;"|xN",Aux_puntos!$1:$1,0))),NA())</f>
        <v/>
      </c>
      <c r="AJ352">
        <f>IFERROR(IF(INDEX(Aux_puntos!$A$2:$OJ$901,348,MATCH($B$2&amp;"|yN",Aux_puntos!$1:$1,0))="",NA(),INDEX(Aux_puntos!$A$2:$OJ$901,348,MATCH($B$2&amp;"|yN",Aux_puntos!$1:$1,0))),NA())</f>
        <v/>
      </c>
    </row>
    <row r="353">
      <c r="AC353">
        <f>IFERROR(IF(INDEX(Aux_puntos!$A$2:$OJ$901,349,MATCH($B$2&amp;"|xK",Aux_puntos!$1:$1,0))="",NA(),INDEX(Aux_puntos!$A$2:$OJ$901,349,MATCH($B$2&amp;"|xK",Aux_puntos!$1:$1,0))),NA())</f>
        <v/>
      </c>
      <c r="AD353">
        <f>IFERROR(IF(INDEX(Aux_puntos!$A$2:$OJ$901,349,MATCH($B$2&amp;"|yK",Aux_puntos!$1:$1,0))="",NA(),INDEX(Aux_puntos!$A$2:$OJ$901,349,MATCH($B$2&amp;"|yK",Aux_puntos!$1:$1,0))),NA())</f>
        <v/>
      </c>
      <c r="AE353">
        <f>IFERROR(IF(INDEX(Aux_puntos!$A$2:$OJ$901,349,MATCH($B$2&amp;"|xC",Aux_puntos!$1:$1,0))="",NA(),INDEX(Aux_puntos!$A$2:$OJ$901,349,MATCH($B$2&amp;"|xC",Aux_puntos!$1:$1,0))),NA())</f>
        <v/>
      </c>
      <c r="AF353">
        <f>IFERROR(IF(INDEX(Aux_puntos!$A$2:$OJ$901,349,MATCH($B$2&amp;"|yC",Aux_puntos!$1:$1,0))="",NA(),INDEX(Aux_puntos!$A$2:$OJ$901,349,MATCH($B$2&amp;"|yC",Aux_puntos!$1:$1,0))),NA())</f>
        <v/>
      </c>
      <c r="AG353">
        <f>IFERROR(IF(INDEX(Aux_puntos!$A$2:$OJ$901,349,MATCH($B$2&amp;"|xI",Aux_puntos!$1:$1,0))="",NA(),INDEX(Aux_puntos!$A$2:$OJ$901,349,MATCH($B$2&amp;"|xI",Aux_puntos!$1:$1,0))),NA())</f>
        <v/>
      </c>
      <c r="AH353">
        <f>IFERROR(IF(INDEX(Aux_puntos!$A$2:$OJ$901,349,MATCH($B$2&amp;"|yI",Aux_puntos!$1:$1,0))="",NA(),INDEX(Aux_puntos!$A$2:$OJ$901,349,MATCH($B$2&amp;"|yI",Aux_puntos!$1:$1,0))),NA())</f>
        <v/>
      </c>
      <c r="AI353">
        <f>IFERROR(IF(INDEX(Aux_puntos!$A$2:$OJ$901,349,MATCH($B$2&amp;"|xN",Aux_puntos!$1:$1,0))="",NA(),INDEX(Aux_puntos!$A$2:$OJ$901,349,MATCH($B$2&amp;"|xN",Aux_puntos!$1:$1,0))),NA())</f>
        <v/>
      </c>
      <c r="AJ353">
        <f>IFERROR(IF(INDEX(Aux_puntos!$A$2:$OJ$901,349,MATCH($B$2&amp;"|yN",Aux_puntos!$1:$1,0))="",NA(),INDEX(Aux_puntos!$A$2:$OJ$901,349,MATCH($B$2&amp;"|yN",Aux_puntos!$1:$1,0))),NA())</f>
        <v/>
      </c>
    </row>
    <row r="354">
      <c r="AC354">
        <f>IFERROR(IF(INDEX(Aux_puntos!$A$2:$OJ$901,350,MATCH($B$2&amp;"|xK",Aux_puntos!$1:$1,0))="",NA(),INDEX(Aux_puntos!$A$2:$OJ$901,350,MATCH($B$2&amp;"|xK",Aux_puntos!$1:$1,0))),NA())</f>
        <v/>
      </c>
      <c r="AD354">
        <f>IFERROR(IF(INDEX(Aux_puntos!$A$2:$OJ$901,350,MATCH($B$2&amp;"|yK",Aux_puntos!$1:$1,0))="",NA(),INDEX(Aux_puntos!$A$2:$OJ$901,350,MATCH($B$2&amp;"|yK",Aux_puntos!$1:$1,0))),NA())</f>
        <v/>
      </c>
      <c r="AE354">
        <f>IFERROR(IF(INDEX(Aux_puntos!$A$2:$OJ$901,350,MATCH($B$2&amp;"|xC",Aux_puntos!$1:$1,0))="",NA(),INDEX(Aux_puntos!$A$2:$OJ$901,350,MATCH($B$2&amp;"|xC",Aux_puntos!$1:$1,0))),NA())</f>
        <v/>
      </c>
      <c r="AF354">
        <f>IFERROR(IF(INDEX(Aux_puntos!$A$2:$OJ$901,350,MATCH($B$2&amp;"|yC",Aux_puntos!$1:$1,0))="",NA(),INDEX(Aux_puntos!$A$2:$OJ$901,350,MATCH($B$2&amp;"|yC",Aux_puntos!$1:$1,0))),NA())</f>
        <v/>
      </c>
      <c r="AG354">
        <f>IFERROR(IF(INDEX(Aux_puntos!$A$2:$OJ$901,350,MATCH($B$2&amp;"|xI",Aux_puntos!$1:$1,0))="",NA(),INDEX(Aux_puntos!$A$2:$OJ$901,350,MATCH($B$2&amp;"|xI",Aux_puntos!$1:$1,0))),NA())</f>
        <v/>
      </c>
      <c r="AH354">
        <f>IFERROR(IF(INDEX(Aux_puntos!$A$2:$OJ$901,350,MATCH($B$2&amp;"|yI",Aux_puntos!$1:$1,0))="",NA(),INDEX(Aux_puntos!$A$2:$OJ$901,350,MATCH($B$2&amp;"|yI",Aux_puntos!$1:$1,0))),NA())</f>
        <v/>
      </c>
      <c r="AI354">
        <f>IFERROR(IF(INDEX(Aux_puntos!$A$2:$OJ$901,350,MATCH($B$2&amp;"|xN",Aux_puntos!$1:$1,0))="",NA(),INDEX(Aux_puntos!$A$2:$OJ$901,350,MATCH($B$2&amp;"|xN",Aux_puntos!$1:$1,0))),NA())</f>
        <v/>
      </c>
      <c r="AJ354">
        <f>IFERROR(IF(INDEX(Aux_puntos!$A$2:$OJ$901,350,MATCH($B$2&amp;"|yN",Aux_puntos!$1:$1,0))="",NA(),INDEX(Aux_puntos!$A$2:$OJ$901,350,MATCH($B$2&amp;"|yN",Aux_puntos!$1:$1,0))),NA())</f>
        <v/>
      </c>
    </row>
    <row r="355">
      <c r="AC355">
        <f>IFERROR(IF(INDEX(Aux_puntos!$A$2:$OJ$901,351,MATCH($B$2&amp;"|xK",Aux_puntos!$1:$1,0))="",NA(),INDEX(Aux_puntos!$A$2:$OJ$901,351,MATCH($B$2&amp;"|xK",Aux_puntos!$1:$1,0))),NA())</f>
        <v/>
      </c>
      <c r="AD355">
        <f>IFERROR(IF(INDEX(Aux_puntos!$A$2:$OJ$901,351,MATCH($B$2&amp;"|yK",Aux_puntos!$1:$1,0))="",NA(),INDEX(Aux_puntos!$A$2:$OJ$901,351,MATCH($B$2&amp;"|yK",Aux_puntos!$1:$1,0))),NA())</f>
        <v/>
      </c>
      <c r="AE355">
        <f>IFERROR(IF(INDEX(Aux_puntos!$A$2:$OJ$901,351,MATCH($B$2&amp;"|xC",Aux_puntos!$1:$1,0))="",NA(),INDEX(Aux_puntos!$A$2:$OJ$901,351,MATCH($B$2&amp;"|xC",Aux_puntos!$1:$1,0))),NA())</f>
        <v/>
      </c>
      <c r="AF355">
        <f>IFERROR(IF(INDEX(Aux_puntos!$A$2:$OJ$901,351,MATCH($B$2&amp;"|yC",Aux_puntos!$1:$1,0))="",NA(),INDEX(Aux_puntos!$A$2:$OJ$901,351,MATCH($B$2&amp;"|yC",Aux_puntos!$1:$1,0))),NA())</f>
        <v/>
      </c>
      <c r="AG355">
        <f>IFERROR(IF(INDEX(Aux_puntos!$A$2:$OJ$901,351,MATCH($B$2&amp;"|xI",Aux_puntos!$1:$1,0))="",NA(),INDEX(Aux_puntos!$A$2:$OJ$901,351,MATCH($B$2&amp;"|xI",Aux_puntos!$1:$1,0))),NA())</f>
        <v/>
      </c>
      <c r="AH355">
        <f>IFERROR(IF(INDEX(Aux_puntos!$A$2:$OJ$901,351,MATCH($B$2&amp;"|yI",Aux_puntos!$1:$1,0))="",NA(),INDEX(Aux_puntos!$A$2:$OJ$901,351,MATCH($B$2&amp;"|yI",Aux_puntos!$1:$1,0))),NA())</f>
        <v/>
      </c>
      <c r="AI355">
        <f>IFERROR(IF(INDEX(Aux_puntos!$A$2:$OJ$901,351,MATCH($B$2&amp;"|xN",Aux_puntos!$1:$1,0))="",NA(),INDEX(Aux_puntos!$A$2:$OJ$901,351,MATCH($B$2&amp;"|xN",Aux_puntos!$1:$1,0))),NA())</f>
        <v/>
      </c>
      <c r="AJ355">
        <f>IFERROR(IF(INDEX(Aux_puntos!$A$2:$OJ$901,351,MATCH($B$2&amp;"|yN",Aux_puntos!$1:$1,0))="",NA(),INDEX(Aux_puntos!$A$2:$OJ$901,351,MATCH($B$2&amp;"|yN",Aux_puntos!$1:$1,0))),NA())</f>
        <v/>
      </c>
    </row>
    <row r="356">
      <c r="AC356">
        <f>IFERROR(IF(INDEX(Aux_puntos!$A$2:$OJ$901,352,MATCH($B$2&amp;"|xK",Aux_puntos!$1:$1,0))="",NA(),INDEX(Aux_puntos!$A$2:$OJ$901,352,MATCH($B$2&amp;"|xK",Aux_puntos!$1:$1,0))),NA())</f>
        <v/>
      </c>
      <c r="AD356">
        <f>IFERROR(IF(INDEX(Aux_puntos!$A$2:$OJ$901,352,MATCH($B$2&amp;"|yK",Aux_puntos!$1:$1,0))="",NA(),INDEX(Aux_puntos!$A$2:$OJ$901,352,MATCH($B$2&amp;"|yK",Aux_puntos!$1:$1,0))),NA())</f>
        <v/>
      </c>
      <c r="AE356">
        <f>IFERROR(IF(INDEX(Aux_puntos!$A$2:$OJ$901,352,MATCH($B$2&amp;"|xC",Aux_puntos!$1:$1,0))="",NA(),INDEX(Aux_puntos!$A$2:$OJ$901,352,MATCH($B$2&amp;"|xC",Aux_puntos!$1:$1,0))),NA())</f>
        <v/>
      </c>
      <c r="AF356">
        <f>IFERROR(IF(INDEX(Aux_puntos!$A$2:$OJ$901,352,MATCH($B$2&amp;"|yC",Aux_puntos!$1:$1,0))="",NA(),INDEX(Aux_puntos!$A$2:$OJ$901,352,MATCH($B$2&amp;"|yC",Aux_puntos!$1:$1,0))),NA())</f>
        <v/>
      </c>
      <c r="AG356">
        <f>IFERROR(IF(INDEX(Aux_puntos!$A$2:$OJ$901,352,MATCH($B$2&amp;"|xI",Aux_puntos!$1:$1,0))="",NA(),INDEX(Aux_puntos!$A$2:$OJ$901,352,MATCH($B$2&amp;"|xI",Aux_puntos!$1:$1,0))),NA())</f>
        <v/>
      </c>
      <c r="AH356">
        <f>IFERROR(IF(INDEX(Aux_puntos!$A$2:$OJ$901,352,MATCH($B$2&amp;"|yI",Aux_puntos!$1:$1,0))="",NA(),INDEX(Aux_puntos!$A$2:$OJ$901,352,MATCH($B$2&amp;"|yI",Aux_puntos!$1:$1,0))),NA())</f>
        <v/>
      </c>
      <c r="AI356">
        <f>IFERROR(IF(INDEX(Aux_puntos!$A$2:$OJ$901,352,MATCH($B$2&amp;"|xN",Aux_puntos!$1:$1,0))="",NA(),INDEX(Aux_puntos!$A$2:$OJ$901,352,MATCH($B$2&amp;"|xN",Aux_puntos!$1:$1,0))),NA())</f>
        <v/>
      </c>
      <c r="AJ356">
        <f>IFERROR(IF(INDEX(Aux_puntos!$A$2:$OJ$901,352,MATCH($B$2&amp;"|yN",Aux_puntos!$1:$1,0))="",NA(),INDEX(Aux_puntos!$A$2:$OJ$901,352,MATCH($B$2&amp;"|yN",Aux_puntos!$1:$1,0))),NA())</f>
        <v/>
      </c>
    </row>
    <row r="357">
      <c r="AC357">
        <f>IFERROR(IF(INDEX(Aux_puntos!$A$2:$OJ$901,353,MATCH($B$2&amp;"|xK",Aux_puntos!$1:$1,0))="",NA(),INDEX(Aux_puntos!$A$2:$OJ$901,353,MATCH($B$2&amp;"|xK",Aux_puntos!$1:$1,0))),NA())</f>
        <v/>
      </c>
      <c r="AD357">
        <f>IFERROR(IF(INDEX(Aux_puntos!$A$2:$OJ$901,353,MATCH($B$2&amp;"|yK",Aux_puntos!$1:$1,0))="",NA(),INDEX(Aux_puntos!$A$2:$OJ$901,353,MATCH($B$2&amp;"|yK",Aux_puntos!$1:$1,0))),NA())</f>
        <v/>
      </c>
      <c r="AE357">
        <f>IFERROR(IF(INDEX(Aux_puntos!$A$2:$OJ$901,353,MATCH($B$2&amp;"|xC",Aux_puntos!$1:$1,0))="",NA(),INDEX(Aux_puntos!$A$2:$OJ$901,353,MATCH($B$2&amp;"|xC",Aux_puntos!$1:$1,0))),NA())</f>
        <v/>
      </c>
      <c r="AF357">
        <f>IFERROR(IF(INDEX(Aux_puntos!$A$2:$OJ$901,353,MATCH($B$2&amp;"|yC",Aux_puntos!$1:$1,0))="",NA(),INDEX(Aux_puntos!$A$2:$OJ$901,353,MATCH($B$2&amp;"|yC",Aux_puntos!$1:$1,0))),NA())</f>
        <v/>
      </c>
      <c r="AG357">
        <f>IFERROR(IF(INDEX(Aux_puntos!$A$2:$OJ$901,353,MATCH($B$2&amp;"|xI",Aux_puntos!$1:$1,0))="",NA(),INDEX(Aux_puntos!$A$2:$OJ$901,353,MATCH($B$2&amp;"|xI",Aux_puntos!$1:$1,0))),NA())</f>
        <v/>
      </c>
      <c r="AH357">
        <f>IFERROR(IF(INDEX(Aux_puntos!$A$2:$OJ$901,353,MATCH($B$2&amp;"|yI",Aux_puntos!$1:$1,0))="",NA(),INDEX(Aux_puntos!$A$2:$OJ$901,353,MATCH($B$2&amp;"|yI",Aux_puntos!$1:$1,0))),NA())</f>
        <v/>
      </c>
      <c r="AI357">
        <f>IFERROR(IF(INDEX(Aux_puntos!$A$2:$OJ$901,353,MATCH($B$2&amp;"|xN",Aux_puntos!$1:$1,0))="",NA(),INDEX(Aux_puntos!$A$2:$OJ$901,353,MATCH($B$2&amp;"|xN",Aux_puntos!$1:$1,0))),NA())</f>
        <v/>
      </c>
      <c r="AJ357">
        <f>IFERROR(IF(INDEX(Aux_puntos!$A$2:$OJ$901,353,MATCH($B$2&amp;"|yN",Aux_puntos!$1:$1,0))="",NA(),INDEX(Aux_puntos!$A$2:$OJ$901,353,MATCH($B$2&amp;"|yN",Aux_puntos!$1:$1,0))),NA())</f>
        <v/>
      </c>
    </row>
    <row r="358">
      <c r="AC358">
        <f>IFERROR(IF(INDEX(Aux_puntos!$A$2:$OJ$901,354,MATCH($B$2&amp;"|xK",Aux_puntos!$1:$1,0))="",NA(),INDEX(Aux_puntos!$A$2:$OJ$901,354,MATCH($B$2&amp;"|xK",Aux_puntos!$1:$1,0))),NA())</f>
        <v/>
      </c>
      <c r="AD358">
        <f>IFERROR(IF(INDEX(Aux_puntos!$A$2:$OJ$901,354,MATCH($B$2&amp;"|yK",Aux_puntos!$1:$1,0))="",NA(),INDEX(Aux_puntos!$A$2:$OJ$901,354,MATCH($B$2&amp;"|yK",Aux_puntos!$1:$1,0))),NA())</f>
        <v/>
      </c>
      <c r="AE358">
        <f>IFERROR(IF(INDEX(Aux_puntos!$A$2:$OJ$901,354,MATCH($B$2&amp;"|xC",Aux_puntos!$1:$1,0))="",NA(),INDEX(Aux_puntos!$A$2:$OJ$901,354,MATCH($B$2&amp;"|xC",Aux_puntos!$1:$1,0))),NA())</f>
        <v/>
      </c>
      <c r="AF358">
        <f>IFERROR(IF(INDEX(Aux_puntos!$A$2:$OJ$901,354,MATCH($B$2&amp;"|yC",Aux_puntos!$1:$1,0))="",NA(),INDEX(Aux_puntos!$A$2:$OJ$901,354,MATCH($B$2&amp;"|yC",Aux_puntos!$1:$1,0))),NA())</f>
        <v/>
      </c>
      <c r="AG358">
        <f>IFERROR(IF(INDEX(Aux_puntos!$A$2:$OJ$901,354,MATCH($B$2&amp;"|xI",Aux_puntos!$1:$1,0))="",NA(),INDEX(Aux_puntos!$A$2:$OJ$901,354,MATCH($B$2&amp;"|xI",Aux_puntos!$1:$1,0))),NA())</f>
        <v/>
      </c>
      <c r="AH358">
        <f>IFERROR(IF(INDEX(Aux_puntos!$A$2:$OJ$901,354,MATCH($B$2&amp;"|yI",Aux_puntos!$1:$1,0))="",NA(),INDEX(Aux_puntos!$A$2:$OJ$901,354,MATCH($B$2&amp;"|yI",Aux_puntos!$1:$1,0))),NA())</f>
        <v/>
      </c>
      <c r="AI358">
        <f>IFERROR(IF(INDEX(Aux_puntos!$A$2:$OJ$901,354,MATCH($B$2&amp;"|xN",Aux_puntos!$1:$1,0))="",NA(),INDEX(Aux_puntos!$A$2:$OJ$901,354,MATCH($B$2&amp;"|xN",Aux_puntos!$1:$1,0))),NA())</f>
        <v/>
      </c>
      <c r="AJ358">
        <f>IFERROR(IF(INDEX(Aux_puntos!$A$2:$OJ$901,354,MATCH($B$2&amp;"|yN",Aux_puntos!$1:$1,0))="",NA(),INDEX(Aux_puntos!$A$2:$OJ$901,354,MATCH($B$2&amp;"|yN",Aux_puntos!$1:$1,0))),NA())</f>
        <v/>
      </c>
    </row>
    <row r="359">
      <c r="AC359">
        <f>IFERROR(IF(INDEX(Aux_puntos!$A$2:$OJ$901,355,MATCH($B$2&amp;"|xK",Aux_puntos!$1:$1,0))="",NA(),INDEX(Aux_puntos!$A$2:$OJ$901,355,MATCH($B$2&amp;"|xK",Aux_puntos!$1:$1,0))),NA())</f>
        <v/>
      </c>
      <c r="AD359">
        <f>IFERROR(IF(INDEX(Aux_puntos!$A$2:$OJ$901,355,MATCH($B$2&amp;"|yK",Aux_puntos!$1:$1,0))="",NA(),INDEX(Aux_puntos!$A$2:$OJ$901,355,MATCH($B$2&amp;"|yK",Aux_puntos!$1:$1,0))),NA())</f>
        <v/>
      </c>
      <c r="AE359">
        <f>IFERROR(IF(INDEX(Aux_puntos!$A$2:$OJ$901,355,MATCH($B$2&amp;"|xC",Aux_puntos!$1:$1,0))="",NA(),INDEX(Aux_puntos!$A$2:$OJ$901,355,MATCH($B$2&amp;"|xC",Aux_puntos!$1:$1,0))),NA())</f>
        <v/>
      </c>
      <c r="AF359">
        <f>IFERROR(IF(INDEX(Aux_puntos!$A$2:$OJ$901,355,MATCH($B$2&amp;"|yC",Aux_puntos!$1:$1,0))="",NA(),INDEX(Aux_puntos!$A$2:$OJ$901,355,MATCH($B$2&amp;"|yC",Aux_puntos!$1:$1,0))),NA())</f>
        <v/>
      </c>
      <c r="AG359">
        <f>IFERROR(IF(INDEX(Aux_puntos!$A$2:$OJ$901,355,MATCH($B$2&amp;"|xI",Aux_puntos!$1:$1,0))="",NA(),INDEX(Aux_puntos!$A$2:$OJ$901,355,MATCH($B$2&amp;"|xI",Aux_puntos!$1:$1,0))),NA())</f>
        <v/>
      </c>
      <c r="AH359">
        <f>IFERROR(IF(INDEX(Aux_puntos!$A$2:$OJ$901,355,MATCH($B$2&amp;"|yI",Aux_puntos!$1:$1,0))="",NA(),INDEX(Aux_puntos!$A$2:$OJ$901,355,MATCH($B$2&amp;"|yI",Aux_puntos!$1:$1,0))),NA())</f>
        <v/>
      </c>
      <c r="AI359">
        <f>IFERROR(IF(INDEX(Aux_puntos!$A$2:$OJ$901,355,MATCH($B$2&amp;"|xN",Aux_puntos!$1:$1,0))="",NA(),INDEX(Aux_puntos!$A$2:$OJ$901,355,MATCH($B$2&amp;"|xN",Aux_puntos!$1:$1,0))),NA())</f>
        <v/>
      </c>
      <c r="AJ359">
        <f>IFERROR(IF(INDEX(Aux_puntos!$A$2:$OJ$901,355,MATCH($B$2&amp;"|yN",Aux_puntos!$1:$1,0))="",NA(),INDEX(Aux_puntos!$A$2:$OJ$901,355,MATCH($B$2&amp;"|yN",Aux_puntos!$1:$1,0))),NA())</f>
        <v/>
      </c>
    </row>
    <row r="360">
      <c r="AC360">
        <f>IFERROR(IF(INDEX(Aux_puntos!$A$2:$OJ$901,356,MATCH($B$2&amp;"|xK",Aux_puntos!$1:$1,0))="",NA(),INDEX(Aux_puntos!$A$2:$OJ$901,356,MATCH($B$2&amp;"|xK",Aux_puntos!$1:$1,0))),NA())</f>
        <v/>
      </c>
      <c r="AD360">
        <f>IFERROR(IF(INDEX(Aux_puntos!$A$2:$OJ$901,356,MATCH($B$2&amp;"|yK",Aux_puntos!$1:$1,0))="",NA(),INDEX(Aux_puntos!$A$2:$OJ$901,356,MATCH($B$2&amp;"|yK",Aux_puntos!$1:$1,0))),NA())</f>
        <v/>
      </c>
      <c r="AE360">
        <f>IFERROR(IF(INDEX(Aux_puntos!$A$2:$OJ$901,356,MATCH($B$2&amp;"|xC",Aux_puntos!$1:$1,0))="",NA(),INDEX(Aux_puntos!$A$2:$OJ$901,356,MATCH($B$2&amp;"|xC",Aux_puntos!$1:$1,0))),NA())</f>
        <v/>
      </c>
      <c r="AF360">
        <f>IFERROR(IF(INDEX(Aux_puntos!$A$2:$OJ$901,356,MATCH($B$2&amp;"|yC",Aux_puntos!$1:$1,0))="",NA(),INDEX(Aux_puntos!$A$2:$OJ$901,356,MATCH($B$2&amp;"|yC",Aux_puntos!$1:$1,0))),NA())</f>
        <v/>
      </c>
      <c r="AG360">
        <f>IFERROR(IF(INDEX(Aux_puntos!$A$2:$OJ$901,356,MATCH($B$2&amp;"|xI",Aux_puntos!$1:$1,0))="",NA(),INDEX(Aux_puntos!$A$2:$OJ$901,356,MATCH($B$2&amp;"|xI",Aux_puntos!$1:$1,0))),NA())</f>
        <v/>
      </c>
      <c r="AH360">
        <f>IFERROR(IF(INDEX(Aux_puntos!$A$2:$OJ$901,356,MATCH($B$2&amp;"|yI",Aux_puntos!$1:$1,0))="",NA(),INDEX(Aux_puntos!$A$2:$OJ$901,356,MATCH($B$2&amp;"|yI",Aux_puntos!$1:$1,0))),NA())</f>
        <v/>
      </c>
      <c r="AI360">
        <f>IFERROR(IF(INDEX(Aux_puntos!$A$2:$OJ$901,356,MATCH($B$2&amp;"|xN",Aux_puntos!$1:$1,0))="",NA(),INDEX(Aux_puntos!$A$2:$OJ$901,356,MATCH($B$2&amp;"|xN",Aux_puntos!$1:$1,0))),NA())</f>
        <v/>
      </c>
      <c r="AJ360">
        <f>IFERROR(IF(INDEX(Aux_puntos!$A$2:$OJ$901,356,MATCH($B$2&amp;"|yN",Aux_puntos!$1:$1,0))="",NA(),INDEX(Aux_puntos!$A$2:$OJ$901,356,MATCH($B$2&amp;"|yN",Aux_puntos!$1:$1,0))),NA())</f>
        <v/>
      </c>
    </row>
    <row r="361">
      <c r="AC361">
        <f>IFERROR(IF(INDEX(Aux_puntos!$A$2:$OJ$901,357,MATCH($B$2&amp;"|xK",Aux_puntos!$1:$1,0))="",NA(),INDEX(Aux_puntos!$A$2:$OJ$901,357,MATCH($B$2&amp;"|xK",Aux_puntos!$1:$1,0))),NA())</f>
        <v/>
      </c>
      <c r="AD361">
        <f>IFERROR(IF(INDEX(Aux_puntos!$A$2:$OJ$901,357,MATCH($B$2&amp;"|yK",Aux_puntos!$1:$1,0))="",NA(),INDEX(Aux_puntos!$A$2:$OJ$901,357,MATCH($B$2&amp;"|yK",Aux_puntos!$1:$1,0))),NA())</f>
        <v/>
      </c>
      <c r="AE361">
        <f>IFERROR(IF(INDEX(Aux_puntos!$A$2:$OJ$901,357,MATCH($B$2&amp;"|xC",Aux_puntos!$1:$1,0))="",NA(),INDEX(Aux_puntos!$A$2:$OJ$901,357,MATCH($B$2&amp;"|xC",Aux_puntos!$1:$1,0))),NA())</f>
        <v/>
      </c>
      <c r="AF361">
        <f>IFERROR(IF(INDEX(Aux_puntos!$A$2:$OJ$901,357,MATCH($B$2&amp;"|yC",Aux_puntos!$1:$1,0))="",NA(),INDEX(Aux_puntos!$A$2:$OJ$901,357,MATCH($B$2&amp;"|yC",Aux_puntos!$1:$1,0))),NA())</f>
        <v/>
      </c>
      <c r="AG361">
        <f>IFERROR(IF(INDEX(Aux_puntos!$A$2:$OJ$901,357,MATCH($B$2&amp;"|xI",Aux_puntos!$1:$1,0))="",NA(),INDEX(Aux_puntos!$A$2:$OJ$901,357,MATCH($B$2&amp;"|xI",Aux_puntos!$1:$1,0))),NA())</f>
        <v/>
      </c>
      <c r="AH361">
        <f>IFERROR(IF(INDEX(Aux_puntos!$A$2:$OJ$901,357,MATCH($B$2&amp;"|yI",Aux_puntos!$1:$1,0))="",NA(),INDEX(Aux_puntos!$A$2:$OJ$901,357,MATCH($B$2&amp;"|yI",Aux_puntos!$1:$1,0))),NA())</f>
        <v/>
      </c>
      <c r="AI361">
        <f>IFERROR(IF(INDEX(Aux_puntos!$A$2:$OJ$901,357,MATCH($B$2&amp;"|xN",Aux_puntos!$1:$1,0))="",NA(),INDEX(Aux_puntos!$A$2:$OJ$901,357,MATCH($B$2&amp;"|xN",Aux_puntos!$1:$1,0))),NA())</f>
        <v/>
      </c>
      <c r="AJ361">
        <f>IFERROR(IF(INDEX(Aux_puntos!$A$2:$OJ$901,357,MATCH($B$2&amp;"|yN",Aux_puntos!$1:$1,0))="",NA(),INDEX(Aux_puntos!$A$2:$OJ$901,357,MATCH($B$2&amp;"|yN",Aux_puntos!$1:$1,0))),NA())</f>
        <v/>
      </c>
    </row>
    <row r="362">
      <c r="AC362">
        <f>IFERROR(IF(INDEX(Aux_puntos!$A$2:$OJ$901,358,MATCH($B$2&amp;"|xK",Aux_puntos!$1:$1,0))="",NA(),INDEX(Aux_puntos!$A$2:$OJ$901,358,MATCH($B$2&amp;"|xK",Aux_puntos!$1:$1,0))),NA())</f>
        <v/>
      </c>
      <c r="AD362">
        <f>IFERROR(IF(INDEX(Aux_puntos!$A$2:$OJ$901,358,MATCH($B$2&amp;"|yK",Aux_puntos!$1:$1,0))="",NA(),INDEX(Aux_puntos!$A$2:$OJ$901,358,MATCH($B$2&amp;"|yK",Aux_puntos!$1:$1,0))),NA())</f>
        <v/>
      </c>
      <c r="AE362">
        <f>IFERROR(IF(INDEX(Aux_puntos!$A$2:$OJ$901,358,MATCH($B$2&amp;"|xC",Aux_puntos!$1:$1,0))="",NA(),INDEX(Aux_puntos!$A$2:$OJ$901,358,MATCH($B$2&amp;"|xC",Aux_puntos!$1:$1,0))),NA())</f>
        <v/>
      </c>
      <c r="AF362">
        <f>IFERROR(IF(INDEX(Aux_puntos!$A$2:$OJ$901,358,MATCH($B$2&amp;"|yC",Aux_puntos!$1:$1,0))="",NA(),INDEX(Aux_puntos!$A$2:$OJ$901,358,MATCH($B$2&amp;"|yC",Aux_puntos!$1:$1,0))),NA())</f>
        <v/>
      </c>
      <c r="AG362">
        <f>IFERROR(IF(INDEX(Aux_puntos!$A$2:$OJ$901,358,MATCH($B$2&amp;"|xI",Aux_puntos!$1:$1,0))="",NA(),INDEX(Aux_puntos!$A$2:$OJ$901,358,MATCH($B$2&amp;"|xI",Aux_puntos!$1:$1,0))),NA())</f>
        <v/>
      </c>
      <c r="AH362">
        <f>IFERROR(IF(INDEX(Aux_puntos!$A$2:$OJ$901,358,MATCH($B$2&amp;"|yI",Aux_puntos!$1:$1,0))="",NA(),INDEX(Aux_puntos!$A$2:$OJ$901,358,MATCH($B$2&amp;"|yI",Aux_puntos!$1:$1,0))),NA())</f>
        <v/>
      </c>
      <c r="AI362">
        <f>IFERROR(IF(INDEX(Aux_puntos!$A$2:$OJ$901,358,MATCH($B$2&amp;"|xN",Aux_puntos!$1:$1,0))="",NA(),INDEX(Aux_puntos!$A$2:$OJ$901,358,MATCH($B$2&amp;"|xN",Aux_puntos!$1:$1,0))),NA())</f>
        <v/>
      </c>
      <c r="AJ362">
        <f>IFERROR(IF(INDEX(Aux_puntos!$A$2:$OJ$901,358,MATCH($B$2&amp;"|yN",Aux_puntos!$1:$1,0))="",NA(),INDEX(Aux_puntos!$A$2:$OJ$901,358,MATCH($B$2&amp;"|yN",Aux_puntos!$1:$1,0))),NA())</f>
        <v/>
      </c>
    </row>
    <row r="363">
      <c r="AC363">
        <f>IFERROR(IF(INDEX(Aux_puntos!$A$2:$OJ$901,359,MATCH($B$2&amp;"|xK",Aux_puntos!$1:$1,0))="",NA(),INDEX(Aux_puntos!$A$2:$OJ$901,359,MATCH($B$2&amp;"|xK",Aux_puntos!$1:$1,0))),NA())</f>
        <v/>
      </c>
      <c r="AD363">
        <f>IFERROR(IF(INDEX(Aux_puntos!$A$2:$OJ$901,359,MATCH($B$2&amp;"|yK",Aux_puntos!$1:$1,0))="",NA(),INDEX(Aux_puntos!$A$2:$OJ$901,359,MATCH($B$2&amp;"|yK",Aux_puntos!$1:$1,0))),NA())</f>
        <v/>
      </c>
      <c r="AE363">
        <f>IFERROR(IF(INDEX(Aux_puntos!$A$2:$OJ$901,359,MATCH($B$2&amp;"|xC",Aux_puntos!$1:$1,0))="",NA(),INDEX(Aux_puntos!$A$2:$OJ$901,359,MATCH($B$2&amp;"|xC",Aux_puntos!$1:$1,0))),NA())</f>
        <v/>
      </c>
      <c r="AF363">
        <f>IFERROR(IF(INDEX(Aux_puntos!$A$2:$OJ$901,359,MATCH($B$2&amp;"|yC",Aux_puntos!$1:$1,0))="",NA(),INDEX(Aux_puntos!$A$2:$OJ$901,359,MATCH($B$2&amp;"|yC",Aux_puntos!$1:$1,0))),NA())</f>
        <v/>
      </c>
      <c r="AG363">
        <f>IFERROR(IF(INDEX(Aux_puntos!$A$2:$OJ$901,359,MATCH($B$2&amp;"|xI",Aux_puntos!$1:$1,0))="",NA(),INDEX(Aux_puntos!$A$2:$OJ$901,359,MATCH($B$2&amp;"|xI",Aux_puntos!$1:$1,0))),NA())</f>
        <v/>
      </c>
      <c r="AH363">
        <f>IFERROR(IF(INDEX(Aux_puntos!$A$2:$OJ$901,359,MATCH($B$2&amp;"|yI",Aux_puntos!$1:$1,0))="",NA(),INDEX(Aux_puntos!$A$2:$OJ$901,359,MATCH($B$2&amp;"|yI",Aux_puntos!$1:$1,0))),NA())</f>
        <v/>
      </c>
      <c r="AI363">
        <f>IFERROR(IF(INDEX(Aux_puntos!$A$2:$OJ$901,359,MATCH($B$2&amp;"|xN",Aux_puntos!$1:$1,0))="",NA(),INDEX(Aux_puntos!$A$2:$OJ$901,359,MATCH($B$2&amp;"|xN",Aux_puntos!$1:$1,0))),NA())</f>
        <v/>
      </c>
      <c r="AJ363">
        <f>IFERROR(IF(INDEX(Aux_puntos!$A$2:$OJ$901,359,MATCH($B$2&amp;"|yN",Aux_puntos!$1:$1,0))="",NA(),INDEX(Aux_puntos!$A$2:$OJ$901,359,MATCH($B$2&amp;"|yN",Aux_puntos!$1:$1,0))),NA())</f>
        <v/>
      </c>
    </row>
    <row r="364">
      <c r="AC364">
        <f>IFERROR(IF(INDEX(Aux_puntos!$A$2:$OJ$901,360,MATCH($B$2&amp;"|xK",Aux_puntos!$1:$1,0))="",NA(),INDEX(Aux_puntos!$A$2:$OJ$901,360,MATCH($B$2&amp;"|xK",Aux_puntos!$1:$1,0))),NA())</f>
        <v/>
      </c>
      <c r="AD364">
        <f>IFERROR(IF(INDEX(Aux_puntos!$A$2:$OJ$901,360,MATCH($B$2&amp;"|yK",Aux_puntos!$1:$1,0))="",NA(),INDEX(Aux_puntos!$A$2:$OJ$901,360,MATCH($B$2&amp;"|yK",Aux_puntos!$1:$1,0))),NA())</f>
        <v/>
      </c>
      <c r="AE364">
        <f>IFERROR(IF(INDEX(Aux_puntos!$A$2:$OJ$901,360,MATCH($B$2&amp;"|xC",Aux_puntos!$1:$1,0))="",NA(),INDEX(Aux_puntos!$A$2:$OJ$901,360,MATCH($B$2&amp;"|xC",Aux_puntos!$1:$1,0))),NA())</f>
        <v/>
      </c>
      <c r="AF364">
        <f>IFERROR(IF(INDEX(Aux_puntos!$A$2:$OJ$901,360,MATCH($B$2&amp;"|yC",Aux_puntos!$1:$1,0))="",NA(),INDEX(Aux_puntos!$A$2:$OJ$901,360,MATCH($B$2&amp;"|yC",Aux_puntos!$1:$1,0))),NA())</f>
        <v/>
      </c>
      <c r="AG364">
        <f>IFERROR(IF(INDEX(Aux_puntos!$A$2:$OJ$901,360,MATCH($B$2&amp;"|xI",Aux_puntos!$1:$1,0))="",NA(),INDEX(Aux_puntos!$A$2:$OJ$901,360,MATCH($B$2&amp;"|xI",Aux_puntos!$1:$1,0))),NA())</f>
        <v/>
      </c>
      <c r="AH364">
        <f>IFERROR(IF(INDEX(Aux_puntos!$A$2:$OJ$901,360,MATCH($B$2&amp;"|yI",Aux_puntos!$1:$1,0))="",NA(),INDEX(Aux_puntos!$A$2:$OJ$901,360,MATCH($B$2&amp;"|yI",Aux_puntos!$1:$1,0))),NA())</f>
        <v/>
      </c>
      <c r="AI364">
        <f>IFERROR(IF(INDEX(Aux_puntos!$A$2:$OJ$901,360,MATCH($B$2&amp;"|xN",Aux_puntos!$1:$1,0))="",NA(),INDEX(Aux_puntos!$A$2:$OJ$901,360,MATCH($B$2&amp;"|xN",Aux_puntos!$1:$1,0))),NA())</f>
        <v/>
      </c>
      <c r="AJ364">
        <f>IFERROR(IF(INDEX(Aux_puntos!$A$2:$OJ$901,360,MATCH($B$2&amp;"|yN",Aux_puntos!$1:$1,0))="",NA(),INDEX(Aux_puntos!$A$2:$OJ$901,360,MATCH($B$2&amp;"|yN",Aux_puntos!$1:$1,0))),NA())</f>
        <v/>
      </c>
    </row>
    <row r="365">
      <c r="AC365">
        <f>IFERROR(IF(INDEX(Aux_puntos!$A$2:$OJ$901,361,MATCH($B$2&amp;"|xK",Aux_puntos!$1:$1,0))="",NA(),INDEX(Aux_puntos!$A$2:$OJ$901,361,MATCH($B$2&amp;"|xK",Aux_puntos!$1:$1,0))),NA())</f>
        <v/>
      </c>
      <c r="AD365">
        <f>IFERROR(IF(INDEX(Aux_puntos!$A$2:$OJ$901,361,MATCH($B$2&amp;"|yK",Aux_puntos!$1:$1,0))="",NA(),INDEX(Aux_puntos!$A$2:$OJ$901,361,MATCH($B$2&amp;"|yK",Aux_puntos!$1:$1,0))),NA())</f>
        <v/>
      </c>
      <c r="AE365">
        <f>IFERROR(IF(INDEX(Aux_puntos!$A$2:$OJ$901,361,MATCH($B$2&amp;"|xC",Aux_puntos!$1:$1,0))="",NA(),INDEX(Aux_puntos!$A$2:$OJ$901,361,MATCH($B$2&amp;"|xC",Aux_puntos!$1:$1,0))),NA())</f>
        <v/>
      </c>
      <c r="AF365">
        <f>IFERROR(IF(INDEX(Aux_puntos!$A$2:$OJ$901,361,MATCH($B$2&amp;"|yC",Aux_puntos!$1:$1,0))="",NA(),INDEX(Aux_puntos!$A$2:$OJ$901,361,MATCH($B$2&amp;"|yC",Aux_puntos!$1:$1,0))),NA())</f>
        <v/>
      </c>
      <c r="AG365">
        <f>IFERROR(IF(INDEX(Aux_puntos!$A$2:$OJ$901,361,MATCH($B$2&amp;"|xI",Aux_puntos!$1:$1,0))="",NA(),INDEX(Aux_puntos!$A$2:$OJ$901,361,MATCH($B$2&amp;"|xI",Aux_puntos!$1:$1,0))),NA())</f>
        <v/>
      </c>
      <c r="AH365">
        <f>IFERROR(IF(INDEX(Aux_puntos!$A$2:$OJ$901,361,MATCH($B$2&amp;"|yI",Aux_puntos!$1:$1,0))="",NA(),INDEX(Aux_puntos!$A$2:$OJ$901,361,MATCH($B$2&amp;"|yI",Aux_puntos!$1:$1,0))),NA())</f>
        <v/>
      </c>
      <c r="AI365">
        <f>IFERROR(IF(INDEX(Aux_puntos!$A$2:$OJ$901,361,MATCH($B$2&amp;"|xN",Aux_puntos!$1:$1,0))="",NA(),INDEX(Aux_puntos!$A$2:$OJ$901,361,MATCH($B$2&amp;"|xN",Aux_puntos!$1:$1,0))),NA())</f>
        <v/>
      </c>
      <c r="AJ365">
        <f>IFERROR(IF(INDEX(Aux_puntos!$A$2:$OJ$901,361,MATCH($B$2&amp;"|yN",Aux_puntos!$1:$1,0))="",NA(),INDEX(Aux_puntos!$A$2:$OJ$901,361,MATCH($B$2&amp;"|yN",Aux_puntos!$1:$1,0))),NA())</f>
        <v/>
      </c>
    </row>
    <row r="366">
      <c r="AC366">
        <f>IFERROR(IF(INDEX(Aux_puntos!$A$2:$OJ$901,362,MATCH($B$2&amp;"|xK",Aux_puntos!$1:$1,0))="",NA(),INDEX(Aux_puntos!$A$2:$OJ$901,362,MATCH($B$2&amp;"|xK",Aux_puntos!$1:$1,0))),NA())</f>
        <v/>
      </c>
      <c r="AD366">
        <f>IFERROR(IF(INDEX(Aux_puntos!$A$2:$OJ$901,362,MATCH($B$2&amp;"|yK",Aux_puntos!$1:$1,0))="",NA(),INDEX(Aux_puntos!$A$2:$OJ$901,362,MATCH($B$2&amp;"|yK",Aux_puntos!$1:$1,0))),NA())</f>
        <v/>
      </c>
      <c r="AE366">
        <f>IFERROR(IF(INDEX(Aux_puntos!$A$2:$OJ$901,362,MATCH($B$2&amp;"|xC",Aux_puntos!$1:$1,0))="",NA(),INDEX(Aux_puntos!$A$2:$OJ$901,362,MATCH($B$2&amp;"|xC",Aux_puntos!$1:$1,0))),NA())</f>
        <v/>
      </c>
      <c r="AF366">
        <f>IFERROR(IF(INDEX(Aux_puntos!$A$2:$OJ$901,362,MATCH($B$2&amp;"|yC",Aux_puntos!$1:$1,0))="",NA(),INDEX(Aux_puntos!$A$2:$OJ$901,362,MATCH($B$2&amp;"|yC",Aux_puntos!$1:$1,0))),NA())</f>
        <v/>
      </c>
      <c r="AG366">
        <f>IFERROR(IF(INDEX(Aux_puntos!$A$2:$OJ$901,362,MATCH($B$2&amp;"|xI",Aux_puntos!$1:$1,0))="",NA(),INDEX(Aux_puntos!$A$2:$OJ$901,362,MATCH($B$2&amp;"|xI",Aux_puntos!$1:$1,0))),NA())</f>
        <v/>
      </c>
      <c r="AH366">
        <f>IFERROR(IF(INDEX(Aux_puntos!$A$2:$OJ$901,362,MATCH($B$2&amp;"|yI",Aux_puntos!$1:$1,0))="",NA(),INDEX(Aux_puntos!$A$2:$OJ$901,362,MATCH($B$2&amp;"|yI",Aux_puntos!$1:$1,0))),NA())</f>
        <v/>
      </c>
      <c r="AI366">
        <f>IFERROR(IF(INDEX(Aux_puntos!$A$2:$OJ$901,362,MATCH($B$2&amp;"|xN",Aux_puntos!$1:$1,0))="",NA(),INDEX(Aux_puntos!$A$2:$OJ$901,362,MATCH($B$2&amp;"|xN",Aux_puntos!$1:$1,0))),NA())</f>
        <v/>
      </c>
      <c r="AJ366">
        <f>IFERROR(IF(INDEX(Aux_puntos!$A$2:$OJ$901,362,MATCH($B$2&amp;"|yN",Aux_puntos!$1:$1,0))="",NA(),INDEX(Aux_puntos!$A$2:$OJ$901,362,MATCH($B$2&amp;"|yN",Aux_puntos!$1:$1,0))),NA())</f>
        <v/>
      </c>
    </row>
    <row r="367">
      <c r="AC367">
        <f>IFERROR(IF(INDEX(Aux_puntos!$A$2:$OJ$901,363,MATCH($B$2&amp;"|xK",Aux_puntos!$1:$1,0))="",NA(),INDEX(Aux_puntos!$A$2:$OJ$901,363,MATCH($B$2&amp;"|xK",Aux_puntos!$1:$1,0))),NA())</f>
        <v/>
      </c>
      <c r="AD367">
        <f>IFERROR(IF(INDEX(Aux_puntos!$A$2:$OJ$901,363,MATCH($B$2&amp;"|yK",Aux_puntos!$1:$1,0))="",NA(),INDEX(Aux_puntos!$A$2:$OJ$901,363,MATCH($B$2&amp;"|yK",Aux_puntos!$1:$1,0))),NA())</f>
        <v/>
      </c>
      <c r="AE367">
        <f>IFERROR(IF(INDEX(Aux_puntos!$A$2:$OJ$901,363,MATCH($B$2&amp;"|xC",Aux_puntos!$1:$1,0))="",NA(),INDEX(Aux_puntos!$A$2:$OJ$901,363,MATCH($B$2&amp;"|xC",Aux_puntos!$1:$1,0))),NA())</f>
        <v/>
      </c>
      <c r="AF367">
        <f>IFERROR(IF(INDEX(Aux_puntos!$A$2:$OJ$901,363,MATCH($B$2&amp;"|yC",Aux_puntos!$1:$1,0))="",NA(),INDEX(Aux_puntos!$A$2:$OJ$901,363,MATCH($B$2&amp;"|yC",Aux_puntos!$1:$1,0))),NA())</f>
        <v/>
      </c>
      <c r="AG367">
        <f>IFERROR(IF(INDEX(Aux_puntos!$A$2:$OJ$901,363,MATCH($B$2&amp;"|xI",Aux_puntos!$1:$1,0))="",NA(),INDEX(Aux_puntos!$A$2:$OJ$901,363,MATCH($B$2&amp;"|xI",Aux_puntos!$1:$1,0))),NA())</f>
        <v/>
      </c>
      <c r="AH367">
        <f>IFERROR(IF(INDEX(Aux_puntos!$A$2:$OJ$901,363,MATCH($B$2&amp;"|yI",Aux_puntos!$1:$1,0))="",NA(),INDEX(Aux_puntos!$A$2:$OJ$901,363,MATCH($B$2&amp;"|yI",Aux_puntos!$1:$1,0))),NA())</f>
        <v/>
      </c>
      <c r="AI367">
        <f>IFERROR(IF(INDEX(Aux_puntos!$A$2:$OJ$901,363,MATCH($B$2&amp;"|xN",Aux_puntos!$1:$1,0))="",NA(),INDEX(Aux_puntos!$A$2:$OJ$901,363,MATCH($B$2&amp;"|xN",Aux_puntos!$1:$1,0))),NA())</f>
        <v/>
      </c>
      <c r="AJ367">
        <f>IFERROR(IF(INDEX(Aux_puntos!$A$2:$OJ$901,363,MATCH($B$2&amp;"|yN",Aux_puntos!$1:$1,0))="",NA(),INDEX(Aux_puntos!$A$2:$OJ$901,363,MATCH($B$2&amp;"|yN",Aux_puntos!$1:$1,0))),NA())</f>
        <v/>
      </c>
    </row>
    <row r="368">
      <c r="AC368">
        <f>IFERROR(IF(INDEX(Aux_puntos!$A$2:$OJ$901,364,MATCH($B$2&amp;"|xK",Aux_puntos!$1:$1,0))="",NA(),INDEX(Aux_puntos!$A$2:$OJ$901,364,MATCH($B$2&amp;"|xK",Aux_puntos!$1:$1,0))),NA())</f>
        <v/>
      </c>
      <c r="AD368">
        <f>IFERROR(IF(INDEX(Aux_puntos!$A$2:$OJ$901,364,MATCH($B$2&amp;"|yK",Aux_puntos!$1:$1,0))="",NA(),INDEX(Aux_puntos!$A$2:$OJ$901,364,MATCH($B$2&amp;"|yK",Aux_puntos!$1:$1,0))),NA())</f>
        <v/>
      </c>
      <c r="AE368">
        <f>IFERROR(IF(INDEX(Aux_puntos!$A$2:$OJ$901,364,MATCH($B$2&amp;"|xC",Aux_puntos!$1:$1,0))="",NA(),INDEX(Aux_puntos!$A$2:$OJ$901,364,MATCH($B$2&amp;"|xC",Aux_puntos!$1:$1,0))),NA())</f>
        <v/>
      </c>
      <c r="AF368">
        <f>IFERROR(IF(INDEX(Aux_puntos!$A$2:$OJ$901,364,MATCH($B$2&amp;"|yC",Aux_puntos!$1:$1,0))="",NA(),INDEX(Aux_puntos!$A$2:$OJ$901,364,MATCH($B$2&amp;"|yC",Aux_puntos!$1:$1,0))),NA())</f>
        <v/>
      </c>
      <c r="AG368">
        <f>IFERROR(IF(INDEX(Aux_puntos!$A$2:$OJ$901,364,MATCH($B$2&amp;"|xI",Aux_puntos!$1:$1,0))="",NA(),INDEX(Aux_puntos!$A$2:$OJ$901,364,MATCH($B$2&amp;"|xI",Aux_puntos!$1:$1,0))),NA())</f>
        <v/>
      </c>
      <c r="AH368">
        <f>IFERROR(IF(INDEX(Aux_puntos!$A$2:$OJ$901,364,MATCH($B$2&amp;"|yI",Aux_puntos!$1:$1,0))="",NA(),INDEX(Aux_puntos!$A$2:$OJ$901,364,MATCH($B$2&amp;"|yI",Aux_puntos!$1:$1,0))),NA())</f>
        <v/>
      </c>
      <c r="AI368">
        <f>IFERROR(IF(INDEX(Aux_puntos!$A$2:$OJ$901,364,MATCH($B$2&amp;"|xN",Aux_puntos!$1:$1,0))="",NA(),INDEX(Aux_puntos!$A$2:$OJ$901,364,MATCH($B$2&amp;"|xN",Aux_puntos!$1:$1,0))),NA())</f>
        <v/>
      </c>
      <c r="AJ368">
        <f>IFERROR(IF(INDEX(Aux_puntos!$A$2:$OJ$901,364,MATCH($B$2&amp;"|yN",Aux_puntos!$1:$1,0))="",NA(),INDEX(Aux_puntos!$A$2:$OJ$901,364,MATCH($B$2&amp;"|yN",Aux_puntos!$1:$1,0))),NA())</f>
        <v/>
      </c>
    </row>
    <row r="369">
      <c r="AC369">
        <f>IFERROR(IF(INDEX(Aux_puntos!$A$2:$OJ$901,365,MATCH($B$2&amp;"|xK",Aux_puntos!$1:$1,0))="",NA(),INDEX(Aux_puntos!$A$2:$OJ$901,365,MATCH($B$2&amp;"|xK",Aux_puntos!$1:$1,0))),NA())</f>
        <v/>
      </c>
      <c r="AD369">
        <f>IFERROR(IF(INDEX(Aux_puntos!$A$2:$OJ$901,365,MATCH($B$2&amp;"|yK",Aux_puntos!$1:$1,0))="",NA(),INDEX(Aux_puntos!$A$2:$OJ$901,365,MATCH($B$2&amp;"|yK",Aux_puntos!$1:$1,0))),NA())</f>
        <v/>
      </c>
      <c r="AE369">
        <f>IFERROR(IF(INDEX(Aux_puntos!$A$2:$OJ$901,365,MATCH($B$2&amp;"|xC",Aux_puntos!$1:$1,0))="",NA(),INDEX(Aux_puntos!$A$2:$OJ$901,365,MATCH($B$2&amp;"|xC",Aux_puntos!$1:$1,0))),NA())</f>
        <v/>
      </c>
      <c r="AF369">
        <f>IFERROR(IF(INDEX(Aux_puntos!$A$2:$OJ$901,365,MATCH($B$2&amp;"|yC",Aux_puntos!$1:$1,0))="",NA(),INDEX(Aux_puntos!$A$2:$OJ$901,365,MATCH($B$2&amp;"|yC",Aux_puntos!$1:$1,0))),NA())</f>
        <v/>
      </c>
      <c r="AG369">
        <f>IFERROR(IF(INDEX(Aux_puntos!$A$2:$OJ$901,365,MATCH($B$2&amp;"|xI",Aux_puntos!$1:$1,0))="",NA(),INDEX(Aux_puntos!$A$2:$OJ$901,365,MATCH($B$2&amp;"|xI",Aux_puntos!$1:$1,0))),NA())</f>
        <v/>
      </c>
      <c r="AH369">
        <f>IFERROR(IF(INDEX(Aux_puntos!$A$2:$OJ$901,365,MATCH($B$2&amp;"|yI",Aux_puntos!$1:$1,0))="",NA(),INDEX(Aux_puntos!$A$2:$OJ$901,365,MATCH($B$2&amp;"|yI",Aux_puntos!$1:$1,0))),NA())</f>
        <v/>
      </c>
      <c r="AI369">
        <f>IFERROR(IF(INDEX(Aux_puntos!$A$2:$OJ$901,365,MATCH($B$2&amp;"|xN",Aux_puntos!$1:$1,0))="",NA(),INDEX(Aux_puntos!$A$2:$OJ$901,365,MATCH($B$2&amp;"|xN",Aux_puntos!$1:$1,0))),NA())</f>
        <v/>
      </c>
      <c r="AJ369">
        <f>IFERROR(IF(INDEX(Aux_puntos!$A$2:$OJ$901,365,MATCH($B$2&amp;"|yN",Aux_puntos!$1:$1,0))="",NA(),INDEX(Aux_puntos!$A$2:$OJ$901,365,MATCH($B$2&amp;"|yN",Aux_puntos!$1:$1,0))),NA())</f>
        <v/>
      </c>
    </row>
    <row r="370">
      <c r="AC370">
        <f>IFERROR(IF(INDEX(Aux_puntos!$A$2:$OJ$901,366,MATCH($B$2&amp;"|xK",Aux_puntos!$1:$1,0))="",NA(),INDEX(Aux_puntos!$A$2:$OJ$901,366,MATCH($B$2&amp;"|xK",Aux_puntos!$1:$1,0))),NA())</f>
        <v/>
      </c>
      <c r="AD370">
        <f>IFERROR(IF(INDEX(Aux_puntos!$A$2:$OJ$901,366,MATCH($B$2&amp;"|yK",Aux_puntos!$1:$1,0))="",NA(),INDEX(Aux_puntos!$A$2:$OJ$901,366,MATCH($B$2&amp;"|yK",Aux_puntos!$1:$1,0))),NA())</f>
        <v/>
      </c>
      <c r="AE370">
        <f>IFERROR(IF(INDEX(Aux_puntos!$A$2:$OJ$901,366,MATCH($B$2&amp;"|xC",Aux_puntos!$1:$1,0))="",NA(),INDEX(Aux_puntos!$A$2:$OJ$901,366,MATCH($B$2&amp;"|xC",Aux_puntos!$1:$1,0))),NA())</f>
        <v/>
      </c>
      <c r="AF370">
        <f>IFERROR(IF(INDEX(Aux_puntos!$A$2:$OJ$901,366,MATCH($B$2&amp;"|yC",Aux_puntos!$1:$1,0))="",NA(),INDEX(Aux_puntos!$A$2:$OJ$901,366,MATCH($B$2&amp;"|yC",Aux_puntos!$1:$1,0))),NA())</f>
        <v/>
      </c>
      <c r="AG370">
        <f>IFERROR(IF(INDEX(Aux_puntos!$A$2:$OJ$901,366,MATCH($B$2&amp;"|xI",Aux_puntos!$1:$1,0))="",NA(),INDEX(Aux_puntos!$A$2:$OJ$901,366,MATCH($B$2&amp;"|xI",Aux_puntos!$1:$1,0))),NA())</f>
        <v/>
      </c>
      <c r="AH370">
        <f>IFERROR(IF(INDEX(Aux_puntos!$A$2:$OJ$901,366,MATCH($B$2&amp;"|yI",Aux_puntos!$1:$1,0))="",NA(),INDEX(Aux_puntos!$A$2:$OJ$901,366,MATCH($B$2&amp;"|yI",Aux_puntos!$1:$1,0))),NA())</f>
        <v/>
      </c>
      <c r="AI370">
        <f>IFERROR(IF(INDEX(Aux_puntos!$A$2:$OJ$901,366,MATCH($B$2&amp;"|xN",Aux_puntos!$1:$1,0))="",NA(),INDEX(Aux_puntos!$A$2:$OJ$901,366,MATCH($B$2&amp;"|xN",Aux_puntos!$1:$1,0))),NA())</f>
        <v/>
      </c>
      <c r="AJ370">
        <f>IFERROR(IF(INDEX(Aux_puntos!$A$2:$OJ$901,366,MATCH($B$2&amp;"|yN",Aux_puntos!$1:$1,0))="",NA(),INDEX(Aux_puntos!$A$2:$OJ$901,366,MATCH($B$2&amp;"|yN",Aux_puntos!$1:$1,0))),NA())</f>
        <v/>
      </c>
    </row>
    <row r="371">
      <c r="AC371">
        <f>IFERROR(IF(INDEX(Aux_puntos!$A$2:$OJ$901,367,MATCH($B$2&amp;"|xK",Aux_puntos!$1:$1,0))="",NA(),INDEX(Aux_puntos!$A$2:$OJ$901,367,MATCH($B$2&amp;"|xK",Aux_puntos!$1:$1,0))),NA())</f>
        <v/>
      </c>
      <c r="AD371">
        <f>IFERROR(IF(INDEX(Aux_puntos!$A$2:$OJ$901,367,MATCH($B$2&amp;"|yK",Aux_puntos!$1:$1,0))="",NA(),INDEX(Aux_puntos!$A$2:$OJ$901,367,MATCH($B$2&amp;"|yK",Aux_puntos!$1:$1,0))),NA())</f>
        <v/>
      </c>
      <c r="AE371">
        <f>IFERROR(IF(INDEX(Aux_puntos!$A$2:$OJ$901,367,MATCH($B$2&amp;"|xC",Aux_puntos!$1:$1,0))="",NA(),INDEX(Aux_puntos!$A$2:$OJ$901,367,MATCH($B$2&amp;"|xC",Aux_puntos!$1:$1,0))),NA())</f>
        <v/>
      </c>
      <c r="AF371">
        <f>IFERROR(IF(INDEX(Aux_puntos!$A$2:$OJ$901,367,MATCH($B$2&amp;"|yC",Aux_puntos!$1:$1,0))="",NA(),INDEX(Aux_puntos!$A$2:$OJ$901,367,MATCH($B$2&amp;"|yC",Aux_puntos!$1:$1,0))),NA())</f>
        <v/>
      </c>
      <c r="AG371">
        <f>IFERROR(IF(INDEX(Aux_puntos!$A$2:$OJ$901,367,MATCH($B$2&amp;"|xI",Aux_puntos!$1:$1,0))="",NA(),INDEX(Aux_puntos!$A$2:$OJ$901,367,MATCH($B$2&amp;"|xI",Aux_puntos!$1:$1,0))),NA())</f>
        <v/>
      </c>
      <c r="AH371">
        <f>IFERROR(IF(INDEX(Aux_puntos!$A$2:$OJ$901,367,MATCH($B$2&amp;"|yI",Aux_puntos!$1:$1,0))="",NA(),INDEX(Aux_puntos!$A$2:$OJ$901,367,MATCH($B$2&amp;"|yI",Aux_puntos!$1:$1,0))),NA())</f>
        <v/>
      </c>
      <c r="AI371">
        <f>IFERROR(IF(INDEX(Aux_puntos!$A$2:$OJ$901,367,MATCH($B$2&amp;"|xN",Aux_puntos!$1:$1,0))="",NA(),INDEX(Aux_puntos!$A$2:$OJ$901,367,MATCH($B$2&amp;"|xN",Aux_puntos!$1:$1,0))),NA())</f>
        <v/>
      </c>
      <c r="AJ371">
        <f>IFERROR(IF(INDEX(Aux_puntos!$A$2:$OJ$901,367,MATCH($B$2&amp;"|yN",Aux_puntos!$1:$1,0))="",NA(),INDEX(Aux_puntos!$A$2:$OJ$901,367,MATCH($B$2&amp;"|yN",Aux_puntos!$1:$1,0))),NA())</f>
        <v/>
      </c>
    </row>
    <row r="372">
      <c r="AC372">
        <f>IFERROR(IF(INDEX(Aux_puntos!$A$2:$OJ$901,368,MATCH($B$2&amp;"|xK",Aux_puntos!$1:$1,0))="",NA(),INDEX(Aux_puntos!$A$2:$OJ$901,368,MATCH($B$2&amp;"|xK",Aux_puntos!$1:$1,0))),NA())</f>
        <v/>
      </c>
      <c r="AD372">
        <f>IFERROR(IF(INDEX(Aux_puntos!$A$2:$OJ$901,368,MATCH($B$2&amp;"|yK",Aux_puntos!$1:$1,0))="",NA(),INDEX(Aux_puntos!$A$2:$OJ$901,368,MATCH($B$2&amp;"|yK",Aux_puntos!$1:$1,0))),NA())</f>
        <v/>
      </c>
      <c r="AE372">
        <f>IFERROR(IF(INDEX(Aux_puntos!$A$2:$OJ$901,368,MATCH($B$2&amp;"|xC",Aux_puntos!$1:$1,0))="",NA(),INDEX(Aux_puntos!$A$2:$OJ$901,368,MATCH($B$2&amp;"|xC",Aux_puntos!$1:$1,0))),NA())</f>
        <v/>
      </c>
      <c r="AF372">
        <f>IFERROR(IF(INDEX(Aux_puntos!$A$2:$OJ$901,368,MATCH($B$2&amp;"|yC",Aux_puntos!$1:$1,0))="",NA(),INDEX(Aux_puntos!$A$2:$OJ$901,368,MATCH($B$2&amp;"|yC",Aux_puntos!$1:$1,0))),NA())</f>
        <v/>
      </c>
      <c r="AG372">
        <f>IFERROR(IF(INDEX(Aux_puntos!$A$2:$OJ$901,368,MATCH($B$2&amp;"|xI",Aux_puntos!$1:$1,0))="",NA(),INDEX(Aux_puntos!$A$2:$OJ$901,368,MATCH($B$2&amp;"|xI",Aux_puntos!$1:$1,0))),NA())</f>
        <v/>
      </c>
      <c r="AH372">
        <f>IFERROR(IF(INDEX(Aux_puntos!$A$2:$OJ$901,368,MATCH($B$2&amp;"|yI",Aux_puntos!$1:$1,0))="",NA(),INDEX(Aux_puntos!$A$2:$OJ$901,368,MATCH($B$2&amp;"|yI",Aux_puntos!$1:$1,0))),NA())</f>
        <v/>
      </c>
      <c r="AI372">
        <f>IFERROR(IF(INDEX(Aux_puntos!$A$2:$OJ$901,368,MATCH($B$2&amp;"|xN",Aux_puntos!$1:$1,0))="",NA(),INDEX(Aux_puntos!$A$2:$OJ$901,368,MATCH($B$2&amp;"|xN",Aux_puntos!$1:$1,0))),NA())</f>
        <v/>
      </c>
      <c r="AJ372">
        <f>IFERROR(IF(INDEX(Aux_puntos!$A$2:$OJ$901,368,MATCH($B$2&amp;"|yN",Aux_puntos!$1:$1,0))="",NA(),INDEX(Aux_puntos!$A$2:$OJ$901,368,MATCH($B$2&amp;"|yN",Aux_puntos!$1:$1,0))),NA())</f>
        <v/>
      </c>
    </row>
    <row r="373">
      <c r="AC373">
        <f>IFERROR(IF(INDEX(Aux_puntos!$A$2:$OJ$901,369,MATCH($B$2&amp;"|xK",Aux_puntos!$1:$1,0))="",NA(),INDEX(Aux_puntos!$A$2:$OJ$901,369,MATCH($B$2&amp;"|xK",Aux_puntos!$1:$1,0))),NA())</f>
        <v/>
      </c>
      <c r="AD373">
        <f>IFERROR(IF(INDEX(Aux_puntos!$A$2:$OJ$901,369,MATCH($B$2&amp;"|yK",Aux_puntos!$1:$1,0))="",NA(),INDEX(Aux_puntos!$A$2:$OJ$901,369,MATCH($B$2&amp;"|yK",Aux_puntos!$1:$1,0))),NA())</f>
        <v/>
      </c>
      <c r="AE373">
        <f>IFERROR(IF(INDEX(Aux_puntos!$A$2:$OJ$901,369,MATCH($B$2&amp;"|xC",Aux_puntos!$1:$1,0))="",NA(),INDEX(Aux_puntos!$A$2:$OJ$901,369,MATCH($B$2&amp;"|xC",Aux_puntos!$1:$1,0))),NA())</f>
        <v/>
      </c>
      <c r="AF373">
        <f>IFERROR(IF(INDEX(Aux_puntos!$A$2:$OJ$901,369,MATCH($B$2&amp;"|yC",Aux_puntos!$1:$1,0))="",NA(),INDEX(Aux_puntos!$A$2:$OJ$901,369,MATCH($B$2&amp;"|yC",Aux_puntos!$1:$1,0))),NA())</f>
        <v/>
      </c>
      <c r="AG373">
        <f>IFERROR(IF(INDEX(Aux_puntos!$A$2:$OJ$901,369,MATCH($B$2&amp;"|xI",Aux_puntos!$1:$1,0))="",NA(),INDEX(Aux_puntos!$A$2:$OJ$901,369,MATCH($B$2&amp;"|xI",Aux_puntos!$1:$1,0))),NA())</f>
        <v/>
      </c>
      <c r="AH373">
        <f>IFERROR(IF(INDEX(Aux_puntos!$A$2:$OJ$901,369,MATCH($B$2&amp;"|yI",Aux_puntos!$1:$1,0))="",NA(),INDEX(Aux_puntos!$A$2:$OJ$901,369,MATCH($B$2&amp;"|yI",Aux_puntos!$1:$1,0))),NA())</f>
        <v/>
      </c>
      <c r="AI373">
        <f>IFERROR(IF(INDEX(Aux_puntos!$A$2:$OJ$901,369,MATCH($B$2&amp;"|xN",Aux_puntos!$1:$1,0))="",NA(),INDEX(Aux_puntos!$A$2:$OJ$901,369,MATCH($B$2&amp;"|xN",Aux_puntos!$1:$1,0))),NA())</f>
        <v/>
      </c>
      <c r="AJ373">
        <f>IFERROR(IF(INDEX(Aux_puntos!$A$2:$OJ$901,369,MATCH($B$2&amp;"|yN",Aux_puntos!$1:$1,0))="",NA(),INDEX(Aux_puntos!$A$2:$OJ$901,369,MATCH($B$2&amp;"|yN",Aux_puntos!$1:$1,0))),NA())</f>
        <v/>
      </c>
    </row>
    <row r="374">
      <c r="AC374">
        <f>IFERROR(IF(INDEX(Aux_puntos!$A$2:$OJ$901,370,MATCH($B$2&amp;"|xK",Aux_puntos!$1:$1,0))="",NA(),INDEX(Aux_puntos!$A$2:$OJ$901,370,MATCH($B$2&amp;"|xK",Aux_puntos!$1:$1,0))),NA())</f>
        <v/>
      </c>
      <c r="AD374">
        <f>IFERROR(IF(INDEX(Aux_puntos!$A$2:$OJ$901,370,MATCH($B$2&amp;"|yK",Aux_puntos!$1:$1,0))="",NA(),INDEX(Aux_puntos!$A$2:$OJ$901,370,MATCH($B$2&amp;"|yK",Aux_puntos!$1:$1,0))),NA())</f>
        <v/>
      </c>
      <c r="AE374">
        <f>IFERROR(IF(INDEX(Aux_puntos!$A$2:$OJ$901,370,MATCH($B$2&amp;"|xC",Aux_puntos!$1:$1,0))="",NA(),INDEX(Aux_puntos!$A$2:$OJ$901,370,MATCH($B$2&amp;"|xC",Aux_puntos!$1:$1,0))),NA())</f>
        <v/>
      </c>
      <c r="AF374">
        <f>IFERROR(IF(INDEX(Aux_puntos!$A$2:$OJ$901,370,MATCH($B$2&amp;"|yC",Aux_puntos!$1:$1,0))="",NA(),INDEX(Aux_puntos!$A$2:$OJ$901,370,MATCH($B$2&amp;"|yC",Aux_puntos!$1:$1,0))),NA())</f>
        <v/>
      </c>
      <c r="AG374">
        <f>IFERROR(IF(INDEX(Aux_puntos!$A$2:$OJ$901,370,MATCH($B$2&amp;"|xI",Aux_puntos!$1:$1,0))="",NA(),INDEX(Aux_puntos!$A$2:$OJ$901,370,MATCH($B$2&amp;"|xI",Aux_puntos!$1:$1,0))),NA())</f>
        <v/>
      </c>
      <c r="AH374">
        <f>IFERROR(IF(INDEX(Aux_puntos!$A$2:$OJ$901,370,MATCH($B$2&amp;"|yI",Aux_puntos!$1:$1,0))="",NA(),INDEX(Aux_puntos!$A$2:$OJ$901,370,MATCH($B$2&amp;"|yI",Aux_puntos!$1:$1,0))),NA())</f>
        <v/>
      </c>
      <c r="AI374">
        <f>IFERROR(IF(INDEX(Aux_puntos!$A$2:$OJ$901,370,MATCH($B$2&amp;"|xN",Aux_puntos!$1:$1,0))="",NA(),INDEX(Aux_puntos!$A$2:$OJ$901,370,MATCH($B$2&amp;"|xN",Aux_puntos!$1:$1,0))),NA())</f>
        <v/>
      </c>
      <c r="AJ374">
        <f>IFERROR(IF(INDEX(Aux_puntos!$A$2:$OJ$901,370,MATCH($B$2&amp;"|yN",Aux_puntos!$1:$1,0))="",NA(),INDEX(Aux_puntos!$A$2:$OJ$901,370,MATCH($B$2&amp;"|yN",Aux_puntos!$1:$1,0))),NA())</f>
        <v/>
      </c>
    </row>
    <row r="375">
      <c r="AC375">
        <f>IFERROR(IF(INDEX(Aux_puntos!$A$2:$OJ$901,371,MATCH($B$2&amp;"|xK",Aux_puntos!$1:$1,0))="",NA(),INDEX(Aux_puntos!$A$2:$OJ$901,371,MATCH($B$2&amp;"|xK",Aux_puntos!$1:$1,0))),NA())</f>
        <v/>
      </c>
      <c r="AD375">
        <f>IFERROR(IF(INDEX(Aux_puntos!$A$2:$OJ$901,371,MATCH($B$2&amp;"|yK",Aux_puntos!$1:$1,0))="",NA(),INDEX(Aux_puntos!$A$2:$OJ$901,371,MATCH($B$2&amp;"|yK",Aux_puntos!$1:$1,0))),NA())</f>
        <v/>
      </c>
      <c r="AE375">
        <f>IFERROR(IF(INDEX(Aux_puntos!$A$2:$OJ$901,371,MATCH($B$2&amp;"|xC",Aux_puntos!$1:$1,0))="",NA(),INDEX(Aux_puntos!$A$2:$OJ$901,371,MATCH($B$2&amp;"|xC",Aux_puntos!$1:$1,0))),NA())</f>
        <v/>
      </c>
      <c r="AF375">
        <f>IFERROR(IF(INDEX(Aux_puntos!$A$2:$OJ$901,371,MATCH($B$2&amp;"|yC",Aux_puntos!$1:$1,0))="",NA(),INDEX(Aux_puntos!$A$2:$OJ$901,371,MATCH($B$2&amp;"|yC",Aux_puntos!$1:$1,0))),NA())</f>
        <v/>
      </c>
      <c r="AG375">
        <f>IFERROR(IF(INDEX(Aux_puntos!$A$2:$OJ$901,371,MATCH($B$2&amp;"|xI",Aux_puntos!$1:$1,0))="",NA(),INDEX(Aux_puntos!$A$2:$OJ$901,371,MATCH($B$2&amp;"|xI",Aux_puntos!$1:$1,0))),NA())</f>
        <v/>
      </c>
      <c r="AH375">
        <f>IFERROR(IF(INDEX(Aux_puntos!$A$2:$OJ$901,371,MATCH($B$2&amp;"|yI",Aux_puntos!$1:$1,0))="",NA(),INDEX(Aux_puntos!$A$2:$OJ$901,371,MATCH($B$2&amp;"|yI",Aux_puntos!$1:$1,0))),NA())</f>
        <v/>
      </c>
      <c r="AI375">
        <f>IFERROR(IF(INDEX(Aux_puntos!$A$2:$OJ$901,371,MATCH($B$2&amp;"|xN",Aux_puntos!$1:$1,0))="",NA(),INDEX(Aux_puntos!$A$2:$OJ$901,371,MATCH($B$2&amp;"|xN",Aux_puntos!$1:$1,0))),NA())</f>
        <v/>
      </c>
      <c r="AJ375">
        <f>IFERROR(IF(INDEX(Aux_puntos!$A$2:$OJ$901,371,MATCH($B$2&amp;"|yN",Aux_puntos!$1:$1,0))="",NA(),INDEX(Aux_puntos!$A$2:$OJ$901,371,MATCH($B$2&amp;"|yN",Aux_puntos!$1:$1,0))),NA())</f>
        <v/>
      </c>
    </row>
    <row r="376">
      <c r="AC376">
        <f>IFERROR(IF(INDEX(Aux_puntos!$A$2:$OJ$901,372,MATCH($B$2&amp;"|xK",Aux_puntos!$1:$1,0))="",NA(),INDEX(Aux_puntos!$A$2:$OJ$901,372,MATCH($B$2&amp;"|xK",Aux_puntos!$1:$1,0))),NA())</f>
        <v/>
      </c>
      <c r="AD376">
        <f>IFERROR(IF(INDEX(Aux_puntos!$A$2:$OJ$901,372,MATCH($B$2&amp;"|yK",Aux_puntos!$1:$1,0))="",NA(),INDEX(Aux_puntos!$A$2:$OJ$901,372,MATCH($B$2&amp;"|yK",Aux_puntos!$1:$1,0))),NA())</f>
        <v/>
      </c>
      <c r="AE376">
        <f>IFERROR(IF(INDEX(Aux_puntos!$A$2:$OJ$901,372,MATCH($B$2&amp;"|xC",Aux_puntos!$1:$1,0))="",NA(),INDEX(Aux_puntos!$A$2:$OJ$901,372,MATCH($B$2&amp;"|xC",Aux_puntos!$1:$1,0))),NA())</f>
        <v/>
      </c>
      <c r="AF376">
        <f>IFERROR(IF(INDEX(Aux_puntos!$A$2:$OJ$901,372,MATCH($B$2&amp;"|yC",Aux_puntos!$1:$1,0))="",NA(),INDEX(Aux_puntos!$A$2:$OJ$901,372,MATCH($B$2&amp;"|yC",Aux_puntos!$1:$1,0))),NA())</f>
        <v/>
      </c>
      <c r="AG376">
        <f>IFERROR(IF(INDEX(Aux_puntos!$A$2:$OJ$901,372,MATCH($B$2&amp;"|xI",Aux_puntos!$1:$1,0))="",NA(),INDEX(Aux_puntos!$A$2:$OJ$901,372,MATCH($B$2&amp;"|xI",Aux_puntos!$1:$1,0))),NA())</f>
        <v/>
      </c>
      <c r="AH376">
        <f>IFERROR(IF(INDEX(Aux_puntos!$A$2:$OJ$901,372,MATCH($B$2&amp;"|yI",Aux_puntos!$1:$1,0))="",NA(),INDEX(Aux_puntos!$A$2:$OJ$901,372,MATCH($B$2&amp;"|yI",Aux_puntos!$1:$1,0))),NA())</f>
        <v/>
      </c>
      <c r="AI376">
        <f>IFERROR(IF(INDEX(Aux_puntos!$A$2:$OJ$901,372,MATCH($B$2&amp;"|xN",Aux_puntos!$1:$1,0))="",NA(),INDEX(Aux_puntos!$A$2:$OJ$901,372,MATCH($B$2&amp;"|xN",Aux_puntos!$1:$1,0))),NA())</f>
        <v/>
      </c>
      <c r="AJ376">
        <f>IFERROR(IF(INDEX(Aux_puntos!$A$2:$OJ$901,372,MATCH($B$2&amp;"|yN",Aux_puntos!$1:$1,0))="",NA(),INDEX(Aux_puntos!$A$2:$OJ$901,372,MATCH($B$2&amp;"|yN",Aux_puntos!$1:$1,0))),NA())</f>
        <v/>
      </c>
    </row>
    <row r="377">
      <c r="AC377">
        <f>IFERROR(IF(INDEX(Aux_puntos!$A$2:$OJ$901,373,MATCH($B$2&amp;"|xK",Aux_puntos!$1:$1,0))="",NA(),INDEX(Aux_puntos!$A$2:$OJ$901,373,MATCH($B$2&amp;"|xK",Aux_puntos!$1:$1,0))),NA())</f>
        <v/>
      </c>
      <c r="AD377">
        <f>IFERROR(IF(INDEX(Aux_puntos!$A$2:$OJ$901,373,MATCH($B$2&amp;"|yK",Aux_puntos!$1:$1,0))="",NA(),INDEX(Aux_puntos!$A$2:$OJ$901,373,MATCH($B$2&amp;"|yK",Aux_puntos!$1:$1,0))),NA())</f>
        <v/>
      </c>
      <c r="AE377">
        <f>IFERROR(IF(INDEX(Aux_puntos!$A$2:$OJ$901,373,MATCH($B$2&amp;"|xC",Aux_puntos!$1:$1,0))="",NA(),INDEX(Aux_puntos!$A$2:$OJ$901,373,MATCH($B$2&amp;"|xC",Aux_puntos!$1:$1,0))),NA())</f>
        <v/>
      </c>
      <c r="AF377">
        <f>IFERROR(IF(INDEX(Aux_puntos!$A$2:$OJ$901,373,MATCH($B$2&amp;"|yC",Aux_puntos!$1:$1,0))="",NA(),INDEX(Aux_puntos!$A$2:$OJ$901,373,MATCH($B$2&amp;"|yC",Aux_puntos!$1:$1,0))),NA())</f>
        <v/>
      </c>
      <c r="AG377">
        <f>IFERROR(IF(INDEX(Aux_puntos!$A$2:$OJ$901,373,MATCH($B$2&amp;"|xI",Aux_puntos!$1:$1,0))="",NA(),INDEX(Aux_puntos!$A$2:$OJ$901,373,MATCH($B$2&amp;"|xI",Aux_puntos!$1:$1,0))),NA())</f>
        <v/>
      </c>
      <c r="AH377">
        <f>IFERROR(IF(INDEX(Aux_puntos!$A$2:$OJ$901,373,MATCH($B$2&amp;"|yI",Aux_puntos!$1:$1,0))="",NA(),INDEX(Aux_puntos!$A$2:$OJ$901,373,MATCH($B$2&amp;"|yI",Aux_puntos!$1:$1,0))),NA())</f>
        <v/>
      </c>
      <c r="AI377">
        <f>IFERROR(IF(INDEX(Aux_puntos!$A$2:$OJ$901,373,MATCH($B$2&amp;"|xN",Aux_puntos!$1:$1,0))="",NA(),INDEX(Aux_puntos!$A$2:$OJ$901,373,MATCH($B$2&amp;"|xN",Aux_puntos!$1:$1,0))),NA())</f>
        <v/>
      </c>
      <c r="AJ377">
        <f>IFERROR(IF(INDEX(Aux_puntos!$A$2:$OJ$901,373,MATCH($B$2&amp;"|yN",Aux_puntos!$1:$1,0))="",NA(),INDEX(Aux_puntos!$A$2:$OJ$901,373,MATCH($B$2&amp;"|yN",Aux_puntos!$1:$1,0))),NA())</f>
        <v/>
      </c>
    </row>
    <row r="378">
      <c r="AC378">
        <f>IFERROR(IF(INDEX(Aux_puntos!$A$2:$OJ$901,374,MATCH($B$2&amp;"|xK",Aux_puntos!$1:$1,0))="",NA(),INDEX(Aux_puntos!$A$2:$OJ$901,374,MATCH($B$2&amp;"|xK",Aux_puntos!$1:$1,0))),NA())</f>
        <v/>
      </c>
      <c r="AD378">
        <f>IFERROR(IF(INDEX(Aux_puntos!$A$2:$OJ$901,374,MATCH($B$2&amp;"|yK",Aux_puntos!$1:$1,0))="",NA(),INDEX(Aux_puntos!$A$2:$OJ$901,374,MATCH($B$2&amp;"|yK",Aux_puntos!$1:$1,0))),NA())</f>
        <v/>
      </c>
      <c r="AE378">
        <f>IFERROR(IF(INDEX(Aux_puntos!$A$2:$OJ$901,374,MATCH($B$2&amp;"|xC",Aux_puntos!$1:$1,0))="",NA(),INDEX(Aux_puntos!$A$2:$OJ$901,374,MATCH($B$2&amp;"|xC",Aux_puntos!$1:$1,0))),NA())</f>
        <v/>
      </c>
      <c r="AF378">
        <f>IFERROR(IF(INDEX(Aux_puntos!$A$2:$OJ$901,374,MATCH($B$2&amp;"|yC",Aux_puntos!$1:$1,0))="",NA(),INDEX(Aux_puntos!$A$2:$OJ$901,374,MATCH($B$2&amp;"|yC",Aux_puntos!$1:$1,0))),NA())</f>
        <v/>
      </c>
      <c r="AG378">
        <f>IFERROR(IF(INDEX(Aux_puntos!$A$2:$OJ$901,374,MATCH($B$2&amp;"|xI",Aux_puntos!$1:$1,0))="",NA(),INDEX(Aux_puntos!$A$2:$OJ$901,374,MATCH($B$2&amp;"|xI",Aux_puntos!$1:$1,0))),NA())</f>
        <v/>
      </c>
      <c r="AH378">
        <f>IFERROR(IF(INDEX(Aux_puntos!$A$2:$OJ$901,374,MATCH($B$2&amp;"|yI",Aux_puntos!$1:$1,0))="",NA(),INDEX(Aux_puntos!$A$2:$OJ$901,374,MATCH($B$2&amp;"|yI",Aux_puntos!$1:$1,0))),NA())</f>
        <v/>
      </c>
      <c r="AI378">
        <f>IFERROR(IF(INDEX(Aux_puntos!$A$2:$OJ$901,374,MATCH($B$2&amp;"|xN",Aux_puntos!$1:$1,0))="",NA(),INDEX(Aux_puntos!$A$2:$OJ$901,374,MATCH($B$2&amp;"|xN",Aux_puntos!$1:$1,0))),NA())</f>
        <v/>
      </c>
      <c r="AJ378">
        <f>IFERROR(IF(INDEX(Aux_puntos!$A$2:$OJ$901,374,MATCH($B$2&amp;"|yN",Aux_puntos!$1:$1,0))="",NA(),INDEX(Aux_puntos!$A$2:$OJ$901,374,MATCH($B$2&amp;"|yN",Aux_puntos!$1:$1,0))),NA())</f>
        <v/>
      </c>
    </row>
    <row r="379">
      <c r="AC379">
        <f>IFERROR(IF(INDEX(Aux_puntos!$A$2:$OJ$901,375,MATCH($B$2&amp;"|xK",Aux_puntos!$1:$1,0))="",NA(),INDEX(Aux_puntos!$A$2:$OJ$901,375,MATCH($B$2&amp;"|xK",Aux_puntos!$1:$1,0))),NA())</f>
        <v/>
      </c>
      <c r="AD379">
        <f>IFERROR(IF(INDEX(Aux_puntos!$A$2:$OJ$901,375,MATCH($B$2&amp;"|yK",Aux_puntos!$1:$1,0))="",NA(),INDEX(Aux_puntos!$A$2:$OJ$901,375,MATCH($B$2&amp;"|yK",Aux_puntos!$1:$1,0))),NA())</f>
        <v/>
      </c>
      <c r="AE379">
        <f>IFERROR(IF(INDEX(Aux_puntos!$A$2:$OJ$901,375,MATCH($B$2&amp;"|xC",Aux_puntos!$1:$1,0))="",NA(),INDEX(Aux_puntos!$A$2:$OJ$901,375,MATCH($B$2&amp;"|xC",Aux_puntos!$1:$1,0))),NA())</f>
        <v/>
      </c>
      <c r="AF379">
        <f>IFERROR(IF(INDEX(Aux_puntos!$A$2:$OJ$901,375,MATCH($B$2&amp;"|yC",Aux_puntos!$1:$1,0))="",NA(),INDEX(Aux_puntos!$A$2:$OJ$901,375,MATCH($B$2&amp;"|yC",Aux_puntos!$1:$1,0))),NA())</f>
        <v/>
      </c>
      <c r="AG379">
        <f>IFERROR(IF(INDEX(Aux_puntos!$A$2:$OJ$901,375,MATCH($B$2&amp;"|xI",Aux_puntos!$1:$1,0))="",NA(),INDEX(Aux_puntos!$A$2:$OJ$901,375,MATCH($B$2&amp;"|xI",Aux_puntos!$1:$1,0))),NA())</f>
        <v/>
      </c>
      <c r="AH379">
        <f>IFERROR(IF(INDEX(Aux_puntos!$A$2:$OJ$901,375,MATCH($B$2&amp;"|yI",Aux_puntos!$1:$1,0))="",NA(),INDEX(Aux_puntos!$A$2:$OJ$901,375,MATCH($B$2&amp;"|yI",Aux_puntos!$1:$1,0))),NA())</f>
        <v/>
      </c>
      <c r="AI379">
        <f>IFERROR(IF(INDEX(Aux_puntos!$A$2:$OJ$901,375,MATCH($B$2&amp;"|xN",Aux_puntos!$1:$1,0))="",NA(),INDEX(Aux_puntos!$A$2:$OJ$901,375,MATCH($B$2&amp;"|xN",Aux_puntos!$1:$1,0))),NA())</f>
        <v/>
      </c>
      <c r="AJ379">
        <f>IFERROR(IF(INDEX(Aux_puntos!$A$2:$OJ$901,375,MATCH($B$2&amp;"|yN",Aux_puntos!$1:$1,0))="",NA(),INDEX(Aux_puntos!$A$2:$OJ$901,375,MATCH($B$2&amp;"|yN",Aux_puntos!$1:$1,0))),NA())</f>
        <v/>
      </c>
    </row>
    <row r="380">
      <c r="AC380">
        <f>IFERROR(IF(INDEX(Aux_puntos!$A$2:$OJ$901,376,MATCH($B$2&amp;"|xK",Aux_puntos!$1:$1,0))="",NA(),INDEX(Aux_puntos!$A$2:$OJ$901,376,MATCH($B$2&amp;"|xK",Aux_puntos!$1:$1,0))),NA())</f>
        <v/>
      </c>
      <c r="AD380">
        <f>IFERROR(IF(INDEX(Aux_puntos!$A$2:$OJ$901,376,MATCH($B$2&amp;"|yK",Aux_puntos!$1:$1,0))="",NA(),INDEX(Aux_puntos!$A$2:$OJ$901,376,MATCH($B$2&amp;"|yK",Aux_puntos!$1:$1,0))),NA())</f>
        <v/>
      </c>
      <c r="AE380">
        <f>IFERROR(IF(INDEX(Aux_puntos!$A$2:$OJ$901,376,MATCH($B$2&amp;"|xC",Aux_puntos!$1:$1,0))="",NA(),INDEX(Aux_puntos!$A$2:$OJ$901,376,MATCH($B$2&amp;"|xC",Aux_puntos!$1:$1,0))),NA())</f>
        <v/>
      </c>
      <c r="AF380">
        <f>IFERROR(IF(INDEX(Aux_puntos!$A$2:$OJ$901,376,MATCH($B$2&amp;"|yC",Aux_puntos!$1:$1,0))="",NA(),INDEX(Aux_puntos!$A$2:$OJ$901,376,MATCH($B$2&amp;"|yC",Aux_puntos!$1:$1,0))),NA())</f>
        <v/>
      </c>
      <c r="AG380">
        <f>IFERROR(IF(INDEX(Aux_puntos!$A$2:$OJ$901,376,MATCH($B$2&amp;"|xI",Aux_puntos!$1:$1,0))="",NA(),INDEX(Aux_puntos!$A$2:$OJ$901,376,MATCH($B$2&amp;"|xI",Aux_puntos!$1:$1,0))),NA())</f>
        <v/>
      </c>
      <c r="AH380">
        <f>IFERROR(IF(INDEX(Aux_puntos!$A$2:$OJ$901,376,MATCH($B$2&amp;"|yI",Aux_puntos!$1:$1,0))="",NA(),INDEX(Aux_puntos!$A$2:$OJ$901,376,MATCH($B$2&amp;"|yI",Aux_puntos!$1:$1,0))),NA())</f>
        <v/>
      </c>
      <c r="AI380">
        <f>IFERROR(IF(INDEX(Aux_puntos!$A$2:$OJ$901,376,MATCH($B$2&amp;"|xN",Aux_puntos!$1:$1,0))="",NA(),INDEX(Aux_puntos!$A$2:$OJ$901,376,MATCH($B$2&amp;"|xN",Aux_puntos!$1:$1,0))),NA())</f>
        <v/>
      </c>
      <c r="AJ380">
        <f>IFERROR(IF(INDEX(Aux_puntos!$A$2:$OJ$901,376,MATCH($B$2&amp;"|yN",Aux_puntos!$1:$1,0))="",NA(),INDEX(Aux_puntos!$A$2:$OJ$901,376,MATCH($B$2&amp;"|yN",Aux_puntos!$1:$1,0))),NA())</f>
        <v/>
      </c>
    </row>
    <row r="381">
      <c r="AC381">
        <f>IFERROR(IF(INDEX(Aux_puntos!$A$2:$OJ$901,377,MATCH($B$2&amp;"|xK",Aux_puntos!$1:$1,0))="",NA(),INDEX(Aux_puntos!$A$2:$OJ$901,377,MATCH($B$2&amp;"|xK",Aux_puntos!$1:$1,0))),NA())</f>
        <v/>
      </c>
      <c r="AD381">
        <f>IFERROR(IF(INDEX(Aux_puntos!$A$2:$OJ$901,377,MATCH($B$2&amp;"|yK",Aux_puntos!$1:$1,0))="",NA(),INDEX(Aux_puntos!$A$2:$OJ$901,377,MATCH($B$2&amp;"|yK",Aux_puntos!$1:$1,0))),NA())</f>
        <v/>
      </c>
      <c r="AE381">
        <f>IFERROR(IF(INDEX(Aux_puntos!$A$2:$OJ$901,377,MATCH($B$2&amp;"|xC",Aux_puntos!$1:$1,0))="",NA(),INDEX(Aux_puntos!$A$2:$OJ$901,377,MATCH($B$2&amp;"|xC",Aux_puntos!$1:$1,0))),NA())</f>
        <v/>
      </c>
      <c r="AF381">
        <f>IFERROR(IF(INDEX(Aux_puntos!$A$2:$OJ$901,377,MATCH($B$2&amp;"|yC",Aux_puntos!$1:$1,0))="",NA(),INDEX(Aux_puntos!$A$2:$OJ$901,377,MATCH($B$2&amp;"|yC",Aux_puntos!$1:$1,0))),NA())</f>
        <v/>
      </c>
      <c r="AG381">
        <f>IFERROR(IF(INDEX(Aux_puntos!$A$2:$OJ$901,377,MATCH($B$2&amp;"|xI",Aux_puntos!$1:$1,0))="",NA(),INDEX(Aux_puntos!$A$2:$OJ$901,377,MATCH($B$2&amp;"|xI",Aux_puntos!$1:$1,0))),NA())</f>
        <v/>
      </c>
      <c r="AH381">
        <f>IFERROR(IF(INDEX(Aux_puntos!$A$2:$OJ$901,377,MATCH($B$2&amp;"|yI",Aux_puntos!$1:$1,0))="",NA(),INDEX(Aux_puntos!$A$2:$OJ$901,377,MATCH($B$2&amp;"|yI",Aux_puntos!$1:$1,0))),NA())</f>
        <v/>
      </c>
      <c r="AI381">
        <f>IFERROR(IF(INDEX(Aux_puntos!$A$2:$OJ$901,377,MATCH($B$2&amp;"|xN",Aux_puntos!$1:$1,0))="",NA(),INDEX(Aux_puntos!$A$2:$OJ$901,377,MATCH($B$2&amp;"|xN",Aux_puntos!$1:$1,0))),NA())</f>
        <v/>
      </c>
      <c r="AJ381">
        <f>IFERROR(IF(INDEX(Aux_puntos!$A$2:$OJ$901,377,MATCH($B$2&amp;"|yN",Aux_puntos!$1:$1,0))="",NA(),INDEX(Aux_puntos!$A$2:$OJ$901,377,MATCH($B$2&amp;"|yN",Aux_puntos!$1:$1,0))),NA())</f>
        <v/>
      </c>
    </row>
    <row r="382">
      <c r="AC382">
        <f>IFERROR(IF(INDEX(Aux_puntos!$A$2:$OJ$901,378,MATCH($B$2&amp;"|xK",Aux_puntos!$1:$1,0))="",NA(),INDEX(Aux_puntos!$A$2:$OJ$901,378,MATCH($B$2&amp;"|xK",Aux_puntos!$1:$1,0))),NA())</f>
        <v/>
      </c>
      <c r="AD382">
        <f>IFERROR(IF(INDEX(Aux_puntos!$A$2:$OJ$901,378,MATCH($B$2&amp;"|yK",Aux_puntos!$1:$1,0))="",NA(),INDEX(Aux_puntos!$A$2:$OJ$901,378,MATCH($B$2&amp;"|yK",Aux_puntos!$1:$1,0))),NA())</f>
        <v/>
      </c>
      <c r="AE382">
        <f>IFERROR(IF(INDEX(Aux_puntos!$A$2:$OJ$901,378,MATCH($B$2&amp;"|xC",Aux_puntos!$1:$1,0))="",NA(),INDEX(Aux_puntos!$A$2:$OJ$901,378,MATCH($B$2&amp;"|xC",Aux_puntos!$1:$1,0))),NA())</f>
        <v/>
      </c>
      <c r="AF382">
        <f>IFERROR(IF(INDEX(Aux_puntos!$A$2:$OJ$901,378,MATCH($B$2&amp;"|yC",Aux_puntos!$1:$1,0))="",NA(),INDEX(Aux_puntos!$A$2:$OJ$901,378,MATCH($B$2&amp;"|yC",Aux_puntos!$1:$1,0))),NA())</f>
        <v/>
      </c>
      <c r="AG382">
        <f>IFERROR(IF(INDEX(Aux_puntos!$A$2:$OJ$901,378,MATCH($B$2&amp;"|xI",Aux_puntos!$1:$1,0))="",NA(),INDEX(Aux_puntos!$A$2:$OJ$901,378,MATCH($B$2&amp;"|xI",Aux_puntos!$1:$1,0))),NA())</f>
        <v/>
      </c>
      <c r="AH382">
        <f>IFERROR(IF(INDEX(Aux_puntos!$A$2:$OJ$901,378,MATCH($B$2&amp;"|yI",Aux_puntos!$1:$1,0))="",NA(),INDEX(Aux_puntos!$A$2:$OJ$901,378,MATCH($B$2&amp;"|yI",Aux_puntos!$1:$1,0))),NA())</f>
        <v/>
      </c>
      <c r="AI382">
        <f>IFERROR(IF(INDEX(Aux_puntos!$A$2:$OJ$901,378,MATCH($B$2&amp;"|xN",Aux_puntos!$1:$1,0))="",NA(),INDEX(Aux_puntos!$A$2:$OJ$901,378,MATCH($B$2&amp;"|xN",Aux_puntos!$1:$1,0))),NA())</f>
        <v/>
      </c>
      <c r="AJ382">
        <f>IFERROR(IF(INDEX(Aux_puntos!$A$2:$OJ$901,378,MATCH($B$2&amp;"|yN",Aux_puntos!$1:$1,0))="",NA(),INDEX(Aux_puntos!$A$2:$OJ$901,378,MATCH($B$2&amp;"|yN",Aux_puntos!$1:$1,0))),NA())</f>
        <v/>
      </c>
    </row>
    <row r="383">
      <c r="AC383">
        <f>IFERROR(IF(INDEX(Aux_puntos!$A$2:$OJ$901,379,MATCH($B$2&amp;"|xK",Aux_puntos!$1:$1,0))="",NA(),INDEX(Aux_puntos!$A$2:$OJ$901,379,MATCH($B$2&amp;"|xK",Aux_puntos!$1:$1,0))),NA())</f>
        <v/>
      </c>
      <c r="AD383">
        <f>IFERROR(IF(INDEX(Aux_puntos!$A$2:$OJ$901,379,MATCH($B$2&amp;"|yK",Aux_puntos!$1:$1,0))="",NA(),INDEX(Aux_puntos!$A$2:$OJ$901,379,MATCH($B$2&amp;"|yK",Aux_puntos!$1:$1,0))),NA())</f>
        <v/>
      </c>
      <c r="AE383">
        <f>IFERROR(IF(INDEX(Aux_puntos!$A$2:$OJ$901,379,MATCH($B$2&amp;"|xC",Aux_puntos!$1:$1,0))="",NA(),INDEX(Aux_puntos!$A$2:$OJ$901,379,MATCH($B$2&amp;"|xC",Aux_puntos!$1:$1,0))),NA())</f>
        <v/>
      </c>
      <c r="AF383">
        <f>IFERROR(IF(INDEX(Aux_puntos!$A$2:$OJ$901,379,MATCH($B$2&amp;"|yC",Aux_puntos!$1:$1,0))="",NA(),INDEX(Aux_puntos!$A$2:$OJ$901,379,MATCH($B$2&amp;"|yC",Aux_puntos!$1:$1,0))),NA())</f>
        <v/>
      </c>
      <c r="AG383">
        <f>IFERROR(IF(INDEX(Aux_puntos!$A$2:$OJ$901,379,MATCH($B$2&amp;"|xI",Aux_puntos!$1:$1,0))="",NA(),INDEX(Aux_puntos!$A$2:$OJ$901,379,MATCH($B$2&amp;"|xI",Aux_puntos!$1:$1,0))),NA())</f>
        <v/>
      </c>
      <c r="AH383">
        <f>IFERROR(IF(INDEX(Aux_puntos!$A$2:$OJ$901,379,MATCH($B$2&amp;"|yI",Aux_puntos!$1:$1,0))="",NA(),INDEX(Aux_puntos!$A$2:$OJ$901,379,MATCH($B$2&amp;"|yI",Aux_puntos!$1:$1,0))),NA())</f>
        <v/>
      </c>
      <c r="AI383">
        <f>IFERROR(IF(INDEX(Aux_puntos!$A$2:$OJ$901,379,MATCH($B$2&amp;"|xN",Aux_puntos!$1:$1,0))="",NA(),INDEX(Aux_puntos!$A$2:$OJ$901,379,MATCH($B$2&amp;"|xN",Aux_puntos!$1:$1,0))),NA())</f>
        <v/>
      </c>
      <c r="AJ383">
        <f>IFERROR(IF(INDEX(Aux_puntos!$A$2:$OJ$901,379,MATCH($B$2&amp;"|yN",Aux_puntos!$1:$1,0))="",NA(),INDEX(Aux_puntos!$A$2:$OJ$901,379,MATCH($B$2&amp;"|yN",Aux_puntos!$1:$1,0))),NA())</f>
        <v/>
      </c>
    </row>
    <row r="384">
      <c r="AC384">
        <f>IFERROR(IF(INDEX(Aux_puntos!$A$2:$OJ$901,380,MATCH($B$2&amp;"|xK",Aux_puntos!$1:$1,0))="",NA(),INDEX(Aux_puntos!$A$2:$OJ$901,380,MATCH($B$2&amp;"|xK",Aux_puntos!$1:$1,0))),NA())</f>
        <v/>
      </c>
      <c r="AD384">
        <f>IFERROR(IF(INDEX(Aux_puntos!$A$2:$OJ$901,380,MATCH($B$2&amp;"|yK",Aux_puntos!$1:$1,0))="",NA(),INDEX(Aux_puntos!$A$2:$OJ$901,380,MATCH($B$2&amp;"|yK",Aux_puntos!$1:$1,0))),NA())</f>
        <v/>
      </c>
      <c r="AE384">
        <f>IFERROR(IF(INDEX(Aux_puntos!$A$2:$OJ$901,380,MATCH($B$2&amp;"|xC",Aux_puntos!$1:$1,0))="",NA(),INDEX(Aux_puntos!$A$2:$OJ$901,380,MATCH($B$2&amp;"|xC",Aux_puntos!$1:$1,0))),NA())</f>
        <v/>
      </c>
      <c r="AF384">
        <f>IFERROR(IF(INDEX(Aux_puntos!$A$2:$OJ$901,380,MATCH($B$2&amp;"|yC",Aux_puntos!$1:$1,0))="",NA(),INDEX(Aux_puntos!$A$2:$OJ$901,380,MATCH($B$2&amp;"|yC",Aux_puntos!$1:$1,0))),NA())</f>
        <v/>
      </c>
      <c r="AG384">
        <f>IFERROR(IF(INDEX(Aux_puntos!$A$2:$OJ$901,380,MATCH($B$2&amp;"|xI",Aux_puntos!$1:$1,0))="",NA(),INDEX(Aux_puntos!$A$2:$OJ$901,380,MATCH($B$2&amp;"|xI",Aux_puntos!$1:$1,0))),NA())</f>
        <v/>
      </c>
      <c r="AH384">
        <f>IFERROR(IF(INDEX(Aux_puntos!$A$2:$OJ$901,380,MATCH($B$2&amp;"|yI",Aux_puntos!$1:$1,0))="",NA(),INDEX(Aux_puntos!$A$2:$OJ$901,380,MATCH($B$2&amp;"|yI",Aux_puntos!$1:$1,0))),NA())</f>
        <v/>
      </c>
      <c r="AI384">
        <f>IFERROR(IF(INDEX(Aux_puntos!$A$2:$OJ$901,380,MATCH($B$2&amp;"|xN",Aux_puntos!$1:$1,0))="",NA(),INDEX(Aux_puntos!$A$2:$OJ$901,380,MATCH($B$2&amp;"|xN",Aux_puntos!$1:$1,0))),NA())</f>
        <v/>
      </c>
      <c r="AJ384">
        <f>IFERROR(IF(INDEX(Aux_puntos!$A$2:$OJ$901,380,MATCH($B$2&amp;"|yN",Aux_puntos!$1:$1,0))="",NA(),INDEX(Aux_puntos!$A$2:$OJ$901,380,MATCH($B$2&amp;"|yN",Aux_puntos!$1:$1,0))),NA())</f>
        <v/>
      </c>
    </row>
    <row r="385">
      <c r="AC385">
        <f>IFERROR(IF(INDEX(Aux_puntos!$A$2:$OJ$901,381,MATCH($B$2&amp;"|xK",Aux_puntos!$1:$1,0))="",NA(),INDEX(Aux_puntos!$A$2:$OJ$901,381,MATCH($B$2&amp;"|xK",Aux_puntos!$1:$1,0))),NA())</f>
        <v/>
      </c>
      <c r="AD385">
        <f>IFERROR(IF(INDEX(Aux_puntos!$A$2:$OJ$901,381,MATCH($B$2&amp;"|yK",Aux_puntos!$1:$1,0))="",NA(),INDEX(Aux_puntos!$A$2:$OJ$901,381,MATCH($B$2&amp;"|yK",Aux_puntos!$1:$1,0))),NA())</f>
        <v/>
      </c>
      <c r="AE385">
        <f>IFERROR(IF(INDEX(Aux_puntos!$A$2:$OJ$901,381,MATCH($B$2&amp;"|xC",Aux_puntos!$1:$1,0))="",NA(),INDEX(Aux_puntos!$A$2:$OJ$901,381,MATCH($B$2&amp;"|xC",Aux_puntos!$1:$1,0))),NA())</f>
        <v/>
      </c>
      <c r="AF385">
        <f>IFERROR(IF(INDEX(Aux_puntos!$A$2:$OJ$901,381,MATCH($B$2&amp;"|yC",Aux_puntos!$1:$1,0))="",NA(),INDEX(Aux_puntos!$A$2:$OJ$901,381,MATCH($B$2&amp;"|yC",Aux_puntos!$1:$1,0))),NA())</f>
        <v/>
      </c>
      <c r="AG385">
        <f>IFERROR(IF(INDEX(Aux_puntos!$A$2:$OJ$901,381,MATCH($B$2&amp;"|xI",Aux_puntos!$1:$1,0))="",NA(),INDEX(Aux_puntos!$A$2:$OJ$901,381,MATCH($B$2&amp;"|xI",Aux_puntos!$1:$1,0))),NA())</f>
        <v/>
      </c>
      <c r="AH385">
        <f>IFERROR(IF(INDEX(Aux_puntos!$A$2:$OJ$901,381,MATCH($B$2&amp;"|yI",Aux_puntos!$1:$1,0))="",NA(),INDEX(Aux_puntos!$A$2:$OJ$901,381,MATCH($B$2&amp;"|yI",Aux_puntos!$1:$1,0))),NA())</f>
        <v/>
      </c>
      <c r="AI385">
        <f>IFERROR(IF(INDEX(Aux_puntos!$A$2:$OJ$901,381,MATCH($B$2&amp;"|xN",Aux_puntos!$1:$1,0))="",NA(),INDEX(Aux_puntos!$A$2:$OJ$901,381,MATCH($B$2&amp;"|xN",Aux_puntos!$1:$1,0))),NA())</f>
        <v/>
      </c>
      <c r="AJ385">
        <f>IFERROR(IF(INDEX(Aux_puntos!$A$2:$OJ$901,381,MATCH($B$2&amp;"|yN",Aux_puntos!$1:$1,0))="",NA(),INDEX(Aux_puntos!$A$2:$OJ$901,381,MATCH($B$2&amp;"|yN",Aux_puntos!$1:$1,0))),NA())</f>
        <v/>
      </c>
    </row>
    <row r="386">
      <c r="AC386">
        <f>IFERROR(IF(INDEX(Aux_puntos!$A$2:$OJ$901,382,MATCH($B$2&amp;"|xK",Aux_puntos!$1:$1,0))="",NA(),INDEX(Aux_puntos!$A$2:$OJ$901,382,MATCH($B$2&amp;"|xK",Aux_puntos!$1:$1,0))),NA())</f>
        <v/>
      </c>
      <c r="AD386">
        <f>IFERROR(IF(INDEX(Aux_puntos!$A$2:$OJ$901,382,MATCH($B$2&amp;"|yK",Aux_puntos!$1:$1,0))="",NA(),INDEX(Aux_puntos!$A$2:$OJ$901,382,MATCH($B$2&amp;"|yK",Aux_puntos!$1:$1,0))),NA())</f>
        <v/>
      </c>
      <c r="AE386">
        <f>IFERROR(IF(INDEX(Aux_puntos!$A$2:$OJ$901,382,MATCH($B$2&amp;"|xC",Aux_puntos!$1:$1,0))="",NA(),INDEX(Aux_puntos!$A$2:$OJ$901,382,MATCH($B$2&amp;"|xC",Aux_puntos!$1:$1,0))),NA())</f>
        <v/>
      </c>
      <c r="AF386">
        <f>IFERROR(IF(INDEX(Aux_puntos!$A$2:$OJ$901,382,MATCH($B$2&amp;"|yC",Aux_puntos!$1:$1,0))="",NA(),INDEX(Aux_puntos!$A$2:$OJ$901,382,MATCH($B$2&amp;"|yC",Aux_puntos!$1:$1,0))),NA())</f>
        <v/>
      </c>
      <c r="AG386">
        <f>IFERROR(IF(INDEX(Aux_puntos!$A$2:$OJ$901,382,MATCH($B$2&amp;"|xI",Aux_puntos!$1:$1,0))="",NA(),INDEX(Aux_puntos!$A$2:$OJ$901,382,MATCH($B$2&amp;"|xI",Aux_puntos!$1:$1,0))),NA())</f>
        <v/>
      </c>
      <c r="AH386">
        <f>IFERROR(IF(INDEX(Aux_puntos!$A$2:$OJ$901,382,MATCH($B$2&amp;"|yI",Aux_puntos!$1:$1,0))="",NA(),INDEX(Aux_puntos!$A$2:$OJ$901,382,MATCH($B$2&amp;"|yI",Aux_puntos!$1:$1,0))),NA())</f>
        <v/>
      </c>
      <c r="AI386">
        <f>IFERROR(IF(INDEX(Aux_puntos!$A$2:$OJ$901,382,MATCH($B$2&amp;"|xN",Aux_puntos!$1:$1,0))="",NA(),INDEX(Aux_puntos!$A$2:$OJ$901,382,MATCH($B$2&amp;"|xN",Aux_puntos!$1:$1,0))),NA())</f>
        <v/>
      </c>
      <c r="AJ386">
        <f>IFERROR(IF(INDEX(Aux_puntos!$A$2:$OJ$901,382,MATCH($B$2&amp;"|yN",Aux_puntos!$1:$1,0))="",NA(),INDEX(Aux_puntos!$A$2:$OJ$901,382,MATCH($B$2&amp;"|yN",Aux_puntos!$1:$1,0))),NA())</f>
        <v/>
      </c>
    </row>
    <row r="387">
      <c r="AC387">
        <f>IFERROR(IF(INDEX(Aux_puntos!$A$2:$OJ$901,383,MATCH($B$2&amp;"|xK",Aux_puntos!$1:$1,0))="",NA(),INDEX(Aux_puntos!$A$2:$OJ$901,383,MATCH($B$2&amp;"|xK",Aux_puntos!$1:$1,0))),NA())</f>
        <v/>
      </c>
      <c r="AD387">
        <f>IFERROR(IF(INDEX(Aux_puntos!$A$2:$OJ$901,383,MATCH($B$2&amp;"|yK",Aux_puntos!$1:$1,0))="",NA(),INDEX(Aux_puntos!$A$2:$OJ$901,383,MATCH($B$2&amp;"|yK",Aux_puntos!$1:$1,0))),NA())</f>
        <v/>
      </c>
      <c r="AE387">
        <f>IFERROR(IF(INDEX(Aux_puntos!$A$2:$OJ$901,383,MATCH($B$2&amp;"|xC",Aux_puntos!$1:$1,0))="",NA(),INDEX(Aux_puntos!$A$2:$OJ$901,383,MATCH($B$2&amp;"|xC",Aux_puntos!$1:$1,0))),NA())</f>
        <v/>
      </c>
      <c r="AF387">
        <f>IFERROR(IF(INDEX(Aux_puntos!$A$2:$OJ$901,383,MATCH($B$2&amp;"|yC",Aux_puntos!$1:$1,0))="",NA(),INDEX(Aux_puntos!$A$2:$OJ$901,383,MATCH($B$2&amp;"|yC",Aux_puntos!$1:$1,0))),NA())</f>
        <v/>
      </c>
      <c r="AG387">
        <f>IFERROR(IF(INDEX(Aux_puntos!$A$2:$OJ$901,383,MATCH($B$2&amp;"|xI",Aux_puntos!$1:$1,0))="",NA(),INDEX(Aux_puntos!$A$2:$OJ$901,383,MATCH($B$2&amp;"|xI",Aux_puntos!$1:$1,0))),NA())</f>
        <v/>
      </c>
      <c r="AH387">
        <f>IFERROR(IF(INDEX(Aux_puntos!$A$2:$OJ$901,383,MATCH($B$2&amp;"|yI",Aux_puntos!$1:$1,0))="",NA(),INDEX(Aux_puntos!$A$2:$OJ$901,383,MATCH($B$2&amp;"|yI",Aux_puntos!$1:$1,0))),NA())</f>
        <v/>
      </c>
      <c r="AI387">
        <f>IFERROR(IF(INDEX(Aux_puntos!$A$2:$OJ$901,383,MATCH($B$2&amp;"|xN",Aux_puntos!$1:$1,0))="",NA(),INDEX(Aux_puntos!$A$2:$OJ$901,383,MATCH($B$2&amp;"|xN",Aux_puntos!$1:$1,0))),NA())</f>
        <v/>
      </c>
      <c r="AJ387">
        <f>IFERROR(IF(INDEX(Aux_puntos!$A$2:$OJ$901,383,MATCH($B$2&amp;"|yN",Aux_puntos!$1:$1,0))="",NA(),INDEX(Aux_puntos!$A$2:$OJ$901,383,MATCH($B$2&amp;"|yN",Aux_puntos!$1:$1,0))),NA())</f>
        <v/>
      </c>
    </row>
    <row r="388">
      <c r="AC388">
        <f>IFERROR(IF(INDEX(Aux_puntos!$A$2:$OJ$901,384,MATCH($B$2&amp;"|xK",Aux_puntos!$1:$1,0))="",NA(),INDEX(Aux_puntos!$A$2:$OJ$901,384,MATCH($B$2&amp;"|xK",Aux_puntos!$1:$1,0))),NA())</f>
        <v/>
      </c>
      <c r="AD388">
        <f>IFERROR(IF(INDEX(Aux_puntos!$A$2:$OJ$901,384,MATCH($B$2&amp;"|yK",Aux_puntos!$1:$1,0))="",NA(),INDEX(Aux_puntos!$A$2:$OJ$901,384,MATCH($B$2&amp;"|yK",Aux_puntos!$1:$1,0))),NA())</f>
        <v/>
      </c>
      <c r="AE388">
        <f>IFERROR(IF(INDEX(Aux_puntos!$A$2:$OJ$901,384,MATCH($B$2&amp;"|xC",Aux_puntos!$1:$1,0))="",NA(),INDEX(Aux_puntos!$A$2:$OJ$901,384,MATCH($B$2&amp;"|xC",Aux_puntos!$1:$1,0))),NA())</f>
        <v/>
      </c>
      <c r="AF388">
        <f>IFERROR(IF(INDEX(Aux_puntos!$A$2:$OJ$901,384,MATCH($B$2&amp;"|yC",Aux_puntos!$1:$1,0))="",NA(),INDEX(Aux_puntos!$A$2:$OJ$901,384,MATCH($B$2&amp;"|yC",Aux_puntos!$1:$1,0))),NA())</f>
        <v/>
      </c>
      <c r="AG388">
        <f>IFERROR(IF(INDEX(Aux_puntos!$A$2:$OJ$901,384,MATCH($B$2&amp;"|xI",Aux_puntos!$1:$1,0))="",NA(),INDEX(Aux_puntos!$A$2:$OJ$901,384,MATCH($B$2&amp;"|xI",Aux_puntos!$1:$1,0))),NA())</f>
        <v/>
      </c>
      <c r="AH388">
        <f>IFERROR(IF(INDEX(Aux_puntos!$A$2:$OJ$901,384,MATCH($B$2&amp;"|yI",Aux_puntos!$1:$1,0))="",NA(),INDEX(Aux_puntos!$A$2:$OJ$901,384,MATCH($B$2&amp;"|yI",Aux_puntos!$1:$1,0))),NA())</f>
        <v/>
      </c>
      <c r="AI388">
        <f>IFERROR(IF(INDEX(Aux_puntos!$A$2:$OJ$901,384,MATCH($B$2&amp;"|xN",Aux_puntos!$1:$1,0))="",NA(),INDEX(Aux_puntos!$A$2:$OJ$901,384,MATCH($B$2&amp;"|xN",Aux_puntos!$1:$1,0))),NA())</f>
        <v/>
      </c>
      <c r="AJ388">
        <f>IFERROR(IF(INDEX(Aux_puntos!$A$2:$OJ$901,384,MATCH($B$2&amp;"|yN",Aux_puntos!$1:$1,0))="",NA(),INDEX(Aux_puntos!$A$2:$OJ$901,384,MATCH($B$2&amp;"|yN",Aux_puntos!$1:$1,0))),NA())</f>
        <v/>
      </c>
    </row>
    <row r="389">
      <c r="AC389">
        <f>IFERROR(IF(INDEX(Aux_puntos!$A$2:$OJ$901,385,MATCH($B$2&amp;"|xK",Aux_puntos!$1:$1,0))="",NA(),INDEX(Aux_puntos!$A$2:$OJ$901,385,MATCH($B$2&amp;"|xK",Aux_puntos!$1:$1,0))),NA())</f>
        <v/>
      </c>
      <c r="AD389">
        <f>IFERROR(IF(INDEX(Aux_puntos!$A$2:$OJ$901,385,MATCH($B$2&amp;"|yK",Aux_puntos!$1:$1,0))="",NA(),INDEX(Aux_puntos!$A$2:$OJ$901,385,MATCH($B$2&amp;"|yK",Aux_puntos!$1:$1,0))),NA())</f>
        <v/>
      </c>
      <c r="AE389">
        <f>IFERROR(IF(INDEX(Aux_puntos!$A$2:$OJ$901,385,MATCH($B$2&amp;"|xC",Aux_puntos!$1:$1,0))="",NA(),INDEX(Aux_puntos!$A$2:$OJ$901,385,MATCH($B$2&amp;"|xC",Aux_puntos!$1:$1,0))),NA())</f>
        <v/>
      </c>
      <c r="AF389">
        <f>IFERROR(IF(INDEX(Aux_puntos!$A$2:$OJ$901,385,MATCH($B$2&amp;"|yC",Aux_puntos!$1:$1,0))="",NA(),INDEX(Aux_puntos!$A$2:$OJ$901,385,MATCH($B$2&amp;"|yC",Aux_puntos!$1:$1,0))),NA())</f>
        <v/>
      </c>
      <c r="AG389">
        <f>IFERROR(IF(INDEX(Aux_puntos!$A$2:$OJ$901,385,MATCH($B$2&amp;"|xI",Aux_puntos!$1:$1,0))="",NA(),INDEX(Aux_puntos!$A$2:$OJ$901,385,MATCH($B$2&amp;"|xI",Aux_puntos!$1:$1,0))),NA())</f>
        <v/>
      </c>
      <c r="AH389">
        <f>IFERROR(IF(INDEX(Aux_puntos!$A$2:$OJ$901,385,MATCH($B$2&amp;"|yI",Aux_puntos!$1:$1,0))="",NA(),INDEX(Aux_puntos!$A$2:$OJ$901,385,MATCH($B$2&amp;"|yI",Aux_puntos!$1:$1,0))),NA())</f>
        <v/>
      </c>
      <c r="AI389">
        <f>IFERROR(IF(INDEX(Aux_puntos!$A$2:$OJ$901,385,MATCH($B$2&amp;"|xN",Aux_puntos!$1:$1,0))="",NA(),INDEX(Aux_puntos!$A$2:$OJ$901,385,MATCH($B$2&amp;"|xN",Aux_puntos!$1:$1,0))),NA())</f>
        <v/>
      </c>
      <c r="AJ389">
        <f>IFERROR(IF(INDEX(Aux_puntos!$A$2:$OJ$901,385,MATCH($B$2&amp;"|yN",Aux_puntos!$1:$1,0))="",NA(),INDEX(Aux_puntos!$A$2:$OJ$901,385,MATCH($B$2&amp;"|yN",Aux_puntos!$1:$1,0))),NA())</f>
        <v/>
      </c>
    </row>
    <row r="390">
      <c r="AC390">
        <f>IFERROR(IF(INDEX(Aux_puntos!$A$2:$OJ$901,386,MATCH($B$2&amp;"|xK",Aux_puntos!$1:$1,0))="",NA(),INDEX(Aux_puntos!$A$2:$OJ$901,386,MATCH($B$2&amp;"|xK",Aux_puntos!$1:$1,0))),NA())</f>
        <v/>
      </c>
      <c r="AD390">
        <f>IFERROR(IF(INDEX(Aux_puntos!$A$2:$OJ$901,386,MATCH($B$2&amp;"|yK",Aux_puntos!$1:$1,0))="",NA(),INDEX(Aux_puntos!$A$2:$OJ$901,386,MATCH($B$2&amp;"|yK",Aux_puntos!$1:$1,0))),NA())</f>
        <v/>
      </c>
      <c r="AE390">
        <f>IFERROR(IF(INDEX(Aux_puntos!$A$2:$OJ$901,386,MATCH($B$2&amp;"|xC",Aux_puntos!$1:$1,0))="",NA(),INDEX(Aux_puntos!$A$2:$OJ$901,386,MATCH($B$2&amp;"|xC",Aux_puntos!$1:$1,0))),NA())</f>
        <v/>
      </c>
      <c r="AF390">
        <f>IFERROR(IF(INDEX(Aux_puntos!$A$2:$OJ$901,386,MATCH($B$2&amp;"|yC",Aux_puntos!$1:$1,0))="",NA(),INDEX(Aux_puntos!$A$2:$OJ$901,386,MATCH($B$2&amp;"|yC",Aux_puntos!$1:$1,0))),NA())</f>
        <v/>
      </c>
      <c r="AG390">
        <f>IFERROR(IF(INDEX(Aux_puntos!$A$2:$OJ$901,386,MATCH($B$2&amp;"|xI",Aux_puntos!$1:$1,0))="",NA(),INDEX(Aux_puntos!$A$2:$OJ$901,386,MATCH($B$2&amp;"|xI",Aux_puntos!$1:$1,0))),NA())</f>
        <v/>
      </c>
      <c r="AH390">
        <f>IFERROR(IF(INDEX(Aux_puntos!$A$2:$OJ$901,386,MATCH($B$2&amp;"|yI",Aux_puntos!$1:$1,0))="",NA(),INDEX(Aux_puntos!$A$2:$OJ$901,386,MATCH($B$2&amp;"|yI",Aux_puntos!$1:$1,0))),NA())</f>
        <v/>
      </c>
      <c r="AI390">
        <f>IFERROR(IF(INDEX(Aux_puntos!$A$2:$OJ$901,386,MATCH($B$2&amp;"|xN",Aux_puntos!$1:$1,0))="",NA(),INDEX(Aux_puntos!$A$2:$OJ$901,386,MATCH($B$2&amp;"|xN",Aux_puntos!$1:$1,0))),NA())</f>
        <v/>
      </c>
      <c r="AJ390">
        <f>IFERROR(IF(INDEX(Aux_puntos!$A$2:$OJ$901,386,MATCH($B$2&amp;"|yN",Aux_puntos!$1:$1,0))="",NA(),INDEX(Aux_puntos!$A$2:$OJ$901,386,MATCH($B$2&amp;"|yN",Aux_puntos!$1:$1,0))),NA())</f>
        <v/>
      </c>
    </row>
    <row r="391">
      <c r="AC391">
        <f>IFERROR(IF(INDEX(Aux_puntos!$A$2:$OJ$901,387,MATCH($B$2&amp;"|xK",Aux_puntos!$1:$1,0))="",NA(),INDEX(Aux_puntos!$A$2:$OJ$901,387,MATCH($B$2&amp;"|xK",Aux_puntos!$1:$1,0))),NA())</f>
        <v/>
      </c>
      <c r="AD391">
        <f>IFERROR(IF(INDEX(Aux_puntos!$A$2:$OJ$901,387,MATCH($B$2&amp;"|yK",Aux_puntos!$1:$1,0))="",NA(),INDEX(Aux_puntos!$A$2:$OJ$901,387,MATCH($B$2&amp;"|yK",Aux_puntos!$1:$1,0))),NA())</f>
        <v/>
      </c>
      <c r="AE391">
        <f>IFERROR(IF(INDEX(Aux_puntos!$A$2:$OJ$901,387,MATCH($B$2&amp;"|xC",Aux_puntos!$1:$1,0))="",NA(),INDEX(Aux_puntos!$A$2:$OJ$901,387,MATCH($B$2&amp;"|xC",Aux_puntos!$1:$1,0))),NA())</f>
        <v/>
      </c>
      <c r="AF391">
        <f>IFERROR(IF(INDEX(Aux_puntos!$A$2:$OJ$901,387,MATCH($B$2&amp;"|yC",Aux_puntos!$1:$1,0))="",NA(),INDEX(Aux_puntos!$A$2:$OJ$901,387,MATCH($B$2&amp;"|yC",Aux_puntos!$1:$1,0))),NA())</f>
        <v/>
      </c>
      <c r="AG391">
        <f>IFERROR(IF(INDEX(Aux_puntos!$A$2:$OJ$901,387,MATCH($B$2&amp;"|xI",Aux_puntos!$1:$1,0))="",NA(),INDEX(Aux_puntos!$A$2:$OJ$901,387,MATCH($B$2&amp;"|xI",Aux_puntos!$1:$1,0))),NA())</f>
        <v/>
      </c>
      <c r="AH391">
        <f>IFERROR(IF(INDEX(Aux_puntos!$A$2:$OJ$901,387,MATCH($B$2&amp;"|yI",Aux_puntos!$1:$1,0))="",NA(),INDEX(Aux_puntos!$A$2:$OJ$901,387,MATCH($B$2&amp;"|yI",Aux_puntos!$1:$1,0))),NA())</f>
        <v/>
      </c>
      <c r="AI391">
        <f>IFERROR(IF(INDEX(Aux_puntos!$A$2:$OJ$901,387,MATCH($B$2&amp;"|xN",Aux_puntos!$1:$1,0))="",NA(),INDEX(Aux_puntos!$A$2:$OJ$901,387,MATCH($B$2&amp;"|xN",Aux_puntos!$1:$1,0))),NA())</f>
        <v/>
      </c>
      <c r="AJ391">
        <f>IFERROR(IF(INDEX(Aux_puntos!$A$2:$OJ$901,387,MATCH($B$2&amp;"|yN",Aux_puntos!$1:$1,0))="",NA(),INDEX(Aux_puntos!$A$2:$OJ$901,387,MATCH($B$2&amp;"|yN",Aux_puntos!$1:$1,0))),NA())</f>
        <v/>
      </c>
    </row>
    <row r="392">
      <c r="AC392">
        <f>IFERROR(IF(INDEX(Aux_puntos!$A$2:$OJ$901,388,MATCH($B$2&amp;"|xK",Aux_puntos!$1:$1,0))="",NA(),INDEX(Aux_puntos!$A$2:$OJ$901,388,MATCH($B$2&amp;"|xK",Aux_puntos!$1:$1,0))),NA())</f>
        <v/>
      </c>
      <c r="AD392">
        <f>IFERROR(IF(INDEX(Aux_puntos!$A$2:$OJ$901,388,MATCH($B$2&amp;"|yK",Aux_puntos!$1:$1,0))="",NA(),INDEX(Aux_puntos!$A$2:$OJ$901,388,MATCH($B$2&amp;"|yK",Aux_puntos!$1:$1,0))),NA())</f>
        <v/>
      </c>
      <c r="AE392">
        <f>IFERROR(IF(INDEX(Aux_puntos!$A$2:$OJ$901,388,MATCH($B$2&amp;"|xC",Aux_puntos!$1:$1,0))="",NA(),INDEX(Aux_puntos!$A$2:$OJ$901,388,MATCH($B$2&amp;"|xC",Aux_puntos!$1:$1,0))),NA())</f>
        <v/>
      </c>
      <c r="AF392">
        <f>IFERROR(IF(INDEX(Aux_puntos!$A$2:$OJ$901,388,MATCH($B$2&amp;"|yC",Aux_puntos!$1:$1,0))="",NA(),INDEX(Aux_puntos!$A$2:$OJ$901,388,MATCH($B$2&amp;"|yC",Aux_puntos!$1:$1,0))),NA())</f>
        <v/>
      </c>
      <c r="AG392">
        <f>IFERROR(IF(INDEX(Aux_puntos!$A$2:$OJ$901,388,MATCH($B$2&amp;"|xI",Aux_puntos!$1:$1,0))="",NA(),INDEX(Aux_puntos!$A$2:$OJ$901,388,MATCH($B$2&amp;"|xI",Aux_puntos!$1:$1,0))),NA())</f>
        <v/>
      </c>
      <c r="AH392">
        <f>IFERROR(IF(INDEX(Aux_puntos!$A$2:$OJ$901,388,MATCH($B$2&amp;"|yI",Aux_puntos!$1:$1,0))="",NA(),INDEX(Aux_puntos!$A$2:$OJ$901,388,MATCH($B$2&amp;"|yI",Aux_puntos!$1:$1,0))),NA())</f>
        <v/>
      </c>
      <c r="AI392">
        <f>IFERROR(IF(INDEX(Aux_puntos!$A$2:$OJ$901,388,MATCH($B$2&amp;"|xN",Aux_puntos!$1:$1,0))="",NA(),INDEX(Aux_puntos!$A$2:$OJ$901,388,MATCH($B$2&amp;"|xN",Aux_puntos!$1:$1,0))),NA())</f>
        <v/>
      </c>
      <c r="AJ392">
        <f>IFERROR(IF(INDEX(Aux_puntos!$A$2:$OJ$901,388,MATCH($B$2&amp;"|yN",Aux_puntos!$1:$1,0))="",NA(),INDEX(Aux_puntos!$A$2:$OJ$901,388,MATCH($B$2&amp;"|yN",Aux_puntos!$1:$1,0))),NA())</f>
        <v/>
      </c>
    </row>
    <row r="393">
      <c r="AC393">
        <f>IFERROR(IF(INDEX(Aux_puntos!$A$2:$OJ$901,389,MATCH($B$2&amp;"|xK",Aux_puntos!$1:$1,0))="",NA(),INDEX(Aux_puntos!$A$2:$OJ$901,389,MATCH($B$2&amp;"|xK",Aux_puntos!$1:$1,0))),NA())</f>
        <v/>
      </c>
      <c r="AD393">
        <f>IFERROR(IF(INDEX(Aux_puntos!$A$2:$OJ$901,389,MATCH($B$2&amp;"|yK",Aux_puntos!$1:$1,0))="",NA(),INDEX(Aux_puntos!$A$2:$OJ$901,389,MATCH($B$2&amp;"|yK",Aux_puntos!$1:$1,0))),NA())</f>
        <v/>
      </c>
      <c r="AE393">
        <f>IFERROR(IF(INDEX(Aux_puntos!$A$2:$OJ$901,389,MATCH($B$2&amp;"|xC",Aux_puntos!$1:$1,0))="",NA(),INDEX(Aux_puntos!$A$2:$OJ$901,389,MATCH($B$2&amp;"|xC",Aux_puntos!$1:$1,0))),NA())</f>
        <v/>
      </c>
      <c r="AF393">
        <f>IFERROR(IF(INDEX(Aux_puntos!$A$2:$OJ$901,389,MATCH($B$2&amp;"|yC",Aux_puntos!$1:$1,0))="",NA(),INDEX(Aux_puntos!$A$2:$OJ$901,389,MATCH($B$2&amp;"|yC",Aux_puntos!$1:$1,0))),NA())</f>
        <v/>
      </c>
      <c r="AG393">
        <f>IFERROR(IF(INDEX(Aux_puntos!$A$2:$OJ$901,389,MATCH($B$2&amp;"|xI",Aux_puntos!$1:$1,0))="",NA(),INDEX(Aux_puntos!$A$2:$OJ$901,389,MATCH($B$2&amp;"|xI",Aux_puntos!$1:$1,0))),NA())</f>
        <v/>
      </c>
      <c r="AH393">
        <f>IFERROR(IF(INDEX(Aux_puntos!$A$2:$OJ$901,389,MATCH($B$2&amp;"|yI",Aux_puntos!$1:$1,0))="",NA(),INDEX(Aux_puntos!$A$2:$OJ$901,389,MATCH($B$2&amp;"|yI",Aux_puntos!$1:$1,0))),NA())</f>
        <v/>
      </c>
      <c r="AI393">
        <f>IFERROR(IF(INDEX(Aux_puntos!$A$2:$OJ$901,389,MATCH($B$2&amp;"|xN",Aux_puntos!$1:$1,0))="",NA(),INDEX(Aux_puntos!$A$2:$OJ$901,389,MATCH($B$2&amp;"|xN",Aux_puntos!$1:$1,0))),NA())</f>
        <v/>
      </c>
      <c r="AJ393">
        <f>IFERROR(IF(INDEX(Aux_puntos!$A$2:$OJ$901,389,MATCH($B$2&amp;"|yN",Aux_puntos!$1:$1,0))="",NA(),INDEX(Aux_puntos!$A$2:$OJ$901,389,MATCH($B$2&amp;"|yN",Aux_puntos!$1:$1,0))),NA())</f>
        <v/>
      </c>
    </row>
    <row r="394">
      <c r="AC394">
        <f>IFERROR(IF(INDEX(Aux_puntos!$A$2:$OJ$901,390,MATCH($B$2&amp;"|xK",Aux_puntos!$1:$1,0))="",NA(),INDEX(Aux_puntos!$A$2:$OJ$901,390,MATCH($B$2&amp;"|xK",Aux_puntos!$1:$1,0))),NA())</f>
        <v/>
      </c>
      <c r="AD394">
        <f>IFERROR(IF(INDEX(Aux_puntos!$A$2:$OJ$901,390,MATCH($B$2&amp;"|yK",Aux_puntos!$1:$1,0))="",NA(),INDEX(Aux_puntos!$A$2:$OJ$901,390,MATCH($B$2&amp;"|yK",Aux_puntos!$1:$1,0))),NA())</f>
        <v/>
      </c>
      <c r="AE394">
        <f>IFERROR(IF(INDEX(Aux_puntos!$A$2:$OJ$901,390,MATCH($B$2&amp;"|xC",Aux_puntos!$1:$1,0))="",NA(),INDEX(Aux_puntos!$A$2:$OJ$901,390,MATCH($B$2&amp;"|xC",Aux_puntos!$1:$1,0))),NA())</f>
        <v/>
      </c>
      <c r="AF394">
        <f>IFERROR(IF(INDEX(Aux_puntos!$A$2:$OJ$901,390,MATCH($B$2&amp;"|yC",Aux_puntos!$1:$1,0))="",NA(),INDEX(Aux_puntos!$A$2:$OJ$901,390,MATCH($B$2&amp;"|yC",Aux_puntos!$1:$1,0))),NA())</f>
        <v/>
      </c>
      <c r="AG394">
        <f>IFERROR(IF(INDEX(Aux_puntos!$A$2:$OJ$901,390,MATCH($B$2&amp;"|xI",Aux_puntos!$1:$1,0))="",NA(),INDEX(Aux_puntos!$A$2:$OJ$901,390,MATCH($B$2&amp;"|xI",Aux_puntos!$1:$1,0))),NA())</f>
        <v/>
      </c>
      <c r="AH394">
        <f>IFERROR(IF(INDEX(Aux_puntos!$A$2:$OJ$901,390,MATCH($B$2&amp;"|yI",Aux_puntos!$1:$1,0))="",NA(),INDEX(Aux_puntos!$A$2:$OJ$901,390,MATCH($B$2&amp;"|yI",Aux_puntos!$1:$1,0))),NA())</f>
        <v/>
      </c>
      <c r="AI394">
        <f>IFERROR(IF(INDEX(Aux_puntos!$A$2:$OJ$901,390,MATCH($B$2&amp;"|xN",Aux_puntos!$1:$1,0))="",NA(),INDEX(Aux_puntos!$A$2:$OJ$901,390,MATCH($B$2&amp;"|xN",Aux_puntos!$1:$1,0))),NA())</f>
        <v/>
      </c>
      <c r="AJ394">
        <f>IFERROR(IF(INDEX(Aux_puntos!$A$2:$OJ$901,390,MATCH($B$2&amp;"|yN",Aux_puntos!$1:$1,0))="",NA(),INDEX(Aux_puntos!$A$2:$OJ$901,390,MATCH($B$2&amp;"|yN",Aux_puntos!$1:$1,0))),NA())</f>
        <v/>
      </c>
    </row>
    <row r="395">
      <c r="AC395">
        <f>IFERROR(IF(INDEX(Aux_puntos!$A$2:$OJ$901,391,MATCH($B$2&amp;"|xK",Aux_puntos!$1:$1,0))="",NA(),INDEX(Aux_puntos!$A$2:$OJ$901,391,MATCH($B$2&amp;"|xK",Aux_puntos!$1:$1,0))),NA())</f>
        <v/>
      </c>
      <c r="AD395">
        <f>IFERROR(IF(INDEX(Aux_puntos!$A$2:$OJ$901,391,MATCH($B$2&amp;"|yK",Aux_puntos!$1:$1,0))="",NA(),INDEX(Aux_puntos!$A$2:$OJ$901,391,MATCH($B$2&amp;"|yK",Aux_puntos!$1:$1,0))),NA())</f>
        <v/>
      </c>
      <c r="AE395">
        <f>IFERROR(IF(INDEX(Aux_puntos!$A$2:$OJ$901,391,MATCH($B$2&amp;"|xC",Aux_puntos!$1:$1,0))="",NA(),INDEX(Aux_puntos!$A$2:$OJ$901,391,MATCH($B$2&amp;"|xC",Aux_puntos!$1:$1,0))),NA())</f>
        <v/>
      </c>
      <c r="AF395">
        <f>IFERROR(IF(INDEX(Aux_puntos!$A$2:$OJ$901,391,MATCH($B$2&amp;"|yC",Aux_puntos!$1:$1,0))="",NA(),INDEX(Aux_puntos!$A$2:$OJ$901,391,MATCH($B$2&amp;"|yC",Aux_puntos!$1:$1,0))),NA())</f>
        <v/>
      </c>
      <c r="AG395">
        <f>IFERROR(IF(INDEX(Aux_puntos!$A$2:$OJ$901,391,MATCH($B$2&amp;"|xI",Aux_puntos!$1:$1,0))="",NA(),INDEX(Aux_puntos!$A$2:$OJ$901,391,MATCH($B$2&amp;"|xI",Aux_puntos!$1:$1,0))),NA())</f>
        <v/>
      </c>
      <c r="AH395">
        <f>IFERROR(IF(INDEX(Aux_puntos!$A$2:$OJ$901,391,MATCH($B$2&amp;"|yI",Aux_puntos!$1:$1,0))="",NA(),INDEX(Aux_puntos!$A$2:$OJ$901,391,MATCH($B$2&amp;"|yI",Aux_puntos!$1:$1,0))),NA())</f>
        <v/>
      </c>
      <c r="AI395">
        <f>IFERROR(IF(INDEX(Aux_puntos!$A$2:$OJ$901,391,MATCH($B$2&amp;"|xN",Aux_puntos!$1:$1,0))="",NA(),INDEX(Aux_puntos!$A$2:$OJ$901,391,MATCH($B$2&amp;"|xN",Aux_puntos!$1:$1,0))),NA())</f>
        <v/>
      </c>
      <c r="AJ395">
        <f>IFERROR(IF(INDEX(Aux_puntos!$A$2:$OJ$901,391,MATCH($B$2&amp;"|yN",Aux_puntos!$1:$1,0))="",NA(),INDEX(Aux_puntos!$A$2:$OJ$901,391,MATCH($B$2&amp;"|yN",Aux_puntos!$1:$1,0))),NA())</f>
        <v/>
      </c>
    </row>
    <row r="396">
      <c r="AC396">
        <f>IFERROR(IF(INDEX(Aux_puntos!$A$2:$OJ$901,392,MATCH($B$2&amp;"|xK",Aux_puntos!$1:$1,0))="",NA(),INDEX(Aux_puntos!$A$2:$OJ$901,392,MATCH($B$2&amp;"|xK",Aux_puntos!$1:$1,0))),NA())</f>
        <v/>
      </c>
      <c r="AD396">
        <f>IFERROR(IF(INDEX(Aux_puntos!$A$2:$OJ$901,392,MATCH($B$2&amp;"|yK",Aux_puntos!$1:$1,0))="",NA(),INDEX(Aux_puntos!$A$2:$OJ$901,392,MATCH($B$2&amp;"|yK",Aux_puntos!$1:$1,0))),NA())</f>
        <v/>
      </c>
      <c r="AE396">
        <f>IFERROR(IF(INDEX(Aux_puntos!$A$2:$OJ$901,392,MATCH($B$2&amp;"|xC",Aux_puntos!$1:$1,0))="",NA(),INDEX(Aux_puntos!$A$2:$OJ$901,392,MATCH($B$2&amp;"|xC",Aux_puntos!$1:$1,0))),NA())</f>
        <v/>
      </c>
      <c r="AF396">
        <f>IFERROR(IF(INDEX(Aux_puntos!$A$2:$OJ$901,392,MATCH($B$2&amp;"|yC",Aux_puntos!$1:$1,0))="",NA(),INDEX(Aux_puntos!$A$2:$OJ$901,392,MATCH($B$2&amp;"|yC",Aux_puntos!$1:$1,0))),NA())</f>
        <v/>
      </c>
      <c r="AG396">
        <f>IFERROR(IF(INDEX(Aux_puntos!$A$2:$OJ$901,392,MATCH($B$2&amp;"|xI",Aux_puntos!$1:$1,0))="",NA(),INDEX(Aux_puntos!$A$2:$OJ$901,392,MATCH($B$2&amp;"|xI",Aux_puntos!$1:$1,0))),NA())</f>
        <v/>
      </c>
      <c r="AH396">
        <f>IFERROR(IF(INDEX(Aux_puntos!$A$2:$OJ$901,392,MATCH($B$2&amp;"|yI",Aux_puntos!$1:$1,0))="",NA(),INDEX(Aux_puntos!$A$2:$OJ$901,392,MATCH($B$2&amp;"|yI",Aux_puntos!$1:$1,0))),NA())</f>
        <v/>
      </c>
      <c r="AI396">
        <f>IFERROR(IF(INDEX(Aux_puntos!$A$2:$OJ$901,392,MATCH($B$2&amp;"|xN",Aux_puntos!$1:$1,0))="",NA(),INDEX(Aux_puntos!$A$2:$OJ$901,392,MATCH($B$2&amp;"|xN",Aux_puntos!$1:$1,0))),NA())</f>
        <v/>
      </c>
      <c r="AJ396">
        <f>IFERROR(IF(INDEX(Aux_puntos!$A$2:$OJ$901,392,MATCH($B$2&amp;"|yN",Aux_puntos!$1:$1,0))="",NA(),INDEX(Aux_puntos!$A$2:$OJ$901,392,MATCH($B$2&amp;"|yN",Aux_puntos!$1:$1,0))),NA())</f>
        <v/>
      </c>
    </row>
    <row r="397">
      <c r="AC397">
        <f>IFERROR(IF(INDEX(Aux_puntos!$A$2:$OJ$901,393,MATCH($B$2&amp;"|xK",Aux_puntos!$1:$1,0))="",NA(),INDEX(Aux_puntos!$A$2:$OJ$901,393,MATCH($B$2&amp;"|xK",Aux_puntos!$1:$1,0))),NA())</f>
        <v/>
      </c>
      <c r="AD397">
        <f>IFERROR(IF(INDEX(Aux_puntos!$A$2:$OJ$901,393,MATCH($B$2&amp;"|yK",Aux_puntos!$1:$1,0))="",NA(),INDEX(Aux_puntos!$A$2:$OJ$901,393,MATCH($B$2&amp;"|yK",Aux_puntos!$1:$1,0))),NA())</f>
        <v/>
      </c>
      <c r="AE397">
        <f>IFERROR(IF(INDEX(Aux_puntos!$A$2:$OJ$901,393,MATCH($B$2&amp;"|xC",Aux_puntos!$1:$1,0))="",NA(),INDEX(Aux_puntos!$A$2:$OJ$901,393,MATCH($B$2&amp;"|xC",Aux_puntos!$1:$1,0))),NA())</f>
        <v/>
      </c>
      <c r="AF397">
        <f>IFERROR(IF(INDEX(Aux_puntos!$A$2:$OJ$901,393,MATCH($B$2&amp;"|yC",Aux_puntos!$1:$1,0))="",NA(),INDEX(Aux_puntos!$A$2:$OJ$901,393,MATCH($B$2&amp;"|yC",Aux_puntos!$1:$1,0))),NA())</f>
        <v/>
      </c>
      <c r="AG397">
        <f>IFERROR(IF(INDEX(Aux_puntos!$A$2:$OJ$901,393,MATCH($B$2&amp;"|xI",Aux_puntos!$1:$1,0))="",NA(),INDEX(Aux_puntos!$A$2:$OJ$901,393,MATCH($B$2&amp;"|xI",Aux_puntos!$1:$1,0))),NA())</f>
        <v/>
      </c>
      <c r="AH397">
        <f>IFERROR(IF(INDEX(Aux_puntos!$A$2:$OJ$901,393,MATCH($B$2&amp;"|yI",Aux_puntos!$1:$1,0))="",NA(),INDEX(Aux_puntos!$A$2:$OJ$901,393,MATCH($B$2&amp;"|yI",Aux_puntos!$1:$1,0))),NA())</f>
        <v/>
      </c>
      <c r="AI397">
        <f>IFERROR(IF(INDEX(Aux_puntos!$A$2:$OJ$901,393,MATCH($B$2&amp;"|xN",Aux_puntos!$1:$1,0))="",NA(),INDEX(Aux_puntos!$A$2:$OJ$901,393,MATCH($B$2&amp;"|xN",Aux_puntos!$1:$1,0))),NA())</f>
        <v/>
      </c>
      <c r="AJ397">
        <f>IFERROR(IF(INDEX(Aux_puntos!$A$2:$OJ$901,393,MATCH($B$2&amp;"|yN",Aux_puntos!$1:$1,0))="",NA(),INDEX(Aux_puntos!$A$2:$OJ$901,393,MATCH($B$2&amp;"|yN",Aux_puntos!$1:$1,0))),NA())</f>
        <v/>
      </c>
    </row>
    <row r="398">
      <c r="AC398">
        <f>IFERROR(IF(INDEX(Aux_puntos!$A$2:$OJ$901,394,MATCH($B$2&amp;"|xK",Aux_puntos!$1:$1,0))="",NA(),INDEX(Aux_puntos!$A$2:$OJ$901,394,MATCH($B$2&amp;"|xK",Aux_puntos!$1:$1,0))),NA())</f>
        <v/>
      </c>
      <c r="AD398">
        <f>IFERROR(IF(INDEX(Aux_puntos!$A$2:$OJ$901,394,MATCH($B$2&amp;"|yK",Aux_puntos!$1:$1,0))="",NA(),INDEX(Aux_puntos!$A$2:$OJ$901,394,MATCH($B$2&amp;"|yK",Aux_puntos!$1:$1,0))),NA())</f>
        <v/>
      </c>
      <c r="AE398">
        <f>IFERROR(IF(INDEX(Aux_puntos!$A$2:$OJ$901,394,MATCH($B$2&amp;"|xC",Aux_puntos!$1:$1,0))="",NA(),INDEX(Aux_puntos!$A$2:$OJ$901,394,MATCH($B$2&amp;"|xC",Aux_puntos!$1:$1,0))),NA())</f>
        <v/>
      </c>
      <c r="AF398">
        <f>IFERROR(IF(INDEX(Aux_puntos!$A$2:$OJ$901,394,MATCH($B$2&amp;"|yC",Aux_puntos!$1:$1,0))="",NA(),INDEX(Aux_puntos!$A$2:$OJ$901,394,MATCH($B$2&amp;"|yC",Aux_puntos!$1:$1,0))),NA())</f>
        <v/>
      </c>
      <c r="AG398">
        <f>IFERROR(IF(INDEX(Aux_puntos!$A$2:$OJ$901,394,MATCH($B$2&amp;"|xI",Aux_puntos!$1:$1,0))="",NA(),INDEX(Aux_puntos!$A$2:$OJ$901,394,MATCH($B$2&amp;"|xI",Aux_puntos!$1:$1,0))),NA())</f>
        <v/>
      </c>
      <c r="AH398">
        <f>IFERROR(IF(INDEX(Aux_puntos!$A$2:$OJ$901,394,MATCH($B$2&amp;"|yI",Aux_puntos!$1:$1,0))="",NA(),INDEX(Aux_puntos!$A$2:$OJ$901,394,MATCH($B$2&amp;"|yI",Aux_puntos!$1:$1,0))),NA())</f>
        <v/>
      </c>
      <c r="AI398">
        <f>IFERROR(IF(INDEX(Aux_puntos!$A$2:$OJ$901,394,MATCH($B$2&amp;"|xN",Aux_puntos!$1:$1,0))="",NA(),INDEX(Aux_puntos!$A$2:$OJ$901,394,MATCH($B$2&amp;"|xN",Aux_puntos!$1:$1,0))),NA())</f>
        <v/>
      </c>
      <c r="AJ398">
        <f>IFERROR(IF(INDEX(Aux_puntos!$A$2:$OJ$901,394,MATCH($B$2&amp;"|yN",Aux_puntos!$1:$1,0))="",NA(),INDEX(Aux_puntos!$A$2:$OJ$901,394,MATCH($B$2&amp;"|yN",Aux_puntos!$1:$1,0))),NA())</f>
        <v/>
      </c>
    </row>
    <row r="399">
      <c r="AC399">
        <f>IFERROR(IF(INDEX(Aux_puntos!$A$2:$OJ$901,395,MATCH($B$2&amp;"|xK",Aux_puntos!$1:$1,0))="",NA(),INDEX(Aux_puntos!$A$2:$OJ$901,395,MATCH($B$2&amp;"|xK",Aux_puntos!$1:$1,0))),NA())</f>
        <v/>
      </c>
      <c r="AD399">
        <f>IFERROR(IF(INDEX(Aux_puntos!$A$2:$OJ$901,395,MATCH($B$2&amp;"|yK",Aux_puntos!$1:$1,0))="",NA(),INDEX(Aux_puntos!$A$2:$OJ$901,395,MATCH($B$2&amp;"|yK",Aux_puntos!$1:$1,0))),NA())</f>
        <v/>
      </c>
      <c r="AE399">
        <f>IFERROR(IF(INDEX(Aux_puntos!$A$2:$OJ$901,395,MATCH($B$2&amp;"|xC",Aux_puntos!$1:$1,0))="",NA(),INDEX(Aux_puntos!$A$2:$OJ$901,395,MATCH($B$2&amp;"|xC",Aux_puntos!$1:$1,0))),NA())</f>
        <v/>
      </c>
      <c r="AF399">
        <f>IFERROR(IF(INDEX(Aux_puntos!$A$2:$OJ$901,395,MATCH($B$2&amp;"|yC",Aux_puntos!$1:$1,0))="",NA(),INDEX(Aux_puntos!$A$2:$OJ$901,395,MATCH($B$2&amp;"|yC",Aux_puntos!$1:$1,0))),NA())</f>
        <v/>
      </c>
      <c r="AG399">
        <f>IFERROR(IF(INDEX(Aux_puntos!$A$2:$OJ$901,395,MATCH($B$2&amp;"|xI",Aux_puntos!$1:$1,0))="",NA(),INDEX(Aux_puntos!$A$2:$OJ$901,395,MATCH($B$2&amp;"|xI",Aux_puntos!$1:$1,0))),NA())</f>
        <v/>
      </c>
      <c r="AH399">
        <f>IFERROR(IF(INDEX(Aux_puntos!$A$2:$OJ$901,395,MATCH($B$2&amp;"|yI",Aux_puntos!$1:$1,0))="",NA(),INDEX(Aux_puntos!$A$2:$OJ$901,395,MATCH($B$2&amp;"|yI",Aux_puntos!$1:$1,0))),NA())</f>
        <v/>
      </c>
      <c r="AI399">
        <f>IFERROR(IF(INDEX(Aux_puntos!$A$2:$OJ$901,395,MATCH($B$2&amp;"|xN",Aux_puntos!$1:$1,0))="",NA(),INDEX(Aux_puntos!$A$2:$OJ$901,395,MATCH($B$2&amp;"|xN",Aux_puntos!$1:$1,0))),NA())</f>
        <v/>
      </c>
      <c r="AJ399">
        <f>IFERROR(IF(INDEX(Aux_puntos!$A$2:$OJ$901,395,MATCH($B$2&amp;"|yN",Aux_puntos!$1:$1,0))="",NA(),INDEX(Aux_puntos!$A$2:$OJ$901,395,MATCH($B$2&amp;"|yN",Aux_puntos!$1:$1,0))),NA())</f>
        <v/>
      </c>
    </row>
    <row r="400">
      <c r="AC400">
        <f>IFERROR(IF(INDEX(Aux_puntos!$A$2:$OJ$901,396,MATCH($B$2&amp;"|xK",Aux_puntos!$1:$1,0))="",NA(),INDEX(Aux_puntos!$A$2:$OJ$901,396,MATCH($B$2&amp;"|xK",Aux_puntos!$1:$1,0))),NA())</f>
        <v/>
      </c>
      <c r="AD400">
        <f>IFERROR(IF(INDEX(Aux_puntos!$A$2:$OJ$901,396,MATCH($B$2&amp;"|yK",Aux_puntos!$1:$1,0))="",NA(),INDEX(Aux_puntos!$A$2:$OJ$901,396,MATCH($B$2&amp;"|yK",Aux_puntos!$1:$1,0))),NA())</f>
        <v/>
      </c>
      <c r="AE400">
        <f>IFERROR(IF(INDEX(Aux_puntos!$A$2:$OJ$901,396,MATCH($B$2&amp;"|xC",Aux_puntos!$1:$1,0))="",NA(),INDEX(Aux_puntos!$A$2:$OJ$901,396,MATCH($B$2&amp;"|xC",Aux_puntos!$1:$1,0))),NA())</f>
        <v/>
      </c>
      <c r="AF400">
        <f>IFERROR(IF(INDEX(Aux_puntos!$A$2:$OJ$901,396,MATCH($B$2&amp;"|yC",Aux_puntos!$1:$1,0))="",NA(),INDEX(Aux_puntos!$A$2:$OJ$901,396,MATCH($B$2&amp;"|yC",Aux_puntos!$1:$1,0))),NA())</f>
        <v/>
      </c>
      <c r="AG400">
        <f>IFERROR(IF(INDEX(Aux_puntos!$A$2:$OJ$901,396,MATCH($B$2&amp;"|xI",Aux_puntos!$1:$1,0))="",NA(),INDEX(Aux_puntos!$A$2:$OJ$901,396,MATCH($B$2&amp;"|xI",Aux_puntos!$1:$1,0))),NA())</f>
        <v/>
      </c>
      <c r="AH400">
        <f>IFERROR(IF(INDEX(Aux_puntos!$A$2:$OJ$901,396,MATCH($B$2&amp;"|yI",Aux_puntos!$1:$1,0))="",NA(),INDEX(Aux_puntos!$A$2:$OJ$901,396,MATCH($B$2&amp;"|yI",Aux_puntos!$1:$1,0))),NA())</f>
        <v/>
      </c>
      <c r="AI400">
        <f>IFERROR(IF(INDEX(Aux_puntos!$A$2:$OJ$901,396,MATCH($B$2&amp;"|xN",Aux_puntos!$1:$1,0))="",NA(),INDEX(Aux_puntos!$A$2:$OJ$901,396,MATCH($B$2&amp;"|xN",Aux_puntos!$1:$1,0))),NA())</f>
        <v/>
      </c>
      <c r="AJ400">
        <f>IFERROR(IF(INDEX(Aux_puntos!$A$2:$OJ$901,396,MATCH($B$2&amp;"|yN",Aux_puntos!$1:$1,0))="",NA(),INDEX(Aux_puntos!$A$2:$OJ$901,396,MATCH($B$2&amp;"|yN",Aux_puntos!$1:$1,0))),NA())</f>
        <v/>
      </c>
    </row>
    <row r="401">
      <c r="AC401">
        <f>IFERROR(IF(INDEX(Aux_puntos!$A$2:$OJ$901,397,MATCH($B$2&amp;"|xK",Aux_puntos!$1:$1,0))="",NA(),INDEX(Aux_puntos!$A$2:$OJ$901,397,MATCH($B$2&amp;"|xK",Aux_puntos!$1:$1,0))),NA())</f>
        <v/>
      </c>
      <c r="AD401">
        <f>IFERROR(IF(INDEX(Aux_puntos!$A$2:$OJ$901,397,MATCH($B$2&amp;"|yK",Aux_puntos!$1:$1,0))="",NA(),INDEX(Aux_puntos!$A$2:$OJ$901,397,MATCH($B$2&amp;"|yK",Aux_puntos!$1:$1,0))),NA())</f>
        <v/>
      </c>
      <c r="AE401">
        <f>IFERROR(IF(INDEX(Aux_puntos!$A$2:$OJ$901,397,MATCH($B$2&amp;"|xC",Aux_puntos!$1:$1,0))="",NA(),INDEX(Aux_puntos!$A$2:$OJ$901,397,MATCH($B$2&amp;"|xC",Aux_puntos!$1:$1,0))),NA())</f>
        <v/>
      </c>
      <c r="AF401">
        <f>IFERROR(IF(INDEX(Aux_puntos!$A$2:$OJ$901,397,MATCH($B$2&amp;"|yC",Aux_puntos!$1:$1,0))="",NA(),INDEX(Aux_puntos!$A$2:$OJ$901,397,MATCH($B$2&amp;"|yC",Aux_puntos!$1:$1,0))),NA())</f>
        <v/>
      </c>
      <c r="AG401">
        <f>IFERROR(IF(INDEX(Aux_puntos!$A$2:$OJ$901,397,MATCH($B$2&amp;"|xI",Aux_puntos!$1:$1,0))="",NA(),INDEX(Aux_puntos!$A$2:$OJ$901,397,MATCH($B$2&amp;"|xI",Aux_puntos!$1:$1,0))),NA())</f>
        <v/>
      </c>
      <c r="AH401">
        <f>IFERROR(IF(INDEX(Aux_puntos!$A$2:$OJ$901,397,MATCH($B$2&amp;"|yI",Aux_puntos!$1:$1,0))="",NA(),INDEX(Aux_puntos!$A$2:$OJ$901,397,MATCH($B$2&amp;"|yI",Aux_puntos!$1:$1,0))),NA())</f>
        <v/>
      </c>
      <c r="AI401">
        <f>IFERROR(IF(INDEX(Aux_puntos!$A$2:$OJ$901,397,MATCH($B$2&amp;"|xN",Aux_puntos!$1:$1,0))="",NA(),INDEX(Aux_puntos!$A$2:$OJ$901,397,MATCH($B$2&amp;"|xN",Aux_puntos!$1:$1,0))),NA())</f>
        <v/>
      </c>
      <c r="AJ401">
        <f>IFERROR(IF(INDEX(Aux_puntos!$A$2:$OJ$901,397,MATCH($B$2&amp;"|yN",Aux_puntos!$1:$1,0))="",NA(),INDEX(Aux_puntos!$A$2:$OJ$901,397,MATCH($B$2&amp;"|yN",Aux_puntos!$1:$1,0))),NA())</f>
        <v/>
      </c>
    </row>
    <row r="402">
      <c r="AC402">
        <f>IFERROR(IF(INDEX(Aux_puntos!$A$2:$OJ$901,398,MATCH($B$2&amp;"|xK",Aux_puntos!$1:$1,0))="",NA(),INDEX(Aux_puntos!$A$2:$OJ$901,398,MATCH($B$2&amp;"|xK",Aux_puntos!$1:$1,0))),NA())</f>
        <v/>
      </c>
      <c r="AD402">
        <f>IFERROR(IF(INDEX(Aux_puntos!$A$2:$OJ$901,398,MATCH($B$2&amp;"|yK",Aux_puntos!$1:$1,0))="",NA(),INDEX(Aux_puntos!$A$2:$OJ$901,398,MATCH($B$2&amp;"|yK",Aux_puntos!$1:$1,0))),NA())</f>
        <v/>
      </c>
      <c r="AE402">
        <f>IFERROR(IF(INDEX(Aux_puntos!$A$2:$OJ$901,398,MATCH($B$2&amp;"|xC",Aux_puntos!$1:$1,0))="",NA(),INDEX(Aux_puntos!$A$2:$OJ$901,398,MATCH($B$2&amp;"|xC",Aux_puntos!$1:$1,0))),NA())</f>
        <v/>
      </c>
      <c r="AF402">
        <f>IFERROR(IF(INDEX(Aux_puntos!$A$2:$OJ$901,398,MATCH($B$2&amp;"|yC",Aux_puntos!$1:$1,0))="",NA(),INDEX(Aux_puntos!$A$2:$OJ$901,398,MATCH($B$2&amp;"|yC",Aux_puntos!$1:$1,0))),NA())</f>
        <v/>
      </c>
      <c r="AG402">
        <f>IFERROR(IF(INDEX(Aux_puntos!$A$2:$OJ$901,398,MATCH($B$2&amp;"|xI",Aux_puntos!$1:$1,0))="",NA(),INDEX(Aux_puntos!$A$2:$OJ$901,398,MATCH($B$2&amp;"|xI",Aux_puntos!$1:$1,0))),NA())</f>
        <v/>
      </c>
      <c r="AH402">
        <f>IFERROR(IF(INDEX(Aux_puntos!$A$2:$OJ$901,398,MATCH($B$2&amp;"|yI",Aux_puntos!$1:$1,0))="",NA(),INDEX(Aux_puntos!$A$2:$OJ$901,398,MATCH($B$2&amp;"|yI",Aux_puntos!$1:$1,0))),NA())</f>
        <v/>
      </c>
      <c r="AI402">
        <f>IFERROR(IF(INDEX(Aux_puntos!$A$2:$OJ$901,398,MATCH($B$2&amp;"|xN",Aux_puntos!$1:$1,0))="",NA(),INDEX(Aux_puntos!$A$2:$OJ$901,398,MATCH($B$2&amp;"|xN",Aux_puntos!$1:$1,0))),NA())</f>
        <v/>
      </c>
      <c r="AJ402">
        <f>IFERROR(IF(INDEX(Aux_puntos!$A$2:$OJ$901,398,MATCH($B$2&amp;"|yN",Aux_puntos!$1:$1,0))="",NA(),INDEX(Aux_puntos!$A$2:$OJ$901,398,MATCH($B$2&amp;"|yN",Aux_puntos!$1:$1,0))),NA())</f>
        <v/>
      </c>
    </row>
    <row r="403">
      <c r="AC403">
        <f>IFERROR(IF(INDEX(Aux_puntos!$A$2:$OJ$901,399,MATCH($B$2&amp;"|xK",Aux_puntos!$1:$1,0))="",NA(),INDEX(Aux_puntos!$A$2:$OJ$901,399,MATCH($B$2&amp;"|xK",Aux_puntos!$1:$1,0))),NA())</f>
        <v/>
      </c>
      <c r="AD403">
        <f>IFERROR(IF(INDEX(Aux_puntos!$A$2:$OJ$901,399,MATCH($B$2&amp;"|yK",Aux_puntos!$1:$1,0))="",NA(),INDEX(Aux_puntos!$A$2:$OJ$901,399,MATCH($B$2&amp;"|yK",Aux_puntos!$1:$1,0))),NA())</f>
        <v/>
      </c>
      <c r="AE403">
        <f>IFERROR(IF(INDEX(Aux_puntos!$A$2:$OJ$901,399,MATCH($B$2&amp;"|xC",Aux_puntos!$1:$1,0))="",NA(),INDEX(Aux_puntos!$A$2:$OJ$901,399,MATCH($B$2&amp;"|xC",Aux_puntos!$1:$1,0))),NA())</f>
        <v/>
      </c>
      <c r="AF403">
        <f>IFERROR(IF(INDEX(Aux_puntos!$A$2:$OJ$901,399,MATCH($B$2&amp;"|yC",Aux_puntos!$1:$1,0))="",NA(),INDEX(Aux_puntos!$A$2:$OJ$901,399,MATCH($B$2&amp;"|yC",Aux_puntos!$1:$1,0))),NA())</f>
        <v/>
      </c>
      <c r="AG403">
        <f>IFERROR(IF(INDEX(Aux_puntos!$A$2:$OJ$901,399,MATCH($B$2&amp;"|xI",Aux_puntos!$1:$1,0))="",NA(),INDEX(Aux_puntos!$A$2:$OJ$901,399,MATCH($B$2&amp;"|xI",Aux_puntos!$1:$1,0))),NA())</f>
        <v/>
      </c>
      <c r="AH403">
        <f>IFERROR(IF(INDEX(Aux_puntos!$A$2:$OJ$901,399,MATCH($B$2&amp;"|yI",Aux_puntos!$1:$1,0))="",NA(),INDEX(Aux_puntos!$A$2:$OJ$901,399,MATCH($B$2&amp;"|yI",Aux_puntos!$1:$1,0))),NA())</f>
        <v/>
      </c>
      <c r="AI403">
        <f>IFERROR(IF(INDEX(Aux_puntos!$A$2:$OJ$901,399,MATCH($B$2&amp;"|xN",Aux_puntos!$1:$1,0))="",NA(),INDEX(Aux_puntos!$A$2:$OJ$901,399,MATCH($B$2&amp;"|xN",Aux_puntos!$1:$1,0))),NA())</f>
        <v/>
      </c>
      <c r="AJ403">
        <f>IFERROR(IF(INDEX(Aux_puntos!$A$2:$OJ$901,399,MATCH($B$2&amp;"|yN",Aux_puntos!$1:$1,0))="",NA(),INDEX(Aux_puntos!$A$2:$OJ$901,399,MATCH($B$2&amp;"|yN",Aux_puntos!$1:$1,0))),NA())</f>
        <v/>
      </c>
    </row>
    <row r="404">
      <c r="AC404">
        <f>IFERROR(IF(INDEX(Aux_puntos!$A$2:$OJ$901,400,MATCH($B$2&amp;"|xK",Aux_puntos!$1:$1,0))="",NA(),INDEX(Aux_puntos!$A$2:$OJ$901,400,MATCH($B$2&amp;"|xK",Aux_puntos!$1:$1,0))),NA())</f>
        <v/>
      </c>
      <c r="AD404">
        <f>IFERROR(IF(INDEX(Aux_puntos!$A$2:$OJ$901,400,MATCH($B$2&amp;"|yK",Aux_puntos!$1:$1,0))="",NA(),INDEX(Aux_puntos!$A$2:$OJ$901,400,MATCH($B$2&amp;"|yK",Aux_puntos!$1:$1,0))),NA())</f>
        <v/>
      </c>
      <c r="AE404">
        <f>IFERROR(IF(INDEX(Aux_puntos!$A$2:$OJ$901,400,MATCH($B$2&amp;"|xC",Aux_puntos!$1:$1,0))="",NA(),INDEX(Aux_puntos!$A$2:$OJ$901,400,MATCH($B$2&amp;"|xC",Aux_puntos!$1:$1,0))),NA())</f>
        <v/>
      </c>
      <c r="AF404">
        <f>IFERROR(IF(INDEX(Aux_puntos!$A$2:$OJ$901,400,MATCH($B$2&amp;"|yC",Aux_puntos!$1:$1,0))="",NA(),INDEX(Aux_puntos!$A$2:$OJ$901,400,MATCH($B$2&amp;"|yC",Aux_puntos!$1:$1,0))),NA())</f>
        <v/>
      </c>
      <c r="AG404">
        <f>IFERROR(IF(INDEX(Aux_puntos!$A$2:$OJ$901,400,MATCH($B$2&amp;"|xI",Aux_puntos!$1:$1,0))="",NA(),INDEX(Aux_puntos!$A$2:$OJ$901,400,MATCH($B$2&amp;"|xI",Aux_puntos!$1:$1,0))),NA())</f>
        <v/>
      </c>
      <c r="AH404">
        <f>IFERROR(IF(INDEX(Aux_puntos!$A$2:$OJ$901,400,MATCH($B$2&amp;"|yI",Aux_puntos!$1:$1,0))="",NA(),INDEX(Aux_puntos!$A$2:$OJ$901,400,MATCH($B$2&amp;"|yI",Aux_puntos!$1:$1,0))),NA())</f>
        <v/>
      </c>
      <c r="AI404">
        <f>IFERROR(IF(INDEX(Aux_puntos!$A$2:$OJ$901,400,MATCH($B$2&amp;"|xN",Aux_puntos!$1:$1,0))="",NA(),INDEX(Aux_puntos!$A$2:$OJ$901,400,MATCH($B$2&amp;"|xN",Aux_puntos!$1:$1,0))),NA())</f>
        <v/>
      </c>
      <c r="AJ404">
        <f>IFERROR(IF(INDEX(Aux_puntos!$A$2:$OJ$901,400,MATCH($B$2&amp;"|yN",Aux_puntos!$1:$1,0))="",NA(),INDEX(Aux_puntos!$A$2:$OJ$901,400,MATCH($B$2&amp;"|yN",Aux_puntos!$1:$1,0))),NA())</f>
        <v/>
      </c>
    </row>
    <row r="405">
      <c r="AC405">
        <f>IFERROR(IF(INDEX(Aux_puntos!$A$2:$OJ$901,401,MATCH($B$2&amp;"|xK",Aux_puntos!$1:$1,0))="",NA(),INDEX(Aux_puntos!$A$2:$OJ$901,401,MATCH($B$2&amp;"|xK",Aux_puntos!$1:$1,0))),NA())</f>
        <v/>
      </c>
      <c r="AD405">
        <f>IFERROR(IF(INDEX(Aux_puntos!$A$2:$OJ$901,401,MATCH($B$2&amp;"|yK",Aux_puntos!$1:$1,0))="",NA(),INDEX(Aux_puntos!$A$2:$OJ$901,401,MATCH($B$2&amp;"|yK",Aux_puntos!$1:$1,0))),NA())</f>
        <v/>
      </c>
      <c r="AE405">
        <f>IFERROR(IF(INDEX(Aux_puntos!$A$2:$OJ$901,401,MATCH($B$2&amp;"|xC",Aux_puntos!$1:$1,0))="",NA(),INDEX(Aux_puntos!$A$2:$OJ$901,401,MATCH($B$2&amp;"|xC",Aux_puntos!$1:$1,0))),NA())</f>
        <v/>
      </c>
      <c r="AF405">
        <f>IFERROR(IF(INDEX(Aux_puntos!$A$2:$OJ$901,401,MATCH($B$2&amp;"|yC",Aux_puntos!$1:$1,0))="",NA(),INDEX(Aux_puntos!$A$2:$OJ$901,401,MATCH($B$2&amp;"|yC",Aux_puntos!$1:$1,0))),NA())</f>
        <v/>
      </c>
      <c r="AG405">
        <f>IFERROR(IF(INDEX(Aux_puntos!$A$2:$OJ$901,401,MATCH($B$2&amp;"|xI",Aux_puntos!$1:$1,0))="",NA(),INDEX(Aux_puntos!$A$2:$OJ$901,401,MATCH($B$2&amp;"|xI",Aux_puntos!$1:$1,0))),NA())</f>
        <v/>
      </c>
      <c r="AH405">
        <f>IFERROR(IF(INDEX(Aux_puntos!$A$2:$OJ$901,401,MATCH($B$2&amp;"|yI",Aux_puntos!$1:$1,0))="",NA(),INDEX(Aux_puntos!$A$2:$OJ$901,401,MATCH($B$2&amp;"|yI",Aux_puntos!$1:$1,0))),NA())</f>
        <v/>
      </c>
      <c r="AI405">
        <f>IFERROR(IF(INDEX(Aux_puntos!$A$2:$OJ$901,401,MATCH($B$2&amp;"|xN",Aux_puntos!$1:$1,0))="",NA(),INDEX(Aux_puntos!$A$2:$OJ$901,401,MATCH($B$2&amp;"|xN",Aux_puntos!$1:$1,0))),NA())</f>
        <v/>
      </c>
      <c r="AJ405">
        <f>IFERROR(IF(INDEX(Aux_puntos!$A$2:$OJ$901,401,MATCH($B$2&amp;"|yN",Aux_puntos!$1:$1,0))="",NA(),INDEX(Aux_puntos!$A$2:$OJ$901,401,MATCH($B$2&amp;"|yN",Aux_puntos!$1:$1,0))),NA())</f>
        <v/>
      </c>
    </row>
    <row r="406">
      <c r="AC406">
        <f>IFERROR(IF(INDEX(Aux_puntos!$A$2:$OJ$901,402,MATCH($B$2&amp;"|xK",Aux_puntos!$1:$1,0))="",NA(),INDEX(Aux_puntos!$A$2:$OJ$901,402,MATCH($B$2&amp;"|xK",Aux_puntos!$1:$1,0))),NA())</f>
        <v/>
      </c>
      <c r="AD406">
        <f>IFERROR(IF(INDEX(Aux_puntos!$A$2:$OJ$901,402,MATCH($B$2&amp;"|yK",Aux_puntos!$1:$1,0))="",NA(),INDEX(Aux_puntos!$A$2:$OJ$901,402,MATCH($B$2&amp;"|yK",Aux_puntos!$1:$1,0))),NA())</f>
        <v/>
      </c>
      <c r="AE406">
        <f>IFERROR(IF(INDEX(Aux_puntos!$A$2:$OJ$901,402,MATCH($B$2&amp;"|xC",Aux_puntos!$1:$1,0))="",NA(),INDEX(Aux_puntos!$A$2:$OJ$901,402,MATCH($B$2&amp;"|xC",Aux_puntos!$1:$1,0))),NA())</f>
        <v/>
      </c>
      <c r="AF406">
        <f>IFERROR(IF(INDEX(Aux_puntos!$A$2:$OJ$901,402,MATCH($B$2&amp;"|yC",Aux_puntos!$1:$1,0))="",NA(),INDEX(Aux_puntos!$A$2:$OJ$901,402,MATCH($B$2&amp;"|yC",Aux_puntos!$1:$1,0))),NA())</f>
        <v/>
      </c>
      <c r="AG406">
        <f>IFERROR(IF(INDEX(Aux_puntos!$A$2:$OJ$901,402,MATCH($B$2&amp;"|xI",Aux_puntos!$1:$1,0))="",NA(),INDEX(Aux_puntos!$A$2:$OJ$901,402,MATCH($B$2&amp;"|xI",Aux_puntos!$1:$1,0))),NA())</f>
        <v/>
      </c>
      <c r="AH406">
        <f>IFERROR(IF(INDEX(Aux_puntos!$A$2:$OJ$901,402,MATCH($B$2&amp;"|yI",Aux_puntos!$1:$1,0))="",NA(),INDEX(Aux_puntos!$A$2:$OJ$901,402,MATCH($B$2&amp;"|yI",Aux_puntos!$1:$1,0))),NA())</f>
        <v/>
      </c>
      <c r="AI406">
        <f>IFERROR(IF(INDEX(Aux_puntos!$A$2:$OJ$901,402,MATCH($B$2&amp;"|xN",Aux_puntos!$1:$1,0))="",NA(),INDEX(Aux_puntos!$A$2:$OJ$901,402,MATCH($B$2&amp;"|xN",Aux_puntos!$1:$1,0))),NA())</f>
        <v/>
      </c>
      <c r="AJ406">
        <f>IFERROR(IF(INDEX(Aux_puntos!$A$2:$OJ$901,402,MATCH($B$2&amp;"|yN",Aux_puntos!$1:$1,0))="",NA(),INDEX(Aux_puntos!$A$2:$OJ$901,402,MATCH($B$2&amp;"|yN",Aux_puntos!$1:$1,0))),NA())</f>
        <v/>
      </c>
    </row>
    <row r="407">
      <c r="AC407">
        <f>IFERROR(IF(INDEX(Aux_puntos!$A$2:$OJ$901,403,MATCH($B$2&amp;"|xK",Aux_puntos!$1:$1,0))="",NA(),INDEX(Aux_puntos!$A$2:$OJ$901,403,MATCH($B$2&amp;"|xK",Aux_puntos!$1:$1,0))),NA())</f>
        <v/>
      </c>
      <c r="AD407">
        <f>IFERROR(IF(INDEX(Aux_puntos!$A$2:$OJ$901,403,MATCH($B$2&amp;"|yK",Aux_puntos!$1:$1,0))="",NA(),INDEX(Aux_puntos!$A$2:$OJ$901,403,MATCH($B$2&amp;"|yK",Aux_puntos!$1:$1,0))),NA())</f>
        <v/>
      </c>
      <c r="AE407">
        <f>IFERROR(IF(INDEX(Aux_puntos!$A$2:$OJ$901,403,MATCH($B$2&amp;"|xC",Aux_puntos!$1:$1,0))="",NA(),INDEX(Aux_puntos!$A$2:$OJ$901,403,MATCH($B$2&amp;"|xC",Aux_puntos!$1:$1,0))),NA())</f>
        <v/>
      </c>
      <c r="AF407">
        <f>IFERROR(IF(INDEX(Aux_puntos!$A$2:$OJ$901,403,MATCH($B$2&amp;"|yC",Aux_puntos!$1:$1,0))="",NA(),INDEX(Aux_puntos!$A$2:$OJ$901,403,MATCH($B$2&amp;"|yC",Aux_puntos!$1:$1,0))),NA())</f>
        <v/>
      </c>
      <c r="AG407">
        <f>IFERROR(IF(INDEX(Aux_puntos!$A$2:$OJ$901,403,MATCH($B$2&amp;"|xI",Aux_puntos!$1:$1,0))="",NA(),INDEX(Aux_puntos!$A$2:$OJ$901,403,MATCH($B$2&amp;"|xI",Aux_puntos!$1:$1,0))),NA())</f>
        <v/>
      </c>
      <c r="AH407">
        <f>IFERROR(IF(INDEX(Aux_puntos!$A$2:$OJ$901,403,MATCH($B$2&amp;"|yI",Aux_puntos!$1:$1,0))="",NA(),INDEX(Aux_puntos!$A$2:$OJ$901,403,MATCH($B$2&amp;"|yI",Aux_puntos!$1:$1,0))),NA())</f>
        <v/>
      </c>
      <c r="AI407">
        <f>IFERROR(IF(INDEX(Aux_puntos!$A$2:$OJ$901,403,MATCH($B$2&amp;"|xN",Aux_puntos!$1:$1,0))="",NA(),INDEX(Aux_puntos!$A$2:$OJ$901,403,MATCH($B$2&amp;"|xN",Aux_puntos!$1:$1,0))),NA())</f>
        <v/>
      </c>
      <c r="AJ407">
        <f>IFERROR(IF(INDEX(Aux_puntos!$A$2:$OJ$901,403,MATCH($B$2&amp;"|yN",Aux_puntos!$1:$1,0))="",NA(),INDEX(Aux_puntos!$A$2:$OJ$901,403,MATCH($B$2&amp;"|yN",Aux_puntos!$1:$1,0))),NA())</f>
        <v/>
      </c>
    </row>
    <row r="408">
      <c r="AC408">
        <f>IFERROR(IF(INDEX(Aux_puntos!$A$2:$OJ$901,404,MATCH($B$2&amp;"|xK",Aux_puntos!$1:$1,0))="",NA(),INDEX(Aux_puntos!$A$2:$OJ$901,404,MATCH($B$2&amp;"|xK",Aux_puntos!$1:$1,0))),NA())</f>
        <v/>
      </c>
      <c r="AD408">
        <f>IFERROR(IF(INDEX(Aux_puntos!$A$2:$OJ$901,404,MATCH($B$2&amp;"|yK",Aux_puntos!$1:$1,0))="",NA(),INDEX(Aux_puntos!$A$2:$OJ$901,404,MATCH($B$2&amp;"|yK",Aux_puntos!$1:$1,0))),NA())</f>
        <v/>
      </c>
      <c r="AE408">
        <f>IFERROR(IF(INDEX(Aux_puntos!$A$2:$OJ$901,404,MATCH($B$2&amp;"|xC",Aux_puntos!$1:$1,0))="",NA(),INDEX(Aux_puntos!$A$2:$OJ$901,404,MATCH($B$2&amp;"|xC",Aux_puntos!$1:$1,0))),NA())</f>
        <v/>
      </c>
      <c r="AF408">
        <f>IFERROR(IF(INDEX(Aux_puntos!$A$2:$OJ$901,404,MATCH($B$2&amp;"|yC",Aux_puntos!$1:$1,0))="",NA(),INDEX(Aux_puntos!$A$2:$OJ$901,404,MATCH($B$2&amp;"|yC",Aux_puntos!$1:$1,0))),NA())</f>
        <v/>
      </c>
      <c r="AG408">
        <f>IFERROR(IF(INDEX(Aux_puntos!$A$2:$OJ$901,404,MATCH($B$2&amp;"|xI",Aux_puntos!$1:$1,0))="",NA(),INDEX(Aux_puntos!$A$2:$OJ$901,404,MATCH($B$2&amp;"|xI",Aux_puntos!$1:$1,0))),NA())</f>
        <v/>
      </c>
      <c r="AH408">
        <f>IFERROR(IF(INDEX(Aux_puntos!$A$2:$OJ$901,404,MATCH($B$2&amp;"|yI",Aux_puntos!$1:$1,0))="",NA(),INDEX(Aux_puntos!$A$2:$OJ$901,404,MATCH($B$2&amp;"|yI",Aux_puntos!$1:$1,0))),NA())</f>
        <v/>
      </c>
      <c r="AI408">
        <f>IFERROR(IF(INDEX(Aux_puntos!$A$2:$OJ$901,404,MATCH($B$2&amp;"|xN",Aux_puntos!$1:$1,0))="",NA(),INDEX(Aux_puntos!$A$2:$OJ$901,404,MATCH($B$2&amp;"|xN",Aux_puntos!$1:$1,0))),NA())</f>
        <v/>
      </c>
      <c r="AJ408">
        <f>IFERROR(IF(INDEX(Aux_puntos!$A$2:$OJ$901,404,MATCH($B$2&amp;"|yN",Aux_puntos!$1:$1,0))="",NA(),INDEX(Aux_puntos!$A$2:$OJ$901,404,MATCH($B$2&amp;"|yN",Aux_puntos!$1:$1,0))),NA())</f>
        <v/>
      </c>
    </row>
    <row r="409">
      <c r="AC409">
        <f>IFERROR(IF(INDEX(Aux_puntos!$A$2:$OJ$901,405,MATCH($B$2&amp;"|xK",Aux_puntos!$1:$1,0))="",NA(),INDEX(Aux_puntos!$A$2:$OJ$901,405,MATCH($B$2&amp;"|xK",Aux_puntos!$1:$1,0))),NA())</f>
        <v/>
      </c>
      <c r="AD409">
        <f>IFERROR(IF(INDEX(Aux_puntos!$A$2:$OJ$901,405,MATCH($B$2&amp;"|yK",Aux_puntos!$1:$1,0))="",NA(),INDEX(Aux_puntos!$A$2:$OJ$901,405,MATCH($B$2&amp;"|yK",Aux_puntos!$1:$1,0))),NA())</f>
        <v/>
      </c>
      <c r="AE409">
        <f>IFERROR(IF(INDEX(Aux_puntos!$A$2:$OJ$901,405,MATCH($B$2&amp;"|xC",Aux_puntos!$1:$1,0))="",NA(),INDEX(Aux_puntos!$A$2:$OJ$901,405,MATCH($B$2&amp;"|xC",Aux_puntos!$1:$1,0))),NA())</f>
        <v/>
      </c>
      <c r="AF409">
        <f>IFERROR(IF(INDEX(Aux_puntos!$A$2:$OJ$901,405,MATCH($B$2&amp;"|yC",Aux_puntos!$1:$1,0))="",NA(),INDEX(Aux_puntos!$A$2:$OJ$901,405,MATCH($B$2&amp;"|yC",Aux_puntos!$1:$1,0))),NA())</f>
        <v/>
      </c>
      <c r="AG409">
        <f>IFERROR(IF(INDEX(Aux_puntos!$A$2:$OJ$901,405,MATCH($B$2&amp;"|xI",Aux_puntos!$1:$1,0))="",NA(),INDEX(Aux_puntos!$A$2:$OJ$901,405,MATCH($B$2&amp;"|xI",Aux_puntos!$1:$1,0))),NA())</f>
        <v/>
      </c>
      <c r="AH409">
        <f>IFERROR(IF(INDEX(Aux_puntos!$A$2:$OJ$901,405,MATCH($B$2&amp;"|yI",Aux_puntos!$1:$1,0))="",NA(),INDEX(Aux_puntos!$A$2:$OJ$901,405,MATCH($B$2&amp;"|yI",Aux_puntos!$1:$1,0))),NA())</f>
        <v/>
      </c>
      <c r="AI409">
        <f>IFERROR(IF(INDEX(Aux_puntos!$A$2:$OJ$901,405,MATCH($B$2&amp;"|xN",Aux_puntos!$1:$1,0))="",NA(),INDEX(Aux_puntos!$A$2:$OJ$901,405,MATCH($B$2&amp;"|xN",Aux_puntos!$1:$1,0))),NA())</f>
        <v/>
      </c>
      <c r="AJ409">
        <f>IFERROR(IF(INDEX(Aux_puntos!$A$2:$OJ$901,405,MATCH($B$2&amp;"|yN",Aux_puntos!$1:$1,0))="",NA(),INDEX(Aux_puntos!$A$2:$OJ$901,405,MATCH($B$2&amp;"|yN",Aux_puntos!$1:$1,0))),NA())</f>
        <v/>
      </c>
    </row>
    <row r="410">
      <c r="AC410">
        <f>IFERROR(IF(INDEX(Aux_puntos!$A$2:$OJ$901,406,MATCH($B$2&amp;"|xK",Aux_puntos!$1:$1,0))="",NA(),INDEX(Aux_puntos!$A$2:$OJ$901,406,MATCH($B$2&amp;"|xK",Aux_puntos!$1:$1,0))),NA())</f>
        <v/>
      </c>
      <c r="AD410">
        <f>IFERROR(IF(INDEX(Aux_puntos!$A$2:$OJ$901,406,MATCH($B$2&amp;"|yK",Aux_puntos!$1:$1,0))="",NA(),INDEX(Aux_puntos!$A$2:$OJ$901,406,MATCH($B$2&amp;"|yK",Aux_puntos!$1:$1,0))),NA())</f>
        <v/>
      </c>
      <c r="AE410">
        <f>IFERROR(IF(INDEX(Aux_puntos!$A$2:$OJ$901,406,MATCH($B$2&amp;"|xC",Aux_puntos!$1:$1,0))="",NA(),INDEX(Aux_puntos!$A$2:$OJ$901,406,MATCH($B$2&amp;"|xC",Aux_puntos!$1:$1,0))),NA())</f>
        <v/>
      </c>
      <c r="AF410">
        <f>IFERROR(IF(INDEX(Aux_puntos!$A$2:$OJ$901,406,MATCH($B$2&amp;"|yC",Aux_puntos!$1:$1,0))="",NA(),INDEX(Aux_puntos!$A$2:$OJ$901,406,MATCH($B$2&amp;"|yC",Aux_puntos!$1:$1,0))),NA())</f>
        <v/>
      </c>
      <c r="AG410">
        <f>IFERROR(IF(INDEX(Aux_puntos!$A$2:$OJ$901,406,MATCH($B$2&amp;"|xI",Aux_puntos!$1:$1,0))="",NA(),INDEX(Aux_puntos!$A$2:$OJ$901,406,MATCH($B$2&amp;"|xI",Aux_puntos!$1:$1,0))),NA())</f>
        <v/>
      </c>
      <c r="AH410">
        <f>IFERROR(IF(INDEX(Aux_puntos!$A$2:$OJ$901,406,MATCH($B$2&amp;"|yI",Aux_puntos!$1:$1,0))="",NA(),INDEX(Aux_puntos!$A$2:$OJ$901,406,MATCH($B$2&amp;"|yI",Aux_puntos!$1:$1,0))),NA())</f>
        <v/>
      </c>
      <c r="AI410">
        <f>IFERROR(IF(INDEX(Aux_puntos!$A$2:$OJ$901,406,MATCH($B$2&amp;"|xN",Aux_puntos!$1:$1,0))="",NA(),INDEX(Aux_puntos!$A$2:$OJ$901,406,MATCH($B$2&amp;"|xN",Aux_puntos!$1:$1,0))),NA())</f>
        <v/>
      </c>
      <c r="AJ410">
        <f>IFERROR(IF(INDEX(Aux_puntos!$A$2:$OJ$901,406,MATCH($B$2&amp;"|yN",Aux_puntos!$1:$1,0))="",NA(),INDEX(Aux_puntos!$A$2:$OJ$901,406,MATCH($B$2&amp;"|yN",Aux_puntos!$1:$1,0))),NA())</f>
        <v/>
      </c>
    </row>
    <row r="411">
      <c r="AC411">
        <f>IFERROR(IF(INDEX(Aux_puntos!$A$2:$OJ$901,407,MATCH($B$2&amp;"|xK",Aux_puntos!$1:$1,0))="",NA(),INDEX(Aux_puntos!$A$2:$OJ$901,407,MATCH($B$2&amp;"|xK",Aux_puntos!$1:$1,0))),NA())</f>
        <v/>
      </c>
      <c r="AD411">
        <f>IFERROR(IF(INDEX(Aux_puntos!$A$2:$OJ$901,407,MATCH($B$2&amp;"|yK",Aux_puntos!$1:$1,0))="",NA(),INDEX(Aux_puntos!$A$2:$OJ$901,407,MATCH($B$2&amp;"|yK",Aux_puntos!$1:$1,0))),NA())</f>
        <v/>
      </c>
      <c r="AE411">
        <f>IFERROR(IF(INDEX(Aux_puntos!$A$2:$OJ$901,407,MATCH($B$2&amp;"|xC",Aux_puntos!$1:$1,0))="",NA(),INDEX(Aux_puntos!$A$2:$OJ$901,407,MATCH($B$2&amp;"|xC",Aux_puntos!$1:$1,0))),NA())</f>
        <v/>
      </c>
      <c r="AF411">
        <f>IFERROR(IF(INDEX(Aux_puntos!$A$2:$OJ$901,407,MATCH($B$2&amp;"|yC",Aux_puntos!$1:$1,0))="",NA(),INDEX(Aux_puntos!$A$2:$OJ$901,407,MATCH($B$2&amp;"|yC",Aux_puntos!$1:$1,0))),NA())</f>
        <v/>
      </c>
      <c r="AG411">
        <f>IFERROR(IF(INDEX(Aux_puntos!$A$2:$OJ$901,407,MATCH($B$2&amp;"|xI",Aux_puntos!$1:$1,0))="",NA(),INDEX(Aux_puntos!$A$2:$OJ$901,407,MATCH($B$2&amp;"|xI",Aux_puntos!$1:$1,0))),NA())</f>
        <v/>
      </c>
      <c r="AH411">
        <f>IFERROR(IF(INDEX(Aux_puntos!$A$2:$OJ$901,407,MATCH($B$2&amp;"|yI",Aux_puntos!$1:$1,0))="",NA(),INDEX(Aux_puntos!$A$2:$OJ$901,407,MATCH($B$2&amp;"|yI",Aux_puntos!$1:$1,0))),NA())</f>
        <v/>
      </c>
      <c r="AI411">
        <f>IFERROR(IF(INDEX(Aux_puntos!$A$2:$OJ$901,407,MATCH($B$2&amp;"|xN",Aux_puntos!$1:$1,0))="",NA(),INDEX(Aux_puntos!$A$2:$OJ$901,407,MATCH($B$2&amp;"|xN",Aux_puntos!$1:$1,0))),NA())</f>
        <v/>
      </c>
      <c r="AJ411">
        <f>IFERROR(IF(INDEX(Aux_puntos!$A$2:$OJ$901,407,MATCH($B$2&amp;"|yN",Aux_puntos!$1:$1,0))="",NA(),INDEX(Aux_puntos!$A$2:$OJ$901,407,MATCH($B$2&amp;"|yN",Aux_puntos!$1:$1,0))),NA())</f>
        <v/>
      </c>
    </row>
    <row r="412">
      <c r="AC412">
        <f>IFERROR(IF(INDEX(Aux_puntos!$A$2:$OJ$901,408,MATCH($B$2&amp;"|xK",Aux_puntos!$1:$1,0))="",NA(),INDEX(Aux_puntos!$A$2:$OJ$901,408,MATCH($B$2&amp;"|xK",Aux_puntos!$1:$1,0))),NA())</f>
        <v/>
      </c>
      <c r="AD412">
        <f>IFERROR(IF(INDEX(Aux_puntos!$A$2:$OJ$901,408,MATCH($B$2&amp;"|yK",Aux_puntos!$1:$1,0))="",NA(),INDEX(Aux_puntos!$A$2:$OJ$901,408,MATCH($B$2&amp;"|yK",Aux_puntos!$1:$1,0))),NA())</f>
        <v/>
      </c>
      <c r="AE412">
        <f>IFERROR(IF(INDEX(Aux_puntos!$A$2:$OJ$901,408,MATCH($B$2&amp;"|xC",Aux_puntos!$1:$1,0))="",NA(),INDEX(Aux_puntos!$A$2:$OJ$901,408,MATCH($B$2&amp;"|xC",Aux_puntos!$1:$1,0))),NA())</f>
        <v/>
      </c>
      <c r="AF412">
        <f>IFERROR(IF(INDEX(Aux_puntos!$A$2:$OJ$901,408,MATCH($B$2&amp;"|yC",Aux_puntos!$1:$1,0))="",NA(),INDEX(Aux_puntos!$A$2:$OJ$901,408,MATCH($B$2&amp;"|yC",Aux_puntos!$1:$1,0))),NA())</f>
        <v/>
      </c>
      <c r="AG412">
        <f>IFERROR(IF(INDEX(Aux_puntos!$A$2:$OJ$901,408,MATCH($B$2&amp;"|xI",Aux_puntos!$1:$1,0))="",NA(),INDEX(Aux_puntos!$A$2:$OJ$901,408,MATCH($B$2&amp;"|xI",Aux_puntos!$1:$1,0))),NA())</f>
        <v/>
      </c>
      <c r="AH412">
        <f>IFERROR(IF(INDEX(Aux_puntos!$A$2:$OJ$901,408,MATCH($B$2&amp;"|yI",Aux_puntos!$1:$1,0))="",NA(),INDEX(Aux_puntos!$A$2:$OJ$901,408,MATCH($B$2&amp;"|yI",Aux_puntos!$1:$1,0))),NA())</f>
        <v/>
      </c>
      <c r="AI412">
        <f>IFERROR(IF(INDEX(Aux_puntos!$A$2:$OJ$901,408,MATCH($B$2&amp;"|xN",Aux_puntos!$1:$1,0))="",NA(),INDEX(Aux_puntos!$A$2:$OJ$901,408,MATCH($B$2&amp;"|xN",Aux_puntos!$1:$1,0))),NA())</f>
        <v/>
      </c>
      <c r="AJ412">
        <f>IFERROR(IF(INDEX(Aux_puntos!$A$2:$OJ$901,408,MATCH($B$2&amp;"|yN",Aux_puntos!$1:$1,0))="",NA(),INDEX(Aux_puntos!$A$2:$OJ$901,408,MATCH($B$2&amp;"|yN",Aux_puntos!$1:$1,0))),NA())</f>
        <v/>
      </c>
    </row>
    <row r="413">
      <c r="AC413">
        <f>IFERROR(IF(INDEX(Aux_puntos!$A$2:$OJ$901,409,MATCH($B$2&amp;"|xK",Aux_puntos!$1:$1,0))="",NA(),INDEX(Aux_puntos!$A$2:$OJ$901,409,MATCH($B$2&amp;"|xK",Aux_puntos!$1:$1,0))),NA())</f>
        <v/>
      </c>
      <c r="AD413">
        <f>IFERROR(IF(INDEX(Aux_puntos!$A$2:$OJ$901,409,MATCH($B$2&amp;"|yK",Aux_puntos!$1:$1,0))="",NA(),INDEX(Aux_puntos!$A$2:$OJ$901,409,MATCH($B$2&amp;"|yK",Aux_puntos!$1:$1,0))),NA())</f>
        <v/>
      </c>
      <c r="AE413">
        <f>IFERROR(IF(INDEX(Aux_puntos!$A$2:$OJ$901,409,MATCH($B$2&amp;"|xC",Aux_puntos!$1:$1,0))="",NA(),INDEX(Aux_puntos!$A$2:$OJ$901,409,MATCH($B$2&amp;"|xC",Aux_puntos!$1:$1,0))),NA())</f>
        <v/>
      </c>
      <c r="AF413">
        <f>IFERROR(IF(INDEX(Aux_puntos!$A$2:$OJ$901,409,MATCH($B$2&amp;"|yC",Aux_puntos!$1:$1,0))="",NA(),INDEX(Aux_puntos!$A$2:$OJ$901,409,MATCH($B$2&amp;"|yC",Aux_puntos!$1:$1,0))),NA())</f>
        <v/>
      </c>
      <c r="AG413">
        <f>IFERROR(IF(INDEX(Aux_puntos!$A$2:$OJ$901,409,MATCH($B$2&amp;"|xI",Aux_puntos!$1:$1,0))="",NA(),INDEX(Aux_puntos!$A$2:$OJ$901,409,MATCH($B$2&amp;"|xI",Aux_puntos!$1:$1,0))),NA())</f>
        <v/>
      </c>
      <c r="AH413">
        <f>IFERROR(IF(INDEX(Aux_puntos!$A$2:$OJ$901,409,MATCH($B$2&amp;"|yI",Aux_puntos!$1:$1,0))="",NA(),INDEX(Aux_puntos!$A$2:$OJ$901,409,MATCH($B$2&amp;"|yI",Aux_puntos!$1:$1,0))),NA())</f>
        <v/>
      </c>
      <c r="AI413">
        <f>IFERROR(IF(INDEX(Aux_puntos!$A$2:$OJ$901,409,MATCH($B$2&amp;"|xN",Aux_puntos!$1:$1,0))="",NA(),INDEX(Aux_puntos!$A$2:$OJ$901,409,MATCH($B$2&amp;"|xN",Aux_puntos!$1:$1,0))),NA())</f>
        <v/>
      </c>
      <c r="AJ413">
        <f>IFERROR(IF(INDEX(Aux_puntos!$A$2:$OJ$901,409,MATCH($B$2&amp;"|yN",Aux_puntos!$1:$1,0))="",NA(),INDEX(Aux_puntos!$A$2:$OJ$901,409,MATCH($B$2&amp;"|yN",Aux_puntos!$1:$1,0))),NA())</f>
        <v/>
      </c>
    </row>
    <row r="414">
      <c r="AC414">
        <f>IFERROR(IF(INDEX(Aux_puntos!$A$2:$OJ$901,410,MATCH($B$2&amp;"|xK",Aux_puntos!$1:$1,0))="",NA(),INDEX(Aux_puntos!$A$2:$OJ$901,410,MATCH($B$2&amp;"|xK",Aux_puntos!$1:$1,0))),NA())</f>
        <v/>
      </c>
      <c r="AD414">
        <f>IFERROR(IF(INDEX(Aux_puntos!$A$2:$OJ$901,410,MATCH($B$2&amp;"|yK",Aux_puntos!$1:$1,0))="",NA(),INDEX(Aux_puntos!$A$2:$OJ$901,410,MATCH($B$2&amp;"|yK",Aux_puntos!$1:$1,0))),NA())</f>
        <v/>
      </c>
      <c r="AE414">
        <f>IFERROR(IF(INDEX(Aux_puntos!$A$2:$OJ$901,410,MATCH($B$2&amp;"|xC",Aux_puntos!$1:$1,0))="",NA(),INDEX(Aux_puntos!$A$2:$OJ$901,410,MATCH($B$2&amp;"|xC",Aux_puntos!$1:$1,0))),NA())</f>
        <v/>
      </c>
      <c r="AF414">
        <f>IFERROR(IF(INDEX(Aux_puntos!$A$2:$OJ$901,410,MATCH($B$2&amp;"|yC",Aux_puntos!$1:$1,0))="",NA(),INDEX(Aux_puntos!$A$2:$OJ$901,410,MATCH($B$2&amp;"|yC",Aux_puntos!$1:$1,0))),NA())</f>
        <v/>
      </c>
      <c r="AG414">
        <f>IFERROR(IF(INDEX(Aux_puntos!$A$2:$OJ$901,410,MATCH($B$2&amp;"|xI",Aux_puntos!$1:$1,0))="",NA(),INDEX(Aux_puntos!$A$2:$OJ$901,410,MATCH($B$2&amp;"|xI",Aux_puntos!$1:$1,0))),NA())</f>
        <v/>
      </c>
      <c r="AH414">
        <f>IFERROR(IF(INDEX(Aux_puntos!$A$2:$OJ$901,410,MATCH($B$2&amp;"|yI",Aux_puntos!$1:$1,0))="",NA(),INDEX(Aux_puntos!$A$2:$OJ$901,410,MATCH($B$2&amp;"|yI",Aux_puntos!$1:$1,0))),NA())</f>
        <v/>
      </c>
      <c r="AI414">
        <f>IFERROR(IF(INDEX(Aux_puntos!$A$2:$OJ$901,410,MATCH($B$2&amp;"|xN",Aux_puntos!$1:$1,0))="",NA(),INDEX(Aux_puntos!$A$2:$OJ$901,410,MATCH($B$2&amp;"|xN",Aux_puntos!$1:$1,0))),NA())</f>
        <v/>
      </c>
      <c r="AJ414">
        <f>IFERROR(IF(INDEX(Aux_puntos!$A$2:$OJ$901,410,MATCH($B$2&amp;"|yN",Aux_puntos!$1:$1,0))="",NA(),INDEX(Aux_puntos!$A$2:$OJ$901,410,MATCH($B$2&amp;"|yN",Aux_puntos!$1:$1,0))),NA())</f>
        <v/>
      </c>
    </row>
    <row r="415">
      <c r="AC415">
        <f>IFERROR(IF(INDEX(Aux_puntos!$A$2:$OJ$901,411,MATCH($B$2&amp;"|xK",Aux_puntos!$1:$1,0))="",NA(),INDEX(Aux_puntos!$A$2:$OJ$901,411,MATCH($B$2&amp;"|xK",Aux_puntos!$1:$1,0))),NA())</f>
        <v/>
      </c>
      <c r="AD415">
        <f>IFERROR(IF(INDEX(Aux_puntos!$A$2:$OJ$901,411,MATCH($B$2&amp;"|yK",Aux_puntos!$1:$1,0))="",NA(),INDEX(Aux_puntos!$A$2:$OJ$901,411,MATCH($B$2&amp;"|yK",Aux_puntos!$1:$1,0))),NA())</f>
        <v/>
      </c>
      <c r="AE415">
        <f>IFERROR(IF(INDEX(Aux_puntos!$A$2:$OJ$901,411,MATCH($B$2&amp;"|xC",Aux_puntos!$1:$1,0))="",NA(),INDEX(Aux_puntos!$A$2:$OJ$901,411,MATCH($B$2&amp;"|xC",Aux_puntos!$1:$1,0))),NA())</f>
        <v/>
      </c>
      <c r="AF415">
        <f>IFERROR(IF(INDEX(Aux_puntos!$A$2:$OJ$901,411,MATCH($B$2&amp;"|yC",Aux_puntos!$1:$1,0))="",NA(),INDEX(Aux_puntos!$A$2:$OJ$901,411,MATCH($B$2&amp;"|yC",Aux_puntos!$1:$1,0))),NA())</f>
        <v/>
      </c>
      <c r="AG415">
        <f>IFERROR(IF(INDEX(Aux_puntos!$A$2:$OJ$901,411,MATCH($B$2&amp;"|xI",Aux_puntos!$1:$1,0))="",NA(),INDEX(Aux_puntos!$A$2:$OJ$901,411,MATCH($B$2&amp;"|xI",Aux_puntos!$1:$1,0))),NA())</f>
        <v/>
      </c>
      <c r="AH415">
        <f>IFERROR(IF(INDEX(Aux_puntos!$A$2:$OJ$901,411,MATCH($B$2&amp;"|yI",Aux_puntos!$1:$1,0))="",NA(),INDEX(Aux_puntos!$A$2:$OJ$901,411,MATCH($B$2&amp;"|yI",Aux_puntos!$1:$1,0))),NA())</f>
        <v/>
      </c>
      <c r="AI415">
        <f>IFERROR(IF(INDEX(Aux_puntos!$A$2:$OJ$901,411,MATCH($B$2&amp;"|xN",Aux_puntos!$1:$1,0))="",NA(),INDEX(Aux_puntos!$A$2:$OJ$901,411,MATCH($B$2&amp;"|xN",Aux_puntos!$1:$1,0))),NA())</f>
        <v/>
      </c>
      <c r="AJ415">
        <f>IFERROR(IF(INDEX(Aux_puntos!$A$2:$OJ$901,411,MATCH($B$2&amp;"|yN",Aux_puntos!$1:$1,0))="",NA(),INDEX(Aux_puntos!$A$2:$OJ$901,411,MATCH($B$2&amp;"|yN",Aux_puntos!$1:$1,0))),NA())</f>
        <v/>
      </c>
    </row>
    <row r="416">
      <c r="AC416">
        <f>IFERROR(IF(INDEX(Aux_puntos!$A$2:$OJ$901,412,MATCH($B$2&amp;"|xK",Aux_puntos!$1:$1,0))="",NA(),INDEX(Aux_puntos!$A$2:$OJ$901,412,MATCH($B$2&amp;"|xK",Aux_puntos!$1:$1,0))),NA())</f>
        <v/>
      </c>
      <c r="AD416">
        <f>IFERROR(IF(INDEX(Aux_puntos!$A$2:$OJ$901,412,MATCH($B$2&amp;"|yK",Aux_puntos!$1:$1,0))="",NA(),INDEX(Aux_puntos!$A$2:$OJ$901,412,MATCH($B$2&amp;"|yK",Aux_puntos!$1:$1,0))),NA())</f>
        <v/>
      </c>
      <c r="AE416">
        <f>IFERROR(IF(INDEX(Aux_puntos!$A$2:$OJ$901,412,MATCH($B$2&amp;"|xC",Aux_puntos!$1:$1,0))="",NA(),INDEX(Aux_puntos!$A$2:$OJ$901,412,MATCH($B$2&amp;"|xC",Aux_puntos!$1:$1,0))),NA())</f>
        <v/>
      </c>
      <c r="AF416">
        <f>IFERROR(IF(INDEX(Aux_puntos!$A$2:$OJ$901,412,MATCH($B$2&amp;"|yC",Aux_puntos!$1:$1,0))="",NA(),INDEX(Aux_puntos!$A$2:$OJ$901,412,MATCH($B$2&amp;"|yC",Aux_puntos!$1:$1,0))),NA())</f>
        <v/>
      </c>
      <c r="AG416">
        <f>IFERROR(IF(INDEX(Aux_puntos!$A$2:$OJ$901,412,MATCH($B$2&amp;"|xI",Aux_puntos!$1:$1,0))="",NA(),INDEX(Aux_puntos!$A$2:$OJ$901,412,MATCH($B$2&amp;"|xI",Aux_puntos!$1:$1,0))),NA())</f>
        <v/>
      </c>
      <c r="AH416">
        <f>IFERROR(IF(INDEX(Aux_puntos!$A$2:$OJ$901,412,MATCH($B$2&amp;"|yI",Aux_puntos!$1:$1,0))="",NA(),INDEX(Aux_puntos!$A$2:$OJ$901,412,MATCH($B$2&amp;"|yI",Aux_puntos!$1:$1,0))),NA())</f>
        <v/>
      </c>
      <c r="AI416">
        <f>IFERROR(IF(INDEX(Aux_puntos!$A$2:$OJ$901,412,MATCH($B$2&amp;"|xN",Aux_puntos!$1:$1,0))="",NA(),INDEX(Aux_puntos!$A$2:$OJ$901,412,MATCH($B$2&amp;"|xN",Aux_puntos!$1:$1,0))),NA())</f>
        <v/>
      </c>
      <c r="AJ416">
        <f>IFERROR(IF(INDEX(Aux_puntos!$A$2:$OJ$901,412,MATCH($B$2&amp;"|yN",Aux_puntos!$1:$1,0))="",NA(),INDEX(Aux_puntos!$A$2:$OJ$901,412,MATCH($B$2&amp;"|yN",Aux_puntos!$1:$1,0))),NA())</f>
        <v/>
      </c>
    </row>
    <row r="417">
      <c r="AC417">
        <f>IFERROR(IF(INDEX(Aux_puntos!$A$2:$OJ$901,413,MATCH($B$2&amp;"|xK",Aux_puntos!$1:$1,0))="",NA(),INDEX(Aux_puntos!$A$2:$OJ$901,413,MATCH($B$2&amp;"|xK",Aux_puntos!$1:$1,0))),NA())</f>
        <v/>
      </c>
      <c r="AD417">
        <f>IFERROR(IF(INDEX(Aux_puntos!$A$2:$OJ$901,413,MATCH($B$2&amp;"|yK",Aux_puntos!$1:$1,0))="",NA(),INDEX(Aux_puntos!$A$2:$OJ$901,413,MATCH($B$2&amp;"|yK",Aux_puntos!$1:$1,0))),NA())</f>
        <v/>
      </c>
      <c r="AE417">
        <f>IFERROR(IF(INDEX(Aux_puntos!$A$2:$OJ$901,413,MATCH($B$2&amp;"|xC",Aux_puntos!$1:$1,0))="",NA(),INDEX(Aux_puntos!$A$2:$OJ$901,413,MATCH($B$2&amp;"|xC",Aux_puntos!$1:$1,0))),NA())</f>
        <v/>
      </c>
      <c r="AF417">
        <f>IFERROR(IF(INDEX(Aux_puntos!$A$2:$OJ$901,413,MATCH($B$2&amp;"|yC",Aux_puntos!$1:$1,0))="",NA(),INDEX(Aux_puntos!$A$2:$OJ$901,413,MATCH($B$2&amp;"|yC",Aux_puntos!$1:$1,0))),NA())</f>
        <v/>
      </c>
      <c r="AG417">
        <f>IFERROR(IF(INDEX(Aux_puntos!$A$2:$OJ$901,413,MATCH($B$2&amp;"|xI",Aux_puntos!$1:$1,0))="",NA(),INDEX(Aux_puntos!$A$2:$OJ$901,413,MATCH($B$2&amp;"|xI",Aux_puntos!$1:$1,0))),NA())</f>
        <v/>
      </c>
      <c r="AH417">
        <f>IFERROR(IF(INDEX(Aux_puntos!$A$2:$OJ$901,413,MATCH($B$2&amp;"|yI",Aux_puntos!$1:$1,0))="",NA(),INDEX(Aux_puntos!$A$2:$OJ$901,413,MATCH($B$2&amp;"|yI",Aux_puntos!$1:$1,0))),NA())</f>
        <v/>
      </c>
      <c r="AI417">
        <f>IFERROR(IF(INDEX(Aux_puntos!$A$2:$OJ$901,413,MATCH($B$2&amp;"|xN",Aux_puntos!$1:$1,0))="",NA(),INDEX(Aux_puntos!$A$2:$OJ$901,413,MATCH($B$2&amp;"|xN",Aux_puntos!$1:$1,0))),NA())</f>
        <v/>
      </c>
      <c r="AJ417">
        <f>IFERROR(IF(INDEX(Aux_puntos!$A$2:$OJ$901,413,MATCH($B$2&amp;"|yN",Aux_puntos!$1:$1,0))="",NA(),INDEX(Aux_puntos!$A$2:$OJ$901,413,MATCH($B$2&amp;"|yN",Aux_puntos!$1:$1,0))),NA())</f>
        <v/>
      </c>
    </row>
    <row r="418">
      <c r="AC418">
        <f>IFERROR(IF(INDEX(Aux_puntos!$A$2:$OJ$901,414,MATCH($B$2&amp;"|xK",Aux_puntos!$1:$1,0))="",NA(),INDEX(Aux_puntos!$A$2:$OJ$901,414,MATCH($B$2&amp;"|xK",Aux_puntos!$1:$1,0))),NA())</f>
        <v/>
      </c>
      <c r="AD418">
        <f>IFERROR(IF(INDEX(Aux_puntos!$A$2:$OJ$901,414,MATCH($B$2&amp;"|yK",Aux_puntos!$1:$1,0))="",NA(),INDEX(Aux_puntos!$A$2:$OJ$901,414,MATCH($B$2&amp;"|yK",Aux_puntos!$1:$1,0))),NA())</f>
        <v/>
      </c>
      <c r="AE418">
        <f>IFERROR(IF(INDEX(Aux_puntos!$A$2:$OJ$901,414,MATCH($B$2&amp;"|xC",Aux_puntos!$1:$1,0))="",NA(),INDEX(Aux_puntos!$A$2:$OJ$901,414,MATCH($B$2&amp;"|xC",Aux_puntos!$1:$1,0))),NA())</f>
        <v/>
      </c>
      <c r="AF418">
        <f>IFERROR(IF(INDEX(Aux_puntos!$A$2:$OJ$901,414,MATCH($B$2&amp;"|yC",Aux_puntos!$1:$1,0))="",NA(),INDEX(Aux_puntos!$A$2:$OJ$901,414,MATCH($B$2&amp;"|yC",Aux_puntos!$1:$1,0))),NA())</f>
        <v/>
      </c>
      <c r="AG418">
        <f>IFERROR(IF(INDEX(Aux_puntos!$A$2:$OJ$901,414,MATCH($B$2&amp;"|xI",Aux_puntos!$1:$1,0))="",NA(),INDEX(Aux_puntos!$A$2:$OJ$901,414,MATCH($B$2&amp;"|xI",Aux_puntos!$1:$1,0))),NA())</f>
        <v/>
      </c>
      <c r="AH418">
        <f>IFERROR(IF(INDEX(Aux_puntos!$A$2:$OJ$901,414,MATCH($B$2&amp;"|yI",Aux_puntos!$1:$1,0))="",NA(),INDEX(Aux_puntos!$A$2:$OJ$901,414,MATCH($B$2&amp;"|yI",Aux_puntos!$1:$1,0))),NA())</f>
        <v/>
      </c>
      <c r="AI418">
        <f>IFERROR(IF(INDEX(Aux_puntos!$A$2:$OJ$901,414,MATCH($B$2&amp;"|xN",Aux_puntos!$1:$1,0))="",NA(),INDEX(Aux_puntos!$A$2:$OJ$901,414,MATCH($B$2&amp;"|xN",Aux_puntos!$1:$1,0))),NA())</f>
        <v/>
      </c>
      <c r="AJ418">
        <f>IFERROR(IF(INDEX(Aux_puntos!$A$2:$OJ$901,414,MATCH($B$2&amp;"|yN",Aux_puntos!$1:$1,0))="",NA(),INDEX(Aux_puntos!$A$2:$OJ$901,414,MATCH($B$2&amp;"|yN",Aux_puntos!$1:$1,0))),NA())</f>
        <v/>
      </c>
    </row>
    <row r="419">
      <c r="AC419">
        <f>IFERROR(IF(INDEX(Aux_puntos!$A$2:$OJ$901,415,MATCH($B$2&amp;"|xK",Aux_puntos!$1:$1,0))="",NA(),INDEX(Aux_puntos!$A$2:$OJ$901,415,MATCH($B$2&amp;"|xK",Aux_puntos!$1:$1,0))),NA())</f>
        <v/>
      </c>
      <c r="AD419">
        <f>IFERROR(IF(INDEX(Aux_puntos!$A$2:$OJ$901,415,MATCH($B$2&amp;"|yK",Aux_puntos!$1:$1,0))="",NA(),INDEX(Aux_puntos!$A$2:$OJ$901,415,MATCH($B$2&amp;"|yK",Aux_puntos!$1:$1,0))),NA())</f>
        <v/>
      </c>
      <c r="AE419">
        <f>IFERROR(IF(INDEX(Aux_puntos!$A$2:$OJ$901,415,MATCH($B$2&amp;"|xC",Aux_puntos!$1:$1,0))="",NA(),INDEX(Aux_puntos!$A$2:$OJ$901,415,MATCH($B$2&amp;"|xC",Aux_puntos!$1:$1,0))),NA())</f>
        <v/>
      </c>
      <c r="AF419">
        <f>IFERROR(IF(INDEX(Aux_puntos!$A$2:$OJ$901,415,MATCH($B$2&amp;"|yC",Aux_puntos!$1:$1,0))="",NA(),INDEX(Aux_puntos!$A$2:$OJ$901,415,MATCH($B$2&amp;"|yC",Aux_puntos!$1:$1,0))),NA())</f>
        <v/>
      </c>
      <c r="AG419">
        <f>IFERROR(IF(INDEX(Aux_puntos!$A$2:$OJ$901,415,MATCH($B$2&amp;"|xI",Aux_puntos!$1:$1,0))="",NA(),INDEX(Aux_puntos!$A$2:$OJ$901,415,MATCH($B$2&amp;"|xI",Aux_puntos!$1:$1,0))),NA())</f>
        <v/>
      </c>
      <c r="AH419">
        <f>IFERROR(IF(INDEX(Aux_puntos!$A$2:$OJ$901,415,MATCH($B$2&amp;"|yI",Aux_puntos!$1:$1,0))="",NA(),INDEX(Aux_puntos!$A$2:$OJ$901,415,MATCH($B$2&amp;"|yI",Aux_puntos!$1:$1,0))),NA())</f>
        <v/>
      </c>
      <c r="AI419">
        <f>IFERROR(IF(INDEX(Aux_puntos!$A$2:$OJ$901,415,MATCH($B$2&amp;"|xN",Aux_puntos!$1:$1,0))="",NA(),INDEX(Aux_puntos!$A$2:$OJ$901,415,MATCH($B$2&amp;"|xN",Aux_puntos!$1:$1,0))),NA())</f>
        <v/>
      </c>
      <c r="AJ419">
        <f>IFERROR(IF(INDEX(Aux_puntos!$A$2:$OJ$901,415,MATCH($B$2&amp;"|yN",Aux_puntos!$1:$1,0))="",NA(),INDEX(Aux_puntos!$A$2:$OJ$901,415,MATCH($B$2&amp;"|yN",Aux_puntos!$1:$1,0))),NA())</f>
        <v/>
      </c>
    </row>
    <row r="420">
      <c r="AC420">
        <f>IFERROR(IF(INDEX(Aux_puntos!$A$2:$OJ$901,416,MATCH($B$2&amp;"|xK",Aux_puntos!$1:$1,0))="",NA(),INDEX(Aux_puntos!$A$2:$OJ$901,416,MATCH($B$2&amp;"|xK",Aux_puntos!$1:$1,0))),NA())</f>
        <v/>
      </c>
      <c r="AD420">
        <f>IFERROR(IF(INDEX(Aux_puntos!$A$2:$OJ$901,416,MATCH($B$2&amp;"|yK",Aux_puntos!$1:$1,0))="",NA(),INDEX(Aux_puntos!$A$2:$OJ$901,416,MATCH($B$2&amp;"|yK",Aux_puntos!$1:$1,0))),NA())</f>
        <v/>
      </c>
      <c r="AE420">
        <f>IFERROR(IF(INDEX(Aux_puntos!$A$2:$OJ$901,416,MATCH($B$2&amp;"|xC",Aux_puntos!$1:$1,0))="",NA(),INDEX(Aux_puntos!$A$2:$OJ$901,416,MATCH($B$2&amp;"|xC",Aux_puntos!$1:$1,0))),NA())</f>
        <v/>
      </c>
      <c r="AF420">
        <f>IFERROR(IF(INDEX(Aux_puntos!$A$2:$OJ$901,416,MATCH($B$2&amp;"|yC",Aux_puntos!$1:$1,0))="",NA(),INDEX(Aux_puntos!$A$2:$OJ$901,416,MATCH($B$2&amp;"|yC",Aux_puntos!$1:$1,0))),NA())</f>
        <v/>
      </c>
      <c r="AG420">
        <f>IFERROR(IF(INDEX(Aux_puntos!$A$2:$OJ$901,416,MATCH($B$2&amp;"|xI",Aux_puntos!$1:$1,0))="",NA(),INDEX(Aux_puntos!$A$2:$OJ$901,416,MATCH($B$2&amp;"|xI",Aux_puntos!$1:$1,0))),NA())</f>
        <v/>
      </c>
      <c r="AH420">
        <f>IFERROR(IF(INDEX(Aux_puntos!$A$2:$OJ$901,416,MATCH($B$2&amp;"|yI",Aux_puntos!$1:$1,0))="",NA(),INDEX(Aux_puntos!$A$2:$OJ$901,416,MATCH($B$2&amp;"|yI",Aux_puntos!$1:$1,0))),NA())</f>
        <v/>
      </c>
      <c r="AI420">
        <f>IFERROR(IF(INDEX(Aux_puntos!$A$2:$OJ$901,416,MATCH($B$2&amp;"|xN",Aux_puntos!$1:$1,0))="",NA(),INDEX(Aux_puntos!$A$2:$OJ$901,416,MATCH($B$2&amp;"|xN",Aux_puntos!$1:$1,0))),NA())</f>
        <v/>
      </c>
      <c r="AJ420">
        <f>IFERROR(IF(INDEX(Aux_puntos!$A$2:$OJ$901,416,MATCH($B$2&amp;"|yN",Aux_puntos!$1:$1,0))="",NA(),INDEX(Aux_puntos!$A$2:$OJ$901,416,MATCH($B$2&amp;"|yN",Aux_puntos!$1:$1,0))),NA())</f>
        <v/>
      </c>
    </row>
    <row r="421">
      <c r="AC421">
        <f>IFERROR(IF(INDEX(Aux_puntos!$A$2:$OJ$901,417,MATCH($B$2&amp;"|xK",Aux_puntos!$1:$1,0))="",NA(),INDEX(Aux_puntos!$A$2:$OJ$901,417,MATCH($B$2&amp;"|xK",Aux_puntos!$1:$1,0))),NA())</f>
        <v/>
      </c>
      <c r="AD421">
        <f>IFERROR(IF(INDEX(Aux_puntos!$A$2:$OJ$901,417,MATCH($B$2&amp;"|yK",Aux_puntos!$1:$1,0))="",NA(),INDEX(Aux_puntos!$A$2:$OJ$901,417,MATCH($B$2&amp;"|yK",Aux_puntos!$1:$1,0))),NA())</f>
        <v/>
      </c>
      <c r="AE421">
        <f>IFERROR(IF(INDEX(Aux_puntos!$A$2:$OJ$901,417,MATCH($B$2&amp;"|xC",Aux_puntos!$1:$1,0))="",NA(),INDEX(Aux_puntos!$A$2:$OJ$901,417,MATCH($B$2&amp;"|xC",Aux_puntos!$1:$1,0))),NA())</f>
        <v/>
      </c>
      <c r="AF421">
        <f>IFERROR(IF(INDEX(Aux_puntos!$A$2:$OJ$901,417,MATCH($B$2&amp;"|yC",Aux_puntos!$1:$1,0))="",NA(),INDEX(Aux_puntos!$A$2:$OJ$901,417,MATCH($B$2&amp;"|yC",Aux_puntos!$1:$1,0))),NA())</f>
        <v/>
      </c>
      <c r="AG421">
        <f>IFERROR(IF(INDEX(Aux_puntos!$A$2:$OJ$901,417,MATCH($B$2&amp;"|xI",Aux_puntos!$1:$1,0))="",NA(),INDEX(Aux_puntos!$A$2:$OJ$901,417,MATCH($B$2&amp;"|xI",Aux_puntos!$1:$1,0))),NA())</f>
        <v/>
      </c>
      <c r="AH421">
        <f>IFERROR(IF(INDEX(Aux_puntos!$A$2:$OJ$901,417,MATCH($B$2&amp;"|yI",Aux_puntos!$1:$1,0))="",NA(),INDEX(Aux_puntos!$A$2:$OJ$901,417,MATCH($B$2&amp;"|yI",Aux_puntos!$1:$1,0))),NA())</f>
        <v/>
      </c>
      <c r="AI421">
        <f>IFERROR(IF(INDEX(Aux_puntos!$A$2:$OJ$901,417,MATCH($B$2&amp;"|xN",Aux_puntos!$1:$1,0))="",NA(),INDEX(Aux_puntos!$A$2:$OJ$901,417,MATCH($B$2&amp;"|xN",Aux_puntos!$1:$1,0))),NA())</f>
        <v/>
      </c>
      <c r="AJ421">
        <f>IFERROR(IF(INDEX(Aux_puntos!$A$2:$OJ$901,417,MATCH($B$2&amp;"|yN",Aux_puntos!$1:$1,0))="",NA(),INDEX(Aux_puntos!$A$2:$OJ$901,417,MATCH($B$2&amp;"|yN",Aux_puntos!$1:$1,0))),NA())</f>
        <v/>
      </c>
    </row>
    <row r="422">
      <c r="AC422">
        <f>IFERROR(IF(INDEX(Aux_puntos!$A$2:$OJ$901,418,MATCH($B$2&amp;"|xK",Aux_puntos!$1:$1,0))="",NA(),INDEX(Aux_puntos!$A$2:$OJ$901,418,MATCH($B$2&amp;"|xK",Aux_puntos!$1:$1,0))),NA())</f>
        <v/>
      </c>
      <c r="AD422">
        <f>IFERROR(IF(INDEX(Aux_puntos!$A$2:$OJ$901,418,MATCH($B$2&amp;"|yK",Aux_puntos!$1:$1,0))="",NA(),INDEX(Aux_puntos!$A$2:$OJ$901,418,MATCH($B$2&amp;"|yK",Aux_puntos!$1:$1,0))),NA())</f>
        <v/>
      </c>
      <c r="AE422">
        <f>IFERROR(IF(INDEX(Aux_puntos!$A$2:$OJ$901,418,MATCH($B$2&amp;"|xC",Aux_puntos!$1:$1,0))="",NA(),INDEX(Aux_puntos!$A$2:$OJ$901,418,MATCH($B$2&amp;"|xC",Aux_puntos!$1:$1,0))),NA())</f>
        <v/>
      </c>
      <c r="AF422">
        <f>IFERROR(IF(INDEX(Aux_puntos!$A$2:$OJ$901,418,MATCH($B$2&amp;"|yC",Aux_puntos!$1:$1,0))="",NA(),INDEX(Aux_puntos!$A$2:$OJ$901,418,MATCH($B$2&amp;"|yC",Aux_puntos!$1:$1,0))),NA())</f>
        <v/>
      </c>
      <c r="AG422">
        <f>IFERROR(IF(INDEX(Aux_puntos!$A$2:$OJ$901,418,MATCH($B$2&amp;"|xI",Aux_puntos!$1:$1,0))="",NA(),INDEX(Aux_puntos!$A$2:$OJ$901,418,MATCH($B$2&amp;"|xI",Aux_puntos!$1:$1,0))),NA())</f>
        <v/>
      </c>
      <c r="AH422">
        <f>IFERROR(IF(INDEX(Aux_puntos!$A$2:$OJ$901,418,MATCH($B$2&amp;"|yI",Aux_puntos!$1:$1,0))="",NA(),INDEX(Aux_puntos!$A$2:$OJ$901,418,MATCH($B$2&amp;"|yI",Aux_puntos!$1:$1,0))),NA())</f>
        <v/>
      </c>
      <c r="AI422">
        <f>IFERROR(IF(INDEX(Aux_puntos!$A$2:$OJ$901,418,MATCH($B$2&amp;"|xN",Aux_puntos!$1:$1,0))="",NA(),INDEX(Aux_puntos!$A$2:$OJ$901,418,MATCH($B$2&amp;"|xN",Aux_puntos!$1:$1,0))),NA())</f>
        <v/>
      </c>
      <c r="AJ422">
        <f>IFERROR(IF(INDEX(Aux_puntos!$A$2:$OJ$901,418,MATCH($B$2&amp;"|yN",Aux_puntos!$1:$1,0))="",NA(),INDEX(Aux_puntos!$A$2:$OJ$901,418,MATCH($B$2&amp;"|yN",Aux_puntos!$1:$1,0))),NA())</f>
        <v/>
      </c>
    </row>
    <row r="423">
      <c r="AC423">
        <f>IFERROR(IF(INDEX(Aux_puntos!$A$2:$OJ$901,419,MATCH($B$2&amp;"|xK",Aux_puntos!$1:$1,0))="",NA(),INDEX(Aux_puntos!$A$2:$OJ$901,419,MATCH($B$2&amp;"|xK",Aux_puntos!$1:$1,0))),NA())</f>
        <v/>
      </c>
      <c r="AD423">
        <f>IFERROR(IF(INDEX(Aux_puntos!$A$2:$OJ$901,419,MATCH($B$2&amp;"|yK",Aux_puntos!$1:$1,0))="",NA(),INDEX(Aux_puntos!$A$2:$OJ$901,419,MATCH($B$2&amp;"|yK",Aux_puntos!$1:$1,0))),NA())</f>
        <v/>
      </c>
      <c r="AE423">
        <f>IFERROR(IF(INDEX(Aux_puntos!$A$2:$OJ$901,419,MATCH($B$2&amp;"|xC",Aux_puntos!$1:$1,0))="",NA(),INDEX(Aux_puntos!$A$2:$OJ$901,419,MATCH($B$2&amp;"|xC",Aux_puntos!$1:$1,0))),NA())</f>
        <v/>
      </c>
      <c r="AF423">
        <f>IFERROR(IF(INDEX(Aux_puntos!$A$2:$OJ$901,419,MATCH($B$2&amp;"|yC",Aux_puntos!$1:$1,0))="",NA(),INDEX(Aux_puntos!$A$2:$OJ$901,419,MATCH($B$2&amp;"|yC",Aux_puntos!$1:$1,0))),NA())</f>
        <v/>
      </c>
      <c r="AG423">
        <f>IFERROR(IF(INDEX(Aux_puntos!$A$2:$OJ$901,419,MATCH($B$2&amp;"|xI",Aux_puntos!$1:$1,0))="",NA(),INDEX(Aux_puntos!$A$2:$OJ$901,419,MATCH($B$2&amp;"|xI",Aux_puntos!$1:$1,0))),NA())</f>
        <v/>
      </c>
      <c r="AH423">
        <f>IFERROR(IF(INDEX(Aux_puntos!$A$2:$OJ$901,419,MATCH($B$2&amp;"|yI",Aux_puntos!$1:$1,0))="",NA(),INDEX(Aux_puntos!$A$2:$OJ$901,419,MATCH($B$2&amp;"|yI",Aux_puntos!$1:$1,0))),NA())</f>
        <v/>
      </c>
      <c r="AI423">
        <f>IFERROR(IF(INDEX(Aux_puntos!$A$2:$OJ$901,419,MATCH($B$2&amp;"|xN",Aux_puntos!$1:$1,0))="",NA(),INDEX(Aux_puntos!$A$2:$OJ$901,419,MATCH($B$2&amp;"|xN",Aux_puntos!$1:$1,0))),NA())</f>
        <v/>
      </c>
      <c r="AJ423">
        <f>IFERROR(IF(INDEX(Aux_puntos!$A$2:$OJ$901,419,MATCH($B$2&amp;"|yN",Aux_puntos!$1:$1,0))="",NA(),INDEX(Aux_puntos!$A$2:$OJ$901,419,MATCH($B$2&amp;"|yN",Aux_puntos!$1:$1,0))),NA())</f>
        <v/>
      </c>
    </row>
    <row r="424">
      <c r="AC424">
        <f>IFERROR(IF(INDEX(Aux_puntos!$A$2:$OJ$901,420,MATCH($B$2&amp;"|xK",Aux_puntos!$1:$1,0))="",NA(),INDEX(Aux_puntos!$A$2:$OJ$901,420,MATCH($B$2&amp;"|xK",Aux_puntos!$1:$1,0))),NA())</f>
        <v/>
      </c>
      <c r="AD424">
        <f>IFERROR(IF(INDEX(Aux_puntos!$A$2:$OJ$901,420,MATCH($B$2&amp;"|yK",Aux_puntos!$1:$1,0))="",NA(),INDEX(Aux_puntos!$A$2:$OJ$901,420,MATCH($B$2&amp;"|yK",Aux_puntos!$1:$1,0))),NA())</f>
        <v/>
      </c>
      <c r="AE424">
        <f>IFERROR(IF(INDEX(Aux_puntos!$A$2:$OJ$901,420,MATCH($B$2&amp;"|xC",Aux_puntos!$1:$1,0))="",NA(),INDEX(Aux_puntos!$A$2:$OJ$901,420,MATCH($B$2&amp;"|xC",Aux_puntos!$1:$1,0))),NA())</f>
        <v/>
      </c>
      <c r="AF424">
        <f>IFERROR(IF(INDEX(Aux_puntos!$A$2:$OJ$901,420,MATCH($B$2&amp;"|yC",Aux_puntos!$1:$1,0))="",NA(),INDEX(Aux_puntos!$A$2:$OJ$901,420,MATCH($B$2&amp;"|yC",Aux_puntos!$1:$1,0))),NA())</f>
        <v/>
      </c>
      <c r="AG424">
        <f>IFERROR(IF(INDEX(Aux_puntos!$A$2:$OJ$901,420,MATCH($B$2&amp;"|xI",Aux_puntos!$1:$1,0))="",NA(),INDEX(Aux_puntos!$A$2:$OJ$901,420,MATCH($B$2&amp;"|xI",Aux_puntos!$1:$1,0))),NA())</f>
        <v/>
      </c>
      <c r="AH424">
        <f>IFERROR(IF(INDEX(Aux_puntos!$A$2:$OJ$901,420,MATCH($B$2&amp;"|yI",Aux_puntos!$1:$1,0))="",NA(),INDEX(Aux_puntos!$A$2:$OJ$901,420,MATCH($B$2&amp;"|yI",Aux_puntos!$1:$1,0))),NA())</f>
        <v/>
      </c>
      <c r="AI424">
        <f>IFERROR(IF(INDEX(Aux_puntos!$A$2:$OJ$901,420,MATCH($B$2&amp;"|xN",Aux_puntos!$1:$1,0))="",NA(),INDEX(Aux_puntos!$A$2:$OJ$901,420,MATCH($B$2&amp;"|xN",Aux_puntos!$1:$1,0))),NA())</f>
        <v/>
      </c>
      <c r="AJ424">
        <f>IFERROR(IF(INDEX(Aux_puntos!$A$2:$OJ$901,420,MATCH($B$2&amp;"|yN",Aux_puntos!$1:$1,0))="",NA(),INDEX(Aux_puntos!$A$2:$OJ$901,420,MATCH($B$2&amp;"|yN",Aux_puntos!$1:$1,0))),NA())</f>
        <v/>
      </c>
    </row>
    <row r="425">
      <c r="AC425">
        <f>IFERROR(IF(INDEX(Aux_puntos!$A$2:$OJ$901,421,MATCH($B$2&amp;"|xK",Aux_puntos!$1:$1,0))="",NA(),INDEX(Aux_puntos!$A$2:$OJ$901,421,MATCH($B$2&amp;"|xK",Aux_puntos!$1:$1,0))),NA())</f>
        <v/>
      </c>
      <c r="AD425">
        <f>IFERROR(IF(INDEX(Aux_puntos!$A$2:$OJ$901,421,MATCH($B$2&amp;"|yK",Aux_puntos!$1:$1,0))="",NA(),INDEX(Aux_puntos!$A$2:$OJ$901,421,MATCH($B$2&amp;"|yK",Aux_puntos!$1:$1,0))),NA())</f>
        <v/>
      </c>
      <c r="AE425">
        <f>IFERROR(IF(INDEX(Aux_puntos!$A$2:$OJ$901,421,MATCH($B$2&amp;"|xC",Aux_puntos!$1:$1,0))="",NA(),INDEX(Aux_puntos!$A$2:$OJ$901,421,MATCH($B$2&amp;"|xC",Aux_puntos!$1:$1,0))),NA())</f>
        <v/>
      </c>
      <c r="AF425">
        <f>IFERROR(IF(INDEX(Aux_puntos!$A$2:$OJ$901,421,MATCH($B$2&amp;"|yC",Aux_puntos!$1:$1,0))="",NA(),INDEX(Aux_puntos!$A$2:$OJ$901,421,MATCH($B$2&amp;"|yC",Aux_puntos!$1:$1,0))),NA())</f>
        <v/>
      </c>
      <c r="AG425">
        <f>IFERROR(IF(INDEX(Aux_puntos!$A$2:$OJ$901,421,MATCH($B$2&amp;"|xI",Aux_puntos!$1:$1,0))="",NA(),INDEX(Aux_puntos!$A$2:$OJ$901,421,MATCH($B$2&amp;"|xI",Aux_puntos!$1:$1,0))),NA())</f>
        <v/>
      </c>
      <c r="AH425">
        <f>IFERROR(IF(INDEX(Aux_puntos!$A$2:$OJ$901,421,MATCH($B$2&amp;"|yI",Aux_puntos!$1:$1,0))="",NA(),INDEX(Aux_puntos!$A$2:$OJ$901,421,MATCH($B$2&amp;"|yI",Aux_puntos!$1:$1,0))),NA())</f>
        <v/>
      </c>
      <c r="AI425">
        <f>IFERROR(IF(INDEX(Aux_puntos!$A$2:$OJ$901,421,MATCH($B$2&amp;"|xN",Aux_puntos!$1:$1,0))="",NA(),INDEX(Aux_puntos!$A$2:$OJ$901,421,MATCH($B$2&amp;"|xN",Aux_puntos!$1:$1,0))),NA())</f>
        <v/>
      </c>
      <c r="AJ425">
        <f>IFERROR(IF(INDEX(Aux_puntos!$A$2:$OJ$901,421,MATCH($B$2&amp;"|yN",Aux_puntos!$1:$1,0))="",NA(),INDEX(Aux_puntos!$A$2:$OJ$901,421,MATCH($B$2&amp;"|yN",Aux_puntos!$1:$1,0))),NA())</f>
        <v/>
      </c>
    </row>
    <row r="426">
      <c r="AC426">
        <f>IFERROR(IF(INDEX(Aux_puntos!$A$2:$OJ$901,422,MATCH($B$2&amp;"|xK",Aux_puntos!$1:$1,0))="",NA(),INDEX(Aux_puntos!$A$2:$OJ$901,422,MATCH($B$2&amp;"|xK",Aux_puntos!$1:$1,0))),NA())</f>
        <v/>
      </c>
      <c r="AD426">
        <f>IFERROR(IF(INDEX(Aux_puntos!$A$2:$OJ$901,422,MATCH($B$2&amp;"|yK",Aux_puntos!$1:$1,0))="",NA(),INDEX(Aux_puntos!$A$2:$OJ$901,422,MATCH($B$2&amp;"|yK",Aux_puntos!$1:$1,0))),NA())</f>
        <v/>
      </c>
      <c r="AE426">
        <f>IFERROR(IF(INDEX(Aux_puntos!$A$2:$OJ$901,422,MATCH($B$2&amp;"|xC",Aux_puntos!$1:$1,0))="",NA(),INDEX(Aux_puntos!$A$2:$OJ$901,422,MATCH($B$2&amp;"|xC",Aux_puntos!$1:$1,0))),NA())</f>
        <v/>
      </c>
      <c r="AF426">
        <f>IFERROR(IF(INDEX(Aux_puntos!$A$2:$OJ$901,422,MATCH($B$2&amp;"|yC",Aux_puntos!$1:$1,0))="",NA(),INDEX(Aux_puntos!$A$2:$OJ$901,422,MATCH($B$2&amp;"|yC",Aux_puntos!$1:$1,0))),NA())</f>
        <v/>
      </c>
      <c r="AG426">
        <f>IFERROR(IF(INDEX(Aux_puntos!$A$2:$OJ$901,422,MATCH($B$2&amp;"|xI",Aux_puntos!$1:$1,0))="",NA(),INDEX(Aux_puntos!$A$2:$OJ$901,422,MATCH($B$2&amp;"|xI",Aux_puntos!$1:$1,0))),NA())</f>
        <v/>
      </c>
      <c r="AH426">
        <f>IFERROR(IF(INDEX(Aux_puntos!$A$2:$OJ$901,422,MATCH($B$2&amp;"|yI",Aux_puntos!$1:$1,0))="",NA(),INDEX(Aux_puntos!$A$2:$OJ$901,422,MATCH($B$2&amp;"|yI",Aux_puntos!$1:$1,0))),NA())</f>
        <v/>
      </c>
      <c r="AI426">
        <f>IFERROR(IF(INDEX(Aux_puntos!$A$2:$OJ$901,422,MATCH($B$2&amp;"|xN",Aux_puntos!$1:$1,0))="",NA(),INDEX(Aux_puntos!$A$2:$OJ$901,422,MATCH($B$2&amp;"|xN",Aux_puntos!$1:$1,0))),NA())</f>
        <v/>
      </c>
      <c r="AJ426">
        <f>IFERROR(IF(INDEX(Aux_puntos!$A$2:$OJ$901,422,MATCH($B$2&amp;"|yN",Aux_puntos!$1:$1,0))="",NA(),INDEX(Aux_puntos!$A$2:$OJ$901,422,MATCH($B$2&amp;"|yN",Aux_puntos!$1:$1,0))),NA())</f>
        <v/>
      </c>
    </row>
    <row r="427">
      <c r="AC427">
        <f>IFERROR(IF(INDEX(Aux_puntos!$A$2:$OJ$901,423,MATCH($B$2&amp;"|xK",Aux_puntos!$1:$1,0))="",NA(),INDEX(Aux_puntos!$A$2:$OJ$901,423,MATCH($B$2&amp;"|xK",Aux_puntos!$1:$1,0))),NA())</f>
        <v/>
      </c>
      <c r="AD427">
        <f>IFERROR(IF(INDEX(Aux_puntos!$A$2:$OJ$901,423,MATCH($B$2&amp;"|yK",Aux_puntos!$1:$1,0))="",NA(),INDEX(Aux_puntos!$A$2:$OJ$901,423,MATCH($B$2&amp;"|yK",Aux_puntos!$1:$1,0))),NA())</f>
        <v/>
      </c>
      <c r="AE427">
        <f>IFERROR(IF(INDEX(Aux_puntos!$A$2:$OJ$901,423,MATCH($B$2&amp;"|xC",Aux_puntos!$1:$1,0))="",NA(),INDEX(Aux_puntos!$A$2:$OJ$901,423,MATCH($B$2&amp;"|xC",Aux_puntos!$1:$1,0))),NA())</f>
        <v/>
      </c>
      <c r="AF427">
        <f>IFERROR(IF(INDEX(Aux_puntos!$A$2:$OJ$901,423,MATCH($B$2&amp;"|yC",Aux_puntos!$1:$1,0))="",NA(),INDEX(Aux_puntos!$A$2:$OJ$901,423,MATCH($B$2&amp;"|yC",Aux_puntos!$1:$1,0))),NA())</f>
        <v/>
      </c>
      <c r="AG427">
        <f>IFERROR(IF(INDEX(Aux_puntos!$A$2:$OJ$901,423,MATCH($B$2&amp;"|xI",Aux_puntos!$1:$1,0))="",NA(),INDEX(Aux_puntos!$A$2:$OJ$901,423,MATCH($B$2&amp;"|xI",Aux_puntos!$1:$1,0))),NA())</f>
        <v/>
      </c>
      <c r="AH427">
        <f>IFERROR(IF(INDEX(Aux_puntos!$A$2:$OJ$901,423,MATCH($B$2&amp;"|yI",Aux_puntos!$1:$1,0))="",NA(),INDEX(Aux_puntos!$A$2:$OJ$901,423,MATCH($B$2&amp;"|yI",Aux_puntos!$1:$1,0))),NA())</f>
        <v/>
      </c>
      <c r="AI427">
        <f>IFERROR(IF(INDEX(Aux_puntos!$A$2:$OJ$901,423,MATCH($B$2&amp;"|xN",Aux_puntos!$1:$1,0))="",NA(),INDEX(Aux_puntos!$A$2:$OJ$901,423,MATCH($B$2&amp;"|xN",Aux_puntos!$1:$1,0))),NA())</f>
        <v/>
      </c>
      <c r="AJ427">
        <f>IFERROR(IF(INDEX(Aux_puntos!$A$2:$OJ$901,423,MATCH($B$2&amp;"|yN",Aux_puntos!$1:$1,0))="",NA(),INDEX(Aux_puntos!$A$2:$OJ$901,423,MATCH($B$2&amp;"|yN",Aux_puntos!$1:$1,0))),NA())</f>
        <v/>
      </c>
    </row>
    <row r="428">
      <c r="AC428">
        <f>IFERROR(IF(INDEX(Aux_puntos!$A$2:$OJ$901,424,MATCH($B$2&amp;"|xK",Aux_puntos!$1:$1,0))="",NA(),INDEX(Aux_puntos!$A$2:$OJ$901,424,MATCH($B$2&amp;"|xK",Aux_puntos!$1:$1,0))),NA())</f>
        <v/>
      </c>
      <c r="AD428">
        <f>IFERROR(IF(INDEX(Aux_puntos!$A$2:$OJ$901,424,MATCH($B$2&amp;"|yK",Aux_puntos!$1:$1,0))="",NA(),INDEX(Aux_puntos!$A$2:$OJ$901,424,MATCH($B$2&amp;"|yK",Aux_puntos!$1:$1,0))),NA())</f>
        <v/>
      </c>
      <c r="AE428">
        <f>IFERROR(IF(INDEX(Aux_puntos!$A$2:$OJ$901,424,MATCH($B$2&amp;"|xC",Aux_puntos!$1:$1,0))="",NA(),INDEX(Aux_puntos!$A$2:$OJ$901,424,MATCH($B$2&amp;"|xC",Aux_puntos!$1:$1,0))),NA())</f>
        <v/>
      </c>
      <c r="AF428">
        <f>IFERROR(IF(INDEX(Aux_puntos!$A$2:$OJ$901,424,MATCH($B$2&amp;"|yC",Aux_puntos!$1:$1,0))="",NA(),INDEX(Aux_puntos!$A$2:$OJ$901,424,MATCH($B$2&amp;"|yC",Aux_puntos!$1:$1,0))),NA())</f>
        <v/>
      </c>
      <c r="AG428">
        <f>IFERROR(IF(INDEX(Aux_puntos!$A$2:$OJ$901,424,MATCH($B$2&amp;"|xI",Aux_puntos!$1:$1,0))="",NA(),INDEX(Aux_puntos!$A$2:$OJ$901,424,MATCH($B$2&amp;"|xI",Aux_puntos!$1:$1,0))),NA())</f>
        <v/>
      </c>
      <c r="AH428">
        <f>IFERROR(IF(INDEX(Aux_puntos!$A$2:$OJ$901,424,MATCH($B$2&amp;"|yI",Aux_puntos!$1:$1,0))="",NA(),INDEX(Aux_puntos!$A$2:$OJ$901,424,MATCH($B$2&amp;"|yI",Aux_puntos!$1:$1,0))),NA())</f>
        <v/>
      </c>
      <c r="AI428">
        <f>IFERROR(IF(INDEX(Aux_puntos!$A$2:$OJ$901,424,MATCH($B$2&amp;"|xN",Aux_puntos!$1:$1,0))="",NA(),INDEX(Aux_puntos!$A$2:$OJ$901,424,MATCH($B$2&amp;"|xN",Aux_puntos!$1:$1,0))),NA())</f>
        <v/>
      </c>
      <c r="AJ428">
        <f>IFERROR(IF(INDEX(Aux_puntos!$A$2:$OJ$901,424,MATCH($B$2&amp;"|yN",Aux_puntos!$1:$1,0))="",NA(),INDEX(Aux_puntos!$A$2:$OJ$901,424,MATCH($B$2&amp;"|yN",Aux_puntos!$1:$1,0))),NA())</f>
        <v/>
      </c>
    </row>
    <row r="429">
      <c r="AC429">
        <f>IFERROR(IF(INDEX(Aux_puntos!$A$2:$OJ$901,425,MATCH($B$2&amp;"|xK",Aux_puntos!$1:$1,0))="",NA(),INDEX(Aux_puntos!$A$2:$OJ$901,425,MATCH($B$2&amp;"|xK",Aux_puntos!$1:$1,0))),NA())</f>
        <v/>
      </c>
      <c r="AD429">
        <f>IFERROR(IF(INDEX(Aux_puntos!$A$2:$OJ$901,425,MATCH($B$2&amp;"|yK",Aux_puntos!$1:$1,0))="",NA(),INDEX(Aux_puntos!$A$2:$OJ$901,425,MATCH($B$2&amp;"|yK",Aux_puntos!$1:$1,0))),NA())</f>
        <v/>
      </c>
      <c r="AE429">
        <f>IFERROR(IF(INDEX(Aux_puntos!$A$2:$OJ$901,425,MATCH($B$2&amp;"|xC",Aux_puntos!$1:$1,0))="",NA(),INDEX(Aux_puntos!$A$2:$OJ$901,425,MATCH($B$2&amp;"|xC",Aux_puntos!$1:$1,0))),NA())</f>
        <v/>
      </c>
      <c r="AF429">
        <f>IFERROR(IF(INDEX(Aux_puntos!$A$2:$OJ$901,425,MATCH($B$2&amp;"|yC",Aux_puntos!$1:$1,0))="",NA(),INDEX(Aux_puntos!$A$2:$OJ$901,425,MATCH($B$2&amp;"|yC",Aux_puntos!$1:$1,0))),NA())</f>
        <v/>
      </c>
      <c r="AG429">
        <f>IFERROR(IF(INDEX(Aux_puntos!$A$2:$OJ$901,425,MATCH($B$2&amp;"|xI",Aux_puntos!$1:$1,0))="",NA(),INDEX(Aux_puntos!$A$2:$OJ$901,425,MATCH($B$2&amp;"|xI",Aux_puntos!$1:$1,0))),NA())</f>
        <v/>
      </c>
      <c r="AH429">
        <f>IFERROR(IF(INDEX(Aux_puntos!$A$2:$OJ$901,425,MATCH($B$2&amp;"|yI",Aux_puntos!$1:$1,0))="",NA(),INDEX(Aux_puntos!$A$2:$OJ$901,425,MATCH($B$2&amp;"|yI",Aux_puntos!$1:$1,0))),NA())</f>
        <v/>
      </c>
      <c r="AI429">
        <f>IFERROR(IF(INDEX(Aux_puntos!$A$2:$OJ$901,425,MATCH($B$2&amp;"|xN",Aux_puntos!$1:$1,0))="",NA(),INDEX(Aux_puntos!$A$2:$OJ$901,425,MATCH($B$2&amp;"|xN",Aux_puntos!$1:$1,0))),NA())</f>
        <v/>
      </c>
      <c r="AJ429">
        <f>IFERROR(IF(INDEX(Aux_puntos!$A$2:$OJ$901,425,MATCH($B$2&amp;"|yN",Aux_puntos!$1:$1,0))="",NA(),INDEX(Aux_puntos!$A$2:$OJ$901,425,MATCH($B$2&amp;"|yN",Aux_puntos!$1:$1,0))),NA())</f>
        <v/>
      </c>
    </row>
    <row r="430">
      <c r="AC430">
        <f>IFERROR(IF(INDEX(Aux_puntos!$A$2:$OJ$901,426,MATCH($B$2&amp;"|xK",Aux_puntos!$1:$1,0))="",NA(),INDEX(Aux_puntos!$A$2:$OJ$901,426,MATCH($B$2&amp;"|xK",Aux_puntos!$1:$1,0))),NA())</f>
        <v/>
      </c>
      <c r="AD430">
        <f>IFERROR(IF(INDEX(Aux_puntos!$A$2:$OJ$901,426,MATCH($B$2&amp;"|yK",Aux_puntos!$1:$1,0))="",NA(),INDEX(Aux_puntos!$A$2:$OJ$901,426,MATCH($B$2&amp;"|yK",Aux_puntos!$1:$1,0))),NA())</f>
        <v/>
      </c>
      <c r="AE430">
        <f>IFERROR(IF(INDEX(Aux_puntos!$A$2:$OJ$901,426,MATCH($B$2&amp;"|xC",Aux_puntos!$1:$1,0))="",NA(),INDEX(Aux_puntos!$A$2:$OJ$901,426,MATCH($B$2&amp;"|xC",Aux_puntos!$1:$1,0))),NA())</f>
        <v/>
      </c>
      <c r="AF430">
        <f>IFERROR(IF(INDEX(Aux_puntos!$A$2:$OJ$901,426,MATCH($B$2&amp;"|yC",Aux_puntos!$1:$1,0))="",NA(),INDEX(Aux_puntos!$A$2:$OJ$901,426,MATCH($B$2&amp;"|yC",Aux_puntos!$1:$1,0))),NA())</f>
        <v/>
      </c>
      <c r="AG430">
        <f>IFERROR(IF(INDEX(Aux_puntos!$A$2:$OJ$901,426,MATCH($B$2&amp;"|xI",Aux_puntos!$1:$1,0))="",NA(),INDEX(Aux_puntos!$A$2:$OJ$901,426,MATCH($B$2&amp;"|xI",Aux_puntos!$1:$1,0))),NA())</f>
        <v/>
      </c>
      <c r="AH430">
        <f>IFERROR(IF(INDEX(Aux_puntos!$A$2:$OJ$901,426,MATCH($B$2&amp;"|yI",Aux_puntos!$1:$1,0))="",NA(),INDEX(Aux_puntos!$A$2:$OJ$901,426,MATCH($B$2&amp;"|yI",Aux_puntos!$1:$1,0))),NA())</f>
        <v/>
      </c>
      <c r="AI430">
        <f>IFERROR(IF(INDEX(Aux_puntos!$A$2:$OJ$901,426,MATCH($B$2&amp;"|xN",Aux_puntos!$1:$1,0))="",NA(),INDEX(Aux_puntos!$A$2:$OJ$901,426,MATCH($B$2&amp;"|xN",Aux_puntos!$1:$1,0))),NA())</f>
        <v/>
      </c>
      <c r="AJ430">
        <f>IFERROR(IF(INDEX(Aux_puntos!$A$2:$OJ$901,426,MATCH($B$2&amp;"|yN",Aux_puntos!$1:$1,0))="",NA(),INDEX(Aux_puntos!$A$2:$OJ$901,426,MATCH($B$2&amp;"|yN",Aux_puntos!$1:$1,0))),NA())</f>
        <v/>
      </c>
    </row>
    <row r="431">
      <c r="AC431">
        <f>IFERROR(IF(INDEX(Aux_puntos!$A$2:$OJ$901,427,MATCH($B$2&amp;"|xK",Aux_puntos!$1:$1,0))="",NA(),INDEX(Aux_puntos!$A$2:$OJ$901,427,MATCH($B$2&amp;"|xK",Aux_puntos!$1:$1,0))),NA())</f>
        <v/>
      </c>
      <c r="AD431">
        <f>IFERROR(IF(INDEX(Aux_puntos!$A$2:$OJ$901,427,MATCH($B$2&amp;"|yK",Aux_puntos!$1:$1,0))="",NA(),INDEX(Aux_puntos!$A$2:$OJ$901,427,MATCH($B$2&amp;"|yK",Aux_puntos!$1:$1,0))),NA())</f>
        <v/>
      </c>
      <c r="AE431">
        <f>IFERROR(IF(INDEX(Aux_puntos!$A$2:$OJ$901,427,MATCH($B$2&amp;"|xC",Aux_puntos!$1:$1,0))="",NA(),INDEX(Aux_puntos!$A$2:$OJ$901,427,MATCH($B$2&amp;"|xC",Aux_puntos!$1:$1,0))),NA())</f>
        <v/>
      </c>
      <c r="AF431">
        <f>IFERROR(IF(INDEX(Aux_puntos!$A$2:$OJ$901,427,MATCH($B$2&amp;"|yC",Aux_puntos!$1:$1,0))="",NA(),INDEX(Aux_puntos!$A$2:$OJ$901,427,MATCH($B$2&amp;"|yC",Aux_puntos!$1:$1,0))),NA())</f>
        <v/>
      </c>
      <c r="AG431">
        <f>IFERROR(IF(INDEX(Aux_puntos!$A$2:$OJ$901,427,MATCH($B$2&amp;"|xI",Aux_puntos!$1:$1,0))="",NA(),INDEX(Aux_puntos!$A$2:$OJ$901,427,MATCH($B$2&amp;"|xI",Aux_puntos!$1:$1,0))),NA())</f>
        <v/>
      </c>
      <c r="AH431">
        <f>IFERROR(IF(INDEX(Aux_puntos!$A$2:$OJ$901,427,MATCH($B$2&amp;"|yI",Aux_puntos!$1:$1,0))="",NA(),INDEX(Aux_puntos!$A$2:$OJ$901,427,MATCH($B$2&amp;"|yI",Aux_puntos!$1:$1,0))),NA())</f>
        <v/>
      </c>
      <c r="AI431">
        <f>IFERROR(IF(INDEX(Aux_puntos!$A$2:$OJ$901,427,MATCH($B$2&amp;"|xN",Aux_puntos!$1:$1,0))="",NA(),INDEX(Aux_puntos!$A$2:$OJ$901,427,MATCH($B$2&amp;"|xN",Aux_puntos!$1:$1,0))),NA())</f>
        <v/>
      </c>
      <c r="AJ431">
        <f>IFERROR(IF(INDEX(Aux_puntos!$A$2:$OJ$901,427,MATCH($B$2&amp;"|yN",Aux_puntos!$1:$1,0))="",NA(),INDEX(Aux_puntos!$A$2:$OJ$901,427,MATCH($B$2&amp;"|yN",Aux_puntos!$1:$1,0))),NA())</f>
        <v/>
      </c>
    </row>
    <row r="432">
      <c r="AC432">
        <f>IFERROR(IF(INDEX(Aux_puntos!$A$2:$OJ$901,428,MATCH($B$2&amp;"|xK",Aux_puntos!$1:$1,0))="",NA(),INDEX(Aux_puntos!$A$2:$OJ$901,428,MATCH($B$2&amp;"|xK",Aux_puntos!$1:$1,0))),NA())</f>
        <v/>
      </c>
      <c r="AD432">
        <f>IFERROR(IF(INDEX(Aux_puntos!$A$2:$OJ$901,428,MATCH($B$2&amp;"|yK",Aux_puntos!$1:$1,0))="",NA(),INDEX(Aux_puntos!$A$2:$OJ$901,428,MATCH($B$2&amp;"|yK",Aux_puntos!$1:$1,0))),NA())</f>
        <v/>
      </c>
      <c r="AE432">
        <f>IFERROR(IF(INDEX(Aux_puntos!$A$2:$OJ$901,428,MATCH($B$2&amp;"|xC",Aux_puntos!$1:$1,0))="",NA(),INDEX(Aux_puntos!$A$2:$OJ$901,428,MATCH($B$2&amp;"|xC",Aux_puntos!$1:$1,0))),NA())</f>
        <v/>
      </c>
      <c r="AF432">
        <f>IFERROR(IF(INDEX(Aux_puntos!$A$2:$OJ$901,428,MATCH($B$2&amp;"|yC",Aux_puntos!$1:$1,0))="",NA(),INDEX(Aux_puntos!$A$2:$OJ$901,428,MATCH($B$2&amp;"|yC",Aux_puntos!$1:$1,0))),NA())</f>
        <v/>
      </c>
      <c r="AG432">
        <f>IFERROR(IF(INDEX(Aux_puntos!$A$2:$OJ$901,428,MATCH($B$2&amp;"|xI",Aux_puntos!$1:$1,0))="",NA(),INDEX(Aux_puntos!$A$2:$OJ$901,428,MATCH($B$2&amp;"|xI",Aux_puntos!$1:$1,0))),NA())</f>
        <v/>
      </c>
      <c r="AH432">
        <f>IFERROR(IF(INDEX(Aux_puntos!$A$2:$OJ$901,428,MATCH($B$2&amp;"|yI",Aux_puntos!$1:$1,0))="",NA(),INDEX(Aux_puntos!$A$2:$OJ$901,428,MATCH($B$2&amp;"|yI",Aux_puntos!$1:$1,0))),NA())</f>
        <v/>
      </c>
      <c r="AI432">
        <f>IFERROR(IF(INDEX(Aux_puntos!$A$2:$OJ$901,428,MATCH($B$2&amp;"|xN",Aux_puntos!$1:$1,0))="",NA(),INDEX(Aux_puntos!$A$2:$OJ$901,428,MATCH($B$2&amp;"|xN",Aux_puntos!$1:$1,0))),NA())</f>
        <v/>
      </c>
      <c r="AJ432">
        <f>IFERROR(IF(INDEX(Aux_puntos!$A$2:$OJ$901,428,MATCH($B$2&amp;"|yN",Aux_puntos!$1:$1,0))="",NA(),INDEX(Aux_puntos!$A$2:$OJ$901,428,MATCH($B$2&amp;"|yN",Aux_puntos!$1:$1,0))),NA())</f>
        <v/>
      </c>
    </row>
    <row r="433">
      <c r="AC433">
        <f>IFERROR(IF(INDEX(Aux_puntos!$A$2:$OJ$901,429,MATCH($B$2&amp;"|xK",Aux_puntos!$1:$1,0))="",NA(),INDEX(Aux_puntos!$A$2:$OJ$901,429,MATCH($B$2&amp;"|xK",Aux_puntos!$1:$1,0))),NA())</f>
        <v/>
      </c>
      <c r="AD433">
        <f>IFERROR(IF(INDEX(Aux_puntos!$A$2:$OJ$901,429,MATCH($B$2&amp;"|yK",Aux_puntos!$1:$1,0))="",NA(),INDEX(Aux_puntos!$A$2:$OJ$901,429,MATCH($B$2&amp;"|yK",Aux_puntos!$1:$1,0))),NA())</f>
        <v/>
      </c>
      <c r="AE433">
        <f>IFERROR(IF(INDEX(Aux_puntos!$A$2:$OJ$901,429,MATCH($B$2&amp;"|xC",Aux_puntos!$1:$1,0))="",NA(),INDEX(Aux_puntos!$A$2:$OJ$901,429,MATCH($B$2&amp;"|xC",Aux_puntos!$1:$1,0))),NA())</f>
        <v/>
      </c>
      <c r="AF433">
        <f>IFERROR(IF(INDEX(Aux_puntos!$A$2:$OJ$901,429,MATCH($B$2&amp;"|yC",Aux_puntos!$1:$1,0))="",NA(),INDEX(Aux_puntos!$A$2:$OJ$901,429,MATCH($B$2&amp;"|yC",Aux_puntos!$1:$1,0))),NA())</f>
        <v/>
      </c>
      <c r="AG433">
        <f>IFERROR(IF(INDEX(Aux_puntos!$A$2:$OJ$901,429,MATCH($B$2&amp;"|xI",Aux_puntos!$1:$1,0))="",NA(),INDEX(Aux_puntos!$A$2:$OJ$901,429,MATCH($B$2&amp;"|xI",Aux_puntos!$1:$1,0))),NA())</f>
        <v/>
      </c>
      <c r="AH433">
        <f>IFERROR(IF(INDEX(Aux_puntos!$A$2:$OJ$901,429,MATCH($B$2&amp;"|yI",Aux_puntos!$1:$1,0))="",NA(),INDEX(Aux_puntos!$A$2:$OJ$901,429,MATCH($B$2&amp;"|yI",Aux_puntos!$1:$1,0))),NA())</f>
        <v/>
      </c>
      <c r="AI433">
        <f>IFERROR(IF(INDEX(Aux_puntos!$A$2:$OJ$901,429,MATCH($B$2&amp;"|xN",Aux_puntos!$1:$1,0))="",NA(),INDEX(Aux_puntos!$A$2:$OJ$901,429,MATCH($B$2&amp;"|xN",Aux_puntos!$1:$1,0))),NA())</f>
        <v/>
      </c>
      <c r="AJ433">
        <f>IFERROR(IF(INDEX(Aux_puntos!$A$2:$OJ$901,429,MATCH($B$2&amp;"|yN",Aux_puntos!$1:$1,0))="",NA(),INDEX(Aux_puntos!$A$2:$OJ$901,429,MATCH($B$2&amp;"|yN",Aux_puntos!$1:$1,0))),NA())</f>
        <v/>
      </c>
    </row>
    <row r="434">
      <c r="AC434">
        <f>IFERROR(IF(INDEX(Aux_puntos!$A$2:$OJ$901,430,MATCH($B$2&amp;"|xK",Aux_puntos!$1:$1,0))="",NA(),INDEX(Aux_puntos!$A$2:$OJ$901,430,MATCH($B$2&amp;"|xK",Aux_puntos!$1:$1,0))),NA())</f>
        <v/>
      </c>
      <c r="AD434">
        <f>IFERROR(IF(INDEX(Aux_puntos!$A$2:$OJ$901,430,MATCH($B$2&amp;"|yK",Aux_puntos!$1:$1,0))="",NA(),INDEX(Aux_puntos!$A$2:$OJ$901,430,MATCH($B$2&amp;"|yK",Aux_puntos!$1:$1,0))),NA())</f>
        <v/>
      </c>
      <c r="AE434">
        <f>IFERROR(IF(INDEX(Aux_puntos!$A$2:$OJ$901,430,MATCH($B$2&amp;"|xC",Aux_puntos!$1:$1,0))="",NA(),INDEX(Aux_puntos!$A$2:$OJ$901,430,MATCH($B$2&amp;"|xC",Aux_puntos!$1:$1,0))),NA())</f>
        <v/>
      </c>
      <c r="AF434">
        <f>IFERROR(IF(INDEX(Aux_puntos!$A$2:$OJ$901,430,MATCH($B$2&amp;"|yC",Aux_puntos!$1:$1,0))="",NA(),INDEX(Aux_puntos!$A$2:$OJ$901,430,MATCH($B$2&amp;"|yC",Aux_puntos!$1:$1,0))),NA())</f>
        <v/>
      </c>
      <c r="AG434">
        <f>IFERROR(IF(INDEX(Aux_puntos!$A$2:$OJ$901,430,MATCH($B$2&amp;"|xI",Aux_puntos!$1:$1,0))="",NA(),INDEX(Aux_puntos!$A$2:$OJ$901,430,MATCH($B$2&amp;"|xI",Aux_puntos!$1:$1,0))),NA())</f>
        <v/>
      </c>
      <c r="AH434">
        <f>IFERROR(IF(INDEX(Aux_puntos!$A$2:$OJ$901,430,MATCH($B$2&amp;"|yI",Aux_puntos!$1:$1,0))="",NA(),INDEX(Aux_puntos!$A$2:$OJ$901,430,MATCH($B$2&amp;"|yI",Aux_puntos!$1:$1,0))),NA())</f>
        <v/>
      </c>
      <c r="AI434">
        <f>IFERROR(IF(INDEX(Aux_puntos!$A$2:$OJ$901,430,MATCH($B$2&amp;"|xN",Aux_puntos!$1:$1,0))="",NA(),INDEX(Aux_puntos!$A$2:$OJ$901,430,MATCH($B$2&amp;"|xN",Aux_puntos!$1:$1,0))),NA())</f>
        <v/>
      </c>
      <c r="AJ434">
        <f>IFERROR(IF(INDEX(Aux_puntos!$A$2:$OJ$901,430,MATCH($B$2&amp;"|yN",Aux_puntos!$1:$1,0))="",NA(),INDEX(Aux_puntos!$A$2:$OJ$901,430,MATCH($B$2&amp;"|yN",Aux_puntos!$1:$1,0))),NA())</f>
        <v/>
      </c>
    </row>
    <row r="435">
      <c r="AC435">
        <f>IFERROR(IF(INDEX(Aux_puntos!$A$2:$OJ$901,431,MATCH($B$2&amp;"|xK",Aux_puntos!$1:$1,0))="",NA(),INDEX(Aux_puntos!$A$2:$OJ$901,431,MATCH($B$2&amp;"|xK",Aux_puntos!$1:$1,0))),NA())</f>
        <v/>
      </c>
      <c r="AD435">
        <f>IFERROR(IF(INDEX(Aux_puntos!$A$2:$OJ$901,431,MATCH($B$2&amp;"|yK",Aux_puntos!$1:$1,0))="",NA(),INDEX(Aux_puntos!$A$2:$OJ$901,431,MATCH($B$2&amp;"|yK",Aux_puntos!$1:$1,0))),NA())</f>
        <v/>
      </c>
      <c r="AE435">
        <f>IFERROR(IF(INDEX(Aux_puntos!$A$2:$OJ$901,431,MATCH($B$2&amp;"|xC",Aux_puntos!$1:$1,0))="",NA(),INDEX(Aux_puntos!$A$2:$OJ$901,431,MATCH($B$2&amp;"|xC",Aux_puntos!$1:$1,0))),NA())</f>
        <v/>
      </c>
      <c r="AF435">
        <f>IFERROR(IF(INDEX(Aux_puntos!$A$2:$OJ$901,431,MATCH($B$2&amp;"|yC",Aux_puntos!$1:$1,0))="",NA(),INDEX(Aux_puntos!$A$2:$OJ$901,431,MATCH($B$2&amp;"|yC",Aux_puntos!$1:$1,0))),NA())</f>
        <v/>
      </c>
      <c r="AG435">
        <f>IFERROR(IF(INDEX(Aux_puntos!$A$2:$OJ$901,431,MATCH($B$2&amp;"|xI",Aux_puntos!$1:$1,0))="",NA(),INDEX(Aux_puntos!$A$2:$OJ$901,431,MATCH($B$2&amp;"|xI",Aux_puntos!$1:$1,0))),NA())</f>
        <v/>
      </c>
      <c r="AH435">
        <f>IFERROR(IF(INDEX(Aux_puntos!$A$2:$OJ$901,431,MATCH($B$2&amp;"|yI",Aux_puntos!$1:$1,0))="",NA(),INDEX(Aux_puntos!$A$2:$OJ$901,431,MATCH($B$2&amp;"|yI",Aux_puntos!$1:$1,0))),NA())</f>
        <v/>
      </c>
      <c r="AI435">
        <f>IFERROR(IF(INDEX(Aux_puntos!$A$2:$OJ$901,431,MATCH($B$2&amp;"|xN",Aux_puntos!$1:$1,0))="",NA(),INDEX(Aux_puntos!$A$2:$OJ$901,431,MATCH($B$2&amp;"|xN",Aux_puntos!$1:$1,0))),NA())</f>
        <v/>
      </c>
      <c r="AJ435">
        <f>IFERROR(IF(INDEX(Aux_puntos!$A$2:$OJ$901,431,MATCH($B$2&amp;"|yN",Aux_puntos!$1:$1,0))="",NA(),INDEX(Aux_puntos!$A$2:$OJ$901,431,MATCH($B$2&amp;"|yN",Aux_puntos!$1:$1,0))),NA())</f>
        <v/>
      </c>
    </row>
    <row r="436">
      <c r="AC436">
        <f>IFERROR(IF(INDEX(Aux_puntos!$A$2:$OJ$901,432,MATCH($B$2&amp;"|xK",Aux_puntos!$1:$1,0))="",NA(),INDEX(Aux_puntos!$A$2:$OJ$901,432,MATCH($B$2&amp;"|xK",Aux_puntos!$1:$1,0))),NA())</f>
        <v/>
      </c>
      <c r="AD436">
        <f>IFERROR(IF(INDEX(Aux_puntos!$A$2:$OJ$901,432,MATCH($B$2&amp;"|yK",Aux_puntos!$1:$1,0))="",NA(),INDEX(Aux_puntos!$A$2:$OJ$901,432,MATCH($B$2&amp;"|yK",Aux_puntos!$1:$1,0))),NA())</f>
        <v/>
      </c>
      <c r="AE436">
        <f>IFERROR(IF(INDEX(Aux_puntos!$A$2:$OJ$901,432,MATCH($B$2&amp;"|xC",Aux_puntos!$1:$1,0))="",NA(),INDEX(Aux_puntos!$A$2:$OJ$901,432,MATCH($B$2&amp;"|xC",Aux_puntos!$1:$1,0))),NA())</f>
        <v/>
      </c>
      <c r="AF436">
        <f>IFERROR(IF(INDEX(Aux_puntos!$A$2:$OJ$901,432,MATCH($B$2&amp;"|yC",Aux_puntos!$1:$1,0))="",NA(),INDEX(Aux_puntos!$A$2:$OJ$901,432,MATCH($B$2&amp;"|yC",Aux_puntos!$1:$1,0))),NA())</f>
        <v/>
      </c>
      <c r="AG436">
        <f>IFERROR(IF(INDEX(Aux_puntos!$A$2:$OJ$901,432,MATCH($B$2&amp;"|xI",Aux_puntos!$1:$1,0))="",NA(),INDEX(Aux_puntos!$A$2:$OJ$901,432,MATCH($B$2&amp;"|xI",Aux_puntos!$1:$1,0))),NA())</f>
        <v/>
      </c>
      <c r="AH436">
        <f>IFERROR(IF(INDEX(Aux_puntos!$A$2:$OJ$901,432,MATCH($B$2&amp;"|yI",Aux_puntos!$1:$1,0))="",NA(),INDEX(Aux_puntos!$A$2:$OJ$901,432,MATCH($B$2&amp;"|yI",Aux_puntos!$1:$1,0))),NA())</f>
        <v/>
      </c>
      <c r="AI436">
        <f>IFERROR(IF(INDEX(Aux_puntos!$A$2:$OJ$901,432,MATCH($B$2&amp;"|xN",Aux_puntos!$1:$1,0))="",NA(),INDEX(Aux_puntos!$A$2:$OJ$901,432,MATCH($B$2&amp;"|xN",Aux_puntos!$1:$1,0))),NA())</f>
        <v/>
      </c>
      <c r="AJ436">
        <f>IFERROR(IF(INDEX(Aux_puntos!$A$2:$OJ$901,432,MATCH($B$2&amp;"|yN",Aux_puntos!$1:$1,0))="",NA(),INDEX(Aux_puntos!$A$2:$OJ$901,432,MATCH($B$2&amp;"|yN",Aux_puntos!$1:$1,0))),NA())</f>
        <v/>
      </c>
    </row>
    <row r="437">
      <c r="AC437">
        <f>IFERROR(IF(INDEX(Aux_puntos!$A$2:$OJ$901,433,MATCH($B$2&amp;"|xK",Aux_puntos!$1:$1,0))="",NA(),INDEX(Aux_puntos!$A$2:$OJ$901,433,MATCH($B$2&amp;"|xK",Aux_puntos!$1:$1,0))),NA())</f>
        <v/>
      </c>
      <c r="AD437">
        <f>IFERROR(IF(INDEX(Aux_puntos!$A$2:$OJ$901,433,MATCH($B$2&amp;"|yK",Aux_puntos!$1:$1,0))="",NA(),INDEX(Aux_puntos!$A$2:$OJ$901,433,MATCH($B$2&amp;"|yK",Aux_puntos!$1:$1,0))),NA())</f>
        <v/>
      </c>
      <c r="AE437">
        <f>IFERROR(IF(INDEX(Aux_puntos!$A$2:$OJ$901,433,MATCH($B$2&amp;"|xC",Aux_puntos!$1:$1,0))="",NA(),INDEX(Aux_puntos!$A$2:$OJ$901,433,MATCH($B$2&amp;"|xC",Aux_puntos!$1:$1,0))),NA())</f>
        <v/>
      </c>
      <c r="AF437">
        <f>IFERROR(IF(INDEX(Aux_puntos!$A$2:$OJ$901,433,MATCH($B$2&amp;"|yC",Aux_puntos!$1:$1,0))="",NA(),INDEX(Aux_puntos!$A$2:$OJ$901,433,MATCH($B$2&amp;"|yC",Aux_puntos!$1:$1,0))),NA())</f>
        <v/>
      </c>
      <c r="AG437">
        <f>IFERROR(IF(INDEX(Aux_puntos!$A$2:$OJ$901,433,MATCH($B$2&amp;"|xI",Aux_puntos!$1:$1,0))="",NA(),INDEX(Aux_puntos!$A$2:$OJ$901,433,MATCH($B$2&amp;"|xI",Aux_puntos!$1:$1,0))),NA())</f>
        <v/>
      </c>
      <c r="AH437">
        <f>IFERROR(IF(INDEX(Aux_puntos!$A$2:$OJ$901,433,MATCH($B$2&amp;"|yI",Aux_puntos!$1:$1,0))="",NA(),INDEX(Aux_puntos!$A$2:$OJ$901,433,MATCH($B$2&amp;"|yI",Aux_puntos!$1:$1,0))),NA())</f>
        <v/>
      </c>
      <c r="AI437">
        <f>IFERROR(IF(INDEX(Aux_puntos!$A$2:$OJ$901,433,MATCH($B$2&amp;"|xN",Aux_puntos!$1:$1,0))="",NA(),INDEX(Aux_puntos!$A$2:$OJ$901,433,MATCH($B$2&amp;"|xN",Aux_puntos!$1:$1,0))),NA())</f>
        <v/>
      </c>
      <c r="AJ437">
        <f>IFERROR(IF(INDEX(Aux_puntos!$A$2:$OJ$901,433,MATCH($B$2&amp;"|yN",Aux_puntos!$1:$1,0))="",NA(),INDEX(Aux_puntos!$A$2:$OJ$901,433,MATCH($B$2&amp;"|yN",Aux_puntos!$1:$1,0))),NA())</f>
        <v/>
      </c>
    </row>
    <row r="438">
      <c r="AC438">
        <f>IFERROR(IF(INDEX(Aux_puntos!$A$2:$OJ$901,434,MATCH($B$2&amp;"|xK",Aux_puntos!$1:$1,0))="",NA(),INDEX(Aux_puntos!$A$2:$OJ$901,434,MATCH($B$2&amp;"|xK",Aux_puntos!$1:$1,0))),NA())</f>
        <v/>
      </c>
      <c r="AD438">
        <f>IFERROR(IF(INDEX(Aux_puntos!$A$2:$OJ$901,434,MATCH($B$2&amp;"|yK",Aux_puntos!$1:$1,0))="",NA(),INDEX(Aux_puntos!$A$2:$OJ$901,434,MATCH($B$2&amp;"|yK",Aux_puntos!$1:$1,0))),NA())</f>
        <v/>
      </c>
      <c r="AE438">
        <f>IFERROR(IF(INDEX(Aux_puntos!$A$2:$OJ$901,434,MATCH($B$2&amp;"|xC",Aux_puntos!$1:$1,0))="",NA(),INDEX(Aux_puntos!$A$2:$OJ$901,434,MATCH($B$2&amp;"|xC",Aux_puntos!$1:$1,0))),NA())</f>
        <v/>
      </c>
      <c r="AF438">
        <f>IFERROR(IF(INDEX(Aux_puntos!$A$2:$OJ$901,434,MATCH($B$2&amp;"|yC",Aux_puntos!$1:$1,0))="",NA(),INDEX(Aux_puntos!$A$2:$OJ$901,434,MATCH($B$2&amp;"|yC",Aux_puntos!$1:$1,0))),NA())</f>
        <v/>
      </c>
      <c r="AG438">
        <f>IFERROR(IF(INDEX(Aux_puntos!$A$2:$OJ$901,434,MATCH($B$2&amp;"|xI",Aux_puntos!$1:$1,0))="",NA(),INDEX(Aux_puntos!$A$2:$OJ$901,434,MATCH($B$2&amp;"|xI",Aux_puntos!$1:$1,0))),NA())</f>
        <v/>
      </c>
      <c r="AH438">
        <f>IFERROR(IF(INDEX(Aux_puntos!$A$2:$OJ$901,434,MATCH($B$2&amp;"|yI",Aux_puntos!$1:$1,0))="",NA(),INDEX(Aux_puntos!$A$2:$OJ$901,434,MATCH($B$2&amp;"|yI",Aux_puntos!$1:$1,0))),NA())</f>
        <v/>
      </c>
      <c r="AI438">
        <f>IFERROR(IF(INDEX(Aux_puntos!$A$2:$OJ$901,434,MATCH($B$2&amp;"|xN",Aux_puntos!$1:$1,0))="",NA(),INDEX(Aux_puntos!$A$2:$OJ$901,434,MATCH($B$2&amp;"|xN",Aux_puntos!$1:$1,0))),NA())</f>
        <v/>
      </c>
      <c r="AJ438">
        <f>IFERROR(IF(INDEX(Aux_puntos!$A$2:$OJ$901,434,MATCH($B$2&amp;"|yN",Aux_puntos!$1:$1,0))="",NA(),INDEX(Aux_puntos!$A$2:$OJ$901,434,MATCH($B$2&amp;"|yN",Aux_puntos!$1:$1,0))),NA())</f>
        <v/>
      </c>
    </row>
    <row r="439">
      <c r="AC439">
        <f>IFERROR(IF(INDEX(Aux_puntos!$A$2:$OJ$901,435,MATCH($B$2&amp;"|xK",Aux_puntos!$1:$1,0))="",NA(),INDEX(Aux_puntos!$A$2:$OJ$901,435,MATCH($B$2&amp;"|xK",Aux_puntos!$1:$1,0))),NA())</f>
        <v/>
      </c>
      <c r="AD439">
        <f>IFERROR(IF(INDEX(Aux_puntos!$A$2:$OJ$901,435,MATCH($B$2&amp;"|yK",Aux_puntos!$1:$1,0))="",NA(),INDEX(Aux_puntos!$A$2:$OJ$901,435,MATCH($B$2&amp;"|yK",Aux_puntos!$1:$1,0))),NA())</f>
        <v/>
      </c>
      <c r="AE439">
        <f>IFERROR(IF(INDEX(Aux_puntos!$A$2:$OJ$901,435,MATCH($B$2&amp;"|xC",Aux_puntos!$1:$1,0))="",NA(),INDEX(Aux_puntos!$A$2:$OJ$901,435,MATCH($B$2&amp;"|xC",Aux_puntos!$1:$1,0))),NA())</f>
        <v/>
      </c>
      <c r="AF439">
        <f>IFERROR(IF(INDEX(Aux_puntos!$A$2:$OJ$901,435,MATCH($B$2&amp;"|yC",Aux_puntos!$1:$1,0))="",NA(),INDEX(Aux_puntos!$A$2:$OJ$901,435,MATCH($B$2&amp;"|yC",Aux_puntos!$1:$1,0))),NA())</f>
        <v/>
      </c>
      <c r="AG439">
        <f>IFERROR(IF(INDEX(Aux_puntos!$A$2:$OJ$901,435,MATCH($B$2&amp;"|xI",Aux_puntos!$1:$1,0))="",NA(),INDEX(Aux_puntos!$A$2:$OJ$901,435,MATCH($B$2&amp;"|xI",Aux_puntos!$1:$1,0))),NA())</f>
        <v/>
      </c>
      <c r="AH439">
        <f>IFERROR(IF(INDEX(Aux_puntos!$A$2:$OJ$901,435,MATCH($B$2&amp;"|yI",Aux_puntos!$1:$1,0))="",NA(),INDEX(Aux_puntos!$A$2:$OJ$901,435,MATCH($B$2&amp;"|yI",Aux_puntos!$1:$1,0))),NA())</f>
        <v/>
      </c>
      <c r="AI439">
        <f>IFERROR(IF(INDEX(Aux_puntos!$A$2:$OJ$901,435,MATCH($B$2&amp;"|xN",Aux_puntos!$1:$1,0))="",NA(),INDEX(Aux_puntos!$A$2:$OJ$901,435,MATCH($B$2&amp;"|xN",Aux_puntos!$1:$1,0))),NA())</f>
        <v/>
      </c>
      <c r="AJ439">
        <f>IFERROR(IF(INDEX(Aux_puntos!$A$2:$OJ$901,435,MATCH($B$2&amp;"|yN",Aux_puntos!$1:$1,0))="",NA(),INDEX(Aux_puntos!$A$2:$OJ$901,435,MATCH($B$2&amp;"|yN",Aux_puntos!$1:$1,0))),NA())</f>
        <v/>
      </c>
    </row>
    <row r="440">
      <c r="AC440">
        <f>IFERROR(IF(INDEX(Aux_puntos!$A$2:$OJ$901,436,MATCH($B$2&amp;"|xK",Aux_puntos!$1:$1,0))="",NA(),INDEX(Aux_puntos!$A$2:$OJ$901,436,MATCH($B$2&amp;"|xK",Aux_puntos!$1:$1,0))),NA())</f>
        <v/>
      </c>
      <c r="AD440">
        <f>IFERROR(IF(INDEX(Aux_puntos!$A$2:$OJ$901,436,MATCH($B$2&amp;"|yK",Aux_puntos!$1:$1,0))="",NA(),INDEX(Aux_puntos!$A$2:$OJ$901,436,MATCH($B$2&amp;"|yK",Aux_puntos!$1:$1,0))),NA())</f>
        <v/>
      </c>
      <c r="AE440">
        <f>IFERROR(IF(INDEX(Aux_puntos!$A$2:$OJ$901,436,MATCH($B$2&amp;"|xC",Aux_puntos!$1:$1,0))="",NA(),INDEX(Aux_puntos!$A$2:$OJ$901,436,MATCH($B$2&amp;"|xC",Aux_puntos!$1:$1,0))),NA())</f>
        <v/>
      </c>
      <c r="AF440">
        <f>IFERROR(IF(INDEX(Aux_puntos!$A$2:$OJ$901,436,MATCH($B$2&amp;"|yC",Aux_puntos!$1:$1,0))="",NA(),INDEX(Aux_puntos!$A$2:$OJ$901,436,MATCH($B$2&amp;"|yC",Aux_puntos!$1:$1,0))),NA())</f>
        <v/>
      </c>
      <c r="AG440">
        <f>IFERROR(IF(INDEX(Aux_puntos!$A$2:$OJ$901,436,MATCH($B$2&amp;"|xI",Aux_puntos!$1:$1,0))="",NA(),INDEX(Aux_puntos!$A$2:$OJ$901,436,MATCH($B$2&amp;"|xI",Aux_puntos!$1:$1,0))),NA())</f>
        <v/>
      </c>
      <c r="AH440">
        <f>IFERROR(IF(INDEX(Aux_puntos!$A$2:$OJ$901,436,MATCH($B$2&amp;"|yI",Aux_puntos!$1:$1,0))="",NA(),INDEX(Aux_puntos!$A$2:$OJ$901,436,MATCH($B$2&amp;"|yI",Aux_puntos!$1:$1,0))),NA())</f>
        <v/>
      </c>
      <c r="AI440">
        <f>IFERROR(IF(INDEX(Aux_puntos!$A$2:$OJ$901,436,MATCH($B$2&amp;"|xN",Aux_puntos!$1:$1,0))="",NA(),INDEX(Aux_puntos!$A$2:$OJ$901,436,MATCH($B$2&amp;"|xN",Aux_puntos!$1:$1,0))),NA())</f>
        <v/>
      </c>
      <c r="AJ440">
        <f>IFERROR(IF(INDEX(Aux_puntos!$A$2:$OJ$901,436,MATCH($B$2&amp;"|yN",Aux_puntos!$1:$1,0))="",NA(),INDEX(Aux_puntos!$A$2:$OJ$901,436,MATCH($B$2&amp;"|yN",Aux_puntos!$1:$1,0))),NA())</f>
        <v/>
      </c>
    </row>
    <row r="441">
      <c r="AC441">
        <f>IFERROR(IF(INDEX(Aux_puntos!$A$2:$OJ$901,437,MATCH($B$2&amp;"|xK",Aux_puntos!$1:$1,0))="",NA(),INDEX(Aux_puntos!$A$2:$OJ$901,437,MATCH($B$2&amp;"|xK",Aux_puntos!$1:$1,0))),NA())</f>
        <v/>
      </c>
      <c r="AD441">
        <f>IFERROR(IF(INDEX(Aux_puntos!$A$2:$OJ$901,437,MATCH($B$2&amp;"|yK",Aux_puntos!$1:$1,0))="",NA(),INDEX(Aux_puntos!$A$2:$OJ$901,437,MATCH($B$2&amp;"|yK",Aux_puntos!$1:$1,0))),NA())</f>
        <v/>
      </c>
      <c r="AE441">
        <f>IFERROR(IF(INDEX(Aux_puntos!$A$2:$OJ$901,437,MATCH($B$2&amp;"|xC",Aux_puntos!$1:$1,0))="",NA(),INDEX(Aux_puntos!$A$2:$OJ$901,437,MATCH($B$2&amp;"|xC",Aux_puntos!$1:$1,0))),NA())</f>
        <v/>
      </c>
      <c r="AF441">
        <f>IFERROR(IF(INDEX(Aux_puntos!$A$2:$OJ$901,437,MATCH($B$2&amp;"|yC",Aux_puntos!$1:$1,0))="",NA(),INDEX(Aux_puntos!$A$2:$OJ$901,437,MATCH($B$2&amp;"|yC",Aux_puntos!$1:$1,0))),NA())</f>
        <v/>
      </c>
      <c r="AG441">
        <f>IFERROR(IF(INDEX(Aux_puntos!$A$2:$OJ$901,437,MATCH($B$2&amp;"|xI",Aux_puntos!$1:$1,0))="",NA(),INDEX(Aux_puntos!$A$2:$OJ$901,437,MATCH($B$2&amp;"|xI",Aux_puntos!$1:$1,0))),NA())</f>
        <v/>
      </c>
      <c r="AH441">
        <f>IFERROR(IF(INDEX(Aux_puntos!$A$2:$OJ$901,437,MATCH($B$2&amp;"|yI",Aux_puntos!$1:$1,0))="",NA(),INDEX(Aux_puntos!$A$2:$OJ$901,437,MATCH($B$2&amp;"|yI",Aux_puntos!$1:$1,0))),NA())</f>
        <v/>
      </c>
      <c r="AI441">
        <f>IFERROR(IF(INDEX(Aux_puntos!$A$2:$OJ$901,437,MATCH($B$2&amp;"|xN",Aux_puntos!$1:$1,0))="",NA(),INDEX(Aux_puntos!$A$2:$OJ$901,437,MATCH($B$2&amp;"|xN",Aux_puntos!$1:$1,0))),NA())</f>
        <v/>
      </c>
      <c r="AJ441">
        <f>IFERROR(IF(INDEX(Aux_puntos!$A$2:$OJ$901,437,MATCH($B$2&amp;"|yN",Aux_puntos!$1:$1,0))="",NA(),INDEX(Aux_puntos!$A$2:$OJ$901,437,MATCH($B$2&amp;"|yN",Aux_puntos!$1:$1,0))),NA())</f>
        <v/>
      </c>
    </row>
    <row r="442">
      <c r="AC442">
        <f>IFERROR(IF(INDEX(Aux_puntos!$A$2:$OJ$901,438,MATCH($B$2&amp;"|xK",Aux_puntos!$1:$1,0))="",NA(),INDEX(Aux_puntos!$A$2:$OJ$901,438,MATCH($B$2&amp;"|xK",Aux_puntos!$1:$1,0))),NA())</f>
        <v/>
      </c>
      <c r="AD442">
        <f>IFERROR(IF(INDEX(Aux_puntos!$A$2:$OJ$901,438,MATCH($B$2&amp;"|yK",Aux_puntos!$1:$1,0))="",NA(),INDEX(Aux_puntos!$A$2:$OJ$901,438,MATCH($B$2&amp;"|yK",Aux_puntos!$1:$1,0))),NA())</f>
        <v/>
      </c>
      <c r="AE442">
        <f>IFERROR(IF(INDEX(Aux_puntos!$A$2:$OJ$901,438,MATCH($B$2&amp;"|xC",Aux_puntos!$1:$1,0))="",NA(),INDEX(Aux_puntos!$A$2:$OJ$901,438,MATCH($B$2&amp;"|xC",Aux_puntos!$1:$1,0))),NA())</f>
        <v/>
      </c>
      <c r="AF442">
        <f>IFERROR(IF(INDEX(Aux_puntos!$A$2:$OJ$901,438,MATCH($B$2&amp;"|yC",Aux_puntos!$1:$1,0))="",NA(),INDEX(Aux_puntos!$A$2:$OJ$901,438,MATCH($B$2&amp;"|yC",Aux_puntos!$1:$1,0))),NA())</f>
        <v/>
      </c>
      <c r="AG442">
        <f>IFERROR(IF(INDEX(Aux_puntos!$A$2:$OJ$901,438,MATCH($B$2&amp;"|xI",Aux_puntos!$1:$1,0))="",NA(),INDEX(Aux_puntos!$A$2:$OJ$901,438,MATCH($B$2&amp;"|xI",Aux_puntos!$1:$1,0))),NA())</f>
        <v/>
      </c>
      <c r="AH442">
        <f>IFERROR(IF(INDEX(Aux_puntos!$A$2:$OJ$901,438,MATCH($B$2&amp;"|yI",Aux_puntos!$1:$1,0))="",NA(),INDEX(Aux_puntos!$A$2:$OJ$901,438,MATCH($B$2&amp;"|yI",Aux_puntos!$1:$1,0))),NA())</f>
        <v/>
      </c>
      <c r="AI442">
        <f>IFERROR(IF(INDEX(Aux_puntos!$A$2:$OJ$901,438,MATCH($B$2&amp;"|xN",Aux_puntos!$1:$1,0))="",NA(),INDEX(Aux_puntos!$A$2:$OJ$901,438,MATCH($B$2&amp;"|xN",Aux_puntos!$1:$1,0))),NA())</f>
        <v/>
      </c>
      <c r="AJ442">
        <f>IFERROR(IF(INDEX(Aux_puntos!$A$2:$OJ$901,438,MATCH($B$2&amp;"|yN",Aux_puntos!$1:$1,0))="",NA(),INDEX(Aux_puntos!$A$2:$OJ$901,438,MATCH($B$2&amp;"|yN",Aux_puntos!$1:$1,0))),NA())</f>
        <v/>
      </c>
    </row>
    <row r="443">
      <c r="AC443">
        <f>IFERROR(IF(INDEX(Aux_puntos!$A$2:$OJ$901,439,MATCH($B$2&amp;"|xK",Aux_puntos!$1:$1,0))="",NA(),INDEX(Aux_puntos!$A$2:$OJ$901,439,MATCH($B$2&amp;"|xK",Aux_puntos!$1:$1,0))),NA())</f>
        <v/>
      </c>
      <c r="AD443">
        <f>IFERROR(IF(INDEX(Aux_puntos!$A$2:$OJ$901,439,MATCH($B$2&amp;"|yK",Aux_puntos!$1:$1,0))="",NA(),INDEX(Aux_puntos!$A$2:$OJ$901,439,MATCH($B$2&amp;"|yK",Aux_puntos!$1:$1,0))),NA())</f>
        <v/>
      </c>
      <c r="AE443">
        <f>IFERROR(IF(INDEX(Aux_puntos!$A$2:$OJ$901,439,MATCH($B$2&amp;"|xC",Aux_puntos!$1:$1,0))="",NA(),INDEX(Aux_puntos!$A$2:$OJ$901,439,MATCH($B$2&amp;"|xC",Aux_puntos!$1:$1,0))),NA())</f>
        <v/>
      </c>
      <c r="AF443">
        <f>IFERROR(IF(INDEX(Aux_puntos!$A$2:$OJ$901,439,MATCH($B$2&amp;"|yC",Aux_puntos!$1:$1,0))="",NA(),INDEX(Aux_puntos!$A$2:$OJ$901,439,MATCH($B$2&amp;"|yC",Aux_puntos!$1:$1,0))),NA())</f>
        <v/>
      </c>
      <c r="AG443">
        <f>IFERROR(IF(INDEX(Aux_puntos!$A$2:$OJ$901,439,MATCH($B$2&amp;"|xI",Aux_puntos!$1:$1,0))="",NA(),INDEX(Aux_puntos!$A$2:$OJ$901,439,MATCH($B$2&amp;"|xI",Aux_puntos!$1:$1,0))),NA())</f>
        <v/>
      </c>
      <c r="AH443">
        <f>IFERROR(IF(INDEX(Aux_puntos!$A$2:$OJ$901,439,MATCH($B$2&amp;"|yI",Aux_puntos!$1:$1,0))="",NA(),INDEX(Aux_puntos!$A$2:$OJ$901,439,MATCH($B$2&amp;"|yI",Aux_puntos!$1:$1,0))),NA())</f>
        <v/>
      </c>
      <c r="AI443">
        <f>IFERROR(IF(INDEX(Aux_puntos!$A$2:$OJ$901,439,MATCH($B$2&amp;"|xN",Aux_puntos!$1:$1,0))="",NA(),INDEX(Aux_puntos!$A$2:$OJ$901,439,MATCH($B$2&amp;"|xN",Aux_puntos!$1:$1,0))),NA())</f>
        <v/>
      </c>
      <c r="AJ443">
        <f>IFERROR(IF(INDEX(Aux_puntos!$A$2:$OJ$901,439,MATCH($B$2&amp;"|yN",Aux_puntos!$1:$1,0))="",NA(),INDEX(Aux_puntos!$A$2:$OJ$901,439,MATCH($B$2&amp;"|yN",Aux_puntos!$1:$1,0))),NA())</f>
        <v/>
      </c>
    </row>
    <row r="444">
      <c r="AC444">
        <f>IFERROR(IF(INDEX(Aux_puntos!$A$2:$OJ$901,440,MATCH($B$2&amp;"|xK",Aux_puntos!$1:$1,0))="",NA(),INDEX(Aux_puntos!$A$2:$OJ$901,440,MATCH($B$2&amp;"|xK",Aux_puntos!$1:$1,0))),NA())</f>
        <v/>
      </c>
      <c r="AD444">
        <f>IFERROR(IF(INDEX(Aux_puntos!$A$2:$OJ$901,440,MATCH($B$2&amp;"|yK",Aux_puntos!$1:$1,0))="",NA(),INDEX(Aux_puntos!$A$2:$OJ$901,440,MATCH($B$2&amp;"|yK",Aux_puntos!$1:$1,0))),NA())</f>
        <v/>
      </c>
      <c r="AE444">
        <f>IFERROR(IF(INDEX(Aux_puntos!$A$2:$OJ$901,440,MATCH($B$2&amp;"|xC",Aux_puntos!$1:$1,0))="",NA(),INDEX(Aux_puntos!$A$2:$OJ$901,440,MATCH($B$2&amp;"|xC",Aux_puntos!$1:$1,0))),NA())</f>
        <v/>
      </c>
      <c r="AF444">
        <f>IFERROR(IF(INDEX(Aux_puntos!$A$2:$OJ$901,440,MATCH($B$2&amp;"|yC",Aux_puntos!$1:$1,0))="",NA(),INDEX(Aux_puntos!$A$2:$OJ$901,440,MATCH($B$2&amp;"|yC",Aux_puntos!$1:$1,0))),NA())</f>
        <v/>
      </c>
      <c r="AG444">
        <f>IFERROR(IF(INDEX(Aux_puntos!$A$2:$OJ$901,440,MATCH($B$2&amp;"|xI",Aux_puntos!$1:$1,0))="",NA(),INDEX(Aux_puntos!$A$2:$OJ$901,440,MATCH($B$2&amp;"|xI",Aux_puntos!$1:$1,0))),NA())</f>
        <v/>
      </c>
      <c r="AH444">
        <f>IFERROR(IF(INDEX(Aux_puntos!$A$2:$OJ$901,440,MATCH($B$2&amp;"|yI",Aux_puntos!$1:$1,0))="",NA(),INDEX(Aux_puntos!$A$2:$OJ$901,440,MATCH($B$2&amp;"|yI",Aux_puntos!$1:$1,0))),NA())</f>
        <v/>
      </c>
      <c r="AI444">
        <f>IFERROR(IF(INDEX(Aux_puntos!$A$2:$OJ$901,440,MATCH($B$2&amp;"|xN",Aux_puntos!$1:$1,0))="",NA(),INDEX(Aux_puntos!$A$2:$OJ$901,440,MATCH($B$2&amp;"|xN",Aux_puntos!$1:$1,0))),NA())</f>
        <v/>
      </c>
      <c r="AJ444">
        <f>IFERROR(IF(INDEX(Aux_puntos!$A$2:$OJ$901,440,MATCH($B$2&amp;"|yN",Aux_puntos!$1:$1,0))="",NA(),INDEX(Aux_puntos!$A$2:$OJ$901,440,MATCH($B$2&amp;"|yN",Aux_puntos!$1:$1,0))),NA())</f>
        <v/>
      </c>
    </row>
    <row r="445">
      <c r="AC445">
        <f>IFERROR(IF(INDEX(Aux_puntos!$A$2:$OJ$901,441,MATCH($B$2&amp;"|xK",Aux_puntos!$1:$1,0))="",NA(),INDEX(Aux_puntos!$A$2:$OJ$901,441,MATCH($B$2&amp;"|xK",Aux_puntos!$1:$1,0))),NA())</f>
        <v/>
      </c>
      <c r="AD445">
        <f>IFERROR(IF(INDEX(Aux_puntos!$A$2:$OJ$901,441,MATCH($B$2&amp;"|yK",Aux_puntos!$1:$1,0))="",NA(),INDEX(Aux_puntos!$A$2:$OJ$901,441,MATCH($B$2&amp;"|yK",Aux_puntos!$1:$1,0))),NA())</f>
        <v/>
      </c>
      <c r="AE445">
        <f>IFERROR(IF(INDEX(Aux_puntos!$A$2:$OJ$901,441,MATCH($B$2&amp;"|xC",Aux_puntos!$1:$1,0))="",NA(),INDEX(Aux_puntos!$A$2:$OJ$901,441,MATCH($B$2&amp;"|xC",Aux_puntos!$1:$1,0))),NA())</f>
        <v/>
      </c>
      <c r="AF445">
        <f>IFERROR(IF(INDEX(Aux_puntos!$A$2:$OJ$901,441,MATCH($B$2&amp;"|yC",Aux_puntos!$1:$1,0))="",NA(),INDEX(Aux_puntos!$A$2:$OJ$901,441,MATCH($B$2&amp;"|yC",Aux_puntos!$1:$1,0))),NA())</f>
        <v/>
      </c>
      <c r="AG445">
        <f>IFERROR(IF(INDEX(Aux_puntos!$A$2:$OJ$901,441,MATCH($B$2&amp;"|xI",Aux_puntos!$1:$1,0))="",NA(),INDEX(Aux_puntos!$A$2:$OJ$901,441,MATCH($B$2&amp;"|xI",Aux_puntos!$1:$1,0))),NA())</f>
        <v/>
      </c>
      <c r="AH445">
        <f>IFERROR(IF(INDEX(Aux_puntos!$A$2:$OJ$901,441,MATCH($B$2&amp;"|yI",Aux_puntos!$1:$1,0))="",NA(),INDEX(Aux_puntos!$A$2:$OJ$901,441,MATCH($B$2&amp;"|yI",Aux_puntos!$1:$1,0))),NA())</f>
        <v/>
      </c>
      <c r="AI445">
        <f>IFERROR(IF(INDEX(Aux_puntos!$A$2:$OJ$901,441,MATCH($B$2&amp;"|xN",Aux_puntos!$1:$1,0))="",NA(),INDEX(Aux_puntos!$A$2:$OJ$901,441,MATCH($B$2&amp;"|xN",Aux_puntos!$1:$1,0))),NA())</f>
        <v/>
      </c>
      <c r="AJ445">
        <f>IFERROR(IF(INDEX(Aux_puntos!$A$2:$OJ$901,441,MATCH($B$2&amp;"|yN",Aux_puntos!$1:$1,0))="",NA(),INDEX(Aux_puntos!$A$2:$OJ$901,441,MATCH($B$2&amp;"|yN",Aux_puntos!$1:$1,0))),NA())</f>
        <v/>
      </c>
    </row>
    <row r="446">
      <c r="AC446">
        <f>IFERROR(IF(INDEX(Aux_puntos!$A$2:$OJ$901,442,MATCH($B$2&amp;"|xK",Aux_puntos!$1:$1,0))="",NA(),INDEX(Aux_puntos!$A$2:$OJ$901,442,MATCH($B$2&amp;"|xK",Aux_puntos!$1:$1,0))),NA())</f>
        <v/>
      </c>
      <c r="AD446">
        <f>IFERROR(IF(INDEX(Aux_puntos!$A$2:$OJ$901,442,MATCH($B$2&amp;"|yK",Aux_puntos!$1:$1,0))="",NA(),INDEX(Aux_puntos!$A$2:$OJ$901,442,MATCH($B$2&amp;"|yK",Aux_puntos!$1:$1,0))),NA())</f>
        <v/>
      </c>
      <c r="AE446">
        <f>IFERROR(IF(INDEX(Aux_puntos!$A$2:$OJ$901,442,MATCH($B$2&amp;"|xC",Aux_puntos!$1:$1,0))="",NA(),INDEX(Aux_puntos!$A$2:$OJ$901,442,MATCH($B$2&amp;"|xC",Aux_puntos!$1:$1,0))),NA())</f>
        <v/>
      </c>
      <c r="AF446">
        <f>IFERROR(IF(INDEX(Aux_puntos!$A$2:$OJ$901,442,MATCH($B$2&amp;"|yC",Aux_puntos!$1:$1,0))="",NA(),INDEX(Aux_puntos!$A$2:$OJ$901,442,MATCH($B$2&amp;"|yC",Aux_puntos!$1:$1,0))),NA())</f>
        <v/>
      </c>
      <c r="AG446">
        <f>IFERROR(IF(INDEX(Aux_puntos!$A$2:$OJ$901,442,MATCH($B$2&amp;"|xI",Aux_puntos!$1:$1,0))="",NA(),INDEX(Aux_puntos!$A$2:$OJ$901,442,MATCH($B$2&amp;"|xI",Aux_puntos!$1:$1,0))),NA())</f>
        <v/>
      </c>
      <c r="AH446">
        <f>IFERROR(IF(INDEX(Aux_puntos!$A$2:$OJ$901,442,MATCH($B$2&amp;"|yI",Aux_puntos!$1:$1,0))="",NA(),INDEX(Aux_puntos!$A$2:$OJ$901,442,MATCH($B$2&amp;"|yI",Aux_puntos!$1:$1,0))),NA())</f>
        <v/>
      </c>
      <c r="AI446">
        <f>IFERROR(IF(INDEX(Aux_puntos!$A$2:$OJ$901,442,MATCH($B$2&amp;"|xN",Aux_puntos!$1:$1,0))="",NA(),INDEX(Aux_puntos!$A$2:$OJ$901,442,MATCH($B$2&amp;"|xN",Aux_puntos!$1:$1,0))),NA())</f>
        <v/>
      </c>
      <c r="AJ446">
        <f>IFERROR(IF(INDEX(Aux_puntos!$A$2:$OJ$901,442,MATCH($B$2&amp;"|yN",Aux_puntos!$1:$1,0))="",NA(),INDEX(Aux_puntos!$A$2:$OJ$901,442,MATCH($B$2&amp;"|yN",Aux_puntos!$1:$1,0))),NA())</f>
        <v/>
      </c>
    </row>
    <row r="447">
      <c r="AC447">
        <f>IFERROR(IF(INDEX(Aux_puntos!$A$2:$OJ$901,443,MATCH($B$2&amp;"|xK",Aux_puntos!$1:$1,0))="",NA(),INDEX(Aux_puntos!$A$2:$OJ$901,443,MATCH($B$2&amp;"|xK",Aux_puntos!$1:$1,0))),NA())</f>
        <v/>
      </c>
      <c r="AD447">
        <f>IFERROR(IF(INDEX(Aux_puntos!$A$2:$OJ$901,443,MATCH($B$2&amp;"|yK",Aux_puntos!$1:$1,0))="",NA(),INDEX(Aux_puntos!$A$2:$OJ$901,443,MATCH($B$2&amp;"|yK",Aux_puntos!$1:$1,0))),NA())</f>
        <v/>
      </c>
      <c r="AE447">
        <f>IFERROR(IF(INDEX(Aux_puntos!$A$2:$OJ$901,443,MATCH($B$2&amp;"|xC",Aux_puntos!$1:$1,0))="",NA(),INDEX(Aux_puntos!$A$2:$OJ$901,443,MATCH($B$2&amp;"|xC",Aux_puntos!$1:$1,0))),NA())</f>
        <v/>
      </c>
      <c r="AF447">
        <f>IFERROR(IF(INDEX(Aux_puntos!$A$2:$OJ$901,443,MATCH($B$2&amp;"|yC",Aux_puntos!$1:$1,0))="",NA(),INDEX(Aux_puntos!$A$2:$OJ$901,443,MATCH($B$2&amp;"|yC",Aux_puntos!$1:$1,0))),NA())</f>
        <v/>
      </c>
      <c r="AG447">
        <f>IFERROR(IF(INDEX(Aux_puntos!$A$2:$OJ$901,443,MATCH($B$2&amp;"|xI",Aux_puntos!$1:$1,0))="",NA(),INDEX(Aux_puntos!$A$2:$OJ$901,443,MATCH($B$2&amp;"|xI",Aux_puntos!$1:$1,0))),NA())</f>
        <v/>
      </c>
      <c r="AH447">
        <f>IFERROR(IF(INDEX(Aux_puntos!$A$2:$OJ$901,443,MATCH($B$2&amp;"|yI",Aux_puntos!$1:$1,0))="",NA(),INDEX(Aux_puntos!$A$2:$OJ$901,443,MATCH($B$2&amp;"|yI",Aux_puntos!$1:$1,0))),NA())</f>
        <v/>
      </c>
      <c r="AI447">
        <f>IFERROR(IF(INDEX(Aux_puntos!$A$2:$OJ$901,443,MATCH($B$2&amp;"|xN",Aux_puntos!$1:$1,0))="",NA(),INDEX(Aux_puntos!$A$2:$OJ$901,443,MATCH($B$2&amp;"|xN",Aux_puntos!$1:$1,0))),NA())</f>
        <v/>
      </c>
      <c r="AJ447">
        <f>IFERROR(IF(INDEX(Aux_puntos!$A$2:$OJ$901,443,MATCH($B$2&amp;"|yN",Aux_puntos!$1:$1,0))="",NA(),INDEX(Aux_puntos!$A$2:$OJ$901,443,MATCH($B$2&amp;"|yN",Aux_puntos!$1:$1,0))),NA())</f>
        <v/>
      </c>
    </row>
    <row r="448">
      <c r="AC448">
        <f>IFERROR(IF(INDEX(Aux_puntos!$A$2:$OJ$901,444,MATCH($B$2&amp;"|xK",Aux_puntos!$1:$1,0))="",NA(),INDEX(Aux_puntos!$A$2:$OJ$901,444,MATCH($B$2&amp;"|xK",Aux_puntos!$1:$1,0))),NA())</f>
        <v/>
      </c>
      <c r="AD448">
        <f>IFERROR(IF(INDEX(Aux_puntos!$A$2:$OJ$901,444,MATCH($B$2&amp;"|yK",Aux_puntos!$1:$1,0))="",NA(),INDEX(Aux_puntos!$A$2:$OJ$901,444,MATCH($B$2&amp;"|yK",Aux_puntos!$1:$1,0))),NA())</f>
        <v/>
      </c>
      <c r="AE448">
        <f>IFERROR(IF(INDEX(Aux_puntos!$A$2:$OJ$901,444,MATCH($B$2&amp;"|xC",Aux_puntos!$1:$1,0))="",NA(),INDEX(Aux_puntos!$A$2:$OJ$901,444,MATCH($B$2&amp;"|xC",Aux_puntos!$1:$1,0))),NA())</f>
        <v/>
      </c>
      <c r="AF448">
        <f>IFERROR(IF(INDEX(Aux_puntos!$A$2:$OJ$901,444,MATCH($B$2&amp;"|yC",Aux_puntos!$1:$1,0))="",NA(),INDEX(Aux_puntos!$A$2:$OJ$901,444,MATCH($B$2&amp;"|yC",Aux_puntos!$1:$1,0))),NA())</f>
        <v/>
      </c>
      <c r="AG448">
        <f>IFERROR(IF(INDEX(Aux_puntos!$A$2:$OJ$901,444,MATCH($B$2&amp;"|xI",Aux_puntos!$1:$1,0))="",NA(),INDEX(Aux_puntos!$A$2:$OJ$901,444,MATCH($B$2&amp;"|xI",Aux_puntos!$1:$1,0))),NA())</f>
        <v/>
      </c>
      <c r="AH448">
        <f>IFERROR(IF(INDEX(Aux_puntos!$A$2:$OJ$901,444,MATCH($B$2&amp;"|yI",Aux_puntos!$1:$1,0))="",NA(),INDEX(Aux_puntos!$A$2:$OJ$901,444,MATCH($B$2&amp;"|yI",Aux_puntos!$1:$1,0))),NA())</f>
        <v/>
      </c>
      <c r="AI448">
        <f>IFERROR(IF(INDEX(Aux_puntos!$A$2:$OJ$901,444,MATCH($B$2&amp;"|xN",Aux_puntos!$1:$1,0))="",NA(),INDEX(Aux_puntos!$A$2:$OJ$901,444,MATCH($B$2&amp;"|xN",Aux_puntos!$1:$1,0))),NA())</f>
        <v/>
      </c>
      <c r="AJ448">
        <f>IFERROR(IF(INDEX(Aux_puntos!$A$2:$OJ$901,444,MATCH($B$2&amp;"|yN",Aux_puntos!$1:$1,0))="",NA(),INDEX(Aux_puntos!$A$2:$OJ$901,444,MATCH($B$2&amp;"|yN",Aux_puntos!$1:$1,0))),NA())</f>
        <v/>
      </c>
    </row>
    <row r="449">
      <c r="AC449">
        <f>IFERROR(IF(INDEX(Aux_puntos!$A$2:$OJ$901,445,MATCH($B$2&amp;"|xK",Aux_puntos!$1:$1,0))="",NA(),INDEX(Aux_puntos!$A$2:$OJ$901,445,MATCH($B$2&amp;"|xK",Aux_puntos!$1:$1,0))),NA())</f>
        <v/>
      </c>
      <c r="AD449">
        <f>IFERROR(IF(INDEX(Aux_puntos!$A$2:$OJ$901,445,MATCH($B$2&amp;"|yK",Aux_puntos!$1:$1,0))="",NA(),INDEX(Aux_puntos!$A$2:$OJ$901,445,MATCH($B$2&amp;"|yK",Aux_puntos!$1:$1,0))),NA())</f>
        <v/>
      </c>
      <c r="AE449">
        <f>IFERROR(IF(INDEX(Aux_puntos!$A$2:$OJ$901,445,MATCH($B$2&amp;"|xC",Aux_puntos!$1:$1,0))="",NA(),INDEX(Aux_puntos!$A$2:$OJ$901,445,MATCH($B$2&amp;"|xC",Aux_puntos!$1:$1,0))),NA())</f>
        <v/>
      </c>
      <c r="AF449">
        <f>IFERROR(IF(INDEX(Aux_puntos!$A$2:$OJ$901,445,MATCH($B$2&amp;"|yC",Aux_puntos!$1:$1,0))="",NA(),INDEX(Aux_puntos!$A$2:$OJ$901,445,MATCH($B$2&amp;"|yC",Aux_puntos!$1:$1,0))),NA())</f>
        <v/>
      </c>
      <c r="AG449">
        <f>IFERROR(IF(INDEX(Aux_puntos!$A$2:$OJ$901,445,MATCH($B$2&amp;"|xI",Aux_puntos!$1:$1,0))="",NA(),INDEX(Aux_puntos!$A$2:$OJ$901,445,MATCH($B$2&amp;"|xI",Aux_puntos!$1:$1,0))),NA())</f>
        <v/>
      </c>
      <c r="AH449">
        <f>IFERROR(IF(INDEX(Aux_puntos!$A$2:$OJ$901,445,MATCH($B$2&amp;"|yI",Aux_puntos!$1:$1,0))="",NA(),INDEX(Aux_puntos!$A$2:$OJ$901,445,MATCH($B$2&amp;"|yI",Aux_puntos!$1:$1,0))),NA())</f>
        <v/>
      </c>
      <c r="AI449">
        <f>IFERROR(IF(INDEX(Aux_puntos!$A$2:$OJ$901,445,MATCH($B$2&amp;"|xN",Aux_puntos!$1:$1,0))="",NA(),INDEX(Aux_puntos!$A$2:$OJ$901,445,MATCH($B$2&amp;"|xN",Aux_puntos!$1:$1,0))),NA())</f>
        <v/>
      </c>
      <c r="AJ449">
        <f>IFERROR(IF(INDEX(Aux_puntos!$A$2:$OJ$901,445,MATCH($B$2&amp;"|yN",Aux_puntos!$1:$1,0))="",NA(),INDEX(Aux_puntos!$A$2:$OJ$901,445,MATCH($B$2&amp;"|yN",Aux_puntos!$1:$1,0))),NA())</f>
        <v/>
      </c>
    </row>
    <row r="450">
      <c r="AC450">
        <f>IFERROR(IF(INDEX(Aux_puntos!$A$2:$OJ$901,446,MATCH($B$2&amp;"|xK",Aux_puntos!$1:$1,0))="",NA(),INDEX(Aux_puntos!$A$2:$OJ$901,446,MATCH($B$2&amp;"|xK",Aux_puntos!$1:$1,0))),NA())</f>
        <v/>
      </c>
      <c r="AD450">
        <f>IFERROR(IF(INDEX(Aux_puntos!$A$2:$OJ$901,446,MATCH($B$2&amp;"|yK",Aux_puntos!$1:$1,0))="",NA(),INDEX(Aux_puntos!$A$2:$OJ$901,446,MATCH($B$2&amp;"|yK",Aux_puntos!$1:$1,0))),NA())</f>
        <v/>
      </c>
      <c r="AE450">
        <f>IFERROR(IF(INDEX(Aux_puntos!$A$2:$OJ$901,446,MATCH($B$2&amp;"|xC",Aux_puntos!$1:$1,0))="",NA(),INDEX(Aux_puntos!$A$2:$OJ$901,446,MATCH($B$2&amp;"|xC",Aux_puntos!$1:$1,0))),NA())</f>
        <v/>
      </c>
      <c r="AF450">
        <f>IFERROR(IF(INDEX(Aux_puntos!$A$2:$OJ$901,446,MATCH($B$2&amp;"|yC",Aux_puntos!$1:$1,0))="",NA(),INDEX(Aux_puntos!$A$2:$OJ$901,446,MATCH($B$2&amp;"|yC",Aux_puntos!$1:$1,0))),NA())</f>
        <v/>
      </c>
      <c r="AG450">
        <f>IFERROR(IF(INDEX(Aux_puntos!$A$2:$OJ$901,446,MATCH($B$2&amp;"|xI",Aux_puntos!$1:$1,0))="",NA(),INDEX(Aux_puntos!$A$2:$OJ$901,446,MATCH($B$2&amp;"|xI",Aux_puntos!$1:$1,0))),NA())</f>
        <v/>
      </c>
      <c r="AH450">
        <f>IFERROR(IF(INDEX(Aux_puntos!$A$2:$OJ$901,446,MATCH($B$2&amp;"|yI",Aux_puntos!$1:$1,0))="",NA(),INDEX(Aux_puntos!$A$2:$OJ$901,446,MATCH($B$2&amp;"|yI",Aux_puntos!$1:$1,0))),NA())</f>
        <v/>
      </c>
      <c r="AI450">
        <f>IFERROR(IF(INDEX(Aux_puntos!$A$2:$OJ$901,446,MATCH($B$2&amp;"|xN",Aux_puntos!$1:$1,0))="",NA(),INDEX(Aux_puntos!$A$2:$OJ$901,446,MATCH($B$2&amp;"|xN",Aux_puntos!$1:$1,0))),NA())</f>
        <v/>
      </c>
      <c r="AJ450">
        <f>IFERROR(IF(INDEX(Aux_puntos!$A$2:$OJ$901,446,MATCH($B$2&amp;"|yN",Aux_puntos!$1:$1,0))="",NA(),INDEX(Aux_puntos!$A$2:$OJ$901,446,MATCH($B$2&amp;"|yN",Aux_puntos!$1:$1,0))),NA())</f>
        <v/>
      </c>
    </row>
    <row r="451">
      <c r="AC451">
        <f>IFERROR(IF(INDEX(Aux_puntos!$A$2:$OJ$901,447,MATCH($B$2&amp;"|xK",Aux_puntos!$1:$1,0))="",NA(),INDEX(Aux_puntos!$A$2:$OJ$901,447,MATCH($B$2&amp;"|xK",Aux_puntos!$1:$1,0))),NA())</f>
        <v/>
      </c>
      <c r="AD451">
        <f>IFERROR(IF(INDEX(Aux_puntos!$A$2:$OJ$901,447,MATCH($B$2&amp;"|yK",Aux_puntos!$1:$1,0))="",NA(),INDEX(Aux_puntos!$A$2:$OJ$901,447,MATCH($B$2&amp;"|yK",Aux_puntos!$1:$1,0))),NA())</f>
        <v/>
      </c>
      <c r="AE451">
        <f>IFERROR(IF(INDEX(Aux_puntos!$A$2:$OJ$901,447,MATCH($B$2&amp;"|xC",Aux_puntos!$1:$1,0))="",NA(),INDEX(Aux_puntos!$A$2:$OJ$901,447,MATCH($B$2&amp;"|xC",Aux_puntos!$1:$1,0))),NA())</f>
        <v/>
      </c>
      <c r="AF451">
        <f>IFERROR(IF(INDEX(Aux_puntos!$A$2:$OJ$901,447,MATCH($B$2&amp;"|yC",Aux_puntos!$1:$1,0))="",NA(),INDEX(Aux_puntos!$A$2:$OJ$901,447,MATCH($B$2&amp;"|yC",Aux_puntos!$1:$1,0))),NA())</f>
        <v/>
      </c>
      <c r="AG451">
        <f>IFERROR(IF(INDEX(Aux_puntos!$A$2:$OJ$901,447,MATCH($B$2&amp;"|xI",Aux_puntos!$1:$1,0))="",NA(),INDEX(Aux_puntos!$A$2:$OJ$901,447,MATCH($B$2&amp;"|xI",Aux_puntos!$1:$1,0))),NA())</f>
        <v/>
      </c>
      <c r="AH451">
        <f>IFERROR(IF(INDEX(Aux_puntos!$A$2:$OJ$901,447,MATCH($B$2&amp;"|yI",Aux_puntos!$1:$1,0))="",NA(),INDEX(Aux_puntos!$A$2:$OJ$901,447,MATCH($B$2&amp;"|yI",Aux_puntos!$1:$1,0))),NA())</f>
        <v/>
      </c>
      <c r="AI451">
        <f>IFERROR(IF(INDEX(Aux_puntos!$A$2:$OJ$901,447,MATCH($B$2&amp;"|xN",Aux_puntos!$1:$1,0))="",NA(),INDEX(Aux_puntos!$A$2:$OJ$901,447,MATCH($B$2&amp;"|xN",Aux_puntos!$1:$1,0))),NA())</f>
        <v/>
      </c>
      <c r="AJ451">
        <f>IFERROR(IF(INDEX(Aux_puntos!$A$2:$OJ$901,447,MATCH($B$2&amp;"|yN",Aux_puntos!$1:$1,0))="",NA(),INDEX(Aux_puntos!$A$2:$OJ$901,447,MATCH($B$2&amp;"|yN",Aux_puntos!$1:$1,0))),NA())</f>
        <v/>
      </c>
    </row>
    <row r="452">
      <c r="AC452">
        <f>IFERROR(IF(INDEX(Aux_puntos!$A$2:$OJ$901,448,MATCH($B$2&amp;"|xK",Aux_puntos!$1:$1,0))="",NA(),INDEX(Aux_puntos!$A$2:$OJ$901,448,MATCH($B$2&amp;"|xK",Aux_puntos!$1:$1,0))),NA())</f>
        <v/>
      </c>
      <c r="AD452">
        <f>IFERROR(IF(INDEX(Aux_puntos!$A$2:$OJ$901,448,MATCH($B$2&amp;"|yK",Aux_puntos!$1:$1,0))="",NA(),INDEX(Aux_puntos!$A$2:$OJ$901,448,MATCH($B$2&amp;"|yK",Aux_puntos!$1:$1,0))),NA())</f>
        <v/>
      </c>
      <c r="AE452">
        <f>IFERROR(IF(INDEX(Aux_puntos!$A$2:$OJ$901,448,MATCH($B$2&amp;"|xC",Aux_puntos!$1:$1,0))="",NA(),INDEX(Aux_puntos!$A$2:$OJ$901,448,MATCH($B$2&amp;"|xC",Aux_puntos!$1:$1,0))),NA())</f>
        <v/>
      </c>
      <c r="AF452">
        <f>IFERROR(IF(INDEX(Aux_puntos!$A$2:$OJ$901,448,MATCH($B$2&amp;"|yC",Aux_puntos!$1:$1,0))="",NA(),INDEX(Aux_puntos!$A$2:$OJ$901,448,MATCH($B$2&amp;"|yC",Aux_puntos!$1:$1,0))),NA())</f>
        <v/>
      </c>
      <c r="AG452">
        <f>IFERROR(IF(INDEX(Aux_puntos!$A$2:$OJ$901,448,MATCH($B$2&amp;"|xI",Aux_puntos!$1:$1,0))="",NA(),INDEX(Aux_puntos!$A$2:$OJ$901,448,MATCH($B$2&amp;"|xI",Aux_puntos!$1:$1,0))),NA())</f>
        <v/>
      </c>
      <c r="AH452">
        <f>IFERROR(IF(INDEX(Aux_puntos!$A$2:$OJ$901,448,MATCH($B$2&amp;"|yI",Aux_puntos!$1:$1,0))="",NA(),INDEX(Aux_puntos!$A$2:$OJ$901,448,MATCH($B$2&amp;"|yI",Aux_puntos!$1:$1,0))),NA())</f>
        <v/>
      </c>
      <c r="AI452">
        <f>IFERROR(IF(INDEX(Aux_puntos!$A$2:$OJ$901,448,MATCH($B$2&amp;"|xN",Aux_puntos!$1:$1,0))="",NA(),INDEX(Aux_puntos!$A$2:$OJ$901,448,MATCH($B$2&amp;"|xN",Aux_puntos!$1:$1,0))),NA())</f>
        <v/>
      </c>
      <c r="AJ452">
        <f>IFERROR(IF(INDEX(Aux_puntos!$A$2:$OJ$901,448,MATCH($B$2&amp;"|yN",Aux_puntos!$1:$1,0))="",NA(),INDEX(Aux_puntos!$A$2:$OJ$901,448,MATCH($B$2&amp;"|yN",Aux_puntos!$1:$1,0))),NA())</f>
        <v/>
      </c>
    </row>
    <row r="453">
      <c r="AC453">
        <f>IFERROR(IF(INDEX(Aux_puntos!$A$2:$OJ$901,449,MATCH($B$2&amp;"|xK",Aux_puntos!$1:$1,0))="",NA(),INDEX(Aux_puntos!$A$2:$OJ$901,449,MATCH($B$2&amp;"|xK",Aux_puntos!$1:$1,0))),NA())</f>
        <v/>
      </c>
      <c r="AD453">
        <f>IFERROR(IF(INDEX(Aux_puntos!$A$2:$OJ$901,449,MATCH($B$2&amp;"|yK",Aux_puntos!$1:$1,0))="",NA(),INDEX(Aux_puntos!$A$2:$OJ$901,449,MATCH($B$2&amp;"|yK",Aux_puntos!$1:$1,0))),NA())</f>
        <v/>
      </c>
      <c r="AE453">
        <f>IFERROR(IF(INDEX(Aux_puntos!$A$2:$OJ$901,449,MATCH($B$2&amp;"|xC",Aux_puntos!$1:$1,0))="",NA(),INDEX(Aux_puntos!$A$2:$OJ$901,449,MATCH($B$2&amp;"|xC",Aux_puntos!$1:$1,0))),NA())</f>
        <v/>
      </c>
      <c r="AF453">
        <f>IFERROR(IF(INDEX(Aux_puntos!$A$2:$OJ$901,449,MATCH($B$2&amp;"|yC",Aux_puntos!$1:$1,0))="",NA(),INDEX(Aux_puntos!$A$2:$OJ$901,449,MATCH($B$2&amp;"|yC",Aux_puntos!$1:$1,0))),NA())</f>
        <v/>
      </c>
      <c r="AG453">
        <f>IFERROR(IF(INDEX(Aux_puntos!$A$2:$OJ$901,449,MATCH($B$2&amp;"|xI",Aux_puntos!$1:$1,0))="",NA(),INDEX(Aux_puntos!$A$2:$OJ$901,449,MATCH($B$2&amp;"|xI",Aux_puntos!$1:$1,0))),NA())</f>
        <v/>
      </c>
      <c r="AH453">
        <f>IFERROR(IF(INDEX(Aux_puntos!$A$2:$OJ$901,449,MATCH($B$2&amp;"|yI",Aux_puntos!$1:$1,0))="",NA(),INDEX(Aux_puntos!$A$2:$OJ$901,449,MATCH($B$2&amp;"|yI",Aux_puntos!$1:$1,0))),NA())</f>
        <v/>
      </c>
      <c r="AI453">
        <f>IFERROR(IF(INDEX(Aux_puntos!$A$2:$OJ$901,449,MATCH($B$2&amp;"|xN",Aux_puntos!$1:$1,0))="",NA(),INDEX(Aux_puntos!$A$2:$OJ$901,449,MATCH($B$2&amp;"|xN",Aux_puntos!$1:$1,0))),NA())</f>
        <v/>
      </c>
      <c r="AJ453">
        <f>IFERROR(IF(INDEX(Aux_puntos!$A$2:$OJ$901,449,MATCH($B$2&amp;"|yN",Aux_puntos!$1:$1,0))="",NA(),INDEX(Aux_puntos!$A$2:$OJ$901,449,MATCH($B$2&amp;"|yN",Aux_puntos!$1:$1,0))),NA())</f>
        <v/>
      </c>
    </row>
    <row r="454">
      <c r="AC454">
        <f>IFERROR(IF(INDEX(Aux_puntos!$A$2:$OJ$901,450,MATCH($B$2&amp;"|xK",Aux_puntos!$1:$1,0))="",NA(),INDEX(Aux_puntos!$A$2:$OJ$901,450,MATCH($B$2&amp;"|xK",Aux_puntos!$1:$1,0))),NA())</f>
        <v/>
      </c>
      <c r="AD454">
        <f>IFERROR(IF(INDEX(Aux_puntos!$A$2:$OJ$901,450,MATCH($B$2&amp;"|yK",Aux_puntos!$1:$1,0))="",NA(),INDEX(Aux_puntos!$A$2:$OJ$901,450,MATCH($B$2&amp;"|yK",Aux_puntos!$1:$1,0))),NA())</f>
        <v/>
      </c>
      <c r="AE454">
        <f>IFERROR(IF(INDEX(Aux_puntos!$A$2:$OJ$901,450,MATCH($B$2&amp;"|xC",Aux_puntos!$1:$1,0))="",NA(),INDEX(Aux_puntos!$A$2:$OJ$901,450,MATCH($B$2&amp;"|xC",Aux_puntos!$1:$1,0))),NA())</f>
        <v/>
      </c>
      <c r="AF454">
        <f>IFERROR(IF(INDEX(Aux_puntos!$A$2:$OJ$901,450,MATCH($B$2&amp;"|yC",Aux_puntos!$1:$1,0))="",NA(),INDEX(Aux_puntos!$A$2:$OJ$901,450,MATCH($B$2&amp;"|yC",Aux_puntos!$1:$1,0))),NA())</f>
        <v/>
      </c>
      <c r="AG454">
        <f>IFERROR(IF(INDEX(Aux_puntos!$A$2:$OJ$901,450,MATCH($B$2&amp;"|xI",Aux_puntos!$1:$1,0))="",NA(),INDEX(Aux_puntos!$A$2:$OJ$901,450,MATCH($B$2&amp;"|xI",Aux_puntos!$1:$1,0))),NA())</f>
        <v/>
      </c>
      <c r="AH454">
        <f>IFERROR(IF(INDEX(Aux_puntos!$A$2:$OJ$901,450,MATCH($B$2&amp;"|yI",Aux_puntos!$1:$1,0))="",NA(),INDEX(Aux_puntos!$A$2:$OJ$901,450,MATCH($B$2&amp;"|yI",Aux_puntos!$1:$1,0))),NA())</f>
        <v/>
      </c>
      <c r="AI454">
        <f>IFERROR(IF(INDEX(Aux_puntos!$A$2:$OJ$901,450,MATCH($B$2&amp;"|xN",Aux_puntos!$1:$1,0))="",NA(),INDEX(Aux_puntos!$A$2:$OJ$901,450,MATCH($B$2&amp;"|xN",Aux_puntos!$1:$1,0))),NA())</f>
        <v/>
      </c>
      <c r="AJ454">
        <f>IFERROR(IF(INDEX(Aux_puntos!$A$2:$OJ$901,450,MATCH($B$2&amp;"|yN",Aux_puntos!$1:$1,0))="",NA(),INDEX(Aux_puntos!$A$2:$OJ$901,450,MATCH($B$2&amp;"|yN",Aux_puntos!$1:$1,0))),NA())</f>
        <v/>
      </c>
    </row>
    <row r="455">
      <c r="AC455">
        <f>IFERROR(IF(INDEX(Aux_puntos!$A$2:$OJ$901,451,MATCH($B$2&amp;"|xK",Aux_puntos!$1:$1,0))="",NA(),INDEX(Aux_puntos!$A$2:$OJ$901,451,MATCH($B$2&amp;"|xK",Aux_puntos!$1:$1,0))),NA())</f>
        <v/>
      </c>
      <c r="AD455">
        <f>IFERROR(IF(INDEX(Aux_puntos!$A$2:$OJ$901,451,MATCH($B$2&amp;"|yK",Aux_puntos!$1:$1,0))="",NA(),INDEX(Aux_puntos!$A$2:$OJ$901,451,MATCH($B$2&amp;"|yK",Aux_puntos!$1:$1,0))),NA())</f>
        <v/>
      </c>
      <c r="AE455">
        <f>IFERROR(IF(INDEX(Aux_puntos!$A$2:$OJ$901,451,MATCH($B$2&amp;"|xC",Aux_puntos!$1:$1,0))="",NA(),INDEX(Aux_puntos!$A$2:$OJ$901,451,MATCH($B$2&amp;"|xC",Aux_puntos!$1:$1,0))),NA())</f>
        <v/>
      </c>
      <c r="AF455">
        <f>IFERROR(IF(INDEX(Aux_puntos!$A$2:$OJ$901,451,MATCH($B$2&amp;"|yC",Aux_puntos!$1:$1,0))="",NA(),INDEX(Aux_puntos!$A$2:$OJ$901,451,MATCH($B$2&amp;"|yC",Aux_puntos!$1:$1,0))),NA())</f>
        <v/>
      </c>
      <c r="AG455">
        <f>IFERROR(IF(INDEX(Aux_puntos!$A$2:$OJ$901,451,MATCH($B$2&amp;"|xI",Aux_puntos!$1:$1,0))="",NA(),INDEX(Aux_puntos!$A$2:$OJ$901,451,MATCH($B$2&amp;"|xI",Aux_puntos!$1:$1,0))),NA())</f>
        <v/>
      </c>
      <c r="AH455">
        <f>IFERROR(IF(INDEX(Aux_puntos!$A$2:$OJ$901,451,MATCH($B$2&amp;"|yI",Aux_puntos!$1:$1,0))="",NA(),INDEX(Aux_puntos!$A$2:$OJ$901,451,MATCH($B$2&amp;"|yI",Aux_puntos!$1:$1,0))),NA())</f>
        <v/>
      </c>
      <c r="AI455">
        <f>IFERROR(IF(INDEX(Aux_puntos!$A$2:$OJ$901,451,MATCH($B$2&amp;"|xN",Aux_puntos!$1:$1,0))="",NA(),INDEX(Aux_puntos!$A$2:$OJ$901,451,MATCH($B$2&amp;"|xN",Aux_puntos!$1:$1,0))),NA())</f>
        <v/>
      </c>
      <c r="AJ455">
        <f>IFERROR(IF(INDEX(Aux_puntos!$A$2:$OJ$901,451,MATCH($B$2&amp;"|yN",Aux_puntos!$1:$1,0))="",NA(),INDEX(Aux_puntos!$A$2:$OJ$901,451,MATCH($B$2&amp;"|yN",Aux_puntos!$1:$1,0))),NA())</f>
        <v/>
      </c>
    </row>
    <row r="456">
      <c r="AC456">
        <f>IFERROR(IF(INDEX(Aux_puntos!$A$2:$OJ$901,452,MATCH($B$2&amp;"|xK",Aux_puntos!$1:$1,0))="",NA(),INDEX(Aux_puntos!$A$2:$OJ$901,452,MATCH($B$2&amp;"|xK",Aux_puntos!$1:$1,0))),NA())</f>
        <v/>
      </c>
      <c r="AD456">
        <f>IFERROR(IF(INDEX(Aux_puntos!$A$2:$OJ$901,452,MATCH($B$2&amp;"|yK",Aux_puntos!$1:$1,0))="",NA(),INDEX(Aux_puntos!$A$2:$OJ$901,452,MATCH($B$2&amp;"|yK",Aux_puntos!$1:$1,0))),NA())</f>
        <v/>
      </c>
      <c r="AE456">
        <f>IFERROR(IF(INDEX(Aux_puntos!$A$2:$OJ$901,452,MATCH($B$2&amp;"|xC",Aux_puntos!$1:$1,0))="",NA(),INDEX(Aux_puntos!$A$2:$OJ$901,452,MATCH($B$2&amp;"|xC",Aux_puntos!$1:$1,0))),NA())</f>
        <v/>
      </c>
      <c r="AF456">
        <f>IFERROR(IF(INDEX(Aux_puntos!$A$2:$OJ$901,452,MATCH($B$2&amp;"|yC",Aux_puntos!$1:$1,0))="",NA(),INDEX(Aux_puntos!$A$2:$OJ$901,452,MATCH($B$2&amp;"|yC",Aux_puntos!$1:$1,0))),NA())</f>
        <v/>
      </c>
      <c r="AG456">
        <f>IFERROR(IF(INDEX(Aux_puntos!$A$2:$OJ$901,452,MATCH($B$2&amp;"|xI",Aux_puntos!$1:$1,0))="",NA(),INDEX(Aux_puntos!$A$2:$OJ$901,452,MATCH($B$2&amp;"|xI",Aux_puntos!$1:$1,0))),NA())</f>
        <v/>
      </c>
      <c r="AH456">
        <f>IFERROR(IF(INDEX(Aux_puntos!$A$2:$OJ$901,452,MATCH($B$2&amp;"|yI",Aux_puntos!$1:$1,0))="",NA(),INDEX(Aux_puntos!$A$2:$OJ$901,452,MATCH($B$2&amp;"|yI",Aux_puntos!$1:$1,0))),NA())</f>
        <v/>
      </c>
      <c r="AI456">
        <f>IFERROR(IF(INDEX(Aux_puntos!$A$2:$OJ$901,452,MATCH($B$2&amp;"|xN",Aux_puntos!$1:$1,0))="",NA(),INDEX(Aux_puntos!$A$2:$OJ$901,452,MATCH($B$2&amp;"|xN",Aux_puntos!$1:$1,0))),NA())</f>
        <v/>
      </c>
      <c r="AJ456">
        <f>IFERROR(IF(INDEX(Aux_puntos!$A$2:$OJ$901,452,MATCH($B$2&amp;"|yN",Aux_puntos!$1:$1,0))="",NA(),INDEX(Aux_puntos!$A$2:$OJ$901,452,MATCH($B$2&amp;"|yN",Aux_puntos!$1:$1,0))),NA())</f>
        <v/>
      </c>
    </row>
    <row r="457">
      <c r="AC457">
        <f>IFERROR(IF(INDEX(Aux_puntos!$A$2:$OJ$901,453,MATCH($B$2&amp;"|xK",Aux_puntos!$1:$1,0))="",NA(),INDEX(Aux_puntos!$A$2:$OJ$901,453,MATCH($B$2&amp;"|xK",Aux_puntos!$1:$1,0))),NA())</f>
        <v/>
      </c>
      <c r="AD457">
        <f>IFERROR(IF(INDEX(Aux_puntos!$A$2:$OJ$901,453,MATCH($B$2&amp;"|yK",Aux_puntos!$1:$1,0))="",NA(),INDEX(Aux_puntos!$A$2:$OJ$901,453,MATCH($B$2&amp;"|yK",Aux_puntos!$1:$1,0))),NA())</f>
        <v/>
      </c>
      <c r="AE457">
        <f>IFERROR(IF(INDEX(Aux_puntos!$A$2:$OJ$901,453,MATCH($B$2&amp;"|xC",Aux_puntos!$1:$1,0))="",NA(),INDEX(Aux_puntos!$A$2:$OJ$901,453,MATCH($B$2&amp;"|xC",Aux_puntos!$1:$1,0))),NA())</f>
        <v/>
      </c>
      <c r="AF457">
        <f>IFERROR(IF(INDEX(Aux_puntos!$A$2:$OJ$901,453,MATCH($B$2&amp;"|yC",Aux_puntos!$1:$1,0))="",NA(),INDEX(Aux_puntos!$A$2:$OJ$901,453,MATCH($B$2&amp;"|yC",Aux_puntos!$1:$1,0))),NA())</f>
        <v/>
      </c>
      <c r="AG457">
        <f>IFERROR(IF(INDEX(Aux_puntos!$A$2:$OJ$901,453,MATCH($B$2&amp;"|xI",Aux_puntos!$1:$1,0))="",NA(),INDEX(Aux_puntos!$A$2:$OJ$901,453,MATCH($B$2&amp;"|xI",Aux_puntos!$1:$1,0))),NA())</f>
        <v/>
      </c>
      <c r="AH457">
        <f>IFERROR(IF(INDEX(Aux_puntos!$A$2:$OJ$901,453,MATCH($B$2&amp;"|yI",Aux_puntos!$1:$1,0))="",NA(),INDEX(Aux_puntos!$A$2:$OJ$901,453,MATCH($B$2&amp;"|yI",Aux_puntos!$1:$1,0))),NA())</f>
        <v/>
      </c>
      <c r="AI457">
        <f>IFERROR(IF(INDEX(Aux_puntos!$A$2:$OJ$901,453,MATCH($B$2&amp;"|xN",Aux_puntos!$1:$1,0))="",NA(),INDEX(Aux_puntos!$A$2:$OJ$901,453,MATCH($B$2&amp;"|xN",Aux_puntos!$1:$1,0))),NA())</f>
        <v/>
      </c>
      <c r="AJ457">
        <f>IFERROR(IF(INDEX(Aux_puntos!$A$2:$OJ$901,453,MATCH($B$2&amp;"|yN",Aux_puntos!$1:$1,0))="",NA(),INDEX(Aux_puntos!$A$2:$OJ$901,453,MATCH($B$2&amp;"|yN",Aux_puntos!$1:$1,0))),NA())</f>
        <v/>
      </c>
    </row>
    <row r="458">
      <c r="AC458">
        <f>IFERROR(IF(INDEX(Aux_puntos!$A$2:$OJ$901,454,MATCH($B$2&amp;"|xK",Aux_puntos!$1:$1,0))="",NA(),INDEX(Aux_puntos!$A$2:$OJ$901,454,MATCH($B$2&amp;"|xK",Aux_puntos!$1:$1,0))),NA())</f>
        <v/>
      </c>
      <c r="AD458">
        <f>IFERROR(IF(INDEX(Aux_puntos!$A$2:$OJ$901,454,MATCH($B$2&amp;"|yK",Aux_puntos!$1:$1,0))="",NA(),INDEX(Aux_puntos!$A$2:$OJ$901,454,MATCH($B$2&amp;"|yK",Aux_puntos!$1:$1,0))),NA())</f>
        <v/>
      </c>
      <c r="AE458">
        <f>IFERROR(IF(INDEX(Aux_puntos!$A$2:$OJ$901,454,MATCH($B$2&amp;"|xC",Aux_puntos!$1:$1,0))="",NA(),INDEX(Aux_puntos!$A$2:$OJ$901,454,MATCH($B$2&amp;"|xC",Aux_puntos!$1:$1,0))),NA())</f>
        <v/>
      </c>
      <c r="AF458">
        <f>IFERROR(IF(INDEX(Aux_puntos!$A$2:$OJ$901,454,MATCH($B$2&amp;"|yC",Aux_puntos!$1:$1,0))="",NA(),INDEX(Aux_puntos!$A$2:$OJ$901,454,MATCH($B$2&amp;"|yC",Aux_puntos!$1:$1,0))),NA())</f>
        <v/>
      </c>
      <c r="AG458">
        <f>IFERROR(IF(INDEX(Aux_puntos!$A$2:$OJ$901,454,MATCH($B$2&amp;"|xI",Aux_puntos!$1:$1,0))="",NA(),INDEX(Aux_puntos!$A$2:$OJ$901,454,MATCH($B$2&amp;"|xI",Aux_puntos!$1:$1,0))),NA())</f>
        <v/>
      </c>
      <c r="AH458">
        <f>IFERROR(IF(INDEX(Aux_puntos!$A$2:$OJ$901,454,MATCH($B$2&amp;"|yI",Aux_puntos!$1:$1,0))="",NA(),INDEX(Aux_puntos!$A$2:$OJ$901,454,MATCH($B$2&amp;"|yI",Aux_puntos!$1:$1,0))),NA())</f>
        <v/>
      </c>
      <c r="AI458">
        <f>IFERROR(IF(INDEX(Aux_puntos!$A$2:$OJ$901,454,MATCH($B$2&amp;"|xN",Aux_puntos!$1:$1,0))="",NA(),INDEX(Aux_puntos!$A$2:$OJ$901,454,MATCH($B$2&amp;"|xN",Aux_puntos!$1:$1,0))),NA())</f>
        <v/>
      </c>
      <c r="AJ458">
        <f>IFERROR(IF(INDEX(Aux_puntos!$A$2:$OJ$901,454,MATCH($B$2&amp;"|yN",Aux_puntos!$1:$1,0))="",NA(),INDEX(Aux_puntos!$A$2:$OJ$901,454,MATCH($B$2&amp;"|yN",Aux_puntos!$1:$1,0))),NA())</f>
        <v/>
      </c>
    </row>
    <row r="459">
      <c r="AC459">
        <f>IFERROR(IF(INDEX(Aux_puntos!$A$2:$OJ$901,455,MATCH($B$2&amp;"|xK",Aux_puntos!$1:$1,0))="",NA(),INDEX(Aux_puntos!$A$2:$OJ$901,455,MATCH($B$2&amp;"|xK",Aux_puntos!$1:$1,0))),NA())</f>
        <v/>
      </c>
      <c r="AD459">
        <f>IFERROR(IF(INDEX(Aux_puntos!$A$2:$OJ$901,455,MATCH($B$2&amp;"|yK",Aux_puntos!$1:$1,0))="",NA(),INDEX(Aux_puntos!$A$2:$OJ$901,455,MATCH($B$2&amp;"|yK",Aux_puntos!$1:$1,0))),NA())</f>
        <v/>
      </c>
      <c r="AE459">
        <f>IFERROR(IF(INDEX(Aux_puntos!$A$2:$OJ$901,455,MATCH($B$2&amp;"|xC",Aux_puntos!$1:$1,0))="",NA(),INDEX(Aux_puntos!$A$2:$OJ$901,455,MATCH($B$2&amp;"|xC",Aux_puntos!$1:$1,0))),NA())</f>
        <v/>
      </c>
      <c r="AF459">
        <f>IFERROR(IF(INDEX(Aux_puntos!$A$2:$OJ$901,455,MATCH($B$2&amp;"|yC",Aux_puntos!$1:$1,0))="",NA(),INDEX(Aux_puntos!$A$2:$OJ$901,455,MATCH($B$2&amp;"|yC",Aux_puntos!$1:$1,0))),NA())</f>
        <v/>
      </c>
      <c r="AG459">
        <f>IFERROR(IF(INDEX(Aux_puntos!$A$2:$OJ$901,455,MATCH($B$2&amp;"|xI",Aux_puntos!$1:$1,0))="",NA(),INDEX(Aux_puntos!$A$2:$OJ$901,455,MATCH($B$2&amp;"|xI",Aux_puntos!$1:$1,0))),NA())</f>
        <v/>
      </c>
      <c r="AH459">
        <f>IFERROR(IF(INDEX(Aux_puntos!$A$2:$OJ$901,455,MATCH($B$2&amp;"|yI",Aux_puntos!$1:$1,0))="",NA(),INDEX(Aux_puntos!$A$2:$OJ$901,455,MATCH($B$2&amp;"|yI",Aux_puntos!$1:$1,0))),NA())</f>
        <v/>
      </c>
      <c r="AI459">
        <f>IFERROR(IF(INDEX(Aux_puntos!$A$2:$OJ$901,455,MATCH($B$2&amp;"|xN",Aux_puntos!$1:$1,0))="",NA(),INDEX(Aux_puntos!$A$2:$OJ$901,455,MATCH($B$2&amp;"|xN",Aux_puntos!$1:$1,0))),NA())</f>
        <v/>
      </c>
      <c r="AJ459">
        <f>IFERROR(IF(INDEX(Aux_puntos!$A$2:$OJ$901,455,MATCH($B$2&amp;"|yN",Aux_puntos!$1:$1,0))="",NA(),INDEX(Aux_puntos!$A$2:$OJ$901,455,MATCH($B$2&amp;"|yN",Aux_puntos!$1:$1,0))),NA())</f>
        <v/>
      </c>
    </row>
    <row r="460">
      <c r="AC460">
        <f>IFERROR(IF(INDEX(Aux_puntos!$A$2:$OJ$901,456,MATCH($B$2&amp;"|xK",Aux_puntos!$1:$1,0))="",NA(),INDEX(Aux_puntos!$A$2:$OJ$901,456,MATCH($B$2&amp;"|xK",Aux_puntos!$1:$1,0))),NA())</f>
        <v/>
      </c>
      <c r="AD460">
        <f>IFERROR(IF(INDEX(Aux_puntos!$A$2:$OJ$901,456,MATCH($B$2&amp;"|yK",Aux_puntos!$1:$1,0))="",NA(),INDEX(Aux_puntos!$A$2:$OJ$901,456,MATCH($B$2&amp;"|yK",Aux_puntos!$1:$1,0))),NA())</f>
        <v/>
      </c>
      <c r="AE460">
        <f>IFERROR(IF(INDEX(Aux_puntos!$A$2:$OJ$901,456,MATCH($B$2&amp;"|xC",Aux_puntos!$1:$1,0))="",NA(),INDEX(Aux_puntos!$A$2:$OJ$901,456,MATCH($B$2&amp;"|xC",Aux_puntos!$1:$1,0))),NA())</f>
        <v/>
      </c>
      <c r="AF460">
        <f>IFERROR(IF(INDEX(Aux_puntos!$A$2:$OJ$901,456,MATCH($B$2&amp;"|yC",Aux_puntos!$1:$1,0))="",NA(),INDEX(Aux_puntos!$A$2:$OJ$901,456,MATCH($B$2&amp;"|yC",Aux_puntos!$1:$1,0))),NA())</f>
        <v/>
      </c>
      <c r="AG460">
        <f>IFERROR(IF(INDEX(Aux_puntos!$A$2:$OJ$901,456,MATCH($B$2&amp;"|xI",Aux_puntos!$1:$1,0))="",NA(),INDEX(Aux_puntos!$A$2:$OJ$901,456,MATCH($B$2&amp;"|xI",Aux_puntos!$1:$1,0))),NA())</f>
        <v/>
      </c>
      <c r="AH460">
        <f>IFERROR(IF(INDEX(Aux_puntos!$A$2:$OJ$901,456,MATCH($B$2&amp;"|yI",Aux_puntos!$1:$1,0))="",NA(),INDEX(Aux_puntos!$A$2:$OJ$901,456,MATCH($B$2&amp;"|yI",Aux_puntos!$1:$1,0))),NA())</f>
        <v/>
      </c>
      <c r="AI460">
        <f>IFERROR(IF(INDEX(Aux_puntos!$A$2:$OJ$901,456,MATCH($B$2&amp;"|xN",Aux_puntos!$1:$1,0))="",NA(),INDEX(Aux_puntos!$A$2:$OJ$901,456,MATCH($B$2&amp;"|xN",Aux_puntos!$1:$1,0))),NA())</f>
        <v/>
      </c>
      <c r="AJ460">
        <f>IFERROR(IF(INDEX(Aux_puntos!$A$2:$OJ$901,456,MATCH($B$2&amp;"|yN",Aux_puntos!$1:$1,0))="",NA(),INDEX(Aux_puntos!$A$2:$OJ$901,456,MATCH($B$2&amp;"|yN",Aux_puntos!$1:$1,0))),NA())</f>
        <v/>
      </c>
    </row>
    <row r="461">
      <c r="AC461">
        <f>IFERROR(IF(INDEX(Aux_puntos!$A$2:$OJ$901,457,MATCH($B$2&amp;"|xK",Aux_puntos!$1:$1,0))="",NA(),INDEX(Aux_puntos!$A$2:$OJ$901,457,MATCH($B$2&amp;"|xK",Aux_puntos!$1:$1,0))),NA())</f>
        <v/>
      </c>
      <c r="AD461">
        <f>IFERROR(IF(INDEX(Aux_puntos!$A$2:$OJ$901,457,MATCH($B$2&amp;"|yK",Aux_puntos!$1:$1,0))="",NA(),INDEX(Aux_puntos!$A$2:$OJ$901,457,MATCH($B$2&amp;"|yK",Aux_puntos!$1:$1,0))),NA())</f>
        <v/>
      </c>
      <c r="AE461">
        <f>IFERROR(IF(INDEX(Aux_puntos!$A$2:$OJ$901,457,MATCH($B$2&amp;"|xC",Aux_puntos!$1:$1,0))="",NA(),INDEX(Aux_puntos!$A$2:$OJ$901,457,MATCH($B$2&amp;"|xC",Aux_puntos!$1:$1,0))),NA())</f>
        <v/>
      </c>
      <c r="AF461">
        <f>IFERROR(IF(INDEX(Aux_puntos!$A$2:$OJ$901,457,MATCH($B$2&amp;"|yC",Aux_puntos!$1:$1,0))="",NA(),INDEX(Aux_puntos!$A$2:$OJ$901,457,MATCH($B$2&amp;"|yC",Aux_puntos!$1:$1,0))),NA())</f>
        <v/>
      </c>
      <c r="AG461">
        <f>IFERROR(IF(INDEX(Aux_puntos!$A$2:$OJ$901,457,MATCH($B$2&amp;"|xI",Aux_puntos!$1:$1,0))="",NA(),INDEX(Aux_puntos!$A$2:$OJ$901,457,MATCH($B$2&amp;"|xI",Aux_puntos!$1:$1,0))),NA())</f>
        <v/>
      </c>
      <c r="AH461">
        <f>IFERROR(IF(INDEX(Aux_puntos!$A$2:$OJ$901,457,MATCH($B$2&amp;"|yI",Aux_puntos!$1:$1,0))="",NA(),INDEX(Aux_puntos!$A$2:$OJ$901,457,MATCH($B$2&amp;"|yI",Aux_puntos!$1:$1,0))),NA())</f>
        <v/>
      </c>
      <c r="AI461">
        <f>IFERROR(IF(INDEX(Aux_puntos!$A$2:$OJ$901,457,MATCH($B$2&amp;"|xN",Aux_puntos!$1:$1,0))="",NA(),INDEX(Aux_puntos!$A$2:$OJ$901,457,MATCH($B$2&amp;"|xN",Aux_puntos!$1:$1,0))),NA())</f>
        <v/>
      </c>
      <c r="AJ461">
        <f>IFERROR(IF(INDEX(Aux_puntos!$A$2:$OJ$901,457,MATCH($B$2&amp;"|yN",Aux_puntos!$1:$1,0))="",NA(),INDEX(Aux_puntos!$A$2:$OJ$901,457,MATCH($B$2&amp;"|yN",Aux_puntos!$1:$1,0))),NA())</f>
        <v/>
      </c>
    </row>
    <row r="462">
      <c r="AC462">
        <f>IFERROR(IF(INDEX(Aux_puntos!$A$2:$OJ$901,458,MATCH($B$2&amp;"|xK",Aux_puntos!$1:$1,0))="",NA(),INDEX(Aux_puntos!$A$2:$OJ$901,458,MATCH($B$2&amp;"|xK",Aux_puntos!$1:$1,0))),NA())</f>
        <v/>
      </c>
      <c r="AD462">
        <f>IFERROR(IF(INDEX(Aux_puntos!$A$2:$OJ$901,458,MATCH($B$2&amp;"|yK",Aux_puntos!$1:$1,0))="",NA(),INDEX(Aux_puntos!$A$2:$OJ$901,458,MATCH($B$2&amp;"|yK",Aux_puntos!$1:$1,0))),NA())</f>
        <v/>
      </c>
      <c r="AE462">
        <f>IFERROR(IF(INDEX(Aux_puntos!$A$2:$OJ$901,458,MATCH($B$2&amp;"|xC",Aux_puntos!$1:$1,0))="",NA(),INDEX(Aux_puntos!$A$2:$OJ$901,458,MATCH($B$2&amp;"|xC",Aux_puntos!$1:$1,0))),NA())</f>
        <v/>
      </c>
      <c r="AF462">
        <f>IFERROR(IF(INDEX(Aux_puntos!$A$2:$OJ$901,458,MATCH($B$2&amp;"|yC",Aux_puntos!$1:$1,0))="",NA(),INDEX(Aux_puntos!$A$2:$OJ$901,458,MATCH($B$2&amp;"|yC",Aux_puntos!$1:$1,0))),NA())</f>
        <v/>
      </c>
      <c r="AG462">
        <f>IFERROR(IF(INDEX(Aux_puntos!$A$2:$OJ$901,458,MATCH($B$2&amp;"|xI",Aux_puntos!$1:$1,0))="",NA(),INDEX(Aux_puntos!$A$2:$OJ$901,458,MATCH($B$2&amp;"|xI",Aux_puntos!$1:$1,0))),NA())</f>
        <v/>
      </c>
      <c r="AH462">
        <f>IFERROR(IF(INDEX(Aux_puntos!$A$2:$OJ$901,458,MATCH($B$2&amp;"|yI",Aux_puntos!$1:$1,0))="",NA(),INDEX(Aux_puntos!$A$2:$OJ$901,458,MATCH($B$2&amp;"|yI",Aux_puntos!$1:$1,0))),NA())</f>
        <v/>
      </c>
      <c r="AI462">
        <f>IFERROR(IF(INDEX(Aux_puntos!$A$2:$OJ$901,458,MATCH($B$2&amp;"|xN",Aux_puntos!$1:$1,0))="",NA(),INDEX(Aux_puntos!$A$2:$OJ$901,458,MATCH($B$2&amp;"|xN",Aux_puntos!$1:$1,0))),NA())</f>
        <v/>
      </c>
      <c r="AJ462">
        <f>IFERROR(IF(INDEX(Aux_puntos!$A$2:$OJ$901,458,MATCH($B$2&amp;"|yN",Aux_puntos!$1:$1,0))="",NA(),INDEX(Aux_puntos!$A$2:$OJ$901,458,MATCH($B$2&amp;"|yN",Aux_puntos!$1:$1,0))),NA())</f>
        <v/>
      </c>
    </row>
    <row r="463">
      <c r="AC463">
        <f>IFERROR(IF(INDEX(Aux_puntos!$A$2:$OJ$901,459,MATCH($B$2&amp;"|xK",Aux_puntos!$1:$1,0))="",NA(),INDEX(Aux_puntos!$A$2:$OJ$901,459,MATCH($B$2&amp;"|xK",Aux_puntos!$1:$1,0))),NA())</f>
        <v/>
      </c>
      <c r="AD463">
        <f>IFERROR(IF(INDEX(Aux_puntos!$A$2:$OJ$901,459,MATCH($B$2&amp;"|yK",Aux_puntos!$1:$1,0))="",NA(),INDEX(Aux_puntos!$A$2:$OJ$901,459,MATCH($B$2&amp;"|yK",Aux_puntos!$1:$1,0))),NA())</f>
        <v/>
      </c>
      <c r="AE463">
        <f>IFERROR(IF(INDEX(Aux_puntos!$A$2:$OJ$901,459,MATCH($B$2&amp;"|xC",Aux_puntos!$1:$1,0))="",NA(),INDEX(Aux_puntos!$A$2:$OJ$901,459,MATCH($B$2&amp;"|xC",Aux_puntos!$1:$1,0))),NA())</f>
        <v/>
      </c>
      <c r="AF463">
        <f>IFERROR(IF(INDEX(Aux_puntos!$A$2:$OJ$901,459,MATCH($B$2&amp;"|yC",Aux_puntos!$1:$1,0))="",NA(),INDEX(Aux_puntos!$A$2:$OJ$901,459,MATCH($B$2&amp;"|yC",Aux_puntos!$1:$1,0))),NA())</f>
        <v/>
      </c>
      <c r="AG463">
        <f>IFERROR(IF(INDEX(Aux_puntos!$A$2:$OJ$901,459,MATCH($B$2&amp;"|xI",Aux_puntos!$1:$1,0))="",NA(),INDEX(Aux_puntos!$A$2:$OJ$901,459,MATCH($B$2&amp;"|xI",Aux_puntos!$1:$1,0))),NA())</f>
        <v/>
      </c>
      <c r="AH463">
        <f>IFERROR(IF(INDEX(Aux_puntos!$A$2:$OJ$901,459,MATCH($B$2&amp;"|yI",Aux_puntos!$1:$1,0))="",NA(),INDEX(Aux_puntos!$A$2:$OJ$901,459,MATCH($B$2&amp;"|yI",Aux_puntos!$1:$1,0))),NA())</f>
        <v/>
      </c>
      <c r="AI463">
        <f>IFERROR(IF(INDEX(Aux_puntos!$A$2:$OJ$901,459,MATCH($B$2&amp;"|xN",Aux_puntos!$1:$1,0))="",NA(),INDEX(Aux_puntos!$A$2:$OJ$901,459,MATCH($B$2&amp;"|xN",Aux_puntos!$1:$1,0))),NA())</f>
        <v/>
      </c>
      <c r="AJ463">
        <f>IFERROR(IF(INDEX(Aux_puntos!$A$2:$OJ$901,459,MATCH($B$2&amp;"|yN",Aux_puntos!$1:$1,0))="",NA(),INDEX(Aux_puntos!$A$2:$OJ$901,459,MATCH($B$2&amp;"|yN",Aux_puntos!$1:$1,0))),NA())</f>
        <v/>
      </c>
    </row>
    <row r="464">
      <c r="AC464">
        <f>IFERROR(IF(INDEX(Aux_puntos!$A$2:$OJ$901,460,MATCH($B$2&amp;"|xK",Aux_puntos!$1:$1,0))="",NA(),INDEX(Aux_puntos!$A$2:$OJ$901,460,MATCH($B$2&amp;"|xK",Aux_puntos!$1:$1,0))),NA())</f>
        <v/>
      </c>
      <c r="AD464">
        <f>IFERROR(IF(INDEX(Aux_puntos!$A$2:$OJ$901,460,MATCH($B$2&amp;"|yK",Aux_puntos!$1:$1,0))="",NA(),INDEX(Aux_puntos!$A$2:$OJ$901,460,MATCH($B$2&amp;"|yK",Aux_puntos!$1:$1,0))),NA())</f>
        <v/>
      </c>
      <c r="AE464">
        <f>IFERROR(IF(INDEX(Aux_puntos!$A$2:$OJ$901,460,MATCH($B$2&amp;"|xC",Aux_puntos!$1:$1,0))="",NA(),INDEX(Aux_puntos!$A$2:$OJ$901,460,MATCH($B$2&amp;"|xC",Aux_puntos!$1:$1,0))),NA())</f>
        <v/>
      </c>
      <c r="AF464">
        <f>IFERROR(IF(INDEX(Aux_puntos!$A$2:$OJ$901,460,MATCH($B$2&amp;"|yC",Aux_puntos!$1:$1,0))="",NA(),INDEX(Aux_puntos!$A$2:$OJ$901,460,MATCH($B$2&amp;"|yC",Aux_puntos!$1:$1,0))),NA())</f>
        <v/>
      </c>
      <c r="AG464">
        <f>IFERROR(IF(INDEX(Aux_puntos!$A$2:$OJ$901,460,MATCH($B$2&amp;"|xI",Aux_puntos!$1:$1,0))="",NA(),INDEX(Aux_puntos!$A$2:$OJ$901,460,MATCH($B$2&amp;"|xI",Aux_puntos!$1:$1,0))),NA())</f>
        <v/>
      </c>
      <c r="AH464">
        <f>IFERROR(IF(INDEX(Aux_puntos!$A$2:$OJ$901,460,MATCH($B$2&amp;"|yI",Aux_puntos!$1:$1,0))="",NA(),INDEX(Aux_puntos!$A$2:$OJ$901,460,MATCH($B$2&amp;"|yI",Aux_puntos!$1:$1,0))),NA())</f>
        <v/>
      </c>
      <c r="AI464">
        <f>IFERROR(IF(INDEX(Aux_puntos!$A$2:$OJ$901,460,MATCH($B$2&amp;"|xN",Aux_puntos!$1:$1,0))="",NA(),INDEX(Aux_puntos!$A$2:$OJ$901,460,MATCH($B$2&amp;"|xN",Aux_puntos!$1:$1,0))),NA())</f>
        <v/>
      </c>
      <c r="AJ464">
        <f>IFERROR(IF(INDEX(Aux_puntos!$A$2:$OJ$901,460,MATCH($B$2&amp;"|yN",Aux_puntos!$1:$1,0))="",NA(),INDEX(Aux_puntos!$A$2:$OJ$901,460,MATCH($B$2&amp;"|yN",Aux_puntos!$1:$1,0))),NA())</f>
        <v/>
      </c>
    </row>
    <row r="465">
      <c r="AC465">
        <f>IFERROR(IF(INDEX(Aux_puntos!$A$2:$OJ$901,461,MATCH($B$2&amp;"|xK",Aux_puntos!$1:$1,0))="",NA(),INDEX(Aux_puntos!$A$2:$OJ$901,461,MATCH($B$2&amp;"|xK",Aux_puntos!$1:$1,0))),NA())</f>
        <v/>
      </c>
      <c r="AD465">
        <f>IFERROR(IF(INDEX(Aux_puntos!$A$2:$OJ$901,461,MATCH($B$2&amp;"|yK",Aux_puntos!$1:$1,0))="",NA(),INDEX(Aux_puntos!$A$2:$OJ$901,461,MATCH($B$2&amp;"|yK",Aux_puntos!$1:$1,0))),NA())</f>
        <v/>
      </c>
      <c r="AE465">
        <f>IFERROR(IF(INDEX(Aux_puntos!$A$2:$OJ$901,461,MATCH($B$2&amp;"|xC",Aux_puntos!$1:$1,0))="",NA(),INDEX(Aux_puntos!$A$2:$OJ$901,461,MATCH($B$2&amp;"|xC",Aux_puntos!$1:$1,0))),NA())</f>
        <v/>
      </c>
      <c r="AF465">
        <f>IFERROR(IF(INDEX(Aux_puntos!$A$2:$OJ$901,461,MATCH($B$2&amp;"|yC",Aux_puntos!$1:$1,0))="",NA(),INDEX(Aux_puntos!$A$2:$OJ$901,461,MATCH($B$2&amp;"|yC",Aux_puntos!$1:$1,0))),NA())</f>
        <v/>
      </c>
      <c r="AG465">
        <f>IFERROR(IF(INDEX(Aux_puntos!$A$2:$OJ$901,461,MATCH($B$2&amp;"|xI",Aux_puntos!$1:$1,0))="",NA(),INDEX(Aux_puntos!$A$2:$OJ$901,461,MATCH($B$2&amp;"|xI",Aux_puntos!$1:$1,0))),NA())</f>
        <v/>
      </c>
      <c r="AH465">
        <f>IFERROR(IF(INDEX(Aux_puntos!$A$2:$OJ$901,461,MATCH($B$2&amp;"|yI",Aux_puntos!$1:$1,0))="",NA(),INDEX(Aux_puntos!$A$2:$OJ$901,461,MATCH($B$2&amp;"|yI",Aux_puntos!$1:$1,0))),NA())</f>
        <v/>
      </c>
      <c r="AI465">
        <f>IFERROR(IF(INDEX(Aux_puntos!$A$2:$OJ$901,461,MATCH($B$2&amp;"|xN",Aux_puntos!$1:$1,0))="",NA(),INDEX(Aux_puntos!$A$2:$OJ$901,461,MATCH($B$2&amp;"|xN",Aux_puntos!$1:$1,0))),NA())</f>
        <v/>
      </c>
      <c r="AJ465">
        <f>IFERROR(IF(INDEX(Aux_puntos!$A$2:$OJ$901,461,MATCH($B$2&amp;"|yN",Aux_puntos!$1:$1,0))="",NA(),INDEX(Aux_puntos!$A$2:$OJ$901,461,MATCH($B$2&amp;"|yN",Aux_puntos!$1:$1,0))),NA())</f>
        <v/>
      </c>
    </row>
    <row r="466">
      <c r="AC466">
        <f>IFERROR(IF(INDEX(Aux_puntos!$A$2:$OJ$901,462,MATCH($B$2&amp;"|xK",Aux_puntos!$1:$1,0))="",NA(),INDEX(Aux_puntos!$A$2:$OJ$901,462,MATCH($B$2&amp;"|xK",Aux_puntos!$1:$1,0))),NA())</f>
        <v/>
      </c>
      <c r="AD466">
        <f>IFERROR(IF(INDEX(Aux_puntos!$A$2:$OJ$901,462,MATCH($B$2&amp;"|yK",Aux_puntos!$1:$1,0))="",NA(),INDEX(Aux_puntos!$A$2:$OJ$901,462,MATCH($B$2&amp;"|yK",Aux_puntos!$1:$1,0))),NA())</f>
        <v/>
      </c>
      <c r="AE466">
        <f>IFERROR(IF(INDEX(Aux_puntos!$A$2:$OJ$901,462,MATCH($B$2&amp;"|xC",Aux_puntos!$1:$1,0))="",NA(),INDEX(Aux_puntos!$A$2:$OJ$901,462,MATCH($B$2&amp;"|xC",Aux_puntos!$1:$1,0))),NA())</f>
        <v/>
      </c>
      <c r="AF466">
        <f>IFERROR(IF(INDEX(Aux_puntos!$A$2:$OJ$901,462,MATCH($B$2&amp;"|yC",Aux_puntos!$1:$1,0))="",NA(),INDEX(Aux_puntos!$A$2:$OJ$901,462,MATCH($B$2&amp;"|yC",Aux_puntos!$1:$1,0))),NA())</f>
        <v/>
      </c>
      <c r="AG466">
        <f>IFERROR(IF(INDEX(Aux_puntos!$A$2:$OJ$901,462,MATCH($B$2&amp;"|xI",Aux_puntos!$1:$1,0))="",NA(),INDEX(Aux_puntos!$A$2:$OJ$901,462,MATCH($B$2&amp;"|xI",Aux_puntos!$1:$1,0))),NA())</f>
        <v/>
      </c>
      <c r="AH466">
        <f>IFERROR(IF(INDEX(Aux_puntos!$A$2:$OJ$901,462,MATCH($B$2&amp;"|yI",Aux_puntos!$1:$1,0))="",NA(),INDEX(Aux_puntos!$A$2:$OJ$901,462,MATCH($B$2&amp;"|yI",Aux_puntos!$1:$1,0))),NA())</f>
        <v/>
      </c>
      <c r="AI466">
        <f>IFERROR(IF(INDEX(Aux_puntos!$A$2:$OJ$901,462,MATCH($B$2&amp;"|xN",Aux_puntos!$1:$1,0))="",NA(),INDEX(Aux_puntos!$A$2:$OJ$901,462,MATCH($B$2&amp;"|xN",Aux_puntos!$1:$1,0))),NA())</f>
        <v/>
      </c>
      <c r="AJ466">
        <f>IFERROR(IF(INDEX(Aux_puntos!$A$2:$OJ$901,462,MATCH($B$2&amp;"|yN",Aux_puntos!$1:$1,0))="",NA(),INDEX(Aux_puntos!$A$2:$OJ$901,462,MATCH($B$2&amp;"|yN",Aux_puntos!$1:$1,0))),NA())</f>
        <v/>
      </c>
    </row>
    <row r="467">
      <c r="AC467">
        <f>IFERROR(IF(INDEX(Aux_puntos!$A$2:$OJ$901,463,MATCH($B$2&amp;"|xK",Aux_puntos!$1:$1,0))="",NA(),INDEX(Aux_puntos!$A$2:$OJ$901,463,MATCH($B$2&amp;"|xK",Aux_puntos!$1:$1,0))),NA())</f>
        <v/>
      </c>
      <c r="AD467">
        <f>IFERROR(IF(INDEX(Aux_puntos!$A$2:$OJ$901,463,MATCH($B$2&amp;"|yK",Aux_puntos!$1:$1,0))="",NA(),INDEX(Aux_puntos!$A$2:$OJ$901,463,MATCH($B$2&amp;"|yK",Aux_puntos!$1:$1,0))),NA())</f>
        <v/>
      </c>
      <c r="AE467">
        <f>IFERROR(IF(INDEX(Aux_puntos!$A$2:$OJ$901,463,MATCH($B$2&amp;"|xC",Aux_puntos!$1:$1,0))="",NA(),INDEX(Aux_puntos!$A$2:$OJ$901,463,MATCH($B$2&amp;"|xC",Aux_puntos!$1:$1,0))),NA())</f>
        <v/>
      </c>
      <c r="AF467">
        <f>IFERROR(IF(INDEX(Aux_puntos!$A$2:$OJ$901,463,MATCH($B$2&amp;"|yC",Aux_puntos!$1:$1,0))="",NA(),INDEX(Aux_puntos!$A$2:$OJ$901,463,MATCH($B$2&amp;"|yC",Aux_puntos!$1:$1,0))),NA())</f>
        <v/>
      </c>
      <c r="AG467">
        <f>IFERROR(IF(INDEX(Aux_puntos!$A$2:$OJ$901,463,MATCH($B$2&amp;"|xI",Aux_puntos!$1:$1,0))="",NA(),INDEX(Aux_puntos!$A$2:$OJ$901,463,MATCH($B$2&amp;"|xI",Aux_puntos!$1:$1,0))),NA())</f>
        <v/>
      </c>
      <c r="AH467">
        <f>IFERROR(IF(INDEX(Aux_puntos!$A$2:$OJ$901,463,MATCH($B$2&amp;"|yI",Aux_puntos!$1:$1,0))="",NA(),INDEX(Aux_puntos!$A$2:$OJ$901,463,MATCH($B$2&amp;"|yI",Aux_puntos!$1:$1,0))),NA())</f>
        <v/>
      </c>
      <c r="AI467">
        <f>IFERROR(IF(INDEX(Aux_puntos!$A$2:$OJ$901,463,MATCH($B$2&amp;"|xN",Aux_puntos!$1:$1,0))="",NA(),INDEX(Aux_puntos!$A$2:$OJ$901,463,MATCH($B$2&amp;"|xN",Aux_puntos!$1:$1,0))),NA())</f>
        <v/>
      </c>
      <c r="AJ467">
        <f>IFERROR(IF(INDEX(Aux_puntos!$A$2:$OJ$901,463,MATCH($B$2&amp;"|yN",Aux_puntos!$1:$1,0))="",NA(),INDEX(Aux_puntos!$A$2:$OJ$901,463,MATCH($B$2&amp;"|yN",Aux_puntos!$1:$1,0))),NA())</f>
        <v/>
      </c>
    </row>
    <row r="468">
      <c r="AC468">
        <f>IFERROR(IF(INDEX(Aux_puntos!$A$2:$OJ$901,464,MATCH($B$2&amp;"|xK",Aux_puntos!$1:$1,0))="",NA(),INDEX(Aux_puntos!$A$2:$OJ$901,464,MATCH($B$2&amp;"|xK",Aux_puntos!$1:$1,0))),NA())</f>
        <v/>
      </c>
      <c r="AD468">
        <f>IFERROR(IF(INDEX(Aux_puntos!$A$2:$OJ$901,464,MATCH($B$2&amp;"|yK",Aux_puntos!$1:$1,0))="",NA(),INDEX(Aux_puntos!$A$2:$OJ$901,464,MATCH($B$2&amp;"|yK",Aux_puntos!$1:$1,0))),NA())</f>
        <v/>
      </c>
      <c r="AE468">
        <f>IFERROR(IF(INDEX(Aux_puntos!$A$2:$OJ$901,464,MATCH($B$2&amp;"|xC",Aux_puntos!$1:$1,0))="",NA(),INDEX(Aux_puntos!$A$2:$OJ$901,464,MATCH($B$2&amp;"|xC",Aux_puntos!$1:$1,0))),NA())</f>
        <v/>
      </c>
      <c r="AF468">
        <f>IFERROR(IF(INDEX(Aux_puntos!$A$2:$OJ$901,464,MATCH($B$2&amp;"|yC",Aux_puntos!$1:$1,0))="",NA(),INDEX(Aux_puntos!$A$2:$OJ$901,464,MATCH($B$2&amp;"|yC",Aux_puntos!$1:$1,0))),NA())</f>
        <v/>
      </c>
      <c r="AG468">
        <f>IFERROR(IF(INDEX(Aux_puntos!$A$2:$OJ$901,464,MATCH($B$2&amp;"|xI",Aux_puntos!$1:$1,0))="",NA(),INDEX(Aux_puntos!$A$2:$OJ$901,464,MATCH($B$2&amp;"|xI",Aux_puntos!$1:$1,0))),NA())</f>
        <v/>
      </c>
      <c r="AH468">
        <f>IFERROR(IF(INDEX(Aux_puntos!$A$2:$OJ$901,464,MATCH($B$2&amp;"|yI",Aux_puntos!$1:$1,0))="",NA(),INDEX(Aux_puntos!$A$2:$OJ$901,464,MATCH($B$2&amp;"|yI",Aux_puntos!$1:$1,0))),NA())</f>
        <v/>
      </c>
      <c r="AI468">
        <f>IFERROR(IF(INDEX(Aux_puntos!$A$2:$OJ$901,464,MATCH($B$2&amp;"|xN",Aux_puntos!$1:$1,0))="",NA(),INDEX(Aux_puntos!$A$2:$OJ$901,464,MATCH($B$2&amp;"|xN",Aux_puntos!$1:$1,0))),NA())</f>
        <v/>
      </c>
      <c r="AJ468">
        <f>IFERROR(IF(INDEX(Aux_puntos!$A$2:$OJ$901,464,MATCH($B$2&amp;"|yN",Aux_puntos!$1:$1,0))="",NA(),INDEX(Aux_puntos!$A$2:$OJ$901,464,MATCH($B$2&amp;"|yN",Aux_puntos!$1:$1,0))),NA())</f>
        <v/>
      </c>
    </row>
    <row r="469">
      <c r="AC469">
        <f>IFERROR(IF(INDEX(Aux_puntos!$A$2:$OJ$901,465,MATCH($B$2&amp;"|xK",Aux_puntos!$1:$1,0))="",NA(),INDEX(Aux_puntos!$A$2:$OJ$901,465,MATCH($B$2&amp;"|xK",Aux_puntos!$1:$1,0))),NA())</f>
        <v/>
      </c>
      <c r="AD469">
        <f>IFERROR(IF(INDEX(Aux_puntos!$A$2:$OJ$901,465,MATCH($B$2&amp;"|yK",Aux_puntos!$1:$1,0))="",NA(),INDEX(Aux_puntos!$A$2:$OJ$901,465,MATCH($B$2&amp;"|yK",Aux_puntos!$1:$1,0))),NA())</f>
        <v/>
      </c>
      <c r="AE469">
        <f>IFERROR(IF(INDEX(Aux_puntos!$A$2:$OJ$901,465,MATCH($B$2&amp;"|xC",Aux_puntos!$1:$1,0))="",NA(),INDEX(Aux_puntos!$A$2:$OJ$901,465,MATCH($B$2&amp;"|xC",Aux_puntos!$1:$1,0))),NA())</f>
        <v/>
      </c>
      <c r="AF469">
        <f>IFERROR(IF(INDEX(Aux_puntos!$A$2:$OJ$901,465,MATCH($B$2&amp;"|yC",Aux_puntos!$1:$1,0))="",NA(),INDEX(Aux_puntos!$A$2:$OJ$901,465,MATCH($B$2&amp;"|yC",Aux_puntos!$1:$1,0))),NA())</f>
        <v/>
      </c>
      <c r="AG469">
        <f>IFERROR(IF(INDEX(Aux_puntos!$A$2:$OJ$901,465,MATCH($B$2&amp;"|xI",Aux_puntos!$1:$1,0))="",NA(),INDEX(Aux_puntos!$A$2:$OJ$901,465,MATCH($B$2&amp;"|xI",Aux_puntos!$1:$1,0))),NA())</f>
        <v/>
      </c>
      <c r="AH469">
        <f>IFERROR(IF(INDEX(Aux_puntos!$A$2:$OJ$901,465,MATCH($B$2&amp;"|yI",Aux_puntos!$1:$1,0))="",NA(),INDEX(Aux_puntos!$A$2:$OJ$901,465,MATCH($B$2&amp;"|yI",Aux_puntos!$1:$1,0))),NA())</f>
        <v/>
      </c>
      <c r="AI469">
        <f>IFERROR(IF(INDEX(Aux_puntos!$A$2:$OJ$901,465,MATCH($B$2&amp;"|xN",Aux_puntos!$1:$1,0))="",NA(),INDEX(Aux_puntos!$A$2:$OJ$901,465,MATCH($B$2&amp;"|xN",Aux_puntos!$1:$1,0))),NA())</f>
        <v/>
      </c>
      <c r="AJ469">
        <f>IFERROR(IF(INDEX(Aux_puntos!$A$2:$OJ$901,465,MATCH($B$2&amp;"|yN",Aux_puntos!$1:$1,0))="",NA(),INDEX(Aux_puntos!$A$2:$OJ$901,465,MATCH($B$2&amp;"|yN",Aux_puntos!$1:$1,0))),NA())</f>
        <v/>
      </c>
    </row>
    <row r="470">
      <c r="AC470">
        <f>IFERROR(IF(INDEX(Aux_puntos!$A$2:$OJ$901,466,MATCH($B$2&amp;"|xK",Aux_puntos!$1:$1,0))="",NA(),INDEX(Aux_puntos!$A$2:$OJ$901,466,MATCH($B$2&amp;"|xK",Aux_puntos!$1:$1,0))),NA())</f>
        <v/>
      </c>
      <c r="AD470">
        <f>IFERROR(IF(INDEX(Aux_puntos!$A$2:$OJ$901,466,MATCH($B$2&amp;"|yK",Aux_puntos!$1:$1,0))="",NA(),INDEX(Aux_puntos!$A$2:$OJ$901,466,MATCH($B$2&amp;"|yK",Aux_puntos!$1:$1,0))),NA())</f>
        <v/>
      </c>
      <c r="AE470">
        <f>IFERROR(IF(INDEX(Aux_puntos!$A$2:$OJ$901,466,MATCH($B$2&amp;"|xC",Aux_puntos!$1:$1,0))="",NA(),INDEX(Aux_puntos!$A$2:$OJ$901,466,MATCH($B$2&amp;"|xC",Aux_puntos!$1:$1,0))),NA())</f>
        <v/>
      </c>
      <c r="AF470">
        <f>IFERROR(IF(INDEX(Aux_puntos!$A$2:$OJ$901,466,MATCH($B$2&amp;"|yC",Aux_puntos!$1:$1,0))="",NA(),INDEX(Aux_puntos!$A$2:$OJ$901,466,MATCH($B$2&amp;"|yC",Aux_puntos!$1:$1,0))),NA())</f>
        <v/>
      </c>
      <c r="AG470">
        <f>IFERROR(IF(INDEX(Aux_puntos!$A$2:$OJ$901,466,MATCH($B$2&amp;"|xI",Aux_puntos!$1:$1,0))="",NA(),INDEX(Aux_puntos!$A$2:$OJ$901,466,MATCH($B$2&amp;"|xI",Aux_puntos!$1:$1,0))),NA())</f>
        <v/>
      </c>
      <c r="AH470">
        <f>IFERROR(IF(INDEX(Aux_puntos!$A$2:$OJ$901,466,MATCH($B$2&amp;"|yI",Aux_puntos!$1:$1,0))="",NA(),INDEX(Aux_puntos!$A$2:$OJ$901,466,MATCH($B$2&amp;"|yI",Aux_puntos!$1:$1,0))),NA())</f>
        <v/>
      </c>
      <c r="AI470">
        <f>IFERROR(IF(INDEX(Aux_puntos!$A$2:$OJ$901,466,MATCH($B$2&amp;"|xN",Aux_puntos!$1:$1,0))="",NA(),INDEX(Aux_puntos!$A$2:$OJ$901,466,MATCH($B$2&amp;"|xN",Aux_puntos!$1:$1,0))),NA())</f>
        <v/>
      </c>
      <c r="AJ470">
        <f>IFERROR(IF(INDEX(Aux_puntos!$A$2:$OJ$901,466,MATCH($B$2&amp;"|yN",Aux_puntos!$1:$1,0))="",NA(),INDEX(Aux_puntos!$A$2:$OJ$901,466,MATCH($B$2&amp;"|yN",Aux_puntos!$1:$1,0))),NA())</f>
        <v/>
      </c>
    </row>
    <row r="471">
      <c r="AC471">
        <f>IFERROR(IF(INDEX(Aux_puntos!$A$2:$OJ$901,467,MATCH($B$2&amp;"|xK",Aux_puntos!$1:$1,0))="",NA(),INDEX(Aux_puntos!$A$2:$OJ$901,467,MATCH($B$2&amp;"|xK",Aux_puntos!$1:$1,0))),NA())</f>
        <v/>
      </c>
      <c r="AD471">
        <f>IFERROR(IF(INDEX(Aux_puntos!$A$2:$OJ$901,467,MATCH($B$2&amp;"|yK",Aux_puntos!$1:$1,0))="",NA(),INDEX(Aux_puntos!$A$2:$OJ$901,467,MATCH($B$2&amp;"|yK",Aux_puntos!$1:$1,0))),NA())</f>
        <v/>
      </c>
      <c r="AE471">
        <f>IFERROR(IF(INDEX(Aux_puntos!$A$2:$OJ$901,467,MATCH($B$2&amp;"|xC",Aux_puntos!$1:$1,0))="",NA(),INDEX(Aux_puntos!$A$2:$OJ$901,467,MATCH($B$2&amp;"|xC",Aux_puntos!$1:$1,0))),NA())</f>
        <v/>
      </c>
      <c r="AF471">
        <f>IFERROR(IF(INDEX(Aux_puntos!$A$2:$OJ$901,467,MATCH($B$2&amp;"|yC",Aux_puntos!$1:$1,0))="",NA(),INDEX(Aux_puntos!$A$2:$OJ$901,467,MATCH($B$2&amp;"|yC",Aux_puntos!$1:$1,0))),NA())</f>
        <v/>
      </c>
      <c r="AG471">
        <f>IFERROR(IF(INDEX(Aux_puntos!$A$2:$OJ$901,467,MATCH($B$2&amp;"|xI",Aux_puntos!$1:$1,0))="",NA(),INDEX(Aux_puntos!$A$2:$OJ$901,467,MATCH($B$2&amp;"|xI",Aux_puntos!$1:$1,0))),NA())</f>
        <v/>
      </c>
      <c r="AH471">
        <f>IFERROR(IF(INDEX(Aux_puntos!$A$2:$OJ$901,467,MATCH($B$2&amp;"|yI",Aux_puntos!$1:$1,0))="",NA(),INDEX(Aux_puntos!$A$2:$OJ$901,467,MATCH($B$2&amp;"|yI",Aux_puntos!$1:$1,0))),NA())</f>
        <v/>
      </c>
      <c r="AI471">
        <f>IFERROR(IF(INDEX(Aux_puntos!$A$2:$OJ$901,467,MATCH($B$2&amp;"|xN",Aux_puntos!$1:$1,0))="",NA(),INDEX(Aux_puntos!$A$2:$OJ$901,467,MATCH($B$2&amp;"|xN",Aux_puntos!$1:$1,0))),NA())</f>
        <v/>
      </c>
      <c r="AJ471">
        <f>IFERROR(IF(INDEX(Aux_puntos!$A$2:$OJ$901,467,MATCH($B$2&amp;"|yN",Aux_puntos!$1:$1,0))="",NA(),INDEX(Aux_puntos!$A$2:$OJ$901,467,MATCH($B$2&amp;"|yN",Aux_puntos!$1:$1,0))),NA())</f>
        <v/>
      </c>
    </row>
    <row r="472">
      <c r="AC472">
        <f>IFERROR(IF(INDEX(Aux_puntos!$A$2:$OJ$901,468,MATCH($B$2&amp;"|xK",Aux_puntos!$1:$1,0))="",NA(),INDEX(Aux_puntos!$A$2:$OJ$901,468,MATCH($B$2&amp;"|xK",Aux_puntos!$1:$1,0))),NA())</f>
        <v/>
      </c>
      <c r="AD472">
        <f>IFERROR(IF(INDEX(Aux_puntos!$A$2:$OJ$901,468,MATCH($B$2&amp;"|yK",Aux_puntos!$1:$1,0))="",NA(),INDEX(Aux_puntos!$A$2:$OJ$901,468,MATCH($B$2&amp;"|yK",Aux_puntos!$1:$1,0))),NA())</f>
        <v/>
      </c>
      <c r="AE472">
        <f>IFERROR(IF(INDEX(Aux_puntos!$A$2:$OJ$901,468,MATCH($B$2&amp;"|xC",Aux_puntos!$1:$1,0))="",NA(),INDEX(Aux_puntos!$A$2:$OJ$901,468,MATCH($B$2&amp;"|xC",Aux_puntos!$1:$1,0))),NA())</f>
        <v/>
      </c>
      <c r="AF472">
        <f>IFERROR(IF(INDEX(Aux_puntos!$A$2:$OJ$901,468,MATCH($B$2&amp;"|yC",Aux_puntos!$1:$1,0))="",NA(),INDEX(Aux_puntos!$A$2:$OJ$901,468,MATCH($B$2&amp;"|yC",Aux_puntos!$1:$1,0))),NA())</f>
        <v/>
      </c>
      <c r="AG472">
        <f>IFERROR(IF(INDEX(Aux_puntos!$A$2:$OJ$901,468,MATCH($B$2&amp;"|xI",Aux_puntos!$1:$1,0))="",NA(),INDEX(Aux_puntos!$A$2:$OJ$901,468,MATCH($B$2&amp;"|xI",Aux_puntos!$1:$1,0))),NA())</f>
        <v/>
      </c>
      <c r="AH472">
        <f>IFERROR(IF(INDEX(Aux_puntos!$A$2:$OJ$901,468,MATCH($B$2&amp;"|yI",Aux_puntos!$1:$1,0))="",NA(),INDEX(Aux_puntos!$A$2:$OJ$901,468,MATCH($B$2&amp;"|yI",Aux_puntos!$1:$1,0))),NA())</f>
        <v/>
      </c>
      <c r="AI472">
        <f>IFERROR(IF(INDEX(Aux_puntos!$A$2:$OJ$901,468,MATCH($B$2&amp;"|xN",Aux_puntos!$1:$1,0))="",NA(),INDEX(Aux_puntos!$A$2:$OJ$901,468,MATCH($B$2&amp;"|xN",Aux_puntos!$1:$1,0))),NA())</f>
        <v/>
      </c>
      <c r="AJ472">
        <f>IFERROR(IF(INDEX(Aux_puntos!$A$2:$OJ$901,468,MATCH($B$2&amp;"|yN",Aux_puntos!$1:$1,0))="",NA(),INDEX(Aux_puntos!$A$2:$OJ$901,468,MATCH($B$2&amp;"|yN",Aux_puntos!$1:$1,0))),NA())</f>
        <v/>
      </c>
    </row>
    <row r="473">
      <c r="AC473">
        <f>IFERROR(IF(INDEX(Aux_puntos!$A$2:$OJ$901,469,MATCH($B$2&amp;"|xK",Aux_puntos!$1:$1,0))="",NA(),INDEX(Aux_puntos!$A$2:$OJ$901,469,MATCH($B$2&amp;"|xK",Aux_puntos!$1:$1,0))),NA())</f>
        <v/>
      </c>
      <c r="AD473">
        <f>IFERROR(IF(INDEX(Aux_puntos!$A$2:$OJ$901,469,MATCH($B$2&amp;"|yK",Aux_puntos!$1:$1,0))="",NA(),INDEX(Aux_puntos!$A$2:$OJ$901,469,MATCH($B$2&amp;"|yK",Aux_puntos!$1:$1,0))),NA())</f>
        <v/>
      </c>
      <c r="AE473">
        <f>IFERROR(IF(INDEX(Aux_puntos!$A$2:$OJ$901,469,MATCH($B$2&amp;"|xC",Aux_puntos!$1:$1,0))="",NA(),INDEX(Aux_puntos!$A$2:$OJ$901,469,MATCH($B$2&amp;"|xC",Aux_puntos!$1:$1,0))),NA())</f>
        <v/>
      </c>
      <c r="AF473">
        <f>IFERROR(IF(INDEX(Aux_puntos!$A$2:$OJ$901,469,MATCH($B$2&amp;"|yC",Aux_puntos!$1:$1,0))="",NA(),INDEX(Aux_puntos!$A$2:$OJ$901,469,MATCH($B$2&amp;"|yC",Aux_puntos!$1:$1,0))),NA())</f>
        <v/>
      </c>
      <c r="AG473">
        <f>IFERROR(IF(INDEX(Aux_puntos!$A$2:$OJ$901,469,MATCH($B$2&amp;"|xI",Aux_puntos!$1:$1,0))="",NA(),INDEX(Aux_puntos!$A$2:$OJ$901,469,MATCH($B$2&amp;"|xI",Aux_puntos!$1:$1,0))),NA())</f>
        <v/>
      </c>
      <c r="AH473">
        <f>IFERROR(IF(INDEX(Aux_puntos!$A$2:$OJ$901,469,MATCH($B$2&amp;"|yI",Aux_puntos!$1:$1,0))="",NA(),INDEX(Aux_puntos!$A$2:$OJ$901,469,MATCH($B$2&amp;"|yI",Aux_puntos!$1:$1,0))),NA())</f>
        <v/>
      </c>
      <c r="AI473">
        <f>IFERROR(IF(INDEX(Aux_puntos!$A$2:$OJ$901,469,MATCH($B$2&amp;"|xN",Aux_puntos!$1:$1,0))="",NA(),INDEX(Aux_puntos!$A$2:$OJ$901,469,MATCH($B$2&amp;"|xN",Aux_puntos!$1:$1,0))),NA())</f>
        <v/>
      </c>
      <c r="AJ473">
        <f>IFERROR(IF(INDEX(Aux_puntos!$A$2:$OJ$901,469,MATCH($B$2&amp;"|yN",Aux_puntos!$1:$1,0))="",NA(),INDEX(Aux_puntos!$A$2:$OJ$901,469,MATCH($B$2&amp;"|yN",Aux_puntos!$1:$1,0))),NA())</f>
        <v/>
      </c>
    </row>
    <row r="474">
      <c r="AC474">
        <f>IFERROR(IF(INDEX(Aux_puntos!$A$2:$OJ$901,470,MATCH($B$2&amp;"|xK",Aux_puntos!$1:$1,0))="",NA(),INDEX(Aux_puntos!$A$2:$OJ$901,470,MATCH($B$2&amp;"|xK",Aux_puntos!$1:$1,0))),NA())</f>
        <v/>
      </c>
      <c r="AD474">
        <f>IFERROR(IF(INDEX(Aux_puntos!$A$2:$OJ$901,470,MATCH($B$2&amp;"|yK",Aux_puntos!$1:$1,0))="",NA(),INDEX(Aux_puntos!$A$2:$OJ$901,470,MATCH($B$2&amp;"|yK",Aux_puntos!$1:$1,0))),NA())</f>
        <v/>
      </c>
      <c r="AE474">
        <f>IFERROR(IF(INDEX(Aux_puntos!$A$2:$OJ$901,470,MATCH($B$2&amp;"|xC",Aux_puntos!$1:$1,0))="",NA(),INDEX(Aux_puntos!$A$2:$OJ$901,470,MATCH($B$2&amp;"|xC",Aux_puntos!$1:$1,0))),NA())</f>
        <v/>
      </c>
      <c r="AF474">
        <f>IFERROR(IF(INDEX(Aux_puntos!$A$2:$OJ$901,470,MATCH($B$2&amp;"|yC",Aux_puntos!$1:$1,0))="",NA(),INDEX(Aux_puntos!$A$2:$OJ$901,470,MATCH($B$2&amp;"|yC",Aux_puntos!$1:$1,0))),NA())</f>
        <v/>
      </c>
      <c r="AG474">
        <f>IFERROR(IF(INDEX(Aux_puntos!$A$2:$OJ$901,470,MATCH($B$2&amp;"|xI",Aux_puntos!$1:$1,0))="",NA(),INDEX(Aux_puntos!$A$2:$OJ$901,470,MATCH($B$2&amp;"|xI",Aux_puntos!$1:$1,0))),NA())</f>
        <v/>
      </c>
      <c r="AH474">
        <f>IFERROR(IF(INDEX(Aux_puntos!$A$2:$OJ$901,470,MATCH($B$2&amp;"|yI",Aux_puntos!$1:$1,0))="",NA(),INDEX(Aux_puntos!$A$2:$OJ$901,470,MATCH($B$2&amp;"|yI",Aux_puntos!$1:$1,0))),NA())</f>
        <v/>
      </c>
      <c r="AI474">
        <f>IFERROR(IF(INDEX(Aux_puntos!$A$2:$OJ$901,470,MATCH($B$2&amp;"|xN",Aux_puntos!$1:$1,0))="",NA(),INDEX(Aux_puntos!$A$2:$OJ$901,470,MATCH($B$2&amp;"|xN",Aux_puntos!$1:$1,0))),NA())</f>
        <v/>
      </c>
      <c r="AJ474">
        <f>IFERROR(IF(INDEX(Aux_puntos!$A$2:$OJ$901,470,MATCH($B$2&amp;"|yN",Aux_puntos!$1:$1,0))="",NA(),INDEX(Aux_puntos!$A$2:$OJ$901,470,MATCH($B$2&amp;"|yN",Aux_puntos!$1:$1,0))),NA())</f>
        <v/>
      </c>
    </row>
    <row r="475">
      <c r="AC475">
        <f>IFERROR(IF(INDEX(Aux_puntos!$A$2:$OJ$901,471,MATCH($B$2&amp;"|xK",Aux_puntos!$1:$1,0))="",NA(),INDEX(Aux_puntos!$A$2:$OJ$901,471,MATCH($B$2&amp;"|xK",Aux_puntos!$1:$1,0))),NA())</f>
        <v/>
      </c>
      <c r="AD475">
        <f>IFERROR(IF(INDEX(Aux_puntos!$A$2:$OJ$901,471,MATCH($B$2&amp;"|yK",Aux_puntos!$1:$1,0))="",NA(),INDEX(Aux_puntos!$A$2:$OJ$901,471,MATCH($B$2&amp;"|yK",Aux_puntos!$1:$1,0))),NA())</f>
        <v/>
      </c>
      <c r="AE475">
        <f>IFERROR(IF(INDEX(Aux_puntos!$A$2:$OJ$901,471,MATCH($B$2&amp;"|xC",Aux_puntos!$1:$1,0))="",NA(),INDEX(Aux_puntos!$A$2:$OJ$901,471,MATCH($B$2&amp;"|xC",Aux_puntos!$1:$1,0))),NA())</f>
        <v/>
      </c>
      <c r="AF475">
        <f>IFERROR(IF(INDEX(Aux_puntos!$A$2:$OJ$901,471,MATCH($B$2&amp;"|yC",Aux_puntos!$1:$1,0))="",NA(),INDEX(Aux_puntos!$A$2:$OJ$901,471,MATCH($B$2&amp;"|yC",Aux_puntos!$1:$1,0))),NA())</f>
        <v/>
      </c>
      <c r="AG475">
        <f>IFERROR(IF(INDEX(Aux_puntos!$A$2:$OJ$901,471,MATCH($B$2&amp;"|xI",Aux_puntos!$1:$1,0))="",NA(),INDEX(Aux_puntos!$A$2:$OJ$901,471,MATCH($B$2&amp;"|xI",Aux_puntos!$1:$1,0))),NA())</f>
        <v/>
      </c>
      <c r="AH475">
        <f>IFERROR(IF(INDEX(Aux_puntos!$A$2:$OJ$901,471,MATCH($B$2&amp;"|yI",Aux_puntos!$1:$1,0))="",NA(),INDEX(Aux_puntos!$A$2:$OJ$901,471,MATCH($B$2&amp;"|yI",Aux_puntos!$1:$1,0))),NA())</f>
        <v/>
      </c>
      <c r="AI475">
        <f>IFERROR(IF(INDEX(Aux_puntos!$A$2:$OJ$901,471,MATCH($B$2&amp;"|xN",Aux_puntos!$1:$1,0))="",NA(),INDEX(Aux_puntos!$A$2:$OJ$901,471,MATCH($B$2&amp;"|xN",Aux_puntos!$1:$1,0))),NA())</f>
        <v/>
      </c>
      <c r="AJ475">
        <f>IFERROR(IF(INDEX(Aux_puntos!$A$2:$OJ$901,471,MATCH($B$2&amp;"|yN",Aux_puntos!$1:$1,0))="",NA(),INDEX(Aux_puntos!$A$2:$OJ$901,471,MATCH($B$2&amp;"|yN",Aux_puntos!$1:$1,0))),NA())</f>
        <v/>
      </c>
    </row>
    <row r="476">
      <c r="AC476">
        <f>IFERROR(IF(INDEX(Aux_puntos!$A$2:$OJ$901,472,MATCH($B$2&amp;"|xK",Aux_puntos!$1:$1,0))="",NA(),INDEX(Aux_puntos!$A$2:$OJ$901,472,MATCH($B$2&amp;"|xK",Aux_puntos!$1:$1,0))),NA())</f>
        <v/>
      </c>
      <c r="AD476">
        <f>IFERROR(IF(INDEX(Aux_puntos!$A$2:$OJ$901,472,MATCH($B$2&amp;"|yK",Aux_puntos!$1:$1,0))="",NA(),INDEX(Aux_puntos!$A$2:$OJ$901,472,MATCH($B$2&amp;"|yK",Aux_puntos!$1:$1,0))),NA())</f>
        <v/>
      </c>
      <c r="AE476">
        <f>IFERROR(IF(INDEX(Aux_puntos!$A$2:$OJ$901,472,MATCH($B$2&amp;"|xC",Aux_puntos!$1:$1,0))="",NA(),INDEX(Aux_puntos!$A$2:$OJ$901,472,MATCH($B$2&amp;"|xC",Aux_puntos!$1:$1,0))),NA())</f>
        <v/>
      </c>
      <c r="AF476">
        <f>IFERROR(IF(INDEX(Aux_puntos!$A$2:$OJ$901,472,MATCH($B$2&amp;"|yC",Aux_puntos!$1:$1,0))="",NA(),INDEX(Aux_puntos!$A$2:$OJ$901,472,MATCH($B$2&amp;"|yC",Aux_puntos!$1:$1,0))),NA())</f>
        <v/>
      </c>
      <c r="AG476">
        <f>IFERROR(IF(INDEX(Aux_puntos!$A$2:$OJ$901,472,MATCH($B$2&amp;"|xI",Aux_puntos!$1:$1,0))="",NA(),INDEX(Aux_puntos!$A$2:$OJ$901,472,MATCH($B$2&amp;"|xI",Aux_puntos!$1:$1,0))),NA())</f>
        <v/>
      </c>
      <c r="AH476">
        <f>IFERROR(IF(INDEX(Aux_puntos!$A$2:$OJ$901,472,MATCH($B$2&amp;"|yI",Aux_puntos!$1:$1,0))="",NA(),INDEX(Aux_puntos!$A$2:$OJ$901,472,MATCH($B$2&amp;"|yI",Aux_puntos!$1:$1,0))),NA())</f>
        <v/>
      </c>
      <c r="AI476">
        <f>IFERROR(IF(INDEX(Aux_puntos!$A$2:$OJ$901,472,MATCH($B$2&amp;"|xN",Aux_puntos!$1:$1,0))="",NA(),INDEX(Aux_puntos!$A$2:$OJ$901,472,MATCH($B$2&amp;"|xN",Aux_puntos!$1:$1,0))),NA())</f>
        <v/>
      </c>
      <c r="AJ476">
        <f>IFERROR(IF(INDEX(Aux_puntos!$A$2:$OJ$901,472,MATCH($B$2&amp;"|yN",Aux_puntos!$1:$1,0))="",NA(),INDEX(Aux_puntos!$A$2:$OJ$901,472,MATCH($B$2&amp;"|yN",Aux_puntos!$1:$1,0))),NA())</f>
        <v/>
      </c>
    </row>
    <row r="477">
      <c r="AC477">
        <f>IFERROR(IF(INDEX(Aux_puntos!$A$2:$OJ$901,473,MATCH($B$2&amp;"|xK",Aux_puntos!$1:$1,0))="",NA(),INDEX(Aux_puntos!$A$2:$OJ$901,473,MATCH($B$2&amp;"|xK",Aux_puntos!$1:$1,0))),NA())</f>
        <v/>
      </c>
      <c r="AD477">
        <f>IFERROR(IF(INDEX(Aux_puntos!$A$2:$OJ$901,473,MATCH($B$2&amp;"|yK",Aux_puntos!$1:$1,0))="",NA(),INDEX(Aux_puntos!$A$2:$OJ$901,473,MATCH($B$2&amp;"|yK",Aux_puntos!$1:$1,0))),NA())</f>
        <v/>
      </c>
      <c r="AE477">
        <f>IFERROR(IF(INDEX(Aux_puntos!$A$2:$OJ$901,473,MATCH($B$2&amp;"|xC",Aux_puntos!$1:$1,0))="",NA(),INDEX(Aux_puntos!$A$2:$OJ$901,473,MATCH($B$2&amp;"|xC",Aux_puntos!$1:$1,0))),NA())</f>
        <v/>
      </c>
      <c r="AF477">
        <f>IFERROR(IF(INDEX(Aux_puntos!$A$2:$OJ$901,473,MATCH($B$2&amp;"|yC",Aux_puntos!$1:$1,0))="",NA(),INDEX(Aux_puntos!$A$2:$OJ$901,473,MATCH($B$2&amp;"|yC",Aux_puntos!$1:$1,0))),NA())</f>
        <v/>
      </c>
      <c r="AG477">
        <f>IFERROR(IF(INDEX(Aux_puntos!$A$2:$OJ$901,473,MATCH($B$2&amp;"|xI",Aux_puntos!$1:$1,0))="",NA(),INDEX(Aux_puntos!$A$2:$OJ$901,473,MATCH($B$2&amp;"|xI",Aux_puntos!$1:$1,0))),NA())</f>
        <v/>
      </c>
      <c r="AH477">
        <f>IFERROR(IF(INDEX(Aux_puntos!$A$2:$OJ$901,473,MATCH($B$2&amp;"|yI",Aux_puntos!$1:$1,0))="",NA(),INDEX(Aux_puntos!$A$2:$OJ$901,473,MATCH($B$2&amp;"|yI",Aux_puntos!$1:$1,0))),NA())</f>
        <v/>
      </c>
      <c r="AI477">
        <f>IFERROR(IF(INDEX(Aux_puntos!$A$2:$OJ$901,473,MATCH($B$2&amp;"|xN",Aux_puntos!$1:$1,0))="",NA(),INDEX(Aux_puntos!$A$2:$OJ$901,473,MATCH($B$2&amp;"|xN",Aux_puntos!$1:$1,0))),NA())</f>
        <v/>
      </c>
      <c r="AJ477">
        <f>IFERROR(IF(INDEX(Aux_puntos!$A$2:$OJ$901,473,MATCH($B$2&amp;"|yN",Aux_puntos!$1:$1,0))="",NA(),INDEX(Aux_puntos!$A$2:$OJ$901,473,MATCH($B$2&amp;"|yN",Aux_puntos!$1:$1,0))),NA())</f>
        <v/>
      </c>
    </row>
    <row r="478">
      <c r="AC478">
        <f>IFERROR(IF(INDEX(Aux_puntos!$A$2:$OJ$901,474,MATCH($B$2&amp;"|xK",Aux_puntos!$1:$1,0))="",NA(),INDEX(Aux_puntos!$A$2:$OJ$901,474,MATCH($B$2&amp;"|xK",Aux_puntos!$1:$1,0))),NA())</f>
        <v/>
      </c>
      <c r="AD478">
        <f>IFERROR(IF(INDEX(Aux_puntos!$A$2:$OJ$901,474,MATCH($B$2&amp;"|yK",Aux_puntos!$1:$1,0))="",NA(),INDEX(Aux_puntos!$A$2:$OJ$901,474,MATCH($B$2&amp;"|yK",Aux_puntos!$1:$1,0))),NA())</f>
        <v/>
      </c>
      <c r="AE478">
        <f>IFERROR(IF(INDEX(Aux_puntos!$A$2:$OJ$901,474,MATCH($B$2&amp;"|xC",Aux_puntos!$1:$1,0))="",NA(),INDEX(Aux_puntos!$A$2:$OJ$901,474,MATCH($B$2&amp;"|xC",Aux_puntos!$1:$1,0))),NA())</f>
        <v/>
      </c>
      <c r="AF478">
        <f>IFERROR(IF(INDEX(Aux_puntos!$A$2:$OJ$901,474,MATCH($B$2&amp;"|yC",Aux_puntos!$1:$1,0))="",NA(),INDEX(Aux_puntos!$A$2:$OJ$901,474,MATCH($B$2&amp;"|yC",Aux_puntos!$1:$1,0))),NA())</f>
        <v/>
      </c>
      <c r="AG478">
        <f>IFERROR(IF(INDEX(Aux_puntos!$A$2:$OJ$901,474,MATCH($B$2&amp;"|xI",Aux_puntos!$1:$1,0))="",NA(),INDEX(Aux_puntos!$A$2:$OJ$901,474,MATCH($B$2&amp;"|xI",Aux_puntos!$1:$1,0))),NA())</f>
        <v/>
      </c>
      <c r="AH478">
        <f>IFERROR(IF(INDEX(Aux_puntos!$A$2:$OJ$901,474,MATCH($B$2&amp;"|yI",Aux_puntos!$1:$1,0))="",NA(),INDEX(Aux_puntos!$A$2:$OJ$901,474,MATCH($B$2&amp;"|yI",Aux_puntos!$1:$1,0))),NA())</f>
        <v/>
      </c>
      <c r="AI478">
        <f>IFERROR(IF(INDEX(Aux_puntos!$A$2:$OJ$901,474,MATCH($B$2&amp;"|xN",Aux_puntos!$1:$1,0))="",NA(),INDEX(Aux_puntos!$A$2:$OJ$901,474,MATCH($B$2&amp;"|xN",Aux_puntos!$1:$1,0))),NA())</f>
        <v/>
      </c>
      <c r="AJ478">
        <f>IFERROR(IF(INDEX(Aux_puntos!$A$2:$OJ$901,474,MATCH($B$2&amp;"|yN",Aux_puntos!$1:$1,0))="",NA(),INDEX(Aux_puntos!$A$2:$OJ$901,474,MATCH($B$2&amp;"|yN",Aux_puntos!$1:$1,0))),NA())</f>
        <v/>
      </c>
    </row>
    <row r="479">
      <c r="AC479">
        <f>IFERROR(IF(INDEX(Aux_puntos!$A$2:$OJ$901,475,MATCH($B$2&amp;"|xK",Aux_puntos!$1:$1,0))="",NA(),INDEX(Aux_puntos!$A$2:$OJ$901,475,MATCH($B$2&amp;"|xK",Aux_puntos!$1:$1,0))),NA())</f>
        <v/>
      </c>
      <c r="AD479">
        <f>IFERROR(IF(INDEX(Aux_puntos!$A$2:$OJ$901,475,MATCH($B$2&amp;"|yK",Aux_puntos!$1:$1,0))="",NA(),INDEX(Aux_puntos!$A$2:$OJ$901,475,MATCH($B$2&amp;"|yK",Aux_puntos!$1:$1,0))),NA())</f>
        <v/>
      </c>
      <c r="AE479">
        <f>IFERROR(IF(INDEX(Aux_puntos!$A$2:$OJ$901,475,MATCH($B$2&amp;"|xC",Aux_puntos!$1:$1,0))="",NA(),INDEX(Aux_puntos!$A$2:$OJ$901,475,MATCH($B$2&amp;"|xC",Aux_puntos!$1:$1,0))),NA())</f>
        <v/>
      </c>
      <c r="AF479">
        <f>IFERROR(IF(INDEX(Aux_puntos!$A$2:$OJ$901,475,MATCH($B$2&amp;"|yC",Aux_puntos!$1:$1,0))="",NA(),INDEX(Aux_puntos!$A$2:$OJ$901,475,MATCH($B$2&amp;"|yC",Aux_puntos!$1:$1,0))),NA())</f>
        <v/>
      </c>
      <c r="AG479">
        <f>IFERROR(IF(INDEX(Aux_puntos!$A$2:$OJ$901,475,MATCH($B$2&amp;"|xI",Aux_puntos!$1:$1,0))="",NA(),INDEX(Aux_puntos!$A$2:$OJ$901,475,MATCH($B$2&amp;"|xI",Aux_puntos!$1:$1,0))),NA())</f>
        <v/>
      </c>
      <c r="AH479">
        <f>IFERROR(IF(INDEX(Aux_puntos!$A$2:$OJ$901,475,MATCH($B$2&amp;"|yI",Aux_puntos!$1:$1,0))="",NA(),INDEX(Aux_puntos!$A$2:$OJ$901,475,MATCH($B$2&amp;"|yI",Aux_puntos!$1:$1,0))),NA())</f>
        <v/>
      </c>
      <c r="AI479">
        <f>IFERROR(IF(INDEX(Aux_puntos!$A$2:$OJ$901,475,MATCH($B$2&amp;"|xN",Aux_puntos!$1:$1,0))="",NA(),INDEX(Aux_puntos!$A$2:$OJ$901,475,MATCH($B$2&amp;"|xN",Aux_puntos!$1:$1,0))),NA())</f>
        <v/>
      </c>
      <c r="AJ479">
        <f>IFERROR(IF(INDEX(Aux_puntos!$A$2:$OJ$901,475,MATCH($B$2&amp;"|yN",Aux_puntos!$1:$1,0))="",NA(),INDEX(Aux_puntos!$A$2:$OJ$901,475,MATCH($B$2&amp;"|yN",Aux_puntos!$1:$1,0))),NA())</f>
        <v/>
      </c>
    </row>
    <row r="480">
      <c r="AC480">
        <f>IFERROR(IF(INDEX(Aux_puntos!$A$2:$OJ$901,476,MATCH($B$2&amp;"|xK",Aux_puntos!$1:$1,0))="",NA(),INDEX(Aux_puntos!$A$2:$OJ$901,476,MATCH($B$2&amp;"|xK",Aux_puntos!$1:$1,0))),NA())</f>
        <v/>
      </c>
      <c r="AD480">
        <f>IFERROR(IF(INDEX(Aux_puntos!$A$2:$OJ$901,476,MATCH($B$2&amp;"|yK",Aux_puntos!$1:$1,0))="",NA(),INDEX(Aux_puntos!$A$2:$OJ$901,476,MATCH($B$2&amp;"|yK",Aux_puntos!$1:$1,0))),NA())</f>
        <v/>
      </c>
      <c r="AE480">
        <f>IFERROR(IF(INDEX(Aux_puntos!$A$2:$OJ$901,476,MATCH($B$2&amp;"|xC",Aux_puntos!$1:$1,0))="",NA(),INDEX(Aux_puntos!$A$2:$OJ$901,476,MATCH($B$2&amp;"|xC",Aux_puntos!$1:$1,0))),NA())</f>
        <v/>
      </c>
      <c r="AF480">
        <f>IFERROR(IF(INDEX(Aux_puntos!$A$2:$OJ$901,476,MATCH($B$2&amp;"|yC",Aux_puntos!$1:$1,0))="",NA(),INDEX(Aux_puntos!$A$2:$OJ$901,476,MATCH($B$2&amp;"|yC",Aux_puntos!$1:$1,0))),NA())</f>
        <v/>
      </c>
      <c r="AG480">
        <f>IFERROR(IF(INDEX(Aux_puntos!$A$2:$OJ$901,476,MATCH($B$2&amp;"|xI",Aux_puntos!$1:$1,0))="",NA(),INDEX(Aux_puntos!$A$2:$OJ$901,476,MATCH($B$2&amp;"|xI",Aux_puntos!$1:$1,0))),NA())</f>
        <v/>
      </c>
      <c r="AH480">
        <f>IFERROR(IF(INDEX(Aux_puntos!$A$2:$OJ$901,476,MATCH($B$2&amp;"|yI",Aux_puntos!$1:$1,0))="",NA(),INDEX(Aux_puntos!$A$2:$OJ$901,476,MATCH($B$2&amp;"|yI",Aux_puntos!$1:$1,0))),NA())</f>
        <v/>
      </c>
      <c r="AI480">
        <f>IFERROR(IF(INDEX(Aux_puntos!$A$2:$OJ$901,476,MATCH($B$2&amp;"|xN",Aux_puntos!$1:$1,0))="",NA(),INDEX(Aux_puntos!$A$2:$OJ$901,476,MATCH($B$2&amp;"|xN",Aux_puntos!$1:$1,0))),NA())</f>
        <v/>
      </c>
      <c r="AJ480">
        <f>IFERROR(IF(INDEX(Aux_puntos!$A$2:$OJ$901,476,MATCH($B$2&amp;"|yN",Aux_puntos!$1:$1,0))="",NA(),INDEX(Aux_puntos!$A$2:$OJ$901,476,MATCH($B$2&amp;"|yN",Aux_puntos!$1:$1,0))),NA())</f>
        <v/>
      </c>
    </row>
    <row r="481">
      <c r="AC481">
        <f>IFERROR(IF(INDEX(Aux_puntos!$A$2:$OJ$901,477,MATCH($B$2&amp;"|xK",Aux_puntos!$1:$1,0))="",NA(),INDEX(Aux_puntos!$A$2:$OJ$901,477,MATCH($B$2&amp;"|xK",Aux_puntos!$1:$1,0))),NA())</f>
        <v/>
      </c>
      <c r="AD481">
        <f>IFERROR(IF(INDEX(Aux_puntos!$A$2:$OJ$901,477,MATCH($B$2&amp;"|yK",Aux_puntos!$1:$1,0))="",NA(),INDEX(Aux_puntos!$A$2:$OJ$901,477,MATCH($B$2&amp;"|yK",Aux_puntos!$1:$1,0))),NA())</f>
        <v/>
      </c>
      <c r="AE481">
        <f>IFERROR(IF(INDEX(Aux_puntos!$A$2:$OJ$901,477,MATCH($B$2&amp;"|xC",Aux_puntos!$1:$1,0))="",NA(),INDEX(Aux_puntos!$A$2:$OJ$901,477,MATCH($B$2&amp;"|xC",Aux_puntos!$1:$1,0))),NA())</f>
        <v/>
      </c>
      <c r="AF481">
        <f>IFERROR(IF(INDEX(Aux_puntos!$A$2:$OJ$901,477,MATCH($B$2&amp;"|yC",Aux_puntos!$1:$1,0))="",NA(),INDEX(Aux_puntos!$A$2:$OJ$901,477,MATCH($B$2&amp;"|yC",Aux_puntos!$1:$1,0))),NA())</f>
        <v/>
      </c>
      <c r="AG481">
        <f>IFERROR(IF(INDEX(Aux_puntos!$A$2:$OJ$901,477,MATCH($B$2&amp;"|xI",Aux_puntos!$1:$1,0))="",NA(),INDEX(Aux_puntos!$A$2:$OJ$901,477,MATCH($B$2&amp;"|xI",Aux_puntos!$1:$1,0))),NA())</f>
        <v/>
      </c>
      <c r="AH481">
        <f>IFERROR(IF(INDEX(Aux_puntos!$A$2:$OJ$901,477,MATCH($B$2&amp;"|yI",Aux_puntos!$1:$1,0))="",NA(),INDEX(Aux_puntos!$A$2:$OJ$901,477,MATCH($B$2&amp;"|yI",Aux_puntos!$1:$1,0))),NA())</f>
        <v/>
      </c>
      <c r="AI481">
        <f>IFERROR(IF(INDEX(Aux_puntos!$A$2:$OJ$901,477,MATCH($B$2&amp;"|xN",Aux_puntos!$1:$1,0))="",NA(),INDEX(Aux_puntos!$A$2:$OJ$901,477,MATCH($B$2&amp;"|xN",Aux_puntos!$1:$1,0))),NA())</f>
        <v/>
      </c>
      <c r="AJ481">
        <f>IFERROR(IF(INDEX(Aux_puntos!$A$2:$OJ$901,477,MATCH($B$2&amp;"|yN",Aux_puntos!$1:$1,0))="",NA(),INDEX(Aux_puntos!$A$2:$OJ$901,477,MATCH($B$2&amp;"|yN",Aux_puntos!$1:$1,0))),NA())</f>
        <v/>
      </c>
    </row>
    <row r="482">
      <c r="AC482">
        <f>IFERROR(IF(INDEX(Aux_puntos!$A$2:$OJ$901,478,MATCH($B$2&amp;"|xK",Aux_puntos!$1:$1,0))="",NA(),INDEX(Aux_puntos!$A$2:$OJ$901,478,MATCH($B$2&amp;"|xK",Aux_puntos!$1:$1,0))),NA())</f>
        <v/>
      </c>
      <c r="AD482">
        <f>IFERROR(IF(INDEX(Aux_puntos!$A$2:$OJ$901,478,MATCH($B$2&amp;"|yK",Aux_puntos!$1:$1,0))="",NA(),INDEX(Aux_puntos!$A$2:$OJ$901,478,MATCH($B$2&amp;"|yK",Aux_puntos!$1:$1,0))),NA())</f>
        <v/>
      </c>
      <c r="AE482">
        <f>IFERROR(IF(INDEX(Aux_puntos!$A$2:$OJ$901,478,MATCH($B$2&amp;"|xC",Aux_puntos!$1:$1,0))="",NA(),INDEX(Aux_puntos!$A$2:$OJ$901,478,MATCH($B$2&amp;"|xC",Aux_puntos!$1:$1,0))),NA())</f>
        <v/>
      </c>
      <c r="AF482">
        <f>IFERROR(IF(INDEX(Aux_puntos!$A$2:$OJ$901,478,MATCH($B$2&amp;"|yC",Aux_puntos!$1:$1,0))="",NA(),INDEX(Aux_puntos!$A$2:$OJ$901,478,MATCH($B$2&amp;"|yC",Aux_puntos!$1:$1,0))),NA())</f>
        <v/>
      </c>
      <c r="AG482">
        <f>IFERROR(IF(INDEX(Aux_puntos!$A$2:$OJ$901,478,MATCH($B$2&amp;"|xI",Aux_puntos!$1:$1,0))="",NA(),INDEX(Aux_puntos!$A$2:$OJ$901,478,MATCH($B$2&amp;"|xI",Aux_puntos!$1:$1,0))),NA())</f>
        <v/>
      </c>
      <c r="AH482">
        <f>IFERROR(IF(INDEX(Aux_puntos!$A$2:$OJ$901,478,MATCH($B$2&amp;"|yI",Aux_puntos!$1:$1,0))="",NA(),INDEX(Aux_puntos!$A$2:$OJ$901,478,MATCH($B$2&amp;"|yI",Aux_puntos!$1:$1,0))),NA())</f>
        <v/>
      </c>
      <c r="AI482">
        <f>IFERROR(IF(INDEX(Aux_puntos!$A$2:$OJ$901,478,MATCH($B$2&amp;"|xN",Aux_puntos!$1:$1,0))="",NA(),INDEX(Aux_puntos!$A$2:$OJ$901,478,MATCH($B$2&amp;"|xN",Aux_puntos!$1:$1,0))),NA())</f>
        <v/>
      </c>
      <c r="AJ482">
        <f>IFERROR(IF(INDEX(Aux_puntos!$A$2:$OJ$901,478,MATCH($B$2&amp;"|yN",Aux_puntos!$1:$1,0))="",NA(),INDEX(Aux_puntos!$A$2:$OJ$901,478,MATCH($B$2&amp;"|yN",Aux_puntos!$1:$1,0))),NA())</f>
        <v/>
      </c>
    </row>
    <row r="483">
      <c r="AC483">
        <f>IFERROR(IF(INDEX(Aux_puntos!$A$2:$OJ$901,479,MATCH($B$2&amp;"|xK",Aux_puntos!$1:$1,0))="",NA(),INDEX(Aux_puntos!$A$2:$OJ$901,479,MATCH($B$2&amp;"|xK",Aux_puntos!$1:$1,0))),NA())</f>
        <v/>
      </c>
      <c r="AD483">
        <f>IFERROR(IF(INDEX(Aux_puntos!$A$2:$OJ$901,479,MATCH($B$2&amp;"|yK",Aux_puntos!$1:$1,0))="",NA(),INDEX(Aux_puntos!$A$2:$OJ$901,479,MATCH($B$2&amp;"|yK",Aux_puntos!$1:$1,0))),NA())</f>
        <v/>
      </c>
      <c r="AE483">
        <f>IFERROR(IF(INDEX(Aux_puntos!$A$2:$OJ$901,479,MATCH($B$2&amp;"|xC",Aux_puntos!$1:$1,0))="",NA(),INDEX(Aux_puntos!$A$2:$OJ$901,479,MATCH($B$2&amp;"|xC",Aux_puntos!$1:$1,0))),NA())</f>
        <v/>
      </c>
      <c r="AF483">
        <f>IFERROR(IF(INDEX(Aux_puntos!$A$2:$OJ$901,479,MATCH($B$2&amp;"|yC",Aux_puntos!$1:$1,0))="",NA(),INDEX(Aux_puntos!$A$2:$OJ$901,479,MATCH($B$2&amp;"|yC",Aux_puntos!$1:$1,0))),NA())</f>
        <v/>
      </c>
      <c r="AG483">
        <f>IFERROR(IF(INDEX(Aux_puntos!$A$2:$OJ$901,479,MATCH($B$2&amp;"|xI",Aux_puntos!$1:$1,0))="",NA(),INDEX(Aux_puntos!$A$2:$OJ$901,479,MATCH($B$2&amp;"|xI",Aux_puntos!$1:$1,0))),NA())</f>
        <v/>
      </c>
      <c r="AH483">
        <f>IFERROR(IF(INDEX(Aux_puntos!$A$2:$OJ$901,479,MATCH($B$2&amp;"|yI",Aux_puntos!$1:$1,0))="",NA(),INDEX(Aux_puntos!$A$2:$OJ$901,479,MATCH($B$2&amp;"|yI",Aux_puntos!$1:$1,0))),NA())</f>
        <v/>
      </c>
      <c r="AI483">
        <f>IFERROR(IF(INDEX(Aux_puntos!$A$2:$OJ$901,479,MATCH($B$2&amp;"|xN",Aux_puntos!$1:$1,0))="",NA(),INDEX(Aux_puntos!$A$2:$OJ$901,479,MATCH($B$2&amp;"|xN",Aux_puntos!$1:$1,0))),NA())</f>
        <v/>
      </c>
      <c r="AJ483">
        <f>IFERROR(IF(INDEX(Aux_puntos!$A$2:$OJ$901,479,MATCH($B$2&amp;"|yN",Aux_puntos!$1:$1,0))="",NA(),INDEX(Aux_puntos!$A$2:$OJ$901,479,MATCH($B$2&amp;"|yN",Aux_puntos!$1:$1,0))),NA())</f>
        <v/>
      </c>
    </row>
    <row r="484">
      <c r="AC484">
        <f>IFERROR(IF(INDEX(Aux_puntos!$A$2:$OJ$901,480,MATCH($B$2&amp;"|xK",Aux_puntos!$1:$1,0))="",NA(),INDEX(Aux_puntos!$A$2:$OJ$901,480,MATCH($B$2&amp;"|xK",Aux_puntos!$1:$1,0))),NA())</f>
        <v/>
      </c>
      <c r="AD484">
        <f>IFERROR(IF(INDEX(Aux_puntos!$A$2:$OJ$901,480,MATCH($B$2&amp;"|yK",Aux_puntos!$1:$1,0))="",NA(),INDEX(Aux_puntos!$A$2:$OJ$901,480,MATCH($B$2&amp;"|yK",Aux_puntos!$1:$1,0))),NA())</f>
        <v/>
      </c>
      <c r="AE484">
        <f>IFERROR(IF(INDEX(Aux_puntos!$A$2:$OJ$901,480,MATCH($B$2&amp;"|xC",Aux_puntos!$1:$1,0))="",NA(),INDEX(Aux_puntos!$A$2:$OJ$901,480,MATCH($B$2&amp;"|xC",Aux_puntos!$1:$1,0))),NA())</f>
        <v/>
      </c>
      <c r="AF484">
        <f>IFERROR(IF(INDEX(Aux_puntos!$A$2:$OJ$901,480,MATCH($B$2&amp;"|yC",Aux_puntos!$1:$1,0))="",NA(),INDEX(Aux_puntos!$A$2:$OJ$901,480,MATCH($B$2&amp;"|yC",Aux_puntos!$1:$1,0))),NA())</f>
        <v/>
      </c>
      <c r="AG484">
        <f>IFERROR(IF(INDEX(Aux_puntos!$A$2:$OJ$901,480,MATCH($B$2&amp;"|xI",Aux_puntos!$1:$1,0))="",NA(),INDEX(Aux_puntos!$A$2:$OJ$901,480,MATCH($B$2&amp;"|xI",Aux_puntos!$1:$1,0))),NA())</f>
        <v/>
      </c>
      <c r="AH484">
        <f>IFERROR(IF(INDEX(Aux_puntos!$A$2:$OJ$901,480,MATCH($B$2&amp;"|yI",Aux_puntos!$1:$1,0))="",NA(),INDEX(Aux_puntos!$A$2:$OJ$901,480,MATCH($B$2&amp;"|yI",Aux_puntos!$1:$1,0))),NA())</f>
        <v/>
      </c>
      <c r="AI484">
        <f>IFERROR(IF(INDEX(Aux_puntos!$A$2:$OJ$901,480,MATCH($B$2&amp;"|xN",Aux_puntos!$1:$1,0))="",NA(),INDEX(Aux_puntos!$A$2:$OJ$901,480,MATCH($B$2&amp;"|xN",Aux_puntos!$1:$1,0))),NA())</f>
        <v/>
      </c>
      <c r="AJ484">
        <f>IFERROR(IF(INDEX(Aux_puntos!$A$2:$OJ$901,480,MATCH($B$2&amp;"|yN",Aux_puntos!$1:$1,0))="",NA(),INDEX(Aux_puntos!$A$2:$OJ$901,480,MATCH($B$2&amp;"|yN",Aux_puntos!$1:$1,0))),NA())</f>
        <v/>
      </c>
    </row>
    <row r="485">
      <c r="AC485">
        <f>IFERROR(IF(INDEX(Aux_puntos!$A$2:$OJ$901,481,MATCH($B$2&amp;"|xK",Aux_puntos!$1:$1,0))="",NA(),INDEX(Aux_puntos!$A$2:$OJ$901,481,MATCH($B$2&amp;"|xK",Aux_puntos!$1:$1,0))),NA())</f>
        <v/>
      </c>
      <c r="AD485">
        <f>IFERROR(IF(INDEX(Aux_puntos!$A$2:$OJ$901,481,MATCH($B$2&amp;"|yK",Aux_puntos!$1:$1,0))="",NA(),INDEX(Aux_puntos!$A$2:$OJ$901,481,MATCH($B$2&amp;"|yK",Aux_puntos!$1:$1,0))),NA())</f>
        <v/>
      </c>
      <c r="AE485">
        <f>IFERROR(IF(INDEX(Aux_puntos!$A$2:$OJ$901,481,MATCH($B$2&amp;"|xC",Aux_puntos!$1:$1,0))="",NA(),INDEX(Aux_puntos!$A$2:$OJ$901,481,MATCH($B$2&amp;"|xC",Aux_puntos!$1:$1,0))),NA())</f>
        <v/>
      </c>
      <c r="AF485">
        <f>IFERROR(IF(INDEX(Aux_puntos!$A$2:$OJ$901,481,MATCH($B$2&amp;"|yC",Aux_puntos!$1:$1,0))="",NA(),INDEX(Aux_puntos!$A$2:$OJ$901,481,MATCH($B$2&amp;"|yC",Aux_puntos!$1:$1,0))),NA())</f>
        <v/>
      </c>
      <c r="AG485">
        <f>IFERROR(IF(INDEX(Aux_puntos!$A$2:$OJ$901,481,MATCH($B$2&amp;"|xI",Aux_puntos!$1:$1,0))="",NA(),INDEX(Aux_puntos!$A$2:$OJ$901,481,MATCH($B$2&amp;"|xI",Aux_puntos!$1:$1,0))),NA())</f>
        <v/>
      </c>
      <c r="AH485">
        <f>IFERROR(IF(INDEX(Aux_puntos!$A$2:$OJ$901,481,MATCH($B$2&amp;"|yI",Aux_puntos!$1:$1,0))="",NA(),INDEX(Aux_puntos!$A$2:$OJ$901,481,MATCH($B$2&amp;"|yI",Aux_puntos!$1:$1,0))),NA())</f>
        <v/>
      </c>
      <c r="AI485">
        <f>IFERROR(IF(INDEX(Aux_puntos!$A$2:$OJ$901,481,MATCH($B$2&amp;"|xN",Aux_puntos!$1:$1,0))="",NA(),INDEX(Aux_puntos!$A$2:$OJ$901,481,MATCH($B$2&amp;"|xN",Aux_puntos!$1:$1,0))),NA())</f>
        <v/>
      </c>
      <c r="AJ485">
        <f>IFERROR(IF(INDEX(Aux_puntos!$A$2:$OJ$901,481,MATCH($B$2&amp;"|yN",Aux_puntos!$1:$1,0))="",NA(),INDEX(Aux_puntos!$A$2:$OJ$901,481,MATCH($B$2&amp;"|yN",Aux_puntos!$1:$1,0))),NA())</f>
        <v/>
      </c>
    </row>
    <row r="486">
      <c r="AC486">
        <f>IFERROR(IF(INDEX(Aux_puntos!$A$2:$OJ$901,482,MATCH($B$2&amp;"|xK",Aux_puntos!$1:$1,0))="",NA(),INDEX(Aux_puntos!$A$2:$OJ$901,482,MATCH($B$2&amp;"|xK",Aux_puntos!$1:$1,0))),NA())</f>
        <v/>
      </c>
      <c r="AD486">
        <f>IFERROR(IF(INDEX(Aux_puntos!$A$2:$OJ$901,482,MATCH($B$2&amp;"|yK",Aux_puntos!$1:$1,0))="",NA(),INDEX(Aux_puntos!$A$2:$OJ$901,482,MATCH($B$2&amp;"|yK",Aux_puntos!$1:$1,0))),NA())</f>
        <v/>
      </c>
      <c r="AE486">
        <f>IFERROR(IF(INDEX(Aux_puntos!$A$2:$OJ$901,482,MATCH($B$2&amp;"|xC",Aux_puntos!$1:$1,0))="",NA(),INDEX(Aux_puntos!$A$2:$OJ$901,482,MATCH($B$2&amp;"|xC",Aux_puntos!$1:$1,0))),NA())</f>
        <v/>
      </c>
      <c r="AF486">
        <f>IFERROR(IF(INDEX(Aux_puntos!$A$2:$OJ$901,482,MATCH($B$2&amp;"|yC",Aux_puntos!$1:$1,0))="",NA(),INDEX(Aux_puntos!$A$2:$OJ$901,482,MATCH($B$2&amp;"|yC",Aux_puntos!$1:$1,0))),NA())</f>
        <v/>
      </c>
      <c r="AG486">
        <f>IFERROR(IF(INDEX(Aux_puntos!$A$2:$OJ$901,482,MATCH($B$2&amp;"|xI",Aux_puntos!$1:$1,0))="",NA(),INDEX(Aux_puntos!$A$2:$OJ$901,482,MATCH($B$2&amp;"|xI",Aux_puntos!$1:$1,0))),NA())</f>
        <v/>
      </c>
      <c r="AH486">
        <f>IFERROR(IF(INDEX(Aux_puntos!$A$2:$OJ$901,482,MATCH($B$2&amp;"|yI",Aux_puntos!$1:$1,0))="",NA(),INDEX(Aux_puntos!$A$2:$OJ$901,482,MATCH($B$2&amp;"|yI",Aux_puntos!$1:$1,0))),NA())</f>
        <v/>
      </c>
      <c r="AI486">
        <f>IFERROR(IF(INDEX(Aux_puntos!$A$2:$OJ$901,482,MATCH($B$2&amp;"|xN",Aux_puntos!$1:$1,0))="",NA(),INDEX(Aux_puntos!$A$2:$OJ$901,482,MATCH($B$2&amp;"|xN",Aux_puntos!$1:$1,0))),NA())</f>
        <v/>
      </c>
      <c r="AJ486">
        <f>IFERROR(IF(INDEX(Aux_puntos!$A$2:$OJ$901,482,MATCH($B$2&amp;"|yN",Aux_puntos!$1:$1,0))="",NA(),INDEX(Aux_puntos!$A$2:$OJ$901,482,MATCH($B$2&amp;"|yN",Aux_puntos!$1:$1,0))),NA())</f>
        <v/>
      </c>
    </row>
    <row r="487">
      <c r="AC487">
        <f>IFERROR(IF(INDEX(Aux_puntos!$A$2:$OJ$901,483,MATCH($B$2&amp;"|xK",Aux_puntos!$1:$1,0))="",NA(),INDEX(Aux_puntos!$A$2:$OJ$901,483,MATCH($B$2&amp;"|xK",Aux_puntos!$1:$1,0))),NA())</f>
        <v/>
      </c>
      <c r="AD487">
        <f>IFERROR(IF(INDEX(Aux_puntos!$A$2:$OJ$901,483,MATCH($B$2&amp;"|yK",Aux_puntos!$1:$1,0))="",NA(),INDEX(Aux_puntos!$A$2:$OJ$901,483,MATCH($B$2&amp;"|yK",Aux_puntos!$1:$1,0))),NA())</f>
        <v/>
      </c>
      <c r="AE487">
        <f>IFERROR(IF(INDEX(Aux_puntos!$A$2:$OJ$901,483,MATCH($B$2&amp;"|xC",Aux_puntos!$1:$1,0))="",NA(),INDEX(Aux_puntos!$A$2:$OJ$901,483,MATCH($B$2&amp;"|xC",Aux_puntos!$1:$1,0))),NA())</f>
        <v/>
      </c>
      <c r="AF487">
        <f>IFERROR(IF(INDEX(Aux_puntos!$A$2:$OJ$901,483,MATCH($B$2&amp;"|yC",Aux_puntos!$1:$1,0))="",NA(),INDEX(Aux_puntos!$A$2:$OJ$901,483,MATCH($B$2&amp;"|yC",Aux_puntos!$1:$1,0))),NA())</f>
        <v/>
      </c>
      <c r="AG487">
        <f>IFERROR(IF(INDEX(Aux_puntos!$A$2:$OJ$901,483,MATCH($B$2&amp;"|xI",Aux_puntos!$1:$1,0))="",NA(),INDEX(Aux_puntos!$A$2:$OJ$901,483,MATCH($B$2&amp;"|xI",Aux_puntos!$1:$1,0))),NA())</f>
        <v/>
      </c>
      <c r="AH487">
        <f>IFERROR(IF(INDEX(Aux_puntos!$A$2:$OJ$901,483,MATCH($B$2&amp;"|yI",Aux_puntos!$1:$1,0))="",NA(),INDEX(Aux_puntos!$A$2:$OJ$901,483,MATCH($B$2&amp;"|yI",Aux_puntos!$1:$1,0))),NA())</f>
        <v/>
      </c>
      <c r="AI487">
        <f>IFERROR(IF(INDEX(Aux_puntos!$A$2:$OJ$901,483,MATCH($B$2&amp;"|xN",Aux_puntos!$1:$1,0))="",NA(),INDEX(Aux_puntos!$A$2:$OJ$901,483,MATCH($B$2&amp;"|xN",Aux_puntos!$1:$1,0))),NA())</f>
        <v/>
      </c>
      <c r="AJ487">
        <f>IFERROR(IF(INDEX(Aux_puntos!$A$2:$OJ$901,483,MATCH($B$2&amp;"|yN",Aux_puntos!$1:$1,0))="",NA(),INDEX(Aux_puntos!$A$2:$OJ$901,483,MATCH($B$2&amp;"|yN",Aux_puntos!$1:$1,0))),NA())</f>
        <v/>
      </c>
    </row>
    <row r="488">
      <c r="AC488">
        <f>IFERROR(IF(INDEX(Aux_puntos!$A$2:$OJ$901,484,MATCH($B$2&amp;"|xK",Aux_puntos!$1:$1,0))="",NA(),INDEX(Aux_puntos!$A$2:$OJ$901,484,MATCH($B$2&amp;"|xK",Aux_puntos!$1:$1,0))),NA())</f>
        <v/>
      </c>
      <c r="AD488">
        <f>IFERROR(IF(INDEX(Aux_puntos!$A$2:$OJ$901,484,MATCH($B$2&amp;"|yK",Aux_puntos!$1:$1,0))="",NA(),INDEX(Aux_puntos!$A$2:$OJ$901,484,MATCH($B$2&amp;"|yK",Aux_puntos!$1:$1,0))),NA())</f>
        <v/>
      </c>
      <c r="AE488">
        <f>IFERROR(IF(INDEX(Aux_puntos!$A$2:$OJ$901,484,MATCH($B$2&amp;"|xC",Aux_puntos!$1:$1,0))="",NA(),INDEX(Aux_puntos!$A$2:$OJ$901,484,MATCH($B$2&amp;"|xC",Aux_puntos!$1:$1,0))),NA())</f>
        <v/>
      </c>
      <c r="AF488">
        <f>IFERROR(IF(INDEX(Aux_puntos!$A$2:$OJ$901,484,MATCH($B$2&amp;"|yC",Aux_puntos!$1:$1,0))="",NA(),INDEX(Aux_puntos!$A$2:$OJ$901,484,MATCH($B$2&amp;"|yC",Aux_puntos!$1:$1,0))),NA())</f>
        <v/>
      </c>
      <c r="AG488">
        <f>IFERROR(IF(INDEX(Aux_puntos!$A$2:$OJ$901,484,MATCH($B$2&amp;"|xI",Aux_puntos!$1:$1,0))="",NA(),INDEX(Aux_puntos!$A$2:$OJ$901,484,MATCH($B$2&amp;"|xI",Aux_puntos!$1:$1,0))),NA())</f>
        <v/>
      </c>
      <c r="AH488">
        <f>IFERROR(IF(INDEX(Aux_puntos!$A$2:$OJ$901,484,MATCH($B$2&amp;"|yI",Aux_puntos!$1:$1,0))="",NA(),INDEX(Aux_puntos!$A$2:$OJ$901,484,MATCH($B$2&amp;"|yI",Aux_puntos!$1:$1,0))),NA())</f>
        <v/>
      </c>
      <c r="AI488">
        <f>IFERROR(IF(INDEX(Aux_puntos!$A$2:$OJ$901,484,MATCH($B$2&amp;"|xN",Aux_puntos!$1:$1,0))="",NA(),INDEX(Aux_puntos!$A$2:$OJ$901,484,MATCH($B$2&amp;"|xN",Aux_puntos!$1:$1,0))),NA())</f>
        <v/>
      </c>
      <c r="AJ488">
        <f>IFERROR(IF(INDEX(Aux_puntos!$A$2:$OJ$901,484,MATCH($B$2&amp;"|yN",Aux_puntos!$1:$1,0))="",NA(),INDEX(Aux_puntos!$A$2:$OJ$901,484,MATCH($B$2&amp;"|yN",Aux_puntos!$1:$1,0))),NA())</f>
        <v/>
      </c>
    </row>
    <row r="489">
      <c r="AC489">
        <f>IFERROR(IF(INDEX(Aux_puntos!$A$2:$OJ$901,485,MATCH($B$2&amp;"|xK",Aux_puntos!$1:$1,0))="",NA(),INDEX(Aux_puntos!$A$2:$OJ$901,485,MATCH($B$2&amp;"|xK",Aux_puntos!$1:$1,0))),NA())</f>
        <v/>
      </c>
      <c r="AD489">
        <f>IFERROR(IF(INDEX(Aux_puntos!$A$2:$OJ$901,485,MATCH($B$2&amp;"|yK",Aux_puntos!$1:$1,0))="",NA(),INDEX(Aux_puntos!$A$2:$OJ$901,485,MATCH($B$2&amp;"|yK",Aux_puntos!$1:$1,0))),NA())</f>
        <v/>
      </c>
      <c r="AE489">
        <f>IFERROR(IF(INDEX(Aux_puntos!$A$2:$OJ$901,485,MATCH($B$2&amp;"|xC",Aux_puntos!$1:$1,0))="",NA(),INDEX(Aux_puntos!$A$2:$OJ$901,485,MATCH($B$2&amp;"|xC",Aux_puntos!$1:$1,0))),NA())</f>
        <v/>
      </c>
      <c r="AF489">
        <f>IFERROR(IF(INDEX(Aux_puntos!$A$2:$OJ$901,485,MATCH($B$2&amp;"|yC",Aux_puntos!$1:$1,0))="",NA(),INDEX(Aux_puntos!$A$2:$OJ$901,485,MATCH($B$2&amp;"|yC",Aux_puntos!$1:$1,0))),NA())</f>
        <v/>
      </c>
      <c r="AG489">
        <f>IFERROR(IF(INDEX(Aux_puntos!$A$2:$OJ$901,485,MATCH($B$2&amp;"|xI",Aux_puntos!$1:$1,0))="",NA(),INDEX(Aux_puntos!$A$2:$OJ$901,485,MATCH($B$2&amp;"|xI",Aux_puntos!$1:$1,0))),NA())</f>
        <v/>
      </c>
      <c r="AH489">
        <f>IFERROR(IF(INDEX(Aux_puntos!$A$2:$OJ$901,485,MATCH($B$2&amp;"|yI",Aux_puntos!$1:$1,0))="",NA(),INDEX(Aux_puntos!$A$2:$OJ$901,485,MATCH($B$2&amp;"|yI",Aux_puntos!$1:$1,0))),NA())</f>
        <v/>
      </c>
      <c r="AI489">
        <f>IFERROR(IF(INDEX(Aux_puntos!$A$2:$OJ$901,485,MATCH($B$2&amp;"|xN",Aux_puntos!$1:$1,0))="",NA(),INDEX(Aux_puntos!$A$2:$OJ$901,485,MATCH($B$2&amp;"|xN",Aux_puntos!$1:$1,0))),NA())</f>
        <v/>
      </c>
      <c r="AJ489">
        <f>IFERROR(IF(INDEX(Aux_puntos!$A$2:$OJ$901,485,MATCH($B$2&amp;"|yN",Aux_puntos!$1:$1,0))="",NA(),INDEX(Aux_puntos!$A$2:$OJ$901,485,MATCH($B$2&amp;"|yN",Aux_puntos!$1:$1,0))),NA())</f>
        <v/>
      </c>
    </row>
    <row r="490">
      <c r="AC490">
        <f>IFERROR(IF(INDEX(Aux_puntos!$A$2:$OJ$901,486,MATCH($B$2&amp;"|xK",Aux_puntos!$1:$1,0))="",NA(),INDEX(Aux_puntos!$A$2:$OJ$901,486,MATCH($B$2&amp;"|xK",Aux_puntos!$1:$1,0))),NA())</f>
        <v/>
      </c>
      <c r="AD490">
        <f>IFERROR(IF(INDEX(Aux_puntos!$A$2:$OJ$901,486,MATCH($B$2&amp;"|yK",Aux_puntos!$1:$1,0))="",NA(),INDEX(Aux_puntos!$A$2:$OJ$901,486,MATCH($B$2&amp;"|yK",Aux_puntos!$1:$1,0))),NA())</f>
        <v/>
      </c>
      <c r="AE490">
        <f>IFERROR(IF(INDEX(Aux_puntos!$A$2:$OJ$901,486,MATCH($B$2&amp;"|xC",Aux_puntos!$1:$1,0))="",NA(),INDEX(Aux_puntos!$A$2:$OJ$901,486,MATCH($B$2&amp;"|xC",Aux_puntos!$1:$1,0))),NA())</f>
        <v/>
      </c>
      <c r="AF490">
        <f>IFERROR(IF(INDEX(Aux_puntos!$A$2:$OJ$901,486,MATCH($B$2&amp;"|yC",Aux_puntos!$1:$1,0))="",NA(),INDEX(Aux_puntos!$A$2:$OJ$901,486,MATCH($B$2&amp;"|yC",Aux_puntos!$1:$1,0))),NA())</f>
        <v/>
      </c>
      <c r="AG490">
        <f>IFERROR(IF(INDEX(Aux_puntos!$A$2:$OJ$901,486,MATCH($B$2&amp;"|xI",Aux_puntos!$1:$1,0))="",NA(),INDEX(Aux_puntos!$A$2:$OJ$901,486,MATCH($B$2&amp;"|xI",Aux_puntos!$1:$1,0))),NA())</f>
        <v/>
      </c>
      <c r="AH490">
        <f>IFERROR(IF(INDEX(Aux_puntos!$A$2:$OJ$901,486,MATCH($B$2&amp;"|yI",Aux_puntos!$1:$1,0))="",NA(),INDEX(Aux_puntos!$A$2:$OJ$901,486,MATCH($B$2&amp;"|yI",Aux_puntos!$1:$1,0))),NA())</f>
        <v/>
      </c>
      <c r="AI490">
        <f>IFERROR(IF(INDEX(Aux_puntos!$A$2:$OJ$901,486,MATCH($B$2&amp;"|xN",Aux_puntos!$1:$1,0))="",NA(),INDEX(Aux_puntos!$A$2:$OJ$901,486,MATCH($B$2&amp;"|xN",Aux_puntos!$1:$1,0))),NA())</f>
        <v/>
      </c>
      <c r="AJ490">
        <f>IFERROR(IF(INDEX(Aux_puntos!$A$2:$OJ$901,486,MATCH($B$2&amp;"|yN",Aux_puntos!$1:$1,0))="",NA(),INDEX(Aux_puntos!$A$2:$OJ$901,486,MATCH($B$2&amp;"|yN",Aux_puntos!$1:$1,0))),NA())</f>
        <v/>
      </c>
    </row>
    <row r="491">
      <c r="AC491">
        <f>IFERROR(IF(INDEX(Aux_puntos!$A$2:$OJ$901,487,MATCH($B$2&amp;"|xK",Aux_puntos!$1:$1,0))="",NA(),INDEX(Aux_puntos!$A$2:$OJ$901,487,MATCH($B$2&amp;"|xK",Aux_puntos!$1:$1,0))),NA())</f>
        <v/>
      </c>
      <c r="AD491">
        <f>IFERROR(IF(INDEX(Aux_puntos!$A$2:$OJ$901,487,MATCH($B$2&amp;"|yK",Aux_puntos!$1:$1,0))="",NA(),INDEX(Aux_puntos!$A$2:$OJ$901,487,MATCH($B$2&amp;"|yK",Aux_puntos!$1:$1,0))),NA())</f>
        <v/>
      </c>
      <c r="AE491">
        <f>IFERROR(IF(INDEX(Aux_puntos!$A$2:$OJ$901,487,MATCH($B$2&amp;"|xC",Aux_puntos!$1:$1,0))="",NA(),INDEX(Aux_puntos!$A$2:$OJ$901,487,MATCH($B$2&amp;"|xC",Aux_puntos!$1:$1,0))),NA())</f>
        <v/>
      </c>
      <c r="AF491">
        <f>IFERROR(IF(INDEX(Aux_puntos!$A$2:$OJ$901,487,MATCH($B$2&amp;"|yC",Aux_puntos!$1:$1,0))="",NA(),INDEX(Aux_puntos!$A$2:$OJ$901,487,MATCH($B$2&amp;"|yC",Aux_puntos!$1:$1,0))),NA())</f>
        <v/>
      </c>
      <c r="AG491">
        <f>IFERROR(IF(INDEX(Aux_puntos!$A$2:$OJ$901,487,MATCH($B$2&amp;"|xI",Aux_puntos!$1:$1,0))="",NA(),INDEX(Aux_puntos!$A$2:$OJ$901,487,MATCH($B$2&amp;"|xI",Aux_puntos!$1:$1,0))),NA())</f>
        <v/>
      </c>
      <c r="AH491">
        <f>IFERROR(IF(INDEX(Aux_puntos!$A$2:$OJ$901,487,MATCH($B$2&amp;"|yI",Aux_puntos!$1:$1,0))="",NA(),INDEX(Aux_puntos!$A$2:$OJ$901,487,MATCH($B$2&amp;"|yI",Aux_puntos!$1:$1,0))),NA())</f>
        <v/>
      </c>
      <c r="AI491">
        <f>IFERROR(IF(INDEX(Aux_puntos!$A$2:$OJ$901,487,MATCH($B$2&amp;"|xN",Aux_puntos!$1:$1,0))="",NA(),INDEX(Aux_puntos!$A$2:$OJ$901,487,MATCH($B$2&amp;"|xN",Aux_puntos!$1:$1,0))),NA())</f>
        <v/>
      </c>
      <c r="AJ491">
        <f>IFERROR(IF(INDEX(Aux_puntos!$A$2:$OJ$901,487,MATCH($B$2&amp;"|yN",Aux_puntos!$1:$1,0))="",NA(),INDEX(Aux_puntos!$A$2:$OJ$901,487,MATCH($B$2&amp;"|yN",Aux_puntos!$1:$1,0))),NA())</f>
        <v/>
      </c>
    </row>
    <row r="492">
      <c r="AC492">
        <f>IFERROR(IF(INDEX(Aux_puntos!$A$2:$OJ$901,488,MATCH($B$2&amp;"|xK",Aux_puntos!$1:$1,0))="",NA(),INDEX(Aux_puntos!$A$2:$OJ$901,488,MATCH($B$2&amp;"|xK",Aux_puntos!$1:$1,0))),NA())</f>
        <v/>
      </c>
      <c r="AD492">
        <f>IFERROR(IF(INDEX(Aux_puntos!$A$2:$OJ$901,488,MATCH($B$2&amp;"|yK",Aux_puntos!$1:$1,0))="",NA(),INDEX(Aux_puntos!$A$2:$OJ$901,488,MATCH($B$2&amp;"|yK",Aux_puntos!$1:$1,0))),NA())</f>
        <v/>
      </c>
      <c r="AE492">
        <f>IFERROR(IF(INDEX(Aux_puntos!$A$2:$OJ$901,488,MATCH($B$2&amp;"|xC",Aux_puntos!$1:$1,0))="",NA(),INDEX(Aux_puntos!$A$2:$OJ$901,488,MATCH($B$2&amp;"|xC",Aux_puntos!$1:$1,0))),NA())</f>
        <v/>
      </c>
      <c r="AF492">
        <f>IFERROR(IF(INDEX(Aux_puntos!$A$2:$OJ$901,488,MATCH($B$2&amp;"|yC",Aux_puntos!$1:$1,0))="",NA(),INDEX(Aux_puntos!$A$2:$OJ$901,488,MATCH($B$2&amp;"|yC",Aux_puntos!$1:$1,0))),NA())</f>
        <v/>
      </c>
      <c r="AG492">
        <f>IFERROR(IF(INDEX(Aux_puntos!$A$2:$OJ$901,488,MATCH($B$2&amp;"|xI",Aux_puntos!$1:$1,0))="",NA(),INDEX(Aux_puntos!$A$2:$OJ$901,488,MATCH($B$2&amp;"|xI",Aux_puntos!$1:$1,0))),NA())</f>
        <v/>
      </c>
      <c r="AH492">
        <f>IFERROR(IF(INDEX(Aux_puntos!$A$2:$OJ$901,488,MATCH($B$2&amp;"|yI",Aux_puntos!$1:$1,0))="",NA(),INDEX(Aux_puntos!$A$2:$OJ$901,488,MATCH($B$2&amp;"|yI",Aux_puntos!$1:$1,0))),NA())</f>
        <v/>
      </c>
      <c r="AI492">
        <f>IFERROR(IF(INDEX(Aux_puntos!$A$2:$OJ$901,488,MATCH($B$2&amp;"|xN",Aux_puntos!$1:$1,0))="",NA(),INDEX(Aux_puntos!$A$2:$OJ$901,488,MATCH($B$2&amp;"|xN",Aux_puntos!$1:$1,0))),NA())</f>
        <v/>
      </c>
      <c r="AJ492">
        <f>IFERROR(IF(INDEX(Aux_puntos!$A$2:$OJ$901,488,MATCH($B$2&amp;"|yN",Aux_puntos!$1:$1,0))="",NA(),INDEX(Aux_puntos!$A$2:$OJ$901,488,MATCH($B$2&amp;"|yN",Aux_puntos!$1:$1,0))),NA())</f>
        <v/>
      </c>
    </row>
    <row r="493">
      <c r="AC493">
        <f>IFERROR(IF(INDEX(Aux_puntos!$A$2:$OJ$901,489,MATCH($B$2&amp;"|xK",Aux_puntos!$1:$1,0))="",NA(),INDEX(Aux_puntos!$A$2:$OJ$901,489,MATCH($B$2&amp;"|xK",Aux_puntos!$1:$1,0))),NA())</f>
        <v/>
      </c>
      <c r="AD493">
        <f>IFERROR(IF(INDEX(Aux_puntos!$A$2:$OJ$901,489,MATCH($B$2&amp;"|yK",Aux_puntos!$1:$1,0))="",NA(),INDEX(Aux_puntos!$A$2:$OJ$901,489,MATCH($B$2&amp;"|yK",Aux_puntos!$1:$1,0))),NA())</f>
        <v/>
      </c>
      <c r="AE493">
        <f>IFERROR(IF(INDEX(Aux_puntos!$A$2:$OJ$901,489,MATCH($B$2&amp;"|xC",Aux_puntos!$1:$1,0))="",NA(),INDEX(Aux_puntos!$A$2:$OJ$901,489,MATCH($B$2&amp;"|xC",Aux_puntos!$1:$1,0))),NA())</f>
        <v/>
      </c>
      <c r="AF493">
        <f>IFERROR(IF(INDEX(Aux_puntos!$A$2:$OJ$901,489,MATCH($B$2&amp;"|yC",Aux_puntos!$1:$1,0))="",NA(),INDEX(Aux_puntos!$A$2:$OJ$901,489,MATCH($B$2&amp;"|yC",Aux_puntos!$1:$1,0))),NA())</f>
        <v/>
      </c>
      <c r="AG493">
        <f>IFERROR(IF(INDEX(Aux_puntos!$A$2:$OJ$901,489,MATCH($B$2&amp;"|xI",Aux_puntos!$1:$1,0))="",NA(),INDEX(Aux_puntos!$A$2:$OJ$901,489,MATCH($B$2&amp;"|xI",Aux_puntos!$1:$1,0))),NA())</f>
        <v/>
      </c>
      <c r="AH493">
        <f>IFERROR(IF(INDEX(Aux_puntos!$A$2:$OJ$901,489,MATCH($B$2&amp;"|yI",Aux_puntos!$1:$1,0))="",NA(),INDEX(Aux_puntos!$A$2:$OJ$901,489,MATCH($B$2&amp;"|yI",Aux_puntos!$1:$1,0))),NA())</f>
        <v/>
      </c>
      <c r="AI493">
        <f>IFERROR(IF(INDEX(Aux_puntos!$A$2:$OJ$901,489,MATCH($B$2&amp;"|xN",Aux_puntos!$1:$1,0))="",NA(),INDEX(Aux_puntos!$A$2:$OJ$901,489,MATCH($B$2&amp;"|xN",Aux_puntos!$1:$1,0))),NA())</f>
        <v/>
      </c>
      <c r="AJ493">
        <f>IFERROR(IF(INDEX(Aux_puntos!$A$2:$OJ$901,489,MATCH($B$2&amp;"|yN",Aux_puntos!$1:$1,0))="",NA(),INDEX(Aux_puntos!$A$2:$OJ$901,489,MATCH($B$2&amp;"|yN",Aux_puntos!$1:$1,0))),NA())</f>
        <v/>
      </c>
    </row>
    <row r="494">
      <c r="AC494">
        <f>IFERROR(IF(INDEX(Aux_puntos!$A$2:$OJ$901,490,MATCH($B$2&amp;"|xK",Aux_puntos!$1:$1,0))="",NA(),INDEX(Aux_puntos!$A$2:$OJ$901,490,MATCH($B$2&amp;"|xK",Aux_puntos!$1:$1,0))),NA())</f>
        <v/>
      </c>
      <c r="AD494">
        <f>IFERROR(IF(INDEX(Aux_puntos!$A$2:$OJ$901,490,MATCH($B$2&amp;"|yK",Aux_puntos!$1:$1,0))="",NA(),INDEX(Aux_puntos!$A$2:$OJ$901,490,MATCH($B$2&amp;"|yK",Aux_puntos!$1:$1,0))),NA())</f>
        <v/>
      </c>
      <c r="AE494">
        <f>IFERROR(IF(INDEX(Aux_puntos!$A$2:$OJ$901,490,MATCH($B$2&amp;"|xC",Aux_puntos!$1:$1,0))="",NA(),INDEX(Aux_puntos!$A$2:$OJ$901,490,MATCH($B$2&amp;"|xC",Aux_puntos!$1:$1,0))),NA())</f>
        <v/>
      </c>
      <c r="AF494">
        <f>IFERROR(IF(INDEX(Aux_puntos!$A$2:$OJ$901,490,MATCH($B$2&amp;"|yC",Aux_puntos!$1:$1,0))="",NA(),INDEX(Aux_puntos!$A$2:$OJ$901,490,MATCH($B$2&amp;"|yC",Aux_puntos!$1:$1,0))),NA())</f>
        <v/>
      </c>
      <c r="AG494">
        <f>IFERROR(IF(INDEX(Aux_puntos!$A$2:$OJ$901,490,MATCH($B$2&amp;"|xI",Aux_puntos!$1:$1,0))="",NA(),INDEX(Aux_puntos!$A$2:$OJ$901,490,MATCH($B$2&amp;"|xI",Aux_puntos!$1:$1,0))),NA())</f>
        <v/>
      </c>
      <c r="AH494">
        <f>IFERROR(IF(INDEX(Aux_puntos!$A$2:$OJ$901,490,MATCH($B$2&amp;"|yI",Aux_puntos!$1:$1,0))="",NA(),INDEX(Aux_puntos!$A$2:$OJ$901,490,MATCH($B$2&amp;"|yI",Aux_puntos!$1:$1,0))),NA())</f>
        <v/>
      </c>
      <c r="AI494">
        <f>IFERROR(IF(INDEX(Aux_puntos!$A$2:$OJ$901,490,MATCH($B$2&amp;"|xN",Aux_puntos!$1:$1,0))="",NA(),INDEX(Aux_puntos!$A$2:$OJ$901,490,MATCH($B$2&amp;"|xN",Aux_puntos!$1:$1,0))),NA())</f>
        <v/>
      </c>
      <c r="AJ494">
        <f>IFERROR(IF(INDEX(Aux_puntos!$A$2:$OJ$901,490,MATCH($B$2&amp;"|yN",Aux_puntos!$1:$1,0))="",NA(),INDEX(Aux_puntos!$A$2:$OJ$901,490,MATCH($B$2&amp;"|yN",Aux_puntos!$1:$1,0))),NA())</f>
        <v/>
      </c>
    </row>
    <row r="495">
      <c r="AC495">
        <f>IFERROR(IF(INDEX(Aux_puntos!$A$2:$OJ$901,491,MATCH($B$2&amp;"|xK",Aux_puntos!$1:$1,0))="",NA(),INDEX(Aux_puntos!$A$2:$OJ$901,491,MATCH($B$2&amp;"|xK",Aux_puntos!$1:$1,0))),NA())</f>
        <v/>
      </c>
      <c r="AD495">
        <f>IFERROR(IF(INDEX(Aux_puntos!$A$2:$OJ$901,491,MATCH($B$2&amp;"|yK",Aux_puntos!$1:$1,0))="",NA(),INDEX(Aux_puntos!$A$2:$OJ$901,491,MATCH($B$2&amp;"|yK",Aux_puntos!$1:$1,0))),NA())</f>
        <v/>
      </c>
      <c r="AE495">
        <f>IFERROR(IF(INDEX(Aux_puntos!$A$2:$OJ$901,491,MATCH($B$2&amp;"|xC",Aux_puntos!$1:$1,0))="",NA(),INDEX(Aux_puntos!$A$2:$OJ$901,491,MATCH($B$2&amp;"|xC",Aux_puntos!$1:$1,0))),NA())</f>
        <v/>
      </c>
      <c r="AF495">
        <f>IFERROR(IF(INDEX(Aux_puntos!$A$2:$OJ$901,491,MATCH($B$2&amp;"|yC",Aux_puntos!$1:$1,0))="",NA(),INDEX(Aux_puntos!$A$2:$OJ$901,491,MATCH($B$2&amp;"|yC",Aux_puntos!$1:$1,0))),NA())</f>
        <v/>
      </c>
      <c r="AG495">
        <f>IFERROR(IF(INDEX(Aux_puntos!$A$2:$OJ$901,491,MATCH($B$2&amp;"|xI",Aux_puntos!$1:$1,0))="",NA(),INDEX(Aux_puntos!$A$2:$OJ$901,491,MATCH($B$2&amp;"|xI",Aux_puntos!$1:$1,0))),NA())</f>
        <v/>
      </c>
      <c r="AH495">
        <f>IFERROR(IF(INDEX(Aux_puntos!$A$2:$OJ$901,491,MATCH($B$2&amp;"|yI",Aux_puntos!$1:$1,0))="",NA(),INDEX(Aux_puntos!$A$2:$OJ$901,491,MATCH($B$2&amp;"|yI",Aux_puntos!$1:$1,0))),NA())</f>
        <v/>
      </c>
      <c r="AI495">
        <f>IFERROR(IF(INDEX(Aux_puntos!$A$2:$OJ$901,491,MATCH($B$2&amp;"|xN",Aux_puntos!$1:$1,0))="",NA(),INDEX(Aux_puntos!$A$2:$OJ$901,491,MATCH($B$2&amp;"|xN",Aux_puntos!$1:$1,0))),NA())</f>
        <v/>
      </c>
      <c r="AJ495">
        <f>IFERROR(IF(INDEX(Aux_puntos!$A$2:$OJ$901,491,MATCH($B$2&amp;"|yN",Aux_puntos!$1:$1,0))="",NA(),INDEX(Aux_puntos!$A$2:$OJ$901,491,MATCH($B$2&amp;"|yN",Aux_puntos!$1:$1,0))),NA())</f>
        <v/>
      </c>
    </row>
    <row r="496">
      <c r="AC496">
        <f>IFERROR(IF(INDEX(Aux_puntos!$A$2:$OJ$901,492,MATCH($B$2&amp;"|xK",Aux_puntos!$1:$1,0))="",NA(),INDEX(Aux_puntos!$A$2:$OJ$901,492,MATCH($B$2&amp;"|xK",Aux_puntos!$1:$1,0))),NA())</f>
        <v/>
      </c>
      <c r="AD496">
        <f>IFERROR(IF(INDEX(Aux_puntos!$A$2:$OJ$901,492,MATCH($B$2&amp;"|yK",Aux_puntos!$1:$1,0))="",NA(),INDEX(Aux_puntos!$A$2:$OJ$901,492,MATCH($B$2&amp;"|yK",Aux_puntos!$1:$1,0))),NA())</f>
        <v/>
      </c>
      <c r="AE496">
        <f>IFERROR(IF(INDEX(Aux_puntos!$A$2:$OJ$901,492,MATCH($B$2&amp;"|xC",Aux_puntos!$1:$1,0))="",NA(),INDEX(Aux_puntos!$A$2:$OJ$901,492,MATCH($B$2&amp;"|xC",Aux_puntos!$1:$1,0))),NA())</f>
        <v/>
      </c>
      <c r="AF496">
        <f>IFERROR(IF(INDEX(Aux_puntos!$A$2:$OJ$901,492,MATCH($B$2&amp;"|yC",Aux_puntos!$1:$1,0))="",NA(),INDEX(Aux_puntos!$A$2:$OJ$901,492,MATCH($B$2&amp;"|yC",Aux_puntos!$1:$1,0))),NA())</f>
        <v/>
      </c>
      <c r="AG496">
        <f>IFERROR(IF(INDEX(Aux_puntos!$A$2:$OJ$901,492,MATCH($B$2&amp;"|xI",Aux_puntos!$1:$1,0))="",NA(),INDEX(Aux_puntos!$A$2:$OJ$901,492,MATCH($B$2&amp;"|xI",Aux_puntos!$1:$1,0))),NA())</f>
        <v/>
      </c>
      <c r="AH496">
        <f>IFERROR(IF(INDEX(Aux_puntos!$A$2:$OJ$901,492,MATCH($B$2&amp;"|yI",Aux_puntos!$1:$1,0))="",NA(),INDEX(Aux_puntos!$A$2:$OJ$901,492,MATCH($B$2&amp;"|yI",Aux_puntos!$1:$1,0))),NA())</f>
        <v/>
      </c>
      <c r="AI496">
        <f>IFERROR(IF(INDEX(Aux_puntos!$A$2:$OJ$901,492,MATCH($B$2&amp;"|xN",Aux_puntos!$1:$1,0))="",NA(),INDEX(Aux_puntos!$A$2:$OJ$901,492,MATCH($B$2&amp;"|xN",Aux_puntos!$1:$1,0))),NA())</f>
        <v/>
      </c>
      <c r="AJ496">
        <f>IFERROR(IF(INDEX(Aux_puntos!$A$2:$OJ$901,492,MATCH($B$2&amp;"|yN",Aux_puntos!$1:$1,0))="",NA(),INDEX(Aux_puntos!$A$2:$OJ$901,492,MATCH($B$2&amp;"|yN",Aux_puntos!$1:$1,0))),NA())</f>
        <v/>
      </c>
    </row>
    <row r="497">
      <c r="AC497">
        <f>IFERROR(IF(INDEX(Aux_puntos!$A$2:$OJ$901,493,MATCH($B$2&amp;"|xK",Aux_puntos!$1:$1,0))="",NA(),INDEX(Aux_puntos!$A$2:$OJ$901,493,MATCH($B$2&amp;"|xK",Aux_puntos!$1:$1,0))),NA())</f>
        <v/>
      </c>
      <c r="AD497">
        <f>IFERROR(IF(INDEX(Aux_puntos!$A$2:$OJ$901,493,MATCH($B$2&amp;"|yK",Aux_puntos!$1:$1,0))="",NA(),INDEX(Aux_puntos!$A$2:$OJ$901,493,MATCH($B$2&amp;"|yK",Aux_puntos!$1:$1,0))),NA())</f>
        <v/>
      </c>
      <c r="AE497">
        <f>IFERROR(IF(INDEX(Aux_puntos!$A$2:$OJ$901,493,MATCH($B$2&amp;"|xC",Aux_puntos!$1:$1,0))="",NA(),INDEX(Aux_puntos!$A$2:$OJ$901,493,MATCH($B$2&amp;"|xC",Aux_puntos!$1:$1,0))),NA())</f>
        <v/>
      </c>
      <c r="AF497">
        <f>IFERROR(IF(INDEX(Aux_puntos!$A$2:$OJ$901,493,MATCH($B$2&amp;"|yC",Aux_puntos!$1:$1,0))="",NA(),INDEX(Aux_puntos!$A$2:$OJ$901,493,MATCH($B$2&amp;"|yC",Aux_puntos!$1:$1,0))),NA())</f>
        <v/>
      </c>
      <c r="AG497">
        <f>IFERROR(IF(INDEX(Aux_puntos!$A$2:$OJ$901,493,MATCH($B$2&amp;"|xI",Aux_puntos!$1:$1,0))="",NA(),INDEX(Aux_puntos!$A$2:$OJ$901,493,MATCH($B$2&amp;"|xI",Aux_puntos!$1:$1,0))),NA())</f>
        <v/>
      </c>
      <c r="AH497">
        <f>IFERROR(IF(INDEX(Aux_puntos!$A$2:$OJ$901,493,MATCH($B$2&amp;"|yI",Aux_puntos!$1:$1,0))="",NA(),INDEX(Aux_puntos!$A$2:$OJ$901,493,MATCH($B$2&amp;"|yI",Aux_puntos!$1:$1,0))),NA())</f>
        <v/>
      </c>
      <c r="AI497">
        <f>IFERROR(IF(INDEX(Aux_puntos!$A$2:$OJ$901,493,MATCH($B$2&amp;"|xN",Aux_puntos!$1:$1,0))="",NA(),INDEX(Aux_puntos!$A$2:$OJ$901,493,MATCH($B$2&amp;"|xN",Aux_puntos!$1:$1,0))),NA())</f>
        <v/>
      </c>
      <c r="AJ497">
        <f>IFERROR(IF(INDEX(Aux_puntos!$A$2:$OJ$901,493,MATCH($B$2&amp;"|yN",Aux_puntos!$1:$1,0))="",NA(),INDEX(Aux_puntos!$A$2:$OJ$901,493,MATCH($B$2&amp;"|yN",Aux_puntos!$1:$1,0))),NA())</f>
        <v/>
      </c>
    </row>
    <row r="498">
      <c r="AC498">
        <f>IFERROR(IF(INDEX(Aux_puntos!$A$2:$OJ$901,494,MATCH($B$2&amp;"|xK",Aux_puntos!$1:$1,0))="",NA(),INDEX(Aux_puntos!$A$2:$OJ$901,494,MATCH($B$2&amp;"|xK",Aux_puntos!$1:$1,0))),NA())</f>
        <v/>
      </c>
      <c r="AD498">
        <f>IFERROR(IF(INDEX(Aux_puntos!$A$2:$OJ$901,494,MATCH($B$2&amp;"|yK",Aux_puntos!$1:$1,0))="",NA(),INDEX(Aux_puntos!$A$2:$OJ$901,494,MATCH($B$2&amp;"|yK",Aux_puntos!$1:$1,0))),NA())</f>
        <v/>
      </c>
      <c r="AE498">
        <f>IFERROR(IF(INDEX(Aux_puntos!$A$2:$OJ$901,494,MATCH($B$2&amp;"|xC",Aux_puntos!$1:$1,0))="",NA(),INDEX(Aux_puntos!$A$2:$OJ$901,494,MATCH($B$2&amp;"|xC",Aux_puntos!$1:$1,0))),NA())</f>
        <v/>
      </c>
      <c r="AF498">
        <f>IFERROR(IF(INDEX(Aux_puntos!$A$2:$OJ$901,494,MATCH($B$2&amp;"|yC",Aux_puntos!$1:$1,0))="",NA(),INDEX(Aux_puntos!$A$2:$OJ$901,494,MATCH($B$2&amp;"|yC",Aux_puntos!$1:$1,0))),NA())</f>
        <v/>
      </c>
      <c r="AG498">
        <f>IFERROR(IF(INDEX(Aux_puntos!$A$2:$OJ$901,494,MATCH($B$2&amp;"|xI",Aux_puntos!$1:$1,0))="",NA(),INDEX(Aux_puntos!$A$2:$OJ$901,494,MATCH($B$2&amp;"|xI",Aux_puntos!$1:$1,0))),NA())</f>
        <v/>
      </c>
      <c r="AH498">
        <f>IFERROR(IF(INDEX(Aux_puntos!$A$2:$OJ$901,494,MATCH($B$2&amp;"|yI",Aux_puntos!$1:$1,0))="",NA(),INDEX(Aux_puntos!$A$2:$OJ$901,494,MATCH($B$2&amp;"|yI",Aux_puntos!$1:$1,0))),NA())</f>
        <v/>
      </c>
      <c r="AI498">
        <f>IFERROR(IF(INDEX(Aux_puntos!$A$2:$OJ$901,494,MATCH($B$2&amp;"|xN",Aux_puntos!$1:$1,0))="",NA(),INDEX(Aux_puntos!$A$2:$OJ$901,494,MATCH($B$2&amp;"|xN",Aux_puntos!$1:$1,0))),NA())</f>
        <v/>
      </c>
      <c r="AJ498">
        <f>IFERROR(IF(INDEX(Aux_puntos!$A$2:$OJ$901,494,MATCH($B$2&amp;"|yN",Aux_puntos!$1:$1,0))="",NA(),INDEX(Aux_puntos!$A$2:$OJ$901,494,MATCH($B$2&amp;"|yN",Aux_puntos!$1:$1,0))),NA())</f>
        <v/>
      </c>
    </row>
    <row r="499">
      <c r="AC499">
        <f>IFERROR(IF(INDEX(Aux_puntos!$A$2:$OJ$901,495,MATCH($B$2&amp;"|xK",Aux_puntos!$1:$1,0))="",NA(),INDEX(Aux_puntos!$A$2:$OJ$901,495,MATCH($B$2&amp;"|xK",Aux_puntos!$1:$1,0))),NA())</f>
        <v/>
      </c>
      <c r="AD499">
        <f>IFERROR(IF(INDEX(Aux_puntos!$A$2:$OJ$901,495,MATCH($B$2&amp;"|yK",Aux_puntos!$1:$1,0))="",NA(),INDEX(Aux_puntos!$A$2:$OJ$901,495,MATCH($B$2&amp;"|yK",Aux_puntos!$1:$1,0))),NA())</f>
        <v/>
      </c>
      <c r="AE499">
        <f>IFERROR(IF(INDEX(Aux_puntos!$A$2:$OJ$901,495,MATCH($B$2&amp;"|xC",Aux_puntos!$1:$1,0))="",NA(),INDEX(Aux_puntos!$A$2:$OJ$901,495,MATCH($B$2&amp;"|xC",Aux_puntos!$1:$1,0))),NA())</f>
        <v/>
      </c>
      <c r="AF499">
        <f>IFERROR(IF(INDEX(Aux_puntos!$A$2:$OJ$901,495,MATCH($B$2&amp;"|yC",Aux_puntos!$1:$1,0))="",NA(),INDEX(Aux_puntos!$A$2:$OJ$901,495,MATCH($B$2&amp;"|yC",Aux_puntos!$1:$1,0))),NA())</f>
        <v/>
      </c>
      <c r="AG499">
        <f>IFERROR(IF(INDEX(Aux_puntos!$A$2:$OJ$901,495,MATCH($B$2&amp;"|xI",Aux_puntos!$1:$1,0))="",NA(),INDEX(Aux_puntos!$A$2:$OJ$901,495,MATCH($B$2&amp;"|xI",Aux_puntos!$1:$1,0))),NA())</f>
        <v/>
      </c>
      <c r="AH499">
        <f>IFERROR(IF(INDEX(Aux_puntos!$A$2:$OJ$901,495,MATCH($B$2&amp;"|yI",Aux_puntos!$1:$1,0))="",NA(),INDEX(Aux_puntos!$A$2:$OJ$901,495,MATCH($B$2&amp;"|yI",Aux_puntos!$1:$1,0))),NA())</f>
        <v/>
      </c>
      <c r="AI499">
        <f>IFERROR(IF(INDEX(Aux_puntos!$A$2:$OJ$901,495,MATCH($B$2&amp;"|xN",Aux_puntos!$1:$1,0))="",NA(),INDEX(Aux_puntos!$A$2:$OJ$901,495,MATCH($B$2&amp;"|xN",Aux_puntos!$1:$1,0))),NA())</f>
        <v/>
      </c>
      <c r="AJ499">
        <f>IFERROR(IF(INDEX(Aux_puntos!$A$2:$OJ$901,495,MATCH($B$2&amp;"|yN",Aux_puntos!$1:$1,0))="",NA(),INDEX(Aux_puntos!$A$2:$OJ$901,495,MATCH($B$2&amp;"|yN",Aux_puntos!$1:$1,0))),NA())</f>
        <v/>
      </c>
    </row>
    <row r="500">
      <c r="AC500">
        <f>IFERROR(IF(INDEX(Aux_puntos!$A$2:$OJ$901,496,MATCH($B$2&amp;"|xK",Aux_puntos!$1:$1,0))="",NA(),INDEX(Aux_puntos!$A$2:$OJ$901,496,MATCH($B$2&amp;"|xK",Aux_puntos!$1:$1,0))),NA())</f>
        <v/>
      </c>
      <c r="AD500">
        <f>IFERROR(IF(INDEX(Aux_puntos!$A$2:$OJ$901,496,MATCH($B$2&amp;"|yK",Aux_puntos!$1:$1,0))="",NA(),INDEX(Aux_puntos!$A$2:$OJ$901,496,MATCH($B$2&amp;"|yK",Aux_puntos!$1:$1,0))),NA())</f>
        <v/>
      </c>
      <c r="AE500">
        <f>IFERROR(IF(INDEX(Aux_puntos!$A$2:$OJ$901,496,MATCH($B$2&amp;"|xC",Aux_puntos!$1:$1,0))="",NA(),INDEX(Aux_puntos!$A$2:$OJ$901,496,MATCH($B$2&amp;"|xC",Aux_puntos!$1:$1,0))),NA())</f>
        <v/>
      </c>
      <c r="AF500">
        <f>IFERROR(IF(INDEX(Aux_puntos!$A$2:$OJ$901,496,MATCH($B$2&amp;"|yC",Aux_puntos!$1:$1,0))="",NA(),INDEX(Aux_puntos!$A$2:$OJ$901,496,MATCH($B$2&amp;"|yC",Aux_puntos!$1:$1,0))),NA())</f>
        <v/>
      </c>
      <c r="AG500">
        <f>IFERROR(IF(INDEX(Aux_puntos!$A$2:$OJ$901,496,MATCH($B$2&amp;"|xI",Aux_puntos!$1:$1,0))="",NA(),INDEX(Aux_puntos!$A$2:$OJ$901,496,MATCH($B$2&amp;"|xI",Aux_puntos!$1:$1,0))),NA())</f>
        <v/>
      </c>
      <c r="AH500">
        <f>IFERROR(IF(INDEX(Aux_puntos!$A$2:$OJ$901,496,MATCH($B$2&amp;"|yI",Aux_puntos!$1:$1,0))="",NA(),INDEX(Aux_puntos!$A$2:$OJ$901,496,MATCH($B$2&amp;"|yI",Aux_puntos!$1:$1,0))),NA())</f>
        <v/>
      </c>
      <c r="AI500">
        <f>IFERROR(IF(INDEX(Aux_puntos!$A$2:$OJ$901,496,MATCH($B$2&amp;"|xN",Aux_puntos!$1:$1,0))="",NA(),INDEX(Aux_puntos!$A$2:$OJ$901,496,MATCH($B$2&amp;"|xN",Aux_puntos!$1:$1,0))),NA())</f>
        <v/>
      </c>
      <c r="AJ500">
        <f>IFERROR(IF(INDEX(Aux_puntos!$A$2:$OJ$901,496,MATCH($B$2&amp;"|yN",Aux_puntos!$1:$1,0))="",NA(),INDEX(Aux_puntos!$A$2:$OJ$901,496,MATCH($B$2&amp;"|yN",Aux_puntos!$1:$1,0))),NA())</f>
        <v/>
      </c>
    </row>
    <row r="501">
      <c r="AC501">
        <f>IFERROR(IF(INDEX(Aux_puntos!$A$2:$OJ$901,497,MATCH($B$2&amp;"|xK",Aux_puntos!$1:$1,0))="",NA(),INDEX(Aux_puntos!$A$2:$OJ$901,497,MATCH($B$2&amp;"|xK",Aux_puntos!$1:$1,0))),NA())</f>
        <v/>
      </c>
      <c r="AD501">
        <f>IFERROR(IF(INDEX(Aux_puntos!$A$2:$OJ$901,497,MATCH($B$2&amp;"|yK",Aux_puntos!$1:$1,0))="",NA(),INDEX(Aux_puntos!$A$2:$OJ$901,497,MATCH($B$2&amp;"|yK",Aux_puntos!$1:$1,0))),NA())</f>
        <v/>
      </c>
      <c r="AE501">
        <f>IFERROR(IF(INDEX(Aux_puntos!$A$2:$OJ$901,497,MATCH($B$2&amp;"|xC",Aux_puntos!$1:$1,0))="",NA(),INDEX(Aux_puntos!$A$2:$OJ$901,497,MATCH($B$2&amp;"|xC",Aux_puntos!$1:$1,0))),NA())</f>
        <v/>
      </c>
      <c r="AF501">
        <f>IFERROR(IF(INDEX(Aux_puntos!$A$2:$OJ$901,497,MATCH($B$2&amp;"|yC",Aux_puntos!$1:$1,0))="",NA(),INDEX(Aux_puntos!$A$2:$OJ$901,497,MATCH($B$2&amp;"|yC",Aux_puntos!$1:$1,0))),NA())</f>
        <v/>
      </c>
      <c r="AG501">
        <f>IFERROR(IF(INDEX(Aux_puntos!$A$2:$OJ$901,497,MATCH($B$2&amp;"|xI",Aux_puntos!$1:$1,0))="",NA(),INDEX(Aux_puntos!$A$2:$OJ$901,497,MATCH($B$2&amp;"|xI",Aux_puntos!$1:$1,0))),NA())</f>
        <v/>
      </c>
      <c r="AH501">
        <f>IFERROR(IF(INDEX(Aux_puntos!$A$2:$OJ$901,497,MATCH($B$2&amp;"|yI",Aux_puntos!$1:$1,0))="",NA(),INDEX(Aux_puntos!$A$2:$OJ$901,497,MATCH($B$2&amp;"|yI",Aux_puntos!$1:$1,0))),NA())</f>
        <v/>
      </c>
      <c r="AI501">
        <f>IFERROR(IF(INDEX(Aux_puntos!$A$2:$OJ$901,497,MATCH($B$2&amp;"|xN",Aux_puntos!$1:$1,0))="",NA(),INDEX(Aux_puntos!$A$2:$OJ$901,497,MATCH($B$2&amp;"|xN",Aux_puntos!$1:$1,0))),NA())</f>
        <v/>
      </c>
      <c r="AJ501">
        <f>IFERROR(IF(INDEX(Aux_puntos!$A$2:$OJ$901,497,MATCH($B$2&amp;"|yN",Aux_puntos!$1:$1,0))="",NA(),INDEX(Aux_puntos!$A$2:$OJ$901,497,MATCH($B$2&amp;"|yN",Aux_puntos!$1:$1,0))),NA())</f>
        <v/>
      </c>
    </row>
    <row r="502">
      <c r="AC502">
        <f>IFERROR(IF(INDEX(Aux_puntos!$A$2:$OJ$901,498,MATCH($B$2&amp;"|xK",Aux_puntos!$1:$1,0))="",NA(),INDEX(Aux_puntos!$A$2:$OJ$901,498,MATCH($B$2&amp;"|xK",Aux_puntos!$1:$1,0))),NA())</f>
        <v/>
      </c>
      <c r="AD502">
        <f>IFERROR(IF(INDEX(Aux_puntos!$A$2:$OJ$901,498,MATCH($B$2&amp;"|yK",Aux_puntos!$1:$1,0))="",NA(),INDEX(Aux_puntos!$A$2:$OJ$901,498,MATCH($B$2&amp;"|yK",Aux_puntos!$1:$1,0))),NA())</f>
        <v/>
      </c>
      <c r="AE502">
        <f>IFERROR(IF(INDEX(Aux_puntos!$A$2:$OJ$901,498,MATCH($B$2&amp;"|xC",Aux_puntos!$1:$1,0))="",NA(),INDEX(Aux_puntos!$A$2:$OJ$901,498,MATCH($B$2&amp;"|xC",Aux_puntos!$1:$1,0))),NA())</f>
        <v/>
      </c>
      <c r="AF502">
        <f>IFERROR(IF(INDEX(Aux_puntos!$A$2:$OJ$901,498,MATCH($B$2&amp;"|yC",Aux_puntos!$1:$1,0))="",NA(),INDEX(Aux_puntos!$A$2:$OJ$901,498,MATCH($B$2&amp;"|yC",Aux_puntos!$1:$1,0))),NA())</f>
        <v/>
      </c>
      <c r="AG502">
        <f>IFERROR(IF(INDEX(Aux_puntos!$A$2:$OJ$901,498,MATCH($B$2&amp;"|xI",Aux_puntos!$1:$1,0))="",NA(),INDEX(Aux_puntos!$A$2:$OJ$901,498,MATCH($B$2&amp;"|xI",Aux_puntos!$1:$1,0))),NA())</f>
        <v/>
      </c>
      <c r="AH502">
        <f>IFERROR(IF(INDEX(Aux_puntos!$A$2:$OJ$901,498,MATCH($B$2&amp;"|yI",Aux_puntos!$1:$1,0))="",NA(),INDEX(Aux_puntos!$A$2:$OJ$901,498,MATCH($B$2&amp;"|yI",Aux_puntos!$1:$1,0))),NA())</f>
        <v/>
      </c>
      <c r="AI502">
        <f>IFERROR(IF(INDEX(Aux_puntos!$A$2:$OJ$901,498,MATCH($B$2&amp;"|xN",Aux_puntos!$1:$1,0))="",NA(),INDEX(Aux_puntos!$A$2:$OJ$901,498,MATCH($B$2&amp;"|xN",Aux_puntos!$1:$1,0))),NA())</f>
        <v/>
      </c>
      <c r="AJ502">
        <f>IFERROR(IF(INDEX(Aux_puntos!$A$2:$OJ$901,498,MATCH($B$2&amp;"|yN",Aux_puntos!$1:$1,0))="",NA(),INDEX(Aux_puntos!$A$2:$OJ$901,498,MATCH($B$2&amp;"|yN",Aux_puntos!$1:$1,0))),NA())</f>
        <v/>
      </c>
    </row>
    <row r="503">
      <c r="AC503">
        <f>IFERROR(IF(INDEX(Aux_puntos!$A$2:$OJ$901,499,MATCH($B$2&amp;"|xK",Aux_puntos!$1:$1,0))="",NA(),INDEX(Aux_puntos!$A$2:$OJ$901,499,MATCH($B$2&amp;"|xK",Aux_puntos!$1:$1,0))),NA())</f>
        <v/>
      </c>
      <c r="AD503">
        <f>IFERROR(IF(INDEX(Aux_puntos!$A$2:$OJ$901,499,MATCH($B$2&amp;"|yK",Aux_puntos!$1:$1,0))="",NA(),INDEX(Aux_puntos!$A$2:$OJ$901,499,MATCH($B$2&amp;"|yK",Aux_puntos!$1:$1,0))),NA())</f>
        <v/>
      </c>
      <c r="AE503">
        <f>IFERROR(IF(INDEX(Aux_puntos!$A$2:$OJ$901,499,MATCH($B$2&amp;"|xC",Aux_puntos!$1:$1,0))="",NA(),INDEX(Aux_puntos!$A$2:$OJ$901,499,MATCH($B$2&amp;"|xC",Aux_puntos!$1:$1,0))),NA())</f>
        <v/>
      </c>
      <c r="AF503">
        <f>IFERROR(IF(INDEX(Aux_puntos!$A$2:$OJ$901,499,MATCH($B$2&amp;"|yC",Aux_puntos!$1:$1,0))="",NA(),INDEX(Aux_puntos!$A$2:$OJ$901,499,MATCH($B$2&amp;"|yC",Aux_puntos!$1:$1,0))),NA())</f>
        <v/>
      </c>
      <c r="AG503">
        <f>IFERROR(IF(INDEX(Aux_puntos!$A$2:$OJ$901,499,MATCH($B$2&amp;"|xI",Aux_puntos!$1:$1,0))="",NA(),INDEX(Aux_puntos!$A$2:$OJ$901,499,MATCH($B$2&amp;"|xI",Aux_puntos!$1:$1,0))),NA())</f>
        <v/>
      </c>
      <c r="AH503">
        <f>IFERROR(IF(INDEX(Aux_puntos!$A$2:$OJ$901,499,MATCH($B$2&amp;"|yI",Aux_puntos!$1:$1,0))="",NA(),INDEX(Aux_puntos!$A$2:$OJ$901,499,MATCH($B$2&amp;"|yI",Aux_puntos!$1:$1,0))),NA())</f>
        <v/>
      </c>
      <c r="AI503">
        <f>IFERROR(IF(INDEX(Aux_puntos!$A$2:$OJ$901,499,MATCH($B$2&amp;"|xN",Aux_puntos!$1:$1,0))="",NA(),INDEX(Aux_puntos!$A$2:$OJ$901,499,MATCH($B$2&amp;"|xN",Aux_puntos!$1:$1,0))),NA())</f>
        <v/>
      </c>
      <c r="AJ503">
        <f>IFERROR(IF(INDEX(Aux_puntos!$A$2:$OJ$901,499,MATCH($B$2&amp;"|yN",Aux_puntos!$1:$1,0))="",NA(),INDEX(Aux_puntos!$A$2:$OJ$901,499,MATCH($B$2&amp;"|yN",Aux_puntos!$1:$1,0))),NA())</f>
        <v/>
      </c>
    </row>
    <row r="504">
      <c r="AC504">
        <f>IFERROR(IF(INDEX(Aux_puntos!$A$2:$OJ$901,500,MATCH($B$2&amp;"|xK",Aux_puntos!$1:$1,0))="",NA(),INDEX(Aux_puntos!$A$2:$OJ$901,500,MATCH($B$2&amp;"|xK",Aux_puntos!$1:$1,0))),NA())</f>
        <v/>
      </c>
      <c r="AD504">
        <f>IFERROR(IF(INDEX(Aux_puntos!$A$2:$OJ$901,500,MATCH($B$2&amp;"|yK",Aux_puntos!$1:$1,0))="",NA(),INDEX(Aux_puntos!$A$2:$OJ$901,500,MATCH($B$2&amp;"|yK",Aux_puntos!$1:$1,0))),NA())</f>
        <v/>
      </c>
      <c r="AE504">
        <f>IFERROR(IF(INDEX(Aux_puntos!$A$2:$OJ$901,500,MATCH($B$2&amp;"|xC",Aux_puntos!$1:$1,0))="",NA(),INDEX(Aux_puntos!$A$2:$OJ$901,500,MATCH($B$2&amp;"|xC",Aux_puntos!$1:$1,0))),NA())</f>
        <v/>
      </c>
      <c r="AF504">
        <f>IFERROR(IF(INDEX(Aux_puntos!$A$2:$OJ$901,500,MATCH($B$2&amp;"|yC",Aux_puntos!$1:$1,0))="",NA(),INDEX(Aux_puntos!$A$2:$OJ$901,500,MATCH($B$2&amp;"|yC",Aux_puntos!$1:$1,0))),NA())</f>
        <v/>
      </c>
      <c r="AG504">
        <f>IFERROR(IF(INDEX(Aux_puntos!$A$2:$OJ$901,500,MATCH($B$2&amp;"|xI",Aux_puntos!$1:$1,0))="",NA(),INDEX(Aux_puntos!$A$2:$OJ$901,500,MATCH($B$2&amp;"|xI",Aux_puntos!$1:$1,0))),NA())</f>
        <v/>
      </c>
      <c r="AH504">
        <f>IFERROR(IF(INDEX(Aux_puntos!$A$2:$OJ$901,500,MATCH($B$2&amp;"|yI",Aux_puntos!$1:$1,0))="",NA(),INDEX(Aux_puntos!$A$2:$OJ$901,500,MATCH($B$2&amp;"|yI",Aux_puntos!$1:$1,0))),NA())</f>
        <v/>
      </c>
      <c r="AI504">
        <f>IFERROR(IF(INDEX(Aux_puntos!$A$2:$OJ$901,500,MATCH($B$2&amp;"|xN",Aux_puntos!$1:$1,0))="",NA(),INDEX(Aux_puntos!$A$2:$OJ$901,500,MATCH($B$2&amp;"|xN",Aux_puntos!$1:$1,0))),NA())</f>
        <v/>
      </c>
      <c r="AJ504">
        <f>IFERROR(IF(INDEX(Aux_puntos!$A$2:$OJ$901,500,MATCH($B$2&amp;"|yN",Aux_puntos!$1:$1,0))="",NA(),INDEX(Aux_puntos!$A$2:$OJ$901,500,MATCH($B$2&amp;"|yN",Aux_puntos!$1:$1,0))),NA())</f>
        <v/>
      </c>
    </row>
    <row r="505">
      <c r="AC505">
        <f>IFERROR(IF(INDEX(Aux_puntos!$A$2:$OJ$901,501,MATCH($B$2&amp;"|xK",Aux_puntos!$1:$1,0))="",NA(),INDEX(Aux_puntos!$A$2:$OJ$901,501,MATCH($B$2&amp;"|xK",Aux_puntos!$1:$1,0))),NA())</f>
        <v/>
      </c>
      <c r="AD505">
        <f>IFERROR(IF(INDEX(Aux_puntos!$A$2:$OJ$901,501,MATCH($B$2&amp;"|yK",Aux_puntos!$1:$1,0))="",NA(),INDEX(Aux_puntos!$A$2:$OJ$901,501,MATCH($B$2&amp;"|yK",Aux_puntos!$1:$1,0))),NA())</f>
        <v/>
      </c>
      <c r="AE505">
        <f>IFERROR(IF(INDEX(Aux_puntos!$A$2:$OJ$901,501,MATCH($B$2&amp;"|xC",Aux_puntos!$1:$1,0))="",NA(),INDEX(Aux_puntos!$A$2:$OJ$901,501,MATCH($B$2&amp;"|xC",Aux_puntos!$1:$1,0))),NA())</f>
        <v/>
      </c>
      <c r="AF505">
        <f>IFERROR(IF(INDEX(Aux_puntos!$A$2:$OJ$901,501,MATCH($B$2&amp;"|yC",Aux_puntos!$1:$1,0))="",NA(),INDEX(Aux_puntos!$A$2:$OJ$901,501,MATCH($B$2&amp;"|yC",Aux_puntos!$1:$1,0))),NA())</f>
        <v/>
      </c>
      <c r="AG505">
        <f>IFERROR(IF(INDEX(Aux_puntos!$A$2:$OJ$901,501,MATCH($B$2&amp;"|xI",Aux_puntos!$1:$1,0))="",NA(),INDEX(Aux_puntos!$A$2:$OJ$901,501,MATCH($B$2&amp;"|xI",Aux_puntos!$1:$1,0))),NA())</f>
        <v/>
      </c>
      <c r="AH505">
        <f>IFERROR(IF(INDEX(Aux_puntos!$A$2:$OJ$901,501,MATCH($B$2&amp;"|yI",Aux_puntos!$1:$1,0))="",NA(),INDEX(Aux_puntos!$A$2:$OJ$901,501,MATCH($B$2&amp;"|yI",Aux_puntos!$1:$1,0))),NA())</f>
        <v/>
      </c>
      <c r="AI505">
        <f>IFERROR(IF(INDEX(Aux_puntos!$A$2:$OJ$901,501,MATCH($B$2&amp;"|xN",Aux_puntos!$1:$1,0))="",NA(),INDEX(Aux_puntos!$A$2:$OJ$901,501,MATCH($B$2&amp;"|xN",Aux_puntos!$1:$1,0))),NA())</f>
        <v/>
      </c>
      <c r="AJ505">
        <f>IFERROR(IF(INDEX(Aux_puntos!$A$2:$OJ$901,501,MATCH($B$2&amp;"|yN",Aux_puntos!$1:$1,0))="",NA(),INDEX(Aux_puntos!$A$2:$OJ$901,501,MATCH($B$2&amp;"|yN",Aux_puntos!$1:$1,0))),NA())</f>
        <v/>
      </c>
    </row>
    <row r="506">
      <c r="AC506">
        <f>IFERROR(IF(INDEX(Aux_puntos!$A$2:$OJ$901,502,MATCH($B$2&amp;"|xK",Aux_puntos!$1:$1,0))="",NA(),INDEX(Aux_puntos!$A$2:$OJ$901,502,MATCH($B$2&amp;"|xK",Aux_puntos!$1:$1,0))),NA())</f>
        <v/>
      </c>
      <c r="AD506">
        <f>IFERROR(IF(INDEX(Aux_puntos!$A$2:$OJ$901,502,MATCH($B$2&amp;"|yK",Aux_puntos!$1:$1,0))="",NA(),INDEX(Aux_puntos!$A$2:$OJ$901,502,MATCH($B$2&amp;"|yK",Aux_puntos!$1:$1,0))),NA())</f>
        <v/>
      </c>
      <c r="AE506">
        <f>IFERROR(IF(INDEX(Aux_puntos!$A$2:$OJ$901,502,MATCH($B$2&amp;"|xC",Aux_puntos!$1:$1,0))="",NA(),INDEX(Aux_puntos!$A$2:$OJ$901,502,MATCH($B$2&amp;"|xC",Aux_puntos!$1:$1,0))),NA())</f>
        <v/>
      </c>
      <c r="AF506">
        <f>IFERROR(IF(INDEX(Aux_puntos!$A$2:$OJ$901,502,MATCH($B$2&amp;"|yC",Aux_puntos!$1:$1,0))="",NA(),INDEX(Aux_puntos!$A$2:$OJ$901,502,MATCH($B$2&amp;"|yC",Aux_puntos!$1:$1,0))),NA())</f>
        <v/>
      </c>
      <c r="AG506">
        <f>IFERROR(IF(INDEX(Aux_puntos!$A$2:$OJ$901,502,MATCH($B$2&amp;"|xI",Aux_puntos!$1:$1,0))="",NA(),INDEX(Aux_puntos!$A$2:$OJ$901,502,MATCH($B$2&amp;"|xI",Aux_puntos!$1:$1,0))),NA())</f>
        <v/>
      </c>
      <c r="AH506">
        <f>IFERROR(IF(INDEX(Aux_puntos!$A$2:$OJ$901,502,MATCH($B$2&amp;"|yI",Aux_puntos!$1:$1,0))="",NA(),INDEX(Aux_puntos!$A$2:$OJ$901,502,MATCH($B$2&amp;"|yI",Aux_puntos!$1:$1,0))),NA())</f>
        <v/>
      </c>
      <c r="AI506">
        <f>IFERROR(IF(INDEX(Aux_puntos!$A$2:$OJ$901,502,MATCH($B$2&amp;"|xN",Aux_puntos!$1:$1,0))="",NA(),INDEX(Aux_puntos!$A$2:$OJ$901,502,MATCH($B$2&amp;"|xN",Aux_puntos!$1:$1,0))),NA())</f>
        <v/>
      </c>
      <c r="AJ506">
        <f>IFERROR(IF(INDEX(Aux_puntos!$A$2:$OJ$901,502,MATCH($B$2&amp;"|yN",Aux_puntos!$1:$1,0))="",NA(),INDEX(Aux_puntos!$A$2:$OJ$901,502,MATCH($B$2&amp;"|yN",Aux_puntos!$1:$1,0))),NA())</f>
        <v/>
      </c>
    </row>
    <row r="507">
      <c r="AC507">
        <f>IFERROR(IF(INDEX(Aux_puntos!$A$2:$OJ$901,503,MATCH($B$2&amp;"|xK",Aux_puntos!$1:$1,0))="",NA(),INDEX(Aux_puntos!$A$2:$OJ$901,503,MATCH($B$2&amp;"|xK",Aux_puntos!$1:$1,0))),NA())</f>
        <v/>
      </c>
      <c r="AD507">
        <f>IFERROR(IF(INDEX(Aux_puntos!$A$2:$OJ$901,503,MATCH($B$2&amp;"|yK",Aux_puntos!$1:$1,0))="",NA(),INDEX(Aux_puntos!$A$2:$OJ$901,503,MATCH($B$2&amp;"|yK",Aux_puntos!$1:$1,0))),NA())</f>
        <v/>
      </c>
      <c r="AE507">
        <f>IFERROR(IF(INDEX(Aux_puntos!$A$2:$OJ$901,503,MATCH($B$2&amp;"|xC",Aux_puntos!$1:$1,0))="",NA(),INDEX(Aux_puntos!$A$2:$OJ$901,503,MATCH($B$2&amp;"|xC",Aux_puntos!$1:$1,0))),NA())</f>
        <v/>
      </c>
      <c r="AF507">
        <f>IFERROR(IF(INDEX(Aux_puntos!$A$2:$OJ$901,503,MATCH($B$2&amp;"|yC",Aux_puntos!$1:$1,0))="",NA(),INDEX(Aux_puntos!$A$2:$OJ$901,503,MATCH($B$2&amp;"|yC",Aux_puntos!$1:$1,0))),NA())</f>
        <v/>
      </c>
      <c r="AG507">
        <f>IFERROR(IF(INDEX(Aux_puntos!$A$2:$OJ$901,503,MATCH($B$2&amp;"|xI",Aux_puntos!$1:$1,0))="",NA(),INDEX(Aux_puntos!$A$2:$OJ$901,503,MATCH($B$2&amp;"|xI",Aux_puntos!$1:$1,0))),NA())</f>
        <v/>
      </c>
      <c r="AH507">
        <f>IFERROR(IF(INDEX(Aux_puntos!$A$2:$OJ$901,503,MATCH($B$2&amp;"|yI",Aux_puntos!$1:$1,0))="",NA(),INDEX(Aux_puntos!$A$2:$OJ$901,503,MATCH($B$2&amp;"|yI",Aux_puntos!$1:$1,0))),NA())</f>
        <v/>
      </c>
      <c r="AI507">
        <f>IFERROR(IF(INDEX(Aux_puntos!$A$2:$OJ$901,503,MATCH($B$2&amp;"|xN",Aux_puntos!$1:$1,0))="",NA(),INDEX(Aux_puntos!$A$2:$OJ$901,503,MATCH($B$2&amp;"|xN",Aux_puntos!$1:$1,0))),NA())</f>
        <v/>
      </c>
      <c r="AJ507">
        <f>IFERROR(IF(INDEX(Aux_puntos!$A$2:$OJ$901,503,MATCH($B$2&amp;"|yN",Aux_puntos!$1:$1,0))="",NA(),INDEX(Aux_puntos!$A$2:$OJ$901,503,MATCH($B$2&amp;"|yN",Aux_puntos!$1:$1,0))),NA())</f>
        <v/>
      </c>
    </row>
    <row r="508">
      <c r="AC508">
        <f>IFERROR(IF(INDEX(Aux_puntos!$A$2:$OJ$901,504,MATCH($B$2&amp;"|xK",Aux_puntos!$1:$1,0))="",NA(),INDEX(Aux_puntos!$A$2:$OJ$901,504,MATCH($B$2&amp;"|xK",Aux_puntos!$1:$1,0))),NA())</f>
        <v/>
      </c>
      <c r="AD508">
        <f>IFERROR(IF(INDEX(Aux_puntos!$A$2:$OJ$901,504,MATCH($B$2&amp;"|yK",Aux_puntos!$1:$1,0))="",NA(),INDEX(Aux_puntos!$A$2:$OJ$901,504,MATCH($B$2&amp;"|yK",Aux_puntos!$1:$1,0))),NA())</f>
        <v/>
      </c>
      <c r="AE508">
        <f>IFERROR(IF(INDEX(Aux_puntos!$A$2:$OJ$901,504,MATCH($B$2&amp;"|xC",Aux_puntos!$1:$1,0))="",NA(),INDEX(Aux_puntos!$A$2:$OJ$901,504,MATCH($B$2&amp;"|xC",Aux_puntos!$1:$1,0))),NA())</f>
        <v/>
      </c>
      <c r="AF508">
        <f>IFERROR(IF(INDEX(Aux_puntos!$A$2:$OJ$901,504,MATCH($B$2&amp;"|yC",Aux_puntos!$1:$1,0))="",NA(),INDEX(Aux_puntos!$A$2:$OJ$901,504,MATCH($B$2&amp;"|yC",Aux_puntos!$1:$1,0))),NA())</f>
        <v/>
      </c>
      <c r="AG508">
        <f>IFERROR(IF(INDEX(Aux_puntos!$A$2:$OJ$901,504,MATCH($B$2&amp;"|xI",Aux_puntos!$1:$1,0))="",NA(),INDEX(Aux_puntos!$A$2:$OJ$901,504,MATCH($B$2&amp;"|xI",Aux_puntos!$1:$1,0))),NA())</f>
        <v/>
      </c>
      <c r="AH508">
        <f>IFERROR(IF(INDEX(Aux_puntos!$A$2:$OJ$901,504,MATCH($B$2&amp;"|yI",Aux_puntos!$1:$1,0))="",NA(),INDEX(Aux_puntos!$A$2:$OJ$901,504,MATCH($B$2&amp;"|yI",Aux_puntos!$1:$1,0))),NA())</f>
        <v/>
      </c>
      <c r="AI508">
        <f>IFERROR(IF(INDEX(Aux_puntos!$A$2:$OJ$901,504,MATCH($B$2&amp;"|xN",Aux_puntos!$1:$1,0))="",NA(),INDEX(Aux_puntos!$A$2:$OJ$901,504,MATCH($B$2&amp;"|xN",Aux_puntos!$1:$1,0))),NA())</f>
        <v/>
      </c>
      <c r="AJ508">
        <f>IFERROR(IF(INDEX(Aux_puntos!$A$2:$OJ$901,504,MATCH($B$2&amp;"|yN",Aux_puntos!$1:$1,0))="",NA(),INDEX(Aux_puntos!$A$2:$OJ$901,504,MATCH($B$2&amp;"|yN",Aux_puntos!$1:$1,0))),NA())</f>
        <v/>
      </c>
    </row>
    <row r="509">
      <c r="AC509">
        <f>IFERROR(IF(INDEX(Aux_puntos!$A$2:$OJ$901,505,MATCH($B$2&amp;"|xK",Aux_puntos!$1:$1,0))="",NA(),INDEX(Aux_puntos!$A$2:$OJ$901,505,MATCH($B$2&amp;"|xK",Aux_puntos!$1:$1,0))),NA())</f>
        <v/>
      </c>
      <c r="AD509">
        <f>IFERROR(IF(INDEX(Aux_puntos!$A$2:$OJ$901,505,MATCH($B$2&amp;"|yK",Aux_puntos!$1:$1,0))="",NA(),INDEX(Aux_puntos!$A$2:$OJ$901,505,MATCH($B$2&amp;"|yK",Aux_puntos!$1:$1,0))),NA())</f>
        <v/>
      </c>
      <c r="AE509">
        <f>IFERROR(IF(INDEX(Aux_puntos!$A$2:$OJ$901,505,MATCH($B$2&amp;"|xC",Aux_puntos!$1:$1,0))="",NA(),INDEX(Aux_puntos!$A$2:$OJ$901,505,MATCH($B$2&amp;"|xC",Aux_puntos!$1:$1,0))),NA())</f>
        <v/>
      </c>
      <c r="AF509">
        <f>IFERROR(IF(INDEX(Aux_puntos!$A$2:$OJ$901,505,MATCH($B$2&amp;"|yC",Aux_puntos!$1:$1,0))="",NA(),INDEX(Aux_puntos!$A$2:$OJ$901,505,MATCH($B$2&amp;"|yC",Aux_puntos!$1:$1,0))),NA())</f>
        <v/>
      </c>
      <c r="AG509">
        <f>IFERROR(IF(INDEX(Aux_puntos!$A$2:$OJ$901,505,MATCH($B$2&amp;"|xI",Aux_puntos!$1:$1,0))="",NA(),INDEX(Aux_puntos!$A$2:$OJ$901,505,MATCH($B$2&amp;"|xI",Aux_puntos!$1:$1,0))),NA())</f>
        <v/>
      </c>
      <c r="AH509">
        <f>IFERROR(IF(INDEX(Aux_puntos!$A$2:$OJ$901,505,MATCH($B$2&amp;"|yI",Aux_puntos!$1:$1,0))="",NA(),INDEX(Aux_puntos!$A$2:$OJ$901,505,MATCH($B$2&amp;"|yI",Aux_puntos!$1:$1,0))),NA())</f>
        <v/>
      </c>
      <c r="AI509">
        <f>IFERROR(IF(INDEX(Aux_puntos!$A$2:$OJ$901,505,MATCH($B$2&amp;"|xN",Aux_puntos!$1:$1,0))="",NA(),INDEX(Aux_puntos!$A$2:$OJ$901,505,MATCH($B$2&amp;"|xN",Aux_puntos!$1:$1,0))),NA())</f>
        <v/>
      </c>
      <c r="AJ509">
        <f>IFERROR(IF(INDEX(Aux_puntos!$A$2:$OJ$901,505,MATCH($B$2&amp;"|yN",Aux_puntos!$1:$1,0))="",NA(),INDEX(Aux_puntos!$A$2:$OJ$901,505,MATCH($B$2&amp;"|yN",Aux_puntos!$1:$1,0))),NA())</f>
        <v/>
      </c>
    </row>
    <row r="510">
      <c r="AC510">
        <f>IFERROR(IF(INDEX(Aux_puntos!$A$2:$OJ$901,506,MATCH($B$2&amp;"|xK",Aux_puntos!$1:$1,0))="",NA(),INDEX(Aux_puntos!$A$2:$OJ$901,506,MATCH($B$2&amp;"|xK",Aux_puntos!$1:$1,0))),NA())</f>
        <v/>
      </c>
      <c r="AD510">
        <f>IFERROR(IF(INDEX(Aux_puntos!$A$2:$OJ$901,506,MATCH($B$2&amp;"|yK",Aux_puntos!$1:$1,0))="",NA(),INDEX(Aux_puntos!$A$2:$OJ$901,506,MATCH($B$2&amp;"|yK",Aux_puntos!$1:$1,0))),NA())</f>
        <v/>
      </c>
      <c r="AE510">
        <f>IFERROR(IF(INDEX(Aux_puntos!$A$2:$OJ$901,506,MATCH($B$2&amp;"|xC",Aux_puntos!$1:$1,0))="",NA(),INDEX(Aux_puntos!$A$2:$OJ$901,506,MATCH($B$2&amp;"|xC",Aux_puntos!$1:$1,0))),NA())</f>
        <v/>
      </c>
      <c r="AF510">
        <f>IFERROR(IF(INDEX(Aux_puntos!$A$2:$OJ$901,506,MATCH($B$2&amp;"|yC",Aux_puntos!$1:$1,0))="",NA(),INDEX(Aux_puntos!$A$2:$OJ$901,506,MATCH($B$2&amp;"|yC",Aux_puntos!$1:$1,0))),NA())</f>
        <v/>
      </c>
      <c r="AG510">
        <f>IFERROR(IF(INDEX(Aux_puntos!$A$2:$OJ$901,506,MATCH($B$2&amp;"|xI",Aux_puntos!$1:$1,0))="",NA(),INDEX(Aux_puntos!$A$2:$OJ$901,506,MATCH($B$2&amp;"|xI",Aux_puntos!$1:$1,0))),NA())</f>
        <v/>
      </c>
      <c r="AH510">
        <f>IFERROR(IF(INDEX(Aux_puntos!$A$2:$OJ$901,506,MATCH($B$2&amp;"|yI",Aux_puntos!$1:$1,0))="",NA(),INDEX(Aux_puntos!$A$2:$OJ$901,506,MATCH($B$2&amp;"|yI",Aux_puntos!$1:$1,0))),NA())</f>
        <v/>
      </c>
      <c r="AI510">
        <f>IFERROR(IF(INDEX(Aux_puntos!$A$2:$OJ$901,506,MATCH($B$2&amp;"|xN",Aux_puntos!$1:$1,0))="",NA(),INDEX(Aux_puntos!$A$2:$OJ$901,506,MATCH($B$2&amp;"|xN",Aux_puntos!$1:$1,0))),NA())</f>
        <v/>
      </c>
      <c r="AJ510">
        <f>IFERROR(IF(INDEX(Aux_puntos!$A$2:$OJ$901,506,MATCH($B$2&amp;"|yN",Aux_puntos!$1:$1,0))="",NA(),INDEX(Aux_puntos!$A$2:$OJ$901,506,MATCH($B$2&amp;"|yN",Aux_puntos!$1:$1,0))),NA())</f>
        <v/>
      </c>
    </row>
    <row r="511">
      <c r="AC511">
        <f>IFERROR(IF(INDEX(Aux_puntos!$A$2:$OJ$901,507,MATCH($B$2&amp;"|xK",Aux_puntos!$1:$1,0))="",NA(),INDEX(Aux_puntos!$A$2:$OJ$901,507,MATCH($B$2&amp;"|xK",Aux_puntos!$1:$1,0))),NA())</f>
        <v/>
      </c>
      <c r="AD511">
        <f>IFERROR(IF(INDEX(Aux_puntos!$A$2:$OJ$901,507,MATCH($B$2&amp;"|yK",Aux_puntos!$1:$1,0))="",NA(),INDEX(Aux_puntos!$A$2:$OJ$901,507,MATCH($B$2&amp;"|yK",Aux_puntos!$1:$1,0))),NA())</f>
        <v/>
      </c>
      <c r="AE511">
        <f>IFERROR(IF(INDEX(Aux_puntos!$A$2:$OJ$901,507,MATCH($B$2&amp;"|xC",Aux_puntos!$1:$1,0))="",NA(),INDEX(Aux_puntos!$A$2:$OJ$901,507,MATCH($B$2&amp;"|xC",Aux_puntos!$1:$1,0))),NA())</f>
        <v/>
      </c>
      <c r="AF511">
        <f>IFERROR(IF(INDEX(Aux_puntos!$A$2:$OJ$901,507,MATCH($B$2&amp;"|yC",Aux_puntos!$1:$1,0))="",NA(),INDEX(Aux_puntos!$A$2:$OJ$901,507,MATCH($B$2&amp;"|yC",Aux_puntos!$1:$1,0))),NA())</f>
        <v/>
      </c>
      <c r="AG511">
        <f>IFERROR(IF(INDEX(Aux_puntos!$A$2:$OJ$901,507,MATCH($B$2&amp;"|xI",Aux_puntos!$1:$1,0))="",NA(),INDEX(Aux_puntos!$A$2:$OJ$901,507,MATCH($B$2&amp;"|xI",Aux_puntos!$1:$1,0))),NA())</f>
        <v/>
      </c>
      <c r="AH511">
        <f>IFERROR(IF(INDEX(Aux_puntos!$A$2:$OJ$901,507,MATCH($B$2&amp;"|yI",Aux_puntos!$1:$1,0))="",NA(),INDEX(Aux_puntos!$A$2:$OJ$901,507,MATCH($B$2&amp;"|yI",Aux_puntos!$1:$1,0))),NA())</f>
        <v/>
      </c>
      <c r="AI511">
        <f>IFERROR(IF(INDEX(Aux_puntos!$A$2:$OJ$901,507,MATCH($B$2&amp;"|xN",Aux_puntos!$1:$1,0))="",NA(),INDEX(Aux_puntos!$A$2:$OJ$901,507,MATCH($B$2&amp;"|xN",Aux_puntos!$1:$1,0))),NA())</f>
        <v/>
      </c>
      <c r="AJ511">
        <f>IFERROR(IF(INDEX(Aux_puntos!$A$2:$OJ$901,507,MATCH($B$2&amp;"|yN",Aux_puntos!$1:$1,0))="",NA(),INDEX(Aux_puntos!$A$2:$OJ$901,507,MATCH($B$2&amp;"|yN",Aux_puntos!$1:$1,0))),NA())</f>
        <v/>
      </c>
    </row>
    <row r="512">
      <c r="AC512">
        <f>IFERROR(IF(INDEX(Aux_puntos!$A$2:$OJ$901,508,MATCH($B$2&amp;"|xK",Aux_puntos!$1:$1,0))="",NA(),INDEX(Aux_puntos!$A$2:$OJ$901,508,MATCH($B$2&amp;"|xK",Aux_puntos!$1:$1,0))),NA())</f>
        <v/>
      </c>
      <c r="AD512">
        <f>IFERROR(IF(INDEX(Aux_puntos!$A$2:$OJ$901,508,MATCH($B$2&amp;"|yK",Aux_puntos!$1:$1,0))="",NA(),INDEX(Aux_puntos!$A$2:$OJ$901,508,MATCH($B$2&amp;"|yK",Aux_puntos!$1:$1,0))),NA())</f>
        <v/>
      </c>
      <c r="AE512">
        <f>IFERROR(IF(INDEX(Aux_puntos!$A$2:$OJ$901,508,MATCH($B$2&amp;"|xC",Aux_puntos!$1:$1,0))="",NA(),INDEX(Aux_puntos!$A$2:$OJ$901,508,MATCH($B$2&amp;"|xC",Aux_puntos!$1:$1,0))),NA())</f>
        <v/>
      </c>
      <c r="AF512">
        <f>IFERROR(IF(INDEX(Aux_puntos!$A$2:$OJ$901,508,MATCH($B$2&amp;"|yC",Aux_puntos!$1:$1,0))="",NA(),INDEX(Aux_puntos!$A$2:$OJ$901,508,MATCH($B$2&amp;"|yC",Aux_puntos!$1:$1,0))),NA())</f>
        <v/>
      </c>
      <c r="AG512">
        <f>IFERROR(IF(INDEX(Aux_puntos!$A$2:$OJ$901,508,MATCH($B$2&amp;"|xI",Aux_puntos!$1:$1,0))="",NA(),INDEX(Aux_puntos!$A$2:$OJ$901,508,MATCH($B$2&amp;"|xI",Aux_puntos!$1:$1,0))),NA())</f>
        <v/>
      </c>
      <c r="AH512">
        <f>IFERROR(IF(INDEX(Aux_puntos!$A$2:$OJ$901,508,MATCH($B$2&amp;"|yI",Aux_puntos!$1:$1,0))="",NA(),INDEX(Aux_puntos!$A$2:$OJ$901,508,MATCH($B$2&amp;"|yI",Aux_puntos!$1:$1,0))),NA())</f>
        <v/>
      </c>
      <c r="AI512">
        <f>IFERROR(IF(INDEX(Aux_puntos!$A$2:$OJ$901,508,MATCH($B$2&amp;"|xN",Aux_puntos!$1:$1,0))="",NA(),INDEX(Aux_puntos!$A$2:$OJ$901,508,MATCH($B$2&amp;"|xN",Aux_puntos!$1:$1,0))),NA())</f>
        <v/>
      </c>
      <c r="AJ512">
        <f>IFERROR(IF(INDEX(Aux_puntos!$A$2:$OJ$901,508,MATCH($B$2&amp;"|yN",Aux_puntos!$1:$1,0))="",NA(),INDEX(Aux_puntos!$A$2:$OJ$901,508,MATCH($B$2&amp;"|yN",Aux_puntos!$1:$1,0))),NA())</f>
        <v/>
      </c>
    </row>
    <row r="513">
      <c r="AC513">
        <f>IFERROR(IF(INDEX(Aux_puntos!$A$2:$OJ$901,509,MATCH($B$2&amp;"|xK",Aux_puntos!$1:$1,0))="",NA(),INDEX(Aux_puntos!$A$2:$OJ$901,509,MATCH($B$2&amp;"|xK",Aux_puntos!$1:$1,0))),NA())</f>
        <v/>
      </c>
      <c r="AD513">
        <f>IFERROR(IF(INDEX(Aux_puntos!$A$2:$OJ$901,509,MATCH($B$2&amp;"|yK",Aux_puntos!$1:$1,0))="",NA(),INDEX(Aux_puntos!$A$2:$OJ$901,509,MATCH($B$2&amp;"|yK",Aux_puntos!$1:$1,0))),NA())</f>
        <v/>
      </c>
      <c r="AE513">
        <f>IFERROR(IF(INDEX(Aux_puntos!$A$2:$OJ$901,509,MATCH($B$2&amp;"|xC",Aux_puntos!$1:$1,0))="",NA(),INDEX(Aux_puntos!$A$2:$OJ$901,509,MATCH($B$2&amp;"|xC",Aux_puntos!$1:$1,0))),NA())</f>
        <v/>
      </c>
      <c r="AF513">
        <f>IFERROR(IF(INDEX(Aux_puntos!$A$2:$OJ$901,509,MATCH($B$2&amp;"|yC",Aux_puntos!$1:$1,0))="",NA(),INDEX(Aux_puntos!$A$2:$OJ$901,509,MATCH($B$2&amp;"|yC",Aux_puntos!$1:$1,0))),NA())</f>
        <v/>
      </c>
      <c r="AG513">
        <f>IFERROR(IF(INDEX(Aux_puntos!$A$2:$OJ$901,509,MATCH($B$2&amp;"|xI",Aux_puntos!$1:$1,0))="",NA(),INDEX(Aux_puntos!$A$2:$OJ$901,509,MATCH($B$2&amp;"|xI",Aux_puntos!$1:$1,0))),NA())</f>
        <v/>
      </c>
      <c r="AH513">
        <f>IFERROR(IF(INDEX(Aux_puntos!$A$2:$OJ$901,509,MATCH($B$2&amp;"|yI",Aux_puntos!$1:$1,0))="",NA(),INDEX(Aux_puntos!$A$2:$OJ$901,509,MATCH($B$2&amp;"|yI",Aux_puntos!$1:$1,0))),NA())</f>
        <v/>
      </c>
      <c r="AI513">
        <f>IFERROR(IF(INDEX(Aux_puntos!$A$2:$OJ$901,509,MATCH($B$2&amp;"|xN",Aux_puntos!$1:$1,0))="",NA(),INDEX(Aux_puntos!$A$2:$OJ$901,509,MATCH($B$2&amp;"|xN",Aux_puntos!$1:$1,0))),NA())</f>
        <v/>
      </c>
      <c r="AJ513">
        <f>IFERROR(IF(INDEX(Aux_puntos!$A$2:$OJ$901,509,MATCH($B$2&amp;"|yN",Aux_puntos!$1:$1,0))="",NA(),INDEX(Aux_puntos!$A$2:$OJ$901,509,MATCH($B$2&amp;"|yN",Aux_puntos!$1:$1,0))),NA())</f>
        <v/>
      </c>
    </row>
    <row r="514">
      <c r="AC514">
        <f>IFERROR(IF(INDEX(Aux_puntos!$A$2:$OJ$901,510,MATCH($B$2&amp;"|xK",Aux_puntos!$1:$1,0))="",NA(),INDEX(Aux_puntos!$A$2:$OJ$901,510,MATCH($B$2&amp;"|xK",Aux_puntos!$1:$1,0))),NA())</f>
        <v/>
      </c>
      <c r="AD514">
        <f>IFERROR(IF(INDEX(Aux_puntos!$A$2:$OJ$901,510,MATCH($B$2&amp;"|yK",Aux_puntos!$1:$1,0))="",NA(),INDEX(Aux_puntos!$A$2:$OJ$901,510,MATCH($B$2&amp;"|yK",Aux_puntos!$1:$1,0))),NA())</f>
        <v/>
      </c>
      <c r="AE514">
        <f>IFERROR(IF(INDEX(Aux_puntos!$A$2:$OJ$901,510,MATCH($B$2&amp;"|xC",Aux_puntos!$1:$1,0))="",NA(),INDEX(Aux_puntos!$A$2:$OJ$901,510,MATCH($B$2&amp;"|xC",Aux_puntos!$1:$1,0))),NA())</f>
        <v/>
      </c>
      <c r="AF514">
        <f>IFERROR(IF(INDEX(Aux_puntos!$A$2:$OJ$901,510,MATCH($B$2&amp;"|yC",Aux_puntos!$1:$1,0))="",NA(),INDEX(Aux_puntos!$A$2:$OJ$901,510,MATCH($B$2&amp;"|yC",Aux_puntos!$1:$1,0))),NA())</f>
        <v/>
      </c>
      <c r="AG514">
        <f>IFERROR(IF(INDEX(Aux_puntos!$A$2:$OJ$901,510,MATCH($B$2&amp;"|xI",Aux_puntos!$1:$1,0))="",NA(),INDEX(Aux_puntos!$A$2:$OJ$901,510,MATCH($B$2&amp;"|xI",Aux_puntos!$1:$1,0))),NA())</f>
        <v/>
      </c>
      <c r="AH514">
        <f>IFERROR(IF(INDEX(Aux_puntos!$A$2:$OJ$901,510,MATCH($B$2&amp;"|yI",Aux_puntos!$1:$1,0))="",NA(),INDEX(Aux_puntos!$A$2:$OJ$901,510,MATCH($B$2&amp;"|yI",Aux_puntos!$1:$1,0))),NA())</f>
        <v/>
      </c>
      <c r="AI514">
        <f>IFERROR(IF(INDEX(Aux_puntos!$A$2:$OJ$901,510,MATCH($B$2&amp;"|xN",Aux_puntos!$1:$1,0))="",NA(),INDEX(Aux_puntos!$A$2:$OJ$901,510,MATCH($B$2&amp;"|xN",Aux_puntos!$1:$1,0))),NA())</f>
        <v/>
      </c>
      <c r="AJ514">
        <f>IFERROR(IF(INDEX(Aux_puntos!$A$2:$OJ$901,510,MATCH($B$2&amp;"|yN",Aux_puntos!$1:$1,0))="",NA(),INDEX(Aux_puntos!$A$2:$OJ$901,510,MATCH($B$2&amp;"|yN",Aux_puntos!$1:$1,0))),NA())</f>
        <v/>
      </c>
    </row>
    <row r="515">
      <c r="AC515">
        <f>IFERROR(IF(INDEX(Aux_puntos!$A$2:$OJ$901,511,MATCH($B$2&amp;"|xK",Aux_puntos!$1:$1,0))="",NA(),INDEX(Aux_puntos!$A$2:$OJ$901,511,MATCH($B$2&amp;"|xK",Aux_puntos!$1:$1,0))),NA())</f>
        <v/>
      </c>
      <c r="AD515">
        <f>IFERROR(IF(INDEX(Aux_puntos!$A$2:$OJ$901,511,MATCH($B$2&amp;"|yK",Aux_puntos!$1:$1,0))="",NA(),INDEX(Aux_puntos!$A$2:$OJ$901,511,MATCH($B$2&amp;"|yK",Aux_puntos!$1:$1,0))),NA())</f>
        <v/>
      </c>
      <c r="AE515">
        <f>IFERROR(IF(INDEX(Aux_puntos!$A$2:$OJ$901,511,MATCH($B$2&amp;"|xC",Aux_puntos!$1:$1,0))="",NA(),INDEX(Aux_puntos!$A$2:$OJ$901,511,MATCH($B$2&amp;"|xC",Aux_puntos!$1:$1,0))),NA())</f>
        <v/>
      </c>
      <c r="AF515">
        <f>IFERROR(IF(INDEX(Aux_puntos!$A$2:$OJ$901,511,MATCH($B$2&amp;"|yC",Aux_puntos!$1:$1,0))="",NA(),INDEX(Aux_puntos!$A$2:$OJ$901,511,MATCH($B$2&amp;"|yC",Aux_puntos!$1:$1,0))),NA())</f>
        <v/>
      </c>
      <c r="AG515">
        <f>IFERROR(IF(INDEX(Aux_puntos!$A$2:$OJ$901,511,MATCH($B$2&amp;"|xI",Aux_puntos!$1:$1,0))="",NA(),INDEX(Aux_puntos!$A$2:$OJ$901,511,MATCH($B$2&amp;"|xI",Aux_puntos!$1:$1,0))),NA())</f>
        <v/>
      </c>
      <c r="AH515">
        <f>IFERROR(IF(INDEX(Aux_puntos!$A$2:$OJ$901,511,MATCH($B$2&amp;"|yI",Aux_puntos!$1:$1,0))="",NA(),INDEX(Aux_puntos!$A$2:$OJ$901,511,MATCH($B$2&amp;"|yI",Aux_puntos!$1:$1,0))),NA())</f>
        <v/>
      </c>
      <c r="AI515">
        <f>IFERROR(IF(INDEX(Aux_puntos!$A$2:$OJ$901,511,MATCH($B$2&amp;"|xN",Aux_puntos!$1:$1,0))="",NA(),INDEX(Aux_puntos!$A$2:$OJ$901,511,MATCH($B$2&amp;"|xN",Aux_puntos!$1:$1,0))),NA())</f>
        <v/>
      </c>
      <c r="AJ515">
        <f>IFERROR(IF(INDEX(Aux_puntos!$A$2:$OJ$901,511,MATCH($B$2&amp;"|yN",Aux_puntos!$1:$1,0))="",NA(),INDEX(Aux_puntos!$A$2:$OJ$901,511,MATCH($B$2&amp;"|yN",Aux_puntos!$1:$1,0))),NA())</f>
        <v/>
      </c>
    </row>
    <row r="516">
      <c r="AC516">
        <f>IFERROR(IF(INDEX(Aux_puntos!$A$2:$OJ$901,512,MATCH($B$2&amp;"|xK",Aux_puntos!$1:$1,0))="",NA(),INDEX(Aux_puntos!$A$2:$OJ$901,512,MATCH($B$2&amp;"|xK",Aux_puntos!$1:$1,0))),NA())</f>
        <v/>
      </c>
      <c r="AD516">
        <f>IFERROR(IF(INDEX(Aux_puntos!$A$2:$OJ$901,512,MATCH($B$2&amp;"|yK",Aux_puntos!$1:$1,0))="",NA(),INDEX(Aux_puntos!$A$2:$OJ$901,512,MATCH($B$2&amp;"|yK",Aux_puntos!$1:$1,0))),NA())</f>
        <v/>
      </c>
      <c r="AE516">
        <f>IFERROR(IF(INDEX(Aux_puntos!$A$2:$OJ$901,512,MATCH($B$2&amp;"|xC",Aux_puntos!$1:$1,0))="",NA(),INDEX(Aux_puntos!$A$2:$OJ$901,512,MATCH($B$2&amp;"|xC",Aux_puntos!$1:$1,0))),NA())</f>
        <v/>
      </c>
      <c r="AF516">
        <f>IFERROR(IF(INDEX(Aux_puntos!$A$2:$OJ$901,512,MATCH($B$2&amp;"|yC",Aux_puntos!$1:$1,0))="",NA(),INDEX(Aux_puntos!$A$2:$OJ$901,512,MATCH($B$2&amp;"|yC",Aux_puntos!$1:$1,0))),NA())</f>
        <v/>
      </c>
      <c r="AG516">
        <f>IFERROR(IF(INDEX(Aux_puntos!$A$2:$OJ$901,512,MATCH($B$2&amp;"|xI",Aux_puntos!$1:$1,0))="",NA(),INDEX(Aux_puntos!$A$2:$OJ$901,512,MATCH($B$2&amp;"|xI",Aux_puntos!$1:$1,0))),NA())</f>
        <v/>
      </c>
      <c r="AH516">
        <f>IFERROR(IF(INDEX(Aux_puntos!$A$2:$OJ$901,512,MATCH($B$2&amp;"|yI",Aux_puntos!$1:$1,0))="",NA(),INDEX(Aux_puntos!$A$2:$OJ$901,512,MATCH($B$2&amp;"|yI",Aux_puntos!$1:$1,0))),NA())</f>
        <v/>
      </c>
      <c r="AI516">
        <f>IFERROR(IF(INDEX(Aux_puntos!$A$2:$OJ$901,512,MATCH($B$2&amp;"|xN",Aux_puntos!$1:$1,0))="",NA(),INDEX(Aux_puntos!$A$2:$OJ$901,512,MATCH($B$2&amp;"|xN",Aux_puntos!$1:$1,0))),NA())</f>
        <v/>
      </c>
      <c r="AJ516">
        <f>IFERROR(IF(INDEX(Aux_puntos!$A$2:$OJ$901,512,MATCH($B$2&amp;"|yN",Aux_puntos!$1:$1,0))="",NA(),INDEX(Aux_puntos!$A$2:$OJ$901,512,MATCH($B$2&amp;"|yN",Aux_puntos!$1:$1,0))),NA())</f>
        <v/>
      </c>
    </row>
    <row r="517">
      <c r="AC517">
        <f>IFERROR(IF(INDEX(Aux_puntos!$A$2:$OJ$901,513,MATCH($B$2&amp;"|xK",Aux_puntos!$1:$1,0))="",NA(),INDEX(Aux_puntos!$A$2:$OJ$901,513,MATCH($B$2&amp;"|xK",Aux_puntos!$1:$1,0))),NA())</f>
        <v/>
      </c>
      <c r="AD517">
        <f>IFERROR(IF(INDEX(Aux_puntos!$A$2:$OJ$901,513,MATCH($B$2&amp;"|yK",Aux_puntos!$1:$1,0))="",NA(),INDEX(Aux_puntos!$A$2:$OJ$901,513,MATCH($B$2&amp;"|yK",Aux_puntos!$1:$1,0))),NA())</f>
        <v/>
      </c>
      <c r="AE517">
        <f>IFERROR(IF(INDEX(Aux_puntos!$A$2:$OJ$901,513,MATCH($B$2&amp;"|xC",Aux_puntos!$1:$1,0))="",NA(),INDEX(Aux_puntos!$A$2:$OJ$901,513,MATCH($B$2&amp;"|xC",Aux_puntos!$1:$1,0))),NA())</f>
        <v/>
      </c>
      <c r="AF517">
        <f>IFERROR(IF(INDEX(Aux_puntos!$A$2:$OJ$901,513,MATCH($B$2&amp;"|yC",Aux_puntos!$1:$1,0))="",NA(),INDEX(Aux_puntos!$A$2:$OJ$901,513,MATCH($B$2&amp;"|yC",Aux_puntos!$1:$1,0))),NA())</f>
        <v/>
      </c>
      <c r="AG517">
        <f>IFERROR(IF(INDEX(Aux_puntos!$A$2:$OJ$901,513,MATCH($B$2&amp;"|xI",Aux_puntos!$1:$1,0))="",NA(),INDEX(Aux_puntos!$A$2:$OJ$901,513,MATCH($B$2&amp;"|xI",Aux_puntos!$1:$1,0))),NA())</f>
        <v/>
      </c>
      <c r="AH517">
        <f>IFERROR(IF(INDEX(Aux_puntos!$A$2:$OJ$901,513,MATCH($B$2&amp;"|yI",Aux_puntos!$1:$1,0))="",NA(),INDEX(Aux_puntos!$A$2:$OJ$901,513,MATCH($B$2&amp;"|yI",Aux_puntos!$1:$1,0))),NA())</f>
        <v/>
      </c>
      <c r="AI517">
        <f>IFERROR(IF(INDEX(Aux_puntos!$A$2:$OJ$901,513,MATCH($B$2&amp;"|xN",Aux_puntos!$1:$1,0))="",NA(),INDEX(Aux_puntos!$A$2:$OJ$901,513,MATCH($B$2&amp;"|xN",Aux_puntos!$1:$1,0))),NA())</f>
        <v/>
      </c>
      <c r="AJ517">
        <f>IFERROR(IF(INDEX(Aux_puntos!$A$2:$OJ$901,513,MATCH($B$2&amp;"|yN",Aux_puntos!$1:$1,0))="",NA(),INDEX(Aux_puntos!$A$2:$OJ$901,513,MATCH($B$2&amp;"|yN",Aux_puntos!$1:$1,0))),NA())</f>
        <v/>
      </c>
    </row>
    <row r="518">
      <c r="AC518">
        <f>IFERROR(IF(INDEX(Aux_puntos!$A$2:$OJ$901,514,MATCH($B$2&amp;"|xK",Aux_puntos!$1:$1,0))="",NA(),INDEX(Aux_puntos!$A$2:$OJ$901,514,MATCH($B$2&amp;"|xK",Aux_puntos!$1:$1,0))),NA())</f>
        <v/>
      </c>
      <c r="AD518">
        <f>IFERROR(IF(INDEX(Aux_puntos!$A$2:$OJ$901,514,MATCH($B$2&amp;"|yK",Aux_puntos!$1:$1,0))="",NA(),INDEX(Aux_puntos!$A$2:$OJ$901,514,MATCH($B$2&amp;"|yK",Aux_puntos!$1:$1,0))),NA())</f>
        <v/>
      </c>
      <c r="AE518">
        <f>IFERROR(IF(INDEX(Aux_puntos!$A$2:$OJ$901,514,MATCH($B$2&amp;"|xC",Aux_puntos!$1:$1,0))="",NA(),INDEX(Aux_puntos!$A$2:$OJ$901,514,MATCH($B$2&amp;"|xC",Aux_puntos!$1:$1,0))),NA())</f>
        <v/>
      </c>
      <c r="AF518">
        <f>IFERROR(IF(INDEX(Aux_puntos!$A$2:$OJ$901,514,MATCH($B$2&amp;"|yC",Aux_puntos!$1:$1,0))="",NA(),INDEX(Aux_puntos!$A$2:$OJ$901,514,MATCH($B$2&amp;"|yC",Aux_puntos!$1:$1,0))),NA())</f>
        <v/>
      </c>
      <c r="AG518">
        <f>IFERROR(IF(INDEX(Aux_puntos!$A$2:$OJ$901,514,MATCH($B$2&amp;"|xI",Aux_puntos!$1:$1,0))="",NA(),INDEX(Aux_puntos!$A$2:$OJ$901,514,MATCH($B$2&amp;"|xI",Aux_puntos!$1:$1,0))),NA())</f>
        <v/>
      </c>
      <c r="AH518">
        <f>IFERROR(IF(INDEX(Aux_puntos!$A$2:$OJ$901,514,MATCH($B$2&amp;"|yI",Aux_puntos!$1:$1,0))="",NA(),INDEX(Aux_puntos!$A$2:$OJ$901,514,MATCH($B$2&amp;"|yI",Aux_puntos!$1:$1,0))),NA())</f>
        <v/>
      </c>
      <c r="AI518">
        <f>IFERROR(IF(INDEX(Aux_puntos!$A$2:$OJ$901,514,MATCH($B$2&amp;"|xN",Aux_puntos!$1:$1,0))="",NA(),INDEX(Aux_puntos!$A$2:$OJ$901,514,MATCH($B$2&amp;"|xN",Aux_puntos!$1:$1,0))),NA())</f>
        <v/>
      </c>
      <c r="AJ518">
        <f>IFERROR(IF(INDEX(Aux_puntos!$A$2:$OJ$901,514,MATCH($B$2&amp;"|yN",Aux_puntos!$1:$1,0))="",NA(),INDEX(Aux_puntos!$A$2:$OJ$901,514,MATCH($B$2&amp;"|yN",Aux_puntos!$1:$1,0))),NA())</f>
        <v/>
      </c>
    </row>
    <row r="519">
      <c r="AC519">
        <f>IFERROR(IF(INDEX(Aux_puntos!$A$2:$OJ$901,515,MATCH($B$2&amp;"|xK",Aux_puntos!$1:$1,0))="",NA(),INDEX(Aux_puntos!$A$2:$OJ$901,515,MATCH($B$2&amp;"|xK",Aux_puntos!$1:$1,0))),NA())</f>
        <v/>
      </c>
      <c r="AD519">
        <f>IFERROR(IF(INDEX(Aux_puntos!$A$2:$OJ$901,515,MATCH($B$2&amp;"|yK",Aux_puntos!$1:$1,0))="",NA(),INDEX(Aux_puntos!$A$2:$OJ$901,515,MATCH($B$2&amp;"|yK",Aux_puntos!$1:$1,0))),NA())</f>
        <v/>
      </c>
      <c r="AE519">
        <f>IFERROR(IF(INDEX(Aux_puntos!$A$2:$OJ$901,515,MATCH($B$2&amp;"|xC",Aux_puntos!$1:$1,0))="",NA(),INDEX(Aux_puntos!$A$2:$OJ$901,515,MATCH($B$2&amp;"|xC",Aux_puntos!$1:$1,0))),NA())</f>
        <v/>
      </c>
      <c r="AF519">
        <f>IFERROR(IF(INDEX(Aux_puntos!$A$2:$OJ$901,515,MATCH($B$2&amp;"|yC",Aux_puntos!$1:$1,0))="",NA(),INDEX(Aux_puntos!$A$2:$OJ$901,515,MATCH($B$2&amp;"|yC",Aux_puntos!$1:$1,0))),NA())</f>
        <v/>
      </c>
      <c r="AG519">
        <f>IFERROR(IF(INDEX(Aux_puntos!$A$2:$OJ$901,515,MATCH($B$2&amp;"|xI",Aux_puntos!$1:$1,0))="",NA(),INDEX(Aux_puntos!$A$2:$OJ$901,515,MATCH($B$2&amp;"|xI",Aux_puntos!$1:$1,0))),NA())</f>
        <v/>
      </c>
      <c r="AH519">
        <f>IFERROR(IF(INDEX(Aux_puntos!$A$2:$OJ$901,515,MATCH($B$2&amp;"|yI",Aux_puntos!$1:$1,0))="",NA(),INDEX(Aux_puntos!$A$2:$OJ$901,515,MATCH($B$2&amp;"|yI",Aux_puntos!$1:$1,0))),NA())</f>
        <v/>
      </c>
      <c r="AI519">
        <f>IFERROR(IF(INDEX(Aux_puntos!$A$2:$OJ$901,515,MATCH($B$2&amp;"|xN",Aux_puntos!$1:$1,0))="",NA(),INDEX(Aux_puntos!$A$2:$OJ$901,515,MATCH($B$2&amp;"|xN",Aux_puntos!$1:$1,0))),NA())</f>
        <v/>
      </c>
      <c r="AJ519">
        <f>IFERROR(IF(INDEX(Aux_puntos!$A$2:$OJ$901,515,MATCH($B$2&amp;"|yN",Aux_puntos!$1:$1,0))="",NA(),INDEX(Aux_puntos!$A$2:$OJ$901,515,MATCH($B$2&amp;"|yN",Aux_puntos!$1:$1,0))),NA())</f>
        <v/>
      </c>
    </row>
    <row r="520">
      <c r="AC520">
        <f>IFERROR(IF(INDEX(Aux_puntos!$A$2:$OJ$901,516,MATCH($B$2&amp;"|xK",Aux_puntos!$1:$1,0))="",NA(),INDEX(Aux_puntos!$A$2:$OJ$901,516,MATCH($B$2&amp;"|xK",Aux_puntos!$1:$1,0))),NA())</f>
        <v/>
      </c>
      <c r="AD520">
        <f>IFERROR(IF(INDEX(Aux_puntos!$A$2:$OJ$901,516,MATCH($B$2&amp;"|yK",Aux_puntos!$1:$1,0))="",NA(),INDEX(Aux_puntos!$A$2:$OJ$901,516,MATCH($B$2&amp;"|yK",Aux_puntos!$1:$1,0))),NA())</f>
        <v/>
      </c>
      <c r="AE520">
        <f>IFERROR(IF(INDEX(Aux_puntos!$A$2:$OJ$901,516,MATCH($B$2&amp;"|xC",Aux_puntos!$1:$1,0))="",NA(),INDEX(Aux_puntos!$A$2:$OJ$901,516,MATCH($B$2&amp;"|xC",Aux_puntos!$1:$1,0))),NA())</f>
        <v/>
      </c>
      <c r="AF520">
        <f>IFERROR(IF(INDEX(Aux_puntos!$A$2:$OJ$901,516,MATCH($B$2&amp;"|yC",Aux_puntos!$1:$1,0))="",NA(),INDEX(Aux_puntos!$A$2:$OJ$901,516,MATCH($B$2&amp;"|yC",Aux_puntos!$1:$1,0))),NA())</f>
        <v/>
      </c>
      <c r="AG520">
        <f>IFERROR(IF(INDEX(Aux_puntos!$A$2:$OJ$901,516,MATCH($B$2&amp;"|xI",Aux_puntos!$1:$1,0))="",NA(),INDEX(Aux_puntos!$A$2:$OJ$901,516,MATCH($B$2&amp;"|xI",Aux_puntos!$1:$1,0))),NA())</f>
        <v/>
      </c>
      <c r="AH520">
        <f>IFERROR(IF(INDEX(Aux_puntos!$A$2:$OJ$901,516,MATCH($B$2&amp;"|yI",Aux_puntos!$1:$1,0))="",NA(),INDEX(Aux_puntos!$A$2:$OJ$901,516,MATCH($B$2&amp;"|yI",Aux_puntos!$1:$1,0))),NA())</f>
        <v/>
      </c>
      <c r="AI520">
        <f>IFERROR(IF(INDEX(Aux_puntos!$A$2:$OJ$901,516,MATCH($B$2&amp;"|xN",Aux_puntos!$1:$1,0))="",NA(),INDEX(Aux_puntos!$A$2:$OJ$901,516,MATCH($B$2&amp;"|xN",Aux_puntos!$1:$1,0))),NA())</f>
        <v/>
      </c>
      <c r="AJ520">
        <f>IFERROR(IF(INDEX(Aux_puntos!$A$2:$OJ$901,516,MATCH($B$2&amp;"|yN",Aux_puntos!$1:$1,0))="",NA(),INDEX(Aux_puntos!$A$2:$OJ$901,516,MATCH($B$2&amp;"|yN",Aux_puntos!$1:$1,0))),NA())</f>
        <v/>
      </c>
    </row>
    <row r="521">
      <c r="AC521">
        <f>IFERROR(IF(INDEX(Aux_puntos!$A$2:$OJ$901,517,MATCH($B$2&amp;"|xK",Aux_puntos!$1:$1,0))="",NA(),INDEX(Aux_puntos!$A$2:$OJ$901,517,MATCH($B$2&amp;"|xK",Aux_puntos!$1:$1,0))),NA())</f>
        <v/>
      </c>
      <c r="AD521">
        <f>IFERROR(IF(INDEX(Aux_puntos!$A$2:$OJ$901,517,MATCH($B$2&amp;"|yK",Aux_puntos!$1:$1,0))="",NA(),INDEX(Aux_puntos!$A$2:$OJ$901,517,MATCH($B$2&amp;"|yK",Aux_puntos!$1:$1,0))),NA())</f>
        <v/>
      </c>
      <c r="AE521">
        <f>IFERROR(IF(INDEX(Aux_puntos!$A$2:$OJ$901,517,MATCH($B$2&amp;"|xC",Aux_puntos!$1:$1,0))="",NA(),INDEX(Aux_puntos!$A$2:$OJ$901,517,MATCH($B$2&amp;"|xC",Aux_puntos!$1:$1,0))),NA())</f>
        <v/>
      </c>
      <c r="AF521">
        <f>IFERROR(IF(INDEX(Aux_puntos!$A$2:$OJ$901,517,MATCH($B$2&amp;"|yC",Aux_puntos!$1:$1,0))="",NA(),INDEX(Aux_puntos!$A$2:$OJ$901,517,MATCH($B$2&amp;"|yC",Aux_puntos!$1:$1,0))),NA())</f>
        <v/>
      </c>
      <c r="AG521">
        <f>IFERROR(IF(INDEX(Aux_puntos!$A$2:$OJ$901,517,MATCH($B$2&amp;"|xI",Aux_puntos!$1:$1,0))="",NA(),INDEX(Aux_puntos!$A$2:$OJ$901,517,MATCH($B$2&amp;"|xI",Aux_puntos!$1:$1,0))),NA())</f>
        <v/>
      </c>
      <c r="AH521">
        <f>IFERROR(IF(INDEX(Aux_puntos!$A$2:$OJ$901,517,MATCH($B$2&amp;"|yI",Aux_puntos!$1:$1,0))="",NA(),INDEX(Aux_puntos!$A$2:$OJ$901,517,MATCH($B$2&amp;"|yI",Aux_puntos!$1:$1,0))),NA())</f>
        <v/>
      </c>
      <c r="AI521">
        <f>IFERROR(IF(INDEX(Aux_puntos!$A$2:$OJ$901,517,MATCH($B$2&amp;"|xN",Aux_puntos!$1:$1,0))="",NA(),INDEX(Aux_puntos!$A$2:$OJ$901,517,MATCH($B$2&amp;"|xN",Aux_puntos!$1:$1,0))),NA())</f>
        <v/>
      </c>
      <c r="AJ521">
        <f>IFERROR(IF(INDEX(Aux_puntos!$A$2:$OJ$901,517,MATCH($B$2&amp;"|yN",Aux_puntos!$1:$1,0))="",NA(),INDEX(Aux_puntos!$A$2:$OJ$901,517,MATCH($B$2&amp;"|yN",Aux_puntos!$1:$1,0))),NA())</f>
        <v/>
      </c>
    </row>
    <row r="522">
      <c r="AC522">
        <f>IFERROR(IF(INDEX(Aux_puntos!$A$2:$OJ$901,518,MATCH($B$2&amp;"|xK",Aux_puntos!$1:$1,0))="",NA(),INDEX(Aux_puntos!$A$2:$OJ$901,518,MATCH($B$2&amp;"|xK",Aux_puntos!$1:$1,0))),NA())</f>
        <v/>
      </c>
      <c r="AD522">
        <f>IFERROR(IF(INDEX(Aux_puntos!$A$2:$OJ$901,518,MATCH($B$2&amp;"|yK",Aux_puntos!$1:$1,0))="",NA(),INDEX(Aux_puntos!$A$2:$OJ$901,518,MATCH($B$2&amp;"|yK",Aux_puntos!$1:$1,0))),NA())</f>
        <v/>
      </c>
      <c r="AE522">
        <f>IFERROR(IF(INDEX(Aux_puntos!$A$2:$OJ$901,518,MATCH($B$2&amp;"|xC",Aux_puntos!$1:$1,0))="",NA(),INDEX(Aux_puntos!$A$2:$OJ$901,518,MATCH($B$2&amp;"|xC",Aux_puntos!$1:$1,0))),NA())</f>
        <v/>
      </c>
      <c r="AF522">
        <f>IFERROR(IF(INDEX(Aux_puntos!$A$2:$OJ$901,518,MATCH($B$2&amp;"|yC",Aux_puntos!$1:$1,0))="",NA(),INDEX(Aux_puntos!$A$2:$OJ$901,518,MATCH($B$2&amp;"|yC",Aux_puntos!$1:$1,0))),NA())</f>
        <v/>
      </c>
      <c r="AG522">
        <f>IFERROR(IF(INDEX(Aux_puntos!$A$2:$OJ$901,518,MATCH($B$2&amp;"|xI",Aux_puntos!$1:$1,0))="",NA(),INDEX(Aux_puntos!$A$2:$OJ$901,518,MATCH($B$2&amp;"|xI",Aux_puntos!$1:$1,0))),NA())</f>
        <v/>
      </c>
      <c r="AH522">
        <f>IFERROR(IF(INDEX(Aux_puntos!$A$2:$OJ$901,518,MATCH($B$2&amp;"|yI",Aux_puntos!$1:$1,0))="",NA(),INDEX(Aux_puntos!$A$2:$OJ$901,518,MATCH($B$2&amp;"|yI",Aux_puntos!$1:$1,0))),NA())</f>
        <v/>
      </c>
      <c r="AI522">
        <f>IFERROR(IF(INDEX(Aux_puntos!$A$2:$OJ$901,518,MATCH($B$2&amp;"|xN",Aux_puntos!$1:$1,0))="",NA(),INDEX(Aux_puntos!$A$2:$OJ$901,518,MATCH($B$2&amp;"|xN",Aux_puntos!$1:$1,0))),NA())</f>
        <v/>
      </c>
      <c r="AJ522">
        <f>IFERROR(IF(INDEX(Aux_puntos!$A$2:$OJ$901,518,MATCH($B$2&amp;"|yN",Aux_puntos!$1:$1,0))="",NA(),INDEX(Aux_puntos!$A$2:$OJ$901,518,MATCH($B$2&amp;"|yN",Aux_puntos!$1:$1,0))),NA())</f>
        <v/>
      </c>
    </row>
    <row r="523">
      <c r="AC523">
        <f>IFERROR(IF(INDEX(Aux_puntos!$A$2:$OJ$901,519,MATCH($B$2&amp;"|xK",Aux_puntos!$1:$1,0))="",NA(),INDEX(Aux_puntos!$A$2:$OJ$901,519,MATCH($B$2&amp;"|xK",Aux_puntos!$1:$1,0))),NA())</f>
        <v/>
      </c>
      <c r="AD523">
        <f>IFERROR(IF(INDEX(Aux_puntos!$A$2:$OJ$901,519,MATCH($B$2&amp;"|yK",Aux_puntos!$1:$1,0))="",NA(),INDEX(Aux_puntos!$A$2:$OJ$901,519,MATCH($B$2&amp;"|yK",Aux_puntos!$1:$1,0))),NA())</f>
        <v/>
      </c>
      <c r="AE523">
        <f>IFERROR(IF(INDEX(Aux_puntos!$A$2:$OJ$901,519,MATCH($B$2&amp;"|xC",Aux_puntos!$1:$1,0))="",NA(),INDEX(Aux_puntos!$A$2:$OJ$901,519,MATCH($B$2&amp;"|xC",Aux_puntos!$1:$1,0))),NA())</f>
        <v/>
      </c>
      <c r="AF523">
        <f>IFERROR(IF(INDEX(Aux_puntos!$A$2:$OJ$901,519,MATCH($B$2&amp;"|yC",Aux_puntos!$1:$1,0))="",NA(),INDEX(Aux_puntos!$A$2:$OJ$901,519,MATCH($B$2&amp;"|yC",Aux_puntos!$1:$1,0))),NA())</f>
        <v/>
      </c>
      <c r="AG523">
        <f>IFERROR(IF(INDEX(Aux_puntos!$A$2:$OJ$901,519,MATCH($B$2&amp;"|xI",Aux_puntos!$1:$1,0))="",NA(),INDEX(Aux_puntos!$A$2:$OJ$901,519,MATCH($B$2&amp;"|xI",Aux_puntos!$1:$1,0))),NA())</f>
        <v/>
      </c>
      <c r="AH523">
        <f>IFERROR(IF(INDEX(Aux_puntos!$A$2:$OJ$901,519,MATCH($B$2&amp;"|yI",Aux_puntos!$1:$1,0))="",NA(),INDEX(Aux_puntos!$A$2:$OJ$901,519,MATCH($B$2&amp;"|yI",Aux_puntos!$1:$1,0))),NA())</f>
        <v/>
      </c>
      <c r="AI523">
        <f>IFERROR(IF(INDEX(Aux_puntos!$A$2:$OJ$901,519,MATCH($B$2&amp;"|xN",Aux_puntos!$1:$1,0))="",NA(),INDEX(Aux_puntos!$A$2:$OJ$901,519,MATCH($B$2&amp;"|xN",Aux_puntos!$1:$1,0))),NA())</f>
        <v/>
      </c>
      <c r="AJ523">
        <f>IFERROR(IF(INDEX(Aux_puntos!$A$2:$OJ$901,519,MATCH($B$2&amp;"|yN",Aux_puntos!$1:$1,0))="",NA(),INDEX(Aux_puntos!$A$2:$OJ$901,519,MATCH($B$2&amp;"|yN",Aux_puntos!$1:$1,0))),NA())</f>
        <v/>
      </c>
    </row>
    <row r="524">
      <c r="AC524">
        <f>IFERROR(IF(INDEX(Aux_puntos!$A$2:$OJ$901,520,MATCH($B$2&amp;"|xK",Aux_puntos!$1:$1,0))="",NA(),INDEX(Aux_puntos!$A$2:$OJ$901,520,MATCH($B$2&amp;"|xK",Aux_puntos!$1:$1,0))),NA())</f>
        <v/>
      </c>
      <c r="AD524">
        <f>IFERROR(IF(INDEX(Aux_puntos!$A$2:$OJ$901,520,MATCH($B$2&amp;"|yK",Aux_puntos!$1:$1,0))="",NA(),INDEX(Aux_puntos!$A$2:$OJ$901,520,MATCH($B$2&amp;"|yK",Aux_puntos!$1:$1,0))),NA())</f>
        <v/>
      </c>
      <c r="AE524">
        <f>IFERROR(IF(INDEX(Aux_puntos!$A$2:$OJ$901,520,MATCH($B$2&amp;"|xC",Aux_puntos!$1:$1,0))="",NA(),INDEX(Aux_puntos!$A$2:$OJ$901,520,MATCH($B$2&amp;"|xC",Aux_puntos!$1:$1,0))),NA())</f>
        <v/>
      </c>
      <c r="AF524">
        <f>IFERROR(IF(INDEX(Aux_puntos!$A$2:$OJ$901,520,MATCH($B$2&amp;"|yC",Aux_puntos!$1:$1,0))="",NA(),INDEX(Aux_puntos!$A$2:$OJ$901,520,MATCH($B$2&amp;"|yC",Aux_puntos!$1:$1,0))),NA())</f>
        <v/>
      </c>
      <c r="AG524">
        <f>IFERROR(IF(INDEX(Aux_puntos!$A$2:$OJ$901,520,MATCH($B$2&amp;"|xI",Aux_puntos!$1:$1,0))="",NA(),INDEX(Aux_puntos!$A$2:$OJ$901,520,MATCH($B$2&amp;"|xI",Aux_puntos!$1:$1,0))),NA())</f>
        <v/>
      </c>
      <c r="AH524">
        <f>IFERROR(IF(INDEX(Aux_puntos!$A$2:$OJ$901,520,MATCH($B$2&amp;"|yI",Aux_puntos!$1:$1,0))="",NA(),INDEX(Aux_puntos!$A$2:$OJ$901,520,MATCH($B$2&amp;"|yI",Aux_puntos!$1:$1,0))),NA())</f>
        <v/>
      </c>
      <c r="AI524">
        <f>IFERROR(IF(INDEX(Aux_puntos!$A$2:$OJ$901,520,MATCH($B$2&amp;"|xN",Aux_puntos!$1:$1,0))="",NA(),INDEX(Aux_puntos!$A$2:$OJ$901,520,MATCH($B$2&amp;"|xN",Aux_puntos!$1:$1,0))),NA())</f>
        <v/>
      </c>
      <c r="AJ524">
        <f>IFERROR(IF(INDEX(Aux_puntos!$A$2:$OJ$901,520,MATCH($B$2&amp;"|yN",Aux_puntos!$1:$1,0))="",NA(),INDEX(Aux_puntos!$A$2:$OJ$901,520,MATCH($B$2&amp;"|yN",Aux_puntos!$1:$1,0))),NA())</f>
        <v/>
      </c>
    </row>
    <row r="525">
      <c r="AC525">
        <f>IFERROR(IF(INDEX(Aux_puntos!$A$2:$OJ$901,521,MATCH($B$2&amp;"|xK",Aux_puntos!$1:$1,0))="",NA(),INDEX(Aux_puntos!$A$2:$OJ$901,521,MATCH($B$2&amp;"|xK",Aux_puntos!$1:$1,0))),NA())</f>
        <v/>
      </c>
      <c r="AD525">
        <f>IFERROR(IF(INDEX(Aux_puntos!$A$2:$OJ$901,521,MATCH($B$2&amp;"|yK",Aux_puntos!$1:$1,0))="",NA(),INDEX(Aux_puntos!$A$2:$OJ$901,521,MATCH($B$2&amp;"|yK",Aux_puntos!$1:$1,0))),NA())</f>
        <v/>
      </c>
      <c r="AE525">
        <f>IFERROR(IF(INDEX(Aux_puntos!$A$2:$OJ$901,521,MATCH($B$2&amp;"|xC",Aux_puntos!$1:$1,0))="",NA(),INDEX(Aux_puntos!$A$2:$OJ$901,521,MATCH($B$2&amp;"|xC",Aux_puntos!$1:$1,0))),NA())</f>
        <v/>
      </c>
      <c r="AF525">
        <f>IFERROR(IF(INDEX(Aux_puntos!$A$2:$OJ$901,521,MATCH($B$2&amp;"|yC",Aux_puntos!$1:$1,0))="",NA(),INDEX(Aux_puntos!$A$2:$OJ$901,521,MATCH($B$2&amp;"|yC",Aux_puntos!$1:$1,0))),NA())</f>
        <v/>
      </c>
      <c r="AG525">
        <f>IFERROR(IF(INDEX(Aux_puntos!$A$2:$OJ$901,521,MATCH($B$2&amp;"|xI",Aux_puntos!$1:$1,0))="",NA(),INDEX(Aux_puntos!$A$2:$OJ$901,521,MATCH($B$2&amp;"|xI",Aux_puntos!$1:$1,0))),NA())</f>
        <v/>
      </c>
      <c r="AH525">
        <f>IFERROR(IF(INDEX(Aux_puntos!$A$2:$OJ$901,521,MATCH($B$2&amp;"|yI",Aux_puntos!$1:$1,0))="",NA(),INDEX(Aux_puntos!$A$2:$OJ$901,521,MATCH($B$2&amp;"|yI",Aux_puntos!$1:$1,0))),NA())</f>
        <v/>
      </c>
      <c r="AI525">
        <f>IFERROR(IF(INDEX(Aux_puntos!$A$2:$OJ$901,521,MATCH($B$2&amp;"|xN",Aux_puntos!$1:$1,0))="",NA(),INDEX(Aux_puntos!$A$2:$OJ$901,521,MATCH($B$2&amp;"|xN",Aux_puntos!$1:$1,0))),NA())</f>
        <v/>
      </c>
      <c r="AJ525">
        <f>IFERROR(IF(INDEX(Aux_puntos!$A$2:$OJ$901,521,MATCH($B$2&amp;"|yN",Aux_puntos!$1:$1,0))="",NA(),INDEX(Aux_puntos!$A$2:$OJ$901,521,MATCH($B$2&amp;"|yN",Aux_puntos!$1:$1,0))),NA())</f>
        <v/>
      </c>
    </row>
    <row r="526">
      <c r="AC526">
        <f>IFERROR(IF(INDEX(Aux_puntos!$A$2:$OJ$901,522,MATCH($B$2&amp;"|xK",Aux_puntos!$1:$1,0))="",NA(),INDEX(Aux_puntos!$A$2:$OJ$901,522,MATCH($B$2&amp;"|xK",Aux_puntos!$1:$1,0))),NA())</f>
        <v/>
      </c>
      <c r="AD526">
        <f>IFERROR(IF(INDEX(Aux_puntos!$A$2:$OJ$901,522,MATCH($B$2&amp;"|yK",Aux_puntos!$1:$1,0))="",NA(),INDEX(Aux_puntos!$A$2:$OJ$901,522,MATCH($B$2&amp;"|yK",Aux_puntos!$1:$1,0))),NA())</f>
        <v/>
      </c>
      <c r="AE526">
        <f>IFERROR(IF(INDEX(Aux_puntos!$A$2:$OJ$901,522,MATCH($B$2&amp;"|xC",Aux_puntos!$1:$1,0))="",NA(),INDEX(Aux_puntos!$A$2:$OJ$901,522,MATCH($B$2&amp;"|xC",Aux_puntos!$1:$1,0))),NA())</f>
        <v/>
      </c>
      <c r="AF526">
        <f>IFERROR(IF(INDEX(Aux_puntos!$A$2:$OJ$901,522,MATCH($B$2&amp;"|yC",Aux_puntos!$1:$1,0))="",NA(),INDEX(Aux_puntos!$A$2:$OJ$901,522,MATCH($B$2&amp;"|yC",Aux_puntos!$1:$1,0))),NA())</f>
        <v/>
      </c>
      <c r="AG526">
        <f>IFERROR(IF(INDEX(Aux_puntos!$A$2:$OJ$901,522,MATCH($B$2&amp;"|xI",Aux_puntos!$1:$1,0))="",NA(),INDEX(Aux_puntos!$A$2:$OJ$901,522,MATCH($B$2&amp;"|xI",Aux_puntos!$1:$1,0))),NA())</f>
        <v/>
      </c>
      <c r="AH526">
        <f>IFERROR(IF(INDEX(Aux_puntos!$A$2:$OJ$901,522,MATCH($B$2&amp;"|yI",Aux_puntos!$1:$1,0))="",NA(),INDEX(Aux_puntos!$A$2:$OJ$901,522,MATCH($B$2&amp;"|yI",Aux_puntos!$1:$1,0))),NA())</f>
        <v/>
      </c>
      <c r="AI526">
        <f>IFERROR(IF(INDEX(Aux_puntos!$A$2:$OJ$901,522,MATCH($B$2&amp;"|xN",Aux_puntos!$1:$1,0))="",NA(),INDEX(Aux_puntos!$A$2:$OJ$901,522,MATCH($B$2&amp;"|xN",Aux_puntos!$1:$1,0))),NA())</f>
        <v/>
      </c>
      <c r="AJ526">
        <f>IFERROR(IF(INDEX(Aux_puntos!$A$2:$OJ$901,522,MATCH($B$2&amp;"|yN",Aux_puntos!$1:$1,0))="",NA(),INDEX(Aux_puntos!$A$2:$OJ$901,522,MATCH($B$2&amp;"|yN",Aux_puntos!$1:$1,0))),NA())</f>
        <v/>
      </c>
    </row>
    <row r="527">
      <c r="AC527">
        <f>IFERROR(IF(INDEX(Aux_puntos!$A$2:$OJ$901,523,MATCH($B$2&amp;"|xK",Aux_puntos!$1:$1,0))="",NA(),INDEX(Aux_puntos!$A$2:$OJ$901,523,MATCH($B$2&amp;"|xK",Aux_puntos!$1:$1,0))),NA())</f>
        <v/>
      </c>
      <c r="AD527">
        <f>IFERROR(IF(INDEX(Aux_puntos!$A$2:$OJ$901,523,MATCH($B$2&amp;"|yK",Aux_puntos!$1:$1,0))="",NA(),INDEX(Aux_puntos!$A$2:$OJ$901,523,MATCH($B$2&amp;"|yK",Aux_puntos!$1:$1,0))),NA())</f>
        <v/>
      </c>
      <c r="AE527">
        <f>IFERROR(IF(INDEX(Aux_puntos!$A$2:$OJ$901,523,MATCH($B$2&amp;"|xC",Aux_puntos!$1:$1,0))="",NA(),INDEX(Aux_puntos!$A$2:$OJ$901,523,MATCH($B$2&amp;"|xC",Aux_puntos!$1:$1,0))),NA())</f>
        <v/>
      </c>
      <c r="AF527">
        <f>IFERROR(IF(INDEX(Aux_puntos!$A$2:$OJ$901,523,MATCH($B$2&amp;"|yC",Aux_puntos!$1:$1,0))="",NA(),INDEX(Aux_puntos!$A$2:$OJ$901,523,MATCH($B$2&amp;"|yC",Aux_puntos!$1:$1,0))),NA())</f>
        <v/>
      </c>
      <c r="AG527">
        <f>IFERROR(IF(INDEX(Aux_puntos!$A$2:$OJ$901,523,MATCH($B$2&amp;"|xI",Aux_puntos!$1:$1,0))="",NA(),INDEX(Aux_puntos!$A$2:$OJ$901,523,MATCH($B$2&amp;"|xI",Aux_puntos!$1:$1,0))),NA())</f>
        <v/>
      </c>
      <c r="AH527">
        <f>IFERROR(IF(INDEX(Aux_puntos!$A$2:$OJ$901,523,MATCH($B$2&amp;"|yI",Aux_puntos!$1:$1,0))="",NA(),INDEX(Aux_puntos!$A$2:$OJ$901,523,MATCH($B$2&amp;"|yI",Aux_puntos!$1:$1,0))),NA())</f>
        <v/>
      </c>
      <c r="AI527">
        <f>IFERROR(IF(INDEX(Aux_puntos!$A$2:$OJ$901,523,MATCH($B$2&amp;"|xN",Aux_puntos!$1:$1,0))="",NA(),INDEX(Aux_puntos!$A$2:$OJ$901,523,MATCH($B$2&amp;"|xN",Aux_puntos!$1:$1,0))),NA())</f>
        <v/>
      </c>
      <c r="AJ527">
        <f>IFERROR(IF(INDEX(Aux_puntos!$A$2:$OJ$901,523,MATCH($B$2&amp;"|yN",Aux_puntos!$1:$1,0))="",NA(),INDEX(Aux_puntos!$A$2:$OJ$901,523,MATCH($B$2&amp;"|yN",Aux_puntos!$1:$1,0))),NA())</f>
        <v/>
      </c>
    </row>
    <row r="528">
      <c r="AC528">
        <f>IFERROR(IF(INDEX(Aux_puntos!$A$2:$OJ$901,524,MATCH($B$2&amp;"|xK",Aux_puntos!$1:$1,0))="",NA(),INDEX(Aux_puntos!$A$2:$OJ$901,524,MATCH($B$2&amp;"|xK",Aux_puntos!$1:$1,0))),NA())</f>
        <v/>
      </c>
      <c r="AD528">
        <f>IFERROR(IF(INDEX(Aux_puntos!$A$2:$OJ$901,524,MATCH($B$2&amp;"|yK",Aux_puntos!$1:$1,0))="",NA(),INDEX(Aux_puntos!$A$2:$OJ$901,524,MATCH($B$2&amp;"|yK",Aux_puntos!$1:$1,0))),NA())</f>
        <v/>
      </c>
      <c r="AE528">
        <f>IFERROR(IF(INDEX(Aux_puntos!$A$2:$OJ$901,524,MATCH($B$2&amp;"|xC",Aux_puntos!$1:$1,0))="",NA(),INDEX(Aux_puntos!$A$2:$OJ$901,524,MATCH($B$2&amp;"|xC",Aux_puntos!$1:$1,0))),NA())</f>
        <v/>
      </c>
      <c r="AF528">
        <f>IFERROR(IF(INDEX(Aux_puntos!$A$2:$OJ$901,524,MATCH($B$2&amp;"|yC",Aux_puntos!$1:$1,0))="",NA(),INDEX(Aux_puntos!$A$2:$OJ$901,524,MATCH($B$2&amp;"|yC",Aux_puntos!$1:$1,0))),NA())</f>
        <v/>
      </c>
      <c r="AG528">
        <f>IFERROR(IF(INDEX(Aux_puntos!$A$2:$OJ$901,524,MATCH($B$2&amp;"|xI",Aux_puntos!$1:$1,0))="",NA(),INDEX(Aux_puntos!$A$2:$OJ$901,524,MATCH($B$2&amp;"|xI",Aux_puntos!$1:$1,0))),NA())</f>
        <v/>
      </c>
      <c r="AH528">
        <f>IFERROR(IF(INDEX(Aux_puntos!$A$2:$OJ$901,524,MATCH($B$2&amp;"|yI",Aux_puntos!$1:$1,0))="",NA(),INDEX(Aux_puntos!$A$2:$OJ$901,524,MATCH($B$2&amp;"|yI",Aux_puntos!$1:$1,0))),NA())</f>
        <v/>
      </c>
      <c r="AI528">
        <f>IFERROR(IF(INDEX(Aux_puntos!$A$2:$OJ$901,524,MATCH($B$2&amp;"|xN",Aux_puntos!$1:$1,0))="",NA(),INDEX(Aux_puntos!$A$2:$OJ$901,524,MATCH($B$2&amp;"|xN",Aux_puntos!$1:$1,0))),NA())</f>
        <v/>
      </c>
      <c r="AJ528">
        <f>IFERROR(IF(INDEX(Aux_puntos!$A$2:$OJ$901,524,MATCH($B$2&amp;"|yN",Aux_puntos!$1:$1,0))="",NA(),INDEX(Aux_puntos!$A$2:$OJ$901,524,MATCH($B$2&amp;"|yN",Aux_puntos!$1:$1,0))),NA())</f>
        <v/>
      </c>
    </row>
    <row r="529">
      <c r="AC529">
        <f>IFERROR(IF(INDEX(Aux_puntos!$A$2:$OJ$901,525,MATCH($B$2&amp;"|xK",Aux_puntos!$1:$1,0))="",NA(),INDEX(Aux_puntos!$A$2:$OJ$901,525,MATCH($B$2&amp;"|xK",Aux_puntos!$1:$1,0))),NA())</f>
        <v/>
      </c>
      <c r="AD529">
        <f>IFERROR(IF(INDEX(Aux_puntos!$A$2:$OJ$901,525,MATCH($B$2&amp;"|yK",Aux_puntos!$1:$1,0))="",NA(),INDEX(Aux_puntos!$A$2:$OJ$901,525,MATCH($B$2&amp;"|yK",Aux_puntos!$1:$1,0))),NA())</f>
        <v/>
      </c>
      <c r="AE529">
        <f>IFERROR(IF(INDEX(Aux_puntos!$A$2:$OJ$901,525,MATCH($B$2&amp;"|xC",Aux_puntos!$1:$1,0))="",NA(),INDEX(Aux_puntos!$A$2:$OJ$901,525,MATCH($B$2&amp;"|xC",Aux_puntos!$1:$1,0))),NA())</f>
        <v/>
      </c>
      <c r="AF529">
        <f>IFERROR(IF(INDEX(Aux_puntos!$A$2:$OJ$901,525,MATCH($B$2&amp;"|yC",Aux_puntos!$1:$1,0))="",NA(),INDEX(Aux_puntos!$A$2:$OJ$901,525,MATCH($B$2&amp;"|yC",Aux_puntos!$1:$1,0))),NA())</f>
        <v/>
      </c>
      <c r="AG529">
        <f>IFERROR(IF(INDEX(Aux_puntos!$A$2:$OJ$901,525,MATCH($B$2&amp;"|xI",Aux_puntos!$1:$1,0))="",NA(),INDEX(Aux_puntos!$A$2:$OJ$901,525,MATCH($B$2&amp;"|xI",Aux_puntos!$1:$1,0))),NA())</f>
        <v/>
      </c>
      <c r="AH529">
        <f>IFERROR(IF(INDEX(Aux_puntos!$A$2:$OJ$901,525,MATCH($B$2&amp;"|yI",Aux_puntos!$1:$1,0))="",NA(),INDEX(Aux_puntos!$A$2:$OJ$901,525,MATCH($B$2&amp;"|yI",Aux_puntos!$1:$1,0))),NA())</f>
        <v/>
      </c>
      <c r="AI529">
        <f>IFERROR(IF(INDEX(Aux_puntos!$A$2:$OJ$901,525,MATCH($B$2&amp;"|xN",Aux_puntos!$1:$1,0))="",NA(),INDEX(Aux_puntos!$A$2:$OJ$901,525,MATCH($B$2&amp;"|xN",Aux_puntos!$1:$1,0))),NA())</f>
        <v/>
      </c>
      <c r="AJ529">
        <f>IFERROR(IF(INDEX(Aux_puntos!$A$2:$OJ$901,525,MATCH($B$2&amp;"|yN",Aux_puntos!$1:$1,0))="",NA(),INDEX(Aux_puntos!$A$2:$OJ$901,525,MATCH($B$2&amp;"|yN",Aux_puntos!$1:$1,0))),NA())</f>
        <v/>
      </c>
    </row>
    <row r="530">
      <c r="AC530">
        <f>IFERROR(IF(INDEX(Aux_puntos!$A$2:$OJ$901,526,MATCH($B$2&amp;"|xK",Aux_puntos!$1:$1,0))="",NA(),INDEX(Aux_puntos!$A$2:$OJ$901,526,MATCH($B$2&amp;"|xK",Aux_puntos!$1:$1,0))),NA())</f>
        <v/>
      </c>
      <c r="AD530">
        <f>IFERROR(IF(INDEX(Aux_puntos!$A$2:$OJ$901,526,MATCH($B$2&amp;"|yK",Aux_puntos!$1:$1,0))="",NA(),INDEX(Aux_puntos!$A$2:$OJ$901,526,MATCH($B$2&amp;"|yK",Aux_puntos!$1:$1,0))),NA())</f>
        <v/>
      </c>
      <c r="AE530">
        <f>IFERROR(IF(INDEX(Aux_puntos!$A$2:$OJ$901,526,MATCH($B$2&amp;"|xC",Aux_puntos!$1:$1,0))="",NA(),INDEX(Aux_puntos!$A$2:$OJ$901,526,MATCH($B$2&amp;"|xC",Aux_puntos!$1:$1,0))),NA())</f>
        <v/>
      </c>
      <c r="AF530">
        <f>IFERROR(IF(INDEX(Aux_puntos!$A$2:$OJ$901,526,MATCH($B$2&amp;"|yC",Aux_puntos!$1:$1,0))="",NA(),INDEX(Aux_puntos!$A$2:$OJ$901,526,MATCH($B$2&amp;"|yC",Aux_puntos!$1:$1,0))),NA())</f>
        <v/>
      </c>
      <c r="AG530">
        <f>IFERROR(IF(INDEX(Aux_puntos!$A$2:$OJ$901,526,MATCH($B$2&amp;"|xI",Aux_puntos!$1:$1,0))="",NA(),INDEX(Aux_puntos!$A$2:$OJ$901,526,MATCH($B$2&amp;"|xI",Aux_puntos!$1:$1,0))),NA())</f>
        <v/>
      </c>
      <c r="AH530">
        <f>IFERROR(IF(INDEX(Aux_puntos!$A$2:$OJ$901,526,MATCH($B$2&amp;"|yI",Aux_puntos!$1:$1,0))="",NA(),INDEX(Aux_puntos!$A$2:$OJ$901,526,MATCH($B$2&amp;"|yI",Aux_puntos!$1:$1,0))),NA())</f>
        <v/>
      </c>
      <c r="AI530">
        <f>IFERROR(IF(INDEX(Aux_puntos!$A$2:$OJ$901,526,MATCH($B$2&amp;"|xN",Aux_puntos!$1:$1,0))="",NA(),INDEX(Aux_puntos!$A$2:$OJ$901,526,MATCH($B$2&amp;"|xN",Aux_puntos!$1:$1,0))),NA())</f>
        <v/>
      </c>
      <c r="AJ530">
        <f>IFERROR(IF(INDEX(Aux_puntos!$A$2:$OJ$901,526,MATCH($B$2&amp;"|yN",Aux_puntos!$1:$1,0))="",NA(),INDEX(Aux_puntos!$A$2:$OJ$901,526,MATCH($B$2&amp;"|yN",Aux_puntos!$1:$1,0))),NA())</f>
        <v/>
      </c>
    </row>
    <row r="531">
      <c r="AC531">
        <f>IFERROR(IF(INDEX(Aux_puntos!$A$2:$OJ$901,527,MATCH($B$2&amp;"|xK",Aux_puntos!$1:$1,0))="",NA(),INDEX(Aux_puntos!$A$2:$OJ$901,527,MATCH($B$2&amp;"|xK",Aux_puntos!$1:$1,0))),NA())</f>
        <v/>
      </c>
      <c r="AD531">
        <f>IFERROR(IF(INDEX(Aux_puntos!$A$2:$OJ$901,527,MATCH($B$2&amp;"|yK",Aux_puntos!$1:$1,0))="",NA(),INDEX(Aux_puntos!$A$2:$OJ$901,527,MATCH($B$2&amp;"|yK",Aux_puntos!$1:$1,0))),NA())</f>
        <v/>
      </c>
      <c r="AE531">
        <f>IFERROR(IF(INDEX(Aux_puntos!$A$2:$OJ$901,527,MATCH($B$2&amp;"|xC",Aux_puntos!$1:$1,0))="",NA(),INDEX(Aux_puntos!$A$2:$OJ$901,527,MATCH($B$2&amp;"|xC",Aux_puntos!$1:$1,0))),NA())</f>
        <v/>
      </c>
      <c r="AF531">
        <f>IFERROR(IF(INDEX(Aux_puntos!$A$2:$OJ$901,527,MATCH($B$2&amp;"|yC",Aux_puntos!$1:$1,0))="",NA(),INDEX(Aux_puntos!$A$2:$OJ$901,527,MATCH($B$2&amp;"|yC",Aux_puntos!$1:$1,0))),NA())</f>
        <v/>
      </c>
      <c r="AG531">
        <f>IFERROR(IF(INDEX(Aux_puntos!$A$2:$OJ$901,527,MATCH($B$2&amp;"|xI",Aux_puntos!$1:$1,0))="",NA(),INDEX(Aux_puntos!$A$2:$OJ$901,527,MATCH($B$2&amp;"|xI",Aux_puntos!$1:$1,0))),NA())</f>
        <v/>
      </c>
      <c r="AH531">
        <f>IFERROR(IF(INDEX(Aux_puntos!$A$2:$OJ$901,527,MATCH($B$2&amp;"|yI",Aux_puntos!$1:$1,0))="",NA(),INDEX(Aux_puntos!$A$2:$OJ$901,527,MATCH($B$2&amp;"|yI",Aux_puntos!$1:$1,0))),NA())</f>
        <v/>
      </c>
      <c r="AI531">
        <f>IFERROR(IF(INDEX(Aux_puntos!$A$2:$OJ$901,527,MATCH($B$2&amp;"|xN",Aux_puntos!$1:$1,0))="",NA(),INDEX(Aux_puntos!$A$2:$OJ$901,527,MATCH($B$2&amp;"|xN",Aux_puntos!$1:$1,0))),NA())</f>
        <v/>
      </c>
      <c r="AJ531">
        <f>IFERROR(IF(INDEX(Aux_puntos!$A$2:$OJ$901,527,MATCH($B$2&amp;"|yN",Aux_puntos!$1:$1,0))="",NA(),INDEX(Aux_puntos!$A$2:$OJ$901,527,MATCH($B$2&amp;"|yN",Aux_puntos!$1:$1,0))),NA())</f>
        <v/>
      </c>
    </row>
    <row r="532">
      <c r="AC532">
        <f>IFERROR(IF(INDEX(Aux_puntos!$A$2:$OJ$901,528,MATCH($B$2&amp;"|xK",Aux_puntos!$1:$1,0))="",NA(),INDEX(Aux_puntos!$A$2:$OJ$901,528,MATCH($B$2&amp;"|xK",Aux_puntos!$1:$1,0))),NA())</f>
        <v/>
      </c>
      <c r="AD532">
        <f>IFERROR(IF(INDEX(Aux_puntos!$A$2:$OJ$901,528,MATCH($B$2&amp;"|yK",Aux_puntos!$1:$1,0))="",NA(),INDEX(Aux_puntos!$A$2:$OJ$901,528,MATCH($B$2&amp;"|yK",Aux_puntos!$1:$1,0))),NA())</f>
        <v/>
      </c>
      <c r="AE532">
        <f>IFERROR(IF(INDEX(Aux_puntos!$A$2:$OJ$901,528,MATCH($B$2&amp;"|xC",Aux_puntos!$1:$1,0))="",NA(),INDEX(Aux_puntos!$A$2:$OJ$901,528,MATCH($B$2&amp;"|xC",Aux_puntos!$1:$1,0))),NA())</f>
        <v/>
      </c>
      <c r="AF532">
        <f>IFERROR(IF(INDEX(Aux_puntos!$A$2:$OJ$901,528,MATCH($B$2&amp;"|yC",Aux_puntos!$1:$1,0))="",NA(),INDEX(Aux_puntos!$A$2:$OJ$901,528,MATCH($B$2&amp;"|yC",Aux_puntos!$1:$1,0))),NA())</f>
        <v/>
      </c>
      <c r="AG532">
        <f>IFERROR(IF(INDEX(Aux_puntos!$A$2:$OJ$901,528,MATCH($B$2&amp;"|xI",Aux_puntos!$1:$1,0))="",NA(),INDEX(Aux_puntos!$A$2:$OJ$901,528,MATCH($B$2&amp;"|xI",Aux_puntos!$1:$1,0))),NA())</f>
        <v/>
      </c>
      <c r="AH532">
        <f>IFERROR(IF(INDEX(Aux_puntos!$A$2:$OJ$901,528,MATCH($B$2&amp;"|yI",Aux_puntos!$1:$1,0))="",NA(),INDEX(Aux_puntos!$A$2:$OJ$901,528,MATCH($B$2&amp;"|yI",Aux_puntos!$1:$1,0))),NA())</f>
        <v/>
      </c>
      <c r="AI532">
        <f>IFERROR(IF(INDEX(Aux_puntos!$A$2:$OJ$901,528,MATCH($B$2&amp;"|xN",Aux_puntos!$1:$1,0))="",NA(),INDEX(Aux_puntos!$A$2:$OJ$901,528,MATCH($B$2&amp;"|xN",Aux_puntos!$1:$1,0))),NA())</f>
        <v/>
      </c>
      <c r="AJ532">
        <f>IFERROR(IF(INDEX(Aux_puntos!$A$2:$OJ$901,528,MATCH($B$2&amp;"|yN",Aux_puntos!$1:$1,0))="",NA(),INDEX(Aux_puntos!$A$2:$OJ$901,528,MATCH($B$2&amp;"|yN",Aux_puntos!$1:$1,0))),NA())</f>
        <v/>
      </c>
    </row>
    <row r="533">
      <c r="AC533">
        <f>IFERROR(IF(INDEX(Aux_puntos!$A$2:$OJ$901,529,MATCH($B$2&amp;"|xK",Aux_puntos!$1:$1,0))="",NA(),INDEX(Aux_puntos!$A$2:$OJ$901,529,MATCH($B$2&amp;"|xK",Aux_puntos!$1:$1,0))),NA())</f>
        <v/>
      </c>
      <c r="AD533">
        <f>IFERROR(IF(INDEX(Aux_puntos!$A$2:$OJ$901,529,MATCH($B$2&amp;"|yK",Aux_puntos!$1:$1,0))="",NA(),INDEX(Aux_puntos!$A$2:$OJ$901,529,MATCH($B$2&amp;"|yK",Aux_puntos!$1:$1,0))),NA())</f>
        <v/>
      </c>
      <c r="AE533">
        <f>IFERROR(IF(INDEX(Aux_puntos!$A$2:$OJ$901,529,MATCH($B$2&amp;"|xC",Aux_puntos!$1:$1,0))="",NA(),INDEX(Aux_puntos!$A$2:$OJ$901,529,MATCH($B$2&amp;"|xC",Aux_puntos!$1:$1,0))),NA())</f>
        <v/>
      </c>
      <c r="AF533">
        <f>IFERROR(IF(INDEX(Aux_puntos!$A$2:$OJ$901,529,MATCH($B$2&amp;"|yC",Aux_puntos!$1:$1,0))="",NA(),INDEX(Aux_puntos!$A$2:$OJ$901,529,MATCH($B$2&amp;"|yC",Aux_puntos!$1:$1,0))),NA())</f>
        <v/>
      </c>
      <c r="AG533">
        <f>IFERROR(IF(INDEX(Aux_puntos!$A$2:$OJ$901,529,MATCH($B$2&amp;"|xI",Aux_puntos!$1:$1,0))="",NA(),INDEX(Aux_puntos!$A$2:$OJ$901,529,MATCH($B$2&amp;"|xI",Aux_puntos!$1:$1,0))),NA())</f>
        <v/>
      </c>
      <c r="AH533">
        <f>IFERROR(IF(INDEX(Aux_puntos!$A$2:$OJ$901,529,MATCH($B$2&amp;"|yI",Aux_puntos!$1:$1,0))="",NA(),INDEX(Aux_puntos!$A$2:$OJ$901,529,MATCH($B$2&amp;"|yI",Aux_puntos!$1:$1,0))),NA())</f>
        <v/>
      </c>
      <c r="AI533">
        <f>IFERROR(IF(INDEX(Aux_puntos!$A$2:$OJ$901,529,MATCH($B$2&amp;"|xN",Aux_puntos!$1:$1,0))="",NA(),INDEX(Aux_puntos!$A$2:$OJ$901,529,MATCH($B$2&amp;"|xN",Aux_puntos!$1:$1,0))),NA())</f>
        <v/>
      </c>
      <c r="AJ533">
        <f>IFERROR(IF(INDEX(Aux_puntos!$A$2:$OJ$901,529,MATCH($B$2&amp;"|yN",Aux_puntos!$1:$1,0))="",NA(),INDEX(Aux_puntos!$A$2:$OJ$901,529,MATCH($B$2&amp;"|yN",Aux_puntos!$1:$1,0))),NA())</f>
        <v/>
      </c>
    </row>
    <row r="534">
      <c r="AC534">
        <f>IFERROR(IF(INDEX(Aux_puntos!$A$2:$OJ$901,530,MATCH($B$2&amp;"|xK",Aux_puntos!$1:$1,0))="",NA(),INDEX(Aux_puntos!$A$2:$OJ$901,530,MATCH($B$2&amp;"|xK",Aux_puntos!$1:$1,0))),NA())</f>
        <v/>
      </c>
      <c r="AD534">
        <f>IFERROR(IF(INDEX(Aux_puntos!$A$2:$OJ$901,530,MATCH($B$2&amp;"|yK",Aux_puntos!$1:$1,0))="",NA(),INDEX(Aux_puntos!$A$2:$OJ$901,530,MATCH($B$2&amp;"|yK",Aux_puntos!$1:$1,0))),NA())</f>
        <v/>
      </c>
      <c r="AE534">
        <f>IFERROR(IF(INDEX(Aux_puntos!$A$2:$OJ$901,530,MATCH($B$2&amp;"|xC",Aux_puntos!$1:$1,0))="",NA(),INDEX(Aux_puntos!$A$2:$OJ$901,530,MATCH($B$2&amp;"|xC",Aux_puntos!$1:$1,0))),NA())</f>
        <v/>
      </c>
      <c r="AF534">
        <f>IFERROR(IF(INDEX(Aux_puntos!$A$2:$OJ$901,530,MATCH($B$2&amp;"|yC",Aux_puntos!$1:$1,0))="",NA(),INDEX(Aux_puntos!$A$2:$OJ$901,530,MATCH($B$2&amp;"|yC",Aux_puntos!$1:$1,0))),NA())</f>
        <v/>
      </c>
      <c r="AG534">
        <f>IFERROR(IF(INDEX(Aux_puntos!$A$2:$OJ$901,530,MATCH($B$2&amp;"|xI",Aux_puntos!$1:$1,0))="",NA(),INDEX(Aux_puntos!$A$2:$OJ$901,530,MATCH($B$2&amp;"|xI",Aux_puntos!$1:$1,0))),NA())</f>
        <v/>
      </c>
      <c r="AH534">
        <f>IFERROR(IF(INDEX(Aux_puntos!$A$2:$OJ$901,530,MATCH($B$2&amp;"|yI",Aux_puntos!$1:$1,0))="",NA(),INDEX(Aux_puntos!$A$2:$OJ$901,530,MATCH($B$2&amp;"|yI",Aux_puntos!$1:$1,0))),NA())</f>
        <v/>
      </c>
      <c r="AI534">
        <f>IFERROR(IF(INDEX(Aux_puntos!$A$2:$OJ$901,530,MATCH($B$2&amp;"|xN",Aux_puntos!$1:$1,0))="",NA(),INDEX(Aux_puntos!$A$2:$OJ$901,530,MATCH($B$2&amp;"|xN",Aux_puntos!$1:$1,0))),NA())</f>
        <v/>
      </c>
      <c r="AJ534">
        <f>IFERROR(IF(INDEX(Aux_puntos!$A$2:$OJ$901,530,MATCH($B$2&amp;"|yN",Aux_puntos!$1:$1,0))="",NA(),INDEX(Aux_puntos!$A$2:$OJ$901,530,MATCH($B$2&amp;"|yN",Aux_puntos!$1:$1,0))),NA())</f>
        <v/>
      </c>
    </row>
    <row r="535">
      <c r="AC535">
        <f>IFERROR(IF(INDEX(Aux_puntos!$A$2:$OJ$901,531,MATCH($B$2&amp;"|xK",Aux_puntos!$1:$1,0))="",NA(),INDEX(Aux_puntos!$A$2:$OJ$901,531,MATCH($B$2&amp;"|xK",Aux_puntos!$1:$1,0))),NA())</f>
        <v/>
      </c>
      <c r="AD535">
        <f>IFERROR(IF(INDEX(Aux_puntos!$A$2:$OJ$901,531,MATCH($B$2&amp;"|yK",Aux_puntos!$1:$1,0))="",NA(),INDEX(Aux_puntos!$A$2:$OJ$901,531,MATCH($B$2&amp;"|yK",Aux_puntos!$1:$1,0))),NA())</f>
        <v/>
      </c>
      <c r="AE535">
        <f>IFERROR(IF(INDEX(Aux_puntos!$A$2:$OJ$901,531,MATCH($B$2&amp;"|xC",Aux_puntos!$1:$1,0))="",NA(),INDEX(Aux_puntos!$A$2:$OJ$901,531,MATCH($B$2&amp;"|xC",Aux_puntos!$1:$1,0))),NA())</f>
        <v/>
      </c>
      <c r="AF535">
        <f>IFERROR(IF(INDEX(Aux_puntos!$A$2:$OJ$901,531,MATCH($B$2&amp;"|yC",Aux_puntos!$1:$1,0))="",NA(),INDEX(Aux_puntos!$A$2:$OJ$901,531,MATCH($B$2&amp;"|yC",Aux_puntos!$1:$1,0))),NA())</f>
        <v/>
      </c>
      <c r="AG535">
        <f>IFERROR(IF(INDEX(Aux_puntos!$A$2:$OJ$901,531,MATCH($B$2&amp;"|xI",Aux_puntos!$1:$1,0))="",NA(),INDEX(Aux_puntos!$A$2:$OJ$901,531,MATCH($B$2&amp;"|xI",Aux_puntos!$1:$1,0))),NA())</f>
        <v/>
      </c>
      <c r="AH535">
        <f>IFERROR(IF(INDEX(Aux_puntos!$A$2:$OJ$901,531,MATCH($B$2&amp;"|yI",Aux_puntos!$1:$1,0))="",NA(),INDEX(Aux_puntos!$A$2:$OJ$901,531,MATCH($B$2&amp;"|yI",Aux_puntos!$1:$1,0))),NA())</f>
        <v/>
      </c>
      <c r="AI535">
        <f>IFERROR(IF(INDEX(Aux_puntos!$A$2:$OJ$901,531,MATCH($B$2&amp;"|xN",Aux_puntos!$1:$1,0))="",NA(),INDEX(Aux_puntos!$A$2:$OJ$901,531,MATCH($B$2&amp;"|xN",Aux_puntos!$1:$1,0))),NA())</f>
        <v/>
      </c>
      <c r="AJ535">
        <f>IFERROR(IF(INDEX(Aux_puntos!$A$2:$OJ$901,531,MATCH($B$2&amp;"|yN",Aux_puntos!$1:$1,0))="",NA(),INDEX(Aux_puntos!$A$2:$OJ$901,531,MATCH($B$2&amp;"|yN",Aux_puntos!$1:$1,0))),NA())</f>
        <v/>
      </c>
    </row>
    <row r="536">
      <c r="AC536">
        <f>IFERROR(IF(INDEX(Aux_puntos!$A$2:$OJ$901,532,MATCH($B$2&amp;"|xK",Aux_puntos!$1:$1,0))="",NA(),INDEX(Aux_puntos!$A$2:$OJ$901,532,MATCH($B$2&amp;"|xK",Aux_puntos!$1:$1,0))),NA())</f>
        <v/>
      </c>
      <c r="AD536">
        <f>IFERROR(IF(INDEX(Aux_puntos!$A$2:$OJ$901,532,MATCH($B$2&amp;"|yK",Aux_puntos!$1:$1,0))="",NA(),INDEX(Aux_puntos!$A$2:$OJ$901,532,MATCH($B$2&amp;"|yK",Aux_puntos!$1:$1,0))),NA())</f>
        <v/>
      </c>
      <c r="AE536">
        <f>IFERROR(IF(INDEX(Aux_puntos!$A$2:$OJ$901,532,MATCH($B$2&amp;"|xC",Aux_puntos!$1:$1,0))="",NA(),INDEX(Aux_puntos!$A$2:$OJ$901,532,MATCH($B$2&amp;"|xC",Aux_puntos!$1:$1,0))),NA())</f>
        <v/>
      </c>
      <c r="AF536">
        <f>IFERROR(IF(INDEX(Aux_puntos!$A$2:$OJ$901,532,MATCH($B$2&amp;"|yC",Aux_puntos!$1:$1,0))="",NA(),INDEX(Aux_puntos!$A$2:$OJ$901,532,MATCH($B$2&amp;"|yC",Aux_puntos!$1:$1,0))),NA())</f>
        <v/>
      </c>
      <c r="AG536">
        <f>IFERROR(IF(INDEX(Aux_puntos!$A$2:$OJ$901,532,MATCH($B$2&amp;"|xI",Aux_puntos!$1:$1,0))="",NA(),INDEX(Aux_puntos!$A$2:$OJ$901,532,MATCH($B$2&amp;"|xI",Aux_puntos!$1:$1,0))),NA())</f>
        <v/>
      </c>
      <c r="AH536">
        <f>IFERROR(IF(INDEX(Aux_puntos!$A$2:$OJ$901,532,MATCH($B$2&amp;"|yI",Aux_puntos!$1:$1,0))="",NA(),INDEX(Aux_puntos!$A$2:$OJ$901,532,MATCH($B$2&amp;"|yI",Aux_puntos!$1:$1,0))),NA())</f>
        <v/>
      </c>
      <c r="AI536">
        <f>IFERROR(IF(INDEX(Aux_puntos!$A$2:$OJ$901,532,MATCH($B$2&amp;"|xN",Aux_puntos!$1:$1,0))="",NA(),INDEX(Aux_puntos!$A$2:$OJ$901,532,MATCH($B$2&amp;"|xN",Aux_puntos!$1:$1,0))),NA())</f>
        <v/>
      </c>
      <c r="AJ536">
        <f>IFERROR(IF(INDEX(Aux_puntos!$A$2:$OJ$901,532,MATCH($B$2&amp;"|yN",Aux_puntos!$1:$1,0))="",NA(),INDEX(Aux_puntos!$A$2:$OJ$901,532,MATCH($B$2&amp;"|yN",Aux_puntos!$1:$1,0))),NA())</f>
        <v/>
      </c>
    </row>
    <row r="537">
      <c r="AC537">
        <f>IFERROR(IF(INDEX(Aux_puntos!$A$2:$OJ$901,533,MATCH($B$2&amp;"|xK",Aux_puntos!$1:$1,0))="",NA(),INDEX(Aux_puntos!$A$2:$OJ$901,533,MATCH($B$2&amp;"|xK",Aux_puntos!$1:$1,0))),NA())</f>
        <v/>
      </c>
      <c r="AD537">
        <f>IFERROR(IF(INDEX(Aux_puntos!$A$2:$OJ$901,533,MATCH($B$2&amp;"|yK",Aux_puntos!$1:$1,0))="",NA(),INDEX(Aux_puntos!$A$2:$OJ$901,533,MATCH($B$2&amp;"|yK",Aux_puntos!$1:$1,0))),NA())</f>
        <v/>
      </c>
      <c r="AE537">
        <f>IFERROR(IF(INDEX(Aux_puntos!$A$2:$OJ$901,533,MATCH($B$2&amp;"|xC",Aux_puntos!$1:$1,0))="",NA(),INDEX(Aux_puntos!$A$2:$OJ$901,533,MATCH($B$2&amp;"|xC",Aux_puntos!$1:$1,0))),NA())</f>
        <v/>
      </c>
      <c r="AF537">
        <f>IFERROR(IF(INDEX(Aux_puntos!$A$2:$OJ$901,533,MATCH($B$2&amp;"|yC",Aux_puntos!$1:$1,0))="",NA(),INDEX(Aux_puntos!$A$2:$OJ$901,533,MATCH($B$2&amp;"|yC",Aux_puntos!$1:$1,0))),NA())</f>
        <v/>
      </c>
      <c r="AG537">
        <f>IFERROR(IF(INDEX(Aux_puntos!$A$2:$OJ$901,533,MATCH($B$2&amp;"|xI",Aux_puntos!$1:$1,0))="",NA(),INDEX(Aux_puntos!$A$2:$OJ$901,533,MATCH($B$2&amp;"|xI",Aux_puntos!$1:$1,0))),NA())</f>
        <v/>
      </c>
      <c r="AH537">
        <f>IFERROR(IF(INDEX(Aux_puntos!$A$2:$OJ$901,533,MATCH($B$2&amp;"|yI",Aux_puntos!$1:$1,0))="",NA(),INDEX(Aux_puntos!$A$2:$OJ$901,533,MATCH($B$2&amp;"|yI",Aux_puntos!$1:$1,0))),NA())</f>
        <v/>
      </c>
      <c r="AI537">
        <f>IFERROR(IF(INDEX(Aux_puntos!$A$2:$OJ$901,533,MATCH($B$2&amp;"|xN",Aux_puntos!$1:$1,0))="",NA(),INDEX(Aux_puntos!$A$2:$OJ$901,533,MATCH($B$2&amp;"|xN",Aux_puntos!$1:$1,0))),NA())</f>
        <v/>
      </c>
      <c r="AJ537">
        <f>IFERROR(IF(INDEX(Aux_puntos!$A$2:$OJ$901,533,MATCH($B$2&amp;"|yN",Aux_puntos!$1:$1,0))="",NA(),INDEX(Aux_puntos!$A$2:$OJ$901,533,MATCH($B$2&amp;"|yN",Aux_puntos!$1:$1,0))),NA())</f>
        <v/>
      </c>
    </row>
    <row r="538">
      <c r="AC538">
        <f>IFERROR(IF(INDEX(Aux_puntos!$A$2:$OJ$901,534,MATCH($B$2&amp;"|xK",Aux_puntos!$1:$1,0))="",NA(),INDEX(Aux_puntos!$A$2:$OJ$901,534,MATCH($B$2&amp;"|xK",Aux_puntos!$1:$1,0))),NA())</f>
        <v/>
      </c>
      <c r="AD538">
        <f>IFERROR(IF(INDEX(Aux_puntos!$A$2:$OJ$901,534,MATCH($B$2&amp;"|yK",Aux_puntos!$1:$1,0))="",NA(),INDEX(Aux_puntos!$A$2:$OJ$901,534,MATCH($B$2&amp;"|yK",Aux_puntos!$1:$1,0))),NA())</f>
        <v/>
      </c>
      <c r="AE538">
        <f>IFERROR(IF(INDEX(Aux_puntos!$A$2:$OJ$901,534,MATCH($B$2&amp;"|xC",Aux_puntos!$1:$1,0))="",NA(),INDEX(Aux_puntos!$A$2:$OJ$901,534,MATCH($B$2&amp;"|xC",Aux_puntos!$1:$1,0))),NA())</f>
        <v/>
      </c>
      <c r="AF538">
        <f>IFERROR(IF(INDEX(Aux_puntos!$A$2:$OJ$901,534,MATCH($B$2&amp;"|yC",Aux_puntos!$1:$1,0))="",NA(),INDEX(Aux_puntos!$A$2:$OJ$901,534,MATCH($B$2&amp;"|yC",Aux_puntos!$1:$1,0))),NA())</f>
        <v/>
      </c>
      <c r="AG538">
        <f>IFERROR(IF(INDEX(Aux_puntos!$A$2:$OJ$901,534,MATCH($B$2&amp;"|xI",Aux_puntos!$1:$1,0))="",NA(),INDEX(Aux_puntos!$A$2:$OJ$901,534,MATCH($B$2&amp;"|xI",Aux_puntos!$1:$1,0))),NA())</f>
        <v/>
      </c>
      <c r="AH538">
        <f>IFERROR(IF(INDEX(Aux_puntos!$A$2:$OJ$901,534,MATCH($B$2&amp;"|yI",Aux_puntos!$1:$1,0))="",NA(),INDEX(Aux_puntos!$A$2:$OJ$901,534,MATCH($B$2&amp;"|yI",Aux_puntos!$1:$1,0))),NA())</f>
        <v/>
      </c>
      <c r="AI538">
        <f>IFERROR(IF(INDEX(Aux_puntos!$A$2:$OJ$901,534,MATCH($B$2&amp;"|xN",Aux_puntos!$1:$1,0))="",NA(),INDEX(Aux_puntos!$A$2:$OJ$901,534,MATCH($B$2&amp;"|xN",Aux_puntos!$1:$1,0))),NA())</f>
        <v/>
      </c>
      <c r="AJ538">
        <f>IFERROR(IF(INDEX(Aux_puntos!$A$2:$OJ$901,534,MATCH($B$2&amp;"|yN",Aux_puntos!$1:$1,0))="",NA(),INDEX(Aux_puntos!$A$2:$OJ$901,534,MATCH($B$2&amp;"|yN",Aux_puntos!$1:$1,0))),NA())</f>
        <v/>
      </c>
    </row>
    <row r="539">
      <c r="AC539">
        <f>IFERROR(IF(INDEX(Aux_puntos!$A$2:$OJ$901,535,MATCH($B$2&amp;"|xK",Aux_puntos!$1:$1,0))="",NA(),INDEX(Aux_puntos!$A$2:$OJ$901,535,MATCH($B$2&amp;"|xK",Aux_puntos!$1:$1,0))),NA())</f>
        <v/>
      </c>
      <c r="AD539">
        <f>IFERROR(IF(INDEX(Aux_puntos!$A$2:$OJ$901,535,MATCH($B$2&amp;"|yK",Aux_puntos!$1:$1,0))="",NA(),INDEX(Aux_puntos!$A$2:$OJ$901,535,MATCH($B$2&amp;"|yK",Aux_puntos!$1:$1,0))),NA())</f>
        <v/>
      </c>
      <c r="AE539">
        <f>IFERROR(IF(INDEX(Aux_puntos!$A$2:$OJ$901,535,MATCH($B$2&amp;"|xC",Aux_puntos!$1:$1,0))="",NA(),INDEX(Aux_puntos!$A$2:$OJ$901,535,MATCH($B$2&amp;"|xC",Aux_puntos!$1:$1,0))),NA())</f>
        <v/>
      </c>
      <c r="AF539">
        <f>IFERROR(IF(INDEX(Aux_puntos!$A$2:$OJ$901,535,MATCH($B$2&amp;"|yC",Aux_puntos!$1:$1,0))="",NA(),INDEX(Aux_puntos!$A$2:$OJ$901,535,MATCH($B$2&amp;"|yC",Aux_puntos!$1:$1,0))),NA())</f>
        <v/>
      </c>
      <c r="AG539">
        <f>IFERROR(IF(INDEX(Aux_puntos!$A$2:$OJ$901,535,MATCH($B$2&amp;"|xI",Aux_puntos!$1:$1,0))="",NA(),INDEX(Aux_puntos!$A$2:$OJ$901,535,MATCH($B$2&amp;"|xI",Aux_puntos!$1:$1,0))),NA())</f>
        <v/>
      </c>
      <c r="AH539">
        <f>IFERROR(IF(INDEX(Aux_puntos!$A$2:$OJ$901,535,MATCH($B$2&amp;"|yI",Aux_puntos!$1:$1,0))="",NA(),INDEX(Aux_puntos!$A$2:$OJ$901,535,MATCH($B$2&amp;"|yI",Aux_puntos!$1:$1,0))),NA())</f>
        <v/>
      </c>
      <c r="AI539">
        <f>IFERROR(IF(INDEX(Aux_puntos!$A$2:$OJ$901,535,MATCH($B$2&amp;"|xN",Aux_puntos!$1:$1,0))="",NA(),INDEX(Aux_puntos!$A$2:$OJ$901,535,MATCH($B$2&amp;"|xN",Aux_puntos!$1:$1,0))),NA())</f>
        <v/>
      </c>
      <c r="AJ539">
        <f>IFERROR(IF(INDEX(Aux_puntos!$A$2:$OJ$901,535,MATCH($B$2&amp;"|yN",Aux_puntos!$1:$1,0))="",NA(),INDEX(Aux_puntos!$A$2:$OJ$901,535,MATCH($B$2&amp;"|yN",Aux_puntos!$1:$1,0))),NA())</f>
        <v/>
      </c>
    </row>
    <row r="540">
      <c r="AC540">
        <f>IFERROR(IF(INDEX(Aux_puntos!$A$2:$OJ$901,536,MATCH($B$2&amp;"|xK",Aux_puntos!$1:$1,0))="",NA(),INDEX(Aux_puntos!$A$2:$OJ$901,536,MATCH($B$2&amp;"|xK",Aux_puntos!$1:$1,0))),NA())</f>
        <v/>
      </c>
      <c r="AD540">
        <f>IFERROR(IF(INDEX(Aux_puntos!$A$2:$OJ$901,536,MATCH($B$2&amp;"|yK",Aux_puntos!$1:$1,0))="",NA(),INDEX(Aux_puntos!$A$2:$OJ$901,536,MATCH($B$2&amp;"|yK",Aux_puntos!$1:$1,0))),NA())</f>
        <v/>
      </c>
      <c r="AE540">
        <f>IFERROR(IF(INDEX(Aux_puntos!$A$2:$OJ$901,536,MATCH($B$2&amp;"|xC",Aux_puntos!$1:$1,0))="",NA(),INDEX(Aux_puntos!$A$2:$OJ$901,536,MATCH($B$2&amp;"|xC",Aux_puntos!$1:$1,0))),NA())</f>
        <v/>
      </c>
      <c r="AF540">
        <f>IFERROR(IF(INDEX(Aux_puntos!$A$2:$OJ$901,536,MATCH($B$2&amp;"|yC",Aux_puntos!$1:$1,0))="",NA(),INDEX(Aux_puntos!$A$2:$OJ$901,536,MATCH($B$2&amp;"|yC",Aux_puntos!$1:$1,0))),NA())</f>
        <v/>
      </c>
      <c r="AG540">
        <f>IFERROR(IF(INDEX(Aux_puntos!$A$2:$OJ$901,536,MATCH($B$2&amp;"|xI",Aux_puntos!$1:$1,0))="",NA(),INDEX(Aux_puntos!$A$2:$OJ$901,536,MATCH($B$2&amp;"|xI",Aux_puntos!$1:$1,0))),NA())</f>
        <v/>
      </c>
      <c r="AH540">
        <f>IFERROR(IF(INDEX(Aux_puntos!$A$2:$OJ$901,536,MATCH($B$2&amp;"|yI",Aux_puntos!$1:$1,0))="",NA(),INDEX(Aux_puntos!$A$2:$OJ$901,536,MATCH($B$2&amp;"|yI",Aux_puntos!$1:$1,0))),NA())</f>
        <v/>
      </c>
      <c r="AI540">
        <f>IFERROR(IF(INDEX(Aux_puntos!$A$2:$OJ$901,536,MATCH($B$2&amp;"|xN",Aux_puntos!$1:$1,0))="",NA(),INDEX(Aux_puntos!$A$2:$OJ$901,536,MATCH($B$2&amp;"|xN",Aux_puntos!$1:$1,0))),NA())</f>
        <v/>
      </c>
      <c r="AJ540">
        <f>IFERROR(IF(INDEX(Aux_puntos!$A$2:$OJ$901,536,MATCH($B$2&amp;"|yN",Aux_puntos!$1:$1,0))="",NA(),INDEX(Aux_puntos!$A$2:$OJ$901,536,MATCH($B$2&amp;"|yN",Aux_puntos!$1:$1,0))),NA())</f>
        <v/>
      </c>
    </row>
    <row r="541">
      <c r="AC541">
        <f>IFERROR(IF(INDEX(Aux_puntos!$A$2:$OJ$901,537,MATCH($B$2&amp;"|xK",Aux_puntos!$1:$1,0))="",NA(),INDEX(Aux_puntos!$A$2:$OJ$901,537,MATCH($B$2&amp;"|xK",Aux_puntos!$1:$1,0))),NA())</f>
        <v/>
      </c>
      <c r="AD541">
        <f>IFERROR(IF(INDEX(Aux_puntos!$A$2:$OJ$901,537,MATCH($B$2&amp;"|yK",Aux_puntos!$1:$1,0))="",NA(),INDEX(Aux_puntos!$A$2:$OJ$901,537,MATCH($B$2&amp;"|yK",Aux_puntos!$1:$1,0))),NA())</f>
        <v/>
      </c>
      <c r="AE541">
        <f>IFERROR(IF(INDEX(Aux_puntos!$A$2:$OJ$901,537,MATCH($B$2&amp;"|xC",Aux_puntos!$1:$1,0))="",NA(),INDEX(Aux_puntos!$A$2:$OJ$901,537,MATCH($B$2&amp;"|xC",Aux_puntos!$1:$1,0))),NA())</f>
        <v/>
      </c>
      <c r="AF541">
        <f>IFERROR(IF(INDEX(Aux_puntos!$A$2:$OJ$901,537,MATCH($B$2&amp;"|yC",Aux_puntos!$1:$1,0))="",NA(),INDEX(Aux_puntos!$A$2:$OJ$901,537,MATCH($B$2&amp;"|yC",Aux_puntos!$1:$1,0))),NA())</f>
        <v/>
      </c>
      <c r="AG541">
        <f>IFERROR(IF(INDEX(Aux_puntos!$A$2:$OJ$901,537,MATCH($B$2&amp;"|xI",Aux_puntos!$1:$1,0))="",NA(),INDEX(Aux_puntos!$A$2:$OJ$901,537,MATCH($B$2&amp;"|xI",Aux_puntos!$1:$1,0))),NA())</f>
        <v/>
      </c>
      <c r="AH541">
        <f>IFERROR(IF(INDEX(Aux_puntos!$A$2:$OJ$901,537,MATCH($B$2&amp;"|yI",Aux_puntos!$1:$1,0))="",NA(),INDEX(Aux_puntos!$A$2:$OJ$901,537,MATCH($B$2&amp;"|yI",Aux_puntos!$1:$1,0))),NA())</f>
        <v/>
      </c>
      <c r="AI541">
        <f>IFERROR(IF(INDEX(Aux_puntos!$A$2:$OJ$901,537,MATCH($B$2&amp;"|xN",Aux_puntos!$1:$1,0))="",NA(),INDEX(Aux_puntos!$A$2:$OJ$901,537,MATCH($B$2&amp;"|xN",Aux_puntos!$1:$1,0))),NA())</f>
        <v/>
      </c>
      <c r="AJ541">
        <f>IFERROR(IF(INDEX(Aux_puntos!$A$2:$OJ$901,537,MATCH($B$2&amp;"|yN",Aux_puntos!$1:$1,0))="",NA(),INDEX(Aux_puntos!$A$2:$OJ$901,537,MATCH($B$2&amp;"|yN",Aux_puntos!$1:$1,0))),NA())</f>
        <v/>
      </c>
    </row>
    <row r="542">
      <c r="AC542">
        <f>IFERROR(IF(INDEX(Aux_puntos!$A$2:$OJ$901,538,MATCH($B$2&amp;"|xK",Aux_puntos!$1:$1,0))="",NA(),INDEX(Aux_puntos!$A$2:$OJ$901,538,MATCH($B$2&amp;"|xK",Aux_puntos!$1:$1,0))),NA())</f>
        <v/>
      </c>
      <c r="AD542">
        <f>IFERROR(IF(INDEX(Aux_puntos!$A$2:$OJ$901,538,MATCH($B$2&amp;"|yK",Aux_puntos!$1:$1,0))="",NA(),INDEX(Aux_puntos!$A$2:$OJ$901,538,MATCH($B$2&amp;"|yK",Aux_puntos!$1:$1,0))),NA())</f>
        <v/>
      </c>
      <c r="AE542">
        <f>IFERROR(IF(INDEX(Aux_puntos!$A$2:$OJ$901,538,MATCH($B$2&amp;"|xC",Aux_puntos!$1:$1,0))="",NA(),INDEX(Aux_puntos!$A$2:$OJ$901,538,MATCH($B$2&amp;"|xC",Aux_puntos!$1:$1,0))),NA())</f>
        <v/>
      </c>
      <c r="AF542">
        <f>IFERROR(IF(INDEX(Aux_puntos!$A$2:$OJ$901,538,MATCH($B$2&amp;"|yC",Aux_puntos!$1:$1,0))="",NA(),INDEX(Aux_puntos!$A$2:$OJ$901,538,MATCH($B$2&amp;"|yC",Aux_puntos!$1:$1,0))),NA())</f>
        <v/>
      </c>
      <c r="AG542">
        <f>IFERROR(IF(INDEX(Aux_puntos!$A$2:$OJ$901,538,MATCH($B$2&amp;"|xI",Aux_puntos!$1:$1,0))="",NA(),INDEX(Aux_puntos!$A$2:$OJ$901,538,MATCH($B$2&amp;"|xI",Aux_puntos!$1:$1,0))),NA())</f>
        <v/>
      </c>
      <c r="AH542">
        <f>IFERROR(IF(INDEX(Aux_puntos!$A$2:$OJ$901,538,MATCH($B$2&amp;"|yI",Aux_puntos!$1:$1,0))="",NA(),INDEX(Aux_puntos!$A$2:$OJ$901,538,MATCH($B$2&amp;"|yI",Aux_puntos!$1:$1,0))),NA())</f>
        <v/>
      </c>
      <c r="AI542">
        <f>IFERROR(IF(INDEX(Aux_puntos!$A$2:$OJ$901,538,MATCH($B$2&amp;"|xN",Aux_puntos!$1:$1,0))="",NA(),INDEX(Aux_puntos!$A$2:$OJ$901,538,MATCH($B$2&amp;"|xN",Aux_puntos!$1:$1,0))),NA())</f>
        <v/>
      </c>
      <c r="AJ542">
        <f>IFERROR(IF(INDEX(Aux_puntos!$A$2:$OJ$901,538,MATCH($B$2&amp;"|yN",Aux_puntos!$1:$1,0))="",NA(),INDEX(Aux_puntos!$A$2:$OJ$901,538,MATCH($B$2&amp;"|yN",Aux_puntos!$1:$1,0))),NA())</f>
        <v/>
      </c>
    </row>
    <row r="543">
      <c r="AC543">
        <f>IFERROR(IF(INDEX(Aux_puntos!$A$2:$OJ$901,539,MATCH($B$2&amp;"|xK",Aux_puntos!$1:$1,0))="",NA(),INDEX(Aux_puntos!$A$2:$OJ$901,539,MATCH($B$2&amp;"|xK",Aux_puntos!$1:$1,0))),NA())</f>
        <v/>
      </c>
      <c r="AD543">
        <f>IFERROR(IF(INDEX(Aux_puntos!$A$2:$OJ$901,539,MATCH($B$2&amp;"|yK",Aux_puntos!$1:$1,0))="",NA(),INDEX(Aux_puntos!$A$2:$OJ$901,539,MATCH($B$2&amp;"|yK",Aux_puntos!$1:$1,0))),NA())</f>
        <v/>
      </c>
      <c r="AE543">
        <f>IFERROR(IF(INDEX(Aux_puntos!$A$2:$OJ$901,539,MATCH($B$2&amp;"|xC",Aux_puntos!$1:$1,0))="",NA(),INDEX(Aux_puntos!$A$2:$OJ$901,539,MATCH($B$2&amp;"|xC",Aux_puntos!$1:$1,0))),NA())</f>
        <v/>
      </c>
      <c r="AF543">
        <f>IFERROR(IF(INDEX(Aux_puntos!$A$2:$OJ$901,539,MATCH($B$2&amp;"|yC",Aux_puntos!$1:$1,0))="",NA(),INDEX(Aux_puntos!$A$2:$OJ$901,539,MATCH($B$2&amp;"|yC",Aux_puntos!$1:$1,0))),NA())</f>
        <v/>
      </c>
      <c r="AG543">
        <f>IFERROR(IF(INDEX(Aux_puntos!$A$2:$OJ$901,539,MATCH($B$2&amp;"|xI",Aux_puntos!$1:$1,0))="",NA(),INDEX(Aux_puntos!$A$2:$OJ$901,539,MATCH($B$2&amp;"|xI",Aux_puntos!$1:$1,0))),NA())</f>
        <v/>
      </c>
      <c r="AH543">
        <f>IFERROR(IF(INDEX(Aux_puntos!$A$2:$OJ$901,539,MATCH($B$2&amp;"|yI",Aux_puntos!$1:$1,0))="",NA(),INDEX(Aux_puntos!$A$2:$OJ$901,539,MATCH($B$2&amp;"|yI",Aux_puntos!$1:$1,0))),NA())</f>
        <v/>
      </c>
      <c r="AI543">
        <f>IFERROR(IF(INDEX(Aux_puntos!$A$2:$OJ$901,539,MATCH($B$2&amp;"|xN",Aux_puntos!$1:$1,0))="",NA(),INDEX(Aux_puntos!$A$2:$OJ$901,539,MATCH($B$2&amp;"|xN",Aux_puntos!$1:$1,0))),NA())</f>
        <v/>
      </c>
      <c r="AJ543">
        <f>IFERROR(IF(INDEX(Aux_puntos!$A$2:$OJ$901,539,MATCH($B$2&amp;"|yN",Aux_puntos!$1:$1,0))="",NA(),INDEX(Aux_puntos!$A$2:$OJ$901,539,MATCH($B$2&amp;"|yN",Aux_puntos!$1:$1,0))),NA())</f>
        <v/>
      </c>
    </row>
    <row r="544">
      <c r="AC544">
        <f>IFERROR(IF(INDEX(Aux_puntos!$A$2:$OJ$901,540,MATCH($B$2&amp;"|xK",Aux_puntos!$1:$1,0))="",NA(),INDEX(Aux_puntos!$A$2:$OJ$901,540,MATCH($B$2&amp;"|xK",Aux_puntos!$1:$1,0))),NA())</f>
        <v/>
      </c>
      <c r="AD544">
        <f>IFERROR(IF(INDEX(Aux_puntos!$A$2:$OJ$901,540,MATCH($B$2&amp;"|yK",Aux_puntos!$1:$1,0))="",NA(),INDEX(Aux_puntos!$A$2:$OJ$901,540,MATCH($B$2&amp;"|yK",Aux_puntos!$1:$1,0))),NA())</f>
        <v/>
      </c>
      <c r="AE544">
        <f>IFERROR(IF(INDEX(Aux_puntos!$A$2:$OJ$901,540,MATCH($B$2&amp;"|xC",Aux_puntos!$1:$1,0))="",NA(),INDEX(Aux_puntos!$A$2:$OJ$901,540,MATCH($B$2&amp;"|xC",Aux_puntos!$1:$1,0))),NA())</f>
        <v/>
      </c>
      <c r="AF544">
        <f>IFERROR(IF(INDEX(Aux_puntos!$A$2:$OJ$901,540,MATCH($B$2&amp;"|yC",Aux_puntos!$1:$1,0))="",NA(),INDEX(Aux_puntos!$A$2:$OJ$901,540,MATCH($B$2&amp;"|yC",Aux_puntos!$1:$1,0))),NA())</f>
        <v/>
      </c>
      <c r="AG544">
        <f>IFERROR(IF(INDEX(Aux_puntos!$A$2:$OJ$901,540,MATCH($B$2&amp;"|xI",Aux_puntos!$1:$1,0))="",NA(),INDEX(Aux_puntos!$A$2:$OJ$901,540,MATCH($B$2&amp;"|xI",Aux_puntos!$1:$1,0))),NA())</f>
        <v/>
      </c>
      <c r="AH544">
        <f>IFERROR(IF(INDEX(Aux_puntos!$A$2:$OJ$901,540,MATCH($B$2&amp;"|yI",Aux_puntos!$1:$1,0))="",NA(),INDEX(Aux_puntos!$A$2:$OJ$901,540,MATCH($B$2&amp;"|yI",Aux_puntos!$1:$1,0))),NA())</f>
        <v/>
      </c>
      <c r="AI544">
        <f>IFERROR(IF(INDEX(Aux_puntos!$A$2:$OJ$901,540,MATCH($B$2&amp;"|xN",Aux_puntos!$1:$1,0))="",NA(),INDEX(Aux_puntos!$A$2:$OJ$901,540,MATCH($B$2&amp;"|xN",Aux_puntos!$1:$1,0))),NA())</f>
        <v/>
      </c>
      <c r="AJ544">
        <f>IFERROR(IF(INDEX(Aux_puntos!$A$2:$OJ$901,540,MATCH($B$2&amp;"|yN",Aux_puntos!$1:$1,0))="",NA(),INDEX(Aux_puntos!$A$2:$OJ$901,540,MATCH($B$2&amp;"|yN",Aux_puntos!$1:$1,0))),NA())</f>
        <v/>
      </c>
    </row>
    <row r="545">
      <c r="AC545">
        <f>IFERROR(IF(INDEX(Aux_puntos!$A$2:$OJ$901,541,MATCH($B$2&amp;"|xK",Aux_puntos!$1:$1,0))="",NA(),INDEX(Aux_puntos!$A$2:$OJ$901,541,MATCH($B$2&amp;"|xK",Aux_puntos!$1:$1,0))),NA())</f>
        <v/>
      </c>
      <c r="AD545">
        <f>IFERROR(IF(INDEX(Aux_puntos!$A$2:$OJ$901,541,MATCH($B$2&amp;"|yK",Aux_puntos!$1:$1,0))="",NA(),INDEX(Aux_puntos!$A$2:$OJ$901,541,MATCH($B$2&amp;"|yK",Aux_puntos!$1:$1,0))),NA())</f>
        <v/>
      </c>
      <c r="AE545">
        <f>IFERROR(IF(INDEX(Aux_puntos!$A$2:$OJ$901,541,MATCH($B$2&amp;"|xC",Aux_puntos!$1:$1,0))="",NA(),INDEX(Aux_puntos!$A$2:$OJ$901,541,MATCH($B$2&amp;"|xC",Aux_puntos!$1:$1,0))),NA())</f>
        <v/>
      </c>
      <c r="AF545">
        <f>IFERROR(IF(INDEX(Aux_puntos!$A$2:$OJ$901,541,MATCH($B$2&amp;"|yC",Aux_puntos!$1:$1,0))="",NA(),INDEX(Aux_puntos!$A$2:$OJ$901,541,MATCH($B$2&amp;"|yC",Aux_puntos!$1:$1,0))),NA())</f>
        <v/>
      </c>
      <c r="AG545">
        <f>IFERROR(IF(INDEX(Aux_puntos!$A$2:$OJ$901,541,MATCH($B$2&amp;"|xI",Aux_puntos!$1:$1,0))="",NA(),INDEX(Aux_puntos!$A$2:$OJ$901,541,MATCH($B$2&amp;"|xI",Aux_puntos!$1:$1,0))),NA())</f>
        <v/>
      </c>
      <c r="AH545">
        <f>IFERROR(IF(INDEX(Aux_puntos!$A$2:$OJ$901,541,MATCH($B$2&amp;"|yI",Aux_puntos!$1:$1,0))="",NA(),INDEX(Aux_puntos!$A$2:$OJ$901,541,MATCH($B$2&amp;"|yI",Aux_puntos!$1:$1,0))),NA())</f>
        <v/>
      </c>
      <c r="AI545">
        <f>IFERROR(IF(INDEX(Aux_puntos!$A$2:$OJ$901,541,MATCH($B$2&amp;"|xN",Aux_puntos!$1:$1,0))="",NA(),INDEX(Aux_puntos!$A$2:$OJ$901,541,MATCH($B$2&amp;"|xN",Aux_puntos!$1:$1,0))),NA())</f>
        <v/>
      </c>
      <c r="AJ545">
        <f>IFERROR(IF(INDEX(Aux_puntos!$A$2:$OJ$901,541,MATCH($B$2&amp;"|yN",Aux_puntos!$1:$1,0))="",NA(),INDEX(Aux_puntos!$A$2:$OJ$901,541,MATCH($B$2&amp;"|yN",Aux_puntos!$1:$1,0))),NA())</f>
        <v/>
      </c>
    </row>
    <row r="546">
      <c r="AC546">
        <f>IFERROR(IF(INDEX(Aux_puntos!$A$2:$OJ$901,542,MATCH($B$2&amp;"|xK",Aux_puntos!$1:$1,0))="",NA(),INDEX(Aux_puntos!$A$2:$OJ$901,542,MATCH($B$2&amp;"|xK",Aux_puntos!$1:$1,0))),NA())</f>
        <v/>
      </c>
      <c r="AD546">
        <f>IFERROR(IF(INDEX(Aux_puntos!$A$2:$OJ$901,542,MATCH($B$2&amp;"|yK",Aux_puntos!$1:$1,0))="",NA(),INDEX(Aux_puntos!$A$2:$OJ$901,542,MATCH($B$2&amp;"|yK",Aux_puntos!$1:$1,0))),NA())</f>
        <v/>
      </c>
      <c r="AE546">
        <f>IFERROR(IF(INDEX(Aux_puntos!$A$2:$OJ$901,542,MATCH($B$2&amp;"|xC",Aux_puntos!$1:$1,0))="",NA(),INDEX(Aux_puntos!$A$2:$OJ$901,542,MATCH($B$2&amp;"|xC",Aux_puntos!$1:$1,0))),NA())</f>
        <v/>
      </c>
      <c r="AF546">
        <f>IFERROR(IF(INDEX(Aux_puntos!$A$2:$OJ$901,542,MATCH($B$2&amp;"|yC",Aux_puntos!$1:$1,0))="",NA(),INDEX(Aux_puntos!$A$2:$OJ$901,542,MATCH($B$2&amp;"|yC",Aux_puntos!$1:$1,0))),NA())</f>
        <v/>
      </c>
      <c r="AG546">
        <f>IFERROR(IF(INDEX(Aux_puntos!$A$2:$OJ$901,542,MATCH($B$2&amp;"|xI",Aux_puntos!$1:$1,0))="",NA(),INDEX(Aux_puntos!$A$2:$OJ$901,542,MATCH($B$2&amp;"|xI",Aux_puntos!$1:$1,0))),NA())</f>
        <v/>
      </c>
      <c r="AH546">
        <f>IFERROR(IF(INDEX(Aux_puntos!$A$2:$OJ$901,542,MATCH($B$2&amp;"|yI",Aux_puntos!$1:$1,0))="",NA(),INDEX(Aux_puntos!$A$2:$OJ$901,542,MATCH($B$2&amp;"|yI",Aux_puntos!$1:$1,0))),NA())</f>
        <v/>
      </c>
      <c r="AI546">
        <f>IFERROR(IF(INDEX(Aux_puntos!$A$2:$OJ$901,542,MATCH($B$2&amp;"|xN",Aux_puntos!$1:$1,0))="",NA(),INDEX(Aux_puntos!$A$2:$OJ$901,542,MATCH($B$2&amp;"|xN",Aux_puntos!$1:$1,0))),NA())</f>
        <v/>
      </c>
      <c r="AJ546">
        <f>IFERROR(IF(INDEX(Aux_puntos!$A$2:$OJ$901,542,MATCH($B$2&amp;"|yN",Aux_puntos!$1:$1,0))="",NA(),INDEX(Aux_puntos!$A$2:$OJ$901,542,MATCH($B$2&amp;"|yN",Aux_puntos!$1:$1,0))),NA())</f>
        <v/>
      </c>
    </row>
    <row r="547">
      <c r="AC547">
        <f>IFERROR(IF(INDEX(Aux_puntos!$A$2:$OJ$901,543,MATCH($B$2&amp;"|xK",Aux_puntos!$1:$1,0))="",NA(),INDEX(Aux_puntos!$A$2:$OJ$901,543,MATCH($B$2&amp;"|xK",Aux_puntos!$1:$1,0))),NA())</f>
        <v/>
      </c>
      <c r="AD547">
        <f>IFERROR(IF(INDEX(Aux_puntos!$A$2:$OJ$901,543,MATCH($B$2&amp;"|yK",Aux_puntos!$1:$1,0))="",NA(),INDEX(Aux_puntos!$A$2:$OJ$901,543,MATCH($B$2&amp;"|yK",Aux_puntos!$1:$1,0))),NA())</f>
        <v/>
      </c>
      <c r="AE547">
        <f>IFERROR(IF(INDEX(Aux_puntos!$A$2:$OJ$901,543,MATCH($B$2&amp;"|xC",Aux_puntos!$1:$1,0))="",NA(),INDEX(Aux_puntos!$A$2:$OJ$901,543,MATCH($B$2&amp;"|xC",Aux_puntos!$1:$1,0))),NA())</f>
        <v/>
      </c>
      <c r="AF547">
        <f>IFERROR(IF(INDEX(Aux_puntos!$A$2:$OJ$901,543,MATCH($B$2&amp;"|yC",Aux_puntos!$1:$1,0))="",NA(),INDEX(Aux_puntos!$A$2:$OJ$901,543,MATCH($B$2&amp;"|yC",Aux_puntos!$1:$1,0))),NA())</f>
        <v/>
      </c>
      <c r="AG547">
        <f>IFERROR(IF(INDEX(Aux_puntos!$A$2:$OJ$901,543,MATCH($B$2&amp;"|xI",Aux_puntos!$1:$1,0))="",NA(),INDEX(Aux_puntos!$A$2:$OJ$901,543,MATCH($B$2&amp;"|xI",Aux_puntos!$1:$1,0))),NA())</f>
        <v/>
      </c>
      <c r="AH547">
        <f>IFERROR(IF(INDEX(Aux_puntos!$A$2:$OJ$901,543,MATCH($B$2&amp;"|yI",Aux_puntos!$1:$1,0))="",NA(),INDEX(Aux_puntos!$A$2:$OJ$901,543,MATCH($B$2&amp;"|yI",Aux_puntos!$1:$1,0))),NA())</f>
        <v/>
      </c>
      <c r="AI547">
        <f>IFERROR(IF(INDEX(Aux_puntos!$A$2:$OJ$901,543,MATCH($B$2&amp;"|xN",Aux_puntos!$1:$1,0))="",NA(),INDEX(Aux_puntos!$A$2:$OJ$901,543,MATCH($B$2&amp;"|xN",Aux_puntos!$1:$1,0))),NA())</f>
        <v/>
      </c>
      <c r="AJ547">
        <f>IFERROR(IF(INDEX(Aux_puntos!$A$2:$OJ$901,543,MATCH($B$2&amp;"|yN",Aux_puntos!$1:$1,0))="",NA(),INDEX(Aux_puntos!$A$2:$OJ$901,543,MATCH($B$2&amp;"|yN",Aux_puntos!$1:$1,0))),NA())</f>
        <v/>
      </c>
    </row>
    <row r="548">
      <c r="AC548">
        <f>IFERROR(IF(INDEX(Aux_puntos!$A$2:$OJ$901,544,MATCH($B$2&amp;"|xK",Aux_puntos!$1:$1,0))="",NA(),INDEX(Aux_puntos!$A$2:$OJ$901,544,MATCH($B$2&amp;"|xK",Aux_puntos!$1:$1,0))),NA())</f>
        <v/>
      </c>
      <c r="AD548">
        <f>IFERROR(IF(INDEX(Aux_puntos!$A$2:$OJ$901,544,MATCH($B$2&amp;"|yK",Aux_puntos!$1:$1,0))="",NA(),INDEX(Aux_puntos!$A$2:$OJ$901,544,MATCH($B$2&amp;"|yK",Aux_puntos!$1:$1,0))),NA())</f>
        <v/>
      </c>
      <c r="AE548">
        <f>IFERROR(IF(INDEX(Aux_puntos!$A$2:$OJ$901,544,MATCH($B$2&amp;"|xC",Aux_puntos!$1:$1,0))="",NA(),INDEX(Aux_puntos!$A$2:$OJ$901,544,MATCH($B$2&amp;"|xC",Aux_puntos!$1:$1,0))),NA())</f>
        <v/>
      </c>
      <c r="AF548">
        <f>IFERROR(IF(INDEX(Aux_puntos!$A$2:$OJ$901,544,MATCH($B$2&amp;"|yC",Aux_puntos!$1:$1,0))="",NA(),INDEX(Aux_puntos!$A$2:$OJ$901,544,MATCH($B$2&amp;"|yC",Aux_puntos!$1:$1,0))),NA())</f>
        <v/>
      </c>
      <c r="AG548">
        <f>IFERROR(IF(INDEX(Aux_puntos!$A$2:$OJ$901,544,MATCH($B$2&amp;"|xI",Aux_puntos!$1:$1,0))="",NA(),INDEX(Aux_puntos!$A$2:$OJ$901,544,MATCH($B$2&amp;"|xI",Aux_puntos!$1:$1,0))),NA())</f>
        <v/>
      </c>
      <c r="AH548">
        <f>IFERROR(IF(INDEX(Aux_puntos!$A$2:$OJ$901,544,MATCH($B$2&amp;"|yI",Aux_puntos!$1:$1,0))="",NA(),INDEX(Aux_puntos!$A$2:$OJ$901,544,MATCH($B$2&amp;"|yI",Aux_puntos!$1:$1,0))),NA())</f>
        <v/>
      </c>
      <c r="AI548">
        <f>IFERROR(IF(INDEX(Aux_puntos!$A$2:$OJ$901,544,MATCH($B$2&amp;"|xN",Aux_puntos!$1:$1,0))="",NA(),INDEX(Aux_puntos!$A$2:$OJ$901,544,MATCH($B$2&amp;"|xN",Aux_puntos!$1:$1,0))),NA())</f>
        <v/>
      </c>
      <c r="AJ548">
        <f>IFERROR(IF(INDEX(Aux_puntos!$A$2:$OJ$901,544,MATCH($B$2&amp;"|yN",Aux_puntos!$1:$1,0))="",NA(),INDEX(Aux_puntos!$A$2:$OJ$901,544,MATCH($B$2&amp;"|yN",Aux_puntos!$1:$1,0))),NA())</f>
        <v/>
      </c>
    </row>
    <row r="549">
      <c r="AC549">
        <f>IFERROR(IF(INDEX(Aux_puntos!$A$2:$OJ$901,545,MATCH($B$2&amp;"|xK",Aux_puntos!$1:$1,0))="",NA(),INDEX(Aux_puntos!$A$2:$OJ$901,545,MATCH($B$2&amp;"|xK",Aux_puntos!$1:$1,0))),NA())</f>
        <v/>
      </c>
      <c r="AD549">
        <f>IFERROR(IF(INDEX(Aux_puntos!$A$2:$OJ$901,545,MATCH($B$2&amp;"|yK",Aux_puntos!$1:$1,0))="",NA(),INDEX(Aux_puntos!$A$2:$OJ$901,545,MATCH($B$2&amp;"|yK",Aux_puntos!$1:$1,0))),NA())</f>
        <v/>
      </c>
      <c r="AE549">
        <f>IFERROR(IF(INDEX(Aux_puntos!$A$2:$OJ$901,545,MATCH($B$2&amp;"|xC",Aux_puntos!$1:$1,0))="",NA(),INDEX(Aux_puntos!$A$2:$OJ$901,545,MATCH($B$2&amp;"|xC",Aux_puntos!$1:$1,0))),NA())</f>
        <v/>
      </c>
      <c r="AF549">
        <f>IFERROR(IF(INDEX(Aux_puntos!$A$2:$OJ$901,545,MATCH($B$2&amp;"|yC",Aux_puntos!$1:$1,0))="",NA(),INDEX(Aux_puntos!$A$2:$OJ$901,545,MATCH($B$2&amp;"|yC",Aux_puntos!$1:$1,0))),NA())</f>
        <v/>
      </c>
      <c r="AG549">
        <f>IFERROR(IF(INDEX(Aux_puntos!$A$2:$OJ$901,545,MATCH($B$2&amp;"|xI",Aux_puntos!$1:$1,0))="",NA(),INDEX(Aux_puntos!$A$2:$OJ$901,545,MATCH($B$2&amp;"|xI",Aux_puntos!$1:$1,0))),NA())</f>
        <v/>
      </c>
      <c r="AH549">
        <f>IFERROR(IF(INDEX(Aux_puntos!$A$2:$OJ$901,545,MATCH($B$2&amp;"|yI",Aux_puntos!$1:$1,0))="",NA(),INDEX(Aux_puntos!$A$2:$OJ$901,545,MATCH($B$2&amp;"|yI",Aux_puntos!$1:$1,0))),NA())</f>
        <v/>
      </c>
      <c r="AI549">
        <f>IFERROR(IF(INDEX(Aux_puntos!$A$2:$OJ$901,545,MATCH($B$2&amp;"|xN",Aux_puntos!$1:$1,0))="",NA(),INDEX(Aux_puntos!$A$2:$OJ$901,545,MATCH($B$2&amp;"|xN",Aux_puntos!$1:$1,0))),NA())</f>
        <v/>
      </c>
      <c r="AJ549">
        <f>IFERROR(IF(INDEX(Aux_puntos!$A$2:$OJ$901,545,MATCH($B$2&amp;"|yN",Aux_puntos!$1:$1,0))="",NA(),INDEX(Aux_puntos!$A$2:$OJ$901,545,MATCH($B$2&amp;"|yN",Aux_puntos!$1:$1,0))),NA())</f>
        <v/>
      </c>
    </row>
    <row r="550">
      <c r="AC550">
        <f>IFERROR(IF(INDEX(Aux_puntos!$A$2:$OJ$901,546,MATCH($B$2&amp;"|xK",Aux_puntos!$1:$1,0))="",NA(),INDEX(Aux_puntos!$A$2:$OJ$901,546,MATCH($B$2&amp;"|xK",Aux_puntos!$1:$1,0))),NA())</f>
        <v/>
      </c>
      <c r="AD550">
        <f>IFERROR(IF(INDEX(Aux_puntos!$A$2:$OJ$901,546,MATCH($B$2&amp;"|yK",Aux_puntos!$1:$1,0))="",NA(),INDEX(Aux_puntos!$A$2:$OJ$901,546,MATCH($B$2&amp;"|yK",Aux_puntos!$1:$1,0))),NA())</f>
        <v/>
      </c>
      <c r="AE550">
        <f>IFERROR(IF(INDEX(Aux_puntos!$A$2:$OJ$901,546,MATCH($B$2&amp;"|xC",Aux_puntos!$1:$1,0))="",NA(),INDEX(Aux_puntos!$A$2:$OJ$901,546,MATCH($B$2&amp;"|xC",Aux_puntos!$1:$1,0))),NA())</f>
        <v/>
      </c>
      <c r="AF550">
        <f>IFERROR(IF(INDEX(Aux_puntos!$A$2:$OJ$901,546,MATCH($B$2&amp;"|yC",Aux_puntos!$1:$1,0))="",NA(),INDEX(Aux_puntos!$A$2:$OJ$901,546,MATCH($B$2&amp;"|yC",Aux_puntos!$1:$1,0))),NA())</f>
        <v/>
      </c>
      <c r="AG550">
        <f>IFERROR(IF(INDEX(Aux_puntos!$A$2:$OJ$901,546,MATCH($B$2&amp;"|xI",Aux_puntos!$1:$1,0))="",NA(),INDEX(Aux_puntos!$A$2:$OJ$901,546,MATCH($B$2&amp;"|xI",Aux_puntos!$1:$1,0))),NA())</f>
        <v/>
      </c>
      <c r="AH550">
        <f>IFERROR(IF(INDEX(Aux_puntos!$A$2:$OJ$901,546,MATCH($B$2&amp;"|yI",Aux_puntos!$1:$1,0))="",NA(),INDEX(Aux_puntos!$A$2:$OJ$901,546,MATCH($B$2&amp;"|yI",Aux_puntos!$1:$1,0))),NA())</f>
        <v/>
      </c>
      <c r="AI550">
        <f>IFERROR(IF(INDEX(Aux_puntos!$A$2:$OJ$901,546,MATCH($B$2&amp;"|xN",Aux_puntos!$1:$1,0))="",NA(),INDEX(Aux_puntos!$A$2:$OJ$901,546,MATCH($B$2&amp;"|xN",Aux_puntos!$1:$1,0))),NA())</f>
        <v/>
      </c>
      <c r="AJ550">
        <f>IFERROR(IF(INDEX(Aux_puntos!$A$2:$OJ$901,546,MATCH($B$2&amp;"|yN",Aux_puntos!$1:$1,0))="",NA(),INDEX(Aux_puntos!$A$2:$OJ$901,546,MATCH($B$2&amp;"|yN",Aux_puntos!$1:$1,0))),NA())</f>
        <v/>
      </c>
    </row>
    <row r="551">
      <c r="AC551">
        <f>IFERROR(IF(INDEX(Aux_puntos!$A$2:$OJ$901,547,MATCH($B$2&amp;"|xK",Aux_puntos!$1:$1,0))="",NA(),INDEX(Aux_puntos!$A$2:$OJ$901,547,MATCH($B$2&amp;"|xK",Aux_puntos!$1:$1,0))),NA())</f>
        <v/>
      </c>
      <c r="AD551">
        <f>IFERROR(IF(INDEX(Aux_puntos!$A$2:$OJ$901,547,MATCH($B$2&amp;"|yK",Aux_puntos!$1:$1,0))="",NA(),INDEX(Aux_puntos!$A$2:$OJ$901,547,MATCH($B$2&amp;"|yK",Aux_puntos!$1:$1,0))),NA())</f>
        <v/>
      </c>
      <c r="AE551">
        <f>IFERROR(IF(INDEX(Aux_puntos!$A$2:$OJ$901,547,MATCH($B$2&amp;"|xC",Aux_puntos!$1:$1,0))="",NA(),INDEX(Aux_puntos!$A$2:$OJ$901,547,MATCH($B$2&amp;"|xC",Aux_puntos!$1:$1,0))),NA())</f>
        <v/>
      </c>
      <c r="AF551">
        <f>IFERROR(IF(INDEX(Aux_puntos!$A$2:$OJ$901,547,MATCH($B$2&amp;"|yC",Aux_puntos!$1:$1,0))="",NA(),INDEX(Aux_puntos!$A$2:$OJ$901,547,MATCH($B$2&amp;"|yC",Aux_puntos!$1:$1,0))),NA())</f>
        <v/>
      </c>
      <c r="AG551">
        <f>IFERROR(IF(INDEX(Aux_puntos!$A$2:$OJ$901,547,MATCH($B$2&amp;"|xI",Aux_puntos!$1:$1,0))="",NA(),INDEX(Aux_puntos!$A$2:$OJ$901,547,MATCH($B$2&amp;"|xI",Aux_puntos!$1:$1,0))),NA())</f>
        <v/>
      </c>
      <c r="AH551">
        <f>IFERROR(IF(INDEX(Aux_puntos!$A$2:$OJ$901,547,MATCH($B$2&amp;"|yI",Aux_puntos!$1:$1,0))="",NA(),INDEX(Aux_puntos!$A$2:$OJ$901,547,MATCH($B$2&amp;"|yI",Aux_puntos!$1:$1,0))),NA())</f>
        <v/>
      </c>
      <c r="AI551">
        <f>IFERROR(IF(INDEX(Aux_puntos!$A$2:$OJ$901,547,MATCH($B$2&amp;"|xN",Aux_puntos!$1:$1,0))="",NA(),INDEX(Aux_puntos!$A$2:$OJ$901,547,MATCH($B$2&amp;"|xN",Aux_puntos!$1:$1,0))),NA())</f>
        <v/>
      </c>
      <c r="AJ551">
        <f>IFERROR(IF(INDEX(Aux_puntos!$A$2:$OJ$901,547,MATCH($B$2&amp;"|yN",Aux_puntos!$1:$1,0))="",NA(),INDEX(Aux_puntos!$A$2:$OJ$901,547,MATCH($B$2&amp;"|yN",Aux_puntos!$1:$1,0))),NA())</f>
        <v/>
      </c>
    </row>
    <row r="552">
      <c r="AC552">
        <f>IFERROR(IF(INDEX(Aux_puntos!$A$2:$OJ$901,548,MATCH($B$2&amp;"|xK",Aux_puntos!$1:$1,0))="",NA(),INDEX(Aux_puntos!$A$2:$OJ$901,548,MATCH($B$2&amp;"|xK",Aux_puntos!$1:$1,0))),NA())</f>
        <v/>
      </c>
      <c r="AD552">
        <f>IFERROR(IF(INDEX(Aux_puntos!$A$2:$OJ$901,548,MATCH($B$2&amp;"|yK",Aux_puntos!$1:$1,0))="",NA(),INDEX(Aux_puntos!$A$2:$OJ$901,548,MATCH($B$2&amp;"|yK",Aux_puntos!$1:$1,0))),NA())</f>
        <v/>
      </c>
      <c r="AE552">
        <f>IFERROR(IF(INDEX(Aux_puntos!$A$2:$OJ$901,548,MATCH($B$2&amp;"|xC",Aux_puntos!$1:$1,0))="",NA(),INDEX(Aux_puntos!$A$2:$OJ$901,548,MATCH($B$2&amp;"|xC",Aux_puntos!$1:$1,0))),NA())</f>
        <v/>
      </c>
      <c r="AF552">
        <f>IFERROR(IF(INDEX(Aux_puntos!$A$2:$OJ$901,548,MATCH($B$2&amp;"|yC",Aux_puntos!$1:$1,0))="",NA(),INDEX(Aux_puntos!$A$2:$OJ$901,548,MATCH($B$2&amp;"|yC",Aux_puntos!$1:$1,0))),NA())</f>
        <v/>
      </c>
      <c r="AG552">
        <f>IFERROR(IF(INDEX(Aux_puntos!$A$2:$OJ$901,548,MATCH($B$2&amp;"|xI",Aux_puntos!$1:$1,0))="",NA(),INDEX(Aux_puntos!$A$2:$OJ$901,548,MATCH($B$2&amp;"|xI",Aux_puntos!$1:$1,0))),NA())</f>
        <v/>
      </c>
      <c r="AH552">
        <f>IFERROR(IF(INDEX(Aux_puntos!$A$2:$OJ$901,548,MATCH($B$2&amp;"|yI",Aux_puntos!$1:$1,0))="",NA(),INDEX(Aux_puntos!$A$2:$OJ$901,548,MATCH($B$2&amp;"|yI",Aux_puntos!$1:$1,0))),NA())</f>
        <v/>
      </c>
      <c r="AI552">
        <f>IFERROR(IF(INDEX(Aux_puntos!$A$2:$OJ$901,548,MATCH($B$2&amp;"|xN",Aux_puntos!$1:$1,0))="",NA(),INDEX(Aux_puntos!$A$2:$OJ$901,548,MATCH($B$2&amp;"|xN",Aux_puntos!$1:$1,0))),NA())</f>
        <v/>
      </c>
      <c r="AJ552">
        <f>IFERROR(IF(INDEX(Aux_puntos!$A$2:$OJ$901,548,MATCH($B$2&amp;"|yN",Aux_puntos!$1:$1,0))="",NA(),INDEX(Aux_puntos!$A$2:$OJ$901,548,MATCH($B$2&amp;"|yN",Aux_puntos!$1:$1,0))),NA())</f>
        <v/>
      </c>
    </row>
    <row r="553">
      <c r="AC553">
        <f>IFERROR(IF(INDEX(Aux_puntos!$A$2:$OJ$901,549,MATCH($B$2&amp;"|xK",Aux_puntos!$1:$1,0))="",NA(),INDEX(Aux_puntos!$A$2:$OJ$901,549,MATCH($B$2&amp;"|xK",Aux_puntos!$1:$1,0))),NA())</f>
        <v/>
      </c>
      <c r="AD553">
        <f>IFERROR(IF(INDEX(Aux_puntos!$A$2:$OJ$901,549,MATCH($B$2&amp;"|yK",Aux_puntos!$1:$1,0))="",NA(),INDEX(Aux_puntos!$A$2:$OJ$901,549,MATCH($B$2&amp;"|yK",Aux_puntos!$1:$1,0))),NA())</f>
        <v/>
      </c>
      <c r="AE553">
        <f>IFERROR(IF(INDEX(Aux_puntos!$A$2:$OJ$901,549,MATCH($B$2&amp;"|xC",Aux_puntos!$1:$1,0))="",NA(),INDEX(Aux_puntos!$A$2:$OJ$901,549,MATCH($B$2&amp;"|xC",Aux_puntos!$1:$1,0))),NA())</f>
        <v/>
      </c>
      <c r="AF553">
        <f>IFERROR(IF(INDEX(Aux_puntos!$A$2:$OJ$901,549,MATCH($B$2&amp;"|yC",Aux_puntos!$1:$1,0))="",NA(),INDEX(Aux_puntos!$A$2:$OJ$901,549,MATCH($B$2&amp;"|yC",Aux_puntos!$1:$1,0))),NA())</f>
        <v/>
      </c>
      <c r="AG553">
        <f>IFERROR(IF(INDEX(Aux_puntos!$A$2:$OJ$901,549,MATCH($B$2&amp;"|xI",Aux_puntos!$1:$1,0))="",NA(),INDEX(Aux_puntos!$A$2:$OJ$901,549,MATCH($B$2&amp;"|xI",Aux_puntos!$1:$1,0))),NA())</f>
        <v/>
      </c>
      <c r="AH553">
        <f>IFERROR(IF(INDEX(Aux_puntos!$A$2:$OJ$901,549,MATCH($B$2&amp;"|yI",Aux_puntos!$1:$1,0))="",NA(),INDEX(Aux_puntos!$A$2:$OJ$901,549,MATCH($B$2&amp;"|yI",Aux_puntos!$1:$1,0))),NA())</f>
        <v/>
      </c>
      <c r="AI553">
        <f>IFERROR(IF(INDEX(Aux_puntos!$A$2:$OJ$901,549,MATCH($B$2&amp;"|xN",Aux_puntos!$1:$1,0))="",NA(),INDEX(Aux_puntos!$A$2:$OJ$901,549,MATCH($B$2&amp;"|xN",Aux_puntos!$1:$1,0))),NA())</f>
        <v/>
      </c>
      <c r="AJ553">
        <f>IFERROR(IF(INDEX(Aux_puntos!$A$2:$OJ$901,549,MATCH($B$2&amp;"|yN",Aux_puntos!$1:$1,0))="",NA(),INDEX(Aux_puntos!$A$2:$OJ$901,549,MATCH($B$2&amp;"|yN",Aux_puntos!$1:$1,0))),NA())</f>
        <v/>
      </c>
    </row>
    <row r="554">
      <c r="AC554">
        <f>IFERROR(IF(INDEX(Aux_puntos!$A$2:$OJ$901,550,MATCH($B$2&amp;"|xK",Aux_puntos!$1:$1,0))="",NA(),INDEX(Aux_puntos!$A$2:$OJ$901,550,MATCH($B$2&amp;"|xK",Aux_puntos!$1:$1,0))),NA())</f>
        <v/>
      </c>
      <c r="AD554">
        <f>IFERROR(IF(INDEX(Aux_puntos!$A$2:$OJ$901,550,MATCH($B$2&amp;"|yK",Aux_puntos!$1:$1,0))="",NA(),INDEX(Aux_puntos!$A$2:$OJ$901,550,MATCH($B$2&amp;"|yK",Aux_puntos!$1:$1,0))),NA())</f>
        <v/>
      </c>
      <c r="AE554">
        <f>IFERROR(IF(INDEX(Aux_puntos!$A$2:$OJ$901,550,MATCH($B$2&amp;"|xC",Aux_puntos!$1:$1,0))="",NA(),INDEX(Aux_puntos!$A$2:$OJ$901,550,MATCH($B$2&amp;"|xC",Aux_puntos!$1:$1,0))),NA())</f>
        <v/>
      </c>
      <c r="AF554">
        <f>IFERROR(IF(INDEX(Aux_puntos!$A$2:$OJ$901,550,MATCH($B$2&amp;"|yC",Aux_puntos!$1:$1,0))="",NA(),INDEX(Aux_puntos!$A$2:$OJ$901,550,MATCH($B$2&amp;"|yC",Aux_puntos!$1:$1,0))),NA())</f>
        <v/>
      </c>
      <c r="AG554">
        <f>IFERROR(IF(INDEX(Aux_puntos!$A$2:$OJ$901,550,MATCH($B$2&amp;"|xI",Aux_puntos!$1:$1,0))="",NA(),INDEX(Aux_puntos!$A$2:$OJ$901,550,MATCH($B$2&amp;"|xI",Aux_puntos!$1:$1,0))),NA())</f>
        <v/>
      </c>
      <c r="AH554">
        <f>IFERROR(IF(INDEX(Aux_puntos!$A$2:$OJ$901,550,MATCH($B$2&amp;"|yI",Aux_puntos!$1:$1,0))="",NA(),INDEX(Aux_puntos!$A$2:$OJ$901,550,MATCH($B$2&amp;"|yI",Aux_puntos!$1:$1,0))),NA())</f>
        <v/>
      </c>
      <c r="AI554">
        <f>IFERROR(IF(INDEX(Aux_puntos!$A$2:$OJ$901,550,MATCH($B$2&amp;"|xN",Aux_puntos!$1:$1,0))="",NA(),INDEX(Aux_puntos!$A$2:$OJ$901,550,MATCH($B$2&amp;"|xN",Aux_puntos!$1:$1,0))),NA())</f>
        <v/>
      </c>
      <c r="AJ554">
        <f>IFERROR(IF(INDEX(Aux_puntos!$A$2:$OJ$901,550,MATCH($B$2&amp;"|yN",Aux_puntos!$1:$1,0))="",NA(),INDEX(Aux_puntos!$A$2:$OJ$901,550,MATCH($B$2&amp;"|yN",Aux_puntos!$1:$1,0))),NA())</f>
        <v/>
      </c>
    </row>
    <row r="555">
      <c r="AC555">
        <f>IFERROR(IF(INDEX(Aux_puntos!$A$2:$OJ$901,551,MATCH($B$2&amp;"|xK",Aux_puntos!$1:$1,0))="",NA(),INDEX(Aux_puntos!$A$2:$OJ$901,551,MATCH($B$2&amp;"|xK",Aux_puntos!$1:$1,0))),NA())</f>
        <v/>
      </c>
      <c r="AD555">
        <f>IFERROR(IF(INDEX(Aux_puntos!$A$2:$OJ$901,551,MATCH($B$2&amp;"|yK",Aux_puntos!$1:$1,0))="",NA(),INDEX(Aux_puntos!$A$2:$OJ$901,551,MATCH($B$2&amp;"|yK",Aux_puntos!$1:$1,0))),NA())</f>
        <v/>
      </c>
      <c r="AE555">
        <f>IFERROR(IF(INDEX(Aux_puntos!$A$2:$OJ$901,551,MATCH($B$2&amp;"|xC",Aux_puntos!$1:$1,0))="",NA(),INDEX(Aux_puntos!$A$2:$OJ$901,551,MATCH($B$2&amp;"|xC",Aux_puntos!$1:$1,0))),NA())</f>
        <v/>
      </c>
      <c r="AF555">
        <f>IFERROR(IF(INDEX(Aux_puntos!$A$2:$OJ$901,551,MATCH($B$2&amp;"|yC",Aux_puntos!$1:$1,0))="",NA(),INDEX(Aux_puntos!$A$2:$OJ$901,551,MATCH($B$2&amp;"|yC",Aux_puntos!$1:$1,0))),NA())</f>
        <v/>
      </c>
      <c r="AG555">
        <f>IFERROR(IF(INDEX(Aux_puntos!$A$2:$OJ$901,551,MATCH($B$2&amp;"|xI",Aux_puntos!$1:$1,0))="",NA(),INDEX(Aux_puntos!$A$2:$OJ$901,551,MATCH($B$2&amp;"|xI",Aux_puntos!$1:$1,0))),NA())</f>
        <v/>
      </c>
      <c r="AH555">
        <f>IFERROR(IF(INDEX(Aux_puntos!$A$2:$OJ$901,551,MATCH($B$2&amp;"|yI",Aux_puntos!$1:$1,0))="",NA(),INDEX(Aux_puntos!$A$2:$OJ$901,551,MATCH($B$2&amp;"|yI",Aux_puntos!$1:$1,0))),NA())</f>
        <v/>
      </c>
      <c r="AI555">
        <f>IFERROR(IF(INDEX(Aux_puntos!$A$2:$OJ$901,551,MATCH($B$2&amp;"|xN",Aux_puntos!$1:$1,0))="",NA(),INDEX(Aux_puntos!$A$2:$OJ$901,551,MATCH($B$2&amp;"|xN",Aux_puntos!$1:$1,0))),NA())</f>
        <v/>
      </c>
      <c r="AJ555">
        <f>IFERROR(IF(INDEX(Aux_puntos!$A$2:$OJ$901,551,MATCH($B$2&amp;"|yN",Aux_puntos!$1:$1,0))="",NA(),INDEX(Aux_puntos!$A$2:$OJ$901,551,MATCH($B$2&amp;"|yN",Aux_puntos!$1:$1,0))),NA())</f>
        <v/>
      </c>
    </row>
    <row r="556">
      <c r="AC556">
        <f>IFERROR(IF(INDEX(Aux_puntos!$A$2:$OJ$901,552,MATCH($B$2&amp;"|xK",Aux_puntos!$1:$1,0))="",NA(),INDEX(Aux_puntos!$A$2:$OJ$901,552,MATCH($B$2&amp;"|xK",Aux_puntos!$1:$1,0))),NA())</f>
        <v/>
      </c>
      <c r="AD556">
        <f>IFERROR(IF(INDEX(Aux_puntos!$A$2:$OJ$901,552,MATCH($B$2&amp;"|yK",Aux_puntos!$1:$1,0))="",NA(),INDEX(Aux_puntos!$A$2:$OJ$901,552,MATCH($B$2&amp;"|yK",Aux_puntos!$1:$1,0))),NA())</f>
        <v/>
      </c>
      <c r="AE556">
        <f>IFERROR(IF(INDEX(Aux_puntos!$A$2:$OJ$901,552,MATCH($B$2&amp;"|xC",Aux_puntos!$1:$1,0))="",NA(),INDEX(Aux_puntos!$A$2:$OJ$901,552,MATCH($B$2&amp;"|xC",Aux_puntos!$1:$1,0))),NA())</f>
        <v/>
      </c>
      <c r="AF556">
        <f>IFERROR(IF(INDEX(Aux_puntos!$A$2:$OJ$901,552,MATCH($B$2&amp;"|yC",Aux_puntos!$1:$1,0))="",NA(),INDEX(Aux_puntos!$A$2:$OJ$901,552,MATCH($B$2&amp;"|yC",Aux_puntos!$1:$1,0))),NA())</f>
        <v/>
      </c>
      <c r="AG556">
        <f>IFERROR(IF(INDEX(Aux_puntos!$A$2:$OJ$901,552,MATCH($B$2&amp;"|xI",Aux_puntos!$1:$1,0))="",NA(),INDEX(Aux_puntos!$A$2:$OJ$901,552,MATCH($B$2&amp;"|xI",Aux_puntos!$1:$1,0))),NA())</f>
        <v/>
      </c>
      <c r="AH556">
        <f>IFERROR(IF(INDEX(Aux_puntos!$A$2:$OJ$901,552,MATCH($B$2&amp;"|yI",Aux_puntos!$1:$1,0))="",NA(),INDEX(Aux_puntos!$A$2:$OJ$901,552,MATCH($B$2&amp;"|yI",Aux_puntos!$1:$1,0))),NA())</f>
        <v/>
      </c>
      <c r="AI556">
        <f>IFERROR(IF(INDEX(Aux_puntos!$A$2:$OJ$901,552,MATCH($B$2&amp;"|xN",Aux_puntos!$1:$1,0))="",NA(),INDEX(Aux_puntos!$A$2:$OJ$901,552,MATCH($B$2&amp;"|xN",Aux_puntos!$1:$1,0))),NA())</f>
        <v/>
      </c>
      <c r="AJ556">
        <f>IFERROR(IF(INDEX(Aux_puntos!$A$2:$OJ$901,552,MATCH($B$2&amp;"|yN",Aux_puntos!$1:$1,0))="",NA(),INDEX(Aux_puntos!$A$2:$OJ$901,552,MATCH($B$2&amp;"|yN",Aux_puntos!$1:$1,0))),NA())</f>
        <v/>
      </c>
    </row>
    <row r="557">
      <c r="AC557">
        <f>IFERROR(IF(INDEX(Aux_puntos!$A$2:$OJ$901,553,MATCH($B$2&amp;"|xK",Aux_puntos!$1:$1,0))="",NA(),INDEX(Aux_puntos!$A$2:$OJ$901,553,MATCH($B$2&amp;"|xK",Aux_puntos!$1:$1,0))),NA())</f>
        <v/>
      </c>
      <c r="AD557">
        <f>IFERROR(IF(INDEX(Aux_puntos!$A$2:$OJ$901,553,MATCH($B$2&amp;"|yK",Aux_puntos!$1:$1,0))="",NA(),INDEX(Aux_puntos!$A$2:$OJ$901,553,MATCH($B$2&amp;"|yK",Aux_puntos!$1:$1,0))),NA())</f>
        <v/>
      </c>
      <c r="AE557">
        <f>IFERROR(IF(INDEX(Aux_puntos!$A$2:$OJ$901,553,MATCH($B$2&amp;"|xC",Aux_puntos!$1:$1,0))="",NA(),INDEX(Aux_puntos!$A$2:$OJ$901,553,MATCH($B$2&amp;"|xC",Aux_puntos!$1:$1,0))),NA())</f>
        <v/>
      </c>
      <c r="AF557">
        <f>IFERROR(IF(INDEX(Aux_puntos!$A$2:$OJ$901,553,MATCH($B$2&amp;"|yC",Aux_puntos!$1:$1,0))="",NA(),INDEX(Aux_puntos!$A$2:$OJ$901,553,MATCH($B$2&amp;"|yC",Aux_puntos!$1:$1,0))),NA())</f>
        <v/>
      </c>
      <c r="AG557">
        <f>IFERROR(IF(INDEX(Aux_puntos!$A$2:$OJ$901,553,MATCH($B$2&amp;"|xI",Aux_puntos!$1:$1,0))="",NA(),INDEX(Aux_puntos!$A$2:$OJ$901,553,MATCH($B$2&amp;"|xI",Aux_puntos!$1:$1,0))),NA())</f>
        <v/>
      </c>
      <c r="AH557">
        <f>IFERROR(IF(INDEX(Aux_puntos!$A$2:$OJ$901,553,MATCH($B$2&amp;"|yI",Aux_puntos!$1:$1,0))="",NA(),INDEX(Aux_puntos!$A$2:$OJ$901,553,MATCH($B$2&amp;"|yI",Aux_puntos!$1:$1,0))),NA())</f>
        <v/>
      </c>
      <c r="AI557">
        <f>IFERROR(IF(INDEX(Aux_puntos!$A$2:$OJ$901,553,MATCH($B$2&amp;"|xN",Aux_puntos!$1:$1,0))="",NA(),INDEX(Aux_puntos!$A$2:$OJ$901,553,MATCH($B$2&amp;"|xN",Aux_puntos!$1:$1,0))),NA())</f>
        <v/>
      </c>
      <c r="AJ557">
        <f>IFERROR(IF(INDEX(Aux_puntos!$A$2:$OJ$901,553,MATCH($B$2&amp;"|yN",Aux_puntos!$1:$1,0))="",NA(),INDEX(Aux_puntos!$A$2:$OJ$901,553,MATCH($B$2&amp;"|yN",Aux_puntos!$1:$1,0))),NA())</f>
        <v/>
      </c>
    </row>
    <row r="558">
      <c r="AC558">
        <f>IFERROR(IF(INDEX(Aux_puntos!$A$2:$OJ$901,554,MATCH($B$2&amp;"|xK",Aux_puntos!$1:$1,0))="",NA(),INDEX(Aux_puntos!$A$2:$OJ$901,554,MATCH($B$2&amp;"|xK",Aux_puntos!$1:$1,0))),NA())</f>
        <v/>
      </c>
      <c r="AD558">
        <f>IFERROR(IF(INDEX(Aux_puntos!$A$2:$OJ$901,554,MATCH($B$2&amp;"|yK",Aux_puntos!$1:$1,0))="",NA(),INDEX(Aux_puntos!$A$2:$OJ$901,554,MATCH($B$2&amp;"|yK",Aux_puntos!$1:$1,0))),NA())</f>
        <v/>
      </c>
      <c r="AE558">
        <f>IFERROR(IF(INDEX(Aux_puntos!$A$2:$OJ$901,554,MATCH($B$2&amp;"|xC",Aux_puntos!$1:$1,0))="",NA(),INDEX(Aux_puntos!$A$2:$OJ$901,554,MATCH($B$2&amp;"|xC",Aux_puntos!$1:$1,0))),NA())</f>
        <v/>
      </c>
      <c r="AF558">
        <f>IFERROR(IF(INDEX(Aux_puntos!$A$2:$OJ$901,554,MATCH($B$2&amp;"|yC",Aux_puntos!$1:$1,0))="",NA(),INDEX(Aux_puntos!$A$2:$OJ$901,554,MATCH($B$2&amp;"|yC",Aux_puntos!$1:$1,0))),NA())</f>
        <v/>
      </c>
      <c r="AG558">
        <f>IFERROR(IF(INDEX(Aux_puntos!$A$2:$OJ$901,554,MATCH($B$2&amp;"|xI",Aux_puntos!$1:$1,0))="",NA(),INDEX(Aux_puntos!$A$2:$OJ$901,554,MATCH($B$2&amp;"|xI",Aux_puntos!$1:$1,0))),NA())</f>
        <v/>
      </c>
      <c r="AH558">
        <f>IFERROR(IF(INDEX(Aux_puntos!$A$2:$OJ$901,554,MATCH($B$2&amp;"|yI",Aux_puntos!$1:$1,0))="",NA(),INDEX(Aux_puntos!$A$2:$OJ$901,554,MATCH($B$2&amp;"|yI",Aux_puntos!$1:$1,0))),NA())</f>
        <v/>
      </c>
      <c r="AI558">
        <f>IFERROR(IF(INDEX(Aux_puntos!$A$2:$OJ$901,554,MATCH($B$2&amp;"|xN",Aux_puntos!$1:$1,0))="",NA(),INDEX(Aux_puntos!$A$2:$OJ$901,554,MATCH($B$2&amp;"|xN",Aux_puntos!$1:$1,0))),NA())</f>
        <v/>
      </c>
      <c r="AJ558">
        <f>IFERROR(IF(INDEX(Aux_puntos!$A$2:$OJ$901,554,MATCH($B$2&amp;"|yN",Aux_puntos!$1:$1,0))="",NA(),INDEX(Aux_puntos!$A$2:$OJ$901,554,MATCH($B$2&amp;"|yN",Aux_puntos!$1:$1,0))),NA())</f>
        <v/>
      </c>
    </row>
    <row r="559">
      <c r="AC559">
        <f>IFERROR(IF(INDEX(Aux_puntos!$A$2:$OJ$901,555,MATCH($B$2&amp;"|xK",Aux_puntos!$1:$1,0))="",NA(),INDEX(Aux_puntos!$A$2:$OJ$901,555,MATCH($B$2&amp;"|xK",Aux_puntos!$1:$1,0))),NA())</f>
        <v/>
      </c>
      <c r="AD559">
        <f>IFERROR(IF(INDEX(Aux_puntos!$A$2:$OJ$901,555,MATCH($B$2&amp;"|yK",Aux_puntos!$1:$1,0))="",NA(),INDEX(Aux_puntos!$A$2:$OJ$901,555,MATCH($B$2&amp;"|yK",Aux_puntos!$1:$1,0))),NA())</f>
        <v/>
      </c>
      <c r="AE559">
        <f>IFERROR(IF(INDEX(Aux_puntos!$A$2:$OJ$901,555,MATCH($B$2&amp;"|xC",Aux_puntos!$1:$1,0))="",NA(),INDEX(Aux_puntos!$A$2:$OJ$901,555,MATCH($B$2&amp;"|xC",Aux_puntos!$1:$1,0))),NA())</f>
        <v/>
      </c>
      <c r="AF559">
        <f>IFERROR(IF(INDEX(Aux_puntos!$A$2:$OJ$901,555,MATCH($B$2&amp;"|yC",Aux_puntos!$1:$1,0))="",NA(),INDEX(Aux_puntos!$A$2:$OJ$901,555,MATCH($B$2&amp;"|yC",Aux_puntos!$1:$1,0))),NA())</f>
        <v/>
      </c>
      <c r="AG559">
        <f>IFERROR(IF(INDEX(Aux_puntos!$A$2:$OJ$901,555,MATCH($B$2&amp;"|xI",Aux_puntos!$1:$1,0))="",NA(),INDEX(Aux_puntos!$A$2:$OJ$901,555,MATCH($B$2&amp;"|xI",Aux_puntos!$1:$1,0))),NA())</f>
        <v/>
      </c>
      <c r="AH559">
        <f>IFERROR(IF(INDEX(Aux_puntos!$A$2:$OJ$901,555,MATCH($B$2&amp;"|yI",Aux_puntos!$1:$1,0))="",NA(),INDEX(Aux_puntos!$A$2:$OJ$901,555,MATCH($B$2&amp;"|yI",Aux_puntos!$1:$1,0))),NA())</f>
        <v/>
      </c>
      <c r="AI559">
        <f>IFERROR(IF(INDEX(Aux_puntos!$A$2:$OJ$901,555,MATCH($B$2&amp;"|xN",Aux_puntos!$1:$1,0))="",NA(),INDEX(Aux_puntos!$A$2:$OJ$901,555,MATCH($B$2&amp;"|xN",Aux_puntos!$1:$1,0))),NA())</f>
        <v/>
      </c>
      <c r="AJ559">
        <f>IFERROR(IF(INDEX(Aux_puntos!$A$2:$OJ$901,555,MATCH($B$2&amp;"|yN",Aux_puntos!$1:$1,0))="",NA(),INDEX(Aux_puntos!$A$2:$OJ$901,555,MATCH($B$2&amp;"|yN",Aux_puntos!$1:$1,0))),NA())</f>
        <v/>
      </c>
    </row>
    <row r="560">
      <c r="AC560">
        <f>IFERROR(IF(INDEX(Aux_puntos!$A$2:$OJ$901,556,MATCH($B$2&amp;"|xK",Aux_puntos!$1:$1,0))="",NA(),INDEX(Aux_puntos!$A$2:$OJ$901,556,MATCH($B$2&amp;"|xK",Aux_puntos!$1:$1,0))),NA())</f>
        <v/>
      </c>
      <c r="AD560">
        <f>IFERROR(IF(INDEX(Aux_puntos!$A$2:$OJ$901,556,MATCH($B$2&amp;"|yK",Aux_puntos!$1:$1,0))="",NA(),INDEX(Aux_puntos!$A$2:$OJ$901,556,MATCH($B$2&amp;"|yK",Aux_puntos!$1:$1,0))),NA())</f>
        <v/>
      </c>
      <c r="AE560">
        <f>IFERROR(IF(INDEX(Aux_puntos!$A$2:$OJ$901,556,MATCH($B$2&amp;"|xC",Aux_puntos!$1:$1,0))="",NA(),INDEX(Aux_puntos!$A$2:$OJ$901,556,MATCH($B$2&amp;"|xC",Aux_puntos!$1:$1,0))),NA())</f>
        <v/>
      </c>
      <c r="AF560">
        <f>IFERROR(IF(INDEX(Aux_puntos!$A$2:$OJ$901,556,MATCH($B$2&amp;"|yC",Aux_puntos!$1:$1,0))="",NA(),INDEX(Aux_puntos!$A$2:$OJ$901,556,MATCH($B$2&amp;"|yC",Aux_puntos!$1:$1,0))),NA())</f>
        <v/>
      </c>
      <c r="AG560">
        <f>IFERROR(IF(INDEX(Aux_puntos!$A$2:$OJ$901,556,MATCH($B$2&amp;"|xI",Aux_puntos!$1:$1,0))="",NA(),INDEX(Aux_puntos!$A$2:$OJ$901,556,MATCH($B$2&amp;"|xI",Aux_puntos!$1:$1,0))),NA())</f>
        <v/>
      </c>
      <c r="AH560">
        <f>IFERROR(IF(INDEX(Aux_puntos!$A$2:$OJ$901,556,MATCH($B$2&amp;"|yI",Aux_puntos!$1:$1,0))="",NA(),INDEX(Aux_puntos!$A$2:$OJ$901,556,MATCH($B$2&amp;"|yI",Aux_puntos!$1:$1,0))),NA())</f>
        <v/>
      </c>
      <c r="AI560">
        <f>IFERROR(IF(INDEX(Aux_puntos!$A$2:$OJ$901,556,MATCH($B$2&amp;"|xN",Aux_puntos!$1:$1,0))="",NA(),INDEX(Aux_puntos!$A$2:$OJ$901,556,MATCH($B$2&amp;"|xN",Aux_puntos!$1:$1,0))),NA())</f>
        <v/>
      </c>
      <c r="AJ560">
        <f>IFERROR(IF(INDEX(Aux_puntos!$A$2:$OJ$901,556,MATCH($B$2&amp;"|yN",Aux_puntos!$1:$1,0))="",NA(),INDEX(Aux_puntos!$A$2:$OJ$901,556,MATCH($B$2&amp;"|yN",Aux_puntos!$1:$1,0))),NA())</f>
        <v/>
      </c>
    </row>
    <row r="561">
      <c r="AC561">
        <f>IFERROR(IF(INDEX(Aux_puntos!$A$2:$OJ$901,557,MATCH($B$2&amp;"|xK",Aux_puntos!$1:$1,0))="",NA(),INDEX(Aux_puntos!$A$2:$OJ$901,557,MATCH($B$2&amp;"|xK",Aux_puntos!$1:$1,0))),NA())</f>
        <v/>
      </c>
      <c r="AD561">
        <f>IFERROR(IF(INDEX(Aux_puntos!$A$2:$OJ$901,557,MATCH($B$2&amp;"|yK",Aux_puntos!$1:$1,0))="",NA(),INDEX(Aux_puntos!$A$2:$OJ$901,557,MATCH($B$2&amp;"|yK",Aux_puntos!$1:$1,0))),NA())</f>
        <v/>
      </c>
      <c r="AE561">
        <f>IFERROR(IF(INDEX(Aux_puntos!$A$2:$OJ$901,557,MATCH($B$2&amp;"|xC",Aux_puntos!$1:$1,0))="",NA(),INDEX(Aux_puntos!$A$2:$OJ$901,557,MATCH($B$2&amp;"|xC",Aux_puntos!$1:$1,0))),NA())</f>
        <v/>
      </c>
      <c r="AF561">
        <f>IFERROR(IF(INDEX(Aux_puntos!$A$2:$OJ$901,557,MATCH($B$2&amp;"|yC",Aux_puntos!$1:$1,0))="",NA(),INDEX(Aux_puntos!$A$2:$OJ$901,557,MATCH($B$2&amp;"|yC",Aux_puntos!$1:$1,0))),NA())</f>
        <v/>
      </c>
      <c r="AG561">
        <f>IFERROR(IF(INDEX(Aux_puntos!$A$2:$OJ$901,557,MATCH($B$2&amp;"|xI",Aux_puntos!$1:$1,0))="",NA(),INDEX(Aux_puntos!$A$2:$OJ$901,557,MATCH($B$2&amp;"|xI",Aux_puntos!$1:$1,0))),NA())</f>
        <v/>
      </c>
      <c r="AH561">
        <f>IFERROR(IF(INDEX(Aux_puntos!$A$2:$OJ$901,557,MATCH($B$2&amp;"|yI",Aux_puntos!$1:$1,0))="",NA(),INDEX(Aux_puntos!$A$2:$OJ$901,557,MATCH($B$2&amp;"|yI",Aux_puntos!$1:$1,0))),NA())</f>
        <v/>
      </c>
      <c r="AI561">
        <f>IFERROR(IF(INDEX(Aux_puntos!$A$2:$OJ$901,557,MATCH($B$2&amp;"|xN",Aux_puntos!$1:$1,0))="",NA(),INDEX(Aux_puntos!$A$2:$OJ$901,557,MATCH($B$2&amp;"|xN",Aux_puntos!$1:$1,0))),NA())</f>
        <v/>
      </c>
      <c r="AJ561">
        <f>IFERROR(IF(INDEX(Aux_puntos!$A$2:$OJ$901,557,MATCH($B$2&amp;"|yN",Aux_puntos!$1:$1,0))="",NA(),INDEX(Aux_puntos!$A$2:$OJ$901,557,MATCH($B$2&amp;"|yN",Aux_puntos!$1:$1,0))),NA())</f>
        <v/>
      </c>
    </row>
    <row r="562">
      <c r="AC562">
        <f>IFERROR(IF(INDEX(Aux_puntos!$A$2:$OJ$901,558,MATCH($B$2&amp;"|xK",Aux_puntos!$1:$1,0))="",NA(),INDEX(Aux_puntos!$A$2:$OJ$901,558,MATCH($B$2&amp;"|xK",Aux_puntos!$1:$1,0))),NA())</f>
        <v/>
      </c>
      <c r="AD562">
        <f>IFERROR(IF(INDEX(Aux_puntos!$A$2:$OJ$901,558,MATCH($B$2&amp;"|yK",Aux_puntos!$1:$1,0))="",NA(),INDEX(Aux_puntos!$A$2:$OJ$901,558,MATCH($B$2&amp;"|yK",Aux_puntos!$1:$1,0))),NA())</f>
        <v/>
      </c>
      <c r="AE562">
        <f>IFERROR(IF(INDEX(Aux_puntos!$A$2:$OJ$901,558,MATCH($B$2&amp;"|xC",Aux_puntos!$1:$1,0))="",NA(),INDEX(Aux_puntos!$A$2:$OJ$901,558,MATCH($B$2&amp;"|xC",Aux_puntos!$1:$1,0))),NA())</f>
        <v/>
      </c>
      <c r="AF562">
        <f>IFERROR(IF(INDEX(Aux_puntos!$A$2:$OJ$901,558,MATCH($B$2&amp;"|yC",Aux_puntos!$1:$1,0))="",NA(),INDEX(Aux_puntos!$A$2:$OJ$901,558,MATCH($B$2&amp;"|yC",Aux_puntos!$1:$1,0))),NA())</f>
        <v/>
      </c>
      <c r="AG562">
        <f>IFERROR(IF(INDEX(Aux_puntos!$A$2:$OJ$901,558,MATCH($B$2&amp;"|xI",Aux_puntos!$1:$1,0))="",NA(),INDEX(Aux_puntos!$A$2:$OJ$901,558,MATCH($B$2&amp;"|xI",Aux_puntos!$1:$1,0))),NA())</f>
        <v/>
      </c>
      <c r="AH562">
        <f>IFERROR(IF(INDEX(Aux_puntos!$A$2:$OJ$901,558,MATCH($B$2&amp;"|yI",Aux_puntos!$1:$1,0))="",NA(),INDEX(Aux_puntos!$A$2:$OJ$901,558,MATCH($B$2&amp;"|yI",Aux_puntos!$1:$1,0))),NA())</f>
        <v/>
      </c>
      <c r="AI562">
        <f>IFERROR(IF(INDEX(Aux_puntos!$A$2:$OJ$901,558,MATCH($B$2&amp;"|xN",Aux_puntos!$1:$1,0))="",NA(),INDEX(Aux_puntos!$A$2:$OJ$901,558,MATCH($B$2&amp;"|xN",Aux_puntos!$1:$1,0))),NA())</f>
        <v/>
      </c>
      <c r="AJ562">
        <f>IFERROR(IF(INDEX(Aux_puntos!$A$2:$OJ$901,558,MATCH($B$2&amp;"|yN",Aux_puntos!$1:$1,0))="",NA(),INDEX(Aux_puntos!$A$2:$OJ$901,558,MATCH($B$2&amp;"|yN",Aux_puntos!$1:$1,0))),NA())</f>
        <v/>
      </c>
    </row>
    <row r="563">
      <c r="AC563">
        <f>IFERROR(IF(INDEX(Aux_puntos!$A$2:$OJ$901,559,MATCH($B$2&amp;"|xK",Aux_puntos!$1:$1,0))="",NA(),INDEX(Aux_puntos!$A$2:$OJ$901,559,MATCH($B$2&amp;"|xK",Aux_puntos!$1:$1,0))),NA())</f>
        <v/>
      </c>
      <c r="AD563">
        <f>IFERROR(IF(INDEX(Aux_puntos!$A$2:$OJ$901,559,MATCH($B$2&amp;"|yK",Aux_puntos!$1:$1,0))="",NA(),INDEX(Aux_puntos!$A$2:$OJ$901,559,MATCH($B$2&amp;"|yK",Aux_puntos!$1:$1,0))),NA())</f>
        <v/>
      </c>
      <c r="AE563">
        <f>IFERROR(IF(INDEX(Aux_puntos!$A$2:$OJ$901,559,MATCH($B$2&amp;"|xC",Aux_puntos!$1:$1,0))="",NA(),INDEX(Aux_puntos!$A$2:$OJ$901,559,MATCH($B$2&amp;"|xC",Aux_puntos!$1:$1,0))),NA())</f>
        <v/>
      </c>
      <c r="AF563">
        <f>IFERROR(IF(INDEX(Aux_puntos!$A$2:$OJ$901,559,MATCH($B$2&amp;"|yC",Aux_puntos!$1:$1,0))="",NA(),INDEX(Aux_puntos!$A$2:$OJ$901,559,MATCH($B$2&amp;"|yC",Aux_puntos!$1:$1,0))),NA())</f>
        <v/>
      </c>
      <c r="AG563">
        <f>IFERROR(IF(INDEX(Aux_puntos!$A$2:$OJ$901,559,MATCH($B$2&amp;"|xI",Aux_puntos!$1:$1,0))="",NA(),INDEX(Aux_puntos!$A$2:$OJ$901,559,MATCH($B$2&amp;"|xI",Aux_puntos!$1:$1,0))),NA())</f>
        <v/>
      </c>
      <c r="AH563">
        <f>IFERROR(IF(INDEX(Aux_puntos!$A$2:$OJ$901,559,MATCH($B$2&amp;"|yI",Aux_puntos!$1:$1,0))="",NA(),INDEX(Aux_puntos!$A$2:$OJ$901,559,MATCH($B$2&amp;"|yI",Aux_puntos!$1:$1,0))),NA())</f>
        <v/>
      </c>
      <c r="AI563">
        <f>IFERROR(IF(INDEX(Aux_puntos!$A$2:$OJ$901,559,MATCH($B$2&amp;"|xN",Aux_puntos!$1:$1,0))="",NA(),INDEX(Aux_puntos!$A$2:$OJ$901,559,MATCH($B$2&amp;"|xN",Aux_puntos!$1:$1,0))),NA())</f>
        <v/>
      </c>
      <c r="AJ563">
        <f>IFERROR(IF(INDEX(Aux_puntos!$A$2:$OJ$901,559,MATCH($B$2&amp;"|yN",Aux_puntos!$1:$1,0))="",NA(),INDEX(Aux_puntos!$A$2:$OJ$901,559,MATCH($B$2&amp;"|yN",Aux_puntos!$1:$1,0))),NA())</f>
        <v/>
      </c>
    </row>
    <row r="564">
      <c r="AC564">
        <f>IFERROR(IF(INDEX(Aux_puntos!$A$2:$OJ$901,560,MATCH($B$2&amp;"|xK",Aux_puntos!$1:$1,0))="",NA(),INDEX(Aux_puntos!$A$2:$OJ$901,560,MATCH($B$2&amp;"|xK",Aux_puntos!$1:$1,0))),NA())</f>
        <v/>
      </c>
      <c r="AD564">
        <f>IFERROR(IF(INDEX(Aux_puntos!$A$2:$OJ$901,560,MATCH($B$2&amp;"|yK",Aux_puntos!$1:$1,0))="",NA(),INDEX(Aux_puntos!$A$2:$OJ$901,560,MATCH($B$2&amp;"|yK",Aux_puntos!$1:$1,0))),NA())</f>
        <v/>
      </c>
      <c r="AE564">
        <f>IFERROR(IF(INDEX(Aux_puntos!$A$2:$OJ$901,560,MATCH($B$2&amp;"|xC",Aux_puntos!$1:$1,0))="",NA(),INDEX(Aux_puntos!$A$2:$OJ$901,560,MATCH($B$2&amp;"|xC",Aux_puntos!$1:$1,0))),NA())</f>
        <v/>
      </c>
      <c r="AF564">
        <f>IFERROR(IF(INDEX(Aux_puntos!$A$2:$OJ$901,560,MATCH($B$2&amp;"|yC",Aux_puntos!$1:$1,0))="",NA(),INDEX(Aux_puntos!$A$2:$OJ$901,560,MATCH($B$2&amp;"|yC",Aux_puntos!$1:$1,0))),NA())</f>
        <v/>
      </c>
      <c r="AG564">
        <f>IFERROR(IF(INDEX(Aux_puntos!$A$2:$OJ$901,560,MATCH($B$2&amp;"|xI",Aux_puntos!$1:$1,0))="",NA(),INDEX(Aux_puntos!$A$2:$OJ$901,560,MATCH($B$2&amp;"|xI",Aux_puntos!$1:$1,0))),NA())</f>
        <v/>
      </c>
      <c r="AH564">
        <f>IFERROR(IF(INDEX(Aux_puntos!$A$2:$OJ$901,560,MATCH($B$2&amp;"|yI",Aux_puntos!$1:$1,0))="",NA(),INDEX(Aux_puntos!$A$2:$OJ$901,560,MATCH($B$2&amp;"|yI",Aux_puntos!$1:$1,0))),NA())</f>
        <v/>
      </c>
      <c r="AI564">
        <f>IFERROR(IF(INDEX(Aux_puntos!$A$2:$OJ$901,560,MATCH($B$2&amp;"|xN",Aux_puntos!$1:$1,0))="",NA(),INDEX(Aux_puntos!$A$2:$OJ$901,560,MATCH($B$2&amp;"|xN",Aux_puntos!$1:$1,0))),NA())</f>
        <v/>
      </c>
      <c r="AJ564">
        <f>IFERROR(IF(INDEX(Aux_puntos!$A$2:$OJ$901,560,MATCH($B$2&amp;"|yN",Aux_puntos!$1:$1,0))="",NA(),INDEX(Aux_puntos!$A$2:$OJ$901,560,MATCH($B$2&amp;"|yN",Aux_puntos!$1:$1,0))),NA())</f>
        <v/>
      </c>
    </row>
    <row r="565">
      <c r="AC565">
        <f>IFERROR(IF(INDEX(Aux_puntos!$A$2:$OJ$901,561,MATCH($B$2&amp;"|xK",Aux_puntos!$1:$1,0))="",NA(),INDEX(Aux_puntos!$A$2:$OJ$901,561,MATCH($B$2&amp;"|xK",Aux_puntos!$1:$1,0))),NA())</f>
        <v/>
      </c>
      <c r="AD565">
        <f>IFERROR(IF(INDEX(Aux_puntos!$A$2:$OJ$901,561,MATCH($B$2&amp;"|yK",Aux_puntos!$1:$1,0))="",NA(),INDEX(Aux_puntos!$A$2:$OJ$901,561,MATCH($B$2&amp;"|yK",Aux_puntos!$1:$1,0))),NA())</f>
        <v/>
      </c>
      <c r="AE565">
        <f>IFERROR(IF(INDEX(Aux_puntos!$A$2:$OJ$901,561,MATCH($B$2&amp;"|xC",Aux_puntos!$1:$1,0))="",NA(),INDEX(Aux_puntos!$A$2:$OJ$901,561,MATCH($B$2&amp;"|xC",Aux_puntos!$1:$1,0))),NA())</f>
        <v/>
      </c>
      <c r="AF565">
        <f>IFERROR(IF(INDEX(Aux_puntos!$A$2:$OJ$901,561,MATCH($B$2&amp;"|yC",Aux_puntos!$1:$1,0))="",NA(),INDEX(Aux_puntos!$A$2:$OJ$901,561,MATCH($B$2&amp;"|yC",Aux_puntos!$1:$1,0))),NA())</f>
        <v/>
      </c>
      <c r="AG565">
        <f>IFERROR(IF(INDEX(Aux_puntos!$A$2:$OJ$901,561,MATCH($B$2&amp;"|xI",Aux_puntos!$1:$1,0))="",NA(),INDEX(Aux_puntos!$A$2:$OJ$901,561,MATCH($B$2&amp;"|xI",Aux_puntos!$1:$1,0))),NA())</f>
        <v/>
      </c>
      <c r="AH565">
        <f>IFERROR(IF(INDEX(Aux_puntos!$A$2:$OJ$901,561,MATCH($B$2&amp;"|yI",Aux_puntos!$1:$1,0))="",NA(),INDEX(Aux_puntos!$A$2:$OJ$901,561,MATCH($B$2&amp;"|yI",Aux_puntos!$1:$1,0))),NA())</f>
        <v/>
      </c>
      <c r="AI565">
        <f>IFERROR(IF(INDEX(Aux_puntos!$A$2:$OJ$901,561,MATCH($B$2&amp;"|xN",Aux_puntos!$1:$1,0))="",NA(),INDEX(Aux_puntos!$A$2:$OJ$901,561,MATCH($B$2&amp;"|xN",Aux_puntos!$1:$1,0))),NA())</f>
        <v/>
      </c>
      <c r="AJ565">
        <f>IFERROR(IF(INDEX(Aux_puntos!$A$2:$OJ$901,561,MATCH($B$2&amp;"|yN",Aux_puntos!$1:$1,0))="",NA(),INDEX(Aux_puntos!$A$2:$OJ$901,561,MATCH($B$2&amp;"|yN",Aux_puntos!$1:$1,0))),NA())</f>
        <v/>
      </c>
    </row>
    <row r="566">
      <c r="AC566">
        <f>IFERROR(IF(INDEX(Aux_puntos!$A$2:$OJ$901,562,MATCH($B$2&amp;"|xK",Aux_puntos!$1:$1,0))="",NA(),INDEX(Aux_puntos!$A$2:$OJ$901,562,MATCH($B$2&amp;"|xK",Aux_puntos!$1:$1,0))),NA())</f>
        <v/>
      </c>
      <c r="AD566">
        <f>IFERROR(IF(INDEX(Aux_puntos!$A$2:$OJ$901,562,MATCH($B$2&amp;"|yK",Aux_puntos!$1:$1,0))="",NA(),INDEX(Aux_puntos!$A$2:$OJ$901,562,MATCH($B$2&amp;"|yK",Aux_puntos!$1:$1,0))),NA())</f>
        <v/>
      </c>
      <c r="AE566">
        <f>IFERROR(IF(INDEX(Aux_puntos!$A$2:$OJ$901,562,MATCH($B$2&amp;"|xC",Aux_puntos!$1:$1,0))="",NA(),INDEX(Aux_puntos!$A$2:$OJ$901,562,MATCH($B$2&amp;"|xC",Aux_puntos!$1:$1,0))),NA())</f>
        <v/>
      </c>
      <c r="AF566">
        <f>IFERROR(IF(INDEX(Aux_puntos!$A$2:$OJ$901,562,MATCH($B$2&amp;"|yC",Aux_puntos!$1:$1,0))="",NA(),INDEX(Aux_puntos!$A$2:$OJ$901,562,MATCH($B$2&amp;"|yC",Aux_puntos!$1:$1,0))),NA())</f>
        <v/>
      </c>
      <c r="AG566">
        <f>IFERROR(IF(INDEX(Aux_puntos!$A$2:$OJ$901,562,MATCH($B$2&amp;"|xI",Aux_puntos!$1:$1,0))="",NA(),INDEX(Aux_puntos!$A$2:$OJ$901,562,MATCH($B$2&amp;"|xI",Aux_puntos!$1:$1,0))),NA())</f>
        <v/>
      </c>
      <c r="AH566">
        <f>IFERROR(IF(INDEX(Aux_puntos!$A$2:$OJ$901,562,MATCH($B$2&amp;"|yI",Aux_puntos!$1:$1,0))="",NA(),INDEX(Aux_puntos!$A$2:$OJ$901,562,MATCH($B$2&amp;"|yI",Aux_puntos!$1:$1,0))),NA())</f>
        <v/>
      </c>
      <c r="AI566">
        <f>IFERROR(IF(INDEX(Aux_puntos!$A$2:$OJ$901,562,MATCH($B$2&amp;"|xN",Aux_puntos!$1:$1,0))="",NA(),INDEX(Aux_puntos!$A$2:$OJ$901,562,MATCH($B$2&amp;"|xN",Aux_puntos!$1:$1,0))),NA())</f>
        <v/>
      </c>
      <c r="AJ566">
        <f>IFERROR(IF(INDEX(Aux_puntos!$A$2:$OJ$901,562,MATCH($B$2&amp;"|yN",Aux_puntos!$1:$1,0))="",NA(),INDEX(Aux_puntos!$A$2:$OJ$901,562,MATCH($B$2&amp;"|yN",Aux_puntos!$1:$1,0))),NA())</f>
        <v/>
      </c>
    </row>
    <row r="567">
      <c r="AC567">
        <f>IFERROR(IF(INDEX(Aux_puntos!$A$2:$OJ$901,563,MATCH($B$2&amp;"|xK",Aux_puntos!$1:$1,0))="",NA(),INDEX(Aux_puntos!$A$2:$OJ$901,563,MATCH($B$2&amp;"|xK",Aux_puntos!$1:$1,0))),NA())</f>
        <v/>
      </c>
      <c r="AD567">
        <f>IFERROR(IF(INDEX(Aux_puntos!$A$2:$OJ$901,563,MATCH($B$2&amp;"|yK",Aux_puntos!$1:$1,0))="",NA(),INDEX(Aux_puntos!$A$2:$OJ$901,563,MATCH($B$2&amp;"|yK",Aux_puntos!$1:$1,0))),NA())</f>
        <v/>
      </c>
      <c r="AE567">
        <f>IFERROR(IF(INDEX(Aux_puntos!$A$2:$OJ$901,563,MATCH($B$2&amp;"|xC",Aux_puntos!$1:$1,0))="",NA(),INDEX(Aux_puntos!$A$2:$OJ$901,563,MATCH($B$2&amp;"|xC",Aux_puntos!$1:$1,0))),NA())</f>
        <v/>
      </c>
      <c r="AF567">
        <f>IFERROR(IF(INDEX(Aux_puntos!$A$2:$OJ$901,563,MATCH($B$2&amp;"|yC",Aux_puntos!$1:$1,0))="",NA(),INDEX(Aux_puntos!$A$2:$OJ$901,563,MATCH($B$2&amp;"|yC",Aux_puntos!$1:$1,0))),NA())</f>
        <v/>
      </c>
      <c r="AG567">
        <f>IFERROR(IF(INDEX(Aux_puntos!$A$2:$OJ$901,563,MATCH($B$2&amp;"|xI",Aux_puntos!$1:$1,0))="",NA(),INDEX(Aux_puntos!$A$2:$OJ$901,563,MATCH($B$2&amp;"|xI",Aux_puntos!$1:$1,0))),NA())</f>
        <v/>
      </c>
      <c r="AH567">
        <f>IFERROR(IF(INDEX(Aux_puntos!$A$2:$OJ$901,563,MATCH($B$2&amp;"|yI",Aux_puntos!$1:$1,0))="",NA(),INDEX(Aux_puntos!$A$2:$OJ$901,563,MATCH($B$2&amp;"|yI",Aux_puntos!$1:$1,0))),NA())</f>
        <v/>
      </c>
      <c r="AI567">
        <f>IFERROR(IF(INDEX(Aux_puntos!$A$2:$OJ$901,563,MATCH($B$2&amp;"|xN",Aux_puntos!$1:$1,0))="",NA(),INDEX(Aux_puntos!$A$2:$OJ$901,563,MATCH($B$2&amp;"|xN",Aux_puntos!$1:$1,0))),NA())</f>
        <v/>
      </c>
      <c r="AJ567">
        <f>IFERROR(IF(INDEX(Aux_puntos!$A$2:$OJ$901,563,MATCH($B$2&amp;"|yN",Aux_puntos!$1:$1,0))="",NA(),INDEX(Aux_puntos!$A$2:$OJ$901,563,MATCH($B$2&amp;"|yN",Aux_puntos!$1:$1,0))),NA())</f>
        <v/>
      </c>
    </row>
    <row r="568">
      <c r="AC568">
        <f>IFERROR(IF(INDEX(Aux_puntos!$A$2:$OJ$901,564,MATCH($B$2&amp;"|xK",Aux_puntos!$1:$1,0))="",NA(),INDEX(Aux_puntos!$A$2:$OJ$901,564,MATCH($B$2&amp;"|xK",Aux_puntos!$1:$1,0))),NA())</f>
        <v/>
      </c>
      <c r="AD568">
        <f>IFERROR(IF(INDEX(Aux_puntos!$A$2:$OJ$901,564,MATCH($B$2&amp;"|yK",Aux_puntos!$1:$1,0))="",NA(),INDEX(Aux_puntos!$A$2:$OJ$901,564,MATCH($B$2&amp;"|yK",Aux_puntos!$1:$1,0))),NA())</f>
        <v/>
      </c>
      <c r="AE568">
        <f>IFERROR(IF(INDEX(Aux_puntos!$A$2:$OJ$901,564,MATCH($B$2&amp;"|xC",Aux_puntos!$1:$1,0))="",NA(),INDEX(Aux_puntos!$A$2:$OJ$901,564,MATCH($B$2&amp;"|xC",Aux_puntos!$1:$1,0))),NA())</f>
        <v/>
      </c>
      <c r="AF568">
        <f>IFERROR(IF(INDEX(Aux_puntos!$A$2:$OJ$901,564,MATCH($B$2&amp;"|yC",Aux_puntos!$1:$1,0))="",NA(),INDEX(Aux_puntos!$A$2:$OJ$901,564,MATCH($B$2&amp;"|yC",Aux_puntos!$1:$1,0))),NA())</f>
        <v/>
      </c>
      <c r="AG568">
        <f>IFERROR(IF(INDEX(Aux_puntos!$A$2:$OJ$901,564,MATCH($B$2&amp;"|xI",Aux_puntos!$1:$1,0))="",NA(),INDEX(Aux_puntos!$A$2:$OJ$901,564,MATCH($B$2&amp;"|xI",Aux_puntos!$1:$1,0))),NA())</f>
        <v/>
      </c>
      <c r="AH568">
        <f>IFERROR(IF(INDEX(Aux_puntos!$A$2:$OJ$901,564,MATCH($B$2&amp;"|yI",Aux_puntos!$1:$1,0))="",NA(),INDEX(Aux_puntos!$A$2:$OJ$901,564,MATCH($B$2&amp;"|yI",Aux_puntos!$1:$1,0))),NA())</f>
        <v/>
      </c>
      <c r="AI568">
        <f>IFERROR(IF(INDEX(Aux_puntos!$A$2:$OJ$901,564,MATCH($B$2&amp;"|xN",Aux_puntos!$1:$1,0))="",NA(),INDEX(Aux_puntos!$A$2:$OJ$901,564,MATCH($B$2&amp;"|xN",Aux_puntos!$1:$1,0))),NA())</f>
        <v/>
      </c>
      <c r="AJ568">
        <f>IFERROR(IF(INDEX(Aux_puntos!$A$2:$OJ$901,564,MATCH($B$2&amp;"|yN",Aux_puntos!$1:$1,0))="",NA(),INDEX(Aux_puntos!$A$2:$OJ$901,564,MATCH($B$2&amp;"|yN",Aux_puntos!$1:$1,0))),NA())</f>
        <v/>
      </c>
    </row>
    <row r="569">
      <c r="AC569">
        <f>IFERROR(IF(INDEX(Aux_puntos!$A$2:$OJ$901,565,MATCH($B$2&amp;"|xK",Aux_puntos!$1:$1,0))="",NA(),INDEX(Aux_puntos!$A$2:$OJ$901,565,MATCH($B$2&amp;"|xK",Aux_puntos!$1:$1,0))),NA())</f>
        <v/>
      </c>
      <c r="AD569">
        <f>IFERROR(IF(INDEX(Aux_puntos!$A$2:$OJ$901,565,MATCH($B$2&amp;"|yK",Aux_puntos!$1:$1,0))="",NA(),INDEX(Aux_puntos!$A$2:$OJ$901,565,MATCH($B$2&amp;"|yK",Aux_puntos!$1:$1,0))),NA())</f>
        <v/>
      </c>
      <c r="AE569">
        <f>IFERROR(IF(INDEX(Aux_puntos!$A$2:$OJ$901,565,MATCH($B$2&amp;"|xC",Aux_puntos!$1:$1,0))="",NA(),INDEX(Aux_puntos!$A$2:$OJ$901,565,MATCH($B$2&amp;"|xC",Aux_puntos!$1:$1,0))),NA())</f>
        <v/>
      </c>
      <c r="AF569">
        <f>IFERROR(IF(INDEX(Aux_puntos!$A$2:$OJ$901,565,MATCH($B$2&amp;"|yC",Aux_puntos!$1:$1,0))="",NA(),INDEX(Aux_puntos!$A$2:$OJ$901,565,MATCH($B$2&amp;"|yC",Aux_puntos!$1:$1,0))),NA())</f>
        <v/>
      </c>
      <c r="AG569">
        <f>IFERROR(IF(INDEX(Aux_puntos!$A$2:$OJ$901,565,MATCH($B$2&amp;"|xI",Aux_puntos!$1:$1,0))="",NA(),INDEX(Aux_puntos!$A$2:$OJ$901,565,MATCH($B$2&amp;"|xI",Aux_puntos!$1:$1,0))),NA())</f>
        <v/>
      </c>
      <c r="AH569">
        <f>IFERROR(IF(INDEX(Aux_puntos!$A$2:$OJ$901,565,MATCH($B$2&amp;"|yI",Aux_puntos!$1:$1,0))="",NA(),INDEX(Aux_puntos!$A$2:$OJ$901,565,MATCH($B$2&amp;"|yI",Aux_puntos!$1:$1,0))),NA())</f>
        <v/>
      </c>
      <c r="AI569">
        <f>IFERROR(IF(INDEX(Aux_puntos!$A$2:$OJ$901,565,MATCH($B$2&amp;"|xN",Aux_puntos!$1:$1,0))="",NA(),INDEX(Aux_puntos!$A$2:$OJ$901,565,MATCH($B$2&amp;"|xN",Aux_puntos!$1:$1,0))),NA())</f>
        <v/>
      </c>
      <c r="AJ569">
        <f>IFERROR(IF(INDEX(Aux_puntos!$A$2:$OJ$901,565,MATCH($B$2&amp;"|yN",Aux_puntos!$1:$1,0))="",NA(),INDEX(Aux_puntos!$A$2:$OJ$901,565,MATCH($B$2&amp;"|yN",Aux_puntos!$1:$1,0))),NA())</f>
        <v/>
      </c>
    </row>
    <row r="570">
      <c r="AC570">
        <f>IFERROR(IF(INDEX(Aux_puntos!$A$2:$OJ$901,566,MATCH($B$2&amp;"|xK",Aux_puntos!$1:$1,0))="",NA(),INDEX(Aux_puntos!$A$2:$OJ$901,566,MATCH($B$2&amp;"|xK",Aux_puntos!$1:$1,0))),NA())</f>
        <v/>
      </c>
      <c r="AD570">
        <f>IFERROR(IF(INDEX(Aux_puntos!$A$2:$OJ$901,566,MATCH($B$2&amp;"|yK",Aux_puntos!$1:$1,0))="",NA(),INDEX(Aux_puntos!$A$2:$OJ$901,566,MATCH($B$2&amp;"|yK",Aux_puntos!$1:$1,0))),NA())</f>
        <v/>
      </c>
      <c r="AE570">
        <f>IFERROR(IF(INDEX(Aux_puntos!$A$2:$OJ$901,566,MATCH($B$2&amp;"|xC",Aux_puntos!$1:$1,0))="",NA(),INDEX(Aux_puntos!$A$2:$OJ$901,566,MATCH($B$2&amp;"|xC",Aux_puntos!$1:$1,0))),NA())</f>
        <v/>
      </c>
      <c r="AF570">
        <f>IFERROR(IF(INDEX(Aux_puntos!$A$2:$OJ$901,566,MATCH($B$2&amp;"|yC",Aux_puntos!$1:$1,0))="",NA(),INDEX(Aux_puntos!$A$2:$OJ$901,566,MATCH($B$2&amp;"|yC",Aux_puntos!$1:$1,0))),NA())</f>
        <v/>
      </c>
      <c r="AG570">
        <f>IFERROR(IF(INDEX(Aux_puntos!$A$2:$OJ$901,566,MATCH($B$2&amp;"|xI",Aux_puntos!$1:$1,0))="",NA(),INDEX(Aux_puntos!$A$2:$OJ$901,566,MATCH($B$2&amp;"|xI",Aux_puntos!$1:$1,0))),NA())</f>
        <v/>
      </c>
      <c r="AH570">
        <f>IFERROR(IF(INDEX(Aux_puntos!$A$2:$OJ$901,566,MATCH($B$2&amp;"|yI",Aux_puntos!$1:$1,0))="",NA(),INDEX(Aux_puntos!$A$2:$OJ$901,566,MATCH($B$2&amp;"|yI",Aux_puntos!$1:$1,0))),NA())</f>
        <v/>
      </c>
      <c r="AI570">
        <f>IFERROR(IF(INDEX(Aux_puntos!$A$2:$OJ$901,566,MATCH($B$2&amp;"|xN",Aux_puntos!$1:$1,0))="",NA(),INDEX(Aux_puntos!$A$2:$OJ$901,566,MATCH($B$2&amp;"|xN",Aux_puntos!$1:$1,0))),NA())</f>
        <v/>
      </c>
      <c r="AJ570">
        <f>IFERROR(IF(INDEX(Aux_puntos!$A$2:$OJ$901,566,MATCH($B$2&amp;"|yN",Aux_puntos!$1:$1,0))="",NA(),INDEX(Aux_puntos!$A$2:$OJ$901,566,MATCH($B$2&amp;"|yN",Aux_puntos!$1:$1,0))),NA())</f>
        <v/>
      </c>
    </row>
    <row r="571">
      <c r="AC571">
        <f>IFERROR(IF(INDEX(Aux_puntos!$A$2:$OJ$901,567,MATCH($B$2&amp;"|xK",Aux_puntos!$1:$1,0))="",NA(),INDEX(Aux_puntos!$A$2:$OJ$901,567,MATCH($B$2&amp;"|xK",Aux_puntos!$1:$1,0))),NA())</f>
        <v/>
      </c>
      <c r="AD571">
        <f>IFERROR(IF(INDEX(Aux_puntos!$A$2:$OJ$901,567,MATCH($B$2&amp;"|yK",Aux_puntos!$1:$1,0))="",NA(),INDEX(Aux_puntos!$A$2:$OJ$901,567,MATCH($B$2&amp;"|yK",Aux_puntos!$1:$1,0))),NA())</f>
        <v/>
      </c>
      <c r="AE571">
        <f>IFERROR(IF(INDEX(Aux_puntos!$A$2:$OJ$901,567,MATCH($B$2&amp;"|xC",Aux_puntos!$1:$1,0))="",NA(),INDEX(Aux_puntos!$A$2:$OJ$901,567,MATCH($B$2&amp;"|xC",Aux_puntos!$1:$1,0))),NA())</f>
        <v/>
      </c>
      <c r="AF571">
        <f>IFERROR(IF(INDEX(Aux_puntos!$A$2:$OJ$901,567,MATCH($B$2&amp;"|yC",Aux_puntos!$1:$1,0))="",NA(),INDEX(Aux_puntos!$A$2:$OJ$901,567,MATCH($B$2&amp;"|yC",Aux_puntos!$1:$1,0))),NA())</f>
        <v/>
      </c>
      <c r="AG571">
        <f>IFERROR(IF(INDEX(Aux_puntos!$A$2:$OJ$901,567,MATCH($B$2&amp;"|xI",Aux_puntos!$1:$1,0))="",NA(),INDEX(Aux_puntos!$A$2:$OJ$901,567,MATCH($B$2&amp;"|xI",Aux_puntos!$1:$1,0))),NA())</f>
        <v/>
      </c>
      <c r="AH571">
        <f>IFERROR(IF(INDEX(Aux_puntos!$A$2:$OJ$901,567,MATCH($B$2&amp;"|yI",Aux_puntos!$1:$1,0))="",NA(),INDEX(Aux_puntos!$A$2:$OJ$901,567,MATCH($B$2&amp;"|yI",Aux_puntos!$1:$1,0))),NA())</f>
        <v/>
      </c>
      <c r="AI571">
        <f>IFERROR(IF(INDEX(Aux_puntos!$A$2:$OJ$901,567,MATCH($B$2&amp;"|xN",Aux_puntos!$1:$1,0))="",NA(),INDEX(Aux_puntos!$A$2:$OJ$901,567,MATCH($B$2&amp;"|xN",Aux_puntos!$1:$1,0))),NA())</f>
        <v/>
      </c>
      <c r="AJ571">
        <f>IFERROR(IF(INDEX(Aux_puntos!$A$2:$OJ$901,567,MATCH($B$2&amp;"|yN",Aux_puntos!$1:$1,0))="",NA(),INDEX(Aux_puntos!$A$2:$OJ$901,567,MATCH($B$2&amp;"|yN",Aux_puntos!$1:$1,0))),NA())</f>
        <v/>
      </c>
    </row>
    <row r="572">
      <c r="AC572">
        <f>IFERROR(IF(INDEX(Aux_puntos!$A$2:$OJ$901,568,MATCH($B$2&amp;"|xK",Aux_puntos!$1:$1,0))="",NA(),INDEX(Aux_puntos!$A$2:$OJ$901,568,MATCH($B$2&amp;"|xK",Aux_puntos!$1:$1,0))),NA())</f>
        <v/>
      </c>
      <c r="AD572">
        <f>IFERROR(IF(INDEX(Aux_puntos!$A$2:$OJ$901,568,MATCH($B$2&amp;"|yK",Aux_puntos!$1:$1,0))="",NA(),INDEX(Aux_puntos!$A$2:$OJ$901,568,MATCH($B$2&amp;"|yK",Aux_puntos!$1:$1,0))),NA())</f>
        <v/>
      </c>
      <c r="AE572">
        <f>IFERROR(IF(INDEX(Aux_puntos!$A$2:$OJ$901,568,MATCH($B$2&amp;"|xC",Aux_puntos!$1:$1,0))="",NA(),INDEX(Aux_puntos!$A$2:$OJ$901,568,MATCH($B$2&amp;"|xC",Aux_puntos!$1:$1,0))),NA())</f>
        <v/>
      </c>
      <c r="AF572">
        <f>IFERROR(IF(INDEX(Aux_puntos!$A$2:$OJ$901,568,MATCH($B$2&amp;"|yC",Aux_puntos!$1:$1,0))="",NA(),INDEX(Aux_puntos!$A$2:$OJ$901,568,MATCH($B$2&amp;"|yC",Aux_puntos!$1:$1,0))),NA())</f>
        <v/>
      </c>
      <c r="AG572">
        <f>IFERROR(IF(INDEX(Aux_puntos!$A$2:$OJ$901,568,MATCH($B$2&amp;"|xI",Aux_puntos!$1:$1,0))="",NA(),INDEX(Aux_puntos!$A$2:$OJ$901,568,MATCH($B$2&amp;"|xI",Aux_puntos!$1:$1,0))),NA())</f>
        <v/>
      </c>
      <c r="AH572">
        <f>IFERROR(IF(INDEX(Aux_puntos!$A$2:$OJ$901,568,MATCH($B$2&amp;"|yI",Aux_puntos!$1:$1,0))="",NA(),INDEX(Aux_puntos!$A$2:$OJ$901,568,MATCH($B$2&amp;"|yI",Aux_puntos!$1:$1,0))),NA())</f>
        <v/>
      </c>
      <c r="AI572">
        <f>IFERROR(IF(INDEX(Aux_puntos!$A$2:$OJ$901,568,MATCH($B$2&amp;"|xN",Aux_puntos!$1:$1,0))="",NA(),INDEX(Aux_puntos!$A$2:$OJ$901,568,MATCH($B$2&amp;"|xN",Aux_puntos!$1:$1,0))),NA())</f>
        <v/>
      </c>
      <c r="AJ572">
        <f>IFERROR(IF(INDEX(Aux_puntos!$A$2:$OJ$901,568,MATCH($B$2&amp;"|yN",Aux_puntos!$1:$1,0))="",NA(),INDEX(Aux_puntos!$A$2:$OJ$901,568,MATCH($B$2&amp;"|yN",Aux_puntos!$1:$1,0))),NA())</f>
        <v/>
      </c>
    </row>
    <row r="573">
      <c r="AC573">
        <f>IFERROR(IF(INDEX(Aux_puntos!$A$2:$OJ$901,569,MATCH($B$2&amp;"|xK",Aux_puntos!$1:$1,0))="",NA(),INDEX(Aux_puntos!$A$2:$OJ$901,569,MATCH($B$2&amp;"|xK",Aux_puntos!$1:$1,0))),NA())</f>
        <v/>
      </c>
      <c r="AD573">
        <f>IFERROR(IF(INDEX(Aux_puntos!$A$2:$OJ$901,569,MATCH($B$2&amp;"|yK",Aux_puntos!$1:$1,0))="",NA(),INDEX(Aux_puntos!$A$2:$OJ$901,569,MATCH($B$2&amp;"|yK",Aux_puntos!$1:$1,0))),NA())</f>
        <v/>
      </c>
      <c r="AE573">
        <f>IFERROR(IF(INDEX(Aux_puntos!$A$2:$OJ$901,569,MATCH($B$2&amp;"|xC",Aux_puntos!$1:$1,0))="",NA(),INDEX(Aux_puntos!$A$2:$OJ$901,569,MATCH($B$2&amp;"|xC",Aux_puntos!$1:$1,0))),NA())</f>
        <v/>
      </c>
      <c r="AF573">
        <f>IFERROR(IF(INDEX(Aux_puntos!$A$2:$OJ$901,569,MATCH($B$2&amp;"|yC",Aux_puntos!$1:$1,0))="",NA(),INDEX(Aux_puntos!$A$2:$OJ$901,569,MATCH($B$2&amp;"|yC",Aux_puntos!$1:$1,0))),NA())</f>
        <v/>
      </c>
      <c r="AG573">
        <f>IFERROR(IF(INDEX(Aux_puntos!$A$2:$OJ$901,569,MATCH($B$2&amp;"|xI",Aux_puntos!$1:$1,0))="",NA(),INDEX(Aux_puntos!$A$2:$OJ$901,569,MATCH($B$2&amp;"|xI",Aux_puntos!$1:$1,0))),NA())</f>
        <v/>
      </c>
      <c r="AH573">
        <f>IFERROR(IF(INDEX(Aux_puntos!$A$2:$OJ$901,569,MATCH($B$2&amp;"|yI",Aux_puntos!$1:$1,0))="",NA(),INDEX(Aux_puntos!$A$2:$OJ$901,569,MATCH($B$2&amp;"|yI",Aux_puntos!$1:$1,0))),NA())</f>
        <v/>
      </c>
      <c r="AI573">
        <f>IFERROR(IF(INDEX(Aux_puntos!$A$2:$OJ$901,569,MATCH($B$2&amp;"|xN",Aux_puntos!$1:$1,0))="",NA(),INDEX(Aux_puntos!$A$2:$OJ$901,569,MATCH($B$2&amp;"|xN",Aux_puntos!$1:$1,0))),NA())</f>
        <v/>
      </c>
      <c r="AJ573">
        <f>IFERROR(IF(INDEX(Aux_puntos!$A$2:$OJ$901,569,MATCH($B$2&amp;"|yN",Aux_puntos!$1:$1,0))="",NA(),INDEX(Aux_puntos!$A$2:$OJ$901,569,MATCH($B$2&amp;"|yN",Aux_puntos!$1:$1,0))),NA())</f>
        <v/>
      </c>
    </row>
    <row r="574">
      <c r="AC574">
        <f>IFERROR(IF(INDEX(Aux_puntos!$A$2:$OJ$901,570,MATCH($B$2&amp;"|xK",Aux_puntos!$1:$1,0))="",NA(),INDEX(Aux_puntos!$A$2:$OJ$901,570,MATCH($B$2&amp;"|xK",Aux_puntos!$1:$1,0))),NA())</f>
        <v/>
      </c>
      <c r="AD574">
        <f>IFERROR(IF(INDEX(Aux_puntos!$A$2:$OJ$901,570,MATCH($B$2&amp;"|yK",Aux_puntos!$1:$1,0))="",NA(),INDEX(Aux_puntos!$A$2:$OJ$901,570,MATCH($B$2&amp;"|yK",Aux_puntos!$1:$1,0))),NA())</f>
        <v/>
      </c>
      <c r="AE574">
        <f>IFERROR(IF(INDEX(Aux_puntos!$A$2:$OJ$901,570,MATCH($B$2&amp;"|xC",Aux_puntos!$1:$1,0))="",NA(),INDEX(Aux_puntos!$A$2:$OJ$901,570,MATCH($B$2&amp;"|xC",Aux_puntos!$1:$1,0))),NA())</f>
        <v/>
      </c>
      <c r="AF574">
        <f>IFERROR(IF(INDEX(Aux_puntos!$A$2:$OJ$901,570,MATCH($B$2&amp;"|yC",Aux_puntos!$1:$1,0))="",NA(),INDEX(Aux_puntos!$A$2:$OJ$901,570,MATCH($B$2&amp;"|yC",Aux_puntos!$1:$1,0))),NA())</f>
        <v/>
      </c>
      <c r="AG574">
        <f>IFERROR(IF(INDEX(Aux_puntos!$A$2:$OJ$901,570,MATCH($B$2&amp;"|xI",Aux_puntos!$1:$1,0))="",NA(),INDEX(Aux_puntos!$A$2:$OJ$901,570,MATCH($B$2&amp;"|xI",Aux_puntos!$1:$1,0))),NA())</f>
        <v/>
      </c>
      <c r="AH574">
        <f>IFERROR(IF(INDEX(Aux_puntos!$A$2:$OJ$901,570,MATCH($B$2&amp;"|yI",Aux_puntos!$1:$1,0))="",NA(),INDEX(Aux_puntos!$A$2:$OJ$901,570,MATCH($B$2&amp;"|yI",Aux_puntos!$1:$1,0))),NA())</f>
        <v/>
      </c>
      <c r="AI574">
        <f>IFERROR(IF(INDEX(Aux_puntos!$A$2:$OJ$901,570,MATCH($B$2&amp;"|xN",Aux_puntos!$1:$1,0))="",NA(),INDEX(Aux_puntos!$A$2:$OJ$901,570,MATCH($B$2&amp;"|xN",Aux_puntos!$1:$1,0))),NA())</f>
        <v/>
      </c>
      <c r="AJ574">
        <f>IFERROR(IF(INDEX(Aux_puntos!$A$2:$OJ$901,570,MATCH($B$2&amp;"|yN",Aux_puntos!$1:$1,0))="",NA(),INDEX(Aux_puntos!$A$2:$OJ$901,570,MATCH($B$2&amp;"|yN",Aux_puntos!$1:$1,0))),NA())</f>
        <v/>
      </c>
    </row>
    <row r="575">
      <c r="AC575">
        <f>IFERROR(IF(INDEX(Aux_puntos!$A$2:$OJ$901,571,MATCH($B$2&amp;"|xK",Aux_puntos!$1:$1,0))="",NA(),INDEX(Aux_puntos!$A$2:$OJ$901,571,MATCH($B$2&amp;"|xK",Aux_puntos!$1:$1,0))),NA())</f>
        <v/>
      </c>
      <c r="AD575">
        <f>IFERROR(IF(INDEX(Aux_puntos!$A$2:$OJ$901,571,MATCH($B$2&amp;"|yK",Aux_puntos!$1:$1,0))="",NA(),INDEX(Aux_puntos!$A$2:$OJ$901,571,MATCH($B$2&amp;"|yK",Aux_puntos!$1:$1,0))),NA())</f>
        <v/>
      </c>
      <c r="AE575">
        <f>IFERROR(IF(INDEX(Aux_puntos!$A$2:$OJ$901,571,MATCH($B$2&amp;"|xC",Aux_puntos!$1:$1,0))="",NA(),INDEX(Aux_puntos!$A$2:$OJ$901,571,MATCH($B$2&amp;"|xC",Aux_puntos!$1:$1,0))),NA())</f>
        <v/>
      </c>
      <c r="AF575">
        <f>IFERROR(IF(INDEX(Aux_puntos!$A$2:$OJ$901,571,MATCH($B$2&amp;"|yC",Aux_puntos!$1:$1,0))="",NA(),INDEX(Aux_puntos!$A$2:$OJ$901,571,MATCH($B$2&amp;"|yC",Aux_puntos!$1:$1,0))),NA())</f>
        <v/>
      </c>
      <c r="AG575">
        <f>IFERROR(IF(INDEX(Aux_puntos!$A$2:$OJ$901,571,MATCH($B$2&amp;"|xI",Aux_puntos!$1:$1,0))="",NA(),INDEX(Aux_puntos!$A$2:$OJ$901,571,MATCH($B$2&amp;"|xI",Aux_puntos!$1:$1,0))),NA())</f>
        <v/>
      </c>
      <c r="AH575">
        <f>IFERROR(IF(INDEX(Aux_puntos!$A$2:$OJ$901,571,MATCH($B$2&amp;"|yI",Aux_puntos!$1:$1,0))="",NA(),INDEX(Aux_puntos!$A$2:$OJ$901,571,MATCH($B$2&amp;"|yI",Aux_puntos!$1:$1,0))),NA())</f>
        <v/>
      </c>
      <c r="AI575">
        <f>IFERROR(IF(INDEX(Aux_puntos!$A$2:$OJ$901,571,MATCH($B$2&amp;"|xN",Aux_puntos!$1:$1,0))="",NA(),INDEX(Aux_puntos!$A$2:$OJ$901,571,MATCH($B$2&amp;"|xN",Aux_puntos!$1:$1,0))),NA())</f>
        <v/>
      </c>
      <c r="AJ575">
        <f>IFERROR(IF(INDEX(Aux_puntos!$A$2:$OJ$901,571,MATCH($B$2&amp;"|yN",Aux_puntos!$1:$1,0))="",NA(),INDEX(Aux_puntos!$A$2:$OJ$901,571,MATCH($B$2&amp;"|yN",Aux_puntos!$1:$1,0))),NA())</f>
        <v/>
      </c>
    </row>
    <row r="576">
      <c r="AC576">
        <f>IFERROR(IF(INDEX(Aux_puntos!$A$2:$OJ$901,572,MATCH($B$2&amp;"|xK",Aux_puntos!$1:$1,0))="",NA(),INDEX(Aux_puntos!$A$2:$OJ$901,572,MATCH($B$2&amp;"|xK",Aux_puntos!$1:$1,0))),NA())</f>
        <v/>
      </c>
      <c r="AD576">
        <f>IFERROR(IF(INDEX(Aux_puntos!$A$2:$OJ$901,572,MATCH($B$2&amp;"|yK",Aux_puntos!$1:$1,0))="",NA(),INDEX(Aux_puntos!$A$2:$OJ$901,572,MATCH($B$2&amp;"|yK",Aux_puntos!$1:$1,0))),NA())</f>
        <v/>
      </c>
      <c r="AE576">
        <f>IFERROR(IF(INDEX(Aux_puntos!$A$2:$OJ$901,572,MATCH($B$2&amp;"|xC",Aux_puntos!$1:$1,0))="",NA(),INDEX(Aux_puntos!$A$2:$OJ$901,572,MATCH($B$2&amp;"|xC",Aux_puntos!$1:$1,0))),NA())</f>
        <v/>
      </c>
      <c r="AF576">
        <f>IFERROR(IF(INDEX(Aux_puntos!$A$2:$OJ$901,572,MATCH($B$2&amp;"|yC",Aux_puntos!$1:$1,0))="",NA(),INDEX(Aux_puntos!$A$2:$OJ$901,572,MATCH($B$2&amp;"|yC",Aux_puntos!$1:$1,0))),NA())</f>
        <v/>
      </c>
      <c r="AG576">
        <f>IFERROR(IF(INDEX(Aux_puntos!$A$2:$OJ$901,572,MATCH($B$2&amp;"|xI",Aux_puntos!$1:$1,0))="",NA(),INDEX(Aux_puntos!$A$2:$OJ$901,572,MATCH($B$2&amp;"|xI",Aux_puntos!$1:$1,0))),NA())</f>
        <v/>
      </c>
      <c r="AH576">
        <f>IFERROR(IF(INDEX(Aux_puntos!$A$2:$OJ$901,572,MATCH($B$2&amp;"|yI",Aux_puntos!$1:$1,0))="",NA(),INDEX(Aux_puntos!$A$2:$OJ$901,572,MATCH($B$2&amp;"|yI",Aux_puntos!$1:$1,0))),NA())</f>
        <v/>
      </c>
      <c r="AI576">
        <f>IFERROR(IF(INDEX(Aux_puntos!$A$2:$OJ$901,572,MATCH($B$2&amp;"|xN",Aux_puntos!$1:$1,0))="",NA(),INDEX(Aux_puntos!$A$2:$OJ$901,572,MATCH($B$2&amp;"|xN",Aux_puntos!$1:$1,0))),NA())</f>
        <v/>
      </c>
      <c r="AJ576">
        <f>IFERROR(IF(INDEX(Aux_puntos!$A$2:$OJ$901,572,MATCH($B$2&amp;"|yN",Aux_puntos!$1:$1,0))="",NA(),INDEX(Aux_puntos!$A$2:$OJ$901,572,MATCH($B$2&amp;"|yN",Aux_puntos!$1:$1,0))),NA())</f>
        <v/>
      </c>
    </row>
    <row r="577">
      <c r="AC577">
        <f>IFERROR(IF(INDEX(Aux_puntos!$A$2:$OJ$901,573,MATCH($B$2&amp;"|xK",Aux_puntos!$1:$1,0))="",NA(),INDEX(Aux_puntos!$A$2:$OJ$901,573,MATCH($B$2&amp;"|xK",Aux_puntos!$1:$1,0))),NA())</f>
        <v/>
      </c>
      <c r="AD577">
        <f>IFERROR(IF(INDEX(Aux_puntos!$A$2:$OJ$901,573,MATCH($B$2&amp;"|yK",Aux_puntos!$1:$1,0))="",NA(),INDEX(Aux_puntos!$A$2:$OJ$901,573,MATCH($B$2&amp;"|yK",Aux_puntos!$1:$1,0))),NA())</f>
        <v/>
      </c>
      <c r="AE577">
        <f>IFERROR(IF(INDEX(Aux_puntos!$A$2:$OJ$901,573,MATCH($B$2&amp;"|xC",Aux_puntos!$1:$1,0))="",NA(),INDEX(Aux_puntos!$A$2:$OJ$901,573,MATCH($B$2&amp;"|xC",Aux_puntos!$1:$1,0))),NA())</f>
        <v/>
      </c>
      <c r="AF577">
        <f>IFERROR(IF(INDEX(Aux_puntos!$A$2:$OJ$901,573,MATCH($B$2&amp;"|yC",Aux_puntos!$1:$1,0))="",NA(),INDEX(Aux_puntos!$A$2:$OJ$901,573,MATCH($B$2&amp;"|yC",Aux_puntos!$1:$1,0))),NA())</f>
        <v/>
      </c>
      <c r="AG577">
        <f>IFERROR(IF(INDEX(Aux_puntos!$A$2:$OJ$901,573,MATCH($B$2&amp;"|xI",Aux_puntos!$1:$1,0))="",NA(),INDEX(Aux_puntos!$A$2:$OJ$901,573,MATCH($B$2&amp;"|xI",Aux_puntos!$1:$1,0))),NA())</f>
        <v/>
      </c>
      <c r="AH577">
        <f>IFERROR(IF(INDEX(Aux_puntos!$A$2:$OJ$901,573,MATCH($B$2&amp;"|yI",Aux_puntos!$1:$1,0))="",NA(),INDEX(Aux_puntos!$A$2:$OJ$901,573,MATCH($B$2&amp;"|yI",Aux_puntos!$1:$1,0))),NA())</f>
        <v/>
      </c>
      <c r="AI577">
        <f>IFERROR(IF(INDEX(Aux_puntos!$A$2:$OJ$901,573,MATCH($B$2&amp;"|xN",Aux_puntos!$1:$1,0))="",NA(),INDEX(Aux_puntos!$A$2:$OJ$901,573,MATCH($B$2&amp;"|xN",Aux_puntos!$1:$1,0))),NA())</f>
        <v/>
      </c>
      <c r="AJ577">
        <f>IFERROR(IF(INDEX(Aux_puntos!$A$2:$OJ$901,573,MATCH($B$2&amp;"|yN",Aux_puntos!$1:$1,0))="",NA(),INDEX(Aux_puntos!$A$2:$OJ$901,573,MATCH($B$2&amp;"|yN",Aux_puntos!$1:$1,0))),NA())</f>
        <v/>
      </c>
    </row>
    <row r="578">
      <c r="AC578">
        <f>IFERROR(IF(INDEX(Aux_puntos!$A$2:$OJ$901,574,MATCH($B$2&amp;"|xK",Aux_puntos!$1:$1,0))="",NA(),INDEX(Aux_puntos!$A$2:$OJ$901,574,MATCH($B$2&amp;"|xK",Aux_puntos!$1:$1,0))),NA())</f>
        <v/>
      </c>
      <c r="AD578">
        <f>IFERROR(IF(INDEX(Aux_puntos!$A$2:$OJ$901,574,MATCH($B$2&amp;"|yK",Aux_puntos!$1:$1,0))="",NA(),INDEX(Aux_puntos!$A$2:$OJ$901,574,MATCH($B$2&amp;"|yK",Aux_puntos!$1:$1,0))),NA())</f>
        <v/>
      </c>
      <c r="AE578">
        <f>IFERROR(IF(INDEX(Aux_puntos!$A$2:$OJ$901,574,MATCH($B$2&amp;"|xC",Aux_puntos!$1:$1,0))="",NA(),INDEX(Aux_puntos!$A$2:$OJ$901,574,MATCH($B$2&amp;"|xC",Aux_puntos!$1:$1,0))),NA())</f>
        <v/>
      </c>
      <c r="AF578">
        <f>IFERROR(IF(INDEX(Aux_puntos!$A$2:$OJ$901,574,MATCH($B$2&amp;"|yC",Aux_puntos!$1:$1,0))="",NA(),INDEX(Aux_puntos!$A$2:$OJ$901,574,MATCH($B$2&amp;"|yC",Aux_puntos!$1:$1,0))),NA())</f>
        <v/>
      </c>
      <c r="AG578">
        <f>IFERROR(IF(INDEX(Aux_puntos!$A$2:$OJ$901,574,MATCH($B$2&amp;"|xI",Aux_puntos!$1:$1,0))="",NA(),INDEX(Aux_puntos!$A$2:$OJ$901,574,MATCH($B$2&amp;"|xI",Aux_puntos!$1:$1,0))),NA())</f>
        <v/>
      </c>
      <c r="AH578">
        <f>IFERROR(IF(INDEX(Aux_puntos!$A$2:$OJ$901,574,MATCH($B$2&amp;"|yI",Aux_puntos!$1:$1,0))="",NA(),INDEX(Aux_puntos!$A$2:$OJ$901,574,MATCH($B$2&amp;"|yI",Aux_puntos!$1:$1,0))),NA())</f>
        <v/>
      </c>
      <c r="AI578">
        <f>IFERROR(IF(INDEX(Aux_puntos!$A$2:$OJ$901,574,MATCH($B$2&amp;"|xN",Aux_puntos!$1:$1,0))="",NA(),INDEX(Aux_puntos!$A$2:$OJ$901,574,MATCH($B$2&amp;"|xN",Aux_puntos!$1:$1,0))),NA())</f>
        <v/>
      </c>
      <c r="AJ578">
        <f>IFERROR(IF(INDEX(Aux_puntos!$A$2:$OJ$901,574,MATCH($B$2&amp;"|yN",Aux_puntos!$1:$1,0))="",NA(),INDEX(Aux_puntos!$A$2:$OJ$901,574,MATCH($B$2&amp;"|yN",Aux_puntos!$1:$1,0))),NA())</f>
        <v/>
      </c>
    </row>
    <row r="579">
      <c r="AC579">
        <f>IFERROR(IF(INDEX(Aux_puntos!$A$2:$OJ$901,575,MATCH($B$2&amp;"|xK",Aux_puntos!$1:$1,0))="",NA(),INDEX(Aux_puntos!$A$2:$OJ$901,575,MATCH($B$2&amp;"|xK",Aux_puntos!$1:$1,0))),NA())</f>
        <v/>
      </c>
      <c r="AD579">
        <f>IFERROR(IF(INDEX(Aux_puntos!$A$2:$OJ$901,575,MATCH($B$2&amp;"|yK",Aux_puntos!$1:$1,0))="",NA(),INDEX(Aux_puntos!$A$2:$OJ$901,575,MATCH($B$2&amp;"|yK",Aux_puntos!$1:$1,0))),NA())</f>
        <v/>
      </c>
      <c r="AE579">
        <f>IFERROR(IF(INDEX(Aux_puntos!$A$2:$OJ$901,575,MATCH($B$2&amp;"|xC",Aux_puntos!$1:$1,0))="",NA(),INDEX(Aux_puntos!$A$2:$OJ$901,575,MATCH($B$2&amp;"|xC",Aux_puntos!$1:$1,0))),NA())</f>
        <v/>
      </c>
      <c r="AF579">
        <f>IFERROR(IF(INDEX(Aux_puntos!$A$2:$OJ$901,575,MATCH($B$2&amp;"|yC",Aux_puntos!$1:$1,0))="",NA(),INDEX(Aux_puntos!$A$2:$OJ$901,575,MATCH($B$2&amp;"|yC",Aux_puntos!$1:$1,0))),NA())</f>
        <v/>
      </c>
      <c r="AG579">
        <f>IFERROR(IF(INDEX(Aux_puntos!$A$2:$OJ$901,575,MATCH($B$2&amp;"|xI",Aux_puntos!$1:$1,0))="",NA(),INDEX(Aux_puntos!$A$2:$OJ$901,575,MATCH($B$2&amp;"|xI",Aux_puntos!$1:$1,0))),NA())</f>
        <v/>
      </c>
      <c r="AH579">
        <f>IFERROR(IF(INDEX(Aux_puntos!$A$2:$OJ$901,575,MATCH($B$2&amp;"|yI",Aux_puntos!$1:$1,0))="",NA(),INDEX(Aux_puntos!$A$2:$OJ$901,575,MATCH($B$2&amp;"|yI",Aux_puntos!$1:$1,0))),NA())</f>
        <v/>
      </c>
      <c r="AI579">
        <f>IFERROR(IF(INDEX(Aux_puntos!$A$2:$OJ$901,575,MATCH($B$2&amp;"|xN",Aux_puntos!$1:$1,0))="",NA(),INDEX(Aux_puntos!$A$2:$OJ$901,575,MATCH($B$2&amp;"|xN",Aux_puntos!$1:$1,0))),NA())</f>
        <v/>
      </c>
      <c r="AJ579">
        <f>IFERROR(IF(INDEX(Aux_puntos!$A$2:$OJ$901,575,MATCH($B$2&amp;"|yN",Aux_puntos!$1:$1,0))="",NA(),INDEX(Aux_puntos!$A$2:$OJ$901,575,MATCH($B$2&amp;"|yN",Aux_puntos!$1:$1,0))),NA())</f>
        <v/>
      </c>
    </row>
    <row r="580">
      <c r="AC580">
        <f>IFERROR(IF(INDEX(Aux_puntos!$A$2:$OJ$901,576,MATCH($B$2&amp;"|xK",Aux_puntos!$1:$1,0))="",NA(),INDEX(Aux_puntos!$A$2:$OJ$901,576,MATCH($B$2&amp;"|xK",Aux_puntos!$1:$1,0))),NA())</f>
        <v/>
      </c>
      <c r="AD580">
        <f>IFERROR(IF(INDEX(Aux_puntos!$A$2:$OJ$901,576,MATCH($B$2&amp;"|yK",Aux_puntos!$1:$1,0))="",NA(),INDEX(Aux_puntos!$A$2:$OJ$901,576,MATCH($B$2&amp;"|yK",Aux_puntos!$1:$1,0))),NA())</f>
        <v/>
      </c>
      <c r="AE580">
        <f>IFERROR(IF(INDEX(Aux_puntos!$A$2:$OJ$901,576,MATCH($B$2&amp;"|xC",Aux_puntos!$1:$1,0))="",NA(),INDEX(Aux_puntos!$A$2:$OJ$901,576,MATCH($B$2&amp;"|xC",Aux_puntos!$1:$1,0))),NA())</f>
        <v/>
      </c>
      <c r="AF580">
        <f>IFERROR(IF(INDEX(Aux_puntos!$A$2:$OJ$901,576,MATCH($B$2&amp;"|yC",Aux_puntos!$1:$1,0))="",NA(),INDEX(Aux_puntos!$A$2:$OJ$901,576,MATCH($B$2&amp;"|yC",Aux_puntos!$1:$1,0))),NA())</f>
        <v/>
      </c>
      <c r="AG580">
        <f>IFERROR(IF(INDEX(Aux_puntos!$A$2:$OJ$901,576,MATCH($B$2&amp;"|xI",Aux_puntos!$1:$1,0))="",NA(),INDEX(Aux_puntos!$A$2:$OJ$901,576,MATCH($B$2&amp;"|xI",Aux_puntos!$1:$1,0))),NA())</f>
        <v/>
      </c>
      <c r="AH580">
        <f>IFERROR(IF(INDEX(Aux_puntos!$A$2:$OJ$901,576,MATCH($B$2&amp;"|yI",Aux_puntos!$1:$1,0))="",NA(),INDEX(Aux_puntos!$A$2:$OJ$901,576,MATCH($B$2&amp;"|yI",Aux_puntos!$1:$1,0))),NA())</f>
        <v/>
      </c>
      <c r="AI580">
        <f>IFERROR(IF(INDEX(Aux_puntos!$A$2:$OJ$901,576,MATCH($B$2&amp;"|xN",Aux_puntos!$1:$1,0))="",NA(),INDEX(Aux_puntos!$A$2:$OJ$901,576,MATCH($B$2&amp;"|xN",Aux_puntos!$1:$1,0))),NA())</f>
        <v/>
      </c>
      <c r="AJ580">
        <f>IFERROR(IF(INDEX(Aux_puntos!$A$2:$OJ$901,576,MATCH($B$2&amp;"|yN",Aux_puntos!$1:$1,0))="",NA(),INDEX(Aux_puntos!$A$2:$OJ$901,576,MATCH($B$2&amp;"|yN",Aux_puntos!$1:$1,0))),NA())</f>
        <v/>
      </c>
    </row>
    <row r="581">
      <c r="AC581">
        <f>IFERROR(IF(INDEX(Aux_puntos!$A$2:$OJ$901,577,MATCH($B$2&amp;"|xK",Aux_puntos!$1:$1,0))="",NA(),INDEX(Aux_puntos!$A$2:$OJ$901,577,MATCH($B$2&amp;"|xK",Aux_puntos!$1:$1,0))),NA())</f>
        <v/>
      </c>
      <c r="AD581">
        <f>IFERROR(IF(INDEX(Aux_puntos!$A$2:$OJ$901,577,MATCH($B$2&amp;"|yK",Aux_puntos!$1:$1,0))="",NA(),INDEX(Aux_puntos!$A$2:$OJ$901,577,MATCH($B$2&amp;"|yK",Aux_puntos!$1:$1,0))),NA())</f>
        <v/>
      </c>
      <c r="AE581">
        <f>IFERROR(IF(INDEX(Aux_puntos!$A$2:$OJ$901,577,MATCH($B$2&amp;"|xC",Aux_puntos!$1:$1,0))="",NA(),INDEX(Aux_puntos!$A$2:$OJ$901,577,MATCH($B$2&amp;"|xC",Aux_puntos!$1:$1,0))),NA())</f>
        <v/>
      </c>
      <c r="AF581">
        <f>IFERROR(IF(INDEX(Aux_puntos!$A$2:$OJ$901,577,MATCH($B$2&amp;"|yC",Aux_puntos!$1:$1,0))="",NA(),INDEX(Aux_puntos!$A$2:$OJ$901,577,MATCH($B$2&amp;"|yC",Aux_puntos!$1:$1,0))),NA())</f>
        <v/>
      </c>
      <c r="AG581">
        <f>IFERROR(IF(INDEX(Aux_puntos!$A$2:$OJ$901,577,MATCH($B$2&amp;"|xI",Aux_puntos!$1:$1,0))="",NA(),INDEX(Aux_puntos!$A$2:$OJ$901,577,MATCH($B$2&amp;"|xI",Aux_puntos!$1:$1,0))),NA())</f>
        <v/>
      </c>
      <c r="AH581">
        <f>IFERROR(IF(INDEX(Aux_puntos!$A$2:$OJ$901,577,MATCH($B$2&amp;"|yI",Aux_puntos!$1:$1,0))="",NA(),INDEX(Aux_puntos!$A$2:$OJ$901,577,MATCH($B$2&amp;"|yI",Aux_puntos!$1:$1,0))),NA())</f>
        <v/>
      </c>
      <c r="AI581">
        <f>IFERROR(IF(INDEX(Aux_puntos!$A$2:$OJ$901,577,MATCH($B$2&amp;"|xN",Aux_puntos!$1:$1,0))="",NA(),INDEX(Aux_puntos!$A$2:$OJ$901,577,MATCH($B$2&amp;"|xN",Aux_puntos!$1:$1,0))),NA())</f>
        <v/>
      </c>
      <c r="AJ581">
        <f>IFERROR(IF(INDEX(Aux_puntos!$A$2:$OJ$901,577,MATCH($B$2&amp;"|yN",Aux_puntos!$1:$1,0))="",NA(),INDEX(Aux_puntos!$A$2:$OJ$901,577,MATCH($B$2&amp;"|yN",Aux_puntos!$1:$1,0))),NA())</f>
        <v/>
      </c>
    </row>
    <row r="582">
      <c r="AC582">
        <f>IFERROR(IF(INDEX(Aux_puntos!$A$2:$OJ$901,578,MATCH($B$2&amp;"|xK",Aux_puntos!$1:$1,0))="",NA(),INDEX(Aux_puntos!$A$2:$OJ$901,578,MATCH($B$2&amp;"|xK",Aux_puntos!$1:$1,0))),NA())</f>
        <v/>
      </c>
      <c r="AD582">
        <f>IFERROR(IF(INDEX(Aux_puntos!$A$2:$OJ$901,578,MATCH($B$2&amp;"|yK",Aux_puntos!$1:$1,0))="",NA(),INDEX(Aux_puntos!$A$2:$OJ$901,578,MATCH($B$2&amp;"|yK",Aux_puntos!$1:$1,0))),NA())</f>
        <v/>
      </c>
      <c r="AE582">
        <f>IFERROR(IF(INDEX(Aux_puntos!$A$2:$OJ$901,578,MATCH($B$2&amp;"|xC",Aux_puntos!$1:$1,0))="",NA(),INDEX(Aux_puntos!$A$2:$OJ$901,578,MATCH($B$2&amp;"|xC",Aux_puntos!$1:$1,0))),NA())</f>
        <v/>
      </c>
      <c r="AF582">
        <f>IFERROR(IF(INDEX(Aux_puntos!$A$2:$OJ$901,578,MATCH($B$2&amp;"|yC",Aux_puntos!$1:$1,0))="",NA(),INDEX(Aux_puntos!$A$2:$OJ$901,578,MATCH($B$2&amp;"|yC",Aux_puntos!$1:$1,0))),NA())</f>
        <v/>
      </c>
      <c r="AG582">
        <f>IFERROR(IF(INDEX(Aux_puntos!$A$2:$OJ$901,578,MATCH($B$2&amp;"|xI",Aux_puntos!$1:$1,0))="",NA(),INDEX(Aux_puntos!$A$2:$OJ$901,578,MATCH($B$2&amp;"|xI",Aux_puntos!$1:$1,0))),NA())</f>
        <v/>
      </c>
      <c r="AH582">
        <f>IFERROR(IF(INDEX(Aux_puntos!$A$2:$OJ$901,578,MATCH($B$2&amp;"|yI",Aux_puntos!$1:$1,0))="",NA(),INDEX(Aux_puntos!$A$2:$OJ$901,578,MATCH($B$2&amp;"|yI",Aux_puntos!$1:$1,0))),NA())</f>
        <v/>
      </c>
      <c r="AI582">
        <f>IFERROR(IF(INDEX(Aux_puntos!$A$2:$OJ$901,578,MATCH($B$2&amp;"|xN",Aux_puntos!$1:$1,0))="",NA(),INDEX(Aux_puntos!$A$2:$OJ$901,578,MATCH($B$2&amp;"|xN",Aux_puntos!$1:$1,0))),NA())</f>
        <v/>
      </c>
      <c r="AJ582">
        <f>IFERROR(IF(INDEX(Aux_puntos!$A$2:$OJ$901,578,MATCH($B$2&amp;"|yN",Aux_puntos!$1:$1,0))="",NA(),INDEX(Aux_puntos!$A$2:$OJ$901,578,MATCH($B$2&amp;"|yN",Aux_puntos!$1:$1,0))),NA())</f>
        <v/>
      </c>
    </row>
    <row r="583">
      <c r="AC583">
        <f>IFERROR(IF(INDEX(Aux_puntos!$A$2:$OJ$901,579,MATCH($B$2&amp;"|xK",Aux_puntos!$1:$1,0))="",NA(),INDEX(Aux_puntos!$A$2:$OJ$901,579,MATCH($B$2&amp;"|xK",Aux_puntos!$1:$1,0))),NA())</f>
        <v/>
      </c>
      <c r="AD583">
        <f>IFERROR(IF(INDEX(Aux_puntos!$A$2:$OJ$901,579,MATCH($B$2&amp;"|yK",Aux_puntos!$1:$1,0))="",NA(),INDEX(Aux_puntos!$A$2:$OJ$901,579,MATCH($B$2&amp;"|yK",Aux_puntos!$1:$1,0))),NA())</f>
        <v/>
      </c>
      <c r="AE583">
        <f>IFERROR(IF(INDEX(Aux_puntos!$A$2:$OJ$901,579,MATCH($B$2&amp;"|xC",Aux_puntos!$1:$1,0))="",NA(),INDEX(Aux_puntos!$A$2:$OJ$901,579,MATCH($B$2&amp;"|xC",Aux_puntos!$1:$1,0))),NA())</f>
        <v/>
      </c>
      <c r="AF583">
        <f>IFERROR(IF(INDEX(Aux_puntos!$A$2:$OJ$901,579,MATCH($B$2&amp;"|yC",Aux_puntos!$1:$1,0))="",NA(),INDEX(Aux_puntos!$A$2:$OJ$901,579,MATCH($B$2&amp;"|yC",Aux_puntos!$1:$1,0))),NA())</f>
        <v/>
      </c>
      <c r="AG583">
        <f>IFERROR(IF(INDEX(Aux_puntos!$A$2:$OJ$901,579,MATCH($B$2&amp;"|xI",Aux_puntos!$1:$1,0))="",NA(),INDEX(Aux_puntos!$A$2:$OJ$901,579,MATCH($B$2&amp;"|xI",Aux_puntos!$1:$1,0))),NA())</f>
        <v/>
      </c>
      <c r="AH583">
        <f>IFERROR(IF(INDEX(Aux_puntos!$A$2:$OJ$901,579,MATCH($B$2&amp;"|yI",Aux_puntos!$1:$1,0))="",NA(),INDEX(Aux_puntos!$A$2:$OJ$901,579,MATCH($B$2&amp;"|yI",Aux_puntos!$1:$1,0))),NA())</f>
        <v/>
      </c>
      <c r="AI583">
        <f>IFERROR(IF(INDEX(Aux_puntos!$A$2:$OJ$901,579,MATCH($B$2&amp;"|xN",Aux_puntos!$1:$1,0))="",NA(),INDEX(Aux_puntos!$A$2:$OJ$901,579,MATCH($B$2&amp;"|xN",Aux_puntos!$1:$1,0))),NA())</f>
        <v/>
      </c>
      <c r="AJ583">
        <f>IFERROR(IF(INDEX(Aux_puntos!$A$2:$OJ$901,579,MATCH($B$2&amp;"|yN",Aux_puntos!$1:$1,0))="",NA(),INDEX(Aux_puntos!$A$2:$OJ$901,579,MATCH($B$2&amp;"|yN",Aux_puntos!$1:$1,0))),NA())</f>
        <v/>
      </c>
    </row>
    <row r="584">
      <c r="AC584">
        <f>IFERROR(IF(INDEX(Aux_puntos!$A$2:$OJ$901,580,MATCH($B$2&amp;"|xK",Aux_puntos!$1:$1,0))="",NA(),INDEX(Aux_puntos!$A$2:$OJ$901,580,MATCH($B$2&amp;"|xK",Aux_puntos!$1:$1,0))),NA())</f>
        <v/>
      </c>
      <c r="AD584">
        <f>IFERROR(IF(INDEX(Aux_puntos!$A$2:$OJ$901,580,MATCH($B$2&amp;"|yK",Aux_puntos!$1:$1,0))="",NA(),INDEX(Aux_puntos!$A$2:$OJ$901,580,MATCH($B$2&amp;"|yK",Aux_puntos!$1:$1,0))),NA())</f>
        <v/>
      </c>
      <c r="AE584">
        <f>IFERROR(IF(INDEX(Aux_puntos!$A$2:$OJ$901,580,MATCH($B$2&amp;"|xC",Aux_puntos!$1:$1,0))="",NA(),INDEX(Aux_puntos!$A$2:$OJ$901,580,MATCH($B$2&amp;"|xC",Aux_puntos!$1:$1,0))),NA())</f>
        <v/>
      </c>
      <c r="AF584">
        <f>IFERROR(IF(INDEX(Aux_puntos!$A$2:$OJ$901,580,MATCH($B$2&amp;"|yC",Aux_puntos!$1:$1,0))="",NA(),INDEX(Aux_puntos!$A$2:$OJ$901,580,MATCH($B$2&amp;"|yC",Aux_puntos!$1:$1,0))),NA())</f>
        <v/>
      </c>
      <c r="AG584">
        <f>IFERROR(IF(INDEX(Aux_puntos!$A$2:$OJ$901,580,MATCH($B$2&amp;"|xI",Aux_puntos!$1:$1,0))="",NA(),INDEX(Aux_puntos!$A$2:$OJ$901,580,MATCH($B$2&amp;"|xI",Aux_puntos!$1:$1,0))),NA())</f>
        <v/>
      </c>
      <c r="AH584">
        <f>IFERROR(IF(INDEX(Aux_puntos!$A$2:$OJ$901,580,MATCH($B$2&amp;"|yI",Aux_puntos!$1:$1,0))="",NA(),INDEX(Aux_puntos!$A$2:$OJ$901,580,MATCH($B$2&amp;"|yI",Aux_puntos!$1:$1,0))),NA())</f>
        <v/>
      </c>
      <c r="AI584">
        <f>IFERROR(IF(INDEX(Aux_puntos!$A$2:$OJ$901,580,MATCH($B$2&amp;"|xN",Aux_puntos!$1:$1,0))="",NA(),INDEX(Aux_puntos!$A$2:$OJ$901,580,MATCH($B$2&amp;"|xN",Aux_puntos!$1:$1,0))),NA())</f>
        <v/>
      </c>
      <c r="AJ584">
        <f>IFERROR(IF(INDEX(Aux_puntos!$A$2:$OJ$901,580,MATCH($B$2&amp;"|yN",Aux_puntos!$1:$1,0))="",NA(),INDEX(Aux_puntos!$A$2:$OJ$901,580,MATCH($B$2&amp;"|yN",Aux_puntos!$1:$1,0))),NA())</f>
        <v/>
      </c>
    </row>
    <row r="585">
      <c r="AC585">
        <f>IFERROR(IF(INDEX(Aux_puntos!$A$2:$OJ$901,581,MATCH($B$2&amp;"|xK",Aux_puntos!$1:$1,0))="",NA(),INDEX(Aux_puntos!$A$2:$OJ$901,581,MATCH($B$2&amp;"|xK",Aux_puntos!$1:$1,0))),NA())</f>
        <v/>
      </c>
      <c r="AD585">
        <f>IFERROR(IF(INDEX(Aux_puntos!$A$2:$OJ$901,581,MATCH($B$2&amp;"|yK",Aux_puntos!$1:$1,0))="",NA(),INDEX(Aux_puntos!$A$2:$OJ$901,581,MATCH($B$2&amp;"|yK",Aux_puntos!$1:$1,0))),NA())</f>
        <v/>
      </c>
      <c r="AE585">
        <f>IFERROR(IF(INDEX(Aux_puntos!$A$2:$OJ$901,581,MATCH($B$2&amp;"|xC",Aux_puntos!$1:$1,0))="",NA(),INDEX(Aux_puntos!$A$2:$OJ$901,581,MATCH($B$2&amp;"|xC",Aux_puntos!$1:$1,0))),NA())</f>
        <v/>
      </c>
      <c r="AF585">
        <f>IFERROR(IF(INDEX(Aux_puntos!$A$2:$OJ$901,581,MATCH($B$2&amp;"|yC",Aux_puntos!$1:$1,0))="",NA(),INDEX(Aux_puntos!$A$2:$OJ$901,581,MATCH($B$2&amp;"|yC",Aux_puntos!$1:$1,0))),NA())</f>
        <v/>
      </c>
      <c r="AG585">
        <f>IFERROR(IF(INDEX(Aux_puntos!$A$2:$OJ$901,581,MATCH($B$2&amp;"|xI",Aux_puntos!$1:$1,0))="",NA(),INDEX(Aux_puntos!$A$2:$OJ$901,581,MATCH($B$2&amp;"|xI",Aux_puntos!$1:$1,0))),NA())</f>
        <v/>
      </c>
      <c r="AH585">
        <f>IFERROR(IF(INDEX(Aux_puntos!$A$2:$OJ$901,581,MATCH($B$2&amp;"|yI",Aux_puntos!$1:$1,0))="",NA(),INDEX(Aux_puntos!$A$2:$OJ$901,581,MATCH($B$2&amp;"|yI",Aux_puntos!$1:$1,0))),NA())</f>
        <v/>
      </c>
      <c r="AI585">
        <f>IFERROR(IF(INDEX(Aux_puntos!$A$2:$OJ$901,581,MATCH($B$2&amp;"|xN",Aux_puntos!$1:$1,0))="",NA(),INDEX(Aux_puntos!$A$2:$OJ$901,581,MATCH($B$2&amp;"|xN",Aux_puntos!$1:$1,0))),NA())</f>
        <v/>
      </c>
      <c r="AJ585">
        <f>IFERROR(IF(INDEX(Aux_puntos!$A$2:$OJ$901,581,MATCH($B$2&amp;"|yN",Aux_puntos!$1:$1,0))="",NA(),INDEX(Aux_puntos!$A$2:$OJ$901,581,MATCH($B$2&amp;"|yN",Aux_puntos!$1:$1,0))),NA())</f>
        <v/>
      </c>
    </row>
    <row r="586">
      <c r="AC586">
        <f>IFERROR(IF(INDEX(Aux_puntos!$A$2:$OJ$901,582,MATCH($B$2&amp;"|xK",Aux_puntos!$1:$1,0))="",NA(),INDEX(Aux_puntos!$A$2:$OJ$901,582,MATCH($B$2&amp;"|xK",Aux_puntos!$1:$1,0))),NA())</f>
        <v/>
      </c>
      <c r="AD586">
        <f>IFERROR(IF(INDEX(Aux_puntos!$A$2:$OJ$901,582,MATCH($B$2&amp;"|yK",Aux_puntos!$1:$1,0))="",NA(),INDEX(Aux_puntos!$A$2:$OJ$901,582,MATCH($B$2&amp;"|yK",Aux_puntos!$1:$1,0))),NA())</f>
        <v/>
      </c>
      <c r="AE586">
        <f>IFERROR(IF(INDEX(Aux_puntos!$A$2:$OJ$901,582,MATCH($B$2&amp;"|xC",Aux_puntos!$1:$1,0))="",NA(),INDEX(Aux_puntos!$A$2:$OJ$901,582,MATCH($B$2&amp;"|xC",Aux_puntos!$1:$1,0))),NA())</f>
        <v/>
      </c>
      <c r="AF586">
        <f>IFERROR(IF(INDEX(Aux_puntos!$A$2:$OJ$901,582,MATCH($B$2&amp;"|yC",Aux_puntos!$1:$1,0))="",NA(),INDEX(Aux_puntos!$A$2:$OJ$901,582,MATCH($B$2&amp;"|yC",Aux_puntos!$1:$1,0))),NA())</f>
        <v/>
      </c>
      <c r="AG586">
        <f>IFERROR(IF(INDEX(Aux_puntos!$A$2:$OJ$901,582,MATCH($B$2&amp;"|xI",Aux_puntos!$1:$1,0))="",NA(),INDEX(Aux_puntos!$A$2:$OJ$901,582,MATCH($B$2&amp;"|xI",Aux_puntos!$1:$1,0))),NA())</f>
        <v/>
      </c>
      <c r="AH586">
        <f>IFERROR(IF(INDEX(Aux_puntos!$A$2:$OJ$901,582,MATCH($B$2&amp;"|yI",Aux_puntos!$1:$1,0))="",NA(),INDEX(Aux_puntos!$A$2:$OJ$901,582,MATCH($B$2&amp;"|yI",Aux_puntos!$1:$1,0))),NA())</f>
        <v/>
      </c>
      <c r="AI586">
        <f>IFERROR(IF(INDEX(Aux_puntos!$A$2:$OJ$901,582,MATCH($B$2&amp;"|xN",Aux_puntos!$1:$1,0))="",NA(),INDEX(Aux_puntos!$A$2:$OJ$901,582,MATCH($B$2&amp;"|xN",Aux_puntos!$1:$1,0))),NA())</f>
        <v/>
      </c>
      <c r="AJ586">
        <f>IFERROR(IF(INDEX(Aux_puntos!$A$2:$OJ$901,582,MATCH($B$2&amp;"|yN",Aux_puntos!$1:$1,0))="",NA(),INDEX(Aux_puntos!$A$2:$OJ$901,582,MATCH($B$2&amp;"|yN",Aux_puntos!$1:$1,0))),NA())</f>
        <v/>
      </c>
    </row>
    <row r="587">
      <c r="AC587">
        <f>IFERROR(IF(INDEX(Aux_puntos!$A$2:$OJ$901,583,MATCH($B$2&amp;"|xK",Aux_puntos!$1:$1,0))="",NA(),INDEX(Aux_puntos!$A$2:$OJ$901,583,MATCH($B$2&amp;"|xK",Aux_puntos!$1:$1,0))),NA())</f>
        <v/>
      </c>
      <c r="AD587">
        <f>IFERROR(IF(INDEX(Aux_puntos!$A$2:$OJ$901,583,MATCH($B$2&amp;"|yK",Aux_puntos!$1:$1,0))="",NA(),INDEX(Aux_puntos!$A$2:$OJ$901,583,MATCH($B$2&amp;"|yK",Aux_puntos!$1:$1,0))),NA())</f>
        <v/>
      </c>
      <c r="AE587">
        <f>IFERROR(IF(INDEX(Aux_puntos!$A$2:$OJ$901,583,MATCH($B$2&amp;"|xC",Aux_puntos!$1:$1,0))="",NA(),INDEX(Aux_puntos!$A$2:$OJ$901,583,MATCH($B$2&amp;"|xC",Aux_puntos!$1:$1,0))),NA())</f>
        <v/>
      </c>
      <c r="AF587">
        <f>IFERROR(IF(INDEX(Aux_puntos!$A$2:$OJ$901,583,MATCH($B$2&amp;"|yC",Aux_puntos!$1:$1,0))="",NA(),INDEX(Aux_puntos!$A$2:$OJ$901,583,MATCH($B$2&amp;"|yC",Aux_puntos!$1:$1,0))),NA())</f>
        <v/>
      </c>
      <c r="AG587">
        <f>IFERROR(IF(INDEX(Aux_puntos!$A$2:$OJ$901,583,MATCH($B$2&amp;"|xI",Aux_puntos!$1:$1,0))="",NA(),INDEX(Aux_puntos!$A$2:$OJ$901,583,MATCH($B$2&amp;"|xI",Aux_puntos!$1:$1,0))),NA())</f>
        <v/>
      </c>
      <c r="AH587">
        <f>IFERROR(IF(INDEX(Aux_puntos!$A$2:$OJ$901,583,MATCH($B$2&amp;"|yI",Aux_puntos!$1:$1,0))="",NA(),INDEX(Aux_puntos!$A$2:$OJ$901,583,MATCH($B$2&amp;"|yI",Aux_puntos!$1:$1,0))),NA())</f>
        <v/>
      </c>
      <c r="AI587">
        <f>IFERROR(IF(INDEX(Aux_puntos!$A$2:$OJ$901,583,MATCH($B$2&amp;"|xN",Aux_puntos!$1:$1,0))="",NA(),INDEX(Aux_puntos!$A$2:$OJ$901,583,MATCH($B$2&amp;"|xN",Aux_puntos!$1:$1,0))),NA())</f>
        <v/>
      </c>
      <c r="AJ587">
        <f>IFERROR(IF(INDEX(Aux_puntos!$A$2:$OJ$901,583,MATCH($B$2&amp;"|yN",Aux_puntos!$1:$1,0))="",NA(),INDEX(Aux_puntos!$A$2:$OJ$901,583,MATCH($B$2&amp;"|yN",Aux_puntos!$1:$1,0))),NA())</f>
        <v/>
      </c>
    </row>
    <row r="588">
      <c r="AC588">
        <f>IFERROR(IF(INDEX(Aux_puntos!$A$2:$OJ$901,584,MATCH($B$2&amp;"|xK",Aux_puntos!$1:$1,0))="",NA(),INDEX(Aux_puntos!$A$2:$OJ$901,584,MATCH($B$2&amp;"|xK",Aux_puntos!$1:$1,0))),NA())</f>
        <v/>
      </c>
      <c r="AD588">
        <f>IFERROR(IF(INDEX(Aux_puntos!$A$2:$OJ$901,584,MATCH($B$2&amp;"|yK",Aux_puntos!$1:$1,0))="",NA(),INDEX(Aux_puntos!$A$2:$OJ$901,584,MATCH($B$2&amp;"|yK",Aux_puntos!$1:$1,0))),NA())</f>
        <v/>
      </c>
      <c r="AE588">
        <f>IFERROR(IF(INDEX(Aux_puntos!$A$2:$OJ$901,584,MATCH($B$2&amp;"|xC",Aux_puntos!$1:$1,0))="",NA(),INDEX(Aux_puntos!$A$2:$OJ$901,584,MATCH($B$2&amp;"|xC",Aux_puntos!$1:$1,0))),NA())</f>
        <v/>
      </c>
      <c r="AF588">
        <f>IFERROR(IF(INDEX(Aux_puntos!$A$2:$OJ$901,584,MATCH($B$2&amp;"|yC",Aux_puntos!$1:$1,0))="",NA(),INDEX(Aux_puntos!$A$2:$OJ$901,584,MATCH($B$2&amp;"|yC",Aux_puntos!$1:$1,0))),NA())</f>
        <v/>
      </c>
      <c r="AG588">
        <f>IFERROR(IF(INDEX(Aux_puntos!$A$2:$OJ$901,584,MATCH($B$2&amp;"|xI",Aux_puntos!$1:$1,0))="",NA(),INDEX(Aux_puntos!$A$2:$OJ$901,584,MATCH($B$2&amp;"|xI",Aux_puntos!$1:$1,0))),NA())</f>
        <v/>
      </c>
      <c r="AH588">
        <f>IFERROR(IF(INDEX(Aux_puntos!$A$2:$OJ$901,584,MATCH($B$2&amp;"|yI",Aux_puntos!$1:$1,0))="",NA(),INDEX(Aux_puntos!$A$2:$OJ$901,584,MATCH($B$2&amp;"|yI",Aux_puntos!$1:$1,0))),NA())</f>
        <v/>
      </c>
      <c r="AI588">
        <f>IFERROR(IF(INDEX(Aux_puntos!$A$2:$OJ$901,584,MATCH($B$2&amp;"|xN",Aux_puntos!$1:$1,0))="",NA(),INDEX(Aux_puntos!$A$2:$OJ$901,584,MATCH($B$2&amp;"|xN",Aux_puntos!$1:$1,0))),NA())</f>
        <v/>
      </c>
      <c r="AJ588">
        <f>IFERROR(IF(INDEX(Aux_puntos!$A$2:$OJ$901,584,MATCH($B$2&amp;"|yN",Aux_puntos!$1:$1,0))="",NA(),INDEX(Aux_puntos!$A$2:$OJ$901,584,MATCH($B$2&amp;"|yN",Aux_puntos!$1:$1,0))),NA())</f>
        <v/>
      </c>
    </row>
    <row r="589">
      <c r="AC589">
        <f>IFERROR(IF(INDEX(Aux_puntos!$A$2:$OJ$901,585,MATCH($B$2&amp;"|xK",Aux_puntos!$1:$1,0))="",NA(),INDEX(Aux_puntos!$A$2:$OJ$901,585,MATCH($B$2&amp;"|xK",Aux_puntos!$1:$1,0))),NA())</f>
        <v/>
      </c>
      <c r="AD589">
        <f>IFERROR(IF(INDEX(Aux_puntos!$A$2:$OJ$901,585,MATCH($B$2&amp;"|yK",Aux_puntos!$1:$1,0))="",NA(),INDEX(Aux_puntos!$A$2:$OJ$901,585,MATCH($B$2&amp;"|yK",Aux_puntos!$1:$1,0))),NA())</f>
        <v/>
      </c>
      <c r="AE589">
        <f>IFERROR(IF(INDEX(Aux_puntos!$A$2:$OJ$901,585,MATCH($B$2&amp;"|xC",Aux_puntos!$1:$1,0))="",NA(),INDEX(Aux_puntos!$A$2:$OJ$901,585,MATCH($B$2&amp;"|xC",Aux_puntos!$1:$1,0))),NA())</f>
        <v/>
      </c>
      <c r="AF589">
        <f>IFERROR(IF(INDEX(Aux_puntos!$A$2:$OJ$901,585,MATCH($B$2&amp;"|yC",Aux_puntos!$1:$1,0))="",NA(),INDEX(Aux_puntos!$A$2:$OJ$901,585,MATCH($B$2&amp;"|yC",Aux_puntos!$1:$1,0))),NA())</f>
        <v/>
      </c>
      <c r="AG589">
        <f>IFERROR(IF(INDEX(Aux_puntos!$A$2:$OJ$901,585,MATCH($B$2&amp;"|xI",Aux_puntos!$1:$1,0))="",NA(),INDEX(Aux_puntos!$A$2:$OJ$901,585,MATCH($B$2&amp;"|xI",Aux_puntos!$1:$1,0))),NA())</f>
        <v/>
      </c>
      <c r="AH589">
        <f>IFERROR(IF(INDEX(Aux_puntos!$A$2:$OJ$901,585,MATCH($B$2&amp;"|yI",Aux_puntos!$1:$1,0))="",NA(),INDEX(Aux_puntos!$A$2:$OJ$901,585,MATCH($B$2&amp;"|yI",Aux_puntos!$1:$1,0))),NA())</f>
        <v/>
      </c>
      <c r="AI589">
        <f>IFERROR(IF(INDEX(Aux_puntos!$A$2:$OJ$901,585,MATCH($B$2&amp;"|xN",Aux_puntos!$1:$1,0))="",NA(),INDEX(Aux_puntos!$A$2:$OJ$901,585,MATCH($B$2&amp;"|xN",Aux_puntos!$1:$1,0))),NA())</f>
        <v/>
      </c>
      <c r="AJ589">
        <f>IFERROR(IF(INDEX(Aux_puntos!$A$2:$OJ$901,585,MATCH($B$2&amp;"|yN",Aux_puntos!$1:$1,0))="",NA(),INDEX(Aux_puntos!$A$2:$OJ$901,585,MATCH($B$2&amp;"|yN",Aux_puntos!$1:$1,0))),NA())</f>
        <v/>
      </c>
    </row>
    <row r="590">
      <c r="AC590">
        <f>IFERROR(IF(INDEX(Aux_puntos!$A$2:$OJ$901,586,MATCH($B$2&amp;"|xK",Aux_puntos!$1:$1,0))="",NA(),INDEX(Aux_puntos!$A$2:$OJ$901,586,MATCH($B$2&amp;"|xK",Aux_puntos!$1:$1,0))),NA())</f>
        <v/>
      </c>
      <c r="AD590">
        <f>IFERROR(IF(INDEX(Aux_puntos!$A$2:$OJ$901,586,MATCH($B$2&amp;"|yK",Aux_puntos!$1:$1,0))="",NA(),INDEX(Aux_puntos!$A$2:$OJ$901,586,MATCH($B$2&amp;"|yK",Aux_puntos!$1:$1,0))),NA())</f>
        <v/>
      </c>
      <c r="AE590">
        <f>IFERROR(IF(INDEX(Aux_puntos!$A$2:$OJ$901,586,MATCH($B$2&amp;"|xC",Aux_puntos!$1:$1,0))="",NA(),INDEX(Aux_puntos!$A$2:$OJ$901,586,MATCH($B$2&amp;"|xC",Aux_puntos!$1:$1,0))),NA())</f>
        <v/>
      </c>
      <c r="AF590">
        <f>IFERROR(IF(INDEX(Aux_puntos!$A$2:$OJ$901,586,MATCH($B$2&amp;"|yC",Aux_puntos!$1:$1,0))="",NA(),INDEX(Aux_puntos!$A$2:$OJ$901,586,MATCH($B$2&amp;"|yC",Aux_puntos!$1:$1,0))),NA())</f>
        <v/>
      </c>
      <c r="AG590">
        <f>IFERROR(IF(INDEX(Aux_puntos!$A$2:$OJ$901,586,MATCH($B$2&amp;"|xI",Aux_puntos!$1:$1,0))="",NA(),INDEX(Aux_puntos!$A$2:$OJ$901,586,MATCH($B$2&amp;"|xI",Aux_puntos!$1:$1,0))),NA())</f>
        <v/>
      </c>
      <c r="AH590">
        <f>IFERROR(IF(INDEX(Aux_puntos!$A$2:$OJ$901,586,MATCH($B$2&amp;"|yI",Aux_puntos!$1:$1,0))="",NA(),INDEX(Aux_puntos!$A$2:$OJ$901,586,MATCH($B$2&amp;"|yI",Aux_puntos!$1:$1,0))),NA())</f>
        <v/>
      </c>
      <c r="AI590">
        <f>IFERROR(IF(INDEX(Aux_puntos!$A$2:$OJ$901,586,MATCH($B$2&amp;"|xN",Aux_puntos!$1:$1,0))="",NA(),INDEX(Aux_puntos!$A$2:$OJ$901,586,MATCH($B$2&amp;"|xN",Aux_puntos!$1:$1,0))),NA())</f>
        <v/>
      </c>
      <c r="AJ590">
        <f>IFERROR(IF(INDEX(Aux_puntos!$A$2:$OJ$901,586,MATCH($B$2&amp;"|yN",Aux_puntos!$1:$1,0))="",NA(),INDEX(Aux_puntos!$A$2:$OJ$901,586,MATCH($B$2&amp;"|yN",Aux_puntos!$1:$1,0))),NA())</f>
        <v/>
      </c>
    </row>
    <row r="591">
      <c r="AC591">
        <f>IFERROR(IF(INDEX(Aux_puntos!$A$2:$OJ$901,587,MATCH($B$2&amp;"|xK",Aux_puntos!$1:$1,0))="",NA(),INDEX(Aux_puntos!$A$2:$OJ$901,587,MATCH($B$2&amp;"|xK",Aux_puntos!$1:$1,0))),NA())</f>
        <v/>
      </c>
      <c r="AD591">
        <f>IFERROR(IF(INDEX(Aux_puntos!$A$2:$OJ$901,587,MATCH($B$2&amp;"|yK",Aux_puntos!$1:$1,0))="",NA(),INDEX(Aux_puntos!$A$2:$OJ$901,587,MATCH($B$2&amp;"|yK",Aux_puntos!$1:$1,0))),NA())</f>
        <v/>
      </c>
      <c r="AE591">
        <f>IFERROR(IF(INDEX(Aux_puntos!$A$2:$OJ$901,587,MATCH($B$2&amp;"|xC",Aux_puntos!$1:$1,0))="",NA(),INDEX(Aux_puntos!$A$2:$OJ$901,587,MATCH($B$2&amp;"|xC",Aux_puntos!$1:$1,0))),NA())</f>
        <v/>
      </c>
      <c r="AF591">
        <f>IFERROR(IF(INDEX(Aux_puntos!$A$2:$OJ$901,587,MATCH($B$2&amp;"|yC",Aux_puntos!$1:$1,0))="",NA(),INDEX(Aux_puntos!$A$2:$OJ$901,587,MATCH($B$2&amp;"|yC",Aux_puntos!$1:$1,0))),NA())</f>
        <v/>
      </c>
      <c r="AG591">
        <f>IFERROR(IF(INDEX(Aux_puntos!$A$2:$OJ$901,587,MATCH($B$2&amp;"|xI",Aux_puntos!$1:$1,0))="",NA(),INDEX(Aux_puntos!$A$2:$OJ$901,587,MATCH($B$2&amp;"|xI",Aux_puntos!$1:$1,0))),NA())</f>
        <v/>
      </c>
      <c r="AH591">
        <f>IFERROR(IF(INDEX(Aux_puntos!$A$2:$OJ$901,587,MATCH($B$2&amp;"|yI",Aux_puntos!$1:$1,0))="",NA(),INDEX(Aux_puntos!$A$2:$OJ$901,587,MATCH($B$2&amp;"|yI",Aux_puntos!$1:$1,0))),NA())</f>
        <v/>
      </c>
      <c r="AI591">
        <f>IFERROR(IF(INDEX(Aux_puntos!$A$2:$OJ$901,587,MATCH($B$2&amp;"|xN",Aux_puntos!$1:$1,0))="",NA(),INDEX(Aux_puntos!$A$2:$OJ$901,587,MATCH($B$2&amp;"|xN",Aux_puntos!$1:$1,0))),NA())</f>
        <v/>
      </c>
      <c r="AJ591">
        <f>IFERROR(IF(INDEX(Aux_puntos!$A$2:$OJ$901,587,MATCH($B$2&amp;"|yN",Aux_puntos!$1:$1,0))="",NA(),INDEX(Aux_puntos!$A$2:$OJ$901,587,MATCH($B$2&amp;"|yN",Aux_puntos!$1:$1,0))),NA())</f>
        <v/>
      </c>
    </row>
    <row r="592">
      <c r="AC592">
        <f>IFERROR(IF(INDEX(Aux_puntos!$A$2:$OJ$901,588,MATCH($B$2&amp;"|xK",Aux_puntos!$1:$1,0))="",NA(),INDEX(Aux_puntos!$A$2:$OJ$901,588,MATCH($B$2&amp;"|xK",Aux_puntos!$1:$1,0))),NA())</f>
        <v/>
      </c>
      <c r="AD592">
        <f>IFERROR(IF(INDEX(Aux_puntos!$A$2:$OJ$901,588,MATCH($B$2&amp;"|yK",Aux_puntos!$1:$1,0))="",NA(),INDEX(Aux_puntos!$A$2:$OJ$901,588,MATCH($B$2&amp;"|yK",Aux_puntos!$1:$1,0))),NA())</f>
        <v/>
      </c>
      <c r="AE592">
        <f>IFERROR(IF(INDEX(Aux_puntos!$A$2:$OJ$901,588,MATCH($B$2&amp;"|xC",Aux_puntos!$1:$1,0))="",NA(),INDEX(Aux_puntos!$A$2:$OJ$901,588,MATCH($B$2&amp;"|xC",Aux_puntos!$1:$1,0))),NA())</f>
        <v/>
      </c>
      <c r="AF592">
        <f>IFERROR(IF(INDEX(Aux_puntos!$A$2:$OJ$901,588,MATCH($B$2&amp;"|yC",Aux_puntos!$1:$1,0))="",NA(),INDEX(Aux_puntos!$A$2:$OJ$901,588,MATCH($B$2&amp;"|yC",Aux_puntos!$1:$1,0))),NA())</f>
        <v/>
      </c>
      <c r="AG592">
        <f>IFERROR(IF(INDEX(Aux_puntos!$A$2:$OJ$901,588,MATCH($B$2&amp;"|xI",Aux_puntos!$1:$1,0))="",NA(),INDEX(Aux_puntos!$A$2:$OJ$901,588,MATCH($B$2&amp;"|xI",Aux_puntos!$1:$1,0))),NA())</f>
        <v/>
      </c>
      <c r="AH592">
        <f>IFERROR(IF(INDEX(Aux_puntos!$A$2:$OJ$901,588,MATCH($B$2&amp;"|yI",Aux_puntos!$1:$1,0))="",NA(),INDEX(Aux_puntos!$A$2:$OJ$901,588,MATCH($B$2&amp;"|yI",Aux_puntos!$1:$1,0))),NA())</f>
        <v/>
      </c>
      <c r="AI592">
        <f>IFERROR(IF(INDEX(Aux_puntos!$A$2:$OJ$901,588,MATCH($B$2&amp;"|xN",Aux_puntos!$1:$1,0))="",NA(),INDEX(Aux_puntos!$A$2:$OJ$901,588,MATCH($B$2&amp;"|xN",Aux_puntos!$1:$1,0))),NA())</f>
        <v/>
      </c>
      <c r="AJ592">
        <f>IFERROR(IF(INDEX(Aux_puntos!$A$2:$OJ$901,588,MATCH($B$2&amp;"|yN",Aux_puntos!$1:$1,0))="",NA(),INDEX(Aux_puntos!$A$2:$OJ$901,588,MATCH($B$2&amp;"|yN",Aux_puntos!$1:$1,0))),NA())</f>
        <v/>
      </c>
    </row>
    <row r="593">
      <c r="AC593">
        <f>IFERROR(IF(INDEX(Aux_puntos!$A$2:$OJ$901,589,MATCH($B$2&amp;"|xK",Aux_puntos!$1:$1,0))="",NA(),INDEX(Aux_puntos!$A$2:$OJ$901,589,MATCH($B$2&amp;"|xK",Aux_puntos!$1:$1,0))),NA())</f>
        <v/>
      </c>
      <c r="AD593">
        <f>IFERROR(IF(INDEX(Aux_puntos!$A$2:$OJ$901,589,MATCH($B$2&amp;"|yK",Aux_puntos!$1:$1,0))="",NA(),INDEX(Aux_puntos!$A$2:$OJ$901,589,MATCH($B$2&amp;"|yK",Aux_puntos!$1:$1,0))),NA())</f>
        <v/>
      </c>
      <c r="AE593">
        <f>IFERROR(IF(INDEX(Aux_puntos!$A$2:$OJ$901,589,MATCH($B$2&amp;"|xC",Aux_puntos!$1:$1,0))="",NA(),INDEX(Aux_puntos!$A$2:$OJ$901,589,MATCH($B$2&amp;"|xC",Aux_puntos!$1:$1,0))),NA())</f>
        <v/>
      </c>
      <c r="AF593">
        <f>IFERROR(IF(INDEX(Aux_puntos!$A$2:$OJ$901,589,MATCH($B$2&amp;"|yC",Aux_puntos!$1:$1,0))="",NA(),INDEX(Aux_puntos!$A$2:$OJ$901,589,MATCH($B$2&amp;"|yC",Aux_puntos!$1:$1,0))),NA())</f>
        <v/>
      </c>
      <c r="AG593">
        <f>IFERROR(IF(INDEX(Aux_puntos!$A$2:$OJ$901,589,MATCH($B$2&amp;"|xI",Aux_puntos!$1:$1,0))="",NA(),INDEX(Aux_puntos!$A$2:$OJ$901,589,MATCH($B$2&amp;"|xI",Aux_puntos!$1:$1,0))),NA())</f>
        <v/>
      </c>
      <c r="AH593">
        <f>IFERROR(IF(INDEX(Aux_puntos!$A$2:$OJ$901,589,MATCH($B$2&amp;"|yI",Aux_puntos!$1:$1,0))="",NA(),INDEX(Aux_puntos!$A$2:$OJ$901,589,MATCH($B$2&amp;"|yI",Aux_puntos!$1:$1,0))),NA())</f>
        <v/>
      </c>
      <c r="AI593">
        <f>IFERROR(IF(INDEX(Aux_puntos!$A$2:$OJ$901,589,MATCH($B$2&amp;"|xN",Aux_puntos!$1:$1,0))="",NA(),INDEX(Aux_puntos!$A$2:$OJ$901,589,MATCH($B$2&amp;"|xN",Aux_puntos!$1:$1,0))),NA())</f>
        <v/>
      </c>
      <c r="AJ593">
        <f>IFERROR(IF(INDEX(Aux_puntos!$A$2:$OJ$901,589,MATCH($B$2&amp;"|yN",Aux_puntos!$1:$1,0))="",NA(),INDEX(Aux_puntos!$A$2:$OJ$901,589,MATCH($B$2&amp;"|yN",Aux_puntos!$1:$1,0))),NA())</f>
        <v/>
      </c>
    </row>
    <row r="594">
      <c r="AC594">
        <f>IFERROR(IF(INDEX(Aux_puntos!$A$2:$OJ$901,590,MATCH($B$2&amp;"|xK",Aux_puntos!$1:$1,0))="",NA(),INDEX(Aux_puntos!$A$2:$OJ$901,590,MATCH($B$2&amp;"|xK",Aux_puntos!$1:$1,0))),NA())</f>
        <v/>
      </c>
      <c r="AD594">
        <f>IFERROR(IF(INDEX(Aux_puntos!$A$2:$OJ$901,590,MATCH($B$2&amp;"|yK",Aux_puntos!$1:$1,0))="",NA(),INDEX(Aux_puntos!$A$2:$OJ$901,590,MATCH($B$2&amp;"|yK",Aux_puntos!$1:$1,0))),NA())</f>
        <v/>
      </c>
      <c r="AE594">
        <f>IFERROR(IF(INDEX(Aux_puntos!$A$2:$OJ$901,590,MATCH($B$2&amp;"|xC",Aux_puntos!$1:$1,0))="",NA(),INDEX(Aux_puntos!$A$2:$OJ$901,590,MATCH($B$2&amp;"|xC",Aux_puntos!$1:$1,0))),NA())</f>
        <v/>
      </c>
      <c r="AF594">
        <f>IFERROR(IF(INDEX(Aux_puntos!$A$2:$OJ$901,590,MATCH($B$2&amp;"|yC",Aux_puntos!$1:$1,0))="",NA(),INDEX(Aux_puntos!$A$2:$OJ$901,590,MATCH($B$2&amp;"|yC",Aux_puntos!$1:$1,0))),NA())</f>
        <v/>
      </c>
      <c r="AG594">
        <f>IFERROR(IF(INDEX(Aux_puntos!$A$2:$OJ$901,590,MATCH($B$2&amp;"|xI",Aux_puntos!$1:$1,0))="",NA(),INDEX(Aux_puntos!$A$2:$OJ$901,590,MATCH($B$2&amp;"|xI",Aux_puntos!$1:$1,0))),NA())</f>
        <v/>
      </c>
      <c r="AH594">
        <f>IFERROR(IF(INDEX(Aux_puntos!$A$2:$OJ$901,590,MATCH($B$2&amp;"|yI",Aux_puntos!$1:$1,0))="",NA(),INDEX(Aux_puntos!$A$2:$OJ$901,590,MATCH($B$2&amp;"|yI",Aux_puntos!$1:$1,0))),NA())</f>
        <v/>
      </c>
      <c r="AI594">
        <f>IFERROR(IF(INDEX(Aux_puntos!$A$2:$OJ$901,590,MATCH($B$2&amp;"|xN",Aux_puntos!$1:$1,0))="",NA(),INDEX(Aux_puntos!$A$2:$OJ$901,590,MATCH($B$2&amp;"|xN",Aux_puntos!$1:$1,0))),NA())</f>
        <v/>
      </c>
      <c r="AJ594">
        <f>IFERROR(IF(INDEX(Aux_puntos!$A$2:$OJ$901,590,MATCH($B$2&amp;"|yN",Aux_puntos!$1:$1,0))="",NA(),INDEX(Aux_puntos!$A$2:$OJ$901,590,MATCH($B$2&amp;"|yN",Aux_puntos!$1:$1,0))),NA())</f>
        <v/>
      </c>
    </row>
    <row r="595">
      <c r="AC595">
        <f>IFERROR(IF(INDEX(Aux_puntos!$A$2:$OJ$901,591,MATCH($B$2&amp;"|xK",Aux_puntos!$1:$1,0))="",NA(),INDEX(Aux_puntos!$A$2:$OJ$901,591,MATCH($B$2&amp;"|xK",Aux_puntos!$1:$1,0))),NA())</f>
        <v/>
      </c>
      <c r="AD595">
        <f>IFERROR(IF(INDEX(Aux_puntos!$A$2:$OJ$901,591,MATCH($B$2&amp;"|yK",Aux_puntos!$1:$1,0))="",NA(),INDEX(Aux_puntos!$A$2:$OJ$901,591,MATCH($B$2&amp;"|yK",Aux_puntos!$1:$1,0))),NA())</f>
        <v/>
      </c>
      <c r="AE595">
        <f>IFERROR(IF(INDEX(Aux_puntos!$A$2:$OJ$901,591,MATCH($B$2&amp;"|xC",Aux_puntos!$1:$1,0))="",NA(),INDEX(Aux_puntos!$A$2:$OJ$901,591,MATCH($B$2&amp;"|xC",Aux_puntos!$1:$1,0))),NA())</f>
        <v/>
      </c>
      <c r="AF595">
        <f>IFERROR(IF(INDEX(Aux_puntos!$A$2:$OJ$901,591,MATCH($B$2&amp;"|yC",Aux_puntos!$1:$1,0))="",NA(),INDEX(Aux_puntos!$A$2:$OJ$901,591,MATCH($B$2&amp;"|yC",Aux_puntos!$1:$1,0))),NA())</f>
        <v/>
      </c>
      <c r="AG595">
        <f>IFERROR(IF(INDEX(Aux_puntos!$A$2:$OJ$901,591,MATCH($B$2&amp;"|xI",Aux_puntos!$1:$1,0))="",NA(),INDEX(Aux_puntos!$A$2:$OJ$901,591,MATCH($B$2&amp;"|xI",Aux_puntos!$1:$1,0))),NA())</f>
        <v/>
      </c>
      <c r="AH595">
        <f>IFERROR(IF(INDEX(Aux_puntos!$A$2:$OJ$901,591,MATCH($B$2&amp;"|yI",Aux_puntos!$1:$1,0))="",NA(),INDEX(Aux_puntos!$A$2:$OJ$901,591,MATCH($B$2&amp;"|yI",Aux_puntos!$1:$1,0))),NA())</f>
        <v/>
      </c>
      <c r="AI595">
        <f>IFERROR(IF(INDEX(Aux_puntos!$A$2:$OJ$901,591,MATCH($B$2&amp;"|xN",Aux_puntos!$1:$1,0))="",NA(),INDEX(Aux_puntos!$A$2:$OJ$901,591,MATCH($B$2&amp;"|xN",Aux_puntos!$1:$1,0))),NA())</f>
        <v/>
      </c>
      <c r="AJ595">
        <f>IFERROR(IF(INDEX(Aux_puntos!$A$2:$OJ$901,591,MATCH($B$2&amp;"|yN",Aux_puntos!$1:$1,0))="",NA(),INDEX(Aux_puntos!$A$2:$OJ$901,591,MATCH($B$2&amp;"|yN",Aux_puntos!$1:$1,0))),NA())</f>
        <v/>
      </c>
    </row>
    <row r="596">
      <c r="AC596">
        <f>IFERROR(IF(INDEX(Aux_puntos!$A$2:$OJ$901,592,MATCH($B$2&amp;"|xK",Aux_puntos!$1:$1,0))="",NA(),INDEX(Aux_puntos!$A$2:$OJ$901,592,MATCH($B$2&amp;"|xK",Aux_puntos!$1:$1,0))),NA())</f>
        <v/>
      </c>
      <c r="AD596">
        <f>IFERROR(IF(INDEX(Aux_puntos!$A$2:$OJ$901,592,MATCH($B$2&amp;"|yK",Aux_puntos!$1:$1,0))="",NA(),INDEX(Aux_puntos!$A$2:$OJ$901,592,MATCH($B$2&amp;"|yK",Aux_puntos!$1:$1,0))),NA())</f>
        <v/>
      </c>
      <c r="AE596">
        <f>IFERROR(IF(INDEX(Aux_puntos!$A$2:$OJ$901,592,MATCH($B$2&amp;"|xC",Aux_puntos!$1:$1,0))="",NA(),INDEX(Aux_puntos!$A$2:$OJ$901,592,MATCH($B$2&amp;"|xC",Aux_puntos!$1:$1,0))),NA())</f>
        <v/>
      </c>
      <c r="AF596">
        <f>IFERROR(IF(INDEX(Aux_puntos!$A$2:$OJ$901,592,MATCH($B$2&amp;"|yC",Aux_puntos!$1:$1,0))="",NA(),INDEX(Aux_puntos!$A$2:$OJ$901,592,MATCH($B$2&amp;"|yC",Aux_puntos!$1:$1,0))),NA())</f>
        <v/>
      </c>
      <c r="AG596">
        <f>IFERROR(IF(INDEX(Aux_puntos!$A$2:$OJ$901,592,MATCH($B$2&amp;"|xI",Aux_puntos!$1:$1,0))="",NA(),INDEX(Aux_puntos!$A$2:$OJ$901,592,MATCH($B$2&amp;"|xI",Aux_puntos!$1:$1,0))),NA())</f>
        <v/>
      </c>
      <c r="AH596">
        <f>IFERROR(IF(INDEX(Aux_puntos!$A$2:$OJ$901,592,MATCH($B$2&amp;"|yI",Aux_puntos!$1:$1,0))="",NA(),INDEX(Aux_puntos!$A$2:$OJ$901,592,MATCH($B$2&amp;"|yI",Aux_puntos!$1:$1,0))),NA())</f>
        <v/>
      </c>
      <c r="AI596">
        <f>IFERROR(IF(INDEX(Aux_puntos!$A$2:$OJ$901,592,MATCH($B$2&amp;"|xN",Aux_puntos!$1:$1,0))="",NA(),INDEX(Aux_puntos!$A$2:$OJ$901,592,MATCH($B$2&amp;"|xN",Aux_puntos!$1:$1,0))),NA())</f>
        <v/>
      </c>
      <c r="AJ596">
        <f>IFERROR(IF(INDEX(Aux_puntos!$A$2:$OJ$901,592,MATCH($B$2&amp;"|yN",Aux_puntos!$1:$1,0))="",NA(),INDEX(Aux_puntos!$A$2:$OJ$901,592,MATCH($B$2&amp;"|yN",Aux_puntos!$1:$1,0))),NA())</f>
        <v/>
      </c>
    </row>
    <row r="597">
      <c r="AC597">
        <f>IFERROR(IF(INDEX(Aux_puntos!$A$2:$OJ$901,593,MATCH($B$2&amp;"|xK",Aux_puntos!$1:$1,0))="",NA(),INDEX(Aux_puntos!$A$2:$OJ$901,593,MATCH($B$2&amp;"|xK",Aux_puntos!$1:$1,0))),NA())</f>
        <v/>
      </c>
      <c r="AD597">
        <f>IFERROR(IF(INDEX(Aux_puntos!$A$2:$OJ$901,593,MATCH($B$2&amp;"|yK",Aux_puntos!$1:$1,0))="",NA(),INDEX(Aux_puntos!$A$2:$OJ$901,593,MATCH($B$2&amp;"|yK",Aux_puntos!$1:$1,0))),NA())</f>
        <v/>
      </c>
      <c r="AE597">
        <f>IFERROR(IF(INDEX(Aux_puntos!$A$2:$OJ$901,593,MATCH($B$2&amp;"|xC",Aux_puntos!$1:$1,0))="",NA(),INDEX(Aux_puntos!$A$2:$OJ$901,593,MATCH($B$2&amp;"|xC",Aux_puntos!$1:$1,0))),NA())</f>
        <v/>
      </c>
      <c r="AF597">
        <f>IFERROR(IF(INDEX(Aux_puntos!$A$2:$OJ$901,593,MATCH($B$2&amp;"|yC",Aux_puntos!$1:$1,0))="",NA(),INDEX(Aux_puntos!$A$2:$OJ$901,593,MATCH($B$2&amp;"|yC",Aux_puntos!$1:$1,0))),NA())</f>
        <v/>
      </c>
      <c r="AG597">
        <f>IFERROR(IF(INDEX(Aux_puntos!$A$2:$OJ$901,593,MATCH($B$2&amp;"|xI",Aux_puntos!$1:$1,0))="",NA(),INDEX(Aux_puntos!$A$2:$OJ$901,593,MATCH($B$2&amp;"|xI",Aux_puntos!$1:$1,0))),NA())</f>
        <v/>
      </c>
      <c r="AH597">
        <f>IFERROR(IF(INDEX(Aux_puntos!$A$2:$OJ$901,593,MATCH($B$2&amp;"|yI",Aux_puntos!$1:$1,0))="",NA(),INDEX(Aux_puntos!$A$2:$OJ$901,593,MATCH($B$2&amp;"|yI",Aux_puntos!$1:$1,0))),NA())</f>
        <v/>
      </c>
      <c r="AI597">
        <f>IFERROR(IF(INDEX(Aux_puntos!$A$2:$OJ$901,593,MATCH($B$2&amp;"|xN",Aux_puntos!$1:$1,0))="",NA(),INDEX(Aux_puntos!$A$2:$OJ$901,593,MATCH($B$2&amp;"|xN",Aux_puntos!$1:$1,0))),NA())</f>
        <v/>
      </c>
      <c r="AJ597">
        <f>IFERROR(IF(INDEX(Aux_puntos!$A$2:$OJ$901,593,MATCH($B$2&amp;"|yN",Aux_puntos!$1:$1,0))="",NA(),INDEX(Aux_puntos!$A$2:$OJ$901,593,MATCH($B$2&amp;"|yN",Aux_puntos!$1:$1,0))),NA())</f>
        <v/>
      </c>
    </row>
    <row r="598">
      <c r="AC598">
        <f>IFERROR(IF(INDEX(Aux_puntos!$A$2:$OJ$901,594,MATCH($B$2&amp;"|xK",Aux_puntos!$1:$1,0))="",NA(),INDEX(Aux_puntos!$A$2:$OJ$901,594,MATCH($B$2&amp;"|xK",Aux_puntos!$1:$1,0))),NA())</f>
        <v/>
      </c>
      <c r="AD598">
        <f>IFERROR(IF(INDEX(Aux_puntos!$A$2:$OJ$901,594,MATCH($B$2&amp;"|yK",Aux_puntos!$1:$1,0))="",NA(),INDEX(Aux_puntos!$A$2:$OJ$901,594,MATCH($B$2&amp;"|yK",Aux_puntos!$1:$1,0))),NA())</f>
        <v/>
      </c>
      <c r="AE598">
        <f>IFERROR(IF(INDEX(Aux_puntos!$A$2:$OJ$901,594,MATCH($B$2&amp;"|xC",Aux_puntos!$1:$1,0))="",NA(),INDEX(Aux_puntos!$A$2:$OJ$901,594,MATCH($B$2&amp;"|xC",Aux_puntos!$1:$1,0))),NA())</f>
        <v/>
      </c>
      <c r="AF598">
        <f>IFERROR(IF(INDEX(Aux_puntos!$A$2:$OJ$901,594,MATCH($B$2&amp;"|yC",Aux_puntos!$1:$1,0))="",NA(),INDEX(Aux_puntos!$A$2:$OJ$901,594,MATCH($B$2&amp;"|yC",Aux_puntos!$1:$1,0))),NA())</f>
        <v/>
      </c>
      <c r="AG598">
        <f>IFERROR(IF(INDEX(Aux_puntos!$A$2:$OJ$901,594,MATCH($B$2&amp;"|xI",Aux_puntos!$1:$1,0))="",NA(),INDEX(Aux_puntos!$A$2:$OJ$901,594,MATCH($B$2&amp;"|xI",Aux_puntos!$1:$1,0))),NA())</f>
        <v/>
      </c>
      <c r="AH598">
        <f>IFERROR(IF(INDEX(Aux_puntos!$A$2:$OJ$901,594,MATCH($B$2&amp;"|yI",Aux_puntos!$1:$1,0))="",NA(),INDEX(Aux_puntos!$A$2:$OJ$901,594,MATCH($B$2&amp;"|yI",Aux_puntos!$1:$1,0))),NA())</f>
        <v/>
      </c>
      <c r="AI598">
        <f>IFERROR(IF(INDEX(Aux_puntos!$A$2:$OJ$901,594,MATCH($B$2&amp;"|xN",Aux_puntos!$1:$1,0))="",NA(),INDEX(Aux_puntos!$A$2:$OJ$901,594,MATCH($B$2&amp;"|xN",Aux_puntos!$1:$1,0))),NA())</f>
        <v/>
      </c>
      <c r="AJ598">
        <f>IFERROR(IF(INDEX(Aux_puntos!$A$2:$OJ$901,594,MATCH($B$2&amp;"|yN",Aux_puntos!$1:$1,0))="",NA(),INDEX(Aux_puntos!$A$2:$OJ$901,594,MATCH($B$2&amp;"|yN",Aux_puntos!$1:$1,0))),NA())</f>
        <v/>
      </c>
    </row>
    <row r="599">
      <c r="AC599">
        <f>IFERROR(IF(INDEX(Aux_puntos!$A$2:$OJ$901,595,MATCH($B$2&amp;"|xK",Aux_puntos!$1:$1,0))="",NA(),INDEX(Aux_puntos!$A$2:$OJ$901,595,MATCH($B$2&amp;"|xK",Aux_puntos!$1:$1,0))),NA())</f>
        <v/>
      </c>
      <c r="AD599">
        <f>IFERROR(IF(INDEX(Aux_puntos!$A$2:$OJ$901,595,MATCH($B$2&amp;"|yK",Aux_puntos!$1:$1,0))="",NA(),INDEX(Aux_puntos!$A$2:$OJ$901,595,MATCH($B$2&amp;"|yK",Aux_puntos!$1:$1,0))),NA())</f>
        <v/>
      </c>
      <c r="AE599">
        <f>IFERROR(IF(INDEX(Aux_puntos!$A$2:$OJ$901,595,MATCH($B$2&amp;"|xC",Aux_puntos!$1:$1,0))="",NA(),INDEX(Aux_puntos!$A$2:$OJ$901,595,MATCH($B$2&amp;"|xC",Aux_puntos!$1:$1,0))),NA())</f>
        <v/>
      </c>
      <c r="AF599">
        <f>IFERROR(IF(INDEX(Aux_puntos!$A$2:$OJ$901,595,MATCH($B$2&amp;"|yC",Aux_puntos!$1:$1,0))="",NA(),INDEX(Aux_puntos!$A$2:$OJ$901,595,MATCH($B$2&amp;"|yC",Aux_puntos!$1:$1,0))),NA())</f>
        <v/>
      </c>
      <c r="AG599">
        <f>IFERROR(IF(INDEX(Aux_puntos!$A$2:$OJ$901,595,MATCH($B$2&amp;"|xI",Aux_puntos!$1:$1,0))="",NA(),INDEX(Aux_puntos!$A$2:$OJ$901,595,MATCH($B$2&amp;"|xI",Aux_puntos!$1:$1,0))),NA())</f>
        <v/>
      </c>
      <c r="AH599">
        <f>IFERROR(IF(INDEX(Aux_puntos!$A$2:$OJ$901,595,MATCH($B$2&amp;"|yI",Aux_puntos!$1:$1,0))="",NA(),INDEX(Aux_puntos!$A$2:$OJ$901,595,MATCH($B$2&amp;"|yI",Aux_puntos!$1:$1,0))),NA())</f>
        <v/>
      </c>
      <c r="AI599">
        <f>IFERROR(IF(INDEX(Aux_puntos!$A$2:$OJ$901,595,MATCH($B$2&amp;"|xN",Aux_puntos!$1:$1,0))="",NA(),INDEX(Aux_puntos!$A$2:$OJ$901,595,MATCH($B$2&amp;"|xN",Aux_puntos!$1:$1,0))),NA())</f>
        <v/>
      </c>
      <c r="AJ599">
        <f>IFERROR(IF(INDEX(Aux_puntos!$A$2:$OJ$901,595,MATCH($B$2&amp;"|yN",Aux_puntos!$1:$1,0))="",NA(),INDEX(Aux_puntos!$A$2:$OJ$901,595,MATCH($B$2&amp;"|yN",Aux_puntos!$1:$1,0))),NA())</f>
        <v/>
      </c>
    </row>
    <row r="600">
      <c r="AC600">
        <f>IFERROR(IF(INDEX(Aux_puntos!$A$2:$OJ$901,596,MATCH($B$2&amp;"|xK",Aux_puntos!$1:$1,0))="",NA(),INDEX(Aux_puntos!$A$2:$OJ$901,596,MATCH($B$2&amp;"|xK",Aux_puntos!$1:$1,0))),NA())</f>
        <v/>
      </c>
      <c r="AD600">
        <f>IFERROR(IF(INDEX(Aux_puntos!$A$2:$OJ$901,596,MATCH($B$2&amp;"|yK",Aux_puntos!$1:$1,0))="",NA(),INDEX(Aux_puntos!$A$2:$OJ$901,596,MATCH($B$2&amp;"|yK",Aux_puntos!$1:$1,0))),NA())</f>
        <v/>
      </c>
      <c r="AE600">
        <f>IFERROR(IF(INDEX(Aux_puntos!$A$2:$OJ$901,596,MATCH($B$2&amp;"|xC",Aux_puntos!$1:$1,0))="",NA(),INDEX(Aux_puntos!$A$2:$OJ$901,596,MATCH($B$2&amp;"|xC",Aux_puntos!$1:$1,0))),NA())</f>
        <v/>
      </c>
      <c r="AF600">
        <f>IFERROR(IF(INDEX(Aux_puntos!$A$2:$OJ$901,596,MATCH($B$2&amp;"|yC",Aux_puntos!$1:$1,0))="",NA(),INDEX(Aux_puntos!$A$2:$OJ$901,596,MATCH($B$2&amp;"|yC",Aux_puntos!$1:$1,0))),NA())</f>
        <v/>
      </c>
      <c r="AG600">
        <f>IFERROR(IF(INDEX(Aux_puntos!$A$2:$OJ$901,596,MATCH($B$2&amp;"|xI",Aux_puntos!$1:$1,0))="",NA(),INDEX(Aux_puntos!$A$2:$OJ$901,596,MATCH($B$2&amp;"|xI",Aux_puntos!$1:$1,0))),NA())</f>
        <v/>
      </c>
      <c r="AH600">
        <f>IFERROR(IF(INDEX(Aux_puntos!$A$2:$OJ$901,596,MATCH($B$2&amp;"|yI",Aux_puntos!$1:$1,0))="",NA(),INDEX(Aux_puntos!$A$2:$OJ$901,596,MATCH($B$2&amp;"|yI",Aux_puntos!$1:$1,0))),NA())</f>
        <v/>
      </c>
      <c r="AI600">
        <f>IFERROR(IF(INDEX(Aux_puntos!$A$2:$OJ$901,596,MATCH($B$2&amp;"|xN",Aux_puntos!$1:$1,0))="",NA(),INDEX(Aux_puntos!$A$2:$OJ$901,596,MATCH($B$2&amp;"|xN",Aux_puntos!$1:$1,0))),NA())</f>
        <v/>
      </c>
      <c r="AJ600">
        <f>IFERROR(IF(INDEX(Aux_puntos!$A$2:$OJ$901,596,MATCH($B$2&amp;"|yN",Aux_puntos!$1:$1,0))="",NA(),INDEX(Aux_puntos!$A$2:$OJ$901,596,MATCH($B$2&amp;"|yN",Aux_puntos!$1:$1,0))),NA())</f>
        <v/>
      </c>
    </row>
    <row r="601">
      <c r="AC601">
        <f>IFERROR(IF(INDEX(Aux_puntos!$A$2:$OJ$901,597,MATCH($B$2&amp;"|xK",Aux_puntos!$1:$1,0))="",NA(),INDEX(Aux_puntos!$A$2:$OJ$901,597,MATCH($B$2&amp;"|xK",Aux_puntos!$1:$1,0))),NA())</f>
        <v/>
      </c>
      <c r="AD601">
        <f>IFERROR(IF(INDEX(Aux_puntos!$A$2:$OJ$901,597,MATCH($B$2&amp;"|yK",Aux_puntos!$1:$1,0))="",NA(),INDEX(Aux_puntos!$A$2:$OJ$901,597,MATCH($B$2&amp;"|yK",Aux_puntos!$1:$1,0))),NA())</f>
        <v/>
      </c>
      <c r="AE601">
        <f>IFERROR(IF(INDEX(Aux_puntos!$A$2:$OJ$901,597,MATCH($B$2&amp;"|xC",Aux_puntos!$1:$1,0))="",NA(),INDEX(Aux_puntos!$A$2:$OJ$901,597,MATCH($B$2&amp;"|xC",Aux_puntos!$1:$1,0))),NA())</f>
        <v/>
      </c>
      <c r="AF601">
        <f>IFERROR(IF(INDEX(Aux_puntos!$A$2:$OJ$901,597,MATCH($B$2&amp;"|yC",Aux_puntos!$1:$1,0))="",NA(),INDEX(Aux_puntos!$A$2:$OJ$901,597,MATCH($B$2&amp;"|yC",Aux_puntos!$1:$1,0))),NA())</f>
        <v/>
      </c>
      <c r="AG601">
        <f>IFERROR(IF(INDEX(Aux_puntos!$A$2:$OJ$901,597,MATCH($B$2&amp;"|xI",Aux_puntos!$1:$1,0))="",NA(),INDEX(Aux_puntos!$A$2:$OJ$901,597,MATCH($B$2&amp;"|xI",Aux_puntos!$1:$1,0))),NA())</f>
        <v/>
      </c>
      <c r="AH601">
        <f>IFERROR(IF(INDEX(Aux_puntos!$A$2:$OJ$901,597,MATCH($B$2&amp;"|yI",Aux_puntos!$1:$1,0))="",NA(),INDEX(Aux_puntos!$A$2:$OJ$901,597,MATCH($B$2&amp;"|yI",Aux_puntos!$1:$1,0))),NA())</f>
        <v/>
      </c>
      <c r="AI601">
        <f>IFERROR(IF(INDEX(Aux_puntos!$A$2:$OJ$901,597,MATCH($B$2&amp;"|xN",Aux_puntos!$1:$1,0))="",NA(),INDEX(Aux_puntos!$A$2:$OJ$901,597,MATCH($B$2&amp;"|xN",Aux_puntos!$1:$1,0))),NA())</f>
        <v/>
      </c>
      <c r="AJ601">
        <f>IFERROR(IF(INDEX(Aux_puntos!$A$2:$OJ$901,597,MATCH($B$2&amp;"|yN",Aux_puntos!$1:$1,0))="",NA(),INDEX(Aux_puntos!$A$2:$OJ$901,597,MATCH($B$2&amp;"|yN",Aux_puntos!$1:$1,0))),NA())</f>
        <v/>
      </c>
    </row>
    <row r="602">
      <c r="AC602">
        <f>IFERROR(IF(INDEX(Aux_puntos!$A$2:$OJ$901,598,MATCH($B$2&amp;"|xK",Aux_puntos!$1:$1,0))="",NA(),INDEX(Aux_puntos!$A$2:$OJ$901,598,MATCH($B$2&amp;"|xK",Aux_puntos!$1:$1,0))),NA())</f>
        <v/>
      </c>
      <c r="AD602">
        <f>IFERROR(IF(INDEX(Aux_puntos!$A$2:$OJ$901,598,MATCH($B$2&amp;"|yK",Aux_puntos!$1:$1,0))="",NA(),INDEX(Aux_puntos!$A$2:$OJ$901,598,MATCH($B$2&amp;"|yK",Aux_puntos!$1:$1,0))),NA())</f>
        <v/>
      </c>
      <c r="AE602">
        <f>IFERROR(IF(INDEX(Aux_puntos!$A$2:$OJ$901,598,MATCH($B$2&amp;"|xC",Aux_puntos!$1:$1,0))="",NA(),INDEX(Aux_puntos!$A$2:$OJ$901,598,MATCH($B$2&amp;"|xC",Aux_puntos!$1:$1,0))),NA())</f>
        <v/>
      </c>
      <c r="AF602">
        <f>IFERROR(IF(INDEX(Aux_puntos!$A$2:$OJ$901,598,MATCH($B$2&amp;"|yC",Aux_puntos!$1:$1,0))="",NA(),INDEX(Aux_puntos!$A$2:$OJ$901,598,MATCH($B$2&amp;"|yC",Aux_puntos!$1:$1,0))),NA())</f>
        <v/>
      </c>
      <c r="AG602">
        <f>IFERROR(IF(INDEX(Aux_puntos!$A$2:$OJ$901,598,MATCH($B$2&amp;"|xI",Aux_puntos!$1:$1,0))="",NA(),INDEX(Aux_puntos!$A$2:$OJ$901,598,MATCH($B$2&amp;"|xI",Aux_puntos!$1:$1,0))),NA())</f>
        <v/>
      </c>
      <c r="AH602">
        <f>IFERROR(IF(INDEX(Aux_puntos!$A$2:$OJ$901,598,MATCH($B$2&amp;"|yI",Aux_puntos!$1:$1,0))="",NA(),INDEX(Aux_puntos!$A$2:$OJ$901,598,MATCH($B$2&amp;"|yI",Aux_puntos!$1:$1,0))),NA())</f>
        <v/>
      </c>
      <c r="AI602">
        <f>IFERROR(IF(INDEX(Aux_puntos!$A$2:$OJ$901,598,MATCH($B$2&amp;"|xN",Aux_puntos!$1:$1,0))="",NA(),INDEX(Aux_puntos!$A$2:$OJ$901,598,MATCH($B$2&amp;"|xN",Aux_puntos!$1:$1,0))),NA())</f>
        <v/>
      </c>
      <c r="AJ602">
        <f>IFERROR(IF(INDEX(Aux_puntos!$A$2:$OJ$901,598,MATCH($B$2&amp;"|yN",Aux_puntos!$1:$1,0))="",NA(),INDEX(Aux_puntos!$A$2:$OJ$901,598,MATCH($B$2&amp;"|yN",Aux_puntos!$1:$1,0))),NA())</f>
        <v/>
      </c>
    </row>
    <row r="603">
      <c r="AC603">
        <f>IFERROR(IF(INDEX(Aux_puntos!$A$2:$OJ$901,599,MATCH($B$2&amp;"|xK",Aux_puntos!$1:$1,0))="",NA(),INDEX(Aux_puntos!$A$2:$OJ$901,599,MATCH($B$2&amp;"|xK",Aux_puntos!$1:$1,0))),NA())</f>
        <v/>
      </c>
      <c r="AD603">
        <f>IFERROR(IF(INDEX(Aux_puntos!$A$2:$OJ$901,599,MATCH($B$2&amp;"|yK",Aux_puntos!$1:$1,0))="",NA(),INDEX(Aux_puntos!$A$2:$OJ$901,599,MATCH($B$2&amp;"|yK",Aux_puntos!$1:$1,0))),NA())</f>
        <v/>
      </c>
      <c r="AE603">
        <f>IFERROR(IF(INDEX(Aux_puntos!$A$2:$OJ$901,599,MATCH($B$2&amp;"|xC",Aux_puntos!$1:$1,0))="",NA(),INDEX(Aux_puntos!$A$2:$OJ$901,599,MATCH($B$2&amp;"|xC",Aux_puntos!$1:$1,0))),NA())</f>
        <v/>
      </c>
      <c r="AF603">
        <f>IFERROR(IF(INDEX(Aux_puntos!$A$2:$OJ$901,599,MATCH($B$2&amp;"|yC",Aux_puntos!$1:$1,0))="",NA(),INDEX(Aux_puntos!$A$2:$OJ$901,599,MATCH($B$2&amp;"|yC",Aux_puntos!$1:$1,0))),NA())</f>
        <v/>
      </c>
      <c r="AG603">
        <f>IFERROR(IF(INDEX(Aux_puntos!$A$2:$OJ$901,599,MATCH($B$2&amp;"|xI",Aux_puntos!$1:$1,0))="",NA(),INDEX(Aux_puntos!$A$2:$OJ$901,599,MATCH($B$2&amp;"|xI",Aux_puntos!$1:$1,0))),NA())</f>
        <v/>
      </c>
      <c r="AH603">
        <f>IFERROR(IF(INDEX(Aux_puntos!$A$2:$OJ$901,599,MATCH($B$2&amp;"|yI",Aux_puntos!$1:$1,0))="",NA(),INDEX(Aux_puntos!$A$2:$OJ$901,599,MATCH($B$2&amp;"|yI",Aux_puntos!$1:$1,0))),NA())</f>
        <v/>
      </c>
      <c r="AI603">
        <f>IFERROR(IF(INDEX(Aux_puntos!$A$2:$OJ$901,599,MATCH($B$2&amp;"|xN",Aux_puntos!$1:$1,0))="",NA(),INDEX(Aux_puntos!$A$2:$OJ$901,599,MATCH($B$2&amp;"|xN",Aux_puntos!$1:$1,0))),NA())</f>
        <v/>
      </c>
      <c r="AJ603">
        <f>IFERROR(IF(INDEX(Aux_puntos!$A$2:$OJ$901,599,MATCH($B$2&amp;"|yN",Aux_puntos!$1:$1,0))="",NA(),INDEX(Aux_puntos!$A$2:$OJ$901,599,MATCH($B$2&amp;"|yN",Aux_puntos!$1:$1,0))),NA())</f>
        <v/>
      </c>
    </row>
    <row r="604">
      <c r="AC604">
        <f>IFERROR(IF(INDEX(Aux_puntos!$A$2:$OJ$901,600,MATCH($B$2&amp;"|xK",Aux_puntos!$1:$1,0))="",NA(),INDEX(Aux_puntos!$A$2:$OJ$901,600,MATCH($B$2&amp;"|xK",Aux_puntos!$1:$1,0))),NA())</f>
        <v/>
      </c>
      <c r="AD604">
        <f>IFERROR(IF(INDEX(Aux_puntos!$A$2:$OJ$901,600,MATCH($B$2&amp;"|yK",Aux_puntos!$1:$1,0))="",NA(),INDEX(Aux_puntos!$A$2:$OJ$901,600,MATCH($B$2&amp;"|yK",Aux_puntos!$1:$1,0))),NA())</f>
        <v/>
      </c>
      <c r="AE604">
        <f>IFERROR(IF(INDEX(Aux_puntos!$A$2:$OJ$901,600,MATCH($B$2&amp;"|xC",Aux_puntos!$1:$1,0))="",NA(),INDEX(Aux_puntos!$A$2:$OJ$901,600,MATCH($B$2&amp;"|xC",Aux_puntos!$1:$1,0))),NA())</f>
        <v/>
      </c>
      <c r="AF604">
        <f>IFERROR(IF(INDEX(Aux_puntos!$A$2:$OJ$901,600,MATCH($B$2&amp;"|yC",Aux_puntos!$1:$1,0))="",NA(),INDEX(Aux_puntos!$A$2:$OJ$901,600,MATCH($B$2&amp;"|yC",Aux_puntos!$1:$1,0))),NA())</f>
        <v/>
      </c>
      <c r="AG604">
        <f>IFERROR(IF(INDEX(Aux_puntos!$A$2:$OJ$901,600,MATCH($B$2&amp;"|xI",Aux_puntos!$1:$1,0))="",NA(),INDEX(Aux_puntos!$A$2:$OJ$901,600,MATCH($B$2&amp;"|xI",Aux_puntos!$1:$1,0))),NA())</f>
        <v/>
      </c>
      <c r="AH604">
        <f>IFERROR(IF(INDEX(Aux_puntos!$A$2:$OJ$901,600,MATCH($B$2&amp;"|yI",Aux_puntos!$1:$1,0))="",NA(),INDEX(Aux_puntos!$A$2:$OJ$901,600,MATCH($B$2&amp;"|yI",Aux_puntos!$1:$1,0))),NA())</f>
        <v/>
      </c>
      <c r="AI604">
        <f>IFERROR(IF(INDEX(Aux_puntos!$A$2:$OJ$901,600,MATCH($B$2&amp;"|xN",Aux_puntos!$1:$1,0))="",NA(),INDEX(Aux_puntos!$A$2:$OJ$901,600,MATCH($B$2&amp;"|xN",Aux_puntos!$1:$1,0))),NA())</f>
        <v/>
      </c>
      <c r="AJ604">
        <f>IFERROR(IF(INDEX(Aux_puntos!$A$2:$OJ$901,600,MATCH($B$2&amp;"|yN",Aux_puntos!$1:$1,0))="",NA(),INDEX(Aux_puntos!$A$2:$OJ$901,600,MATCH($B$2&amp;"|yN",Aux_puntos!$1:$1,0))),NA())</f>
        <v/>
      </c>
    </row>
    <row r="605">
      <c r="AC605">
        <f>IFERROR(IF(INDEX(Aux_puntos!$A$2:$OJ$901,601,MATCH($B$2&amp;"|xK",Aux_puntos!$1:$1,0))="",NA(),INDEX(Aux_puntos!$A$2:$OJ$901,601,MATCH($B$2&amp;"|xK",Aux_puntos!$1:$1,0))),NA())</f>
        <v/>
      </c>
      <c r="AD605">
        <f>IFERROR(IF(INDEX(Aux_puntos!$A$2:$OJ$901,601,MATCH($B$2&amp;"|yK",Aux_puntos!$1:$1,0))="",NA(),INDEX(Aux_puntos!$A$2:$OJ$901,601,MATCH($B$2&amp;"|yK",Aux_puntos!$1:$1,0))),NA())</f>
        <v/>
      </c>
      <c r="AE605">
        <f>IFERROR(IF(INDEX(Aux_puntos!$A$2:$OJ$901,601,MATCH($B$2&amp;"|xC",Aux_puntos!$1:$1,0))="",NA(),INDEX(Aux_puntos!$A$2:$OJ$901,601,MATCH($B$2&amp;"|xC",Aux_puntos!$1:$1,0))),NA())</f>
        <v/>
      </c>
      <c r="AF605">
        <f>IFERROR(IF(INDEX(Aux_puntos!$A$2:$OJ$901,601,MATCH($B$2&amp;"|yC",Aux_puntos!$1:$1,0))="",NA(),INDEX(Aux_puntos!$A$2:$OJ$901,601,MATCH($B$2&amp;"|yC",Aux_puntos!$1:$1,0))),NA())</f>
        <v/>
      </c>
      <c r="AG605">
        <f>IFERROR(IF(INDEX(Aux_puntos!$A$2:$OJ$901,601,MATCH($B$2&amp;"|xI",Aux_puntos!$1:$1,0))="",NA(),INDEX(Aux_puntos!$A$2:$OJ$901,601,MATCH($B$2&amp;"|xI",Aux_puntos!$1:$1,0))),NA())</f>
        <v/>
      </c>
      <c r="AH605">
        <f>IFERROR(IF(INDEX(Aux_puntos!$A$2:$OJ$901,601,MATCH($B$2&amp;"|yI",Aux_puntos!$1:$1,0))="",NA(),INDEX(Aux_puntos!$A$2:$OJ$901,601,MATCH($B$2&amp;"|yI",Aux_puntos!$1:$1,0))),NA())</f>
        <v/>
      </c>
      <c r="AI605">
        <f>IFERROR(IF(INDEX(Aux_puntos!$A$2:$OJ$901,601,MATCH($B$2&amp;"|xN",Aux_puntos!$1:$1,0))="",NA(),INDEX(Aux_puntos!$A$2:$OJ$901,601,MATCH($B$2&amp;"|xN",Aux_puntos!$1:$1,0))),NA())</f>
        <v/>
      </c>
      <c r="AJ605">
        <f>IFERROR(IF(INDEX(Aux_puntos!$A$2:$OJ$901,601,MATCH($B$2&amp;"|yN",Aux_puntos!$1:$1,0))="",NA(),INDEX(Aux_puntos!$A$2:$OJ$901,601,MATCH($B$2&amp;"|yN",Aux_puntos!$1:$1,0))),NA())</f>
        <v/>
      </c>
    </row>
    <row r="606">
      <c r="AC606">
        <f>IFERROR(IF(INDEX(Aux_puntos!$A$2:$OJ$901,602,MATCH($B$2&amp;"|xK",Aux_puntos!$1:$1,0))="",NA(),INDEX(Aux_puntos!$A$2:$OJ$901,602,MATCH($B$2&amp;"|xK",Aux_puntos!$1:$1,0))),NA())</f>
        <v/>
      </c>
      <c r="AD606">
        <f>IFERROR(IF(INDEX(Aux_puntos!$A$2:$OJ$901,602,MATCH($B$2&amp;"|yK",Aux_puntos!$1:$1,0))="",NA(),INDEX(Aux_puntos!$A$2:$OJ$901,602,MATCH($B$2&amp;"|yK",Aux_puntos!$1:$1,0))),NA())</f>
        <v/>
      </c>
      <c r="AE606">
        <f>IFERROR(IF(INDEX(Aux_puntos!$A$2:$OJ$901,602,MATCH($B$2&amp;"|xC",Aux_puntos!$1:$1,0))="",NA(),INDEX(Aux_puntos!$A$2:$OJ$901,602,MATCH($B$2&amp;"|xC",Aux_puntos!$1:$1,0))),NA())</f>
        <v/>
      </c>
      <c r="AF606">
        <f>IFERROR(IF(INDEX(Aux_puntos!$A$2:$OJ$901,602,MATCH($B$2&amp;"|yC",Aux_puntos!$1:$1,0))="",NA(),INDEX(Aux_puntos!$A$2:$OJ$901,602,MATCH($B$2&amp;"|yC",Aux_puntos!$1:$1,0))),NA())</f>
        <v/>
      </c>
      <c r="AG606">
        <f>IFERROR(IF(INDEX(Aux_puntos!$A$2:$OJ$901,602,MATCH($B$2&amp;"|xI",Aux_puntos!$1:$1,0))="",NA(),INDEX(Aux_puntos!$A$2:$OJ$901,602,MATCH($B$2&amp;"|xI",Aux_puntos!$1:$1,0))),NA())</f>
        <v/>
      </c>
      <c r="AH606">
        <f>IFERROR(IF(INDEX(Aux_puntos!$A$2:$OJ$901,602,MATCH($B$2&amp;"|yI",Aux_puntos!$1:$1,0))="",NA(),INDEX(Aux_puntos!$A$2:$OJ$901,602,MATCH($B$2&amp;"|yI",Aux_puntos!$1:$1,0))),NA())</f>
        <v/>
      </c>
      <c r="AI606">
        <f>IFERROR(IF(INDEX(Aux_puntos!$A$2:$OJ$901,602,MATCH($B$2&amp;"|xN",Aux_puntos!$1:$1,0))="",NA(),INDEX(Aux_puntos!$A$2:$OJ$901,602,MATCH($B$2&amp;"|xN",Aux_puntos!$1:$1,0))),NA())</f>
        <v/>
      </c>
      <c r="AJ606">
        <f>IFERROR(IF(INDEX(Aux_puntos!$A$2:$OJ$901,602,MATCH($B$2&amp;"|yN",Aux_puntos!$1:$1,0))="",NA(),INDEX(Aux_puntos!$A$2:$OJ$901,602,MATCH($B$2&amp;"|yN",Aux_puntos!$1:$1,0))),NA())</f>
        <v/>
      </c>
    </row>
    <row r="607">
      <c r="AC607">
        <f>IFERROR(IF(INDEX(Aux_puntos!$A$2:$OJ$901,603,MATCH($B$2&amp;"|xK",Aux_puntos!$1:$1,0))="",NA(),INDEX(Aux_puntos!$A$2:$OJ$901,603,MATCH($B$2&amp;"|xK",Aux_puntos!$1:$1,0))),NA())</f>
        <v/>
      </c>
      <c r="AD607">
        <f>IFERROR(IF(INDEX(Aux_puntos!$A$2:$OJ$901,603,MATCH($B$2&amp;"|yK",Aux_puntos!$1:$1,0))="",NA(),INDEX(Aux_puntos!$A$2:$OJ$901,603,MATCH($B$2&amp;"|yK",Aux_puntos!$1:$1,0))),NA())</f>
        <v/>
      </c>
      <c r="AE607">
        <f>IFERROR(IF(INDEX(Aux_puntos!$A$2:$OJ$901,603,MATCH($B$2&amp;"|xC",Aux_puntos!$1:$1,0))="",NA(),INDEX(Aux_puntos!$A$2:$OJ$901,603,MATCH($B$2&amp;"|xC",Aux_puntos!$1:$1,0))),NA())</f>
        <v/>
      </c>
      <c r="AF607">
        <f>IFERROR(IF(INDEX(Aux_puntos!$A$2:$OJ$901,603,MATCH($B$2&amp;"|yC",Aux_puntos!$1:$1,0))="",NA(),INDEX(Aux_puntos!$A$2:$OJ$901,603,MATCH($B$2&amp;"|yC",Aux_puntos!$1:$1,0))),NA())</f>
        <v/>
      </c>
      <c r="AG607">
        <f>IFERROR(IF(INDEX(Aux_puntos!$A$2:$OJ$901,603,MATCH($B$2&amp;"|xI",Aux_puntos!$1:$1,0))="",NA(),INDEX(Aux_puntos!$A$2:$OJ$901,603,MATCH($B$2&amp;"|xI",Aux_puntos!$1:$1,0))),NA())</f>
        <v/>
      </c>
      <c r="AH607">
        <f>IFERROR(IF(INDEX(Aux_puntos!$A$2:$OJ$901,603,MATCH($B$2&amp;"|yI",Aux_puntos!$1:$1,0))="",NA(),INDEX(Aux_puntos!$A$2:$OJ$901,603,MATCH($B$2&amp;"|yI",Aux_puntos!$1:$1,0))),NA())</f>
        <v/>
      </c>
      <c r="AI607">
        <f>IFERROR(IF(INDEX(Aux_puntos!$A$2:$OJ$901,603,MATCH($B$2&amp;"|xN",Aux_puntos!$1:$1,0))="",NA(),INDEX(Aux_puntos!$A$2:$OJ$901,603,MATCH($B$2&amp;"|xN",Aux_puntos!$1:$1,0))),NA())</f>
        <v/>
      </c>
      <c r="AJ607">
        <f>IFERROR(IF(INDEX(Aux_puntos!$A$2:$OJ$901,603,MATCH($B$2&amp;"|yN",Aux_puntos!$1:$1,0))="",NA(),INDEX(Aux_puntos!$A$2:$OJ$901,603,MATCH($B$2&amp;"|yN",Aux_puntos!$1:$1,0))),NA())</f>
        <v/>
      </c>
    </row>
    <row r="608">
      <c r="AC608">
        <f>IFERROR(IF(INDEX(Aux_puntos!$A$2:$OJ$901,604,MATCH($B$2&amp;"|xK",Aux_puntos!$1:$1,0))="",NA(),INDEX(Aux_puntos!$A$2:$OJ$901,604,MATCH($B$2&amp;"|xK",Aux_puntos!$1:$1,0))),NA())</f>
        <v/>
      </c>
      <c r="AD608">
        <f>IFERROR(IF(INDEX(Aux_puntos!$A$2:$OJ$901,604,MATCH($B$2&amp;"|yK",Aux_puntos!$1:$1,0))="",NA(),INDEX(Aux_puntos!$A$2:$OJ$901,604,MATCH($B$2&amp;"|yK",Aux_puntos!$1:$1,0))),NA())</f>
        <v/>
      </c>
      <c r="AE608">
        <f>IFERROR(IF(INDEX(Aux_puntos!$A$2:$OJ$901,604,MATCH($B$2&amp;"|xC",Aux_puntos!$1:$1,0))="",NA(),INDEX(Aux_puntos!$A$2:$OJ$901,604,MATCH($B$2&amp;"|xC",Aux_puntos!$1:$1,0))),NA())</f>
        <v/>
      </c>
      <c r="AF608">
        <f>IFERROR(IF(INDEX(Aux_puntos!$A$2:$OJ$901,604,MATCH($B$2&amp;"|yC",Aux_puntos!$1:$1,0))="",NA(),INDEX(Aux_puntos!$A$2:$OJ$901,604,MATCH($B$2&amp;"|yC",Aux_puntos!$1:$1,0))),NA())</f>
        <v/>
      </c>
      <c r="AG608">
        <f>IFERROR(IF(INDEX(Aux_puntos!$A$2:$OJ$901,604,MATCH($B$2&amp;"|xI",Aux_puntos!$1:$1,0))="",NA(),INDEX(Aux_puntos!$A$2:$OJ$901,604,MATCH($B$2&amp;"|xI",Aux_puntos!$1:$1,0))),NA())</f>
        <v/>
      </c>
      <c r="AH608">
        <f>IFERROR(IF(INDEX(Aux_puntos!$A$2:$OJ$901,604,MATCH($B$2&amp;"|yI",Aux_puntos!$1:$1,0))="",NA(),INDEX(Aux_puntos!$A$2:$OJ$901,604,MATCH($B$2&amp;"|yI",Aux_puntos!$1:$1,0))),NA())</f>
        <v/>
      </c>
      <c r="AI608">
        <f>IFERROR(IF(INDEX(Aux_puntos!$A$2:$OJ$901,604,MATCH($B$2&amp;"|xN",Aux_puntos!$1:$1,0))="",NA(),INDEX(Aux_puntos!$A$2:$OJ$901,604,MATCH($B$2&amp;"|xN",Aux_puntos!$1:$1,0))),NA())</f>
        <v/>
      </c>
      <c r="AJ608">
        <f>IFERROR(IF(INDEX(Aux_puntos!$A$2:$OJ$901,604,MATCH($B$2&amp;"|yN",Aux_puntos!$1:$1,0))="",NA(),INDEX(Aux_puntos!$A$2:$OJ$901,604,MATCH($B$2&amp;"|yN",Aux_puntos!$1:$1,0))),NA())</f>
        <v/>
      </c>
    </row>
    <row r="609">
      <c r="AC609">
        <f>IFERROR(IF(INDEX(Aux_puntos!$A$2:$OJ$901,605,MATCH($B$2&amp;"|xK",Aux_puntos!$1:$1,0))="",NA(),INDEX(Aux_puntos!$A$2:$OJ$901,605,MATCH($B$2&amp;"|xK",Aux_puntos!$1:$1,0))),NA())</f>
        <v/>
      </c>
      <c r="AD609">
        <f>IFERROR(IF(INDEX(Aux_puntos!$A$2:$OJ$901,605,MATCH($B$2&amp;"|yK",Aux_puntos!$1:$1,0))="",NA(),INDEX(Aux_puntos!$A$2:$OJ$901,605,MATCH($B$2&amp;"|yK",Aux_puntos!$1:$1,0))),NA())</f>
        <v/>
      </c>
      <c r="AE609">
        <f>IFERROR(IF(INDEX(Aux_puntos!$A$2:$OJ$901,605,MATCH($B$2&amp;"|xC",Aux_puntos!$1:$1,0))="",NA(),INDEX(Aux_puntos!$A$2:$OJ$901,605,MATCH($B$2&amp;"|xC",Aux_puntos!$1:$1,0))),NA())</f>
        <v/>
      </c>
      <c r="AF609">
        <f>IFERROR(IF(INDEX(Aux_puntos!$A$2:$OJ$901,605,MATCH($B$2&amp;"|yC",Aux_puntos!$1:$1,0))="",NA(),INDEX(Aux_puntos!$A$2:$OJ$901,605,MATCH($B$2&amp;"|yC",Aux_puntos!$1:$1,0))),NA())</f>
        <v/>
      </c>
      <c r="AG609">
        <f>IFERROR(IF(INDEX(Aux_puntos!$A$2:$OJ$901,605,MATCH($B$2&amp;"|xI",Aux_puntos!$1:$1,0))="",NA(),INDEX(Aux_puntos!$A$2:$OJ$901,605,MATCH($B$2&amp;"|xI",Aux_puntos!$1:$1,0))),NA())</f>
        <v/>
      </c>
      <c r="AH609">
        <f>IFERROR(IF(INDEX(Aux_puntos!$A$2:$OJ$901,605,MATCH($B$2&amp;"|yI",Aux_puntos!$1:$1,0))="",NA(),INDEX(Aux_puntos!$A$2:$OJ$901,605,MATCH($B$2&amp;"|yI",Aux_puntos!$1:$1,0))),NA())</f>
        <v/>
      </c>
      <c r="AI609">
        <f>IFERROR(IF(INDEX(Aux_puntos!$A$2:$OJ$901,605,MATCH($B$2&amp;"|xN",Aux_puntos!$1:$1,0))="",NA(),INDEX(Aux_puntos!$A$2:$OJ$901,605,MATCH($B$2&amp;"|xN",Aux_puntos!$1:$1,0))),NA())</f>
        <v/>
      </c>
      <c r="AJ609">
        <f>IFERROR(IF(INDEX(Aux_puntos!$A$2:$OJ$901,605,MATCH($B$2&amp;"|yN",Aux_puntos!$1:$1,0))="",NA(),INDEX(Aux_puntos!$A$2:$OJ$901,605,MATCH($B$2&amp;"|yN",Aux_puntos!$1:$1,0))),NA())</f>
        <v/>
      </c>
    </row>
    <row r="610">
      <c r="AC610">
        <f>IFERROR(IF(INDEX(Aux_puntos!$A$2:$OJ$901,606,MATCH($B$2&amp;"|xK",Aux_puntos!$1:$1,0))="",NA(),INDEX(Aux_puntos!$A$2:$OJ$901,606,MATCH($B$2&amp;"|xK",Aux_puntos!$1:$1,0))),NA())</f>
        <v/>
      </c>
      <c r="AD610">
        <f>IFERROR(IF(INDEX(Aux_puntos!$A$2:$OJ$901,606,MATCH($B$2&amp;"|yK",Aux_puntos!$1:$1,0))="",NA(),INDEX(Aux_puntos!$A$2:$OJ$901,606,MATCH($B$2&amp;"|yK",Aux_puntos!$1:$1,0))),NA())</f>
        <v/>
      </c>
      <c r="AE610">
        <f>IFERROR(IF(INDEX(Aux_puntos!$A$2:$OJ$901,606,MATCH($B$2&amp;"|xC",Aux_puntos!$1:$1,0))="",NA(),INDEX(Aux_puntos!$A$2:$OJ$901,606,MATCH($B$2&amp;"|xC",Aux_puntos!$1:$1,0))),NA())</f>
        <v/>
      </c>
      <c r="AF610">
        <f>IFERROR(IF(INDEX(Aux_puntos!$A$2:$OJ$901,606,MATCH($B$2&amp;"|yC",Aux_puntos!$1:$1,0))="",NA(),INDEX(Aux_puntos!$A$2:$OJ$901,606,MATCH($B$2&amp;"|yC",Aux_puntos!$1:$1,0))),NA())</f>
        <v/>
      </c>
      <c r="AG610">
        <f>IFERROR(IF(INDEX(Aux_puntos!$A$2:$OJ$901,606,MATCH($B$2&amp;"|xI",Aux_puntos!$1:$1,0))="",NA(),INDEX(Aux_puntos!$A$2:$OJ$901,606,MATCH($B$2&amp;"|xI",Aux_puntos!$1:$1,0))),NA())</f>
        <v/>
      </c>
      <c r="AH610">
        <f>IFERROR(IF(INDEX(Aux_puntos!$A$2:$OJ$901,606,MATCH($B$2&amp;"|yI",Aux_puntos!$1:$1,0))="",NA(),INDEX(Aux_puntos!$A$2:$OJ$901,606,MATCH($B$2&amp;"|yI",Aux_puntos!$1:$1,0))),NA())</f>
        <v/>
      </c>
      <c r="AI610">
        <f>IFERROR(IF(INDEX(Aux_puntos!$A$2:$OJ$901,606,MATCH($B$2&amp;"|xN",Aux_puntos!$1:$1,0))="",NA(),INDEX(Aux_puntos!$A$2:$OJ$901,606,MATCH($B$2&amp;"|xN",Aux_puntos!$1:$1,0))),NA())</f>
        <v/>
      </c>
      <c r="AJ610">
        <f>IFERROR(IF(INDEX(Aux_puntos!$A$2:$OJ$901,606,MATCH($B$2&amp;"|yN",Aux_puntos!$1:$1,0))="",NA(),INDEX(Aux_puntos!$A$2:$OJ$901,606,MATCH($B$2&amp;"|yN",Aux_puntos!$1:$1,0))),NA())</f>
        <v/>
      </c>
    </row>
    <row r="611">
      <c r="AC611">
        <f>IFERROR(IF(INDEX(Aux_puntos!$A$2:$OJ$901,607,MATCH($B$2&amp;"|xK",Aux_puntos!$1:$1,0))="",NA(),INDEX(Aux_puntos!$A$2:$OJ$901,607,MATCH($B$2&amp;"|xK",Aux_puntos!$1:$1,0))),NA())</f>
        <v/>
      </c>
      <c r="AD611">
        <f>IFERROR(IF(INDEX(Aux_puntos!$A$2:$OJ$901,607,MATCH($B$2&amp;"|yK",Aux_puntos!$1:$1,0))="",NA(),INDEX(Aux_puntos!$A$2:$OJ$901,607,MATCH($B$2&amp;"|yK",Aux_puntos!$1:$1,0))),NA())</f>
        <v/>
      </c>
      <c r="AE611">
        <f>IFERROR(IF(INDEX(Aux_puntos!$A$2:$OJ$901,607,MATCH($B$2&amp;"|xC",Aux_puntos!$1:$1,0))="",NA(),INDEX(Aux_puntos!$A$2:$OJ$901,607,MATCH($B$2&amp;"|xC",Aux_puntos!$1:$1,0))),NA())</f>
        <v/>
      </c>
      <c r="AF611">
        <f>IFERROR(IF(INDEX(Aux_puntos!$A$2:$OJ$901,607,MATCH($B$2&amp;"|yC",Aux_puntos!$1:$1,0))="",NA(),INDEX(Aux_puntos!$A$2:$OJ$901,607,MATCH($B$2&amp;"|yC",Aux_puntos!$1:$1,0))),NA())</f>
        <v/>
      </c>
      <c r="AG611">
        <f>IFERROR(IF(INDEX(Aux_puntos!$A$2:$OJ$901,607,MATCH($B$2&amp;"|xI",Aux_puntos!$1:$1,0))="",NA(),INDEX(Aux_puntos!$A$2:$OJ$901,607,MATCH($B$2&amp;"|xI",Aux_puntos!$1:$1,0))),NA())</f>
        <v/>
      </c>
      <c r="AH611">
        <f>IFERROR(IF(INDEX(Aux_puntos!$A$2:$OJ$901,607,MATCH($B$2&amp;"|yI",Aux_puntos!$1:$1,0))="",NA(),INDEX(Aux_puntos!$A$2:$OJ$901,607,MATCH($B$2&amp;"|yI",Aux_puntos!$1:$1,0))),NA())</f>
        <v/>
      </c>
      <c r="AI611">
        <f>IFERROR(IF(INDEX(Aux_puntos!$A$2:$OJ$901,607,MATCH($B$2&amp;"|xN",Aux_puntos!$1:$1,0))="",NA(),INDEX(Aux_puntos!$A$2:$OJ$901,607,MATCH($B$2&amp;"|xN",Aux_puntos!$1:$1,0))),NA())</f>
        <v/>
      </c>
      <c r="AJ611">
        <f>IFERROR(IF(INDEX(Aux_puntos!$A$2:$OJ$901,607,MATCH($B$2&amp;"|yN",Aux_puntos!$1:$1,0))="",NA(),INDEX(Aux_puntos!$A$2:$OJ$901,607,MATCH($B$2&amp;"|yN",Aux_puntos!$1:$1,0))),NA())</f>
        <v/>
      </c>
    </row>
    <row r="612">
      <c r="AC612">
        <f>IFERROR(IF(INDEX(Aux_puntos!$A$2:$OJ$901,608,MATCH($B$2&amp;"|xK",Aux_puntos!$1:$1,0))="",NA(),INDEX(Aux_puntos!$A$2:$OJ$901,608,MATCH($B$2&amp;"|xK",Aux_puntos!$1:$1,0))),NA())</f>
        <v/>
      </c>
      <c r="AD612">
        <f>IFERROR(IF(INDEX(Aux_puntos!$A$2:$OJ$901,608,MATCH($B$2&amp;"|yK",Aux_puntos!$1:$1,0))="",NA(),INDEX(Aux_puntos!$A$2:$OJ$901,608,MATCH($B$2&amp;"|yK",Aux_puntos!$1:$1,0))),NA())</f>
        <v/>
      </c>
      <c r="AE612">
        <f>IFERROR(IF(INDEX(Aux_puntos!$A$2:$OJ$901,608,MATCH($B$2&amp;"|xC",Aux_puntos!$1:$1,0))="",NA(),INDEX(Aux_puntos!$A$2:$OJ$901,608,MATCH($B$2&amp;"|xC",Aux_puntos!$1:$1,0))),NA())</f>
        <v/>
      </c>
      <c r="AF612">
        <f>IFERROR(IF(INDEX(Aux_puntos!$A$2:$OJ$901,608,MATCH($B$2&amp;"|yC",Aux_puntos!$1:$1,0))="",NA(),INDEX(Aux_puntos!$A$2:$OJ$901,608,MATCH($B$2&amp;"|yC",Aux_puntos!$1:$1,0))),NA())</f>
        <v/>
      </c>
      <c r="AG612">
        <f>IFERROR(IF(INDEX(Aux_puntos!$A$2:$OJ$901,608,MATCH($B$2&amp;"|xI",Aux_puntos!$1:$1,0))="",NA(),INDEX(Aux_puntos!$A$2:$OJ$901,608,MATCH($B$2&amp;"|xI",Aux_puntos!$1:$1,0))),NA())</f>
        <v/>
      </c>
      <c r="AH612">
        <f>IFERROR(IF(INDEX(Aux_puntos!$A$2:$OJ$901,608,MATCH($B$2&amp;"|yI",Aux_puntos!$1:$1,0))="",NA(),INDEX(Aux_puntos!$A$2:$OJ$901,608,MATCH($B$2&amp;"|yI",Aux_puntos!$1:$1,0))),NA())</f>
        <v/>
      </c>
      <c r="AI612">
        <f>IFERROR(IF(INDEX(Aux_puntos!$A$2:$OJ$901,608,MATCH($B$2&amp;"|xN",Aux_puntos!$1:$1,0))="",NA(),INDEX(Aux_puntos!$A$2:$OJ$901,608,MATCH($B$2&amp;"|xN",Aux_puntos!$1:$1,0))),NA())</f>
        <v/>
      </c>
      <c r="AJ612">
        <f>IFERROR(IF(INDEX(Aux_puntos!$A$2:$OJ$901,608,MATCH($B$2&amp;"|yN",Aux_puntos!$1:$1,0))="",NA(),INDEX(Aux_puntos!$A$2:$OJ$901,608,MATCH($B$2&amp;"|yN",Aux_puntos!$1:$1,0))),NA())</f>
        <v/>
      </c>
    </row>
    <row r="613">
      <c r="AC613">
        <f>IFERROR(IF(INDEX(Aux_puntos!$A$2:$OJ$901,609,MATCH($B$2&amp;"|xK",Aux_puntos!$1:$1,0))="",NA(),INDEX(Aux_puntos!$A$2:$OJ$901,609,MATCH($B$2&amp;"|xK",Aux_puntos!$1:$1,0))),NA())</f>
        <v/>
      </c>
      <c r="AD613">
        <f>IFERROR(IF(INDEX(Aux_puntos!$A$2:$OJ$901,609,MATCH($B$2&amp;"|yK",Aux_puntos!$1:$1,0))="",NA(),INDEX(Aux_puntos!$A$2:$OJ$901,609,MATCH($B$2&amp;"|yK",Aux_puntos!$1:$1,0))),NA())</f>
        <v/>
      </c>
      <c r="AE613">
        <f>IFERROR(IF(INDEX(Aux_puntos!$A$2:$OJ$901,609,MATCH($B$2&amp;"|xC",Aux_puntos!$1:$1,0))="",NA(),INDEX(Aux_puntos!$A$2:$OJ$901,609,MATCH($B$2&amp;"|xC",Aux_puntos!$1:$1,0))),NA())</f>
        <v/>
      </c>
      <c r="AF613">
        <f>IFERROR(IF(INDEX(Aux_puntos!$A$2:$OJ$901,609,MATCH($B$2&amp;"|yC",Aux_puntos!$1:$1,0))="",NA(),INDEX(Aux_puntos!$A$2:$OJ$901,609,MATCH($B$2&amp;"|yC",Aux_puntos!$1:$1,0))),NA())</f>
        <v/>
      </c>
      <c r="AG613">
        <f>IFERROR(IF(INDEX(Aux_puntos!$A$2:$OJ$901,609,MATCH($B$2&amp;"|xI",Aux_puntos!$1:$1,0))="",NA(),INDEX(Aux_puntos!$A$2:$OJ$901,609,MATCH($B$2&amp;"|xI",Aux_puntos!$1:$1,0))),NA())</f>
        <v/>
      </c>
      <c r="AH613">
        <f>IFERROR(IF(INDEX(Aux_puntos!$A$2:$OJ$901,609,MATCH($B$2&amp;"|yI",Aux_puntos!$1:$1,0))="",NA(),INDEX(Aux_puntos!$A$2:$OJ$901,609,MATCH($B$2&amp;"|yI",Aux_puntos!$1:$1,0))),NA())</f>
        <v/>
      </c>
      <c r="AI613">
        <f>IFERROR(IF(INDEX(Aux_puntos!$A$2:$OJ$901,609,MATCH($B$2&amp;"|xN",Aux_puntos!$1:$1,0))="",NA(),INDEX(Aux_puntos!$A$2:$OJ$901,609,MATCH($B$2&amp;"|xN",Aux_puntos!$1:$1,0))),NA())</f>
        <v/>
      </c>
      <c r="AJ613">
        <f>IFERROR(IF(INDEX(Aux_puntos!$A$2:$OJ$901,609,MATCH($B$2&amp;"|yN",Aux_puntos!$1:$1,0))="",NA(),INDEX(Aux_puntos!$A$2:$OJ$901,609,MATCH($B$2&amp;"|yN",Aux_puntos!$1:$1,0))),NA())</f>
        <v/>
      </c>
    </row>
    <row r="614">
      <c r="AC614">
        <f>IFERROR(IF(INDEX(Aux_puntos!$A$2:$OJ$901,610,MATCH($B$2&amp;"|xK",Aux_puntos!$1:$1,0))="",NA(),INDEX(Aux_puntos!$A$2:$OJ$901,610,MATCH($B$2&amp;"|xK",Aux_puntos!$1:$1,0))),NA())</f>
        <v/>
      </c>
      <c r="AD614">
        <f>IFERROR(IF(INDEX(Aux_puntos!$A$2:$OJ$901,610,MATCH($B$2&amp;"|yK",Aux_puntos!$1:$1,0))="",NA(),INDEX(Aux_puntos!$A$2:$OJ$901,610,MATCH($B$2&amp;"|yK",Aux_puntos!$1:$1,0))),NA())</f>
        <v/>
      </c>
      <c r="AE614">
        <f>IFERROR(IF(INDEX(Aux_puntos!$A$2:$OJ$901,610,MATCH($B$2&amp;"|xC",Aux_puntos!$1:$1,0))="",NA(),INDEX(Aux_puntos!$A$2:$OJ$901,610,MATCH($B$2&amp;"|xC",Aux_puntos!$1:$1,0))),NA())</f>
        <v/>
      </c>
      <c r="AF614">
        <f>IFERROR(IF(INDEX(Aux_puntos!$A$2:$OJ$901,610,MATCH($B$2&amp;"|yC",Aux_puntos!$1:$1,0))="",NA(),INDEX(Aux_puntos!$A$2:$OJ$901,610,MATCH($B$2&amp;"|yC",Aux_puntos!$1:$1,0))),NA())</f>
        <v/>
      </c>
      <c r="AG614">
        <f>IFERROR(IF(INDEX(Aux_puntos!$A$2:$OJ$901,610,MATCH($B$2&amp;"|xI",Aux_puntos!$1:$1,0))="",NA(),INDEX(Aux_puntos!$A$2:$OJ$901,610,MATCH($B$2&amp;"|xI",Aux_puntos!$1:$1,0))),NA())</f>
        <v/>
      </c>
      <c r="AH614">
        <f>IFERROR(IF(INDEX(Aux_puntos!$A$2:$OJ$901,610,MATCH($B$2&amp;"|yI",Aux_puntos!$1:$1,0))="",NA(),INDEX(Aux_puntos!$A$2:$OJ$901,610,MATCH($B$2&amp;"|yI",Aux_puntos!$1:$1,0))),NA())</f>
        <v/>
      </c>
      <c r="AI614">
        <f>IFERROR(IF(INDEX(Aux_puntos!$A$2:$OJ$901,610,MATCH($B$2&amp;"|xN",Aux_puntos!$1:$1,0))="",NA(),INDEX(Aux_puntos!$A$2:$OJ$901,610,MATCH($B$2&amp;"|xN",Aux_puntos!$1:$1,0))),NA())</f>
        <v/>
      </c>
      <c r="AJ614">
        <f>IFERROR(IF(INDEX(Aux_puntos!$A$2:$OJ$901,610,MATCH($B$2&amp;"|yN",Aux_puntos!$1:$1,0))="",NA(),INDEX(Aux_puntos!$A$2:$OJ$901,610,MATCH($B$2&amp;"|yN",Aux_puntos!$1:$1,0))),NA())</f>
        <v/>
      </c>
    </row>
    <row r="615">
      <c r="AC615">
        <f>IFERROR(IF(INDEX(Aux_puntos!$A$2:$OJ$901,611,MATCH($B$2&amp;"|xK",Aux_puntos!$1:$1,0))="",NA(),INDEX(Aux_puntos!$A$2:$OJ$901,611,MATCH($B$2&amp;"|xK",Aux_puntos!$1:$1,0))),NA())</f>
        <v/>
      </c>
      <c r="AD615">
        <f>IFERROR(IF(INDEX(Aux_puntos!$A$2:$OJ$901,611,MATCH($B$2&amp;"|yK",Aux_puntos!$1:$1,0))="",NA(),INDEX(Aux_puntos!$A$2:$OJ$901,611,MATCH($B$2&amp;"|yK",Aux_puntos!$1:$1,0))),NA())</f>
        <v/>
      </c>
      <c r="AE615">
        <f>IFERROR(IF(INDEX(Aux_puntos!$A$2:$OJ$901,611,MATCH($B$2&amp;"|xC",Aux_puntos!$1:$1,0))="",NA(),INDEX(Aux_puntos!$A$2:$OJ$901,611,MATCH($B$2&amp;"|xC",Aux_puntos!$1:$1,0))),NA())</f>
        <v/>
      </c>
      <c r="AF615">
        <f>IFERROR(IF(INDEX(Aux_puntos!$A$2:$OJ$901,611,MATCH($B$2&amp;"|yC",Aux_puntos!$1:$1,0))="",NA(),INDEX(Aux_puntos!$A$2:$OJ$901,611,MATCH($B$2&amp;"|yC",Aux_puntos!$1:$1,0))),NA())</f>
        <v/>
      </c>
      <c r="AG615">
        <f>IFERROR(IF(INDEX(Aux_puntos!$A$2:$OJ$901,611,MATCH($B$2&amp;"|xI",Aux_puntos!$1:$1,0))="",NA(),INDEX(Aux_puntos!$A$2:$OJ$901,611,MATCH($B$2&amp;"|xI",Aux_puntos!$1:$1,0))),NA())</f>
        <v/>
      </c>
      <c r="AH615">
        <f>IFERROR(IF(INDEX(Aux_puntos!$A$2:$OJ$901,611,MATCH($B$2&amp;"|yI",Aux_puntos!$1:$1,0))="",NA(),INDEX(Aux_puntos!$A$2:$OJ$901,611,MATCH($B$2&amp;"|yI",Aux_puntos!$1:$1,0))),NA())</f>
        <v/>
      </c>
      <c r="AI615">
        <f>IFERROR(IF(INDEX(Aux_puntos!$A$2:$OJ$901,611,MATCH($B$2&amp;"|xN",Aux_puntos!$1:$1,0))="",NA(),INDEX(Aux_puntos!$A$2:$OJ$901,611,MATCH($B$2&amp;"|xN",Aux_puntos!$1:$1,0))),NA())</f>
        <v/>
      </c>
      <c r="AJ615">
        <f>IFERROR(IF(INDEX(Aux_puntos!$A$2:$OJ$901,611,MATCH($B$2&amp;"|yN",Aux_puntos!$1:$1,0))="",NA(),INDEX(Aux_puntos!$A$2:$OJ$901,611,MATCH($B$2&amp;"|yN",Aux_puntos!$1:$1,0))),NA())</f>
        <v/>
      </c>
    </row>
    <row r="616">
      <c r="AC616">
        <f>IFERROR(IF(INDEX(Aux_puntos!$A$2:$OJ$901,612,MATCH($B$2&amp;"|xK",Aux_puntos!$1:$1,0))="",NA(),INDEX(Aux_puntos!$A$2:$OJ$901,612,MATCH($B$2&amp;"|xK",Aux_puntos!$1:$1,0))),NA())</f>
        <v/>
      </c>
      <c r="AD616">
        <f>IFERROR(IF(INDEX(Aux_puntos!$A$2:$OJ$901,612,MATCH($B$2&amp;"|yK",Aux_puntos!$1:$1,0))="",NA(),INDEX(Aux_puntos!$A$2:$OJ$901,612,MATCH($B$2&amp;"|yK",Aux_puntos!$1:$1,0))),NA())</f>
        <v/>
      </c>
      <c r="AE616">
        <f>IFERROR(IF(INDEX(Aux_puntos!$A$2:$OJ$901,612,MATCH($B$2&amp;"|xC",Aux_puntos!$1:$1,0))="",NA(),INDEX(Aux_puntos!$A$2:$OJ$901,612,MATCH($B$2&amp;"|xC",Aux_puntos!$1:$1,0))),NA())</f>
        <v/>
      </c>
      <c r="AF616">
        <f>IFERROR(IF(INDEX(Aux_puntos!$A$2:$OJ$901,612,MATCH($B$2&amp;"|yC",Aux_puntos!$1:$1,0))="",NA(),INDEX(Aux_puntos!$A$2:$OJ$901,612,MATCH($B$2&amp;"|yC",Aux_puntos!$1:$1,0))),NA())</f>
        <v/>
      </c>
      <c r="AG616">
        <f>IFERROR(IF(INDEX(Aux_puntos!$A$2:$OJ$901,612,MATCH($B$2&amp;"|xI",Aux_puntos!$1:$1,0))="",NA(),INDEX(Aux_puntos!$A$2:$OJ$901,612,MATCH($B$2&amp;"|xI",Aux_puntos!$1:$1,0))),NA())</f>
        <v/>
      </c>
      <c r="AH616">
        <f>IFERROR(IF(INDEX(Aux_puntos!$A$2:$OJ$901,612,MATCH($B$2&amp;"|yI",Aux_puntos!$1:$1,0))="",NA(),INDEX(Aux_puntos!$A$2:$OJ$901,612,MATCH($B$2&amp;"|yI",Aux_puntos!$1:$1,0))),NA())</f>
        <v/>
      </c>
      <c r="AI616">
        <f>IFERROR(IF(INDEX(Aux_puntos!$A$2:$OJ$901,612,MATCH($B$2&amp;"|xN",Aux_puntos!$1:$1,0))="",NA(),INDEX(Aux_puntos!$A$2:$OJ$901,612,MATCH($B$2&amp;"|xN",Aux_puntos!$1:$1,0))),NA())</f>
        <v/>
      </c>
      <c r="AJ616">
        <f>IFERROR(IF(INDEX(Aux_puntos!$A$2:$OJ$901,612,MATCH($B$2&amp;"|yN",Aux_puntos!$1:$1,0))="",NA(),INDEX(Aux_puntos!$A$2:$OJ$901,612,MATCH($B$2&amp;"|yN",Aux_puntos!$1:$1,0))),NA())</f>
        <v/>
      </c>
    </row>
    <row r="617">
      <c r="AC617">
        <f>IFERROR(IF(INDEX(Aux_puntos!$A$2:$OJ$901,613,MATCH($B$2&amp;"|xK",Aux_puntos!$1:$1,0))="",NA(),INDEX(Aux_puntos!$A$2:$OJ$901,613,MATCH($B$2&amp;"|xK",Aux_puntos!$1:$1,0))),NA())</f>
        <v/>
      </c>
      <c r="AD617">
        <f>IFERROR(IF(INDEX(Aux_puntos!$A$2:$OJ$901,613,MATCH($B$2&amp;"|yK",Aux_puntos!$1:$1,0))="",NA(),INDEX(Aux_puntos!$A$2:$OJ$901,613,MATCH($B$2&amp;"|yK",Aux_puntos!$1:$1,0))),NA())</f>
        <v/>
      </c>
      <c r="AE617">
        <f>IFERROR(IF(INDEX(Aux_puntos!$A$2:$OJ$901,613,MATCH($B$2&amp;"|xC",Aux_puntos!$1:$1,0))="",NA(),INDEX(Aux_puntos!$A$2:$OJ$901,613,MATCH($B$2&amp;"|xC",Aux_puntos!$1:$1,0))),NA())</f>
        <v/>
      </c>
      <c r="AF617">
        <f>IFERROR(IF(INDEX(Aux_puntos!$A$2:$OJ$901,613,MATCH($B$2&amp;"|yC",Aux_puntos!$1:$1,0))="",NA(),INDEX(Aux_puntos!$A$2:$OJ$901,613,MATCH($B$2&amp;"|yC",Aux_puntos!$1:$1,0))),NA())</f>
        <v/>
      </c>
      <c r="AG617">
        <f>IFERROR(IF(INDEX(Aux_puntos!$A$2:$OJ$901,613,MATCH($B$2&amp;"|xI",Aux_puntos!$1:$1,0))="",NA(),INDEX(Aux_puntos!$A$2:$OJ$901,613,MATCH($B$2&amp;"|xI",Aux_puntos!$1:$1,0))),NA())</f>
        <v/>
      </c>
      <c r="AH617">
        <f>IFERROR(IF(INDEX(Aux_puntos!$A$2:$OJ$901,613,MATCH($B$2&amp;"|yI",Aux_puntos!$1:$1,0))="",NA(),INDEX(Aux_puntos!$A$2:$OJ$901,613,MATCH($B$2&amp;"|yI",Aux_puntos!$1:$1,0))),NA())</f>
        <v/>
      </c>
      <c r="AI617">
        <f>IFERROR(IF(INDEX(Aux_puntos!$A$2:$OJ$901,613,MATCH($B$2&amp;"|xN",Aux_puntos!$1:$1,0))="",NA(),INDEX(Aux_puntos!$A$2:$OJ$901,613,MATCH($B$2&amp;"|xN",Aux_puntos!$1:$1,0))),NA())</f>
        <v/>
      </c>
      <c r="AJ617">
        <f>IFERROR(IF(INDEX(Aux_puntos!$A$2:$OJ$901,613,MATCH($B$2&amp;"|yN",Aux_puntos!$1:$1,0))="",NA(),INDEX(Aux_puntos!$A$2:$OJ$901,613,MATCH($B$2&amp;"|yN",Aux_puntos!$1:$1,0))),NA())</f>
        <v/>
      </c>
    </row>
    <row r="618">
      <c r="AC618">
        <f>IFERROR(IF(INDEX(Aux_puntos!$A$2:$OJ$901,614,MATCH($B$2&amp;"|xK",Aux_puntos!$1:$1,0))="",NA(),INDEX(Aux_puntos!$A$2:$OJ$901,614,MATCH($B$2&amp;"|xK",Aux_puntos!$1:$1,0))),NA())</f>
        <v/>
      </c>
      <c r="AD618">
        <f>IFERROR(IF(INDEX(Aux_puntos!$A$2:$OJ$901,614,MATCH($B$2&amp;"|yK",Aux_puntos!$1:$1,0))="",NA(),INDEX(Aux_puntos!$A$2:$OJ$901,614,MATCH($B$2&amp;"|yK",Aux_puntos!$1:$1,0))),NA())</f>
        <v/>
      </c>
      <c r="AE618">
        <f>IFERROR(IF(INDEX(Aux_puntos!$A$2:$OJ$901,614,MATCH($B$2&amp;"|xC",Aux_puntos!$1:$1,0))="",NA(),INDEX(Aux_puntos!$A$2:$OJ$901,614,MATCH($B$2&amp;"|xC",Aux_puntos!$1:$1,0))),NA())</f>
        <v/>
      </c>
      <c r="AF618">
        <f>IFERROR(IF(INDEX(Aux_puntos!$A$2:$OJ$901,614,MATCH($B$2&amp;"|yC",Aux_puntos!$1:$1,0))="",NA(),INDEX(Aux_puntos!$A$2:$OJ$901,614,MATCH($B$2&amp;"|yC",Aux_puntos!$1:$1,0))),NA())</f>
        <v/>
      </c>
      <c r="AG618">
        <f>IFERROR(IF(INDEX(Aux_puntos!$A$2:$OJ$901,614,MATCH($B$2&amp;"|xI",Aux_puntos!$1:$1,0))="",NA(),INDEX(Aux_puntos!$A$2:$OJ$901,614,MATCH($B$2&amp;"|xI",Aux_puntos!$1:$1,0))),NA())</f>
        <v/>
      </c>
      <c r="AH618">
        <f>IFERROR(IF(INDEX(Aux_puntos!$A$2:$OJ$901,614,MATCH($B$2&amp;"|yI",Aux_puntos!$1:$1,0))="",NA(),INDEX(Aux_puntos!$A$2:$OJ$901,614,MATCH($B$2&amp;"|yI",Aux_puntos!$1:$1,0))),NA())</f>
        <v/>
      </c>
      <c r="AI618">
        <f>IFERROR(IF(INDEX(Aux_puntos!$A$2:$OJ$901,614,MATCH($B$2&amp;"|xN",Aux_puntos!$1:$1,0))="",NA(),INDEX(Aux_puntos!$A$2:$OJ$901,614,MATCH($B$2&amp;"|xN",Aux_puntos!$1:$1,0))),NA())</f>
        <v/>
      </c>
      <c r="AJ618">
        <f>IFERROR(IF(INDEX(Aux_puntos!$A$2:$OJ$901,614,MATCH($B$2&amp;"|yN",Aux_puntos!$1:$1,0))="",NA(),INDEX(Aux_puntos!$A$2:$OJ$901,614,MATCH($B$2&amp;"|yN",Aux_puntos!$1:$1,0))),NA())</f>
        <v/>
      </c>
    </row>
    <row r="619">
      <c r="AC619">
        <f>IFERROR(IF(INDEX(Aux_puntos!$A$2:$OJ$901,615,MATCH($B$2&amp;"|xK",Aux_puntos!$1:$1,0))="",NA(),INDEX(Aux_puntos!$A$2:$OJ$901,615,MATCH($B$2&amp;"|xK",Aux_puntos!$1:$1,0))),NA())</f>
        <v/>
      </c>
      <c r="AD619">
        <f>IFERROR(IF(INDEX(Aux_puntos!$A$2:$OJ$901,615,MATCH($B$2&amp;"|yK",Aux_puntos!$1:$1,0))="",NA(),INDEX(Aux_puntos!$A$2:$OJ$901,615,MATCH($B$2&amp;"|yK",Aux_puntos!$1:$1,0))),NA())</f>
        <v/>
      </c>
      <c r="AE619">
        <f>IFERROR(IF(INDEX(Aux_puntos!$A$2:$OJ$901,615,MATCH($B$2&amp;"|xC",Aux_puntos!$1:$1,0))="",NA(),INDEX(Aux_puntos!$A$2:$OJ$901,615,MATCH($B$2&amp;"|xC",Aux_puntos!$1:$1,0))),NA())</f>
        <v/>
      </c>
      <c r="AF619">
        <f>IFERROR(IF(INDEX(Aux_puntos!$A$2:$OJ$901,615,MATCH($B$2&amp;"|yC",Aux_puntos!$1:$1,0))="",NA(),INDEX(Aux_puntos!$A$2:$OJ$901,615,MATCH($B$2&amp;"|yC",Aux_puntos!$1:$1,0))),NA())</f>
        <v/>
      </c>
      <c r="AG619">
        <f>IFERROR(IF(INDEX(Aux_puntos!$A$2:$OJ$901,615,MATCH($B$2&amp;"|xI",Aux_puntos!$1:$1,0))="",NA(),INDEX(Aux_puntos!$A$2:$OJ$901,615,MATCH($B$2&amp;"|xI",Aux_puntos!$1:$1,0))),NA())</f>
        <v/>
      </c>
      <c r="AH619">
        <f>IFERROR(IF(INDEX(Aux_puntos!$A$2:$OJ$901,615,MATCH($B$2&amp;"|yI",Aux_puntos!$1:$1,0))="",NA(),INDEX(Aux_puntos!$A$2:$OJ$901,615,MATCH($B$2&amp;"|yI",Aux_puntos!$1:$1,0))),NA())</f>
        <v/>
      </c>
      <c r="AI619">
        <f>IFERROR(IF(INDEX(Aux_puntos!$A$2:$OJ$901,615,MATCH($B$2&amp;"|xN",Aux_puntos!$1:$1,0))="",NA(),INDEX(Aux_puntos!$A$2:$OJ$901,615,MATCH($B$2&amp;"|xN",Aux_puntos!$1:$1,0))),NA())</f>
        <v/>
      </c>
      <c r="AJ619">
        <f>IFERROR(IF(INDEX(Aux_puntos!$A$2:$OJ$901,615,MATCH($B$2&amp;"|yN",Aux_puntos!$1:$1,0))="",NA(),INDEX(Aux_puntos!$A$2:$OJ$901,615,MATCH($B$2&amp;"|yN",Aux_puntos!$1:$1,0))),NA())</f>
        <v/>
      </c>
    </row>
    <row r="620">
      <c r="AC620">
        <f>IFERROR(IF(INDEX(Aux_puntos!$A$2:$OJ$901,616,MATCH($B$2&amp;"|xK",Aux_puntos!$1:$1,0))="",NA(),INDEX(Aux_puntos!$A$2:$OJ$901,616,MATCH($B$2&amp;"|xK",Aux_puntos!$1:$1,0))),NA())</f>
        <v/>
      </c>
      <c r="AD620">
        <f>IFERROR(IF(INDEX(Aux_puntos!$A$2:$OJ$901,616,MATCH($B$2&amp;"|yK",Aux_puntos!$1:$1,0))="",NA(),INDEX(Aux_puntos!$A$2:$OJ$901,616,MATCH($B$2&amp;"|yK",Aux_puntos!$1:$1,0))),NA())</f>
        <v/>
      </c>
      <c r="AE620">
        <f>IFERROR(IF(INDEX(Aux_puntos!$A$2:$OJ$901,616,MATCH($B$2&amp;"|xC",Aux_puntos!$1:$1,0))="",NA(),INDEX(Aux_puntos!$A$2:$OJ$901,616,MATCH($B$2&amp;"|xC",Aux_puntos!$1:$1,0))),NA())</f>
        <v/>
      </c>
      <c r="AF620">
        <f>IFERROR(IF(INDEX(Aux_puntos!$A$2:$OJ$901,616,MATCH($B$2&amp;"|yC",Aux_puntos!$1:$1,0))="",NA(),INDEX(Aux_puntos!$A$2:$OJ$901,616,MATCH($B$2&amp;"|yC",Aux_puntos!$1:$1,0))),NA())</f>
        <v/>
      </c>
      <c r="AG620">
        <f>IFERROR(IF(INDEX(Aux_puntos!$A$2:$OJ$901,616,MATCH($B$2&amp;"|xI",Aux_puntos!$1:$1,0))="",NA(),INDEX(Aux_puntos!$A$2:$OJ$901,616,MATCH($B$2&amp;"|xI",Aux_puntos!$1:$1,0))),NA())</f>
        <v/>
      </c>
      <c r="AH620">
        <f>IFERROR(IF(INDEX(Aux_puntos!$A$2:$OJ$901,616,MATCH($B$2&amp;"|yI",Aux_puntos!$1:$1,0))="",NA(),INDEX(Aux_puntos!$A$2:$OJ$901,616,MATCH($B$2&amp;"|yI",Aux_puntos!$1:$1,0))),NA())</f>
        <v/>
      </c>
      <c r="AI620">
        <f>IFERROR(IF(INDEX(Aux_puntos!$A$2:$OJ$901,616,MATCH($B$2&amp;"|xN",Aux_puntos!$1:$1,0))="",NA(),INDEX(Aux_puntos!$A$2:$OJ$901,616,MATCH($B$2&amp;"|xN",Aux_puntos!$1:$1,0))),NA())</f>
        <v/>
      </c>
      <c r="AJ620">
        <f>IFERROR(IF(INDEX(Aux_puntos!$A$2:$OJ$901,616,MATCH($B$2&amp;"|yN",Aux_puntos!$1:$1,0))="",NA(),INDEX(Aux_puntos!$A$2:$OJ$901,616,MATCH($B$2&amp;"|yN",Aux_puntos!$1:$1,0))),NA())</f>
        <v/>
      </c>
    </row>
    <row r="621">
      <c r="AC621">
        <f>IFERROR(IF(INDEX(Aux_puntos!$A$2:$OJ$901,617,MATCH($B$2&amp;"|xK",Aux_puntos!$1:$1,0))="",NA(),INDEX(Aux_puntos!$A$2:$OJ$901,617,MATCH($B$2&amp;"|xK",Aux_puntos!$1:$1,0))),NA())</f>
        <v/>
      </c>
      <c r="AD621">
        <f>IFERROR(IF(INDEX(Aux_puntos!$A$2:$OJ$901,617,MATCH($B$2&amp;"|yK",Aux_puntos!$1:$1,0))="",NA(),INDEX(Aux_puntos!$A$2:$OJ$901,617,MATCH($B$2&amp;"|yK",Aux_puntos!$1:$1,0))),NA())</f>
        <v/>
      </c>
      <c r="AE621">
        <f>IFERROR(IF(INDEX(Aux_puntos!$A$2:$OJ$901,617,MATCH($B$2&amp;"|xC",Aux_puntos!$1:$1,0))="",NA(),INDEX(Aux_puntos!$A$2:$OJ$901,617,MATCH($B$2&amp;"|xC",Aux_puntos!$1:$1,0))),NA())</f>
        <v/>
      </c>
      <c r="AF621">
        <f>IFERROR(IF(INDEX(Aux_puntos!$A$2:$OJ$901,617,MATCH($B$2&amp;"|yC",Aux_puntos!$1:$1,0))="",NA(),INDEX(Aux_puntos!$A$2:$OJ$901,617,MATCH($B$2&amp;"|yC",Aux_puntos!$1:$1,0))),NA())</f>
        <v/>
      </c>
      <c r="AG621">
        <f>IFERROR(IF(INDEX(Aux_puntos!$A$2:$OJ$901,617,MATCH($B$2&amp;"|xI",Aux_puntos!$1:$1,0))="",NA(),INDEX(Aux_puntos!$A$2:$OJ$901,617,MATCH($B$2&amp;"|xI",Aux_puntos!$1:$1,0))),NA())</f>
        <v/>
      </c>
      <c r="AH621">
        <f>IFERROR(IF(INDEX(Aux_puntos!$A$2:$OJ$901,617,MATCH($B$2&amp;"|yI",Aux_puntos!$1:$1,0))="",NA(),INDEX(Aux_puntos!$A$2:$OJ$901,617,MATCH($B$2&amp;"|yI",Aux_puntos!$1:$1,0))),NA())</f>
        <v/>
      </c>
      <c r="AI621">
        <f>IFERROR(IF(INDEX(Aux_puntos!$A$2:$OJ$901,617,MATCH($B$2&amp;"|xN",Aux_puntos!$1:$1,0))="",NA(),INDEX(Aux_puntos!$A$2:$OJ$901,617,MATCH($B$2&amp;"|xN",Aux_puntos!$1:$1,0))),NA())</f>
        <v/>
      </c>
      <c r="AJ621">
        <f>IFERROR(IF(INDEX(Aux_puntos!$A$2:$OJ$901,617,MATCH($B$2&amp;"|yN",Aux_puntos!$1:$1,0))="",NA(),INDEX(Aux_puntos!$A$2:$OJ$901,617,MATCH($B$2&amp;"|yN",Aux_puntos!$1:$1,0))),NA())</f>
        <v/>
      </c>
    </row>
    <row r="622">
      <c r="AC622">
        <f>IFERROR(IF(INDEX(Aux_puntos!$A$2:$OJ$901,618,MATCH($B$2&amp;"|xK",Aux_puntos!$1:$1,0))="",NA(),INDEX(Aux_puntos!$A$2:$OJ$901,618,MATCH($B$2&amp;"|xK",Aux_puntos!$1:$1,0))),NA())</f>
        <v/>
      </c>
      <c r="AD622">
        <f>IFERROR(IF(INDEX(Aux_puntos!$A$2:$OJ$901,618,MATCH($B$2&amp;"|yK",Aux_puntos!$1:$1,0))="",NA(),INDEX(Aux_puntos!$A$2:$OJ$901,618,MATCH($B$2&amp;"|yK",Aux_puntos!$1:$1,0))),NA())</f>
        <v/>
      </c>
      <c r="AE622">
        <f>IFERROR(IF(INDEX(Aux_puntos!$A$2:$OJ$901,618,MATCH($B$2&amp;"|xC",Aux_puntos!$1:$1,0))="",NA(),INDEX(Aux_puntos!$A$2:$OJ$901,618,MATCH($B$2&amp;"|xC",Aux_puntos!$1:$1,0))),NA())</f>
        <v/>
      </c>
      <c r="AF622">
        <f>IFERROR(IF(INDEX(Aux_puntos!$A$2:$OJ$901,618,MATCH($B$2&amp;"|yC",Aux_puntos!$1:$1,0))="",NA(),INDEX(Aux_puntos!$A$2:$OJ$901,618,MATCH($B$2&amp;"|yC",Aux_puntos!$1:$1,0))),NA())</f>
        <v/>
      </c>
      <c r="AG622">
        <f>IFERROR(IF(INDEX(Aux_puntos!$A$2:$OJ$901,618,MATCH($B$2&amp;"|xI",Aux_puntos!$1:$1,0))="",NA(),INDEX(Aux_puntos!$A$2:$OJ$901,618,MATCH($B$2&amp;"|xI",Aux_puntos!$1:$1,0))),NA())</f>
        <v/>
      </c>
      <c r="AH622">
        <f>IFERROR(IF(INDEX(Aux_puntos!$A$2:$OJ$901,618,MATCH($B$2&amp;"|yI",Aux_puntos!$1:$1,0))="",NA(),INDEX(Aux_puntos!$A$2:$OJ$901,618,MATCH($B$2&amp;"|yI",Aux_puntos!$1:$1,0))),NA())</f>
        <v/>
      </c>
      <c r="AI622">
        <f>IFERROR(IF(INDEX(Aux_puntos!$A$2:$OJ$901,618,MATCH($B$2&amp;"|xN",Aux_puntos!$1:$1,0))="",NA(),INDEX(Aux_puntos!$A$2:$OJ$901,618,MATCH($B$2&amp;"|xN",Aux_puntos!$1:$1,0))),NA())</f>
        <v/>
      </c>
      <c r="AJ622">
        <f>IFERROR(IF(INDEX(Aux_puntos!$A$2:$OJ$901,618,MATCH($B$2&amp;"|yN",Aux_puntos!$1:$1,0))="",NA(),INDEX(Aux_puntos!$A$2:$OJ$901,618,MATCH($B$2&amp;"|yN",Aux_puntos!$1:$1,0))),NA())</f>
        <v/>
      </c>
    </row>
    <row r="623">
      <c r="AC623">
        <f>IFERROR(IF(INDEX(Aux_puntos!$A$2:$OJ$901,619,MATCH($B$2&amp;"|xK",Aux_puntos!$1:$1,0))="",NA(),INDEX(Aux_puntos!$A$2:$OJ$901,619,MATCH($B$2&amp;"|xK",Aux_puntos!$1:$1,0))),NA())</f>
        <v/>
      </c>
      <c r="AD623">
        <f>IFERROR(IF(INDEX(Aux_puntos!$A$2:$OJ$901,619,MATCH($B$2&amp;"|yK",Aux_puntos!$1:$1,0))="",NA(),INDEX(Aux_puntos!$A$2:$OJ$901,619,MATCH($B$2&amp;"|yK",Aux_puntos!$1:$1,0))),NA())</f>
        <v/>
      </c>
      <c r="AE623">
        <f>IFERROR(IF(INDEX(Aux_puntos!$A$2:$OJ$901,619,MATCH($B$2&amp;"|xC",Aux_puntos!$1:$1,0))="",NA(),INDEX(Aux_puntos!$A$2:$OJ$901,619,MATCH($B$2&amp;"|xC",Aux_puntos!$1:$1,0))),NA())</f>
        <v/>
      </c>
      <c r="AF623">
        <f>IFERROR(IF(INDEX(Aux_puntos!$A$2:$OJ$901,619,MATCH($B$2&amp;"|yC",Aux_puntos!$1:$1,0))="",NA(),INDEX(Aux_puntos!$A$2:$OJ$901,619,MATCH($B$2&amp;"|yC",Aux_puntos!$1:$1,0))),NA())</f>
        <v/>
      </c>
      <c r="AG623">
        <f>IFERROR(IF(INDEX(Aux_puntos!$A$2:$OJ$901,619,MATCH($B$2&amp;"|xI",Aux_puntos!$1:$1,0))="",NA(),INDEX(Aux_puntos!$A$2:$OJ$901,619,MATCH($B$2&amp;"|xI",Aux_puntos!$1:$1,0))),NA())</f>
        <v/>
      </c>
      <c r="AH623">
        <f>IFERROR(IF(INDEX(Aux_puntos!$A$2:$OJ$901,619,MATCH($B$2&amp;"|yI",Aux_puntos!$1:$1,0))="",NA(),INDEX(Aux_puntos!$A$2:$OJ$901,619,MATCH($B$2&amp;"|yI",Aux_puntos!$1:$1,0))),NA())</f>
        <v/>
      </c>
      <c r="AI623">
        <f>IFERROR(IF(INDEX(Aux_puntos!$A$2:$OJ$901,619,MATCH($B$2&amp;"|xN",Aux_puntos!$1:$1,0))="",NA(),INDEX(Aux_puntos!$A$2:$OJ$901,619,MATCH($B$2&amp;"|xN",Aux_puntos!$1:$1,0))),NA())</f>
        <v/>
      </c>
      <c r="AJ623">
        <f>IFERROR(IF(INDEX(Aux_puntos!$A$2:$OJ$901,619,MATCH($B$2&amp;"|yN",Aux_puntos!$1:$1,0))="",NA(),INDEX(Aux_puntos!$A$2:$OJ$901,619,MATCH($B$2&amp;"|yN",Aux_puntos!$1:$1,0))),NA())</f>
        <v/>
      </c>
    </row>
    <row r="624">
      <c r="AC624">
        <f>IFERROR(IF(INDEX(Aux_puntos!$A$2:$OJ$901,620,MATCH($B$2&amp;"|xK",Aux_puntos!$1:$1,0))="",NA(),INDEX(Aux_puntos!$A$2:$OJ$901,620,MATCH($B$2&amp;"|xK",Aux_puntos!$1:$1,0))),NA())</f>
        <v/>
      </c>
      <c r="AD624">
        <f>IFERROR(IF(INDEX(Aux_puntos!$A$2:$OJ$901,620,MATCH($B$2&amp;"|yK",Aux_puntos!$1:$1,0))="",NA(),INDEX(Aux_puntos!$A$2:$OJ$901,620,MATCH($B$2&amp;"|yK",Aux_puntos!$1:$1,0))),NA())</f>
        <v/>
      </c>
      <c r="AE624">
        <f>IFERROR(IF(INDEX(Aux_puntos!$A$2:$OJ$901,620,MATCH($B$2&amp;"|xC",Aux_puntos!$1:$1,0))="",NA(),INDEX(Aux_puntos!$A$2:$OJ$901,620,MATCH($B$2&amp;"|xC",Aux_puntos!$1:$1,0))),NA())</f>
        <v/>
      </c>
      <c r="AF624">
        <f>IFERROR(IF(INDEX(Aux_puntos!$A$2:$OJ$901,620,MATCH($B$2&amp;"|yC",Aux_puntos!$1:$1,0))="",NA(),INDEX(Aux_puntos!$A$2:$OJ$901,620,MATCH($B$2&amp;"|yC",Aux_puntos!$1:$1,0))),NA())</f>
        <v/>
      </c>
      <c r="AG624">
        <f>IFERROR(IF(INDEX(Aux_puntos!$A$2:$OJ$901,620,MATCH($B$2&amp;"|xI",Aux_puntos!$1:$1,0))="",NA(),INDEX(Aux_puntos!$A$2:$OJ$901,620,MATCH($B$2&amp;"|xI",Aux_puntos!$1:$1,0))),NA())</f>
        <v/>
      </c>
      <c r="AH624">
        <f>IFERROR(IF(INDEX(Aux_puntos!$A$2:$OJ$901,620,MATCH($B$2&amp;"|yI",Aux_puntos!$1:$1,0))="",NA(),INDEX(Aux_puntos!$A$2:$OJ$901,620,MATCH($B$2&amp;"|yI",Aux_puntos!$1:$1,0))),NA())</f>
        <v/>
      </c>
      <c r="AI624">
        <f>IFERROR(IF(INDEX(Aux_puntos!$A$2:$OJ$901,620,MATCH($B$2&amp;"|xN",Aux_puntos!$1:$1,0))="",NA(),INDEX(Aux_puntos!$A$2:$OJ$901,620,MATCH($B$2&amp;"|xN",Aux_puntos!$1:$1,0))),NA())</f>
        <v/>
      </c>
      <c r="AJ624">
        <f>IFERROR(IF(INDEX(Aux_puntos!$A$2:$OJ$901,620,MATCH($B$2&amp;"|yN",Aux_puntos!$1:$1,0))="",NA(),INDEX(Aux_puntos!$A$2:$OJ$901,620,MATCH($B$2&amp;"|yN",Aux_puntos!$1:$1,0))),NA())</f>
        <v/>
      </c>
    </row>
    <row r="625">
      <c r="AC625">
        <f>IFERROR(IF(INDEX(Aux_puntos!$A$2:$OJ$901,621,MATCH($B$2&amp;"|xK",Aux_puntos!$1:$1,0))="",NA(),INDEX(Aux_puntos!$A$2:$OJ$901,621,MATCH($B$2&amp;"|xK",Aux_puntos!$1:$1,0))),NA())</f>
        <v/>
      </c>
      <c r="AD625">
        <f>IFERROR(IF(INDEX(Aux_puntos!$A$2:$OJ$901,621,MATCH($B$2&amp;"|yK",Aux_puntos!$1:$1,0))="",NA(),INDEX(Aux_puntos!$A$2:$OJ$901,621,MATCH($B$2&amp;"|yK",Aux_puntos!$1:$1,0))),NA())</f>
        <v/>
      </c>
      <c r="AE625">
        <f>IFERROR(IF(INDEX(Aux_puntos!$A$2:$OJ$901,621,MATCH($B$2&amp;"|xC",Aux_puntos!$1:$1,0))="",NA(),INDEX(Aux_puntos!$A$2:$OJ$901,621,MATCH($B$2&amp;"|xC",Aux_puntos!$1:$1,0))),NA())</f>
        <v/>
      </c>
      <c r="AF625">
        <f>IFERROR(IF(INDEX(Aux_puntos!$A$2:$OJ$901,621,MATCH($B$2&amp;"|yC",Aux_puntos!$1:$1,0))="",NA(),INDEX(Aux_puntos!$A$2:$OJ$901,621,MATCH($B$2&amp;"|yC",Aux_puntos!$1:$1,0))),NA())</f>
        <v/>
      </c>
      <c r="AG625">
        <f>IFERROR(IF(INDEX(Aux_puntos!$A$2:$OJ$901,621,MATCH($B$2&amp;"|xI",Aux_puntos!$1:$1,0))="",NA(),INDEX(Aux_puntos!$A$2:$OJ$901,621,MATCH($B$2&amp;"|xI",Aux_puntos!$1:$1,0))),NA())</f>
        <v/>
      </c>
      <c r="AH625">
        <f>IFERROR(IF(INDEX(Aux_puntos!$A$2:$OJ$901,621,MATCH($B$2&amp;"|yI",Aux_puntos!$1:$1,0))="",NA(),INDEX(Aux_puntos!$A$2:$OJ$901,621,MATCH($B$2&amp;"|yI",Aux_puntos!$1:$1,0))),NA())</f>
        <v/>
      </c>
      <c r="AI625">
        <f>IFERROR(IF(INDEX(Aux_puntos!$A$2:$OJ$901,621,MATCH($B$2&amp;"|xN",Aux_puntos!$1:$1,0))="",NA(),INDEX(Aux_puntos!$A$2:$OJ$901,621,MATCH($B$2&amp;"|xN",Aux_puntos!$1:$1,0))),NA())</f>
        <v/>
      </c>
      <c r="AJ625">
        <f>IFERROR(IF(INDEX(Aux_puntos!$A$2:$OJ$901,621,MATCH($B$2&amp;"|yN",Aux_puntos!$1:$1,0))="",NA(),INDEX(Aux_puntos!$A$2:$OJ$901,621,MATCH($B$2&amp;"|yN",Aux_puntos!$1:$1,0))),NA())</f>
        <v/>
      </c>
    </row>
    <row r="626">
      <c r="AC626">
        <f>IFERROR(IF(INDEX(Aux_puntos!$A$2:$OJ$901,622,MATCH($B$2&amp;"|xK",Aux_puntos!$1:$1,0))="",NA(),INDEX(Aux_puntos!$A$2:$OJ$901,622,MATCH($B$2&amp;"|xK",Aux_puntos!$1:$1,0))),NA())</f>
        <v/>
      </c>
      <c r="AD626">
        <f>IFERROR(IF(INDEX(Aux_puntos!$A$2:$OJ$901,622,MATCH($B$2&amp;"|yK",Aux_puntos!$1:$1,0))="",NA(),INDEX(Aux_puntos!$A$2:$OJ$901,622,MATCH($B$2&amp;"|yK",Aux_puntos!$1:$1,0))),NA())</f>
        <v/>
      </c>
      <c r="AE626">
        <f>IFERROR(IF(INDEX(Aux_puntos!$A$2:$OJ$901,622,MATCH($B$2&amp;"|xC",Aux_puntos!$1:$1,0))="",NA(),INDEX(Aux_puntos!$A$2:$OJ$901,622,MATCH($B$2&amp;"|xC",Aux_puntos!$1:$1,0))),NA())</f>
        <v/>
      </c>
      <c r="AF626">
        <f>IFERROR(IF(INDEX(Aux_puntos!$A$2:$OJ$901,622,MATCH($B$2&amp;"|yC",Aux_puntos!$1:$1,0))="",NA(),INDEX(Aux_puntos!$A$2:$OJ$901,622,MATCH($B$2&amp;"|yC",Aux_puntos!$1:$1,0))),NA())</f>
        <v/>
      </c>
      <c r="AG626">
        <f>IFERROR(IF(INDEX(Aux_puntos!$A$2:$OJ$901,622,MATCH($B$2&amp;"|xI",Aux_puntos!$1:$1,0))="",NA(),INDEX(Aux_puntos!$A$2:$OJ$901,622,MATCH($B$2&amp;"|xI",Aux_puntos!$1:$1,0))),NA())</f>
        <v/>
      </c>
      <c r="AH626">
        <f>IFERROR(IF(INDEX(Aux_puntos!$A$2:$OJ$901,622,MATCH($B$2&amp;"|yI",Aux_puntos!$1:$1,0))="",NA(),INDEX(Aux_puntos!$A$2:$OJ$901,622,MATCH($B$2&amp;"|yI",Aux_puntos!$1:$1,0))),NA())</f>
        <v/>
      </c>
      <c r="AI626">
        <f>IFERROR(IF(INDEX(Aux_puntos!$A$2:$OJ$901,622,MATCH($B$2&amp;"|xN",Aux_puntos!$1:$1,0))="",NA(),INDEX(Aux_puntos!$A$2:$OJ$901,622,MATCH($B$2&amp;"|xN",Aux_puntos!$1:$1,0))),NA())</f>
        <v/>
      </c>
      <c r="AJ626">
        <f>IFERROR(IF(INDEX(Aux_puntos!$A$2:$OJ$901,622,MATCH($B$2&amp;"|yN",Aux_puntos!$1:$1,0))="",NA(),INDEX(Aux_puntos!$A$2:$OJ$901,622,MATCH($B$2&amp;"|yN",Aux_puntos!$1:$1,0))),NA())</f>
        <v/>
      </c>
    </row>
    <row r="627">
      <c r="AC627">
        <f>IFERROR(IF(INDEX(Aux_puntos!$A$2:$OJ$901,623,MATCH($B$2&amp;"|xK",Aux_puntos!$1:$1,0))="",NA(),INDEX(Aux_puntos!$A$2:$OJ$901,623,MATCH($B$2&amp;"|xK",Aux_puntos!$1:$1,0))),NA())</f>
        <v/>
      </c>
      <c r="AD627">
        <f>IFERROR(IF(INDEX(Aux_puntos!$A$2:$OJ$901,623,MATCH($B$2&amp;"|yK",Aux_puntos!$1:$1,0))="",NA(),INDEX(Aux_puntos!$A$2:$OJ$901,623,MATCH($B$2&amp;"|yK",Aux_puntos!$1:$1,0))),NA())</f>
        <v/>
      </c>
      <c r="AE627">
        <f>IFERROR(IF(INDEX(Aux_puntos!$A$2:$OJ$901,623,MATCH($B$2&amp;"|xC",Aux_puntos!$1:$1,0))="",NA(),INDEX(Aux_puntos!$A$2:$OJ$901,623,MATCH($B$2&amp;"|xC",Aux_puntos!$1:$1,0))),NA())</f>
        <v/>
      </c>
      <c r="AF627">
        <f>IFERROR(IF(INDEX(Aux_puntos!$A$2:$OJ$901,623,MATCH($B$2&amp;"|yC",Aux_puntos!$1:$1,0))="",NA(),INDEX(Aux_puntos!$A$2:$OJ$901,623,MATCH($B$2&amp;"|yC",Aux_puntos!$1:$1,0))),NA())</f>
        <v/>
      </c>
      <c r="AG627">
        <f>IFERROR(IF(INDEX(Aux_puntos!$A$2:$OJ$901,623,MATCH($B$2&amp;"|xI",Aux_puntos!$1:$1,0))="",NA(),INDEX(Aux_puntos!$A$2:$OJ$901,623,MATCH($B$2&amp;"|xI",Aux_puntos!$1:$1,0))),NA())</f>
        <v/>
      </c>
      <c r="AH627">
        <f>IFERROR(IF(INDEX(Aux_puntos!$A$2:$OJ$901,623,MATCH($B$2&amp;"|yI",Aux_puntos!$1:$1,0))="",NA(),INDEX(Aux_puntos!$A$2:$OJ$901,623,MATCH($B$2&amp;"|yI",Aux_puntos!$1:$1,0))),NA())</f>
        <v/>
      </c>
      <c r="AI627">
        <f>IFERROR(IF(INDEX(Aux_puntos!$A$2:$OJ$901,623,MATCH($B$2&amp;"|xN",Aux_puntos!$1:$1,0))="",NA(),INDEX(Aux_puntos!$A$2:$OJ$901,623,MATCH($B$2&amp;"|xN",Aux_puntos!$1:$1,0))),NA())</f>
        <v/>
      </c>
      <c r="AJ627">
        <f>IFERROR(IF(INDEX(Aux_puntos!$A$2:$OJ$901,623,MATCH($B$2&amp;"|yN",Aux_puntos!$1:$1,0))="",NA(),INDEX(Aux_puntos!$A$2:$OJ$901,623,MATCH($B$2&amp;"|yN",Aux_puntos!$1:$1,0))),NA())</f>
        <v/>
      </c>
    </row>
    <row r="628">
      <c r="AC628">
        <f>IFERROR(IF(INDEX(Aux_puntos!$A$2:$OJ$901,624,MATCH($B$2&amp;"|xK",Aux_puntos!$1:$1,0))="",NA(),INDEX(Aux_puntos!$A$2:$OJ$901,624,MATCH($B$2&amp;"|xK",Aux_puntos!$1:$1,0))),NA())</f>
        <v/>
      </c>
      <c r="AD628">
        <f>IFERROR(IF(INDEX(Aux_puntos!$A$2:$OJ$901,624,MATCH($B$2&amp;"|yK",Aux_puntos!$1:$1,0))="",NA(),INDEX(Aux_puntos!$A$2:$OJ$901,624,MATCH($B$2&amp;"|yK",Aux_puntos!$1:$1,0))),NA())</f>
        <v/>
      </c>
      <c r="AE628">
        <f>IFERROR(IF(INDEX(Aux_puntos!$A$2:$OJ$901,624,MATCH($B$2&amp;"|xC",Aux_puntos!$1:$1,0))="",NA(),INDEX(Aux_puntos!$A$2:$OJ$901,624,MATCH($B$2&amp;"|xC",Aux_puntos!$1:$1,0))),NA())</f>
        <v/>
      </c>
      <c r="AF628">
        <f>IFERROR(IF(INDEX(Aux_puntos!$A$2:$OJ$901,624,MATCH($B$2&amp;"|yC",Aux_puntos!$1:$1,0))="",NA(),INDEX(Aux_puntos!$A$2:$OJ$901,624,MATCH($B$2&amp;"|yC",Aux_puntos!$1:$1,0))),NA())</f>
        <v/>
      </c>
      <c r="AG628">
        <f>IFERROR(IF(INDEX(Aux_puntos!$A$2:$OJ$901,624,MATCH($B$2&amp;"|xI",Aux_puntos!$1:$1,0))="",NA(),INDEX(Aux_puntos!$A$2:$OJ$901,624,MATCH($B$2&amp;"|xI",Aux_puntos!$1:$1,0))),NA())</f>
        <v/>
      </c>
      <c r="AH628">
        <f>IFERROR(IF(INDEX(Aux_puntos!$A$2:$OJ$901,624,MATCH($B$2&amp;"|yI",Aux_puntos!$1:$1,0))="",NA(),INDEX(Aux_puntos!$A$2:$OJ$901,624,MATCH($B$2&amp;"|yI",Aux_puntos!$1:$1,0))),NA())</f>
        <v/>
      </c>
      <c r="AI628">
        <f>IFERROR(IF(INDEX(Aux_puntos!$A$2:$OJ$901,624,MATCH($B$2&amp;"|xN",Aux_puntos!$1:$1,0))="",NA(),INDEX(Aux_puntos!$A$2:$OJ$901,624,MATCH($B$2&amp;"|xN",Aux_puntos!$1:$1,0))),NA())</f>
        <v/>
      </c>
      <c r="AJ628">
        <f>IFERROR(IF(INDEX(Aux_puntos!$A$2:$OJ$901,624,MATCH($B$2&amp;"|yN",Aux_puntos!$1:$1,0))="",NA(),INDEX(Aux_puntos!$A$2:$OJ$901,624,MATCH($B$2&amp;"|yN",Aux_puntos!$1:$1,0))),NA())</f>
        <v/>
      </c>
    </row>
    <row r="629">
      <c r="AC629">
        <f>IFERROR(IF(INDEX(Aux_puntos!$A$2:$OJ$901,625,MATCH($B$2&amp;"|xK",Aux_puntos!$1:$1,0))="",NA(),INDEX(Aux_puntos!$A$2:$OJ$901,625,MATCH($B$2&amp;"|xK",Aux_puntos!$1:$1,0))),NA())</f>
        <v/>
      </c>
      <c r="AD629">
        <f>IFERROR(IF(INDEX(Aux_puntos!$A$2:$OJ$901,625,MATCH($B$2&amp;"|yK",Aux_puntos!$1:$1,0))="",NA(),INDEX(Aux_puntos!$A$2:$OJ$901,625,MATCH($B$2&amp;"|yK",Aux_puntos!$1:$1,0))),NA())</f>
        <v/>
      </c>
      <c r="AE629">
        <f>IFERROR(IF(INDEX(Aux_puntos!$A$2:$OJ$901,625,MATCH($B$2&amp;"|xC",Aux_puntos!$1:$1,0))="",NA(),INDEX(Aux_puntos!$A$2:$OJ$901,625,MATCH($B$2&amp;"|xC",Aux_puntos!$1:$1,0))),NA())</f>
        <v/>
      </c>
      <c r="AF629">
        <f>IFERROR(IF(INDEX(Aux_puntos!$A$2:$OJ$901,625,MATCH($B$2&amp;"|yC",Aux_puntos!$1:$1,0))="",NA(),INDEX(Aux_puntos!$A$2:$OJ$901,625,MATCH($B$2&amp;"|yC",Aux_puntos!$1:$1,0))),NA())</f>
        <v/>
      </c>
      <c r="AG629">
        <f>IFERROR(IF(INDEX(Aux_puntos!$A$2:$OJ$901,625,MATCH($B$2&amp;"|xI",Aux_puntos!$1:$1,0))="",NA(),INDEX(Aux_puntos!$A$2:$OJ$901,625,MATCH($B$2&amp;"|xI",Aux_puntos!$1:$1,0))),NA())</f>
        <v/>
      </c>
      <c r="AH629">
        <f>IFERROR(IF(INDEX(Aux_puntos!$A$2:$OJ$901,625,MATCH($B$2&amp;"|yI",Aux_puntos!$1:$1,0))="",NA(),INDEX(Aux_puntos!$A$2:$OJ$901,625,MATCH($B$2&amp;"|yI",Aux_puntos!$1:$1,0))),NA())</f>
        <v/>
      </c>
      <c r="AI629">
        <f>IFERROR(IF(INDEX(Aux_puntos!$A$2:$OJ$901,625,MATCH($B$2&amp;"|xN",Aux_puntos!$1:$1,0))="",NA(),INDEX(Aux_puntos!$A$2:$OJ$901,625,MATCH($B$2&amp;"|xN",Aux_puntos!$1:$1,0))),NA())</f>
        <v/>
      </c>
      <c r="AJ629">
        <f>IFERROR(IF(INDEX(Aux_puntos!$A$2:$OJ$901,625,MATCH($B$2&amp;"|yN",Aux_puntos!$1:$1,0))="",NA(),INDEX(Aux_puntos!$A$2:$OJ$901,625,MATCH($B$2&amp;"|yN",Aux_puntos!$1:$1,0))),NA())</f>
        <v/>
      </c>
    </row>
    <row r="630">
      <c r="AC630">
        <f>IFERROR(IF(INDEX(Aux_puntos!$A$2:$OJ$901,626,MATCH($B$2&amp;"|xK",Aux_puntos!$1:$1,0))="",NA(),INDEX(Aux_puntos!$A$2:$OJ$901,626,MATCH($B$2&amp;"|xK",Aux_puntos!$1:$1,0))),NA())</f>
        <v/>
      </c>
      <c r="AD630">
        <f>IFERROR(IF(INDEX(Aux_puntos!$A$2:$OJ$901,626,MATCH($B$2&amp;"|yK",Aux_puntos!$1:$1,0))="",NA(),INDEX(Aux_puntos!$A$2:$OJ$901,626,MATCH($B$2&amp;"|yK",Aux_puntos!$1:$1,0))),NA())</f>
        <v/>
      </c>
      <c r="AE630">
        <f>IFERROR(IF(INDEX(Aux_puntos!$A$2:$OJ$901,626,MATCH($B$2&amp;"|xC",Aux_puntos!$1:$1,0))="",NA(),INDEX(Aux_puntos!$A$2:$OJ$901,626,MATCH($B$2&amp;"|xC",Aux_puntos!$1:$1,0))),NA())</f>
        <v/>
      </c>
      <c r="AF630">
        <f>IFERROR(IF(INDEX(Aux_puntos!$A$2:$OJ$901,626,MATCH($B$2&amp;"|yC",Aux_puntos!$1:$1,0))="",NA(),INDEX(Aux_puntos!$A$2:$OJ$901,626,MATCH($B$2&amp;"|yC",Aux_puntos!$1:$1,0))),NA())</f>
        <v/>
      </c>
      <c r="AG630">
        <f>IFERROR(IF(INDEX(Aux_puntos!$A$2:$OJ$901,626,MATCH($B$2&amp;"|xI",Aux_puntos!$1:$1,0))="",NA(),INDEX(Aux_puntos!$A$2:$OJ$901,626,MATCH($B$2&amp;"|xI",Aux_puntos!$1:$1,0))),NA())</f>
        <v/>
      </c>
      <c r="AH630">
        <f>IFERROR(IF(INDEX(Aux_puntos!$A$2:$OJ$901,626,MATCH($B$2&amp;"|yI",Aux_puntos!$1:$1,0))="",NA(),INDEX(Aux_puntos!$A$2:$OJ$901,626,MATCH($B$2&amp;"|yI",Aux_puntos!$1:$1,0))),NA())</f>
        <v/>
      </c>
      <c r="AI630">
        <f>IFERROR(IF(INDEX(Aux_puntos!$A$2:$OJ$901,626,MATCH($B$2&amp;"|xN",Aux_puntos!$1:$1,0))="",NA(),INDEX(Aux_puntos!$A$2:$OJ$901,626,MATCH($B$2&amp;"|xN",Aux_puntos!$1:$1,0))),NA())</f>
        <v/>
      </c>
      <c r="AJ630">
        <f>IFERROR(IF(INDEX(Aux_puntos!$A$2:$OJ$901,626,MATCH($B$2&amp;"|yN",Aux_puntos!$1:$1,0))="",NA(),INDEX(Aux_puntos!$A$2:$OJ$901,626,MATCH($B$2&amp;"|yN",Aux_puntos!$1:$1,0))),NA())</f>
        <v/>
      </c>
    </row>
    <row r="631">
      <c r="AC631">
        <f>IFERROR(IF(INDEX(Aux_puntos!$A$2:$OJ$901,627,MATCH($B$2&amp;"|xK",Aux_puntos!$1:$1,0))="",NA(),INDEX(Aux_puntos!$A$2:$OJ$901,627,MATCH($B$2&amp;"|xK",Aux_puntos!$1:$1,0))),NA())</f>
        <v/>
      </c>
      <c r="AD631">
        <f>IFERROR(IF(INDEX(Aux_puntos!$A$2:$OJ$901,627,MATCH($B$2&amp;"|yK",Aux_puntos!$1:$1,0))="",NA(),INDEX(Aux_puntos!$A$2:$OJ$901,627,MATCH($B$2&amp;"|yK",Aux_puntos!$1:$1,0))),NA())</f>
        <v/>
      </c>
      <c r="AE631">
        <f>IFERROR(IF(INDEX(Aux_puntos!$A$2:$OJ$901,627,MATCH($B$2&amp;"|xC",Aux_puntos!$1:$1,0))="",NA(),INDEX(Aux_puntos!$A$2:$OJ$901,627,MATCH($B$2&amp;"|xC",Aux_puntos!$1:$1,0))),NA())</f>
        <v/>
      </c>
      <c r="AF631">
        <f>IFERROR(IF(INDEX(Aux_puntos!$A$2:$OJ$901,627,MATCH($B$2&amp;"|yC",Aux_puntos!$1:$1,0))="",NA(),INDEX(Aux_puntos!$A$2:$OJ$901,627,MATCH($B$2&amp;"|yC",Aux_puntos!$1:$1,0))),NA())</f>
        <v/>
      </c>
      <c r="AG631">
        <f>IFERROR(IF(INDEX(Aux_puntos!$A$2:$OJ$901,627,MATCH($B$2&amp;"|xI",Aux_puntos!$1:$1,0))="",NA(),INDEX(Aux_puntos!$A$2:$OJ$901,627,MATCH($B$2&amp;"|xI",Aux_puntos!$1:$1,0))),NA())</f>
        <v/>
      </c>
      <c r="AH631">
        <f>IFERROR(IF(INDEX(Aux_puntos!$A$2:$OJ$901,627,MATCH($B$2&amp;"|yI",Aux_puntos!$1:$1,0))="",NA(),INDEX(Aux_puntos!$A$2:$OJ$901,627,MATCH($B$2&amp;"|yI",Aux_puntos!$1:$1,0))),NA())</f>
        <v/>
      </c>
      <c r="AI631">
        <f>IFERROR(IF(INDEX(Aux_puntos!$A$2:$OJ$901,627,MATCH($B$2&amp;"|xN",Aux_puntos!$1:$1,0))="",NA(),INDEX(Aux_puntos!$A$2:$OJ$901,627,MATCH($B$2&amp;"|xN",Aux_puntos!$1:$1,0))),NA())</f>
        <v/>
      </c>
      <c r="AJ631">
        <f>IFERROR(IF(INDEX(Aux_puntos!$A$2:$OJ$901,627,MATCH($B$2&amp;"|yN",Aux_puntos!$1:$1,0))="",NA(),INDEX(Aux_puntos!$A$2:$OJ$901,627,MATCH($B$2&amp;"|yN",Aux_puntos!$1:$1,0))),NA())</f>
        <v/>
      </c>
    </row>
    <row r="632">
      <c r="AC632">
        <f>IFERROR(IF(INDEX(Aux_puntos!$A$2:$OJ$901,628,MATCH($B$2&amp;"|xK",Aux_puntos!$1:$1,0))="",NA(),INDEX(Aux_puntos!$A$2:$OJ$901,628,MATCH($B$2&amp;"|xK",Aux_puntos!$1:$1,0))),NA())</f>
        <v/>
      </c>
      <c r="AD632">
        <f>IFERROR(IF(INDEX(Aux_puntos!$A$2:$OJ$901,628,MATCH($B$2&amp;"|yK",Aux_puntos!$1:$1,0))="",NA(),INDEX(Aux_puntos!$A$2:$OJ$901,628,MATCH($B$2&amp;"|yK",Aux_puntos!$1:$1,0))),NA())</f>
        <v/>
      </c>
      <c r="AE632">
        <f>IFERROR(IF(INDEX(Aux_puntos!$A$2:$OJ$901,628,MATCH($B$2&amp;"|xC",Aux_puntos!$1:$1,0))="",NA(),INDEX(Aux_puntos!$A$2:$OJ$901,628,MATCH($B$2&amp;"|xC",Aux_puntos!$1:$1,0))),NA())</f>
        <v/>
      </c>
      <c r="AF632">
        <f>IFERROR(IF(INDEX(Aux_puntos!$A$2:$OJ$901,628,MATCH($B$2&amp;"|yC",Aux_puntos!$1:$1,0))="",NA(),INDEX(Aux_puntos!$A$2:$OJ$901,628,MATCH($B$2&amp;"|yC",Aux_puntos!$1:$1,0))),NA())</f>
        <v/>
      </c>
      <c r="AG632">
        <f>IFERROR(IF(INDEX(Aux_puntos!$A$2:$OJ$901,628,MATCH($B$2&amp;"|xI",Aux_puntos!$1:$1,0))="",NA(),INDEX(Aux_puntos!$A$2:$OJ$901,628,MATCH($B$2&amp;"|xI",Aux_puntos!$1:$1,0))),NA())</f>
        <v/>
      </c>
      <c r="AH632">
        <f>IFERROR(IF(INDEX(Aux_puntos!$A$2:$OJ$901,628,MATCH($B$2&amp;"|yI",Aux_puntos!$1:$1,0))="",NA(),INDEX(Aux_puntos!$A$2:$OJ$901,628,MATCH($B$2&amp;"|yI",Aux_puntos!$1:$1,0))),NA())</f>
        <v/>
      </c>
      <c r="AI632">
        <f>IFERROR(IF(INDEX(Aux_puntos!$A$2:$OJ$901,628,MATCH($B$2&amp;"|xN",Aux_puntos!$1:$1,0))="",NA(),INDEX(Aux_puntos!$A$2:$OJ$901,628,MATCH($B$2&amp;"|xN",Aux_puntos!$1:$1,0))),NA())</f>
        <v/>
      </c>
      <c r="AJ632">
        <f>IFERROR(IF(INDEX(Aux_puntos!$A$2:$OJ$901,628,MATCH($B$2&amp;"|yN",Aux_puntos!$1:$1,0))="",NA(),INDEX(Aux_puntos!$A$2:$OJ$901,628,MATCH($B$2&amp;"|yN",Aux_puntos!$1:$1,0))),NA())</f>
        <v/>
      </c>
    </row>
    <row r="633">
      <c r="AC633">
        <f>IFERROR(IF(INDEX(Aux_puntos!$A$2:$OJ$901,629,MATCH($B$2&amp;"|xK",Aux_puntos!$1:$1,0))="",NA(),INDEX(Aux_puntos!$A$2:$OJ$901,629,MATCH($B$2&amp;"|xK",Aux_puntos!$1:$1,0))),NA())</f>
        <v/>
      </c>
      <c r="AD633">
        <f>IFERROR(IF(INDEX(Aux_puntos!$A$2:$OJ$901,629,MATCH($B$2&amp;"|yK",Aux_puntos!$1:$1,0))="",NA(),INDEX(Aux_puntos!$A$2:$OJ$901,629,MATCH($B$2&amp;"|yK",Aux_puntos!$1:$1,0))),NA())</f>
        <v/>
      </c>
      <c r="AE633">
        <f>IFERROR(IF(INDEX(Aux_puntos!$A$2:$OJ$901,629,MATCH($B$2&amp;"|xC",Aux_puntos!$1:$1,0))="",NA(),INDEX(Aux_puntos!$A$2:$OJ$901,629,MATCH($B$2&amp;"|xC",Aux_puntos!$1:$1,0))),NA())</f>
        <v/>
      </c>
      <c r="AF633">
        <f>IFERROR(IF(INDEX(Aux_puntos!$A$2:$OJ$901,629,MATCH($B$2&amp;"|yC",Aux_puntos!$1:$1,0))="",NA(),INDEX(Aux_puntos!$A$2:$OJ$901,629,MATCH($B$2&amp;"|yC",Aux_puntos!$1:$1,0))),NA())</f>
        <v/>
      </c>
      <c r="AG633">
        <f>IFERROR(IF(INDEX(Aux_puntos!$A$2:$OJ$901,629,MATCH($B$2&amp;"|xI",Aux_puntos!$1:$1,0))="",NA(),INDEX(Aux_puntos!$A$2:$OJ$901,629,MATCH($B$2&amp;"|xI",Aux_puntos!$1:$1,0))),NA())</f>
        <v/>
      </c>
      <c r="AH633">
        <f>IFERROR(IF(INDEX(Aux_puntos!$A$2:$OJ$901,629,MATCH($B$2&amp;"|yI",Aux_puntos!$1:$1,0))="",NA(),INDEX(Aux_puntos!$A$2:$OJ$901,629,MATCH($B$2&amp;"|yI",Aux_puntos!$1:$1,0))),NA())</f>
        <v/>
      </c>
      <c r="AI633">
        <f>IFERROR(IF(INDEX(Aux_puntos!$A$2:$OJ$901,629,MATCH($B$2&amp;"|xN",Aux_puntos!$1:$1,0))="",NA(),INDEX(Aux_puntos!$A$2:$OJ$901,629,MATCH($B$2&amp;"|xN",Aux_puntos!$1:$1,0))),NA())</f>
        <v/>
      </c>
      <c r="AJ633">
        <f>IFERROR(IF(INDEX(Aux_puntos!$A$2:$OJ$901,629,MATCH($B$2&amp;"|yN",Aux_puntos!$1:$1,0))="",NA(),INDEX(Aux_puntos!$A$2:$OJ$901,629,MATCH($B$2&amp;"|yN",Aux_puntos!$1:$1,0))),NA())</f>
        <v/>
      </c>
    </row>
    <row r="634">
      <c r="AC634">
        <f>IFERROR(IF(INDEX(Aux_puntos!$A$2:$OJ$901,630,MATCH($B$2&amp;"|xK",Aux_puntos!$1:$1,0))="",NA(),INDEX(Aux_puntos!$A$2:$OJ$901,630,MATCH($B$2&amp;"|xK",Aux_puntos!$1:$1,0))),NA())</f>
        <v/>
      </c>
      <c r="AD634">
        <f>IFERROR(IF(INDEX(Aux_puntos!$A$2:$OJ$901,630,MATCH($B$2&amp;"|yK",Aux_puntos!$1:$1,0))="",NA(),INDEX(Aux_puntos!$A$2:$OJ$901,630,MATCH($B$2&amp;"|yK",Aux_puntos!$1:$1,0))),NA())</f>
        <v/>
      </c>
      <c r="AE634">
        <f>IFERROR(IF(INDEX(Aux_puntos!$A$2:$OJ$901,630,MATCH($B$2&amp;"|xC",Aux_puntos!$1:$1,0))="",NA(),INDEX(Aux_puntos!$A$2:$OJ$901,630,MATCH($B$2&amp;"|xC",Aux_puntos!$1:$1,0))),NA())</f>
        <v/>
      </c>
      <c r="AF634">
        <f>IFERROR(IF(INDEX(Aux_puntos!$A$2:$OJ$901,630,MATCH($B$2&amp;"|yC",Aux_puntos!$1:$1,0))="",NA(),INDEX(Aux_puntos!$A$2:$OJ$901,630,MATCH($B$2&amp;"|yC",Aux_puntos!$1:$1,0))),NA())</f>
        <v/>
      </c>
      <c r="AG634">
        <f>IFERROR(IF(INDEX(Aux_puntos!$A$2:$OJ$901,630,MATCH($B$2&amp;"|xI",Aux_puntos!$1:$1,0))="",NA(),INDEX(Aux_puntos!$A$2:$OJ$901,630,MATCH($B$2&amp;"|xI",Aux_puntos!$1:$1,0))),NA())</f>
        <v/>
      </c>
      <c r="AH634">
        <f>IFERROR(IF(INDEX(Aux_puntos!$A$2:$OJ$901,630,MATCH($B$2&amp;"|yI",Aux_puntos!$1:$1,0))="",NA(),INDEX(Aux_puntos!$A$2:$OJ$901,630,MATCH($B$2&amp;"|yI",Aux_puntos!$1:$1,0))),NA())</f>
        <v/>
      </c>
      <c r="AI634">
        <f>IFERROR(IF(INDEX(Aux_puntos!$A$2:$OJ$901,630,MATCH($B$2&amp;"|xN",Aux_puntos!$1:$1,0))="",NA(),INDEX(Aux_puntos!$A$2:$OJ$901,630,MATCH($B$2&amp;"|xN",Aux_puntos!$1:$1,0))),NA())</f>
        <v/>
      </c>
      <c r="AJ634">
        <f>IFERROR(IF(INDEX(Aux_puntos!$A$2:$OJ$901,630,MATCH($B$2&amp;"|yN",Aux_puntos!$1:$1,0))="",NA(),INDEX(Aux_puntos!$A$2:$OJ$901,630,MATCH($B$2&amp;"|yN",Aux_puntos!$1:$1,0))),NA())</f>
        <v/>
      </c>
    </row>
    <row r="635">
      <c r="AC635">
        <f>IFERROR(IF(INDEX(Aux_puntos!$A$2:$OJ$901,631,MATCH($B$2&amp;"|xK",Aux_puntos!$1:$1,0))="",NA(),INDEX(Aux_puntos!$A$2:$OJ$901,631,MATCH($B$2&amp;"|xK",Aux_puntos!$1:$1,0))),NA())</f>
        <v/>
      </c>
      <c r="AD635">
        <f>IFERROR(IF(INDEX(Aux_puntos!$A$2:$OJ$901,631,MATCH($B$2&amp;"|yK",Aux_puntos!$1:$1,0))="",NA(),INDEX(Aux_puntos!$A$2:$OJ$901,631,MATCH($B$2&amp;"|yK",Aux_puntos!$1:$1,0))),NA())</f>
        <v/>
      </c>
      <c r="AE635">
        <f>IFERROR(IF(INDEX(Aux_puntos!$A$2:$OJ$901,631,MATCH($B$2&amp;"|xC",Aux_puntos!$1:$1,0))="",NA(),INDEX(Aux_puntos!$A$2:$OJ$901,631,MATCH($B$2&amp;"|xC",Aux_puntos!$1:$1,0))),NA())</f>
        <v/>
      </c>
      <c r="AF635">
        <f>IFERROR(IF(INDEX(Aux_puntos!$A$2:$OJ$901,631,MATCH($B$2&amp;"|yC",Aux_puntos!$1:$1,0))="",NA(),INDEX(Aux_puntos!$A$2:$OJ$901,631,MATCH($B$2&amp;"|yC",Aux_puntos!$1:$1,0))),NA())</f>
        <v/>
      </c>
      <c r="AG635">
        <f>IFERROR(IF(INDEX(Aux_puntos!$A$2:$OJ$901,631,MATCH($B$2&amp;"|xI",Aux_puntos!$1:$1,0))="",NA(),INDEX(Aux_puntos!$A$2:$OJ$901,631,MATCH($B$2&amp;"|xI",Aux_puntos!$1:$1,0))),NA())</f>
        <v/>
      </c>
      <c r="AH635">
        <f>IFERROR(IF(INDEX(Aux_puntos!$A$2:$OJ$901,631,MATCH($B$2&amp;"|yI",Aux_puntos!$1:$1,0))="",NA(),INDEX(Aux_puntos!$A$2:$OJ$901,631,MATCH($B$2&amp;"|yI",Aux_puntos!$1:$1,0))),NA())</f>
        <v/>
      </c>
      <c r="AI635">
        <f>IFERROR(IF(INDEX(Aux_puntos!$A$2:$OJ$901,631,MATCH($B$2&amp;"|xN",Aux_puntos!$1:$1,0))="",NA(),INDEX(Aux_puntos!$A$2:$OJ$901,631,MATCH($B$2&amp;"|xN",Aux_puntos!$1:$1,0))),NA())</f>
        <v/>
      </c>
      <c r="AJ635">
        <f>IFERROR(IF(INDEX(Aux_puntos!$A$2:$OJ$901,631,MATCH($B$2&amp;"|yN",Aux_puntos!$1:$1,0))="",NA(),INDEX(Aux_puntos!$A$2:$OJ$901,631,MATCH($B$2&amp;"|yN",Aux_puntos!$1:$1,0))),NA())</f>
        <v/>
      </c>
    </row>
    <row r="636">
      <c r="AC636">
        <f>IFERROR(IF(INDEX(Aux_puntos!$A$2:$OJ$901,632,MATCH($B$2&amp;"|xK",Aux_puntos!$1:$1,0))="",NA(),INDEX(Aux_puntos!$A$2:$OJ$901,632,MATCH($B$2&amp;"|xK",Aux_puntos!$1:$1,0))),NA())</f>
        <v/>
      </c>
      <c r="AD636">
        <f>IFERROR(IF(INDEX(Aux_puntos!$A$2:$OJ$901,632,MATCH($B$2&amp;"|yK",Aux_puntos!$1:$1,0))="",NA(),INDEX(Aux_puntos!$A$2:$OJ$901,632,MATCH($B$2&amp;"|yK",Aux_puntos!$1:$1,0))),NA())</f>
        <v/>
      </c>
      <c r="AE636">
        <f>IFERROR(IF(INDEX(Aux_puntos!$A$2:$OJ$901,632,MATCH($B$2&amp;"|xC",Aux_puntos!$1:$1,0))="",NA(),INDEX(Aux_puntos!$A$2:$OJ$901,632,MATCH($B$2&amp;"|xC",Aux_puntos!$1:$1,0))),NA())</f>
        <v/>
      </c>
      <c r="AF636">
        <f>IFERROR(IF(INDEX(Aux_puntos!$A$2:$OJ$901,632,MATCH($B$2&amp;"|yC",Aux_puntos!$1:$1,0))="",NA(),INDEX(Aux_puntos!$A$2:$OJ$901,632,MATCH($B$2&amp;"|yC",Aux_puntos!$1:$1,0))),NA())</f>
        <v/>
      </c>
      <c r="AG636">
        <f>IFERROR(IF(INDEX(Aux_puntos!$A$2:$OJ$901,632,MATCH($B$2&amp;"|xI",Aux_puntos!$1:$1,0))="",NA(),INDEX(Aux_puntos!$A$2:$OJ$901,632,MATCH($B$2&amp;"|xI",Aux_puntos!$1:$1,0))),NA())</f>
        <v/>
      </c>
      <c r="AH636">
        <f>IFERROR(IF(INDEX(Aux_puntos!$A$2:$OJ$901,632,MATCH($B$2&amp;"|yI",Aux_puntos!$1:$1,0))="",NA(),INDEX(Aux_puntos!$A$2:$OJ$901,632,MATCH($B$2&amp;"|yI",Aux_puntos!$1:$1,0))),NA())</f>
        <v/>
      </c>
      <c r="AI636">
        <f>IFERROR(IF(INDEX(Aux_puntos!$A$2:$OJ$901,632,MATCH($B$2&amp;"|xN",Aux_puntos!$1:$1,0))="",NA(),INDEX(Aux_puntos!$A$2:$OJ$901,632,MATCH($B$2&amp;"|xN",Aux_puntos!$1:$1,0))),NA())</f>
        <v/>
      </c>
      <c r="AJ636">
        <f>IFERROR(IF(INDEX(Aux_puntos!$A$2:$OJ$901,632,MATCH($B$2&amp;"|yN",Aux_puntos!$1:$1,0))="",NA(),INDEX(Aux_puntos!$A$2:$OJ$901,632,MATCH($B$2&amp;"|yN",Aux_puntos!$1:$1,0))),NA())</f>
        <v/>
      </c>
    </row>
    <row r="637">
      <c r="AC637">
        <f>IFERROR(IF(INDEX(Aux_puntos!$A$2:$OJ$901,633,MATCH($B$2&amp;"|xK",Aux_puntos!$1:$1,0))="",NA(),INDEX(Aux_puntos!$A$2:$OJ$901,633,MATCH($B$2&amp;"|xK",Aux_puntos!$1:$1,0))),NA())</f>
        <v/>
      </c>
      <c r="AD637">
        <f>IFERROR(IF(INDEX(Aux_puntos!$A$2:$OJ$901,633,MATCH($B$2&amp;"|yK",Aux_puntos!$1:$1,0))="",NA(),INDEX(Aux_puntos!$A$2:$OJ$901,633,MATCH($B$2&amp;"|yK",Aux_puntos!$1:$1,0))),NA())</f>
        <v/>
      </c>
      <c r="AE637">
        <f>IFERROR(IF(INDEX(Aux_puntos!$A$2:$OJ$901,633,MATCH($B$2&amp;"|xC",Aux_puntos!$1:$1,0))="",NA(),INDEX(Aux_puntos!$A$2:$OJ$901,633,MATCH($B$2&amp;"|xC",Aux_puntos!$1:$1,0))),NA())</f>
        <v/>
      </c>
      <c r="AF637">
        <f>IFERROR(IF(INDEX(Aux_puntos!$A$2:$OJ$901,633,MATCH($B$2&amp;"|yC",Aux_puntos!$1:$1,0))="",NA(),INDEX(Aux_puntos!$A$2:$OJ$901,633,MATCH($B$2&amp;"|yC",Aux_puntos!$1:$1,0))),NA())</f>
        <v/>
      </c>
      <c r="AG637">
        <f>IFERROR(IF(INDEX(Aux_puntos!$A$2:$OJ$901,633,MATCH($B$2&amp;"|xI",Aux_puntos!$1:$1,0))="",NA(),INDEX(Aux_puntos!$A$2:$OJ$901,633,MATCH($B$2&amp;"|xI",Aux_puntos!$1:$1,0))),NA())</f>
        <v/>
      </c>
      <c r="AH637">
        <f>IFERROR(IF(INDEX(Aux_puntos!$A$2:$OJ$901,633,MATCH($B$2&amp;"|yI",Aux_puntos!$1:$1,0))="",NA(),INDEX(Aux_puntos!$A$2:$OJ$901,633,MATCH($B$2&amp;"|yI",Aux_puntos!$1:$1,0))),NA())</f>
        <v/>
      </c>
      <c r="AI637">
        <f>IFERROR(IF(INDEX(Aux_puntos!$A$2:$OJ$901,633,MATCH($B$2&amp;"|xN",Aux_puntos!$1:$1,0))="",NA(),INDEX(Aux_puntos!$A$2:$OJ$901,633,MATCH($B$2&amp;"|xN",Aux_puntos!$1:$1,0))),NA())</f>
        <v/>
      </c>
      <c r="AJ637">
        <f>IFERROR(IF(INDEX(Aux_puntos!$A$2:$OJ$901,633,MATCH($B$2&amp;"|yN",Aux_puntos!$1:$1,0))="",NA(),INDEX(Aux_puntos!$A$2:$OJ$901,633,MATCH($B$2&amp;"|yN",Aux_puntos!$1:$1,0))),NA())</f>
        <v/>
      </c>
    </row>
    <row r="638">
      <c r="AC638">
        <f>IFERROR(IF(INDEX(Aux_puntos!$A$2:$OJ$901,634,MATCH($B$2&amp;"|xK",Aux_puntos!$1:$1,0))="",NA(),INDEX(Aux_puntos!$A$2:$OJ$901,634,MATCH($B$2&amp;"|xK",Aux_puntos!$1:$1,0))),NA())</f>
        <v/>
      </c>
      <c r="AD638">
        <f>IFERROR(IF(INDEX(Aux_puntos!$A$2:$OJ$901,634,MATCH($B$2&amp;"|yK",Aux_puntos!$1:$1,0))="",NA(),INDEX(Aux_puntos!$A$2:$OJ$901,634,MATCH($B$2&amp;"|yK",Aux_puntos!$1:$1,0))),NA())</f>
        <v/>
      </c>
      <c r="AE638">
        <f>IFERROR(IF(INDEX(Aux_puntos!$A$2:$OJ$901,634,MATCH($B$2&amp;"|xC",Aux_puntos!$1:$1,0))="",NA(),INDEX(Aux_puntos!$A$2:$OJ$901,634,MATCH($B$2&amp;"|xC",Aux_puntos!$1:$1,0))),NA())</f>
        <v/>
      </c>
      <c r="AF638">
        <f>IFERROR(IF(INDEX(Aux_puntos!$A$2:$OJ$901,634,MATCH($B$2&amp;"|yC",Aux_puntos!$1:$1,0))="",NA(),INDEX(Aux_puntos!$A$2:$OJ$901,634,MATCH($B$2&amp;"|yC",Aux_puntos!$1:$1,0))),NA())</f>
        <v/>
      </c>
      <c r="AG638">
        <f>IFERROR(IF(INDEX(Aux_puntos!$A$2:$OJ$901,634,MATCH($B$2&amp;"|xI",Aux_puntos!$1:$1,0))="",NA(),INDEX(Aux_puntos!$A$2:$OJ$901,634,MATCH($B$2&amp;"|xI",Aux_puntos!$1:$1,0))),NA())</f>
        <v/>
      </c>
      <c r="AH638">
        <f>IFERROR(IF(INDEX(Aux_puntos!$A$2:$OJ$901,634,MATCH($B$2&amp;"|yI",Aux_puntos!$1:$1,0))="",NA(),INDEX(Aux_puntos!$A$2:$OJ$901,634,MATCH($B$2&amp;"|yI",Aux_puntos!$1:$1,0))),NA())</f>
        <v/>
      </c>
      <c r="AI638">
        <f>IFERROR(IF(INDEX(Aux_puntos!$A$2:$OJ$901,634,MATCH($B$2&amp;"|xN",Aux_puntos!$1:$1,0))="",NA(),INDEX(Aux_puntos!$A$2:$OJ$901,634,MATCH($B$2&amp;"|xN",Aux_puntos!$1:$1,0))),NA())</f>
        <v/>
      </c>
      <c r="AJ638">
        <f>IFERROR(IF(INDEX(Aux_puntos!$A$2:$OJ$901,634,MATCH($B$2&amp;"|yN",Aux_puntos!$1:$1,0))="",NA(),INDEX(Aux_puntos!$A$2:$OJ$901,634,MATCH($B$2&amp;"|yN",Aux_puntos!$1:$1,0))),NA())</f>
        <v/>
      </c>
    </row>
    <row r="639">
      <c r="AC639">
        <f>IFERROR(IF(INDEX(Aux_puntos!$A$2:$OJ$901,635,MATCH($B$2&amp;"|xK",Aux_puntos!$1:$1,0))="",NA(),INDEX(Aux_puntos!$A$2:$OJ$901,635,MATCH($B$2&amp;"|xK",Aux_puntos!$1:$1,0))),NA())</f>
        <v/>
      </c>
      <c r="AD639">
        <f>IFERROR(IF(INDEX(Aux_puntos!$A$2:$OJ$901,635,MATCH($B$2&amp;"|yK",Aux_puntos!$1:$1,0))="",NA(),INDEX(Aux_puntos!$A$2:$OJ$901,635,MATCH($B$2&amp;"|yK",Aux_puntos!$1:$1,0))),NA())</f>
        <v/>
      </c>
      <c r="AE639">
        <f>IFERROR(IF(INDEX(Aux_puntos!$A$2:$OJ$901,635,MATCH($B$2&amp;"|xC",Aux_puntos!$1:$1,0))="",NA(),INDEX(Aux_puntos!$A$2:$OJ$901,635,MATCH($B$2&amp;"|xC",Aux_puntos!$1:$1,0))),NA())</f>
        <v/>
      </c>
      <c r="AF639">
        <f>IFERROR(IF(INDEX(Aux_puntos!$A$2:$OJ$901,635,MATCH($B$2&amp;"|yC",Aux_puntos!$1:$1,0))="",NA(),INDEX(Aux_puntos!$A$2:$OJ$901,635,MATCH($B$2&amp;"|yC",Aux_puntos!$1:$1,0))),NA())</f>
        <v/>
      </c>
      <c r="AG639">
        <f>IFERROR(IF(INDEX(Aux_puntos!$A$2:$OJ$901,635,MATCH($B$2&amp;"|xI",Aux_puntos!$1:$1,0))="",NA(),INDEX(Aux_puntos!$A$2:$OJ$901,635,MATCH($B$2&amp;"|xI",Aux_puntos!$1:$1,0))),NA())</f>
        <v/>
      </c>
      <c r="AH639">
        <f>IFERROR(IF(INDEX(Aux_puntos!$A$2:$OJ$901,635,MATCH($B$2&amp;"|yI",Aux_puntos!$1:$1,0))="",NA(),INDEX(Aux_puntos!$A$2:$OJ$901,635,MATCH($B$2&amp;"|yI",Aux_puntos!$1:$1,0))),NA())</f>
        <v/>
      </c>
      <c r="AI639">
        <f>IFERROR(IF(INDEX(Aux_puntos!$A$2:$OJ$901,635,MATCH($B$2&amp;"|xN",Aux_puntos!$1:$1,0))="",NA(),INDEX(Aux_puntos!$A$2:$OJ$901,635,MATCH($B$2&amp;"|xN",Aux_puntos!$1:$1,0))),NA())</f>
        <v/>
      </c>
      <c r="AJ639">
        <f>IFERROR(IF(INDEX(Aux_puntos!$A$2:$OJ$901,635,MATCH($B$2&amp;"|yN",Aux_puntos!$1:$1,0))="",NA(),INDEX(Aux_puntos!$A$2:$OJ$901,635,MATCH($B$2&amp;"|yN",Aux_puntos!$1:$1,0))),NA())</f>
        <v/>
      </c>
    </row>
    <row r="640">
      <c r="AC640">
        <f>IFERROR(IF(INDEX(Aux_puntos!$A$2:$OJ$901,636,MATCH($B$2&amp;"|xK",Aux_puntos!$1:$1,0))="",NA(),INDEX(Aux_puntos!$A$2:$OJ$901,636,MATCH($B$2&amp;"|xK",Aux_puntos!$1:$1,0))),NA())</f>
        <v/>
      </c>
      <c r="AD640">
        <f>IFERROR(IF(INDEX(Aux_puntos!$A$2:$OJ$901,636,MATCH($B$2&amp;"|yK",Aux_puntos!$1:$1,0))="",NA(),INDEX(Aux_puntos!$A$2:$OJ$901,636,MATCH($B$2&amp;"|yK",Aux_puntos!$1:$1,0))),NA())</f>
        <v/>
      </c>
      <c r="AE640">
        <f>IFERROR(IF(INDEX(Aux_puntos!$A$2:$OJ$901,636,MATCH($B$2&amp;"|xC",Aux_puntos!$1:$1,0))="",NA(),INDEX(Aux_puntos!$A$2:$OJ$901,636,MATCH($B$2&amp;"|xC",Aux_puntos!$1:$1,0))),NA())</f>
        <v/>
      </c>
      <c r="AF640">
        <f>IFERROR(IF(INDEX(Aux_puntos!$A$2:$OJ$901,636,MATCH($B$2&amp;"|yC",Aux_puntos!$1:$1,0))="",NA(),INDEX(Aux_puntos!$A$2:$OJ$901,636,MATCH($B$2&amp;"|yC",Aux_puntos!$1:$1,0))),NA())</f>
        <v/>
      </c>
      <c r="AG640">
        <f>IFERROR(IF(INDEX(Aux_puntos!$A$2:$OJ$901,636,MATCH($B$2&amp;"|xI",Aux_puntos!$1:$1,0))="",NA(),INDEX(Aux_puntos!$A$2:$OJ$901,636,MATCH($B$2&amp;"|xI",Aux_puntos!$1:$1,0))),NA())</f>
        <v/>
      </c>
      <c r="AH640">
        <f>IFERROR(IF(INDEX(Aux_puntos!$A$2:$OJ$901,636,MATCH($B$2&amp;"|yI",Aux_puntos!$1:$1,0))="",NA(),INDEX(Aux_puntos!$A$2:$OJ$901,636,MATCH($B$2&amp;"|yI",Aux_puntos!$1:$1,0))),NA())</f>
        <v/>
      </c>
      <c r="AI640">
        <f>IFERROR(IF(INDEX(Aux_puntos!$A$2:$OJ$901,636,MATCH($B$2&amp;"|xN",Aux_puntos!$1:$1,0))="",NA(),INDEX(Aux_puntos!$A$2:$OJ$901,636,MATCH($B$2&amp;"|xN",Aux_puntos!$1:$1,0))),NA())</f>
        <v/>
      </c>
      <c r="AJ640">
        <f>IFERROR(IF(INDEX(Aux_puntos!$A$2:$OJ$901,636,MATCH($B$2&amp;"|yN",Aux_puntos!$1:$1,0))="",NA(),INDEX(Aux_puntos!$A$2:$OJ$901,636,MATCH($B$2&amp;"|yN",Aux_puntos!$1:$1,0))),NA())</f>
        <v/>
      </c>
    </row>
    <row r="641">
      <c r="AC641">
        <f>IFERROR(IF(INDEX(Aux_puntos!$A$2:$OJ$901,637,MATCH($B$2&amp;"|xK",Aux_puntos!$1:$1,0))="",NA(),INDEX(Aux_puntos!$A$2:$OJ$901,637,MATCH($B$2&amp;"|xK",Aux_puntos!$1:$1,0))),NA())</f>
        <v/>
      </c>
      <c r="AD641">
        <f>IFERROR(IF(INDEX(Aux_puntos!$A$2:$OJ$901,637,MATCH($B$2&amp;"|yK",Aux_puntos!$1:$1,0))="",NA(),INDEX(Aux_puntos!$A$2:$OJ$901,637,MATCH($B$2&amp;"|yK",Aux_puntos!$1:$1,0))),NA())</f>
        <v/>
      </c>
      <c r="AE641">
        <f>IFERROR(IF(INDEX(Aux_puntos!$A$2:$OJ$901,637,MATCH($B$2&amp;"|xC",Aux_puntos!$1:$1,0))="",NA(),INDEX(Aux_puntos!$A$2:$OJ$901,637,MATCH($B$2&amp;"|xC",Aux_puntos!$1:$1,0))),NA())</f>
        <v/>
      </c>
      <c r="AF641">
        <f>IFERROR(IF(INDEX(Aux_puntos!$A$2:$OJ$901,637,MATCH($B$2&amp;"|yC",Aux_puntos!$1:$1,0))="",NA(),INDEX(Aux_puntos!$A$2:$OJ$901,637,MATCH($B$2&amp;"|yC",Aux_puntos!$1:$1,0))),NA())</f>
        <v/>
      </c>
      <c r="AG641">
        <f>IFERROR(IF(INDEX(Aux_puntos!$A$2:$OJ$901,637,MATCH($B$2&amp;"|xI",Aux_puntos!$1:$1,0))="",NA(),INDEX(Aux_puntos!$A$2:$OJ$901,637,MATCH($B$2&amp;"|xI",Aux_puntos!$1:$1,0))),NA())</f>
        <v/>
      </c>
      <c r="AH641">
        <f>IFERROR(IF(INDEX(Aux_puntos!$A$2:$OJ$901,637,MATCH($B$2&amp;"|yI",Aux_puntos!$1:$1,0))="",NA(),INDEX(Aux_puntos!$A$2:$OJ$901,637,MATCH($B$2&amp;"|yI",Aux_puntos!$1:$1,0))),NA())</f>
        <v/>
      </c>
      <c r="AI641">
        <f>IFERROR(IF(INDEX(Aux_puntos!$A$2:$OJ$901,637,MATCH($B$2&amp;"|xN",Aux_puntos!$1:$1,0))="",NA(),INDEX(Aux_puntos!$A$2:$OJ$901,637,MATCH($B$2&amp;"|xN",Aux_puntos!$1:$1,0))),NA())</f>
        <v/>
      </c>
      <c r="AJ641">
        <f>IFERROR(IF(INDEX(Aux_puntos!$A$2:$OJ$901,637,MATCH($B$2&amp;"|yN",Aux_puntos!$1:$1,0))="",NA(),INDEX(Aux_puntos!$A$2:$OJ$901,637,MATCH($B$2&amp;"|yN",Aux_puntos!$1:$1,0))),NA())</f>
        <v/>
      </c>
    </row>
    <row r="642">
      <c r="AC642">
        <f>IFERROR(IF(INDEX(Aux_puntos!$A$2:$OJ$901,638,MATCH($B$2&amp;"|xK",Aux_puntos!$1:$1,0))="",NA(),INDEX(Aux_puntos!$A$2:$OJ$901,638,MATCH($B$2&amp;"|xK",Aux_puntos!$1:$1,0))),NA())</f>
        <v/>
      </c>
      <c r="AD642">
        <f>IFERROR(IF(INDEX(Aux_puntos!$A$2:$OJ$901,638,MATCH($B$2&amp;"|yK",Aux_puntos!$1:$1,0))="",NA(),INDEX(Aux_puntos!$A$2:$OJ$901,638,MATCH($B$2&amp;"|yK",Aux_puntos!$1:$1,0))),NA())</f>
        <v/>
      </c>
      <c r="AE642">
        <f>IFERROR(IF(INDEX(Aux_puntos!$A$2:$OJ$901,638,MATCH($B$2&amp;"|xC",Aux_puntos!$1:$1,0))="",NA(),INDEX(Aux_puntos!$A$2:$OJ$901,638,MATCH($B$2&amp;"|xC",Aux_puntos!$1:$1,0))),NA())</f>
        <v/>
      </c>
      <c r="AF642">
        <f>IFERROR(IF(INDEX(Aux_puntos!$A$2:$OJ$901,638,MATCH($B$2&amp;"|yC",Aux_puntos!$1:$1,0))="",NA(),INDEX(Aux_puntos!$A$2:$OJ$901,638,MATCH($B$2&amp;"|yC",Aux_puntos!$1:$1,0))),NA())</f>
        <v/>
      </c>
      <c r="AG642">
        <f>IFERROR(IF(INDEX(Aux_puntos!$A$2:$OJ$901,638,MATCH($B$2&amp;"|xI",Aux_puntos!$1:$1,0))="",NA(),INDEX(Aux_puntos!$A$2:$OJ$901,638,MATCH($B$2&amp;"|xI",Aux_puntos!$1:$1,0))),NA())</f>
        <v/>
      </c>
      <c r="AH642">
        <f>IFERROR(IF(INDEX(Aux_puntos!$A$2:$OJ$901,638,MATCH($B$2&amp;"|yI",Aux_puntos!$1:$1,0))="",NA(),INDEX(Aux_puntos!$A$2:$OJ$901,638,MATCH($B$2&amp;"|yI",Aux_puntos!$1:$1,0))),NA())</f>
        <v/>
      </c>
      <c r="AI642">
        <f>IFERROR(IF(INDEX(Aux_puntos!$A$2:$OJ$901,638,MATCH($B$2&amp;"|xN",Aux_puntos!$1:$1,0))="",NA(),INDEX(Aux_puntos!$A$2:$OJ$901,638,MATCH($B$2&amp;"|xN",Aux_puntos!$1:$1,0))),NA())</f>
        <v/>
      </c>
      <c r="AJ642">
        <f>IFERROR(IF(INDEX(Aux_puntos!$A$2:$OJ$901,638,MATCH($B$2&amp;"|yN",Aux_puntos!$1:$1,0))="",NA(),INDEX(Aux_puntos!$A$2:$OJ$901,638,MATCH($B$2&amp;"|yN",Aux_puntos!$1:$1,0))),NA())</f>
        <v/>
      </c>
    </row>
    <row r="643">
      <c r="AC643">
        <f>IFERROR(IF(INDEX(Aux_puntos!$A$2:$OJ$901,639,MATCH($B$2&amp;"|xK",Aux_puntos!$1:$1,0))="",NA(),INDEX(Aux_puntos!$A$2:$OJ$901,639,MATCH($B$2&amp;"|xK",Aux_puntos!$1:$1,0))),NA())</f>
        <v/>
      </c>
      <c r="AD643">
        <f>IFERROR(IF(INDEX(Aux_puntos!$A$2:$OJ$901,639,MATCH($B$2&amp;"|yK",Aux_puntos!$1:$1,0))="",NA(),INDEX(Aux_puntos!$A$2:$OJ$901,639,MATCH($B$2&amp;"|yK",Aux_puntos!$1:$1,0))),NA())</f>
        <v/>
      </c>
      <c r="AE643">
        <f>IFERROR(IF(INDEX(Aux_puntos!$A$2:$OJ$901,639,MATCH($B$2&amp;"|xC",Aux_puntos!$1:$1,0))="",NA(),INDEX(Aux_puntos!$A$2:$OJ$901,639,MATCH($B$2&amp;"|xC",Aux_puntos!$1:$1,0))),NA())</f>
        <v/>
      </c>
      <c r="AF643">
        <f>IFERROR(IF(INDEX(Aux_puntos!$A$2:$OJ$901,639,MATCH($B$2&amp;"|yC",Aux_puntos!$1:$1,0))="",NA(),INDEX(Aux_puntos!$A$2:$OJ$901,639,MATCH($B$2&amp;"|yC",Aux_puntos!$1:$1,0))),NA())</f>
        <v/>
      </c>
      <c r="AG643">
        <f>IFERROR(IF(INDEX(Aux_puntos!$A$2:$OJ$901,639,MATCH($B$2&amp;"|xI",Aux_puntos!$1:$1,0))="",NA(),INDEX(Aux_puntos!$A$2:$OJ$901,639,MATCH($B$2&amp;"|xI",Aux_puntos!$1:$1,0))),NA())</f>
        <v/>
      </c>
      <c r="AH643">
        <f>IFERROR(IF(INDEX(Aux_puntos!$A$2:$OJ$901,639,MATCH($B$2&amp;"|yI",Aux_puntos!$1:$1,0))="",NA(),INDEX(Aux_puntos!$A$2:$OJ$901,639,MATCH($B$2&amp;"|yI",Aux_puntos!$1:$1,0))),NA())</f>
        <v/>
      </c>
      <c r="AI643">
        <f>IFERROR(IF(INDEX(Aux_puntos!$A$2:$OJ$901,639,MATCH($B$2&amp;"|xN",Aux_puntos!$1:$1,0))="",NA(),INDEX(Aux_puntos!$A$2:$OJ$901,639,MATCH($B$2&amp;"|xN",Aux_puntos!$1:$1,0))),NA())</f>
        <v/>
      </c>
      <c r="AJ643">
        <f>IFERROR(IF(INDEX(Aux_puntos!$A$2:$OJ$901,639,MATCH($B$2&amp;"|yN",Aux_puntos!$1:$1,0))="",NA(),INDEX(Aux_puntos!$A$2:$OJ$901,639,MATCH($B$2&amp;"|yN",Aux_puntos!$1:$1,0))),NA())</f>
        <v/>
      </c>
    </row>
    <row r="644">
      <c r="AC644">
        <f>IFERROR(IF(INDEX(Aux_puntos!$A$2:$OJ$901,640,MATCH($B$2&amp;"|xK",Aux_puntos!$1:$1,0))="",NA(),INDEX(Aux_puntos!$A$2:$OJ$901,640,MATCH($B$2&amp;"|xK",Aux_puntos!$1:$1,0))),NA())</f>
        <v/>
      </c>
      <c r="AD644">
        <f>IFERROR(IF(INDEX(Aux_puntos!$A$2:$OJ$901,640,MATCH($B$2&amp;"|yK",Aux_puntos!$1:$1,0))="",NA(),INDEX(Aux_puntos!$A$2:$OJ$901,640,MATCH($B$2&amp;"|yK",Aux_puntos!$1:$1,0))),NA())</f>
        <v/>
      </c>
      <c r="AE644">
        <f>IFERROR(IF(INDEX(Aux_puntos!$A$2:$OJ$901,640,MATCH($B$2&amp;"|xC",Aux_puntos!$1:$1,0))="",NA(),INDEX(Aux_puntos!$A$2:$OJ$901,640,MATCH($B$2&amp;"|xC",Aux_puntos!$1:$1,0))),NA())</f>
        <v/>
      </c>
      <c r="AF644">
        <f>IFERROR(IF(INDEX(Aux_puntos!$A$2:$OJ$901,640,MATCH($B$2&amp;"|yC",Aux_puntos!$1:$1,0))="",NA(),INDEX(Aux_puntos!$A$2:$OJ$901,640,MATCH($B$2&amp;"|yC",Aux_puntos!$1:$1,0))),NA())</f>
        <v/>
      </c>
      <c r="AG644">
        <f>IFERROR(IF(INDEX(Aux_puntos!$A$2:$OJ$901,640,MATCH($B$2&amp;"|xI",Aux_puntos!$1:$1,0))="",NA(),INDEX(Aux_puntos!$A$2:$OJ$901,640,MATCH($B$2&amp;"|xI",Aux_puntos!$1:$1,0))),NA())</f>
        <v/>
      </c>
      <c r="AH644">
        <f>IFERROR(IF(INDEX(Aux_puntos!$A$2:$OJ$901,640,MATCH($B$2&amp;"|yI",Aux_puntos!$1:$1,0))="",NA(),INDEX(Aux_puntos!$A$2:$OJ$901,640,MATCH($B$2&amp;"|yI",Aux_puntos!$1:$1,0))),NA())</f>
        <v/>
      </c>
      <c r="AI644">
        <f>IFERROR(IF(INDEX(Aux_puntos!$A$2:$OJ$901,640,MATCH($B$2&amp;"|xN",Aux_puntos!$1:$1,0))="",NA(),INDEX(Aux_puntos!$A$2:$OJ$901,640,MATCH($B$2&amp;"|xN",Aux_puntos!$1:$1,0))),NA())</f>
        <v/>
      </c>
      <c r="AJ644">
        <f>IFERROR(IF(INDEX(Aux_puntos!$A$2:$OJ$901,640,MATCH($B$2&amp;"|yN",Aux_puntos!$1:$1,0))="",NA(),INDEX(Aux_puntos!$A$2:$OJ$901,640,MATCH($B$2&amp;"|yN",Aux_puntos!$1:$1,0))),NA())</f>
        <v/>
      </c>
    </row>
    <row r="645">
      <c r="AC645">
        <f>IFERROR(IF(INDEX(Aux_puntos!$A$2:$OJ$901,641,MATCH($B$2&amp;"|xK",Aux_puntos!$1:$1,0))="",NA(),INDEX(Aux_puntos!$A$2:$OJ$901,641,MATCH($B$2&amp;"|xK",Aux_puntos!$1:$1,0))),NA())</f>
        <v/>
      </c>
      <c r="AD645">
        <f>IFERROR(IF(INDEX(Aux_puntos!$A$2:$OJ$901,641,MATCH($B$2&amp;"|yK",Aux_puntos!$1:$1,0))="",NA(),INDEX(Aux_puntos!$A$2:$OJ$901,641,MATCH($B$2&amp;"|yK",Aux_puntos!$1:$1,0))),NA())</f>
        <v/>
      </c>
      <c r="AE645">
        <f>IFERROR(IF(INDEX(Aux_puntos!$A$2:$OJ$901,641,MATCH($B$2&amp;"|xC",Aux_puntos!$1:$1,0))="",NA(),INDEX(Aux_puntos!$A$2:$OJ$901,641,MATCH($B$2&amp;"|xC",Aux_puntos!$1:$1,0))),NA())</f>
        <v/>
      </c>
      <c r="AF645">
        <f>IFERROR(IF(INDEX(Aux_puntos!$A$2:$OJ$901,641,MATCH($B$2&amp;"|yC",Aux_puntos!$1:$1,0))="",NA(),INDEX(Aux_puntos!$A$2:$OJ$901,641,MATCH($B$2&amp;"|yC",Aux_puntos!$1:$1,0))),NA())</f>
        <v/>
      </c>
      <c r="AG645">
        <f>IFERROR(IF(INDEX(Aux_puntos!$A$2:$OJ$901,641,MATCH($B$2&amp;"|xI",Aux_puntos!$1:$1,0))="",NA(),INDEX(Aux_puntos!$A$2:$OJ$901,641,MATCH($B$2&amp;"|xI",Aux_puntos!$1:$1,0))),NA())</f>
        <v/>
      </c>
      <c r="AH645">
        <f>IFERROR(IF(INDEX(Aux_puntos!$A$2:$OJ$901,641,MATCH($B$2&amp;"|yI",Aux_puntos!$1:$1,0))="",NA(),INDEX(Aux_puntos!$A$2:$OJ$901,641,MATCH($B$2&amp;"|yI",Aux_puntos!$1:$1,0))),NA())</f>
        <v/>
      </c>
      <c r="AI645">
        <f>IFERROR(IF(INDEX(Aux_puntos!$A$2:$OJ$901,641,MATCH($B$2&amp;"|xN",Aux_puntos!$1:$1,0))="",NA(),INDEX(Aux_puntos!$A$2:$OJ$901,641,MATCH($B$2&amp;"|xN",Aux_puntos!$1:$1,0))),NA())</f>
        <v/>
      </c>
      <c r="AJ645">
        <f>IFERROR(IF(INDEX(Aux_puntos!$A$2:$OJ$901,641,MATCH($B$2&amp;"|yN",Aux_puntos!$1:$1,0))="",NA(),INDEX(Aux_puntos!$A$2:$OJ$901,641,MATCH($B$2&amp;"|yN",Aux_puntos!$1:$1,0))),NA())</f>
        <v/>
      </c>
    </row>
    <row r="646">
      <c r="AC646">
        <f>IFERROR(IF(INDEX(Aux_puntos!$A$2:$OJ$901,642,MATCH($B$2&amp;"|xK",Aux_puntos!$1:$1,0))="",NA(),INDEX(Aux_puntos!$A$2:$OJ$901,642,MATCH($B$2&amp;"|xK",Aux_puntos!$1:$1,0))),NA())</f>
        <v/>
      </c>
      <c r="AD646">
        <f>IFERROR(IF(INDEX(Aux_puntos!$A$2:$OJ$901,642,MATCH($B$2&amp;"|yK",Aux_puntos!$1:$1,0))="",NA(),INDEX(Aux_puntos!$A$2:$OJ$901,642,MATCH($B$2&amp;"|yK",Aux_puntos!$1:$1,0))),NA())</f>
        <v/>
      </c>
      <c r="AE646">
        <f>IFERROR(IF(INDEX(Aux_puntos!$A$2:$OJ$901,642,MATCH($B$2&amp;"|xC",Aux_puntos!$1:$1,0))="",NA(),INDEX(Aux_puntos!$A$2:$OJ$901,642,MATCH($B$2&amp;"|xC",Aux_puntos!$1:$1,0))),NA())</f>
        <v/>
      </c>
      <c r="AF646">
        <f>IFERROR(IF(INDEX(Aux_puntos!$A$2:$OJ$901,642,MATCH($B$2&amp;"|yC",Aux_puntos!$1:$1,0))="",NA(),INDEX(Aux_puntos!$A$2:$OJ$901,642,MATCH($B$2&amp;"|yC",Aux_puntos!$1:$1,0))),NA())</f>
        <v/>
      </c>
      <c r="AG646">
        <f>IFERROR(IF(INDEX(Aux_puntos!$A$2:$OJ$901,642,MATCH($B$2&amp;"|xI",Aux_puntos!$1:$1,0))="",NA(),INDEX(Aux_puntos!$A$2:$OJ$901,642,MATCH($B$2&amp;"|xI",Aux_puntos!$1:$1,0))),NA())</f>
        <v/>
      </c>
      <c r="AH646">
        <f>IFERROR(IF(INDEX(Aux_puntos!$A$2:$OJ$901,642,MATCH($B$2&amp;"|yI",Aux_puntos!$1:$1,0))="",NA(),INDEX(Aux_puntos!$A$2:$OJ$901,642,MATCH($B$2&amp;"|yI",Aux_puntos!$1:$1,0))),NA())</f>
        <v/>
      </c>
      <c r="AI646">
        <f>IFERROR(IF(INDEX(Aux_puntos!$A$2:$OJ$901,642,MATCH($B$2&amp;"|xN",Aux_puntos!$1:$1,0))="",NA(),INDEX(Aux_puntos!$A$2:$OJ$901,642,MATCH($B$2&amp;"|xN",Aux_puntos!$1:$1,0))),NA())</f>
        <v/>
      </c>
      <c r="AJ646">
        <f>IFERROR(IF(INDEX(Aux_puntos!$A$2:$OJ$901,642,MATCH($B$2&amp;"|yN",Aux_puntos!$1:$1,0))="",NA(),INDEX(Aux_puntos!$A$2:$OJ$901,642,MATCH($B$2&amp;"|yN",Aux_puntos!$1:$1,0))),NA())</f>
        <v/>
      </c>
    </row>
    <row r="647">
      <c r="AC647">
        <f>IFERROR(IF(INDEX(Aux_puntos!$A$2:$OJ$901,643,MATCH($B$2&amp;"|xK",Aux_puntos!$1:$1,0))="",NA(),INDEX(Aux_puntos!$A$2:$OJ$901,643,MATCH($B$2&amp;"|xK",Aux_puntos!$1:$1,0))),NA())</f>
        <v/>
      </c>
      <c r="AD647">
        <f>IFERROR(IF(INDEX(Aux_puntos!$A$2:$OJ$901,643,MATCH($B$2&amp;"|yK",Aux_puntos!$1:$1,0))="",NA(),INDEX(Aux_puntos!$A$2:$OJ$901,643,MATCH($B$2&amp;"|yK",Aux_puntos!$1:$1,0))),NA())</f>
        <v/>
      </c>
      <c r="AE647">
        <f>IFERROR(IF(INDEX(Aux_puntos!$A$2:$OJ$901,643,MATCH($B$2&amp;"|xC",Aux_puntos!$1:$1,0))="",NA(),INDEX(Aux_puntos!$A$2:$OJ$901,643,MATCH($B$2&amp;"|xC",Aux_puntos!$1:$1,0))),NA())</f>
        <v/>
      </c>
      <c r="AF647">
        <f>IFERROR(IF(INDEX(Aux_puntos!$A$2:$OJ$901,643,MATCH($B$2&amp;"|yC",Aux_puntos!$1:$1,0))="",NA(),INDEX(Aux_puntos!$A$2:$OJ$901,643,MATCH($B$2&amp;"|yC",Aux_puntos!$1:$1,0))),NA())</f>
        <v/>
      </c>
      <c r="AG647">
        <f>IFERROR(IF(INDEX(Aux_puntos!$A$2:$OJ$901,643,MATCH($B$2&amp;"|xI",Aux_puntos!$1:$1,0))="",NA(),INDEX(Aux_puntos!$A$2:$OJ$901,643,MATCH($B$2&amp;"|xI",Aux_puntos!$1:$1,0))),NA())</f>
        <v/>
      </c>
      <c r="AH647">
        <f>IFERROR(IF(INDEX(Aux_puntos!$A$2:$OJ$901,643,MATCH($B$2&amp;"|yI",Aux_puntos!$1:$1,0))="",NA(),INDEX(Aux_puntos!$A$2:$OJ$901,643,MATCH($B$2&amp;"|yI",Aux_puntos!$1:$1,0))),NA())</f>
        <v/>
      </c>
      <c r="AI647">
        <f>IFERROR(IF(INDEX(Aux_puntos!$A$2:$OJ$901,643,MATCH($B$2&amp;"|xN",Aux_puntos!$1:$1,0))="",NA(),INDEX(Aux_puntos!$A$2:$OJ$901,643,MATCH($B$2&amp;"|xN",Aux_puntos!$1:$1,0))),NA())</f>
        <v/>
      </c>
      <c r="AJ647">
        <f>IFERROR(IF(INDEX(Aux_puntos!$A$2:$OJ$901,643,MATCH($B$2&amp;"|yN",Aux_puntos!$1:$1,0))="",NA(),INDEX(Aux_puntos!$A$2:$OJ$901,643,MATCH($B$2&amp;"|yN",Aux_puntos!$1:$1,0))),NA())</f>
        <v/>
      </c>
    </row>
    <row r="648">
      <c r="AC648">
        <f>IFERROR(IF(INDEX(Aux_puntos!$A$2:$OJ$901,644,MATCH($B$2&amp;"|xK",Aux_puntos!$1:$1,0))="",NA(),INDEX(Aux_puntos!$A$2:$OJ$901,644,MATCH($B$2&amp;"|xK",Aux_puntos!$1:$1,0))),NA())</f>
        <v/>
      </c>
      <c r="AD648">
        <f>IFERROR(IF(INDEX(Aux_puntos!$A$2:$OJ$901,644,MATCH($B$2&amp;"|yK",Aux_puntos!$1:$1,0))="",NA(),INDEX(Aux_puntos!$A$2:$OJ$901,644,MATCH($B$2&amp;"|yK",Aux_puntos!$1:$1,0))),NA())</f>
        <v/>
      </c>
      <c r="AE648">
        <f>IFERROR(IF(INDEX(Aux_puntos!$A$2:$OJ$901,644,MATCH($B$2&amp;"|xC",Aux_puntos!$1:$1,0))="",NA(),INDEX(Aux_puntos!$A$2:$OJ$901,644,MATCH($B$2&amp;"|xC",Aux_puntos!$1:$1,0))),NA())</f>
        <v/>
      </c>
      <c r="AF648">
        <f>IFERROR(IF(INDEX(Aux_puntos!$A$2:$OJ$901,644,MATCH($B$2&amp;"|yC",Aux_puntos!$1:$1,0))="",NA(),INDEX(Aux_puntos!$A$2:$OJ$901,644,MATCH($B$2&amp;"|yC",Aux_puntos!$1:$1,0))),NA())</f>
        <v/>
      </c>
      <c r="AG648">
        <f>IFERROR(IF(INDEX(Aux_puntos!$A$2:$OJ$901,644,MATCH($B$2&amp;"|xI",Aux_puntos!$1:$1,0))="",NA(),INDEX(Aux_puntos!$A$2:$OJ$901,644,MATCH($B$2&amp;"|xI",Aux_puntos!$1:$1,0))),NA())</f>
        <v/>
      </c>
      <c r="AH648">
        <f>IFERROR(IF(INDEX(Aux_puntos!$A$2:$OJ$901,644,MATCH($B$2&amp;"|yI",Aux_puntos!$1:$1,0))="",NA(),INDEX(Aux_puntos!$A$2:$OJ$901,644,MATCH($B$2&amp;"|yI",Aux_puntos!$1:$1,0))),NA())</f>
        <v/>
      </c>
      <c r="AI648">
        <f>IFERROR(IF(INDEX(Aux_puntos!$A$2:$OJ$901,644,MATCH($B$2&amp;"|xN",Aux_puntos!$1:$1,0))="",NA(),INDEX(Aux_puntos!$A$2:$OJ$901,644,MATCH($B$2&amp;"|xN",Aux_puntos!$1:$1,0))),NA())</f>
        <v/>
      </c>
      <c r="AJ648">
        <f>IFERROR(IF(INDEX(Aux_puntos!$A$2:$OJ$901,644,MATCH($B$2&amp;"|yN",Aux_puntos!$1:$1,0))="",NA(),INDEX(Aux_puntos!$A$2:$OJ$901,644,MATCH($B$2&amp;"|yN",Aux_puntos!$1:$1,0))),NA())</f>
        <v/>
      </c>
    </row>
    <row r="649">
      <c r="AC649">
        <f>IFERROR(IF(INDEX(Aux_puntos!$A$2:$OJ$901,645,MATCH($B$2&amp;"|xK",Aux_puntos!$1:$1,0))="",NA(),INDEX(Aux_puntos!$A$2:$OJ$901,645,MATCH($B$2&amp;"|xK",Aux_puntos!$1:$1,0))),NA())</f>
        <v/>
      </c>
      <c r="AD649">
        <f>IFERROR(IF(INDEX(Aux_puntos!$A$2:$OJ$901,645,MATCH($B$2&amp;"|yK",Aux_puntos!$1:$1,0))="",NA(),INDEX(Aux_puntos!$A$2:$OJ$901,645,MATCH($B$2&amp;"|yK",Aux_puntos!$1:$1,0))),NA())</f>
        <v/>
      </c>
      <c r="AE649">
        <f>IFERROR(IF(INDEX(Aux_puntos!$A$2:$OJ$901,645,MATCH($B$2&amp;"|xC",Aux_puntos!$1:$1,0))="",NA(),INDEX(Aux_puntos!$A$2:$OJ$901,645,MATCH($B$2&amp;"|xC",Aux_puntos!$1:$1,0))),NA())</f>
        <v/>
      </c>
      <c r="AF649">
        <f>IFERROR(IF(INDEX(Aux_puntos!$A$2:$OJ$901,645,MATCH($B$2&amp;"|yC",Aux_puntos!$1:$1,0))="",NA(),INDEX(Aux_puntos!$A$2:$OJ$901,645,MATCH($B$2&amp;"|yC",Aux_puntos!$1:$1,0))),NA())</f>
        <v/>
      </c>
      <c r="AG649">
        <f>IFERROR(IF(INDEX(Aux_puntos!$A$2:$OJ$901,645,MATCH($B$2&amp;"|xI",Aux_puntos!$1:$1,0))="",NA(),INDEX(Aux_puntos!$A$2:$OJ$901,645,MATCH($B$2&amp;"|xI",Aux_puntos!$1:$1,0))),NA())</f>
        <v/>
      </c>
      <c r="AH649">
        <f>IFERROR(IF(INDEX(Aux_puntos!$A$2:$OJ$901,645,MATCH($B$2&amp;"|yI",Aux_puntos!$1:$1,0))="",NA(),INDEX(Aux_puntos!$A$2:$OJ$901,645,MATCH($B$2&amp;"|yI",Aux_puntos!$1:$1,0))),NA())</f>
        <v/>
      </c>
      <c r="AI649">
        <f>IFERROR(IF(INDEX(Aux_puntos!$A$2:$OJ$901,645,MATCH($B$2&amp;"|xN",Aux_puntos!$1:$1,0))="",NA(),INDEX(Aux_puntos!$A$2:$OJ$901,645,MATCH($B$2&amp;"|xN",Aux_puntos!$1:$1,0))),NA())</f>
        <v/>
      </c>
      <c r="AJ649">
        <f>IFERROR(IF(INDEX(Aux_puntos!$A$2:$OJ$901,645,MATCH($B$2&amp;"|yN",Aux_puntos!$1:$1,0))="",NA(),INDEX(Aux_puntos!$A$2:$OJ$901,645,MATCH($B$2&amp;"|yN",Aux_puntos!$1:$1,0))),NA())</f>
        <v/>
      </c>
    </row>
    <row r="650">
      <c r="AC650">
        <f>IFERROR(IF(INDEX(Aux_puntos!$A$2:$OJ$901,646,MATCH($B$2&amp;"|xK",Aux_puntos!$1:$1,0))="",NA(),INDEX(Aux_puntos!$A$2:$OJ$901,646,MATCH($B$2&amp;"|xK",Aux_puntos!$1:$1,0))),NA())</f>
        <v/>
      </c>
      <c r="AD650">
        <f>IFERROR(IF(INDEX(Aux_puntos!$A$2:$OJ$901,646,MATCH($B$2&amp;"|yK",Aux_puntos!$1:$1,0))="",NA(),INDEX(Aux_puntos!$A$2:$OJ$901,646,MATCH($B$2&amp;"|yK",Aux_puntos!$1:$1,0))),NA())</f>
        <v/>
      </c>
      <c r="AE650">
        <f>IFERROR(IF(INDEX(Aux_puntos!$A$2:$OJ$901,646,MATCH($B$2&amp;"|xC",Aux_puntos!$1:$1,0))="",NA(),INDEX(Aux_puntos!$A$2:$OJ$901,646,MATCH($B$2&amp;"|xC",Aux_puntos!$1:$1,0))),NA())</f>
        <v/>
      </c>
      <c r="AF650">
        <f>IFERROR(IF(INDEX(Aux_puntos!$A$2:$OJ$901,646,MATCH($B$2&amp;"|yC",Aux_puntos!$1:$1,0))="",NA(),INDEX(Aux_puntos!$A$2:$OJ$901,646,MATCH($B$2&amp;"|yC",Aux_puntos!$1:$1,0))),NA())</f>
        <v/>
      </c>
      <c r="AG650">
        <f>IFERROR(IF(INDEX(Aux_puntos!$A$2:$OJ$901,646,MATCH($B$2&amp;"|xI",Aux_puntos!$1:$1,0))="",NA(),INDEX(Aux_puntos!$A$2:$OJ$901,646,MATCH($B$2&amp;"|xI",Aux_puntos!$1:$1,0))),NA())</f>
        <v/>
      </c>
      <c r="AH650">
        <f>IFERROR(IF(INDEX(Aux_puntos!$A$2:$OJ$901,646,MATCH($B$2&amp;"|yI",Aux_puntos!$1:$1,0))="",NA(),INDEX(Aux_puntos!$A$2:$OJ$901,646,MATCH($B$2&amp;"|yI",Aux_puntos!$1:$1,0))),NA())</f>
        <v/>
      </c>
      <c r="AI650">
        <f>IFERROR(IF(INDEX(Aux_puntos!$A$2:$OJ$901,646,MATCH($B$2&amp;"|xN",Aux_puntos!$1:$1,0))="",NA(),INDEX(Aux_puntos!$A$2:$OJ$901,646,MATCH($B$2&amp;"|xN",Aux_puntos!$1:$1,0))),NA())</f>
        <v/>
      </c>
      <c r="AJ650">
        <f>IFERROR(IF(INDEX(Aux_puntos!$A$2:$OJ$901,646,MATCH($B$2&amp;"|yN",Aux_puntos!$1:$1,0))="",NA(),INDEX(Aux_puntos!$A$2:$OJ$901,646,MATCH($B$2&amp;"|yN",Aux_puntos!$1:$1,0))),NA())</f>
        <v/>
      </c>
    </row>
    <row r="651">
      <c r="AC651">
        <f>IFERROR(IF(INDEX(Aux_puntos!$A$2:$OJ$901,647,MATCH($B$2&amp;"|xK",Aux_puntos!$1:$1,0))="",NA(),INDEX(Aux_puntos!$A$2:$OJ$901,647,MATCH($B$2&amp;"|xK",Aux_puntos!$1:$1,0))),NA())</f>
        <v/>
      </c>
      <c r="AD651">
        <f>IFERROR(IF(INDEX(Aux_puntos!$A$2:$OJ$901,647,MATCH($B$2&amp;"|yK",Aux_puntos!$1:$1,0))="",NA(),INDEX(Aux_puntos!$A$2:$OJ$901,647,MATCH($B$2&amp;"|yK",Aux_puntos!$1:$1,0))),NA())</f>
        <v/>
      </c>
      <c r="AE651">
        <f>IFERROR(IF(INDEX(Aux_puntos!$A$2:$OJ$901,647,MATCH($B$2&amp;"|xC",Aux_puntos!$1:$1,0))="",NA(),INDEX(Aux_puntos!$A$2:$OJ$901,647,MATCH($B$2&amp;"|xC",Aux_puntos!$1:$1,0))),NA())</f>
        <v/>
      </c>
      <c r="AF651">
        <f>IFERROR(IF(INDEX(Aux_puntos!$A$2:$OJ$901,647,MATCH($B$2&amp;"|yC",Aux_puntos!$1:$1,0))="",NA(),INDEX(Aux_puntos!$A$2:$OJ$901,647,MATCH($B$2&amp;"|yC",Aux_puntos!$1:$1,0))),NA())</f>
        <v/>
      </c>
      <c r="AG651">
        <f>IFERROR(IF(INDEX(Aux_puntos!$A$2:$OJ$901,647,MATCH($B$2&amp;"|xI",Aux_puntos!$1:$1,0))="",NA(),INDEX(Aux_puntos!$A$2:$OJ$901,647,MATCH($B$2&amp;"|xI",Aux_puntos!$1:$1,0))),NA())</f>
        <v/>
      </c>
      <c r="AH651">
        <f>IFERROR(IF(INDEX(Aux_puntos!$A$2:$OJ$901,647,MATCH($B$2&amp;"|yI",Aux_puntos!$1:$1,0))="",NA(),INDEX(Aux_puntos!$A$2:$OJ$901,647,MATCH($B$2&amp;"|yI",Aux_puntos!$1:$1,0))),NA())</f>
        <v/>
      </c>
      <c r="AI651">
        <f>IFERROR(IF(INDEX(Aux_puntos!$A$2:$OJ$901,647,MATCH($B$2&amp;"|xN",Aux_puntos!$1:$1,0))="",NA(),INDEX(Aux_puntos!$A$2:$OJ$901,647,MATCH($B$2&amp;"|xN",Aux_puntos!$1:$1,0))),NA())</f>
        <v/>
      </c>
      <c r="AJ651">
        <f>IFERROR(IF(INDEX(Aux_puntos!$A$2:$OJ$901,647,MATCH($B$2&amp;"|yN",Aux_puntos!$1:$1,0))="",NA(),INDEX(Aux_puntos!$A$2:$OJ$901,647,MATCH($B$2&amp;"|yN",Aux_puntos!$1:$1,0))),NA())</f>
        <v/>
      </c>
    </row>
    <row r="652">
      <c r="AC652">
        <f>IFERROR(IF(INDEX(Aux_puntos!$A$2:$OJ$901,648,MATCH($B$2&amp;"|xK",Aux_puntos!$1:$1,0))="",NA(),INDEX(Aux_puntos!$A$2:$OJ$901,648,MATCH($B$2&amp;"|xK",Aux_puntos!$1:$1,0))),NA())</f>
        <v/>
      </c>
      <c r="AD652">
        <f>IFERROR(IF(INDEX(Aux_puntos!$A$2:$OJ$901,648,MATCH($B$2&amp;"|yK",Aux_puntos!$1:$1,0))="",NA(),INDEX(Aux_puntos!$A$2:$OJ$901,648,MATCH($B$2&amp;"|yK",Aux_puntos!$1:$1,0))),NA())</f>
        <v/>
      </c>
      <c r="AE652">
        <f>IFERROR(IF(INDEX(Aux_puntos!$A$2:$OJ$901,648,MATCH($B$2&amp;"|xC",Aux_puntos!$1:$1,0))="",NA(),INDEX(Aux_puntos!$A$2:$OJ$901,648,MATCH($B$2&amp;"|xC",Aux_puntos!$1:$1,0))),NA())</f>
        <v/>
      </c>
      <c r="AF652">
        <f>IFERROR(IF(INDEX(Aux_puntos!$A$2:$OJ$901,648,MATCH($B$2&amp;"|yC",Aux_puntos!$1:$1,0))="",NA(),INDEX(Aux_puntos!$A$2:$OJ$901,648,MATCH($B$2&amp;"|yC",Aux_puntos!$1:$1,0))),NA())</f>
        <v/>
      </c>
      <c r="AG652">
        <f>IFERROR(IF(INDEX(Aux_puntos!$A$2:$OJ$901,648,MATCH($B$2&amp;"|xI",Aux_puntos!$1:$1,0))="",NA(),INDEX(Aux_puntos!$A$2:$OJ$901,648,MATCH($B$2&amp;"|xI",Aux_puntos!$1:$1,0))),NA())</f>
        <v/>
      </c>
      <c r="AH652">
        <f>IFERROR(IF(INDEX(Aux_puntos!$A$2:$OJ$901,648,MATCH($B$2&amp;"|yI",Aux_puntos!$1:$1,0))="",NA(),INDEX(Aux_puntos!$A$2:$OJ$901,648,MATCH($B$2&amp;"|yI",Aux_puntos!$1:$1,0))),NA())</f>
        <v/>
      </c>
      <c r="AI652">
        <f>IFERROR(IF(INDEX(Aux_puntos!$A$2:$OJ$901,648,MATCH($B$2&amp;"|xN",Aux_puntos!$1:$1,0))="",NA(),INDEX(Aux_puntos!$A$2:$OJ$901,648,MATCH($B$2&amp;"|xN",Aux_puntos!$1:$1,0))),NA())</f>
        <v/>
      </c>
      <c r="AJ652">
        <f>IFERROR(IF(INDEX(Aux_puntos!$A$2:$OJ$901,648,MATCH($B$2&amp;"|yN",Aux_puntos!$1:$1,0))="",NA(),INDEX(Aux_puntos!$A$2:$OJ$901,648,MATCH($B$2&amp;"|yN",Aux_puntos!$1:$1,0))),NA())</f>
        <v/>
      </c>
    </row>
    <row r="653">
      <c r="AC653">
        <f>IFERROR(IF(INDEX(Aux_puntos!$A$2:$OJ$901,649,MATCH($B$2&amp;"|xK",Aux_puntos!$1:$1,0))="",NA(),INDEX(Aux_puntos!$A$2:$OJ$901,649,MATCH($B$2&amp;"|xK",Aux_puntos!$1:$1,0))),NA())</f>
        <v/>
      </c>
      <c r="AD653">
        <f>IFERROR(IF(INDEX(Aux_puntos!$A$2:$OJ$901,649,MATCH($B$2&amp;"|yK",Aux_puntos!$1:$1,0))="",NA(),INDEX(Aux_puntos!$A$2:$OJ$901,649,MATCH($B$2&amp;"|yK",Aux_puntos!$1:$1,0))),NA())</f>
        <v/>
      </c>
      <c r="AE653">
        <f>IFERROR(IF(INDEX(Aux_puntos!$A$2:$OJ$901,649,MATCH($B$2&amp;"|xC",Aux_puntos!$1:$1,0))="",NA(),INDEX(Aux_puntos!$A$2:$OJ$901,649,MATCH($B$2&amp;"|xC",Aux_puntos!$1:$1,0))),NA())</f>
        <v/>
      </c>
      <c r="AF653">
        <f>IFERROR(IF(INDEX(Aux_puntos!$A$2:$OJ$901,649,MATCH($B$2&amp;"|yC",Aux_puntos!$1:$1,0))="",NA(),INDEX(Aux_puntos!$A$2:$OJ$901,649,MATCH($B$2&amp;"|yC",Aux_puntos!$1:$1,0))),NA())</f>
        <v/>
      </c>
      <c r="AG653">
        <f>IFERROR(IF(INDEX(Aux_puntos!$A$2:$OJ$901,649,MATCH($B$2&amp;"|xI",Aux_puntos!$1:$1,0))="",NA(),INDEX(Aux_puntos!$A$2:$OJ$901,649,MATCH($B$2&amp;"|xI",Aux_puntos!$1:$1,0))),NA())</f>
        <v/>
      </c>
      <c r="AH653">
        <f>IFERROR(IF(INDEX(Aux_puntos!$A$2:$OJ$901,649,MATCH($B$2&amp;"|yI",Aux_puntos!$1:$1,0))="",NA(),INDEX(Aux_puntos!$A$2:$OJ$901,649,MATCH($B$2&amp;"|yI",Aux_puntos!$1:$1,0))),NA())</f>
        <v/>
      </c>
      <c r="AI653">
        <f>IFERROR(IF(INDEX(Aux_puntos!$A$2:$OJ$901,649,MATCH($B$2&amp;"|xN",Aux_puntos!$1:$1,0))="",NA(),INDEX(Aux_puntos!$A$2:$OJ$901,649,MATCH($B$2&amp;"|xN",Aux_puntos!$1:$1,0))),NA())</f>
        <v/>
      </c>
      <c r="AJ653">
        <f>IFERROR(IF(INDEX(Aux_puntos!$A$2:$OJ$901,649,MATCH($B$2&amp;"|yN",Aux_puntos!$1:$1,0))="",NA(),INDEX(Aux_puntos!$A$2:$OJ$901,649,MATCH($B$2&amp;"|yN",Aux_puntos!$1:$1,0))),NA())</f>
        <v/>
      </c>
    </row>
    <row r="654">
      <c r="AC654">
        <f>IFERROR(IF(INDEX(Aux_puntos!$A$2:$OJ$901,650,MATCH($B$2&amp;"|xK",Aux_puntos!$1:$1,0))="",NA(),INDEX(Aux_puntos!$A$2:$OJ$901,650,MATCH($B$2&amp;"|xK",Aux_puntos!$1:$1,0))),NA())</f>
        <v/>
      </c>
      <c r="AD654">
        <f>IFERROR(IF(INDEX(Aux_puntos!$A$2:$OJ$901,650,MATCH($B$2&amp;"|yK",Aux_puntos!$1:$1,0))="",NA(),INDEX(Aux_puntos!$A$2:$OJ$901,650,MATCH($B$2&amp;"|yK",Aux_puntos!$1:$1,0))),NA())</f>
        <v/>
      </c>
      <c r="AE654">
        <f>IFERROR(IF(INDEX(Aux_puntos!$A$2:$OJ$901,650,MATCH($B$2&amp;"|xC",Aux_puntos!$1:$1,0))="",NA(),INDEX(Aux_puntos!$A$2:$OJ$901,650,MATCH($B$2&amp;"|xC",Aux_puntos!$1:$1,0))),NA())</f>
        <v/>
      </c>
      <c r="AF654">
        <f>IFERROR(IF(INDEX(Aux_puntos!$A$2:$OJ$901,650,MATCH($B$2&amp;"|yC",Aux_puntos!$1:$1,0))="",NA(),INDEX(Aux_puntos!$A$2:$OJ$901,650,MATCH($B$2&amp;"|yC",Aux_puntos!$1:$1,0))),NA())</f>
        <v/>
      </c>
      <c r="AG654">
        <f>IFERROR(IF(INDEX(Aux_puntos!$A$2:$OJ$901,650,MATCH($B$2&amp;"|xI",Aux_puntos!$1:$1,0))="",NA(),INDEX(Aux_puntos!$A$2:$OJ$901,650,MATCH($B$2&amp;"|xI",Aux_puntos!$1:$1,0))),NA())</f>
        <v/>
      </c>
      <c r="AH654">
        <f>IFERROR(IF(INDEX(Aux_puntos!$A$2:$OJ$901,650,MATCH($B$2&amp;"|yI",Aux_puntos!$1:$1,0))="",NA(),INDEX(Aux_puntos!$A$2:$OJ$901,650,MATCH($B$2&amp;"|yI",Aux_puntos!$1:$1,0))),NA())</f>
        <v/>
      </c>
      <c r="AI654">
        <f>IFERROR(IF(INDEX(Aux_puntos!$A$2:$OJ$901,650,MATCH($B$2&amp;"|xN",Aux_puntos!$1:$1,0))="",NA(),INDEX(Aux_puntos!$A$2:$OJ$901,650,MATCH($B$2&amp;"|xN",Aux_puntos!$1:$1,0))),NA())</f>
        <v/>
      </c>
      <c r="AJ654">
        <f>IFERROR(IF(INDEX(Aux_puntos!$A$2:$OJ$901,650,MATCH($B$2&amp;"|yN",Aux_puntos!$1:$1,0))="",NA(),INDEX(Aux_puntos!$A$2:$OJ$901,650,MATCH($B$2&amp;"|yN",Aux_puntos!$1:$1,0))),NA())</f>
        <v/>
      </c>
    </row>
    <row r="655">
      <c r="AC655">
        <f>IFERROR(IF(INDEX(Aux_puntos!$A$2:$OJ$901,651,MATCH($B$2&amp;"|xK",Aux_puntos!$1:$1,0))="",NA(),INDEX(Aux_puntos!$A$2:$OJ$901,651,MATCH($B$2&amp;"|xK",Aux_puntos!$1:$1,0))),NA())</f>
        <v/>
      </c>
      <c r="AD655">
        <f>IFERROR(IF(INDEX(Aux_puntos!$A$2:$OJ$901,651,MATCH($B$2&amp;"|yK",Aux_puntos!$1:$1,0))="",NA(),INDEX(Aux_puntos!$A$2:$OJ$901,651,MATCH($B$2&amp;"|yK",Aux_puntos!$1:$1,0))),NA())</f>
        <v/>
      </c>
      <c r="AE655">
        <f>IFERROR(IF(INDEX(Aux_puntos!$A$2:$OJ$901,651,MATCH($B$2&amp;"|xC",Aux_puntos!$1:$1,0))="",NA(),INDEX(Aux_puntos!$A$2:$OJ$901,651,MATCH($B$2&amp;"|xC",Aux_puntos!$1:$1,0))),NA())</f>
        <v/>
      </c>
      <c r="AF655">
        <f>IFERROR(IF(INDEX(Aux_puntos!$A$2:$OJ$901,651,MATCH($B$2&amp;"|yC",Aux_puntos!$1:$1,0))="",NA(),INDEX(Aux_puntos!$A$2:$OJ$901,651,MATCH($B$2&amp;"|yC",Aux_puntos!$1:$1,0))),NA())</f>
        <v/>
      </c>
      <c r="AG655">
        <f>IFERROR(IF(INDEX(Aux_puntos!$A$2:$OJ$901,651,MATCH($B$2&amp;"|xI",Aux_puntos!$1:$1,0))="",NA(),INDEX(Aux_puntos!$A$2:$OJ$901,651,MATCH($B$2&amp;"|xI",Aux_puntos!$1:$1,0))),NA())</f>
        <v/>
      </c>
      <c r="AH655">
        <f>IFERROR(IF(INDEX(Aux_puntos!$A$2:$OJ$901,651,MATCH($B$2&amp;"|yI",Aux_puntos!$1:$1,0))="",NA(),INDEX(Aux_puntos!$A$2:$OJ$901,651,MATCH($B$2&amp;"|yI",Aux_puntos!$1:$1,0))),NA())</f>
        <v/>
      </c>
      <c r="AI655">
        <f>IFERROR(IF(INDEX(Aux_puntos!$A$2:$OJ$901,651,MATCH($B$2&amp;"|xN",Aux_puntos!$1:$1,0))="",NA(),INDEX(Aux_puntos!$A$2:$OJ$901,651,MATCH($B$2&amp;"|xN",Aux_puntos!$1:$1,0))),NA())</f>
        <v/>
      </c>
      <c r="AJ655">
        <f>IFERROR(IF(INDEX(Aux_puntos!$A$2:$OJ$901,651,MATCH($B$2&amp;"|yN",Aux_puntos!$1:$1,0))="",NA(),INDEX(Aux_puntos!$A$2:$OJ$901,651,MATCH($B$2&amp;"|yN",Aux_puntos!$1:$1,0))),NA())</f>
        <v/>
      </c>
    </row>
    <row r="656">
      <c r="AC656">
        <f>IFERROR(IF(INDEX(Aux_puntos!$A$2:$OJ$901,652,MATCH($B$2&amp;"|xK",Aux_puntos!$1:$1,0))="",NA(),INDEX(Aux_puntos!$A$2:$OJ$901,652,MATCH($B$2&amp;"|xK",Aux_puntos!$1:$1,0))),NA())</f>
        <v/>
      </c>
      <c r="AD656">
        <f>IFERROR(IF(INDEX(Aux_puntos!$A$2:$OJ$901,652,MATCH($B$2&amp;"|yK",Aux_puntos!$1:$1,0))="",NA(),INDEX(Aux_puntos!$A$2:$OJ$901,652,MATCH($B$2&amp;"|yK",Aux_puntos!$1:$1,0))),NA())</f>
        <v/>
      </c>
      <c r="AE656">
        <f>IFERROR(IF(INDEX(Aux_puntos!$A$2:$OJ$901,652,MATCH($B$2&amp;"|xC",Aux_puntos!$1:$1,0))="",NA(),INDEX(Aux_puntos!$A$2:$OJ$901,652,MATCH($B$2&amp;"|xC",Aux_puntos!$1:$1,0))),NA())</f>
        <v/>
      </c>
      <c r="AF656">
        <f>IFERROR(IF(INDEX(Aux_puntos!$A$2:$OJ$901,652,MATCH($B$2&amp;"|yC",Aux_puntos!$1:$1,0))="",NA(),INDEX(Aux_puntos!$A$2:$OJ$901,652,MATCH($B$2&amp;"|yC",Aux_puntos!$1:$1,0))),NA())</f>
        <v/>
      </c>
      <c r="AG656">
        <f>IFERROR(IF(INDEX(Aux_puntos!$A$2:$OJ$901,652,MATCH($B$2&amp;"|xI",Aux_puntos!$1:$1,0))="",NA(),INDEX(Aux_puntos!$A$2:$OJ$901,652,MATCH($B$2&amp;"|xI",Aux_puntos!$1:$1,0))),NA())</f>
        <v/>
      </c>
      <c r="AH656">
        <f>IFERROR(IF(INDEX(Aux_puntos!$A$2:$OJ$901,652,MATCH($B$2&amp;"|yI",Aux_puntos!$1:$1,0))="",NA(),INDEX(Aux_puntos!$A$2:$OJ$901,652,MATCH($B$2&amp;"|yI",Aux_puntos!$1:$1,0))),NA())</f>
        <v/>
      </c>
      <c r="AI656">
        <f>IFERROR(IF(INDEX(Aux_puntos!$A$2:$OJ$901,652,MATCH($B$2&amp;"|xN",Aux_puntos!$1:$1,0))="",NA(),INDEX(Aux_puntos!$A$2:$OJ$901,652,MATCH($B$2&amp;"|xN",Aux_puntos!$1:$1,0))),NA())</f>
        <v/>
      </c>
      <c r="AJ656">
        <f>IFERROR(IF(INDEX(Aux_puntos!$A$2:$OJ$901,652,MATCH($B$2&amp;"|yN",Aux_puntos!$1:$1,0))="",NA(),INDEX(Aux_puntos!$A$2:$OJ$901,652,MATCH($B$2&amp;"|yN",Aux_puntos!$1:$1,0))),NA())</f>
        <v/>
      </c>
    </row>
    <row r="657">
      <c r="AC657">
        <f>IFERROR(IF(INDEX(Aux_puntos!$A$2:$OJ$901,653,MATCH($B$2&amp;"|xK",Aux_puntos!$1:$1,0))="",NA(),INDEX(Aux_puntos!$A$2:$OJ$901,653,MATCH($B$2&amp;"|xK",Aux_puntos!$1:$1,0))),NA())</f>
        <v/>
      </c>
      <c r="AD657">
        <f>IFERROR(IF(INDEX(Aux_puntos!$A$2:$OJ$901,653,MATCH($B$2&amp;"|yK",Aux_puntos!$1:$1,0))="",NA(),INDEX(Aux_puntos!$A$2:$OJ$901,653,MATCH($B$2&amp;"|yK",Aux_puntos!$1:$1,0))),NA())</f>
        <v/>
      </c>
      <c r="AE657">
        <f>IFERROR(IF(INDEX(Aux_puntos!$A$2:$OJ$901,653,MATCH($B$2&amp;"|xC",Aux_puntos!$1:$1,0))="",NA(),INDEX(Aux_puntos!$A$2:$OJ$901,653,MATCH($B$2&amp;"|xC",Aux_puntos!$1:$1,0))),NA())</f>
        <v/>
      </c>
      <c r="AF657">
        <f>IFERROR(IF(INDEX(Aux_puntos!$A$2:$OJ$901,653,MATCH($B$2&amp;"|yC",Aux_puntos!$1:$1,0))="",NA(),INDEX(Aux_puntos!$A$2:$OJ$901,653,MATCH($B$2&amp;"|yC",Aux_puntos!$1:$1,0))),NA())</f>
        <v/>
      </c>
      <c r="AG657">
        <f>IFERROR(IF(INDEX(Aux_puntos!$A$2:$OJ$901,653,MATCH($B$2&amp;"|xI",Aux_puntos!$1:$1,0))="",NA(),INDEX(Aux_puntos!$A$2:$OJ$901,653,MATCH($B$2&amp;"|xI",Aux_puntos!$1:$1,0))),NA())</f>
        <v/>
      </c>
      <c r="AH657">
        <f>IFERROR(IF(INDEX(Aux_puntos!$A$2:$OJ$901,653,MATCH($B$2&amp;"|yI",Aux_puntos!$1:$1,0))="",NA(),INDEX(Aux_puntos!$A$2:$OJ$901,653,MATCH($B$2&amp;"|yI",Aux_puntos!$1:$1,0))),NA())</f>
        <v/>
      </c>
      <c r="AI657">
        <f>IFERROR(IF(INDEX(Aux_puntos!$A$2:$OJ$901,653,MATCH($B$2&amp;"|xN",Aux_puntos!$1:$1,0))="",NA(),INDEX(Aux_puntos!$A$2:$OJ$901,653,MATCH($B$2&amp;"|xN",Aux_puntos!$1:$1,0))),NA())</f>
        <v/>
      </c>
      <c r="AJ657">
        <f>IFERROR(IF(INDEX(Aux_puntos!$A$2:$OJ$901,653,MATCH($B$2&amp;"|yN",Aux_puntos!$1:$1,0))="",NA(),INDEX(Aux_puntos!$A$2:$OJ$901,653,MATCH($B$2&amp;"|yN",Aux_puntos!$1:$1,0))),NA())</f>
        <v/>
      </c>
    </row>
    <row r="658">
      <c r="AC658">
        <f>IFERROR(IF(INDEX(Aux_puntos!$A$2:$OJ$901,654,MATCH($B$2&amp;"|xK",Aux_puntos!$1:$1,0))="",NA(),INDEX(Aux_puntos!$A$2:$OJ$901,654,MATCH($B$2&amp;"|xK",Aux_puntos!$1:$1,0))),NA())</f>
        <v/>
      </c>
      <c r="AD658">
        <f>IFERROR(IF(INDEX(Aux_puntos!$A$2:$OJ$901,654,MATCH($B$2&amp;"|yK",Aux_puntos!$1:$1,0))="",NA(),INDEX(Aux_puntos!$A$2:$OJ$901,654,MATCH($B$2&amp;"|yK",Aux_puntos!$1:$1,0))),NA())</f>
        <v/>
      </c>
      <c r="AE658">
        <f>IFERROR(IF(INDEX(Aux_puntos!$A$2:$OJ$901,654,MATCH($B$2&amp;"|xC",Aux_puntos!$1:$1,0))="",NA(),INDEX(Aux_puntos!$A$2:$OJ$901,654,MATCH($B$2&amp;"|xC",Aux_puntos!$1:$1,0))),NA())</f>
        <v/>
      </c>
      <c r="AF658">
        <f>IFERROR(IF(INDEX(Aux_puntos!$A$2:$OJ$901,654,MATCH($B$2&amp;"|yC",Aux_puntos!$1:$1,0))="",NA(),INDEX(Aux_puntos!$A$2:$OJ$901,654,MATCH($B$2&amp;"|yC",Aux_puntos!$1:$1,0))),NA())</f>
        <v/>
      </c>
      <c r="AG658">
        <f>IFERROR(IF(INDEX(Aux_puntos!$A$2:$OJ$901,654,MATCH($B$2&amp;"|xI",Aux_puntos!$1:$1,0))="",NA(),INDEX(Aux_puntos!$A$2:$OJ$901,654,MATCH($B$2&amp;"|xI",Aux_puntos!$1:$1,0))),NA())</f>
        <v/>
      </c>
      <c r="AH658">
        <f>IFERROR(IF(INDEX(Aux_puntos!$A$2:$OJ$901,654,MATCH($B$2&amp;"|yI",Aux_puntos!$1:$1,0))="",NA(),INDEX(Aux_puntos!$A$2:$OJ$901,654,MATCH($B$2&amp;"|yI",Aux_puntos!$1:$1,0))),NA())</f>
        <v/>
      </c>
      <c r="AI658">
        <f>IFERROR(IF(INDEX(Aux_puntos!$A$2:$OJ$901,654,MATCH($B$2&amp;"|xN",Aux_puntos!$1:$1,0))="",NA(),INDEX(Aux_puntos!$A$2:$OJ$901,654,MATCH($B$2&amp;"|xN",Aux_puntos!$1:$1,0))),NA())</f>
        <v/>
      </c>
      <c r="AJ658">
        <f>IFERROR(IF(INDEX(Aux_puntos!$A$2:$OJ$901,654,MATCH($B$2&amp;"|yN",Aux_puntos!$1:$1,0))="",NA(),INDEX(Aux_puntos!$A$2:$OJ$901,654,MATCH($B$2&amp;"|yN",Aux_puntos!$1:$1,0))),NA())</f>
        <v/>
      </c>
    </row>
    <row r="659">
      <c r="AC659">
        <f>IFERROR(IF(INDEX(Aux_puntos!$A$2:$OJ$901,655,MATCH($B$2&amp;"|xK",Aux_puntos!$1:$1,0))="",NA(),INDEX(Aux_puntos!$A$2:$OJ$901,655,MATCH($B$2&amp;"|xK",Aux_puntos!$1:$1,0))),NA())</f>
        <v/>
      </c>
      <c r="AD659">
        <f>IFERROR(IF(INDEX(Aux_puntos!$A$2:$OJ$901,655,MATCH($B$2&amp;"|yK",Aux_puntos!$1:$1,0))="",NA(),INDEX(Aux_puntos!$A$2:$OJ$901,655,MATCH($B$2&amp;"|yK",Aux_puntos!$1:$1,0))),NA())</f>
        <v/>
      </c>
      <c r="AE659">
        <f>IFERROR(IF(INDEX(Aux_puntos!$A$2:$OJ$901,655,MATCH($B$2&amp;"|xC",Aux_puntos!$1:$1,0))="",NA(),INDEX(Aux_puntos!$A$2:$OJ$901,655,MATCH($B$2&amp;"|xC",Aux_puntos!$1:$1,0))),NA())</f>
        <v/>
      </c>
      <c r="AF659">
        <f>IFERROR(IF(INDEX(Aux_puntos!$A$2:$OJ$901,655,MATCH($B$2&amp;"|yC",Aux_puntos!$1:$1,0))="",NA(),INDEX(Aux_puntos!$A$2:$OJ$901,655,MATCH($B$2&amp;"|yC",Aux_puntos!$1:$1,0))),NA())</f>
        <v/>
      </c>
      <c r="AG659">
        <f>IFERROR(IF(INDEX(Aux_puntos!$A$2:$OJ$901,655,MATCH($B$2&amp;"|xI",Aux_puntos!$1:$1,0))="",NA(),INDEX(Aux_puntos!$A$2:$OJ$901,655,MATCH($B$2&amp;"|xI",Aux_puntos!$1:$1,0))),NA())</f>
        <v/>
      </c>
      <c r="AH659">
        <f>IFERROR(IF(INDEX(Aux_puntos!$A$2:$OJ$901,655,MATCH($B$2&amp;"|yI",Aux_puntos!$1:$1,0))="",NA(),INDEX(Aux_puntos!$A$2:$OJ$901,655,MATCH($B$2&amp;"|yI",Aux_puntos!$1:$1,0))),NA())</f>
        <v/>
      </c>
      <c r="AI659">
        <f>IFERROR(IF(INDEX(Aux_puntos!$A$2:$OJ$901,655,MATCH($B$2&amp;"|xN",Aux_puntos!$1:$1,0))="",NA(),INDEX(Aux_puntos!$A$2:$OJ$901,655,MATCH($B$2&amp;"|xN",Aux_puntos!$1:$1,0))),NA())</f>
        <v/>
      </c>
      <c r="AJ659">
        <f>IFERROR(IF(INDEX(Aux_puntos!$A$2:$OJ$901,655,MATCH($B$2&amp;"|yN",Aux_puntos!$1:$1,0))="",NA(),INDEX(Aux_puntos!$A$2:$OJ$901,655,MATCH($B$2&amp;"|yN",Aux_puntos!$1:$1,0))),NA())</f>
        <v/>
      </c>
    </row>
    <row r="660">
      <c r="AC660">
        <f>IFERROR(IF(INDEX(Aux_puntos!$A$2:$OJ$901,656,MATCH($B$2&amp;"|xK",Aux_puntos!$1:$1,0))="",NA(),INDEX(Aux_puntos!$A$2:$OJ$901,656,MATCH($B$2&amp;"|xK",Aux_puntos!$1:$1,0))),NA())</f>
        <v/>
      </c>
      <c r="AD660">
        <f>IFERROR(IF(INDEX(Aux_puntos!$A$2:$OJ$901,656,MATCH($B$2&amp;"|yK",Aux_puntos!$1:$1,0))="",NA(),INDEX(Aux_puntos!$A$2:$OJ$901,656,MATCH($B$2&amp;"|yK",Aux_puntos!$1:$1,0))),NA())</f>
        <v/>
      </c>
      <c r="AE660">
        <f>IFERROR(IF(INDEX(Aux_puntos!$A$2:$OJ$901,656,MATCH($B$2&amp;"|xC",Aux_puntos!$1:$1,0))="",NA(),INDEX(Aux_puntos!$A$2:$OJ$901,656,MATCH($B$2&amp;"|xC",Aux_puntos!$1:$1,0))),NA())</f>
        <v/>
      </c>
      <c r="AF660">
        <f>IFERROR(IF(INDEX(Aux_puntos!$A$2:$OJ$901,656,MATCH($B$2&amp;"|yC",Aux_puntos!$1:$1,0))="",NA(),INDEX(Aux_puntos!$A$2:$OJ$901,656,MATCH($B$2&amp;"|yC",Aux_puntos!$1:$1,0))),NA())</f>
        <v/>
      </c>
      <c r="AG660">
        <f>IFERROR(IF(INDEX(Aux_puntos!$A$2:$OJ$901,656,MATCH($B$2&amp;"|xI",Aux_puntos!$1:$1,0))="",NA(),INDEX(Aux_puntos!$A$2:$OJ$901,656,MATCH($B$2&amp;"|xI",Aux_puntos!$1:$1,0))),NA())</f>
        <v/>
      </c>
      <c r="AH660">
        <f>IFERROR(IF(INDEX(Aux_puntos!$A$2:$OJ$901,656,MATCH($B$2&amp;"|yI",Aux_puntos!$1:$1,0))="",NA(),INDEX(Aux_puntos!$A$2:$OJ$901,656,MATCH($B$2&amp;"|yI",Aux_puntos!$1:$1,0))),NA())</f>
        <v/>
      </c>
      <c r="AI660">
        <f>IFERROR(IF(INDEX(Aux_puntos!$A$2:$OJ$901,656,MATCH($B$2&amp;"|xN",Aux_puntos!$1:$1,0))="",NA(),INDEX(Aux_puntos!$A$2:$OJ$901,656,MATCH($B$2&amp;"|xN",Aux_puntos!$1:$1,0))),NA())</f>
        <v/>
      </c>
      <c r="AJ660">
        <f>IFERROR(IF(INDEX(Aux_puntos!$A$2:$OJ$901,656,MATCH($B$2&amp;"|yN",Aux_puntos!$1:$1,0))="",NA(),INDEX(Aux_puntos!$A$2:$OJ$901,656,MATCH($B$2&amp;"|yN",Aux_puntos!$1:$1,0))),NA())</f>
        <v/>
      </c>
    </row>
    <row r="661">
      <c r="AC661">
        <f>IFERROR(IF(INDEX(Aux_puntos!$A$2:$OJ$901,657,MATCH($B$2&amp;"|xK",Aux_puntos!$1:$1,0))="",NA(),INDEX(Aux_puntos!$A$2:$OJ$901,657,MATCH($B$2&amp;"|xK",Aux_puntos!$1:$1,0))),NA())</f>
        <v/>
      </c>
      <c r="AD661">
        <f>IFERROR(IF(INDEX(Aux_puntos!$A$2:$OJ$901,657,MATCH($B$2&amp;"|yK",Aux_puntos!$1:$1,0))="",NA(),INDEX(Aux_puntos!$A$2:$OJ$901,657,MATCH($B$2&amp;"|yK",Aux_puntos!$1:$1,0))),NA())</f>
        <v/>
      </c>
      <c r="AE661">
        <f>IFERROR(IF(INDEX(Aux_puntos!$A$2:$OJ$901,657,MATCH($B$2&amp;"|xC",Aux_puntos!$1:$1,0))="",NA(),INDEX(Aux_puntos!$A$2:$OJ$901,657,MATCH($B$2&amp;"|xC",Aux_puntos!$1:$1,0))),NA())</f>
        <v/>
      </c>
      <c r="AF661">
        <f>IFERROR(IF(INDEX(Aux_puntos!$A$2:$OJ$901,657,MATCH($B$2&amp;"|yC",Aux_puntos!$1:$1,0))="",NA(),INDEX(Aux_puntos!$A$2:$OJ$901,657,MATCH($B$2&amp;"|yC",Aux_puntos!$1:$1,0))),NA())</f>
        <v/>
      </c>
      <c r="AG661">
        <f>IFERROR(IF(INDEX(Aux_puntos!$A$2:$OJ$901,657,MATCH($B$2&amp;"|xI",Aux_puntos!$1:$1,0))="",NA(),INDEX(Aux_puntos!$A$2:$OJ$901,657,MATCH($B$2&amp;"|xI",Aux_puntos!$1:$1,0))),NA())</f>
        <v/>
      </c>
      <c r="AH661">
        <f>IFERROR(IF(INDEX(Aux_puntos!$A$2:$OJ$901,657,MATCH($B$2&amp;"|yI",Aux_puntos!$1:$1,0))="",NA(),INDEX(Aux_puntos!$A$2:$OJ$901,657,MATCH($B$2&amp;"|yI",Aux_puntos!$1:$1,0))),NA())</f>
        <v/>
      </c>
      <c r="AI661">
        <f>IFERROR(IF(INDEX(Aux_puntos!$A$2:$OJ$901,657,MATCH($B$2&amp;"|xN",Aux_puntos!$1:$1,0))="",NA(),INDEX(Aux_puntos!$A$2:$OJ$901,657,MATCH($B$2&amp;"|xN",Aux_puntos!$1:$1,0))),NA())</f>
        <v/>
      </c>
      <c r="AJ661">
        <f>IFERROR(IF(INDEX(Aux_puntos!$A$2:$OJ$901,657,MATCH($B$2&amp;"|yN",Aux_puntos!$1:$1,0))="",NA(),INDEX(Aux_puntos!$A$2:$OJ$901,657,MATCH($B$2&amp;"|yN",Aux_puntos!$1:$1,0))),NA())</f>
        <v/>
      </c>
    </row>
    <row r="662">
      <c r="AC662">
        <f>IFERROR(IF(INDEX(Aux_puntos!$A$2:$OJ$901,658,MATCH($B$2&amp;"|xK",Aux_puntos!$1:$1,0))="",NA(),INDEX(Aux_puntos!$A$2:$OJ$901,658,MATCH($B$2&amp;"|xK",Aux_puntos!$1:$1,0))),NA())</f>
        <v/>
      </c>
      <c r="AD662">
        <f>IFERROR(IF(INDEX(Aux_puntos!$A$2:$OJ$901,658,MATCH($B$2&amp;"|yK",Aux_puntos!$1:$1,0))="",NA(),INDEX(Aux_puntos!$A$2:$OJ$901,658,MATCH($B$2&amp;"|yK",Aux_puntos!$1:$1,0))),NA())</f>
        <v/>
      </c>
      <c r="AE662">
        <f>IFERROR(IF(INDEX(Aux_puntos!$A$2:$OJ$901,658,MATCH($B$2&amp;"|xC",Aux_puntos!$1:$1,0))="",NA(),INDEX(Aux_puntos!$A$2:$OJ$901,658,MATCH($B$2&amp;"|xC",Aux_puntos!$1:$1,0))),NA())</f>
        <v/>
      </c>
      <c r="AF662">
        <f>IFERROR(IF(INDEX(Aux_puntos!$A$2:$OJ$901,658,MATCH($B$2&amp;"|yC",Aux_puntos!$1:$1,0))="",NA(),INDEX(Aux_puntos!$A$2:$OJ$901,658,MATCH($B$2&amp;"|yC",Aux_puntos!$1:$1,0))),NA())</f>
        <v/>
      </c>
      <c r="AG662">
        <f>IFERROR(IF(INDEX(Aux_puntos!$A$2:$OJ$901,658,MATCH($B$2&amp;"|xI",Aux_puntos!$1:$1,0))="",NA(),INDEX(Aux_puntos!$A$2:$OJ$901,658,MATCH($B$2&amp;"|xI",Aux_puntos!$1:$1,0))),NA())</f>
        <v/>
      </c>
      <c r="AH662">
        <f>IFERROR(IF(INDEX(Aux_puntos!$A$2:$OJ$901,658,MATCH($B$2&amp;"|yI",Aux_puntos!$1:$1,0))="",NA(),INDEX(Aux_puntos!$A$2:$OJ$901,658,MATCH($B$2&amp;"|yI",Aux_puntos!$1:$1,0))),NA())</f>
        <v/>
      </c>
      <c r="AI662">
        <f>IFERROR(IF(INDEX(Aux_puntos!$A$2:$OJ$901,658,MATCH($B$2&amp;"|xN",Aux_puntos!$1:$1,0))="",NA(),INDEX(Aux_puntos!$A$2:$OJ$901,658,MATCH($B$2&amp;"|xN",Aux_puntos!$1:$1,0))),NA())</f>
        <v/>
      </c>
      <c r="AJ662">
        <f>IFERROR(IF(INDEX(Aux_puntos!$A$2:$OJ$901,658,MATCH($B$2&amp;"|yN",Aux_puntos!$1:$1,0))="",NA(),INDEX(Aux_puntos!$A$2:$OJ$901,658,MATCH($B$2&amp;"|yN",Aux_puntos!$1:$1,0))),NA())</f>
        <v/>
      </c>
    </row>
    <row r="663">
      <c r="AC663">
        <f>IFERROR(IF(INDEX(Aux_puntos!$A$2:$OJ$901,659,MATCH($B$2&amp;"|xK",Aux_puntos!$1:$1,0))="",NA(),INDEX(Aux_puntos!$A$2:$OJ$901,659,MATCH($B$2&amp;"|xK",Aux_puntos!$1:$1,0))),NA())</f>
        <v/>
      </c>
      <c r="AD663">
        <f>IFERROR(IF(INDEX(Aux_puntos!$A$2:$OJ$901,659,MATCH($B$2&amp;"|yK",Aux_puntos!$1:$1,0))="",NA(),INDEX(Aux_puntos!$A$2:$OJ$901,659,MATCH($B$2&amp;"|yK",Aux_puntos!$1:$1,0))),NA())</f>
        <v/>
      </c>
      <c r="AE663">
        <f>IFERROR(IF(INDEX(Aux_puntos!$A$2:$OJ$901,659,MATCH($B$2&amp;"|xC",Aux_puntos!$1:$1,0))="",NA(),INDEX(Aux_puntos!$A$2:$OJ$901,659,MATCH($B$2&amp;"|xC",Aux_puntos!$1:$1,0))),NA())</f>
        <v/>
      </c>
      <c r="AF663">
        <f>IFERROR(IF(INDEX(Aux_puntos!$A$2:$OJ$901,659,MATCH($B$2&amp;"|yC",Aux_puntos!$1:$1,0))="",NA(),INDEX(Aux_puntos!$A$2:$OJ$901,659,MATCH($B$2&amp;"|yC",Aux_puntos!$1:$1,0))),NA())</f>
        <v/>
      </c>
      <c r="AG663">
        <f>IFERROR(IF(INDEX(Aux_puntos!$A$2:$OJ$901,659,MATCH($B$2&amp;"|xI",Aux_puntos!$1:$1,0))="",NA(),INDEX(Aux_puntos!$A$2:$OJ$901,659,MATCH($B$2&amp;"|xI",Aux_puntos!$1:$1,0))),NA())</f>
        <v/>
      </c>
      <c r="AH663">
        <f>IFERROR(IF(INDEX(Aux_puntos!$A$2:$OJ$901,659,MATCH($B$2&amp;"|yI",Aux_puntos!$1:$1,0))="",NA(),INDEX(Aux_puntos!$A$2:$OJ$901,659,MATCH($B$2&amp;"|yI",Aux_puntos!$1:$1,0))),NA())</f>
        <v/>
      </c>
      <c r="AI663">
        <f>IFERROR(IF(INDEX(Aux_puntos!$A$2:$OJ$901,659,MATCH($B$2&amp;"|xN",Aux_puntos!$1:$1,0))="",NA(),INDEX(Aux_puntos!$A$2:$OJ$901,659,MATCH($B$2&amp;"|xN",Aux_puntos!$1:$1,0))),NA())</f>
        <v/>
      </c>
      <c r="AJ663">
        <f>IFERROR(IF(INDEX(Aux_puntos!$A$2:$OJ$901,659,MATCH($B$2&amp;"|yN",Aux_puntos!$1:$1,0))="",NA(),INDEX(Aux_puntos!$A$2:$OJ$901,659,MATCH($B$2&amp;"|yN",Aux_puntos!$1:$1,0))),NA())</f>
        <v/>
      </c>
    </row>
    <row r="664">
      <c r="AC664">
        <f>IFERROR(IF(INDEX(Aux_puntos!$A$2:$OJ$901,660,MATCH($B$2&amp;"|xK",Aux_puntos!$1:$1,0))="",NA(),INDEX(Aux_puntos!$A$2:$OJ$901,660,MATCH($B$2&amp;"|xK",Aux_puntos!$1:$1,0))),NA())</f>
        <v/>
      </c>
      <c r="AD664">
        <f>IFERROR(IF(INDEX(Aux_puntos!$A$2:$OJ$901,660,MATCH($B$2&amp;"|yK",Aux_puntos!$1:$1,0))="",NA(),INDEX(Aux_puntos!$A$2:$OJ$901,660,MATCH($B$2&amp;"|yK",Aux_puntos!$1:$1,0))),NA())</f>
        <v/>
      </c>
      <c r="AE664">
        <f>IFERROR(IF(INDEX(Aux_puntos!$A$2:$OJ$901,660,MATCH($B$2&amp;"|xC",Aux_puntos!$1:$1,0))="",NA(),INDEX(Aux_puntos!$A$2:$OJ$901,660,MATCH($B$2&amp;"|xC",Aux_puntos!$1:$1,0))),NA())</f>
        <v/>
      </c>
      <c r="AF664">
        <f>IFERROR(IF(INDEX(Aux_puntos!$A$2:$OJ$901,660,MATCH($B$2&amp;"|yC",Aux_puntos!$1:$1,0))="",NA(),INDEX(Aux_puntos!$A$2:$OJ$901,660,MATCH($B$2&amp;"|yC",Aux_puntos!$1:$1,0))),NA())</f>
        <v/>
      </c>
      <c r="AG664">
        <f>IFERROR(IF(INDEX(Aux_puntos!$A$2:$OJ$901,660,MATCH($B$2&amp;"|xI",Aux_puntos!$1:$1,0))="",NA(),INDEX(Aux_puntos!$A$2:$OJ$901,660,MATCH($B$2&amp;"|xI",Aux_puntos!$1:$1,0))),NA())</f>
        <v/>
      </c>
      <c r="AH664">
        <f>IFERROR(IF(INDEX(Aux_puntos!$A$2:$OJ$901,660,MATCH($B$2&amp;"|yI",Aux_puntos!$1:$1,0))="",NA(),INDEX(Aux_puntos!$A$2:$OJ$901,660,MATCH($B$2&amp;"|yI",Aux_puntos!$1:$1,0))),NA())</f>
        <v/>
      </c>
      <c r="AI664">
        <f>IFERROR(IF(INDEX(Aux_puntos!$A$2:$OJ$901,660,MATCH($B$2&amp;"|xN",Aux_puntos!$1:$1,0))="",NA(),INDEX(Aux_puntos!$A$2:$OJ$901,660,MATCH($B$2&amp;"|xN",Aux_puntos!$1:$1,0))),NA())</f>
        <v/>
      </c>
      <c r="AJ664">
        <f>IFERROR(IF(INDEX(Aux_puntos!$A$2:$OJ$901,660,MATCH($B$2&amp;"|yN",Aux_puntos!$1:$1,0))="",NA(),INDEX(Aux_puntos!$A$2:$OJ$901,660,MATCH($B$2&amp;"|yN",Aux_puntos!$1:$1,0))),NA())</f>
        <v/>
      </c>
    </row>
    <row r="665">
      <c r="AC665">
        <f>IFERROR(IF(INDEX(Aux_puntos!$A$2:$OJ$901,661,MATCH($B$2&amp;"|xK",Aux_puntos!$1:$1,0))="",NA(),INDEX(Aux_puntos!$A$2:$OJ$901,661,MATCH($B$2&amp;"|xK",Aux_puntos!$1:$1,0))),NA())</f>
        <v/>
      </c>
      <c r="AD665">
        <f>IFERROR(IF(INDEX(Aux_puntos!$A$2:$OJ$901,661,MATCH($B$2&amp;"|yK",Aux_puntos!$1:$1,0))="",NA(),INDEX(Aux_puntos!$A$2:$OJ$901,661,MATCH($B$2&amp;"|yK",Aux_puntos!$1:$1,0))),NA())</f>
        <v/>
      </c>
      <c r="AE665">
        <f>IFERROR(IF(INDEX(Aux_puntos!$A$2:$OJ$901,661,MATCH($B$2&amp;"|xC",Aux_puntos!$1:$1,0))="",NA(),INDEX(Aux_puntos!$A$2:$OJ$901,661,MATCH($B$2&amp;"|xC",Aux_puntos!$1:$1,0))),NA())</f>
        <v/>
      </c>
      <c r="AF665">
        <f>IFERROR(IF(INDEX(Aux_puntos!$A$2:$OJ$901,661,MATCH($B$2&amp;"|yC",Aux_puntos!$1:$1,0))="",NA(),INDEX(Aux_puntos!$A$2:$OJ$901,661,MATCH($B$2&amp;"|yC",Aux_puntos!$1:$1,0))),NA())</f>
        <v/>
      </c>
      <c r="AG665">
        <f>IFERROR(IF(INDEX(Aux_puntos!$A$2:$OJ$901,661,MATCH($B$2&amp;"|xI",Aux_puntos!$1:$1,0))="",NA(),INDEX(Aux_puntos!$A$2:$OJ$901,661,MATCH($B$2&amp;"|xI",Aux_puntos!$1:$1,0))),NA())</f>
        <v/>
      </c>
      <c r="AH665">
        <f>IFERROR(IF(INDEX(Aux_puntos!$A$2:$OJ$901,661,MATCH($B$2&amp;"|yI",Aux_puntos!$1:$1,0))="",NA(),INDEX(Aux_puntos!$A$2:$OJ$901,661,MATCH($B$2&amp;"|yI",Aux_puntos!$1:$1,0))),NA())</f>
        <v/>
      </c>
      <c r="AI665">
        <f>IFERROR(IF(INDEX(Aux_puntos!$A$2:$OJ$901,661,MATCH($B$2&amp;"|xN",Aux_puntos!$1:$1,0))="",NA(),INDEX(Aux_puntos!$A$2:$OJ$901,661,MATCH($B$2&amp;"|xN",Aux_puntos!$1:$1,0))),NA())</f>
        <v/>
      </c>
      <c r="AJ665">
        <f>IFERROR(IF(INDEX(Aux_puntos!$A$2:$OJ$901,661,MATCH($B$2&amp;"|yN",Aux_puntos!$1:$1,0))="",NA(),INDEX(Aux_puntos!$A$2:$OJ$901,661,MATCH($B$2&amp;"|yN",Aux_puntos!$1:$1,0))),NA())</f>
        <v/>
      </c>
    </row>
    <row r="666">
      <c r="AC666">
        <f>IFERROR(IF(INDEX(Aux_puntos!$A$2:$OJ$901,662,MATCH($B$2&amp;"|xK",Aux_puntos!$1:$1,0))="",NA(),INDEX(Aux_puntos!$A$2:$OJ$901,662,MATCH($B$2&amp;"|xK",Aux_puntos!$1:$1,0))),NA())</f>
        <v/>
      </c>
      <c r="AD666">
        <f>IFERROR(IF(INDEX(Aux_puntos!$A$2:$OJ$901,662,MATCH($B$2&amp;"|yK",Aux_puntos!$1:$1,0))="",NA(),INDEX(Aux_puntos!$A$2:$OJ$901,662,MATCH($B$2&amp;"|yK",Aux_puntos!$1:$1,0))),NA())</f>
        <v/>
      </c>
      <c r="AE666">
        <f>IFERROR(IF(INDEX(Aux_puntos!$A$2:$OJ$901,662,MATCH($B$2&amp;"|xC",Aux_puntos!$1:$1,0))="",NA(),INDEX(Aux_puntos!$A$2:$OJ$901,662,MATCH($B$2&amp;"|xC",Aux_puntos!$1:$1,0))),NA())</f>
        <v/>
      </c>
      <c r="AF666">
        <f>IFERROR(IF(INDEX(Aux_puntos!$A$2:$OJ$901,662,MATCH($B$2&amp;"|yC",Aux_puntos!$1:$1,0))="",NA(),INDEX(Aux_puntos!$A$2:$OJ$901,662,MATCH($B$2&amp;"|yC",Aux_puntos!$1:$1,0))),NA())</f>
        <v/>
      </c>
      <c r="AG666">
        <f>IFERROR(IF(INDEX(Aux_puntos!$A$2:$OJ$901,662,MATCH($B$2&amp;"|xI",Aux_puntos!$1:$1,0))="",NA(),INDEX(Aux_puntos!$A$2:$OJ$901,662,MATCH($B$2&amp;"|xI",Aux_puntos!$1:$1,0))),NA())</f>
        <v/>
      </c>
      <c r="AH666">
        <f>IFERROR(IF(INDEX(Aux_puntos!$A$2:$OJ$901,662,MATCH($B$2&amp;"|yI",Aux_puntos!$1:$1,0))="",NA(),INDEX(Aux_puntos!$A$2:$OJ$901,662,MATCH($B$2&amp;"|yI",Aux_puntos!$1:$1,0))),NA())</f>
        <v/>
      </c>
      <c r="AI666">
        <f>IFERROR(IF(INDEX(Aux_puntos!$A$2:$OJ$901,662,MATCH($B$2&amp;"|xN",Aux_puntos!$1:$1,0))="",NA(),INDEX(Aux_puntos!$A$2:$OJ$901,662,MATCH($B$2&amp;"|xN",Aux_puntos!$1:$1,0))),NA())</f>
        <v/>
      </c>
      <c r="AJ666">
        <f>IFERROR(IF(INDEX(Aux_puntos!$A$2:$OJ$901,662,MATCH($B$2&amp;"|yN",Aux_puntos!$1:$1,0))="",NA(),INDEX(Aux_puntos!$A$2:$OJ$901,662,MATCH($B$2&amp;"|yN",Aux_puntos!$1:$1,0))),NA())</f>
        <v/>
      </c>
    </row>
    <row r="667">
      <c r="AC667">
        <f>IFERROR(IF(INDEX(Aux_puntos!$A$2:$OJ$901,663,MATCH($B$2&amp;"|xK",Aux_puntos!$1:$1,0))="",NA(),INDEX(Aux_puntos!$A$2:$OJ$901,663,MATCH($B$2&amp;"|xK",Aux_puntos!$1:$1,0))),NA())</f>
        <v/>
      </c>
      <c r="AD667">
        <f>IFERROR(IF(INDEX(Aux_puntos!$A$2:$OJ$901,663,MATCH($B$2&amp;"|yK",Aux_puntos!$1:$1,0))="",NA(),INDEX(Aux_puntos!$A$2:$OJ$901,663,MATCH($B$2&amp;"|yK",Aux_puntos!$1:$1,0))),NA())</f>
        <v/>
      </c>
      <c r="AE667">
        <f>IFERROR(IF(INDEX(Aux_puntos!$A$2:$OJ$901,663,MATCH($B$2&amp;"|xC",Aux_puntos!$1:$1,0))="",NA(),INDEX(Aux_puntos!$A$2:$OJ$901,663,MATCH($B$2&amp;"|xC",Aux_puntos!$1:$1,0))),NA())</f>
        <v/>
      </c>
      <c r="AF667">
        <f>IFERROR(IF(INDEX(Aux_puntos!$A$2:$OJ$901,663,MATCH($B$2&amp;"|yC",Aux_puntos!$1:$1,0))="",NA(),INDEX(Aux_puntos!$A$2:$OJ$901,663,MATCH($B$2&amp;"|yC",Aux_puntos!$1:$1,0))),NA())</f>
        <v/>
      </c>
      <c r="AG667">
        <f>IFERROR(IF(INDEX(Aux_puntos!$A$2:$OJ$901,663,MATCH($B$2&amp;"|xI",Aux_puntos!$1:$1,0))="",NA(),INDEX(Aux_puntos!$A$2:$OJ$901,663,MATCH($B$2&amp;"|xI",Aux_puntos!$1:$1,0))),NA())</f>
        <v/>
      </c>
      <c r="AH667">
        <f>IFERROR(IF(INDEX(Aux_puntos!$A$2:$OJ$901,663,MATCH($B$2&amp;"|yI",Aux_puntos!$1:$1,0))="",NA(),INDEX(Aux_puntos!$A$2:$OJ$901,663,MATCH($B$2&amp;"|yI",Aux_puntos!$1:$1,0))),NA())</f>
        <v/>
      </c>
      <c r="AI667">
        <f>IFERROR(IF(INDEX(Aux_puntos!$A$2:$OJ$901,663,MATCH($B$2&amp;"|xN",Aux_puntos!$1:$1,0))="",NA(),INDEX(Aux_puntos!$A$2:$OJ$901,663,MATCH($B$2&amp;"|xN",Aux_puntos!$1:$1,0))),NA())</f>
        <v/>
      </c>
      <c r="AJ667">
        <f>IFERROR(IF(INDEX(Aux_puntos!$A$2:$OJ$901,663,MATCH($B$2&amp;"|yN",Aux_puntos!$1:$1,0))="",NA(),INDEX(Aux_puntos!$A$2:$OJ$901,663,MATCH($B$2&amp;"|yN",Aux_puntos!$1:$1,0))),NA())</f>
        <v/>
      </c>
    </row>
    <row r="668">
      <c r="AC668">
        <f>IFERROR(IF(INDEX(Aux_puntos!$A$2:$OJ$901,664,MATCH($B$2&amp;"|xK",Aux_puntos!$1:$1,0))="",NA(),INDEX(Aux_puntos!$A$2:$OJ$901,664,MATCH($B$2&amp;"|xK",Aux_puntos!$1:$1,0))),NA())</f>
        <v/>
      </c>
      <c r="AD668">
        <f>IFERROR(IF(INDEX(Aux_puntos!$A$2:$OJ$901,664,MATCH($B$2&amp;"|yK",Aux_puntos!$1:$1,0))="",NA(),INDEX(Aux_puntos!$A$2:$OJ$901,664,MATCH($B$2&amp;"|yK",Aux_puntos!$1:$1,0))),NA())</f>
        <v/>
      </c>
      <c r="AE668">
        <f>IFERROR(IF(INDEX(Aux_puntos!$A$2:$OJ$901,664,MATCH($B$2&amp;"|xC",Aux_puntos!$1:$1,0))="",NA(),INDEX(Aux_puntos!$A$2:$OJ$901,664,MATCH($B$2&amp;"|xC",Aux_puntos!$1:$1,0))),NA())</f>
        <v/>
      </c>
      <c r="AF668">
        <f>IFERROR(IF(INDEX(Aux_puntos!$A$2:$OJ$901,664,MATCH($B$2&amp;"|yC",Aux_puntos!$1:$1,0))="",NA(),INDEX(Aux_puntos!$A$2:$OJ$901,664,MATCH($B$2&amp;"|yC",Aux_puntos!$1:$1,0))),NA())</f>
        <v/>
      </c>
      <c r="AG668">
        <f>IFERROR(IF(INDEX(Aux_puntos!$A$2:$OJ$901,664,MATCH($B$2&amp;"|xI",Aux_puntos!$1:$1,0))="",NA(),INDEX(Aux_puntos!$A$2:$OJ$901,664,MATCH($B$2&amp;"|xI",Aux_puntos!$1:$1,0))),NA())</f>
        <v/>
      </c>
      <c r="AH668">
        <f>IFERROR(IF(INDEX(Aux_puntos!$A$2:$OJ$901,664,MATCH($B$2&amp;"|yI",Aux_puntos!$1:$1,0))="",NA(),INDEX(Aux_puntos!$A$2:$OJ$901,664,MATCH($B$2&amp;"|yI",Aux_puntos!$1:$1,0))),NA())</f>
        <v/>
      </c>
      <c r="AI668">
        <f>IFERROR(IF(INDEX(Aux_puntos!$A$2:$OJ$901,664,MATCH($B$2&amp;"|xN",Aux_puntos!$1:$1,0))="",NA(),INDEX(Aux_puntos!$A$2:$OJ$901,664,MATCH($B$2&amp;"|xN",Aux_puntos!$1:$1,0))),NA())</f>
        <v/>
      </c>
      <c r="AJ668">
        <f>IFERROR(IF(INDEX(Aux_puntos!$A$2:$OJ$901,664,MATCH($B$2&amp;"|yN",Aux_puntos!$1:$1,0))="",NA(),INDEX(Aux_puntos!$A$2:$OJ$901,664,MATCH($B$2&amp;"|yN",Aux_puntos!$1:$1,0))),NA())</f>
        <v/>
      </c>
    </row>
    <row r="669">
      <c r="AC669">
        <f>IFERROR(IF(INDEX(Aux_puntos!$A$2:$OJ$901,665,MATCH($B$2&amp;"|xK",Aux_puntos!$1:$1,0))="",NA(),INDEX(Aux_puntos!$A$2:$OJ$901,665,MATCH($B$2&amp;"|xK",Aux_puntos!$1:$1,0))),NA())</f>
        <v/>
      </c>
      <c r="AD669">
        <f>IFERROR(IF(INDEX(Aux_puntos!$A$2:$OJ$901,665,MATCH($B$2&amp;"|yK",Aux_puntos!$1:$1,0))="",NA(),INDEX(Aux_puntos!$A$2:$OJ$901,665,MATCH($B$2&amp;"|yK",Aux_puntos!$1:$1,0))),NA())</f>
        <v/>
      </c>
      <c r="AE669">
        <f>IFERROR(IF(INDEX(Aux_puntos!$A$2:$OJ$901,665,MATCH($B$2&amp;"|xC",Aux_puntos!$1:$1,0))="",NA(),INDEX(Aux_puntos!$A$2:$OJ$901,665,MATCH($B$2&amp;"|xC",Aux_puntos!$1:$1,0))),NA())</f>
        <v/>
      </c>
      <c r="AF669">
        <f>IFERROR(IF(INDEX(Aux_puntos!$A$2:$OJ$901,665,MATCH($B$2&amp;"|yC",Aux_puntos!$1:$1,0))="",NA(),INDEX(Aux_puntos!$A$2:$OJ$901,665,MATCH($B$2&amp;"|yC",Aux_puntos!$1:$1,0))),NA())</f>
        <v/>
      </c>
      <c r="AG669">
        <f>IFERROR(IF(INDEX(Aux_puntos!$A$2:$OJ$901,665,MATCH($B$2&amp;"|xI",Aux_puntos!$1:$1,0))="",NA(),INDEX(Aux_puntos!$A$2:$OJ$901,665,MATCH($B$2&amp;"|xI",Aux_puntos!$1:$1,0))),NA())</f>
        <v/>
      </c>
      <c r="AH669">
        <f>IFERROR(IF(INDEX(Aux_puntos!$A$2:$OJ$901,665,MATCH($B$2&amp;"|yI",Aux_puntos!$1:$1,0))="",NA(),INDEX(Aux_puntos!$A$2:$OJ$901,665,MATCH($B$2&amp;"|yI",Aux_puntos!$1:$1,0))),NA())</f>
        <v/>
      </c>
      <c r="AI669">
        <f>IFERROR(IF(INDEX(Aux_puntos!$A$2:$OJ$901,665,MATCH($B$2&amp;"|xN",Aux_puntos!$1:$1,0))="",NA(),INDEX(Aux_puntos!$A$2:$OJ$901,665,MATCH($B$2&amp;"|xN",Aux_puntos!$1:$1,0))),NA())</f>
        <v/>
      </c>
      <c r="AJ669">
        <f>IFERROR(IF(INDEX(Aux_puntos!$A$2:$OJ$901,665,MATCH($B$2&amp;"|yN",Aux_puntos!$1:$1,0))="",NA(),INDEX(Aux_puntos!$A$2:$OJ$901,665,MATCH($B$2&amp;"|yN",Aux_puntos!$1:$1,0))),NA())</f>
        <v/>
      </c>
    </row>
    <row r="670">
      <c r="AC670">
        <f>IFERROR(IF(INDEX(Aux_puntos!$A$2:$OJ$901,666,MATCH($B$2&amp;"|xK",Aux_puntos!$1:$1,0))="",NA(),INDEX(Aux_puntos!$A$2:$OJ$901,666,MATCH($B$2&amp;"|xK",Aux_puntos!$1:$1,0))),NA())</f>
        <v/>
      </c>
      <c r="AD670">
        <f>IFERROR(IF(INDEX(Aux_puntos!$A$2:$OJ$901,666,MATCH($B$2&amp;"|yK",Aux_puntos!$1:$1,0))="",NA(),INDEX(Aux_puntos!$A$2:$OJ$901,666,MATCH($B$2&amp;"|yK",Aux_puntos!$1:$1,0))),NA())</f>
        <v/>
      </c>
      <c r="AE670">
        <f>IFERROR(IF(INDEX(Aux_puntos!$A$2:$OJ$901,666,MATCH($B$2&amp;"|xC",Aux_puntos!$1:$1,0))="",NA(),INDEX(Aux_puntos!$A$2:$OJ$901,666,MATCH($B$2&amp;"|xC",Aux_puntos!$1:$1,0))),NA())</f>
        <v/>
      </c>
      <c r="AF670">
        <f>IFERROR(IF(INDEX(Aux_puntos!$A$2:$OJ$901,666,MATCH($B$2&amp;"|yC",Aux_puntos!$1:$1,0))="",NA(),INDEX(Aux_puntos!$A$2:$OJ$901,666,MATCH($B$2&amp;"|yC",Aux_puntos!$1:$1,0))),NA())</f>
        <v/>
      </c>
      <c r="AG670">
        <f>IFERROR(IF(INDEX(Aux_puntos!$A$2:$OJ$901,666,MATCH($B$2&amp;"|xI",Aux_puntos!$1:$1,0))="",NA(),INDEX(Aux_puntos!$A$2:$OJ$901,666,MATCH($B$2&amp;"|xI",Aux_puntos!$1:$1,0))),NA())</f>
        <v/>
      </c>
      <c r="AH670">
        <f>IFERROR(IF(INDEX(Aux_puntos!$A$2:$OJ$901,666,MATCH($B$2&amp;"|yI",Aux_puntos!$1:$1,0))="",NA(),INDEX(Aux_puntos!$A$2:$OJ$901,666,MATCH($B$2&amp;"|yI",Aux_puntos!$1:$1,0))),NA())</f>
        <v/>
      </c>
      <c r="AI670">
        <f>IFERROR(IF(INDEX(Aux_puntos!$A$2:$OJ$901,666,MATCH($B$2&amp;"|xN",Aux_puntos!$1:$1,0))="",NA(),INDEX(Aux_puntos!$A$2:$OJ$901,666,MATCH($B$2&amp;"|xN",Aux_puntos!$1:$1,0))),NA())</f>
        <v/>
      </c>
      <c r="AJ670">
        <f>IFERROR(IF(INDEX(Aux_puntos!$A$2:$OJ$901,666,MATCH($B$2&amp;"|yN",Aux_puntos!$1:$1,0))="",NA(),INDEX(Aux_puntos!$A$2:$OJ$901,666,MATCH($B$2&amp;"|yN",Aux_puntos!$1:$1,0))),NA())</f>
        <v/>
      </c>
    </row>
    <row r="671">
      <c r="AC671">
        <f>IFERROR(IF(INDEX(Aux_puntos!$A$2:$OJ$901,667,MATCH($B$2&amp;"|xK",Aux_puntos!$1:$1,0))="",NA(),INDEX(Aux_puntos!$A$2:$OJ$901,667,MATCH($B$2&amp;"|xK",Aux_puntos!$1:$1,0))),NA())</f>
        <v/>
      </c>
      <c r="AD671">
        <f>IFERROR(IF(INDEX(Aux_puntos!$A$2:$OJ$901,667,MATCH($B$2&amp;"|yK",Aux_puntos!$1:$1,0))="",NA(),INDEX(Aux_puntos!$A$2:$OJ$901,667,MATCH($B$2&amp;"|yK",Aux_puntos!$1:$1,0))),NA())</f>
        <v/>
      </c>
      <c r="AE671">
        <f>IFERROR(IF(INDEX(Aux_puntos!$A$2:$OJ$901,667,MATCH($B$2&amp;"|xC",Aux_puntos!$1:$1,0))="",NA(),INDEX(Aux_puntos!$A$2:$OJ$901,667,MATCH($B$2&amp;"|xC",Aux_puntos!$1:$1,0))),NA())</f>
        <v/>
      </c>
      <c r="AF671">
        <f>IFERROR(IF(INDEX(Aux_puntos!$A$2:$OJ$901,667,MATCH($B$2&amp;"|yC",Aux_puntos!$1:$1,0))="",NA(),INDEX(Aux_puntos!$A$2:$OJ$901,667,MATCH($B$2&amp;"|yC",Aux_puntos!$1:$1,0))),NA())</f>
        <v/>
      </c>
      <c r="AG671">
        <f>IFERROR(IF(INDEX(Aux_puntos!$A$2:$OJ$901,667,MATCH($B$2&amp;"|xI",Aux_puntos!$1:$1,0))="",NA(),INDEX(Aux_puntos!$A$2:$OJ$901,667,MATCH($B$2&amp;"|xI",Aux_puntos!$1:$1,0))),NA())</f>
        <v/>
      </c>
      <c r="AH671">
        <f>IFERROR(IF(INDEX(Aux_puntos!$A$2:$OJ$901,667,MATCH($B$2&amp;"|yI",Aux_puntos!$1:$1,0))="",NA(),INDEX(Aux_puntos!$A$2:$OJ$901,667,MATCH($B$2&amp;"|yI",Aux_puntos!$1:$1,0))),NA())</f>
        <v/>
      </c>
      <c r="AI671">
        <f>IFERROR(IF(INDEX(Aux_puntos!$A$2:$OJ$901,667,MATCH($B$2&amp;"|xN",Aux_puntos!$1:$1,0))="",NA(),INDEX(Aux_puntos!$A$2:$OJ$901,667,MATCH($B$2&amp;"|xN",Aux_puntos!$1:$1,0))),NA())</f>
        <v/>
      </c>
      <c r="AJ671">
        <f>IFERROR(IF(INDEX(Aux_puntos!$A$2:$OJ$901,667,MATCH($B$2&amp;"|yN",Aux_puntos!$1:$1,0))="",NA(),INDEX(Aux_puntos!$A$2:$OJ$901,667,MATCH($B$2&amp;"|yN",Aux_puntos!$1:$1,0))),NA())</f>
        <v/>
      </c>
    </row>
    <row r="672">
      <c r="AC672">
        <f>IFERROR(IF(INDEX(Aux_puntos!$A$2:$OJ$901,668,MATCH($B$2&amp;"|xK",Aux_puntos!$1:$1,0))="",NA(),INDEX(Aux_puntos!$A$2:$OJ$901,668,MATCH($B$2&amp;"|xK",Aux_puntos!$1:$1,0))),NA())</f>
        <v/>
      </c>
      <c r="AD672">
        <f>IFERROR(IF(INDEX(Aux_puntos!$A$2:$OJ$901,668,MATCH($B$2&amp;"|yK",Aux_puntos!$1:$1,0))="",NA(),INDEX(Aux_puntos!$A$2:$OJ$901,668,MATCH($B$2&amp;"|yK",Aux_puntos!$1:$1,0))),NA())</f>
        <v/>
      </c>
      <c r="AE672">
        <f>IFERROR(IF(INDEX(Aux_puntos!$A$2:$OJ$901,668,MATCH($B$2&amp;"|xC",Aux_puntos!$1:$1,0))="",NA(),INDEX(Aux_puntos!$A$2:$OJ$901,668,MATCH($B$2&amp;"|xC",Aux_puntos!$1:$1,0))),NA())</f>
        <v/>
      </c>
      <c r="AF672">
        <f>IFERROR(IF(INDEX(Aux_puntos!$A$2:$OJ$901,668,MATCH($B$2&amp;"|yC",Aux_puntos!$1:$1,0))="",NA(),INDEX(Aux_puntos!$A$2:$OJ$901,668,MATCH($B$2&amp;"|yC",Aux_puntos!$1:$1,0))),NA())</f>
        <v/>
      </c>
      <c r="AG672">
        <f>IFERROR(IF(INDEX(Aux_puntos!$A$2:$OJ$901,668,MATCH($B$2&amp;"|xI",Aux_puntos!$1:$1,0))="",NA(),INDEX(Aux_puntos!$A$2:$OJ$901,668,MATCH($B$2&amp;"|xI",Aux_puntos!$1:$1,0))),NA())</f>
        <v/>
      </c>
      <c r="AH672">
        <f>IFERROR(IF(INDEX(Aux_puntos!$A$2:$OJ$901,668,MATCH($B$2&amp;"|yI",Aux_puntos!$1:$1,0))="",NA(),INDEX(Aux_puntos!$A$2:$OJ$901,668,MATCH($B$2&amp;"|yI",Aux_puntos!$1:$1,0))),NA())</f>
        <v/>
      </c>
      <c r="AI672">
        <f>IFERROR(IF(INDEX(Aux_puntos!$A$2:$OJ$901,668,MATCH($B$2&amp;"|xN",Aux_puntos!$1:$1,0))="",NA(),INDEX(Aux_puntos!$A$2:$OJ$901,668,MATCH($B$2&amp;"|xN",Aux_puntos!$1:$1,0))),NA())</f>
        <v/>
      </c>
      <c r="AJ672">
        <f>IFERROR(IF(INDEX(Aux_puntos!$A$2:$OJ$901,668,MATCH($B$2&amp;"|yN",Aux_puntos!$1:$1,0))="",NA(),INDEX(Aux_puntos!$A$2:$OJ$901,668,MATCH($B$2&amp;"|yN",Aux_puntos!$1:$1,0))),NA())</f>
        <v/>
      </c>
    </row>
    <row r="673">
      <c r="AC673">
        <f>IFERROR(IF(INDEX(Aux_puntos!$A$2:$OJ$901,669,MATCH($B$2&amp;"|xK",Aux_puntos!$1:$1,0))="",NA(),INDEX(Aux_puntos!$A$2:$OJ$901,669,MATCH($B$2&amp;"|xK",Aux_puntos!$1:$1,0))),NA())</f>
        <v/>
      </c>
      <c r="AD673">
        <f>IFERROR(IF(INDEX(Aux_puntos!$A$2:$OJ$901,669,MATCH($B$2&amp;"|yK",Aux_puntos!$1:$1,0))="",NA(),INDEX(Aux_puntos!$A$2:$OJ$901,669,MATCH($B$2&amp;"|yK",Aux_puntos!$1:$1,0))),NA())</f>
        <v/>
      </c>
      <c r="AE673">
        <f>IFERROR(IF(INDEX(Aux_puntos!$A$2:$OJ$901,669,MATCH($B$2&amp;"|xC",Aux_puntos!$1:$1,0))="",NA(),INDEX(Aux_puntos!$A$2:$OJ$901,669,MATCH($B$2&amp;"|xC",Aux_puntos!$1:$1,0))),NA())</f>
        <v/>
      </c>
      <c r="AF673">
        <f>IFERROR(IF(INDEX(Aux_puntos!$A$2:$OJ$901,669,MATCH($B$2&amp;"|yC",Aux_puntos!$1:$1,0))="",NA(),INDEX(Aux_puntos!$A$2:$OJ$901,669,MATCH($B$2&amp;"|yC",Aux_puntos!$1:$1,0))),NA())</f>
        <v/>
      </c>
      <c r="AG673">
        <f>IFERROR(IF(INDEX(Aux_puntos!$A$2:$OJ$901,669,MATCH($B$2&amp;"|xI",Aux_puntos!$1:$1,0))="",NA(),INDEX(Aux_puntos!$A$2:$OJ$901,669,MATCH($B$2&amp;"|xI",Aux_puntos!$1:$1,0))),NA())</f>
        <v/>
      </c>
      <c r="AH673">
        <f>IFERROR(IF(INDEX(Aux_puntos!$A$2:$OJ$901,669,MATCH($B$2&amp;"|yI",Aux_puntos!$1:$1,0))="",NA(),INDEX(Aux_puntos!$A$2:$OJ$901,669,MATCH($B$2&amp;"|yI",Aux_puntos!$1:$1,0))),NA())</f>
        <v/>
      </c>
      <c r="AI673">
        <f>IFERROR(IF(INDEX(Aux_puntos!$A$2:$OJ$901,669,MATCH($B$2&amp;"|xN",Aux_puntos!$1:$1,0))="",NA(),INDEX(Aux_puntos!$A$2:$OJ$901,669,MATCH($B$2&amp;"|xN",Aux_puntos!$1:$1,0))),NA())</f>
        <v/>
      </c>
      <c r="AJ673">
        <f>IFERROR(IF(INDEX(Aux_puntos!$A$2:$OJ$901,669,MATCH($B$2&amp;"|yN",Aux_puntos!$1:$1,0))="",NA(),INDEX(Aux_puntos!$A$2:$OJ$901,669,MATCH($B$2&amp;"|yN",Aux_puntos!$1:$1,0))),NA())</f>
        <v/>
      </c>
    </row>
    <row r="674">
      <c r="AC674">
        <f>IFERROR(IF(INDEX(Aux_puntos!$A$2:$OJ$901,670,MATCH($B$2&amp;"|xK",Aux_puntos!$1:$1,0))="",NA(),INDEX(Aux_puntos!$A$2:$OJ$901,670,MATCH($B$2&amp;"|xK",Aux_puntos!$1:$1,0))),NA())</f>
        <v/>
      </c>
      <c r="AD674">
        <f>IFERROR(IF(INDEX(Aux_puntos!$A$2:$OJ$901,670,MATCH($B$2&amp;"|yK",Aux_puntos!$1:$1,0))="",NA(),INDEX(Aux_puntos!$A$2:$OJ$901,670,MATCH($B$2&amp;"|yK",Aux_puntos!$1:$1,0))),NA())</f>
        <v/>
      </c>
      <c r="AE674">
        <f>IFERROR(IF(INDEX(Aux_puntos!$A$2:$OJ$901,670,MATCH($B$2&amp;"|xC",Aux_puntos!$1:$1,0))="",NA(),INDEX(Aux_puntos!$A$2:$OJ$901,670,MATCH($B$2&amp;"|xC",Aux_puntos!$1:$1,0))),NA())</f>
        <v/>
      </c>
      <c r="AF674">
        <f>IFERROR(IF(INDEX(Aux_puntos!$A$2:$OJ$901,670,MATCH($B$2&amp;"|yC",Aux_puntos!$1:$1,0))="",NA(),INDEX(Aux_puntos!$A$2:$OJ$901,670,MATCH($B$2&amp;"|yC",Aux_puntos!$1:$1,0))),NA())</f>
        <v/>
      </c>
      <c r="AG674">
        <f>IFERROR(IF(INDEX(Aux_puntos!$A$2:$OJ$901,670,MATCH($B$2&amp;"|xI",Aux_puntos!$1:$1,0))="",NA(),INDEX(Aux_puntos!$A$2:$OJ$901,670,MATCH($B$2&amp;"|xI",Aux_puntos!$1:$1,0))),NA())</f>
        <v/>
      </c>
      <c r="AH674">
        <f>IFERROR(IF(INDEX(Aux_puntos!$A$2:$OJ$901,670,MATCH($B$2&amp;"|yI",Aux_puntos!$1:$1,0))="",NA(),INDEX(Aux_puntos!$A$2:$OJ$901,670,MATCH($B$2&amp;"|yI",Aux_puntos!$1:$1,0))),NA())</f>
        <v/>
      </c>
      <c r="AI674">
        <f>IFERROR(IF(INDEX(Aux_puntos!$A$2:$OJ$901,670,MATCH($B$2&amp;"|xN",Aux_puntos!$1:$1,0))="",NA(),INDEX(Aux_puntos!$A$2:$OJ$901,670,MATCH($B$2&amp;"|xN",Aux_puntos!$1:$1,0))),NA())</f>
        <v/>
      </c>
      <c r="AJ674">
        <f>IFERROR(IF(INDEX(Aux_puntos!$A$2:$OJ$901,670,MATCH($B$2&amp;"|yN",Aux_puntos!$1:$1,0))="",NA(),INDEX(Aux_puntos!$A$2:$OJ$901,670,MATCH($B$2&amp;"|yN",Aux_puntos!$1:$1,0))),NA())</f>
        <v/>
      </c>
    </row>
    <row r="675">
      <c r="AC675">
        <f>IFERROR(IF(INDEX(Aux_puntos!$A$2:$OJ$901,671,MATCH($B$2&amp;"|xK",Aux_puntos!$1:$1,0))="",NA(),INDEX(Aux_puntos!$A$2:$OJ$901,671,MATCH($B$2&amp;"|xK",Aux_puntos!$1:$1,0))),NA())</f>
        <v/>
      </c>
      <c r="AD675">
        <f>IFERROR(IF(INDEX(Aux_puntos!$A$2:$OJ$901,671,MATCH($B$2&amp;"|yK",Aux_puntos!$1:$1,0))="",NA(),INDEX(Aux_puntos!$A$2:$OJ$901,671,MATCH($B$2&amp;"|yK",Aux_puntos!$1:$1,0))),NA())</f>
        <v/>
      </c>
      <c r="AE675">
        <f>IFERROR(IF(INDEX(Aux_puntos!$A$2:$OJ$901,671,MATCH($B$2&amp;"|xC",Aux_puntos!$1:$1,0))="",NA(),INDEX(Aux_puntos!$A$2:$OJ$901,671,MATCH($B$2&amp;"|xC",Aux_puntos!$1:$1,0))),NA())</f>
        <v/>
      </c>
      <c r="AF675">
        <f>IFERROR(IF(INDEX(Aux_puntos!$A$2:$OJ$901,671,MATCH($B$2&amp;"|yC",Aux_puntos!$1:$1,0))="",NA(),INDEX(Aux_puntos!$A$2:$OJ$901,671,MATCH($B$2&amp;"|yC",Aux_puntos!$1:$1,0))),NA())</f>
        <v/>
      </c>
      <c r="AG675">
        <f>IFERROR(IF(INDEX(Aux_puntos!$A$2:$OJ$901,671,MATCH($B$2&amp;"|xI",Aux_puntos!$1:$1,0))="",NA(),INDEX(Aux_puntos!$A$2:$OJ$901,671,MATCH($B$2&amp;"|xI",Aux_puntos!$1:$1,0))),NA())</f>
        <v/>
      </c>
      <c r="AH675">
        <f>IFERROR(IF(INDEX(Aux_puntos!$A$2:$OJ$901,671,MATCH($B$2&amp;"|yI",Aux_puntos!$1:$1,0))="",NA(),INDEX(Aux_puntos!$A$2:$OJ$901,671,MATCH($B$2&amp;"|yI",Aux_puntos!$1:$1,0))),NA())</f>
        <v/>
      </c>
      <c r="AI675">
        <f>IFERROR(IF(INDEX(Aux_puntos!$A$2:$OJ$901,671,MATCH($B$2&amp;"|xN",Aux_puntos!$1:$1,0))="",NA(),INDEX(Aux_puntos!$A$2:$OJ$901,671,MATCH($B$2&amp;"|xN",Aux_puntos!$1:$1,0))),NA())</f>
        <v/>
      </c>
      <c r="AJ675">
        <f>IFERROR(IF(INDEX(Aux_puntos!$A$2:$OJ$901,671,MATCH($B$2&amp;"|yN",Aux_puntos!$1:$1,0))="",NA(),INDEX(Aux_puntos!$A$2:$OJ$901,671,MATCH($B$2&amp;"|yN",Aux_puntos!$1:$1,0))),NA())</f>
        <v/>
      </c>
    </row>
    <row r="676">
      <c r="AC676">
        <f>IFERROR(IF(INDEX(Aux_puntos!$A$2:$OJ$901,672,MATCH($B$2&amp;"|xK",Aux_puntos!$1:$1,0))="",NA(),INDEX(Aux_puntos!$A$2:$OJ$901,672,MATCH($B$2&amp;"|xK",Aux_puntos!$1:$1,0))),NA())</f>
        <v/>
      </c>
      <c r="AD676">
        <f>IFERROR(IF(INDEX(Aux_puntos!$A$2:$OJ$901,672,MATCH($B$2&amp;"|yK",Aux_puntos!$1:$1,0))="",NA(),INDEX(Aux_puntos!$A$2:$OJ$901,672,MATCH($B$2&amp;"|yK",Aux_puntos!$1:$1,0))),NA())</f>
        <v/>
      </c>
      <c r="AE676">
        <f>IFERROR(IF(INDEX(Aux_puntos!$A$2:$OJ$901,672,MATCH($B$2&amp;"|xC",Aux_puntos!$1:$1,0))="",NA(),INDEX(Aux_puntos!$A$2:$OJ$901,672,MATCH($B$2&amp;"|xC",Aux_puntos!$1:$1,0))),NA())</f>
        <v/>
      </c>
      <c r="AF676">
        <f>IFERROR(IF(INDEX(Aux_puntos!$A$2:$OJ$901,672,MATCH($B$2&amp;"|yC",Aux_puntos!$1:$1,0))="",NA(),INDEX(Aux_puntos!$A$2:$OJ$901,672,MATCH($B$2&amp;"|yC",Aux_puntos!$1:$1,0))),NA())</f>
        <v/>
      </c>
      <c r="AG676">
        <f>IFERROR(IF(INDEX(Aux_puntos!$A$2:$OJ$901,672,MATCH($B$2&amp;"|xI",Aux_puntos!$1:$1,0))="",NA(),INDEX(Aux_puntos!$A$2:$OJ$901,672,MATCH($B$2&amp;"|xI",Aux_puntos!$1:$1,0))),NA())</f>
        <v/>
      </c>
      <c r="AH676">
        <f>IFERROR(IF(INDEX(Aux_puntos!$A$2:$OJ$901,672,MATCH($B$2&amp;"|yI",Aux_puntos!$1:$1,0))="",NA(),INDEX(Aux_puntos!$A$2:$OJ$901,672,MATCH($B$2&amp;"|yI",Aux_puntos!$1:$1,0))),NA())</f>
        <v/>
      </c>
      <c r="AI676">
        <f>IFERROR(IF(INDEX(Aux_puntos!$A$2:$OJ$901,672,MATCH($B$2&amp;"|xN",Aux_puntos!$1:$1,0))="",NA(),INDEX(Aux_puntos!$A$2:$OJ$901,672,MATCH($B$2&amp;"|xN",Aux_puntos!$1:$1,0))),NA())</f>
        <v/>
      </c>
      <c r="AJ676">
        <f>IFERROR(IF(INDEX(Aux_puntos!$A$2:$OJ$901,672,MATCH($B$2&amp;"|yN",Aux_puntos!$1:$1,0))="",NA(),INDEX(Aux_puntos!$A$2:$OJ$901,672,MATCH($B$2&amp;"|yN",Aux_puntos!$1:$1,0))),NA())</f>
        <v/>
      </c>
    </row>
    <row r="677">
      <c r="AC677">
        <f>IFERROR(IF(INDEX(Aux_puntos!$A$2:$OJ$901,673,MATCH($B$2&amp;"|xK",Aux_puntos!$1:$1,0))="",NA(),INDEX(Aux_puntos!$A$2:$OJ$901,673,MATCH($B$2&amp;"|xK",Aux_puntos!$1:$1,0))),NA())</f>
        <v/>
      </c>
      <c r="AD677">
        <f>IFERROR(IF(INDEX(Aux_puntos!$A$2:$OJ$901,673,MATCH($B$2&amp;"|yK",Aux_puntos!$1:$1,0))="",NA(),INDEX(Aux_puntos!$A$2:$OJ$901,673,MATCH($B$2&amp;"|yK",Aux_puntos!$1:$1,0))),NA())</f>
        <v/>
      </c>
      <c r="AE677">
        <f>IFERROR(IF(INDEX(Aux_puntos!$A$2:$OJ$901,673,MATCH($B$2&amp;"|xC",Aux_puntos!$1:$1,0))="",NA(),INDEX(Aux_puntos!$A$2:$OJ$901,673,MATCH($B$2&amp;"|xC",Aux_puntos!$1:$1,0))),NA())</f>
        <v/>
      </c>
      <c r="AF677">
        <f>IFERROR(IF(INDEX(Aux_puntos!$A$2:$OJ$901,673,MATCH($B$2&amp;"|yC",Aux_puntos!$1:$1,0))="",NA(),INDEX(Aux_puntos!$A$2:$OJ$901,673,MATCH($B$2&amp;"|yC",Aux_puntos!$1:$1,0))),NA())</f>
        <v/>
      </c>
      <c r="AG677">
        <f>IFERROR(IF(INDEX(Aux_puntos!$A$2:$OJ$901,673,MATCH($B$2&amp;"|xI",Aux_puntos!$1:$1,0))="",NA(),INDEX(Aux_puntos!$A$2:$OJ$901,673,MATCH($B$2&amp;"|xI",Aux_puntos!$1:$1,0))),NA())</f>
        <v/>
      </c>
      <c r="AH677">
        <f>IFERROR(IF(INDEX(Aux_puntos!$A$2:$OJ$901,673,MATCH($B$2&amp;"|yI",Aux_puntos!$1:$1,0))="",NA(),INDEX(Aux_puntos!$A$2:$OJ$901,673,MATCH($B$2&amp;"|yI",Aux_puntos!$1:$1,0))),NA())</f>
        <v/>
      </c>
      <c r="AI677">
        <f>IFERROR(IF(INDEX(Aux_puntos!$A$2:$OJ$901,673,MATCH($B$2&amp;"|xN",Aux_puntos!$1:$1,0))="",NA(),INDEX(Aux_puntos!$A$2:$OJ$901,673,MATCH($B$2&amp;"|xN",Aux_puntos!$1:$1,0))),NA())</f>
        <v/>
      </c>
      <c r="AJ677">
        <f>IFERROR(IF(INDEX(Aux_puntos!$A$2:$OJ$901,673,MATCH($B$2&amp;"|yN",Aux_puntos!$1:$1,0))="",NA(),INDEX(Aux_puntos!$A$2:$OJ$901,673,MATCH($B$2&amp;"|yN",Aux_puntos!$1:$1,0))),NA())</f>
        <v/>
      </c>
    </row>
    <row r="678">
      <c r="AC678">
        <f>IFERROR(IF(INDEX(Aux_puntos!$A$2:$OJ$901,674,MATCH($B$2&amp;"|xK",Aux_puntos!$1:$1,0))="",NA(),INDEX(Aux_puntos!$A$2:$OJ$901,674,MATCH($B$2&amp;"|xK",Aux_puntos!$1:$1,0))),NA())</f>
        <v/>
      </c>
      <c r="AD678">
        <f>IFERROR(IF(INDEX(Aux_puntos!$A$2:$OJ$901,674,MATCH($B$2&amp;"|yK",Aux_puntos!$1:$1,0))="",NA(),INDEX(Aux_puntos!$A$2:$OJ$901,674,MATCH($B$2&amp;"|yK",Aux_puntos!$1:$1,0))),NA())</f>
        <v/>
      </c>
      <c r="AE678">
        <f>IFERROR(IF(INDEX(Aux_puntos!$A$2:$OJ$901,674,MATCH($B$2&amp;"|xC",Aux_puntos!$1:$1,0))="",NA(),INDEX(Aux_puntos!$A$2:$OJ$901,674,MATCH($B$2&amp;"|xC",Aux_puntos!$1:$1,0))),NA())</f>
        <v/>
      </c>
      <c r="AF678">
        <f>IFERROR(IF(INDEX(Aux_puntos!$A$2:$OJ$901,674,MATCH($B$2&amp;"|yC",Aux_puntos!$1:$1,0))="",NA(),INDEX(Aux_puntos!$A$2:$OJ$901,674,MATCH($B$2&amp;"|yC",Aux_puntos!$1:$1,0))),NA())</f>
        <v/>
      </c>
      <c r="AG678">
        <f>IFERROR(IF(INDEX(Aux_puntos!$A$2:$OJ$901,674,MATCH($B$2&amp;"|xI",Aux_puntos!$1:$1,0))="",NA(),INDEX(Aux_puntos!$A$2:$OJ$901,674,MATCH($B$2&amp;"|xI",Aux_puntos!$1:$1,0))),NA())</f>
        <v/>
      </c>
      <c r="AH678">
        <f>IFERROR(IF(INDEX(Aux_puntos!$A$2:$OJ$901,674,MATCH($B$2&amp;"|yI",Aux_puntos!$1:$1,0))="",NA(),INDEX(Aux_puntos!$A$2:$OJ$901,674,MATCH($B$2&amp;"|yI",Aux_puntos!$1:$1,0))),NA())</f>
        <v/>
      </c>
      <c r="AI678">
        <f>IFERROR(IF(INDEX(Aux_puntos!$A$2:$OJ$901,674,MATCH($B$2&amp;"|xN",Aux_puntos!$1:$1,0))="",NA(),INDEX(Aux_puntos!$A$2:$OJ$901,674,MATCH($B$2&amp;"|xN",Aux_puntos!$1:$1,0))),NA())</f>
        <v/>
      </c>
      <c r="AJ678">
        <f>IFERROR(IF(INDEX(Aux_puntos!$A$2:$OJ$901,674,MATCH($B$2&amp;"|yN",Aux_puntos!$1:$1,0))="",NA(),INDEX(Aux_puntos!$A$2:$OJ$901,674,MATCH($B$2&amp;"|yN",Aux_puntos!$1:$1,0))),NA())</f>
        <v/>
      </c>
    </row>
    <row r="679">
      <c r="AC679">
        <f>IFERROR(IF(INDEX(Aux_puntos!$A$2:$OJ$901,675,MATCH($B$2&amp;"|xK",Aux_puntos!$1:$1,0))="",NA(),INDEX(Aux_puntos!$A$2:$OJ$901,675,MATCH($B$2&amp;"|xK",Aux_puntos!$1:$1,0))),NA())</f>
        <v/>
      </c>
      <c r="AD679">
        <f>IFERROR(IF(INDEX(Aux_puntos!$A$2:$OJ$901,675,MATCH($B$2&amp;"|yK",Aux_puntos!$1:$1,0))="",NA(),INDEX(Aux_puntos!$A$2:$OJ$901,675,MATCH($B$2&amp;"|yK",Aux_puntos!$1:$1,0))),NA())</f>
        <v/>
      </c>
      <c r="AE679">
        <f>IFERROR(IF(INDEX(Aux_puntos!$A$2:$OJ$901,675,MATCH($B$2&amp;"|xC",Aux_puntos!$1:$1,0))="",NA(),INDEX(Aux_puntos!$A$2:$OJ$901,675,MATCH($B$2&amp;"|xC",Aux_puntos!$1:$1,0))),NA())</f>
        <v/>
      </c>
      <c r="AF679">
        <f>IFERROR(IF(INDEX(Aux_puntos!$A$2:$OJ$901,675,MATCH($B$2&amp;"|yC",Aux_puntos!$1:$1,0))="",NA(),INDEX(Aux_puntos!$A$2:$OJ$901,675,MATCH($B$2&amp;"|yC",Aux_puntos!$1:$1,0))),NA())</f>
        <v/>
      </c>
      <c r="AG679">
        <f>IFERROR(IF(INDEX(Aux_puntos!$A$2:$OJ$901,675,MATCH($B$2&amp;"|xI",Aux_puntos!$1:$1,0))="",NA(),INDEX(Aux_puntos!$A$2:$OJ$901,675,MATCH($B$2&amp;"|xI",Aux_puntos!$1:$1,0))),NA())</f>
        <v/>
      </c>
      <c r="AH679">
        <f>IFERROR(IF(INDEX(Aux_puntos!$A$2:$OJ$901,675,MATCH($B$2&amp;"|yI",Aux_puntos!$1:$1,0))="",NA(),INDEX(Aux_puntos!$A$2:$OJ$901,675,MATCH($B$2&amp;"|yI",Aux_puntos!$1:$1,0))),NA())</f>
        <v/>
      </c>
      <c r="AI679">
        <f>IFERROR(IF(INDEX(Aux_puntos!$A$2:$OJ$901,675,MATCH($B$2&amp;"|xN",Aux_puntos!$1:$1,0))="",NA(),INDEX(Aux_puntos!$A$2:$OJ$901,675,MATCH($B$2&amp;"|xN",Aux_puntos!$1:$1,0))),NA())</f>
        <v/>
      </c>
      <c r="AJ679">
        <f>IFERROR(IF(INDEX(Aux_puntos!$A$2:$OJ$901,675,MATCH($B$2&amp;"|yN",Aux_puntos!$1:$1,0))="",NA(),INDEX(Aux_puntos!$A$2:$OJ$901,675,MATCH($B$2&amp;"|yN",Aux_puntos!$1:$1,0))),NA())</f>
        <v/>
      </c>
    </row>
    <row r="680">
      <c r="AC680">
        <f>IFERROR(IF(INDEX(Aux_puntos!$A$2:$OJ$901,676,MATCH($B$2&amp;"|xK",Aux_puntos!$1:$1,0))="",NA(),INDEX(Aux_puntos!$A$2:$OJ$901,676,MATCH($B$2&amp;"|xK",Aux_puntos!$1:$1,0))),NA())</f>
        <v/>
      </c>
      <c r="AD680">
        <f>IFERROR(IF(INDEX(Aux_puntos!$A$2:$OJ$901,676,MATCH($B$2&amp;"|yK",Aux_puntos!$1:$1,0))="",NA(),INDEX(Aux_puntos!$A$2:$OJ$901,676,MATCH($B$2&amp;"|yK",Aux_puntos!$1:$1,0))),NA())</f>
        <v/>
      </c>
      <c r="AE680">
        <f>IFERROR(IF(INDEX(Aux_puntos!$A$2:$OJ$901,676,MATCH($B$2&amp;"|xC",Aux_puntos!$1:$1,0))="",NA(),INDEX(Aux_puntos!$A$2:$OJ$901,676,MATCH($B$2&amp;"|xC",Aux_puntos!$1:$1,0))),NA())</f>
        <v/>
      </c>
      <c r="AF680">
        <f>IFERROR(IF(INDEX(Aux_puntos!$A$2:$OJ$901,676,MATCH($B$2&amp;"|yC",Aux_puntos!$1:$1,0))="",NA(),INDEX(Aux_puntos!$A$2:$OJ$901,676,MATCH($B$2&amp;"|yC",Aux_puntos!$1:$1,0))),NA())</f>
        <v/>
      </c>
      <c r="AG680">
        <f>IFERROR(IF(INDEX(Aux_puntos!$A$2:$OJ$901,676,MATCH($B$2&amp;"|xI",Aux_puntos!$1:$1,0))="",NA(),INDEX(Aux_puntos!$A$2:$OJ$901,676,MATCH($B$2&amp;"|xI",Aux_puntos!$1:$1,0))),NA())</f>
        <v/>
      </c>
      <c r="AH680">
        <f>IFERROR(IF(INDEX(Aux_puntos!$A$2:$OJ$901,676,MATCH($B$2&amp;"|yI",Aux_puntos!$1:$1,0))="",NA(),INDEX(Aux_puntos!$A$2:$OJ$901,676,MATCH($B$2&amp;"|yI",Aux_puntos!$1:$1,0))),NA())</f>
        <v/>
      </c>
      <c r="AI680">
        <f>IFERROR(IF(INDEX(Aux_puntos!$A$2:$OJ$901,676,MATCH($B$2&amp;"|xN",Aux_puntos!$1:$1,0))="",NA(),INDEX(Aux_puntos!$A$2:$OJ$901,676,MATCH($B$2&amp;"|xN",Aux_puntos!$1:$1,0))),NA())</f>
        <v/>
      </c>
      <c r="AJ680">
        <f>IFERROR(IF(INDEX(Aux_puntos!$A$2:$OJ$901,676,MATCH($B$2&amp;"|yN",Aux_puntos!$1:$1,0))="",NA(),INDEX(Aux_puntos!$A$2:$OJ$901,676,MATCH($B$2&amp;"|yN",Aux_puntos!$1:$1,0))),NA())</f>
        <v/>
      </c>
    </row>
    <row r="681">
      <c r="AC681">
        <f>IFERROR(IF(INDEX(Aux_puntos!$A$2:$OJ$901,677,MATCH($B$2&amp;"|xK",Aux_puntos!$1:$1,0))="",NA(),INDEX(Aux_puntos!$A$2:$OJ$901,677,MATCH($B$2&amp;"|xK",Aux_puntos!$1:$1,0))),NA())</f>
        <v/>
      </c>
      <c r="AD681">
        <f>IFERROR(IF(INDEX(Aux_puntos!$A$2:$OJ$901,677,MATCH($B$2&amp;"|yK",Aux_puntos!$1:$1,0))="",NA(),INDEX(Aux_puntos!$A$2:$OJ$901,677,MATCH($B$2&amp;"|yK",Aux_puntos!$1:$1,0))),NA())</f>
        <v/>
      </c>
      <c r="AE681">
        <f>IFERROR(IF(INDEX(Aux_puntos!$A$2:$OJ$901,677,MATCH($B$2&amp;"|xC",Aux_puntos!$1:$1,0))="",NA(),INDEX(Aux_puntos!$A$2:$OJ$901,677,MATCH($B$2&amp;"|xC",Aux_puntos!$1:$1,0))),NA())</f>
        <v/>
      </c>
      <c r="AF681">
        <f>IFERROR(IF(INDEX(Aux_puntos!$A$2:$OJ$901,677,MATCH($B$2&amp;"|yC",Aux_puntos!$1:$1,0))="",NA(),INDEX(Aux_puntos!$A$2:$OJ$901,677,MATCH($B$2&amp;"|yC",Aux_puntos!$1:$1,0))),NA())</f>
        <v/>
      </c>
      <c r="AG681">
        <f>IFERROR(IF(INDEX(Aux_puntos!$A$2:$OJ$901,677,MATCH($B$2&amp;"|xI",Aux_puntos!$1:$1,0))="",NA(),INDEX(Aux_puntos!$A$2:$OJ$901,677,MATCH($B$2&amp;"|xI",Aux_puntos!$1:$1,0))),NA())</f>
        <v/>
      </c>
      <c r="AH681">
        <f>IFERROR(IF(INDEX(Aux_puntos!$A$2:$OJ$901,677,MATCH($B$2&amp;"|yI",Aux_puntos!$1:$1,0))="",NA(),INDEX(Aux_puntos!$A$2:$OJ$901,677,MATCH($B$2&amp;"|yI",Aux_puntos!$1:$1,0))),NA())</f>
        <v/>
      </c>
      <c r="AI681">
        <f>IFERROR(IF(INDEX(Aux_puntos!$A$2:$OJ$901,677,MATCH($B$2&amp;"|xN",Aux_puntos!$1:$1,0))="",NA(),INDEX(Aux_puntos!$A$2:$OJ$901,677,MATCH($B$2&amp;"|xN",Aux_puntos!$1:$1,0))),NA())</f>
        <v/>
      </c>
      <c r="AJ681">
        <f>IFERROR(IF(INDEX(Aux_puntos!$A$2:$OJ$901,677,MATCH($B$2&amp;"|yN",Aux_puntos!$1:$1,0))="",NA(),INDEX(Aux_puntos!$A$2:$OJ$901,677,MATCH($B$2&amp;"|yN",Aux_puntos!$1:$1,0))),NA())</f>
        <v/>
      </c>
    </row>
    <row r="682">
      <c r="AC682">
        <f>IFERROR(IF(INDEX(Aux_puntos!$A$2:$OJ$901,678,MATCH($B$2&amp;"|xK",Aux_puntos!$1:$1,0))="",NA(),INDEX(Aux_puntos!$A$2:$OJ$901,678,MATCH($B$2&amp;"|xK",Aux_puntos!$1:$1,0))),NA())</f>
        <v/>
      </c>
      <c r="AD682">
        <f>IFERROR(IF(INDEX(Aux_puntos!$A$2:$OJ$901,678,MATCH($B$2&amp;"|yK",Aux_puntos!$1:$1,0))="",NA(),INDEX(Aux_puntos!$A$2:$OJ$901,678,MATCH($B$2&amp;"|yK",Aux_puntos!$1:$1,0))),NA())</f>
        <v/>
      </c>
      <c r="AE682">
        <f>IFERROR(IF(INDEX(Aux_puntos!$A$2:$OJ$901,678,MATCH($B$2&amp;"|xC",Aux_puntos!$1:$1,0))="",NA(),INDEX(Aux_puntos!$A$2:$OJ$901,678,MATCH($B$2&amp;"|xC",Aux_puntos!$1:$1,0))),NA())</f>
        <v/>
      </c>
      <c r="AF682">
        <f>IFERROR(IF(INDEX(Aux_puntos!$A$2:$OJ$901,678,MATCH($B$2&amp;"|yC",Aux_puntos!$1:$1,0))="",NA(),INDEX(Aux_puntos!$A$2:$OJ$901,678,MATCH($B$2&amp;"|yC",Aux_puntos!$1:$1,0))),NA())</f>
        <v/>
      </c>
      <c r="AG682">
        <f>IFERROR(IF(INDEX(Aux_puntos!$A$2:$OJ$901,678,MATCH($B$2&amp;"|xI",Aux_puntos!$1:$1,0))="",NA(),INDEX(Aux_puntos!$A$2:$OJ$901,678,MATCH($B$2&amp;"|xI",Aux_puntos!$1:$1,0))),NA())</f>
        <v/>
      </c>
      <c r="AH682">
        <f>IFERROR(IF(INDEX(Aux_puntos!$A$2:$OJ$901,678,MATCH($B$2&amp;"|yI",Aux_puntos!$1:$1,0))="",NA(),INDEX(Aux_puntos!$A$2:$OJ$901,678,MATCH($B$2&amp;"|yI",Aux_puntos!$1:$1,0))),NA())</f>
        <v/>
      </c>
      <c r="AI682">
        <f>IFERROR(IF(INDEX(Aux_puntos!$A$2:$OJ$901,678,MATCH($B$2&amp;"|xN",Aux_puntos!$1:$1,0))="",NA(),INDEX(Aux_puntos!$A$2:$OJ$901,678,MATCH($B$2&amp;"|xN",Aux_puntos!$1:$1,0))),NA())</f>
        <v/>
      </c>
      <c r="AJ682">
        <f>IFERROR(IF(INDEX(Aux_puntos!$A$2:$OJ$901,678,MATCH($B$2&amp;"|yN",Aux_puntos!$1:$1,0))="",NA(),INDEX(Aux_puntos!$A$2:$OJ$901,678,MATCH($B$2&amp;"|yN",Aux_puntos!$1:$1,0))),NA())</f>
        <v/>
      </c>
    </row>
    <row r="683">
      <c r="AC683">
        <f>IFERROR(IF(INDEX(Aux_puntos!$A$2:$OJ$901,679,MATCH($B$2&amp;"|xK",Aux_puntos!$1:$1,0))="",NA(),INDEX(Aux_puntos!$A$2:$OJ$901,679,MATCH($B$2&amp;"|xK",Aux_puntos!$1:$1,0))),NA())</f>
        <v/>
      </c>
      <c r="AD683">
        <f>IFERROR(IF(INDEX(Aux_puntos!$A$2:$OJ$901,679,MATCH($B$2&amp;"|yK",Aux_puntos!$1:$1,0))="",NA(),INDEX(Aux_puntos!$A$2:$OJ$901,679,MATCH($B$2&amp;"|yK",Aux_puntos!$1:$1,0))),NA())</f>
        <v/>
      </c>
      <c r="AE683">
        <f>IFERROR(IF(INDEX(Aux_puntos!$A$2:$OJ$901,679,MATCH($B$2&amp;"|xC",Aux_puntos!$1:$1,0))="",NA(),INDEX(Aux_puntos!$A$2:$OJ$901,679,MATCH($B$2&amp;"|xC",Aux_puntos!$1:$1,0))),NA())</f>
        <v/>
      </c>
      <c r="AF683">
        <f>IFERROR(IF(INDEX(Aux_puntos!$A$2:$OJ$901,679,MATCH($B$2&amp;"|yC",Aux_puntos!$1:$1,0))="",NA(),INDEX(Aux_puntos!$A$2:$OJ$901,679,MATCH($B$2&amp;"|yC",Aux_puntos!$1:$1,0))),NA())</f>
        <v/>
      </c>
      <c r="AG683">
        <f>IFERROR(IF(INDEX(Aux_puntos!$A$2:$OJ$901,679,MATCH($B$2&amp;"|xI",Aux_puntos!$1:$1,0))="",NA(),INDEX(Aux_puntos!$A$2:$OJ$901,679,MATCH($B$2&amp;"|xI",Aux_puntos!$1:$1,0))),NA())</f>
        <v/>
      </c>
      <c r="AH683">
        <f>IFERROR(IF(INDEX(Aux_puntos!$A$2:$OJ$901,679,MATCH($B$2&amp;"|yI",Aux_puntos!$1:$1,0))="",NA(),INDEX(Aux_puntos!$A$2:$OJ$901,679,MATCH($B$2&amp;"|yI",Aux_puntos!$1:$1,0))),NA())</f>
        <v/>
      </c>
      <c r="AI683">
        <f>IFERROR(IF(INDEX(Aux_puntos!$A$2:$OJ$901,679,MATCH($B$2&amp;"|xN",Aux_puntos!$1:$1,0))="",NA(),INDEX(Aux_puntos!$A$2:$OJ$901,679,MATCH($B$2&amp;"|xN",Aux_puntos!$1:$1,0))),NA())</f>
        <v/>
      </c>
      <c r="AJ683">
        <f>IFERROR(IF(INDEX(Aux_puntos!$A$2:$OJ$901,679,MATCH($B$2&amp;"|yN",Aux_puntos!$1:$1,0))="",NA(),INDEX(Aux_puntos!$A$2:$OJ$901,679,MATCH($B$2&amp;"|yN",Aux_puntos!$1:$1,0))),NA())</f>
        <v/>
      </c>
    </row>
    <row r="684">
      <c r="AC684">
        <f>IFERROR(IF(INDEX(Aux_puntos!$A$2:$OJ$901,680,MATCH($B$2&amp;"|xK",Aux_puntos!$1:$1,0))="",NA(),INDEX(Aux_puntos!$A$2:$OJ$901,680,MATCH($B$2&amp;"|xK",Aux_puntos!$1:$1,0))),NA())</f>
        <v/>
      </c>
      <c r="AD684">
        <f>IFERROR(IF(INDEX(Aux_puntos!$A$2:$OJ$901,680,MATCH($B$2&amp;"|yK",Aux_puntos!$1:$1,0))="",NA(),INDEX(Aux_puntos!$A$2:$OJ$901,680,MATCH($B$2&amp;"|yK",Aux_puntos!$1:$1,0))),NA())</f>
        <v/>
      </c>
      <c r="AE684">
        <f>IFERROR(IF(INDEX(Aux_puntos!$A$2:$OJ$901,680,MATCH($B$2&amp;"|xC",Aux_puntos!$1:$1,0))="",NA(),INDEX(Aux_puntos!$A$2:$OJ$901,680,MATCH($B$2&amp;"|xC",Aux_puntos!$1:$1,0))),NA())</f>
        <v/>
      </c>
      <c r="AF684">
        <f>IFERROR(IF(INDEX(Aux_puntos!$A$2:$OJ$901,680,MATCH($B$2&amp;"|yC",Aux_puntos!$1:$1,0))="",NA(),INDEX(Aux_puntos!$A$2:$OJ$901,680,MATCH($B$2&amp;"|yC",Aux_puntos!$1:$1,0))),NA())</f>
        <v/>
      </c>
      <c r="AG684">
        <f>IFERROR(IF(INDEX(Aux_puntos!$A$2:$OJ$901,680,MATCH($B$2&amp;"|xI",Aux_puntos!$1:$1,0))="",NA(),INDEX(Aux_puntos!$A$2:$OJ$901,680,MATCH($B$2&amp;"|xI",Aux_puntos!$1:$1,0))),NA())</f>
        <v/>
      </c>
      <c r="AH684">
        <f>IFERROR(IF(INDEX(Aux_puntos!$A$2:$OJ$901,680,MATCH($B$2&amp;"|yI",Aux_puntos!$1:$1,0))="",NA(),INDEX(Aux_puntos!$A$2:$OJ$901,680,MATCH($B$2&amp;"|yI",Aux_puntos!$1:$1,0))),NA())</f>
        <v/>
      </c>
      <c r="AI684">
        <f>IFERROR(IF(INDEX(Aux_puntos!$A$2:$OJ$901,680,MATCH($B$2&amp;"|xN",Aux_puntos!$1:$1,0))="",NA(),INDEX(Aux_puntos!$A$2:$OJ$901,680,MATCH($B$2&amp;"|xN",Aux_puntos!$1:$1,0))),NA())</f>
        <v/>
      </c>
      <c r="AJ684">
        <f>IFERROR(IF(INDEX(Aux_puntos!$A$2:$OJ$901,680,MATCH($B$2&amp;"|yN",Aux_puntos!$1:$1,0))="",NA(),INDEX(Aux_puntos!$A$2:$OJ$901,680,MATCH($B$2&amp;"|yN",Aux_puntos!$1:$1,0))),NA())</f>
        <v/>
      </c>
    </row>
    <row r="685">
      <c r="AC685">
        <f>IFERROR(IF(INDEX(Aux_puntos!$A$2:$OJ$901,681,MATCH($B$2&amp;"|xK",Aux_puntos!$1:$1,0))="",NA(),INDEX(Aux_puntos!$A$2:$OJ$901,681,MATCH($B$2&amp;"|xK",Aux_puntos!$1:$1,0))),NA())</f>
        <v/>
      </c>
      <c r="AD685">
        <f>IFERROR(IF(INDEX(Aux_puntos!$A$2:$OJ$901,681,MATCH($B$2&amp;"|yK",Aux_puntos!$1:$1,0))="",NA(),INDEX(Aux_puntos!$A$2:$OJ$901,681,MATCH($B$2&amp;"|yK",Aux_puntos!$1:$1,0))),NA())</f>
        <v/>
      </c>
      <c r="AE685">
        <f>IFERROR(IF(INDEX(Aux_puntos!$A$2:$OJ$901,681,MATCH($B$2&amp;"|xC",Aux_puntos!$1:$1,0))="",NA(),INDEX(Aux_puntos!$A$2:$OJ$901,681,MATCH($B$2&amp;"|xC",Aux_puntos!$1:$1,0))),NA())</f>
        <v/>
      </c>
      <c r="AF685">
        <f>IFERROR(IF(INDEX(Aux_puntos!$A$2:$OJ$901,681,MATCH($B$2&amp;"|yC",Aux_puntos!$1:$1,0))="",NA(),INDEX(Aux_puntos!$A$2:$OJ$901,681,MATCH($B$2&amp;"|yC",Aux_puntos!$1:$1,0))),NA())</f>
        <v/>
      </c>
      <c r="AG685">
        <f>IFERROR(IF(INDEX(Aux_puntos!$A$2:$OJ$901,681,MATCH($B$2&amp;"|xI",Aux_puntos!$1:$1,0))="",NA(),INDEX(Aux_puntos!$A$2:$OJ$901,681,MATCH($B$2&amp;"|xI",Aux_puntos!$1:$1,0))),NA())</f>
        <v/>
      </c>
      <c r="AH685">
        <f>IFERROR(IF(INDEX(Aux_puntos!$A$2:$OJ$901,681,MATCH($B$2&amp;"|yI",Aux_puntos!$1:$1,0))="",NA(),INDEX(Aux_puntos!$A$2:$OJ$901,681,MATCH($B$2&amp;"|yI",Aux_puntos!$1:$1,0))),NA())</f>
        <v/>
      </c>
      <c r="AI685">
        <f>IFERROR(IF(INDEX(Aux_puntos!$A$2:$OJ$901,681,MATCH($B$2&amp;"|xN",Aux_puntos!$1:$1,0))="",NA(),INDEX(Aux_puntos!$A$2:$OJ$901,681,MATCH($B$2&amp;"|xN",Aux_puntos!$1:$1,0))),NA())</f>
        <v/>
      </c>
      <c r="AJ685">
        <f>IFERROR(IF(INDEX(Aux_puntos!$A$2:$OJ$901,681,MATCH($B$2&amp;"|yN",Aux_puntos!$1:$1,0))="",NA(),INDEX(Aux_puntos!$A$2:$OJ$901,681,MATCH($B$2&amp;"|yN",Aux_puntos!$1:$1,0))),NA())</f>
        <v/>
      </c>
    </row>
    <row r="686">
      <c r="AC686">
        <f>IFERROR(IF(INDEX(Aux_puntos!$A$2:$OJ$901,682,MATCH($B$2&amp;"|xK",Aux_puntos!$1:$1,0))="",NA(),INDEX(Aux_puntos!$A$2:$OJ$901,682,MATCH($B$2&amp;"|xK",Aux_puntos!$1:$1,0))),NA())</f>
        <v/>
      </c>
      <c r="AD686">
        <f>IFERROR(IF(INDEX(Aux_puntos!$A$2:$OJ$901,682,MATCH($B$2&amp;"|yK",Aux_puntos!$1:$1,0))="",NA(),INDEX(Aux_puntos!$A$2:$OJ$901,682,MATCH($B$2&amp;"|yK",Aux_puntos!$1:$1,0))),NA())</f>
        <v/>
      </c>
      <c r="AE686">
        <f>IFERROR(IF(INDEX(Aux_puntos!$A$2:$OJ$901,682,MATCH($B$2&amp;"|xC",Aux_puntos!$1:$1,0))="",NA(),INDEX(Aux_puntos!$A$2:$OJ$901,682,MATCH($B$2&amp;"|xC",Aux_puntos!$1:$1,0))),NA())</f>
        <v/>
      </c>
      <c r="AF686">
        <f>IFERROR(IF(INDEX(Aux_puntos!$A$2:$OJ$901,682,MATCH($B$2&amp;"|yC",Aux_puntos!$1:$1,0))="",NA(),INDEX(Aux_puntos!$A$2:$OJ$901,682,MATCH($B$2&amp;"|yC",Aux_puntos!$1:$1,0))),NA())</f>
        <v/>
      </c>
      <c r="AG686">
        <f>IFERROR(IF(INDEX(Aux_puntos!$A$2:$OJ$901,682,MATCH($B$2&amp;"|xI",Aux_puntos!$1:$1,0))="",NA(),INDEX(Aux_puntos!$A$2:$OJ$901,682,MATCH($B$2&amp;"|xI",Aux_puntos!$1:$1,0))),NA())</f>
        <v/>
      </c>
      <c r="AH686">
        <f>IFERROR(IF(INDEX(Aux_puntos!$A$2:$OJ$901,682,MATCH($B$2&amp;"|yI",Aux_puntos!$1:$1,0))="",NA(),INDEX(Aux_puntos!$A$2:$OJ$901,682,MATCH($B$2&amp;"|yI",Aux_puntos!$1:$1,0))),NA())</f>
        <v/>
      </c>
      <c r="AI686">
        <f>IFERROR(IF(INDEX(Aux_puntos!$A$2:$OJ$901,682,MATCH($B$2&amp;"|xN",Aux_puntos!$1:$1,0))="",NA(),INDEX(Aux_puntos!$A$2:$OJ$901,682,MATCH($B$2&amp;"|xN",Aux_puntos!$1:$1,0))),NA())</f>
        <v/>
      </c>
      <c r="AJ686">
        <f>IFERROR(IF(INDEX(Aux_puntos!$A$2:$OJ$901,682,MATCH($B$2&amp;"|yN",Aux_puntos!$1:$1,0))="",NA(),INDEX(Aux_puntos!$A$2:$OJ$901,682,MATCH($B$2&amp;"|yN",Aux_puntos!$1:$1,0))),NA())</f>
        <v/>
      </c>
    </row>
    <row r="687">
      <c r="AC687">
        <f>IFERROR(IF(INDEX(Aux_puntos!$A$2:$OJ$901,683,MATCH($B$2&amp;"|xK",Aux_puntos!$1:$1,0))="",NA(),INDEX(Aux_puntos!$A$2:$OJ$901,683,MATCH($B$2&amp;"|xK",Aux_puntos!$1:$1,0))),NA())</f>
        <v/>
      </c>
      <c r="AD687">
        <f>IFERROR(IF(INDEX(Aux_puntos!$A$2:$OJ$901,683,MATCH($B$2&amp;"|yK",Aux_puntos!$1:$1,0))="",NA(),INDEX(Aux_puntos!$A$2:$OJ$901,683,MATCH($B$2&amp;"|yK",Aux_puntos!$1:$1,0))),NA())</f>
        <v/>
      </c>
      <c r="AE687">
        <f>IFERROR(IF(INDEX(Aux_puntos!$A$2:$OJ$901,683,MATCH($B$2&amp;"|xC",Aux_puntos!$1:$1,0))="",NA(),INDEX(Aux_puntos!$A$2:$OJ$901,683,MATCH($B$2&amp;"|xC",Aux_puntos!$1:$1,0))),NA())</f>
        <v/>
      </c>
      <c r="AF687">
        <f>IFERROR(IF(INDEX(Aux_puntos!$A$2:$OJ$901,683,MATCH($B$2&amp;"|yC",Aux_puntos!$1:$1,0))="",NA(),INDEX(Aux_puntos!$A$2:$OJ$901,683,MATCH($B$2&amp;"|yC",Aux_puntos!$1:$1,0))),NA())</f>
        <v/>
      </c>
      <c r="AG687">
        <f>IFERROR(IF(INDEX(Aux_puntos!$A$2:$OJ$901,683,MATCH($B$2&amp;"|xI",Aux_puntos!$1:$1,0))="",NA(),INDEX(Aux_puntos!$A$2:$OJ$901,683,MATCH($B$2&amp;"|xI",Aux_puntos!$1:$1,0))),NA())</f>
        <v/>
      </c>
      <c r="AH687">
        <f>IFERROR(IF(INDEX(Aux_puntos!$A$2:$OJ$901,683,MATCH($B$2&amp;"|yI",Aux_puntos!$1:$1,0))="",NA(),INDEX(Aux_puntos!$A$2:$OJ$901,683,MATCH($B$2&amp;"|yI",Aux_puntos!$1:$1,0))),NA())</f>
        <v/>
      </c>
      <c r="AI687">
        <f>IFERROR(IF(INDEX(Aux_puntos!$A$2:$OJ$901,683,MATCH($B$2&amp;"|xN",Aux_puntos!$1:$1,0))="",NA(),INDEX(Aux_puntos!$A$2:$OJ$901,683,MATCH($B$2&amp;"|xN",Aux_puntos!$1:$1,0))),NA())</f>
        <v/>
      </c>
      <c r="AJ687">
        <f>IFERROR(IF(INDEX(Aux_puntos!$A$2:$OJ$901,683,MATCH($B$2&amp;"|yN",Aux_puntos!$1:$1,0))="",NA(),INDEX(Aux_puntos!$A$2:$OJ$901,683,MATCH($B$2&amp;"|yN",Aux_puntos!$1:$1,0))),NA())</f>
        <v/>
      </c>
    </row>
    <row r="688">
      <c r="AC688">
        <f>IFERROR(IF(INDEX(Aux_puntos!$A$2:$OJ$901,684,MATCH($B$2&amp;"|xK",Aux_puntos!$1:$1,0))="",NA(),INDEX(Aux_puntos!$A$2:$OJ$901,684,MATCH($B$2&amp;"|xK",Aux_puntos!$1:$1,0))),NA())</f>
        <v/>
      </c>
      <c r="AD688">
        <f>IFERROR(IF(INDEX(Aux_puntos!$A$2:$OJ$901,684,MATCH($B$2&amp;"|yK",Aux_puntos!$1:$1,0))="",NA(),INDEX(Aux_puntos!$A$2:$OJ$901,684,MATCH($B$2&amp;"|yK",Aux_puntos!$1:$1,0))),NA())</f>
        <v/>
      </c>
      <c r="AE688">
        <f>IFERROR(IF(INDEX(Aux_puntos!$A$2:$OJ$901,684,MATCH($B$2&amp;"|xC",Aux_puntos!$1:$1,0))="",NA(),INDEX(Aux_puntos!$A$2:$OJ$901,684,MATCH($B$2&amp;"|xC",Aux_puntos!$1:$1,0))),NA())</f>
        <v/>
      </c>
      <c r="AF688">
        <f>IFERROR(IF(INDEX(Aux_puntos!$A$2:$OJ$901,684,MATCH($B$2&amp;"|yC",Aux_puntos!$1:$1,0))="",NA(),INDEX(Aux_puntos!$A$2:$OJ$901,684,MATCH($B$2&amp;"|yC",Aux_puntos!$1:$1,0))),NA())</f>
        <v/>
      </c>
      <c r="AG688">
        <f>IFERROR(IF(INDEX(Aux_puntos!$A$2:$OJ$901,684,MATCH($B$2&amp;"|xI",Aux_puntos!$1:$1,0))="",NA(),INDEX(Aux_puntos!$A$2:$OJ$901,684,MATCH($B$2&amp;"|xI",Aux_puntos!$1:$1,0))),NA())</f>
        <v/>
      </c>
      <c r="AH688">
        <f>IFERROR(IF(INDEX(Aux_puntos!$A$2:$OJ$901,684,MATCH($B$2&amp;"|yI",Aux_puntos!$1:$1,0))="",NA(),INDEX(Aux_puntos!$A$2:$OJ$901,684,MATCH($B$2&amp;"|yI",Aux_puntos!$1:$1,0))),NA())</f>
        <v/>
      </c>
      <c r="AI688">
        <f>IFERROR(IF(INDEX(Aux_puntos!$A$2:$OJ$901,684,MATCH($B$2&amp;"|xN",Aux_puntos!$1:$1,0))="",NA(),INDEX(Aux_puntos!$A$2:$OJ$901,684,MATCH($B$2&amp;"|xN",Aux_puntos!$1:$1,0))),NA())</f>
        <v/>
      </c>
      <c r="AJ688">
        <f>IFERROR(IF(INDEX(Aux_puntos!$A$2:$OJ$901,684,MATCH($B$2&amp;"|yN",Aux_puntos!$1:$1,0))="",NA(),INDEX(Aux_puntos!$A$2:$OJ$901,684,MATCH($B$2&amp;"|yN",Aux_puntos!$1:$1,0))),NA())</f>
        <v/>
      </c>
    </row>
    <row r="689">
      <c r="AC689">
        <f>IFERROR(IF(INDEX(Aux_puntos!$A$2:$OJ$901,685,MATCH($B$2&amp;"|xK",Aux_puntos!$1:$1,0))="",NA(),INDEX(Aux_puntos!$A$2:$OJ$901,685,MATCH($B$2&amp;"|xK",Aux_puntos!$1:$1,0))),NA())</f>
        <v/>
      </c>
      <c r="AD689">
        <f>IFERROR(IF(INDEX(Aux_puntos!$A$2:$OJ$901,685,MATCH($B$2&amp;"|yK",Aux_puntos!$1:$1,0))="",NA(),INDEX(Aux_puntos!$A$2:$OJ$901,685,MATCH($B$2&amp;"|yK",Aux_puntos!$1:$1,0))),NA())</f>
        <v/>
      </c>
      <c r="AE689">
        <f>IFERROR(IF(INDEX(Aux_puntos!$A$2:$OJ$901,685,MATCH($B$2&amp;"|xC",Aux_puntos!$1:$1,0))="",NA(),INDEX(Aux_puntos!$A$2:$OJ$901,685,MATCH($B$2&amp;"|xC",Aux_puntos!$1:$1,0))),NA())</f>
        <v/>
      </c>
      <c r="AF689">
        <f>IFERROR(IF(INDEX(Aux_puntos!$A$2:$OJ$901,685,MATCH($B$2&amp;"|yC",Aux_puntos!$1:$1,0))="",NA(),INDEX(Aux_puntos!$A$2:$OJ$901,685,MATCH($B$2&amp;"|yC",Aux_puntos!$1:$1,0))),NA())</f>
        <v/>
      </c>
      <c r="AG689">
        <f>IFERROR(IF(INDEX(Aux_puntos!$A$2:$OJ$901,685,MATCH($B$2&amp;"|xI",Aux_puntos!$1:$1,0))="",NA(),INDEX(Aux_puntos!$A$2:$OJ$901,685,MATCH($B$2&amp;"|xI",Aux_puntos!$1:$1,0))),NA())</f>
        <v/>
      </c>
      <c r="AH689">
        <f>IFERROR(IF(INDEX(Aux_puntos!$A$2:$OJ$901,685,MATCH($B$2&amp;"|yI",Aux_puntos!$1:$1,0))="",NA(),INDEX(Aux_puntos!$A$2:$OJ$901,685,MATCH($B$2&amp;"|yI",Aux_puntos!$1:$1,0))),NA())</f>
        <v/>
      </c>
      <c r="AI689">
        <f>IFERROR(IF(INDEX(Aux_puntos!$A$2:$OJ$901,685,MATCH($B$2&amp;"|xN",Aux_puntos!$1:$1,0))="",NA(),INDEX(Aux_puntos!$A$2:$OJ$901,685,MATCH($B$2&amp;"|xN",Aux_puntos!$1:$1,0))),NA())</f>
        <v/>
      </c>
      <c r="AJ689">
        <f>IFERROR(IF(INDEX(Aux_puntos!$A$2:$OJ$901,685,MATCH($B$2&amp;"|yN",Aux_puntos!$1:$1,0))="",NA(),INDEX(Aux_puntos!$A$2:$OJ$901,685,MATCH($B$2&amp;"|yN",Aux_puntos!$1:$1,0))),NA())</f>
        <v/>
      </c>
    </row>
    <row r="690">
      <c r="AC690">
        <f>IFERROR(IF(INDEX(Aux_puntos!$A$2:$OJ$901,686,MATCH($B$2&amp;"|xK",Aux_puntos!$1:$1,0))="",NA(),INDEX(Aux_puntos!$A$2:$OJ$901,686,MATCH($B$2&amp;"|xK",Aux_puntos!$1:$1,0))),NA())</f>
        <v/>
      </c>
      <c r="AD690">
        <f>IFERROR(IF(INDEX(Aux_puntos!$A$2:$OJ$901,686,MATCH($B$2&amp;"|yK",Aux_puntos!$1:$1,0))="",NA(),INDEX(Aux_puntos!$A$2:$OJ$901,686,MATCH($B$2&amp;"|yK",Aux_puntos!$1:$1,0))),NA())</f>
        <v/>
      </c>
      <c r="AE690">
        <f>IFERROR(IF(INDEX(Aux_puntos!$A$2:$OJ$901,686,MATCH($B$2&amp;"|xC",Aux_puntos!$1:$1,0))="",NA(),INDEX(Aux_puntos!$A$2:$OJ$901,686,MATCH($B$2&amp;"|xC",Aux_puntos!$1:$1,0))),NA())</f>
        <v/>
      </c>
      <c r="AF690">
        <f>IFERROR(IF(INDEX(Aux_puntos!$A$2:$OJ$901,686,MATCH($B$2&amp;"|yC",Aux_puntos!$1:$1,0))="",NA(),INDEX(Aux_puntos!$A$2:$OJ$901,686,MATCH($B$2&amp;"|yC",Aux_puntos!$1:$1,0))),NA())</f>
        <v/>
      </c>
      <c r="AG690">
        <f>IFERROR(IF(INDEX(Aux_puntos!$A$2:$OJ$901,686,MATCH($B$2&amp;"|xI",Aux_puntos!$1:$1,0))="",NA(),INDEX(Aux_puntos!$A$2:$OJ$901,686,MATCH($B$2&amp;"|xI",Aux_puntos!$1:$1,0))),NA())</f>
        <v/>
      </c>
      <c r="AH690">
        <f>IFERROR(IF(INDEX(Aux_puntos!$A$2:$OJ$901,686,MATCH($B$2&amp;"|yI",Aux_puntos!$1:$1,0))="",NA(),INDEX(Aux_puntos!$A$2:$OJ$901,686,MATCH($B$2&amp;"|yI",Aux_puntos!$1:$1,0))),NA())</f>
        <v/>
      </c>
      <c r="AI690">
        <f>IFERROR(IF(INDEX(Aux_puntos!$A$2:$OJ$901,686,MATCH($B$2&amp;"|xN",Aux_puntos!$1:$1,0))="",NA(),INDEX(Aux_puntos!$A$2:$OJ$901,686,MATCH($B$2&amp;"|xN",Aux_puntos!$1:$1,0))),NA())</f>
        <v/>
      </c>
      <c r="AJ690">
        <f>IFERROR(IF(INDEX(Aux_puntos!$A$2:$OJ$901,686,MATCH($B$2&amp;"|yN",Aux_puntos!$1:$1,0))="",NA(),INDEX(Aux_puntos!$A$2:$OJ$901,686,MATCH($B$2&amp;"|yN",Aux_puntos!$1:$1,0))),NA())</f>
        <v/>
      </c>
    </row>
    <row r="691">
      <c r="AC691">
        <f>IFERROR(IF(INDEX(Aux_puntos!$A$2:$OJ$901,687,MATCH($B$2&amp;"|xK",Aux_puntos!$1:$1,0))="",NA(),INDEX(Aux_puntos!$A$2:$OJ$901,687,MATCH($B$2&amp;"|xK",Aux_puntos!$1:$1,0))),NA())</f>
        <v/>
      </c>
      <c r="AD691">
        <f>IFERROR(IF(INDEX(Aux_puntos!$A$2:$OJ$901,687,MATCH($B$2&amp;"|yK",Aux_puntos!$1:$1,0))="",NA(),INDEX(Aux_puntos!$A$2:$OJ$901,687,MATCH($B$2&amp;"|yK",Aux_puntos!$1:$1,0))),NA())</f>
        <v/>
      </c>
      <c r="AE691">
        <f>IFERROR(IF(INDEX(Aux_puntos!$A$2:$OJ$901,687,MATCH($B$2&amp;"|xC",Aux_puntos!$1:$1,0))="",NA(),INDEX(Aux_puntos!$A$2:$OJ$901,687,MATCH($B$2&amp;"|xC",Aux_puntos!$1:$1,0))),NA())</f>
        <v/>
      </c>
      <c r="AF691">
        <f>IFERROR(IF(INDEX(Aux_puntos!$A$2:$OJ$901,687,MATCH($B$2&amp;"|yC",Aux_puntos!$1:$1,0))="",NA(),INDEX(Aux_puntos!$A$2:$OJ$901,687,MATCH($B$2&amp;"|yC",Aux_puntos!$1:$1,0))),NA())</f>
        <v/>
      </c>
      <c r="AG691">
        <f>IFERROR(IF(INDEX(Aux_puntos!$A$2:$OJ$901,687,MATCH($B$2&amp;"|xI",Aux_puntos!$1:$1,0))="",NA(),INDEX(Aux_puntos!$A$2:$OJ$901,687,MATCH($B$2&amp;"|xI",Aux_puntos!$1:$1,0))),NA())</f>
        <v/>
      </c>
      <c r="AH691">
        <f>IFERROR(IF(INDEX(Aux_puntos!$A$2:$OJ$901,687,MATCH($B$2&amp;"|yI",Aux_puntos!$1:$1,0))="",NA(),INDEX(Aux_puntos!$A$2:$OJ$901,687,MATCH($B$2&amp;"|yI",Aux_puntos!$1:$1,0))),NA())</f>
        <v/>
      </c>
      <c r="AI691">
        <f>IFERROR(IF(INDEX(Aux_puntos!$A$2:$OJ$901,687,MATCH($B$2&amp;"|xN",Aux_puntos!$1:$1,0))="",NA(),INDEX(Aux_puntos!$A$2:$OJ$901,687,MATCH($B$2&amp;"|xN",Aux_puntos!$1:$1,0))),NA())</f>
        <v/>
      </c>
      <c r="AJ691">
        <f>IFERROR(IF(INDEX(Aux_puntos!$A$2:$OJ$901,687,MATCH($B$2&amp;"|yN",Aux_puntos!$1:$1,0))="",NA(),INDEX(Aux_puntos!$A$2:$OJ$901,687,MATCH($B$2&amp;"|yN",Aux_puntos!$1:$1,0))),NA())</f>
        <v/>
      </c>
    </row>
    <row r="692">
      <c r="AC692">
        <f>IFERROR(IF(INDEX(Aux_puntos!$A$2:$OJ$901,688,MATCH($B$2&amp;"|xK",Aux_puntos!$1:$1,0))="",NA(),INDEX(Aux_puntos!$A$2:$OJ$901,688,MATCH($B$2&amp;"|xK",Aux_puntos!$1:$1,0))),NA())</f>
        <v/>
      </c>
      <c r="AD692">
        <f>IFERROR(IF(INDEX(Aux_puntos!$A$2:$OJ$901,688,MATCH($B$2&amp;"|yK",Aux_puntos!$1:$1,0))="",NA(),INDEX(Aux_puntos!$A$2:$OJ$901,688,MATCH($B$2&amp;"|yK",Aux_puntos!$1:$1,0))),NA())</f>
        <v/>
      </c>
      <c r="AE692">
        <f>IFERROR(IF(INDEX(Aux_puntos!$A$2:$OJ$901,688,MATCH($B$2&amp;"|xC",Aux_puntos!$1:$1,0))="",NA(),INDEX(Aux_puntos!$A$2:$OJ$901,688,MATCH($B$2&amp;"|xC",Aux_puntos!$1:$1,0))),NA())</f>
        <v/>
      </c>
      <c r="AF692">
        <f>IFERROR(IF(INDEX(Aux_puntos!$A$2:$OJ$901,688,MATCH($B$2&amp;"|yC",Aux_puntos!$1:$1,0))="",NA(),INDEX(Aux_puntos!$A$2:$OJ$901,688,MATCH($B$2&amp;"|yC",Aux_puntos!$1:$1,0))),NA())</f>
        <v/>
      </c>
      <c r="AG692">
        <f>IFERROR(IF(INDEX(Aux_puntos!$A$2:$OJ$901,688,MATCH($B$2&amp;"|xI",Aux_puntos!$1:$1,0))="",NA(),INDEX(Aux_puntos!$A$2:$OJ$901,688,MATCH($B$2&amp;"|xI",Aux_puntos!$1:$1,0))),NA())</f>
        <v/>
      </c>
      <c r="AH692">
        <f>IFERROR(IF(INDEX(Aux_puntos!$A$2:$OJ$901,688,MATCH($B$2&amp;"|yI",Aux_puntos!$1:$1,0))="",NA(),INDEX(Aux_puntos!$A$2:$OJ$901,688,MATCH($B$2&amp;"|yI",Aux_puntos!$1:$1,0))),NA())</f>
        <v/>
      </c>
      <c r="AI692">
        <f>IFERROR(IF(INDEX(Aux_puntos!$A$2:$OJ$901,688,MATCH($B$2&amp;"|xN",Aux_puntos!$1:$1,0))="",NA(),INDEX(Aux_puntos!$A$2:$OJ$901,688,MATCH($B$2&amp;"|xN",Aux_puntos!$1:$1,0))),NA())</f>
        <v/>
      </c>
      <c r="AJ692">
        <f>IFERROR(IF(INDEX(Aux_puntos!$A$2:$OJ$901,688,MATCH($B$2&amp;"|yN",Aux_puntos!$1:$1,0))="",NA(),INDEX(Aux_puntos!$A$2:$OJ$901,688,MATCH($B$2&amp;"|yN",Aux_puntos!$1:$1,0))),NA())</f>
        <v/>
      </c>
    </row>
    <row r="693">
      <c r="AC693">
        <f>IFERROR(IF(INDEX(Aux_puntos!$A$2:$OJ$901,689,MATCH($B$2&amp;"|xK",Aux_puntos!$1:$1,0))="",NA(),INDEX(Aux_puntos!$A$2:$OJ$901,689,MATCH($B$2&amp;"|xK",Aux_puntos!$1:$1,0))),NA())</f>
        <v/>
      </c>
      <c r="AD693">
        <f>IFERROR(IF(INDEX(Aux_puntos!$A$2:$OJ$901,689,MATCH($B$2&amp;"|yK",Aux_puntos!$1:$1,0))="",NA(),INDEX(Aux_puntos!$A$2:$OJ$901,689,MATCH($B$2&amp;"|yK",Aux_puntos!$1:$1,0))),NA())</f>
        <v/>
      </c>
      <c r="AE693">
        <f>IFERROR(IF(INDEX(Aux_puntos!$A$2:$OJ$901,689,MATCH($B$2&amp;"|xC",Aux_puntos!$1:$1,0))="",NA(),INDEX(Aux_puntos!$A$2:$OJ$901,689,MATCH($B$2&amp;"|xC",Aux_puntos!$1:$1,0))),NA())</f>
        <v/>
      </c>
      <c r="AF693">
        <f>IFERROR(IF(INDEX(Aux_puntos!$A$2:$OJ$901,689,MATCH($B$2&amp;"|yC",Aux_puntos!$1:$1,0))="",NA(),INDEX(Aux_puntos!$A$2:$OJ$901,689,MATCH($B$2&amp;"|yC",Aux_puntos!$1:$1,0))),NA())</f>
        <v/>
      </c>
      <c r="AG693">
        <f>IFERROR(IF(INDEX(Aux_puntos!$A$2:$OJ$901,689,MATCH($B$2&amp;"|xI",Aux_puntos!$1:$1,0))="",NA(),INDEX(Aux_puntos!$A$2:$OJ$901,689,MATCH($B$2&amp;"|xI",Aux_puntos!$1:$1,0))),NA())</f>
        <v/>
      </c>
      <c r="AH693">
        <f>IFERROR(IF(INDEX(Aux_puntos!$A$2:$OJ$901,689,MATCH($B$2&amp;"|yI",Aux_puntos!$1:$1,0))="",NA(),INDEX(Aux_puntos!$A$2:$OJ$901,689,MATCH($B$2&amp;"|yI",Aux_puntos!$1:$1,0))),NA())</f>
        <v/>
      </c>
      <c r="AI693">
        <f>IFERROR(IF(INDEX(Aux_puntos!$A$2:$OJ$901,689,MATCH($B$2&amp;"|xN",Aux_puntos!$1:$1,0))="",NA(),INDEX(Aux_puntos!$A$2:$OJ$901,689,MATCH($B$2&amp;"|xN",Aux_puntos!$1:$1,0))),NA())</f>
        <v/>
      </c>
      <c r="AJ693">
        <f>IFERROR(IF(INDEX(Aux_puntos!$A$2:$OJ$901,689,MATCH($B$2&amp;"|yN",Aux_puntos!$1:$1,0))="",NA(),INDEX(Aux_puntos!$A$2:$OJ$901,689,MATCH($B$2&amp;"|yN",Aux_puntos!$1:$1,0))),NA())</f>
        <v/>
      </c>
    </row>
    <row r="694">
      <c r="AC694">
        <f>IFERROR(IF(INDEX(Aux_puntos!$A$2:$OJ$901,690,MATCH($B$2&amp;"|xK",Aux_puntos!$1:$1,0))="",NA(),INDEX(Aux_puntos!$A$2:$OJ$901,690,MATCH($B$2&amp;"|xK",Aux_puntos!$1:$1,0))),NA())</f>
        <v/>
      </c>
      <c r="AD694">
        <f>IFERROR(IF(INDEX(Aux_puntos!$A$2:$OJ$901,690,MATCH($B$2&amp;"|yK",Aux_puntos!$1:$1,0))="",NA(),INDEX(Aux_puntos!$A$2:$OJ$901,690,MATCH($B$2&amp;"|yK",Aux_puntos!$1:$1,0))),NA())</f>
        <v/>
      </c>
      <c r="AE694">
        <f>IFERROR(IF(INDEX(Aux_puntos!$A$2:$OJ$901,690,MATCH($B$2&amp;"|xC",Aux_puntos!$1:$1,0))="",NA(),INDEX(Aux_puntos!$A$2:$OJ$901,690,MATCH($B$2&amp;"|xC",Aux_puntos!$1:$1,0))),NA())</f>
        <v/>
      </c>
      <c r="AF694">
        <f>IFERROR(IF(INDEX(Aux_puntos!$A$2:$OJ$901,690,MATCH($B$2&amp;"|yC",Aux_puntos!$1:$1,0))="",NA(),INDEX(Aux_puntos!$A$2:$OJ$901,690,MATCH($B$2&amp;"|yC",Aux_puntos!$1:$1,0))),NA())</f>
        <v/>
      </c>
      <c r="AG694">
        <f>IFERROR(IF(INDEX(Aux_puntos!$A$2:$OJ$901,690,MATCH($B$2&amp;"|xI",Aux_puntos!$1:$1,0))="",NA(),INDEX(Aux_puntos!$A$2:$OJ$901,690,MATCH($B$2&amp;"|xI",Aux_puntos!$1:$1,0))),NA())</f>
        <v/>
      </c>
      <c r="AH694">
        <f>IFERROR(IF(INDEX(Aux_puntos!$A$2:$OJ$901,690,MATCH($B$2&amp;"|yI",Aux_puntos!$1:$1,0))="",NA(),INDEX(Aux_puntos!$A$2:$OJ$901,690,MATCH($B$2&amp;"|yI",Aux_puntos!$1:$1,0))),NA())</f>
        <v/>
      </c>
      <c r="AI694">
        <f>IFERROR(IF(INDEX(Aux_puntos!$A$2:$OJ$901,690,MATCH($B$2&amp;"|xN",Aux_puntos!$1:$1,0))="",NA(),INDEX(Aux_puntos!$A$2:$OJ$901,690,MATCH($B$2&amp;"|xN",Aux_puntos!$1:$1,0))),NA())</f>
        <v/>
      </c>
      <c r="AJ694">
        <f>IFERROR(IF(INDEX(Aux_puntos!$A$2:$OJ$901,690,MATCH($B$2&amp;"|yN",Aux_puntos!$1:$1,0))="",NA(),INDEX(Aux_puntos!$A$2:$OJ$901,690,MATCH($B$2&amp;"|yN",Aux_puntos!$1:$1,0))),NA())</f>
        <v/>
      </c>
    </row>
    <row r="695">
      <c r="AC695">
        <f>IFERROR(IF(INDEX(Aux_puntos!$A$2:$OJ$901,691,MATCH($B$2&amp;"|xK",Aux_puntos!$1:$1,0))="",NA(),INDEX(Aux_puntos!$A$2:$OJ$901,691,MATCH($B$2&amp;"|xK",Aux_puntos!$1:$1,0))),NA())</f>
        <v/>
      </c>
      <c r="AD695">
        <f>IFERROR(IF(INDEX(Aux_puntos!$A$2:$OJ$901,691,MATCH($B$2&amp;"|yK",Aux_puntos!$1:$1,0))="",NA(),INDEX(Aux_puntos!$A$2:$OJ$901,691,MATCH($B$2&amp;"|yK",Aux_puntos!$1:$1,0))),NA())</f>
        <v/>
      </c>
      <c r="AE695">
        <f>IFERROR(IF(INDEX(Aux_puntos!$A$2:$OJ$901,691,MATCH($B$2&amp;"|xC",Aux_puntos!$1:$1,0))="",NA(),INDEX(Aux_puntos!$A$2:$OJ$901,691,MATCH($B$2&amp;"|xC",Aux_puntos!$1:$1,0))),NA())</f>
        <v/>
      </c>
      <c r="AF695">
        <f>IFERROR(IF(INDEX(Aux_puntos!$A$2:$OJ$901,691,MATCH($B$2&amp;"|yC",Aux_puntos!$1:$1,0))="",NA(),INDEX(Aux_puntos!$A$2:$OJ$901,691,MATCH($B$2&amp;"|yC",Aux_puntos!$1:$1,0))),NA())</f>
        <v/>
      </c>
      <c r="AG695">
        <f>IFERROR(IF(INDEX(Aux_puntos!$A$2:$OJ$901,691,MATCH($B$2&amp;"|xI",Aux_puntos!$1:$1,0))="",NA(),INDEX(Aux_puntos!$A$2:$OJ$901,691,MATCH($B$2&amp;"|xI",Aux_puntos!$1:$1,0))),NA())</f>
        <v/>
      </c>
      <c r="AH695">
        <f>IFERROR(IF(INDEX(Aux_puntos!$A$2:$OJ$901,691,MATCH($B$2&amp;"|yI",Aux_puntos!$1:$1,0))="",NA(),INDEX(Aux_puntos!$A$2:$OJ$901,691,MATCH($B$2&amp;"|yI",Aux_puntos!$1:$1,0))),NA())</f>
        <v/>
      </c>
      <c r="AI695">
        <f>IFERROR(IF(INDEX(Aux_puntos!$A$2:$OJ$901,691,MATCH($B$2&amp;"|xN",Aux_puntos!$1:$1,0))="",NA(),INDEX(Aux_puntos!$A$2:$OJ$901,691,MATCH($B$2&amp;"|xN",Aux_puntos!$1:$1,0))),NA())</f>
        <v/>
      </c>
      <c r="AJ695">
        <f>IFERROR(IF(INDEX(Aux_puntos!$A$2:$OJ$901,691,MATCH($B$2&amp;"|yN",Aux_puntos!$1:$1,0))="",NA(),INDEX(Aux_puntos!$A$2:$OJ$901,691,MATCH($B$2&amp;"|yN",Aux_puntos!$1:$1,0))),NA())</f>
        <v/>
      </c>
    </row>
    <row r="696">
      <c r="AC696">
        <f>IFERROR(IF(INDEX(Aux_puntos!$A$2:$OJ$901,692,MATCH($B$2&amp;"|xK",Aux_puntos!$1:$1,0))="",NA(),INDEX(Aux_puntos!$A$2:$OJ$901,692,MATCH($B$2&amp;"|xK",Aux_puntos!$1:$1,0))),NA())</f>
        <v/>
      </c>
      <c r="AD696">
        <f>IFERROR(IF(INDEX(Aux_puntos!$A$2:$OJ$901,692,MATCH($B$2&amp;"|yK",Aux_puntos!$1:$1,0))="",NA(),INDEX(Aux_puntos!$A$2:$OJ$901,692,MATCH($B$2&amp;"|yK",Aux_puntos!$1:$1,0))),NA())</f>
        <v/>
      </c>
      <c r="AE696">
        <f>IFERROR(IF(INDEX(Aux_puntos!$A$2:$OJ$901,692,MATCH($B$2&amp;"|xC",Aux_puntos!$1:$1,0))="",NA(),INDEX(Aux_puntos!$A$2:$OJ$901,692,MATCH($B$2&amp;"|xC",Aux_puntos!$1:$1,0))),NA())</f>
        <v/>
      </c>
      <c r="AF696">
        <f>IFERROR(IF(INDEX(Aux_puntos!$A$2:$OJ$901,692,MATCH($B$2&amp;"|yC",Aux_puntos!$1:$1,0))="",NA(),INDEX(Aux_puntos!$A$2:$OJ$901,692,MATCH($B$2&amp;"|yC",Aux_puntos!$1:$1,0))),NA())</f>
        <v/>
      </c>
      <c r="AG696">
        <f>IFERROR(IF(INDEX(Aux_puntos!$A$2:$OJ$901,692,MATCH($B$2&amp;"|xI",Aux_puntos!$1:$1,0))="",NA(),INDEX(Aux_puntos!$A$2:$OJ$901,692,MATCH($B$2&amp;"|xI",Aux_puntos!$1:$1,0))),NA())</f>
        <v/>
      </c>
      <c r="AH696">
        <f>IFERROR(IF(INDEX(Aux_puntos!$A$2:$OJ$901,692,MATCH($B$2&amp;"|yI",Aux_puntos!$1:$1,0))="",NA(),INDEX(Aux_puntos!$A$2:$OJ$901,692,MATCH($B$2&amp;"|yI",Aux_puntos!$1:$1,0))),NA())</f>
        <v/>
      </c>
      <c r="AI696">
        <f>IFERROR(IF(INDEX(Aux_puntos!$A$2:$OJ$901,692,MATCH($B$2&amp;"|xN",Aux_puntos!$1:$1,0))="",NA(),INDEX(Aux_puntos!$A$2:$OJ$901,692,MATCH($B$2&amp;"|xN",Aux_puntos!$1:$1,0))),NA())</f>
        <v/>
      </c>
      <c r="AJ696">
        <f>IFERROR(IF(INDEX(Aux_puntos!$A$2:$OJ$901,692,MATCH($B$2&amp;"|yN",Aux_puntos!$1:$1,0))="",NA(),INDEX(Aux_puntos!$A$2:$OJ$901,692,MATCH($B$2&amp;"|yN",Aux_puntos!$1:$1,0))),NA())</f>
        <v/>
      </c>
    </row>
    <row r="697">
      <c r="AC697">
        <f>IFERROR(IF(INDEX(Aux_puntos!$A$2:$OJ$901,693,MATCH($B$2&amp;"|xK",Aux_puntos!$1:$1,0))="",NA(),INDEX(Aux_puntos!$A$2:$OJ$901,693,MATCH($B$2&amp;"|xK",Aux_puntos!$1:$1,0))),NA())</f>
        <v/>
      </c>
      <c r="AD697">
        <f>IFERROR(IF(INDEX(Aux_puntos!$A$2:$OJ$901,693,MATCH($B$2&amp;"|yK",Aux_puntos!$1:$1,0))="",NA(),INDEX(Aux_puntos!$A$2:$OJ$901,693,MATCH($B$2&amp;"|yK",Aux_puntos!$1:$1,0))),NA())</f>
        <v/>
      </c>
      <c r="AE697">
        <f>IFERROR(IF(INDEX(Aux_puntos!$A$2:$OJ$901,693,MATCH($B$2&amp;"|xC",Aux_puntos!$1:$1,0))="",NA(),INDEX(Aux_puntos!$A$2:$OJ$901,693,MATCH($B$2&amp;"|xC",Aux_puntos!$1:$1,0))),NA())</f>
        <v/>
      </c>
      <c r="AF697">
        <f>IFERROR(IF(INDEX(Aux_puntos!$A$2:$OJ$901,693,MATCH($B$2&amp;"|yC",Aux_puntos!$1:$1,0))="",NA(),INDEX(Aux_puntos!$A$2:$OJ$901,693,MATCH($B$2&amp;"|yC",Aux_puntos!$1:$1,0))),NA())</f>
        <v/>
      </c>
      <c r="AG697">
        <f>IFERROR(IF(INDEX(Aux_puntos!$A$2:$OJ$901,693,MATCH($B$2&amp;"|xI",Aux_puntos!$1:$1,0))="",NA(),INDEX(Aux_puntos!$A$2:$OJ$901,693,MATCH($B$2&amp;"|xI",Aux_puntos!$1:$1,0))),NA())</f>
        <v/>
      </c>
      <c r="AH697">
        <f>IFERROR(IF(INDEX(Aux_puntos!$A$2:$OJ$901,693,MATCH($B$2&amp;"|yI",Aux_puntos!$1:$1,0))="",NA(),INDEX(Aux_puntos!$A$2:$OJ$901,693,MATCH($B$2&amp;"|yI",Aux_puntos!$1:$1,0))),NA())</f>
        <v/>
      </c>
      <c r="AI697">
        <f>IFERROR(IF(INDEX(Aux_puntos!$A$2:$OJ$901,693,MATCH($B$2&amp;"|xN",Aux_puntos!$1:$1,0))="",NA(),INDEX(Aux_puntos!$A$2:$OJ$901,693,MATCH($B$2&amp;"|xN",Aux_puntos!$1:$1,0))),NA())</f>
        <v/>
      </c>
      <c r="AJ697">
        <f>IFERROR(IF(INDEX(Aux_puntos!$A$2:$OJ$901,693,MATCH($B$2&amp;"|yN",Aux_puntos!$1:$1,0))="",NA(),INDEX(Aux_puntos!$A$2:$OJ$901,693,MATCH($B$2&amp;"|yN",Aux_puntos!$1:$1,0))),NA())</f>
        <v/>
      </c>
    </row>
    <row r="698">
      <c r="AC698">
        <f>IFERROR(IF(INDEX(Aux_puntos!$A$2:$OJ$901,694,MATCH($B$2&amp;"|xK",Aux_puntos!$1:$1,0))="",NA(),INDEX(Aux_puntos!$A$2:$OJ$901,694,MATCH($B$2&amp;"|xK",Aux_puntos!$1:$1,0))),NA())</f>
        <v/>
      </c>
      <c r="AD698">
        <f>IFERROR(IF(INDEX(Aux_puntos!$A$2:$OJ$901,694,MATCH($B$2&amp;"|yK",Aux_puntos!$1:$1,0))="",NA(),INDEX(Aux_puntos!$A$2:$OJ$901,694,MATCH($B$2&amp;"|yK",Aux_puntos!$1:$1,0))),NA())</f>
        <v/>
      </c>
      <c r="AE698">
        <f>IFERROR(IF(INDEX(Aux_puntos!$A$2:$OJ$901,694,MATCH($B$2&amp;"|xC",Aux_puntos!$1:$1,0))="",NA(),INDEX(Aux_puntos!$A$2:$OJ$901,694,MATCH($B$2&amp;"|xC",Aux_puntos!$1:$1,0))),NA())</f>
        <v/>
      </c>
      <c r="AF698">
        <f>IFERROR(IF(INDEX(Aux_puntos!$A$2:$OJ$901,694,MATCH($B$2&amp;"|yC",Aux_puntos!$1:$1,0))="",NA(),INDEX(Aux_puntos!$A$2:$OJ$901,694,MATCH($B$2&amp;"|yC",Aux_puntos!$1:$1,0))),NA())</f>
        <v/>
      </c>
      <c r="AG698">
        <f>IFERROR(IF(INDEX(Aux_puntos!$A$2:$OJ$901,694,MATCH($B$2&amp;"|xI",Aux_puntos!$1:$1,0))="",NA(),INDEX(Aux_puntos!$A$2:$OJ$901,694,MATCH($B$2&amp;"|xI",Aux_puntos!$1:$1,0))),NA())</f>
        <v/>
      </c>
      <c r="AH698">
        <f>IFERROR(IF(INDEX(Aux_puntos!$A$2:$OJ$901,694,MATCH($B$2&amp;"|yI",Aux_puntos!$1:$1,0))="",NA(),INDEX(Aux_puntos!$A$2:$OJ$901,694,MATCH($B$2&amp;"|yI",Aux_puntos!$1:$1,0))),NA())</f>
        <v/>
      </c>
      <c r="AI698">
        <f>IFERROR(IF(INDEX(Aux_puntos!$A$2:$OJ$901,694,MATCH($B$2&amp;"|xN",Aux_puntos!$1:$1,0))="",NA(),INDEX(Aux_puntos!$A$2:$OJ$901,694,MATCH($B$2&amp;"|xN",Aux_puntos!$1:$1,0))),NA())</f>
        <v/>
      </c>
      <c r="AJ698">
        <f>IFERROR(IF(INDEX(Aux_puntos!$A$2:$OJ$901,694,MATCH($B$2&amp;"|yN",Aux_puntos!$1:$1,0))="",NA(),INDEX(Aux_puntos!$A$2:$OJ$901,694,MATCH($B$2&amp;"|yN",Aux_puntos!$1:$1,0))),NA())</f>
        <v/>
      </c>
    </row>
    <row r="699">
      <c r="AC699">
        <f>IFERROR(IF(INDEX(Aux_puntos!$A$2:$OJ$901,695,MATCH($B$2&amp;"|xK",Aux_puntos!$1:$1,0))="",NA(),INDEX(Aux_puntos!$A$2:$OJ$901,695,MATCH($B$2&amp;"|xK",Aux_puntos!$1:$1,0))),NA())</f>
        <v/>
      </c>
      <c r="AD699">
        <f>IFERROR(IF(INDEX(Aux_puntos!$A$2:$OJ$901,695,MATCH($B$2&amp;"|yK",Aux_puntos!$1:$1,0))="",NA(),INDEX(Aux_puntos!$A$2:$OJ$901,695,MATCH($B$2&amp;"|yK",Aux_puntos!$1:$1,0))),NA())</f>
        <v/>
      </c>
      <c r="AE699">
        <f>IFERROR(IF(INDEX(Aux_puntos!$A$2:$OJ$901,695,MATCH($B$2&amp;"|xC",Aux_puntos!$1:$1,0))="",NA(),INDEX(Aux_puntos!$A$2:$OJ$901,695,MATCH($B$2&amp;"|xC",Aux_puntos!$1:$1,0))),NA())</f>
        <v/>
      </c>
      <c r="AF699">
        <f>IFERROR(IF(INDEX(Aux_puntos!$A$2:$OJ$901,695,MATCH($B$2&amp;"|yC",Aux_puntos!$1:$1,0))="",NA(),INDEX(Aux_puntos!$A$2:$OJ$901,695,MATCH($B$2&amp;"|yC",Aux_puntos!$1:$1,0))),NA())</f>
        <v/>
      </c>
      <c r="AG699">
        <f>IFERROR(IF(INDEX(Aux_puntos!$A$2:$OJ$901,695,MATCH($B$2&amp;"|xI",Aux_puntos!$1:$1,0))="",NA(),INDEX(Aux_puntos!$A$2:$OJ$901,695,MATCH($B$2&amp;"|xI",Aux_puntos!$1:$1,0))),NA())</f>
        <v/>
      </c>
      <c r="AH699">
        <f>IFERROR(IF(INDEX(Aux_puntos!$A$2:$OJ$901,695,MATCH($B$2&amp;"|yI",Aux_puntos!$1:$1,0))="",NA(),INDEX(Aux_puntos!$A$2:$OJ$901,695,MATCH($B$2&amp;"|yI",Aux_puntos!$1:$1,0))),NA())</f>
        <v/>
      </c>
      <c r="AI699">
        <f>IFERROR(IF(INDEX(Aux_puntos!$A$2:$OJ$901,695,MATCH($B$2&amp;"|xN",Aux_puntos!$1:$1,0))="",NA(),INDEX(Aux_puntos!$A$2:$OJ$901,695,MATCH($B$2&amp;"|xN",Aux_puntos!$1:$1,0))),NA())</f>
        <v/>
      </c>
      <c r="AJ699">
        <f>IFERROR(IF(INDEX(Aux_puntos!$A$2:$OJ$901,695,MATCH($B$2&amp;"|yN",Aux_puntos!$1:$1,0))="",NA(),INDEX(Aux_puntos!$A$2:$OJ$901,695,MATCH($B$2&amp;"|yN",Aux_puntos!$1:$1,0))),NA())</f>
        <v/>
      </c>
    </row>
    <row r="700">
      <c r="AC700">
        <f>IFERROR(IF(INDEX(Aux_puntos!$A$2:$OJ$901,696,MATCH($B$2&amp;"|xK",Aux_puntos!$1:$1,0))="",NA(),INDEX(Aux_puntos!$A$2:$OJ$901,696,MATCH($B$2&amp;"|xK",Aux_puntos!$1:$1,0))),NA())</f>
        <v/>
      </c>
      <c r="AD700">
        <f>IFERROR(IF(INDEX(Aux_puntos!$A$2:$OJ$901,696,MATCH($B$2&amp;"|yK",Aux_puntos!$1:$1,0))="",NA(),INDEX(Aux_puntos!$A$2:$OJ$901,696,MATCH($B$2&amp;"|yK",Aux_puntos!$1:$1,0))),NA())</f>
        <v/>
      </c>
      <c r="AE700">
        <f>IFERROR(IF(INDEX(Aux_puntos!$A$2:$OJ$901,696,MATCH($B$2&amp;"|xC",Aux_puntos!$1:$1,0))="",NA(),INDEX(Aux_puntos!$A$2:$OJ$901,696,MATCH($B$2&amp;"|xC",Aux_puntos!$1:$1,0))),NA())</f>
        <v/>
      </c>
      <c r="AF700">
        <f>IFERROR(IF(INDEX(Aux_puntos!$A$2:$OJ$901,696,MATCH($B$2&amp;"|yC",Aux_puntos!$1:$1,0))="",NA(),INDEX(Aux_puntos!$A$2:$OJ$901,696,MATCH($B$2&amp;"|yC",Aux_puntos!$1:$1,0))),NA())</f>
        <v/>
      </c>
      <c r="AG700">
        <f>IFERROR(IF(INDEX(Aux_puntos!$A$2:$OJ$901,696,MATCH($B$2&amp;"|xI",Aux_puntos!$1:$1,0))="",NA(),INDEX(Aux_puntos!$A$2:$OJ$901,696,MATCH($B$2&amp;"|xI",Aux_puntos!$1:$1,0))),NA())</f>
        <v/>
      </c>
      <c r="AH700">
        <f>IFERROR(IF(INDEX(Aux_puntos!$A$2:$OJ$901,696,MATCH($B$2&amp;"|yI",Aux_puntos!$1:$1,0))="",NA(),INDEX(Aux_puntos!$A$2:$OJ$901,696,MATCH($B$2&amp;"|yI",Aux_puntos!$1:$1,0))),NA())</f>
        <v/>
      </c>
      <c r="AI700">
        <f>IFERROR(IF(INDEX(Aux_puntos!$A$2:$OJ$901,696,MATCH($B$2&amp;"|xN",Aux_puntos!$1:$1,0))="",NA(),INDEX(Aux_puntos!$A$2:$OJ$901,696,MATCH($B$2&amp;"|xN",Aux_puntos!$1:$1,0))),NA())</f>
        <v/>
      </c>
      <c r="AJ700">
        <f>IFERROR(IF(INDEX(Aux_puntos!$A$2:$OJ$901,696,MATCH($B$2&amp;"|yN",Aux_puntos!$1:$1,0))="",NA(),INDEX(Aux_puntos!$A$2:$OJ$901,696,MATCH($B$2&amp;"|yN",Aux_puntos!$1:$1,0))),NA())</f>
        <v/>
      </c>
    </row>
    <row r="701">
      <c r="AC701">
        <f>IFERROR(IF(INDEX(Aux_puntos!$A$2:$OJ$901,697,MATCH($B$2&amp;"|xK",Aux_puntos!$1:$1,0))="",NA(),INDEX(Aux_puntos!$A$2:$OJ$901,697,MATCH($B$2&amp;"|xK",Aux_puntos!$1:$1,0))),NA())</f>
        <v/>
      </c>
      <c r="AD701">
        <f>IFERROR(IF(INDEX(Aux_puntos!$A$2:$OJ$901,697,MATCH($B$2&amp;"|yK",Aux_puntos!$1:$1,0))="",NA(),INDEX(Aux_puntos!$A$2:$OJ$901,697,MATCH($B$2&amp;"|yK",Aux_puntos!$1:$1,0))),NA())</f>
        <v/>
      </c>
      <c r="AE701">
        <f>IFERROR(IF(INDEX(Aux_puntos!$A$2:$OJ$901,697,MATCH($B$2&amp;"|xC",Aux_puntos!$1:$1,0))="",NA(),INDEX(Aux_puntos!$A$2:$OJ$901,697,MATCH($B$2&amp;"|xC",Aux_puntos!$1:$1,0))),NA())</f>
        <v/>
      </c>
      <c r="AF701">
        <f>IFERROR(IF(INDEX(Aux_puntos!$A$2:$OJ$901,697,MATCH($B$2&amp;"|yC",Aux_puntos!$1:$1,0))="",NA(),INDEX(Aux_puntos!$A$2:$OJ$901,697,MATCH($B$2&amp;"|yC",Aux_puntos!$1:$1,0))),NA())</f>
        <v/>
      </c>
      <c r="AG701">
        <f>IFERROR(IF(INDEX(Aux_puntos!$A$2:$OJ$901,697,MATCH($B$2&amp;"|xI",Aux_puntos!$1:$1,0))="",NA(),INDEX(Aux_puntos!$A$2:$OJ$901,697,MATCH($B$2&amp;"|xI",Aux_puntos!$1:$1,0))),NA())</f>
        <v/>
      </c>
      <c r="AH701">
        <f>IFERROR(IF(INDEX(Aux_puntos!$A$2:$OJ$901,697,MATCH($B$2&amp;"|yI",Aux_puntos!$1:$1,0))="",NA(),INDEX(Aux_puntos!$A$2:$OJ$901,697,MATCH($B$2&amp;"|yI",Aux_puntos!$1:$1,0))),NA())</f>
        <v/>
      </c>
      <c r="AI701">
        <f>IFERROR(IF(INDEX(Aux_puntos!$A$2:$OJ$901,697,MATCH($B$2&amp;"|xN",Aux_puntos!$1:$1,0))="",NA(),INDEX(Aux_puntos!$A$2:$OJ$901,697,MATCH($B$2&amp;"|xN",Aux_puntos!$1:$1,0))),NA())</f>
        <v/>
      </c>
      <c r="AJ701">
        <f>IFERROR(IF(INDEX(Aux_puntos!$A$2:$OJ$901,697,MATCH($B$2&amp;"|yN",Aux_puntos!$1:$1,0))="",NA(),INDEX(Aux_puntos!$A$2:$OJ$901,697,MATCH($B$2&amp;"|yN",Aux_puntos!$1:$1,0))),NA())</f>
        <v/>
      </c>
    </row>
    <row r="702">
      <c r="AC702">
        <f>IFERROR(IF(INDEX(Aux_puntos!$A$2:$OJ$901,698,MATCH($B$2&amp;"|xK",Aux_puntos!$1:$1,0))="",NA(),INDEX(Aux_puntos!$A$2:$OJ$901,698,MATCH($B$2&amp;"|xK",Aux_puntos!$1:$1,0))),NA())</f>
        <v/>
      </c>
      <c r="AD702">
        <f>IFERROR(IF(INDEX(Aux_puntos!$A$2:$OJ$901,698,MATCH($B$2&amp;"|yK",Aux_puntos!$1:$1,0))="",NA(),INDEX(Aux_puntos!$A$2:$OJ$901,698,MATCH($B$2&amp;"|yK",Aux_puntos!$1:$1,0))),NA())</f>
        <v/>
      </c>
      <c r="AE702">
        <f>IFERROR(IF(INDEX(Aux_puntos!$A$2:$OJ$901,698,MATCH($B$2&amp;"|xC",Aux_puntos!$1:$1,0))="",NA(),INDEX(Aux_puntos!$A$2:$OJ$901,698,MATCH($B$2&amp;"|xC",Aux_puntos!$1:$1,0))),NA())</f>
        <v/>
      </c>
      <c r="AF702">
        <f>IFERROR(IF(INDEX(Aux_puntos!$A$2:$OJ$901,698,MATCH($B$2&amp;"|yC",Aux_puntos!$1:$1,0))="",NA(),INDEX(Aux_puntos!$A$2:$OJ$901,698,MATCH($B$2&amp;"|yC",Aux_puntos!$1:$1,0))),NA())</f>
        <v/>
      </c>
      <c r="AG702">
        <f>IFERROR(IF(INDEX(Aux_puntos!$A$2:$OJ$901,698,MATCH($B$2&amp;"|xI",Aux_puntos!$1:$1,0))="",NA(),INDEX(Aux_puntos!$A$2:$OJ$901,698,MATCH($B$2&amp;"|xI",Aux_puntos!$1:$1,0))),NA())</f>
        <v/>
      </c>
      <c r="AH702">
        <f>IFERROR(IF(INDEX(Aux_puntos!$A$2:$OJ$901,698,MATCH($B$2&amp;"|yI",Aux_puntos!$1:$1,0))="",NA(),INDEX(Aux_puntos!$A$2:$OJ$901,698,MATCH($B$2&amp;"|yI",Aux_puntos!$1:$1,0))),NA())</f>
        <v/>
      </c>
      <c r="AI702">
        <f>IFERROR(IF(INDEX(Aux_puntos!$A$2:$OJ$901,698,MATCH($B$2&amp;"|xN",Aux_puntos!$1:$1,0))="",NA(),INDEX(Aux_puntos!$A$2:$OJ$901,698,MATCH($B$2&amp;"|xN",Aux_puntos!$1:$1,0))),NA())</f>
        <v/>
      </c>
      <c r="AJ702">
        <f>IFERROR(IF(INDEX(Aux_puntos!$A$2:$OJ$901,698,MATCH($B$2&amp;"|yN",Aux_puntos!$1:$1,0))="",NA(),INDEX(Aux_puntos!$A$2:$OJ$901,698,MATCH($B$2&amp;"|yN",Aux_puntos!$1:$1,0))),NA())</f>
        <v/>
      </c>
    </row>
    <row r="703">
      <c r="AC703">
        <f>IFERROR(IF(INDEX(Aux_puntos!$A$2:$OJ$901,699,MATCH($B$2&amp;"|xK",Aux_puntos!$1:$1,0))="",NA(),INDEX(Aux_puntos!$A$2:$OJ$901,699,MATCH($B$2&amp;"|xK",Aux_puntos!$1:$1,0))),NA())</f>
        <v/>
      </c>
      <c r="AD703">
        <f>IFERROR(IF(INDEX(Aux_puntos!$A$2:$OJ$901,699,MATCH($B$2&amp;"|yK",Aux_puntos!$1:$1,0))="",NA(),INDEX(Aux_puntos!$A$2:$OJ$901,699,MATCH($B$2&amp;"|yK",Aux_puntos!$1:$1,0))),NA())</f>
        <v/>
      </c>
      <c r="AE703">
        <f>IFERROR(IF(INDEX(Aux_puntos!$A$2:$OJ$901,699,MATCH($B$2&amp;"|xC",Aux_puntos!$1:$1,0))="",NA(),INDEX(Aux_puntos!$A$2:$OJ$901,699,MATCH($B$2&amp;"|xC",Aux_puntos!$1:$1,0))),NA())</f>
        <v/>
      </c>
      <c r="AF703">
        <f>IFERROR(IF(INDEX(Aux_puntos!$A$2:$OJ$901,699,MATCH($B$2&amp;"|yC",Aux_puntos!$1:$1,0))="",NA(),INDEX(Aux_puntos!$A$2:$OJ$901,699,MATCH($B$2&amp;"|yC",Aux_puntos!$1:$1,0))),NA())</f>
        <v/>
      </c>
      <c r="AG703">
        <f>IFERROR(IF(INDEX(Aux_puntos!$A$2:$OJ$901,699,MATCH($B$2&amp;"|xI",Aux_puntos!$1:$1,0))="",NA(),INDEX(Aux_puntos!$A$2:$OJ$901,699,MATCH($B$2&amp;"|xI",Aux_puntos!$1:$1,0))),NA())</f>
        <v/>
      </c>
      <c r="AH703">
        <f>IFERROR(IF(INDEX(Aux_puntos!$A$2:$OJ$901,699,MATCH($B$2&amp;"|yI",Aux_puntos!$1:$1,0))="",NA(),INDEX(Aux_puntos!$A$2:$OJ$901,699,MATCH($B$2&amp;"|yI",Aux_puntos!$1:$1,0))),NA())</f>
        <v/>
      </c>
      <c r="AI703">
        <f>IFERROR(IF(INDEX(Aux_puntos!$A$2:$OJ$901,699,MATCH($B$2&amp;"|xN",Aux_puntos!$1:$1,0))="",NA(),INDEX(Aux_puntos!$A$2:$OJ$901,699,MATCH($B$2&amp;"|xN",Aux_puntos!$1:$1,0))),NA())</f>
        <v/>
      </c>
      <c r="AJ703">
        <f>IFERROR(IF(INDEX(Aux_puntos!$A$2:$OJ$901,699,MATCH($B$2&amp;"|yN",Aux_puntos!$1:$1,0))="",NA(),INDEX(Aux_puntos!$A$2:$OJ$901,699,MATCH($B$2&amp;"|yN",Aux_puntos!$1:$1,0))),NA())</f>
        <v/>
      </c>
    </row>
    <row r="704">
      <c r="AC704">
        <f>IFERROR(IF(INDEX(Aux_puntos!$A$2:$OJ$901,700,MATCH($B$2&amp;"|xK",Aux_puntos!$1:$1,0))="",NA(),INDEX(Aux_puntos!$A$2:$OJ$901,700,MATCH($B$2&amp;"|xK",Aux_puntos!$1:$1,0))),NA())</f>
        <v/>
      </c>
      <c r="AD704">
        <f>IFERROR(IF(INDEX(Aux_puntos!$A$2:$OJ$901,700,MATCH($B$2&amp;"|yK",Aux_puntos!$1:$1,0))="",NA(),INDEX(Aux_puntos!$A$2:$OJ$901,700,MATCH($B$2&amp;"|yK",Aux_puntos!$1:$1,0))),NA())</f>
        <v/>
      </c>
      <c r="AE704">
        <f>IFERROR(IF(INDEX(Aux_puntos!$A$2:$OJ$901,700,MATCH($B$2&amp;"|xC",Aux_puntos!$1:$1,0))="",NA(),INDEX(Aux_puntos!$A$2:$OJ$901,700,MATCH($B$2&amp;"|xC",Aux_puntos!$1:$1,0))),NA())</f>
        <v/>
      </c>
      <c r="AF704">
        <f>IFERROR(IF(INDEX(Aux_puntos!$A$2:$OJ$901,700,MATCH($B$2&amp;"|yC",Aux_puntos!$1:$1,0))="",NA(),INDEX(Aux_puntos!$A$2:$OJ$901,700,MATCH($B$2&amp;"|yC",Aux_puntos!$1:$1,0))),NA())</f>
        <v/>
      </c>
      <c r="AG704">
        <f>IFERROR(IF(INDEX(Aux_puntos!$A$2:$OJ$901,700,MATCH($B$2&amp;"|xI",Aux_puntos!$1:$1,0))="",NA(),INDEX(Aux_puntos!$A$2:$OJ$901,700,MATCH($B$2&amp;"|xI",Aux_puntos!$1:$1,0))),NA())</f>
        <v/>
      </c>
      <c r="AH704">
        <f>IFERROR(IF(INDEX(Aux_puntos!$A$2:$OJ$901,700,MATCH($B$2&amp;"|yI",Aux_puntos!$1:$1,0))="",NA(),INDEX(Aux_puntos!$A$2:$OJ$901,700,MATCH($B$2&amp;"|yI",Aux_puntos!$1:$1,0))),NA())</f>
        <v/>
      </c>
      <c r="AI704">
        <f>IFERROR(IF(INDEX(Aux_puntos!$A$2:$OJ$901,700,MATCH($B$2&amp;"|xN",Aux_puntos!$1:$1,0))="",NA(),INDEX(Aux_puntos!$A$2:$OJ$901,700,MATCH($B$2&amp;"|xN",Aux_puntos!$1:$1,0))),NA())</f>
        <v/>
      </c>
      <c r="AJ704">
        <f>IFERROR(IF(INDEX(Aux_puntos!$A$2:$OJ$901,700,MATCH($B$2&amp;"|yN",Aux_puntos!$1:$1,0))="",NA(),INDEX(Aux_puntos!$A$2:$OJ$901,700,MATCH($B$2&amp;"|yN",Aux_puntos!$1:$1,0))),NA())</f>
        <v/>
      </c>
    </row>
    <row r="705">
      <c r="AC705">
        <f>IFERROR(IF(INDEX(Aux_puntos!$A$2:$OJ$901,701,MATCH($B$2&amp;"|xK",Aux_puntos!$1:$1,0))="",NA(),INDEX(Aux_puntos!$A$2:$OJ$901,701,MATCH($B$2&amp;"|xK",Aux_puntos!$1:$1,0))),NA())</f>
        <v/>
      </c>
      <c r="AD705">
        <f>IFERROR(IF(INDEX(Aux_puntos!$A$2:$OJ$901,701,MATCH($B$2&amp;"|yK",Aux_puntos!$1:$1,0))="",NA(),INDEX(Aux_puntos!$A$2:$OJ$901,701,MATCH($B$2&amp;"|yK",Aux_puntos!$1:$1,0))),NA())</f>
        <v/>
      </c>
      <c r="AE705">
        <f>IFERROR(IF(INDEX(Aux_puntos!$A$2:$OJ$901,701,MATCH($B$2&amp;"|xC",Aux_puntos!$1:$1,0))="",NA(),INDEX(Aux_puntos!$A$2:$OJ$901,701,MATCH($B$2&amp;"|xC",Aux_puntos!$1:$1,0))),NA())</f>
        <v/>
      </c>
      <c r="AF705">
        <f>IFERROR(IF(INDEX(Aux_puntos!$A$2:$OJ$901,701,MATCH($B$2&amp;"|yC",Aux_puntos!$1:$1,0))="",NA(),INDEX(Aux_puntos!$A$2:$OJ$901,701,MATCH($B$2&amp;"|yC",Aux_puntos!$1:$1,0))),NA())</f>
        <v/>
      </c>
      <c r="AG705">
        <f>IFERROR(IF(INDEX(Aux_puntos!$A$2:$OJ$901,701,MATCH($B$2&amp;"|xI",Aux_puntos!$1:$1,0))="",NA(),INDEX(Aux_puntos!$A$2:$OJ$901,701,MATCH($B$2&amp;"|xI",Aux_puntos!$1:$1,0))),NA())</f>
        <v/>
      </c>
      <c r="AH705">
        <f>IFERROR(IF(INDEX(Aux_puntos!$A$2:$OJ$901,701,MATCH($B$2&amp;"|yI",Aux_puntos!$1:$1,0))="",NA(),INDEX(Aux_puntos!$A$2:$OJ$901,701,MATCH($B$2&amp;"|yI",Aux_puntos!$1:$1,0))),NA())</f>
        <v/>
      </c>
      <c r="AI705">
        <f>IFERROR(IF(INDEX(Aux_puntos!$A$2:$OJ$901,701,MATCH($B$2&amp;"|xN",Aux_puntos!$1:$1,0))="",NA(),INDEX(Aux_puntos!$A$2:$OJ$901,701,MATCH($B$2&amp;"|xN",Aux_puntos!$1:$1,0))),NA())</f>
        <v/>
      </c>
      <c r="AJ705">
        <f>IFERROR(IF(INDEX(Aux_puntos!$A$2:$OJ$901,701,MATCH($B$2&amp;"|yN",Aux_puntos!$1:$1,0))="",NA(),INDEX(Aux_puntos!$A$2:$OJ$901,701,MATCH($B$2&amp;"|yN",Aux_puntos!$1:$1,0))),NA())</f>
        <v/>
      </c>
    </row>
    <row r="706">
      <c r="AC706">
        <f>IFERROR(IF(INDEX(Aux_puntos!$A$2:$OJ$901,702,MATCH($B$2&amp;"|xK",Aux_puntos!$1:$1,0))="",NA(),INDEX(Aux_puntos!$A$2:$OJ$901,702,MATCH($B$2&amp;"|xK",Aux_puntos!$1:$1,0))),NA())</f>
        <v/>
      </c>
      <c r="AD706">
        <f>IFERROR(IF(INDEX(Aux_puntos!$A$2:$OJ$901,702,MATCH($B$2&amp;"|yK",Aux_puntos!$1:$1,0))="",NA(),INDEX(Aux_puntos!$A$2:$OJ$901,702,MATCH($B$2&amp;"|yK",Aux_puntos!$1:$1,0))),NA())</f>
        <v/>
      </c>
      <c r="AE706">
        <f>IFERROR(IF(INDEX(Aux_puntos!$A$2:$OJ$901,702,MATCH($B$2&amp;"|xC",Aux_puntos!$1:$1,0))="",NA(),INDEX(Aux_puntos!$A$2:$OJ$901,702,MATCH($B$2&amp;"|xC",Aux_puntos!$1:$1,0))),NA())</f>
        <v/>
      </c>
      <c r="AF706">
        <f>IFERROR(IF(INDEX(Aux_puntos!$A$2:$OJ$901,702,MATCH($B$2&amp;"|yC",Aux_puntos!$1:$1,0))="",NA(),INDEX(Aux_puntos!$A$2:$OJ$901,702,MATCH($B$2&amp;"|yC",Aux_puntos!$1:$1,0))),NA())</f>
        <v/>
      </c>
      <c r="AG706">
        <f>IFERROR(IF(INDEX(Aux_puntos!$A$2:$OJ$901,702,MATCH($B$2&amp;"|xI",Aux_puntos!$1:$1,0))="",NA(),INDEX(Aux_puntos!$A$2:$OJ$901,702,MATCH($B$2&amp;"|xI",Aux_puntos!$1:$1,0))),NA())</f>
        <v/>
      </c>
      <c r="AH706">
        <f>IFERROR(IF(INDEX(Aux_puntos!$A$2:$OJ$901,702,MATCH($B$2&amp;"|yI",Aux_puntos!$1:$1,0))="",NA(),INDEX(Aux_puntos!$A$2:$OJ$901,702,MATCH($B$2&amp;"|yI",Aux_puntos!$1:$1,0))),NA())</f>
        <v/>
      </c>
      <c r="AI706">
        <f>IFERROR(IF(INDEX(Aux_puntos!$A$2:$OJ$901,702,MATCH($B$2&amp;"|xN",Aux_puntos!$1:$1,0))="",NA(),INDEX(Aux_puntos!$A$2:$OJ$901,702,MATCH($B$2&amp;"|xN",Aux_puntos!$1:$1,0))),NA())</f>
        <v/>
      </c>
      <c r="AJ706">
        <f>IFERROR(IF(INDEX(Aux_puntos!$A$2:$OJ$901,702,MATCH($B$2&amp;"|yN",Aux_puntos!$1:$1,0))="",NA(),INDEX(Aux_puntos!$A$2:$OJ$901,702,MATCH($B$2&amp;"|yN",Aux_puntos!$1:$1,0))),NA())</f>
        <v/>
      </c>
    </row>
    <row r="707">
      <c r="AC707">
        <f>IFERROR(IF(INDEX(Aux_puntos!$A$2:$OJ$901,703,MATCH($B$2&amp;"|xK",Aux_puntos!$1:$1,0))="",NA(),INDEX(Aux_puntos!$A$2:$OJ$901,703,MATCH($B$2&amp;"|xK",Aux_puntos!$1:$1,0))),NA())</f>
        <v/>
      </c>
      <c r="AD707">
        <f>IFERROR(IF(INDEX(Aux_puntos!$A$2:$OJ$901,703,MATCH($B$2&amp;"|yK",Aux_puntos!$1:$1,0))="",NA(),INDEX(Aux_puntos!$A$2:$OJ$901,703,MATCH($B$2&amp;"|yK",Aux_puntos!$1:$1,0))),NA())</f>
        <v/>
      </c>
      <c r="AE707">
        <f>IFERROR(IF(INDEX(Aux_puntos!$A$2:$OJ$901,703,MATCH($B$2&amp;"|xC",Aux_puntos!$1:$1,0))="",NA(),INDEX(Aux_puntos!$A$2:$OJ$901,703,MATCH($B$2&amp;"|xC",Aux_puntos!$1:$1,0))),NA())</f>
        <v/>
      </c>
      <c r="AF707">
        <f>IFERROR(IF(INDEX(Aux_puntos!$A$2:$OJ$901,703,MATCH($B$2&amp;"|yC",Aux_puntos!$1:$1,0))="",NA(),INDEX(Aux_puntos!$A$2:$OJ$901,703,MATCH($B$2&amp;"|yC",Aux_puntos!$1:$1,0))),NA())</f>
        <v/>
      </c>
      <c r="AG707">
        <f>IFERROR(IF(INDEX(Aux_puntos!$A$2:$OJ$901,703,MATCH($B$2&amp;"|xI",Aux_puntos!$1:$1,0))="",NA(),INDEX(Aux_puntos!$A$2:$OJ$901,703,MATCH($B$2&amp;"|xI",Aux_puntos!$1:$1,0))),NA())</f>
        <v/>
      </c>
      <c r="AH707">
        <f>IFERROR(IF(INDEX(Aux_puntos!$A$2:$OJ$901,703,MATCH($B$2&amp;"|yI",Aux_puntos!$1:$1,0))="",NA(),INDEX(Aux_puntos!$A$2:$OJ$901,703,MATCH($B$2&amp;"|yI",Aux_puntos!$1:$1,0))),NA())</f>
        <v/>
      </c>
      <c r="AI707">
        <f>IFERROR(IF(INDEX(Aux_puntos!$A$2:$OJ$901,703,MATCH($B$2&amp;"|xN",Aux_puntos!$1:$1,0))="",NA(),INDEX(Aux_puntos!$A$2:$OJ$901,703,MATCH($B$2&amp;"|xN",Aux_puntos!$1:$1,0))),NA())</f>
        <v/>
      </c>
      <c r="AJ707">
        <f>IFERROR(IF(INDEX(Aux_puntos!$A$2:$OJ$901,703,MATCH($B$2&amp;"|yN",Aux_puntos!$1:$1,0))="",NA(),INDEX(Aux_puntos!$A$2:$OJ$901,703,MATCH($B$2&amp;"|yN",Aux_puntos!$1:$1,0))),NA())</f>
        <v/>
      </c>
    </row>
    <row r="708">
      <c r="AC708">
        <f>IFERROR(IF(INDEX(Aux_puntos!$A$2:$OJ$901,704,MATCH($B$2&amp;"|xK",Aux_puntos!$1:$1,0))="",NA(),INDEX(Aux_puntos!$A$2:$OJ$901,704,MATCH($B$2&amp;"|xK",Aux_puntos!$1:$1,0))),NA())</f>
        <v/>
      </c>
      <c r="AD708">
        <f>IFERROR(IF(INDEX(Aux_puntos!$A$2:$OJ$901,704,MATCH($B$2&amp;"|yK",Aux_puntos!$1:$1,0))="",NA(),INDEX(Aux_puntos!$A$2:$OJ$901,704,MATCH($B$2&amp;"|yK",Aux_puntos!$1:$1,0))),NA())</f>
        <v/>
      </c>
      <c r="AE708">
        <f>IFERROR(IF(INDEX(Aux_puntos!$A$2:$OJ$901,704,MATCH($B$2&amp;"|xC",Aux_puntos!$1:$1,0))="",NA(),INDEX(Aux_puntos!$A$2:$OJ$901,704,MATCH($B$2&amp;"|xC",Aux_puntos!$1:$1,0))),NA())</f>
        <v/>
      </c>
      <c r="AF708">
        <f>IFERROR(IF(INDEX(Aux_puntos!$A$2:$OJ$901,704,MATCH($B$2&amp;"|yC",Aux_puntos!$1:$1,0))="",NA(),INDEX(Aux_puntos!$A$2:$OJ$901,704,MATCH($B$2&amp;"|yC",Aux_puntos!$1:$1,0))),NA())</f>
        <v/>
      </c>
      <c r="AG708">
        <f>IFERROR(IF(INDEX(Aux_puntos!$A$2:$OJ$901,704,MATCH($B$2&amp;"|xI",Aux_puntos!$1:$1,0))="",NA(),INDEX(Aux_puntos!$A$2:$OJ$901,704,MATCH($B$2&amp;"|xI",Aux_puntos!$1:$1,0))),NA())</f>
        <v/>
      </c>
      <c r="AH708">
        <f>IFERROR(IF(INDEX(Aux_puntos!$A$2:$OJ$901,704,MATCH($B$2&amp;"|yI",Aux_puntos!$1:$1,0))="",NA(),INDEX(Aux_puntos!$A$2:$OJ$901,704,MATCH($B$2&amp;"|yI",Aux_puntos!$1:$1,0))),NA())</f>
        <v/>
      </c>
      <c r="AI708">
        <f>IFERROR(IF(INDEX(Aux_puntos!$A$2:$OJ$901,704,MATCH($B$2&amp;"|xN",Aux_puntos!$1:$1,0))="",NA(),INDEX(Aux_puntos!$A$2:$OJ$901,704,MATCH($B$2&amp;"|xN",Aux_puntos!$1:$1,0))),NA())</f>
        <v/>
      </c>
      <c r="AJ708">
        <f>IFERROR(IF(INDEX(Aux_puntos!$A$2:$OJ$901,704,MATCH($B$2&amp;"|yN",Aux_puntos!$1:$1,0))="",NA(),INDEX(Aux_puntos!$A$2:$OJ$901,704,MATCH($B$2&amp;"|yN",Aux_puntos!$1:$1,0))),NA())</f>
        <v/>
      </c>
    </row>
    <row r="709">
      <c r="AC709">
        <f>IFERROR(IF(INDEX(Aux_puntos!$A$2:$OJ$901,705,MATCH($B$2&amp;"|xK",Aux_puntos!$1:$1,0))="",NA(),INDEX(Aux_puntos!$A$2:$OJ$901,705,MATCH($B$2&amp;"|xK",Aux_puntos!$1:$1,0))),NA())</f>
        <v/>
      </c>
      <c r="AD709">
        <f>IFERROR(IF(INDEX(Aux_puntos!$A$2:$OJ$901,705,MATCH($B$2&amp;"|yK",Aux_puntos!$1:$1,0))="",NA(),INDEX(Aux_puntos!$A$2:$OJ$901,705,MATCH($B$2&amp;"|yK",Aux_puntos!$1:$1,0))),NA())</f>
        <v/>
      </c>
      <c r="AE709">
        <f>IFERROR(IF(INDEX(Aux_puntos!$A$2:$OJ$901,705,MATCH($B$2&amp;"|xC",Aux_puntos!$1:$1,0))="",NA(),INDEX(Aux_puntos!$A$2:$OJ$901,705,MATCH($B$2&amp;"|xC",Aux_puntos!$1:$1,0))),NA())</f>
        <v/>
      </c>
      <c r="AF709">
        <f>IFERROR(IF(INDEX(Aux_puntos!$A$2:$OJ$901,705,MATCH($B$2&amp;"|yC",Aux_puntos!$1:$1,0))="",NA(),INDEX(Aux_puntos!$A$2:$OJ$901,705,MATCH($B$2&amp;"|yC",Aux_puntos!$1:$1,0))),NA())</f>
        <v/>
      </c>
      <c r="AG709">
        <f>IFERROR(IF(INDEX(Aux_puntos!$A$2:$OJ$901,705,MATCH($B$2&amp;"|xI",Aux_puntos!$1:$1,0))="",NA(),INDEX(Aux_puntos!$A$2:$OJ$901,705,MATCH($B$2&amp;"|xI",Aux_puntos!$1:$1,0))),NA())</f>
        <v/>
      </c>
      <c r="AH709">
        <f>IFERROR(IF(INDEX(Aux_puntos!$A$2:$OJ$901,705,MATCH($B$2&amp;"|yI",Aux_puntos!$1:$1,0))="",NA(),INDEX(Aux_puntos!$A$2:$OJ$901,705,MATCH($B$2&amp;"|yI",Aux_puntos!$1:$1,0))),NA())</f>
        <v/>
      </c>
      <c r="AI709">
        <f>IFERROR(IF(INDEX(Aux_puntos!$A$2:$OJ$901,705,MATCH($B$2&amp;"|xN",Aux_puntos!$1:$1,0))="",NA(),INDEX(Aux_puntos!$A$2:$OJ$901,705,MATCH($B$2&amp;"|xN",Aux_puntos!$1:$1,0))),NA())</f>
        <v/>
      </c>
      <c r="AJ709">
        <f>IFERROR(IF(INDEX(Aux_puntos!$A$2:$OJ$901,705,MATCH($B$2&amp;"|yN",Aux_puntos!$1:$1,0))="",NA(),INDEX(Aux_puntos!$A$2:$OJ$901,705,MATCH($B$2&amp;"|yN",Aux_puntos!$1:$1,0))),NA())</f>
        <v/>
      </c>
    </row>
    <row r="710">
      <c r="AC710">
        <f>IFERROR(IF(INDEX(Aux_puntos!$A$2:$OJ$901,706,MATCH($B$2&amp;"|xK",Aux_puntos!$1:$1,0))="",NA(),INDEX(Aux_puntos!$A$2:$OJ$901,706,MATCH($B$2&amp;"|xK",Aux_puntos!$1:$1,0))),NA())</f>
        <v/>
      </c>
      <c r="AD710">
        <f>IFERROR(IF(INDEX(Aux_puntos!$A$2:$OJ$901,706,MATCH($B$2&amp;"|yK",Aux_puntos!$1:$1,0))="",NA(),INDEX(Aux_puntos!$A$2:$OJ$901,706,MATCH($B$2&amp;"|yK",Aux_puntos!$1:$1,0))),NA())</f>
        <v/>
      </c>
      <c r="AE710">
        <f>IFERROR(IF(INDEX(Aux_puntos!$A$2:$OJ$901,706,MATCH($B$2&amp;"|xC",Aux_puntos!$1:$1,0))="",NA(),INDEX(Aux_puntos!$A$2:$OJ$901,706,MATCH($B$2&amp;"|xC",Aux_puntos!$1:$1,0))),NA())</f>
        <v/>
      </c>
      <c r="AF710">
        <f>IFERROR(IF(INDEX(Aux_puntos!$A$2:$OJ$901,706,MATCH($B$2&amp;"|yC",Aux_puntos!$1:$1,0))="",NA(),INDEX(Aux_puntos!$A$2:$OJ$901,706,MATCH($B$2&amp;"|yC",Aux_puntos!$1:$1,0))),NA())</f>
        <v/>
      </c>
      <c r="AG710">
        <f>IFERROR(IF(INDEX(Aux_puntos!$A$2:$OJ$901,706,MATCH($B$2&amp;"|xI",Aux_puntos!$1:$1,0))="",NA(),INDEX(Aux_puntos!$A$2:$OJ$901,706,MATCH($B$2&amp;"|xI",Aux_puntos!$1:$1,0))),NA())</f>
        <v/>
      </c>
      <c r="AH710">
        <f>IFERROR(IF(INDEX(Aux_puntos!$A$2:$OJ$901,706,MATCH($B$2&amp;"|yI",Aux_puntos!$1:$1,0))="",NA(),INDEX(Aux_puntos!$A$2:$OJ$901,706,MATCH($B$2&amp;"|yI",Aux_puntos!$1:$1,0))),NA())</f>
        <v/>
      </c>
      <c r="AI710">
        <f>IFERROR(IF(INDEX(Aux_puntos!$A$2:$OJ$901,706,MATCH($B$2&amp;"|xN",Aux_puntos!$1:$1,0))="",NA(),INDEX(Aux_puntos!$A$2:$OJ$901,706,MATCH($B$2&amp;"|xN",Aux_puntos!$1:$1,0))),NA())</f>
        <v/>
      </c>
      <c r="AJ710">
        <f>IFERROR(IF(INDEX(Aux_puntos!$A$2:$OJ$901,706,MATCH($B$2&amp;"|yN",Aux_puntos!$1:$1,0))="",NA(),INDEX(Aux_puntos!$A$2:$OJ$901,706,MATCH($B$2&amp;"|yN",Aux_puntos!$1:$1,0))),NA())</f>
        <v/>
      </c>
    </row>
    <row r="711">
      <c r="AC711">
        <f>IFERROR(IF(INDEX(Aux_puntos!$A$2:$OJ$901,707,MATCH($B$2&amp;"|xK",Aux_puntos!$1:$1,0))="",NA(),INDEX(Aux_puntos!$A$2:$OJ$901,707,MATCH($B$2&amp;"|xK",Aux_puntos!$1:$1,0))),NA())</f>
        <v/>
      </c>
      <c r="AD711">
        <f>IFERROR(IF(INDEX(Aux_puntos!$A$2:$OJ$901,707,MATCH($B$2&amp;"|yK",Aux_puntos!$1:$1,0))="",NA(),INDEX(Aux_puntos!$A$2:$OJ$901,707,MATCH($B$2&amp;"|yK",Aux_puntos!$1:$1,0))),NA())</f>
        <v/>
      </c>
      <c r="AE711">
        <f>IFERROR(IF(INDEX(Aux_puntos!$A$2:$OJ$901,707,MATCH($B$2&amp;"|xC",Aux_puntos!$1:$1,0))="",NA(),INDEX(Aux_puntos!$A$2:$OJ$901,707,MATCH($B$2&amp;"|xC",Aux_puntos!$1:$1,0))),NA())</f>
        <v/>
      </c>
      <c r="AF711">
        <f>IFERROR(IF(INDEX(Aux_puntos!$A$2:$OJ$901,707,MATCH($B$2&amp;"|yC",Aux_puntos!$1:$1,0))="",NA(),INDEX(Aux_puntos!$A$2:$OJ$901,707,MATCH($B$2&amp;"|yC",Aux_puntos!$1:$1,0))),NA())</f>
        <v/>
      </c>
      <c r="AG711">
        <f>IFERROR(IF(INDEX(Aux_puntos!$A$2:$OJ$901,707,MATCH($B$2&amp;"|xI",Aux_puntos!$1:$1,0))="",NA(),INDEX(Aux_puntos!$A$2:$OJ$901,707,MATCH($B$2&amp;"|xI",Aux_puntos!$1:$1,0))),NA())</f>
        <v/>
      </c>
      <c r="AH711">
        <f>IFERROR(IF(INDEX(Aux_puntos!$A$2:$OJ$901,707,MATCH($B$2&amp;"|yI",Aux_puntos!$1:$1,0))="",NA(),INDEX(Aux_puntos!$A$2:$OJ$901,707,MATCH($B$2&amp;"|yI",Aux_puntos!$1:$1,0))),NA())</f>
        <v/>
      </c>
      <c r="AI711">
        <f>IFERROR(IF(INDEX(Aux_puntos!$A$2:$OJ$901,707,MATCH($B$2&amp;"|xN",Aux_puntos!$1:$1,0))="",NA(),INDEX(Aux_puntos!$A$2:$OJ$901,707,MATCH($B$2&amp;"|xN",Aux_puntos!$1:$1,0))),NA())</f>
        <v/>
      </c>
      <c r="AJ711">
        <f>IFERROR(IF(INDEX(Aux_puntos!$A$2:$OJ$901,707,MATCH($B$2&amp;"|yN",Aux_puntos!$1:$1,0))="",NA(),INDEX(Aux_puntos!$A$2:$OJ$901,707,MATCH($B$2&amp;"|yN",Aux_puntos!$1:$1,0))),NA())</f>
        <v/>
      </c>
    </row>
    <row r="712">
      <c r="AC712">
        <f>IFERROR(IF(INDEX(Aux_puntos!$A$2:$OJ$901,708,MATCH($B$2&amp;"|xK",Aux_puntos!$1:$1,0))="",NA(),INDEX(Aux_puntos!$A$2:$OJ$901,708,MATCH($B$2&amp;"|xK",Aux_puntos!$1:$1,0))),NA())</f>
        <v/>
      </c>
      <c r="AD712">
        <f>IFERROR(IF(INDEX(Aux_puntos!$A$2:$OJ$901,708,MATCH($B$2&amp;"|yK",Aux_puntos!$1:$1,0))="",NA(),INDEX(Aux_puntos!$A$2:$OJ$901,708,MATCH($B$2&amp;"|yK",Aux_puntos!$1:$1,0))),NA())</f>
        <v/>
      </c>
      <c r="AE712">
        <f>IFERROR(IF(INDEX(Aux_puntos!$A$2:$OJ$901,708,MATCH($B$2&amp;"|xC",Aux_puntos!$1:$1,0))="",NA(),INDEX(Aux_puntos!$A$2:$OJ$901,708,MATCH($B$2&amp;"|xC",Aux_puntos!$1:$1,0))),NA())</f>
        <v/>
      </c>
      <c r="AF712">
        <f>IFERROR(IF(INDEX(Aux_puntos!$A$2:$OJ$901,708,MATCH($B$2&amp;"|yC",Aux_puntos!$1:$1,0))="",NA(),INDEX(Aux_puntos!$A$2:$OJ$901,708,MATCH($B$2&amp;"|yC",Aux_puntos!$1:$1,0))),NA())</f>
        <v/>
      </c>
      <c r="AG712">
        <f>IFERROR(IF(INDEX(Aux_puntos!$A$2:$OJ$901,708,MATCH($B$2&amp;"|xI",Aux_puntos!$1:$1,0))="",NA(),INDEX(Aux_puntos!$A$2:$OJ$901,708,MATCH($B$2&amp;"|xI",Aux_puntos!$1:$1,0))),NA())</f>
        <v/>
      </c>
      <c r="AH712">
        <f>IFERROR(IF(INDEX(Aux_puntos!$A$2:$OJ$901,708,MATCH($B$2&amp;"|yI",Aux_puntos!$1:$1,0))="",NA(),INDEX(Aux_puntos!$A$2:$OJ$901,708,MATCH($B$2&amp;"|yI",Aux_puntos!$1:$1,0))),NA())</f>
        <v/>
      </c>
      <c r="AI712">
        <f>IFERROR(IF(INDEX(Aux_puntos!$A$2:$OJ$901,708,MATCH($B$2&amp;"|xN",Aux_puntos!$1:$1,0))="",NA(),INDEX(Aux_puntos!$A$2:$OJ$901,708,MATCH($B$2&amp;"|xN",Aux_puntos!$1:$1,0))),NA())</f>
        <v/>
      </c>
      <c r="AJ712">
        <f>IFERROR(IF(INDEX(Aux_puntos!$A$2:$OJ$901,708,MATCH($B$2&amp;"|yN",Aux_puntos!$1:$1,0))="",NA(),INDEX(Aux_puntos!$A$2:$OJ$901,708,MATCH($B$2&amp;"|yN",Aux_puntos!$1:$1,0))),NA())</f>
        <v/>
      </c>
    </row>
    <row r="713">
      <c r="AC713">
        <f>IFERROR(IF(INDEX(Aux_puntos!$A$2:$OJ$901,709,MATCH($B$2&amp;"|xK",Aux_puntos!$1:$1,0))="",NA(),INDEX(Aux_puntos!$A$2:$OJ$901,709,MATCH($B$2&amp;"|xK",Aux_puntos!$1:$1,0))),NA())</f>
        <v/>
      </c>
      <c r="AD713">
        <f>IFERROR(IF(INDEX(Aux_puntos!$A$2:$OJ$901,709,MATCH($B$2&amp;"|yK",Aux_puntos!$1:$1,0))="",NA(),INDEX(Aux_puntos!$A$2:$OJ$901,709,MATCH($B$2&amp;"|yK",Aux_puntos!$1:$1,0))),NA())</f>
        <v/>
      </c>
      <c r="AE713">
        <f>IFERROR(IF(INDEX(Aux_puntos!$A$2:$OJ$901,709,MATCH($B$2&amp;"|xC",Aux_puntos!$1:$1,0))="",NA(),INDEX(Aux_puntos!$A$2:$OJ$901,709,MATCH($B$2&amp;"|xC",Aux_puntos!$1:$1,0))),NA())</f>
        <v/>
      </c>
      <c r="AF713">
        <f>IFERROR(IF(INDEX(Aux_puntos!$A$2:$OJ$901,709,MATCH($B$2&amp;"|yC",Aux_puntos!$1:$1,0))="",NA(),INDEX(Aux_puntos!$A$2:$OJ$901,709,MATCH($B$2&amp;"|yC",Aux_puntos!$1:$1,0))),NA())</f>
        <v/>
      </c>
      <c r="AG713">
        <f>IFERROR(IF(INDEX(Aux_puntos!$A$2:$OJ$901,709,MATCH($B$2&amp;"|xI",Aux_puntos!$1:$1,0))="",NA(),INDEX(Aux_puntos!$A$2:$OJ$901,709,MATCH($B$2&amp;"|xI",Aux_puntos!$1:$1,0))),NA())</f>
        <v/>
      </c>
      <c r="AH713">
        <f>IFERROR(IF(INDEX(Aux_puntos!$A$2:$OJ$901,709,MATCH($B$2&amp;"|yI",Aux_puntos!$1:$1,0))="",NA(),INDEX(Aux_puntos!$A$2:$OJ$901,709,MATCH($B$2&amp;"|yI",Aux_puntos!$1:$1,0))),NA())</f>
        <v/>
      </c>
      <c r="AI713">
        <f>IFERROR(IF(INDEX(Aux_puntos!$A$2:$OJ$901,709,MATCH($B$2&amp;"|xN",Aux_puntos!$1:$1,0))="",NA(),INDEX(Aux_puntos!$A$2:$OJ$901,709,MATCH($B$2&amp;"|xN",Aux_puntos!$1:$1,0))),NA())</f>
        <v/>
      </c>
      <c r="AJ713">
        <f>IFERROR(IF(INDEX(Aux_puntos!$A$2:$OJ$901,709,MATCH($B$2&amp;"|yN",Aux_puntos!$1:$1,0))="",NA(),INDEX(Aux_puntos!$A$2:$OJ$901,709,MATCH($B$2&amp;"|yN",Aux_puntos!$1:$1,0))),NA())</f>
        <v/>
      </c>
    </row>
    <row r="714">
      <c r="AC714">
        <f>IFERROR(IF(INDEX(Aux_puntos!$A$2:$OJ$901,710,MATCH($B$2&amp;"|xK",Aux_puntos!$1:$1,0))="",NA(),INDEX(Aux_puntos!$A$2:$OJ$901,710,MATCH($B$2&amp;"|xK",Aux_puntos!$1:$1,0))),NA())</f>
        <v/>
      </c>
      <c r="AD714">
        <f>IFERROR(IF(INDEX(Aux_puntos!$A$2:$OJ$901,710,MATCH($B$2&amp;"|yK",Aux_puntos!$1:$1,0))="",NA(),INDEX(Aux_puntos!$A$2:$OJ$901,710,MATCH($B$2&amp;"|yK",Aux_puntos!$1:$1,0))),NA())</f>
        <v/>
      </c>
      <c r="AE714">
        <f>IFERROR(IF(INDEX(Aux_puntos!$A$2:$OJ$901,710,MATCH($B$2&amp;"|xC",Aux_puntos!$1:$1,0))="",NA(),INDEX(Aux_puntos!$A$2:$OJ$901,710,MATCH($B$2&amp;"|xC",Aux_puntos!$1:$1,0))),NA())</f>
        <v/>
      </c>
      <c r="AF714">
        <f>IFERROR(IF(INDEX(Aux_puntos!$A$2:$OJ$901,710,MATCH($B$2&amp;"|yC",Aux_puntos!$1:$1,0))="",NA(),INDEX(Aux_puntos!$A$2:$OJ$901,710,MATCH($B$2&amp;"|yC",Aux_puntos!$1:$1,0))),NA())</f>
        <v/>
      </c>
      <c r="AG714">
        <f>IFERROR(IF(INDEX(Aux_puntos!$A$2:$OJ$901,710,MATCH($B$2&amp;"|xI",Aux_puntos!$1:$1,0))="",NA(),INDEX(Aux_puntos!$A$2:$OJ$901,710,MATCH($B$2&amp;"|xI",Aux_puntos!$1:$1,0))),NA())</f>
        <v/>
      </c>
      <c r="AH714">
        <f>IFERROR(IF(INDEX(Aux_puntos!$A$2:$OJ$901,710,MATCH($B$2&amp;"|yI",Aux_puntos!$1:$1,0))="",NA(),INDEX(Aux_puntos!$A$2:$OJ$901,710,MATCH($B$2&amp;"|yI",Aux_puntos!$1:$1,0))),NA())</f>
        <v/>
      </c>
      <c r="AI714">
        <f>IFERROR(IF(INDEX(Aux_puntos!$A$2:$OJ$901,710,MATCH($B$2&amp;"|xN",Aux_puntos!$1:$1,0))="",NA(),INDEX(Aux_puntos!$A$2:$OJ$901,710,MATCH($B$2&amp;"|xN",Aux_puntos!$1:$1,0))),NA())</f>
        <v/>
      </c>
      <c r="AJ714">
        <f>IFERROR(IF(INDEX(Aux_puntos!$A$2:$OJ$901,710,MATCH($B$2&amp;"|yN",Aux_puntos!$1:$1,0))="",NA(),INDEX(Aux_puntos!$A$2:$OJ$901,710,MATCH($B$2&amp;"|yN",Aux_puntos!$1:$1,0))),NA())</f>
        <v/>
      </c>
    </row>
    <row r="715">
      <c r="AC715">
        <f>IFERROR(IF(INDEX(Aux_puntos!$A$2:$OJ$901,711,MATCH($B$2&amp;"|xK",Aux_puntos!$1:$1,0))="",NA(),INDEX(Aux_puntos!$A$2:$OJ$901,711,MATCH($B$2&amp;"|xK",Aux_puntos!$1:$1,0))),NA())</f>
        <v/>
      </c>
      <c r="AD715">
        <f>IFERROR(IF(INDEX(Aux_puntos!$A$2:$OJ$901,711,MATCH($B$2&amp;"|yK",Aux_puntos!$1:$1,0))="",NA(),INDEX(Aux_puntos!$A$2:$OJ$901,711,MATCH($B$2&amp;"|yK",Aux_puntos!$1:$1,0))),NA())</f>
        <v/>
      </c>
      <c r="AE715">
        <f>IFERROR(IF(INDEX(Aux_puntos!$A$2:$OJ$901,711,MATCH($B$2&amp;"|xC",Aux_puntos!$1:$1,0))="",NA(),INDEX(Aux_puntos!$A$2:$OJ$901,711,MATCH($B$2&amp;"|xC",Aux_puntos!$1:$1,0))),NA())</f>
        <v/>
      </c>
      <c r="AF715">
        <f>IFERROR(IF(INDEX(Aux_puntos!$A$2:$OJ$901,711,MATCH($B$2&amp;"|yC",Aux_puntos!$1:$1,0))="",NA(),INDEX(Aux_puntos!$A$2:$OJ$901,711,MATCH($B$2&amp;"|yC",Aux_puntos!$1:$1,0))),NA())</f>
        <v/>
      </c>
      <c r="AG715">
        <f>IFERROR(IF(INDEX(Aux_puntos!$A$2:$OJ$901,711,MATCH($B$2&amp;"|xI",Aux_puntos!$1:$1,0))="",NA(),INDEX(Aux_puntos!$A$2:$OJ$901,711,MATCH($B$2&amp;"|xI",Aux_puntos!$1:$1,0))),NA())</f>
        <v/>
      </c>
      <c r="AH715">
        <f>IFERROR(IF(INDEX(Aux_puntos!$A$2:$OJ$901,711,MATCH($B$2&amp;"|yI",Aux_puntos!$1:$1,0))="",NA(),INDEX(Aux_puntos!$A$2:$OJ$901,711,MATCH($B$2&amp;"|yI",Aux_puntos!$1:$1,0))),NA())</f>
        <v/>
      </c>
      <c r="AI715">
        <f>IFERROR(IF(INDEX(Aux_puntos!$A$2:$OJ$901,711,MATCH($B$2&amp;"|xN",Aux_puntos!$1:$1,0))="",NA(),INDEX(Aux_puntos!$A$2:$OJ$901,711,MATCH($B$2&amp;"|xN",Aux_puntos!$1:$1,0))),NA())</f>
        <v/>
      </c>
      <c r="AJ715">
        <f>IFERROR(IF(INDEX(Aux_puntos!$A$2:$OJ$901,711,MATCH($B$2&amp;"|yN",Aux_puntos!$1:$1,0))="",NA(),INDEX(Aux_puntos!$A$2:$OJ$901,711,MATCH($B$2&amp;"|yN",Aux_puntos!$1:$1,0))),NA())</f>
        <v/>
      </c>
    </row>
    <row r="716">
      <c r="AC716">
        <f>IFERROR(IF(INDEX(Aux_puntos!$A$2:$OJ$901,712,MATCH($B$2&amp;"|xK",Aux_puntos!$1:$1,0))="",NA(),INDEX(Aux_puntos!$A$2:$OJ$901,712,MATCH($B$2&amp;"|xK",Aux_puntos!$1:$1,0))),NA())</f>
        <v/>
      </c>
      <c r="AD716">
        <f>IFERROR(IF(INDEX(Aux_puntos!$A$2:$OJ$901,712,MATCH($B$2&amp;"|yK",Aux_puntos!$1:$1,0))="",NA(),INDEX(Aux_puntos!$A$2:$OJ$901,712,MATCH($B$2&amp;"|yK",Aux_puntos!$1:$1,0))),NA())</f>
        <v/>
      </c>
      <c r="AE716">
        <f>IFERROR(IF(INDEX(Aux_puntos!$A$2:$OJ$901,712,MATCH($B$2&amp;"|xC",Aux_puntos!$1:$1,0))="",NA(),INDEX(Aux_puntos!$A$2:$OJ$901,712,MATCH($B$2&amp;"|xC",Aux_puntos!$1:$1,0))),NA())</f>
        <v/>
      </c>
      <c r="AF716">
        <f>IFERROR(IF(INDEX(Aux_puntos!$A$2:$OJ$901,712,MATCH($B$2&amp;"|yC",Aux_puntos!$1:$1,0))="",NA(),INDEX(Aux_puntos!$A$2:$OJ$901,712,MATCH($B$2&amp;"|yC",Aux_puntos!$1:$1,0))),NA())</f>
        <v/>
      </c>
      <c r="AG716">
        <f>IFERROR(IF(INDEX(Aux_puntos!$A$2:$OJ$901,712,MATCH($B$2&amp;"|xI",Aux_puntos!$1:$1,0))="",NA(),INDEX(Aux_puntos!$A$2:$OJ$901,712,MATCH($B$2&amp;"|xI",Aux_puntos!$1:$1,0))),NA())</f>
        <v/>
      </c>
      <c r="AH716">
        <f>IFERROR(IF(INDEX(Aux_puntos!$A$2:$OJ$901,712,MATCH($B$2&amp;"|yI",Aux_puntos!$1:$1,0))="",NA(),INDEX(Aux_puntos!$A$2:$OJ$901,712,MATCH($B$2&amp;"|yI",Aux_puntos!$1:$1,0))),NA())</f>
        <v/>
      </c>
      <c r="AI716">
        <f>IFERROR(IF(INDEX(Aux_puntos!$A$2:$OJ$901,712,MATCH($B$2&amp;"|xN",Aux_puntos!$1:$1,0))="",NA(),INDEX(Aux_puntos!$A$2:$OJ$901,712,MATCH($B$2&amp;"|xN",Aux_puntos!$1:$1,0))),NA())</f>
        <v/>
      </c>
      <c r="AJ716">
        <f>IFERROR(IF(INDEX(Aux_puntos!$A$2:$OJ$901,712,MATCH($B$2&amp;"|yN",Aux_puntos!$1:$1,0))="",NA(),INDEX(Aux_puntos!$A$2:$OJ$901,712,MATCH($B$2&amp;"|yN",Aux_puntos!$1:$1,0))),NA())</f>
        <v/>
      </c>
    </row>
    <row r="717">
      <c r="AC717">
        <f>IFERROR(IF(INDEX(Aux_puntos!$A$2:$OJ$901,713,MATCH($B$2&amp;"|xK",Aux_puntos!$1:$1,0))="",NA(),INDEX(Aux_puntos!$A$2:$OJ$901,713,MATCH($B$2&amp;"|xK",Aux_puntos!$1:$1,0))),NA())</f>
        <v/>
      </c>
      <c r="AD717">
        <f>IFERROR(IF(INDEX(Aux_puntos!$A$2:$OJ$901,713,MATCH($B$2&amp;"|yK",Aux_puntos!$1:$1,0))="",NA(),INDEX(Aux_puntos!$A$2:$OJ$901,713,MATCH($B$2&amp;"|yK",Aux_puntos!$1:$1,0))),NA())</f>
        <v/>
      </c>
      <c r="AE717">
        <f>IFERROR(IF(INDEX(Aux_puntos!$A$2:$OJ$901,713,MATCH($B$2&amp;"|xC",Aux_puntos!$1:$1,0))="",NA(),INDEX(Aux_puntos!$A$2:$OJ$901,713,MATCH($B$2&amp;"|xC",Aux_puntos!$1:$1,0))),NA())</f>
        <v/>
      </c>
      <c r="AF717">
        <f>IFERROR(IF(INDEX(Aux_puntos!$A$2:$OJ$901,713,MATCH($B$2&amp;"|yC",Aux_puntos!$1:$1,0))="",NA(),INDEX(Aux_puntos!$A$2:$OJ$901,713,MATCH($B$2&amp;"|yC",Aux_puntos!$1:$1,0))),NA())</f>
        <v/>
      </c>
      <c r="AG717">
        <f>IFERROR(IF(INDEX(Aux_puntos!$A$2:$OJ$901,713,MATCH($B$2&amp;"|xI",Aux_puntos!$1:$1,0))="",NA(),INDEX(Aux_puntos!$A$2:$OJ$901,713,MATCH($B$2&amp;"|xI",Aux_puntos!$1:$1,0))),NA())</f>
        <v/>
      </c>
      <c r="AH717">
        <f>IFERROR(IF(INDEX(Aux_puntos!$A$2:$OJ$901,713,MATCH($B$2&amp;"|yI",Aux_puntos!$1:$1,0))="",NA(),INDEX(Aux_puntos!$A$2:$OJ$901,713,MATCH($B$2&amp;"|yI",Aux_puntos!$1:$1,0))),NA())</f>
        <v/>
      </c>
      <c r="AI717">
        <f>IFERROR(IF(INDEX(Aux_puntos!$A$2:$OJ$901,713,MATCH($B$2&amp;"|xN",Aux_puntos!$1:$1,0))="",NA(),INDEX(Aux_puntos!$A$2:$OJ$901,713,MATCH($B$2&amp;"|xN",Aux_puntos!$1:$1,0))),NA())</f>
        <v/>
      </c>
      <c r="AJ717">
        <f>IFERROR(IF(INDEX(Aux_puntos!$A$2:$OJ$901,713,MATCH($B$2&amp;"|yN",Aux_puntos!$1:$1,0))="",NA(),INDEX(Aux_puntos!$A$2:$OJ$901,713,MATCH($B$2&amp;"|yN",Aux_puntos!$1:$1,0))),NA())</f>
        <v/>
      </c>
    </row>
    <row r="718">
      <c r="AC718">
        <f>IFERROR(IF(INDEX(Aux_puntos!$A$2:$OJ$901,714,MATCH($B$2&amp;"|xK",Aux_puntos!$1:$1,0))="",NA(),INDEX(Aux_puntos!$A$2:$OJ$901,714,MATCH($B$2&amp;"|xK",Aux_puntos!$1:$1,0))),NA())</f>
        <v/>
      </c>
      <c r="AD718">
        <f>IFERROR(IF(INDEX(Aux_puntos!$A$2:$OJ$901,714,MATCH($B$2&amp;"|yK",Aux_puntos!$1:$1,0))="",NA(),INDEX(Aux_puntos!$A$2:$OJ$901,714,MATCH($B$2&amp;"|yK",Aux_puntos!$1:$1,0))),NA())</f>
        <v/>
      </c>
      <c r="AE718">
        <f>IFERROR(IF(INDEX(Aux_puntos!$A$2:$OJ$901,714,MATCH($B$2&amp;"|xC",Aux_puntos!$1:$1,0))="",NA(),INDEX(Aux_puntos!$A$2:$OJ$901,714,MATCH($B$2&amp;"|xC",Aux_puntos!$1:$1,0))),NA())</f>
        <v/>
      </c>
      <c r="AF718">
        <f>IFERROR(IF(INDEX(Aux_puntos!$A$2:$OJ$901,714,MATCH($B$2&amp;"|yC",Aux_puntos!$1:$1,0))="",NA(),INDEX(Aux_puntos!$A$2:$OJ$901,714,MATCH($B$2&amp;"|yC",Aux_puntos!$1:$1,0))),NA())</f>
        <v/>
      </c>
      <c r="AG718">
        <f>IFERROR(IF(INDEX(Aux_puntos!$A$2:$OJ$901,714,MATCH($B$2&amp;"|xI",Aux_puntos!$1:$1,0))="",NA(),INDEX(Aux_puntos!$A$2:$OJ$901,714,MATCH($B$2&amp;"|xI",Aux_puntos!$1:$1,0))),NA())</f>
        <v/>
      </c>
      <c r="AH718">
        <f>IFERROR(IF(INDEX(Aux_puntos!$A$2:$OJ$901,714,MATCH($B$2&amp;"|yI",Aux_puntos!$1:$1,0))="",NA(),INDEX(Aux_puntos!$A$2:$OJ$901,714,MATCH($B$2&amp;"|yI",Aux_puntos!$1:$1,0))),NA())</f>
        <v/>
      </c>
      <c r="AI718">
        <f>IFERROR(IF(INDEX(Aux_puntos!$A$2:$OJ$901,714,MATCH($B$2&amp;"|xN",Aux_puntos!$1:$1,0))="",NA(),INDEX(Aux_puntos!$A$2:$OJ$901,714,MATCH($B$2&amp;"|xN",Aux_puntos!$1:$1,0))),NA())</f>
        <v/>
      </c>
      <c r="AJ718">
        <f>IFERROR(IF(INDEX(Aux_puntos!$A$2:$OJ$901,714,MATCH($B$2&amp;"|yN",Aux_puntos!$1:$1,0))="",NA(),INDEX(Aux_puntos!$A$2:$OJ$901,714,MATCH($B$2&amp;"|yN",Aux_puntos!$1:$1,0))),NA())</f>
        <v/>
      </c>
    </row>
    <row r="719">
      <c r="AC719">
        <f>IFERROR(IF(INDEX(Aux_puntos!$A$2:$OJ$901,715,MATCH($B$2&amp;"|xK",Aux_puntos!$1:$1,0))="",NA(),INDEX(Aux_puntos!$A$2:$OJ$901,715,MATCH($B$2&amp;"|xK",Aux_puntos!$1:$1,0))),NA())</f>
        <v/>
      </c>
      <c r="AD719">
        <f>IFERROR(IF(INDEX(Aux_puntos!$A$2:$OJ$901,715,MATCH($B$2&amp;"|yK",Aux_puntos!$1:$1,0))="",NA(),INDEX(Aux_puntos!$A$2:$OJ$901,715,MATCH($B$2&amp;"|yK",Aux_puntos!$1:$1,0))),NA())</f>
        <v/>
      </c>
      <c r="AE719">
        <f>IFERROR(IF(INDEX(Aux_puntos!$A$2:$OJ$901,715,MATCH($B$2&amp;"|xC",Aux_puntos!$1:$1,0))="",NA(),INDEX(Aux_puntos!$A$2:$OJ$901,715,MATCH($B$2&amp;"|xC",Aux_puntos!$1:$1,0))),NA())</f>
        <v/>
      </c>
      <c r="AF719">
        <f>IFERROR(IF(INDEX(Aux_puntos!$A$2:$OJ$901,715,MATCH($B$2&amp;"|yC",Aux_puntos!$1:$1,0))="",NA(),INDEX(Aux_puntos!$A$2:$OJ$901,715,MATCH($B$2&amp;"|yC",Aux_puntos!$1:$1,0))),NA())</f>
        <v/>
      </c>
      <c r="AG719">
        <f>IFERROR(IF(INDEX(Aux_puntos!$A$2:$OJ$901,715,MATCH($B$2&amp;"|xI",Aux_puntos!$1:$1,0))="",NA(),INDEX(Aux_puntos!$A$2:$OJ$901,715,MATCH($B$2&amp;"|xI",Aux_puntos!$1:$1,0))),NA())</f>
        <v/>
      </c>
      <c r="AH719">
        <f>IFERROR(IF(INDEX(Aux_puntos!$A$2:$OJ$901,715,MATCH($B$2&amp;"|yI",Aux_puntos!$1:$1,0))="",NA(),INDEX(Aux_puntos!$A$2:$OJ$901,715,MATCH($B$2&amp;"|yI",Aux_puntos!$1:$1,0))),NA())</f>
        <v/>
      </c>
      <c r="AI719">
        <f>IFERROR(IF(INDEX(Aux_puntos!$A$2:$OJ$901,715,MATCH($B$2&amp;"|xN",Aux_puntos!$1:$1,0))="",NA(),INDEX(Aux_puntos!$A$2:$OJ$901,715,MATCH($B$2&amp;"|xN",Aux_puntos!$1:$1,0))),NA())</f>
        <v/>
      </c>
      <c r="AJ719">
        <f>IFERROR(IF(INDEX(Aux_puntos!$A$2:$OJ$901,715,MATCH($B$2&amp;"|yN",Aux_puntos!$1:$1,0))="",NA(),INDEX(Aux_puntos!$A$2:$OJ$901,715,MATCH($B$2&amp;"|yN",Aux_puntos!$1:$1,0))),NA())</f>
        <v/>
      </c>
    </row>
    <row r="720">
      <c r="AC720">
        <f>IFERROR(IF(INDEX(Aux_puntos!$A$2:$OJ$901,716,MATCH($B$2&amp;"|xK",Aux_puntos!$1:$1,0))="",NA(),INDEX(Aux_puntos!$A$2:$OJ$901,716,MATCH($B$2&amp;"|xK",Aux_puntos!$1:$1,0))),NA())</f>
        <v/>
      </c>
      <c r="AD720">
        <f>IFERROR(IF(INDEX(Aux_puntos!$A$2:$OJ$901,716,MATCH($B$2&amp;"|yK",Aux_puntos!$1:$1,0))="",NA(),INDEX(Aux_puntos!$A$2:$OJ$901,716,MATCH($B$2&amp;"|yK",Aux_puntos!$1:$1,0))),NA())</f>
        <v/>
      </c>
      <c r="AE720">
        <f>IFERROR(IF(INDEX(Aux_puntos!$A$2:$OJ$901,716,MATCH($B$2&amp;"|xC",Aux_puntos!$1:$1,0))="",NA(),INDEX(Aux_puntos!$A$2:$OJ$901,716,MATCH($B$2&amp;"|xC",Aux_puntos!$1:$1,0))),NA())</f>
        <v/>
      </c>
      <c r="AF720">
        <f>IFERROR(IF(INDEX(Aux_puntos!$A$2:$OJ$901,716,MATCH($B$2&amp;"|yC",Aux_puntos!$1:$1,0))="",NA(),INDEX(Aux_puntos!$A$2:$OJ$901,716,MATCH($B$2&amp;"|yC",Aux_puntos!$1:$1,0))),NA())</f>
        <v/>
      </c>
      <c r="AG720">
        <f>IFERROR(IF(INDEX(Aux_puntos!$A$2:$OJ$901,716,MATCH($B$2&amp;"|xI",Aux_puntos!$1:$1,0))="",NA(),INDEX(Aux_puntos!$A$2:$OJ$901,716,MATCH($B$2&amp;"|xI",Aux_puntos!$1:$1,0))),NA())</f>
        <v/>
      </c>
      <c r="AH720">
        <f>IFERROR(IF(INDEX(Aux_puntos!$A$2:$OJ$901,716,MATCH($B$2&amp;"|yI",Aux_puntos!$1:$1,0))="",NA(),INDEX(Aux_puntos!$A$2:$OJ$901,716,MATCH($B$2&amp;"|yI",Aux_puntos!$1:$1,0))),NA())</f>
        <v/>
      </c>
      <c r="AI720">
        <f>IFERROR(IF(INDEX(Aux_puntos!$A$2:$OJ$901,716,MATCH($B$2&amp;"|xN",Aux_puntos!$1:$1,0))="",NA(),INDEX(Aux_puntos!$A$2:$OJ$901,716,MATCH($B$2&amp;"|xN",Aux_puntos!$1:$1,0))),NA())</f>
        <v/>
      </c>
      <c r="AJ720">
        <f>IFERROR(IF(INDEX(Aux_puntos!$A$2:$OJ$901,716,MATCH($B$2&amp;"|yN",Aux_puntos!$1:$1,0))="",NA(),INDEX(Aux_puntos!$A$2:$OJ$901,716,MATCH($B$2&amp;"|yN",Aux_puntos!$1:$1,0))),NA())</f>
        <v/>
      </c>
    </row>
    <row r="721">
      <c r="AC721">
        <f>IFERROR(IF(INDEX(Aux_puntos!$A$2:$OJ$901,717,MATCH($B$2&amp;"|xK",Aux_puntos!$1:$1,0))="",NA(),INDEX(Aux_puntos!$A$2:$OJ$901,717,MATCH($B$2&amp;"|xK",Aux_puntos!$1:$1,0))),NA())</f>
        <v/>
      </c>
      <c r="AD721">
        <f>IFERROR(IF(INDEX(Aux_puntos!$A$2:$OJ$901,717,MATCH($B$2&amp;"|yK",Aux_puntos!$1:$1,0))="",NA(),INDEX(Aux_puntos!$A$2:$OJ$901,717,MATCH($B$2&amp;"|yK",Aux_puntos!$1:$1,0))),NA())</f>
        <v/>
      </c>
      <c r="AE721">
        <f>IFERROR(IF(INDEX(Aux_puntos!$A$2:$OJ$901,717,MATCH($B$2&amp;"|xC",Aux_puntos!$1:$1,0))="",NA(),INDEX(Aux_puntos!$A$2:$OJ$901,717,MATCH($B$2&amp;"|xC",Aux_puntos!$1:$1,0))),NA())</f>
        <v/>
      </c>
      <c r="AF721">
        <f>IFERROR(IF(INDEX(Aux_puntos!$A$2:$OJ$901,717,MATCH($B$2&amp;"|yC",Aux_puntos!$1:$1,0))="",NA(),INDEX(Aux_puntos!$A$2:$OJ$901,717,MATCH($B$2&amp;"|yC",Aux_puntos!$1:$1,0))),NA())</f>
        <v/>
      </c>
      <c r="AG721">
        <f>IFERROR(IF(INDEX(Aux_puntos!$A$2:$OJ$901,717,MATCH($B$2&amp;"|xI",Aux_puntos!$1:$1,0))="",NA(),INDEX(Aux_puntos!$A$2:$OJ$901,717,MATCH($B$2&amp;"|xI",Aux_puntos!$1:$1,0))),NA())</f>
        <v/>
      </c>
      <c r="AH721">
        <f>IFERROR(IF(INDEX(Aux_puntos!$A$2:$OJ$901,717,MATCH($B$2&amp;"|yI",Aux_puntos!$1:$1,0))="",NA(),INDEX(Aux_puntos!$A$2:$OJ$901,717,MATCH($B$2&amp;"|yI",Aux_puntos!$1:$1,0))),NA())</f>
        <v/>
      </c>
      <c r="AI721">
        <f>IFERROR(IF(INDEX(Aux_puntos!$A$2:$OJ$901,717,MATCH($B$2&amp;"|xN",Aux_puntos!$1:$1,0))="",NA(),INDEX(Aux_puntos!$A$2:$OJ$901,717,MATCH($B$2&amp;"|xN",Aux_puntos!$1:$1,0))),NA())</f>
        <v/>
      </c>
      <c r="AJ721">
        <f>IFERROR(IF(INDEX(Aux_puntos!$A$2:$OJ$901,717,MATCH($B$2&amp;"|yN",Aux_puntos!$1:$1,0))="",NA(),INDEX(Aux_puntos!$A$2:$OJ$901,717,MATCH($B$2&amp;"|yN",Aux_puntos!$1:$1,0))),NA())</f>
        <v/>
      </c>
    </row>
    <row r="722">
      <c r="AC722">
        <f>IFERROR(IF(INDEX(Aux_puntos!$A$2:$OJ$901,718,MATCH($B$2&amp;"|xK",Aux_puntos!$1:$1,0))="",NA(),INDEX(Aux_puntos!$A$2:$OJ$901,718,MATCH($B$2&amp;"|xK",Aux_puntos!$1:$1,0))),NA())</f>
        <v/>
      </c>
      <c r="AD722">
        <f>IFERROR(IF(INDEX(Aux_puntos!$A$2:$OJ$901,718,MATCH($B$2&amp;"|yK",Aux_puntos!$1:$1,0))="",NA(),INDEX(Aux_puntos!$A$2:$OJ$901,718,MATCH($B$2&amp;"|yK",Aux_puntos!$1:$1,0))),NA())</f>
        <v/>
      </c>
      <c r="AE722">
        <f>IFERROR(IF(INDEX(Aux_puntos!$A$2:$OJ$901,718,MATCH($B$2&amp;"|xC",Aux_puntos!$1:$1,0))="",NA(),INDEX(Aux_puntos!$A$2:$OJ$901,718,MATCH($B$2&amp;"|xC",Aux_puntos!$1:$1,0))),NA())</f>
        <v/>
      </c>
      <c r="AF722">
        <f>IFERROR(IF(INDEX(Aux_puntos!$A$2:$OJ$901,718,MATCH($B$2&amp;"|yC",Aux_puntos!$1:$1,0))="",NA(),INDEX(Aux_puntos!$A$2:$OJ$901,718,MATCH($B$2&amp;"|yC",Aux_puntos!$1:$1,0))),NA())</f>
        <v/>
      </c>
      <c r="AG722">
        <f>IFERROR(IF(INDEX(Aux_puntos!$A$2:$OJ$901,718,MATCH($B$2&amp;"|xI",Aux_puntos!$1:$1,0))="",NA(),INDEX(Aux_puntos!$A$2:$OJ$901,718,MATCH($B$2&amp;"|xI",Aux_puntos!$1:$1,0))),NA())</f>
        <v/>
      </c>
      <c r="AH722">
        <f>IFERROR(IF(INDEX(Aux_puntos!$A$2:$OJ$901,718,MATCH($B$2&amp;"|yI",Aux_puntos!$1:$1,0))="",NA(),INDEX(Aux_puntos!$A$2:$OJ$901,718,MATCH($B$2&amp;"|yI",Aux_puntos!$1:$1,0))),NA())</f>
        <v/>
      </c>
      <c r="AI722">
        <f>IFERROR(IF(INDEX(Aux_puntos!$A$2:$OJ$901,718,MATCH($B$2&amp;"|xN",Aux_puntos!$1:$1,0))="",NA(),INDEX(Aux_puntos!$A$2:$OJ$901,718,MATCH($B$2&amp;"|xN",Aux_puntos!$1:$1,0))),NA())</f>
        <v/>
      </c>
      <c r="AJ722">
        <f>IFERROR(IF(INDEX(Aux_puntos!$A$2:$OJ$901,718,MATCH($B$2&amp;"|yN",Aux_puntos!$1:$1,0))="",NA(),INDEX(Aux_puntos!$A$2:$OJ$901,718,MATCH($B$2&amp;"|yN",Aux_puntos!$1:$1,0))),NA())</f>
        <v/>
      </c>
    </row>
    <row r="723">
      <c r="AC723">
        <f>IFERROR(IF(INDEX(Aux_puntos!$A$2:$OJ$901,719,MATCH($B$2&amp;"|xK",Aux_puntos!$1:$1,0))="",NA(),INDEX(Aux_puntos!$A$2:$OJ$901,719,MATCH($B$2&amp;"|xK",Aux_puntos!$1:$1,0))),NA())</f>
        <v/>
      </c>
      <c r="AD723">
        <f>IFERROR(IF(INDEX(Aux_puntos!$A$2:$OJ$901,719,MATCH($B$2&amp;"|yK",Aux_puntos!$1:$1,0))="",NA(),INDEX(Aux_puntos!$A$2:$OJ$901,719,MATCH($B$2&amp;"|yK",Aux_puntos!$1:$1,0))),NA())</f>
        <v/>
      </c>
      <c r="AE723">
        <f>IFERROR(IF(INDEX(Aux_puntos!$A$2:$OJ$901,719,MATCH($B$2&amp;"|xC",Aux_puntos!$1:$1,0))="",NA(),INDEX(Aux_puntos!$A$2:$OJ$901,719,MATCH($B$2&amp;"|xC",Aux_puntos!$1:$1,0))),NA())</f>
        <v/>
      </c>
      <c r="AF723">
        <f>IFERROR(IF(INDEX(Aux_puntos!$A$2:$OJ$901,719,MATCH($B$2&amp;"|yC",Aux_puntos!$1:$1,0))="",NA(),INDEX(Aux_puntos!$A$2:$OJ$901,719,MATCH($B$2&amp;"|yC",Aux_puntos!$1:$1,0))),NA())</f>
        <v/>
      </c>
      <c r="AG723">
        <f>IFERROR(IF(INDEX(Aux_puntos!$A$2:$OJ$901,719,MATCH($B$2&amp;"|xI",Aux_puntos!$1:$1,0))="",NA(),INDEX(Aux_puntos!$A$2:$OJ$901,719,MATCH($B$2&amp;"|xI",Aux_puntos!$1:$1,0))),NA())</f>
        <v/>
      </c>
      <c r="AH723">
        <f>IFERROR(IF(INDEX(Aux_puntos!$A$2:$OJ$901,719,MATCH($B$2&amp;"|yI",Aux_puntos!$1:$1,0))="",NA(),INDEX(Aux_puntos!$A$2:$OJ$901,719,MATCH($B$2&amp;"|yI",Aux_puntos!$1:$1,0))),NA())</f>
        <v/>
      </c>
      <c r="AI723">
        <f>IFERROR(IF(INDEX(Aux_puntos!$A$2:$OJ$901,719,MATCH($B$2&amp;"|xN",Aux_puntos!$1:$1,0))="",NA(),INDEX(Aux_puntos!$A$2:$OJ$901,719,MATCH($B$2&amp;"|xN",Aux_puntos!$1:$1,0))),NA())</f>
        <v/>
      </c>
      <c r="AJ723">
        <f>IFERROR(IF(INDEX(Aux_puntos!$A$2:$OJ$901,719,MATCH($B$2&amp;"|yN",Aux_puntos!$1:$1,0))="",NA(),INDEX(Aux_puntos!$A$2:$OJ$901,719,MATCH($B$2&amp;"|yN",Aux_puntos!$1:$1,0))),NA())</f>
        <v/>
      </c>
    </row>
    <row r="724">
      <c r="AC724">
        <f>IFERROR(IF(INDEX(Aux_puntos!$A$2:$OJ$901,720,MATCH($B$2&amp;"|xK",Aux_puntos!$1:$1,0))="",NA(),INDEX(Aux_puntos!$A$2:$OJ$901,720,MATCH($B$2&amp;"|xK",Aux_puntos!$1:$1,0))),NA())</f>
        <v/>
      </c>
      <c r="AD724">
        <f>IFERROR(IF(INDEX(Aux_puntos!$A$2:$OJ$901,720,MATCH($B$2&amp;"|yK",Aux_puntos!$1:$1,0))="",NA(),INDEX(Aux_puntos!$A$2:$OJ$901,720,MATCH($B$2&amp;"|yK",Aux_puntos!$1:$1,0))),NA())</f>
        <v/>
      </c>
      <c r="AE724">
        <f>IFERROR(IF(INDEX(Aux_puntos!$A$2:$OJ$901,720,MATCH($B$2&amp;"|xC",Aux_puntos!$1:$1,0))="",NA(),INDEX(Aux_puntos!$A$2:$OJ$901,720,MATCH($B$2&amp;"|xC",Aux_puntos!$1:$1,0))),NA())</f>
        <v/>
      </c>
      <c r="AF724">
        <f>IFERROR(IF(INDEX(Aux_puntos!$A$2:$OJ$901,720,MATCH($B$2&amp;"|yC",Aux_puntos!$1:$1,0))="",NA(),INDEX(Aux_puntos!$A$2:$OJ$901,720,MATCH($B$2&amp;"|yC",Aux_puntos!$1:$1,0))),NA())</f>
        <v/>
      </c>
      <c r="AG724">
        <f>IFERROR(IF(INDEX(Aux_puntos!$A$2:$OJ$901,720,MATCH($B$2&amp;"|xI",Aux_puntos!$1:$1,0))="",NA(),INDEX(Aux_puntos!$A$2:$OJ$901,720,MATCH($B$2&amp;"|xI",Aux_puntos!$1:$1,0))),NA())</f>
        <v/>
      </c>
      <c r="AH724">
        <f>IFERROR(IF(INDEX(Aux_puntos!$A$2:$OJ$901,720,MATCH($B$2&amp;"|yI",Aux_puntos!$1:$1,0))="",NA(),INDEX(Aux_puntos!$A$2:$OJ$901,720,MATCH($B$2&amp;"|yI",Aux_puntos!$1:$1,0))),NA())</f>
        <v/>
      </c>
      <c r="AI724">
        <f>IFERROR(IF(INDEX(Aux_puntos!$A$2:$OJ$901,720,MATCH($B$2&amp;"|xN",Aux_puntos!$1:$1,0))="",NA(),INDEX(Aux_puntos!$A$2:$OJ$901,720,MATCH($B$2&amp;"|xN",Aux_puntos!$1:$1,0))),NA())</f>
        <v/>
      </c>
      <c r="AJ724">
        <f>IFERROR(IF(INDEX(Aux_puntos!$A$2:$OJ$901,720,MATCH($B$2&amp;"|yN",Aux_puntos!$1:$1,0))="",NA(),INDEX(Aux_puntos!$A$2:$OJ$901,720,MATCH($B$2&amp;"|yN",Aux_puntos!$1:$1,0))),NA())</f>
        <v/>
      </c>
    </row>
    <row r="725">
      <c r="AC725">
        <f>IFERROR(IF(INDEX(Aux_puntos!$A$2:$OJ$901,721,MATCH($B$2&amp;"|xK",Aux_puntos!$1:$1,0))="",NA(),INDEX(Aux_puntos!$A$2:$OJ$901,721,MATCH($B$2&amp;"|xK",Aux_puntos!$1:$1,0))),NA())</f>
        <v/>
      </c>
      <c r="AD725">
        <f>IFERROR(IF(INDEX(Aux_puntos!$A$2:$OJ$901,721,MATCH($B$2&amp;"|yK",Aux_puntos!$1:$1,0))="",NA(),INDEX(Aux_puntos!$A$2:$OJ$901,721,MATCH($B$2&amp;"|yK",Aux_puntos!$1:$1,0))),NA())</f>
        <v/>
      </c>
      <c r="AE725">
        <f>IFERROR(IF(INDEX(Aux_puntos!$A$2:$OJ$901,721,MATCH($B$2&amp;"|xC",Aux_puntos!$1:$1,0))="",NA(),INDEX(Aux_puntos!$A$2:$OJ$901,721,MATCH($B$2&amp;"|xC",Aux_puntos!$1:$1,0))),NA())</f>
        <v/>
      </c>
      <c r="AF725">
        <f>IFERROR(IF(INDEX(Aux_puntos!$A$2:$OJ$901,721,MATCH($B$2&amp;"|yC",Aux_puntos!$1:$1,0))="",NA(),INDEX(Aux_puntos!$A$2:$OJ$901,721,MATCH($B$2&amp;"|yC",Aux_puntos!$1:$1,0))),NA())</f>
        <v/>
      </c>
      <c r="AG725">
        <f>IFERROR(IF(INDEX(Aux_puntos!$A$2:$OJ$901,721,MATCH($B$2&amp;"|xI",Aux_puntos!$1:$1,0))="",NA(),INDEX(Aux_puntos!$A$2:$OJ$901,721,MATCH($B$2&amp;"|xI",Aux_puntos!$1:$1,0))),NA())</f>
        <v/>
      </c>
      <c r="AH725">
        <f>IFERROR(IF(INDEX(Aux_puntos!$A$2:$OJ$901,721,MATCH($B$2&amp;"|yI",Aux_puntos!$1:$1,0))="",NA(),INDEX(Aux_puntos!$A$2:$OJ$901,721,MATCH($B$2&amp;"|yI",Aux_puntos!$1:$1,0))),NA())</f>
        <v/>
      </c>
      <c r="AI725">
        <f>IFERROR(IF(INDEX(Aux_puntos!$A$2:$OJ$901,721,MATCH($B$2&amp;"|xN",Aux_puntos!$1:$1,0))="",NA(),INDEX(Aux_puntos!$A$2:$OJ$901,721,MATCH($B$2&amp;"|xN",Aux_puntos!$1:$1,0))),NA())</f>
        <v/>
      </c>
      <c r="AJ725">
        <f>IFERROR(IF(INDEX(Aux_puntos!$A$2:$OJ$901,721,MATCH($B$2&amp;"|yN",Aux_puntos!$1:$1,0))="",NA(),INDEX(Aux_puntos!$A$2:$OJ$901,721,MATCH($B$2&amp;"|yN",Aux_puntos!$1:$1,0))),NA())</f>
        <v/>
      </c>
    </row>
    <row r="726">
      <c r="AC726">
        <f>IFERROR(IF(INDEX(Aux_puntos!$A$2:$OJ$901,722,MATCH($B$2&amp;"|xK",Aux_puntos!$1:$1,0))="",NA(),INDEX(Aux_puntos!$A$2:$OJ$901,722,MATCH($B$2&amp;"|xK",Aux_puntos!$1:$1,0))),NA())</f>
        <v/>
      </c>
      <c r="AD726">
        <f>IFERROR(IF(INDEX(Aux_puntos!$A$2:$OJ$901,722,MATCH($B$2&amp;"|yK",Aux_puntos!$1:$1,0))="",NA(),INDEX(Aux_puntos!$A$2:$OJ$901,722,MATCH($B$2&amp;"|yK",Aux_puntos!$1:$1,0))),NA())</f>
        <v/>
      </c>
      <c r="AE726">
        <f>IFERROR(IF(INDEX(Aux_puntos!$A$2:$OJ$901,722,MATCH($B$2&amp;"|xC",Aux_puntos!$1:$1,0))="",NA(),INDEX(Aux_puntos!$A$2:$OJ$901,722,MATCH($B$2&amp;"|xC",Aux_puntos!$1:$1,0))),NA())</f>
        <v/>
      </c>
      <c r="AF726">
        <f>IFERROR(IF(INDEX(Aux_puntos!$A$2:$OJ$901,722,MATCH($B$2&amp;"|yC",Aux_puntos!$1:$1,0))="",NA(),INDEX(Aux_puntos!$A$2:$OJ$901,722,MATCH($B$2&amp;"|yC",Aux_puntos!$1:$1,0))),NA())</f>
        <v/>
      </c>
      <c r="AG726">
        <f>IFERROR(IF(INDEX(Aux_puntos!$A$2:$OJ$901,722,MATCH($B$2&amp;"|xI",Aux_puntos!$1:$1,0))="",NA(),INDEX(Aux_puntos!$A$2:$OJ$901,722,MATCH($B$2&amp;"|xI",Aux_puntos!$1:$1,0))),NA())</f>
        <v/>
      </c>
      <c r="AH726">
        <f>IFERROR(IF(INDEX(Aux_puntos!$A$2:$OJ$901,722,MATCH($B$2&amp;"|yI",Aux_puntos!$1:$1,0))="",NA(),INDEX(Aux_puntos!$A$2:$OJ$901,722,MATCH($B$2&amp;"|yI",Aux_puntos!$1:$1,0))),NA())</f>
        <v/>
      </c>
      <c r="AI726">
        <f>IFERROR(IF(INDEX(Aux_puntos!$A$2:$OJ$901,722,MATCH($B$2&amp;"|xN",Aux_puntos!$1:$1,0))="",NA(),INDEX(Aux_puntos!$A$2:$OJ$901,722,MATCH($B$2&amp;"|xN",Aux_puntos!$1:$1,0))),NA())</f>
        <v/>
      </c>
      <c r="AJ726">
        <f>IFERROR(IF(INDEX(Aux_puntos!$A$2:$OJ$901,722,MATCH($B$2&amp;"|yN",Aux_puntos!$1:$1,0))="",NA(),INDEX(Aux_puntos!$A$2:$OJ$901,722,MATCH($B$2&amp;"|yN",Aux_puntos!$1:$1,0))),NA())</f>
        <v/>
      </c>
    </row>
    <row r="727">
      <c r="AC727">
        <f>IFERROR(IF(INDEX(Aux_puntos!$A$2:$OJ$901,723,MATCH($B$2&amp;"|xK",Aux_puntos!$1:$1,0))="",NA(),INDEX(Aux_puntos!$A$2:$OJ$901,723,MATCH($B$2&amp;"|xK",Aux_puntos!$1:$1,0))),NA())</f>
        <v/>
      </c>
      <c r="AD727">
        <f>IFERROR(IF(INDEX(Aux_puntos!$A$2:$OJ$901,723,MATCH($B$2&amp;"|yK",Aux_puntos!$1:$1,0))="",NA(),INDEX(Aux_puntos!$A$2:$OJ$901,723,MATCH($B$2&amp;"|yK",Aux_puntos!$1:$1,0))),NA())</f>
        <v/>
      </c>
      <c r="AE727">
        <f>IFERROR(IF(INDEX(Aux_puntos!$A$2:$OJ$901,723,MATCH($B$2&amp;"|xC",Aux_puntos!$1:$1,0))="",NA(),INDEX(Aux_puntos!$A$2:$OJ$901,723,MATCH($B$2&amp;"|xC",Aux_puntos!$1:$1,0))),NA())</f>
        <v/>
      </c>
      <c r="AF727">
        <f>IFERROR(IF(INDEX(Aux_puntos!$A$2:$OJ$901,723,MATCH($B$2&amp;"|yC",Aux_puntos!$1:$1,0))="",NA(),INDEX(Aux_puntos!$A$2:$OJ$901,723,MATCH($B$2&amp;"|yC",Aux_puntos!$1:$1,0))),NA())</f>
        <v/>
      </c>
      <c r="AG727">
        <f>IFERROR(IF(INDEX(Aux_puntos!$A$2:$OJ$901,723,MATCH($B$2&amp;"|xI",Aux_puntos!$1:$1,0))="",NA(),INDEX(Aux_puntos!$A$2:$OJ$901,723,MATCH($B$2&amp;"|xI",Aux_puntos!$1:$1,0))),NA())</f>
        <v/>
      </c>
      <c r="AH727">
        <f>IFERROR(IF(INDEX(Aux_puntos!$A$2:$OJ$901,723,MATCH($B$2&amp;"|yI",Aux_puntos!$1:$1,0))="",NA(),INDEX(Aux_puntos!$A$2:$OJ$901,723,MATCH($B$2&amp;"|yI",Aux_puntos!$1:$1,0))),NA())</f>
        <v/>
      </c>
      <c r="AI727">
        <f>IFERROR(IF(INDEX(Aux_puntos!$A$2:$OJ$901,723,MATCH($B$2&amp;"|xN",Aux_puntos!$1:$1,0))="",NA(),INDEX(Aux_puntos!$A$2:$OJ$901,723,MATCH($B$2&amp;"|xN",Aux_puntos!$1:$1,0))),NA())</f>
        <v/>
      </c>
      <c r="AJ727">
        <f>IFERROR(IF(INDEX(Aux_puntos!$A$2:$OJ$901,723,MATCH($B$2&amp;"|yN",Aux_puntos!$1:$1,0))="",NA(),INDEX(Aux_puntos!$A$2:$OJ$901,723,MATCH($B$2&amp;"|yN",Aux_puntos!$1:$1,0))),NA())</f>
        <v/>
      </c>
    </row>
    <row r="728">
      <c r="AC728">
        <f>IFERROR(IF(INDEX(Aux_puntos!$A$2:$OJ$901,724,MATCH($B$2&amp;"|xK",Aux_puntos!$1:$1,0))="",NA(),INDEX(Aux_puntos!$A$2:$OJ$901,724,MATCH($B$2&amp;"|xK",Aux_puntos!$1:$1,0))),NA())</f>
        <v/>
      </c>
      <c r="AD728">
        <f>IFERROR(IF(INDEX(Aux_puntos!$A$2:$OJ$901,724,MATCH($B$2&amp;"|yK",Aux_puntos!$1:$1,0))="",NA(),INDEX(Aux_puntos!$A$2:$OJ$901,724,MATCH($B$2&amp;"|yK",Aux_puntos!$1:$1,0))),NA())</f>
        <v/>
      </c>
      <c r="AE728">
        <f>IFERROR(IF(INDEX(Aux_puntos!$A$2:$OJ$901,724,MATCH($B$2&amp;"|xC",Aux_puntos!$1:$1,0))="",NA(),INDEX(Aux_puntos!$A$2:$OJ$901,724,MATCH($B$2&amp;"|xC",Aux_puntos!$1:$1,0))),NA())</f>
        <v/>
      </c>
      <c r="AF728">
        <f>IFERROR(IF(INDEX(Aux_puntos!$A$2:$OJ$901,724,MATCH($B$2&amp;"|yC",Aux_puntos!$1:$1,0))="",NA(),INDEX(Aux_puntos!$A$2:$OJ$901,724,MATCH($B$2&amp;"|yC",Aux_puntos!$1:$1,0))),NA())</f>
        <v/>
      </c>
      <c r="AG728">
        <f>IFERROR(IF(INDEX(Aux_puntos!$A$2:$OJ$901,724,MATCH($B$2&amp;"|xI",Aux_puntos!$1:$1,0))="",NA(),INDEX(Aux_puntos!$A$2:$OJ$901,724,MATCH($B$2&amp;"|xI",Aux_puntos!$1:$1,0))),NA())</f>
        <v/>
      </c>
      <c r="AH728">
        <f>IFERROR(IF(INDEX(Aux_puntos!$A$2:$OJ$901,724,MATCH($B$2&amp;"|yI",Aux_puntos!$1:$1,0))="",NA(),INDEX(Aux_puntos!$A$2:$OJ$901,724,MATCH($B$2&amp;"|yI",Aux_puntos!$1:$1,0))),NA())</f>
        <v/>
      </c>
      <c r="AI728">
        <f>IFERROR(IF(INDEX(Aux_puntos!$A$2:$OJ$901,724,MATCH($B$2&amp;"|xN",Aux_puntos!$1:$1,0))="",NA(),INDEX(Aux_puntos!$A$2:$OJ$901,724,MATCH($B$2&amp;"|xN",Aux_puntos!$1:$1,0))),NA())</f>
        <v/>
      </c>
      <c r="AJ728">
        <f>IFERROR(IF(INDEX(Aux_puntos!$A$2:$OJ$901,724,MATCH($B$2&amp;"|yN",Aux_puntos!$1:$1,0))="",NA(),INDEX(Aux_puntos!$A$2:$OJ$901,724,MATCH($B$2&amp;"|yN",Aux_puntos!$1:$1,0))),NA())</f>
        <v/>
      </c>
    </row>
    <row r="729">
      <c r="AC729">
        <f>IFERROR(IF(INDEX(Aux_puntos!$A$2:$OJ$901,725,MATCH($B$2&amp;"|xK",Aux_puntos!$1:$1,0))="",NA(),INDEX(Aux_puntos!$A$2:$OJ$901,725,MATCH($B$2&amp;"|xK",Aux_puntos!$1:$1,0))),NA())</f>
        <v/>
      </c>
      <c r="AD729">
        <f>IFERROR(IF(INDEX(Aux_puntos!$A$2:$OJ$901,725,MATCH($B$2&amp;"|yK",Aux_puntos!$1:$1,0))="",NA(),INDEX(Aux_puntos!$A$2:$OJ$901,725,MATCH($B$2&amp;"|yK",Aux_puntos!$1:$1,0))),NA())</f>
        <v/>
      </c>
      <c r="AE729">
        <f>IFERROR(IF(INDEX(Aux_puntos!$A$2:$OJ$901,725,MATCH($B$2&amp;"|xC",Aux_puntos!$1:$1,0))="",NA(),INDEX(Aux_puntos!$A$2:$OJ$901,725,MATCH($B$2&amp;"|xC",Aux_puntos!$1:$1,0))),NA())</f>
        <v/>
      </c>
      <c r="AF729">
        <f>IFERROR(IF(INDEX(Aux_puntos!$A$2:$OJ$901,725,MATCH($B$2&amp;"|yC",Aux_puntos!$1:$1,0))="",NA(),INDEX(Aux_puntos!$A$2:$OJ$901,725,MATCH($B$2&amp;"|yC",Aux_puntos!$1:$1,0))),NA())</f>
        <v/>
      </c>
      <c r="AG729">
        <f>IFERROR(IF(INDEX(Aux_puntos!$A$2:$OJ$901,725,MATCH($B$2&amp;"|xI",Aux_puntos!$1:$1,0))="",NA(),INDEX(Aux_puntos!$A$2:$OJ$901,725,MATCH($B$2&amp;"|xI",Aux_puntos!$1:$1,0))),NA())</f>
        <v/>
      </c>
      <c r="AH729">
        <f>IFERROR(IF(INDEX(Aux_puntos!$A$2:$OJ$901,725,MATCH($B$2&amp;"|yI",Aux_puntos!$1:$1,0))="",NA(),INDEX(Aux_puntos!$A$2:$OJ$901,725,MATCH($B$2&amp;"|yI",Aux_puntos!$1:$1,0))),NA())</f>
        <v/>
      </c>
      <c r="AI729">
        <f>IFERROR(IF(INDEX(Aux_puntos!$A$2:$OJ$901,725,MATCH($B$2&amp;"|xN",Aux_puntos!$1:$1,0))="",NA(),INDEX(Aux_puntos!$A$2:$OJ$901,725,MATCH($B$2&amp;"|xN",Aux_puntos!$1:$1,0))),NA())</f>
        <v/>
      </c>
      <c r="AJ729">
        <f>IFERROR(IF(INDEX(Aux_puntos!$A$2:$OJ$901,725,MATCH($B$2&amp;"|yN",Aux_puntos!$1:$1,0))="",NA(),INDEX(Aux_puntos!$A$2:$OJ$901,725,MATCH($B$2&amp;"|yN",Aux_puntos!$1:$1,0))),NA())</f>
        <v/>
      </c>
    </row>
    <row r="730">
      <c r="AC730">
        <f>IFERROR(IF(INDEX(Aux_puntos!$A$2:$OJ$901,726,MATCH($B$2&amp;"|xK",Aux_puntos!$1:$1,0))="",NA(),INDEX(Aux_puntos!$A$2:$OJ$901,726,MATCH($B$2&amp;"|xK",Aux_puntos!$1:$1,0))),NA())</f>
        <v/>
      </c>
      <c r="AD730">
        <f>IFERROR(IF(INDEX(Aux_puntos!$A$2:$OJ$901,726,MATCH($B$2&amp;"|yK",Aux_puntos!$1:$1,0))="",NA(),INDEX(Aux_puntos!$A$2:$OJ$901,726,MATCH($B$2&amp;"|yK",Aux_puntos!$1:$1,0))),NA())</f>
        <v/>
      </c>
      <c r="AE730">
        <f>IFERROR(IF(INDEX(Aux_puntos!$A$2:$OJ$901,726,MATCH($B$2&amp;"|xC",Aux_puntos!$1:$1,0))="",NA(),INDEX(Aux_puntos!$A$2:$OJ$901,726,MATCH($B$2&amp;"|xC",Aux_puntos!$1:$1,0))),NA())</f>
        <v/>
      </c>
      <c r="AF730">
        <f>IFERROR(IF(INDEX(Aux_puntos!$A$2:$OJ$901,726,MATCH($B$2&amp;"|yC",Aux_puntos!$1:$1,0))="",NA(),INDEX(Aux_puntos!$A$2:$OJ$901,726,MATCH($B$2&amp;"|yC",Aux_puntos!$1:$1,0))),NA())</f>
        <v/>
      </c>
      <c r="AG730">
        <f>IFERROR(IF(INDEX(Aux_puntos!$A$2:$OJ$901,726,MATCH($B$2&amp;"|xI",Aux_puntos!$1:$1,0))="",NA(),INDEX(Aux_puntos!$A$2:$OJ$901,726,MATCH($B$2&amp;"|xI",Aux_puntos!$1:$1,0))),NA())</f>
        <v/>
      </c>
      <c r="AH730">
        <f>IFERROR(IF(INDEX(Aux_puntos!$A$2:$OJ$901,726,MATCH($B$2&amp;"|yI",Aux_puntos!$1:$1,0))="",NA(),INDEX(Aux_puntos!$A$2:$OJ$901,726,MATCH($B$2&amp;"|yI",Aux_puntos!$1:$1,0))),NA())</f>
        <v/>
      </c>
      <c r="AI730">
        <f>IFERROR(IF(INDEX(Aux_puntos!$A$2:$OJ$901,726,MATCH($B$2&amp;"|xN",Aux_puntos!$1:$1,0))="",NA(),INDEX(Aux_puntos!$A$2:$OJ$901,726,MATCH($B$2&amp;"|xN",Aux_puntos!$1:$1,0))),NA())</f>
        <v/>
      </c>
      <c r="AJ730">
        <f>IFERROR(IF(INDEX(Aux_puntos!$A$2:$OJ$901,726,MATCH($B$2&amp;"|yN",Aux_puntos!$1:$1,0))="",NA(),INDEX(Aux_puntos!$A$2:$OJ$901,726,MATCH($B$2&amp;"|yN",Aux_puntos!$1:$1,0))),NA())</f>
        <v/>
      </c>
    </row>
    <row r="731">
      <c r="AC731">
        <f>IFERROR(IF(INDEX(Aux_puntos!$A$2:$OJ$901,727,MATCH($B$2&amp;"|xK",Aux_puntos!$1:$1,0))="",NA(),INDEX(Aux_puntos!$A$2:$OJ$901,727,MATCH($B$2&amp;"|xK",Aux_puntos!$1:$1,0))),NA())</f>
        <v/>
      </c>
      <c r="AD731">
        <f>IFERROR(IF(INDEX(Aux_puntos!$A$2:$OJ$901,727,MATCH($B$2&amp;"|yK",Aux_puntos!$1:$1,0))="",NA(),INDEX(Aux_puntos!$A$2:$OJ$901,727,MATCH($B$2&amp;"|yK",Aux_puntos!$1:$1,0))),NA())</f>
        <v/>
      </c>
      <c r="AE731">
        <f>IFERROR(IF(INDEX(Aux_puntos!$A$2:$OJ$901,727,MATCH($B$2&amp;"|xC",Aux_puntos!$1:$1,0))="",NA(),INDEX(Aux_puntos!$A$2:$OJ$901,727,MATCH($B$2&amp;"|xC",Aux_puntos!$1:$1,0))),NA())</f>
        <v/>
      </c>
      <c r="AF731">
        <f>IFERROR(IF(INDEX(Aux_puntos!$A$2:$OJ$901,727,MATCH($B$2&amp;"|yC",Aux_puntos!$1:$1,0))="",NA(),INDEX(Aux_puntos!$A$2:$OJ$901,727,MATCH($B$2&amp;"|yC",Aux_puntos!$1:$1,0))),NA())</f>
        <v/>
      </c>
      <c r="AG731">
        <f>IFERROR(IF(INDEX(Aux_puntos!$A$2:$OJ$901,727,MATCH($B$2&amp;"|xI",Aux_puntos!$1:$1,0))="",NA(),INDEX(Aux_puntos!$A$2:$OJ$901,727,MATCH($B$2&amp;"|xI",Aux_puntos!$1:$1,0))),NA())</f>
        <v/>
      </c>
      <c r="AH731">
        <f>IFERROR(IF(INDEX(Aux_puntos!$A$2:$OJ$901,727,MATCH($B$2&amp;"|yI",Aux_puntos!$1:$1,0))="",NA(),INDEX(Aux_puntos!$A$2:$OJ$901,727,MATCH($B$2&amp;"|yI",Aux_puntos!$1:$1,0))),NA())</f>
        <v/>
      </c>
      <c r="AI731">
        <f>IFERROR(IF(INDEX(Aux_puntos!$A$2:$OJ$901,727,MATCH($B$2&amp;"|xN",Aux_puntos!$1:$1,0))="",NA(),INDEX(Aux_puntos!$A$2:$OJ$901,727,MATCH($B$2&amp;"|xN",Aux_puntos!$1:$1,0))),NA())</f>
        <v/>
      </c>
      <c r="AJ731">
        <f>IFERROR(IF(INDEX(Aux_puntos!$A$2:$OJ$901,727,MATCH($B$2&amp;"|yN",Aux_puntos!$1:$1,0))="",NA(),INDEX(Aux_puntos!$A$2:$OJ$901,727,MATCH($B$2&amp;"|yN",Aux_puntos!$1:$1,0))),NA())</f>
        <v/>
      </c>
    </row>
    <row r="732">
      <c r="AC732">
        <f>IFERROR(IF(INDEX(Aux_puntos!$A$2:$OJ$901,728,MATCH($B$2&amp;"|xK",Aux_puntos!$1:$1,0))="",NA(),INDEX(Aux_puntos!$A$2:$OJ$901,728,MATCH($B$2&amp;"|xK",Aux_puntos!$1:$1,0))),NA())</f>
        <v/>
      </c>
      <c r="AD732">
        <f>IFERROR(IF(INDEX(Aux_puntos!$A$2:$OJ$901,728,MATCH($B$2&amp;"|yK",Aux_puntos!$1:$1,0))="",NA(),INDEX(Aux_puntos!$A$2:$OJ$901,728,MATCH($B$2&amp;"|yK",Aux_puntos!$1:$1,0))),NA())</f>
        <v/>
      </c>
      <c r="AE732">
        <f>IFERROR(IF(INDEX(Aux_puntos!$A$2:$OJ$901,728,MATCH($B$2&amp;"|xC",Aux_puntos!$1:$1,0))="",NA(),INDEX(Aux_puntos!$A$2:$OJ$901,728,MATCH($B$2&amp;"|xC",Aux_puntos!$1:$1,0))),NA())</f>
        <v/>
      </c>
      <c r="AF732">
        <f>IFERROR(IF(INDEX(Aux_puntos!$A$2:$OJ$901,728,MATCH($B$2&amp;"|yC",Aux_puntos!$1:$1,0))="",NA(),INDEX(Aux_puntos!$A$2:$OJ$901,728,MATCH($B$2&amp;"|yC",Aux_puntos!$1:$1,0))),NA())</f>
        <v/>
      </c>
      <c r="AG732">
        <f>IFERROR(IF(INDEX(Aux_puntos!$A$2:$OJ$901,728,MATCH($B$2&amp;"|xI",Aux_puntos!$1:$1,0))="",NA(),INDEX(Aux_puntos!$A$2:$OJ$901,728,MATCH($B$2&amp;"|xI",Aux_puntos!$1:$1,0))),NA())</f>
        <v/>
      </c>
      <c r="AH732">
        <f>IFERROR(IF(INDEX(Aux_puntos!$A$2:$OJ$901,728,MATCH($B$2&amp;"|yI",Aux_puntos!$1:$1,0))="",NA(),INDEX(Aux_puntos!$A$2:$OJ$901,728,MATCH($B$2&amp;"|yI",Aux_puntos!$1:$1,0))),NA())</f>
        <v/>
      </c>
      <c r="AI732">
        <f>IFERROR(IF(INDEX(Aux_puntos!$A$2:$OJ$901,728,MATCH($B$2&amp;"|xN",Aux_puntos!$1:$1,0))="",NA(),INDEX(Aux_puntos!$A$2:$OJ$901,728,MATCH($B$2&amp;"|xN",Aux_puntos!$1:$1,0))),NA())</f>
        <v/>
      </c>
      <c r="AJ732">
        <f>IFERROR(IF(INDEX(Aux_puntos!$A$2:$OJ$901,728,MATCH($B$2&amp;"|yN",Aux_puntos!$1:$1,0))="",NA(),INDEX(Aux_puntos!$A$2:$OJ$901,728,MATCH($B$2&amp;"|yN",Aux_puntos!$1:$1,0))),NA())</f>
        <v/>
      </c>
    </row>
    <row r="733">
      <c r="AC733">
        <f>IFERROR(IF(INDEX(Aux_puntos!$A$2:$OJ$901,729,MATCH($B$2&amp;"|xK",Aux_puntos!$1:$1,0))="",NA(),INDEX(Aux_puntos!$A$2:$OJ$901,729,MATCH($B$2&amp;"|xK",Aux_puntos!$1:$1,0))),NA())</f>
        <v/>
      </c>
      <c r="AD733">
        <f>IFERROR(IF(INDEX(Aux_puntos!$A$2:$OJ$901,729,MATCH($B$2&amp;"|yK",Aux_puntos!$1:$1,0))="",NA(),INDEX(Aux_puntos!$A$2:$OJ$901,729,MATCH($B$2&amp;"|yK",Aux_puntos!$1:$1,0))),NA())</f>
        <v/>
      </c>
      <c r="AE733">
        <f>IFERROR(IF(INDEX(Aux_puntos!$A$2:$OJ$901,729,MATCH($B$2&amp;"|xC",Aux_puntos!$1:$1,0))="",NA(),INDEX(Aux_puntos!$A$2:$OJ$901,729,MATCH($B$2&amp;"|xC",Aux_puntos!$1:$1,0))),NA())</f>
        <v/>
      </c>
      <c r="AF733">
        <f>IFERROR(IF(INDEX(Aux_puntos!$A$2:$OJ$901,729,MATCH($B$2&amp;"|yC",Aux_puntos!$1:$1,0))="",NA(),INDEX(Aux_puntos!$A$2:$OJ$901,729,MATCH($B$2&amp;"|yC",Aux_puntos!$1:$1,0))),NA())</f>
        <v/>
      </c>
      <c r="AG733">
        <f>IFERROR(IF(INDEX(Aux_puntos!$A$2:$OJ$901,729,MATCH($B$2&amp;"|xI",Aux_puntos!$1:$1,0))="",NA(),INDEX(Aux_puntos!$A$2:$OJ$901,729,MATCH($B$2&amp;"|xI",Aux_puntos!$1:$1,0))),NA())</f>
        <v/>
      </c>
      <c r="AH733">
        <f>IFERROR(IF(INDEX(Aux_puntos!$A$2:$OJ$901,729,MATCH($B$2&amp;"|yI",Aux_puntos!$1:$1,0))="",NA(),INDEX(Aux_puntos!$A$2:$OJ$901,729,MATCH($B$2&amp;"|yI",Aux_puntos!$1:$1,0))),NA())</f>
        <v/>
      </c>
      <c r="AI733">
        <f>IFERROR(IF(INDEX(Aux_puntos!$A$2:$OJ$901,729,MATCH($B$2&amp;"|xN",Aux_puntos!$1:$1,0))="",NA(),INDEX(Aux_puntos!$A$2:$OJ$901,729,MATCH($B$2&amp;"|xN",Aux_puntos!$1:$1,0))),NA())</f>
        <v/>
      </c>
      <c r="AJ733">
        <f>IFERROR(IF(INDEX(Aux_puntos!$A$2:$OJ$901,729,MATCH($B$2&amp;"|yN",Aux_puntos!$1:$1,0))="",NA(),INDEX(Aux_puntos!$A$2:$OJ$901,729,MATCH($B$2&amp;"|yN",Aux_puntos!$1:$1,0))),NA())</f>
        <v/>
      </c>
    </row>
    <row r="734">
      <c r="AC734">
        <f>IFERROR(IF(INDEX(Aux_puntos!$A$2:$OJ$901,730,MATCH($B$2&amp;"|xK",Aux_puntos!$1:$1,0))="",NA(),INDEX(Aux_puntos!$A$2:$OJ$901,730,MATCH($B$2&amp;"|xK",Aux_puntos!$1:$1,0))),NA())</f>
        <v/>
      </c>
      <c r="AD734">
        <f>IFERROR(IF(INDEX(Aux_puntos!$A$2:$OJ$901,730,MATCH($B$2&amp;"|yK",Aux_puntos!$1:$1,0))="",NA(),INDEX(Aux_puntos!$A$2:$OJ$901,730,MATCH($B$2&amp;"|yK",Aux_puntos!$1:$1,0))),NA())</f>
        <v/>
      </c>
      <c r="AE734">
        <f>IFERROR(IF(INDEX(Aux_puntos!$A$2:$OJ$901,730,MATCH($B$2&amp;"|xC",Aux_puntos!$1:$1,0))="",NA(),INDEX(Aux_puntos!$A$2:$OJ$901,730,MATCH($B$2&amp;"|xC",Aux_puntos!$1:$1,0))),NA())</f>
        <v/>
      </c>
      <c r="AF734">
        <f>IFERROR(IF(INDEX(Aux_puntos!$A$2:$OJ$901,730,MATCH($B$2&amp;"|yC",Aux_puntos!$1:$1,0))="",NA(),INDEX(Aux_puntos!$A$2:$OJ$901,730,MATCH($B$2&amp;"|yC",Aux_puntos!$1:$1,0))),NA())</f>
        <v/>
      </c>
      <c r="AG734">
        <f>IFERROR(IF(INDEX(Aux_puntos!$A$2:$OJ$901,730,MATCH($B$2&amp;"|xI",Aux_puntos!$1:$1,0))="",NA(),INDEX(Aux_puntos!$A$2:$OJ$901,730,MATCH($B$2&amp;"|xI",Aux_puntos!$1:$1,0))),NA())</f>
        <v/>
      </c>
      <c r="AH734">
        <f>IFERROR(IF(INDEX(Aux_puntos!$A$2:$OJ$901,730,MATCH($B$2&amp;"|yI",Aux_puntos!$1:$1,0))="",NA(),INDEX(Aux_puntos!$A$2:$OJ$901,730,MATCH($B$2&amp;"|yI",Aux_puntos!$1:$1,0))),NA())</f>
        <v/>
      </c>
      <c r="AI734">
        <f>IFERROR(IF(INDEX(Aux_puntos!$A$2:$OJ$901,730,MATCH($B$2&amp;"|xN",Aux_puntos!$1:$1,0))="",NA(),INDEX(Aux_puntos!$A$2:$OJ$901,730,MATCH($B$2&amp;"|xN",Aux_puntos!$1:$1,0))),NA())</f>
        <v/>
      </c>
      <c r="AJ734">
        <f>IFERROR(IF(INDEX(Aux_puntos!$A$2:$OJ$901,730,MATCH($B$2&amp;"|yN",Aux_puntos!$1:$1,0))="",NA(),INDEX(Aux_puntos!$A$2:$OJ$901,730,MATCH($B$2&amp;"|yN",Aux_puntos!$1:$1,0))),NA())</f>
        <v/>
      </c>
    </row>
    <row r="735">
      <c r="AC735">
        <f>IFERROR(IF(INDEX(Aux_puntos!$A$2:$OJ$901,731,MATCH($B$2&amp;"|xK",Aux_puntos!$1:$1,0))="",NA(),INDEX(Aux_puntos!$A$2:$OJ$901,731,MATCH($B$2&amp;"|xK",Aux_puntos!$1:$1,0))),NA())</f>
        <v/>
      </c>
      <c r="AD735">
        <f>IFERROR(IF(INDEX(Aux_puntos!$A$2:$OJ$901,731,MATCH($B$2&amp;"|yK",Aux_puntos!$1:$1,0))="",NA(),INDEX(Aux_puntos!$A$2:$OJ$901,731,MATCH($B$2&amp;"|yK",Aux_puntos!$1:$1,0))),NA())</f>
        <v/>
      </c>
      <c r="AE735">
        <f>IFERROR(IF(INDEX(Aux_puntos!$A$2:$OJ$901,731,MATCH($B$2&amp;"|xC",Aux_puntos!$1:$1,0))="",NA(),INDEX(Aux_puntos!$A$2:$OJ$901,731,MATCH($B$2&amp;"|xC",Aux_puntos!$1:$1,0))),NA())</f>
        <v/>
      </c>
      <c r="AF735">
        <f>IFERROR(IF(INDEX(Aux_puntos!$A$2:$OJ$901,731,MATCH($B$2&amp;"|yC",Aux_puntos!$1:$1,0))="",NA(),INDEX(Aux_puntos!$A$2:$OJ$901,731,MATCH($B$2&amp;"|yC",Aux_puntos!$1:$1,0))),NA())</f>
        <v/>
      </c>
      <c r="AG735">
        <f>IFERROR(IF(INDEX(Aux_puntos!$A$2:$OJ$901,731,MATCH($B$2&amp;"|xI",Aux_puntos!$1:$1,0))="",NA(),INDEX(Aux_puntos!$A$2:$OJ$901,731,MATCH($B$2&amp;"|xI",Aux_puntos!$1:$1,0))),NA())</f>
        <v/>
      </c>
      <c r="AH735">
        <f>IFERROR(IF(INDEX(Aux_puntos!$A$2:$OJ$901,731,MATCH($B$2&amp;"|yI",Aux_puntos!$1:$1,0))="",NA(),INDEX(Aux_puntos!$A$2:$OJ$901,731,MATCH($B$2&amp;"|yI",Aux_puntos!$1:$1,0))),NA())</f>
        <v/>
      </c>
      <c r="AI735">
        <f>IFERROR(IF(INDEX(Aux_puntos!$A$2:$OJ$901,731,MATCH($B$2&amp;"|xN",Aux_puntos!$1:$1,0))="",NA(),INDEX(Aux_puntos!$A$2:$OJ$901,731,MATCH($B$2&amp;"|xN",Aux_puntos!$1:$1,0))),NA())</f>
        <v/>
      </c>
      <c r="AJ735">
        <f>IFERROR(IF(INDEX(Aux_puntos!$A$2:$OJ$901,731,MATCH($B$2&amp;"|yN",Aux_puntos!$1:$1,0))="",NA(),INDEX(Aux_puntos!$A$2:$OJ$901,731,MATCH($B$2&amp;"|yN",Aux_puntos!$1:$1,0))),NA())</f>
        <v/>
      </c>
    </row>
    <row r="736">
      <c r="AC736">
        <f>IFERROR(IF(INDEX(Aux_puntos!$A$2:$OJ$901,732,MATCH($B$2&amp;"|xK",Aux_puntos!$1:$1,0))="",NA(),INDEX(Aux_puntos!$A$2:$OJ$901,732,MATCH($B$2&amp;"|xK",Aux_puntos!$1:$1,0))),NA())</f>
        <v/>
      </c>
      <c r="AD736">
        <f>IFERROR(IF(INDEX(Aux_puntos!$A$2:$OJ$901,732,MATCH($B$2&amp;"|yK",Aux_puntos!$1:$1,0))="",NA(),INDEX(Aux_puntos!$A$2:$OJ$901,732,MATCH($B$2&amp;"|yK",Aux_puntos!$1:$1,0))),NA())</f>
        <v/>
      </c>
      <c r="AE736">
        <f>IFERROR(IF(INDEX(Aux_puntos!$A$2:$OJ$901,732,MATCH($B$2&amp;"|xC",Aux_puntos!$1:$1,0))="",NA(),INDEX(Aux_puntos!$A$2:$OJ$901,732,MATCH($B$2&amp;"|xC",Aux_puntos!$1:$1,0))),NA())</f>
        <v/>
      </c>
      <c r="AF736">
        <f>IFERROR(IF(INDEX(Aux_puntos!$A$2:$OJ$901,732,MATCH($B$2&amp;"|yC",Aux_puntos!$1:$1,0))="",NA(),INDEX(Aux_puntos!$A$2:$OJ$901,732,MATCH($B$2&amp;"|yC",Aux_puntos!$1:$1,0))),NA())</f>
        <v/>
      </c>
      <c r="AG736">
        <f>IFERROR(IF(INDEX(Aux_puntos!$A$2:$OJ$901,732,MATCH($B$2&amp;"|xI",Aux_puntos!$1:$1,0))="",NA(),INDEX(Aux_puntos!$A$2:$OJ$901,732,MATCH($B$2&amp;"|xI",Aux_puntos!$1:$1,0))),NA())</f>
        <v/>
      </c>
      <c r="AH736">
        <f>IFERROR(IF(INDEX(Aux_puntos!$A$2:$OJ$901,732,MATCH($B$2&amp;"|yI",Aux_puntos!$1:$1,0))="",NA(),INDEX(Aux_puntos!$A$2:$OJ$901,732,MATCH($B$2&amp;"|yI",Aux_puntos!$1:$1,0))),NA())</f>
        <v/>
      </c>
      <c r="AI736">
        <f>IFERROR(IF(INDEX(Aux_puntos!$A$2:$OJ$901,732,MATCH($B$2&amp;"|xN",Aux_puntos!$1:$1,0))="",NA(),INDEX(Aux_puntos!$A$2:$OJ$901,732,MATCH($B$2&amp;"|xN",Aux_puntos!$1:$1,0))),NA())</f>
        <v/>
      </c>
      <c r="AJ736">
        <f>IFERROR(IF(INDEX(Aux_puntos!$A$2:$OJ$901,732,MATCH($B$2&amp;"|yN",Aux_puntos!$1:$1,0))="",NA(),INDEX(Aux_puntos!$A$2:$OJ$901,732,MATCH($B$2&amp;"|yN",Aux_puntos!$1:$1,0))),NA())</f>
        <v/>
      </c>
    </row>
    <row r="737">
      <c r="AC737">
        <f>IFERROR(IF(INDEX(Aux_puntos!$A$2:$OJ$901,733,MATCH($B$2&amp;"|xK",Aux_puntos!$1:$1,0))="",NA(),INDEX(Aux_puntos!$A$2:$OJ$901,733,MATCH($B$2&amp;"|xK",Aux_puntos!$1:$1,0))),NA())</f>
        <v/>
      </c>
      <c r="AD737">
        <f>IFERROR(IF(INDEX(Aux_puntos!$A$2:$OJ$901,733,MATCH($B$2&amp;"|yK",Aux_puntos!$1:$1,0))="",NA(),INDEX(Aux_puntos!$A$2:$OJ$901,733,MATCH($B$2&amp;"|yK",Aux_puntos!$1:$1,0))),NA())</f>
        <v/>
      </c>
      <c r="AE737">
        <f>IFERROR(IF(INDEX(Aux_puntos!$A$2:$OJ$901,733,MATCH($B$2&amp;"|xC",Aux_puntos!$1:$1,0))="",NA(),INDEX(Aux_puntos!$A$2:$OJ$901,733,MATCH($B$2&amp;"|xC",Aux_puntos!$1:$1,0))),NA())</f>
        <v/>
      </c>
      <c r="AF737">
        <f>IFERROR(IF(INDEX(Aux_puntos!$A$2:$OJ$901,733,MATCH($B$2&amp;"|yC",Aux_puntos!$1:$1,0))="",NA(),INDEX(Aux_puntos!$A$2:$OJ$901,733,MATCH($B$2&amp;"|yC",Aux_puntos!$1:$1,0))),NA())</f>
        <v/>
      </c>
      <c r="AG737">
        <f>IFERROR(IF(INDEX(Aux_puntos!$A$2:$OJ$901,733,MATCH($B$2&amp;"|xI",Aux_puntos!$1:$1,0))="",NA(),INDEX(Aux_puntos!$A$2:$OJ$901,733,MATCH($B$2&amp;"|xI",Aux_puntos!$1:$1,0))),NA())</f>
        <v/>
      </c>
      <c r="AH737">
        <f>IFERROR(IF(INDEX(Aux_puntos!$A$2:$OJ$901,733,MATCH($B$2&amp;"|yI",Aux_puntos!$1:$1,0))="",NA(),INDEX(Aux_puntos!$A$2:$OJ$901,733,MATCH($B$2&amp;"|yI",Aux_puntos!$1:$1,0))),NA())</f>
        <v/>
      </c>
      <c r="AI737">
        <f>IFERROR(IF(INDEX(Aux_puntos!$A$2:$OJ$901,733,MATCH($B$2&amp;"|xN",Aux_puntos!$1:$1,0))="",NA(),INDEX(Aux_puntos!$A$2:$OJ$901,733,MATCH($B$2&amp;"|xN",Aux_puntos!$1:$1,0))),NA())</f>
        <v/>
      </c>
      <c r="AJ737">
        <f>IFERROR(IF(INDEX(Aux_puntos!$A$2:$OJ$901,733,MATCH($B$2&amp;"|yN",Aux_puntos!$1:$1,0))="",NA(),INDEX(Aux_puntos!$A$2:$OJ$901,733,MATCH($B$2&amp;"|yN",Aux_puntos!$1:$1,0))),NA())</f>
        <v/>
      </c>
    </row>
    <row r="738">
      <c r="AC738">
        <f>IFERROR(IF(INDEX(Aux_puntos!$A$2:$OJ$901,734,MATCH($B$2&amp;"|xK",Aux_puntos!$1:$1,0))="",NA(),INDEX(Aux_puntos!$A$2:$OJ$901,734,MATCH($B$2&amp;"|xK",Aux_puntos!$1:$1,0))),NA())</f>
        <v/>
      </c>
      <c r="AD738">
        <f>IFERROR(IF(INDEX(Aux_puntos!$A$2:$OJ$901,734,MATCH($B$2&amp;"|yK",Aux_puntos!$1:$1,0))="",NA(),INDEX(Aux_puntos!$A$2:$OJ$901,734,MATCH($B$2&amp;"|yK",Aux_puntos!$1:$1,0))),NA())</f>
        <v/>
      </c>
      <c r="AE738">
        <f>IFERROR(IF(INDEX(Aux_puntos!$A$2:$OJ$901,734,MATCH($B$2&amp;"|xC",Aux_puntos!$1:$1,0))="",NA(),INDEX(Aux_puntos!$A$2:$OJ$901,734,MATCH($B$2&amp;"|xC",Aux_puntos!$1:$1,0))),NA())</f>
        <v/>
      </c>
      <c r="AF738">
        <f>IFERROR(IF(INDEX(Aux_puntos!$A$2:$OJ$901,734,MATCH($B$2&amp;"|yC",Aux_puntos!$1:$1,0))="",NA(),INDEX(Aux_puntos!$A$2:$OJ$901,734,MATCH($B$2&amp;"|yC",Aux_puntos!$1:$1,0))),NA())</f>
        <v/>
      </c>
      <c r="AG738">
        <f>IFERROR(IF(INDEX(Aux_puntos!$A$2:$OJ$901,734,MATCH($B$2&amp;"|xI",Aux_puntos!$1:$1,0))="",NA(),INDEX(Aux_puntos!$A$2:$OJ$901,734,MATCH($B$2&amp;"|xI",Aux_puntos!$1:$1,0))),NA())</f>
        <v/>
      </c>
      <c r="AH738">
        <f>IFERROR(IF(INDEX(Aux_puntos!$A$2:$OJ$901,734,MATCH($B$2&amp;"|yI",Aux_puntos!$1:$1,0))="",NA(),INDEX(Aux_puntos!$A$2:$OJ$901,734,MATCH($B$2&amp;"|yI",Aux_puntos!$1:$1,0))),NA())</f>
        <v/>
      </c>
      <c r="AI738">
        <f>IFERROR(IF(INDEX(Aux_puntos!$A$2:$OJ$901,734,MATCH($B$2&amp;"|xN",Aux_puntos!$1:$1,0))="",NA(),INDEX(Aux_puntos!$A$2:$OJ$901,734,MATCH($B$2&amp;"|xN",Aux_puntos!$1:$1,0))),NA())</f>
        <v/>
      </c>
      <c r="AJ738">
        <f>IFERROR(IF(INDEX(Aux_puntos!$A$2:$OJ$901,734,MATCH($B$2&amp;"|yN",Aux_puntos!$1:$1,0))="",NA(),INDEX(Aux_puntos!$A$2:$OJ$901,734,MATCH($B$2&amp;"|yN",Aux_puntos!$1:$1,0))),NA())</f>
        <v/>
      </c>
    </row>
    <row r="739">
      <c r="AC739">
        <f>IFERROR(IF(INDEX(Aux_puntos!$A$2:$OJ$901,735,MATCH($B$2&amp;"|xK",Aux_puntos!$1:$1,0))="",NA(),INDEX(Aux_puntos!$A$2:$OJ$901,735,MATCH($B$2&amp;"|xK",Aux_puntos!$1:$1,0))),NA())</f>
        <v/>
      </c>
      <c r="AD739">
        <f>IFERROR(IF(INDEX(Aux_puntos!$A$2:$OJ$901,735,MATCH($B$2&amp;"|yK",Aux_puntos!$1:$1,0))="",NA(),INDEX(Aux_puntos!$A$2:$OJ$901,735,MATCH($B$2&amp;"|yK",Aux_puntos!$1:$1,0))),NA())</f>
        <v/>
      </c>
      <c r="AE739">
        <f>IFERROR(IF(INDEX(Aux_puntos!$A$2:$OJ$901,735,MATCH($B$2&amp;"|xC",Aux_puntos!$1:$1,0))="",NA(),INDEX(Aux_puntos!$A$2:$OJ$901,735,MATCH($B$2&amp;"|xC",Aux_puntos!$1:$1,0))),NA())</f>
        <v/>
      </c>
      <c r="AF739">
        <f>IFERROR(IF(INDEX(Aux_puntos!$A$2:$OJ$901,735,MATCH($B$2&amp;"|yC",Aux_puntos!$1:$1,0))="",NA(),INDEX(Aux_puntos!$A$2:$OJ$901,735,MATCH($B$2&amp;"|yC",Aux_puntos!$1:$1,0))),NA())</f>
        <v/>
      </c>
      <c r="AG739">
        <f>IFERROR(IF(INDEX(Aux_puntos!$A$2:$OJ$901,735,MATCH($B$2&amp;"|xI",Aux_puntos!$1:$1,0))="",NA(),INDEX(Aux_puntos!$A$2:$OJ$901,735,MATCH($B$2&amp;"|xI",Aux_puntos!$1:$1,0))),NA())</f>
        <v/>
      </c>
      <c r="AH739">
        <f>IFERROR(IF(INDEX(Aux_puntos!$A$2:$OJ$901,735,MATCH($B$2&amp;"|yI",Aux_puntos!$1:$1,0))="",NA(),INDEX(Aux_puntos!$A$2:$OJ$901,735,MATCH($B$2&amp;"|yI",Aux_puntos!$1:$1,0))),NA())</f>
        <v/>
      </c>
      <c r="AI739">
        <f>IFERROR(IF(INDEX(Aux_puntos!$A$2:$OJ$901,735,MATCH($B$2&amp;"|xN",Aux_puntos!$1:$1,0))="",NA(),INDEX(Aux_puntos!$A$2:$OJ$901,735,MATCH($B$2&amp;"|xN",Aux_puntos!$1:$1,0))),NA())</f>
        <v/>
      </c>
      <c r="AJ739">
        <f>IFERROR(IF(INDEX(Aux_puntos!$A$2:$OJ$901,735,MATCH($B$2&amp;"|yN",Aux_puntos!$1:$1,0))="",NA(),INDEX(Aux_puntos!$A$2:$OJ$901,735,MATCH($B$2&amp;"|yN",Aux_puntos!$1:$1,0))),NA())</f>
        <v/>
      </c>
    </row>
    <row r="740">
      <c r="AC740">
        <f>IFERROR(IF(INDEX(Aux_puntos!$A$2:$OJ$901,736,MATCH($B$2&amp;"|xK",Aux_puntos!$1:$1,0))="",NA(),INDEX(Aux_puntos!$A$2:$OJ$901,736,MATCH($B$2&amp;"|xK",Aux_puntos!$1:$1,0))),NA())</f>
        <v/>
      </c>
      <c r="AD740">
        <f>IFERROR(IF(INDEX(Aux_puntos!$A$2:$OJ$901,736,MATCH($B$2&amp;"|yK",Aux_puntos!$1:$1,0))="",NA(),INDEX(Aux_puntos!$A$2:$OJ$901,736,MATCH($B$2&amp;"|yK",Aux_puntos!$1:$1,0))),NA())</f>
        <v/>
      </c>
      <c r="AE740">
        <f>IFERROR(IF(INDEX(Aux_puntos!$A$2:$OJ$901,736,MATCH($B$2&amp;"|xC",Aux_puntos!$1:$1,0))="",NA(),INDEX(Aux_puntos!$A$2:$OJ$901,736,MATCH($B$2&amp;"|xC",Aux_puntos!$1:$1,0))),NA())</f>
        <v/>
      </c>
      <c r="AF740">
        <f>IFERROR(IF(INDEX(Aux_puntos!$A$2:$OJ$901,736,MATCH($B$2&amp;"|yC",Aux_puntos!$1:$1,0))="",NA(),INDEX(Aux_puntos!$A$2:$OJ$901,736,MATCH($B$2&amp;"|yC",Aux_puntos!$1:$1,0))),NA())</f>
        <v/>
      </c>
      <c r="AG740">
        <f>IFERROR(IF(INDEX(Aux_puntos!$A$2:$OJ$901,736,MATCH($B$2&amp;"|xI",Aux_puntos!$1:$1,0))="",NA(),INDEX(Aux_puntos!$A$2:$OJ$901,736,MATCH($B$2&amp;"|xI",Aux_puntos!$1:$1,0))),NA())</f>
        <v/>
      </c>
      <c r="AH740">
        <f>IFERROR(IF(INDEX(Aux_puntos!$A$2:$OJ$901,736,MATCH($B$2&amp;"|yI",Aux_puntos!$1:$1,0))="",NA(),INDEX(Aux_puntos!$A$2:$OJ$901,736,MATCH($B$2&amp;"|yI",Aux_puntos!$1:$1,0))),NA())</f>
        <v/>
      </c>
      <c r="AI740">
        <f>IFERROR(IF(INDEX(Aux_puntos!$A$2:$OJ$901,736,MATCH($B$2&amp;"|xN",Aux_puntos!$1:$1,0))="",NA(),INDEX(Aux_puntos!$A$2:$OJ$901,736,MATCH($B$2&amp;"|xN",Aux_puntos!$1:$1,0))),NA())</f>
        <v/>
      </c>
      <c r="AJ740">
        <f>IFERROR(IF(INDEX(Aux_puntos!$A$2:$OJ$901,736,MATCH($B$2&amp;"|yN",Aux_puntos!$1:$1,0))="",NA(),INDEX(Aux_puntos!$A$2:$OJ$901,736,MATCH($B$2&amp;"|yN",Aux_puntos!$1:$1,0))),NA())</f>
        <v/>
      </c>
    </row>
    <row r="741">
      <c r="AC741">
        <f>IFERROR(IF(INDEX(Aux_puntos!$A$2:$OJ$901,737,MATCH($B$2&amp;"|xK",Aux_puntos!$1:$1,0))="",NA(),INDEX(Aux_puntos!$A$2:$OJ$901,737,MATCH($B$2&amp;"|xK",Aux_puntos!$1:$1,0))),NA())</f>
        <v/>
      </c>
      <c r="AD741">
        <f>IFERROR(IF(INDEX(Aux_puntos!$A$2:$OJ$901,737,MATCH($B$2&amp;"|yK",Aux_puntos!$1:$1,0))="",NA(),INDEX(Aux_puntos!$A$2:$OJ$901,737,MATCH($B$2&amp;"|yK",Aux_puntos!$1:$1,0))),NA())</f>
        <v/>
      </c>
      <c r="AE741">
        <f>IFERROR(IF(INDEX(Aux_puntos!$A$2:$OJ$901,737,MATCH($B$2&amp;"|xC",Aux_puntos!$1:$1,0))="",NA(),INDEX(Aux_puntos!$A$2:$OJ$901,737,MATCH($B$2&amp;"|xC",Aux_puntos!$1:$1,0))),NA())</f>
        <v/>
      </c>
      <c r="AF741">
        <f>IFERROR(IF(INDEX(Aux_puntos!$A$2:$OJ$901,737,MATCH($B$2&amp;"|yC",Aux_puntos!$1:$1,0))="",NA(),INDEX(Aux_puntos!$A$2:$OJ$901,737,MATCH($B$2&amp;"|yC",Aux_puntos!$1:$1,0))),NA())</f>
        <v/>
      </c>
      <c r="AG741">
        <f>IFERROR(IF(INDEX(Aux_puntos!$A$2:$OJ$901,737,MATCH($B$2&amp;"|xI",Aux_puntos!$1:$1,0))="",NA(),INDEX(Aux_puntos!$A$2:$OJ$901,737,MATCH($B$2&amp;"|xI",Aux_puntos!$1:$1,0))),NA())</f>
        <v/>
      </c>
      <c r="AH741">
        <f>IFERROR(IF(INDEX(Aux_puntos!$A$2:$OJ$901,737,MATCH($B$2&amp;"|yI",Aux_puntos!$1:$1,0))="",NA(),INDEX(Aux_puntos!$A$2:$OJ$901,737,MATCH($B$2&amp;"|yI",Aux_puntos!$1:$1,0))),NA())</f>
        <v/>
      </c>
      <c r="AI741">
        <f>IFERROR(IF(INDEX(Aux_puntos!$A$2:$OJ$901,737,MATCH($B$2&amp;"|xN",Aux_puntos!$1:$1,0))="",NA(),INDEX(Aux_puntos!$A$2:$OJ$901,737,MATCH($B$2&amp;"|xN",Aux_puntos!$1:$1,0))),NA())</f>
        <v/>
      </c>
      <c r="AJ741">
        <f>IFERROR(IF(INDEX(Aux_puntos!$A$2:$OJ$901,737,MATCH($B$2&amp;"|yN",Aux_puntos!$1:$1,0))="",NA(),INDEX(Aux_puntos!$A$2:$OJ$901,737,MATCH($B$2&amp;"|yN",Aux_puntos!$1:$1,0))),NA())</f>
        <v/>
      </c>
    </row>
    <row r="742">
      <c r="AC742">
        <f>IFERROR(IF(INDEX(Aux_puntos!$A$2:$OJ$901,738,MATCH($B$2&amp;"|xK",Aux_puntos!$1:$1,0))="",NA(),INDEX(Aux_puntos!$A$2:$OJ$901,738,MATCH($B$2&amp;"|xK",Aux_puntos!$1:$1,0))),NA())</f>
        <v/>
      </c>
      <c r="AD742">
        <f>IFERROR(IF(INDEX(Aux_puntos!$A$2:$OJ$901,738,MATCH($B$2&amp;"|yK",Aux_puntos!$1:$1,0))="",NA(),INDEX(Aux_puntos!$A$2:$OJ$901,738,MATCH($B$2&amp;"|yK",Aux_puntos!$1:$1,0))),NA())</f>
        <v/>
      </c>
      <c r="AE742">
        <f>IFERROR(IF(INDEX(Aux_puntos!$A$2:$OJ$901,738,MATCH($B$2&amp;"|xC",Aux_puntos!$1:$1,0))="",NA(),INDEX(Aux_puntos!$A$2:$OJ$901,738,MATCH($B$2&amp;"|xC",Aux_puntos!$1:$1,0))),NA())</f>
        <v/>
      </c>
      <c r="AF742">
        <f>IFERROR(IF(INDEX(Aux_puntos!$A$2:$OJ$901,738,MATCH($B$2&amp;"|yC",Aux_puntos!$1:$1,0))="",NA(),INDEX(Aux_puntos!$A$2:$OJ$901,738,MATCH($B$2&amp;"|yC",Aux_puntos!$1:$1,0))),NA())</f>
        <v/>
      </c>
      <c r="AG742">
        <f>IFERROR(IF(INDEX(Aux_puntos!$A$2:$OJ$901,738,MATCH($B$2&amp;"|xI",Aux_puntos!$1:$1,0))="",NA(),INDEX(Aux_puntos!$A$2:$OJ$901,738,MATCH($B$2&amp;"|xI",Aux_puntos!$1:$1,0))),NA())</f>
        <v/>
      </c>
      <c r="AH742">
        <f>IFERROR(IF(INDEX(Aux_puntos!$A$2:$OJ$901,738,MATCH($B$2&amp;"|yI",Aux_puntos!$1:$1,0))="",NA(),INDEX(Aux_puntos!$A$2:$OJ$901,738,MATCH($B$2&amp;"|yI",Aux_puntos!$1:$1,0))),NA())</f>
        <v/>
      </c>
      <c r="AI742">
        <f>IFERROR(IF(INDEX(Aux_puntos!$A$2:$OJ$901,738,MATCH($B$2&amp;"|xN",Aux_puntos!$1:$1,0))="",NA(),INDEX(Aux_puntos!$A$2:$OJ$901,738,MATCH($B$2&amp;"|xN",Aux_puntos!$1:$1,0))),NA())</f>
        <v/>
      </c>
      <c r="AJ742">
        <f>IFERROR(IF(INDEX(Aux_puntos!$A$2:$OJ$901,738,MATCH($B$2&amp;"|yN",Aux_puntos!$1:$1,0))="",NA(),INDEX(Aux_puntos!$A$2:$OJ$901,738,MATCH($B$2&amp;"|yN",Aux_puntos!$1:$1,0))),NA())</f>
        <v/>
      </c>
    </row>
    <row r="743">
      <c r="AC743">
        <f>IFERROR(IF(INDEX(Aux_puntos!$A$2:$OJ$901,739,MATCH($B$2&amp;"|xK",Aux_puntos!$1:$1,0))="",NA(),INDEX(Aux_puntos!$A$2:$OJ$901,739,MATCH($B$2&amp;"|xK",Aux_puntos!$1:$1,0))),NA())</f>
        <v/>
      </c>
      <c r="AD743">
        <f>IFERROR(IF(INDEX(Aux_puntos!$A$2:$OJ$901,739,MATCH($B$2&amp;"|yK",Aux_puntos!$1:$1,0))="",NA(),INDEX(Aux_puntos!$A$2:$OJ$901,739,MATCH($B$2&amp;"|yK",Aux_puntos!$1:$1,0))),NA())</f>
        <v/>
      </c>
      <c r="AE743">
        <f>IFERROR(IF(INDEX(Aux_puntos!$A$2:$OJ$901,739,MATCH($B$2&amp;"|xC",Aux_puntos!$1:$1,0))="",NA(),INDEX(Aux_puntos!$A$2:$OJ$901,739,MATCH($B$2&amp;"|xC",Aux_puntos!$1:$1,0))),NA())</f>
        <v/>
      </c>
      <c r="AF743">
        <f>IFERROR(IF(INDEX(Aux_puntos!$A$2:$OJ$901,739,MATCH($B$2&amp;"|yC",Aux_puntos!$1:$1,0))="",NA(),INDEX(Aux_puntos!$A$2:$OJ$901,739,MATCH($B$2&amp;"|yC",Aux_puntos!$1:$1,0))),NA())</f>
        <v/>
      </c>
      <c r="AG743">
        <f>IFERROR(IF(INDEX(Aux_puntos!$A$2:$OJ$901,739,MATCH($B$2&amp;"|xI",Aux_puntos!$1:$1,0))="",NA(),INDEX(Aux_puntos!$A$2:$OJ$901,739,MATCH($B$2&amp;"|xI",Aux_puntos!$1:$1,0))),NA())</f>
        <v/>
      </c>
      <c r="AH743">
        <f>IFERROR(IF(INDEX(Aux_puntos!$A$2:$OJ$901,739,MATCH($B$2&amp;"|yI",Aux_puntos!$1:$1,0))="",NA(),INDEX(Aux_puntos!$A$2:$OJ$901,739,MATCH($B$2&amp;"|yI",Aux_puntos!$1:$1,0))),NA())</f>
        <v/>
      </c>
      <c r="AI743">
        <f>IFERROR(IF(INDEX(Aux_puntos!$A$2:$OJ$901,739,MATCH($B$2&amp;"|xN",Aux_puntos!$1:$1,0))="",NA(),INDEX(Aux_puntos!$A$2:$OJ$901,739,MATCH($B$2&amp;"|xN",Aux_puntos!$1:$1,0))),NA())</f>
        <v/>
      </c>
      <c r="AJ743">
        <f>IFERROR(IF(INDEX(Aux_puntos!$A$2:$OJ$901,739,MATCH($B$2&amp;"|yN",Aux_puntos!$1:$1,0))="",NA(),INDEX(Aux_puntos!$A$2:$OJ$901,739,MATCH($B$2&amp;"|yN",Aux_puntos!$1:$1,0))),NA())</f>
        <v/>
      </c>
    </row>
    <row r="744">
      <c r="AC744">
        <f>IFERROR(IF(INDEX(Aux_puntos!$A$2:$OJ$901,740,MATCH($B$2&amp;"|xK",Aux_puntos!$1:$1,0))="",NA(),INDEX(Aux_puntos!$A$2:$OJ$901,740,MATCH($B$2&amp;"|xK",Aux_puntos!$1:$1,0))),NA())</f>
        <v/>
      </c>
      <c r="AD744">
        <f>IFERROR(IF(INDEX(Aux_puntos!$A$2:$OJ$901,740,MATCH($B$2&amp;"|yK",Aux_puntos!$1:$1,0))="",NA(),INDEX(Aux_puntos!$A$2:$OJ$901,740,MATCH($B$2&amp;"|yK",Aux_puntos!$1:$1,0))),NA())</f>
        <v/>
      </c>
      <c r="AE744">
        <f>IFERROR(IF(INDEX(Aux_puntos!$A$2:$OJ$901,740,MATCH($B$2&amp;"|xC",Aux_puntos!$1:$1,0))="",NA(),INDEX(Aux_puntos!$A$2:$OJ$901,740,MATCH($B$2&amp;"|xC",Aux_puntos!$1:$1,0))),NA())</f>
        <v/>
      </c>
      <c r="AF744">
        <f>IFERROR(IF(INDEX(Aux_puntos!$A$2:$OJ$901,740,MATCH($B$2&amp;"|yC",Aux_puntos!$1:$1,0))="",NA(),INDEX(Aux_puntos!$A$2:$OJ$901,740,MATCH($B$2&amp;"|yC",Aux_puntos!$1:$1,0))),NA())</f>
        <v/>
      </c>
      <c r="AG744">
        <f>IFERROR(IF(INDEX(Aux_puntos!$A$2:$OJ$901,740,MATCH($B$2&amp;"|xI",Aux_puntos!$1:$1,0))="",NA(),INDEX(Aux_puntos!$A$2:$OJ$901,740,MATCH($B$2&amp;"|xI",Aux_puntos!$1:$1,0))),NA())</f>
        <v/>
      </c>
      <c r="AH744">
        <f>IFERROR(IF(INDEX(Aux_puntos!$A$2:$OJ$901,740,MATCH($B$2&amp;"|yI",Aux_puntos!$1:$1,0))="",NA(),INDEX(Aux_puntos!$A$2:$OJ$901,740,MATCH($B$2&amp;"|yI",Aux_puntos!$1:$1,0))),NA())</f>
        <v/>
      </c>
      <c r="AI744">
        <f>IFERROR(IF(INDEX(Aux_puntos!$A$2:$OJ$901,740,MATCH($B$2&amp;"|xN",Aux_puntos!$1:$1,0))="",NA(),INDEX(Aux_puntos!$A$2:$OJ$901,740,MATCH($B$2&amp;"|xN",Aux_puntos!$1:$1,0))),NA())</f>
        <v/>
      </c>
      <c r="AJ744">
        <f>IFERROR(IF(INDEX(Aux_puntos!$A$2:$OJ$901,740,MATCH($B$2&amp;"|yN",Aux_puntos!$1:$1,0))="",NA(),INDEX(Aux_puntos!$A$2:$OJ$901,740,MATCH($B$2&amp;"|yN",Aux_puntos!$1:$1,0))),NA())</f>
        <v/>
      </c>
    </row>
    <row r="745">
      <c r="AC745">
        <f>IFERROR(IF(INDEX(Aux_puntos!$A$2:$OJ$901,741,MATCH($B$2&amp;"|xK",Aux_puntos!$1:$1,0))="",NA(),INDEX(Aux_puntos!$A$2:$OJ$901,741,MATCH($B$2&amp;"|xK",Aux_puntos!$1:$1,0))),NA())</f>
        <v/>
      </c>
      <c r="AD745">
        <f>IFERROR(IF(INDEX(Aux_puntos!$A$2:$OJ$901,741,MATCH($B$2&amp;"|yK",Aux_puntos!$1:$1,0))="",NA(),INDEX(Aux_puntos!$A$2:$OJ$901,741,MATCH($B$2&amp;"|yK",Aux_puntos!$1:$1,0))),NA())</f>
        <v/>
      </c>
      <c r="AE745">
        <f>IFERROR(IF(INDEX(Aux_puntos!$A$2:$OJ$901,741,MATCH($B$2&amp;"|xC",Aux_puntos!$1:$1,0))="",NA(),INDEX(Aux_puntos!$A$2:$OJ$901,741,MATCH($B$2&amp;"|xC",Aux_puntos!$1:$1,0))),NA())</f>
        <v/>
      </c>
      <c r="AF745">
        <f>IFERROR(IF(INDEX(Aux_puntos!$A$2:$OJ$901,741,MATCH($B$2&amp;"|yC",Aux_puntos!$1:$1,0))="",NA(),INDEX(Aux_puntos!$A$2:$OJ$901,741,MATCH($B$2&amp;"|yC",Aux_puntos!$1:$1,0))),NA())</f>
        <v/>
      </c>
      <c r="AG745">
        <f>IFERROR(IF(INDEX(Aux_puntos!$A$2:$OJ$901,741,MATCH($B$2&amp;"|xI",Aux_puntos!$1:$1,0))="",NA(),INDEX(Aux_puntos!$A$2:$OJ$901,741,MATCH($B$2&amp;"|xI",Aux_puntos!$1:$1,0))),NA())</f>
        <v/>
      </c>
      <c r="AH745">
        <f>IFERROR(IF(INDEX(Aux_puntos!$A$2:$OJ$901,741,MATCH($B$2&amp;"|yI",Aux_puntos!$1:$1,0))="",NA(),INDEX(Aux_puntos!$A$2:$OJ$901,741,MATCH($B$2&amp;"|yI",Aux_puntos!$1:$1,0))),NA())</f>
        <v/>
      </c>
      <c r="AI745">
        <f>IFERROR(IF(INDEX(Aux_puntos!$A$2:$OJ$901,741,MATCH($B$2&amp;"|xN",Aux_puntos!$1:$1,0))="",NA(),INDEX(Aux_puntos!$A$2:$OJ$901,741,MATCH($B$2&amp;"|xN",Aux_puntos!$1:$1,0))),NA())</f>
        <v/>
      </c>
      <c r="AJ745">
        <f>IFERROR(IF(INDEX(Aux_puntos!$A$2:$OJ$901,741,MATCH($B$2&amp;"|yN",Aux_puntos!$1:$1,0))="",NA(),INDEX(Aux_puntos!$A$2:$OJ$901,741,MATCH($B$2&amp;"|yN",Aux_puntos!$1:$1,0))),NA())</f>
        <v/>
      </c>
    </row>
    <row r="746">
      <c r="AC746">
        <f>IFERROR(IF(INDEX(Aux_puntos!$A$2:$OJ$901,742,MATCH($B$2&amp;"|xK",Aux_puntos!$1:$1,0))="",NA(),INDEX(Aux_puntos!$A$2:$OJ$901,742,MATCH($B$2&amp;"|xK",Aux_puntos!$1:$1,0))),NA())</f>
        <v/>
      </c>
      <c r="AD746">
        <f>IFERROR(IF(INDEX(Aux_puntos!$A$2:$OJ$901,742,MATCH($B$2&amp;"|yK",Aux_puntos!$1:$1,0))="",NA(),INDEX(Aux_puntos!$A$2:$OJ$901,742,MATCH($B$2&amp;"|yK",Aux_puntos!$1:$1,0))),NA())</f>
        <v/>
      </c>
      <c r="AE746">
        <f>IFERROR(IF(INDEX(Aux_puntos!$A$2:$OJ$901,742,MATCH($B$2&amp;"|xC",Aux_puntos!$1:$1,0))="",NA(),INDEX(Aux_puntos!$A$2:$OJ$901,742,MATCH($B$2&amp;"|xC",Aux_puntos!$1:$1,0))),NA())</f>
        <v/>
      </c>
      <c r="AF746">
        <f>IFERROR(IF(INDEX(Aux_puntos!$A$2:$OJ$901,742,MATCH($B$2&amp;"|yC",Aux_puntos!$1:$1,0))="",NA(),INDEX(Aux_puntos!$A$2:$OJ$901,742,MATCH($B$2&amp;"|yC",Aux_puntos!$1:$1,0))),NA())</f>
        <v/>
      </c>
      <c r="AG746">
        <f>IFERROR(IF(INDEX(Aux_puntos!$A$2:$OJ$901,742,MATCH($B$2&amp;"|xI",Aux_puntos!$1:$1,0))="",NA(),INDEX(Aux_puntos!$A$2:$OJ$901,742,MATCH($B$2&amp;"|xI",Aux_puntos!$1:$1,0))),NA())</f>
        <v/>
      </c>
      <c r="AH746">
        <f>IFERROR(IF(INDEX(Aux_puntos!$A$2:$OJ$901,742,MATCH($B$2&amp;"|yI",Aux_puntos!$1:$1,0))="",NA(),INDEX(Aux_puntos!$A$2:$OJ$901,742,MATCH($B$2&amp;"|yI",Aux_puntos!$1:$1,0))),NA())</f>
        <v/>
      </c>
      <c r="AI746">
        <f>IFERROR(IF(INDEX(Aux_puntos!$A$2:$OJ$901,742,MATCH($B$2&amp;"|xN",Aux_puntos!$1:$1,0))="",NA(),INDEX(Aux_puntos!$A$2:$OJ$901,742,MATCH($B$2&amp;"|xN",Aux_puntos!$1:$1,0))),NA())</f>
        <v/>
      </c>
      <c r="AJ746">
        <f>IFERROR(IF(INDEX(Aux_puntos!$A$2:$OJ$901,742,MATCH($B$2&amp;"|yN",Aux_puntos!$1:$1,0))="",NA(),INDEX(Aux_puntos!$A$2:$OJ$901,742,MATCH($B$2&amp;"|yN",Aux_puntos!$1:$1,0))),NA())</f>
        <v/>
      </c>
    </row>
    <row r="747">
      <c r="AC747">
        <f>IFERROR(IF(INDEX(Aux_puntos!$A$2:$OJ$901,743,MATCH($B$2&amp;"|xK",Aux_puntos!$1:$1,0))="",NA(),INDEX(Aux_puntos!$A$2:$OJ$901,743,MATCH($B$2&amp;"|xK",Aux_puntos!$1:$1,0))),NA())</f>
        <v/>
      </c>
      <c r="AD747">
        <f>IFERROR(IF(INDEX(Aux_puntos!$A$2:$OJ$901,743,MATCH($B$2&amp;"|yK",Aux_puntos!$1:$1,0))="",NA(),INDEX(Aux_puntos!$A$2:$OJ$901,743,MATCH($B$2&amp;"|yK",Aux_puntos!$1:$1,0))),NA())</f>
        <v/>
      </c>
      <c r="AE747">
        <f>IFERROR(IF(INDEX(Aux_puntos!$A$2:$OJ$901,743,MATCH($B$2&amp;"|xC",Aux_puntos!$1:$1,0))="",NA(),INDEX(Aux_puntos!$A$2:$OJ$901,743,MATCH($B$2&amp;"|xC",Aux_puntos!$1:$1,0))),NA())</f>
        <v/>
      </c>
      <c r="AF747">
        <f>IFERROR(IF(INDEX(Aux_puntos!$A$2:$OJ$901,743,MATCH($B$2&amp;"|yC",Aux_puntos!$1:$1,0))="",NA(),INDEX(Aux_puntos!$A$2:$OJ$901,743,MATCH($B$2&amp;"|yC",Aux_puntos!$1:$1,0))),NA())</f>
        <v/>
      </c>
      <c r="AG747">
        <f>IFERROR(IF(INDEX(Aux_puntos!$A$2:$OJ$901,743,MATCH($B$2&amp;"|xI",Aux_puntos!$1:$1,0))="",NA(),INDEX(Aux_puntos!$A$2:$OJ$901,743,MATCH($B$2&amp;"|xI",Aux_puntos!$1:$1,0))),NA())</f>
        <v/>
      </c>
      <c r="AH747">
        <f>IFERROR(IF(INDEX(Aux_puntos!$A$2:$OJ$901,743,MATCH($B$2&amp;"|yI",Aux_puntos!$1:$1,0))="",NA(),INDEX(Aux_puntos!$A$2:$OJ$901,743,MATCH($B$2&amp;"|yI",Aux_puntos!$1:$1,0))),NA())</f>
        <v/>
      </c>
      <c r="AI747">
        <f>IFERROR(IF(INDEX(Aux_puntos!$A$2:$OJ$901,743,MATCH($B$2&amp;"|xN",Aux_puntos!$1:$1,0))="",NA(),INDEX(Aux_puntos!$A$2:$OJ$901,743,MATCH($B$2&amp;"|xN",Aux_puntos!$1:$1,0))),NA())</f>
        <v/>
      </c>
      <c r="AJ747">
        <f>IFERROR(IF(INDEX(Aux_puntos!$A$2:$OJ$901,743,MATCH($B$2&amp;"|yN",Aux_puntos!$1:$1,0))="",NA(),INDEX(Aux_puntos!$A$2:$OJ$901,743,MATCH($B$2&amp;"|yN",Aux_puntos!$1:$1,0))),NA())</f>
        <v/>
      </c>
    </row>
    <row r="748">
      <c r="AC748">
        <f>IFERROR(IF(INDEX(Aux_puntos!$A$2:$OJ$901,744,MATCH($B$2&amp;"|xK",Aux_puntos!$1:$1,0))="",NA(),INDEX(Aux_puntos!$A$2:$OJ$901,744,MATCH($B$2&amp;"|xK",Aux_puntos!$1:$1,0))),NA())</f>
        <v/>
      </c>
      <c r="AD748">
        <f>IFERROR(IF(INDEX(Aux_puntos!$A$2:$OJ$901,744,MATCH($B$2&amp;"|yK",Aux_puntos!$1:$1,0))="",NA(),INDEX(Aux_puntos!$A$2:$OJ$901,744,MATCH($B$2&amp;"|yK",Aux_puntos!$1:$1,0))),NA())</f>
        <v/>
      </c>
      <c r="AE748">
        <f>IFERROR(IF(INDEX(Aux_puntos!$A$2:$OJ$901,744,MATCH($B$2&amp;"|xC",Aux_puntos!$1:$1,0))="",NA(),INDEX(Aux_puntos!$A$2:$OJ$901,744,MATCH($B$2&amp;"|xC",Aux_puntos!$1:$1,0))),NA())</f>
        <v/>
      </c>
      <c r="AF748">
        <f>IFERROR(IF(INDEX(Aux_puntos!$A$2:$OJ$901,744,MATCH($B$2&amp;"|yC",Aux_puntos!$1:$1,0))="",NA(),INDEX(Aux_puntos!$A$2:$OJ$901,744,MATCH($B$2&amp;"|yC",Aux_puntos!$1:$1,0))),NA())</f>
        <v/>
      </c>
      <c r="AG748">
        <f>IFERROR(IF(INDEX(Aux_puntos!$A$2:$OJ$901,744,MATCH($B$2&amp;"|xI",Aux_puntos!$1:$1,0))="",NA(),INDEX(Aux_puntos!$A$2:$OJ$901,744,MATCH($B$2&amp;"|xI",Aux_puntos!$1:$1,0))),NA())</f>
        <v/>
      </c>
      <c r="AH748">
        <f>IFERROR(IF(INDEX(Aux_puntos!$A$2:$OJ$901,744,MATCH($B$2&amp;"|yI",Aux_puntos!$1:$1,0))="",NA(),INDEX(Aux_puntos!$A$2:$OJ$901,744,MATCH($B$2&amp;"|yI",Aux_puntos!$1:$1,0))),NA())</f>
        <v/>
      </c>
      <c r="AI748">
        <f>IFERROR(IF(INDEX(Aux_puntos!$A$2:$OJ$901,744,MATCH($B$2&amp;"|xN",Aux_puntos!$1:$1,0))="",NA(),INDEX(Aux_puntos!$A$2:$OJ$901,744,MATCH($B$2&amp;"|xN",Aux_puntos!$1:$1,0))),NA())</f>
        <v/>
      </c>
      <c r="AJ748">
        <f>IFERROR(IF(INDEX(Aux_puntos!$A$2:$OJ$901,744,MATCH($B$2&amp;"|yN",Aux_puntos!$1:$1,0))="",NA(),INDEX(Aux_puntos!$A$2:$OJ$901,744,MATCH($B$2&amp;"|yN",Aux_puntos!$1:$1,0))),NA())</f>
        <v/>
      </c>
    </row>
    <row r="749">
      <c r="AC749">
        <f>IFERROR(IF(INDEX(Aux_puntos!$A$2:$OJ$901,745,MATCH($B$2&amp;"|xK",Aux_puntos!$1:$1,0))="",NA(),INDEX(Aux_puntos!$A$2:$OJ$901,745,MATCH($B$2&amp;"|xK",Aux_puntos!$1:$1,0))),NA())</f>
        <v/>
      </c>
      <c r="AD749">
        <f>IFERROR(IF(INDEX(Aux_puntos!$A$2:$OJ$901,745,MATCH($B$2&amp;"|yK",Aux_puntos!$1:$1,0))="",NA(),INDEX(Aux_puntos!$A$2:$OJ$901,745,MATCH($B$2&amp;"|yK",Aux_puntos!$1:$1,0))),NA())</f>
        <v/>
      </c>
      <c r="AE749">
        <f>IFERROR(IF(INDEX(Aux_puntos!$A$2:$OJ$901,745,MATCH($B$2&amp;"|xC",Aux_puntos!$1:$1,0))="",NA(),INDEX(Aux_puntos!$A$2:$OJ$901,745,MATCH($B$2&amp;"|xC",Aux_puntos!$1:$1,0))),NA())</f>
        <v/>
      </c>
      <c r="AF749">
        <f>IFERROR(IF(INDEX(Aux_puntos!$A$2:$OJ$901,745,MATCH($B$2&amp;"|yC",Aux_puntos!$1:$1,0))="",NA(),INDEX(Aux_puntos!$A$2:$OJ$901,745,MATCH($B$2&amp;"|yC",Aux_puntos!$1:$1,0))),NA())</f>
        <v/>
      </c>
      <c r="AG749">
        <f>IFERROR(IF(INDEX(Aux_puntos!$A$2:$OJ$901,745,MATCH($B$2&amp;"|xI",Aux_puntos!$1:$1,0))="",NA(),INDEX(Aux_puntos!$A$2:$OJ$901,745,MATCH($B$2&amp;"|xI",Aux_puntos!$1:$1,0))),NA())</f>
        <v/>
      </c>
      <c r="AH749">
        <f>IFERROR(IF(INDEX(Aux_puntos!$A$2:$OJ$901,745,MATCH($B$2&amp;"|yI",Aux_puntos!$1:$1,0))="",NA(),INDEX(Aux_puntos!$A$2:$OJ$901,745,MATCH($B$2&amp;"|yI",Aux_puntos!$1:$1,0))),NA())</f>
        <v/>
      </c>
      <c r="AI749">
        <f>IFERROR(IF(INDEX(Aux_puntos!$A$2:$OJ$901,745,MATCH($B$2&amp;"|xN",Aux_puntos!$1:$1,0))="",NA(),INDEX(Aux_puntos!$A$2:$OJ$901,745,MATCH($B$2&amp;"|xN",Aux_puntos!$1:$1,0))),NA())</f>
        <v/>
      </c>
      <c r="AJ749">
        <f>IFERROR(IF(INDEX(Aux_puntos!$A$2:$OJ$901,745,MATCH($B$2&amp;"|yN",Aux_puntos!$1:$1,0))="",NA(),INDEX(Aux_puntos!$A$2:$OJ$901,745,MATCH($B$2&amp;"|yN",Aux_puntos!$1:$1,0))),NA())</f>
        <v/>
      </c>
    </row>
    <row r="750">
      <c r="AC750">
        <f>IFERROR(IF(INDEX(Aux_puntos!$A$2:$OJ$901,746,MATCH($B$2&amp;"|xK",Aux_puntos!$1:$1,0))="",NA(),INDEX(Aux_puntos!$A$2:$OJ$901,746,MATCH($B$2&amp;"|xK",Aux_puntos!$1:$1,0))),NA())</f>
        <v/>
      </c>
      <c r="AD750">
        <f>IFERROR(IF(INDEX(Aux_puntos!$A$2:$OJ$901,746,MATCH($B$2&amp;"|yK",Aux_puntos!$1:$1,0))="",NA(),INDEX(Aux_puntos!$A$2:$OJ$901,746,MATCH($B$2&amp;"|yK",Aux_puntos!$1:$1,0))),NA())</f>
        <v/>
      </c>
      <c r="AE750">
        <f>IFERROR(IF(INDEX(Aux_puntos!$A$2:$OJ$901,746,MATCH($B$2&amp;"|xC",Aux_puntos!$1:$1,0))="",NA(),INDEX(Aux_puntos!$A$2:$OJ$901,746,MATCH($B$2&amp;"|xC",Aux_puntos!$1:$1,0))),NA())</f>
        <v/>
      </c>
      <c r="AF750">
        <f>IFERROR(IF(INDEX(Aux_puntos!$A$2:$OJ$901,746,MATCH($B$2&amp;"|yC",Aux_puntos!$1:$1,0))="",NA(),INDEX(Aux_puntos!$A$2:$OJ$901,746,MATCH($B$2&amp;"|yC",Aux_puntos!$1:$1,0))),NA())</f>
        <v/>
      </c>
      <c r="AG750">
        <f>IFERROR(IF(INDEX(Aux_puntos!$A$2:$OJ$901,746,MATCH($B$2&amp;"|xI",Aux_puntos!$1:$1,0))="",NA(),INDEX(Aux_puntos!$A$2:$OJ$901,746,MATCH($B$2&amp;"|xI",Aux_puntos!$1:$1,0))),NA())</f>
        <v/>
      </c>
      <c r="AH750">
        <f>IFERROR(IF(INDEX(Aux_puntos!$A$2:$OJ$901,746,MATCH($B$2&amp;"|yI",Aux_puntos!$1:$1,0))="",NA(),INDEX(Aux_puntos!$A$2:$OJ$901,746,MATCH($B$2&amp;"|yI",Aux_puntos!$1:$1,0))),NA())</f>
        <v/>
      </c>
      <c r="AI750">
        <f>IFERROR(IF(INDEX(Aux_puntos!$A$2:$OJ$901,746,MATCH($B$2&amp;"|xN",Aux_puntos!$1:$1,0))="",NA(),INDEX(Aux_puntos!$A$2:$OJ$901,746,MATCH($B$2&amp;"|xN",Aux_puntos!$1:$1,0))),NA())</f>
        <v/>
      </c>
      <c r="AJ750">
        <f>IFERROR(IF(INDEX(Aux_puntos!$A$2:$OJ$901,746,MATCH($B$2&amp;"|yN",Aux_puntos!$1:$1,0))="",NA(),INDEX(Aux_puntos!$A$2:$OJ$901,746,MATCH($B$2&amp;"|yN",Aux_puntos!$1:$1,0))),NA())</f>
        <v/>
      </c>
    </row>
    <row r="751">
      <c r="AC751">
        <f>IFERROR(IF(INDEX(Aux_puntos!$A$2:$OJ$901,747,MATCH($B$2&amp;"|xK",Aux_puntos!$1:$1,0))="",NA(),INDEX(Aux_puntos!$A$2:$OJ$901,747,MATCH($B$2&amp;"|xK",Aux_puntos!$1:$1,0))),NA())</f>
        <v/>
      </c>
      <c r="AD751">
        <f>IFERROR(IF(INDEX(Aux_puntos!$A$2:$OJ$901,747,MATCH($B$2&amp;"|yK",Aux_puntos!$1:$1,0))="",NA(),INDEX(Aux_puntos!$A$2:$OJ$901,747,MATCH($B$2&amp;"|yK",Aux_puntos!$1:$1,0))),NA())</f>
        <v/>
      </c>
      <c r="AE751">
        <f>IFERROR(IF(INDEX(Aux_puntos!$A$2:$OJ$901,747,MATCH($B$2&amp;"|xC",Aux_puntos!$1:$1,0))="",NA(),INDEX(Aux_puntos!$A$2:$OJ$901,747,MATCH($B$2&amp;"|xC",Aux_puntos!$1:$1,0))),NA())</f>
        <v/>
      </c>
      <c r="AF751">
        <f>IFERROR(IF(INDEX(Aux_puntos!$A$2:$OJ$901,747,MATCH($B$2&amp;"|yC",Aux_puntos!$1:$1,0))="",NA(),INDEX(Aux_puntos!$A$2:$OJ$901,747,MATCH($B$2&amp;"|yC",Aux_puntos!$1:$1,0))),NA())</f>
        <v/>
      </c>
      <c r="AG751">
        <f>IFERROR(IF(INDEX(Aux_puntos!$A$2:$OJ$901,747,MATCH($B$2&amp;"|xI",Aux_puntos!$1:$1,0))="",NA(),INDEX(Aux_puntos!$A$2:$OJ$901,747,MATCH($B$2&amp;"|xI",Aux_puntos!$1:$1,0))),NA())</f>
        <v/>
      </c>
      <c r="AH751">
        <f>IFERROR(IF(INDEX(Aux_puntos!$A$2:$OJ$901,747,MATCH($B$2&amp;"|yI",Aux_puntos!$1:$1,0))="",NA(),INDEX(Aux_puntos!$A$2:$OJ$901,747,MATCH($B$2&amp;"|yI",Aux_puntos!$1:$1,0))),NA())</f>
        <v/>
      </c>
      <c r="AI751">
        <f>IFERROR(IF(INDEX(Aux_puntos!$A$2:$OJ$901,747,MATCH($B$2&amp;"|xN",Aux_puntos!$1:$1,0))="",NA(),INDEX(Aux_puntos!$A$2:$OJ$901,747,MATCH($B$2&amp;"|xN",Aux_puntos!$1:$1,0))),NA())</f>
        <v/>
      </c>
      <c r="AJ751">
        <f>IFERROR(IF(INDEX(Aux_puntos!$A$2:$OJ$901,747,MATCH($B$2&amp;"|yN",Aux_puntos!$1:$1,0))="",NA(),INDEX(Aux_puntos!$A$2:$OJ$901,747,MATCH($B$2&amp;"|yN",Aux_puntos!$1:$1,0))),NA())</f>
        <v/>
      </c>
    </row>
    <row r="752">
      <c r="AC752">
        <f>IFERROR(IF(INDEX(Aux_puntos!$A$2:$OJ$901,748,MATCH($B$2&amp;"|xK",Aux_puntos!$1:$1,0))="",NA(),INDEX(Aux_puntos!$A$2:$OJ$901,748,MATCH($B$2&amp;"|xK",Aux_puntos!$1:$1,0))),NA())</f>
        <v/>
      </c>
      <c r="AD752">
        <f>IFERROR(IF(INDEX(Aux_puntos!$A$2:$OJ$901,748,MATCH($B$2&amp;"|yK",Aux_puntos!$1:$1,0))="",NA(),INDEX(Aux_puntos!$A$2:$OJ$901,748,MATCH($B$2&amp;"|yK",Aux_puntos!$1:$1,0))),NA())</f>
        <v/>
      </c>
      <c r="AE752">
        <f>IFERROR(IF(INDEX(Aux_puntos!$A$2:$OJ$901,748,MATCH($B$2&amp;"|xC",Aux_puntos!$1:$1,0))="",NA(),INDEX(Aux_puntos!$A$2:$OJ$901,748,MATCH($B$2&amp;"|xC",Aux_puntos!$1:$1,0))),NA())</f>
        <v/>
      </c>
      <c r="AF752">
        <f>IFERROR(IF(INDEX(Aux_puntos!$A$2:$OJ$901,748,MATCH($B$2&amp;"|yC",Aux_puntos!$1:$1,0))="",NA(),INDEX(Aux_puntos!$A$2:$OJ$901,748,MATCH($B$2&amp;"|yC",Aux_puntos!$1:$1,0))),NA())</f>
        <v/>
      </c>
      <c r="AG752">
        <f>IFERROR(IF(INDEX(Aux_puntos!$A$2:$OJ$901,748,MATCH($B$2&amp;"|xI",Aux_puntos!$1:$1,0))="",NA(),INDEX(Aux_puntos!$A$2:$OJ$901,748,MATCH($B$2&amp;"|xI",Aux_puntos!$1:$1,0))),NA())</f>
        <v/>
      </c>
      <c r="AH752">
        <f>IFERROR(IF(INDEX(Aux_puntos!$A$2:$OJ$901,748,MATCH($B$2&amp;"|yI",Aux_puntos!$1:$1,0))="",NA(),INDEX(Aux_puntos!$A$2:$OJ$901,748,MATCH($B$2&amp;"|yI",Aux_puntos!$1:$1,0))),NA())</f>
        <v/>
      </c>
      <c r="AI752">
        <f>IFERROR(IF(INDEX(Aux_puntos!$A$2:$OJ$901,748,MATCH($B$2&amp;"|xN",Aux_puntos!$1:$1,0))="",NA(),INDEX(Aux_puntos!$A$2:$OJ$901,748,MATCH($B$2&amp;"|xN",Aux_puntos!$1:$1,0))),NA())</f>
        <v/>
      </c>
      <c r="AJ752">
        <f>IFERROR(IF(INDEX(Aux_puntos!$A$2:$OJ$901,748,MATCH($B$2&amp;"|yN",Aux_puntos!$1:$1,0))="",NA(),INDEX(Aux_puntos!$A$2:$OJ$901,748,MATCH($B$2&amp;"|yN",Aux_puntos!$1:$1,0))),NA())</f>
        <v/>
      </c>
    </row>
    <row r="753">
      <c r="AC753">
        <f>IFERROR(IF(INDEX(Aux_puntos!$A$2:$OJ$901,749,MATCH($B$2&amp;"|xK",Aux_puntos!$1:$1,0))="",NA(),INDEX(Aux_puntos!$A$2:$OJ$901,749,MATCH($B$2&amp;"|xK",Aux_puntos!$1:$1,0))),NA())</f>
        <v/>
      </c>
      <c r="AD753">
        <f>IFERROR(IF(INDEX(Aux_puntos!$A$2:$OJ$901,749,MATCH($B$2&amp;"|yK",Aux_puntos!$1:$1,0))="",NA(),INDEX(Aux_puntos!$A$2:$OJ$901,749,MATCH($B$2&amp;"|yK",Aux_puntos!$1:$1,0))),NA())</f>
        <v/>
      </c>
      <c r="AE753">
        <f>IFERROR(IF(INDEX(Aux_puntos!$A$2:$OJ$901,749,MATCH($B$2&amp;"|xC",Aux_puntos!$1:$1,0))="",NA(),INDEX(Aux_puntos!$A$2:$OJ$901,749,MATCH($B$2&amp;"|xC",Aux_puntos!$1:$1,0))),NA())</f>
        <v/>
      </c>
      <c r="AF753">
        <f>IFERROR(IF(INDEX(Aux_puntos!$A$2:$OJ$901,749,MATCH($B$2&amp;"|yC",Aux_puntos!$1:$1,0))="",NA(),INDEX(Aux_puntos!$A$2:$OJ$901,749,MATCH($B$2&amp;"|yC",Aux_puntos!$1:$1,0))),NA())</f>
        <v/>
      </c>
      <c r="AG753">
        <f>IFERROR(IF(INDEX(Aux_puntos!$A$2:$OJ$901,749,MATCH($B$2&amp;"|xI",Aux_puntos!$1:$1,0))="",NA(),INDEX(Aux_puntos!$A$2:$OJ$901,749,MATCH($B$2&amp;"|xI",Aux_puntos!$1:$1,0))),NA())</f>
        <v/>
      </c>
      <c r="AH753">
        <f>IFERROR(IF(INDEX(Aux_puntos!$A$2:$OJ$901,749,MATCH($B$2&amp;"|yI",Aux_puntos!$1:$1,0))="",NA(),INDEX(Aux_puntos!$A$2:$OJ$901,749,MATCH($B$2&amp;"|yI",Aux_puntos!$1:$1,0))),NA())</f>
        <v/>
      </c>
      <c r="AI753">
        <f>IFERROR(IF(INDEX(Aux_puntos!$A$2:$OJ$901,749,MATCH($B$2&amp;"|xN",Aux_puntos!$1:$1,0))="",NA(),INDEX(Aux_puntos!$A$2:$OJ$901,749,MATCH($B$2&amp;"|xN",Aux_puntos!$1:$1,0))),NA())</f>
        <v/>
      </c>
      <c r="AJ753">
        <f>IFERROR(IF(INDEX(Aux_puntos!$A$2:$OJ$901,749,MATCH($B$2&amp;"|yN",Aux_puntos!$1:$1,0))="",NA(),INDEX(Aux_puntos!$A$2:$OJ$901,749,MATCH($B$2&amp;"|yN",Aux_puntos!$1:$1,0))),NA())</f>
        <v/>
      </c>
    </row>
    <row r="754">
      <c r="AC754">
        <f>IFERROR(IF(INDEX(Aux_puntos!$A$2:$OJ$901,750,MATCH($B$2&amp;"|xK",Aux_puntos!$1:$1,0))="",NA(),INDEX(Aux_puntos!$A$2:$OJ$901,750,MATCH($B$2&amp;"|xK",Aux_puntos!$1:$1,0))),NA())</f>
        <v/>
      </c>
      <c r="AD754">
        <f>IFERROR(IF(INDEX(Aux_puntos!$A$2:$OJ$901,750,MATCH($B$2&amp;"|yK",Aux_puntos!$1:$1,0))="",NA(),INDEX(Aux_puntos!$A$2:$OJ$901,750,MATCH($B$2&amp;"|yK",Aux_puntos!$1:$1,0))),NA())</f>
        <v/>
      </c>
      <c r="AE754">
        <f>IFERROR(IF(INDEX(Aux_puntos!$A$2:$OJ$901,750,MATCH($B$2&amp;"|xC",Aux_puntos!$1:$1,0))="",NA(),INDEX(Aux_puntos!$A$2:$OJ$901,750,MATCH($B$2&amp;"|xC",Aux_puntos!$1:$1,0))),NA())</f>
        <v/>
      </c>
      <c r="AF754">
        <f>IFERROR(IF(INDEX(Aux_puntos!$A$2:$OJ$901,750,MATCH($B$2&amp;"|yC",Aux_puntos!$1:$1,0))="",NA(),INDEX(Aux_puntos!$A$2:$OJ$901,750,MATCH($B$2&amp;"|yC",Aux_puntos!$1:$1,0))),NA())</f>
        <v/>
      </c>
      <c r="AG754">
        <f>IFERROR(IF(INDEX(Aux_puntos!$A$2:$OJ$901,750,MATCH($B$2&amp;"|xI",Aux_puntos!$1:$1,0))="",NA(),INDEX(Aux_puntos!$A$2:$OJ$901,750,MATCH($B$2&amp;"|xI",Aux_puntos!$1:$1,0))),NA())</f>
        <v/>
      </c>
      <c r="AH754">
        <f>IFERROR(IF(INDEX(Aux_puntos!$A$2:$OJ$901,750,MATCH($B$2&amp;"|yI",Aux_puntos!$1:$1,0))="",NA(),INDEX(Aux_puntos!$A$2:$OJ$901,750,MATCH($B$2&amp;"|yI",Aux_puntos!$1:$1,0))),NA())</f>
        <v/>
      </c>
      <c r="AI754">
        <f>IFERROR(IF(INDEX(Aux_puntos!$A$2:$OJ$901,750,MATCH($B$2&amp;"|xN",Aux_puntos!$1:$1,0))="",NA(),INDEX(Aux_puntos!$A$2:$OJ$901,750,MATCH($B$2&amp;"|xN",Aux_puntos!$1:$1,0))),NA())</f>
        <v/>
      </c>
      <c r="AJ754">
        <f>IFERROR(IF(INDEX(Aux_puntos!$A$2:$OJ$901,750,MATCH($B$2&amp;"|yN",Aux_puntos!$1:$1,0))="",NA(),INDEX(Aux_puntos!$A$2:$OJ$901,750,MATCH($B$2&amp;"|yN",Aux_puntos!$1:$1,0))),NA())</f>
        <v/>
      </c>
    </row>
    <row r="755">
      <c r="AC755">
        <f>IFERROR(IF(INDEX(Aux_puntos!$A$2:$OJ$901,751,MATCH($B$2&amp;"|xK",Aux_puntos!$1:$1,0))="",NA(),INDEX(Aux_puntos!$A$2:$OJ$901,751,MATCH($B$2&amp;"|xK",Aux_puntos!$1:$1,0))),NA())</f>
        <v/>
      </c>
      <c r="AD755">
        <f>IFERROR(IF(INDEX(Aux_puntos!$A$2:$OJ$901,751,MATCH($B$2&amp;"|yK",Aux_puntos!$1:$1,0))="",NA(),INDEX(Aux_puntos!$A$2:$OJ$901,751,MATCH($B$2&amp;"|yK",Aux_puntos!$1:$1,0))),NA())</f>
        <v/>
      </c>
      <c r="AE755">
        <f>IFERROR(IF(INDEX(Aux_puntos!$A$2:$OJ$901,751,MATCH($B$2&amp;"|xC",Aux_puntos!$1:$1,0))="",NA(),INDEX(Aux_puntos!$A$2:$OJ$901,751,MATCH($B$2&amp;"|xC",Aux_puntos!$1:$1,0))),NA())</f>
        <v/>
      </c>
      <c r="AF755">
        <f>IFERROR(IF(INDEX(Aux_puntos!$A$2:$OJ$901,751,MATCH($B$2&amp;"|yC",Aux_puntos!$1:$1,0))="",NA(),INDEX(Aux_puntos!$A$2:$OJ$901,751,MATCH($B$2&amp;"|yC",Aux_puntos!$1:$1,0))),NA())</f>
        <v/>
      </c>
      <c r="AG755">
        <f>IFERROR(IF(INDEX(Aux_puntos!$A$2:$OJ$901,751,MATCH($B$2&amp;"|xI",Aux_puntos!$1:$1,0))="",NA(),INDEX(Aux_puntos!$A$2:$OJ$901,751,MATCH($B$2&amp;"|xI",Aux_puntos!$1:$1,0))),NA())</f>
        <v/>
      </c>
      <c r="AH755">
        <f>IFERROR(IF(INDEX(Aux_puntos!$A$2:$OJ$901,751,MATCH($B$2&amp;"|yI",Aux_puntos!$1:$1,0))="",NA(),INDEX(Aux_puntos!$A$2:$OJ$901,751,MATCH($B$2&amp;"|yI",Aux_puntos!$1:$1,0))),NA())</f>
        <v/>
      </c>
      <c r="AI755">
        <f>IFERROR(IF(INDEX(Aux_puntos!$A$2:$OJ$901,751,MATCH($B$2&amp;"|xN",Aux_puntos!$1:$1,0))="",NA(),INDEX(Aux_puntos!$A$2:$OJ$901,751,MATCH($B$2&amp;"|xN",Aux_puntos!$1:$1,0))),NA())</f>
        <v/>
      </c>
      <c r="AJ755">
        <f>IFERROR(IF(INDEX(Aux_puntos!$A$2:$OJ$901,751,MATCH($B$2&amp;"|yN",Aux_puntos!$1:$1,0))="",NA(),INDEX(Aux_puntos!$A$2:$OJ$901,751,MATCH($B$2&amp;"|yN",Aux_puntos!$1:$1,0))),NA())</f>
        <v/>
      </c>
    </row>
    <row r="756">
      <c r="AC756">
        <f>IFERROR(IF(INDEX(Aux_puntos!$A$2:$OJ$901,752,MATCH($B$2&amp;"|xK",Aux_puntos!$1:$1,0))="",NA(),INDEX(Aux_puntos!$A$2:$OJ$901,752,MATCH($B$2&amp;"|xK",Aux_puntos!$1:$1,0))),NA())</f>
        <v/>
      </c>
      <c r="AD756">
        <f>IFERROR(IF(INDEX(Aux_puntos!$A$2:$OJ$901,752,MATCH($B$2&amp;"|yK",Aux_puntos!$1:$1,0))="",NA(),INDEX(Aux_puntos!$A$2:$OJ$901,752,MATCH($B$2&amp;"|yK",Aux_puntos!$1:$1,0))),NA())</f>
        <v/>
      </c>
      <c r="AE756">
        <f>IFERROR(IF(INDEX(Aux_puntos!$A$2:$OJ$901,752,MATCH($B$2&amp;"|xC",Aux_puntos!$1:$1,0))="",NA(),INDEX(Aux_puntos!$A$2:$OJ$901,752,MATCH($B$2&amp;"|xC",Aux_puntos!$1:$1,0))),NA())</f>
        <v/>
      </c>
      <c r="AF756">
        <f>IFERROR(IF(INDEX(Aux_puntos!$A$2:$OJ$901,752,MATCH($B$2&amp;"|yC",Aux_puntos!$1:$1,0))="",NA(),INDEX(Aux_puntos!$A$2:$OJ$901,752,MATCH($B$2&amp;"|yC",Aux_puntos!$1:$1,0))),NA())</f>
        <v/>
      </c>
      <c r="AG756">
        <f>IFERROR(IF(INDEX(Aux_puntos!$A$2:$OJ$901,752,MATCH($B$2&amp;"|xI",Aux_puntos!$1:$1,0))="",NA(),INDEX(Aux_puntos!$A$2:$OJ$901,752,MATCH($B$2&amp;"|xI",Aux_puntos!$1:$1,0))),NA())</f>
        <v/>
      </c>
      <c r="AH756">
        <f>IFERROR(IF(INDEX(Aux_puntos!$A$2:$OJ$901,752,MATCH($B$2&amp;"|yI",Aux_puntos!$1:$1,0))="",NA(),INDEX(Aux_puntos!$A$2:$OJ$901,752,MATCH($B$2&amp;"|yI",Aux_puntos!$1:$1,0))),NA())</f>
        <v/>
      </c>
      <c r="AI756">
        <f>IFERROR(IF(INDEX(Aux_puntos!$A$2:$OJ$901,752,MATCH($B$2&amp;"|xN",Aux_puntos!$1:$1,0))="",NA(),INDEX(Aux_puntos!$A$2:$OJ$901,752,MATCH($B$2&amp;"|xN",Aux_puntos!$1:$1,0))),NA())</f>
        <v/>
      </c>
      <c r="AJ756">
        <f>IFERROR(IF(INDEX(Aux_puntos!$A$2:$OJ$901,752,MATCH($B$2&amp;"|yN",Aux_puntos!$1:$1,0))="",NA(),INDEX(Aux_puntos!$A$2:$OJ$901,752,MATCH($B$2&amp;"|yN",Aux_puntos!$1:$1,0))),NA())</f>
        <v/>
      </c>
    </row>
    <row r="757">
      <c r="AC757">
        <f>IFERROR(IF(INDEX(Aux_puntos!$A$2:$OJ$901,753,MATCH($B$2&amp;"|xK",Aux_puntos!$1:$1,0))="",NA(),INDEX(Aux_puntos!$A$2:$OJ$901,753,MATCH($B$2&amp;"|xK",Aux_puntos!$1:$1,0))),NA())</f>
        <v/>
      </c>
      <c r="AD757">
        <f>IFERROR(IF(INDEX(Aux_puntos!$A$2:$OJ$901,753,MATCH($B$2&amp;"|yK",Aux_puntos!$1:$1,0))="",NA(),INDEX(Aux_puntos!$A$2:$OJ$901,753,MATCH($B$2&amp;"|yK",Aux_puntos!$1:$1,0))),NA())</f>
        <v/>
      </c>
      <c r="AE757">
        <f>IFERROR(IF(INDEX(Aux_puntos!$A$2:$OJ$901,753,MATCH($B$2&amp;"|xC",Aux_puntos!$1:$1,0))="",NA(),INDEX(Aux_puntos!$A$2:$OJ$901,753,MATCH($B$2&amp;"|xC",Aux_puntos!$1:$1,0))),NA())</f>
        <v/>
      </c>
      <c r="AF757">
        <f>IFERROR(IF(INDEX(Aux_puntos!$A$2:$OJ$901,753,MATCH($B$2&amp;"|yC",Aux_puntos!$1:$1,0))="",NA(),INDEX(Aux_puntos!$A$2:$OJ$901,753,MATCH($B$2&amp;"|yC",Aux_puntos!$1:$1,0))),NA())</f>
        <v/>
      </c>
      <c r="AG757">
        <f>IFERROR(IF(INDEX(Aux_puntos!$A$2:$OJ$901,753,MATCH($B$2&amp;"|xI",Aux_puntos!$1:$1,0))="",NA(),INDEX(Aux_puntos!$A$2:$OJ$901,753,MATCH($B$2&amp;"|xI",Aux_puntos!$1:$1,0))),NA())</f>
        <v/>
      </c>
      <c r="AH757">
        <f>IFERROR(IF(INDEX(Aux_puntos!$A$2:$OJ$901,753,MATCH($B$2&amp;"|yI",Aux_puntos!$1:$1,0))="",NA(),INDEX(Aux_puntos!$A$2:$OJ$901,753,MATCH($B$2&amp;"|yI",Aux_puntos!$1:$1,0))),NA())</f>
        <v/>
      </c>
      <c r="AI757">
        <f>IFERROR(IF(INDEX(Aux_puntos!$A$2:$OJ$901,753,MATCH($B$2&amp;"|xN",Aux_puntos!$1:$1,0))="",NA(),INDEX(Aux_puntos!$A$2:$OJ$901,753,MATCH($B$2&amp;"|xN",Aux_puntos!$1:$1,0))),NA())</f>
        <v/>
      </c>
      <c r="AJ757">
        <f>IFERROR(IF(INDEX(Aux_puntos!$A$2:$OJ$901,753,MATCH($B$2&amp;"|yN",Aux_puntos!$1:$1,0))="",NA(),INDEX(Aux_puntos!$A$2:$OJ$901,753,MATCH($B$2&amp;"|yN",Aux_puntos!$1:$1,0))),NA())</f>
        <v/>
      </c>
    </row>
    <row r="758">
      <c r="AC758">
        <f>IFERROR(IF(INDEX(Aux_puntos!$A$2:$OJ$901,754,MATCH($B$2&amp;"|xK",Aux_puntos!$1:$1,0))="",NA(),INDEX(Aux_puntos!$A$2:$OJ$901,754,MATCH($B$2&amp;"|xK",Aux_puntos!$1:$1,0))),NA())</f>
        <v/>
      </c>
      <c r="AD758">
        <f>IFERROR(IF(INDEX(Aux_puntos!$A$2:$OJ$901,754,MATCH($B$2&amp;"|yK",Aux_puntos!$1:$1,0))="",NA(),INDEX(Aux_puntos!$A$2:$OJ$901,754,MATCH($B$2&amp;"|yK",Aux_puntos!$1:$1,0))),NA())</f>
        <v/>
      </c>
      <c r="AE758">
        <f>IFERROR(IF(INDEX(Aux_puntos!$A$2:$OJ$901,754,MATCH($B$2&amp;"|xC",Aux_puntos!$1:$1,0))="",NA(),INDEX(Aux_puntos!$A$2:$OJ$901,754,MATCH($B$2&amp;"|xC",Aux_puntos!$1:$1,0))),NA())</f>
        <v/>
      </c>
      <c r="AF758">
        <f>IFERROR(IF(INDEX(Aux_puntos!$A$2:$OJ$901,754,MATCH($B$2&amp;"|yC",Aux_puntos!$1:$1,0))="",NA(),INDEX(Aux_puntos!$A$2:$OJ$901,754,MATCH($B$2&amp;"|yC",Aux_puntos!$1:$1,0))),NA())</f>
        <v/>
      </c>
      <c r="AG758">
        <f>IFERROR(IF(INDEX(Aux_puntos!$A$2:$OJ$901,754,MATCH($B$2&amp;"|xI",Aux_puntos!$1:$1,0))="",NA(),INDEX(Aux_puntos!$A$2:$OJ$901,754,MATCH($B$2&amp;"|xI",Aux_puntos!$1:$1,0))),NA())</f>
        <v/>
      </c>
      <c r="AH758">
        <f>IFERROR(IF(INDEX(Aux_puntos!$A$2:$OJ$901,754,MATCH($B$2&amp;"|yI",Aux_puntos!$1:$1,0))="",NA(),INDEX(Aux_puntos!$A$2:$OJ$901,754,MATCH($B$2&amp;"|yI",Aux_puntos!$1:$1,0))),NA())</f>
        <v/>
      </c>
      <c r="AI758">
        <f>IFERROR(IF(INDEX(Aux_puntos!$A$2:$OJ$901,754,MATCH($B$2&amp;"|xN",Aux_puntos!$1:$1,0))="",NA(),INDEX(Aux_puntos!$A$2:$OJ$901,754,MATCH($B$2&amp;"|xN",Aux_puntos!$1:$1,0))),NA())</f>
        <v/>
      </c>
      <c r="AJ758">
        <f>IFERROR(IF(INDEX(Aux_puntos!$A$2:$OJ$901,754,MATCH($B$2&amp;"|yN",Aux_puntos!$1:$1,0))="",NA(),INDEX(Aux_puntos!$A$2:$OJ$901,754,MATCH($B$2&amp;"|yN",Aux_puntos!$1:$1,0))),NA())</f>
        <v/>
      </c>
    </row>
    <row r="759">
      <c r="AC759">
        <f>IFERROR(IF(INDEX(Aux_puntos!$A$2:$OJ$901,755,MATCH($B$2&amp;"|xK",Aux_puntos!$1:$1,0))="",NA(),INDEX(Aux_puntos!$A$2:$OJ$901,755,MATCH($B$2&amp;"|xK",Aux_puntos!$1:$1,0))),NA())</f>
        <v/>
      </c>
      <c r="AD759">
        <f>IFERROR(IF(INDEX(Aux_puntos!$A$2:$OJ$901,755,MATCH($B$2&amp;"|yK",Aux_puntos!$1:$1,0))="",NA(),INDEX(Aux_puntos!$A$2:$OJ$901,755,MATCH($B$2&amp;"|yK",Aux_puntos!$1:$1,0))),NA())</f>
        <v/>
      </c>
      <c r="AE759">
        <f>IFERROR(IF(INDEX(Aux_puntos!$A$2:$OJ$901,755,MATCH($B$2&amp;"|xC",Aux_puntos!$1:$1,0))="",NA(),INDEX(Aux_puntos!$A$2:$OJ$901,755,MATCH($B$2&amp;"|xC",Aux_puntos!$1:$1,0))),NA())</f>
        <v/>
      </c>
      <c r="AF759">
        <f>IFERROR(IF(INDEX(Aux_puntos!$A$2:$OJ$901,755,MATCH($B$2&amp;"|yC",Aux_puntos!$1:$1,0))="",NA(),INDEX(Aux_puntos!$A$2:$OJ$901,755,MATCH($B$2&amp;"|yC",Aux_puntos!$1:$1,0))),NA())</f>
        <v/>
      </c>
      <c r="AG759">
        <f>IFERROR(IF(INDEX(Aux_puntos!$A$2:$OJ$901,755,MATCH($B$2&amp;"|xI",Aux_puntos!$1:$1,0))="",NA(),INDEX(Aux_puntos!$A$2:$OJ$901,755,MATCH($B$2&amp;"|xI",Aux_puntos!$1:$1,0))),NA())</f>
        <v/>
      </c>
      <c r="AH759">
        <f>IFERROR(IF(INDEX(Aux_puntos!$A$2:$OJ$901,755,MATCH($B$2&amp;"|yI",Aux_puntos!$1:$1,0))="",NA(),INDEX(Aux_puntos!$A$2:$OJ$901,755,MATCH($B$2&amp;"|yI",Aux_puntos!$1:$1,0))),NA())</f>
        <v/>
      </c>
      <c r="AI759">
        <f>IFERROR(IF(INDEX(Aux_puntos!$A$2:$OJ$901,755,MATCH($B$2&amp;"|xN",Aux_puntos!$1:$1,0))="",NA(),INDEX(Aux_puntos!$A$2:$OJ$901,755,MATCH($B$2&amp;"|xN",Aux_puntos!$1:$1,0))),NA())</f>
        <v/>
      </c>
      <c r="AJ759">
        <f>IFERROR(IF(INDEX(Aux_puntos!$A$2:$OJ$901,755,MATCH($B$2&amp;"|yN",Aux_puntos!$1:$1,0))="",NA(),INDEX(Aux_puntos!$A$2:$OJ$901,755,MATCH($B$2&amp;"|yN",Aux_puntos!$1:$1,0))),NA())</f>
        <v/>
      </c>
    </row>
    <row r="760">
      <c r="AC760">
        <f>IFERROR(IF(INDEX(Aux_puntos!$A$2:$OJ$901,756,MATCH($B$2&amp;"|xK",Aux_puntos!$1:$1,0))="",NA(),INDEX(Aux_puntos!$A$2:$OJ$901,756,MATCH($B$2&amp;"|xK",Aux_puntos!$1:$1,0))),NA())</f>
        <v/>
      </c>
      <c r="AD760">
        <f>IFERROR(IF(INDEX(Aux_puntos!$A$2:$OJ$901,756,MATCH($B$2&amp;"|yK",Aux_puntos!$1:$1,0))="",NA(),INDEX(Aux_puntos!$A$2:$OJ$901,756,MATCH($B$2&amp;"|yK",Aux_puntos!$1:$1,0))),NA())</f>
        <v/>
      </c>
      <c r="AE760">
        <f>IFERROR(IF(INDEX(Aux_puntos!$A$2:$OJ$901,756,MATCH($B$2&amp;"|xC",Aux_puntos!$1:$1,0))="",NA(),INDEX(Aux_puntos!$A$2:$OJ$901,756,MATCH($B$2&amp;"|xC",Aux_puntos!$1:$1,0))),NA())</f>
        <v/>
      </c>
      <c r="AF760">
        <f>IFERROR(IF(INDEX(Aux_puntos!$A$2:$OJ$901,756,MATCH($B$2&amp;"|yC",Aux_puntos!$1:$1,0))="",NA(),INDEX(Aux_puntos!$A$2:$OJ$901,756,MATCH($B$2&amp;"|yC",Aux_puntos!$1:$1,0))),NA())</f>
        <v/>
      </c>
      <c r="AG760">
        <f>IFERROR(IF(INDEX(Aux_puntos!$A$2:$OJ$901,756,MATCH($B$2&amp;"|xI",Aux_puntos!$1:$1,0))="",NA(),INDEX(Aux_puntos!$A$2:$OJ$901,756,MATCH($B$2&amp;"|xI",Aux_puntos!$1:$1,0))),NA())</f>
        <v/>
      </c>
      <c r="AH760">
        <f>IFERROR(IF(INDEX(Aux_puntos!$A$2:$OJ$901,756,MATCH($B$2&amp;"|yI",Aux_puntos!$1:$1,0))="",NA(),INDEX(Aux_puntos!$A$2:$OJ$901,756,MATCH($B$2&amp;"|yI",Aux_puntos!$1:$1,0))),NA())</f>
        <v/>
      </c>
      <c r="AI760">
        <f>IFERROR(IF(INDEX(Aux_puntos!$A$2:$OJ$901,756,MATCH($B$2&amp;"|xN",Aux_puntos!$1:$1,0))="",NA(),INDEX(Aux_puntos!$A$2:$OJ$901,756,MATCH($B$2&amp;"|xN",Aux_puntos!$1:$1,0))),NA())</f>
        <v/>
      </c>
      <c r="AJ760">
        <f>IFERROR(IF(INDEX(Aux_puntos!$A$2:$OJ$901,756,MATCH($B$2&amp;"|yN",Aux_puntos!$1:$1,0))="",NA(),INDEX(Aux_puntos!$A$2:$OJ$901,756,MATCH($B$2&amp;"|yN",Aux_puntos!$1:$1,0))),NA())</f>
        <v/>
      </c>
    </row>
    <row r="761">
      <c r="AC761">
        <f>IFERROR(IF(INDEX(Aux_puntos!$A$2:$OJ$901,757,MATCH($B$2&amp;"|xK",Aux_puntos!$1:$1,0))="",NA(),INDEX(Aux_puntos!$A$2:$OJ$901,757,MATCH($B$2&amp;"|xK",Aux_puntos!$1:$1,0))),NA())</f>
        <v/>
      </c>
      <c r="AD761">
        <f>IFERROR(IF(INDEX(Aux_puntos!$A$2:$OJ$901,757,MATCH($B$2&amp;"|yK",Aux_puntos!$1:$1,0))="",NA(),INDEX(Aux_puntos!$A$2:$OJ$901,757,MATCH($B$2&amp;"|yK",Aux_puntos!$1:$1,0))),NA())</f>
        <v/>
      </c>
      <c r="AE761">
        <f>IFERROR(IF(INDEX(Aux_puntos!$A$2:$OJ$901,757,MATCH($B$2&amp;"|xC",Aux_puntos!$1:$1,0))="",NA(),INDEX(Aux_puntos!$A$2:$OJ$901,757,MATCH($B$2&amp;"|xC",Aux_puntos!$1:$1,0))),NA())</f>
        <v/>
      </c>
      <c r="AF761">
        <f>IFERROR(IF(INDEX(Aux_puntos!$A$2:$OJ$901,757,MATCH($B$2&amp;"|yC",Aux_puntos!$1:$1,0))="",NA(),INDEX(Aux_puntos!$A$2:$OJ$901,757,MATCH($B$2&amp;"|yC",Aux_puntos!$1:$1,0))),NA())</f>
        <v/>
      </c>
      <c r="AG761">
        <f>IFERROR(IF(INDEX(Aux_puntos!$A$2:$OJ$901,757,MATCH($B$2&amp;"|xI",Aux_puntos!$1:$1,0))="",NA(),INDEX(Aux_puntos!$A$2:$OJ$901,757,MATCH($B$2&amp;"|xI",Aux_puntos!$1:$1,0))),NA())</f>
        <v/>
      </c>
      <c r="AH761">
        <f>IFERROR(IF(INDEX(Aux_puntos!$A$2:$OJ$901,757,MATCH($B$2&amp;"|yI",Aux_puntos!$1:$1,0))="",NA(),INDEX(Aux_puntos!$A$2:$OJ$901,757,MATCH($B$2&amp;"|yI",Aux_puntos!$1:$1,0))),NA())</f>
        <v/>
      </c>
      <c r="AI761">
        <f>IFERROR(IF(INDEX(Aux_puntos!$A$2:$OJ$901,757,MATCH($B$2&amp;"|xN",Aux_puntos!$1:$1,0))="",NA(),INDEX(Aux_puntos!$A$2:$OJ$901,757,MATCH($B$2&amp;"|xN",Aux_puntos!$1:$1,0))),NA())</f>
        <v/>
      </c>
      <c r="AJ761">
        <f>IFERROR(IF(INDEX(Aux_puntos!$A$2:$OJ$901,757,MATCH($B$2&amp;"|yN",Aux_puntos!$1:$1,0))="",NA(),INDEX(Aux_puntos!$A$2:$OJ$901,757,MATCH($B$2&amp;"|yN",Aux_puntos!$1:$1,0))),NA())</f>
        <v/>
      </c>
    </row>
    <row r="762">
      <c r="AC762">
        <f>IFERROR(IF(INDEX(Aux_puntos!$A$2:$OJ$901,758,MATCH($B$2&amp;"|xK",Aux_puntos!$1:$1,0))="",NA(),INDEX(Aux_puntos!$A$2:$OJ$901,758,MATCH($B$2&amp;"|xK",Aux_puntos!$1:$1,0))),NA())</f>
        <v/>
      </c>
      <c r="AD762">
        <f>IFERROR(IF(INDEX(Aux_puntos!$A$2:$OJ$901,758,MATCH($B$2&amp;"|yK",Aux_puntos!$1:$1,0))="",NA(),INDEX(Aux_puntos!$A$2:$OJ$901,758,MATCH($B$2&amp;"|yK",Aux_puntos!$1:$1,0))),NA())</f>
        <v/>
      </c>
      <c r="AE762">
        <f>IFERROR(IF(INDEX(Aux_puntos!$A$2:$OJ$901,758,MATCH($B$2&amp;"|xC",Aux_puntos!$1:$1,0))="",NA(),INDEX(Aux_puntos!$A$2:$OJ$901,758,MATCH($B$2&amp;"|xC",Aux_puntos!$1:$1,0))),NA())</f>
        <v/>
      </c>
      <c r="AF762">
        <f>IFERROR(IF(INDEX(Aux_puntos!$A$2:$OJ$901,758,MATCH($B$2&amp;"|yC",Aux_puntos!$1:$1,0))="",NA(),INDEX(Aux_puntos!$A$2:$OJ$901,758,MATCH($B$2&amp;"|yC",Aux_puntos!$1:$1,0))),NA())</f>
        <v/>
      </c>
      <c r="AG762">
        <f>IFERROR(IF(INDEX(Aux_puntos!$A$2:$OJ$901,758,MATCH($B$2&amp;"|xI",Aux_puntos!$1:$1,0))="",NA(),INDEX(Aux_puntos!$A$2:$OJ$901,758,MATCH($B$2&amp;"|xI",Aux_puntos!$1:$1,0))),NA())</f>
        <v/>
      </c>
      <c r="AH762">
        <f>IFERROR(IF(INDEX(Aux_puntos!$A$2:$OJ$901,758,MATCH($B$2&amp;"|yI",Aux_puntos!$1:$1,0))="",NA(),INDEX(Aux_puntos!$A$2:$OJ$901,758,MATCH($B$2&amp;"|yI",Aux_puntos!$1:$1,0))),NA())</f>
        <v/>
      </c>
      <c r="AI762">
        <f>IFERROR(IF(INDEX(Aux_puntos!$A$2:$OJ$901,758,MATCH($B$2&amp;"|xN",Aux_puntos!$1:$1,0))="",NA(),INDEX(Aux_puntos!$A$2:$OJ$901,758,MATCH($B$2&amp;"|xN",Aux_puntos!$1:$1,0))),NA())</f>
        <v/>
      </c>
      <c r="AJ762">
        <f>IFERROR(IF(INDEX(Aux_puntos!$A$2:$OJ$901,758,MATCH($B$2&amp;"|yN",Aux_puntos!$1:$1,0))="",NA(),INDEX(Aux_puntos!$A$2:$OJ$901,758,MATCH($B$2&amp;"|yN",Aux_puntos!$1:$1,0))),NA())</f>
        <v/>
      </c>
    </row>
    <row r="763">
      <c r="AC763">
        <f>IFERROR(IF(INDEX(Aux_puntos!$A$2:$OJ$901,759,MATCH($B$2&amp;"|xK",Aux_puntos!$1:$1,0))="",NA(),INDEX(Aux_puntos!$A$2:$OJ$901,759,MATCH($B$2&amp;"|xK",Aux_puntos!$1:$1,0))),NA())</f>
        <v/>
      </c>
      <c r="AD763">
        <f>IFERROR(IF(INDEX(Aux_puntos!$A$2:$OJ$901,759,MATCH($B$2&amp;"|yK",Aux_puntos!$1:$1,0))="",NA(),INDEX(Aux_puntos!$A$2:$OJ$901,759,MATCH($B$2&amp;"|yK",Aux_puntos!$1:$1,0))),NA())</f>
        <v/>
      </c>
      <c r="AE763">
        <f>IFERROR(IF(INDEX(Aux_puntos!$A$2:$OJ$901,759,MATCH($B$2&amp;"|xC",Aux_puntos!$1:$1,0))="",NA(),INDEX(Aux_puntos!$A$2:$OJ$901,759,MATCH($B$2&amp;"|xC",Aux_puntos!$1:$1,0))),NA())</f>
        <v/>
      </c>
      <c r="AF763">
        <f>IFERROR(IF(INDEX(Aux_puntos!$A$2:$OJ$901,759,MATCH($B$2&amp;"|yC",Aux_puntos!$1:$1,0))="",NA(),INDEX(Aux_puntos!$A$2:$OJ$901,759,MATCH($B$2&amp;"|yC",Aux_puntos!$1:$1,0))),NA())</f>
        <v/>
      </c>
      <c r="AG763">
        <f>IFERROR(IF(INDEX(Aux_puntos!$A$2:$OJ$901,759,MATCH($B$2&amp;"|xI",Aux_puntos!$1:$1,0))="",NA(),INDEX(Aux_puntos!$A$2:$OJ$901,759,MATCH($B$2&amp;"|xI",Aux_puntos!$1:$1,0))),NA())</f>
        <v/>
      </c>
      <c r="AH763">
        <f>IFERROR(IF(INDEX(Aux_puntos!$A$2:$OJ$901,759,MATCH($B$2&amp;"|yI",Aux_puntos!$1:$1,0))="",NA(),INDEX(Aux_puntos!$A$2:$OJ$901,759,MATCH($B$2&amp;"|yI",Aux_puntos!$1:$1,0))),NA())</f>
        <v/>
      </c>
      <c r="AI763">
        <f>IFERROR(IF(INDEX(Aux_puntos!$A$2:$OJ$901,759,MATCH($B$2&amp;"|xN",Aux_puntos!$1:$1,0))="",NA(),INDEX(Aux_puntos!$A$2:$OJ$901,759,MATCH($B$2&amp;"|xN",Aux_puntos!$1:$1,0))),NA())</f>
        <v/>
      </c>
      <c r="AJ763">
        <f>IFERROR(IF(INDEX(Aux_puntos!$A$2:$OJ$901,759,MATCH($B$2&amp;"|yN",Aux_puntos!$1:$1,0))="",NA(),INDEX(Aux_puntos!$A$2:$OJ$901,759,MATCH($B$2&amp;"|yN",Aux_puntos!$1:$1,0))),NA())</f>
        <v/>
      </c>
    </row>
    <row r="764">
      <c r="AC764">
        <f>IFERROR(IF(INDEX(Aux_puntos!$A$2:$OJ$901,760,MATCH($B$2&amp;"|xK",Aux_puntos!$1:$1,0))="",NA(),INDEX(Aux_puntos!$A$2:$OJ$901,760,MATCH($B$2&amp;"|xK",Aux_puntos!$1:$1,0))),NA())</f>
        <v/>
      </c>
      <c r="AD764">
        <f>IFERROR(IF(INDEX(Aux_puntos!$A$2:$OJ$901,760,MATCH($B$2&amp;"|yK",Aux_puntos!$1:$1,0))="",NA(),INDEX(Aux_puntos!$A$2:$OJ$901,760,MATCH($B$2&amp;"|yK",Aux_puntos!$1:$1,0))),NA())</f>
        <v/>
      </c>
      <c r="AE764">
        <f>IFERROR(IF(INDEX(Aux_puntos!$A$2:$OJ$901,760,MATCH($B$2&amp;"|xC",Aux_puntos!$1:$1,0))="",NA(),INDEX(Aux_puntos!$A$2:$OJ$901,760,MATCH($B$2&amp;"|xC",Aux_puntos!$1:$1,0))),NA())</f>
        <v/>
      </c>
      <c r="AF764">
        <f>IFERROR(IF(INDEX(Aux_puntos!$A$2:$OJ$901,760,MATCH($B$2&amp;"|yC",Aux_puntos!$1:$1,0))="",NA(),INDEX(Aux_puntos!$A$2:$OJ$901,760,MATCH($B$2&amp;"|yC",Aux_puntos!$1:$1,0))),NA())</f>
        <v/>
      </c>
      <c r="AG764">
        <f>IFERROR(IF(INDEX(Aux_puntos!$A$2:$OJ$901,760,MATCH($B$2&amp;"|xI",Aux_puntos!$1:$1,0))="",NA(),INDEX(Aux_puntos!$A$2:$OJ$901,760,MATCH($B$2&amp;"|xI",Aux_puntos!$1:$1,0))),NA())</f>
        <v/>
      </c>
      <c r="AH764">
        <f>IFERROR(IF(INDEX(Aux_puntos!$A$2:$OJ$901,760,MATCH($B$2&amp;"|yI",Aux_puntos!$1:$1,0))="",NA(),INDEX(Aux_puntos!$A$2:$OJ$901,760,MATCH($B$2&amp;"|yI",Aux_puntos!$1:$1,0))),NA())</f>
        <v/>
      </c>
      <c r="AI764">
        <f>IFERROR(IF(INDEX(Aux_puntos!$A$2:$OJ$901,760,MATCH($B$2&amp;"|xN",Aux_puntos!$1:$1,0))="",NA(),INDEX(Aux_puntos!$A$2:$OJ$901,760,MATCH($B$2&amp;"|xN",Aux_puntos!$1:$1,0))),NA())</f>
        <v/>
      </c>
      <c r="AJ764">
        <f>IFERROR(IF(INDEX(Aux_puntos!$A$2:$OJ$901,760,MATCH($B$2&amp;"|yN",Aux_puntos!$1:$1,0))="",NA(),INDEX(Aux_puntos!$A$2:$OJ$901,760,MATCH($B$2&amp;"|yN",Aux_puntos!$1:$1,0))),NA())</f>
        <v/>
      </c>
    </row>
    <row r="765">
      <c r="AC765">
        <f>IFERROR(IF(INDEX(Aux_puntos!$A$2:$OJ$901,761,MATCH($B$2&amp;"|xK",Aux_puntos!$1:$1,0))="",NA(),INDEX(Aux_puntos!$A$2:$OJ$901,761,MATCH($B$2&amp;"|xK",Aux_puntos!$1:$1,0))),NA())</f>
        <v/>
      </c>
      <c r="AD765">
        <f>IFERROR(IF(INDEX(Aux_puntos!$A$2:$OJ$901,761,MATCH($B$2&amp;"|yK",Aux_puntos!$1:$1,0))="",NA(),INDEX(Aux_puntos!$A$2:$OJ$901,761,MATCH($B$2&amp;"|yK",Aux_puntos!$1:$1,0))),NA())</f>
        <v/>
      </c>
      <c r="AE765">
        <f>IFERROR(IF(INDEX(Aux_puntos!$A$2:$OJ$901,761,MATCH($B$2&amp;"|xC",Aux_puntos!$1:$1,0))="",NA(),INDEX(Aux_puntos!$A$2:$OJ$901,761,MATCH($B$2&amp;"|xC",Aux_puntos!$1:$1,0))),NA())</f>
        <v/>
      </c>
      <c r="AF765">
        <f>IFERROR(IF(INDEX(Aux_puntos!$A$2:$OJ$901,761,MATCH($B$2&amp;"|yC",Aux_puntos!$1:$1,0))="",NA(),INDEX(Aux_puntos!$A$2:$OJ$901,761,MATCH($B$2&amp;"|yC",Aux_puntos!$1:$1,0))),NA())</f>
        <v/>
      </c>
      <c r="AG765">
        <f>IFERROR(IF(INDEX(Aux_puntos!$A$2:$OJ$901,761,MATCH($B$2&amp;"|xI",Aux_puntos!$1:$1,0))="",NA(),INDEX(Aux_puntos!$A$2:$OJ$901,761,MATCH($B$2&amp;"|xI",Aux_puntos!$1:$1,0))),NA())</f>
        <v/>
      </c>
      <c r="AH765">
        <f>IFERROR(IF(INDEX(Aux_puntos!$A$2:$OJ$901,761,MATCH($B$2&amp;"|yI",Aux_puntos!$1:$1,0))="",NA(),INDEX(Aux_puntos!$A$2:$OJ$901,761,MATCH($B$2&amp;"|yI",Aux_puntos!$1:$1,0))),NA())</f>
        <v/>
      </c>
      <c r="AI765">
        <f>IFERROR(IF(INDEX(Aux_puntos!$A$2:$OJ$901,761,MATCH($B$2&amp;"|xN",Aux_puntos!$1:$1,0))="",NA(),INDEX(Aux_puntos!$A$2:$OJ$901,761,MATCH($B$2&amp;"|xN",Aux_puntos!$1:$1,0))),NA())</f>
        <v/>
      </c>
      <c r="AJ765">
        <f>IFERROR(IF(INDEX(Aux_puntos!$A$2:$OJ$901,761,MATCH($B$2&amp;"|yN",Aux_puntos!$1:$1,0))="",NA(),INDEX(Aux_puntos!$A$2:$OJ$901,761,MATCH($B$2&amp;"|yN",Aux_puntos!$1:$1,0))),NA())</f>
        <v/>
      </c>
    </row>
    <row r="766">
      <c r="AC766">
        <f>IFERROR(IF(INDEX(Aux_puntos!$A$2:$OJ$901,762,MATCH($B$2&amp;"|xK",Aux_puntos!$1:$1,0))="",NA(),INDEX(Aux_puntos!$A$2:$OJ$901,762,MATCH($B$2&amp;"|xK",Aux_puntos!$1:$1,0))),NA())</f>
        <v/>
      </c>
      <c r="AD766">
        <f>IFERROR(IF(INDEX(Aux_puntos!$A$2:$OJ$901,762,MATCH($B$2&amp;"|yK",Aux_puntos!$1:$1,0))="",NA(),INDEX(Aux_puntos!$A$2:$OJ$901,762,MATCH($B$2&amp;"|yK",Aux_puntos!$1:$1,0))),NA())</f>
        <v/>
      </c>
      <c r="AE766">
        <f>IFERROR(IF(INDEX(Aux_puntos!$A$2:$OJ$901,762,MATCH($B$2&amp;"|xC",Aux_puntos!$1:$1,0))="",NA(),INDEX(Aux_puntos!$A$2:$OJ$901,762,MATCH($B$2&amp;"|xC",Aux_puntos!$1:$1,0))),NA())</f>
        <v/>
      </c>
      <c r="AF766">
        <f>IFERROR(IF(INDEX(Aux_puntos!$A$2:$OJ$901,762,MATCH($B$2&amp;"|yC",Aux_puntos!$1:$1,0))="",NA(),INDEX(Aux_puntos!$A$2:$OJ$901,762,MATCH($B$2&amp;"|yC",Aux_puntos!$1:$1,0))),NA())</f>
        <v/>
      </c>
      <c r="AG766">
        <f>IFERROR(IF(INDEX(Aux_puntos!$A$2:$OJ$901,762,MATCH($B$2&amp;"|xI",Aux_puntos!$1:$1,0))="",NA(),INDEX(Aux_puntos!$A$2:$OJ$901,762,MATCH($B$2&amp;"|xI",Aux_puntos!$1:$1,0))),NA())</f>
        <v/>
      </c>
      <c r="AH766">
        <f>IFERROR(IF(INDEX(Aux_puntos!$A$2:$OJ$901,762,MATCH($B$2&amp;"|yI",Aux_puntos!$1:$1,0))="",NA(),INDEX(Aux_puntos!$A$2:$OJ$901,762,MATCH($B$2&amp;"|yI",Aux_puntos!$1:$1,0))),NA())</f>
        <v/>
      </c>
      <c r="AI766">
        <f>IFERROR(IF(INDEX(Aux_puntos!$A$2:$OJ$901,762,MATCH($B$2&amp;"|xN",Aux_puntos!$1:$1,0))="",NA(),INDEX(Aux_puntos!$A$2:$OJ$901,762,MATCH($B$2&amp;"|xN",Aux_puntos!$1:$1,0))),NA())</f>
        <v/>
      </c>
      <c r="AJ766">
        <f>IFERROR(IF(INDEX(Aux_puntos!$A$2:$OJ$901,762,MATCH($B$2&amp;"|yN",Aux_puntos!$1:$1,0))="",NA(),INDEX(Aux_puntos!$A$2:$OJ$901,762,MATCH($B$2&amp;"|yN",Aux_puntos!$1:$1,0))),NA())</f>
        <v/>
      </c>
    </row>
    <row r="767">
      <c r="AC767">
        <f>IFERROR(IF(INDEX(Aux_puntos!$A$2:$OJ$901,763,MATCH($B$2&amp;"|xK",Aux_puntos!$1:$1,0))="",NA(),INDEX(Aux_puntos!$A$2:$OJ$901,763,MATCH($B$2&amp;"|xK",Aux_puntos!$1:$1,0))),NA())</f>
        <v/>
      </c>
      <c r="AD767">
        <f>IFERROR(IF(INDEX(Aux_puntos!$A$2:$OJ$901,763,MATCH($B$2&amp;"|yK",Aux_puntos!$1:$1,0))="",NA(),INDEX(Aux_puntos!$A$2:$OJ$901,763,MATCH($B$2&amp;"|yK",Aux_puntos!$1:$1,0))),NA())</f>
        <v/>
      </c>
      <c r="AE767">
        <f>IFERROR(IF(INDEX(Aux_puntos!$A$2:$OJ$901,763,MATCH($B$2&amp;"|xC",Aux_puntos!$1:$1,0))="",NA(),INDEX(Aux_puntos!$A$2:$OJ$901,763,MATCH($B$2&amp;"|xC",Aux_puntos!$1:$1,0))),NA())</f>
        <v/>
      </c>
      <c r="AF767">
        <f>IFERROR(IF(INDEX(Aux_puntos!$A$2:$OJ$901,763,MATCH($B$2&amp;"|yC",Aux_puntos!$1:$1,0))="",NA(),INDEX(Aux_puntos!$A$2:$OJ$901,763,MATCH($B$2&amp;"|yC",Aux_puntos!$1:$1,0))),NA())</f>
        <v/>
      </c>
      <c r="AG767">
        <f>IFERROR(IF(INDEX(Aux_puntos!$A$2:$OJ$901,763,MATCH($B$2&amp;"|xI",Aux_puntos!$1:$1,0))="",NA(),INDEX(Aux_puntos!$A$2:$OJ$901,763,MATCH($B$2&amp;"|xI",Aux_puntos!$1:$1,0))),NA())</f>
        <v/>
      </c>
      <c r="AH767">
        <f>IFERROR(IF(INDEX(Aux_puntos!$A$2:$OJ$901,763,MATCH($B$2&amp;"|yI",Aux_puntos!$1:$1,0))="",NA(),INDEX(Aux_puntos!$A$2:$OJ$901,763,MATCH($B$2&amp;"|yI",Aux_puntos!$1:$1,0))),NA())</f>
        <v/>
      </c>
      <c r="AI767">
        <f>IFERROR(IF(INDEX(Aux_puntos!$A$2:$OJ$901,763,MATCH($B$2&amp;"|xN",Aux_puntos!$1:$1,0))="",NA(),INDEX(Aux_puntos!$A$2:$OJ$901,763,MATCH($B$2&amp;"|xN",Aux_puntos!$1:$1,0))),NA())</f>
        <v/>
      </c>
      <c r="AJ767">
        <f>IFERROR(IF(INDEX(Aux_puntos!$A$2:$OJ$901,763,MATCH($B$2&amp;"|yN",Aux_puntos!$1:$1,0))="",NA(),INDEX(Aux_puntos!$A$2:$OJ$901,763,MATCH($B$2&amp;"|yN",Aux_puntos!$1:$1,0))),NA())</f>
        <v/>
      </c>
    </row>
    <row r="768">
      <c r="AC768">
        <f>IFERROR(IF(INDEX(Aux_puntos!$A$2:$OJ$901,764,MATCH($B$2&amp;"|xK",Aux_puntos!$1:$1,0))="",NA(),INDEX(Aux_puntos!$A$2:$OJ$901,764,MATCH($B$2&amp;"|xK",Aux_puntos!$1:$1,0))),NA())</f>
        <v/>
      </c>
      <c r="AD768">
        <f>IFERROR(IF(INDEX(Aux_puntos!$A$2:$OJ$901,764,MATCH($B$2&amp;"|yK",Aux_puntos!$1:$1,0))="",NA(),INDEX(Aux_puntos!$A$2:$OJ$901,764,MATCH($B$2&amp;"|yK",Aux_puntos!$1:$1,0))),NA())</f>
        <v/>
      </c>
      <c r="AE768">
        <f>IFERROR(IF(INDEX(Aux_puntos!$A$2:$OJ$901,764,MATCH($B$2&amp;"|xC",Aux_puntos!$1:$1,0))="",NA(),INDEX(Aux_puntos!$A$2:$OJ$901,764,MATCH($B$2&amp;"|xC",Aux_puntos!$1:$1,0))),NA())</f>
        <v/>
      </c>
      <c r="AF768">
        <f>IFERROR(IF(INDEX(Aux_puntos!$A$2:$OJ$901,764,MATCH($B$2&amp;"|yC",Aux_puntos!$1:$1,0))="",NA(),INDEX(Aux_puntos!$A$2:$OJ$901,764,MATCH($B$2&amp;"|yC",Aux_puntos!$1:$1,0))),NA())</f>
        <v/>
      </c>
      <c r="AG768">
        <f>IFERROR(IF(INDEX(Aux_puntos!$A$2:$OJ$901,764,MATCH($B$2&amp;"|xI",Aux_puntos!$1:$1,0))="",NA(),INDEX(Aux_puntos!$A$2:$OJ$901,764,MATCH($B$2&amp;"|xI",Aux_puntos!$1:$1,0))),NA())</f>
        <v/>
      </c>
      <c r="AH768">
        <f>IFERROR(IF(INDEX(Aux_puntos!$A$2:$OJ$901,764,MATCH($B$2&amp;"|yI",Aux_puntos!$1:$1,0))="",NA(),INDEX(Aux_puntos!$A$2:$OJ$901,764,MATCH($B$2&amp;"|yI",Aux_puntos!$1:$1,0))),NA())</f>
        <v/>
      </c>
      <c r="AI768">
        <f>IFERROR(IF(INDEX(Aux_puntos!$A$2:$OJ$901,764,MATCH($B$2&amp;"|xN",Aux_puntos!$1:$1,0))="",NA(),INDEX(Aux_puntos!$A$2:$OJ$901,764,MATCH($B$2&amp;"|xN",Aux_puntos!$1:$1,0))),NA())</f>
        <v/>
      </c>
      <c r="AJ768">
        <f>IFERROR(IF(INDEX(Aux_puntos!$A$2:$OJ$901,764,MATCH($B$2&amp;"|yN",Aux_puntos!$1:$1,0))="",NA(),INDEX(Aux_puntos!$A$2:$OJ$901,764,MATCH($B$2&amp;"|yN",Aux_puntos!$1:$1,0))),NA())</f>
        <v/>
      </c>
    </row>
    <row r="769">
      <c r="AC769">
        <f>IFERROR(IF(INDEX(Aux_puntos!$A$2:$OJ$901,765,MATCH($B$2&amp;"|xK",Aux_puntos!$1:$1,0))="",NA(),INDEX(Aux_puntos!$A$2:$OJ$901,765,MATCH($B$2&amp;"|xK",Aux_puntos!$1:$1,0))),NA())</f>
        <v/>
      </c>
      <c r="AD769">
        <f>IFERROR(IF(INDEX(Aux_puntos!$A$2:$OJ$901,765,MATCH($B$2&amp;"|yK",Aux_puntos!$1:$1,0))="",NA(),INDEX(Aux_puntos!$A$2:$OJ$901,765,MATCH($B$2&amp;"|yK",Aux_puntos!$1:$1,0))),NA())</f>
        <v/>
      </c>
      <c r="AE769">
        <f>IFERROR(IF(INDEX(Aux_puntos!$A$2:$OJ$901,765,MATCH($B$2&amp;"|xC",Aux_puntos!$1:$1,0))="",NA(),INDEX(Aux_puntos!$A$2:$OJ$901,765,MATCH($B$2&amp;"|xC",Aux_puntos!$1:$1,0))),NA())</f>
        <v/>
      </c>
      <c r="AF769">
        <f>IFERROR(IF(INDEX(Aux_puntos!$A$2:$OJ$901,765,MATCH($B$2&amp;"|yC",Aux_puntos!$1:$1,0))="",NA(),INDEX(Aux_puntos!$A$2:$OJ$901,765,MATCH($B$2&amp;"|yC",Aux_puntos!$1:$1,0))),NA())</f>
        <v/>
      </c>
      <c r="AG769">
        <f>IFERROR(IF(INDEX(Aux_puntos!$A$2:$OJ$901,765,MATCH($B$2&amp;"|xI",Aux_puntos!$1:$1,0))="",NA(),INDEX(Aux_puntos!$A$2:$OJ$901,765,MATCH($B$2&amp;"|xI",Aux_puntos!$1:$1,0))),NA())</f>
        <v/>
      </c>
      <c r="AH769">
        <f>IFERROR(IF(INDEX(Aux_puntos!$A$2:$OJ$901,765,MATCH($B$2&amp;"|yI",Aux_puntos!$1:$1,0))="",NA(),INDEX(Aux_puntos!$A$2:$OJ$901,765,MATCH($B$2&amp;"|yI",Aux_puntos!$1:$1,0))),NA())</f>
        <v/>
      </c>
      <c r="AI769">
        <f>IFERROR(IF(INDEX(Aux_puntos!$A$2:$OJ$901,765,MATCH($B$2&amp;"|xN",Aux_puntos!$1:$1,0))="",NA(),INDEX(Aux_puntos!$A$2:$OJ$901,765,MATCH($B$2&amp;"|xN",Aux_puntos!$1:$1,0))),NA())</f>
        <v/>
      </c>
      <c r="AJ769">
        <f>IFERROR(IF(INDEX(Aux_puntos!$A$2:$OJ$901,765,MATCH($B$2&amp;"|yN",Aux_puntos!$1:$1,0))="",NA(),INDEX(Aux_puntos!$A$2:$OJ$901,765,MATCH($B$2&amp;"|yN",Aux_puntos!$1:$1,0))),NA())</f>
        <v/>
      </c>
    </row>
    <row r="770">
      <c r="AC770">
        <f>IFERROR(IF(INDEX(Aux_puntos!$A$2:$OJ$901,766,MATCH($B$2&amp;"|xK",Aux_puntos!$1:$1,0))="",NA(),INDEX(Aux_puntos!$A$2:$OJ$901,766,MATCH($B$2&amp;"|xK",Aux_puntos!$1:$1,0))),NA())</f>
        <v/>
      </c>
      <c r="AD770">
        <f>IFERROR(IF(INDEX(Aux_puntos!$A$2:$OJ$901,766,MATCH($B$2&amp;"|yK",Aux_puntos!$1:$1,0))="",NA(),INDEX(Aux_puntos!$A$2:$OJ$901,766,MATCH($B$2&amp;"|yK",Aux_puntos!$1:$1,0))),NA())</f>
        <v/>
      </c>
      <c r="AE770">
        <f>IFERROR(IF(INDEX(Aux_puntos!$A$2:$OJ$901,766,MATCH($B$2&amp;"|xC",Aux_puntos!$1:$1,0))="",NA(),INDEX(Aux_puntos!$A$2:$OJ$901,766,MATCH($B$2&amp;"|xC",Aux_puntos!$1:$1,0))),NA())</f>
        <v/>
      </c>
      <c r="AF770">
        <f>IFERROR(IF(INDEX(Aux_puntos!$A$2:$OJ$901,766,MATCH($B$2&amp;"|yC",Aux_puntos!$1:$1,0))="",NA(),INDEX(Aux_puntos!$A$2:$OJ$901,766,MATCH($B$2&amp;"|yC",Aux_puntos!$1:$1,0))),NA())</f>
        <v/>
      </c>
      <c r="AG770">
        <f>IFERROR(IF(INDEX(Aux_puntos!$A$2:$OJ$901,766,MATCH($B$2&amp;"|xI",Aux_puntos!$1:$1,0))="",NA(),INDEX(Aux_puntos!$A$2:$OJ$901,766,MATCH($B$2&amp;"|xI",Aux_puntos!$1:$1,0))),NA())</f>
        <v/>
      </c>
      <c r="AH770">
        <f>IFERROR(IF(INDEX(Aux_puntos!$A$2:$OJ$901,766,MATCH($B$2&amp;"|yI",Aux_puntos!$1:$1,0))="",NA(),INDEX(Aux_puntos!$A$2:$OJ$901,766,MATCH($B$2&amp;"|yI",Aux_puntos!$1:$1,0))),NA())</f>
        <v/>
      </c>
      <c r="AI770">
        <f>IFERROR(IF(INDEX(Aux_puntos!$A$2:$OJ$901,766,MATCH($B$2&amp;"|xN",Aux_puntos!$1:$1,0))="",NA(),INDEX(Aux_puntos!$A$2:$OJ$901,766,MATCH($B$2&amp;"|xN",Aux_puntos!$1:$1,0))),NA())</f>
        <v/>
      </c>
      <c r="AJ770">
        <f>IFERROR(IF(INDEX(Aux_puntos!$A$2:$OJ$901,766,MATCH($B$2&amp;"|yN",Aux_puntos!$1:$1,0))="",NA(),INDEX(Aux_puntos!$A$2:$OJ$901,766,MATCH($B$2&amp;"|yN",Aux_puntos!$1:$1,0))),NA())</f>
        <v/>
      </c>
    </row>
    <row r="771">
      <c r="AC771">
        <f>IFERROR(IF(INDEX(Aux_puntos!$A$2:$OJ$901,767,MATCH($B$2&amp;"|xK",Aux_puntos!$1:$1,0))="",NA(),INDEX(Aux_puntos!$A$2:$OJ$901,767,MATCH($B$2&amp;"|xK",Aux_puntos!$1:$1,0))),NA())</f>
        <v/>
      </c>
      <c r="AD771">
        <f>IFERROR(IF(INDEX(Aux_puntos!$A$2:$OJ$901,767,MATCH($B$2&amp;"|yK",Aux_puntos!$1:$1,0))="",NA(),INDEX(Aux_puntos!$A$2:$OJ$901,767,MATCH($B$2&amp;"|yK",Aux_puntos!$1:$1,0))),NA())</f>
        <v/>
      </c>
      <c r="AE771">
        <f>IFERROR(IF(INDEX(Aux_puntos!$A$2:$OJ$901,767,MATCH($B$2&amp;"|xC",Aux_puntos!$1:$1,0))="",NA(),INDEX(Aux_puntos!$A$2:$OJ$901,767,MATCH($B$2&amp;"|xC",Aux_puntos!$1:$1,0))),NA())</f>
        <v/>
      </c>
      <c r="AF771">
        <f>IFERROR(IF(INDEX(Aux_puntos!$A$2:$OJ$901,767,MATCH($B$2&amp;"|yC",Aux_puntos!$1:$1,0))="",NA(),INDEX(Aux_puntos!$A$2:$OJ$901,767,MATCH($B$2&amp;"|yC",Aux_puntos!$1:$1,0))),NA())</f>
        <v/>
      </c>
      <c r="AG771">
        <f>IFERROR(IF(INDEX(Aux_puntos!$A$2:$OJ$901,767,MATCH($B$2&amp;"|xI",Aux_puntos!$1:$1,0))="",NA(),INDEX(Aux_puntos!$A$2:$OJ$901,767,MATCH($B$2&amp;"|xI",Aux_puntos!$1:$1,0))),NA())</f>
        <v/>
      </c>
      <c r="AH771">
        <f>IFERROR(IF(INDEX(Aux_puntos!$A$2:$OJ$901,767,MATCH($B$2&amp;"|yI",Aux_puntos!$1:$1,0))="",NA(),INDEX(Aux_puntos!$A$2:$OJ$901,767,MATCH($B$2&amp;"|yI",Aux_puntos!$1:$1,0))),NA())</f>
        <v/>
      </c>
      <c r="AI771">
        <f>IFERROR(IF(INDEX(Aux_puntos!$A$2:$OJ$901,767,MATCH($B$2&amp;"|xN",Aux_puntos!$1:$1,0))="",NA(),INDEX(Aux_puntos!$A$2:$OJ$901,767,MATCH($B$2&amp;"|xN",Aux_puntos!$1:$1,0))),NA())</f>
        <v/>
      </c>
      <c r="AJ771">
        <f>IFERROR(IF(INDEX(Aux_puntos!$A$2:$OJ$901,767,MATCH($B$2&amp;"|yN",Aux_puntos!$1:$1,0))="",NA(),INDEX(Aux_puntos!$A$2:$OJ$901,767,MATCH($B$2&amp;"|yN",Aux_puntos!$1:$1,0))),NA())</f>
        <v/>
      </c>
    </row>
    <row r="772">
      <c r="AC772">
        <f>IFERROR(IF(INDEX(Aux_puntos!$A$2:$OJ$901,768,MATCH($B$2&amp;"|xK",Aux_puntos!$1:$1,0))="",NA(),INDEX(Aux_puntos!$A$2:$OJ$901,768,MATCH($B$2&amp;"|xK",Aux_puntos!$1:$1,0))),NA())</f>
        <v/>
      </c>
      <c r="AD772">
        <f>IFERROR(IF(INDEX(Aux_puntos!$A$2:$OJ$901,768,MATCH($B$2&amp;"|yK",Aux_puntos!$1:$1,0))="",NA(),INDEX(Aux_puntos!$A$2:$OJ$901,768,MATCH($B$2&amp;"|yK",Aux_puntos!$1:$1,0))),NA())</f>
        <v/>
      </c>
      <c r="AE772">
        <f>IFERROR(IF(INDEX(Aux_puntos!$A$2:$OJ$901,768,MATCH($B$2&amp;"|xC",Aux_puntos!$1:$1,0))="",NA(),INDEX(Aux_puntos!$A$2:$OJ$901,768,MATCH($B$2&amp;"|xC",Aux_puntos!$1:$1,0))),NA())</f>
        <v/>
      </c>
      <c r="AF772">
        <f>IFERROR(IF(INDEX(Aux_puntos!$A$2:$OJ$901,768,MATCH($B$2&amp;"|yC",Aux_puntos!$1:$1,0))="",NA(),INDEX(Aux_puntos!$A$2:$OJ$901,768,MATCH($B$2&amp;"|yC",Aux_puntos!$1:$1,0))),NA())</f>
        <v/>
      </c>
      <c r="AG772">
        <f>IFERROR(IF(INDEX(Aux_puntos!$A$2:$OJ$901,768,MATCH($B$2&amp;"|xI",Aux_puntos!$1:$1,0))="",NA(),INDEX(Aux_puntos!$A$2:$OJ$901,768,MATCH($B$2&amp;"|xI",Aux_puntos!$1:$1,0))),NA())</f>
        <v/>
      </c>
      <c r="AH772">
        <f>IFERROR(IF(INDEX(Aux_puntos!$A$2:$OJ$901,768,MATCH($B$2&amp;"|yI",Aux_puntos!$1:$1,0))="",NA(),INDEX(Aux_puntos!$A$2:$OJ$901,768,MATCH($B$2&amp;"|yI",Aux_puntos!$1:$1,0))),NA())</f>
        <v/>
      </c>
      <c r="AI772">
        <f>IFERROR(IF(INDEX(Aux_puntos!$A$2:$OJ$901,768,MATCH($B$2&amp;"|xN",Aux_puntos!$1:$1,0))="",NA(),INDEX(Aux_puntos!$A$2:$OJ$901,768,MATCH($B$2&amp;"|xN",Aux_puntos!$1:$1,0))),NA())</f>
        <v/>
      </c>
      <c r="AJ772">
        <f>IFERROR(IF(INDEX(Aux_puntos!$A$2:$OJ$901,768,MATCH($B$2&amp;"|yN",Aux_puntos!$1:$1,0))="",NA(),INDEX(Aux_puntos!$A$2:$OJ$901,768,MATCH($B$2&amp;"|yN",Aux_puntos!$1:$1,0))),NA())</f>
        <v/>
      </c>
    </row>
    <row r="773">
      <c r="AC773">
        <f>IFERROR(IF(INDEX(Aux_puntos!$A$2:$OJ$901,769,MATCH($B$2&amp;"|xK",Aux_puntos!$1:$1,0))="",NA(),INDEX(Aux_puntos!$A$2:$OJ$901,769,MATCH($B$2&amp;"|xK",Aux_puntos!$1:$1,0))),NA())</f>
        <v/>
      </c>
      <c r="AD773">
        <f>IFERROR(IF(INDEX(Aux_puntos!$A$2:$OJ$901,769,MATCH($B$2&amp;"|yK",Aux_puntos!$1:$1,0))="",NA(),INDEX(Aux_puntos!$A$2:$OJ$901,769,MATCH($B$2&amp;"|yK",Aux_puntos!$1:$1,0))),NA())</f>
        <v/>
      </c>
      <c r="AE773">
        <f>IFERROR(IF(INDEX(Aux_puntos!$A$2:$OJ$901,769,MATCH($B$2&amp;"|xC",Aux_puntos!$1:$1,0))="",NA(),INDEX(Aux_puntos!$A$2:$OJ$901,769,MATCH($B$2&amp;"|xC",Aux_puntos!$1:$1,0))),NA())</f>
        <v/>
      </c>
      <c r="AF773">
        <f>IFERROR(IF(INDEX(Aux_puntos!$A$2:$OJ$901,769,MATCH($B$2&amp;"|yC",Aux_puntos!$1:$1,0))="",NA(),INDEX(Aux_puntos!$A$2:$OJ$901,769,MATCH($B$2&amp;"|yC",Aux_puntos!$1:$1,0))),NA())</f>
        <v/>
      </c>
      <c r="AG773">
        <f>IFERROR(IF(INDEX(Aux_puntos!$A$2:$OJ$901,769,MATCH($B$2&amp;"|xI",Aux_puntos!$1:$1,0))="",NA(),INDEX(Aux_puntos!$A$2:$OJ$901,769,MATCH($B$2&amp;"|xI",Aux_puntos!$1:$1,0))),NA())</f>
        <v/>
      </c>
      <c r="AH773">
        <f>IFERROR(IF(INDEX(Aux_puntos!$A$2:$OJ$901,769,MATCH($B$2&amp;"|yI",Aux_puntos!$1:$1,0))="",NA(),INDEX(Aux_puntos!$A$2:$OJ$901,769,MATCH($B$2&amp;"|yI",Aux_puntos!$1:$1,0))),NA())</f>
        <v/>
      </c>
      <c r="AI773">
        <f>IFERROR(IF(INDEX(Aux_puntos!$A$2:$OJ$901,769,MATCH($B$2&amp;"|xN",Aux_puntos!$1:$1,0))="",NA(),INDEX(Aux_puntos!$A$2:$OJ$901,769,MATCH($B$2&amp;"|xN",Aux_puntos!$1:$1,0))),NA())</f>
        <v/>
      </c>
      <c r="AJ773">
        <f>IFERROR(IF(INDEX(Aux_puntos!$A$2:$OJ$901,769,MATCH($B$2&amp;"|yN",Aux_puntos!$1:$1,0))="",NA(),INDEX(Aux_puntos!$A$2:$OJ$901,769,MATCH($B$2&amp;"|yN",Aux_puntos!$1:$1,0))),NA())</f>
        <v/>
      </c>
    </row>
    <row r="774">
      <c r="AC774">
        <f>IFERROR(IF(INDEX(Aux_puntos!$A$2:$OJ$901,770,MATCH($B$2&amp;"|xK",Aux_puntos!$1:$1,0))="",NA(),INDEX(Aux_puntos!$A$2:$OJ$901,770,MATCH($B$2&amp;"|xK",Aux_puntos!$1:$1,0))),NA())</f>
        <v/>
      </c>
      <c r="AD774">
        <f>IFERROR(IF(INDEX(Aux_puntos!$A$2:$OJ$901,770,MATCH($B$2&amp;"|yK",Aux_puntos!$1:$1,0))="",NA(),INDEX(Aux_puntos!$A$2:$OJ$901,770,MATCH($B$2&amp;"|yK",Aux_puntos!$1:$1,0))),NA())</f>
        <v/>
      </c>
      <c r="AE774">
        <f>IFERROR(IF(INDEX(Aux_puntos!$A$2:$OJ$901,770,MATCH($B$2&amp;"|xC",Aux_puntos!$1:$1,0))="",NA(),INDEX(Aux_puntos!$A$2:$OJ$901,770,MATCH($B$2&amp;"|xC",Aux_puntos!$1:$1,0))),NA())</f>
        <v/>
      </c>
      <c r="AF774">
        <f>IFERROR(IF(INDEX(Aux_puntos!$A$2:$OJ$901,770,MATCH($B$2&amp;"|yC",Aux_puntos!$1:$1,0))="",NA(),INDEX(Aux_puntos!$A$2:$OJ$901,770,MATCH($B$2&amp;"|yC",Aux_puntos!$1:$1,0))),NA())</f>
        <v/>
      </c>
      <c r="AG774">
        <f>IFERROR(IF(INDEX(Aux_puntos!$A$2:$OJ$901,770,MATCH($B$2&amp;"|xI",Aux_puntos!$1:$1,0))="",NA(),INDEX(Aux_puntos!$A$2:$OJ$901,770,MATCH($B$2&amp;"|xI",Aux_puntos!$1:$1,0))),NA())</f>
        <v/>
      </c>
      <c r="AH774">
        <f>IFERROR(IF(INDEX(Aux_puntos!$A$2:$OJ$901,770,MATCH($B$2&amp;"|yI",Aux_puntos!$1:$1,0))="",NA(),INDEX(Aux_puntos!$A$2:$OJ$901,770,MATCH($B$2&amp;"|yI",Aux_puntos!$1:$1,0))),NA())</f>
        <v/>
      </c>
      <c r="AI774">
        <f>IFERROR(IF(INDEX(Aux_puntos!$A$2:$OJ$901,770,MATCH($B$2&amp;"|xN",Aux_puntos!$1:$1,0))="",NA(),INDEX(Aux_puntos!$A$2:$OJ$901,770,MATCH($B$2&amp;"|xN",Aux_puntos!$1:$1,0))),NA())</f>
        <v/>
      </c>
      <c r="AJ774">
        <f>IFERROR(IF(INDEX(Aux_puntos!$A$2:$OJ$901,770,MATCH($B$2&amp;"|yN",Aux_puntos!$1:$1,0))="",NA(),INDEX(Aux_puntos!$A$2:$OJ$901,770,MATCH($B$2&amp;"|yN",Aux_puntos!$1:$1,0))),NA())</f>
        <v/>
      </c>
    </row>
    <row r="775">
      <c r="AC775">
        <f>IFERROR(IF(INDEX(Aux_puntos!$A$2:$OJ$901,771,MATCH($B$2&amp;"|xK",Aux_puntos!$1:$1,0))="",NA(),INDEX(Aux_puntos!$A$2:$OJ$901,771,MATCH($B$2&amp;"|xK",Aux_puntos!$1:$1,0))),NA())</f>
        <v/>
      </c>
      <c r="AD775">
        <f>IFERROR(IF(INDEX(Aux_puntos!$A$2:$OJ$901,771,MATCH($B$2&amp;"|yK",Aux_puntos!$1:$1,0))="",NA(),INDEX(Aux_puntos!$A$2:$OJ$901,771,MATCH($B$2&amp;"|yK",Aux_puntos!$1:$1,0))),NA())</f>
        <v/>
      </c>
      <c r="AE775">
        <f>IFERROR(IF(INDEX(Aux_puntos!$A$2:$OJ$901,771,MATCH($B$2&amp;"|xC",Aux_puntos!$1:$1,0))="",NA(),INDEX(Aux_puntos!$A$2:$OJ$901,771,MATCH($B$2&amp;"|xC",Aux_puntos!$1:$1,0))),NA())</f>
        <v/>
      </c>
      <c r="AF775">
        <f>IFERROR(IF(INDEX(Aux_puntos!$A$2:$OJ$901,771,MATCH($B$2&amp;"|yC",Aux_puntos!$1:$1,0))="",NA(),INDEX(Aux_puntos!$A$2:$OJ$901,771,MATCH($B$2&amp;"|yC",Aux_puntos!$1:$1,0))),NA())</f>
        <v/>
      </c>
      <c r="AG775">
        <f>IFERROR(IF(INDEX(Aux_puntos!$A$2:$OJ$901,771,MATCH($B$2&amp;"|xI",Aux_puntos!$1:$1,0))="",NA(),INDEX(Aux_puntos!$A$2:$OJ$901,771,MATCH($B$2&amp;"|xI",Aux_puntos!$1:$1,0))),NA())</f>
        <v/>
      </c>
      <c r="AH775">
        <f>IFERROR(IF(INDEX(Aux_puntos!$A$2:$OJ$901,771,MATCH($B$2&amp;"|yI",Aux_puntos!$1:$1,0))="",NA(),INDEX(Aux_puntos!$A$2:$OJ$901,771,MATCH($B$2&amp;"|yI",Aux_puntos!$1:$1,0))),NA())</f>
        <v/>
      </c>
      <c r="AI775">
        <f>IFERROR(IF(INDEX(Aux_puntos!$A$2:$OJ$901,771,MATCH($B$2&amp;"|xN",Aux_puntos!$1:$1,0))="",NA(),INDEX(Aux_puntos!$A$2:$OJ$901,771,MATCH($B$2&amp;"|xN",Aux_puntos!$1:$1,0))),NA())</f>
        <v/>
      </c>
      <c r="AJ775">
        <f>IFERROR(IF(INDEX(Aux_puntos!$A$2:$OJ$901,771,MATCH($B$2&amp;"|yN",Aux_puntos!$1:$1,0))="",NA(),INDEX(Aux_puntos!$A$2:$OJ$901,771,MATCH($B$2&amp;"|yN",Aux_puntos!$1:$1,0))),NA())</f>
        <v/>
      </c>
    </row>
    <row r="776">
      <c r="AC776">
        <f>IFERROR(IF(INDEX(Aux_puntos!$A$2:$OJ$901,772,MATCH($B$2&amp;"|xK",Aux_puntos!$1:$1,0))="",NA(),INDEX(Aux_puntos!$A$2:$OJ$901,772,MATCH($B$2&amp;"|xK",Aux_puntos!$1:$1,0))),NA())</f>
        <v/>
      </c>
      <c r="AD776">
        <f>IFERROR(IF(INDEX(Aux_puntos!$A$2:$OJ$901,772,MATCH($B$2&amp;"|yK",Aux_puntos!$1:$1,0))="",NA(),INDEX(Aux_puntos!$A$2:$OJ$901,772,MATCH($B$2&amp;"|yK",Aux_puntos!$1:$1,0))),NA())</f>
        <v/>
      </c>
      <c r="AE776">
        <f>IFERROR(IF(INDEX(Aux_puntos!$A$2:$OJ$901,772,MATCH($B$2&amp;"|xC",Aux_puntos!$1:$1,0))="",NA(),INDEX(Aux_puntos!$A$2:$OJ$901,772,MATCH($B$2&amp;"|xC",Aux_puntos!$1:$1,0))),NA())</f>
        <v/>
      </c>
      <c r="AF776">
        <f>IFERROR(IF(INDEX(Aux_puntos!$A$2:$OJ$901,772,MATCH($B$2&amp;"|yC",Aux_puntos!$1:$1,0))="",NA(),INDEX(Aux_puntos!$A$2:$OJ$901,772,MATCH($B$2&amp;"|yC",Aux_puntos!$1:$1,0))),NA())</f>
        <v/>
      </c>
      <c r="AG776">
        <f>IFERROR(IF(INDEX(Aux_puntos!$A$2:$OJ$901,772,MATCH($B$2&amp;"|xI",Aux_puntos!$1:$1,0))="",NA(),INDEX(Aux_puntos!$A$2:$OJ$901,772,MATCH($B$2&amp;"|xI",Aux_puntos!$1:$1,0))),NA())</f>
        <v/>
      </c>
      <c r="AH776">
        <f>IFERROR(IF(INDEX(Aux_puntos!$A$2:$OJ$901,772,MATCH($B$2&amp;"|yI",Aux_puntos!$1:$1,0))="",NA(),INDEX(Aux_puntos!$A$2:$OJ$901,772,MATCH($B$2&amp;"|yI",Aux_puntos!$1:$1,0))),NA())</f>
        <v/>
      </c>
      <c r="AI776">
        <f>IFERROR(IF(INDEX(Aux_puntos!$A$2:$OJ$901,772,MATCH($B$2&amp;"|xN",Aux_puntos!$1:$1,0))="",NA(),INDEX(Aux_puntos!$A$2:$OJ$901,772,MATCH($B$2&amp;"|xN",Aux_puntos!$1:$1,0))),NA())</f>
        <v/>
      </c>
      <c r="AJ776">
        <f>IFERROR(IF(INDEX(Aux_puntos!$A$2:$OJ$901,772,MATCH($B$2&amp;"|yN",Aux_puntos!$1:$1,0))="",NA(),INDEX(Aux_puntos!$A$2:$OJ$901,772,MATCH($B$2&amp;"|yN",Aux_puntos!$1:$1,0))),NA())</f>
        <v/>
      </c>
    </row>
    <row r="777">
      <c r="AC777">
        <f>IFERROR(IF(INDEX(Aux_puntos!$A$2:$OJ$901,773,MATCH($B$2&amp;"|xK",Aux_puntos!$1:$1,0))="",NA(),INDEX(Aux_puntos!$A$2:$OJ$901,773,MATCH($B$2&amp;"|xK",Aux_puntos!$1:$1,0))),NA())</f>
        <v/>
      </c>
      <c r="AD777">
        <f>IFERROR(IF(INDEX(Aux_puntos!$A$2:$OJ$901,773,MATCH($B$2&amp;"|yK",Aux_puntos!$1:$1,0))="",NA(),INDEX(Aux_puntos!$A$2:$OJ$901,773,MATCH($B$2&amp;"|yK",Aux_puntos!$1:$1,0))),NA())</f>
        <v/>
      </c>
      <c r="AE777">
        <f>IFERROR(IF(INDEX(Aux_puntos!$A$2:$OJ$901,773,MATCH($B$2&amp;"|xC",Aux_puntos!$1:$1,0))="",NA(),INDEX(Aux_puntos!$A$2:$OJ$901,773,MATCH($B$2&amp;"|xC",Aux_puntos!$1:$1,0))),NA())</f>
        <v/>
      </c>
      <c r="AF777">
        <f>IFERROR(IF(INDEX(Aux_puntos!$A$2:$OJ$901,773,MATCH($B$2&amp;"|yC",Aux_puntos!$1:$1,0))="",NA(),INDEX(Aux_puntos!$A$2:$OJ$901,773,MATCH($B$2&amp;"|yC",Aux_puntos!$1:$1,0))),NA())</f>
        <v/>
      </c>
      <c r="AG777">
        <f>IFERROR(IF(INDEX(Aux_puntos!$A$2:$OJ$901,773,MATCH($B$2&amp;"|xI",Aux_puntos!$1:$1,0))="",NA(),INDEX(Aux_puntos!$A$2:$OJ$901,773,MATCH($B$2&amp;"|xI",Aux_puntos!$1:$1,0))),NA())</f>
        <v/>
      </c>
      <c r="AH777">
        <f>IFERROR(IF(INDEX(Aux_puntos!$A$2:$OJ$901,773,MATCH($B$2&amp;"|yI",Aux_puntos!$1:$1,0))="",NA(),INDEX(Aux_puntos!$A$2:$OJ$901,773,MATCH($B$2&amp;"|yI",Aux_puntos!$1:$1,0))),NA())</f>
        <v/>
      </c>
      <c r="AI777">
        <f>IFERROR(IF(INDEX(Aux_puntos!$A$2:$OJ$901,773,MATCH($B$2&amp;"|xN",Aux_puntos!$1:$1,0))="",NA(),INDEX(Aux_puntos!$A$2:$OJ$901,773,MATCH($B$2&amp;"|xN",Aux_puntos!$1:$1,0))),NA())</f>
        <v/>
      </c>
      <c r="AJ777">
        <f>IFERROR(IF(INDEX(Aux_puntos!$A$2:$OJ$901,773,MATCH($B$2&amp;"|yN",Aux_puntos!$1:$1,0))="",NA(),INDEX(Aux_puntos!$A$2:$OJ$901,773,MATCH($B$2&amp;"|yN",Aux_puntos!$1:$1,0))),NA())</f>
        <v/>
      </c>
    </row>
    <row r="778">
      <c r="AC778">
        <f>IFERROR(IF(INDEX(Aux_puntos!$A$2:$OJ$901,774,MATCH($B$2&amp;"|xK",Aux_puntos!$1:$1,0))="",NA(),INDEX(Aux_puntos!$A$2:$OJ$901,774,MATCH($B$2&amp;"|xK",Aux_puntos!$1:$1,0))),NA())</f>
        <v/>
      </c>
      <c r="AD778">
        <f>IFERROR(IF(INDEX(Aux_puntos!$A$2:$OJ$901,774,MATCH($B$2&amp;"|yK",Aux_puntos!$1:$1,0))="",NA(),INDEX(Aux_puntos!$A$2:$OJ$901,774,MATCH($B$2&amp;"|yK",Aux_puntos!$1:$1,0))),NA())</f>
        <v/>
      </c>
      <c r="AE778">
        <f>IFERROR(IF(INDEX(Aux_puntos!$A$2:$OJ$901,774,MATCH($B$2&amp;"|xC",Aux_puntos!$1:$1,0))="",NA(),INDEX(Aux_puntos!$A$2:$OJ$901,774,MATCH($B$2&amp;"|xC",Aux_puntos!$1:$1,0))),NA())</f>
        <v/>
      </c>
      <c r="AF778">
        <f>IFERROR(IF(INDEX(Aux_puntos!$A$2:$OJ$901,774,MATCH($B$2&amp;"|yC",Aux_puntos!$1:$1,0))="",NA(),INDEX(Aux_puntos!$A$2:$OJ$901,774,MATCH($B$2&amp;"|yC",Aux_puntos!$1:$1,0))),NA())</f>
        <v/>
      </c>
      <c r="AG778">
        <f>IFERROR(IF(INDEX(Aux_puntos!$A$2:$OJ$901,774,MATCH($B$2&amp;"|xI",Aux_puntos!$1:$1,0))="",NA(),INDEX(Aux_puntos!$A$2:$OJ$901,774,MATCH($B$2&amp;"|xI",Aux_puntos!$1:$1,0))),NA())</f>
        <v/>
      </c>
      <c r="AH778">
        <f>IFERROR(IF(INDEX(Aux_puntos!$A$2:$OJ$901,774,MATCH($B$2&amp;"|yI",Aux_puntos!$1:$1,0))="",NA(),INDEX(Aux_puntos!$A$2:$OJ$901,774,MATCH($B$2&amp;"|yI",Aux_puntos!$1:$1,0))),NA())</f>
        <v/>
      </c>
      <c r="AI778">
        <f>IFERROR(IF(INDEX(Aux_puntos!$A$2:$OJ$901,774,MATCH($B$2&amp;"|xN",Aux_puntos!$1:$1,0))="",NA(),INDEX(Aux_puntos!$A$2:$OJ$901,774,MATCH($B$2&amp;"|xN",Aux_puntos!$1:$1,0))),NA())</f>
        <v/>
      </c>
      <c r="AJ778">
        <f>IFERROR(IF(INDEX(Aux_puntos!$A$2:$OJ$901,774,MATCH($B$2&amp;"|yN",Aux_puntos!$1:$1,0))="",NA(),INDEX(Aux_puntos!$A$2:$OJ$901,774,MATCH($B$2&amp;"|yN",Aux_puntos!$1:$1,0))),NA())</f>
        <v/>
      </c>
    </row>
    <row r="779">
      <c r="AC779">
        <f>IFERROR(IF(INDEX(Aux_puntos!$A$2:$OJ$901,775,MATCH($B$2&amp;"|xK",Aux_puntos!$1:$1,0))="",NA(),INDEX(Aux_puntos!$A$2:$OJ$901,775,MATCH($B$2&amp;"|xK",Aux_puntos!$1:$1,0))),NA())</f>
        <v/>
      </c>
      <c r="AD779">
        <f>IFERROR(IF(INDEX(Aux_puntos!$A$2:$OJ$901,775,MATCH($B$2&amp;"|yK",Aux_puntos!$1:$1,0))="",NA(),INDEX(Aux_puntos!$A$2:$OJ$901,775,MATCH($B$2&amp;"|yK",Aux_puntos!$1:$1,0))),NA())</f>
        <v/>
      </c>
      <c r="AE779">
        <f>IFERROR(IF(INDEX(Aux_puntos!$A$2:$OJ$901,775,MATCH($B$2&amp;"|xC",Aux_puntos!$1:$1,0))="",NA(),INDEX(Aux_puntos!$A$2:$OJ$901,775,MATCH($B$2&amp;"|xC",Aux_puntos!$1:$1,0))),NA())</f>
        <v/>
      </c>
      <c r="AF779">
        <f>IFERROR(IF(INDEX(Aux_puntos!$A$2:$OJ$901,775,MATCH($B$2&amp;"|yC",Aux_puntos!$1:$1,0))="",NA(),INDEX(Aux_puntos!$A$2:$OJ$901,775,MATCH($B$2&amp;"|yC",Aux_puntos!$1:$1,0))),NA())</f>
        <v/>
      </c>
      <c r="AG779">
        <f>IFERROR(IF(INDEX(Aux_puntos!$A$2:$OJ$901,775,MATCH($B$2&amp;"|xI",Aux_puntos!$1:$1,0))="",NA(),INDEX(Aux_puntos!$A$2:$OJ$901,775,MATCH($B$2&amp;"|xI",Aux_puntos!$1:$1,0))),NA())</f>
        <v/>
      </c>
      <c r="AH779">
        <f>IFERROR(IF(INDEX(Aux_puntos!$A$2:$OJ$901,775,MATCH($B$2&amp;"|yI",Aux_puntos!$1:$1,0))="",NA(),INDEX(Aux_puntos!$A$2:$OJ$901,775,MATCH($B$2&amp;"|yI",Aux_puntos!$1:$1,0))),NA())</f>
        <v/>
      </c>
      <c r="AI779">
        <f>IFERROR(IF(INDEX(Aux_puntos!$A$2:$OJ$901,775,MATCH($B$2&amp;"|xN",Aux_puntos!$1:$1,0))="",NA(),INDEX(Aux_puntos!$A$2:$OJ$901,775,MATCH($B$2&amp;"|xN",Aux_puntos!$1:$1,0))),NA())</f>
        <v/>
      </c>
      <c r="AJ779">
        <f>IFERROR(IF(INDEX(Aux_puntos!$A$2:$OJ$901,775,MATCH($B$2&amp;"|yN",Aux_puntos!$1:$1,0))="",NA(),INDEX(Aux_puntos!$A$2:$OJ$901,775,MATCH($B$2&amp;"|yN",Aux_puntos!$1:$1,0))),NA())</f>
        <v/>
      </c>
    </row>
    <row r="780">
      <c r="AC780">
        <f>IFERROR(IF(INDEX(Aux_puntos!$A$2:$OJ$901,776,MATCH($B$2&amp;"|xK",Aux_puntos!$1:$1,0))="",NA(),INDEX(Aux_puntos!$A$2:$OJ$901,776,MATCH($B$2&amp;"|xK",Aux_puntos!$1:$1,0))),NA())</f>
        <v/>
      </c>
      <c r="AD780">
        <f>IFERROR(IF(INDEX(Aux_puntos!$A$2:$OJ$901,776,MATCH($B$2&amp;"|yK",Aux_puntos!$1:$1,0))="",NA(),INDEX(Aux_puntos!$A$2:$OJ$901,776,MATCH($B$2&amp;"|yK",Aux_puntos!$1:$1,0))),NA())</f>
        <v/>
      </c>
      <c r="AE780">
        <f>IFERROR(IF(INDEX(Aux_puntos!$A$2:$OJ$901,776,MATCH($B$2&amp;"|xC",Aux_puntos!$1:$1,0))="",NA(),INDEX(Aux_puntos!$A$2:$OJ$901,776,MATCH($B$2&amp;"|xC",Aux_puntos!$1:$1,0))),NA())</f>
        <v/>
      </c>
      <c r="AF780">
        <f>IFERROR(IF(INDEX(Aux_puntos!$A$2:$OJ$901,776,MATCH($B$2&amp;"|yC",Aux_puntos!$1:$1,0))="",NA(),INDEX(Aux_puntos!$A$2:$OJ$901,776,MATCH($B$2&amp;"|yC",Aux_puntos!$1:$1,0))),NA())</f>
        <v/>
      </c>
      <c r="AG780">
        <f>IFERROR(IF(INDEX(Aux_puntos!$A$2:$OJ$901,776,MATCH($B$2&amp;"|xI",Aux_puntos!$1:$1,0))="",NA(),INDEX(Aux_puntos!$A$2:$OJ$901,776,MATCH($B$2&amp;"|xI",Aux_puntos!$1:$1,0))),NA())</f>
        <v/>
      </c>
      <c r="AH780">
        <f>IFERROR(IF(INDEX(Aux_puntos!$A$2:$OJ$901,776,MATCH($B$2&amp;"|yI",Aux_puntos!$1:$1,0))="",NA(),INDEX(Aux_puntos!$A$2:$OJ$901,776,MATCH($B$2&amp;"|yI",Aux_puntos!$1:$1,0))),NA())</f>
        <v/>
      </c>
      <c r="AI780">
        <f>IFERROR(IF(INDEX(Aux_puntos!$A$2:$OJ$901,776,MATCH($B$2&amp;"|xN",Aux_puntos!$1:$1,0))="",NA(),INDEX(Aux_puntos!$A$2:$OJ$901,776,MATCH($B$2&amp;"|xN",Aux_puntos!$1:$1,0))),NA())</f>
        <v/>
      </c>
      <c r="AJ780">
        <f>IFERROR(IF(INDEX(Aux_puntos!$A$2:$OJ$901,776,MATCH($B$2&amp;"|yN",Aux_puntos!$1:$1,0))="",NA(),INDEX(Aux_puntos!$A$2:$OJ$901,776,MATCH($B$2&amp;"|yN",Aux_puntos!$1:$1,0))),NA())</f>
        <v/>
      </c>
    </row>
    <row r="781">
      <c r="AC781">
        <f>IFERROR(IF(INDEX(Aux_puntos!$A$2:$OJ$901,777,MATCH($B$2&amp;"|xK",Aux_puntos!$1:$1,0))="",NA(),INDEX(Aux_puntos!$A$2:$OJ$901,777,MATCH($B$2&amp;"|xK",Aux_puntos!$1:$1,0))),NA())</f>
        <v/>
      </c>
      <c r="AD781">
        <f>IFERROR(IF(INDEX(Aux_puntos!$A$2:$OJ$901,777,MATCH($B$2&amp;"|yK",Aux_puntos!$1:$1,0))="",NA(),INDEX(Aux_puntos!$A$2:$OJ$901,777,MATCH($B$2&amp;"|yK",Aux_puntos!$1:$1,0))),NA())</f>
        <v/>
      </c>
      <c r="AE781">
        <f>IFERROR(IF(INDEX(Aux_puntos!$A$2:$OJ$901,777,MATCH($B$2&amp;"|xC",Aux_puntos!$1:$1,0))="",NA(),INDEX(Aux_puntos!$A$2:$OJ$901,777,MATCH($B$2&amp;"|xC",Aux_puntos!$1:$1,0))),NA())</f>
        <v/>
      </c>
      <c r="AF781">
        <f>IFERROR(IF(INDEX(Aux_puntos!$A$2:$OJ$901,777,MATCH($B$2&amp;"|yC",Aux_puntos!$1:$1,0))="",NA(),INDEX(Aux_puntos!$A$2:$OJ$901,777,MATCH($B$2&amp;"|yC",Aux_puntos!$1:$1,0))),NA())</f>
        <v/>
      </c>
      <c r="AG781">
        <f>IFERROR(IF(INDEX(Aux_puntos!$A$2:$OJ$901,777,MATCH($B$2&amp;"|xI",Aux_puntos!$1:$1,0))="",NA(),INDEX(Aux_puntos!$A$2:$OJ$901,777,MATCH($B$2&amp;"|xI",Aux_puntos!$1:$1,0))),NA())</f>
        <v/>
      </c>
      <c r="AH781">
        <f>IFERROR(IF(INDEX(Aux_puntos!$A$2:$OJ$901,777,MATCH($B$2&amp;"|yI",Aux_puntos!$1:$1,0))="",NA(),INDEX(Aux_puntos!$A$2:$OJ$901,777,MATCH($B$2&amp;"|yI",Aux_puntos!$1:$1,0))),NA())</f>
        <v/>
      </c>
      <c r="AI781">
        <f>IFERROR(IF(INDEX(Aux_puntos!$A$2:$OJ$901,777,MATCH($B$2&amp;"|xN",Aux_puntos!$1:$1,0))="",NA(),INDEX(Aux_puntos!$A$2:$OJ$901,777,MATCH($B$2&amp;"|xN",Aux_puntos!$1:$1,0))),NA())</f>
        <v/>
      </c>
      <c r="AJ781">
        <f>IFERROR(IF(INDEX(Aux_puntos!$A$2:$OJ$901,777,MATCH($B$2&amp;"|yN",Aux_puntos!$1:$1,0))="",NA(),INDEX(Aux_puntos!$A$2:$OJ$901,777,MATCH($B$2&amp;"|yN",Aux_puntos!$1:$1,0))),NA())</f>
        <v/>
      </c>
    </row>
    <row r="782">
      <c r="AC782">
        <f>IFERROR(IF(INDEX(Aux_puntos!$A$2:$OJ$901,778,MATCH($B$2&amp;"|xK",Aux_puntos!$1:$1,0))="",NA(),INDEX(Aux_puntos!$A$2:$OJ$901,778,MATCH($B$2&amp;"|xK",Aux_puntos!$1:$1,0))),NA())</f>
        <v/>
      </c>
      <c r="AD782">
        <f>IFERROR(IF(INDEX(Aux_puntos!$A$2:$OJ$901,778,MATCH($B$2&amp;"|yK",Aux_puntos!$1:$1,0))="",NA(),INDEX(Aux_puntos!$A$2:$OJ$901,778,MATCH($B$2&amp;"|yK",Aux_puntos!$1:$1,0))),NA())</f>
        <v/>
      </c>
      <c r="AE782">
        <f>IFERROR(IF(INDEX(Aux_puntos!$A$2:$OJ$901,778,MATCH($B$2&amp;"|xC",Aux_puntos!$1:$1,0))="",NA(),INDEX(Aux_puntos!$A$2:$OJ$901,778,MATCH($B$2&amp;"|xC",Aux_puntos!$1:$1,0))),NA())</f>
        <v/>
      </c>
      <c r="AF782">
        <f>IFERROR(IF(INDEX(Aux_puntos!$A$2:$OJ$901,778,MATCH($B$2&amp;"|yC",Aux_puntos!$1:$1,0))="",NA(),INDEX(Aux_puntos!$A$2:$OJ$901,778,MATCH($B$2&amp;"|yC",Aux_puntos!$1:$1,0))),NA())</f>
        <v/>
      </c>
      <c r="AG782">
        <f>IFERROR(IF(INDEX(Aux_puntos!$A$2:$OJ$901,778,MATCH($B$2&amp;"|xI",Aux_puntos!$1:$1,0))="",NA(),INDEX(Aux_puntos!$A$2:$OJ$901,778,MATCH($B$2&amp;"|xI",Aux_puntos!$1:$1,0))),NA())</f>
        <v/>
      </c>
      <c r="AH782">
        <f>IFERROR(IF(INDEX(Aux_puntos!$A$2:$OJ$901,778,MATCH($B$2&amp;"|yI",Aux_puntos!$1:$1,0))="",NA(),INDEX(Aux_puntos!$A$2:$OJ$901,778,MATCH($B$2&amp;"|yI",Aux_puntos!$1:$1,0))),NA())</f>
        <v/>
      </c>
      <c r="AI782">
        <f>IFERROR(IF(INDEX(Aux_puntos!$A$2:$OJ$901,778,MATCH($B$2&amp;"|xN",Aux_puntos!$1:$1,0))="",NA(),INDEX(Aux_puntos!$A$2:$OJ$901,778,MATCH($B$2&amp;"|xN",Aux_puntos!$1:$1,0))),NA())</f>
        <v/>
      </c>
      <c r="AJ782">
        <f>IFERROR(IF(INDEX(Aux_puntos!$A$2:$OJ$901,778,MATCH($B$2&amp;"|yN",Aux_puntos!$1:$1,0))="",NA(),INDEX(Aux_puntos!$A$2:$OJ$901,778,MATCH($B$2&amp;"|yN",Aux_puntos!$1:$1,0))),NA())</f>
        <v/>
      </c>
    </row>
    <row r="783">
      <c r="AC783">
        <f>IFERROR(IF(INDEX(Aux_puntos!$A$2:$OJ$901,779,MATCH($B$2&amp;"|xK",Aux_puntos!$1:$1,0))="",NA(),INDEX(Aux_puntos!$A$2:$OJ$901,779,MATCH($B$2&amp;"|xK",Aux_puntos!$1:$1,0))),NA())</f>
        <v/>
      </c>
      <c r="AD783">
        <f>IFERROR(IF(INDEX(Aux_puntos!$A$2:$OJ$901,779,MATCH($B$2&amp;"|yK",Aux_puntos!$1:$1,0))="",NA(),INDEX(Aux_puntos!$A$2:$OJ$901,779,MATCH($B$2&amp;"|yK",Aux_puntos!$1:$1,0))),NA())</f>
        <v/>
      </c>
      <c r="AE783">
        <f>IFERROR(IF(INDEX(Aux_puntos!$A$2:$OJ$901,779,MATCH($B$2&amp;"|xC",Aux_puntos!$1:$1,0))="",NA(),INDEX(Aux_puntos!$A$2:$OJ$901,779,MATCH($B$2&amp;"|xC",Aux_puntos!$1:$1,0))),NA())</f>
        <v/>
      </c>
      <c r="AF783">
        <f>IFERROR(IF(INDEX(Aux_puntos!$A$2:$OJ$901,779,MATCH($B$2&amp;"|yC",Aux_puntos!$1:$1,0))="",NA(),INDEX(Aux_puntos!$A$2:$OJ$901,779,MATCH($B$2&amp;"|yC",Aux_puntos!$1:$1,0))),NA())</f>
        <v/>
      </c>
      <c r="AG783">
        <f>IFERROR(IF(INDEX(Aux_puntos!$A$2:$OJ$901,779,MATCH($B$2&amp;"|xI",Aux_puntos!$1:$1,0))="",NA(),INDEX(Aux_puntos!$A$2:$OJ$901,779,MATCH($B$2&amp;"|xI",Aux_puntos!$1:$1,0))),NA())</f>
        <v/>
      </c>
      <c r="AH783">
        <f>IFERROR(IF(INDEX(Aux_puntos!$A$2:$OJ$901,779,MATCH($B$2&amp;"|yI",Aux_puntos!$1:$1,0))="",NA(),INDEX(Aux_puntos!$A$2:$OJ$901,779,MATCH($B$2&amp;"|yI",Aux_puntos!$1:$1,0))),NA())</f>
        <v/>
      </c>
      <c r="AI783">
        <f>IFERROR(IF(INDEX(Aux_puntos!$A$2:$OJ$901,779,MATCH($B$2&amp;"|xN",Aux_puntos!$1:$1,0))="",NA(),INDEX(Aux_puntos!$A$2:$OJ$901,779,MATCH($B$2&amp;"|xN",Aux_puntos!$1:$1,0))),NA())</f>
        <v/>
      </c>
      <c r="AJ783">
        <f>IFERROR(IF(INDEX(Aux_puntos!$A$2:$OJ$901,779,MATCH($B$2&amp;"|yN",Aux_puntos!$1:$1,0))="",NA(),INDEX(Aux_puntos!$A$2:$OJ$901,779,MATCH($B$2&amp;"|yN",Aux_puntos!$1:$1,0))),NA())</f>
        <v/>
      </c>
    </row>
    <row r="784">
      <c r="AC784">
        <f>IFERROR(IF(INDEX(Aux_puntos!$A$2:$OJ$901,780,MATCH($B$2&amp;"|xK",Aux_puntos!$1:$1,0))="",NA(),INDEX(Aux_puntos!$A$2:$OJ$901,780,MATCH($B$2&amp;"|xK",Aux_puntos!$1:$1,0))),NA())</f>
        <v/>
      </c>
      <c r="AD784">
        <f>IFERROR(IF(INDEX(Aux_puntos!$A$2:$OJ$901,780,MATCH($B$2&amp;"|yK",Aux_puntos!$1:$1,0))="",NA(),INDEX(Aux_puntos!$A$2:$OJ$901,780,MATCH($B$2&amp;"|yK",Aux_puntos!$1:$1,0))),NA())</f>
        <v/>
      </c>
      <c r="AE784">
        <f>IFERROR(IF(INDEX(Aux_puntos!$A$2:$OJ$901,780,MATCH($B$2&amp;"|xC",Aux_puntos!$1:$1,0))="",NA(),INDEX(Aux_puntos!$A$2:$OJ$901,780,MATCH($B$2&amp;"|xC",Aux_puntos!$1:$1,0))),NA())</f>
        <v/>
      </c>
      <c r="AF784">
        <f>IFERROR(IF(INDEX(Aux_puntos!$A$2:$OJ$901,780,MATCH($B$2&amp;"|yC",Aux_puntos!$1:$1,0))="",NA(),INDEX(Aux_puntos!$A$2:$OJ$901,780,MATCH($B$2&amp;"|yC",Aux_puntos!$1:$1,0))),NA())</f>
        <v/>
      </c>
      <c r="AG784">
        <f>IFERROR(IF(INDEX(Aux_puntos!$A$2:$OJ$901,780,MATCH($B$2&amp;"|xI",Aux_puntos!$1:$1,0))="",NA(),INDEX(Aux_puntos!$A$2:$OJ$901,780,MATCH($B$2&amp;"|xI",Aux_puntos!$1:$1,0))),NA())</f>
        <v/>
      </c>
      <c r="AH784">
        <f>IFERROR(IF(INDEX(Aux_puntos!$A$2:$OJ$901,780,MATCH($B$2&amp;"|yI",Aux_puntos!$1:$1,0))="",NA(),INDEX(Aux_puntos!$A$2:$OJ$901,780,MATCH($B$2&amp;"|yI",Aux_puntos!$1:$1,0))),NA())</f>
        <v/>
      </c>
      <c r="AI784">
        <f>IFERROR(IF(INDEX(Aux_puntos!$A$2:$OJ$901,780,MATCH($B$2&amp;"|xN",Aux_puntos!$1:$1,0))="",NA(),INDEX(Aux_puntos!$A$2:$OJ$901,780,MATCH($B$2&amp;"|xN",Aux_puntos!$1:$1,0))),NA())</f>
        <v/>
      </c>
      <c r="AJ784">
        <f>IFERROR(IF(INDEX(Aux_puntos!$A$2:$OJ$901,780,MATCH($B$2&amp;"|yN",Aux_puntos!$1:$1,0))="",NA(),INDEX(Aux_puntos!$A$2:$OJ$901,780,MATCH($B$2&amp;"|yN",Aux_puntos!$1:$1,0))),NA())</f>
        <v/>
      </c>
    </row>
    <row r="785">
      <c r="AC785">
        <f>IFERROR(IF(INDEX(Aux_puntos!$A$2:$OJ$901,781,MATCH($B$2&amp;"|xK",Aux_puntos!$1:$1,0))="",NA(),INDEX(Aux_puntos!$A$2:$OJ$901,781,MATCH($B$2&amp;"|xK",Aux_puntos!$1:$1,0))),NA())</f>
        <v/>
      </c>
      <c r="AD785">
        <f>IFERROR(IF(INDEX(Aux_puntos!$A$2:$OJ$901,781,MATCH($B$2&amp;"|yK",Aux_puntos!$1:$1,0))="",NA(),INDEX(Aux_puntos!$A$2:$OJ$901,781,MATCH($B$2&amp;"|yK",Aux_puntos!$1:$1,0))),NA())</f>
        <v/>
      </c>
      <c r="AE785">
        <f>IFERROR(IF(INDEX(Aux_puntos!$A$2:$OJ$901,781,MATCH($B$2&amp;"|xC",Aux_puntos!$1:$1,0))="",NA(),INDEX(Aux_puntos!$A$2:$OJ$901,781,MATCH($B$2&amp;"|xC",Aux_puntos!$1:$1,0))),NA())</f>
        <v/>
      </c>
      <c r="AF785">
        <f>IFERROR(IF(INDEX(Aux_puntos!$A$2:$OJ$901,781,MATCH($B$2&amp;"|yC",Aux_puntos!$1:$1,0))="",NA(),INDEX(Aux_puntos!$A$2:$OJ$901,781,MATCH($B$2&amp;"|yC",Aux_puntos!$1:$1,0))),NA())</f>
        <v/>
      </c>
      <c r="AG785">
        <f>IFERROR(IF(INDEX(Aux_puntos!$A$2:$OJ$901,781,MATCH($B$2&amp;"|xI",Aux_puntos!$1:$1,0))="",NA(),INDEX(Aux_puntos!$A$2:$OJ$901,781,MATCH($B$2&amp;"|xI",Aux_puntos!$1:$1,0))),NA())</f>
        <v/>
      </c>
      <c r="AH785">
        <f>IFERROR(IF(INDEX(Aux_puntos!$A$2:$OJ$901,781,MATCH($B$2&amp;"|yI",Aux_puntos!$1:$1,0))="",NA(),INDEX(Aux_puntos!$A$2:$OJ$901,781,MATCH($B$2&amp;"|yI",Aux_puntos!$1:$1,0))),NA())</f>
        <v/>
      </c>
      <c r="AI785">
        <f>IFERROR(IF(INDEX(Aux_puntos!$A$2:$OJ$901,781,MATCH($B$2&amp;"|xN",Aux_puntos!$1:$1,0))="",NA(),INDEX(Aux_puntos!$A$2:$OJ$901,781,MATCH($B$2&amp;"|xN",Aux_puntos!$1:$1,0))),NA())</f>
        <v/>
      </c>
      <c r="AJ785">
        <f>IFERROR(IF(INDEX(Aux_puntos!$A$2:$OJ$901,781,MATCH($B$2&amp;"|yN",Aux_puntos!$1:$1,0))="",NA(),INDEX(Aux_puntos!$A$2:$OJ$901,781,MATCH($B$2&amp;"|yN",Aux_puntos!$1:$1,0))),NA())</f>
        <v/>
      </c>
    </row>
    <row r="786">
      <c r="AC786">
        <f>IFERROR(IF(INDEX(Aux_puntos!$A$2:$OJ$901,782,MATCH($B$2&amp;"|xK",Aux_puntos!$1:$1,0))="",NA(),INDEX(Aux_puntos!$A$2:$OJ$901,782,MATCH($B$2&amp;"|xK",Aux_puntos!$1:$1,0))),NA())</f>
        <v/>
      </c>
      <c r="AD786">
        <f>IFERROR(IF(INDEX(Aux_puntos!$A$2:$OJ$901,782,MATCH($B$2&amp;"|yK",Aux_puntos!$1:$1,0))="",NA(),INDEX(Aux_puntos!$A$2:$OJ$901,782,MATCH($B$2&amp;"|yK",Aux_puntos!$1:$1,0))),NA())</f>
        <v/>
      </c>
      <c r="AE786">
        <f>IFERROR(IF(INDEX(Aux_puntos!$A$2:$OJ$901,782,MATCH($B$2&amp;"|xC",Aux_puntos!$1:$1,0))="",NA(),INDEX(Aux_puntos!$A$2:$OJ$901,782,MATCH($B$2&amp;"|xC",Aux_puntos!$1:$1,0))),NA())</f>
        <v/>
      </c>
      <c r="AF786">
        <f>IFERROR(IF(INDEX(Aux_puntos!$A$2:$OJ$901,782,MATCH($B$2&amp;"|yC",Aux_puntos!$1:$1,0))="",NA(),INDEX(Aux_puntos!$A$2:$OJ$901,782,MATCH($B$2&amp;"|yC",Aux_puntos!$1:$1,0))),NA())</f>
        <v/>
      </c>
      <c r="AG786">
        <f>IFERROR(IF(INDEX(Aux_puntos!$A$2:$OJ$901,782,MATCH($B$2&amp;"|xI",Aux_puntos!$1:$1,0))="",NA(),INDEX(Aux_puntos!$A$2:$OJ$901,782,MATCH($B$2&amp;"|xI",Aux_puntos!$1:$1,0))),NA())</f>
        <v/>
      </c>
      <c r="AH786">
        <f>IFERROR(IF(INDEX(Aux_puntos!$A$2:$OJ$901,782,MATCH($B$2&amp;"|yI",Aux_puntos!$1:$1,0))="",NA(),INDEX(Aux_puntos!$A$2:$OJ$901,782,MATCH($B$2&amp;"|yI",Aux_puntos!$1:$1,0))),NA())</f>
        <v/>
      </c>
      <c r="AI786">
        <f>IFERROR(IF(INDEX(Aux_puntos!$A$2:$OJ$901,782,MATCH($B$2&amp;"|xN",Aux_puntos!$1:$1,0))="",NA(),INDEX(Aux_puntos!$A$2:$OJ$901,782,MATCH($B$2&amp;"|xN",Aux_puntos!$1:$1,0))),NA())</f>
        <v/>
      </c>
      <c r="AJ786">
        <f>IFERROR(IF(INDEX(Aux_puntos!$A$2:$OJ$901,782,MATCH($B$2&amp;"|yN",Aux_puntos!$1:$1,0))="",NA(),INDEX(Aux_puntos!$A$2:$OJ$901,782,MATCH($B$2&amp;"|yN",Aux_puntos!$1:$1,0))),NA())</f>
        <v/>
      </c>
    </row>
    <row r="787">
      <c r="AC787">
        <f>IFERROR(IF(INDEX(Aux_puntos!$A$2:$OJ$901,783,MATCH($B$2&amp;"|xK",Aux_puntos!$1:$1,0))="",NA(),INDEX(Aux_puntos!$A$2:$OJ$901,783,MATCH($B$2&amp;"|xK",Aux_puntos!$1:$1,0))),NA())</f>
        <v/>
      </c>
      <c r="AD787">
        <f>IFERROR(IF(INDEX(Aux_puntos!$A$2:$OJ$901,783,MATCH($B$2&amp;"|yK",Aux_puntos!$1:$1,0))="",NA(),INDEX(Aux_puntos!$A$2:$OJ$901,783,MATCH($B$2&amp;"|yK",Aux_puntos!$1:$1,0))),NA())</f>
        <v/>
      </c>
      <c r="AE787">
        <f>IFERROR(IF(INDEX(Aux_puntos!$A$2:$OJ$901,783,MATCH($B$2&amp;"|xC",Aux_puntos!$1:$1,0))="",NA(),INDEX(Aux_puntos!$A$2:$OJ$901,783,MATCH($B$2&amp;"|xC",Aux_puntos!$1:$1,0))),NA())</f>
        <v/>
      </c>
      <c r="AF787">
        <f>IFERROR(IF(INDEX(Aux_puntos!$A$2:$OJ$901,783,MATCH($B$2&amp;"|yC",Aux_puntos!$1:$1,0))="",NA(),INDEX(Aux_puntos!$A$2:$OJ$901,783,MATCH($B$2&amp;"|yC",Aux_puntos!$1:$1,0))),NA())</f>
        <v/>
      </c>
      <c r="AG787">
        <f>IFERROR(IF(INDEX(Aux_puntos!$A$2:$OJ$901,783,MATCH($B$2&amp;"|xI",Aux_puntos!$1:$1,0))="",NA(),INDEX(Aux_puntos!$A$2:$OJ$901,783,MATCH($B$2&amp;"|xI",Aux_puntos!$1:$1,0))),NA())</f>
        <v/>
      </c>
      <c r="AH787">
        <f>IFERROR(IF(INDEX(Aux_puntos!$A$2:$OJ$901,783,MATCH($B$2&amp;"|yI",Aux_puntos!$1:$1,0))="",NA(),INDEX(Aux_puntos!$A$2:$OJ$901,783,MATCH($B$2&amp;"|yI",Aux_puntos!$1:$1,0))),NA())</f>
        <v/>
      </c>
      <c r="AI787">
        <f>IFERROR(IF(INDEX(Aux_puntos!$A$2:$OJ$901,783,MATCH($B$2&amp;"|xN",Aux_puntos!$1:$1,0))="",NA(),INDEX(Aux_puntos!$A$2:$OJ$901,783,MATCH($B$2&amp;"|xN",Aux_puntos!$1:$1,0))),NA())</f>
        <v/>
      </c>
      <c r="AJ787">
        <f>IFERROR(IF(INDEX(Aux_puntos!$A$2:$OJ$901,783,MATCH($B$2&amp;"|yN",Aux_puntos!$1:$1,0))="",NA(),INDEX(Aux_puntos!$A$2:$OJ$901,783,MATCH($B$2&amp;"|yN",Aux_puntos!$1:$1,0))),NA())</f>
        <v/>
      </c>
    </row>
    <row r="788">
      <c r="AC788">
        <f>IFERROR(IF(INDEX(Aux_puntos!$A$2:$OJ$901,784,MATCH($B$2&amp;"|xK",Aux_puntos!$1:$1,0))="",NA(),INDEX(Aux_puntos!$A$2:$OJ$901,784,MATCH($B$2&amp;"|xK",Aux_puntos!$1:$1,0))),NA())</f>
        <v/>
      </c>
      <c r="AD788">
        <f>IFERROR(IF(INDEX(Aux_puntos!$A$2:$OJ$901,784,MATCH($B$2&amp;"|yK",Aux_puntos!$1:$1,0))="",NA(),INDEX(Aux_puntos!$A$2:$OJ$901,784,MATCH($B$2&amp;"|yK",Aux_puntos!$1:$1,0))),NA())</f>
        <v/>
      </c>
      <c r="AE788">
        <f>IFERROR(IF(INDEX(Aux_puntos!$A$2:$OJ$901,784,MATCH($B$2&amp;"|xC",Aux_puntos!$1:$1,0))="",NA(),INDEX(Aux_puntos!$A$2:$OJ$901,784,MATCH($B$2&amp;"|xC",Aux_puntos!$1:$1,0))),NA())</f>
        <v/>
      </c>
      <c r="AF788">
        <f>IFERROR(IF(INDEX(Aux_puntos!$A$2:$OJ$901,784,MATCH($B$2&amp;"|yC",Aux_puntos!$1:$1,0))="",NA(),INDEX(Aux_puntos!$A$2:$OJ$901,784,MATCH($B$2&amp;"|yC",Aux_puntos!$1:$1,0))),NA())</f>
        <v/>
      </c>
      <c r="AG788">
        <f>IFERROR(IF(INDEX(Aux_puntos!$A$2:$OJ$901,784,MATCH($B$2&amp;"|xI",Aux_puntos!$1:$1,0))="",NA(),INDEX(Aux_puntos!$A$2:$OJ$901,784,MATCH($B$2&amp;"|xI",Aux_puntos!$1:$1,0))),NA())</f>
        <v/>
      </c>
      <c r="AH788">
        <f>IFERROR(IF(INDEX(Aux_puntos!$A$2:$OJ$901,784,MATCH($B$2&amp;"|yI",Aux_puntos!$1:$1,0))="",NA(),INDEX(Aux_puntos!$A$2:$OJ$901,784,MATCH($B$2&amp;"|yI",Aux_puntos!$1:$1,0))),NA())</f>
        <v/>
      </c>
      <c r="AI788">
        <f>IFERROR(IF(INDEX(Aux_puntos!$A$2:$OJ$901,784,MATCH($B$2&amp;"|xN",Aux_puntos!$1:$1,0))="",NA(),INDEX(Aux_puntos!$A$2:$OJ$901,784,MATCH($B$2&amp;"|xN",Aux_puntos!$1:$1,0))),NA())</f>
        <v/>
      </c>
      <c r="AJ788">
        <f>IFERROR(IF(INDEX(Aux_puntos!$A$2:$OJ$901,784,MATCH($B$2&amp;"|yN",Aux_puntos!$1:$1,0))="",NA(),INDEX(Aux_puntos!$A$2:$OJ$901,784,MATCH($B$2&amp;"|yN",Aux_puntos!$1:$1,0))),NA())</f>
        <v/>
      </c>
    </row>
    <row r="789">
      <c r="AC789">
        <f>IFERROR(IF(INDEX(Aux_puntos!$A$2:$OJ$901,785,MATCH($B$2&amp;"|xK",Aux_puntos!$1:$1,0))="",NA(),INDEX(Aux_puntos!$A$2:$OJ$901,785,MATCH($B$2&amp;"|xK",Aux_puntos!$1:$1,0))),NA())</f>
        <v/>
      </c>
      <c r="AD789">
        <f>IFERROR(IF(INDEX(Aux_puntos!$A$2:$OJ$901,785,MATCH($B$2&amp;"|yK",Aux_puntos!$1:$1,0))="",NA(),INDEX(Aux_puntos!$A$2:$OJ$901,785,MATCH($B$2&amp;"|yK",Aux_puntos!$1:$1,0))),NA())</f>
        <v/>
      </c>
      <c r="AE789">
        <f>IFERROR(IF(INDEX(Aux_puntos!$A$2:$OJ$901,785,MATCH($B$2&amp;"|xC",Aux_puntos!$1:$1,0))="",NA(),INDEX(Aux_puntos!$A$2:$OJ$901,785,MATCH($B$2&amp;"|xC",Aux_puntos!$1:$1,0))),NA())</f>
        <v/>
      </c>
      <c r="AF789">
        <f>IFERROR(IF(INDEX(Aux_puntos!$A$2:$OJ$901,785,MATCH($B$2&amp;"|yC",Aux_puntos!$1:$1,0))="",NA(),INDEX(Aux_puntos!$A$2:$OJ$901,785,MATCH($B$2&amp;"|yC",Aux_puntos!$1:$1,0))),NA())</f>
        <v/>
      </c>
      <c r="AG789">
        <f>IFERROR(IF(INDEX(Aux_puntos!$A$2:$OJ$901,785,MATCH($B$2&amp;"|xI",Aux_puntos!$1:$1,0))="",NA(),INDEX(Aux_puntos!$A$2:$OJ$901,785,MATCH($B$2&amp;"|xI",Aux_puntos!$1:$1,0))),NA())</f>
        <v/>
      </c>
      <c r="AH789">
        <f>IFERROR(IF(INDEX(Aux_puntos!$A$2:$OJ$901,785,MATCH($B$2&amp;"|yI",Aux_puntos!$1:$1,0))="",NA(),INDEX(Aux_puntos!$A$2:$OJ$901,785,MATCH($B$2&amp;"|yI",Aux_puntos!$1:$1,0))),NA())</f>
        <v/>
      </c>
      <c r="AI789">
        <f>IFERROR(IF(INDEX(Aux_puntos!$A$2:$OJ$901,785,MATCH($B$2&amp;"|xN",Aux_puntos!$1:$1,0))="",NA(),INDEX(Aux_puntos!$A$2:$OJ$901,785,MATCH($B$2&amp;"|xN",Aux_puntos!$1:$1,0))),NA())</f>
        <v/>
      </c>
      <c r="AJ789">
        <f>IFERROR(IF(INDEX(Aux_puntos!$A$2:$OJ$901,785,MATCH($B$2&amp;"|yN",Aux_puntos!$1:$1,0))="",NA(),INDEX(Aux_puntos!$A$2:$OJ$901,785,MATCH($B$2&amp;"|yN",Aux_puntos!$1:$1,0))),NA())</f>
        <v/>
      </c>
    </row>
    <row r="790">
      <c r="AC790">
        <f>IFERROR(IF(INDEX(Aux_puntos!$A$2:$OJ$901,786,MATCH($B$2&amp;"|xK",Aux_puntos!$1:$1,0))="",NA(),INDEX(Aux_puntos!$A$2:$OJ$901,786,MATCH($B$2&amp;"|xK",Aux_puntos!$1:$1,0))),NA())</f>
        <v/>
      </c>
      <c r="AD790">
        <f>IFERROR(IF(INDEX(Aux_puntos!$A$2:$OJ$901,786,MATCH($B$2&amp;"|yK",Aux_puntos!$1:$1,0))="",NA(),INDEX(Aux_puntos!$A$2:$OJ$901,786,MATCH($B$2&amp;"|yK",Aux_puntos!$1:$1,0))),NA())</f>
        <v/>
      </c>
      <c r="AE790">
        <f>IFERROR(IF(INDEX(Aux_puntos!$A$2:$OJ$901,786,MATCH($B$2&amp;"|xC",Aux_puntos!$1:$1,0))="",NA(),INDEX(Aux_puntos!$A$2:$OJ$901,786,MATCH($B$2&amp;"|xC",Aux_puntos!$1:$1,0))),NA())</f>
        <v/>
      </c>
      <c r="AF790">
        <f>IFERROR(IF(INDEX(Aux_puntos!$A$2:$OJ$901,786,MATCH($B$2&amp;"|yC",Aux_puntos!$1:$1,0))="",NA(),INDEX(Aux_puntos!$A$2:$OJ$901,786,MATCH($B$2&amp;"|yC",Aux_puntos!$1:$1,0))),NA())</f>
        <v/>
      </c>
      <c r="AG790">
        <f>IFERROR(IF(INDEX(Aux_puntos!$A$2:$OJ$901,786,MATCH($B$2&amp;"|xI",Aux_puntos!$1:$1,0))="",NA(),INDEX(Aux_puntos!$A$2:$OJ$901,786,MATCH($B$2&amp;"|xI",Aux_puntos!$1:$1,0))),NA())</f>
        <v/>
      </c>
      <c r="AH790">
        <f>IFERROR(IF(INDEX(Aux_puntos!$A$2:$OJ$901,786,MATCH($B$2&amp;"|yI",Aux_puntos!$1:$1,0))="",NA(),INDEX(Aux_puntos!$A$2:$OJ$901,786,MATCH($B$2&amp;"|yI",Aux_puntos!$1:$1,0))),NA())</f>
        <v/>
      </c>
      <c r="AI790">
        <f>IFERROR(IF(INDEX(Aux_puntos!$A$2:$OJ$901,786,MATCH($B$2&amp;"|xN",Aux_puntos!$1:$1,0))="",NA(),INDEX(Aux_puntos!$A$2:$OJ$901,786,MATCH($B$2&amp;"|xN",Aux_puntos!$1:$1,0))),NA())</f>
        <v/>
      </c>
      <c r="AJ790">
        <f>IFERROR(IF(INDEX(Aux_puntos!$A$2:$OJ$901,786,MATCH($B$2&amp;"|yN",Aux_puntos!$1:$1,0))="",NA(),INDEX(Aux_puntos!$A$2:$OJ$901,786,MATCH($B$2&amp;"|yN",Aux_puntos!$1:$1,0))),NA())</f>
        <v/>
      </c>
    </row>
    <row r="791">
      <c r="AC791">
        <f>IFERROR(IF(INDEX(Aux_puntos!$A$2:$OJ$901,787,MATCH($B$2&amp;"|xK",Aux_puntos!$1:$1,0))="",NA(),INDEX(Aux_puntos!$A$2:$OJ$901,787,MATCH($B$2&amp;"|xK",Aux_puntos!$1:$1,0))),NA())</f>
        <v/>
      </c>
      <c r="AD791">
        <f>IFERROR(IF(INDEX(Aux_puntos!$A$2:$OJ$901,787,MATCH($B$2&amp;"|yK",Aux_puntos!$1:$1,0))="",NA(),INDEX(Aux_puntos!$A$2:$OJ$901,787,MATCH($B$2&amp;"|yK",Aux_puntos!$1:$1,0))),NA())</f>
        <v/>
      </c>
      <c r="AE791">
        <f>IFERROR(IF(INDEX(Aux_puntos!$A$2:$OJ$901,787,MATCH($B$2&amp;"|xC",Aux_puntos!$1:$1,0))="",NA(),INDEX(Aux_puntos!$A$2:$OJ$901,787,MATCH($B$2&amp;"|xC",Aux_puntos!$1:$1,0))),NA())</f>
        <v/>
      </c>
      <c r="AF791">
        <f>IFERROR(IF(INDEX(Aux_puntos!$A$2:$OJ$901,787,MATCH($B$2&amp;"|yC",Aux_puntos!$1:$1,0))="",NA(),INDEX(Aux_puntos!$A$2:$OJ$901,787,MATCH($B$2&amp;"|yC",Aux_puntos!$1:$1,0))),NA())</f>
        <v/>
      </c>
      <c r="AG791">
        <f>IFERROR(IF(INDEX(Aux_puntos!$A$2:$OJ$901,787,MATCH($B$2&amp;"|xI",Aux_puntos!$1:$1,0))="",NA(),INDEX(Aux_puntos!$A$2:$OJ$901,787,MATCH($B$2&amp;"|xI",Aux_puntos!$1:$1,0))),NA())</f>
        <v/>
      </c>
      <c r="AH791">
        <f>IFERROR(IF(INDEX(Aux_puntos!$A$2:$OJ$901,787,MATCH($B$2&amp;"|yI",Aux_puntos!$1:$1,0))="",NA(),INDEX(Aux_puntos!$A$2:$OJ$901,787,MATCH($B$2&amp;"|yI",Aux_puntos!$1:$1,0))),NA())</f>
        <v/>
      </c>
      <c r="AI791">
        <f>IFERROR(IF(INDEX(Aux_puntos!$A$2:$OJ$901,787,MATCH($B$2&amp;"|xN",Aux_puntos!$1:$1,0))="",NA(),INDEX(Aux_puntos!$A$2:$OJ$901,787,MATCH($B$2&amp;"|xN",Aux_puntos!$1:$1,0))),NA())</f>
        <v/>
      </c>
      <c r="AJ791">
        <f>IFERROR(IF(INDEX(Aux_puntos!$A$2:$OJ$901,787,MATCH($B$2&amp;"|yN",Aux_puntos!$1:$1,0))="",NA(),INDEX(Aux_puntos!$A$2:$OJ$901,787,MATCH($B$2&amp;"|yN",Aux_puntos!$1:$1,0))),NA())</f>
        <v/>
      </c>
    </row>
    <row r="792">
      <c r="AC792">
        <f>IFERROR(IF(INDEX(Aux_puntos!$A$2:$OJ$901,788,MATCH($B$2&amp;"|xK",Aux_puntos!$1:$1,0))="",NA(),INDEX(Aux_puntos!$A$2:$OJ$901,788,MATCH($B$2&amp;"|xK",Aux_puntos!$1:$1,0))),NA())</f>
        <v/>
      </c>
      <c r="AD792">
        <f>IFERROR(IF(INDEX(Aux_puntos!$A$2:$OJ$901,788,MATCH($B$2&amp;"|yK",Aux_puntos!$1:$1,0))="",NA(),INDEX(Aux_puntos!$A$2:$OJ$901,788,MATCH($B$2&amp;"|yK",Aux_puntos!$1:$1,0))),NA())</f>
        <v/>
      </c>
      <c r="AE792">
        <f>IFERROR(IF(INDEX(Aux_puntos!$A$2:$OJ$901,788,MATCH($B$2&amp;"|xC",Aux_puntos!$1:$1,0))="",NA(),INDEX(Aux_puntos!$A$2:$OJ$901,788,MATCH($B$2&amp;"|xC",Aux_puntos!$1:$1,0))),NA())</f>
        <v/>
      </c>
      <c r="AF792">
        <f>IFERROR(IF(INDEX(Aux_puntos!$A$2:$OJ$901,788,MATCH($B$2&amp;"|yC",Aux_puntos!$1:$1,0))="",NA(),INDEX(Aux_puntos!$A$2:$OJ$901,788,MATCH($B$2&amp;"|yC",Aux_puntos!$1:$1,0))),NA())</f>
        <v/>
      </c>
      <c r="AG792">
        <f>IFERROR(IF(INDEX(Aux_puntos!$A$2:$OJ$901,788,MATCH($B$2&amp;"|xI",Aux_puntos!$1:$1,0))="",NA(),INDEX(Aux_puntos!$A$2:$OJ$901,788,MATCH($B$2&amp;"|xI",Aux_puntos!$1:$1,0))),NA())</f>
        <v/>
      </c>
      <c r="AH792">
        <f>IFERROR(IF(INDEX(Aux_puntos!$A$2:$OJ$901,788,MATCH($B$2&amp;"|yI",Aux_puntos!$1:$1,0))="",NA(),INDEX(Aux_puntos!$A$2:$OJ$901,788,MATCH($B$2&amp;"|yI",Aux_puntos!$1:$1,0))),NA())</f>
        <v/>
      </c>
      <c r="AI792">
        <f>IFERROR(IF(INDEX(Aux_puntos!$A$2:$OJ$901,788,MATCH($B$2&amp;"|xN",Aux_puntos!$1:$1,0))="",NA(),INDEX(Aux_puntos!$A$2:$OJ$901,788,MATCH($B$2&amp;"|xN",Aux_puntos!$1:$1,0))),NA())</f>
        <v/>
      </c>
      <c r="AJ792">
        <f>IFERROR(IF(INDEX(Aux_puntos!$A$2:$OJ$901,788,MATCH($B$2&amp;"|yN",Aux_puntos!$1:$1,0))="",NA(),INDEX(Aux_puntos!$A$2:$OJ$901,788,MATCH($B$2&amp;"|yN",Aux_puntos!$1:$1,0))),NA())</f>
        <v/>
      </c>
    </row>
    <row r="793">
      <c r="AC793">
        <f>IFERROR(IF(INDEX(Aux_puntos!$A$2:$OJ$901,789,MATCH($B$2&amp;"|xK",Aux_puntos!$1:$1,0))="",NA(),INDEX(Aux_puntos!$A$2:$OJ$901,789,MATCH($B$2&amp;"|xK",Aux_puntos!$1:$1,0))),NA())</f>
        <v/>
      </c>
      <c r="AD793">
        <f>IFERROR(IF(INDEX(Aux_puntos!$A$2:$OJ$901,789,MATCH($B$2&amp;"|yK",Aux_puntos!$1:$1,0))="",NA(),INDEX(Aux_puntos!$A$2:$OJ$901,789,MATCH($B$2&amp;"|yK",Aux_puntos!$1:$1,0))),NA())</f>
        <v/>
      </c>
      <c r="AE793">
        <f>IFERROR(IF(INDEX(Aux_puntos!$A$2:$OJ$901,789,MATCH($B$2&amp;"|xC",Aux_puntos!$1:$1,0))="",NA(),INDEX(Aux_puntos!$A$2:$OJ$901,789,MATCH($B$2&amp;"|xC",Aux_puntos!$1:$1,0))),NA())</f>
        <v/>
      </c>
      <c r="AF793">
        <f>IFERROR(IF(INDEX(Aux_puntos!$A$2:$OJ$901,789,MATCH($B$2&amp;"|yC",Aux_puntos!$1:$1,0))="",NA(),INDEX(Aux_puntos!$A$2:$OJ$901,789,MATCH($B$2&amp;"|yC",Aux_puntos!$1:$1,0))),NA())</f>
        <v/>
      </c>
      <c r="AG793">
        <f>IFERROR(IF(INDEX(Aux_puntos!$A$2:$OJ$901,789,MATCH($B$2&amp;"|xI",Aux_puntos!$1:$1,0))="",NA(),INDEX(Aux_puntos!$A$2:$OJ$901,789,MATCH($B$2&amp;"|xI",Aux_puntos!$1:$1,0))),NA())</f>
        <v/>
      </c>
      <c r="AH793">
        <f>IFERROR(IF(INDEX(Aux_puntos!$A$2:$OJ$901,789,MATCH($B$2&amp;"|yI",Aux_puntos!$1:$1,0))="",NA(),INDEX(Aux_puntos!$A$2:$OJ$901,789,MATCH($B$2&amp;"|yI",Aux_puntos!$1:$1,0))),NA())</f>
        <v/>
      </c>
      <c r="AI793">
        <f>IFERROR(IF(INDEX(Aux_puntos!$A$2:$OJ$901,789,MATCH($B$2&amp;"|xN",Aux_puntos!$1:$1,0))="",NA(),INDEX(Aux_puntos!$A$2:$OJ$901,789,MATCH($B$2&amp;"|xN",Aux_puntos!$1:$1,0))),NA())</f>
        <v/>
      </c>
      <c r="AJ793">
        <f>IFERROR(IF(INDEX(Aux_puntos!$A$2:$OJ$901,789,MATCH($B$2&amp;"|yN",Aux_puntos!$1:$1,0))="",NA(),INDEX(Aux_puntos!$A$2:$OJ$901,789,MATCH($B$2&amp;"|yN",Aux_puntos!$1:$1,0))),NA())</f>
        <v/>
      </c>
    </row>
    <row r="794">
      <c r="AC794">
        <f>IFERROR(IF(INDEX(Aux_puntos!$A$2:$OJ$901,790,MATCH($B$2&amp;"|xK",Aux_puntos!$1:$1,0))="",NA(),INDEX(Aux_puntos!$A$2:$OJ$901,790,MATCH($B$2&amp;"|xK",Aux_puntos!$1:$1,0))),NA())</f>
        <v/>
      </c>
      <c r="AD794">
        <f>IFERROR(IF(INDEX(Aux_puntos!$A$2:$OJ$901,790,MATCH($B$2&amp;"|yK",Aux_puntos!$1:$1,0))="",NA(),INDEX(Aux_puntos!$A$2:$OJ$901,790,MATCH($B$2&amp;"|yK",Aux_puntos!$1:$1,0))),NA())</f>
        <v/>
      </c>
      <c r="AE794">
        <f>IFERROR(IF(INDEX(Aux_puntos!$A$2:$OJ$901,790,MATCH($B$2&amp;"|xC",Aux_puntos!$1:$1,0))="",NA(),INDEX(Aux_puntos!$A$2:$OJ$901,790,MATCH($B$2&amp;"|xC",Aux_puntos!$1:$1,0))),NA())</f>
        <v/>
      </c>
      <c r="AF794">
        <f>IFERROR(IF(INDEX(Aux_puntos!$A$2:$OJ$901,790,MATCH($B$2&amp;"|yC",Aux_puntos!$1:$1,0))="",NA(),INDEX(Aux_puntos!$A$2:$OJ$901,790,MATCH($B$2&amp;"|yC",Aux_puntos!$1:$1,0))),NA())</f>
        <v/>
      </c>
      <c r="AG794">
        <f>IFERROR(IF(INDEX(Aux_puntos!$A$2:$OJ$901,790,MATCH($B$2&amp;"|xI",Aux_puntos!$1:$1,0))="",NA(),INDEX(Aux_puntos!$A$2:$OJ$901,790,MATCH($B$2&amp;"|xI",Aux_puntos!$1:$1,0))),NA())</f>
        <v/>
      </c>
      <c r="AH794">
        <f>IFERROR(IF(INDEX(Aux_puntos!$A$2:$OJ$901,790,MATCH($B$2&amp;"|yI",Aux_puntos!$1:$1,0))="",NA(),INDEX(Aux_puntos!$A$2:$OJ$901,790,MATCH($B$2&amp;"|yI",Aux_puntos!$1:$1,0))),NA())</f>
        <v/>
      </c>
      <c r="AI794">
        <f>IFERROR(IF(INDEX(Aux_puntos!$A$2:$OJ$901,790,MATCH($B$2&amp;"|xN",Aux_puntos!$1:$1,0))="",NA(),INDEX(Aux_puntos!$A$2:$OJ$901,790,MATCH($B$2&amp;"|xN",Aux_puntos!$1:$1,0))),NA())</f>
        <v/>
      </c>
      <c r="AJ794">
        <f>IFERROR(IF(INDEX(Aux_puntos!$A$2:$OJ$901,790,MATCH($B$2&amp;"|yN",Aux_puntos!$1:$1,0))="",NA(),INDEX(Aux_puntos!$A$2:$OJ$901,790,MATCH($B$2&amp;"|yN",Aux_puntos!$1:$1,0))),NA())</f>
        <v/>
      </c>
    </row>
    <row r="795">
      <c r="AC795">
        <f>IFERROR(IF(INDEX(Aux_puntos!$A$2:$OJ$901,791,MATCH($B$2&amp;"|xK",Aux_puntos!$1:$1,0))="",NA(),INDEX(Aux_puntos!$A$2:$OJ$901,791,MATCH($B$2&amp;"|xK",Aux_puntos!$1:$1,0))),NA())</f>
        <v/>
      </c>
      <c r="AD795">
        <f>IFERROR(IF(INDEX(Aux_puntos!$A$2:$OJ$901,791,MATCH($B$2&amp;"|yK",Aux_puntos!$1:$1,0))="",NA(),INDEX(Aux_puntos!$A$2:$OJ$901,791,MATCH($B$2&amp;"|yK",Aux_puntos!$1:$1,0))),NA())</f>
        <v/>
      </c>
      <c r="AE795">
        <f>IFERROR(IF(INDEX(Aux_puntos!$A$2:$OJ$901,791,MATCH($B$2&amp;"|xC",Aux_puntos!$1:$1,0))="",NA(),INDEX(Aux_puntos!$A$2:$OJ$901,791,MATCH($B$2&amp;"|xC",Aux_puntos!$1:$1,0))),NA())</f>
        <v/>
      </c>
      <c r="AF795">
        <f>IFERROR(IF(INDEX(Aux_puntos!$A$2:$OJ$901,791,MATCH($B$2&amp;"|yC",Aux_puntos!$1:$1,0))="",NA(),INDEX(Aux_puntos!$A$2:$OJ$901,791,MATCH($B$2&amp;"|yC",Aux_puntos!$1:$1,0))),NA())</f>
        <v/>
      </c>
      <c r="AG795">
        <f>IFERROR(IF(INDEX(Aux_puntos!$A$2:$OJ$901,791,MATCH($B$2&amp;"|xI",Aux_puntos!$1:$1,0))="",NA(),INDEX(Aux_puntos!$A$2:$OJ$901,791,MATCH($B$2&amp;"|xI",Aux_puntos!$1:$1,0))),NA())</f>
        <v/>
      </c>
      <c r="AH795">
        <f>IFERROR(IF(INDEX(Aux_puntos!$A$2:$OJ$901,791,MATCH($B$2&amp;"|yI",Aux_puntos!$1:$1,0))="",NA(),INDEX(Aux_puntos!$A$2:$OJ$901,791,MATCH($B$2&amp;"|yI",Aux_puntos!$1:$1,0))),NA())</f>
        <v/>
      </c>
      <c r="AI795">
        <f>IFERROR(IF(INDEX(Aux_puntos!$A$2:$OJ$901,791,MATCH($B$2&amp;"|xN",Aux_puntos!$1:$1,0))="",NA(),INDEX(Aux_puntos!$A$2:$OJ$901,791,MATCH($B$2&amp;"|xN",Aux_puntos!$1:$1,0))),NA())</f>
        <v/>
      </c>
      <c r="AJ795">
        <f>IFERROR(IF(INDEX(Aux_puntos!$A$2:$OJ$901,791,MATCH($B$2&amp;"|yN",Aux_puntos!$1:$1,0))="",NA(),INDEX(Aux_puntos!$A$2:$OJ$901,791,MATCH($B$2&amp;"|yN",Aux_puntos!$1:$1,0))),NA())</f>
        <v/>
      </c>
    </row>
    <row r="796">
      <c r="AC796">
        <f>IFERROR(IF(INDEX(Aux_puntos!$A$2:$OJ$901,792,MATCH($B$2&amp;"|xK",Aux_puntos!$1:$1,0))="",NA(),INDEX(Aux_puntos!$A$2:$OJ$901,792,MATCH($B$2&amp;"|xK",Aux_puntos!$1:$1,0))),NA())</f>
        <v/>
      </c>
      <c r="AD796">
        <f>IFERROR(IF(INDEX(Aux_puntos!$A$2:$OJ$901,792,MATCH($B$2&amp;"|yK",Aux_puntos!$1:$1,0))="",NA(),INDEX(Aux_puntos!$A$2:$OJ$901,792,MATCH($B$2&amp;"|yK",Aux_puntos!$1:$1,0))),NA())</f>
        <v/>
      </c>
      <c r="AE796">
        <f>IFERROR(IF(INDEX(Aux_puntos!$A$2:$OJ$901,792,MATCH($B$2&amp;"|xC",Aux_puntos!$1:$1,0))="",NA(),INDEX(Aux_puntos!$A$2:$OJ$901,792,MATCH($B$2&amp;"|xC",Aux_puntos!$1:$1,0))),NA())</f>
        <v/>
      </c>
      <c r="AF796">
        <f>IFERROR(IF(INDEX(Aux_puntos!$A$2:$OJ$901,792,MATCH($B$2&amp;"|yC",Aux_puntos!$1:$1,0))="",NA(),INDEX(Aux_puntos!$A$2:$OJ$901,792,MATCH($B$2&amp;"|yC",Aux_puntos!$1:$1,0))),NA())</f>
        <v/>
      </c>
      <c r="AG796">
        <f>IFERROR(IF(INDEX(Aux_puntos!$A$2:$OJ$901,792,MATCH($B$2&amp;"|xI",Aux_puntos!$1:$1,0))="",NA(),INDEX(Aux_puntos!$A$2:$OJ$901,792,MATCH($B$2&amp;"|xI",Aux_puntos!$1:$1,0))),NA())</f>
        <v/>
      </c>
      <c r="AH796">
        <f>IFERROR(IF(INDEX(Aux_puntos!$A$2:$OJ$901,792,MATCH($B$2&amp;"|yI",Aux_puntos!$1:$1,0))="",NA(),INDEX(Aux_puntos!$A$2:$OJ$901,792,MATCH($B$2&amp;"|yI",Aux_puntos!$1:$1,0))),NA())</f>
        <v/>
      </c>
      <c r="AI796">
        <f>IFERROR(IF(INDEX(Aux_puntos!$A$2:$OJ$901,792,MATCH($B$2&amp;"|xN",Aux_puntos!$1:$1,0))="",NA(),INDEX(Aux_puntos!$A$2:$OJ$901,792,MATCH($B$2&amp;"|xN",Aux_puntos!$1:$1,0))),NA())</f>
        <v/>
      </c>
      <c r="AJ796">
        <f>IFERROR(IF(INDEX(Aux_puntos!$A$2:$OJ$901,792,MATCH($B$2&amp;"|yN",Aux_puntos!$1:$1,0))="",NA(),INDEX(Aux_puntos!$A$2:$OJ$901,792,MATCH($B$2&amp;"|yN",Aux_puntos!$1:$1,0))),NA())</f>
        <v/>
      </c>
    </row>
    <row r="797">
      <c r="AC797">
        <f>IFERROR(IF(INDEX(Aux_puntos!$A$2:$OJ$901,793,MATCH($B$2&amp;"|xK",Aux_puntos!$1:$1,0))="",NA(),INDEX(Aux_puntos!$A$2:$OJ$901,793,MATCH($B$2&amp;"|xK",Aux_puntos!$1:$1,0))),NA())</f>
        <v/>
      </c>
      <c r="AD797">
        <f>IFERROR(IF(INDEX(Aux_puntos!$A$2:$OJ$901,793,MATCH($B$2&amp;"|yK",Aux_puntos!$1:$1,0))="",NA(),INDEX(Aux_puntos!$A$2:$OJ$901,793,MATCH($B$2&amp;"|yK",Aux_puntos!$1:$1,0))),NA())</f>
        <v/>
      </c>
      <c r="AE797">
        <f>IFERROR(IF(INDEX(Aux_puntos!$A$2:$OJ$901,793,MATCH($B$2&amp;"|xC",Aux_puntos!$1:$1,0))="",NA(),INDEX(Aux_puntos!$A$2:$OJ$901,793,MATCH($B$2&amp;"|xC",Aux_puntos!$1:$1,0))),NA())</f>
        <v/>
      </c>
      <c r="AF797">
        <f>IFERROR(IF(INDEX(Aux_puntos!$A$2:$OJ$901,793,MATCH($B$2&amp;"|yC",Aux_puntos!$1:$1,0))="",NA(),INDEX(Aux_puntos!$A$2:$OJ$901,793,MATCH($B$2&amp;"|yC",Aux_puntos!$1:$1,0))),NA())</f>
        <v/>
      </c>
      <c r="AG797">
        <f>IFERROR(IF(INDEX(Aux_puntos!$A$2:$OJ$901,793,MATCH($B$2&amp;"|xI",Aux_puntos!$1:$1,0))="",NA(),INDEX(Aux_puntos!$A$2:$OJ$901,793,MATCH($B$2&amp;"|xI",Aux_puntos!$1:$1,0))),NA())</f>
        <v/>
      </c>
      <c r="AH797">
        <f>IFERROR(IF(INDEX(Aux_puntos!$A$2:$OJ$901,793,MATCH($B$2&amp;"|yI",Aux_puntos!$1:$1,0))="",NA(),INDEX(Aux_puntos!$A$2:$OJ$901,793,MATCH($B$2&amp;"|yI",Aux_puntos!$1:$1,0))),NA())</f>
        <v/>
      </c>
      <c r="AI797">
        <f>IFERROR(IF(INDEX(Aux_puntos!$A$2:$OJ$901,793,MATCH($B$2&amp;"|xN",Aux_puntos!$1:$1,0))="",NA(),INDEX(Aux_puntos!$A$2:$OJ$901,793,MATCH($B$2&amp;"|xN",Aux_puntos!$1:$1,0))),NA())</f>
        <v/>
      </c>
      <c r="AJ797">
        <f>IFERROR(IF(INDEX(Aux_puntos!$A$2:$OJ$901,793,MATCH($B$2&amp;"|yN",Aux_puntos!$1:$1,0))="",NA(),INDEX(Aux_puntos!$A$2:$OJ$901,793,MATCH($B$2&amp;"|yN",Aux_puntos!$1:$1,0))),NA())</f>
        <v/>
      </c>
    </row>
    <row r="798">
      <c r="AC798">
        <f>IFERROR(IF(INDEX(Aux_puntos!$A$2:$OJ$901,794,MATCH($B$2&amp;"|xK",Aux_puntos!$1:$1,0))="",NA(),INDEX(Aux_puntos!$A$2:$OJ$901,794,MATCH($B$2&amp;"|xK",Aux_puntos!$1:$1,0))),NA())</f>
        <v/>
      </c>
      <c r="AD798">
        <f>IFERROR(IF(INDEX(Aux_puntos!$A$2:$OJ$901,794,MATCH($B$2&amp;"|yK",Aux_puntos!$1:$1,0))="",NA(),INDEX(Aux_puntos!$A$2:$OJ$901,794,MATCH($B$2&amp;"|yK",Aux_puntos!$1:$1,0))),NA())</f>
        <v/>
      </c>
      <c r="AE798">
        <f>IFERROR(IF(INDEX(Aux_puntos!$A$2:$OJ$901,794,MATCH($B$2&amp;"|xC",Aux_puntos!$1:$1,0))="",NA(),INDEX(Aux_puntos!$A$2:$OJ$901,794,MATCH($B$2&amp;"|xC",Aux_puntos!$1:$1,0))),NA())</f>
        <v/>
      </c>
      <c r="AF798">
        <f>IFERROR(IF(INDEX(Aux_puntos!$A$2:$OJ$901,794,MATCH($B$2&amp;"|yC",Aux_puntos!$1:$1,0))="",NA(),INDEX(Aux_puntos!$A$2:$OJ$901,794,MATCH($B$2&amp;"|yC",Aux_puntos!$1:$1,0))),NA())</f>
        <v/>
      </c>
      <c r="AG798">
        <f>IFERROR(IF(INDEX(Aux_puntos!$A$2:$OJ$901,794,MATCH($B$2&amp;"|xI",Aux_puntos!$1:$1,0))="",NA(),INDEX(Aux_puntos!$A$2:$OJ$901,794,MATCH($B$2&amp;"|xI",Aux_puntos!$1:$1,0))),NA())</f>
        <v/>
      </c>
      <c r="AH798">
        <f>IFERROR(IF(INDEX(Aux_puntos!$A$2:$OJ$901,794,MATCH($B$2&amp;"|yI",Aux_puntos!$1:$1,0))="",NA(),INDEX(Aux_puntos!$A$2:$OJ$901,794,MATCH($B$2&amp;"|yI",Aux_puntos!$1:$1,0))),NA())</f>
        <v/>
      </c>
      <c r="AI798">
        <f>IFERROR(IF(INDEX(Aux_puntos!$A$2:$OJ$901,794,MATCH($B$2&amp;"|xN",Aux_puntos!$1:$1,0))="",NA(),INDEX(Aux_puntos!$A$2:$OJ$901,794,MATCH($B$2&amp;"|xN",Aux_puntos!$1:$1,0))),NA())</f>
        <v/>
      </c>
      <c r="AJ798">
        <f>IFERROR(IF(INDEX(Aux_puntos!$A$2:$OJ$901,794,MATCH($B$2&amp;"|yN",Aux_puntos!$1:$1,0))="",NA(),INDEX(Aux_puntos!$A$2:$OJ$901,794,MATCH($B$2&amp;"|yN",Aux_puntos!$1:$1,0))),NA())</f>
        <v/>
      </c>
    </row>
    <row r="799">
      <c r="AC799">
        <f>IFERROR(IF(INDEX(Aux_puntos!$A$2:$OJ$901,795,MATCH($B$2&amp;"|xK",Aux_puntos!$1:$1,0))="",NA(),INDEX(Aux_puntos!$A$2:$OJ$901,795,MATCH($B$2&amp;"|xK",Aux_puntos!$1:$1,0))),NA())</f>
        <v/>
      </c>
      <c r="AD799">
        <f>IFERROR(IF(INDEX(Aux_puntos!$A$2:$OJ$901,795,MATCH($B$2&amp;"|yK",Aux_puntos!$1:$1,0))="",NA(),INDEX(Aux_puntos!$A$2:$OJ$901,795,MATCH($B$2&amp;"|yK",Aux_puntos!$1:$1,0))),NA())</f>
        <v/>
      </c>
      <c r="AE799">
        <f>IFERROR(IF(INDEX(Aux_puntos!$A$2:$OJ$901,795,MATCH($B$2&amp;"|xC",Aux_puntos!$1:$1,0))="",NA(),INDEX(Aux_puntos!$A$2:$OJ$901,795,MATCH($B$2&amp;"|xC",Aux_puntos!$1:$1,0))),NA())</f>
        <v/>
      </c>
      <c r="AF799">
        <f>IFERROR(IF(INDEX(Aux_puntos!$A$2:$OJ$901,795,MATCH($B$2&amp;"|yC",Aux_puntos!$1:$1,0))="",NA(),INDEX(Aux_puntos!$A$2:$OJ$901,795,MATCH($B$2&amp;"|yC",Aux_puntos!$1:$1,0))),NA())</f>
        <v/>
      </c>
      <c r="AG799">
        <f>IFERROR(IF(INDEX(Aux_puntos!$A$2:$OJ$901,795,MATCH($B$2&amp;"|xI",Aux_puntos!$1:$1,0))="",NA(),INDEX(Aux_puntos!$A$2:$OJ$901,795,MATCH($B$2&amp;"|xI",Aux_puntos!$1:$1,0))),NA())</f>
        <v/>
      </c>
      <c r="AH799">
        <f>IFERROR(IF(INDEX(Aux_puntos!$A$2:$OJ$901,795,MATCH($B$2&amp;"|yI",Aux_puntos!$1:$1,0))="",NA(),INDEX(Aux_puntos!$A$2:$OJ$901,795,MATCH($B$2&amp;"|yI",Aux_puntos!$1:$1,0))),NA())</f>
        <v/>
      </c>
      <c r="AI799">
        <f>IFERROR(IF(INDEX(Aux_puntos!$A$2:$OJ$901,795,MATCH($B$2&amp;"|xN",Aux_puntos!$1:$1,0))="",NA(),INDEX(Aux_puntos!$A$2:$OJ$901,795,MATCH($B$2&amp;"|xN",Aux_puntos!$1:$1,0))),NA())</f>
        <v/>
      </c>
      <c r="AJ799">
        <f>IFERROR(IF(INDEX(Aux_puntos!$A$2:$OJ$901,795,MATCH($B$2&amp;"|yN",Aux_puntos!$1:$1,0))="",NA(),INDEX(Aux_puntos!$A$2:$OJ$901,795,MATCH($B$2&amp;"|yN",Aux_puntos!$1:$1,0))),NA())</f>
        <v/>
      </c>
    </row>
    <row r="800">
      <c r="AC800">
        <f>IFERROR(IF(INDEX(Aux_puntos!$A$2:$OJ$901,796,MATCH($B$2&amp;"|xK",Aux_puntos!$1:$1,0))="",NA(),INDEX(Aux_puntos!$A$2:$OJ$901,796,MATCH($B$2&amp;"|xK",Aux_puntos!$1:$1,0))),NA())</f>
        <v/>
      </c>
      <c r="AD800">
        <f>IFERROR(IF(INDEX(Aux_puntos!$A$2:$OJ$901,796,MATCH($B$2&amp;"|yK",Aux_puntos!$1:$1,0))="",NA(),INDEX(Aux_puntos!$A$2:$OJ$901,796,MATCH($B$2&amp;"|yK",Aux_puntos!$1:$1,0))),NA())</f>
        <v/>
      </c>
      <c r="AE800">
        <f>IFERROR(IF(INDEX(Aux_puntos!$A$2:$OJ$901,796,MATCH($B$2&amp;"|xC",Aux_puntos!$1:$1,0))="",NA(),INDEX(Aux_puntos!$A$2:$OJ$901,796,MATCH($B$2&amp;"|xC",Aux_puntos!$1:$1,0))),NA())</f>
        <v/>
      </c>
      <c r="AF800">
        <f>IFERROR(IF(INDEX(Aux_puntos!$A$2:$OJ$901,796,MATCH($B$2&amp;"|yC",Aux_puntos!$1:$1,0))="",NA(),INDEX(Aux_puntos!$A$2:$OJ$901,796,MATCH($B$2&amp;"|yC",Aux_puntos!$1:$1,0))),NA())</f>
        <v/>
      </c>
      <c r="AG800">
        <f>IFERROR(IF(INDEX(Aux_puntos!$A$2:$OJ$901,796,MATCH($B$2&amp;"|xI",Aux_puntos!$1:$1,0))="",NA(),INDEX(Aux_puntos!$A$2:$OJ$901,796,MATCH($B$2&amp;"|xI",Aux_puntos!$1:$1,0))),NA())</f>
        <v/>
      </c>
      <c r="AH800">
        <f>IFERROR(IF(INDEX(Aux_puntos!$A$2:$OJ$901,796,MATCH($B$2&amp;"|yI",Aux_puntos!$1:$1,0))="",NA(),INDEX(Aux_puntos!$A$2:$OJ$901,796,MATCH($B$2&amp;"|yI",Aux_puntos!$1:$1,0))),NA())</f>
        <v/>
      </c>
      <c r="AI800">
        <f>IFERROR(IF(INDEX(Aux_puntos!$A$2:$OJ$901,796,MATCH($B$2&amp;"|xN",Aux_puntos!$1:$1,0))="",NA(),INDEX(Aux_puntos!$A$2:$OJ$901,796,MATCH($B$2&amp;"|xN",Aux_puntos!$1:$1,0))),NA())</f>
        <v/>
      </c>
      <c r="AJ800">
        <f>IFERROR(IF(INDEX(Aux_puntos!$A$2:$OJ$901,796,MATCH($B$2&amp;"|yN",Aux_puntos!$1:$1,0))="",NA(),INDEX(Aux_puntos!$A$2:$OJ$901,796,MATCH($B$2&amp;"|yN",Aux_puntos!$1:$1,0))),NA())</f>
        <v/>
      </c>
    </row>
    <row r="801">
      <c r="AC801">
        <f>IFERROR(IF(INDEX(Aux_puntos!$A$2:$OJ$901,797,MATCH($B$2&amp;"|xK",Aux_puntos!$1:$1,0))="",NA(),INDEX(Aux_puntos!$A$2:$OJ$901,797,MATCH($B$2&amp;"|xK",Aux_puntos!$1:$1,0))),NA())</f>
        <v/>
      </c>
      <c r="AD801">
        <f>IFERROR(IF(INDEX(Aux_puntos!$A$2:$OJ$901,797,MATCH($B$2&amp;"|yK",Aux_puntos!$1:$1,0))="",NA(),INDEX(Aux_puntos!$A$2:$OJ$901,797,MATCH($B$2&amp;"|yK",Aux_puntos!$1:$1,0))),NA())</f>
        <v/>
      </c>
      <c r="AE801">
        <f>IFERROR(IF(INDEX(Aux_puntos!$A$2:$OJ$901,797,MATCH($B$2&amp;"|xC",Aux_puntos!$1:$1,0))="",NA(),INDEX(Aux_puntos!$A$2:$OJ$901,797,MATCH($B$2&amp;"|xC",Aux_puntos!$1:$1,0))),NA())</f>
        <v/>
      </c>
      <c r="AF801">
        <f>IFERROR(IF(INDEX(Aux_puntos!$A$2:$OJ$901,797,MATCH($B$2&amp;"|yC",Aux_puntos!$1:$1,0))="",NA(),INDEX(Aux_puntos!$A$2:$OJ$901,797,MATCH($B$2&amp;"|yC",Aux_puntos!$1:$1,0))),NA())</f>
        <v/>
      </c>
      <c r="AG801">
        <f>IFERROR(IF(INDEX(Aux_puntos!$A$2:$OJ$901,797,MATCH($B$2&amp;"|xI",Aux_puntos!$1:$1,0))="",NA(),INDEX(Aux_puntos!$A$2:$OJ$901,797,MATCH($B$2&amp;"|xI",Aux_puntos!$1:$1,0))),NA())</f>
        <v/>
      </c>
      <c r="AH801">
        <f>IFERROR(IF(INDEX(Aux_puntos!$A$2:$OJ$901,797,MATCH($B$2&amp;"|yI",Aux_puntos!$1:$1,0))="",NA(),INDEX(Aux_puntos!$A$2:$OJ$901,797,MATCH($B$2&amp;"|yI",Aux_puntos!$1:$1,0))),NA())</f>
        <v/>
      </c>
      <c r="AI801">
        <f>IFERROR(IF(INDEX(Aux_puntos!$A$2:$OJ$901,797,MATCH($B$2&amp;"|xN",Aux_puntos!$1:$1,0))="",NA(),INDEX(Aux_puntos!$A$2:$OJ$901,797,MATCH($B$2&amp;"|xN",Aux_puntos!$1:$1,0))),NA())</f>
        <v/>
      </c>
      <c r="AJ801">
        <f>IFERROR(IF(INDEX(Aux_puntos!$A$2:$OJ$901,797,MATCH($B$2&amp;"|yN",Aux_puntos!$1:$1,0))="",NA(),INDEX(Aux_puntos!$A$2:$OJ$901,797,MATCH($B$2&amp;"|yN",Aux_puntos!$1:$1,0))),NA())</f>
        <v/>
      </c>
    </row>
    <row r="802">
      <c r="AC802">
        <f>IFERROR(IF(INDEX(Aux_puntos!$A$2:$OJ$901,798,MATCH($B$2&amp;"|xK",Aux_puntos!$1:$1,0))="",NA(),INDEX(Aux_puntos!$A$2:$OJ$901,798,MATCH($B$2&amp;"|xK",Aux_puntos!$1:$1,0))),NA())</f>
        <v/>
      </c>
      <c r="AD802">
        <f>IFERROR(IF(INDEX(Aux_puntos!$A$2:$OJ$901,798,MATCH($B$2&amp;"|yK",Aux_puntos!$1:$1,0))="",NA(),INDEX(Aux_puntos!$A$2:$OJ$901,798,MATCH($B$2&amp;"|yK",Aux_puntos!$1:$1,0))),NA())</f>
        <v/>
      </c>
      <c r="AE802">
        <f>IFERROR(IF(INDEX(Aux_puntos!$A$2:$OJ$901,798,MATCH($B$2&amp;"|xC",Aux_puntos!$1:$1,0))="",NA(),INDEX(Aux_puntos!$A$2:$OJ$901,798,MATCH($B$2&amp;"|xC",Aux_puntos!$1:$1,0))),NA())</f>
        <v/>
      </c>
      <c r="AF802">
        <f>IFERROR(IF(INDEX(Aux_puntos!$A$2:$OJ$901,798,MATCH($B$2&amp;"|yC",Aux_puntos!$1:$1,0))="",NA(),INDEX(Aux_puntos!$A$2:$OJ$901,798,MATCH($B$2&amp;"|yC",Aux_puntos!$1:$1,0))),NA())</f>
        <v/>
      </c>
      <c r="AG802">
        <f>IFERROR(IF(INDEX(Aux_puntos!$A$2:$OJ$901,798,MATCH($B$2&amp;"|xI",Aux_puntos!$1:$1,0))="",NA(),INDEX(Aux_puntos!$A$2:$OJ$901,798,MATCH($B$2&amp;"|xI",Aux_puntos!$1:$1,0))),NA())</f>
        <v/>
      </c>
      <c r="AH802">
        <f>IFERROR(IF(INDEX(Aux_puntos!$A$2:$OJ$901,798,MATCH($B$2&amp;"|yI",Aux_puntos!$1:$1,0))="",NA(),INDEX(Aux_puntos!$A$2:$OJ$901,798,MATCH($B$2&amp;"|yI",Aux_puntos!$1:$1,0))),NA())</f>
        <v/>
      </c>
      <c r="AI802">
        <f>IFERROR(IF(INDEX(Aux_puntos!$A$2:$OJ$901,798,MATCH($B$2&amp;"|xN",Aux_puntos!$1:$1,0))="",NA(),INDEX(Aux_puntos!$A$2:$OJ$901,798,MATCH($B$2&amp;"|xN",Aux_puntos!$1:$1,0))),NA())</f>
        <v/>
      </c>
      <c r="AJ802">
        <f>IFERROR(IF(INDEX(Aux_puntos!$A$2:$OJ$901,798,MATCH($B$2&amp;"|yN",Aux_puntos!$1:$1,0))="",NA(),INDEX(Aux_puntos!$A$2:$OJ$901,798,MATCH($B$2&amp;"|yN",Aux_puntos!$1:$1,0))),NA())</f>
        <v/>
      </c>
    </row>
    <row r="803">
      <c r="AC803">
        <f>IFERROR(IF(INDEX(Aux_puntos!$A$2:$OJ$901,799,MATCH($B$2&amp;"|xK",Aux_puntos!$1:$1,0))="",NA(),INDEX(Aux_puntos!$A$2:$OJ$901,799,MATCH($B$2&amp;"|xK",Aux_puntos!$1:$1,0))),NA())</f>
        <v/>
      </c>
      <c r="AD803">
        <f>IFERROR(IF(INDEX(Aux_puntos!$A$2:$OJ$901,799,MATCH($B$2&amp;"|yK",Aux_puntos!$1:$1,0))="",NA(),INDEX(Aux_puntos!$A$2:$OJ$901,799,MATCH($B$2&amp;"|yK",Aux_puntos!$1:$1,0))),NA())</f>
        <v/>
      </c>
      <c r="AE803">
        <f>IFERROR(IF(INDEX(Aux_puntos!$A$2:$OJ$901,799,MATCH($B$2&amp;"|xC",Aux_puntos!$1:$1,0))="",NA(),INDEX(Aux_puntos!$A$2:$OJ$901,799,MATCH($B$2&amp;"|xC",Aux_puntos!$1:$1,0))),NA())</f>
        <v/>
      </c>
      <c r="AF803">
        <f>IFERROR(IF(INDEX(Aux_puntos!$A$2:$OJ$901,799,MATCH($B$2&amp;"|yC",Aux_puntos!$1:$1,0))="",NA(),INDEX(Aux_puntos!$A$2:$OJ$901,799,MATCH($B$2&amp;"|yC",Aux_puntos!$1:$1,0))),NA())</f>
        <v/>
      </c>
      <c r="AG803">
        <f>IFERROR(IF(INDEX(Aux_puntos!$A$2:$OJ$901,799,MATCH($B$2&amp;"|xI",Aux_puntos!$1:$1,0))="",NA(),INDEX(Aux_puntos!$A$2:$OJ$901,799,MATCH($B$2&amp;"|xI",Aux_puntos!$1:$1,0))),NA())</f>
        <v/>
      </c>
      <c r="AH803">
        <f>IFERROR(IF(INDEX(Aux_puntos!$A$2:$OJ$901,799,MATCH($B$2&amp;"|yI",Aux_puntos!$1:$1,0))="",NA(),INDEX(Aux_puntos!$A$2:$OJ$901,799,MATCH($B$2&amp;"|yI",Aux_puntos!$1:$1,0))),NA())</f>
        <v/>
      </c>
      <c r="AI803">
        <f>IFERROR(IF(INDEX(Aux_puntos!$A$2:$OJ$901,799,MATCH($B$2&amp;"|xN",Aux_puntos!$1:$1,0))="",NA(),INDEX(Aux_puntos!$A$2:$OJ$901,799,MATCH($B$2&amp;"|xN",Aux_puntos!$1:$1,0))),NA())</f>
        <v/>
      </c>
      <c r="AJ803">
        <f>IFERROR(IF(INDEX(Aux_puntos!$A$2:$OJ$901,799,MATCH($B$2&amp;"|yN",Aux_puntos!$1:$1,0))="",NA(),INDEX(Aux_puntos!$A$2:$OJ$901,799,MATCH($B$2&amp;"|yN",Aux_puntos!$1:$1,0))),NA())</f>
        <v/>
      </c>
    </row>
    <row r="804">
      <c r="AC804">
        <f>IFERROR(IF(INDEX(Aux_puntos!$A$2:$OJ$901,800,MATCH($B$2&amp;"|xK",Aux_puntos!$1:$1,0))="",NA(),INDEX(Aux_puntos!$A$2:$OJ$901,800,MATCH($B$2&amp;"|xK",Aux_puntos!$1:$1,0))),NA())</f>
        <v/>
      </c>
      <c r="AD804">
        <f>IFERROR(IF(INDEX(Aux_puntos!$A$2:$OJ$901,800,MATCH($B$2&amp;"|yK",Aux_puntos!$1:$1,0))="",NA(),INDEX(Aux_puntos!$A$2:$OJ$901,800,MATCH($B$2&amp;"|yK",Aux_puntos!$1:$1,0))),NA())</f>
        <v/>
      </c>
      <c r="AE804">
        <f>IFERROR(IF(INDEX(Aux_puntos!$A$2:$OJ$901,800,MATCH($B$2&amp;"|xC",Aux_puntos!$1:$1,0))="",NA(),INDEX(Aux_puntos!$A$2:$OJ$901,800,MATCH($B$2&amp;"|xC",Aux_puntos!$1:$1,0))),NA())</f>
        <v/>
      </c>
      <c r="AF804">
        <f>IFERROR(IF(INDEX(Aux_puntos!$A$2:$OJ$901,800,MATCH($B$2&amp;"|yC",Aux_puntos!$1:$1,0))="",NA(),INDEX(Aux_puntos!$A$2:$OJ$901,800,MATCH($B$2&amp;"|yC",Aux_puntos!$1:$1,0))),NA())</f>
        <v/>
      </c>
      <c r="AG804">
        <f>IFERROR(IF(INDEX(Aux_puntos!$A$2:$OJ$901,800,MATCH($B$2&amp;"|xI",Aux_puntos!$1:$1,0))="",NA(),INDEX(Aux_puntos!$A$2:$OJ$901,800,MATCH($B$2&amp;"|xI",Aux_puntos!$1:$1,0))),NA())</f>
        <v/>
      </c>
      <c r="AH804">
        <f>IFERROR(IF(INDEX(Aux_puntos!$A$2:$OJ$901,800,MATCH($B$2&amp;"|yI",Aux_puntos!$1:$1,0))="",NA(),INDEX(Aux_puntos!$A$2:$OJ$901,800,MATCH($B$2&amp;"|yI",Aux_puntos!$1:$1,0))),NA())</f>
        <v/>
      </c>
      <c r="AI804">
        <f>IFERROR(IF(INDEX(Aux_puntos!$A$2:$OJ$901,800,MATCH($B$2&amp;"|xN",Aux_puntos!$1:$1,0))="",NA(),INDEX(Aux_puntos!$A$2:$OJ$901,800,MATCH($B$2&amp;"|xN",Aux_puntos!$1:$1,0))),NA())</f>
        <v/>
      </c>
      <c r="AJ804">
        <f>IFERROR(IF(INDEX(Aux_puntos!$A$2:$OJ$901,800,MATCH($B$2&amp;"|yN",Aux_puntos!$1:$1,0))="",NA(),INDEX(Aux_puntos!$A$2:$OJ$901,800,MATCH($B$2&amp;"|yN",Aux_puntos!$1:$1,0))),NA())</f>
        <v/>
      </c>
    </row>
    <row r="805">
      <c r="AC805">
        <f>IFERROR(IF(INDEX(Aux_puntos!$A$2:$OJ$901,801,MATCH($B$2&amp;"|xK",Aux_puntos!$1:$1,0))="",NA(),INDEX(Aux_puntos!$A$2:$OJ$901,801,MATCH($B$2&amp;"|xK",Aux_puntos!$1:$1,0))),NA())</f>
        <v/>
      </c>
      <c r="AD805">
        <f>IFERROR(IF(INDEX(Aux_puntos!$A$2:$OJ$901,801,MATCH($B$2&amp;"|yK",Aux_puntos!$1:$1,0))="",NA(),INDEX(Aux_puntos!$A$2:$OJ$901,801,MATCH($B$2&amp;"|yK",Aux_puntos!$1:$1,0))),NA())</f>
        <v/>
      </c>
      <c r="AE805">
        <f>IFERROR(IF(INDEX(Aux_puntos!$A$2:$OJ$901,801,MATCH($B$2&amp;"|xC",Aux_puntos!$1:$1,0))="",NA(),INDEX(Aux_puntos!$A$2:$OJ$901,801,MATCH($B$2&amp;"|xC",Aux_puntos!$1:$1,0))),NA())</f>
        <v/>
      </c>
      <c r="AF805">
        <f>IFERROR(IF(INDEX(Aux_puntos!$A$2:$OJ$901,801,MATCH($B$2&amp;"|yC",Aux_puntos!$1:$1,0))="",NA(),INDEX(Aux_puntos!$A$2:$OJ$901,801,MATCH($B$2&amp;"|yC",Aux_puntos!$1:$1,0))),NA())</f>
        <v/>
      </c>
      <c r="AG805">
        <f>IFERROR(IF(INDEX(Aux_puntos!$A$2:$OJ$901,801,MATCH($B$2&amp;"|xI",Aux_puntos!$1:$1,0))="",NA(),INDEX(Aux_puntos!$A$2:$OJ$901,801,MATCH($B$2&amp;"|xI",Aux_puntos!$1:$1,0))),NA())</f>
        <v/>
      </c>
      <c r="AH805">
        <f>IFERROR(IF(INDEX(Aux_puntos!$A$2:$OJ$901,801,MATCH($B$2&amp;"|yI",Aux_puntos!$1:$1,0))="",NA(),INDEX(Aux_puntos!$A$2:$OJ$901,801,MATCH($B$2&amp;"|yI",Aux_puntos!$1:$1,0))),NA())</f>
        <v/>
      </c>
      <c r="AI805">
        <f>IFERROR(IF(INDEX(Aux_puntos!$A$2:$OJ$901,801,MATCH($B$2&amp;"|xN",Aux_puntos!$1:$1,0))="",NA(),INDEX(Aux_puntos!$A$2:$OJ$901,801,MATCH($B$2&amp;"|xN",Aux_puntos!$1:$1,0))),NA())</f>
        <v/>
      </c>
      <c r="AJ805">
        <f>IFERROR(IF(INDEX(Aux_puntos!$A$2:$OJ$901,801,MATCH($B$2&amp;"|yN",Aux_puntos!$1:$1,0))="",NA(),INDEX(Aux_puntos!$A$2:$OJ$901,801,MATCH($B$2&amp;"|yN",Aux_puntos!$1:$1,0))),NA())</f>
        <v/>
      </c>
    </row>
    <row r="806">
      <c r="AC806">
        <f>IFERROR(IF(INDEX(Aux_puntos!$A$2:$OJ$901,802,MATCH($B$2&amp;"|xK",Aux_puntos!$1:$1,0))="",NA(),INDEX(Aux_puntos!$A$2:$OJ$901,802,MATCH($B$2&amp;"|xK",Aux_puntos!$1:$1,0))),NA())</f>
        <v/>
      </c>
      <c r="AD806">
        <f>IFERROR(IF(INDEX(Aux_puntos!$A$2:$OJ$901,802,MATCH($B$2&amp;"|yK",Aux_puntos!$1:$1,0))="",NA(),INDEX(Aux_puntos!$A$2:$OJ$901,802,MATCH($B$2&amp;"|yK",Aux_puntos!$1:$1,0))),NA())</f>
        <v/>
      </c>
      <c r="AE806">
        <f>IFERROR(IF(INDEX(Aux_puntos!$A$2:$OJ$901,802,MATCH($B$2&amp;"|xC",Aux_puntos!$1:$1,0))="",NA(),INDEX(Aux_puntos!$A$2:$OJ$901,802,MATCH($B$2&amp;"|xC",Aux_puntos!$1:$1,0))),NA())</f>
        <v/>
      </c>
      <c r="AF806">
        <f>IFERROR(IF(INDEX(Aux_puntos!$A$2:$OJ$901,802,MATCH($B$2&amp;"|yC",Aux_puntos!$1:$1,0))="",NA(),INDEX(Aux_puntos!$A$2:$OJ$901,802,MATCH($B$2&amp;"|yC",Aux_puntos!$1:$1,0))),NA())</f>
        <v/>
      </c>
      <c r="AG806">
        <f>IFERROR(IF(INDEX(Aux_puntos!$A$2:$OJ$901,802,MATCH($B$2&amp;"|xI",Aux_puntos!$1:$1,0))="",NA(),INDEX(Aux_puntos!$A$2:$OJ$901,802,MATCH($B$2&amp;"|xI",Aux_puntos!$1:$1,0))),NA())</f>
        <v/>
      </c>
      <c r="AH806">
        <f>IFERROR(IF(INDEX(Aux_puntos!$A$2:$OJ$901,802,MATCH($B$2&amp;"|yI",Aux_puntos!$1:$1,0))="",NA(),INDEX(Aux_puntos!$A$2:$OJ$901,802,MATCH($B$2&amp;"|yI",Aux_puntos!$1:$1,0))),NA())</f>
        <v/>
      </c>
      <c r="AI806">
        <f>IFERROR(IF(INDEX(Aux_puntos!$A$2:$OJ$901,802,MATCH($B$2&amp;"|xN",Aux_puntos!$1:$1,0))="",NA(),INDEX(Aux_puntos!$A$2:$OJ$901,802,MATCH($B$2&amp;"|xN",Aux_puntos!$1:$1,0))),NA())</f>
        <v/>
      </c>
      <c r="AJ806">
        <f>IFERROR(IF(INDEX(Aux_puntos!$A$2:$OJ$901,802,MATCH($B$2&amp;"|yN",Aux_puntos!$1:$1,0))="",NA(),INDEX(Aux_puntos!$A$2:$OJ$901,802,MATCH($B$2&amp;"|yN",Aux_puntos!$1:$1,0))),NA())</f>
        <v/>
      </c>
    </row>
    <row r="807">
      <c r="AC807">
        <f>IFERROR(IF(INDEX(Aux_puntos!$A$2:$OJ$901,803,MATCH($B$2&amp;"|xK",Aux_puntos!$1:$1,0))="",NA(),INDEX(Aux_puntos!$A$2:$OJ$901,803,MATCH($B$2&amp;"|xK",Aux_puntos!$1:$1,0))),NA())</f>
        <v/>
      </c>
      <c r="AD807">
        <f>IFERROR(IF(INDEX(Aux_puntos!$A$2:$OJ$901,803,MATCH($B$2&amp;"|yK",Aux_puntos!$1:$1,0))="",NA(),INDEX(Aux_puntos!$A$2:$OJ$901,803,MATCH($B$2&amp;"|yK",Aux_puntos!$1:$1,0))),NA())</f>
        <v/>
      </c>
      <c r="AE807">
        <f>IFERROR(IF(INDEX(Aux_puntos!$A$2:$OJ$901,803,MATCH($B$2&amp;"|xC",Aux_puntos!$1:$1,0))="",NA(),INDEX(Aux_puntos!$A$2:$OJ$901,803,MATCH($B$2&amp;"|xC",Aux_puntos!$1:$1,0))),NA())</f>
        <v/>
      </c>
      <c r="AF807">
        <f>IFERROR(IF(INDEX(Aux_puntos!$A$2:$OJ$901,803,MATCH($B$2&amp;"|yC",Aux_puntos!$1:$1,0))="",NA(),INDEX(Aux_puntos!$A$2:$OJ$901,803,MATCH($B$2&amp;"|yC",Aux_puntos!$1:$1,0))),NA())</f>
        <v/>
      </c>
      <c r="AG807">
        <f>IFERROR(IF(INDEX(Aux_puntos!$A$2:$OJ$901,803,MATCH($B$2&amp;"|xI",Aux_puntos!$1:$1,0))="",NA(),INDEX(Aux_puntos!$A$2:$OJ$901,803,MATCH($B$2&amp;"|xI",Aux_puntos!$1:$1,0))),NA())</f>
        <v/>
      </c>
      <c r="AH807">
        <f>IFERROR(IF(INDEX(Aux_puntos!$A$2:$OJ$901,803,MATCH($B$2&amp;"|yI",Aux_puntos!$1:$1,0))="",NA(),INDEX(Aux_puntos!$A$2:$OJ$901,803,MATCH($B$2&amp;"|yI",Aux_puntos!$1:$1,0))),NA())</f>
        <v/>
      </c>
      <c r="AI807">
        <f>IFERROR(IF(INDEX(Aux_puntos!$A$2:$OJ$901,803,MATCH($B$2&amp;"|xN",Aux_puntos!$1:$1,0))="",NA(),INDEX(Aux_puntos!$A$2:$OJ$901,803,MATCH($B$2&amp;"|xN",Aux_puntos!$1:$1,0))),NA())</f>
        <v/>
      </c>
      <c r="AJ807">
        <f>IFERROR(IF(INDEX(Aux_puntos!$A$2:$OJ$901,803,MATCH($B$2&amp;"|yN",Aux_puntos!$1:$1,0))="",NA(),INDEX(Aux_puntos!$A$2:$OJ$901,803,MATCH($B$2&amp;"|yN",Aux_puntos!$1:$1,0))),NA())</f>
        <v/>
      </c>
    </row>
    <row r="808">
      <c r="AC808">
        <f>IFERROR(IF(INDEX(Aux_puntos!$A$2:$OJ$901,804,MATCH($B$2&amp;"|xK",Aux_puntos!$1:$1,0))="",NA(),INDEX(Aux_puntos!$A$2:$OJ$901,804,MATCH($B$2&amp;"|xK",Aux_puntos!$1:$1,0))),NA())</f>
        <v/>
      </c>
      <c r="AD808">
        <f>IFERROR(IF(INDEX(Aux_puntos!$A$2:$OJ$901,804,MATCH($B$2&amp;"|yK",Aux_puntos!$1:$1,0))="",NA(),INDEX(Aux_puntos!$A$2:$OJ$901,804,MATCH($B$2&amp;"|yK",Aux_puntos!$1:$1,0))),NA())</f>
        <v/>
      </c>
      <c r="AE808">
        <f>IFERROR(IF(INDEX(Aux_puntos!$A$2:$OJ$901,804,MATCH($B$2&amp;"|xC",Aux_puntos!$1:$1,0))="",NA(),INDEX(Aux_puntos!$A$2:$OJ$901,804,MATCH($B$2&amp;"|xC",Aux_puntos!$1:$1,0))),NA())</f>
        <v/>
      </c>
      <c r="AF808">
        <f>IFERROR(IF(INDEX(Aux_puntos!$A$2:$OJ$901,804,MATCH($B$2&amp;"|yC",Aux_puntos!$1:$1,0))="",NA(),INDEX(Aux_puntos!$A$2:$OJ$901,804,MATCH($B$2&amp;"|yC",Aux_puntos!$1:$1,0))),NA())</f>
        <v/>
      </c>
      <c r="AG808">
        <f>IFERROR(IF(INDEX(Aux_puntos!$A$2:$OJ$901,804,MATCH($B$2&amp;"|xI",Aux_puntos!$1:$1,0))="",NA(),INDEX(Aux_puntos!$A$2:$OJ$901,804,MATCH($B$2&amp;"|xI",Aux_puntos!$1:$1,0))),NA())</f>
        <v/>
      </c>
      <c r="AH808">
        <f>IFERROR(IF(INDEX(Aux_puntos!$A$2:$OJ$901,804,MATCH($B$2&amp;"|yI",Aux_puntos!$1:$1,0))="",NA(),INDEX(Aux_puntos!$A$2:$OJ$901,804,MATCH($B$2&amp;"|yI",Aux_puntos!$1:$1,0))),NA())</f>
        <v/>
      </c>
      <c r="AI808">
        <f>IFERROR(IF(INDEX(Aux_puntos!$A$2:$OJ$901,804,MATCH($B$2&amp;"|xN",Aux_puntos!$1:$1,0))="",NA(),INDEX(Aux_puntos!$A$2:$OJ$901,804,MATCH($B$2&amp;"|xN",Aux_puntos!$1:$1,0))),NA())</f>
        <v/>
      </c>
      <c r="AJ808">
        <f>IFERROR(IF(INDEX(Aux_puntos!$A$2:$OJ$901,804,MATCH($B$2&amp;"|yN",Aux_puntos!$1:$1,0))="",NA(),INDEX(Aux_puntos!$A$2:$OJ$901,804,MATCH($B$2&amp;"|yN",Aux_puntos!$1:$1,0))),NA())</f>
        <v/>
      </c>
    </row>
    <row r="809">
      <c r="AC809">
        <f>IFERROR(IF(INDEX(Aux_puntos!$A$2:$OJ$901,805,MATCH($B$2&amp;"|xK",Aux_puntos!$1:$1,0))="",NA(),INDEX(Aux_puntos!$A$2:$OJ$901,805,MATCH($B$2&amp;"|xK",Aux_puntos!$1:$1,0))),NA())</f>
        <v/>
      </c>
      <c r="AD809">
        <f>IFERROR(IF(INDEX(Aux_puntos!$A$2:$OJ$901,805,MATCH($B$2&amp;"|yK",Aux_puntos!$1:$1,0))="",NA(),INDEX(Aux_puntos!$A$2:$OJ$901,805,MATCH($B$2&amp;"|yK",Aux_puntos!$1:$1,0))),NA())</f>
        <v/>
      </c>
      <c r="AE809">
        <f>IFERROR(IF(INDEX(Aux_puntos!$A$2:$OJ$901,805,MATCH($B$2&amp;"|xC",Aux_puntos!$1:$1,0))="",NA(),INDEX(Aux_puntos!$A$2:$OJ$901,805,MATCH($B$2&amp;"|xC",Aux_puntos!$1:$1,0))),NA())</f>
        <v/>
      </c>
      <c r="AF809">
        <f>IFERROR(IF(INDEX(Aux_puntos!$A$2:$OJ$901,805,MATCH($B$2&amp;"|yC",Aux_puntos!$1:$1,0))="",NA(),INDEX(Aux_puntos!$A$2:$OJ$901,805,MATCH($B$2&amp;"|yC",Aux_puntos!$1:$1,0))),NA())</f>
        <v/>
      </c>
      <c r="AG809">
        <f>IFERROR(IF(INDEX(Aux_puntos!$A$2:$OJ$901,805,MATCH($B$2&amp;"|xI",Aux_puntos!$1:$1,0))="",NA(),INDEX(Aux_puntos!$A$2:$OJ$901,805,MATCH($B$2&amp;"|xI",Aux_puntos!$1:$1,0))),NA())</f>
        <v/>
      </c>
      <c r="AH809">
        <f>IFERROR(IF(INDEX(Aux_puntos!$A$2:$OJ$901,805,MATCH($B$2&amp;"|yI",Aux_puntos!$1:$1,0))="",NA(),INDEX(Aux_puntos!$A$2:$OJ$901,805,MATCH($B$2&amp;"|yI",Aux_puntos!$1:$1,0))),NA())</f>
        <v/>
      </c>
      <c r="AI809">
        <f>IFERROR(IF(INDEX(Aux_puntos!$A$2:$OJ$901,805,MATCH($B$2&amp;"|xN",Aux_puntos!$1:$1,0))="",NA(),INDEX(Aux_puntos!$A$2:$OJ$901,805,MATCH($B$2&amp;"|xN",Aux_puntos!$1:$1,0))),NA())</f>
        <v/>
      </c>
      <c r="AJ809">
        <f>IFERROR(IF(INDEX(Aux_puntos!$A$2:$OJ$901,805,MATCH($B$2&amp;"|yN",Aux_puntos!$1:$1,0))="",NA(),INDEX(Aux_puntos!$A$2:$OJ$901,805,MATCH($B$2&amp;"|yN",Aux_puntos!$1:$1,0))),NA())</f>
        <v/>
      </c>
    </row>
    <row r="810">
      <c r="AC810">
        <f>IFERROR(IF(INDEX(Aux_puntos!$A$2:$OJ$901,806,MATCH($B$2&amp;"|xK",Aux_puntos!$1:$1,0))="",NA(),INDEX(Aux_puntos!$A$2:$OJ$901,806,MATCH($B$2&amp;"|xK",Aux_puntos!$1:$1,0))),NA())</f>
        <v/>
      </c>
      <c r="AD810">
        <f>IFERROR(IF(INDEX(Aux_puntos!$A$2:$OJ$901,806,MATCH($B$2&amp;"|yK",Aux_puntos!$1:$1,0))="",NA(),INDEX(Aux_puntos!$A$2:$OJ$901,806,MATCH($B$2&amp;"|yK",Aux_puntos!$1:$1,0))),NA())</f>
        <v/>
      </c>
      <c r="AE810">
        <f>IFERROR(IF(INDEX(Aux_puntos!$A$2:$OJ$901,806,MATCH($B$2&amp;"|xC",Aux_puntos!$1:$1,0))="",NA(),INDEX(Aux_puntos!$A$2:$OJ$901,806,MATCH($B$2&amp;"|xC",Aux_puntos!$1:$1,0))),NA())</f>
        <v/>
      </c>
      <c r="AF810">
        <f>IFERROR(IF(INDEX(Aux_puntos!$A$2:$OJ$901,806,MATCH($B$2&amp;"|yC",Aux_puntos!$1:$1,0))="",NA(),INDEX(Aux_puntos!$A$2:$OJ$901,806,MATCH($B$2&amp;"|yC",Aux_puntos!$1:$1,0))),NA())</f>
        <v/>
      </c>
      <c r="AG810">
        <f>IFERROR(IF(INDEX(Aux_puntos!$A$2:$OJ$901,806,MATCH($B$2&amp;"|xI",Aux_puntos!$1:$1,0))="",NA(),INDEX(Aux_puntos!$A$2:$OJ$901,806,MATCH($B$2&amp;"|xI",Aux_puntos!$1:$1,0))),NA())</f>
        <v/>
      </c>
      <c r="AH810">
        <f>IFERROR(IF(INDEX(Aux_puntos!$A$2:$OJ$901,806,MATCH($B$2&amp;"|yI",Aux_puntos!$1:$1,0))="",NA(),INDEX(Aux_puntos!$A$2:$OJ$901,806,MATCH($B$2&amp;"|yI",Aux_puntos!$1:$1,0))),NA())</f>
        <v/>
      </c>
      <c r="AI810">
        <f>IFERROR(IF(INDEX(Aux_puntos!$A$2:$OJ$901,806,MATCH($B$2&amp;"|xN",Aux_puntos!$1:$1,0))="",NA(),INDEX(Aux_puntos!$A$2:$OJ$901,806,MATCH($B$2&amp;"|xN",Aux_puntos!$1:$1,0))),NA())</f>
        <v/>
      </c>
      <c r="AJ810">
        <f>IFERROR(IF(INDEX(Aux_puntos!$A$2:$OJ$901,806,MATCH($B$2&amp;"|yN",Aux_puntos!$1:$1,0))="",NA(),INDEX(Aux_puntos!$A$2:$OJ$901,806,MATCH($B$2&amp;"|yN",Aux_puntos!$1:$1,0))),NA())</f>
        <v/>
      </c>
    </row>
    <row r="811">
      <c r="AC811">
        <f>IFERROR(IF(INDEX(Aux_puntos!$A$2:$OJ$901,807,MATCH($B$2&amp;"|xK",Aux_puntos!$1:$1,0))="",NA(),INDEX(Aux_puntos!$A$2:$OJ$901,807,MATCH($B$2&amp;"|xK",Aux_puntos!$1:$1,0))),NA())</f>
        <v/>
      </c>
      <c r="AD811">
        <f>IFERROR(IF(INDEX(Aux_puntos!$A$2:$OJ$901,807,MATCH($B$2&amp;"|yK",Aux_puntos!$1:$1,0))="",NA(),INDEX(Aux_puntos!$A$2:$OJ$901,807,MATCH($B$2&amp;"|yK",Aux_puntos!$1:$1,0))),NA())</f>
        <v/>
      </c>
      <c r="AE811">
        <f>IFERROR(IF(INDEX(Aux_puntos!$A$2:$OJ$901,807,MATCH($B$2&amp;"|xC",Aux_puntos!$1:$1,0))="",NA(),INDEX(Aux_puntos!$A$2:$OJ$901,807,MATCH($B$2&amp;"|xC",Aux_puntos!$1:$1,0))),NA())</f>
        <v/>
      </c>
      <c r="AF811">
        <f>IFERROR(IF(INDEX(Aux_puntos!$A$2:$OJ$901,807,MATCH($B$2&amp;"|yC",Aux_puntos!$1:$1,0))="",NA(),INDEX(Aux_puntos!$A$2:$OJ$901,807,MATCH($B$2&amp;"|yC",Aux_puntos!$1:$1,0))),NA())</f>
        <v/>
      </c>
      <c r="AG811">
        <f>IFERROR(IF(INDEX(Aux_puntos!$A$2:$OJ$901,807,MATCH($B$2&amp;"|xI",Aux_puntos!$1:$1,0))="",NA(),INDEX(Aux_puntos!$A$2:$OJ$901,807,MATCH($B$2&amp;"|xI",Aux_puntos!$1:$1,0))),NA())</f>
        <v/>
      </c>
      <c r="AH811">
        <f>IFERROR(IF(INDEX(Aux_puntos!$A$2:$OJ$901,807,MATCH($B$2&amp;"|yI",Aux_puntos!$1:$1,0))="",NA(),INDEX(Aux_puntos!$A$2:$OJ$901,807,MATCH($B$2&amp;"|yI",Aux_puntos!$1:$1,0))),NA())</f>
        <v/>
      </c>
      <c r="AI811">
        <f>IFERROR(IF(INDEX(Aux_puntos!$A$2:$OJ$901,807,MATCH($B$2&amp;"|xN",Aux_puntos!$1:$1,0))="",NA(),INDEX(Aux_puntos!$A$2:$OJ$901,807,MATCH($B$2&amp;"|xN",Aux_puntos!$1:$1,0))),NA())</f>
        <v/>
      </c>
      <c r="AJ811">
        <f>IFERROR(IF(INDEX(Aux_puntos!$A$2:$OJ$901,807,MATCH($B$2&amp;"|yN",Aux_puntos!$1:$1,0))="",NA(),INDEX(Aux_puntos!$A$2:$OJ$901,807,MATCH($B$2&amp;"|yN",Aux_puntos!$1:$1,0))),NA())</f>
        <v/>
      </c>
    </row>
    <row r="812">
      <c r="AC812">
        <f>IFERROR(IF(INDEX(Aux_puntos!$A$2:$OJ$901,808,MATCH($B$2&amp;"|xK",Aux_puntos!$1:$1,0))="",NA(),INDEX(Aux_puntos!$A$2:$OJ$901,808,MATCH($B$2&amp;"|xK",Aux_puntos!$1:$1,0))),NA())</f>
        <v/>
      </c>
      <c r="AD812">
        <f>IFERROR(IF(INDEX(Aux_puntos!$A$2:$OJ$901,808,MATCH($B$2&amp;"|yK",Aux_puntos!$1:$1,0))="",NA(),INDEX(Aux_puntos!$A$2:$OJ$901,808,MATCH($B$2&amp;"|yK",Aux_puntos!$1:$1,0))),NA())</f>
        <v/>
      </c>
      <c r="AE812">
        <f>IFERROR(IF(INDEX(Aux_puntos!$A$2:$OJ$901,808,MATCH($B$2&amp;"|xC",Aux_puntos!$1:$1,0))="",NA(),INDEX(Aux_puntos!$A$2:$OJ$901,808,MATCH($B$2&amp;"|xC",Aux_puntos!$1:$1,0))),NA())</f>
        <v/>
      </c>
      <c r="AF812">
        <f>IFERROR(IF(INDEX(Aux_puntos!$A$2:$OJ$901,808,MATCH($B$2&amp;"|yC",Aux_puntos!$1:$1,0))="",NA(),INDEX(Aux_puntos!$A$2:$OJ$901,808,MATCH($B$2&amp;"|yC",Aux_puntos!$1:$1,0))),NA())</f>
        <v/>
      </c>
      <c r="AG812">
        <f>IFERROR(IF(INDEX(Aux_puntos!$A$2:$OJ$901,808,MATCH($B$2&amp;"|xI",Aux_puntos!$1:$1,0))="",NA(),INDEX(Aux_puntos!$A$2:$OJ$901,808,MATCH($B$2&amp;"|xI",Aux_puntos!$1:$1,0))),NA())</f>
        <v/>
      </c>
      <c r="AH812">
        <f>IFERROR(IF(INDEX(Aux_puntos!$A$2:$OJ$901,808,MATCH($B$2&amp;"|yI",Aux_puntos!$1:$1,0))="",NA(),INDEX(Aux_puntos!$A$2:$OJ$901,808,MATCH($B$2&amp;"|yI",Aux_puntos!$1:$1,0))),NA())</f>
        <v/>
      </c>
      <c r="AI812">
        <f>IFERROR(IF(INDEX(Aux_puntos!$A$2:$OJ$901,808,MATCH($B$2&amp;"|xN",Aux_puntos!$1:$1,0))="",NA(),INDEX(Aux_puntos!$A$2:$OJ$901,808,MATCH($B$2&amp;"|xN",Aux_puntos!$1:$1,0))),NA())</f>
        <v/>
      </c>
      <c r="AJ812">
        <f>IFERROR(IF(INDEX(Aux_puntos!$A$2:$OJ$901,808,MATCH($B$2&amp;"|yN",Aux_puntos!$1:$1,0))="",NA(),INDEX(Aux_puntos!$A$2:$OJ$901,808,MATCH($B$2&amp;"|yN",Aux_puntos!$1:$1,0))),NA())</f>
        <v/>
      </c>
    </row>
    <row r="813">
      <c r="AC813">
        <f>IFERROR(IF(INDEX(Aux_puntos!$A$2:$OJ$901,809,MATCH($B$2&amp;"|xK",Aux_puntos!$1:$1,0))="",NA(),INDEX(Aux_puntos!$A$2:$OJ$901,809,MATCH($B$2&amp;"|xK",Aux_puntos!$1:$1,0))),NA())</f>
        <v/>
      </c>
      <c r="AD813">
        <f>IFERROR(IF(INDEX(Aux_puntos!$A$2:$OJ$901,809,MATCH($B$2&amp;"|yK",Aux_puntos!$1:$1,0))="",NA(),INDEX(Aux_puntos!$A$2:$OJ$901,809,MATCH($B$2&amp;"|yK",Aux_puntos!$1:$1,0))),NA())</f>
        <v/>
      </c>
      <c r="AE813">
        <f>IFERROR(IF(INDEX(Aux_puntos!$A$2:$OJ$901,809,MATCH($B$2&amp;"|xC",Aux_puntos!$1:$1,0))="",NA(),INDEX(Aux_puntos!$A$2:$OJ$901,809,MATCH($B$2&amp;"|xC",Aux_puntos!$1:$1,0))),NA())</f>
        <v/>
      </c>
      <c r="AF813">
        <f>IFERROR(IF(INDEX(Aux_puntos!$A$2:$OJ$901,809,MATCH($B$2&amp;"|yC",Aux_puntos!$1:$1,0))="",NA(),INDEX(Aux_puntos!$A$2:$OJ$901,809,MATCH($B$2&amp;"|yC",Aux_puntos!$1:$1,0))),NA())</f>
        <v/>
      </c>
      <c r="AG813">
        <f>IFERROR(IF(INDEX(Aux_puntos!$A$2:$OJ$901,809,MATCH($B$2&amp;"|xI",Aux_puntos!$1:$1,0))="",NA(),INDEX(Aux_puntos!$A$2:$OJ$901,809,MATCH($B$2&amp;"|xI",Aux_puntos!$1:$1,0))),NA())</f>
        <v/>
      </c>
      <c r="AH813">
        <f>IFERROR(IF(INDEX(Aux_puntos!$A$2:$OJ$901,809,MATCH($B$2&amp;"|yI",Aux_puntos!$1:$1,0))="",NA(),INDEX(Aux_puntos!$A$2:$OJ$901,809,MATCH($B$2&amp;"|yI",Aux_puntos!$1:$1,0))),NA())</f>
        <v/>
      </c>
      <c r="AI813">
        <f>IFERROR(IF(INDEX(Aux_puntos!$A$2:$OJ$901,809,MATCH($B$2&amp;"|xN",Aux_puntos!$1:$1,0))="",NA(),INDEX(Aux_puntos!$A$2:$OJ$901,809,MATCH($B$2&amp;"|xN",Aux_puntos!$1:$1,0))),NA())</f>
        <v/>
      </c>
      <c r="AJ813">
        <f>IFERROR(IF(INDEX(Aux_puntos!$A$2:$OJ$901,809,MATCH($B$2&amp;"|yN",Aux_puntos!$1:$1,0))="",NA(),INDEX(Aux_puntos!$A$2:$OJ$901,809,MATCH($B$2&amp;"|yN",Aux_puntos!$1:$1,0))),NA())</f>
        <v/>
      </c>
    </row>
    <row r="814">
      <c r="AC814">
        <f>IFERROR(IF(INDEX(Aux_puntos!$A$2:$OJ$901,810,MATCH($B$2&amp;"|xK",Aux_puntos!$1:$1,0))="",NA(),INDEX(Aux_puntos!$A$2:$OJ$901,810,MATCH($B$2&amp;"|xK",Aux_puntos!$1:$1,0))),NA())</f>
        <v/>
      </c>
      <c r="AD814">
        <f>IFERROR(IF(INDEX(Aux_puntos!$A$2:$OJ$901,810,MATCH($B$2&amp;"|yK",Aux_puntos!$1:$1,0))="",NA(),INDEX(Aux_puntos!$A$2:$OJ$901,810,MATCH($B$2&amp;"|yK",Aux_puntos!$1:$1,0))),NA())</f>
        <v/>
      </c>
      <c r="AE814">
        <f>IFERROR(IF(INDEX(Aux_puntos!$A$2:$OJ$901,810,MATCH($B$2&amp;"|xC",Aux_puntos!$1:$1,0))="",NA(),INDEX(Aux_puntos!$A$2:$OJ$901,810,MATCH($B$2&amp;"|xC",Aux_puntos!$1:$1,0))),NA())</f>
        <v/>
      </c>
      <c r="AF814">
        <f>IFERROR(IF(INDEX(Aux_puntos!$A$2:$OJ$901,810,MATCH($B$2&amp;"|yC",Aux_puntos!$1:$1,0))="",NA(),INDEX(Aux_puntos!$A$2:$OJ$901,810,MATCH($B$2&amp;"|yC",Aux_puntos!$1:$1,0))),NA())</f>
        <v/>
      </c>
      <c r="AG814">
        <f>IFERROR(IF(INDEX(Aux_puntos!$A$2:$OJ$901,810,MATCH($B$2&amp;"|xI",Aux_puntos!$1:$1,0))="",NA(),INDEX(Aux_puntos!$A$2:$OJ$901,810,MATCH($B$2&amp;"|xI",Aux_puntos!$1:$1,0))),NA())</f>
        <v/>
      </c>
      <c r="AH814">
        <f>IFERROR(IF(INDEX(Aux_puntos!$A$2:$OJ$901,810,MATCH($B$2&amp;"|yI",Aux_puntos!$1:$1,0))="",NA(),INDEX(Aux_puntos!$A$2:$OJ$901,810,MATCH($B$2&amp;"|yI",Aux_puntos!$1:$1,0))),NA())</f>
        <v/>
      </c>
      <c r="AI814">
        <f>IFERROR(IF(INDEX(Aux_puntos!$A$2:$OJ$901,810,MATCH($B$2&amp;"|xN",Aux_puntos!$1:$1,0))="",NA(),INDEX(Aux_puntos!$A$2:$OJ$901,810,MATCH($B$2&amp;"|xN",Aux_puntos!$1:$1,0))),NA())</f>
        <v/>
      </c>
      <c r="AJ814">
        <f>IFERROR(IF(INDEX(Aux_puntos!$A$2:$OJ$901,810,MATCH($B$2&amp;"|yN",Aux_puntos!$1:$1,0))="",NA(),INDEX(Aux_puntos!$A$2:$OJ$901,810,MATCH($B$2&amp;"|yN",Aux_puntos!$1:$1,0))),NA())</f>
        <v/>
      </c>
    </row>
    <row r="815">
      <c r="AC815">
        <f>IFERROR(IF(INDEX(Aux_puntos!$A$2:$OJ$901,811,MATCH($B$2&amp;"|xK",Aux_puntos!$1:$1,0))="",NA(),INDEX(Aux_puntos!$A$2:$OJ$901,811,MATCH($B$2&amp;"|xK",Aux_puntos!$1:$1,0))),NA())</f>
        <v/>
      </c>
      <c r="AD815">
        <f>IFERROR(IF(INDEX(Aux_puntos!$A$2:$OJ$901,811,MATCH($B$2&amp;"|yK",Aux_puntos!$1:$1,0))="",NA(),INDEX(Aux_puntos!$A$2:$OJ$901,811,MATCH($B$2&amp;"|yK",Aux_puntos!$1:$1,0))),NA())</f>
        <v/>
      </c>
      <c r="AE815">
        <f>IFERROR(IF(INDEX(Aux_puntos!$A$2:$OJ$901,811,MATCH($B$2&amp;"|xC",Aux_puntos!$1:$1,0))="",NA(),INDEX(Aux_puntos!$A$2:$OJ$901,811,MATCH($B$2&amp;"|xC",Aux_puntos!$1:$1,0))),NA())</f>
        <v/>
      </c>
      <c r="AF815">
        <f>IFERROR(IF(INDEX(Aux_puntos!$A$2:$OJ$901,811,MATCH($B$2&amp;"|yC",Aux_puntos!$1:$1,0))="",NA(),INDEX(Aux_puntos!$A$2:$OJ$901,811,MATCH($B$2&amp;"|yC",Aux_puntos!$1:$1,0))),NA())</f>
        <v/>
      </c>
      <c r="AG815">
        <f>IFERROR(IF(INDEX(Aux_puntos!$A$2:$OJ$901,811,MATCH($B$2&amp;"|xI",Aux_puntos!$1:$1,0))="",NA(),INDEX(Aux_puntos!$A$2:$OJ$901,811,MATCH($B$2&amp;"|xI",Aux_puntos!$1:$1,0))),NA())</f>
        <v/>
      </c>
      <c r="AH815">
        <f>IFERROR(IF(INDEX(Aux_puntos!$A$2:$OJ$901,811,MATCH($B$2&amp;"|yI",Aux_puntos!$1:$1,0))="",NA(),INDEX(Aux_puntos!$A$2:$OJ$901,811,MATCH($B$2&amp;"|yI",Aux_puntos!$1:$1,0))),NA())</f>
        <v/>
      </c>
      <c r="AI815">
        <f>IFERROR(IF(INDEX(Aux_puntos!$A$2:$OJ$901,811,MATCH($B$2&amp;"|xN",Aux_puntos!$1:$1,0))="",NA(),INDEX(Aux_puntos!$A$2:$OJ$901,811,MATCH($B$2&amp;"|xN",Aux_puntos!$1:$1,0))),NA())</f>
        <v/>
      </c>
      <c r="AJ815">
        <f>IFERROR(IF(INDEX(Aux_puntos!$A$2:$OJ$901,811,MATCH($B$2&amp;"|yN",Aux_puntos!$1:$1,0))="",NA(),INDEX(Aux_puntos!$A$2:$OJ$901,811,MATCH($B$2&amp;"|yN",Aux_puntos!$1:$1,0))),NA())</f>
        <v/>
      </c>
    </row>
    <row r="816">
      <c r="AC816">
        <f>IFERROR(IF(INDEX(Aux_puntos!$A$2:$OJ$901,812,MATCH($B$2&amp;"|xK",Aux_puntos!$1:$1,0))="",NA(),INDEX(Aux_puntos!$A$2:$OJ$901,812,MATCH($B$2&amp;"|xK",Aux_puntos!$1:$1,0))),NA())</f>
        <v/>
      </c>
      <c r="AD816">
        <f>IFERROR(IF(INDEX(Aux_puntos!$A$2:$OJ$901,812,MATCH($B$2&amp;"|yK",Aux_puntos!$1:$1,0))="",NA(),INDEX(Aux_puntos!$A$2:$OJ$901,812,MATCH($B$2&amp;"|yK",Aux_puntos!$1:$1,0))),NA())</f>
        <v/>
      </c>
      <c r="AE816">
        <f>IFERROR(IF(INDEX(Aux_puntos!$A$2:$OJ$901,812,MATCH($B$2&amp;"|xC",Aux_puntos!$1:$1,0))="",NA(),INDEX(Aux_puntos!$A$2:$OJ$901,812,MATCH($B$2&amp;"|xC",Aux_puntos!$1:$1,0))),NA())</f>
        <v/>
      </c>
      <c r="AF816">
        <f>IFERROR(IF(INDEX(Aux_puntos!$A$2:$OJ$901,812,MATCH($B$2&amp;"|yC",Aux_puntos!$1:$1,0))="",NA(),INDEX(Aux_puntos!$A$2:$OJ$901,812,MATCH($B$2&amp;"|yC",Aux_puntos!$1:$1,0))),NA())</f>
        <v/>
      </c>
      <c r="AG816">
        <f>IFERROR(IF(INDEX(Aux_puntos!$A$2:$OJ$901,812,MATCH($B$2&amp;"|xI",Aux_puntos!$1:$1,0))="",NA(),INDEX(Aux_puntos!$A$2:$OJ$901,812,MATCH($B$2&amp;"|xI",Aux_puntos!$1:$1,0))),NA())</f>
        <v/>
      </c>
      <c r="AH816">
        <f>IFERROR(IF(INDEX(Aux_puntos!$A$2:$OJ$901,812,MATCH($B$2&amp;"|yI",Aux_puntos!$1:$1,0))="",NA(),INDEX(Aux_puntos!$A$2:$OJ$901,812,MATCH($B$2&amp;"|yI",Aux_puntos!$1:$1,0))),NA())</f>
        <v/>
      </c>
      <c r="AI816">
        <f>IFERROR(IF(INDEX(Aux_puntos!$A$2:$OJ$901,812,MATCH($B$2&amp;"|xN",Aux_puntos!$1:$1,0))="",NA(),INDEX(Aux_puntos!$A$2:$OJ$901,812,MATCH($B$2&amp;"|xN",Aux_puntos!$1:$1,0))),NA())</f>
        <v/>
      </c>
      <c r="AJ816">
        <f>IFERROR(IF(INDEX(Aux_puntos!$A$2:$OJ$901,812,MATCH($B$2&amp;"|yN",Aux_puntos!$1:$1,0))="",NA(),INDEX(Aux_puntos!$A$2:$OJ$901,812,MATCH($B$2&amp;"|yN",Aux_puntos!$1:$1,0))),NA())</f>
        <v/>
      </c>
    </row>
    <row r="817">
      <c r="AC817">
        <f>IFERROR(IF(INDEX(Aux_puntos!$A$2:$OJ$901,813,MATCH($B$2&amp;"|xK",Aux_puntos!$1:$1,0))="",NA(),INDEX(Aux_puntos!$A$2:$OJ$901,813,MATCH($B$2&amp;"|xK",Aux_puntos!$1:$1,0))),NA())</f>
        <v/>
      </c>
      <c r="AD817">
        <f>IFERROR(IF(INDEX(Aux_puntos!$A$2:$OJ$901,813,MATCH($B$2&amp;"|yK",Aux_puntos!$1:$1,0))="",NA(),INDEX(Aux_puntos!$A$2:$OJ$901,813,MATCH($B$2&amp;"|yK",Aux_puntos!$1:$1,0))),NA())</f>
        <v/>
      </c>
      <c r="AE817">
        <f>IFERROR(IF(INDEX(Aux_puntos!$A$2:$OJ$901,813,MATCH($B$2&amp;"|xC",Aux_puntos!$1:$1,0))="",NA(),INDEX(Aux_puntos!$A$2:$OJ$901,813,MATCH($B$2&amp;"|xC",Aux_puntos!$1:$1,0))),NA())</f>
        <v/>
      </c>
      <c r="AF817">
        <f>IFERROR(IF(INDEX(Aux_puntos!$A$2:$OJ$901,813,MATCH($B$2&amp;"|yC",Aux_puntos!$1:$1,0))="",NA(),INDEX(Aux_puntos!$A$2:$OJ$901,813,MATCH($B$2&amp;"|yC",Aux_puntos!$1:$1,0))),NA())</f>
        <v/>
      </c>
      <c r="AG817">
        <f>IFERROR(IF(INDEX(Aux_puntos!$A$2:$OJ$901,813,MATCH($B$2&amp;"|xI",Aux_puntos!$1:$1,0))="",NA(),INDEX(Aux_puntos!$A$2:$OJ$901,813,MATCH($B$2&amp;"|xI",Aux_puntos!$1:$1,0))),NA())</f>
        <v/>
      </c>
      <c r="AH817">
        <f>IFERROR(IF(INDEX(Aux_puntos!$A$2:$OJ$901,813,MATCH($B$2&amp;"|yI",Aux_puntos!$1:$1,0))="",NA(),INDEX(Aux_puntos!$A$2:$OJ$901,813,MATCH($B$2&amp;"|yI",Aux_puntos!$1:$1,0))),NA())</f>
        <v/>
      </c>
      <c r="AI817">
        <f>IFERROR(IF(INDEX(Aux_puntos!$A$2:$OJ$901,813,MATCH($B$2&amp;"|xN",Aux_puntos!$1:$1,0))="",NA(),INDEX(Aux_puntos!$A$2:$OJ$901,813,MATCH($B$2&amp;"|xN",Aux_puntos!$1:$1,0))),NA())</f>
        <v/>
      </c>
      <c r="AJ817">
        <f>IFERROR(IF(INDEX(Aux_puntos!$A$2:$OJ$901,813,MATCH($B$2&amp;"|yN",Aux_puntos!$1:$1,0))="",NA(),INDEX(Aux_puntos!$A$2:$OJ$901,813,MATCH($B$2&amp;"|yN",Aux_puntos!$1:$1,0))),NA())</f>
        <v/>
      </c>
    </row>
    <row r="818">
      <c r="AC818">
        <f>IFERROR(IF(INDEX(Aux_puntos!$A$2:$OJ$901,814,MATCH($B$2&amp;"|xK",Aux_puntos!$1:$1,0))="",NA(),INDEX(Aux_puntos!$A$2:$OJ$901,814,MATCH($B$2&amp;"|xK",Aux_puntos!$1:$1,0))),NA())</f>
        <v/>
      </c>
      <c r="AD818">
        <f>IFERROR(IF(INDEX(Aux_puntos!$A$2:$OJ$901,814,MATCH($B$2&amp;"|yK",Aux_puntos!$1:$1,0))="",NA(),INDEX(Aux_puntos!$A$2:$OJ$901,814,MATCH($B$2&amp;"|yK",Aux_puntos!$1:$1,0))),NA())</f>
        <v/>
      </c>
      <c r="AE818">
        <f>IFERROR(IF(INDEX(Aux_puntos!$A$2:$OJ$901,814,MATCH($B$2&amp;"|xC",Aux_puntos!$1:$1,0))="",NA(),INDEX(Aux_puntos!$A$2:$OJ$901,814,MATCH($B$2&amp;"|xC",Aux_puntos!$1:$1,0))),NA())</f>
        <v/>
      </c>
      <c r="AF818">
        <f>IFERROR(IF(INDEX(Aux_puntos!$A$2:$OJ$901,814,MATCH($B$2&amp;"|yC",Aux_puntos!$1:$1,0))="",NA(),INDEX(Aux_puntos!$A$2:$OJ$901,814,MATCH($B$2&amp;"|yC",Aux_puntos!$1:$1,0))),NA())</f>
        <v/>
      </c>
      <c r="AG818">
        <f>IFERROR(IF(INDEX(Aux_puntos!$A$2:$OJ$901,814,MATCH($B$2&amp;"|xI",Aux_puntos!$1:$1,0))="",NA(),INDEX(Aux_puntos!$A$2:$OJ$901,814,MATCH($B$2&amp;"|xI",Aux_puntos!$1:$1,0))),NA())</f>
        <v/>
      </c>
      <c r="AH818">
        <f>IFERROR(IF(INDEX(Aux_puntos!$A$2:$OJ$901,814,MATCH($B$2&amp;"|yI",Aux_puntos!$1:$1,0))="",NA(),INDEX(Aux_puntos!$A$2:$OJ$901,814,MATCH($B$2&amp;"|yI",Aux_puntos!$1:$1,0))),NA())</f>
        <v/>
      </c>
      <c r="AI818">
        <f>IFERROR(IF(INDEX(Aux_puntos!$A$2:$OJ$901,814,MATCH($B$2&amp;"|xN",Aux_puntos!$1:$1,0))="",NA(),INDEX(Aux_puntos!$A$2:$OJ$901,814,MATCH($B$2&amp;"|xN",Aux_puntos!$1:$1,0))),NA())</f>
        <v/>
      </c>
      <c r="AJ818">
        <f>IFERROR(IF(INDEX(Aux_puntos!$A$2:$OJ$901,814,MATCH($B$2&amp;"|yN",Aux_puntos!$1:$1,0))="",NA(),INDEX(Aux_puntos!$A$2:$OJ$901,814,MATCH($B$2&amp;"|yN",Aux_puntos!$1:$1,0))),NA())</f>
        <v/>
      </c>
    </row>
    <row r="819">
      <c r="AC819">
        <f>IFERROR(IF(INDEX(Aux_puntos!$A$2:$OJ$901,815,MATCH($B$2&amp;"|xK",Aux_puntos!$1:$1,0))="",NA(),INDEX(Aux_puntos!$A$2:$OJ$901,815,MATCH($B$2&amp;"|xK",Aux_puntos!$1:$1,0))),NA())</f>
        <v/>
      </c>
      <c r="AD819">
        <f>IFERROR(IF(INDEX(Aux_puntos!$A$2:$OJ$901,815,MATCH($B$2&amp;"|yK",Aux_puntos!$1:$1,0))="",NA(),INDEX(Aux_puntos!$A$2:$OJ$901,815,MATCH($B$2&amp;"|yK",Aux_puntos!$1:$1,0))),NA())</f>
        <v/>
      </c>
      <c r="AE819">
        <f>IFERROR(IF(INDEX(Aux_puntos!$A$2:$OJ$901,815,MATCH($B$2&amp;"|xC",Aux_puntos!$1:$1,0))="",NA(),INDEX(Aux_puntos!$A$2:$OJ$901,815,MATCH($B$2&amp;"|xC",Aux_puntos!$1:$1,0))),NA())</f>
        <v/>
      </c>
      <c r="AF819">
        <f>IFERROR(IF(INDEX(Aux_puntos!$A$2:$OJ$901,815,MATCH($B$2&amp;"|yC",Aux_puntos!$1:$1,0))="",NA(),INDEX(Aux_puntos!$A$2:$OJ$901,815,MATCH($B$2&amp;"|yC",Aux_puntos!$1:$1,0))),NA())</f>
        <v/>
      </c>
      <c r="AG819">
        <f>IFERROR(IF(INDEX(Aux_puntos!$A$2:$OJ$901,815,MATCH($B$2&amp;"|xI",Aux_puntos!$1:$1,0))="",NA(),INDEX(Aux_puntos!$A$2:$OJ$901,815,MATCH($B$2&amp;"|xI",Aux_puntos!$1:$1,0))),NA())</f>
        <v/>
      </c>
      <c r="AH819">
        <f>IFERROR(IF(INDEX(Aux_puntos!$A$2:$OJ$901,815,MATCH($B$2&amp;"|yI",Aux_puntos!$1:$1,0))="",NA(),INDEX(Aux_puntos!$A$2:$OJ$901,815,MATCH($B$2&amp;"|yI",Aux_puntos!$1:$1,0))),NA())</f>
        <v/>
      </c>
      <c r="AI819">
        <f>IFERROR(IF(INDEX(Aux_puntos!$A$2:$OJ$901,815,MATCH($B$2&amp;"|xN",Aux_puntos!$1:$1,0))="",NA(),INDEX(Aux_puntos!$A$2:$OJ$901,815,MATCH($B$2&amp;"|xN",Aux_puntos!$1:$1,0))),NA())</f>
        <v/>
      </c>
      <c r="AJ819">
        <f>IFERROR(IF(INDEX(Aux_puntos!$A$2:$OJ$901,815,MATCH($B$2&amp;"|yN",Aux_puntos!$1:$1,0))="",NA(),INDEX(Aux_puntos!$A$2:$OJ$901,815,MATCH($B$2&amp;"|yN",Aux_puntos!$1:$1,0))),NA())</f>
        <v/>
      </c>
    </row>
    <row r="820">
      <c r="AC820">
        <f>IFERROR(IF(INDEX(Aux_puntos!$A$2:$OJ$901,816,MATCH($B$2&amp;"|xK",Aux_puntos!$1:$1,0))="",NA(),INDEX(Aux_puntos!$A$2:$OJ$901,816,MATCH($B$2&amp;"|xK",Aux_puntos!$1:$1,0))),NA())</f>
        <v/>
      </c>
      <c r="AD820">
        <f>IFERROR(IF(INDEX(Aux_puntos!$A$2:$OJ$901,816,MATCH($B$2&amp;"|yK",Aux_puntos!$1:$1,0))="",NA(),INDEX(Aux_puntos!$A$2:$OJ$901,816,MATCH($B$2&amp;"|yK",Aux_puntos!$1:$1,0))),NA())</f>
        <v/>
      </c>
      <c r="AE820">
        <f>IFERROR(IF(INDEX(Aux_puntos!$A$2:$OJ$901,816,MATCH($B$2&amp;"|xC",Aux_puntos!$1:$1,0))="",NA(),INDEX(Aux_puntos!$A$2:$OJ$901,816,MATCH($B$2&amp;"|xC",Aux_puntos!$1:$1,0))),NA())</f>
        <v/>
      </c>
      <c r="AF820">
        <f>IFERROR(IF(INDEX(Aux_puntos!$A$2:$OJ$901,816,MATCH($B$2&amp;"|yC",Aux_puntos!$1:$1,0))="",NA(),INDEX(Aux_puntos!$A$2:$OJ$901,816,MATCH($B$2&amp;"|yC",Aux_puntos!$1:$1,0))),NA())</f>
        <v/>
      </c>
      <c r="AG820">
        <f>IFERROR(IF(INDEX(Aux_puntos!$A$2:$OJ$901,816,MATCH($B$2&amp;"|xI",Aux_puntos!$1:$1,0))="",NA(),INDEX(Aux_puntos!$A$2:$OJ$901,816,MATCH($B$2&amp;"|xI",Aux_puntos!$1:$1,0))),NA())</f>
        <v/>
      </c>
      <c r="AH820">
        <f>IFERROR(IF(INDEX(Aux_puntos!$A$2:$OJ$901,816,MATCH($B$2&amp;"|yI",Aux_puntos!$1:$1,0))="",NA(),INDEX(Aux_puntos!$A$2:$OJ$901,816,MATCH($B$2&amp;"|yI",Aux_puntos!$1:$1,0))),NA())</f>
        <v/>
      </c>
      <c r="AI820">
        <f>IFERROR(IF(INDEX(Aux_puntos!$A$2:$OJ$901,816,MATCH($B$2&amp;"|xN",Aux_puntos!$1:$1,0))="",NA(),INDEX(Aux_puntos!$A$2:$OJ$901,816,MATCH($B$2&amp;"|xN",Aux_puntos!$1:$1,0))),NA())</f>
        <v/>
      </c>
      <c r="AJ820">
        <f>IFERROR(IF(INDEX(Aux_puntos!$A$2:$OJ$901,816,MATCH($B$2&amp;"|yN",Aux_puntos!$1:$1,0))="",NA(),INDEX(Aux_puntos!$A$2:$OJ$901,816,MATCH($B$2&amp;"|yN",Aux_puntos!$1:$1,0))),NA())</f>
        <v/>
      </c>
    </row>
    <row r="821">
      <c r="AC821">
        <f>IFERROR(IF(INDEX(Aux_puntos!$A$2:$OJ$901,817,MATCH($B$2&amp;"|xK",Aux_puntos!$1:$1,0))="",NA(),INDEX(Aux_puntos!$A$2:$OJ$901,817,MATCH($B$2&amp;"|xK",Aux_puntos!$1:$1,0))),NA())</f>
        <v/>
      </c>
      <c r="AD821">
        <f>IFERROR(IF(INDEX(Aux_puntos!$A$2:$OJ$901,817,MATCH($B$2&amp;"|yK",Aux_puntos!$1:$1,0))="",NA(),INDEX(Aux_puntos!$A$2:$OJ$901,817,MATCH($B$2&amp;"|yK",Aux_puntos!$1:$1,0))),NA())</f>
        <v/>
      </c>
      <c r="AE821">
        <f>IFERROR(IF(INDEX(Aux_puntos!$A$2:$OJ$901,817,MATCH($B$2&amp;"|xC",Aux_puntos!$1:$1,0))="",NA(),INDEX(Aux_puntos!$A$2:$OJ$901,817,MATCH($B$2&amp;"|xC",Aux_puntos!$1:$1,0))),NA())</f>
        <v/>
      </c>
      <c r="AF821">
        <f>IFERROR(IF(INDEX(Aux_puntos!$A$2:$OJ$901,817,MATCH($B$2&amp;"|yC",Aux_puntos!$1:$1,0))="",NA(),INDEX(Aux_puntos!$A$2:$OJ$901,817,MATCH($B$2&amp;"|yC",Aux_puntos!$1:$1,0))),NA())</f>
        <v/>
      </c>
      <c r="AG821">
        <f>IFERROR(IF(INDEX(Aux_puntos!$A$2:$OJ$901,817,MATCH($B$2&amp;"|xI",Aux_puntos!$1:$1,0))="",NA(),INDEX(Aux_puntos!$A$2:$OJ$901,817,MATCH($B$2&amp;"|xI",Aux_puntos!$1:$1,0))),NA())</f>
        <v/>
      </c>
      <c r="AH821">
        <f>IFERROR(IF(INDEX(Aux_puntos!$A$2:$OJ$901,817,MATCH($B$2&amp;"|yI",Aux_puntos!$1:$1,0))="",NA(),INDEX(Aux_puntos!$A$2:$OJ$901,817,MATCH($B$2&amp;"|yI",Aux_puntos!$1:$1,0))),NA())</f>
        <v/>
      </c>
      <c r="AI821">
        <f>IFERROR(IF(INDEX(Aux_puntos!$A$2:$OJ$901,817,MATCH($B$2&amp;"|xN",Aux_puntos!$1:$1,0))="",NA(),INDEX(Aux_puntos!$A$2:$OJ$901,817,MATCH($B$2&amp;"|xN",Aux_puntos!$1:$1,0))),NA())</f>
        <v/>
      </c>
      <c r="AJ821">
        <f>IFERROR(IF(INDEX(Aux_puntos!$A$2:$OJ$901,817,MATCH($B$2&amp;"|yN",Aux_puntos!$1:$1,0))="",NA(),INDEX(Aux_puntos!$A$2:$OJ$901,817,MATCH($B$2&amp;"|yN",Aux_puntos!$1:$1,0))),NA())</f>
        <v/>
      </c>
    </row>
    <row r="822">
      <c r="AC822">
        <f>IFERROR(IF(INDEX(Aux_puntos!$A$2:$OJ$901,818,MATCH($B$2&amp;"|xK",Aux_puntos!$1:$1,0))="",NA(),INDEX(Aux_puntos!$A$2:$OJ$901,818,MATCH($B$2&amp;"|xK",Aux_puntos!$1:$1,0))),NA())</f>
        <v/>
      </c>
      <c r="AD822">
        <f>IFERROR(IF(INDEX(Aux_puntos!$A$2:$OJ$901,818,MATCH($B$2&amp;"|yK",Aux_puntos!$1:$1,0))="",NA(),INDEX(Aux_puntos!$A$2:$OJ$901,818,MATCH($B$2&amp;"|yK",Aux_puntos!$1:$1,0))),NA())</f>
        <v/>
      </c>
      <c r="AE822">
        <f>IFERROR(IF(INDEX(Aux_puntos!$A$2:$OJ$901,818,MATCH($B$2&amp;"|xC",Aux_puntos!$1:$1,0))="",NA(),INDEX(Aux_puntos!$A$2:$OJ$901,818,MATCH($B$2&amp;"|xC",Aux_puntos!$1:$1,0))),NA())</f>
        <v/>
      </c>
      <c r="AF822">
        <f>IFERROR(IF(INDEX(Aux_puntos!$A$2:$OJ$901,818,MATCH($B$2&amp;"|yC",Aux_puntos!$1:$1,0))="",NA(),INDEX(Aux_puntos!$A$2:$OJ$901,818,MATCH($B$2&amp;"|yC",Aux_puntos!$1:$1,0))),NA())</f>
        <v/>
      </c>
      <c r="AG822">
        <f>IFERROR(IF(INDEX(Aux_puntos!$A$2:$OJ$901,818,MATCH($B$2&amp;"|xI",Aux_puntos!$1:$1,0))="",NA(),INDEX(Aux_puntos!$A$2:$OJ$901,818,MATCH($B$2&amp;"|xI",Aux_puntos!$1:$1,0))),NA())</f>
        <v/>
      </c>
      <c r="AH822">
        <f>IFERROR(IF(INDEX(Aux_puntos!$A$2:$OJ$901,818,MATCH($B$2&amp;"|yI",Aux_puntos!$1:$1,0))="",NA(),INDEX(Aux_puntos!$A$2:$OJ$901,818,MATCH($B$2&amp;"|yI",Aux_puntos!$1:$1,0))),NA())</f>
        <v/>
      </c>
      <c r="AI822">
        <f>IFERROR(IF(INDEX(Aux_puntos!$A$2:$OJ$901,818,MATCH($B$2&amp;"|xN",Aux_puntos!$1:$1,0))="",NA(),INDEX(Aux_puntos!$A$2:$OJ$901,818,MATCH($B$2&amp;"|xN",Aux_puntos!$1:$1,0))),NA())</f>
        <v/>
      </c>
      <c r="AJ822">
        <f>IFERROR(IF(INDEX(Aux_puntos!$A$2:$OJ$901,818,MATCH($B$2&amp;"|yN",Aux_puntos!$1:$1,0))="",NA(),INDEX(Aux_puntos!$A$2:$OJ$901,818,MATCH($B$2&amp;"|yN",Aux_puntos!$1:$1,0))),NA())</f>
        <v/>
      </c>
    </row>
    <row r="823">
      <c r="AC823">
        <f>IFERROR(IF(INDEX(Aux_puntos!$A$2:$OJ$901,819,MATCH($B$2&amp;"|xK",Aux_puntos!$1:$1,0))="",NA(),INDEX(Aux_puntos!$A$2:$OJ$901,819,MATCH($B$2&amp;"|xK",Aux_puntos!$1:$1,0))),NA())</f>
        <v/>
      </c>
      <c r="AD823">
        <f>IFERROR(IF(INDEX(Aux_puntos!$A$2:$OJ$901,819,MATCH($B$2&amp;"|yK",Aux_puntos!$1:$1,0))="",NA(),INDEX(Aux_puntos!$A$2:$OJ$901,819,MATCH($B$2&amp;"|yK",Aux_puntos!$1:$1,0))),NA())</f>
        <v/>
      </c>
      <c r="AE823">
        <f>IFERROR(IF(INDEX(Aux_puntos!$A$2:$OJ$901,819,MATCH($B$2&amp;"|xC",Aux_puntos!$1:$1,0))="",NA(),INDEX(Aux_puntos!$A$2:$OJ$901,819,MATCH($B$2&amp;"|xC",Aux_puntos!$1:$1,0))),NA())</f>
        <v/>
      </c>
      <c r="AF823">
        <f>IFERROR(IF(INDEX(Aux_puntos!$A$2:$OJ$901,819,MATCH($B$2&amp;"|yC",Aux_puntos!$1:$1,0))="",NA(),INDEX(Aux_puntos!$A$2:$OJ$901,819,MATCH($B$2&amp;"|yC",Aux_puntos!$1:$1,0))),NA())</f>
        <v/>
      </c>
      <c r="AG823">
        <f>IFERROR(IF(INDEX(Aux_puntos!$A$2:$OJ$901,819,MATCH($B$2&amp;"|xI",Aux_puntos!$1:$1,0))="",NA(),INDEX(Aux_puntos!$A$2:$OJ$901,819,MATCH($B$2&amp;"|xI",Aux_puntos!$1:$1,0))),NA())</f>
        <v/>
      </c>
      <c r="AH823">
        <f>IFERROR(IF(INDEX(Aux_puntos!$A$2:$OJ$901,819,MATCH($B$2&amp;"|yI",Aux_puntos!$1:$1,0))="",NA(),INDEX(Aux_puntos!$A$2:$OJ$901,819,MATCH($B$2&amp;"|yI",Aux_puntos!$1:$1,0))),NA())</f>
        <v/>
      </c>
      <c r="AI823">
        <f>IFERROR(IF(INDEX(Aux_puntos!$A$2:$OJ$901,819,MATCH($B$2&amp;"|xN",Aux_puntos!$1:$1,0))="",NA(),INDEX(Aux_puntos!$A$2:$OJ$901,819,MATCH($B$2&amp;"|xN",Aux_puntos!$1:$1,0))),NA())</f>
        <v/>
      </c>
      <c r="AJ823">
        <f>IFERROR(IF(INDEX(Aux_puntos!$A$2:$OJ$901,819,MATCH($B$2&amp;"|yN",Aux_puntos!$1:$1,0))="",NA(),INDEX(Aux_puntos!$A$2:$OJ$901,819,MATCH($B$2&amp;"|yN",Aux_puntos!$1:$1,0))),NA())</f>
        <v/>
      </c>
    </row>
    <row r="824">
      <c r="AC824">
        <f>IFERROR(IF(INDEX(Aux_puntos!$A$2:$OJ$901,820,MATCH($B$2&amp;"|xK",Aux_puntos!$1:$1,0))="",NA(),INDEX(Aux_puntos!$A$2:$OJ$901,820,MATCH($B$2&amp;"|xK",Aux_puntos!$1:$1,0))),NA())</f>
        <v/>
      </c>
      <c r="AD824">
        <f>IFERROR(IF(INDEX(Aux_puntos!$A$2:$OJ$901,820,MATCH($B$2&amp;"|yK",Aux_puntos!$1:$1,0))="",NA(),INDEX(Aux_puntos!$A$2:$OJ$901,820,MATCH($B$2&amp;"|yK",Aux_puntos!$1:$1,0))),NA())</f>
        <v/>
      </c>
      <c r="AE824">
        <f>IFERROR(IF(INDEX(Aux_puntos!$A$2:$OJ$901,820,MATCH($B$2&amp;"|xC",Aux_puntos!$1:$1,0))="",NA(),INDEX(Aux_puntos!$A$2:$OJ$901,820,MATCH($B$2&amp;"|xC",Aux_puntos!$1:$1,0))),NA())</f>
        <v/>
      </c>
      <c r="AF824">
        <f>IFERROR(IF(INDEX(Aux_puntos!$A$2:$OJ$901,820,MATCH($B$2&amp;"|yC",Aux_puntos!$1:$1,0))="",NA(),INDEX(Aux_puntos!$A$2:$OJ$901,820,MATCH($B$2&amp;"|yC",Aux_puntos!$1:$1,0))),NA())</f>
        <v/>
      </c>
      <c r="AG824">
        <f>IFERROR(IF(INDEX(Aux_puntos!$A$2:$OJ$901,820,MATCH($B$2&amp;"|xI",Aux_puntos!$1:$1,0))="",NA(),INDEX(Aux_puntos!$A$2:$OJ$901,820,MATCH($B$2&amp;"|xI",Aux_puntos!$1:$1,0))),NA())</f>
        <v/>
      </c>
      <c r="AH824">
        <f>IFERROR(IF(INDEX(Aux_puntos!$A$2:$OJ$901,820,MATCH($B$2&amp;"|yI",Aux_puntos!$1:$1,0))="",NA(),INDEX(Aux_puntos!$A$2:$OJ$901,820,MATCH($B$2&amp;"|yI",Aux_puntos!$1:$1,0))),NA())</f>
        <v/>
      </c>
      <c r="AI824">
        <f>IFERROR(IF(INDEX(Aux_puntos!$A$2:$OJ$901,820,MATCH($B$2&amp;"|xN",Aux_puntos!$1:$1,0))="",NA(),INDEX(Aux_puntos!$A$2:$OJ$901,820,MATCH($B$2&amp;"|xN",Aux_puntos!$1:$1,0))),NA())</f>
        <v/>
      </c>
      <c r="AJ824">
        <f>IFERROR(IF(INDEX(Aux_puntos!$A$2:$OJ$901,820,MATCH($B$2&amp;"|yN",Aux_puntos!$1:$1,0))="",NA(),INDEX(Aux_puntos!$A$2:$OJ$901,820,MATCH($B$2&amp;"|yN",Aux_puntos!$1:$1,0))),NA())</f>
        <v/>
      </c>
    </row>
    <row r="825">
      <c r="AC825">
        <f>IFERROR(IF(INDEX(Aux_puntos!$A$2:$OJ$901,821,MATCH($B$2&amp;"|xK",Aux_puntos!$1:$1,0))="",NA(),INDEX(Aux_puntos!$A$2:$OJ$901,821,MATCH($B$2&amp;"|xK",Aux_puntos!$1:$1,0))),NA())</f>
        <v/>
      </c>
      <c r="AD825">
        <f>IFERROR(IF(INDEX(Aux_puntos!$A$2:$OJ$901,821,MATCH($B$2&amp;"|yK",Aux_puntos!$1:$1,0))="",NA(),INDEX(Aux_puntos!$A$2:$OJ$901,821,MATCH($B$2&amp;"|yK",Aux_puntos!$1:$1,0))),NA())</f>
        <v/>
      </c>
      <c r="AE825">
        <f>IFERROR(IF(INDEX(Aux_puntos!$A$2:$OJ$901,821,MATCH($B$2&amp;"|xC",Aux_puntos!$1:$1,0))="",NA(),INDEX(Aux_puntos!$A$2:$OJ$901,821,MATCH($B$2&amp;"|xC",Aux_puntos!$1:$1,0))),NA())</f>
        <v/>
      </c>
      <c r="AF825">
        <f>IFERROR(IF(INDEX(Aux_puntos!$A$2:$OJ$901,821,MATCH($B$2&amp;"|yC",Aux_puntos!$1:$1,0))="",NA(),INDEX(Aux_puntos!$A$2:$OJ$901,821,MATCH($B$2&amp;"|yC",Aux_puntos!$1:$1,0))),NA())</f>
        <v/>
      </c>
      <c r="AG825">
        <f>IFERROR(IF(INDEX(Aux_puntos!$A$2:$OJ$901,821,MATCH($B$2&amp;"|xI",Aux_puntos!$1:$1,0))="",NA(),INDEX(Aux_puntos!$A$2:$OJ$901,821,MATCH($B$2&amp;"|xI",Aux_puntos!$1:$1,0))),NA())</f>
        <v/>
      </c>
      <c r="AH825">
        <f>IFERROR(IF(INDEX(Aux_puntos!$A$2:$OJ$901,821,MATCH($B$2&amp;"|yI",Aux_puntos!$1:$1,0))="",NA(),INDEX(Aux_puntos!$A$2:$OJ$901,821,MATCH($B$2&amp;"|yI",Aux_puntos!$1:$1,0))),NA())</f>
        <v/>
      </c>
      <c r="AI825">
        <f>IFERROR(IF(INDEX(Aux_puntos!$A$2:$OJ$901,821,MATCH($B$2&amp;"|xN",Aux_puntos!$1:$1,0))="",NA(),INDEX(Aux_puntos!$A$2:$OJ$901,821,MATCH($B$2&amp;"|xN",Aux_puntos!$1:$1,0))),NA())</f>
        <v/>
      </c>
      <c r="AJ825">
        <f>IFERROR(IF(INDEX(Aux_puntos!$A$2:$OJ$901,821,MATCH($B$2&amp;"|yN",Aux_puntos!$1:$1,0))="",NA(),INDEX(Aux_puntos!$A$2:$OJ$901,821,MATCH($B$2&amp;"|yN",Aux_puntos!$1:$1,0))),NA())</f>
        <v/>
      </c>
    </row>
    <row r="826">
      <c r="AC826">
        <f>IFERROR(IF(INDEX(Aux_puntos!$A$2:$OJ$901,822,MATCH($B$2&amp;"|xK",Aux_puntos!$1:$1,0))="",NA(),INDEX(Aux_puntos!$A$2:$OJ$901,822,MATCH($B$2&amp;"|xK",Aux_puntos!$1:$1,0))),NA())</f>
        <v/>
      </c>
      <c r="AD826">
        <f>IFERROR(IF(INDEX(Aux_puntos!$A$2:$OJ$901,822,MATCH($B$2&amp;"|yK",Aux_puntos!$1:$1,0))="",NA(),INDEX(Aux_puntos!$A$2:$OJ$901,822,MATCH($B$2&amp;"|yK",Aux_puntos!$1:$1,0))),NA())</f>
        <v/>
      </c>
      <c r="AE826">
        <f>IFERROR(IF(INDEX(Aux_puntos!$A$2:$OJ$901,822,MATCH($B$2&amp;"|xC",Aux_puntos!$1:$1,0))="",NA(),INDEX(Aux_puntos!$A$2:$OJ$901,822,MATCH($B$2&amp;"|xC",Aux_puntos!$1:$1,0))),NA())</f>
        <v/>
      </c>
      <c r="AF826">
        <f>IFERROR(IF(INDEX(Aux_puntos!$A$2:$OJ$901,822,MATCH($B$2&amp;"|yC",Aux_puntos!$1:$1,0))="",NA(),INDEX(Aux_puntos!$A$2:$OJ$901,822,MATCH($B$2&amp;"|yC",Aux_puntos!$1:$1,0))),NA())</f>
        <v/>
      </c>
      <c r="AG826">
        <f>IFERROR(IF(INDEX(Aux_puntos!$A$2:$OJ$901,822,MATCH($B$2&amp;"|xI",Aux_puntos!$1:$1,0))="",NA(),INDEX(Aux_puntos!$A$2:$OJ$901,822,MATCH($B$2&amp;"|xI",Aux_puntos!$1:$1,0))),NA())</f>
        <v/>
      </c>
      <c r="AH826">
        <f>IFERROR(IF(INDEX(Aux_puntos!$A$2:$OJ$901,822,MATCH($B$2&amp;"|yI",Aux_puntos!$1:$1,0))="",NA(),INDEX(Aux_puntos!$A$2:$OJ$901,822,MATCH($B$2&amp;"|yI",Aux_puntos!$1:$1,0))),NA())</f>
        <v/>
      </c>
      <c r="AI826">
        <f>IFERROR(IF(INDEX(Aux_puntos!$A$2:$OJ$901,822,MATCH($B$2&amp;"|xN",Aux_puntos!$1:$1,0))="",NA(),INDEX(Aux_puntos!$A$2:$OJ$901,822,MATCH($B$2&amp;"|xN",Aux_puntos!$1:$1,0))),NA())</f>
        <v/>
      </c>
      <c r="AJ826">
        <f>IFERROR(IF(INDEX(Aux_puntos!$A$2:$OJ$901,822,MATCH($B$2&amp;"|yN",Aux_puntos!$1:$1,0))="",NA(),INDEX(Aux_puntos!$A$2:$OJ$901,822,MATCH($B$2&amp;"|yN",Aux_puntos!$1:$1,0))),NA())</f>
        <v/>
      </c>
    </row>
    <row r="827">
      <c r="AC827">
        <f>IFERROR(IF(INDEX(Aux_puntos!$A$2:$OJ$901,823,MATCH($B$2&amp;"|xK",Aux_puntos!$1:$1,0))="",NA(),INDEX(Aux_puntos!$A$2:$OJ$901,823,MATCH($B$2&amp;"|xK",Aux_puntos!$1:$1,0))),NA())</f>
        <v/>
      </c>
      <c r="AD827">
        <f>IFERROR(IF(INDEX(Aux_puntos!$A$2:$OJ$901,823,MATCH($B$2&amp;"|yK",Aux_puntos!$1:$1,0))="",NA(),INDEX(Aux_puntos!$A$2:$OJ$901,823,MATCH($B$2&amp;"|yK",Aux_puntos!$1:$1,0))),NA())</f>
        <v/>
      </c>
      <c r="AE827">
        <f>IFERROR(IF(INDEX(Aux_puntos!$A$2:$OJ$901,823,MATCH($B$2&amp;"|xC",Aux_puntos!$1:$1,0))="",NA(),INDEX(Aux_puntos!$A$2:$OJ$901,823,MATCH($B$2&amp;"|xC",Aux_puntos!$1:$1,0))),NA())</f>
        <v/>
      </c>
      <c r="AF827">
        <f>IFERROR(IF(INDEX(Aux_puntos!$A$2:$OJ$901,823,MATCH($B$2&amp;"|yC",Aux_puntos!$1:$1,0))="",NA(),INDEX(Aux_puntos!$A$2:$OJ$901,823,MATCH($B$2&amp;"|yC",Aux_puntos!$1:$1,0))),NA())</f>
        <v/>
      </c>
      <c r="AG827">
        <f>IFERROR(IF(INDEX(Aux_puntos!$A$2:$OJ$901,823,MATCH($B$2&amp;"|xI",Aux_puntos!$1:$1,0))="",NA(),INDEX(Aux_puntos!$A$2:$OJ$901,823,MATCH($B$2&amp;"|xI",Aux_puntos!$1:$1,0))),NA())</f>
        <v/>
      </c>
      <c r="AH827">
        <f>IFERROR(IF(INDEX(Aux_puntos!$A$2:$OJ$901,823,MATCH($B$2&amp;"|yI",Aux_puntos!$1:$1,0))="",NA(),INDEX(Aux_puntos!$A$2:$OJ$901,823,MATCH($B$2&amp;"|yI",Aux_puntos!$1:$1,0))),NA())</f>
        <v/>
      </c>
      <c r="AI827">
        <f>IFERROR(IF(INDEX(Aux_puntos!$A$2:$OJ$901,823,MATCH($B$2&amp;"|xN",Aux_puntos!$1:$1,0))="",NA(),INDEX(Aux_puntos!$A$2:$OJ$901,823,MATCH($B$2&amp;"|xN",Aux_puntos!$1:$1,0))),NA())</f>
        <v/>
      </c>
      <c r="AJ827">
        <f>IFERROR(IF(INDEX(Aux_puntos!$A$2:$OJ$901,823,MATCH($B$2&amp;"|yN",Aux_puntos!$1:$1,0))="",NA(),INDEX(Aux_puntos!$A$2:$OJ$901,823,MATCH($B$2&amp;"|yN",Aux_puntos!$1:$1,0))),NA())</f>
        <v/>
      </c>
    </row>
    <row r="828">
      <c r="AC828">
        <f>IFERROR(IF(INDEX(Aux_puntos!$A$2:$OJ$901,824,MATCH($B$2&amp;"|xK",Aux_puntos!$1:$1,0))="",NA(),INDEX(Aux_puntos!$A$2:$OJ$901,824,MATCH($B$2&amp;"|xK",Aux_puntos!$1:$1,0))),NA())</f>
        <v/>
      </c>
      <c r="AD828">
        <f>IFERROR(IF(INDEX(Aux_puntos!$A$2:$OJ$901,824,MATCH($B$2&amp;"|yK",Aux_puntos!$1:$1,0))="",NA(),INDEX(Aux_puntos!$A$2:$OJ$901,824,MATCH($B$2&amp;"|yK",Aux_puntos!$1:$1,0))),NA())</f>
        <v/>
      </c>
      <c r="AE828">
        <f>IFERROR(IF(INDEX(Aux_puntos!$A$2:$OJ$901,824,MATCH($B$2&amp;"|xC",Aux_puntos!$1:$1,0))="",NA(),INDEX(Aux_puntos!$A$2:$OJ$901,824,MATCH($B$2&amp;"|xC",Aux_puntos!$1:$1,0))),NA())</f>
        <v/>
      </c>
      <c r="AF828">
        <f>IFERROR(IF(INDEX(Aux_puntos!$A$2:$OJ$901,824,MATCH($B$2&amp;"|yC",Aux_puntos!$1:$1,0))="",NA(),INDEX(Aux_puntos!$A$2:$OJ$901,824,MATCH($B$2&amp;"|yC",Aux_puntos!$1:$1,0))),NA())</f>
        <v/>
      </c>
      <c r="AG828">
        <f>IFERROR(IF(INDEX(Aux_puntos!$A$2:$OJ$901,824,MATCH($B$2&amp;"|xI",Aux_puntos!$1:$1,0))="",NA(),INDEX(Aux_puntos!$A$2:$OJ$901,824,MATCH($B$2&amp;"|xI",Aux_puntos!$1:$1,0))),NA())</f>
        <v/>
      </c>
      <c r="AH828">
        <f>IFERROR(IF(INDEX(Aux_puntos!$A$2:$OJ$901,824,MATCH($B$2&amp;"|yI",Aux_puntos!$1:$1,0))="",NA(),INDEX(Aux_puntos!$A$2:$OJ$901,824,MATCH($B$2&amp;"|yI",Aux_puntos!$1:$1,0))),NA())</f>
        <v/>
      </c>
      <c r="AI828">
        <f>IFERROR(IF(INDEX(Aux_puntos!$A$2:$OJ$901,824,MATCH($B$2&amp;"|xN",Aux_puntos!$1:$1,0))="",NA(),INDEX(Aux_puntos!$A$2:$OJ$901,824,MATCH($B$2&amp;"|xN",Aux_puntos!$1:$1,0))),NA())</f>
        <v/>
      </c>
      <c r="AJ828">
        <f>IFERROR(IF(INDEX(Aux_puntos!$A$2:$OJ$901,824,MATCH($B$2&amp;"|yN",Aux_puntos!$1:$1,0))="",NA(),INDEX(Aux_puntos!$A$2:$OJ$901,824,MATCH($B$2&amp;"|yN",Aux_puntos!$1:$1,0))),NA())</f>
        <v/>
      </c>
    </row>
    <row r="829">
      <c r="AC829">
        <f>IFERROR(IF(INDEX(Aux_puntos!$A$2:$OJ$901,825,MATCH($B$2&amp;"|xK",Aux_puntos!$1:$1,0))="",NA(),INDEX(Aux_puntos!$A$2:$OJ$901,825,MATCH($B$2&amp;"|xK",Aux_puntos!$1:$1,0))),NA())</f>
        <v/>
      </c>
      <c r="AD829">
        <f>IFERROR(IF(INDEX(Aux_puntos!$A$2:$OJ$901,825,MATCH($B$2&amp;"|yK",Aux_puntos!$1:$1,0))="",NA(),INDEX(Aux_puntos!$A$2:$OJ$901,825,MATCH($B$2&amp;"|yK",Aux_puntos!$1:$1,0))),NA())</f>
        <v/>
      </c>
      <c r="AE829">
        <f>IFERROR(IF(INDEX(Aux_puntos!$A$2:$OJ$901,825,MATCH($B$2&amp;"|xC",Aux_puntos!$1:$1,0))="",NA(),INDEX(Aux_puntos!$A$2:$OJ$901,825,MATCH($B$2&amp;"|xC",Aux_puntos!$1:$1,0))),NA())</f>
        <v/>
      </c>
      <c r="AF829">
        <f>IFERROR(IF(INDEX(Aux_puntos!$A$2:$OJ$901,825,MATCH($B$2&amp;"|yC",Aux_puntos!$1:$1,0))="",NA(),INDEX(Aux_puntos!$A$2:$OJ$901,825,MATCH($B$2&amp;"|yC",Aux_puntos!$1:$1,0))),NA())</f>
        <v/>
      </c>
      <c r="AG829">
        <f>IFERROR(IF(INDEX(Aux_puntos!$A$2:$OJ$901,825,MATCH($B$2&amp;"|xI",Aux_puntos!$1:$1,0))="",NA(),INDEX(Aux_puntos!$A$2:$OJ$901,825,MATCH($B$2&amp;"|xI",Aux_puntos!$1:$1,0))),NA())</f>
        <v/>
      </c>
      <c r="AH829">
        <f>IFERROR(IF(INDEX(Aux_puntos!$A$2:$OJ$901,825,MATCH($B$2&amp;"|yI",Aux_puntos!$1:$1,0))="",NA(),INDEX(Aux_puntos!$A$2:$OJ$901,825,MATCH($B$2&amp;"|yI",Aux_puntos!$1:$1,0))),NA())</f>
        <v/>
      </c>
      <c r="AI829">
        <f>IFERROR(IF(INDEX(Aux_puntos!$A$2:$OJ$901,825,MATCH($B$2&amp;"|xN",Aux_puntos!$1:$1,0))="",NA(),INDEX(Aux_puntos!$A$2:$OJ$901,825,MATCH($B$2&amp;"|xN",Aux_puntos!$1:$1,0))),NA())</f>
        <v/>
      </c>
      <c r="AJ829">
        <f>IFERROR(IF(INDEX(Aux_puntos!$A$2:$OJ$901,825,MATCH($B$2&amp;"|yN",Aux_puntos!$1:$1,0))="",NA(),INDEX(Aux_puntos!$A$2:$OJ$901,825,MATCH($B$2&amp;"|yN",Aux_puntos!$1:$1,0))),NA())</f>
        <v/>
      </c>
    </row>
    <row r="830">
      <c r="AC830">
        <f>IFERROR(IF(INDEX(Aux_puntos!$A$2:$OJ$901,826,MATCH($B$2&amp;"|xK",Aux_puntos!$1:$1,0))="",NA(),INDEX(Aux_puntos!$A$2:$OJ$901,826,MATCH($B$2&amp;"|xK",Aux_puntos!$1:$1,0))),NA())</f>
        <v/>
      </c>
      <c r="AD830">
        <f>IFERROR(IF(INDEX(Aux_puntos!$A$2:$OJ$901,826,MATCH($B$2&amp;"|yK",Aux_puntos!$1:$1,0))="",NA(),INDEX(Aux_puntos!$A$2:$OJ$901,826,MATCH($B$2&amp;"|yK",Aux_puntos!$1:$1,0))),NA())</f>
        <v/>
      </c>
      <c r="AE830">
        <f>IFERROR(IF(INDEX(Aux_puntos!$A$2:$OJ$901,826,MATCH($B$2&amp;"|xC",Aux_puntos!$1:$1,0))="",NA(),INDEX(Aux_puntos!$A$2:$OJ$901,826,MATCH($B$2&amp;"|xC",Aux_puntos!$1:$1,0))),NA())</f>
        <v/>
      </c>
      <c r="AF830">
        <f>IFERROR(IF(INDEX(Aux_puntos!$A$2:$OJ$901,826,MATCH($B$2&amp;"|yC",Aux_puntos!$1:$1,0))="",NA(),INDEX(Aux_puntos!$A$2:$OJ$901,826,MATCH($B$2&amp;"|yC",Aux_puntos!$1:$1,0))),NA())</f>
        <v/>
      </c>
      <c r="AG830">
        <f>IFERROR(IF(INDEX(Aux_puntos!$A$2:$OJ$901,826,MATCH($B$2&amp;"|xI",Aux_puntos!$1:$1,0))="",NA(),INDEX(Aux_puntos!$A$2:$OJ$901,826,MATCH($B$2&amp;"|xI",Aux_puntos!$1:$1,0))),NA())</f>
        <v/>
      </c>
      <c r="AH830">
        <f>IFERROR(IF(INDEX(Aux_puntos!$A$2:$OJ$901,826,MATCH($B$2&amp;"|yI",Aux_puntos!$1:$1,0))="",NA(),INDEX(Aux_puntos!$A$2:$OJ$901,826,MATCH($B$2&amp;"|yI",Aux_puntos!$1:$1,0))),NA())</f>
        <v/>
      </c>
      <c r="AI830">
        <f>IFERROR(IF(INDEX(Aux_puntos!$A$2:$OJ$901,826,MATCH($B$2&amp;"|xN",Aux_puntos!$1:$1,0))="",NA(),INDEX(Aux_puntos!$A$2:$OJ$901,826,MATCH($B$2&amp;"|xN",Aux_puntos!$1:$1,0))),NA())</f>
        <v/>
      </c>
      <c r="AJ830">
        <f>IFERROR(IF(INDEX(Aux_puntos!$A$2:$OJ$901,826,MATCH($B$2&amp;"|yN",Aux_puntos!$1:$1,0))="",NA(),INDEX(Aux_puntos!$A$2:$OJ$901,826,MATCH($B$2&amp;"|yN",Aux_puntos!$1:$1,0))),NA())</f>
        <v/>
      </c>
    </row>
    <row r="831">
      <c r="AC831">
        <f>IFERROR(IF(INDEX(Aux_puntos!$A$2:$OJ$901,827,MATCH($B$2&amp;"|xK",Aux_puntos!$1:$1,0))="",NA(),INDEX(Aux_puntos!$A$2:$OJ$901,827,MATCH($B$2&amp;"|xK",Aux_puntos!$1:$1,0))),NA())</f>
        <v/>
      </c>
      <c r="AD831">
        <f>IFERROR(IF(INDEX(Aux_puntos!$A$2:$OJ$901,827,MATCH($B$2&amp;"|yK",Aux_puntos!$1:$1,0))="",NA(),INDEX(Aux_puntos!$A$2:$OJ$901,827,MATCH($B$2&amp;"|yK",Aux_puntos!$1:$1,0))),NA())</f>
        <v/>
      </c>
      <c r="AE831">
        <f>IFERROR(IF(INDEX(Aux_puntos!$A$2:$OJ$901,827,MATCH($B$2&amp;"|xC",Aux_puntos!$1:$1,0))="",NA(),INDEX(Aux_puntos!$A$2:$OJ$901,827,MATCH($B$2&amp;"|xC",Aux_puntos!$1:$1,0))),NA())</f>
        <v/>
      </c>
      <c r="AF831">
        <f>IFERROR(IF(INDEX(Aux_puntos!$A$2:$OJ$901,827,MATCH($B$2&amp;"|yC",Aux_puntos!$1:$1,0))="",NA(),INDEX(Aux_puntos!$A$2:$OJ$901,827,MATCH($B$2&amp;"|yC",Aux_puntos!$1:$1,0))),NA())</f>
        <v/>
      </c>
      <c r="AG831">
        <f>IFERROR(IF(INDEX(Aux_puntos!$A$2:$OJ$901,827,MATCH($B$2&amp;"|xI",Aux_puntos!$1:$1,0))="",NA(),INDEX(Aux_puntos!$A$2:$OJ$901,827,MATCH($B$2&amp;"|xI",Aux_puntos!$1:$1,0))),NA())</f>
        <v/>
      </c>
      <c r="AH831">
        <f>IFERROR(IF(INDEX(Aux_puntos!$A$2:$OJ$901,827,MATCH($B$2&amp;"|yI",Aux_puntos!$1:$1,0))="",NA(),INDEX(Aux_puntos!$A$2:$OJ$901,827,MATCH($B$2&amp;"|yI",Aux_puntos!$1:$1,0))),NA())</f>
        <v/>
      </c>
      <c r="AI831">
        <f>IFERROR(IF(INDEX(Aux_puntos!$A$2:$OJ$901,827,MATCH($B$2&amp;"|xN",Aux_puntos!$1:$1,0))="",NA(),INDEX(Aux_puntos!$A$2:$OJ$901,827,MATCH($B$2&amp;"|xN",Aux_puntos!$1:$1,0))),NA())</f>
        <v/>
      </c>
      <c r="AJ831">
        <f>IFERROR(IF(INDEX(Aux_puntos!$A$2:$OJ$901,827,MATCH($B$2&amp;"|yN",Aux_puntos!$1:$1,0))="",NA(),INDEX(Aux_puntos!$A$2:$OJ$901,827,MATCH($B$2&amp;"|yN",Aux_puntos!$1:$1,0))),NA())</f>
        <v/>
      </c>
    </row>
    <row r="832">
      <c r="AC832">
        <f>IFERROR(IF(INDEX(Aux_puntos!$A$2:$OJ$901,828,MATCH($B$2&amp;"|xK",Aux_puntos!$1:$1,0))="",NA(),INDEX(Aux_puntos!$A$2:$OJ$901,828,MATCH($B$2&amp;"|xK",Aux_puntos!$1:$1,0))),NA())</f>
        <v/>
      </c>
      <c r="AD832">
        <f>IFERROR(IF(INDEX(Aux_puntos!$A$2:$OJ$901,828,MATCH($B$2&amp;"|yK",Aux_puntos!$1:$1,0))="",NA(),INDEX(Aux_puntos!$A$2:$OJ$901,828,MATCH($B$2&amp;"|yK",Aux_puntos!$1:$1,0))),NA())</f>
        <v/>
      </c>
      <c r="AE832">
        <f>IFERROR(IF(INDEX(Aux_puntos!$A$2:$OJ$901,828,MATCH($B$2&amp;"|xC",Aux_puntos!$1:$1,0))="",NA(),INDEX(Aux_puntos!$A$2:$OJ$901,828,MATCH($B$2&amp;"|xC",Aux_puntos!$1:$1,0))),NA())</f>
        <v/>
      </c>
      <c r="AF832">
        <f>IFERROR(IF(INDEX(Aux_puntos!$A$2:$OJ$901,828,MATCH($B$2&amp;"|yC",Aux_puntos!$1:$1,0))="",NA(),INDEX(Aux_puntos!$A$2:$OJ$901,828,MATCH($B$2&amp;"|yC",Aux_puntos!$1:$1,0))),NA())</f>
        <v/>
      </c>
      <c r="AG832">
        <f>IFERROR(IF(INDEX(Aux_puntos!$A$2:$OJ$901,828,MATCH($B$2&amp;"|xI",Aux_puntos!$1:$1,0))="",NA(),INDEX(Aux_puntos!$A$2:$OJ$901,828,MATCH($B$2&amp;"|xI",Aux_puntos!$1:$1,0))),NA())</f>
        <v/>
      </c>
      <c r="AH832">
        <f>IFERROR(IF(INDEX(Aux_puntos!$A$2:$OJ$901,828,MATCH($B$2&amp;"|yI",Aux_puntos!$1:$1,0))="",NA(),INDEX(Aux_puntos!$A$2:$OJ$901,828,MATCH($B$2&amp;"|yI",Aux_puntos!$1:$1,0))),NA())</f>
        <v/>
      </c>
      <c r="AI832">
        <f>IFERROR(IF(INDEX(Aux_puntos!$A$2:$OJ$901,828,MATCH($B$2&amp;"|xN",Aux_puntos!$1:$1,0))="",NA(),INDEX(Aux_puntos!$A$2:$OJ$901,828,MATCH($B$2&amp;"|xN",Aux_puntos!$1:$1,0))),NA())</f>
        <v/>
      </c>
      <c r="AJ832">
        <f>IFERROR(IF(INDEX(Aux_puntos!$A$2:$OJ$901,828,MATCH($B$2&amp;"|yN",Aux_puntos!$1:$1,0))="",NA(),INDEX(Aux_puntos!$A$2:$OJ$901,828,MATCH($B$2&amp;"|yN",Aux_puntos!$1:$1,0))),NA())</f>
        <v/>
      </c>
    </row>
    <row r="833">
      <c r="AC833">
        <f>IFERROR(IF(INDEX(Aux_puntos!$A$2:$OJ$901,829,MATCH($B$2&amp;"|xK",Aux_puntos!$1:$1,0))="",NA(),INDEX(Aux_puntos!$A$2:$OJ$901,829,MATCH($B$2&amp;"|xK",Aux_puntos!$1:$1,0))),NA())</f>
        <v/>
      </c>
      <c r="AD833">
        <f>IFERROR(IF(INDEX(Aux_puntos!$A$2:$OJ$901,829,MATCH($B$2&amp;"|yK",Aux_puntos!$1:$1,0))="",NA(),INDEX(Aux_puntos!$A$2:$OJ$901,829,MATCH($B$2&amp;"|yK",Aux_puntos!$1:$1,0))),NA())</f>
        <v/>
      </c>
      <c r="AE833">
        <f>IFERROR(IF(INDEX(Aux_puntos!$A$2:$OJ$901,829,MATCH($B$2&amp;"|xC",Aux_puntos!$1:$1,0))="",NA(),INDEX(Aux_puntos!$A$2:$OJ$901,829,MATCH($B$2&amp;"|xC",Aux_puntos!$1:$1,0))),NA())</f>
        <v/>
      </c>
      <c r="AF833">
        <f>IFERROR(IF(INDEX(Aux_puntos!$A$2:$OJ$901,829,MATCH($B$2&amp;"|yC",Aux_puntos!$1:$1,0))="",NA(),INDEX(Aux_puntos!$A$2:$OJ$901,829,MATCH($B$2&amp;"|yC",Aux_puntos!$1:$1,0))),NA())</f>
        <v/>
      </c>
      <c r="AG833">
        <f>IFERROR(IF(INDEX(Aux_puntos!$A$2:$OJ$901,829,MATCH($B$2&amp;"|xI",Aux_puntos!$1:$1,0))="",NA(),INDEX(Aux_puntos!$A$2:$OJ$901,829,MATCH($B$2&amp;"|xI",Aux_puntos!$1:$1,0))),NA())</f>
        <v/>
      </c>
      <c r="AH833">
        <f>IFERROR(IF(INDEX(Aux_puntos!$A$2:$OJ$901,829,MATCH($B$2&amp;"|yI",Aux_puntos!$1:$1,0))="",NA(),INDEX(Aux_puntos!$A$2:$OJ$901,829,MATCH($B$2&amp;"|yI",Aux_puntos!$1:$1,0))),NA())</f>
        <v/>
      </c>
      <c r="AI833">
        <f>IFERROR(IF(INDEX(Aux_puntos!$A$2:$OJ$901,829,MATCH($B$2&amp;"|xN",Aux_puntos!$1:$1,0))="",NA(),INDEX(Aux_puntos!$A$2:$OJ$901,829,MATCH($B$2&amp;"|xN",Aux_puntos!$1:$1,0))),NA())</f>
        <v/>
      </c>
      <c r="AJ833">
        <f>IFERROR(IF(INDEX(Aux_puntos!$A$2:$OJ$901,829,MATCH($B$2&amp;"|yN",Aux_puntos!$1:$1,0))="",NA(),INDEX(Aux_puntos!$A$2:$OJ$901,829,MATCH($B$2&amp;"|yN",Aux_puntos!$1:$1,0))),NA())</f>
        <v/>
      </c>
    </row>
    <row r="834">
      <c r="AC834">
        <f>IFERROR(IF(INDEX(Aux_puntos!$A$2:$OJ$901,830,MATCH($B$2&amp;"|xK",Aux_puntos!$1:$1,0))="",NA(),INDEX(Aux_puntos!$A$2:$OJ$901,830,MATCH($B$2&amp;"|xK",Aux_puntos!$1:$1,0))),NA())</f>
        <v/>
      </c>
      <c r="AD834">
        <f>IFERROR(IF(INDEX(Aux_puntos!$A$2:$OJ$901,830,MATCH($B$2&amp;"|yK",Aux_puntos!$1:$1,0))="",NA(),INDEX(Aux_puntos!$A$2:$OJ$901,830,MATCH($B$2&amp;"|yK",Aux_puntos!$1:$1,0))),NA())</f>
        <v/>
      </c>
      <c r="AE834">
        <f>IFERROR(IF(INDEX(Aux_puntos!$A$2:$OJ$901,830,MATCH($B$2&amp;"|xC",Aux_puntos!$1:$1,0))="",NA(),INDEX(Aux_puntos!$A$2:$OJ$901,830,MATCH($B$2&amp;"|xC",Aux_puntos!$1:$1,0))),NA())</f>
        <v/>
      </c>
      <c r="AF834">
        <f>IFERROR(IF(INDEX(Aux_puntos!$A$2:$OJ$901,830,MATCH($B$2&amp;"|yC",Aux_puntos!$1:$1,0))="",NA(),INDEX(Aux_puntos!$A$2:$OJ$901,830,MATCH($B$2&amp;"|yC",Aux_puntos!$1:$1,0))),NA())</f>
        <v/>
      </c>
      <c r="AG834">
        <f>IFERROR(IF(INDEX(Aux_puntos!$A$2:$OJ$901,830,MATCH($B$2&amp;"|xI",Aux_puntos!$1:$1,0))="",NA(),INDEX(Aux_puntos!$A$2:$OJ$901,830,MATCH($B$2&amp;"|xI",Aux_puntos!$1:$1,0))),NA())</f>
        <v/>
      </c>
      <c r="AH834">
        <f>IFERROR(IF(INDEX(Aux_puntos!$A$2:$OJ$901,830,MATCH($B$2&amp;"|yI",Aux_puntos!$1:$1,0))="",NA(),INDEX(Aux_puntos!$A$2:$OJ$901,830,MATCH($B$2&amp;"|yI",Aux_puntos!$1:$1,0))),NA())</f>
        <v/>
      </c>
      <c r="AI834">
        <f>IFERROR(IF(INDEX(Aux_puntos!$A$2:$OJ$901,830,MATCH($B$2&amp;"|xN",Aux_puntos!$1:$1,0))="",NA(),INDEX(Aux_puntos!$A$2:$OJ$901,830,MATCH($B$2&amp;"|xN",Aux_puntos!$1:$1,0))),NA())</f>
        <v/>
      </c>
      <c r="AJ834">
        <f>IFERROR(IF(INDEX(Aux_puntos!$A$2:$OJ$901,830,MATCH($B$2&amp;"|yN",Aux_puntos!$1:$1,0))="",NA(),INDEX(Aux_puntos!$A$2:$OJ$901,830,MATCH($B$2&amp;"|yN",Aux_puntos!$1:$1,0))),NA())</f>
        <v/>
      </c>
    </row>
    <row r="835">
      <c r="AC835">
        <f>IFERROR(IF(INDEX(Aux_puntos!$A$2:$OJ$901,831,MATCH($B$2&amp;"|xK",Aux_puntos!$1:$1,0))="",NA(),INDEX(Aux_puntos!$A$2:$OJ$901,831,MATCH($B$2&amp;"|xK",Aux_puntos!$1:$1,0))),NA())</f>
        <v/>
      </c>
      <c r="AD835">
        <f>IFERROR(IF(INDEX(Aux_puntos!$A$2:$OJ$901,831,MATCH($B$2&amp;"|yK",Aux_puntos!$1:$1,0))="",NA(),INDEX(Aux_puntos!$A$2:$OJ$901,831,MATCH($B$2&amp;"|yK",Aux_puntos!$1:$1,0))),NA())</f>
        <v/>
      </c>
      <c r="AE835">
        <f>IFERROR(IF(INDEX(Aux_puntos!$A$2:$OJ$901,831,MATCH($B$2&amp;"|xC",Aux_puntos!$1:$1,0))="",NA(),INDEX(Aux_puntos!$A$2:$OJ$901,831,MATCH($B$2&amp;"|xC",Aux_puntos!$1:$1,0))),NA())</f>
        <v/>
      </c>
      <c r="AF835">
        <f>IFERROR(IF(INDEX(Aux_puntos!$A$2:$OJ$901,831,MATCH($B$2&amp;"|yC",Aux_puntos!$1:$1,0))="",NA(),INDEX(Aux_puntos!$A$2:$OJ$901,831,MATCH($B$2&amp;"|yC",Aux_puntos!$1:$1,0))),NA())</f>
        <v/>
      </c>
      <c r="AG835">
        <f>IFERROR(IF(INDEX(Aux_puntos!$A$2:$OJ$901,831,MATCH($B$2&amp;"|xI",Aux_puntos!$1:$1,0))="",NA(),INDEX(Aux_puntos!$A$2:$OJ$901,831,MATCH($B$2&amp;"|xI",Aux_puntos!$1:$1,0))),NA())</f>
        <v/>
      </c>
      <c r="AH835">
        <f>IFERROR(IF(INDEX(Aux_puntos!$A$2:$OJ$901,831,MATCH($B$2&amp;"|yI",Aux_puntos!$1:$1,0))="",NA(),INDEX(Aux_puntos!$A$2:$OJ$901,831,MATCH($B$2&amp;"|yI",Aux_puntos!$1:$1,0))),NA())</f>
        <v/>
      </c>
      <c r="AI835">
        <f>IFERROR(IF(INDEX(Aux_puntos!$A$2:$OJ$901,831,MATCH($B$2&amp;"|xN",Aux_puntos!$1:$1,0))="",NA(),INDEX(Aux_puntos!$A$2:$OJ$901,831,MATCH($B$2&amp;"|xN",Aux_puntos!$1:$1,0))),NA())</f>
        <v/>
      </c>
      <c r="AJ835">
        <f>IFERROR(IF(INDEX(Aux_puntos!$A$2:$OJ$901,831,MATCH($B$2&amp;"|yN",Aux_puntos!$1:$1,0))="",NA(),INDEX(Aux_puntos!$A$2:$OJ$901,831,MATCH($B$2&amp;"|yN",Aux_puntos!$1:$1,0))),NA())</f>
        <v/>
      </c>
    </row>
    <row r="836">
      <c r="AC836">
        <f>IFERROR(IF(INDEX(Aux_puntos!$A$2:$OJ$901,832,MATCH($B$2&amp;"|xK",Aux_puntos!$1:$1,0))="",NA(),INDEX(Aux_puntos!$A$2:$OJ$901,832,MATCH($B$2&amp;"|xK",Aux_puntos!$1:$1,0))),NA())</f>
        <v/>
      </c>
      <c r="AD836">
        <f>IFERROR(IF(INDEX(Aux_puntos!$A$2:$OJ$901,832,MATCH($B$2&amp;"|yK",Aux_puntos!$1:$1,0))="",NA(),INDEX(Aux_puntos!$A$2:$OJ$901,832,MATCH($B$2&amp;"|yK",Aux_puntos!$1:$1,0))),NA())</f>
        <v/>
      </c>
      <c r="AE836">
        <f>IFERROR(IF(INDEX(Aux_puntos!$A$2:$OJ$901,832,MATCH($B$2&amp;"|xC",Aux_puntos!$1:$1,0))="",NA(),INDEX(Aux_puntos!$A$2:$OJ$901,832,MATCH($B$2&amp;"|xC",Aux_puntos!$1:$1,0))),NA())</f>
        <v/>
      </c>
      <c r="AF836">
        <f>IFERROR(IF(INDEX(Aux_puntos!$A$2:$OJ$901,832,MATCH($B$2&amp;"|yC",Aux_puntos!$1:$1,0))="",NA(),INDEX(Aux_puntos!$A$2:$OJ$901,832,MATCH($B$2&amp;"|yC",Aux_puntos!$1:$1,0))),NA())</f>
        <v/>
      </c>
      <c r="AG836">
        <f>IFERROR(IF(INDEX(Aux_puntos!$A$2:$OJ$901,832,MATCH($B$2&amp;"|xI",Aux_puntos!$1:$1,0))="",NA(),INDEX(Aux_puntos!$A$2:$OJ$901,832,MATCH($B$2&amp;"|xI",Aux_puntos!$1:$1,0))),NA())</f>
        <v/>
      </c>
      <c r="AH836">
        <f>IFERROR(IF(INDEX(Aux_puntos!$A$2:$OJ$901,832,MATCH($B$2&amp;"|yI",Aux_puntos!$1:$1,0))="",NA(),INDEX(Aux_puntos!$A$2:$OJ$901,832,MATCH($B$2&amp;"|yI",Aux_puntos!$1:$1,0))),NA())</f>
        <v/>
      </c>
      <c r="AI836">
        <f>IFERROR(IF(INDEX(Aux_puntos!$A$2:$OJ$901,832,MATCH($B$2&amp;"|xN",Aux_puntos!$1:$1,0))="",NA(),INDEX(Aux_puntos!$A$2:$OJ$901,832,MATCH($B$2&amp;"|xN",Aux_puntos!$1:$1,0))),NA())</f>
        <v/>
      </c>
      <c r="AJ836">
        <f>IFERROR(IF(INDEX(Aux_puntos!$A$2:$OJ$901,832,MATCH($B$2&amp;"|yN",Aux_puntos!$1:$1,0))="",NA(),INDEX(Aux_puntos!$A$2:$OJ$901,832,MATCH($B$2&amp;"|yN",Aux_puntos!$1:$1,0))),NA())</f>
        <v/>
      </c>
    </row>
    <row r="837">
      <c r="AC837">
        <f>IFERROR(IF(INDEX(Aux_puntos!$A$2:$OJ$901,833,MATCH($B$2&amp;"|xK",Aux_puntos!$1:$1,0))="",NA(),INDEX(Aux_puntos!$A$2:$OJ$901,833,MATCH($B$2&amp;"|xK",Aux_puntos!$1:$1,0))),NA())</f>
        <v/>
      </c>
      <c r="AD837">
        <f>IFERROR(IF(INDEX(Aux_puntos!$A$2:$OJ$901,833,MATCH($B$2&amp;"|yK",Aux_puntos!$1:$1,0))="",NA(),INDEX(Aux_puntos!$A$2:$OJ$901,833,MATCH($B$2&amp;"|yK",Aux_puntos!$1:$1,0))),NA())</f>
        <v/>
      </c>
      <c r="AE837">
        <f>IFERROR(IF(INDEX(Aux_puntos!$A$2:$OJ$901,833,MATCH($B$2&amp;"|xC",Aux_puntos!$1:$1,0))="",NA(),INDEX(Aux_puntos!$A$2:$OJ$901,833,MATCH($B$2&amp;"|xC",Aux_puntos!$1:$1,0))),NA())</f>
        <v/>
      </c>
      <c r="AF837">
        <f>IFERROR(IF(INDEX(Aux_puntos!$A$2:$OJ$901,833,MATCH($B$2&amp;"|yC",Aux_puntos!$1:$1,0))="",NA(),INDEX(Aux_puntos!$A$2:$OJ$901,833,MATCH($B$2&amp;"|yC",Aux_puntos!$1:$1,0))),NA())</f>
        <v/>
      </c>
      <c r="AG837">
        <f>IFERROR(IF(INDEX(Aux_puntos!$A$2:$OJ$901,833,MATCH($B$2&amp;"|xI",Aux_puntos!$1:$1,0))="",NA(),INDEX(Aux_puntos!$A$2:$OJ$901,833,MATCH($B$2&amp;"|xI",Aux_puntos!$1:$1,0))),NA())</f>
        <v/>
      </c>
      <c r="AH837">
        <f>IFERROR(IF(INDEX(Aux_puntos!$A$2:$OJ$901,833,MATCH($B$2&amp;"|yI",Aux_puntos!$1:$1,0))="",NA(),INDEX(Aux_puntos!$A$2:$OJ$901,833,MATCH($B$2&amp;"|yI",Aux_puntos!$1:$1,0))),NA())</f>
        <v/>
      </c>
      <c r="AI837">
        <f>IFERROR(IF(INDEX(Aux_puntos!$A$2:$OJ$901,833,MATCH($B$2&amp;"|xN",Aux_puntos!$1:$1,0))="",NA(),INDEX(Aux_puntos!$A$2:$OJ$901,833,MATCH($B$2&amp;"|xN",Aux_puntos!$1:$1,0))),NA())</f>
        <v/>
      </c>
      <c r="AJ837">
        <f>IFERROR(IF(INDEX(Aux_puntos!$A$2:$OJ$901,833,MATCH($B$2&amp;"|yN",Aux_puntos!$1:$1,0))="",NA(),INDEX(Aux_puntos!$A$2:$OJ$901,833,MATCH($B$2&amp;"|yN",Aux_puntos!$1:$1,0))),NA())</f>
        <v/>
      </c>
    </row>
    <row r="838">
      <c r="AC838">
        <f>IFERROR(IF(INDEX(Aux_puntos!$A$2:$OJ$901,834,MATCH($B$2&amp;"|xK",Aux_puntos!$1:$1,0))="",NA(),INDEX(Aux_puntos!$A$2:$OJ$901,834,MATCH($B$2&amp;"|xK",Aux_puntos!$1:$1,0))),NA())</f>
        <v/>
      </c>
      <c r="AD838">
        <f>IFERROR(IF(INDEX(Aux_puntos!$A$2:$OJ$901,834,MATCH($B$2&amp;"|yK",Aux_puntos!$1:$1,0))="",NA(),INDEX(Aux_puntos!$A$2:$OJ$901,834,MATCH($B$2&amp;"|yK",Aux_puntos!$1:$1,0))),NA())</f>
        <v/>
      </c>
      <c r="AE838">
        <f>IFERROR(IF(INDEX(Aux_puntos!$A$2:$OJ$901,834,MATCH($B$2&amp;"|xC",Aux_puntos!$1:$1,0))="",NA(),INDEX(Aux_puntos!$A$2:$OJ$901,834,MATCH($B$2&amp;"|xC",Aux_puntos!$1:$1,0))),NA())</f>
        <v/>
      </c>
      <c r="AF838">
        <f>IFERROR(IF(INDEX(Aux_puntos!$A$2:$OJ$901,834,MATCH($B$2&amp;"|yC",Aux_puntos!$1:$1,0))="",NA(),INDEX(Aux_puntos!$A$2:$OJ$901,834,MATCH($B$2&amp;"|yC",Aux_puntos!$1:$1,0))),NA())</f>
        <v/>
      </c>
      <c r="AG838">
        <f>IFERROR(IF(INDEX(Aux_puntos!$A$2:$OJ$901,834,MATCH($B$2&amp;"|xI",Aux_puntos!$1:$1,0))="",NA(),INDEX(Aux_puntos!$A$2:$OJ$901,834,MATCH($B$2&amp;"|xI",Aux_puntos!$1:$1,0))),NA())</f>
        <v/>
      </c>
      <c r="AH838">
        <f>IFERROR(IF(INDEX(Aux_puntos!$A$2:$OJ$901,834,MATCH($B$2&amp;"|yI",Aux_puntos!$1:$1,0))="",NA(),INDEX(Aux_puntos!$A$2:$OJ$901,834,MATCH($B$2&amp;"|yI",Aux_puntos!$1:$1,0))),NA())</f>
        <v/>
      </c>
      <c r="AI838">
        <f>IFERROR(IF(INDEX(Aux_puntos!$A$2:$OJ$901,834,MATCH($B$2&amp;"|xN",Aux_puntos!$1:$1,0))="",NA(),INDEX(Aux_puntos!$A$2:$OJ$901,834,MATCH($B$2&amp;"|xN",Aux_puntos!$1:$1,0))),NA())</f>
        <v/>
      </c>
      <c r="AJ838">
        <f>IFERROR(IF(INDEX(Aux_puntos!$A$2:$OJ$901,834,MATCH($B$2&amp;"|yN",Aux_puntos!$1:$1,0))="",NA(),INDEX(Aux_puntos!$A$2:$OJ$901,834,MATCH($B$2&amp;"|yN",Aux_puntos!$1:$1,0))),NA())</f>
        <v/>
      </c>
    </row>
    <row r="839">
      <c r="AC839">
        <f>IFERROR(IF(INDEX(Aux_puntos!$A$2:$OJ$901,835,MATCH($B$2&amp;"|xK",Aux_puntos!$1:$1,0))="",NA(),INDEX(Aux_puntos!$A$2:$OJ$901,835,MATCH($B$2&amp;"|xK",Aux_puntos!$1:$1,0))),NA())</f>
        <v/>
      </c>
      <c r="AD839">
        <f>IFERROR(IF(INDEX(Aux_puntos!$A$2:$OJ$901,835,MATCH($B$2&amp;"|yK",Aux_puntos!$1:$1,0))="",NA(),INDEX(Aux_puntos!$A$2:$OJ$901,835,MATCH($B$2&amp;"|yK",Aux_puntos!$1:$1,0))),NA())</f>
        <v/>
      </c>
      <c r="AE839">
        <f>IFERROR(IF(INDEX(Aux_puntos!$A$2:$OJ$901,835,MATCH($B$2&amp;"|xC",Aux_puntos!$1:$1,0))="",NA(),INDEX(Aux_puntos!$A$2:$OJ$901,835,MATCH($B$2&amp;"|xC",Aux_puntos!$1:$1,0))),NA())</f>
        <v/>
      </c>
      <c r="AF839">
        <f>IFERROR(IF(INDEX(Aux_puntos!$A$2:$OJ$901,835,MATCH($B$2&amp;"|yC",Aux_puntos!$1:$1,0))="",NA(),INDEX(Aux_puntos!$A$2:$OJ$901,835,MATCH($B$2&amp;"|yC",Aux_puntos!$1:$1,0))),NA())</f>
        <v/>
      </c>
      <c r="AG839">
        <f>IFERROR(IF(INDEX(Aux_puntos!$A$2:$OJ$901,835,MATCH($B$2&amp;"|xI",Aux_puntos!$1:$1,0))="",NA(),INDEX(Aux_puntos!$A$2:$OJ$901,835,MATCH($B$2&amp;"|xI",Aux_puntos!$1:$1,0))),NA())</f>
        <v/>
      </c>
      <c r="AH839">
        <f>IFERROR(IF(INDEX(Aux_puntos!$A$2:$OJ$901,835,MATCH($B$2&amp;"|yI",Aux_puntos!$1:$1,0))="",NA(),INDEX(Aux_puntos!$A$2:$OJ$901,835,MATCH($B$2&amp;"|yI",Aux_puntos!$1:$1,0))),NA())</f>
        <v/>
      </c>
      <c r="AI839">
        <f>IFERROR(IF(INDEX(Aux_puntos!$A$2:$OJ$901,835,MATCH($B$2&amp;"|xN",Aux_puntos!$1:$1,0))="",NA(),INDEX(Aux_puntos!$A$2:$OJ$901,835,MATCH($B$2&amp;"|xN",Aux_puntos!$1:$1,0))),NA())</f>
        <v/>
      </c>
      <c r="AJ839">
        <f>IFERROR(IF(INDEX(Aux_puntos!$A$2:$OJ$901,835,MATCH($B$2&amp;"|yN",Aux_puntos!$1:$1,0))="",NA(),INDEX(Aux_puntos!$A$2:$OJ$901,835,MATCH($B$2&amp;"|yN",Aux_puntos!$1:$1,0))),NA())</f>
        <v/>
      </c>
    </row>
    <row r="840">
      <c r="AC840">
        <f>IFERROR(IF(INDEX(Aux_puntos!$A$2:$OJ$901,836,MATCH($B$2&amp;"|xK",Aux_puntos!$1:$1,0))="",NA(),INDEX(Aux_puntos!$A$2:$OJ$901,836,MATCH($B$2&amp;"|xK",Aux_puntos!$1:$1,0))),NA())</f>
        <v/>
      </c>
      <c r="AD840">
        <f>IFERROR(IF(INDEX(Aux_puntos!$A$2:$OJ$901,836,MATCH($B$2&amp;"|yK",Aux_puntos!$1:$1,0))="",NA(),INDEX(Aux_puntos!$A$2:$OJ$901,836,MATCH($B$2&amp;"|yK",Aux_puntos!$1:$1,0))),NA())</f>
        <v/>
      </c>
      <c r="AE840">
        <f>IFERROR(IF(INDEX(Aux_puntos!$A$2:$OJ$901,836,MATCH($B$2&amp;"|xC",Aux_puntos!$1:$1,0))="",NA(),INDEX(Aux_puntos!$A$2:$OJ$901,836,MATCH($B$2&amp;"|xC",Aux_puntos!$1:$1,0))),NA())</f>
        <v/>
      </c>
      <c r="AF840">
        <f>IFERROR(IF(INDEX(Aux_puntos!$A$2:$OJ$901,836,MATCH($B$2&amp;"|yC",Aux_puntos!$1:$1,0))="",NA(),INDEX(Aux_puntos!$A$2:$OJ$901,836,MATCH($B$2&amp;"|yC",Aux_puntos!$1:$1,0))),NA())</f>
        <v/>
      </c>
      <c r="AG840">
        <f>IFERROR(IF(INDEX(Aux_puntos!$A$2:$OJ$901,836,MATCH($B$2&amp;"|xI",Aux_puntos!$1:$1,0))="",NA(),INDEX(Aux_puntos!$A$2:$OJ$901,836,MATCH($B$2&amp;"|xI",Aux_puntos!$1:$1,0))),NA())</f>
        <v/>
      </c>
      <c r="AH840">
        <f>IFERROR(IF(INDEX(Aux_puntos!$A$2:$OJ$901,836,MATCH($B$2&amp;"|yI",Aux_puntos!$1:$1,0))="",NA(),INDEX(Aux_puntos!$A$2:$OJ$901,836,MATCH($B$2&amp;"|yI",Aux_puntos!$1:$1,0))),NA())</f>
        <v/>
      </c>
      <c r="AI840">
        <f>IFERROR(IF(INDEX(Aux_puntos!$A$2:$OJ$901,836,MATCH($B$2&amp;"|xN",Aux_puntos!$1:$1,0))="",NA(),INDEX(Aux_puntos!$A$2:$OJ$901,836,MATCH($B$2&amp;"|xN",Aux_puntos!$1:$1,0))),NA())</f>
        <v/>
      </c>
      <c r="AJ840">
        <f>IFERROR(IF(INDEX(Aux_puntos!$A$2:$OJ$901,836,MATCH($B$2&amp;"|yN",Aux_puntos!$1:$1,0))="",NA(),INDEX(Aux_puntos!$A$2:$OJ$901,836,MATCH($B$2&amp;"|yN",Aux_puntos!$1:$1,0))),NA())</f>
        <v/>
      </c>
    </row>
    <row r="841">
      <c r="AC841">
        <f>IFERROR(IF(INDEX(Aux_puntos!$A$2:$OJ$901,837,MATCH($B$2&amp;"|xK",Aux_puntos!$1:$1,0))="",NA(),INDEX(Aux_puntos!$A$2:$OJ$901,837,MATCH($B$2&amp;"|xK",Aux_puntos!$1:$1,0))),NA())</f>
        <v/>
      </c>
      <c r="AD841">
        <f>IFERROR(IF(INDEX(Aux_puntos!$A$2:$OJ$901,837,MATCH($B$2&amp;"|yK",Aux_puntos!$1:$1,0))="",NA(),INDEX(Aux_puntos!$A$2:$OJ$901,837,MATCH($B$2&amp;"|yK",Aux_puntos!$1:$1,0))),NA())</f>
        <v/>
      </c>
      <c r="AE841">
        <f>IFERROR(IF(INDEX(Aux_puntos!$A$2:$OJ$901,837,MATCH($B$2&amp;"|xC",Aux_puntos!$1:$1,0))="",NA(),INDEX(Aux_puntos!$A$2:$OJ$901,837,MATCH($B$2&amp;"|xC",Aux_puntos!$1:$1,0))),NA())</f>
        <v/>
      </c>
      <c r="AF841">
        <f>IFERROR(IF(INDEX(Aux_puntos!$A$2:$OJ$901,837,MATCH($B$2&amp;"|yC",Aux_puntos!$1:$1,0))="",NA(),INDEX(Aux_puntos!$A$2:$OJ$901,837,MATCH($B$2&amp;"|yC",Aux_puntos!$1:$1,0))),NA())</f>
        <v/>
      </c>
      <c r="AG841">
        <f>IFERROR(IF(INDEX(Aux_puntos!$A$2:$OJ$901,837,MATCH($B$2&amp;"|xI",Aux_puntos!$1:$1,0))="",NA(),INDEX(Aux_puntos!$A$2:$OJ$901,837,MATCH($B$2&amp;"|xI",Aux_puntos!$1:$1,0))),NA())</f>
        <v/>
      </c>
      <c r="AH841">
        <f>IFERROR(IF(INDEX(Aux_puntos!$A$2:$OJ$901,837,MATCH($B$2&amp;"|yI",Aux_puntos!$1:$1,0))="",NA(),INDEX(Aux_puntos!$A$2:$OJ$901,837,MATCH($B$2&amp;"|yI",Aux_puntos!$1:$1,0))),NA())</f>
        <v/>
      </c>
      <c r="AI841">
        <f>IFERROR(IF(INDEX(Aux_puntos!$A$2:$OJ$901,837,MATCH($B$2&amp;"|xN",Aux_puntos!$1:$1,0))="",NA(),INDEX(Aux_puntos!$A$2:$OJ$901,837,MATCH($B$2&amp;"|xN",Aux_puntos!$1:$1,0))),NA())</f>
        <v/>
      </c>
      <c r="AJ841">
        <f>IFERROR(IF(INDEX(Aux_puntos!$A$2:$OJ$901,837,MATCH($B$2&amp;"|yN",Aux_puntos!$1:$1,0))="",NA(),INDEX(Aux_puntos!$A$2:$OJ$901,837,MATCH($B$2&amp;"|yN",Aux_puntos!$1:$1,0))),NA())</f>
        <v/>
      </c>
    </row>
    <row r="842">
      <c r="AC842">
        <f>IFERROR(IF(INDEX(Aux_puntos!$A$2:$OJ$901,838,MATCH($B$2&amp;"|xK",Aux_puntos!$1:$1,0))="",NA(),INDEX(Aux_puntos!$A$2:$OJ$901,838,MATCH($B$2&amp;"|xK",Aux_puntos!$1:$1,0))),NA())</f>
        <v/>
      </c>
      <c r="AD842">
        <f>IFERROR(IF(INDEX(Aux_puntos!$A$2:$OJ$901,838,MATCH($B$2&amp;"|yK",Aux_puntos!$1:$1,0))="",NA(),INDEX(Aux_puntos!$A$2:$OJ$901,838,MATCH($B$2&amp;"|yK",Aux_puntos!$1:$1,0))),NA())</f>
        <v/>
      </c>
      <c r="AE842">
        <f>IFERROR(IF(INDEX(Aux_puntos!$A$2:$OJ$901,838,MATCH($B$2&amp;"|xC",Aux_puntos!$1:$1,0))="",NA(),INDEX(Aux_puntos!$A$2:$OJ$901,838,MATCH($B$2&amp;"|xC",Aux_puntos!$1:$1,0))),NA())</f>
        <v/>
      </c>
      <c r="AF842">
        <f>IFERROR(IF(INDEX(Aux_puntos!$A$2:$OJ$901,838,MATCH($B$2&amp;"|yC",Aux_puntos!$1:$1,0))="",NA(),INDEX(Aux_puntos!$A$2:$OJ$901,838,MATCH($B$2&amp;"|yC",Aux_puntos!$1:$1,0))),NA())</f>
        <v/>
      </c>
      <c r="AG842">
        <f>IFERROR(IF(INDEX(Aux_puntos!$A$2:$OJ$901,838,MATCH($B$2&amp;"|xI",Aux_puntos!$1:$1,0))="",NA(),INDEX(Aux_puntos!$A$2:$OJ$901,838,MATCH($B$2&amp;"|xI",Aux_puntos!$1:$1,0))),NA())</f>
        <v/>
      </c>
      <c r="AH842">
        <f>IFERROR(IF(INDEX(Aux_puntos!$A$2:$OJ$901,838,MATCH($B$2&amp;"|yI",Aux_puntos!$1:$1,0))="",NA(),INDEX(Aux_puntos!$A$2:$OJ$901,838,MATCH($B$2&amp;"|yI",Aux_puntos!$1:$1,0))),NA())</f>
        <v/>
      </c>
      <c r="AI842">
        <f>IFERROR(IF(INDEX(Aux_puntos!$A$2:$OJ$901,838,MATCH($B$2&amp;"|xN",Aux_puntos!$1:$1,0))="",NA(),INDEX(Aux_puntos!$A$2:$OJ$901,838,MATCH($B$2&amp;"|xN",Aux_puntos!$1:$1,0))),NA())</f>
        <v/>
      </c>
      <c r="AJ842">
        <f>IFERROR(IF(INDEX(Aux_puntos!$A$2:$OJ$901,838,MATCH($B$2&amp;"|yN",Aux_puntos!$1:$1,0))="",NA(),INDEX(Aux_puntos!$A$2:$OJ$901,838,MATCH($B$2&amp;"|yN",Aux_puntos!$1:$1,0))),NA())</f>
        <v/>
      </c>
    </row>
    <row r="843">
      <c r="AC843">
        <f>IFERROR(IF(INDEX(Aux_puntos!$A$2:$OJ$901,839,MATCH($B$2&amp;"|xK",Aux_puntos!$1:$1,0))="",NA(),INDEX(Aux_puntos!$A$2:$OJ$901,839,MATCH($B$2&amp;"|xK",Aux_puntos!$1:$1,0))),NA())</f>
        <v/>
      </c>
      <c r="AD843">
        <f>IFERROR(IF(INDEX(Aux_puntos!$A$2:$OJ$901,839,MATCH($B$2&amp;"|yK",Aux_puntos!$1:$1,0))="",NA(),INDEX(Aux_puntos!$A$2:$OJ$901,839,MATCH($B$2&amp;"|yK",Aux_puntos!$1:$1,0))),NA())</f>
        <v/>
      </c>
      <c r="AE843">
        <f>IFERROR(IF(INDEX(Aux_puntos!$A$2:$OJ$901,839,MATCH($B$2&amp;"|xC",Aux_puntos!$1:$1,0))="",NA(),INDEX(Aux_puntos!$A$2:$OJ$901,839,MATCH($B$2&amp;"|xC",Aux_puntos!$1:$1,0))),NA())</f>
        <v/>
      </c>
      <c r="AF843">
        <f>IFERROR(IF(INDEX(Aux_puntos!$A$2:$OJ$901,839,MATCH($B$2&amp;"|yC",Aux_puntos!$1:$1,0))="",NA(),INDEX(Aux_puntos!$A$2:$OJ$901,839,MATCH($B$2&amp;"|yC",Aux_puntos!$1:$1,0))),NA())</f>
        <v/>
      </c>
      <c r="AG843">
        <f>IFERROR(IF(INDEX(Aux_puntos!$A$2:$OJ$901,839,MATCH($B$2&amp;"|xI",Aux_puntos!$1:$1,0))="",NA(),INDEX(Aux_puntos!$A$2:$OJ$901,839,MATCH($B$2&amp;"|xI",Aux_puntos!$1:$1,0))),NA())</f>
        <v/>
      </c>
      <c r="AH843">
        <f>IFERROR(IF(INDEX(Aux_puntos!$A$2:$OJ$901,839,MATCH($B$2&amp;"|yI",Aux_puntos!$1:$1,0))="",NA(),INDEX(Aux_puntos!$A$2:$OJ$901,839,MATCH($B$2&amp;"|yI",Aux_puntos!$1:$1,0))),NA())</f>
        <v/>
      </c>
      <c r="AI843">
        <f>IFERROR(IF(INDEX(Aux_puntos!$A$2:$OJ$901,839,MATCH($B$2&amp;"|xN",Aux_puntos!$1:$1,0))="",NA(),INDEX(Aux_puntos!$A$2:$OJ$901,839,MATCH($B$2&amp;"|xN",Aux_puntos!$1:$1,0))),NA())</f>
        <v/>
      </c>
      <c r="AJ843">
        <f>IFERROR(IF(INDEX(Aux_puntos!$A$2:$OJ$901,839,MATCH($B$2&amp;"|yN",Aux_puntos!$1:$1,0))="",NA(),INDEX(Aux_puntos!$A$2:$OJ$901,839,MATCH($B$2&amp;"|yN",Aux_puntos!$1:$1,0))),NA())</f>
        <v/>
      </c>
    </row>
    <row r="844">
      <c r="AC844">
        <f>IFERROR(IF(INDEX(Aux_puntos!$A$2:$OJ$901,840,MATCH($B$2&amp;"|xK",Aux_puntos!$1:$1,0))="",NA(),INDEX(Aux_puntos!$A$2:$OJ$901,840,MATCH($B$2&amp;"|xK",Aux_puntos!$1:$1,0))),NA())</f>
        <v/>
      </c>
      <c r="AD844">
        <f>IFERROR(IF(INDEX(Aux_puntos!$A$2:$OJ$901,840,MATCH($B$2&amp;"|yK",Aux_puntos!$1:$1,0))="",NA(),INDEX(Aux_puntos!$A$2:$OJ$901,840,MATCH($B$2&amp;"|yK",Aux_puntos!$1:$1,0))),NA())</f>
        <v/>
      </c>
      <c r="AE844">
        <f>IFERROR(IF(INDEX(Aux_puntos!$A$2:$OJ$901,840,MATCH($B$2&amp;"|xC",Aux_puntos!$1:$1,0))="",NA(),INDEX(Aux_puntos!$A$2:$OJ$901,840,MATCH($B$2&amp;"|xC",Aux_puntos!$1:$1,0))),NA())</f>
        <v/>
      </c>
      <c r="AF844">
        <f>IFERROR(IF(INDEX(Aux_puntos!$A$2:$OJ$901,840,MATCH($B$2&amp;"|yC",Aux_puntos!$1:$1,0))="",NA(),INDEX(Aux_puntos!$A$2:$OJ$901,840,MATCH($B$2&amp;"|yC",Aux_puntos!$1:$1,0))),NA())</f>
        <v/>
      </c>
      <c r="AG844">
        <f>IFERROR(IF(INDEX(Aux_puntos!$A$2:$OJ$901,840,MATCH($B$2&amp;"|xI",Aux_puntos!$1:$1,0))="",NA(),INDEX(Aux_puntos!$A$2:$OJ$901,840,MATCH($B$2&amp;"|xI",Aux_puntos!$1:$1,0))),NA())</f>
        <v/>
      </c>
      <c r="AH844">
        <f>IFERROR(IF(INDEX(Aux_puntos!$A$2:$OJ$901,840,MATCH($B$2&amp;"|yI",Aux_puntos!$1:$1,0))="",NA(),INDEX(Aux_puntos!$A$2:$OJ$901,840,MATCH($B$2&amp;"|yI",Aux_puntos!$1:$1,0))),NA())</f>
        <v/>
      </c>
      <c r="AI844">
        <f>IFERROR(IF(INDEX(Aux_puntos!$A$2:$OJ$901,840,MATCH($B$2&amp;"|xN",Aux_puntos!$1:$1,0))="",NA(),INDEX(Aux_puntos!$A$2:$OJ$901,840,MATCH($B$2&amp;"|xN",Aux_puntos!$1:$1,0))),NA())</f>
        <v/>
      </c>
      <c r="AJ844">
        <f>IFERROR(IF(INDEX(Aux_puntos!$A$2:$OJ$901,840,MATCH($B$2&amp;"|yN",Aux_puntos!$1:$1,0))="",NA(),INDEX(Aux_puntos!$A$2:$OJ$901,840,MATCH($B$2&amp;"|yN",Aux_puntos!$1:$1,0))),NA())</f>
        <v/>
      </c>
    </row>
    <row r="845">
      <c r="AC845">
        <f>IFERROR(IF(INDEX(Aux_puntos!$A$2:$OJ$901,841,MATCH($B$2&amp;"|xK",Aux_puntos!$1:$1,0))="",NA(),INDEX(Aux_puntos!$A$2:$OJ$901,841,MATCH($B$2&amp;"|xK",Aux_puntos!$1:$1,0))),NA())</f>
        <v/>
      </c>
      <c r="AD845">
        <f>IFERROR(IF(INDEX(Aux_puntos!$A$2:$OJ$901,841,MATCH($B$2&amp;"|yK",Aux_puntos!$1:$1,0))="",NA(),INDEX(Aux_puntos!$A$2:$OJ$901,841,MATCH($B$2&amp;"|yK",Aux_puntos!$1:$1,0))),NA())</f>
        <v/>
      </c>
      <c r="AE845">
        <f>IFERROR(IF(INDEX(Aux_puntos!$A$2:$OJ$901,841,MATCH($B$2&amp;"|xC",Aux_puntos!$1:$1,0))="",NA(),INDEX(Aux_puntos!$A$2:$OJ$901,841,MATCH($B$2&amp;"|xC",Aux_puntos!$1:$1,0))),NA())</f>
        <v/>
      </c>
      <c r="AF845">
        <f>IFERROR(IF(INDEX(Aux_puntos!$A$2:$OJ$901,841,MATCH($B$2&amp;"|yC",Aux_puntos!$1:$1,0))="",NA(),INDEX(Aux_puntos!$A$2:$OJ$901,841,MATCH($B$2&amp;"|yC",Aux_puntos!$1:$1,0))),NA())</f>
        <v/>
      </c>
      <c r="AG845">
        <f>IFERROR(IF(INDEX(Aux_puntos!$A$2:$OJ$901,841,MATCH($B$2&amp;"|xI",Aux_puntos!$1:$1,0))="",NA(),INDEX(Aux_puntos!$A$2:$OJ$901,841,MATCH($B$2&amp;"|xI",Aux_puntos!$1:$1,0))),NA())</f>
        <v/>
      </c>
      <c r="AH845">
        <f>IFERROR(IF(INDEX(Aux_puntos!$A$2:$OJ$901,841,MATCH($B$2&amp;"|yI",Aux_puntos!$1:$1,0))="",NA(),INDEX(Aux_puntos!$A$2:$OJ$901,841,MATCH($B$2&amp;"|yI",Aux_puntos!$1:$1,0))),NA())</f>
        <v/>
      </c>
      <c r="AI845">
        <f>IFERROR(IF(INDEX(Aux_puntos!$A$2:$OJ$901,841,MATCH($B$2&amp;"|xN",Aux_puntos!$1:$1,0))="",NA(),INDEX(Aux_puntos!$A$2:$OJ$901,841,MATCH($B$2&amp;"|xN",Aux_puntos!$1:$1,0))),NA())</f>
        <v/>
      </c>
      <c r="AJ845">
        <f>IFERROR(IF(INDEX(Aux_puntos!$A$2:$OJ$901,841,MATCH($B$2&amp;"|yN",Aux_puntos!$1:$1,0))="",NA(),INDEX(Aux_puntos!$A$2:$OJ$901,841,MATCH($B$2&amp;"|yN",Aux_puntos!$1:$1,0))),NA())</f>
        <v/>
      </c>
    </row>
    <row r="846">
      <c r="AC846">
        <f>IFERROR(IF(INDEX(Aux_puntos!$A$2:$OJ$901,842,MATCH($B$2&amp;"|xK",Aux_puntos!$1:$1,0))="",NA(),INDEX(Aux_puntos!$A$2:$OJ$901,842,MATCH($B$2&amp;"|xK",Aux_puntos!$1:$1,0))),NA())</f>
        <v/>
      </c>
      <c r="AD846">
        <f>IFERROR(IF(INDEX(Aux_puntos!$A$2:$OJ$901,842,MATCH($B$2&amp;"|yK",Aux_puntos!$1:$1,0))="",NA(),INDEX(Aux_puntos!$A$2:$OJ$901,842,MATCH($B$2&amp;"|yK",Aux_puntos!$1:$1,0))),NA())</f>
        <v/>
      </c>
      <c r="AE846">
        <f>IFERROR(IF(INDEX(Aux_puntos!$A$2:$OJ$901,842,MATCH($B$2&amp;"|xC",Aux_puntos!$1:$1,0))="",NA(),INDEX(Aux_puntos!$A$2:$OJ$901,842,MATCH($B$2&amp;"|xC",Aux_puntos!$1:$1,0))),NA())</f>
        <v/>
      </c>
      <c r="AF846">
        <f>IFERROR(IF(INDEX(Aux_puntos!$A$2:$OJ$901,842,MATCH($B$2&amp;"|yC",Aux_puntos!$1:$1,0))="",NA(),INDEX(Aux_puntos!$A$2:$OJ$901,842,MATCH($B$2&amp;"|yC",Aux_puntos!$1:$1,0))),NA())</f>
        <v/>
      </c>
      <c r="AG846">
        <f>IFERROR(IF(INDEX(Aux_puntos!$A$2:$OJ$901,842,MATCH($B$2&amp;"|xI",Aux_puntos!$1:$1,0))="",NA(),INDEX(Aux_puntos!$A$2:$OJ$901,842,MATCH($B$2&amp;"|xI",Aux_puntos!$1:$1,0))),NA())</f>
        <v/>
      </c>
      <c r="AH846">
        <f>IFERROR(IF(INDEX(Aux_puntos!$A$2:$OJ$901,842,MATCH($B$2&amp;"|yI",Aux_puntos!$1:$1,0))="",NA(),INDEX(Aux_puntos!$A$2:$OJ$901,842,MATCH($B$2&amp;"|yI",Aux_puntos!$1:$1,0))),NA())</f>
        <v/>
      </c>
      <c r="AI846">
        <f>IFERROR(IF(INDEX(Aux_puntos!$A$2:$OJ$901,842,MATCH($B$2&amp;"|xN",Aux_puntos!$1:$1,0))="",NA(),INDEX(Aux_puntos!$A$2:$OJ$901,842,MATCH($B$2&amp;"|xN",Aux_puntos!$1:$1,0))),NA())</f>
        <v/>
      </c>
      <c r="AJ846">
        <f>IFERROR(IF(INDEX(Aux_puntos!$A$2:$OJ$901,842,MATCH($B$2&amp;"|yN",Aux_puntos!$1:$1,0))="",NA(),INDEX(Aux_puntos!$A$2:$OJ$901,842,MATCH($B$2&amp;"|yN",Aux_puntos!$1:$1,0))),NA())</f>
        <v/>
      </c>
    </row>
    <row r="847">
      <c r="AC847">
        <f>IFERROR(IF(INDEX(Aux_puntos!$A$2:$OJ$901,843,MATCH($B$2&amp;"|xK",Aux_puntos!$1:$1,0))="",NA(),INDEX(Aux_puntos!$A$2:$OJ$901,843,MATCH($B$2&amp;"|xK",Aux_puntos!$1:$1,0))),NA())</f>
        <v/>
      </c>
      <c r="AD847">
        <f>IFERROR(IF(INDEX(Aux_puntos!$A$2:$OJ$901,843,MATCH($B$2&amp;"|yK",Aux_puntos!$1:$1,0))="",NA(),INDEX(Aux_puntos!$A$2:$OJ$901,843,MATCH($B$2&amp;"|yK",Aux_puntos!$1:$1,0))),NA())</f>
        <v/>
      </c>
      <c r="AE847">
        <f>IFERROR(IF(INDEX(Aux_puntos!$A$2:$OJ$901,843,MATCH($B$2&amp;"|xC",Aux_puntos!$1:$1,0))="",NA(),INDEX(Aux_puntos!$A$2:$OJ$901,843,MATCH($B$2&amp;"|xC",Aux_puntos!$1:$1,0))),NA())</f>
        <v/>
      </c>
      <c r="AF847">
        <f>IFERROR(IF(INDEX(Aux_puntos!$A$2:$OJ$901,843,MATCH($B$2&amp;"|yC",Aux_puntos!$1:$1,0))="",NA(),INDEX(Aux_puntos!$A$2:$OJ$901,843,MATCH($B$2&amp;"|yC",Aux_puntos!$1:$1,0))),NA())</f>
        <v/>
      </c>
      <c r="AG847">
        <f>IFERROR(IF(INDEX(Aux_puntos!$A$2:$OJ$901,843,MATCH($B$2&amp;"|xI",Aux_puntos!$1:$1,0))="",NA(),INDEX(Aux_puntos!$A$2:$OJ$901,843,MATCH($B$2&amp;"|xI",Aux_puntos!$1:$1,0))),NA())</f>
        <v/>
      </c>
      <c r="AH847">
        <f>IFERROR(IF(INDEX(Aux_puntos!$A$2:$OJ$901,843,MATCH($B$2&amp;"|yI",Aux_puntos!$1:$1,0))="",NA(),INDEX(Aux_puntos!$A$2:$OJ$901,843,MATCH($B$2&amp;"|yI",Aux_puntos!$1:$1,0))),NA())</f>
        <v/>
      </c>
      <c r="AI847">
        <f>IFERROR(IF(INDEX(Aux_puntos!$A$2:$OJ$901,843,MATCH($B$2&amp;"|xN",Aux_puntos!$1:$1,0))="",NA(),INDEX(Aux_puntos!$A$2:$OJ$901,843,MATCH($B$2&amp;"|xN",Aux_puntos!$1:$1,0))),NA())</f>
        <v/>
      </c>
      <c r="AJ847">
        <f>IFERROR(IF(INDEX(Aux_puntos!$A$2:$OJ$901,843,MATCH($B$2&amp;"|yN",Aux_puntos!$1:$1,0))="",NA(),INDEX(Aux_puntos!$A$2:$OJ$901,843,MATCH($B$2&amp;"|yN",Aux_puntos!$1:$1,0))),NA())</f>
        <v/>
      </c>
    </row>
    <row r="848">
      <c r="AC848">
        <f>IFERROR(IF(INDEX(Aux_puntos!$A$2:$OJ$901,844,MATCH($B$2&amp;"|xK",Aux_puntos!$1:$1,0))="",NA(),INDEX(Aux_puntos!$A$2:$OJ$901,844,MATCH($B$2&amp;"|xK",Aux_puntos!$1:$1,0))),NA())</f>
        <v/>
      </c>
      <c r="AD848">
        <f>IFERROR(IF(INDEX(Aux_puntos!$A$2:$OJ$901,844,MATCH($B$2&amp;"|yK",Aux_puntos!$1:$1,0))="",NA(),INDEX(Aux_puntos!$A$2:$OJ$901,844,MATCH($B$2&amp;"|yK",Aux_puntos!$1:$1,0))),NA())</f>
        <v/>
      </c>
      <c r="AE848">
        <f>IFERROR(IF(INDEX(Aux_puntos!$A$2:$OJ$901,844,MATCH($B$2&amp;"|xC",Aux_puntos!$1:$1,0))="",NA(),INDEX(Aux_puntos!$A$2:$OJ$901,844,MATCH($B$2&amp;"|xC",Aux_puntos!$1:$1,0))),NA())</f>
        <v/>
      </c>
      <c r="AF848">
        <f>IFERROR(IF(INDEX(Aux_puntos!$A$2:$OJ$901,844,MATCH($B$2&amp;"|yC",Aux_puntos!$1:$1,0))="",NA(),INDEX(Aux_puntos!$A$2:$OJ$901,844,MATCH($B$2&amp;"|yC",Aux_puntos!$1:$1,0))),NA())</f>
        <v/>
      </c>
      <c r="AG848">
        <f>IFERROR(IF(INDEX(Aux_puntos!$A$2:$OJ$901,844,MATCH($B$2&amp;"|xI",Aux_puntos!$1:$1,0))="",NA(),INDEX(Aux_puntos!$A$2:$OJ$901,844,MATCH($B$2&amp;"|xI",Aux_puntos!$1:$1,0))),NA())</f>
        <v/>
      </c>
      <c r="AH848">
        <f>IFERROR(IF(INDEX(Aux_puntos!$A$2:$OJ$901,844,MATCH($B$2&amp;"|yI",Aux_puntos!$1:$1,0))="",NA(),INDEX(Aux_puntos!$A$2:$OJ$901,844,MATCH($B$2&amp;"|yI",Aux_puntos!$1:$1,0))),NA())</f>
        <v/>
      </c>
      <c r="AI848">
        <f>IFERROR(IF(INDEX(Aux_puntos!$A$2:$OJ$901,844,MATCH($B$2&amp;"|xN",Aux_puntos!$1:$1,0))="",NA(),INDEX(Aux_puntos!$A$2:$OJ$901,844,MATCH($B$2&amp;"|xN",Aux_puntos!$1:$1,0))),NA())</f>
        <v/>
      </c>
      <c r="AJ848">
        <f>IFERROR(IF(INDEX(Aux_puntos!$A$2:$OJ$901,844,MATCH($B$2&amp;"|yN",Aux_puntos!$1:$1,0))="",NA(),INDEX(Aux_puntos!$A$2:$OJ$901,844,MATCH($B$2&amp;"|yN",Aux_puntos!$1:$1,0))),NA())</f>
        <v/>
      </c>
    </row>
    <row r="849">
      <c r="AC849">
        <f>IFERROR(IF(INDEX(Aux_puntos!$A$2:$OJ$901,845,MATCH($B$2&amp;"|xK",Aux_puntos!$1:$1,0))="",NA(),INDEX(Aux_puntos!$A$2:$OJ$901,845,MATCH($B$2&amp;"|xK",Aux_puntos!$1:$1,0))),NA())</f>
        <v/>
      </c>
      <c r="AD849">
        <f>IFERROR(IF(INDEX(Aux_puntos!$A$2:$OJ$901,845,MATCH($B$2&amp;"|yK",Aux_puntos!$1:$1,0))="",NA(),INDEX(Aux_puntos!$A$2:$OJ$901,845,MATCH($B$2&amp;"|yK",Aux_puntos!$1:$1,0))),NA())</f>
        <v/>
      </c>
      <c r="AE849">
        <f>IFERROR(IF(INDEX(Aux_puntos!$A$2:$OJ$901,845,MATCH($B$2&amp;"|xC",Aux_puntos!$1:$1,0))="",NA(),INDEX(Aux_puntos!$A$2:$OJ$901,845,MATCH($B$2&amp;"|xC",Aux_puntos!$1:$1,0))),NA())</f>
        <v/>
      </c>
      <c r="AF849">
        <f>IFERROR(IF(INDEX(Aux_puntos!$A$2:$OJ$901,845,MATCH($B$2&amp;"|yC",Aux_puntos!$1:$1,0))="",NA(),INDEX(Aux_puntos!$A$2:$OJ$901,845,MATCH($B$2&amp;"|yC",Aux_puntos!$1:$1,0))),NA())</f>
        <v/>
      </c>
      <c r="AG849">
        <f>IFERROR(IF(INDEX(Aux_puntos!$A$2:$OJ$901,845,MATCH($B$2&amp;"|xI",Aux_puntos!$1:$1,0))="",NA(),INDEX(Aux_puntos!$A$2:$OJ$901,845,MATCH($B$2&amp;"|xI",Aux_puntos!$1:$1,0))),NA())</f>
        <v/>
      </c>
      <c r="AH849">
        <f>IFERROR(IF(INDEX(Aux_puntos!$A$2:$OJ$901,845,MATCH($B$2&amp;"|yI",Aux_puntos!$1:$1,0))="",NA(),INDEX(Aux_puntos!$A$2:$OJ$901,845,MATCH($B$2&amp;"|yI",Aux_puntos!$1:$1,0))),NA())</f>
        <v/>
      </c>
      <c r="AI849">
        <f>IFERROR(IF(INDEX(Aux_puntos!$A$2:$OJ$901,845,MATCH($B$2&amp;"|xN",Aux_puntos!$1:$1,0))="",NA(),INDEX(Aux_puntos!$A$2:$OJ$901,845,MATCH($B$2&amp;"|xN",Aux_puntos!$1:$1,0))),NA())</f>
        <v/>
      </c>
      <c r="AJ849">
        <f>IFERROR(IF(INDEX(Aux_puntos!$A$2:$OJ$901,845,MATCH($B$2&amp;"|yN",Aux_puntos!$1:$1,0))="",NA(),INDEX(Aux_puntos!$A$2:$OJ$901,845,MATCH($B$2&amp;"|yN",Aux_puntos!$1:$1,0))),NA())</f>
        <v/>
      </c>
    </row>
    <row r="850">
      <c r="AC850">
        <f>IFERROR(IF(INDEX(Aux_puntos!$A$2:$OJ$901,846,MATCH($B$2&amp;"|xK",Aux_puntos!$1:$1,0))="",NA(),INDEX(Aux_puntos!$A$2:$OJ$901,846,MATCH($B$2&amp;"|xK",Aux_puntos!$1:$1,0))),NA())</f>
        <v/>
      </c>
      <c r="AD850">
        <f>IFERROR(IF(INDEX(Aux_puntos!$A$2:$OJ$901,846,MATCH($B$2&amp;"|yK",Aux_puntos!$1:$1,0))="",NA(),INDEX(Aux_puntos!$A$2:$OJ$901,846,MATCH($B$2&amp;"|yK",Aux_puntos!$1:$1,0))),NA())</f>
        <v/>
      </c>
      <c r="AE850">
        <f>IFERROR(IF(INDEX(Aux_puntos!$A$2:$OJ$901,846,MATCH($B$2&amp;"|xC",Aux_puntos!$1:$1,0))="",NA(),INDEX(Aux_puntos!$A$2:$OJ$901,846,MATCH($B$2&amp;"|xC",Aux_puntos!$1:$1,0))),NA())</f>
        <v/>
      </c>
      <c r="AF850">
        <f>IFERROR(IF(INDEX(Aux_puntos!$A$2:$OJ$901,846,MATCH($B$2&amp;"|yC",Aux_puntos!$1:$1,0))="",NA(),INDEX(Aux_puntos!$A$2:$OJ$901,846,MATCH($B$2&amp;"|yC",Aux_puntos!$1:$1,0))),NA())</f>
        <v/>
      </c>
      <c r="AG850">
        <f>IFERROR(IF(INDEX(Aux_puntos!$A$2:$OJ$901,846,MATCH($B$2&amp;"|xI",Aux_puntos!$1:$1,0))="",NA(),INDEX(Aux_puntos!$A$2:$OJ$901,846,MATCH($B$2&amp;"|xI",Aux_puntos!$1:$1,0))),NA())</f>
        <v/>
      </c>
      <c r="AH850">
        <f>IFERROR(IF(INDEX(Aux_puntos!$A$2:$OJ$901,846,MATCH($B$2&amp;"|yI",Aux_puntos!$1:$1,0))="",NA(),INDEX(Aux_puntos!$A$2:$OJ$901,846,MATCH($B$2&amp;"|yI",Aux_puntos!$1:$1,0))),NA())</f>
        <v/>
      </c>
      <c r="AI850">
        <f>IFERROR(IF(INDEX(Aux_puntos!$A$2:$OJ$901,846,MATCH($B$2&amp;"|xN",Aux_puntos!$1:$1,0))="",NA(),INDEX(Aux_puntos!$A$2:$OJ$901,846,MATCH($B$2&amp;"|xN",Aux_puntos!$1:$1,0))),NA())</f>
        <v/>
      </c>
      <c r="AJ850">
        <f>IFERROR(IF(INDEX(Aux_puntos!$A$2:$OJ$901,846,MATCH($B$2&amp;"|yN",Aux_puntos!$1:$1,0))="",NA(),INDEX(Aux_puntos!$A$2:$OJ$901,846,MATCH($B$2&amp;"|yN",Aux_puntos!$1:$1,0))),NA())</f>
        <v/>
      </c>
    </row>
    <row r="851">
      <c r="AC851">
        <f>IFERROR(IF(INDEX(Aux_puntos!$A$2:$OJ$901,847,MATCH($B$2&amp;"|xK",Aux_puntos!$1:$1,0))="",NA(),INDEX(Aux_puntos!$A$2:$OJ$901,847,MATCH($B$2&amp;"|xK",Aux_puntos!$1:$1,0))),NA())</f>
        <v/>
      </c>
      <c r="AD851">
        <f>IFERROR(IF(INDEX(Aux_puntos!$A$2:$OJ$901,847,MATCH($B$2&amp;"|yK",Aux_puntos!$1:$1,0))="",NA(),INDEX(Aux_puntos!$A$2:$OJ$901,847,MATCH($B$2&amp;"|yK",Aux_puntos!$1:$1,0))),NA())</f>
        <v/>
      </c>
      <c r="AE851">
        <f>IFERROR(IF(INDEX(Aux_puntos!$A$2:$OJ$901,847,MATCH($B$2&amp;"|xC",Aux_puntos!$1:$1,0))="",NA(),INDEX(Aux_puntos!$A$2:$OJ$901,847,MATCH($B$2&amp;"|xC",Aux_puntos!$1:$1,0))),NA())</f>
        <v/>
      </c>
      <c r="AF851">
        <f>IFERROR(IF(INDEX(Aux_puntos!$A$2:$OJ$901,847,MATCH($B$2&amp;"|yC",Aux_puntos!$1:$1,0))="",NA(),INDEX(Aux_puntos!$A$2:$OJ$901,847,MATCH($B$2&amp;"|yC",Aux_puntos!$1:$1,0))),NA())</f>
        <v/>
      </c>
      <c r="AG851">
        <f>IFERROR(IF(INDEX(Aux_puntos!$A$2:$OJ$901,847,MATCH($B$2&amp;"|xI",Aux_puntos!$1:$1,0))="",NA(),INDEX(Aux_puntos!$A$2:$OJ$901,847,MATCH($B$2&amp;"|xI",Aux_puntos!$1:$1,0))),NA())</f>
        <v/>
      </c>
      <c r="AH851">
        <f>IFERROR(IF(INDEX(Aux_puntos!$A$2:$OJ$901,847,MATCH($B$2&amp;"|yI",Aux_puntos!$1:$1,0))="",NA(),INDEX(Aux_puntos!$A$2:$OJ$901,847,MATCH($B$2&amp;"|yI",Aux_puntos!$1:$1,0))),NA())</f>
        <v/>
      </c>
      <c r="AI851">
        <f>IFERROR(IF(INDEX(Aux_puntos!$A$2:$OJ$901,847,MATCH($B$2&amp;"|xN",Aux_puntos!$1:$1,0))="",NA(),INDEX(Aux_puntos!$A$2:$OJ$901,847,MATCH($B$2&amp;"|xN",Aux_puntos!$1:$1,0))),NA())</f>
        <v/>
      </c>
      <c r="AJ851">
        <f>IFERROR(IF(INDEX(Aux_puntos!$A$2:$OJ$901,847,MATCH($B$2&amp;"|yN",Aux_puntos!$1:$1,0))="",NA(),INDEX(Aux_puntos!$A$2:$OJ$901,847,MATCH($B$2&amp;"|yN",Aux_puntos!$1:$1,0))),NA())</f>
        <v/>
      </c>
    </row>
    <row r="852">
      <c r="AC852">
        <f>IFERROR(IF(INDEX(Aux_puntos!$A$2:$OJ$901,848,MATCH($B$2&amp;"|xK",Aux_puntos!$1:$1,0))="",NA(),INDEX(Aux_puntos!$A$2:$OJ$901,848,MATCH($B$2&amp;"|xK",Aux_puntos!$1:$1,0))),NA())</f>
        <v/>
      </c>
      <c r="AD852">
        <f>IFERROR(IF(INDEX(Aux_puntos!$A$2:$OJ$901,848,MATCH($B$2&amp;"|yK",Aux_puntos!$1:$1,0))="",NA(),INDEX(Aux_puntos!$A$2:$OJ$901,848,MATCH($B$2&amp;"|yK",Aux_puntos!$1:$1,0))),NA())</f>
        <v/>
      </c>
      <c r="AE852">
        <f>IFERROR(IF(INDEX(Aux_puntos!$A$2:$OJ$901,848,MATCH($B$2&amp;"|xC",Aux_puntos!$1:$1,0))="",NA(),INDEX(Aux_puntos!$A$2:$OJ$901,848,MATCH($B$2&amp;"|xC",Aux_puntos!$1:$1,0))),NA())</f>
        <v/>
      </c>
      <c r="AF852">
        <f>IFERROR(IF(INDEX(Aux_puntos!$A$2:$OJ$901,848,MATCH($B$2&amp;"|yC",Aux_puntos!$1:$1,0))="",NA(),INDEX(Aux_puntos!$A$2:$OJ$901,848,MATCH($B$2&amp;"|yC",Aux_puntos!$1:$1,0))),NA())</f>
        <v/>
      </c>
      <c r="AG852">
        <f>IFERROR(IF(INDEX(Aux_puntos!$A$2:$OJ$901,848,MATCH($B$2&amp;"|xI",Aux_puntos!$1:$1,0))="",NA(),INDEX(Aux_puntos!$A$2:$OJ$901,848,MATCH($B$2&amp;"|xI",Aux_puntos!$1:$1,0))),NA())</f>
        <v/>
      </c>
      <c r="AH852">
        <f>IFERROR(IF(INDEX(Aux_puntos!$A$2:$OJ$901,848,MATCH($B$2&amp;"|yI",Aux_puntos!$1:$1,0))="",NA(),INDEX(Aux_puntos!$A$2:$OJ$901,848,MATCH($B$2&amp;"|yI",Aux_puntos!$1:$1,0))),NA())</f>
        <v/>
      </c>
      <c r="AI852">
        <f>IFERROR(IF(INDEX(Aux_puntos!$A$2:$OJ$901,848,MATCH($B$2&amp;"|xN",Aux_puntos!$1:$1,0))="",NA(),INDEX(Aux_puntos!$A$2:$OJ$901,848,MATCH($B$2&amp;"|xN",Aux_puntos!$1:$1,0))),NA())</f>
        <v/>
      </c>
      <c r="AJ852">
        <f>IFERROR(IF(INDEX(Aux_puntos!$A$2:$OJ$901,848,MATCH($B$2&amp;"|yN",Aux_puntos!$1:$1,0))="",NA(),INDEX(Aux_puntos!$A$2:$OJ$901,848,MATCH($B$2&amp;"|yN",Aux_puntos!$1:$1,0))),NA())</f>
        <v/>
      </c>
    </row>
    <row r="853">
      <c r="AC853">
        <f>IFERROR(IF(INDEX(Aux_puntos!$A$2:$OJ$901,849,MATCH($B$2&amp;"|xK",Aux_puntos!$1:$1,0))="",NA(),INDEX(Aux_puntos!$A$2:$OJ$901,849,MATCH($B$2&amp;"|xK",Aux_puntos!$1:$1,0))),NA())</f>
        <v/>
      </c>
      <c r="AD853">
        <f>IFERROR(IF(INDEX(Aux_puntos!$A$2:$OJ$901,849,MATCH($B$2&amp;"|yK",Aux_puntos!$1:$1,0))="",NA(),INDEX(Aux_puntos!$A$2:$OJ$901,849,MATCH($B$2&amp;"|yK",Aux_puntos!$1:$1,0))),NA())</f>
        <v/>
      </c>
      <c r="AE853">
        <f>IFERROR(IF(INDEX(Aux_puntos!$A$2:$OJ$901,849,MATCH($B$2&amp;"|xC",Aux_puntos!$1:$1,0))="",NA(),INDEX(Aux_puntos!$A$2:$OJ$901,849,MATCH($B$2&amp;"|xC",Aux_puntos!$1:$1,0))),NA())</f>
        <v/>
      </c>
      <c r="AF853">
        <f>IFERROR(IF(INDEX(Aux_puntos!$A$2:$OJ$901,849,MATCH($B$2&amp;"|yC",Aux_puntos!$1:$1,0))="",NA(),INDEX(Aux_puntos!$A$2:$OJ$901,849,MATCH($B$2&amp;"|yC",Aux_puntos!$1:$1,0))),NA())</f>
        <v/>
      </c>
      <c r="AG853">
        <f>IFERROR(IF(INDEX(Aux_puntos!$A$2:$OJ$901,849,MATCH($B$2&amp;"|xI",Aux_puntos!$1:$1,0))="",NA(),INDEX(Aux_puntos!$A$2:$OJ$901,849,MATCH($B$2&amp;"|xI",Aux_puntos!$1:$1,0))),NA())</f>
        <v/>
      </c>
      <c r="AH853">
        <f>IFERROR(IF(INDEX(Aux_puntos!$A$2:$OJ$901,849,MATCH($B$2&amp;"|yI",Aux_puntos!$1:$1,0))="",NA(),INDEX(Aux_puntos!$A$2:$OJ$901,849,MATCH($B$2&amp;"|yI",Aux_puntos!$1:$1,0))),NA())</f>
        <v/>
      </c>
      <c r="AI853">
        <f>IFERROR(IF(INDEX(Aux_puntos!$A$2:$OJ$901,849,MATCH($B$2&amp;"|xN",Aux_puntos!$1:$1,0))="",NA(),INDEX(Aux_puntos!$A$2:$OJ$901,849,MATCH($B$2&amp;"|xN",Aux_puntos!$1:$1,0))),NA())</f>
        <v/>
      </c>
      <c r="AJ853">
        <f>IFERROR(IF(INDEX(Aux_puntos!$A$2:$OJ$901,849,MATCH($B$2&amp;"|yN",Aux_puntos!$1:$1,0))="",NA(),INDEX(Aux_puntos!$A$2:$OJ$901,849,MATCH($B$2&amp;"|yN",Aux_puntos!$1:$1,0))),NA())</f>
        <v/>
      </c>
    </row>
    <row r="854">
      <c r="AC854">
        <f>IFERROR(IF(INDEX(Aux_puntos!$A$2:$OJ$901,850,MATCH($B$2&amp;"|xK",Aux_puntos!$1:$1,0))="",NA(),INDEX(Aux_puntos!$A$2:$OJ$901,850,MATCH($B$2&amp;"|xK",Aux_puntos!$1:$1,0))),NA())</f>
        <v/>
      </c>
      <c r="AD854">
        <f>IFERROR(IF(INDEX(Aux_puntos!$A$2:$OJ$901,850,MATCH($B$2&amp;"|yK",Aux_puntos!$1:$1,0))="",NA(),INDEX(Aux_puntos!$A$2:$OJ$901,850,MATCH($B$2&amp;"|yK",Aux_puntos!$1:$1,0))),NA())</f>
        <v/>
      </c>
      <c r="AE854">
        <f>IFERROR(IF(INDEX(Aux_puntos!$A$2:$OJ$901,850,MATCH($B$2&amp;"|xC",Aux_puntos!$1:$1,0))="",NA(),INDEX(Aux_puntos!$A$2:$OJ$901,850,MATCH($B$2&amp;"|xC",Aux_puntos!$1:$1,0))),NA())</f>
        <v/>
      </c>
      <c r="AF854">
        <f>IFERROR(IF(INDEX(Aux_puntos!$A$2:$OJ$901,850,MATCH($B$2&amp;"|yC",Aux_puntos!$1:$1,0))="",NA(),INDEX(Aux_puntos!$A$2:$OJ$901,850,MATCH($B$2&amp;"|yC",Aux_puntos!$1:$1,0))),NA())</f>
        <v/>
      </c>
      <c r="AG854">
        <f>IFERROR(IF(INDEX(Aux_puntos!$A$2:$OJ$901,850,MATCH($B$2&amp;"|xI",Aux_puntos!$1:$1,0))="",NA(),INDEX(Aux_puntos!$A$2:$OJ$901,850,MATCH($B$2&amp;"|xI",Aux_puntos!$1:$1,0))),NA())</f>
        <v/>
      </c>
      <c r="AH854">
        <f>IFERROR(IF(INDEX(Aux_puntos!$A$2:$OJ$901,850,MATCH($B$2&amp;"|yI",Aux_puntos!$1:$1,0))="",NA(),INDEX(Aux_puntos!$A$2:$OJ$901,850,MATCH($B$2&amp;"|yI",Aux_puntos!$1:$1,0))),NA())</f>
        <v/>
      </c>
      <c r="AI854">
        <f>IFERROR(IF(INDEX(Aux_puntos!$A$2:$OJ$901,850,MATCH($B$2&amp;"|xN",Aux_puntos!$1:$1,0))="",NA(),INDEX(Aux_puntos!$A$2:$OJ$901,850,MATCH($B$2&amp;"|xN",Aux_puntos!$1:$1,0))),NA())</f>
        <v/>
      </c>
      <c r="AJ854">
        <f>IFERROR(IF(INDEX(Aux_puntos!$A$2:$OJ$901,850,MATCH($B$2&amp;"|yN",Aux_puntos!$1:$1,0))="",NA(),INDEX(Aux_puntos!$A$2:$OJ$901,850,MATCH($B$2&amp;"|yN",Aux_puntos!$1:$1,0))),NA())</f>
        <v/>
      </c>
    </row>
    <row r="855">
      <c r="AC855">
        <f>IFERROR(IF(INDEX(Aux_puntos!$A$2:$OJ$901,851,MATCH($B$2&amp;"|xK",Aux_puntos!$1:$1,0))="",NA(),INDEX(Aux_puntos!$A$2:$OJ$901,851,MATCH($B$2&amp;"|xK",Aux_puntos!$1:$1,0))),NA())</f>
        <v/>
      </c>
      <c r="AD855">
        <f>IFERROR(IF(INDEX(Aux_puntos!$A$2:$OJ$901,851,MATCH($B$2&amp;"|yK",Aux_puntos!$1:$1,0))="",NA(),INDEX(Aux_puntos!$A$2:$OJ$901,851,MATCH($B$2&amp;"|yK",Aux_puntos!$1:$1,0))),NA())</f>
        <v/>
      </c>
      <c r="AE855">
        <f>IFERROR(IF(INDEX(Aux_puntos!$A$2:$OJ$901,851,MATCH($B$2&amp;"|xC",Aux_puntos!$1:$1,0))="",NA(),INDEX(Aux_puntos!$A$2:$OJ$901,851,MATCH($B$2&amp;"|xC",Aux_puntos!$1:$1,0))),NA())</f>
        <v/>
      </c>
      <c r="AF855">
        <f>IFERROR(IF(INDEX(Aux_puntos!$A$2:$OJ$901,851,MATCH($B$2&amp;"|yC",Aux_puntos!$1:$1,0))="",NA(),INDEX(Aux_puntos!$A$2:$OJ$901,851,MATCH($B$2&amp;"|yC",Aux_puntos!$1:$1,0))),NA())</f>
        <v/>
      </c>
      <c r="AG855">
        <f>IFERROR(IF(INDEX(Aux_puntos!$A$2:$OJ$901,851,MATCH($B$2&amp;"|xI",Aux_puntos!$1:$1,0))="",NA(),INDEX(Aux_puntos!$A$2:$OJ$901,851,MATCH($B$2&amp;"|xI",Aux_puntos!$1:$1,0))),NA())</f>
        <v/>
      </c>
      <c r="AH855">
        <f>IFERROR(IF(INDEX(Aux_puntos!$A$2:$OJ$901,851,MATCH($B$2&amp;"|yI",Aux_puntos!$1:$1,0))="",NA(),INDEX(Aux_puntos!$A$2:$OJ$901,851,MATCH($B$2&amp;"|yI",Aux_puntos!$1:$1,0))),NA())</f>
        <v/>
      </c>
      <c r="AI855">
        <f>IFERROR(IF(INDEX(Aux_puntos!$A$2:$OJ$901,851,MATCH($B$2&amp;"|xN",Aux_puntos!$1:$1,0))="",NA(),INDEX(Aux_puntos!$A$2:$OJ$901,851,MATCH($B$2&amp;"|xN",Aux_puntos!$1:$1,0))),NA())</f>
        <v/>
      </c>
      <c r="AJ855">
        <f>IFERROR(IF(INDEX(Aux_puntos!$A$2:$OJ$901,851,MATCH($B$2&amp;"|yN",Aux_puntos!$1:$1,0))="",NA(),INDEX(Aux_puntos!$A$2:$OJ$901,851,MATCH($B$2&amp;"|yN",Aux_puntos!$1:$1,0))),NA())</f>
        <v/>
      </c>
    </row>
    <row r="856">
      <c r="AC856">
        <f>IFERROR(IF(INDEX(Aux_puntos!$A$2:$OJ$901,852,MATCH($B$2&amp;"|xK",Aux_puntos!$1:$1,0))="",NA(),INDEX(Aux_puntos!$A$2:$OJ$901,852,MATCH($B$2&amp;"|xK",Aux_puntos!$1:$1,0))),NA())</f>
        <v/>
      </c>
      <c r="AD856">
        <f>IFERROR(IF(INDEX(Aux_puntos!$A$2:$OJ$901,852,MATCH($B$2&amp;"|yK",Aux_puntos!$1:$1,0))="",NA(),INDEX(Aux_puntos!$A$2:$OJ$901,852,MATCH($B$2&amp;"|yK",Aux_puntos!$1:$1,0))),NA())</f>
        <v/>
      </c>
      <c r="AE856">
        <f>IFERROR(IF(INDEX(Aux_puntos!$A$2:$OJ$901,852,MATCH($B$2&amp;"|xC",Aux_puntos!$1:$1,0))="",NA(),INDEX(Aux_puntos!$A$2:$OJ$901,852,MATCH($B$2&amp;"|xC",Aux_puntos!$1:$1,0))),NA())</f>
        <v/>
      </c>
      <c r="AF856">
        <f>IFERROR(IF(INDEX(Aux_puntos!$A$2:$OJ$901,852,MATCH($B$2&amp;"|yC",Aux_puntos!$1:$1,0))="",NA(),INDEX(Aux_puntos!$A$2:$OJ$901,852,MATCH($B$2&amp;"|yC",Aux_puntos!$1:$1,0))),NA())</f>
        <v/>
      </c>
      <c r="AG856">
        <f>IFERROR(IF(INDEX(Aux_puntos!$A$2:$OJ$901,852,MATCH($B$2&amp;"|xI",Aux_puntos!$1:$1,0))="",NA(),INDEX(Aux_puntos!$A$2:$OJ$901,852,MATCH($B$2&amp;"|xI",Aux_puntos!$1:$1,0))),NA())</f>
        <v/>
      </c>
      <c r="AH856">
        <f>IFERROR(IF(INDEX(Aux_puntos!$A$2:$OJ$901,852,MATCH($B$2&amp;"|yI",Aux_puntos!$1:$1,0))="",NA(),INDEX(Aux_puntos!$A$2:$OJ$901,852,MATCH($B$2&amp;"|yI",Aux_puntos!$1:$1,0))),NA())</f>
        <v/>
      </c>
      <c r="AI856">
        <f>IFERROR(IF(INDEX(Aux_puntos!$A$2:$OJ$901,852,MATCH($B$2&amp;"|xN",Aux_puntos!$1:$1,0))="",NA(),INDEX(Aux_puntos!$A$2:$OJ$901,852,MATCH($B$2&amp;"|xN",Aux_puntos!$1:$1,0))),NA())</f>
        <v/>
      </c>
      <c r="AJ856">
        <f>IFERROR(IF(INDEX(Aux_puntos!$A$2:$OJ$901,852,MATCH($B$2&amp;"|yN",Aux_puntos!$1:$1,0))="",NA(),INDEX(Aux_puntos!$A$2:$OJ$901,852,MATCH($B$2&amp;"|yN",Aux_puntos!$1:$1,0))),NA())</f>
        <v/>
      </c>
    </row>
    <row r="857">
      <c r="AC857">
        <f>IFERROR(IF(INDEX(Aux_puntos!$A$2:$OJ$901,853,MATCH($B$2&amp;"|xK",Aux_puntos!$1:$1,0))="",NA(),INDEX(Aux_puntos!$A$2:$OJ$901,853,MATCH($B$2&amp;"|xK",Aux_puntos!$1:$1,0))),NA())</f>
        <v/>
      </c>
      <c r="AD857">
        <f>IFERROR(IF(INDEX(Aux_puntos!$A$2:$OJ$901,853,MATCH($B$2&amp;"|yK",Aux_puntos!$1:$1,0))="",NA(),INDEX(Aux_puntos!$A$2:$OJ$901,853,MATCH($B$2&amp;"|yK",Aux_puntos!$1:$1,0))),NA())</f>
        <v/>
      </c>
      <c r="AE857">
        <f>IFERROR(IF(INDEX(Aux_puntos!$A$2:$OJ$901,853,MATCH($B$2&amp;"|xC",Aux_puntos!$1:$1,0))="",NA(),INDEX(Aux_puntos!$A$2:$OJ$901,853,MATCH($B$2&amp;"|xC",Aux_puntos!$1:$1,0))),NA())</f>
        <v/>
      </c>
      <c r="AF857">
        <f>IFERROR(IF(INDEX(Aux_puntos!$A$2:$OJ$901,853,MATCH($B$2&amp;"|yC",Aux_puntos!$1:$1,0))="",NA(),INDEX(Aux_puntos!$A$2:$OJ$901,853,MATCH($B$2&amp;"|yC",Aux_puntos!$1:$1,0))),NA())</f>
        <v/>
      </c>
      <c r="AG857">
        <f>IFERROR(IF(INDEX(Aux_puntos!$A$2:$OJ$901,853,MATCH($B$2&amp;"|xI",Aux_puntos!$1:$1,0))="",NA(),INDEX(Aux_puntos!$A$2:$OJ$901,853,MATCH($B$2&amp;"|xI",Aux_puntos!$1:$1,0))),NA())</f>
        <v/>
      </c>
      <c r="AH857">
        <f>IFERROR(IF(INDEX(Aux_puntos!$A$2:$OJ$901,853,MATCH($B$2&amp;"|yI",Aux_puntos!$1:$1,0))="",NA(),INDEX(Aux_puntos!$A$2:$OJ$901,853,MATCH($B$2&amp;"|yI",Aux_puntos!$1:$1,0))),NA())</f>
        <v/>
      </c>
      <c r="AI857">
        <f>IFERROR(IF(INDEX(Aux_puntos!$A$2:$OJ$901,853,MATCH($B$2&amp;"|xN",Aux_puntos!$1:$1,0))="",NA(),INDEX(Aux_puntos!$A$2:$OJ$901,853,MATCH($B$2&amp;"|xN",Aux_puntos!$1:$1,0))),NA())</f>
        <v/>
      </c>
      <c r="AJ857">
        <f>IFERROR(IF(INDEX(Aux_puntos!$A$2:$OJ$901,853,MATCH($B$2&amp;"|yN",Aux_puntos!$1:$1,0))="",NA(),INDEX(Aux_puntos!$A$2:$OJ$901,853,MATCH($B$2&amp;"|yN",Aux_puntos!$1:$1,0))),NA())</f>
        <v/>
      </c>
    </row>
    <row r="858">
      <c r="AC858">
        <f>IFERROR(IF(INDEX(Aux_puntos!$A$2:$OJ$901,854,MATCH($B$2&amp;"|xK",Aux_puntos!$1:$1,0))="",NA(),INDEX(Aux_puntos!$A$2:$OJ$901,854,MATCH($B$2&amp;"|xK",Aux_puntos!$1:$1,0))),NA())</f>
        <v/>
      </c>
      <c r="AD858">
        <f>IFERROR(IF(INDEX(Aux_puntos!$A$2:$OJ$901,854,MATCH($B$2&amp;"|yK",Aux_puntos!$1:$1,0))="",NA(),INDEX(Aux_puntos!$A$2:$OJ$901,854,MATCH($B$2&amp;"|yK",Aux_puntos!$1:$1,0))),NA())</f>
        <v/>
      </c>
      <c r="AE858">
        <f>IFERROR(IF(INDEX(Aux_puntos!$A$2:$OJ$901,854,MATCH($B$2&amp;"|xC",Aux_puntos!$1:$1,0))="",NA(),INDEX(Aux_puntos!$A$2:$OJ$901,854,MATCH($B$2&amp;"|xC",Aux_puntos!$1:$1,0))),NA())</f>
        <v/>
      </c>
      <c r="AF858">
        <f>IFERROR(IF(INDEX(Aux_puntos!$A$2:$OJ$901,854,MATCH($B$2&amp;"|yC",Aux_puntos!$1:$1,0))="",NA(),INDEX(Aux_puntos!$A$2:$OJ$901,854,MATCH($B$2&amp;"|yC",Aux_puntos!$1:$1,0))),NA())</f>
        <v/>
      </c>
      <c r="AG858">
        <f>IFERROR(IF(INDEX(Aux_puntos!$A$2:$OJ$901,854,MATCH($B$2&amp;"|xI",Aux_puntos!$1:$1,0))="",NA(),INDEX(Aux_puntos!$A$2:$OJ$901,854,MATCH($B$2&amp;"|xI",Aux_puntos!$1:$1,0))),NA())</f>
        <v/>
      </c>
      <c r="AH858">
        <f>IFERROR(IF(INDEX(Aux_puntos!$A$2:$OJ$901,854,MATCH($B$2&amp;"|yI",Aux_puntos!$1:$1,0))="",NA(),INDEX(Aux_puntos!$A$2:$OJ$901,854,MATCH($B$2&amp;"|yI",Aux_puntos!$1:$1,0))),NA())</f>
        <v/>
      </c>
      <c r="AI858">
        <f>IFERROR(IF(INDEX(Aux_puntos!$A$2:$OJ$901,854,MATCH($B$2&amp;"|xN",Aux_puntos!$1:$1,0))="",NA(),INDEX(Aux_puntos!$A$2:$OJ$901,854,MATCH($B$2&amp;"|xN",Aux_puntos!$1:$1,0))),NA())</f>
        <v/>
      </c>
      <c r="AJ858">
        <f>IFERROR(IF(INDEX(Aux_puntos!$A$2:$OJ$901,854,MATCH($B$2&amp;"|yN",Aux_puntos!$1:$1,0))="",NA(),INDEX(Aux_puntos!$A$2:$OJ$901,854,MATCH($B$2&amp;"|yN",Aux_puntos!$1:$1,0))),NA())</f>
        <v/>
      </c>
    </row>
    <row r="859">
      <c r="AC859">
        <f>IFERROR(IF(INDEX(Aux_puntos!$A$2:$OJ$901,855,MATCH($B$2&amp;"|xK",Aux_puntos!$1:$1,0))="",NA(),INDEX(Aux_puntos!$A$2:$OJ$901,855,MATCH($B$2&amp;"|xK",Aux_puntos!$1:$1,0))),NA())</f>
        <v/>
      </c>
      <c r="AD859">
        <f>IFERROR(IF(INDEX(Aux_puntos!$A$2:$OJ$901,855,MATCH($B$2&amp;"|yK",Aux_puntos!$1:$1,0))="",NA(),INDEX(Aux_puntos!$A$2:$OJ$901,855,MATCH($B$2&amp;"|yK",Aux_puntos!$1:$1,0))),NA())</f>
        <v/>
      </c>
      <c r="AE859">
        <f>IFERROR(IF(INDEX(Aux_puntos!$A$2:$OJ$901,855,MATCH($B$2&amp;"|xC",Aux_puntos!$1:$1,0))="",NA(),INDEX(Aux_puntos!$A$2:$OJ$901,855,MATCH($B$2&amp;"|xC",Aux_puntos!$1:$1,0))),NA())</f>
        <v/>
      </c>
      <c r="AF859">
        <f>IFERROR(IF(INDEX(Aux_puntos!$A$2:$OJ$901,855,MATCH($B$2&amp;"|yC",Aux_puntos!$1:$1,0))="",NA(),INDEX(Aux_puntos!$A$2:$OJ$901,855,MATCH($B$2&amp;"|yC",Aux_puntos!$1:$1,0))),NA())</f>
        <v/>
      </c>
      <c r="AG859">
        <f>IFERROR(IF(INDEX(Aux_puntos!$A$2:$OJ$901,855,MATCH($B$2&amp;"|xI",Aux_puntos!$1:$1,0))="",NA(),INDEX(Aux_puntos!$A$2:$OJ$901,855,MATCH($B$2&amp;"|xI",Aux_puntos!$1:$1,0))),NA())</f>
        <v/>
      </c>
      <c r="AH859">
        <f>IFERROR(IF(INDEX(Aux_puntos!$A$2:$OJ$901,855,MATCH($B$2&amp;"|yI",Aux_puntos!$1:$1,0))="",NA(),INDEX(Aux_puntos!$A$2:$OJ$901,855,MATCH($B$2&amp;"|yI",Aux_puntos!$1:$1,0))),NA())</f>
        <v/>
      </c>
      <c r="AI859">
        <f>IFERROR(IF(INDEX(Aux_puntos!$A$2:$OJ$901,855,MATCH($B$2&amp;"|xN",Aux_puntos!$1:$1,0))="",NA(),INDEX(Aux_puntos!$A$2:$OJ$901,855,MATCH($B$2&amp;"|xN",Aux_puntos!$1:$1,0))),NA())</f>
        <v/>
      </c>
      <c r="AJ859">
        <f>IFERROR(IF(INDEX(Aux_puntos!$A$2:$OJ$901,855,MATCH($B$2&amp;"|yN",Aux_puntos!$1:$1,0))="",NA(),INDEX(Aux_puntos!$A$2:$OJ$901,855,MATCH($B$2&amp;"|yN",Aux_puntos!$1:$1,0))),NA())</f>
        <v/>
      </c>
    </row>
    <row r="860">
      <c r="AC860">
        <f>IFERROR(IF(INDEX(Aux_puntos!$A$2:$OJ$901,856,MATCH($B$2&amp;"|xK",Aux_puntos!$1:$1,0))="",NA(),INDEX(Aux_puntos!$A$2:$OJ$901,856,MATCH($B$2&amp;"|xK",Aux_puntos!$1:$1,0))),NA())</f>
        <v/>
      </c>
      <c r="AD860">
        <f>IFERROR(IF(INDEX(Aux_puntos!$A$2:$OJ$901,856,MATCH($B$2&amp;"|yK",Aux_puntos!$1:$1,0))="",NA(),INDEX(Aux_puntos!$A$2:$OJ$901,856,MATCH($B$2&amp;"|yK",Aux_puntos!$1:$1,0))),NA())</f>
        <v/>
      </c>
      <c r="AE860">
        <f>IFERROR(IF(INDEX(Aux_puntos!$A$2:$OJ$901,856,MATCH($B$2&amp;"|xC",Aux_puntos!$1:$1,0))="",NA(),INDEX(Aux_puntos!$A$2:$OJ$901,856,MATCH($B$2&amp;"|xC",Aux_puntos!$1:$1,0))),NA())</f>
        <v/>
      </c>
      <c r="AF860">
        <f>IFERROR(IF(INDEX(Aux_puntos!$A$2:$OJ$901,856,MATCH($B$2&amp;"|yC",Aux_puntos!$1:$1,0))="",NA(),INDEX(Aux_puntos!$A$2:$OJ$901,856,MATCH($B$2&amp;"|yC",Aux_puntos!$1:$1,0))),NA())</f>
        <v/>
      </c>
      <c r="AG860">
        <f>IFERROR(IF(INDEX(Aux_puntos!$A$2:$OJ$901,856,MATCH($B$2&amp;"|xI",Aux_puntos!$1:$1,0))="",NA(),INDEX(Aux_puntos!$A$2:$OJ$901,856,MATCH($B$2&amp;"|xI",Aux_puntos!$1:$1,0))),NA())</f>
        <v/>
      </c>
      <c r="AH860">
        <f>IFERROR(IF(INDEX(Aux_puntos!$A$2:$OJ$901,856,MATCH($B$2&amp;"|yI",Aux_puntos!$1:$1,0))="",NA(),INDEX(Aux_puntos!$A$2:$OJ$901,856,MATCH($B$2&amp;"|yI",Aux_puntos!$1:$1,0))),NA())</f>
        <v/>
      </c>
      <c r="AI860">
        <f>IFERROR(IF(INDEX(Aux_puntos!$A$2:$OJ$901,856,MATCH($B$2&amp;"|xN",Aux_puntos!$1:$1,0))="",NA(),INDEX(Aux_puntos!$A$2:$OJ$901,856,MATCH($B$2&amp;"|xN",Aux_puntos!$1:$1,0))),NA())</f>
        <v/>
      </c>
      <c r="AJ860">
        <f>IFERROR(IF(INDEX(Aux_puntos!$A$2:$OJ$901,856,MATCH($B$2&amp;"|yN",Aux_puntos!$1:$1,0))="",NA(),INDEX(Aux_puntos!$A$2:$OJ$901,856,MATCH($B$2&amp;"|yN",Aux_puntos!$1:$1,0))),NA())</f>
        <v/>
      </c>
    </row>
    <row r="861">
      <c r="AC861">
        <f>IFERROR(IF(INDEX(Aux_puntos!$A$2:$OJ$901,857,MATCH($B$2&amp;"|xK",Aux_puntos!$1:$1,0))="",NA(),INDEX(Aux_puntos!$A$2:$OJ$901,857,MATCH($B$2&amp;"|xK",Aux_puntos!$1:$1,0))),NA())</f>
        <v/>
      </c>
      <c r="AD861">
        <f>IFERROR(IF(INDEX(Aux_puntos!$A$2:$OJ$901,857,MATCH($B$2&amp;"|yK",Aux_puntos!$1:$1,0))="",NA(),INDEX(Aux_puntos!$A$2:$OJ$901,857,MATCH($B$2&amp;"|yK",Aux_puntos!$1:$1,0))),NA())</f>
        <v/>
      </c>
      <c r="AE861">
        <f>IFERROR(IF(INDEX(Aux_puntos!$A$2:$OJ$901,857,MATCH($B$2&amp;"|xC",Aux_puntos!$1:$1,0))="",NA(),INDEX(Aux_puntos!$A$2:$OJ$901,857,MATCH($B$2&amp;"|xC",Aux_puntos!$1:$1,0))),NA())</f>
        <v/>
      </c>
      <c r="AF861">
        <f>IFERROR(IF(INDEX(Aux_puntos!$A$2:$OJ$901,857,MATCH($B$2&amp;"|yC",Aux_puntos!$1:$1,0))="",NA(),INDEX(Aux_puntos!$A$2:$OJ$901,857,MATCH($B$2&amp;"|yC",Aux_puntos!$1:$1,0))),NA())</f>
        <v/>
      </c>
      <c r="AG861">
        <f>IFERROR(IF(INDEX(Aux_puntos!$A$2:$OJ$901,857,MATCH($B$2&amp;"|xI",Aux_puntos!$1:$1,0))="",NA(),INDEX(Aux_puntos!$A$2:$OJ$901,857,MATCH($B$2&amp;"|xI",Aux_puntos!$1:$1,0))),NA())</f>
        <v/>
      </c>
      <c r="AH861">
        <f>IFERROR(IF(INDEX(Aux_puntos!$A$2:$OJ$901,857,MATCH($B$2&amp;"|yI",Aux_puntos!$1:$1,0))="",NA(),INDEX(Aux_puntos!$A$2:$OJ$901,857,MATCH($B$2&amp;"|yI",Aux_puntos!$1:$1,0))),NA())</f>
        <v/>
      </c>
      <c r="AI861">
        <f>IFERROR(IF(INDEX(Aux_puntos!$A$2:$OJ$901,857,MATCH($B$2&amp;"|xN",Aux_puntos!$1:$1,0))="",NA(),INDEX(Aux_puntos!$A$2:$OJ$901,857,MATCH($B$2&amp;"|xN",Aux_puntos!$1:$1,0))),NA())</f>
        <v/>
      </c>
      <c r="AJ861">
        <f>IFERROR(IF(INDEX(Aux_puntos!$A$2:$OJ$901,857,MATCH($B$2&amp;"|yN",Aux_puntos!$1:$1,0))="",NA(),INDEX(Aux_puntos!$A$2:$OJ$901,857,MATCH($B$2&amp;"|yN",Aux_puntos!$1:$1,0))),NA())</f>
        <v/>
      </c>
    </row>
    <row r="862">
      <c r="AC862">
        <f>IFERROR(IF(INDEX(Aux_puntos!$A$2:$OJ$901,858,MATCH($B$2&amp;"|xK",Aux_puntos!$1:$1,0))="",NA(),INDEX(Aux_puntos!$A$2:$OJ$901,858,MATCH($B$2&amp;"|xK",Aux_puntos!$1:$1,0))),NA())</f>
        <v/>
      </c>
      <c r="AD862">
        <f>IFERROR(IF(INDEX(Aux_puntos!$A$2:$OJ$901,858,MATCH($B$2&amp;"|yK",Aux_puntos!$1:$1,0))="",NA(),INDEX(Aux_puntos!$A$2:$OJ$901,858,MATCH($B$2&amp;"|yK",Aux_puntos!$1:$1,0))),NA())</f>
        <v/>
      </c>
      <c r="AE862">
        <f>IFERROR(IF(INDEX(Aux_puntos!$A$2:$OJ$901,858,MATCH($B$2&amp;"|xC",Aux_puntos!$1:$1,0))="",NA(),INDEX(Aux_puntos!$A$2:$OJ$901,858,MATCH($B$2&amp;"|xC",Aux_puntos!$1:$1,0))),NA())</f>
        <v/>
      </c>
      <c r="AF862">
        <f>IFERROR(IF(INDEX(Aux_puntos!$A$2:$OJ$901,858,MATCH($B$2&amp;"|yC",Aux_puntos!$1:$1,0))="",NA(),INDEX(Aux_puntos!$A$2:$OJ$901,858,MATCH($B$2&amp;"|yC",Aux_puntos!$1:$1,0))),NA())</f>
        <v/>
      </c>
      <c r="AG862">
        <f>IFERROR(IF(INDEX(Aux_puntos!$A$2:$OJ$901,858,MATCH($B$2&amp;"|xI",Aux_puntos!$1:$1,0))="",NA(),INDEX(Aux_puntos!$A$2:$OJ$901,858,MATCH($B$2&amp;"|xI",Aux_puntos!$1:$1,0))),NA())</f>
        <v/>
      </c>
      <c r="AH862">
        <f>IFERROR(IF(INDEX(Aux_puntos!$A$2:$OJ$901,858,MATCH($B$2&amp;"|yI",Aux_puntos!$1:$1,0))="",NA(),INDEX(Aux_puntos!$A$2:$OJ$901,858,MATCH($B$2&amp;"|yI",Aux_puntos!$1:$1,0))),NA())</f>
        <v/>
      </c>
      <c r="AI862">
        <f>IFERROR(IF(INDEX(Aux_puntos!$A$2:$OJ$901,858,MATCH($B$2&amp;"|xN",Aux_puntos!$1:$1,0))="",NA(),INDEX(Aux_puntos!$A$2:$OJ$901,858,MATCH($B$2&amp;"|xN",Aux_puntos!$1:$1,0))),NA())</f>
        <v/>
      </c>
      <c r="AJ862">
        <f>IFERROR(IF(INDEX(Aux_puntos!$A$2:$OJ$901,858,MATCH($B$2&amp;"|yN",Aux_puntos!$1:$1,0))="",NA(),INDEX(Aux_puntos!$A$2:$OJ$901,858,MATCH($B$2&amp;"|yN",Aux_puntos!$1:$1,0))),NA())</f>
        <v/>
      </c>
    </row>
    <row r="863">
      <c r="AC863">
        <f>IFERROR(IF(INDEX(Aux_puntos!$A$2:$OJ$901,859,MATCH($B$2&amp;"|xK",Aux_puntos!$1:$1,0))="",NA(),INDEX(Aux_puntos!$A$2:$OJ$901,859,MATCH($B$2&amp;"|xK",Aux_puntos!$1:$1,0))),NA())</f>
        <v/>
      </c>
      <c r="AD863">
        <f>IFERROR(IF(INDEX(Aux_puntos!$A$2:$OJ$901,859,MATCH($B$2&amp;"|yK",Aux_puntos!$1:$1,0))="",NA(),INDEX(Aux_puntos!$A$2:$OJ$901,859,MATCH($B$2&amp;"|yK",Aux_puntos!$1:$1,0))),NA())</f>
        <v/>
      </c>
      <c r="AE863">
        <f>IFERROR(IF(INDEX(Aux_puntos!$A$2:$OJ$901,859,MATCH($B$2&amp;"|xC",Aux_puntos!$1:$1,0))="",NA(),INDEX(Aux_puntos!$A$2:$OJ$901,859,MATCH($B$2&amp;"|xC",Aux_puntos!$1:$1,0))),NA())</f>
        <v/>
      </c>
      <c r="AF863">
        <f>IFERROR(IF(INDEX(Aux_puntos!$A$2:$OJ$901,859,MATCH($B$2&amp;"|yC",Aux_puntos!$1:$1,0))="",NA(),INDEX(Aux_puntos!$A$2:$OJ$901,859,MATCH($B$2&amp;"|yC",Aux_puntos!$1:$1,0))),NA())</f>
        <v/>
      </c>
      <c r="AG863">
        <f>IFERROR(IF(INDEX(Aux_puntos!$A$2:$OJ$901,859,MATCH($B$2&amp;"|xI",Aux_puntos!$1:$1,0))="",NA(),INDEX(Aux_puntos!$A$2:$OJ$901,859,MATCH($B$2&amp;"|xI",Aux_puntos!$1:$1,0))),NA())</f>
        <v/>
      </c>
      <c r="AH863">
        <f>IFERROR(IF(INDEX(Aux_puntos!$A$2:$OJ$901,859,MATCH($B$2&amp;"|yI",Aux_puntos!$1:$1,0))="",NA(),INDEX(Aux_puntos!$A$2:$OJ$901,859,MATCH($B$2&amp;"|yI",Aux_puntos!$1:$1,0))),NA())</f>
        <v/>
      </c>
      <c r="AI863">
        <f>IFERROR(IF(INDEX(Aux_puntos!$A$2:$OJ$901,859,MATCH($B$2&amp;"|xN",Aux_puntos!$1:$1,0))="",NA(),INDEX(Aux_puntos!$A$2:$OJ$901,859,MATCH($B$2&amp;"|xN",Aux_puntos!$1:$1,0))),NA())</f>
        <v/>
      </c>
      <c r="AJ863">
        <f>IFERROR(IF(INDEX(Aux_puntos!$A$2:$OJ$901,859,MATCH($B$2&amp;"|yN",Aux_puntos!$1:$1,0))="",NA(),INDEX(Aux_puntos!$A$2:$OJ$901,859,MATCH($B$2&amp;"|yN",Aux_puntos!$1:$1,0))),NA())</f>
        <v/>
      </c>
    </row>
    <row r="864">
      <c r="AC864">
        <f>IFERROR(IF(INDEX(Aux_puntos!$A$2:$OJ$901,860,MATCH($B$2&amp;"|xK",Aux_puntos!$1:$1,0))="",NA(),INDEX(Aux_puntos!$A$2:$OJ$901,860,MATCH($B$2&amp;"|xK",Aux_puntos!$1:$1,0))),NA())</f>
        <v/>
      </c>
      <c r="AD864">
        <f>IFERROR(IF(INDEX(Aux_puntos!$A$2:$OJ$901,860,MATCH($B$2&amp;"|yK",Aux_puntos!$1:$1,0))="",NA(),INDEX(Aux_puntos!$A$2:$OJ$901,860,MATCH($B$2&amp;"|yK",Aux_puntos!$1:$1,0))),NA())</f>
        <v/>
      </c>
      <c r="AE864">
        <f>IFERROR(IF(INDEX(Aux_puntos!$A$2:$OJ$901,860,MATCH($B$2&amp;"|xC",Aux_puntos!$1:$1,0))="",NA(),INDEX(Aux_puntos!$A$2:$OJ$901,860,MATCH($B$2&amp;"|xC",Aux_puntos!$1:$1,0))),NA())</f>
        <v/>
      </c>
      <c r="AF864">
        <f>IFERROR(IF(INDEX(Aux_puntos!$A$2:$OJ$901,860,MATCH($B$2&amp;"|yC",Aux_puntos!$1:$1,0))="",NA(),INDEX(Aux_puntos!$A$2:$OJ$901,860,MATCH($B$2&amp;"|yC",Aux_puntos!$1:$1,0))),NA())</f>
        <v/>
      </c>
      <c r="AG864">
        <f>IFERROR(IF(INDEX(Aux_puntos!$A$2:$OJ$901,860,MATCH($B$2&amp;"|xI",Aux_puntos!$1:$1,0))="",NA(),INDEX(Aux_puntos!$A$2:$OJ$901,860,MATCH($B$2&amp;"|xI",Aux_puntos!$1:$1,0))),NA())</f>
        <v/>
      </c>
      <c r="AH864">
        <f>IFERROR(IF(INDEX(Aux_puntos!$A$2:$OJ$901,860,MATCH($B$2&amp;"|yI",Aux_puntos!$1:$1,0))="",NA(),INDEX(Aux_puntos!$A$2:$OJ$901,860,MATCH($B$2&amp;"|yI",Aux_puntos!$1:$1,0))),NA())</f>
        <v/>
      </c>
      <c r="AI864">
        <f>IFERROR(IF(INDEX(Aux_puntos!$A$2:$OJ$901,860,MATCH($B$2&amp;"|xN",Aux_puntos!$1:$1,0))="",NA(),INDEX(Aux_puntos!$A$2:$OJ$901,860,MATCH($B$2&amp;"|xN",Aux_puntos!$1:$1,0))),NA())</f>
        <v/>
      </c>
      <c r="AJ864">
        <f>IFERROR(IF(INDEX(Aux_puntos!$A$2:$OJ$901,860,MATCH($B$2&amp;"|yN",Aux_puntos!$1:$1,0))="",NA(),INDEX(Aux_puntos!$A$2:$OJ$901,860,MATCH($B$2&amp;"|yN",Aux_puntos!$1:$1,0))),NA())</f>
        <v/>
      </c>
    </row>
    <row r="865">
      <c r="AC865">
        <f>IFERROR(IF(INDEX(Aux_puntos!$A$2:$OJ$901,861,MATCH($B$2&amp;"|xK",Aux_puntos!$1:$1,0))="",NA(),INDEX(Aux_puntos!$A$2:$OJ$901,861,MATCH($B$2&amp;"|xK",Aux_puntos!$1:$1,0))),NA())</f>
        <v/>
      </c>
      <c r="AD865">
        <f>IFERROR(IF(INDEX(Aux_puntos!$A$2:$OJ$901,861,MATCH($B$2&amp;"|yK",Aux_puntos!$1:$1,0))="",NA(),INDEX(Aux_puntos!$A$2:$OJ$901,861,MATCH($B$2&amp;"|yK",Aux_puntos!$1:$1,0))),NA())</f>
        <v/>
      </c>
      <c r="AE865">
        <f>IFERROR(IF(INDEX(Aux_puntos!$A$2:$OJ$901,861,MATCH($B$2&amp;"|xC",Aux_puntos!$1:$1,0))="",NA(),INDEX(Aux_puntos!$A$2:$OJ$901,861,MATCH($B$2&amp;"|xC",Aux_puntos!$1:$1,0))),NA())</f>
        <v/>
      </c>
      <c r="AF865">
        <f>IFERROR(IF(INDEX(Aux_puntos!$A$2:$OJ$901,861,MATCH($B$2&amp;"|yC",Aux_puntos!$1:$1,0))="",NA(),INDEX(Aux_puntos!$A$2:$OJ$901,861,MATCH($B$2&amp;"|yC",Aux_puntos!$1:$1,0))),NA())</f>
        <v/>
      </c>
      <c r="AG865">
        <f>IFERROR(IF(INDEX(Aux_puntos!$A$2:$OJ$901,861,MATCH($B$2&amp;"|xI",Aux_puntos!$1:$1,0))="",NA(),INDEX(Aux_puntos!$A$2:$OJ$901,861,MATCH($B$2&amp;"|xI",Aux_puntos!$1:$1,0))),NA())</f>
        <v/>
      </c>
      <c r="AH865">
        <f>IFERROR(IF(INDEX(Aux_puntos!$A$2:$OJ$901,861,MATCH($B$2&amp;"|yI",Aux_puntos!$1:$1,0))="",NA(),INDEX(Aux_puntos!$A$2:$OJ$901,861,MATCH($B$2&amp;"|yI",Aux_puntos!$1:$1,0))),NA())</f>
        <v/>
      </c>
      <c r="AI865">
        <f>IFERROR(IF(INDEX(Aux_puntos!$A$2:$OJ$901,861,MATCH($B$2&amp;"|xN",Aux_puntos!$1:$1,0))="",NA(),INDEX(Aux_puntos!$A$2:$OJ$901,861,MATCH($B$2&amp;"|xN",Aux_puntos!$1:$1,0))),NA())</f>
        <v/>
      </c>
      <c r="AJ865">
        <f>IFERROR(IF(INDEX(Aux_puntos!$A$2:$OJ$901,861,MATCH($B$2&amp;"|yN",Aux_puntos!$1:$1,0))="",NA(),INDEX(Aux_puntos!$A$2:$OJ$901,861,MATCH($B$2&amp;"|yN",Aux_puntos!$1:$1,0))),NA())</f>
        <v/>
      </c>
    </row>
    <row r="866">
      <c r="AC866">
        <f>IFERROR(IF(INDEX(Aux_puntos!$A$2:$OJ$901,862,MATCH($B$2&amp;"|xK",Aux_puntos!$1:$1,0))="",NA(),INDEX(Aux_puntos!$A$2:$OJ$901,862,MATCH($B$2&amp;"|xK",Aux_puntos!$1:$1,0))),NA())</f>
        <v/>
      </c>
      <c r="AD866">
        <f>IFERROR(IF(INDEX(Aux_puntos!$A$2:$OJ$901,862,MATCH($B$2&amp;"|yK",Aux_puntos!$1:$1,0))="",NA(),INDEX(Aux_puntos!$A$2:$OJ$901,862,MATCH($B$2&amp;"|yK",Aux_puntos!$1:$1,0))),NA())</f>
        <v/>
      </c>
      <c r="AE866">
        <f>IFERROR(IF(INDEX(Aux_puntos!$A$2:$OJ$901,862,MATCH($B$2&amp;"|xC",Aux_puntos!$1:$1,0))="",NA(),INDEX(Aux_puntos!$A$2:$OJ$901,862,MATCH($B$2&amp;"|xC",Aux_puntos!$1:$1,0))),NA())</f>
        <v/>
      </c>
      <c r="AF866">
        <f>IFERROR(IF(INDEX(Aux_puntos!$A$2:$OJ$901,862,MATCH($B$2&amp;"|yC",Aux_puntos!$1:$1,0))="",NA(),INDEX(Aux_puntos!$A$2:$OJ$901,862,MATCH($B$2&amp;"|yC",Aux_puntos!$1:$1,0))),NA())</f>
        <v/>
      </c>
      <c r="AG866">
        <f>IFERROR(IF(INDEX(Aux_puntos!$A$2:$OJ$901,862,MATCH($B$2&amp;"|xI",Aux_puntos!$1:$1,0))="",NA(),INDEX(Aux_puntos!$A$2:$OJ$901,862,MATCH($B$2&amp;"|xI",Aux_puntos!$1:$1,0))),NA())</f>
        <v/>
      </c>
      <c r="AH866">
        <f>IFERROR(IF(INDEX(Aux_puntos!$A$2:$OJ$901,862,MATCH($B$2&amp;"|yI",Aux_puntos!$1:$1,0))="",NA(),INDEX(Aux_puntos!$A$2:$OJ$901,862,MATCH($B$2&amp;"|yI",Aux_puntos!$1:$1,0))),NA())</f>
        <v/>
      </c>
      <c r="AI866">
        <f>IFERROR(IF(INDEX(Aux_puntos!$A$2:$OJ$901,862,MATCH($B$2&amp;"|xN",Aux_puntos!$1:$1,0))="",NA(),INDEX(Aux_puntos!$A$2:$OJ$901,862,MATCH($B$2&amp;"|xN",Aux_puntos!$1:$1,0))),NA())</f>
        <v/>
      </c>
      <c r="AJ866">
        <f>IFERROR(IF(INDEX(Aux_puntos!$A$2:$OJ$901,862,MATCH($B$2&amp;"|yN",Aux_puntos!$1:$1,0))="",NA(),INDEX(Aux_puntos!$A$2:$OJ$901,862,MATCH($B$2&amp;"|yN",Aux_puntos!$1:$1,0))),NA())</f>
        <v/>
      </c>
    </row>
    <row r="867">
      <c r="AC867">
        <f>IFERROR(IF(INDEX(Aux_puntos!$A$2:$OJ$901,863,MATCH($B$2&amp;"|xK",Aux_puntos!$1:$1,0))="",NA(),INDEX(Aux_puntos!$A$2:$OJ$901,863,MATCH($B$2&amp;"|xK",Aux_puntos!$1:$1,0))),NA())</f>
        <v/>
      </c>
      <c r="AD867">
        <f>IFERROR(IF(INDEX(Aux_puntos!$A$2:$OJ$901,863,MATCH($B$2&amp;"|yK",Aux_puntos!$1:$1,0))="",NA(),INDEX(Aux_puntos!$A$2:$OJ$901,863,MATCH($B$2&amp;"|yK",Aux_puntos!$1:$1,0))),NA())</f>
        <v/>
      </c>
      <c r="AE867">
        <f>IFERROR(IF(INDEX(Aux_puntos!$A$2:$OJ$901,863,MATCH($B$2&amp;"|xC",Aux_puntos!$1:$1,0))="",NA(),INDEX(Aux_puntos!$A$2:$OJ$901,863,MATCH($B$2&amp;"|xC",Aux_puntos!$1:$1,0))),NA())</f>
        <v/>
      </c>
      <c r="AF867">
        <f>IFERROR(IF(INDEX(Aux_puntos!$A$2:$OJ$901,863,MATCH($B$2&amp;"|yC",Aux_puntos!$1:$1,0))="",NA(),INDEX(Aux_puntos!$A$2:$OJ$901,863,MATCH($B$2&amp;"|yC",Aux_puntos!$1:$1,0))),NA())</f>
        <v/>
      </c>
      <c r="AG867">
        <f>IFERROR(IF(INDEX(Aux_puntos!$A$2:$OJ$901,863,MATCH($B$2&amp;"|xI",Aux_puntos!$1:$1,0))="",NA(),INDEX(Aux_puntos!$A$2:$OJ$901,863,MATCH($B$2&amp;"|xI",Aux_puntos!$1:$1,0))),NA())</f>
        <v/>
      </c>
      <c r="AH867">
        <f>IFERROR(IF(INDEX(Aux_puntos!$A$2:$OJ$901,863,MATCH($B$2&amp;"|yI",Aux_puntos!$1:$1,0))="",NA(),INDEX(Aux_puntos!$A$2:$OJ$901,863,MATCH($B$2&amp;"|yI",Aux_puntos!$1:$1,0))),NA())</f>
        <v/>
      </c>
      <c r="AI867">
        <f>IFERROR(IF(INDEX(Aux_puntos!$A$2:$OJ$901,863,MATCH($B$2&amp;"|xN",Aux_puntos!$1:$1,0))="",NA(),INDEX(Aux_puntos!$A$2:$OJ$901,863,MATCH($B$2&amp;"|xN",Aux_puntos!$1:$1,0))),NA())</f>
        <v/>
      </c>
      <c r="AJ867">
        <f>IFERROR(IF(INDEX(Aux_puntos!$A$2:$OJ$901,863,MATCH($B$2&amp;"|yN",Aux_puntos!$1:$1,0))="",NA(),INDEX(Aux_puntos!$A$2:$OJ$901,863,MATCH($B$2&amp;"|yN",Aux_puntos!$1:$1,0))),NA())</f>
        <v/>
      </c>
    </row>
    <row r="868">
      <c r="AC868">
        <f>IFERROR(IF(INDEX(Aux_puntos!$A$2:$OJ$901,864,MATCH($B$2&amp;"|xK",Aux_puntos!$1:$1,0))="",NA(),INDEX(Aux_puntos!$A$2:$OJ$901,864,MATCH($B$2&amp;"|xK",Aux_puntos!$1:$1,0))),NA())</f>
        <v/>
      </c>
      <c r="AD868">
        <f>IFERROR(IF(INDEX(Aux_puntos!$A$2:$OJ$901,864,MATCH($B$2&amp;"|yK",Aux_puntos!$1:$1,0))="",NA(),INDEX(Aux_puntos!$A$2:$OJ$901,864,MATCH($B$2&amp;"|yK",Aux_puntos!$1:$1,0))),NA())</f>
        <v/>
      </c>
      <c r="AE868">
        <f>IFERROR(IF(INDEX(Aux_puntos!$A$2:$OJ$901,864,MATCH($B$2&amp;"|xC",Aux_puntos!$1:$1,0))="",NA(),INDEX(Aux_puntos!$A$2:$OJ$901,864,MATCH($B$2&amp;"|xC",Aux_puntos!$1:$1,0))),NA())</f>
        <v/>
      </c>
      <c r="AF868">
        <f>IFERROR(IF(INDEX(Aux_puntos!$A$2:$OJ$901,864,MATCH($B$2&amp;"|yC",Aux_puntos!$1:$1,0))="",NA(),INDEX(Aux_puntos!$A$2:$OJ$901,864,MATCH($B$2&amp;"|yC",Aux_puntos!$1:$1,0))),NA())</f>
        <v/>
      </c>
      <c r="AG868">
        <f>IFERROR(IF(INDEX(Aux_puntos!$A$2:$OJ$901,864,MATCH($B$2&amp;"|xI",Aux_puntos!$1:$1,0))="",NA(),INDEX(Aux_puntos!$A$2:$OJ$901,864,MATCH($B$2&amp;"|xI",Aux_puntos!$1:$1,0))),NA())</f>
        <v/>
      </c>
      <c r="AH868">
        <f>IFERROR(IF(INDEX(Aux_puntos!$A$2:$OJ$901,864,MATCH($B$2&amp;"|yI",Aux_puntos!$1:$1,0))="",NA(),INDEX(Aux_puntos!$A$2:$OJ$901,864,MATCH($B$2&amp;"|yI",Aux_puntos!$1:$1,0))),NA())</f>
        <v/>
      </c>
      <c r="AI868">
        <f>IFERROR(IF(INDEX(Aux_puntos!$A$2:$OJ$901,864,MATCH($B$2&amp;"|xN",Aux_puntos!$1:$1,0))="",NA(),INDEX(Aux_puntos!$A$2:$OJ$901,864,MATCH($B$2&amp;"|xN",Aux_puntos!$1:$1,0))),NA())</f>
        <v/>
      </c>
      <c r="AJ868">
        <f>IFERROR(IF(INDEX(Aux_puntos!$A$2:$OJ$901,864,MATCH($B$2&amp;"|yN",Aux_puntos!$1:$1,0))="",NA(),INDEX(Aux_puntos!$A$2:$OJ$901,864,MATCH($B$2&amp;"|yN",Aux_puntos!$1:$1,0))),NA())</f>
        <v/>
      </c>
    </row>
    <row r="869">
      <c r="AC869">
        <f>IFERROR(IF(INDEX(Aux_puntos!$A$2:$OJ$901,865,MATCH($B$2&amp;"|xK",Aux_puntos!$1:$1,0))="",NA(),INDEX(Aux_puntos!$A$2:$OJ$901,865,MATCH($B$2&amp;"|xK",Aux_puntos!$1:$1,0))),NA())</f>
        <v/>
      </c>
      <c r="AD869">
        <f>IFERROR(IF(INDEX(Aux_puntos!$A$2:$OJ$901,865,MATCH($B$2&amp;"|yK",Aux_puntos!$1:$1,0))="",NA(),INDEX(Aux_puntos!$A$2:$OJ$901,865,MATCH($B$2&amp;"|yK",Aux_puntos!$1:$1,0))),NA())</f>
        <v/>
      </c>
      <c r="AE869">
        <f>IFERROR(IF(INDEX(Aux_puntos!$A$2:$OJ$901,865,MATCH($B$2&amp;"|xC",Aux_puntos!$1:$1,0))="",NA(),INDEX(Aux_puntos!$A$2:$OJ$901,865,MATCH($B$2&amp;"|xC",Aux_puntos!$1:$1,0))),NA())</f>
        <v/>
      </c>
      <c r="AF869">
        <f>IFERROR(IF(INDEX(Aux_puntos!$A$2:$OJ$901,865,MATCH($B$2&amp;"|yC",Aux_puntos!$1:$1,0))="",NA(),INDEX(Aux_puntos!$A$2:$OJ$901,865,MATCH($B$2&amp;"|yC",Aux_puntos!$1:$1,0))),NA())</f>
        <v/>
      </c>
      <c r="AG869">
        <f>IFERROR(IF(INDEX(Aux_puntos!$A$2:$OJ$901,865,MATCH($B$2&amp;"|xI",Aux_puntos!$1:$1,0))="",NA(),INDEX(Aux_puntos!$A$2:$OJ$901,865,MATCH($B$2&amp;"|xI",Aux_puntos!$1:$1,0))),NA())</f>
        <v/>
      </c>
      <c r="AH869">
        <f>IFERROR(IF(INDEX(Aux_puntos!$A$2:$OJ$901,865,MATCH($B$2&amp;"|yI",Aux_puntos!$1:$1,0))="",NA(),INDEX(Aux_puntos!$A$2:$OJ$901,865,MATCH($B$2&amp;"|yI",Aux_puntos!$1:$1,0))),NA())</f>
        <v/>
      </c>
      <c r="AI869">
        <f>IFERROR(IF(INDEX(Aux_puntos!$A$2:$OJ$901,865,MATCH($B$2&amp;"|xN",Aux_puntos!$1:$1,0))="",NA(),INDEX(Aux_puntos!$A$2:$OJ$901,865,MATCH($B$2&amp;"|xN",Aux_puntos!$1:$1,0))),NA())</f>
        <v/>
      </c>
      <c r="AJ869">
        <f>IFERROR(IF(INDEX(Aux_puntos!$A$2:$OJ$901,865,MATCH($B$2&amp;"|yN",Aux_puntos!$1:$1,0))="",NA(),INDEX(Aux_puntos!$A$2:$OJ$901,865,MATCH($B$2&amp;"|yN",Aux_puntos!$1:$1,0))),NA())</f>
        <v/>
      </c>
    </row>
    <row r="870">
      <c r="AC870">
        <f>IFERROR(IF(INDEX(Aux_puntos!$A$2:$OJ$901,866,MATCH($B$2&amp;"|xK",Aux_puntos!$1:$1,0))="",NA(),INDEX(Aux_puntos!$A$2:$OJ$901,866,MATCH($B$2&amp;"|xK",Aux_puntos!$1:$1,0))),NA())</f>
        <v/>
      </c>
      <c r="AD870">
        <f>IFERROR(IF(INDEX(Aux_puntos!$A$2:$OJ$901,866,MATCH($B$2&amp;"|yK",Aux_puntos!$1:$1,0))="",NA(),INDEX(Aux_puntos!$A$2:$OJ$901,866,MATCH($B$2&amp;"|yK",Aux_puntos!$1:$1,0))),NA())</f>
        <v/>
      </c>
      <c r="AE870">
        <f>IFERROR(IF(INDEX(Aux_puntos!$A$2:$OJ$901,866,MATCH($B$2&amp;"|xC",Aux_puntos!$1:$1,0))="",NA(),INDEX(Aux_puntos!$A$2:$OJ$901,866,MATCH($B$2&amp;"|xC",Aux_puntos!$1:$1,0))),NA())</f>
        <v/>
      </c>
      <c r="AF870">
        <f>IFERROR(IF(INDEX(Aux_puntos!$A$2:$OJ$901,866,MATCH($B$2&amp;"|yC",Aux_puntos!$1:$1,0))="",NA(),INDEX(Aux_puntos!$A$2:$OJ$901,866,MATCH($B$2&amp;"|yC",Aux_puntos!$1:$1,0))),NA())</f>
        <v/>
      </c>
      <c r="AG870">
        <f>IFERROR(IF(INDEX(Aux_puntos!$A$2:$OJ$901,866,MATCH($B$2&amp;"|xI",Aux_puntos!$1:$1,0))="",NA(),INDEX(Aux_puntos!$A$2:$OJ$901,866,MATCH($B$2&amp;"|xI",Aux_puntos!$1:$1,0))),NA())</f>
        <v/>
      </c>
      <c r="AH870">
        <f>IFERROR(IF(INDEX(Aux_puntos!$A$2:$OJ$901,866,MATCH($B$2&amp;"|yI",Aux_puntos!$1:$1,0))="",NA(),INDEX(Aux_puntos!$A$2:$OJ$901,866,MATCH($B$2&amp;"|yI",Aux_puntos!$1:$1,0))),NA())</f>
        <v/>
      </c>
      <c r="AI870">
        <f>IFERROR(IF(INDEX(Aux_puntos!$A$2:$OJ$901,866,MATCH($B$2&amp;"|xN",Aux_puntos!$1:$1,0))="",NA(),INDEX(Aux_puntos!$A$2:$OJ$901,866,MATCH($B$2&amp;"|xN",Aux_puntos!$1:$1,0))),NA())</f>
        <v/>
      </c>
      <c r="AJ870">
        <f>IFERROR(IF(INDEX(Aux_puntos!$A$2:$OJ$901,866,MATCH($B$2&amp;"|yN",Aux_puntos!$1:$1,0))="",NA(),INDEX(Aux_puntos!$A$2:$OJ$901,866,MATCH($B$2&amp;"|yN",Aux_puntos!$1:$1,0))),NA())</f>
        <v/>
      </c>
    </row>
    <row r="871">
      <c r="AC871">
        <f>IFERROR(IF(INDEX(Aux_puntos!$A$2:$OJ$901,867,MATCH($B$2&amp;"|xK",Aux_puntos!$1:$1,0))="",NA(),INDEX(Aux_puntos!$A$2:$OJ$901,867,MATCH($B$2&amp;"|xK",Aux_puntos!$1:$1,0))),NA())</f>
        <v/>
      </c>
      <c r="AD871">
        <f>IFERROR(IF(INDEX(Aux_puntos!$A$2:$OJ$901,867,MATCH($B$2&amp;"|yK",Aux_puntos!$1:$1,0))="",NA(),INDEX(Aux_puntos!$A$2:$OJ$901,867,MATCH($B$2&amp;"|yK",Aux_puntos!$1:$1,0))),NA())</f>
        <v/>
      </c>
      <c r="AE871">
        <f>IFERROR(IF(INDEX(Aux_puntos!$A$2:$OJ$901,867,MATCH($B$2&amp;"|xC",Aux_puntos!$1:$1,0))="",NA(),INDEX(Aux_puntos!$A$2:$OJ$901,867,MATCH($B$2&amp;"|xC",Aux_puntos!$1:$1,0))),NA())</f>
        <v/>
      </c>
      <c r="AF871">
        <f>IFERROR(IF(INDEX(Aux_puntos!$A$2:$OJ$901,867,MATCH($B$2&amp;"|yC",Aux_puntos!$1:$1,0))="",NA(),INDEX(Aux_puntos!$A$2:$OJ$901,867,MATCH($B$2&amp;"|yC",Aux_puntos!$1:$1,0))),NA())</f>
        <v/>
      </c>
      <c r="AG871">
        <f>IFERROR(IF(INDEX(Aux_puntos!$A$2:$OJ$901,867,MATCH($B$2&amp;"|xI",Aux_puntos!$1:$1,0))="",NA(),INDEX(Aux_puntos!$A$2:$OJ$901,867,MATCH($B$2&amp;"|xI",Aux_puntos!$1:$1,0))),NA())</f>
        <v/>
      </c>
      <c r="AH871">
        <f>IFERROR(IF(INDEX(Aux_puntos!$A$2:$OJ$901,867,MATCH($B$2&amp;"|yI",Aux_puntos!$1:$1,0))="",NA(),INDEX(Aux_puntos!$A$2:$OJ$901,867,MATCH($B$2&amp;"|yI",Aux_puntos!$1:$1,0))),NA())</f>
        <v/>
      </c>
      <c r="AI871">
        <f>IFERROR(IF(INDEX(Aux_puntos!$A$2:$OJ$901,867,MATCH($B$2&amp;"|xN",Aux_puntos!$1:$1,0))="",NA(),INDEX(Aux_puntos!$A$2:$OJ$901,867,MATCH($B$2&amp;"|xN",Aux_puntos!$1:$1,0))),NA())</f>
        <v/>
      </c>
      <c r="AJ871">
        <f>IFERROR(IF(INDEX(Aux_puntos!$A$2:$OJ$901,867,MATCH($B$2&amp;"|yN",Aux_puntos!$1:$1,0))="",NA(),INDEX(Aux_puntos!$A$2:$OJ$901,867,MATCH($B$2&amp;"|yN",Aux_puntos!$1:$1,0))),NA())</f>
        <v/>
      </c>
    </row>
    <row r="872">
      <c r="AC872">
        <f>IFERROR(IF(INDEX(Aux_puntos!$A$2:$OJ$901,868,MATCH($B$2&amp;"|xK",Aux_puntos!$1:$1,0))="",NA(),INDEX(Aux_puntos!$A$2:$OJ$901,868,MATCH($B$2&amp;"|xK",Aux_puntos!$1:$1,0))),NA())</f>
        <v/>
      </c>
      <c r="AD872">
        <f>IFERROR(IF(INDEX(Aux_puntos!$A$2:$OJ$901,868,MATCH($B$2&amp;"|yK",Aux_puntos!$1:$1,0))="",NA(),INDEX(Aux_puntos!$A$2:$OJ$901,868,MATCH($B$2&amp;"|yK",Aux_puntos!$1:$1,0))),NA())</f>
        <v/>
      </c>
      <c r="AE872">
        <f>IFERROR(IF(INDEX(Aux_puntos!$A$2:$OJ$901,868,MATCH($B$2&amp;"|xC",Aux_puntos!$1:$1,0))="",NA(),INDEX(Aux_puntos!$A$2:$OJ$901,868,MATCH($B$2&amp;"|xC",Aux_puntos!$1:$1,0))),NA())</f>
        <v/>
      </c>
      <c r="AF872">
        <f>IFERROR(IF(INDEX(Aux_puntos!$A$2:$OJ$901,868,MATCH($B$2&amp;"|yC",Aux_puntos!$1:$1,0))="",NA(),INDEX(Aux_puntos!$A$2:$OJ$901,868,MATCH($B$2&amp;"|yC",Aux_puntos!$1:$1,0))),NA())</f>
        <v/>
      </c>
      <c r="AG872">
        <f>IFERROR(IF(INDEX(Aux_puntos!$A$2:$OJ$901,868,MATCH($B$2&amp;"|xI",Aux_puntos!$1:$1,0))="",NA(),INDEX(Aux_puntos!$A$2:$OJ$901,868,MATCH($B$2&amp;"|xI",Aux_puntos!$1:$1,0))),NA())</f>
        <v/>
      </c>
      <c r="AH872">
        <f>IFERROR(IF(INDEX(Aux_puntos!$A$2:$OJ$901,868,MATCH($B$2&amp;"|yI",Aux_puntos!$1:$1,0))="",NA(),INDEX(Aux_puntos!$A$2:$OJ$901,868,MATCH($B$2&amp;"|yI",Aux_puntos!$1:$1,0))),NA())</f>
        <v/>
      </c>
      <c r="AI872">
        <f>IFERROR(IF(INDEX(Aux_puntos!$A$2:$OJ$901,868,MATCH($B$2&amp;"|xN",Aux_puntos!$1:$1,0))="",NA(),INDEX(Aux_puntos!$A$2:$OJ$901,868,MATCH($B$2&amp;"|xN",Aux_puntos!$1:$1,0))),NA())</f>
        <v/>
      </c>
      <c r="AJ872">
        <f>IFERROR(IF(INDEX(Aux_puntos!$A$2:$OJ$901,868,MATCH($B$2&amp;"|yN",Aux_puntos!$1:$1,0))="",NA(),INDEX(Aux_puntos!$A$2:$OJ$901,868,MATCH($B$2&amp;"|yN",Aux_puntos!$1:$1,0))),NA())</f>
        <v/>
      </c>
    </row>
    <row r="873">
      <c r="AC873">
        <f>IFERROR(IF(INDEX(Aux_puntos!$A$2:$OJ$901,869,MATCH($B$2&amp;"|xK",Aux_puntos!$1:$1,0))="",NA(),INDEX(Aux_puntos!$A$2:$OJ$901,869,MATCH($B$2&amp;"|xK",Aux_puntos!$1:$1,0))),NA())</f>
        <v/>
      </c>
      <c r="AD873">
        <f>IFERROR(IF(INDEX(Aux_puntos!$A$2:$OJ$901,869,MATCH($B$2&amp;"|yK",Aux_puntos!$1:$1,0))="",NA(),INDEX(Aux_puntos!$A$2:$OJ$901,869,MATCH($B$2&amp;"|yK",Aux_puntos!$1:$1,0))),NA())</f>
        <v/>
      </c>
      <c r="AE873">
        <f>IFERROR(IF(INDEX(Aux_puntos!$A$2:$OJ$901,869,MATCH($B$2&amp;"|xC",Aux_puntos!$1:$1,0))="",NA(),INDEX(Aux_puntos!$A$2:$OJ$901,869,MATCH($B$2&amp;"|xC",Aux_puntos!$1:$1,0))),NA())</f>
        <v/>
      </c>
      <c r="AF873">
        <f>IFERROR(IF(INDEX(Aux_puntos!$A$2:$OJ$901,869,MATCH($B$2&amp;"|yC",Aux_puntos!$1:$1,0))="",NA(),INDEX(Aux_puntos!$A$2:$OJ$901,869,MATCH($B$2&amp;"|yC",Aux_puntos!$1:$1,0))),NA())</f>
        <v/>
      </c>
      <c r="AG873">
        <f>IFERROR(IF(INDEX(Aux_puntos!$A$2:$OJ$901,869,MATCH($B$2&amp;"|xI",Aux_puntos!$1:$1,0))="",NA(),INDEX(Aux_puntos!$A$2:$OJ$901,869,MATCH($B$2&amp;"|xI",Aux_puntos!$1:$1,0))),NA())</f>
        <v/>
      </c>
      <c r="AH873">
        <f>IFERROR(IF(INDEX(Aux_puntos!$A$2:$OJ$901,869,MATCH($B$2&amp;"|yI",Aux_puntos!$1:$1,0))="",NA(),INDEX(Aux_puntos!$A$2:$OJ$901,869,MATCH($B$2&amp;"|yI",Aux_puntos!$1:$1,0))),NA())</f>
        <v/>
      </c>
      <c r="AI873">
        <f>IFERROR(IF(INDEX(Aux_puntos!$A$2:$OJ$901,869,MATCH($B$2&amp;"|xN",Aux_puntos!$1:$1,0))="",NA(),INDEX(Aux_puntos!$A$2:$OJ$901,869,MATCH($B$2&amp;"|xN",Aux_puntos!$1:$1,0))),NA())</f>
        <v/>
      </c>
      <c r="AJ873">
        <f>IFERROR(IF(INDEX(Aux_puntos!$A$2:$OJ$901,869,MATCH($B$2&amp;"|yN",Aux_puntos!$1:$1,0))="",NA(),INDEX(Aux_puntos!$A$2:$OJ$901,869,MATCH($B$2&amp;"|yN",Aux_puntos!$1:$1,0))),NA())</f>
        <v/>
      </c>
    </row>
    <row r="874">
      <c r="AC874">
        <f>IFERROR(IF(INDEX(Aux_puntos!$A$2:$OJ$901,870,MATCH($B$2&amp;"|xK",Aux_puntos!$1:$1,0))="",NA(),INDEX(Aux_puntos!$A$2:$OJ$901,870,MATCH($B$2&amp;"|xK",Aux_puntos!$1:$1,0))),NA())</f>
        <v/>
      </c>
      <c r="AD874">
        <f>IFERROR(IF(INDEX(Aux_puntos!$A$2:$OJ$901,870,MATCH($B$2&amp;"|yK",Aux_puntos!$1:$1,0))="",NA(),INDEX(Aux_puntos!$A$2:$OJ$901,870,MATCH($B$2&amp;"|yK",Aux_puntos!$1:$1,0))),NA())</f>
        <v/>
      </c>
      <c r="AE874">
        <f>IFERROR(IF(INDEX(Aux_puntos!$A$2:$OJ$901,870,MATCH($B$2&amp;"|xC",Aux_puntos!$1:$1,0))="",NA(),INDEX(Aux_puntos!$A$2:$OJ$901,870,MATCH($B$2&amp;"|xC",Aux_puntos!$1:$1,0))),NA())</f>
        <v/>
      </c>
      <c r="AF874">
        <f>IFERROR(IF(INDEX(Aux_puntos!$A$2:$OJ$901,870,MATCH($B$2&amp;"|yC",Aux_puntos!$1:$1,0))="",NA(),INDEX(Aux_puntos!$A$2:$OJ$901,870,MATCH($B$2&amp;"|yC",Aux_puntos!$1:$1,0))),NA())</f>
        <v/>
      </c>
      <c r="AG874">
        <f>IFERROR(IF(INDEX(Aux_puntos!$A$2:$OJ$901,870,MATCH($B$2&amp;"|xI",Aux_puntos!$1:$1,0))="",NA(),INDEX(Aux_puntos!$A$2:$OJ$901,870,MATCH($B$2&amp;"|xI",Aux_puntos!$1:$1,0))),NA())</f>
        <v/>
      </c>
      <c r="AH874">
        <f>IFERROR(IF(INDEX(Aux_puntos!$A$2:$OJ$901,870,MATCH($B$2&amp;"|yI",Aux_puntos!$1:$1,0))="",NA(),INDEX(Aux_puntos!$A$2:$OJ$901,870,MATCH($B$2&amp;"|yI",Aux_puntos!$1:$1,0))),NA())</f>
        <v/>
      </c>
      <c r="AI874">
        <f>IFERROR(IF(INDEX(Aux_puntos!$A$2:$OJ$901,870,MATCH($B$2&amp;"|xN",Aux_puntos!$1:$1,0))="",NA(),INDEX(Aux_puntos!$A$2:$OJ$901,870,MATCH($B$2&amp;"|xN",Aux_puntos!$1:$1,0))),NA())</f>
        <v/>
      </c>
      <c r="AJ874">
        <f>IFERROR(IF(INDEX(Aux_puntos!$A$2:$OJ$901,870,MATCH($B$2&amp;"|yN",Aux_puntos!$1:$1,0))="",NA(),INDEX(Aux_puntos!$A$2:$OJ$901,870,MATCH($B$2&amp;"|yN",Aux_puntos!$1:$1,0))),NA())</f>
        <v/>
      </c>
    </row>
    <row r="875">
      <c r="AC875">
        <f>IFERROR(IF(INDEX(Aux_puntos!$A$2:$OJ$901,871,MATCH($B$2&amp;"|xK",Aux_puntos!$1:$1,0))="",NA(),INDEX(Aux_puntos!$A$2:$OJ$901,871,MATCH($B$2&amp;"|xK",Aux_puntos!$1:$1,0))),NA())</f>
        <v/>
      </c>
      <c r="AD875">
        <f>IFERROR(IF(INDEX(Aux_puntos!$A$2:$OJ$901,871,MATCH($B$2&amp;"|yK",Aux_puntos!$1:$1,0))="",NA(),INDEX(Aux_puntos!$A$2:$OJ$901,871,MATCH($B$2&amp;"|yK",Aux_puntos!$1:$1,0))),NA())</f>
        <v/>
      </c>
      <c r="AE875">
        <f>IFERROR(IF(INDEX(Aux_puntos!$A$2:$OJ$901,871,MATCH($B$2&amp;"|xC",Aux_puntos!$1:$1,0))="",NA(),INDEX(Aux_puntos!$A$2:$OJ$901,871,MATCH($B$2&amp;"|xC",Aux_puntos!$1:$1,0))),NA())</f>
        <v/>
      </c>
      <c r="AF875">
        <f>IFERROR(IF(INDEX(Aux_puntos!$A$2:$OJ$901,871,MATCH($B$2&amp;"|yC",Aux_puntos!$1:$1,0))="",NA(),INDEX(Aux_puntos!$A$2:$OJ$901,871,MATCH($B$2&amp;"|yC",Aux_puntos!$1:$1,0))),NA())</f>
        <v/>
      </c>
      <c r="AG875">
        <f>IFERROR(IF(INDEX(Aux_puntos!$A$2:$OJ$901,871,MATCH($B$2&amp;"|xI",Aux_puntos!$1:$1,0))="",NA(),INDEX(Aux_puntos!$A$2:$OJ$901,871,MATCH($B$2&amp;"|xI",Aux_puntos!$1:$1,0))),NA())</f>
        <v/>
      </c>
      <c r="AH875">
        <f>IFERROR(IF(INDEX(Aux_puntos!$A$2:$OJ$901,871,MATCH($B$2&amp;"|yI",Aux_puntos!$1:$1,0))="",NA(),INDEX(Aux_puntos!$A$2:$OJ$901,871,MATCH($B$2&amp;"|yI",Aux_puntos!$1:$1,0))),NA())</f>
        <v/>
      </c>
      <c r="AI875">
        <f>IFERROR(IF(INDEX(Aux_puntos!$A$2:$OJ$901,871,MATCH($B$2&amp;"|xN",Aux_puntos!$1:$1,0))="",NA(),INDEX(Aux_puntos!$A$2:$OJ$901,871,MATCH($B$2&amp;"|xN",Aux_puntos!$1:$1,0))),NA())</f>
        <v/>
      </c>
      <c r="AJ875">
        <f>IFERROR(IF(INDEX(Aux_puntos!$A$2:$OJ$901,871,MATCH($B$2&amp;"|yN",Aux_puntos!$1:$1,0))="",NA(),INDEX(Aux_puntos!$A$2:$OJ$901,871,MATCH($B$2&amp;"|yN",Aux_puntos!$1:$1,0))),NA())</f>
        <v/>
      </c>
    </row>
    <row r="876">
      <c r="AC876">
        <f>IFERROR(IF(INDEX(Aux_puntos!$A$2:$OJ$901,872,MATCH($B$2&amp;"|xK",Aux_puntos!$1:$1,0))="",NA(),INDEX(Aux_puntos!$A$2:$OJ$901,872,MATCH($B$2&amp;"|xK",Aux_puntos!$1:$1,0))),NA())</f>
        <v/>
      </c>
      <c r="AD876">
        <f>IFERROR(IF(INDEX(Aux_puntos!$A$2:$OJ$901,872,MATCH($B$2&amp;"|yK",Aux_puntos!$1:$1,0))="",NA(),INDEX(Aux_puntos!$A$2:$OJ$901,872,MATCH($B$2&amp;"|yK",Aux_puntos!$1:$1,0))),NA())</f>
        <v/>
      </c>
      <c r="AE876">
        <f>IFERROR(IF(INDEX(Aux_puntos!$A$2:$OJ$901,872,MATCH($B$2&amp;"|xC",Aux_puntos!$1:$1,0))="",NA(),INDEX(Aux_puntos!$A$2:$OJ$901,872,MATCH($B$2&amp;"|xC",Aux_puntos!$1:$1,0))),NA())</f>
        <v/>
      </c>
      <c r="AF876">
        <f>IFERROR(IF(INDEX(Aux_puntos!$A$2:$OJ$901,872,MATCH($B$2&amp;"|yC",Aux_puntos!$1:$1,0))="",NA(),INDEX(Aux_puntos!$A$2:$OJ$901,872,MATCH($B$2&amp;"|yC",Aux_puntos!$1:$1,0))),NA())</f>
        <v/>
      </c>
      <c r="AG876">
        <f>IFERROR(IF(INDEX(Aux_puntos!$A$2:$OJ$901,872,MATCH($B$2&amp;"|xI",Aux_puntos!$1:$1,0))="",NA(),INDEX(Aux_puntos!$A$2:$OJ$901,872,MATCH($B$2&amp;"|xI",Aux_puntos!$1:$1,0))),NA())</f>
        <v/>
      </c>
      <c r="AH876">
        <f>IFERROR(IF(INDEX(Aux_puntos!$A$2:$OJ$901,872,MATCH($B$2&amp;"|yI",Aux_puntos!$1:$1,0))="",NA(),INDEX(Aux_puntos!$A$2:$OJ$901,872,MATCH($B$2&amp;"|yI",Aux_puntos!$1:$1,0))),NA())</f>
        <v/>
      </c>
      <c r="AI876">
        <f>IFERROR(IF(INDEX(Aux_puntos!$A$2:$OJ$901,872,MATCH($B$2&amp;"|xN",Aux_puntos!$1:$1,0))="",NA(),INDEX(Aux_puntos!$A$2:$OJ$901,872,MATCH($B$2&amp;"|xN",Aux_puntos!$1:$1,0))),NA())</f>
        <v/>
      </c>
      <c r="AJ876">
        <f>IFERROR(IF(INDEX(Aux_puntos!$A$2:$OJ$901,872,MATCH($B$2&amp;"|yN",Aux_puntos!$1:$1,0))="",NA(),INDEX(Aux_puntos!$A$2:$OJ$901,872,MATCH($B$2&amp;"|yN",Aux_puntos!$1:$1,0))),NA())</f>
        <v/>
      </c>
    </row>
    <row r="877">
      <c r="AC877">
        <f>IFERROR(IF(INDEX(Aux_puntos!$A$2:$OJ$901,873,MATCH($B$2&amp;"|xK",Aux_puntos!$1:$1,0))="",NA(),INDEX(Aux_puntos!$A$2:$OJ$901,873,MATCH($B$2&amp;"|xK",Aux_puntos!$1:$1,0))),NA())</f>
        <v/>
      </c>
      <c r="AD877">
        <f>IFERROR(IF(INDEX(Aux_puntos!$A$2:$OJ$901,873,MATCH($B$2&amp;"|yK",Aux_puntos!$1:$1,0))="",NA(),INDEX(Aux_puntos!$A$2:$OJ$901,873,MATCH($B$2&amp;"|yK",Aux_puntos!$1:$1,0))),NA())</f>
        <v/>
      </c>
      <c r="AE877">
        <f>IFERROR(IF(INDEX(Aux_puntos!$A$2:$OJ$901,873,MATCH($B$2&amp;"|xC",Aux_puntos!$1:$1,0))="",NA(),INDEX(Aux_puntos!$A$2:$OJ$901,873,MATCH($B$2&amp;"|xC",Aux_puntos!$1:$1,0))),NA())</f>
        <v/>
      </c>
      <c r="AF877">
        <f>IFERROR(IF(INDEX(Aux_puntos!$A$2:$OJ$901,873,MATCH($B$2&amp;"|yC",Aux_puntos!$1:$1,0))="",NA(),INDEX(Aux_puntos!$A$2:$OJ$901,873,MATCH($B$2&amp;"|yC",Aux_puntos!$1:$1,0))),NA())</f>
        <v/>
      </c>
      <c r="AG877">
        <f>IFERROR(IF(INDEX(Aux_puntos!$A$2:$OJ$901,873,MATCH($B$2&amp;"|xI",Aux_puntos!$1:$1,0))="",NA(),INDEX(Aux_puntos!$A$2:$OJ$901,873,MATCH($B$2&amp;"|xI",Aux_puntos!$1:$1,0))),NA())</f>
        <v/>
      </c>
      <c r="AH877">
        <f>IFERROR(IF(INDEX(Aux_puntos!$A$2:$OJ$901,873,MATCH($B$2&amp;"|yI",Aux_puntos!$1:$1,0))="",NA(),INDEX(Aux_puntos!$A$2:$OJ$901,873,MATCH($B$2&amp;"|yI",Aux_puntos!$1:$1,0))),NA())</f>
        <v/>
      </c>
      <c r="AI877">
        <f>IFERROR(IF(INDEX(Aux_puntos!$A$2:$OJ$901,873,MATCH($B$2&amp;"|xN",Aux_puntos!$1:$1,0))="",NA(),INDEX(Aux_puntos!$A$2:$OJ$901,873,MATCH($B$2&amp;"|xN",Aux_puntos!$1:$1,0))),NA())</f>
        <v/>
      </c>
      <c r="AJ877">
        <f>IFERROR(IF(INDEX(Aux_puntos!$A$2:$OJ$901,873,MATCH($B$2&amp;"|yN",Aux_puntos!$1:$1,0))="",NA(),INDEX(Aux_puntos!$A$2:$OJ$901,873,MATCH($B$2&amp;"|yN",Aux_puntos!$1:$1,0))),NA())</f>
        <v/>
      </c>
    </row>
    <row r="878">
      <c r="AC878">
        <f>IFERROR(IF(INDEX(Aux_puntos!$A$2:$OJ$901,874,MATCH($B$2&amp;"|xK",Aux_puntos!$1:$1,0))="",NA(),INDEX(Aux_puntos!$A$2:$OJ$901,874,MATCH($B$2&amp;"|xK",Aux_puntos!$1:$1,0))),NA())</f>
        <v/>
      </c>
      <c r="AD878">
        <f>IFERROR(IF(INDEX(Aux_puntos!$A$2:$OJ$901,874,MATCH($B$2&amp;"|yK",Aux_puntos!$1:$1,0))="",NA(),INDEX(Aux_puntos!$A$2:$OJ$901,874,MATCH($B$2&amp;"|yK",Aux_puntos!$1:$1,0))),NA())</f>
        <v/>
      </c>
      <c r="AE878">
        <f>IFERROR(IF(INDEX(Aux_puntos!$A$2:$OJ$901,874,MATCH($B$2&amp;"|xC",Aux_puntos!$1:$1,0))="",NA(),INDEX(Aux_puntos!$A$2:$OJ$901,874,MATCH($B$2&amp;"|xC",Aux_puntos!$1:$1,0))),NA())</f>
        <v/>
      </c>
      <c r="AF878">
        <f>IFERROR(IF(INDEX(Aux_puntos!$A$2:$OJ$901,874,MATCH($B$2&amp;"|yC",Aux_puntos!$1:$1,0))="",NA(),INDEX(Aux_puntos!$A$2:$OJ$901,874,MATCH($B$2&amp;"|yC",Aux_puntos!$1:$1,0))),NA())</f>
        <v/>
      </c>
      <c r="AG878">
        <f>IFERROR(IF(INDEX(Aux_puntos!$A$2:$OJ$901,874,MATCH($B$2&amp;"|xI",Aux_puntos!$1:$1,0))="",NA(),INDEX(Aux_puntos!$A$2:$OJ$901,874,MATCH($B$2&amp;"|xI",Aux_puntos!$1:$1,0))),NA())</f>
        <v/>
      </c>
      <c r="AH878">
        <f>IFERROR(IF(INDEX(Aux_puntos!$A$2:$OJ$901,874,MATCH($B$2&amp;"|yI",Aux_puntos!$1:$1,0))="",NA(),INDEX(Aux_puntos!$A$2:$OJ$901,874,MATCH($B$2&amp;"|yI",Aux_puntos!$1:$1,0))),NA())</f>
        <v/>
      </c>
      <c r="AI878">
        <f>IFERROR(IF(INDEX(Aux_puntos!$A$2:$OJ$901,874,MATCH($B$2&amp;"|xN",Aux_puntos!$1:$1,0))="",NA(),INDEX(Aux_puntos!$A$2:$OJ$901,874,MATCH($B$2&amp;"|xN",Aux_puntos!$1:$1,0))),NA())</f>
        <v/>
      </c>
      <c r="AJ878">
        <f>IFERROR(IF(INDEX(Aux_puntos!$A$2:$OJ$901,874,MATCH($B$2&amp;"|yN",Aux_puntos!$1:$1,0))="",NA(),INDEX(Aux_puntos!$A$2:$OJ$901,874,MATCH($B$2&amp;"|yN",Aux_puntos!$1:$1,0))),NA())</f>
        <v/>
      </c>
    </row>
    <row r="879">
      <c r="AC879">
        <f>IFERROR(IF(INDEX(Aux_puntos!$A$2:$OJ$901,875,MATCH($B$2&amp;"|xK",Aux_puntos!$1:$1,0))="",NA(),INDEX(Aux_puntos!$A$2:$OJ$901,875,MATCH($B$2&amp;"|xK",Aux_puntos!$1:$1,0))),NA())</f>
        <v/>
      </c>
      <c r="AD879">
        <f>IFERROR(IF(INDEX(Aux_puntos!$A$2:$OJ$901,875,MATCH($B$2&amp;"|yK",Aux_puntos!$1:$1,0))="",NA(),INDEX(Aux_puntos!$A$2:$OJ$901,875,MATCH($B$2&amp;"|yK",Aux_puntos!$1:$1,0))),NA())</f>
        <v/>
      </c>
      <c r="AE879">
        <f>IFERROR(IF(INDEX(Aux_puntos!$A$2:$OJ$901,875,MATCH($B$2&amp;"|xC",Aux_puntos!$1:$1,0))="",NA(),INDEX(Aux_puntos!$A$2:$OJ$901,875,MATCH($B$2&amp;"|xC",Aux_puntos!$1:$1,0))),NA())</f>
        <v/>
      </c>
      <c r="AF879">
        <f>IFERROR(IF(INDEX(Aux_puntos!$A$2:$OJ$901,875,MATCH($B$2&amp;"|yC",Aux_puntos!$1:$1,0))="",NA(),INDEX(Aux_puntos!$A$2:$OJ$901,875,MATCH($B$2&amp;"|yC",Aux_puntos!$1:$1,0))),NA())</f>
        <v/>
      </c>
      <c r="AG879">
        <f>IFERROR(IF(INDEX(Aux_puntos!$A$2:$OJ$901,875,MATCH($B$2&amp;"|xI",Aux_puntos!$1:$1,0))="",NA(),INDEX(Aux_puntos!$A$2:$OJ$901,875,MATCH($B$2&amp;"|xI",Aux_puntos!$1:$1,0))),NA())</f>
        <v/>
      </c>
      <c r="AH879">
        <f>IFERROR(IF(INDEX(Aux_puntos!$A$2:$OJ$901,875,MATCH($B$2&amp;"|yI",Aux_puntos!$1:$1,0))="",NA(),INDEX(Aux_puntos!$A$2:$OJ$901,875,MATCH($B$2&amp;"|yI",Aux_puntos!$1:$1,0))),NA())</f>
        <v/>
      </c>
      <c r="AI879">
        <f>IFERROR(IF(INDEX(Aux_puntos!$A$2:$OJ$901,875,MATCH($B$2&amp;"|xN",Aux_puntos!$1:$1,0))="",NA(),INDEX(Aux_puntos!$A$2:$OJ$901,875,MATCH($B$2&amp;"|xN",Aux_puntos!$1:$1,0))),NA())</f>
        <v/>
      </c>
      <c r="AJ879">
        <f>IFERROR(IF(INDEX(Aux_puntos!$A$2:$OJ$901,875,MATCH($B$2&amp;"|yN",Aux_puntos!$1:$1,0))="",NA(),INDEX(Aux_puntos!$A$2:$OJ$901,875,MATCH($B$2&amp;"|yN",Aux_puntos!$1:$1,0))),NA())</f>
        <v/>
      </c>
    </row>
    <row r="880">
      <c r="AC880">
        <f>IFERROR(IF(INDEX(Aux_puntos!$A$2:$OJ$901,876,MATCH($B$2&amp;"|xK",Aux_puntos!$1:$1,0))="",NA(),INDEX(Aux_puntos!$A$2:$OJ$901,876,MATCH($B$2&amp;"|xK",Aux_puntos!$1:$1,0))),NA())</f>
        <v/>
      </c>
      <c r="AD880">
        <f>IFERROR(IF(INDEX(Aux_puntos!$A$2:$OJ$901,876,MATCH($B$2&amp;"|yK",Aux_puntos!$1:$1,0))="",NA(),INDEX(Aux_puntos!$A$2:$OJ$901,876,MATCH($B$2&amp;"|yK",Aux_puntos!$1:$1,0))),NA())</f>
        <v/>
      </c>
      <c r="AE880">
        <f>IFERROR(IF(INDEX(Aux_puntos!$A$2:$OJ$901,876,MATCH($B$2&amp;"|xC",Aux_puntos!$1:$1,0))="",NA(),INDEX(Aux_puntos!$A$2:$OJ$901,876,MATCH($B$2&amp;"|xC",Aux_puntos!$1:$1,0))),NA())</f>
        <v/>
      </c>
      <c r="AF880">
        <f>IFERROR(IF(INDEX(Aux_puntos!$A$2:$OJ$901,876,MATCH($B$2&amp;"|yC",Aux_puntos!$1:$1,0))="",NA(),INDEX(Aux_puntos!$A$2:$OJ$901,876,MATCH($B$2&amp;"|yC",Aux_puntos!$1:$1,0))),NA())</f>
        <v/>
      </c>
      <c r="AG880">
        <f>IFERROR(IF(INDEX(Aux_puntos!$A$2:$OJ$901,876,MATCH($B$2&amp;"|xI",Aux_puntos!$1:$1,0))="",NA(),INDEX(Aux_puntos!$A$2:$OJ$901,876,MATCH($B$2&amp;"|xI",Aux_puntos!$1:$1,0))),NA())</f>
        <v/>
      </c>
      <c r="AH880">
        <f>IFERROR(IF(INDEX(Aux_puntos!$A$2:$OJ$901,876,MATCH($B$2&amp;"|yI",Aux_puntos!$1:$1,0))="",NA(),INDEX(Aux_puntos!$A$2:$OJ$901,876,MATCH($B$2&amp;"|yI",Aux_puntos!$1:$1,0))),NA())</f>
        <v/>
      </c>
      <c r="AI880">
        <f>IFERROR(IF(INDEX(Aux_puntos!$A$2:$OJ$901,876,MATCH($B$2&amp;"|xN",Aux_puntos!$1:$1,0))="",NA(),INDEX(Aux_puntos!$A$2:$OJ$901,876,MATCH($B$2&amp;"|xN",Aux_puntos!$1:$1,0))),NA())</f>
        <v/>
      </c>
      <c r="AJ880">
        <f>IFERROR(IF(INDEX(Aux_puntos!$A$2:$OJ$901,876,MATCH($B$2&amp;"|yN",Aux_puntos!$1:$1,0))="",NA(),INDEX(Aux_puntos!$A$2:$OJ$901,876,MATCH($B$2&amp;"|yN",Aux_puntos!$1:$1,0))),NA())</f>
        <v/>
      </c>
    </row>
    <row r="881">
      <c r="AC881">
        <f>IFERROR(IF(INDEX(Aux_puntos!$A$2:$OJ$901,877,MATCH($B$2&amp;"|xK",Aux_puntos!$1:$1,0))="",NA(),INDEX(Aux_puntos!$A$2:$OJ$901,877,MATCH($B$2&amp;"|xK",Aux_puntos!$1:$1,0))),NA())</f>
        <v/>
      </c>
      <c r="AD881">
        <f>IFERROR(IF(INDEX(Aux_puntos!$A$2:$OJ$901,877,MATCH($B$2&amp;"|yK",Aux_puntos!$1:$1,0))="",NA(),INDEX(Aux_puntos!$A$2:$OJ$901,877,MATCH($B$2&amp;"|yK",Aux_puntos!$1:$1,0))),NA())</f>
        <v/>
      </c>
      <c r="AE881">
        <f>IFERROR(IF(INDEX(Aux_puntos!$A$2:$OJ$901,877,MATCH($B$2&amp;"|xC",Aux_puntos!$1:$1,0))="",NA(),INDEX(Aux_puntos!$A$2:$OJ$901,877,MATCH($B$2&amp;"|xC",Aux_puntos!$1:$1,0))),NA())</f>
        <v/>
      </c>
      <c r="AF881">
        <f>IFERROR(IF(INDEX(Aux_puntos!$A$2:$OJ$901,877,MATCH($B$2&amp;"|yC",Aux_puntos!$1:$1,0))="",NA(),INDEX(Aux_puntos!$A$2:$OJ$901,877,MATCH($B$2&amp;"|yC",Aux_puntos!$1:$1,0))),NA())</f>
        <v/>
      </c>
      <c r="AG881">
        <f>IFERROR(IF(INDEX(Aux_puntos!$A$2:$OJ$901,877,MATCH($B$2&amp;"|xI",Aux_puntos!$1:$1,0))="",NA(),INDEX(Aux_puntos!$A$2:$OJ$901,877,MATCH($B$2&amp;"|xI",Aux_puntos!$1:$1,0))),NA())</f>
        <v/>
      </c>
      <c r="AH881">
        <f>IFERROR(IF(INDEX(Aux_puntos!$A$2:$OJ$901,877,MATCH($B$2&amp;"|yI",Aux_puntos!$1:$1,0))="",NA(),INDEX(Aux_puntos!$A$2:$OJ$901,877,MATCH($B$2&amp;"|yI",Aux_puntos!$1:$1,0))),NA())</f>
        <v/>
      </c>
      <c r="AI881">
        <f>IFERROR(IF(INDEX(Aux_puntos!$A$2:$OJ$901,877,MATCH($B$2&amp;"|xN",Aux_puntos!$1:$1,0))="",NA(),INDEX(Aux_puntos!$A$2:$OJ$901,877,MATCH($B$2&amp;"|xN",Aux_puntos!$1:$1,0))),NA())</f>
        <v/>
      </c>
      <c r="AJ881">
        <f>IFERROR(IF(INDEX(Aux_puntos!$A$2:$OJ$901,877,MATCH($B$2&amp;"|yN",Aux_puntos!$1:$1,0))="",NA(),INDEX(Aux_puntos!$A$2:$OJ$901,877,MATCH($B$2&amp;"|yN",Aux_puntos!$1:$1,0))),NA())</f>
        <v/>
      </c>
    </row>
    <row r="882">
      <c r="AC882">
        <f>IFERROR(IF(INDEX(Aux_puntos!$A$2:$OJ$901,878,MATCH($B$2&amp;"|xK",Aux_puntos!$1:$1,0))="",NA(),INDEX(Aux_puntos!$A$2:$OJ$901,878,MATCH($B$2&amp;"|xK",Aux_puntos!$1:$1,0))),NA())</f>
        <v/>
      </c>
      <c r="AD882">
        <f>IFERROR(IF(INDEX(Aux_puntos!$A$2:$OJ$901,878,MATCH($B$2&amp;"|yK",Aux_puntos!$1:$1,0))="",NA(),INDEX(Aux_puntos!$A$2:$OJ$901,878,MATCH($B$2&amp;"|yK",Aux_puntos!$1:$1,0))),NA())</f>
        <v/>
      </c>
      <c r="AE882">
        <f>IFERROR(IF(INDEX(Aux_puntos!$A$2:$OJ$901,878,MATCH($B$2&amp;"|xC",Aux_puntos!$1:$1,0))="",NA(),INDEX(Aux_puntos!$A$2:$OJ$901,878,MATCH($B$2&amp;"|xC",Aux_puntos!$1:$1,0))),NA())</f>
        <v/>
      </c>
      <c r="AF882">
        <f>IFERROR(IF(INDEX(Aux_puntos!$A$2:$OJ$901,878,MATCH($B$2&amp;"|yC",Aux_puntos!$1:$1,0))="",NA(),INDEX(Aux_puntos!$A$2:$OJ$901,878,MATCH($B$2&amp;"|yC",Aux_puntos!$1:$1,0))),NA())</f>
        <v/>
      </c>
      <c r="AG882">
        <f>IFERROR(IF(INDEX(Aux_puntos!$A$2:$OJ$901,878,MATCH($B$2&amp;"|xI",Aux_puntos!$1:$1,0))="",NA(),INDEX(Aux_puntos!$A$2:$OJ$901,878,MATCH($B$2&amp;"|xI",Aux_puntos!$1:$1,0))),NA())</f>
        <v/>
      </c>
      <c r="AH882">
        <f>IFERROR(IF(INDEX(Aux_puntos!$A$2:$OJ$901,878,MATCH($B$2&amp;"|yI",Aux_puntos!$1:$1,0))="",NA(),INDEX(Aux_puntos!$A$2:$OJ$901,878,MATCH($B$2&amp;"|yI",Aux_puntos!$1:$1,0))),NA())</f>
        <v/>
      </c>
      <c r="AI882">
        <f>IFERROR(IF(INDEX(Aux_puntos!$A$2:$OJ$901,878,MATCH($B$2&amp;"|xN",Aux_puntos!$1:$1,0))="",NA(),INDEX(Aux_puntos!$A$2:$OJ$901,878,MATCH($B$2&amp;"|xN",Aux_puntos!$1:$1,0))),NA())</f>
        <v/>
      </c>
      <c r="AJ882">
        <f>IFERROR(IF(INDEX(Aux_puntos!$A$2:$OJ$901,878,MATCH($B$2&amp;"|yN",Aux_puntos!$1:$1,0))="",NA(),INDEX(Aux_puntos!$A$2:$OJ$901,878,MATCH($B$2&amp;"|yN",Aux_puntos!$1:$1,0))),NA())</f>
        <v/>
      </c>
    </row>
    <row r="883">
      <c r="AC883">
        <f>IFERROR(IF(INDEX(Aux_puntos!$A$2:$OJ$901,879,MATCH($B$2&amp;"|xK",Aux_puntos!$1:$1,0))="",NA(),INDEX(Aux_puntos!$A$2:$OJ$901,879,MATCH($B$2&amp;"|xK",Aux_puntos!$1:$1,0))),NA())</f>
        <v/>
      </c>
      <c r="AD883">
        <f>IFERROR(IF(INDEX(Aux_puntos!$A$2:$OJ$901,879,MATCH($B$2&amp;"|yK",Aux_puntos!$1:$1,0))="",NA(),INDEX(Aux_puntos!$A$2:$OJ$901,879,MATCH($B$2&amp;"|yK",Aux_puntos!$1:$1,0))),NA())</f>
        <v/>
      </c>
      <c r="AE883">
        <f>IFERROR(IF(INDEX(Aux_puntos!$A$2:$OJ$901,879,MATCH($B$2&amp;"|xC",Aux_puntos!$1:$1,0))="",NA(),INDEX(Aux_puntos!$A$2:$OJ$901,879,MATCH($B$2&amp;"|xC",Aux_puntos!$1:$1,0))),NA())</f>
        <v/>
      </c>
      <c r="AF883">
        <f>IFERROR(IF(INDEX(Aux_puntos!$A$2:$OJ$901,879,MATCH($B$2&amp;"|yC",Aux_puntos!$1:$1,0))="",NA(),INDEX(Aux_puntos!$A$2:$OJ$901,879,MATCH($B$2&amp;"|yC",Aux_puntos!$1:$1,0))),NA())</f>
        <v/>
      </c>
      <c r="AG883">
        <f>IFERROR(IF(INDEX(Aux_puntos!$A$2:$OJ$901,879,MATCH($B$2&amp;"|xI",Aux_puntos!$1:$1,0))="",NA(),INDEX(Aux_puntos!$A$2:$OJ$901,879,MATCH($B$2&amp;"|xI",Aux_puntos!$1:$1,0))),NA())</f>
        <v/>
      </c>
      <c r="AH883">
        <f>IFERROR(IF(INDEX(Aux_puntos!$A$2:$OJ$901,879,MATCH($B$2&amp;"|yI",Aux_puntos!$1:$1,0))="",NA(),INDEX(Aux_puntos!$A$2:$OJ$901,879,MATCH($B$2&amp;"|yI",Aux_puntos!$1:$1,0))),NA())</f>
        <v/>
      </c>
      <c r="AI883">
        <f>IFERROR(IF(INDEX(Aux_puntos!$A$2:$OJ$901,879,MATCH($B$2&amp;"|xN",Aux_puntos!$1:$1,0))="",NA(),INDEX(Aux_puntos!$A$2:$OJ$901,879,MATCH($B$2&amp;"|xN",Aux_puntos!$1:$1,0))),NA())</f>
        <v/>
      </c>
      <c r="AJ883">
        <f>IFERROR(IF(INDEX(Aux_puntos!$A$2:$OJ$901,879,MATCH($B$2&amp;"|yN",Aux_puntos!$1:$1,0))="",NA(),INDEX(Aux_puntos!$A$2:$OJ$901,879,MATCH($B$2&amp;"|yN",Aux_puntos!$1:$1,0))),NA())</f>
        <v/>
      </c>
    </row>
    <row r="884">
      <c r="AC884">
        <f>IFERROR(IF(INDEX(Aux_puntos!$A$2:$OJ$901,880,MATCH($B$2&amp;"|xK",Aux_puntos!$1:$1,0))="",NA(),INDEX(Aux_puntos!$A$2:$OJ$901,880,MATCH($B$2&amp;"|xK",Aux_puntos!$1:$1,0))),NA())</f>
        <v/>
      </c>
      <c r="AD884">
        <f>IFERROR(IF(INDEX(Aux_puntos!$A$2:$OJ$901,880,MATCH($B$2&amp;"|yK",Aux_puntos!$1:$1,0))="",NA(),INDEX(Aux_puntos!$A$2:$OJ$901,880,MATCH($B$2&amp;"|yK",Aux_puntos!$1:$1,0))),NA())</f>
        <v/>
      </c>
      <c r="AE884">
        <f>IFERROR(IF(INDEX(Aux_puntos!$A$2:$OJ$901,880,MATCH($B$2&amp;"|xC",Aux_puntos!$1:$1,0))="",NA(),INDEX(Aux_puntos!$A$2:$OJ$901,880,MATCH($B$2&amp;"|xC",Aux_puntos!$1:$1,0))),NA())</f>
        <v/>
      </c>
      <c r="AF884">
        <f>IFERROR(IF(INDEX(Aux_puntos!$A$2:$OJ$901,880,MATCH($B$2&amp;"|yC",Aux_puntos!$1:$1,0))="",NA(),INDEX(Aux_puntos!$A$2:$OJ$901,880,MATCH($B$2&amp;"|yC",Aux_puntos!$1:$1,0))),NA())</f>
        <v/>
      </c>
      <c r="AG884">
        <f>IFERROR(IF(INDEX(Aux_puntos!$A$2:$OJ$901,880,MATCH($B$2&amp;"|xI",Aux_puntos!$1:$1,0))="",NA(),INDEX(Aux_puntos!$A$2:$OJ$901,880,MATCH($B$2&amp;"|xI",Aux_puntos!$1:$1,0))),NA())</f>
        <v/>
      </c>
      <c r="AH884">
        <f>IFERROR(IF(INDEX(Aux_puntos!$A$2:$OJ$901,880,MATCH($B$2&amp;"|yI",Aux_puntos!$1:$1,0))="",NA(),INDEX(Aux_puntos!$A$2:$OJ$901,880,MATCH($B$2&amp;"|yI",Aux_puntos!$1:$1,0))),NA())</f>
        <v/>
      </c>
      <c r="AI884">
        <f>IFERROR(IF(INDEX(Aux_puntos!$A$2:$OJ$901,880,MATCH($B$2&amp;"|xN",Aux_puntos!$1:$1,0))="",NA(),INDEX(Aux_puntos!$A$2:$OJ$901,880,MATCH($B$2&amp;"|xN",Aux_puntos!$1:$1,0))),NA())</f>
        <v/>
      </c>
      <c r="AJ884">
        <f>IFERROR(IF(INDEX(Aux_puntos!$A$2:$OJ$901,880,MATCH($B$2&amp;"|yN",Aux_puntos!$1:$1,0))="",NA(),INDEX(Aux_puntos!$A$2:$OJ$901,880,MATCH($B$2&amp;"|yN",Aux_puntos!$1:$1,0))),NA())</f>
        <v/>
      </c>
    </row>
    <row r="885">
      <c r="AC885">
        <f>IFERROR(IF(INDEX(Aux_puntos!$A$2:$OJ$901,881,MATCH($B$2&amp;"|xK",Aux_puntos!$1:$1,0))="",NA(),INDEX(Aux_puntos!$A$2:$OJ$901,881,MATCH($B$2&amp;"|xK",Aux_puntos!$1:$1,0))),NA())</f>
        <v/>
      </c>
      <c r="AD885">
        <f>IFERROR(IF(INDEX(Aux_puntos!$A$2:$OJ$901,881,MATCH($B$2&amp;"|yK",Aux_puntos!$1:$1,0))="",NA(),INDEX(Aux_puntos!$A$2:$OJ$901,881,MATCH($B$2&amp;"|yK",Aux_puntos!$1:$1,0))),NA())</f>
        <v/>
      </c>
      <c r="AE885">
        <f>IFERROR(IF(INDEX(Aux_puntos!$A$2:$OJ$901,881,MATCH($B$2&amp;"|xC",Aux_puntos!$1:$1,0))="",NA(),INDEX(Aux_puntos!$A$2:$OJ$901,881,MATCH($B$2&amp;"|xC",Aux_puntos!$1:$1,0))),NA())</f>
        <v/>
      </c>
      <c r="AF885">
        <f>IFERROR(IF(INDEX(Aux_puntos!$A$2:$OJ$901,881,MATCH($B$2&amp;"|yC",Aux_puntos!$1:$1,0))="",NA(),INDEX(Aux_puntos!$A$2:$OJ$901,881,MATCH($B$2&amp;"|yC",Aux_puntos!$1:$1,0))),NA())</f>
        <v/>
      </c>
      <c r="AG885">
        <f>IFERROR(IF(INDEX(Aux_puntos!$A$2:$OJ$901,881,MATCH($B$2&amp;"|xI",Aux_puntos!$1:$1,0))="",NA(),INDEX(Aux_puntos!$A$2:$OJ$901,881,MATCH($B$2&amp;"|xI",Aux_puntos!$1:$1,0))),NA())</f>
        <v/>
      </c>
      <c r="AH885">
        <f>IFERROR(IF(INDEX(Aux_puntos!$A$2:$OJ$901,881,MATCH($B$2&amp;"|yI",Aux_puntos!$1:$1,0))="",NA(),INDEX(Aux_puntos!$A$2:$OJ$901,881,MATCH($B$2&amp;"|yI",Aux_puntos!$1:$1,0))),NA())</f>
        <v/>
      </c>
      <c r="AI885">
        <f>IFERROR(IF(INDEX(Aux_puntos!$A$2:$OJ$901,881,MATCH($B$2&amp;"|xN",Aux_puntos!$1:$1,0))="",NA(),INDEX(Aux_puntos!$A$2:$OJ$901,881,MATCH($B$2&amp;"|xN",Aux_puntos!$1:$1,0))),NA())</f>
        <v/>
      </c>
      <c r="AJ885">
        <f>IFERROR(IF(INDEX(Aux_puntos!$A$2:$OJ$901,881,MATCH($B$2&amp;"|yN",Aux_puntos!$1:$1,0))="",NA(),INDEX(Aux_puntos!$A$2:$OJ$901,881,MATCH($B$2&amp;"|yN",Aux_puntos!$1:$1,0))),NA())</f>
        <v/>
      </c>
    </row>
    <row r="886">
      <c r="AC886">
        <f>IFERROR(IF(INDEX(Aux_puntos!$A$2:$OJ$901,882,MATCH($B$2&amp;"|xK",Aux_puntos!$1:$1,0))="",NA(),INDEX(Aux_puntos!$A$2:$OJ$901,882,MATCH($B$2&amp;"|xK",Aux_puntos!$1:$1,0))),NA())</f>
        <v/>
      </c>
      <c r="AD886">
        <f>IFERROR(IF(INDEX(Aux_puntos!$A$2:$OJ$901,882,MATCH($B$2&amp;"|yK",Aux_puntos!$1:$1,0))="",NA(),INDEX(Aux_puntos!$A$2:$OJ$901,882,MATCH($B$2&amp;"|yK",Aux_puntos!$1:$1,0))),NA())</f>
        <v/>
      </c>
      <c r="AE886">
        <f>IFERROR(IF(INDEX(Aux_puntos!$A$2:$OJ$901,882,MATCH($B$2&amp;"|xC",Aux_puntos!$1:$1,0))="",NA(),INDEX(Aux_puntos!$A$2:$OJ$901,882,MATCH($B$2&amp;"|xC",Aux_puntos!$1:$1,0))),NA())</f>
        <v/>
      </c>
      <c r="AF886">
        <f>IFERROR(IF(INDEX(Aux_puntos!$A$2:$OJ$901,882,MATCH($B$2&amp;"|yC",Aux_puntos!$1:$1,0))="",NA(),INDEX(Aux_puntos!$A$2:$OJ$901,882,MATCH($B$2&amp;"|yC",Aux_puntos!$1:$1,0))),NA())</f>
        <v/>
      </c>
      <c r="AG886">
        <f>IFERROR(IF(INDEX(Aux_puntos!$A$2:$OJ$901,882,MATCH($B$2&amp;"|xI",Aux_puntos!$1:$1,0))="",NA(),INDEX(Aux_puntos!$A$2:$OJ$901,882,MATCH($B$2&amp;"|xI",Aux_puntos!$1:$1,0))),NA())</f>
        <v/>
      </c>
      <c r="AH886">
        <f>IFERROR(IF(INDEX(Aux_puntos!$A$2:$OJ$901,882,MATCH($B$2&amp;"|yI",Aux_puntos!$1:$1,0))="",NA(),INDEX(Aux_puntos!$A$2:$OJ$901,882,MATCH($B$2&amp;"|yI",Aux_puntos!$1:$1,0))),NA())</f>
        <v/>
      </c>
      <c r="AI886">
        <f>IFERROR(IF(INDEX(Aux_puntos!$A$2:$OJ$901,882,MATCH($B$2&amp;"|xN",Aux_puntos!$1:$1,0))="",NA(),INDEX(Aux_puntos!$A$2:$OJ$901,882,MATCH($B$2&amp;"|xN",Aux_puntos!$1:$1,0))),NA())</f>
        <v/>
      </c>
      <c r="AJ886">
        <f>IFERROR(IF(INDEX(Aux_puntos!$A$2:$OJ$901,882,MATCH($B$2&amp;"|yN",Aux_puntos!$1:$1,0))="",NA(),INDEX(Aux_puntos!$A$2:$OJ$901,882,MATCH($B$2&amp;"|yN",Aux_puntos!$1:$1,0))),NA())</f>
        <v/>
      </c>
    </row>
    <row r="887">
      <c r="AC887">
        <f>IFERROR(IF(INDEX(Aux_puntos!$A$2:$OJ$901,883,MATCH($B$2&amp;"|xK",Aux_puntos!$1:$1,0))="",NA(),INDEX(Aux_puntos!$A$2:$OJ$901,883,MATCH($B$2&amp;"|xK",Aux_puntos!$1:$1,0))),NA())</f>
        <v/>
      </c>
      <c r="AD887">
        <f>IFERROR(IF(INDEX(Aux_puntos!$A$2:$OJ$901,883,MATCH($B$2&amp;"|yK",Aux_puntos!$1:$1,0))="",NA(),INDEX(Aux_puntos!$A$2:$OJ$901,883,MATCH($B$2&amp;"|yK",Aux_puntos!$1:$1,0))),NA())</f>
        <v/>
      </c>
      <c r="AE887">
        <f>IFERROR(IF(INDEX(Aux_puntos!$A$2:$OJ$901,883,MATCH($B$2&amp;"|xC",Aux_puntos!$1:$1,0))="",NA(),INDEX(Aux_puntos!$A$2:$OJ$901,883,MATCH($B$2&amp;"|xC",Aux_puntos!$1:$1,0))),NA())</f>
        <v/>
      </c>
      <c r="AF887">
        <f>IFERROR(IF(INDEX(Aux_puntos!$A$2:$OJ$901,883,MATCH($B$2&amp;"|yC",Aux_puntos!$1:$1,0))="",NA(),INDEX(Aux_puntos!$A$2:$OJ$901,883,MATCH($B$2&amp;"|yC",Aux_puntos!$1:$1,0))),NA())</f>
        <v/>
      </c>
      <c r="AG887">
        <f>IFERROR(IF(INDEX(Aux_puntos!$A$2:$OJ$901,883,MATCH($B$2&amp;"|xI",Aux_puntos!$1:$1,0))="",NA(),INDEX(Aux_puntos!$A$2:$OJ$901,883,MATCH($B$2&amp;"|xI",Aux_puntos!$1:$1,0))),NA())</f>
        <v/>
      </c>
      <c r="AH887">
        <f>IFERROR(IF(INDEX(Aux_puntos!$A$2:$OJ$901,883,MATCH($B$2&amp;"|yI",Aux_puntos!$1:$1,0))="",NA(),INDEX(Aux_puntos!$A$2:$OJ$901,883,MATCH($B$2&amp;"|yI",Aux_puntos!$1:$1,0))),NA())</f>
        <v/>
      </c>
      <c r="AI887">
        <f>IFERROR(IF(INDEX(Aux_puntos!$A$2:$OJ$901,883,MATCH($B$2&amp;"|xN",Aux_puntos!$1:$1,0))="",NA(),INDEX(Aux_puntos!$A$2:$OJ$901,883,MATCH($B$2&amp;"|xN",Aux_puntos!$1:$1,0))),NA())</f>
        <v/>
      </c>
      <c r="AJ887">
        <f>IFERROR(IF(INDEX(Aux_puntos!$A$2:$OJ$901,883,MATCH($B$2&amp;"|yN",Aux_puntos!$1:$1,0))="",NA(),INDEX(Aux_puntos!$A$2:$OJ$901,883,MATCH($B$2&amp;"|yN",Aux_puntos!$1:$1,0))),NA())</f>
        <v/>
      </c>
    </row>
    <row r="888">
      <c r="AC888">
        <f>IFERROR(IF(INDEX(Aux_puntos!$A$2:$OJ$901,884,MATCH($B$2&amp;"|xK",Aux_puntos!$1:$1,0))="",NA(),INDEX(Aux_puntos!$A$2:$OJ$901,884,MATCH($B$2&amp;"|xK",Aux_puntos!$1:$1,0))),NA())</f>
        <v/>
      </c>
      <c r="AD888">
        <f>IFERROR(IF(INDEX(Aux_puntos!$A$2:$OJ$901,884,MATCH($B$2&amp;"|yK",Aux_puntos!$1:$1,0))="",NA(),INDEX(Aux_puntos!$A$2:$OJ$901,884,MATCH($B$2&amp;"|yK",Aux_puntos!$1:$1,0))),NA())</f>
        <v/>
      </c>
      <c r="AE888">
        <f>IFERROR(IF(INDEX(Aux_puntos!$A$2:$OJ$901,884,MATCH($B$2&amp;"|xC",Aux_puntos!$1:$1,0))="",NA(),INDEX(Aux_puntos!$A$2:$OJ$901,884,MATCH($B$2&amp;"|xC",Aux_puntos!$1:$1,0))),NA())</f>
        <v/>
      </c>
      <c r="AF888">
        <f>IFERROR(IF(INDEX(Aux_puntos!$A$2:$OJ$901,884,MATCH($B$2&amp;"|yC",Aux_puntos!$1:$1,0))="",NA(),INDEX(Aux_puntos!$A$2:$OJ$901,884,MATCH($B$2&amp;"|yC",Aux_puntos!$1:$1,0))),NA())</f>
        <v/>
      </c>
      <c r="AG888">
        <f>IFERROR(IF(INDEX(Aux_puntos!$A$2:$OJ$901,884,MATCH($B$2&amp;"|xI",Aux_puntos!$1:$1,0))="",NA(),INDEX(Aux_puntos!$A$2:$OJ$901,884,MATCH($B$2&amp;"|xI",Aux_puntos!$1:$1,0))),NA())</f>
        <v/>
      </c>
      <c r="AH888">
        <f>IFERROR(IF(INDEX(Aux_puntos!$A$2:$OJ$901,884,MATCH($B$2&amp;"|yI",Aux_puntos!$1:$1,0))="",NA(),INDEX(Aux_puntos!$A$2:$OJ$901,884,MATCH($B$2&amp;"|yI",Aux_puntos!$1:$1,0))),NA())</f>
        <v/>
      </c>
      <c r="AI888">
        <f>IFERROR(IF(INDEX(Aux_puntos!$A$2:$OJ$901,884,MATCH($B$2&amp;"|xN",Aux_puntos!$1:$1,0))="",NA(),INDEX(Aux_puntos!$A$2:$OJ$901,884,MATCH($B$2&amp;"|xN",Aux_puntos!$1:$1,0))),NA())</f>
        <v/>
      </c>
      <c r="AJ888">
        <f>IFERROR(IF(INDEX(Aux_puntos!$A$2:$OJ$901,884,MATCH($B$2&amp;"|yN",Aux_puntos!$1:$1,0))="",NA(),INDEX(Aux_puntos!$A$2:$OJ$901,884,MATCH($B$2&amp;"|yN",Aux_puntos!$1:$1,0))),NA())</f>
        <v/>
      </c>
    </row>
    <row r="889">
      <c r="AC889">
        <f>IFERROR(IF(INDEX(Aux_puntos!$A$2:$OJ$901,885,MATCH($B$2&amp;"|xK",Aux_puntos!$1:$1,0))="",NA(),INDEX(Aux_puntos!$A$2:$OJ$901,885,MATCH($B$2&amp;"|xK",Aux_puntos!$1:$1,0))),NA())</f>
        <v/>
      </c>
      <c r="AD889">
        <f>IFERROR(IF(INDEX(Aux_puntos!$A$2:$OJ$901,885,MATCH($B$2&amp;"|yK",Aux_puntos!$1:$1,0))="",NA(),INDEX(Aux_puntos!$A$2:$OJ$901,885,MATCH($B$2&amp;"|yK",Aux_puntos!$1:$1,0))),NA())</f>
        <v/>
      </c>
      <c r="AE889">
        <f>IFERROR(IF(INDEX(Aux_puntos!$A$2:$OJ$901,885,MATCH($B$2&amp;"|xC",Aux_puntos!$1:$1,0))="",NA(),INDEX(Aux_puntos!$A$2:$OJ$901,885,MATCH($B$2&amp;"|xC",Aux_puntos!$1:$1,0))),NA())</f>
        <v/>
      </c>
      <c r="AF889">
        <f>IFERROR(IF(INDEX(Aux_puntos!$A$2:$OJ$901,885,MATCH($B$2&amp;"|yC",Aux_puntos!$1:$1,0))="",NA(),INDEX(Aux_puntos!$A$2:$OJ$901,885,MATCH($B$2&amp;"|yC",Aux_puntos!$1:$1,0))),NA())</f>
        <v/>
      </c>
      <c r="AG889">
        <f>IFERROR(IF(INDEX(Aux_puntos!$A$2:$OJ$901,885,MATCH($B$2&amp;"|xI",Aux_puntos!$1:$1,0))="",NA(),INDEX(Aux_puntos!$A$2:$OJ$901,885,MATCH($B$2&amp;"|xI",Aux_puntos!$1:$1,0))),NA())</f>
        <v/>
      </c>
      <c r="AH889">
        <f>IFERROR(IF(INDEX(Aux_puntos!$A$2:$OJ$901,885,MATCH($B$2&amp;"|yI",Aux_puntos!$1:$1,0))="",NA(),INDEX(Aux_puntos!$A$2:$OJ$901,885,MATCH($B$2&amp;"|yI",Aux_puntos!$1:$1,0))),NA())</f>
        <v/>
      </c>
      <c r="AI889">
        <f>IFERROR(IF(INDEX(Aux_puntos!$A$2:$OJ$901,885,MATCH($B$2&amp;"|xN",Aux_puntos!$1:$1,0))="",NA(),INDEX(Aux_puntos!$A$2:$OJ$901,885,MATCH($B$2&amp;"|xN",Aux_puntos!$1:$1,0))),NA())</f>
        <v/>
      </c>
      <c r="AJ889">
        <f>IFERROR(IF(INDEX(Aux_puntos!$A$2:$OJ$901,885,MATCH($B$2&amp;"|yN",Aux_puntos!$1:$1,0))="",NA(),INDEX(Aux_puntos!$A$2:$OJ$901,885,MATCH($B$2&amp;"|yN",Aux_puntos!$1:$1,0))),NA())</f>
        <v/>
      </c>
    </row>
    <row r="890">
      <c r="AC890">
        <f>IFERROR(IF(INDEX(Aux_puntos!$A$2:$OJ$901,886,MATCH($B$2&amp;"|xK",Aux_puntos!$1:$1,0))="",NA(),INDEX(Aux_puntos!$A$2:$OJ$901,886,MATCH($B$2&amp;"|xK",Aux_puntos!$1:$1,0))),NA())</f>
        <v/>
      </c>
      <c r="AD890">
        <f>IFERROR(IF(INDEX(Aux_puntos!$A$2:$OJ$901,886,MATCH($B$2&amp;"|yK",Aux_puntos!$1:$1,0))="",NA(),INDEX(Aux_puntos!$A$2:$OJ$901,886,MATCH($B$2&amp;"|yK",Aux_puntos!$1:$1,0))),NA())</f>
        <v/>
      </c>
      <c r="AE890">
        <f>IFERROR(IF(INDEX(Aux_puntos!$A$2:$OJ$901,886,MATCH($B$2&amp;"|xC",Aux_puntos!$1:$1,0))="",NA(),INDEX(Aux_puntos!$A$2:$OJ$901,886,MATCH($B$2&amp;"|xC",Aux_puntos!$1:$1,0))),NA())</f>
        <v/>
      </c>
      <c r="AF890">
        <f>IFERROR(IF(INDEX(Aux_puntos!$A$2:$OJ$901,886,MATCH($B$2&amp;"|yC",Aux_puntos!$1:$1,0))="",NA(),INDEX(Aux_puntos!$A$2:$OJ$901,886,MATCH($B$2&amp;"|yC",Aux_puntos!$1:$1,0))),NA())</f>
        <v/>
      </c>
      <c r="AG890">
        <f>IFERROR(IF(INDEX(Aux_puntos!$A$2:$OJ$901,886,MATCH($B$2&amp;"|xI",Aux_puntos!$1:$1,0))="",NA(),INDEX(Aux_puntos!$A$2:$OJ$901,886,MATCH($B$2&amp;"|xI",Aux_puntos!$1:$1,0))),NA())</f>
        <v/>
      </c>
      <c r="AH890">
        <f>IFERROR(IF(INDEX(Aux_puntos!$A$2:$OJ$901,886,MATCH($B$2&amp;"|yI",Aux_puntos!$1:$1,0))="",NA(),INDEX(Aux_puntos!$A$2:$OJ$901,886,MATCH($B$2&amp;"|yI",Aux_puntos!$1:$1,0))),NA())</f>
        <v/>
      </c>
      <c r="AI890">
        <f>IFERROR(IF(INDEX(Aux_puntos!$A$2:$OJ$901,886,MATCH($B$2&amp;"|xN",Aux_puntos!$1:$1,0))="",NA(),INDEX(Aux_puntos!$A$2:$OJ$901,886,MATCH($B$2&amp;"|xN",Aux_puntos!$1:$1,0))),NA())</f>
        <v/>
      </c>
      <c r="AJ890">
        <f>IFERROR(IF(INDEX(Aux_puntos!$A$2:$OJ$901,886,MATCH($B$2&amp;"|yN",Aux_puntos!$1:$1,0))="",NA(),INDEX(Aux_puntos!$A$2:$OJ$901,886,MATCH($B$2&amp;"|yN",Aux_puntos!$1:$1,0))),NA())</f>
        <v/>
      </c>
    </row>
    <row r="891">
      <c r="AC891">
        <f>IFERROR(IF(INDEX(Aux_puntos!$A$2:$OJ$901,887,MATCH($B$2&amp;"|xK",Aux_puntos!$1:$1,0))="",NA(),INDEX(Aux_puntos!$A$2:$OJ$901,887,MATCH($B$2&amp;"|xK",Aux_puntos!$1:$1,0))),NA())</f>
        <v/>
      </c>
      <c r="AD891">
        <f>IFERROR(IF(INDEX(Aux_puntos!$A$2:$OJ$901,887,MATCH($B$2&amp;"|yK",Aux_puntos!$1:$1,0))="",NA(),INDEX(Aux_puntos!$A$2:$OJ$901,887,MATCH($B$2&amp;"|yK",Aux_puntos!$1:$1,0))),NA())</f>
        <v/>
      </c>
      <c r="AE891">
        <f>IFERROR(IF(INDEX(Aux_puntos!$A$2:$OJ$901,887,MATCH($B$2&amp;"|xC",Aux_puntos!$1:$1,0))="",NA(),INDEX(Aux_puntos!$A$2:$OJ$901,887,MATCH($B$2&amp;"|xC",Aux_puntos!$1:$1,0))),NA())</f>
        <v/>
      </c>
      <c r="AF891">
        <f>IFERROR(IF(INDEX(Aux_puntos!$A$2:$OJ$901,887,MATCH($B$2&amp;"|yC",Aux_puntos!$1:$1,0))="",NA(),INDEX(Aux_puntos!$A$2:$OJ$901,887,MATCH($B$2&amp;"|yC",Aux_puntos!$1:$1,0))),NA())</f>
        <v/>
      </c>
      <c r="AG891">
        <f>IFERROR(IF(INDEX(Aux_puntos!$A$2:$OJ$901,887,MATCH($B$2&amp;"|xI",Aux_puntos!$1:$1,0))="",NA(),INDEX(Aux_puntos!$A$2:$OJ$901,887,MATCH($B$2&amp;"|xI",Aux_puntos!$1:$1,0))),NA())</f>
        <v/>
      </c>
      <c r="AH891">
        <f>IFERROR(IF(INDEX(Aux_puntos!$A$2:$OJ$901,887,MATCH($B$2&amp;"|yI",Aux_puntos!$1:$1,0))="",NA(),INDEX(Aux_puntos!$A$2:$OJ$901,887,MATCH($B$2&amp;"|yI",Aux_puntos!$1:$1,0))),NA())</f>
        <v/>
      </c>
      <c r="AI891">
        <f>IFERROR(IF(INDEX(Aux_puntos!$A$2:$OJ$901,887,MATCH($B$2&amp;"|xN",Aux_puntos!$1:$1,0))="",NA(),INDEX(Aux_puntos!$A$2:$OJ$901,887,MATCH($B$2&amp;"|xN",Aux_puntos!$1:$1,0))),NA())</f>
        <v/>
      </c>
      <c r="AJ891">
        <f>IFERROR(IF(INDEX(Aux_puntos!$A$2:$OJ$901,887,MATCH($B$2&amp;"|yN",Aux_puntos!$1:$1,0))="",NA(),INDEX(Aux_puntos!$A$2:$OJ$901,887,MATCH($B$2&amp;"|yN",Aux_puntos!$1:$1,0))),NA())</f>
        <v/>
      </c>
    </row>
    <row r="892">
      <c r="AC892">
        <f>IFERROR(IF(INDEX(Aux_puntos!$A$2:$OJ$901,888,MATCH($B$2&amp;"|xK",Aux_puntos!$1:$1,0))="",NA(),INDEX(Aux_puntos!$A$2:$OJ$901,888,MATCH($B$2&amp;"|xK",Aux_puntos!$1:$1,0))),NA())</f>
        <v/>
      </c>
      <c r="AD892">
        <f>IFERROR(IF(INDEX(Aux_puntos!$A$2:$OJ$901,888,MATCH($B$2&amp;"|yK",Aux_puntos!$1:$1,0))="",NA(),INDEX(Aux_puntos!$A$2:$OJ$901,888,MATCH($B$2&amp;"|yK",Aux_puntos!$1:$1,0))),NA())</f>
        <v/>
      </c>
      <c r="AE892">
        <f>IFERROR(IF(INDEX(Aux_puntos!$A$2:$OJ$901,888,MATCH($B$2&amp;"|xC",Aux_puntos!$1:$1,0))="",NA(),INDEX(Aux_puntos!$A$2:$OJ$901,888,MATCH($B$2&amp;"|xC",Aux_puntos!$1:$1,0))),NA())</f>
        <v/>
      </c>
      <c r="AF892">
        <f>IFERROR(IF(INDEX(Aux_puntos!$A$2:$OJ$901,888,MATCH($B$2&amp;"|yC",Aux_puntos!$1:$1,0))="",NA(),INDEX(Aux_puntos!$A$2:$OJ$901,888,MATCH($B$2&amp;"|yC",Aux_puntos!$1:$1,0))),NA())</f>
        <v/>
      </c>
      <c r="AG892">
        <f>IFERROR(IF(INDEX(Aux_puntos!$A$2:$OJ$901,888,MATCH($B$2&amp;"|xI",Aux_puntos!$1:$1,0))="",NA(),INDEX(Aux_puntos!$A$2:$OJ$901,888,MATCH($B$2&amp;"|xI",Aux_puntos!$1:$1,0))),NA())</f>
        <v/>
      </c>
      <c r="AH892">
        <f>IFERROR(IF(INDEX(Aux_puntos!$A$2:$OJ$901,888,MATCH($B$2&amp;"|yI",Aux_puntos!$1:$1,0))="",NA(),INDEX(Aux_puntos!$A$2:$OJ$901,888,MATCH($B$2&amp;"|yI",Aux_puntos!$1:$1,0))),NA())</f>
        <v/>
      </c>
      <c r="AI892">
        <f>IFERROR(IF(INDEX(Aux_puntos!$A$2:$OJ$901,888,MATCH($B$2&amp;"|xN",Aux_puntos!$1:$1,0))="",NA(),INDEX(Aux_puntos!$A$2:$OJ$901,888,MATCH($B$2&amp;"|xN",Aux_puntos!$1:$1,0))),NA())</f>
        <v/>
      </c>
      <c r="AJ892">
        <f>IFERROR(IF(INDEX(Aux_puntos!$A$2:$OJ$901,888,MATCH($B$2&amp;"|yN",Aux_puntos!$1:$1,0))="",NA(),INDEX(Aux_puntos!$A$2:$OJ$901,888,MATCH($B$2&amp;"|yN",Aux_puntos!$1:$1,0))),NA())</f>
        <v/>
      </c>
    </row>
    <row r="893">
      <c r="AC893">
        <f>IFERROR(IF(INDEX(Aux_puntos!$A$2:$OJ$901,889,MATCH($B$2&amp;"|xK",Aux_puntos!$1:$1,0))="",NA(),INDEX(Aux_puntos!$A$2:$OJ$901,889,MATCH($B$2&amp;"|xK",Aux_puntos!$1:$1,0))),NA())</f>
        <v/>
      </c>
      <c r="AD893">
        <f>IFERROR(IF(INDEX(Aux_puntos!$A$2:$OJ$901,889,MATCH($B$2&amp;"|yK",Aux_puntos!$1:$1,0))="",NA(),INDEX(Aux_puntos!$A$2:$OJ$901,889,MATCH($B$2&amp;"|yK",Aux_puntos!$1:$1,0))),NA())</f>
        <v/>
      </c>
      <c r="AE893">
        <f>IFERROR(IF(INDEX(Aux_puntos!$A$2:$OJ$901,889,MATCH($B$2&amp;"|xC",Aux_puntos!$1:$1,0))="",NA(),INDEX(Aux_puntos!$A$2:$OJ$901,889,MATCH($B$2&amp;"|xC",Aux_puntos!$1:$1,0))),NA())</f>
        <v/>
      </c>
      <c r="AF893">
        <f>IFERROR(IF(INDEX(Aux_puntos!$A$2:$OJ$901,889,MATCH($B$2&amp;"|yC",Aux_puntos!$1:$1,0))="",NA(),INDEX(Aux_puntos!$A$2:$OJ$901,889,MATCH($B$2&amp;"|yC",Aux_puntos!$1:$1,0))),NA())</f>
        <v/>
      </c>
      <c r="AG893">
        <f>IFERROR(IF(INDEX(Aux_puntos!$A$2:$OJ$901,889,MATCH($B$2&amp;"|xI",Aux_puntos!$1:$1,0))="",NA(),INDEX(Aux_puntos!$A$2:$OJ$901,889,MATCH($B$2&amp;"|xI",Aux_puntos!$1:$1,0))),NA())</f>
        <v/>
      </c>
      <c r="AH893">
        <f>IFERROR(IF(INDEX(Aux_puntos!$A$2:$OJ$901,889,MATCH($B$2&amp;"|yI",Aux_puntos!$1:$1,0))="",NA(),INDEX(Aux_puntos!$A$2:$OJ$901,889,MATCH($B$2&amp;"|yI",Aux_puntos!$1:$1,0))),NA())</f>
        <v/>
      </c>
      <c r="AI893">
        <f>IFERROR(IF(INDEX(Aux_puntos!$A$2:$OJ$901,889,MATCH($B$2&amp;"|xN",Aux_puntos!$1:$1,0))="",NA(),INDEX(Aux_puntos!$A$2:$OJ$901,889,MATCH($B$2&amp;"|xN",Aux_puntos!$1:$1,0))),NA())</f>
        <v/>
      </c>
      <c r="AJ893">
        <f>IFERROR(IF(INDEX(Aux_puntos!$A$2:$OJ$901,889,MATCH($B$2&amp;"|yN",Aux_puntos!$1:$1,0))="",NA(),INDEX(Aux_puntos!$A$2:$OJ$901,889,MATCH($B$2&amp;"|yN",Aux_puntos!$1:$1,0))),NA())</f>
        <v/>
      </c>
    </row>
    <row r="894">
      <c r="AC894">
        <f>IFERROR(IF(INDEX(Aux_puntos!$A$2:$OJ$901,890,MATCH($B$2&amp;"|xK",Aux_puntos!$1:$1,0))="",NA(),INDEX(Aux_puntos!$A$2:$OJ$901,890,MATCH($B$2&amp;"|xK",Aux_puntos!$1:$1,0))),NA())</f>
        <v/>
      </c>
      <c r="AD894">
        <f>IFERROR(IF(INDEX(Aux_puntos!$A$2:$OJ$901,890,MATCH($B$2&amp;"|yK",Aux_puntos!$1:$1,0))="",NA(),INDEX(Aux_puntos!$A$2:$OJ$901,890,MATCH($B$2&amp;"|yK",Aux_puntos!$1:$1,0))),NA())</f>
        <v/>
      </c>
      <c r="AE894">
        <f>IFERROR(IF(INDEX(Aux_puntos!$A$2:$OJ$901,890,MATCH($B$2&amp;"|xC",Aux_puntos!$1:$1,0))="",NA(),INDEX(Aux_puntos!$A$2:$OJ$901,890,MATCH($B$2&amp;"|xC",Aux_puntos!$1:$1,0))),NA())</f>
        <v/>
      </c>
      <c r="AF894">
        <f>IFERROR(IF(INDEX(Aux_puntos!$A$2:$OJ$901,890,MATCH($B$2&amp;"|yC",Aux_puntos!$1:$1,0))="",NA(),INDEX(Aux_puntos!$A$2:$OJ$901,890,MATCH($B$2&amp;"|yC",Aux_puntos!$1:$1,0))),NA())</f>
        <v/>
      </c>
      <c r="AG894">
        <f>IFERROR(IF(INDEX(Aux_puntos!$A$2:$OJ$901,890,MATCH($B$2&amp;"|xI",Aux_puntos!$1:$1,0))="",NA(),INDEX(Aux_puntos!$A$2:$OJ$901,890,MATCH($B$2&amp;"|xI",Aux_puntos!$1:$1,0))),NA())</f>
        <v/>
      </c>
      <c r="AH894">
        <f>IFERROR(IF(INDEX(Aux_puntos!$A$2:$OJ$901,890,MATCH($B$2&amp;"|yI",Aux_puntos!$1:$1,0))="",NA(),INDEX(Aux_puntos!$A$2:$OJ$901,890,MATCH($B$2&amp;"|yI",Aux_puntos!$1:$1,0))),NA())</f>
        <v/>
      </c>
      <c r="AI894">
        <f>IFERROR(IF(INDEX(Aux_puntos!$A$2:$OJ$901,890,MATCH($B$2&amp;"|xN",Aux_puntos!$1:$1,0))="",NA(),INDEX(Aux_puntos!$A$2:$OJ$901,890,MATCH($B$2&amp;"|xN",Aux_puntos!$1:$1,0))),NA())</f>
        <v/>
      </c>
      <c r="AJ894">
        <f>IFERROR(IF(INDEX(Aux_puntos!$A$2:$OJ$901,890,MATCH($B$2&amp;"|yN",Aux_puntos!$1:$1,0))="",NA(),INDEX(Aux_puntos!$A$2:$OJ$901,890,MATCH($B$2&amp;"|yN",Aux_puntos!$1:$1,0))),NA())</f>
        <v/>
      </c>
    </row>
    <row r="895">
      <c r="AC895">
        <f>IFERROR(IF(INDEX(Aux_puntos!$A$2:$OJ$901,891,MATCH($B$2&amp;"|xK",Aux_puntos!$1:$1,0))="",NA(),INDEX(Aux_puntos!$A$2:$OJ$901,891,MATCH($B$2&amp;"|xK",Aux_puntos!$1:$1,0))),NA())</f>
        <v/>
      </c>
      <c r="AD895">
        <f>IFERROR(IF(INDEX(Aux_puntos!$A$2:$OJ$901,891,MATCH($B$2&amp;"|yK",Aux_puntos!$1:$1,0))="",NA(),INDEX(Aux_puntos!$A$2:$OJ$901,891,MATCH($B$2&amp;"|yK",Aux_puntos!$1:$1,0))),NA())</f>
        <v/>
      </c>
      <c r="AE895">
        <f>IFERROR(IF(INDEX(Aux_puntos!$A$2:$OJ$901,891,MATCH($B$2&amp;"|xC",Aux_puntos!$1:$1,0))="",NA(),INDEX(Aux_puntos!$A$2:$OJ$901,891,MATCH($B$2&amp;"|xC",Aux_puntos!$1:$1,0))),NA())</f>
        <v/>
      </c>
      <c r="AF895">
        <f>IFERROR(IF(INDEX(Aux_puntos!$A$2:$OJ$901,891,MATCH($B$2&amp;"|yC",Aux_puntos!$1:$1,0))="",NA(),INDEX(Aux_puntos!$A$2:$OJ$901,891,MATCH($B$2&amp;"|yC",Aux_puntos!$1:$1,0))),NA())</f>
        <v/>
      </c>
      <c r="AG895">
        <f>IFERROR(IF(INDEX(Aux_puntos!$A$2:$OJ$901,891,MATCH($B$2&amp;"|xI",Aux_puntos!$1:$1,0))="",NA(),INDEX(Aux_puntos!$A$2:$OJ$901,891,MATCH($B$2&amp;"|xI",Aux_puntos!$1:$1,0))),NA())</f>
        <v/>
      </c>
      <c r="AH895">
        <f>IFERROR(IF(INDEX(Aux_puntos!$A$2:$OJ$901,891,MATCH($B$2&amp;"|yI",Aux_puntos!$1:$1,0))="",NA(),INDEX(Aux_puntos!$A$2:$OJ$901,891,MATCH($B$2&amp;"|yI",Aux_puntos!$1:$1,0))),NA())</f>
        <v/>
      </c>
      <c r="AI895">
        <f>IFERROR(IF(INDEX(Aux_puntos!$A$2:$OJ$901,891,MATCH($B$2&amp;"|xN",Aux_puntos!$1:$1,0))="",NA(),INDEX(Aux_puntos!$A$2:$OJ$901,891,MATCH($B$2&amp;"|xN",Aux_puntos!$1:$1,0))),NA())</f>
        <v/>
      </c>
      <c r="AJ895">
        <f>IFERROR(IF(INDEX(Aux_puntos!$A$2:$OJ$901,891,MATCH($B$2&amp;"|yN",Aux_puntos!$1:$1,0))="",NA(),INDEX(Aux_puntos!$A$2:$OJ$901,891,MATCH($B$2&amp;"|yN",Aux_puntos!$1:$1,0))),NA())</f>
        <v/>
      </c>
    </row>
    <row r="896">
      <c r="AC896">
        <f>IFERROR(IF(INDEX(Aux_puntos!$A$2:$OJ$901,892,MATCH($B$2&amp;"|xK",Aux_puntos!$1:$1,0))="",NA(),INDEX(Aux_puntos!$A$2:$OJ$901,892,MATCH($B$2&amp;"|xK",Aux_puntos!$1:$1,0))),NA())</f>
        <v/>
      </c>
      <c r="AD896">
        <f>IFERROR(IF(INDEX(Aux_puntos!$A$2:$OJ$901,892,MATCH($B$2&amp;"|yK",Aux_puntos!$1:$1,0))="",NA(),INDEX(Aux_puntos!$A$2:$OJ$901,892,MATCH($B$2&amp;"|yK",Aux_puntos!$1:$1,0))),NA())</f>
        <v/>
      </c>
      <c r="AE896">
        <f>IFERROR(IF(INDEX(Aux_puntos!$A$2:$OJ$901,892,MATCH($B$2&amp;"|xC",Aux_puntos!$1:$1,0))="",NA(),INDEX(Aux_puntos!$A$2:$OJ$901,892,MATCH($B$2&amp;"|xC",Aux_puntos!$1:$1,0))),NA())</f>
        <v/>
      </c>
      <c r="AF896">
        <f>IFERROR(IF(INDEX(Aux_puntos!$A$2:$OJ$901,892,MATCH($B$2&amp;"|yC",Aux_puntos!$1:$1,0))="",NA(),INDEX(Aux_puntos!$A$2:$OJ$901,892,MATCH($B$2&amp;"|yC",Aux_puntos!$1:$1,0))),NA())</f>
        <v/>
      </c>
      <c r="AG896">
        <f>IFERROR(IF(INDEX(Aux_puntos!$A$2:$OJ$901,892,MATCH($B$2&amp;"|xI",Aux_puntos!$1:$1,0))="",NA(),INDEX(Aux_puntos!$A$2:$OJ$901,892,MATCH($B$2&amp;"|xI",Aux_puntos!$1:$1,0))),NA())</f>
        <v/>
      </c>
      <c r="AH896">
        <f>IFERROR(IF(INDEX(Aux_puntos!$A$2:$OJ$901,892,MATCH($B$2&amp;"|yI",Aux_puntos!$1:$1,0))="",NA(),INDEX(Aux_puntos!$A$2:$OJ$901,892,MATCH($B$2&amp;"|yI",Aux_puntos!$1:$1,0))),NA())</f>
        <v/>
      </c>
      <c r="AI896">
        <f>IFERROR(IF(INDEX(Aux_puntos!$A$2:$OJ$901,892,MATCH($B$2&amp;"|xN",Aux_puntos!$1:$1,0))="",NA(),INDEX(Aux_puntos!$A$2:$OJ$901,892,MATCH($B$2&amp;"|xN",Aux_puntos!$1:$1,0))),NA())</f>
        <v/>
      </c>
      <c r="AJ896">
        <f>IFERROR(IF(INDEX(Aux_puntos!$A$2:$OJ$901,892,MATCH($B$2&amp;"|yN",Aux_puntos!$1:$1,0))="",NA(),INDEX(Aux_puntos!$A$2:$OJ$901,892,MATCH($B$2&amp;"|yN",Aux_puntos!$1:$1,0))),NA())</f>
        <v/>
      </c>
    </row>
    <row r="897">
      <c r="AC897">
        <f>IFERROR(IF(INDEX(Aux_puntos!$A$2:$OJ$901,893,MATCH($B$2&amp;"|xK",Aux_puntos!$1:$1,0))="",NA(),INDEX(Aux_puntos!$A$2:$OJ$901,893,MATCH($B$2&amp;"|xK",Aux_puntos!$1:$1,0))),NA())</f>
        <v/>
      </c>
      <c r="AD897">
        <f>IFERROR(IF(INDEX(Aux_puntos!$A$2:$OJ$901,893,MATCH($B$2&amp;"|yK",Aux_puntos!$1:$1,0))="",NA(),INDEX(Aux_puntos!$A$2:$OJ$901,893,MATCH($B$2&amp;"|yK",Aux_puntos!$1:$1,0))),NA())</f>
        <v/>
      </c>
      <c r="AE897">
        <f>IFERROR(IF(INDEX(Aux_puntos!$A$2:$OJ$901,893,MATCH($B$2&amp;"|xC",Aux_puntos!$1:$1,0))="",NA(),INDEX(Aux_puntos!$A$2:$OJ$901,893,MATCH($B$2&amp;"|xC",Aux_puntos!$1:$1,0))),NA())</f>
        <v/>
      </c>
      <c r="AF897">
        <f>IFERROR(IF(INDEX(Aux_puntos!$A$2:$OJ$901,893,MATCH($B$2&amp;"|yC",Aux_puntos!$1:$1,0))="",NA(),INDEX(Aux_puntos!$A$2:$OJ$901,893,MATCH($B$2&amp;"|yC",Aux_puntos!$1:$1,0))),NA())</f>
        <v/>
      </c>
      <c r="AG897">
        <f>IFERROR(IF(INDEX(Aux_puntos!$A$2:$OJ$901,893,MATCH($B$2&amp;"|xI",Aux_puntos!$1:$1,0))="",NA(),INDEX(Aux_puntos!$A$2:$OJ$901,893,MATCH($B$2&amp;"|xI",Aux_puntos!$1:$1,0))),NA())</f>
        <v/>
      </c>
      <c r="AH897">
        <f>IFERROR(IF(INDEX(Aux_puntos!$A$2:$OJ$901,893,MATCH($B$2&amp;"|yI",Aux_puntos!$1:$1,0))="",NA(),INDEX(Aux_puntos!$A$2:$OJ$901,893,MATCH($B$2&amp;"|yI",Aux_puntos!$1:$1,0))),NA())</f>
        <v/>
      </c>
      <c r="AI897">
        <f>IFERROR(IF(INDEX(Aux_puntos!$A$2:$OJ$901,893,MATCH($B$2&amp;"|xN",Aux_puntos!$1:$1,0))="",NA(),INDEX(Aux_puntos!$A$2:$OJ$901,893,MATCH($B$2&amp;"|xN",Aux_puntos!$1:$1,0))),NA())</f>
        <v/>
      </c>
      <c r="AJ897">
        <f>IFERROR(IF(INDEX(Aux_puntos!$A$2:$OJ$901,893,MATCH($B$2&amp;"|yN",Aux_puntos!$1:$1,0))="",NA(),INDEX(Aux_puntos!$A$2:$OJ$901,893,MATCH($B$2&amp;"|yN",Aux_puntos!$1:$1,0))),NA())</f>
        <v/>
      </c>
    </row>
    <row r="898">
      <c r="AC898">
        <f>IFERROR(IF(INDEX(Aux_puntos!$A$2:$OJ$901,894,MATCH($B$2&amp;"|xK",Aux_puntos!$1:$1,0))="",NA(),INDEX(Aux_puntos!$A$2:$OJ$901,894,MATCH($B$2&amp;"|xK",Aux_puntos!$1:$1,0))),NA())</f>
        <v/>
      </c>
      <c r="AD898">
        <f>IFERROR(IF(INDEX(Aux_puntos!$A$2:$OJ$901,894,MATCH($B$2&amp;"|yK",Aux_puntos!$1:$1,0))="",NA(),INDEX(Aux_puntos!$A$2:$OJ$901,894,MATCH($B$2&amp;"|yK",Aux_puntos!$1:$1,0))),NA())</f>
        <v/>
      </c>
      <c r="AE898">
        <f>IFERROR(IF(INDEX(Aux_puntos!$A$2:$OJ$901,894,MATCH($B$2&amp;"|xC",Aux_puntos!$1:$1,0))="",NA(),INDEX(Aux_puntos!$A$2:$OJ$901,894,MATCH($B$2&amp;"|xC",Aux_puntos!$1:$1,0))),NA())</f>
        <v/>
      </c>
      <c r="AF898">
        <f>IFERROR(IF(INDEX(Aux_puntos!$A$2:$OJ$901,894,MATCH($B$2&amp;"|yC",Aux_puntos!$1:$1,0))="",NA(),INDEX(Aux_puntos!$A$2:$OJ$901,894,MATCH($B$2&amp;"|yC",Aux_puntos!$1:$1,0))),NA())</f>
        <v/>
      </c>
      <c r="AG898">
        <f>IFERROR(IF(INDEX(Aux_puntos!$A$2:$OJ$901,894,MATCH($B$2&amp;"|xI",Aux_puntos!$1:$1,0))="",NA(),INDEX(Aux_puntos!$A$2:$OJ$901,894,MATCH($B$2&amp;"|xI",Aux_puntos!$1:$1,0))),NA())</f>
        <v/>
      </c>
      <c r="AH898">
        <f>IFERROR(IF(INDEX(Aux_puntos!$A$2:$OJ$901,894,MATCH($B$2&amp;"|yI",Aux_puntos!$1:$1,0))="",NA(),INDEX(Aux_puntos!$A$2:$OJ$901,894,MATCH($B$2&amp;"|yI",Aux_puntos!$1:$1,0))),NA())</f>
        <v/>
      </c>
      <c r="AI898">
        <f>IFERROR(IF(INDEX(Aux_puntos!$A$2:$OJ$901,894,MATCH($B$2&amp;"|xN",Aux_puntos!$1:$1,0))="",NA(),INDEX(Aux_puntos!$A$2:$OJ$901,894,MATCH($B$2&amp;"|xN",Aux_puntos!$1:$1,0))),NA())</f>
        <v/>
      </c>
      <c r="AJ898">
        <f>IFERROR(IF(INDEX(Aux_puntos!$A$2:$OJ$901,894,MATCH($B$2&amp;"|yN",Aux_puntos!$1:$1,0))="",NA(),INDEX(Aux_puntos!$A$2:$OJ$901,894,MATCH($B$2&amp;"|yN",Aux_puntos!$1:$1,0))),NA())</f>
        <v/>
      </c>
    </row>
    <row r="899">
      <c r="AC899">
        <f>IFERROR(IF(INDEX(Aux_puntos!$A$2:$OJ$901,895,MATCH($B$2&amp;"|xK",Aux_puntos!$1:$1,0))="",NA(),INDEX(Aux_puntos!$A$2:$OJ$901,895,MATCH($B$2&amp;"|xK",Aux_puntos!$1:$1,0))),NA())</f>
        <v/>
      </c>
      <c r="AD899">
        <f>IFERROR(IF(INDEX(Aux_puntos!$A$2:$OJ$901,895,MATCH($B$2&amp;"|yK",Aux_puntos!$1:$1,0))="",NA(),INDEX(Aux_puntos!$A$2:$OJ$901,895,MATCH($B$2&amp;"|yK",Aux_puntos!$1:$1,0))),NA())</f>
        <v/>
      </c>
      <c r="AE899">
        <f>IFERROR(IF(INDEX(Aux_puntos!$A$2:$OJ$901,895,MATCH($B$2&amp;"|xC",Aux_puntos!$1:$1,0))="",NA(),INDEX(Aux_puntos!$A$2:$OJ$901,895,MATCH($B$2&amp;"|xC",Aux_puntos!$1:$1,0))),NA())</f>
        <v/>
      </c>
      <c r="AF899">
        <f>IFERROR(IF(INDEX(Aux_puntos!$A$2:$OJ$901,895,MATCH($B$2&amp;"|yC",Aux_puntos!$1:$1,0))="",NA(),INDEX(Aux_puntos!$A$2:$OJ$901,895,MATCH($B$2&amp;"|yC",Aux_puntos!$1:$1,0))),NA())</f>
        <v/>
      </c>
      <c r="AG899">
        <f>IFERROR(IF(INDEX(Aux_puntos!$A$2:$OJ$901,895,MATCH($B$2&amp;"|xI",Aux_puntos!$1:$1,0))="",NA(),INDEX(Aux_puntos!$A$2:$OJ$901,895,MATCH($B$2&amp;"|xI",Aux_puntos!$1:$1,0))),NA())</f>
        <v/>
      </c>
      <c r="AH899">
        <f>IFERROR(IF(INDEX(Aux_puntos!$A$2:$OJ$901,895,MATCH($B$2&amp;"|yI",Aux_puntos!$1:$1,0))="",NA(),INDEX(Aux_puntos!$A$2:$OJ$901,895,MATCH($B$2&amp;"|yI",Aux_puntos!$1:$1,0))),NA())</f>
        <v/>
      </c>
      <c r="AI899">
        <f>IFERROR(IF(INDEX(Aux_puntos!$A$2:$OJ$901,895,MATCH($B$2&amp;"|xN",Aux_puntos!$1:$1,0))="",NA(),INDEX(Aux_puntos!$A$2:$OJ$901,895,MATCH($B$2&amp;"|xN",Aux_puntos!$1:$1,0))),NA())</f>
        <v/>
      </c>
      <c r="AJ899">
        <f>IFERROR(IF(INDEX(Aux_puntos!$A$2:$OJ$901,895,MATCH($B$2&amp;"|yN",Aux_puntos!$1:$1,0))="",NA(),INDEX(Aux_puntos!$A$2:$OJ$901,895,MATCH($B$2&amp;"|yN",Aux_puntos!$1:$1,0))),NA())</f>
        <v/>
      </c>
    </row>
    <row r="900">
      <c r="AC900">
        <f>IFERROR(IF(INDEX(Aux_puntos!$A$2:$OJ$901,896,MATCH($B$2&amp;"|xK",Aux_puntos!$1:$1,0))="",NA(),INDEX(Aux_puntos!$A$2:$OJ$901,896,MATCH($B$2&amp;"|xK",Aux_puntos!$1:$1,0))),NA())</f>
        <v/>
      </c>
      <c r="AD900">
        <f>IFERROR(IF(INDEX(Aux_puntos!$A$2:$OJ$901,896,MATCH($B$2&amp;"|yK",Aux_puntos!$1:$1,0))="",NA(),INDEX(Aux_puntos!$A$2:$OJ$901,896,MATCH($B$2&amp;"|yK",Aux_puntos!$1:$1,0))),NA())</f>
        <v/>
      </c>
      <c r="AE900">
        <f>IFERROR(IF(INDEX(Aux_puntos!$A$2:$OJ$901,896,MATCH($B$2&amp;"|xC",Aux_puntos!$1:$1,0))="",NA(),INDEX(Aux_puntos!$A$2:$OJ$901,896,MATCH($B$2&amp;"|xC",Aux_puntos!$1:$1,0))),NA())</f>
        <v/>
      </c>
      <c r="AF900">
        <f>IFERROR(IF(INDEX(Aux_puntos!$A$2:$OJ$901,896,MATCH($B$2&amp;"|yC",Aux_puntos!$1:$1,0))="",NA(),INDEX(Aux_puntos!$A$2:$OJ$901,896,MATCH($B$2&amp;"|yC",Aux_puntos!$1:$1,0))),NA())</f>
        <v/>
      </c>
      <c r="AG900">
        <f>IFERROR(IF(INDEX(Aux_puntos!$A$2:$OJ$901,896,MATCH($B$2&amp;"|xI",Aux_puntos!$1:$1,0))="",NA(),INDEX(Aux_puntos!$A$2:$OJ$901,896,MATCH($B$2&amp;"|xI",Aux_puntos!$1:$1,0))),NA())</f>
        <v/>
      </c>
      <c r="AH900">
        <f>IFERROR(IF(INDEX(Aux_puntos!$A$2:$OJ$901,896,MATCH($B$2&amp;"|yI",Aux_puntos!$1:$1,0))="",NA(),INDEX(Aux_puntos!$A$2:$OJ$901,896,MATCH($B$2&amp;"|yI",Aux_puntos!$1:$1,0))),NA())</f>
        <v/>
      </c>
      <c r="AI900">
        <f>IFERROR(IF(INDEX(Aux_puntos!$A$2:$OJ$901,896,MATCH($B$2&amp;"|xN",Aux_puntos!$1:$1,0))="",NA(),INDEX(Aux_puntos!$A$2:$OJ$901,896,MATCH($B$2&amp;"|xN",Aux_puntos!$1:$1,0))),NA())</f>
        <v/>
      </c>
      <c r="AJ900">
        <f>IFERROR(IF(INDEX(Aux_puntos!$A$2:$OJ$901,896,MATCH($B$2&amp;"|yN",Aux_puntos!$1:$1,0))="",NA(),INDEX(Aux_puntos!$A$2:$OJ$901,896,MATCH($B$2&amp;"|yN",Aux_puntos!$1:$1,0))),NA())</f>
        <v/>
      </c>
    </row>
    <row r="901">
      <c r="AC901">
        <f>IFERROR(IF(INDEX(Aux_puntos!$A$2:$OJ$901,897,MATCH($B$2&amp;"|xK",Aux_puntos!$1:$1,0))="",NA(),INDEX(Aux_puntos!$A$2:$OJ$901,897,MATCH($B$2&amp;"|xK",Aux_puntos!$1:$1,0))),NA())</f>
        <v/>
      </c>
      <c r="AD901">
        <f>IFERROR(IF(INDEX(Aux_puntos!$A$2:$OJ$901,897,MATCH($B$2&amp;"|yK",Aux_puntos!$1:$1,0))="",NA(),INDEX(Aux_puntos!$A$2:$OJ$901,897,MATCH($B$2&amp;"|yK",Aux_puntos!$1:$1,0))),NA())</f>
        <v/>
      </c>
      <c r="AE901">
        <f>IFERROR(IF(INDEX(Aux_puntos!$A$2:$OJ$901,897,MATCH($B$2&amp;"|xC",Aux_puntos!$1:$1,0))="",NA(),INDEX(Aux_puntos!$A$2:$OJ$901,897,MATCH($B$2&amp;"|xC",Aux_puntos!$1:$1,0))),NA())</f>
        <v/>
      </c>
      <c r="AF901">
        <f>IFERROR(IF(INDEX(Aux_puntos!$A$2:$OJ$901,897,MATCH($B$2&amp;"|yC",Aux_puntos!$1:$1,0))="",NA(),INDEX(Aux_puntos!$A$2:$OJ$901,897,MATCH($B$2&amp;"|yC",Aux_puntos!$1:$1,0))),NA())</f>
        <v/>
      </c>
      <c r="AG901">
        <f>IFERROR(IF(INDEX(Aux_puntos!$A$2:$OJ$901,897,MATCH($B$2&amp;"|xI",Aux_puntos!$1:$1,0))="",NA(),INDEX(Aux_puntos!$A$2:$OJ$901,897,MATCH($B$2&amp;"|xI",Aux_puntos!$1:$1,0))),NA())</f>
        <v/>
      </c>
      <c r="AH901">
        <f>IFERROR(IF(INDEX(Aux_puntos!$A$2:$OJ$901,897,MATCH($B$2&amp;"|yI",Aux_puntos!$1:$1,0))="",NA(),INDEX(Aux_puntos!$A$2:$OJ$901,897,MATCH($B$2&amp;"|yI",Aux_puntos!$1:$1,0))),NA())</f>
        <v/>
      </c>
      <c r="AI901">
        <f>IFERROR(IF(INDEX(Aux_puntos!$A$2:$OJ$901,897,MATCH($B$2&amp;"|xN",Aux_puntos!$1:$1,0))="",NA(),INDEX(Aux_puntos!$A$2:$OJ$901,897,MATCH($B$2&amp;"|xN",Aux_puntos!$1:$1,0))),NA())</f>
        <v/>
      </c>
      <c r="AJ901">
        <f>IFERROR(IF(INDEX(Aux_puntos!$A$2:$OJ$901,897,MATCH($B$2&amp;"|yN",Aux_puntos!$1:$1,0))="",NA(),INDEX(Aux_puntos!$A$2:$OJ$901,897,MATCH($B$2&amp;"|yN",Aux_puntos!$1:$1,0))),NA())</f>
        <v/>
      </c>
    </row>
    <row r="902">
      <c r="AC902">
        <f>IFERROR(IF(INDEX(Aux_puntos!$A$2:$OJ$901,898,MATCH($B$2&amp;"|xK",Aux_puntos!$1:$1,0))="",NA(),INDEX(Aux_puntos!$A$2:$OJ$901,898,MATCH($B$2&amp;"|xK",Aux_puntos!$1:$1,0))),NA())</f>
        <v/>
      </c>
      <c r="AD902">
        <f>IFERROR(IF(INDEX(Aux_puntos!$A$2:$OJ$901,898,MATCH($B$2&amp;"|yK",Aux_puntos!$1:$1,0))="",NA(),INDEX(Aux_puntos!$A$2:$OJ$901,898,MATCH($B$2&amp;"|yK",Aux_puntos!$1:$1,0))),NA())</f>
        <v/>
      </c>
      <c r="AE902">
        <f>IFERROR(IF(INDEX(Aux_puntos!$A$2:$OJ$901,898,MATCH($B$2&amp;"|xC",Aux_puntos!$1:$1,0))="",NA(),INDEX(Aux_puntos!$A$2:$OJ$901,898,MATCH($B$2&amp;"|xC",Aux_puntos!$1:$1,0))),NA())</f>
        <v/>
      </c>
      <c r="AF902">
        <f>IFERROR(IF(INDEX(Aux_puntos!$A$2:$OJ$901,898,MATCH($B$2&amp;"|yC",Aux_puntos!$1:$1,0))="",NA(),INDEX(Aux_puntos!$A$2:$OJ$901,898,MATCH($B$2&amp;"|yC",Aux_puntos!$1:$1,0))),NA())</f>
        <v/>
      </c>
      <c r="AG902">
        <f>IFERROR(IF(INDEX(Aux_puntos!$A$2:$OJ$901,898,MATCH($B$2&amp;"|xI",Aux_puntos!$1:$1,0))="",NA(),INDEX(Aux_puntos!$A$2:$OJ$901,898,MATCH($B$2&amp;"|xI",Aux_puntos!$1:$1,0))),NA())</f>
        <v/>
      </c>
      <c r="AH902">
        <f>IFERROR(IF(INDEX(Aux_puntos!$A$2:$OJ$901,898,MATCH($B$2&amp;"|yI",Aux_puntos!$1:$1,0))="",NA(),INDEX(Aux_puntos!$A$2:$OJ$901,898,MATCH($B$2&amp;"|yI",Aux_puntos!$1:$1,0))),NA())</f>
        <v/>
      </c>
      <c r="AI902">
        <f>IFERROR(IF(INDEX(Aux_puntos!$A$2:$OJ$901,898,MATCH($B$2&amp;"|xN",Aux_puntos!$1:$1,0))="",NA(),INDEX(Aux_puntos!$A$2:$OJ$901,898,MATCH($B$2&amp;"|xN",Aux_puntos!$1:$1,0))),NA())</f>
        <v/>
      </c>
      <c r="AJ902">
        <f>IFERROR(IF(INDEX(Aux_puntos!$A$2:$OJ$901,898,MATCH($B$2&amp;"|yN",Aux_puntos!$1:$1,0))="",NA(),INDEX(Aux_puntos!$A$2:$OJ$901,898,MATCH($B$2&amp;"|yN",Aux_puntos!$1:$1,0))),NA())</f>
        <v/>
      </c>
    </row>
    <row r="903">
      <c r="AC903">
        <f>IFERROR(IF(INDEX(Aux_puntos!$A$2:$OJ$901,899,MATCH($B$2&amp;"|xK",Aux_puntos!$1:$1,0))="",NA(),INDEX(Aux_puntos!$A$2:$OJ$901,899,MATCH($B$2&amp;"|xK",Aux_puntos!$1:$1,0))),NA())</f>
        <v/>
      </c>
      <c r="AD903">
        <f>IFERROR(IF(INDEX(Aux_puntos!$A$2:$OJ$901,899,MATCH($B$2&amp;"|yK",Aux_puntos!$1:$1,0))="",NA(),INDEX(Aux_puntos!$A$2:$OJ$901,899,MATCH($B$2&amp;"|yK",Aux_puntos!$1:$1,0))),NA())</f>
        <v/>
      </c>
      <c r="AE903">
        <f>IFERROR(IF(INDEX(Aux_puntos!$A$2:$OJ$901,899,MATCH($B$2&amp;"|xC",Aux_puntos!$1:$1,0))="",NA(),INDEX(Aux_puntos!$A$2:$OJ$901,899,MATCH($B$2&amp;"|xC",Aux_puntos!$1:$1,0))),NA())</f>
        <v/>
      </c>
      <c r="AF903">
        <f>IFERROR(IF(INDEX(Aux_puntos!$A$2:$OJ$901,899,MATCH($B$2&amp;"|yC",Aux_puntos!$1:$1,0))="",NA(),INDEX(Aux_puntos!$A$2:$OJ$901,899,MATCH($B$2&amp;"|yC",Aux_puntos!$1:$1,0))),NA())</f>
        <v/>
      </c>
      <c r="AG903">
        <f>IFERROR(IF(INDEX(Aux_puntos!$A$2:$OJ$901,899,MATCH($B$2&amp;"|xI",Aux_puntos!$1:$1,0))="",NA(),INDEX(Aux_puntos!$A$2:$OJ$901,899,MATCH($B$2&amp;"|xI",Aux_puntos!$1:$1,0))),NA())</f>
        <v/>
      </c>
      <c r="AH903">
        <f>IFERROR(IF(INDEX(Aux_puntos!$A$2:$OJ$901,899,MATCH($B$2&amp;"|yI",Aux_puntos!$1:$1,0))="",NA(),INDEX(Aux_puntos!$A$2:$OJ$901,899,MATCH($B$2&amp;"|yI",Aux_puntos!$1:$1,0))),NA())</f>
        <v/>
      </c>
      <c r="AI903">
        <f>IFERROR(IF(INDEX(Aux_puntos!$A$2:$OJ$901,899,MATCH($B$2&amp;"|xN",Aux_puntos!$1:$1,0))="",NA(),INDEX(Aux_puntos!$A$2:$OJ$901,899,MATCH($B$2&amp;"|xN",Aux_puntos!$1:$1,0))),NA())</f>
        <v/>
      </c>
      <c r="AJ903">
        <f>IFERROR(IF(INDEX(Aux_puntos!$A$2:$OJ$901,899,MATCH($B$2&amp;"|yN",Aux_puntos!$1:$1,0))="",NA(),INDEX(Aux_puntos!$A$2:$OJ$901,899,MATCH($B$2&amp;"|yN",Aux_puntos!$1:$1,0))),NA())</f>
        <v/>
      </c>
    </row>
    <row r="904">
      <c r="AC904">
        <f>IFERROR(IF(INDEX(Aux_puntos!$A$2:$OJ$901,900,MATCH($B$2&amp;"|xK",Aux_puntos!$1:$1,0))="",NA(),INDEX(Aux_puntos!$A$2:$OJ$901,900,MATCH($B$2&amp;"|xK",Aux_puntos!$1:$1,0))),NA())</f>
        <v/>
      </c>
      <c r="AD904">
        <f>IFERROR(IF(INDEX(Aux_puntos!$A$2:$OJ$901,900,MATCH($B$2&amp;"|yK",Aux_puntos!$1:$1,0))="",NA(),INDEX(Aux_puntos!$A$2:$OJ$901,900,MATCH($B$2&amp;"|yK",Aux_puntos!$1:$1,0))),NA())</f>
        <v/>
      </c>
      <c r="AE904">
        <f>IFERROR(IF(INDEX(Aux_puntos!$A$2:$OJ$901,900,MATCH($B$2&amp;"|xC",Aux_puntos!$1:$1,0))="",NA(),INDEX(Aux_puntos!$A$2:$OJ$901,900,MATCH($B$2&amp;"|xC",Aux_puntos!$1:$1,0))),NA())</f>
        <v/>
      </c>
      <c r="AF904">
        <f>IFERROR(IF(INDEX(Aux_puntos!$A$2:$OJ$901,900,MATCH($B$2&amp;"|yC",Aux_puntos!$1:$1,0))="",NA(),INDEX(Aux_puntos!$A$2:$OJ$901,900,MATCH($B$2&amp;"|yC",Aux_puntos!$1:$1,0))),NA())</f>
        <v/>
      </c>
      <c r="AG904">
        <f>IFERROR(IF(INDEX(Aux_puntos!$A$2:$OJ$901,900,MATCH($B$2&amp;"|xI",Aux_puntos!$1:$1,0))="",NA(),INDEX(Aux_puntos!$A$2:$OJ$901,900,MATCH($B$2&amp;"|xI",Aux_puntos!$1:$1,0))),NA())</f>
        <v/>
      </c>
      <c r="AH904">
        <f>IFERROR(IF(INDEX(Aux_puntos!$A$2:$OJ$901,900,MATCH($B$2&amp;"|yI",Aux_puntos!$1:$1,0))="",NA(),INDEX(Aux_puntos!$A$2:$OJ$901,900,MATCH($B$2&amp;"|yI",Aux_puntos!$1:$1,0))),NA())</f>
        <v/>
      </c>
      <c r="AI904">
        <f>IFERROR(IF(INDEX(Aux_puntos!$A$2:$OJ$901,900,MATCH($B$2&amp;"|xN",Aux_puntos!$1:$1,0))="",NA(),INDEX(Aux_puntos!$A$2:$OJ$901,900,MATCH($B$2&amp;"|xN",Aux_puntos!$1:$1,0))),NA())</f>
        <v/>
      </c>
      <c r="AJ904">
        <f>IFERROR(IF(INDEX(Aux_puntos!$A$2:$OJ$901,900,MATCH($B$2&amp;"|yN",Aux_puntos!$1:$1,0))="",NA(),INDEX(Aux_puntos!$A$2:$OJ$901,900,MATCH($B$2&amp;"|yN",Aux_puntos!$1:$1,0))),NA())</f>
        <v/>
      </c>
    </row>
  </sheetData>
  <mergeCells count="1">
    <mergeCell ref="A23:B28"/>
  </mergeCells>
  <dataValidations count="1">
    <dataValidation sqref="B2" showDropDown="0" showInputMessage="0" showErrorMessage="0" allowBlank="0" type="list">
      <formula1>=Aux_tablero!$B$1:$AY$1</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87"/>
  <sheetViews>
    <sheetView workbookViewId="0">
      <selection activeCell="A1" sqref="A1"/>
    </sheetView>
  </sheetViews>
  <sheetFormatPr baseColWidth="8" defaultRowHeight="15"/>
  <cols>
    <col width="34" customWidth="1" min="1" max="1"/>
    <col width="10" customWidth="1" min="2" max="2"/>
    <col width="40" customWidth="1" min="3" max="3"/>
    <col width="70" customWidth="1" min="4" max="4"/>
  </cols>
  <sheetData>
    <row r="1">
      <c r="A1" s="16" t="inlineStr">
        <is>
          <t>Hoja</t>
        </is>
      </c>
      <c r="B1" s="16" t="inlineStr">
        <is>
          <t>Estudio</t>
        </is>
      </c>
      <c r="C1" s="16" t="inlineStr">
        <is>
          <t>Parte(s)</t>
        </is>
      </c>
      <c r="D1" s="16" t="inlineStr">
        <is>
          <t>Qué muestra</t>
        </is>
      </c>
    </row>
    <row r="2">
      <c r="A2" s="18" t="inlineStr">
        <is>
          <t>Punto_profesor</t>
        </is>
      </c>
      <c r="B2" s="16" t="inlineStr">
        <is>
          <t>—</t>
        </is>
      </c>
      <c r="C2" s="16" t="inlineStr">
        <is>
          <t>—</t>
        </is>
      </c>
      <c r="D2" s="16" t="inlineStr">
        <is>
          <t>Datos del profesor y punto ancla A*</t>
        </is>
      </c>
    </row>
    <row r="3">
      <c r="A3" s="18" t="inlineStr">
        <is>
          <t>S-1 Resumen por estudio</t>
        </is>
      </c>
      <c r="B3" s="16" t="inlineStr">
        <is>
          <t>S</t>
        </is>
      </c>
      <c r="C3" s="16" t="inlineStr">
        <is>
          <t>1.1b, 1.1a, 1.1c, 1.1d, 2.1, 2.2a, 2.2b, 2.3a, 2.3b, 2.3c, 2.3d, 2.4a, 2.4b, 2.4c, 2.4d, 3.1, 3.2, 3.3, 4.1a, 4.1b, 4.1c, 4.1d, 4.1e, 4.2, 5.1a, 5.1b, 5.1c, 5.1d, 5.1e, 6.1a, 6.1b, 6.1c, 4.3 T_fuente, 4.3 eficiencias, 4.3 P_alta, 4.3 P_baja, 4.3 T_sumidero, 4.3 x_b, 4.3 x_b+T_fuente, 4.3 x_b+eficiencias, 4.3 x_b+P_alta, 4.3 x_b+P_baja, 4.3 x_b+T_sumidero, 4.3 x_b+P_alta+T_fuente, 4.3 x_b+P_alta+eficiencias, 4.3 x_b+P_alta+P_baja, 4.3 x_b+P_alta+T_sumidero, 4.3 x_b+P_alta+eficiencias+T_fuente, 4.3 x_b+P_alta+eficiencias+P_baja, 4.3 x_b+P_alta+eficiencias+T_sumidero, 6.2e, 6.1d, 6.2a, 6.2b, 6.2c, 6.2d</t>
        </is>
      </c>
      <c r="D3" s="16" t="inlineStr">
        <is>
          <t>Resumen por estudio</t>
        </is>
      </c>
    </row>
    <row r="4">
      <c r="A4" s="18" t="inlineStr">
        <is>
          <t>S-2 Qué se movió en cada barrid</t>
        </is>
      </c>
      <c r="B4" s="16" t="inlineStr">
        <is>
          <t>S</t>
        </is>
      </c>
      <c r="C4" s="16" t="inlineStr">
        <is>
          <t>1.1b, 1.1a, 1.1c, 1.1d, 2.1, 2.2a, 2.2b, 2.3a, 2.3b, 2.3c, 2.3d, 2.4a, 2.4b, 2.4c, 2.4d, 3.1, 3.2, 3.3, 4.1a, 4.1b, 4.1c, 4.1d, 4.1e, 4.2, 5.1a, 5.1b, 5.1c, 5.1d, 5.1e, 6.1a, 6.1b, 6.1c, 4.3 T_fuente, 4.3 eficiencias, 4.3 P_alta, 4.3 P_baja, 4.3 T_sumidero, 4.3 x_b, 4.3 x_b+T_fuente, 4.3 x_b+eficiencias, 4.3 x_b+P_alta, 4.3 x_b+P_baja, 4.3 x_b+T_sumidero, 4.3 x_b+P_alta+T_fuente, 4.3 x_b+P_alta+eficiencias, 4.3 x_b+P_alta+P_baja, 4.3 x_b+P_alta+T_sumidero, 4.3 x_b+P_alta+eficiencias+T_fuente, 4.3 x_b+P_alta+eficiencias+P_baja, 4.3 x_b+P_alta+eficiencias+T_sumidero, 6.2e, 6.1d, 6.2a, 6.2b, 6.2c, 6.2d</t>
        </is>
      </c>
      <c r="D4" s="16" t="inlineStr">
        <is>
          <t>Qué se movió en cada barrido</t>
        </is>
      </c>
    </row>
    <row r="5">
      <c r="A5" s="18" t="inlineStr">
        <is>
          <t>S-3 Rangos KALINA comparados</t>
        </is>
      </c>
      <c r="B5" s="16" t="inlineStr">
        <is>
          <t>S</t>
        </is>
      </c>
      <c r="C5" s="16" t="inlineStr">
        <is>
          <t>nan</t>
        </is>
      </c>
      <c r="D5" s="16" t="inlineStr">
        <is>
          <t>Rangos KALINA comparados</t>
        </is>
      </c>
    </row>
    <row r="6">
      <c r="A6" s="18" t="inlineStr">
        <is>
          <t>S-4 Datos del profesor conserva</t>
        </is>
      </c>
      <c r="B6" s="16" t="inlineStr">
        <is>
          <t>S</t>
        </is>
      </c>
      <c r="C6" s="16" t="inlineStr">
        <is>
          <t>nan</t>
        </is>
      </c>
      <c r="D6" s="16" t="inlineStr">
        <is>
          <t>Datos del profesor conservables</t>
        </is>
      </c>
    </row>
    <row r="7">
      <c r="A7" s="18" t="inlineStr">
        <is>
          <t>S-5 Criterios que bloquean, por</t>
        </is>
      </c>
      <c r="B7" s="16" t="inlineStr">
        <is>
          <t>S</t>
        </is>
      </c>
      <c r="C7" s="16" t="inlineStr">
        <is>
          <t>nan</t>
        </is>
      </c>
      <c r="D7" s="16" t="inlineStr">
        <is>
          <t>Criterios que bloquean, por estudio</t>
        </is>
      </c>
    </row>
    <row r="8">
      <c r="A8" s="18" t="inlineStr">
        <is>
          <t>1.1-1 Condiciones qué quedó fij</t>
        </is>
      </c>
      <c r="B8" s="16" t="inlineStr">
        <is>
          <t>1.1</t>
        </is>
      </c>
      <c r="C8" s="16" t="inlineStr">
        <is>
          <t>1.1b, 1.1a, 1.1c, 1.1d</t>
        </is>
      </c>
      <c r="D8" s="16" t="inlineStr">
        <is>
          <t>Condiciones: qué quedó fijo y qué se barrió</t>
        </is>
      </c>
    </row>
    <row r="9">
      <c r="A9" s="18" t="inlineStr">
        <is>
          <t>1.1-2 Corridas por parte y por</t>
        </is>
      </c>
      <c r="B9" s="16" t="inlineStr">
        <is>
          <t>1.1</t>
        </is>
      </c>
      <c r="C9" s="16" t="inlineStr">
        <is>
          <t>1.1b, 1.1a, 1.1c, 1.1d</t>
        </is>
      </c>
      <c r="D9" s="16" t="inlineStr">
        <is>
          <t>Corridas por parte y por clase</t>
        </is>
      </c>
    </row>
    <row r="10">
      <c r="A10" s="18" t="inlineStr">
        <is>
          <t>1.1-3 Comparación antes y despu</t>
        </is>
      </c>
      <c r="B10" s="16" t="inlineStr">
        <is>
          <t>1.1</t>
        </is>
      </c>
      <c r="C10" s="16" t="inlineStr">
        <is>
          <t>1.1b, 1.1a, 1.1c, 1.1d</t>
        </is>
      </c>
      <c r="D10" s="16" t="inlineStr">
        <is>
          <t>Comparación antes y después de la F1</t>
        </is>
      </c>
    </row>
    <row r="11">
      <c r="A11" s="18" t="inlineStr">
        <is>
          <t>2.1-1 Condiciones qué quedó fij</t>
        </is>
      </c>
      <c r="B11" s="16" t="inlineStr">
        <is>
          <t>2.1</t>
        </is>
      </c>
      <c r="C11" s="16" t="inlineStr">
        <is>
          <t>2.1</t>
        </is>
      </c>
      <c r="D11" s="16" t="inlineStr">
        <is>
          <t>Condiciones: qué quedó fijo y qué se barrió</t>
        </is>
      </c>
    </row>
    <row r="12">
      <c r="A12" s="18" t="inlineStr">
        <is>
          <t>2.1-2 Corridas por parte y por</t>
        </is>
      </c>
      <c r="B12" s="16" t="inlineStr">
        <is>
          <t>2.1</t>
        </is>
      </c>
      <c r="C12" s="16" t="inlineStr">
        <is>
          <t>2.1</t>
        </is>
      </c>
      <c r="D12" s="16" t="inlineStr">
        <is>
          <t>Corridas por parte y por clase</t>
        </is>
      </c>
    </row>
    <row r="13">
      <c r="A13" s="18" t="inlineStr">
        <is>
          <t>2.1-3 Distancia al punto del pr</t>
        </is>
      </c>
      <c r="B13" s="16" t="inlineStr">
        <is>
          <t>2.1</t>
        </is>
      </c>
      <c r="C13" s="16" t="inlineStr">
        <is>
          <t>2.1</t>
        </is>
      </c>
      <c r="D13" s="16" t="inlineStr">
        <is>
          <t>Distancia al punto del profesor moviendo una variable a la vez</t>
        </is>
      </c>
    </row>
    <row r="14">
      <c r="A14" s="18" t="inlineStr">
        <is>
          <t>2.2-1 Condiciones qué quedó fij</t>
        </is>
      </c>
      <c r="B14" s="16" t="inlineStr">
        <is>
          <t>2.2</t>
        </is>
      </c>
      <c r="C14" s="16" t="inlineStr">
        <is>
          <t>2.2a, 2.2b</t>
        </is>
      </c>
      <c r="D14" s="16" t="inlineStr">
        <is>
          <t>Condiciones: qué quedó fijo y qué se barrió</t>
        </is>
      </c>
    </row>
    <row r="15">
      <c r="A15" s="18" t="inlineStr">
        <is>
          <t>2.2-2 Corridas por parte y por</t>
        </is>
      </c>
      <c r="B15" s="16" t="inlineStr">
        <is>
          <t>2.2</t>
        </is>
      </c>
      <c r="C15" s="16" t="inlineStr">
        <is>
          <t>2.2a, 2.2b</t>
        </is>
      </c>
      <c r="D15" s="16" t="inlineStr">
        <is>
          <t>Corridas por parte y por clase</t>
        </is>
      </c>
    </row>
    <row r="16">
      <c r="A16" s="18" t="inlineStr">
        <is>
          <t>2.2-3 Resumen de la malla de do</t>
        </is>
      </c>
      <c r="B16" s="16" t="inlineStr">
        <is>
          <t>2.2</t>
        </is>
      </c>
      <c r="C16" s="16" t="inlineStr">
        <is>
          <t>2.2a, 2.2b</t>
        </is>
      </c>
      <c r="D16" s="16" t="inlineStr">
        <is>
          <t>Resumen de la malla de dos cambios</t>
        </is>
      </c>
    </row>
    <row r="17">
      <c r="A17" s="18" t="inlineStr">
        <is>
          <t>2.3-1 Condiciones qué quedó fij</t>
        </is>
      </c>
      <c r="B17" s="16" t="inlineStr">
        <is>
          <t>2.3</t>
        </is>
      </c>
      <c r="C17" s="16" t="inlineStr">
        <is>
          <t>2.3a, 2.3b, 2.3c, 2.3d</t>
        </is>
      </c>
      <c r="D17" s="16" t="inlineStr">
        <is>
          <t>Condiciones: qué quedó fijo y qué se barrió</t>
        </is>
      </c>
    </row>
    <row r="18">
      <c r="A18" s="18" t="inlineStr">
        <is>
          <t>2.3-2 Corridas por parte y por</t>
        </is>
      </c>
      <c r="B18" s="16" t="inlineStr">
        <is>
          <t>2.3</t>
        </is>
      </c>
      <c r="C18" s="16" t="inlineStr">
        <is>
          <t>2.3a, 2.3b, 2.3c, 2.3d</t>
        </is>
      </c>
      <c r="D18" s="16" t="inlineStr">
        <is>
          <t>Corridas por parte y por clase</t>
        </is>
      </c>
    </row>
    <row r="19">
      <c r="A19" s="18" t="inlineStr">
        <is>
          <t>2.3-3 Malla con η y ε en 0.40,</t>
        </is>
      </c>
      <c r="B19" s="16" t="inlineStr">
        <is>
          <t>2.3</t>
        </is>
      </c>
      <c r="C19" s="16" t="inlineStr">
        <is>
          <t>2.3a, 2.3b, 2.3c, 2.3d</t>
        </is>
      </c>
      <c r="D19" s="16" t="inlineStr">
        <is>
          <t>Malla con η y ε en [0.40, 0.95]</t>
        </is>
      </c>
    </row>
    <row r="20">
      <c r="A20" s="18" t="inlineStr">
        <is>
          <t>2.4-1 Condiciones qué quedó fij</t>
        </is>
      </c>
      <c r="B20" s="16" t="inlineStr">
        <is>
          <t>2.4</t>
        </is>
      </c>
      <c r="C20" s="16" t="inlineStr">
        <is>
          <t>2.4a, 2.4b, 2.4c, 2.4d</t>
        </is>
      </c>
      <c r="D20" s="16" t="inlineStr">
        <is>
          <t>Condiciones: qué quedó fijo y qué se barrió</t>
        </is>
      </c>
    </row>
    <row r="21">
      <c r="A21" s="18" t="inlineStr">
        <is>
          <t>2.4-2 Corridas por parte y por</t>
        </is>
      </c>
      <c r="B21" s="16" t="inlineStr">
        <is>
          <t>2.4</t>
        </is>
      </c>
      <c r="C21" s="16" t="inlineStr">
        <is>
          <t>2.4a, 2.4b, 2.4c, 2.4d</t>
        </is>
      </c>
      <c r="D21" s="16" t="inlineStr">
        <is>
          <t>Corridas por parte y por clase</t>
        </is>
      </c>
    </row>
    <row r="22">
      <c r="A22" s="18" t="inlineStr">
        <is>
          <t>2.4-3 Malla T_sumidero x P_baja</t>
        </is>
      </c>
      <c r="B22" s="16" t="inlineStr">
        <is>
          <t>2.4</t>
        </is>
      </c>
      <c r="C22" s="16" t="inlineStr">
        <is>
          <t>2.4a, 2.4b, 2.4c, 2.4d</t>
        </is>
      </c>
      <c r="D22" s="16" t="inlineStr">
        <is>
          <t>Malla T_sumidero x P_baja por base</t>
        </is>
      </c>
    </row>
    <row r="23">
      <c r="A23" s="18" t="inlineStr">
        <is>
          <t>3.1-1 Condiciones qué quedó fij</t>
        </is>
      </c>
      <c r="B23" s="16" t="inlineStr">
        <is>
          <t>3.1</t>
        </is>
      </c>
      <c r="C23" s="16" t="inlineStr">
        <is>
          <t>3.1</t>
        </is>
      </c>
      <c r="D23" s="16" t="inlineStr">
        <is>
          <t>Condiciones: qué quedó fijo y qué se barrió</t>
        </is>
      </c>
    </row>
    <row r="24">
      <c r="A24" s="18" t="inlineStr">
        <is>
          <t>3.1-2 Corridas por parte y por</t>
        </is>
      </c>
      <c r="B24" s="16" t="inlineStr">
        <is>
          <t>3.1</t>
        </is>
      </c>
      <c r="C24" s="16" t="inlineStr">
        <is>
          <t>3.1</t>
        </is>
      </c>
      <c r="D24" s="16" t="inlineStr">
        <is>
          <t>Corridas por parte y por clase</t>
        </is>
      </c>
    </row>
    <row r="25">
      <c r="A25" s="18" t="inlineStr">
        <is>
          <t>3.1-3 Influencia y margen por v</t>
        </is>
      </c>
      <c r="B25" s="16" t="inlineStr">
        <is>
          <t>3.1</t>
        </is>
      </c>
      <c r="C25" s="16" t="inlineStr">
        <is>
          <t>3.1</t>
        </is>
      </c>
      <c r="D25" s="16" t="inlineStr">
        <is>
          <t>Influencia y margen por variable (Δη y O2)</t>
        </is>
      </c>
    </row>
    <row r="26">
      <c r="A26" s="18" t="inlineStr">
        <is>
          <t>3.2-1 Condiciones qué quedó fij</t>
        </is>
      </c>
      <c r="B26" s="16" t="inlineStr">
        <is>
          <t>3.2</t>
        </is>
      </c>
      <c r="C26" s="16" t="inlineStr">
        <is>
          <t>3.2</t>
        </is>
      </c>
      <c r="D26" s="16" t="inlineStr">
        <is>
          <t>Condiciones: qué quedó fijo y qué se barrió</t>
        </is>
      </c>
    </row>
    <row r="27">
      <c r="A27" s="18" t="inlineStr">
        <is>
          <t>3.2-2 Corridas por parte y por</t>
        </is>
      </c>
      <c r="B27" s="16" t="inlineStr">
        <is>
          <t>3.2</t>
        </is>
      </c>
      <c r="C27" s="16" t="inlineStr">
        <is>
          <t>3.2</t>
        </is>
      </c>
      <c r="D27" s="16" t="inlineStr">
        <is>
          <t>Corridas por parte y por clase</t>
        </is>
      </c>
    </row>
    <row r="28">
      <c r="A28" s="18" t="inlineStr">
        <is>
          <t>3.2-3 Separación KALINA  no KAL</t>
        </is>
      </c>
      <c r="B28" s="16" t="inlineStr">
        <is>
          <t>3.2</t>
        </is>
      </c>
      <c r="C28" s="16" t="inlineStr">
        <is>
          <t>3.2</t>
        </is>
      </c>
      <c r="D28" s="16" t="inlineStr">
        <is>
          <t>Separación KALINA / no KALINA (RSA y KS)</t>
        </is>
      </c>
    </row>
    <row r="29">
      <c r="A29" s="18" t="inlineStr">
        <is>
          <t>3.2-4 Influencia de cada variab</t>
        </is>
      </c>
      <c r="B29" s="16" t="inlineStr">
        <is>
          <t>3.2</t>
        </is>
      </c>
      <c r="C29" s="16" t="inlineStr">
        <is>
          <t>3.2</t>
        </is>
      </c>
      <c r="D29" s="16" t="inlineStr">
        <is>
          <t>Influencia de cada variable sobre η (PRCC)</t>
        </is>
      </c>
    </row>
    <row r="30">
      <c r="A30" s="18" t="inlineStr">
        <is>
          <t>3.2-5 Rangos de presión de los</t>
        </is>
      </c>
      <c r="B30" s="16" t="inlineStr">
        <is>
          <t>3.2</t>
        </is>
      </c>
      <c r="C30" s="16" t="inlineStr">
        <is>
          <t>3.2</t>
        </is>
      </c>
      <c r="D30" s="16" t="inlineStr">
        <is>
          <t>Rangos de presión de los KALINA</t>
        </is>
      </c>
    </row>
    <row r="31">
      <c r="A31" s="18" t="inlineStr">
        <is>
          <t>3.2-6 Ventana KALINA por franja</t>
        </is>
      </c>
      <c r="B31" s="16" t="inlineStr">
        <is>
          <t>3.2</t>
        </is>
      </c>
      <c r="C31" s="16" t="inlineStr">
        <is>
          <t>3.2</t>
        </is>
      </c>
      <c r="D31" s="16" t="inlineStr">
        <is>
          <t>Ventana KALINA por franjas de P_alta</t>
        </is>
      </c>
    </row>
    <row r="32">
      <c r="A32" s="18" t="inlineStr">
        <is>
          <t>3.2-7 Ventana KALINA por franja</t>
        </is>
      </c>
      <c r="B32" s="16" t="inlineStr">
        <is>
          <t>3.2</t>
        </is>
      </c>
      <c r="C32" s="16" t="inlineStr">
        <is>
          <t>3.2</t>
        </is>
      </c>
      <c r="D32" s="16" t="inlineStr">
        <is>
          <t>Ventana KALINA por franjas de T_fuente</t>
        </is>
      </c>
    </row>
    <row r="33">
      <c r="A33" s="18" t="inlineStr">
        <is>
          <t>3.2-8 Ventana KALINA por franja</t>
        </is>
      </c>
      <c r="B33" s="16" t="inlineStr">
        <is>
          <t>3.2</t>
        </is>
      </c>
      <c r="C33" s="16" t="inlineStr">
        <is>
          <t>3.2</t>
        </is>
      </c>
      <c r="D33" s="16" t="inlineStr">
        <is>
          <t>Ventana KALINA por franjas de T_sumidero</t>
        </is>
      </c>
    </row>
    <row r="34">
      <c r="A34" s="18" t="inlineStr">
        <is>
          <t>3.3-1 Condiciones qué quedó fij</t>
        </is>
      </c>
      <c r="B34" s="16" t="inlineStr">
        <is>
          <t>3.3</t>
        </is>
      </c>
      <c r="C34" s="16" t="inlineStr">
        <is>
          <t>3.3</t>
        </is>
      </c>
      <c r="D34" s="16" t="inlineStr">
        <is>
          <t>Condiciones: qué quedó fijo y qué se barrió</t>
        </is>
      </c>
    </row>
    <row r="35">
      <c r="A35" s="18" t="inlineStr">
        <is>
          <t>3.3-2 Corridas por parte y por</t>
        </is>
      </c>
      <c r="B35" s="16" t="inlineStr">
        <is>
          <t>3.3</t>
        </is>
      </c>
      <c r="C35" s="16" t="inlineStr">
        <is>
          <t>3.3</t>
        </is>
      </c>
      <c r="D35" s="16" t="inlineStr">
        <is>
          <t>Corridas por parte y por clase</t>
        </is>
      </c>
    </row>
    <row r="36">
      <c r="A36" s="18" t="inlineStr">
        <is>
          <t>3.3-3 Techo de P_baja antes de</t>
        </is>
      </c>
      <c r="B36" s="16" t="inlineStr">
        <is>
          <t>3.3</t>
        </is>
      </c>
      <c r="C36" s="16" t="inlineStr">
        <is>
          <t>3.3</t>
        </is>
      </c>
      <c r="D36" s="16" t="inlineStr">
        <is>
          <t>Techo de P_baja antes de cortar KALINA</t>
        </is>
      </c>
    </row>
    <row r="37">
      <c r="A37" s="18" t="inlineStr">
        <is>
          <t>3.3-4 Techo de P_baja por franj</t>
        </is>
      </c>
      <c r="B37" s="16" t="inlineStr">
        <is>
          <t>3.3</t>
        </is>
      </c>
      <c r="C37" s="16" t="inlineStr">
        <is>
          <t>3.3</t>
        </is>
      </c>
      <c r="D37" s="16" t="inlineStr">
        <is>
          <t>Techo de P_baja por franja de P_alta</t>
        </is>
      </c>
    </row>
    <row r="38">
      <c r="A38" s="18" t="inlineStr">
        <is>
          <t>4.1-1 Condiciones qué quedó fij</t>
        </is>
      </c>
      <c r="B38" s="16" t="inlineStr">
        <is>
          <t>4.1</t>
        </is>
      </c>
      <c r="C38" s="16" t="inlineStr">
        <is>
          <t>4.1a, 4.1b, 4.1c, 4.1d, 4.1e</t>
        </is>
      </c>
      <c r="D38" s="16" t="inlineStr">
        <is>
          <t>Condiciones: qué quedó fijo y qué se barrió</t>
        </is>
      </c>
    </row>
    <row r="39">
      <c r="A39" s="18" t="inlineStr">
        <is>
          <t>4.1-2 Corridas por parte y por</t>
        </is>
      </c>
      <c r="B39" s="16" t="inlineStr">
        <is>
          <t>4.1</t>
        </is>
      </c>
      <c r="C39" s="16" t="inlineStr">
        <is>
          <t>4.1a, 4.1b, 4.1c, 4.1d, 4.1e</t>
        </is>
      </c>
      <c r="D39" s="16" t="inlineStr">
        <is>
          <t>Corridas por parte y por clase</t>
        </is>
      </c>
    </row>
    <row r="40">
      <c r="A40" s="18" t="inlineStr">
        <is>
          <t>4.1-3 Resumen por escenario de</t>
        </is>
      </c>
      <c r="B40" s="16" t="inlineStr">
        <is>
          <t>4.1</t>
        </is>
      </c>
      <c r="C40" s="16" t="inlineStr">
        <is>
          <t>4.1a, 4.1b, 4.1c, 4.1d, 4.1e</t>
        </is>
      </c>
      <c r="D40" s="16" t="inlineStr">
        <is>
          <t>Resumen por escenario de conservación</t>
        </is>
      </c>
    </row>
    <row r="41">
      <c r="A41" s="18" t="inlineStr">
        <is>
          <t>4.1-4 Rangos por escenario (KAL</t>
        </is>
      </c>
      <c r="B41" s="16" t="inlineStr">
        <is>
          <t>4.1</t>
        </is>
      </c>
      <c r="C41" s="16" t="inlineStr">
        <is>
          <t>4.1a, 4.1b, 4.1c, 4.1d, 4.1e</t>
        </is>
      </c>
      <c r="D41" s="16" t="inlineStr">
        <is>
          <t>Rangos por escenario (KALINA contra no KALINA)</t>
        </is>
      </c>
    </row>
    <row r="42">
      <c r="A42" s="18" t="inlineStr">
        <is>
          <t>4.2-1 Condiciones qué quedó fij</t>
        </is>
      </c>
      <c r="B42" s="16" t="inlineStr">
        <is>
          <t>4.2</t>
        </is>
      </c>
      <c r="C42" s="16" t="inlineStr">
        <is>
          <t>4.2</t>
        </is>
      </c>
      <c r="D42" s="16" t="inlineStr">
        <is>
          <t>Condiciones: qué quedó fijo y qué se barrió</t>
        </is>
      </c>
    </row>
    <row r="43">
      <c r="A43" s="18" t="inlineStr">
        <is>
          <t>4.2-2 Corridas por parte y por</t>
        </is>
      </c>
      <c r="B43" s="16" t="inlineStr">
        <is>
          <t>4.2</t>
        </is>
      </c>
      <c r="C43" s="16" t="inlineStr">
        <is>
          <t>4.2</t>
        </is>
      </c>
      <c r="D43" s="16" t="inlineStr">
        <is>
          <t>Corridas por parte y por clase</t>
        </is>
      </c>
    </row>
    <row r="44">
      <c r="A44" s="18" t="inlineStr">
        <is>
          <t>4.2-3 Frontera KALINA con las p</t>
        </is>
      </c>
      <c r="B44" s="16" t="inlineStr">
        <is>
          <t>4.2</t>
        </is>
      </c>
      <c r="C44" s="16" t="inlineStr">
        <is>
          <t>4.2</t>
        </is>
      </c>
      <c r="D44" s="16" t="inlineStr">
        <is>
          <t>Frontera KALINA con las presiones del profesor</t>
        </is>
      </c>
    </row>
    <row r="45">
      <c r="A45" s="18" t="inlineStr">
        <is>
          <t>4.3-1 Condiciones qué quedó fij</t>
        </is>
      </c>
      <c r="B45" s="16" t="inlineStr">
        <is>
          <t>4.3</t>
        </is>
      </c>
      <c r="C45" s="16" t="inlineStr">
        <is>
          <t>4.3 T_fuente, 4.3 eficiencias, 4.3 P_alta, 4.3 P_baja, 4.3 T_sumidero, 4.3 x_b, 4.3 x_b+T_fuente, 4.3 x_b+eficiencias, 4.3 x_b+P_alta, 4.3 x_b+P_baja, 4.3 x_b+T_sumidero, 4.3 x_b+P_alta+T_fuente, 4.3 x_b+P_alta+eficiencias, 4.3 x_b+P_alta+P_baja, 4.3 x_b+P_alta+T_sumidero, 4.3 x_b+P_alta+eficiencias+T_fuente, 4.3 x_b+P_alta+eficiencias+P_baja, 4.3 x_b+P_alta+eficiencias+T_sumidero, 6.2e, 6.1d</t>
        </is>
      </c>
      <c r="D45" s="16" t="inlineStr">
        <is>
          <t>Condiciones: qué quedó fijo y qué se barrió</t>
        </is>
      </c>
    </row>
    <row r="46">
      <c r="A46" s="18" t="inlineStr">
        <is>
          <t>4.3-2 Corridas por parte y por</t>
        </is>
      </c>
      <c r="B46" s="16" t="inlineStr">
        <is>
          <t>4.3</t>
        </is>
      </c>
      <c r="C46" s="16" t="inlineStr">
        <is>
          <t>4.3 T_fuente, 4.3 eficiencias, 4.3 P_alta, 4.3 P_baja, 4.3 T_sumidero, 4.3 x_b, 4.3 x_b+T_fuente, 4.3 x_b+eficiencias, 4.3 x_b+P_alta, 4.3 x_b+P_baja, 4.3 x_b+T_sumidero, 4.3 x_b+P_alta+T_fuente, 4.3 x_b+P_alta+eficiencias, 4.3 x_b+P_alta+P_baja, 4.3 x_b+P_alta+T_sumidero, 4.3 x_b+P_alta+eficiencias+T_fuente, 4.3 x_b+P_alta+eficiencias+P_baja, 4.3 x_b+P_alta+eficiencias+T_sumidero, 6.2e, 6.1d</t>
        </is>
      </c>
      <c r="D46" s="16" t="inlineStr">
        <is>
          <t>Corridas por parte y por clase</t>
        </is>
      </c>
    </row>
    <row r="47">
      <c r="A47" s="18" t="inlineStr">
        <is>
          <t>4.3-3 Escalera de conservación</t>
        </is>
      </c>
      <c r="B47" s="16" t="inlineStr">
        <is>
          <t>4.3</t>
        </is>
      </c>
      <c r="C47" s="16" t="inlineStr">
        <is>
          <t>4.3 T_fuente, 4.3 eficiencias, 4.3 P_alta, 4.3 P_baja, 4.3 T_sumidero, 4.3 x_b, 4.3 x_b+T_fuente, 4.3 x_b+eficiencias, 4.3 x_b+P_alta, 4.3 x_b+P_baja, 4.3 x_b+T_sumidero, 4.3 x_b+P_alta+T_fuente, 4.3 x_b+P_alta+eficiencias, 4.3 x_b+P_alta+P_baja, 4.3 x_b+P_alta+T_sumidero, 4.3 x_b+P_alta+eficiencias+T_fuente, 4.3 x_b+P_alta+eficiencias+P_baja, 4.3 x_b+P_alta+eficiencias+T_sumidero</t>
        </is>
      </c>
      <c r="D47" s="16" t="inlineStr">
        <is>
          <t>Escalera de conservación de datos del profesor</t>
        </is>
      </c>
    </row>
    <row r="48">
      <c r="A48" s="18" t="inlineStr">
        <is>
          <t>4.3-4 Verificación teqp contra</t>
        </is>
      </c>
      <c r="B48" s="16" t="inlineStr">
        <is>
          <t>4.3</t>
        </is>
      </c>
      <c r="C48" s="16" t="inlineStr">
        <is>
          <t>6.1d</t>
        </is>
      </c>
      <c r="D48" s="16" t="inlineStr">
        <is>
          <t>Verificación teqp contra el motor real</t>
        </is>
      </c>
    </row>
    <row r="49">
      <c r="A49" s="18" t="inlineStr">
        <is>
          <t>5.1-1 Condiciones qué quedó fij</t>
        </is>
      </c>
      <c r="B49" s="16" t="inlineStr">
        <is>
          <t>5.1</t>
        </is>
      </c>
      <c r="C49" s="16" t="inlineStr">
        <is>
          <t>5.1a, 5.1b, 5.1c, 5.1d, 5.1e</t>
        </is>
      </c>
      <c r="D49" s="16" t="inlineStr">
        <is>
          <t>Condiciones: qué quedó fijo y qué se barrió</t>
        </is>
      </c>
    </row>
    <row r="50">
      <c r="A50" s="18" t="inlineStr">
        <is>
          <t>5.1-2 Corridas por parte y por</t>
        </is>
      </c>
      <c r="B50" s="16" t="inlineStr">
        <is>
          <t>5.1</t>
        </is>
      </c>
      <c r="C50" s="16" t="inlineStr">
        <is>
          <t>5.1a, 5.1b, 5.1c, 5.1d, 5.1e</t>
        </is>
      </c>
      <c r="D50" s="16" t="inlineStr">
        <is>
          <t>Corridas por parte y por clase</t>
        </is>
      </c>
    </row>
    <row r="51">
      <c r="A51" s="18" t="inlineStr">
        <is>
          <t>5.1-3 Óptimos de η por arranque</t>
        </is>
      </c>
      <c r="B51" s="16" t="inlineStr">
        <is>
          <t>5.1</t>
        </is>
      </c>
      <c r="C51" s="16" t="inlineStr">
        <is>
          <t>5.1a, 5.1b, 5.1c, 5.1d, 5.1e</t>
        </is>
      </c>
      <c r="D51" s="16" t="inlineStr">
        <is>
          <t>Óptimos de η por arranque</t>
        </is>
      </c>
    </row>
    <row r="52">
      <c r="A52" s="18" t="inlineStr">
        <is>
          <t>6.1-1 Condiciones qué quedó fij</t>
        </is>
      </c>
      <c r="B52" s="16" t="inlineStr">
        <is>
          <t>6.1</t>
        </is>
      </c>
      <c r="C52" s="16" t="inlineStr">
        <is>
          <t>6.1a, 6.1b, 6.1c</t>
        </is>
      </c>
      <c r="D52" s="16" t="inlineStr">
        <is>
          <t>Condiciones: qué quedó fijo y qué se barrió</t>
        </is>
      </c>
    </row>
    <row r="53">
      <c r="A53" s="18" t="inlineStr">
        <is>
          <t>6.1-2 Corridas por parte y por</t>
        </is>
      </c>
      <c r="B53" s="16" t="inlineStr">
        <is>
          <t>6.1</t>
        </is>
      </c>
      <c r="C53" s="16" t="inlineStr">
        <is>
          <t>6.1a, 6.1b, 6.1c</t>
        </is>
      </c>
      <c r="D53" s="16" t="inlineStr">
        <is>
          <t>Corridas por parte y por clase</t>
        </is>
      </c>
    </row>
    <row r="54">
      <c r="A54" s="18" t="inlineStr">
        <is>
          <t>6.1-3 Paridad teqp contra el mo</t>
        </is>
      </c>
      <c r="B54" s="16" t="inlineStr">
        <is>
          <t>6.1</t>
        </is>
      </c>
      <c r="C54" s="16" t="inlineStr">
        <is>
          <t>6.1a</t>
        </is>
      </c>
      <c r="D54" s="16" t="inlineStr">
        <is>
          <t>Paridad teqp contra el motor real</t>
        </is>
      </c>
    </row>
    <row r="55">
      <c r="A55" s="18" t="inlineStr">
        <is>
          <t>6.1-4 Costo del subenfriamiento</t>
        </is>
      </c>
      <c r="B55" s="16" t="inlineStr">
        <is>
          <t>6.1</t>
        </is>
      </c>
      <c r="C55" s="16" t="inlineStr">
        <is>
          <t>6.1c</t>
        </is>
      </c>
      <c r="D55" s="16" t="inlineStr">
        <is>
          <t>Costo del subenfriamiento</t>
        </is>
      </c>
    </row>
    <row r="56">
      <c r="A56" s="18" t="inlineStr">
        <is>
          <t>6.2-1 Condiciones qué quedó fij</t>
        </is>
      </c>
      <c r="B56" s="16" t="inlineStr">
        <is>
          <t>6.2</t>
        </is>
      </c>
      <c r="C56" s="16" t="inlineStr">
        <is>
          <t>6.2a, 6.2b, 6.2c, 6.2d</t>
        </is>
      </c>
      <c r="D56" s="16" t="inlineStr">
        <is>
          <t>Condiciones: qué quedó fijo y qué se barrió</t>
        </is>
      </c>
    </row>
    <row r="57">
      <c r="A57" s="18" t="inlineStr">
        <is>
          <t>6.2-2 Corridas por parte y por</t>
        </is>
      </c>
      <c r="B57" s="16" t="inlineStr">
        <is>
          <t>6.2</t>
        </is>
      </c>
      <c r="C57" s="16" t="inlineStr">
        <is>
          <t>6.2a, 6.2b, 6.2c, 6.2d</t>
        </is>
      </c>
      <c r="D57" s="16" t="inlineStr">
        <is>
          <t>Corridas por parte y por clase</t>
        </is>
      </c>
    </row>
    <row r="58">
      <c r="A58" s="18" t="inlineStr">
        <is>
          <t>6.2-3 Catálogo Húsavík (reprodu</t>
        </is>
      </c>
      <c r="B58" s="16" t="inlineStr">
        <is>
          <t>6.2</t>
        </is>
      </c>
      <c r="C58" s="16" t="inlineStr">
        <is>
          <t>6.2a</t>
        </is>
      </c>
      <c r="D58" s="16" t="inlineStr">
        <is>
          <t>Catálogo Húsavík (reproducción de la Fase 3)</t>
        </is>
      </c>
    </row>
    <row r="59">
      <c r="A59" s="18" t="inlineStr">
        <is>
          <t>6.2-4 Rangos KALINA por variabl</t>
        </is>
      </c>
      <c r="B59" s="16" t="inlineStr">
        <is>
          <t>6.2</t>
        </is>
      </c>
      <c r="C59" s="16" t="inlineStr">
        <is>
          <t>6.2b</t>
        </is>
      </c>
      <c r="D59" s="16" t="inlineStr">
        <is>
          <t>Rangos KALINA por variable (Húsavík OFAT)</t>
        </is>
      </c>
    </row>
    <row r="60">
      <c r="A60" s="18" t="inlineStr">
        <is>
          <t>6.2-5 Frontera KALINA al variar</t>
        </is>
      </c>
      <c r="B60" s="16" t="inlineStr">
        <is>
          <t>6.2</t>
        </is>
      </c>
      <c r="C60" s="16" t="inlineStr">
        <is>
          <t>6.2c</t>
        </is>
      </c>
      <c r="D60" s="16" t="inlineStr">
        <is>
          <t>Frontera KALINA al variar x_b (Húsavík, x_b bajo)</t>
        </is>
      </c>
    </row>
    <row r="61">
      <c r="A61" s="18" t="inlineStr">
        <is>
          <t>S Gráficos</t>
        </is>
      </c>
      <c r="B61" s="16" t="inlineStr">
        <is>
          <t>síntesis</t>
        </is>
      </c>
      <c r="C61" s="16" t="inlineStr">
        <is>
          <t>—</t>
        </is>
      </c>
      <c r="D61" s="16" t="inlineStr">
        <is>
          <t>gráficos nativos de Excel de cada figura</t>
        </is>
      </c>
    </row>
    <row r="62">
      <c r="A62" s="18" t="inlineStr">
        <is>
          <t>S Datos de gráficos</t>
        </is>
      </c>
      <c r="B62" s="16" t="inlineStr">
        <is>
          <t>síntesis</t>
        </is>
      </c>
      <c r="C62" s="16" t="inlineStr">
        <is>
          <t>—</t>
        </is>
      </c>
      <c r="D62" s="16" t="inlineStr">
        <is>
          <t>números de cada gráfico (los que dibuja Excel)</t>
        </is>
      </c>
    </row>
    <row r="63">
      <c r="A63" s="18" t="inlineStr">
        <is>
          <t>2 Gráficos</t>
        </is>
      </c>
      <c r="B63" s="16" t="inlineStr">
        <is>
          <t>2.1–2.4</t>
        </is>
      </c>
      <c r="C63" s="16" t="inlineStr">
        <is>
          <t>—</t>
        </is>
      </c>
      <c r="D63" s="16" t="inlineStr">
        <is>
          <t>gráficos nativos de Excel de cada figura</t>
        </is>
      </c>
    </row>
    <row r="64">
      <c r="A64" s="18" t="inlineStr">
        <is>
          <t>2 Datos de gráficos</t>
        </is>
      </c>
      <c r="B64" s="16" t="inlineStr">
        <is>
          <t>2.1–2.4</t>
        </is>
      </c>
      <c r="C64" s="16" t="inlineStr">
        <is>
          <t>—</t>
        </is>
      </c>
      <c r="D64" s="16" t="inlineStr">
        <is>
          <t>números de cada gráfico (los que dibuja Excel)</t>
        </is>
      </c>
    </row>
    <row r="65">
      <c r="A65" s="18" t="inlineStr">
        <is>
          <t>3 Gráficos</t>
        </is>
      </c>
      <c r="B65" s="16" t="inlineStr">
        <is>
          <t>3.1–3.3</t>
        </is>
      </c>
      <c r="C65" s="16" t="inlineStr">
        <is>
          <t>—</t>
        </is>
      </c>
      <c r="D65" s="16" t="inlineStr">
        <is>
          <t>gráficos nativos de Excel de cada figura</t>
        </is>
      </c>
    </row>
    <row r="66">
      <c r="A66" s="18" t="inlineStr">
        <is>
          <t>3 Datos de gráficos</t>
        </is>
      </c>
      <c r="B66" s="16" t="inlineStr">
        <is>
          <t>3.1–3.3</t>
        </is>
      </c>
      <c r="C66" s="16" t="inlineStr">
        <is>
          <t>—</t>
        </is>
      </c>
      <c r="D66" s="16" t="inlineStr">
        <is>
          <t>números de cada gráfico (los que dibuja Excel)</t>
        </is>
      </c>
    </row>
    <row r="67">
      <c r="A67" s="18" t="inlineStr">
        <is>
          <t>4 Gráficos</t>
        </is>
      </c>
      <c r="B67" s="16" t="inlineStr">
        <is>
          <t>4.1–4.3</t>
        </is>
      </c>
      <c r="C67" s="16" t="inlineStr">
        <is>
          <t>—</t>
        </is>
      </c>
      <c r="D67" s="16" t="inlineStr">
        <is>
          <t>gráficos nativos de Excel de cada figura</t>
        </is>
      </c>
    </row>
    <row r="68">
      <c r="A68" s="18" t="inlineStr">
        <is>
          <t>4 Datos de gráficos</t>
        </is>
      </c>
      <c r="B68" s="16" t="inlineStr">
        <is>
          <t>4.1–4.3</t>
        </is>
      </c>
      <c r="C68" s="16" t="inlineStr">
        <is>
          <t>—</t>
        </is>
      </c>
      <c r="D68" s="16" t="inlineStr">
        <is>
          <t>números de cada gráfico (los que dibuja Excel)</t>
        </is>
      </c>
    </row>
    <row r="69">
      <c r="A69" s="18" t="inlineStr">
        <is>
          <t>5 Gráficos</t>
        </is>
      </c>
      <c r="B69" s="16" t="inlineStr">
        <is>
          <t>5.1</t>
        </is>
      </c>
      <c r="C69" s="16" t="inlineStr">
        <is>
          <t>—</t>
        </is>
      </c>
      <c r="D69" s="16" t="inlineStr">
        <is>
          <t>gráficos nativos de Excel de cada figura</t>
        </is>
      </c>
    </row>
    <row r="70">
      <c r="A70" s="18" t="inlineStr">
        <is>
          <t>5 Datos de gráficos</t>
        </is>
      </c>
      <c r="B70" s="16" t="inlineStr">
        <is>
          <t>5.1</t>
        </is>
      </c>
      <c r="C70" s="16" t="inlineStr">
        <is>
          <t>—</t>
        </is>
      </c>
      <c r="D70" s="16" t="inlineStr">
        <is>
          <t>números de cada gráfico (los que dibuja Excel)</t>
        </is>
      </c>
    </row>
    <row r="71">
      <c r="A71" s="18" t="inlineStr">
        <is>
          <t>6 Gráficos</t>
        </is>
      </c>
      <c r="B71" s="16" t="inlineStr">
        <is>
          <t>6.1–6.2</t>
        </is>
      </c>
      <c r="C71" s="16" t="inlineStr">
        <is>
          <t>—</t>
        </is>
      </c>
      <c r="D71" s="16" t="inlineStr">
        <is>
          <t>gráficos nativos de Excel de cada figura</t>
        </is>
      </c>
    </row>
    <row r="72">
      <c r="A72" s="18" t="inlineStr">
        <is>
          <t>6 Datos de gráficos</t>
        </is>
      </c>
      <c r="B72" s="16" t="inlineStr">
        <is>
          <t>6.1–6.2</t>
        </is>
      </c>
      <c r="C72" s="16" t="inlineStr">
        <is>
          <t>—</t>
        </is>
      </c>
      <c r="D72" s="16" t="inlineStr">
        <is>
          <t>números de cada gráfico (los que dibuja Excel)</t>
        </is>
      </c>
    </row>
    <row r="73">
      <c r="A73" s="18" t="inlineStr">
        <is>
          <t>1.1-R Resultados por barrido</t>
        </is>
      </c>
      <c r="B73" s="16" t="inlineStr">
        <is>
          <t>1.1</t>
        </is>
      </c>
      <c r="C73" s="16" t="inlineStr">
        <is>
          <t>1.1a, 1.1b, 1.1c, 1.1d</t>
        </is>
      </c>
      <c r="D73" s="16" t="inlineStr">
        <is>
          <t>tabla de cada barrido: valor de la variable y resultado de cada punto</t>
        </is>
      </c>
    </row>
    <row r="74">
      <c r="A74" s="18" t="inlineStr">
        <is>
          <t>2.1-R Resultados por barrido</t>
        </is>
      </c>
      <c r="B74" s="16" t="inlineStr">
        <is>
          <t>2.1</t>
        </is>
      </c>
      <c r="C74" s="16" t="inlineStr">
        <is>
          <t>2.1</t>
        </is>
      </c>
      <c r="D74" s="16" t="inlineStr">
        <is>
          <t>tabla de cada barrido: valor de la variable y resultado de cada punto</t>
        </is>
      </c>
    </row>
    <row r="75">
      <c r="A75" s="18" t="inlineStr">
        <is>
          <t>2.2-R Resultados por barrido</t>
        </is>
      </c>
      <c r="B75" s="16" t="inlineStr">
        <is>
          <t>2.2</t>
        </is>
      </c>
      <c r="C75" s="16" t="inlineStr">
        <is>
          <t>2.2a, 2.2b</t>
        </is>
      </c>
      <c r="D75" s="16" t="inlineStr">
        <is>
          <t>tabla de cada barrido: valor de la variable y resultado de cada punto</t>
        </is>
      </c>
    </row>
    <row r="76">
      <c r="A76" s="18" t="inlineStr">
        <is>
          <t>2.3-R Resultados por barrido</t>
        </is>
      </c>
      <c r="B76" s="16" t="inlineStr">
        <is>
          <t>2.3</t>
        </is>
      </c>
      <c r="C76" s="16" t="inlineStr">
        <is>
          <t>2.3a, 2.3b, 2.3c, 2.3d</t>
        </is>
      </c>
      <c r="D76" s="16" t="inlineStr">
        <is>
          <t>tabla de cada barrido: valor de la variable y resultado de cada punto</t>
        </is>
      </c>
    </row>
    <row r="77">
      <c r="A77" s="18" t="inlineStr">
        <is>
          <t>2.4-R Resultados por barrido</t>
        </is>
      </c>
      <c r="B77" s="16" t="inlineStr">
        <is>
          <t>2.4</t>
        </is>
      </c>
      <c r="C77" s="16" t="inlineStr">
        <is>
          <t>2.4a, 2.4b, 2.4c, 2.4d</t>
        </is>
      </c>
      <c r="D77" s="16" t="inlineStr">
        <is>
          <t>tabla de cada barrido: valor de la variable y resultado de cada punto</t>
        </is>
      </c>
    </row>
    <row r="78">
      <c r="A78" s="18" t="inlineStr">
        <is>
          <t>3.1-R Resultados por barrido</t>
        </is>
      </c>
      <c r="B78" s="16" t="inlineStr">
        <is>
          <t>3.1</t>
        </is>
      </c>
      <c r="C78" s="16" t="inlineStr">
        <is>
          <t>3.1</t>
        </is>
      </c>
      <c r="D78" s="16" t="inlineStr">
        <is>
          <t>tabla de cada barrido: valor de la variable y resultado de cada punto</t>
        </is>
      </c>
    </row>
    <row r="79">
      <c r="A79" s="18" t="inlineStr">
        <is>
          <t>3.2-R Resultados por barrido</t>
        </is>
      </c>
      <c r="B79" s="16" t="inlineStr">
        <is>
          <t>3.2</t>
        </is>
      </c>
      <c r="C79" s="16" t="inlineStr">
        <is>
          <t>3.2</t>
        </is>
      </c>
      <c r="D79" s="16" t="inlineStr">
        <is>
          <t>tabla de cada barrido: valor de la variable y resultado de cada punto</t>
        </is>
      </c>
    </row>
    <row r="80">
      <c r="A80" s="18" t="inlineStr">
        <is>
          <t>3.3-R Resultados por barrido</t>
        </is>
      </c>
      <c r="B80" s="16" t="inlineStr">
        <is>
          <t>3.3</t>
        </is>
      </c>
      <c r="C80" s="16" t="inlineStr">
        <is>
          <t>3.3</t>
        </is>
      </c>
      <c r="D80" s="16" t="inlineStr">
        <is>
          <t>tabla de cada barrido: valor de la variable y resultado de cada punto</t>
        </is>
      </c>
    </row>
    <row r="81">
      <c r="A81" s="18" t="inlineStr">
        <is>
          <t>4.1-R Resultados por barrido</t>
        </is>
      </c>
      <c r="B81" s="16" t="inlineStr">
        <is>
          <t>4.1</t>
        </is>
      </c>
      <c r="C81" s="16" t="inlineStr">
        <is>
          <t>4.1a, 4.1b, 4.1c, 4.1d, 4.1e</t>
        </is>
      </c>
      <c r="D81" s="16" t="inlineStr">
        <is>
          <t>tabla de cada barrido: valor de la variable y resultado de cada punto</t>
        </is>
      </c>
    </row>
    <row r="82">
      <c r="A82" s="18" t="inlineStr">
        <is>
          <t>4.2-R Resultados por barrido</t>
        </is>
      </c>
      <c r="B82" s="16" t="inlineStr">
        <is>
          <t>4.2</t>
        </is>
      </c>
      <c r="C82" s="16" t="inlineStr">
        <is>
          <t>4.2</t>
        </is>
      </c>
      <c r="D82" s="16" t="inlineStr">
        <is>
          <t>tabla de cada barrido: valor de la variable y resultado de cada punto</t>
        </is>
      </c>
    </row>
    <row r="83">
      <c r="A83" s="18" t="inlineStr">
        <is>
          <t>4.3-R Resultados por barrido</t>
        </is>
      </c>
      <c r="B83" s="16" t="inlineStr">
        <is>
          <t>4.3</t>
        </is>
      </c>
      <c r="C83" s="16" t="inlineStr">
        <is>
          <t>4.3 P_alta, 4.3 P_baja, 4.3 T_fuente, 4.3 T_sumidero, 4.3 eficiencias, 4.3 x_b, 4.3 x_b+P_alta, 4.3 x_b+P_alta+P_baja, 4.3 x_b+P_alta+T_fuente, 4.3 x_b+P_alta+T_sumidero, 4.3 x_b+P_alta+eficiencias, 4.3 x_b+P_alta+eficiencias+P_baja, 4.3 x_b+P_alta+eficiencias+T_fuente, 4.3 x_b+P_alta+eficiencias+T_sumidero, 4.3 x_b+P_baja, 4.3 x_b+T_fuente, 4.3 x_b+T_sumidero, 4.3 x_b+eficiencias, 6.1d, 6.2e</t>
        </is>
      </c>
      <c r="D83" s="16" t="inlineStr">
        <is>
          <t>tabla de cada barrido: valor de la variable y resultado de cada punto</t>
        </is>
      </c>
    </row>
    <row r="84">
      <c r="A84" s="18" t="inlineStr">
        <is>
          <t>5.1-R Resultados por barrido</t>
        </is>
      </c>
      <c r="B84" s="16" t="inlineStr">
        <is>
          <t>5.1</t>
        </is>
      </c>
      <c r="C84" s="16" t="inlineStr">
        <is>
          <t>5.1a, 5.1b, 5.1c, 5.1d, 5.1e</t>
        </is>
      </c>
      <c r="D84" s="16" t="inlineStr">
        <is>
          <t>tabla de cada barrido: valor de la variable y resultado de cada punto</t>
        </is>
      </c>
    </row>
    <row r="85">
      <c r="A85" s="18" t="inlineStr">
        <is>
          <t>6.1-R Resultados por barrido</t>
        </is>
      </c>
      <c r="B85" s="16" t="inlineStr">
        <is>
          <t>6.1</t>
        </is>
      </c>
      <c r="C85" s="16" t="inlineStr">
        <is>
          <t>6.1a, 6.1b, 6.1c</t>
        </is>
      </c>
      <c r="D85" s="16" t="inlineStr">
        <is>
          <t>tabla de cada barrido: valor de la variable y resultado de cada punto</t>
        </is>
      </c>
    </row>
    <row r="86">
      <c r="A86" s="18" t="inlineStr">
        <is>
          <t>6.2-R Resultados por barrido</t>
        </is>
      </c>
      <c r="B86" s="16" t="inlineStr">
        <is>
          <t>6.2</t>
        </is>
      </c>
      <c r="C86" s="16" t="inlineStr">
        <is>
          <t>6.2a, 6.2b, 6.2c, 6.2d</t>
        </is>
      </c>
      <c r="D86" s="16" t="inlineStr">
        <is>
          <t>tabla de cada barrido: valor de la variable y resultado de cada punto</t>
        </is>
      </c>
    </row>
    <row r="87">
      <c r="A87" s="18" t="inlineStr">
        <is>
          <t>A.1 Anexo fuera de rango</t>
        </is>
      </c>
      <c r="B87" s="16" t="inlineStr">
        <is>
          <t>A.1</t>
        </is>
      </c>
      <c r="C87" s="16" t="inlineStr">
        <is>
          <t>—</t>
        </is>
      </c>
      <c r="D87" s="16" t="inlineStr">
        <is>
          <t>Curiosidad: equipos fuera del rango realista</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2" customWidth="1" min="1" max="1"/>
    <col width="10" customWidth="1" min="2" max="2"/>
    <col width="25" customWidth="1" min="3" max="3"/>
    <col width="16" customWidth="1" min="4" max="4"/>
  </cols>
  <sheetData>
    <row r="1">
      <c r="A1" s="8" t="inlineStr">
        <is>
          <t>Dato</t>
        </is>
      </c>
      <c r="B1" s="8" t="inlineStr">
        <is>
          <t>Unidad</t>
        </is>
      </c>
      <c r="C1" s="8" t="inlineStr">
        <is>
          <t>Punto del profesor (PP)</t>
        </is>
      </c>
      <c r="D1" s="8" t="inlineStr">
        <is>
          <t>Punto ancla A*</t>
        </is>
      </c>
    </row>
    <row r="2">
      <c r="A2" s="16" t="inlineStr">
        <is>
          <t>P_alta</t>
        </is>
      </c>
      <c r="B2" s="16" t="inlineStr">
        <is>
          <t>kPa</t>
        </is>
      </c>
      <c r="C2" s="16" t="n">
        <v>3000</v>
      </c>
      <c r="D2" s="16" t="n">
        <v>3000</v>
      </c>
    </row>
    <row r="3">
      <c r="A3" s="16" t="inlineStr">
        <is>
          <t>P_baja</t>
        </is>
      </c>
      <c r="B3" s="16" t="inlineStr">
        <is>
          <t>kPa</t>
        </is>
      </c>
      <c r="C3" s="16" t="n">
        <v>400</v>
      </c>
      <c r="D3" s="16" t="n">
        <v>563.64</v>
      </c>
    </row>
    <row r="4">
      <c r="A4" s="16" t="inlineStr">
        <is>
          <t>x_b</t>
        </is>
      </c>
      <c r="B4" s="16" t="inlineStr">
        <is>
          <t>–</t>
        </is>
      </c>
      <c r="C4" s="16" t="n">
        <v>0.5</v>
      </c>
      <c r="D4" s="16" t="n">
        <v>0.5</v>
      </c>
    </row>
    <row r="5">
      <c r="A5" s="16" t="inlineStr">
        <is>
          <t>T_fuente</t>
        </is>
      </c>
      <c r="B5" s="16" t="inlineStr">
        <is>
          <t>K</t>
        </is>
      </c>
      <c r="C5" s="16" t="n">
        <v>623.15</v>
      </c>
      <c r="D5" s="16" t="n">
        <v>403</v>
      </c>
    </row>
    <row r="6">
      <c r="A6" s="16" t="inlineStr">
        <is>
          <t>T_sumidero</t>
        </is>
      </c>
      <c r="B6" s="16" t="inlineStr">
        <is>
          <t>K</t>
        </is>
      </c>
      <c r="C6" s="16" t="n">
        <v>300.032917</v>
      </c>
      <c r="D6" s="16" t="n">
        <v>300.032917</v>
      </c>
    </row>
    <row r="7">
      <c r="A7" s="16" t="inlineStr">
        <is>
          <t>η_t</t>
        </is>
      </c>
      <c r="B7" s="16" t="inlineStr">
        <is>
          <t>–</t>
        </is>
      </c>
      <c r="C7" s="16" t="n">
        <v>0.85</v>
      </c>
      <c r="D7" s="16" t="n">
        <v>0.85</v>
      </c>
    </row>
    <row r="8">
      <c r="A8" s="16" t="inlineStr">
        <is>
          <t>η_p</t>
        </is>
      </c>
      <c r="B8" s="16" t="inlineStr">
        <is>
          <t>–</t>
        </is>
      </c>
      <c r="C8" s="16" t="n">
        <v>0.75</v>
      </c>
      <c r="D8" s="16" t="n">
        <v>0.75</v>
      </c>
    </row>
    <row r="9">
      <c r="A9" s="16" t="inlineStr">
        <is>
          <t>ε_HRVG</t>
        </is>
      </c>
      <c r="B9" s="16" t="inlineStr">
        <is>
          <t>–</t>
        </is>
      </c>
      <c r="C9" s="16" t="n">
        <v>0.85</v>
      </c>
      <c r="D9" s="16" t="n">
        <v>0.85</v>
      </c>
    </row>
    <row r="10">
      <c r="A10" s="16" t="inlineStr">
        <is>
          <t>ε_reg</t>
        </is>
      </c>
      <c r="B10" s="16" t="inlineStr">
        <is>
          <t>–</t>
        </is>
      </c>
      <c r="C10" s="16" t="n">
        <v>0.75</v>
      </c>
      <c r="D10" s="16" t="n">
        <v>0.75</v>
      </c>
    </row>
    <row r="11">
      <c r="A11" s="16" t="inlineStr">
        <is>
          <t>ε_cond</t>
        </is>
      </c>
      <c r="B11" s="16" t="inlineStr">
        <is>
          <t>–</t>
        </is>
      </c>
      <c r="C11" s="16" t="n">
        <v>0.8</v>
      </c>
      <c r="D11" s="16" t="n">
        <v>0.8</v>
      </c>
    </row>
    <row r="12">
      <c r="A12" s="16" t="inlineStr">
        <is>
          <t>m_b</t>
        </is>
      </c>
      <c r="B12" s="16" t="inlineStr">
        <is>
          <t>kg/s</t>
        </is>
      </c>
      <c r="C12" s="16" t="n">
        <v>1</v>
      </c>
      <c r="D12" s="16" t="n">
        <v>1</v>
      </c>
    </row>
    <row r="14">
      <c r="A14" t="inlineStr">
        <is>
          <t>A* = PP con solo dos cambios (T_fuente y P_baja). Es KALINA, η = 8.48 %. PP no converge (M1).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10" customWidth="1" min="1" max="1"/>
    <col width="41" customWidth="1" min="2" max="2"/>
    <col width="10" customWidth="1" min="3" max="3"/>
    <col width="38" customWidth="1" min="4" max="4"/>
    <col width="18" customWidth="1" min="5" max="5"/>
    <col width="32" customWidth="1" min="6" max="6"/>
    <col width="10" customWidth="1" min="7" max="7"/>
    <col width="10" customWidth="1" min="8" max="8"/>
    <col width="10" customWidth="1" min="9" max="9"/>
    <col width="19" customWidth="1" min="10" max="10"/>
    <col width="20" customWidth="1" min="11" max="11"/>
    <col width="26" customWidth="1" min="12" max="12"/>
  </cols>
  <sheetData>
    <row r="1">
      <c r="A1" s="19" t="inlineStr">
        <is>
          <t>Tabla S-1 · Resumen por estudio</t>
        </is>
      </c>
    </row>
    <row r="2">
      <c r="A2" s="20" t="inlineStr">
        <is>
          <t>Síntesis de toda la campaña: cada fila es un estudio o una parte con sus propios datos fijos.</t>
        </is>
      </c>
    </row>
    <row r="3">
      <c r="A3" s="20" t="inlineStr"/>
    </row>
    <row r="4">
      <c r="A4" s="21" t="inlineStr">
        <is>
          <t>Síntesis: cada fila es un estudio o una parte con sus propios datos fijos.</t>
        </is>
      </c>
    </row>
    <row r="5">
      <c r="A5" s="20" t="inlineStr">
        <is>
          <t>Fuente: todos_los_puntos.csv</t>
        </is>
      </c>
    </row>
    <row r="7">
      <c r="A7" s="22" t="inlineStr">
        <is>
          <t>Estudio</t>
        </is>
      </c>
      <c r="B7" s="22" t="inlineStr">
        <is>
          <t>Nombre</t>
        </is>
      </c>
      <c r="C7" s="22" t="inlineStr">
        <is>
          <t>Familia</t>
        </is>
      </c>
      <c r="D7" s="22" t="inlineStr">
        <is>
          <t>Partes</t>
        </is>
      </c>
      <c r="E7" s="22" t="inlineStr">
        <is>
          <t>Punto base</t>
        </is>
      </c>
      <c r="F7" s="22" t="inlineStr">
        <is>
          <t>Diseño</t>
        </is>
      </c>
      <c r="G7" s="22" t="inlineStr">
        <is>
          <t>Corridas</t>
        </is>
      </c>
      <c r="H7" s="22" t="inlineStr">
        <is>
          <t>Genuinas</t>
        </is>
      </c>
      <c r="I7" s="22" t="inlineStr">
        <is>
          <t>KALINA</t>
        </is>
      </c>
      <c r="J7" s="22" t="inlineStr">
        <is>
          <t>KALINA confiables</t>
        </is>
      </c>
      <c r="K7" s="22" t="inlineStr">
        <is>
          <t>Falsos convergidos</t>
        </is>
      </c>
      <c r="L7" s="22" t="inlineStr">
        <is>
          <t>Criterio que más bloquea</t>
        </is>
      </c>
    </row>
    <row r="8">
      <c r="A8" s="16" t="n">
        <v>1.1</v>
      </c>
      <c r="B8" s="16" t="inlineStr">
        <is>
          <t>Repetir el caso del profesor</t>
        </is>
      </c>
      <c r="C8" s="16" t="inlineStr">
        <is>
          <t>R</t>
        </is>
      </c>
      <c r="D8" s="16" t="inlineStr">
        <is>
          <t>1.1a, 1.1b, 1.1c, 1.1d</t>
        </is>
      </c>
      <c r="E8" s="16" t="inlineStr">
        <is>
          <t>PP</t>
        </is>
      </c>
      <c r="F8" s="16" t="inlineStr">
        <is>
          <t>una variable a la vez sobre PP</t>
        </is>
      </c>
      <c r="G8" s="16" t="n">
        <v>42</v>
      </c>
      <c r="H8" s="16" t="n">
        <v>0</v>
      </c>
      <c r="I8" s="16" t="n">
        <v>0</v>
      </c>
      <c r="J8" s="16" t="n">
        <v>0</v>
      </c>
      <c r="K8" s="16" t="n">
        <v>0</v>
      </c>
      <c r="L8" s="16" t="inlineStr">
        <is>
          <t>—</t>
        </is>
      </c>
    </row>
    <row r="9">
      <c r="A9" s="16" t="n">
        <v>2.1</v>
      </c>
      <c r="B9" s="16" t="inlineStr">
        <is>
          <t>Un solo cambio</t>
        </is>
      </c>
      <c r="C9" s="16" t="inlineStr">
        <is>
          <t>F</t>
        </is>
      </c>
      <c r="D9" s="16" t="inlineStr">
        <is>
          <t>2.1</t>
        </is>
      </c>
      <c r="E9" s="16" t="inlineStr">
        <is>
          <t>PP</t>
        </is>
      </c>
      <c r="F9" s="16" t="inlineStr">
        <is>
          <t>malla 10 + bisección</t>
        </is>
      </c>
      <c r="G9" s="16" t="n">
        <v>132</v>
      </c>
      <c r="H9" s="16" t="n">
        <v>15</v>
      </c>
      <c r="I9" s="16" t="n">
        <v>0</v>
      </c>
      <c r="J9" s="16" t="n">
        <v>0</v>
      </c>
      <c r="K9" s="16" t="n">
        <v>21</v>
      </c>
      <c r="L9" s="16" t="inlineStr">
        <is>
          <t>O2 (15 de 15)</t>
        </is>
      </c>
    </row>
    <row r="10">
      <c r="A10" s="16" t="n">
        <v>2.2</v>
      </c>
      <c r="B10" s="16" t="inlineStr">
        <is>
          <t>Dos cambios</t>
        </is>
      </c>
      <c r="C10" s="16" t="inlineStr">
        <is>
          <t>F</t>
        </is>
      </c>
      <c r="D10" s="16" t="inlineStr">
        <is>
          <t>2.2a, 2.2b</t>
        </is>
      </c>
      <c r="E10" s="16" t="inlineStr">
        <is>
          <t>PP</t>
        </is>
      </c>
      <c r="F10" s="16" t="inlineStr">
        <is>
          <t>malla 2D + bisección</t>
        </is>
      </c>
      <c r="G10" s="16" t="n">
        <v>180</v>
      </c>
      <c r="H10" s="16" t="n">
        <v>165</v>
      </c>
      <c r="I10" s="16" t="n">
        <v>59</v>
      </c>
      <c r="J10" s="16" t="n">
        <v>48</v>
      </c>
      <c r="K10" s="16" t="n">
        <v>12</v>
      </c>
      <c r="L10" s="16" t="inlineStr">
        <is>
          <t>O2 (106 de 106)</t>
        </is>
      </c>
    </row>
    <row r="11">
      <c r="A11" s="16" t="n">
        <v>2.3</v>
      </c>
      <c r="B11" s="16" t="inlineStr">
        <is>
          <t>Dos cambios con η y ε en 0.40–0.95</t>
        </is>
      </c>
      <c r="C11" s="16" t="inlineStr">
        <is>
          <t>F</t>
        </is>
      </c>
      <c r="D11" s="16" t="inlineStr">
        <is>
          <t>2.3a, 2.3b, 2.3c, 2.3d</t>
        </is>
      </c>
      <c r="E11" s="16" t="inlineStr">
        <is>
          <t>PP</t>
        </is>
      </c>
      <c r="F11" s="16" t="inlineStr">
        <is>
          <t>mallas + bisección</t>
        </is>
      </c>
      <c r="G11" s="16" t="n">
        <v>225</v>
      </c>
      <c r="H11" s="16" t="n">
        <v>154</v>
      </c>
      <c r="I11" s="16" t="n">
        <v>20</v>
      </c>
      <c r="J11" s="16" t="n">
        <v>1</v>
      </c>
      <c r="K11" s="16" t="n">
        <v>4</v>
      </c>
      <c r="L11" s="16" t="inlineStr">
        <is>
          <t>O2 (134 de 134)</t>
        </is>
      </c>
    </row>
    <row r="12">
      <c r="A12" s="16" t="n">
        <v>2.4</v>
      </c>
      <c r="B12" s="16" t="inlineStr">
        <is>
          <t>Sumidero más frío</t>
        </is>
      </c>
      <c r="C12" s="16" t="inlineStr">
        <is>
          <t>F</t>
        </is>
      </c>
      <c r="D12" s="16" t="inlineStr">
        <is>
          <t>2.4a, 2.4b, 2.4c, 2.4d</t>
        </is>
      </c>
      <c r="E12" s="16" t="inlineStr">
        <is>
          <t>4 bases</t>
        </is>
      </c>
      <c r="F12" s="16" t="inlineStr">
        <is>
          <t>malla 2D + bisección</t>
        </is>
      </c>
      <c r="G12" s="16" t="n">
        <v>320</v>
      </c>
      <c r="H12" s="16" t="n">
        <v>269</v>
      </c>
      <c r="I12" s="16" t="n">
        <v>153</v>
      </c>
      <c r="J12" s="16" t="n">
        <v>119</v>
      </c>
      <c r="K12" s="16" t="n">
        <v>0</v>
      </c>
      <c r="L12" s="16" t="inlineStr">
        <is>
          <t>O2 (116 de 116)</t>
        </is>
      </c>
    </row>
    <row r="13">
      <c r="A13" s="16" t="n">
        <v>3.1</v>
      </c>
      <c r="B13" s="16" t="inlineStr">
        <is>
          <t>Sensibilidad local alrededor de A*</t>
        </is>
      </c>
      <c r="C13" s="16" t="inlineStr">
        <is>
          <t>L</t>
        </is>
      </c>
      <c r="D13" s="16" t="inlineStr">
        <is>
          <t>3.1</t>
        </is>
      </c>
      <c r="E13" s="16" t="inlineStr">
        <is>
          <t>A*</t>
        </is>
      </c>
      <c r="F13" s="16" t="inlineStr">
        <is>
          <t>OAT 15 + A* ± 1 %</t>
        </is>
      </c>
      <c r="G13" s="16" t="n">
        <v>171</v>
      </c>
      <c r="H13" s="16" t="n">
        <v>148</v>
      </c>
      <c r="I13" s="16" t="n">
        <v>86</v>
      </c>
      <c r="J13" s="16" t="n">
        <v>86</v>
      </c>
      <c r="K13" s="16" t="n">
        <v>6</v>
      </c>
      <c r="L13" s="16" t="inlineStr">
        <is>
          <t>O2 (61 de 62)</t>
        </is>
      </c>
    </row>
    <row r="14">
      <c r="A14" s="16" t="n">
        <v>3.2</v>
      </c>
      <c r="B14" s="16" t="inlineStr">
        <is>
          <t>Sensibilidad global (500 puntos)</t>
        </is>
      </c>
      <c r="C14" s="16" t="inlineStr">
        <is>
          <t>G</t>
        </is>
      </c>
      <c r="D14" s="16" t="inlineStr">
        <is>
          <t>3.2</t>
        </is>
      </c>
      <c r="E14" s="16" t="inlineStr">
        <is>
          <t>caja</t>
        </is>
      </c>
      <c r="F14" s="16" t="inlineStr">
        <is>
          <t>LHS</t>
        </is>
      </c>
      <c r="G14" s="16" t="n">
        <v>500</v>
      </c>
      <c r="H14" s="16" t="n">
        <v>452</v>
      </c>
      <c r="I14" s="16" t="n">
        <v>121</v>
      </c>
      <c r="J14" s="16" t="n">
        <v>83</v>
      </c>
      <c r="K14" s="16" t="n">
        <v>13</v>
      </c>
      <c r="L14" s="16" t="inlineStr">
        <is>
          <t>O2 (324 de 331)</t>
        </is>
      </c>
    </row>
    <row r="15">
      <c r="A15" s="16" t="n">
        <v>3.3</v>
      </c>
      <c r="B15" s="16" t="inlineStr">
        <is>
          <t>P_baja alta (1500–2500 kPa)</t>
        </is>
      </c>
      <c r="C15" s="16" t="inlineStr">
        <is>
          <t>G</t>
        </is>
      </c>
      <c r="D15" s="16" t="inlineStr">
        <is>
          <t>3.3</t>
        </is>
      </c>
      <c r="E15" s="16" t="inlineStr">
        <is>
          <t>caja</t>
        </is>
      </c>
      <c r="F15" s="16" t="inlineStr">
        <is>
          <t>LHS</t>
        </is>
      </c>
      <c r="G15" s="16" t="n">
        <v>150</v>
      </c>
      <c r="H15" s="16" t="n">
        <v>120</v>
      </c>
      <c r="I15" s="16" t="n">
        <v>75</v>
      </c>
      <c r="J15" s="16" t="n">
        <v>45</v>
      </c>
      <c r="K15" s="16" t="n">
        <v>6</v>
      </c>
      <c r="L15" s="16" t="inlineStr">
        <is>
          <t>O2 (44 de 45)</t>
        </is>
      </c>
    </row>
    <row r="16">
      <c r="A16" s="16" t="n">
        <v>4.1</v>
      </c>
      <c r="B16" s="16" t="inlineStr">
        <is>
          <t>Escenarios de conservación</t>
        </is>
      </c>
      <c r="C16" s="16" t="inlineStr">
        <is>
          <t>C</t>
        </is>
      </c>
      <c r="D16" s="16" t="inlineStr">
        <is>
          <t>4.1a, 4.1b, 4.1c, 4.1d, 4.1e</t>
        </is>
      </c>
      <c r="E16" s="16" t="inlineStr">
        <is>
          <t>PP parcial</t>
        </is>
      </c>
      <c r="F16" s="16" t="inlineStr">
        <is>
          <t>LHS por escenario</t>
        </is>
      </c>
      <c r="G16" s="16" t="n">
        <v>600</v>
      </c>
      <c r="H16" s="16" t="n">
        <v>382</v>
      </c>
      <c r="I16" s="16" t="n">
        <v>20</v>
      </c>
      <c r="J16" s="16" t="n">
        <v>2</v>
      </c>
      <c r="K16" s="16" t="n">
        <v>12</v>
      </c>
      <c r="L16" s="16" t="inlineStr">
        <is>
          <t>O2 (362 de 362)</t>
        </is>
      </c>
    </row>
    <row r="17">
      <c r="A17" s="16" t="n">
        <v>4.2</v>
      </c>
      <c r="B17" s="16" t="inlineStr">
        <is>
          <t>Mapa con las presiones del profesor</t>
        </is>
      </c>
      <c r="C17" s="16" t="inlineStr">
        <is>
          <t>C</t>
        </is>
      </c>
      <c r="D17" s="16" t="inlineStr">
        <is>
          <t>4.2</t>
        </is>
      </c>
      <c r="E17" s="16" t="inlineStr">
        <is>
          <t>PP con PA y PB</t>
        </is>
      </c>
      <c r="F17" s="16" t="inlineStr">
        <is>
          <t>malla 11×5×3</t>
        </is>
      </c>
      <c r="G17" s="16" t="n">
        <v>165</v>
      </c>
      <c r="H17" s="16" t="n">
        <v>149</v>
      </c>
      <c r="I17" s="16" t="n">
        <v>104</v>
      </c>
      <c r="J17" s="16" t="n">
        <v>104</v>
      </c>
      <c r="K17" s="16" t="n">
        <v>15</v>
      </c>
      <c r="L17" s="16" t="inlineStr">
        <is>
          <t>O2 (30 de 45)</t>
        </is>
      </c>
    </row>
    <row r="18">
      <c r="A18" s="16" t="n">
        <v>6.1</v>
      </c>
      <c r="B18" s="16" t="inlineStr">
        <is>
          <t>Verificación con el motor de referencia</t>
        </is>
      </c>
      <c r="C18" s="16" t="inlineStr">
        <is>
          <t>V</t>
        </is>
      </c>
      <c r="D18" s="16" t="inlineStr">
        <is>
          <t>6.1a, 6.1b, 6.1c</t>
        </is>
      </c>
      <c r="E18" s="16" t="inlineStr">
        <is>
          <t>puntos clave</t>
        </is>
      </c>
      <c r="F18" s="16" t="inlineStr">
        <is>
          <t>puntos de control</t>
        </is>
      </c>
      <c r="G18" s="16" t="n">
        <v>167</v>
      </c>
      <c r="H18" s="16" t="n">
        <v>151</v>
      </c>
      <c r="I18" s="16" t="n">
        <v>142</v>
      </c>
      <c r="J18" s="16" t="n">
        <v>137</v>
      </c>
      <c r="K18" s="16" t="n">
        <v>0</v>
      </c>
      <c r="L18" s="16" t="inlineStr">
        <is>
          <t>O2 (9 de 9)</t>
        </is>
      </c>
    </row>
    <row r="19">
      <c r="A19" s="16" t="n">
        <v>5.1</v>
      </c>
      <c r="B19" s="16" t="inlineStr">
        <is>
          <t>Búsqueda de la η máxima</t>
        </is>
      </c>
      <c r="C19" s="16" t="inlineStr">
        <is>
          <t>O</t>
        </is>
      </c>
      <c r="D19" s="16" t="inlineStr">
        <is>
          <t>5.1a, 5.1b, 5.1c, 5.1d, 5.1e</t>
        </is>
      </c>
      <c r="E19" s="16" t="inlineStr">
        <is>
          <t>5 arranques</t>
        </is>
      </c>
      <c r="F19" s="16" t="inlineStr">
        <is>
          <t>búsqueda por patrones</t>
        </is>
      </c>
      <c r="G19" s="16" t="n">
        <v>560</v>
      </c>
      <c r="H19" s="16" t="n">
        <v>549</v>
      </c>
      <c r="I19" s="16" t="n">
        <v>419</v>
      </c>
      <c r="J19" s="16" t="n">
        <v>331</v>
      </c>
      <c r="K19" s="16" t="n">
        <v>1</v>
      </c>
      <c r="L19" s="16" t="inlineStr">
        <is>
          <t>O2 (114 de 130)</t>
        </is>
      </c>
    </row>
    <row r="20">
      <c r="A20" s="16" t="n">
        <v>4.3</v>
      </c>
      <c r="B20" s="16" t="inlineStr">
        <is>
          <t>Escalera de conservación</t>
        </is>
      </c>
      <c r="C20" s="16" t="inlineStr">
        <is>
          <t>C</t>
        </is>
      </c>
      <c r="D20" s="16" t="inlineStr">
        <is>
          <t>20 partes (ver tabla de condiciones)</t>
        </is>
      </c>
      <c r="E20" s="16" t="inlineStr">
        <is>
          <t>PP parcial</t>
        </is>
      </c>
      <c r="F20" s="16" t="inlineStr">
        <is>
          <t>selección hacia adelante + LHS</t>
        </is>
      </c>
      <c r="G20" s="16" t="n">
        <v>987</v>
      </c>
      <c r="H20" s="16" t="n">
        <v>806</v>
      </c>
      <c r="I20" s="16" t="n">
        <v>181</v>
      </c>
      <c r="J20" s="16" t="n">
        <v>118</v>
      </c>
      <c r="K20" s="16" t="n">
        <v>29</v>
      </c>
      <c r="L20" s="16" t="inlineStr">
        <is>
          <t>O2 (613 de 625)</t>
        </is>
      </c>
    </row>
    <row r="21">
      <c r="A21" s="16" t="n">
        <v>6.2</v>
      </c>
      <c r="B21" s="16" t="inlineStr">
        <is>
          <t>Planta real de Húsavík</t>
        </is>
      </c>
      <c r="C21" s="16" t="inlineStr">
        <is>
          <t>H</t>
        </is>
      </c>
      <c r="D21" s="16" t="inlineStr">
        <is>
          <t>6.2a, 6.2b, 6.2c, 6.2d</t>
        </is>
      </c>
      <c r="E21" s="16" t="inlineStr">
        <is>
          <t>ancla de Húsavík</t>
        </is>
      </c>
      <c r="F21" s="16" t="inlineStr">
        <is>
          <t>recorrida + OFAT + malla</t>
        </is>
      </c>
      <c r="G21" s="16" t="n">
        <v>382</v>
      </c>
      <c r="H21" s="16" t="n">
        <v>347</v>
      </c>
      <c r="I21" s="16" t="n">
        <v>282</v>
      </c>
      <c r="J21" s="16" t="n">
        <v>268</v>
      </c>
      <c r="K21" s="16" t="n">
        <v>16</v>
      </c>
      <c r="L21" s="16" t="inlineStr">
        <is>
          <t>O2 (65 de 65)</t>
        </is>
      </c>
    </row>
    <row r="23">
      <c r="A23" s="23" t="inlineStr">
        <is>
          <t>Notas: Filtro: todos los puntos (sin el anexo A.1). n = 14 filas en la tabla. † = fuera del rango confiable (IAPWS G4-01); ‡ = falso convergido. Fuente: todos_los_puntos.csv. Familias: R reproducibilidad, F factibilidad, L local, G global, C conservación, O optimización, V verificación, H Húsavík.</t>
        </is>
      </c>
    </row>
    <row r="26">
      <c r="A26" s="24" t="inlineStr">
        <is>
          <t>Figura S-1 · Resultado de cada barrido: puntos por clase</t>
        </is>
      </c>
    </row>
    <row r="49">
      <c r="A49" s="25" t="inlineStr">
        <is>
          <t>Estudios 1.1 a 6.2 (figura de síntesis: una barra por estudio), sin el anexo A.1.</t>
        </is>
      </c>
    </row>
    <row r="50">
      <c r="A50" s="25" t="inlineStr">
        <is>
          <t>Datos fijos: no aplica (figura de síntesis).</t>
        </is>
      </c>
    </row>
    <row r="51">
      <c r="A51" s="25" t="inlineStr">
        <is>
          <t>Filtro: todos los puntos menos los de A.1.</t>
        </is>
      </c>
    </row>
    <row r="52">
      <c r="A52" s="25" t="inlineStr">
        <is>
          <t>n = 4560. Fuente: todos_los_puntos.csv.</t>
        </is>
      </c>
    </row>
  </sheetData>
  <autoFilter ref="A7:L21"/>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48" customWidth="1" min="1" max="1"/>
    <col width="40" customWidth="1" min="2" max="2"/>
    <col width="42" customWidth="1" min="3" max="3"/>
    <col width="31" customWidth="1" min="4" max="4"/>
    <col width="31" customWidth="1" min="5" max="5"/>
    <col width="48" customWidth="1" min="6" max="6"/>
    <col width="31" customWidth="1" min="7" max="7"/>
    <col width="47" customWidth="1" min="8" max="8"/>
    <col width="45" customWidth="1" min="9" max="9"/>
    <col width="48" customWidth="1" min="10" max="10"/>
    <col width="40" customWidth="1" min="11" max="11"/>
    <col width="41" customWidth="1" min="12" max="12"/>
    <col width="42" customWidth="1" min="13" max="13"/>
    <col width="20" customWidth="1" min="14" max="14"/>
  </cols>
  <sheetData>
    <row r="1">
      <c r="A1" s="19" t="inlineStr">
        <is>
          <t>Tabla S-2 · Qué se movió en cada barrido</t>
        </is>
      </c>
    </row>
    <row r="2">
      <c r="A2" s="20" t="inlineStr">
        <is>
          <t>Síntesis de toda la campaña: cada fila es un estudio o una parte con sus propios datos fijos.</t>
        </is>
      </c>
    </row>
    <row r="3">
      <c r="A3" s="20" t="inlineStr"/>
    </row>
    <row r="4">
      <c r="A4" s="21" t="inlineStr">
        <is>
          <t>Síntesis: cada fila es un estudio o una parte con sus propios datos fijos.</t>
        </is>
      </c>
    </row>
    <row r="5">
      <c r="A5" s="20" t="inlineStr">
        <is>
          <t>Fuente: casos_x_variables.csv</t>
        </is>
      </c>
    </row>
    <row r="7">
      <c r="A7" s="22" t="inlineStr">
        <is>
          <t>Parte</t>
        </is>
      </c>
      <c r="B7" s="22" t="inlineStr">
        <is>
          <t>Temperatura de la fuente, T_fuente [K]</t>
        </is>
      </c>
      <c r="C7" s="22" t="inlineStr">
        <is>
          <t>Temperatura del sumidero, T_sumidero [K]</t>
        </is>
      </c>
      <c r="D7" s="22" t="inlineStr">
        <is>
          <t>Presión de alta, P_alta [kPa]</t>
        </is>
      </c>
      <c r="E7" s="22" t="inlineStr">
        <is>
          <t>Presión de baja, P_baja [kPa]</t>
        </is>
      </c>
      <c r="F7" s="22" t="inlineStr">
        <is>
          <t>Fracción de amoníaco de la mezcla base, x_b [–]</t>
        </is>
      </c>
      <c r="G7" s="22" t="inlineStr">
        <is>
          <t>Flujo másico base, m_b [kg/s]</t>
        </is>
      </c>
      <c r="H7" s="22" t="inlineStr">
        <is>
          <t>Eficiencia isentrópica de la turbina, η_t [–]</t>
        </is>
      </c>
      <c r="I7" s="22" t="inlineStr">
        <is>
          <t>Eficiencia isentrópica de la bomba, η_p [–]</t>
        </is>
      </c>
      <c r="J7" s="22" t="inlineStr">
        <is>
          <t>Efectividad del generador de vapor, ε_HRVG [–]</t>
        </is>
      </c>
      <c r="K7" s="22" t="inlineStr">
        <is>
          <t>Efectividad del regenerador, ε_reg [–]</t>
        </is>
      </c>
      <c r="L7" s="22" t="inlineStr">
        <is>
          <t>Efectividad del condensador, ε_cond [–]</t>
        </is>
      </c>
      <c r="M7" s="22" t="inlineStr">
        <is>
          <t>Piso de O2 (T de diseño de la bomba) [K]</t>
        </is>
      </c>
      <c r="N7" s="22" t="inlineStr">
        <is>
          <t>motor</t>
        </is>
      </c>
    </row>
    <row r="8">
      <c r="A8" s="16" t="inlineStr">
        <is>
          <t>1.1b · solo P_alta</t>
        </is>
      </c>
      <c r="B8" s="26" t="inlineStr">
        <is>
          <t>fijo: profesor</t>
        </is>
      </c>
      <c r="C8" s="26" t="inlineStr">
        <is>
          <t>fijo: profesor</t>
        </is>
      </c>
      <c r="D8" s="27" t="inlineStr">
        <is>
          <t>barrido: 2000 – 4000</t>
        </is>
      </c>
      <c r="E8" s="26" t="inlineStr">
        <is>
          <t>fijo: profesor</t>
        </is>
      </c>
      <c r="F8" s="26" t="inlineStr">
        <is>
          <t>fijo: profesor</t>
        </is>
      </c>
      <c r="G8" s="26" t="inlineStr">
        <is>
          <t>fijo: profesor</t>
        </is>
      </c>
      <c r="H8" s="26" t="inlineStr">
        <is>
          <t>fijo: profesor</t>
        </is>
      </c>
      <c r="I8" s="26" t="inlineStr">
        <is>
          <t>fijo: profesor</t>
        </is>
      </c>
      <c r="J8" s="26" t="inlineStr">
        <is>
          <t>fijo: profesor</t>
        </is>
      </c>
      <c r="K8" s="26" t="inlineStr">
        <is>
          <t>fijo: profesor</t>
        </is>
      </c>
      <c r="L8" s="26" t="inlineStr">
        <is>
          <t>fijo: profesor</t>
        </is>
      </c>
      <c r="M8" s="16" t="n"/>
      <c r="N8" s="28" t="inlineStr">
        <is>
          <t>fijo: teqp</t>
        </is>
      </c>
    </row>
    <row r="9">
      <c r="A9" s="16" t="inlineStr">
        <is>
          <t>1.1a · punto del profesor</t>
        </is>
      </c>
      <c r="B9" s="26" t="inlineStr">
        <is>
          <t>fijo: profesor</t>
        </is>
      </c>
      <c r="C9" s="26" t="inlineStr">
        <is>
          <t>fijo: profesor</t>
        </is>
      </c>
      <c r="D9" s="26" t="inlineStr">
        <is>
          <t>fijo: profesor</t>
        </is>
      </c>
      <c r="E9" s="26" t="inlineStr">
        <is>
          <t>fijo: profesor</t>
        </is>
      </c>
      <c r="F9" s="26" t="inlineStr">
        <is>
          <t>fijo: profesor</t>
        </is>
      </c>
      <c r="G9" s="26" t="inlineStr">
        <is>
          <t>fijo: profesor</t>
        </is>
      </c>
      <c r="H9" s="26" t="inlineStr">
        <is>
          <t>fijo: profesor</t>
        </is>
      </c>
      <c r="I9" s="26" t="inlineStr">
        <is>
          <t>fijo: profesor</t>
        </is>
      </c>
      <c r="J9" s="26" t="inlineStr">
        <is>
          <t>fijo: profesor</t>
        </is>
      </c>
      <c r="K9" s="26" t="inlineStr">
        <is>
          <t>fijo: profesor</t>
        </is>
      </c>
      <c r="L9" s="26" t="inlineStr">
        <is>
          <t>fijo: profesor</t>
        </is>
      </c>
      <c r="M9" s="16" t="n"/>
      <c r="N9" s="27" t="inlineStr">
        <is>
          <t>barrido: 2 valores</t>
        </is>
      </c>
    </row>
    <row r="10">
      <c r="A10" s="16" t="inlineStr">
        <is>
          <t>1.1c · solo x_b</t>
        </is>
      </c>
      <c r="B10" s="26" t="inlineStr">
        <is>
          <t>fijo: profesor</t>
        </is>
      </c>
      <c r="C10" s="26" t="inlineStr">
        <is>
          <t>fijo: profesor</t>
        </is>
      </c>
      <c r="D10" s="26" t="inlineStr">
        <is>
          <t>fijo: profesor</t>
        </is>
      </c>
      <c r="E10" s="26" t="inlineStr">
        <is>
          <t>fijo: profesor</t>
        </is>
      </c>
      <c r="F10" s="27" t="inlineStr">
        <is>
          <t>barrido: 0.4 – 0.7</t>
        </is>
      </c>
      <c r="G10" s="26" t="inlineStr">
        <is>
          <t>fijo: profesor</t>
        </is>
      </c>
      <c r="H10" s="26" t="inlineStr">
        <is>
          <t>fijo: profesor</t>
        </is>
      </c>
      <c r="I10" s="26" t="inlineStr">
        <is>
          <t>fijo: profesor</t>
        </is>
      </c>
      <c r="J10" s="26" t="inlineStr">
        <is>
          <t>fijo: profesor</t>
        </is>
      </c>
      <c r="K10" s="26" t="inlineStr">
        <is>
          <t>fijo: profesor</t>
        </is>
      </c>
      <c r="L10" s="26" t="inlineStr">
        <is>
          <t>fijo: profesor</t>
        </is>
      </c>
      <c r="M10" s="16" t="n"/>
      <c r="N10" s="28" t="inlineStr">
        <is>
          <t>fijo: teqp</t>
        </is>
      </c>
    </row>
    <row r="11">
      <c r="A11" s="16" t="inlineStr">
        <is>
          <t>1.1d · temperatura ambiente hora a hora</t>
        </is>
      </c>
      <c r="B11" s="26" t="inlineStr">
        <is>
          <t>fijo: profesor</t>
        </is>
      </c>
      <c r="C11" s="27" t="inlineStr">
        <is>
          <t>barrido: 297.95 – 303.55</t>
        </is>
      </c>
      <c r="D11" s="26" t="inlineStr">
        <is>
          <t>fijo: profesor</t>
        </is>
      </c>
      <c r="E11" s="26" t="inlineStr">
        <is>
          <t>fijo: profesor</t>
        </is>
      </c>
      <c r="F11" s="26" t="inlineStr">
        <is>
          <t>fijo: profesor</t>
        </is>
      </c>
      <c r="G11" s="26" t="inlineStr">
        <is>
          <t>fijo: profesor</t>
        </is>
      </c>
      <c r="H11" s="26" t="inlineStr">
        <is>
          <t>fijo: profesor</t>
        </is>
      </c>
      <c r="I11" s="26" t="inlineStr">
        <is>
          <t>fijo: profesor</t>
        </is>
      </c>
      <c r="J11" s="26" t="inlineStr">
        <is>
          <t>fijo: profesor</t>
        </is>
      </c>
      <c r="K11" s="26" t="inlineStr">
        <is>
          <t>fijo: profesor</t>
        </is>
      </c>
      <c r="L11" s="26" t="inlineStr">
        <is>
          <t>fijo: profesor</t>
        </is>
      </c>
      <c r="M11" s="16" t="n"/>
      <c r="N11" s="28" t="inlineStr">
        <is>
          <t>fijo: teqp</t>
        </is>
      </c>
    </row>
    <row r="12">
      <c r="A12" s="16" t="inlineStr">
        <is>
          <t>2.1</t>
        </is>
      </c>
      <c r="B12" s="27" t="inlineStr">
        <is>
          <t>barrido: 340 – 623.15</t>
        </is>
      </c>
      <c r="C12" s="27" t="inlineStr">
        <is>
          <t>barrido: 283.15 – 303.55</t>
        </is>
      </c>
      <c r="D12" s="27" t="inlineStr">
        <is>
          <t>barrido: 1000 – 10000</t>
        </is>
      </c>
      <c r="E12" s="27" t="inlineStr">
        <is>
          <t>barrido: 150 – 1500</t>
        </is>
      </c>
      <c r="F12" s="27" t="inlineStr">
        <is>
          <t>barrido: 0.3 – 0.9</t>
        </is>
      </c>
      <c r="G12" s="26" t="inlineStr">
        <is>
          <t>fijo: profesor</t>
        </is>
      </c>
      <c r="H12" s="27" t="inlineStr">
        <is>
          <t>barrido: 0.75 – 0.9</t>
        </is>
      </c>
      <c r="I12" s="27" t="inlineStr">
        <is>
          <t>barrido: 0.65 – 0.85</t>
        </is>
      </c>
      <c r="J12" s="27" t="inlineStr">
        <is>
          <t>barrido: 0.75 – 0.85</t>
        </is>
      </c>
      <c r="K12" s="27" t="inlineStr">
        <is>
          <t>barrido: 0.75 – 0.85</t>
        </is>
      </c>
      <c r="L12" s="27" t="inlineStr">
        <is>
          <t>barrido: 0.75 – 0.85</t>
        </is>
      </c>
      <c r="M12" s="16" t="n"/>
      <c r="N12" s="28" t="inlineStr">
        <is>
          <t>fijo: teqp</t>
        </is>
      </c>
    </row>
    <row r="13">
      <c r="A13" s="16" t="inlineStr">
        <is>
          <t>2.2a · conservar la fuente (ε_HRVG × P_baja)</t>
        </is>
      </c>
      <c r="B13" s="26" t="inlineStr">
        <is>
          <t>fijo: profesor</t>
        </is>
      </c>
      <c r="C13" s="26" t="inlineStr">
        <is>
          <t>fijo: profesor</t>
        </is>
      </c>
      <c r="D13" s="26" t="inlineStr">
        <is>
          <t>fijo: profesor</t>
        </is>
      </c>
      <c r="E13" s="27" t="inlineStr">
        <is>
          <t>barrido: 400 – 2000</t>
        </is>
      </c>
      <c r="F13" s="26" t="inlineStr">
        <is>
          <t>fijo: profesor</t>
        </is>
      </c>
      <c r="G13" s="26" t="inlineStr">
        <is>
          <t>fijo: profesor</t>
        </is>
      </c>
      <c r="H13" s="26" t="inlineStr">
        <is>
          <t>fijo: profesor</t>
        </is>
      </c>
      <c r="I13" s="26" t="inlineStr">
        <is>
          <t>fijo: profesor</t>
        </is>
      </c>
      <c r="J13" s="27" t="inlineStr">
        <is>
          <t>barrido: 0.75 – 0.81</t>
        </is>
      </c>
      <c r="K13" s="26" t="inlineStr">
        <is>
          <t>fijo: profesor</t>
        </is>
      </c>
      <c r="L13" s="26" t="inlineStr">
        <is>
          <t>fijo: profesor</t>
        </is>
      </c>
      <c r="M13" s="16" t="n"/>
      <c r="N13" s="28" t="inlineStr">
        <is>
          <t>fijo: teqp</t>
        </is>
      </c>
    </row>
    <row r="14">
      <c r="A14" s="16" t="inlineStr">
        <is>
          <t>2.2b · bajar la fuente (T_fuente × P_baja)</t>
        </is>
      </c>
      <c r="B14" s="27" t="inlineStr">
        <is>
          <t>barrido: 380 – 560</t>
        </is>
      </c>
      <c r="C14" s="26" t="inlineStr">
        <is>
          <t>fijo: profesor</t>
        </is>
      </c>
      <c r="D14" s="26" t="inlineStr">
        <is>
          <t>fijo: profesor</t>
        </is>
      </c>
      <c r="E14" s="27" t="inlineStr">
        <is>
          <t>barrido: 400 – 2000</t>
        </is>
      </c>
      <c r="F14" s="26" t="inlineStr">
        <is>
          <t>fijo: profesor</t>
        </is>
      </c>
      <c r="G14" s="26" t="inlineStr">
        <is>
          <t>fijo: profesor</t>
        </is>
      </c>
      <c r="H14" s="26" t="inlineStr">
        <is>
          <t>fijo: profesor</t>
        </is>
      </c>
      <c r="I14" s="26" t="inlineStr">
        <is>
          <t>fijo: profesor</t>
        </is>
      </c>
      <c r="J14" s="26" t="inlineStr">
        <is>
          <t>fijo: profesor</t>
        </is>
      </c>
      <c r="K14" s="26" t="inlineStr">
        <is>
          <t>fijo: profesor</t>
        </is>
      </c>
      <c r="L14" s="26" t="inlineStr">
        <is>
          <t>fijo: profesor</t>
        </is>
      </c>
      <c r="M14" s="16" t="n"/>
      <c r="N14" s="28" t="inlineStr">
        <is>
          <t>fijo: teqp</t>
        </is>
      </c>
    </row>
    <row r="15">
      <c r="A15" s="16" t="inlineStr">
        <is>
          <t>2.3a · un cambio</t>
        </is>
      </c>
      <c r="B15" s="26" t="inlineStr">
        <is>
          <t>fijo: profesor</t>
        </is>
      </c>
      <c r="C15" s="26" t="inlineStr">
        <is>
          <t>fijo: profesor</t>
        </is>
      </c>
      <c r="D15" s="26" t="inlineStr">
        <is>
          <t>fijo: profesor</t>
        </is>
      </c>
      <c r="E15" s="26" t="inlineStr">
        <is>
          <t>fijo: profesor</t>
        </is>
      </c>
      <c r="F15" s="26" t="inlineStr">
        <is>
          <t>fijo: profesor</t>
        </is>
      </c>
      <c r="G15" s="26" t="inlineStr">
        <is>
          <t>fijo: profesor</t>
        </is>
      </c>
      <c r="H15" s="27" t="inlineStr">
        <is>
          <t>barrido: 0.4 – 0.95</t>
        </is>
      </c>
      <c r="I15" s="27" t="inlineStr">
        <is>
          <t>barrido: 0.4 – 0.95</t>
        </is>
      </c>
      <c r="J15" s="27" t="inlineStr">
        <is>
          <t>barrido: 0.4 – 0.95</t>
        </is>
      </c>
      <c r="K15" s="27" t="inlineStr">
        <is>
          <t>barrido: 0.4 – 0.95</t>
        </is>
      </c>
      <c r="L15" s="27" t="inlineStr">
        <is>
          <t>barrido: 0.4 – 0.95</t>
        </is>
      </c>
      <c r="M15" s="16" t="n"/>
      <c r="N15" s="28" t="inlineStr">
        <is>
          <t>fijo: teqp</t>
        </is>
      </c>
    </row>
    <row r="16">
      <c r="A16" s="16" t="inlineStr">
        <is>
          <t>2.3b · ε_HRVG × ε_cond</t>
        </is>
      </c>
      <c r="B16" s="26" t="inlineStr">
        <is>
          <t>fijo: profesor</t>
        </is>
      </c>
      <c r="C16" s="26" t="inlineStr">
        <is>
          <t>fijo: profesor</t>
        </is>
      </c>
      <c r="D16" s="26" t="inlineStr">
        <is>
          <t>fijo: profesor</t>
        </is>
      </c>
      <c r="E16" s="26" t="inlineStr">
        <is>
          <t>fijo: profesor</t>
        </is>
      </c>
      <c r="F16" s="26" t="inlineStr">
        <is>
          <t>fijo: profesor</t>
        </is>
      </c>
      <c r="G16" s="26" t="inlineStr">
        <is>
          <t>fijo: profesor</t>
        </is>
      </c>
      <c r="H16" s="26" t="inlineStr">
        <is>
          <t>fijo: profesor</t>
        </is>
      </c>
      <c r="I16" s="26" t="inlineStr">
        <is>
          <t>fijo: profesor</t>
        </is>
      </c>
      <c r="J16" s="27" t="inlineStr">
        <is>
          <t>barrido: 0.4 – 0.8</t>
        </is>
      </c>
      <c r="K16" s="26" t="inlineStr">
        <is>
          <t>fijo: profesor</t>
        </is>
      </c>
      <c r="L16" s="27" t="inlineStr">
        <is>
          <t>barrido: 0.4 – 0.95</t>
        </is>
      </c>
      <c r="M16" s="16" t="n"/>
      <c r="N16" s="28" t="inlineStr">
        <is>
          <t>fijo: teqp</t>
        </is>
      </c>
    </row>
    <row r="17">
      <c r="A17" s="16" t="inlineStr">
        <is>
          <t>2.3c · ε_HRVG × P_baja</t>
        </is>
      </c>
      <c r="B17" s="26" t="inlineStr">
        <is>
          <t>fijo: profesor</t>
        </is>
      </c>
      <c r="C17" s="26" t="inlineStr">
        <is>
          <t>fijo: profesor</t>
        </is>
      </c>
      <c r="D17" s="26" t="inlineStr">
        <is>
          <t>fijo: profesor</t>
        </is>
      </c>
      <c r="E17" s="27" t="inlineStr">
        <is>
          <t>barrido: 400 – 2000</t>
        </is>
      </c>
      <c r="F17" s="26" t="inlineStr">
        <is>
          <t>fijo: profesor</t>
        </is>
      </c>
      <c r="G17" s="26" t="inlineStr">
        <is>
          <t>fijo: profesor</t>
        </is>
      </c>
      <c r="H17" s="26" t="inlineStr">
        <is>
          <t>fijo: profesor</t>
        </is>
      </c>
      <c r="I17" s="26" t="inlineStr">
        <is>
          <t>fijo: profesor</t>
        </is>
      </c>
      <c r="J17" s="27" t="inlineStr">
        <is>
          <t>barrido: 0.4 – 0.7</t>
        </is>
      </c>
      <c r="K17" s="26" t="inlineStr">
        <is>
          <t>fijo: profesor</t>
        </is>
      </c>
      <c r="L17" s="26" t="inlineStr">
        <is>
          <t>fijo: profesor</t>
        </is>
      </c>
      <c r="M17" s="16" t="n"/>
      <c r="N17" s="28" t="inlineStr">
        <is>
          <t>fijo: teqp</t>
        </is>
      </c>
    </row>
    <row r="18">
      <c r="A18" s="16" t="inlineStr">
        <is>
          <t>2.3d · T_fuente × ε_cond</t>
        </is>
      </c>
      <c r="B18" s="27" t="inlineStr">
        <is>
          <t>barrido: 403 – 560</t>
        </is>
      </c>
      <c r="C18" s="26" t="inlineStr">
        <is>
          <t>fijo: profesor</t>
        </is>
      </c>
      <c r="D18" s="26" t="inlineStr">
        <is>
          <t>fijo: profesor</t>
        </is>
      </c>
      <c r="E18" s="26" t="inlineStr">
        <is>
          <t>fijo: profesor</t>
        </is>
      </c>
      <c r="F18" s="26" t="inlineStr">
        <is>
          <t>fijo: profesor</t>
        </is>
      </c>
      <c r="G18" s="26" t="inlineStr">
        <is>
          <t>fijo: profesor</t>
        </is>
      </c>
      <c r="H18" s="26" t="inlineStr">
        <is>
          <t>fijo: profesor</t>
        </is>
      </c>
      <c r="I18" s="26" t="inlineStr">
        <is>
          <t>fijo: profesor</t>
        </is>
      </c>
      <c r="J18" s="26" t="inlineStr">
        <is>
          <t>fijo: profesor</t>
        </is>
      </c>
      <c r="K18" s="26" t="inlineStr">
        <is>
          <t>fijo: profesor</t>
        </is>
      </c>
      <c r="L18" s="27" t="inlineStr">
        <is>
          <t>barrido: 0.85 – 0.95</t>
        </is>
      </c>
      <c r="M18" s="16" t="n"/>
      <c r="N18" s="28" t="inlineStr">
        <is>
          <t>fijo: teqp</t>
        </is>
      </c>
    </row>
    <row r="19">
      <c r="A19" s="16" t="inlineStr">
        <is>
          <t>2.4a · fuente a 403 K</t>
        </is>
      </c>
      <c r="B19" s="28" t="inlineStr">
        <is>
          <t>fijo: 403</t>
        </is>
      </c>
      <c r="C19" s="27" t="inlineStr">
        <is>
          <t>barrido: 278.15 – 300.033</t>
        </is>
      </c>
      <c r="D19" s="26" t="inlineStr">
        <is>
          <t>fijo: profesor</t>
        </is>
      </c>
      <c r="E19" s="27" t="inlineStr">
        <is>
          <t>barrido: 150 – 1500</t>
        </is>
      </c>
      <c r="F19" s="26" t="inlineStr">
        <is>
          <t>fijo: profesor</t>
        </is>
      </c>
      <c r="G19" s="26" t="inlineStr">
        <is>
          <t>fijo: profesor</t>
        </is>
      </c>
      <c r="H19" s="26" t="inlineStr">
        <is>
          <t>fijo: profesor</t>
        </is>
      </c>
      <c r="I19" s="26" t="inlineStr">
        <is>
          <t>fijo: profesor</t>
        </is>
      </c>
      <c r="J19" s="26" t="inlineStr">
        <is>
          <t>fijo: profesor</t>
        </is>
      </c>
      <c r="K19" s="26" t="inlineStr">
        <is>
          <t>fijo: profesor</t>
        </is>
      </c>
      <c r="L19" s="26" t="inlineStr">
        <is>
          <t>fijo: profesor</t>
        </is>
      </c>
      <c r="M19" s="27" t="inlineStr">
        <is>
          <t>barrido: 278.15 – 300.033</t>
        </is>
      </c>
      <c r="N19" s="28" t="inlineStr">
        <is>
          <t>fijo: teqp</t>
        </is>
      </c>
    </row>
    <row r="20">
      <c r="A20" s="16" t="inlineStr">
        <is>
          <t>2.4b · fuente a 420 K</t>
        </is>
      </c>
      <c r="B20" s="28" t="inlineStr">
        <is>
          <t>fijo: 420</t>
        </is>
      </c>
      <c r="C20" s="27" t="inlineStr">
        <is>
          <t>barrido: 278.15 – 300.033</t>
        </is>
      </c>
      <c r="D20" s="26" t="inlineStr">
        <is>
          <t>fijo: profesor</t>
        </is>
      </c>
      <c r="E20" s="27" t="inlineStr">
        <is>
          <t>barrido: 150 – 1500</t>
        </is>
      </c>
      <c r="F20" s="26" t="inlineStr">
        <is>
          <t>fijo: profesor</t>
        </is>
      </c>
      <c r="G20" s="26" t="inlineStr">
        <is>
          <t>fijo: profesor</t>
        </is>
      </c>
      <c r="H20" s="26" t="inlineStr">
        <is>
          <t>fijo: profesor</t>
        </is>
      </c>
      <c r="I20" s="26" t="inlineStr">
        <is>
          <t>fijo: profesor</t>
        </is>
      </c>
      <c r="J20" s="26" t="inlineStr">
        <is>
          <t>fijo: profesor</t>
        </is>
      </c>
      <c r="K20" s="26" t="inlineStr">
        <is>
          <t>fijo: profesor</t>
        </is>
      </c>
      <c r="L20" s="26" t="inlineStr">
        <is>
          <t>fijo: profesor</t>
        </is>
      </c>
      <c r="M20" s="27" t="inlineStr">
        <is>
          <t>barrido: 278.15 – 300.033</t>
        </is>
      </c>
      <c r="N20" s="28" t="inlineStr">
        <is>
          <t>fijo: teqp</t>
        </is>
      </c>
    </row>
    <row r="21">
      <c r="A21" s="16" t="inlineStr">
        <is>
          <t>2.4c · ε_HRVG = 0.40 (fuente del profesor)</t>
        </is>
      </c>
      <c r="B21" s="26" t="inlineStr">
        <is>
          <t>fijo: profesor</t>
        </is>
      </c>
      <c r="C21" s="27" t="inlineStr">
        <is>
          <t>barrido: 278.15 – 300.033</t>
        </is>
      </c>
      <c r="D21" s="26" t="inlineStr">
        <is>
          <t>fijo: profesor</t>
        </is>
      </c>
      <c r="E21" s="27" t="inlineStr">
        <is>
          <t>barrido: 150 – 1500</t>
        </is>
      </c>
      <c r="F21" s="26" t="inlineStr">
        <is>
          <t>fijo: profesor</t>
        </is>
      </c>
      <c r="G21" s="26" t="inlineStr">
        <is>
          <t>fijo: profesor</t>
        </is>
      </c>
      <c r="H21" s="26" t="inlineStr">
        <is>
          <t>fijo: profesor</t>
        </is>
      </c>
      <c r="I21" s="26" t="inlineStr">
        <is>
          <t>fijo: profesor</t>
        </is>
      </c>
      <c r="J21" s="28" t="inlineStr">
        <is>
          <t>fijo: 0.4</t>
        </is>
      </c>
      <c r="K21" s="26" t="inlineStr">
        <is>
          <t>fijo: profesor</t>
        </is>
      </c>
      <c r="L21" s="26" t="inlineStr">
        <is>
          <t>fijo: profesor</t>
        </is>
      </c>
      <c r="M21" s="27" t="inlineStr">
        <is>
          <t>barrido: 278.15 – 300.033</t>
        </is>
      </c>
      <c r="N21" s="28" t="inlineStr">
        <is>
          <t>fijo: teqp</t>
        </is>
      </c>
    </row>
    <row r="22">
      <c r="A22" s="16" t="inlineStr">
        <is>
          <t>2.4d · datos exactos del profesor</t>
        </is>
      </c>
      <c r="B22" s="26" t="inlineStr">
        <is>
          <t>fijo: profesor</t>
        </is>
      </c>
      <c r="C22" s="27" t="inlineStr">
        <is>
          <t>barrido: 278.15 – 300.033</t>
        </is>
      </c>
      <c r="D22" s="26" t="inlineStr">
        <is>
          <t>fijo: profesor</t>
        </is>
      </c>
      <c r="E22" s="27" t="inlineStr">
        <is>
          <t>barrido: 150 – 1500</t>
        </is>
      </c>
      <c r="F22" s="26" t="inlineStr">
        <is>
          <t>fijo: profesor</t>
        </is>
      </c>
      <c r="G22" s="26" t="inlineStr">
        <is>
          <t>fijo: profesor</t>
        </is>
      </c>
      <c r="H22" s="26" t="inlineStr">
        <is>
          <t>fijo: profesor</t>
        </is>
      </c>
      <c r="I22" s="26" t="inlineStr">
        <is>
          <t>fijo: profesor</t>
        </is>
      </c>
      <c r="J22" s="26" t="inlineStr">
        <is>
          <t>fijo: profesor</t>
        </is>
      </c>
      <c r="K22" s="26" t="inlineStr">
        <is>
          <t>fijo: profesor</t>
        </is>
      </c>
      <c r="L22" s="26" t="inlineStr">
        <is>
          <t>fijo: profesor</t>
        </is>
      </c>
      <c r="M22" s="27" t="inlineStr">
        <is>
          <t>barrido: 278.15 – 300.033</t>
        </is>
      </c>
      <c r="N22" s="28" t="inlineStr">
        <is>
          <t>fijo: teqp</t>
        </is>
      </c>
    </row>
    <row r="23">
      <c r="A23" s="16" t="inlineStr">
        <is>
          <t>3.1</t>
        </is>
      </c>
      <c r="B23" s="27" t="inlineStr">
        <is>
          <t>barrido: 340 – 623.15</t>
        </is>
      </c>
      <c r="C23" s="27" t="inlineStr">
        <is>
          <t>barrido: 283.15 – 303.55</t>
        </is>
      </c>
      <c r="D23" s="27" t="inlineStr">
        <is>
          <t>barrido: 1000 – 10000</t>
        </is>
      </c>
      <c r="E23" s="27" t="inlineStr">
        <is>
          <t>barrido: 150 – 1500</t>
        </is>
      </c>
      <c r="F23" s="27" t="inlineStr">
        <is>
          <t>barrido: 0.3 – 0.9</t>
        </is>
      </c>
      <c r="G23" s="26" t="inlineStr">
        <is>
          <t>fijo: profesor</t>
        </is>
      </c>
      <c r="H23" s="27" t="inlineStr">
        <is>
          <t>barrido: 0.4 – 0.95</t>
        </is>
      </c>
      <c r="I23" s="27" t="inlineStr">
        <is>
          <t>barrido: 0.4 – 0.95</t>
        </is>
      </c>
      <c r="J23" s="27" t="inlineStr">
        <is>
          <t>barrido: 0.4 – 0.95</t>
        </is>
      </c>
      <c r="K23" s="27" t="inlineStr">
        <is>
          <t>barrido: 0.4 – 0.95</t>
        </is>
      </c>
      <c r="L23" s="27" t="inlineStr">
        <is>
          <t>barrido: 0.4 – 0.95</t>
        </is>
      </c>
      <c r="M23" s="16" t="n"/>
      <c r="N23" s="28" t="inlineStr">
        <is>
          <t>fijo: teqp</t>
        </is>
      </c>
    </row>
    <row r="24">
      <c r="A24" s="16" t="inlineStr">
        <is>
          <t>3.2</t>
        </is>
      </c>
      <c r="B24" s="27" t="inlineStr">
        <is>
          <t>barrido: 380.23 – 499.941</t>
        </is>
      </c>
      <c r="C24" s="27" t="inlineStr">
        <is>
          <t>barrido: 278.192 – 303.54</t>
        </is>
      </c>
      <c r="D24" s="27" t="inlineStr">
        <is>
          <t>barrido: 2005.4 – 4991.23</t>
        </is>
      </c>
      <c r="E24" s="27" t="inlineStr">
        <is>
          <t>barrido: 302.949 – 1498</t>
        </is>
      </c>
      <c r="F24" s="27" t="inlineStr">
        <is>
          <t>barrido: 0.50017 – 0.849984</t>
        </is>
      </c>
      <c r="G24" s="26" t="inlineStr">
        <is>
          <t>fijo: profesor</t>
        </is>
      </c>
      <c r="H24" s="27" t="inlineStr">
        <is>
          <t>barrido: 0.750411 – 0.919501</t>
        </is>
      </c>
      <c r="I24" s="27" t="inlineStr">
        <is>
          <t>barrido: 0.6504 – 0.899194</t>
        </is>
      </c>
      <c r="J24" s="27" t="inlineStr">
        <is>
          <t>barrido: 0.600039 – 0.949047</t>
        </is>
      </c>
      <c r="K24" s="27" t="inlineStr">
        <is>
          <t>barrido: 0.600973 – 0.949965</t>
        </is>
      </c>
      <c r="L24" s="27" t="inlineStr">
        <is>
          <t>barrido: 0.700136 – 0.949409</t>
        </is>
      </c>
      <c r="M24" s="27" t="inlineStr">
        <is>
          <t>barrido: 278.192 – 303.54</t>
        </is>
      </c>
      <c r="N24" s="28" t="inlineStr">
        <is>
          <t>fijo: teqp</t>
        </is>
      </c>
    </row>
    <row r="25">
      <c r="A25" s="16" t="inlineStr">
        <is>
          <t>3.2</t>
        </is>
      </c>
      <c r="B25" s="27" t="inlineStr">
        <is>
          <t>barrido: 380.294 – 499.533</t>
        </is>
      </c>
      <c r="C25" s="27" t="inlineStr">
        <is>
          <t>barrido: 278.183 – 303.47</t>
        </is>
      </c>
      <c r="D25" s="27" t="inlineStr">
        <is>
          <t>barrido: 2009.95 – 4986.56</t>
        </is>
      </c>
      <c r="E25" s="27" t="inlineStr">
        <is>
          <t>barrido: 304.741 – 1497.19</t>
        </is>
      </c>
      <c r="F25" s="27" t="inlineStr">
        <is>
          <t>barrido: 0.500115 – 0.848795</t>
        </is>
      </c>
      <c r="G25" s="26" t="inlineStr">
        <is>
          <t>fijo: profesor</t>
        </is>
      </c>
      <c r="H25" s="27" t="inlineStr">
        <is>
          <t>barrido: 0.750358 – 0.919688</t>
        </is>
      </c>
      <c r="I25" s="27" t="inlineStr">
        <is>
          <t>barrido: 0.65092 – 0.898858</t>
        </is>
      </c>
      <c r="J25" s="27" t="inlineStr">
        <is>
          <t>barrido: 0.600605 – 0.948339</t>
        </is>
      </c>
      <c r="K25" s="27" t="inlineStr">
        <is>
          <t>barrido: 0.601672 – 0.949157</t>
        </is>
      </c>
      <c r="L25" s="27" t="inlineStr">
        <is>
          <t>barrido: 0.700518 – 0.949213</t>
        </is>
      </c>
      <c r="M25" s="27" t="inlineStr">
        <is>
          <t>barrido: 278.183 – 303.47</t>
        </is>
      </c>
      <c r="N25" s="28" t="inlineStr">
        <is>
          <t>fijo: teqp</t>
        </is>
      </c>
    </row>
    <row r="26">
      <c r="A26" s="16" t="inlineStr">
        <is>
          <t>3.3</t>
        </is>
      </c>
      <c r="B26" s="27" t="inlineStr">
        <is>
          <t>barrido: 380.746 – 499.827</t>
        </is>
      </c>
      <c r="C26" s="27" t="inlineStr">
        <is>
          <t>barrido: 278.278 – 303.41</t>
        </is>
      </c>
      <c r="D26" s="27" t="inlineStr">
        <is>
          <t>barrido: 2015.69 – 4995.76</t>
        </is>
      </c>
      <c r="E26" s="27" t="inlineStr">
        <is>
          <t>barrido: 1501.26 – 2494.53</t>
        </is>
      </c>
      <c r="F26" s="27" t="inlineStr">
        <is>
          <t>barrido: 0.502301 – 0.849527</t>
        </is>
      </c>
      <c r="G26" s="26" t="inlineStr">
        <is>
          <t>fijo: profesor</t>
        </is>
      </c>
      <c r="H26" s="27" t="inlineStr">
        <is>
          <t>barrido: 0.751027 – 0.919188</t>
        </is>
      </c>
      <c r="I26" s="27" t="inlineStr">
        <is>
          <t>barrido: 0.651194 – 0.89988</t>
        </is>
      </c>
      <c r="J26" s="27" t="inlineStr">
        <is>
          <t>barrido: 0.600893 – 0.948455</t>
        </is>
      </c>
      <c r="K26" s="27" t="inlineStr">
        <is>
          <t>barrido: 0.600382 – 0.947696</t>
        </is>
      </c>
      <c r="L26" s="27" t="inlineStr">
        <is>
          <t>barrido: 0.700042 – 0.949665</t>
        </is>
      </c>
      <c r="M26" s="27" t="inlineStr">
        <is>
          <t>barrido: 278.278 – 303.41</t>
        </is>
      </c>
      <c r="N26" s="28" t="inlineStr">
        <is>
          <t>fijo: teqp</t>
        </is>
      </c>
    </row>
    <row r="27">
      <c r="A27" s="16" t="inlineStr">
        <is>
          <t>4.1a · conserva sus temperaturas</t>
        </is>
      </c>
      <c r="B27" s="26" t="inlineStr">
        <is>
          <t>fijo: profesor</t>
        </is>
      </c>
      <c r="C27" s="26" t="inlineStr">
        <is>
          <t>fijo: profesor</t>
        </is>
      </c>
      <c r="D27" s="27" t="inlineStr">
        <is>
          <t>barrido: 2000.11 – 4986.58</t>
        </is>
      </c>
      <c r="E27" s="27" t="inlineStr">
        <is>
          <t>barrido: 202.14 – 1989.72</t>
        </is>
      </c>
      <c r="F27" s="27" t="inlineStr">
        <is>
          <t>barrido: 0.501239 – 0.84895</t>
        </is>
      </c>
      <c r="G27" s="26" t="inlineStr">
        <is>
          <t>fijo: profesor</t>
        </is>
      </c>
      <c r="H27" s="27" t="inlineStr">
        <is>
          <t>barrido: 0.400616 – 0.947454</t>
        </is>
      </c>
      <c r="I27" s="27" t="inlineStr">
        <is>
          <t>barrido: 0.404302 – 0.94919</t>
        </is>
      </c>
      <c r="J27" s="27" t="inlineStr">
        <is>
          <t>barrido: 0.40441 – 0.949187</t>
        </is>
      </c>
      <c r="K27" s="27" t="inlineStr">
        <is>
          <t>barrido: 0.40384 – 0.947903</t>
        </is>
      </c>
      <c r="L27" s="27" t="inlineStr">
        <is>
          <t>barrido: 0.400868 – 0.945788</t>
        </is>
      </c>
      <c r="M27" s="26" t="inlineStr">
        <is>
          <t>fijo: profesor</t>
        </is>
      </c>
      <c r="N27" s="28" t="inlineStr">
        <is>
          <t>fijo: teqp</t>
        </is>
      </c>
    </row>
    <row r="28">
      <c r="A28" s="16" t="inlineStr">
        <is>
          <t>4.1b · conserva sus presiones</t>
        </is>
      </c>
      <c r="B28" s="27" t="inlineStr">
        <is>
          <t>barrido: 381.609 – 621.774</t>
        </is>
      </c>
      <c r="C28" s="27" t="inlineStr">
        <is>
          <t>barrido: 278.262 – 303.479</t>
        </is>
      </c>
      <c r="D28" s="26" t="inlineStr">
        <is>
          <t>fijo: profesor</t>
        </is>
      </c>
      <c r="E28" s="26" t="inlineStr">
        <is>
          <t>fijo: profesor</t>
        </is>
      </c>
      <c r="F28" s="27" t="inlineStr">
        <is>
          <t>barrido: 0.500843 – 0.847315</t>
        </is>
      </c>
      <c r="G28" s="26" t="inlineStr">
        <is>
          <t>fijo: profesor</t>
        </is>
      </c>
      <c r="H28" s="27" t="inlineStr">
        <is>
          <t>barrido: 0.402676 – 0.948584</t>
        </is>
      </c>
      <c r="I28" s="27" t="inlineStr">
        <is>
          <t>barrido: 0.401033 – 0.947097</t>
        </is>
      </c>
      <c r="J28" s="27" t="inlineStr">
        <is>
          <t>barrido: 0.402168 – 0.947551</t>
        </is>
      </c>
      <c r="K28" s="27" t="inlineStr">
        <is>
          <t>barrido: 0.402278 – 0.946602</t>
        </is>
      </c>
      <c r="L28" s="27" t="inlineStr">
        <is>
          <t>barrido: 0.402092 – 0.947396</t>
        </is>
      </c>
      <c r="M28" s="27" t="inlineStr">
        <is>
          <t>barrido: 278.262 – 303.479</t>
        </is>
      </c>
      <c r="N28" s="28" t="inlineStr">
        <is>
          <t>fijo: teqp</t>
        </is>
      </c>
    </row>
    <row r="29">
      <c r="A29" s="16" t="inlineStr">
        <is>
          <t>4.1c · conserva sus presiones y su clima</t>
        </is>
      </c>
      <c r="B29" s="27" t="inlineStr">
        <is>
          <t>barrido: 380.234 – 622.401</t>
        </is>
      </c>
      <c r="C29" s="26" t="inlineStr">
        <is>
          <t>fijo: profesor</t>
        </is>
      </c>
      <c r="D29" s="26" t="inlineStr">
        <is>
          <t>fijo: profesor</t>
        </is>
      </c>
      <c r="E29" s="26" t="inlineStr">
        <is>
          <t>fijo: profesor</t>
        </is>
      </c>
      <c r="F29" s="27" t="inlineStr">
        <is>
          <t>barrido: 0.500235 – 0.849316</t>
        </is>
      </c>
      <c r="G29" s="26" t="inlineStr">
        <is>
          <t>fijo: profesor</t>
        </is>
      </c>
      <c r="H29" s="27" t="inlineStr">
        <is>
          <t>barrido: 0.40006 – 0.947691</t>
        </is>
      </c>
      <c r="I29" s="27" t="inlineStr">
        <is>
          <t>barrido: 0.403602 – 0.945484</t>
        </is>
      </c>
      <c r="J29" s="27" t="inlineStr">
        <is>
          <t>barrido: 0.400156 – 0.948884</t>
        </is>
      </c>
      <c r="K29" s="27" t="inlineStr">
        <is>
          <t>barrido: 0.402159 – 0.948596</t>
        </is>
      </c>
      <c r="L29" s="27" t="inlineStr">
        <is>
          <t>barrido: 0.404237 – 0.946851</t>
        </is>
      </c>
      <c r="M29" s="26" t="inlineStr">
        <is>
          <t>fijo: profesor</t>
        </is>
      </c>
      <c r="N29" s="28" t="inlineStr">
        <is>
          <t>fijo: teqp</t>
        </is>
      </c>
    </row>
    <row r="30">
      <c r="A30" s="16" t="inlineStr">
        <is>
          <t>4.1d · conserva su P_alta y sus temperaturas</t>
        </is>
      </c>
      <c r="B30" s="26" t="inlineStr">
        <is>
          <t>fijo: profesor</t>
        </is>
      </c>
      <c r="C30" s="26" t="inlineStr">
        <is>
          <t>fijo: profesor</t>
        </is>
      </c>
      <c r="D30" s="26" t="inlineStr">
        <is>
          <t>fijo: profesor</t>
        </is>
      </c>
      <c r="E30" s="27" t="inlineStr">
        <is>
          <t>barrido: 211.417 – 1985.57</t>
        </is>
      </c>
      <c r="F30" s="27" t="inlineStr">
        <is>
          <t>barrido: 0.502261 – 0.847941</t>
        </is>
      </c>
      <c r="G30" s="26" t="inlineStr">
        <is>
          <t>fijo: profesor</t>
        </is>
      </c>
      <c r="H30" s="27" t="inlineStr">
        <is>
          <t>barrido: 0.403251 – 0.945781</t>
        </is>
      </c>
      <c r="I30" s="27" t="inlineStr">
        <is>
          <t>barrido: 0.400375 – 0.946613</t>
        </is>
      </c>
      <c r="J30" s="27" t="inlineStr">
        <is>
          <t>barrido: 0.40425 – 0.949578</t>
        </is>
      </c>
      <c r="K30" s="27" t="inlineStr">
        <is>
          <t>barrido: 0.400942 – 0.946597</t>
        </is>
      </c>
      <c r="L30" s="27" t="inlineStr">
        <is>
          <t>barrido: 0.402166 – 0.94675</t>
        </is>
      </c>
      <c r="M30" s="26" t="inlineStr">
        <is>
          <t>fijo: profesor</t>
        </is>
      </c>
      <c r="N30" s="28" t="inlineStr">
        <is>
          <t>fijo: teqp</t>
        </is>
      </c>
    </row>
    <row r="31">
      <c r="A31" s="16" t="inlineStr">
        <is>
          <t>4.1e · conserva su fuente y su x_b</t>
        </is>
      </c>
      <c r="B31" s="26" t="inlineStr">
        <is>
          <t>fijo: profesor</t>
        </is>
      </c>
      <c r="C31" s="27" t="inlineStr">
        <is>
          <t>barrido: 278.281 – 303.358</t>
        </is>
      </c>
      <c r="D31" s="27" t="inlineStr">
        <is>
          <t>barrido: 2023 – 4997.47</t>
        </is>
      </c>
      <c r="E31" s="27" t="inlineStr">
        <is>
          <t>barrido: 206.126 – 1999.26</t>
        </is>
      </c>
      <c r="F31" s="26" t="inlineStr">
        <is>
          <t>fijo: profesor</t>
        </is>
      </c>
      <c r="G31" s="26" t="inlineStr">
        <is>
          <t>fijo: profesor</t>
        </is>
      </c>
      <c r="H31" s="27" t="inlineStr">
        <is>
          <t>barrido: 0.403299 – 0.949946</t>
        </is>
      </c>
      <c r="I31" s="27" t="inlineStr">
        <is>
          <t>barrido: 0.403485 – 0.947603</t>
        </is>
      </c>
      <c r="J31" s="27" t="inlineStr">
        <is>
          <t>barrido: 0.404141 – 0.948736</t>
        </is>
      </c>
      <c r="K31" s="27" t="inlineStr">
        <is>
          <t>barrido: 0.402646 – 0.94725</t>
        </is>
      </c>
      <c r="L31" s="27" t="inlineStr">
        <is>
          <t>barrido: 0.401266 – 0.948251</t>
        </is>
      </c>
      <c r="M31" s="27" t="inlineStr">
        <is>
          <t>barrido: 278.281 – 303.358</t>
        </is>
      </c>
      <c r="N31" s="28" t="inlineStr">
        <is>
          <t>fijo: teqp</t>
        </is>
      </c>
    </row>
    <row r="32">
      <c r="A32" s="16" t="inlineStr">
        <is>
          <t>4.2</t>
        </is>
      </c>
      <c r="B32" s="27" t="inlineStr">
        <is>
          <t>barrido: 385 – 410</t>
        </is>
      </c>
      <c r="C32" s="27" t="inlineStr">
        <is>
          <t>barrido: 278.15 – 300.033</t>
        </is>
      </c>
      <c r="D32" s="26" t="inlineStr">
        <is>
          <t>fijo: profesor</t>
        </is>
      </c>
      <c r="E32" s="26" t="inlineStr">
        <is>
          <t>fijo: profesor</t>
        </is>
      </c>
      <c r="F32" s="26" t="inlineStr">
        <is>
          <t>fijo: profesor</t>
        </is>
      </c>
      <c r="G32" s="26" t="inlineStr">
        <is>
          <t>fijo: profesor</t>
        </is>
      </c>
      <c r="H32" s="26" t="inlineStr">
        <is>
          <t>fijo: profesor</t>
        </is>
      </c>
      <c r="I32" s="26" t="inlineStr">
        <is>
          <t>fijo: profesor</t>
        </is>
      </c>
      <c r="J32" s="26" t="inlineStr">
        <is>
          <t>fijo: profesor</t>
        </is>
      </c>
      <c r="K32" s="26" t="inlineStr">
        <is>
          <t>fijo: profesor</t>
        </is>
      </c>
      <c r="L32" s="27" t="inlineStr">
        <is>
          <t>barrido: 0.85 – 0.95</t>
        </is>
      </c>
      <c r="M32" s="27" t="inlineStr">
        <is>
          <t>barrido: 278.15 – 300.033</t>
        </is>
      </c>
      <c r="N32" s="28" t="inlineStr">
        <is>
          <t>fijo: teqp</t>
        </is>
      </c>
    </row>
    <row r="33">
      <c r="A33" s="16" t="inlineStr">
        <is>
          <t>5.1a · libre, desde el mejor de 3.2</t>
        </is>
      </c>
      <c r="B33" s="27" t="inlineStr">
        <is>
          <t>barrido: 424.097 – 448.097</t>
        </is>
      </c>
      <c r="C33" s="27" t="inlineStr">
        <is>
          <t>barrido: 278.15 – 281.638</t>
        </is>
      </c>
      <c r="D33" s="27" t="inlineStr">
        <is>
          <t>barrido: 3181.82 – 4681.82</t>
        </is>
      </c>
      <c r="E33" s="27" t="inlineStr">
        <is>
          <t>barrido: 588.34 – 1028.34</t>
        </is>
      </c>
      <c r="F33" s="27" t="inlineStr">
        <is>
          <t>barrido: 0.599749 – 0.704749</t>
        </is>
      </c>
      <c r="G33" s="26" t="inlineStr">
        <is>
          <t>fijo: profesor</t>
        </is>
      </c>
      <c r="H33" s="27" t="inlineStr">
        <is>
          <t>barrido: 0.863483 – 0.95</t>
        </is>
      </c>
      <c r="I33" s="27" t="inlineStr">
        <is>
          <t>barrido: 0.691081 – 0.801081</t>
        </is>
      </c>
      <c r="J33" s="27" t="inlineStr">
        <is>
          <t>barrido: 0.622731 – 0.732731</t>
        </is>
      </c>
      <c r="K33" s="27" t="inlineStr">
        <is>
          <t>barrido: 0.88653 – 0.95</t>
        </is>
      </c>
      <c r="L33" s="27" t="inlineStr">
        <is>
          <t>barrido: 0.786826 – 0.896826</t>
        </is>
      </c>
      <c r="M33" s="27" t="inlineStr">
        <is>
          <t>barrido: 278.15 – 281.638</t>
        </is>
      </c>
      <c r="N33" s="28" t="inlineStr">
        <is>
          <t>fijo: teqp</t>
        </is>
      </c>
    </row>
    <row r="34">
      <c r="A34" s="16" t="inlineStr">
        <is>
          <t>5.1b · libre, desde el mejor de 2.4</t>
        </is>
      </c>
      <c r="B34" s="27" t="inlineStr">
        <is>
          <t>barrido: 408 – 432</t>
        </is>
      </c>
      <c r="C34" s="27" t="inlineStr">
        <is>
          <t>barrido: 278.15 – 280.69</t>
        </is>
      </c>
      <c r="D34" s="27" t="inlineStr">
        <is>
          <t>barrido: 2700 – 3300</t>
        </is>
      </c>
      <c r="E34" s="27" t="inlineStr">
        <is>
          <t>barrido: 300 – 613.75</t>
        </is>
      </c>
      <c r="F34" s="27" t="inlineStr">
        <is>
          <t>barrido: 0.5 – 0.535</t>
        </is>
      </c>
      <c r="G34" s="26" t="inlineStr">
        <is>
          <t>fijo: profesor</t>
        </is>
      </c>
      <c r="H34" s="27" t="inlineStr">
        <is>
          <t>barrido: 0.795 – 0.95</t>
        </is>
      </c>
      <c r="I34" s="27" t="inlineStr">
        <is>
          <t>barrido: 0.695 – 0.805</t>
        </is>
      </c>
      <c r="J34" s="27" t="inlineStr">
        <is>
          <t>barrido: 0.795 – 0.905</t>
        </is>
      </c>
      <c r="K34" s="27" t="inlineStr">
        <is>
          <t>barrido: 0.695 – 0.95</t>
        </is>
      </c>
      <c r="L34" s="27" t="inlineStr">
        <is>
          <t>barrido: 0.745 – 0.855</t>
        </is>
      </c>
      <c r="M34" s="27" t="inlineStr">
        <is>
          <t>barrido: 278.15 – 280.69</t>
        </is>
      </c>
      <c r="N34" s="28" t="inlineStr">
        <is>
          <t>fijo: teqp</t>
        </is>
      </c>
    </row>
    <row r="35">
      <c r="A35" s="16" t="inlineStr">
        <is>
          <t>5.1c · conserva sus temperaturas</t>
        </is>
      </c>
      <c r="B35" s="26" t="inlineStr">
        <is>
          <t>fijo: profesor</t>
        </is>
      </c>
      <c r="C35" s="26" t="inlineStr">
        <is>
          <t>fijo: profesor</t>
        </is>
      </c>
      <c r="D35" s="27" t="inlineStr">
        <is>
          <t>barrido: 3605.95 – 5000</t>
        </is>
      </c>
      <c r="E35" s="27" t="inlineStr">
        <is>
          <t>barrido: 1139.56 – 1579.56</t>
        </is>
      </c>
      <c r="F35" s="27" t="inlineStr">
        <is>
          <t>barrido: 0.794478 – 0.85</t>
        </is>
      </c>
      <c r="G35" s="26" t="inlineStr">
        <is>
          <t>fijo: profesor</t>
        </is>
      </c>
      <c r="H35" s="27" t="inlineStr">
        <is>
          <t>barrido: 0.781056 – 0.95</t>
        </is>
      </c>
      <c r="I35" s="27" t="inlineStr">
        <is>
          <t>barrido: 0.782534 – 0.892534</t>
        </is>
      </c>
      <c r="J35" s="27" t="inlineStr">
        <is>
          <t>barrido: 0.441366 – 0.551366</t>
        </is>
      </c>
      <c r="K35" s="27" t="inlineStr">
        <is>
          <t>barrido: 0.861678 – 0.95</t>
        </is>
      </c>
      <c r="L35" s="27" t="inlineStr">
        <is>
          <t>barrido: 0.890788 – 0.95</t>
        </is>
      </c>
      <c r="M35" s="26" t="inlineStr">
        <is>
          <t>fijo: profesor</t>
        </is>
      </c>
      <c r="N35" s="28" t="inlineStr">
        <is>
          <t>fijo: teqp</t>
        </is>
      </c>
    </row>
    <row r="36">
      <c r="A36" s="16" t="inlineStr">
        <is>
          <t>5.1d · conserva sus presiones y su clima</t>
        </is>
      </c>
      <c r="B36" s="27" t="inlineStr">
        <is>
          <t>barrido: 391 – 427</t>
        </is>
      </c>
      <c r="C36" s="26" t="inlineStr">
        <is>
          <t>fijo: profesor</t>
        </is>
      </c>
      <c r="D36" s="26" t="inlineStr">
        <is>
          <t>fijo: profesor</t>
        </is>
      </c>
      <c r="E36" s="26" t="inlineStr">
        <is>
          <t>fijo: profesor</t>
        </is>
      </c>
      <c r="F36" s="27" t="inlineStr">
        <is>
          <t>barrido: 0.5 – 0.535</t>
        </is>
      </c>
      <c r="G36" s="26" t="inlineStr">
        <is>
          <t>fijo: profesor</t>
        </is>
      </c>
      <c r="H36" s="27" t="inlineStr">
        <is>
          <t>barrido: 0.795 – 0.95</t>
        </is>
      </c>
      <c r="I36" s="27" t="inlineStr">
        <is>
          <t>barrido: 0.695 – 0.86</t>
        </is>
      </c>
      <c r="J36" s="27" t="inlineStr">
        <is>
          <t>barrido: 0.795 – 0.95</t>
        </is>
      </c>
      <c r="K36" s="27" t="inlineStr">
        <is>
          <t>barrido: 0.695 – 0.95</t>
        </is>
      </c>
      <c r="L36" s="27" t="inlineStr">
        <is>
          <t>barrido: 0.895 – 0.95</t>
        </is>
      </c>
      <c r="M36" s="26" t="inlineStr">
        <is>
          <t>fijo: profesor</t>
        </is>
      </c>
      <c r="N36" s="28" t="inlineStr">
        <is>
          <t>fijo: teqp</t>
        </is>
      </c>
    </row>
    <row r="37">
      <c r="A37" s="16" t="inlineStr">
        <is>
          <t>5.1e · conserva su fuente y su x_b</t>
        </is>
      </c>
      <c r="B37" s="26" t="inlineStr">
        <is>
          <t>fijo: profesor</t>
        </is>
      </c>
      <c r="C37" s="27" t="inlineStr">
        <is>
          <t>barrido: 300.041 – 303.55</t>
        </is>
      </c>
      <c r="D37" s="27" t="inlineStr">
        <is>
          <t>barrido: 4508.34 – 5000</t>
        </is>
      </c>
      <c r="E37" s="27" t="inlineStr">
        <is>
          <t>barrido: 802.274 – 1462.27</t>
        </is>
      </c>
      <c r="F37" s="26" t="inlineStr">
        <is>
          <t>fijo: profesor</t>
        </is>
      </c>
      <c r="G37" s="26" t="inlineStr">
        <is>
          <t>fijo: profesor</t>
        </is>
      </c>
      <c r="H37" s="27" t="inlineStr">
        <is>
          <t>barrido: 0.867492 – 0.95</t>
        </is>
      </c>
      <c r="I37" s="27" t="inlineStr">
        <is>
          <t>barrido: 0.521066 – 0.631066</t>
        </is>
      </c>
      <c r="J37" s="27" t="inlineStr">
        <is>
          <t>barrido: 0.4 – 0.517302</t>
        </is>
      </c>
      <c r="K37" s="27" t="inlineStr">
        <is>
          <t>barrido: 0.4 – 0.685115</t>
        </is>
      </c>
      <c r="L37" s="27" t="inlineStr">
        <is>
          <t>barrido: 0.823416 – 0.933416</t>
        </is>
      </c>
      <c r="M37" s="27" t="inlineStr">
        <is>
          <t>barrido: 300.041 – 303.55</t>
        </is>
      </c>
      <c r="N37" s="28" t="inlineStr">
        <is>
          <t>fijo: teqp</t>
        </is>
      </c>
    </row>
    <row r="38">
      <c r="A38" s="16" t="inlineStr">
        <is>
          <t>6.1a · teqp frente al motor real</t>
        </is>
      </c>
      <c r="B38" s="27" t="inlineStr">
        <is>
          <t>barrido: 390 – 623.15</t>
        </is>
      </c>
      <c r="C38" s="27" t="inlineStr">
        <is>
          <t>barrido: 278.15 – 302.581</t>
        </is>
      </c>
      <c r="D38" s="27" t="inlineStr">
        <is>
          <t>barrido: 3000 – 5000</t>
        </is>
      </c>
      <c r="E38" s="27" t="inlineStr">
        <is>
          <t>barrido: 393.75 – 2494.53</t>
        </is>
      </c>
      <c r="F38" s="27" t="inlineStr">
        <is>
          <t>barrido: 0.5 – 0.85</t>
        </is>
      </c>
      <c r="G38" s="26" t="inlineStr">
        <is>
          <t>fijo: profesor</t>
        </is>
      </c>
      <c r="H38" s="27" t="inlineStr">
        <is>
          <t>barrido: 0.78075 – 0.95</t>
        </is>
      </c>
      <c r="I38" s="27" t="inlineStr">
        <is>
          <t>barrido: 0.576066 – 0.871783</t>
        </is>
      </c>
      <c r="J38" s="27" t="inlineStr">
        <is>
          <t>barrido: 0.4 – 0.95</t>
        </is>
      </c>
      <c r="K38" s="27" t="inlineStr">
        <is>
          <t>barrido: 0.685115 – 0.95</t>
        </is>
      </c>
      <c r="L38" s="27" t="inlineStr">
        <is>
          <t>barrido: 0.8 – 0.95</t>
        </is>
      </c>
      <c r="M38" s="27" t="inlineStr">
        <is>
          <t>barrido: 278.15 – 302.581</t>
        </is>
      </c>
      <c r="N38" s="27" t="inlineStr">
        <is>
          <t>barrido: 2 valores</t>
        </is>
      </c>
    </row>
    <row r="39">
      <c r="A39" s="16" t="inlineStr">
        <is>
          <t>6.1b · piso de cavitación a 30.4 °C</t>
        </is>
      </c>
      <c r="B39" s="27" t="inlineStr">
        <is>
          <t>barrido: 390 – 623.15</t>
        </is>
      </c>
      <c r="C39" s="27" t="inlineStr">
        <is>
          <t>barrido: 278.15 – 302.581</t>
        </is>
      </c>
      <c r="D39" s="27" t="inlineStr">
        <is>
          <t>barrido: 3000 – 5000</t>
        </is>
      </c>
      <c r="E39" s="27" t="inlineStr">
        <is>
          <t>barrido: 393.75 – 2494.53</t>
        </is>
      </c>
      <c r="F39" s="27" t="inlineStr">
        <is>
          <t>barrido: 0.5 – 0.85</t>
        </is>
      </c>
      <c r="G39" s="26" t="inlineStr">
        <is>
          <t>fijo: profesor</t>
        </is>
      </c>
      <c r="H39" s="27" t="inlineStr">
        <is>
          <t>barrido: 0.78075 – 0.95</t>
        </is>
      </c>
      <c r="I39" s="27" t="inlineStr">
        <is>
          <t>barrido: 0.576066 – 0.871783</t>
        </is>
      </c>
      <c r="J39" s="27" t="inlineStr">
        <is>
          <t>barrido: 0.4 – 0.95</t>
        </is>
      </c>
      <c r="K39" s="27" t="inlineStr">
        <is>
          <t>barrido: 0.685115 – 0.95</t>
        </is>
      </c>
      <c r="L39" s="27" t="inlineStr">
        <is>
          <t>barrido: 0.8 – 0.95</t>
        </is>
      </c>
      <c r="M39" s="28" t="inlineStr">
        <is>
          <t>fijo: 303.55</t>
        </is>
      </c>
      <c r="N39" s="28" t="inlineStr">
        <is>
          <t>fijo: teqp</t>
        </is>
      </c>
    </row>
    <row r="40">
      <c r="A40" s="16" t="inlineStr">
        <is>
          <t>6.1c · costo de exigir subenfriamiento</t>
        </is>
      </c>
      <c r="B40" s="16" t="n"/>
      <c r="C40" s="16" t="n"/>
      <c r="D40" s="16" t="n"/>
      <c r="E40" s="27" t="inlineStr">
        <is>
          <t>barrido: 393.75 – 2500</t>
        </is>
      </c>
      <c r="F40" s="16" t="n"/>
      <c r="G40" s="16" t="n"/>
      <c r="H40" s="16" t="n"/>
      <c r="I40" s="16" t="n"/>
      <c r="J40" s="16" t="n"/>
      <c r="K40" s="16" t="n"/>
      <c r="L40" s="16" t="n"/>
      <c r="M40" s="16" t="n"/>
      <c r="N40" s="16" t="n"/>
    </row>
    <row r="41">
      <c r="A41" s="16" t="inlineStr">
        <is>
          <t>4.3 T_fuente · ronda 0</t>
        </is>
      </c>
      <c r="B41" s="26" t="inlineStr">
        <is>
          <t>fijo: profesor</t>
        </is>
      </c>
      <c r="C41" s="27" t="inlineStr">
        <is>
          <t>barrido: 278.344 – 303.376</t>
        </is>
      </c>
      <c r="D41" s="27" t="inlineStr">
        <is>
          <t>barrido: 2028.57 – 4974.75</t>
        </is>
      </c>
      <c r="E41" s="27" t="inlineStr">
        <is>
          <t>barrido: 310.761 – 1986.56</t>
        </is>
      </c>
      <c r="F41" s="27" t="inlineStr">
        <is>
          <t>barrido: 0.503397 – 0.849888</t>
        </is>
      </c>
      <c r="G41" s="26" t="inlineStr">
        <is>
          <t>fijo: profesor</t>
        </is>
      </c>
      <c r="H41" s="27" t="inlineStr">
        <is>
          <t>barrido: 0.402288 – 0.949109</t>
        </is>
      </c>
      <c r="I41" s="27" t="inlineStr">
        <is>
          <t>barrido: 0.400204 – 0.94989</t>
        </is>
      </c>
      <c r="J41" s="27" t="inlineStr">
        <is>
          <t>barrido: 0.402751 – 0.945231</t>
        </is>
      </c>
      <c r="K41" s="27" t="inlineStr">
        <is>
          <t>barrido: 0.400958 – 0.948253</t>
        </is>
      </c>
      <c r="L41" s="27" t="inlineStr">
        <is>
          <t>barrido: 0.400592 – 0.949047</t>
        </is>
      </c>
      <c r="M41" s="27" t="inlineStr">
        <is>
          <t>barrido: 278.344 – 303.376</t>
        </is>
      </c>
      <c r="N41" s="28" t="inlineStr">
        <is>
          <t>fijo: teqp</t>
        </is>
      </c>
    </row>
    <row r="42">
      <c r="A42" s="16" t="inlineStr">
        <is>
          <t>4.3 eficiencias · ronda 0</t>
        </is>
      </c>
      <c r="B42" s="27" t="inlineStr">
        <is>
          <t>barrido: 380.438 – 519.56</t>
        </is>
      </c>
      <c r="C42" s="27" t="inlineStr">
        <is>
          <t>barrido: 278.188 – 303.528</t>
        </is>
      </c>
      <c r="D42" s="27" t="inlineStr">
        <is>
          <t>barrido: 2000.1 – 4999.52</t>
        </is>
      </c>
      <c r="E42" s="27" t="inlineStr">
        <is>
          <t>barrido: 310.675 – 1987</t>
        </is>
      </c>
      <c r="F42" s="27" t="inlineStr">
        <is>
          <t>barrido: 0.502398 – 0.847662</t>
        </is>
      </c>
      <c r="G42" s="26" t="inlineStr">
        <is>
          <t>fijo: profesor</t>
        </is>
      </c>
      <c r="H42" s="26" t="inlineStr">
        <is>
          <t>fijo: profesor</t>
        </is>
      </c>
      <c r="I42" s="26" t="inlineStr">
        <is>
          <t>fijo: profesor</t>
        </is>
      </c>
      <c r="J42" s="26" t="inlineStr">
        <is>
          <t>fijo: profesor</t>
        </is>
      </c>
      <c r="K42" s="26" t="inlineStr">
        <is>
          <t>fijo: profesor</t>
        </is>
      </c>
      <c r="L42" s="26" t="inlineStr">
        <is>
          <t>fijo: profesor</t>
        </is>
      </c>
      <c r="M42" s="27" t="inlineStr">
        <is>
          <t>barrido: 278.188 – 303.528</t>
        </is>
      </c>
      <c r="N42" s="28" t="inlineStr">
        <is>
          <t>fijo: teqp</t>
        </is>
      </c>
    </row>
    <row r="43">
      <c r="A43" s="16" t="inlineStr">
        <is>
          <t>4.3 P_alta · ronda 0</t>
        </is>
      </c>
      <c r="B43" s="27" t="inlineStr">
        <is>
          <t>barrido: 380.828 – 519.225</t>
        </is>
      </c>
      <c r="C43" s="27" t="inlineStr">
        <is>
          <t>barrido: 278.18 – 303.381</t>
        </is>
      </c>
      <c r="D43" s="26" t="inlineStr">
        <is>
          <t>fijo: profesor</t>
        </is>
      </c>
      <c r="E43" s="27" t="inlineStr">
        <is>
          <t>barrido: 302.713 – 1996.13</t>
        </is>
      </c>
      <c r="F43" s="27" t="inlineStr">
        <is>
          <t>barrido: 0.500418 – 0.847315</t>
        </is>
      </c>
      <c r="G43" s="26" t="inlineStr">
        <is>
          <t>fijo: profesor</t>
        </is>
      </c>
      <c r="H43" s="27" t="inlineStr">
        <is>
          <t>barrido: 0.400005 – 0.94581</t>
        </is>
      </c>
      <c r="I43" s="27" t="inlineStr">
        <is>
          <t>barrido: 0.400638 – 0.945013</t>
        </is>
      </c>
      <c r="J43" s="27" t="inlineStr">
        <is>
          <t>barrido: 0.404197 – 0.949495</t>
        </is>
      </c>
      <c r="K43" s="27" t="inlineStr">
        <is>
          <t>barrido: 0.400361 – 0.947758</t>
        </is>
      </c>
      <c r="L43" s="27" t="inlineStr">
        <is>
          <t>barrido: 0.401597 – 0.945166</t>
        </is>
      </c>
      <c r="M43" s="27" t="inlineStr">
        <is>
          <t>barrido: 278.18 – 303.381</t>
        </is>
      </c>
      <c r="N43" s="28" t="inlineStr">
        <is>
          <t>fijo: teqp</t>
        </is>
      </c>
    </row>
    <row r="44">
      <c r="A44" s="16" t="inlineStr">
        <is>
          <t>4.3 P_baja · ronda 0</t>
        </is>
      </c>
      <c r="B44" s="27" t="inlineStr">
        <is>
          <t>barrido: 380.174 – 519.32</t>
        </is>
      </c>
      <c r="C44" s="27" t="inlineStr">
        <is>
          <t>barrido: 278.201 – 303.38</t>
        </is>
      </c>
      <c r="D44" s="27" t="inlineStr">
        <is>
          <t>barrido: 2021.51 – 4978.35</t>
        </is>
      </c>
      <c r="E44" s="26" t="inlineStr">
        <is>
          <t>fijo: profesor</t>
        </is>
      </c>
      <c r="F44" s="27" t="inlineStr">
        <is>
          <t>barrido: 0.501974 – 0.84661</t>
        </is>
      </c>
      <c r="G44" s="26" t="inlineStr">
        <is>
          <t>fijo: profesor</t>
        </is>
      </c>
      <c r="H44" s="27" t="inlineStr">
        <is>
          <t>barrido: 0.405301 – 0.946598</t>
        </is>
      </c>
      <c r="I44" s="27" t="inlineStr">
        <is>
          <t>barrido: 0.404692 – 0.949946</t>
        </is>
      </c>
      <c r="J44" s="27" t="inlineStr">
        <is>
          <t>barrido: 0.401138 – 0.947534</t>
        </is>
      </c>
      <c r="K44" s="27" t="inlineStr">
        <is>
          <t>barrido: 0.401253 – 0.945947</t>
        </is>
      </c>
      <c r="L44" s="27" t="inlineStr">
        <is>
          <t>barrido: 0.402164 – 0.944624</t>
        </is>
      </c>
      <c r="M44" s="27" t="inlineStr">
        <is>
          <t>barrido: 278.201 – 303.38</t>
        </is>
      </c>
      <c r="N44" s="28" t="inlineStr">
        <is>
          <t>fijo: teqp</t>
        </is>
      </c>
    </row>
    <row r="45">
      <c r="A45" s="16" t="inlineStr">
        <is>
          <t>4.3 T_sumidero · ronda 0</t>
        </is>
      </c>
      <c r="B45" s="27" t="inlineStr">
        <is>
          <t>barrido: 380.151 – 519.053</t>
        </is>
      </c>
      <c r="C45" s="26" t="inlineStr">
        <is>
          <t>fijo: profesor</t>
        </is>
      </c>
      <c r="D45" s="27" t="inlineStr">
        <is>
          <t>barrido: 2007.35 – 4982.75</t>
        </is>
      </c>
      <c r="E45" s="27" t="inlineStr">
        <is>
          <t>barrido: 306.34 – 1990.7</t>
        </is>
      </c>
      <c r="F45" s="27" t="inlineStr">
        <is>
          <t>barrido: 0.50254 – 0.847062</t>
        </is>
      </c>
      <c r="G45" s="26" t="inlineStr">
        <is>
          <t>fijo: profesor</t>
        </is>
      </c>
      <c r="H45" s="27" t="inlineStr">
        <is>
          <t>barrido: 0.405475 – 0.945276</t>
        </is>
      </c>
      <c r="I45" s="27" t="inlineStr">
        <is>
          <t>barrido: 0.400228 – 0.944989</t>
        </is>
      </c>
      <c r="J45" s="27" t="inlineStr">
        <is>
          <t>barrido: 0.403663 – 0.947828</t>
        </is>
      </c>
      <c r="K45" s="27" t="inlineStr">
        <is>
          <t>barrido: 0.402938 – 0.948362</t>
        </is>
      </c>
      <c r="L45" s="27" t="inlineStr">
        <is>
          <t>barrido: 0.400499 – 0.946093</t>
        </is>
      </c>
      <c r="M45" s="26" t="inlineStr">
        <is>
          <t>fijo: profesor</t>
        </is>
      </c>
      <c r="N45" s="28" t="inlineStr">
        <is>
          <t>fijo: teqp</t>
        </is>
      </c>
    </row>
    <row r="46">
      <c r="A46" s="16" t="inlineStr">
        <is>
          <t>4.3 x_b · ronda 0</t>
        </is>
      </c>
      <c r="B46" s="27" t="inlineStr">
        <is>
          <t>barrido: 380.962 – 519.59</t>
        </is>
      </c>
      <c r="C46" s="27" t="inlineStr">
        <is>
          <t>barrido: 278.161 – 303.421</t>
        </is>
      </c>
      <c r="D46" s="27" t="inlineStr">
        <is>
          <t>barrido: 2022.35 – 4977.25</t>
        </is>
      </c>
      <c r="E46" s="27" t="inlineStr">
        <is>
          <t>barrido: 316.784 – 1998.76</t>
        </is>
      </c>
      <c r="F46" s="26" t="inlineStr">
        <is>
          <t>fijo: profesor</t>
        </is>
      </c>
      <c r="G46" s="26" t="inlineStr">
        <is>
          <t>fijo: profesor</t>
        </is>
      </c>
      <c r="H46" s="27" t="inlineStr">
        <is>
          <t>barrido: 0.401545 – 0.949561</t>
        </is>
      </c>
      <c r="I46" s="27" t="inlineStr">
        <is>
          <t>barrido: 0.401724 – 0.945897</t>
        </is>
      </c>
      <c r="J46" s="27" t="inlineStr">
        <is>
          <t>barrido: 0.401599 – 0.949613</t>
        </is>
      </c>
      <c r="K46" s="27" t="inlineStr">
        <is>
          <t>barrido: 0.402429 – 0.944798</t>
        </is>
      </c>
      <c r="L46" s="27" t="inlineStr">
        <is>
          <t>barrido: 0.403976 – 0.947693</t>
        </is>
      </c>
      <c r="M46" s="27" t="inlineStr">
        <is>
          <t>barrido: 278.161 – 303.421</t>
        </is>
      </c>
      <c r="N46" s="28" t="inlineStr">
        <is>
          <t>fijo: teqp</t>
        </is>
      </c>
    </row>
    <row r="47">
      <c r="A47" s="16" t="inlineStr">
        <is>
          <t>4.3 x_b+T_fuente · ronda 1</t>
        </is>
      </c>
      <c r="B47" s="26" t="inlineStr">
        <is>
          <t>fijo: profesor</t>
        </is>
      </c>
      <c r="C47" s="27" t="inlineStr">
        <is>
          <t>barrido: 278.848 – 302.949</t>
        </is>
      </c>
      <c r="D47" s="27" t="inlineStr">
        <is>
          <t>barrido: 2053.48 – 4944.13</t>
        </is>
      </c>
      <c r="E47" s="27" t="inlineStr">
        <is>
          <t>barrido: 340.403 – 1956.57</t>
        </is>
      </c>
      <c r="F47" s="26" t="inlineStr">
        <is>
          <t>fijo: profesor</t>
        </is>
      </c>
      <c r="G47" s="26" t="inlineStr">
        <is>
          <t>fijo: profesor</t>
        </is>
      </c>
      <c r="H47" s="27" t="inlineStr">
        <is>
          <t>barrido: 0.40522 – 0.947004</t>
        </is>
      </c>
      <c r="I47" s="27" t="inlineStr">
        <is>
          <t>barrido: 0.41022 – 0.939823</t>
        </is>
      </c>
      <c r="J47" s="27" t="inlineStr">
        <is>
          <t>barrido: 0.413797 – 0.935431</t>
        </is>
      </c>
      <c r="K47" s="27" t="inlineStr">
        <is>
          <t>barrido: 0.400784 – 0.939213</t>
        </is>
      </c>
      <c r="L47" s="27" t="inlineStr">
        <is>
          <t>barrido: 0.405791 – 0.944173</t>
        </is>
      </c>
      <c r="M47" s="27" t="inlineStr">
        <is>
          <t>barrido: 278.848 – 302.949</t>
        </is>
      </c>
      <c r="N47" s="28" t="inlineStr">
        <is>
          <t>fijo: teqp</t>
        </is>
      </c>
    </row>
    <row r="48">
      <c r="A48" s="16" t="inlineStr">
        <is>
          <t>4.3 x_b+eficiencias · ronda 1</t>
        </is>
      </c>
      <c r="B48" s="27" t="inlineStr">
        <is>
          <t>barrido: 384.037 – 517.014</t>
        </is>
      </c>
      <c r="C48" s="27" t="inlineStr">
        <is>
          <t>barrido: 278.55 – 303.53</t>
        </is>
      </c>
      <c r="D48" s="27" t="inlineStr">
        <is>
          <t>barrido: 2057.91 – 4961.27</t>
        </is>
      </c>
      <c r="E48" s="27" t="inlineStr">
        <is>
          <t>barrido: 330.145 – 1943.5</t>
        </is>
      </c>
      <c r="F48" s="26" t="inlineStr">
        <is>
          <t>fijo: profesor</t>
        </is>
      </c>
      <c r="G48" s="26" t="inlineStr">
        <is>
          <t>fijo: profesor</t>
        </is>
      </c>
      <c r="H48" s="26" t="inlineStr">
        <is>
          <t>fijo: profesor</t>
        </is>
      </c>
      <c r="I48" s="26" t="inlineStr">
        <is>
          <t>fijo: profesor</t>
        </is>
      </c>
      <c r="J48" s="26" t="inlineStr">
        <is>
          <t>fijo: profesor</t>
        </is>
      </c>
      <c r="K48" s="26" t="inlineStr">
        <is>
          <t>fijo: profesor</t>
        </is>
      </c>
      <c r="L48" s="26" t="inlineStr">
        <is>
          <t>fijo: profesor</t>
        </is>
      </c>
      <c r="M48" s="27" t="inlineStr">
        <is>
          <t>barrido: 278.55 – 303.53</t>
        </is>
      </c>
      <c r="N48" s="28" t="inlineStr">
        <is>
          <t>fijo: teqp</t>
        </is>
      </c>
    </row>
    <row r="49">
      <c r="A49" s="16" t="inlineStr">
        <is>
          <t>4.3 x_b+P_alta · ronda 1</t>
        </is>
      </c>
      <c r="B49" s="27" t="inlineStr">
        <is>
          <t>barrido: 382.6 – 518.065</t>
        </is>
      </c>
      <c r="C49" s="27" t="inlineStr">
        <is>
          <t>barrido: 278.393 – 302.731</t>
        </is>
      </c>
      <c r="D49" s="26" t="inlineStr">
        <is>
          <t>fijo: profesor</t>
        </is>
      </c>
      <c r="E49" s="27" t="inlineStr">
        <is>
          <t>barrido: 342.086 – 1989.51</t>
        </is>
      </c>
      <c r="F49" s="26" t="inlineStr">
        <is>
          <t>fijo: profesor</t>
        </is>
      </c>
      <c r="G49" s="26" t="inlineStr">
        <is>
          <t>fijo: profesor</t>
        </is>
      </c>
      <c r="H49" s="27" t="inlineStr">
        <is>
          <t>barrido: 0.410945 – 0.935766</t>
        </is>
      </c>
      <c r="I49" s="27" t="inlineStr">
        <is>
          <t>barrido: 0.416423 – 0.946515</t>
        </is>
      </c>
      <c r="J49" s="27" t="inlineStr">
        <is>
          <t>barrido: 0.403456 – 0.945563</t>
        </is>
      </c>
      <c r="K49" s="27" t="inlineStr">
        <is>
          <t>barrido: 0.415539 – 0.933999</t>
        </is>
      </c>
      <c r="L49" s="27" t="inlineStr">
        <is>
          <t>barrido: 0.414188 – 0.945692</t>
        </is>
      </c>
      <c r="M49" s="27" t="inlineStr">
        <is>
          <t>barrido: 278.393 – 302.731</t>
        </is>
      </c>
      <c r="N49" s="28" t="inlineStr">
        <is>
          <t>fijo: teqp</t>
        </is>
      </c>
    </row>
    <row r="50">
      <c r="A50" s="16" t="inlineStr">
        <is>
          <t>4.3 x_b+P_baja · ronda 1</t>
        </is>
      </c>
      <c r="B50" s="27" t="inlineStr">
        <is>
          <t>barrido: 383.998 – 516.488</t>
        </is>
      </c>
      <c r="C50" s="27" t="inlineStr">
        <is>
          <t>barrido: 278.739 – 303.442</t>
        </is>
      </c>
      <c r="D50" s="27" t="inlineStr">
        <is>
          <t>barrido: 2074.92 – 4986.77</t>
        </is>
      </c>
      <c r="E50" s="26" t="inlineStr">
        <is>
          <t>fijo: profesor</t>
        </is>
      </c>
      <c r="F50" s="26" t="inlineStr">
        <is>
          <t>fijo: profesor</t>
        </is>
      </c>
      <c r="G50" s="26" t="inlineStr">
        <is>
          <t>fijo: profesor</t>
        </is>
      </c>
      <c r="H50" s="27" t="inlineStr">
        <is>
          <t>barrido: 0.40304 – 0.948479</t>
        </is>
      </c>
      <c r="I50" s="27" t="inlineStr">
        <is>
          <t>barrido: 0.417836 – 0.947774</t>
        </is>
      </c>
      <c r="J50" s="27" t="inlineStr">
        <is>
          <t>barrido: 0.404429 – 0.942632</t>
        </is>
      </c>
      <c r="K50" s="27" t="inlineStr">
        <is>
          <t>barrido: 0.404476 – 0.940524</t>
        </is>
      </c>
      <c r="L50" s="27" t="inlineStr">
        <is>
          <t>barrido: 0.417173 – 0.942729</t>
        </is>
      </c>
      <c r="M50" s="27" t="inlineStr">
        <is>
          <t>barrido: 278.739 – 303.442</t>
        </is>
      </c>
      <c r="N50" s="28" t="inlineStr">
        <is>
          <t>fijo: teqp</t>
        </is>
      </c>
    </row>
    <row r="51">
      <c r="A51" s="16" t="inlineStr">
        <is>
          <t>4.3 x_b+T_sumidero · ronda 1</t>
        </is>
      </c>
      <c r="B51" s="27" t="inlineStr">
        <is>
          <t>barrido: 383.808 – 519.796</t>
        </is>
      </c>
      <c r="C51" s="26" t="inlineStr">
        <is>
          <t>fijo: profesor</t>
        </is>
      </c>
      <c r="D51" s="27" t="inlineStr">
        <is>
          <t>barrido: 2083.43 – 4923.78</t>
        </is>
      </c>
      <c r="E51" s="27" t="inlineStr">
        <is>
          <t>barrido: 312.409 – 1972.61</t>
        </is>
      </c>
      <c r="F51" s="26" t="inlineStr">
        <is>
          <t>fijo: profesor</t>
        </is>
      </c>
      <c r="G51" s="26" t="inlineStr">
        <is>
          <t>fijo: profesor</t>
        </is>
      </c>
      <c r="H51" s="27" t="inlineStr">
        <is>
          <t>barrido: 0.401911 – 0.933327</t>
        </is>
      </c>
      <c r="I51" s="27" t="inlineStr">
        <is>
          <t>barrido: 0.413781 – 0.941285</t>
        </is>
      </c>
      <c r="J51" s="27" t="inlineStr">
        <is>
          <t>barrido: 0.417369 – 0.949934</t>
        </is>
      </c>
      <c r="K51" s="27" t="inlineStr">
        <is>
          <t>barrido: 0.412106 – 0.93198</t>
        </is>
      </c>
      <c r="L51" s="27" t="inlineStr">
        <is>
          <t>barrido: 0.414827 – 0.935609</t>
        </is>
      </c>
      <c r="M51" s="26" t="inlineStr">
        <is>
          <t>fijo: profesor</t>
        </is>
      </c>
      <c r="N51" s="28" t="inlineStr">
        <is>
          <t>fijo: teqp</t>
        </is>
      </c>
    </row>
    <row r="52">
      <c r="A52" s="16" t="inlineStr">
        <is>
          <t>4.3 x_b+P_alta+T_fuente · ronda 2</t>
        </is>
      </c>
      <c r="B52" s="26" t="inlineStr">
        <is>
          <t>fijo: profesor</t>
        </is>
      </c>
      <c r="C52" s="27" t="inlineStr">
        <is>
          <t>barrido: 278.604 – 303.079</t>
        </is>
      </c>
      <c r="D52" s="26" t="inlineStr">
        <is>
          <t>fijo: profesor</t>
        </is>
      </c>
      <c r="E52" s="27" t="inlineStr">
        <is>
          <t>barrido: 311.166 – 1974.73</t>
        </is>
      </c>
      <c r="F52" s="26" t="inlineStr">
        <is>
          <t>fijo: profesor</t>
        </is>
      </c>
      <c r="G52" s="26" t="inlineStr">
        <is>
          <t>fijo: profesor</t>
        </is>
      </c>
      <c r="H52" s="27" t="inlineStr">
        <is>
          <t>barrido: 0.405029 – 0.943342</t>
        </is>
      </c>
      <c r="I52" s="27" t="inlineStr">
        <is>
          <t>barrido: 0.407698 – 0.93892</t>
        </is>
      </c>
      <c r="J52" s="27" t="inlineStr">
        <is>
          <t>barrido: 0.40971 – 0.933939</t>
        </is>
      </c>
      <c r="K52" s="27" t="inlineStr">
        <is>
          <t>barrido: 0.409906 – 0.946414</t>
        </is>
      </c>
      <c r="L52" s="27" t="inlineStr">
        <is>
          <t>barrido: 0.410205 – 0.946098</t>
        </is>
      </c>
      <c r="M52" s="27" t="inlineStr">
        <is>
          <t>barrido: 278.604 – 303.079</t>
        </is>
      </c>
      <c r="N52" s="28" t="inlineStr">
        <is>
          <t>fijo: teqp</t>
        </is>
      </c>
    </row>
    <row r="53">
      <c r="A53" s="16" t="inlineStr">
        <is>
          <t>4.3 x_b+P_alta+eficiencias · ronda 2</t>
        </is>
      </c>
      <c r="B53" s="27" t="inlineStr">
        <is>
          <t>barrido: 381.654 – 516.651</t>
        </is>
      </c>
      <c r="C53" s="27" t="inlineStr">
        <is>
          <t>barrido: 278.406 – 303.235</t>
        </is>
      </c>
      <c r="D53" s="26" t="inlineStr">
        <is>
          <t>fijo: profesor</t>
        </is>
      </c>
      <c r="E53" s="27" t="inlineStr">
        <is>
          <t>barrido: 306.726 – 1963.08</t>
        </is>
      </c>
      <c r="F53" s="26" t="inlineStr">
        <is>
          <t>fijo: profesor</t>
        </is>
      </c>
      <c r="G53" s="26" t="inlineStr">
        <is>
          <t>fijo: profesor</t>
        </is>
      </c>
      <c r="H53" s="26" t="inlineStr">
        <is>
          <t>fijo: profesor</t>
        </is>
      </c>
      <c r="I53" s="26" t="inlineStr">
        <is>
          <t>fijo: profesor</t>
        </is>
      </c>
      <c r="J53" s="26" t="inlineStr">
        <is>
          <t>fijo: profesor</t>
        </is>
      </c>
      <c r="K53" s="26" t="inlineStr">
        <is>
          <t>fijo: profesor</t>
        </is>
      </c>
      <c r="L53" s="26" t="inlineStr">
        <is>
          <t>fijo: profesor</t>
        </is>
      </c>
      <c r="M53" s="27" t="inlineStr">
        <is>
          <t>barrido: 278.406 – 303.235</t>
        </is>
      </c>
      <c r="N53" s="28" t="inlineStr">
        <is>
          <t>fijo: teqp</t>
        </is>
      </c>
    </row>
    <row r="54">
      <c r="A54" s="16" t="inlineStr">
        <is>
          <t>4.3 x_b+P_alta+P_baja · ronda 2</t>
        </is>
      </c>
      <c r="B54" s="27" t="inlineStr">
        <is>
          <t>barrido: 380.09 – 515.817</t>
        </is>
      </c>
      <c r="C54" s="27" t="inlineStr">
        <is>
          <t>barrido: 278.219 – 303.196</t>
        </is>
      </c>
      <c r="D54" s="26" t="inlineStr">
        <is>
          <t>fijo: profesor</t>
        </is>
      </c>
      <c r="E54" s="26" t="inlineStr">
        <is>
          <t>fijo: profesor</t>
        </is>
      </c>
      <c r="F54" s="26" t="inlineStr">
        <is>
          <t>fijo: profesor</t>
        </is>
      </c>
      <c r="G54" s="26" t="inlineStr">
        <is>
          <t>fijo: profesor</t>
        </is>
      </c>
      <c r="H54" s="27" t="inlineStr">
        <is>
          <t>barrido: 0.408142 – 0.949959</t>
        </is>
      </c>
      <c r="I54" s="27" t="inlineStr">
        <is>
          <t>barrido: 0.41112 – 0.94217</t>
        </is>
      </c>
      <c r="J54" s="27" t="inlineStr">
        <is>
          <t>barrido: 0.411196 – 0.936541</t>
        </is>
      </c>
      <c r="K54" s="27" t="inlineStr">
        <is>
          <t>barrido: 0.410692 – 0.939779</t>
        </is>
      </c>
      <c r="L54" s="27" t="inlineStr">
        <is>
          <t>barrido: 0.413089 – 0.948063</t>
        </is>
      </c>
      <c r="M54" s="27" t="inlineStr">
        <is>
          <t>barrido: 278.219 – 303.196</t>
        </is>
      </c>
      <c r="N54" s="28" t="inlineStr">
        <is>
          <t>fijo: teqp</t>
        </is>
      </c>
    </row>
    <row r="55">
      <c r="A55" s="16" t="inlineStr">
        <is>
          <t>4.3 x_b+P_alta+T_sumidero · ronda 2</t>
        </is>
      </c>
      <c r="B55" s="27" t="inlineStr">
        <is>
          <t>barrido: 383.95 – 517.819</t>
        </is>
      </c>
      <c r="C55" s="26" t="inlineStr">
        <is>
          <t>fijo: profesor</t>
        </is>
      </c>
      <c r="D55" s="26" t="inlineStr">
        <is>
          <t>fijo: profesor</t>
        </is>
      </c>
      <c r="E55" s="27" t="inlineStr">
        <is>
          <t>barrido: 338.076 – 1944.95</t>
        </is>
      </c>
      <c r="F55" s="26" t="inlineStr">
        <is>
          <t>fijo: profesor</t>
        </is>
      </c>
      <c r="G55" s="26" t="inlineStr">
        <is>
          <t>fijo: profesor</t>
        </is>
      </c>
      <c r="H55" s="27" t="inlineStr">
        <is>
          <t>barrido: 0.407797 – 0.93532</t>
        </is>
      </c>
      <c r="I55" s="27" t="inlineStr">
        <is>
          <t>barrido: 0.415917 – 0.941828</t>
        </is>
      </c>
      <c r="J55" s="27" t="inlineStr">
        <is>
          <t>barrido: 0.408675 – 0.948227</t>
        </is>
      </c>
      <c r="K55" s="27" t="inlineStr">
        <is>
          <t>barrido: 0.407654 – 0.936582</t>
        </is>
      </c>
      <c r="L55" s="27" t="inlineStr">
        <is>
          <t>barrido: 0.415951 – 0.937789</t>
        </is>
      </c>
      <c r="M55" s="26" t="inlineStr">
        <is>
          <t>fijo: profesor</t>
        </is>
      </c>
      <c r="N55" s="28" t="inlineStr">
        <is>
          <t>fijo: teqp</t>
        </is>
      </c>
    </row>
    <row r="56">
      <c r="A56" s="16" t="inlineStr">
        <is>
          <t>4.3 x_b+P_alta+eficiencias+T_fuente · ronda 3</t>
        </is>
      </c>
      <c r="B56" s="26" t="inlineStr">
        <is>
          <t>fijo: profesor</t>
        </is>
      </c>
      <c r="C56" s="27" t="inlineStr">
        <is>
          <t>barrido: 278.669 – 303.443</t>
        </is>
      </c>
      <c r="D56" s="26" t="inlineStr">
        <is>
          <t>fijo: profesor</t>
        </is>
      </c>
      <c r="E56" s="27" t="inlineStr">
        <is>
          <t>barrido: 317.027 – 1948.29</t>
        </is>
      </c>
      <c r="F56" s="26" t="inlineStr">
        <is>
          <t>fijo: profesor</t>
        </is>
      </c>
      <c r="G56" s="26" t="inlineStr">
        <is>
          <t>fijo: profesor</t>
        </is>
      </c>
      <c r="H56" s="26" t="inlineStr">
        <is>
          <t>fijo: profesor</t>
        </is>
      </c>
      <c r="I56" s="26" t="inlineStr">
        <is>
          <t>fijo: profesor</t>
        </is>
      </c>
      <c r="J56" s="26" t="inlineStr">
        <is>
          <t>fijo: profesor</t>
        </is>
      </c>
      <c r="K56" s="26" t="inlineStr">
        <is>
          <t>fijo: profesor</t>
        </is>
      </c>
      <c r="L56" s="26" t="inlineStr">
        <is>
          <t>fijo: profesor</t>
        </is>
      </c>
      <c r="M56" s="27" t="inlineStr">
        <is>
          <t>barrido: 278.669 – 303.443</t>
        </is>
      </c>
      <c r="N56" s="28" t="inlineStr">
        <is>
          <t>fijo: teqp</t>
        </is>
      </c>
    </row>
    <row r="57">
      <c r="A57" s="16" t="inlineStr">
        <is>
          <t>4.3 x_b+P_alta+eficiencias+P_baja · ronda 3</t>
        </is>
      </c>
      <c r="B57" s="27" t="inlineStr">
        <is>
          <t>barrido: 384.24 – 519.842</t>
        </is>
      </c>
      <c r="C57" s="27" t="inlineStr">
        <is>
          <t>barrido: 278.206 – 303.384</t>
        </is>
      </c>
      <c r="D57" s="26" t="inlineStr">
        <is>
          <t>fijo: profesor</t>
        </is>
      </c>
      <c r="E57" s="26" t="inlineStr">
        <is>
          <t>fijo: profesor</t>
        </is>
      </c>
      <c r="F57" s="26" t="inlineStr">
        <is>
          <t>fijo: profesor</t>
        </is>
      </c>
      <c r="G57" s="26" t="inlineStr">
        <is>
          <t>fijo: profesor</t>
        </is>
      </c>
      <c r="H57" s="26" t="inlineStr">
        <is>
          <t>fijo: profesor</t>
        </is>
      </c>
      <c r="I57" s="26" t="inlineStr">
        <is>
          <t>fijo: profesor</t>
        </is>
      </c>
      <c r="J57" s="26" t="inlineStr">
        <is>
          <t>fijo: profesor</t>
        </is>
      </c>
      <c r="K57" s="26" t="inlineStr">
        <is>
          <t>fijo: profesor</t>
        </is>
      </c>
      <c r="L57" s="26" t="inlineStr">
        <is>
          <t>fijo: profesor</t>
        </is>
      </c>
      <c r="M57" s="27" t="inlineStr">
        <is>
          <t>barrido: 278.206 – 303.384</t>
        </is>
      </c>
      <c r="N57" s="28" t="inlineStr">
        <is>
          <t>fijo: teqp</t>
        </is>
      </c>
    </row>
    <row r="58">
      <c r="A58" s="16" t="inlineStr">
        <is>
          <t>4.3 x_b+P_alta+eficiencias+T_sumidero · ronda 3</t>
        </is>
      </c>
      <c r="B58" s="27" t="inlineStr">
        <is>
          <t>barrido: 381.62 – 516.043</t>
        </is>
      </c>
      <c r="C58" s="26" t="inlineStr">
        <is>
          <t>fijo: profesor</t>
        </is>
      </c>
      <c r="D58" s="26" t="inlineStr">
        <is>
          <t>fijo: profesor</t>
        </is>
      </c>
      <c r="E58" s="27" t="inlineStr">
        <is>
          <t>barrido: 333.586 – 1956.25</t>
        </is>
      </c>
      <c r="F58" s="26" t="inlineStr">
        <is>
          <t>fijo: profesor</t>
        </is>
      </c>
      <c r="G58" s="26" t="inlineStr">
        <is>
          <t>fijo: profesor</t>
        </is>
      </c>
      <c r="H58" s="26" t="inlineStr">
        <is>
          <t>fijo: profesor</t>
        </is>
      </c>
      <c r="I58" s="26" t="inlineStr">
        <is>
          <t>fijo: profesor</t>
        </is>
      </c>
      <c r="J58" s="26" t="inlineStr">
        <is>
          <t>fijo: profesor</t>
        </is>
      </c>
      <c r="K58" s="26" t="inlineStr">
        <is>
          <t>fijo: profesor</t>
        </is>
      </c>
      <c r="L58" s="26" t="inlineStr">
        <is>
          <t>fijo: profesor</t>
        </is>
      </c>
      <c r="M58" s="26" t="inlineStr">
        <is>
          <t>fijo: profesor</t>
        </is>
      </c>
      <c r="N58" s="28" t="inlineStr">
        <is>
          <t>fijo: teqp</t>
        </is>
      </c>
    </row>
    <row r="59">
      <c r="A59" s="16" t="inlineStr">
        <is>
          <t>6.2e · P_baja mínima con su piso de diseño</t>
        </is>
      </c>
      <c r="B59" s="28" t="inlineStr">
        <is>
          <t>fijo: 394.15</t>
        </is>
      </c>
      <c r="C59" s="28" t="inlineStr">
        <is>
          <t>fijo: 278.15</t>
        </is>
      </c>
      <c r="D59" s="28" t="inlineStr">
        <is>
          <t>fijo: 3300</t>
        </is>
      </c>
      <c r="E59" s="27" t="inlineStr">
        <is>
          <t>barrido: 500 – 1000</t>
        </is>
      </c>
      <c r="F59" s="28" t="inlineStr">
        <is>
          <t>fijo: 0.82</t>
        </is>
      </c>
      <c r="G59" s="26" t="inlineStr">
        <is>
          <t>fijo: profesor</t>
        </is>
      </c>
      <c r="H59" s="28" t="inlineStr">
        <is>
          <t>fijo: 0.9</t>
        </is>
      </c>
      <c r="I59" s="28" t="inlineStr">
        <is>
          <t>fijo: 0.8</t>
        </is>
      </c>
      <c r="J59" s="26" t="inlineStr">
        <is>
          <t>fijo: profesor</t>
        </is>
      </c>
      <c r="K59" s="26" t="inlineStr">
        <is>
          <t>fijo: profesor</t>
        </is>
      </c>
      <c r="L59" s="28" t="inlineStr">
        <is>
          <t>fijo: 0.95</t>
        </is>
      </c>
      <c r="M59" s="27" t="inlineStr">
        <is>
          <t>barrido: 278.15 – 283.15</t>
        </is>
      </c>
      <c r="N59" s="28" t="inlineStr">
        <is>
          <t>fijo: teqp</t>
        </is>
      </c>
    </row>
    <row r="60">
      <c r="A60" s="16" t="inlineStr">
        <is>
          <t>6.1d · motor real con 1500 s</t>
        </is>
      </c>
      <c r="B60" s="27" t="inlineStr">
        <is>
          <t>barrido: 394.15 – 415</t>
        </is>
      </c>
      <c r="C60" s="27" t="inlineStr">
        <is>
          <t>barrido: 278.15 – 300.033</t>
        </is>
      </c>
      <c r="D60" s="27" t="inlineStr">
        <is>
          <t>barrido: 3000 – 3300</t>
        </is>
      </c>
      <c r="E60" s="27" t="inlineStr">
        <is>
          <t>barrido: 400 – 690</t>
        </is>
      </c>
      <c r="F60" s="27" t="inlineStr">
        <is>
          <t>barrido: 0.5 – 0.82</t>
        </is>
      </c>
      <c r="G60" s="26" t="inlineStr">
        <is>
          <t>fijo: profesor</t>
        </is>
      </c>
      <c r="H60" s="27" t="inlineStr">
        <is>
          <t>barrido: 0.85 – 0.95</t>
        </is>
      </c>
      <c r="I60" s="27" t="inlineStr">
        <is>
          <t>barrido: 0.75 – 0.805</t>
        </is>
      </c>
      <c r="J60" s="27" t="inlineStr">
        <is>
          <t>barrido: 0.85 – 0.95</t>
        </is>
      </c>
      <c r="K60" s="27" t="inlineStr">
        <is>
          <t>barrido: 0.75 – 0.95</t>
        </is>
      </c>
      <c r="L60" s="27" t="inlineStr">
        <is>
          <t>barrido: 0.8 – 0.95</t>
        </is>
      </c>
      <c r="M60" s="27" t="inlineStr">
        <is>
          <t>barrido: 283.15 – 300.033</t>
        </is>
      </c>
      <c r="N60" s="28" t="inlineStr">
        <is>
          <t>fijo: real</t>
        </is>
      </c>
    </row>
    <row r="61">
      <c r="A61" s="16" t="inlineStr">
        <is>
          <t>6.2a · Fase 3 de septiembre</t>
        </is>
      </c>
      <c r="B61" s="28" t="inlineStr">
        <is>
          <t>fijo: 394.15</t>
        </is>
      </c>
      <c r="C61" s="28" t="inlineStr">
        <is>
          <t>fijo: 278.15</t>
        </is>
      </c>
      <c r="D61" s="27" t="inlineStr">
        <is>
          <t>barrido: 3300 – 3500</t>
        </is>
      </c>
      <c r="E61" s="27" t="inlineStr">
        <is>
          <t>barrido: 670 – 1500</t>
        </is>
      </c>
      <c r="F61" s="27" t="inlineStr">
        <is>
          <t>barrido: 0.78 – 0.833333</t>
        </is>
      </c>
      <c r="G61" s="26" t="inlineStr">
        <is>
          <t>fijo: profesor</t>
        </is>
      </c>
      <c r="H61" s="27" t="inlineStr">
        <is>
          <t>barrido: 0.85 – 0.98</t>
        </is>
      </c>
      <c r="I61" s="28" t="inlineStr">
        <is>
          <t>fijo: 0.8</t>
        </is>
      </c>
      <c r="J61" s="26" t="inlineStr">
        <is>
          <t>fijo: profesor</t>
        </is>
      </c>
      <c r="K61" s="27" t="inlineStr">
        <is>
          <t>barrido: 0.75 – 0.95</t>
        </is>
      </c>
      <c r="L61" s="27" t="inlineStr">
        <is>
          <t>barrido: 0.95 – 0.99</t>
        </is>
      </c>
      <c r="M61" s="27" t="inlineStr">
        <is>
          <t>barrido: 283.15 – 303.55</t>
        </is>
      </c>
      <c r="N61" s="28" t="inlineStr">
        <is>
          <t>fijo: teqp</t>
        </is>
      </c>
    </row>
    <row r="62">
      <c r="A62" s="16" t="inlineStr">
        <is>
          <t>6.2b · una variable a la vez</t>
        </is>
      </c>
      <c r="B62" s="27" t="inlineStr">
        <is>
          <t>barrido: 380 – 430</t>
        </is>
      </c>
      <c r="C62" s="27" t="inlineStr">
        <is>
          <t>barrido: 273.15 – 293.15</t>
        </is>
      </c>
      <c r="D62" s="27" t="inlineStr">
        <is>
          <t>barrido: 2500 – 4000</t>
        </is>
      </c>
      <c r="E62" s="27" t="inlineStr">
        <is>
          <t>barrido: 500 – 1200</t>
        </is>
      </c>
      <c r="F62" s="27" t="inlineStr">
        <is>
          <t>barrido: 0.6 – 0.95</t>
        </is>
      </c>
      <c r="G62" s="26" t="inlineStr">
        <is>
          <t>fijo: profesor</t>
        </is>
      </c>
      <c r="H62" s="27" t="inlineStr">
        <is>
          <t>barrido: 0.75 – 0.95</t>
        </is>
      </c>
      <c r="I62" s="27" t="inlineStr">
        <is>
          <t>barrido: 0.6 – 0.9</t>
        </is>
      </c>
      <c r="J62" s="27" t="inlineStr">
        <is>
          <t>barrido: 0.6 – 0.95</t>
        </is>
      </c>
      <c r="K62" s="27" t="inlineStr">
        <is>
          <t>barrido: 0.4 – 0.95</t>
        </is>
      </c>
      <c r="L62" s="27" t="inlineStr">
        <is>
          <t>barrido: 0.7 – 0.95</t>
        </is>
      </c>
      <c r="M62" s="28" t="inlineStr">
        <is>
          <t>fijo: 283.15</t>
        </is>
      </c>
      <c r="N62" s="28" t="inlineStr">
        <is>
          <t>fijo: teqp</t>
        </is>
      </c>
    </row>
    <row r="63">
      <c r="A63" s="16" t="inlineStr">
        <is>
          <t>6.2c · malla x_b × P_baja (x_b 0.70–0.91)</t>
        </is>
      </c>
      <c r="B63" s="28" t="inlineStr">
        <is>
          <t>fijo: 394.15</t>
        </is>
      </c>
      <c r="C63" s="28" t="inlineStr">
        <is>
          <t>fijo: 278.15</t>
        </is>
      </c>
      <c r="D63" s="28" t="inlineStr">
        <is>
          <t>fijo: 3300</t>
        </is>
      </c>
      <c r="E63" s="27" t="inlineStr">
        <is>
          <t>barrido: 500 – 1200</t>
        </is>
      </c>
      <c r="F63" s="27" t="inlineStr">
        <is>
          <t>barrido: 0.7 – 0.91</t>
        </is>
      </c>
      <c r="G63" s="26" t="inlineStr">
        <is>
          <t>fijo: profesor</t>
        </is>
      </c>
      <c r="H63" s="28" t="inlineStr">
        <is>
          <t>fijo: 0.9</t>
        </is>
      </c>
      <c r="I63" s="28" t="inlineStr">
        <is>
          <t>fijo: 0.8</t>
        </is>
      </c>
      <c r="J63" s="26" t="inlineStr">
        <is>
          <t>fijo: profesor</t>
        </is>
      </c>
      <c r="K63" s="26" t="inlineStr">
        <is>
          <t>fijo: profesor</t>
        </is>
      </c>
      <c r="L63" s="28" t="inlineStr">
        <is>
          <t>fijo: 0.95</t>
        </is>
      </c>
      <c r="M63" s="28" t="inlineStr">
        <is>
          <t>fijo: 283.15</t>
        </is>
      </c>
      <c r="N63" s="28" t="inlineStr">
        <is>
          <t>fijo: teqp</t>
        </is>
      </c>
    </row>
    <row r="64">
      <c r="A64" s="16" t="inlineStr">
        <is>
          <t>6.2d · x_b bajo (0.30–0.70)</t>
        </is>
      </c>
      <c r="B64" s="28" t="inlineStr">
        <is>
          <t>fijo: 394.15</t>
        </is>
      </c>
      <c r="C64" s="28" t="inlineStr">
        <is>
          <t>fijo: 278.15</t>
        </is>
      </c>
      <c r="D64" s="28" t="inlineStr">
        <is>
          <t>fijo: 3300</t>
        </is>
      </c>
      <c r="E64" s="28" t="inlineStr">
        <is>
          <t>fijo: 690</t>
        </is>
      </c>
      <c r="F64" s="27" t="inlineStr">
        <is>
          <t>barrido: 0.3 – 0.7</t>
        </is>
      </c>
      <c r="G64" s="26" t="inlineStr">
        <is>
          <t>fijo: profesor</t>
        </is>
      </c>
      <c r="H64" s="28" t="inlineStr">
        <is>
          <t>fijo: 0.9</t>
        </is>
      </c>
      <c r="I64" s="28" t="inlineStr">
        <is>
          <t>fijo: 0.8</t>
        </is>
      </c>
      <c r="J64" s="26" t="inlineStr">
        <is>
          <t>fijo: profesor</t>
        </is>
      </c>
      <c r="K64" s="26" t="inlineStr">
        <is>
          <t>fijo: profesor</t>
        </is>
      </c>
      <c r="L64" s="28" t="inlineStr">
        <is>
          <t>fijo: 0.95</t>
        </is>
      </c>
      <c r="M64" s="28" t="inlineStr">
        <is>
          <t>fijo: 283.15</t>
        </is>
      </c>
      <c r="N64" s="28" t="inlineStr">
        <is>
          <t>fijo: teqp</t>
        </is>
      </c>
    </row>
    <row r="65">
      <c r="A65" s="16" t="inlineStr">
        <is>
          <t>6.2c · malla x_b × P_baja (x_b 0.30–0.70)</t>
        </is>
      </c>
      <c r="B65" s="28" t="inlineStr">
        <is>
          <t>fijo: 394.15</t>
        </is>
      </c>
      <c r="C65" s="28" t="inlineStr">
        <is>
          <t>fijo: 278.15</t>
        </is>
      </c>
      <c r="D65" s="28" t="inlineStr">
        <is>
          <t>fijo: 3300</t>
        </is>
      </c>
      <c r="E65" s="27" t="inlineStr">
        <is>
          <t>barrido: 200 – 700</t>
        </is>
      </c>
      <c r="F65" s="27" t="inlineStr">
        <is>
          <t>barrido: 0.3 – 0.7</t>
        </is>
      </c>
      <c r="G65" s="26" t="inlineStr">
        <is>
          <t>fijo: profesor</t>
        </is>
      </c>
      <c r="H65" s="28" t="inlineStr">
        <is>
          <t>fijo: 0.9</t>
        </is>
      </c>
      <c r="I65" s="28" t="inlineStr">
        <is>
          <t>fijo: 0.8</t>
        </is>
      </c>
      <c r="J65" s="26" t="inlineStr">
        <is>
          <t>fijo: profesor</t>
        </is>
      </c>
      <c r="K65" s="26" t="inlineStr">
        <is>
          <t>fijo: profesor</t>
        </is>
      </c>
      <c r="L65" s="28" t="inlineStr">
        <is>
          <t>fijo: 0.95</t>
        </is>
      </c>
      <c r="M65" s="28" t="inlineStr">
        <is>
          <t>fijo: 283.15</t>
        </is>
      </c>
      <c r="N65" s="28" t="inlineStr">
        <is>
          <t>fijo: teqp</t>
        </is>
      </c>
    </row>
    <row r="67">
      <c r="A67" s="23" t="inlineStr">
        <is>
          <t>Notas: Filtro: todas las partes (sin el anexo A.1). n = 58 filas en la tabla. † = fuera del rango confiable (IAPWS G4-01); ‡ = falso convergido. Fuente: casos_x_variables.csv. fijo: profesor = igual al dato del profesor; fijo: &lt;valor&gt; = fijo en otro valor; barrido: a – b = barrida en ese rango; vacío = sin dato en la fuente.</t>
        </is>
      </c>
    </row>
  </sheetData>
  <autoFilter ref="A7:N6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48" customWidth="1" min="1" max="1"/>
    <col width="35" customWidth="1" min="2" max="2"/>
    <col width="48" customWidth="1" min="3" max="3"/>
    <col width="48" customWidth="1" min="4" max="4"/>
    <col width="21" customWidth="1" min="5" max="5"/>
    <col width="10" customWidth="1" min="6" max="6"/>
    <col width="10" customWidth="1" min="7" max="7"/>
    <col width="10" customWidth="1" min="8" max="8"/>
  </cols>
  <sheetData>
    <row r="1">
      <c r="A1" s="19" t="inlineStr">
        <is>
          <t>Tabla S-3 · Rangos KALINA comparados</t>
        </is>
      </c>
    </row>
    <row r="2">
      <c r="A2" s="20" t="inlineStr">
        <is>
          <t>Síntesis de toda la campaña: cada fila es un estudio o una parte con sus propios datos fijos.</t>
        </is>
      </c>
    </row>
    <row r="3">
      <c r="A3" s="20" t="inlineStr"/>
    </row>
    <row r="4">
      <c r="A4" s="21" t="inlineStr">
        <is>
          <t>Síntesis: cada fila es un estudio o una parte con sus propios datos fijos.</t>
        </is>
      </c>
    </row>
    <row r="5">
      <c r="A5" s="20" t="inlineStr">
        <is>
          <t>Fuente: todos_los_puntos.csv</t>
        </is>
      </c>
    </row>
    <row r="7">
      <c r="A7" s="22" t="inlineStr">
        <is>
          <t>Estudio</t>
        </is>
      </c>
      <c r="B7" s="22" t="inlineStr">
        <is>
          <t>Parte</t>
        </is>
      </c>
      <c r="C7" s="22" t="inlineStr">
        <is>
          <t>Datos fijos</t>
        </is>
      </c>
      <c r="D7" s="22" t="inlineStr">
        <is>
          <t>Variable</t>
        </is>
      </c>
      <c r="E7" s="22" t="inlineStr">
        <is>
          <t>n KALINA confiables</t>
        </is>
      </c>
      <c r="F7" s="22" t="inlineStr">
        <is>
          <t>p5</t>
        </is>
      </c>
      <c r="G7" s="22" t="inlineStr">
        <is>
          <t>Mediana</t>
        </is>
      </c>
      <c r="H7" s="22" t="inlineStr">
        <is>
          <t>p95</t>
        </is>
      </c>
    </row>
    <row r="8">
      <c r="A8" s="16" t="inlineStr">
        <is>
          <t>estudio 3.2</t>
        </is>
      </c>
      <c r="B8" s="16" t="inlineStr">
        <is>
          <t>3.2</t>
        </is>
      </c>
      <c r="C8" s="16" t="inlineStr">
        <is>
          <t>Datos fijos: m_b = 1 kg/s; motor de propiedades = teqp.</t>
        </is>
      </c>
      <c r="D8" s="16" t="inlineStr">
        <is>
          <t>Presión de alta, P_alta [kPa]</t>
        </is>
      </c>
      <c r="E8" s="16" t="n">
        <v>83</v>
      </c>
      <c r="F8" s="16" t="n">
        <v>2161.5</v>
      </c>
      <c r="G8" s="16" t="n">
        <v>3558.4</v>
      </c>
      <c r="H8" s="16" t="n">
        <v>4906.7</v>
      </c>
    </row>
    <row r="9">
      <c r="A9" s="16" t="inlineStr">
        <is>
          <t>estudio 3.2</t>
        </is>
      </c>
      <c r="B9" s="16" t="inlineStr">
        <is>
          <t>3.2</t>
        </is>
      </c>
      <c r="C9" s="16" t="inlineStr">
        <is>
          <t>Datos fijos: m_b = 1 kg/s; motor de propiedades = teqp.</t>
        </is>
      </c>
      <c r="D9" s="16" t="inlineStr">
        <is>
          <t>Presión de baja, P_baja [kPa]</t>
        </is>
      </c>
      <c r="E9" s="16" t="n">
        <v>83</v>
      </c>
      <c r="F9" s="16" t="n">
        <v>681.28</v>
      </c>
      <c r="G9" s="16" t="n">
        <v>1152.8</v>
      </c>
      <c r="H9" s="16" t="n">
        <v>1464.5</v>
      </c>
    </row>
    <row r="10">
      <c r="A10" s="16" t="inlineStr">
        <is>
          <t>estudio 3.2</t>
        </is>
      </c>
      <c r="B10" s="16" t="inlineStr">
        <is>
          <t>3.2</t>
        </is>
      </c>
      <c r="C10" s="16" t="inlineStr">
        <is>
          <t>Datos fijos: m_b = 1 kg/s; motor de propiedades = teqp.</t>
        </is>
      </c>
      <c r="D10" s="16" t="inlineStr">
        <is>
          <t>Diferencia de presiones, ΔP [kPa]</t>
        </is>
      </c>
      <c r="E10" s="16" t="n">
        <v>83</v>
      </c>
      <c r="F10" s="16" t="n">
        <v>972.66</v>
      </c>
      <c r="G10" s="16" t="n">
        <v>2529</v>
      </c>
      <c r="H10" s="16" t="n">
        <v>3761.5</v>
      </c>
    </row>
    <row r="11">
      <c r="A11" s="16" t="inlineStr">
        <is>
          <t>estudio 3.2</t>
        </is>
      </c>
      <c r="B11" s="16" t="inlineStr">
        <is>
          <t>3.2</t>
        </is>
      </c>
      <c r="C11" s="16" t="inlineStr">
        <is>
          <t>Datos fijos: m_b = 1 kg/s; motor de propiedades = teqp.</t>
        </is>
      </c>
      <c r="D11" s="16" t="inlineStr">
        <is>
          <t>Razón de presiones, r_P [–]</t>
        </is>
      </c>
      <c r="E11" s="16" t="n">
        <v>83</v>
      </c>
      <c r="F11" s="16" t="n">
        <v>1.7115</v>
      </c>
      <c r="G11" s="16" t="n">
        <v>3.2108</v>
      </c>
      <c r="H11" s="16" t="n">
        <v>6.1966</v>
      </c>
    </row>
    <row r="12">
      <c r="A12" s="16" t="inlineStr">
        <is>
          <t>estudio 3.2</t>
        </is>
      </c>
      <c r="B12" s="16" t="inlineStr">
        <is>
          <t>3.2</t>
        </is>
      </c>
      <c r="C12" s="16" t="inlineStr">
        <is>
          <t>Datos fijos: m_b = 1 kg/s; motor de propiedades = teqp.</t>
        </is>
      </c>
      <c r="D12" s="16" t="inlineStr">
        <is>
          <t>Temperatura de la fuente, T_fuente [K]</t>
        </is>
      </c>
      <c r="E12" s="16" t="n">
        <v>83</v>
      </c>
      <c r="F12" s="16" t="n">
        <v>382.47</v>
      </c>
      <c r="G12" s="16" t="n">
        <v>409.35</v>
      </c>
      <c r="H12" s="16" t="n">
        <v>455.28</v>
      </c>
    </row>
    <row r="13">
      <c r="A13" s="16" t="inlineStr">
        <is>
          <t>estudio 3.2</t>
        </is>
      </c>
      <c r="B13" s="16" t="inlineStr">
        <is>
          <t>3.2</t>
        </is>
      </c>
      <c r="C13" s="16" t="inlineStr">
        <is>
          <t>Datos fijos: m_b = 1 kg/s; motor de propiedades = teqp.</t>
        </is>
      </c>
      <c r="D13" s="16" t="inlineStr">
        <is>
          <t>Fracción de amoníaco de la mezcla base, x_b [–]</t>
        </is>
      </c>
      <c r="E13" s="16" t="n">
        <v>83</v>
      </c>
      <c r="F13" s="16" t="n">
        <v>0.51458</v>
      </c>
      <c r="G13" s="16" t="n">
        <v>0.66017</v>
      </c>
      <c r="H13" s="16" t="n">
        <v>0.80791</v>
      </c>
    </row>
    <row r="14">
      <c r="A14" s="16" t="inlineStr">
        <is>
          <t>estudio 4.1 escenario S1</t>
        </is>
      </c>
      <c r="B14" s="16" t="inlineStr">
        <is>
          <t>4.1a</t>
        </is>
      </c>
      <c r="C14" s="16" t="inlineStr">
        <is>
          <t>Datos fijos: T_fuente = 623.15 K; T_sumidero = 300.03 K; m_b = 1 kg/s; piso de O2 = 300.03 K; motor de propiedades = teqp.</t>
        </is>
      </c>
      <c r="D14" s="16" t="inlineStr">
        <is>
          <t>Presión de alta, P_alta [kPa]</t>
        </is>
      </c>
      <c r="E14" s="16" t="n">
        <v>2</v>
      </c>
      <c r="F14" s="16" t="n">
        <v>3242.4</v>
      </c>
      <c r="G14" s="16" t="n">
        <v>3556.7</v>
      </c>
      <c r="H14" s="16" t="n">
        <v>3871</v>
      </c>
    </row>
    <row r="15">
      <c r="A15" s="16" t="inlineStr">
        <is>
          <t>estudio 4.1 escenario S1</t>
        </is>
      </c>
      <c r="B15" s="16" t="inlineStr">
        <is>
          <t>4.1a</t>
        </is>
      </c>
      <c r="C15" s="16" t="inlineStr">
        <is>
          <t>Datos fijos: T_fuente = 623.15 K; T_sumidero = 300.03 K; m_b = 1 kg/s; piso de O2 = 300.03 K; motor de propiedades = teqp.</t>
        </is>
      </c>
      <c r="D15" s="16" t="inlineStr">
        <is>
          <t>Presión de baja, P_baja [kPa]</t>
        </is>
      </c>
      <c r="E15" s="16" t="n">
        <v>2</v>
      </c>
      <c r="F15" s="16" t="n">
        <v>1389.9</v>
      </c>
      <c r="G15" s="16" t="n">
        <v>1662.6</v>
      </c>
      <c r="H15" s="16" t="n">
        <v>1935.3</v>
      </c>
    </row>
    <row r="16">
      <c r="A16" s="16" t="inlineStr">
        <is>
          <t>estudio 4.1 escenario S1</t>
        </is>
      </c>
      <c r="B16" s="16" t="inlineStr">
        <is>
          <t>4.1a</t>
        </is>
      </c>
      <c r="C16" s="16" t="inlineStr">
        <is>
          <t>Datos fijos: T_fuente = 623.15 K; T_sumidero = 300.03 K; m_b = 1 kg/s; piso de O2 = 300.03 K; motor de propiedades = teqp.</t>
        </is>
      </c>
      <c r="D16" s="16" t="inlineStr">
        <is>
          <t>Diferencia de presiones, ΔP [kPa]</t>
        </is>
      </c>
      <c r="E16" s="16" t="n">
        <v>2</v>
      </c>
      <c r="F16" s="16" t="n">
        <v>1307.1</v>
      </c>
      <c r="G16" s="16" t="n">
        <v>1894.1</v>
      </c>
      <c r="H16" s="16" t="n">
        <v>2481.2</v>
      </c>
    </row>
    <row r="17">
      <c r="A17" s="16" t="inlineStr">
        <is>
          <t>estudio 4.1 escenario S1</t>
        </is>
      </c>
      <c r="B17" s="16" t="inlineStr">
        <is>
          <t>4.1a</t>
        </is>
      </c>
      <c r="C17" s="16" t="inlineStr">
        <is>
          <t>Datos fijos: T_fuente = 623.15 K; T_sumidero = 300.03 K; m_b = 1 kg/s; piso de O2 = 300.03 K; motor de propiedades = teqp.</t>
        </is>
      </c>
      <c r="D17" s="16" t="inlineStr">
        <is>
          <t>Razón de presiones, r_P [–]</t>
        </is>
      </c>
      <c r="E17" s="16" t="n">
        <v>2</v>
      </c>
      <c r="F17" s="16" t="n">
        <v>1.6939</v>
      </c>
      <c r="G17" s="16" t="n">
        <v>2.2524</v>
      </c>
      <c r="H17" s="16" t="n">
        <v>2.8109</v>
      </c>
    </row>
    <row r="18">
      <c r="A18" s="16" t="inlineStr">
        <is>
          <t>estudio 4.1 escenario S1</t>
        </is>
      </c>
      <c r="B18" s="16" t="inlineStr">
        <is>
          <t>4.1a</t>
        </is>
      </c>
      <c r="C18" s="16" t="inlineStr">
        <is>
          <t>Datos fijos: T_fuente = 623.15 K; T_sumidero = 300.03 K; m_b = 1 kg/s; piso de O2 = 300.03 K; motor de propiedades = teqp.</t>
        </is>
      </c>
      <c r="D18" s="16" t="inlineStr">
        <is>
          <t>Temperatura de la fuente, T_fuente [K]</t>
        </is>
      </c>
      <c r="E18" s="16" t="n">
        <v>2</v>
      </c>
      <c r="F18" s="16" t="n">
        <v>623.15</v>
      </c>
      <c r="G18" s="16" t="n">
        <v>623.15</v>
      </c>
      <c r="H18" s="16" t="n">
        <v>623.15</v>
      </c>
    </row>
    <row r="19">
      <c r="A19" s="16" t="inlineStr">
        <is>
          <t>estudio 4.1 escenario S1</t>
        </is>
      </c>
      <c r="B19" s="16" t="inlineStr">
        <is>
          <t>4.1a</t>
        </is>
      </c>
      <c r="C19" s="16" t="inlineStr">
        <is>
          <t>Datos fijos: T_fuente = 623.15 K; T_sumidero = 300.03 K; m_b = 1 kg/s; piso de O2 = 300.03 K; motor de propiedades = teqp.</t>
        </is>
      </c>
      <c r="D19" s="16" t="inlineStr">
        <is>
          <t>Fracción de amoníaco de la mezcla base, x_b [–]</t>
        </is>
      </c>
      <c r="E19" s="16" t="n">
        <v>2</v>
      </c>
      <c r="F19" s="16" t="n">
        <v>0.71922</v>
      </c>
      <c r="G19" s="16" t="n">
        <v>0.77145</v>
      </c>
      <c r="H19" s="16" t="n">
        <v>0.82368</v>
      </c>
    </row>
    <row r="20">
      <c r="A20" s="16" t="inlineStr">
        <is>
          <t>estudio 4.1 escenario S2</t>
        </is>
      </c>
      <c r="B20" s="16" t="inlineStr">
        <is>
          <t>4.1b</t>
        </is>
      </c>
      <c r="C20" s="16" t="inlineStr">
        <is>
          <t>Datos fijos: P_alta = 3000 kPa; P_baja = 400 kPa; m_b = 1 kg/s; motor de propiedades = teqp.</t>
        </is>
      </c>
      <c r="D20" s="16" t="inlineStr">
        <is>
          <t>— (sin KALINA confiables)</t>
        </is>
      </c>
      <c r="E20" s="16" t="n">
        <v>0</v>
      </c>
      <c r="F20" s="16" t="n"/>
      <c r="G20" s="16" t="n"/>
      <c r="H20" s="16" t="n"/>
    </row>
    <row r="21">
      <c r="A21" s="16" t="inlineStr">
        <is>
          <t>estudio 4.1 escenario S3</t>
        </is>
      </c>
      <c r="B21" s="16" t="inlineStr">
        <is>
          <t>4.1c</t>
        </is>
      </c>
      <c r="C21" s="16" t="inlineStr">
        <is>
          <t>Datos fijos: T_sumidero = 300.03 K; P_alta = 3000 kPa; P_baja = 400 kPa; m_b = 1 kg/s; piso de O2 = 300.03 K; motor de propiedades = teqp.</t>
        </is>
      </c>
      <c r="D21" s="16" t="inlineStr">
        <is>
          <t>— (sin KALINA confiables)</t>
        </is>
      </c>
      <c r="E21" s="16" t="n">
        <v>0</v>
      </c>
      <c r="F21" s="16" t="n"/>
      <c r="G21" s="16" t="n"/>
      <c r="H21" s="16" t="n"/>
    </row>
    <row r="22">
      <c r="A22" s="16" t="inlineStr">
        <is>
          <t>estudio 4.1 escenario S4</t>
        </is>
      </c>
      <c r="B22" s="16" t="inlineStr">
        <is>
          <t>4.1d</t>
        </is>
      </c>
      <c r="C22" s="16" t="inlineStr">
        <is>
          <t>Datos fijos: T_fuente = 623.15 K; T_sumidero = 300.03 K; P_alta = 3000 kPa; m_b = 1 kg/s; piso de O2 = 300.03 K; motor de propiedades = teqp.</t>
        </is>
      </c>
      <c r="D22" s="16" t="inlineStr">
        <is>
          <t>— (sin KALINA confiables)</t>
        </is>
      </c>
      <c r="E22" s="16" t="n">
        <v>0</v>
      </c>
      <c r="F22" s="16" t="n"/>
      <c r="G22" s="16" t="n"/>
      <c r="H22" s="16" t="n"/>
    </row>
    <row r="23">
      <c r="A23" s="16" t="inlineStr">
        <is>
          <t>estudio 4.1 escenario S5</t>
        </is>
      </c>
      <c r="B23" s="16" t="inlineStr">
        <is>
          <t>4.1e</t>
        </is>
      </c>
      <c r="C23" s="16" t="inlineStr">
        <is>
          <t>Datos fijos: T_fuente = 623.15 K; x_b = 0.5; m_b = 1 kg/s; motor de propiedades = teqp.</t>
        </is>
      </c>
      <c r="D23" s="16" t="inlineStr">
        <is>
          <t>— (sin KALINA confiables)</t>
        </is>
      </c>
      <c r="E23" s="16" t="n">
        <v>0</v>
      </c>
      <c r="F23" s="16" t="n"/>
      <c r="G23" s="16" t="n"/>
      <c r="H23" s="16" t="n"/>
    </row>
    <row r="24">
      <c r="A24" s="16" t="inlineStr">
        <is>
          <t>4.2</t>
        </is>
      </c>
      <c r="B24" s="16" t="inlineStr">
        <is>
          <t>4.2</t>
        </is>
      </c>
      <c r="C24" s="16" t="inlineStr">
        <is>
          <t>Datos fijos: P_alta = 3000 kPa; P_baja = 400 kPa; x_b = 0.5; m_b = 1 kg/s; η_t = 0.85; η_p = 0.75; ε_HRVG = 0.85; ε_reg = 0.75; motor de propiedades = teqp.</t>
        </is>
      </c>
      <c r="D24" s="16" t="inlineStr">
        <is>
          <t>Presión de alta, P_alta [kPa]</t>
        </is>
      </c>
      <c r="E24" s="16" t="n">
        <v>104</v>
      </c>
      <c r="F24" s="16" t="n">
        <v>3000</v>
      </c>
      <c r="G24" s="16" t="n">
        <v>3000</v>
      </c>
      <c r="H24" s="16" t="n">
        <v>3000</v>
      </c>
    </row>
    <row r="25">
      <c r="A25" s="16" t="inlineStr">
        <is>
          <t>4.2</t>
        </is>
      </c>
      <c r="B25" s="16" t="inlineStr">
        <is>
          <t>4.2</t>
        </is>
      </c>
      <c r="C25" s="16" t="inlineStr">
        <is>
          <t>Datos fijos: P_alta = 3000 kPa; P_baja = 400 kPa; x_b = 0.5; m_b = 1 kg/s; η_t = 0.85; η_p = 0.75; ε_HRVG = 0.85; ε_reg = 0.75; motor de propiedades = teqp.</t>
        </is>
      </c>
      <c r="D25" s="16" t="inlineStr">
        <is>
          <t>Presión de baja, P_baja [kPa]</t>
        </is>
      </c>
      <c r="E25" s="16" t="n">
        <v>104</v>
      </c>
      <c r="F25" s="16" t="n">
        <v>400</v>
      </c>
      <c r="G25" s="16" t="n">
        <v>400</v>
      </c>
      <c r="H25" s="16" t="n">
        <v>400</v>
      </c>
    </row>
    <row r="26">
      <c r="A26" s="16" t="inlineStr">
        <is>
          <t>4.2</t>
        </is>
      </c>
      <c r="B26" s="16" t="inlineStr">
        <is>
          <t>4.2</t>
        </is>
      </c>
      <c r="C26" s="16" t="inlineStr">
        <is>
          <t>Datos fijos: P_alta = 3000 kPa; P_baja = 400 kPa; x_b = 0.5; m_b = 1 kg/s; η_t = 0.85; η_p = 0.75; ε_HRVG = 0.85; ε_reg = 0.75; motor de propiedades = teqp.</t>
        </is>
      </c>
      <c r="D26" s="16" t="inlineStr">
        <is>
          <t>Diferencia de presiones, ΔP [kPa]</t>
        </is>
      </c>
      <c r="E26" s="16" t="n">
        <v>104</v>
      </c>
      <c r="F26" s="16" t="n">
        <v>2600</v>
      </c>
      <c r="G26" s="16" t="n">
        <v>2600</v>
      </c>
      <c r="H26" s="16" t="n">
        <v>2600</v>
      </c>
    </row>
    <row r="27">
      <c r="A27" s="16" t="inlineStr">
        <is>
          <t>4.2</t>
        </is>
      </c>
      <c r="B27" s="16" t="inlineStr">
        <is>
          <t>4.2</t>
        </is>
      </c>
      <c r="C27" s="16" t="inlineStr">
        <is>
          <t>Datos fijos: P_alta = 3000 kPa; P_baja = 400 kPa; x_b = 0.5; m_b = 1 kg/s; η_t = 0.85; η_p = 0.75; ε_HRVG = 0.85; ε_reg = 0.75; motor de propiedades = teqp.</t>
        </is>
      </c>
      <c r="D27" s="16" t="inlineStr">
        <is>
          <t>Razón de presiones, r_P [–]</t>
        </is>
      </c>
      <c r="E27" s="16" t="n">
        <v>104</v>
      </c>
      <c r="F27" s="16" t="n">
        <v>7.5</v>
      </c>
      <c r="G27" s="16" t="n">
        <v>7.5</v>
      </c>
      <c r="H27" s="16" t="n">
        <v>7.5</v>
      </c>
    </row>
    <row r="28">
      <c r="A28" s="16" t="inlineStr">
        <is>
          <t>4.2</t>
        </is>
      </c>
      <c r="B28" s="16" t="inlineStr">
        <is>
          <t>4.2</t>
        </is>
      </c>
      <c r="C28" s="16" t="inlineStr">
        <is>
          <t>Datos fijos: P_alta = 3000 kPa; P_baja = 400 kPa; x_b = 0.5; m_b = 1 kg/s; η_t = 0.85; η_p = 0.75; ε_HRVG = 0.85; ε_reg = 0.75; motor de propiedades = teqp.</t>
        </is>
      </c>
      <c r="D28" s="16" t="inlineStr">
        <is>
          <t>Temperatura de la fuente, T_fuente [K]</t>
        </is>
      </c>
      <c r="E28" s="16" t="n">
        <v>104</v>
      </c>
      <c r="F28" s="16" t="n">
        <v>390</v>
      </c>
      <c r="G28" s="16" t="n">
        <v>400</v>
      </c>
      <c r="H28" s="16" t="n">
        <v>410</v>
      </c>
    </row>
    <row r="29">
      <c r="A29" s="16" t="inlineStr">
        <is>
          <t>4.2</t>
        </is>
      </c>
      <c r="B29" s="16" t="inlineStr">
        <is>
          <t>4.2</t>
        </is>
      </c>
      <c r="C29" s="16" t="inlineStr">
        <is>
          <t>Datos fijos: P_alta = 3000 kPa; P_baja = 400 kPa; x_b = 0.5; m_b = 1 kg/s; η_t = 0.85; η_p = 0.75; ε_HRVG = 0.85; ε_reg = 0.75; motor de propiedades = teqp.</t>
        </is>
      </c>
      <c r="D29" s="16" t="inlineStr">
        <is>
          <t>Fracción de amoníaco de la mezcla base, x_b [–]</t>
        </is>
      </c>
      <c r="E29" s="16" t="n">
        <v>104</v>
      </c>
      <c r="F29" s="16" t="n">
        <v>0.5</v>
      </c>
      <c r="G29" s="16" t="n">
        <v>0.5</v>
      </c>
      <c r="H29" s="16" t="n">
        <v>0.5</v>
      </c>
    </row>
    <row r="30">
      <c r="A30" s="16" t="inlineStr">
        <is>
          <t>estudio 4.3 conjunto final x_b+P_alta+eficiencias+P_baja</t>
        </is>
      </c>
      <c r="B30" s="16" t="inlineStr">
        <is>
          <t>4.3 x_b+P_alta+eficiencias+P_baja</t>
        </is>
      </c>
      <c r="C30" s="16" t="inlineStr">
        <is>
          <t>Datos fijos: P_alta = 3000 kPa; P_baja = 400 kPa; x_b = 0.5; m_b = 1 kg/s; η_t = 0.85; η_p = 0.75; ε_HRVG = 0.85; ε_reg = 0.75; ε_cond = 0.8; motor de propiedades = teqp.</t>
        </is>
      </c>
      <c r="D30" s="16" t="inlineStr">
        <is>
          <t>Presión de alta, P_alta [kPa]</t>
        </is>
      </c>
      <c r="E30" s="16" t="n">
        <v>5</v>
      </c>
      <c r="F30" s="16" t="n">
        <v>3000</v>
      </c>
      <c r="G30" s="16" t="n">
        <v>3000</v>
      </c>
      <c r="H30" s="16" t="n">
        <v>3000</v>
      </c>
    </row>
    <row r="31">
      <c r="A31" s="16" t="inlineStr">
        <is>
          <t>estudio 4.3 conjunto final x_b+P_alta+eficiencias+P_baja</t>
        </is>
      </c>
      <c r="B31" s="16" t="inlineStr">
        <is>
          <t>4.3 x_b+P_alta+eficiencias+P_baja</t>
        </is>
      </c>
      <c r="C31" s="16" t="inlineStr">
        <is>
          <t>Datos fijos: P_alta = 3000 kPa; P_baja = 400 kPa; x_b = 0.5; m_b = 1 kg/s; η_t = 0.85; η_p = 0.75; ε_HRVG = 0.85; ε_reg = 0.75; ε_cond = 0.8; motor de propiedades = teqp.</t>
        </is>
      </c>
      <c r="D31" s="16" t="inlineStr">
        <is>
          <t>Presión de baja, P_baja [kPa]</t>
        </is>
      </c>
      <c r="E31" s="16" t="n">
        <v>5</v>
      </c>
      <c r="F31" s="16" t="n">
        <v>400</v>
      </c>
      <c r="G31" s="16" t="n">
        <v>400</v>
      </c>
      <c r="H31" s="16" t="n">
        <v>400</v>
      </c>
    </row>
    <row r="32">
      <c r="A32" s="16" t="inlineStr">
        <is>
          <t>estudio 4.3 conjunto final x_b+P_alta+eficiencias+P_baja</t>
        </is>
      </c>
      <c r="B32" s="16" t="inlineStr">
        <is>
          <t>4.3 x_b+P_alta+eficiencias+P_baja</t>
        </is>
      </c>
      <c r="C32" s="16" t="inlineStr">
        <is>
          <t>Datos fijos: P_alta = 3000 kPa; P_baja = 400 kPa; x_b = 0.5; m_b = 1 kg/s; η_t = 0.85; η_p = 0.75; ε_HRVG = 0.85; ε_reg = 0.75; ε_cond = 0.8; motor de propiedades = teqp.</t>
        </is>
      </c>
      <c r="D32" s="16" t="inlineStr">
        <is>
          <t>Diferencia de presiones, ΔP [kPa]</t>
        </is>
      </c>
      <c r="E32" s="16" t="n">
        <v>5</v>
      </c>
      <c r="F32" s="16" t="n">
        <v>2600</v>
      </c>
      <c r="G32" s="16" t="n">
        <v>2600</v>
      </c>
      <c r="H32" s="16" t="n">
        <v>2600</v>
      </c>
    </row>
    <row r="33">
      <c r="A33" s="16" t="inlineStr">
        <is>
          <t>estudio 4.3 conjunto final x_b+P_alta+eficiencias+P_baja</t>
        </is>
      </c>
      <c r="B33" s="16" t="inlineStr">
        <is>
          <t>4.3 x_b+P_alta+eficiencias+P_baja</t>
        </is>
      </c>
      <c r="C33" s="16" t="inlineStr">
        <is>
          <t>Datos fijos: P_alta = 3000 kPa; P_baja = 400 kPa; x_b = 0.5; m_b = 1 kg/s; η_t = 0.85; η_p = 0.75; ε_HRVG = 0.85; ε_reg = 0.75; ε_cond = 0.8; motor de propiedades = teqp.</t>
        </is>
      </c>
      <c r="D33" s="16" t="inlineStr">
        <is>
          <t>Razón de presiones, r_P [–]</t>
        </is>
      </c>
      <c r="E33" s="16" t="n">
        <v>5</v>
      </c>
      <c r="F33" s="16" t="n">
        <v>7.5</v>
      </c>
      <c r="G33" s="16" t="n">
        <v>7.5</v>
      </c>
      <c r="H33" s="16" t="n">
        <v>7.5</v>
      </c>
    </row>
    <row r="34">
      <c r="A34" s="16" t="inlineStr">
        <is>
          <t>estudio 4.3 conjunto final x_b+P_alta+eficiencias+P_baja</t>
        </is>
      </c>
      <c r="B34" s="16" t="inlineStr">
        <is>
          <t>4.3 x_b+P_alta+eficiencias+P_baja</t>
        </is>
      </c>
      <c r="C34" s="16" t="inlineStr">
        <is>
          <t>Datos fijos: P_alta = 3000 kPa; P_baja = 400 kPa; x_b = 0.5; m_b = 1 kg/s; η_t = 0.85; η_p = 0.75; ε_HRVG = 0.85; ε_reg = 0.75; ε_cond = 0.8; motor de propiedades = teqp.</t>
        </is>
      </c>
      <c r="D34" s="16" t="inlineStr">
        <is>
          <t>Temperatura de la fuente, T_fuente [K]</t>
        </is>
      </c>
      <c r="E34" s="16" t="n">
        <v>5</v>
      </c>
      <c r="F34" s="16" t="n">
        <v>392.17</v>
      </c>
      <c r="G34" s="16" t="n">
        <v>399.37</v>
      </c>
      <c r="H34" s="16" t="n">
        <v>408.78</v>
      </c>
    </row>
    <row r="35">
      <c r="A35" s="16" t="inlineStr">
        <is>
          <t>estudio 4.3 conjunto final x_b+P_alta+eficiencias+P_baja</t>
        </is>
      </c>
      <c r="B35" s="16" t="inlineStr">
        <is>
          <t>4.3 x_b+P_alta+eficiencias+P_baja</t>
        </is>
      </c>
      <c r="C35" s="16" t="inlineStr">
        <is>
          <t>Datos fijos: P_alta = 3000 kPa; P_baja = 400 kPa; x_b = 0.5; m_b = 1 kg/s; η_t = 0.85; η_p = 0.75; ε_HRVG = 0.85; ε_reg = 0.75; ε_cond = 0.8; motor de propiedades = teqp.</t>
        </is>
      </c>
      <c r="D35" s="16" t="inlineStr">
        <is>
          <t>Fracción de amoníaco de la mezcla base, x_b [–]</t>
        </is>
      </c>
      <c r="E35" s="16" t="n">
        <v>5</v>
      </c>
      <c r="F35" s="16" t="n">
        <v>0.5</v>
      </c>
      <c r="G35" s="16" t="n">
        <v>0.5</v>
      </c>
      <c r="H35" s="16" t="n">
        <v>0.5</v>
      </c>
    </row>
    <row r="36">
      <c r="A36" s="16" t="inlineStr">
        <is>
          <t>estudio 6.2 malla</t>
        </is>
      </c>
      <c r="B36" s="16" t="inlineStr">
        <is>
          <t>6.2c</t>
        </is>
      </c>
      <c r="C36" s="16" t="inlineStr">
        <is>
          <t>Datos fijos: T_fuente = 394.15 K; T_sumidero = 278.15 K; P_alta = 3300 kPa; m_b = 1 kg/s; η_t = 0.9; η_p = 0.8; ε_HRVG = 0.85; ε_reg = 0.75; ε_cond = 0.95; piso de O2 = 283.15 K; motor de propiedades = teqp.</t>
        </is>
      </c>
      <c r="D36" s="16" t="inlineStr">
        <is>
          <t>Presión de alta, P_alta [kPa]</t>
        </is>
      </c>
      <c r="E36" s="16" t="n">
        <v>70</v>
      </c>
      <c r="F36" s="16" t="n">
        <v>3300</v>
      </c>
      <c r="G36" s="16" t="n">
        <v>3300</v>
      </c>
      <c r="H36" s="16" t="n">
        <v>3300</v>
      </c>
    </row>
    <row r="37">
      <c r="A37" s="16" t="inlineStr">
        <is>
          <t>estudio 6.2 malla</t>
        </is>
      </c>
      <c r="B37" s="16" t="inlineStr">
        <is>
          <t>6.2c</t>
        </is>
      </c>
      <c r="C37" s="16" t="inlineStr">
        <is>
          <t>Datos fijos: T_fuente = 394.15 K; T_sumidero = 278.15 K; P_alta = 3300 kPa; m_b = 1 kg/s; η_t = 0.9; η_p = 0.8; ε_HRVG = 0.85; ε_reg = 0.75; ε_cond = 0.95; piso de O2 = 283.15 K; motor de propiedades = teqp.</t>
        </is>
      </c>
      <c r="D37" s="16" t="inlineStr">
        <is>
          <t>Presión de baja, P_baja [kPa]</t>
        </is>
      </c>
      <c r="E37" s="16" t="n">
        <v>70</v>
      </c>
      <c r="F37" s="16" t="n">
        <v>400</v>
      </c>
      <c r="G37" s="16" t="n">
        <v>800</v>
      </c>
      <c r="H37" s="16" t="n">
        <v>1200</v>
      </c>
    </row>
    <row r="38">
      <c r="A38" s="16" t="inlineStr">
        <is>
          <t>estudio 6.2 malla</t>
        </is>
      </c>
      <c r="B38" s="16" t="inlineStr">
        <is>
          <t>6.2c</t>
        </is>
      </c>
      <c r="C38" s="16" t="inlineStr">
        <is>
          <t>Datos fijos: T_fuente = 394.15 K; T_sumidero = 278.15 K; P_alta = 3300 kPa; m_b = 1 kg/s; η_t = 0.9; η_p = 0.8; ε_HRVG = 0.85; ε_reg = 0.75; ε_cond = 0.95; piso de O2 = 283.15 K; motor de propiedades = teqp.</t>
        </is>
      </c>
      <c r="D38" s="16" t="inlineStr">
        <is>
          <t>Diferencia de presiones, ΔP [kPa]</t>
        </is>
      </c>
      <c r="E38" s="16" t="n">
        <v>70</v>
      </c>
      <c r="F38" s="16" t="n">
        <v>2100</v>
      </c>
      <c r="G38" s="16" t="n">
        <v>2500</v>
      </c>
      <c r="H38" s="16" t="n">
        <v>2900</v>
      </c>
    </row>
    <row r="39">
      <c r="A39" s="16" t="inlineStr">
        <is>
          <t>estudio 6.2 malla</t>
        </is>
      </c>
      <c r="B39" s="16" t="inlineStr">
        <is>
          <t>6.2c</t>
        </is>
      </c>
      <c r="C39" s="16" t="inlineStr">
        <is>
          <t>Datos fijos: T_fuente = 394.15 K; T_sumidero = 278.15 K; P_alta = 3300 kPa; m_b = 1 kg/s; η_t = 0.9; η_p = 0.8; ε_HRVG = 0.85; ε_reg = 0.75; ε_cond = 0.95; piso de O2 = 283.15 K; motor de propiedades = teqp.</t>
        </is>
      </c>
      <c r="D39" s="16" t="inlineStr">
        <is>
          <t>Razón de presiones, r_P [–]</t>
        </is>
      </c>
      <c r="E39" s="16" t="n">
        <v>70</v>
      </c>
      <c r="F39" s="16" t="n">
        <v>2.75</v>
      </c>
      <c r="G39" s="16" t="n">
        <v>4.125</v>
      </c>
      <c r="H39" s="16" t="n">
        <v>8.25</v>
      </c>
    </row>
    <row r="40">
      <c r="A40" s="16" t="inlineStr">
        <is>
          <t>estudio 6.2 malla</t>
        </is>
      </c>
      <c r="B40" s="16" t="inlineStr">
        <is>
          <t>6.2c</t>
        </is>
      </c>
      <c r="C40" s="16" t="inlineStr">
        <is>
          <t>Datos fijos: T_fuente = 394.15 K; T_sumidero = 278.15 K; P_alta = 3300 kPa; m_b = 1 kg/s; η_t = 0.9; η_p = 0.8; ε_HRVG = 0.85; ε_reg = 0.75; ε_cond = 0.95; piso de O2 = 283.15 K; motor de propiedades = teqp.</t>
        </is>
      </c>
      <c r="D40" s="16" t="inlineStr">
        <is>
          <t>Temperatura de la fuente, T_fuente [K]</t>
        </is>
      </c>
      <c r="E40" s="16" t="n">
        <v>70</v>
      </c>
      <c r="F40" s="16" t="n">
        <v>394.15</v>
      </c>
      <c r="G40" s="16" t="n">
        <v>394.15</v>
      </c>
      <c r="H40" s="16" t="n">
        <v>394.15</v>
      </c>
    </row>
    <row r="41">
      <c r="A41" s="16" t="inlineStr">
        <is>
          <t>estudio 6.2 malla</t>
        </is>
      </c>
      <c r="B41" s="16" t="inlineStr">
        <is>
          <t>6.2c</t>
        </is>
      </c>
      <c r="C41" s="16" t="inlineStr">
        <is>
          <t>Datos fijos: T_fuente = 394.15 K; T_sumidero = 278.15 K; P_alta = 3300 kPa; m_b = 1 kg/s; η_t = 0.9; η_p = 0.8; ε_HRVG = 0.85; ε_reg = 0.75; ε_cond = 0.95; piso de O2 = 283.15 K; motor de propiedades = teqp.</t>
        </is>
      </c>
      <c r="D41" s="16" t="inlineStr">
        <is>
          <t>Fracción de amoníaco de la mezcla base, x_b [–]</t>
        </is>
      </c>
      <c r="E41" s="16" t="n">
        <v>70</v>
      </c>
      <c r="F41" s="16" t="n">
        <v>0.5</v>
      </c>
      <c r="G41" s="16" t="n">
        <v>0.73</v>
      </c>
      <c r="H41" s="16" t="n">
        <v>0.91</v>
      </c>
    </row>
    <row r="43">
      <c r="A43" s="23" t="inlineStr">
        <is>
          <t>Notas: Filtro: solo KALINA confiables. n = 34 filas en la tabla. † = fuera del rango confiable (IAPWS G4-01); ‡ = falso convergido. Fuente: todos_los_puntos.csv. Cada caso tiene datos fijos distintos: comparar rangos entre filas, no puntos. Percentiles con numpy (método lineal).</t>
        </is>
      </c>
    </row>
  </sheetData>
  <autoFilter ref="A7:H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2" customWidth="1" min="1" max="1"/>
    <col width="20" customWidth="1" min="2" max="2"/>
    <col width="48" customWidth="1" min="3" max="3"/>
    <col width="48" customWidth="1" min="4" max="4"/>
  </cols>
  <sheetData>
    <row r="1">
      <c r="A1" s="19" t="inlineStr">
        <is>
          <t>Tabla S-4 · Datos del profesor conservables</t>
        </is>
      </c>
    </row>
    <row r="2">
      <c r="A2" s="20" t="inlineStr">
        <is>
          <t>Síntesis de toda la campaña: cada fila es un estudio o una parte con sus propios datos fijos.</t>
        </is>
      </c>
    </row>
    <row r="3">
      <c r="A3" s="20" t="inlineStr"/>
    </row>
    <row r="4">
      <c r="A4" s="21" t="inlineStr">
        <is>
          <t>Síntesis: cada fila es un estudio o una parte con sus propios datos fijos.</t>
        </is>
      </c>
    </row>
    <row r="5">
      <c r="A5" s="20" t="inlineStr">
        <is>
          <t>Fuente: fichas 4.2 y 4.3; validación cruzada</t>
        </is>
      </c>
    </row>
    <row r="7">
      <c r="A7" s="22" t="inlineStr">
        <is>
          <t>Dato</t>
        </is>
      </c>
      <c r="B7" s="22" t="inlineStr">
        <is>
          <t>Valor del profesor</t>
        </is>
      </c>
      <c r="C7" s="22" t="inlineStr">
        <is>
          <t>¿Se conserva con KALINA?</t>
        </is>
      </c>
      <c r="D7" s="22" t="inlineStr">
        <is>
          <t>Respaldo</t>
        </is>
      </c>
    </row>
    <row r="8">
      <c r="A8" s="16" t="inlineStr">
        <is>
          <t>P_alta</t>
        </is>
      </c>
      <c r="B8" s="16" t="inlineStr">
        <is>
          <t>3000 kPa</t>
        </is>
      </c>
      <c r="C8" s="16" t="inlineStr">
        <is>
          <t>sí</t>
        </is>
      </c>
      <c r="D8" s="16" t="inlineStr">
        <is>
          <t>estudio 4.3 (x_b+P_alta+eficiencias+P_baja), estudio 4.2</t>
        </is>
      </c>
    </row>
    <row r="9">
      <c r="A9" s="16" t="inlineStr">
        <is>
          <t>P_baja</t>
        </is>
      </c>
      <c r="B9" s="16" t="inlineStr">
        <is>
          <t>400 kPa</t>
        </is>
      </c>
      <c r="C9" s="16" t="inlineStr">
        <is>
          <t>sí</t>
        </is>
      </c>
      <c r="D9" s="16" t="inlineStr">
        <is>
          <t>estudio 4.3; con su clima de 300 K exige ε_cond ≥ 0.875 (estudio 4.2)</t>
        </is>
      </c>
    </row>
    <row r="10">
      <c r="A10" s="16" t="inlineStr">
        <is>
          <t>x_b</t>
        </is>
      </c>
      <c r="B10" s="16" t="inlineStr">
        <is>
          <t>0.50</t>
        </is>
      </c>
      <c r="C10" s="16" t="inlineStr">
        <is>
          <t>sí</t>
        </is>
      </c>
      <c r="D10" s="16" t="inlineStr">
        <is>
          <t>estudio 4.3 (η hasta 10.6 %); con el ancla de Húsavík queda al límite, η &lt; 1.3 % (estudio 6.2)</t>
        </is>
      </c>
    </row>
    <row r="11">
      <c r="A11" s="16" t="inlineStr">
        <is>
          <t>η_t</t>
        </is>
      </c>
      <c r="B11" s="16" t="inlineStr">
        <is>
          <t>0.85</t>
        </is>
      </c>
      <c r="C11" s="16" t="inlineStr">
        <is>
          <t>sí</t>
        </is>
      </c>
      <c r="D11" s="16" t="inlineStr">
        <is>
          <t>estudio 4.3 (grupo EF)</t>
        </is>
      </c>
    </row>
    <row r="12">
      <c r="A12" s="16" t="inlineStr">
        <is>
          <t>η_p</t>
        </is>
      </c>
      <c r="B12" s="16" t="inlineStr">
        <is>
          <t>0.75</t>
        </is>
      </c>
      <c r="C12" s="16" t="inlineStr">
        <is>
          <t>sí</t>
        </is>
      </c>
      <c r="D12" s="16" t="inlineStr">
        <is>
          <t>estudio 4.3 (grupo EF)</t>
        </is>
      </c>
    </row>
    <row r="13">
      <c r="A13" s="16" t="inlineStr">
        <is>
          <t>ε_HRVG</t>
        </is>
      </c>
      <c r="B13" s="16" t="inlineStr">
        <is>
          <t>0.85</t>
        </is>
      </c>
      <c r="C13" s="16" t="inlineStr">
        <is>
          <t>sí</t>
        </is>
      </c>
      <c r="D13" s="16" t="inlineStr">
        <is>
          <t>estudio 4.3 (grupo EF)</t>
        </is>
      </c>
    </row>
    <row r="14">
      <c r="A14" s="16" t="inlineStr">
        <is>
          <t>ε_reg</t>
        </is>
      </c>
      <c r="B14" s="16" t="inlineStr">
        <is>
          <t>0.75</t>
        </is>
      </c>
      <c r="C14" s="16" t="inlineStr">
        <is>
          <t>sí</t>
        </is>
      </c>
      <c r="D14" s="16" t="inlineStr">
        <is>
          <t>estudio 4.3 (grupo EF)</t>
        </is>
      </c>
    </row>
    <row r="15">
      <c r="A15" s="16" t="inlineStr">
        <is>
          <t>ε_cond</t>
        </is>
      </c>
      <c r="B15" s="16" t="inlineStr">
        <is>
          <t>0.80</t>
        </is>
      </c>
      <c r="C15" s="16" t="inlineStr">
        <is>
          <t>sí, si el sitio es más frío (≤ ~293 K)</t>
        </is>
      </c>
      <c r="D15" s="16" t="inlineStr">
        <is>
          <t>estudio 4.3; con 300 K hace falta ≥ 0.875 (estudio 4.2)</t>
        </is>
      </c>
    </row>
    <row r="16">
      <c r="A16" s="16" t="inlineStr">
        <is>
          <t>T_sumidero</t>
        </is>
      </c>
      <c r="B16" s="16" t="inlineStr">
        <is>
          <t>300.03 K</t>
        </is>
      </c>
      <c r="C16" s="16" t="inlineStr">
        <is>
          <t>con condiciones: o se baja a 280–293 K, o se sube ε_cond</t>
        </is>
      </c>
      <c r="D16" s="16" t="inlineStr">
        <is>
          <t>estudio 4.3, estudio 4.2</t>
        </is>
      </c>
    </row>
    <row r="17">
      <c r="A17" s="16" t="inlineStr">
        <is>
          <t>T_fuente</t>
        </is>
      </c>
      <c r="B17" s="16" t="inlineStr">
        <is>
          <t>623.15 K</t>
        </is>
      </c>
      <c r="C17" s="16" t="inlineStr">
        <is>
          <t>no (bloqueo estructural)</t>
        </is>
      </c>
      <c r="D17" s="16" t="inlineStr">
        <is>
          <t>estudio 1.1, estudios 2.1 y 2.2, estudio 4.3 (0 confiables con TF)</t>
        </is>
      </c>
    </row>
    <row r="18">
      <c r="A18" s="16" t="inlineStr">
        <is>
          <t>m_b</t>
        </is>
      </c>
      <c r="B18" s="16" t="inlineStr">
        <is>
          <t>1 kg/s</t>
        </is>
      </c>
      <c r="C18" s="16" t="inlineStr">
        <is>
          <t>sí (base de cálculo)</t>
        </is>
      </c>
      <c r="D18" s="16" t="inlineStr">
        <is>
          <t>todas</t>
        </is>
      </c>
    </row>
    <row r="20">
      <c r="A20" s="23" t="inlineStr">
        <is>
          <t>Notas: Filtro: conclusiones validadas por A4. n = 11 filas en la tabla. † = fuera del rango confiable (IAPWS G4-01); ‡ = falso convergido. Fuente: fichas 4.2 y 4.3; validación cruzada.</t>
        </is>
      </c>
    </row>
  </sheetData>
  <autoFilter ref="A7:D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9" t="inlineStr">
        <is>
          <t>Tabla S-5 · Criterios que bloquean, por estudio</t>
        </is>
      </c>
    </row>
    <row r="2">
      <c r="A2" s="20" t="inlineStr">
        <is>
          <t>Síntesis de toda la campaña: cada fila es un estudio o una parte con sus propios datos fijos.</t>
        </is>
      </c>
    </row>
    <row r="3">
      <c r="A3" s="20" t="inlineStr"/>
    </row>
    <row r="4">
      <c r="A4" s="21" t="inlineStr">
        <is>
          <t>Síntesis: cada fila es un estudio o una parte con sus propios datos fijos.</t>
        </is>
      </c>
    </row>
    <row r="5">
      <c r="A5" s="20" t="inlineStr">
        <is>
          <t>Fuente: todos_los_puntos.csv</t>
        </is>
      </c>
    </row>
    <row r="7">
      <c r="A7" s="22" t="inlineStr">
        <is>
          <t>Estudio</t>
        </is>
      </c>
      <c r="B7" s="22" t="inlineStr">
        <is>
          <t>Genuinos no KALINA</t>
        </is>
      </c>
      <c r="C7" s="22" t="inlineStr">
        <is>
          <t>O1 (n)</t>
        </is>
      </c>
      <c r="D7" s="22" t="inlineStr">
        <is>
          <t>O1 [%]</t>
        </is>
      </c>
      <c r="E7" s="22" t="inlineStr">
        <is>
          <t>O2 (n)</t>
        </is>
      </c>
      <c r="F7" s="22" t="inlineStr">
        <is>
          <t>O2 [%]</t>
        </is>
      </c>
      <c r="G7" s="22" t="inlineStr">
        <is>
          <t>O3 (n)</t>
        </is>
      </c>
      <c r="H7" s="22" t="inlineStr">
        <is>
          <t>O3 [%]</t>
        </is>
      </c>
      <c r="I7" s="22" t="inlineStr">
        <is>
          <t>O5 (n)</t>
        </is>
      </c>
      <c r="J7" s="22" t="inlineStr">
        <is>
          <t>O5 [%]</t>
        </is>
      </c>
    </row>
    <row r="8">
      <c r="A8" s="16" t="n">
        <v>1.1</v>
      </c>
      <c r="B8" s="16" t="n">
        <v>0</v>
      </c>
      <c r="C8" s="16" t="n">
        <v>0</v>
      </c>
      <c r="D8" s="16" t="n"/>
      <c r="E8" s="16" t="n">
        <v>0</v>
      </c>
      <c r="F8" s="16" t="n"/>
      <c r="G8" s="16" t="n">
        <v>0</v>
      </c>
      <c r="H8" s="16" t="n"/>
      <c r="I8" s="16" t="n">
        <v>0</v>
      </c>
      <c r="J8" s="16" t="n"/>
    </row>
    <row r="9">
      <c r="A9" s="16" t="n">
        <v>2.1</v>
      </c>
      <c r="B9" s="16" t="n">
        <v>15</v>
      </c>
      <c r="C9" s="16" t="n">
        <v>11</v>
      </c>
      <c r="D9" s="29" t="n">
        <v>73.333</v>
      </c>
      <c r="E9" s="16" t="n">
        <v>15</v>
      </c>
      <c r="F9" s="29" t="n">
        <v>100</v>
      </c>
      <c r="G9" s="16" t="n">
        <v>0</v>
      </c>
      <c r="H9" s="29" t="n">
        <v>0</v>
      </c>
      <c r="I9" s="16" t="n">
        <v>2</v>
      </c>
      <c r="J9" s="29" t="n">
        <v>13.333</v>
      </c>
    </row>
    <row r="10">
      <c r="A10" s="16" t="n">
        <v>2.2</v>
      </c>
      <c r="B10" s="16" t="n">
        <v>106</v>
      </c>
      <c r="C10" s="16" t="n">
        <v>5</v>
      </c>
      <c r="D10" s="29" t="n">
        <v>4.717</v>
      </c>
      <c r="E10" s="16" t="n">
        <v>106</v>
      </c>
      <c r="F10" s="29" t="n">
        <v>100</v>
      </c>
      <c r="G10" s="16" t="n">
        <v>0</v>
      </c>
      <c r="H10" s="29" t="n">
        <v>0</v>
      </c>
      <c r="I10" s="16" t="n">
        <v>0</v>
      </c>
      <c r="J10" s="29" t="n">
        <v>0</v>
      </c>
    </row>
    <row r="11">
      <c r="A11" s="16" t="n">
        <v>2.3</v>
      </c>
      <c r="B11" s="16" t="n">
        <v>134</v>
      </c>
      <c r="C11" s="16" t="n">
        <v>17</v>
      </c>
      <c r="D11" s="29" t="n">
        <v>12.687</v>
      </c>
      <c r="E11" s="16" t="n">
        <v>134</v>
      </c>
      <c r="F11" s="29" t="n">
        <v>100</v>
      </c>
      <c r="G11" s="16" t="n">
        <v>0</v>
      </c>
      <c r="H11" s="29" t="n">
        <v>0</v>
      </c>
      <c r="I11" s="16" t="n">
        <v>0</v>
      </c>
      <c r="J11" s="29" t="n">
        <v>0</v>
      </c>
    </row>
    <row r="12">
      <c r="A12" s="16" t="n">
        <v>2.4</v>
      </c>
      <c r="B12" s="16" t="n">
        <v>116</v>
      </c>
      <c r="C12" s="16" t="n">
        <v>14</v>
      </c>
      <c r="D12" s="29" t="n">
        <v>12.069</v>
      </c>
      <c r="E12" s="16" t="n">
        <v>116</v>
      </c>
      <c r="F12" s="29" t="n">
        <v>100</v>
      </c>
      <c r="G12" s="16" t="n">
        <v>3</v>
      </c>
      <c r="H12" s="29" t="n">
        <v>2.5862</v>
      </c>
      <c r="I12" s="16" t="n">
        <v>0</v>
      </c>
      <c r="J12" s="29" t="n">
        <v>0</v>
      </c>
    </row>
    <row r="13">
      <c r="A13" s="16" t="n">
        <v>3.1</v>
      </c>
      <c r="B13" s="16" t="n">
        <v>62</v>
      </c>
      <c r="C13" s="16" t="n">
        <v>0</v>
      </c>
      <c r="D13" s="29" t="n">
        <v>0</v>
      </c>
      <c r="E13" s="16" t="n">
        <v>61</v>
      </c>
      <c r="F13" s="29" t="n">
        <v>98.387</v>
      </c>
      <c r="G13" s="16" t="n">
        <v>4</v>
      </c>
      <c r="H13" s="29" t="n">
        <v>6.4516</v>
      </c>
      <c r="I13" s="16" t="n">
        <v>0</v>
      </c>
      <c r="J13" s="29" t="n">
        <v>0</v>
      </c>
    </row>
    <row r="14">
      <c r="A14" s="16" t="n">
        <v>3.2</v>
      </c>
      <c r="B14" s="16" t="n">
        <v>331</v>
      </c>
      <c r="C14" s="16" t="n">
        <v>21</v>
      </c>
      <c r="D14" s="29" t="n">
        <v>6.3444</v>
      </c>
      <c r="E14" s="16" t="n">
        <v>324</v>
      </c>
      <c r="F14" s="29" t="n">
        <v>97.88500000000001</v>
      </c>
      <c r="G14" s="16" t="n">
        <v>22</v>
      </c>
      <c r="H14" s="29" t="n">
        <v>6.6465</v>
      </c>
      <c r="I14" s="16" t="n">
        <v>0</v>
      </c>
      <c r="J14" s="29" t="n">
        <v>0</v>
      </c>
    </row>
    <row r="15">
      <c r="A15" s="16" t="n">
        <v>3.3</v>
      </c>
      <c r="B15" s="16" t="n">
        <v>45</v>
      </c>
      <c r="C15" s="16" t="n">
        <v>0</v>
      </c>
      <c r="D15" s="29" t="n">
        <v>0</v>
      </c>
      <c r="E15" s="16" t="n">
        <v>44</v>
      </c>
      <c r="F15" s="29" t="n">
        <v>97.77800000000001</v>
      </c>
      <c r="G15" s="16" t="n">
        <v>1</v>
      </c>
      <c r="H15" s="29" t="n">
        <v>2.2222</v>
      </c>
      <c r="I15" s="16" t="n">
        <v>1</v>
      </c>
      <c r="J15" s="29" t="n">
        <v>2.2222</v>
      </c>
    </row>
    <row r="16">
      <c r="A16" s="16" t="n">
        <v>4.1</v>
      </c>
      <c r="B16" s="16" t="n">
        <v>362</v>
      </c>
      <c r="C16" s="16" t="n">
        <v>20</v>
      </c>
      <c r="D16" s="29" t="n">
        <v>5.5249</v>
      </c>
      <c r="E16" s="16" t="n">
        <v>362</v>
      </c>
      <c r="F16" s="29" t="n">
        <v>100</v>
      </c>
      <c r="G16" s="16" t="n">
        <v>142</v>
      </c>
      <c r="H16" s="29" t="n">
        <v>39.227</v>
      </c>
      <c r="I16" s="16" t="n">
        <v>1</v>
      </c>
      <c r="J16" s="29" t="n">
        <v>0.27624</v>
      </c>
    </row>
    <row r="17">
      <c r="A17" s="16" t="n">
        <v>4.2</v>
      </c>
      <c r="B17" s="16" t="n">
        <v>45</v>
      </c>
      <c r="C17" s="16" t="n">
        <v>0</v>
      </c>
      <c r="D17" s="29" t="n">
        <v>0</v>
      </c>
      <c r="E17" s="16" t="n">
        <v>30</v>
      </c>
      <c r="F17" s="29" t="n">
        <v>66.667</v>
      </c>
      <c r="G17" s="16" t="n">
        <v>15</v>
      </c>
      <c r="H17" s="29" t="n">
        <v>33.333</v>
      </c>
      <c r="I17" s="16" t="n">
        <v>0</v>
      </c>
      <c r="J17" s="29" t="n">
        <v>0</v>
      </c>
    </row>
    <row r="18">
      <c r="A18" s="16" t="n">
        <v>6.1</v>
      </c>
      <c r="B18" s="16" t="n">
        <v>9</v>
      </c>
      <c r="C18" s="16" t="n">
        <v>0</v>
      </c>
      <c r="D18" s="29" t="n">
        <v>0</v>
      </c>
      <c r="E18" s="16" t="n">
        <v>9</v>
      </c>
      <c r="F18" s="29" t="n">
        <v>100</v>
      </c>
      <c r="G18" s="16" t="n">
        <v>0</v>
      </c>
      <c r="H18" s="29" t="n">
        <v>0</v>
      </c>
      <c r="I18" s="16" t="n">
        <v>0</v>
      </c>
      <c r="J18" s="29" t="n">
        <v>0</v>
      </c>
    </row>
    <row r="19">
      <c r="A19" s="16" t="n">
        <v>5.1</v>
      </c>
      <c r="B19" s="16" t="n">
        <v>130</v>
      </c>
      <c r="C19" s="16" t="n">
        <v>29</v>
      </c>
      <c r="D19" s="29" t="n">
        <v>22.308</v>
      </c>
      <c r="E19" s="16" t="n">
        <v>114</v>
      </c>
      <c r="F19" s="29" t="n">
        <v>87.69199999999999</v>
      </c>
      <c r="G19" s="16" t="n">
        <v>0</v>
      </c>
      <c r="H19" s="29" t="n">
        <v>0</v>
      </c>
      <c r="I19" s="16" t="n">
        <v>0</v>
      </c>
      <c r="J19" s="29" t="n">
        <v>0</v>
      </c>
    </row>
    <row r="20">
      <c r="A20" s="16" t="n">
        <v>4.3</v>
      </c>
      <c r="B20" s="16" t="n">
        <v>625</v>
      </c>
      <c r="C20" s="16" t="n">
        <v>30</v>
      </c>
      <c r="D20" s="29" t="n">
        <v>4.8</v>
      </c>
      <c r="E20" s="16" t="n">
        <v>613</v>
      </c>
      <c r="F20" s="29" t="n">
        <v>98.08</v>
      </c>
      <c r="G20" s="16" t="n">
        <v>149</v>
      </c>
      <c r="H20" s="29" t="n">
        <v>23.84</v>
      </c>
      <c r="I20" s="16" t="n">
        <v>0</v>
      </c>
      <c r="J20" s="29" t="n">
        <v>0</v>
      </c>
    </row>
    <row r="21">
      <c r="A21" s="16" t="n">
        <v>6.2</v>
      </c>
      <c r="B21" s="16" t="n">
        <v>65</v>
      </c>
      <c r="C21" s="16" t="n">
        <v>0</v>
      </c>
      <c r="D21" s="29" t="n">
        <v>0</v>
      </c>
      <c r="E21" s="16" t="n">
        <v>65</v>
      </c>
      <c r="F21" s="29" t="n">
        <v>100</v>
      </c>
      <c r="G21" s="16" t="n">
        <v>0</v>
      </c>
      <c r="H21" s="29" t="n">
        <v>0</v>
      </c>
      <c r="I21" s="16" t="n">
        <v>0</v>
      </c>
      <c r="J21" s="29" t="n">
        <v>0</v>
      </c>
    </row>
    <row r="23">
      <c r="A23" s="23" t="inlineStr">
        <is>
          <t>Notas: Filtro: genuinos que no son KALINA. n = 14 filas en la tabla. † = fuera del rango confiable (IAPWS G4-01); ‡ = falso convergido. Fuente: todos_los_puntos.csv. Un punto puede violar varios criterios: los % no suman 100. O1 título, O2 cavitación, O3 trabajo neto, O5 separador.</t>
        </is>
      </c>
    </row>
  </sheetData>
  <autoFilter ref="A7:J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sheetData>
    <row r="1">
      <c r="A1" s="11" t="inlineStr">
        <is>
          <t>Síntesis de toda la campaña</t>
        </is>
      </c>
    </row>
    <row r="2">
      <c r="A2" t="inlineStr">
        <is>
          <t>Gráficos nativos de Excel: pase el cursor sobre un punto para ver su valor. Los números de cada gráfico están en la hoja «S Datos de gráficos» (el subtítulo de cada figura lleva un vínculo a su bloque).</t>
        </is>
      </c>
    </row>
    <row r="4">
      <c r="A4" s="24" t="inlineStr">
        <is>
          <t>Figura S-1 · Resultado de cada barrido: puntos por clase</t>
        </is>
      </c>
    </row>
    <row r="27">
      <c r="A27" s="25" t="inlineStr">
        <is>
          <t>Figura S-1. Resultado de cada barrido: puntos por clase.</t>
        </is>
      </c>
    </row>
    <row r="28">
      <c r="A28" s="25" t="inlineStr">
        <is>
          <t>Estudios 1.1 a 6.2 (figura de síntesis: una barra por estudio), sin el anexo A.1.</t>
        </is>
      </c>
    </row>
    <row r="29">
      <c r="A29" s="25" t="inlineStr">
        <is>
          <t>Datos fijos: no aplica (figura de síntesis).</t>
        </is>
      </c>
    </row>
    <row r="30">
      <c r="A30" s="25" t="inlineStr">
        <is>
          <t>Filtro: todos los puntos menos los de A.1.</t>
        </is>
      </c>
    </row>
    <row r="31">
      <c r="A31" s="25" t="inlineStr">
        <is>
          <t>n = 4560. Fuente: todos_los_puntos.csv.</t>
        </is>
      </c>
    </row>
    <row r="34">
      <c r="A34" s="25" t="inlineStr">
        <is>
          <t>La Figura S-2 (qué se movió en cada barrido) está como tabla con colores en la hoja «S-2 Qué se movió en cada barrido».</t>
        </is>
      </c>
    </row>
  </sheetData>
  <hyperlinks>
    <hyperlink xmlns:r="http://schemas.openxmlformats.org/officeDocument/2006/relationships" ref="A4" r:id="rId1"/>
  </hyperlinks>
  <pageMargins left="0.75" right="0.75" top="1" bottom="1" header="0.5" footer="0.5"/>
  <drawing xmlns:r="http://schemas.openxmlformats.org/officeDocument/2006/relationships" r:id="rId2"/>
</worksheet>
</file>

<file path=xl/worksheets/sheet1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1" t="inlineStr">
        <is>
          <t>Datos de los gráficos de la síntesis</t>
        </is>
      </c>
    </row>
    <row r="2">
      <c r="A2" t="inlineStr">
        <is>
          <t>Cada bloque de columnas es una figura; cada serie ocupa dos columnas (valores de x y de y, o categoría y valor).</t>
        </is>
      </c>
    </row>
    <row r="4">
      <c r="A4" s="30" t="inlineStr">
        <is>
          <t>Figura S-1 · Resultado de cada barrido: puntos por clase</t>
        </is>
      </c>
      <c r="B4" s="31" t="n"/>
      <c r="C4" s="31" t="n"/>
      <c r="D4" s="31" t="n"/>
      <c r="E4" s="31" t="n"/>
      <c r="F4" s="31" t="n"/>
    </row>
    <row r="5">
      <c r="A5" s="22" t="inlineStr">
        <is>
          <t>Resultado de cada barrido: puntos por clase · categoría: Estudio</t>
        </is>
      </c>
      <c r="B5" s="22" t="inlineStr">
        <is>
          <t>Resultado de cada barrido: puntos por clase · KALINA (n = 1662)</t>
        </is>
      </c>
      <c r="C5" s="22" t="inlineStr">
        <is>
          <t>Resultado de cada barrido: puntos por clase · Corregible (n = 1701)</t>
        </is>
      </c>
      <c r="D5" s="22" t="inlineStr">
        <is>
          <t>Resultado de cada barrido: puntos por clase · Inviable (n = 344)</t>
        </is>
      </c>
      <c r="E5" s="22" t="inlineStr">
        <is>
          <t>Resultado de cada barrido: puntos por clase · No convergió (n = 718)</t>
        </is>
      </c>
      <c r="F5" s="22" t="inlineStr">
        <is>
          <t>Resultado de cada barrido: puntos por clase · Falso convergido (n = 135)</t>
        </is>
      </c>
    </row>
    <row r="6">
      <c r="A6" s="16" t="inlineStr">
        <is>
          <t>1.1</t>
        </is>
      </c>
      <c r="B6" s="16" t="n">
        <v>0</v>
      </c>
      <c r="C6" s="16" t="n">
        <v>0</v>
      </c>
      <c r="D6" s="16" t="n">
        <v>0</v>
      </c>
      <c r="E6" s="16" t="n">
        <v>42</v>
      </c>
      <c r="F6" s="16" t="n">
        <v>0</v>
      </c>
    </row>
    <row r="7">
      <c r="A7" s="16" t="inlineStr">
        <is>
          <t>2.1</t>
        </is>
      </c>
      <c r="B7" s="16" t="n">
        <v>0</v>
      </c>
      <c r="C7" s="16" t="n">
        <v>13</v>
      </c>
      <c r="D7" s="16" t="n">
        <v>2</v>
      </c>
      <c r="E7" s="16" t="n">
        <v>96</v>
      </c>
      <c r="F7" s="16" t="n">
        <v>21</v>
      </c>
    </row>
    <row r="8">
      <c r="A8" s="16" t="inlineStr">
        <is>
          <t>2.2</t>
        </is>
      </c>
      <c r="B8" s="16" t="n">
        <v>59</v>
      </c>
      <c r="C8" s="16" t="n">
        <v>106</v>
      </c>
      <c r="D8" s="16" t="n">
        <v>0</v>
      </c>
      <c r="E8" s="16" t="n">
        <v>3</v>
      </c>
      <c r="F8" s="16" t="n">
        <v>12</v>
      </c>
    </row>
    <row r="9">
      <c r="A9" s="16" t="inlineStr">
        <is>
          <t>2.3</t>
        </is>
      </c>
      <c r="B9" s="16" t="n">
        <v>20</v>
      </c>
      <c r="C9" s="16" t="n">
        <v>133</v>
      </c>
      <c r="D9" s="16" t="n">
        <v>1</v>
      </c>
      <c r="E9" s="16" t="n">
        <v>67</v>
      </c>
      <c r="F9" s="16" t="n">
        <v>4</v>
      </c>
    </row>
    <row r="10">
      <c r="A10" s="16" t="inlineStr">
        <is>
          <t>2.4</t>
        </is>
      </c>
      <c r="B10" s="16" t="n">
        <v>153</v>
      </c>
      <c r="C10" s="16" t="n">
        <v>113</v>
      </c>
      <c r="D10" s="16" t="n">
        <v>3</v>
      </c>
      <c r="E10" s="16" t="n">
        <v>51</v>
      </c>
      <c r="F10" s="16" t="n">
        <v>0</v>
      </c>
    </row>
    <row r="11">
      <c r="A11" s="16" t="inlineStr">
        <is>
          <t>3.1</t>
        </is>
      </c>
      <c r="B11" s="16" t="n">
        <v>86</v>
      </c>
      <c r="C11" s="16" t="n">
        <v>57</v>
      </c>
      <c r="D11" s="16" t="n">
        <v>5</v>
      </c>
      <c r="E11" s="16" t="n">
        <v>17</v>
      </c>
      <c r="F11" s="16" t="n">
        <v>6</v>
      </c>
    </row>
    <row r="12">
      <c r="A12" s="16" t="inlineStr">
        <is>
          <t>3.2</t>
        </is>
      </c>
      <c r="B12" s="16" t="n">
        <v>121</v>
      </c>
      <c r="C12" s="16" t="n">
        <v>308</v>
      </c>
      <c r="D12" s="16" t="n">
        <v>23</v>
      </c>
      <c r="E12" s="16" t="n">
        <v>35</v>
      </c>
      <c r="F12" s="16" t="n">
        <v>13</v>
      </c>
    </row>
    <row r="13">
      <c r="A13" s="16" t="inlineStr">
        <is>
          <t>3.3</t>
        </is>
      </c>
      <c r="B13" s="16" t="n">
        <v>75</v>
      </c>
      <c r="C13" s="16" t="n">
        <v>43</v>
      </c>
      <c r="D13" s="16" t="n">
        <v>2</v>
      </c>
      <c r="E13" s="16" t="n">
        <v>9</v>
      </c>
      <c r="F13" s="16" t="n">
        <v>6</v>
      </c>
    </row>
    <row r="14">
      <c r="A14" s="16" t="inlineStr">
        <is>
          <t>4.1</t>
        </is>
      </c>
      <c r="B14" s="16" t="n">
        <v>20</v>
      </c>
      <c r="C14" s="16" t="n">
        <v>219</v>
      </c>
      <c r="D14" s="16" t="n">
        <v>143</v>
      </c>
      <c r="E14" s="16" t="n">
        <v>204</v>
      </c>
      <c r="F14" s="16" t="n">
        <v>12</v>
      </c>
    </row>
    <row r="15">
      <c r="A15" s="16" t="inlineStr">
        <is>
          <t>4.2</t>
        </is>
      </c>
      <c r="B15" s="16" t="n">
        <v>104</v>
      </c>
      <c r="C15" s="16" t="n">
        <v>30</v>
      </c>
      <c r="D15" s="16" t="n">
        <v>15</v>
      </c>
      <c r="E15" s="16" t="n">
        <v>1</v>
      </c>
      <c r="F15" s="16" t="n">
        <v>15</v>
      </c>
    </row>
    <row r="16">
      <c r="A16" s="16" t="inlineStr">
        <is>
          <t>4.3</t>
        </is>
      </c>
      <c r="B16" s="16" t="n">
        <v>181</v>
      </c>
      <c r="C16" s="16" t="n">
        <v>475</v>
      </c>
      <c r="D16" s="16" t="n">
        <v>150</v>
      </c>
      <c r="E16" s="16" t="n">
        <v>148</v>
      </c>
      <c r="F16" s="16" t="n">
        <v>29</v>
      </c>
    </row>
    <row r="17">
      <c r="A17" s="16" t="inlineStr">
        <is>
          <t>5.1</t>
        </is>
      </c>
      <c r="B17" s="16" t="n">
        <v>419</v>
      </c>
      <c r="C17" s="16" t="n">
        <v>130</v>
      </c>
      <c r="D17" s="16" t="n">
        <v>0</v>
      </c>
      <c r="E17" s="16" t="n">
        <v>10</v>
      </c>
      <c r="F17" s="16" t="n">
        <v>1</v>
      </c>
    </row>
    <row r="18">
      <c r="A18" s="16" t="inlineStr">
        <is>
          <t>6.1</t>
        </is>
      </c>
      <c r="B18" s="16" t="n">
        <v>142</v>
      </c>
      <c r="C18" s="16" t="n">
        <v>9</v>
      </c>
      <c r="D18" s="16" t="n">
        <v>0</v>
      </c>
      <c r="E18" s="16" t="n">
        <v>16</v>
      </c>
      <c r="F18" s="16" t="n">
        <v>0</v>
      </c>
    </row>
    <row r="19">
      <c r="A19" s="16" t="inlineStr">
        <is>
          <t>6.2</t>
        </is>
      </c>
      <c r="B19" s="16" t="n">
        <v>282</v>
      </c>
      <c r="C19" s="16" t="n">
        <v>65</v>
      </c>
      <c r="D19" s="16" t="n">
        <v>0</v>
      </c>
      <c r="E19" s="16" t="n">
        <v>19</v>
      </c>
      <c r="F19" s="16" t="n">
        <v>16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41" customWidth="1" min="1" max="1"/>
    <col width="48" customWidth="1" min="2" max="2"/>
    <col width="10" customWidth="1" min="3" max="3"/>
    <col width="15" customWidth="1" min="4" max="4"/>
    <col width="11" customWidth="1" min="5" max="5"/>
    <col width="21" customWidth="1" min="6" max="6"/>
    <col width="10" customWidth="1" min="7" max="7"/>
  </cols>
  <sheetData>
    <row r="1">
      <c r="A1" s="19" t="inlineStr">
        <is>
          <t>Tabla 1.1-1 · Condiciones: qué quedó fijo y qué se barrió</t>
        </is>
      </c>
    </row>
    <row r="2">
      <c r="A2" s="20" t="inlineStr">
        <is>
          <t>Estudio 1.1 · Repetir el caso del profesor · Partes: 1.1b, 1.1a, 1.1c, 1.1d</t>
        </is>
      </c>
    </row>
    <row r="3">
      <c r="A3" s="20" t="inlineStr">
        <is>
          <t>Punto base: PP = punto del profesor (los 11 datos del enunciado; ver GLOSARIO)</t>
        </is>
      </c>
    </row>
    <row r="4">
      <c r="A4" s="21" t="inlineStr">
        <is>
          <t>Datos fijos: T_fuente = 623.15 K; P_baja = 400 kPa; m_b = 1 kg/s; η_t = 0.85; η_p = 0.75; ε_HRVG = 0.85; ε_reg = 0.75; ε_cond = 0.8.</t>
        </is>
      </c>
    </row>
    <row r="5">
      <c r="A5" s="21" t="inlineStr">
        <is>
          <t>Datos barridos: T_sumidero [297.95–303.55] K (23 valores); P_alta [2000–4000] kPa (9 valores); x_b [0.4–0.7] (7 valores); motor de propiedades (2 valores).</t>
        </is>
      </c>
    </row>
    <row r="6">
      <c r="A6" s="20" t="inlineStr">
        <is>
          <t>Fuente: analisis_final/00_inventario/condiciones_por_subcaso.csv</t>
        </is>
      </c>
    </row>
    <row r="8">
      <c r="A8" s="22" t="inlineStr">
        <is>
          <t>Parte</t>
        </is>
      </c>
      <c r="B8" s="22" t="inlineStr">
        <is>
          <t>Variable</t>
        </is>
      </c>
      <c r="C8" s="22" t="inlineStr">
        <is>
          <t>Estado</t>
        </is>
      </c>
      <c r="D8" s="22" t="inlineStr">
        <is>
          <t>Valor o rango</t>
        </is>
      </c>
      <c r="E8" s="22" t="inlineStr">
        <is>
          <t>n valores</t>
        </is>
      </c>
      <c r="F8" s="22" t="inlineStr">
        <is>
          <t>¿Igual al profesor?</t>
        </is>
      </c>
      <c r="G8" s="22" t="inlineStr">
        <is>
          <t>Unidad</t>
        </is>
      </c>
    </row>
    <row r="9">
      <c r="A9" s="16" t="inlineStr">
        <is>
          <t>1.1b · solo P_alta</t>
        </is>
      </c>
      <c r="B9" s="16" t="inlineStr">
        <is>
          <t>Temperatura de la fuente, T_fuente [K]</t>
        </is>
      </c>
      <c r="C9" s="16" t="inlineStr">
        <is>
          <t>Fija</t>
        </is>
      </c>
      <c r="D9" s="16" t="inlineStr">
        <is>
          <t>623.15</t>
        </is>
      </c>
      <c r="E9" s="16" t="n"/>
      <c r="F9" s="16" t="inlineStr">
        <is>
          <t>sí</t>
        </is>
      </c>
      <c r="G9" s="16" t="inlineStr">
        <is>
          <t>K</t>
        </is>
      </c>
    </row>
    <row r="10">
      <c r="A10" s="16" t="inlineStr">
        <is>
          <t>1.1b · solo P_alta</t>
        </is>
      </c>
      <c r="B10" s="16" t="inlineStr">
        <is>
          <t>Temperatura del sumidero, T_sumidero [K]</t>
        </is>
      </c>
      <c r="C10" s="16" t="inlineStr">
        <is>
          <t>Fija</t>
        </is>
      </c>
      <c r="D10" s="16" t="inlineStr">
        <is>
          <t>300.032917</t>
        </is>
      </c>
      <c r="E10" s="16" t="n"/>
      <c r="F10" s="16" t="inlineStr">
        <is>
          <t>sí</t>
        </is>
      </c>
      <c r="G10" s="16" t="inlineStr">
        <is>
          <t>K</t>
        </is>
      </c>
    </row>
    <row r="11">
      <c r="A11" s="16" t="inlineStr">
        <is>
          <t>1.1b · solo P_alta</t>
        </is>
      </c>
      <c r="B11" s="16" t="inlineStr">
        <is>
          <t>Presión de alta, P_alta [kPa]</t>
        </is>
      </c>
      <c r="C11" s="16" t="inlineStr">
        <is>
          <t>Barrida</t>
        </is>
      </c>
      <c r="D11" s="16" t="inlineStr">
        <is>
          <t>2000 – 4000</t>
        </is>
      </c>
      <c r="E11" s="16" t="n">
        <v>9</v>
      </c>
      <c r="F11" s="16" t="n"/>
      <c r="G11" s="16" t="inlineStr">
        <is>
          <t>kPa</t>
        </is>
      </c>
    </row>
    <row r="12">
      <c r="A12" s="16" t="inlineStr">
        <is>
          <t>1.1b · solo P_alta</t>
        </is>
      </c>
      <c r="B12" s="16" t="inlineStr">
        <is>
          <t>Presión de baja, P_baja [kPa]</t>
        </is>
      </c>
      <c r="C12" s="16" t="inlineStr">
        <is>
          <t>Fija</t>
        </is>
      </c>
      <c r="D12" s="16" t="inlineStr">
        <is>
          <t>400.0</t>
        </is>
      </c>
      <c r="E12" s="16" t="n"/>
      <c r="F12" s="16" t="inlineStr">
        <is>
          <t>sí</t>
        </is>
      </c>
      <c r="G12" s="16" t="inlineStr">
        <is>
          <t>kPa</t>
        </is>
      </c>
    </row>
    <row r="13">
      <c r="A13" s="16" t="inlineStr">
        <is>
          <t>1.1b · solo P_alta</t>
        </is>
      </c>
      <c r="B13" s="16" t="inlineStr">
        <is>
          <t>Fracción de amoníaco de la mezcla base, x_b [–]</t>
        </is>
      </c>
      <c r="C13" s="16" t="inlineStr">
        <is>
          <t>Fija</t>
        </is>
      </c>
      <c r="D13" s="16" t="inlineStr">
        <is>
          <t>0.5</t>
        </is>
      </c>
      <c r="E13" s="16" t="n"/>
      <c r="F13" s="16" t="inlineStr">
        <is>
          <t>sí</t>
        </is>
      </c>
      <c r="G13" s="16" t="inlineStr">
        <is>
          <t>–</t>
        </is>
      </c>
    </row>
    <row r="14">
      <c r="A14" s="16" t="inlineStr">
        <is>
          <t>1.1b · solo P_alta</t>
        </is>
      </c>
      <c r="B14" s="16" t="inlineStr">
        <is>
          <t>Flujo másico base, m_b [kg/s]</t>
        </is>
      </c>
      <c r="C14" s="16" t="inlineStr">
        <is>
          <t>Fija</t>
        </is>
      </c>
      <c r="D14" s="16" t="inlineStr">
        <is>
          <t>1.0</t>
        </is>
      </c>
      <c r="E14" s="16" t="n"/>
      <c r="F14" s="16" t="inlineStr">
        <is>
          <t>sí</t>
        </is>
      </c>
      <c r="G14" s="16" t="inlineStr">
        <is>
          <t>kg/s</t>
        </is>
      </c>
    </row>
    <row r="15">
      <c r="A15" s="16" t="inlineStr">
        <is>
          <t>1.1b · solo P_alta</t>
        </is>
      </c>
      <c r="B15" s="16" t="inlineStr">
        <is>
          <t>Eficiencia isentrópica de la turbina, η_t [–]</t>
        </is>
      </c>
      <c r="C15" s="16" t="inlineStr">
        <is>
          <t>Fija</t>
        </is>
      </c>
      <c r="D15" s="16" t="inlineStr">
        <is>
          <t>0.85</t>
        </is>
      </c>
      <c r="E15" s="16" t="n"/>
      <c r="F15" s="16" t="inlineStr">
        <is>
          <t>sí</t>
        </is>
      </c>
      <c r="G15" s="16" t="inlineStr">
        <is>
          <t>–</t>
        </is>
      </c>
    </row>
    <row r="16">
      <c r="A16" s="16" t="inlineStr">
        <is>
          <t>1.1b · solo P_alta</t>
        </is>
      </c>
      <c r="B16" s="16" t="inlineStr">
        <is>
          <t>Eficiencia isentrópica de la bomba, η_p [–]</t>
        </is>
      </c>
      <c r="C16" s="16" t="inlineStr">
        <is>
          <t>Fija</t>
        </is>
      </c>
      <c r="D16" s="16" t="inlineStr">
        <is>
          <t>0.75</t>
        </is>
      </c>
      <c r="E16" s="16" t="n"/>
      <c r="F16" s="16" t="inlineStr">
        <is>
          <t>sí</t>
        </is>
      </c>
      <c r="G16" s="16" t="inlineStr">
        <is>
          <t>–</t>
        </is>
      </c>
    </row>
    <row r="17">
      <c r="A17" s="16" t="inlineStr">
        <is>
          <t>1.1b · solo P_alta</t>
        </is>
      </c>
      <c r="B17" s="16" t="inlineStr">
        <is>
          <t>Efectividad del generador de vapor, ε_HRVG [–]</t>
        </is>
      </c>
      <c r="C17" s="16" t="inlineStr">
        <is>
          <t>Fija</t>
        </is>
      </c>
      <c r="D17" s="16" t="inlineStr">
        <is>
          <t>0.85</t>
        </is>
      </c>
      <c r="E17" s="16" t="n"/>
      <c r="F17" s="16" t="inlineStr">
        <is>
          <t>sí</t>
        </is>
      </c>
      <c r="G17" s="16" t="inlineStr">
        <is>
          <t>–</t>
        </is>
      </c>
    </row>
    <row r="18">
      <c r="A18" s="16" t="inlineStr">
        <is>
          <t>1.1b · solo P_alta</t>
        </is>
      </c>
      <c r="B18" s="16" t="inlineStr">
        <is>
          <t>Efectividad del regenerador, ε_reg [–]</t>
        </is>
      </c>
      <c r="C18" s="16" t="inlineStr">
        <is>
          <t>Fija</t>
        </is>
      </c>
      <c r="D18" s="16" t="inlineStr">
        <is>
          <t>0.75</t>
        </is>
      </c>
      <c r="E18" s="16" t="n"/>
      <c r="F18" s="16" t="inlineStr">
        <is>
          <t>sí</t>
        </is>
      </c>
      <c r="G18" s="16" t="inlineStr">
        <is>
          <t>–</t>
        </is>
      </c>
    </row>
    <row r="19">
      <c r="A19" s="16" t="inlineStr">
        <is>
          <t>1.1b · solo P_alta</t>
        </is>
      </c>
      <c r="B19" s="16" t="inlineStr">
        <is>
          <t>Efectividad del condensador, ε_cond [–]</t>
        </is>
      </c>
      <c r="C19" s="16" t="inlineStr">
        <is>
          <t>Fija</t>
        </is>
      </c>
      <c r="D19" s="16" t="inlineStr">
        <is>
          <t>0.8</t>
        </is>
      </c>
      <c r="E19" s="16" t="n"/>
      <c r="F19" s="16" t="inlineStr">
        <is>
          <t>sí</t>
        </is>
      </c>
      <c r="G19" s="16" t="inlineStr">
        <is>
          <t>–</t>
        </is>
      </c>
    </row>
    <row r="20">
      <c r="A20" s="16" t="inlineStr">
        <is>
          <t>1.1b · solo P_alta</t>
        </is>
      </c>
      <c r="B20" s="16" t="inlineStr">
        <is>
          <t>Piso de O2 (T de diseño de la bomba) [K]</t>
        </is>
      </c>
      <c r="C20" s="16" t="inlineStr">
        <is>
          <t>Sin dato</t>
        </is>
      </c>
      <c r="D20" s="16" t="n"/>
      <c r="E20" s="16" t="n"/>
      <c r="F20" s="16" t="n"/>
      <c r="G20" s="16" t="inlineStr">
        <is>
          <t>K</t>
        </is>
      </c>
    </row>
    <row r="21">
      <c r="A21" s="16" t="inlineStr">
        <is>
          <t>1.1b · solo P_alta</t>
        </is>
      </c>
      <c r="B21" s="16" t="inlineStr">
        <is>
          <t>motor de propiedades</t>
        </is>
      </c>
      <c r="C21" s="16" t="inlineStr">
        <is>
          <t>Fija</t>
        </is>
      </c>
      <c r="D21" s="16" t="inlineStr">
        <is>
          <t>teqp</t>
        </is>
      </c>
      <c r="E21" s="16" t="n"/>
      <c r="F21" s="16" t="n"/>
      <c r="G21" s="16" t="inlineStr">
        <is>
          <t>–</t>
        </is>
      </c>
    </row>
    <row r="22">
      <c r="A22" s="16" t="inlineStr">
        <is>
          <t>1.1a · punto del profesor</t>
        </is>
      </c>
      <c r="B22" s="16" t="inlineStr">
        <is>
          <t>Temperatura de la fuente, T_fuente [K]</t>
        </is>
      </c>
      <c r="C22" s="16" t="inlineStr">
        <is>
          <t>Fija</t>
        </is>
      </c>
      <c r="D22" s="16" t="inlineStr">
        <is>
          <t>623.15</t>
        </is>
      </c>
      <c r="E22" s="16" t="n"/>
      <c r="F22" s="16" t="inlineStr">
        <is>
          <t>sí</t>
        </is>
      </c>
      <c r="G22" s="16" t="inlineStr">
        <is>
          <t>K</t>
        </is>
      </c>
    </row>
    <row r="23">
      <c r="A23" s="16" t="inlineStr">
        <is>
          <t>1.1a · punto del profesor</t>
        </is>
      </c>
      <c r="B23" s="16" t="inlineStr">
        <is>
          <t>Temperatura del sumidero, T_sumidero [K]</t>
        </is>
      </c>
      <c r="C23" s="16" t="inlineStr">
        <is>
          <t>Fija</t>
        </is>
      </c>
      <c r="D23" s="16" t="inlineStr">
        <is>
          <t>300.032917</t>
        </is>
      </c>
      <c r="E23" s="16" t="n"/>
      <c r="F23" s="16" t="inlineStr">
        <is>
          <t>sí</t>
        </is>
      </c>
      <c r="G23" s="16" t="inlineStr">
        <is>
          <t>K</t>
        </is>
      </c>
    </row>
    <row r="24">
      <c r="A24" s="16" t="inlineStr">
        <is>
          <t>1.1a · punto del profesor</t>
        </is>
      </c>
      <c r="B24" s="16" t="inlineStr">
        <is>
          <t>Presión de alta, P_alta [kPa]</t>
        </is>
      </c>
      <c r="C24" s="16" t="inlineStr">
        <is>
          <t>Fija</t>
        </is>
      </c>
      <c r="D24" s="16" t="inlineStr">
        <is>
          <t>3000.0</t>
        </is>
      </c>
      <c r="E24" s="16" t="n"/>
      <c r="F24" s="16" t="inlineStr">
        <is>
          <t>sí</t>
        </is>
      </c>
      <c r="G24" s="16" t="inlineStr">
        <is>
          <t>kPa</t>
        </is>
      </c>
    </row>
    <row r="25">
      <c r="A25" s="16" t="inlineStr">
        <is>
          <t>1.1a · punto del profesor</t>
        </is>
      </c>
      <c r="B25" s="16" t="inlineStr">
        <is>
          <t>Presión de baja, P_baja [kPa]</t>
        </is>
      </c>
      <c r="C25" s="16" t="inlineStr">
        <is>
          <t>Fija</t>
        </is>
      </c>
      <c r="D25" s="16" t="inlineStr">
        <is>
          <t>400.0</t>
        </is>
      </c>
      <c r="E25" s="16" t="n"/>
      <c r="F25" s="16" t="inlineStr">
        <is>
          <t>sí</t>
        </is>
      </c>
      <c r="G25" s="16" t="inlineStr">
        <is>
          <t>kPa</t>
        </is>
      </c>
    </row>
    <row r="26">
      <c r="A26" s="16" t="inlineStr">
        <is>
          <t>1.1a · punto del profesor</t>
        </is>
      </c>
      <c r="B26" s="16" t="inlineStr">
        <is>
          <t>Fracción de amoníaco de la mezcla base, x_b [–]</t>
        </is>
      </c>
      <c r="C26" s="16" t="inlineStr">
        <is>
          <t>Fija</t>
        </is>
      </c>
      <c r="D26" s="16" t="inlineStr">
        <is>
          <t>0.5</t>
        </is>
      </c>
      <c r="E26" s="16" t="n"/>
      <c r="F26" s="16" t="inlineStr">
        <is>
          <t>sí</t>
        </is>
      </c>
      <c r="G26" s="16" t="inlineStr">
        <is>
          <t>–</t>
        </is>
      </c>
    </row>
    <row r="27">
      <c r="A27" s="16" t="inlineStr">
        <is>
          <t>1.1a · punto del profesor</t>
        </is>
      </c>
      <c r="B27" s="16" t="inlineStr">
        <is>
          <t>Flujo másico base, m_b [kg/s]</t>
        </is>
      </c>
      <c r="C27" s="16" t="inlineStr">
        <is>
          <t>Fija</t>
        </is>
      </c>
      <c r="D27" s="16" t="inlineStr">
        <is>
          <t>1.0</t>
        </is>
      </c>
      <c r="E27" s="16" t="n"/>
      <c r="F27" s="16" t="inlineStr">
        <is>
          <t>sí</t>
        </is>
      </c>
      <c r="G27" s="16" t="inlineStr">
        <is>
          <t>kg/s</t>
        </is>
      </c>
    </row>
    <row r="28">
      <c r="A28" s="16" t="inlineStr">
        <is>
          <t>1.1a · punto del profesor</t>
        </is>
      </c>
      <c r="B28" s="16" t="inlineStr">
        <is>
          <t>Eficiencia isentrópica de la turbina, η_t [–]</t>
        </is>
      </c>
      <c r="C28" s="16" t="inlineStr">
        <is>
          <t>Fija</t>
        </is>
      </c>
      <c r="D28" s="16" t="inlineStr">
        <is>
          <t>0.85</t>
        </is>
      </c>
      <c r="E28" s="16" t="n"/>
      <c r="F28" s="16" t="inlineStr">
        <is>
          <t>sí</t>
        </is>
      </c>
      <c r="G28" s="16" t="inlineStr">
        <is>
          <t>–</t>
        </is>
      </c>
    </row>
    <row r="29">
      <c r="A29" s="16" t="inlineStr">
        <is>
          <t>1.1a · punto del profesor</t>
        </is>
      </c>
      <c r="B29" s="16" t="inlineStr">
        <is>
          <t>Eficiencia isentrópica de la bomba, η_p [–]</t>
        </is>
      </c>
      <c r="C29" s="16" t="inlineStr">
        <is>
          <t>Fija</t>
        </is>
      </c>
      <c r="D29" s="16" t="inlineStr">
        <is>
          <t>0.75</t>
        </is>
      </c>
      <c r="E29" s="16" t="n"/>
      <c r="F29" s="16" t="inlineStr">
        <is>
          <t>sí</t>
        </is>
      </c>
      <c r="G29" s="16" t="inlineStr">
        <is>
          <t>–</t>
        </is>
      </c>
    </row>
    <row r="30">
      <c r="A30" s="16" t="inlineStr">
        <is>
          <t>1.1a · punto del profesor</t>
        </is>
      </c>
      <c r="B30" s="16" t="inlineStr">
        <is>
          <t>Efectividad del generador de vapor, ε_HRVG [–]</t>
        </is>
      </c>
      <c r="C30" s="16" t="inlineStr">
        <is>
          <t>Fija</t>
        </is>
      </c>
      <c r="D30" s="16" t="inlineStr">
        <is>
          <t>0.85</t>
        </is>
      </c>
      <c r="E30" s="16" t="n"/>
      <c r="F30" s="16" t="inlineStr">
        <is>
          <t>sí</t>
        </is>
      </c>
      <c r="G30" s="16" t="inlineStr">
        <is>
          <t>–</t>
        </is>
      </c>
    </row>
    <row r="31">
      <c r="A31" s="16" t="inlineStr">
        <is>
          <t>1.1a · punto del profesor</t>
        </is>
      </c>
      <c r="B31" s="16" t="inlineStr">
        <is>
          <t>Efectividad del regenerador, ε_reg [–]</t>
        </is>
      </c>
      <c r="C31" s="16" t="inlineStr">
        <is>
          <t>Fija</t>
        </is>
      </c>
      <c r="D31" s="16" t="inlineStr">
        <is>
          <t>0.75</t>
        </is>
      </c>
      <c r="E31" s="16" t="n"/>
      <c r="F31" s="16" t="inlineStr">
        <is>
          <t>sí</t>
        </is>
      </c>
      <c r="G31" s="16" t="inlineStr">
        <is>
          <t>–</t>
        </is>
      </c>
    </row>
    <row r="32">
      <c r="A32" s="16" t="inlineStr">
        <is>
          <t>1.1a · punto del profesor</t>
        </is>
      </c>
      <c r="B32" s="16" t="inlineStr">
        <is>
          <t>Efectividad del condensador, ε_cond [–]</t>
        </is>
      </c>
      <c r="C32" s="16" t="inlineStr">
        <is>
          <t>Fija</t>
        </is>
      </c>
      <c r="D32" s="16" t="inlineStr">
        <is>
          <t>0.8</t>
        </is>
      </c>
      <c r="E32" s="16" t="n"/>
      <c r="F32" s="16" t="inlineStr">
        <is>
          <t>sí</t>
        </is>
      </c>
      <c r="G32" s="16" t="inlineStr">
        <is>
          <t>–</t>
        </is>
      </c>
    </row>
    <row r="33">
      <c r="A33" s="16" t="inlineStr">
        <is>
          <t>1.1a · punto del profesor</t>
        </is>
      </c>
      <c r="B33" s="16" t="inlineStr">
        <is>
          <t>Piso de O2 (T de diseño de la bomba) [K]</t>
        </is>
      </c>
      <c r="C33" s="16" t="inlineStr">
        <is>
          <t>Sin dato</t>
        </is>
      </c>
      <c r="D33" s="16" t="n"/>
      <c r="E33" s="16" t="n"/>
      <c r="F33" s="16" t="n"/>
      <c r="G33" s="16" t="inlineStr">
        <is>
          <t>K</t>
        </is>
      </c>
    </row>
    <row r="34">
      <c r="A34" s="16" t="inlineStr">
        <is>
          <t>1.1a · punto del profesor</t>
        </is>
      </c>
      <c r="B34" s="16" t="inlineStr">
        <is>
          <t>motor de propiedades</t>
        </is>
      </c>
      <c r="C34" s="16" t="inlineStr">
        <is>
          <t>Barrida</t>
        </is>
      </c>
      <c r="D34" s="16" t="inlineStr">
        <is>
          <t xml:space="preserve"> – </t>
        </is>
      </c>
      <c r="E34" s="16" t="n">
        <v>2</v>
      </c>
      <c r="F34" s="16" t="n"/>
      <c r="G34" s="16" t="inlineStr">
        <is>
          <t>–</t>
        </is>
      </c>
    </row>
    <row r="35">
      <c r="A35" s="16" t="inlineStr">
        <is>
          <t>1.1c · solo x_b</t>
        </is>
      </c>
      <c r="B35" s="16" t="inlineStr">
        <is>
          <t>Temperatura de la fuente, T_fuente [K]</t>
        </is>
      </c>
      <c r="C35" s="16" t="inlineStr">
        <is>
          <t>Fija</t>
        </is>
      </c>
      <c r="D35" s="16" t="inlineStr">
        <is>
          <t>623.15</t>
        </is>
      </c>
      <c r="E35" s="16" t="n"/>
      <c r="F35" s="16" t="inlineStr">
        <is>
          <t>sí</t>
        </is>
      </c>
      <c r="G35" s="16" t="inlineStr">
        <is>
          <t>K</t>
        </is>
      </c>
    </row>
    <row r="36">
      <c r="A36" s="16" t="inlineStr">
        <is>
          <t>1.1c · solo x_b</t>
        </is>
      </c>
      <c r="B36" s="16" t="inlineStr">
        <is>
          <t>Temperatura del sumidero, T_sumidero [K]</t>
        </is>
      </c>
      <c r="C36" s="16" t="inlineStr">
        <is>
          <t>Fija</t>
        </is>
      </c>
      <c r="D36" s="16" t="inlineStr">
        <is>
          <t>300.032917</t>
        </is>
      </c>
      <c r="E36" s="16" t="n"/>
      <c r="F36" s="16" t="inlineStr">
        <is>
          <t>sí</t>
        </is>
      </c>
      <c r="G36" s="16" t="inlineStr">
        <is>
          <t>K</t>
        </is>
      </c>
    </row>
    <row r="37">
      <c r="A37" s="16" t="inlineStr">
        <is>
          <t>1.1c · solo x_b</t>
        </is>
      </c>
      <c r="B37" s="16" t="inlineStr">
        <is>
          <t>Presión de alta, P_alta [kPa]</t>
        </is>
      </c>
      <c r="C37" s="16" t="inlineStr">
        <is>
          <t>Fija</t>
        </is>
      </c>
      <c r="D37" s="16" t="inlineStr">
        <is>
          <t>3000.0</t>
        </is>
      </c>
      <c r="E37" s="16" t="n"/>
      <c r="F37" s="16" t="inlineStr">
        <is>
          <t>sí</t>
        </is>
      </c>
      <c r="G37" s="16" t="inlineStr">
        <is>
          <t>kPa</t>
        </is>
      </c>
    </row>
    <row r="38">
      <c r="A38" s="16" t="inlineStr">
        <is>
          <t>1.1c · solo x_b</t>
        </is>
      </c>
      <c r="B38" s="16" t="inlineStr">
        <is>
          <t>Presión de baja, P_baja [kPa]</t>
        </is>
      </c>
      <c r="C38" s="16" t="inlineStr">
        <is>
          <t>Fija</t>
        </is>
      </c>
      <c r="D38" s="16" t="inlineStr">
        <is>
          <t>400.0</t>
        </is>
      </c>
      <c r="E38" s="16" t="n"/>
      <c r="F38" s="16" t="inlineStr">
        <is>
          <t>sí</t>
        </is>
      </c>
      <c r="G38" s="16" t="inlineStr">
        <is>
          <t>kPa</t>
        </is>
      </c>
    </row>
    <row r="39">
      <c r="A39" s="16" t="inlineStr">
        <is>
          <t>1.1c · solo x_b</t>
        </is>
      </c>
      <c r="B39" s="16" t="inlineStr">
        <is>
          <t>Fracción de amoníaco de la mezcla base, x_b [–]</t>
        </is>
      </c>
      <c r="C39" s="16" t="inlineStr">
        <is>
          <t>Barrida</t>
        </is>
      </c>
      <c r="D39" s="16" t="inlineStr">
        <is>
          <t>0.400 – 0.700</t>
        </is>
      </c>
      <c r="E39" s="16" t="n">
        <v>7</v>
      </c>
      <c r="F39" s="16" t="n"/>
      <c r="G39" s="16" t="inlineStr">
        <is>
          <t>–</t>
        </is>
      </c>
    </row>
    <row r="40">
      <c r="A40" s="16" t="inlineStr">
        <is>
          <t>1.1c · solo x_b</t>
        </is>
      </c>
      <c r="B40" s="16" t="inlineStr">
        <is>
          <t>Flujo másico base, m_b [kg/s]</t>
        </is>
      </c>
      <c r="C40" s="16" t="inlineStr">
        <is>
          <t>Fija</t>
        </is>
      </c>
      <c r="D40" s="16" t="inlineStr">
        <is>
          <t>1.0</t>
        </is>
      </c>
      <c r="E40" s="16" t="n"/>
      <c r="F40" s="16" t="inlineStr">
        <is>
          <t>sí</t>
        </is>
      </c>
      <c r="G40" s="16" t="inlineStr">
        <is>
          <t>kg/s</t>
        </is>
      </c>
    </row>
    <row r="41">
      <c r="A41" s="16" t="inlineStr">
        <is>
          <t>1.1c · solo x_b</t>
        </is>
      </c>
      <c r="B41" s="16" t="inlineStr">
        <is>
          <t>Eficiencia isentrópica de la turbina, η_t [–]</t>
        </is>
      </c>
      <c r="C41" s="16" t="inlineStr">
        <is>
          <t>Fija</t>
        </is>
      </c>
      <c r="D41" s="16" t="inlineStr">
        <is>
          <t>0.85</t>
        </is>
      </c>
      <c r="E41" s="16" t="n"/>
      <c r="F41" s="16" t="inlineStr">
        <is>
          <t>sí</t>
        </is>
      </c>
      <c r="G41" s="16" t="inlineStr">
        <is>
          <t>–</t>
        </is>
      </c>
    </row>
    <row r="42">
      <c r="A42" s="16" t="inlineStr">
        <is>
          <t>1.1c · solo x_b</t>
        </is>
      </c>
      <c r="B42" s="16" t="inlineStr">
        <is>
          <t>Eficiencia isentrópica de la bomba, η_p [–]</t>
        </is>
      </c>
      <c r="C42" s="16" t="inlineStr">
        <is>
          <t>Fija</t>
        </is>
      </c>
      <c r="D42" s="16" t="inlineStr">
        <is>
          <t>0.75</t>
        </is>
      </c>
      <c r="E42" s="16" t="n"/>
      <c r="F42" s="16" t="inlineStr">
        <is>
          <t>sí</t>
        </is>
      </c>
      <c r="G42" s="16" t="inlineStr">
        <is>
          <t>–</t>
        </is>
      </c>
    </row>
    <row r="43">
      <c r="A43" s="16" t="inlineStr">
        <is>
          <t>1.1c · solo x_b</t>
        </is>
      </c>
      <c r="B43" s="16" t="inlineStr">
        <is>
          <t>Efectividad del generador de vapor, ε_HRVG [–]</t>
        </is>
      </c>
      <c r="C43" s="16" t="inlineStr">
        <is>
          <t>Fija</t>
        </is>
      </c>
      <c r="D43" s="16" t="inlineStr">
        <is>
          <t>0.85</t>
        </is>
      </c>
      <c r="E43" s="16" t="n"/>
      <c r="F43" s="16" t="inlineStr">
        <is>
          <t>sí</t>
        </is>
      </c>
      <c r="G43" s="16" t="inlineStr">
        <is>
          <t>–</t>
        </is>
      </c>
    </row>
    <row r="44">
      <c r="A44" s="16" t="inlineStr">
        <is>
          <t>1.1c · solo x_b</t>
        </is>
      </c>
      <c r="B44" s="16" t="inlineStr">
        <is>
          <t>Efectividad del regenerador, ε_reg [–]</t>
        </is>
      </c>
      <c r="C44" s="16" t="inlineStr">
        <is>
          <t>Fija</t>
        </is>
      </c>
      <c r="D44" s="16" t="inlineStr">
        <is>
          <t>0.75</t>
        </is>
      </c>
      <c r="E44" s="16" t="n"/>
      <c r="F44" s="16" t="inlineStr">
        <is>
          <t>sí</t>
        </is>
      </c>
      <c r="G44" s="16" t="inlineStr">
        <is>
          <t>–</t>
        </is>
      </c>
    </row>
    <row r="45">
      <c r="A45" s="16" t="inlineStr">
        <is>
          <t>1.1c · solo x_b</t>
        </is>
      </c>
      <c r="B45" s="16" t="inlineStr">
        <is>
          <t>Efectividad del condensador, ε_cond [–]</t>
        </is>
      </c>
      <c r="C45" s="16" t="inlineStr">
        <is>
          <t>Fija</t>
        </is>
      </c>
      <c r="D45" s="16" t="inlineStr">
        <is>
          <t>0.8</t>
        </is>
      </c>
      <c r="E45" s="16" t="n"/>
      <c r="F45" s="16" t="inlineStr">
        <is>
          <t>sí</t>
        </is>
      </c>
      <c r="G45" s="16" t="inlineStr">
        <is>
          <t>–</t>
        </is>
      </c>
    </row>
    <row r="46">
      <c r="A46" s="16" t="inlineStr">
        <is>
          <t>1.1c · solo x_b</t>
        </is>
      </c>
      <c r="B46" s="16" t="inlineStr">
        <is>
          <t>Piso de O2 (T de diseño de la bomba) [K]</t>
        </is>
      </c>
      <c r="C46" s="16" t="inlineStr">
        <is>
          <t>Sin dato</t>
        </is>
      </c>
      <c r="D46" s="16" t="n"/>
      <c r="E46" s="16" t="n"/>
      <c r="F46" s="16" t="n"/>
      <c r="G46" s="16" t="inlineStr">
        <is>
          <t>K</t>
        </is>
      </c>
    </row>
    <row r="47">
      <c r="A47" s="16" t="inlineStr">
        <is>
          <t>1.1c · solo x_b</t>
        </is>
      </c>
      <c r="B47" s="16" t="inlineStr">
        <is>
          <t>motor de propiedades</t>
        </is>
      </c>
      <c r="C47" s="16" t="inlineStr">
        <is>
          <t>Fija</t>
        </is>
      </c>
      <c r="D47" s="16" t="inlineStr">
        <is>
          <t>teqp</t>
        </is>
      </c>
      <c r="E47" s="16" t="n"/>
      <c r="F47" s="16" t="n"/>
      <c r="G47" s="16" t="inlineStr">
        <is>
          <t>–</t>
        </is>
      </c>
    </row>
    <row r="48">
      <c r="A48" s="16" t="inlineStr">
        <is>
          <t>1.1d · temperatura ambiente hora a hora</t>
        </is>
      </c>
      <c r="B48" s="16" t="inlineStr">
        <is>
          <t>Temperatura de la fuente, T_fuente [K]</t>
        </is>
      </c>
      <c r="C48" s="16" t="inlineStr">
        <is>
          <t>Fija</t>
        </is>
      </c>
      <c r="D48" s="16" t="inlineStr">
        <is>
          <t>623.15</t>
        </is>
      </c>
      <c r="E48" s="16" t="n"/>
      <c r="F48" s="16" t="inlineStr">
        <is>
          <t>sí</t>
        </is>
      </c>
      <c r="G48" s="16" t="inlineStr">
        <is>
          <t>K</t>
        </is>
      </c>
    </row>
    <row r="49">
      <c r="A49" s="16" t="inlineStr">
        <is>
          <t>1.1d · temperatura ambiente hora a hora</t>
        </is>
      </c>
      <c r="B49" s="16" t="inlineStr">
        <is>
          <t>Temperatura del sumidero, T_sumidero [K]</t>
        </is>
      </c>
      <c r="C49" s="16" t="inlineStr">
        <is>
          <t>Barrida</t>
        </is>
      </c>
      <c r="D49" s="16" t="inlineStr">
        <is>
          <t>297.9 – 303.6</t>
        </is>
      </c>
      <c r="E49" s="16" t="n">
        <v>23</v>
      </c>
      <c r="F49" s="16" t="n"/>
      <c r="G49" s="16" t="inlineStr">
        <is>
          <t>K</t>
        </is>
      </c>
    </row>
    <row r="50">
      <c r="A50" s="16" t="inlineStr">
        <is>
          <t>1.1d · temperatura ambiente hora a hora</t>
        </is>
      </c>
      <c r="B50" s="16" t="inlineStr">
        <is>
          <t>Presión de alta, P_alta [kPa]</t>
        </is>
      </c>
      <c r="C50" s="16" t="inlineStr">
        <is>
          <t>Fija</t>
        </is>
      </c>
      <c r="D50" s="16" t="inlineStr">
        <is>
          <t>3000.0</t>
        </is>
      </c>
      <c r="E50" s="16" t="n"/>
      <c r="F50" s="16" t="inlineStr">
        <is>
          <t>sí</t>
        </is>
      </c>
      <c r="G50" s="16" t="inlineStr">
        <is>
          <t>kPa</t>
        </is>
      </c>
    </row>
    <row r="51">
      <c r="A51" s="16" t="inlineStr">
        <is>
          <t>1.1d · temperatura ambiente hora a hora</t>
        </is>
      </c>
      <c r="B51" s="16" t="inlineStr">
        <is>
          <t>Presión de baja, P_baja [kPa]</t>
        </is>
      </c>
      <c r="C51" s="16" t="inlineStr">
        <is>
          <t>Fija</t>
        </is>
      </c>
      <c r="D51" s="16" t="inlineStr">
        <is>
          <t>400.0</t>
        </is>
      </c>
      <c r="E51" s="16" t="n"/>
      <c r="F51" s="16" t="inlineStr">
        <is>
          <t>sí</t>
        </is>
      </c>
      <c r="G51" s="16" t="inlineStr">
        <is>
          <t>kPa</t>
        </is>
      </c>
    </row>
    <row r="52">
      <c r="A52" s="16" t="inlineStr">
        <is>
          <t>1.1d · temperatura ambiente hora a hora</t>
        </is>
      </c>
      <c r="B52" s="16" t="inlineStr">
        <is>
          <t>Fracción de amoníaco de la mezcla base, x_b [–]</t>
        </is>
      </c>
      <c r="C52" s="16" t="inlineStr">
        <is>
          <t>Fija</t>
        </is>
      </c>
      <c r="D52" s="16" t="inlineStr">
        <is>
          <t>0.5</t>
        </is>
      </c>
      <c r="E52" s="16" t="n"/>
      <c r="F52" s="16" t="inlineStr">
        <is>
          <t>sí</t>
        </is>
      </c>
      <c r="G52" s="16" t="inlineStr">
        <is>
          <t>–</t>
        </is>
      </c>
    </row>
    <row r="53">
      <c r="A53" s="16" t="inlineStr">
        <is>
          <t>1.1d · temperatura ambiente hora a hora</t>
        </is>
      </c>
      <c r="B53" s="16" t="inlineStr">
        <is>
          <t>Flujo másico base, m_b [kg/s]</t>
        </is>
      </c>
      <c r="C53" s="16" t="inlineStr">
        <is>
          <t>Fija</t>
        </is>
      </c>
      <c r="D53" s="16" t="inlineStr">
        <is>
          <t>1.0</t>
        </is>
      </c>
      <c r="E53" s="16" t="n"/>
      <c r="F53" s="16" t="inlineStr">
        <is>
          <t>sí</t>
        </is>
      </c>
      <c r="G53" s="16" t="inlineStr">
        <is>
          <t>kg/s</t>
        </is>
      </c>
    </row>
    <row r="54">
      <c r="A54" s="16" t="inlineStr">
        <is>
          <t>1.1d · temperatura ambiente hora a hora</t>
        </is>
      </c>
      <c r="B54" s="16" t="inlineStr">
        <is>
          <t>Eficiencia isentrópica de la turbina, η_t [–]</t>
        </is>
      </c>
      <c r="C54" s="16" t="inlineStr">
        <is>
          <t>Fija</t>
        </is>
      </c>
      <c r="D54" s="16" t="inlineStr">
        <is>
          <t>0.85</t>
        </is>
      </c>
      <c r="E54" s="16" t="n"/>
      <c r="F54" s="16" t="inlineStr">
        <is>
          <t>sí</t>
        </is>
      </c>
      <c r="G54" s="16" t="inlineStr">
        <is>
          <t>–</t>
        </is>
      </c>
    </row>
    <row r="55">
      <c r="A55" s="16" t="inlineStr">
        <is>
          <t>1.1d · temperatura ambiente hora a hora</t>
        </is>
      </c>
      <c r="B55" s="16" t="inlineStr">
        <is>
          <t>Eficiencia isentrópica de la bomba, η_p [–]</t>
        </is>
      </c>
      <c r="C55" s="16" t="inlineStr">
        <is>
          <t>Fija</t>
        </is>
      </c>
      <c r="D55" s="16" t="inlineStr">
        <is>
          <t>0.75</t>
        </is>
      </c>
      <c r="E55" s="16" t="n"/>
      <c r="F55" s="16" t="inlineStr">
        <is>
          <t>sí</t>
        </is>
      </c>
      <c r="G55" s="16" t="inlineStr">
        <is>
          <t>–</t>
        </is>
      </c>
    </row>
    <row r="56">
      <c r="A56" s="16" t="inlineStr">
        <is>
          <t>1.1d · temperatura ambiente hora a hora</t>
        </is>
      </c>
      <c r="B56" s="16" t="inlineStr">
        <is>
          <t>Efectividad del generador de vapor, ε_HRVG [–]</t>
        </is>
      </c>
      <c r="C56" s="16" t="inlineStr">
        <is>
          <t>Fija</t>
        </is>
      </c>
      <c r="D56" s="16" t="inlineStr">
        <is>
          <t>0.85</t>
        </is>
      </c>
      <c r="E56" s="16" t="n"/>
      <c r="F56" s="16" t="inlineStr">
        <is>
          <t>sí</t>
        </is>
      </c>
      <c r="G56" s="16" t="inlineStr">
        <is>
          <t>–</t>
        </is>
      </c>
    </row>
    <row r="57">
      <c r="A57" s="16" t="inlineStr">
        <is>
          <t>1.1d · temperatura ambiente hora a hora</t>
        </is>
      </c>
      <c r="B57" s="16" t="inlineStr">
        <is>
          <t>Efectividad del regenerador, ε_reg [–]</t>
        </is>
      </c>
      <c r="C57" s="16" t="inlineStr">
        <is>
          <t>Fija</t>
        </is>
      </c>
      <c r="D57" s="16" t="inlineStr">
        <is>
          <t>0.75</t>
        </is>
      </c>
      <c r="E57" s="16" t="n"/>
      <c r="F57" s="16" t="inlineStr">
        <is>
          <t>sí</t>
        </is>
      </c>
      <c r="G57" s="16" t="inlineStr">
        <is>
          <t>–</t>
        </is>
      </c>
    </row>
    <row r="58">
      <c r="A58" s="16" t="inlineStr">
        <is>
          <t>1.1d · temperatura ambiente hora a hora</t>
        </is>
      </c>
      <c r="B58" s="16" t="inlineStr">
        <is>
          <t>Efectividad del condensador, ε_cond [–]</t>
        </is>
      </c>
      <c r="C58" s="16" t="inlineStr">
        <is>
          <t>Fija</t>
        </is>
      </c>
      <c r="D58" s="16" t="inlineStr">
        <is>
          <t>0.8</t>
        </is>
      </c>
      <c r="E58" s="16" t="n"/>
      <c r="F58" s="16" t="inlineStr">
        <is>
          <t>sí</t>
        </is>
      </c>
      <c r="G58" s="16" t="inlineStr">
        <is>
          <t>–</t>
        </is>
      </c>
    </row>
    <row r="59">
      <c r="A59" s="16" t="inlineStr">
        <is>
          <t>1.1d · temperatura ambiente hora a hora</t>
        </is>
      </c>
      <c r="B59" s="16" t="inlineStr">
        <is>
          <t>Piso de O2 (T de diseño de la bomba) [K]</t>
        </is>
      </c>
      <c r="C59" s="16" t="inlineStr">
        <is>
          <t>Sin dato</t>
        </is>
      </c>
      <c r="D59" s="16" t="n"/>
      <c r="E59" s="16" t="n"/>
      <c r="F59" s="16" t="n"/>
      <c r="G59" s="16" t="inlineStr">
        <is>
          <t>K</t>
        </is>
      </c>
    </row>
    <row r="60">
      <c r="A60" s="16" t="inlineStr">
        <is>
          <t>1.1d · temperatura ambiente hora a hora</t>
        </is>
      </c>
      <c r="B60" s="16" t="inlineStr">
        <is>
          <t>motor de propiedades</t>
        </is>
      </c>
      <c r="C60" s="16" t="inlineStr">
        <is>
          <t>Fija</t>
        </is>
      </c>
      <c r="D60" s="16" t="inlineStr">
        <is>
          <t>teqp</t>
        </is>
      </c>
      <c r="E60" s="16" t="n"/>
      <c r="F60" s="16" t="n"/>
      <c r="G60" s="16" t="inlineStr">
        <is>
          <t>–</t>
        </is>
      </c>
    </row>
    <row r="62">
      <c r="A62" s="23" t="inlineStr">
        <is>
          <t>Notas: Filtro: cada parte y cada variable. n = 52 filas en la tabla. † = fuera del rango confiable (IAPWS G4-01); ‡ = falso convergido. Fuente: analisis_final/00_inventario/condiciones_por_subcaso.csv.</t>
        </is>
      </c>
    </row>
  </sheetData>
  <autoFilter ref="A8:G6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1"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1.1-2 · Corridas por parte y por clase</t>
        </is>
      </c>
    </row>
    <row r="2">
      <c r="A2" s="20" t="inlineStr">
        <is>
          <t>Estudio 1.1 · Repetir el caso del profesor · Partes: 1.1b, 1.1a, 1.1c, 1.1d</t>
        </is>
      </c>
    </row>
    <row r="3">
      <c r="A3" s="20" t="inlineStr">
        <is>
          <t>Punto base: PP = punto del profesor (los 11 datos del enunciado; ver GLOSARIO)</t>
        </is>
      </c>
    </row>
    <row r="4">
      <c r="A4" s="21" t="inlineStr">
        <is>
          <t>Datos fijos: T_fuente = 623.15 K; P_baja = 400 kPa; m_b = 1 kg/s; η_t = 0.85; η_p = 0.75; ε_HRVG = 0.85; ε_reg = 0.75; ε_cond = 0.8.</t>
        </is>
      </c>
    </row>
    <row r="5">
      <c r="A5" s="21" t="inlineStr">
        <is>
          <t>Datos barridos: T_sumidero [297.95–303.55] K (23 valores); P_alta [2000–4000] kPa (9 valores); x_b [0.4–0.7] (7 valores); motor de propiedades (2 valores).</t>
        </is>
      </c>
    </row>
    <row r="6">
      <c r="A6" s="20" t="inlineStr">
        <is>
          <t>Fuente: analisis_final/00_inventario/conteo_por_subcaso.csv</t>
        </is>
      </c>
    </row>
    <row r="8">
      <c r="A8" s="22" t="inlineStr">
        <is>
          <t>Parte</t>
        </is>
      </c>
      <c r="B8" s="22" t="inlineStr">
        <is>
          <t>Corridas</t>
        </is>
      </c>
      <c r="C8" s="22" t="inlineStr">
        <is>
          <t>Omitidos</t>
        </is>
      </c>
      <c r="D8" s="22" t="inlineStr">
        <is>
          <t>Genuinos</t>
        </is>
      </c>
      <c r="E8" s="22" t="inlineStr">
        <is>
          <t>KALINA</t>
        </is>
      </c>
      <c r="F8" s="22" t="inlineStr">
        <is>
          <t>KALINA confiables</t>
        </is>
      </c>
      <c r="G8" s="22" t="inlineStr">
        <is>
          <t>Corregibles</t>
        </is>
      </c>
      <c r="H8" s="22" t="inlineStr">
        <is>
          <t>Inviables</t>
        </is>
      </c>
      <c r="I8" s="22" t="inlineStr">
        <is>
          <t>No convergidos</t>
        </is>
      </c>
      <c r="J8" s="22" t="inlineStr">
        <is>
          <t>Falsos convergidos</t>
        </is>
      </c>
      <c r="K8" s="22" t="inlineStr">
        <is>
          <t>Fuera de rango</t>
        </is>
      </c>
    </row>
    <row r="9">
      <c r="A9" s="16" t="inlineStr">
        <is>
          <t>1.1b · solo P_alta</t>
        </is>
      </c>
      <c r="B9" s="16" t="n">
        <v>9</v>
      </c>
      <c r="C9" s="16" t="n">
        <v>0</v>
      </c>
      <c r="D9" s="16" t="n">
        <v>0</v>
      </c>
      <c r="E9" s="16" t="n">
        <v>0</v>
      </c>
      <c r="F9" s="16" t="n">
        <v>0</v>
      </c>
      <c r="G9" s="16" t="n">
        <v>0</v>
      </c>
      <c r="H9" s="16" t="n">
        <v>0</v>
      </c>
      <c r="I9" s="16" t="n">
        <v>9</v>
      </c>
      <c r="J9" s="16" t="n">
        <v>0</v>
      </c>
      <c r="K9" s="16" t="n">
        <v>0</v>
      </c>
    </row>
    <row r="10">
      <c r="A10" s="16" t="inlineStr">
        <is>
          <t>1.1a · punto del profesor</t>
        </is>
      </c>
      <c r="B10" s="16" t="n">
        <v>2</v>
      </c>
      <c r="C10" s="16" t="n">
        <v>0</v>
      </c>
      <c r="D10" s="16" t="n">
        <v>0</v>
      </c>
      <c r="E10" s="16" t="n">
        <v>0</v>
      </c>
      <c r="F10" s="16" t="n">
        <v>0</v>
      </c>
      <c r="G10" s="16" t="n">
        <v>0</v>
      </c>
      <c r="H10" s="16" t="n">
        <v>0</v>
      </c>
      <c r="I10" s="16" t="n">
        <v>2</v>
      </c>
      <c r="J10" s="16" t="n">
        <v>0</v>
      </c>
      <c r="K10" s="16" t="n">
        <v>0</v>
      </c>
    </row>
    <row r="11">
      <c r="A11" s="16" t="inlineStr">
        <is>
          <t>1.1c · solo x_b</t>
        </is>
      </c>
      <c r="B11" s="16" t="n">
        <v>7</v>
      </c>
      <c r="C11" s="16" t="n">
        <v>0</v>
      </c>
      <c r="D11" s="16" t="n">
        <v>0</v>
      </c>
      <c r="E11" s="16" t="n">
        <v>0</v>
      </c>
      <c r="F11" s="16" t="n">
        <v>0</v>
      </c>
      <c r="G11" s="16" t="n">
        <v>0</v>
      </c>
      <c r="H11" s="16" t="n">
        <v>0</v>
      </c>
      <c r="I11" s="16" t="n">
        <v>7</v>
      </c>
      <c r="J11" s="16" t="n">
        <v>0</v>
      </c>
      <c r="K11" s="16" t="n">
        <v>0</v>
      </c>
    </row>
    <row r="12">
      <c r="A12" s="16" t="inlineStr">
        <is>
          <t>1.1d · temperatura ambiente hora a hora</t>
        </is>
      </c>
      <c r="B12" s="16" t="n">
        <v>24</v>
      </c>
      <c r="C12" s="16" t="n">
        <v>0</v>
      </c>
      <c r="D12" s="16" t="n">
        <v>0</v>
      </c>
      <c r="E12" s="16" t="n">
        <v>0</v>
      </c>
      <c r="F12" s="16" t="n">
        <v>0</v>
      </c>
      <c r="G12" s="16" t="n">
        <v>0</v>
      </c>
      <c r="H12" s="16" t="n">
        <v>0</v>
      </c>
      <c r="I12" s="16" t="n">
        <v>24</v>
      </c>
      <c r="J12" s="16" t="n">
        <v>0</v>
      </c>
      <c r="K12" s="16" t="n">
        <v>0</v>
      </c>
    </row>
    <row r="14">
      <c r="A14" s="23" t="inlineStr">
        <is>
          <t>Notas: Filtro: conteo por parte. n = 4 filas en la tabla. † = fuera del rango confiable (IAPWS G4-01); ‡ = falso convergido. Fuente: analisis_final/00_inventario/conteo_por_subcaso.csv.</t>
        </is>
      </c>
    </row>
  </sheetData>
  <autoFilter ref="A8:K1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10" customWidth="1" min="1" max="1"/>
    <col width="10" customWidth="1" min="2" max="2"/>
    <col width="15" customWidth="1" min="3" max="3"/>
    <col width="15" customWidth="1" min="4" max="4"/>
    <col width="13" customWidth="1" min="5" max="5"/>
    <col width="15" customWidth="1" min="6" max="6"/>
    <col width="15" customWidth="1" min="7" max="7"/>
    <col width="10" customWidth="1" min="8" max="8"/>
    <col width="48" customWidth="1" min="9" max="9"/>
    <col width="48" customWidth="1" min="10" max="10"/>
  </cols>
  <sheetData>
    <row r="1">
      <c r="A1" s="19" t="inlineStr">
        <is>
          <t>Tabla 1.1-3 · Comparación antes y después de la F1</t>
        </is>
      </c>
    </row>
    <row r="2">
      <c r="A2" s="20" t="inlineStr">
        <is>
          <t>Estudio 1.1 · Repetir el caso del profesor · Partes: 1.1b, 1.1a, 1.1c, 1.1d</t>
        </is>
      </c>
    </row>
    <row r="3">
      <c r="A3" s="20" t="inlineStr">
        <is>
          <t>Punto base: PP = punto del profesor (los 11 datos del enunciado; ver GLOSARIO)</t>
        </is>
      </c>
    </row>
    <row r="4">
      <c r="A4" s="21" t="inlineStr">
        <is>
          <t>Datos fijos: T_fuente = 623.15 K; P_baja = 400 kPa; m_b = 1 kg/s; η_t = 0.85; η_p = 0.75; ε_HRVG = 0.85; ε_reg = 0.75; ε_cond = 0.8.</t>
        </is>
      </c>
    </row>
    <row r="5">
      <c r="A5" s="21" t="inlineStr">
        <is>
          <t>Datos barridos: T_sumidero [297.95–303.55] K (23 valores); P_alta [2000–4000] kPa (9 valores); x_b [0.4–0.7] (7 valores); motor de propiedades (2 valores).</t>
        </is>
      </c>
    </row>
    <row r="6">
      <c r="A6" s="20" t="inlineStr">
        <is>
          <t>Fuente: resultados/2026-10-06_final_M1/m1_comparacion.csv</t>
        </is>
      </c>
    </row>
    <row r="8">
      <c r="A8" s="22" t="inlineStr">
        <is>
          <t>Grupo</t>
        </is>
      </c>
      <c r="B8" s="22" t="inlineStr">
        <is>
          <t>Valor</t>
        </is>
      </c>
      <c r="C8" s="22" t="inlineStr">
        <is>
          <t>Clase (antes)</t>
        </is>
      </c>
      <c r="D8" s="22" t="inlineStr">
        <is>
          <t>Clase (ahora)</t>
        </is>
      </c>
      <c r="E8" s="22" t="inlineStr">
        <is>
          <t>Misma clase</t>
        </is>
      </c>
      <c r="F8" s="22" t="inlineStr">
        <is>
          <t>η (antes) [%]</t>
        </is>
      </c>
      <c r="G8" s="22" t="inlineStr">
        <is>
          <t>η (ahora) [%]</t>
        </is>
      </c>
      <c r="H8" s="22" t="inlineStr">
        <is>
          <t>Δη [pp]</t>
        </is>
      </c>
      <c r="I8" s="22" t="inlineStr">
        <is>
          <t>Mensaje (antes)</t>
        </is>
      </c>
      <c r="J8" s="22" t="inlineStr">
        <is>
          <t>Mensaje (ahora)</t>
        </is>
      </c>
    </row>
    <row r="9">
      <c r="A9" s="16" t="inlineStr">
        <is>
          <t>base</t>
        </is>
      </c>
      <c r="B9" s="16" t="n"/>
      <c r="C9" s="32" t="inlineStr">
        <is>
          <t>NO_CONVERGIO</t>
        </is>
      </c>
      <c r="D9" s="32" t="inlineStr">
        <is>
          <t>NO_CONVERGIO</t>
        </is>
      </c>
      <c r="E9" s="16" t="inlineStr">
        <is>
          <t>sí</t>
        </is>
      </c>
      <c r="F9" s="16" t="n"/>
      <c r="G9" s="16" t="n"/>
      <c r="H9" s="16" t="n"/>
      <c r="I9" s="16" t="n"/>
      <c r="J9" s="16" t="inlineStr">
        <is>
          <t>presupuesto de tiempo agotado: 1 evaluaciones de F en 316.5 s (presupuesto 300 s</t>
        </is>
      </c>
    </row>
    <row r="10">
      <c r="A10" s="16" t="inlineStr">
        <is>
          <t>P_alta</t>
        </is>
      </c>
      <c r="B10" s="16" t="n">
        <v>2000</v>
      </c>
      <c r="C10" s="32" t="inlineStr">
        <is>
          <t>NO_CONVERGIO</t>
        </is>
      </c>
      <c r="D10" s="32" t="inlineStr">
        <is>
          <t>NO_CONVERGIO</t>
        </is>
      </c>
      <c r="E10" s="16" t="inlineStr">
        <is>
          <t>sí</t>
        </is>
      </c>
      <c r="F10" s="16" t="n"/>
      <c r="G10" s="16" t="n"/>
      <c r="H10" s="16" t="n"/>
      <c r="I10" s="16" t="inlineStr">
        <is>
          <t>equilibrio_liquido_vapor(P=2000.0 kPa, T=623.0000091226806 K): no existe equilib</t>
        </is>
      </c>
      <c r="J10" s="16" t="inlineStr">
        <is>
          <t>extremos [301.0329, 307.1500] K sin cambio de signo de F (F(lo)=76.814, F(hi)=71</t>
        </is>
      </c>
    </row>
    <row r="11">
      <c r="A11" s="16" t="inlineStr">
        <is>
          <t>P_alta</t>
        </is>
      </c>
      <c r="B11" s="16" t="n">
        <v>2250</v>
      </c>
      <c r="C11" s="32" t="inlineStr">
        <is>
          <t>NO_CONVERGIO</t>
        </is>
      </c>
      <c r="D11" s="32" t="inlineStr">
        <is>
          <t>NO_CONVERGIO</t>
        </is>
      </c>
      <c r="E11" s="16" t="inlineStr">
        <is>
          <t>sí</t>
        </is>
      </c>
      <c r="F11" s="16" t="n"/>
      <c r="G11" s="16" t="n"/>
      <c r="H11" s="16" t="n"/>
      <c r="I11" s="16" t="inlineStr">
        <is>
          <t>equilibrio_liquido_vapor(P=2250.0 kPa, T=623.0000058142358 K): no existe equilib</t>
        </is>
      </c>
      <c r="J11" s="16" t="inlineStr">
        <is>
          <t>extremos [301.0329, 317.1500] K sin cambio de signo de F (F(lo)=79.155, F(hi)=65</t>
        </is>
      </c>
    </row>
    <row r="12">
      <c r="A12" s="16" t="inlineStr">
        <is>
          <t>P_alta</t>
        </is>
      </c>
      <c r="B12" s="16" t="n">
        <v>2500</v>
      </c>
      <c r="C12" s="32" t="inlineStr">
        <is>
          <t>NO_CONVERGIO</t>
        </is>
      </c>
      <c r="D12" s="32" t="inlineStr">
        <is>
          <t>NO_CONVERGIO</t>
        </is>
      </c>
      <c r="E12" s="16" t="inlineStr">
        <is>
          <t>sí</t>
        </is>
      </c>
      <c r="F12" s="16" t="n"/>
      <c r="G12" s="16" t="n"/>
      <c r="H12" s="16" t="n"/>
      <c r="I12" s="16" t="inlineStr">
        <is>
          <t>equilibrio_liquido_vapor(P=2500.0 kPa, T=623.0000024147047 K): no existe equilib</t>
        </is>
      </c>
      <c r="J12" s="16" t="inlineStr">
        <is>
          <t>extremos [301.0329, 327.1500] K sin cambio de signo de F (F(lo)=81.794, F(hi)=59</t>
        </is>
      </c>
    </row>
    <row r="13">
      <c r="A13" s="16" t="inlineStr">
        <is>
          <t>P_alta</t>
        </is>
      </c>
      <c r="B13" s="16" t="n">
        <v>2750</v>
      </c>
      <c r="C13" s="32" t="inlineStr">
        <is>
          <t>NO_CONVERGIO</t>
        </is>
      </c>
      <c r="D13" s="32" t="inlineStr">
        <is>
          <t>NO_CONVERGIO</t>
        </is>
      </c>
      <c r="E13" s="16" t="inlineStr">
        <is>
          <t>sí</t>
        </is>
      </c>
      <c r="F13" s="16" t="n"/>
      <c r="G13" s="16" t="n"/>
      <c r="H13" s="16" t="n"/>
      <c r="I13" s="16" t="inlineStr">
        <is>
          <t>equilibrio_liquido_vapor(P=2750.0 kPa, T=622.9999988927121 K): no existe equilib</t>
        </is>
      </c>
      <c r="J13" s="16" t="inlineStr">
        <is>
          <t>extremos [301.0329, 337.1500] K sin cambio de signo de F (F(lo)=84.509, F(hi)=52</t>
        </is>
      </c>
    </row>
    <row r="14">
      <c r="A14" s="16" t="inlineStr">
        <is>
          <t>P_alta</t>
        </is>
      </c>
      <c r="B14" s="16" t="n">
        <v>3000</v>
      </c>
      <c r="C14" s="32" t="inlineStr">
        <is>
          <t>NO_CONVERGIO</t>
        </is>
      </c>
      <c r="D14" s="32" t="inlineStr">
        <is>
          <t>NO_CONVERGIO</t>
        </is>
      </c>
      <c r="E14" s="16" t="inlineStr">
        <is>
          <t>sí</t>
        </is>
      </c>
      <c r="F14" s="16" t="n"/>
      <c r="G14" s="16" t="n"/>
      <c r="H14" s="16" t="n"/>
      <c r="I14" s="16" t="inlineStr">
        <is>
          <t>equilibrio_liquido_vapor(P=3000.0 kPa, T=622.9999953066318 K): no existe equilib</t>
        </is>
      </c>
      <c r="J14" s="16" t="inlineStr">
        <is>
          <t>extremos [301.0329, 347.1500] K sin cambio de signo de F (F(lo)=87.376, F(hi)=45</t>
        </is>
      </c>
    </row>
    <row r="15">
      <c r="A15" s="16" t="inlineStr">
        <is>
          <t>P_alta</t>
        </is>
      </c>
      <c r="B15" s="16" t="n">
        <v>3250</v>
      </c>
      <c r="C15" s="32" t="inlineStr">
        <is>
          <t>NO_CONVERGIO</t>
        </is>
      </c>
      <c r="D15" s="32" t="inlineStr">
        <is>
          <t>NO_CONVERGIO</t>
        </is>
      </c>
      <c r="E15" s="16" t="inlineStr">
        <is>
          <t>sí</t>
        </is>
      </c>
      <c r="F15" s="16" t="n"/>
      <c r="G15" s="16" t="n"/>
      <c r="H15" s="16" t="n"/>
      <c r="I15" s="16" t="inlineStr">
        <is>
          <t>equilibrio_liquido_vapor(P=3250.0 kPa, T=622.9999916547947 K): no existe equilib</t>
        </is>
      </c>
      <c r="J15" s="16" t="inlineStr">
        <is>
          <t>extremos [301.0329, 352.1500] K sin cambio de signo de F (F(lo)=90.346, F(hi)=43</t>
        </is>
      </c>
    </row>
    <row r="16">
      <c r="A16" s="16" t="inlineStr">
        <is>
          <t>P_alta</t>
        </is>
      </c>
      <c r="B16" s="16" t="n">
        <v>3500</v>
      </c>
      <c r="C16" s="32" t="inlineStr">
        <is>
          <t>NO_CONVERGIO</t>
        </is>
      </c>
      <c r="D16" s="32" t="inlineStr">
        <is>
          <t>NO_CONVERGIO</t>
        </is>
      </c>
      <c r="E16" s="16" t="inlineStr">
        <is>
          <t>sí</t>
        </is>
      </c>
      <c r="F16" s="16" t="n"/>
      <c r="G16" s="16" t="n"/>
      <c r="H16" s="16" t="n"/>
      <c r="I16" s="16" t="inlineStr">
        <is>
          <t>equilibrio_liquido_vapor(P=3500.0 kPa, T=622.9999884354551 K): no existe equilib</t>
        </is>
      </c>
      <c r="J16" s="16" t="inlineStr">
        <is>
          <t>extremos [301.0329, 362.1500] K sin cambio de signo de F (F(lo)=93.153, F(hi)=36</t>
        </is>
      </c>
    </row>
    <row r="17">
      <c r="A17" s="16" t="inlineStr">
        <is>
          <t>P_alta</t>
        </is>
      </c>
      <c r="B17" s="16" t="n">
        <v>3750</v>
      </c>
      <c r="C17" s="32" t="inlineStr">
        <is>
          <t>NO_CONVERGIO</t>
        </is>
      </c>
      <c r="D17" s="32" t="inlineStr">
        <is>
          <t>NO_CONVERGIO</t>
        </is>
      </c>
      <c r="E17" s="16" t="inlineStr">
        <is>
          <t>sí</t>
        </is>
      </c>
      <c r="F17" s="16" t="n"/>
      <c r="G17" s="16" t="n"/>
      <c r="H17" s="16" t="n"/>
      <c r="I17" s="16" t="inlineStr">
        <is>
          <t>equilibrio_liquido_vapor(P=3750.0 kPa, T=622.9999846467892 K): no existe equilib</t>
        </is>
      </c>
      <c r="J17" s="16" t="inlineStr">
        <is>
          <t>extremos [301.0329, 367.1500] K sin cambio de signo de F (F(lo)=93.01, F(hi)=33.</t>
        </is>
      </c>
    </row>
    <row r="18">
      <c r="A18" s="16" t="inlineStr">
        <is>
          <t>P_alta</t>
        </is>
      </c>
      <c r="B18" s="16" t="n">
        <v>4000</v>
      </c>
      <c r="C18" s="32" t="inlineStr">
        <is>
          <t>NO_CONVERGIO</t>
        </is>
      </c>
      <c r="D18" s="32" t="inlineStr">
        <is>
          <t>NO_CONVERGIO</t>
        </is>
      </c>
      <c r="E18" s="16" t="inlineStr">
        <is>
          <t>sí</t>
        </is>
      </c>
      <c r="F18" s="16" t="n"/>
      <c r="G18" s="16" t="n"/>
      <c r="H18" s="16" t="n"/>
      <c r="I18" s="16" t="inlineStr">
        <is>
          <t>equilibrio_liquido_vapor(P=4000.0 kPa, T=622.9999807869 K): no existe equilibrio</t>
        </is>
      </c>
      <c r="J18" s="16" t="inlineStr">
        <is>
          <t>extremos [301.0329, 372.1500] K sin cambio de signo de F (F(lo)=92.621, F(hi)=30</t>
        </is>
      </c>
    </row>
    <row r="19">
      <c r="A19" s="16" t="inlineStr">
        <is>
          <t>x_b</t>
        </is>
      </c>
      <c r="B19" s="16" t="n">
        <v>0.4</v>
      </c>
      <c r="C19" s="32" t="inlineStr">
        <is>
          <t>NO_CONVERGIO</t>
        </is>
      </c>
      <c r="D19" s="32" t="inlineStr">
        <is>
          <t>NO_CONVERGIO</t>
        </is>
      </c>
      <c r="E19" s="16" t="inlineStr">
        <is>
          <t>sí</t>
        </is>
      </c>
      <c r="F19" s="16" t="n"/>
      <c r="G19" s="16" t="n"/>
      <c r="H19" s="16" t="n"/>
      <c r="I19" s="16" t="inlineStr">
        <is>
          <t>equilibrio_liquido_vapor(P=3000.0 kPa, T=622.999986634595 K): no existe equilibr</t>
        </is>
      </c>
      <c r="J19" s="16" t="inlineStr">
        <is>
          <t>extremos [306.0329, 387.1500] K sin cambio de signo de F (F(lo)=92.575, F(hi)=21</t>
        </is>
      </c>
    </row>
    <row r="20">
      <c r="A20" s="16" t="inlineStr">
        <is>
          <t>x_b</t>
        </is>
      </c>
      <c r="B20" s="16" t="n">
        <v>0.45</v>
      </c>
      <c r="C20" s="32" t="inlineStr">
        <is>
          <t>NO_CONVERGIO</t>
        </is>
      </c>
      <c r="D20" s="32" t="inlineStr">
        <is>
          <t>NO_CONVERGIO</t>
        </is>
      </c>
      <c r="E20" s="16" t="inlineStr">
        <is>
          <t>sí</t>
        </is>
      </c>
      <c r="F20" s="16" t="n"/>
      <c r="G20" s="16" t="n"/>
      <c r="H20" s="16" t="n"/>
      <c r="I20" s="16" t="inlineStr">
        <is>
          <t>equilibrio_liquido_vapor(P=3000.0 kPa, T=622.9999908239907 K): no existe equilib</t>
        </is>
      </c>
      <c r="J20" s="16" t="inlineStr">
        <is>
          <t>extremos [301.0329, 367.1500] K sin cambio de signo de F (F(lo)=94.732, F(hi)=33</t>
        </is>
      </c>
    </row>
    <row r="21">
      <c r="A21" s="16" t="inlineStr">
        <is>
          <t>x_b</t>
        </is>
      </c>
      <c r="B21" s="16" t="n">
        <v>0.5</v>
      </c>
      <c r="C21" s="32" t="inlineStr">
        <is>
          <t>NO_CONVERGIO</t>
        </is>
      </c>
      <c r="D21" s="32" t="inlineStr">
        <is>
          <t>NO_CONVERGIO</t>
        </is>
      </c>
      <c r="E21" s="16" t="inlineStr">
        <is>
          <t>sí</t>
        </is>
      </c>
      <c r="F21" s="16" t="n"/>
      <c r="G21" s="16" t="n"/>
      <c r="H21" s="16" t="n"/>
      <c r="I21" s="16" t="inlineStr">
        <is>
          <t>equilibrio_liquido_vapor(P=3000.0 kPa, T=622.9999953066318 K): no existe equilib</t>
        </is>
      </c>
      <c r="J21" s="16" t="inlineStr">
        <is>
          <t>extremos [301.0329, 347.1500] K sin cambio de signo de F (F(lo)=87.376, F(hi)=45</t>
        </is>
      </c>
    </row>
    <row r="22">
      <c r="A22" s="16" t="inlineStr">
        <is>
          <t>x_b</t>
        </is>
      </c>
      <c r="B22" s="16" t="n">
        <v>0.55</v>
      </c>
      <c r="C22" s="32" t="inlineStr">
        <is>
          <t>NO_CONVERGIO</t>
        </is>
      </c>
      <c r="D22" s="32" t="inlineStr">
        <is>
          <t>NO_CONVERGIO</t>
        </is>
      </c>
      <c r="E22" s="16" t="inlineStr">
        <is>
          <t>sí</t>
        </is>
      </c>
      <c r="F22" s="16" t="n"/>
      <c r="G22" s="16" t="n"/>
      <c r="H22" s="16" t="n"/>
      <c r="I22" s="16" t="inlineStr">
        <is>
          <t>equilibrio_liquido_vapor(P=3000.0 kPa, T=622.9999995938454 K): no existe equilib</t>
        </is>
      </c>
      <c r="J22" s="16" t="inlineStr">
        <is>
          <t>extremos [301.0329, 322.1500] K sin cambio de signo de F (F(lo)=85.287, F(hi)=66</t>
        </is>
      </c>
    </row>
    <row r="23">
      <c r="A23" s="16" t="inlineStr">
        <is>
          <t>x_b</t>
        </is>
      </c>
      <c r="B23" s="16" t="n">
        <v>0.6</v>
      </c>
      <c r="C23" s="32" t="inlineStr">
        <is>
          <t>NO_CONVERGIO</t>
        </is>
      </c>
      <c r="D23" s="32" t="inlineStr">
        <is>
          <t>NO_CONVERGIO</t>
        </is>
      </c>
      <c r="E23" s="16" t="inlineStr">
        <is>
          <t>sí</t>
        </is>
      </c>
      <c r="F23" s="16" t="n"/>
      <c r="G23" s="16" t="n"/>
      <c r="H23" s="16" t="n"/>
      <c r="I23" s="16" t="inlineStr">
        <is>
          <t>T_from_Ph(P, h, x): el motor teqp no cubre el estado pedido (ver TASK_CONTEXT 20</t>
        </is>
      </c>
      <c r="J23" s="16" t="inlineStr">
        <is>
          <t>sin dos extremos evaluables en el rango físico de T1 (repliegues_lo=64, repliegu</t>
        </is>
      </c>
    </row>
    <row r="24">
      <c r="A24" s="16" t="inlineStr">
        <is>
          <t>x_b</t>
        </is>
      </c>
      <c r="B24" s="16" t="n">
        <v>0.65</v>
      </c>
      <c r="C24" s="32" t="inlineStr">
        <is>
          <t>NO_CONVERGIO</t>
        </is>
      </c>
      <c r="D24" s="32" t="inlineStr">
        <is>
          <t>NO_CONVERGIO</t>
        </is>
      </c>
      <c r="E24" s="16" t="inlineStr">
        <is>
          <t>sí</t>
        </is>
      </c>
      <c r="F24" s="16" t="n"/>
      <c r="G24" s="16" t="n"/>
      <c r="H24" s="16" t="n"/>
      <c r="I24" s="16" t="inlineStr">
        <is>
          <t>T_from_Ph(P, h, x): el motor teqp no cubre el estado pedido (ver TASK_CONTEXT 20</t>
        </is>
      </c>
      <c r="J24" s="16" t="inlineStr">
        <is>
          <t>sin dos extremos evaluables en el rango físico de T1 (repliegues_lo=64, repliegu</t>
        </is>
      </c>
    </row>
    <row r="25">
      <c r="A25" s="16" t="inlineStr">
        <is>
          <t>x_b</t>
        </is>
      </c>
      <c r="B25" s="16" t="n">
        <v>0.7</v>
      </c>
      <c r="C25" s="32" t="inlineStr">
        <is>
          <t>NO_CONVERGIO</t>
        </is>
      </c>
      <c r="D25" s="32" t="inlineStr">
        <is>
          <t>NO_CONVERGIO</t>
        </is>
      </c>
      <c r="E25" s="16" t="inlineStr">
        <is>
          <t>sí</t>
        </is>
      </c>
      <c r="F25" s="16" t="n"/>
      <c r="G25" s="16" t="n"/>
      <c r="H25" s="16" t="n"/>
      <c r="I25" s="16" t="inlineStr">
        <is>
          <t>T_from_Ph(P, h, x): el motor teqp no cubre el estado pedido (ver TASK_CONTEXT 20</t>
        </is>
      </c>
      <c r="J25" s="16" t="inlineStr">
        <is>
          <t>sin dos extremos evaluables en el rango físico de T1 (repliegues_lo=64, repliegu</t>
        </is>
      </c>
    </row>
    <row r="26">
      <c r="A26" s="16" t="inlineStr">
        <is>
          <t>T_amb</t>
        </is>
      </c>
      <c r="B26" s="16" t="n">
        <v>299.4</v>
      </c>
      <c r="C26" s="32" t="inlineStr">
        <is>
          <t>NO_CONVERGIO</t>
        </is>
      </c>
      <c r="D26" s="32" t="inlineStr">
        <is>
          <t>NO_CONVERGIO</t>
        </is>
      </c>
      <c r="E26" s="16" t="inlineStr">
        <is>
          <t>sí</t>
        </is>
      </c>
      <c r="F26" s="16" t="n"/>
      <c r="G26" s="16" t="n"/>
      <c r="H26" s="16" t="n"/>
      <c r="I26" s="16" t="inlineStr">
        <is>
          <t>equilibrio_liquido_vapor(P=3000.0 kPa, T=622.9999953066318 K): no existe equilib</t>
        </is>
      </c>
      <c r="J26" s="16" t="inlineStr">
        <is>
          <t>extremos [300.4000, 347.1500] K sin cambio de signo de F (F(lo)=87.835, F(hi)=45</t>
        </is>
      </c>
    </row>
    <row r="27">
      <c r="A27" s="16" t="inlineStr">
        <is>
          <t>T_amb</t>
        </is>
      </c>
      <c r="B27" s="16" t="n">
        <v>299.2</v>
      </c>
      <c r="C27" s="32" t="inlineStr">
        <is>
          <t>NO_CONVERGIO</t>
        </is>
      </c>
      <c r="D27" s="32" t="inlineStr">
        <is>
          <t>NO_CONVERGIO</t>
        </is>
      </c>
      <c r="E27" s="16" t="inlineStr">
        <is>
          <t>sí</t>
        </is>
      </c>
      <c r="F27" s="16" t="n"/>
      <c r="G27" s="16" t="n"/>
      <c r="H27" s="16" t="n"/>
      <c r="I27" s="16" t="inlineStr">
        <is>
          <t>equilibrio_liquido_vapor(P=3000.0 kPa, T=622.9999953066318 K): no existe equilib</t>
        </is>
      </c>
      <c r="J27" s="16" t="inlineStr">
        <is>
          <t>extremos [300.2000, 347.1500] K sin cambio de signo de F (F(lo)=87.98, F(hi)=45.</t>
        </is>
      </c>
    </row>
    <row r="28">
      <c r="A28" s="16" t="inlineStr">
        <is>
          <t>T_amb</t>
        </is>
      </c>
      <c r="B28" s="16" t="n">
        <v>299.1</v>
      </c>
      <c r="C28" s="32" t="inlineStr">
        <is>
          <t>NO_CONVERGIO</t>
        </is>
      </c>
      <c r="D28" s="32" t="inlineStr">
        <is>
          <t>NO_CONVERGIO</t>
        </is>
      </c>
      <c r="E28" s="16" t="inlineStr">
        <is>
          <t>sí</t>
        </is>
      </c>
      <c r="F28" s="16" t="n"/>
      <c r="G28" s="16" t="n"/>
      <c r="H28" s="16" t="n"/>
      <c r="I28" s="16" t="inlineStr">
        <is>
          <t>equilibrio_liquido_vapor(P=3000.0 kPa, T=622.9999953066318 K): no existe equilib</t>
        </is>
      </c>
      <c r="J28" s="16" t="inlineStr">
        <is>
          <t>extremos [300.1000, 347.1500] K sin cambio de signo de F (F(lo)=88.053, F(hi)=45</t>
        </is>
      </c>
    </row>
    <row r="29">
      <c r="A29" s="16" t="inlineStr">
        <is>
          <t>T_amb</t>
        </is>
      </c>
      <c r="B29" s="16" t="n">
        <v>298.95</v>
      </c>
      <c r="C29" s="32" t="inlineStr">
        <is>
          <t>NO_CONVERGIO</t>
        </is>
      </c>
      <c r="D29" s="32" t="inlineStr">
        <is>
          <t>NO_CONVERGIO</t>
        </is>
      </c>
      <c r="E29" s="16" t="inlineStr">
        <is>
          <t>sí</t>
        </is>
      </c>
      <c r="F29" s="16" t="n"/>
      <c r="G29" s="16" t="n"/>
      <c r="H29" s="16" t="n"/>
      <c r="I29" s="16" t="inlineStr">
        <is>
          <t>equilibrio_liquido_vapor(P=3000.0 kPa, T=622.9999953066318 K): no existe equilib</t>
        </is>
      </c>
      <c r="J29" s="16" t="inlineStr">
        <is>
          <t>extremos [299.9500, 347.1500] K sin cambio de signo de F (F(lo)=88.162, F(hi)=45</t>
        </is>
      </c>
    </row>
    <row r="30">
      <c r="A30" s="16" t="inlineStr">
        <is>
          <t>T_amb</t>
        </is>
      </c>
      <c r="B30" s="16" t="n">
        <v>298.9</v>
      </c>
      <c r="C30" s="32" t="inlineStr">
        <is>
          <t>NO_CONVERGIO</t>
        </is>
      </c>
      <c r="D30" s="32" t="inlineStr">
        <is>
          <t>NO_CONVERGIO</t>
        </is>
      </c>
      <c r="E30" s="16" t="inlineStr">
        <is>
          <t>sí</t>
        </is>
      </c>
      <c r="F30" s="16" t="n"/>
      <c r="G30" s="16" t="n"/>
      <c r="H30" s="16" t="n"/>
      <c r="I30" s="16" t="inlineStr">
        <is>
          <t>equilibrio_liquido_vapor(P=3000.0 kPa, T=622.9999953066318 K): no existe equilib</t>
        </is>
      </c>
      <c r="J30" s="16" t="inlineStr">
        <is>
          <t>extremos [299.9000, 347.1500] K sin cambio de signo de F (F(lo)=88.198, F(hi)=45</t>
        </is>
      </c>
    </row>
    <row r="31">
      <c r="A31" s="16" t="inlineStr">
        <is>
          <t>T_amb</t>
        </is>
      </c>
      <c r="B31" s="16" t="n">
        <v>298.7</v>
      </c>
      <c r="C31" s="32" t="inlineStr">
        <is>
          <t>NO_CONVERGIO</t>
        </is>
      </c>
      <c r="D31" s="32" t="inlineStr">
        <is>
          <t>NO_CONVERGIO</t>
        </is>
      </c>
      <c r="E31" s="16" t="inlineStr">
        <is>
          <t>sí</t>
        </is>
      </c>
      <c r="F31" s="16" t="n"/>
      <c r="G31" s="16" t="n"/>
      <c r="H31" s="16" t="n"/>
      <c r="I31" s="16" t="inlineStr">
        <is>
          <t>equilibrio_liquido_vapor(P=3000.0 kPa, T=622.9999953066318 K): no existe equilib</t>
        </is>
      </c>
      <c r="J31" s="16" t="inlineStr">
        <is>
          <t>extremos [299.7000, 347.1500] K sin cambio de signo de F (F(lo)=88.343, F(hi)=45</t>
        </is>
      </c>
    </row>
    <row r="32">
      <c r="A32" s="16" t="inlineStr">
        <is>
          <t>T_amb</t>
        </is>
      </c>
      <c r="B32" s="16" t="n">
        <v>298.5</v>
      </c>
      <c r="C32" s="32" t="inlineStr">
        <is>
          <t>NO_CONVERGIO</t>
        </is>
      </c>
      <c r="D32" s="32" t="inlineStr">
        <is>
          <t>NO_CONVERGIO</t>
        </is>
      </c>
      <c r="E32" s="16" t="inlineStr">
        <is>
          <t>sí</t>
        </is>
      </c>
      <c r="F32" s="16" t="n"/>
      <c r="G32" s="16" t="n"/>
      <c r="H32" s="16" t="n"/>
      <c r="I32" s="16" t="inlineStr">
        <is>
          <t>equilibrio_liquido_vapor(P=3000.0 kPa, T=622.9999953066318 K): no existe equilib</t>
        </is>
      </c>
      <c r="J32" s="16" t="inlineStr">
        <is>
          <t>extremos [299.5000, 347.1500] K sin cambio de signo de F (F(lo)=88.489, F(hi)=45</t>
        </is>
      </c>
    </row>
    <row r="33">
      <c r="A33" s="16" t="inlineStr">
        <is>
          <t>T_amb</t>
        </is>
      </c>
      <c r="B33" s="16" t="n">
        <v>298.3</v>
      </c>
      <c r="C33" s="32" t="inlineStr">
        <is>
          <t>NO_CONVERGIO</t>
        </is>
      </c>
      <c r="D33" s="32" t="inlineStr">
        <is>
          <t>NO_CONVERGIO</t>
        </is>
      </c>
      <c r="E33" s="16" t="inlineStr">
        <is>
          <t>sí</t>
        </is>
      </c>
      <c r="F33" s="16" t="n"/>
      <c r="G33" s="16" t="n"/>
      <c r="H33" s="16" t="n"/>
      <c r="I33" s="16" t="inlineStr">
        <is>
          <t>equilibrio_liquido_vapor(P=3000.0 kPa, T=622.9999953066318 K): no existe equilib</t>
        </is>
      </c>
      <c r="J33" s="16" t="inlineStr">
        <is>
          <t>extremos [299.3000, 347.1500] K sin cambio de signo de F (F(lo)=88.634, F(hi)=45</t>
        </is>
      </c>
    </row>
    <row r="34">
      <c r="A34" s="16" t="inlineStr">
        <is>
          <t>T_amb</t>
        </is>
      </c>
      <c r="B34" s="16" t="n">
        <v>298.2</v>
      </c>
      <c r="C34" s="32" t="inlineStr">
        <is>
          <t>NO_CONVERGIO</t>
        </is>
      </c>
      <c r="D34" s="32" t="inlineStr">
        <is>
          <t>NO_CONVERGIO</t>
        </is>
      </c>
      <c r="E34" s="16" t="inlineStr">
        <is>
          <t>sí</t>
        </is>
      </c>
      <c r="F34" s="16" t="n"/>
      <c r="G34" s="16" t="n"/>
      <c r="H34" s="16" t="n"/>
      <c r="I34" s="16" t="inlineStr">
        <is>
          <t>equilibrio_liquido_vapor(P=3000.0 kPa, T=622.9999953066318 K): no existe equilib</t>
        </is>
      </c>
      <c r="J34" s="16" t="inlineStr">
        <is>
          <t>extremos [299.2000, 347.1500] K sin cambio de signo de F (F(lo)=88.707, F(hi)=45</t>
        </is>
      </c>
    </row>
    <row r="35">
      <c r="A35" s="16" t="inlineStr">
        <is>
          <t>T_amb</t>
        </is>
      </c>
      <c r="B35" s="16" t="n">
        <v>298</v>
      </c>
      <c r="C35" s="32" t="inlineStr">
        <is>
          <t>NO_CONVERGIO</t>
        </is>
      </c>
      <c r="D35" s="32" t="inlineStr">
        <is>
          <t>NO_CONVERGIO</t>
        </is>
      </c>
      <c r="E35" s="16" t="inlineStr">
        <is>
          <t>sí</t>
        </is>
      </c>
      <c r="F35" s="16" t="n"/>
      <c r="G35" s="16" t="n"/>
      <c r="H35" s="16" t="n"/>
      <c r="I35" s="16" t="inlineStr">
        <is>
          <t>equilibrio_liquido_vapor(P=3000.0 kPa, T=622.9999953066318 K): no existe equilib</t>
        </is>
      </c>
      <c r="J35" s="16" t="inlineStr">
        <is>
          <t>extremos [299.0000, 347.1500] K sin cambio de signo de F (F(lo)=88.853, F(hi)=45</t>
        </is>
      </c>
    </row>
    <row r="36">
      <c r="A36" s="16" t="inlineStr">
        <is>
          <t>T_amb</t>
        </is>
      </c>
      <c r="B36" s="16" t="n">
        <v>297.95</v>
      </c>
      <c r="C36" s="32" t="inlineStr">
        <is>
          <t>NO_CONVERGIO</t>
        </is>
      </c>
      <c r="D36" s="32" t="inlineStr">
        <is>
          <t>NO_CONVERGIO</t>
        </is>
      </c>
      <c r="E36" s="16" t="inlineStr">
        <is>
          <t>sí</t>
        </is>
      </c>
      <c r="F36" s="16" t="n"/>
      <c r="G36" s="16" t="n"/>
      <c r="H36" s="16" t="n"/>
      <c r="I36" s="16" t="inlineStr">
        <is>
          <t>equilibrio_liquido_vapor(P=3000.0 kPa, T=622.9999953066318 K): no existe equilib</t>
        </is>
      </c>
      <c r="J36" s="16" t="inlineStr">
        <is>
          <t>extremos [298.9500, 347.1500] K sin cambio de signo de F (F(lo)=88.889, F(hi)=45</t>
        </is>
      </c>
    </row>
    <row r="37">
      <c r="A37" s="16" t="inlineStr">
        <is>
          <t>T_amb</t>
        </is>
      </c>
      <c r="B37" s="16" t="n">
        <v>298.65</v>
      </c>
      <c r="C37" s="32" t="inlineStr">
        <is>
          <t>NO_CONVERGIO</t>
        </is>
      </c>
      <c r="D37" s="32" t="inlineStr">
        <is>
          <t>NO_CONVERGIO</t>
        </is>
      </c>
      <c r="E37" s="16" t="inlineStr">
        <is>
          <t>sí</t>
        </is>
      </c>
      <c r="F37" s="16" t="n"/>
      <c r="G37" s="16" t="n"/>
      <c r="H37" s="16" t="n"/>
      <c r="I37" s="16" t="inlineStr">
        <is>
          <t>equilibrio_liquido_vapor(P=3000.0 kPa, T=622.9999953066318 K): no existe equilib</t>
        </is>
      </c>
      <c r="J37" s="16" t="inlineStr">
        <is>
          <t>extremos [299.6500, 347.1500] K sin cambio de signo de F (F(lo)=88.38, F(hi)=45.</t>
        </is>
      </c>
    </row>
    <row r="38">
      <c r="A38" s="16" t="inlineStr">
        <is>
          <t>T_amb</t>
        </is>
      </c>
      <c r="B38" s="16" t="n">
        <v>300.49</v>
      </c>
      <c r="C38" s="32" t="inlineStr">
        <is>
          <t>NO_CONVERGIO</t>
        </is>
      </c>
      <c r="D38" s="32" t="inlineStr">
        <is>
          <t>NO_CONVERGIO</t>
        </is>
      </c>
      <c r="E38" s="16" t="inlineStr">
        <is>
          <t>sí</t>
        </is>
      </c>
      <c r="F38" s="16" t="n"/>
      <c r="G38" s="16" t="n"/>
      <c r="H38" s="16" t="n"/>
      <c r="I38" s="16" t="inlineStr">
        <is>
          <t>equilibrio_liquido_vapor(P=3000.0 kPa, T=622.9999953066318 K): no existe equilib</t>
        </is>
      </c>
      <c r="J38" s="16" t="inlineStr">
        <is>
          <t>extremos [301.4850, 347.1500] K sin cambio de signo de F (F(lo)=87.048, F(hi)=45</t>
        </is>
      </c>
    </row>
    <row r="39">
      <c r="A39" s="16" t="inlineStr">
        <is>
          <t>T_amb</t>
        </is>
      </c>
      <c r="B39" s="16" t="n">
        <v>301.55</v>
      </c>
      <c r="C39" s="32" t="inlineStr">
        <is>
          <t>NO_CONVERGIO</t>
        </is>
      </c>
      <c r="D39" s="32" t="inlineStr">
        <is>
          <t>NO_CONVERGIO</t>
        </is>
      </c>
      <c r="E39" s="16" t="inlineStr">
        <is>
          <t>sí</t>
        </is>
      </c>
      <c r="F39" s="16" t="n"/>
      <c r="G39" s="16" t="n"/>
      <c r="H39" s="16" t="n"/>
      <c r="I39" s="16" t="inlineStr">
        <is>
          <t>equilibrio_liquido_vapor(P=3000.0 kPa, T=622.9999953066318 K): no existe equilib</t>
        </is>
      </c>
      <c r="J39" s="16" t="inlineStr">
        <is>
          <t>extremos [302.5500, 347.1500] K sin cambio de signo de F (F(lo)=86.277, F(hi)=46</t>
        </is>
      </c>
    </row>
    <row r="40">
      <c r="A40" s="16" t="inlineStr">
        <is>
          <t>T_amb</t>
        </is>
      </c>
      <c r="B40" s="16" t="n">
        <v>302.4</v>
      </c>
      <c r="C40" s="32" t="inlineStr">
        <is>
          <t>NO_CONVERGIO</t>
        </is>
      </c>
      <c r="D40" s="32" t="inlineStr">
        <is>
          <t>NO_CONVERGIO</t>
        </is>
      </c>
      <c r="E40" s="16" t="inlineStr">
        <is>
          <t>sí</t>
        </is>
      </c>
      <c r="F40" s="16" t="n"/>
      <c r="G40" s="16" t="n"/>
      <c r="H40" s="16" t="n"/>
      <c r="I40" s="16" t="inlineStr">
        <is>
          <t>equilibrio_liquido_vapor(P=3000.0 kPa, T=622.9999953066318 K): no existe equilib</t>
        </is>
      </c>
      <c r="J40" s="16" t="inlineStr">
        <is>
          <t>extremos [303.4000, 347.1500] K sin cambio de signo de F (F(lo)=85.664, F(hi)=46</t>
        </is>
      </c>
    </row>
    <row r="41">
      <c r="A41" s="16" t="inlineStr">
        <is>
          <t>T_amb</t>
        </is>
      </c>
      <c r="B41" s="16" t="n">
        <v>303.1</v>
      </c>
      <c r="C41" s="32" t="inlineStr">
        <is>
          <t>NO_CONVERGIO</t>
        </is>
      </c>
      <c r="D41" s="32" t="inlineStr">
        <is>
          <t>NO_CONVERGIO</t>
        </is>
      </c>
      <c r="E41" s="16" t="inlineStr">
        <is>
          <t>sí</t>
        </is>
      </c>
      <c r="F41" s="16" t="n"/>
      <c r="G41" s="16" t="n"/>
      <c r="H41" s="16" t="n"/>
      <c r="I41" s="16" t="inlineStr">
        <is>
          <t>equilibrio_liquido_vapor(P=3000.0 kPa, T=622.9999953066318 K): no existe equilib</t>
        </is>
      </c>
      <c r="J41" s="16" t="inlineStr">
        <is>
          <t>extremos [304.1000, 347.1500] K sin cambio de signo de F (F(lo)=85.193, F(hi)=46</t>
        </is>
      </c>
    </row>
    <row r="42">
      <c r="A42" s="16" t="inlineStr">
        <is>
          <t>T_amb</t>
        </is>
      </c>
      <c r="B42" s="16" t="n">
        <v>303.55</v>
      </c>
      <c r="C42" s="32" t="inlineStr">
        <is>
          <t>NO_CONVERGIO</t>
        </is>
      </c>
      <c r="D42" s="32" t="inlineStr">
        <is>
          <t>NO_CONVERGIO</t>
        </is>
      </c>
      <c r="E42" s="16" t="inlineStr">
        <is>
          <t>sí</t>
        </is>
      </c>
      <c r="F42" s="16" t="n"/>
      <c r="G42" s="16" t="n"/>
      <c r="H42" s="16" t="n"/>
      <c r="I42" s="16" t="inlineStr">
        <is>
          <t>equilibrio_liquido_vapor(P=3000.0 kPa, T=622.9999953066318 K): no existe equilib</t>
        </is>
      </c>
      <c r="J42" s="16" t="inlineStr">
        <is>
          <t>extremos [304.5500, 347.1500] K sin cambio de signo de F (F(lo)=84.9, F(hi)=46.9</t>
        </is>
      </c>
    </row>
    <row r="43">
      <c r="A43" s="16" t="inlineStr">
        <is>
          <t>T_amb</t>
        </is>
      </c>
      <c r="B43" s="16" t="n">
        <v>302.9</v>
      </c>
      <c r="C43" s="32" t="inlineStr">
        <is>
          <t>NO_CONVERGIO</t>
        </is>
      </c>
      <c r="D43" s="32" t="inlineStr">
        <is>
          <t>NO_CONVERGIO</t>
        </is>
      </c>
      <c r="E43" s="16" t="inlineStr">
        <is>
          <t>sí</t>
        </is>
      </c>
      <c r="F43" s="16" t="n"/>
      <c r="G43" s="16" t="n"/>
      <c r="H43" s="16" t="n"/>
      <c r="I43" s="16" t="inlineStr">
        <is>
          <t>equilibrio_liquido_vapor(P=3000.0 kPa, T=622.9999953066318 K): no existe equilib</t>
        </is>
      </c>
      <c r="J43" s="16" t="inlineStr">
        <is>
          <t>extremos [303.9000, 347.1500] K sin cambio de signo de F (F(lo)=85.323, F(hi)=46</t>
        </is>
      </c>
    </row>
    <row r="44">
      <c r="A44" s="16" t="inlineStr">
        <is>
          <t>T_amb</t>
        </is>
      </c>
      <c r="B44" s="16" t="n">
        <v>302.25</v>
      </c>
      <c r="C44" s="32" t="inlineStr">
        <is>
          <t>NO_CONVERGIO</t>
        </is>
      </c>
      <c r="D44" s="32" t="inlineStr">
        <is>
          <t>NO_CONVERGIO</t>
        </is>
      </c>
      <c r="E44" s="16" t="inlineStr">
        <is>
          <t>sí</t>
        </is>
      </c>
      <c r="F44" s="16" t="n"/>
      <c r="G44" s="16" t="n"/>
      <c r="H44" s="16" t="n"/>
      <c r="I44" s="16" t="inlineStr">
        <is>
          <t>equilibrio_liquido_vapor(P=3000.0 kPa, T=622.9999953066318 K): no existe equilib</t>
        </is>
      </c>
      <c r="J44" s="16" t="inlineStr">
        <is>
          <t>extremos [303.2500, 347.1500] K sin cambio de signo de F (F(lo)=85.772, F(hi)=46</t>
        </is>
      </c>
    </row>
    <row r="45">
      <c r="A45" s="16" t="inlineStr">
        <is>
          <t>T_amb</t>
        </is>
      </c>
      <c r="B45" s="16" t="n">
        <v>301.65</v>
      </c>
      <c r="C45" s="32" t="inlineStr">
        <is>
          <t>NO_CONVERGIO</t>
        </is>
      </c>
      <c r="D45" s="32" t="inlineStr">
        <is>
          <t>NO_CONVERGIO</t>
        </is>
      </c>
      <c r="E45" s="16" t="inlineStr">
        <is>
          <t>sí</t>
        </is>
      </c>
      <c r="F45" s="16" t="n"/>
      <c r="G45" s="16" t="n"/>
      <c r="H45" s="16" t="n"/>
      <c r="I45" s="16" t="inlineStr">
        <is>
          <t>equilibrio_liquido_vapor(P=3000.0 kPa, T=622.9999953066318 K): no existe equilib</t>
        </is>
      </c>
      <c r="J45" s="16" t="inlineStr">
        <is>
          <t>extremos [302.6550, 347.1500] K sin cambio de signo de F (F(lo)=86.202, F(hi)=46</t>
        </is>
      </c>
    </row>
    <row r="46">
      <c r="A46" s="16" t="inlineStr">
        <is>
          <t>T_amb</t>
        </is>
      </c>
      <c r="B46" s="16" t="n">
        <v>300.9</v>
      </c>
      <c r="C46" s="32" t="inlineStr">
        <is>
          <t>NO_CONVERGIO</t>
        </is>
      </c>
      <c r="D46" s="32" t="inlineStr">
        <is>
          <t>NO_CONVERGIO</t>
        </is>
      </c>
      <c r="E46" s="16" t="inlineStr">
        <is>
          <t>sí</t>
        </is>
      </c>
      <c r="F46" s="16" t="n"/>
      <c r="G46" s="16" t="n"/>
      <c r="H46" s="16" t="n"/>
      <c r="I46" s="16" t="inlineStr">
        <is>
          <t>equilibrio_liquido_vapor(P=3000.0 kPa, T=622.9999953066318 K): no existe equilib</t>
        </is>
      </c>
      <c r="J46" s="16" t="inlineStr">
        <is>
          <t>extremos [301.9000, 347.1500] K sin cambio de signo de F (F(lo)=86.748, F(hi)=46</t>
        </is>
      </c>
    </row>
    <row r="47">
      <c r="A47" s="16" t="inlineStr">
        <is>
          <t>T_amb</t>
        </is>
      </c>
      <c r="B47" s="16" t="n">
        <v>299.8</v>
      </c>
      <c r="C47" s="32" t="inlineStr">
        <is>
          <t>NO_CONVERGIO</t>
        </is>
      </c>
      <c r="D47" s="32" t="inlineStr">
        <is>
          <t>NO_CONVERGIO</t>
        </is>
      </c>
      <c r="E47" s="16" t="inlineStr">
        <is>
          <t>sí</t>
        </is>
      </c>
      <c r="F47" s="16" t="n"/>
      <c r="G47" s="16" t="n"/>
      <c r="H47" s="16" t="n"/>
      <c r="I47" s="16" t="inlineStr">
        <is>
          <t>equilibrio_liquido_vapor(P=3000.0 kPa, T=622.9999953066318 K): no existe equilib</t>
        </is>
      </c>
      <c r="J47" s="16" t="inlineStr">
        <is>
          <t>extremos [300.8000, 347.1500] K sin cambio de signo de F (F(lo)=87.545, F(hi)=45</t>
        </is>
      </c>
    </row>
    <row r="48">
      <c r="A48" s="16" t="inlineStr">
        <is>
          <t>T_amb</t>
        </is>
      </c>
      <c r="B48" s="16" t="n">
        <v>299.2</v>
      </c>
      <c r="C48" s="32" t="inlineStr">
        <is>
          <t>NO_CONVERGIO</t>
        </is>
      </c>
      <c r="D48" s="32" t="inlineStr">
        <is>
          <t>NO_CONVERGIO</t>
        </is>
      </c>
      <c r="E48" s="16" t="inlineStr">
        <is>
          <t>sí</t>
        </is>
      </c>
      <c r="F48" s="16" t="n"/>
      <c r="G48" s="16" t="n"/>
      <c r="H48" s="16" t="n"/>
      <c r="I48" s="16" t="inlineStr">
        <is>
          <t>equilibrio_liquido_vapor(P=3000.0 kPa, T=622.9999953066318 K): no existe equilib</t>
        </is>
      </c>
      <c r="J48" s="16" t="inlineStr">
        <is>
          <t>extremos [300.2000, 347.1500] K sin cambio de signo de F (F(lo)=87.98, F(hi)=45.</t>
        </is>
      </c>
    </row>
    <row r="49">
      <c r="A49" s="16" t="inlineStr">
        <is>
          <t>T_amb</t>
        </is>
      </c>
      <c r="B49" s="16" t="n">
        <v>299.15</v>
      </c>
      <c r="C49" s="32" t="inlineStr">
        <is>
          <t>NO_CONVERGIO</t>
        </is>
      </c>
      <c r="D49" s="32" t="inlineStr">
        <is>
          <t>NO_CONVERGIO</t>
        </is>
      </c>
      <c r="E49" s="16" t="inlineStr">
        <is>
          <t>sí</t>
        </is>
      </c>
      <c r="F49" s="16" t="n"/>
      <c r="G49" s="16" t="n"/>
      <c r="H49" s="16" t="n"/>
      <c r="I49" s="16" t="inlineStr">
        <is>
          <t>equilibrio_liquido_vapor(P=3000.0 kPa, T=622.9999953066318 K): no existe equilib</t>
        </is>
      </c>
      <c r="J49" s="16" t="inlineStr">
        <is>
          <t>extremos [300.1500, 347.1500] K sin cambio de signo de F (F(lo)=88.016, F(hi)=45</t>
        </is>
      </c>
    </row>
    <row r="51">
      <c r="A51" s="23" t="inlineStr">
        <is>
          <t>Notas: Filtro: sin filtro (comparación punto a punto). n = 41 filas en la tabla. † = fuera del rango confiable (IAPWS G4-01); ‡ = falso convergido. Fuente: resultados/2026-10-06_final_M1/m1_comparacion.csv.</t>
        </is>
      </c>
    </row>
  </sheetData>
  <autoFilter ref="A8:J4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1.1 · Repetir el caso del profesor</t>
        </is>
      </c>
    </row>
    <row r="2">
      <c r="A2" t="inlineStr">
        <is>
          <t>Cada fila es un punto calculado (n = 42);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6">
      <c r="A6" s="33" t="inlineStr">
        <is>
          <t>Parte 1.1a · punto del profesor · 2 puntos</t>
        </is>
      </c>
      <c r="B6" s="31" t="n"/>
      <c r="C6" s="31" t="n"/>
      <c r="D6" s="31" t="n"/>
      <c r="E6" s="31" t="n"/>
      <c r="F6" s="31" t="n"/>
      <c r="G6" s="31" t="n"/>
      <c r="H6" s="31" t="n"/>
      <c r="I6" s="31" t="n"/>
      <c r="J6" s="31" t="n"/>
      <c r="K6" s="31" t="n"/>
    </row>
    <row r="8">
      <c r="A8" s="34" t="inlineStr">
        <is>
          <t>Barrido de la parte 1.1a · 2 puntos</t>
        </is>
      </c>
    </row>
    <row r="9">
      <c r="A9" s="25" t="inlineStr">
        <is>
          <t>Fijos en este barrido: T_fuente = 623.15, T_sumidero = 300.03, P_alta = 3000, P_baja = 400, x_b = 0.5, η_t = 0.85, η_p = 0.75, ε_HRVG = 0.85, ε_reg = 0.75, ε_cond = 0.8.</t>
        </is>
      </c>
    </row>
    <row r="10">
      <c r="A10" s="22" t="inlineStr">
        <is>
          <t>id_punto</t>
        </is>
      </c>
      <c r="B10" s="22" t="inlineStr">
        <is>
          <t>Clase</t>
        </is>
      </c>
      <c r="C10" s="22" t="inlineStr">
        <is>
          <t>η [%]</t>
        </is>
      </c>
      <c r="D10" s="22" t="inlineStr">
        <is>
          <t>W_net [kW] (m_b = 1 kg/s)</t>
        </is>
      </c>
      <c r="E10" s="22" t="inlineStr">
        <is>
          <t>ΔP [kPa]</t>
        </is>
      </c>
      <c r="F10" s="22" t="inlineStr">
        <is>
          <t>r_P [–]</t>
        </is>
      </c>
      <c r="G10" s="22" t="inlineStr">
        <is>
          <t>Fuera de rango</t>
        </is>
      </c>
    </row>
    <row r="11">
      <c r="A11" s="16" t="inlineStr">
        <is>
          <t>KF-M01-base-0000</t>
        </is>
      </c>
      <c r="B11" s="32" t="inlineStr">
        <is>
          <t>No convergió</t>
        </is>
      </c>
      <c r="C11" s="29" t="inlineStr">
        <is>
          <t>—</t>
        </is>
      </c>
      <c r="D11" s="35" t="inlineStr">
        <is>
          <t>—</t>
        </is>
      </c>
      <c r="E11" s="36" t="n">
        <v>2600</v>
      </c>
      <c r="F11" s="29" t="n">
        <v>7.5</v>
      </c>
      <c r="G11" s="16" t="inlineStr">
        <is>
          <t>no</t>
        </is>
      </c>
    </row>
    <row r="12">
      <c r="A12" s="16" t="inlineStr">
        <is>
          <t>KF-M01-base-0001</t>
        </is>
      </c>
      <c r="B12" s="32" t="inlineStr">
        <is>
          <t>No convergió</t>
        </is>
      </c>
      <c r="C12" s="29" t="inlineStr">
        <is>
          <t>—</t>
        </is>
      </c>
      <c r="D12" s="35" t="inlineStr">
        <is>
          <t>—</t>
        </is>
      </c>
      <c r="E12" s="36" t="n">
        <v>2600</v>
      </c>
      <c r="F12" s="29" t="n">
        <v>7.5</v>
      </c>
      <c r="G12" s="16" t="inlineStr">
        <is>
          <t>no</t>
        </is>
      </c>
    </row>
    <row r="14">
      <c r="A14" s="33" t="inlineStr">
        <is>
          <t>Parte 1.1b · solo P_alta · 9 puntos</t>
        </is>
      </c>
      <c r="B14" s="31" t="n"/>
      <c r="C14" s="31" t="n"/>
      <c r="D14" s="31" t="n"/>
      <c r="E14" s="31" t="n"/>
      <c r="F14" s="31" t="n"/>
      <c r="G14" s="31" t="n"/>
      <c r="H14" s="31" t="n"/>
      <c r="I14" s="31" t="n"/>
      <c r="J14" s="31" t="n"/>
      <c r="K14" s="31" t="n"/>
    </row>
    <row r="16">
      <c r="A16" s="34" t="inlineStr">
        <is>
          <t>Barrido de la parte 1.1b · 9 puntos</t>
        </is>
      </c>
    </row>
    <row r="17">
      <c r="A17" s="25" t="inlineStr">
        <is>
          <t>Fijos en este barrido: T_fuente = 623.15, T_sumidero = 300.03, P_baja = 400, x_b = 0.5, η_t = 0.85, η_p = 0.75, ε_HRVG = 0.85, ε_reg = 0.75, ε_cond = 0.8.</t>
        </is>
      </c>
    </row>
    <row r="18">
      <c r="A18" s="22" t="inlineStr">
        <is>
          <t>id_punto</t>
        </is>
      </c>
      <c r="B18" s="22" t="inlineStr">
        <is>
          <t>P_alta [kPa]</t>
        </is>
      </c>
      <c r="C18" s="22" t="inlineStr">
        <is>
          <t>Clase</t>
        </is>
      </c>
      <c r="D18" s="22" t="inlineStr">
        <is>
          <t>η [%]</t>
        </is>
      </c>
      <c r="E18" s="22" t="inlineStr">
        <is>
          <t>W_net [kW] (m_b = 1 kg/s)</t>
        </is>
      </c>
      <c r="F18" s="22" t="inlineStr">
        <is>
          <t>ΔP [kPa]</t>
        </is>
      </c>
      <c r="G18" s="22" t="inlineStr">
        <is>
          <t>r_P [–]</t>
        </is>
      </c>
      <c r="H18" s="22" t="inlineStr">
        <is>
          <t>Fuera de rango</t>
        </is>
      </c>
    </row>
    <row r="19">
      <c r="A19" s="16" t="inlineStr">
        <is>
          <t>KF-M01-P_alta-0003</t>
        </is>
      </c>
      <c r="B19" s="36" t="n">
        <v>2000</v>
      </c>
      <c r="C19" s="32" t="inlineStr">
        <is>
          <t>No convergió</t>
        </is>
      </c>
      <c r="D19" s="29" t="inlineStr">
        <is>
          <t>—</t>
        </is>
      </c>
      <c r="E19" s="35" t="inlineStr">
        <is>
          <t>—</t>
        </is>
      </c>
      <c r="F19" s="36" t="n">
        <v>1600</v>
      </c>
      <c r="G19" s="29" t="n">
        <v>5</v>
      </c>
      <c r="H19" s="16" t="inlineStr">
        <is>
          <t>no</t>
        </is>
      </c>
    </row>
    <row r="20">
      <c r="A20" s="16" t="inlineStr">
        <is>
          <t>KF-M01-P_alta-0001</t>
        </is>
      </c>
      <c r="B20" s="36" t="n">
        <v>2250</v>
      </c>
      <c r="C20" s="32" t="inlineStr">
        <is>
          <t>No convergió</t>
        </is>
      </c>
      <c r="D20" s="29" t="inlineStr">
        <is>
          <t>—</t>
        </is>
      </c>
      <c r="E20" s="35" t="inlineStr">
        <is>
          <t>—</t>
        </is>
      </c>
      <c r="F20" s="36" t="n">
        <v>1850</v>
      </c>
      <c r="G20" s="29" t="n">
        <v>5.625</v>
      </c>
      <c r="H20" s="16" t="inlineStr">
        <is>
          <t>no</t>
        </is>
      </c>
    </row>
    <row r="21">
      <c r="A21" s="16" t="inlineStr">
        <is>
          <t>KF-M01-P_alta-0002</t>
        </is>
      </c>
      <c r="B21" s="36" t="n">
        <v>2500</v>
      </c>
      <c r="C21" s="32" t="inlineStr">
        <is>
          <t>No convergió</t>
        </is>
      </c>
      <c r="D21" s="29" t="inlineStr">
        <is>
          <t>—</t>
        </is>
      </c>
      <c r="E21" s="35" t="inlineStr">
        <is>
          <t>—</t>
        </is>
      </c>
      <c r="F21" s="36" t="n">
        <v>2100</v>
      </c>
      <c r="G21" s="29" t="n">
        <v>6.25</v>
      </c>
      <c r="H21" s="16" t="inlineStr">
        <is>
          <t>no</t>
        </is>
      </c>
    </row>
    <row r="22">
      <c r="A22" s="16" t="inlineStr">
        <is>
          <t>KF-M01-P_alta-0000</t>
        </is>
      </c>
      <c r="B22" s="36" t="n">
        <v>2750</v>
      </c>
      <c r="C22" s="32" t="inlineStr">
        <is>
          <t>No convergió</t>
        </is>
      </c>
      <c r="D22" s="29" t="inlineStr">
        <is>
          <t>—</t>
        </is>
      </c>
      <c r="E22" s="35" t="inlineStr">
        <is>
          <t>—</t>
        </is>
      </c>
      <c r="F22" s="36" t="n">
        <v>2350</v>
      </c>
      <c r="G22" s="29" t="n">
        <v>6.875</v>
      </c>
      <c r="H22" s="16" t="inlineStr">
        <is>
          <t>no</t>
        </is>
      </c>
    </row>
    <row r="23">
      <c r="A23" s="16" t="inlineStr">
        <is>
          <t>KF-M01-P_alta-0006</t>
        </is>
      </c>
      <c r="B23" s="36" t="n">
        <v>3000</v>
      </c>
      <c r="C23" s="32" t="inlineStr">
        <is>
          <t>No convergió</t>
        </is>
      </c>
      <c r="D23" s="29" t="inlineStr">
        <is>
          <t>—</t>
        </is>
      </c>
      <c r="E23" s="35" t="inlineStr">
        <is>
          <t>—</t>
        </is>
      </c>
      <c r="F23" s="36" t="n">
        <v>2600</v>
      </c>
      <c r="G23" s="29" t="n">
        <v>7.5</v>
      </c>
      <c r="H23" s="16" t="inlineStr">
        <is>
          <t>no</t>
        </is>
      </c>
    </row>
    <row r="24">
      <c r="A24" s="16" t="inlineStr">
        <is>
          <t>KF-M01-P_alta-0004</t>
        </is>
      </c>
      <c r="B24" s="36" t="n">
        <v>3250</v>
      </c>
      <c r="C24" s="32" t="inlineStr">
        <is>
          <t>No convergió</t>
        </is>
      </c>
      <c r="D24" s="29" t="inlineStr">
        <is>
          <t>—</t>
        </is>
      </c>
      <c r="E24" s="35" t="inlineStr">
        <is>
          <t>—</t>
        </is>
      </c>
      <c r="F24" s="36" t="n">
        <v>2850</v>
      </c>
      <c r="G24" s="29" t="n">
        <v>8.125</v>
      </c>
      <c r="H24" s="16" t="inlineStr">
        <is>
          <t>no</t>
        </is>
      </c>
    </row>
    <row r="25">
      <c r="A25" s="16" t="inlineStr">
        <is>
          <t>KF-M01-P_alta-0005</t>
        </is>
      </c>
      <c r="B25" s="36" t="n">
        <v>3500</v>
      </c>
      <c r="C25" s="32" t="inlineStr">
        <is>
          <t>No convergió</t>
        </is>
      </c>
      <c r="D25" s="29" t="inlineStr">
        <is>
          <t>—</t>
        </is>
      </c>
      <c r="E25" s="35" t="inlineStr">
        <is>
          <t>—</t>
        </is>
      </c>
      <c r="F25" s="36" t="n">
        <v>3100</v>
      </c>
      <c r="G25" s="29" t="n">
        <v>8.75</v>
      </c>
      <c r="H25" s="16" t="inlineStr">
        <is>
          <t>no</t>
        </is>
      </c>
    </row>
    <row r="26">
      <c r="A26" s="16" t="inlineStr">
        <is>
          <t>KF-M01-P_alta-0007</t>
        </is>
      </c>
      <c r="B26" s="36" t="n">
        <v>3750</v>
      </c>
      <c r="C26" s="32" t="inlineStr">
        <is>
          <t>No convergió</t>
        </is>
      </c>
      <c r="D26" s="29" t="inlineStr">
        <is>
          <t>—</t>
        </is>
      </c>
      <c r="E26" s="35" t="inlineStr">
        <is>
          <t>—</t>
        </is>
      </c>
      <c r="F26" s="36" t="n">
        <v>3350</v>
      </c>
      <c r="G26" s="29" t="n">
        <v>9.375</v>
      </c>
      <c r="H26" s="16" t="inlineStr">
        <is>
          <t>no</t>
        </is>
      </c>
    </row>
    <row r="27">
      <c r="A27" s="16" t="inlineStr">
        <is>
          <t>KF-M01-P_alta-0008</t>
        </is>
      </c>
      <c r="B27" s="36" t="n">
        <v>4000</v>
      </c>
      <c r="C27" s="32" t="inlineStr">
        <is>
          <t>No convergió</t>
        </is>
      </c>
      <c r="D27" s="29" t="inlineStr">
        <is>
          <t>—</t>
        </is>
      </c>
      <c r="E27" s="35" t="inlineStr">
        <is>
          <t>—</t>
        </is>
      </c>
      <c r="F27" s="36" t="n">
        <v>3600</v>
      </c>
      <c r="G27" s="29" t="n">
        <v>10</v>
      </c>
      <c r="H27" s="16" t="inlineStr">
        <is>
          <t>no</t>
        </is>
      </c>
    </row>
    <row r="29">
      <c r="A29" s="33" t="inlineStr">
        <is>
          <t>Parte 1.1c · solo x_b · 7 puntos</t>
        </is>
      </c>
      <c r="B29" s="31" t="n"/>
      <c r="C29" s="31" t="n"/>
      <c r="D29" s="31" t="n"/>
      <c r="E29" s="31" t="n"/>
      <c r="F29" s="31" t="n"/>
      <c r="G29" s="31" t="n"/>
      <c r="H29" s="31" t="n"/>
      <c r="I29" s="31" t="n"/>
      <c r="J29" s="31" t="n"/>
      <c r="K29" s="31" t="n"/>
    </row>
    <row r="31">
      <c r="A31" s="34" t="inlineStr">
        <is>
          <t>Barrido de la parte 1.1c · 7 puntos</t>
        </is>
      </c>
    </row>
    <row r="32">
      <c r="A32" s="25" t="inlineStr">
        <is>
          <t>Fijos en este barrido: T_fuente = 623.15, T_sumidero = 300.03, P_alta = 3000, P_baja = 400, η_t = 0.85, η_p = 0.75, ε_HRVG = 0.85, ε_reg = 0.75, ε_cond = 0.8.</t>
        </is>
      </c>
    </row>
    <row r="33">
      <c r="A33" s="22" t="inlineStr">
        <is>
          <t>id_punto</t>
        </is>
      </c>
      <c r="B33" s="22" t="inlineStr">
        <is>
          <t>x_b [–]</t>
        </is>
      </c>
      <c r="C33" s="22" t="inlineStr">
        <is>
          <t>Clase</t>
        </is>
      </c>
      <c r="D33" s="22" t="inlineStr">
        <is>
          <t>η [%]</t>
        </is>
      </c>
      <c r="E33" s="22" t="inlineStr">
        <is>
          <t>W_net [kW] (m_b = 1 kg/s)</t>
        </is>
      </c>
      <c r="F33" s="22" t="inlineStr">
        <is>
          <t>ΔP [kPa]</t>
        </is>
      </c>
      <c r="G33" s="22" t="inlineStr">
        <is>
          <t>r_P [–]</t>
        </is>
      </c>
      <c r="H33" s="22" t="inlineStr">
        <is>
          <t>Fuera de rango</t>
        </is>
      </c>
    </row>
    <row r="34">
      <c r="A34" s="16" t="inlineStr">
        <is>
          <t>KF-M01-x_b-0000</t>
        </is>
      </c>
      <c r="B34" s="37" t="n">
        <v>0.4</v>
      </c>
      <c r="C34" s="32" t="inlineStr">
        <is>
          <t>No convergió</t>
        </is>
      </c>
      <c r="D34" s="29" t="inlineStr">
        <is>
          <t>—</t>
        </is>
      </c>
      <c r="E34" s="35" t="inlineStr">
        <is>
          <t>—</t>
        </is>
      </c>
      <c r="F34" s="36" t="n">
        <v>2600</v>
      </c>
      <c r="G34" s="29" t="n">
        <v>7.5</v>
      </c>
      <c r="H34" s="16" t="inlineStr">
        <is>
          <t>no</t>
        </is>
      </c>
    </row>
    <row r="35">
      <c r="A35" s="16" t="inlineStr">
        <is>
          <t>KF-M01-x_b-0001</t>
        </is>
      </c>
      <c r="B35" s="37" t="n">
        <v>0.45</v>
      </c>
      <c r="C35" s="32" t="inlineStr">
        <is>
          <t>No convergió</t>
        </is>
      </c>
      <c r="D35" s="29" t="inlineStr">
        <is>
          <t>—</t>
        </is>
      </c>
      <c r="E35" s="35" t="inlineStr">
        <is>
          <t>—</t>
        </is>
      </c>
      <c r="F35" s="36" t="n">
        <v>2600</v>
      </c>
      <c r="G35" s="29" t="n">
        <v>7.5</v>
      </c>
      <c r="H35" s="16" t="inlineStr">
        <is>
          <t>no</t>
        </is>
      </c>
    </row>
    <row r="36">
      <c r="A36" s="16" t="inlineStr">
        <is>
          <t>KF-M01-x_b-0002</t>
        </is>
      </c>
      <c r="B36" s="37" t="n">
        <v>0.5</v>
      </c>
      <c r="C36" s="32" t="inlineStr">
        <is>
          <t>No convergió</t>
        </is>
      </c>
      <c r="D36" s="29" t="inlineStr">
        <is>
          <t>—</t>
        </is>
      </c>
      <c r="E36" s="35" t="inlineStr">
        <is>
          <t>—</t>
        </is>
      </c>
      <c r="F36" s="36" t="n">
        <v>2600</v>
      </c>
      <c r="G36" s="29" t="n">
        <v>7.5</v>
      </c>
      <c r="H36" s="16" t="inlineStr">
        <is>
          <t>no</t>
        </is>
      </c>
    </row>
    <row r="37">
      <c r="A37" s="16" t="inlineStr">
        <is>
          <t>KF-M01-x_b-0003</t>
        </is>
      </c>
      <c r="B37" s="37" t="n">
        <v>0.55</v>
      </c>
      <c r="C37" s="32" t="inlineStr">
        <is>
          <t>No convergió</t>
        </is>
      </c>
      <c r="D37" s="29" t="inlineStr">
        <is>
          <t>—</t>
        </is>
      </c>
      <c r="E37" s="35" t="inlineStr">
        <is>
          <t>—</t>
        </is>
      </c>
      <c r="F37" s="36" t="n">
        <v>2600</v>
      </c>
      <c r="G37" s="29" t="n">
        <v>7.5</v>
      </c>
      <c r="H37" s="16" t="inlineStr">
        <is>
          <t>no</t>
        </is>
      </c>
    </row>
    <row r="38">
      <c r="A38" s="16" t="inlineStr">
        <is>
          <t>KF-M01-x_b-0004</t>
        </is>
      </c>
      <c r="B38" s="37" t="n">
        <v>0.6</v>
      </c>
      <c r="C38" s="32" t="inlineStr">
        <is>
          <t>No convergió</t>
        </is>
      </c>
      <c r="D38" s="29" t="inlineStr">
        <is>
          <t>—</t>
        </is>
      </c>
      <c r="E38" s="35" t="inlineStr">
        <is>
          <t>—</t>
        </is>
      </c>
      <c r="F38" s="36" t="n">
        <v>2600</v>
      </c>
      <c r="G38" s="29" t="n">
        <v>7.5</v>
      </c>
      <c r="H38" s="16" t="inlineStr">
        <is>
          <t>no</t>
        </is>
      </c>
    </row>
    <row r="39">
      <c r="A39" s="16" t="inlineStr">
        <is>
          <t>KF-M01-x_b-0005</t>
        </is>
      </c>
      <c r="B39" s="37" t="n">
        <v>0.65</v>
      </c>
      <c r="C39" s="32" t="inlineStr">
        <is>
          <t>No convergió</t>
        </is>
      </c>
      <c r="D39" s="29" t="inlineStr">
        <is>
          <t>—</t>
        </is>
      </c>
      <c r="E39" s="35" t="inlineStr">
        <is>
          <t>—</t>
        </is>
      </c>
      <c r="F39" s="36" t="n">
        <v>2600</v>
      </c>
      <c r="G39" s="29" t="n">
        <v>7.5</v>
      </c>
      <c r="H39" s="16" t="inlineStr">
        <is>
          <t>no</t>
        </is>
      </c>
    </row>
    <row r="40">
      <c r="A40" s="16" t="inlineStr">
        <is>
          <t>KF-M01-x_b-0006</t>
        </is>
      </c>
      <c r="B40" s="37" t="n">
        <v>0.7</v>
      </c>
      <c r="C40" s="32" t="inlineStr">
        <is>
          <t>No convergió</t>
        </is>
      </c>
      <c r="D40" s="29" t="inlineStr">
        <is>
          <t>—</t>
        </is>
      </c>
      <c r="E40" s="35" t="inlineStr">
        <is>
          <t>—</t>
        </is>
      </c>
      <c r="F40" s="36" t="n">
        <v>2600</v>
      </c>
      <c r="G40" s="29" t="n">
        <v>7.5</v>
      </c>
      <c r="H40" s="16" t="inlineStr">
        <is>
          <t>no</t>
        </is>
      </c>
    </row>
    <row r="42">
      <c r="A42" s="33" t="inlineStr">
        <is>
          <t>Parte 1.1d · temperatura ambiente hora a hora · 24 puntos</t>
        </is>
      </c>
      <c r="B42" s="31" t="n"/>
      <c r="C42" s="31" t="n"/>
      <c r="D42" s="31" t="n"/>
      <c r="E42" s="31" t="n"/>
      <c r="F42" s="31" t="n"/>
      <c r="G42" s="31" t="n"/>
      <c r="H42" s="31" t="n"/>
      <c r="I42" s="31" t="n"/>
      <c r="J42" s="31" t="n"/>
      <c r="K42" s="31" t="n"/>
    </row>
    <row r="44">
      <c r="A44" s="34" t="inlineStr">
        <is>
          <t>Barrido de la parte 1.1d · 24 puntos</t>
        </is>
      </c>
    </row>
    <row r="45">
      <c r="A45" s="25" t="inlineStr">
        <is>
          <t>Fijos en este barrido: T_fuente = 623.15, P_alta = 3000, P_baja = 400, x_b = 0.5, η_t = 0.85, η_p = 0.75, ε_HRVG = 0.85, ε_reg = 0.75, ε_cond = 0.8.</t>
        </is>
      </c>
    </row>
    <row r="46">
      <c r="A46" s="22" t="inlineStr">
        <is>
          <t>id_punto</t>
        </is>
      </c>
      <c r="B46" s="22" t="inlineStr">
        <is>
          <t>T_sumidero [K]</t>
        </is>
      </c>
      <c r="C46" s="22" t="inlineStr">
        <is>
          <t>Clase</t>
        </is>
      </c>
      <c r="D46" s="22" t="inlineStr">
        <is>
          <t>η [%]</t>
        </is>
      </c>
      <c r="E46" s="22" t="inlineStr">
        <is>
          <t>W_net [kW] (m_b = 1 kg/s)</t>
        </is>
      </c>
      <c r="F46" s="22" t="inlineStr">
        <is>
          <t>ΔP [kPa]</t>
        </is>
      </c>
      <c r="G46" s="22" t="inlineStr">
        <is>
          <t>r_P [–]</t>
        </is>
      </c>
      <c r="H46" s="22" t="inlineStr">
        <is>
          <t>Fuera de rango</t>
        </is>
      </c>
    </row>
    <row r="47">
      <c r="A47" s="16" t="inlineStr">
        <is>
          <t>KF-M01-T_amb-0010</t>
        </is>
      </c>
      <c r="B47" s="35" t="n">
        <v>297.95</v>
      </c>
      <c r="C47" s="32" t="inlineStr">
        <is>
          <t>No convergió</t>
        </is>
      </c>
      <c r="D47" s="29" t="inlineStr">
        <is>
          <t>—</t>
        </is>
      </c>
      <c r="E47" s="35" t="inlineStr">
        <is>
          <t>—</t>
        </is>
      </c>
      <c r="F47" s="36" t="n">
        <v>2600</v>
      </c>
      <c r="G47" s="29" t="n">
        <v>7.5</v>
      </c>
      <c r="H47" s="16" t="inlineStr">
        <is>
          <t>no</t>
        </is>
      </c>
    </row>
    <row r="48">
      <c r="A48" s="16" t="inlineStr">
        <is>
          <t>KF-M01-T_amb-0009</t>
        </is>
      </c>
      <c r="B48" s="35" t="n">
        <v>298</v>
      </c>
      <c r="C48" s="32" t="inlineStr">
        <is>
          <t>No convergió</t>
        </is>
      </c>
      <c r="D48" s="29" t="inlineStr">
        <is>
          <t>—</t>
        </is>
      </c>
      <c r="E48" s="35" t="inlineStr">
        <is>
          <t>—</t>
        </is>
      </c>
      <c r="F48" s="36" t="n">
        <v>2600</v>
      </c>
      <c r="G48" s="29" t="n">
        <v>7.5</v>
      </c>
      <c r="H48" s="16" t="inlineStr">
        <is>
          <t>no</t>
        </is>
      </c>
    </row>
    <row r="49">
      <c r="A49" s="16" t="inlineStr">
        <is>
          <t>KF-M01-T_amb-0008</t>
        </is>
      </c>
      <c r="B49" s="35" t="n">
        <v>298.2</v>
      </c>
      <c r="C49" s="32" t="inlineStr">
        <is>
          <t>No convergió</t>
        </is>
      </c>
      <c r="D49" s="29" t="inlineStr">
        <is>
          <t>—</t>
        </is>
      </c>
      <c r="E49" s="35" t="inlineStr">
        <is>
          <t>—</t>
        </is>
      </c>
      <c r="F49" s="36" t="n">
        <v>2600</v>
      </c>
      <c r="G49" s="29" t="n">
        <v>7.5</v>
      </c>
      <c r="H49" s="16" t="inlineStr">
        <is>
          <t>no</t>
        </is>
      </c>
    </row>
    <row r="50">
      <c r="A50" s="16" t="inlineStr">
        <is>
          <t>KF-M01-T_amb-0007</t>
        </is>
      </c>
      <c r="B50" s="35" t="n">
        <v>298.3</v>
      </c>
      <c r="C50" s="32" t="inlineStr">
        <is>
          <t>No convergió</t>
        </is>
      </c>
      <c r="D50" s="29" t="inlineStr">
        <is>
          <t>—</t>
        </is>
      </c>
      <c r="E50" s="35" t="inlineStr">
        <is>
          <t>—</t>
        </is>
      </c>
      <c r="F50" s="36" t="n">
        <v>2600</v>
      </c>
      <c r="G50" s="29" t="n">
        <v>7.5</v>
      </c>
      <c r="H50" s="16" t="inlineStr">
        <is>
          <t>no</t>
        </is>
      </c>
    </row>
    <row r="51">
      <c r="A51" s="16" t="inlineStr">
        <is>
          <t>KF-M01-T_amb-0006</t>
        </is>
      </c>
      <c r="B51" s="35" t="n">
        <v>298.5</v>
      </c>
      <c r="C51" s="32" t="inlineStr">
        <is>
          <t>No convergió</t>
        </is>
      </c>
      <c r="D51" s="29" t="inlineStr">
        <is>
          <t>—</t>
        </is>
      </c>
      <c r="E51" s="35" t="inlineStr">
        <is>
          <t>—</t>
        </is>
      </c>
      <c r="F51" s="36" t="n">
        <v>2600</v>
      </c>
      <c r="G51" s="29" t="n">
        <v>7.5</v>
      </c>
      <c r="H51" s="16" t="inlineStr">
        <is>
          <t>no</t>
        </is>
      </c>
    </row>
    <row r="52">
      <c r="A52" s="16" t="inlineStr">
        <is>
          <t>KF-M01-T_amb-0012</t>
        </is>
      </c>
      <c r="B52" s="35" t="n">
        <v>298.65</v>
      </c>
      <c r="C52" s="32" t="inlineStr">
        <is>
          <t>No convergió</t>
        </is>
      </c>
      <c r="D52" s="29" t="inlineStr">
        <is>
          <t>—</t>
        </is>
      </c>
      <c r="E52" s="35" t="inlineStr">
        <is>
          <t>—</t>
        </is>
      </c>
      <c r="F52" s="36" t="n">
        <v>2600</v>
      </c>
      <c r="G52" s="29" t="n">
        <v>7.5</v>
      </c>
      <c r="H52" s="16" t="inlineStr">
        <is>
          <t>no</t>
        </is>
      </c>
    </row>
    <row r="53">
      <c r="A53" s="16" t="inlineStr">
        <is>
          <t>KF-M01-T_amb-0005</t>
        </is>
      </c>
      <c r="B53" s="35" t="n">
        <v>298.7</v>
      </c>
      <c r="C53" s="32" t="inlineStr">
        <is>
          <t>No convergió</t>
        </is>
      </c>
      <c r="D53" s="29" t="inlineStr">
        <is>
          <t>—</t>
        </is>
      </c>
      <c r="E53" s="35" t="inlineStr">
        <is>
          <t>—</t>
        </is>
      </c>
      <c r="F53" s="36" t="n">
        <v>2600</v>
      </c>
      <c r="G53" s="29" t="n">
        <v>7.5</v>
      </c>
      <c r="H53" s="16" t="inlineStr">
        <is>
          <t>no</t>
        </is>
      </c>
    </row>
    <row r="54">
      <c r="A54" s="16" t="inlineStr">
        <is>
          <t>KF-M01-T_amb-0004</t>
        </is>
      </c>
      <c r="B54" s="35" t="n">
        <v>298.9</v>
      </c>
      <c r="C54" s="32" t="inlineStr">
        <is>
          <t>No convergió</t>
        </is>
      </c>
      <c r="D54" s="29" t="inlineStr">
        <is>
          <t>—</t>
        </is>
      </c>
      <c r="E54" s="35" t="inlineStr">
        <is>
          <t>—</t>
        </is>
      </c>
      <c r="F54" s="36" t="n">
        <v>2600</v>
      </c>
      <c r="G54" s="29" t="n">
        <v>7.5</v>
      </c>
      <c r="H54" s="16" t="inlineStr">
        <is>
          <t>no</t>
        </is>
      </c>
    </row>
    <row r="55">
      <c r="A55" s="16" t="inlineStr">
        <is>
          <t>KF-M01-T_amb-0003</t>
        </is>
      </c>
      <c r="B55" s="35" t="n">
        <v>298.95</v>
      </c>
      <c r="C55" s="32" t="inlineStr">
        <is>
          <t>No convergió</t>
        </is>
      </c>
      <c r="D55" s="29" t="inlineStr">
        <is>
          <t>—</t>
        </is>
      </c>
      <c r="E55" s="35" t="inlineStr">
        <is>
          <t>—</t>
        </is>
      </c>
      <c r="F55" s="36" t="n">
        <v>2600</v>
      </c>
      <c r="G55" s="29" t="n">
        <v>7.5</v>
      </c>
      <c r="H55" s="16" t="inlineStr">
        <is>
          <t>no</t>
        </is>
      </c>
    </row>
    <row r="56">
      <c r="A56" s="16" t="inlineStr">
        <is>
          <t>KF-M01-T_amb-0002</t>
        </is>
      </c>
      <c r="B56" s="35" t="n">
        <v>299.1</v>
      </c>
      <c r="C56" s="32" t="inlineStr">
        <is>
          <t>No convergió</t>
        </is>
      </c>
      <c r="D56" s="29" t="inlineStr">
        <is>
          <t>—</t>
        </is>
      </c>
      <c r="E56" s="35" t="inlineStr">
        <is>
          <t>—</t>
        </is>
      </c>
      <c r="F56" s="36" t="n">
        <v>2600</v>
      </c>
      <c r="G56" s="29" t="n">
        <v>7.5</v>
      </c>
      <c r="H56" s="16" t="inlineStr">
        <is>
          <t>no</t>
        </is>
      </c>
    </row>
    <row r="57">
      <c r="A57" s="16" t="inlineStr">
        <is>
          <t>KF-M01-T_amb-0023</t>
        </is>
      </c>
      <c r="B57" s="35" t="n">
        <v>299.15</v>
      </c>
      <c r="C57" s="32" t="inlineStr">
        <is>
          <t>No convergió</t>
        </is>
      </c>
      <c r="D57" s="29" t="inlineStr">
        <is>
          <t>—</t>
        </is>
      </c>
      <c r="E57" s="35" t="inlineStr">
        <is>
          <t>—</t>
        </is>
      </c>
      <c r="F57" s="36" t="n">
        <v>2600</v>
      </c>
      <c r="G57" s="29" t="n">
        <v>7.5</v>
      </c>
      <c r="H57" s="16" t="inlineStr">
        <is>
          <t>no</t>
        </is>
      </c>
    </row>
    <row r="58">
      <c r="A58" s="16" t="inlineStr">
        <is>
          <t>KF-M01-T_amb-0001</t>
        </is>
      </c>
      <c r="B58" s="35" t="n">
        <v>299.2</v>
      </c>
      <c r="C58" s="32" t="inlineStr">
        <is>
          <t>No convergió</t>
        </is>
      </c>
      <c r="D58" s="29" t="inlineStr">
        <is>
          <t>—</t>
        </is>
      </c>
      <c r="E58" s="35" t="inlineStr">
        <is>
          <t>—</t>
        </is>
      </c>
      <c r="F58" s="36" t="n">
        <v>2600</v>
      </c>
      <c r="G58" s="29" t="n">
        <v>7.5</v>
      </c>
      <c r="H58" s="16" t="inlineStr">
        <is>
          <t>no</t>
        </is>
      </c>
    </row>
    <row r="59">
      <c r="A59" s="16" t="inlineStr">
        <is>
          <t>KF-M01-T_amb-0022</t>
        </is>
      </c>
      <c r="B59" s="35" t="n">
        <v>299.2</v>
      </c>
      <c r="C59" s="32" t="inlineStr">
        <is>
          <t>No convergió</t>
        </is>
      </c>
      <c r="D59" s="29" t="inlineStr">
        <is>
          <t>—</t>
        </is>
      </c>
      <c r="E59" s="35" t="inlineStr">
        <is>
          <t>—</t>
        </is>
      </c>
      <c r="F59" s="36" t="n">
        <v>2600</v>
      </c>
      <c r="G59" s="29" t="n">
        <v>7.5</v>
      </c>
      <c r="H59" s="16" t="inlineStr">
        <is>
          <t>no</t>
        </is>
      </c>
    </row>
    <row r="60">
      <c r="A60" s="16" t="inlineStr">
        <is>
          <t>KF-M01-T_amb-0000</t>
        </is>
      </c>
      <c r="B60" s="35" t="n">
        <v>299.4</v>
      </c>
      <c r="C60" s="32" t="inlineStr">
        <is>
          <t>No convergió</t>
        </is>
      </c>
      <c r="D60" s="29" t="inlineStr">
        <is>
          <t>—</t>
        </is>
      </c>
      <c r="E60" s="35" t="inlineStr">
        <is>
          <t>—</t>
        </is>
      </c>
      <c r="F60" s="36" t="n">
        <v>2600</v>
      </c>
      <c r="G60" s="29" t="n">
        <v>7.5</v>
      </c>
      <c r="H60" s="16" t="inlineStr">
        <is>
          <t>no</t>
        </is>
      </c>
    </row>
    <row r="61">
      <c r="A61" s="16" t="inlineStr">
        <is>
          <t>KF-M01-T_amb-0021</t>
        </is>
      </c>
      <c r="B61" s="35" t="n">
        <v>299.8</v>
      </c>
      <c r="C61" s="32" t="inlineStr">
        <is>
          <t>No convergió</t>
        </is>
      </c>
      <c r="D61" s="29" t="inlineStr">
        <is>
          <t>—</t>
        </is>
      </c>
      <c r="E61" s="35" t="inlineStr">
        <is>
          <t>—</t>
        </is>
      </c>
      <c r="F61" s="36" t="n">
        <v>2600</v>
      </c>
      <c r="G61" s="29" t="n">
        <v>7.5</v>
      </c>
      <c r="H61" s="16" t="inlineStr">
        <is>
          <t>no</t>
        </is>
      </c>
    </row>
    <row r="62">
      <c r="A62" s="16" t="inlineStr">
        <is>
          <t>KF-M01-T_amb-0011</t>
        </is>
      </c>
      <c r="B62" s="35" t="n">
        <v>300.485</v>
      </c>
      <c r="C62" s="32" t="inlineStr">
        <is>
          <t>No convergió</t>
        </is>
      </c>
      <c r="D62" s="29" t="inlineStr">
        <is>
          <t>—</t>
        </is>
      </c>
      <c r="E62" s="35" t="inlineStr">
        <is>
          <t>—</t>
        </is>
      </c>
      <c r="F62" s="36" t="n">
        <v>2600</v>
      </c>
      <c r="G62" s="29" t="n">
        <v>7.5</v>
      </c>
      <c r="H62" s="16" t="inlineStr">
        <is>
          <t>no</t>
        </is>
      </c>
    </row>
    <row r="63">
      <c r="A63" s="16" t="inlineStr">
        <is>
          <t>KF-M01-T_amb-0020</t>
        </is>
      </c>
      <c r="B63" s="35" t="n">
        <v>300.9</v>
      </c>
      <c r="C63" s="32" t="inlineStr">
        <is>
          <t>No convergió</t>
        </is>
      </c>
      <c r="D63" s="29" t="inlineStr">
        <is>
          <t>—</t>
        </is>
      </c>
      <c r="E63" s="35" t="inlineStr">
        <is>
          <t>—</t>
        </is>
      </c>
      <c r="F63" s="36" t="n">
        <v>2600</v>
      </c>
      <c r="G63" s="29" t="n">
        <v>7.5</v>
      </c>
      <c r="H63" s="16" t="inlineStr">
        <is>
          <t>no</t>
        </is>
      </c>
    </row>
    <row r="64">
      <c r="A64" s="16" t="inlineStr">
        <is>
          <t>KF-M01-T_amb-0013</t>
        </is>
      </c>
      <c r="B64" s="35" t="n">
        <v>301.55</v>
      </c>
      <c r="C64" s="32" t="inlineStr">
        <is>
          <t>No convergió</t>
        </is>
      </c>
      <c r="D64" s="29" t="inlineStr">
        <is>
          <t>—</t>
        </is>
      </c>
      <c r="E64" s="35" t="inlineStr">
        <is>
          <t>—</t>
        </is>
      </c>
      <c r="F64" s="36" t="n">
        <v>2600</v>
      </c>
      <c r="G64" s="29" t="n">
        <v>7.5</v>
      </c>
      <c r="H64" s="16" t="inlineStr">
        <is>
          <t>no</t>
        </is>
      </c>
    </row>
    <row r="65">
      <c r="A65" s="16" t="inlineStr">
        <is>
          <t>KF-M01-T_amb-0019</t>
        </is>
      </c>
      <c r="B65" s="35" t="n">
        <v>301.655</v>
      </c>
      <c r="C65" s="32" t="inlineStr">
        <is>
          <t>No convergió</t>
        </is>
      </c>
      <c r="D65" s="29" t="inlineStr">
        <is>
          <t>—</t>
        </is>
      </c>
      <c r="E65" s="35" t="inlineStr">
        <is>
          <t>—</t>
        </is>
      </c>
      <c r="F65" s="36" t="n">
        <v>2600</v>
      </c>
      <c r="G65" s="29" t="n">
        <v>7.5</v>
      </c>
      <c r="H65" s="16" t="inlineStr">
        <is>
          <t>no</t>
        </is>
      </c>
    </row>
    <row r="66">
      <c r="A66" s="16" t="inlineStr">
        <is>
          <t>KF-M01-T_amb-0018</t>
        </is>
      </c>
      <c r="B66" s="35" t="n">
        <v>302.25</v>
      </c>
      <c r="C66" s="32" t="inlineStr">
        <is>
          <t>No convergió</t>
        </is>
      </c>
      <c r="D66" s="29" t="inlineStr">
        <is>
          <t>—</t>
        </is>
      </c>
      <c r="E66" s="35" t="inlineStr">
        <is>
          <t>—</t>
        </is>
      </c>
      <c r="F66" s="36" t="n">
        <v>2600</v>
      </c>
      <c r="G66" s="29" t="n">
        <v>7.5</v>
      </c>
      <c r="H66" s="16" t="inlineStr">
        <is>
          <t>no</t>
        </is>
      </c>
    </row>
    <row r="67">
      <c r="A67" s="16" t="inlineStr">
        <is>
          <t>KF-M01-T_amb-0014</t>
        </is>
      </c>
      <c r="B67" s="35" t="n">
        <v>302.4</v>
      </c>
      <c r="C67" s="32" t="inlineStr">
        <is>
          <t>No convergió</t>
        </is>
      </c>
      <c r="D67" s="29" t="inlineStr">
        <is>
          <t>—</t>
        </is>
      </c>
      <c r="E67" s="35" t="inlineStr">
        <is>
          <t>—</t>
        </is>
      </c>
      <c r="F67" s="36" t="n">
        <v>2600</v>
      </c>
      <c r="G67" s="29" t="n">
        <v>7.5</v>
      </c>
      <c r="H67" s="16" t="inlineStr">
        <is>
          <t>no</t>
        </is>
      </c>
    </row>
    <row r="68">
      <c r="A68" s="16" t="inlineStr">
        <is>
          <t>KF-M01-T_amb-0017</t>
        </is>
      </c>
      <c r="B68" s="35" t="n">
        <v>302.9</v>
      </c>
      <c r="C68" s="32" t="inlineStr">
        <is>
          <t>No convergió</t>
        </is>
      </c>
      <c r="D68" s="29" t="inlineStr">
        <is>
          <t>—</t>
        </is>
      </c>
      <c r="E68" s="35" t="inlineStr">
        <is>
          <t>—</t>
        </is>
      </c>
      <c r="F68" s="36" t="n">
        <v>2600</v>
      </c>
      <c r="G68" s="29" t="n">
        <v>7.5</v>
      </c>
      <c r="H68" s="16" t="inlineStr">
        <is>
          <t>no</t>
        </is>
      </c>
    </row>
    <row r="69">
      <c r="A69" s="16" t="inlineStr">
        <is>
          <t>KF-M01-T_amb-0015</t>
        </is>
      </c>
      <c r="B69" s="35" t="n">
        <v>303.1</v>
      </c>
      <c r="C69" s="32" t="inlineStr">
        <is>
          <t>No convergió</t>
        </is>
      </c>
      <c r="D69" s="29" t="inlineStr">
        <is>
          <t>—</t>
        </is>
      </c>
      <c r="E69" s="35" t="inlineStr">
        <is>
          <t>—</t>
        </is>
      </c>
      <c r="F69" s="36" t="n">
        <v>2600</v>
      </c>
      <c r="G69" s="29" t="n">
        <v>7.5</v>
      </c>
      <c r="H69" s="16" t="inlineStr">
        <is>
          <t>no</t>
        </is>
      </c>
    </row>
    <row r="70">
      <c r="A70" s="16" t="inlineStr">
        <is>
          <t>KF-M01-T_amb-0016</t>
        </is>
      </c>
      <c r="B70" s="35" t="n">
        <v>303.55</v>
      </c>
      <c r="C70" s="32" t="inlineStr">
        <is>
          <t>No convergió</t>
        </is>
      </c>
      <c r="D70" s="29" t="inlineStr">
        <is>
          <t>—</t>
        </is>
      </c>
      <c r="E70" s="35" t="inlineStr">
        <is>
          <t>—</t>
        </is>
      </c>
      <c r="F70" s="36" t="n">
        <v>2600</v>
      </c>
      <c r="G70" s="29" t="n">
        <v>7.5</v>
      </c>
      <c r="H70" s="16" t="inlineStr">
        <is>
          <t>no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0" customWidth="1" min="1" max="1"/>
    <col width="48" customWidth="1" min="2" max="2"/>
    <col width="14" customWidth="1" min="3" max="3"/>
    <col width="24" customWidth="1" min="4" max="4"/>
    <col width="15" customWidth="1" min="5" max="5"/>
    <col width="11" customWidth="1" min="6" max="6"/>
    <col width="21" customWidth="1" min="7" max="7"/>
    <col width="10" customWidth="1" min="8" max="8"/>
  </cols>
  <sheetData>
    <row r="1">
      <c r="A1" s="19" t="inlineStr">
        <is>
          <t>Tabla 2.1-1 · Condiciones: qué quedó fijo y qué se barrió</t>
        </is>
      </c>
    </row>
    <row r="2">
      <c r="A2" s="20" t="inlineStr">
        <is>
          <t>Estudio 2.1 · Un solo cambio</t>
        </is>
      </c>
    </row>
    <row r="3">
      <c r="A3" s="20" t="inlineStr">
        <is>
          <t>Punto base: PP = punto del profesor; se mueve una variable a la vez</t>
        </is>
      </c>
    </row>
    <row r="4">
      <c r="A4" s="21" t="inlineStr">
        <is>
          <t>Punto base (las demás variables quedan fijas en): T_fuente = 623.15 K; T_sumidero = 300.03 K; P_alta = 3000 kPa; P_baja = 400 kPa; x_b = 0.5; m_b = 1 kg/s; η_t = 0.85; η_p = 0.75; ε_HRVG = 0.85; ε_reg = 0.75; ε_cond = 0.8; motor de propiedades = teqp. Cada panel o tramo mueve solo su variable.</t>
        </is>
      </c>
    </row>
    <row r="5">
      <c r="A5" s="21" t="inlineStr">
        <is>
          <t>Datos barridos (uno a la vez): T_fuente [340–623.15] K (22 valores); T_sumidero [283.15–303.55] K (10 valores); P_alta [1000–10000] kPa (24 valores); P_baja [150–1500] kPa (10 valores); x_b [0.3–0.9] (14 valores); η_t [0.75–0.9] (10 valores); η_p [0.65–0.85] (10 valores); ε_HRVG [0.75–0.85] (12 valores); ε_reg [0.75–0.85] (10 valores); ε_cond [0.75–0.85] (10 valores).</t>
        </is>
      </c>
    </row>
    <row r="6">
      <c r="A6" s="20" t="inlineStr">
        <is>
          <t>Fuente: analisis_final/00_inventario/condiciones_por_subcaso.csv</t>
        </is>
      </c>
    </row>
    <row r="8">
      <c r="A8" s="22" t="inlineStr">
        <is>
          <t>Parte</t>
        </is>
      </c>
      <c r="B8" s="22" t="inlineStr">
        <is>
          <t>Variable</t>
        </is>
      </c>
      <c r="C8" s="22" t="inlineStr">
        <is>
          <t>Estado</t>
        </is>
      </c>
      <c r="D8" s="22" t="inlineStr">
        <is>
          <t>Valor en el punto base</t>
        </is>
      </c>
      <c r="E8" s="22" t="inlineStr">
        <is>
          <t>Valor o rango</t>
        </is>
      </c>
      <c r="F8" s="22" t="inlineStr">
        <is>
          <t>n valores</t>
        </is>
      </c>
      <c r="G8" s="22" t="inlineStr">
        <is>
          <t>¿Igual al profesor?</t>
        </is>
      </c>
      <c r="H8" s="22" t="inlineStr">
        <is>
          <t>Unidad</t>
        </is>
      </c>
    </row>
    <row r="9">
      <c r="A9" s="16" t="n">
        <v>2.1</v>
      </c>
      <c r="B9" s="16" t="inlineStr">
        <is>
          <t>Temperatura de la fuente, T_fuente [K]</t>
        </is>
      </c>
      <c r="C9" s="16" t="inlineStr">
        <is>
          <t>Una a la vez</t>
        </is>
      </c>
      <c r="D9" s="16" t="n">
        <v>623.1</v>
      </c>
      <c r="E9" s="16" t="inlineStr">
        <is>
          <t>340.0 – 623.1</t>
        </is>
      </c>
      <c r="F9" s="16" t="n">
        <v>22</v>
      </c>
      <c r="G9" s="16" t="n"/>
      <c r="H9" s="16" t="inlineStr">
        <is>
          <t>K</t>
        </is>
      </c>
    </row>
    <row r="10">
      <c r="A10" s="16" t="n">
        <v>2.1</v>
      </c>
      <c r="B10" s="16" t="inlineStr">
        <is>
          <t>Temperatura del sumidero, T_sumidero [K]</t>
        </is>
      </c>
      <c r="C10" s="16" t="inlineStr">
        <is>
          <t>Una a la vez</t>
        </is>
      </c>
      <c r="D10" s="16" t="n">
        <v>300</v>
      </c>
      <c r="E10" s="16" t="inlineStr">
        <is>
          <t>283.1 – 303.6</t>
        </is>
      </c>
      <c r="F10" s="16" t="n">
        <v>11</v>
      </c>
      <c r="G10" s="16" t="n"/>
      <c r="H10" s="16" t="inlineStr">
        <is>
          <t>K</t>
        </is>
      </c>
    </row>
    <row r="11">
      <c r="A11" s="16" t="n">
        <v>2.1</v>
      </c>
      <c r="B11" s="16" t="inlineStr">
        <is>
          <t>Presión de alta, P_alta [kPa]</t>
        </is>
      </c>
      <c r="C11" s="16" t="inlineStr">
        <is>
          <t>Una a la vez</t>
        </is>
      </c>
      <c r="D11" s="16" t="n">
        <v>3000</v>
      </c>
      <c r="E11" s="16" t="inlineStr">
        <is>
          <t>1000 – 10000</t>
        </is>
      </c>
      <c r="F11" s="16" t="n">
        <v>24</v>
      </c>
      <c r="G11" s="16" t="n"/>
      <c r="H11" s="16" t="inlineStr">
        <is>
          <t>kPa</t>
        </is>
      </c>
    </row>
    <row r="12">
      <c r="A12" s="16" t="n">
        <v>2.1</v>
      </c>
      <c r="B12" s="16" t="inlineStr">
        <is>
          <t>Presión de baja, P_baja [kPa]</t>
        </is>
      </c>
      <c r="C12" s="16" t="inlineStr">
        <is>
          <t>Una a la vez</t>
        </is>
      </c>
      <c r="D12" s="16" t="n">
        <v>400</v>
      </c>
      <c r="E12" s="16" t="inlineStr">
        <is>
          <t>150.0 – 1500</t>
        </is>
      </c>
      <c r="F12" s="16" t="n">
        <v>11</v>
      </c>
      <c r="G12" s="16" t="n"/>
      <c r="H12" s="16" t="inlineStr">
        <is>
          <t>kPa</t>
        </is>
      </c>
    </row>
    <row r="13">
      <c r="A13" s="16" t="n">
        <v>2.1</v>
      </c>
      <c r="B13" s="16" t="inlineStr">
        <is>
          <t>Fracción de amoníaco de la mezcla base, x_b [–]</t>
        </is>
      </c>
      <c r="C13" s="16" t="inlineStr">
        <is>
          <t>Una a la vez</t>
        </is>
      </c>
      <c r="D13" s="16" t="n">
        <v>0.5</v>
      </c>
      <c r="E13" s="16" t="inlineStr">
        <is>
          <t>0.300 – 0.900</t>
        </is>
      </c>
      <c r="F13" s="16" t="n">
        <v>14</v>
      </c>
      <c r="G13" s="16" t="n"/>
      <c r="H13" s="16" t="inlineStr">
        <is>
          <t>–</t>
        </is>
      </c>
    </row>
    <row r="14">
      <c r="A14" s="16" t="n">
        <v>2.1</v>
      </c>
      <c r="B14" s="16" t="inlineStr">
        <is>
          <t>Flujo másico base, m_b [kg/s]</t>
        </is>
      </c>
      <c r="C14" s="16" t="inlineStr">
        <is>
          <t>Fija</t>
        </is>
      </c>
      <c r="D14" s="16" t="n">
        <v>1</v>
      </c>
      <c r="E14" s="16" t="inlineStr">
        <is>
          <t>1.0</t>
        </is>
      </c>
      <c r="F14" s="16" t="n"/>
      <c r="G14" s="16" t="inlineStr">
        <is>
          <t>sí</t>
        </is>
      </c>
      <c r="H14" s="16" t="inlineStr">
        <is>
          <t>kg/s</t>
        </is>
      </c>
    </row>
    <row r="15">
      <c r="A15" s="16" t="n">
        <v>2.1</v>
      </c>
      <c r="B15" s="16" t="inlineStr">
        <is>
          <t>Eficiencia isentrópica de la turbina, η_t [–]</t>
        </is>
      </c>
      <c r="C15" s="16" t="inlineStr">
        <is>
          <t>Una a la vez</t>
        </is>
      </c>
      <c r="D15" s="16" t="n">
        <v>0.85</v>
      </c>
      <c r="E15" s="16" t="inlineStr">
        <is>
          <t>0.750 – 0.900</t>
        </is>
      </c>
      <c r="F15" s="16" t="n">
        <v>10</v>
      </c>
      <c r="G15" s="16" t="n"/>
      <c r="H15" s="16" t="inlineStr">
        <is>
          <t>–</t>
        </is>
      </c>
    </row>
    <row r="16">
      <c r="A16" s="16" t="n">
        <v>2.1</v>
      </c>
      <c r="B16" s="16" t="inlineStr">
        <is>
          <t>Eficiencia isentrópica de la bomba, η_p [–]</t>
        </is>
      </c>
      <c r="C16" s="16" t="inlineStr">
        <is>
          <t>Una a la vez</t>
        </is>
      </c>
      <c r="D16" s="16" t="n">
        <v>0.75</v>
      </c>
      <c r="E16" s="16" t="inlineStr">
        <is>
          <t>0.650 – 0.850</t>
        </is>
      </c>
      <c r="F16" s="16" t="n">
        <v>11</v>
      </c>
      <c r="G16" s="16" t="n"/>
      <c r="H16" s="16" t="inlineStr">
        <is>
          <t>–</t>
        </is>
      </c>
    </row>
    <row r="17">
      <c r="A17" s="16" t="n">
        <v>2.1</v>
      </c>
      <c r="B17" s="16" t="inlineStr">
        <is>
          <t>Efectividad del generador de vapor, ε_HRVG [–]</t>
        </is>
      </c>
      <c r="C17" s="16" t="inlineStr">
        <is>
          <t>Una a la vez</t>
        </is>
      </c>
      <c r="D17" s="16" t="n">
        <v>0.85</v>
      </c>
      <c r="E17" s="16" t="inlineStr">
        <is>
          <t>0.750 – 0.850</t>
        </is>
      </c>
      <c r="F17" s="16" t="n">
        <v>12</v>
      </c>
      <c r="G17" s="16" t="n"/>
      <c r="H17" s="16" t="inlineStr">
        <is>
          <t>–</t>
        </is>
      </c>
    </row>
    <row r="18">
      <c r="A18" s="16" t="n">
        <v>2.1</v>
      </c>
      <c r="B18" s="16" t="inlineStr">
        <is>
          <t>Efectividad del regenerador, ε_reg [–]</t>
        </is>
      </c>
      <c r="C18" s="16" t="inlineStr">
        <is>
          <t>Una a la vez</t>
        </is>
      </c>
      <c r="D18" s="16" t="n">
        <v>0.75</v>
      </c>
      <c r="E18" s="16" t="inlineStr">
        <is>
          <t>0.750 – 0.850</t>
        </is>
      </c>
      <c r="F18" s="16" t="n">
        <v>10</v>
      </c>
      <c r="G18" s="16" t="n"/>
      <c r="H18" s="16" t="inlineStr">
        <is>
          <t>–</t>
        </is>
      </c>
    </row>
    <row r="19">
      <c r="A19" s="16" t="n">
        <v>2.1</v>
      </c>
      <c r="B19" s="16" t="inlineStr">
        <is>
          <t>Efectividad del condensador, ε_cond [–]</t>
        </is>
      </c>
      <c r="C19" s="16" t="inlineStr">
        <is>
          <t>Una a la vez</t>
        </is>
      </c>
      <c r="D19" s="16" t="n">
        <v>0.8</v>
      </c>
      <c r="E19" s="16" t="inlineStr">
        <is>
          <t>0.750 – 0.850</t>
        </is>
      </c>
      <c r="F19" s="16" t="n">
        <v>11</v>
      </c>
      <c r="G19" s="16" t="n"/>
      <c r="H19" s="16" t="inlineStr">
        <is>
          <t>–</t>
        </is>
      </c>
    </row>
    <row r="20">
      <c r="A20" s="16" t="n">
        <v>2.1</v>
      </c>
      <c r="B20" s="16" t="inlineStr">
        <is>
          <t>Piso de O2 (T de diseño de la bomba) [K]</t>
        </is>
      </c>
      <c r="C20" s="16" t="inlineStr">
        <is>
          <t>Sin dato</t>
        </is>
      </c>
      <c r="D20" s="16" t="n"/>
      <c r="E20" s="16" t="n"/>
      <c r="F20" s="16" t="n"/>
      <c r="G20" s="16" t="n"/>
      <c r="H20" s="16" t="inlineStr">
        <is>
          <t>K</t>
        </is>
      </c>
    </row>
    <row r="21">
      <c r="A21" s="16" t="n">
        <v>2.1</v>
      </c>
      <c r="B21" s="16" t="inlineStr">
        <is>
          <t>motor de propiedades</t>
        </is>
      </c>
      <c r="C21" s="16" t="inlineStr">
        <is>
          <t>Fija</t>
        </is>
      </c>
      <c r="D21" s="16" t="n"/>
      <c r="E21" s="16" t="inlineStr">
        <is>
          <t>teqp</t>
        </is>
      </c>
      <c r="F21" s="16" t="n"/>
      <c r="G21" s="16" t="n"/>
      <c r="H21" s="16" t="inlineStr">
        <is>
          <t>–</t>
        </is>
      </c>
    </row>
    <row r="23">
      <c r="A23" s="23" t="inlineStr">
        <is>
          <t>Notas: Filtro: cada parte y cada variable. n = 13 filas en la tabla. † = fuera del rango confiable (IAPWS G4-01); ‡ = falso convergido. Fuente: analisis_final/00_inventario/condiciones_por_subcaso.csv.</t>
        </is>
      </c>
    </row>
  </sheetData>
  <autoFilter ref="A8:H2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2.1-2 · Corridas por parte y por clase</t>
        </is>
      </c>
    </row>
    <row r="2">
      <c r="A2" s="20" t="inlineStr">
        <is>
          <t>Estudio 2.1 · Un solo cambio</t>
        </is>
      </c>
    </row>
    <row r="3">
      <c r="A3" s="20" t="inlineStr">
        <is>
          <t>Punto base: PP = punto del profesor; se mueve una variable a la vez</t>
        </is>
      </c>
    </row>
    <row r="4">
      <c r="A4" s="21" t="inlineStr">
        <is>
          <t>Punto base (las demás variables quedan fijas en): T_fuente = 623.15 K; T_sumidero = 300.03 K; P_alta = 3000 kPa; P_baja = 400 kPa; x_b = 0.5; m_b = 1 kg/s; η_t = 0.85; η_p = 0.75; ε_HRVG = 0.85; ε_reg = 0.75; ε_cond = 0.8; motor de propiedades = teqp. Cada panel o tramo mueve solo su variable.</t>
        </is>
      </c>
    </row>
    <row r="5">
      <c r="A5" s="21" t="inlineStr">
        <is>
          <t>Datos barridos (uno a la vez): T_fuente [340–623.15] K (22 valores); T_sumidero [283.15–303.55] K (10 valores); P_alta [1000–10000] kPa (24 valores); P_baja [150–1500] kPa (10 valores); x_b [0.3–0.9] (14 valores); η_t [0.75–0.9] (10 valores); η_p [0.65–0.85] (10 valores); ε_HRVG [0.75–0.85] (12 valores); ε_reg [0.75–0.85] (10 valores); ε_cond [0.75–0.85] (10 valores).</t>
        </is>
      </c>
    </row>
    <row r="6">
      <c r="A6" s="20" t="inlineStr">
        <is>
          <t>Fuente: analisis_final/00_inventario/conteo_por_subcaso.csv</t>
        </is>
      </c>
    </row>
    <row r="8">
      <c r="A8" s="22" t="inlineStr">
        <is>
          <t>Parte</t>
        </is>
      </c>
      <c r="B8" s="22" t="inlineStr">
        <is>
          <t>Corridas</t>
        </is>
      </c>
      <c r="C8" s="22" t="inlineStr">
        <is>
          <t>Omitidos</t>
        </is>
      </c>
      <c r="D8" s="22" t="inlineStr">
        <is>
          <t>Genuinos</t>
        </is>
      </c>
      <c r="E8" s="22" t="inlineStr">
        <is>
          <t>KALINA</t>
        </is>
      </c>
      <c r="F8" s="22" t="inlineStr">
        <is>
          <t>KALINA confiables</t>
        </is>
      </c>
      <c r="G8" s="22" t="inlineStr">
        <is>
          <t>Corregibles</t>
        </is>
      </c>
      <c r="H8" s="22" t="inlineStr">
        <is>
          <t>Inviables</t>
        </is>
      </c>
      <c r="I8" s="22" t="inlineStr">
        <is>
          <t>No convergidos</t>
        </is>
      </c>
      <c r="J8" s="22" t="inlineStr">
        <is>
          <t>Falsos convergidos</t>
        </is>
      </c>
      <c r="K8" s="22" t="inlineStr">
        <is>
          <t>Fuera de rango</t>
        </is>
      </c>
    </row>
    <row r="9">
      <c r="A9" s="16" t="n">
        <v>2.1</v>
      </c>
      <c r="B9" s="16" t="n">
        <v>132</v>
      </c>
      <c r="C9" s="16" t="n">
        <v>0</v>
      </c>
      <c r="D9" s="16" t="n">
        <v>15</v>
      </c>
      <c r="E9" s="16" t="n">
        <v>0</v>
      </c>
      <c r="F9" s="16" t="n">
        <v>0</v>
      </c>
      <c r="G9" s="16" t="n">
        <v>13</v>
      </c>
      <c r="H9" s="16" t="n">
        <v>2</v>
      </c>
      <c r="I9" s="16" t="n">
        <v>96</v>
      </c>
      <c r="J9" s="16" t="n">
        <v>21</v>
      </c>
      <c r="K9" s="16" t="n">
        <v>32</v>
      </c>
    </row>
    <row r="11">
      <c r="A11" s="23" t="inlineStr">
        <is>
          <t>Notas: Filtro: conteo por parte. n = 1 filas en la tabla. † = fuera del rango confiable (IAPWS G4-01); ‡ = falso convergido. Fuente: analisis_final/00_inventario/conteo_por_subcaso.csv.</t>
        </is>
      </c>
    </row>
  </sheetData>
  <autoFilter ref="A8:K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12" customWidth="1" min="1" max="1"/>
    <col width="10" customWidth="1" min="2" max="2"/>
    <col width="11" customWidth="1" min="3" max="3"/>
    <col width="10" customWidth="1" min="4" max="4"/>
    <col width="13" customWidth="1" min="5" max="5"/>
    <col width="11" customWidth="1" min="6" max="6"/>
    <col width="16" customWidth="1" min="7" max="7"/>
    <col width="36" customWidth="1" min="8" max="8"/>
    <col width="32" customWidth="1" min="9" max="9"/>
    <col width="15" customWidth="1" min="10" max="10"/>
    <col width="10" customWidth="1" min="11" max="11"/>
    <col width="19" customWidth="1" min="12" max="12"/>
    <col width="48" customWidth="1" min="13" max="13"/>
  </cols>
  <sheetData>
    <row r="1">
      <c r="A1" s="19" t="inlineStr">
        <is>
          <t>Tabla 2.1-3 · Distancia al punto del profesor moviendo una variable a la vez</t>
        </is>
      </c>
    </row>
    <row r="2">
      <c r="A2" s="20" t="inlineStr">
        <is>
          <t>Estudio 2.1 · Un solo cambio</t>
        </is>
      </c>
    </row>
    <row r="3">
      <c r="A3" s="20" t="inlineStr">
        <is>
          <t>Punto base: PP = punto del profesor; se mueve una variable a la vez</t>
        </is>
      </c>
    </row>
    <row r="4">
      <c r="A4" s="21" t="inlineStr">
        <is>
          <t>Punto base (las demás variables quedan fijas en): T_fuente = 623.15 K; T_sumidero = 300.03 K; P_alta = 3000 kPa; P_baja = 400 kPa; x_b = 0.5; m_b = 1 kg/s; η_t = 0.85; η_p = 0.75; ε_HRVG = 0.85; ε_reg = 0.75; ε_cond = 0.8; motor de propiedades = teqp. Cada panel o tramo mueve solo su variable.</t>
        </is>
      </c>
    </row>
    <row r="5">
      <c r="A5" s="21" t="inlineStr">
        <is>
          <t>Datos barridos (uno a la vez): T_fuente [340–623.15] K (22 valores); T_sumidero [283.15–303.55] K (10 valores); P_alta [1000–10000] kPa (24 valores); P_baja [150–1500] kPa (10 valores); x_b [0.3–0.9] (14 valores); η_t [0.75–0.9] (10 valores); η_p [0.65–0.85] (10 valores); ε_HRVG [0.75–0.85] (12 valores); ε_reg [0.75–0.85] (10 valores); ε_cond [0.75–0.85] (10 valores).</t>
        </is>
      </c>
    </row>
    <row r="6">
      <c r="A6" s="20" t="inlineStr">
        <is>
          <t>Fuente: resultados/2026-10-06_final_M2/m2n1_resumen.csv</t>
        </is>
      </c>
    </row>
    <row r="8">
      <c r="A8" s="22" t="inlineStr">
        <is>
          <t>Variable</t>
        </is>
      </c>
      <c r="B8" s="22" t="inlineStr">
        <is>
          <t>Tipo</t>
        </is>
      </c>
      <c r="C8" s="22" t="inlineStr">
        <is>
          <t>Convergen</t>
        </is>
      </c>
      <c r="D8" s="22" t="inlineStr">
        <is>
          <t>KALINA</t>
        </is>
      </c>
      <c r="E8" s="22" t="inlineStr">
        <is>
          <t>Corregibles</t>
        </is>
      </c>
      <c r="F8" s="22" t="inlineStr">
        <is>
          <t>Inviables</t>
        </is>
      </c>
      <c r="G8" s="22" t="inlineStr">
        <is>
          <t>No convergidos</t>
        </is>
      </c>
      <c r="H8" s="22" t="inlineStr">
        <is>
          <t>Valor convergido más cercano al PP</t>
        </is>
      </c>
      <c r="I8" s="22" t="inlineStr">
        <is>
          <t>Valor KALINA más cercano al PP</t>
        </is>
      </c>
      <c r="J8" s="22" t="inlineStr">
        <is>
          <t>d normalizado</t>
        </is>
      </c>
      <c r="K8" s="22" t="inlineStr">
        <is>
          <t>D mínimo</t>
        </is>
      </c>
      <c r="L8" s="22" t="inlineStr">
        <is>
          <t>Valor de D mínimo</t>
        </is>
      </c>
      <c r="M8" s="22" t="inlineStr">
        <is>
          <t>Criterios bloqueantes frecuentes</t>
        </is>
      </c>
    </row>
    <row r="9">
      <c r="A9" s="16" t="inlineStr">
        <is>
          <t>P_alta</t>
        </is>
      </c>
      <c r="B9" s="16" t="inlineStr">
        <is>
          <t>diseño</t>
        </is>
      </c>
      <c r="C9" s="16" t="n">
        <v>13</v>
      </c>
      <c r="D9" s="16" t="n">
        <v>0</v>
      </c>
      <c r="E9" s="16" t="n">
        <v>0</v>
      </c>
      <c r="F9" s="16" t="n">
        <v>0</v>
      </c>
      <c r="G9" s="16" t="n">
        <v>24</v>
      </c>
      <c r="H9" s="16" t="n">
        <v>5414.1</v>
      </c>
      <c r="I9" s="16" t="n"/>
      <c r="J9" s="16" t="n"/>
      <c r="K9" s="16" t="n">
        <v>28.588</v>
      </c>
      <c r="L9" s="16" t="n">
        <v>8000</v>
      </c>
      <c r="M9" s="16" t="inlineStr">
        <is>
          <t>C3(26) · falso convergido(13) · O1(13) · O2(13) · O5(13) · C1(13)</t>
        </is>
      </c>
    </row>
    <row r="10">
      <c r="A10" s="16" t="inlineStr">
        <is>
          <t>P_baja</t>
        </is>
      </c>
      <c r="B10" s="16" t="inlineStr">
        <is>
          <t>diseño</t>
        </is>
      </c>
      <c r="C10" s="16" t="n">
        <v>0</v>
      </c>
      <c r="D10" s="16" t="n">
        <v>0</v>
      </c>
      <c r="E10" s="16" t="n">
        <v>0</v>
      </c>
      <c r="F10" s="16" t="n">
        <v>0</v>
      </c>
      <c r="G10" s="16" t="n">
        <v>10</v>
      </c>
      <c r="H10" s="16" t="n"/>
      <c r="I10" s="16" t="n"/>
      <c r="J10" s="16" t="n"/>
      <c r="K10" s="16" t="n"/>
      <c r="L10" s="16" t="n"/>
      <c r="M10" s="16" t="n"/>
    </row>
    <row r="11">
      <c r="A11" s="16" t="inlineStr">
        <is>
          <t>x_b</t>
        </is>
      </c>
      <c r="B11" s="16" t="inlineStr">
        <is>
          <t>diseño</t>
        </is>
      </c>
      <c r="C11" s="16" t="n">
        <v>2</v>
      </c>
      <c r="D11" s="16" t="n">
        <v>0</v>
      </c>
      <c r="E11" s="16" t="n">
        <v>0</v>
      </c>
      <c r="F11" s="16" t="n">
        <v>1</v>
      </c>
      <c r="G11" s="16" t="n">
        <v>13</v>
      </c>
      <c r="H11" s="16" t="n">
        <v>0.31667</v>
      </c>
      <c r="I11" s="16" t="n"/>
      <c r="J11" s="16" t="n"/>
      <c r="K11" s="16" t="n">
        <v>17.194</v>
      </c>
      <c r="L11" s="16" t="n">
        <v>0.3</v>
      </c>
      <c r="M11" s="16" t="inlineStr">
        <is>
          <t>O1(2) · O2(2) · O5(2) · C3(2) · falso convergido(1) · C1(1)</t>
        </is>
      </c>
    </row>
    <row r="12">
      <c r="A12" s="16" t="inlineStr">
        <is>
          <t>η_t</t>
        </is>
      </c>
      <c r="B12" s="16" t="inlineStr">
        <is>
          <t>diseño</t>
        </is>
      </c>
      <c r="C12" s="16" t="n">
        <v>0</v>
      </c>
      <c r="D12" s="16" t="n">
        <v>0</v>
      </c>
      <c r="E12" s="16" t="n">
        <v>0</v>
      </c>
      <c r="F12" s="16" t="n">
        <v>0</v>
      </c>
      <c r="G12" s="16" t="n">
        <v>10</v>
      </c>
      <c r="H12" s="16" t="n"/>
      <c r="I12" s="16" t="n"/>
      <c r="J12" s="16" t="n"/>
      <c r="K12" s="16" t="n"/>
      <c r="L12" s="16" t="n"/>
      <c r="M12" s="16" t="n"/>
    </row>
    <row r="13">
      <c r="A13" s="16" t="inlineStr">
        <is>
          <t>η_p</t>
        </is>
      </c>
      <c r="B13" s="16" t="inlineStr">
        <is>
          <t>diseño</t>
        </is>
      </c>
      <c r="C13" s="16" t="n">
        <v>0</v>
      </c>
      <c r="D13" s="16" t="n">
        <v>0</v>
      </c>
      <c r="E13" s="16" t="n">
        <v>0</v>
      </c>
      <c r="F13" s="16" t="n">
        <v>0</v>
      </c>
      <c r="G13" s="16" t="n">
        <v>10</v>
      </c>
      <c r="H13" s="16" t="n"/>
      <c r="I13" s="16" t="n"/>
      <c r="J13" s="16" t="n"/>
      <c r="K13" s="16" t="n"/>
      <c r="L13" s="16" t="n"/>
      <c r="M13" s="16" t="n"/>
    </row>
    <row r="14">
      <c r="A14" s="16" t="inlineStr">
        <is>
          <t>ε_HRVG</t>
        </is>
      </c>
      <c r="B14" s="16" t="inlineStr">
        <is>
          <t>diseño</t>
        </is>
      </c>
      <c r="C14" s="16" t="n">
        <v>9</v>
      </c>
      <c r="D14" s="16" t="n">
        <v>0</v>
      </c>
      <c r="E14" s="16" t="n">
        <v>7</v>
      </c>
      <c r="F14" s="16" t="n">
        <v>0</v>
      </c>
      <c r="G14" s="16" t="n">
        <v>5</v>
      </c>
      <c r="H14" s="16" t="n">
        <v>0.825</v>
      </c>
      <c r="I14" s="16" t="n"/>
      <c r="J14" s="16" t="n"/>
      <c r="K14" s="16" t="n">
        <v>18.076</v>
      </c>
      <c r="L14" s="16" t="n">
        <v>0.75</v>
      </c>
      <c r="M14" s="16" t="inlineStr">
        <is>
          <t>O1(9) · O2(9) · C3(4) · falso convergido(2) · O5(2) · C1(2)</t>
        </is>
      </c>
    </row>
    <row r="15">
      <c r="A15" s="16" t="inlineStr">
        <is>
          <t>ε_reg</t>
        </is>
      </c>
      <c r="B15" s="16" t="inlineStr">
        <is>
          <t>diseño</t>
        </is>
      </c>
      <c r="C15" s="16" t="n">
        <v>0</v>
      </c>
      <c r="D15" s="16" t="n">
        <v>0</v>
      </c>
      <c r="E15" s="16" t="n">
        <v>0</v>
      </c>
      <c r="F15" s="16" t="n">
        <v>0</v>
      </c>
      <c r="G15" s="16" t="n">
        <v>10</v>
      </c>
      <c r="H15" s="16" t="n"/>
      <c r="I15" s="16" t="n"/>
      <c r="J15" s="16" t="n"/>
      <c r="K15" s="16" t="n"/>
      <c r="L15" s="16" t="n"/>
      <c r="M15" s="16" t="n"/>
    </row>
    <row r="16">
      <c r="A16" s="16" t="inlineStr">
        <is>
          <t>ε_cond</t>
        </is>
      </c>
      <c r="B16" s="16" t="inlineStr">
        <is>
          <t>diseño</t>
        </is>
      </c>
      <c r="C16" s="16" t="n">
        <v>0</v>
      </c>
      <c r="D16" s="16" t="n">
        <v>0</v>
      </c>
      <c r="E16" s="16" t="n">
        <v>0</v>
      </c>
      <c r="F16" s="16" t="n">
        <v>0</v>
      </c>
      <c r="G16" s="16" t="n">
        <v>10</v>
      </c>
      <c r="H16" s="16" t="n"/>
      <c r="I16" s="16" t="n"/>
      <c r="J16" s="16" t="n"/>
      <c r="K16" s="16" t="n"/>
      <c r="L16" s="16" t="n"/>
      <c r="M16" s="16" t="n"/>
    </row>
    <row r="17">
      <c r="A17" s="16" t="inlineStr">
        <is>
          <t>T_fuente</t>
        </is>
      </c>
      <c r="B17" s="16" t="inlineStr">
        <is>
          <t>sitio</t>
        </is>
      </c>
      <c r="C17" s="16" t="n">
        <v>12</v>
      </c>
      <c r="D17" s="16" t="n">
        <v>0</v>
      </c>
      <c r="E17" s="16" t="n">
        <v>6</v>
      </c>
      <c r="F17" s="16" t="n">
        <v>1</v>
      </c>
      <c r="G17" s="16" t="n">
        <v>15</v>
      </c>
      <c r="H17" s="16" t="n">
        <v>600.05</v>
      </c>
      <c r="I17" s="16" t="n"/>
      <c r="J17" s="16" t="n"/>
      <c r="K17" s="16" t="n">
        <v>2.0175</v>
      </c>
      <c r="L17" s="16" t="n">
        <v>402.92</v>
      </c>
      <c r="M17" s="16" t="inlineStr">
        <is>
          <t>C3(10) · O2(9) · O5(6) · falso convergido(5) · C1(5) · O1(5) · S6(3) · O3(3)</t>
        </is>
      </c>
    </row>
    <row r="18">
      <c r="A18" s="16" t="inlineStr">
        <is>
          <t>T_sumidero</t>
        </is>
      </c>
      <c r="B18" s="16" t="inlineStr">
        <is>
          <t>sitio</t>
        </is>
      </c>
      <c r="C18" s="16" t="n">
        <v>0</v>
      </c>
      <c r="D18" s="16" t="n">
        <v>0</v>
      </c>
      <c r="E18" s="16" t="n">
        <v>0</v>
      </c>
      <c r="F18" s="16" t="n">
        <v>0</v>
      </c>
      <c r="G18" s="16" t="n">
        <v>10</v>
      </c>
      <c r="H18" s="16" t="n"/>
      <c r="I18" s="16" t="n"/>
      <c r="J18" s="16" t="n"/>
      <c r="K18" s="16" t="n"/>
      <c r="L18" s="16" t="n"/>
      <c r="M18" s="16" t="n"/>
    </row>
    <row r="20">
      <c r="A20" s="23" t="inlineStr">
        <is>
          <t>Notas: Filtro: todos los puntos del barrido OAT. n = 10 filas en la tabla. † = fuera del rango confiable (IAPWS G4-01); ‡ = falso convergido. Fuente: resultados/2026-10-06_final_M2/m2n1_resumen.csv.</t>
        </is>
      </c>
    </row>
  </sheetData>
  <autoFilter ref="A8:M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90"/>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2.1 · Un solo cambio</t>
        </is>
      </c>
    </row>
    <row r="2">
      <c r="A2" t="inlineStr">
        <is>
          <t>Cada fila es un punto calculado (n = 132);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6">
      <c r="A6" s="33" t="inlineStr">
        <is>
          <t>Parte 2.1 · una variable a la vez · 132 puntos</t>
        </is>
      </c>
      <c r="B6" s="31" t="n"/>
      <c r="C6" s="31" t="n"/>
      <c r="D6" s="31" t="n"/>
      <c r="E6" s="31" t="n"/>
      <c r="F6" s="31" t="n"/>
      <c r="G6" s="31" t="n"/>
      <c r="H6" s="31" t="n"/>
      <c r="I6" s="31" t="n"/>
      <c r="J6" s="31" t="n"/>
      <c r="K6" s="31" t="n"/>
    </row>
    <row r="7">
      <c r="L7" s="24" t="inlineStr">
        <is>
          <t>Figura 2.1-1 · Con un solo cambio sobre los datos del profesor hay 0 KALINA</t>
        </is>
      </c>
    </row>
    <row r="8">
      <c r="A8" s="34" t="inlineStr">
        <is>
          <t>Barrido de T_fuente [K] · 22 puntos</t>
        </is>
      </c>
    </row>
    <row r="9">
      <c r="A9" s="25" t="inlineStr">
        <is>
          <t>Fijos en este barrido: T_sumidero = 300.03, P_alta = 3000, P_baja = 400, x_b = 0.5, η_t = 0.85, η_p = 0.75, ε_HRVG = 0.85, ε_reg = 0.75, ε_cond = 0.8.</t>
        </is>
      </c>
    </row>
    <row r="10">
      <c r="A10" s="25" t="inlineStr">
        <is>
          <t>Tipos de punto: bisección 12, malla 10.</t>
        </is>
      </c>
    </row>
    <row r="11">
      <c r="A11" s="22" t="inlineStr">
        <is>
          <t>id_punto</t>
        </is>
      </c>
      <c r="B11" s="22" t="inlineStr">
        <is>
          <t>T_fuente [K]</t>
        </is>
      </c>
      <c r="C11" s="22" t="inlineStr">
        <is>
          <t>Clase</t>
        </is>
      </c>
      <c r="D11" s="22" t="inlineStr">
        <is>
          <t>η [%]</t>
        </is>
      </c>
      <c r="E11" s="22" t="inlineStr">
        <is>
          <t>W_net [kW] (m_b = 1 kg/s)</t>
        </is>
      </c>
      <c r="F11" s="22" t="inlineStr">
        <is>
          <t>ΔP [kPa]</t>
        </is>
      </c>
      <c r="G11" s="22" t="inlineStr">
        <is>
          <t>r_P [–]</t>
        </is>
      </c>
      <c r="H11" s="22" t="inlineStr">
        <is>
          <t>Fuera de rango</t>
        </is>
      </c>
      <c r="I11" s="22" t="inlineStr">
        <is>
          <t>Criterios que falla</t>
        </is>
      </c>
      <c r="J11" s="22" t="inlineStr">
        <is>
          <t>Tipo de punto</t>
        </is>
      </c>
    </row>
    <row r="12">
      <c r="A12" s="16" t="inlineStr">
        <is>
          <t>KF-M02-N1-0076</t>
        </is>
      </c>
      <c r="B12" s="35" t="n">
        <v>340</v>
      </c>
      <c r="C12" s="32" t="inlineStr">
        <is>
          <t>No convergió</t>
        </is>
      </c>
      <c r="D12" s="29" t="inlineStr">
        <is>
          <t>—</t>
        </is>
      </c>
      <c r="E12" s="35" t="inlineStr">
        <is>
          <t>—</t>
        </is>
      </c>
      <c r="F12" s="36" t="n">
        <v>2600</v>
      </c>
      <c r="G12" s="29" t="n">
        <v>7.5</v>
      </c>
      <c r="H12" s="16" t="inlineStr">
        <is>
          <t>no</t>
        </is>
      </c>
      <c r="I12" s="16" t="n"/>
      <c r="J12" s="16" t="inlineStr">
        <is>
          <t>malla</t>
        </is>
      </c>
    </row>
    <row r="13">
      <c r="A13" s="16" t="inlineStr">
        <is>
          <t>KF-M02-N1-0105</t>
        </is>
      </c>
      <c r="B13" s="35" t="n">
        <v>355.7305555555556</v>
      </c>
      <c r="C13" s="32" t="inlineStr">
        <is>
          <t>No convergió</t>
        </is>
      </c>
      <c r="D13" s="29" t="inlineStr">
        <is>
          <t>—</t>
        </is>
      </c>
      <c r="E13" s="35" t="inlineStr">
        <is>
          <t>—</t>
        </is>
      </c>
      <c r="F13" s="36" t="n">
        <v>2600</v>
      </c>
      <c r="G13" s="29" t="n">
        <v>7.5</v>
      </c>
      <c r="H13" s="16" t="inlineStr">
        <is>
          <t>no</t>
        </is>
      </c>
      <c r="I13" s="16" t="n"/>
      <c r="J13" s="16" t="inlineStr">
        <is>
          <t>bisección</t>
        </is>
      </c>
    </row>
    <row r="14">
      <c r="A14" s="16" t="inlineStr">
        <is>
          <t>KF-M02-N1-0106</t>
        </is>
      </c>
      <c r="B14" s="35" t="n">
        <v>363.5958333333333</v>
      </c>
      <c r="C14" s="32" t="inlineStr">
        <is>
          <t>No convergió</t>
        </is>
      </c>
      <c r="D14" s="29" t="inlineStr">
        <is>
          <t>—</t>
        </is>
      </c>
      <c r="E14" s="35" t="inlineStr">
        <is>
          <t>—</t>
        </is>
      </c>
      <c r="F14" s="36" t="n">
        <v>2600</v>
      </c>
      <c r="G14" s="29" t="n">
        <v>7.5</v>
      </c>
      <c r="H14" s="16" t="inlineStr">
        <is>
          <t>no</t>
        </is>
      </c>
      <c r="I14" s="16" t="n"/>
      <c r="J14" s="16" t="inlineStr">
        <is>
          <t>bisección</t>
        </is>
      </c>
    </row>
    <row r="15">
      <c r="A15" s="16" t="inlineStr">
        <is>
          <t>KF-M02-N1-0114</t>
        </is>
      </c>
      <c r="B15" s="35" t="n">
        <v>367.5284722222222</v>
      </c>
      <c r="C15" s="32" t="inlineStr">
        <is>
          <t>No convergió</t>
        </is>
      </c>
      <c r="D15" s="29" t="inlineStr">
        <is>
          <t>—</t>
        </is>
      </c>
      <c r="E15" s="35" t="inlineStr">
        <is>
          <t>—</t>
        </is>
      </c>
      <c r="F15" s="36" t="n">
        <v>2600</v>
      </c>
      <c r="G15" s="29" t="n">
        <v>7.5</v>
      </c>
      <c r="H15" s="16" t="inlineStr">
        <is>
          <t>no</t>
        </is>
      </c>
      <c r="I15" s="16" t="n"/>
      <c r="J15" s="16" t="inlineStr">
        <is>
          <t>bisección</t>
        </is>
      </c>
    </row>
    <row r="16">
      <c r="A16" s="16" t="inlineStr">
        <is>
          <t>KF-M02-N1-0126</t>
        </is>
      </c>
      <c r="B16" s="35" t="n">
        <v>368.0200520833333</v>
      </c>
      <c r="C16" s="32" t="inlineStr">
        <is>
          <t>No convergió</t>
        </is>
      </c>
      <c r="D16" s="29" t="inlineStr">
        <is>
          <t>—</t>
        </is>
      </c>
      <c r="E16" s="35" t="inlineStr">
        <is>
          <t>—</t>
        </is>
      </c>
      <c r="F16" s="36" t="n">
        <v>2600</v>
      </c>
      <c r="G16" s="29" t="n">
        <v>7.5</v>
      </c>
      <c r="H16" s="16" t="inlineStr">
        <is>
          <t>no</t>
        </is>
      </c>
      <c r="I16" s="16" t="n"/>
      <c r="J16" s="16" t="inlineStr">
        <is>
          <t>bisección</t>
        </is>
      </c>
    </row>
    <row r="17">
      <c r="A17" s="16" t="inlineStr">
        <is>
          <t>KF-M02-N1-0124</t>
        </is>
      </c>
      <c r="B17" s="35" t="n">
        <v>368.5116319444444</v>
      </c>
      <c r="C17" s="38" t="inlineStr">
        <is>
          <t>Falso convergido</t>
        </is>
      </c>
      <c r="D17" s="29" t="inlineStr">
        <is>
          <t>—</t>
        </is>
      </c>
      <c r="E17" s="35" t="inlineStr">
        <is>
          <t>—</t>
        </is>
      </c>
      <c r="F17" s="36" t="n">
        <v>2600</v>
      </c>
      <c r="G17" s="29" t="n">
        <v>7.5</v>
      </c>
      <c r="H17" s="16" t="inlineStr">
        <is>
          <t>no</t>
        </is>
      </c>
      <c r="I17" s="16" t="inlineStr">
        <is>
          <t>N2,S6,O3,O5,C1,C3,C3</t>
        </is>
      </c>
      <c r="J17" s="16" t="inlineStr">
        <is>
          <t>bisección</t>
        </is>
      </c>
    </row>
    <row r="18">
      <c r="A18" s="16" t="inlineStr">
        <is>
          <t>KF-M02-N1-0119</t>
        </is>
      </c>
      <c r="B18" s="35" t="n">
        <v>369.4947916666666</v>
      </c>
      <c r="C18" s="38" t="inlineStr">
        <is>
          <t>Falso convergido</t>
        </is>
      </c>
      <c r="D18" s="29" t="inlineStr">
        <is>
          <t>—</t>
        </is>
      </c>
      <c r="E18" s="35" t="inlineStr">
        <is>
          <t>—</t>
        </is>
      </c>
      <c r="F18" s="36" t="n">
        <v>2600</v>
      </c>
      <c r="G18" s="29" t="n">
        <v>7.5</v>
      </c>
      <c r="H18" s="16" t="inlineStr">
        <is>
          <t>no</t>
        </is>
      </c>
      <c r="I18" s="16" t="inlineStr">
        <is>
          <t>N2,S6,O3,O5,C1,C3,C3</t>
        </is>
      </c>
      <c r="J18" s="16" t="inlineStr">
        <is>
          <t>bisección</t>
        </is>
      </c>
    </row>
    <row r="19">
      <c r="A19" s="16" t="inlineStr">
        <is>
          <t>KF-M02-N1-0086</t>
        </is>
      </c>
      <c r="B19" s="35" t="n">
        <v>371.4611111111111</v>
      </c>
      <c r="C19" s="38" t="inlineStr">
        <is>
          <t>Falso convergido</t>
        </is>
      </c>
      <c r="D19" s="29" t="inlineStr">
        <is>
          <t>—</t>
        </is>
      </c>
      <c r="E19" s="35" t="inlineStr">
        <is>
          <t>—</t>
        </is>
      </c>
      <c r="F19" s="36" t="n">
        <v>2600</v>
      </c>
      <c r="G19" s="29" t="n">
        <v>7.5</v>
      </c>
      <c r="H19" s="16" t="inlineStr">
        <is>
          <t>no</t>
        </is>
      </c>
      <c r="I19" s="16" t="inlineStr">
        <is>
          <t>N2,S6,O3,O5,C1,C3,C3</t>
        </is>
      </c>
      <c r="J19" s="16" t="inlineStr">
        <is>
          <t>malla</t>
        </is>
      </c>
    </row>
    <row r="20">
      <c r="A20" s="16" t="inlineStr">
        <is>
          <t>KF-M02-N1-0081</t>
        </is>
      </c>
      <c r="B20" s="35" t="n">
        <v>402.9222222222222</v>
      </c>
      <c r="C20" s="39" t="inlineStr">
        <is>
          <t>Corregible</t>
        </is>
      </c>
      <c r="D20" s="29" t="n">
        <v>9.855044290489751</v>
      </c>
      <c r="E20" s="35" t="n">
        <v>30.05368259794732</v>
      </c>
      <c r="F20" s="36" t="n">
        <v>2600</v>
      </c>
      <c r="G20" s="29" t="n">
        <v>7.5</v>
      </c>
      <c r="H20" s="16" t="inlineStr">
        <is>
          <t>no</t>
        </is>
      </c>
      <c r="I20" s="16" t="inlineStr">
        <is>
          <t>O2</t>
        </is>
      </c>
      <c r="J20" s="16" t="inlineStr">
        <is>
          <t>malla</t>
        </is>
      </c>
    </row>
    <row r="21">
      <c r="A21" s="16" t="inlineStr">
        <is>
          <t>KF-M02-N1-0082</t>
        </is>
      </c>
      <c r="B21" s="35" t="n">
        <v>434.3833333333333</v>
      </c>
      <c r="C21" s="39" t="inlineStr">
        <is>
          <t>Corregible</t>
        </is>
      </c>
      <c r="D21" s="29" t="n">
        <v>13.0341891148578</v>
      </c>
      <c r="E21" s="35" t="n">
        <v>89.87198723802976</v>
      </c>
      <c r="F21" s="36" t="n">
        <v>2600</v>
      </c>
      <c r="G21" s="29" t="n">
        <v>7.5</v>
      </c>
      <c r="H21" s="16" t="inlineStr">
        <is>
          <t>sí</t>
        </is>
      </c>
      <c r="I21" s="16" t="inlineStr">
        <is>
          <t>O2</t>
        </is>
      </c>
      <c r="J21" s="16" t="inlineStr">
        <is>
          <t>malla</t>
        </is>
      </c>
    </row>
    <row r="22">
      <c r="A22" s="16" t="inlineStr">
        <is>
          <t>KF-M02-N1-0084</t>
        </is>
      </c>
      <c r="B22" s="35" t="n">
        <v>465.8444444444444</v>
      </c>
      <c r="C22" s="39" t="inlineStr">
        <is>
          <t>Corregible</t>
        </is>
      </c>
      <c r="D22" s="29" t="n">
        <v>13.23893393241748</v>
      </c>
      <c r="E22" s="35" t="n">
        <v>181.9290515288232</v>
      </c>
      <c r="F22" s="36" t="n">
        <v>2600</v>
      </c>
      <c r="G22" s="29" t="n">
        <v>7.5</v>
      </c>
      <c r="H22" s="16" t="inlineStr">
        <is>
          <t>sí</t>
        </is>
      </c>
      <c r="I22" s="16" t="inlineStr">
        <is>
          <t>O2</t>
        </is>
      </c>
      <c r="J22" s="16" t="inlineStr">
        <is>
          <t>malla</t>
        </is>
      </c>
    </row>
    <row r="23">
      <c r="A23" s="16" t="inlineStr">
        <is>
          <t>KF-M02-N1-0085</t>
        </is>
      </c>
      <c r="B23" s="35" t="n">
        <v>497.3055555555555</v>
      </c>
      <c r="C23" s="39" t="inlineStr">
        <is>
          <t>Corregible</t>
        </is>
      </c>
      <c r="D23" s="29" t="n">
        <v>13.10697051383622</v>
      </c>
      <c r="E23" s="35" t="n">
        <v>218.6475972956977</v>
      </c>
      <c r="F23" s="36" t="n">
        <v>2600</v>
      </c>
      <c r="G23" s="29" t="n">
        <v>7.5</v>
      </c>
      <c r="H23" s="16" t="inlineStr">
        <is>
          <t>sí</t>
        </is>
      </c>
      <c r="I23" s="16" t="inlineStr">
        <is>
          <t>O2</t>
        </is>
      </c>
      <c r="J23" s="16" t="inlineStr">
        <is>
          <t>malla</t>
        </is>
      </c>
    </row>
    <row r="24">
      <c r="A24" s="16" t="inlineStr">
        <is>
          <t>KF-M02-N1-0083</t>
        </is>
      </c>
      <c r="B24" s="35" t="n">
        <v>528.7666666666667</v>
      </c>
      <c r="C24" s="39" t="inlineStr">
        <is>
          <t>Corregible</t>
        </is>
      </c>
      <c r="D24" s="29" t="n">
        <v>13.08210153012723</v>
      </c>
      <c r="E24" s="35" t="n">
        <v>227.0947595873949</v>
      </c>
      <c r="F24" s="36" t="n">
        <v>2600</v>
      </c>
      <c r="G24" s="29" t="n">
        <v>7.5</v>
      </c>
      <c r="H24" s="16" t="inlineStr">
        <is>
          <t>sí</t>
        </is>
      </c>
      <c r="I24" s="16" t="inlineStr">
        <is>
          <t>O1,O2</t>
        </is>
      </c>
      <c r="J24" s="16" t="inlineStr">
        <is>
          <t>malla</t>
        </is>
      </c>
    </row>
    <row r="25">
      <c r="A25" s="16" t="inlineStr">
        <is>
          <t>KF-M02-N1-0087</t>
        </is>
      </c>
      <c r="B25" s="35" t="n">
        <v>560.2277777777778</v>
      </c>
      <c r="C25" s="39" t="inlineStr">
        <is>
          <t>Corregible</t>
        </is>
      </c>
      <c r="D25" s="29" t="n">
        <v>13.05959417804741</v>
      </c>
      <c r="E25" s="35" t="n">
        <v>235.1692687359266</v>
      </c>
      <c r="F25" s="36" t="n">
        <v>2600</v>
      </c>
      <c r="G25" s="29" t="n">
        <v>7.5</v>
      </c>
      <c r="H25" s="16" t="inlineStr">
        <is>
          <t>sí</t>
        </is>
      </c>
      <c r="I25" s="16" t="inlineStr">
        <is>
          <t>O1,O2</t>
        </is>
      </c>
      <c r="J25" s="16" t="inlineStr">
        <is>
          <t>malla</t>
        </is>
      </c>
    </row>
    <row r="26">
      <c r="A26" s="16" t="inlineStr">
        <is>
          <t>KF-M02-N1-0090</t>
        </is>
      </c>
      <c r="B26" s="35" t="n">
        <v>591.6888888888889</v>
      </c>
      <c r="C26" s="40" t="inlineStr">
        <is>
          <t>Inviable</t>
        </is>
      </c>
      <c r="D26" s="29" t="n">
        <v>13.04002337508707</v>
      </c>
      <c r="E26" s="35" t="n">
        <v>243.097255915752</v>
      </c>
      <c r="F26" s="36" t="n">
        <v>2600</v>
      </c>
      <c r="G26" s="29" t="n">
        <v>7.5</v>
      </c>
      <c r="H26" s="16" t="inlineStr">
        <is>
          <t>sí</t>
        </is>
      </c>
      <c r="I26" s="16" t="inlineStr">
        <is>
          <t>O1,O2,O5</t>
        </is>
      </c>
      <c r="J26" s="16" t="inlineStr">
        <is>
          <t>malla</t>
        </is>
      </c>
    </row>
    <row r="27">
      <c r="A27" s="16" t="inlineStr">
        <is>
          <t>KF-M02-N1-0108</t>
        </is>
      </c>
      <c r="B27" s="35" t="n">
        <v>599.5541666666667</v>
      </c>
      <c r="C27" s="38" t="inlineStr">
        <is>
          <t>Falso convergido</t>
        </is>
      </c>
      <c r="D27" s="29" t="inlineStr">
        <is>
          <t>—</t>
        </is>
      </c>
      <c r="E27" s="35" t="inlineStr">
        <is>
          <t>—</t>
        </is>
      </c>
      <c r="F27" s="36" t="n">
        <v>2600</v>
      </c>
      <c r="G27" s="29" t="n">
        <v>7.5</v>
      </c>
      <c r="H27" s="16" t="inlineStr">
        <is>
          <t>sí</t>
        </is>
      </c>
      <c r="I27" s="16" t="inlineStr">
        <is>
          <t>N2,O1,O2,O5,C1,C3,C3</t>
        </is>
      </c>
      <c r="J27" s="16" t="inlineStr">
        <is>
          <t>bisección</t>
        </is>
      </c>
    </row>
    <row r="28">
      <c r="A28" s="16" t="inlineStr">
        <is>
          <t>KF-M02-N1-0127</t>
        </is>
      </c>
      <c r="B28" s="35" t="n">
        <v>600.0457465277777</v>
      </c>
      <c r="C28" s="38" t="inlineStr">
        <is>
          <t>Falso convergido</t>
        </is>
      </c>
      <c r="D28" s="29" t="inlineStr">
        <is>
          <t>—</t>
        </is>
      </c>
      <c r="E28" s="35" t="inlineStr">
        <is>
          <t>—</t>
        </is>
      </c>
      <c r="F28" s="36" t="n">
        <v>2600</v>
      </c>
      <c r="G28" s="29" t="n">
        <v>7.5</v>
      </c>
      <c r="H28" s="16" t="inlineStr">
        <is>
          <t>sí</t>
        </is>
      </c>
      <c r="I28" s="16" t="inlineStr">
        <is>
          <t>N2,O1,O2,O5,C1,C3,C3</t>
        </is>
      </c>
      <c r="J28" s="16" t="inlineStr">
        <is>
          <t>bisección</t>
        </is>
      </c>
    </row>
    <row r="29">
      <c r="A29" s="16" t="inlineStr">
        <is>
          <t>KF-M02-N1-0123</t>
        </is>
      </c>
      <c r="B29" s="35" t="n">
        <v>600.5373263888889</v>
      </c>
      <c r="C29" s="32" t="inlineStr">
        <is>
          <t>No convergió</t>
        </is>
      </c>
      <c r="D29" s="29" t="inlineStr">
        <is>
          <t>—</t>
        </is>
      </c>
      <c r="E29" s="35" t="inlineStr">
        <is>
          <t>—</t>
        </is>
      </c>
      <c r="F29" s="36" t="n">
        <v>2600</v>
      </c>
      <c r="G29" s="29" t="n">
        <v>7.5</v>
      </c>
      <c r="H29" s="16" t="inlineStr">
        <is>
          <t>no</t>
        </is>
      </c>
      <c r="I29" s="16" t="n"/>
      <c r="J29" s="16" t="inlineStr">
        <is>
          <t>bisección</t>
        </is>
      </c>
    </row>
    <row r="30">
      <c r="A30" s="16" t="inlineStr">
        <is>
          <t>KF-M02-N1-0117</t>
        </is>
      </c>
      <c r="B30" s="35" t="n">
        <v>601.520486111111</v>
      </c>
      <c r="C30" s="32" t="inlineStr">
        <is>
          <t>No convergió</t>
        </is>
      </c>
      <c r="D30" s="29" t="inlineStr">
        <is>
          <t>—</t>
        </is>
      </c>
      <c r="E30" s="35" t="inlineStr">
        <is>
          <t>—</t>
        </is>
      </c>
      <c r="F30" s="36" t="n">
        <v>2600</v>
      </c>
      <c r="G30" s="29" t="n">
        <v>7.5</v>
      </c>
      <c r="H30" s="16" t="inlineStr">
        <is>
          <t>no</t>
        </is>
      </c>
      <c r="I30" s="16" t="n"/>
      <c r="J30" s="16" t="inlineStr">
        <is>
          <t>bisección</t>
        </is>
      </c>
    </row>
    <row r="31">
      <c r="A31" s="16" t="inlineStr">
        <is>
          <t>KF-M02-N1-0112</t>
        </is>
      </c>
      <c r="B31" s="35" t="n">
        <v>603.4868055555555</v>
      </c>
      <c r="C31" s="32" t="inlineStr">
        <is>
          <t>No convergió</t>
        </is>
      </c>
      <c r="D31" s="29" t="inlineStr">
        <is>
          <t>—</t>
        </is>
      </c>
      <c r="E31" s="35" t="inlineStr">
        <is>
          <t>—</t>
        </is>
      </c>
      <c r="F31" s="36" t="n">
        <v>2600</v>
      </c>
      <c r="G31" s="29" t="n">
        <v>7.5</v>
      </c>
      <c r="H31" s="16" t="inlineStr">
        <is>
          <t>no</t>
        </is>
      </c>
      <c r="I31" s="16" t="n"/>
      <c r="J31" s="16" t="inlineStr">
        <is>
          <t>bisección</t>
        </is>
      </c>
    </row>
    <row r="32">
      <c r="A32" s="16" t="inlineStr">
        <is>
          <t>KF-M02-N1-0100</t>
        </is>
      </c>
      <c r="B32" s="35" t="n">
        <v>607.4194444444445</v>
      </c>
      <c r="C32" s="32" t="inlineStr">
        <is>
          <t>No convergió</t>
        </is>
      </c>
      <c r="D32" s="29" t="inlineStr">
        <is>
          <t>—</t>
        </is>
      </c>
      <c r="E32" s="35" t="inlineStr">
        <is>
          <t>—</t>
        </is>
      </c>
      <c r="F32" s="36" t="n">
        <v>2600</v>
      </c>
      <c r="G32" s="29" t="n">
        <v>7.5</v>
      </c>
      <c r="H32" s="16" t="inlineStr">
        <is>
          <t>no</t>
        </is>
      </c>
      <c r="I32" s="16" t="n"/>
      <c r="J32" s="16" t="inlineStr">
        <is>
          <t>bisección</t>
        </is>
      </c>
    </row>
    <row r="33">
      <c r="A33" s="16" t="inlineStr">
        <is>
          <t>KF-M02-N1-0088</t>
        </is>
      </c>
      <c r="B33" s="35" t="n">
        <v>623.15</v>
      </c>
      <c r="C33" s="32" t="inlineStr">
        <is>
          <t>No convergió</t>
        </is>
      </c>
      <c r="D33" s="29" t="inlineStr">
        <is>
          <t>—</t>
        </is>
      </c>
      <c r="E33" s="35" t="inlineStr">
        <is>
          <t>—</t>
        </is>
      </c>
      <c r="F33" s="36" t="n">
        <v>2600</v>
      </c>
      <c r="G33" s="29" t="n">
        <v>7.5</v>
      </c>
      <c r="H33" s="16" t="inlineStr">
        <is>
          <t>no</t>
        </is>
      </c>
      <c r="I33" s="16" t="n"/>
      <c r="J33" s="16" t="inlineStr">
        <is>
          <t>malla</t>
        </is>
      </c>
    </row>
    <row r="34"/>
    <row r="35">
      <c r="A35" s="34" t="inlineStr">
        <is>
          <t>Barrido de T_sumidero [K] · 10 puntos</t>
        </is>
      </c>
    </row>
    <row r="36">
      <c r="A36" s="25" t="inlineStr">
        <is>
          <t>Fijos en este barrido: T_fuente = 623.15, P_alta = 3000, P_baja = 400, x_b = 0.5, η_t = 0.85, η_p = 0.75, ε_HRVG = 0.85, ε_reg = 0.75, ε_cond = 0.8.</t>
        </is>
      </c>
    </row>
    <row r="37">
      <c r="A37" s="22" t="inlineStr">
        <is>
          <t>id_punto</t>
        </is>
      </c>
      <c r="B37" s="22" t="inlineStr">
        <is>
          <t>T_sumidero [K]</t>
        </is>
      </c>
      <c r="C37" s="22" t="inlineStr">
        <is>
          <t>Clase</t>
        </is>
      </c>
      <c r="D37" s="22" t="inlineStr">
        <is>
          <t>η [%]</t>
        </is>
      </c>
      <c r="E37" s="22" t="inlineStr">
        <is>
          <t>W_net [kW] (m_b = 1 kg/s)</t>
        </is>
      </c>
      <c r="F37" s="22" t="inlineStr">
        <is>
          <t>ΔP [kPa]</t>
        </is>
      </c>
      <c r="G37" s="22" t="inlineStr">
        <is>
          <t>r_P [–]</t>
        </is>
      </c>
      <c r="H37" s="22" t="inlineStr">
        <is>
          <t>Fuera de rango</t>
        </is>
      </c>
    </row>
    <row r="38">
      <c r="A38" s="16" t="inlineStr">
        <is>
          <t>KF-M02-N1-0089</t>
        </is>
      </c>
      <c r="B38" s="35" t="n">
        <v>283.15</v>
      </c>
      <c r="C38" s="32" t="inlineStr">
        <is>
          <t>No convergió</t>
        </is>
      </c>
      <c r="D38" s="29" t="inlineStr">
        <is>
          <t>—</t>
        </is>
      </c>
      <c r="E38" s="35" t="inlineStr">
        <is>
          <t>—</t>
        </is>
      </c>
      <c r="F38" s="36" t="n">
        <v>2600</v>
      </c>
      <c r="G38" s="29" t="n">
        <v>7.5</v>
      </c>
      <c r="H38" s="16" t="inlineStr">
        <is>
          <t>no</t>
        </is>
      </c>
    </row>
    <row r="39">
      <c r="A39" s="16" t="inlineStr">
        <is>
          <t>KF-M02-N1-0091</t>
        </is>
      </c>
      <c r="B39" s="35" t="n">
        <v>285.4166666666666</v>
      </c>
      <c r="C39" s="32" t="inlineStr">
        <is>
          <t>No convergió</t>
        </is>
      </c>
      <c r="D39" s="29" t="inlineStr">
        <is>
          <t>—</t>
        </is>
      </c>
      <c r="E39" s="35" t="inlineStr">
        <is>
          <t>—</t>
        </is>
      </c>
      <c r="F39" s="36" t="n">
        <v>2600</v>
      </c>
      <c r="G39" s="29" t="n">
        <v>7.5</v>
      </c>
      <c r="H39" s="16" t="inlineStr">
        <is>
          <t>no</t>
        </is>
      </c>
    </row>
    <row r="40">
      <c r="A40" s="16" t="inlineStr">
        <is>
          <t>KF-M02-N1-0092</t>
        </is>
      </c>
      <c r="B40" s="35" t="n">
        <v>287.6833333333333</v>
      </c>
      <c r="C40" s="32" t="inlineStr">
        <is>
          <t>No convergió</t>
        </is>
      </c>
      <c r="D40" s="29" t="inlineStr">
        <is>
          <t>—</t>
        </is>
      </c>
      <c r="E40" s="35" t="inlineStr">
        <is>
          <t>—</t>
        </is>
      </c>
      <c r="F40" s="36" t="n">
        <v>2600</v>
      </c>
      <c r="G40" s="29" t="n">
        <v>7.5</v>
      </c>
      <c r="H40" s="16" t="inlineStr">
        <is>
          <t>no</t>
        </is>
      </c>
    </row>
    <row r="41">
      <c r="A41" s="16" t="inlineStr">
        <is>
          <t>KF-M02-N1-0093</t>
        </is>
      </c>
      <c r="B41" s="35" t="n">
        <v>289.95</v>
      </c>
      <c r="C41" s="32" t="inlineStr">
        <is>
          <t>No convergió</t>
        </is>
      </c>
      <c r="D41" s="29" t="inlineStr">
        <is>
          <t>—</t>
        </is>
      </c>
      <c r="E41" s="35" t="inlineStr">
        <is>
          <t>—</t>
        </is>
      </c>
      <c r="F41" s="36" t="n">
        <v>2600</v>
      </c>
      <c r="G41" s="29" t="n">
        <v>7.5</v>
      </c>
      <c r="H41" s="16" t="inlineStr">
        <is>
          <t>no</t>
        </is>
      </c>
    </row>
    <row r="42">
      <c r="A42" s="16" t="inlineStr">
        <is>
          <t>KF-M02-N1-0094</t>
        </is>
      </c>
      <c r="B42" s="35" t="n">
        <v>292.2166666666666</v>
      </c>
      <c r="C42" s="32" t="inlineStr">
        <is>
          <t>No convergió</t>
        </is>
      </c>
      <c r="D42" s="29" t="inlineStr">
        <is>
          <t>—</t>
        </is>
      </c>
      <c r="E42" s="35" t="inlineStr">
        <is>
          <t>—</t>
        </is>
      </c>
      <c r="F42" s="36" t="n">
        <v>2600</v>
      </c>
      <c r="G42" s="29" t="n">
        <v>7.5</v>
      </c>
      <c r="H42" s="16" t="inlineStr">
        <is>
          <t>no</t>
        </is>
      </c>
    </row>
    <row r="43">
      <c r="A43" s="16" t="inlineStr">
        <is>
          <t>KF-M02-N1-0095</t>
        </is>
      </c>
      <c r="B43" s="35" t="n">
        <v>294.4833333333333</v>
      </c>
      <c r="C43" s="32" t="inlineStr">
        <is>
          <t>No convergió</t>
        </is>
      </c>
      <c r="D43" s="29" t="inlineStr">
        <is>
          <t>—</t>
        </is>
      </c>
      <c r="E43" s="35" t="inlineStr">
        <is>
          <t>—</t>
        </is>
      </c>
      <c r="F43" s="36" t="n">
        <v>2600</v>
      </c>
      <c r="G43" s="29" t="n">
        <v>7.5</v>
      </c>
      <c r="H43" s="16" t="inlineStr">
        <is>
          <t>no</t>
        </is>
      </c>
    </row>
    <row r="44">
      <c r="A44" s="16" t="inlineStr">
        <is>
          <t>KF-M02-N1-0096</t>
        </is>
      </c>
      <c r="B44" s="35" t="n">
        <v>296.75</v>
      </c>
      <c r="C44" s="32" t="inlineStr">
        <is>
          <t>No convergió</t>
        </is>
      </c>
      <c r="D44" s="29" t="inlineStr">
        <is>
          <t>—</t>
        </is>
      </c>
      <c r="E44" s="35" t="inlineStr">
        <is>
          <t>—</t>
        </is>
      </c>
      <c r="F44" s="36" t="n">
        <v>2600</v>
      </c>
      <c r="G44" s="29" t="n">
        <v>7.5</v>
      </c>
      <c r="H44" s="16" t="inlineStr">
        <is>
          <t>no</t>
        </is>
      </c>
    </row>
    <row r="45">
      <c r="A45" s="16" t="inlineStr">
        <is>
          <t>KF-M02-N1-0097</t>
        </is>
      </c>
      <c r="B45" s="35" t="n">
        <v>299.0166666666667</v>
      </c>
      <c r="C45" s="32" t="inlineStr">
        <is>
          <t>No convergió</t>
        </is>
      </c>
      <c r="D45" s="29" t="inlineStr">
        <is>
          <t>—</t>
        </is>
      </c>
      <c r="E45" s="35" t="inlineStr">
        <is>
          <t>—</t>
        </is>
      </c>
      <c r="F45" s="36" t="n">
        <v>2600</v>
      </c>
      <c r="G45" s="29" t="n">
        <v>7.5</v>
      </c>
      <c r="H45" s="16" t="inlineStr">
        <is>
          <t>no</t>
        </is>
      </c>
    </row>
    <row r="46">
      <c r="A46" s="16" t="inlineStr">
        <is>
          <t>KF-M02-N1-0098</t>
        </is>
      </c>
      <c r="B46" s="35" t="n">
        <v>301.2833333333334</v>
      </c>
      <c r="C46" s="32" t="inlineStr">
        <is>
          <t>No convergió</t>
        </is>
      </c>
      <c r="D46" s="29" t="inlineStr">
        <is>
          <t>—</t>
        </is>
      </c>
      <c r="E46" s="35" t="inlineStr">
        <is>
          <t>—</t>
        </is>
      </c>
      <c r="F46" s="36" t="n">
        <v>2600</v>
      </c>
      <c r="G46" s="29" t="n">
        <v>7.5</v>
      </c>
      <c r="H46" s="16" t="inlineStr">
        <is>
          <t>no</t>
        </is>
      </c>
    </row>
    <row r="47">
      <c r="A47" s="16" t="inlineStr">
        <is>
          <t>KF-M02-N1-0099</t>
        </is>
      </c>
      <c r="B47" s="35" t="n">
        <v>303.55</v>
      </c>
      <c r="C47" s="32" t="inlineStr">
        <is>
          <t>No convergió</t>
        </is>
      </c>
      <c r="D47" s="29" t="inlineStr">
        <is>
          <t>—</t>
        </is>
      </c>
      <c r="E47" s="35" t="inlineStr">
        <is>
          <t>—</t>
        </is>
      </c>
      <c r="F47" s="36" t="n">
        <v>2600</v>
      </c>
      <c r="G47" s="29" t="n">
        <v>7.5</v>
      </c>
      <c r="H47" s="16" t="inlineStr">
        <is>
          <t>no</t>
        </is>
      </c>
    </row>
    <row r="48"/>
    <row r="49">
      <c r="A49" s="34" t="inlineStr">
        <is>
          <t>Barrido de P_alta [kPa] · 24 puntos</t>
        </is>
      </c>
    </row>
    <row r="50">
      <c r="A50" s="25" t="inlineStr">
        <is>
          <t>Fijos en este barrido: T_fuente = 623.15, T_sumidero = 300.03, P_baja = 400, x_b = 0.5, η_t = 0.85, η_p = 0.75, ε_HRVG = 0.85, ε_reg = 0.75, ε_cond = 0.8.</t>
        </is>
      </c>
    </row>
    <row r="51">
      <c r="A51" s="25" t="inlineStr">
        <is>
          <t>Tipos de punto: bisección 14, malla 10.</t>
        </is>
      </c>
    </row>
    <row r="52">
      <c r="A52" s="22" t="inlineStr">
        <is>
          <t>id_punto</t>
        </is>
      </c>
      <c r="B52" s="22" t="inlineStr">
        <is>
          <t>P_alta [kPa]</t>
        </is>
      </c>
      <c r="C52" s="22" t="inlineStr">
        <is>
          <t>Clase</t>
        </is>
      </c>
      <c r="D52" s="22" t="inlineStr">
        <is>
          <t>η [%]</t>
        </is>
      </c>
      <c r="E52" s="22" t="inlineStr">
        <is>
          <t>W_net [kW] (m_b = 1 kg/s)</t>
        </is>
      </c>
      <c r="F52" s="22" t="inlineStr">
        <is>
          <t>ΔP [kPa]</t>
        </is>
      </c>
      <c r="G52" s="22" t="inlineStr">
        <is>
          <t>r_P [–]</t>
        </is>
      </c>
      <c r="H52" s="22" t="inlineStr">
        <is>
          <t>Fuera de rango</t>
        </is>
      </c>
      <c r="I52" s="22" t="inlineStr">
        <is>
          <t>Criterios que falla</t>
        </is>
      </c>
      <c r="J52" s="22" t="inlineStr">
        <is>
          <t>Tipo de punto</t>
        </is>
      </c>
    </row>
    <row r="53">
      <c r="A53" s="16" t="inlineStr">
        <is>
          <t>KF-M02-N1-0000</t>
        </is>
      </c>
      <c r="B53" s="36" t="n">
        <v>1000</v>
      </c>
      <c r="C53" s="32" t="inlineStr">
        <is>
          <t>No convergió</t>
        </is>
      </c>
      <c r="D53" s="29" t="inlineStr">
        <is>
          <t>—</t>
        </is>
      </c>
      <c r="E53" s="35" t="inlineStr">
        <is>
          <t>—</t>
        </is>
      </c>
      <c r="F53" s="36" t="n">
        <v>600</v>
      </c>
      <c r="G53" s="29" t="n">
        <v>2.5</v>
      </c>
      <c r="H53" s="16" t="inlineStr">
        <is>
          <t>no</t>
        </is>
      </c>
      <c r="I53" s="16" t="n"/>
      <c r="J53" s="16" t="inlineStr">
        <is>
          <t>malla</t>
        </is>
      </c>
    </row>
    <row r="54">
      <c r="A54" s="16" t="inlineStr">
        <is>
          <t>KF-M02-N1-0002</t>
        </is>
      </c>
      <c r="B54" s="36" t="n">
        <v>2000</v>
      </c>
      <c r="C54" s="32" t="inlineStr">
        <is>
          <t>No convergió</t>
        </is>
      </c>
      <c r="D54" s="29" t="inlineStr">
        <is>
          <t>—</t>
        </is>
      </c>
      <c r="E54" s="35" t="inlineStr">
        <is>
          <t>—</t>
        </is>
      </c>
      <c r="F54" s="36" t="n">
        <v>1600</v>
      </c>
      <c r="G54" s="29" t="n">
        <v>5</v>
      </c>
      <c r="H54" s="16" t="inlineStr">
        <is>
          <t>no</t>
        </is>
      </c>
      <c r="I54" s="16" t="n"/>
      <c r="J54" s="16" t="inlineStr">
        <is>
          <t>malla</t>
        </is>
      </c>
    </row>
    <row r="55">
      <c r="A55" s="16" t="inlineStr">
        <is>
          <t>KF-M02-N1-0001</t>
        </is>
      </c>
      <c r="B55" s="36" t="n">
        <v>3000</v>
      </c>
      <c r="C55" s="32" t="inlineStr">
        <is>
          <t>No convergió</t>
        </is>
      </c>
      <c r="D55" s="29" t="inlineStr">
        <is>
          <t>—</t>
        </is>
      </c>
      <c r="E55" s="35" t="inlineStr">
        <is>
          <t>—</t>
        </is>
      </c>
      <c r="F55" s="36" t="n">
        <v>2600</v>
      </c>
      <c r="G55" s="29" t="n">
        <v>7.5</v>
      </c>
      <c r="H55" s="16" t="inlineStr">
        <is>
          <t>no</t>
        </is>
      </c>
      <c r="I55" s="16" t="n"/>
      <c r="J55" s="16" t="inlineStr">
        <is>
          <t>malla</t>
        </is>
      </c>
    </row>
    <row r="56">
      <c r="A56" s="16" t="inlineStr">
        <is>
          <t>KF-M02-N1-0004</t>
        </is>
      </c>
      <c r="B56" s="36" t="n">
        <v>4000</v>
      </c>
      <c r="C56" s="32" t="inlineStr">
        <is>
          <t>No convergió</t>
        </is>
      </c>
      <c r="D56" s="29" t="inlineStr">
        <is>
          <t>—</t>
        </is>
      </c>
      <c r="E56" s="35" t="inlineStr">
        <is>
          <t>—</t>
        </is>
      </c>
      <c r="F56" s="36" t="n">
        <v>3600</v>
      </c>
      <c r="G56" s="29" t="n">
        <v>10</v>
      </c>
      <c r="H56" s="16" t="inlineStr">
        <is>
          <t>no</t>
        </is>
      </c>
      <c r="I56" s="16" t="n"/>
      <c r="J56" s="16" t="inlineStr">
        <is>
          <t>malla</t>
        </is>
      </c>
    </row>
    <row r="57">
      <c r="A57" s="16" t="inlineStr">
        <is>
          <t>KF-M02-N1-0003</t>
        </is>
      </c>
      <c r="B57" s="36" t="n">
        <v>5000</v>
      </c>
      <c r="C57" s="32" t="inlineStr">
        <is>
          <t>No convergió</t>
        </is>
      </c>
      <c r="D57" s="29" t="inlineStr">
        <is>
          <t>—</t>
        </is>
      </c>
      <c r="E57" s="35" t="inlineStr">
        <is>
          <t>—</t>
        </is>
      </c>
      <c r="F57" s="36" t="n">
        <v>4600</v>
      </c>
      <c r="G57" s="29" t="n">
        <v>12.5</v>
      </c>
      <c r="H57" s="16" t="inlineStr">
        <is>
          <t>no</t>
        </is>
      </c>
      <c r="I57" s="16" t="n"/>
      <c r="J57" s="16" t="inlineStr">
        <is>
          <t>malla</t>
        </is>
      </c>
    </row>
    <row r="58">
      <c r="A58" s="16" t="inlineStr">
        <is>
          <t>KF-M02-N1-0107</t>
        </is>
      </c>
      <c r="B58" s="36" t="n">
        <v>5250</v>
      </c>
      <c r="C58" s="32" t="inlineStr">
        <is>
          <t>No convergió</t>
        </is>
      </c>
      <c r="D58" s="29" t="inlineStr">
        <is>
          <t>—</t>
        </is>
      </c>
      <c r="E58" s="35" t="inlineStr">
        <is>
          <t>—</t>
        </is>
      </c>
      <c r="F58" s="36" t="n">
        <v>4850</v>
      </c>
      <c r="G58" s="29" t="n">
        <v>13.125</v>
      </c>
      <c r="H58" s="16" t="inlineStr">
        <is>
          <t>no</t>
        </is>
      </c>
      <c r="I58" s="16" t="n"/>
      <c r="J58" s="16" t="inlineStr">
        <is>
          <t>bisección</t>
        </is>
      </c>
    </row>
    <row r="59">
      <c r="A59" s="16" t="inlineStr">
        <is>
          <t>KF-M02-N1-0115</t>
        </is>
      </c>
      <c r="B59" s="36" t="n">
        <v>5375</v>
      </c>
      <c r="C59" s="32" t="inlineStr">
        <is>
          <t>No convergió</t>
        </is>
      </c>
      <c r="D59" s="29" t="inlineStr">
        <is>
          <t>—</t>
        </is>
      </c>
      <c r="E59" s="35" t="inlineStr">
        <is>
          <t>—</t>
        </is>
      </c>
      <c r="F59" s="36" t="n">
        <v>4975</v>
      </c>
      <c r="G59" s="29" t="n">
        <v>13.4375</v>
      </c>
      <c r="H59" s="16" t="inlineStr">
        <is>
          <t>no</t>
        </is>
      </c>
      <c r="I59" s="16" t="n"/>
      <c r="J59" s="16" t="inlineStr">
        <is>
          <t>bisección</t>
        </is>
      </c>
    </row>
    <row r="60">
      <c r="A60" s="16" t="inlineStr">
        <is>
          <t>KF-M02-N1-0122</t>
        </is>
      </c>
      <c r="B60" s="36" t="n">
        <v>5406.25</v>
      </c>
      <c r="C60" s="32" t="inlineStr">
        <is>
          <t>No convergió</t>
        </is>
      </c>
      <c r="D60" s="29" t="inlineStr">
        <is>
          <t>—</t>
        </is>
      </c>
      <c r="E60" s="35" t="inlineStr">
        <is>
          <t>—</t>
        </is>
      </c>
      <c r="F60" s="36" t="n">
        <v>5006.25</v>
      </c>
      <c r="G60" s="29" t="n">
        <v>13.515625</v>
      </c>
      <c r="H60" s="16" t="inlineStr">
        <is>
          <t>no</t>
        </is>
      </c>
      <c r="I60" s="16" t="n"/>
      <c r="J60" s="16" t="inlineStr">
        <is>
          <t>bisección</t>
        </is>
      </c>
    </row>
    <row r="61">
      <c r="A61" s="16" t="inlineStr">
        <is>
          <t>KF-M02-N1-0130</t>
        </is>
      </c>
      <c r="B61" s="36" t="n">
        <v>5414.0625</v>
      </c>
      <c r="C61" s="38" t="inlineStr">
        <is>
          <t>Falso convergido</t>
        </is>
      </c>
      <c r="D61" s="29" t="inlineStr">
        <is>
          <t>—</t>
        </is>
      </c>
      <c r="E61" s="35" t="inlineStr">
        <is>
          <t>—</t>
        </is>
      </c>
      <c r="F61" s="36" t="n">
        <v>5014.0625</v>
      </c>
      <c r="G61" s="29" t="n">
        <v>13.53515625</v>
      </c>
      <c r="H61" s="16" t="inlineStr">
        <is>
          <t>sí</t>
        </is>
      </c>
      <c r="I61" s="16" t="inlineStr">
        <is>
          <t>N2,O1,O2,O5,C1,C3,C3</t>
        </is>
      </c>
      <c r="J61" s="16" t="inlineStr">
        <is>
          <t>bisección</t>
        </is>
      </c>
    </row>
    <row r="62">
      <c r="A62" s="16" t="inlineStr">
        <is>
          <t>KF-M02-N1-0128</t>
        </is>
      </c>
      <c r="B62" s="36" t="n">
        <v>5421.875</v>
      </c>
      <c r="C62" s="38" t="inlineStr">
        <is>
          <t>Falso convergido</t>
        </is>
      </c>
      <c r="D62" s="29" t="inlineStr">
        <is>
          <t>—</t>
        </is>
      </c>
      <c r="E62" s="35" t="inlineStr">
        <is>
          <t>—</t>
        </is>
      </c>
      <c r="F62" s="36" t="n">
        <v>5021.875</v>
      </c>
      <c r="G62" s="29" t="n">
        <v>13.5546875</v>
      </c>
      <c r="H62" s="16" t="inlineStr">
        <is>
          <t>sí</t>
        </is>
      </c>
      <c r="I62" s="16" t="inlineStr">
        <is>
          <t>N2,O1,O2,O5,C1,C3,C3</t>
        </is>
      </c>
      <c r="J62" s="16" t="inlineStr">
        <is>
          <t>bisección</t>
        </is>
      </c>
    </row>
    <row r="63">
      <c r="A63" s="16" t="inlineStr">
        <is>
          <t>KF-M02-N1-0118</t>
        </is>
      </c>
      <c r="B63" s="36" t="n">
        <v>5437.5</v>
      </c>
      <c r="C63" s="38" t="inlineStr">
        <is>
          <t>Falso convergido</t>
        </is>
      </c>
      <c r="D63" s="29" t="inlineStr">
        <is>
          <t>—</t>
        </is>
      </c>
      <c r="E63" s="35" t="inlineStr">
        <is>
          <t>—</t>
        </is>
      </c>
      <c r="F63" s="36" t="n">
        <v>5037.5</v>
      </c>
      <c r="G63" s="29" t="n">
        <v>13.59375</v>
      </c>
      <c r="H63" s="16" t="inlineStr">
        <is>
          <t>sí</t>
        </is>
      </c>
      <c r="I63" s="16" t="inlineStr">
        <is>
          <t>N2,O1,O2,O5,C1,C3,C3</t>
        </is>
      </c>
      <c r="J63" s="16" t="inlineStr">
        <is>
          <t>bisección</t>
        </is>
      </c>
    </row>
    <row r="64">
      <c r="A64" s="16" t="inlineStr">
        <is>
          <t>KF-M02-N1-0103</t>
        </is>
      </c>
      <c r="B64" s="36" t="n">
        <v>5500</v>
      </c>
      <c r="C64" s="38" t="inlineStr">
        <is>
          <t>Falso convergido</t>
        </is>
      </c>
      <c r="D64" s="29" t="inlineStr">
        <is>
          <t>—</t>
        </is>
      </c>
      <c r="E64" s="35" t="inlineStr">
        <is>
          <t>—</t>
        </is>
      </c>
      <c r="F64" s="36" t="n">
        <v>5100</v>
      </c>
      <c r="G64" s="29" t="n">
        <v>13.75</v>
      </c>
      <c r="H64" s="16" t="inlineStr">
        <is>
          <t>sí</t>
        </is>
      </c>
      <c r="I64" s="16" t="inlineStr">
        <is>
          <t>N2,O1,O2,O5,C1,C3,C3</t>
        </is>
      </c>
      <c r="J64" s="16" t="inlineStr">
        <is>
          <t>bisección</t>
        </is>
      </c>
    </row>
    <row r="65">
      <c r="A65" s="16" t="inlineStr">
        <is>
          <t>KF-M02-N1-0005</t>
        </is>
      </c>
      <c r="B65" s="36" t="n">
        <v>6000</v>
      </c>
      <c r="C65" s="38" t="inlineStr">
        <is>
          <t>Falso convergido</t>
        </is>
      </c>
      <c r="D65" s="29" t="inlineStr">
        <is>
          <t>—</t>
        </is>
      </c>
      <c r="E65" s="35" t="inlineStr">
        <is>
          <t>—</t>
        </is>
      </c>
      <c r="F65" s="36" t="n">
        <v>5600</v>
      </c>
      <c r="G65" s="29" t="n">
        <v>15</v>
      </c>
      <c r="H65" s="16" t="inlineStr">
        <is>
          <t>sí</t>
        </is>
      </c>
      <c r="I65" s="16" t="inlineStr">
        <is>
          <t>N2,O1,O2,O5,C1,C3,C3</t>
        </is>
      </c>
      <c r="J65" s="16" t="inlineStr">
        <is>
          <t>malla</t>
        </is>
      </c>
    </row>
    <row r="66">
      <c r="A66" s="16" t="inlineStr">
        <is>
          <t>KF-M02-N1-0008</t>
        </is>
      </c>
      <c r="B66" s="36" t="n">
        <v>7000</v>
      </c>
      <c r="C66" s="38" t="inlineStr">
        <is>
          <t>Falso convergido</t>
        </is>
      </c>
      <c r="D66" s="29" t="inlineStr">
        <is>
          <t>—</t>
        </is>
      </c>
      <c r="E66" s="35" t="inlineStr">
        <is>
          <t>—</t>
        </is>
      </c>
      <c r="F66" s="36" t="n">
        <v>6600</v>
      </c>
      <c r="G66" s="29" t="n">
        <v>17.5</v>
      </c>
      <c r="H66" s="16" t="inlineStr">
        <is>
          <t>sí</t>
        </is>
      </c>
      <c r="I66" s="16" t="inlineStr">
        <is>
          <t>N2,O1,O2,O5,C1,C3,C3</t>
        </is>
      </c>
      <c r="J66" s="16" t="inlineStr">
        <is>
          <t>malla</t>
        </is>
      </c>
    </row>
    <row r="67">
      <c r="A67" s="16" t="inlineStr">
        <is>
          <t>KF-M02-N1-0013</t>
        </is>
      </c>
      <c r="B67" s="36" t="n">
        <v>8000</v>
      </c>
      <c r="C67" s="38" t="inlineStr">
        <is>
          <t>Falso convergido</t>
        </is>
      </c>
      <c r="D67" s="29" t="inlineStr">
        <is>
          <t>—</t>
        </is>
      </c>
      <c r="E67" s="35" t="inlineStr">
        <is>
          <t>—</t>
        </is>
      </c>
      <c r="F67" s="36" t="n">
        <v>7600</v>
      </c>
      <c r="G67" s="29" t="n">
        <v>20</v>
      </c>
      <c r="H67" s="16" t="inlineStr">
        <is>
          <t>sí</t>
        </is>
      </c>
      <c r="I67" s="16" t="inlineStr">
        <is>
          <t>N2,O1,O2,O5,C1,C3,C3</t>
        </is>
      </c>
      <c r="J67" s="16" t="inlineStr">
        <is>
          <t>malla</t>
        </is>
      </c>
    </row>
    <row r="68">
      <c r="A68" s="16" t="inlineStr">
        <is>
          <t>KF-M02-N1-0010</t>
        </is>
      </c>
      <c r="B68" s="36" t="n">
        <v>9000</v>
      </c>
      <c r="C68" s="38" t="inlineStr">
        <is>
          <t>Falso convergido</t>
        </is>
      </c>
      <c r="D68" s="29" t="inlineStr">
        <is>
          <t>—</t>
        </is>
      </c>
      <c r="E68" s="35" t="inlineStr">
        <is>
          <t>—</t>
        </is>
      </c>
      <c r="F68" s="36" t="n">
        <v>8600</v>
      </c>
      <c r="G68" s="29" t="n">
        <v>22.5</v>
      </c>
      <c r="H68" s="16" t="inlineStr">
        <is>
          <t>sí</t>
        </is>
      </c>
      <c r="I68" s="16" t="inlineStr">
        <is>
          <t>N2,O1,O2,O5,C1,C3,C3</t>
        </is>
      </c>
      <c r="J68" s="16" t="inlineStr">
        <is>
          <t>malla</t>
        </is>
      </c>
    </row>
    <row r="69">
      <c r="A69" s="16" t="inlineStr">
        <is>
          <t>KF-M02-N1-0104</t>
        </is>
      </c>
      <c r="B69" s="36" t="n">
        <v>9500</v>
      </c>
      <c r="C69" s="38" t="inlineStr">
        <is>
          <t>Falso convergido</t>
        </is>
      </c>
      <c r="D69" s="29" t="inlineStr">
        <is>
          <t>—</t>
        </is>
      </c>
      <c r="E69" s="35" t="inlineStr">
        <is>
          <t>—</t>
        </is>
      </c>
      <c r="F69" s="36" t="n">
        <v>9100</v>
      </c>
      <c r="G69" s="29" t="n">
        <v>23.75</v>
      </c>
      <c r="H69" s="16" t="inlineStr">
        <is>
          <t>sí</t>
        </is>
      </c>
      <c r="I69" s="16" t="inlineStr">
        <is>
          <t>N2,O1,O2,O5,C1,C3,C3</t>
        </is>
      </c>
      <c r="J69" s="16" t="inlineStr">
        <is>
          <t>bisección</t>
        </is>
      </c>
    </row>
    <row r="70">
      <c r="A70" s="16" t="inlineStr">
        <is>
          <t>KF-M02-N1-0120</t>
        </is>
      </c>
      <c r="B70" s="36" t="n">
        <v>9562.5</v>
      </c>
      <c r="C70" s="38" t="inlineStr">
        <is>
          <t>Falso convergido</t>
        </is>
      </c>
      <c r="D70" s="29" t="inlineStr">
        <is>
          <t>—</t>
        </is>
      </c>
      <c r="E70" s="35" t="inlineStr">
        <is>
          <t>—</t>
        </is>
      </c>
      <c r="F70" s="36" t="n">
        <v>9162.5</v>
      </c>
      <c r="G70" s="29" t="n">
        <v>23.90625</v>
      </c>
      <c r="H70" s="16" t="inlineStr">
        <is>
          <t>sí</t>
        </is>
      </c>
      <c r="I70" s="16" t="inlineStr">
        <is>
          <t>N2,O1,O2,O5,C1,C3,C3</t>
        </is>
      </c>
      <c r="J70" s="16" t="inlineStr">
        <is>
          <t>bisección</t>
        </is>
      </c>
    </row>
    <row r="71">
      <c r="A71" s="16" t="inlineStr">
        <is>
          <t>KF-M02-N1-0125</t>
        </is>
      </c>
      <c r="B71" s="36" t="n">
        <v>9593.75</v>
      </c>
      <c r="C71" s="38" t="inlineStr">
        <is>
          <t>Falso convergido</t>
        </is>
      </c>
      <c r="D71" s="29" t="inlineStr">
        <is>
          <t>—</t>
        </is>
      </c>
      <c r="E71" s="35" t="inlineStr">
        <is>
          <t>—</t>
        </is>
      </c>
      <c r="F71" s="36" t="n">
        <v>9193.75</v>
      </c>
      <c r="G71" s="29" t="n">
        <v>23.984375</v>
      </c>
      <c r="H71" s="16" t="inlineStr">
        <is>
          <t>sí</t>
        </is>
      </c>
      <c r="I71" s="16" t="inlineStr">
        <is>
          <t>N2,O1,O2,O5,C1,C3,C3</t>
        </is>
      </c>
      <c r="J71" s="16" t="inlineStr">
        <is>
          <t>bisección</t>
        </is>
      </c>
    </row>
    <row r="72">
      <c r="A72" s="16" t="inlineStr">
        <is>
          <t>KF-M02-N1-0129</t>
        </is>
      </c>
      <c r="B72" s="36" t="n">
        <v>9609.375</v>
      </c>
      <c r="C72" s="38" t="inlineStr">
        <is>
          <t>Falso convergido</t>
        </is>
      </c>
      <c r="D72" s="29" t="inlineStr">
        <is>
          <t>—</t>
        </is>
      </c>
      <c r="E72" s="35" t="inlineStr">
        <is>
          <t>—</t>
        </is>
      </c>
      <c r="F72" s="36" t="n">
        <v>9209.375</v>
      </c>
      <c r="G72" s="29" t="n">
        <v>24.0234375</v>
      </c>
      <c r="H72" s="16" t="inlineStr">
        <is>
          <t>sí</t>
        </is>
      </c>
      <c r="I72" s="16" t="inlineStr">
        <is>
          <t>N2,O1,O2,O5,C1,C3,C3</t>
        </is>
      </c>
      <c r="J72" s="16" t="inlineStr">
        <is>
          <t>bisección</t>
        </is>
      </c>
    </row>
    <row r="73">
      <c r="A73" s="16" t="inlineStr">
        <is>
          <t>KF-M02-N1-0131</t>
        </is>
      </c>
      <c r="B73" s="36" t="n">
        <v>9617.1875</v>
      </c>
      <c r="C73" s="38" t="inlineStr">
        <is>
          <t>Falso convergido</t>
        </is>
      </c>
      <c r="D73" s="29" t="inlineStr">
        <is>
          <t>—</t>
        </is>
      </c>
      <c r="E73" s="35" t="inlineStr">
        <is>
          <t>—</t>
        </is>
      </c>
      <c r="F73" s="36" t="n">
        <v>9217.1875</v>
      </c>
      <c r="G73" s="29" t="n">
        <v>24.04296875</v>
      </c>
      <c r="H73" s="16" t="inlineStr">
        <is>
          <t>sí</t>
        </is>
      </c>
      <c r="I73" s="16" t="inlineStr">
        <is>
          <t>N2,O1,O2,O5,C1,C3,C3</t>
        </is>
      </c>
      <c r="J73" s="16" t="inlineStr">
        <is>
          <t>bisección</t>
        </is>
      </c>
    </row>
    <row r="74">
      <c r="A74" s="16" t="inlineStr">
        <is>
          <t>KF-M02-N1-0116</t>
        </is>
      </c>
      <c r="B74" s="36" t="n">
        <v>9625</v>
      </c>
      <c r="C74" s="32" t="inlineStr">
        <is>
          <t>No convergió</t>
        </is>
      </c>
      <c r="D74" s="29" t="inlineStr">
        <is>
          <t>—</t>
        </is>
      </c>
      <c r="E74" s="35" t="inlineStr">
        <is>
          <t>—</t>
        </is>
      </c>
      <c r="F74" s="36" t="n">
        <v>9225</v>
      </c>
      <c r="G74" s="29" t="n">
        <v>24.0625</v>
      </c>
      <c r="H74" s="16" t="inlineStr">
        <is>
          <t>no</t>
        </is>
      </c>
      <c r="I74" s="16" t="n"/>
      <c r="J74" s="16" t="inlineStr">
        <is>
          <t>bisección</t>
        </is>
      </c>
    </row>
    <row r="75">
      <c r="A75" s="16" t="inlineStr">
        <is>
          <t>KF-M02-N1-0110</t>
        </is>
      </c>
      <c r="B75" s="36" t="n">
        <v>9750</v>
      </c>
      <c r="C75" s="32" t="inlineStr">
        <is>
          <t>No convergió</t>
        </is>
      </c>
      <c r="D75" s="29" t="inlineStr">
        <is>
          <t>—</t>
        </is>
      </c>
      <c r="E75" s="35" t="inlineStr">
        <is>
          <t>—</t>
        </is>
      </c>
      <c r="F75" s="36" t="n">
        <v>9350</v>
      </c>
      <c r="G75" s="29" t="n">
        <v>24.375</v>
      </c>
      <c r="H75" s="16" t="inlineStr">
        <is>
          <t>no</t>
        </is>
      </c>
      <c r="I75" s="16" t="n"/>
      <c r="J75" s="16" t="inlineStr">
        <is>
          <t>bisección</t>
        </is>
      </c>
    </row>
    <row r="76">
      <c r="A76" s="16" t="inlineStr">
        <is>
          <t>KF-M02-N1-0007</t>
        </is>
      </c>
      <c r="B76" s="36" t="n">
        <v>10000</v>
      </c>
      <c r="C76" s="32" t="inlineStr">
        <is>
          <t>No convergió</t>
        </is>
      </c>
      <c r="D76" s="29" t="inlineStr">
        <is>
          <t>—</t>
        </is>
      </c>
      <c r="E76" s="35" t="inlineStr">
        <is>
          <t>—</t>
        </is>
      </c>
      <c r="F76" s="36" t="n">
        <v>9600</v>
      </c>
      <c r="G76" s="29" t="n">
        <v>25</v>
      </c>
      <c r="H76" s="16" t="inlineStr">
        <is>
          <t>no</t>
        </is>
      </c>
      <c r="I76" s="16" t="n"/>
      <c r="J76" s="16" t="inlineStr">
        <is>
          <t>malla</t>
        </is>
      </c>
    </row>
    <row r="77"/>
    <row r="78">
      <c r="A78" s="34" t="inlineStr">
        <is>
          <t>Barrido de P_baja [kPa] · 10 puntos</t>
        </is>
      </c>
    </row>
    <row r="79">
      <c r="A79" s="25" t="inlineStr">
        <is>
          <t>Fijos en este barrido: T_fuente = 623.15, T_sumidero = 300.03, P_alta = 3000, x_b = 0.5, η_t = 0.85, η_p = 0.75, ε_HRVG = 0.85, ε_reg = 0.75, ε_cond = 0.8.</t>
        </is>
      </c>
    </row>
    <row r="80">
      <c r="A80" s="22" t="inlineStr">
        <is>
          <t>id_punto</t>
        </is>
      </c>
      <c r="B80" s="22" t="inlineStr">
        <is>
          <t>P_baja [kPa]</t>
        </is>
      </c>
      <c r="C80" s="22" t="inlineStr">
        <is>
          <t>Clase</t>
        </is>
      </c>
      <c r="D80" s="22" t="inlineStr">
        <is>
          <t>η [%]</t>
        </is>
      </c>
      <c r="E80" s="22" t="inlineStr">
        <is>
          <t>W_net [kW] (m_b = 1 kg/s)</t>
        </is>
      </c>
      <c r="F80" s="22" t="inlineStr">
        <is>
          <t>ΔP [kPa]</t>
        </is>
      </c>
      <c r="G80" s="22" t="inlineStr">
        <is>
          <t>r_P [–]</t>
        </is>
      </c>
      <c r="H80" s="22" t="inlineStr">
        <is>
          <t>Fuera de rango</t>
        </is>
      </c>
    </row>
    <row r="81">
      <c r="A81" s="16" t="inlineStr">
        <is>
          <t>KF-M02-N1-0006</t>
        </is>
      </c>
      <c r="B81" s="35" t="n">
        <v>150</v>
      </c>
      <c r="C81" s="32" t="inlineStr">
        <is>
          <t>No convergió</t>
        </is>
      </c>
      <c r="D81" s="29" t="inlineStr">
        <is>
          <t>—</t>
        </is>
      </c>
      <c r="E81" s="35" t="inlineStr">
        <is>
          <t>—</t>
        </is>
      </c>
      <c r="F81" s="36" t="n">
        <v>2850</v>
      </c>
      <c r="G81" s="29" t="n">
        <v>20</v>
      </c>
      <c r="H81" s="16" t="inlineStr">
        <is>
          <t>no</t>
        </is>
      </c>
    </row>
    <row r="82">
      <c r="A82" s="16" t="inlineStr">
        <is>
          <t>KF-M02-N1-0009</t>
        </is>
      </c>
      <c r="B82" s="35" t="n">
        <v>300</v>
      </c>
      <c r="C82" s="32" t="inlineStr">
        <is>
          <t>No convergió</t>
        </is>
      </c>
      <c r="D82" s="29" t="inlineStr">
        <is>
          <t>—</t>
        </is>
      </c>
      <c r="E82" s="35" t="inlineStr">
        <is>
          <t>—</t>
        </is>
      </c>
      <c r="F82" s="36" t="n">
        <v>2700</v>
      </c>
      <c r="G82" s="29" t="n">
        <v>10</v>
      </c>
      <c r="H82" s="16" t="inlineStr">
        <is>
          <t>no</t>
        </is>
      </c>
    </row>
    <row r="83">
      <c r="A83" s="16" t="inlineStr">
        <is>
          <t>KF-M02-N1-0011</t>
        </is>
      </c>
      <c r="B83" s="35" t="n">
        <v>450</v>
      </c>
      <c r="C83" s="32" t="inlineStr">
        <is>
          <t>No convergió</t>
        </is>
      </c>
      <c r="D83" s="29" t="inlineStr">
        <is>
          <t>—</t>
        </is>
      </c>
      <c r="E83" s="35" t="inlineStr">
        <is>
          <t>—</t>
        </is>
      </c>
      <c r="F83" s="36" t="n">
        <v>2550</v>
      </c>
      <c r="G83" s="29" t="n">
        <v>6.666666666666667</v>
      </c>
      <c r="H83" s="16" t="inlineStr">
        <is>
          <t>no</t>
        </is>
      </c>
    </row>
    <row r="84">
      <c r="A84" s="16" t="inlineStr">
        <is>
          <t>KF-M02-N1-0012</t>
        </is>
      </c>
      <c r="B84" s="35" t="n">
        <v>600</v>
      </c>
      <c r="C84" s="32" t="inlineStr">
        <is>
          <t>No convergió</t>
        </is>
      </c>
      <c r="D84" s="29" t="inlineStr">
        <is>
          <t>—</t>
        </is>
      </c>
      <c r="E84" s="35" t="inlineStr">
        <is>
          <t>—</t>
        </is>
      </c>
      <c r="F84" s="36" t="n">
        <v>2400</v>
      </c>
      <c r="G84" s="29" t="n">
        <v>5</v>
      </c>
      <c r="H84" s="16" t="inlineStr">
        <is>
          <t>no</t>
        </is>
      </c>
    </row>
    <row r="85">
      <c r="A85" s="16" t="inlineStr">
        <is>
          <t>KF-M02-N1-0016</t>
        </is>
      </c>
      <c r="B85" s="35" t="n">
        <v>750</v>
      </c>
      <c r="C85" s="32" t="inlineStr">
        <is>
          <t>No convergió</t>
        </is>
      </c>
      <c r="D85" s="29" t="inlineStr">
        <is>
          <t>—</t>
        </is>
      </c>
      <c r="E85" s="35" t="inlineStr">
        <is>
          <t>—</t>
        </is>
      </c>
      <c r="F85" s="36" t="n">
        <v>2250</v>
      </c>
      <c r="G85" s="29" t="n">
        <v>4</v>
      </c>
      <c r="H85" s="16" t="inlineStr">
        <is>
          <t>no</t>
        </is>
      </c>
    </row>
    <row r="86">
      <c r="A86" s="16" t="inlineStr">
        <is>
          <t>KF-M02-N1-0017</t>
        </is>
      </c>
      <c r="B86" s="35" t="n">
        <v>900</v>
      </c>
      <c r="C86" s="32" t="inlineStr">
        <is>
          <t>No convergió</t>
        </is>
      </c>
      <c r="D86" s="29" t="inlineStr">
        <is>
          <t>—</t>
        </is>
      </c>
      <c r="E86" s="35" t="inlineStr">
        <is>
          <t>—</t>
        </is>
      </c>
      <c r="F86" s="36" t="n">
        <v>2100</v>
      </c>
      <c r="G86" s="29" t="n">
        <v>3.333333333333333</v>
      </c>
      <c r="H86" s="16" t="inlineStr">
        <is>
          <t>no</t>
        </is>
      </c>
    </row>
    <row r="87">
      <c r="A87" s="16" t="inlineStr">
        <is>
          <t>KF-M02-N1-0015</t>
        </is>
      </c>
      <c r="B87" s="35" t="n">
        <v>1050</v>
      </c>
      <c r="C87" s="32" t="inlineStr">
        <is>
          <t>No convergió</t>
        </is>
      </c>
      <c r="D87" s="29" t="inlineStr">
        <is>
          <t>—</t>
        </is>
      </c>
      <c r="E87" s="35" t="inlineStr">
        <is>
          <t>—</t>
        </is>
      </c>
      <c r="F87" s="36" t="n">
        <v>1950</v>
      </c>
      <c r="G87" s="29" t="n">
        <v>2.857142857142857</v>
      </c>
      <c r="H87" s="16" t="inlineStr">
        <is>
          <t>no</t>
        </is>
      </c>
    </row>
    <row r="88">
      <c r="A88" s="16" t="inlineStr">
        <is>
          <t>KF-M02-N1-0014</t>
        </is>
      </c>
      <c r="B88" s="35" t="n">
        <v>1200</v>
      </c>
      <c r="C88" s="32" t="inlineStr">
        <is>
          <t>No convergió</t>
        </is>
      </c>
      <c r="D88" s="29" t="inlineStr">
        <is>
          <t>—</t>
        </is>
      </c>
      <c r="E88" s="35" t="inlineStr">
        <is>
          <t>—</t>
        </is>
      </c>
      <c r="F88" s="36" t="n">
        <v>1800</v>
      </c>
      <c r="G88" s="29" t="n">
        <v>2.5</v>
      </c>
      <c r="H88" s="16" t="inlineStr">
        <is>
          <t>no</t>
        </is>
      </c>
    </row>
    <row r="89">
      <c r="A89" s="16" t="inlineStr">
        <is>
          <t>KF-M02-N1-0018</t>
        </is>
      </c>
      <c r="B89" s="35" t="n">
        <v>1350</v>
      </c>
      <c r="C89" s="32" t="inlineStr">
        <is>
          <t>No convergió</t>
        </is>
      </c>
      <c r="D89" s="29" t="inlineStr">
        <is>
          <t>—</t>
        </is>
      </c>
      <c r="E89" s="35" t="inlineStr">
        <is>
          <t>—</t>
        </is>
      </c>
      <c r="F89" s="36" t="n">
        <v>1650</v>
      </c>
      <c r="G89" s="29" t="n">
        <v>2.222222222222222</v>
      </c>
      <c r="H89" s="16" t="inlineStr">
        <is>
          <t>no</t>
        </is>
      </c>
    </row>
    <row r="90">
      <c r="A90" s="16" t="inlineStr">
        <is>
          <t>KF-M02-N1-0020</t>
        </is>
      </c>
      <c r="B90" s="35" t="n">
        <v>1500</v>
      </c>
      <c r="C90" s="32" t="inlineStr">
        <is>
          <t>No convergió</t>
        </is>
      </c>
      <c r="D90" s="29" t="inlineStr">
        <is>
          <t>—</t>
        </is>
      </c>
      <c r="E90" s="35" t="inlineStr">
        <is>
          <t>—</t>
        </is>
      </c>
      <c r="F90" s="36" t="n">
        <v>1500</v>
      </c>
      <c r="G90" s="29" t="n">
        <v>2</v>
      </c>
      <c r="H90" s="16" t="inlineStr">
        <is>
          <t>no</t>
        </is>
      </c>
    </row>
    <row r="91"/>
    <row r="92">
      <c r="A92" s="34" t="inlineStr">
        <is>
          <t>Barrido de x_b [–] · 14 puntos</t>
        </is>
      </c>
    </row>
    <row r="93">
      <c r="A93" s="25" t="inlineStr">
        <is>
          <t>Fijos en este barrido: T_fuente = 623.15, T_sumidero = 300.03, P_alta = 3000, P_baja = 400, η_t = 0.85, η_p = 0.75, ε_HRVG = 0.85, ε_reg = 0.75, ε_cond = 0.8.</t>
        </is>
      </c>
    </row>
    <row r="94">
      <c r="A94" s="25" t="inlineStr">
        <is>
          <t>Tipos de punto: malla 10, bisección 4.</t>
        </is>
      </c>
    </row>
    <row r="95">
      <c r="A95" s="22" t="inlineStr">
        <is>
          <t>id_punto</t>
        </is>
      </c>
      <c r="B95" s="22" t="inlineStr">
        <is>
          <t>x_b [–]</t>
        </is>
      </c>
      <c r="C95" s="22" t="inlineStr">
        <is>
          <t>Clase</t>
        </is>
      </c>
      <c r="D95" s="22" t="inlineStr">
        <is>
          <t>η [%]</t>
        </is>
      </c>
      <c r="E95" s="22" t="inlineStr">
        <is>
          <t>W_net [kW] (m_b = 1 kg/s)</t>
        </is>
      </c>
      <c r="F95" s="22" t="inlineStr">
        <is>
          <t>ΔP [kPa]</t>
        </is>
      </c>
      <c r="G95" s="22" t="inlineStr">
        <is>
          <t>r_P [–]</t>
        </is>
      </c>
      <c r="H95" s="22" t="inlineStr">
        <is>
          <t>Fuera de rango</t>
        </is>
      </c>
      <c r="I95" s="22" t="inlineStr">
        <is>
          <t>Criterios que falla</t>
        </is>
      </c>
      <c r="J95" s="22" t="inlineStr">
        <is>
          <t>Tipo de punto</t>
        </is>
      </c>
    </row>
    <row r="96">
      <c r="A96" s="16" t="inlineStr">
        <is>
          <t>KF-M02-N1-0029</t>
        </is>
      </c>
      <c r="B96" s="37" t="n">
        <v>0.3</v>
      </c>
      <c r="C96" s="40" t="inlineStr">
        <is>
          <t>Inviable</t>
        </is>
      </c>
      <c r="D96" s="29" t="n">
        <v>13.51569257162524</v>
      </c>
      <c r="E96" s="35" t="n">
        <v>279.0640322008302</v>
      </c>
      <c r="F96" s="36" t="n">
        <v>2600</v>
      </c>
      <c r="G96" s="29" t="n">
        <v>7.5</v>
      </c>
      <c r="H96" s="16" t="inlineStr">
        <is>
          <t>sí</t>
        </is>
      </c>
      <c r="I96" s="16" t="inlineStr">
        <is>
          <t>O1,O2,O5</t>
        </is>
      </c>
      <c r="J96" s="16" t="inlineStr">
        <is>
          <t>malla</t>
        </is>
      </c>
    </row>
    <row r="97">
      <c r="A97" s="16" t="inlineStr">
        <is>
          <t>KF-M02-N1-0111</t>
        </is>
      </c>
      <c r="B97" s="37" t="n">
        <v>0.3166666666666666</v>
      </c>
      <c r="C97" s="38" t="inlineStr">
        <is>
          <t>Falso convergido</t>
        </is>
      </c>
      <c r="D97" s="29" t="inlineStr">
        <is>
          <t>—</t>
        </is>
      </c>
      <c r="E97" s="35" t="inlineStr">
        <is>
          <t>—</t>
        </is>
      </c>
      <c r="F97" s="36" t="n">
        <v>2600</v>
      </c>
      <c r="G97" s="29" t="n">
        <v>7.5</v>
      </c>
      <c r="H97" s="16" t="inlineStr">
        <is>
          <t>sí</t>
        </is>
      </c>
      <c r="I97" s="16" t="inlineStr">
        <is>
          <t>N2,O1,O2,O5,C1,C3,C3</t>
        </is>
      </c>
      <c r="J97" s="16" t="inlineStr">
        <is>
          <t>bisección</t>
        </is>
      </c>
    </row>
    <row r="98">
      <c r="A98" s="16" t="inlineStr">
        <is>
          <t>KF-M02-N1-0121</t>
        </is>
      </c>
      <c r="B98" s="37" t="n">
        <v>0.3208333333333333</v>
      </c>
      <c r="C98" s="32" t="inlineStr">
        <is>
          <t>No convergió</t>
        </is>
      </c>
      <c r="D98" s="29" t="inlineStr">
        <is>
          <t>—</t>
        </is>
      </c>
      <c r="E98" s="35" t="inlineStr">
        <is>
          <t>—</t>
        </is>
      </c>
      <c r="F98" s="36" t="n">
        <v>2600</v>
      </c>
      <c r="G98" s="29" t="n">
        <v>7.5</v>
      </c>
      <c r="H98" s="16" t="inlineStr">
        <is>
          <t>no</t>
        </is>
      </c>
      <c r="I98" s="16" t="n"/>
      <c r="J98" s="16" t="inlineStr">
        <is>
          <t>bisección</t>
        </is>
      </c>
    </row>
    <row r="99">
      <c r="A99" s="16" t="inlineStr">
        <is>
          <t>KF-M02-N1-0113</t>
        </is>
      </c>
      <c r="B99" s="37" t="n">
        <v>0.325</v>
      </c>
      <c r="C99" s="32" t="inlineStr">
        <is>
          <t>No convergió</t>
        </is>
      </c>
      <c r="D99" s="29" t="inlineStr">
        <is>
          <t>—</t>
        </is>
      </c>
      <c r="E99" s="35" t="inlineStr">
        <is>
          <t>—</t>
        </is>
      </c>
      <c r="F99" s="36" t="n">
        <v>2600</v>
      </c>
      <c r="G99" s="29" t="n">
        <v>7.5</v>
      </c>
      <c r="H99" s="16" t="inlineStr">
        <is>
          <t>no</t>
        </is>
      </c>
      <c r="I99" s="16" t="n"/>
      <c r="J99" s="16" t="inlineStr">
        <is>
          <t>bisección</t>
        </is>
      </c>
    </row>
    <row r="100">
      <c r="A100" s="16" t="inlineStr">
        <is>
          <t>KF-M02-N1-0101</t>
        </is>
      </c>
      <c r="B100" s="37" t="n">
        <v>0.3333333333333333</v>
      </c>
      <c r="C100" s="32" t="inlineStr">
        <is>
          <t>No convergió</t>
        </is>
      </c>
      <c r="D100" s="29" t="inlineStr">
        <is>
          <t>—</t>
        </is>
      </c>
      <c r="E100" s="35" t="inlineStr">
        <is>
          <t>—</t>
        </is>
      </c>
      <c r="F100" s="36" t="n">
        <v>2600</v>
      </c>
      <c r="G100" s="29" t="n">
        <v>7.5</v>
      </c>
      <c r="H100" s="16" t="inlineStr">
        <is>
          <t>no</t>
        </is>
      </c>
      <c r="I100" s="16" t="n"/>
      <c r="J100" s="16" t="inlineStr">
        <is>
          <t>bisección</t>
        </is>
      </c>
    </row>
    <row r="101">
      <c r="A101" s="16" t="inlineStr">
        <is>
          <t>KF-M02-N1-0019</t>
        </is>
      </c>
      <c r="B101" s="37" t="n">
        <v>0.3666666666666667</v>
      </c>
      <c r="C101" s="32" t="inlineStr">
        <is>
          <t>No convergió</t>
        </is>
      </c>
      <c r="D101" s="29" t="inlineStr">
        <is>
          <t>—</t>
        </is>
      </c>
      <c r="E101" s="35" t="inlineStr">
        <is>
          <t>—</t>
        </is>
      </c>
      <c r="F101" s="36" t="n">
        <v>2600</v>
      </c>
      <c r="G101" s="29" t="n">
        <v>7.5</v>
      </c>
      <c r="H101" s="16" t="inlineStr">
        <is>
          <t>no</t>
        </is>
      </c>
      <c r="I101" s="16" t="n"/>
      <c r="J101" s="16" t="inlineStr">
        <is>
          <t>malla</t>
        </is>
      </c>
    </row>
    <row r="102">
      <c r="A102" s="16" t="inlineStr">
        <is>
          <t>KF-M02-N1-0022</t>
        </is>
      </c>
      <c r="B102" s="37" t="n">
        <v>0.4333333333333333</v>
      </c>
      <c r="C102" s="32" t="inlineStr">
        <is>
          <t>No convergió</t>
        </is>
      </c>
      <c r="D102" s="29" t="inlineStr">
        <is>
          <t>—</t>
        </is>
      </c>
      <c r="E102" s="35" t="inlineStr">
        <is>
          <t>—</t>
        </is>
      </c>
      <c r="F102" s="36" t="n">
        <v>2600</v>
      </c>
      <c r="G102" s="29" t="n">
        <v>7.5</v>
      </c>
      <c r="H102" s="16" t="inlineStr">
        <is>
          <t>no</t>
        </is>
      </c>
      <c r="I102" s="16" t="n"/>
      <c r="J102" s="16" t="inlineStr">
        <is>
          <t>malla</t>
        </is>
      </c>
    </row>
    <row r="103">
      <c r="A103" s="16" t="inlineStr">
        <is>
          <t>KF-M02-N1-0021</t>
        </is>
      </c>
      <c r="B103" s="37" t="n">
        <v>0.5</v>
      </c>
      <c r="C103" s="32" t="inlineStr">
        <is>
          <t>No convergió</t>
        </is>
      </c>
      <c r="D103" s="29" t="inlineStr">
        <is>
          <t>—</t>
        </is>
      </c>
      <c r="E103" s="35" t="inlineStr">
        <is>
          <t>—</t>
        </is>
      </c>
      <c r="F103" s="36" t="n">
        <v>2600</v>
      </c>
      <c r="G103" s="29" t="n">
        <v>7.5</v>
      </c>
      <c r="H103" s="16" t="inlineStr">
        <is>
          <t>no</t>
        </is>
      </c>
      <c r="I103" s="16" t="n"/>
      <c r="J103" s="16" t="inlineStr">
        <is>
          <t>malla</t>
        </is>
      </c>
    </row>
    <row r="104">
      <c r="A104" s="16" t="inlineStr">
        <is>
          <t>KF-M02-N1-0024</t>
        </is>
      </c>
      <c r="B104" s="37" t="n">
        <v>0.5666666666666667</v>
      </c>
      <c r="C104" s="32" t="inlineStr">
        <is>
          <t>No convergió</t>
        </is>
      </c>
      <c r="D104" s="29" t="inlineStr">
        <is>
          <t>—</t>
        </is>
      </c>
      <c r="E104" s="35" t="inlineStr">
        <is>
          <t>—</t>
        </is>
      </c>
      <c r="F104" s="36" t="n">
        <v>2600</v>
      </c>
      <c r="G104" s="29" t="n">
        <v>7.5</v>
      </c>
      <c r="H104" s="16" t="inlineStr">
        <is>
          <t>no</t>
        </is>
      </c>
      <c r="I104" s="16" t="n"/>
      <c r="J104" s="16" t="inlineStr">
        <is>
          <t>malla</t>
        </is>
      </c>
    </row>
    <row r="105">
      <c r="A105" s="16" t="inlineStr">
        <is>
          <t>KF-M02-N1-0023</t>
        </is>
      </c>
      <c r="B105" s="37" t="n">
        <v>0.6333333333333333</v>
      </c>
      <c r="C105" s="32" t="inlineStr">
        <is>
          <t>No convergió</t>
        </is>
      </c>
      <c r="D105" s="29" t="inlineStr">
        <is>
          <t>—</t>
        </is>
      </c>
      <c r="E105" s="35" t="inlineStr">
        <is>
          <t>—</t>
        </is>
      </c>
      <c r="F105" s="36" t="n">
        <v>2600</v>
      </c>
      <c r="G105" s="29" t="n">
        <v>7.5</v>
      </c>
      <c r="H105" s="16" t="inlineStr">
        <is>
          <t>no</t>
        </is>
      </c>
      <c r="I105" s="16" t="n"/>
      <c r="J105" s="16" t="inlineStr">
        <is>
          <t>malla</t>
        </is>
      </c>
    </row>
    <row r="106">
      <c r="A106" s="16" t="inlineStr">
        <is>
          <t>KF-M02-N1-0025</t>
        </is>
      </c>
      <c r="B106" s="37" t="n">
        <v>0.7000000000000001</v>
      </c>
      <c r="C106" s="32" t="inlineStr">
        <is>
          <t>No convergió</t>
        </is>
      </c>
      <c r="D106" s="29" t="inlineStr">
        <is>
          <t>—</t>
        </is>
      </c>
      <c r="E106" s="35" t="inlineStr">
        <is>
          <t>—</t>
        </is>
      </c>
      <c r="F106" s="36" t="n">
        <v>2600</v>
      </c>
      <c r="G106" s="29" t="n">
        <v>7.5</v>
      </c>
      <c r="H106" s="16" t="inlineStr">
        <is>
          <t>no</t>
        </is>
      </c>
      <c r="I106" s="16" t="n"/>
      <c r="J106" s="16" t="inlineStr">
        <is>
          <t>malla</t>
        </is>
      </c>
    </row>
    <row r="107">
      <c r="A107" s="16" t="inlineStr">
        <is>
          <t>KF-M02-N1-0026</t>
        </is>
      </c>
      <c r="B107" s="37" t="n">
        <v>0.7666666666666668</v>
      </c>
      <c r="C107" s="32" t="inlineStr">
        <is>
          <t>No convergió</t>
        </is>
      </c>
      <c r="D107" s="29" t="inlineStr">
        <is>
          <t>—</t>
        </is>
      </c>
      <c r="E107" s="35" t="inlineStr">
        <is>
          <t>—</t>
        </is>
      </c>
      <c r="F107" s="36" t="n">
        <v>2600</v>
      </c>
      <c r="G107" s="29" t="n">
        <v>7.5</v>
      </c>
      <c r="H107" s="16" t="inlineStr">
        <is>
          <t>no</t>
        </is>
      </c>
      <c r="I107" s="16" t="n"/>
      <c r="J107" s="16" t="inlineStr">
        <is>
          <t>malla</t>
        </is>
      </c>
    </row>
    <row r="108">
      <c r="A108" s="16" t="inlineStr">
        <is>
          <t>KF-M02-N1-0027</t>
        </is>
      </c>
      <c r="B108" s="37" t="n">
        <v>0.8333333333333335</v>
      </c>
      <c r="C108" s="32" t="inlineStr">
        <is>
          <t>No convergió</t>
        </is>
      </c>
      <c r="D108" s="29" t="inlineStr">
        <is>
          <t>—</t>
        </is>
      </c>
      <c r="E108" s="35" t="inlineStr">
        <is>
          <t>—</t>
        </is>
      </c>
      <c r="F108" s="36" t="n">
        <v>2600</v>
      </c>
      <c r="G108" s="29" t="n">
        <v>7.5</v>
      </c>
      <c r="H108" s="16" t="inlineStr">
        <is>
          <t>no</t>
        </is>
      </c>
      <c r="I108" s="16" t="n"/>
      <c r="J108" s="16" t="inlineStr">
        <is>
          <t>malla</t>
        </is>
      </c>
    </row>
    <row r="109">
      <c r="A109" s="16" t="inlineStr">
        <is>
          <t>KF-M02-N1-0028</t>
        </is>
      </c>
      <c r="B109" s="37" t="n">
        <v>0.9</v>
      </c>
      <c r="C109" s="32" t="inlineStr">
        <is>
          <t>No convergió</t>
        </is>
      </c>
      <c r="D109" s="29" t="inlineStr">
        <is>
          <t>—</t>
        </is>
      </c>
      <c r="E109" s="35" t="inlineStr">
        <is>
          <t>—</t>
        </is>
      </c>
      <c r="F109" s="36" t="n">
        <v>2600</v>
      </c>
      <c r="G109" s="29" t="n">
        <v>7.5</v>
      </c>
      <c r="H109" s="16" t="inlineStr">
        <is>
          <t>no</t>
        </is>
      </c>
      <c r="I109" s="16" t="n"/>
      <c r="J109" s="16" t="inlineStr">
        <is>
          <t>malla</t>
        </is>
      </c>
    </row>
    <row r="110"/>
    <row r="111">
      <c r="A111" s="34" t="inlineStr">
        <is>
          <t>Barrido de η_t [–] · 10 puntos</t>
        </is>
      </c>
    </row>
    <row r="112">
      <c r="A112" s="25" t="inlineStr">
        <is>
          <t>Fijos en este barrido: T_fuente = 623.15, T_sumidero = 300.03, P_alta = 3000, P_baja = 400, x_b = 0.5, η_p = 0.75, ε_HRVG = 0.85, ε_reg = 0.75, ε_cond = 0.8.</t>
        </is>
      </c>
    </row>
    <row r="113">
      <c r="A113" s="22" t="inlineStr">
        <is>
          <t>id_punto</t>
        </is>
      </c>
      <c r="B113" s="22" t="inlineStr">
        <is>
          <t>η_t [–]</t>
        </is>
      </c>
      <c r="C113" s="22" t="inlineStr">
        <is>
          <t>Clase</t>
        </is>
      </c>
      <c r="D113" s="22" t="inlineStr">
        <is>
          <t>η [%]</t>
        </is>
      </c>
      <c r="E113" s="22" t="inlineStr">
        <is>
          <t>W_net [kW] (m_b = 1 kg/s)</t>
        </is>
      </c>
      <c r="F113" s="22" t="inlineStr">
        <is>
          <t>ΔP [kPa]</t>
        </is>
      </c>
      <c r="G113" s="22" t="inlineStr">
        <is>
          <t>r_P [–]</t>
        </is>
      </c>
      <c r="H113" s="22" t="inlineStr">
        <is>
          <t>Fuera de rango</t>
        </is>
      </c>
    </row>
    <row r="114">
      <c r="A114" s="16" t="inlineStr">
        <is>
          <t>KF-M02-N1-0031</t>
        </is>
      </c>
      <c r="B114" s="37" t="n">
        <v>0.75</v>
      </c>
      <c r="C114" s="32" t="inlineStr">
        <is>
          <t>No convergió</t>
        </is>
      </c>
      <c r="D114" s="29" t="inlineStr">
        <is>
          <t>—</t>
        </is>
      </c>
      <c r="E114" s="35" t="inlineStr">
        <is>
          <t>—</t>
        </is>
      </c>
      <c r="F114" s="36" t="n">
        <v>2600</v>
      </c>
      <c r="G114" s="29" t="n">
        <v>7.5</v>
      </c>
      <c r="H114" s="16" t="inlineStr">
        <is>
          <t>no</t>
        </is>
      </c>
    </row>
    <row r="115">
      <c r="A115" s="16" t="inlineStr">
        <is>
          <t>KF-M02-N1-0030</t>
        </is>
      </c>
      <c r="B115" s="37" t="n">
        <v>0.7666666666666667</v>
      </c>
      <c r="C115" s="32" t="inlineStr">
        <is>
          <t>No convergió</t>
        </is>
      </c>
      <c r="D115" s="29" t="inlineStr">
        <is>
          <t>—</t>
        </is>
      </c>
      <c r="E115" s="35" t="inlineStr">
        <is>
          <t>—</t>
        </is>
      </c>
      <c r="F115" s="36" t="n">
        <v>2600</v>
      </c>
      <c r="G115" s="29" t="n">
        <v>7.5</v>
      </c>
      <c r="H115" s="16" t="inlineStr">
        <is>
          <t>no</t>
        </is>
      </c>
    </row>
    <row r="116">
      <c r="A116" s="16" t="inlineStr">
        <is>
          <t>KF-M02-N1-0032</t>
        </is>
      </c>
      <c r="B116" s="37" t="n">
        <v>0.7833333333333333</v>
      </c>
      <c r="C116" s="32" t="inlineStr">
        <is>
          <t>No convergió</t>
        </is>
      </c>
      <c r="D116" s="29" t="inlineStr">
        <is>
          <t>—</t>
        </is>
      </c>
      <c r="E116" s="35" t="inlineStr">
        <is>
          <t>—</t>
        </is>
      </c>
      <c r="F116" s="36" t="n">
        <v>2600</v>
      </c>
      <c r="G116" s="29" t="n">
        <v>7.5</v>
      </c>
      <c r="H116" s="16" t="inlineStr">
        <is>
          <t>no</t>
        </is>
      </c>
    </row>
    <row r="117">
      <c r="A117" s="16" t="inlineStr">
        <is>
          <t>KF-M02-N1-0034</t>
        </is>
      </c>
      <c r="B117" s="37" t="n">
        <v>0.8</v>
      </c>
      <c r="C117" s="32" t="inlineStr">
        <is>
          <t>No convergió</t>
        </is>
      </c>
      <c r="D117" s="29" t="inlineStr">
        <is>
          <t>—</t>
        </is>
      </c>
      <c r="E117" s="35" t="inlineStr">
        <is>
          <t>—</t>
        </is>
      </c>
      <c r="F117" s="36" t="n">
        <v>2600</v>
      </c>
      <c r="G117" s="29" t="n">
        <v>7.5</v>
      </c>
      <c r="H117" s="16" t="inlineStr">
        <is>
          <t>no</t>
        </is>
      </c>
    </row>
    <row r="118">
      <c r="A118" s="16" t="inlineStr">
        <is>
          <t>KF-M02-N1-0033</t>
        </is>
      </c>
      <c r="B118" s="37" t="n">
        <v>0.8166666666666667</v>
      </c>
      <c r="C118" s="32" t="inlineStr">
        <is>
          <t>No convergió</t>
        </is>
      </c>
      <c r="D118" s="29" t="inlineStr">
        <is>
          <t>—</t>
        </is>
      </c>
      <c r="E118" s="35" t="inlineStr">
        <is>
          <t>—</t>
        </is>
      </c>
      <c r="F118" s="36" t="n">
        <v>2600</v>
      </c>
      <c r="G118" s="29" t="n">
        <v>7.5</v>
      </c>
      <c r="H118" s="16" t="inlineStr">
        <is>
          <t>no</t>
        </is>
      </c>
    </row>
    <row r="119">
      <c r="A119" s="16" t="inlineStr">
        <is>
          <t>KF-M02-N1-0035</t>
        </is>
      </c>
      <c r="B119" s="37" t="n">
        <v>0.8333333333333334</v>
      </c>
      <c r="C119" s="32" t="inlineStr">
        <is>
          <t>No convergió</t>
        </is>
      </c>
      <c r="D119" s="29" t="inlineStr">
        <is>
          <t>—</t>
        </is>
      </c>
      <c r="E119" s="35" t="inlineStr">
        <is>
          <t>—</t>
        </is>
      </c>
      <c r="F119" s="36" t="n">
        <v>2600</v>
      </c>
      <c r="G119" s="29" t="n">
        <v>7.5</v>
      </c>
      <c r="H119" s="16" t="inlineStr">
        <is>
          <t>no</t>
        </is>
      </c>
    </row>
    <row r="120">
      <c r="A120" s="16" t="inlineStr">
        <is>
          <t>KF-M02-N1-0036</t>
        </is>
      </c>
      <c r="B120" s="37" t="n">
        <v>0.85</v>
      </c>
      <c r="C120" s="32" t="inlineStr">
        <is>
          <t>No convergió</t>
        </is>
      </c>
      <c r="D120" s="29" t="inlineStr">
        <is>
          <t>—</t>
        </is>
      </c>
      <c r="E120" s="35" t="inlineStr">
        <is>
          <t>—</t>
        </is>
      </c>
      <c r="F120" s="36" t="n">
        <v>2600</v>
      </c>
      <c r="G120" s="29" t="n">
        <v>7.5</v>
      </c>
      <c r="H120" s="16" t="inlineStr">
        <is>
          <t>no</t>
        </is>
      </c>
    </row>
    <row r="121">
      <c r="A121" s="16" t="inlineStr">
        <is>
          <t>KF-M02-N1-0037</t>
        </is>
      </c>
      <c r="B121" s="37" t="n">
        <v>0.8666666666666667</v>
      </c>
      <c r="C121" s="32" t="inlineStr">
        <is>
          <t>No convergió</t>
        </is>
      </c>
      <c r="D121" s="29" t="inlineStr">
        <is>
          <t>—</t>
        </is>
      </c>
      <c r="E121" s="35" t="inlineStr">
        <is>
          <t>—</t>
        </is>
      </c>
      <c r="F121" s="36" t="n">
        <v>2600</v>
      </c>
      <c r="G121" s="29" t="n">
        <v>7.5</v>
      </c>
      <c r="H121" s="16" t="inlineStr">
        <is>
          <t>no</t>
        </is>
      </c>
    </row>
    <row r="122">
      <c r="A122" s="16" t="inlineStr">
        <is>
          <t>KF-M02-N1-0038</t>
        </is>
      </c>
      <c r="B122" s="37" t="n">
        <v>0.8833333333333333</v>
      </c>
      <c r="C122" s="32" t="inlineStr">
        <is>
          <t>No convergió</t>
        </is>
      </c>
      <c r="D122" s="29" t="inlineStr">
        <is>
          <t>—</t>
        </is>
      </c>
      <c r="E122" s="35" t="inlineStr">
        <is>
          <t>—</t>
        </is>
      </c>
      <c r="F122" s="36" t="n">
        <v>2600</v>
      </c>
      <c r="G122" s="29" t="n">
        <v>7.5</v>
      </c>
      <c r="H122" s="16" t="inlineStr">
        <is>
          <t>no</t>
        </is>
      </c>
    </row>
    <row r="123">
      <c r="A123" s="16" t="inlineStr">
        <is>
          <t>KF-M02-N1-0040</t>
        </is>
      </c>
      <c r="B123" s="37" t="n">
        <v>0.9</v>
      </c>
      <c r="C123" s="32" t="inlineStr">
        <is>
          <t>No convergió</t>
        </is>
      </c>
      <c r="D123" s="29" t="inlineStr">
        <is>
          <t>—</t>
        </is>
      </c>
      <c r="E123" s="35" t="inlineStr">
        <is>
          <t>—</t>
        </is>
      </c>
      <c r="F123" s="36" t="n">
        <v>2600</v>
      </c>
      <c r="G123" s="29" t="n">
        <v>7.5</v>
      </c>
      <c r="H123" s="16" t="inlineStr">
        <is>
          <t>no</t>
        </is>
      </c>
    </row>
    <row r="124"/>
    <row r="125">
      <c r="A125" s="34" t="inlineStr">
        <is>
          <t>Barrido de η_p [–] · 10 puntos</t>
        </is>
      </c>
    </row>
    <row r="126">
      <c r="A126" s="25" t="inlineStr">
        <is>
          <t>Fijos en este barrido: T_fuente = 623.15, T_sumidero = 300.03, P_alta = 3000, P_baja = 400, x_b = 0.5, η_t = 0.85, ε_HRVG = 0.85, ε_reg = 0.75, ε_cond = 0.8.</t>
        </is>
      </c>
    </row>
    <row r="127">
      <c r="A127" s="22" t="inlineStr">
        <is>
          <t>id_punto</t>
        </is>
      </c>
      <c r="B127" s="22" t="inlineStr">
        <is>
          <t>η_p [–]</t>
        </is>
      </c>
      <c r="C127" s="22" t="inlineStr">
        <is>
          <t>Clase</t>
        </is>
      </c>
      <c r="D127" s="22" t="inlineStr">
        <is>
          <t>η [%]</t>
        </is>
      </c>
      <c r="E127" s="22" t="inlineStr">
        <is>
          <t>W_net [kW] (m_b = 1 kg/s)</t>
        </is>
      </c>
      <c r="F127" s="22" t="inlineStr">
        <is>
          <t>ΔP [kPa]</t>
        </is>
      </c>
      <c r="G127" s="22" t="inlineStr">
        <is>
          <t>r_P [–]</t>
        </is>
      </c>
      <c r="H127" s="22" t="inlineStr">
        <is>
          <t>Fuera de rango</t>
        </is>
      </c>
    </row>
    <row r="128">
      <c r="A128" s="16" t="inlineStr">
        <is>
          <t>KF-M02-N1-0039</t>
        </is>
      </c>
      <c r="B128" s="37" t="n">
        <v>0.65</v>
      </c>
      <c r="C128" s="32" t="inlineStr">
        <is>
          <t>No convergió</t>
        </is>
      </c>
      <c r="D128" s="29" t="inlineStr">
        <is>
          <t>—</t>
        </is>
      </c>
      <c r="E128" s="35" t="inlineStr">
        <is>
          <t>—</t>
        </is>
      </c>
      <c r="F128" s="36" t="n">
        <v>2600</v>
      </c>
      <c r="G128" s="29" t="n">
        <v>7.5</v>
      </c>
      <c r="H128" s="16" t="inlineStr">
        <is>
          <t>no</t>
        </is>
      </c>
    </row>
    <row r="129">
      <c r="A129" s="16" t="inlineStr">
        <is>
          <t>KF-M02-N1-0041</t>
        </is>
      </c>
      <c r="B129" s="37" t="n">
        <v>0.6722222222222223</v>
      </c>
      <c r="C129" s="32" t="inlineStr">
        <is>
          <t>No convergió</t>
        </is>
      </c>
      <c r="D129" s="29" t="inlineStr">
        <is>
          <t>—</t>
        </is>
      </c>
      <c r="E129" s="35" t="inlineStr">
        <is>
          <t>—</t>
        </is>
      </c>
      <c r="F129" s="36" t="n">
        <v>2600</v>
      </c>
      <c r="G129" s="29" t="n">
        <v>7.5</v>
      </c>
      <c r="H129" s="16" t="inlineStr">
        <is>
          <t>no</t>
        </is>
      </c>
    </row>
    <row r="130">
      <c r="A130" s="16" t="inlineStr">
        <is>
          <t>KF-M02-N1-0042</t>
        </is>
      </c>
      <c r="B130" s="37" t="n">
        <v>0.6944444444444444</v>
      </c>
      <c r="C130" s="32" t="inlineStr">
        <is>
          <t>No convergió</t>
        </is>
      </c>
      <c r="D130" s="29" t="inlineStr">
        <is>
          <t>—</t>
        </is>
      </c>
      <c r="E130" s="35" t="inlineStr">
        <is>
          <t>—</t>
        </is>
      </c>
      <c r="F130" s="36" t="n">
        <v>2600</v>
      </c>
      <c r="G130" s="29" t="n">
        <v>7.5</v>
      </c>
      <c r="H130" s="16" t="inlineStr">
        <is>
          <t>no</t>
        </is>
      </c>
    </row>
    <row r="131">
      <c r="A131" s="16" t="inlineStr">
        <is>
          <t>KF-M02-N1-0044</t>
        </is>
      </c>
      <c r="B131" s="37" t="n">
        <v>0.7166666666666667</v>
      </c>
      <c r="C131" s="32" t="inlineStr">
        <is>
          <t>No convergió</t>
        </is>
      </c>
      <c r="D131" s="29" t="inlineStr">
        <is>
          <t>—</t>
        </is>
      </c>
      <c r="E131" s="35" t="inlineStr">
        <is>
          <t>—</t>
        </is>
      </c>
      <c r="F131" s="36" t="n">
        <v>2600</v>
      </c>
      <c r="G131" s="29" t="n">
        <v>7.5</v>
      </c>
      <c r="H131" s="16" t="inlineStr">
        <is>
          <t>no</t>
        </is>
      </c>
    </row>
    <row r="132">
      <c r="A132" s="16" t="inlineStr">
        <is>
          <t>KF-M02-N1-0043</t>
        </is>
      </c>
      <c r="B132" s="37" t="n">
        <v>0.7388888888888889</v>
      </c>
      <c r="C132" s="32" t="inlineStr">
        <is>
          <t>No convergió</t>
        </is>
      </c>
      <c r="D132" s="29" t="inlineStr">
        <is>
          <t>—</t>
        </is>
      </c>
      <c r="E132" s="35" t="inlineStr">
        <is>
          <t>—</t>
        </is>
      </c>
      <c r="F132" s="36" t="n">
        <v>2600</v>
      </c>
      <c r="G132" s="29" t="n">
        <v>7.5</v>
      </c>
      <c r="H132" s="16" t="inlineStr">
        <is>
          <t>no</t>
        </is>
      </c>
    </row>
    <row r="133">
      <c r="A133" s="16" t="inlineStr">
        <is>
          <t>KF-M02-N1-0045</t>
        </is>
      </c>
      <c r="B133" s="37" t="n">
        <v>0.7611111111111111</v>
      </c>
      <c r="C133" s="32" t="inlineStr">
        <is>
          <t>No convergió</t>
        </is>
      </c>
      <c r="D133" s="29" t="inlineStr">
        <is>
          <t>—</t>
        </is>
      </c>
      <c r="E133" s="35" t="inlineStr">
        <is>
          <t>—</t>
        </is>
      </c>
      <c r="F133" s="36" t="n">
        <v>2600</v>
      </c>
      <c r="G133" s="29" t="n">
        <v>7.5</v>
      </c>
      <c r="H133" s="16" t="inlineStr">
        <is>
          <t>no</t>
        </is>
      </c>
    </row>
    <row r="134">
      <c r="A134" s="16" t="inlineStr">
        <is>
          <t>KF-M02-N1-0046</t>
        </is>
      </c>
      <c r="B134" s="37" t="n">
        <v>0.7833333333333333</v>
      </c>
      <c r="C134" s="32" t="inlineStr">
        <is>
          <t>No convergió</t>
        </is>
      </c>
      <c r="D134" s="29" t="inlineStr">
        <is>
          <t>—</t>
        </is>
      </c>
      <c r="E134" s="35" t="inlineStr">
        <is>
          <t>—</t>
        </is>
      </c>
      <c r="F134" s="36" t="n">
        <v>2600</v>
      </c>
      <c r="G134" s="29" t="n">
        <v>7.5</v>
      </c>
      <c r="H134" s="16" t="inlineStr">
        <is>
          <t>no</t>
        </is>
      </c>
    </row>
    <row r="135">
      <c r="A135" s="16" t="inlineStr">
        <is>
          <t>KF-M02-N1-0047</t>
        </is>
      </c>
      <c r="B135" s="37" t="n">
        <v>0.8055555555555556</v>
      </c>
      <c r="C135" s="32" t="inlineStr">
        <is>
          <t>No convergió</t>
        </is>
      </c>
      <c r="D135" s="29" t="inlineStr">
        <is>
          <t>—</t>
        </is>
      </c>
      <c r="E135" s="35" t="inlineStr">
        <is>
          <t>—</t>
        </is>
      </c>
      <c r="F135" s="36" t="n">
        <v>2600</v>
      </c>
      <c r="G135" s="29" t="n">
        <v>7.5</v>
      </c>
      <c r="H135" s="16" t="inlineStr">
        <is>
          <t>no</t>
        </is>
      </c>
    </row>
    <row r="136">
      <c r="A136" s="16" t="inlineStr">
        <is>
          <t>KF-M02-N1-0049</t>
        </is>
      </c>
      <c r="B136" s="37" t="n">
        <v>0.8277777777777777</v>
      </c>
      <c r="C136" s="32" t="inlineStr">
        <is>
          <t>No convergió</t>
        </is>
      </c>
      <c r="D136" s="29" t="inlineStr">
        <is>
          <t>—</t>
        </is>
      </c>
      <c r="E136" s="35" t="inlineStr">
        <is>
          <t>—</t>
        </is>
      </c>
      <c r="F136" s="36" t="n">
        <v>2600</v>
      </c>
      <c r="G136" s="29" t="n">
        <v>7.5</v>
      </c>
      <c r="H136" s="16" t="inlineStr">
        <is>
          <t>no</t>
        </is>
      </c>
    </row>
    <row r="137">
      <c r="A137" s="16" t="inlineStr">
        <is>
          <t>KF-M02-N1-0048</t>
        </is>
      </c>
      <c r="B137" s="37" t="n">
        <v>0.85</v>
      </c>
      <c r="C137" s="32" t="inlineStr">
        <is>
          <t>No convergió</t>
        </is>
      </c>
      <c r="D137" s="29" t="inlineStr">
        <is>
          <t>—</t>
        </is>
      </c>
      <c r="E137" s="35" t="inlineStr">
        <is>
          <t>—</t>
        </is>
      </c>
      <c r="F137" s="36" t="n">
        <v>2600</v>
      </c>
      <c r="G137" s="29" t="n">
        <v>7.5</v>
      </c>
      <c r="H137" s="16" t="inlineStr">
        <is>
          <t>no</t>
        </is>
      </c>
    </row>
    <row r="138"/>
    <row r="139">
      <c r="A139" s="34" t="inlineStr">
        <is>
          <t>Barrido de ε_HRVG [–] · 12 puntos</t>
        </is>
      </c>
    </row>
    <row r="140">
      <c r="A140" s="25" t="inlineStr">
        <is>
          <t>Fijos en este barrido: T_fuente = 623.15, T_sumidero = 300.03, P_alta = 3000, P_baja = 400, x_b = 0.5, η_t = 0.85, η_p = 0.75, ε_reg = 0.75, ε_cond = 0.8.</t>
        </is>
      </c>
    </row>
    <row r="141">
      <c r="A141" s="25" t="inlineStr">
        <is>
          <t>Tipos de punto: malla 10, bisección 2.</t>
        </is>
      </c>
    </row>
    <row r="142">
      <c r="A142" s="22" t="inlineStr">
        <is>
          <t>id_punto</t>
        </is>
      </c>
      <c r="B142" s="22" t="inlineStr">
        <is>
          <t>ε_HRVG [–]</t>
        </is>
      </c>
      <c r="C142" s="22" t="inlineStr">
        <is>
          <t>Clase</t>
        </is>
      </c>
      <c r="D142" s="22" t="inlineStr">
        <is>
          <t>η [%]</t>
        </is>
      </c>
      <c r="E142" s="22" t="inlineStr">
        <is>
          <t>W_net [kW] (m_b = 1 kg/s)</t>
        </is>
      </c>
      <c r="F142" s="22" t="inlineStr">
        <is>
          <t>ΔP [kPa]</t>
        </is>
      </c>
      <c r="G142" s="22" t="inlineStr">
        <is>
          <t>r_P [–]</t>
        </is>
      </c>
      <c r="H142" s="22" t="inlineStr">
        <is>
          <t>Fuera de rango</t>
        </is>
      </c>
      <c r="I142" s="22" t="inlineStr">
        <is>
          <t>Criterios que falla</t>
        </is>
      </c>
      <c r="J142" s="22" t="inlineStr">
        <is>
          <t>Tipo de punto</t>
        </is>
      </c>
    </row>
    <row r="143">
      <c r="A143" s="16" t="inlineStr">
        <is>
          <t>KF-M02-N1-0050</t>
        </is>
      </c>
      <c r="B143" s="37" t="n">
        <v>0.75</v>
      </c>
      <c r="C143" s="39" t="inlineStr">
        <is>
          <t>Corregible</t>
        </is>
      </c>
      <c r="D143" s="29" t="n">
        <v>13.08893763816603</v>
      </c>
      <c r="E143" s="35" t="n">
        <v>224.7695265667433</v>
      </c>
      <c r="F143" s="36" t="n">
        <v>2600</v>
      </c>
      <c r="G143" s="29" t="n">
        <v>7.5</v>
      </c>
      <c r="H143" s="16" t="inlineStr">
        <is>
          <t>sí</t>
        </is>
      </c>
      <c r="I143" s="16" t="inlineStr">
        <is>
          <t>O1,O2</t>
        </is>
      </c>
      <c r="J143" s="16" t="inlineStr">
        <is>
          <t>malla</t>
        </is>
      </c>
    </row>
    <row r="144">
      <c r="A144" s="16" t="inlineStr">
        <is>
          <t>KF-M02-N1-0052</t>
        </is>
      </c>
      <c r="B144" s="37" t="n">
        <v>0.7611111111111111</v>
      </c>
      <c r="C144" s="39" t="inlineStr">
        <is>
          <t>Corregible</t>
        </is>
      </c>
      <c r="D144" s="29" t="n">
        <v>13.08033619564443</v>
      </c>
      <c r="E144" s="35" t="n">
        <v>227.6946652059985</v>
      </c>
      <c r="F144" s="36" t="n">
        <v>2600</v>
      </c>
      <c r="G144" s="29" t="n">
        <v>7.5</v>
      </c>
      <c r="H144" s="16" t="inlineStr">
        <is>
          <t>sí</t>
        </is>
      </c>
      <c r="I144" s="16" t="inlineStr">
        <is>
          <t>O1,O2</t>
        </is>
      </c>
      <c r="J144" s="16" t="inlineStr">
        <is>
          <t>malla</t>
        </is>
      </c>
    </row>
    <row r="145">
      <c r="A145" s="16" t="inlineStr">
        <is>
          <t>KF-M02-N1-0051</t>
        </is>
      </c>
      <c r="B145" s="37" t="n">
        <v>0.7722222222222223</v>
      </c>
      <c r="C145" s="39" t="inlineStr">
        <is>
          <t>Corregible</t>
        </is>
      </c>
      <c r="D145" s="29" t="n">
        <v>13.07196466438397</v>
      </c>
      <c r="E145" s="35" t="n">
        <v>230.6144156301188</v>
      </c>
      <c r="F145" s="36" t="n">
        <v>2600</v>
      </c>
      <c r="G145" s="29" t="n">
        <v>7.5</v>
      </c>
      <c r="H145" s="16" t="inlineStr">
        <is>
          <t>sí</t>
        </is>
      </c>
      <c r="I145" s="16" t="inlineStr">
        <is>
          <t>O1,O2</t>
        </is>
      </c>
      <c r="J145" s="16" t="inlineStr">
        <is>
          <t>malla</t>
        </is>
      </c>
    </row>
    <row r="146">
      <c r="A146" s="16" t="inlineStr">
        <is>
          <t>KF-M02-N1-0053</t>
        </is>
      </c>
      <c r="B146" s="37" t="n">
        <v>0.7833333333333333</v>
      </c>
      <c r="C146" s="39" t="inlineStr">
        <is>
          <t>Corregible</t>
        </is>
      </c>
      <c r="D146" s="29" t="n">
        <v>13.06394577938044</v>
      </c>
      <c r="E146" s="35" t="n">
        <v>233.5312795363553</v>
      </c>
      <c r="F146" s="36" t="n">
        <v>2600</v>
      </c>
      <c r="G146" s="29" t="n">
        <v>7.5</v>
      </c>
      <c r="H146" s="16" t="inlineStr">
        <is>
          <t>sí</t>
        </is>
      </c>
      <c r="I146" s="16" t="inlineStr">
        <is>
          <t>O1,O2</t>
        </is>
      </c>
      <c r="J146" s="16" t="inlineStr">
        <is>
          <t>malla</t>
        </is>
      </c>
    </row>
    <row r="147">
      <c r="A147" s="16" t="inlineStr">
        <is>
          <t>KF-M02-N1-0056</t>
        </is>
      </c>
      <c r="B147" s="37" t="n">
        <v>0.7944444444444444</v>
      </c>
      <c r="C147" s="39" t="inlineStr">
        <is>
          <t>Corregible</t>
        </is>
      </c>
      <c r="D147" s="29" t="n">
        <v>13.05627553796046</v>
      </c>
      <c r="E147" s="35" t="n">
        <v>236.4453429327573</v>
      </c>
      <c r="F147" s="36" t="n">
        <v>2600</v>
      </c>
      <c r="G147" s="29" t="n">
        <v>7.5</v>
      </c>
      <c r="H147" s="16" t="inlineStr">
        <is>
          <t>sí</t>
        </is>
      </c>
      <c r="I147" s="16" t="inlineStr">
        <is>
          <t>O1,O2</t>
        </is>
      </c>
      <c r="J147" s="16" t="inlineStr">
        <is>
          <t>malla</t>
        </is>
      </c>
    </row>
    <row r="148">
      <c r="A148" s="16" t="inlineStr">
        <is>
          <t>KF-M02-N1-0055</t>
        </is>
      </c>
      <c r="B148" s="37" t="n">
        <v>0.8055555555555556</v>
      </c>
      <c r="C148" s="39" t="inlineStr">
        <is>
          <t>Corregible</t>
        </is>
      </c>
      <c r="D148" s="29" t="n">
        <v>13.04894913058459</v>
      </c>
      <c r="E148" s="35" t="n">
        <v>239.3566724400604</v>
      </c>
      <c r="F148" s="36" t="n">
        <v>2600</v>
      </c>
      <c r="G148" s="29" t="n">
        <v>7.5</v>
      </c>
      <c r="H148" s="16" t="inlineStr">
        <is>
          <t>sí</t>
        </is>
      </c>
      <c r="I148" s="16" t="inlineStr">
        <is>
          <t>O1,O2</t>
        </is>
      </c>
      <c r="J148" s="16" t="inlineStr">
        <is>
          <t>malla</t>
        </is>
      </c>
    </row>
    <row r="149">
      <c r="A149" s="16" t="inlineStr">
        <is>
          <t>KF-M02-N1-0060</t>
        </is>
      </c>
      <c r="B149" s="37" t="n">
        <v>0.8166666666666667</v>
      </c>
      <c r="C149" s="39" t="inlineStr">
        <is>
          <t>Corregible</t>
        </is>
      </c>
      <c r="D149" s="29" t="n">
        <v>13.04196254281148</v>
      </c>
      <c r="E149" s="35" t="n">
        <v>242.2653354733555</v>
      </c>
      <c r="F149" s="36" t="n">
        <v>2600</v>
      </c>
      <c r="G149" s="29" t="n">
        <v>7.5</v>
      </c>
      <c r="H149" s="16" t="inlineStr">
        <is>
          <t>sí</t>
        </is>
      </c>
      <c r="I149" s="16" t="inlineStr">
        <is>
          <t>O1,O2</t>
        </is>
      </c>
      <c r="J149" s="16" t="inlineStr">
        <is>
          <t>malla</t>
        </is>
      </c>
    </row>
    <row r="150">
      <c r="A150" s="16" t="inlineStr">
        <is>
          <t>KF-M02-N1-0102</t>
        </is>
      </c>
      <c r="B150" s="37" t="n">
        <v>0.8222222222222222</v>
      </c>
      <c r="C150" s="38" t="inlineStr">
        <is>
          <t>Falso convergido</t>
        </is>
      </c>
      <c r="D150" s="29" t="inlineStr">
        <is>
          <t>—</t>
        </is>
      </c>
      <c r="E150" s="35" t="inlineStr">
        <is>
          <t>—</t>
        </is>
      </c>
      <c r="F150" s="36" t="n">
        <v>2600</v>
      </c>
      <c r="G150" s="29" t="n">
        <v>7.5</v>
      </c>
      <c r="H150" s="16" t="inlineStr">
        <is>
          <t>sí</t>
        </is>
      </c>
      <c r="I150" s="16" t="inlineStr">
        <is>
          <t>N2,O1,O2,O5,C1,C3,C3</t>
        </is>
      </c>
      <c r="J150" s="16" t="inlineStr">
        <is>
          <t>bisección</t>
        </is>
      </c>
    </row>
    <row r="151">
      <c r="A151" s="16" t="inlineStr">
        <is>
          <t>KF-M02-N1-0109</t>
        </is>
      </c>
      <c r="B151" s="37" t="n">
        <v>0.825</v>
      </c>
      <c r="C151" s="38" t="inlineStr">
        <is>
          <t>Falso convergido</t>
        </is>
      </c>
      <c r="D151" s="29" t="inlineStr">
        <is>
          <t>—</t>
        </is>
      </c>
      <c r="E151" s="35" t="inlineStr">
        <is>
          <t>—</t>
        </is>
      </c>
      <c r="F151" s="36" t="n">
        <v>2600</v>
      </c>
      <c r="G151" s="29" t="n">
        <v>7.5</v>
      </c>
      <c r="H151" s="16" t="inlineStr">
        <is>
          <t>sí</t>
        </is>
      </c>
      <c r="I151" s="16" t="inlineStr">
        <is>
          <t>N2,O1,O2,O5,C1,C3,C3</t>
        </is>
      </c>
      <c r="J151" s="16" t="inlineStr">
        <is>
          <t>bisección</t>
        </is>
      </c>
    </row>
    <row r="152">
      <c r="A152" s="16" t="inlineStr">
        <is>
          <t>KF-M02-N1-0054</t>
        </is>
      </c>
      <c r="B152" s="37" t="n">
        <v>0.8277777777777777</v>
      </c>
      <c r="C152" s="32" t="inlineStr">
        <is>
          <t>No convergió</t>
        </is>
      </c>
      <c r="D152" s="29" t="inlineStr">
        <is>
          <t>—</t>
        </is>
      </c>
      <c r="E152" s="35" t="inlineStr">
        <is>
          <t>—</t>
        </is>
      </c>
      <c r="F152" s="36" t="n">
        <v>2600</v>
      </c>
      <c r="G152" s="29" t="n">
        <v>7.5</v>
      </c>
      <c r="H152" s="16" t="inlineStr">
        <is>
          <t>no</t>
        </is>
      </c>
      <c r="I152" s="16" t="n"/>
      <c r="J152" s="16" t="inlineStr">
        <is>
          <t>malla</t>
        </is>
      </c>
    </row>
    <row r="153">
      <c r="A153" s="16" t="inlineStr">
        <is>
          <t>KF-M02-N1-0057</t>
        </is>
      </c>
      <c r="B153" s="37" t="n">
        <v>0.8388888888888889</v>
      </c>
      <c r="C153" s="32" t="inlineStr">
        <is>
          <t>No convergió</t>
        </is>
      </c>
      <c r="D153" s="29" t="inlineStr">
        <is>
          <t>—</t>
        </is>
      </c>
      <c r="E153" s="35" t="inlineStr">
        <is>
          <t>—</t>
        </is>
      </c>
      <c r="F153" s="36" t="n">
        <v>2600</v>
      </c>
      <c r="G153" s="29" t="n">
        <v>7.5</v>
      </c>
      <c r="H153" s="16" t="inlineStr">
        <is>
          <t>no</t>
        </is>
      </c>
      <c r="I153" s="16" t="n"/>
      <c r="J153" s="16" t="inlineStr">
        <is>
          <t>malla</t>
        </is>
      </c>
    </row>
    <row r="154">
      <c r="A154" s="16" t="inlineStr">
        <is>
          <t>KF-M02-N1-0058</t>
        </is>
      </c>
      <c r="B154" s="37" t="n">
        <v>0.85</v>
      </c>
      <c r="C154" s="32" t="inlineStr">
        <is>
          <t>No convergió</t>
        </is>
      </c>
      <c r="D154" s="29" t="inlineStr">
        <is>
          <t>—</t>
        </is>
      </c>
      <c r="E154" s="35" t="inlineStr">
        <is>
          <t>—</t>
        </is>
      </c>
      <c r="F154" s="36" t="n">
        <v>2600</v>
      </c>
      <c r="G154" s="29" t="n">
        <v>7.5</v>
      </c>
      <c r="H154" s="16" t="inlineStr">
        <is>
          <t>no</t>
        </is>
      </c>
      <c r="I154" s="16" t="n"/>
      <c r="J154" s="16" t="inlineStr">
        <is>
          <t>malla</t>
        </is>
      </c>
    </row>
    <row r="155"/>
    <row r="156">
      <c r="A156" s="34" t="inlineStr">
        <is>
          <t>Barrido de ε_reg [–] · 10 puntos</t>
        </is>
      </c>
    </row>
    <row r="157">
      <c r="A157" s="25" t="inlineStr">
        <is>
          <t>Fijos en este barrido: T_fuente = 623.15, T_sumidero = 300.03, P_alta = 3000, P_baja = 400, x_b = 0.5, η_t = 0.85, η_p = 0.75, ε_HRVG = 0.85, ε_cond = 0.8.</t>
        </is>
      </c>
    </row>
    <row r="158">
      <c r="A158" s="22" t="inlineStr">
        <is>
          <t>id_punto</t>
        </is>
      </c>
      <c r="B158" s="22" t="inlineStr">
        <is>
          <t>ε_reg [–]</t>
        </is>
      </c>
      <c r="C158" s="22" t="inlineStr">
        <is>
          <t>Clase</t>
        </is>
      </c>
      <c r="D158" s="22" t="inlineStr">
        <is>
          <t>η [%]</t>
        </is>
      </c>
      <c r="E158" s="22" t="inlineStr">
        <is>
          <t>W_net [kW] (m_b = 1 kg/s)</t>
        </is>
      </c>
      <c r="F158" s="22" t="inlineStr">
        <is>
          <t>ΔP [kPa]</t>
        </is>
      </c>
      <c r="G158" s="22" t="inlineStr">
        <is>
          <t>r_P [–]</t>
        </is>
      </c>
      <c r="H158" s="22" t="inlineStr">
        <is>
          <t>Fuera de rango</t>
        </is>
      </c>
    </row>
    <row r="159">
      <c r="A159" s="16" t="inlineStr">
        <is>
          <t>KF-M02-N1-0061</t>
        </is>
      </c>
      <c r="B159" s="37" t="n">
        <v>0.75</v>
      </c>
      <c r="C159" s="32" t="inlineStr">
        <is>
          <t>No convergió</t>
        </is>
      </c>
      <c r="D159" s="29" t="inlineStr">
        <is>
          <t>—</t>
        </is>
      </c>
      <c r="E159" s="35" t="inlineStr">
        <is>
          <t>—</t>
        </is>
      </c>
      <c r="F159" s="36" t="n">
        <v>2600</v>
      </c>
      <c r="G159" s="29" t="n">
        <v>7.5</v>
      </c>
      <c r="H159" s="16" t="inlineStr">
        <is>
          <t>no</t>
        </is>
      </c>
    </row>
    <row r="160">
      <c r="A160" s="16" t="inlineStr">
        <is>
          <t>KF-M02-N1-0059</t>
        </is>
      </c>
      <c r="B160" s="37" t="n">
        <v>0.7611111111111111</v>
      </c>
      <c r="C160" s="32" t="inlineStr">
        <is>
          <t>No convergió</t>
        </is>
      </c>
      <c r="D160" s="29" t="inlineStr">
        <is>
          <t>—</t>
        </is>
      </c>
      <c r="E160" s="35" t="inlineStr">
        <is>
          <t>—</t>
        </is>
      </c>
      <c r="F160" s="36" t="n">
        <v>2600</v>
      </c>
      <c r="G160" s="29" t="n">
        <v>7.5</v>
      </c>
      <c r="H160" s="16" t="inlineStr">
        <is>
          <t>no</t>
        </is>
      </c>
    </row>
    <row r="161">
      <c r="A161" s="16" t="inlineStr">
        <is>
          <t>KF-M02-N1-0062</t>
        </is>
      </c>
      <c r="B161" s="37" t="n">
        <v>0.7722222222222223</v>
      </c>
      <c r="C161" s="32" t="inlineStr">
        <is>
          <t>No convergió</t>
        </is>
      </c>
      <c r="D161" s="29" t="inlineStr">
        <is>
          <t>—</t>
        </is>
      </c>
      <c r="E161" s="35" t="inlineStr">
        <is>
          <t>—</t>
        </is>
      </c>
      <c r="F161" s="36" t="n">
        <v>2600</v>
      </c>
      <c r="G161" s="29" t="n">
        <v>7.5</v>
      </c>
      <c r="H161" s="16" t="inlineStr">
        <is>
          <t>no</t>
        </is>
      </c>
    </row>
    <row r="162">
      <c r="A162" s="16" t="inlineStr">
        <is>
          <t>KF-M02-N1-0063</t>
        </is>
      </c>
      <c r="B162" s="37" t="n">
        <v>0.7833333333333333</v>
      </c>
      <c r="C162" s="32" t="inlineStr">
        <is>
          <t>No convergió</t>
        </is>
      </c>
      <c r="D162" s="29" t="inlineStr">
        <is>
          <t>—</t>
        </is>
      </c>
      <c r="E162" s="35" t="inlineStr">
        <is>
          <t>—</t>
        </is>
      </c>
      <c r="F162" s="36" t="n">
        <v>2600</v>
      </c>
      <c r="G162" s="29" t="n">
        <v>7.5</v>
      </c>
      <c r="H162" s="16" t="inlineStr">
        <is>
          <t>no</t>
        </is>
      </c>
    </row>
    <row r="163">
      <c r="A163" s="16" t="inlineStr">
        <is>
          <t>KF-M02-N1-0064</t>
        </is>
      </c>
      <c r="B163" s="37" t="n">
        <v>0.7944444444444444</v>
      </c>
      <c r="C163" s="32" t="inlineStr">
        <is>
          <t>No convergió</t>
        </is>
      </c>
      <c r="D163" s="29" t="inlineStr">
        <is>
          <t>—</t>
        </is>
      </c>
      <c r="E163" s="35" t="inlineStr">
        <is>
          <t>—</t>
        </is>
      </c>
      <c r="F163" s="36" t="n">
        <v>2600</v>
      </c>
      <c r="G163" s="29" t="n">
        <v>7.5</v>
      </c>
      <c r="H163" s="16" t="inlineStr">
        <is>
          <t>no</t>
        </is>
      </c>
    </row>
    <row r="164">
      <c r="A164" s="16" t="inlineStr">
        <is>
          <t>KF-M02-N1-0065</t>
        </is>
      </c>
      <c r="B164" s="37" t="n">
        <v>0.8055555555555556</v>
      </c>
      <c r="C164" s="32" t="inlineStr">
        <is>
          <t>No convergió</t>
        </is>
      </c>
      <c r="D164" s="29" t="inlineStr">
        <is>
          <t>—</t>
        </is>
      </c>
      <c r="E164" s="35" t="inlineStr">
        <is>
          <t>—</t>
        </is>
      </c>
      <c r="F164" s="36" t="n">
        <v>2600</v>
      </c>
      <c r="G164" s="29" t="n">
        <v>7.5</v>
      </c>
      <c r="H164" s="16" t="inlineStr">
        <is>
          <t>no</t>
        </is>
      </c>
    </row>
    <row r="165">
      <c r="A165" s="16" t="inlineStr">
        <is>
          <t>KF-M02-N1-0068</t>
        </is>
      </c>
      <c r="B165" s="37" t="n">
        <v>0.8166666666666667</v>
      </c>
      <c r="C165" s="32" t="inlineStr">
        <is>
          <t>No convergió</t>
        </is>
      </c>
      <c r="D165" s="29" t="inlineStr">
        <is>
          <t>—</t>
        </is>
      </c>
      <c r="E165" s="35" t="inlineStr">
        <is>
          <t>—</t>
        </is>
      </c>
      <c r="F165" s="36" t="n">
        <v>2600</v>
      </c>
      <c r="G165" s="29" t="n">
        <v>7.5</v>
      </c>
      <c r="H165" s="16" t="inlineStr">
        <is>
          <t>no</t>
        </is>
      </c>
    </row>
    <row r="166">
      <c r="A166" s="16" t="inlineStr">
        <is>
          <t>KF-M02-N1-0066</t>
        </is>
      </c>
      <c r="B166" s="37" t="n">
        <v>0.8277777777777777</v>
      </c>
      <c r="C166" s="32" t="inlineStr">
        <is>
          <t>No convergió</t>
        </is>
      </c>
      <c r="D166" s="29" t="inlineStr">
        <is>
          <t>—</t>
        </is>
      </c>
      <c r="E166" s="35" t="inlineStr">
        <is>
          <t>—</t>
        </is>
      </c>
      <c r="F166" s="36" t="n">
        <v>2600</v>
      </c>
      <c r="G166" s="29" t="n">
        <v>7.5</v>
      </c>
      <c r="H166" s="16" t="inlineStr">
        <is>
          <t>no</t>
        </is>
      </c>
    </row>
    <row r="167">
      <c r="A167" s="16" t="inlineStr">
        <is>
          <t>KF-M02-N1-0067</t>
        </is>
      </c>
      <c r="B167" s="37" t="n">
        <v>0.8388888888888889</v>
      </c>
      <c r="C167" s="32" t="inlineStr">
        <is>
          <t>No convergió</t>
        </is>
      </c>
      <c r="D167" s="29" t="inlineStr">
        <is>
          <t>—</t>
        </is>
      </c>
      <c r="E167" s="35" t="inlineStr">
        <is>
          <t>—</t>
        </is>
      </c>
      <c r="F167" s="36" t="n">
        <v>2600</v>
      </c>
      <c r="G167" s="29" t="n">
        <v>7.5</v>
      </c>
      <c r="H167" s="16" t="inlineStr">
        <is>
          <t>no</t>
        </is>
      </c>
    </row>
    <row r="168">
      <c r="A168" s="16" t="inlineStr">
        <is>
          <t>KF-M02-N1-0069</t>
        </is>
      </c>
      <c r="B168" s="37" t="n">
        <v>0.85</v>
      </c>
      <c r="C168" s="32" t="inlineStr">
        <is>
          <t>No convergió</t>
        </is>
      </c>
      <c r="D168" s="29" t="inlineStr">
        <is>
          <t>—</t>
        </is>
      </c>
      <c r="E168" s="35" t="inlineStr">
        <is>
          <t>—</t>
        </is>
      </c>
      <c r="F168" s="36" t="n">
        <v>2600</v>
      </c>
      <c r="G168" s="29" t="n">
        <v>7.5</v>
      </c>
      <c r="H168" s="16" t="inlineStr">
        <is>
          <t>no</t>
        </is>
      </c>
    </row>
    <row r="169"/>
    <row r="170">
      <c r="A170" s="34" t="inlineStr">
        <is>
          <t>Barrido de ε_cond [–] · 10 puntos</t>
        </is>
      </c>
    </row>
    <row r="171">
      <c r="A171" s="25" t="inlineStr">
        <is>
          <t>Fijos en este barrido: T_fuente = 623.15, T_sumidero = 300.03, P_alta = 3000, P_baja = 400, x_b = 0.5, η_t = 0.85, η_p = 0.75, ε_HRVG = 0.85, ε_reg = 0.75.</t>
        </is>
      </c>
    </row>
    <row r="172">
      <c r="A172" s="22" t="inlineStr">
        <is>
          <t>id_punto</t>
        </is>
      </c>
      <c r="B172" s="22" t="inlineStr">
        <is>
          <t>ε_cond [–]</t>
        </is>
      </c>
      <c r="C172" s="22" t="inlineStr">
        <is>
          <t>Clase</t>
        </is>
      </c>
      <c r="D172" s="22" t="inlineStr">
        <is>
          <t>η [%]</t>
        </is>
      </c>
      <c r="E172" s="22" t="inlineStr">
        <is>
          <t>W_net [kW] (m_b = 1 kg/s)</t>
        </is>
      </c>
      <c r="F172" s="22" t="inlineStr">
        <is>
          <t>ΔP [kPa]</t>
        </is>
      </c>
      <c r="G172" s="22" t="inlineStr">
        <is>
          <t>r_P [–]</t>
        </is>
      </c>
      <c r="H172" s="22" t="inlineStr">
        <is>
          <t>Fuera de rango</t>
        </is>
      </c>
    </row>
    <row r="173">
      <c r="A173" s="16" t="inlineStr">
        <is>
          <t>KF-M02-N1-0070</t>
        </is>
      </c>
      <c r="B173" s="37" t="n">
        <v>0.75</v>
      </c>
      <c r="C173" s="32" t="inlineStr">
        <is>
          <t>No convergió</t>
        </is>
      </c>
      <c r="D173" s="29" t="inlineStr">
        <is>
          <t>—</t>
        </is>
      </c>
      <c r="E173" s="35" t="inlineStr">
        <is>
          <t>—</t>
        </is>
      </c>
      <c r="F173" s="36" t="n">
        <v>2600</v>
      </c>
      <c r="G173" s="29" t="n">
        <v>7.5</v>
      </c>
      <c r="H173" s="16" t="inlineStr">
        <is>
          <t>no</t>
        </is>
      </c>
    </row>
    <row r="174">
      <c r="A174" s="16" t="inlineStr">
        <is>
          <t>KF-M02-N1-0071</t>
        </is>
      </c>
      <c r="B174" s="37" t="n">
        <v>0.7611111111111111</v>
      </c>
      <c r="C174" s="32" t="inlineStr">
        <is>
          <t>No convergió</t>
        </is>
      </c>
      <c r="D174" s="29" t="inlineStr">
        <is>
          <t>—</t>
        </is>
      </c>
      <c r="E174" s="35" t="inlineStr">
        <is>
          <t>—</t>
        </is>
      </c>
      <c r="F174" s="36" t="n">
        <v>2600</v>
      </c>
      <c r="G174" s="29" t="n">
        <v>7.5</v>
      </c>
      <c r="H174" s="16" t="inlineStr">
        <is>
          <t>no</t>
        </is>
      </c>
    </row>
    <row r="175">
      <c r="A175" s="16" t="inlineStr">
        <is>
          <t>KF-M02-N1-0073</t>
        </is>
      </c>
      <c r="B175" s="37" t="n">
        <v>0.7722222222222223</v>
      </c>
      <c r="C175" s="32" t="inlineStr">
        <is>
          <t>No convergió</t>
        </is>
      </c>
      <c r="D175" s="29" t="inlineStr">
        <is>
          <t>—</t>
        </is>
      </c>
      <c r="E175" s="35" t="inlineStr">
        <is>
          <t>—</t>
        </is>
      </c>
      <c r="F175" s="36" t="n">
        <v>2600</v>
      </c>
      <c r="G175" s="29" t="n">
        <v>7.5</v>
      </c>
      <c r="H175" s="16" t="inlineStr">
        <is>
          <t>no</t>
        </is>
      </c>
    </row>
    <row r="176">
      <c r="A176" s="16" t="inlineStr">
        <is>
          <t>KF-M02-N1-0072</t>
        </is>
      </c>
      <c r="B176" s="37" t="n">
        <v>0.7833333333333333</v>
      </c>
      <c r="C176" s="32" t="inlineStr">
        <is>
          <t>No convergió</t>
        </is>
      </c>
      <c r="D176" s="29" t="inlineStr">
        <is>
          <t>—</t>
        </is>
      </c>
      <c r="E176" s="35" t="inlineStr">
        <is>
          <t>—</t>
        </is>
      </c>
      <c r="F176" s="36" t="n">
        <v>2600</v>
      </c>
      <c r="G176" s="29" t="n">
        <v>7.5</v>
      </c>
      <c r="H176" s="16" t="inlineStr">
        <is>
          <t>no</t>
        </is>
      </c>
    </row>
    <row r="177">
      <c r="A177" s="16" t="inlineStr">
        <is>
          <t>KF-M02-N1-0074</t>
        </is>
      </c>
      <c r="B177" s="37" t="n">
        <v>0.7944444444444444</v>
      </c>
      <c r="C177" s="32" t="inlineStr">
        <is>
          <t>No convergió</t>
        </is>
      </c>
      <c r="D177" s="29" t="inlineStr">
        <is>
          <t>—</t>
        </is>
      </c>
      <c r="E177" s="35" t="inlineStr">
        <is>
          <t>—</t>
        </is>
      </c>
      <c r="F177" s="36" t="n">
        <v>2600</v>
      </c>
      <c r="G177" s="29" t="n">
        <v>7.5</v>
      </c>
      <c r="H177" s="16" t="inlineStr">
        <is>
          <t>no</t>
        </is>
      </c>
    </row>
    <row r="178">
      <c r="A178" s="16" t="inlineStr">
        <is>
          <t>KF-M02-N1-0075</t>
        </is>
      </c>
      <c r="B178" s="37" t="n">
        <v>0.8055555555555556</v>
      </c>
      <c r="C178" s="32" t="inlineStr">
        <is>
          <t>No convergió</t>
        </is>
      </c>
      <c r="D178" s="29" t="inlineStr">
        <is>
          <t>—</t>
        </is>
      </c>
      <c r="E178" s="35" t="inlineStr">
        <is>
          <t>—</t>
        </is>
      </c>
      <c r="F178" s="36" t="n">
        <v>2600</v>
      </c>
      <c r="G178" s="29" t="n">
        <v>7.5</v>
      </c>
      <c r="H178" s="16" t="inlineStr">
        <is>
          <t>no</t>
        </is>
      </c>
    </row>
    <row r="179">
      <c r="A179" s="16" t="inlineStr">
        <is>
          <t>KF-M02-N1-0077</t>
        </is>
      </c>
      <c r="B179" s="37" t="n">
        <v>0.8166666666666667</v>
      </c>
      <c r="C179" s="32" t="inlineStr">
        <is>
          <t>No convergió</t>
        </is>
      </c>
      <c r="D179" s="29" t="inlineStr">
        <is>
          <t>—</t>
        </is>
      </c>
      <c r="E179" s="35" t="inlineStr">
        <is>
          <t>—</t>
        </is>
      </c>
      <c r="F179" s="36" t="n">
        <v>2600</v>
      </c>
      <c r="G179" s="29" t="n">
        <v>7.5</v>
      </c>
      <c r="H179" s="16" t="inlineStr">
        <is>
          <t>no</t>
        </is>
      </c>
    </row>
    <row r="180">
      <c r="A180" s="16" t="inlineStr">
        <is>
          <t>KF-M02-N1-0078</t>
        </is>
      </c>
      <c r="B180" s="37" t="n">
        <v>0.8277777777777777</v>
      </c>
      <c r="C180" s="32" t="inlineStr">
        <is>
          <t>No convergió</t>
        </is>
      </c>
      <c r="D180" s="29" t="inlineStr">
        <is>
          <t>—</t>
        </is>
      </c>
      <c r="E180" s="35" t="inlineStr">
        <is>
          <t>—</t>
        </is>
      </c>
      <c r="F180" s="36" t="n">
        <v>2600</v>
      </c>
      <c r="G180" s="29" t="n">
        <v>7.5</v>
      </c>
      <c r="H180" s="16" t="inlineStr">
        <is>
          <t>no</t>
        </is>
      </c>
    </row>
    <row r="181">
      <c r="A181" s="16" t="inlineStr">
        <is>
          <t>KF-M02-N1-0079</t>
        </is>
      </c>
      <c r="B181" s="37" t="n">
        <v>0.8388888888888889</v>
      </c>
      <c r="C181" s="32" t="inlineStr">
        <is>
          <t>No convergió</t>
        </is>
      </c>
      <c r="D181" s="29" t="inlineStr">
        <is>
          <t>—</t>
        </is>
      </c>
      <c r="E181" s="35" t="inlineStr">
        <is>
          <t>—</t>
        </is>
      </c>
      <c r="F181" s="36" t="n">
        <v>2600</v>
      </c>
      <c r="G181" s="29" t="n">
        <v>7.5</v>
      </c>
      <c r="H181" s="16" t="inlineStr">
        <is>
          <t>no</t>
        </is>
      </c>
    </row>
    <row r="182">
      <c r="A182" s="16" t="inlineStr">
        <is>
          <t>KF-M02-N1-0080</t>
        </is>
      </c>
      <c r="B182" s="37" t="n">
        <v>0.85</v>
      </c>
      <c r="C182" s="32" t="inlineStr">
        <is>
          <t>No convergió</t>
        </is>
      </c>
      <c r="D182" s="29" t="inlineStr">
        <is>
          <t>—</t>
        </is>
      </c>
      <c r="E182" s="35" t="inlineStr">
        <is>
          <t>—</t>
        </is>
      </c>
      <c r="F182" s="36" t="n">
        <v>2600</v>
      </c>
      <c r="G182" s="29" t="n">
        <v>7.5</v>
      </c>
      <c r="H182" s="16" t="inlineStr">
        <is>
          <t>no</t>
        </is>
      </c>
    </row>
    <row r="186">
      <c r="L186" s="25" t="inlineStr">
        <is>
          <t>Estudio 2.1. Punto base: PP = datos del enunciado del profesor (T_fuente 623.15 K, P_alta 3000 kPa, P_baja 400 kPa, x_b 0.50)</t>
        </is>
      </c>
    </row>
    <row r="187">
      <c r="L187" s="25" t="inlineStr">
        <is>
          <t>Punto base (las demás variables quedan fijas en): T_fuente = 623.15 K; T_sumidero = 300.03 K; P_alta = 3000 kPa; P_baja = 400 kPa; x_b = 0.5; m_b = 1 kg/s; η_t = 0.85; η_p = 0.75; ε_HRVG = 0.85; ε_reg = 0.75; ε_cond = 0.8; motor de propiedades = teqp. Cada panel o tramo mueve solo su variable.</t>
        </is>
      </c>
    </row>
    <row r="188">
      <c r="L188" s="25" t="inlineStr">
        <is>
          <t>Datos barridos (uno a la vez): T_fuente [340–623.15] K (22 valores); T_sumidero [283.15–303.55] K (10 valores); P_alta [1000–10000] kPa (24 valores); P_baja [150–1500] kPa (10 valores); x_b [0.3–0.9] (14 valores); η_t [0.75–0.9] (10 valores); η_p [0.65–0.85] (10 valores); ε_HRVG [0.75–0.85] (12 valores); ε_reg [0.75–0.85] (10 valores); ε_cond [0.75–0.85] (10 valores).</t>
        </is>
      </c>
    </row>
    <row r="189">
      <c r="L189" s="25" t="inlineStr">
        <is>
          <t>Filtro: estudio 2.1 (2.1), barrido de una variable a la vez.</t>
        </is>
      </c>
    </row>
    <row r="190">
      <c r="L190" s="25" t="inlineStr">
        <is>
          <t>n = 132. Fuente: todos_los_puntos.csv.</t>
        </is>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46" customWidth="1" min="1" max="1"/>
    <col width="48" customWidth="1" min="2" max="2"/>
    <col width="10" customWidth="1" min="3" max="3"/>
    <col width="15" customWidth="1" min="4" max="4"/>
    <col width="11" customWidth="1" min="5" max="5"/>
    <col width="21" customWidth="1" min="6" max="6"/>
    <col width="10" customWidth="1" min="7" max="7"/>
  </cols>
  <sheetData>
    <row r="1">
      <c r="A1" s="19" t="inlineStr">
        <is>
          <t>Tabla 2.2-1 · Condiciones: qué quedó fijo y qué se barrió</t>
        </is>
      </c>
    </row>
    <row r="2">
      <c r="A2" s="20" t="inlineStr">
        <is>
          <t>Estudio 2.2 · Dos cambios · Partes: 2.2a, 2.2b</t>
        </is>
      </c>
    </row>
    <row r="3">
      <c r="A3" s="20" t="inlineStr">
        <is>
          <t>Punto base: PP = punto del profesor salvo el par movido</t>
        </is>
      </c>
    </row>
    <row r="4">
      <c r="A4" s="41" t="inlineStr">
        <is>
          <t>Parte 2.2a (conservar la fuente (ε_HRVG × P_baja)):</t>
        </is>
      </c>
    </row>
    <row r="5">
      <c r="A5" s="21" t="inlineStr">
        <is>
          <t>Datos fijos: T_fuente = 623.15 K; T_sumidero = 300.03 K; P_alta = 3000 kPa; x_b = 0.5; m_b = 1 kg/s; η_t = 0.85; η_p = 0.75; ε_reg = 0.75; ε_cond = 0.8; motor de propiedades = teqp.</t>
        </is>
      </c>
    </row>
    <row r="6">
      <c r="A6" s="21" t="inlineStr">
        <is>
          <t>Datos barridos: P_baja [400–2000] kPa (12 valores); ε_HRVG [0.75–0.81] (3 valores).</t>
        </is>
      </c>
    </row>
    <row r="7">
      <c r="A7" s="41" t="inlineStr">
        <is>
          <t>Parte 2.2b (bajar la fuente (T_fuente × P_baja)):</t>
        </is>
      </c>
    </row>
    <row r="8">
      <c r="A8" s="21" t="inlineStr">
        <is>
          <t>Datos fijos: T_sumidero = 300.03 K; P_alta = 3000 kPa; x_b = 0.5; m_b = 1 kg/s; η_t = 0.85; η_p = 0.75; ε_HRVG = 0.85; ε_reg = 0.75; ε_cond = 0.8; motor de propiedades = teqp.</t>
        </is>
      </c>
    </row>
    <row r="9">
      <c r="A9" s="21" t="inlineStr">
        <is>
          <t>Datos barridos: T_fuente [380–560] K (9 valores); P_baja [400–2000] kPa (32 valores).</t>
        </is>
      </c>
    </row>
    <row r="10">
      <c r="A10" s="20" t="inlineStr">
        <is>
          <t>Fuente: analisis_final/00_inventario/condiciones_por_subcaso.csv</t>
        </is>
      </c>
    </row>
    <row r="12">
      <c r="A12" s="22" t="inlineStr">
        <is>
          <t>Parte</t>
        </is>
      </c>
      <c r="B12" s="22" t="inlineStr">
        <is>
          <t>Variable</t>
        </is>
      </c>
      <c r="C12" s="22" t="inlineStr">
        <is>
          <t>Estado</t>
        </is>
      </c>
      <c r="D12" s="22" t="inlineStr">
        <is>
          <t>Valor o rango</t>
        </is>
      </c>
      <c r="E12" s="22" t="inlineStr">
        <is>
          <t>n valores</t>
        </is>
      </c>
      <c r="F12" s="22" t="inlineStr">
        <is>
          <t>¿Igual al profesor?</t>
        </is>
      </c>
      <c r="G12" s="22" t="inlineStr">
        <is>
          <t>Unidad</t>
        </is>
      </c>
    </row>
    <row r="13">
      <c r="A13" s="16" t="inlineStr">
        <is>
          <t>2.2a · conservar la fuente (ε_HRVG × P_baja)</t>
        </is>
      </c>
      <c r="B13" s="16" t="inlineStr">
        <is>
          <t>Temperatura de la fuente, T_fuente [K]</t>
        </is>
      </c>
      <c r="C13" s="16" t="inlineStr">
        <is>
          <t>Fija</t>
        </is>
      </c>
      <c r="D13" s="16" t="inlineStr">
        <is>
          <t>623.15</t>
        </is>
      </c>
      <c r="E13" s="16" t="n"/>
      <c r="F13" s="16" t="inlineStr">
        <is>
          <t>sí</t>
        </is>
      </c>
      <c r="G13" s="16" t="inlineStr">
        <is>
          <t>K</t>
        </is>
      </c>
    </row>
    <row r="14">
      <c r="A14" s="16" t="inlineStr">
        <is>
          <t>2.2a · conservar la fuente (ε_HRVG × P_baja)</t>
        </is>
      </c>
      <c r="B14" s="16" t="inlineStr">
        <is>
          <t>Temperatura del sumidero, T_sumidero [K]</t>
        </is>
      </c>
      <c r="C14" s="16" t="inlineStr">
        <is>
          <t>Fija</t>
        </is>
      </c>
      <c r="D14" s="16" t="inlineStr">
        <is>
          <t>300.032917</t>
        </is>
      </c>
      <c r="E14" s="16" t="n"/>
      <c r="F14" s="16" t="inlineStr">
        <is>
          <t>sí</t>
        </is>
      </c>
      <c r="G14" s="16" t="inlineStr">
        <is>
          <t>K</t>
        </is>
      </c>
    </row>
    <row r="15">
      <c r="A15" s="16" t="inlineStr">
        <is>
          <t>2.2a · conservar la fuente (ε_HRVG × P_baja)</t>
        </is>
      </c>
      <c r="B15" s="16" t="inlineStr">
        <is>
          <t>Presión de alta, P_alta [kPa]</t>
        </is>
      </c>
      <c r="C15" s="16" t="inlineStr">
        <is>
          <t>Fija</t>
        </is>
      </c>
      <c r="D15" s="16" t="inlineStr">
        <is>
          <t>3000.0</t>
        </is>
      </c>
      <c r="E15" s="16" t="n"/>
      <c r="F15" s="16" t="inlineStr">
        <is>
          <t>sí</t>
        </is>
      </c>
      <c r="G15" s="16" t="inlineStr">
        <is>
          <t>kPa</t>
        </is>
      </c>
    </row>
    <row r="16">
      <c r="A16" s="16" t="inlineStr">
        <is>
          <t>2.2a · conservar la fuente (ε_HRVG × P_baja)</t>
        </is>
      </c>
      <c r="B16" s="16" t="inlineStr">
        <is>
          <t>Presión de baja, P_baja [kPa]</t>
        </is>
      </c>
      <c r="C16" s="16" t="inlineStr">
        <is>
          <t>Barrida</t>
        </is>
      </c>
      <c r="D16" s="16" t="inlineStr">
        <is>
          <t>400.0 – 2000</t>
        </is>
      </c>
      <c r="E16" s="16" t="n">
        <v>12</v>
      </c>
      <c r="F16" s="16" t="n"/>
      <c r="G16" s="16" t="inlineStr">
        <is>
          <t>kPa</t>
        </is>
      </c>
    </row>
    <row r="17">
      <c r="A17" s="16" t="inlineStr">
        <is>
          <t>2.2a · conservar la fuente (ε_HRVG × P_baja)</t>
        </is>
      </c>
      <c r="B17" s="16" t="inlineStr">
        <is>
          <t>Fracción de amoníaco de la mezcla base, x_b [–]</t>
        </is>
      </c>
      <c r="C17" s="16" t="inlineStr">
        <is>
          <t>Fija</t>
        </is>
      </c>
      <c r="D17" s="16" t="inlineStr">
        <is>
          <t>0.5</t>
        </is>
      </c>
      <c r="E17" s="16" t="n"/>
      <c r="F17" s="16" t="inlineStr">
        <is>
          <t>sí</t>
        </is>
      </c>
      <c r="G17" s="16" t="inlineStr">
        <is>
          <t>–</t>
        </is>
      </c>
    </row>
    <row r="18">
      <c r="A18" s="16" t="inlineStr">
        <is>
          <t>2.2a · conservar la fuente (ε_HRVG × P_baja)</t>
        </is>
      </c>
      <c r="B18" s="16" t="inlineStr">
        <is>
          <t>Flujo másico base, m_b [kg/s]</t>
        </is>
      </c>
      <c r="C18" s="16" t="inlineStr">
        <is>
          <t>Fija</t>
        </is>
      </c>
      <c r="D18" s="16" t="inlineStr">
        <is>
          <t>1.0</t>
        </is>
      </c>
      <c r="E18" s="16" t="n"/>
      <c r="F18" s="16" t="inlineStr">
        <is>
          <t>sí</t>
        </is>
      </c>
      <c r="G18" s="16" t="inlineStr">
        <is>
          <t>kg/s</t>
        </is>
      </c>
    </row>
    <row r="19">
      <c r="A19" s="16" t="inlineStr">
        <is>
          <t>2.2a · conservar la fuente (ε_HRVG × P_baja)</t>
        </is>
      </c>
      <c r="B19" s="16" t="inlineStr">
        <is>
          <t>Eficiencia isentrópica de la turbina, η_t [–]</t>
        </is>
      </c>
      <c r="C19" s="16" t="inlineStr">
        <is>
          <t>Fija</t>
        </is>
      </c>
      <c r="D19" s="16" t="inlineStr">
        <is>
          <t>0.85</t>
        </is>
      </c>
      <c r="E19" s="16" t="n"/>
      <c r="F19" s="16" t="inlineStr">
        <is>
          <t>sí</t>
        </is>
      </c>
      <c r="G19" s="16" t="inlineStr">
        <is>
          <t>–</t>
        </is>
      </c>
    </row>
    <row r="20">
      <c r="A20" s="16" t="inlineStr">
        <is>
          <t>2.2a · conservar la fuente (ε_HRVG × P_baja)</t>
        </is>
      </c>
      <c r="B20" s="16" t="inlineStr">
        <is>
          <t>Eficiencia isentrópica de la bomba, η_p [–]</t>
        </is>
      </c>
      <c r="C20" s="16" t="inlineStr">
        <is>
          <t>Fija</t>
        </is>
      </c>
      <c r="D20" s="16" t="inlineStr">
        <is>
          <t>0.75</t>
        </is>
      </c>
      <c r="E20" s="16" t="n"/>
      <c r="F20" s="16" t="inlineStr">
        <is>
          <t>sí</t>
        </is>
      </c>
      <c r="G20" s="16" t="inlineStr">
        <is>
          <t>–</t>
        </is>
      </c>
    </row>
    <row r="21">
      <c r="A21" s="16" t="inlineStr">
        <is>
          <t>2.2a · conservar la fuente (ε_HRVG × P_baja)</t>
        </is>
      </c>
      <c r="B21" s="16" t="inlineStr">
        <is>
          <t>Efectividad del generador de vapor, ε_HRVG [–]</t>
        </is>
      </c>
      <c r="C21" s="16" t="inlineStr">
        <is>
          <t>Barrida</t>
        </is>
      </c>
      <c r="D21" s="16" t="inlineStr">
        <is>
          <t>0.750 – 0.810</t>
        </is>
      </c>
      <c r="E21" s="16" t="n">
        <v>3</v>
      </c>
      <c r="F21" s="16" t="n"/>
      <c r="G21" s="16" t="inlineStr">
        <is>
          <t>–</t>
        </is>
      </c>
    </row>
    <row r="22">
      <c r="A22" s="16" t="inlineStr">
        <is>
          <t>2.2a · conservar la fuente (ε_HRVG × P_baja)</t>
        </is>
      </c>
      <c r="B22" s="16" t="inlineStr">
        <is>
          <t>Efectividad del regenerador, ε_reg [–]</t>
        </is>
      </c>
      <c r="C22" s="16" t="inlineStr">
        <is>
          <t>Fija</t>
        </is>
      </c>
      <c r="D22" s="16" t="inlineStr">
        <is>
          <t>0.75</t>
        </is>
      </c>
      <c r="E22" s="16" t="n"/>
      <c r="F22" s="16" t="inlineStr">
        <is>
          <t>sí</t>
        </is>
      </c>
      <c r="G22" s="16" t="inlineStr">
        <is>
          <t>–</t>
        </is>
      </c>
    </row>
    <row r="23">
      <c r="A23" s="16" t="inlineStr">
        <is>
          <t>2.2a · conservar la fuente (ε_HRVG × P_baja)</t>
        </is>
      </c>
      <c r="B23" s="16" t="inlineStr">
        <is>
          <t>Efectividad del condensador, ε_cond [–]</t>
        </is>
      </c>
      <c r="C23" s="16" t="inlineStr">
        <is>
          <t>Fija</t>
        </is>
      </c>
      <c r="D23" s="16" t="inlineStr">
        <is>
          <t>0.8</t>
        </is>
      </c>
      <c r="E23" s="16" t="n"/>
      <c r="F23" s="16" t="inlineStr">
        <is>
          <t>sí</t>
        </is>
      </c>
      <c r="G23" s="16" t="inlineStr">
        <is>
          <t>–</t>
        </is>
      </c>
    </row>
    <row r="24">
      <c r="A24" s="16" t="inlineStr">
        <is>
          <t>2.2a · conservar la fuente (ε_HRVG × P_baja)</t>
        </is>
      </c>
      <c r="B24" s="16" t="inlineStr">
        <is>
          <t>Piso de O2 (T de diseño de la bomba) [K]</t>
        </is>
      </c>
      <c r="C24" s="16" t="inlineStr">
        <is>
          <t>Sin dato</t>
        </is>
      </c>
      <c r="D24" s="16" t="n"/>
      <c r="E24" s="16" t="n"/>
      <c r="F24" s="16" t="n"/>
      <c r="G24" s="16" t="inlineStr">
        <is>
          <t>K</t>
        </is>
      </c>
    </row>
    <row r="25">
      <c r="A25" s="16" t="inlineStr">
        <is>
          <t>2.2a · conservar la fuente (ε_HRVG × P_baja)</t>
        </is>
      </c>
      <c r="B25" s="16" t="inlineStr">
        <is>
          <t>motor de propiedades</t>
        </is>
      </c>
      <c r="C25" s="16" t="inlineStr">
        <is>
          <t>Fija</t>
        </is>
      </c>
      <c r="D25" s="16" t="inlineStr">
        <is>
          <t>teqp</t>
        </is>
      </c>
      <c r="E25" s="16" t="n"/>
      <c r="F25" s="16" t="n"/>
      <c r="G25" s="16" t="inlineStr">
        <is>
          <t>–</t>
        </is>
      </c>
    </row>
    <row r="26">
      <c r="A26" s="16" t="inlineStr">
        <is>
          <t>2.2b · bajar la fuente (T_fuente × P_baja)</t>
        </is>
      </c>
      <c r="B26" s="16" t="inlineStr">
        <is>
          <t>Temperatura de la fuente, T_fuente [K]</t>
        </is>
      </c>
      <c r="C26" s="16" t="inlineStr">
        <is>
          <t>Barrida</t>
        </is>
      </c>
      <c r="D26" s="16" t="inlineStr">
        <is>
          <t>380.0 – 560.0</t>
        </is>
      </c>
      <c r="E26" s="16" t="n">
        <v>9</v>
      </c>
      <c r="F26" s="16" t="n"/>
      <c r="G26" s="16" t="inlineStr">
        <is>
          <t>K</t>
        </is>
      </c>
    </row>
    <row r="27">
      <c r="A27" s="16" t="inlineStr">
        <is>
          <t>2.2b · bajar la fuente (T_fuente × P_baja)</t>
        </is>
      </c>
      <c r="B27" s="16" t="inlineStr">
        <is>
          <t>Temperatura del sumidero, T_sumidero [K]</t>
        </is>
      </c>
      <c r="C27" s="16" t="inlineStr">
        <is>
          <t>Fija</t>
        </is>
      </c>
      <c r="D27" s="16" t="inlineStr">
        <is>
          <t>300.032917</t>
        </is>
      </c>
      <c r="E27" s="16" t="n"/>
      <c r="F27" s="16" t="inlineStr">
        <is>
          <t>sí</t>
        </is>
      </c>
      <c r="G27" s="16" t="inlineStr">
        <is>
          <t>K</t>
        </is>
      </c>
    </row>
    <row r="28">
      <c r="A28" s="16" t="inlineStr">
        <is>
          <t>2.2b · bajar la fuente (T_fuente × P_baja)</t>
        </is>
      </c>
      <c r="B28" s="16" t="inlineStr">
        <is>
          <t>Presión de alta, P_alta [kPa]</t>
        </is>
      </c>
      <c r="C28" s="16" t="inlineStr">
        <is>
          <t>Fija</t>
        </is>
      </c>
      <c r="D28" s="16" t="inlineStr">
        <is>
          <t>3000.0</t>
        </is>
      </c>
      <c r="E28" s="16" t="n"/>
      <c r="F28" s="16" t="inlineStr">
        <is>
          <t>sí</t>
        </is>
      </c>
      <c r="G28" s="16" t="inlineStr">
        <is>
          <t>kPa</t>
        </is>
      </c>
    </row>
    <row r="29">
      <c r="A29" s="16" t="inlineStr">
        <is>
          <t>2.2b · bajar la fuente (T_fuente × P_baja)</t>
        </is>
      </c>
      <c r="B29" s="16" t="inlineStr">
        <is>
          <t>Presión de baja, P_baja [kPa]</t>
        </is>
      </c>
      <c r="C29" s="16" t="inlineStr">
        <is>
          <t>Barrida</t>
        </is>
      </c>
      <c r="D29" s="16" t="inlineStr">
        <is>
          <t>400.0 – 2000</t>
        </is>
      </c>
      <c r="E29" s="16" t="n">
        <v>32</v>
      </c>
      <c r="F29" s="16" t="n"/>
      <c r="G29" s="16" t="inlineStr">
        <is>
          <t>kPa</t>
        </is>
      </c>
    </row>
    <row r="30">
      <c r="A30" s="16" t="inlineStr">
        <is>
          <t>2.2b · bajar la fuente (T_fuente × P_baja)</t>
        </is>
      </c>
      <c r="B30" s="16" t="inlineStr">
        <is>
          <t>Fracción de amoníaco de la mezcla base, x_b [–]</t>
        </is>
      </c>
      <c r="C30" s="16" t="inlineStr">
        <is>
          <t>Fija</t>
        </is>
      </c>
      <c r="D30" s="16" t="inlineStr">
        <is>
          <t>0.5</t>
        </is>
      </c>
      <c r="E30" s="16" t="n"/>
      <c r="F30" s="16" t="inlineStr">
        <is>
          <t>sí</t>
        </is>
      </c>
      <c r="G30" s="16" t="inlineStr">
        <is>
          <t>–</t>
        </is>
      </c>
    </row>
    <row r="31">
      <c r="A31" s="16" t="inlineStr">
        <is>
          <t>2.2b · bajar la fuente (T_fuente × P_baja)</t>
        </is>
      </c>
      <c r="B31" s="16" t="inlineStr">
        <is>
          <t>Flujo másico base, m_b [kg/s]</t>
        </is>
      </c>
      <c r="C31" s="16" t="inlineStr">
        <is>
          <t>Fija</t>
        </is>
      </c>
      <c r="D31" s="16" t="inlineStr">
        <is>
          <t>1.0</t>
        </is>
      </c>
      <c r="E31" s="16" t="n"/>
      <c r="F31" s="16" t="inlineStr">
        <is>
          <t>sí</t>
        </is>
      </c>
      <c r="G31" s="16" t="inlineStr">
        <is>
          <t>kg/s</t>
        </is>
      </c>
    </row>
    <row r="32">
      <c r="A32" s="16" t="inlineStr">
        <is>
          <t>2.2b · bajar la fuente (T_fuente × P_baja)</t>
        </is>
      </c>
      <c r="B32" s="16" t="inlineStr">
        <is>
          <t>Eficiencia isentrópica de la turbina, η_t [–]</t>
        </is>
      </c>
      <c r="C32" s="16" t="inlineStr">
        <is>
          <t>Fija</t>
        </is>
      </c>
      <c r="D32" s="16" t="inlineStr">
        <is>
          <t>0.85</t>
        </is>
      </c>
      <c r="E32" s="16" t="n"/>
      <c r="F32" s="16" t="inlineStr">
        <is>
          <t>sí</t>
        </is>
      </c>
      <c r="G32" s="16" t="inlineStr">
        <is>
          <t>–</t>
        </is>
      </c>
    </row>
    <row r="33">
      <c r="A33" s="16" t="inlineStr">
        <is>
          <t>2.2b · bajar la fuente (T_fuente × P_baja)</t>
        </is>
      </c>
      <c r="B33" s="16" t="inlineStr">
        <is>
          <t>Eficiencia isentrópica de la bomba, η_p [–]</t>
        </is>
      </c>
      <c r="C33" s="16" t="inlineStr">
        <is>
          <t>Fija</t>
        </is>
      </c>
      <c r="D33" s="16" t="inlineStr">
        <is>
          <t>0.75</t>
        </is>
      </c>
      <c r="E33" s="16" t="n"/>
      <c r="F33" s="16" t="inlineStr">
        <is>
          <t>sí</t>
        </is>
      </c>
      <c r="G33" s="16" t="inlineStr">
        <is>
          <t>–</t>
        </is>
      </c>
    </row>
    <row r="34">
      <c r="A34" s="16" t="inlineStr">
        <is>
          <t>2.2b · bajar la fuente (T_fuente × P_baja)</t>
        </is>
      </c>
      <c r="B34" s="16" t="inlineStr">
        <is>
          <t>Efectividad del generador de vapor, ε_HRVG [–]</t>
        </is>
      </c>
      <c r="C34" s="16" t="inlineStr">
        <is>
          <t>Fija</t>
        </is>
      </c>
      <c r="D34" s="16" t="inlineStr">
        <is>
          <t>0.85</t>
        </is>
      </c>
      <c r="E34" s="16" t="n"/>
      <c r="F34" s="16" t="inlineStr">
        <is>
          <t>sí</t>
        </is>
      </c>
      <c r="G34" s="16" t="inlineStr">
        <is>
          <t>–</t>
        </is>
      </c>
    </row>
    <row r="35">
      <c r="A35" s="16" t="inlineStr">
        <is>
          <t>2.2b · bajar la fuente (T_fuente × P_baja)</t>
        </is>
      </c>
      <c r="B35" s="16" t="inlineStr">
        <is>
          <t>Efectividad del regenerador, ε_reg [–]</t>
        </is>
      </c>
      <c r="C35" s="16" t="inlineStr">
        <is>
          <t>Fija</t>
        </is>
      </c>
      <c r="D35" s="16" t="inlineStr">
        <is>
          <t>0.75</t>
        </is>
      </c>
      <c r="E35" s="16" t="n"/>
      <c r="F35" s="16" t="inlineStr">
        <is>
          <t>sí</t>
        </is>
      </c>
      <c r="G35" s="16" t="inlineStr">
        <is>
          <t>–</t>
        </is>
      </c>
    </row>
    <row r="36">
      <c r="A36" s="16" t="inlineStr">
        <is>
          <t>2.2b · bajar la fuente (T_fuente × P_baja)</t>
        </is>
      </c>
      <c r="B36" s="16" t="inlineStr">
        <is>
          <t>Efectividad del condensador, ε_cond [–]</t>
        </is>
      </c>
      <c r="C36" s="16" t="inlineStr">
        <is>
          <t>Fija</t>
        </is>
      </c>
      <c r="D36" s="16" t="inlineStr">
        <is>
          <t>0.8</t>
        </is>
      </c>
      <c r="E36" s="16" t="n"/>
      <c r="F36" s="16" t="inlineStr">
        <is>
          <t>sí</t>
        </is>
      </c>
      <c r="G36" s="16" t="inlineStr">
        <is>
          <t>–</t>
        </is>
      </c>
    </row>
    <row r="37">
      <c r="A37" s="16" t="inlineStr">
        <is>
          <t>2.2b · bajar la fuente (T_fuente × P_baja)</t>
        </is>
      </c>
      <c r="B37" s="16" t="inlineStr">
        <is>
          <t>Piso de O2 (T de diseño de la bomba) [K]</t>
        </is>
      </c>
      <c r="C37" s="16" t="inlineStr">
        <is>
          <t>Sin dato</t>
        </is>
      </c>
      <c r="D37" s="16" t="n"/>
      <c r="E37" s="16" t="n"/>
      <c r="F37" s="16" t="n"/>
      <c r="G37" s="16" t="inlineStr">
        <is>
          <t>K</t>
        </is>
      </c>
    </row>
    <row r="38">
      <c r="A38" s="16" t="inlineStr">
        <is>
          <t>2.2b · bajar la fuente (T_fuente × P_baja)</t>
        </is>
      </c>
      <c r="B38" s="16" t="inlineStr">
        <is>
          <t>motor de propiedades</t>
        </is>
      </c>
      <c r="C38" s="16" t="inlineStr">
        <is>
          <t>Fija</t>
        </is>
      </c>
      <c r="D38" s="16" t="inlineStr">
        <is>
          <t>teqp</t>
        </is>
      </c>
      <c r="E38" s="16" t="n"/>
      <c r="F38" s="16" t="n"/>
      <c r="G38" s="16" t="inlineStr">
        <is>
          <t>–</t>
        </is>
      </c>
    </row>
    <row r="40">
      <c r="A40" s="23" t="inlineStr">
        <is>
          <t>Notas: Filtro: cada parte y cada variable. n = 26 filas en la tabla. † = fuera del rango confiable (IAPWS G4-01); ‡ = falso convergido. Fuente: analisis_final/00_inventario/condiciones_por_subcaso.csv.</t>
        </is>
      </c>
    </row>
  </sheetData>
  <autoFilter ref="A12:G3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46"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2.2-2 · Corridas por parte y por clase</t>
        </is>
      </c>
    </row>
    <row r="2">
      <c r="A2" s="20" t="inlineStr">
        <is>
          <t>Estudio 2.2 · Dos cambios · Partes: 2.2a, 2.2b</t>
        </is>
      </c>
    </row>
    <row r="3">
      <c r="A3" s="20" t="inlineStr">
        <is>
          <t>Punto base: PP = punto del profesor salvo el par movido</t>
        </is>
      </c>
    </row>
    <row r="4">
      <c r="A4" s="41" t="inlineStr">
        <is>
          <t>Parte 2.2a (conservar la fuente (ε_HRVG × P_baja)):</t>
        </is>
      </c>
    </row>
    <row r="5">
      <c r="A5" s="21" t="inlineStr">
        <is>
          <t>Datos fijos: T_fuente = 623.15 K; T_sumidero = 300.03 K; P_alta = 3000 kPa; x_b = 0.5; m_b = 1 kg/s; η_t = 0.85; η_p = 0.75; ε_reg = 0.75; ε_cond = 0.8; motor de propiedades = teqp.</t>
        </is>
      </c>
    </row>
    <row r="6">
      <c r="A6" s="21" t="inlineStr">
        <is>
          <t>Datos barridos: P_baja [400–2000] kPa (12 valores); ε_HRVG [0.75–0.81] (3 valores).</t>
        </is>
      </c>
    </row>
    <row r="7">
      <c r="A7" s="41" t="inlineStr">
        <is>
          <t>Parte 2.2b (bajar la fuente (T_fuente × P_baja)):</t>
        </is>
      </c>
    </row>
    <row r="8">
      <c r="A8" s="21" t="inlineStr">
        <is>
          <t>Datos fijos: T_sumidero = 300.03 K; P_alta = 3000 kPa; x_b = 0.5; m_b = 1 kg/s; η_t = 0.85; η_p = 0.75; ε_HRVG = 0.85; ε_reg = 0.75; ε_cond = 0.8; motor de propiedades = teqp.</t>
        </is>
      </c>
    </row>
    <row r="9">
      <c r="A9" s="21" t="inlineStr">
        <is>
          <t>Datos barridos: T_fuente [380–560] K (9 valores); P_baja [400–2000] kPa (32 valores).</t>
        </is>
      </c>
    </row>
    <row r="10">
      <c r="A10" s="20" t="inlineStr">
        <is>
          <t>Fuente: analisis_final/00_inventario/conteo_por_subcaso.csv</t>
        </is>
      </c>
    </row>
    <row r="12">
      <c r="A12" s="22" t="inlineStr">
        <is>
          <t>Parte</t>
        </is>
      </c>
      <c r="B12" s="22" t="inlineStr">
        <is>
          <t>Corridas</t>
        </is>
      </c>
      <c r="C12" s="22" t="inlineStr">
        <is>
          <t>Omitidos</t>
        </is>
      </c>
      <c r="D12" s="22" t="inlineStr">
        <is>
          <t>Genuinos</t>
        </is>
      </c>
      <c r="E12" s="22" t="inlineStr">
        <is>
          <t>KALINA</t>
        </is>
      </c>
      <c r="F12" s="22" t="inlineStr">
        <is>
          <t>KALINA confiables</t>
        </is>
      </c>
      <c r="G12" s="22" t="inlineStr">
        <is>
          <t>Corregibles</t>
        </is>
      </c>
      <c r="H12" s="22" t="inlineStr">
        <is>
          <t>Inviables</t>
        </is>
      </c>
      <c r="I12" s="22" t="inlineStr">
        <is>
          <t>No convergidos</t>
        </is>
      </c>
      <c r="J12" s="22" t="inlineStr">
        <is>
          <t>Falsos convergidos</t>
        </is>
      </c>
      <c r="K12" s="22" t="inlineStr">
        <is>
          <t>Fuera de rango</t>
        </is>
      </c>
    </row>
    <row r="13">
      <c r="A13" s="16" t="inlineStr">
        <is>
          <t>2.2a · conservar la fuente (ε_HRVG × P_baja)</t>
        </is>
      </c>
      <c r="B13" s="16" t="n">
        <v>36</v>
      </c>
      <c r="C13" s="16" t="n">
        <v>0</v>
      </c>
      <c r="D13" s="16" t="n">
        <v>36</v>
      </c>
      <c r="E13" s="16" t="n">
        <v>0</v>
      </c>
      <c r="F13" s="16" t="n">
        <v>0</v>
      </c>
      <c r="G13" s="16" t="n">
        <v>36</v>
      </c>
      <c r="H13" s="16" t="n">
        <v>0</v>
      </c>
      <c r="I13" s="16" t="n">
        <v>0</v>
      </c>
      <c r="J13" s="16" t="n">
        <v>0</v>
      </c>
      <c r="K13" s="16" t="n">
        <v>36</v>
      </c>
    </row>
    <row r="14">
      <c r="A14" s="16" t="inlineStr">
        <is>
          <t>2.2b · bajar la fuente (T_fuente × P_baja)</t>
        </is>
      </c>
      <c r="B14" s="16" t="n">
        <v>144</v>
      </c>
      <c r="C14" s="16" t="n">
        <v>0</v>
      </c>
      <c r="D14" s="16" t="n">
        <v>129</v>
      </c>
      <c r="E14" s="16" t="n">
        <v>59</v>
      </c>
      <c r="F14" s="16" t="n">
        <v>48</v>
      </c>
      <c r="G14" s="16" t="n">
        <v>70</v>
      </c>
      <c r="H14" s="16" t="n">
        <v>0</v>
      </c>
      <c r="I14" s="16" t="n">
        <v>3</v>
      </c>
      <c r="J14" s="16" t="n">
        <v>12</v>
      </c>
      <c r="K14" s="16" t="n">
        <v>69</v>
      </c>
    </row>
    <row r="16">
      <c r="A16" s="23" t="inlineStr">
        <is>
          <t>Notas: Filtro: conteo por parte. n = 2 filas en la tabla. † = fuera del rango confiable (IAPWS G4-01); ‡ = falso convergido. Fuente: analisis_final/00_inventario/conteo_por_subcaso.csv.</t>
        </is>
      </c>
    </row>
  </sheetData>
  <autoFilter ref="A12:K1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10" customWidth="1" min="1" max="1"/>
    <col width="12" customWidth="1" min="2" max="2"/>
    <col width="10" customWidth="1" min="3" max="3"/>
    <col width="10" customWidth="1" min="4" max="4"/>
    <col width="10" customWidth="1" min="5" max="5"/>
    <col width="20" customWidth="1" min="6" max="6"/>
    <col width="28" customWidth="1" min="7" max="7"/>
    <col width="21" customWidth="1" min="8" max="8"/>
    <col width="36" customWidth="1" min="9" max="9"/>
    <col width="28" customWidth="1" min="10" max="10"/>
    <col width="10" customWidth="1" min="11" max="11"/>
    <col width="26" customWidth="1" min="12" max="12"/>
    <col width="34" customWidth="1" min="13" max="13"/>
  </cols>
  <sheetData>
    <row r="1">
      <c r="A1" s="19" t="inlineStr">
        <is>
          <t>Tabla 2.2-3 · Resumen de la malla de dos cambios</t>
        </is>
      </c>
    </row>
    <row r="2">
      <c r="A2" s="20" t="inlineStr">
        <is>
          <t>Estudio 2.2 · Dos cambios · Partes: 2.2a, 2.2b</t>
        </is>
      </c>
    </row>
    <row r="3">
      <c r="A3" s="20" t="inlineStr">
        <is>
          <t>Punto base: PP = punto del profesor salvo el par movido</t>
        </is>
      </c>
    </row>
    <row r="4">
      <c r="A4" s="41" t="inlineStr">
        <is>
          <t>Parte 2.2a (conservar la fuente (ε_HRVG × P_baja)):</t>
        </is>
      </c>
    </row>
    <row r="5">
      <c r="A5" s="21" t="inlineStr">
        <is>
          <t>Datos fijos: T_fuente = 623.15 K; T_sumidero = 300.03 K; P_alta = 3000 kPa; x_b = 0.5; m_b = 1 kg/s; η_t = 0.85; η_p = 0.75; ε_reg = 0.75; ε_cond = 0.8; motor de propiedades = teqp.</t>
        </is>
      </c>
    </row>
    <row r="6">
      <c r="A6" s="21" t="inlineStr">
        <is>
          <t>Datos barridos: P_baja [400–2000] kPa (12 valores); ε_HRVG [0.75–0.81] (3 valores).</t>
        </is>
      </c>
    </row>
    <row r="7">
      <c r="A7" s="41" t="inlineStr">
        <is>
          <t>Parte 2.2b (bajar la fuente (T_fuente × P_baja)):</t>
        </is>
      </c>
    </row>
    <row r="8">
      <c r="A8" s="21" t="inlineStr">
        <is>
          <t>Datos fijos: T_sumidero = 300.03 K; P_alta = 3000 kPa; x_b = 0.5; m_b = 1 kg/s; η_t = 0.85; η_p = 0.75; ε_HRVG = 0.85; ε_reg = 0.75; ε_cond = 0.8; motor de propiedades = teqp.</t>
        </is>
      </c>
    </row>
    <row r="9">
      <c r="A9" s="21" t="inlineStr">
        <is>
          <t>Datos barridos: T_fuente [380–560] K (9 valores); P_baja [400–2000] kPa (32 valores).</t>
        </is>
      </c>
    </row>
    <row r="10">
      <c r="A10" s="20" t="inlineStr">
        <is>
          <t>Fuente: resultados/2026-10-06_final_M2/m2n2_resumen.csv</t>
        </is>
      </c>
    </row>
    <row r="12">
      <c r="A12" s="22" t="inlineStr">
        <is>
          <t>Ruta</t>
        </is>
      </c>
      <c r="B12" s="22" t="inlineStr">
        <is>
          <t>Variable 1</t>
        </is>
      </c>
      <c r="C12" s="22" t="inlineStr">
        <is>
          <t>Valor 1</t>
        </is>
      </c>
      <c r="D12" s="22" t="inlineStr">
        <is>
          <t>Genuinos</t>
        </is>
      </c>
      <c r="E12" s="22" t="inlineStr">
        <is>
          <t>KALINA</t>
        </is>
      </c>
      <c r="F12" s="22" t="inlineStr">
        <is>
          <t>Falsos convergidos</t>
        </is>
      </c>
      <c r="G12" s="22" t="inlineStr">
        <is>
          <t>P_baja mínima KALINA [kPa]</t>
        </is>
      </c>
      <c r="H12" s="22" t="inlineStr">
        <is>
          <t>η mínima KALINA [%]</t>
        </is>
      </c>
      <c r="I12" s="22" t="inlineStr">
        <is>
          <t>Fuera de rango en la mínima KALINA</t>
        </is>
      </c>
      <c r="J12" s="22" t="inlineStr">
        <is>
          <t>P_baja mínima con O2 [kPa]</t>
        </is>
      </c>
      <c r="K12" s="22" t="inlineStr">
        <is>
          <t>D mínimo</t>
        </is>
      </c>
      <c r="L12" s="22" t="inlineStr">
        <is>
          <t>P_baja del mejor D [kPa]</t>
        </is>
      </c>
      <c r="M12" s="22" t="inlineStr">
        <is>
          <t>Criterios bloqueantes frecuentes</t>
        </is>
      </c>
    </row>
    <row r="13">
      <c r="A13" s="16" t="inlineStr">
        <is>
          <t>A</t>
        </is>
      </c>
      <c r="B13" s="16" t="inlineStr">
        <is>
          <t>ε_HRVG</t>
        </is>
      </c>
      <c r="C13" s="16" t="n">
        <v>0.75</v>
      </c>
      <c r="D13" s="16" t="n">
        <v>12</v>
      </c>
      <c r="E13" s="16" t="n">
        <v>0</v>
      </c>
      <c r="F13" s="16" t="n">
        <v>0</v>
      </c>
      <c r="G13" s="16" t="n"/>
      <c r="H13" s="16" t="n"/>
      <c r="I13" s="16" t="n"/>
      <c r="J13" s="16" t="n"/>
      <c r="K13" s="16" t="n">
        <v>5.7735</v>
      </c>
      <c r="L13" s="36" t="n">
        <v>2000</v>
      </c>
      <c r="M13" s="16" t="inlineStr">
        <is>
          <t>O2(12) · O1(1)</t>
        </is>
      </c>
    </row>
    <row r="14">
      <c r="A14" s="16" t="inlineStr">
        <is>
          <t>A</t>
        </is>
      </c>
      <c r="B14" s="16" t="inlineStr">
        <is>
          <t>ε_HRVG</t>
        </is>
      </c>
      <c r="C14" s="16" t="n">
        <v>0.78</v>
      </c>
      <c r="D14" s="16" t="n">
        <v>12</v>
      </c>
      <c r="E14" s="16" t="n">
        <v>0</v>
      </c>
      <c r="F14" s="16" t="n">
        <v>0</v>
      </c>
      <c r="G14" s="16" t="n"/>
      <c r="H14" s="16" t="n"/>
      <c r="I14" s="16" t="n"/>
      <c r="J14" s="16" t="n"/>
      <c r="K14" s="16" t="n">
        <v>6.6862</v>
      </c>
      <c r="L14" s="36" t="n">
        <v>2000</v>
      </c>
      <c r="M14" s="16" t="inlineStr">
        <is>
          <t>O2(12) · O1(1)</t>
        </is>
      </c>
    </row>
    <row r="15">
      <c r="A15" s="16" t="inlineStr">
        <is>
          <t>A</t>
        </is>
      </c>
      <c r="B15" s="16" t="inlineStr">
        <is>
          <t>ε_HRVG</t>
        </is>
      </c>
      <c r="C15" s="16" t="n">
        <v>0.8100000000000001</v>
      </c>
      <c r="D15" s="16" t="n">
        <v>12</v>
      </c>
      <c r="E15" s="16" t="n">
        <v>0</v>
      </c>
      <c r="F15" s="16" t="n">
        <v>0</v>
      </c>
      <c r="G15" s="16" t="n"/>
      <c r="H15" s="16" t="n"/>
      <c r="I15" s="16" t="n"/>
      <c r="J15" s="16" t="n"/>
      <c r="K15" s="16" t="n">
        <v>7.6088</v>
      </c>
      <c r="L15" s="36" t="n">
        <v>2000</v>
      </c>
      <c r="M15" s="16" t="inlineStr">
        <is>
          <t>O2(12) · O1(1)</t>
        </is>
      </c>
    </row>
    <row r="16">
      <c r="A16" s="16" t="inlineStr">
        <is>
          <t>B</t>
        </is>
      </c>
      <c r="B16" s="16" t="inlineStr">
        <is>
          <t>T_fuente</t>
        </is>
      </c>
      <c r="C16" s="16" t="n">
        <v>380</v>
      </c>
      <c r="D16" s="16" t="n">
        <v>0</v>
      </c>
      <c r="E16" s="16" t="n">
        <v>0</v>
      </c>
      <c r="F16" s="16" t="n">
        <v>12</v>
      </c>
      <c r="G16" s="16" t="n"/>
      <c r="H16" s="16" t="n"/>
      <c r="I16" s="16" t="n"/>
      <c r="J16" s="16" t="n"/>
      <c r="K16" s="16" t="n">
        <v>7.1724</v>
      </c>
      <c r="L16" s="36" t="n">
        <v>2000</v>
      </c>
      <c r="M16" s="16" t="n"/>
    </row>
    <row r="17">
      <c r="A17" s="16" t="inlineStr">
        <is>
          <t>B</t>
        </is>
      </c>
      <c r="B17" s="16" t="inlineStr">
        <is>
          <t>T_fuente</t>
        </is>
      </c>
      <c r="C17" s="16" t="n">
        <v>390</v>
      </c>
      <c r="D17" s="16" t="n">
        <v>20</v>
      </c>
      <c r="E17" s="16" t="n">
        <v>17</v>
      </c>
      <c r="F17" s="16" t="n">
        <v>0</v>
      </c>
      <c r="G17" s="35" t="n">
        <v>445.45</v>
      </c>
      <c r="H17" s="29" t="n">
        <v>2.4464</v>
      </c>
      <c r="I17" s="16" t="inlineStr">
        <is>
          <t>no</t>
        </is>
      </c>
      <c r="J17" s="35" t="n">
        <v>445.45</v>
      </c>
      <c r="K17" s="16" t="n">
        <v>0</v>
      </c>
      <c r="L17" s="35" t="n">
        <v>445.45</v>
      </c>
      <c r="M17" s="16" t="inlineStr">
        <is>
          <t>O2(3)</t>
        </is>
      </c>
    </row>
    <row r="18">
      <c r="A18" s="16" t="inlineStr">
        <is>
          <t>B</t>
        </is>
      </c>
      <c r="B18" s="16" t="inlineStr">
        <is>
          <t>T_fuente</t>
        </is>
      </c>
      <c r="C18" s="16" t="n">
        <v>403</v>
      </c>
      <c r="D18" s="16" t="n">
        <v>20</v>
      </c>
      <c r="E18" s="16" t="n">
        <v>16</v>
      </c>
      <c r="F18" s="16" t="n">
        <v>0</v>
      </c>
      <c r="G18" s="35" t="n">
        <v>563.64</v>
      </c>
      <c r="H18" s="29" t="n">
        <v>8.4819</v>
      </c>
      <c r="I18" s="16" t="inlineStr">
        <is>
          <t>no</t>
        </is>
      </c>
      <c r="J18" s="35" t="n">
        <v>563.64</v>
      </c>
      <c r="K18" s="16" t="n">
        <v>0</v>
      </c>
      <c r="L18" s="35" t="n">
        <v>563.64</v>
      </c>
      <c r="M18" s="16" t="inlineStr">
        <is>
          <t>O2(4)</t>
        </is>
      </c>
    </row>
    <row r="19">
      <c r="A19" s="16" t="inlineStr">
        <is>
          <t>B</t>
        </is>
      </c>
      <c r="B19" s="16" t="inlineStr">
        <is>
          <t>T_fuente</t>
        </is>
      </c>
      <c r="C19" s="16" t="n">
        <v>420</v>
      </c>
      <c r="D19" s="16" t="n">
        <v>20</v>
      </c>
      <c r="E19" s="16" t="n">
        <v>15</v>
      </c>
      <c r="F19" s="16" t="n">
        <v>0</v>
      </c>
      <c r="G19" s="35" t="n">
        <v>736.36</v>
      </c>
      <c r="H19" s="29" t="n">
        <v>9.150399999999999</v>
      </c>
      <c r="I19" s="16" t="inlineStr">
        <is>
          <t>no</t>
        </is>
      </c>
      <c r="J19" s="35" t="n">
        <v>736.36</v>
      </c>
      <c r="K19" s="16" t="n">
        <v>0</v>
      </c>
      <c r="L19" s="35" t="n">
        <v>736.36</v>
      </c>
      <c r="M19" s="16" t="inlineStr">
        <is>
          <t>O2(5)</t>
        </is>
      </c>
    </row>
    <row r="20">
      <c r="A20" s="16" t="inlineStr">
        <is>
          <t>B</t>
        </is>
      </c>
      <c r="B20" s="16" t="inlineStr">
        <is>
          <t>T_fuente</t>
        </is>
      </c>
      <c r="C20" s="16" t="n">
        <v>434</v>
      </c>
      <c r="D20" s="16" t="n">
        <v>21</v>
      </c>
      <c r="E20" s="16" t="n">
        <v>11</v>
      </c>
      <c r="F20" s="16" t="n">
        <v>0</v>
      </c>
      <c r="G20" s="35" t="n">
        <v>945.45</v>
      </c>
      <c r="H20" s="29" t="n">
        <v>8.234400000000001</v>
      </c>
      <c r="I20" s="16" t="inlineStr">
        <is>
          <t>sí</t>
        </is>
      </c>
      <c r="J20" s="35" t="n">
        <v>945.45</v>
      </c>
      <c r="K20" s="16" t="n">
        <v>0</v>
      </c>
      <c r="L20" s="35" t="n">
        <v>945.45</v>
      </c>
      <c r="M20" s="16" t="inlineStr">
        <is>
          <t>O2(10)</t>
        </is>
      </c>
    </row>
    <row r="21">
      <c r="A21" s="16" t="inlineStr">
        <is>
          <t>B</t>
        </is>
      </c>
      <c r="B21" s="16" t="inlineStr">
        <is>
          <t>T_fuente</t>
        </is>
      </c>
      <c r="C21" s="16" t="n">
        <v>466</v>
      </c>
      <c r="D21" s="16" t="n">
        <v>12</v>
      </c>
      <c r="E21" s="16" t="n">
        <v>0</v>
      </c>
      <c r="F21" s="16" t="n">
        <v>0</v>
      </c>
      <c r="G21" s="16" t="n"/>
      <c r="H21" s="16" t="n"/>
      <c r="I21" s="16" t="n"/>
      <c r="J21" s="16" t="n"/>
      <c r="K21" s="16" t="n">
        <v>1.1722</v>
      </c>
      <c r="L21" s="36" t="n">
        <v>2000</v>
      </c>
      <c r="M21" s="16" t="inlineStr">
        <is>
          <t>O2(12)</t>
        </is>
      </c>
    </row>
    <row r="22">
      <c r="A22" s="16" t="inlineStr">
        <is>
          <t>B</t>
        </is>
      </c>
      <c r="B22" s="16" t="inlineStr">
        <is>
          <t>T_fuente</t>
        </is>
      </c>
      <c r="C22" s="16" t="n">
        <v>497</v>
      </c>
      <c r="D22" s="16" t="n">
        <v>12</v>
      </c>
      <c r="E22" s="16" t="n">
        <v>0</v>
      </c>
      <c r="F22" s="16" t="n">
        <v>0</v>
      </c>
      <c r="G22" s="16" t="n"/>
      <c r="H22" s="16" t="n"/>
      <c r="I22" s="16" t="n"/>
      <c r="J22" s="16" t="n"/>
      <c r="K22" s="16" t="n">
        <v>5.0684</v>
      </c>
      <c r="L22" s="36" t="n">
        <v>2000</v>
      </c>
      <c r="M22" s="16" t="inlineStr">
        <is>
          <t>O2(12)</t>
        </is>
      </c>
    </row>
    <row r="23">
      <c r="A23" s="16" t="inlineStr">
        <is>
          <t>B</t>
        </is>
      </c>
      <c r="B23" s="16" t="inlineStr">
        <is>
          <t>T_fuente</t>
        </is>
      </c>
      <c r="C23" s="16" t="n">
        <v>529</v>
      </c>
      <c r="D23" s="16" t="n">
        <v>12</v>
      </c>
      <c r="E23" s="16" t="n">
        <v>0</v>
      </c>
      <c r="F23" s="16" t="n">
        <v>0</v>
      </c>
      <c r="G23" s="16" t="n"/>
      <c r="H23" s="16" t="n"/>
      <c r="I23" s="16" t="n"/>
      <c r="J23" s="16" t="n"/>
      <c r="K23" s="16" t="n">
        <v>6.0506</v>
      </c>
      <c r="L23" s="36" t="n">
        <v>2000</v>
      </c>
      <c r="M23" s="16" t="inlineStr">
        <is>
          <t>O2(12) · O1(1)</t>
        </is>
      </c>
    </row>
    <row r="24">
      <c r="A24" s="16" t="inlineStr">
        <is>
          <t>B</t>
        </is>
      </c>
      <c r="B24" s="16" t="inlineStr">
        <is>
          <t>T_fuente</t>
        </is>
      </c>
      <c r="C24" s="16" t="n">
        <v>560</v>
      </c>
      <c r="D24" s="16" t="n">
        <v>12</v>
      </c>
      <c r="E24" s="16" t="n">
        <v>0</v>
      </c>
      <c r="F24" s="16" t="n">
        <v>0</v>
      </c>
      <c r="G24" s="16" t="n"/>
      <c r="H24" s="16" t="n"/>
      <c r="I24" s="16" t="n"/>
      <c r="J24" s="16" t="n"/>
      <c r="K24" s="16" t="n">
        <v>6.9755</v>
      </c>
      <c r="L24" s="36" t="n">
        <v>2000</v>
      </c>
      <c r="M24" s="16" t="inlineStr">
        <is>
          <t>O2(12) · O1(1)</t>
        </is>
      </c>
    </row>
    <row r="26">
      <c r="A26" s="23" t="inlineStr">
        <is>
          <t>Notas: Filtro: todos los puntos de la malla. n = 12 filas en la tabla. † = fuera del rango confiable (IAPWS G4-01); ‡ = falso convergido. Fuente: resultados/2026-10-06_final_M2/m2n2_resumen.csv.</t>
        </is>
      </c>
    </row>
  </sheetData>
  <autoFilter ref="A12:M2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197"/>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2.2 · Dos cambios</t>
        </is>
      </c>
    </row>
    <row r="2">
      <c r="A2" t="inlineStr">
        <is>
          <t>Cada fila es un punto calculado (n = 180);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6">
      <c r="A6" s="33" t="inlineStr">
        <is>
          <t>Parte 2.2a · conservar la fuente (ε_HRVG × P_baja) · 36 puntos</t>
        </is>
      </c>
      <c r="B6" s="31" t="n"/>
      <c r="C6" s="31" t="n"/>
      <c r="D6" s="31" t="n"/>
      <c r="E6" s="31" t="n"/>
      <c r="F6" s="31" t="n"/>
      <c r="G6" s="31" t="n"/>
      <c r="H6" s="31" t="n"/>
      <c r="I6" s="31" t="n"/>
      <c r="J6" s="31" t="n"/>
      <c r="K6" s="31" t="n"/>
      <c r="M6" s="24" t="inlineStr">
        <is>
          <t>Figura 2.2-1 · Ruta A: conservando la fuente del profesor (623 K), 0 KALINA</t>
        </is>
      </c>
    </row>
    <row r="7"/>
    <row r="8">
      <c r="A8" s="34" t="inlineStr">
        <is>
          <t>Barrido de la parte 2.2a · 36 puntos</t>
        </is>
      </c>
    </row>
    <row r="9">
      <c r="A9" s="25" t="inlineStr">
        <is>
          <t>Fijos en este barrido: T_fuente = 623.15, T_sumidero = 300.03, P_alta = 3000, x_b = 0.5, η_t = 0.85, η_p = 0.75, ε_reg = 0.75, ε_cond = 0.8.</t>
        </is>
      </c>
    </row>
    <row r="10">
      <c r="A10" s="22" t="inlineStr">
        <is>
          <t>id_punto</t>
        </is>
      </c>
      <c r="B10" s="22" t="inlineStr">
        <is>
          <t>P_baja [kPa]</t>
        </is>
      </c>
      <c r="C10" s="22" t="inlineStr">
        <is>
          <t>ε_HRVG [–]</t>
        </is>
      </c>
      <c r="D10" s="22" t="inlineStr">
        <is>
          <t>Clase</t>
        </is>
      </c>
      <c r="E10" s="22" t="inlineStr">
        <is>
          <t>η [%]</t>
        </is>
      </c>
      <c r="F10" s="22" t="inlineStr">
        <is>
          <t>W_net [kW] (m_b = 1 kg/s)</t>
        </is>
      </c>
      <c r="G10" s="22" t="inlineStr">
        <is>
          <t>ΔP [kPa]</t>
        </is>
      </c>
      <c r="H10" s="22" t="inlineStr">
        <is>
          <t>r_P [–]</t>
        </is>
      </c>
      <c r="I10" s="22" t="inlineStr">
        <is>
          <t>Fuera de rango</t>
        </is>
      </c>
      <c r="J10" s="22" t="inlineStr">
        <is>
          <t>Criterios que falla</t>
        </is>
      </c>
    </row>
    <row r="11">
      <c r="A11" s="16" t="inlineStr">
        <is>
          <t>KF-M02-N2-A-0000</t>
        </is>
      </c>
      <c r="B11" s="35" t="n">
        <v>400</v>
      </c>
      <c r="C11" s="37" t="n">
        <v>0.75</v>
      </c>
      <c r="D11" s="39" t="inlineStr">
        <is>
          <t>Corregible</t>
        </is>
      </c>
      <c r="E11" s="29" t="n">
        <v>13.08893763816603</v>
      </c>
      <c r="F11" s="35" t="n">
        <v>224.7695265667433</v>
      </c>
      <c r="G11" s="36" t="n">
        <v>2600</v>
      </c>
      <c r="H11" s="29" t="n">
        <v>7.5</v>
      </c>
      <c r="I11" s="16" t="inlineStr">
        <is>
          <t>sí</t>
        </is>
      </c>
      <c r="J11" s="16" t="inlineStr">
        <is>
          <t>O1,O2</t>
        </is>
      </c>
    </row>
    <row r="12">
      <c r="A12" s="16" t="inlineStr">
        <is>
          <t>KF-M02-N2-A-0012</t>
        </is>
      </c>
      <c r="B12" s="35" t="n">
        <v>400</v>
      </c>
      <c r="C12" s="37" t="n">
        <v>0.78</v>
      </c>
      <c r="D12" s="39" t="inlineStr">
        <is>
          <t>Corregible</t>
        </is>
      </c>
      <c r="E12" s="29" t="n">
        <v>13.06631462681183</v>
      </c>
      <c r="F12" s="35" t="n">
        <v>232.6565179233497</v>
      </c>
      <c r="G12" s="36" t="n">
        <v>2600</v>
      </c>
      <c r="H12" s="29" t="n">
        <v>7.5</v>
      </c>
      <c r="I12" s="16" t="inlineStr">
        <is>
          <t>sí</t>
        </is>
      </c>
      <c r="J12" s="16" t="inlineStr">
        <is>
          <t>O1,O2</t>
        </is>
      </c>
    </row>
    <row r="13">
      <c r="A13" s="16" t="inlineStr">
        <is>
          <t>KF-M02-N2-A-0024</t>
        </is>
      </c>
      <c r="B13" s="35" t="n">
        <v>400</v>
      </c>
      <c r="C13" s="37" t="n">
        <v>0.8100000000000001</v>
      </c>
      <c r="D13" s="39" t="inlineStr">
        <is>
          <t>Corregible</t>
        </is>
      </c>
      <c r="E13" s="29" t="n">
        <v>13.04611385432577</v>
      </c>
      <c r="F13" s="35" t="n">
        <v>240.5204537741912</v>
      </c>
      <c r="G13" s="36" t="n">
        <v>2600</v>
      </c>
      <c r="H13" s="29" t="n">
        <v>7.5</v>
      </c>
      <c r="I13" s="16" t="inlineStr">
        <is>
          <t>sí</t>
        </is>
      </c>
      <c r="J13" s="16" t="inlineStr">
        <is>
          <t>O1,O2</t>
        </is>
      </c>
    </row>
    <row r="14">
      <c r="A14" s="16" t="inlineStr">
        <is>
          <t>KF-M02-N2-A-0001</t>
        </is>
      </c>
      <c r="B14" s="35" t="n">
        <v>545.4545454545455</v>
      </c>
      <c r="C14" s="37" t="n">
        <v>0.75</v>
      </c>
      <c r="D14" s="39" t="inlineStr">
        <is>
          <t>Corregible</t>
        </is>
      </c>
      <c r="E14" s="29" t="n">
        <v>11.48659119248236</v>
      </c>
      <c r="F14" s="35" t="n">
        <v>197.5749922455601</v>
      </c>
      <c r="G14" s="36" t="n">
        <v>2454.545454545455</v>
      </c>
      <c r="H14" s="29" t="n">
        <v>5.5</v>
      </c>
      <c r="I14" s="16" t="inlineStr">
        <is>
          <t>sí</t>
        </is>
      </c>
      <c r="J14" s="16" t="inlineStr">
        <is>
          <t>O2</t>
        </is>
      </c>
    </row>
    <row r="15">
      <c r="A15" s="16" t="inlineStr">
        <is>
          <t>KF-M02-N2-A-0013</t>
        </is>
      </c>
      <c r="B15" s="35" t="n">
        <v>545.4545454545455</v>
      </c>
      <c r="C15" s="37" t="n">
        <v>0.78</v>
      </c>
      <c r="D15" s="39" t="inlineStr">
        <is>
          <t>Corregible</t>
        </is>
      </c>
      <c r="E15" s="29" t="n">
        <v>11.45603391170996</v>
      </c>
      <c r="F15" s="35" t="n">
        <v>204.3318635702077</v>
      </c>
      <c r="G15" s="36" t="n">
        <v>2454.545454545455</v>
      </c>
      <c r="H15" s="29" t="n">
        <v>5.5</v>
      </c>
      <c r="I15" s="16" t="inlineStr">
        <is>
          <t>sí</t>
        </is>
      </c>
      <c r="J15" s="16" t="inlineStr">
        <is>
          <t>O2</t>
        </is>
      </c>
    </row>
    <row r="16">
      <c r="A16" s="16" t="inlineStr">
        <is>
          <t>KF-M02-N2-A-0025</t>
        </is>
      </c>
      <c r="B16" s="35" t="n">
        <v>545.4545454545455</v>
      </c>
      <c r="C16" s="37" t="n">
        <v>0.8100000000000001</v>
      </c>
      <c r="D16" s="39" t="inlineStr">
        <is>
          <t>Corregible</t>
        </is>
      </c>
      <c r="E16" s="29" t="n">
        <v>11.42828787356508</v>
      </c>
      <c r="F16" s="35" t="n">
        <v>211.0685374024544</v>
      </c>
      <c r="G16" s="36" t="n">
        <v>2454.545454545455</v>
      </c>
      <c r="H16" s="29" t="n">
        <v>5.5</v>
      </c>
      <c r="I16" s="16" t="inlineStr">
        <is>
          <t>sí</t>
        </is>
      </c>
      <c r="J16" s="16" t="inlineStr">
        <is>
          <t>O2</t>
        </is>
      </c>
    </row>
    <row r="17">
      <c r="A17" s="16" t="inlineStr">
        <is>
          <t>KF-M02-N2-A-0002</t>
        </is>
      </c>
      <c r="B17" s="35" t="n">
        <v>690.909090909091</v>
      </c>
      <c r="C17" s="37" t="n">
        <v>0.75</v>
      </c>
      <c r="D17" s="39" t="inlineStr">
        <is>
          <t>Corregible</t>
        </is>
      </c>
      <c r="E17" s="29" t="n">
        <v>10.18043212230912</v>
      </c>
      <c r="F17" s="35" t="n">
        <v>175.2529216676665</v>
      </c>
      <c r="G17" s="36" t="n">
        <v>2309.090909090909</v>
      </c>
      <c r="H17" s="29" t="n">
        <v>4.342105263157894</v>
      </c>
      <c r="I17" s="16" t="inlineStr">
        <is>
          <t>sí</t>
        </is>
      </c>
      <c r="J17" s="16" t="inlineStr">
        <is>
          <t>O2</t>
        </is>
      </c>
    </row>
    <row r="18">
      <c r="A18" s="16" t="inlineStr">
        <is>
          <t>KF-M02-N2-A-0014</t>
        </is>
      </c>
      <c r="B18" s="35" t="n">
        <v>690.909090909091</v>
      </c>
      <c r="C18" s="37" t="n">
        <v>0.78</v>
      </c>
      <c r="D18" s="39" t="inlineStr">
        <is>
          <t>Corregible</t>
        </is>
      </c>
      <c r="E18" s="29" t="n">
        <v>10.14589750199819</v>
      </c>
      <c r="F18" s="35" t="n">
        <v>181.123914519855</v>
      </c>
      <c r="G18" s="36" t="n">
        <v>2309.090909090909</v>
      </c>
      <c r="H18" s="29" t="n">
        <v>4.342105263157894</v>
      </c>
      <c r="I18" s="16" t="inlineStr">
        <is>
          <t>sí</t>
        </is>
      </c>
      <c r="J18" s="16" t="inlineStr">
        <is>
          <t>O2</t>
        </is>
      </c>
    </row>
    <row r="19">
      <c r="A19" s="16" t="inlineStr">
        <is>
          <t>KF-M02-N2-A-0026</t>
        </is>
      </c>
      <c r="B19" s="35" t="n">
        <v>690.909090909091</v>
      </c>
      <c r="C19" s="37" t="n">
        <v>0.8100000000000001</v>
      </c>
      <c r="D19" s="39" t="inlineStr">
        <is>
          <t>Corregible</t>
        </is>
      </c>
      <c r="E19" s="29" t="n">
        <v>10.11438002475379</v>
      </c>
      <c r="F19" s="35" t="n">
        <v>186.9780110327473</v>
      </c>
      <c r="G19" s="36" t="n">
        <v>2309.090909090909</v>
      </c>
      <c r="H19" s="29" t="n">
        <v>4.342105263157894</v>
      </c>
      <c r="I19" s="16" t="inlineStr">
        <is>
          <t>sí</t>
        </is>
      </c>
      <c r="J19" s="16" t="inlineStr">
        <is>
          <t>O2</t>
        </is>
      </c>
    </row>
    <row r="20">
      <c r="A20" s="16" t="inlineStr">
        <is>
          <t>KF-M02-N2-A-0004</t>
        </is>
      </c>
      <c r="B20" s="35" t="n">
        <v>836.3636363636364</v>
      </c>
      <c r="C20" s="37" t="n">
        <v>0.75</v>
      </c>
      <c r="D20" s="39" t="inlineStr">
        <is>
          <t>Corregible</t>
        </is>
      </c>
      <c r="E20" s="29" t="n">
        <v>9.06673700163218</v>
      </c>
      <c r="F20" s="35" t="n">
        <v>156.140615273159</v>
      </c>
      <c r="G20" s="36" t="n">
        <v>2163.636363636364</v>
      </c>
      <c r="H20" s="29" t="n">
        <v>3.58695652173913</v>
      </c>
      <c r="I20" s="16" t="inlineStr">
        <is>
          <t>sí</t>
        </is>
      </c>
      <c r="J20" s="16" t="inlineStr">
        <is>
          <t>O2</t>
        </is>
      </c>
    </row>
    <row r="21">
      <c r="A21" s="16" t="inlineStr">
        <is>
          <t>KF-M02-N2-A-0016</t>
        </is>
      </c>
      <c r="B21" s="35" t="n">
        <v>836.3636363636364</v>
      </c>
      <c r="C21" s="37" t="n">
        <v>0.78</v>
      </c>
      <c r="D21" s="39" t="inlineStr">
        <is>
          <t>Corregible</t>
        </is>
      </c>
      <c r="E21" s="29" t="n">
        <v>9.030461436755511</v>
      </c>
      <c r="F21" s="35" t="n">
        <v>161.2806077509465</v>
      </c>
      <c r="G21" s="36" t="n">
        <v>2163.636363636364</v>
      </c>
      <c r="H21" s="29" t="n">
        <v>3.58695652173913</v>
      </c>
      <c r="I21" s="16" t="inlineStr">
        <is>
          <t>sí</t>
        </is>
      </c>
      <c r="J21" s="16" t="inlineStr">
        <is>
          <t>O2</t>
        </is>
      </c>
    </row>
    <row r="22">
      <c r="A22" s="16" t="inlineStr">
        <is>
          <t>KF-M02-N2-A-0027</t>
        </is>
      </c>
      <c r="B22" s="35" t="n">
        <v>836.3636363636364</v>
      </c>
      <c r="C22" s="37" t="n">
        <v>0.8100000000000001</v>
      </c>
      <c r="D22" s="39" t="inlineStr">
        <is>
          <t>Corregible</t>
        </is>
      </c>
      <c r="E22" s="29" t="n">
        <v>8.9973105401287</v>
      </c>
      <c r="F22" s="35" t="n">
        <v>166.4072400975795</v>
      </c>
      <c r="G22" s="36" t="n">
        <v>2163.636363636364</v>
      </c>
      <c r="H22" s="29" t="n">
        <v>3.58695652173913</v>
      </c>
      <c r="I22" s="16" t="inlineStr">
        <is>
          <t>sí</t>
        </is>
      </c>
      <c r="J22" s="16" t="inlineStr">
        <is>
          <t>O2</t>
        </is>
      </c>
    </row>
    <row r="23">
      <c r="A23" s="16" t="inlineStr">
        <is>
          <t>KF-M02-N2-A-0003</t>
        </is>
      </c>
      <c r="B23" s="35" t="n">
        <v>981.818181818182</v>
      </c>
      <c r="C23" s="37" t="n">
        <v>0.75</v>
      </c>
      <c r="D23" s="39" t="inlineStr">
        <is>
          <t>Corregible</t>
        </is>
      </c>
      <c r="E23" s="29" t="n">
        <v>8.089395939172601</v>
      </c>
      <c r="F23" s="35" t="n">
        <v>139.3249915257438</v>
      </c>
      <c r="G23" s="36" t="n">
        <v>2018.181818181818</v>
      </c>
      <c r="H23" s="29" t="n">
        <v>3.055555555555555</v>
      </c>
      <c r="I23" s="16" t="inlineStr">
        <is>
          <t>sí</t>
        </is>
      </c>
      <c r="J23" s="16" t="inlineStr">
        <is>
          <t>O2</t>
        </is>
      </c>
    </row>
    <row r="24">
      <c r="A24" s="16" t="inlineStr">
        <is>
          <t>KF-M02-N2-A-0017</t>
        </is>
      </c>
      <c r="B24" s="35" t="n">
        <v>981.818181818182</v>
      </c>
      <c r="C24" s="37" t="n">
        <v>0.78</v>
      </c>
      <c r="D24" s="39" t="inlineStr">
        <is>
          <t>Corregible</t>
        </is>
      </c>
      <c r="E24" s="29" t="n">
        <v>8.05279779868332</v>
      </c>
      <c r="F24" s="35" t="n">
        <v>143.8418580790276</v>
      </c>
      <c r="G24" s="36" t="n">
        <v>2018.181818181818</v>
      </c>
      <c r="H24" s="29" t="n">
        <v>3.055555555555555</v>
      </c>
      <c r="I24" s="16" t="inlineStr">
        <is>
          <t>sí</t>
        </is>
      </c>
      <c r="J24" s="16" t="inlineStr">
        <is>
          <t>O2</t>
        </is>
      </c>
    </row>
    <row r="25">
      <c r="A25" s="16" t="inlineStr">
        <is>
          <t>KF-M02-N2-A-0028</t>
        </is>
      </c>
      <c r="B25" s="35" t="n">
        <v>981.818181818182</v>
      </c>
      <c r="C25" s="37" t="n">
        <v>0.8100000000000001</v>
      </c>
      <c r="D25" s="39" t="inlineStr">
        <is>
          <t>Corregible</t>
        </is>
      </c>
      <c r="E25" s="29" t="n">
        <v>8.019353512164971</v>
      </c>
      <c r="F25" s="35" t="n">
        <v>148.3486718312671</v>
      </c>
      <c r="G25" s="36" t="n">
        <v>2018.181818181818</v>
      </c>
      <c r="H25" s="29" t="n">
        <v>3.055555555555555</v>
      </c>
      <c r="I25" s="16" t="inlineStr">
        <is>
          <t>sí</t>
        </is>
      </c>
      <c r="J25" s="16" t="inlineStr">
        <is>
          <t>O2</t>
        </is>
      </c>
      <c r="M25" s="25" t="inlineStr">
        <is>
          <t>Estudio 2.2 · parte(s) 2.2a. Punto base: PP = datos del enunciado del profesor (T_fuente 623.15 K, P_alta 3000 kPa, P_baja 400 kPa, x_b 0.50)</t>
        </is>
      </c>
    </row>
    <row r="26">
      <c r="A26" s="16" t="inlineStr">
        <is>
          <t>KF-M02-N2-A-0005</t>
        </is>
      </c>
      <c r="B26" s="35" t="n">
        <v>1127.272727272728</v>
      </c>
      <c r="C26" s="37" t="n">
        <v>0.75</v>
      </c>
      <c r="D26" s="39" t="inlineStr">
        <is>
          <t>Corregible</t>
        </is>
      </c>
      <c r="E26" s="29" t="n">
        <v>7.2143424880452</v>
      </c>
      <c r="F26" s="35" t="n">
        <v>124.2454692123675</v>
      </c>
      <c r="G26" s="36" t="n">
        <v>1872.727272727272</v>
      </c>
      <c r="H26" s="29" t="n">
        <v>2.661290322580644</v>
      </c>
      <c r="I26" s="16" t="inlineStr">
        <is>
          <t>sí</t>
        </is>
      </c>
      <c r="J26" s="16" t="inlineStr">
        <is>
          <t>O2</t>
        </is>
      </c>
      <c r="M26" s="25" t="inlineStr">
        <is>
          <t>Datos fijos: T_fuente = 623.15 K; T_sumidero = 300.03 K; P_alta = 3000 kPa; x_b = 0.5; m_b = 1 kg/s; η_t = 0.85; η_p = 0.75; ε_reg = 0.75; ε_cond = 0.8; motor de propiedades = teqp.</t>
        </is>
      </c>
    </row>
    <row r="27">
      <c r="A27" s="16" t="inlineStr">
        <is>
          <t>KF-M02-N2-A-0015</t>
        </is>
      </c>
      <c r="B27" s="35" t="n">
        <v>1127.272727272728</v>
      </c>
      <c r="C27" s="37" t="n">
        <v>0.78</v>
      </c>
      <c r="D27" s="39" t="inlineStr">
        <is>
          <t>Corregible</t>
        </is>
      </c>
      <c r="E27" s="29" t="n">
        <v>7.178395759166049</v>
      </c>
      <c r="F27" s="35" t="n">
        <v>128.2191642424418</v>
      </c>
      <c r="G27" s="36" t="n">
        <v>1872.727272727272</v>
      </c>
      <c r="H27" s="29" t="n">
        <v>2.661290322580644</v>
      </c>
      <c r="I27" s="16" t="inlineStr">
        <is>
          <t>sí</t>
        </is>
      </c>
      <c r="J27" s="16" t="inlineStr">
        <is>
          <t>O2</t>
        </is>
      </c>
      <c r="M27" s="25" t="inlineStr">
        <is>
          <t>Datos barridos: P_baja [400–2000] kPa (12 valores); ε_HRVG [0.75–0.81] (3 valores).</t>
        </is>
      </c>
    </row>
    <row r="28">
      <c r="A28" s="16" t="inlineStr">
        <is>
          <t>KF-M02-N2-A-0029</t>
        </is>
      </c>
      <c r="B28" s="35" t="n">
        <v>1127.272727272728</v>
      </c>
      <c r="C28" s="37" t="n">
        <v>0.8100000000000001</v>
      </c>
      <c r="D28" s="39" t="inlineStr">
        <is>
          <t>Corregible</t>
        </is>
      </c>
      <c r="E28" s="29" t="n">
        <v>7.14555520843374</v>
      </c>
      <c r="F28" s="35" t="n">
        <v>132.1854770973047</v>
      </c>
      <c r="G28" s="36" t="n">
        <v>1872.727272727272</v>
      </c>
      <c r="H28" s="29" t="n">
        <v>2.661290322580644</v>
      </c>
      <c r="I28" s="16" t="inlineStr">
        <is>
          <t>sí</t>
        </is>
      </c>
      <c r="J28" s="16" t="inlineStr">
        <is>
          <t>O2</t>
        </is>
      </c>
      <c r="M28" s="25" t="inlineStr">
        <is>
          <t>Filtro: parte 2.2a (2.2a).</t>
        </is>
      </c>
    </row>
    <row r="29">
      <c r="A29" s="16" t="inlineStr">
        <is>
          <t>KF-M02-N2-A-0007</t>
        </is>
      </c>
      <c r="B29" s="35" t="n">
        <v>1272.727272727273</v>
      </c>
      <c r="C29" s="37" t="n">
        <v>0.75</v>
      </c>
      <c r="D29" s="39" t="inlineStr">
        <is>
          <t>Corregible</t>
        </is>
      </c>
      <c r="E29" s="29" t="n">
        <v>6.41922080151294</v>
      </c>
      <c r="F29" s="35" t="n">
        <v>110.53094695087</v>
      </c>
      <c r="G29" s="36" t="n">
        <v>1727.272727272727</v>
      </c>
      <c r="H29" s="29" t="n">
        <v>2.357142857142857</v>
      </c>
      <c r="I29" s="16" t="inlineStr">
        <is>
          <t>sí</t>
        </is>
      </c>
      <c r="J29" s="16" t="inlineStr">
        <is>
          <t>O2</t>
        </is>
      </c>
      <c r="M29" s="25" t="inlineStr">
        <is>
          <t>n = 36. Fuente: todos_los_puntos.csv.</t>
        </is>
      </c>
    </row>
    <row r="30">
      <c r="A30" s="16" t="inlineStr">
        <is>
          <t>KF-M02-N2-A-0018</t>
        </is>
      </c>
      <c r="B30" s="35" t="n">
        <v>1272.727272727273</v>
      </c>
      <c r="C30" s="37" t="n">
        <v>0.78</v>
      </c>
      <c r="D30" s="39" t="inlineStr">
        <is>
          <t>Corregible</t>
        </is>
      </c>
      <c r="E30" s="29" t="n">
        <v>6.38462827866169</v>
      </c>
      <c r="F30" s="35" t="n">
        <v>114.0232999814878</v>
      </c>
      <c r="G30" s="36" t="n">
        <v>1727.272727272727</v>
      </c>
      <c r="H30" s="29" t="n">
        <v>2.357142857142857</v>
      </c>
      <c r="I30" s="16" t="inlineStr">
        <is>
          <t>sí</t>
        </is>
      </c>
      <c r="J30" s="16" t="inlineStr">
        <is>
          <t>O2</t>
        </is>
      </c>
    </row>
    <row r="31">
      <c r="A31" s="16" t="inlineStr">
        <is>
          <t>KF-M02-N2-A-0030</t>
        </is>
      </c>
      <c r="B31" s="35" t="n">
        <v>1272.727272727273</v>
      </c>
      <c r="C31" s="37" t="n">
        <v>0.8100000000000001</v>
      </c>
      <c r="D31" s="39" t="inlineStr">
        <is>
          <t>Corregible</t>
        </is>
      </c>
      <c r="E31" s="29" t="n">
        <v>6.35302078168082</v>
      </c>
      <c r="F31" s="35" t="n">
        <v>117.5101168376202</v>
      </c>
      <c r="G31" s="36" t="n">
        <v>1727.272727272727</v>
      </c>
      <c r="H31" s="29" t="n">
        <v>2.357142857142857</v>
      </c>
      <c r="I31" s="16" t="inlineStr">
        <is>
          <t>sí</t>
        </is>
      </c>
      <c r="J31" s="16" t="inlineStr">
        <is>
          <t>O2</t>
        </is>
      </c>
    </row>
    <row r="32">
      <c r="A32" s="16" t="inlineStr">
        <is>
          <t>KF-M02-N2-A-0006</t>
        </is>
      </c>
      <c r="B32" s="35" t="n">
        <v>1418.181818181818</v>
      </c>
      <c r="C32" s="37" t="n">
        <v>0.75</v>
      </c>
      <c r="D32" s="39" t="inlineStr">
        <is>
          <t>Corregible</t>
        </is>
      </c>
      <c r="E32" s="29" t="n">
        <v>5.688511281313851</v>
      </c>
      <c r="F32" s="35" t="n">
        <v>97.92197710589777</v>
      </c>
      <c r="G32" s="36" t="n">
        <v>1581.818181818182</v>
      </c>
      <c r="H32" s="29" t="n">
        <v>2.115384615384615</v>
      </c>
      <c r="I32" s="16" t="inlineStr">
        <is>
          <t>sí</t>
        </is>
      </c>
      <c r="J32" s="16" t="inlineStr">
        <is>
          <t>O2</t>
        </is>
      </c>
    </row>
    <row r="33">
      <c r="A33" s="16" t="inlineStr">
        <is>
          <t>KF-M02-N2-A-0019</t>
        </is>
      </c>
      <c r="B33" s="35" t="n">
        <v>1418.181818181818</v>
      </c>
      <c r="C33" s="37" t="n">
        <v>0.78</v>
      </c>
      <c r="D33" s="39" t="inlineStr">
        <is>
          <t>Corregible</t>
        </is>
      </c>
      <c r="E33" s="29" t="n">
        <v>5.65579284612912</v>
      </c>
      <c r="F33" s="35" t="n">
        <v>100.9822273593226</v>
      </c>
      <c r="G33" s="36" t="n">
        <v>1581.818181818182</v>
      </c>
      <c r="H33" s="29" t="n">
        <v>2.115384615384615</v>
      </c>
      <c r="I33" s="16" t="inlineStr">
        <is>
          <t>sí</t>
        </is>
      </c>
      <c r="J33" s="16" t="inlineStr">
        <is>
          <t>O2</t>
        </is>
      </c>
    </row>
    <row r="34">
      <c r="A34" s="16" t="inlineStr">
        <is>
          <t>KF-M02-N2-A-0031</t>
        </is>
      </c>
      <c r="B34" s="35" t="n">
        <v>1418.181818181818</v>
      </c>
      <c r="C34" s="37" t="n">
        <v>0.8100000000000001</v>
      </c>
      <c r="D34" s="39" t="inlineStr">
        <is>
          <t>Corregible</t>
        </is>
      </c>
      <c r="E34" s="29" t="n">
        <v>5.62587556863894</v>
      </c>
      <c r="F34" s="35" t="n">
        <v>104.0380092169974</v>
      </c>
      <c r="G34" s="36" t="n">
        <v>1581.818181818182</v>
      </c>
      <c r="H34" s="29" t="n">
        <v>2.115384615384615</v>
      </c>
      <c r="I34" s="16" t="inlineStr">
        <is>
          <t>sí</t>
        </is>
      </c>
      <c r="J34" s="16" t="inlineStr">
        <is>
          <t>O2</t>
        </is>
      </c>
    </row>
    <row r="35">
      <c r="A35" s="16" t="inlineStr">
        <is>
          <t>KF-M02-N2-A-0009</t>
        </is>
      </c>
      <c r="B35" s="35" t="n">
        <v>1563.636363636364</v>
      </c>
      <c r="C35" s="37" t="n">
        <v>0.75</v>
      </c>
      <c r="D35" s="39" t="inlineStr">
        <is>
          <t>Corregible</t>
        </is>
      </c>
      <c r="E35" s="29" t="n">
        <v>5.01098841644435</v>
      </c>
      <c r="F35" s="35" t="n">
        <v>86.2298049178731</v>
      </c>
      <c r="G35" s="36" t="n">
        <v>1436.363636363636</v>
      </c>
      <c r="H35" s="29" t="n">
        <v>1.918604651162791</v>
      </c>
      <c r="I35" s="16" t="inlineStr">
        <is>
          <t>sí</t>
        </is>
      </c>
      <c r="J35" s="16" t="inlineStr">
        <is>
          <t>O2</t>
        </is>
      </c>
    </row>
    <row r="36">
      <c r="A36" s="16" t="inlineStr">
        <is>
          <t>KF-M02-N2-A-0020</t>
        </is>
      </c>
      <c r="B36" s="35" t="n">
        <v>1563.636363636364</v>
      </c>
      <c r="C36" s="37" t="n">
        <v>0.78</v>
      </c>
      <c r="D36" s="39" t="inlineStr">
        <is>
          <t>Corregible</t>
        </is>
      </c>
      <c r="E36" s="29" t="n">
        <v>4.98051091335652</v>
      </c>
      <c r="F36" s="35" t="n">
        <v>88.89764167147177</v>
      </c>
      <c r="G36" s="36" t="n">
        <v>1436.363636363636</v>
      </c>
      <c r="H36" s="29" t="n">
        <v>1.918604651162791</v>
      </c>
      <c r="I36" s="16" t="inlineStr">
        <is>
          <t>sí</t>
        </is>
      </c>
      <c r="J36" s="16" t="inlineStr">
        <is>
          <t>O2</t>
        </is>
      </c>
    </row>
    <row r="37">
      <c r="A37" s="16" t="inlineStr">
        <is>
          <t>KF-M02-N2-A-0032</t>
        </is>
      </c>
      <c r="B37" s="35" t="n">
        <v>1563.636363636364</v>
      </c>
      <c r="C37" s="37" t="n">
        <v>0.8100000000000001</v>
      </c>
      <c r="D37" s="39" t="inlineStr">
        <is>
          <t>Corregible</t>
        </is>
      </c>
      <c r="E37" s="29" t="n">
        <v>4.95262475053262</v>
      </c>
      <c r="F37" s="35" t="n">
        <v>91.56186361067532</v>
      </c>
      <c r="G37" s="36" t="n">
        <v>1436.363636363636</v>
      </c>
      <c r="H37" s="29" t="n">
        <v>1.918604651162791</v>
      </c>
      <c r="I37" s="16" t="inlineStr">
        <is>
          <t>sí</t>
        </is>
      </c>
      <c r="J37" s="16" t="inlineStr">
        <is>
          <t>O2</t>
        </is>
      </c>
    </row>
    <row r="38">
      <c r="A38" s="16" t="inlineStr">
        <is>
          <t>KF-M02-N2-A-0008</t>
        </is>
      </c>
      <c r="B38" s="35" t="n">
        <v>1709.090909090909</v>
      </c>
      <c r="C38" s="37" t="n">
        <v>0.75</v>
      </c>
      <c r="D38" s="39" t="inlineStr">
        <is>
          <t>Corregible</t>
        </is>
      </c>
      <c r="E38" s="29" t="n">
        <v>4.37821318799704</v>
      </c>
      <c r="F38" s="35" t="n">
        <v>75.31177681168668</v>
      </c>
      <c r="G38" s="36" t="n">
        <v>1290.909090909091</v>
      </c>
      <c r="H38" s="29" t="n">
        <v>1.75531914893617</v>
      </c>
      <c r="I38" s="16" t="inlineStr">
        <is>
          <t>sí</t>
        </is>
      </c>
      <c r="J38" s="16" t="inlineStr">
        <is>
          <t>O2</t>
        </is>
      </c>
    </row>
    <row r="39">
      <c r="A39" s="16" t="inlineStr">
        <is>
          <t>KF-M02-N2-A-0022</t>
        </is>
      </c>
      <c r="B39" s="35" t="n">
        <v>1709.090909090909</v>
      </c>
      <c r="C39" s="37" t="n">
        <v>0.78</v>
      </c>
      <c r="D39" s="39" t="inlineStr">
        <is>
          <t>Corregible</t>
        </is>
      </c>
      <c r="E39" s="29" t="n">
        <v>4.35025282994217</v>
      </c>
      <c r="F39" s="35" t="n">
        <v>77.62013163611864</v>
      </c>
      <c r="G39" s="36" t="n">
        <v>1290.909090909091</v>
      </c>
      <c r="H39" s="29" t="n">
        <v>1.75531914893617</v>
      </c>
      <c r="I39" s="16" t="inlineStr">
        <is>
          <t>sí</t>
        </is>
      </c>
      <c r="J39" s="16" t="inlineStr">
        <is>
          <t>O2</t>
        </is>
      </c>
    </row>
    <row r="40">
      <c r="A40" s="16" t="inlineStr">
        <is>
          <t>KF-M02-N2-A-0033</t>
        </is>
      </c>
      <c r="B40" s="35" t="n">
        <v>1709.090909090909</v>
      </c>
      <c r="C40" s="37" t="n">
        <v>0.8100000000000001</v>
      </c>
      <c r="D40" s="39" t="inlineStr">
        <is>
          <t>Corregible</t>
        </is>
      </c>
      <c r="E40" s="29" t="n">
        <v>4.3246561975807</v>
      </c>
      <c r="F40" s="35" t="n">
        <v>79.92558408542773</v>
      </c>
      <c r="G40" s="36" t="n">
        <v>1290.909090909091</v>
      </c>
      <c r="H40" s="29" t="n">
        <v>1.75531914893617</v>
      </c>
      <c r="I40" s="16" t="inlineStr">
        <is>
          <t>sí</t>
        </is>
      </c>
      <c r="J40" s="16" t="inlineStr">
        <is>
          <t>O2</t>
        </is>
      </c>
    </row>
    <row r="41">
      <c r="A41" s="16" t="inlineStr">
        <is>
          <t>KF-M02-N2-A-0010</t>
        </is>
      </c>
      <c r="B41" s="35" t="n">
        <v>1854.545454545455</v>
      </c>
      <c r="C41" s="37" t="n">
        <v>0.75</v>
      </c>
      <c r="D41" s="39" t="inlineStr">
        <is>
          <t>Corregible</t>
        </is>
      </c>
      <c r="E41" s="29" t="n">
        <v>3.78367624344783</v>
      </c>
      <c r="F41" s="35" t="n">
        <v>65.05736740481774</v>
      </c>
      <c r="G41" s="36" t="n">
        <v>1145.454545454545</v>
      </c>
      <c r="H41" s="29" t="n">
        <v>1.617647058823529</v>
      </c>
      <c r="I41" s="16" t="inlineStr">
        <is>
          <t>sí</t>
        </is>
      </c>
      <c r="J41" s="16" t="inlineStr">
        <is>
          <t>O2</t>
        </is>
      </c>
    </row>
    <row r="42">
      <c r="A42" s="16" t="inlineStr">
        <is>
          <t>KF-M02-N2-A-0021</t>
        </is>
      </c>
      <c r="B42" s="35" t="n">
        <v>1854.545454545455</v>
      </c>
      <c r="C42" s="37" t="n">
        <v>0.78</v>
      </c>
      <c r="D42" s="39" t="inlineStr">
        <is>
          <t>Corregible</t>
        </is>
      </c>
      <c r="E42" s="29" t="n">
        <v>3.75844657133428</v>
      </c>
      <c r="F42" s="35" t="n">
        <v>67.03406841885743</v>
      </c>
      <c r="G42" s="36" t="n">
        <v>1145.454545454545</v>
      </c>
      <c r="H42" s="29" t="n">
        <v>1.617647058823529</v>
      </c>
      <c r="I42" s="16" t="inlineStr">
        <is>
          <t>sí</t>
        </is>
      </c>
      <c r="J42" s="16" t="inlineStr">
        <is>
          <t>O2</t>
        </is>
      </c>
    </row>
    <row r="43">
      <c r="A43" s="16" t="inlineStr">
        <is>
          <t>KF-M02-N2-A-0034</t>
        </is>
      </c>
      <c r="B43" s="35" t="n">
        <v>1854.545454545455</v>
      </c>
      <c r="C43" s="37" t="n">
        <v>0.8100000000000001</v>
      </c>
      <c r="D43" s="39" t="inlineStr">
        <is>
          <t>Corregible</t>
        </is>
      </c>
      <c r="E43" s="29" t="n">
        <v>3.7353393604471</v>
      </c>
      <c r="F43" s="35" t="n">
        <v>69.00846189123166</v>
      </c>
      <c r="G43" s="36" t="n">
        <v>1145.454545454545</v>
      </c>
      <c r="H43" s="29" t="n">
        <v>1.617647058823529</v>
      </c>
      <c r="I43" s="16" t="inlineStr">
        <is>
          <t>sí</t>
        </is>
      </c>
      <c r="J43" s="16" t="inlineStr">
        <is>
          <t>O2</t>
        </is>
      </c>
    </row>
    <row r="44">
      <c r="A44" s="16" t="inlineStr">
        <is>
          <t>KF-M02-N2-A-0011</t>
        </is>
      </c>
      <c r="B44" s="35" t="n">
        <v>2000</v>
      </c>
      <c r="C44" s="37" t="n">
        <v>0.75</v>
      </c>
      <c r="D44" s="39" t="inlineStr">
        <is>
          <t>Corregible</t>
        </is>
      </c>
      <c r="E44" s="29" t="n">
        <v>3.2222449257921</v>
      </c>
      <c r="F44" s="35" t="n">
        <v>55.37908847758752</v>
      </c>
      <c r="G44" s="36" t="n">
        <v>1000</v>
      </c>
      <c r="H44" s="29" t="n">
        <v>1.5</v>
      </c>
      <c r="I44" s="16" t="inlineStr">
        <is>
          <t>sí</t>
        </is>
      </c>
      <c r="J44" s="16" t="inlineStr">
        <is>
          <t>O2</t>
        </is>
      </c>
    </row>
    <row r="45">
      <c r="A45" s="16" t="inlineStr">
        <is>
          <t>KF-M02-N2-A-0023</t>
        </is>
      </c>
      <c r="B45" s="35" t="n">
        <v>2000</v>
      </c>
      <c r="C45" s="37" t="n">
        <v>0.78</v>
      </c>
      <c r="D45" s="39" t="inlineStr">
        <is>
          <t>Corregible</t>
        </is>
      </c>
      <c r="E45" s="29" t="n">
        <v>3.19991199732034</v>
      </c>
      <c r="F45" s="35" t="n">
        <v>57.0479587285407</v>
      </c>
      <c r="G45" s="36" t="n">
        <v>1000</v>
      </c>
      <c r="H45" s="29" t="n">
        <v>1.5</v>
      </c>
      <c r="I45" s="16" t="inlineStr">
        <is>
          <t>sí</t>
        </is>
      </c>
      <c r="J45" s="16" t="inlineStr">
        <is>
          <t>O2</t>
        </is>
      </c>
    </row>
    <row r="46">
      <c r="A46" s="16" t="inlineStr">
        <is>
          <t>KF-M02-N2-A-0035</t>
        </is>
      </c>
      <c r="B46" s="35" t="n">
        <v>2000</v>
      </c>
      <c r="C46" s="37" t="n">
        <v>0.8100000000000001</v>
      </c>
      <c r="D46" s="39" t="inlineStr">
        <is>
          <t>Corregible</t>
        </is>
      </c>
      <c r="E46" s="29" t="n">
        <v>3.17945006872843</v>
      </c>
      <c r="F46" s="35" t="n">
        <v>58.71502437191691</v>
      </c>
      <c r="G46" s="36" t="n">
        <v>1000</v>
      </c>
      <c r="H46" s="29" t="n">
        <v>1.5</v>
      </c>
      <c r="I46" s="16" t="inlineStr">
        <is>
          <t>sí</t>
        </is>
      </c>
      <c r="J46" s="16" t="inlineStr">
        <is>
          <t>O2</t>
        </is>
      </c>
    </row>
    <row r="47"/>
    <row r="48">
      <c r="A48" s="33" t="inlineStr">
        <is>
          <t>Parte 2.2b · bajar la fuente (T_fuente × P_baja) · 144 puntos</t>
        </is>
      </c>
      <c r="B48" s="31" t="n"/>
      <c r="C48" s="31" t="n"/>
      <c r="D48" s="31" t="n"/>
      <c r="E48" s="31" t="n"/>
      <c r="F48" s="31" t="n"/>
      <c r="G48" s="31" t="n"/>
      <c r="H48" s="31" t="n"/>
      <c r="I48" s="31" t="n"/>
      <c r="J48" s="31" t="n"/>
      <c r="K48" s="31" t="n"/>
      <c r="M48" s="24" t="inlineStr">
        <is>
          <t>Figura 2.2-2 · Ruta B: KALINA con T_fuente entre 390 y 434 K</t>
        </is>
      </c>
    </row>
    <row r="49"/>
    <row r="50">
      <c r="A50" s="34" t="inlineStr">
        <is>
          <t>Barrido de la parte 2.2b · 144 puntos</t>
        </is>
      </c>
    </row>
    <row r="51">
      <c r="A51" s="25" t="inlineStr">
        <is>
          <t>Fijos en este barrido: T_sumidero = 300.03, P_alta = 3000, x_b = 0.5, η_t = 0.85, η_p = 0.75, ε_HRVG = 0.85, ε_reg = 0.75, ε_cond = 0.8.</t>
        </is>
      </c>
    </row>
    <row r="52">
      <c r="A52" s="25" t="inlineStr">
        <is>
          <t>Tipos de punto: malla 108, bisección 36.</t>
        </is>
      </c>
    </row>
    <row r="53">
      <c r="A53" s="22" t="inlineStr">
        <is>
          <t>id_punto</t>
        </is>
      </c>
      <c r="B53" s="22" t="inlineStr">
        <is>
          <t>T_fuente [K]</t>
        </is>
      </c>
      <c r="C53" s="22" t="inlineStr">
        <is>
          <t>P_baja [kPa]</t>
        </is>
      </c>
      <c r="D53" s="22" t="inlineStr">
        <is>
          <t>Clase</t>
        </is>
      </c>
      <c r="E53" s="22" t="inlineStr">
        <is>
          <t>η [%]</t>
        </is>
      </c>
      <c r="F53" s="22" t="inlineStr">
        <is>
          <t>W_net [kW] (m_b = 1 kg/s)</t>
        </is>
      </c>
      <c r="G53" s="22" t="inlineStr">
        <is>
          <t>ΔP [kPa]</t>
        </is>
      </c>
      <c r="H53" s="22" t="inlineStr">
        <is>
          <t>r_P [–]</t>
        </is>
      </c>
      <c r="I53" s="22" t="inlineStr">
        <is>
          <t>Fuera de rango</t>
        </is>
      </c>
      <c r="J53" s="22" t="inlineStr">
        <is>
          <t>Criterios que falla</t>
        </is>
      </c>
      <c r="K53" s="22" t="inlineStr">
        <is>
          <t>Tipo de punto</t>
        </is>
      </c>
    </row>
    <row r="54">
      <c r="A54" s="16" t="inlineStr">
        <is>
          <t>KF-M02-N2-B-0000</t>
        </is>
      </c>
      <c r="B54" s="35" t="n">
        <v>380</v>
      </c>
      <c r="C54" s="35" t="n">
        <v>400</v>
      </c>
      <c r="D54" s="38" t="inlineStr">
        <is>
          <t>Falso convergido</t>
        </is>
      </c>
      <c r="E54" s="29" t="inlineStr">
        <is>
          <t>—</t>
        </is>
      </c>
      <c r="F54" s="35" t="inlineStr">
        <is>
          <t>—</t>
        </is>
      </c>
      <c r="G54" s="36" t="n">
        <v>2600</v>
      </c>
      <c r="H54" s="29" t="n">
        <v>7.5</v>
      </c>
      <c r="I54" s="16" t="inlineStr">
        <is>
          <t>no</t>
        </is>
      </c>
      <c r="J54" s="16" t="inlineStr">
        <is>
          <t>N2,S6,O3,O5,C1,C3,C3</t>
        </is>
      </c>
      <c r="K54" s="16" t="inlineStr">
        <is>
          <t>malla</t>
        </is>
      </c>
    </row>
    <row r="55">
      <c r="A55" s="16" t="inlineStr">
        <is>
          <t>KF-M02-N2-B-0002</t>
        </is>
      </c>
      <c r="B55" s="35" t="n">
        <v>380</v>
      </c>
      <c r="C55" s="35" t="n">
        <v>545.4545454545455</v>
      </c>
      <c r="D55" s="38" t="inlineStr">
        <is>
          <t>Falso convergido</t>
        </is>
      </c>
      <c r="E55" s="29" t="inlineStr">
        <is>
          <t>—</t>
        </is>
      </c>
      <c r="F55" s="35" t="inlineStr">
        <is>
          <t>—</t>
        </is>
      </c>
      <c r="G55" s="36" t="n">
        <v>2454.545454545455</v>
      </c>
      <c r="H55" s="29" t="n">
        <v>5.5</v>
      </c>
      <c r="I55" s="16" t="inlineStr">
        <is>
          <t>no</t>
        </is>
      </c>
      <c r="J55" s="16" t="inlineStr">
        <is>
          <t>N2,S6,O3,O5,C1,C3,C3</t>
        </is>
      </c>
      <c r="K55" s="16" t="inlineStr">
        <is>
          <t>malla</t>
        </is>
      </c>
    </row>
    <row r="56">
      <c r="A56" s="16" t="inlineStr">
        <is>
          <t>KF-M02-N2-B-0005</t>
        </is>
      </c>
      <c r="B56" s="35" t="n">
        <v>380</v>
      </c>
      <c r="C56" s="35" t="n">
        <v>690.909090909091</v>
      </c>
      <c r="D56" s="38" t="inlineStr">
        <is>
          <t>Falso convergido</t>
        </is>
      </c>
      <c r="E56" s="29" t="inlineStr">
        <is>
          <t>—</t>
        </is>
      </c>
      <c r="F56" s="35" t="inlineStr">
        <is>
          <t>—</t>
        </is>
      </c>
      <c r="G56" s="36" t="n">
        <v>2309.090909090909</v>
      </c>
      <c r="H56" s="29" t="n">
        <v>4.342105263157894</v>
      </c>
      <c r="I56" s="16" t="inlineStr">
        <is>
          <t>no</t>
        </is>
      </c>
      <c r="J56" s="16" t="inlineStr">
        <is>
          <t>N2,S6,O3,O5,C1,C3,C3</t>
        </is>
      </c>
      <c r="K56" s="16" t="inlineStr">
        <is>
          <t>malla</t>
        </is>
      </c>
    </row>
    <row r="57">
      <c r="A57" s="16" t="inlineStr">
        <is>
          <t>KF-M02-N2-B-0003</t>
        </is>
      </c>
      <c r="B57" s="35" t="n">
        <v>380</v>
      </c>
      <c r="C57" s="35" t="n">
        <v>836.3636363636364</v>
      </c>
      <c r="D57" s="38" t="inlineStr">
        <is>
          <t>Falso convergido</t>
        </is>
      </c>
      <c r="E57" s="29" t="inlineStr">
        <is>
          <t>—</t>
        </is>
      </c>
      <c r="F57" s="35" t="inlineStr">
        <is>
          <t>—</t>
        </is>
      </c>
      <c r="G57" s="36" t="n">
        <v>2163.636363636364</v>
      </c>
      <c r="H57" s="29" t="n">
        <v>3.58695652173913</v>
      </c>
      <c r="I57" s="16" t="inlineStr">
        <is>
          <t>no</t>
        </is>
      </c>
      <c r="J57" s="16" t="inlineStr">
        <is>
          <t>N2,S6,O3,O5,C1,C3,C3</t>
        </is>
      </c>
      <c r="K57" s="16" t="inlineStr">
        <is>
          <t>malla</t>
        </is>
      </c>
    </row>
    <row r="58">
      <c r="A58" s="16" t="inlineStr">
        <is>
          <t>KF-M02-N2-B-0004</t>
        </is>
      </c>
      <c r="B58" s="35" t="n">
        <v>380</v>
      </c>
      <c r="C58" s="35" t="n">
        <v>981.818181818182</v>
      </c>
      <c r="D58" s="38" t="inlineStr">
        <is>
          <t>Falso convergido</t>
        </is>
      </c>
      <c r="E58" s="29" t="inlineStr">
        <is>
          <t>—</t>
        </is>
      </c>
      <c r="F58" s="35" t="inlineStr">
        <is>
          <t>—</t>
        </is>
      </c>
      <c r="G58" s="36" t="n">
        <v>2018.181818181818</v>
      </c>
      <c r="H58" s="29" t="n">
        <v>3.055555555555555</v>
      </c>
      <c r="I58" s="16" t="inlineStr">
        <is>
          <t>no</t>
        </is>
      </c>
      <c r="J58" s="16" t="inlineStr">
        <is>
          <t>N2,S6,O3,O5,C1,C3,C3</t>
        </is>
      </c>
      <c r="K58" s="16" t="inlineStr">
        <is>
          <t>malla</t>
        </is>
      </c>
    </row>
    <row r="59">
      <c r="A59" s="16" t="inlineStr">
        <is>
          <t>KF-M02-N2-B-0001</t>
        </is>
      </c>
      <c r="B59" s="35" t="n">
        <v>380</v>
      </c>
      <c r="C59" s="35" t="n">
        <v>1127.272727272728</v>
      </c>
      <c r="D59" s="38" t="inlineStr">
        <is>
          <t>Falso convergido</t>
        </is>
      </c>
      <c r="E59" s="29" t="inlineStr">
        <is>
          <t>—</t>
        </is>
      </c>
      <c r="F59" s="35" t="inlineStr">
        <is>
          <t>—</t>
        </is>
      </c>
      <c r="G59" s="36" t="n">
        <v>1872.727272727272</v>
      </c>
      <c r="H59" s="29" t="n">
        <v>2.661290322580644</v>
      </c>
      <c r="I59" s="16" t="inlineStr">
        <is>
          <t>no</t>
        </is>
      </c>
      <c r="J59" s="16" t="inlineStr">
        <is>
          <t>N2,S6,O3,O5,C1,C3,C3</t>
        </is>
      </c>
      <c r="K59" s="16" t="inlineStr">
        <is>
          <t>malla</t>
        </is>
      </c>
    </row>
    <row r="60">
      <c r="A60" s="16" t="inlineStr">
        <is>
          <t>KF-M02-N2-B-0006</t>
        </is>
      </c>
      <c r="B60" s="35" t="n">
        <v>380</v>
      </c>
      <c r="C60" s="35" t="n">
        <v>1272.727272727273</v>
      </c>
      <c r="D60" s="38" t="inlineStr">
        <is>
          <t>Falso convergido</t>
        </is>
      </c>
      <c r="E60" s="29" t="inlineStr">
        <is>
          <t>—</t>
        </is>
      </c>
      <c r="F60" s="35" t="inlineStr">
        <is>
          <t>—</t>
        </is>
      </c>
      <c r="G60" s="36" t="n">
        <v>1727.272727272727</v>
      </c>
      <c r="H60" s="29" t="n">
        <v>2.357142857142857</v>
      </c>
      <c r="I60" s="16" t="inlineStr">
        <is>
          <t>no</t>
        </is>
      </c>
      <c r="J60" s="16" t="inlineStr">
        <is>
          <t>N2,S6,O3,O5,C1,C3,C3</t>
        </is>
      </c>
      <c r="K60" s="16" t="inlineStr">
        <is>
          <t>malla</t>
        </is>
      </c>
    </row>
    <row r="61">
      <c r="A61" s="16" t="inlineStr">
        <is>
          <t>KF-M02-N2-B-0007</t>
        </is>
      </c>
      <c r="B61" s="35" t="n">
        <v>380</v>
      </c>
      <c r="C61" s="35" t="n">
        <v>1418.181818181818</v>
      </c>
      <c r="D61" s="38" t="inlineStr">
        <is>
          <t>Falso convergido</t>
        </is>
      </c>
      <c r="E61" s="29" t="inlineStr">
        <is>
          <t>—</t>
        </is>
      </c>
      <c r="F61" s="35" t="inlineStr">
        <is>
          <t>—</t>
        </is>
      </c>
      <c r="G61" s="36" t="n">
        <v>1581.818181818182</v>
      </c>
      <c r="H61" s="29" t="n">
        <v>2.115384615384615</v>
      </c>
      <c r="I61" s="16" t="inlineStr">
        <is>
          <t>no</t>
        </is>
      </c>
      <c r="J61" s="16" t="inlineStr">
        <is>
          <t>N2,S6,O3,O5,C1,C3,C3</t>
        </is>
      </c>
      <c r="K61" s="16" t="inlineStr">
        <is>
          <t>malla</t>
        </is>
      </c>
    </row>
    <row r="62">
      <c r="A62" s="16" t="inlineStr">
        <is>
          <t>KF-M02-N2-B-0008</t>
        </is>
      </c>
      <c r="B62" s="35" t="n">
        <v>380</v>
      </c>
      <c r="C62" s="35" t="n">
        <v>1563.636363636364</v>
      </c>
      <c r="D62" s="38" t="inlineStr">
        <is>
          <t>Falso convergido</t>
        </is>
      </c>
      <c r="E62" s="29" t="inlineStr">
        <is>
          <t>—</t>
        </is>
      </c>
      <c r="F62" s="35" t="inlineStr">
        <is>
          <t>—</t>
        </is>
      </c>
      <c r="G62" s="36" t="n">
        <v>1436.363636363636</v>
      </c>
      <c r="H62" s="29" t="n">
        <v>1.918604651162791</v>
      </c>
      <c r="I62" s="16" t="inlineStr">
        <is>
          <t>no</t>
        </is>
      </c>
      <c r="J62" s="16" t="inlineStr">
        <is>
          <t>N2,S6,O3,O5,C1,C3,C3</t>
        </is>
      </c>
      <c r="K62" s="16" t="inlineStr">
        <is>
          <t>malla</t>
        </is>
      </c>
    </row>
    <row r="63">
      <c r="A63" s="16" t="inlineStr">
        <is>
          <t>KF-M02-N2-B-0010</t>
        </is>
      </c>
      <c r="B63" s="35" t="n">
        <v>380</v>
      </c>
      <c r="C63" s="35" t="n">
        <v>1709.090909090909</v>
      </c>
      <c r="D63" s="38" t="inlineStr">
        <is>
          <t>Falso convergido</t>
        </is>
      </c>
      <c r="E63" s="29" t="inlineStr">
        <is>
          <t>—</t>
        </is>
      </c>
      <c r="F63" s="35" t="inlineStr">
        <is>
          <t>—</t>
        </is>
      </c>
      <c r="G63" s="36" t="n">
        <v>1290.909090909091</v>
      </c>
      <c r="H63" s="29" t="n">
        <v>1.75531914893617</v>
      </c>
      <c r="I63" s="16" t="inlineStr">
        <is>
          <t>no</t>
        </is>
      </c>
      <c r="J63" s="16" t="inlineStr">
        <is>
          <t>N2,S6,O3,O5,C1,C3,C3</t>
        </is>
      </c>
      <c r="K63" s="16" t="inlineStr">
        <is>
          <t>malla</t>
        </is>
      </c>
    </row>
    <row r="64">
      <c r="A64" s="16" t="inlineStr">
        <is>
          <t>KF-M02-N2-B-0009</t>
        </is>
      </c>
      <c r="B64" s="35" t="n">
        <v>380</v>
      </c>
      <c r="C64" s="35" t="n">
        <v>1854.545454545455</v>
      </c>
      <c r="D64" s="38" t="inlineStr">
        <is>
          <t>Falso convergido</t>
        </is>
      </c>
      <c r="E64" s="29" t="inlineStr">
        <is>
          <t>—</t>
        </is>
      </c>
      <c r="F64" s="35" t="inlineStr">
        <is>
          <t>—</t>
        </is>
      </c>
      <c r="G64" s="36" t="n">
        <v>1145.454545454545</v>
      </c>
      <c r="H64" s="29" t="n">
        <v>1.617647058823529</v>
      </c>
      <c r="I64" s="16" t="inlineStr">
        <is>
          <t>no</t>
        </is>
      </c>
      <c r="J64" s="16" t="inlineStr">
        <is>
          <t>N2,S6,O3,O5,C1,C3,C3</t>
        </is>
      </c>
      <c r="K64" s="16" t="inlineStr">
        <is>
          <t>malla</t>
        </is>
      </c>
    </row>
    <row r="65">
      <c r="A65" s="16" t="inlineStr">
        <is>
          <t>KF-M02-N2-B-0011</t>
        </is>
      </c>
      <c r="B65" s="35" t="n">
        <v>380</v>
      </c>
      <c r="C65" s="35" t="n">
        <v>2000</v>
      </c>
      <c r="D65" s="38" t="inlineStr">
        <is>
          <t>Falso convergido</t>
        </is>
      </c>
      <c r="E65" s="29" t="inlineStr">
        <is>
          <t>—</t>
        </is>
      </c>
      <c r="F65" s="35" t="inlineStr">
        <is>
          <t>—</t>
        </is>
      </c>
      <c r="G65" s="36" t="n">
        <v>1000</v>
      </c>
      <c r="H65" s="29" t="n">
        <v>1.5</v>
      </c>
      <c r="I65" s="16" t="inlineStr">
        <is>
          <t>no</t>
        </is>
      </c>
      <c r="J65" s="16" t="inlineStr">
        <is>
          <t>N2,S6,O3,O5,C1,C3,C3</t>
        </is>
      </c>
      <c r="K65" s="16" t="inlineStr">
        <is>
          <t>malla</t>
        </is>
      </c>
    </row>
    <row r="66">
      <c r="A66" s="16" t="inlineStr">
        <is>
          <t>KF-M02-N2-B-0012</t>
        </is>
      </c>
      <c r="B66" s="35" t="n">
        <v>390</v>
      </c>
      <c r="C66" s="35" t="n">
        <v>400</v>
      </c>
      <c r="D66" s="39" t="inlineStr">
        <is>
          <t>Corregible</t>
        </is>
      </c>
      <c r="E66" s="29" t="n">
        <v>2.60108461023257</v>
      </c>
      <c r="F66" s="35" t="n">
        <v>3.770474544386383</v>
      </c>
      <c r="G66" s="36" t="n">
        <v>2600</v>
      </c>
      <c r="H66" s="29" t="n">
        <v>7.5</v>
      </c>
      <c r="I66" s="16" t="inlineStr">
        <is>
          <t>no</t>
        </is>
      </c>
      <c r="J66" s="16" t="inlineStr">
        <is>
          <t>O2</t>
        </is>
      </c>
      <c r="K66" s="16" t="inlineStr">
        <is>
          <t>malla</t>
        </is>
      </c>
    </row>
    <row r="67">
      <c r="A67" s="16" t="inlineStr">
        <is>
          <t>KF-M02-N2-B-0119</t>
        </is>
      </c>
      <c r="B67" s="35" t="n">
        <v>390</v>
      </c>
      <c r="C67" s="35" t="n">
        <v>436.3636363636364</v>
      </c>
      <c r="D67" s="39" t="inlineStr">
        <is>
          <t>Corregible</t>
        </is>
      </c>
      <c r="E67" s="29" t="n">
        <v>2.48510355079249</v>
      </c>
      <c r="F67" s="35" t="n">
        <v>3.602716710468346</v>
      </c>
      <c r="G67" s="36" t="n">
        <v>2563.636363636364</v>
      </c>
      <c r="H67" s="29" t="n">
        <v>6.875</v>
      </c>
      <c r="I67" s="16" t="inlineStr">
        <is>
          <t>no</t>
        </is>
      </c>
      <c r="J67" s="16" t="inlineStr">
        <is>
          <t>O2</t>
        </is>
      </c>
      <c r="K67" s="16" t="inlineStr">
        <is>
          <t>bisección</t>
        </is>
      </c>
      <c r="M67" s="25" t="inlineStr">
        <is>
          <t>Estudio 2.2 · parte(s) 2.2b. Punto base: PP = datos del enunciado del profesor (T_fuente 623.15 K, P_alta 3000 kPa, P_baja 400 kPa, x_b 0.50)</t>
        </is>
      </c>
    </row>
    <row r="68">
      <c r="A68" s="16" t="inlineStr">
        <is>
          <t>KF-M02-N2-B-0120</t>
        </is>
      </c>
      <c r="B68" s="35" t="n">
        <v>390</v>
      </c>
      <c r="C68" s="35" t="n">
        <v>436.3636363636364</v>
      </c>
      <c r="D68" s="39" t="inlineStr">
        <is>
          <t>Corregible</t>
        </is>
      </c>
      <c r="E68" s="29" t="n">
        <v>2.48510355079249</v>
      </c>
      <c r="F68" s="35" t="n">
        <v>3.602716710468346</v>
      </c>
      <c r="G68" s="36" t="n">
        <v>2563.636363636364</v>
      </c>
      <c r="H68" s="29" t="n">
        <v>6.875</v>
      </c>
      <c r="I68" s="16" t="inlineStr">
        <is>
          <t>no</t>
        </is>
      </c>
      <c r="J68" s="16" t="inlineStr">
        <is>
          <t>O2</t>
        </is>
      </c>
      <c r="K68" s="16" t="inlineStr">
        <is>
          <t>bisección</t>
        </is>
      </c>
      <c r="M68" s="25" t="inlineStr">
        <is>
          <t>Datos fijos: T_sumidero = 300.03 K; P_alta = 3000 kPa; x_b = 0.5; m_b = 1 kg/s; η_t = 0.85; η_p = 0.75; ε_HRVG = 0.85; ε_reg = 0.75; ε_cond = 0.8; motor de propiedades = teqp.</t>
        </is>
      </c>
    </row>
    <row r="69">
      <c r="A69" s="16" t="inlineStr">
        <is>
          <t>KF-M02-N2-B-0137</t>
        </is>
      </c>
      <c r="B69" s="35" t="n">
        <v>390</v>
      </c>
      <c r="C69" s="35" t="n">
        <v>445.4545454545455</v>
      </c>
      <c r="D69" s="42" t="inlineStr">
        <is>
          <t>KALINA</t>
        </is>
      </c>
      <c r="E69" s="29" t="n">
        <v>2.44636612548111</v>
      </c>
      <c r="F69" s="35" t="n">
        <v>3.546531884657098</v>
      </c>
      <c r="G69" s="36" t="n">
        <v>2554.545454545455</v>
      </c>
      <c r="H69" s="29" t="n">
        <v>6.734693877551019</v>
      </c>
      <c r="I69" s="16" t="inlineStr">
        <is>
          <t>no</t>
        </is>
      </c>
      <c r="J69" s="16" t="n"/>
      <c r="K69" s="16" t="inlineStr">
        <is>
          <t>bisección</t>
        </is>
      </c>
      <c r="M69" s="25" t="inlineStr">
        <is>
          <t>Datos barridos: T_fuente [380–560] K (9 valores); P_baja [400–2000] kPa (32 valores).</t>
        </is>
      </c>
    </row>
    <row r="70">
      <c r="A70" s="16" t="inlineStr">
        <is>
          <t>KF-M02-N2-B-0138</t>
        </is>
      </c>
      <c r="B70" s="35" t="n">
        <v>390</v>
      </c>
      <c r="C70" s="35" t="n">
        <v>445.4545454545455</v>
      </c>
      <c r="D70" s="42" t="inlineStr">
        <is>
          <t>KALINA</t>
        </is>
      </c>
      <c r="E70" s="29" t="n">
        <v>2.44636612548111</v>
      </c>
      <c r="F70" s="35" t="n">
        <v>3.546531884657098</v>
      </c>
      <c r="G70" s="36" t="n">
        <v>2554.545454545455</v>
      </c>
      <c r="H70" s="29" t="n">
        <v>6.734693877551019</v>
      </c>
      <c r="I70" s="16" t="inlineStr">
        <is>
          <t>no</t>
        </is>
      </c>
      <c r="J70" s="16" t="n"/>
      <c r="K70" s="16" t="inlineStr">
        <is>
          <t>bisección</t>
        </is>
      </c>
      <c r="M70" s="25" t="inlineStr">
        <is>
          <t>Filtro: parte 2.2b (2.2b).</t>
        </is>
      </c>
    </row>
    <row r="71">
      <c r="A71" s="16" t="inlineStr">
        <is>
          <t>KF-M02-N2-B-0128</t>
        </is>
      </c>
      <c r="B71" s="35" t="n">
        <v>390</v>
      </c>
      <c r="C71" s="35" t="n">
        <v>454.5454545454546</v>
      </c>
      <c r="D71" s="42" t="inlineStr">
        <is>
          <t>KALINA</t>
        </is>
      </c>
      <c r="E71" s="29" t="n">
        <v>2.40739316151394</v>
      </c>
      <c r="F71" s="35" t="n">
        <v>3.4899973622581</v>
      </c>
      <c r="G71" s="36" t="n">
        <v>2545.454545454545</v>
      </c>
      <c r="H71" s="29" t="n">
        <v>6.6</v>
      </c>
      <c r="I71" s="16" t="inlineStr">
        <is>
          <t>no</t>
        </is>
      </c>
      <c r="J71" s="16" t="n"/>
      <c r="K71" s="16" t="inlineStr">
        <is>
          <t>bisección</t>
        </is>
      </c>
      <c r="M71" s="25" t="inlineStr">
        <is>
          <t>n = 144. Fuente: todos_los_puntos.csv.</t>
        </is>
      </c>
    </row>
    <row r="72">
      <c r="A72" s="16" t="inlineStr">
        <is>
          <t>KF-M02-N2-B-0129</t>
        </is>
      </c>
      <c r="B72" s="35" t="n">
        <v>390</v>
      </c>
      <c r="C72" s="35" t="n">
        <v>454.5454545454546</v>
      </c>
      <c r="D72" s="42" t="inlineStr">
        <is>
          <t>KALINA</t>
        </is>
      </c>
      <c r="E72" s="29" t="n">
        <v>2.40739316151394</v>
      </c>
      <c r="F72" s="35" t="n">
        <v>3.4899973622581</v>
      </c>
      <c r="G72" s="36" t="n">
        <v>2545.454545454545</v>
      </c>
      <c r="H72" s="29" t="n">
        <v>6.6</v>
      </c>
      <c r="I72" s="16" t="inlineStr">
        <is>
          <t>no</t>
        </is>
      </c>
      <c r="J72" s="16" t="n"/>
      <c r="K72" s="16" t="inlineStr">
        <is>
          <t>bisección</t>
        </is>
      </c>
    </row>
    <row r="73">
      <c r="A73" s="16" t="inlineStr">
        <is>
          <t>KF-M02-N2-B-0110</t>
        </is>
      </c>
      <c r="B73" s="35" t="n">
        <v>390</v>
      </c>
      <c r="C73" s="35" t="n">
        <v>472.7272727272728</v>
      </c>
      <c r="D73" s="42" t="inlineStr">
        <is>
          <t>KALINA</t>
        </is>
      </c>
      <c r="E73" s="29" t="n">
        <v>2.33189171859756</v>
      </c>
      <c r="F73" s="35" t="n">
        <v>3.380480026732658</v>
      </c>
      <c r="G73" s="36" t="n">
        <v>2527.272727272727</v>
      </c>
      <c r="H73" s="29" t="n">
        <v>6.346153846153845</v>
      </c>
      <c r="I73" s="16" t="inlineStr">
        <is>
          <t>no</t>
        </is>
      </c>
      <c r="J73" s="16" t="n"/>
      <c r="K73" s="16" t="inlineStr">
        <is>
          <t>bisección</t>
        </is>
      </c>
    </row>
    <row r="74">
      <c r="A74" s="16" t="inlineStr">
        <is>
          <t>KF-M02-N2-B-0111</t>
        </is>
      </c>
      <c r="B74" s="35" t="n">
        <v>390</v>
      </c>
      <c r="C74" s="35" t="n">
        <v>472.7272727272728</v>
      </c>
      <c r="D74" s="42" t="inlineStr">
        <is>
          <t>KALINA</t>
        </is>
      </c>
      <c r="E74" s="29" t="n">
        <v>2.33189171859756</v>
      </c>
      <c r="F74" s="35" t="n">
        <v>3.380480026732658</v>
      </c>
      <c r="G74" s="36" t="n">
        <v>2527.272727272727</v>
      </c>
      <c r="H74" s="29" t="n">
        <v>6.346153846153845</v>
      </c>
      <c r="I74" s="16" t="inlineStr">
        <is>
          <t>no</t>
        </is>
      </c>
      <c r="J74" s="16" t="n"/>
      <c r="K74" s="16" t="inlineStr">
        <is>
          <t>bisección</t>
        </is>
      </c>
    </row>
    <row r="75">
      <c r="A75" s="16" t="inlineStr">
        <is>
          <t>KF-M02-N2-B-0013</t>
        </is>
      </c>
      <c r="B75" s="35" t="n">
        <v>390</v>
      </c>
      <c r="C75" s="35" t="n">
        <v>545.4545454545455</v>
      </c>
      <c r="D75" s="42" t="inlineStr">
        <is>
          <t>KALINA</t>
        </is>
      </c>
      <c r="E75" s="29" t="n">
        <v>2.05861994605055</v>
      </c>
      <c r="F75" s="35" t="n">
        <v>2.984151131279785</v>
      </c>
      <c r="G75" s="36" t="n">
        <v>2454.545454545455</v>
      </c>
      <c r="H75" s="29" t="n">
        <v>5.5</v>
      </c>
      <c r="I75" s="16" t="inlineStr">
        <is>
          <t>no</t>
        </is>
      </c>
      <c r="J75" s="16" t="n"/>
      <c r="K75" s="16" t="inlineStr">
        <is>
          <t>malla</t>
        </is>
      </c>
    </row>
    <row r="76">
      <c r="A76" s="16" t="inlineStr">
        <is>
          <t>KF-M02-N2-B-0017</t>
        </is>
      </c>
      <c r="B76" s="35" t="n">
        <v>390</v>
      </c>
      <c r="C76" s="35" t="n">
        <v>690.909090909091</v>
      </c>
      <c r="D76" s="42" t="inlineStr">
        <is>
          <t>KALINA</t>
        </is>
      </c>
      <c r="E76" s="29" t="n">
        <v>1.61837077153163</v>
      </c>
      <c r="F76" s="35" t="n">
        <v>2.345836525562905</v>
      </c>
      <c r="G76" s="36" t="n">
        <v>2309.090909090909</v>
      </c>
      <c r="H76" s="29" t="n">
        <v>4.342105263157894</v>
      </c>
      <c r="I76" s="16" t="inlineStr">
        <is>
          <t>no</t>
        </is>
      </c>
      <c r="J76" s="16" t="n"/>
      <c r="K76" s="16" t="inlineStr">
        <is>
          <t>malla</t>
        </is>
      </c>
    </row>
    <row r="77">
      <c r="A77" s="16" t="inlineStr">
        <is>
          <t>KF-M02-N2-B-0014</t>
        </is>
      </c>
      <c r="B77" s="35" t="n">
        <v>390</v>
      </c>
      <c r="C77" s="35" t="n">
        <v>836.3636363636364</v>
      </c>
      <c r="D77" s="42" t="inlineStr">
        <is>
          <t>KALINA</t>
        </is>
      </c>
      <c r="E77" s="29" t="n">
        <v>1.27810257818241</v>
      </c>
      <c r="F77" s="35" t="n">
        <v>1.852613184259928</v>
      </c>
      <c r="G77" s="36" t="n">
        <v>2163.636363636364</v>
      </c>
      <c r="H77" s="29" t="n">
        <v>3.58695652173913</v>
      </c>
      <c r="I77" s="16" t="inlineStr">
        <is>
          <t>no</t>
        </is>
      </c>
      <c r="J77" s="16" t="n"/>
      <c r="K77" s="16" t="inlineStr">
        <is>
          <t>malla</t>
        </is>
      </c>
    </row>
    <row r="78">
      <c r="A78" s="16" t="inlineStr">
        <is>
          <t>KF-M02-N2-B-0015</t>
        </is>
      </c>
      <c r="B78" s="35" t="n">
        <v>390</v>
      </c>
      <c r="C78" s="35" t="n">
        <v>981.818181818182</v>
      </c>
      <c r="D78" s="42" t="inlineStr">
        <is>
          <t>KALINA</t>
        </is>
      </c>
      <c r="E78" s="29" t="n">
        <v>1.00799513750807</v>
      </c>
      <c r="F78" s="35" t="n">
        <v>1.461146602131517</v>
      </c>
      <c r="G78" s="36" t="n">
        <v>2018.181818181818</v>
      </c>
      <c r="H78" s="29" t="n">
        <v>3.055555555555555</v>
      </c>
      <c r="I78" s="16" t="inlineStr">
        <is>
          <t>no</t>
        </is>
      </c>
      <c r="J78" s="16" t="n"/>
      <c r="K78" s="16" t="inlineStr">
        <is>
          <t>malla</t>
        </is>
      </c>
    </row>
    <row r="79">
      <c r="A79" s="16" t="inlineStr">
        <is>
          <t>KF-M02-N2-B-0016</t>
        </is>
      </c>
      <c r="B79" s="35" t="n">
        <v>390</v>
      </c>
      <c r="C79" s="35" t="n">
        <v>1127.272727272728</v>
      </c>
      <c r="D79" s="42" t="inlineStr">
        <is>
          <t>KALINA</t>
        </is>
      </c>
      <c r="E79" s="29" t="n">
        <v>0.7900965728255299</v>
      </c>
      <c r="F79" s="35" t="n">
        <v>1.145366512372877</v>
      </c>
      <c r="G79" s="36" t="n">
        <v>1872.727272727272</v>
      </c>
      <c r="H79" s="29" t="n">
        <v>2.661290322580644</v>
      </c>
      <c r="I79" s="16" t="inlineStr">
        <is>
          <t>no</t>
        </is>
      </c>
      <c r="J79" s="16" t="n"/>
      <c r="K79" s="16" t="inlineStr">
        <is>
          <t>malla</t>
        </is>
      </c>
    </row>
    <row r="80">
      <c r="A80" s="16" t="inlineStr">
        <is>
          <t>KF-M02-N2-B-0018</t>
        </is>
      </c>
      <c r="B80" s="35" t="n">
        <v>390</v>
      </c>
      <c r="C80" s="35" t="n">
        <v>1272.727272727273</v>
      </c>
      <c r="D80" s="42" t="inlineStr">
        <is>
          <t>KALINA</t>
        </is>
      </c>
      <c r="E80" s="29" t="n">
        <v>0.61268755555983</v>
      </c>
      <c r="F80" s="35" t="n">
        <v>0.8882665497183218</v>
      </c>
      <c r="G80" s="36" t="n">
        <v>1727.272727272727</v>
      </c>
      <c r="H80" s="29" t="n">
        <v>2.357142857142857</v>
      </c>
      <c r="I80" s="16" t="inlineStr">
        <is>
          <t>no</t>
        </is>
      </c>
      <c r="J80" s="16" t="n"/>
      <c r="K80" s="16" t="inlineStr">
        <is>
          <t>malla</t>
        </is>
      </c>
    </row>
    <row r="81">
      <c r="A81" s="16" t="inlineStr">
        <is>
          <t>KF-M02-N2-B-0019</t>
        </is>
      </c>
      <c r="B81" s="35" t="n">
        <v>390</v>
      </c>
      <c r="C81" s="35" t="n">
        <v>1418.181818181818</v>
      </c>
      <c r="D81" s="42" t="inlineStr">
        <is>
          <t>KALINA</t>
        </is>
      </c>
      <c r="E81" s="29" t="n">
        <v>0.46768597584949</v>
      </c>
      <c r="F81" s="35" t="n">
        <v>0.6781159169815458</v>
      </c>
      <c r="G81" s="36" t="n">
        <v>1581.818181818182</v>
      </c>
      <c r="H81" s="29" t="n">
        <v>2.115384615384615</v>
      </c>
      <c r="I81" s="16" t="inlineStr">
        <is>
          <t>no</t>
        </is>
      </c>
      <c r="J81" s="16" t="n"/>
      <c r="K81" s="16" t="inlineStr">
        <is>
          <t>malla</t>
        </is>
      </c>
    </row>
    <row r="82">
      <c r="A82" s="16" t="inlineStr">
        <is>
          <t>KF-M02-N2-B-0020</t>
        </is>
      </c>
      <c r="B82" s="35" t="n">
        <v>390</v>
      </c>
      <c r="C82" s="35" t="n">
        <v>1563.636363636364</v>
      </c>
      <c r="D82" s="42" t="inlineStr">
        <is>
          <t>KALINA</t>
        </is>
      </c>
      <c r="E82" s="29" t="n">
        <v>0.34922952965097</v>
      </c>
      <c r="F82" s="35" t="n">
        <v>0.5064230951672126</v>
      </c>
      <c r="G82" s="36" t="n">
        <v>1436.363636363636</v>
      </c>
      <c r="H82" s="29" t="n">
        <v>1.918604651162791</v>
      </c>
      <c r="I82" s="16" t="inlineStr">
        <is>
          <t>no</t>
        </is>
      </c>
      <c r="J82" s="16" t="n"/>
      <c r="K82" s="16" t="inlineStr">
        <is>
          <t>malla</t>
        </is>
      </c>
    </row>
    <row r="83">
      <c r="A83" s="16" t="inlineStr">
        <is>
          <t>KF-M02-N2-B-0021</t>
        </is>
      </c>
      <c r="B83" s="35" t="n">
        <v>390</v>
      </c>
      <c r="C83" s="35" t="n">
        <v>1709.090909090909</v>
      </c>
      <c r="D83" s="42" t="inlineStr">
        <is>
          <t>KALINA</t>
        </is>
      </c>
      <c r="E83" s="29" t="n">
        <v>0.25295580489196</v>
      </c>
      <c r="F83" s="35" t="n">
        <v>0.3668643288327153</v>
      </c>
      <c r="G83" s="36" t="n">
        <v>1290.909090909091</v>
      </c>
      <c r="H83" s="29" t="n">
        <v>1.75531914893617</v>
      </c>
      <c r="I83" s="16" t="inlineStr">
        <is>
          <t>no</t>
        </is>
      </c>
      <c r="J83" s="16" t="n"/>
      <c r="K83" s="16" t="inlineStr">
        <is>
          <t>malla</t>
        </is>
      </c>
    </row>
    <row r="84">
      <c r="A84" s="16" t="inlineStr">
        <is>
          <t>KF-M02-N2-B-0022</t>
        </is>
      </c>
      <c r="B84" s="35" t="n">
        <v>390</v>
      </c>
      <c r="C84" s="35" t="n">
        <v>1854.545454545455</v>
      </c>
      <c r="D84" s="42" t="inlineStr">
        <is>
          <t>KALINA</t>
        </is>
      </c>
      <c r="E84" s="29" t="n">
        <v>0.17551123679891</v>
      </c>
      <c r="F84" s="35" t="n">
        <v>0.2545825189202051</v>
      </c>
      <c r="G84" s="36" t="n">
        <v>1145.454545454545</v>
      </c>
      <c r="H84" s="29" t="n">
        <v>1.617647058823529</v>
      </c>
      <c r="I84" s="16" t="inlineStr">
        <is>
          <t>no</t>
        </is>
      </c>
      <c r="J84" s="16" t="n"/>
      <c r="K84" s="16" t="inlineStr">
        <is>
          <t>malla</t>
        </is>
      </c>
    </row>
    <row r="85">
      <c r="A85" s="16" t="inlineStr">
        <is>
          <t>KF-M02-N2-B-0023</t>
        </is>
      </c>
      <c r="B85" s="35" t="n">
        <v>390</v>
      </c>
      <c r="C85" s="35" t="n">
        <v>2000</v>
      </c>
      <c r="D85" s="42" t="inlineStr">
        <is>
          <t>KALINA</t>
        </is>
      </c>
      <c r="E85" s="29" t="n">
        <v>0.1142618621397899</v>
      </c>
      <c r="F85" s="35" t="n">
        <v>0.165764547269859</v>
      </c>
      <c r="G85" s="36" t="n">
        <v>1000</v>
      </c>
      <c r="H85" s="29" t="n">
        <v>1.5</v>
      </c>
      <c r="I85" s="16" t="inlineStr">
        <is>
          <t>no</t>
        </is>
      </c>
      <c r="J85" s="16" t="n"/>
      <c r="K85" s="16" t="inlineStr">
        <is>
          <t>malla</t>
        </is>
      </c>
    </row>
    <row r="86">
      <c r="A86" s="16" t="inlineStr">
        <is>
          <t>KF-M02-N2-B-0024</t>
        </is>
      </c>
      <c r="B86" s="35" t="n">
        <v>403</v>
      </c>
      <c r="C86" s="35" t="n">
        <v>400</v>
      </c>
      <c r="D86" s="39" t="inlineStr">
        <is>
          <t>Corregible</t>
        </is>
      </c>
      <c r="E86" s="29" t="n">
        <v>9.874204463369219</v>
      </c>
      <c r="F86" s="35" t="n">
        <v>30.20164854840726</v>
      </c>
      <c r="G86" s="36" t="n">
        <v>2600</v>
      </c>
      <c r="H86" s="29" t="n">
        <v>7.5</v>
      </c>
      <c r="I86" s="16" t="inlineStr">
        <is>
          <t>no</t>
        </is>
      </c>
      <c r="J86" s="16" t="inlineStr">
        <is>
          <t>O2</t>
        </is>
      </c>
      <c r="K86" s="16" t="inlineStr">
        <is>
          <t>malla</t>
        </is>
      </c>
    </row>
    <row r="87">
      <c r="A87" s="16" t="inlineStr">
        <is>
          <t>KF-M02-N2-B-0025</t>
        </is>
      </c>
      <c r="B87" s="35" t="n">
        <v>403</v>
      </c>
      <c r="C87" s="35" t="n">
        <v>545.4545454545455</v>
      </c>
      <c r="D87" s="39" t="inlineStr">
        <is>
          <t>Corregible</t>
        </is>
      </c>
      <c r="E87" s="29" t="n">
        <v>8.642258283484662</v>
      </c>
      <c r="F87" s="35" t="n">
        <v>26.43494173629173</v>
      </c>
      <c r="G87" s="36" t="n">
        <v>2454.545454545455</v>
      </c>
      <c r="H87" s="29" t="n">
        <v>5.5</v>
      </c>
      <c r="I87" s="16" t="inlineStr">
        <is>
          <t>no</t>
        </is>
      </c>
      <c r="J87" s="16" t="inlineStr">
        <is>
          <t>O2</t>
        </is>
      </c>
      <c r="K87" s="16" t="inlineStr">
        <is>
          <t>malla</t>
        </is>
      </c>
    </row>
    <row r="88">
      <c r="A88" s="16" t="inlineStr">
        <is>
          <t>KF-M02-N2-B-0135</t>
        </is>
      </c>
      <c r="B88" s="35" t="n">
        <v>403</v>
      </c>
      <c r="C88" s="35" t="n">
        <v>554.5454545454546</v>
      </c>
      <c r="D88" s="39" t="inlineStr">
        <is>
          <t>Corregible</t>
        </is>
      </c>
      <c r="E88" s="29" t="n">
        <v>8.562046045106101</v>
      </c>
      <c r="F88" s="35" t="n">
        <v>26.18835671346365</v>
      </c>
      <c r="G88" s="36" t="n">
        <v>2445.454545454545</v>
      </c>
      <c r="H88" s="29" t="n">
        <v>5.40983606557377</v>
      </c>
      <c r="I88" s="16" t="inlineStr">
        <is>
          <t>no</t>
        </is>
      </c>
      <c r="J88" s="16" t="inlineStr">
        <is>
          <t>O2</t>
        </is>
      </c>
      <c r="K88" s="16" t="inlineStr">
        <is>
          <t>bisección</t>
        </is>
      </c>
    </row>
    <row r="89">
      <c r="A89" s="16" t="inlineStr">
        <is>
          <t>KF-M02-N2-B-0136</t>
        </is>
      </c>
      <c r="B89" s="35" t="n">
        <v>403</v>
      </c>
      <c r="C89" s="35" t="n">
        <v>554.5454545454546</v>
      </c>
      <c r="D89" s="39" t="inlineStr">
        <is>
          <t>Corregible</t>
        </is>
      </c>
      <c r="E89" s="29" t="n">
        <v>8.562046045106101</v>
      </c>
      <c r="F89" s="35" t="n">
        <v>26.18835671346365</v>
      </c>
      <c r="G89" s="36" t="n">
        <v>2445.454545454545</v>
      </c>
      <c r="H89" s="29" t="n">
        <v>5.40983606557377</v>
      </c>
      <c r="I89" s="16" t="inlineStr">
        <is>
          <t>no</t>
        </is>
      </c>
      <c r="J89" s="16" t="inlineStr">
        <is>
          <t>O2</t>
        </is>
      </c>
      <c r="K89" s="16" t="inlineStr">
        <is>
          <t>bisección</t>
        </is>
      </c>
    </row>
    <row r="90">
      <c r="A90" s="16" t="inlineStr">
        <is>
          <t>KF-M02-N2-B-0126</t>
        </is>
      </c>
      <c r="B90" s="35" t="n">
        <v>403</v>
      </c>
      <c r="C90" s="35" t="n">
        <v>563.6363636363637</v>
      </c>
      <c r="D90" s="42" t="inlineStr">
        <is>
          <t>KALINA</t>
        </is>
      </c>
      <c r="E90" s="29" t="n">
        <v>8.481891205006569</v>
      </c>
      <c r="F90" s="35" t="n">
        <v>25.94188172942141</v>
      </c>
      <c r="G90" s="36" t="n">
        <v>2436.363636363636</v>
      </c>
      <c r="H90" s="29" t="n">
        <v>5.322580645161289</v>
      </c>
      <c r="I90" s="16" t="inlineStr">
        <is>
          <t>no</t>
        </is>
      </c>
      <c r="J90" s="16" t="n"/>
      <c r="K90" s="16" t="inlineStr">
        <is>
          <t>bisección</t>
        </is>
      </c>
    </row>
    <row r="91">
      <c r="A91" s="16" t="inlineStr">
        <is>
          <t>KF-M02-N2-B-0127</t>
        </is>
      </c>
      <c r="B91" s="35" t="n">
        <v>403</v>
      </c>
      <c r="C91" s="35" t="n">
        <v>563.6363636363637</v>
      </c>
      <c r="D91" s="42" t="inlineStr">
        <is>
          <t>KALINA</t>
        </is>
      </c>
      <c r="E91" s="29" t="n">
        <v>8.481891205006569</v>
      </c>
      <c r="F91" s="35" t="n">
        <v>25.94188172942141</v>
      </c>
      <c r="G91" s="36" t="n">
        <v>2436.363636363636</v>
      </c>
      <c r="H91" s="29" t="n">
        <v>5.322580645161289</v>
      </c>
      <c r="I91" s="16" t="inlineStr">
        <is>
          <t>no</t>
        </is>
      </c>
      <c r="J91" s="16" t="n"/>
      <c r="K91" s="16" t="inlineStr">
        <is>
          <t>bisección</t>
        </is>
      </c>
    </row>
    <row r="92">
      <c r="A92" s="16" t="inlineStr">
        <is>
          <t>KF-M02-N2-B-0117</t>
        </is>
      </c>
      <c r="B92" s="35" t="n">
        <v>403</v>
      </c>
      <c r="C92" s="35" t="n">
        <v>581.8181818181819</v>
      </c>
      <c r="D92" s="42" t="inlineStr">
        <is>
          <t>KALINA</t>
        </is>
      </c>
      <c r="E92" s="29" t="n">
        <v>8.324833852495701</v>
      </c>
      <c r="F92" s="35" t="n">
        <v>25.45899570640634</v>
      </c>
      <c r="G92" s="36" t="n">
        <v>2418.181818181818</v>
      </c>
      <c r="H92" s="29" t="n">
        <v>5.156249999999999</v>
      </c>
      <c r="I92" s="16" t="inlineStr">
        <is>
          <t>no</t>
        </is>
      </c>
      <c r="J92" s="16" t="n"/>
      <c r="K92" s="16" t="inlineStr">
        <is>
          <t>bisección</t>
        </is>
      </c>
    </row>
    <row r="93">
      <c r="A93" s="16" t="inlineStr">
        <is>
          <t>KF-M02-N2-B-0118</t>
        </is>
      </c>
      <c r="B93" s="35" t="n">
        <v>403</v>
      </c>
      <c r="C93" s="35" t="n">
        <v>581.8181818181819</v>
      </c>
      <c r="D93" s="42" t="inlineStr">
        <is>
          <t>KALINA</t>
        </is>
      </c>
      <c r="E93" s="29" t="n">
        <v>8.324833852495701</v>
      </c>
      <c r="F93" s="35" t="n">
        <v>25.45899570640634</v>
      </c>
      <c r="G93" s="36" t="n">
        <v>2418.181818181818</v>
      </c>
      <c r="H93" s="29" t="n">
        <v>5.156249999999999</v>
      </c>
      <c r="I93" s="16" t="inlineStr">
        <is>
          <t>no</t>
        </is>
      </c>
      <c r="J93" s="16" t="n"/>
      <c r="K93" s="16" t="inlineStr">
        <is>
          <t>bisección</t>
        </is>
      </c>
    </row>
    <row r="94">
      <c r="A94" s="16" t="inlineStr">
        <is>
          <t>KF-M02-N2-B-0108</t>
        </is>
      </c>
      <c r="B94" s="35" t="n">
        <v>403</v>
      </c>
      <c r="C94" s="35" t="n">
        <v>618.1818181818182</v>
      </c>
      <c r="D94" s="42" t="inlineStr">
        <is>
          <t>KALINA</t>
        </is>
      </c>
      <c r="E94" s="29" t="n">
        <v>8.023714951508429</v>
      </c>
      <c r="F94" s="35" t="n">
        <v>24.53347814378921</v>
      </c>
      <c r="G94" s="36" t="n">
        <v>2381.818181818182</v>
      </c>
      <c r="H94" s="29" t="n">
        <v>4.852941176470588</v>
      </c>
      <c r="I94" s="16" t="inlineStr">
        <is>
          <t>no</t>
        </is>
      </c>
      <c r="J94" s="16" t="n"/>
      <c r="K94" s="16" t="inlineStr">
        <is>
          <t>bisección</t>
        </is>
      </c>
    </row>
    <row r="95">
      <c r="A95" s="16" t="inlineStr">
        <is>
          <t>KF-M02-N2-B-0109</t>
        </is>
      </c>
      <c r="B95" s="35" t="n">
        <v>403</v>
      </c>
      <c r="C95" s="35" t="n">
        <v>618.1818181818182</v>
      </c>
      <c r="D95" s="42" t="inlineStr">
        <is>
          <t>KALINA</t>
        </is>
      </c>
      <c r="E95" s="29" t="n">
        <v>8.023714951508429</v>
      </c>
      <c r="F95" s="35" t="n">
        <v>24.53347814378921</v>
      </c>
      <c r="G95" s="36" t="n">
        <v>2381.818181818182</v>
      </c>
      <c r="H95" s="29" t="n">
        <v>4.852941176470588</v>
      </c>
      <c r="I95" s="16" t="inlineStr">
        <is>
          <t>no</t>
        </is>
      </c>
      <c r="J95" s="16" t="n"/>
      <c r="K95" s="16" t="inlineStr">
        <is>
          <t>bisección</t>
        </is>
      </c>
    </row>
    <row r="96">
      <c r="A96" s="16" t="inlineStr">
        <is>
          <t>KF-M02-N2-B-0026</t>
        </is>
      </c>
      <c r="B96" s="35" t="n">
        <v>403</v>
      </c>
      <c r="C96" s="35" t="n">
        <v>690.909090909091</v>
      </c>
      <c r="D96" s="42" t="inlineStr">
        <is>
          <t>KALINA</t>
        </is>
      </c>
      <c r="E96" s="29" t="n">
        <v>7.46732761255242</v>
      </c>
      <c r="F96" s="35" t="n">
        <v>22.82439179483821</v>
      </c>
      <c r="G96" s="36" t="n">
        <v>2309.090909090909</v>
      </c>
      <c r="H96" s="29" t="n">
        <v>4.342105263157894</v>
      </c>
      <c r="I96" s="16" t="inlineStr">
        <is>
          <t>no</t>
        </is>
      </c>
      <c r="J96" s="16" t="n"/>
      <c r="K96" s="16" t="inlineStr">
        <is>
          <t>malla</t>
        </is>
      </c>
    </row>
    <row r="97">
      <c r="A97" s="16" t="inlineStr">
        <is>
          <t>KF-M02-N2-B-0027</t>
        </is>
      </c>
      <c r="B97" s="35" t="n">
        <v>403</v>
      </c>
      <c r="C97" s="35" t="n">
        <v>836.3636363636364</v>
      </c>
      <c r="D97" s="42" t="inlineStr">
        <is>
          <t>KALINA</t>
        </is>
      </c>
      <c r="E97" s="29" t="n">
        <v>6.50100619534111</v>
      </c>
      <c r="F97" s="35" t="n">
        <v>19.85919509912683</v>
      </c>
      <c r="G97" s="36" t="n">
        <v>2163.636363636364</v>
      </c>
      <c r="H97" s="29" t="n">
        <v>3.58695652173913</v>
      </c>
      <c r="I97" s="16" t="inlineStr">
        <is>
          <t>no</t>
        </is>
      </c>
      <c r="J97" s="16" t="n"/>
      <c r="K97" s="16" t="inlineStr">
        <is>
          <t>malla</t>
        </is>
      </c>
    </row>
    <row r="98">
      <c r="A98" s="16" t="inlineStr">
        <is>
          <t>KF-M02-N2-B-0028</t>
        </is>
      </c>
      <c r="B98" s="35" t="n">
        <v>403</v>
      </c>
      <c r="C98" s="35" t="n">
        <v>981.818181818182</v>
      </c>
      <c r="D98" s="42" t="inlineStr">
        <is>
          <t>KALINA</t>
        </is>
      </c>
      <c r="E98" s="29" t="n">
        <v>5.68155183426597</v>
      </c>
      <c r="F98" s="35" t="n">
        <v>17.3476836673501</v>
      </c>
      <c r="G98" s="36" t="n">
        <v>2018.181818181818</v>
      </c>
      <c r="H98" s="29" t="n">
        <v>3.055555555555555</v>
      </c>
      <c r="I98" s="16" t="inlineStr">
        <is>
          <t>no</t>
        </is>
      </c>
      <c r="J98" s="16" t="n"/>
      <c r="K98" s="16" t="inlineStr">
        <is>
          <t>malla</t>
        </is>
      </c>
    </row>
    <row r="99">
      <c r="A99" s="16" t="inlineStr">
        <is>
          <t>KF-M02-N2-B-0029</t>
        </is>
      </c>
      <c r="B99" s="35" t="n">
        <v>403</v>
      </c>
      <c r="C99" s="35" t="n">
        <v>1127.272727272728</v>
      </c>
      <c r="D99" s="42" t="inlineStr">
        <is>
          <t>KALINA</t>
        </is>
      </c>
      <c r="E99" s="29" t="n">
        <v>4.971023557417531</v>
      </c>
      <c r="F99" s="35" t="n">
        <v>15.17219776352039</v>
      </c>
      <c r="G99" s="36" t="n">
        <v>1872.727272727272</v>
      </c>
      <c r="H99" s="29" t="n">
        <v>2.661290322580644</v>
      </c>
      <c r="I99" s="16" t="inlineStr">
        <is>
          <t>no</t>
        </is>
      </c>
      <c r="J99" s="16" t="n"/>
      <c r="K99" s="16" t="inlineStr">
        <is>
          <t>malla</t>
        </is>
      </c>
    </row>
    <row r="100">
      <c r="A100" s="16" t="inlineStr">
        <is>
          <t>KF-M02-N2-B-0030</t>
        </is>
      </c>
      <c r="B100" s="35" t="n">
        <v>403</v>
      </c>
      <c r="C100" s="35" t="n">
        <v>1272.727272727273</v>
      </c>
      <c r="D100" s="42" t="inlineStr">
        <is>
          <t>KALINA</t>
        </is>
      </c>
      <c r="E100" s="29" t="n">
        <v>4.34475077649327</v>
      </c>
      <c r="F100" s="35" t="n">
        <v>13.25628967026665</v>
      </c>
      <c r="G100" s="36" t="n">
        <v>1727.272727272727</v>
      </c>
      <c r="H100" s="29" t="n">
        <v>2.357142857142857</v>
      </c>
      <c r="I100" s="16" t="inlineStr">
        <is>
          <t>no</t>
        </is>
      </c>
      <c r="J100" s="16" t="n"/>
      <c r="K100" s="16" t="inlineStr">
        <is>
          <t>malla</t>
        </is>
      </c>
    </row>
    <row r="101">
      <c r="A101" s="16" t="inlineStr">
        <is>
          <t>KF-M02-N2-B-0031</t>
        </is>
      </c>
      <c r="B101" s="35" t="n">
        <v>403</v>
      </c>
      <c r="C101" s="35" t="n">
        <v>1418.181818181818</v>
      </c>
      <c r="D101" s="42" t="inlineStr">
        <is>
          <t>KALINA</t>
        </is>
      </c>
      <c r="E101" s="29" t="n">
        <v>3.78572579213082</v>
      </c>
      <c r="F101" s="35" t="n">
        <v>11.54733918697598</v>
      </c>
      <c r="G101" s="36" t="n">
        <v>1581.818181818182</v>
      </c>
      <c r="H101" s="29" t="n">
        <v>2.115384615384615</v>
      </c>
      <c r="I101" s="16" t="inlineStr">
        <is>
          <t>no</t>
        </is>
      </c>
      <c r="J101" s="16" t="n"/>
      <c r="K101" s="16" t="inlineStr">
        <is>
          <t>malla</t>
        </is>
      </c>
    </row>
    <row r="102">
      <c r="A102" s="16" t="inlineStr">
        <is>
          <t>KF-M02-N2-B-0034</t>
        </is>
      </c>
      <c r="B102" s="35" t="n">
        <v>403</v>
      </c>
      <c r="C102" s="35" t="n">
        <v>1563.636363636364</v>
      </c>
      <c r="D102" s="42" t="inlineStr">
        <is>
          <t>KALINA</t>
        </is>
      </c>
      <c r="E102" s="29" t="n">
        <v>3.28171252812382</v>
      </c>
      <c r="F102" s="35" t="n">
        <v>10.0075159853411</v>
      </c>
      <c r="G102" s="36" t="n">
        <v>1436.363636363636</v>
      </c>
      <c r="H102" s="29" t="n">
        <v>1.918604651162791</v>
      </c>
      <c r="I102" s="16" t="inlineStr">
        <is>
          <t>no</t>
        </is>
      </c>
      <c r="J102" s="16" t="n"/>
      <c r="K102" s="16" t="inlineStr">
        <is>
          <t>malla</t>
        </is>
      </c>
    </row>
    <row r="103">
      <c r="A103" s="16" t="inlineStr">
        <is>
          <t>KF-M02-N2-B-0033</t>
        </is>
      </c>
      <c r="B103" s="35" t="n">
        <v>403</v>
      </c>
      <c r="C103" s="35" t="n">
        <v>1709.090909090909</v>
      </c>
      <c r="D103" s="42" t="inlineStr">
        <is>
          <t>KALINA</t>
        </is>
      </c>
      <c r="E103" s="29" t="n">
        <v>2.82359733610553</v>
      </c>
      <c r="F103" s="35" t="n">
        <v>8.608668162045378</v>
      </c>
      <c r="G103" s="36" t="n">
        <v>1290.909090909091</v>
      </c>
      <c r="H103" s="29" t="n">
        <v>1.75531914893617</v>
      </c>
      <c r="I103" s="16" t="inlineStr">
        <is>
          <t>no</t>
        </is>
      </c>
      <c r="J103" s="16" t="n"/>
      <c r="K103" s="16" t="inlineStr">
        <is>
          <t>malla</t>
        </is>
      </c>
    </row>
    <row r="104">
      <c r="A104" s="16" t="inlineStr">
        <is>
          <t>KF-M02-N2-B-0032</t>
        </is>
      </c>
      <c r="B104" s="35" t="n">
        <v>403</v>
      </c>
      <c r="C104" s="35" t="n">
        <v>1854.545454545455</v>
      </c>
      <c r="D104" s="42" t="inlineStr">
        <is>
          <t>KALINA</t>
        </is>
      </c>
      <c r="E104" s="29" t="n">
        <v>2.40440102862088</v>
      </c>
      <c r="F104" s="35" t="n">
        <v>7.329254545257564</v>
      </c>
      <c r="G104" s="36" t="n">
        <v>1145.454545454545</v>
      </c>
      <c r="H104" s="29" t="n">
        <v>1.617647058823529</v>
      </c>
      <c r="I104" s="16" t="inlineStr">
        <is>
          <t>no</t>
        </is>
      </c>
      <c r="J104" s="16" t="n"/>
      <c r="K104" s="16" t="inlineStr">
        <is>
          <t>malla</t>
        </is>
      </c>
    </row>
    <row r="105">
      <c r="A105" s="16" t="inlineStr">
        <is>
          <t>KF-M02-N2-B-0035</t>
        </is>
      </c>
      <c r="B105" s="35" t="n">
        <v>403</v>
      </c>
      <c r="C105" s="35" t="n">
        <v>2000</v>
      </c>
      <c r="D105" s="42" t="inlineStr">
        <is>
          <t>KALINA</t>
        </is>
      </c>
      <c r="E105" s="29" t="n">
        <v>2.01865480499139</v>
      </c>
      <c r="F105" s="35" t="n">
        <v>6.152408714327831</v>
      </c>
      <c r="G105" s="36" t="n">
        <v>1000</v>
      </c>
      <c r="H105" s="29" t="n">
        <v>1.5</v>
      </c>
      <c r="I105" s="16" t="inlineStr">
        <is>
          <t>no</t>
        </is>
      </c>
      <c r="J105" s="16" t="n"/>
      <c r="K105" s="16" t="inlineStr">
        <is>
          <t>malla</t>
        </is>
      </c>
    </row>
    <row r="106">
      <c r="A106" s="16" t="inlineStr">
        <is>
          <t>KF-M02-N2-B-0036</t>
        </is>
      </c>
      <c r="B106" s="35" t="n">
        <v>420</v>
      </c>
      <c r="C106" s="35" t="n">
        <v>400</v>
      </c>
      <c r="D106" s="39" t="inlineStr">
        <is>
          <t>Corregible</t>
        </is>
      </c>
      <c r="E106" s="29" t="n">
        <v>12.26793903753299</v>
      </c>
      <c r="F106" s="35" t="n">
        <v>61.69718943804527</v>
      </c>
      <c r="G106" s="36" t="n">
        <v>2600</v>
      </c>
      <c r="H106" s="29" t="n">
        <v>7.5</v>
      </c>
      <c r="I106" s="16" t="inlineStr">
        <is>
          <t>no</t>
        </is>
      </c>
      <c r="J106" s="16" t="inlineStr">
        <is>
          <t>O2</t>
        </is>
      </c>
      <c r="K106" s="16" t="inlineStr">
        <is>
          <t>malla</t>
        </is>
      </c>
    </row>
    <row r="107">
      <c r="A107" s="16" t="inlineStr">
        <is>
          <t>KF-M02-N2-B-0037</t>
        </is>
      </c>
      <c r="B107" s="35" t="n">
        <v>420</v>
      </c>
      <c r="C107" s="35" t="n">
        <v>545.4545454545455</v>
      </c>
      <c r="D107" s="39" t="inlineStr">
        <is>
          <t>Corregible</t>
        </is>
      </c>
      <c r="E107" s="29" t="n">
        <v>10.84795231125256</v>
      </c>
      <c r="F107" s="35" t="n">
        <v>54.58011344007326</v>
      </c>
      <c r="G107" s="36" t="n">
        <v>2454.545454545455</v>
      </c>
      <c r="H107" s="29" t="n">
        <v>5.5</v>
      </c>
      <c r="I107" s="16" t="inlineStr">
        <is>
          <t>no</t>
        </is>
      </c>
      <c r="J107" s="16" t="inlineStr">
        <is>
          <t>O2</t>
        </is>
      </c>
      <c r="K107" s="16" t="inlineStr">
        <is>
          <t>malla</t>
        </is>
      </c>
    </row>
    <row r="108">
      <c r="A108" s="16" t="inlineStr">
        <is>
          <t>KF-M02-N2-B-0038</t>
        </is>
      </c>
      <c r="B108" s="35" t="n">
        <v>420</v>
      </c>
      <c r="C108" s="35" t="n">
        <v>690.909090909091</v>
      </c>
      <c r="D108" s="39" t="inlineStr">
        <is>
          <t>Corregible</t>
        </is>
      </c>
      <c r="E108" s="29" t="n">
        <v>9.53901738524444</v>
      </c>
      <c r="F108" s="35" t="n">
        <v>47.9669595959498</v>
      </c>
      <c r="G108" s="36" t="n">
        <v>2309.090909090909</v>
      </c>
      <c r="H108" s="29" t="n">
        <v>4.342105263157894</v>
      </c>
      <c r="I108" s="16" t="inlineStr">
        <is>
          <t>no</t>
        </is>
      </c>
      <c r="J108" s="16" t="inlineStr">
        <is>
          <t>O2</t>
        </is>
      </c>
      <c r="K108" s="16" t="inlineStr">
        <is>
          <t>malla</t>
        </is>
      </c>
    </row>
    <row r="109">
      <c r="A109" s="16" t="inlineStr">
        <is>
          <t>KF-M02-N2-B-0121</t>
        </is>
      </c>
      <c r="B109" s="35" t="n">
        <v>420</v>
      </c>
      <c r="C109" s="35" t="n">
        <v>727.2727272727274</v>
      </c>
      <c r="D109" s="39" t="inlineStr">
        <is>
          <t>Corregible</t>
        </is>
      </c>
      <c r="E109" s="29" t="n">
        <v>9.227414549942029</v>
      </c>
      <c r="F109" s="35" t="n">
        <v>46.38919673324552</v>
      </c>
      <c r="G109" s="36" t="n">
        <v>2272.727272727273</v>
      </c>
      <c r="H109" s="29" t="n">
        <v>4.124999999999999</v>
      </c>
      <c r="I109" s="16" t="inlineStr">
        <is>
          <t>no</t>
        </is>
      </c>
      <c r="J109" s="16" t="inlineStr">
        <is>
          <t>O2</t>
        </is>
      </c>
      <c r="K109" s="16" t="inlineStr">
        <is>
          <t>bisección</t>
        </is>
      </c>
    </row>
    <row r="110">
      <c r="A110" s="16" t="inlineStr">
        <is>
          <t>KF-M02-N2-B-0122</t>
        </is>
      </c>
      <c r="B110" s="35" t="n">
        <v>420</v>
      </c>
      <c r="C110" s="35" t="n">
        <v>727.2727272727274</v>
      </c>
      <c r="D110" s="39" t="inlineStr">
        <is>
          <t>Corregible</t>
        </is>
      </c>
      <c r="E110" s="29" t="n">
        <v>9.227414549942029</v>
      </c>
      <c r="F110" s="35" t="n">
        <v>46.38919673324552</v>
      </c>
      <c r="G110" s="36" t="n">
        <v>2272.727272727273</v>
      </c>
      <c r="H110" s="29" t="n">
        <v>4.124999999999999</v>
      </c>
      <c r="I110" s="16" t="inlineStr">
        <is>
          <t>no</t>
        </is>
      </c>
      <c r="J110" s="16" t="inlineStr">
        <is>
          <t>O2</t>
        </is>
      </c>
      <c r="K110" s="16" t="inlineStr">
        <is>
          <t>bisección</t>
        </is>
      </c>
    </row>
    <row r="111">
      <c r="A111" s="16" t="inlineStr">
        <is>
          <t>KF-M02-N2-B-0139</t>
        </is>
      </c>
      <c r="B111" s="35" t="n">
        <v>420</v>
      </c>
      <c r="C111" s="35" t="n">
        <v>736.3636363636365</v>
      </c>
      <c r="D111" s="42" t="inlineStr">
        <is>
          <t>KALINA</t>
        </is>
      </c>
      <c r="E111" s="29" t="n">
        <v>9.15042106800243</v>
      </c>
      <c r="F111" s="35" t="n">
        <v>45.9992356419883</v>
      </c>
      <c r="G111" s="36" t="n">
        <v>2263.636363636364</v>
      </c>
      <c r="H111" s="29" t="n">
        <v>4.074074074074074</v>
      </c>
      <c r="I111" s="16" t="inlineStr">
        <is>
          <t>no</t>
        </is>
      </c>
      <c r="J111" s="16" t="n"/>
      <c r="K111" s="16" t="inlineStr">
        <is>
          <t>bisección</t>
        </is>
      </c>
    </row>
    <row r="112">
      <c r="A112" s="16" t="inlineStr">
        <is>
          <t>KF-M02-N2-B-0140</t>
        </is>
      </c>
      <c r="B112" s="35" t="n">
        <v>420</v>
      </c>
      <c r="C112" s="35" t="n">
        <v>736.3636363636365</v>
      </c>
      <c r="D112" s="42" t="inlineStr">
        <is>
          <t>KALINA</t>
        </is>
      </c>
      <c r="E112" s="29" t="n">
        <v>9.15042106800243</v>
      </c>
      <c r="F112" s="35" t="n">
        <v>45.9992356419883</v>
      </c>
      <c r="G112" s="36" t="n">
        <v>2263.636363636364</v>
      </c>
      <c r="H112" s="29" t="n">
        <v>4.074074074074074</v>
      </c>
      <c r="I112" s="16" t="inlineStr">
        <is>
          <t>no</t>
        </is>
      </c>
      <c r="J112" s="16" t="n"/>
      <c r="K112" s="16" t="inlineStr">
        <is>
          <t>bisección</t>
        </is>
      </c>
    </row>
    <row r="113">
      <c r="A113" s="16" t="inlineStr">
        <is>
          <t>KF-M02-N2-B-0130</t>
        </is>
      </c>
      <c r="B113" s="35" t="n">
        <v>420</v>
      </c>
      <c r="C113" s="35" t="n">
        <v>745.4545454545455</v>
      </c>
      <c r="D113" s="42" t="inlineStr">
        <is>
          <t>KALINA</t>
        </is>
      </c>
      <c r="E113" s="29" t="n">
        <v>9.07407749101403</v>
      </c>
      <c r="F113" s="35" t="n">
        <v>45.61258115082779</v>
      </c>
      <c r="G113" s="36" t="n">
        <v>2254.545454545455</v>
      </c>
      <c r="H113" s="29" t="n">
        <v>4.024390243902439</v>
      </c>
      <c r="I113" s="16" t="inlineStr">
        <is>
          <t>no</t>
        </is>
      </c>
      <c r="J113" s="16" t="n"/>
      <c r="K113" s="16" t="inlineStr">
        <is>
          <t>bisección</t>
        </is>
      </c>
    </row>
    <row r="114">
      <c r="A114" s="16" t="inlineStr">
        <is>
          <t>KF-M02-N2-B-0131</t>
        </is>
      </c>
      <c r="B114" s="35" t="n">
        <v>420</v>
      </c>
      <c r="C114" s="35" t="n">
        <v>745.4545454545455</v>
      </c>
      <c r="D114" s="42" t="inlineStr">
        <is>
          <t>KALINA</t>
        </is>
      </c>
      <c r="E114" s="29" t="n">
        <v>9.07407749101403</v>
      </c>
      <c r="F114" s="35" t="n">
        <v>45.61258115082779</v>
      </c>
      <c r="G114" s="36" t="n">
        <v>2254.545454545455</v>
      </c>
      <c r="H114" s="29" t="n">
        <v>4.024390243902439</v>
      </c>
      <c r="I114" s="16" t="inlineStr">
        <is>
          <t>no</t>
        </is>
      </c>
      <c r="J114" s="16" t="n"/>
      <c r="K114" s="16" t="inlineStr">
        <is>
          <t>bisección</t>
        </is>
      </c>
    </row>
    <row r="115">
      <c r="A115" s="16" t="inlineStr">
        <is>
          <t>KF-M02-N2-B-0112</t>
        </is>
      </c>
      <c r="B115" s="35" t="n">
        <v>420</v>
      </c>
      <c r="C115" s="35" t="n">
        <v>763.6363636363637</v>
      </c>
      <c r="D115" s="42" t="inlineStr">
        <is>
          <t>KALINA</t>
        </is>
      </c>
      <c r="E115" s="29" t="n">
        <v>8.923888289858969</v>
      </c>
      <c r="F115" s="35" t="n">
        <v>44.85207402745763</v>
      </c>
      <c r="G115" s="36" t="n">
        <v>2236.363636363636</v>
      </c>
      <c r="H115" s="29" t="n">
        <v>3.928571428571428</v>
      </c>
      <c r="I115" s="16" t="inlineStr">
        <is>
          <t>no</t>
        </is>
      </c>
      <c r="J115" s="16" t="n"/>
      <c r="K115" s="16" t="inlineStr">
        <is>
          <t>bisección</t>
        </is>
      </c>
    </row>
    <row r="116">
      <c r="A116" s="16" t="inlineStr">
        <is>
          <t>KF-M02-N2-B-0113</t>
        </is>
      </c>
      <c r="B116" s="35" t="n">
        <v>420</v>
      </c>
      <c r="C116" s="35" t="n">
        <v>763.6363636363637</v>
      </c>
      <c r="D116" s="42" t="inlineStr">
        <is>
          <t>KALINA</t>
        </is>
      </c>
      <c r="E116" s="29" t="n">
        <v>8.923888289858969</v>
      </c>
      <c r="F116" s="35" t="n">
        <v>44.85207402745763</v>
      </c>
      <c r="G116" s="36" t="n">
        <v>2236.363636363636</v>
      </c>
      <c r="H116" s="29" t="n">
        <v>3.928571428571428</v>
      </c>
      <c r="I116" s="16" t="inlineStr">
        <is>
          <t>no</t>
        </is>
      </c>
      <c r="J116" s="16" t="n"/>
      <c r="K116" s="16" t="inlineStr">
        <is>
          <t>bisección</t>
        </is>
      </c>
    </row>
    <row r="117">
      <c r="A117" s="16" t="inlineStr">
        <is>
          <t>KF-M02-N2-B-0039</t>
        </is>
      </c>
      <c r="B117" s="35" t="n">
        <v>420</v>
      </c>
      <c r="C117" s="35" t="n">
        <v>836.3636363636364</v>
      </c>
      <c r="D117" s="42" t="inlineStr">
        <is>
          <t>KALINA</t>
        </is>
      </c>
      <c r="E117" s="29" t="n">
        <v>8.35389493347966</v>
      </c>
      <c r="F117" s="35" t="n">
        <v>41.96763206850535</v>
      </c>
      <c r="G117" s="36" t="n">
        <v>2163.636363636364</v>
      </c>
      <c r="H117" s="29" t="n">
        <v>3.58695652173913</v>
      </c>
      <c r="I117" s="16" t="inlineStr">
        <is>
          <t>no</t>
        </is>
      </c>
      <c r="J117" s="16" t="n"/>
      <c r="K117" s="16" t="inlineStr">
        <is>
          <t>malla</t>
        </is>
      </c>
    </row>
    <row r="118">
      <c r="A118" s="16" t="inlineStr">
        <is>
          <t>KF-M02-N2-B-0041</t>
        </is>
      </c>
      <c r="B118" s="35" t="n">
        <v>420</v>
      </c>
      <c r="C118" s="35" t="n">
        <v>981.818181818182</v>
      </c>
      <c r="D118" s="42" t="inlineStr">
        <is>
          <t>KALINA</t>
        </is>
      </c>
      <c r="E118" s="29" t="n">
        <v>7.33811122378724</v>
      </c>
      <c r="F118" s="35" t="n">
        <v>36.83432047793433</v>
      </c>
      <c r="G118" s="36" t="n">
        <v>2018.181818181818</v>
      </c>
      <c r="H118" s="29" t="n">
        <v>3.055555555555555</v>
      </c>
      <c r="I118" s="16" t="inlineStr">
        <is>
          <t>no</t>
        </is>
      </c>
      <c r="J118" s="16" t="n"/>
      <c r="K118" s="16" t="inlineStr">
        <is>
          <t>malla</t>
        </is>
      </c>
    </row>
    <row r="119">
      <c r="A119" s="16" t="inlineStr">
        <is>
          <t>KF-M02-N2-B-0040</t>
        </is>
      </c>
      <c r="B119" s="35" t="n">
        <v>420</v>
      </c>
      <c r="C119" s="35" t="n">
        <v>1127.272727272728</v>
      </c>
      <c r="D119" s="42" t="inlineStr">
        <is>
          <t>KALINA</t>
        </is>
      </c>
      <c r="E119" s="29" t="n">
        <v>6.452255528188281</v>
      </c>
      <c r="F119" s="35" t="n">
        <v>32.36487089531776</v>
      </c>
      <c r="G119" s="36" t="n">
        <v>1872.727272727272</v>
      </c>
      <c r="H119" s="29" t="n">
        <v>2.661290322580644</v>
      </c>
      <c r="I119" s="16" t="inlineStr">
        <is>
          <t>no</t>
        </is>
      </c>
      <c r="J119" s="16" t="n"/>
      <c r="K119" s="16" t="inlineStr">
        <is>
          <t>malla</t>
        </is>
      </c>
    </row>
    <row r="120">
      <c r="A120" s="16" t="inlineStr">
        <is>
          <t>KF-M02-N2-B-0042</t>
        </is>
      </c>
      <c r="B120" s="35" t="n">
        <v>420</v>
      </c>
      <c r="C120" s="35" t="n">
        <v>1272.727272727273</v>
      </c>
      <c r="D120" s="42" t="inlineStr">
        <is>
          <t>KALINA</t>
        </is>
      </c>
      <c r="E120" s="29" t="n">
        <v>5.66664427903135</v>
      </c>
      <c r="F120" s="35" t="n">
        <v>28.40675139590016</v>
      </c>
      <c r="G120" s="36" t="n">
        <v>1727.272727272727</v>
      </c>
      <c r="H120" s="29" t="n">
        <v>2.357142857142857</v>
      </c>
      <c r="I120" s="16" t="inlineStr">
        <is>
          <t>no</t>
        </is>
      </c>
      <c r="J120" s="16" t="n"/>
      <c r="K120" s="16" t="inlineStr">
        <is>
          <t>malla</t>
        </is>
      </c>
    </row>
    <row r="121">
      <c r="A121" s="16" t="inlineStr">
        <is>
          <t>KF-M02-N2-B-0043</t>
        </is>
      </c>
      <c r="B121" s="35" t="n">
        <v>420</v>
      </c>
      <c r="C121" s="35" t="n">
        <v>1418.181818181818</v>
      </c>
      <c r="D121" s="42" t="inlineStr">
        <is>
          <t>KALINA</t>
        </is>
      </c>
      <c r="E121" s="29" t="n">
        <v>4.96089552117106</v>
      </c>
      <c r="F121" s="35" t="n">
        <v>24.85537538706869</v>
      </c>
      <c r="G121" s="36" t="n">
        <v>1581.818181818182</v>
      </c>
      <c r="H121" s="29" t="n">
        <v>2.115384615384615</v>
      </c>
      <c r="I121" s="16" t="inlineStr">
        <is>
          <t>no</t>
        </is>
      </c>
      <c r="J121" s="16" t="n"/>
      <c r="K121" s="16" t="inlineStr">
        <is>
          <t>malla</t>
        </is>
      </c>
    </row>
    <row r="122">
      <c r="A122" s="16" t="inlineStr">
        <is>
          <t>KF-M02-N2-B-0044</t>
        </is>
      </c>
      <c r="B122" s="35" t="n">
        <v>420</v>
      </c>
      <c r="C122" s="35" t="n">
        <v>1563.636363636364</v>
      </c>
      <c r="D122" s="42" t="inlineStr">
        <is>
          <t>KALINA</t>
        </is>
      </c>
      <c r="E122" s="29" t="n">
        <v>4.32038018190255</v>
      </c>
      <c r="F122" s="35" t="n">
        <v>21.63577256928385</v>
      </c>
      <c r="G122" s="36" t="n">
        <v>1436.363636363636</v>
      </c>
      <c r="H122" s="29" t="n">
        <v>1.918604651162791</v>
      </c>
      <c r="I122" s="16" t="inlineStr">
        <is>
          <t>no</t>
        </is>
      </c>
      <c r="J122" s="16" t="n"/>
      <c r="K122" s="16" t="inlineStr">
        <is>
          <t>malla</t>
        </is>
      </c>
    </row>
    <row r="123">
      <c r="A123" s="16" t="inlineStr">
        <is>
          <t>KF-M02-N2-B-0045</t>
        </is>
      </c>
      <c r="B123" s="35" t="n">
        <v>420</v>
      </c>
      <c r="C123" s="35" t="n">
        <v>1709.090909090909</v>
      </c>
      <c r="D123" s="42" t="inlineStr">
        <is>
          <t>KALINA</t>
        </is>
      </c>
      <c r="E123" s="29" t="n">
        <v>3.734226266405249</v>
      </c>
      <c r="F123" s="35" t="n">
        <v>18.69229231868978</v>
      </c>
      <c r="G123" s="36" t="n">
        <v>1290.909090909091</v>
      </c>
      <c r="H123" s="29" t="n">
        <v>1.75531914893617</v>
      </c>
      <c r="I123" s="16" t="inlineStr">
        <is>
          <t>no</t>
        </is>
      </c>
      <c r="J123" s="16" t="n"/>
      <c r="K123" s="16" t="inlineStr">
        <is>
          <t>malla</t>
        </is>
      </c>
    </row>
    <row r="124">
      <c r="A124" s="16" t="inlineStr">
        <is>
          <t>KF-M02-N2-B-0046</t>
        </is>
      </c>
      <c r="B124" s="35" t="n">
        <v>420</v>
      </c>
      <c r="C124" s="35" t="n">
        <v>1854.545454545455</v>
      </c>
      <c r="D124" s="42" t="inlineStr">
        <is>
          <t>KALINA</t>
        </is>
      </c>
      <c r="E124" s="29" t="n">
        <v>3.19412251185007</v>
      </c>
      <c r="F124" s="35" t="n">
        <v>15.98243792991697</v>
      </c>
      <c r="G124" s="36" t="n">
        <v>1145.454545454545</v>
      </c>
      <c r="H124" s="29" t="n">
        <v>1.617647058823529</v>
      </c>
      <c r="I124" s="16" t="inlineStr">
        <is>
          <t>no</t>
        </is>
      </c>
      <c r="J124" s="16" t="n"/>
      <c r="K124" s="16" t="inlineStr">
        <is>
          <t>malla</t>
        </is>
      </c>
    </row>
    <row r="125">
      <c r="A125" s="16" t="inlineStr">
        <is>
          <t>KF-M02-N2-B-0047</t>
        </is>
      </c>
      <c r="B125" s="35" t="n">
        <v>420</v>
      </c>
      <c r="C125" s="35" t="n">
        <v>2000</v>
      </c>
      <c r="D125" s="42" t="inlineStr">
        <is>
          <t>KALINA</t>
        </is>
      </c>
      <c r="E125" s="29" t="n">
        <v>2.69356647515933</v>
      </c>
      <c r="F125" s="35" t="n">
        <v>13.4729951194694</v>
      </c>
      <c r="G125" s="36" t="n">
        <v>1000</v>
      </c>
      <c r="H125" s="29" t="n">
        <v>1.5</v>
      </c>
      <c r="I125" s="16" t="inlineStr">
        <is>
          <t>no</t>
        </is>
      </c>
      <c r="J125" s="16" t="n"/>
      <c r="K125" s="16" t="inlineStr">
        <is>
          <t>malla</t>
        </is>
      </c>
    </row>
    <row r="126">
      <c r="A126" s="16" t="inlineStr">
        <is>
          <t>KF-M02-N2-B-0048</t>
        </is>
      </c>
      <c r="B126" s="35" t="n">
        <v>434</v>
      </c>
      <c r="C126" s="35" t="n">
        <v>400</v>
      </c>
      <c r="D126" s="39" t="inlineStr">
        <is>
          <t>Corregible</t>
        </is>
      </c>
      <c r="E126" s="29" t="n">
        <v>13.02121102249091</v>
      </c>
      <c r="F126" s="35" t="n">
        <v>89.06796044471984</v>
      </c>
      <c r="G126" s="36" t="n">
        <v>2600</v>
      </c>
      <c r="H126" s="29" t="n">
        <v>7.5</v>
      </c>
      <c r="I126" s="16" t="inlineStr">
        <is>
          <t>sí</t>
        </is>
      </c>
      <c r="J126" s="16" t="inlineStr">
        <is>
          <t>O2</t>
        </is>
      </c>
      <c r="K126" s="16" t="inlineStr">
        <is>
          <t>malla</t>
        </is>
      </c>
    </row>
    <row r="127">
      <c r="A127" s="16" t="inlineStr">
        <is>
          <t>KF-M02-N2-B-0049</t>
        </is>
      </c>
      <c r="B127" s="35" t="n">
        <v>434</v>
      </c>
      <c r="C127" s="35" t="n">
        <v>545.4545454545455</v>
      </c>
      <c r="D127" s="39" t="inlineStr">
        <is>
          <t>Corregible</t>
        </is>
      </c>
      <c r="E127" s="29" t="n">
        <v>11.53241000737917</v>
      </c>
      <c r="F127" s="35" t="n">
        <v>78.94026195912366</v>
      </c>
      <c r="G127" s="36" t="n">
        <v>2454.545454545455</v>
      </c>
      <c r="H127" s="29" t="n">
        <v>5.5</v>
      </c>
      <c r="I127" s="16" t="inlineStr">
        <is>
          <t>sí</t>
        </is>
      </c>
      <c r="J127" s="16" t="inlineStr">
        <is>
          <t>O2</t>
        </is>
      </c>
      <c r="K127" s="16" t="inlineStr">
        <is>
          <t>malla</t>
        </is>
      </c>
    </row>
    <row r="128">
      <c r="A128" s="16" t="inlineStr">
        <is>
          <t>KF-M02-N2-B-0050</t>
        </is>
      </c>
      <c r="B128" s="35" t="n">
        <v>434</v>
      </c>
      <c r="C128" s="35" t="n">
        <v>690.909090909091</v>
      </c>
      <c r="D128" s="39" t="inlineStr">
        <is>
          <t>Corregible</t>
        </is>
      </c>
      <c r="E128" s="29" t="n">
        <v>10.22438672720781</v>
      </c>
      <c r="F128" s="35" t="n">
        <v>69.97129303732194</v>
      </c>
      <c r="G128" s="36" t="n">
        <v>2309.090909090909</v>
      </c>
      <c r="H128" s="29" t="n">
        <v>4.342105263157894</v>
      </c>
      <c r="I128" s="16" t="inlineStr">
        <is>
          <t>sí</t>
        </is>
      </c>
      <c r="J128" s="16" t="inlineStr">
        <is>
          <t>O2</t>
        </is>
      </c>
      <c r="K128" s="16" t="inlineStr">
        <is>
          <t>malla</t>
        </is>
      </c>
    </row>
    <row r="129">
      <c r="A129" s="16" t="inlineStr">
        <is>
          <t>KF-M02-N2-B-0051</t>
        </is>
      </c>
      <c r="B129" s="35" t="n">
        <v>434</v>
      </c>
      <c r="C129" s="35" t="n">
        <v>836.3636363636364</v>
      </c>
      <c r="D129" s="39" t="inlineStr">
        <is>
          <t>Corregible</t>
        </is>
      </c>
      <c r="E129" s="29" t="n">
        <v>9.048520758815879</v>
      </c>
      <c r="F129" s="35" t="n">
        <v>61.88098284885297</v>
      </c>
      <c r="G129" s="36" t="n">
        <v>2163.636363636364</v>
      </c>
      <c r="H129" s="29" t="n">
        <v>3.58695652173913</v>
      </c>
      <c r="I129" s="16" t="inlineStr">
        <is>
          <t>sí</t>
        </is>
      </c>
      <c r="J129" s="16" t="inlineStr">
        <is>
          <t>O2</t>
        </is>
      </c>
      <c r="K129" s="16" t="inlineStr">
        <is>
          <t>malla</t>
        </is>
      </c>
    </row>
    <row r="130">
      <c r="A130" s="16" t="inlineStr">
        <is>
          <t>KF-M02-N2-B-0114</t>
        </is>
      </c>
      <c r="B130" s="35" t="n">
        <v>434</v>
      </c>
      <c r="C130" s="35" t="n">
        <v>909.0909090909092</v>
      </c>
      <c r="D130" s="39" t="inlineStr">
        <is>
          <t>Corregible</t>
        </is>
      </c>
      <c r="E130" s="29" t="n">
        <v>8.500070288086189</v>
      </c>
      <c r="F130" s="35" t="n">
        <v>58.10362460974347</v>
      </c>
      <c r="G130" s="36" t="n">
        <v>2090.909090909091</v>
      </c>
      <c r="H130" s="29" t="n">
        <v>3.299999999999999</v>
      </c>
      <c r="I130" s="16" t="inlineStr">
        <is>
          <t>sí</t>
        </is>
      </c>
      <c r="J130" s="16" t="inlineStr">
        <is>
          <t>O2</t>
        </is>
      </c>
      <c r="K130" s="16" t="inlineStr">
        <is>
          <t>bisección</t>
        </is>
      </c>
    </row>
    <row r="131">
      <c r="A131" s="16" t="inlineStr">
        <is>
          <t>KF-M02-N2-B-0115</t>
        </is>
      </c>
      <c r="B131" s="35" t="n">
        <v>434</v>
      </c>
      <c r="C131" s="35" t="n">
        <v>909.0909090909092</v>
      </c>
      <c r="D131" s="39" t="inlineStr">
        <is>
          <t>Corregible</t>
        </is>
      </c>
      <c r="E131" s="29" t="n">
        <v>8.500070288086189</v>
      </c>
      <c r="F131" s="35" t="n">
        <v>58.10362460974347</v>
      </c>
      <c r="G131" s="36" t="n">
        <v>2090.909090909091</v>
      </c>
      <c r="H131" s="29" t="n">
        <v>3.299999999999999</v>
      </c>
      <c r="I131" s="16" t="inlineStr">
        <is>
          <t>sí</t>
        </is>
      </c>
      <c r="J131" s="16" t="inlineStr">
        <is>
          <t>O2</t>
        </is>
      </c>
      <c r="K131" s="16" t="inlineStr">
        <is>
          <t>bisección</t>
        </is>
      </c>
    </row>
    <row r="132">
      <c r="A132" s="16" t="inlineStr">
        <is>
          <t>KF-M02-N2-B-0133</t>
        </is>
      </c>
      <c r="B132" s="35" t="n">
        <v>434</v>
      </c>
      <c r="C132" s="35" t="n">
        <v>927.2727272727273</v>
      </c>
      <c r="D132" s="39" t="inlineStr">
        <is>
          <t>Corregible</t>
        </is>
      </c>
      <c r="E132" s="29" t="n">
        <v>8.366555443109091</v>
      </c>
      <c r="F132" s="35" t="n">
        <v>57.18392869588193</v>
      </c>
      <c r="G132" s="36" t="n">
        <v>2072.727272727273</v>
      </c>
      <c r="H132" s="29" t="n">
        <v>3.235294117647059</v>
      </c>
      <c r="I132" s="16" t="inlineStr">
        <is>
          <t>sí</t>
        </is>
      </c>
      <c r="J132" s="16" t="inlineStr">
        <is>
          <t>O2</t>
        </is>
      </c>
      <c r="K132" s="16" t="inlineStr">
        <is>
          <t>bisección</t>
        </is>
      </c>
    </row>
    <row r="133">
      <c r="A133" s="16" t="inlineStr">
        <is>
          <t>KF-M02-N2-B-0134</t>
        </is>
      </c>
      <c r="B133" s="35" t="n">
        <v>434</v>
      </c>
      <c r="C133" s="35" t="n">
        <v>927.2727272727273</v>
      </c>
      <c r="D133" s="39" t="inlineStr">
        <is>
          <t>Corregible</t>
        </is>
      </c>
      <c r="E133" s="29" t="n">
        <v>8.366555443109091</v>
      </c>
      <c r="F133" s="35" t="n">
        <v>57.18392869588193</v>
      </c>
      <c r="G133" s="36" t="n">
        <v>2072.727272727273</v>
      </c>
      <c r="H133" s="29" t="n">
        <v>3.235294117647059</v>
      </c>
      <c r="I133" s="16" t="inlineStr">
        <is>
          <t>sí</t>
        </is>
      </c>
      <c r="J133" s="16" t="inlineStr">
        <is>
          <t>O2</t>
        </is>
      </c>
      <c r="K133" s="16" t="inlineStr">
        <is>
          <t>bisección</t>
        </is>
      </c>
    </row>
    <row r="134">
      <c r="A134" s="16" t="inlineStr">
        <is>
          <t>KF-M02-N2-B-0141</t>
        </is>
      </c>
      <c r="B134" s="35" t="n">
        <v>434</v>
      </c>
      <c r="C134" s="35" t="n">
        <v>936.3636363636364</v>
      </c>
      <c r="D134" s="39" t="inlineStr">
        <is>
          <t>Corregible</t>
        </is>
      </c>
      <c r="E134" s="29" t="n">
        <v>8.30030992706387</v>
      </c>
      <c r="F134" s="35" t="n">
        <v>56.72759985613434</v>
      </c>
      <c r="G134" s="36" t="n">
        <v>2063.636363636364</v>
      </c>
      <c r="H134" s="29" t="n">
        <v>3.203883495145631</v>
      </c>
      <c r="I134" s="16" t="inlineStr">
        <is>
          <t>sí</t>
        </is>
      </c>
      <c r="J134" s="16" t="inlineStr">
        <is>
          <t>O2</t>
        </is>
      </c>
      <c r="K134" s="16" t="inlineStr">
        <is>
          <t>bisección</t>
        </is>
      </c>
    </row>
    <row r="135">
      <c r="A135" s="16" t="inlineStr">
        <is>
          <t>KF-M02-N2-B-0142</t>
        </is>
      </c>
      <c r="B135" s="35" t="n">
        <v>434</v>
      </c>
      <c r="C135" s="35" t="n">
        <v>936.3636363636364</v>
      </c>
      <c r="D135" s="39" t="inlineStr">
        <is>
          <t>Corregible</t>
        </is>
      </c>
      <c r="E135" s="29" t="n">
        <v>8.30030992706387</v>
      </c>
      <c r="F135" s="35" t="n">
        <v>56.72759985613434</v>
      </c>
      <c r="G135" s="36" t="n">
        <v>2063.636363636364</v>
      </c>
      <c r="H135" s="29" t="n">
        <v>3.203883495145631</v>
      </c>
      <c r="I135" s="16" t="inlineStr">
        <is>
          <t>sí</t>
        </is>
      </c>
      <c r="J135" s="16" t="inlineStr">
        <is>
          <t>O2</t>
        </is>
      </c>
      <c r="K135" s="16" t="inlineStr">
        <is>
          <t>bisección</t>
        </is>
      </c>
    </row>
    <row r="136">
      <c r="A136" s="16" t="inlineStr">
        <is>
          <t>KF-M02-N2-B-0123</t>
        </is>
      </c>
      <c r="B136" s="35" t="n">
        <v>434</v>
      </c>
      <c r="C136" s="35" t="n">
        <v>945.4545454545456</v>
      </c>
      <c r="D136" s="42" t="inlineStr">
        <is>
          <t>KALINA</t>
        </is>
      </c>
      <c r="E136" s="29" t="n">
        <v>8.234437625917231</v>
      </c>
      <c r="F136" s="35" t="n">
        <v>56.27384950979141</v>
      </c>
      <c r="G136" s="36" t="n">
        <v>2054.545454545455</v>
      </c>
      <c r="H136" s="29" t="n">
        <v>3.173076923076922</v>
      </c>
      <c r="I136" s="16" t="inlineStr">
        <is>
          <t>sí</t>
        </is>
      </c>
      <c r="J136" s="16" t="n"/>
      <c r="K136" s="16" t="inlineStr">
        <is>
          <t>bisección</t>
        </is>
      </c>
    </row>
    <row r="137">
      <c r="A137" s="16" t="inlineStr">
        <is>
          <t>KF-M02-N2-B-0124</t>
        </is>
      </c>
      <c r="B137" s="35" t="n">
        <v>434</v>
      </c>
      <c r="C137" s="35" t="n">
        <v>945.4545454545456</v>
      </c>
      <c r="D137" s="42" t="inlineStr">
        <is>
          <t>KALINA</t>
        </is>
      </c>
      <c r="E137" s="29" t="n">
        <v>8.234437625917231</v>
      </c>
      <c r="F137" s="35" t="n">
        <v>56.27384950979141</v>
      </c>
      <c r="G137" s="36" t="n">
        <v>2054.545454545455</v>
      </c>
      <c r="H137" s="29" t="n">
        <v>3.173076923076922</v>
      </c>
      <c r="I137" s="16" t="inlineStr">
        <is>
          <t>sí</t>
        </is>
      </c>
      <c r="J137" s="16" t="n"/>
      <c r="K137" s="16" t="inlineStr">
        <is>
          <t>bisección</t>
        </is>
      </c>
    </row>
    <row r="138">
      <c r="A138" s="16" t="inlineStr">
        <is>
          <t>KF-M02-N2-B-0054</t>
        </is>
      </c>
      <c r="B138" s="35" t="n">
        <v>434</v>
      </c>
      <c r="C138" s="35" t="n">
        <v>981.818181818182</v>
      </c>
      <c r="D138" s="42" t="inlineStr">
        <is>
          <t>KALINA</t>
        </is>
      </c>
      <c r="E138" s="29" t="n">
        <v>7.97645936528993</v>
      </c>
      <c r="F138" s="35" t="n">
        <v>54.49737091829441</v>
      </c>
      <c r="G138" s="36" t="n">
        <v>2018.181818181818</v>
      </c>
      <c r="H138" s="29" t="n">
        <v>3.055555555555555</v>
      </c>
      <c r="I138" s="16" t="inlineStr">
        <is>
          <t>sí</t>
        </is>
      </c>
      <c r="J138" s="16" t="n"/>
      <c r="K138" s="16" t="inlineStr">
        <is>
          <t>malla</t>
        </is>
      </c>
    </row>
    <row r="139">
      <c r="A139" s="16" t="inlineStr">
        <is>
          <t>KF-M02-N2-B-0053</t>
        </is>
      </c>
      <c r="B139" s="35" t="n">
        <v>434</v>
      </c>
      <c r="C139" s="35" t="n">
        <v>1127.272727272728</v>
      </c>
      <c r="D139" s="42" t="inlineStr">
        <is>
          <t>KALINA</t>
        </is>
      </c>
      <c r="E139" s="29" t="n">
        <v>7.024373932793</v>
      </c>
      <c r="F139" s="35" t="n">
        <v>47.94900858135036</v>
      </c>
      <c r="G139" s="36" t="n">
        <v>1872.727272727272</v>
      </c>
      <c r="H139" s="29" t="n">
        <v>2.661290322580644</v>
      </c>
      <c r="I139" s="16" t="inlineStr">
        <is>
          <t>sí</t>
        </is>
      </c>
      <c r="J139" s="16" t="n"/>
      <c r="K139" s="16" t="inlineStr">
        <is>
          <t>malla</t>
        </is>
      </c>
    </row>
    <row r="140">
      <c r="A140" s="16" t="inlineStr">
        <is>
          <t>KF-M02-N2-B-0052</t>
        </is>
      </c>
      <c r="B140" s="35" t="n">
        <v>434</v>
      </c>
      <c r="C140" s="35" t="n">
        <v>1272.727272727273</v>
      </c>
      <c r="D140" s="42" t="inlineStr">
        <is>
          <t>KALINA</t>
        </is>
      </c>
      <c r="E140" s="29" t="n">
        <v>6.17829714353014</v>
      </c>
      <c r="F140" s="35" t="n">
        <v>42.14010232062981</v>
      </c>
      <c r="G140" s="36" t="n">
        <v>1727.272727272727</v>
      </c>
      <c r="H140" s="29" t="n">
        <v>2.357142857142857</v>
      </c>
      <c r="I140" s="16" t="inlineStr">
        <is>
          <t>sí</t>
        </is>
      </c>
      <c r="J140" s="16" t="n"/>
      <c r="K140" s="16" t="inlineStr">
        <is>
          <t>malla</t>
        </is>
      </c>
    </row>
    <row r="141">
      <c r="A141" s="16" t="inlineStr">
        <is>
          <t>KF-M02-N2-B-0055</t>
        </is>
      </c>
      <c r="B141" s="35" t="n">
        <v>434</v>
      </c>
      <c r="C141" s="35" t="n">
        <v>1418.181818181818</v>
      </c>
      <c r="D141" s="42" t="inlineStr">
        <is>
          <t>KALINA</t>
        </is>
      </c>
      <c r="E141" s="29" t="n">
        <v>5.41663913689064</v>
      </c>
      <c r="F141" s="35" t="n">
        <v>36.9189632805612</v>
      </c>
      <c r="G141" s="36" t="n">
        <v>1581.818181818182</v>
      </c>
      <c r="H141" s="29" t="n">
        <v>2.115384615384615</v>
      </c>
      <c r="I141" s="16" t="inlineStr">
        <is>
          <t>sí</t>
        </is>
      </c>
      <c r="J141" s="16" t="n"/>
      <c r="K141" s="16" t="inlineStr">
        <is>
          <t>malla</t>
        </is>
      </c>
    </row>
    <row r="142">
      <c r="A142" s="16" t="inlineStr">
        <is>
          <t>KF-M02-N2-B-0058</t>
        </is>
      </c>
      <c r="B142" s="35" t="n">
        <v>434</v>
      </c>
      <c r="C142" s="35" t="n">
        <v>1563.636363636364</v>
      </c>
      <c r="D142" s="42" t="inlineStr">
        <is>
          <t>KALINA</t>
        </is>
      </c>
      <c r="E142" s="29" t="n">
        <v>4.723908355774229</v>
      </c>
      <c r="F142" s="35" t="n">
        <v>32.1769582548876</v>
      </c>
      <c r="G142" s="36" t="n">
        <v>1436.363636363636</v>
      </c>
      <c r="H142" s="29" t="n">
        <v>1.918604651162791</v>
      </c>
      <c r="I142" s="16" t="inlineStr">
        <is>
          <t>sí</t>
        </is>
      </c>
      <c r="J142" s="16" t="n"/>
      <c r="K142" s="16" t="inlineStr">
        <is>
          <t>malla</t>
        </is>
      </c>
    </row>
    <row r="143">
      <c r="A143" s="16" t="inlineStr">
        <is>
          <t>KF-M02-N2-B-0059</t>
        </is>
      </c>
      <c r="B143" s="35" t="n">
        <v>434</v>
      </c>
      <c r="C143" s="35" t="n">
        <v>1709.090909090909</v>
      </c>
      <c r="D143" s="42" t="inlineStr">
        <is>
          <t>KALINA</t>
        </is>
      </c>
      <c r="E143" s="29" t="n">
        <v>4.08859988910084</v>
      </c>
      <c r="F143" s="35" t="n">
        <v>27.83351037473305</v>
      </c>
      <c r="G143" s="36" t="n">
        <v>1290.909090909091</v>
      </c>
      <c r="H143" s="29" t="n">
        <v>1.75531914893617</v>
      </c>
      <c r="I143" s="16" t="inlineStr">
        <is>
          <t>sí</t>
        </is>
      </c>
      <c r="J143" s="16" t="n"/>
      <c r="K143" s="16" t="inlineStr">
        <is>
          <t>malla</t>
        </is>
      </c>
    </row>
    <row r="144">
      <c r="A144" s="16" t="inlineStr">
        <is>
          <t>KF-M02-N2-B-0116</t>
        </is>
      </c>
      <c r="B144" s="35" t="n">
        <v>434</v>
      </c>
      <c r="C144" s="35" t="n">
        <v>1781.818181818182</v>
      </c>
      <c r="D144" s="42" t="inlineStr">
        <is>
          <t>KALINA</t>
        </is>
      </c>
      <c r="E144" s="29" t="n">
        <v>3.78965012373011</v>
      </c>
      <c r="F144" s="35" t="n">
        <v>25.79145530999873</v>
      </c>
      <c r="G144" s="36" t="n">
        <v>1218.181818181818</v>
      </c>
      <c r="H144" s="29" t="n">
        <v>1.683673469387755</v>
      </c>
      <c r="I144" s="16" t="inlineStr">
        <is>
          <t>sí</t>
        </is>
      </c>
      <c r="J144" s="16" t="n"/>
      <c r="K144" s="16" t="inlineStr">
        <is>
          <t>bisección</t>
        </is>
      </c>
    </row>
    <row r="145">
      <c r="A145" s="16" t="inlineStr">
        <is>
          <t>KF-M02-N2-B-0125</t>
        </is>
      </c>
      <c r="B145" s="35" t="n">
        <v>434</v>
      </c>
      <c r="C145" s="35" t="n">
        <v>1818.181818181818</v>
      </c>
      <c r="D145" s="42" t="inlineStr">
        <is>
          <t>KALINA</t>
        </is>
      </c>
      <c r="E145" s="29" t="n">
        <v>3.64443644389987</v>
      </c>
      <c r="F145" s="35" t="n">
        <v>24.7999448953234</v>
      </c>
      <c r="G145" s="36" t="n">
        <v>1181.818181818182</v>
      </c>
      <c r="H145" s="29" t="n">
        <v>1.65</v>
      </c>
      <c r="I145" s="16" t="inlineStr">
        <is>
          <t>sí</t>
        </is>
      </c>
      <c r="J145" s="16" t="n"/>
      <c r="K145" s="16" t="inlineStr">
        <is>
          <t>bisección</t>
        </is>
      </c>
    </row>
    <row r="146">
      <c r="A146" s="16" t="inlineStr">
        <is>
          <t>KF-M02-N2-B-0143</t>
        </is>
      </c>
      <c r="B146" s="35" t="n">
        <v>434</v>
      </c>
      <c r="C146" s="35" t="n">
        <v>1827.272727272728</v>
      </c>
      <c r="D146" s="42" t="inlineStr">
        <is>
          <t>KALINA</t>
        </is>
      </c>
      <c r="E146" s="29" t="n">
        <v>3.60855893653529</v>
      </c>
      <c r="F146" s="35" t="n">
        <v>24.55501650713047</v>
      </c>
      <c r="G146" s="36" t="n">
        <v>1172.727272727272</v>
      </c>
      <c r="H146" s="29" t="n">
        <v>1.641791044776119</v>
      </c>
      <c r="I146" s="16" t="inlineStr">
        <is>
          <t>sí</t>
        </is>
      </c>
      <c r="J146" s="16" t="n"/>
      <c r="K146" s="16" t="inlineStr">
        <is>
          <t>bisección</t>
        </is>
      </c>
    </row>
    <row r="147">
      <c r="A147" s="16" t="inlineStr">
        <is>
          <t>KF-M02-N2-B-0132</t>
        </is>
      </c>
      <c r="B147" s="35" t="n">
        <v>434</v>
      </c>
      <c r="C147" s="35" t="n">
        <v>1836.363636363636</v>
      </c>
      <c r="D147" s="32" t="inlineStr">
        <is>
          <t>No convergió</t>
        </is>
      </c>
      <c r="E147" s="29" t="inlineStr">
        <is>
          <t>—</t>
        </is>
      </c>
      <c r="F147" s="35" t="inlineStr">
        <is>
          <t>—</t>
        </is>
      </c>
      <c r="G147" s="36" t="n">
        <v>1163.636363636364</v>
      </c>
      <c r="H147" s="29" t="n">
        <v>1.633663366336634</v>
      </c>
      <c r="I147" s="16" t="inlineStr">
        <is>
          <t>no</t>
        </is>
      </c>
      <c r="J147" s="16" t="n"/>
      <c r="K147" s="16" t="inlineStr">
        <is>
          <t>bisección</t>
        </is>
      </c>
    </row>
    <row r="148">
      <c r="A148" s="16" t="inlineStr">
        <is>
          <t>KF-M02-N2-B-0056</t>
        </is>
      </c>
      <c r="B148" s="35" t="n">
        <v>434</v>
      </c>
      <c r="C148" s="35" t="n">
        <v>1854.545454545455</v>
      </c>
      <c r="D148" s="32" t="inlineStr">
        <is>
          <t>No convergió</t>
        </is>
      </c>
      <c r="E148" s="29" t="inlineStr">
        <is>
          <t>—</t>
        </is>
      </c>
      <c r="F148" s="35" t="inlineStr">
        <is>
          <t>—</t>
        </is>
      </c>
      <c r="G148" s="36" t="n">
        <v>1145.454545454545</v>
      </c>
      <c r="H148" s="29" t="n">
        <v>1.617647058823529</v>
      </c>
      <c r="I148" s="16" t="inlineStr">
        <is>
          <t>no</t>
        </is>
      </c>
      <c r="J148" s="16" t="n"/>
      <c r="K148" s="16" t="inlineStr">
        <is>
          <t>malla</t>
        </is>
      </c>
    </row>
    <row r="149">
      <c r="A149" s="16" t="inlineStr">
        <is>
          <t>KF-M02-N2-B-0057</t>
        </is>
      </c>
      <c r="B149" s="35" t="n">
        <v>434</v>
      </c>
      <c r="C149" s="35" t="n">
        <v>2000</v>
      </c>
      <c r="D149" s="32" t="inlineStr">
        <is>
          <t>No convergió</t>
        </is>
      </c>
      <c r="E149" s="29" t="inlineStr">
        <is>
          <t>—</t>
        </is>
      </c>
      <c r="F149" s="35" t="inlineStr">
        <is>
          <t>—</t>
        </is>
      </c>
      <c r="G149" s="36" t="n">
        <v>1000</v>
      </c>
      <c r="H149" s="29" t="n">
        <v>1.5</v>
      </c>
      <c r="I149" s="16" t="inlineStr">
        <is>
          <t>no</t>
        </is>
      </c>
      <c r="J149" s="16" t="n"/>
      <c r="K149" s="16" t="inlineStr">
        <is>
          <t>malla</t>
        </is>
      </c>
    </row>
    <row r="150">
      <c r="A150" s="16" t="inlineStr">
        <is>
          <t>KF-M02-N2-B-0060</t>
        </is>
      </c>
      <c r="B150" s="35" t="n">
        <v>466</v>
      </c>
      <c r="C150" s="35" t="n">
        <v>400</v>
      </c>
      <c r="D150" s="39" t="inlineStr">
        <is>
          <t>Corregible</t>
        </is>
      </c>
      <c r="E150" s="29" t="n">
        <v>13.23660705562134</v>
      </c>
      <c r="F150" s="35" t="n">
        <v>182.6125660101059</v>
      </c>
      <c r="G150" s="36" t="n">
        <v>2600</v>
      </c>
      <c r="H150" s="29" t="n">
        <v>7.5</v>
      </c>
      <c r="I150" s="16" t="inlineStr">
        <is>
          <t>sí</t>
        </is>
      </c>
      <c r="J150" s="16" t="inlineStr">
        <is>
          <t>O2</t>
        </is>
      </c>
      <c r="K150" s="16" t="inlineStr">
        <is>
          <t>malla</t>
        </is>
      </c>
    </row>
    <row r="151">
      <c r="A151" s="16" t="inlineStr">
        <is>
          <t>KF-M02-N2-B-0061</t>
        </is>
      </c>
      <c r="B151" s="35" t="n">
        <v>466</v>
      </c>
      <c r="C151" s="35" t="n">
        <v>545.4545454545455</v>
      </c>
      <c r="D151" s="39" t="inlineStr">
        <is>
          <t>Corregible</t>
        </is>
      </c>
      <c r="E151" s="29" t="n">
        <v>11.67128689067591</v>
      </c>
      <c r="F151" s="35" t="n">
        <v>161.2572734386731</v>
      </c>
      <c r="G151" s="36" t="n">
        <v>2454.545454545455</v>
      </c>
      <c r="H151" s="29" t="n">
        <v>5.5</v>
      </c>
      <c r="I151" s="16" t="inlineStr">
        <is>
          <t>sí</t>
        </is>
      </c>
      <c r="J151" s="16" t="inlineStr">
        <is>
          <t>O2</t>
        </is>
      </c>
      <c r="K151" s="16" t="inlineStr">
        <is>
          <t>malla</t>
        </is>
      </c>
    </row>
    <row r="152">
      <c r="A152" s="16" t="inlineStr">
        <is>
          <t>KF-M02-N2-B-0062</t>
        </is>
      </c>
      <c r="B152" s="35" t="n">
        <v>466</v>
      </c>
      <c r="C152" s="35" t="n">
        <v>690.909090909091</v>
      </c>
      <c r="D152" s="39" t="inlineStr">
        <is>
          <t>Corregible</t>
        </is>
      </c>
      <c r="E152" s="29" t="n">
        <v>10.37860610350595</v>
      </c>
      <c r="F152" s="35" t="n">
        <v>143.4860789454001</v>
      </c>
      <c r="G152" s="36" t="n">
        <v>2309.090909090909</v>
      </c>
      <c r="H152" s="29" t="n">
        <v>4.342105263157894</v>
      </c>
      <c r="I152" s="16" t="inlineStr">
        <is>
          <t>sí</t>
        </is>
      </c>
      <c r="J152" s="16" t="inlineStr">
        <is>
          <t>O2</t>
        </is>
      </c>
      <c r="K152" s="16" t="inlineStr">
        <is>
          <t>malla</t>
        </is>
      </c>
    </row>
    <row r="153">
      <c r="A153" s="16" t="inlineStr">
        <is>
          <t>KF-M02-N2-B-0063</t>
        </is>
      </c>
      <c r="B153" s="35" t="n">
        <v>466</v>
      </c>
      <c r="C153" s="35" t="n">
        <v>836.3636363636364</v>
      </c>
      <c r="D153" s="39" t="inlineStr">
        <is>
          <t>Corregible</t>
        </is>
      </c>
      <c r="E153" s="29" t="n">
        <v>9.2657530982995</v>
      </c>
      <c r="F153" s="35" t="n">
        <v>128.1203400914291</v>
      </c>
      <c r="G153" s="36" t="n">
        <v>2163.636363636364</v>
      </c>
      <c r="H153" s="29" t="n">
        <v>3.58695652173913</v>
      </c>
      <c r="I153" s="16" t="inlineStr">
        <is>
          <t>sí</t>
        </is>
      </c>
      <c r="J153" s="16" t="inlineStr">
        <is>
          <t>O2</t>
        </is>
      </c>
      <c r="K153" s="16" t="inlineStr">
        <is>
          <t>malla</t>
        </is>
      </c>
    </row>
    <row r="154">
      <c r="A154" s="16" t="inlineStr">
        <is>
          <t>KF-M02-N2-B-0064</t>
        </is>
      </c>
      <c r="B154" s="35" t="n">
        <v>466</v>
      </c>
      <c r="C154" s="35" t="n">
        <v>981.818181818182</v>
      </c>
      <c r="D154" s="39" t="inlineStr">
        <is>
          <t>Corregible</t>
        </is>
      </c>
      <c r="E154" s="29" t="n">
        <v>8.28171017809896</v>
      </c>
      <c r="F154" s="35" t="n">
        <v>114.499000434134</v>
      </c>
      <c r="G154" s="36" t="n">
        <v>2018.181818181818</v>
      </c>
      <c r="H154" s="29" t="n">
        <v>3.055555555555555</v>
      </c>
      <c r="I154" s="16" t="inlineStr">
        <is>
          <t>sí</t>
        </is>
      </c>
      <c r="J154" s="16" t="inlineStr">
        <is>
          <t>O2</t>
        </is>
      </c>
      <c r="K154" s="16" t="inlineStr">
        <is>
          <t>malla</t>
        </is>
      </c>
    </row>
    <row r="155">
      <c r="A155" s="16" t="inlineStr">
        <is>
          <t>KF-M02-N2-B-0065</t>
        </is>
      </c>
      <c r="B155" s="35" t="n">
        <v>466</v>
      </c>
      <c r="C155" s="35" t="n">
        <v>1127.272727272728</v>
      </c>
      <c r="D155" s="39" t="inlineStr">
        <is>
          <t>Corregible</t>
        </is>
      </c>
      <c r="E155" s="29" t="n">
        <v>7.395133434729489</v>
      </c>
      <c r="F155" s="35" t="n">
        <v>102.2099832395387</v>
      </c>
      <c r="G155" s="36" t="n">
        <v>1872.727272727272</v>
      </c>
      <c r="H155" s="29" t="n">
        <v>2.661290322580644</v>
      </c>
      <c r="I155" s="16" t="inlineStr">
        <is>
          <t>sí</t>
        </is>
      </c>
      <c r="J155" s="16" t="inlineStr">
        <is>
          <t>O2</t>
        </is>
      </c>
      <c r="K155" s="16" t="inlineStr">
        <is>
          <t>malla</t>
        </is>
      </c>
    </row>
    <row r="156">
      <c r="A156" s="16" t="inlineStr">
        <is>
          <t>KF-M02-N2-B-0066</t>
        </is>
      </c>
      <c r="B156" s="35" t="n">
        <v>466</v>
      </c>
      <c r="C156" s="35" t="n">
        <v>1272.727272727273</v>
      </c>
      <c r="D156" s="39" t="inlineStr">
        <is>
          <t>Corregible</t>
        </is>
      </c>
      <c r="E156" s="29" t="n">
        <v>6.58525706159717</v>
      </c>
      <c r="F156" s="35" t="n">
        <v>90.97721728607134</v>
      </c>
      <c r="G156" s="36" t="n">
        <v>1727.272727272727</v>
      </c>
      <c r="H156" s="29" t="n">
        <v>2.357142857142857</v>
      </c>
      <c r="I156" s="16" t="inlineStr">
        <is>
          <t>sí</t>
        </is>
      </c>
      <c r="J156" s="16" t="inlineStr">
        <is>
          <t>O2</t>
        </is>
      </c>
      <c r="K156" s="16" t="inlineStr">
        <is>
          <t>malla</t>
        </is>
      </c>
    </row>
    <row r="157">
      <c r="A157" s="16" t="inlineStr">
        <is>
          <t>KF-M02-N2-B-0067</t>
        </is>
      </c>
      <c r="B157" s="35" t="n">
        <v>466</v>
      </c>
      <c r="C157" s="35" t="n">
        <v>1418.181818181818</v>
      </c>
      <c r="D157" s="39" t="inlineStr">
        <is>
          <t>Corregible</t>
        </is>
      </c>
      <c r="E157" s="29" t="n">
        <v>5.83754180158969</v>
      </c>
      <c r="F157" s="35" t="n">
        <v>80.60567016549136</v>
      </c>
      <c r="G157" s="36" t="n">
        <v>1581.818181818182</v>
      </c>
      <c r="H157" s="29" t="n">
        <v>2.115384615384615</v>
      </c>
      <c r="I157" s="16" t="inlineStr">
        <is>
          <t>sí</t>
        </is>
      </c>
      <c r="J157" s="16" t="inlineStr">
        <is>
          <t>O2</t>
        </is>
      </c>
      <c r="K157" s="16" t="inlineStr">
        <is>
          <t>malla</t>
        </is>
      </c>
    </row>
    <row r="158">
      <c r="A158" s="16" t="inlineStr">
        <is>
          <t>KF-M02-N2-B-0068</t>
        </is>
      </c>
      <c r="B158" s="35" t="n">
        <v>466</v>
      </c>
      <c r="C158" s="35" t="n">
        <v>1563.636363636364</v>
      </c>
      <c r="D158" s="39" t="inlineStr">
        <is>
          <t>Corregible</t>
        </is>
      </c>
      <c r="E158" s="29" t="n">
        <v>5.14137984288101</v>
      </c>
      <c r="F158" s="35" t="n">
        <v>70.95199439073831</v>
      </c>
      <c r="G158" s="36" t="n">
        <v>1436.363636363636</v>
      </c>
      <c r="H158" s="29" t="n">
        <v>1.918604651162791</v>
      </c>
      <c r="I158" s="16" t="inlineStr">
        <is>
          <t>sí</t>
        </is>
      </c>
      <c r="J158" s="16" t="inlineStr">
        <is>
          <t>O2</t>
        </is>
      </c>
      <c r="K158" s="16" t="inlineStr">
        <is>
          <t>malla</t>
        </is>
      </c>
    </row>
    <row r="159">
      <c r="A159" s="16" t="inlineStr">
        <is>
          <t>KF-M02-N2-B-0069</t>
        </is>
      </c>
      <c r="B159" s="35" t="n">
        <v>466</v>
      </c>
      <c r="C159" s="35" t="n">
        <v>1709.090909090909</v>
      </c>
      <c r="D159" s="39" t="inlineStr">
        <is>
          <t>Corregible</t>
        </is>
      </c>
      <c r="E159" s="29" t="n">
        <v>4.48876666074759</v>
      </c>
      <c r="F159" s="35" t="n">
        <v>61.90734383776326</v>
      </c>
      <c r="G159" s="36" t="n">
        <v>1290.909090909091</v>
      </c>
      <c r="H159" s="29" t="n">
        <v>1.75531914893617</v>
      </c>
      <c r="I159" s="16" t="inlineStr">
        <is>
          <t>sí</t>
        </is>
      </c>
      <c r="J159" s="16" t="inlineStr">
        <is>
          <t>O2</t>
        </is>
      </c>
      <c r="K159" s="16" t="inlineStr">
        <is>
          <t>malla</t>
        </is>
      </c>
    </row>
    <row r="160">
      <c r="A160" s="16" t="inlineStr">
        <is>
          <t>KF-M02-N2-B-0070</t>
        </is>
      </c>
      <c r="B160" s="35" t="n">
        <v>466</v>
      </c>
      <c r="C160" s="35" t="n">
        <v>1854.545454545455</v>
      </c>
      <c r="D160" s="39" t="inlineStr">
        <is>
          <t>Corregible</t>
        </is>
      </c>
      <c r="E160" s="29" t="n">
        <v>3.87350210915213</v>
      </c>
      <c r="F160" s="35" t="n">
        <v>53.3869568177933</v>
      </c>
      <c r="G160" s="36" t="n">
        <v>1145.454545454545</v>
      </c>
      <c r="H160" s="29" t="n">
        <v>1.617647058823529</v>
      </c>
      <c r="I160" s="16" t="inlineStr">
        <is>
          <t>sí</t>
        </is>
      </c>
      <c r="J160" s="16" t="inlineStr">
        <is>
          <t>O2</t>
        </is>
      </c>
      <c r="K160" s="16" t="inlineStr">
        <is>
          <t>malla</t>
        </is>
      </c>
    </row>
    <row r="161">
      <c r="A161" s="16" t="inlineStr">
        <is>
          <t>KF-M02-N2-B-0071</t>
        </is>
      </c>
      <c r="B161" s="35" t="n">
        <v>466</v>
      </c>
      <c r="C161" s="35" t="n">
        <v>2000</v>
      </c>
      <c r="D161" s="39" t="inlineStr">
        <is>
          <t>Corregible</t>
        </is>
      </c>
      <c r="E161" s="29" t="n">
        <v>3.29067440764424</v>
      </c>
      <c r="F161" s="35" t="n">
        <v>45.32337097515035</v>
      </c>
      <c r="G161" s="36" t="n">
        <v>1000</v>
      </c>
      <c r="H161" s="29" t="n">
        <v>1.5</v>
      </c>
      <c r="I161" s="16" t="inlineStr">
        <is>
          <t>sí</t>
        </is>
      </c>
      <c r="J161" s="16" t="inlineStr">
        <is>
          <t>O2</t>
        </is>
      </c>
      <c r="K161" s="16" t="inlineStr">
        <is>
          <t>malla</t>
        </is>
      </c>
    </row>
    <row r="162">
      <c r="A162" s="16" t="inlineStr">
        <is>
          <t>KF-M02-N2-B-0072</t>
        </is>
      </c>
      <c r="B162" s="35" t="n">
        <v>497</v>
      </c>
      <c r="C162" s="35" t="n">
        <v>400</v>
      </c>
      <c r="D162" s="39" t="inlineStr">
        <is>
          <t>Corregible</t>
        </is>
      </c>
      <c r="E162" s="29" t="n">
        <v>13.10727299800692</v>
      </c>
      <c r="F162" s="35" t="n">
        <v>218.5627909755436</v>
      </c>
      <c r="G162" s="36" t="n">
        <v>2600</v>
      </c>
      <c r="H162" s="29" t="n">
        <v>7.5</v>
      </c>
      <c r="I162" s="16" t="inlineStr">
        <is>
          <t>sí</t>
        </is>
      </c>
      <c r="J162" s="16" t="inlineStr">
        <is>
          <t>O2</t>
        </is>
      </c>
      <c r="K162" s="16" t="inlineStr">
        <is>
          <t>malla</t>
        </is>
      </c>
    </row>
    <row r="163">
      <c r="A163" s="16" t="inlineStr">
        <is>
          <t>KF-M02-N2-B-0073</t>
        </is>
      </c>
      <c r="B163" s="35" t="n">
        <v>497</v>
      </c>
      <c r="C163" s="35" t="n">
        <v>545.4545454545455</v>
      </c>
      <c r="D163" s="39" t="inlineStr">
        <is>
          <t>Corregible</t>
        </is>
      </c>
      <c r="E163" s="29" t="n">
        <v>11.51235162788436</v>
      </c>
      <c r="F163" s="35" t="n">
        <v>192.3004287878686</v>
      </c>
      <c r="G163" s="36" t="n">
        <v>2454.545454545455</v>
      </c>
      <c r="H163" s="29" t="n">
        <v>5.5</v>
      </c>
      <c r="I163" s="16" t="inlineStr">
        <is>
          <t>sí</t>
        </is>
      </c>
      <c r="J163" s="16" t="inlineStr">
        <is>
          <t>O2</t>
        </is>
      </c>
      <c r="K163" s="16" t="inlineStr">
        <is>
          <t>malla</t>
        </is>
      </c>
    </row>
    <row r="164">
      <c r="A164" s="16" t="inlineStr">
        <is>
          <t>KF-M02-N2-B-0074</t>
        </is>
      </c>
      <c r="B164" s="35" t="n">
        <v>497</v>
      </c>
      <c r="C164" s="35" t="n">
        <v>690.909090909091</v>
      </c>
      <c r="D164" s="39" t="inlineStr">
        <is>
          <t>Corregible</t>
        </is>
      </c>
      <c r="E164" s="29" t="n">
        <v>10.2096164617051</v>
      </c>
      <c r="F164" s="35" t="n">
        <v>170.6863666701027</v>
      </c>
      <c r="G164" s="36" t="n">
        <v>2309.090909090909</v>
      </c>
      <c r="H164" s="29" t="n">
        <v>4.342105263157894</v>
      </c>
      <c r="I164" s="16" t="inlineStr">
        <is>
          <t>sí</t>
        </is>
      </c>
      <c r="J164" s="16" t="inlineStr">
        <is>
          <t>O2</t>
        </is>
      </c>
      <c r="K164" s="16" t="inlineStr">
        <is>
          <t>malla</t>
        </is>
      </c>
    </row>
    <row r="165">
      <c r="A165" s="16" t="inlineStr">
        <is>
          <t>KF-M02-N2-B-0075</t>
        </is>
      </c>
      <c r="B165" s="35" t="n">
        <v>497</v>
      </c>
      <c r="C165" s="35" t="n">
        <v>836.3636363636364</v>
      </c>
      <c r="D165" s="39" t="inlineStr">
        <is>
          <t>Corregible</t>
        </is>
      </c>
      <c r="E165" s="29" t="n">
        <v>9.097251938968579</v>
      </c>
      <c r="F165" s="35" t="n">
        <v>152.1474627484937</v>
      </c>
      <c r="G165" s="36" t="n">
        <v>2163.636363636364</v>
      </c>
      <c r="H165" s="29" t="n">
        <v>3.58695652173913</v>
      </c>
      <c r="I165" s="16" t="inlineStr">
        <is>
          <t>sí</t>
        </is>
      </c>
      <c r="J165" s="16" t="inlineStr">
        <is>
          <t>O2</t>
        </is>
      </c>
      <c r="K165" s="16" t="inlineStr">
        <is>
          <t>malla</t>
        </is>
      </c>
    </row>
    <row r="166">
      <c r="A166" s="16" t="inlineStr">
        <is>
          <t>KF-M02-N2-B-0076</t>
        </is>
      </c>
      <c r="B166" s="35" t="n">
        <v>497</v>
      </c>
      <c r="C166" s="35" t="n">
        <v>981.818181818182</v>
      </c>
      <c r="D166" s="39" t="inlineStr">
        <is>
          <t>Corregible</t>
        </is>
      </c>
      <c r="E166" s="29" t="n">
        <v>8.12001751833974</v>
      </c>
      <c r="F166" s="35" t="n">
        <v>135.8155637883819</v>
      </c>
      <c r="G166" s="36" t="n">
        <v>2018.181818181818</v>
      </c>
      <c r="H166" s="29" t="n">
        <v>3.055555555555555</v>
      </c>
      <c r="I166" s="16" t="inlineStr">
        <is>
          <t>sí</t>
        </is>
      </c>
      <c r="J166" s="16" t="inlineStr">
        <is>
          <t>O2</t>
        </is>
      </c>
      <c r="K166" s="16" t="inlineStr">
        <is>
          <t>malla</t>
        </is>
      </c>
    </row>
    <row r="167">
      <c r="A167" s="16" t="inlineStr">
        <is>
          <t>KF-M02-N2-B-0077</t>
        </is>
      </c>
      <c r="B167" s="35" t="n">
        <v>497</v>
      </c>
      <c r="C167" s="35" t="n">
        <v>1127.272727272728</v>
      </c>
      <c r="D167" s="39" t="inlineStr">
        <is>
          <t>Corregible</t>
        </is>
      </c>
      <c r="E167" s="29" t="n">
        <v>7.24430367438636</v>
      </c>
      <c r="F167" s="35" t="n">
        <v>121.155814004116</v>
      </c>
      <c r="G167" s="36" t="n">
        <v>1872.727272727272</v>
      </c>
      <c r="H167" s="29" t="n">
        <v>2.661290322580644</v>
      </c>
      <c r="I167" s="16" t="inlineStr">
        <is>
          <t>sí</t>
        </is>
      </c>
      <c r="J167" s="16" t="inlineStr">
        <is>
          <t>O2</t>
        </is>
      </c>
      <c r="K167" s="16" t="inlineStr">
        <is>
          <t>malla</t>
        </is>
      </c>
    </row>
    <row r="168">
      <c r="A168" s="16" t="inlineStr">
        <is>
          <t>KF-M02-N2-B-0078</t>
        </is>
      </c>
      <c r="B168" s="35" t="n">
        <v>497</v>
      </c>
      <c r="C168" s="35" t="n">
        <v>1272.727272727273</v>
      </c>
      <c r="D168" s="39" t="inlineStr">
        <is>
          <t>Corregible</t>
        </is>
      </c>
      <c r="E168" s="29" t="n">
        <v>6.44801446112448</v>
      </c>
      <c r="F168" s="35" t="n">
        <v>107.8131349580682</v>
      </c>
      <c r="G168" s="36" t="n">
        <v>1727.272727272727</v>
      </c>
      <c r="H168" s="29" t="n">
        <v>2.357142857142857</v>
      </c>
      <c r="I168" s="16" t="inlineStr">
        <is>
          <t>sí</t>
        </is>
      </c>
      <c r="J168" s="16" t="inlineStr">
        <is>
          <t>O2</t>
        </is>
      </c>
      <c r="K168" s="16" t="inlineStr">
        <is>
          <t>malla</t>
        </is>
      </c>
    </row>
    <row r="169">
      <c r="A169" s="16" t="inlineStr">
        <is>
          <t>KF-M02-N2-B-0079</t>
        </is>
      </c>
      <c r="B169" s="35" t="n">
        <v>497</v>
      </c>
      <c r="C169" s="35" t="n">
        <v>1418.181818181818</v>
      </c>
      <c r="D169" s="39" t="inlineStr">
        <is>
          <t>Corregible</t>
        </is>
      </c>
      <c r="E169" s="29" t="n">
        <v>5.71578056941166</v>
      </c>
      <c r="F169" s="35" t="n">
        <v>95.53858128619426</v>
      </c>
      <c r="G169" s="36" t="n">
        <v>1581.818181818182</v>
      </c>
      <c r="H169" s="29" t="n">
        <v>2.115384615384615</v>
      </c>
      <c r="I169" s="16" t="inlineStr">
        <is>
          <t>sí</t>
        </is>
      </c>
      <c r="J169" s="16" t="inlineStr">
        <is>
          <t>O2</t>
        </is>
      </c>
      <c r="K169" s="16" t="inlineStr">
        <is>
          <t>malla</t>
        </is>
      </c>
    </row>
    <row r="170">
      <c r="A170" s="16" t="inlineStr">
        <is>
          <t>KF-M02-N2-B-0080</t>
        </is>
      </c>
      <c r="B170" s="35" t="n">
        <v>497</v>
      </c>
      <c r="C170" s="35" t="n">
        <v>1563.636363636364</v>
      </c>
      <c r="D170" s="39" t="inlineStr">
        <is>
          <t>Corregible</t>
        </is>
      </c>
      <c r="E170" s="29" t="n">
        <v>5.03644334395079</v>
      </c>
      <c r="F170" s="35" t="n">
        <v>84.15021406724168</v>
      </c>
      <c r="G170" s="36" t="n">
        <v>1436.363636363636</v>
      </c>
      <c r="H170" s="29" t="n">
        <v>1.918604651162791</v>
      </c>
      <c r="I170" s="16" t="inlineStr">
        <is>
          <t>sí</t>
        </is>
      </c>
      <c r="J170" s="16" t="inlineStr">
        <is>
          <t>O2</t>
        </is>
      </c>
      <c r="K170" s="16" t="inlineStr">
        <is>
          <t>malla</t>
        </is>
      </c>
    </row>
    <row r="171">
      <c r="A171" s="16" t="inlineStr">
        <is>
          <t>KF-M02-N2-B-0081</t>
        </is>
      </c>
      <c r="B171" s="35" t="n">
        <v>497</v>
      </c>
      <c r="C171" s="35" t="n">
        <v>1709.090909090909</v>
      </c>
      <c r="D171" s="39" t="inlineStr">
        <is>
          <t>Corregible</t>
        </is>
      </c>
      <c r="E171" s="29" t="n">
        <v>4.40162662861181</v>
      </c>
      <c r="F171" s="35" t="n">
        <v>73.51069555480363</v>
      </c>
      <c r="G171" s="36" t="n">
        <v>1290.909090909091</v>
      </c>
      <c r="H171" s="29" t="n">
        <v>1.75531914893617</v>
      </c>
      <c r="I171" s="16" t="inlineStr">
        <is>
          <t>sí</t>
        </is>
      </c>
      <c r="J171" s="16" t="inlineStr">
        <is>
          <t>O2</t>
        </is>
      </c>
      <c r="K171" s="16" t="inlineStr">
        <is>
          <t>malla</t>
        </is>
      </c>
    </row>
    <row r="172">
      <c r="A172" s="16" t="inlineStr">
        <is>
          <t>KF-M02-N2-B-0082</t>
        </is>
      </c>
      <c r="B172" s="35" t="n">
        <v>497</v>
      </c>
      <c r="C172" s="35" t="n">
        <v>1854.545454545455</v>
      </c>
      <c r="D172" s="39" t="inlineStr">
        <is>
          <t>Corregible</t>
        </is>
      </c>
      <c r="E172" s="29" t="n">
        <v>3.80486632716536</v>
      </c>
      <c r="F172" s="35" t="n">
        <v>63.51352347432531</v>
      </c>
      <c r="G172" s="36" t="n">
        <v>1145.454545454545</v>
      </c>
      <c r="H172" s="29" t="n">
        <v>1.617647058823529</v>
      </c>
      <c r="I172" s="16" t="inlineStr">
        <is>
          <t>sí</t>
        </is>
      </c>
      <c r="J172" s="16" t="inlineStr">
        <is>
          <t>O2</t>
        </is>
      </c>
      <c r="K172" s="16" t="inlineStr">
        <is>
          <t>malla</t>
        </is>
      </c>
    </row>
    <row r="173">
      <c r="A173" s="16" t="inlineStr">
        <is>
          <t>KF-M02-N2-B-0084</t>
        </is>
      </c>
      <c r="B173" s="35" t="n">
        <v>497</v>
      </c>
      <c r="C173" s="35" t="n">
        <v>2000</v>
      </c>
      <c r="D173" s="39" t="inlineStr">
        <is>
          <t>Corregible</t>
        </is>
      </c>
      <c r="E173" s="29" t="n">
        <v>3.24106189719305</v>
      </c>
      <c r="F173" s="35" t="n">
        <v>54.07430435282323</v>
      </c>
      <c r="G173" s="36" t="n">
        <v>1000</v>
      </c>
      <c r="H173" s="29" t="n">
        <v>1.5</v>
      </c>
      <c r="I173" s="16" t="inlineStr">
        <is>
          <t>sí</t>
        </is>
      </c>
      <c r="J173" s="16" t="inlineStr">
        <is>
          <t>O2</t>
        </is>
      </c>
      <c r="K173" s="16" t="inlineStr">
        <is>
          <t>malla</t>
        </is>
      </c>
    </row>
    <row r="174">
      <c r="A174" s="16" t="inlineStr">
        <is>
          <t>KF-M02-N2-B-0083</t>
        </is>
      </c>
      <c r="B174" s="35" t="n">
        <v>529</v>
      </c>
      <c r="C174" s="35" t="n">
        <v>400</v>
      </c>
      <c r="D174" s="39" t="inlineStr">
        <is>
          <t>Corregible</t>
        </is>
      </c>
      <c r="E174" s="29" t="n">
        <v>13.08192135339253</v>
      </c>
      <c r="F174" s="35" t="n">
        <v>227.1555409019336</v>
      </c>
      <c r="G174" s="36" t="n">
        <v>2600</v>
      </c>
      <c r="H174" s="29" t="n">
        <v>7.5</v>
      </c>
      <c r="I174" s="16" t="inlineStr">
        <is>
          <t>sí</t>
        </is>
      </c>
      <c r="J174" s="16" t="inlineStr">
        <is>
          <t>O1,O2</t>
        </is>
      </c>
      <c r="K174" s="16" t="inlineStr">
        <is>
          <t>malla</t>
        </is>
      </c>
    </row>
    <row r="175">
      <c r="A175" s="16" t="inlineStr">
        <is>
          <t>KF-M02-N2-B-0085</t>
        </is>
      </c>
      <c r="B175" s="35" t="n">
        <v>529</v>
      </c>
      <c r="C175" s="35" t="n">
        <v>545.4545454545455</v>
      </c>
      <c r="D175" s="39" t="inlineStr">
        <is>
          <t>Corregible</t>
        </is>
      </c>
      <c r="E175" s="29" t="n">
        <v>11.47703659109098</v>
      </c>
      <c r="F175" s="35" t="n">
        <v>199.6539905949762</v>
      </c>
      <c r="G175" s="36" t="n">
        <v>2454.545454545455</v>
      </c>
      <c r="H175" s="29" t="n">
        <v>5.5</v>
      </c>
      <c r="I175" s="16" t="inlineStr">
        <is>
          <t>sí</t>
        </is>
      </c>
      <c r="J175" s="16" t="inlineStr">
        <is>
          <t>O2</t>
        </is>
      </c>
      <c r="K175" s="16" t="inlineStr">
        <is>
          <t>malla</t>
        </is>
      </c>
    </row>
    <row r="176">
      <c r="A176" s="16" t="inlineStr">
        <is>
          <t>KF-M02-N2-B-0086</t>
        </is>
      </c>
      <c r="B176" s="35" t="n">
        <v>529</v>
      </c>
      <c r="C176" s="35" t="n">
        <v>690.909090909091</v>
      </c>
      <c r="D176" s="39" t="inlineStr">
        <is>
          <t>Corregible</t>
        </is>
      </c>
      <c r="E176" s="29" t="n">
        <v>10.16954105836602</v>
      </c>
      <c r="F176" s="35" t="n">
        <v>177.0744269549807</v>
      </c>
      <c r="G176" s="36" t="n">
        <v>2309.090909090909</v>
      </c>
      <c r="H176" s="29" t="n">
        <v>4.342105263157894</v>
      </c>
      <c r="I176" s="16" t="inlineStr">
        <is>
          <t>sí</t>
        </is>
      </c>
      <c r="J176" s="16" t="inlineStr">
        <is>
          <t>O2</t>
        </is>
      </c>
      <c r="K176" s="16" t="inlineStr">
        <is>
          <t>malla</t>
        </is>
      </c>
    </row>
    <row r="177">
      <c r="A177" s="16" t="inlineStr">
        <is>
          <t>KF-M02-N2-B-0087</t>
        </is>
      </c>
      <c r="B177" s="35" t="n">
        <v>529</v>
      </c>
      <c r="C177" s="35" t="n">
        <v>836.3636363636364</v>
      </c>
      <c r="D177" s="39" t="inlineStr">
        <is>
          <t>Corregible</t>
        </is>
      </c>
      <c r="E177" s="29" t="n">
        <v>9.055216824112447</v>
      </c>
      <c r="F177" s="35" t="n">
        <v>157.7409529669381</v>
      </c>
      <c r="G177" s="36" t="n">
        <v>2163.636363636364</v>
      </c>
      <c r="H177" s="29" t="n">
        <v>3.58695652173913</v>
      </c>
      <c r="I177" s="16" t="inlineStr">
        <is>
          <t>sí</t>
        </is>
      </c>
      <c r="J177" s="16" t="inlineStr">
        <is>
          <t>O2</t>
        </is>
      </c>
      <c r="K177" s="16" t="inlineStr">
        <is>
          <t>malla</t>
        </is>
      </c>
    </row>
    <row r="178">
      <c r="A178" s="16" t="inlineStr">
        <is>
          <t>KF-M02-N2-B-0088</t>
        </is>
      </c>
      <c r="B178" s="35" t="n">
        <v>529</v>
      </c>
      <c r="C178" s="35" t="n">
        <v>981.818181818182</v>
      </c>
      <c r="D178" s="39" t="inlineStr">
        <is>
          <t>Corregible</t>
        </is>
      </c>
      <c r="E178" s="29" t="n">
        <v>8.077714158154601</v>
      </c>
      <c r="F178" s="35" t="n">
        <v>140.7322139652546</v>
      </c>
      <c r="G178" s="36" t="n">
        <v>2018.181818181818</v>
      </c>
      <c r="H178" s="29" t="n">
        <v>3.055555555555555</v>
      </c>
      <c r="I178" s="16" t="inlineStr">
        <is>
          <t>sí</t>
        </is>
      </c>
      <c r="J178" s="16" t="inlineStr">
        <is>
          <t>O2</t>
        </is>
      </c>
      <c r="K178" s="16" t="inlineStr">
        <is>
          <t>malla</t>
        </is>
      </c>
    </row>
    <row r="179">
      <c r="A179" s="16" t="inlineStr">
        <is>
          <t>KF-M02-N2-B-0089</t>
        </is>
      </c>
      <c r="B179" s="35" t="n">
        <v>529</v>
      </c>
      <c r="C179" s="35" t="n">
        <v>1127.272727272728</v>
      </c>
      <c r="D179" s="39" t="inlineStr">
        <is>
          <t>Corregible</t>
        </is>
      </c>
      <c r="E179" s="29" t="n">
        <v>7.20283915269976</v>
      </c>
      <c r="F179" s="35" t="n">
        <v>125.4821183912989</v>
      </c>
      <c r="G179" s="36" t="n">
        <v>1872.727272727272</v>
      </c>
      <c r="H179" s="29" t="n">
        <v>2.661290322580644</v>
      </c>
      <c r="I179" s="16" t="inlineStr">
        <is>
          <t>sí</t>
        </is>
      </c>
      <c r="J179" s="16" t="inlineStr">
        <is>
          <t>O2</t>
        </is>
      </c>
      <c r="K179" s="16" t="inlineStr">
        <is>
          <t>malla</t>
        </is>
      </c>
    </row>
    <row r="180">
      <c r="A180" s="16" t="inlineStr">
        <is>
          <t>KF-M02-N2-B-0090</t>
        </is>
      </c>
      <c r="B180" s="35" t="n">
        <v>529</v>
      </c>
      <c r="C180" s="35" t="n">
        <v>1272.727272727273</v>
      </c>
      <c r="D180" s="39" t="inlineStr">
        <is>
          <t>Corregible</t>
        </is>
      </c>
      <c r="E180" s="29" t="n">
        <v>6.408151159165181</v>
      </c>
      <c r="F180" s="35" t="n">
        <v>111.6155122185231</v>
      </c>
      <c r="G180" s="36" t="n">
        <v>1727.272727272727</v>
      </c>
      <c r="H180" s="29" t="n">
        <v>2.357142857142857</v>
      </c>
      <c r="I180" s="16" t="inlineStr">
        <is>
          <t>sí</t>
        </is>
      </c>
      <c r="J180" s="16" t="inlineStr">
        <is>
          <t>O2</t>
        </is>
      </c>
      <c r="K180" s="16" t="inlineStr">
        <is>
          <t>malla</t>
        </is>
      </c>
    </row>
    <row r="181">
      <c r="A181" s="16" t="inlineStr">
        <is>
          <t>KF-M02-N2-B-0091</t>
        </is>
      </c>
      <c r="B181" s="35" t="n">
        <v>529</v>
      </c>
      <c r="C181" s="35" t="n">
        <v>1418.181818181818</v>
      </c>
      <c r="D181" s="39" t="inlineStr">
        <is>
          <t>Corregible</t>
        </is>
      </c>
      <c r="E181" s="29" t="n">
        <v>5.67806886750105</v>
      </c>
      <c r="F181" s="35" t="n">
        <v>98.86984065017084</v>
      </c>
      <c r="G181" s="36" t="n">
        <v>1581.818181818182</v>
      </c>
      <c r="H181" s="29" t="n">
        <v>2.115384615384615</v>
      </c>
      <c r="I181" s="16" t="inlineStr">
        <is>
          <t>sí</t>
        </is>
      </c>
      <c r="J181" s="16" t="inlineStr">
        <is>
          <t>O2</t>
        </is>
      </c>
      <c r="K181" s="16" t="inlineStr">
        <is>
          <t>malla</t>
        </is>
      </c>
    </row>
    <row r="182">
      <c r="A182" s="16" t="inlineStr">
        <is>
          <t>KF-M02-N2-B-0092</t>
        </is>
      </c>
      <c r="B182" s="35" t="n">
        <v>529</v>
      </c>
      <c r="C182" s="35" t="n">
        <v>1563.636363636364</v>
      </c>
      <c r="D182" s="39" t="inlineStr">
        <is>
          <t>Corregible</t>
        </is>
      </c>
      <c r="E182" s="29" t="n">
        <v>5.0012937039717</v>
      </c>
      <c r="F182" s="35" t="n">
        <v>87.0534456818469</v>
      </c>
      <c r="G182" s="36" t="n">
        <v>1436.363636363636</v>
      </c>
      <c r="H182" s="29" t="n">
        <v>1.918604651162791</v>
      </c>
      <c r="I182" s="16" t="inlineStr">
        <is>
          <t>sí</t>
        </is>
      </c>
      <c r="J182" s="16" t="inlineStr">
        <is>
          <t>O2</t>
        </is>
      </c>
      <c r="K182" s="16" t="inlineStr">
        <is>
          <t>malla</t>
        </is>
      </c>
    </row>
    <row r="183">
      <c r="A183" s="16" t="inlineStr">
        <is>
          <t>KF-M02-N2-B-0093</t>
        </is>
      </c>
      <c r="B183" s="35" t="n">
        <v>529</v>
      </c>
      <c r="C183" s="35" t="n">
        <v>1709.090909090909</v>
      </c>
      <c r="D183" s="39" t="inlineStr">
        <is>
          <t>Corregible</t>
        </is>
      </c>
      <c r="E183" s="29" t="n">
        <v>4.36935265874183</v>
      </c>
      <c r="F183" s="35" t="n">
        <v>76.0217843870502</v>
      </c>
      <c r="G183" s="36" t="n">
        <v>1290.909090909091</v>
      </c>
      <c r="H183" s="29" t="n">
        <v>1.75531914893617</v>
      </c>
      <c r="I183" s="16" t="inlineStr">
        <is>
          <t>sí</t>
        </is>
      </c>
      <c r="J183" s="16" t="inlineStr">
        <is>
          <t>O2</t>
        </is>
      </c>
      <c r="K183" s="16" t="inlineStr">
        <is>
          <t>malla</t>
        </is>
      </c>
    </row>
    <row r="184">
      <c r="A184" s="16" t="inlineStr">
        <is>
          <t>KF-M02-N2-B-0095</t>
        </is>
      </c>
      <c r="B184" s="35" t="n">
        <v>529</v>
      </c>
      <c r="C184" s="35" t="n">
        <v>1854.545454545455</v>
      </c>
      <c r="D184" s="39" t="inlineStr">
        <is>
          <t>Corregible</t>
        </is>
      </c>
      <c r="E184" s="29" t="n">
        <v>3.77571403100991</v>
      </c>
      <c r="F184" s="35" t="n">
        <v>65.66288277216357</v>
      </c>
      <c r="G184" s="36" t="n">
        <v>1145.454545454545</v>
      </c>
      <c r="H184" s="29" t="n">
        <v>1.617647058823529</v>
      </c>
      <c r="I184" s="16" t="inlineStr">
        <is>
          <t>sí</t>
        </is>
      </c>
      <c r="J184" s="16" t="inlineStr">
        <is>
          <t>O2</t>
        </is>
      </c>
      <c r="K184" s="16" t="inlineStr">
        <is>
          <t>malla</t>
        </is>
      </c>
    </row>
    <row r="185">
      <c r="A185" s="16" t="inlineStr">
        <is>
          <t>KF-M02-N2-B-0096</t>
        </is>
      </c>
      <c r="B185" s="35" t="n">
        <v>529</v>
      </c>
      <c r="C185" s="35" t="n">
        <v>2000</v>
      </c>
      <c r="D185" s="39" t="inlineStr">
        <is>
          <t>Corregible</t>
        </is>
      </c>
      <c r="E185" s="29" t="n">
        <v>3.21522790934339</v>
      </c>
      <c r="F185" s="35" t="n">
        <v>55.88807451840557</v>
      </c>
      <c r="G185" s="36" t="n">
        <v>1000</v>
      </c>
      <c r="H185" s="29" t="n">
        <v>1.5</v>
      </c>
      <c r="I185" s="16" t="inlineStr">
        <is>
          <t>sí</t>
        </is>
      </c>
      <c r="J185" s="16" t="inlineStr">
        <is>
          <t>O2</t>
        </is>
      </c>
      <c r="K185" s="16" t="inlineStr">
        <is>
          <t>malla</t>
        </is>
      </c>
    </row>
    <row r="186">
      <c r="A186" s="16" t="inlineStr">
        <is>
          <t>KF-M02-N2-B-0094</t>
        </is>
      </c>
      <c r="B186" s="35" t="n">
        <v>560</v>
      </c>
      <c r="C186" s="35" t="n">
        <v>400</v>
      </c>
      <c r="D186" s="39" t="inlineStr">
        <is>
          <t>Corregible</t>
        </is>
      </c>
      <c r="E186" s="29" t="n">
        <v>13.05974664104891</v>
      </c>
      <c r="F186" s="35" t="n">
        <v>235.1114890325452</v>
      </c>
      <c r="G186" s="36" t="n">
        <v>2600</v>
      </c>
      <c r="H186" s="29" t="n">
        <v>7.5</v>
      </c>
      <c r="I186" s="16" t="inlineStr">
        <is>
          <t>sí</t>
        </is>
      </c>
      <c r="J186" s="16" t="inlineStr">
        <is>
          <t>O1,O2</t>
        </is>
      </c>
      <c r="K186" s="16" t="inlineStr">
        <is>
          <t>malla</t>
        </is>
      </c>
    </row>
    <row r="187">
      <c r="A187" s="16" t="inlineStr">
        <is>
          <t>KF-M02-N2-B-0097</t>
        </is>
      </c>
      <c r="B187" s="35" t="n">
        <v>560</v>
      </c>
      <c r="C187" s="35" t="n">
        <v>545.4545454545455</v>
      </c>
      <c r="D187" s="39" t="inlineStr">
        <is>
          <t>Corregible</t>
        </is>
      </c>
      <c r="E187" s="29" t="n">
        <v>11.44696626528743</v>
      </c>
      <c r="F187" s="35" t="n">
        <v>206.4581024413119</v>
      </c>
      <c r="G187" s="36" t="n">
        <v>2454.545454545455</v>
      </c>
      <c r="H187" s="29" t="n">
        <v>5.5</v>
      </c>
      <c r="I187" s="16" t="inlineStr">
        <is>
          <t>sí</t>
        </is>
      </c>
      <c r="J187" s="16" t="inlineStr">
        <is>
          <t>O2</t>
        </is>
      </c>
      <c r="K187" s="16" t="inlineStr">
        <is>
          <t>malla</t>
        </is>
      </c>
    </row>
    <row r="188">
      <c r="A188" s="16" t="inlineStr">
        <is>
          <t>KF-M02-N2-B-0098</t>
        </is>
      </c>
      <c r="B188" s="35" t="n">
        <v>560</v>
      </c>
      <c r="C188" s="35" t="n">
        <v>690.909090909091</v>
      </c>
      <c r="D188" s="39" t="inlineStr">
        <is>
          <t>Corregible</t>
        </is>
      </c>
      <c r="E188" s="29" t="n">
        <v>10.1355613172447</v>
      </c>
      <c r="F188" s="35" t="n">
        <v>182.9820448216909</v>
      </c>
      <c r="G188" s="36" t="n">
        <v>2309.090909090909</v>
      </c>
      <c r="H188" s="29" t="n">
        <v>4.342105263157894</v>
      </c>
      <c r="I188" s="16" t="inlineStr">
        <is>
          <t>sí</t>
        </is>
      </c>
      <c r="J188" s="16" t="inlineStr">
        <is>
          <t>O2</t>
        </is>
      </c>
      <c r="K188" s="16" t="inlineStr">
        <is>
          <t>malla</t>
        </is>
      </c>
    </row>
    <row r="189">
      <c r="A189" s="16" t="inlineStr">
        <is>
          <t>KF-M02-N2-B-0099</t>
        </is>
      </c>
      <c r="B189" s="35" t="n">
        <v>560</v>
      </c>
      <c r="C189" s="35" t="n">
        <v>836.3636363636364</v>
      </c>
      <c r="D189" s="39" t="inlineStr">
        <is>
          <t>Corregible</t>
        </is>
      </c>
      <c r="E189" s="29" t="n">
        <v>9.019568045389359</v>
      </c>
      <c r="F189" s="35" t="n">
        <v>162.9123143311232</v>
      </c>
      <c r="G189" s="36" t="n">
        <v>2163.636363636364</v>
      </c>
      <c r="H189" s="29" t="n">
        <v>3.58695652173913</v>
      </c>
      <c r="I189" s="16" t="inlineStr">
        <is>
          <t>sí</t>
        </is>
      </c>
      <c r="J189" s="16" t="inlineStr">
        <is>
          <t>O2</t>
        </is>
      </c>
      <c r="K189" s="16" t="inlineStr">
        <is>
          <t>malla</t>
        </is>
      </c>
    </row>
    <row r="190">
      <c r="A190" s="16" t="inlineStr">
        <is>
          <t>KF-M02-N2-B-0101</t>
        </is>
      </c>
      <c r="B190" s="35" t="n">
        <v>560</v>
      </c>
      <c r="C190" s="35" t="n">
        <v>981.818181818182</v>
      </c>
      <c r="D190" s="39" t="inlineStr">
        <is>
          <t>Corregible</t>
        </is>
      </c>
      <c r="E190" s="29" t="n">
        <v>8.041805625831589</v>
      </c>
      <c r="F190" s="35" t="n">
        <v>145.2777205607617</v>
      </c>
      <c r="G190" s="36" t="n">
        <v>2018.181818181818</v>
      </c>
      <c r="H190" s="29" t="n">
        <v>3.055555555555555</v>
      </c>
      <c r="I190" s="16" t="inlineStr">
        <is>
          <t>sí</t>
        </is>
      </c>
      <c r="J190" s="16" t="inlineStr">
        <is>
          <t>O2</t>
        </is>
      </c>
      <c r="K190" s="16" t="inlineStr">
        <is>
          <t>malla</t>
        </is>
      </c>
    </row>
    <row r="191">
      <c r="A191" s="16" t="inlineStr">
        <is>
          <t>KF-M02-N2-B-0100</t>
        </is>
      </c>
      <c r="B191" s="35" t="n">
        <v>560</v>
      </c>
      <c r="C191" s="35" t="n">
        <v>1127.272727272728</v>
      </c>
      <c r="D191" s="39" t="inlineStr">
        <is>
          <t>Corregible</t>
        </is>
      </c>
      <c r="E191" s="29" t="n">
        <v>7.16760890824404</v>
      </c>
      <c r="F191" s="35" t="n">
        <v>129.4826200370981</v>
      </c>
      <c r="G191" s="36" t="n">
        <v>1872.727272727272</v>
      </c>
      <c r="H191" s="29" t="n">
        <v>2.661290322580644</v>
      </c>
      <c r="I191" s="16" t="inlineStr">
        <is>
          <t>sí</t>
        </is>
      </c>
      <c r="J191" s="16" t="inlineStr">
        <is>
          <t>O2</t>
        </is>
      </c>
      <c r="K191" s="16" t="inlineStr">
        <is>
          <t>malla</t>
        </is>
      </c>
    </row>
    <row r="192">
      <c r="A192" s="16" t="inlineStr">
        <is>
          <t>KF-M02-N2-B-0102</t>
        </is>
      </c>
      <c r="B192" s="35" t="n">
        <v>560</v>
      </c>
      <c r="C192" s="35" t="n">
        <v>1272.727272727273</v>
      </c>
      <c r="D192" s="39" t="inlineStr">
        <is>
          <t>Corregible</t>
        </is>
      </c>
      <c r="E192" s="29" t="n">
        <v>6.374260421987341</v>
      </c>
      <c r="F192" s="35" t="n">
        <v>115.1329634463087</v>
      </c>
      <c r="G192" s="36" t="n">
        <v>1727.272727272727</v>
      </c>
      <c r="H192" s="29" t="n">
        <v>2.357142857142857</v>
      </c>
      <c r="I192" s="16" t="inlineStr">
        <is>
          <t>sí</t>
        </is>
      </c>
      <c r="J192" s="16" t="inlineStr">
        <is>
          <t>O2</t>
        </is>
      </c>
      <c r="K192" s="16" t="inlineStr">
        <is>
          <t>malla</t>
        </is>
      </c>
    </row>
    <row r="193">
      <c r="A193" s="16" t="inlineStr">
        <is>
          <t>KF-M02-N2-B-0103</t>
        </is>
      </c>
      <c r="B193" s="35" t="n">
        <v>560</v>
      </c>
      <c r="C193" s="35" t="n">
        <v>1418.181818181818</v>
      </c>
      <c r="D193" s="39" t="inlineStr">
        <is>
          <t>Corregible</t>
        </is>
      </c>
      <c r="E193" s="29" t="n">
        <v>5.64599679449084</v>
      </c>
      <c r="F193" s="35" t="n">
        <v>101.953234891716</v>
      </c>
      <c r="G193" s="36" t="n">
        <v>1581.818181818182</v>
      </c>
      <c r="H193" s="29" t="n">
        <v>2.115384615384615</v>
      </c>
      <c r="I193" s="16" t="inlineStr">
        <is>
          <t>sí</t>
        </is>
      </c>
      <c r="J193" s="16" t="inlineStr">
        <is>
          <t>O2</t>
        </is>
      </c>
      <c r="K193" s="16" t="inlineStr">
        <is>
          <t>malla</t>
        </is>
      </c>
    </row>
    <row r="194">
      <c r="A194" s="16" t="inlineStr">
        <is>
          <t>KF-M02-N2-B-0104</t>
        </is>
      </c>
      <c r="B194" s="35" t="n">
        <v>560</v>
      </c>
      <c r="C194" s="35" t="n">
        <v>1563.636363636364</v>
      </c>
      <c r="D194" s="39" t="inlineStr">
        <is>
          <t>Corregible</t>
        </is>
      </c>
      <c r="E194" s="29" t="n">
        <v>4.971399212737429</v>
      </c>
      <c r="F194" s="35" t="n">
        <v>89.74257907061309</v>
      </c>
      <c r="G194" s="36" t="n">
        <v>1436.363636363636</v>
      </c>
      <c r="H194" s="29" t="n">
        <v>1.918604651162791</v>
      </c>
      <c r="I194" s="16" t="inlineStr">
        <is>
          <t>sí</t>
        </is>
      </c>
      <c r="J194" s="16" t="inlineStr">
        <is>
          <t>O2</t>
        </is>
      </c>
      <c r="K194" s="16" t="inlineStr">
        <is>
          <t>malla</t>
        </is>
      </c>
    </row>
    <row r="195">
      <c r="A195" s="16" t="inlineStr">
        <is>
          <t>KF-M02-N2-B-0105</t>
        </is>
      </c>
      <c r="B195" s="35" t="n">
        <v>560</v>
      </c>
      <c r="C195" s="35" t="n">
        <v>1709.090909090909</v>
      </c>
      <c r="D195" s="39" t="inlineStr">
        <is>
          <t>Corregible</t>
        </is>
      </c>
      <c r="E195" s="29" t="n">
        <v>4.34190933211638</v>
      </c>
      <c r="F195" s="35" t="n">
        <v>78.34963585626696</v>
      </c>
      <c r="G195" s="36" t="n">
        <v>1290.909090909091</v>
      </c>
      <c r="H195" s="29" t="n">
        <v>1.75531914893617</v>
      </c>
      <c r="I195" s="16" t="inlineStr">
        <is>
          <t>sí</t>
        </is>
      </c>
      <c r="J195" s="16" t="inlineStr">
        <is>
          <t>O2</t>
        </is>
      </c>
      <c r="K195" s="16" t="inlineStr">
        <is>
          <t>malla</t>
        </is>
      </c>
    </row>
    <row r="196">
      <c r="A196" s="16" t="inlineStr">
        <is>
          <t>KF-M02-N2-B-0106</t>
        </is>
      </c>
      <c r="B196" s="35" t="n">
        <v>560</v>
      </c>
      <c r="C196" s="35" t="n">
        <v>1854.545454545455</v>
      </c>
      <c r="D196" s="39" t="inlineStr">
        <is>
          <t>Corregible</t>
        </is>
      </c>
      <c r="E196" s="29" t="n">
        <v>3.75093467009537</v>
      </c>
      <c r="F196" s="35" t="n">
        <v>67.65725289277461</v>
      </c>
      <c r="G196" s="36" t="n">
        <v>1145.454545454545</v>
      </c>
      <c r="H196" s="29" t="n">
        <v>1.617647058823529</v>
      </c>
      <c r="I196" s="16" t="inlineStr">
        <is>
          <t>sí</t>
        </is>
      </c>
      <c r="J196" s="16" t="inlineStr">
        <is>
          <t>O2</t>
        </is>
      </c>
      <c r="K196" s="16" t="inlineStr">
        <is>
          <t>malla</t>
        </is>
      </c>
    </row>
    <row r="197">
      <c r="A197" s="16" t="inlineStr">
        <is>
          <t>KF-M02-N2-B-0107</t>
        </is>
      </c>
      <c r="B197" s="35" t="n">
        <v>560</v>
      </c>
      <c r="C197" s="35" t="n">
        <v>2000</v>
      </c>
      <c r="D197" s="39" t="inlineStr">
        <is>
          <t>Corregible</t>
        </is>
      </c>
      <c r="E197" s="29" t="n">
        <v>3.19327863396819</v>
      </c>
      <c r="F197" s="35" t="n">
        <v>57.57272474535024</v>
      </c>
      <c r="G197" s="36" t="n">
        <v>1000</v>
      </c>
      <c r="H197" s="29" t="n">
        <v>1.5</v>
      </c>
      <c r="I197" s="16" t="inlineStr">
        <is>
          <t>sí</t>
        </is>
      </c>
      <c r="J197" s="16" t="inlineStr">
        <is>
          <t>O2</t>
        </is>
      </c>
      <c r="K197" s="16" t="inlineStr">
        <is>
          <t>malla</t>
        </is>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6" customWidth="1" min="1" max="1"/>
    <col width="48" customWidth="1" min="2" max="2"/>
    <col width="10" customWidth="1" min="3" max="3"/>
    <col width="15" customWidth="1" min="4" max="4"/>
    <col width="11" customWidth="1" min="5" max="5"/>
    <col width="21" customWidth="1" min="6" max="6"/>
    <col width="10" customWidth="1" min="7" max="7"/>
  </cols>
  <sheetData>
    <row r="1">
      <c r="A1" s="19" t="inlineStr">
        <is>
          <t>Tabla 2.3-1 · Condiciones: qué quedó fijo y qué se barrió</t>
        </is>
      </c>
    </row>
    <row r="2">
      <c r="A2" s="20" t="inlineStr">
        <is>
          <t>Estudio 2.3 · Dos cambios con η y ε en 0.40–0.95 · Partes: 2.3a, 2.3b, 2.3c, 2.3d</t>
        </is>
      </c>
    </row>
    <row r="3">
      <c r="A3" s="20" t="inlineStr">
        <is>
          <t>Punto base: PP = punto del profesor con η/ε dentro de [0.40, 0.95]</t>
        </is>
      </c>
    </row>
    <row r="4">
      <c r="A4" s="41" t="inlineStr">
        <is>
          <t>Parte 2.3a (un cambio):</t>
        </is>
      </c>
    </row>
    <row r="5">
      <c r="A5" s="21" t="inlineStr">
        <is>
          <t>Datos fijos: T_fuente = 623.15 K; T_sumidero = 300.03 K; P_alta = 3000 kPa; P_baja = 400 kPa; x_b = 0.5; m_b = 1 kg/s; motor de propiedades = teqp.</t>
        </is>
      </c>
    </row>
    <row r="6">
      <c r="A6" s="21" t="inlineStr">
        <is>
          <t>Datos barridos: η_t [0.4–0.95] (12 valores); η_p [0.4–0.95] (12 valores); ε_HRVG [0.4–0.95] (32 valores); ε_reg [0.4–0.95] (12 valores); ε_cond [0.4–0.95] (12 valores).</t>
        </is>
      </c>
    </row>
    <row r="7">
      <c r="A7" s="41" t="inlineStr">
        <is>
          <t>Parte 2.3b (ε_HRVG × ε_cond):</t>
        </is>
      </c>
    </row>
    <row r="8">
      <c r="A8" s="21" t="inlineStr">
        <is>
          <t>Datos fijos: T_fuente = 623.15 K; T_sumidero = 300.03 K; P_alta = 3000 kPa; P_baja = 400 kPa; x_b = 0.5; m_b = 1 kg/s; η_t = 0.85; η_p = 0.75; ε_reg = 0.75; motor de propiedades = teqp.</t>
        </is>
      </c>
    </row>
    <row r="9">
      <c r="A9" s="21" t="inlineStr">
        <is>
          <t>Datos barridos: ε_HRVG [0.4–0.8] (5 valores); ε_cond [0.4–0.95] (12 valores).</t>
        </is>
      </c>
    </row>
    <row r="10">
      <c r="A10" s="41" t="inlineStr">
        <is>
          <t>Parte 2.3c (ε_HRVG × P_baja):</t>
        </is>
      </c>
    </row>
    <row r="11">
      <c r="A11" s="21" t="inlineStr">
        <is>
          <t>Datos fijos: T_fuente = 623.15 K; T_sumidero = 300.03 K; P_alta = 3000 kPa; x_b = 0.5; m_b = 1 kg/s; η_t = 0.85; η_p = 0.75; ε_reg = 0.75; ε_cond = 0.8; motor de propiedades = teqp.</t>
        </is>
      </c>
    </row>
    <row r="12">
      <c r="A12" s="21" t="inlineStr">
        <is>
          <t>Datos barridos: P_baja [400–2000] kPa (20 valores); ε_HRVG [0.4–0.7] (4 valores).</t>
        </is>
      </c>
    </row>
    <row r="13">
      <c r="A13" s="41" t="inlineStr">
        <is>
          <t>Parte 2.3d (T_fuente × ε_cond):</t>
        </is>
      </c>
    </row>
    <row r="14">
      <c r="A14" s="21" t="inlineStr">
        <is>
          <t>Datos fijos: T_sumidero = 300.03 K; P_alta = 3000 kPa; P_baja = 400 kPa; x_b = 0.5; m_b = 1 kg/s; η_t = 0.85; η_p = 0.75; ε_HRVG = 0.85; ε_reg = 0.75; motor de propiedades = teqp.</t>
        </is>
      </c>
    </row>
    <row r="15">
      <c r="A15" s="21" t="inlineStr">
        <is>
          <t>Datos barridos: T_fuente [403–560] K (7 valores); ε_cond [0.85–0.95] (3 valores).</t>
        </is>
      </c>
    </row>
    <row r="16">
      <c r="A16" s="20" t="inlineStr">
        <is>
          <t>Fuente: analisis_final/00_inventario/condiciones_por_subcaso.csv</t>
        </is>
      </c>
    </row>
    <row r="18">
      <c r="A18" s="22" t="inlineStr">
        <is>
          <t>Parte</t>
        </is>
      </c>
      <c r="B18" s="22" t="inlineStr">
        <is>
          <t>Variable</t>
        </is>
      </c>
      <c r="C18" s="22" t="inlineStr">
        <is>
          <t>Estado</t>
        </is>
      </c>
      <c r="D18" s="22" t="inlineStr">
        <is>
          <t>Valor o rango</t>
        </is>
      </c>
      <c r="E18" s="22" t="inlineStr">
        <is>
          <t>n valores</t>
        </is>
      </c>
      <c r="F18" s="22" t="inlineStr">
        <is>
          <t>¿Igual al profesor?</t>
        </is>
      </c>
      <c r="G18" s="22" t="inlineStr">
        <is>
          <t>Unidad</t>
        </is>
      </c>
    </row>
    <row r="19">
      <c r="A19" s="16" t="inlineStr">
        <is>
          <t>2.3a · un cambio</t>
        </is>
      </c>
      <c r="B19" s="16" t="inlineStr">
        <is>
          <t>Temperatura de la fuente, T_fuente [K]</t>
        </is>
      </c>
      <c r="C19" s="16" t="inlineStr">
        <is>
          <t>Fija</t>
        </is>
      </c>
      <c r="D19" s="16" t="inlineStr">
        <is>
          <t>623.15</t>
        </is>
      </c>
      <c r="E19" s="16" t="n"/>
      <c r="F19" s="16" t="inlineStr">
        <is>
          <t>sí</t>
        </is>
      </c>
      <c r="G19" s="16" t="inlineStr">
        <is>
          <t>K</t>
        </is>
      </c>
    </row>
    <row r="20">
      <c r="A20" s="16" t="inlineStr">
        <is>
          <t>2.3a · un cambio</t>
        </is>
      </c>
      <c r="B20" s="16" t="inlineStr">
        <is>
          <t>Temperatura del sumidero, T_sumidero [K]</t>
        </is>
      </c>
      <c r="C20" s="16" t="inlineStr">
        <is>
          <t>Fija</t>
        </is>
      </c>
      <c r="D20" s="16" t="inlineStr">
        <is>
          <t>300.032917</t>
        </is>
      </c>
      <c r="E20" s="16" t="n"/>
      <c r="F20" s="16" t="inlineStr">
        <is>
          <t>sí</t>
        </is>
      </c>
      <c r="G20" s="16" t="inlineStr">
        <is>
          <t>K</t>
        </is>
      </c>
    </row>
    <row r="21">
      <c r="A21" s="16" t="inlineStr">
        <is>
          <t>2.3a · un cambio</t>
        </is>
      </c>
      <c r="B21" s="16" t="inlineStr">
        <is>
          <t>Presión de alta, P_alta [kPa]</t>
        </is>
      </c>
      <c r="C21" s="16" t="inlineStr">
        <is>
          <t>Fija</t>
        </is>
      </c>
      <c r="D21" s="16" t="inlineStr">
        <is>
          <t>3000.0</t>
        </is>
      </c>
      <c r="E21" s="16" t="n"/>
      <c r="F21" s="16" t="inlineStr">
        <is>
          <t>sí</t>
        </is>
      </c>
      <c r="G21" s="16" t="inlineStr">
        <is>
          <t>kPa</t>
        </is>
      </c>
    </row>
    <row r="22">
      <c r="A22" s="16" t="inlineStr">
        <is>
          <t>2.3a · un cambio</t>
        </is>
      </c>
      <c r="B22" s="16" t="inlineStr">
        <is>
          <t>Presión de baja, P_baja [kPa]</t>
        </is>
      </c>
      <c r="C22" s="16" t="inlineStr">
        <is>
          <t>Fija</t>
        </is>
      </c>
      <c r="D22" s="16" t="inlineStr">
        <is>
          <t>400.0</t>
        </is>
      </c>
      <c r="E22" s="16" t="n"/>
      <c r="F22" s="16" t="inlineStr">
        <is>
          <t>sí</t>
        </is>
      </c>
      <c r="G22" s="16" t="inlineStr">
        <is>
          <t>kPa</t>
        </is>
      </c>
    </row>
    <row r="23">
      <c r="A23" s="16" t="inlineStr">
        <is>
          <t>2.3a · un cambio</t>
        </is>
      </c>
      <c r="B23" s="16" t="inlineStr">
        <is>
          <t>Fracción de amoníaco de la mezcla base, x_b [–]</t>
        </is>
      </c>
      <c r="C23" s="16" t="inlineStr">
        <is>
          <t>Fija</t>
        </is>
      </c>
      <c r="D23" s="16" t="inlineStr">
        <is>
          <t>0.5</t>
        </is>
      </c>
      <c r="E23" s="16" t="n"/>
      <c r="F23" s="16" t="inlineStr">
        <is>
          <t>sí</t>
        </is>
      </c>
      <c r="G23" s="16" t="inlineStr">
        <is>
          <t>–</t>
        </is>
      </c>
    </row>
    <row r="24">
      <c r="A24" s="16" t="inlineStr">
        <is>
          <t>2.3a · un cambio</t>
        </is>
      </c>
      <c r="B24" s="16" t="inlineStr">
        <is>
          <t>Flujo másico base, m_b [kg/s]</t>
        </is>
      </c>
      <c r="C24" s="16" t="inlineStr">
        <is>
          <t>Fija</t>
        </is>
      </c>
      <c r="D24" s="16" t="inlineStr">
        <is>
          <t>1.0</t>
        </is>
      </c>
      <c r="E24" s="16" t="n"/>
      <c r="F24" s="16" t="inlineStr">
        <is>
          <t>sí</t>
        </is>
      </c>
      <c r="G24" s="16" t="inlineStr">
        <is>
          <t>kg/s</t>
        </is>
      </c>
    </row>
    <row r="25">
      <c r="A25" s="16" t="inlineStr">
        <is>
          <t>2.3a · un cambio</t>
        </is>
      </c>
      <c r="B25" s="16" t="inlineStr">
        <is>
          <t>Eficiencia isentrópica de la turbina, η_t [–]</t>
        </is>
      </c>
      <c r="C25" s="16" t="inlineStr">
        <is>
          <t>Barrida</t>
        </is>
      </c>
      <c r="D25" s="16" t="inlineStr">
        <is>
          <t>0.400 – 0.950</t>
        </is>
      </c>
      <c r="E25" s="16" t="n">
        <v>12</v>
      </c>
      <c r="F25" s="16" t="n"/>
      <c r="G25" s="16" t="inlineStr">
        <is>
          <t>–</t>
        </is>
      </c>
    </row>
    <row r="26">
      <c r="A26" s="16" t="inlineStr">
        <is>
          <t>2.3a · un cambio</t>
        </is>
      </c>
      <c r="B26" s="16" t="inlineStr">
        <is>
          <t>Eficiencia isentrópica de la bomba, η_p [–]</t>
        </is>
      </c>
      <c r="C26" s="16" t="inlineStr">
        <is>
          <t>Barrida</t>
        </is>
      </c>
      <c r="D26" s="16" t="inlineStr">
        <is>
          <t>0.400 – 0.950</t>
        </is>
      </c>
      <c r="E26" s="16" t="n">
        <v>12</v>
      </c>
      <c r="F26" s="16" t="n"/>
      <c r="G26" s="16" t="inlineStr">
        <is>
          <t>–</t>
        </is>
      </c>
    </row>
    <row r="27">
      <c r="A27" s="16" t="inlineStr">
        <is>
          <t>2.3a · un cambio</t>
        </is>
      </c>
      <c r="B27" s="16" t="inlineStr">
        <is>
          <t>Efectividad del generador de vapor, ε_HRVG [–]</t>
        </is>
      </c>
      <c r="C27" s="16" t="inlineStr">
        <is>
          <t>Barrida</t>
        </is>
      </c>
      <c r="D27" s="16" t="inlineStr">
        <is>
          <t>0.400 – 0.950</t>
        </is>
      </c>
      <c r="E27" s="16" t="n">
        <v>32</v>
      </c>
      <c r="F27" s="16" t="n"/>
      <c r="G27" s="16" t="inlineStr">
        <is>
          <t>–</t>
        </is>
      </c>
    </row>
    <row r="28">
      <c r="A28" s="16" t="inlineStr">
        <is>
          <t>2.3a · un cambio</t>
        </is>
      </c>
      <c r="B28" s="16" t="inlineStr">
        <is>
          <t>Efectividad del regenerador, ε_reg [–]</t>
        </is>
      </c>
      <c r="C28" s="16" t="inlineStr">
        <is>
          <t>Barrida</t>
        </is>
      </c>
      <c r="D28" s="16" t="inlineStr">
        <is>
          <t>0.400 – 0.950</t>
        </is>
      </c>
      <c r="E28" s="16" t="n">
        <v>12</v>
      </c>
      <c r="F28" s="16" t="n"/>
      <c r="G28" s="16" t="inlineStr">
        <is>
          <t>–</t>
        </is>
      </c>
    </row>
    <row r="29">
      <c r="A29" s="16" t="inlineStr">
        <is>
          <t>2.3a · un cambio</t>
        </is>
      </c>
      <c r="B29" s="16" t="inlineStr">
        <is>
          <t>Efectividad del condensador, ε_cond [–]</t>
        </is>
      </c>
      <c r="C29" s="16" t="inlineStr">
        <is>
          <t>Barrida</t>
        </is>
      </c>
      <c r="D29" s="16" t="inlineStr">
        <is>
          <t>0.400 – 0.950</t>
        </is>
      </c>
      <c r="E29" s="16" t="n">
        <v>12</v>
      </c>
      <c r="F29" s="16" t="n"/>
      <c r="G29" s="16" t="inlineStr">
        <is>
          <t>–</t>
        </is>
      </c>
    </row>
    <row r="30">
      <c r="A30" s="16" t="inlineStr">
        <is>
          <t>2.3a · un cambio</t>
        </is>
      </c>
      <c r="B30" s="16" t="inlineStr">
        <is>
          <t>Piso de O2 (T de diseño de la bomba) [K]</t>
        </is>
      </c>
      <c r="C30" s="16" t="inlineStr">
        <is>
          <t>Sin dato</t>
        </is>
      </c>
      <c r="D30" s="16" t="n"/>
      <c r="E30" s="16" t="n"/>
      <c r="F30" s="16" t="n"/>
      <c r="G30" s="16" t="inlineStr">
        <is>
          <t>K</t>
        </is>
      </c>
    </row>
    <row r="31">
      <c r="A31" s="16" t="inlineStr">
        <is>
          <t>2.3a · un cambio</t>
        </is>
      </c>
      <c r="B31" s="16" t="inlineStr">
        <is>
          <t>motor de propiedades</t>
        </is>
      </c>
      <c r="C31" s="16" t="inlineStr">
        <is>
          <t>Fija</t>
        </is>
      </c>
      <c r="D31" s="16" t="inlineStr">
        <is>
          <t>teqp</t>
        </is>
      </c>
      <c r="E31" s="16" t="n"/>
      <c r="F31" s="16" t="n"/>
      <c r="G31" s="16" t="inlineStr">
        <is>
          <t>–</t>
        </is>
      </c>
    </row>
    <row r="32">
      <c r="A32" s="16" t="inlineStr">
        <is>
          <t>2.3b · ε_HRVG × ε_cond</t>
        </is>
      </c>
      <c r="B32" s="16" t="inlineStr">
        <is>
          <t>Temperatura de la fuente, T_fuente [K]</t>
        </is>
      </c>
      <c r="C32" s="16" t="inlineStr">
        <is>
          <t>Fija</t>
        </is>
      </c>
      <c r="D32" s="16" t="inlineStr">
        <is>
          <t>623.15</t>
        </is>
      </c>
      <c r="E32" s="16" t="n"/>
      <c r="F32" s="16" t="inlineStr">
        <is>
          <t>sí</t>
        </is>
      </c>
      <c r="G32" s="16" t="inlineStr">
        <is>
          <t>K</t>
        </is>
      </c>
    </row>
    <row r="33">
      <c r="A33" s="16" t="inlineStr">
        <is>
          <t>2.3b · ε_HRVG × ε_cond</t>
        </is>
      </c>
      <c r="B33" s="16" t="inlineStr">
        <is>
          <t>Temperatura del sumidero, T_sumidero [K]</t>
        </is>
      </c>
      <c r="C33" s="16" t="inlineStr">
        <is>
          <t>Fija</t>
        </is>
      </c>
      <c r="D33" s="16" t="inlineStr">
        <is>
          <t>300.032917</t>
        </is>
      </c>
      <c r="E33" s="16" t="n"/>
      <c r="F33" s="16" t="inlineStr">
        <is>
          <t>sí</t>
        </is>
      </c>
      <c r="G33" s="16" t="inlineStr">
        <is>
          <t>K</t>
        </is>
      </c>
    </row>
    <row r="34">
      <c r="A34" s="16" t="inlineStr">
        <is>
          <t>2.3b · ε_HRVG × ε_cond</t>
        </is>
      </c>
      <c r="B34" s="16" t="inlineStr">
        <is>
          <t>Presión de alta, P_alta [kPa]</t>
        </is>
      </c>
      <c r="C34" s="16" t="inlineStr">
        <is>
          <t>Fija</t>
        </is>
      </c>
      <c r="D34" s="16" t="inlineStr">
        <is>
          <t>3000.0</t>
        </is>
      </c>
      <c r="E34" s="16" t="n"/>
      <c r="F34" s="16" t="inlineStr">
        <is>
          <t>sí</t>
        </is>
      </c>
      <c r="G34" s="16" t="inlineStr">
        <is>
          <t>kPa</t>
        </is>
      </c>
    </row>
    <row r="35">
      <c r="A35" s="16" t="inlineStr">
        <is>
          <t>2.3b · ε_HRVG × ε_cond</t>
        </is>
      </c>
      <c r="B35" s="16" t="inlineStr">
        <is>
          <t>Presión de baja, P_baja [kPa]</t>
        </is>
      </c>
      <c r="C35" s="16" t="inlineStr">
        <is>
          <t>Fija</t>
        </is>
      </c>
      <c r="D35" s="16" t="inlineStr">
        <is>
          <t>400.0</t>
        </is>
      </c>
      <c r="E35" s="16" t="n"/>
      <c r="F35" s="16" t="inlineStr">
        <is>
          <t>sí</t>
        </is>
      </c>
      <c r="G35" s="16" t="inlineStr">
        <is>
          <t>kPa</t>
        </is>
      </c>
    </row>
    <row r="36">
      <c r="A36" s="16" t="inlineStr">
        <is>
          <t>2.3b · ε_HRVG × ε_cond</t>
        </is>
      </c>
      <c r="B36" s="16" t="inlineStr">
        <is>
          <t>Fracción de amoníaco de la mezcla base, x_b [–]</t>
        </is>
      </c>
      <c r="C36" s="16" t="inlineStr">
        <is>
          <t>Fija</t>
        </is>
      </c>
      <c r="D36" s="16" t="inlineStr">
        <is>
          <t>0.5</t>
        </is>
      </c>
      <c r="E36" s="16" t="n"/>
      <c r="F36" s="16" t="inlineStr">
        <is>
          <t>sí</t>
        </is>
      </c>
      <c r="G36" s="16" t="inlineStr">
        <is>
          <t>–</t>
        </is>
      </c>
    </row>
    <row r="37">
      <c r="A37" s="16" t="inlineStr">
        <is>
          <t>2.3b · ε_HRVG × ε_cond</t>
        </is>
      </c>
      <c r="B37" s="16" t="inlineStr">
        <is>
          <t>Flujo másico base, m_b [kg/s]</t>
        </is>
      </c>
      <c r="C37" s="16" t="inlineStr">
        <is>
          <t>Fija</t>
        </is>
      </c>
      <c r="D37" s="16" t="inlineStr">
        <is>
          <t>1.0</t>
        </is>
      </c>
      <c r="E37" s="16" t="n"/>
      <c r="F37" s="16" t="inlineStr">
        <is>
          <t>sí</t>
        </is>
      </c>
      <c r="G37" s="16" t="inlineStr">
        <is>
          <t>kg/s</t>
        </is>
      </c>
    </row>
    <row r="38">
      <c r="A38" s="16" t="inlineStr">
        <is>
          <t>2.3b · ε_HRVG × ε_cond</t>
        </is>
      </c>
      <c r="B38" s="16" t="inlineStr">
        <is>
          <t>Eficiencia isentrópica de la turbina, η_t [–]</t>
        </is>
      </c>
      <c r="C38" s="16" t="inlineStr">
        <is>
          <t>Fija</t>
        </is>
      </c>
      <c r="D38" s="16" t="inlineStr">
        <is>
          <t>0.85</t>
        </is>
      </c>
      <c r="E38" s="16" t="n"/>
      <c r="F38" s="16" t="inlineStr">
        <is>
          <t>sí</t>
        </is>
      </c>
      <c r="G38" s="16" t="inlineStr">
        <is>
          <t>–</t>
        </is>
      </c>
    </row>
    <row r="39">
      <c r="A39" s="16" t="inlineStr">
        <is>
          <t>2.3b · ε_HRVG × ε_cond</t>
        </is>
      </c>
      <c r="B39" s="16" t="inlineStr">
        <is>
          <t>Eficiencia isentrópica de la bomba, η_p [–]</t>
        </is>
      </c>
      <c r="C39" s="16" t="inlineStr">
        <is>
          <t>Fija</t>
        </is>
      </c>
      <c r="D39" s="16" t="inlineStr">
        <is>
          <t>0.75</t>
        </is>
      </c>
      <c r="E39" s="16" t="n"/>
      <c r="F39" s="16" t="inlineStr">
        <is>
          <t>sí</t>
        </is>
      </c>
      <c r="G39" s="16" t="inlineStr">
        <is>
          <t>–</t>
        </is>
      </c>
    </row>
    <row r="40">
      <c r="A40" s="16" t="inlineStr">
        <is>
          <t>2.3b · ε_HRVG × ε_cond</t>
        </is>
      </c>
      <c r="B40" s="16" t="inlineStr">
        <is>
          <t>Efectividad del generador de vapor, ε_HRVG [–]</t>
        </is>
      </c>
      <c r="C40" s="16" t="inlineStr">
        <is>
          <t>Barrida</t>
        </is>
      </c>
      <c r="D40" s="16" t="inlineStr">
        <is>
          <t>0.400 – 0.800</t>
        </is>
      </c>
      <c r="E40" s="16" t="n">
        <v>5</v>
      </c>
      <c r="F40" s="16" t="n"/>
      <c r="G40" s="16" t="inlineStr">
        <is>
          <t>–</t>
        </is>
      </c>
    </row>
    <row r="41">
      <c r="A41" s="16" t="inlineStr">
        <is>
          <t>2.3b · ε_HRVG × ε_cond</t>
        </is>
      </c>
      <c r="B41" s="16" t="inlineStr">
        <is>
          <t>Efectividad del regenerador, ε_reg [–]</t>
        </is>
      </c>
      <c r="C41" s="16" t="inlineStr">
        <is>
          <t>Fija</t>
        </is>
      </c>
      <c r="D41" s="16" t="inlineStr">
        <is>
          <t>0.75</t>
        </is>
      </c>
      <c r="E41" s="16" t="n"/>
      <c r="F41" s="16" t="inlineStr">
        <is>
          <t>sí</t>
        </is>
      </c>
      <c r="G41" s="16" t="inlineStr">
        <is>
          <t>–</t>
        </is>
      </c>
    </row>
    <row r="42">
      <c r="A42" s="16" t="inlineStr">
        <is>
          <t>2.3b · ε_HRVG × ε_cond</t>
        </is>
      </c>
      <c r="B42" s="16" t="inlineStr">
        <is>
          <t>Efectividad del condensador, ε_cond [–]</t>
        </is>
      </c>
      <c r="C42" s="16" t="inlineStr">
        <is>
          <t>Barrida</t>
        </is>
      </c>
      <c r="D42" s="16" t="inlineStr">
        <is>
          <t>0.400 – 0.950</t>
        </is>
      </c>
      <c r="E42" s="16" t="n">
        <v>12</v>
      </c>
      <c r="F42" s="16" t="n"/>
      <c r="G42" s="16" t="inlineStr">
        <is>
          <t>–</t>
        </is>
      </c>
    </row>
    <row r="43">
      <c r="A43" s="16" t="inlineStr">
        <is>
          <t>2.3b · ε_HRVG × ε_cond</t>
        </is>
      </c>
      <c r="B43" s="16" t="inlineStr">
        <is>
          <t>Piso de O2 (T de diseño de la bomba) [K]</t>
        </is>
      </c>
      <c r="C43" s="16" t="inlineStr">
        <is>
          <t>Sin dato</t>
        </is>
      </c>
      <c r="D43" s="16" t="n"/>
      <c r="E43" s="16" t="n"/>
      <c r="F43" s="16" t="n"/>
      <c r="G43" s="16" t="inlineStr">
        <is>
          <t>K</t>
        </is>
      </c>
    </row>
    <row r="44">
      <c r="A44" s="16" t="inlineStr">
        <is>
          <t>2.3b · ε_HRVG × ε_cond</t>
        </is>
      </c>
      <c r="B44" s="16" t="inlineStr">
        <is>
          <t>motor de propiedades</t>
        </is>
      </c>
      <c r="C44" s="16" t="inlineStr">
        <is>
          <t>Fija</t>
        </is>
      </c>
      <c r="D44" s="16" t="inlineStr">
        <is>
          <t>teqp</t>
        </is>
      </c>
      <c r="E44" s="16" t="n"/>
      <c r="F44" s="16" t="n"/>
      <c r="G44" s="16" t="inlineStr">
        <is>
          <t>–</t>
        </is>
      </c>
    </row>
    <row r="45">
      <c r="A45" s="16" t="inlineStr">
        <is>
          <t>2.3c · ε_HRVG × P_baja</t>
        </is>
      </c>
      <c r="B45" s="16" t="inlineStr">
        <is>
          <t>Temperatura de la fuente, T_fuente [K]</t>
        </is>
      </c>
      <c r="C45" s="16" t="inlineStr">
        <is>
          <t>Fija</t>
        </is>
      </c>
      <c r="D45" s="16" t="inlineStr">
        <is>
          <t>623.15</t>
        </is>
      </c>
      <c r="E45" s="16" t="n"/>
      <c r="F45" s="16" t="inlineStr">
        <is>
          <t>sí</t>
        </is>
      </c>
      <c r="G45" s="16" t="inlineStr">
        <is>
          <t>K</t>
        </is>
      </c>
    </row>
    <row r="46">
      <c r="A46" s="16" t="inlineStr">
        <is>
          <t>2.3c · ε_HRVG × P_baja</t>
        </is>
      </c>
      <c r="B46" s="16" t="inlineStr">
        <is>
          <t>Temperatura del sumidero, T_sumidero [K]</t>
        </is>
      </c>
      <c r="C46" s="16" t="inlineStr">
        <is>
          <t>Fija</t>
        </is>
      </c>
      <c r="D46" s="16" t="inlineStr">
        <is>
          <t>300.032917</t>
        </is>
      </c>
      <c r="E46" s="16" t="n"/>
      <c r="F46" s="16" t="inlineStr">
        <is>
          <t>sí</t>
        </is>
      </c>
      <c r="G46" s="16" t="inlineStr">
        <is>
          <t>K</t>
        </is>
      </c>
    </row>
    <row r="47">
      <c r="A47" s="16" t="inlineStr">
        <is>
          <t>2.3c · ε_HRVG × P_baja</t>
        </is>
      </c>
      <c r="B47" s="16" t="inlineStr">
        <is>
          <t>Presión de alta, P_alta [kPa]</t>
        </is>
      </c>
      <c r="C47" s="16" t="inlineStr">
        <is>
          <t>Fija</t>
        </is>
      </c>
      <c r="D47" s="16" t="inlineStr">
        <is>
          <t>3000.0</t>
        </is>
      </c>
      <c r="E47" s="16" t="n"/>
      <c r="F47" s="16" t="inlineStr">
        <is>
          <t>sí</t>
        </is>
      </c>
      <c r="G47" s="16" t="inlineStr">
        <is>
          <t>kPa</t>
        </is>
      </c>
    </row>
    <row r="48">
      <c r="A48" s="16" t="inlineStr">
        <is>
          <t>2.3c · ε_HRVG × P_baja</t>
        </is>
      </c>
      <c r="B48" s="16" t="inlineStr">
        <is>
          <t>Presión de baja, P_baja [kPa]</t>
        </is>
      </c>
      <c r="C48" s="16" t="inlineStr">
        <is>
          <t>Barrida</t>
        </is>
      </c>
      <c r="D48" s="16" t="inlineStr">
        <is>
          <t>400.0 – 2000</t>
        </is>
      </c>
      <c r="E48" s="16" t="n">
        <v>20</v>
      </c>
      <c r="F48" s="16" t="n"/>
      <c r="G48" s="16" t="inlineStr">
        <is>
          <t>kPa</t>
        </is>
      </c>
    </row>
    <row r="49">
      <c r="A49" s="16" t="inlineStr">
        <is>
          <t>2.3c · ε_HRVG × P_baja</t>
        </is>
      </c>
      <c r="B49" s="16" t="inlineStr">
        <is>
          <t>Fracción de amoníaco de la mezcla base, x_b [–]</t>
        </is>
      </c>
      <c r="C49" s="16" t="inlineStr">
        <is>
          <t>Fija</t>
        </is>
      </c>
      <c r="D49" s="16" t="inlineStr">
        <is>
          <t>0.5</t>
        </is>
      </c>
      <c r="E49" s="16" t="n"/>
      <c r="F49" s="16" t="inlineStr">
        <is>
          <t>sí</t>
        </is>
      </c>
      <c r="G49" s="16" t="inlineStr">
        <is>
          <t>–</t>
        </is>
      </c>
    </row>
    <row r="50">
      <c r="A50" s="16" t="inlineStr">
        <is>
          <t>2.3c · ε_HRVG × P_baja</t>
        </is>
      </c>
      <c r="B50" s="16" t="inlineStr">
        <is>
          <t>Flujo másico base, m_b [kg/s]</t>
        </is>
      </c>
      <c r="C50" s="16" t="inlineStr">
        <is>
          <t>Fija</t>
        </is>
      </c>
      <c r="D50" s="16" t="inlineStr">
        <is>
          <t>1.0</t>
        </is>
      </c>
      <c r="E50" s="16" t="n"/>
      <c r="F50" s="16" t="inlineStr">
        <is>
          <t>sí</t>
        </is>
      </c>
      <c r="G50" s="16" t="inlineStr">
        <is>
          <t>kg/s</t>
        </is>
      </c>
    </row>
    <row r="51">
      <c r="A51" s="16" t="inlineStr">
        <is>
          <t>2.3c · ε_HRVG × P_baja</t>
        </is>
      </c>
      <c r="B51" s="16" t="inlineStr">
        <is>
          <t>Eficiencia isentrópica de la turbina, η_t [–]</t>
        </is>
      </c>
      <c r="C51" s="16" t="inlineStr">
        <is>
          <t>Fija</t>
        </is>
      </c>
      <c r="D51" s="16" t="inlineStr">
        <is>
          <t>0.85</t>
        </is>
      </c>
      <c r="E51" s="16" t="n"/>
      <c r="F51" s="16" t="inlineStr">
        <is>
          <t>sí</t>
        </is>
      </c>
      <c r="G51" s="16" t="inlineStr">
        <is>
          <t>–</t>
        </is>
      </c>
    </row>
    <row r="52">
      <c r="A52" s="16" t="inlineStr">
        <is>
          <t>2.3c · ε_HRVG × P_baja</t>
        </is>
      </c>
      <c r="B52" s="16" t="inlineStr">
        <is>
          <t>Eficiencia isentrópica de la bomba, η_p [–]</t>
        </is>
      </c>
      <c r="C52" s="16" t="inlineStr">
        <is>
          <t>Fija</t>
        </is>
      </c>
      <c r="D52" s="16" t="inlineStr">
        <is>
          <t>0.75</t>
        </is>
      </c>
      <c r="E52" s="16" t="n"/>
      <c r="F52" s="16" t="inlineStr">
        <is>
          <t>sí</t>
        </is>
      </c>
      <c r="G52" s="16" t="inlineStr">
        <is>
          <t>–</t>
        </is>
      </c>
    </row>
    <row r="53">
      <c r="A53" s="16" t="inlineStr">
        <is>
          <t>2.3c · ε_HRVG × P_baja</t>
        </is>
      </c>
      <c r="B53" s="16" t="inlineStr">
        <is>
          <t>Efectividad del generador de vapor, ε_HRVG [–]</t>
        </is>
      </c>
      <c r="C53" s="16" t="inlineStr">
        <is>
          <t>Barrida</t>
        </is>
      </c>
      <c r="D53" s="16" t="inlineStr">
        <is>
          <t>0.400 – 0.700</t>
        </is>
      </c>
      <c r="E53" s="16" t="n">
        <v>4</v>
      </c>
      <c r="F53" s="16" t="n"/>
      <c r="G53" s="16" t="inlineStr">
        <is>
          <t>–</t>
        </is>
      </c>
    </row>
    <row r="54">
      <c r="A54" s="16" t="inlineStr">
        <is>
          <t>2.3c · ε_HRVG × P_baja</t>
        </is>
      </c>
      <c r="B54" s="16" t="inlineStr">
        <is>
          <t>Efectividad del regenerador, ε_reg [–]</t>
        </is>
      </c>
      <c r="C54" s="16" t="inlineStr">
        <is>
          <t>Fija</t>
        </is>
      </c>
      <c r="D54" s="16" t="inlineStr">
        <is>
          <t>0.75</t>
        </is>
      </c>
      <c r="E54" s="16" t="n"/>
      <c r="F54" s="16" t="inlineStr">
        <is>
          <t>sí</t>
        </is>
      </c>
      <c r="G54" s="16" t="inlineStr">
        <is>
          <t>–</t>
        </is>
      </c>
    </row>
    <row r="55">
      <c r="A55" s="16" t="inlineStr">
        <is>
          <t>2.3c · ε_HRVG × P_baja</t>
        </is>
      </c>
      <c r="B55" s="16" t="inlineStr">
        <is>
          <t>Efectividad del condensador, ε_cond [–]</t>
        </is>
      </c>
      <c r="C55" s="16" t="inlineStr">
        <is>
          <t>Fija</t>
        </is>
      </c>
      <c r="D55" s="16" t="inlineStr">
        <is>
          <t>0.8</t>
        </is>
      </c>
      <c r="E55" s="16" t="n"/>
      <c r="F55" s="16" t="inlineStr">
        <is>
          <t>sí</t>
        </is>
      </c>
      <c r="G55" s="16" t="inlineStr">
        <is>
          <t>–</t>
        </is>
      </c>
    </row>
    <row r="56">
      <c r="A56" s="16" t="inlineStr">
        <is>
          <t>2.3c · ε_HRVG × P_baja</t>
        </is>
      </c>
      <c r="B56" s="16" t="inlineStr">
        <is>
          <t>Piso de O2 (T de diseño de la bomba) [K]</t>
        </is>
      </c>
      <c r="C56" s="16" t="inlineStr">
        <is>
          <t>Sin dato</t>
        </is>
      </c>
      <c r="D56" s="16" t="n"/>
      <c r="E56" s="16" t="n"/>
      <c r="F56" s="16" t="n"/>
      <c r="G56" s="16" t="inlineStr">
        <is>
          <t>K</t>
        </is>
      </c>
    </row>
    <row r="57">
      <c r="A57" s="16" t="inlineStr">
        <is>
          <t>2.3c · ε_HRVG × P_baja</t>
        </is>
      </c>
      <c r="B57" s="16" t="inlineStr">
        <is>
          <t>motor de propiedades</t>
        </is>
      </c>
      <c r="C57" s="16" t="inlineStr">
        <is>
          <t>Fija</t>
        </is>
      </c>
      <c r="D57" s="16" t="inlineStr">
        <is>
          <t>teqp</t>
        </is>
      </c>
      <c r="E57" s="16" t="n"/>
      <c r="F57" s="16" t="n"/>
      <c r="G57" s="16" t="inlineStr">
        <is>
          <t>–</t>
        </is>
      </c>
    </row>
    <row r="58">
      <c r="A58" s="16" t="inlineStr">
        <is>
          <t>2.3d · T_fuente × ε_cond</t>
        </is>
      </c>
      <c r="B58" s="16" t="inlineStr">
        <is>
          <t>Temperatura de la fuente, T_fuente [K]</t>
        </is>
      </c>
      <c r="C58" s="16" t="inlineStr">
        <is>
          <t>Barrida</t>
        </is>
      </c>
      <c r="D58" s="16" t="inlineStr">
        <is>
          <t>403.0 – 560.0</t>
        </is>
      </c>
      <c r="E58" s="16" t="n">
        <v>7</v>
      </c>
      <c r="F58" s="16" t="n"/>
      <c r="G58" s="16" t="inlineStr">
        <is>
          <t>K</t>
        </is>
      </c>
    </row>
    <row r="59">
      <c r="A59" s="16" t="inlineStr">
        <is>
          <t>2.3d · T_fuente × ε_cond</t>
        </is>
      </c>
      <c r="B59" s="16" t="inlineStr">
        <is>
          <t>Temperatura del sumidero, T_sumidero [K]</t>
        </is>
      </c>
      <c r="C59" s="16" t="inlineStr">
        <is>
          <t>Fija</t>
        </is>
      </c>
      <c r="D59" s="16" t="inlineStr">
        <is>
          <t>300.032917</t>
        </is>
      </c>
      <c r="E59" s="16" t="n"/>
      <c r="F59" s="16" t="inlineStr">
        <is>
          <t>sí</t>
        </is>
      </c>
      <c r="G59" s="16" t="inlineStr">
        <is>
          <t>K</t>
        </is>
      </c>
    </row>
    <row r="60">
      <c r="A60" s="16" t="inlineStr">
        <is>
          <t>2.3d · T_fuente × ε_cond</t>
        </is>
      </c>
      <c r="B60" s="16" t="inlineStr">
        <is>
          <t>Presión de alta, P_alta [kPa]</t>
        </is>
      </c>
      <c r="C60" s="16" t="inlineStr">
        <is>
          <t>Fija</t>
        </is>
      </c>
      <c r="D60" s="16" t="inlineStr">
        <is>
          <t>3000.0</t>
        </is>
      </c>
      <c r="E60" s="16" t="n"/>
      <c r="F60" s="16" t="inlineStr">
        <is>
          <t>sí</t>
        </is>
      </c>
      <c r="G60" s="16" t="inlineStr">
        <is>
          <t>kPa</t>
        </is>
      </c>
    </row>
    <row r="61">
      <c r="A61" s="16" t="inlineStr">
        <is>
          <t>2.3d · T_fuente × ε_cond</t>
        </is>
      </c>
      <c r="B61" s="16" t="inlineStr">
        <is>
          <t>Presión de baja, P_baja [kPa]</t>
        </is>
      </c>
      <c r="C61" s="16" t="inlineStr">
        <is>
          <t>Fija</t>
        </is>
      </c>
      <c r="D61" s="16" t="inlineStr">
        <is>
          <t>400.0</t>
        </is>
      </c>
      <c r="E61" s="16" t="n"/>
      <c r="F61" s="16" t="inlineStr">
        <is>
          <t>sí</t>
        </is>
      </c>
      <c r="G61" s="16" t="inlineStr">
        <is>
          <t>kPa</t>
        </is>
      </c>
    </row>
    <row r="62">
      <c r="A62" s="16" t="inlineStr">
        <is>
          <t>2.3d · T_fuente × ε_cond</t>
        </is>
      </c>
      <c r="B62" s="16" t="inlineStr">
        <is>
          <t>Fracción de amoníaco de la mezcla base, x_b [–]</t>
        </is>
      </c>
      <c r="C62" s="16" t="inlineStr">
        <is>
          <t>Fija</t>
        </is>
      </c>
      <c r="D62" s="16" t="inlineStr">
        <is>
          <t>0.5</t>
        </is>
      </c>
      <c r="E62" s="16" t="n"/>
      <c r="F62" s="16" t="inlineStr">
        <is>
          <t>sí</t>
        </is>
      </c>
      <c r="G62" s="16" t="inlineStr">
        <is>
          <t>–</t>
        </is>
      </c>
    </row>
    <row r="63">
      <c r="A63" s="16" t="inlineStr">
        <is>
          <t>2.3d · T_fuente × ε_cond</t>
        </is>
      </c>
      <c r="B63" s="16" t="inlineStr">
        <is>
          <t>Flujo másico base, m_b [kg/s]</t>
        </is>
      </c>
      <c r="C63" s="16" t="inlineStr">
        <is>
          <t>Fija</t>
        </is>
      </c>
      <c r="D63" s="16" t="inlineStr">
        <is>
          <t>1.0</t>
        </is>
      </c>
      <c r="E63" s="16" t="n"/>
      <c r="F63" s="16" t="inlineStr">
        <is>
          <t>sí</t>
        </is>
      </c>
      <c r="G63" s="16" t="inlineStr">
        <is>
          <t>kg/s</t>
        </is>
      </c>
    </row>
    <row r="64">
      <c r="A64" s="16" t="inlineStr">
        <is>
          <t>2.3d · T_fuente × ε_cond</t>
        </is>
      </c>
      <c r="B64" s="16" t="inlineStr">
        <is>
          <t>Eficiencia isentrópica de la turbina, η_t [–]</t>
        </is>
      </c>
      <c r="C64" s="16" t="inlineStr">
        <is>
          <t>Fija</t>
        </is>
      </c>
      <c r="D64" s="16" t="inlineStr">
        <is>
          <t>0.85</t>
        </is>
      </c>
      <c r="E64" s="16" t="n"/>
      <c r="F64" s="16" t="inlineStr">
        <is>
          <t>sí</t>
        </is>
      </c>
      <c r="G64" s="16" t="inlineStr">
        <is>
          <t>–</t>
        </is>
      </c>
    </row>
    <row r="65">
      <c r="A65" s="16" t="inlineStr">
        <is>
          <t>2.3d · T_fuente × ε_cond</t>
        </is>
      </c>
      <c r="B65" s="16" t="inlineStr">
        <is>
          <t>Eficiencia isentrópica de la bomba, η_p [–]</t>
        </is>
      </c>
      <c r="C65" s="16" t="inlineStr">
        <is>
          <t>Fija</t>
        </is>
      </c>
      <c r="D65" s="16" t="inlineStr">
        <is>
          <t>0.75</t>
        </is>
      </c>
      <c r="E65" s="16" t="n"/>
      <c r="F65" s="16" t="inlineStr">
        <is>
          <t>sí</t>
        </is>
      </c>
      <c r="G65" s="16" t="inlineStr">
        <is>
          <t>–</t>
        </is>
      </c>
    </row>
    <row r="66">
      <c r="A66" s="16" t="inlineStr">
        <is>
          <t>2.3d · T_fuente × ε_cond</t>
        </is>
      </c>
      <c r="B66" s="16" t="inlineStr">
        <is>
          <t>Efectividad del generador de vapor, ε_HRVG [–]</t>
        </is>
      </c>
      <c r="C66" s="16" t="inlineStr">
        <is>
          <t>Fija</t>
        </is>
      </c>
      <c r="D66" s="16" t="inlineStr">
        <is>
          <t>0.85</t>
        </is>
      </c>
      <c r="E66" s="16" t="n"/>
      <c r="F66" s="16" t="inlineStr">
        <is>
          <t>sí</t>
        </is>
      </c>
      <c r="G66" s="16" t="inlineStr">
        <is>
          <t>–</t>
        </is>
      </c>
    </row>
    <row r="67">
      <c r="A67" s="16" t="inlineStr">
        <is>
          <t>2.3d · T_fuente × ε_cond</t>
        </is>
      </c>
      <c r="B67" s="16" t="inlineStr">
        <is>
          <t>Efectividad del regenerador, ε_reg [–]</t>
        </is>
      </c>
      <c r="C67" s="16" t="inlineStr">
        <is>
          <t>Fija</t>
        </is>
      </c>
      <c r="D67" s="16" t="inlineStr">
        <is>
          <t>0.75</t>
        </is>
      </c>
      <c r="E67" s="16" t="n"/>
      <c r="F67" s="16" t="inlineStr">
        <is>
          <t>sí</t>
        </is>
      </c>
      <c r="G67" s="16" t="inlineStr">
        <is>
          <t>–</t>
        </is>
      </c>
    </row>
    <row r="68">
      <c r="A68" s="16" t="inlineStr">
        <is>
          <t>2.3d · T_fuente × ε_cond</t>
        </is>
      </c>
      <c r="B68" s="16" t="inlineStr">
        <is>
          <t>Efectividad del condensador, ε_cond [–]</t>
        </is>
      </c>
      <c r="C68" s="16" t="inlineStr">
        <is>
          <t>Barrida</t>
        </is>
      </c>
      <c r="D68" s="16" t="inlineStr">
        <is>
          <t>0.850 – 0.950</t>
        </is>
      </c>
      <c r="E68" s="16" t="n">
        <v>3</v>
      </c>
      <c r="F68" s="16" t="n"/>
      <c r="G68" s="16" t="inlineStr">
        <is>
          <t>–</t>
        </is>
      </c>
    </row>
    <row r="69">
      <c r="A69" s="16" t="inlineStr">
        <is>
          <t>2.3d · T_fuente × ε_cond</t>
        </is>
      </c>
      <c r="B69" s="16" t="inlineStr">
        <is>
          <t>Piso de O2 (T de diseño de la bomba) [K]</t>
        </is>
      </c>
      <c r="C69" s="16" t="inlineStr">
        <is>
          <t>Sin dato</t>
        </is>
      </c>
      <c r="D69" s="16" t="n"/>
      <c r="E69" s="16" t="n"/>
      <c r="F69" s="16" t="n"/>
      <c r="G69" s="16" t="inlineStr">
        <is>
          <t>K</t>
        </is>
      </c>
    </row>
    <row r="70">
      <c r="A70" s="16" t="inlineStr">
        <is>
          <t>2.3d · T_fuente × ε_cond</t>
        </is>
      </c>
      <c r="B70" s="16" t="inlineStr">
        <is>
          <t>motor de propiedades</t>
        </is>
      </c>
      <c r="C70" s="16" t="inlineStr">
        <is>
          <t>Fija</t>
        </is>
      </c>
      <c r="D70" s="16" t="inlineStr">
        <is>
          <t>teqp</t>
        </is>
      </c>
      <c r="E70" s="16" t="n"/>
      <c r="F70" s="16" t="n"/>
      <c r="G70" s="16" t="inlineStr">
        <is>
          <t>–</t>
        </is>
      </c>
    </row>
    <row r="72">
      <c r="A72" s="23" t="inlineStr">
        <is>
          <t>Notas: Filtro: cada parte y cada variable. n = 52 filas en la tabla. † = fuera del rango confiable (IAPWS G4-01); ‡ = falso convergido. Fuente: analisis_final/00_inventario/condiciones_por_subcaso.csv.</t>
        </is>
      </c>
    </row>
  </sheetData>
  <autoFilter ref="A18:G70"/>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2.3-2 · Corridas por parte y por clase</t>
        </is>
      </c>
    </row>
    <row r="2">
      <c r="A2" s="20" t="inlineStr">
        <is>
          <t>Estudio 2.3 · Dos cambios con η y ε en 0.40–0.95 · Partes: 2.3a, 2.3b, 2.3c, 2.3d</t>
        </is>
      </c>
    </row>
    <row r="3">
      <c r="A3" s="20" t="inlineStr">
        <is>
          <t>Punto base: PP = punto del profesor con η/ε dentro de [0.40, 0.95]</t>
        </is>
      </c>
    </row>
    <row r="4">
      <c r="A4" s="41" t="inlineStr">
        <is>
          <t>Parte 2.3a (un cambio):</t>
        </is>
      </c>
    </row>
    <row r="5">
      <c r="A5" s="21" t="inlineStr">
        <is>
          <t>Datos fijos: T_fuente = 623.15 K; T_sumidero = 300.03 K; P_alta = 3000 kPa; P_baja = 400 kPa; x_b = 0.5; m_b = 1 kg/s; motor de propiedades = teqp.</t>
        </is>
      </c>
    </row>
    <row r="6">
      <c r="A6" s="21" t="inlineStr">
        <is>
          <t>Datos barridos: η_t [0.4–0.95] (12 valores); η_p [0.4–0.95] (12 valores); ε_HRVG [0.4–0.95] (32 valores); ε_reg [0.4–0.95] (12 valores); ε_cond [0.4–0.95] (12 valores).</t>
        </is>
      </c>
    </row>
    <row r="7">
      <c r="A7" s="41" t="inlineStr">
        <is>
          <t>Parte 2.3b (ε_HRVG × ε_cond):</t>
        </is>
      </c>
    </row>
    <row r="8">
      <c r="A8" s="21" t="inlineStr">
        <is>
          <t>Datos fijos: T_fuente = 623.15 K; T_sumidero = 300.03 K; P_alta = 3000 kPa; P_baja = 400 kPa; x_b = 0.5; m_b = 1 kg/s; η_t = 0.85; η_p = 0.75; ε_reg = 0.75; motor de propiedades = teqp.</t>
        </is>
      </c>
    </row>
    <row r="9">
      <c r="A9" s="21" t="inlineStr">
        <is>
          <t>Datos barridos: ε_HRVG [0.4–0.8] (5 valores); ε_cond [0.4–0.95] (12 valores).</t>
        </is>
      </c>
    </row>
    <row r="10">
      <c r="A10" s="41" t="inlineStr">
        <is>
          <t>Parte 2.3c (ε_HRVG × P_baja):</t>
        </is>
      </c>
    </row>
    <row r="11">
      <c r="A11" s="21" t="inlineStr">
        <is>
          <t>Datos fijos: T_fuente = 623.15 K; T_sumidero = 300.03 K; P_alta = 3000 kPa; x_b = 0.5; m_b = 1 kg/s; η_t = 0.85; η_p = 0.75; ε_reg = 0.75; ε_cond = 0.8; motor de propiedades = teqp.</t>
        </is>
      </c>
    </row>
    <row r="12">
      <c r="A12" s="21" t="inlineStr">
        <is>
          <t>Datos barridos: P_baja [400–2000] kPa (20 valores); ε_HRVG [0.4–0.7] (4 valores).</t>
        </is>
      </c>
    </row>
    <row r="13">
      <c r="A13" s="41" t="inlineStr">
        <is>
          <t>Parte 2.3d (T_fuente × ε_cond):</t>
        </is>
      </c>
    </row>
    <row r="14">
      <c r="A14" s="21" t="inlineStr">
        <is>
          <t>Datos fijos: T_sumidero = 300.03 K; P_alta = 3000 kPa; P_baja = 400 kPa; x_b = 0.5; m_b = 1 kg/s; η_t = 0.85; η_p = 0.75; ε_HRVG = 0.85; ε_reg = 0.75; motor de propiedades = teqp.</t>
        </is>
      </c>
    </row>
    <row r="15">
      <c r="A15" s="21" t="inlineStr">
        <is>
          <t>Datos barridos: T_fuente [403–560] K (7 valores); ε_cond [0.85–0.95] (3 valores).</t>
        </is>
      </c>
    </row>
    <row r="16">
      <c r="A16" s="20" t="inlineStr">
        <is>
          <t>Fuente: analisis_final/00_inventario/conteo_por_subcaso.csv</t>
        </is>
      </c>
    </row>
    <row r="18">
      <c r="A18" s="22" t="inlineStr">
        <is>
          <t>Parte</t>
        </is>
      </c>
      <c r="B18" s="22" t="inlineStr">
        <is>
          <t>Corridas</t>
        </is>
      </c>
      <c r="C18" s="22" t="inlineStr">
        <is>
          <t>Omitidos</t>
        </is>
      </c>
      <c r="D18" s="22" t="inlineStr">
        <is>
          <t>Genuinos</t>
        </is>
      </c>
      <c r="E18" s="22" t="inlineStr">
        <is>
          <t>KALINA</t>
        </is>
      </c>
      <c r="F18" s="22" t="inlineStr">
        <is>
          <t>KALINA confiables</t>
        </is>
      </c>
      <c r="G18" s="22" t="inlineStr">
        <is>
          <t>Corregibles</t>
        </is>
      </c>
      <c r="H18" s="22" t="inlineStr">
        <is>
          <t>Inviables</t>
        </is>
      </c>
      <c r="I18" s="22" t="inlineStr">
        <is>
          <t>No convergidos</t>
        </is>
      </c>
      <c r="J18" s="22" t="inlineStr">
        <is>
          <t>Falsos convergidos</t>
        </is>
      </c>
      <c r="K18" s="22" t="inlineStr">
        <is>
          <t>Fuera de rango</t>
        </is>
      </c>
    </row>
    <row r="19">
      <c r="A19" s="16" t="inlineStr">
        <is>
          <t>2.3a · un cambio</t>
        </is>
      </c>
      <c r="B19" s="16" t="n">
        <v>80</v>
      </c>
      <c r="C19" s="16" t="n">
        <v>0</v>
      </c>
      <c r="D19" s="16" t="n">
        <v>24</v>
      </c>
      <c r="E19" s="16" t="n">
        <v>0</v>
      </c>
      <c r="F19" s="16" t="n">
        <v>0</v>
      </c>
      <c r="G19" s="16" t="n">
        <v>24</v>
      </c>
      <c r="H19" s="16" t="n">
        <v>0</v>
      </c>
      <c r="I19" s="16" t="n">
        <v>52</v>
      </c>
      <c r="J19" s="16" t="n">
        <v>4</v>
      </c>
      <c r="K19" s="16" t="n">
        <v>28</v>
      </c>
    </row>
    <row r="20">
      <c r="A20" s="16" t="inlineStr">
        <is>
          <t>2.3b · ε_HRVG × ε_cond</t>
        </is>
      </c>
      <c r="B20" s="16" t="n">
        <v>60</v>
      </c>
      <c r="C20" s="16" t="n">
        <v>0</v>
      </c>
      <c r="D20" s="16" t="n">
        <v>48</v>
      </c>
      <c r="E20" s="16" t="n">
        <v>0</v>
      </c>
      <c r="F20" s="16" t="n">
        <v>0</v>
      </c>
      <c r="G20" s="16" t="n">
        <v>48</v>
      </c>
      <c r="H20" s="16" t="n">
        <v>0</v>
      </c>
      <c r="I20" s="16" t="n">
        <v>12</v>
      </c>
      <c r="J20" s="16" t="n">
        <v>0</v>
      </c>
      <c r="K20" s="16" t="n">
        <v>48</v>
      </c>
    </row>
    <row r="21">
      <c r="A21" s="16" t="inlineStr">
        <is>
          <t>2.3c · ε_HRVG × P_baja</t>
        </is>
      </c>
      <c r="B21" s="16" t="n">
        <v>64</v>
      </c>
      <c r="C21" s="16" t="n">
        <v>0</v>
      </c>
      <c r="D21" s="16" t="n">
        <v>62</v>
      </c>
      <c r="E21" s="16" t="n">
        <v>19</v>
      </c>
      <c r="F21" s="16" t="n">
        <v>0</v>
      </c>
      <c r="G21" s="16" t="n">
        <v>43</v>
      </c>
      <c r="H21" s="16" t="n">
        <v>0</v>
      </c>
      <c r="I21" s="16" t="n">
        <v>2</v>
      </c>
      <c r="J21" s="16" t="n">
        <v>0</v>
      </c>
      <c r="K21" s="16" t="n">
        <v>62</v>
      </c>
    </row>
    <row r="22">
      <c r="A22" s="16" t="inlineStr">
        <is>
          <t>2.3d · T_fuente × ε_cond</t>
        </is>
      </c>
      <c r="B22" s="16" t="n">
        <v>21</v>
      </c>
      <c r="C22" s="16" t="n">
        <v>0</v>
      </c>
      <c r="D22" s="16" t="n">
        <v>20</v>
      </c>
      <c r="E22" s="16" t="n">
        <v>1</v>
      </c>
      <c r="F22" s="16" t="n">
        <v>1</v>
      </c>
      <c r="G22" s="16" t="n">
        <v>18</v>
      </c>
      <c r="H22" s="16" t="n">
        <v>1</v>
      </c>
      <c r="I22" s="16" t="n">
        <v>1</v>
      </c>
      <c r="J22" s="16" t="n">
        <v>0</v>
      </c>
      <c r="K22" s="16" t="n">
        <v>14</v>
      </c>
    </row>
    <row r="24">
      <c r="A24" s="23" t="inlineStr">
        <is>
          <t>Notas: Filtro: conteo por parte. n = 4 filas en la tabla. † = fuera del rango confiable (IAPWS G4-01); ‡ = falso convergido. Fuente: analisis_final/00_inventario/conteo_por_subcaso.csv.</t>
        </is>
      </c>
    </row>
  </sheetData>
  <autoFilter ref="A18:K2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10" customWidth="1" min="1" max="1"/>
    <col width="12" customWidth="1" min="2" max="2"/>
    <col width="10" customWidth="1" min="3" max="3"/>
    <col width="12" customWidth="1" min="4" max="4"/>
    <col width="10" customWidth="1" min="5" max="5"/>
    <col width="10" customWidth="1" min="6" max="6"/>
    <col width="20" customWidth="1" min="7" max="7"/>
    <col width="10" customWidth="1" min="8" max="8"/>
    <col width="21" customWidth="1" min="9" max="9"/>
    <col width="21" customWidth="1" min="10" max="10"/>
    <col width="21" customWidth="1" min="11" max="11"/>
    <col width="13" customWidth="1" min="12" max="12"/>
    <col width="23" customWidth="1" min="13" max="13"/>
    <col width="23" customWidth="1" min="14" max="14"/>
    <col width="16" customWidth="1" min="15" max="15"/>
  </cols>
  <sheetData>
    <row r="1">
      <c r="A1" s="19" t="inlineStr">
        <is>
          <t>Tabla 2.3-3 · Malla con η y ε en [0.40, 0.95]</t>
        </is>
      </c>
    </row>
    <row r="2">
      <c r="A2" s="20" t="inlineStr">
        <is>
          <t>Estudio 2.3 · Dos cambios con η y ε en 0.40–0.95 · Partes: 2.3a, 2.3b, 2.3c, 2.3d</t>
        </is>
      </c>
    </row>
    <row r="3">
      <c r="A3" s="20" t="inlineStr">
        <is>
          <t>Punto base: PP = punto del profesor con η/ε dentro de [0.40, 0.95]</t>
        </is>
      </c>
    </row>
    <row r="4">
      <c r="A4" s="41" t="inlineStr">
        <is>
          <t>Parte 2.3a (un cambio):</t>
        </is>
      </c>
    </row>
    <row r="5">
      <c r="A5" s="21" t="inlineStr">
        <is>
          <t>Datos fijos: T_fuente = 623.15 K; T_sumidero = 300.03 K; P_alta = 3000 kPa; P_baja = 400 kPa; x_b = 0.5; m_b = 1 kg/s; motor de propiedades = teqp.</t>
        </is>
      </c>
    </row>
    <row r="6">
      <c r="A6" s="21" t="inlineStr">
        <is>
          <t>Datos barridos: η_t [0.4–0.95] (12 valores); η_p [0.4–0.95] (12 valores); ε_HRVG [0.4–0.95] (32 valores); ε_reg [0.4–0.95] (12 valores); ε_cond [0.4–0.95] (12 valores).</t>
        </is>
      </c>
    </row>
    <row r="7">
      <c r="A7" s="41" t="inlineStr">
        <is>
          <t>Parte 2.3b (ε_HRVG × ε_cond):</t>
        </is>
      </c>
    </row>
    <row r="8">
      <c r="A8" s="21" t="inlineStr">
        <is>
          <t>Datos fijos: T_fuente = 623.15 K; T_sumidero = 300.03 K; P_alta = 3000 kPa; P_baja = 400 kPa; x_b = 0.5; m_b = 1 kg/s; η_t = 0.85; η_p = 0.75; ε_reg = 0.75; motor de propiedades = teqp.</t>
        </is>
      </c>
    </row>
    <row r="9">
      <c r="A9" s="21" t="inlineStr">
        <is>
          <t>Datos barridos: ε_HRVG [0.4–0.8] (5 valores); ε_cond [0.4–0.95] (12 valores).</t>
        </is>
      </c>
    </row>
    <row r="10">
      <c r="A10" s="41" t="inlineStr">
        <is>
          <t>Parte 2.3c (ε_HRVG × P_baja):</t>
        </is>
      </c>
    </row>
    <row r="11">
      <c r="A11" s="21" t="inlineStr">
        <is>
          <t>Datos fijos: T_fuente = 623.15 K; T_sumidero = 300.03 K; P_alta = 3000 kPa; x_b = 0.5; m_b = 1 kg/s; η_t = 0.85; η_p = 0.75; ε_reg = 0.75; ε_cond = 0.8; motor de propiedades = teqp.</t>
        </is>
      </c>
    </row>
    <row r="12">
      <c r="A12" s="21" t="inlineStr">
        <is>
          <t>Datos barridos: P_baja [400–2000] kPa (20 valores); ε_HRVG [0.4–0.7] (4 valores).</t>
        </is>
      </c>
    </row>
    <row r="13">
      <c r="A13" s="41" t="inlineStr">
        <is>
          <t>Parte 2.3d (T_fuente × ε_cond):</t>
        </is>
      </c>
    </row>
    <row r="14">
      <c r="A14" s="21" t="inlineStr">
        <is>
          <t>Datos fijos: T_sumidero = 300.03 K; P_alta = 3000 kPa; P_baja = 400 kPa; x_b = 0.5; m_b = 1 kg/s; η_t = 0.85; η_p = 0.75; ε_HRVG = 0.85; ε_reg = 0.75; motor de propiedades = teqp.</t>
        </is>
      </c>
    </row>
    <row r="15">
      <c r="A15" s="21" t="inlineStr">
        <is>
          <t>Datos barridos: T_fuente [403–560] K (7 valores); ε_cond [0.85–0.95] (3 valores).</t>
        </is>
      </c>
    </row>
    <row r="16">
      <c r="A16" s="20" t="inlineStr">
        <is>
          <t>Fuente: resultados/2026-10-06_final_M2R/m2r_resumen.csv</t>
        </is>
      </c>
    </row>
    <row r="18">
      <c r="A18" s="22" t="inlineStr">
        <is>
          <t>Parte</t>
        </is>
      </c>
      <c r="B18" s="22" t="inlineStr">
        <is>
          <t>Variable 1</t>
        </is>
      </c>
      <c r="C18" s="22" t="inlineStr">
        <is>
          <t>Valor 1</t>
        </is>
      </c>
      <c r="D18" s="22" t="inlineStr">
        <is>
          <t>Variable 2</t>
        </is>
      </c>
      <c r="E18" s="22" t="inlineStr">
        <is>
          <t>Genuinos</t>
        </is>
      </c>
      <c r="F18" s="22" t="inlineStr">
        <is>
          <t>KALINA</t>
        </is>
      </c>
      <c r="G18" s="22" t="inlineStr">
        <is>
          <t>Falsos convergidos</t>
        </is>
      </c>
      <c r="H18" s="22" t="inlineStr">
        <is>
          <t>d menor</t>
        </is>
      </c>
      <c r="I18" s="22" t="inlineStr">
        <is>
          <t>Valor 1 del d menor</t>
        </is>
      </c>
      <c r="J18" s="22" t="inlineStr">
        <is>
          <t>Valor 2 del d menor</t>
        </is>
      </c>
      <c r="K18" s="22" t="inlineStr">
        <is>
          <t>η en el d menor [%]</t>
        </is>
      </c>
      <c r="L18" s="22" t="inlineStr">
        <is>
          <t>η mayor [%]</t>
        </is>
      </c>
      <c r="M18" s="22" t="inlineStr">
        <is>
          <t>Valor 1 de la η mayor</t>
        </is>
      </c>
      <c r="N18" s="22" t="inlineStr">
        <is>
          <t>Valor 2 de la η mayor</t>
        </is>
      </c>
      <c r="O18" s="22" t="inlineStr">
        <is>
          <t>Bloqueantes</t>
        </is>
      </c>
    </row>
    <row r="19">
      <c r="A19" s="16" t="inlineStr">
        <is>
          <t>n1</t>
        </is>
      </c>
      <c r="B19" s="16" t="inlineStr">
        <is>
          <t>ε_HRVG</t>
        </is>
      </c>
      <c r="C19" s="16" t="n"/>
      <c r="D19" s="16" t="n"/>
      <c r="E19" s="16" t="n">
        <v>24</v>
      </c>
      <c r="F19" s="16" t="n">
        <v>0</v>
      </c>
      <c r="G19" s="16" t="n">
        <v>2</v>
      </c>
      <c r="H19" s="16" t="n"/>
      <c r="I19" s="16" t="n"/>
      <c r="J19" s="16" t="n"/>
      <c r="K19" s="16" t="n"/>
      <c r="L19" s="16" t="n"/>
      <c r="M19" s="16" t="n"/>
      <c r="N19" s="16" t="n"/>
      <c r="O19" s="16" t="inlineStr">
        <is>
          <t>O2(24) · O1(4)</t>
        </is>
      </c>
    </row>
    <row r="20">
      <c r="A20" s="16" t="inlineStr">
        <is>
          <t>n1</t>
        </is>
      </c>
      <c r="B20" s="16" t="inlineStr">
        <is>
          <t>ε_reg</t>
        </is>
      </c>
      <c r="C20" s="16" t="n"/>
      <c r="D20" s="16" t="n"/>
      <c r="E20" s="16" t="n">
        <v>0</v>
      </c>
      <c r="F20" s="16" t="n">
        <v>0</v>
      </c>
      <c r="G20" s="16" t="n">
        <v>0</v>
      </c>
      <c r="H20" s="16" t="n"/>
      <c r="I20" s="16" t="n"/>
      <c r="J20" s="16" t="n"/>
      <c r="K20" s="16" t="n"/>
      <c r="L20" s="16" t="n"/>
      <c r="M20" s="16" t="n"/>
      <c r="N20" s="16" t="n"/>
      <c r="O20" s="16" t="n"/>
    </row>
    <row r="21">
      <c r="A21" s="16" t="inlineStr">
        <is>
          <t>n1</t>
        </is>
      </c>
      <c r="B21" s="16" t="inlineStr">
        <is>
          <t>ε_cond</t>
        </is>
      </c>
      <c r="C21" s="16" t="n"/>
      <c r="D21" s="16" t="n"/>
      <c r="E21" s="16" t="n">
        <v>0</v>
      </c>
      <c r="F21" s="16" t="n">
        <v>0</v>
      </c>
      <c r="G21" s="16" t="n">
        <v>2</v>
      </c>
      <c r="H21" s="16" t="n"/>
      <c r="I21" s="16" t="n"/>
      <c r="J21" s="16" t="n"/>
      <c r="K21" s="16" t="n"/>
      <c r="L21" s="16" t="n"/>
      <c r="M21" s="16" t="n"/>
      <c r="N21" s="16" t="n"/>
      <c r="O21" s="16" t="n"/>
    </row>
    <row r="22">
      <c r="A22" s="16" t="inlineStr">
        <is>
          <t>n1</t>
        </is>
      </c>
      <c r="B22" s="16" t="inlineStr">
        <is>
          <t>η_t</t>
        </is>
      </c>
      <c r="C22" s="16" t="n"/>
      <c r="D22" s="16" t="n"/>
      <c r="E22" s="16" t="n">
        <v>0</v>
      </c>
      <c r="F22" s="16" t="n">
        <v>0</v>
      </c>
      <c r="G22" s="16" t="n">
        <v>0</v>
      </c>
      <c r="H22" s="16" t="n"/>
      <c r="I22" s="16" t="n"/>
      <c r="J22" s="16" t="n"/>
      <c r="K22" s="16" t="n"/>
      <c r="L22" s="16" t="n"/>
      <c r="M22" s="16" t="n"/>
      <c r="N22" s="16" t="n"/>
      <c r="O22" s="16" t="n"/>
    </row>
    <row r="23">
      <c r="A23" s="16" t="inlineStr">
        <is>
          <t>n1</t>
        </is>
      </c>
      <c r="B23" s="16" t="inlineStr">
        <is>
          <t>η_p</t>
        </is>
      </c>
      <c r="C23" s="16" t="n"/>
      <c r="D23" s="16" t="n"/>
      <c r="E23" s="16" t="n">
        <v>0</v>
      </c>
      <c r="F23" s="16" t="n">
        <v>0</v>
      </c>
      <c r="G23" s="16" t="n">
        <v>0</v>
      </c>
      <c r="H23" s="16" t="n"/>
      <c r="I23" s="16" t="n"/>
      <c r="J23" s="16" t="n"/>
      <c r="K23" s="16" t="n"/>
      <c r="L23" s="16" t="n"/>
      <c r="M23" s="16" t="n"/>
      <c r="N23" s="16" t="n"/>
      <c r="O23" s="16" t="n"/>
    </row>
    <row r="24">
      <c r="A24" s="16" t="inlineStr">
        <is>
          <t>n2a</t>
        </is>
      </c>
      <c r="B24" s="16" t="inlineStr">
        <is>
          <t>ε_HRVG</t>
        </is>
      </c>
      <c r="C24" s="16" t="n">
        <v>0.4</v>
      </c>
      <c r="D24" s="16" t="inlineStr">
        <is>
          <t>ε_cond</t>
        </is>
      </c>
      <c r="E24" s="16" t="n">
        <v>12</v>
      </c>
      <c r="F24" s="16" t="n">
        <v>0</v>
      </c>
      <c r="G24" s="16" t="n">
        <v>0</v>
      </c>
      <c r="H24" s="16" t="n"/>
      <c r="I24" s="16" t="n"/>
      <c r="J24" s="16" t="n"/>
      <c r="K24" s="16" t="n"/>
      <c r="L24" s="16" t="n"/>
      <c r="M24" s="16" t="n"/>
      <c r="N24" s="16" t="n"/>
      <c r="O24" s="16" t="inlineStr">
        <is>
          <t>O2(12)</t>
        </is>
      </c>
    </row>
    <row r="25">
      <c r="A25" s="16" t="inlineStr">
        <is>
          <t>n2a</t>
        </is>
      </c>
      <c r="B25" s="16" t="inlineStr">
        <is>
          <t>ε_HRVG</t>
        </is>
      </c>
      <c r="C25" s="16" t="n">
        <v>0.5</v>
      </c>
      <c r="D25" s="16" t="inlineStr">
        <is>
          <t>ε_cond</t>
        </is>
      </c>
      <c r="E25" s="16" t="n">
        <v>11</v>
      </c>
      <c r="F25" s="16" t="n">
        <v>0</v>
      </c>
      <c r="G25" s="16" t="n">
        <v>0</v>
      </c>
      <c r="H25" s="16" t="n"/>
      <c r="I25" s="16" t="n"/>
      <c r="J25" s="16" t="n"/>
      <c r="K25" s="16" t="n"/>
      <c r="L25" s="16" t="n"/>
      <c r="M25" s="16" t="n"/>
      <c r="N25" s="16" t="n"/>
      <c r="O25" s="16" t="inlineStr">
        <is>
          <t>O2(11)</t>
        </is>
      </c>
    </row>
    <row r="26">
      <c r="A26" s="16" t="inlineStr">
        <is>
          <t>n2a</t>
        </is>
      </c>
      <c r="B26" s="16" t="inlineStr">
        <is>
          <t>ε_HRVG</t>
        </is>
      </c>
      <c r="C26" s="16" t="n">
        <v>0.6</v>
      </c>
      <c r="D26" s="16" t="inlineStr">
        <is>
          <t>ε_cond</t>
        </is>
      </c>
      <c r="E26" s="16" t="n">
        <v>12</v>
      </c>
      <c r="F26" s="16" t="n">
        <v>0</v>
      </c>
      <c r="G26" s="16" t="n">
        <v>0</v>
      </c>
      <c r="H26" s="16" t="n"/>
      <c r="I26" s="16" t="n"/>
      <c r="J26" s="16" t="n"/>
      <c r="K26" s="16" t="n"/>
      <c r="L26" s="16" t="n"/>
      <c r="M26" s="16" t="n"/>
      <c r="N26" s="16" t="n"/>
      <c r="O26" s="16" t="inlineStr">
        <is>
          <t>O2(12) · O1(1)</t>
        </is>
      </c>
    </row>
    <row r="27">
      <c r="A27" s="16" t="inlineStr">
        <is>
          <t>n2a</t>
        </is>
      </c>
      <c r="B27" s="16" t="inlineStr">
        <is>
          <t>ε_HRVG</t>
        </is>
      </c>
      <c r="C27" s="16" t="n">
        <v>0.7</v>
      </c>
      <c r="D27" s="16" t="inlineStr">
        <is>
          <t>ε_cond</t>
        </is>
      </c>
      <c r="E27" s="16" t="n">
        <v>9</v>
      </c>
      <c r="F27" s="16" t="n">
        <v>0</v>
      </c>
      <c r="G27" s="16" t="n">
        <v>0</v>
      </c>
      <c r="H27" s="16" t="n"/>
      <c r="I27" s="16" t="n"/>
      <c r="J27" s="16" t="n"/>
      <c r="K27" s="16" t="n"/>
      <c r="L27" s="16" t="n"/>
      <c r="M27" s="16" t="n"/>
      <c r="N27" s="16" t="n"/>
      <c r="O27" s="16" t="inlineStr">
        <is>
          <t>O2(9) · O1(3)</t>
        </is>
      </c>
    </row>
    <row r="28">
      <c r="A28" s="16" t="inlineStr">
        <is>
          <t>n2a</t>
        </is>
      </c>
      <c r="B28" s="16" t="inlineStr">
        <is>
          <t>ε_HRVG</t>
        </is>
      </c>
      <c r="C28" s="16" t="n">
        <v>0.8</v>
      </c>
      <c r="D28" s="16" t="inlineStr">
        <is>
          <t>ε_cond</t>
        </is>
      </c>
      <c r="E28" s="16" t="n">
        <v>4</v>
      </c>
      <c r="F28" s="16" t="n">
        <v>0</v>
      </c>
      <c r="G28" s="16" t="n">
        <v>0</v>
      </c>
      <c r="H28" s="16" t="n"/>
      <c r="I28" s="16" t="n"/>
      <c r="J28" s="16" t="n"/>
      <c r="K28" s="16" t="n"/>
      <c r="L28" s="16" t="n"/>
      <c r="M28" s="16" t="n"/>
      <c r="N28" s="16" t="n"/>
      <c r="O28" s="16" t="inlineStr">
        <is>
          <t>O1(4) · O2(4)</t>
        </is>
      </c>
    </row>
    <row r="29">
      <c r="A29" s="16" t="inlineStr">
        <is>
          <t>n2b</t>
        </is>
      </c>
      <c r="B29" s="16" t="inlineStr">
        <is>
          <t>ε_HRVG</t>
        </is>
      </c>
      <c r="C29" s="16" t="n">
        <v>0.4</v>
      </c>
      <c r="D29" s="16" t="inlineStr">
        <is>
          <t>P_baja</t>
        </is>
      </c>
      <c r="E29" s="16" t="n">
        <v>16</v>
      </c>
      <c r="F29" s="16" t="n">
        <v>8</v>
      </c>
      <c r="G29" s="16" t="n">
        <v>0</v>
      </c>
      <c r="H29" s="16" t="n">
        <v>1.4983</v>
      </c>
      <c r="I29" s="16" t="n">
        <v>0.4</v>
      </c>
      <c r="J29" s="16" t="n">
        <v>1318.2</v>
      </c>
      <c r="K29" s="29" t="n">
        <v>6.2705</v>
      </c>
      <c r="L29" s="29" t="n">
        <v>6.2705</v>
      </c>
      <c r="M29" s="16" t="n">
        <v>0.4</v>
      </c>
      <c r="N29" s="16" t="n">
        <v>1318.2</v>
      </c>
      <c r="O29" s="16" t="inlineStr">
        <is>
          <t>O2(8)</t>
        </is>
      </c>
    </row>
    <row r="30">
      <c r="A30" s="16" t="inlineStr">
        <is>
          <t>n2b</t>
        </is>
      </c>
      <c r="B30" s="16" t="inlineStr">
        <is>
          <t>ε_HRVG</t>
        </is>
      </c>
      <c r="C30" s="16" t="n">
        <v>0.5</v>
      </c>
      <c r="D30" s="16" t="inlineStr">
        <is>
          <t>P_baja</t>
        </is>
      </c>
      <c r="E30" s="16" t="n">
        <v>14</v>
      </c>
      <c r="F30" s="16" t="n">
        <v>5</v>
      </c>
      <c r="G30" s="16" t="n">
        <v>0</v>
      </c>
      <c r="H30" s="16" t="n">
        <v>1.6263</v>
      </c>
      <c r="I30" s="16" t="n">
        <v>0.5</v>
      </c>
      <c r="J30" s="16" t="n">
        <v>1736.4</v>
      </c>
      <c r="K30" s="29" t="n">
        <v>4.3366</v>
      </c>
      <c r="L30" s="29" t="n">
        <v>4.3366</v>
      </c>
      <c r="M30" s="16" t="n">
        <v>0.5</v>
      </c>
      <c r="N30" s="16" t="n">
        <v>1736.4</v>
      </c>
      <c r="O30" s="16" t="inlineStr">
        <is>
          <t>O2(9)</t>
        </is>
      </c>
    </row>
    <row r="31">
      <c r="A31" s="16" t="inlineStr">
        <is>
          <t>n2b</t>
        </is>
      </c>
      <c r="B31" s="16" t="inlineStr">
        <is>
          <t>ε_HRVG</t>
        </is>
      </c>
      <c r="C31" s="16" t="n">
        <v>0.6</v>
      </c>
      <c r="D31" s="16" t="inlineStr">
        <is>
          <t>P_baja</t>
        </is>
      </c>
      <c r="E31" s="16" t="n">
        <v>12</v>
      </c>
      <c r="F31" s="16" t="n">
        <v>0</v>
      </c>
      <c r="G31" s="16" t="n">
        <v>0</v>
      </c>
      <c r="H31" s="16" t="n"/>
      <c r="I31" s="16" t="n"/>
      <c r="J31" s="16" t="n"/>
      <c r="K31" s="16" t="n"/>
      <c r="L31" s="16" t="n"/>
      <c r="M31" s="16" t="n"/>
      <c r="N31" s="16" t="n"/>
      <c r="O31" s="16" t="inlineStr">
        <is>
          <t>O2(12)</t>
        </is>
      </c>
    </row>
    <row r="32">
      <c r="A32" s="16" t="inlineStr">
        <is>
          <t>n2b</t>
        </is>
      </c>
      <c r="B32" s="16" t="inlineStr">
        <is>
          <t>ε_HRVG</t>
        </is>
      </c>
      <c r="C32" s="16" t="n">
        <v>0.7</v>
      </c>
      <c r="D32" s="16" t="inlineStr">
        <is>
          <t>P_baja</t>
        </is>
      </c>
      <c r="E32" s="16" t="n">
        <v>12</v>
      </c>
      <c r="F32" s="16" t="n">
        <v>0</v>
      </c>
      <c r="G32" s="16" t="n">
        <v>0</v>
      </c>
      <c r="H32" s="16" t="n"/>
      <c r="I32" s="16" t="n"/>
      <c r="J32" s="16" t="n"/>
      <c r="K32" s="16" t="n"/>
      <c r="L32" s="16" t="n"/>
      <c r="M32" s="16" t="n"/>
      <c r="N32" s="16" t="n"/>
      <c r="O32" s="16" t="inlineStr">
        <is>
          <t>O2(12)</t>
        </is>
      </c>
    </row>
    <row r="33">
      <c r="A33" s="16" t="inlineStr">
        <is>
          <t>n3</t>
        </is>
      </c>
      <c r="B33" s="16" t="inlineStr">
        <is>
          <t>T_fuente</t>
        </is>
      </c>
      <c r="C33" s="16" t="n">
        <v>403</v>
      </c>
      <c r="D33" s="16" t="inlineStr">
        <is>
          <t>ε_cond</t>
        </is>
      </c>
      <c r="E33" s="16" t="n">
        <v>3</v>
      </c>
      <c r="F33" s="16" t="n">
        <v>1</v>
      </c>
      <c r="G33" s="16" t="n">
        <v>0</v>
      </c>
      <c r="H33" s="16" t="n">
        <v>1.0502</v>
      </c>
      <c r="I33" s="16" t="n">
        <v>403</v>
      </c>
      <c r="J33" s="16" t="n">
        <v>0.95</v>
      </c>
      <c r="K33" s="29" t="n">
        <v>9.5047</v>
      </c>
      <c r="L33" s="29" t="n">
        <v>9.5047</v>
      </c>
      <c r="M33" s="16" t="n">
        <v>403</v>
      </c>
      <c r="N33" s="16" t="n">
        <v>0.95</v>
      </c>
      <c r="O33" s="16" t="inlineStr">
        <is>
          <t>O2(2)</t>
        </is>
      </c>
    </row>
    <row r="34">
      <c r="A34" s="16" t="inlineStr">
        <is>
          <t>n3</t>
        </is>
      </c>
      <c r="B34" s="16" t="inlineStr">
        <is>
          <t>T_fuente</t>
        </is>
      </c>
      <c r="C34" s="16" t="n">
        <v>420</v>
      </c>
      <c r="D34" s="16" t="inlineStr">
        <is>
          <t>ε_cond</t>
        </is>
      </c>
      <c r="E34" s="16" t="n">
        <v>3</v>
      </c>
      <c r="F34" s="16" t="n">
        <v>0</v>
      </c>
      <c r="G34" s="16" t="n">
        <v>0</v>
      </c>
      <c r="H34" s="16" t="n"/>
      <c r="I34" s="16" t="n"/>
      <c r="J34" s="16" t="n"/>
      <c r="K34" s="16" t="n"/>
      <c r="L34" s="16" t="n"/>
      <c r="M34" s="16" t="n"/>
      <c r="N34" s="16" t="n"/>
      <c r="O34" s="16" t="inlineStr">
        <is>
          <t>O2(3) · S3(1)</t>
        </is>
      </c>
    </row>
    <row r="35">
      <c r="A35" s="16" t="inlineStr">
        <is>
          <t>n3</t>
        </is>
      </c>
      <c r="B35" s="16" t="inlineStr">
        <is>
          <t>T_fuente</t>
        </is>
      </c>
      <c r="C35" s="16" t="n">
        <v>434</v>
      </c>
      <c r="D35" s="16" t="inlineStr">
        <is>
          <t>ε_cond</t>
        </is>
      </c>
      <c r="E35" s="16" t="n">
        <v>3</v>
      </c>
      <c r="F35" s="16" t="n">
        <v>0</v>
      </c>
      <c r="G35" s="16" t="n">
        <v>0</v>
      </c>
      <c r="H35" s="16" t="n"/>
      <c r="I35" s="16" t="n"/>
      <c r="J35" s="16" t="n"/>
      <c r="K35" s="16" t="n"/>
      <c r="L35" s="16" t="n"/>
      <c r="M35" s="16" t="n"/>
      <c r="N35" s="16" t="n"/>
      <c r="O35" s="16" t="inlineStr">
        <is>
          <t>O2(3)</t>
        </is>
      </c>
    </row>
    <row r="36">
      <c r="A36" s="16" t="inlineStr">
        <is>
          <t>n3</t>
        </is>
      </c>
      <c r="B36" s="16" t="inlineStr">
        <is>
          <t>T_fuente</t>
        </is>
      </c>
      <c r="C36" s="16" t="n">
        <v>466</v>
      </c>
      <c r="D36" s="16" t="inlineStr">
        <is>
          <t>ε_cond</t>
        </is>
      </c>
      <c r="E36" s="16" t="n">
        <v>3</v>
      </c>
      <c r="F36" s="16" t="n">
        <v>0</v>
      </c>
      <c r="G36" s="16" t="n">
        <v>0</v>
      </c>
      <c r="H36" s="16" t="n"/>
      <c r="I36" s="16" t="n"/>
      <c r="J36" s="16" t="n"/>
      <c r="K36" s="16" t="n"/>
      <c r="L36" s="16" t="n"/>
      <c r="M36" s="16" t="n"/>
      <c r="N36" s="16" t="n"/>
      <c r="O36" s="16" t="inlineStr">
        <is>
          <t>O2(3)</t>
        </is>
      </c>
    </row>
    <row r="37">
      <c r="A37" s="16" t="inlineStr">
        <is>
          <t>n3</t>
        </is>
      </c>
      <c r="B37" s="16" t="inlineStr">
        <is>
          <t>T_fuente</t>
        </is>
      </c>
      <c r="C37" s="16" t="n">
        <v>497</v>
      </c>
      <c r="D37" s="16" t="inlineStr">
        <is>
          <t>ε_cond</t>
        </is>
      </c>
      <c r="E37" s="16" t="n">
        <v>2</v>
      </c>
      <c r="F37" s="16" t="n">
        <v>0</v>
      </c>
      <c r="G37" s="16" t="n">
        <v>0</v>
      </c>
      <c r="H37" s="16" t="n"/>
      <c r="I37" s="16" t="n"/>
      <c r="J37" s="16" t="n"/>
      <c r="K37" s="16" t="n"/>
      <c r="L37" s="16" t="n"/>
      <c r="M37" s="16" t="n"/>
      <c r="N37" s="16" t="n"/>
      <c r="O37" s="16" t="inlineStr">
        <is>
          <t>O2(2)</t>
        </is>
      </c>
    </row>
    <row r="38">
      <c r="A38" s="16" t="inlineStr">
        <is>
          <t>n3</t>
        </is>
      </c>
      <c r="B38" s="16" t="inlineStr">
        <is>
          <t>T_fuente</t>
        </is>
      </c>
      <c r="C38" s="16" t="n">
        <v>529</v>
      </c>
      <c r="D38" s="16" t="inlineStr">
        <is>
          <t>ε_cond</t>
        </is>
      </c>
      <c r="E38" s="16" t="n">
        <v>3</v>
      </c>
      <c r="F38" s="16" t="n">
        <v>0</v>
      </c>
      <c r="G38" s="16" t="n">
        <v>0</v>
      </c>
      <c r="H38" s="16" t="n"/>
      <c r="I38" s="16" t="n"/>
      <c r="J38" s="16" t="n"/>
      <c r="K38" s="16" t="n"/>
      <c r="L38" s="16" t="n"/>
      <c r="M38" s="16" t="n"/>
      <c r="N38" s="16" t="n"/>
      <c r="O38" s="16" t="inlineStr">
        <is>
          <t>O2(3) · O1(2)</t>
        </is>
      </c>
    </row>
    <row r="39">
      <c r="A39" s="16" t="inlineStr">
        <is>
          <t>n3</t>
        </is>
      </c>
      <c r="B39" s="16" t="inlineStr">
        <is>
          <t>T_fuente</t>
        </is>
      </c>
      <c r="C39" s="16" t="n">
        <v>560</v>
      </c>
      <c r="D39" s="16" t="inlineStr">
        <is>
          <t>ε_cond</t>
        </is>
      </c>
      <c r="E39" s="16" t="n">
        <v>3</v>
      </c>
      <c r="F39" s="16" t="n">
        <v>0</v>
      </c>
      <c r="G39" s="16" t="n">
        <v>0</v>
      </c>
      <c r="H39" s="16" t="n"/>
      <c r="I39" s="16" t="n"/>
      <c r="J39" s="16" t="n"/>
      <c r="K39" s="16" t="n"/>
      <c r="L39" s="16" t="n"/>
      <c r="M39" s="16" t="n"/>
      <c r="N39" s="16" t="n"/>
      <c r="O39" s="16" t="inlineStr">
        <is>
          <t>O1(3) · O2(3)</t>
        </is>
      </c>
    </row>
    <row r="41">
      <c r="A41" s="23" t="inlineStr">
        <is>
          <t>Notas: Filtro: todos los puntos de la malla. n = 21 filas en la tabla. † = fuera del rango confiable (IAPWS G4-01); ‡ = falso convergido. Fuente: resultados/2026-10-06_final_M2R/m2r_resumen.csv.</t>
        </is>
      </c>
    </row>
  </sheetData>
  <autoFilter ref="A18:O3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271"/>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2.3 · Dos cambios con η y ε en 0.40–0.95</t>
        </is>
      </c>
    </row>
    <row r="2">
      <c r="A2" t="inlineStr">
        <is>
          <t>Cada fila es un punto calculado (n = 225);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6">
      <c r="A6" s="33" t="inlineStr">
        <is>
          <t>Parte 2.3a · un cambio · 80 puntos</t>
        </is>
      </c>
      <c r="B6" s="31" t="n"/>
      <c r="C6" s="31" t="n"/>
      <c r="D6" s="31" t="n"/>
      <c r="E6" s="31" t="n"/>
      <c r="F6" s="31" t="n"/>
      <c r="G6" s="31" t="n"/>
      <c r="H6" s="31" t="n"/>
      <c r="I6" s="31" t="n"/>
      <c r="J6" s="31" t="n"/>
      <c r="K6" s="31" t="n"/>
    </row>
    <row r="7">
      <c r="M7" s="24" t="inlineStr">
        <is>
          <t>Figura 2.3-1 · Parte 2.3a: 0 KALINA con η y ε en [0.40, 0.95]</t>
        </is>
      </c>
    </row>
    <row r="8">
      <c r="A8" s="34" t="inlineStr">
        <is>
          <t>Barrido de η_t [–] · 12 puntos</t>
        </is>
      </c>
    </row>
    <row r="9">
      <c r="A9" s="25" t="inlineStr">
        <is>
          <t>Fijos en este barrido: T_fuente = 623.15, T_sumidero = 300.03, P_alta = 3000, P_baja = 400, x_b = 0.5, η_p = 0.75, ε_HRVG = 0.85, ε_reg = 0.75, ε_cond = 0.8.</t>
        </is>
      </c>
    </row>
    <row r="10">
      <c r="A10" s="22" t="inlineStr">
        <is>
          <t>id_punto</t>
        </is>
      </c>
      <c r="B10" s="22" t="inlineStr">
        <is>
          <t>η_t [–]</t>
        </is>
      </c>
      <c r="C10" s="22" t="inlineStr">
        <is>
          <t>Clase</t>
        </is>
      </c>
      <c r="D10" s="22" t="inlineStr">
        <is>
          <t>η [%]</t>
        </is>
      </c>
      <c r="E10" s="22" t="inlineStr">
        <is>
          <t>W_net [kW] (m_b = 1 kg/s)</t>
        </is>
      </c>
      <c r="F10" s="22" t="inlineStr">
        <is>
          <t>ΔP [kPa]</t>
        </is>
      </c>
      <c r="G10" s="22" t="inlineStr">
        <is>
          <t>r_P [–]</t>
        </is>
      </c>
      <c r="H10" s="22" t="inlineStr">
        <is>
          <t>Fuera de rango</t>
        </is>
      </c>
    </row>
    <row r="11">
      <c r="A11" s="16" t="inlineStr">
        <is>
          <t>KF-M02R-n1-0034</t>
        </is>
      </c>
      <c r="B11" s="37" t="n">
        <v>0.4</v>
      </c>
      <c r="C11" s="32" t="inlineStr">
        <is>
          <t>No convergió</t>
        </is>
      </c>
      <c r="D11" s="29" t="inlineStr">
        <is>
          <t>—</t>
        </is>
      </c>
      <c r="E11" s="35" t="inlineStr">
        <is>
          <t>—</t>
        </is>
      </c>
      <c r="F11" s="36" t="n">
        <v>2600</v>
      </c>
      <c r="G11" s="29" t="n">
        <v>7.5</v>
      </c>
      <c r="H11" s="16" t="inlineStr">
        <is>
          <t>no</t>
        </is>
      </c>
    </row>
    <row r="12">
      <c r="A12" s="16" t="inlineStr">
        <is>
          <t>KF-M02R-n1-0035</t>
        </is>
      </c>
      <c r="B12" s="37" t="n">
        <v>0.45</v>
      </c>
      <c r="C12" s="32" t="inlineStr">
        <is>
          <t>No convergió</t>
        </is>
      </c>
      <c r="D12" s="29" t="inlineStr">
        <is>
          <t>—</t>
        </is>
      </c>
      <c r="E12" s="35" t="inlineStr">
        <is>
          <t>—</t>
        </is>
      </c>
      <c r="F12" s="36" t="n">
        <v>2600</v>
      </c>
      <c r="G12" s="29" t="n">
        <v>7.5</v>
      </c>
      <c r="H12" s="16" t="inlineStr">
        <is>
          <t>no</t>
        </is>
      </c>
    </row>
    <row r="13">
      <c r="A13" s="16" t="inlineStr">
        <is>
          <t>KF-M02R-n1-0036</t>
        </is>
      </c>
      <c r="B13" s="37" t="n">
        <v>0.5</v>
      </c>
      <c r="C13" s="32" t="inlineStr">
        <is>
          <t>No convergió</t>
        </is>
      </c>
      <c r="D13" s="29" t="inlineStr">
        <is>
          <t>—</t>
        </is>
      </c>
      <c r="E13" s="35" t="inlineStr">
        <is>
          <t>—</t>
        </is>
      </c>
      <c r="F13" s="36" t="n">
        <v>2600</v>
      </c>
      <c r="G13" s="29" t="n">
        <v>7.5</v>
      </c>
      <c r="H13" s="16" t="inlineStr">
        <is>
          <t>no</t>
        </is>
      </c>
    </row>
    <row r="14">
      <c r="A14" s="16" t="inlineStr">
        <is>
          <t>KF-M02R-n1-0039</t>
        </is>
      </c>
      <c r="B14" s="37" t="n">
        <v>0.55</v>
      </c>
      <c r="C14" s="32" t="inlineStr">
        <is>
          <t>No convergió</t>
        </is>
      </c>
      <c r="D14" s="29" t="inlineStr">
        <is>
          <t>—</t>
        </is>
      </c>
      <c r="E14" s="35" t="inlineStr">
        <is>
          <t>—</t>
        </is>
      </c>
      <c r="F14" s="36" t="n">
        <v>2600</v>
      </c>
      <c r="G14" s="29" t="n">
        <v>7.5</v>
      </c>
      <c r="H14" s="16" t="inlineStr">
        <is>
          <t>no</t>
        </is>
      </c>
    </row>
    <row r="15">
      <c r="A15" s="16" t="inlineStr">
        <is>
          <t>KF-M02R-n1-0040</t>
        </is>
      </c>
      <c r="B15" s="37" t="n">
        <v>0.6</v>
      </c>
      <c r="C15" s="32" t="inlineStr">
        <is>
          <t>No convergió</t>
        </is>
      </c>
      <c r="D15" s="29" t="inlineStr">
        <is>
          <t>—</t>
        </is>
      </c>
      <c r="E15" s="35" t="inlineStr">
        <is>
          <t>—</t>
        </is>
      </c>
      <c r="F15" s="36" t="n">
        <v>2600</v>
      </c>
      <c r="G15" s="29" t="n">
        <v>7.5</v>
      </c>
      <c r="H15" s="16" t="inlineStr">
        <is>
          <t>no</t>
        </is>
      </c>
    </row>
    <row r="16">
      <c r="A16" s="16" t="inlineStr">
        <is>
          <t>KF-M02R-n1-0041</t>
        </is>
      </c>
      <c r="B16" s="37" t="n">
        <v>0.65</v>
      </c>
      <c r="C16" s="32" t="inlineStr">
        <is>
          <t>No convergió</t>
        </is>
      </c>
      <c r="D16" s="29" t="inlineStr">
        <is>
          <t>—</t>
        </is>
      </c>
      <c r="E16" s="35" t="inlineStr">
        <is>
          <t>—</t>
        </is>
      </c>
      <c r="F16" s="36" t="n">
        <v>2600</v>
      </c>
      <c r="G16" s="29" t="n">
        <v>7.5</v>
      </c>
      <c r="H16" s="16" t="inlineStr">
        <is>
          <t>no</t>
        </is>
      </c>
    </row>
    <row r="17">
      <c r="A17" s="16" t="inlineStr">
        <is>
          <t>KF-M02R-n1-0042</t>
        </is>
      </c>
      <c r="B17" s="37" t="n">
        <v>0.7</v>
      </c>
      <c r="C17" s="32" t="inlineStr">
        <is>
          <t>No convergió</t>
        </is>
      </c>
      <c r="D17" s="29" t="inlineStr">
        <is>
          <t>—</t>
        </is>
      </c>
      <c r="E17" s="35" t="inlineStr">
        <is>
          <t>—</t>
        </is>
      </c>
      <c r="F17" s="36" t="n">
        <v>2600</v>
      </c>
      <c r="G17" s="29" t="n">
        <v>7.5</v>
      </c>
      <c r="H17" s="16" t="inlineStr">
        <is>
          <t>no</t>
        </is>
      </c>
    </row>
    <row r="18">
      <c r="A18" s="16" t="inlineStr">
        <is>
          <t>KF-M02R-n1-0043</t>
        </is>
      </c>
      <c r="B18" s="37" t="n">
        <v>0.75</v>
      </c>
      <c r="C18" s="32" t="inlineStr">
        <is>
          <t>No convergió</t>
        </is>
      </c>
      <c r="D18" s="29" t="inlineStr">
        <is>
          <t>—</t>
        </is>
      </c>
      <c r="E18" s="35" t="inlineStr">
        <is>
          <t>—</t>
        </is>
      </c>
      <c r="F18" s="36" t="n">
        <v>2600</v>
      </c>
      <c r="G18" s="29" t="n">
        <v>7.5</v>
      </c>
      <c r="H18" s="16" t="inlineStr">
        <is>
          <t>no</t>
        </is>
      </c>
    </row>
    <row r="19">
      <c r="A19" s="16" t="inlineStr">
        <is>
          <t>KF-M02R-n1-0044</t>
        </is>
      </c>
      <c r="B19" s="37" t="n">
        <v>0.8</v>
      </c>
      <c r="C19" s="32" t="inlineStr">
        <is>
          <t>No convergió</t>
        </is>
      </c>
      <c r="D19" s="29" t="inlineStr">
        <is>
          <t>—</t>
        </is>
      </c>
      <c r="E19" s="35" t="inlineStr">
        <is>
          <t>—</t>
        </is>
      </c>
      <c r="F19" s="36" t="n">
        <v>2600</v>
      </c>
      <c r="G19" s="29" t="n">
        <v>7.5</v>
      </c>
      <c r="H19" s="16" t="inlineStr">
        <is>
          <t>no</t>
        </is>
      </c>
    </row>
    <row r="20">
      <c r="A20" s="16" t="inlineStr">
        <is>
          <t>KF-M02R-n1-0045</t>
        </is>
      </c>
      <c r="B20" s="37" t="n">
        <v>0.85</v>
      </c>
      <c r="C20" s="32" t="inlineStr">
        <is>
          <t>No convergió</t>
        </is>
      </c>
      <c r="D20" s="29" t="inlineStr">
        <is>
          <t>—</t>
        </is>
      </c>
      <c r="E20" s="35" t="inlineStr">
        <is>
          <t>—</t>
        </is>
      </c>
      <c r="F20" s="36" t="n">
        <v>2600</v>
      </c>
      <c r="G20" s="29" t="n">
        <v>7.5</v>
      </c>
      <c r="H20" s="16" t="inlineStr">
        <is>
          <t>no</t>
        </is>
      </c>
    </row>
    <row r="21">
      <c r="A21" s="16" t="inlineStr">
        <is>
          <t>KF-M02R-n1-0046</t>
        </is>
      </c>
      <c r="B21" s="37" t="n">
        <v>0.8999999999999999</v>
      </c>
      <c r="C21" s="32" t="inlineStr">
        <is>
          <t>No convergió</t>
        </is>
      </c>
      <c r="D21" s="29" t="inlineStr">
        <is>
          <t>—</t>
        </is>
      </c>
      <c r="E21" s="35" t="inlineStr">
        <is>
          <t>—</t>
        </is>
      </c>
      <c r="F21" s="36" t="n">
        <v>2600</v>
      </c>
      <c r="G21" s="29" t="n">
        <v>7.5</v>
      </c>
      <c r="H21" s="16" t="inlineStr">
        <is>
          <t>no</t>
        </is>
      </c>
    </row>
    <row r="22">
      <c r="A22" s="16" t="inlineStr">
        <is>
          <t>KF-M02R-n1-0047</t>
        </is>
      </c>
      <c r="B22" s="37" t="n">
        <v>0.95</v>
      </c>
      <c r="C22" s="32" t="inlineStr">
        <is>
          <t>No convergió</t>
        </is>
      </c>
      <c r="D22" s="29" t="inlineStr">
        <is>
          <t>—</t>
        </is>
      </c>
      <c r="E22" s="35" t="inlineStr">
        <is>
          <t>—</t>
        </is>
      </c>
      <c r="F22" s="36" t="n">
        <v>2600</v>
      </c>
      <c r="G22" s="29" t="n">
        <v>7.5</v>
      </c>
      <c r="H22" s="16" t="inlineStr">
        <is>
          <t>no</t>
        </is>
      </c>
    </row>
    <row r="23"/>
    <row r="24">
      <c r="A24" s="34" t="inlineStr">
        <is>
          <t>Barrido de η_p [–] · 12 puntos</t>
        </is>
      </c>
    </row>
    <row r="25">
      <c r="A25" s="25" t="inlineStr">
        <is>
          <t>Fijos en este barrido: T_fuente = 623.15, T_sumidero = 300.03, P_alta = 3000, P_baja = 400, x_b = 0.5, η_t = 0.85, ε_HRVG = 0.85, ε_reg = 0.75, ε_cond = 0.8.</t>
        </is>
      </c>
    </row>
    <row r="26">
      <c r="A26" s="22" t="inlineStr">
        <is>
          <t>id_punto</t>
        </is>
      </c>
      <c r="B26" s="22" t="inlineStr">
        <is>
          <t>η_p [–]</t>
        </is>
      </c>
      <c r="C26" s="22" t="inlineStr">
        <is>
          <t>Clase</t>
        </is>
      </c>
      <c r="D26" s="22" t="inlineStr">
        <is>
          <t>η [%]</t>
        </is>
      </c>
      <c r="E26" s="22" t="inlineStr">
        <is>
          <t>W_net [kW] (m_b = 1 kg/s)</t>
        </is>
      </c>
      <c r="F26" s="22" t="inlineStr">
        <is>
          <t>ΔP [kPa]</t>
        </is>
      </c>
      <c r="G26" s="22" t="inlineStr">
        <is>
          <t>r_P [–]</t>
        </is>
      </c>
      <c r="H26" s="22" t="inlineStr">
        <is>
          <t>Fuera de rango</t>
        </is>
      </c>
    </row>
    <row r="27">
      <c r="A27" s="16" t="inlineStr">
        <is>
          <t>KF-M02R-n1-0048</t>
        </is>
      </c>
      <c r="B27" s="37" t="n">
        <v>0.4</v>
      </c>
      <c r="C27" s="32" t="inlineStr">
        <is>
          <t>No convergió</t>
        </is>
      </c>
      <c r="D27" s="29" t="inlineStr">
        <is>
          <t>—</t>
        </is>
      </c>
      <c r="E27" s="35" t="inlineStr">
        <is>
          <t>—</t>
        </is>
      </c>
      <c r="F27" s="36" t="n">
        <v>2600</v>
      </c>
      <c r="G27" s="29" t="n">
        <v>7.5</v>
      </c>
      <c r="H27" s="16" t="inlineStr">
        <is>
          <t>no</t>
        </is>
      </c>
    </row>
    <row r="28">
      <c r="A28" s="16" t="inlineStr">
        <is>
          <t>KF-M02R-n1-0049</t>
        </is>
      </c>
      <c r="B28" s="37" t="n">
        <v>0.45</v>
      </c>
      <c r="C28" s="32" t="inlineStr">
        <is>
          <t>No convergió</t>
        </is>
      </c>
      <c r="D28" s="29" t="inlineStr">
        <is>
          <t>—</t>
        </is>
      </c>
      <c r="E28" s="35" t="inlineStr">
        <is>
          <t>—</t>
        </is>
      </c>
      <c r="F28" s="36" t="n">
        <v>2600</v>
      </c>
      <c r="G28" s="29" t="n">
        <v>7.5</v>
      </c>
      <c r="H28" s="16" t="inlineStr">
        <is>
          <t>no</t>
        </is>
      </c>
    </row>
    <row r="29">
      <c r="A29" s="16" t="inlineStr">
        <is>
          <t>KF-M02R-n1-0050</t>
        </is>
      </c>
      <c r="B29" s="37" t="n">
        <v>0.5</v>
      </c>
      <c r="C29" s="32" t="inlineStr">
        <is>
          <t>No convergió</t>
        </is>
      </c>
      <c r="D29" s="29" t="inlineStr">
        <is>
          <t>—</t>
        </is>
      </c>
      <c r="E29" s="35" t="inlineStr">
        <is>
          <t>—</t>
        </is>
      </c>
      <c r="F29" s="36" t="n">
        <v>2600</v>
      </c>
      <c r="G29" s="29" t="n">
        <v>7.5</v>
      </c>
      <c r="H29" s="16" t="inlineStr">
        <is>
          <t>no</t>
        </is>
      </c>
    </row>
    <row r="30">
      <c r="A30" s="16" t="inlineStr">
        <is>
          <t>KF-M02R-n1-0051</t>
        </is>
      </c>
      <c r="B30" s="37" t="n">
        <v>0.55</v>
      </c>
      <c r="C30" s="32" t="inlineStr">
        <is>
          <t>No convergió</t>
        </is>
      </c>
      <c r="D30" s="29" t="inlineStr">
        <is>
          <t>—</t>
        </is>
      </c>
      <c r="E30" s="35" t="inlineStr">
        <is>
          <t>—</t>
        </is>
      </c>
      <c r="F30" s="36" t="n">
        <v>2600</v>
      </c>
      <c r="G30" s="29" t="n">
        <v>7.5</v>
      </c>
      <c r="H30" s="16" t="inlineStr">
        <is>
          <t>no</t>
        </is>
      </c>
    </row>
    <row r="31">
      <c r="A31" s="16" t="inlineStr">
        <is>
          <t>KF-M02R-n1-0052</t>
        </is>
      </c>
      <c r="B31" s="37" t="n">
        <v>0.6</v>
      </c>
      <c r="C31" s="32" t="inlineStr">
        <is>
          <t>No convergió</t>
        </is>
      </c>
      <c r="D31" s="29" t="inlineStr">
        <is>
          <t>—</t>
        </is>
      </c>
      <c r="E31" s="35" t="inlineStr">
        <is>
          <t>—</t>
        </is>
      </c>
      <c r="F31" s="36" t="n">
        <v>2600</v>
      </c>
      <c r="G31" s="29" t="n">
        <v>7.5</v>
      </c>
      <c r="H31" s="16" t="inlineStr">
        <is>
          <t>no</t>
        </is>
      </c>
    </row>
    <row r="32">
      <c r="A32" s="16" t="inlineStr">
        <is>
          <t>KF-M02R-n1-0053</t>
        </is>
      </c>
      <c r="B32" s="37" t="n">
        <v>0.65</v>
      </c>
      <c r="C32" s="32" t="inlineStr">
        <is>
          <t>No convergió</t>
        </is>
      </c>
      <c r="D32" s="29" t="inlineStr">
        <is>
          <t>—</t>
        </is>
      </c>
      <c r="E32" s="35" t="inlineStr">
        <is>
          <t>—</t>
        </is>
      </c>
      <c r="F32" s="36" t="n">
        <v>2600</v>
      </c>
      <c r="G32" s="29" t="n">
        <v>7.5</v>
      </c>
      <c r="H32" s="16" t="inlineStr">
        <is>
          <t>no</t>
        </is>
      </c>
    </row>
    <row r="33">
      <c r="A33" s="16" t="inlineStr">
        <is>
          <t>KF-M02R-n1-0054</t>
        </is>
      </c>
      <c r="B33" s="37" t="n">
        <v>0.7</v>
      </c>
      <c r="C33" s="32" t="inlineStr">
        <is>
          <t>No convergió</t>
        </is>
      </c>
      <c r="D33" s="29" t="inlineStr">
        <is>
          <t>—</t>
        </is>
      </c>
      <c r="E33" s="35" t="inlineStr">
        <is>
          <t>—</t>
        </is>
      </c>
      <c r="F33" s="36" t="n">
        <v>2600</v>
      </c>
      <c r="G33" s="29" t="n">
        <v>7.5</v>
      </c>
      <c r="H33" s="16" t="inlineStr">
        <is>
          <t>no</t>
        </is>
      </c>
    </row>
    <row r="34">
      <c r="A34" s="16" t="inlineStr">
        <is>
          <t>KF-M02R-n1-0055</t>
        </is>
      </c>
      <c r="B34" s="37" t="n">
        <v>0.75</v>
      </c>
      <c r="C34" s="32" t="inlineStr">
        <is>
          <t>No convergió</t>
        </is>
      </c>
      <c r="D34" s="29" t="inlineStr">
        <is>
          <t>—</t>
        </is>
      </c>
      <c r="E34" s="35" t="inlineStr">
        <is>
          <t>—</t>
        </is>
      </c>
      <c r="F34" s="36" t="n">
        <v>2600</v>
      </c>
      <c r="G34" s="29" t="n">
        <v>7.5</v>
      </c>
      <c r="H34" s="16" t="inlineStr">
        <is>
          <t>no</t>
        </is>
      </c>
    </row>
    <row r="35">
      <c r="A35" s="16" t="inlineStr">
        <is>
          <t>KF-M02R-n1-0056</t>
        </is>
      </c>
      <c r="B35" s="37" t="n">
        <v>0.8</v>
      </c>
      <c r="C35" s="32" t="inlineStr">
        <is>
          <t>No convergió</t>
        </is>
      </c>
      <c r="D35" s="29" t="inlineStr">
        <is>
          <t>—</t>
        </is>
      </c>
      <c r="E35" s="35" t="inlineStr">
        <is>
          <t>—</t>
        </is>
      </c>
      <c r="F35" s="36" t="n">
        <v>2600</v>
      </c>
      <c r="G35" s="29" t="n">
        <v>7.5</v>
      </c>
      <c r="H35" s="16" t="inlineStr">
        <is>
          <t>no</t>
        </is>
      </c>
    </row>
    <row r="36">
      <c r="A36" s="16" t="inlineStr">
        <is>
          <t>KF-M02R-n1-0057</t>
        </is>
      </c>
      <c r="B36" s="37" t="n">
        <v>0.85</v>
      </c>
      <c r="C36" s="32" t="inlineStr">
        <is>
          <t>No convergió</t>
        </is>
      </c>
      <c r="D36" s="29" t="inlineStr">
        <is>
          <t>—</t>
        </is>
      </c>
      <c r="E36" s="35" t="inlineStr">
        <is>
          <t>—</t>
        </is>
      </c>
      <c r="F36" s="36" t="n">
        <v>2600</v>
      </c>
      <c r="G36" s="29" t="n">
        <v>7.5</v>
      </c>
      <c r="H36" s="16" t="inlineStr">
        <is>
          <t>no</t>
        </is>
      </c>
    </row>
    <row r="37">
      <c r="A37" s="16" t="inlineStr">
        <is>
          <t>KF-M02R-n1-0058</t>
        </is>
      </c>
      <c r="B37" s="37" t="n">
        <v>0.8999999999999999</v>
      </c>
      <c r="C37" s="32" t="inlineStr">
        <is>
          <t>No convergió</t>
        </is>
      </c>
      <c r="D37" s="29" t="inlineStr">
        <is>
          <t>—</t>
        </is>
      </c>
      <c r="E37" s="35" t="inlineStr">
        <is>
          <t>—</t>
        </is>
      </c>
      <c r="F37" s="36" t="n">
        <v>2600</v>
      </c>
      <c r="G37" s="29" t="n">
        <v>7.5</v>
      </c>
      <c r="H37" s="16" t="inlineStr">
        <is>
          <t>no</t>
        </is>
      </c>
    </row>
    <row r="38">
      <c r="A38" s="16" t="inlineStr">
        <is>
          <t>KF-M02R-n1-0059</t>
        </is>
      </c>
      <c r="B38" s="37" t="n">
        <v>0.95</v>
      </c>
      <c r="C38" s="32" t="inlineStr">
        <is>
          <t>No convergió</t>
        </is>
      </c>
      <c r="D38" s="29" t="inlineStr">
        <is>
          <t>—</t>
        </is>
      </c>
      <c r="E38" s="35" t="inlineStr">
        <is>
          <t>—</t>
        </is>
      </c>
      <c r="F38" s="36" t="n">
        <v>2600</v>
      </c>
      <c r="G38" s="29" t="n">
        <v>7.5</v>
      </c>
      <c r="H38" s="16" t="inlineStr">
        <is>
          <t>no</t>
        </is>
      </c>
    </row>
    <row r="39"/>
    <row r="40">
      <c r="A40" s="34" t="inlineStr">
        <is>
          <t>Barrido de ε_HRVG [–] · 32 puntos</t>
        </is>
      </c>
    </row>
    <row r="41">
      <c r="A41" s="25" t="inlineStr">
        <is>
          <t>Fijos en este barrido: T_fuente = 623.15, T_sumidero = 300.03, P_alta = 3000, P_baja = 400, x_b = 0.5, η_t = 0.85, η_p = 0.75, ε_reg = 0.75, ε_cond = 0.8.</t>
        </is>
      </c>
    </row>
    <row r="42">
      <c r="A42" s="25" t="inlineStr">
        <is>
          <t>Tipos de punto: bisección 20, malla 12.</t>
        </is>
      </c>
    </row>
    <row r="43">
      <c r="A43" s="22" t="inlineStr">
        <is>
          <t>id_punto</t>
        </is>
      </c>
      <c r="B43" s="22" t="inlineStr">
        <is>
          <t>ε_HRVG [–]</t>
        </is>
      </c>
      <c r="C43" s="22" t="inlineStr">
        <is>
          <t>Clase</t>
        </is>
      </c>
      <c r="D43" s="22" t="inlineStr">
        <is>
          <t>η [%]</t>
        </is>
      </c>
      <c r="E43" s="22" t="inlineStr">
        <is>
          <t>W_net [kW] (m_b = 1 kg/s)</t>
        </is>
      </c>
      <c r="F43" s="22" t="inlineStr">
        <is>
          <t>ΔP [kPa]</t>
        </is>
      </c>
      <c r="G43" s="22" t="inlineStr">
        <is>
          <t>r_P [–]</t>
        </is>
      </c>
      <c r="H43" s="22" t="inlineStr">
        <is>
          <t>Fuera de rango</t>
        </is>
      </c>
      <c r="I43" s="22" t="inlineStr">
        <is>
          <t>Criterios que falla</t>
        </is>
      </c>
      <c r="J43" s="22" t="inlineStr">
        <is>
          <t>Tipo de punto</t>
        </is>
      </c>
    </row>
    <row r="44">
      <c r="A44" s="16" t="inlineStr">
        <is>
          <t>KF-M02R-n1-0002</t>
        </is>
      </c>
      <c r="B44" s="37" t="n">
        <v>0.4</v>
      </c>
      <c r="C44" s="39" t="inlineStr">
        <is>
          <t>Corregible</t>
        </is>
      </c>
      <c r="D44" s="29" t="n">
        <v>13.31771154737231</v>
      </c>
      <c r="E44" s="35" t="n">
        <v>124.9305023358619</v>
      </c>
      <c r="F44" s="36" t="n">
        <v>2600</v>
      </c>
      <c r="G44" s="29" t="n">
        <v>7.5</v>
      </c>
      <c r="H44" s="16" t="inlineStr">
        <is>
          <t>sí</t>
        </is>
      </c>
      <c r="I44" s="16" t="inlineStr">
        <is>
          <t>O2</t>
        </is>
      </c>
      <c r="J44" s="16" t="inlineStr">
        <is>
          <t>malla</t>
        </is>
      </c>
    </row>
    <row r="45">
      <c r="A45" s="16" t="inlineStr">
        <is>
          <t>KF-M02R-n1-0004</t>
        </is>
      </c>
      <c r="B45" s="37" t="n">
        <v>0.45</v>
      </c>
      <c r="C45" s="39" t="inlineStr">
        <is>
          <t>Corregible</t>
        </is>
      </c>
      <c r="D45" s="29" t="n">
        <v>13.33244779033548</v>
      </c>
      <c r="E45" s="35" t="n">
        <v>140.2816692228818</v>
      </c>
      <c r="F45" s="36" t="n">
        <v>2600</v>
      </c>
      <c r="G45" s="29" t="n">
        <v>7.5</v>
      </c>
      <c r="H45" s="16" t="inlineStr">
        <is>
          <t>sí</t>
        </is>
      </c>
      <c r="I45" s="16" t="inlineStr">
        <is>
          <t>O2</t>
        </is>
      </c>
      <c r="J45" s="16" t="inlineStr">
        <is>
          <t>malla</t>
        </is>
      </c>
    </row>
    <row r="46">
      <c r="A46" s="16" t="inlineStr">
        <is>
          <t>KF-M02R-n1-0062</t>
        </is>
      </c>
      <c r="B46" s="37" t="n">
        <v>0.475</v>
      </c>
      <c r="C46" s="39" t="inlineStr">
        <is>
          <t>Corregible</t>
        </is>
      </c>
      <c r="D46" s="29" t="n">
        <v>13.3263989325274</v>
      </c>
      <c r="E46" s="35" t="n">
        <v>147.7954172694291</v>
      </c>
      <c r="F46" s="36" t="n">
        <v>2600</v>
      </c>
      <c r="G46" s="29" t="n">
        <v>7.5</v>
      </c>
      <c r="H46" s="16" t="inlineStr">
        <is>
          <t>sí</t>
        </is>
      </c>
      <c r="I46" s="16" t="inlineStr">
        <is>
          <t>O2</t>
        </is>
      </c>
      <c r="J46" s="16" t="inlineStr">
        <is>
          <t>bisección</t>
        </is>
      </c>
    </row>
    <row r="47">
      <c r="A47" s="16" t="inlineStr">
        <is>
          <t>KF-M02R-n1-0069</t>
        </is>
      </c>
      <c r="B47" s="37" t="n">
        <v>0.4875</v>
      </c>
      <c r="C47" s="39" t="inlineStr">
        <is>
          <t>Corregible</t>
        </is>
      </c>
      <c r="D47" s="29" t="n">
        <v>13.3209908375793</v>
      </c>
      <c r="E47" s="35" t="n">
        <v>151.5149440197881</v>
      </c>
      <c r="F47" s="36" t="n">
        <v>2600</v>
      </c>
      <c r="G47" s="29" t="n">
        <v>7.5</v>
      </c>
      <c r="H47" s="16" t="inlineStr">
        <is>
          <t>sí</t>
        </is>
      </c>
      <c r="I47" s="16" t="inlineStr">
        <is>
          <t>O2</t>
        </is>
      </c>
      <c r="J47" s="16" t="inlineStr">
        <is>
          <t>bisección</t>
        </is>
      </c>
    </row>
    <row r="48">
      <c r="A48" s="16" t="inlineStr">
        <is>
          <t>KF-M02R-n1-0074</t>
        </is>
      </c>
      <c r="B48" s="37" t="n">
        <v>0.49375</v>
      </c>
      <c r="C48" s="39" t="inlineStr">
        <is>
          <t>Corregible</t>
        </is>
      </c>
      <c r="D48" s="29" t="n">
        <v>13.31778569919696</v>
      </c>
      <c r="E48" s="35" t="n">
        <v>153.3656932576789</v>
      </c>
      <c r="F48" s="36" t="n">
        <v>2600</v>
      </c>
      <c r="G48" s="29" t="n">
        <v>7.5</v>
      </c>
      <c r="H48" s="16" t="inlineStr">
        <is>
          <t>sí</t>
        </is>
      </c>
      <c r="I48" s="16" t="inlineStr">
        <is>
          <t>O2</t>
        </is>
      </c>
      <c r="J48" s="16" t="inlineStr">
        <is>
          <t>bisección</t>
        </is>
      </c>
    </row>
    <row r="49">
      <c r="A49" s="16" t="inlineStr">
        <is>
          <t>KF-M02R-n1-0079</t>
        </is>
      </c>
      <c r="B49" s="37" t="n">
        <v>0.496875</v>
      </c>
      <c r="C49" s="39" t="inlineStr">
        <is>
          <t>Corregible</t>
        </is>
      </c>
      <c r="D49" s="29" t="n">
        <v>13.31606837895476</v>
      </c>
      <c r="E49" s="35" t="n">
        <v>154.2888504128002</v>
      </c>
      <c r="F49" s="36" t="n">
        <v>2600</v>
      </c>
      <c r="G49" s="29" t="n">
        <v>7.5</v>
      </c>
      <c r="H49" s="16" t="inlineStr">
        <is>
          <t>sí</t>
        </is>
      </c>
      <c r="I49" s="16" t="inlineStr">
        <is>
          <t>O2</t>
        </is>
      </c>
      <c r="J49" s="16" t="inlineStr">
        <is>
          <t>bisección</t>
        </is>
      </c>
    </row>
    <row r="50">
      <c r="A50" s="16" t="inlineStr">
        <is>
          <t>KF-M02R-n1-0000</t>
        </is>
      </c>
      <c r="B50" s="37" t="n">
        <v>0.5</v>
      </c>
      <c r="C50" s="32" t="inlineStr">
        <is>
          <t>No convergió</t>
        </is>
      </c>
      <c r="D50" s="29" t="inlineStr">
        <is>
          <t>—</t>
        </is>
      </c>
      <c r="E50" s="35" t="inlineStr">
        <is>
          <t>—</t>
        </is>
      </c>
      <c r="F50" s="36" t="n">
        <v>2600</v>
      </c>
      <c r="G50" s="29" t="n">
        <v>7.5</v>
      </c>
      <c r="H50" s="16" t="inlineStr">
        <is>
          <t>no</t>
        </is>
      </c>
      <c r="I50" s="16" t="n"/>
      <c r="J50" s="16" t="inlineStr">
        <is>
          <t>malla</t>
        </is>
      </c>
    </row>
    <row r="51">
      <c r="A51" s="16" t="inlineStr">
        <is>
          <t>KF-M02R-n1-0078</t>
        </is>
      </c>
      <c r="B51" s="37" t="n">
        <v>0.503125</v>
      </c>
      <c r="C51" s="39" t="inlineStr">
        <is>
          <t>Corregible</t>
        </is>
      </c>
      <c r="D51" s="29" t="n">
        <v>13.31242114230728</v>
      </c>
      <c r="E51" s="35" t="n">
        <v>156.1307951498235</v>
      </c>
      <c r="F51" s="36" t="n">
        <v>2600</v>
      </c>
      <c r="G51" s="29" t="n">
        <v>7.5</v>
      </c>
      <c r="H51" s="16" t="inlineStr">
        <is>
          <t>sí</t>
        </is>
      </c>
      <c r="I51" s="16" t="inlineStr">
        <is>
          <t>O2</t>
        </is>
      </c>
      <c r="J51" s="16" t="inlineStr">
        <is>
          <t>bisección</t>
        </is>
      </c>
    </row>
    <row r="52">
      <c r="A52" s="16" t="inlineStr">
        <is>
          <t>KF-M02R-n1-0073</t>
        </is>
      </c>
      <c r="B52" s="37" t="n">
        <v>0.50625</v>
      </c>
      <c r="C52" s="39" t="inlineStr">
        <is>
          <t>Corregible</t>
        </is>
      </c>
      <c r="D52" s="29" t="n">
        <v>13.31049410441442</v>
      </c>
      <c r="E52" s="35" t="n">
        <v>157.0495892988755</v>
      </c>
      <c r="F52" s="36" t="n">
        <v>2600</v>
      </c>
      <c r="G52" s="29" t="n">
        <v>7.5</v>
      </c>
      <c r="H52" s="16" t="inlineStr">
        <is>
          <t>sí</t>
        </is>
      </c>
      <c r="I52" s="16" t="inlineStr">
        <is>
          <t>O2</t>
        </is>
      </c>
      <c r="J52" s="16" t="inlineStr">
        <is>
          <t>bisección</t>
        </is>
      </c>
    </row>
    <row r="53">
      <c r="A53" s="16" t="inlineStr">
        <is>
          <t>KF-M02R-n1-0068</t>
        </is>
      </c>
      <c r="B53" s="37" t="n">
        <v>0.5125</v>
      </c>
      <c r="C53" s="39" t="inlineStr">
        <is>
          <t>Corregible</t>
        </is>
      </c>
      <c r="D53" s="29" t="n">
        <v>13.30644815595636</v>
      </c>
      <c r="E53" s="35" t="n">
        <v>158.8828739203024</v>
      </c>
      <c r="F53" s="36" t="n">
        <v>2600</v>
      </c>
      <c r="G53" s="29" t="n">
        <v>7.5</v>
      </c>
      <c r="H53" s="16" t="inlineStr">
        <is>
          <t>sí</t>
        </is>
      </c>
      <c r="I53" s="16" t="inlineStr">
        <is>
          <t>O2</t>
        </is>
      </c>
      <c r="J53" s="16" t="inlineStr">
        <is>
          <t>bisección</t>
        </is>
      </c>
    </row>
    <row r="54">
      <c r="A54" s="16" t="inlineStr">
        <is>
          <t>KF-M02R-n1-0063</t>
        </is>
      </c>
      <c r="B54" s="37" t="n">
        <v>0.525</v>
      </c>
      <c r="C54" s="39" t="inlineStr">
        <is>
          <t>Corregible</t>
        </is>
      </c>
      <c r="D54" s="29" t="n">
        <v>13.29765859344454</v>
      </c>
      <c r="E54" s="35" t="n">
        <v>162.532491177495</v>
      </c>
      <c r="F54" s="36" t="n">
        <v>2600</v>
      </c>
      <c r="G54" s="29" t="n">
        <v>7.5</v>
      </c>
      <c r="H54" s="16" t="inlineStr">
        <is>
          <t>sí</t>
        </is>
      </c>
      <c r="I54" s="16" t="inlineStr">
        <is>
          <t>O2</t>
        </is>
      </c>
      <c r="J54" s="16" t="inlineStr">
        <is>
          <t>bisección</t>
        </is>
      </c>
    </row>
    <row r="55">
      <c r="A55" s="16" t="inlineStr">
        <is>
          <t>KF-M02R-n1-0003</t>
        </is>
      </c>
      <c r="B55" s="37" t="n">
        <v>0.55</v>
      </c>
      <c r="C55" s="39" t="inlineStr">
        <is>
          <t>Corregible</t>
        </is>
      </c>
      <c r="D55" s="29" t="n">
        <v>13.27777004320917</v>
      </c>
      <c r="E55" s="35" t="n">
        <v>169.7656550562661</v>
      </c>
      <c r="F55" s="36" t="n">
        <v>2600</v>
      </c>
      <c r="G55" s="29" t="n">
        <v>7.5</v>
      </c>
      <c r="H55" s="16" t="inlineStr">
        <is>
          <t>sí</t>
        </is>
      </c>
      <c r="I55" s="16" t="inlineStr">
        <is>
          <t>O2</t>
        </is>
      </c>
      <c r="J55" s="16" t="inlineStr">
        <is>
          <t>malla</t>
        </is>
      </c>
    </row>
    <row r="56">
      <c r="A56" s="16" t="inlineStr">
        <is>
          <t>KF-M02R-n1-0001</t>
        </is>
      </c>
      <c r="B56" s="37" t="n">
        <v>0.6</v>
      </c>
      <c r="C56" s="39" t="inlineStr">
        <is>
          <t>Corregible</t>
        </is>
      </c>
      <c r="D56" s="29" t="n">
        <v>13.23191576952518</v>
      </c>
      <c r="E56" s="35" t="n">
        <v>183.9792929010562</v>
      </c>
      <c r="F56" s="36" t="n">
        <v>2600</v>
      </c>
      <c r="G56" s="29" t="n">
        <v>7.5</v>
      </c>
      <c r="H56" s="16" t="inlineStr">
        <is>
          <t>sí</t>
        </is>
      </c>
      <c r="I56" s="16" t="inlineStr">
        <is>
          <t>O2</t>
        </is>
      </c>
      <c r="J56" s="16" t="inlineStr">
        <is>
          <t>malla</t>
        </is>
      </c>
    </row>
    <row r="57">
      <c r="A57" s="16" t="inlineStr">
        <is>
          <t>KF-M02R-n1-0005</t>
        </is>
      </c>
      <c r="B57" s="37" t="n">
        <v>0.65</v>
      </c>
      <c r="C57" s="39" t="inlineStr">
        <is>
          <t>Corregible</t>
        </is>
      </c>
      <c r="D57" s="29" t="n">
        <v>13.18240644492343</v>
      </c>
      <c r="E57" s="35" t="n">
        <v>197.8722219438576</v>
      </c>
      <c r="F57" s="36" t="n">
        <v>2600</v>
      </c>
      <c r="G57" s="29" t="n">
        <v>7.5</v>
      </c>
      <c r="H57" s="16" t="inlineStr">
        <is>
          <t>sí</t>
        </is>
      </c>
      <c r="I57" s="16" t="inlineStr">
        <is>
          <t>O2</t>
        </is>
      </c>
      <c r="J57" s="16" t="inlineStr">
        <is>
          <t>malla</t>
        </is>
      </c>
    </row>
    <row r="58">
      <c r="A58" s="16" t="inlineStr">
        <is>
          <t>KF-M02R-n1-0067</t>
        </is>
      </c>
      <c r="B58" s="37" t="n">
        <v>0.6625000000000001</v>
      </c>
      <c r="C58" s="39" t="inlineStr">
        <is>
          <t>Corregible</t>
        </is>
      </c>
      <c r="D58" s="29" t="n">
        <v>13.16991803119069</v>
      </c>
      <c r="E58" s="35" t="n">
        <v>201.2969687712513</v>
      </c>
      <c r="F58" s="36" t="n">
        <v>2600</v>
      </c>
      <c r="G58" s="29" t="n">
        <v>7.5</v>
      </c>
      <c r="H58" s="16" t="inlineStr">
        <is>
          <t>sí</t>
        </is>
      </c>
      <c r="I58" s="16" t="inlineStr">
        <is>
          <t>O2</t>
        </is>
      </c>
      <c r="J58" s="16" t="inlineStr">
        <is>
          <t>bisección</t>
        </is>
      </c>
    </row>
    <row r="59">
      <c r="A59" s="16" t="inlineStr">
        <is>
          <t>KF-M02R-n1-0072</t>
        </is>
      </c>
      <c r="B59" s="37" t="n">
        <v>0.6687500000000001</v>
      </c>
      <c r="C59" s="39" t="inlineStr">
        <is>
          <t>Corregible</t>
        </is>
      </c>
      <c r="D59" s="29" t="n">
        <v>13.16368338763303</v>
      </c>
      <c r="E59" s="35" t="n">
        <v>203.0021492382984</v>
      </c>
      <c r="F59" s="36" t="n">
        <v>2600</v>
      </c>
      <c r="G59" s="29" t="n">
        <v>7.5</v>
      </c>
      <c r="H59" s="16" t="inlineStr">
        <is>
          <t>sí</t>
        </is>
      </c>
      <c r="I59" s="16" t="inlineStr">
        <is>
          <t>O2</t>
        </is>
      </c>
      <c r="J59" s="16" t="inlineStr">
        <is>
          <t>bisección</t>
        </is>
      </c>
    </row>
    <row r="60">
      <c r="A60" s="16" t="inlineStr">
        <is>
          <t>KF-M02R-n1-0076</t>
        </is>
      </c>
      <c r="B60" s="37" t="n">
        <v>0.671875</v>
      </c>
      <c r="C60" s="39" t="inlineStr">
        <is>
          <t>Corregible</t>
        </is>
      </c>
      <c r="D60" s="29" t="n">
        <v>13.16057362711171</v>
      </c>
      <c r="E60" s="35" t="n">
        <v>203.8529619675019</v>
      </c>
      <c r="F60" s="36" t="n">
        <v>2600</v>
      </c>
      <c r="G60" s="29" t="n">
        <v>7.5</v>
      </c>
      <c r="H60" s="16" t="inlineStr">
        <is>
          <t>sí</t>
        </is>
      </c>
      <c r="I60" s="16" t="inlineStr">
        <is>
          <t>O2</t>
        </is>
      </c>
      <c r="J60" s="16" t="inlineStr">
        <is>
          <t>bisección</t>
        </is>
      </c>
    </row>
    <row r="61">
      <c r="A61" s="16" t="inlineStr">
        <is>
          <t>KF-M02R-n1-0060</t>
        </is>
      </c>
      <c r="B61" s="37" t="n">
        <v>0.675</v>
      </c>
      <c r="C61" s="32" t="inlineStr">
        <is>
          <t>No convergió</t>
        </is>
      </c>
      <c r="D61" s="29" t="inlineStr">
        <is>
          <t>—</t>
        </is>
      </c>
      <c r="E61" s="35" t="inlineStr">
        <is>
          <t>—</t>
        </is>
      </c>
      <c r="F61" s="36" t="n">
        <v>2600</v>
      </c>
      <c r="G61" s="29" t="n">
        <v>7.5</v>
      </c>
      <c r="H61" s="16" t="inlineStr">
        <is>
          <t>no</t>
        </is>
      </c>
      <c r="I61" s="16" t="n"/>
      <c r="J61" s="16" t="inlineStr">
        <is>
          <t>bisección</t>
        </is>
      </c>
    </row>
    <row r="62">
      <c r="A62" s="16" t="inlineStr">
        <is>
          <t>KF-M02R-n1-0011</t>
        </is>
      </c>
      <c r="B62" s="37" t="n">
        <v>0.7</v>
      </c>
      <c r="C62" s="32" t="inlineStr">
        <is>
          <t>No convergió</t>
        </is>
      </c>
      <c r="D62" s="29" t="inlineStr">
        <is>
          <t>—</t>
        </is>
      </c>
      <c r="E62" s="35" t="inlineStr">
        <is>
          <t>—</t>
        </is>
      </c>
      <c r="F62" s="36" t="n">
        <v>2600</v>
      </c>
      <c r="G62" s="29" t="n">
        <v>7.5</v>
      </c>
      <c r="H62" s="16" t="inlineStr">
        <is>
          <t>no</t>
        </is>
      </c>
      <c r="I62" s="16" t="n"/>
      <c r="J62" s="16" t="inlineStr">
        <is>
          <t>malla</t>
        </is>
      </c>
    </row>
    <row r="63">
      <c r="A63" s="16" t="inlineStr">
        <is>
          <t>KF-M02R-n1-0075</t>
        </is>
      </c>
      <c r="B63" s="37" t="n">
        <v>0.703125</v>
      </c>
      <c r="C63" s="39" t="inlineStr">
        <is>
          <t>Corregible</t>
        </is>
      </c>
      <c r="D63" s="29" t="n">
        <v>13.12980335804727</v>
      </c>
      <c r="E63" s="35" t="n">
        <v>212.2959540917294</v>
      </c>
      <c r="F63" s="36" t="n">
        <v>2600</v>
      </c>
      <c r="G63" s="29" t="n">
        <v>7.5</v>
      </c>
      <c r="H63" s="16" t="inlineStr">
        <is>
          <t>sí</t>
        </is>
      </c>
      <c r="I63" s="16" t="inlineStr">
        <is>
          <t>O2</t>
        </is>
      </c>
      <c r="J63" s="16" t="inlineStr">
        <is>
          <t>bisección</t>
        </is>
      </c>
    </row>
    <row r="64">
      <c r="A64" s="16" t="inlineStr">
        <is>
          <t>KF-M02R-n1-0071</t>
        </is>
      </c>
      <c r="B64" s="37" t="n">
        <v>0.7062499999999999</v>
      </c>
      <c r="C64" s="39" t="inlineStr">
        <is>
          <t>Corregible</t>
        </is>
      </c>
      <c r="D64" s="29" t="n">
        <v>13.12677158471556</v>
      </c>
      <c r="E64" s="35" t="n">
        <v>213.133778999541</v>
      </c>
      <c r="F64" s="36" t="n">
        <v>2600</v>
      </c>
      <c r="G64" s="29" t="n">
        <v>7.5</v>
      </c>
      <c r="H64" s="16" t="inlineStr">
        <is>
          <t>sí</t>
        </is>
      </c>
      <c r="I64" s="16" t="inlineStr">
        <is>
          <t>O2</t>
        </is>
      </c>
      <c r="J64" s="16" t="inlineStr">
        <is>
          <t>bisección</t>
        </is>
      </c>
    </row>
    <row r="65">
      <c r="A65" s="16" t="inlineStr">
        <is>
          <t>KF-M02R-n1-0066</t>
        </is>
      </c>
      <c r="B65" s="37" t="n">
        <v>0.7124999999999999</v>
      </c>
      <c r="C65" s="39" t="inlineStr">
        <is>
          <t>Corregible</t>
        </is>
      </c>
      <c r="D65" s="29" t="n">
        <v>13.12073404060548</v>
      </c>
      <c r="E65" s="35" t="n">
        <v>214.8058957588257</v>
      </c>
      <c r="F65" s="36" t="n">
        <v>2600</v>
      </c>
      <c r="G65" s="29" t="n">
        <v>7.5</v>
      </c>
      <c r="H65" s="16" t="inlineStr">
        <is>
          <t>sí</t>
        </is>
      </c>
      <c r="I65" s="16" t="inlineStr">
        <is>
          <t>O2</t>
        </is>
      </c>
      <c r="J65" s="16" t="inlineStr">
        <is>
          <t>bisección</t>
        </is>
      </c>
    </row>
    <row r="66">
      <c r="A66" s="16" t="inlineStr">
        <is>
          <t>KF-M02R-n1-0061</t>
        </is>
      </c>
      <c r="B66" s="37" t="n">
        <v>0.725</v>
      </c>
      <c r="C66" s="39" t="inlineStr">
        <is>
          <t>Corregible</t>
        </is>
      </c>
      <c r="D66" s="29" t="n">
        <v>13.10879781251942</v>
      </c>
      <c r="E66" s="35" t="n">
        <v>218.136124230718</v>
      </c>
      <c r="F66" s="36" t="n">
        <v>2600</v>
      </c>
      <c r="G66" s="29" t="n">
        <v>7.5</v>
      </c>
      <c r="H66" s="16" t="inlineStr">
        <is>
          <t>sí</t>
        </is>
      </c>
      <c r="I66" s="16" t="inlineStr">
        <is>
          <t>O2</t>
        </is>
      </c>
      <c r="J66" s="16" t="inlineStr">
        <is>
          <t>bisección</t>
        </is>
      </c>
    </row>
    <row r="67">
      <c r="A67" s="16" t="inlineStr">
        <is>
          <t>KF-M02R-n1-0009</t>
        </is>
      </c>
      <c r="B67" s="37" t="n">
        <v>0.75</v>
      </c>
      <c r="C67" s="39" t="inlineStr">
        <is>
          <t>Corregible</t>
        </is>
      </c>
      <c r="D67" s="29" t="n">
        <v>13.08893763816603</v>
      </c>
      <c r="E67" s="35" t="n">
        <v>224.7695265667433</v>
      </c>
      <c r="F67" s="36" t="n">
        <v>2600</v>
      </c>
      <c r="G67" s="29" t="n">
        <v>7.5</v>
      </c>
      <c r="H67" s="16" t="inlineStr">
        <is>
          <t>sí</t>
        </is>
      </c>
      <c r="I67" s="16" t="inlineStr">
        <is>
          <t>O1,O2</t>
        </is>
      </c>
      <c r="J67" s="16" t="inlineStr">
        <is>
          <t>malla</t>
        </is>
      </c>
    </row>
    <row r="68">
      <c r="A68" s="16" t="inlineStr">
        <is>
          <t>KF-M02R-n1-0010</t>
        </is>
      </c>
      <c r="B68" s="37" t="n">
        <v>0.8</v>
      </c>
      <c r="C68" s="39" t="inlineStr">
        <is>
          <t>Corregible</t>
        </is>
      </c>
      <c r="D68" s="29" t="n">
        <v>13.05256955842212</v>
      </c>
      <c r="E68" s="35" t="n">
        <v>237.9013436150302</v>
      </c>
      <c r="F68" s="36" t="n">
        <v>2600</v>
      </c>
      <c r="G68" s="29" t="n">
        <v>7.5</v>
      </c>
      <c r="H68" s="16" t="inlineStr">
        <is>
          <t>sí</t>
        </is>
      </c>
      <c r="I68" s="16" t="inlineStr">
        <is>
          <t>O1,O2</t>
        </is>
      </c>
      <c r="J68" s="16" t="inlineStr">
        <is>
          <t>malla</t>
        </is>
      </c>
    </row>
    <row r="69">
      <c r="A69" s="16" t="inlineStr">
        <is>
          <t>KF-M02R-n1-0065</t>
        </is>
      </c>
      <c r="B69" s="37" t="n">
        <v>0.8125</v>
      </c>
      <c r="C69" s="39" t="inlineStr">
        <is>
          <t>Corregible</t>
        </is>
      </c>
      <c r="D69" s="29" t="n">
        <v>13.04454266510596</v>
      </c>
      <c r="E69" s="35" t="n">
        <v>241.1748932892872</v>
      </c>
      <c r="F69" s="36" t="n">
        <v>2600</v>
      </c>
      <c r="G69" s="29" t="n">
        <v>7.5</v>
      </c>
      <c r="H69" s="16" t="inlineStr">
        <is>
          <t>sí</t>
        </is>
      </c>
      <c r="I69" s="16" t="inlineStr">
        <is>
          <t>O1,O2</t>
        </is>
      </c>
      <c r="J69" s="16" t="inlineStr">
        <is>
          <t>bisección</t>
        </is>
      </c>
    </row>
    <row r="70">
      <c r="A70" s="16" t="inlineStr">
        <is>
          <t>KF-M02R-n1-0070</t>
        </is>
      </c>
      <c r="B70" s="37" t="n">
        <v>0.81875</v>
      </c>
      <c r="C70" s="39" t="inlineStr">
        <is>
          <t>Corregible</t>
        </is>
      </c>
      <c r="D70" s="29" t="n">
        <v>13.04068790808898</v>
      </c>
      <c r="E70" s="35" t="n">
        <v>242.8104123873236</v>
      </c>
      <c r="F70" s="36" t="n">
        <v>2600</v>
      </c>
      <c r="G70" s="29" t="n">
        <v>7.5</v>
      </c>
      <c r="H70" s="16" t="inlineStr">
        <is>
          <t>sí</t>
        </is>
      </c>
      <c r="I70" s="16" t="inlineStr">
        <is>
          <t>O1,O2</t>
        </is>
      </c>
      <c r="J70" s="16" t="inlineStr">
        <is>
          <t>bisección</t>
        </is>
      </c>
    </row>
    <row r="71">
      <c r="A71" s="16" t="inlineStr">
        <is>
          <t>KF-M02R-n1-0077</t>
        </is>
      </c>
      <c r="B71" s="37" t="n">
        <v>0.8218749999999999</v>
      </c>
      <c r="C71" s="38" t="inlineStr">
        <is>
          <t>Falso convergido</t>
        </is>
      </c>
      <c r="D71" s="29" t="inlineStr">
        <is>
          <t>—</t>
        </is>
      </c>
      <c r="E71" s="35" t="inlineStr">
        <is>
          <t>—</t>
        </is>
      </c>
      <c r="F71" s="36" t="n">
        <v>2600</v>
      </c>
      <c r="G71" s="29" t="n">
        <v>7.5</v>
      </c>
      <c r="H71" s="16" t="inlineStr">
        <is>
          <t>sí</t>
        </is>
      </c>
      <c r="I71" s="16" t="inlineStr">
        <is>
          <t>N2,O1,O2,O5,C1,C3,C3</t>
        </is>
      </c>
      <c r="J71" s="16" t="inlineStr">
        <is>
          <t>bisección</t>
        </is>
      </c>
    </row>
    <row r="72">
      <c r="A72" s="16" t="inlineStr">
        <is>
          <t>KF-M02R-n1-0064</t>
        </is>
      </c>
      <c r="B72" s="37" t="n">
        <v>0.825</v>
      </c>
      <c r="C72" s="38" t="inlineStr">
        <is>
          <t>Falso convergido</t>
        </is>
      </c>
      <c r="D72" s="29" t="inlineStr">
        <is>
          <t>—</t>
        </is>
      </c>
      <c r="E72" s="35" t="inlineStr">
        <is>
          <t>—</t>
        </is>
      </c>
      <c r="F72" s="36" t="n">
        <v>2600</v>
      </c>
      <c r="G72" s="29" t="n">
        <v>7.5</v>
      </c>
      <c r="H72" s="16" t="inlineStr">
        <is>
          <t>sí</t>
        </is>
      </c>
      <c r="I72" s="16" t="inlineStr">
        <is>
          <t>N2,O1,O2,O5,C1,C3,C3</t>
        </is>
      </c>
      <c r="J72" s="16" t="inlineStr">
        <is>
          <t>bisección</t>
        </is>
      </c>
    </row>
    <row r="73">
      <c r="A73" s="16" t="inlineStr">
        <is>
          <t>KF-M02R-n1-0008</t>
        </is>
      </c>
      <c r="B73" s="37" t="n">
        <v>0.85</v>
      </c>
      <c r="C73" s="32" t="inlineStr">
        <is>
          <t>No convergió</t>
        </is>
      </c>
      <c r="D73" s="29" t="inlineStr">
        <is>
          <t>—</t>
        </is>
      </c>
      <c r="E73" s="35" t="inlineStr">
        <is>
          <t>—</t>
        </is>
      </c>
      <c r="F73" s="36" t="n">
        <v>2600</v>
      </c>
      <c r="G73" s="29" t="n">
        <v>7.5</v>
      </c>
      <c r="H73" s="16" t="inlineStr">
        <is>
          <t>no</t>
        </is>
      </c>
      <c r="I73" s="16" t="n"/>
      <c r="J73" s="16" t="inlineStr">
        <is>
          <t>malla</t>
        </is>
      </c>
    </row>
    <row r="74">
      <c r="A74" s="16" t="inlineStr">
        <is>
          <t>KF-M02R-n1-0006</t>
        </is>
      </c>
      <c r="B74" s="37" t="n">
        <v>0.8999999999999999</v>
      </c>
      <c r="C74" s="32" t="inlineStr">
        <is>
          <t>No convergió</t>
        </is>
      </c>
      <c r="D74" s="29" t="inlineStr">
        <is>
          <t>—</t>
        </is>
      </c>
      <c r="E74" s="35" t="inlineStr">
        <is>
          <t>—</t>
        </is>
      </c>
      <c r="F74" s="36" t="n">
        <v>2600</v>
      </c>
      <c r="G74" s="29" t="n">
        <v>7.5</v>
      </c>
      <c r="H74" s="16" t="inlineStr">
        <is>
          <t>no</t>
        </is>
      </c>
      <c r="I74" s="16" t="n"/>
      <c r="J74" s="16" t="inlineStr">
        <is>
          <t>malla</t>
        </is>
      </c>
    </row>
    <row r="75">
      <c r="A75" s="16" t="inlineStr">
        <is>
          <t>KF-M02R-n1-0007</t>
        </is>
      </c>
      <c r="B75" s="37" t="n">
        <v>0.95</v>
      </c>
      <c r="C75" s="32" t="inlineStr">
        <is>
          <t>No convergió</t>
        </is>
      </c>
      <c r="D75" s="29" t="inlineStr">
        <is>
          <t>—</t>
        </is>
      </c>
      <c r="E75" s="35" t="inlineStr">
        <is>
          <t>—</t>
        </is>
      </c>
      <c r="F75" s="36" t="n">
        <v>2600</v>
      </c>
      <c r="G75" s="29" t="n">
        <v>7.5</v>
      </c>
      <c r="H75" s="16" t="inlineStr">
        <is>
          <t>no</t>
        </is>
      </c>
      <c r="I75" s="16" t="n"/>
      <c r="J75" s="16" t="inlineStr">
        <is>
          <t>malla</t>
        </is>
      </c>
    </row>
    <row r="76"/>
    <row r="77">
      <c r="A77" s="34" t="inlineStr">
        <is>
          <t>Barrido de ε_reg [–] · 12 puntos</t>
        </is>
      </c>
    </row>
    <row r="78">
      <c r="A78" s="25" t="inlineStr">
        <is>
          <t>Fijos en este barrido: T_fuente = 623.15, T_sumidero = 300.03, P_alta = 3000, P_baja = 400, x_b = 0.5, η_t = 0.85, η_p = 0.75, ε_HRVG = 0.85, ε_cond = 0.8.</t>
        </is>
      </c>
    </row>
    <row r="79">
      <c r="A79" s="22" t="inlineStr">
        <is>
          <t>id_punto</t>
        </is>
      </c>
      <c r="B79" s="22" t="inlineStr">
        <is>
          <t>ε_reg [–]</t>
        </is>
      </c>
      <c r="C79" s="22" t="inlineStr">
        <is>
          <t>Clase</t>
        </is>
      </c>
      <c r="D79" s="22" t="inlineStr">
        <is>
          <t>η [%]</t>
        </is>
      </c>
      <c r="E79" s="22" t="inlineStr">
        <is>
          <t>W_net [kW] (m_b = 1 kg/s)</t>
        </is>
      </c>
      <c r="F79" s="22" t="inlineStr">
        <is>
          <t>ΔP [kPa]</t>
        </is>
      </c>
      <c r="G79" s="22" t="inlineStr">
        <is>
          <t>r_P [–]</t>
        </is>
      </c>
      <c r="H79" s="22" t="inlineStr">
        <is>
          <t>Fuera de rango</t>
        </is>
      </c>
    </row>
    <row r="80">
      <c r="A80" s="16" t="inlineStr">
        <is>
          <t>KF-M02R-n1-0013</t>
        </is>
      </c>
      <c r="B80" s="37" t="n">
        <v>0.4</v>
      </c>
      <c r="C80" s="32" t="inlineStr">
        <is>
          <t>No convergió</t>
        </is>
      </c>
      <c r="D80" s="29" t="inlineStr">
        <is>
          <t>—</t>
        </is>
      </c>
      <c r="E80" s="35" t="inlineStr">
        <is>
          <t>—</t>
        </is>
      </c>
      <c r="F80" s="36" t="n">
        <v>2600</v>
      </c>
      <c r="G80" s="29" t="n">
        <v>7.5</v>
      </c>
      <c r="H80" s="16" t="inlineStr">
        <is>
          <t>no</t>
        </is>
      </c>
    </row>
    <row r="81">
      <c r="A81" s="16" t="inlineStr">
        <is>
          <t>KF-M02R-n1-0012</t>
        </is>
      </c>
      <c r="B81" s="37" t="n">
        <v>0.45</v>
      </c>
      <c r="C81" s="32" t="inlineStr">
        <is>
          <t>No convergió</t>
        </is>
      </c>
      <c r="D81" s="29" t="inlineStr">
        <is>
          <t>—</t>
        </is>
      </c>
      <c r="E81" s="35" t="inlineStr">
        <is>
          <t>—</t>
        </is>
      </c>
      <c r="F81" s="36" t="n">
        <v>2600</v>
      </c>
      <c r="G81" s="29" t="n">
        <v>7.5</v>
      </c>
      <c r="H81" s="16" t="inlineStr">
        <is>
          <t>no</t>
        </is>
      </c>
    </row>
    <row r="82">
      <c r="A82" s="16" t="inlineStr">
        <is>
          <t>KF-M02R-n1-0014</t>
        </is>
      </c>
      <c r="B82" s="37" t="n">
        <v>0.5</v>
      </c>
      <c r="C82" s="32" t="inlineStr">
        <is>
          <t>No convergió</t>
        </is>
      </c>
      <c r="D82" s="29" t="inlineStr">
        <is>
          <t>—</t>
        </is>
      </c>
      <c r="E82" s="35" t="inlineStr">
        <is>
          <t>—</t>
        </is>
      </c>
      <c r="F82" s="36" t="n">
        <v>2600</v>
      </c>
      <c r="G82" s="29" t="n">
        <v>7.5</v>
      </c>
      <c r="H82" s="16" t="inlineStr">
        <is>
          <t>no</t>
        </is>
      </c>
    </row>
    <row r="83">
      <c r="A83" s="16" t="inlineStr">
        <is>
          <t>KF-M02R-n1-0016</t>
        </is>
      </c>
      <c r="B83" s="37" t="n">
        <v>0.55</v>
      </c>
      <c r="C83" s="32" t="inlineStr">
        <is>
          <t>No convergió</t>
        </is>
      </c>
      <c r="D83" s="29" t="inlineStr">
        <is>
          <t>—</t>
        </is>
      </c>
      <c r="E83" s="35" t="inlineStr">
        <is>
          <t>—</t>
        </is>
      </c>
      <c r="F83" s="36" t="n">
        <v>2600</v>
      </c>
      <c r="G83" s="29" t="n">
        <v>7.5</v>
      </c>
      <c r="H83" s="16" t="inlineStr">
        <is>
          <t>no</t>
        </is>
      </c>
    </row>
    <row r="84">
      <c r="A84" s="16" t="inlineStr">
        <is>
          <t>KF-M02R-n1-0015</t>
        </is>
      </c>
      <c r="B84" s="37" t="n">
        <v>0.6</v>
      </c>
      <c r="C84" s="32" t="inlineStr">
        <is>
          <t>No convergió</t>
        </is>
      </c>
      <c r="D84" s="29" t="inlineStr">
        <is>
          <t>—</t>
        </is>
      </c>
      <c r="E84" s="35" t="inlineStr">
        <is>
          <t>—</t>
        </is>
      </c>
      <c r="F84" s="36" t="n">
        <v>2600</v>
      </c>
      <c r="G84" s="29" t="n">
        <v>7.5</v>
      </c>
      <c r="H84" s="16" t="inlineStr">
        <is>
          <t>no</t>
        </is>
      </c>
    </row>
    <row r="85">
      <c r="A85" s="16" t="inlineStr">
        <is>
          <t>KF-M02R-n1-0017</t>
        </is>
      </c>
      <c r="B85" s="37" t="n">
        <v>0.65</v>
      </c>
      <c r="C85" s="32" t="inlineStr">
        <is>
          <t>No convergió</t>
        </is>
      </c>
      <c r="D85" s="29" t="inlineStr">
        <is>
          <t>—</t>
        </is>
      </c>
      <c r="E85" s="35" t="inlineStr">
        <is>
          <t>—</t>
        </is>
      </c>
      <c r="F85" s="36" t="n">
        <v>2600</v>
      </c>
      <c r="G85" s="29" t="n">
        <v>7.5</v>
      </c>
      <c r="H85" s="16" t="inlineStr">
        <is>
          <t>no</t>
        </is>
      </c>
    </row>
    <row r="86">
      <c r="A86" s="16" t="inlineStr">
        <is>
          <t>KF-M02R-n1-0018</t>
        </is>
      </c>
      <c r="B86" s="37" t="n">
        <v>0.7</v>
      </c>
      <c r="C86" s="32" t="inlineStr">
        <is>
          <t>No convergió</t>
        </is>
      </c>
      <c r="D86" s="29" t="inlineStr">
        <is>
          <t>—</t>
        </is>
      </c>
      <c r="E86" s="35" t="inlineStr">
        <is>
          <t>—</t>
        </is>
      </c>
      <c r="F86" s="36" t="n">
        <v>2600</v>
      </c>
      <c r="G86" s="29" t="n">
        <v>7.5</v>
      </c>
      <c r="H86" s="16" t="inlineStr">
        <is>
          <t>no</t>
        </is>
      </c>
    </row>
    <row r="87">
      <c r="A87" s="16" t="inlineStr">
        <is>
          <t>KF-M02R-n1-0019</t>
        </is>
      </c>
      <c r="B87" s="37" t="n">
        <v>0.75</v>
      </c>
      <c r="C87" s="32" t="inlineStr">
        <is>
          <t>No convergió</t>
        </is>
      </c>
      <c r="D87" s="29" t="inlineStr">
        <is>
          <t>—</t>
        </is>
      </c>
      <c r="E87" s="35" t="inlineStr">
        <is>
          <t>—</t>
        </is>
      </c>
      <c r="F87" s="36" t="n">
        <v>2600</v>
      </c>
      <c r="G87" s="29" t="n">
        <v>7.5</v>
      </c>
      <c r="H87" s="16" t="inlineStr">
        <is>
          <t>no</t>
        </is>
      </c>
    </row>
    <row r="88">
      <c r="A88" s="16" t="inlineStr">
        <is>
          <t>KF-M02R-n1-0021</t>
        </is>
      </c>
      <c r="B88" s="37" t="n">
        <v>0.8</v>
      </c>
      <c r="C88" s="32" t="inlineStr">
        <is>
          <t>No convergió</t>
        </is>
      </c>
      <c r="D88" s="29" t="inlineStr">
        <is>
          <t>—</t>
        </is>
      </c>
      <c r="E88" s="35" t="inlineStr">
        <is>
          <t>—</t>
        </is>
      </c>
      <c r="F88" s="36" t="n">
        <v>2600</v>
      </c>
      <c r="G88" s="29" t="n">
        <v>7.5</v>
      </c>
      <c r="H88" s="16" t="inlineStr">
        <is>
          <t>no</t>
        </is>
      </c>
    </row>
    <row r="89">
      <c r="A89" s="16" t="inlineStr">
        <is>
          <t>KF-M02R-n1-0020</t>
        </is>
      </c>
      <c r="B89" s="37" t="n">
        <v>0.85</v>
      </c>
      <c r="C89" s="32" t="inlineStr">
        <is>
          <t>No convergió</t>
        </is>
      </c>
      <c r="D89" s="29" t="inlineStr">
        <is>
          <t>—</t>
        </is>
      </c>
      <c r="E89" s="35" t="inlineStr">
        <is>
          <t>—</t>
        </is>
      </c>
      <c r="F89" s="36" t="n">
        <v>2600</v>
      </c>
      <c r="G89" s="29" t="n">
        <v>7.5</v>
      </c>
      <c r="H89" s="16" t="inlineStr">
        <is>
          <t>no</t>
        </is>
      </c>
    </row>
    <row r="90">
      <c r="A90" s="16" t="inlineStr">
        <is>
          <t>KF-M02R-n1-0022</t>
        </is>
      </c>
      <c r="B90" s="37" t="n">
        <v>0.8999999999999999</v>
      </c>
      <c r="C90" s="32" t="inlineStr">
        <is>
          <t>No convergió</t>
        </is>
      </c>
      <c r="D90" s="29" t="inlineStr">
        <is>
          <t>—</t>
        </is>
      </c>
      <c r="E90" s="35" t="inlineStr">
        <is>
          <t>—</t>
        </is>
      </c>
      <c r="F90" s="36" t="n">
        <v>2600</v>
      </c>
      <c r="G90" s="29" t="n">
        <v>7.5</v>
      </c>
      <c r="H90" s="16" t="inlineStr">
        <is>
          <t>no</t>
        </is>
      </c>
    </row>
    <row r="91">
      <c r="A91" s="16" t="inlineStr">
        <is>
          <t>KF-M02R-n1-0023</t>
        </is>
      </c>
      <c r="B91" s="37" t="n">
        <v>0.95</v>
      </c>
      <c r="C91" s="32" t="inlineStr">
        <is>
          <t>No convergió</t>
        </is>
      </c>
      <c r="D91" s="29" t="inlineStr">
        <is>
          <t>—</t>
        </is>
      </c>
      <c r="E91" s="35" t="inlineStr">
        <is>
          <t>—</t>
        </is>
      </c>
      <c r="F91" s="36" t="n">
        <v>2600</v>
      </c>
      <c r="G91" s="29" t="n">
        <v>7.5</v>
      </c>
      <c r="H91" s="16" t="inlineStr">
        <is>
          <t>no</t>
        </is>
      </c>
    </row>
    <row r="92"/>
    <row r="93">
      <c r="A93" s="34" t="inlineStr">
        <is>
          <t>Barrido de ε_cond [–] · 12 puntos</t>
        </is>
      </c>
    </row>
    <row r="94">
      <c r="A94" s="25" t="inlineStr">
        <is>
          <t>Fijos en este barrido: T_fuente = 623.15, T_sumidero = 300.03, P_alta = 3000, P_baja = 400, x_b = 0.5, η_t = 0.85, η_p = 0.75, ε_HRVG = 0.85, ε_reg = 0.75.</t>
        </is>
      </c>
    </row>
    <row r="95">
      <c r="A95" s="22" t="inlineStr">
        <is>
          <t>id_punto</t>
        </is>
      </c>
      <c r="B95" s="22" t="inlineStr">
        <is>
          <t>ε_cond [–]</t>
        </is>
      </c>
      <c r="C95" s="22" t="inlineStr">
        <is>
          <t>Clase</t>
        </is>
      </c>
      <c r="D95" s="22" t="inlineStr">
        <is>
          <t>η [%]</t>
        </is>
      </c>
      <c r="E95" s="22" t="inlineStr">
        <is>
          <t>W_net [kW] (m_b = 1 kg/s)</t>
        </is>
      </c>
      <c r="F95" s="22" t="inlineStr">
        <is>
          <t>ΔP [kPa]</t>
        </is>
      </c>
      <c r="G95" s="22" t="inlineStr">
        <is>
          <t>r_P [–]</t>
        </is>
      </c>
      <c r="H95" s="22" t="inlineStr">
        <is>
          <t>Fuera de rango</t>
        </is>
      </c>
      <c r="I95" s="22" t="inlineStr">
        <is>
          <t>Criterios que falla</t>
        </is>
      </c>
    </row>
    <row r="96">
      <c r="A96" s="16" t="inlineStr">
        <is>
          <t>KF-M02R-n1-0025</t>
        </is>
      </c>
      <c r="B96" s="37" t="n">
        <v>0.4</v>
      </c>
      <c r="C96" s="32" t="inlineStr">
        <is>
          <t>No convergió</t>
        </is>
      </c>
      <c r="D96" s="29" t="inlineStr">
        <is>
          <t>—</t>
        </is>
      </c>
      <c r="E96" s="35" t="inlineStr">
        <is>
          <t>—</t>
        </is>
      </c>
      <c r="F96" s="36" t="n">
        <v>2600</v>
      </c>
      <c r="G96" s="29" t="n">
        <v>7.5</v>
      </c>
      <c r="H96" s="16" t="inlineStr">
        <is>
          <t>no</t>
        </is>
      </c>
      <c r="I96" s="16" t="n"/>
    </row>
    <row r="97">
      <c r="A97" s="16" t="inlineStr">
        <is>
          <t>KF-M02R-n1-0026</t>
        </is>
      </c>
      <c r="B97" s="37" t="n">
        <v>0.45</v>
      </c>
      <c r="C97" s="32" t="inlineStr">
        <is>
          <t>No convergió</t>
        </is>
      </c>
      <c r="D97" s="29" t="inlineStr">
        <is>
          <t>—</t>
        </is>
      </c>
      <c r="E97" s="35" t="inlineStr">
        <is>
          <t>—</t>
        </is>
      </c>
      <c r="F97" s="36" t="n">
        <v>2600</v>
      </c>
      <c r="G97" s="29" t="n">
        <v>7.5</v>
      </c>
      <c r="H97" s="16" t="inlineStr">
        <is>
          <t>no</t>
        </is>
      </c>
      <c r="I97" s="16" t="n"/>
    </row>
    <row r="98">
      <c r="A98" s="16" t="inlineStr">
        <is>
          <t>KF-M02R-n1-0024</t>
        </is>
      </c>
      <c r="B98" s="37" t="n">
        <v>0.5</v>
      </c>
      <c r="C98" s="32" t="inlineStr">
        <is>
          <t>No convergió</t>
        </is>
      </c>
      <c r="D98" s="29" t="inlineStr">
        <is>
          <t>—</t>
        </is>
      </c>
      <c r="E98" s="35" t="inlineStr">
        <is>
          <t>—</t>
        </is>
      </c>
      <c r="F98" s="36" t="n">
        <v>2600</v>
      </c>
      <c r="G98" s="29" t="n">
        <v>7.5</v>
      </c>
      <c r="H98" s="16" t="inlineStr">
        <is>
          <t>no</t>
        </is>
      </c>
      <c r="I98" s="16" t="n"/>
    </row>
    <row r="99">
      <c r="A99" s="16" t="inlineStr">
        <is>
          <t>KF-M02R-n1-0027</t>
        </is>
      </c>
      <c r="B99" s="37" t="n">
        <v>0.55</v>
      </c>
      <c r="C99" s="32" t="inlineStr">
        <is>
          <t>No convergió</t>
        </is>
      </c>
      <c r="D99" s="29" t="inlineStr">
        <is>
          <t>—</t>
        </is>
      </c>
      <c r="E99" s="35" t="inlineStr">
        <is>
          <t>—</t>
        </is>
      </c>
      <c r="F99" s="36" t="n">
        <v>2600</v>
      </c>
      <c r="G99" s="29" t="n">
        <v>7.5</v>
      </c>
      <c r="H99" s="16" t="inlineStr">
        <is>
          <t>no</t>
        </is>
      </c>
      <c r="I99" s="16" t="n"/>
    </row>
    <row r="100">
      <c r="A100" s="16" t="inlineStr">
        <is>
          <t>KF-M02R-n1-0028</t>
        </is>
      </c>
      <c r="B100" s="37" t="n">
        <v>0.6</v>
      </c>
      <c r="C100" s="32" t="inlineStr">
        <is>
          <t>No convergió</t>
        </is>
      </c>
      <c r="D100" s="29" t="inlineStr">
        <is>
          <t>—</t>
        </is>
      </c>
      <c r="E100" s="35" t="inlineStr">
        <is>
          <t>—</t>
        </is>
      </c>
      <c r="F100" s="36" t="n">
        <v>2600</v>
      </c>
      <c r="G100" s="29" t="n">
        <v>7.5</v>
      </c>
      <c r="H100" s="16" t="inlineStr">
        <is>
          <t>no</t>
        </is>
      </c>
      <c r="I100" s="16" t="n"/>
    </row>
    <row r="101">
      <c r="A101" s="16" t="inlineStr">
        <is>
          <t>KF-M02R-n1-0031</t>
        </is>
      </c>
      <c r="B101" s="37" t="n">
        <v>0.65</v>
      </c>
      <c r="C101" s="32" t="inlineStr">
        <is>
          <t>No convergió</t>
        </is>
      </c>
      <c r="D101" s="29" t="inlineStr">
        <is>
          <t>—</t>
        </is>
      </c>
      <c r="E101" s="35" t="inlineStr">
        <is>
          <t>—</t>
        </is>
      </c>
      <c r="F101" s="36" t="n">
        <v>2600</v>
      </c>
      <c r="G101" s="29" t="n">
        <v>7.5</v>
      </c>
      <c r="H101" s="16" t="inlineStr">
        <is>
          <t>no</t>
        </is>
      </c>
      <c r="I101" s="16" t="n"/>
    </row>
    <row r="102">
      <c r="A102" s="16" t="inlineStr">
        <is>
          <t>KF-M02R-n1-0029</t>
        </is>
      </c>
      <c r="B102" s="37" t="n">
        <v>0.7</v>
      </c>
      <c r="C102" s="32" t="inlineStr">
        <is>
          <t>No convergió</t>
        </is>
      </c>
      <c r="D102" s="29" t="inlineStr">
        <is>
          <t>—</t>
        </is>
      </c>
      <c r="E102" s="35" t="inlineStr">
        <is>
          <t>—</t>
        </is>
      </c>
      <c r="F102" s="36" t="n">
        <v>2600</v>
      </c>
      <c r="G102" s="29" t="n">
        <v>7.5</v>
      </c>
      <c r="H102" s="16" t="inlineStr">
        <is>
          <t>no</t>
        </is>
      </c>
      <c r="I102" s="16" t="n"/>
    </row>
    <row r="103">
      <c r="A103" s="16" t="inlineStr">
        <is>
          <t>KF-M02R-n1-0030</t>
        </is>
      </c>
      <c r="B103" s="37" t="n">
        <v>0.75</v>
      </c>
      <c r="C103" s="32" t="inlineStr">
        <is>
          <t>No convergió</t>
        </is>
      </c>
      <c r="D103" s="29" t="inlineStr">
        <is>
          <t>—</t>
        </is>
      </c>
      <c r="E103" s="35" t="inlineStr">
        <is>
          <t>—</t>
        </is>
      </c>
      <c r="F103" s="36" t="n">
        <v>2600</v>
      </c>
      <c r="G103" s="29" t="n">
        <v>7.5</v>
      </c>
      <c r="H103" s="16" t="inlineStr">
        <is>
          <t>no</t>
        </is>
      </c>
      <c r="I103" s="16" t="n"/>
    </row>
    <row r="104">
      <c r="A104" s="16" t="inlineStr">
        <is>
          <t>KF-M02R-n1-0032</t>
        </is>
      </c>
      <c r="B104" s="37" t="n">
        <v>0.8</v>
      </c>
      <c r="C104" s="32" t="inlineStr">
        <is>
          <t>No convergió</t>
        </is>
      </c>
      <c r="D104" s="29" t="inlineStr">
        <is>
          <t>—</t>
        </is>
      </c>
      <c r="E104" s="35" t="inlineStr">
        <is>
          <t>—</t>
        </is>
      </c>
      <c r="F104" s="36" t="n">
        <v>2600</v>
      </c>
      <c r="G104" s="29" t="n">
        <v>7.5</v>
      </c>
      <c r="H104" s="16" t="inlineStr">
        <is>
          <t>no</t>
        </is>
      </c>
      <c r="I104" s="16" t="n"/>
    </row>
    <row r="105">
      <c r="A105" s="16" t="inlineStr">
        <is>
          <t>KF-M02R-n1-0033</t>
        </is>
      </c>
      <c r="B105" s="37" t="n">
        <v>0.85</v>
      </c>
      <c r="C105" s="32" t="inlineStr">
        <is>
          <t>No convergió</t>
        </is>
      </c>
      <c r="D105" s="29" t="inlineStr">
        <is>
          <t>—</t>
        </is>
      </c>
      <c r="E105" s="35" t="inlineStr">
        <is>
          <t>—</t>
        </is>
      </c>
      <c r="F105" s="36" t="n">
        <v>2600</v>
      </c>
      <c r="G105" s="29" t="n">
        <v>7.5</v>
      </c>
      <c r="H105" s="16" t="inlineStr">
        <is>
          <t>no</t>
        </is>
      </c>
      <c r="I105" s="16" t="n"/>
    </row>
    <row r="106">
      <c r="A106" s="16" t="inlineStr">
        <is>
          <t>KF-M02R-n1-0038</t>
        </is>
      </c>
      <c r="B106" s="37" t="n">
        <v>0.8999999999999999</v>
      </c>
      <c r="C106" s="38" t="inlineStr">
        <is>
          <t>Falso convergido</t>
        </is>
      </c>
      <c r="D106" s="29" t="inlineStr">
        <is>
          <t>—</t>
        </is>
      </c>
      <c r="E106" s="35" t="inlineStr">
        <is>
          <t>—</t>
        </is>
      </c>
      <c r="F106" s="36" t="n">
        <v>2600</v>
      </c>
      <c r="G106" s="29" t="n">
        <v>7.5</v>
      </c>
      <c r="H106" s="16" t="inlineStr">
        <is>
          <t>sí</t>
        </is>
      </c>
      <c r="I106" s="16" t="inlineStr">
        <is>
          <t>N2,O1,O2,O5,C1,C3,C3</t>
        </is>
      </c>
    </row>
    <row r="107">
      <c r="A107" s="16" t="inlineStr">
        <is>
          <t>KF-M02R-n1-0037</t>
        </is>
      </c>
      <c r="B107" s="37" t="n">
        <v>0.95</v>
      </c>
      <c r="C107" s="38" t="inlineStr">
        <is>
          <t>Falso convergido</t>
        </is>
      </c>
      <c r="D107" s="29" t="inlineStr">
        <is>
          <t>—</t>
        </is>
      </c>
      <c r="E107" s="35" t="inlineStr">
        <is>
          <t>—</t>
        </is>
      </c>
      <c r="F107" s="36" t="n">
        <v>2600</v>
      </c>
      <c r="G107" s="29" t="n">
        <v>7.5</v>
      </c>
      <c r="H107" s="16" t="inlineStr">
        <is>
          <t>sí</t>
        </is>
      </c>
      <c r="I107" s="16" t="inlineStr">
        <is>
          <t>N2,O1,O2,O5,C1,C3,C3</t>
        </is>
      </c>
    </row>
    <row r="108">
      <c r="M108" s="25" t="inlineStr">
        <is>
          <t>Estudio 2.3 · parte(s) 2.3a. Punto base: PP = datos del enunciado del profesor (T_fuente 623.15 K, P_alta 3000 kPa, P_baja 400 kPa, x_b 0.50)</t>
        </is>
      </c>
    </row>
    <row r="109">
      <c r="A109" s="33" t="inlineStr">
        <is>
          <t>Parte 2.3b · ε_HRVG × ε_cond · 60 puntos</t>
        </is>
      </c>
      <c r="B109" s="31" t="n"/>
      <c r="C109" s="31" t="n"/>
      <c r="D109" s="31" t="n"/>
      <c r="E109" s="31" t="n"/>
      <c r="F109" s="31" t="n"/>
      <c r="G109" s="31" t="n"/>
      <c r="H109" s="31" t="n"/>
      <c r="I109" s="31" t="n"/>
      <c r="J109" s="31" t="n"/>
      <c r="K109" s="31" t="n"/>
      <c r="M109" s="25" t="inlineStr">
        <is>
          <t>Datos fijos: T_fuente = 623.15 K; T_sumidero = 300.03 K; P_alta = 3000 kPa; P_baja = 400 kPa; x_b = 0.5; m_b = 1 kg/s; motor de propiedades = teqp.</t>
        </is>
      </c>
    </row>
    <row r="110">
      <c r="M110" s="25" t="inlineStr">
        <is>
          <t>Datos barridos: η_t [0.4–0.95] (12 valores); η_p [0.4–0.95] (12 valores); ε_HRVG [0.4–0.95] (32 valores); ε_reg [0.4–0.95] (12 valores); ε_cond [0.4–0.95] (12 valores).</t>
        </is>
      </c>
    </row>
    <row r="111">
      <c r="A111" s="34" t="inlineStr">
        <is>
          <t>Barrido de la parte 2.3b · 60 puntos</t>
        </is>
      </c>
      <c r="M111" s="25" t="inlineStr">
        <is>
          <t>Filtro: parte 2.3a (2.3a).</t>
        </is>
      </c>
    </row>
    <row r="112">
      <c r="A112" s="25" t="inlineStr">
        <is>
          <t>Fijos en este barrido: T_fuente = 623.15, T_sumidero = 300.03, P_alta = 3000, P_baja = 400, x_b = 0.5, η_t = 0.85, η_p = 0.75, ε_reg = 0.75.</t>
        </is>
      </c>
      <c r="M112" s="25" t="inlineStr">
        <is>
          <t>n = 80. Fuente: todos_los_puntos.csv.</t>
        </is>
      </c>
    </row>
    <row r="113">
      <c r="A113" s="22" t="inlineStr">
        <is>
          <t>id_punto</t>
        </is>
      </c>
      <c r="B113" s="22" t="inlineStr">
        <is>
          <t>ε_HRVG [–]</t>
        </is>
      </c>
      <c r="C113" s="22" t="inlineStr">
        <is>
          <t>ε_cond [–]</t>
        </is>
      </c>
      <c r="D113" s="22" t="inlineStr">
        <is>
          <t>Clase</t>
        </is>
      </c>
      <c r="E113" s="22" t="inlineStr">
        <is>
          <t>η [%]</t>
        </is>
      </c>
      <c r="F113" s="22" t="inlineStr">
        <is>
          <t>W_net [kW] (m_b = 1 kg/s)</t>
        </is>
      </c>
      <c r="G113" s="22" t="inlineStr">
        <is>
          <t>ΔP [kPa]</t>
        </is>
      </c>
      <c r="H113" s="22" t="inlineStr">
        <is>
          <t>r_P [–]</t>
        </is>
      </c>
      <c r="I113" s="22" t="inlineStr">
        <is>
          <t>Fuera de rango</t>
        </is>
      </c>
      <c r="J113" s="22" t="inlineStr">
        <is>
          <t>Criterios que falla</t>
        </is>
      </c>
    </row>
    <row r="114">
      <c r="A114" s="16" t="inlineStr">
        <is>
          <t>KF-M02R-n2a-0000</t>
        </is>
      </c>
      <c r="B114" s="37" t="n">
        <v>0.4</v>
      </c>
      <c r="C114" s="37" t="n">
        <v>0.4</v>
      </c>
      <c r="D114" s="39" t="inlineStr">
        <is>
          <t>Corregible</t>
        </is>
      </c>
      <c r="E114" s="29" t="n">
        <v>3.3817135401433</v>
      </c>
      <c r="F114" s="35" t="n">
        <v>21.551342999134</v>
      </c>
      <c r="G114" s="36" t="n">
        <v>2600</v>
      </c>
      <c r="H114" s="29" t="n">
        <v>7.5</v>
      </c>
      <c r="I114" s="16" t="inlineStr">
        <is>
          <t>sí</t>
        </is>
      </c>
      <c r="J114" s="16" t="inlineStr">
        <is>
          <t>O2</t>
        </is>
      </c>
    </row>
    <row r="115">
      <c r="A115" s="16" t="inlineStr">
        <is>
          <t>KF-M02R-n2a-0003</t>
        </is>
      </c>
      <c r="B115" s="37" t="n">
        <v>0.4</v>
      </c>
      <c r="C115" s="37" t="n">
        <v>0.45</v>
      </c>
      <c r="D115" s="39" t="inlineStr">
        <is>
          <t>Corregible</t>
        </is>
      </c>
      <c r="E115" s="29" t="n">
        <v>5.70201498488365</v>
      </c>
      <c r="F115" s="35" t="n">
        <v>39.58762194788187</v>
      </c>
      <c r="G115" s="36" t="n">
        <v>2600</v>
      </c>
      <c r="H115" s="29" t="n">
        <v>7.5</v>
      </c>
      <c r="I115" s="16" t="inlineStr">
        <is>
          <t>sí</t>
        </is>
      </c>
      <c r="J115" s="16" t="inlineStr">
        <is>
          <t>O2</t>
        </is>
      </c>
      <c r="M115" s="24" t="inlineStr">
        <is>
          <t>Figura 2.3-2 · Parte 2.3b: 0 KALINA con η y ε en [0.40, 0.95]</t>
        </is>
      </c>
    </row>
    <row r="116">
      <c r="A116" s="16" t="inlineStr">
        <is>
          <t>KF-M02R-n2a-0002</t>
        </is>
      </c>
      <c r="B116" s="37" t="n">
        <v>0.4</v>
      </c>
      <c r="C116" s="37" t="n">
        <v>0.5</v>
      </c>
      <c r="D116" s="39" t="inlineStr">
        <is>
          <t>Corregible</t>
        </is>
      </c>
      <c r="E116" s="29" t="n">
        <v>7.51812080874148</v>
      </c>
      <c r="F116" s="35" t="n">
        <v>55.98948649439654</v>
      </c>
      <c r="G116" s="36" t="n">
        <v>2600</v>
      </c>
      <c r="H116" s="29" t="n">
        <v>7.5</v>
      </c>
      <c r="I116" s="16" t="inlineStr">
        <is>
          <t>sí</t>
        </is>
      </c>
      <c r="J116" s="16" t="inlineStr">
        <is>
          <t>O2</t>
        </is>
      </c>
    </row>
    <row r="117">
      <c r="A117" s="16" t="inlineStr">
        <is>
          <t>KF-M02R-n2a-0001</t>
        </is>
      </c>
      <c r="B117" s="37" t="n">
        <v>0.4</v>
      </c>
      <c r="C117" s="37" t="n">
        <v>0.55</v>
      </c>
      <c r="D117" s="39" t="inlineStr">
        <is>
          <t>Corregible</t>
        </is>
      </c>
      <c r="E117" s="29" t="n">
        <v>8.98452193634045</v>
      </c>
      <c r="F117" s="35" t="n">
        <v>70.952145162737</v>
      </c>
      <c r="G117" s="36" t="n">
        <v>2600</v>
      </c>
      <c r="H117" s="29" t="n">
        <v>7.5</v>
      </c>
      <c r="I117" s="16" t="inlineStr">
        <is>
          <t>sí</t>
        </is>
      </c>
      <c r="J117" s="16" t="inlineStr">
        <is>
          <t>O2</t>
        </is>
      </c>
    </row>
    <row r="118">
      <c r="A118" s="16" t="inlineStr">
        <is>
          <t>KF-M02R-n2a-0004</t>
        </is>
      </c>
      <c r="B118" s="37" t="n">
        <v>0.4</v>
      </c>
      <c r="C118" s="37" t="n">
        <v>0.6</v>
      </c>
      <c r="D118" s="39" t="inlineStr">
        <is>
          <t>Corregible</t>
        </is>
      </c>
      <c r="E118" s="29" t="n">
        <v>10.19500171365987</v>
      </c>
      <c r="F118" s="35" t="n">
        <v>84.63787122459425</v>
      </c>
      <c r="G118" s="36" t="n">
        <v>2600</v>
      </c>
      <c r="H118" s="29" t="n">
        <v>7.5</v>
      </c>
      <c r="I118" s="16" t="inlineStr">
        <is>
          <t>sí</t>
        </is>
      </c>
      <c r="J118" s="16" t="inlineStr">
        <is>
          <t>O2</t>
        </is>
      </c>
    </row>
    <row r="119">
      <c r="A119" s="16" t="inlineStr">
        <is>
          <t>KF-M02R-n2a-0005</t>
        </is>
      </c>
      <c r="B119" s="37" t="n">
        <v>0.4</v>
      </c>
      <c r="C119" s="37" t="n">
        <v>0.65</v>
      </c>
      <c r="D119" s="39" t="inlineStr">
        <is>
          <t>Corregible</t>
        </is>
      </c>
      <c r="E119" s="29" t="n">
        <v>11.21127407020348</v>
      </c>
      <c r="F119" s="35" t="n">
        <v>97.19499808423932</v>
      </c>
      <c r="G119" s="36" t="n">
        <v>2600</v>
      </c>
      <c r="H119" s="29" t="n">
        <v>7.5</v>
      </c>
      <c r="I119" s="16" t="inlineStr">
        <is>
          <t>sí</t>
        </is>
      </c>
      <c r="J119" s="16" t="inlineStr">
        <is>
          <t>O2</t>
        </is>
      </c>
    </row>
    <row r="120">
      <c r="A120" s="16" t="inlineStr">
        <is>
          <t>KF-M02R-n2a-0008</t>
        </is>
      </c>
      <c r="B120" s="37" t="n">
        <v>0.4</v>
      </c>
      <c r="C120" s="37" t="n">
        <v>0.7</v>
      </c>
      <c r="D120" s="39" t="inlineStr">
        <is>
          <t>Corregible</t>
        </is>
      </c>
      <c r="E120" s="29" t="n">
        <v>12.17114741692302</v>
      </c>
      <c r="F120" s="35" t="n">
        <v>109.2739721044059</v>
      </c>
      <c r="G120" s="36" t="n">
        <v>2600</v>
      </c>
      <c r="H120" s="29" t="n">
        <v>7.5</v>
      </c>
      <c r="I120" s="16" t="inlineStr">
        <is>
          <t>sí</t>
        </is>
      </c>
      <c r="J120" s="16" t="inlineStr">
        <is>
          <t>O2</t>
        </is>
      </c>
    </row>
    <row r="121">
      <c r="A121" s="16" t="inlineStr">
        <is>
          <t>KF-M02R-n2a-0009</t>
        </is>
      </c>
      <c r="B121" s="37" t="n">
        <v>0.4</v>
      </c>
      <c r="C121" s="37" t="n">
        <v>0.75</v>
      </c>
      <c r="D121" s="39" t="inlineStr">
        <is>
          <t>Corregible</t>
        </is>
      </c>
      <c r="E121" s="29" t="n">
        <v>12.93406457442636</v>
      </c>
      <c r="F121" s="35" t="n">
        <v>118.9637163461163</v>
      </c>
      <c r="G121" s="36" t="n">
        <v>2600</v>
      </c>
      <c r="H121" s="29" t="n">
        <v>7.5</v>
      </c>
      <c r="I121" s="16" t="inlineStr">
        <is>
          <t>sí</t>
        </is>
      </c>
      <c r="J121" s="16" t="inlineStr">
        <is>
          <t>O2</t>
        </is>
      </c>
    </row>
    <row r="122">
      <c r="A122" s="16" t="inlineStr">
        <is>
          <t>KF-M02R-n2a-0006</t>
        </is>
      </c>
      <c r="B122" s="37" t="n">
        <v>0.4</v>
      </c>
      <c r="C122" s="37" t="n">
        <v>0.8</v>
      </c>
      <c r="D122" s="39" t="inlineStr">
        <is>
          <t>Corregible</t>
        </is>
      </c>
      <c r="E122" s="29" t="n">
        <v>13.31771154737231</v>
      </c>
      <c r="F122" s="35" t="n">
        <v>124.9305023358619</v>
      </c>
      <c r="G122" s="36" t="n">
        <v>2600</v>
      </c>
      <c r="H122" s="29" t="n">
        <v>7.5</v>
      </c>
      <c r="I122" s="16" t="inlineStr">
        <is>
          <t>sí</t>
        </is>
      </c>
      <c r="J122" s="16" t="inlineStr">
        <is>
          <t>O2</t>
        </is>
      </c>
    </row>
    <row r="123">
      <c r="A123" s="16" t="inlineStr">
        <is>
          <t>KF-M02R-n2a-0007</t>
        </is>
      </c>
      <c r="B123" s="37" t="n">
        <v>0.4</v>
      </c>
      <c r="C123" s="37" t="n">
        <v>0.85</v>
      </c>
      <c r="D123" s="39" t="inlineStr">
        <is>
          <t>Corregible</t>
        </is>
      </c>
      <c r="E123" s="29" t="n">
        <v>13.42578696959958</v>
      </c>
      <c r="F123" s="35" t="n">
        <v>128.0276542286</v>
      </c>
      <c r="G123" s="36" t="n">
        <v>2600</v>
      </c>
      <c r="H123" s="29" t="n">
        <v>7.5</v>
      </c>
      <c r="I123" s="16" t="inlineStr">
        <is>
          <t>sí</t>
        </is>
      </c>
      <c r="J123" s="16" t="inlineStr">
        <is>
          <t>O2</t>
        </is>
      </c>
    </row>
    <row r="124">
      <c r="A124" s="16" t="inlineStr">
        <is>
          <t>KF-M02R-n2a-0010</t>
        </is>
      </c>
      <c r="B124" s="37" t="n">
        <v>0.4</v>
      </c>
      <c r="C124" s="37" t="n">
        <v>0.8999999999999999</v>
      </c>
      <c r="D124" s="39" t="inlineStr">
        <is>
          <t>Corregible</t>
        </is>
      </c>
      <c r="E124" s="29" t="n">
        <v>13.32992390009096</v>
      </c>
      <c r="F124" s="35" t="n">
        <v>128.8920613605194</v>
      </c>
      <c r="G124" s="36" t="n">
        <v>2600</v>
      </c>
      <c r="H124" s="29" t="n">
        <v>7.5</v>
      </c>
      <c r="I124" s="16" t="inlineStr">
        <is>
          <t>sí</t>
        </is>
      </c>
      <c r="J124" s="16" t="inlineStr">
        <is>
          <t>O2</t>
        </is>
      </c>
    </row>
    <row r="125">
      <c r="A125" s="16" t="inlineStr">
        <is>
          <t>KF-M02R-n2a-0011</t>
        </is>
      </c>
      <c r="B125" s="37" t="n">
        <v>0.4</v>
      </c>
      <c r="C125" s="37" t="n">
        <v>0.95</v>
      </c>
      <c r="D125" s="39" t="inlineStr">
        <is>
          <t>Corregible</t>
        </is>
      </c>
      <c r="E125" s="29" t="n">
        <v>13.08065387970183</v>
      </c>
      <c r="F125" s="35" t="n">
        <v>128.0011975388459</v>
      </c>
      <c r="G125" s="36" t="n">
        <v>2600</v>
      </c>
      <c r="H125" s="29" t="n">
        <v>7.5</v>
      </c>
      <c r="I125" s="16" t="inlineStr">
        <is>
          <t>sí</t>
        </is>
      </c>
      <c r="J125" s="16" t="inlineStr">
        <is>
          <t>O2</t>
        </is>
      </c>
    </row>
    <row r="126">
      <c r="A126" s="16" t="inlineStr">
        <is>
          <t>KF-M02R-n2a-0014</t>
        </is>
      </c>
      <c r="B126" s="37" t="n">
        <v>0.5</v>
      </c>
      <c r="C126" s="37" t="n">
        <v>0.4</v>
      </c>
      <c r="D126" s="39" t="inlineStr">
        <is>
          <t>Corregible</t>
        </is>
      </c>
      <c r="E126" s="29" t="n">
        <v>3.6552004148864</v>
      </c>
      <c r="F126" s="35" t="n">
        <v>26.50809925427546</v>
      </c>
      <c r="G126" s="36" t="n">
        <v>2600</v>
      </c>
      <c r="H126" s="29" t="n">
        <v>7.5</v>
      </c>
      <c r="I126" s="16" t="inlineStr">
        <is>
          <t>sí</t>
        </is>
      </c>
      <c r="J126" s="16" t="inlineStr">
        <is>
          <t>O2</t>
        </is>
      </c>
    </row>
    <row r="127">
      <c r="A127" s="16" t="inlineStr">
        <is>
          <t>KF-M02R-n2a-0012</t>
        </is>
      </c>
      <c r="B127" s="37" t="n">
        <v>0.5</v>
      </c>
      <c r="C127" s="37" t="n">
        <v>0.45</v>
      </c>
      <c r="D127" s="39" t="inlineStr">
        <is>
          <t>Corregible</t>
        </is>
      </c>
      <c r="E127" s="29" t="n">
        <v>5.89576707267563</v>
      </c>
      <c r="F127" s="35" t="n">
        <v>47.21332187882916</v>
      </c>
      <c r="G127" s="36" t="n">
        <v>2600</v>
      </c>
      <c r="H127" s="29" t="n">
        <v>7.5</v>
      </c>
      <c r="I127" s="16" t="inlineStr">
        <is>
          <t>sí</t>
        </is>
      </c>
      <c r="J127" s="16" t="inlineStr">
        <is>
          <t>O2</t>
        </is>
      </c>
    </row>
    <row r="128">
      <c r="A128" s="16" t="inlineStr">
        <is>
          <t>KF-M02R-n2a-0013</t>
        </is>
      </c>
      <c r="B128" s="37" t="n">
        <v>0.5</v>
      </c>
      <c r="C128" s="37" t="n">
        <v>0.5</v>
      </c>
      <c r="D128" s="39" t="inlineStr">
        <is>
          <t>Corregible</t>
        </is>
      </c>
      <c r="E128" s="29" t="n">
        <v>7.634313557788889</v>
      </c>
      <c r="F128" s="35" t="n">
        <v>66.38803027148614</v>
      </c>
      <c r="G128" s="36" t="n">
        <v>2600</v>
      </c>
      <c r="H128" s="29" t="n">
        <v>7.5</v>
      </c>
      <c r="I128" s="16" t="inlineStr">
        <is>
          <t>sí</t>
        </is>
      </c>
      <c r="J128" s="16" t="inlineStr">
        <is>
          <t>O2</t>
        </is>
      </c>
    </row>
    <row r="129">
      <c r="A129" s="16" t="inlineStr">
        <is>
          <t>KF-M02R-n2a-0016</t>
        </is>
      </c>
      <c r="B129" s="37" t="n">
        <v>0.5</v>
      </c>
      <c r="C129" s="37" t="n">
        <v>0.55</v>
      </c>
      <c r="D129" s="39" t="inlineStr">
        <is>
          <t>Corregible</t>
        </is>
      </c>
      <c r="E129" s="29" t="n">
        <v>9.032724017666769</v>
      </c>
      <c r="F129" s="35" t="n">
        <v>84.21465065904673</v>
      </c>
      <c r="G129" s="36" t="n">
        <v>2600</v>
      </c>
      <c r="H129" s="29" t="n">
        <v>7.5</v>
      </c>
      <c r="I129" s="16" t="inlineStr">
        <is>
          <t>sí</t>
        </is>
      </c>
      <c r="J129" s="16" t="inlineStr">
        <is>
          <t>O2</t>
        </is>
      </c>
    </row>
    <row r="130">
      <c r="A130" s="16" t="inlineStr">
        <is>
          <t>KF-M02R-n2a-0015</t>
        </is>
      </c>
      <c r="B130" s="37" t="n">
        <v>0.5</v>
      </c>
      <c r="C130" s="37" t="n">
        <v>0.6</v>
      </c>
      <c r="D130" s="39" t="inlineStr">
        <is>
          <t>Corregible</t>
        </is>
      </c>
      <c r="E130" s="29" t="n">
        <v>10.18887247799777</v>
      </c>
      <c r="F130" s="35" t="n">
        <v>100.8427748880817</v>
      </c>
      <c r="G130" s="36" t="n">
        <v>2600</v>
      </c>
      <c r="H130" s="29" t="n">
        <v>7.5</v>
      </c>
      <c r="I130" s="16" t="inlineStr">
        <is>
          <t>sí</t>
        </is>
      </c>
      <c r="J130" s="16" t="inlineStr">
        <is>
          <t>O2</t>
        </is>
      </c>
    </row>
    <row r="131">
      <c r="A131" s="16" t="inlineStr">
        <is>
          <t>KF-M02R-n2a-0017</t>
        </is>
      </c>
      <c r="B131" s="37" t="n">
        <v>0.5</v>
      </c>
      <c r="C131" s="37" t="n">
        <v>0.65</v>
      </c>
      <c r="D131" s="39" t="inlineStr">
        <is>
          <t>Corregible</t>
        </is>
      </c>
      <c r="E131" s="29" t="n">
        <v>11.16475145945314</v>
      </c>
      <c r="F131" s="35" t="n">
        <v>116.3991624514971</v>
      </c>
      <c r="G131" s="36" t="n">
        <v>2600</v>
      </c>
      <c r="H131" s="29" t="n">
        <v>7.5</v>
      </c>
      <c r="I131" s="16" t="inlineStr">
        <is>
          <t>sí</t>
        </is>
      </c>
      <c r="J131" s="16" t="inlineStr">
        <is>
          <t>O2</t>
        </is>
      </c>
    </row>
    <row r="132">
      <c r="A132" s="16" t="inlineStr">
        <is>
          <t>KF-M02R-n2a-0018</t>
        </is>
      </c>
      <c r="B132" s="37" t="n">
        <v>0.5</v>
      </c>
      <c r="C132" s="37" t="n">
        <v>0.7</v>
      </c>
      <c r="D132" s="39" t="inlineStr">
        <is>
          <t>Corregible</t>
        </is>
      </c>
      <c r="E132" s="29" t="n">
        <v>12.00193679779533</v>
      </c>
      <c r="F132" s="35" t="n">
        <v>130.9976465548214</v>
      </c>
      <c r="G132" s="36" t="n">
        <v>2600</v>
      </c>
      <c r="H132" s="29" t="n">
        <v>7.5</v>
      </c>
      <c r="I132" s="16" t="inlineStr">
        <is>
          <t>sí</t>
        </is>
      </c>
      <c r="J132" s="16" t="inlineStr">
        <is>
          <t>O2</t>
        </is>
      </c>
    </row>
    <row r="133">
      <c r="A133" s="16" t="inlineStr">
        <is>
          <t>KF-M02R-n2a-0019</t>
        </is>
      </c>
      <c r="B133" s="37" t="n">
        <v>0.5</v>
      </c>
      <c r="C133" s="37" t="n">
        <v>0.75</v>
      </c>
      <c r="D133" s="39" t="inlineStr">
        <is>
          <t>Corregible</t>
        </is>
      </c>
      <c r="E133" s="29" t="n">
        <v>12.7829292505345</v>
      </c>
      <c r="F133" s="35" t="n">
        <v>144.8837478266545</v>
      </c>
      <c r="G133" s="36" t="n">
        <v>2600</v>
      </c>
      <c r="H133" s="29" t="n">
        <v>7.5</v>
      </c>
      <c r="I133" s="16" t="inlineStr">
        <is>
          <t>sí</t>
        </is>
      </c>
      <c r="J133" s="16" t="inlineStr">
        <is>
          <t>O2</t>
        </is>
      </c>
    </row>
    <row r="134">
      <c r="A134" s="16" t="inlineStr">
        <is>
          <t>KF-M02R-n2a-0020</t>
        </is>
      </c>
      <c r="B134" s="37" t="n">
        <v>0.5</v>
      </c>
      <c r="C134" s="37" t="n">
        <v>0.8</v>
      </c>
      <c r="D134" s="32" t="inlineStr">
        <is>
          <t>No convergió</t>
        </is>
      </c>
      <c r="E134" s="29" t="inlineStr">
        <is>
          <t>—</t>
        </is>
      </c>
      <c r="F134" s="35" t="inlineStr">
        <is>
          <t>—</t>
        </is>
      </c>
      <c r="G134" s="36" t="n">
        <v>2600</v>
      </c>
      <c r="H134" s="29" t="n">
        <v>7.5</v>
      </c>
      <c r="I134" s="16" t="inlineStr">
        <is>
          <t>no</t>
        </is>
      </c>
      <c r="J134" s="16" t="n"/>
      <c r="M134" s="25" t="inlineStr">
        <is>
          <t>Estudio 2.3 · parte(s) 2.3b. Punto base: PP = datos del enunciado del profesor (T_fuente 623.15 K, P_alta 3000 kPa, P_baja 400 kPa, x_b 0.50)</t>
        </is>
      </c>
    </row>
    <row r="135">
      <c r="A135" s="16" t="inlineStr">
        <is>
          <t>KF-M02R-n2a-0021</t>
        </is>
      </c>
      <c r="B135" s="37" t="n">
        <v>0.5</v>
      </c>
      <c r="C135" s="37" t="n">
        <v>0.85</v>
      </c>
      <c r="D135" s="39" t="inlineStr">
        <is>
          <t>Corregible</t>
        </is>
      </c>
      <c r="E135" s="29" t="n">
        <v>13.51753374845229</v>
      </c>
      <c r="F135" s="35" t="n">
        <v>161.3028785089412</v>
      </c>
      <c r="G135" s="36" t="n">
        <v>2600</v>
      </c>
      <c r="H135" s="29" t="n">
        <v>7.5</v>
      </c>
      <c r="I135" s="16" t="inlineStr">
        <is>
          <t>sí</t>
        </is>
      </c>
      <c r="J135" s="16" t="inlineStr">
        <is>
          <t>O2</t>
        </is>
      </c>
      <c r="M135" s="25" t="inlineStr">
        <is>
          <t>Datos fijos: T_fuente = 623.15 K; T_sumidero = 300.03 K; P_alta = 3000 kPa; P_baja = 400 kPa; x_b = 0.5; m_b = 1 kg/s; η_t = 0.85; η_p = 0.75; ε_reg = 0.75; motor de propiedades = teqp.</t>
        </is>
      </c>
    </row>
    <row r="136">
      <c r="A136" s="16" t="inlineStr">
        <is>
          <t>KF-M02R-n2a-0022</t>
        </is>
      </c>
      <c r="B136" s="37" t="n">
        <v>0.5</v>
      </c>
      <c r="C136" s="37" t="n">
        <v>0.8999999999999999</v>
      </c>
      <c r="D136" s="39" t="inlineStr">
        <is>
          <t>Corregible</t>
        </is>
      </c>
      <c r="E136" s="29" t="n">
        <v>13.47134770416277</v>
      </c>
      <c r="F136" s="35" t="n">
        <v>163.9486531534034</v>
      </c>
      <c r="G136" s="36" t="n">
        <v>2600</v>
      </c>
      <c r="H136" s="29" t="n">
        <v>7.5</v>
      </c>
      <c r="I136" s="16" t="inlineStr">
        <is>
          <t>sí</t>
        </is>
      </c>
      <c r="J136" s="16" t="inlineStr">
        <is>
          <t>O2</t>
        </is>
      </c>
      <c r="M136" s="25" t="inlineStr">
        <is>
          <t>Datos barridos: ε_HRVG [0.4–0.8] (5 valores); ε_cond [0.4–0.95] (12 valores).</t>
        </is>
      </c>
    </row>
    <row r="137">
      <c r="A137" s="16" t="inlineStr">
        <is>
          <t>KF-M02R-n2a-0023</t>
        </is>
      </c>
      <c r="B137" s="37" t="n">
        <v>0.5</v>
      </c>
      <c r="C137" s="37" t="n">
        <v>0.95</v>
      </c>
      <c r="D137" s="39" t="inlineStr">
        <is>
          <t>Corregible</t>
        </is>
      </c>
      <c r="E137" s="29" t="n">
        <v>13.23268893058398</v>
      </c>
      <c r="F137" s="35" t="n">
        <v>163.7781859789521</v>
      </c>
      <c r="G137" s="36" t="n">
        <v>2600</v>
      </c>
      <c r="H137" s="29" t="n">
        <v>7.5</v>
      </c>
      <c r="I137" s="16" t="inlineStr">
        <is>
          <t>sí</t>
        </is>
      </c>
      <c r="J137" s="16" t="inlineStr">
        <is>
          <t>O2</t>
        </is>
      </c>
      <c r="M137" s="25" t="inlineStr">
        <is>
          <t>Filtro: parte 2.3b (2.3b).</t>
        </is>
      </c>
    </row>
    <row r="138">
      <c r="A138" s="16" t="inlineStr">
        <is>
          <t>KF-M02R-n2a-0024</t>
        </is>
      </c>
      <c r="B138" s="37" t="n">
        <v>0.6</v>
      </c>
      <c r="C138" s="37" t="n">
        <v>0.4</v>
      </c>
      <c r="D138" s="39" t="inlineStr">
        <is>
          <t>Corregible</t>
        </is>
      </c>
      <c r="E138" s="29" t="n">
        <v>3.87839767518243</v>
      </c>
      <c r="F138" s="35" t="n">
        <v>30.96268708873095</v>
      </c>
      <c r="G138" s="36" t="n">
        <v>2600</v>
      </c>
      <c r="H138" s="29" t="n">
        <v>7.5</v>
      </c>
      <c r="I138" s="16" t="inlineStr">
        <is>
          <t>sí</t>
        </is>
      </c>
      <c r="J138" s="16" t="inlineStr">
        <is>
          <t>O1,O2</t>
        </is>
      </c>
      <c r="M138" s="25" t="inlineStr">
        <is>
          <t>n = 60. Fuente: todos_los_puntos.csv.</t>
        </is>
      </c>
    </row>
    <row r="139">
      <c r="A139" s="16" t="inlineStr">
        <is>
          <t>KF-M02R-n2a-0025</t>
        </is>
      </c>
      <c r="B139" s="37" t="n">
        <v>0.6</v>
      </c>
      <c r="C139" s="37" t="n">
        <v>0.45</v>
      </c>
      <c r="D139" s="39" t="inlineStr">
        <is>
          <t>Corregible</t>
        </is>
      </c>
      <c r="E139" s="29" t="n">
        <v>6.07210653511889</v>
      </c>
      <c r="F139" s="35" t="n">
        <v>54.14458248656462</v>
      </c>
      <c r="G139" s="36" t="n">
        <v>2600</v>
      </c>
      <c r="H139" s="29" t="n">
        <v>7.5</v>
      </c>
      <c r="I139" s="16" t="inlineStr">
        <is>
          <t>sí</t>
        </is>
      </c>
      <c r="J139" s="16" t="inlineStr">
        <is>
          <t>O2</t>
        </is>
      </c>
    </row>
    <row r="140">
      <c r="A140" s="16" t="inlineStr">
        <is>
          <t>KF-M02R-n2a-0026</t>
        </is>
      </c>
      <c r="B140" s="37" t="n">
        <v>0.6</v>
      </c>
      <c r="C140" s="37" t="n">
        <v>0.5</v>
      </c>
      <c r="D140" s="39" t="inlineStr">
        <is>
          <t>Corregible</t>
        </is>
      </c>
      <c r="E140" s="29" t="n">
        <v>7.757536543281569</v>
      </c>
      <c r="F140" s="35" t="n">
        <v>75.93723447482347</v>
      </c>
      <c r="G140" s="36" t="n">
        <v>2600</v>
      </c>
      <c r="H140" s="29" t="n">
        <v>7.5</v>
      </c>
      <c r="I140" s="16" t="inlineStr">
        <is>
          <t>sí</t>
        </is>
      </c>
      <c r="J140" s="16" t="inlineStr">
        <is>
          <t>O2</t>
        </is>
      </c>
    </row>
    <row r="141">
      <c r="A141" s="16" t="inlineStr">
        <is>
          <t>KF-M02R-n2a-0027</t>
        </is>
      </c>
      <c r="B141" s="37" t="n">
        <v>0.6</v>
      </c>
      <c r="C141" s="37" t="n">
        <v>0.55</v>
      </c>
      <c r="D141" s="39" t="inlineStr">
        <is>
          <t>Corregible</t>
        </is>
      </c>
      <c r="E141" s="29" t="n">
        <v>9.10016213522751</v>
      </c>
      <c r="F141" s="35" t="n">
        <v>96.485661637056</v>
      </c>
      <c r="G141" s="36" t="n">
        <v>2600</v>
      </c>
      <c r="H141" s="29" t="n">
        <v>7.5</v>
      </c>
      <c r="I141" s="16" t="inlineStr">
        <is>
          <t>sí</t>
        </is>
      </c>
      <c r="J141" s="16" t="inlineStr">
        <is>
          <t>O2</t>
        </is>
      </c>
    </row>
    <row r="142">
      <c r="A142" s="16" t="inlineStr">
        <is>
          <t>KF-M02R-n2a-0028</t>
        </is>
      </c>
      <c r="B142" s="37" t="n">
        <v>0.6</v>
      </c>
      <c r="C142" s="37" t="n">
        <v>0.6</v>
      </c>
      <c r="D142" s="39" t="inlineStr">
        <is>
          <t>Corregible</t>
        </is>
      </c>
      <c r="E142" s="29" t="n">
        <v>10.20264412832031</v>
      </c>
      <c r="F142" s="35" t="n">
        <v>115.9280167278564</v>
      </c>
      <c r="G142" s="36" t="n">
        <v>2600</v>
      </c>
      <c r="H142" s="29" t="n">
        <v>7.5</v>
      </c>
      <c r="I142" s="16" t="inlineStr">
        <is>
          <t>sí</t>
        </is>
      </c>
      <c r="J142" s="16" t="inlineStr">
        <is>
          <t>O2</t>
        </is>
      </c>
    </row>
    <row r="143">
      <c r="A143" s="16" t="inlineStr">
        <is>
          <t>KF-M02R-n2a-0029</t>
        </is>
      </c>
      <c r="B143" s="37" t="n">
        <v>0.6</v>
      </c>
      <c r="C143" s="37" t="n">
        <v>0.65</v>
      </c>
      <c r="D143" s="39" t="inlineStr">
        <is>
          <t>Corregible</t>
        </is>
      </c>
      <c r="E143" s="29" t="n">
        <v>11.13089724299766</v>
      </c>
      <c r="F143" s="35" t="n">
        <v>134.3897115435192</v>
      </c>
      <c r="G143" s="36" t="n">
        <v>2600</v>
      </c>
      <c r="H143" s="29" t="n">
        <v>7.5</v>
      </c>
      <c r="I143" s="16" t="inlineStr">
        <is>
          <t>sí</t>
        </is>
      </c>
      <c r="J143" s="16" t="inlineStr">
        <is>
          <t>O2</t>
        </is>
      </c>
    </row>
    <row r="144">
      <c r="A144" s="16" t="inlineStr">
        <is>
          <t>KF-M02R-n2a-0030</t>
        </is>
      </c>
      <c r="B144" s="37" t="n">
        <v>0.6</v>
      </c>
      <c r="C144" s="37" t="n">
        <v>0.7</v>
      </c>
      <c r="D144" s="39" t="inlineStr">
        <is>
          <t>Corregible</t>
        </is>
      </c>
      <c r="E144" s="29" t="n">
        <v>11.92841523401774</v>
      </c>
      <c r="F144" s="35" t="n">
        <v>151.9815806902649</v>
      </c>
      <c r="G144" s="36" t="n">
        <v>2600</v>
      </c>
      <c r="H144" s="29" t="n">
        <v>7.5</v>
      </c>
      <c r="I144" s="16" t="inlineStr">
        <is>
          <t>sí</t>
        </is>
      </c>
      <c r="J144" s="16" t="inlineStr">
        <is>
          <t>O2</t>
        </is>
      </c>
    </row>
    <row r="145">
      <c r="A145" s="16" t="inlineStr">
        <is>
          <t>KF-M02R-n2a-0031</t>
        </is>
      </c>
      <c r="B145" s="37" t="n">
        <v>0.6</v>
      </c>
      <c r="C145" s="37" t="n">
        <v>0.75</v>
      </c>
      <c r="D145" s="39" t="inlineStr">
        <is>
          <t>Corregible</t>
        </is>
      </c>
      <c r="E145" s="29" t="n">
        <v>12.62497642623755</v>
      </c>
      <c r="F145" s="35" t="n">
        <v>168.801751124919</v>
      </c>
      <c r="G145" s="36" t="n">
        <v>2600</v>
      </c>
      <c r="H145" s="29" t="n">
        <v>7.5</v>
      </c>
      <c r="I145" s="16" t="inlineStr">
        <is>
          <t>sí</t>
        </is>
      </c>
      <c r="J145" s="16" t="inlineStr">
        <is>
          <t>O2</t>
        </is>
      </c>
    </row>
    <row r="146">
      <c r="A146" s="16" t="inlineStr">
        <is>
          <t>KF-M02R-n2a-0032</t>
        </is>
      </c>
      <c r="B146" s="37" t="n">
        <v>0.6</v>
      </c>
      <c r="C146" s="37" t="n">
        <v>0.8</v>
      </c>
      <c r="D146" s="39" t="inlineStr">
        <is>
          <t>Corregible</t>
        </is>
      </c>
      <c r="E146" s="29" t="n">
        <v>13.23191576952518</v>
      </c>
      <c r="F146" s="35" t="n">
        <v>183.9792929010562</v>
      </c>
      <c r="G146" s="36" t="n">
        <v>2600</v>
      </c>
      <c r="H146" s="29" t="n">
        <v>7.5</v>
      </c>
      <c r="I146" s="16" t="inlineStr">
        <is>
          <t>sí</t>
        </is>
      </c>
      <c r="J146" s="16" t="inlineStr">
        <is>
          <t>O2</t>
        </is>
      </c>
    </row>
    <row r="147">
      <c r="A147" s="16" t="inlineStr">
        <is>
          <t>KF-M02R-n2a-0035</t>
        </is>
      </c>
      <c r="B147" s="37" t="n">
        <v>0.6</v>
      </c>
      <c r="C147" s="37" t="n">
        <v>0.85</v>
      </c>
      <c r="D147" s="39" t="inlineStr">
        <is>
          <t>Corregible</t>
        </is>
      </c>
      <c r="E147" s="29" t="n">
        <v>13.5184591814869</v>
      </c>
      <c r="F147" s="35" t="n">
        <v>194.0008338779038</v>
      </c>
      <c r="G147" s="36" t="n">
        <v>2600</v>
      </c>
      <c r="H147" s="29" t="n">
        <v>7.5</v>
      </c>
      <c r="I147" s="16" t="inlineStr">
        <is>
          <t>sí</t>
        </is>
      </c>
      <c r="J147" s="16" t="inlineStr">
        <is>
          <t>O2</t>
        </is>
      </c>
    </row>
    <row r="148">
      <c r="A148" s="16" t="inlineStr">
        <is>
          <t>KF-M02R-n2a-0034</t>
        </is>
      </c>
      <c r="B148" s="37" t="n">
        <v>0.6</v>
      </c>
      <c r="C148" s="37" t="n">
        <v>0.8999999999999999</v>
      </c>
      <c r="D148" s="39" t="inlineStr">
        <is>
          <t>Corregible</t>
        </is>
      </c>
      <c r="E148" s="29" t="n">
        <v>13.5168036173414</v>
      </c>
      <c r="F148" s="35" t="n">
        <v>199.2219158582272</v>
      </c>
      <c r="G148" s="36" t="n">
        <v>2600</v>
      </c>
      <c r="H148" s="29" t="n">
        <v>7.5</v>
      </c>
      <c r="I148" s="16" t="inlineStr">
        <is>
          <t>sí</t>
        </is>
      </c>
      <c r="J148" s="16" t="inlineStr">
        <is>
          <t>O2</t>
        </is>
      </c>
    </row>
    <row r="149">
      <c r="A149" s="16" t="inlineStr">
        <is>
          <t>KF-M02R-n2a-0033</t>
        </is>
      </c>
      <c r="B149" s="37" t="n">
        <v>0.6</v>
      </c>
      <c r="C149" s="37" t="n">
        <v>0.95</v>
      </c>
      <c r="D149" s="39" t="inlineStr">
        <is>
          <t>Corregible</t>
        </is>
      </c>
      <c r="E149" s="29" t="n">
        <v>13.286304818876</v>
      </c>
      <c r="F149" s="35" t="n">
        <v>200.3342253030847</v>
      </c>
      <c r="G149" s="36" t="n">
        <v>2600</v>
      </c>
      <c r="H149" s="29" t="n">
        <v>7.5</v>
      </c>
      <c r="I149" s="16" t="inlineStr">
        <is>
          <t>sí</t>
        </is>
      </c>
      <c r="J149" s="16" t="inlineStr">
        <is>
          <t>O2</t>
        </is>
      </c>
    </row>
    <row r="150">
      <c r="A150" s="16" t="inlineStr">
        <is>
          <t>KF-M02R-n2a-0036</t>
        </is>
      </c>
      <c r="B150" s="37" t="n">
        <v>0.7</v>
      </c>
      <c r="C150" s="37" t="n">
        <v>0.4</v>
      </c>
      <c r="D150" s="32" t="inlineStr">
        <is>
          <t>No convergió</t>
        </is>
      </c>
      <c r="E150" s="29" t="inlineStr">
        <is>
          <t>—</t>
        </is>
      </c>
      <c r="F150" s="35" t="inlineStr">
        <is>
          <t>—</t>
        </is>
      </c>
      <c r="G150" s="36" t="n">
        <v>2600</v>
      </c>
      <c r="H150" s="29" t="n">
        <v>7.5</v>
      </c>
      <c r="I150" s="16" t="inlineStr">
        <is>
          <t>no</t>
        </is>
      </c>
      <c r="J150" s="16" t="n"/>
    </row>
    <row r="151">
      <c r="A151" s="16" t="inlineStr">
        <is>
          <t>KF-M02R-n2a-0037</t>
        </is>
      </c>
      <c r="B151" s="37" t="n">
        <v>0.7</v>
      </c>
      <c r="C151" s="37" t="n">
        <v>0.45</v>
      </c>
      <c r="D151" s="32" t="inlineStr">
        <is>
          <t>No convergió</t>
        </is>
      </c>
      <c r="E151" s="29" t="inlineStr">
        <is>
          <t>—</t>
        </is>
      </c>
      <c r="F151" s="35" t="inlineStr">
        <is>
          <t>—</t>
        </is>
      </c>
      <c r="G151" s="36" t="n">
        <v>2600</v>
      </c>
      <c r="H151" s="29" t="n">
        <v>7.5</v>
      </c>
      <c r="I151" s="16" t="inlineStr">
        <is>
          <t>no</t>
        </is>
      </c>
      <c r="J151" s="16" t="n"/>
    </row>
    <row r="152">
      <c r="A152" s="16" t="inlineStr">
        <is>
          <t>KF-M02R-n2a-0038</t>
        </is>
      </c>
      <c r="B152" s="37" t="n">
        <v>0.7</v>
      </c>
      <c r="C152" s="37" t="n">
        <v>0.5</v>
      </c>
      <c r="D152" s="32" t="inlineStr">
        <is>
          <t>No convergió</t>
        </is>
      </c>
      <c r="E152" s="29" t="inlineStr">
        <is>
          <t>—</t>
        </is>
      </c>
      <c r="F152" s="35" t="inlineStr">
        <is>
          <t>—</t>
        </is>
      </c>
      <c r="G152" s="36" t="n">
        <v>2600</v>
      </c>
      <c r="H152" s="29" t="n">
        <v>7.5</v>
      </c>
      <c r="I152" s="16" t="inlineStr">
        <is>
          <t>no</t>
        </is>
      </c>
      <c r="J152" s="16" t="n"/>
    </row>
    <row r="153">
      <c r="A153" s="16" t="inlineStr">
        <is>
          <t>KF-M02R-n2a-0040</t>
        </is>
      </c>
      <c r="B153" s="37" t="n">
        <v>0.7</v>
      </c>
      <c r="C153" s="37" t="n">
        <v>0.55</v>
      </c>
      <c r="D153" s="39" t="inlineStr">
        <is>
          <t>Corregible</t>
        </is>
      </c>
      <c r="E153" s="29" t="n">
        <v>9.18501872224245</v>
      </c>
      <c r="F153" s="35" t="n">
        <v>107.9333952168754</v>
      </c>
      <c r="G153" s="36" t="n">
        <v>2600</v>
      </c>
      <c r="H153" s="29" t="n">
        <v>7.5</v>
      </c>
      <c r="I153" s="16" t="inlineStr">
        <is>
          <t>sí</t>
        </is>
      </c>
      <c r="J153" s="16" t="inlineStr">
        <is>
          <t>O1,O2</t>
        </is>
      </c>
    </row>
    <row r="154">
      <c r="A154" s="16" t="inlineStr">
        <is>
          <t>KF-M02R-n2a-0039</t>
        </is>
      </c>
      <c r="B154" s="37" t="n">
        <v>0.7</v>
      </c>
      <c r="C154" s="37" t="n">
        <v>0.6</v>
      </c>
      <c r="D154" s="39" t="inlineStr">
        <is>
          <t>Corregible</t>
        </is>
      </c>
      <c r="E154" s="29" t="n">
        <v>10.24462477811426</v>
      </c>
      <c r="F154" s="35" t="n">
        <v>130.1659612436682</v>
      </c>
      <c r="G154" s="36" t="n">
        <v>2600</v>
      </c>
      <c r="H154" s="29" t="n">
        <v>7.5</v>
      </c>
      <c r="I154" s="16" t="inlineStr">
        <is>
          <t>sí</t>
        </is>
      </c>
      <c r="J154" s="16" t="inlineStr">
        <is>
          <t>O1,O2</t>
        </is>
      </c>
    </row>
    <row r="155">
      <c r="A155" s="16" t="inlineStr">
        <is>
          <t>KF-M02R-n2a-0041</t>
        </is>
      </c>
      <c r="B155" s="37" t="n">
        <v>0.7</v>
      </c>
      <c r="C155" s="37" t="n">
        <v>0.65</v>
      </c>
      <c r="D155" s="39" t="inlineStr">
        <is>
          <t>Corregible</t>
        </is>
      </c>
      <c r="E155" s="29" t="n">
        <v>11.12919413163956</v>
      </c>
      <c r="F155" s="35" t="n">
        <v>151.5339320494096</v>
      </c>
      <c r="G155" s="36" t="n">
        <v>2600</v>
      </c>
      <c r="H155" s="29" t="n">
        <v>7.5</v>
      </c>
      <c r="I155" s="16" t="inlineStr">
        <is>
          <t>sí</t>
        </is>
      </c>
      <c r="J155" s="16" t="inlineStr">
        <is>
          <t>O1,O2</t>
        </is>
      </c>
    </row>
    <row r="156">
      <c r="A156" s="16" t="inlineStr">
        <is>
          <t>KF-M02R-n2a-0042</t>
        </is>
      </c>
      <c r="B156" s="37" t="n">
        <v>0.7</v>
      </c>
      <c r="C156" s="37" t="n">
        <v>0.7</v>
      </c>
      <c r="D156" s="39" t="inlineStr">
        <is>
          <t>Corregible</t>
        </is>
      </c>
      <c r="E156" s="29" t="n">
        <v>11.8856261712432</v>
      </c>
      <c r="F156" s="35" t="n">
        <v>172.1555920929179</v>
      </c>
      <c r="G156" s="36" t="n">
        <v>2600</v>
      </c>
      <c r="H156" s="29" t="n">
        <v>7.5</v>
      </c>
      <c r="I156" s="16" t="inlineStr">
        <is>
          <t>sí</t>
        </is>
      </c>
      <c r="J156" s="16" t="inlineStr">
        <is>
          <t>O2</t>
        </is>
      </c>
    </row>
    <row r="157">
      <c r="A157" s="16" t="inlineStr">
        <is>
          <t>KF-M02R-n2a-0043</t>
        </is>
      </c>
      <c r="B157" s="37" t="n">
        <v>0.7</v>
      </c>
      <c r="C157" s="37" t="n">
        <v>0.75</v>
      </c>
      <c r="D157" s="39" t="inlineStr">
        <is>
          <t>Corregible</t>
        </is>
      </c>
      <c r="E157" s="29" t="n">
        <v>12.54605090564169</v>
      </c>
      <c r="F157" s="35" t="n">
        <v>192.1394053250799</v>
      </c>
      <c r="G157" s="36" t="n">
        <v>2600</v>
      </c>
      <c r="H157" s="29" t="n">
        <v>7.5</v>
      </c>
      <c r="I157" s="16" t="inlineStr">
        <is>
          <t>sí</t>
        </is>
      </c>
      <c r="J157" s="16" t="inlineStr">
        <is>
          <t>O2</t>
        </is>
      </c>
    </row>
    <row r="158">
      <c r="A158" s="16" t="inlineStr">
        <is>
          <t>KF-M02R-n2a-0048</t>
        </is>
      </c>
      <c r="B158" s="37" t="n">
        <v>0.7</v>
      </c>
      <c r="C158" s="37" t="n">
        <v>0.8</v>
      </c>
      <c r="D158" s="39" t="inlineStr">
        <is>
          <t>Corregible</t>
        </is>
      </c>
      <c r="E158" s="29" t="n">
        <v>13.13284705594226</v>
      </c>
      <c r="F158" s="35" t="n">
        <v>211.4569646865727</v>
      </c>
      <c r="G158" s="36" t="n">
        <v>2600</v>
      </c>
      <c r="H158" s="29" t="n">
        <v>7.5</v>
      </c>
      <c r="I158" s="16" t="inlineStr">
        <is>
          <t>sí</t>
        </is>
      </c>
      <c r="J158" s="16" t="inlineStr">
        <is>
          <t>O2</t>
        </is>
      </c>
    </row>
    <row r="159">
      <c r="A159" s="16" t="inlineStr">
        <is>
          <t>KF-M02R-n2a-0047</t>
        </is>
      </c>
      <c r="B159" s="37" t="n">
        <v>0.7</v>
      </c>
      <c r="C159" s="37" t="n">
        <v>0.85</v>
      </c>
      <c r="D159" s="39" t="inlineStr">
        <is>
          <t>Corregible</t>
        </is>
      </c>
      <c r="E159" s="29" t="n">
        <v>13.48984340457229</v>
      </c>
      <c r="F159" s="35" t="n">
        <v>226.3285932543758</v>
      </c>
      <c r="G159" s="36" t="n">
        <v>2600</v>
      </c>
      <c r="H159" s="29" t="n">
        <v>7.5</v>
      </c>
      <c r="I159" s="16" t="inlineStr">
        <is>
          <t>sí</t>
        </is>
      </c>
      <c r="J159" s="16" t="inlineStr">
        <is>
          <t>O2</t>
        </is>
      </c>
    </row>
    <row r="160">
      <c r="A160" s="16" t="inlineStr">
        <is>
          <t>KF-M02R-n2a-0046</t>
        </is>
      </c>
      <c r="B160" s="37" t="n">
        <v>0.7</v>
      </c>
      <c r="C160" s="37" t="n">
        <v>0.8999999999999999</v>
      </c>
      <c r="D160" s="39" t="inlineStr">
        <is>
          <t>Corregible</t>
        </is>
      </c>
      <c r="E160" s="29" t="n">
        <v>13.52697651742395</v>
      </c>
      <c r="F160" s="35" t="n">
        <v>235.0224875225786</v>
      </c>
      <c r="G160" s="36" t="n">
        <v>2600</v>
      </c>
      <c r="H160" s="29" t="n">
        <v>7.5</v>
      </c>
      <c r="I160" s="16" t="inlineStr">
        <is>
          <t>sí</t>
        </is>
      </c>
      <c r="J160" s="16" t="inlineStr">
        <is>
          <t>O2</t>
        </is>
      </c>
    </row>
    <row r="161">
      <c r="A161" s="16" t="inlineStr">
        <is>
          <t>KF-M02R-n2a-0049</t>
        </is>
      </c>
      <c r="B161" s="37" t="n">
        <v>0.7</v>
      </c>
      <c r="C161" s="37" t="n">
        <v>0.95</v>
      </c>
      <c r="D161" s="39" t="inlineStr">
        <is>
          <t>Corregible</t>
        </is>
      </c>
      <c r="E161" s="29" t="n">
        <v>13.30186839143493</v>
      </c>
      <c r="F161" s="35" t="n">
        <v>238.1266541164387</v>
      </c>
      <c r="G161" s="36" t="n">
        <v>2600</v>
      </c>
      <c r="H161" s="29" t="n">
        <v>7.5</v>
      </c>
      <c r="I161" s="16" t="inlineStr">
        <is>
          <t>sí</t>
        </is>
      </c>
      <c r="J161" s="16" t="inlineStr">
        <is>
          <t>O2</t>
        </is>
      </c>
    </row>
    <row r="162">
      <c r="A162" s="16" t="inlineStr">
        <is>
          <t>KF-M02R-n2a-0044</t>
        </is>
      </c>
      <c r="B162" s="37" t="n">
        <v>0.8</v>
      </c>
      <c r="C162" s="37" t="n">
        <v>0.4</v>
      </c>
      <c r="D162" s="32" t="inlineStr">
        <is>
          <t>No convergió</t>
        </is>
      </c>
      <c r="E162" s="29" t="inlineStr">
        <is>
          <t>—</t>
        </is>
      </c>
      <c r="F162" s="35" t="inlineStr">
        <is>
          <t>—</t>
        </is>
      </c>
      <c r="G162" s="36" t="n">
        <v>2600</v>
      </c>
      <c r="H162" s="29" t="n">
        <v>7.5</v>
      </c>
      <c r="I162" s="16" t="inlineStr">
        <is>
          <t>no</t>
        </is>
      </c>
      <c r="J162" s="16" t="n"/>
    </row>
    <row r="163">
      <c r="A163" s="16" t="inlineStr">
        <is>
          <t>KF-M02R-n2a-0045</t>
        </is>
      </c>
      <c r="B163" s="37" t="n">
        <v>0.8</v>
      </c>
      <c r="C163" s="37" t="n">
        <v>0.45</v>
      </c>
      <c r="D163" s="32" t="inlineStr">
        <is>
          <t>No convergió</t>
        </is>
      </c>
      <c r="E163" s="29" t="inlineStr">
        <is>
          <t>—</t>
        </is>
      </c>
      <c r="F163" s="35" t="inlineStr">
        <is>
          <t>—</t>
        </is>
      </c>
      <c r="G163" s="36" t="n">
        <v>2600</v>
      </c>
      <c r="H163" s="29" t="n">
        <v>7.5</v>
      </c>
      <c r="I163" s="16" t="inlineStr">
        <is>
          <t>no</t>
        </is>
      </c>
      <c r="J163" s="16" t="n"/>
    </row>
    <row r="164">
      <c r="A164" s="16" t="inlineStr">
        <is>
          <t>KF-M02R-n2a-0052</t>
        </is>
      </c>
      <c r="B164" s="37" t="n">
        <v>0.8</v>
      </c>
      <c r="C164" s="37" t="n">
        <v>0.5</v>
      </c>
      <c r="D164" s="32" t="inlineStr">
        <is>
          <t>No convergió</t>
        </is>
      </c>
      <c r="E164" s="29" t="inlineStr">
        <is>
          <t>—</t>
        </is>
      </c>
      <c r="F164" s="35" t="inlineStr">
        <is>
          <t>—</t>
        </is>
      </c>
      <c r="G164" s="36" t="n">
        <v>2600</v>
      </c>
      <c r="H164" s="29" t="n">
        <v>7.5</v>
      </c>
      <c r="I164" s="16" t="inlineStr">
        <is>
          <t>no</t>
        </is>
      </c>
      <c r="J164" s="16" t="n"/>
    </row>
    <row r="165">
      <c r="A165" s="16" t="inlineStr">
        <is>
          <t>KF-M02R-n2a-0050</t>
        </is>
      </c>
      <c r="B165" s="37" t="n">
        <v>0.8</v>
      </c>
      <c r="C165" s="37" t="n">
        <v>0.55</v>
      </c>
      <c r="D165" s="32" t="inlineStr">
        <is>
          <t>No convergió</t>
        </is>
      </c>
      <c r="E165" s="29" t="inlineStr">
        <is>
          <t>—</t>
        </is>
      </c>
      <c r="F165" s="35" t="inlineStr">
        <is>
          <t>—</t>
        </is>
      </c>
      <c r="G165" s="36" t="n">
        <v>2600</v>
      </c>
      <c r="H165" s="29" t="n">
        <v>7.5</v>
      </c>
      <c r="I165" s="16" t="inlineStr">
        <is>
          <t>no</t>
        </is>
      </c>
      <c r="J165" s="16" t="n"/>
    </row>
    <row r="166">
      <c r="A166" s="16" t="inlineStr">
        <is>
          <t>KF-M02R-n2a-0051</t>
        </is>
      </c>
      <c r="B166" s="37" t="n">
        <v>0.8</v>
      </c>
      <c r="C166" s="37" t="n">
        <v>0.6</v>
      </c>
      <c r="D166" s="32" t="inlineStr">
        <is>
          <t>No convergió</t>
        </is>
      </c>
      <c r="E166" s="29" t="inlineStr">
        <is>
          <t>—</t>
        </is>
      </c>
      <c r="F166" s="35" t="inlineStr">
        <is>
          <t>—</t>
        </is>
      </c>
      <c r="G166" s="36" t="n">
        <v>2600</v>
      </c>
      <c r="H166" s="29" t="n">
        <v>7.5</v>
      </c>
      <c r="I166" s="16" t="inlineStr">
        <is>
          <t>no</t>
        </is>
      </c>
      <c r="J166" s="16" t="n"/>
    </row>
    <row r="167">
      <c r="A167" s="16" t="inlineStr">
        <is>
          <t>KF-M02R-n2a-0053</t>
        </is>
      </c>
      <c r="B167" s="37" t="n">
        <v>0.8</v>
      </c>
      <c r="C167" s="37" t="n">
        <v>0.65</v>
      </c>
      <c r="D167" s="32" t="inlineStr">
        <is>
          <t>No convergió</t>
        </is>
      </c>
      <c r="E167" s="29" t="inlineStr">
        <is>
          <t>—</t>
        </is>
      </c>
      <c r="F167" s="35" t="inlineStr">
        <is>
          <t>—</t>
        </is>
      </c>
      <c r="G167" s="36" t="n">
        <v>2600</v>
      </c>
      <c r="H167" s="29" t="n">
        <v>7.5</v>
      </c>
      <c r="I167" s="16" t="inlineStr">
        <is>
          <t>no</t>
        </is>
      </c>
      <c r="J167" s="16" t="n"/>
    </row>
    <row r="168">
      <c r="A168" s="16" t="inlineStr">
        <is>
          <t>KF-M02R-n2a-0054</t>
        </is>
      </c>
      <c r="B168" s="37" t="n">
        <v>0.8</v>
      </c>
      <c r="C168" s="37" t="n">
        <v>0.7</v>
      </c>
      <c r="D168" s="32" t="inlineStr">
        <is>
          <t>No convergió</t>
        </is>
      </c>
      <c r="E168" s="29" t="inlineStr">
        <is>
          <t>—</t>
        </is>
      </c>
      <c r="F168" s="35" t="inlineStr">
        <is>
          <t>—</t>
        </is>
      </c>
      <c r="G168" s="36" t="n">
        <v>2600</v>
      </c>
      <c r="H168" s="29" t="n">
        <v>7.5</v>
      </c>
      <c r="I168" s="16" t="inlineStr">
        <is>
          <t>no</t>
        </is>
      </c>
      <c r="J168" s="16" t="n"/>
    </row>
    <row r="169">
      <c r="A169" s="16" t="inlineStr">
        <is>
          <t>KF-M02R-n2a-0057</t>
        </is>
      </c>
      <c r="B169" s="37" t="n">
        <v>0.8</v>
      </c>
      <c r="C169" s="37" t="n">
        <v>0.75</v>
      </c>
      <c r="D169" s="39" t="inlineStr">
        <is>
          <t>Corregible</t>
        </is>
      </c>
      <c r="E169" s="29" t="n">
        <v>12.4983232542936</v>
      </c>
      <c r="F169" s="35" t="n">
        <v>214.9616977183475</v>
      </c>
      <c r="G169" s="36" t="n">
        <v>2600</v>
      </c>
      <c r="H169" s="29" t="n">
        <v>7.5</v>
      </c>
      <c r="I169" s="16" t="inlineStr">
        <is>
          <t>sí</t>
        </is>
      </c>
      <c r="J169" s="16" t="inlineStr">
        <is>
          <t>O1,O2</t>
        </is>
      </c>
    </row>
    <row r="170">
      <c r="A170" s="16" t="inlineStr">
        <is>
          <t>KF-M02R-n2a-0056</t>
        </is>
      </c>
      <c r="B170" s="37" t="n">
        <v>0.8</v>
      </c>
      <c r="C170" s="37" t="n">
        <v>0.8</v>
      </c>
      <c r="D170" s="39" t="inlineStr">
        <is>
          <t>Corregible</t>
        </is>
      </c>
      <c r="E170" s="29" t="n">
        <v>13.05256955921826</v>
      </c>
      <c r="F170" s="35" t="n">
        <v>237.901343628812</v>
      </c>
      <c r="G170" s="36" t="n">
        <v>2600</v>
      </c>
      <c r="H170" s="29" t="n">
        <v>7.5</v>
      </c>
      <c r="I170" s="16" t="inlineStr">
        <is>
          <t>sí</t>
        </is>
      </c>
      <c r="J170" s="16" t="inlineStr">
        <is>
          <t>O1,O2</t>
        </is>
      </c>
    </row>
    <row r="171">
      <c r="A171" s="16" t="inlineStr">
        <is>
          <t>KF-M02R-n2a-0058</t>
        </is>
      </c>
      <c r="B171" s="37" t="n">
        <v>0.8</v>
      </c>
      <c r="C171" s="37" t="n">
        <v>0.85</v>
      </c>
      <c r="D171" s="39" t="inlineStr">
        <is>
          <t>Corregible</t>
        </is>
      </c>
      <c r="E171" s="29" t="n">
        <v>13.45666226449551</v>
      </c>
      <c r="F171" s="35" t="n">
        <v>258.318098609209</v>
      </c>
      <c r="G171" s="36" t="n">
        <v>2600</v>
      </c>
      <c r="H171" s="29" t="n">
        <v>7.5</v>
      </c>
      <c r="I171" s="16" t="inlineStr">
        <is>
          <t>sí</t>
        </is>
      </c>
      <c r="J171" s="16" t="inlineStr">
        <is>
          <t>O1,O2</t>
        </is>
      </c>
    </row>
    <row r="172">
      <c r="A172" s="16" t="inlineStr">
        <is>
          <t>KF-M02R-n2a-0059</t>
        </is>
      </c>
      <c r="B172" s="37" t="n">
        <v>0.8</v>
      </c>
      <c r="C172" s="37" t="n">
        <v>0.8999999999999999</v>
      </c>
      <c r="D172" s="39" t="inlineStr">
        <is>
          <t>Corregible</t>
        </is>
      </c>
      <c r="E172" s="29" t="n">
        <v>13.52674731048322</v>
      </c>
      <c r="F172" s="35" t="n">
        <v>271.4765289500496</v>
      </c>
      <c r="G172" s="36" t="n">
        <v>2600</v>
      </c>
      <c r="H172" s="29" t="n">
        <v>7.5</v>
      </c>
      <c r="I172" s="16" t="inlineStr">
        <is>
          <t>sí</t>
        </is>
      </c>
      <c r="J172" s="16" t="inlineStr">
        <is>
          <t>O1,O2</t>
        </is>
      </c>
    </row>
    <row r="173">
      <c r="A173" s="16" t="inlineStr">
        <is>
          <t>KF-M02R-n2a-0055</t>
        </is>
      </c>
      <c r="B173" s="37" t="n">
        <v>0.8</v>
      </c>
      <c r="C173" s="37" t="n">
        <v>0.95</v>
      </c>
      <c r="D173" s="32" t="inlineStr">
        <is>
          <t>No convergió</t>
        </is>
      </c>
      <c r="E173" s="29" t="inlineStr">
        <is>
          <t>—</t>
        </is>
      </c>
      <c r="F173" s="35" t="inlineStr">
        <is>
          <t>—</t>
        </is>
      </c>
      <c r="G173" s="36" t="n">
        <v>2600</v>
      </c>
      <c r="H173" s="29" t="n">
        <v>7.5</v>
      </c>
      <c r="I173" s="16" t="inlineStr">
        <is>
          <t>no</t>
        </is>
      </c>
      <c r="J173" s="16" t="n"/>
    </row>
    <row r="174"/>
    <row r="175">
      <c r="A175" s="33" t="inlineStr">
        <is>
          <t>Parte 2.3c · ε_HRVG × P_baja · 64 puntos</t>
        </is>
      </c>
      <c r="B175" s="31" t="n"/>
      <c r="C175" s="31" t="n"/>
      <c r="D175" s="31" t="n"/>
      <c r="E175" s="31" t="n"/>
      <c r="F175" s="31" t="n"/>
      <c r="G175" s="31" t="n"/>
      <c r="H175" s="31" t="n"/>
      <c r="I175" s="31" t="n"/>
      <c r="J175" s="31" t="n"/>
      <c r="K175" s="31" t="n"/>
      <c r="M175" s="24" t="inlineStr">
        <is>
          <t>Figura 2.3-3 · Parte 2.3c: 19 KALINA con η y ε en [0.40, 0.95]</t>
        </is>
      </c>
    </row>
    <row r="176"/>
    <row r="177">
      <c r="A177" s="34" t="inlineStr">
        <is>
          <t>Barrido de la parte 2.3c · 64 puntos</t>
        </is>
      </c>
    </row>
    <row r="178">
      <c r="A178" s="25" t="inlineStr">
        <is>
          <t>Fijos en este barrido: T_fuente = 623.15, T_sumidero = 300.03, P_alta = 3000, x_b = 0.5, η_t = 0.85, η_p = 0.75, ε_reg = 0.75, ε_cond = 0.8.</t>
        </is>
      </c>
    </row>
    <row r="179">
      <c r="A179" s="25" t="inlineStr">
        <is>
          <t>Tipos de punto: malla 48, bisección 16.</t>
        </is>
      </c>
    </row>
    <row r="180">
      <c r="A180" s="22" t="inlineStr">
        <is>
          <t>id_punto</t>
        </is>
      </c>
      <c r="B180" s="22" t="inlineStr">
        <is>
          <t>P_baja [kPa]</t>
        </is>
      </c>
      <c r="C180" s="22" t="inlineStr">
        <is>
          <t>ε_HRVG [–]</t>
        </is>
      </c>
      <c r="D180" s="22" t="inlineStr">
        <is>
          <t>Clase</t>
        </is>
      </c>
      <c r="E180" s="22" t="inlineStr">
        <is>
          <t>η [%]</t>
        </is>
      </c>
      <c r="F180" s="22" t="inlineStr">
        <is>
          <t>W_net [kW] (m_b = 1 kg/s)</t>
        </is>
      </c>
      <c r="G180" s="22" t="inlineStr">
        <is>
          <t>ΔP [kPa]</t>
        </is>
      </c>
      <c r="H180" s="22" t="inlineStr">
        <is>
          <t>r_P [–]</t>
        </is>
      </c>
      <c r="I180" s="22" t="inlineStr">
        <is>
          <t>Fuera de rango</t>
        </is>
      </c>
      <c r="J180" s="22" t="inlineStr">
        <is>
          <t>Criterios que falla</t>
        </is>
      </c>
      <c r="K180" s="22" t="inlineStr">
        <is>
          <t>Tipo de punto</t>
        </is>
      </c>
    </row>
    <row r="181">
      <c r="A181" s="16" t="inlineStr">
        <is>
          <t>KF-M02R-n2b-0000</t>
        </is>
      </c>
      <c r="B181" s="35" t="n">
        <v>400</v>
      </c>
      <c r="C181" s="37" t="n">
        <v>0.4</v>
      </c>
      <c r="D181" s="39" t="inlineStr">
        <is>
          <t>Corregible</t>
        </is>
      </c>
      <c r="E181" s="29" t="n">
        <v>13.31771154737231</v>
      </c>
      <c r="F181" s="35" t="n">
        <v>124.9305023358619</v>
      </c>
      <c r="G181" s="36" t="n">
        <v>2600</v>
      </c>
      <c r="H181" s="29" t="n">
        <v>7.5</v>
      </c>
      <c r="I181" s="16" t="inlineStr">
        <is>
          <t>sí</t>
        </is>
      </c>
      <c r="J181" s="16" t="inlineStr">
        <is>
          <t>O2</t>
        </is>
      </c>
      <c r="K181" s="16" t="inlineStr">
        <is>
          <t>malla</t>
        </is>
      </c>
    </row>
    <row r="182">
      <c r="A182" s="16" t="inlineStr">
        <is>
          <t>KF-M02R-n2b-0010</t>
        </is>
      </c>
      <c r="B182" s="35" t="n">
        <v>400</v>
      </c>
      <c r="C182" s="37" t="n">
        <v>0.5</v>
      </c>
      <c r="D182" s="32" t="inlineStr">
        <is>
          <t>No convergió</t>
        </is>
      </c>
      <c r="E182" s="29" t="inlineStr">
        <is>
          <t>—</t>
        </is>
      </c>
      <c r="F182" s="35" t="inlineStr">
        <is>
          <t>—</t>
        </is>
      </c>
      <c r="G182" s="36" t="n">
        <v>2600</v>
      </c>
      <c r="H182" s="29" t="n">
        <v>7.5</v>
      </c>
      <c r="I182" s="16" t="inlineStr">
        <is>
          <t>no</t>
        </is>
      </c>
      <c r="J182" s="16" t="n"/>
      <c r="K182" s="16" t="inlineStr">
        <is>
          <t>malla</t>
        </is>
      </c>
    </row>
    <row r="183">
      <c r="A183" s="16" t="inlineStr">
        <is>
          <t>KF-M02R-n2b-0022</t>
        </is>
      </c>
      <c r="B183" s="35" t="n">
        <v>400</v>
      </c>
      <c r="C183" s="37" t="n">
        <v>0.6</v>
      </c>
      <c r="D183" s="39" t="inlineStr">
        <is>
          <t>Corregible</t>
        </is>
      </c>
      <c r="E183" s="29" t="n">
        <v>13.23191576952518</v>
      </c>
      <c r="F183" s="35" t="n">
        <v>183.9792929010562</v>
      </c>
      <c r="G183" s="36" t="n">
        <v>2600</v>
      </c>
      <c r="H183" s="29" t="n">
        <v>7.5</v>
      </c>
      <c r="I183" s="16" t="inlineStr">
        <is>
          <t>sí</t>
        </is>
      </c>
      <c r="J183" s="16" t="inlineStr">
        <is>
          <t>O2</t>
        </is>
      </c>
      <c r="K183" s="16" t="inlineStr">
        <is>
          <t>malla</t>
        </is>
      </c>
    </row>
    <row r="184">
      <c r="A184" s="16" t="inlineStr">
        <is>
          <t>KF-M02R-n2b-0036</t>
        </is>
      </c>
      <c r="B184" s="35" t="n">
        <v>400</v>
      </c>
      <c r="C184" s="37" t="n">
        <v>0.7</v>
      </c>
      <c r="D184" s="39" t="inlineStr">
        <is>
          <t>Corregible</t>
        </is>
      </c>
      <c r="E184" s="29" t="n">
        <v>13.13284705594226</v>
      </c>
      <c r="F184" s="35" t="n">
        <v>211.4569646865727</v>
      </c>
      <c r="G184" s="36" t="n">
        <v>2600</v>
      </c>
      <c r="H184" s="29" t="n">
        <v>7.5</v>
      </c>
      <c r="I184" s="16" t="inlineStr">
        <is>
          <t>sí</t>
        </is>
      </c>
      <c r="J184" s="16" t="inlineStr">
        <is>
          <t>O2</t>
        </is>
      </c>
      <c r="K184" s="16" t="inlineStr">
        <is>
          <t>malla</t>
        </is>
      </c>
    </row>
    <row r="185">
      <c r="A185" s="16" t="inlineStr">
        <is>
          <t>KF-M02R-n2b-0001</t>
        </is>
      </c>
      <c r="B185" s="35" t="n">
        <v>545.4545454545455</v>
      </c>
      <c r="C185" s="37" t="n">
        <v>0.4</v>
      </c>
      <c r="D185" s="39" t="inlineStr">
        <is>
          <t>Corregible</t>
        </is>
      </c>
      <c r="E185" s="29" t="n">
        <v>11.78969836323735</v>
      </c>
      <c r="F185" s="35" t="n">
        <v>110.651555870585</v>
      </c>
      <c r="G185" s="36" t="n">
        <v>2454.545454545455</v>
      </c>
      <c r="H185" s="29" t="n">
        <v>5.5</v>
      </c>
      <c r="I185" s="16" t="inlineStr">
        <is>
          <t>sí</t>
        </is>
      </c>
      <c r="J185" s="16" t="inlineStr">
        <is>
          <t>O2</t>
        </is>
      </c>
      <c r="K185" s="16" t="inlineStr">
        <is>
          <t>malla</t>
        </is>
      </c>
    </row>
    <row r="186">
      <c r="A186" s="16" t="inlineStr">
        <is>
          <t>KF-M02R-n2b-0013</t>
        </is>
      </c>
      <c r="B186" s="35" t="n">
        <v>545.4545454545455</v>
      </c>
      <c r="C186" s="37" t="n">
        <v>0.5</v>
      </c>
      <c r="D186" s="39" t="inlineStr">
        <is>
          <t>Corregible</t>
        </is>
      </c>
      <c r="E186" s="29" t="n">
        <v>11.76709895467043</v>
      </c>
      <c r="F186" s="35" t="n">
        <v>137.2796215690566</v>
      </c>
      <c r="G186" s="36" t="n">
        <v>2454.545454545455</v>
      </c>
      <c r="H186" s="29" t="n">
        <v>5.5</v>
      </c>
      <c r="I186" s="16" t="inlineStr">
        <is>
          <t>sí</t>
        </is>
      </c>
      <c r="J186" s="16" t="inlineStr">
        <is>
          <t>O2</t>
        </is>
      </c>
      <c r="K186" s="16" t="inlineStr">
        <is>
          <t>malla</t>
        </is>
      </c>
    </row>
    <row r="187">
      <c r="A187" s="16" t="inlineStr">
        <is>
          <t>KF-M02R-n2b-0023</t>
        </is>
      </c>
      <c r="B187" s="35" t="n">
        <v>545.4545454545455</v>
      </c>
      <c r="C187" s="37" t="n">
        <v>0.6</v>
      </c>
      <c r="D187" s="39" t="inlineStr">
        <is>
          <t>Corregible</t>
        </is>
      </c>
      <c r="E187" s="29" t="n">
        <v>11.66592557766146</v>
      </c>
      <c r="F187" s="35" t="n">
        <v>162.3798694967656</v>
      </c>
      <c r="G187" s="36" t="n">
        <v>2454.545454545455</v>
      </c>
      <c r="H187" s="29" t="n">
        <v>5.5</v>
      </c>
      <c r="I187" s="16" t="inlineStr">
        <is>
          <t>sí</t>
        </is>
      </c>
      <c r="J187" s="16" t="inlineStr">
        <is>
          <t>O2</t>
        </is>
      </c>
      <c r="K187" s="16" t="inlineStr">
        <is>
          <t>malla</t>
        </is>
      </c>
    </row>
    <row r="188">
      <c r="A188" s="16" t="inlineStr">
        <is>
          <t>KF-M02R-n2b-0037</t>
        </is>
      </c>
      <c r="B188" s="35" t="n">
        <v>545.4545454545455</v>
      </c>
      <c r="C188" s="37" t="n">
        <v>0.7</v>
      </c>
      <c r="D188" s="39" t="inlineStr">
        <is>
          <t>Corregible</t>
        </is>
      </c>
      <c r="E188" s="29" t="n">
        <v>11.54469437517447</v>
      </c>
      <c r="F188" s="35" t="n">
        <v>186.1471640645814</v>
      </c>
      <c r="G188" s="36" t="n">
        <v>2454.545454545455</v>
      </c>
      <c r="H188" s="29" t="n">
        <v>5.5</v>
      </c>
      <c r="I188" s="16" t="inlineStr">
        <is>
          <t>sí</t>
        </is>
      </c>
      <c r="J188" s="16" t="inlineStr">
        <is>
          <t>O2</t>
        </is>
      </c>
      <c r="K188" s="16" t="inlineStr">
        <is>
          <t>malla</t>
        </is>
      </c>
    </row>
    <row r="189">
      <c r="A189" s="16" t="inlineStr">
        <is>
          <t>KF-M02R-n2b-0002</t>
        </is>
      </c>
      <c r="B189" s="35" t="n">
        <v>690.909090909091</v>
      </c>
      <c r="C189" s="37" t="n">
        <v>0.4</v>
      </c>
      <c r="D189" s="39" t="inlineStr">
        <is>
          <t>Corregible</t>
        </is>
      </c>
      <c r="E189" s="29" t="n">
        <v>10.49147869952683</v>
      </c>
      <c r="F189" s="35" t="n">
        <v>98.47420350618302</v>
      </c>
      <c r="G189" s="36" t="n">
        <v>2309.090909090909</v>
      </c>
      <c r="H189" s="29" t="n">
        <v>4.342105263157894</v>
      </c>
      <c r="I189" s="16" t="inlineStr">
        <is>
          <t>sí</t>
        </is>
      </c>
      <c r="J189" s="16" t="inlineStr">
        <is>
          <t>O2</t>
        </is>
      </c>
      <c r="K189" s="16" t="inlineStr">
        <is>
          <t>malla</t>
        </is>
      </c>
    </row>
    <row r="190">
      <c r="A190" s="16" t="inlineStr">
        <is>
          <t>KF-M02R-n2b-0015</t>
        </is>
      </c>
      <c r="B190" s="35" t="n">
        <v>690.909090909091</v>
      </c>
      <c r="C190" s="37" t="n">
        <v>0.5</v>
      </c>
      <c r="D190" s="39" t="inlineStr">
        <is>
          <t>Corregible</t>
        </is>
      </c>
      <c r="E190" s="29" t="n">
        <v>10.47487205054168</v>
      </c>
      <c r="F190" s="35" t="n">
        <v>122.2341217055296</v>
      </c>
      <c r="G190" s="36" t="n">
        <v>2309.090909090909</v>
      </c>
      <c r="H190" s="29" t="n">
        <v>4.342105263157894</v>
      </c>
      <c r="I190" s="16" t="inlineStr">
        <is>
          <t>sí</t>
        </is>
      </c>
      <c r="J190" s="16" t="inlineStr">
        <is>
          <t>O2</t>
        </is>
      </c>
      <c r="K190" s="16" t="inlineStr">
        <is>
          <t>malla</t>
        </is>
      </c>
    </row>
    <row r="191">
      <c r="A191" s="16" t="inlineStr">
        <is>
          <t>KF-M02R-n2b-0026</t>
        </is>
      </c>
      <c r="B191" s="35" t="n">
        <v>690.909090909091</v>
      </c>
      <c r="C191" s="37" t="n">
        <v>0.6</v>
      </c>
      <c r="D191" s="39" t="inlineStr">
        <is>
          <t>Corregible</t>
        </is>
      </c>
      <c r="E191" s="29" t="n">
        <v>10.37320681520062</v>
      </c>
      <c r="F191" s="35" t="n">
        <v>144.4516549839209</v>
      </c>
      <c r="G191" s="36" t="n">
        <v>2309.090909090909</v>
      </c>
      <c r="H191" s="29" t="n">
        <v>4.342105263157894</v>
      </c>
      <c r="I191" s="16" t="inlineStr">
        <is>
          <t>sí</t>
        </is>
      </c>
      <c r="J191" s="16" t="inlineStr">
        <is>
          <t>O2</t>
        </is>
      </c>
      <c r="K191" s="16" t="inlineStr">
        <is>
          <t>malla</t>
        </is>
      </c>
    </row>
    <row r="192">
      <c r="A192" s="16" t="inlineStr">
        <is>
          <t>KF-M02R-n2b-0038</t>
        </is>
      </c>
      <c r="B192" s="35" t="n">
        <v>690.909090909091</v>
      </c>
      <c r="C192" s="37" t="n">
        <v>0.7</v>
      </c>
      <c r="D192" s="39" t="inlineStr">
        <is>
          <t>Corregible</t>
        </is>
      </c>
      <c r="E192" s="29" t="n">
        <v>10.24493916279407</v>
      </c>
      <c r="F192" s="35" t="n">
        <v>165.3022014520104</v>
      </c>
      <c r="G192" s="36" t="n">
        <v>2309.090909090909</v>
      </c>
      <c r="H192" s="29" t="n">
        <v>4.342105263157894</v>
      </c>
      <c r="I192" s="16" t="inlineStr">
        <is>
          <t>sí</t>
        </is>
      </c>
      <c r="J192" s="16" t="inlineStr">
        <is>
          <t>O2</t>
        </is>
      </c>
      <c r="K192" s="16" t="inlineStr">
        <is>
          <t>malla</t>
        </is>
      </c>
    </row>
    <row r="193">
      <c r="A193" s="16" t="inlineStr">
        <is>
          <t>KF-M02R-n2b-0003</t>
        </is>
      </c>
      <c r="B193" s="35" t="n">
        <v>836.3636363636364</v>
      </c>
      <c r="C193" s="37" t="n">
        <v>0.4</v>
      </c>
      <c r="D193" s="39" t="inlineStr">
        <is>
          <t>Corregible</t>
        </is>
      </c>
      <c r="E193" s="29" t="n">
        <v>9.350757126524387</v>
      </c>
      <c r="F193" s="35" t="n">
        <v>87.75395292187814</v>
      </c>
      <c r="G193" s="36" t="n">
        <v>2163.636363636364</v>
      </c>
      <c r="H193" s="29" t="n">
        <v>3.58695652173913</v>
      </c>
      <c r="I193" s="16" t="inlineStr">
        <is>
          <t>sí</t>
        </is>
      </c>
      <c r="J193" s="16" t="inlineStr">
        <is>
          <t>O2</t>
        </is>
      </c>
      <c r="K193" s="16" t="inlineStr">
        <is>
          <t>malla</t>
        </is>
      </c>
    </row>
    <row r="194">
      <c r="A194" s="16" t="inlineStr">
        <is>
          <t>KF-M02R-n2b-0014</t>
        </is>
      </c>
      <c r="B194" s="35" t="n">
        <v>836.3636363636364</v>
      </c>
      <c r="C194" s="37" t="n">
        <v>0.5</v>
      </c>
      <c r="D194" s="32" t="inlineStr">
        <is>
          <t>No convergió</t>
        </is>
      </c>
      <c r="E194" s="29" t="inlineStr">
        <is>
          <t>—</t>
        </is>
      </c>
      <c r="F194" s="35" t="inlineStr">
        <is>
          <t>—</t>
        </is>
      </c>
      <c r="G194" s="36" t="n">
        <v>2163.636363636364</v>
      </c>
      <c r="H194" s="29" t="n">
        <v>3.58695652173913</v>
      </c>
      <c r="I194" s="16" t="inlineStr">
        <is>
          <t>no</t>
        </is>
      </c>
      <c r="J194" s="16" t="n"/>
      <c r="K194" s="16" t="inlineStr">
        <is>
          <t>malla</t>
        </is>
      </c>
      <c r="M194" s="25" t="inlineStr">
        <is>
          <t>Estudio 2.3 · parte(s) 2.3c. Punto base: PP = datos del enunciado del profesor (T_fuente 623.15 K, P_alta 3000 kPa, P_baja 400 kPa, x_b 0.50)</t>
        </is>
      </c>
    </row>
    <row r="195">
      <c r="A195" s="16" t="inlineStr">
        <is>
          <t>KF-M02R-n2b-0027</t>
        </is>
      </c>
      <c r="B195" s="35" t="n">
        <v>836.3636363636364</v>
      </c>
      <c r="C195" s="37" t="n">
        <v>0.6</v>
      </c>
      <c r="D195" s="39" t="inlineStr">
        <is>
          <t>Corregible</t>
        </is>
      </c>
      <c r="E195" s="29" t="n">
        <v>9.26060897884142</v>
      </c>
      <c r="F195" s="35" t="n">
        <v>128.9731950230692</v>
      </c>
      <c r="G195" s="36" t="n">
        <v>2163.636363636364</v>
      </c>
      <c r="H195" s="29" t="n">
        <v>3.58695652173913</v>
      </c>
      <c r="I195" s="16" t="inlineStr">
        <is>
          <t>sí</t>
        </is>
      </c>
      <c r="J195" s="16" t="inlineStr">
        <is>
          <t>O2</t>
        </is>
      </c>
      <c r="K195" s="16" t="inlineStr">
        <is>
          <t>malla</t>
        </is>
      </c>
      <c r="M195" s="25" t="inlineStr">
        <is>
          <t>Datos fijos: T_fuente = 623.15 K; T_sumidero = 300.03 K; P_alta = 3000 kPa; x_b = 0.5; m_b = 1 kg/s; η_t = 0.85; η_p = 0.75; ε_reg = 0.75; ε_cond = 0.8; motor de propiedades = teqp.</t>
        </is>
      </c>
    </row>
    <row r="196">
      <c r="A196" s="16" t="inlineStr">
        <is>
          <t>KF-M02R-n2b-0039</t>
        </is>
      </c>
      <c r="B196" s="35" t="n">
        <v>836.3636363636364</v>
      </c>
      <c r="C196" s="37" t="n">
        <v>0.7</v>
      </c>
      <c r="D196" s="39" t="inlineStr">
        <is>
          <t>Corregible</t>
        </is>
      </c>
      <c r="E196" s="29" t="n">
        <v>9.13345737695724</v>
      </c>
      <c r="F196" s="35" t="n">
        <v>147.4099561849084</v>
      </c>
      <c r="G196" s="36" t="n">
        <v>2163.636363636364</v>
      </c>
      <c r="H196" s="29" t="n">
        <v>3.58695652173913</v>
      </c>
      <c r="I196" s="16" t="inlineStr">
        <is>
          <t>sí</t>
        </is>
      </c>
      <c r="J196" s="16" t="inlineStr">
        <is>
          <t>O2</t>
        </is>
      </c>
      <c r="K196" s="16" t="inlineStr">
        <is>
          <t>malla</t>
        </is>
      </c>
      <c r="M196" s="25" t="inlineStr">
        <is>
          <t>Datos barridos: P_baja [400–2000] kPa (20 valores); ε_HRVG [0.4–0.7] (4 valores).</t>
        </is>
      </c>
    </row>
    <row r="197">
      <c r="A197" s="16" t="inlineStr">
        <is>
          <t>KF-M02R-n2b-0004</t>
        </is>
      </c>
      <c r="B197" s="35" t="n">
        <v>981.818181818182</v>
      </c>
      <c r="C197" s="37" t="n">
        <v>0.4</v>
      </c>
      <c r="D197" s="39" t="inlineStr">
        <is>
          <t>Corregible</t>
        </is>
      </c>
      <c r="E197" s="29" t="n">
        <v>8.32602106335041</v>
      </c>
      <c r="F197" s="35" t="n">
        <v>78.11516732905453</v>
      </c>
      <c r="G197" s="36" t="n">
        <v>2018.181818181818</v>
      </c>
      <c r="H197" s="29" t="n">
        <v>3.055555555555555</v>
      </c>
      <c r="I197" s="16" t="inlineStr">
        <is>
          <t>sí</t>
        </is>
      </c>
      <c r="J197" s="16" t="inlineStr">
        <is>
          <t>O2</t>
        </is>
      </c>
      <c r="K197" s="16" t="inlineStr">
        <is>
          <t>malla</t>
        </is>
      </c>
      <c r="M197" s="25" t="inlineStr">
        <is>
          <t>Filtro: parte 2.3c (2.3c).</t>
        </is>
      </c>
    </row>
    <row r="198">
      <c r="A198" s="16" t="inlineStr">
        <is>
          <t>KF-M02R-n2b-0016</t>
        </is>
      </c>
      <c r="B198" s="35" t="n">
        <v>981.818181818182</v>
      </c>
      <c r="C198" s="37" t="n">
        <v>0.5</v>
      </c>
      <c r="D198" s="39" t="inlineStr">
        <is>
          <t>Corregible</t>
        </is>
      </c>
      <c r="E198" s="29" t="n">
        <v>8.35481880252075</v>
      </c>
      <c r="F198" s="35" t="n">
        <v>97.47268843758276</v>
      </c>
      <c r="G198" s="36" t="n">
        <v>2018.181818181818</v>
      </c>
      <c r="H198" s="29" t="n">
        <v>3.055555555555555</v>
      </c>
      <c r="I198" s="16" t="inlineStr">
        <is>
          <t>sí</t>
        </is>
      </c>
      <c r="J198" s="16" t="inlineStr">
        <is>
          <t>O2</t>
        </is>
      </c>
      <c r="K198" s="16" t="inlineStr">
        <is>
          <t>malla</t>
        </is>
      </c>
      <c r="M198" s="25" t="inlineStr">
        <is>
          <t>n = 64. Fuente: todos_los_puntos.csv.</t>
        </is>
      </c>
    </row>
    <row r="199">
      <c r="A199" s="16" t="inlineStr">
        <is>
          <t>KF-M02R-n2b-0028</t>
        </is>
      </c>
      <c r="B199" s="35" t="n">
        <v>981.818181818182</v>
      </c>
      <c r="C199" s="37" t="n">
        <v>0.6</v>
      </c>
      <c r="D199" s="39" t="inlineStr">
        <is>
          <t>Corregible</t>
        </is>
      </c>
      <c r="E199" s="29" t="n">
        <v>8.27699311502626</v>
      </c>
      <c r="F199" s="35" t="n">
        <v>115.2644003794789</v>
      </c>
      <c r="G199" s="36" t="n">
        <v>2018.181818181818</v>
      </c>
      <c r="H199" s="29" t="n">
        <v>3.055555555555555</v>
      </c>
      <c r="I199" s="16" t="inlineStr">
        <is>
          <t>sí</t>
        </is>
      </c>
      <c r="J199" s="16" t="inlineStr">
        <is>
          <t>O2</t>
        </is>
      </c>
      <c r="K199" s="16" t="inlineStr">
        <is>
          <t>malla</t>
        </is>
      </c>
    </row>
    <row r="200">
      <c r="A200" s="16" t="inlineStr">
        <is>
          <t>KF-M02R-n2b-0040</t>
        </is>
      </c>
      <c r="B200" s="35" t="n">
        <v>981.818181818182</v>
      </c>
      <c r="C200" s="37" t="n">
        <v>0.7</v>
      </c>
      <c r="D200" s="39" t="inlineStr">
        <is>
          <t>Corregible</t>
        </is>
      </c>
      <c r="E200" s="29" t="n">
        <v>8.15581844489194</v>
      </c>
      <c r="F200" s="35" t="n">
        <v>131.6365391606126</v>
      </c>
      <c r="G200" s="36" t="n">
        <v>2018.181818181818</v>
      </c>
      <c r="H200" s="29" t="n">
        <v>3.055555555555555</v>
      </c>
      <c r="I200" s="16" t="inlineStr">
        <is>
          <t>sí</t>
        </is>
      </c>
      <c r="J200" s="16" t="inlineStr">
        <is>
          <t>O2</t>
        </is>
      </c>
      <c r="K200" s="16" t="inlineStr">
        <is>
          <t>malla</t>
        </is>
      </c>
    </row>
    <row r="201">
      <c r="A201" s="16" t="inlineStr">
        <is>
          <t>KF-M02R-n2b-0005</t>
        </is>
      </c>
      <c r="B201" s="35" t="n">
        <v>1127.272727272728</v>
      </c>
      <c r="C201" s="37" t="n">
        <v>0.4</v>
      </c>
      <c r="D201" s="39" t="inlineStr">
        <is>
          <t>Corregible</t>
        </is>
      </c>
      <c r="E201" s="29" t="n">
        <v>7.39094201993303</v>
      </c>
      <c r="F201" s="35" t="n">
        <v>69.31719048280738</v>
      </c>
      <c r="G201" s="36" t="n">
        <v>1872.727272727272</v>
      </c>
      <c r="H201" s="29" t="n">
        <v>2.661290322580644</v>
      </c>
      <c r="I201" s="16" t="inlineStr">
        <is>
          <t>sí</t>
        </is>
      </c>
      <c r="J201" s="16" t="inlineStr">
        <is>
          <t>O2</t>
        </is>
      </c>
      <c r="K201" s="16" t="inlineStr">
        <is>
          <t>malla</t>
        </is>
      </c>
    </row>
    <row r="202">
      <c r="A202" s="16" t="inlineStr">
        <is>
          <t>KF-M02R-n2b-0017</t>
        </is>
      </c>
      <c r="B202" s="35" t="n">
        <v>1127.272727272728</v>
      </c>
      <c r="C202" s="37" t="n">
        <v>0.5</v>
      </c>
      <c r="D202" s="39" t="inlineStr">
        <is>
          <t>Corregible</t>
        </is>
      </c>
      <c r="E202" s="29" t="n">
        <v>7.45063183628684</v>
      </c>
      <c r="F202" s="35" t="n">
        <v>86.89793751695656</v>
      </c>
      <c r="G202" s="36" t="n">
        <v>1872.727272727272</v>
      </c>
      <c r="H202" s="29" t="n">
        <v>2.661290322580644</v>
      </c>
      <c r="I202" s="16" t="inlineStr">
        <is>
          <t>sí</t>
        </is>
      </c>
      <c r="J202" s="16" t="inlineStr">
        <is>
          <t>O2</t>
        </is>
      </c>
      <c r="K202" s="16" t="inlineStr">
        <is>
          <t>malla</t>
        </is>
      </c>
    </row>
    <row r="203">
      <c r="A203" s="16" t="inlineStr">
        <is>
          <t>KF-M02R-n2b-0029</t>
        </is>
      </c>
      <c r="B203" s="35" t="n">
        <v>1127.272727272728</v>
      </c>
      <c r="C203" s="37" t="n">
        <v>0.6</v>
      </c>
      <c r="D203" s="39" t="inlineStr">
        <is>
          <t>Corregible</t>
        </is>
      </c>
      <c r="E203" s="29" t="n">
        <v>7.39096395151905</v>
      </c>
      <c r="F203" s="35" t="n">
        <v>102.9034565568593</v>
      </c>
      <c r="G203" s="36" t="n">
        <v>1872.727272727272</v>
      </c>
      <c r="H203" s="29" t="n">
        <v>2.661290322580644</v>
      </c>
      <c r="I203" s="16" t="inlineStr">
        <is>
          <t>sí</t>
        </is>
      </c>
      <c r="J203" s="16" t="inlineStr">
        <is>
          <t>O2</t>
        </is>
      </c>
      <c r="K203" s="16" t="inlineStr">
        <is>
          <t>malla</t>
        </is>
      </c>
    </row>
    <row r="204">
      <c r="A204" s="16" t="inlineStr">
        <is>
          <t>KF-M02R-n2b-0041</t>
        </is>
      </c>
      <c r="B204" s="35" t="n">
        <v>1127.272727272728</v>
      </c>
      <c r="C204" s="37" t="n">
        <v>0.7</v>
      </c>
      <c r="D204" s="39" t="inlineStr">
        <is>
          <t>Corregible</t>
        </is>
      </c>
      <c r="E204" s="29" t="n">
        <v>7.278863276646411</v>
      </c>
      <c r="F204" s="35" t="n">
        <v>117.4684689202751</v>
      </c>
      <c r="G204" s="36" t="n">
        <v>1872.727272727272</v>
      </c>
      <c r="H204" s="29" t="n">
        <v>2.661290322580644</v>
      </c>
      <c r="I204" s="16" t="inlineStr">
        <is>
          <t>sí</t>
        </is>
      </c>
      <c r="J204" s="16" t="inlineStr">
        <is>
          <t>O2</t>
        </is>
      </c>
      <c r="K204" s="16" t="inlineStr">
        <is>
          <t>malla</t>
        </is>
      </c>
    </row>
    <row r="205">
      <c r="A205" s="16" t="inlineStr">
        <is>
          <t>KF-M02R-n2b-0006</t>
        </is>
      </c>
      <c r="B205" s="35" t="n">
        <v>1272.727272727273</v>
      </c>
      <c r="C205" s="37" t="n">
        <v>0.4</v>
      </c>
      <c r="D205" s="39" t="inlineStr">
        <is>
          <t>Corregible</t>
        </is>
      </c>
      <c r="E205" s="29" t="n">
        <v>6.52764816560204</v>
      </c>
      <c r="F205" s="35" t="n">
        <v>61.19541000074664</v>
      </c>
      <c r="G205" s="36" t="n">
        <v>1727.272727272727</v>
      </c>
      <c r="H205" s="29" t="n">
        <v>2.357142857142857</v>
      </c>
      <c r="I205" s="16" t="inlineStr">
        <is>
          <t>sí</t>
        </is>
      </c>
      <c r="J205" s="16" t="inlineStr">
        <is>
          <t>O2</t>
        </is>
      </c>
      <c r="K205" s="16" t="inlineStr">
        <is>
          <t>malla</t>
        </is>
      </c>
    </row>
    <row r="206">
      <c r="A206" s="16" t="inlineStr">
        <is>
          <t>KF-M02R-n2b-0019</t>
        </is>
      </c>
      <c r="B206" s="35" t="n">
        <v>1272.727272727273</v>
      </c>
      <c r="C206" s="37" t="n">
        <v>0.5</v>
      </c>
      <c r="D206" s="39" t="inlineStr">
        <is>
          <t>Corregible</t>
        </is>
      </c>
      <c r="E206" s="29" t="n">
        <v>6.62102496803315</v>
      </c>
      <c r="F206" s="35" t="n">
        <v>77.19378859460414</v>
      </c>
      <c r="G206" s="36" t="n">
        <v>1727.272727272727</v>
      </c>
      <c r="H206" s="29" t="n">
        <v>2.357142857142857</v>
      </c>
      <c r="I206" s="16" t="inlineStr">
        <is>
          <t>sí</t>
        </is>
      </c>
      <c r="J206" s="16" t="inlineStr">
        <is>
          <t>O2</t>
        </is>
      </c>
      <c r="K206" s="16" t="inlineStr">
        <is>
          <t>malla</t>
        </is>
      </c>
    </row>
    <row r="207">
      <c r="A207" s="16" t="inlineStr">
        <is>
          <t>KF-M02R-n2b-0030</t>
        </is>
      </c>
      <c r="B207" s="35" t="n">
        <v>1272.727272727273</v>
      </c>
      <c r="C207" s="37" t="n">
        <v>0.6</v>
      </c>
      <c r="D207" s="39" t="inlineStr">
        <is>
          <t>Corregible</t>
        </is>
      </c>
      <c r="E207" s="29" t="n">
        <v>6.581728771798841</v>
      </c>
      <c r="F207" s="35" t="n">
        <v>91.60878625736829</v>
      </c>
      <c r="G207" s="36" t="n">
        <v>1727.272727272727</v>
      </c>
      <c r="H207" s="29" t="n">
        <v>2.357142857142857</v>
      </c>
      <c r="I207" s="16" t="inlineStr">
        <is>
          <t>sí</t>
        </is>
      </c>
      <c r="J207" s="16" t="inlineStr">
        <is>
          <t>O2</t>
        </is>
      </c>
      <c r="K207" s="16" t="inlineStr">
        <is>
          <t>malla</t>
        </is>
      </c>
    </row>
    <row r="208">
      <c r="A208" s="16" t="inlineStr">
        <is>
          <t>KF-M02R-n2b-0042</t>
        </is>
      </c>
      <c r="B208" s="35" t="n">
        <v>1272.727272727273</v>
      </c>
      <c r="C208" s="37" t="n">
        <v>0.7</v>
      </c>
      <c r="D208" s="39" t="inlineStr">
        <is>
          <t>Corregible</t>
        </is>
      </c>
      <c r="E208" s="29" t="n">
        <v>6.480765045341021</v>
      </c>
      <c r="F208" s="35" t="n">
        <v>104.5649344112481</v>
      </c>
      <c r="G208" s="36" t="n">
        <v>1727.272727272727</v>
      </c>
      <c r="H208" s="29" t="n">
        <v>2.357142857142857</v>
      </c>
      <c r="I208" s="16" t="inlineStr">
        <is>
          <t>sí</t>
        </is>
      </c>
      <c r="J208" s="16" t="inlineStr">
        <is>
          <t>O2</t>
        </is>
      </c>
      <c r="K208" s="16" t="inlineStr">
        <is>
          <t>malla</t>
        </is>
      </c>
    </row>
    <row r="209">
      <c r="A209" s="16" t="inlineStr">
        <is>
          <t>KF-M02R-n2b-0052</t>
        </is>
      </c>
      <c r="B209" s="35" t="n">
        <v>1309.090909090909</v>
      </c>
      <c r="C209" s="37" t="n">
        <v>0.4</v>
      </c>
      <c r="D209" s="39" t="inlineStr">
        <is>
          <t>Corregible</t>
        </is>
      </c>
      <c r="E209" s="29" t="n">
        <v>6.321463225667739</v>
      </c>
      <c r="F209" s="35" t="n">
        <v>59.25601407353928</v>
      </c>
      <c r="G209" s="36" t="n">
        <v>1690.909090909091</v>
      </c>
      <c r="H209" s="29" t="n">
        <v>2.291666666666667</v>
      </c>
      <c r="I209" s="16" t="inlineStr">
        <is>
          <t>sí</t>
        </is>
      </c>
      <c r="J209" s="16" t="inlineStr">
        <is>
          <t>O2</t>
        </is>
      </c>
      <c r="K209" s="16" t="inlineStr">
        <is>
          <t>bisección</t>
        </is>
      </c>
    </row>
    <row r="210">
      <c r="A210" s="16" t="inlineStr">
        <is>
          <t>KF-M02R-n2b-0053</t>
        </is>
      </c>
      <c r="B210" s="35" t="n">
        <v>1309.090909090909</v>
      </c>
      <c r="C210" s="37" t="n">
        <v>0.4</v>
      </c>
      <c r="D210" s="39" t="inlineStr">
        <is>
          <t>Corregible</t>
        </is>
      </c>
      <c r="E210" s="29" t="n">
        <v>6.321463225667739</v>
      </c>
      <c r="F210" s="35" t="n">
        <v>59.25601407353928</v>
      </c>
      <c r="G210" s="36" t="n">
        <v>1690.909090909091</v>
      </c>
      <c r="H210" s="29" t="n">
        <v>2.291666666666667</v>
      </c>
      <c r="I210" s="16" t="inlineStr">
        <is>
          <t>sí</t>
        </is>
      </c>
      <c r="J210" s="16" t="inlineStr">
        <is>
          <t>O2</t>
        </is>
      </c>
      <c r="K210" s="16" t="inlineStr">
        <is>
          <t>bisección</t>
        </is>
      </c>
    </row>
    <row r="211">
      <c r="A211" s="16" t="inlineStr">
        <is>
          <t>KF-M02R-n2b-0060</t>
        </is>
      </c>
      <c r="B211" s="35" t="n">
        <v>1318.181818181818</v>
      </c>
      <c r="C211" s="37" t="n">
        <v>0.4</v>
      </c>
      <c r="D211" s="42" t="inlineStr">
        <is>
          <t>KALINA</t>
        </is>
      </c>
      <c r="E211" s="29" t="n">
        <v>6.27051412972602</v>
      </c>
      <c r="F211" s="35" t="n">
        <v>58.77681796738493</v>
      </c>
      <c r="G211" s="36" t="n">
        <v>1681.818181818182</v>
      </c>
      <c r="H211" s="29" t="n">
        <v>2.275862068965517</v>
      </c>
      <c r="I211" s="16" t="inlineStr">
        <is>
          <t>sí</t>
        </is>
      </c>
      <c r="J211" s="16" t="n"/>
      <c r="K211" s="16" t="inlineStr">
        <is>
          <t>bisección</t>
        </is>
      </c>
    </row>
    <row r="212">
      <c r="A212" s="16" t="inlineStr">
        <is>
          <t>KF-M02R-n2b-0061</t>
        </is>
      </c>
      <c r="B212" s="35" t="n">
        <v>1318.181818181818</v>
      </c>
      <c r="C212" s="37" t="n">
        <v>0.4</v>
      </c>
      <c r="D212" s="42" t="inlineStr">
        <is>
          <t>KALINA</t>
        </is>
      </c>
      <c r="E212" s="29" t="n">
        <v>6.27051412972602</v>
      </c>
      <c r="F212" s="35" t="n">
        <v>58.77681796738493</v>
      </c>
      <c r="G212" s="36" t="n">
        <v>1681.818181818182</v>
      </c>
      <c r="H212" s="29" t="n">
        <v>2.275862068965517</v>
      </c>
      <c r="I212" s="16" t="inlineStr">
        <is>
          <t>sí</t>
        </is>
      </c>
      <c r="J212" s="16" t="n"/>
      <c r="K212" s="16" t="inlineStr">
        <is>
          <t>bisección</t>
        </is>
      </c>
    </row>
    <row r="213">
      <c r="A213" s="16" t="inlineStr">
        <is>
          <t>KF-M02R-n2b-0056</t>
        </is>
      </c>
      <c r="B213" s="35" t="n">
        <v>1327.272727272727</v>
      </c>
      <c r="C213" s="37" t="n">
        <v>0.4</v>
      </c>
      <c r="D213" s="42" t="inlineStr">
        <is>
          <t>KALINA</t>
        </is>
      </c>
      <c r="E213" s="29" t="n">
        <v>6.21988092710759</v>
      </c>
      <c r="F213" s="35" t="n">
        <v>58.30061963934936</v>
      </c>
      <c r="G213" s="36" t="n">
        <v>1672.727272727273</v>
      </c>
      <c r="H213" s="29" t="n">
        <v>2.26027397260274</v>
      </c>
      <c r="I213" s="16" t="inlineStr">
        <is>
          <t>sí</t>
        </is>
      </c>
      <c r="J213" s="16" t="n"/>
      <c r="K213" s="16" t="inlineStr">
        <is>
          <t>bisección</t>
        </is>
      </c>
    </row>
    <row r="214">
      <c r="A214" s="16" t="inlineStr">
        <is>
          <t>KF-M02R-n2b-0057</t>
        </is>
      </c>
      <c r="B214" s="35" t="n">
        <v>1327.272727272727</v>
      </c>
      <c r="C214" s="37" t="n">
        <v>0.4</v>
      </c>
      <c r="D214" s="42" t="inlineStr">
        <is>
          <t>KALINA</t>
        </is>
      </c>
      <c r="E214" s="29" t="n">
        <v>6.21988092710759</v>
      </c>
      <c r="F214" s="35" t="n">
        <v>58.30061963934936</v>
      </c>
      <c r="G214" s="36" t="n">
        <v>1672.727272727273</v>
      </c>
      <c r="H214" s="29" t="n">
        <v>2.26027397260274</v>
      </c>
      <c r="I214" s="16" t="inlineStr">
        <is>
          <t>sí</t>
        </is>
      </c>
      <c r="J214" s="16" t="n"/>
      <c r="K214" s="16" t="inlineStr">
        <is>
          <t>bisección</t>
        </is>
      </c>
    </row>
    <row r="215">
      <c r="A215" s="16" t="inlineStr">
        <is>
          <t>KF-M02R-n2b-0048</t>
        </is>
      </c>
      <c r="B215" s="35" t="n">
        <v>1345.454545454545</v>
      </c>
      <c r="C215" s="37" t="n">
        <v>0.4</v>
      </c>
      <c r="D215" s="42" t="inlineStr">
        <is>
          <t>KALINA</t>
        </is>
      </c>
      <c r="E215" s="29" t="n">
        <v>6.11954664190893</v>
      </c>
      <c r="F215" s="35" t="n">
        <v>57.35706808372316</v>
      </c>
      <c r="G215" s="36" t="n">
        <v>1654.545454545455</v>
      </c>
      <c r="H215" s="29" t="n">
        <v>2.22972972972973</v>
      </c>
      <c r="I215" s="16" t="inlineStr">
        <is>
          <t>sí</t>
        </is>
      </c>
      <c r="J215" s="16" t="n"/>
      <c r="K215" s="16" t="inlineStr">
        <is>
          <t>bisección</t>
        </is>
      </c>
    </row>
    <row r="216">
      <c r="A216" s="16" t="inlineStr">
        <is>
          <t>KF-M02R-n2b-0049</t>
        </is>
      </c>
      <c r="B216" s="35" t="n">
        <v>1345.454545454545</v>
      </c>
      <c r="C216" s="37" t="n">
        <v>0.4</v>
      </c>
      <c r="D216" s="42" t="inlineStr">
        <is>
          <t>KALINA</t>
        </is>
      </c>
      <c r="E216" s="29" t="n">
        <v>6.11954664190893</v>
      </c>
      <c r="F216" s="35" t="n">
        <v>57.35706808372316</v>
      </c>
      <c r="G216" s="36" t="n">
        <v>1654.545454545455</v>
      </c>
      <c r="H216" s="29" t="n">
        <v>2.22972972972973</v>
      </c>
      <c r="I216" s="16" t="inlineStr">
        <is>
          <t>sí</t>
        </is>
      </c>
      <c r="J216" s="16" t="n"/>
      <c r="K216" s="16" t="inlineStr">
        <is>
          <t>bisección</t>
        </is>
      </c>
    </row>
    <row r="217">
      <c r="A217" s="16" t="inlineStr">
        <is>
          <t>KF-M02R-n2b-0007</t>
        </is>
      </c>
      <c r="B217" s="35" t="n">
        <v>1418.181818181818</v>
      </c>
      <c r="C217" s="37" t="n">
        <v>0.4</v>
      </c>
      <c r="D217" s="42" t="inlineStr">
        <is>
          <t>KALINA</t>
        </is>
      </c>
      <c r="E217" s="29" t="n">
        <v>5.73009311641862</v>
      </c>
      <c r="F217" s="35" t="n">
        <v>53.69560460772871</v>
      </c>
      <c r="G217" s="36" t="n">
        <v>1581.818181818182</v>
      </c>
      <c r="H217" s="29" t="n">
        <v>2.115384615384615</v>
      </c>
      <c r="I217" s="16" t="inlineStr">
        <is>
          <t>sí</t>
        </is>
      </c>
      <c r="J217" s="16" t="n"/>
      <c r="K217" s="16" t="inlineStr">
        <is>
          <t>malla</t>
        </is>
      </c>
    </row>
    <row r="218">
      <c r="A218" s="16" t="inlineStr">
        <is>
          <t>KF-M02R-n2b-0018</t>
        </is>
      </c>
      <c r="B218" s="35" t="n">
        <v>1418.181818181818</v>
      </c>
      <c r="C218" s="37" t="n">
        <v>0.5</v>
      </c>
      <c r="D218" s="39" t="inlineStr">
        <is>
          <t>Corregible</t>
        </is>
      </c>
      <c r="E218" s="29" t="n">
        <v>5.85221180486492</v>
      </c>
      <c r="F218" s="35" t="n">
        <v>68.20208903701854</v>
      </c>
      <c r="G218" s="36" t="n">
        <v>1581.818181818182</v>
      </c>
      <c r="H218" s="29" t="n">
        <v>2.115384615384615</v>
      </c>
      <c r="I218" s="16" t="inlineStr">
        <is>
          <t>sí</t>
        </is>
      </c>
      <c r="J218" s="16" t="inlineStr">
        <is>
          <t>O2</t>
        </is>
      </c>
      <c r="K218" s="16" t="inlineStr">
        <is>
          <t>malla</t>
        </is>
      </c>
    </row>
    <row r="219">
      <c r="A219" s="16" t="inlineStr">
        <is>
          <t>KF-M02R-n2b-0031</t>
        </is>
      </c>
      <c r="B219" s="35" t="n">
        <v>1418.181818181818</v>
      </c>
      <c r="C219" s="37" t="n">
        <v>0.6</v>
      </c>
      <c r="D219" s="39" t="inlineStr">
        <is>
          <t>Corregible</t>
        </is>
      </c>
      <c r="E219" s="29" t="n">
        <v>5.83473782982811</v>
      </c>
      <c r="F219" s="35" t="n">
        <v>81.18209773599472</v>
      </c>
      <c r="G219" s="36" t="n">
        <v>1581.818181818182</v>
      </c>
      <c r="H219" s="29" t="n">
        <v>2.115384615384615</v>
      </c>
      <c r="I219" s="16" t="inlineStr">
        <is>
          <t>sí</t>
        </is>
      </c>
      <c r="J219" s="16" t="inlineStr">
        <is>
          <t>O2</t>
        </is>
      </c>
      <c r="K219" s="16" t="inlineStr">
        <is>
          <t>malla</t>
        </is>
      </c>
    </row>
    <row r="220">
      <c r="A220" s="16" t="inlineStr">
        <is>
          <t>KF-M02R-n2b-0043</t>
        </is>
      </c>
      <c r="B220" s="35" t="n">
        <v>1418.181818181818</v>
      </c>
      <c r="C220" s="37" t="n">
        <v>0.7</v>
      </c>
      <c r="D220" s="39" t="inlineStr">
        <is>
          <t>Corregible</t>
        </is>
      </c>
      <c r="E220" s="29" t="n">
        <v>5.74632549904127</v>
      </c>
      <c r="F220" s="35" t="n">
        <v>92.68702465459256</v>
      </c>
      <c r="G220" s="36" t="n">
        <v>1581.818181818182</v>
      </c>
      <c r="H220" s="29" t="n">
        <v>2.115384615384615</v>
      </c>
      <c r="I220" s="16" t="inlineStr">
        <is>
          <t>sí</t>
        </is>
      </c>
      <c r="J220" s="16" t="inlineStr">
        <is>
          <t>O2</t>
        </is>
      </c>
      <c r="K220" s="16" t="inlineStr">
        <is>
          <t>malla</t>
        </is>
      </c>
    </row>
    <row r="221">
      <c r="A221" s="16" t="inlineStr">
        <is>
          <t>KF-M02R-n2b-0008</t>
        </is>
      </c>
      <c r="B221" s="35" t="n">
        <v>1563.636363636364</v>
      </c>
      <c r="C221" s="37" t="n">
        <v>0.4</v>
      </c>
      <c r="D221" s="42" t="inlineStr">
        <is>
          <t>KALINA</t>
        </is>
      </c>
      <c r="E221" s="29" t="n">
        <v>5.002660365157681</v>
      </c>
      <c r="F221" s="35" t="n">
        <v>46.86080674384915</v>
      </c>
      <c r="G221" s="36" t="n">
        <v>1436.363636363636</v>
      </c>
      <c r="H221" s="29" t="n">
        <v>1.918604651162791</v>
      </c>
      <c r="I221" s="16" t="inlineStr">
        <is>
          <t>sí</t>
        </is>
      </c>
      <c r="J221" s="16" t="n"/>
      <c r="K221" s="16" t="inlineStr">
        <is>
          <t>malla</t>
        </is>
      </c>
    </row>
    <row r="222">
      <c r="A222" s="16" t="inlineStr">
        <is>
          <t>KF-M02R-n2b-0020</t>
        </is>
      </c>
      <c r="B222" s="35" t="n">
        <v>1563.636363636364</v>
      </c>
      <c r="C222" s="37" t="n">
        <v>0.5</v>
      </c>
      <c r="D222" s="39" t="inlineStr">
        <is>
          <t>Corregible</t>
        </is>
      </c>
      <c r="E222" s="29" t="n">
        <v>5.13406589759925</v>
      </c>
      <c r="F222" s="35" t="n">
        <v>59.80610529556989</v>
      </c>
      <c r="G222" s="36" t="n">
        <v>1436.363636363636</v>
      </c>
      <c r="H222" s="29" t="n">
        <v>1.918604651162791</v>
      </c>
      <c r="I222" s="16" t="inlineStr">
        <is>
          <t>sí</t>
        </is>
      </c>
      <c r="J222" s="16" t="inlineStr">
        <is>
          <t>O2</t>
        </is>
      </c>
      <c r="K222" s="16" t="inlineStr">
        <is>
          <t>malla</t>
        </is>
      </c>
    </row>
    <row r="223">
      <c r="A223" s="16" t="inlineStr">
        <is>
          <t>KF-M02R-n2b-0032</t>
        </is>
      </c>
      <c r="B223" s="35" t="n">
        <v>1563.636363636364</v>
      </c>
      <c r="C223" s="37" t="n">
        <v>0.6</v>
      </c>
      <c r="D223" s="39" t="inlineStr">
        <is>
          <t>Corregible</t>
        </is>
      </c>
      <c r="E223" s="29" t="n">
        <v>5.139371729320351</v>
      </c>
      <c r="F223" s="35" t="n">
        <v>71.47791833621412</v>
      </c>
      <c r="G223" s="36" t="n">
        <v>1436.363636363636</v>
      </c>
      <c r="H223" s="29" t="n">
        <v>1.918604651162791</v>
      </c>
      <c r="I223" s="16" t="inlineStr">
        <is>
          <t>sí</t>
        </is>
      </c>
      <c r="J223" s="16" t="inlineStr">
        <is>
          <t>O2</t>
        </is>
      </c>
      <c r="K223" s="16" t="inlineStr">
        <is>
          <t>malla</t>
        </is>
      </c>
    </row>
    <row r="224">
      <c r="A224" s="16" t="inlineStr">
        <is>
          <t>KF-M02R-n2b-0044</t>
        </is>
      </c>
      <c r="B224" s="35" t="n">
        <v>1563.636363636364</v>
      </c>
      <c r="C224" s="37" t="n">
        <v>0.7</v>
      </c>
      <c r="D224" s="39" t="inlineStr">
        <is>
          <t>Corregible</t>
        </is>
      </c>
      <c r="E224" s="29" t="n">
        <v>5.06450168634845</v>
      </c>
      <c r="F224" s="35" t="n">
        <v>81.6601758979827</v>
      </c>
      <c r="G224" s="36" t="n">
        <v>1436.363636363636</v>
      </c>
      <c r="H224" s="29" t="n">
        <v>1.918604651162791</v>
      </c>
      <c r="I224" s="16" t="inlineStr">
        <is>
          <t>sí</t>
        </is>
      </c>
      <c r="J224" s="16" t="inlineStr">
        <is>
          <t>O2</t>
        </is>
      </c>
      <c r="K224" s="16" t="inlineStr">
        <is>
          <t>malla</t>
        </is>
      </c>
    </row>
    <row r="225">
      <c r="A225" s="16" t="inlineStr">
        <is>
          <t>KF-M02R-n2b-0009</t>
        </is>
      </c>
      <c r="B225" s="35" t="n">
        <v>1709.090909090909</v>
      </c>
      <c r="C225" s="37" t="n">
        <v>0.4</v>
      </c>
      <c r="D225" s="42" t="inlineStr">
        <is>
          <t>KALINA</t>
        </is>
      </c>
      <c r="E225" s="29" t="n">
        <v>4.33436905107377</v>
      </c>
      <c r="F225" s="35" t="n">
        <v>40.58645638012815</v>
      </c>
      <c r="G225" s="36" t="n">
        <v>1290.909090909091</v>
      </c>
      <c r="H225" s="29" t="n">
        <v>1.75531914893617</v>
      </c>
      <c r="I225" s="16" t="inlineStr">
        <is>
          <t>sí</t>
        </is>
      </c>
      <c r="J225" s="16" t="n"/>
      <c r="K225" s="16" t="inlineStr">
        <is>
          <t>malla</t>
        </is>
      </c>
    </row>
    <row r="226">
      <c r="A226" s="16" t="inlineStr">
        <is>
          <t>KF-M02R-n2b-0021</t>
        </is>
      </c>
      <c r="B226" s="35" t="n">
        <v>1709.090909090909</v>
      </c>
      <c r="C226" s="37" t="n">
        <v>0.5</v>
      </c>
      <c r="D226" s="39" t="inlineStr">
        <is>
          <t>Corregible</t>
        </is>
      </c>
      <c r="E226" s="29" t="n">
        <v>4.45890790703914</v>
      </c>
      <c r="F226" s="35" t="n">
        <v>51.91694697842705</v>
      </c>
      <c r="G226" s="36" t="n">
        <v>1290.909090909091</v>
      </c>
      <c r="H226" s="29" t="n">
        <v>1.75531914893617</v>
      </c>
      <c r="I226" s="16" t="inlineStr">
        <is>
          <t>sí</t>
        </is>
      </c>
      <c r="J226" s="16" t="inlineStr">
        <is>
          <t>O2</t>
        </is>
      </c>
      <c r="K226" s="16" t="inlineStr">
        <is>
          <t>malla</t>
        </is>
      </c>
    </row>
    <row r="227">
      <c r="A227" s="16" t="inlineStr">
        <is>
          <t>KF-M02R-n2b-0033</t>
        </is>
      </c>
      <c r="B227" s="35" t="n">
        <v>1709.090909090909</v>
      </c>
      <c r="C227" s="37" t="n">
        <v>0.6</v>
      </c>
      <c r="D227" s="39" t="inlineStr">
        <is>
          <t>Corregible</t>
        </is>
      </c>
      <c r="E227" s="29" t="n">
        <v>4.48762297561172</v>
      </c>
      <c r="F227" s="35" t="n">
        <v>62.38604604739797</v>
      </c>
      <c r="G227" s="36" t="n">
        <v>1290.909090909091</v>
      </c>
      <c r="H227" s="29" t="n">
        <v>1.75531914893617</v>
      </c>
      <c r="I227" s="16" t="inlineStr">
        <is>
          <t>sí</t>
        </is>
      </c>
      <c r="J227" s="16" t="inlineStr">
        <is>
          <t>O2</t>
        </is>
      </c>
      <c r="K227" s="16" t="inlineStr">
        <is>
          <t>malla</t>
        </is>
      </c>
    </row>
    <row r="228">
      <c r="A228" s="16" t="inlineStr">
        <is>
          <t>KF-M02R-n2b-0045</t>
        </is>
      </c>
      <c r="B228" s="35" t="n">
        <v>1709.090909090909</v>
      </c>
      <c r="C228" s="37" t="n">
        <v>0.7</v>
      </c>
      <c r="D228" s="39" t="inlineStr">
        <is>
          <t>Corregible</t>
        </is>
      </c>
      <c r="E228" s="29" t="n">
        <v>4.42699559335111</v>
      </c>
      <c r="F228" s="35" t="n">
        <v>71.35259095951422</v>
      </c>
      <c r="G228" s="36" t="n">
        <v>1290.909090909091</v>
      </c>
      <c r="H228" s="29" t="n">
        <v>1.75531914893617</v>
      </c>
      <c r="I228" s="16" t="inlineStr">
        <is>
          <t>sí</t>
        </is>
      </c>
      <c r="J228" s="16" t="inlineStr">
        <is>
          <t>O2</t>
        </is>
      </c>
      <c r="K228" s="16" t="inlineStr">
        <is>
          <t>malla</t>
        </is>
      </c>
    </row>
    <row r="229">
      <c r="A229" s="16" t="inlineStr">
        <is>
          <t>KF-M02R-n2b-0058</t>
        </is>
      </c>
      <c r="B229" s="35" t="n">
        <v>1727.272727272728</v>
      </c>
      <c r="C229" s="37" t="n">
        <v>0.5</v>
      </c>
      <c r="D229" s="39" t="inlineStr">
        <is>
          <t>Corregible</t>
        </is>
      </c>
      <c r="E229" s="29" t="n">
        <v>4.37722311799738</v>
      </c>
      <c r="F229" s="35" t="n">
        <v>50.96280906826788</v>
      </c>
      <c r="G229" s="36" t="n">
        <v>1272.727272727272</v>
      </c>
      <c r="H229" s="29" t="n">
        <v>1.736842105263158</v>
      </c>
      <c r="I229" s="16" t="inlineStr">
        <is>
          <t>sí</t>
        </is>
      </c>
      <c r="J229" s="16" t="inlineStr">
        <is>
          <t>O2</t>
        </is>
      </c>
      <c r="K229" s="16" t="inlineStr">
        <is>
          <t>bisección</t>
        </is>
      </c>
    </row>
    <row r="230">
      <c r="A230" s="16" t="inlineStr">
        <is>
          <t>KF-M02R-n2b-0059</t>
        </is>
      </c>
      <c r="B230" s="35" t="n">
        <v>1727.272727272728</v>
      </c>
      <c r="C230" s="37" t="n">
        <v>0.5</v>
      </c>
      <c r="D230" s="39" t="inlineStr">
        <is>
          <t>Corregible</t>
        </is>
      </c>
      <c r="E230" s="29" t="n">
        <v>4.37722311799738</v>
      </c>
      <c r="F230" s="35" t="n">
        <v>50.96280906826788</v>
      </c>
      <c r="G230" s="36" t="n">
        <v>1272.727272727272</v>
      </c>
      <c r="H230" s="29" t="n">
        <v>1.736842105263158</v>
      </c>
      <c r="I230" s="16" t="inlineStr">
        <is>
          <t>sí</t>
        </is>
      </c>
      <c r="J230" s="16" t="inlineStr">
        <is>
          <t>O2</t>
        </is>
      </c>
      <c r="K230" s="16" t="inlineStr">
        <is>
          <t>bisección</t>
        </is>
      </c>
    </row>
    <row r="231">
      <c r="A231" s="16" t="inlineStr">
        <is>
          <t>KF-M02R-n2b-0062</t>
        </is>
      </c>
      <c r="B231" s="35" t="n">
        <v>1736.363636363636</v>
      </c>
      <c r="C231" s="37" t="n">
        <v>0.5</v>
      </c>
      <c r="D231" s="42" t="inlineStr">
        <is>
          <t>KALINA</t>
        </is>
      </c>
      <c r="E231" s="29" t="n">
        <v>4.3365952716162</v>
      </c>
      <c r="F231" s="35" t="n">
        <v>50.48827645963719</v>
      </c>
      <c r="G231" s="36" t="n">
        <v>1263.636363636364</v>
      </c>
      <c r="H231" s="29" t="n">
        <v>1.727748691099476</v>
      </c>
      <c r="I231" s="16" t="inlineStr">
        <is>
          <t>sí</t>
        </is>
      </c>
      <c r="J231" s="16" t="n"/>
      <c r="K231" s="16" t="inlineStr">
        <is>
          <t>bisección</t>
        </is>
      </c>
    </row>
    <row r="232">
      <c r="A232" s="16" t="inlineStr">
        <is>
          <t>KF-M02R-n2b-0063</t>
        </is>
      </c>
      <c r="B232" s="35" t="n">
        <v>1736.363636363636</v>
      </c>
      <c r="C232" s="37" t="n">
        <v>0.5</v>
      </c>
      <c r="D232" s="42" t="inlineStr">
        <is>
          <t>KALINA</t>
        </is>
      </c>
      <c r="E232" s="29" t="n">
        <v>4.3365952716162</v>
      </c>
      <c r="F232" s="35" t="n">
        <v>50.48827645963719</v>
      </c>
      <c r="G232" s="36" t="n">
        <v>1263.636363636364</v>
      </c>
      <c r="H232" s="29" t="n">
        <v>1.727748691099476</v>
      </c>
      <c r="I232" s="16" t="inlineStr">
        <is>
          <t>sí</t>
        </is>
      </c>
      <c r="J232" s="16" t="n"/>
      <c r="K232" s="16" t="inlineStr">
        <is>
          <t>bisección</t>
        </is>
      </c>
    </row>
    <row r="233">
      <c r="A233" s="16" t="inlineStr">
        <is>
          <t>KF-M02R-n2b-0054</t>
        </is>
      </c>
      <c r="B233" s="35" t="n">
        <v>1745.454545454545</v>
      </c>
      <c r="C233" s="37" t="n">
        <v>0.5</v>
      </c>
      <c r="D233" s="42" t="inlineStr">
        <is>
          <t>KALINA</t>
        </is>
      </c>
      <c r="E233" s="29" t="n">
        <v>4.29614425208792</v>
      </c>
      <c r="F233" s="35" t="n">
        <v>50.01583546261396</v>
      </c>
      <c r="G233" s="36" t="n">
        <v>1254.545454545455</v>
      </c>
      <c r="H233" s="29" t="n">
        <v>1.71875</v>
      </c>
      <c r="I233" s="16" t="inlineStr">
        <is>
          <t>sí</t>
        </is>
      </c>
      <c r="J233" s="16" t="n"/>
      <c r="K233" s="16" t="inlineStr">
        <is>
          <t>bisección</t>
        </is>
      </c>
    </row>
    <row r="234">
      <c r="A234" s="16" t="inlineStr">
        <is>
          <t>KF-M02R-n2b-0055</t>
        </is>
      </c>
      <c r="B234" s="35" t="n">
        <v>1745.454545454545</v>
      </c>
      <c r="C234" s="37" t="n">
        <v>0.5</v>
      </c>
      <c r="D234" s="42" t="inlineStr">
        <is>
          <t>KALINA</t>
        </is>
      </c>
      <c r="E234" s="29" t="n">
        <v>4.29614425208792</v>
      </c>
      <c r="F234" s="35" t="n">
        <v>50.01583546261396</v>
      </c>
      <c r="G234" s="36" t="n">
        <v>1254.545454545455</v>
      </c>
      <c r="H234" s="29" t="n">
        <v>1.71875</v>
      </c>
      <c r="I234" s="16" t="inlineStr">
        <is>
          <t>sí</t>
        </is>
      </c>
      <c r="J234" s="16" t="n"/>
      <c r="K234" s="16" t="inlineStr">
        <is>
          <t>bisección</t>
        </is>
      </c>
    </row>
    <row r="235">
      <c r="A235" s="16" t="inlineStr">
        <is>
          <t>KF-M02R-n2b-0050</t>
        </is>
      </c>
      <c r="B235" s="35" t="n">
        <v>1781.818181818182</v>
      </c>
      <c r="C235" s="37" t="n">
        <v>0.5</v>
      </c>
      <c r="D235" s="42" t="inlineStr">
        <is>
          <t>KALINA</t>
        </is>
      </c>
      <c r="E235" s="29" t="n">
        <v>4.13622295842556</v>
      </c>
      <c r="F235" s="35" t="n">
        <v>48.14834270825792</v>
      </c>
      <c r="G235" s="36" t="n">
        <v>1218.181818181818</v>
      </c>
      <c r="H235" s="29" t="n">
        <v>1.683673469387755</v>
      </c>
      <c r="I235" s="16" t="inlineStr">
        <is>
          <t>sí</t>
        </is>
      </c>
      <c r="J235" s="16" t="n"/>
      <c r="K235" s="16" t="inlineStr">
        <is>
          <t>bisección</t>
        </is>
      </c>
    </row>
    <row r="236">
      <c r="A236" s="16" t="inlineStr">
        <is>
          <t>KF-M02R-n2b-0051</t>
        </is>
      </c>
      <c r="B236" s="35" t="n">
        <v>1781.818181818182</v>
      </c>
      <c r="C236" s="37" t="n">
        <v>0.5</v>
      </c>
      <c r="D236" s="42" t="inlineStr">
        <is>
          <t>KALINA</t>
        </is>
      </c>
      <c r="E236" s="29" t="n">
        <v>4.13622295842556</v>
      </c>
      <c r="F236" s="35" t="n">
        <v>48.14834270825792</v>
      </c>
      <c r="G236" s="36" t="n">
        <v>1218.181818181818</v>
      </c>
      <c r="H236" s="29" t="n">
        <v>1.683673469387755</v>
      </c>
      <c r="I236" s="16" t="inlineStr">
        <is>
          <t>sí</t>
        </is>
      </c>
      <c r="J236" s="16" t="n"/>
      <c r="K236" s="16" t="inlineStr">
        <is>
          <t>bisección</t>
        </is>
      </c>
    </row>
    <row r="237">
      <c r="A237" s="16" t="inlineStr">
        <is>
          <t>KF-M02R-n2b-0011</t>
        </is>
      </c>
      <c r="B237" s="35" t="n">
        <v>1854.545454545455</v>
      </c>
      <c r="C237" s="37" t="n">
        <v>0.4</v>
      </c>
      <c r="D237" s="42" t="inlineStr">
        <is>
          <t>KALINA</t>
        </is>
      </c>
      <c r="E237" s="29" t="n">
        <v>3.71616954643605</v>
      </c>
      <c r="F237" s="35" t="n">
        <v>34.78643279200253</v>
      </c>
      <c r="G237" s="36" t="n">
        <v>1145.454545454545</v>
      </c>
      <c r="H237" s="29" t="n">
        <v>1.617647058823529</v>
      </c>
      <c r="I237" s="16" t="inlineStr">
        <is>
          <t>sí</t>
        </is>
      </c>
      <c r="J237" s="16" t="n"/>
      <c r="K237" s="16" t="inlineStr">
        <is>
          <t>malla</t>
        </is>
      </c>
    </row>
    <row r="238">
      <c r="A238" s="16" t="inlineStr">
        <is>
          <t>KF-M02R-n2b-0024</t>
        </is>
      </c>
      <c r="B238" s="35" t="n">
        <v>1854.545454545455</v>
      </c>
      <c r="C238" s="37" t="n">
        <v>0.5</v>
      </c>
      <c r="D238" s="42" t="inlineStr">
        <is>
          <t>KALINA</t>
        </is>
      </c>
      <c r="E238" s="29" t="n">
        <v>3.82505595574722</v>
      </c>
      <c r="F238" s="35" t="n">
        <v>44.51595170631099</v>
      </c>
      <c r="G238" s="36" t="n">
        <v>1145.454545454545</v>
      </c>
      <c r="H238" s="29" t="n">
        <v>1.617647058823529</v>
      </c>
      <c r="I238" s="16" t="inlineStr">
        <is>
          <t>sí</t>
        </is>
      </c>
      <c r="J238" s="16" t="n"/>
      <c r="K238" s="16" t="inlineStr">
        <is>
          <t>malla</t>
        </is>
      </c>
    </row>
    <row r="239">
      <c r="A239" s="16" t="inlineStr">
        <is>
          <t>KF-M02R-n2b-0034</t>
        </is>
      </c>
      <c r="B239" s="35" t="n">
        <v>1854.545454545455</v>
      </c>
      <c r="C239" s="37" t="n">
        <v>0.6</v>
      </c>
      <c r="D239" s="39" t="inlineStr">
        <is>
          <t>Corregible</t>
        </is>
      </c>
      <c r="E239" s="29" t="n">
        <v>3.87328606422889</v>
      </c>
      <c r="F239" s="35" t="n">
        <v>53.82076674495153</v>
      </c>
      <c r="G239" s="36" t="n">
        <v>1145.454545454545</v>
      </c>
      <c r="H239" s="29" t="n">
        <v>1.617647058823529</v>
      </c>
      <c r="I239" s="16" t="inlineStr">
        <is>
          <t>sí</t>
        </is>
      </c>
      <c r="J239" s="16" t="inlineStr">
        <is>
          <t>O2</t>
        </is>
      </c>
      <c r="K239" s="16" t="inlineStr">
        <is>
          <t>malla</t>
        </is>
      </c>
    </row>
    <row r="240">
      <c r="A240" s="16" t="inlineStr">
        <is>
          <t>KF-M02R-n2b-0046</t>
        </is>
      </c>
      <c r="B240" s="35" t="n">
        <v>1854.545454545455</v>
      </c>
      <c r="C240" s="37" t="n">
        <v>0.7</v>
      </c>
      <c r="D240" s="39" t="inlineStr">
        <is>
          <t>Corregible</t>
        </is>
      </c>
      <c r="E240" s="29" t="n">
        <v>3.82739947679371</v>
      </c>
      <c r="F240" s="35" t="n">
        <v>61.6620771603712</v>
      </c>
      <c r="G240" s="36" t="n">
        <v>1145.454545454545</v>
      </c>
      <c r="H240" s="29" t="n">
        <v>1.617647058823529</v>
      </c>
      <c r="I240" s="16" t="inlineStr">
        <is>
          <t>sí</t>
        </is>
      </c>
      <c r="J240" s="16" t="inlineStr">
        <is>
          <t>O2</t>
        </is>
      </c>
      <c r="K240" s="16" t="inlineStr">
        <is>
          <t>malla</t>
        </is>
      </c>
    </row>
    <row r="241">
      <c r="A241" s="16" t="inlineStr">
        <is>
          <t>KF-M02R-n2b-0012</t>
        </is>
      </c>
      <c r="B241" s="35" t="n">
        <v>2000</v>
      </c>
      <c r="C241" s="37" t="n">
        <v>0.4</v>
      </c>
      <c r="D241" s="42" t="inlineStr">
        <is>
          <t>KALINA</t>
        </is>
      </c>
      <c r="E241" s="29" t="n">
        <v>3.14098685358879</v>
      </c>
      <c r="F241" s="35" t="n">
        <v>29.39344267065869</v>
      </c>
      <c r="G241" s="36" t="n">
        <v>1000</v>
      </c>
      <c r="H241" s="29" t="n">
        <v>1.5</v>
      </c>
      <c r="I241" s="16" t="inlineStr">
        <is>
          <t>sí</t>
        </is>
      </c>
      <c r="J241" s="16" t="n"/>
      <c r="K241" s="16" t="inlineStr">
        <is>
          <t>malla</t>
        </is>
      </c>
    </row>
    <row r="242">
      <c r="A242" s="16" t="inlineStr">
        <is>
          <t>KF-M02R-n2b-0025</t>
        </is>
      </c>
      <c r="B242" s="35" t="n">
        <v>2000</v>
      </c>
      <c r="C242" s="37" t="n">
        <v>0.5</v>
      </c>
      <c r="D242" s="42" t="inlineStr">
        <is>
          <t>KALINA</t>
        </is>
      </c>
      <c r="E242" s="29" t="n">
        <v>3.23460535861897</v>
      </c>
      <c r="F242" s="35" t="n">
        <v>37.62800811252101</v>
      </c>
      <c r="G242" s="36" t="n">
        <v>1000</v>
      </c>
      <c r="H242" s="29" t="n">
        <v>1.5</v>
      </c>
      <c r="I242" s="16" t="inlineStr">
        <is>
          <t>sí</t>
        </is>
      </c>
      <c r="J242" s="16" t="n"/>
      <c r="K242" s="16" t="inlineStr">
        <is>
          <t>malla</t>
        </is>
      </c>
    </row>
    <row r="243">
      <c r="A243" s="16" t="inlineStr">
        <is>
          <t>KF-M02R-n2b-0035</t>
        </is>
      </c>
      <c r="B243" s="35" t="n">
        <v>2000</v>
      </c>
      <c r="C243" s="37" t="n">
        <v>0.6</v>
      </c>
      <c r="D243" s="39" t="inlineStr">
        <is>
          <t>Corregible</t>
        </is>
      </c>
      <c r="E243" s="29" t="n">
        <v>3.29144677890976</v>
      </c>
      <c r="F243" s="35" t="n">
        <v>45.71397302688568</v>
      </c>
      <c r="G243" s="36" t="n">
        <v>1000</v>
      </c>
      <c r="H243" s="29" t="n">
        <v>1.5</v>
      </c>
      <c r="I243" s="16" t="inlineStr">
        <is>
          <t>sí</t>
        </is>
      </c>
      <c r="J243" s="16" t="inlineStr">
        <is>
          <t>O2</t>
        </is>
      </c>
      <c r="K243" s="16" t="inlineStr">
        <is>
          <t>malla</t>
        </is>
      </c>
    </row>
    <row r="244">
      <c r="A244" s="16" t="inlineStr">
        <is>
          <t>KF-M02R-n2b-0047</t>
        </is>
      </c>
      <c r="B244" s="35" t="n">
        <v>2000</v>
      </c>
      <c r="C244" s="37" t="n">
        <v>0.7</v>
      </c>
      <c r="D244" s="39" t="inlineStr">
        <is>
          <t>Corregible</t>
        </is>
      </c>
      <c r="E244" s="29" t="n">
        <v>3.26065408971742</v>
      </c>
      <c r="F244" s="35" t="n">
        <v>52.50765832771361</v>
      </c>
      <c r="G244" s="36" t="n">
        <v>1000</v>
      </c>
      <c r="H244" s="29" t="n">
        <v>1.5</v>
      </c>
      <c r="I244" s="16" t="inlineStr">
        <is>
          <t>sí</t>
        </is>
      </c>
      <c r="J244" s="16" t="inlineStr">
        <is>
          <t>O2</t>
        </is>
      </c>
      <c r="K244" s="16" t="inlineStr">
        <is>
          <t>malla</t>
        </is>
      </c>
    </row>
    <row r="245"/>
    <row r="246">
      <c r="A246" s="33" t="inlineStr">
        <is>
          <t>Parte 2.3d · T_fuente × ε_cond · 21 puntos</t>
        </is>
      </c>
      <c r="B246" s="31" t="n"/>
      <c r="C246" s="31" t="n"/>
      <c r="D246" s="31" t="n"/>
      <c r="E246" s="31" t="n"/>
      <c r="F246" s="31" t="n"/>
      <c r="G246" s="31" t="n"/>
      <c r="H246" s="31" t="n"/>
      <c r="I246" s="31" t="n"/>
      <c r="J246" s="31" t="n"/>
      <c r="K246" s="31" t="n"/>
      <c r="M246" s="24" t="inlineStr">
        <is>
          <t>Figura 2.3-4 · Parte 2.3d: 1 KALINA con η y ε en [0.40, 0.95]</t>
        </is>
      </c>
    </row>
    <row r="247"/>
    <row r="248">
      <c r="A248" s="34" t="inlineStr">
        <is>
          <t>Barrido de la parte 2.3d · 21 puntos</t>
        </is>
      </c>
    </row>
    <row r="249">
      <c r="A249" s="25" t="inlineStr">
        <is>
          <t>Fijos en este barrido: T_sumidero = 300.03, P_alta = 3000, P_baja = 400, x_b = 0.5, η_t = 0.85, η_p = 0.75, ε_HRVG = 0.85, ε_reg = 0.75.</t>
        </is>
      </c>
    </row>
    <row r="250">
      <c r="A250" s="22" t="inlineStr">
        <is>
          <t>id_punto</t>
        </is>
      </c>
      <c r="B250" s="22" t="inlineStr">
        <is>
          <t>T_fuente [K]</t>
        </is>
      </c>
      <c r="C250" s="22" t="inlineStr">
        <is>
          <t>ε_cond [–]</t>
        </is>
      </c>
      <c r="D250" s="22" t="inlineStr">
        <is>
          <t>Clase</t>
        </is>
      </c>
      <c r="E250" s="22" t="inlineStr">
        <is>
          <t>η [%]</t>
        </is>
      </c>
      <c r="F250" s="22" t="inlineStr">
        <is>
          <t>W_net [kW] (m_b = 1 kg/s)</t>
        </is>
      </c>
      <c r="G250" s="22" t="inlineStr">
        <is>
          <t>ΔP [kPa]</t>
        </is>
      </c>
      <c r="H250" s="22" t="inlineStr">
        <is>
          <t>r_P [–]</t>
        </is>
      </c>
      <c r="I250" s="22" t="inlineStr">
        <is>
          <t>Fuera de rango</t>
        </is>
      </c>
      <c r="J250" s="22" t="inlineStr">
        <is>
          <t>Criterios que falla</t>
        </is>
      </c>
    </row>
    <row r="251">
      <c r="A251" s="16" t="inlineStr">
        <is>
          <t>KF-M02R-n3-0001</t>
        </is>
      </c>
      <c r="B251" s="35" t="n">
        <v>403</v>
      </c>
      <c r="C251" s="37" t="n">
        <v>0.85</v>
      </c>
      <c r="D251" s="39" t="inlineStr">
        <is>
          <t>Corregible</t>
        </is>
      </c>
      <c r="E251" s="29" t="n">
        <v>9.81249139263646</v>
      </c>
      <c r="F251" s="35" t="n">
        <v>30.61691944063476</v>
      </c>
      <c r="G251" s="36" t="n">
        <v>2600</v>
      </c>
      <c r="H251" s="29" t="n">
        <v>7.5</v>
      </c>
      <c r="I251" s="16" t="inlineStr">
        <is>
          <t>no</t>
        </is>
      </c>
      <c r="J251" s="16" t="inlineStr">
        <is>
          <t>O2</t>
        </is>
      </c>
    </row>
    <row r="252">
      <c r="A252" s="16" t="inlineStr">
        <is>
          <t>KF-M02R-n3-0000</t>
        </is>
      </c>
      <c r="B252" s="35" t="n">
        <v>403</v>
      </c>
      <c r="C252" s="37" t="n">
        <v>0.9</v>
      </c>
      <c r="D252" s="39" t="inlineStr">
        <is>
          <t>Corregible</t>
        </is>
      </c>
      <c r="E252" s="29" t="n">
        <v>9.682158158492973</v>
      </c>
      <c r="F252" s="35" t="n">
        <v>30.75216541949138</v>
      </c>
      <c r="G252" s="36" t="n">
        <v>2600</v>
      </c>
      <c r="H252" s="29" t="n">
        <v>7.5</v>
      </c>
      <c r="I252" s="16" t="inlineStr">
        <is>
          <t>no</t>
        </is>
      </c>
      <c r="J252" s="16" t="inlineStr">
        <is>
          <t>O2</t>
        </is>
      </c>
    </row>
    <row r="253">
      <c r="A253" s="16" t="inlineStr">
        <is>
          <t>KF-M02R-n3-0002</t>
        </is>
      </c>
      <c r="B253" s="35" t="n">
        <v>403</v>
      </c>
      <c r="C253" s="37" t="n">
        <v>0.95</v>
      </c>
      <c r="D253" s="42" t="inlineStr">
        <is>
          <t>KALINA</t>
        </is>
      </c>
      <c r="E253" s="29" t="n">
        <v>9.504720128032099</v>
      </c>
      <c r="F253" s="35" t="n">
        <v>30.67541128254607</v>
      </c>
      <c r="G253" s="36" t="n">
        <v>2600</v>
      </c>
      <c r="H253" s="29" t="n">
        <v>7.5</v>
      </c>
      <c r="I253" s="16" t="inlineStr">
        <is>
          <t>no</t>
        </is>
      </c>
      <c r="J253" s="16" t="n"/>
    </row>
    <row r="254">
      <c r="A254" s="16" t="inlineStr">
        <is>
          <t>KF-M02R-n3-0005</t>
        </is>
      </c>
      <c r="B254" s="35" t="n">
        <v>420</v>
      </c>
      <c r="C254" s="37" t="n">
        <v>0.85</v>
      </c>
      <c r="D254" s="39" t="inlineStr">
        <is>
          <t>Corregible</t>
        </is>
      </c>
      <c r="E254" s="29" t="n">
        <v>12.24117691913457</v>
      </c>
      <c r="F254" s="35" t="n">
        <v>63.10505886495541</v>
      </c>
      <c r="G254" s="36" t="n">
        <v>2600</v>
      </c>
      <c r="H254" s="29" t="n">
        <v>7.5</v>
      </c>
      <c r="I254" s="16" t="inlineStr">
        <is>
          <t>no</t>
        </is>
      </c>
      <c r="J254" s="16" t="inlineStr">
        <is>
          <t>O2</t>
        </is>
      </c>
    </row>
    <row r="255">
      <c r="A255" s="16" t="inlineStr">
        <is>
          <t>KF-M02R-n3-0003</t>
        </is>
      </c>
      <c r="B255" s="35" t="n">
        <v>420</v>
      </c>
      <c r="C255" s="37" t="n">
        <v>0.9</v>
      </c>
      <c r="D255" s="40" t="inlineStr">
        <is>
          <t>Inviable</t>
        </is>
      </c>
      <c r="E255" s="29" t="n">
        <v>12.10530013815789</v>
      </c>
      <c r="F255" s="35" t="n">
        <v>63.79155462709105</v>
      </c>
      <c r="G255" s="36" t="n">
        <v>2600</v>
      </c>
      <c r="H255" s="29" t="n">
        <v>7.5</v>
      </c>
      <c r="I255" s="16" t="inlineStr">
        <is>
          <t>no</t>
        </is>
      </c>
      <c r="J255" s="16" t="inlineStr">
        <is>
          <t>S3,O2</t>
        </is>
      </c>
    </row>
    <row r="256">
      <c r="A256" s="16" t="inlineStr">
        <is>
          <t>KF-M02R-n3-0004</t>
        </is>
      </c>
      <c r="B256" s="35" t="n">
        <v>420</v>
      </c>
      <c r="C256" s="37" t="n">
        <v>0.95</v>
      </c>
      <c r="D256" s="39" t="inlineStr">
        <is>
          <t>Corregible</t>
        </is>
      </c>
      <c r="E256" s="29" t="n">
        <v>11.88681952682181</v>
      </c>
      <c r="F256" s="35" t="n">
        <v>63.88573397176583</v>
      </c>
      <c r="G256" s="36" t="n">
        <v>2600</v>
      </c>
      <c r="H256" s="29" t="n">
        <v>7.5</v>
      </c>
      <c r="I256" s="16" t="inlineStr">
        <is>
          <t>no</t>
        </is>
      </c>
      <c r="J256" s="16" t="inlineStr">
        <is>
          <t>O2</t>
        </is>
      </c>
    </row>
    <row r="257">
      <c r="A257" s="16" t="inlineStr">
        <is>
          <t>KF-M02R-n3-0006</t>
        </is>
      </c>
      <c r="B257" s="35" t="n">
        <v>434</v>
      </c>
      <c r="C257" s="37" t="n">
        <v>0.85</v>
      </c>
      <c r="D257" s="39" t="inlineStr">
        <is>
          <t>Corregible</t>
        </is>
      </c>
      <c r="E257" s="29" t="n">
        <v>13.04932485530815</v>
      </c>
      <c r="F257" s="35" t="n">
        <v>91.88020964080395</v>
      </c>
      <c r="G257" s="36" t="n">
        <v>2600</v>
      </c>
      <c r="H257" s="29" t="n">
        <v>7.5</v>
      </c>
      <c r="I257" s="16" t="inlineStr">
        <is>
          <t>sí</t>
        </is>
      </c>
      <c r="J257" s="16" t="inlineStr">
        <is>
          <t>O2</t>
        </is>
      </c>
    </row>
    <row r="258">
      <c r="A258" s="16" t="inlineStr">
        <is>
          <t>KF-M02R-n3-0007</t>
        </is>
      </c>
      <c r="B258" s="35" t="n">
        <v>434</v>
      </c>
      <c r="C258" s="37" t="n">
        <v>0.9</v>
      </c>
      <c r="D258" s="39" t="inlineStr">
        <is>
          <t>Corregible</t>
        </is>
      </c>
      <c r="E258" s="29" t="n">
        <v>12.93034535367472</v>
      </c>
      <c r="F258" s="35" t="n">
        <v>93.40022495842264</v>
      </c>
      <c r="G258" s="36" t="n">
        <v>2600</v>
      </c>
      <c r="H258" s="29" t="n">
        <v>7.5</v>
      </c>
      <c r="I258" s="16" t="inlineStr">
        <is>
          <t>sí</t>
        </is>
      </c>
      <c r="J258" s="16" t="inlineStr">
        <is>
          <t>O2</t>
        </is>
      </c>
    </row>
    <row r="259">
      <c r="A259" s="16" t="inlineStr">
        <is>
          <t>KF-M02R-n3-0008</t>
        </is>
      </c>
      <c r="B259" s="35" t="n">
        <v>434</v>
      </c>
      <c r="C259" s="37" t="n">
        <v>0.95</v>
      </c>
      <c r="D259" s="39" t="inlineStr">
        <is>
          <t>Corregible</t>
        </is>
      </c>
      <c r="E259" s="29" t="n">
        <v>12.69780134293553</v>
      </c>
      <c r="F259" s="35" t="n">
        <v>93.83578315118169</v>
      </c>
      <c r="G259" s="36" t="n">
        <v>2600</v>
      </c>
      <c r="H259" s="29" t="n">
        <v>7.5</v>
      </c>
      <c r="I259" s="16" t="inlineStr">
        <is>
          <t>sí</t>
        </is>
      </c>
      <c r="J259" s="16" t="inlineStr">
        <is>
          <t>O2</t>
        </is>
      </c>
    </row>
    <row r="260">
      <c r="A260" s="16" t="inlineStr">
        <is>
          <t>KF-M02R-n3-0010</t>
        </is>
      </c>
      <c r="B260" s="35" t="n">
        <v>466</v>
      </c>
      <c r="C260" s="37" t="n">
        <v>0.85</v>
      </c>
      <c r="D260" s="39" t="inlineStr">
        <is>
          <t>Corregible</t>
        </is>
      </c>
      <c r="E260" s="29" t="n">
        <v>13.51784773689981</v>
      </c>
      <c r="F260" s="35" t="n">
        <v>194.979258389766</v>
      </c>
      <c r="G260" s="36" t="n">
        <v>2600</v>
      </c>
      <c r="H260" s="29" t="n">
        <v>7.5</v>
      </c>
      <c r="I260" s="16" t="inlineStr">
        <is>
          <t>sí</t>
        </is>
      </c>
      <c r="J260" s="16" t="inlineStr">
        <is>
          <t>O2</t>
        </is>
      </c>
    </row>
    <row r="261">
      <c r="A261" s="16" t="inlineStr">
        <is>
          <t>KF-M02R-n3-0009</t>
        </is>
      </c>
      <c r="B261" s="35" t="n">
        <v>466</v>
      </c>
      <c r="C261" s="37" t="n">
        <v>0.9</v>
      </c>
      <c r="D261" s="39" t="inlineStr">
        <is>
          <t>Corregible</t>
        </is>
      </c>
      <c r="E261" s="29" t="n">
        <v>13.51877433333378</v>
      </c>
      <c r="F261" s="35" t="n">
        <v>202.679190762492</v>
      </c>
      <c r="G261" s="36" t="n">
        <v>2600</v>
      </c>
      <c r="H261" s="29" t="n">
        <v>7.5</v>
      </c>
      <c r="I261" s="16" t="inlineStr">
        <is>
          <t>sí</t>
        </is>
      </c>
      <c r="J261" s="16" t="inlineStr">
        <is>
          <t>O2</t>
        </is>
      </c>
    </row>
    <row r="262">
      <c r="A262" s="16" t="inlineStr">
        <is>
          <t>KF-M02R-n3-0011</t>
        </is>
      </c>
      <c r="B262" s="35" t="n">
        <v>466</v>
      </c>
      <c r="C262" s="37" t="n">
        <v>0.95</v>
      </c>
      <c r="D262" s="39" t="inlineStr">
        <is>
          <t>Corregible</t>
        </is>
      </c>
      <c r="E262" s="29" t="n">
        <v>13.29033086806876</v>
      </c>
      <c r="F262" s="35" t="n">
        <v>206.1081493268724</v>
      </c>
      <c r="G262" s="36" t="n">
        <v>2600</v>
      </c>
      <c r="H262" s="29" t="n">
        <v>7.5</v>
      </c>
      <c r="I262" s="16" t="inlineStr">
        <is>
          <t>sí</t>
        </is>
      </c>
      <c r="J262" s="16" t="inlineStr">
        <is>
          <t>O2</t>
        </is>
      </c>
    </row>
    <row r="263">
      <c r="A263" s="16" t="inlineStr">
        <is>
          <t>KF-M02R-n3-0013</t>
        </is>
      </c>
      <c r="B263" s="35" t="n">
        <v>497</v>
      </c>
      <c r="C263" s="37" t="n">
        <v>0.85</v>
      </c>
      <c r="D263" s="39" t="inlineStr">
        <is>
          <t>Corregible</t>
        </is>
      </c>
      <c r="E263" s="29" t="n">
        <v>13.47906423717677</v>
      </c>
      <c r="F263" s="35" t="n">
        <v>236.575629387504</v>
      </c>
      <c r="G263" s="36" t="n">
        <v>2600</v>
      </c>
      <c r="H263" s="29" t="n">
        <v>7.5</v>
      </c>
      <c r="I263" s="16" t="inlineStr">
        <is>
          <t>sí</t>
        </is>
      </c>
      <c r="J263" s="16" t="inlineStr">
        <is>
          <t>O2</t>
        </is>
      </c>
    </row>
    <row r="264">
      <c r="A264" s="16" t="inlineStr">
        <is>
          <t>KF-M02R-n3-0012</t>
        </is>
      </c>
      <c r="B264" s="35" t="n">
        <v>497</v>
      </c>
      <c r="C264" s="37" t="n">
        <v>0.9</v>
      </c>
      <c r="D264" s="32" t="inlineStr">
        <is>
          <t>No convergió</t>
        </is>
      </c>
      <c r="E264" s="29" t="inlineStr">
        <is>
          <t>—</t>
        </is>
      </c>
      <c r="F264" s="35" t="inlineStr">
        <is>
          <t>—</t>
        </is>
      </c>
      <c r="G264" s="36" t="n">
        <v>2600</v>
      </c>
      <c r="H264" s="29" t="n">
        <v>7.5</v>
      </c>
      <c r="I264" s="16" t="inlineStr">
        <is>
          <t>no</t>
        </is>
      </c>
      <c r="J264" s="16" t="n"/>
    </row>
    <row r="265">
      <c r="A265" s="16" t="inlineStr">
        <is>
          <t>KF-M02R-n3-0014</t>
        </is>
      </c>
      <c r="B265" s="35" t="n">
        <v>497</v>
      </c>
      <c r="C265" s="37" t="n">
        <v>0.95</v>
      </c>
      <c r="D265" s="39" t="inlineStr">
        <is>
          <t>Corregible</t>
        </is>
      </c>
      <c r="E265" s="29" t="n">
        <v>13.30362027159367</v>
      </c>
      <c r="F265" s="35" t="n">
        <v>253.7002277302801</v>
      </c>
      <c r="G265" s="36" t="n">
        <v>2600</v>
      </c>
      <c r="H265" s="29" t="n">
        <v>7.5</v>
      </c>
      <c r="I265" s="16" t="inlineStr">
        <is>
          <t>sí</t>
        </is>
      </c>
      <c r="J265" s="16" t="inlineStr">
        <is>
          <t>O2</t>
        </is>
      </c>
      <c r="M265" s="25" t="inlineStr">
        <is>
          <t>Estudio 2.3 · parte(s) 2.3d. Punto base: PP = datos del enunciado del profesor (T_fuente 623.15 K, P_alta 3000 kPa, P_baja 400 kPa, x_b 0.50)</t>
        </is>
      </c>
    </row>
    <row r="266">
      <c r="A266" s="16" t="inlineStr">
        <is>
          <t>KF-M02R-n3-0015</t>
        </is>
      </c>
      <c r="B266" s="35" t="n">
        <v>529</v>
      </c>
      <c r="C266" s="37" t="n">
        <v>0.85</v>
      </c>
      <c r="D266" s="39" t="inlineStr">
        <is>
          <t>Corregible</t>
        </is>
      </c>
      <c r="E266" s="29" t="n">
        <v>13.46852302021738</v>
      </c>
      <c r="F266" s="35" t="n">
        <v>246.61390309703</v>
      </c>
      <c r="G266" s="36" t="n">
        <v>2600</v>
      </c>
      <c r="H266" s="29" t="n">
        <v>7.5</v>
      </c>
      <c r="I266" s="16" t="inlineStr">
        <is>
          <t>sí</t>
        </is>
      </c>
      <c r="J266" s="16" t="inlineStr">
        <is>
          <t>O1,O2</t>
        </is>
      </c>
      <c r="M266" s="25" t="inlineStr">
        <is>
          <t>Datos fijos: T_sumidero = 300.03 K; P_alta = 3000 kPa; P_baja = 400 kPa; x_b = 0.5; m_b = 1 kg/s; η_t = 0.85; η_p = 0.75; ε_HRVG = 0.85; ε_reg = 0.75; motor de propiedades = teqp.</t>
        </is>
      </c>
    </row>
    <row r="267">
      <c r="A267" s="16" t="inlineStr">
        <is>
          <t>KF-M02R-n3-0017</t>
        </is>
      </c>
      <c r="B267" s="35" t="n">
        <v>529</v>
      </c>
      <c r="C267" s="37" t="n">
        <v>0.9</v>
      </c>
      <c r="D267" s="39" t="inlineStr">
        <is>
          <t>Corregible</t>
        </is>
      </c>
      <c r="E267" s="29" t="n">
        <v>13.52714485431687</v>
      </c>
      <c r="F267" s="35" t="n">
        <v>259.2926139323614</v>
      </c>
      <c r="G267" s="36" t="n">
        <v>2600</v>
      </c>
      <c r="H267" s="29" t="n">
        <v>7.5</v>
      </c>
      <c r="I267" s="16" t="inlineStr">
        <is>
          <t>sí</t>
        </is>
      </c>
      <c r="J267" s="16" t="inlineStr">
        <is>
          <t>O1,O2</t>
        </is>
      </c>
      <c r="M267" s="25" t="inlineStr">
        <is>
          <t>Datos barridos: T_fuente [403–560] K (7 valores); ε_cond [0.85–0.95] (3 valores).</t>
        </is>
      </c>
    </row>
    <row r="268">
      <c r="A268" s="16" t="inlineStr">
        <is>
          <t>KF-M02R-n3-0016</t>
        </is>
      </c>
      <c r="B268" s="35" t="n">
        <v>529</v>
      </c>
      <c r="C268" s="37" t="n">
        <v>0.95</v>
      </c>
      <c r="D268" s="39" t="inlineStr">
        <is>
          <t>Corregible</t>
        </is>
      </c>
      <c r="E268" s="29" t="n">
        <v>13.3041489632741</v>
      </c>
      <c r="F268" s="35" t="n">
        <v>265.3722925278876</v>
      </c>
      <c r="G268" s="36" t="n">
        <v>2600</v>
      </c>
      <c r="H268" s="29" t="n">
        <v>7.5</v>
      </c>
      <c r="I268" s="16" t="inlineStr">
        <is>
          <t>sí</t>
        </is>
      </c>
      <c r="J268" s="16" t="inlineStr">
        <is>
          <t>O2</t>
        </is>
      </c>
      <c r="M268" s="25" t="inlineStr">
        <is>
          <t>Filtro: parte 2.3d (2.3d).</t>
        </is>
      </c>
    </row>
    <row r="269">
      <c r="A269" s="16" t="inlineStr">
        <is>
          <t>KF-M02R-n3-0018</t>
        </is>
      </c>
      <c r="B269" s="35" t="n">
        <v>560</v>
      </c>
      <c r="C269" s="37" t="n">
        <v>0.85</v>
      </c>
      <c r="D269" s="39" t="inlineStr">
        <is>
          <t>Corregible</t>
        </is>
      </c>
      <c r="E269" s="29" t="n">
        <v>13.45907014942185</v>
      </c>
      <c r="F269" s="35" t="n">
        <v>255.8867154782596</v>
      </c>
      <c r="G269" s="36" t="n">
        <v>2600</v>
      </c>
      <c r="H269" s="29" t="n">
        <v>7.5</v>
      </c>
      <c r="I269" s="16" t="inlineStr">
        <is>
          <t>sí</t>
        </is>
      </c>
      <c r="J269" s="16" t="inlineStr">
        <is>
          <t>O1,O2</t>
        </is>
      </c>
      <c r="M269" s="25" t="inlineStr">
        <is>
          <t>n = 21. Fuente: todos_los_puntos.csv.</t>
        </is>
      </c>
    </row>
    <row r="270">
      <c r="A270" s="16" t="inlineStr">
        <is>
          <t>KF-M02R-n3-0020</t>
        </is>
      </c>
      <c r="B270" s="35" t="n">
        <v>560</v>
      </c>
      <c r="C270" s="37" t="n">
        <v>0.9</v>
      </c>
      <c r="D270" s="39" t="inlineStr">
        <is>
          <t>Corregible</t>
        </is>
      </c>
      <c r="E270" s="29" t="n">
        <v>13.52680973304125</v>
      </c>
      <c r="F270" s="35" t="n">
        <v>269.5785938288598</v>
      </c>
      <c r="G270" s="36" t="n">
        <v>2600</v>
      </c>
      <c r="H270" s="29" t="n">
        <v>7.5</v>
      </c>
      <c r="I270" s="16" t="inlineStr">
        <is>
          <t>sí</t>
        </is>
      </c>
      <c r="J270" s="16" t="inlineStr">
        <is>
          <t>O1,O2</t>
        </is>
      </c>
    </row>
    <row r="271">
      <c r="A271" s="16" t="inlineStr">
        <is>
          <t>KF-M02R-n3-0019</t>
        </is>
      </c>
      <c r="B271" s="35" t="n">
        <v>560</v>
      </c>
      <c r="C271" s="37" t="n">
        <v>0.95</v>
      </c>
      <c r="D271" s="39" t="inlineStr">
        <is>
          <t>Corregible</t>
        </is>
      </c>
      <c r="E271" s="29" t="n">
        <v>13.3043092116722</v>
      </c>
      <c r="F271" s="35" t="n">
        <v>276.2159540448791</v>
      </c>
      <c r="G271" s="36" t="n">
        <v>2600</v>
      </c>
      <c r="H271" s="29" t="n">
        <v>7.5</v>
      </c>
      <c r="I271" s="16" t="inlineStr">
        <is>
          <t>sí</t>
        </is>
      </c>
      <c r="J271" s="16" t="inlineStr">
        <is>
          <t>O1,O2</t>
        </is>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44" customWidth="1" min="1" max="1"/>
    <col width="48" customWidth="1" min="2" max="2"/>
    <col width="10" customWidth="1" min="3" max="3"/>
    <col width="15" customWidth="1" min="4" max="4"/>
    <col width="11" customWidth="1" min="5" max="5"/>
    <col width="21" customWidth="1" min="6" max="6"/>
    <col width="10" customWidth="1" min="7" max="7"/>
  </cols>
  <sheetData>
    <row r="1">
      <c r="A1" s="19" t="inlineStr">
        <is>
          <t>Tabla 2.4-1 · Condiciones: qué quedó fijo y qué se barrió</t>
        </is>
      </c>
    </row>
    <row r="2">
      <c r="A2" s="20" t="inlineStr">
        <is>
          <t>Estudio 2.4 · Sumidero más frío · Partes: 2.4a, 2.4b, 2.4c, 2.4d</t>
        </is>
      </c>
    </row>
    <row r="3">
      <c r="A3" s="20" t="inlineStr">
        <is>
          <t>Punto base: 2.4a a 2.4d = cuatro bases distintas (una por parte)</t>
        </is>
      </c>
    </row>
    <row r="4">
      <c r="A4" s="41" t="inlineStr">
        <is>
          <t>Parte 2.4a (fuente a 403 K):</t>
        </is>
      </c>
    </row>
    <row r="5">
      <c r="A5" s="21" t="inlineStr">
        <is>
          <t>Datos fijos: T_fuente = 403 K; P_alta = 3000 kPa; x_b = 0.5; m_b = 1 kg/s; η_t = 0.85; η_p = 0.75; ε_HRVG = 0.85; ε_reg = 0.75; ε_cond = 0.8; motor de propiedades = teqp.</t>
        </is>
      </c>
    </row>
    <row r="6">
      <c r="A6" s="21" t="inlineStr">
        <is>
          <t>Datos barridos: T_sumidero [278.15–300.03] K (5 valores); P_baja [150–1500] kPa (28 valores); piso de O2 [278.15–300.03] K (5 valores).</t>
        </is>
      </c>
    </row>
    <row r="7">
      <c r="A7" s="41" t="inlineStr">
        <is>
          <t>Parte 2.4b (fuente a 420 K):</t>
        </is>
      </c>
    </row>
    <row r="8">
      <c r="A8" s="21" t="inlineStr">
        <is>
          <t>Datos fijos: T_fuente = 420 K; P_alta = 3000 kPa; x_b = 0.5; m_b = 1 kg/s; η_t = 0.85; η_p = 0.75; ε_HRVG = 0.85; ε_reg = 0.75; ε_cond = 0.8; motor de propiedades = teqp.</t>
        </is>
      </c>
    </row>
    <row r="9">
      <c r="A9" s="21" t="inlineStr">
        <is>
          <t>Datos barridos: T_sumidero [278.15–300.03] K (5 valores); P_baja [150–1500] kPa (28 valores); piso de O2 [278.15–300.03] K (5 valores).</t>
        </is>
      </c>
    </row>
    <row r="10">
      <c r="A10" s="41" t="inlineStr">
        <is>
          <t>Parte 2.4c (ε_HRVG = 0.40 (fuente del profesor)):</t>
        </is>
      </c>
    </row>
    <row r="11">
      <c r="A11" s="21" t="inlineStr">
        <is>
          <t>Datos fijos: T_fuente = 623.15 K; P_alta = 3000 kPa; x_b = 0.5; m_b = 1 kg/s; η_t = 0.85; η_p = 0.75; ε_HRVG = 0.4; ε_reg = 0.75; ε_cond = 0.8; motor de propiedades = teqp.</t>
        </is>
      </c>
    </row>
    <row r="12">
      <c r="A12" s="21" t="inlineStr">
        <is>
          <t>Datos barridos: T_sumidero [278.15–300.03] K (5 valores); P_baja [150–1500] kPa (30 valores); piso de O2 [278.15–300.03] K (5 valores).</t>
        </is>
      </c>
    </row>
    <row r="13">
      <c r="A13" s="41" t="inlineStr">
        <is>
          <t>Parte 2.4d (datos exactos del profesor):</t>
        </is>
      </c>
    </row>
    <row r="14">
      <c r="A14" s="21" t="inlineStr">
        <is>
          <t>Datos fijos: T_fuente = 623.15 K; P_alta = 3000 kPa; x_b = 0.5; m_b = 1 kg/s; η_t = 0.85; η_p = 0.75; ε_HRVG = 0.85; ε_reg = 0.75; ε_cond = 0.8; motor de propiedades = teqp.</t>
        </is>
      </c>
    </row>
    <row r="15">
      <c r="A15" s="21" t="inlineStr">
        <is>
          <t>Datos barridos: T_sumidero [278.15–300.03] K (5 valores); P_baja [150–1500] kPa (10 valores); piso de O2 [278.15–300.03] K (5 valores).</t>
        </is>
      </c>
    </row>
    <row r="16">
      <c r="A16" s="20" t="inlineStr">
        <is>
          <t>Fuente: analisis_final/00_inventario/condiciones_por_subcaso.csv</t>
        </is>
      </c>
    </row>
    <row r="18">
      <c r="A18" s="22" t="inlineStr">
        <is>
          <t>Parte</t>
        </is>
      </c>
      <c r="B18" s="22" t="inlineStr">
        <is>
          <t>Variable</t>
        </is>
      </c>
      <c r="C18" s="22" t="inlineStr">
        <is>
          <t>Estado</t>
        </is>
      </c>
      <c r="D18" s="22" t="inlineStr">
        <is>
          <t>Valor o rango</t>
        </is>
      </c>
      <c r="E18" s="22" t="inlineStr">
        <is>
          <t>n valores</t>
        </is>
      </c>
      <c r="F18" s="22" t="inlineStr">
        <is>
          <t>¿Igual al profesor?</t>
        </is>
      </c>
      <c r="G18" s="22" t="inlineStr">
        <is>
          <t>Unidad</t>
        </is>
      </c>
    </row>
    <row r="19">
      <c r="A19" s="16" t="inlineStr">
        <is>
          <t>2.4a · fuente a 403 K</t>
        </is>
      </c>
      <c r="B19" s="16" t="inlineStr">
        <is>
          <t>Temperatura de la fuente, T_fuente [K]</t>
        </is>
      </c>
      <c r="C19" s="16" t="inlineStr">
        <is>
          <t>Fija</t>
        </is>
      </c>
      <c r="D19" s="16" t="inlineStr">
        <is>
          <t>403.0</t>
        </is>
      </c>
      <c r="E19" s="16" t="n"/>
      <c r="F19" s="16" t="inlineStr">
        <is>
          <t>no</t>
        </is>
      </c>
      <c r="G19" s="16" t="inlineStr">
        <is>
          <t>K</t>
        </is>
      </c>
    </row>
    <row r="20">
      <c r="A20" s="16" t="inlineStr">
        <is>
          <t>2.4a · fuente a 403 K</t>
        </is>
      </c>
      <c r="B20" s="16" t="inlineStr">
        <is>
          <t>Temperatura del sumidero, T_sumidero [K]</t>
        </is>
      </c>
      <c r="C20" s="16" t="inlineStr">
        <is>
          <t>Barrida</t>
        </is>
      </c>
      <c r="D20" s="16" t="inlineStr">
        <is>
          <t>278.1 – 300.0</t>
        </is>
      </c>
      <c r="E20" s="16" t="n">
        <v>5</v>
      </c>
      <c r="F20" s="16" t="n"/>
      <c r="G20" s="16" t="inlineStr">
        <is>
          <t>K</t>
        </is>
      </c>
    </row>
    <row r="21">
      <c r="A21" s="16" t="inlineStr">
        <is>
          <t>2.4a · fuente a 403 K</t>
        </is>
      </c>
      <c r="B21" s="16" t="inlineStr">
        <is>
          <t>Presión de alta, P_alta [kPa]</t>
        </is>
      </c>
      <c r="C21" s="16" t="inlineStr">
        <is>
          <t>Fija</t>
        </is>
      </c>
      <c r="D21" s="16" t="inlineStr">
        <is>
          <t>3000.0</t>
        </is>
      </c>
      <c r="E21" s="16" t="n"/>
      <c r="F21" s="16" t="inlineStr">
        <is>
          <t>sí</t>
        </is>
      </c>
      <c r="G21" s="16" t="inlineStr">
        <is>
          <t>kPa</t>
        </is>
      </c>
    </row>
    <row r="22">
      <c r="A22" s="16" t="inlineStr">
        <is>
          <t>2.4a · fuente a 403 K</t>
        </is>
      </c>
      <c r="B22" s="16" t="inlineStr">
        <is>
          <t>Presión de baja, P_baja [kPa]</t>
        </is>
      </c>
      <c r="C22" s="16" t="inlineStr">
        <is>
          <t>Barrida</t>
        </is>
      </c>
      <c r="D22" s="16" t="inlineStr">
        <is>
          <t>150.0 – 1500</t>
        </is>
      </c>
      <c r="E22" s="16" t="n">
        <v>28</v>
      </c>
      <c r="F22" s="16" t="n"/>
      <c r="G22" s="16" t="inlineStr">
        <is>
          <t>kPa</t>
        </is>
      </c>
    </row>
    <row r="23">
      <c r="A23" s="16" t="inlineStr">
        <is>
          <t>2.4a · fuente a 403 K</t>
        </is>
      </c>
      <c r="B23" s="16" t="inlineStr">
        <is>
          <t>Fracción de amoníaco de la mezcla base, x_b [–]</t>
        </is>
      </c>
      <c r="C23" s="16" t="inlineStr">
        <is>
          <t>Fija</t>
        </is>
      </c>
      <c r="D23" s="16" t="inlineStr">
        <is>
          <t>0.5</t>
        </is>
      </c>
      <c r="E23" s="16" t="n"/>
      <c r="F23" s="16" t="inlineStr">
        <is>
          <t>sí</t>
        </is>
      </c>
      <c r="G23" s="16" t="inlineStr">
        <is>
          <t>–</t>
        </is>
      </c>
    </row>
    <row r="24">
      <c r="A24" s="16" t="inlineStr">
        <is>
          <t>2.4a · fuente a 403 K</t>
        </is>
      </c>
      <c r="B24" s="16" t="inlineStr">
        <is>
          <t>Flujo másico base, m_b [kg/s]</t>
        </is>
      </c>
      <c r="C24" s="16" t="inlineStr">
        <is>
          <t>Fija</t>
        </is>
      </c>
      <c r="D24" s="16" t="inlineStr">
        <is>
          <t>1.0</t>
        </is>
      </c>
      <c r="E24" s="16" t="n"/>
      <c r="F24" s="16" t="inlineStr">
        <is>
          <t>sí</t>
        </is>
      </c>
      <c r="G24" s="16" t="inlineStr">
        <is>
          <t>kg/s</t>
        </is>
      </c>
    </row>
    <row r="25">
      <c r="A25" s="16" t="inlineStr">
        <is>
          <t>2.4a · fuente a 403 K</t>
        </is>
      </c>
      <c r="B25" s="16" t="inlineStr">
        <is>
          <t>Eficiencia isentrópica de la turbina, η_t [–]</t>
        </is>
      </c>
      <c r="C25" s="16" t="inlineStr">
        <is>
          <t>Fija</t>
        </is>
      </c>
      <c r="D25" s="16" t="inlineStr">
        <is>
          <t>0.85</t>
        </is>
      </c>
      <c r="E25" s="16" t="n"/>
      <c r="F25" s="16" t="inlineStr">
        <is>
          <t>sí</t>
        </is>
      </c>
      <c r="G25" s="16" t="inlineStr">
        <is>
          <t>–</t>
        </is>
      </c>
    </row>
    <row r="26">
      <c r="A26" s="16" t="inlineStr">
        <is>
          <t>2.4a · fuente a 403 K</t>
        </is>
      </c>
      <c r="B26" s="16" t="inlineStr">
        <is>
          <t>Eficiencia isentrópica de la bomba, η_p [–]</t>
        </is>
      </c>
      <c r="C26" s="16" t="inlineStr">
        <is>
          <t>Fija</t>
        </is>
      </c>
      <c r="D26" s="16" t="inlineStr">
        <is>
          <t>0.75</t>
        </is>
      </c>
      <c r="E26" s="16" t="n"/>
      <c r="F26" s="16" t="inlineStr">
        <is>
          <t>sí</t>
        </is>
      </c>
      <c r="G26" s="16" t="inlineStr">
        <is>
          <t>–</t>
        </is>
      </c>
    </row>
    <row r="27">
      <c r="A27" s="16" t="inlineStr">
        <is>
          <t>2.4a · fuente a 403 K</t>
        </is>
      </c>
      <c r="B27" s="16" t="inlineStr">
        <is>
          <t>Efectividad del generador de vapor, ε_HRVG [–]</t>
        </is>
      </c>
      <c r="C27" s="16" t="inlineStr">
        <is>
          <t>Fija</t>
        </is>
      </c>
      <c r="D27" s="16" t="inlineStr">
        <is>
          <t>0.85</t>
        </is>
      </c>
      <c r="E27" s="16" t="n"/>
      <c r="F27" s="16" t="inlineStr">
        <is>
          <t>sí</t>
        </is>
      </c>
      <c r="G27" s="16" t="inlineStr">
        <is>
          <t>–</t>
        </is>
      </c>
    </row>
    <row r="28">
      <c r="A28" s="16" t="inlineStr">
        <is>
          <t>2.4a · fuente a 403 K</t>
        </is>
      </c>
      <c r="B28" s="16" t="inlineStr">
        <is>
          <t>Efectividad del regenerador, ε_reg [–]</t>
        </is>
      </c>
      <c r="C28" s="16" t="inlineStr">
        <is>
          <t>Fija</t>
        </is>
      </c>
      <c r="D28" s="16" t="inlineStr">
        <is>
          <t>0.75</t>
        </is>
      </c>
      <c r="E28" s="16" t="n"/>
      <c r="F28" s="16" t="inlineStr">
        <is>
          <t>sí</t>
        </is>
      </c>
      <c r="G28" s="16" t="inlineStr">
        <is>
          <t>–</t>
        </is>
      </c>
    </row>
    <row r="29">
      <c r="A29" s="16" t="inlineStr">
        <is>
          <t>2.4a · fuente a 403 K</t>
        </is>
      </c>
      <c r="B29" s="16" t="inlineStr">
        <is>
          <t>Efectividad del condensador, ε_cond [–]</t>
        </is>
      </c>
      <c r="C29" s="16" t="inlineStr">
        <is>
          <t>Fija</t>
        </is>
      </c>
      <c r="D29" s="16" t="inlineStr">
        <is>
          <t>0.8</t>
        </is>
      </c>
      <c r="E29" s="16" t="n"/>
      <c r="F29" s="16" t="inlineStr">
        <is>
          <t>sí</t>
        </is>
      </c>
      <c r="G29" s="16" t="inlineStr">
        <is>
          <t>–</t>
        </is>
      </c>
    </row>
    <row r="30">
      <c r="A30" s="16" t="inlineStr">
        <is>
          <t>2.4a · fuente a 403 K</t>
        </is>
      </c>
      <c r="B30" s="16" t="inlineStr">
        <is>
          <t>Piso de O2 (T de diseño de la bomba) [K]</t>
        </is>
      </c>
      <c r="C30" s="16" t="inlineStr">
        <is>
          <t>Barrida</t>
        </is>
      </c>
      <c r="D30" s="16" t="inlineStr">
        <is>
          <t>278.1 – 300.0</t>
        </is>
      </c>
      <c r="E30" s="16" t="n">
        <v>5</v>
      </c>
      <c r="F30" s="16" t="n"/>
      <c r="G30" s="16" t="inlineStr">
        <is>
          <t>K</t>
        </is>
      </c>
    </row>
    <row r="31">
      <c r="A31" s="16" t="inlineStr">
        <is>
          <t>2.4a · fuente a 403 K</t>
        </is>
      </c>
      <c r="B31" s="16" t="inlineStr">
        <is>
          <t>motor de propiedades</t>
        </is>
      </c>
      <c r="C31" s="16" t="inlineStr">
        <is>
          <t>Fija</t>
        </is>
      </c>
      <c r="D31" s="16" t="inlineStr">
        <is>
          <t>teqp</t>
        </is>
      </c>
      <c r="E31" s="16" t="n"/>
      <c r="F31" s="16" t="n"/>
      <c r="G31" s="16" t="inlineStr">
        <is>
          <t>–</t>
        </is>
      </c>
    </row>
    <row r="32">
      <c r="A32" s="16" t="inlineStr">
        <is>
          <t>2.4b · fuente a 420 K</t>
        </is>
      </c>
      <c r="B32" s="16" t="inlineStr">
        <is>
          <t>Temperatura de la fuente, T_fuente [K]</t>
        </is>
      </c>
      <c r="C32" s="16" t="inlineStr">
        <is>
          <t>Fija</t>
        </is>
      </c>
      <c r="D32" s="16" t="inlineStr">
        <is>
          <t>420.0</t>
        </is>
      </c>
      <c r="E32" s="16" t="n"/>
      <c r="F32" s="16" t="inlineStr">
        <is>
          <t>no</t>
        </is>
      </c>
      <c r="G32" s="16" t="inlineStr">
        <is>
          <t>K</t>
        </is>
      </c>
    </row>
    <row r="33">
      <c r="A33" s="16" t="inlineStr">
        <is>
          <t>2.4b · fuente a 420 K</t>
        </is>
      </c>
      <c r="B33" s="16" t="inlineStr">
        <is>
          <t>Temperatura del sumidero, T_sumidero [K]</t>
        </is>
      </c>
      <c r="C33" s="16" t="inlineStr">
        <is>
          <t>Barrida</t>
        </is>
      </c>
      <c r="D33" s="16" t="inlineStr">
        <is>
          <t>278.1 – 300.0</t>
        </is>
      </c>
      <c r="E33" s="16" t="n">
        <v>5</v>
      </c>
      <c r="F33" s="16" t="n"/>
      <c r="G33" s="16" t="inlineStr">
        <is>
          <t>K</t>
        </is>
      </c>
    </row>
    <row r="34">
      <c r="A34" s="16" t="inlineStr">
        <is>
          <t>2.4b · fuente a 420 K</t>
        </is>
      </c>
      <c r="B34" s="16" t="inlineStr">
        <is>
          <t>Presión de alta, P_alta [kPa]</t>
        </is>
      </c>
      <c r="C34" s="16" t="inlineStr">
        <is>
          <t>Fija</t>
        </is>
      </c>
      <c r="D34" s="16" t="inlineStr">
        <is>
          <t>3000.0</t>
        </is>
      </c>
      <c r="E34" s="16" t="n"/>
      <c r="F34" s="16" t="inlineStr">
        <is>
          <t>sí</t>
        </is>
      </c>
      <c r="G34" s="16" t="inlineStr">
        <is>
          <t>kPa</t>
        </is>
      </c>
    </row>
    <row r="35">
      <c r="A35" s="16" t="inlineStr">
        <is>
          <t>2.4b · fuente a 420 K</t>
        </is>
      </c>
      <c r="B35" s="16" t="inlineStr">
        <is>
          <t>Presión de baja, P_baja [kPa]</t>
        </is>
      </c>
      <c r="C35" s="16" t="inlineStr">
        <is>
          <t>Barrida</t>
        </is>
      </c>
      <c r="D35" s="16" t="inlineStr">
        <is>
          <t>150.0 – 1500</t>
        </is>
      </c>
      <c r="E35" s="16" t="n">
        <v>28</v>
      </c>
      <c r="F35" s="16" t="n"/>
      <c r="G35" s="16" t="inlineStr">
        <is>
          <t>kPa</t>
        </is>
      </c>
    </row>
    <row r="36">
      <c r="A36" s="16" t="inlineStr">
        <is>
          <t>2.4b · fuente a 420 K</t>
        </is>
      </c>
      <c r="B36" s="16" t="inlineStr">
        <is>
          <t>Fracción de amoníaco de la mezcla base, x_b [–]</t>
        </is>
      </c>
      <c r="C36" s="16" t="inlineStr">
        <is>
          <t>Fija</t>
        </is>
      </c>
      <c r="D36" s="16" t="inlineStr">
        <is>
          <t>0.5</t>
        </is>
      </c>
      <c r="E36" s="16" t="n"/>
      <c r="F36" s="16" t="inlineStr">
        <is>
          <t>sí</t>
        </is>
      </c>
      <c r="G36" s="16" t="inlineStr">
        <is>
          <t>–</t>
        </is>
      </c>
    </row>
    <row r="37">
      <c r="A37" s="16" t="inlineStr">
        <is>
          <t>2.4b · fuente a 420 K</t>
        </is>
      </c>
      <c r="B37" s="16" t="inlineStr">
        <is>
          <t>Flujo másico base, m_b [kg/s]</t>
        </is>
      </c>
      <c r="C37" s="16" t="inlineStr">
        <is>
          <t>Fija</t>
        </is>
      </c>
      <c r="D37" s="16" t="inlineStr">
        <is>
          <t>1.0</t>
        </is>
      </c>
      <c r="E37" s="16" t="n"/>
      <c r="F37" s="16" t="inlineStr">
        <is>
          <t>sí</t>
        </is>
      </c>
      <c r="G37" s="16" t="inlineStr">
        <is>
          <t>kg/s</t>
        </is>
      </c>
    </row>
    <row r="38">
      <c r="A38" s="16" t="inlineStr">
        <is>
          <t>2.4b · fuente a 420 K</t>
        </is>
      </c>
      <c r="B38" s="16" t="inlineStr">
        <is>
          <t>Eficiencia isentrópica de la turbina, η_t [–]</t>
        </is>
      </c>
      <c r="C38" s="16" t="inlineStr">
        <is>
          <t>Fija</t>
        </is>
      </c>
      <c r="D38" s="16" t="inlineStr">
        <is>
          <t>0.85</t>
        </is>
      </c>
      <c r="E38" s="16" t="n"/>
      <c r="F38" s="16" t="inlineStr">
        <is>
          <t>sí</t>
        </is>
      </c>
      <c r="G38" s="16" t="inlineStr">
        <is>
          <t>–</t>
        </is>
      </c>
    </row>
    <row r="39">
      <c r="A39" s="16" t="inlineStr">
        <is>
          <t>2.4b · fuente a 420 K</t>
        </is>
      </c>
      <c r="B39" s="16" t="inlineStr">
        <is>
          <t>Eficiencia isentrópica de la bomba, η_p [–]</t>
        </is>
      </c>
      <c r="C39" s="16" t="inlineStr">
        <is>
          <t>Fija</t>
        </is>
      </c>
      <c r="D39" s="16" t="inlineStr">
        <is>
          <t>0.75</t>
        </is>
      </c>
      <c r="E39" s="16" t="n"/>
      <c r="F39" s="16" t="inlineStr">
        <is>
          <t>sí</t>
        </is>
      </c>
      <c r="G39" s="16" t="inlineStr">
        <is>
          <t>–</t>
        </is>
      </c>
    </row>
    <row r="40">
      <c r="A40" s="16" t="inlineStr">
        <is>
          <t>2.4b · fuente a 420 K</t>
        </is>
      </c>
      <c r="B40" s="16" t="inlineStr">
        <is>
          <t>Efectividad del generador de vapor, ε_HRVG [–]</t>
        </is>
      </c>
      <c r="C40" s="16" t="inlineStr">
        <is>
          <t>Fija</t>
        </is>
      </c>
      <c r="D40" s="16" t="inlineStr">
        <is>
          <t>0.85</t>
        </is>
      </c>
      <c r="E40" s="16" t="n"/>
      <c r="F40" s="16" t="inlineStr">
        <is>
          <t>sí</t>
        </is>
      </c>
      <c r="G40" s="16" t="inlineStr">
        <is>
          <t>–</t>
        </is>
      </c>
    </row>
    <row r="41">
      <c r="A41" s="16" t="inlineStr">
        <is>
          <t>2.4b · fuente a 420 K</t>
        </is>
      </c>
      <c r="B41" s="16" t="inlineStr">
        <is>
          <t>Efectividad del regenerador, ε_reg [–]</t>
        </is>
      </c>
      <c r="C41" s="16" t="inlineStr">
        <is>
          <t>Fija</t>
        </is>
      </c>
      <c r="D41" s="16" t="inlineStr">
        <is>
          <t>0.75</t>
        </is>
      </c>
      <c r="E41" s="16" t="n"/>
      <c r="F41" s="16" t="inlineStr">
        <is>
          <t>sí</t>
        </is>
      </c>
      <c r="G41" s="16" t="inlineStr">
        <is>
          <t>–</t>
        </is>
      </c>
    </row>
    <row r="42">
      <c r="A42" s="16" t="inlineStr">
        <is>
          <t>2.4b · fuente a 420 K</t>
        </is>
      </c>
      <c r="B42" s="16" t="inlineStr">
        <is>
          <t>Efectividad del condensador, ε_cond [–]</t>
        </is>
      </c>
      <c r="C42" s="16" t="inlineStr">
        <is>
          <t>Fija</t>
        </is>
      </c>
      <c r="D42" s="16" t="inlineStr">
        <is>
          <t>0.8</t>
        </is>
      </c>
      <c r="E42" s="16" t="n"/>
      <c r="F42" s="16" t="inlineStr">
        <is>
          <t>sí</t>
        </is>
      </c>
      <c r="G42" s="16" t="inlineStr">
        <is>
          <t>–</t>
        </is>
      </c>
    </row>
    <row r="43">
      <c r="A43" s="16" t="inlineStr">
        <is>
          <t>2.4b · fuente a 420 K</t>
        </is>
      </c>
      <c r="B43" s="16" t="inlineStr">
        <is>
          <t>Piso de O2 (T de diseño de la bomba) [K]</t>
        </is>
      </c>
      <c r="C43" s="16" t="inlineStr">
        <is>
          <t>Barrida</t>
        </is>
      </c>
      <c r="D43" s="16" t="inlineStr">
        <is>
          <t>278.1 – 300.0</t>
        </is>
      </c>
      <c r="E43" s="16" t="n">
        <v>5</v>
      </c>
      <c r="F43" s="16" t="n"/>
      <c r="G43" s="16" t="inlineStr">
        <is>
          <t>K</t>
        </is>
      </c>
    </row>
    <row r="44">
      <c r="A44" s="16" t="inlineStr">
        <is>
          <t>2.4b · fuente a 420 K</t>
        </is>
      </c>
      <c r="B44" s="16" t="inlineStr">
        <is>
          <t>motor de propiedades</t>
        </is>
      </c>
      <c r="C44" s="16" t="inlineStr">
        <is>
          <t>Fija</t>
        </is>
      </c>
      <c r="D44" s="16" t="inlineStr">
        <is>
          <t>teqp</t>
        </is>
      </c>
      <c r="E44" s="16" t="n"/>
      <c r="F44" s="16" t="n"/>
      <c r="G44" s="16" t="inlineStr">
        <is>
          <t>–</t>
        </is>
      </c>
    </row>
    <row r="45">
      <c r="A45" s="16" t="inlineStr">
        <is>
          <t>2.4c · ε_HRVG = 0.40 (fuente del profesor)</t>
        </is>
      </c>
      <c r="B45" s="16" t="inlineStr">
        <is>
          <t>Temperatura de la fuente, T_fuente [K]</t>
        </is>
      </c>
      <c r="C45" s="16" t="inlineStr">
        <is>
          <t>Fija</t>
        </is>
      </c>
      <c r="D45" s="16" t="inlineStr">
        <is>
          <t>623.15</t>
        </is>
      </c>
      <c r="E45" s="16" t="n"/>
      <c r="F45" s="16" t="inlineStr">
        <is>
          <t>sí</t>
        </is>
      </c>
      <c r="G45" s="16" t="inlineStr">
        <is>
          <t>K</t>
        </is>
      </c>
    </row>
    <row r="46">
      <c r="A46" s="16" t="inlineStr">
        <is>
          <t>2.4c · ε_HRVG = 0.40 (fuente del profesor)</t>
        </is>
      </c>
      <c r="B46" s="16" t="inlineStr">
        <is>
          <t>Temperatura del sumidero, T_sumidero [K]</t>
        </is>
      </c>
      <c r="C46" s="16" t="inlineStr">
        <is>
          <t>Barrida</t>
        </is>
      </c>
      <c r="D46" s="16" t="inlineStr">
        <is>
          <t>278.1 – 300.0</t>
        </is>
      </c>
      <c r="E46" s="16" t="n">
        <v>5</v>
      </c>
      <c r="F46" s="16" t="n"/>
      <c r="G46" s="16" t="inlineStr">
        <is>
          <t>K</t>
        </is>
      </c>
    </row>
    <row r="47">
      <c r="A47" s="16" t="inlineStr">
        <is>
          <t>2.4c · ε_HRVG = 0.40 (fuente del profesor)</t>
        </is>
      </c>
      <c r="B47" s="16" t="inlineStr">
        <is>
          <t>Presión de alta, P_alta [kPa]</t>
        </is>
      </c>
      <c r="C47" s="16" t="inlineStr">
        <is>
          <t>Fija</t>
        </is>
      </c>
      <c r="D47" s="16" t="inlineStr">
        <is>
          <t>3000.0</t>
        </is>
      </c>
      <c r="E47" s="16" t="n"/>
      <c r="F47" s="16" t="inlineStr">
        <is>
          <t>sí</t>
        </is>
      </c>
      <c r="G47" s="16" t="inlineStr">
        <is>
          <t>kPa</t>
        </is>
      </c>
    </row>
    <row r="48">
      <c r="A48" s="16" t="inlineStr">
        <is>
          <t>2.4c · ε_HRVG = 0.40 (fuente del profesor)</t>
        </is>
      </c>
      <c r="B48" s="16" t="inlineStr">
        <is>
          <t>Presión de baja, P_baja [kPa]</t>
        </is>
      </c>
      <c r="C48" s="16" t="inlineStr">
        <is>
          <t>Barrida</t>
        </is>
      </c>
      <c r="D48" s="16" t="inlineStr">
        <is>
          <t>150.0 – 1500</t>
        </is>
      </c>
      <c r="E48" s="16" t="n">
        <v>30</v>
      </c>
      <c r="F48" s="16" t="n"/>
      <c r="G48" s="16" t="inlineStr">
        <is>
          <t>kPa</t>
        </is>
      </c>
    </row>
    <row r="49">
      <c r="A49" s="16" t="inlineStr">
        <is>
          <t>2.4c · ε_HRVG = 0.40 (fuente del profesor)</t>
        </is>
      </c>
      <c r="B49" s="16" t="inlineStr">
        <is>
          <t>Fracción de amoníaco de la mezcla base, x_b [–]</t>
        </is>
      </c>
      <c r="C49" s="16" t="inlineStr">
        <is>
          <t>Fija</t>
        </is>
      </c>
      <c r="D49" s="16" t="inlineStr">
        <is>
          <t>0.5</t>
        </is>
      </c>
      <c r="E49" s="16" t="n"/>
      <c r="F49" s="16" t="inlineStr">
        <is>
          <t>sí</t>
        </is>
      </c>
      <c r="G49" s="16" t="inlineStr">
        <is>
          <t>–</t>
        </is>
      </c>
    </row>
    <row r="50">
      <c r="A50" s="16" t="inlineStr">
        <is>
          <t>2.4c · ε_HRVG = 0.40 (fuente del profesor)</t>
        </is>
      </c>
      <c r="B50" s="16" t="inlineStr">
        <is>
          <t>Flujo másico base, m_b [kg/s]</t>
        </is>
      </c>
      <c r="C50" s="16" t="inlineStr">
        <is>
          <t>Fija</t>
        </is>
      </c>
      <c r="D50" s="16" t="inlineStr">
        <is>
          <t>1.0</t>
        </is>
      </c>
      <c r="E50" s="16" t="n"/>
      <c r="F50" s="16" t="inlineStr">
        <is>
          <t>sí</t>
        </is>
      </c>
      <c r="G50" s="16" t="inlineStr">
        <is>
          <t>kg/s</t>
        </is>
      </c>
    </row>
    <row r="51">
      <c r="A51" s="16" t="inlineStr">
        <is>
          <t>2.4c · ε_HRVG = 0.40 (fuente del profesor)</t>
        </is>
      </c>
      <c r="B51" s="16" t="inlineStr">
        <is>
          <t>Eficiencia isentrópica de la turbina, η_t [–]</t>
        </is>
      </c>
      <c r="C51" s="16" t="inlineStr">
        <is>
          <t>Fija</t>
        </is>
      </c>
      <c r="D51" s="16" t="inlineStr">
        <is>
          <t>0.85</t>
        </is>
      </c>
      <c r="E51" s="16" t="n"/>
      <c r="F51" s="16" t="inlineStr">
        <is>
          <t>sí</t>
        </is>
      </c>
      <c r="G51" s="16" t="inlineStr">
        <is>
          <t>–</t>
        </is>
      </c>
    </row>
    <row r="52">
      <c r="A52" s="16" t="inlineStr">
        <is>
          <t>2.4c · ε_HRVG = 0.40 (fuente del profesor)</t>
        </is>
      </c>
      <c r="B52" s="16" t="inlineStr">
        <is>
          <t>Eficiencia isentrópica de la bomba, η_p [–]</t>
        </is>
      </c>
      <c r="C52" s="16" t="inlineStr">
        <is>
          <t>Fija</t>
        </is>
      </c>
      <c r="D52" s="16" t="inlineStr">
        <is>
          <t>0.75</t>
        </is>
      </c>
      <c r="E52" s="16" t="n"/>
      <c r="F52" s="16" t="inlineStr">
        <is>
          <t>sí</t>
        </is>
      </c>
      <c r="G52" s="16" t="inlineStr">
        <is>
          <t>–</t>
        </is>
      </c>
    </row>
    <row r="53">
      <c r="A53" s="16" t="inlineStr">
        <is>
          <t>2.4c · ε_HRVG = 0.40 (fuente del profesor)</t>
        </is>
      </c>
      <c r="B53" s="16" t="inlineStr">
        <is>
          <t>Efectividad del generador de vapor, ε_HRVG [–]</t>
        </is>
      </c>
      <c r="C53" s="16" t="inlineStr">
        <is>
          <t>Fija</t>
        </is>
      </c>
      <c r="D53" s="16" t="inlineStr">
        <is>
          <t>0.4</t>
        </is>
      </c>
      <c r="E53" s="16" t="n"/>
      <c r="F53" s="16" t="inlineStr">
        <is>
          <t>no</t>
        </is>
      </c>
      <c r="G53" s="16" t="inlineStr">
        <is>
          <t>–</t>
        </is>
      </c>
    </row>
    <row r="54">
      <c r="A54" s="16" t="inlineStr">
        <is>
          <t>2.4c · ε_HRVG = 0.40 (fuente del profesor)</t>
        </is>
      </c>
      <c r="B54" s="16" t="inlineStr">
        <is>
          <t>Efectividad del regenerador, ε_reg [–]</t>
        </is>
      </c>
      <c r="C54" s="16" t="inlineStr">
        <is>
          <t>Fija</t>
        </is>
      </c>
      <c r="D54" s="16" t="inlineStr">
        <is>
          <t>0.75</t>
        </is>
      </c>
      <c r="E54" s="16" t="n"/>
      <c r="F54" s="16" t="inlineStr">
        <is>
          <t>sí</t>
        </is>
      </c>
      <c r="G54" s="16" t="inlineStr">
        <is>
          <t>–</t>
        </is>
      </c>
    </row>
    <row r="55">
      <c r="A55" s="16" t="inlineStr">
        <is>
          <t>2.4c · ε_HRVG = 0.40 (fuente del profesor)</t>
        </is>
      </c>
      <c r="B55" s="16" t="inlineStr">
        <is>
          <t>Efectividad del condensador, ε_cond [–]</t>
        </is>
      </c>
      <c r="C55" s="16" t="inlineStr">
        <is>
          <t>Fija</t>
        </is>
      </c>
      <c r="D55" s="16" t="inlineStr">
        <is>
          <t>0.8</t>
        </is>
      </c>
      <c r="E55" s="16" t="n"/>
      <c r="F55" s="16" t="inlineStr">
        <is>
          <t>sí</t>
        </is>
      </c>
      <c r="G55" s="16" t="inlineStr">
        <is>
          <t>–</t>
        </is>
      </c>
    </row>
    <row r="56">
      <c r="A56" s="16" t="inlineStr">
        <is>
          <t>2.4c · ε_HRVG = 0.40 (fuente del profesor)</t>
        </is>
      </c>
      <c r="B56" s="16" t="inlineStr">
        <is>
          <t>Piso de O2 (T de diseño de la bomba) [K]</t>
        </is>
      </c>
      <c r="C56" s="16" t="inlineStr">
        <is>
          <t>Barrida</t>
        </is>
      </c>
      <c r="D56" s="16" t="inlineStr">
        <is>
          <t>278.1 – 300.0</t>
        </is>
      </c>
      <c r="E56" s="16" t="n">
        <v>5</v>
      </c>
      <c r="F56" s="16" t="n"/>
      <c r="G56" s="16" t="inlineStr">
        <is>
          <t>K</t>
        </is>
      </c>
    </row>
    <row r="57">
      <c r="A57" s="16" t="inlineStr">
        <is>
          <t>2.4c · ε_HRVG = 0.40 (fuente del profesor)</t>
        </is>
      </c>
      <c r="B57" s="16" t="inlineStr">
        <is>
          <t>motor de propiedades</t>
        </is>
      </c>
      <c r="C57" s="16" t="inlineStr">
        <is>
          <t>Fija</t>
        </is>
      </c>
      <c r="D57" s="16" t="inlineStr">
        <is>
          <t>teqp</t>
        </is>
      </c>
      <c r="E57" s="16" t="n"/>
      <c r="F57" s="16" t="n"/>
      <c r="G57" s="16" t="inlineStr">
        <is>
          <t>–</t>
        </is>
      </c>
    </row>
    <row r="58">
      <c r="A58" s="16" t="inlineStr">
        <is>
          <t>2.4d · datos exactos del profesor</t>
        </is>
      </c>
      <c r="B58" s="16" t="inlineStr">
        <is>
          <t>Temperatura de la fuente, T_fuente [K]</t>
        </is>
      </c>
      <c r="C58" s="16" t="inlineStr">
        <is>
          <t>Fija</t>
        </is>
      </c>
      <c r="D58" s="16" t="inlineStr">
        <is>
          <t>623.15</t>
        </is>
      </c>
      <c r="E58" s="16" t="n"/>
      <c r="F58" s="16" t="inlineStr">
        <is>
          <t>sí</t>
        </is>
      </c>
      <c r="G58" s="16" t="inlineStr">
        <is>
          <t>K</t>
        </is>
      </c>
    </row>
    <row r="59">
      <c r="A59" s="16" t="inlineStr">
        <is>
          <t>2.4d · datos exactos del profesor</t>
        </is>
      </c>
      <c r="B59" s="16" t="inlineStr">
        <is>
          <t>Temperatura del sumidero, T_sumidero [K]</t>
        </is>
      </c>
      <c r="C59" s="16" t="inlineStr">
        <is>
          <t>Barrida</t>
        </is>
      </c>
      <c r="D59" s="16" t="inlineStr">
        <is>
          <t>278.1 – 300.0</t>
        </is>
      </c>
      <c r="E59" s="16" t="n">
        <v>5</v>
      </c>
      <c r="F59" s="16" t="n"/>
      <c r="G59" s="16" t="inlineStr">
        <is>
          <t>K</t>
        </is>
      </c>
    </row>
    <row r="60">
      <c r="A60" s="16" t="inlineStr">
        <is>
          <t>2.4d · datos exactos del profesor</t>
        </is>
      </c>
      <c r="B60" s="16" t="inlineStr">
        <is>
          <t>Presión de alta, P_alta [kPa]</t>
        </is>
      </c>
      <c r="C60" s="16" t="inlineStr">
        <is>
          <t>Fija</t>
        </is>
      </c>
      <c r="D60" s="16" t="inlineStr">
        <is>
          <t>3000.0</t>
        </is>
      </c>
      <c r="E60" s="16" t="n"/>
      <c r="F60" s="16" t="inlineStr">
        <is>
          <t>sí</t>
        </is>
      </c>
      <c r="G60" s="16" t="inlineStr">
        <is>
          <t>kPa</t>
        </is>
      </c>
    </row>
    <row r="61">
      <c r="A61" s="16" t="inlineStr">
        <is>
          <t>2.4d · datos exactos del profesor</t>
        </is>
      </c>
      <c r="B61" s="16" t="inlineStr">
        <is>
          <t>Presión de baja, P_baja [kPa]</t>
        </is>
      </c>
      <c r="C61" s="16" t="inlineStr">
        <is>
          <t>Barrida</t>
        </is>
      </c>
      <c r="D61" s="16" t="inlineStr">
        <is>
          <t>150.0 – 1500</t>
        </is>
      </c>
      <c r="E61" s="16" t="n">
        <v>10</v>
      </c>
      <c r="F61" s="16" t="n"/>
      <c r="G61" s="16" t="inlineStr">
        <is>
          <t>kPa</t>
        </is>
      </c>
    </row>
    <row r="62">
      <c r="A62" s="16" t="inlineStr">
        <is>
          <t>2.4d · datos exactos del profesor</t>
        </is>
      </c>
      <c r="B62" s="16" t="inlineStr">
        <is>
          <t>Fracción de amoníaco de la mezcla base, x_b [–]</t>
        </is>
      </c>
      <c r="C62" s="16" t="inlineStr">
        <is>
          <t>Fija</t>
        </is>
      </c>
      <c r="D62" s="16" t="inlineStr">
        <is>
          <t>0.5</t>
        </is>
      </c>
      <c r="E62" s="16" t="n"/>
      <c r="F62" s="16" t="inlineStr">
        <is>
          <t>sí</t>
        </is>
      </c>
      <c r="G62" s="16" t="inlineStr">
        <is>
          <t>–</t>
        </is>
      </c>
    </row>
    <row r="63">
      <c r="A63" s="16" t="inlineStr">
        <is>
          <t>2.4d · datos exactos del profesor</t>
        </is>
      </c>
      <c r="B63" s="16" t="inlineStr">
        <is>
          <t>Flujo másico base, m_b [kg/s]</t>
        </is>
      </c>
      <c r="C63" s="16" t="inlineStr">
        <is>
          <t>Fija</t>
        </is>
      </c>
      <c r="D63" s="16" t="inlineStr">
        <is>
          <t>1.0</t>
        </is>
      </c>
      <c r="E63" s="16" t="n"/>
      <c r="F63" s="16" t="inlineStr">
        <is>
          <t>sí</t>
        </is>
      </c>
      <c r="G63" s="16" t="inlineStr">
        <is>
          <t>kg/s</t>
        </is>
      </c>
    </row>
    <row r="64">
      <c r="A64" s="16" t="inlineStr">
        <is>
          <t>2.4d · datos exactos del profesor</t>
        </is>
      </c>
      <c r="B64" s="16" t="inlineStr">
        <is>
          <t>Eficiencia isentrópica de la turbina, η_t [–]</t>
        </is>
      </c>
      <c r="C64" s="16" t="inlineStr">
        <is>
          <t>Fija</t>
        </is>
      </c>
      <c r="D64" s="16" t="inlineStr">
        <is>
          <t>0.85</t>
        </is>
      </c>
      <c r="E64" s="16" t="n"/>
      <c r="F64" s="16" t="inlineStr">
        <is>
          <t>sí</t>
        </is>
      </c>
      <c r="G64" s="16" t="inlineStr">
        <is>
          <t>–</t>
        </is>
      </c>
    </row>
    <row r="65">
      <c r="A65" s="16" t="inlineStr">
        <is>
          <t>2.4d · datos exactos del profesor</t>
        </is>
      </c>
      <c r="B65" s="16" t="inlineStr">
        <is>
          <t>Eficiencia isentrópica de la bomba, η_p [–]</t>
        </is>
      </c>
      <c r="C65" s="16" t="inlineStr">
        <is>
          <t>Fija</t>
        </is>
      </c>
      <c r="D65" s="16" t="inlineStr">
        <is>
          <t>0.75</t>
        </is>
      </c>
      <c r="E65" s="16" t="n"/>
      <c r="F65" s="16" t="inlineStr">
        <is>
          <t>sí</t>
        </is>
      </c>
      <c r="G65" s="16" t="inlineStr">
        <is>
          <t>–</t>
        </is>
      </c>
    </row>
    <row r="66">
      <c r="A66" s="16" t="inlineStr">
        <is>
          <t>2.4d · datos exactos del profesor</t>
        </is>
      </c>
      <c r="B66" s="16" t="inlineStr">
        <is>
          <t>Efectividad del generador de vapor, ε_HRVG [–]</t>
        </is>
      </c>
      <c r="C66" s="16" t="inlineStr">
        <is>
          <t>Fija</t>
        </is>
      </c>
      <c r="D66" s="16" t="inlineStr">
        <is>
          <t>0.85</t>
        </is>
      </c>
      <c r="E66" s="16" t="n"/>
      <c r="F66" s="16" t="inlineStr">
        <is>
          <t>sí</t>
        </is>
      </c>
      <c r="G66" s="16" t="inlineStr">
        <is>
          <t>–</t>
        </is>
      </c>
    </row>
    <row r="67">
      <c r="A67" s="16" t="inlineStr">
        <is>
          <t>2.4d · datos exactos del profesor</t>
        </is>
      </c>
      <c r="B67" s="16" t="inlineStr">
        <is>
          <t>Efectividad del regenerador, ε_reg [–]</t>
        </is>
      </c>
      <c r="C67" s="16" t="inlineStr">
        <is>
          <t>Fija</t>
        </is>
      </c>
      <c r="D67" s="16" t="inlineStr">
        <is>
          <t>0.75</t>
        </is>
      </c>
      <c r="E67" s="16" t="n"/>
      <c r="F67" s="16" t="inlineStr">
        <is>
          <t>sí</t>
        </is>
      </c>
      <c r="G67" s="16" t="inlineStr">
        <is>
          <t>–</t>
        </is>
      </c>
    </row>
    <row r="68">
      <c r="A68" s="16" t="inlineStr">
        <is>
          <t>2.4d · datos exactos del profesor</t>
        </is>
      </c>
      <c r="B68" s="16" t="inlineStr">
        <is>
          <t>Efectividad del condensador, ε_cond [–]</t>
        </is>
      </c>
      <c r="C68" s="16" t="inlineStr">
        <is>
          <t>Fija</t>
        </is>
      </c>
      <c r="D68" s="16" t="inlineStr">
        <is>
          <t>0.8</t>
        </is>
      </c>
      <c r="E68" s="16" t="n"/>
      <c r="F68" s="16" t="inlineStr">
        <is>
          <t>sí</t>
        </is>
      </c>
      <c r="G68" s="16" t="inlineStr">
        <is>
          <t>–</t>
        </is>
      </c>
    </row>
    <row r="69">
      <c r="A69" s="16" t="inlineStr">
        <is>
          <t>2.4d · datos exactos del profesor</t>
        </is>
      </c>
      <c r="B69" s="16" t="inlineStr">
        <is>
          <t>Piso de O2 (T de diseño de la bomba) [K]</t>
        </is>
      </c>
      <c r="C69" s="16" t="inlineStr">
        <is>
          <t>Barrida</t>
        </is>
      </c>
      <c r="D69" s="16" t="inlineStr">
        <is>
          <t>278.1 – 300.0</t>
        </is>
      </c>
      <c r="E69" s="16" t="n">
        <v>5</v>
      </c>
      <c r="F69" s="16" t="n"/>
      <c r="G69" s="16" t="inlineStr">
        <is>
          <t>K</t>
        </is>
      </c>
    </row>
    <row r="70">
      <c r="A70" s="16" t="inlineStr">
        <is>
          <t>2.4d · datos exactos del profesor</t>
        </is>
      </c>
      <c r="B70" s="16" t="inlineStr">
        <is>
          <t>motor de propiedades</t>
        </is>
      </c>
      <c r="C70" s="16" t="inlineStr">
        <is>
          <t>Fija</t>
        </is>
      </c>
      <c r="D70" s="16" t="inlineStr">
        <is>
          <t>teqp</t>
        </is>
      </c>
      <c r="E70" s="16" t="n"/>
      <c r="F70" s="16" t="n"/>
      <c r="G70" s="16" t="inlineStr">
        <is>
          <t>–</t>
        </is>
      </c>
    </row>
    <row r="72">
      <c r="A72" s="23" t="inlineStr">
        <is>
          <t>Notas: Filtro: cada parte y cada variable. n = 52 filas en la tabla. † = fuera del rango confiable (IAPWS G4-01); ‡ = falso convergido. Fuente: analisis_final/00_inventario/condiciones_por_subcaso.csv.</t>
        </is>
      </c>
    </row>
  </sheetData>
  <autoFilter ref="A18:G7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44"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2.4-2 · Corridas por parte y por clase</t>
        </is>
      </c>
    </row>
    <row r="2">
      <c r="A2" s="20" t="inlineStr">
        <is>
          <t>Estudio 2.4 · Sumidero más frío · Partes: 2.4a, 2.4b, 2.4c, 2.4d</t>
        </is>
      </c>
    </row>
    <row r="3">
      <c r="A3" s="20" t="inlineStr">
        <is>
          <t>Punto base: 2.4a a 2.4d = cuatro bases distintas (una por parte)</t>
        </is>
      </c>
    </row>
    <row r="4">
      <c r="A4" s="41" t="inlineStr">
        <is>
          <t>Parte 2.4a (fuente a 403 K):</t>
        </is>
      </c>
    </row>
    <row r="5">
      <c r="A5" s="21" t="inlineStr">
        <is>
          <t>Datos fijos: T_fuente = 403 K; P_alta = 3000 kPa; x_b = 0.5; m_b = 1 kg/s; η_t = 0.85; η_p = 0.75; ε_HRVG = 0.85; ε_reg = 0.75; ε_cond = 0.8; motor de propiedades = teqp.</t>
        </is>
      </c>
    </row>
    <row r="6">
      <c r="A6" s="21" t="inlineStr">
        <is>
          <t>Datos barridos: T_sumidero [278.15–300.03] K (5 valores); P_baja [150–1500] kPa (28 valores); piso de O2 [278.15–300.03] K (5 valores).</t>
        </is>
      </c>
    </row>
    <row r="7">
      <c r="A7" s="41" t="inlineStr">
        <is>
          <t>Parte 2.4b (fuente a 420 K):</t>
        </is>
      </c>
    </row>
    <row r="8">
      <c r="A8" s="21" t="inlineStr">
        <is>
          <t>Datos fijos: T_fuente = 420 K; P_alta = 3000 kPa; x_b = 0.5; m_b = 1 kg/s; η_t = 0.85; η_p = 0.75; ε_HRVG = 0.85; ε_reg = 0.75; ε_cond = 0.8; motor de propiedades = teqp.</t>
        </is>
      </c>
    </row>
    <row r="9">
      <c r="A9" s="21" t="inlineStr">
        <is>
          <t>Datos barridos: T_sumidero [278.15–300.03] K (5 valores); P_baja [150–1500] kPa (28 valores); piso de O2 [278.15–300.03] K (5 valores).</t>
        </is>
      </c>
    </row>
    <row r="10">
      <c r="A10" s="41" t="inlineStr">
        <is>
          <t>Parte 2.4c (ε_HRVG = 0.40 (fuente del profesor)):</t>
        </is>
      </c>
    </row>
    <row r="11">
      <c r="A11" s="21" t="inlineStr">
        <is>
          <t>Datos fijos: T_fuente = 623.15 K; P_alta = 3000 kPa; x_b = 0.5; m_b = 1 kg/s; η_t = 0.85; η_p = 0.75; ε_HRVG = 0.4; ε_reg = 0.75; ε_cond = 0.8; motor de propiedades = teqp.</t>
        </is>
      </c>
    </row>
    <row r="12">
      <c r="A12" s="21" t="inlineStr">
        <is>
          <t>Datos barridos: T_sumidero [278.15–300.03] K (5 valores); P_baja [150–1500] kPa (30 valores); piso de O2 [278.15–300.03] K (5 valores).</t>
        </is>
      </c>
    </row>
    <row r="13">
      <c r="A13" s="41" t="inlineStr">
        <is>
          <t>Parte 2.4d (datos exactos del profesor):</t>
        </is>
      </c>
    </row>
    <row r="14">
      <c r="A14" s="21" t="inlineStr">
        <is>
          <t>Datos fijos: T_fuente = 623.15 K; P_alta = 3000 kPa; x_b = 0.5; m_b = 1 kg/s; η_t = 0.85; η_p = 0.75; ε_HRVG = 0.85; ε_reg = 0.75; ε_cond = 0.8; motor de propiedades = teqp.</t>
        </is>
      </c>
    </row>
    <row r="15">
      <c r="A15" s="21" t="inlineStr">
        <is>
          <t>Datos barridos: T_sumidero [278.15–300.03] K (5 valores); P_baja [150–1500] kPa (10 valores); piso de O2 [278.15–300.03] K (5 valores).</t>
        </is>
      </c>
    </row>
    <row r="16">
      <c r="A16" s="20" t="inlineStr">
        <is>
          <t>Fuente: analisis_final/00_inventario/conteo_por_subcaso.csv</t>
        </is>
      </c>
    </row>
    <row r="18">
      <c r="A18" s="22" t="inlineStr">
        <is>
          <t>Parte</t>
        </is>
      </c>
      <c r="B18" s="22" t="inlineStr">
        <is>
          <t>Corridas</t>
        </is>
      </c>
      <c r="C18" s="22" t="inlineStr">
        <is>
          <t>Omitidos</t>
        </is>
      </c>
      <c r="D18" s="22" t="inlineStr">
        <is>
          <t>Genuinos</t>
        </is>
      </c>
      <c r="E18" s="22" t="inlineStr">
        <is>
          <t>KALINA</t>
        </is>
      </c>
      <c r="F18" s="22" t="inlineStr">
        <is>
          <t>KALINA confiables</t>
        </is>
      </c>
      <c r="G18" s="22" t="inlineStr">
        <is>
          <t>Corregibles</t>
        </is>
      </c>
      <c r="H18" s="22" t="inlineStr">
        <is>
          <t>Inviables</t>
        </is>
      </c>
      <c r="I18" s="22" t="inlineStr">
        <is>
          <t>No convergidos</t>
        </is>
      </c>
      <c r="J18" s="22" t="inlineStr">
        <is>
          <t>Falsos convergidos</t>
        </is>
      </c>
      <c r="K18" s="22" t="inlineStr">
        <is>
          <t>Fuera de rango</t>
        </is>
      </c>
    </row>
    <row r="19">
      <c r="A19" s="16" t="inlineStr">
        <is>
          <t>2.4a · fuente a 403 K</t>
        </is>
      </c>
      <c r="B19" s="16" t="n">
        <v>90</v>
      </c>
      <c r="C19" s="16" t="n">
        <v>0</v>
      </c>
      <c r="D19" s="16" t="n">
        <v>90</v>
      </c>
      <c r="E19" s="16" t="n">
        <v>59</v>
      </c>
      <c r="F19" s="16" t="n">
        <v>59</v>
      </c>
      <c r="G19" s="16" t="n">
        <v>29</v>
      </c>
      <c r="H19" s="16" t="n">
        <v>2</v>
      </c>
      <c r="I19" s="16" t="n">
        <v>0</v>
      </c>
      <c r="J19" s="16" t="n">
        <v>0</v>
      </c>
      <c r="K19" s="16" t="n">
        <v>0</v>
      </c>
    </row>
    <row r="20">
      <c r="A20" s="16" t="inlineStr">
        <is>
          <t>2.4b · fuente a 420 K</t>
        </is>
      </c>
      <c r="B20" s="16" t="n">
        <v>90</v>
      </c>
      <c r="C20" s="16" t="n">
        <v>0</v>
      </c>
      <c r="D20" s="16" t="n">
        <v>90</v>
      </c>
      <c r="E20" s="16" t="n">
        <v>60</v>
      </c>
      <c r="F20" s="16" t="n">
        <v>60</v>
      </c>
      <c r="G20" s="16" t="n">
        <v>29</v>
      </c>
      <c r="H20" s="16" t="n">
        <v>1</v>
      </c>
      <c r="I20" s="16" t="n">
        <v>0</v>
      </c>
      <c r="J20" s="16" t="n">
        <v>0</v>
      </c>
      <c r="K20" s="16" t="n">
        <v>0</v>
      </c>
    </row>
    <row r="21">
      <c r="A21" s="16" t="inlineStr">
        <is>
          <t>2.4c · ε_HRVG = 0.40 (fuente del profesor)</t>
        </is>
      </c>
      <c r="B21" s="16" t="n">
        <v>90</v>
      </c>
      <c r="C21" s="16" t="n">
        <v>0</v>
      </c>
      <c r="D21" s="16" t="n">
        <v>89</v>
      </c>
      <c r="E21" s="16" t="n">
        <v>34</v>
      </c>
      <c r="F21" s="16" t="n">
        <v>0</v>
      </c>
      <c r="G21" s="16" t="n">
        <v>55</v>
      </c>
      <c r="H21" s="16" t="n">
        <v>0</v>
      </c>
      <c r="I21" s="16" t="n">
        <v>1</v>
      </c>
      <c r="J21" s="16" t="n">
        <v>0</v>
      </c>
      <c r="K21" s="16" t="n">
        <v>89</v>
      </c>
    </row>
    <row r="22">
      <c r="A22" s="16" t="inlineStr">
        <is>
          <t>2.4d · datos exactos del profesor</t>
        </is>
      </c>
      <c r="B22" s="16" t="n">
        <v>50</v>
      </c>
      <c r="C22" s="16" t="n">
        <v>0</v>
      </c>
      <c r="D22" s="16" t="n">
        <v>0</v>
      </c>
      <c r="E22" s="16" t="n">
        <v>0</v>
      </c>
      <c r="F22" s="16" t="n">
        <v>0</v>
      </c>
      <c r="G22" s="16" t="n">
        <v>0</v>
      </c>
      <c r="H22" s="16" t="n">
        <v>0</v>
      </c>
      <c r="I22" s="16" t="n">
        <v>50</v>
      </c>
      <c r="J22" s="16" t="n">
        <v>0</v>
      </c>
      <c r="K22" s="16" t="n">
        <v>0</v>
      </c>
    </row>
    <row r="24">
      <c r="A24" s="23" t="inlineStr">
        <is>
          <t>Notas: Filtro: conteo por parte. n = 4 filas en la tabla. † = fuera del rango confiable (IAPWS G4-01); ‡ = falso convergido. Fuente: analisis_final/00_inventario/conteo_por_subcaso.csv.</t>
        </is>
      </c>
    </row>
  </sheetData>
  <autoFilter ref="A18:K2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cols>
    <col width="10" customWidth="1" min="1" max="1"/>
    <col width="42" customWidth="1" min="2" max="2"/>
    <col width="10" customWidth="1" min="3" max="3"/>
    <col width="10" customWidth="1" min="4" max="4"/>
    <col width="20" customWidth="1" min="5" max="5"/>
    <col width="28" customWidth="1" min="6" max="6"/>
    <col width="21" customWidth="1" min="7" max="7"/>
    <col width="34" customWidth="1" min="8" max="8"/>
    <col width="36" customWidth="1" min="9" max="9"/>
    <col width="21" customWidth="1" min="10" max="10"/>
    <col width="36" customWidth="1" min="11" max="11"/>
    <col width="29" customWidth="1" min="12" max="12"/>
    <col width="24" customWidth="1" min="13" max="13"/>
  </cols>
  <sheetData>
    <row r="1">
      <c r="A1" s="19" t="inlineStr">
        <is>
          <t>Tabla 2.4-3 · Malla T_sumidero x P_baja por base</t>
        </is>
      </c>
    </row>
    <row r="2">
      <c r="A2" s="20" t="inlineStr">
        <is>
          <t>Estudio 2.4 · Sumidero más frío · Partes: 2.4a, 2.4b, 2.4c, 2.4d</t>
        </is>
      </c>
    </row>
    <row r="3">
      <c r="A3" s="20" t="inlineStr">
        <is>
          <t>Punto base: 2.4a a 2.4d = cuatro bases distintas (una por parte)</t>
        </is>
      </c>
    </row>
    <row r="4">
      <c r="A4" s="41" t="inlineStr">
        <is>
          <t>Parte 2.4a (fuente a 403 K):</t>
        </is>
      </c>
    </row>
    <row r="5">
      <c r="A5" s="21" t="inlineStr">
        <is>
          <t>Datos fijos: T_fuente = 403 K; P_alta = 3000 kPa; x_b = 0.5; m_b = 1 kg/s; η_t = 0.85; η_p = 0.75; ε_HRVG = 0.85; ε_reg = 0.75; ε_cond = 0.8; motor de propiedades = teqp.</t>
        </is>
      </c>
    </row>
    <row r="6">
      <c r="A6" s="21" t="inlineStr">
        <is>
          <t>Datos barridos: T_sumidero [278.15–300.03] K (5 valores); P_baja [150–1500] kPa (28 valores); piso de O2 [278.15–300.03] K (5 valores).</t>
        </is>
      </c>
    </row>
    <row r="7">
      <c r="A7" s="41" t="inlineStr">
        <is>
          <t>Parte 2.4b (fuente a 420 K):</t>
        </is>
      </c>
    </row>
    <row r="8">
      <c r="A8" s="21" t="inlineStr">
        <is>
          <t>Datos fijos: T_fuente = 420 K; P_alta = 3000 kPa; x_b = 0.5; m_b = 1 kg/s; η_t = 0.85; η_p = 0.75; ε_HRVG = 0.85; ε_reg = 0.75; ε_cond = 0.8; motor de propiedades = teqp.</t>
        </is>
      </c>
    </row>
    <row r="9">
      <c r="A9" s="21" t="inlineStr">
        <is>
          <t>Datos barridos: T_sumidero [278.15–300.03] K (5 valores); P_baja [150–1500] kPa (28 valores); piso de O2 [278.15–300.03] K (5 valores).</t>
        </is>
      </c>
    </row>
    <row r="10">
      <c r="A10" s="41" t="inlineStr">
        <is>
          <t>Parte 2.4c (ε_HRVG = 0.40 (fuente del profesor)):</t>
        </is>
      </c>
    </row>
    <row r="11">
      <c r="A11" s="21" t="inlineStr">
        <is>
          <t>Datos fijos: T_fuente = 623.15 K; P_alta = 3000 kPa; x_b = 0.5; m_b = 1 kg/s; η_t = 0.85; η_p = 0.75; ε_HRVG = 0.4; ε_reg = 0.75; ε_cond = 0.8; motor de propiedades = teqp.</t>
        </is>
      </c>
    </row>
    <row r="12">
      <c r="A12" s="21" t="inlineStr">
        <is>
          <t>Datos barridos: T_sumidero [278.15–300.03] K (5 valores); P_baja [150–1500] kPa (30 valores); piso de O2 [278.15–300.03] K (5 valores).</t>
        </is>
      </c>
    </row>
    <row r="13">
      <c r="A13" s="41" t="inlineStr">
        <is>
          <t>Parte 2.4d (datos exactos del profesor):</t>
        </is>
      </c>
    </row>
    <row r="14">
      <c r="A14" s="21" t="inlineStr">
        <is>
          <t>Datos fijos: T_fuente = 623.15 K; P_alta = 3000 kPa; x_b = 0.5; m_b = 1 kg/s; η_t = 0.85; η_p = 0.75; ε_HRVG = 0.85; ε_reg = 0.75; ε_cond = 0.8; motor de propiedades = teqp.</t>
        </is>
      </c>
    </row>
    <row r="15">
      <c r="A15" s="21" t="inlineStr">
        <is>
          <t>Datos barridos: T_sumidero [278.15–300.03] K (5 valores); P_baja [150–1500] kPa (10 valores); piso de O2 [278.15–300.03] K (5 valores).</t>
        </is>
      </c>
    </row>
    <row r="16">
      <c r="A16" s="20" t="inlineStr">
        <is>
          <t>Fuente: resultados/2026-10-06_final_M2S/m2s_resumen.csv</t>
        </is>
      </c>
    </row>
    <row r="18">
      <c r="A18" s="22" t="inlineStr">
        <is>
          <t>Base</t>
        </is>
      </c>
      <c r="B18" s="22" t="inlineStr">
        <is>
          <t>Temperatura del sumidero, T_sumidero [K]</t>
        </is>
      </c>
      <c r="C18" s="22" t="inlineStr">
        <is>
          <t>Genuinos</t>
        </is>
      </c>
      <c r="D18" s="22" t="inlineStr">
        <is>
          <t>KALINA</t>
        </is>
      </c>
      <c r="E18" s="22" t="inlineStr">
        <is>
          <t>Falsos convergidos</t>
        </is>
      </c>
      <c r="F18" s="22" t="inlineStr">
        <is>
          <t>P_baja mínima KALINA [kPa]</t>
        </is>
      </c>
      <c r="G18" s="22" t="inlineStr">
        <is>
          <t>η mínima KALINA [%]</t>
        </is>
      </c>
      <c r="H18" s="22" t="inlineStr">
        <is>
          <t>B verificado en la mínima KALINA</t>
        </is>
      </c>
      <c r="I18" s="22" t="inlineStr">
        <is>
          <t>Fuera de rango en la mínima KALINA</t>
        </is>
      </c>
      <c r="J18" s="22" t="inlineStr">
        <is>
          <t>η máxima KALINA [%]</t>
        </is>
      </c>
      <c r="K18" s="22" t="inlineStr">
        <is>
          <t>P_baja en la η máxima KALINA [kPa]</t>
        </is>
      </c>
      <c r="L18" s="22" t="inlineStr">
        <is>
          <t>Bloqueantes (genuinos)</t>
        </is>
      </c>
      <c r="M18" s="22" t="inlineStr">
        <is>
          <t>Códigos de bloqueo</t>
        </is>
      </c>
    </row>
    <row r="19">
      <c r="A19" s="16" t="inlineStr">
        <is>
          <t>B1</t>
        </is>
      </c>
      <c r="B19" s="35" t="n">
        <v>278.15</v>
      </c>
      <c r="C19" s="16" t="n">
        <v>18</v>
      </c>
      <c r="D19" s="16" t="n">
        <v>11</v>
      </c>
      <c r="E19" s="16" t="n">
        <v>0</v>
      </c>
      <c r="F19" s="35" t="n">
        <v>290.62</v>
      </c>
      <c r="G19" s="29" t="n">
        <v>10.409</v>
      </c>
      <c r="H19" s="16" t="inlineStr">
        <is>
          <t>sí</t>
        </is>
      </c>
      <c r="I19" s="16" t="inlineStr">
        <is>
          <t>no</t>
        </is>
      </c>
      <c r="J19" s="29" t="n">
        <v>10.409</v>
      </c>
      <c r="K19" s="35" t="n">
        <v>290.62</v>
      </c>
      <c r="L19" s="16" t="inlineStr">
        <is>
          <t>CORREGIBLE(7)</t>
        </is>
      </c>
      <c r="M19" s="16" t="inlineStr">
        <is>
          <t>O2(7)</t>
        </is>
      </c>
    </row>
    <row r="20">
      <c r="A20" s="16" t="inlineStr">
        <is>
          <t>B1</t>
        </is>
      </c>
      <c r="B20" s="35" t="n">
        <v>283.15</v>
      </c>
      <c r="C20" s="16" t="n">
        <v>18</v>
      </c>
      <c r="D20" s="16" t="n">
        <v>12</v>
      </c>
      <c r="E20" s="16" t="n">
        <v>0</v>
      </c>
      <c r="F20" s="35" t="n">
        <v>337.5</v>
      </c>
      <c r="G20" s="29" t="n">
        <v>10.034</v>
      </c>
      <c r="H20" s="16" t="inlineStr">
        <is>
          <t>sí</t>
        </is>
      </c>
      <c r="I20" s="16" t="inlineStr">
        <is>
          <t>no</t>
        </is>
      </c>
      <c r="J20" s="29" t="n">
        <v>10.034</v>
      </c>
      <c r="K20" s="35" t="n">
        <v>337.5</v>
      </c>
      <c r="L20" s="16" t="inlineStr">
        <is>
          <t>CORREGIBLE(6)</t>
        </is>
      </c>
      <c r="M20" s="16" t="inlineStr">
        <is>
          <t>O2(6)</t>
        </is>
      </c>
    </row>
    <row r="21">
      <c r="A21" s="16" t="inlineStr">
        <is>
          <t>B1</t>
        </is>
      </c>
      <c r="B21" s="35" t="n">
        <v>288.15</v>
      </c>
      <c r="C21" s="16" t="n">
        <v>18</v>
      </c>
      <c r="D21" s="16" t="n">
        <v>12</v>
      </c>
      <c r="E21" s="16" t="n">
        <v>0</v>
      </c>
      <c r="F21" s="35" t="n">
        <v>393.75</v>
      </c>
      <c r="G21" s="29" t="n">
        <v>9.606</v>
      </c>
      <c r="H21" s="16" t="inlineStr">
        <is>
          <t>sí</t>
        </is>
      </c>
      <c r="I21" s="16" t="inlineStr">
        <is>
          <t>no</t>
        </is>
      </c>
      <c r="J21" s="29" t="n">
        <v>9.606</v>
      </c>
      <c r="K21" s="35" t="n">
        <v>393.75</v>
      </c>
      <c r="L21" s="16" t="inlineStr">
        <is>
          <t>CORREGIBLE(6)</t>
        </is>
      </c>
      <c r="M21" s="16" t="inlineStr">
        <is>
          <t>O2(6)</t>
        </is>
      </c>
    </row>
    <row r="22">
      <c r="A22" s="16" t="inlineStr">
        <is>
          <t>B1</t>
        </is>
      </c>
      <c r="B22" s="35" t="n">
        <v>293.15</v>
      </c>
      <c r="C22" s="16" t="n">
        <v>18</v>
      </c>
      <c r="D22" s="16" t="n">
        <v>15</v>
      </c>
      <c r="E22" s="16" t="n">
        <v>0</v>
      </c>
      <c r="F22" s="35" t="n">
        <v>459.38</v>
      </c>
      <c r="G22" s="29" t="n">
        <v>9.1431</v>
      </c>
      <c r="H22" s="16" t="inlineStr">
        <is>
          <t>sí</t>
        </is>
      </c>
      <c r="I22" s="16" t="inlineStr">
        <is>
          <t>no</t>
        </is>
      </c>
      <c r="J22" s="29" t="n">
        <v>9.1431</v>
      </c>
      <c r="K22" s="35" t="n">
        <v>459.38</v>
      </c>
      <c r="L22" s="16" t="inlineStr">
        <is>
          <t>CORREGIBLE(2) · INVIABLE(1)</t>
        </is>
      </c>
      <c r="M22" s="16" t="inlineStr">
        <is>
          <t>O2(3) · O3(1)</t>
        </is>
      </c>
    </row>
    <row r="23">
      <c r="A23" s="16" t="inlineStr">
        <is>
          <t>B1</t>
        </is>
      </c>
      <c r="B23" s="35" t="n">
        <v>300.03</v>
      </c>
      <c r="C23" s="16" t="n">
        <v>18</v>
      </c>
      <c r="D23" s="16" t="n">
        <v>9</v>
      </c>
      <c r="E23" s="16" t="n">
        <v>0</v>
      </c>
      <c r="F23" s="35" t="n">
        <v>562.5</v>
      </c>
      <c r="G23" s="29" t="n">
        <v>8.491899999999999</v>
      </c>
      <c r="H23" s="16" t="inlineStr">
        <is>
          <t>sí</t>
        </is>
      </c>
      <c r="I23" s="16" t="inlineStr">
        <is>
          <t>no</t>
        </is>
      </c>
      <c r="J23" s="29" t="n">
        <v>8.491899999999999</v>
      </c>
      <c r="K23" s="35" t="n">
        <v>562.5</v>
      </c>
      <c r="L23" s="16" t="inlineStr">
        <is>
          <t>CORREGIBLE(8) · INVIABLE(1)</t>
        </is>
      </c>
      <c r="M23" s="16" t="inlineStr">
        <is>
          <t>O2(9) · O3(1)</t>
        </is>
      </c>
    </row>
    <row r="24">
      <c r="A24" s="16" t="inlineStr">
        <is>
          <t>B2</t>
        </is>
      </c>
      <c r="B24" s="35" t="n">
        <v>278.15</v>
      </c>
      <c r="C24" s="16" t="n">
        <v>18</v>
      </c>
      <c r="D24" s="16" t="n">
        <v>12</v>
      </c>
      <c r="E24" s="16" t="n">
        <v>0</v>
      </c>
      <c r="F24" s="35" t="n">
        <v>393.75</v>
      </c>
      <c r="G24" s="29" t="n">
        <v>11.908</v>
      </c>
      <c r="H24" s="16" t="inlineStr">
        <is>
          <t>sí</t>
        </is>
      </c>
      <c r="I24" s="16" t="inlineStr">
        <is>
          <t>no</t>
        </is>
      </c>
      <c r="J24" s="29" t="n">
        <v>11.908</v>
      </c>
      <c r="K24" s="35" t="n">
        <v>393.75</v>
      </c>
      <c r="L24" s="16" t="inlineStr">
        <is>
          <t>CORREGIBLE(6)</t>
        </is>
      </c>
      <c r="M24" s="16" t="inlineStr">
        <is>
          <t>O2(6) · O1(1)</t>
        </is>
      </c>
    </row>
    <row r="25">
      <c r="A25" s="16" t="inlineStr">
        <is>
          <t>B2</t>
        </is>
      </c>
      <c r="B25" s="35" t="n">
        <v>283.15</v>
      </c>
      <c r="C25" s="16" t="n">
        <v>18</v>
      </c>
      <c r="D25" s="16" t="n">
        <v>15</v>
      </c>
      <c r="E25" s="16" t="n">
        <v>0</v>
      </c>
      <c r="F25" s="35" t="n">
        <v>459.38</v>
      </c>
      <c r="G25" s="29" t="n">
        <v>11.276</v>
      </c>
      <c r="H25" s="16" t="inlineStr">
        <is>
          <t>sí</t>
        </is>
      </c>
      <c r="I25" s="16" t="inlineStr">
        <is>
          <t>no</t>
        </is>
      </c>
      <c r="J25" s="29" t="n">
        <v>11.276</v>
      </c>
      <c r="K25" s="35" t="n">
        <v>459.38</v>
      </c>
      <c r="L25" s="16" t="inlineStr">
        <is>
          <t>CORREGIBLE(3)</t>
        </is>
      </c>
      <c r="M25" s="16" t="inlineStr">
        <is>
          <t>O2(3) · O1(1)</t>
        </is>
      </c>
    </row>
    <row r="26">
      <c r="A26" s="16" t="inlineStr">
        <is>
          <t>B2</t>
        </is>
      </c>
      <c r="B26" s="35" t="n">
        <v>288.15</v>
      </c>
      <c r="C26" s="16" t="n">
        <v>18</v>
      </c>
      <c r="D26" s="16" t="n">
        <v>13</v>
      </c>
      <c r="E26" s="16" t="n">
        <v>0</v>
      </c>
      <c r="F26" s="35" t="n">
        <v>534.38</v>
      </c>
      <c r="G26" s="29" t="n">
        <v>10.622</v>
      </c>
      <c r="H26" s="16" t="inlineStr">
        <is>
          <t>sí</t>
        </is>
      </c>
      <c r="I26" s="16" t="inlineStr">
        <is>
          <t>no</t>
        </is>
      </c>
      <c r="J26" s="29" t="n">
        <v>10.622</v>
      </c>
      <c r="K26" s="35" t="n">
        <v>534.38</v>
      </c>
      <c r="L26" s="16" t="inlineStr">
        <is>
          <t>CORREGIBLE(5)</t>
        </is>
      </c>
      <c r="M26" s="16" t="inlineStr">
        <is>
          <t>O2(5) · O1(1)</t>
        </is>
      </c>
    </row>
    <row r="27">
      <c r="A27" s="16" t="inlineStr">
        <is>
          <t>B2</t>
        </is>
      </c>
      <c r="B27" s="35" t="n">
        <v>293.15</v>
      </c>
      <c r="C27" s="16" t="n">
        <v>18</v>
      </c>
      <c r="D27" s="16" t="n">
        <v>12</v>
      </c>
      <c r="E27" s="16" t="n">
        <v>0</v>
      </c>
      <c r="F27" s="35" t="n">
        <v>618.75</v>
      </c>
      <c r="G27" s="29" t="n">
        <v>9.956799999999999</v>
      </c>
      <c r="H27" s="16" t="inlineStr">
        <is>
          <t>sí</t>
        </is>
      </c>
      <c r="I27" s="16" t="inlineStr">
        <is>
          <t>no</t>
        </is>
      </c>
      <c r="J27" s="29" t="n">
        <v>9.956799999999999</v>
      </c>
      <c r="K27" s="35" t="n">
        <v>618.75</v>
      </c>
      <c r="L27" s="16" t="inlineStr">
        <is>
          <t>CORREGIBLE(6)</t>
        </is>
      </c>
      <c r="M27" s="16" t="inlineStr">
        <is>
          <t>O2(6) · O1(1)</t>
        </is>
      </c>
    </row>
    <row r="28">
      <c r="A28" s="16" t="inlineStr">
        <is>
          <t>B2</t>
        </is>
      </c>
      <c r="B28" s="35" t="n">
        <v>300.03</v>
      </c>
      <c r="C28" s="16" t="n">
        <v>18</v>
      </c>
      <c r="D28" s="16" t="n">
        <v>8</v>
      </c>
      <c r="E28" s="16" t="n">
        <v>0</v>
      </c>
      <c r="F28" s="35" t="n">
        <v>740.62</v>
      </c>
      <c r="G28" s="29" t="n">
        <v>9.1145</v>
      </c>
      <c r="H28" s="16" t="inlineStr">
        <is>
          <t>sí</t>
        </is>
      </c>
      <c r="I28" s="16" t="inlineStr">
        <is>
          <t>no</t>
        </is>
      </c>
      <c r="J28" s="29" t="n">
        <v>9.1145</v>
      </c>
      <c r="K28" s="35" t="n">
        <v>740.62</v>
      </c>
      <c r="L28" s="16" t="inlineStr">
        <is>
          <t>CORREGIBLE(9) · INVIABLE(1)</t>
        </is>
      </c>
      <c r="M28" s="16" t="inlineStr">
        <is>
          <t>O2(10) · O1(1) · O3(1)</t>
        </is>
      </c>
    </row>
    <row r="29">
      <c r="A29" s="16" t="inlineStr">
        <is>
          <t>B3</t>
        </is>
      </c>
      <c r="B29" s="35" t="n">
        <v>278.15</v>
      </c>
      <c r="C29" s="16" t="n">
        <v>17</v>
      </c>
      <c r="D29" s="16" t="n">
        <v>6</v>
      </c>
      <c r="E29" s="16" t="n">
        <v>0</v>
      </c>
      <c r="F29" s="35" t="n">
        <v>750</v>
      </c>
      <c r="G29" s="29" t="n">
        <v>9.6868</v>
      </c>
      <c r="H29" s="16" t="inlineStr">
        <is>
          <t>sí</t>
        </is>
      </c>
      <c r="I29" s="16" t="inlineStr">
        <is>
          <t>sí</t>
        </is>
      </c>
      <c r="J29" s="29" t="n">
        <v>9.6868</v>
      </c>
      <c r="K29" s="35" t="n">
        <v>750</v>
      </c>
      <c r="L29" s="16" t="inlineStr">
        <is>
          <t>CORREGIBLE(11)</t>
        </is>
      </c>
      <c r="M29" s="16" t="inlineStr">
        <is>
          <t>O2(11) · O1(1)</t>
        </is>
      </c>
    </row>
    <row r="30">
      <c r="A30" s="16" t="inlineStr">
        <is>
          <t>B3</t>
        </is>
      </c>
      <c r="B30" s="35" t="n">
        <v>283.15</v>
      </c>
      <c r="C30" s="16" t="n">
        <v>18</v>
      </c>
      <c r="D30" s="16" t="n">
        <v>7</v>
      </c>
      <c r="E30" s="16" t="n">
        <v>0</v>
      </c>
      <c r="F30" s="35" t="n">
        <v>862.5</v>
      </c>
      <c r="G30" s="29" t="n">
        <v>8.8903</v>
      </c>
      <c r="H30" s="16" t="inlineStr">
        <is>
          <t>sí</t>
        </is>
      </c>
      <c r="I30" s="16" t="inlineStr">
        <is>
          <t>sí</t>
        </is>
      </c>
      <c r="J30" s="29" t="n">
        <v>8.8903</v>
      </c>
      <c r="K30" s="35" t="n">
        <v>862.5</v>
      </c>
      <c r="L30" s="16" t="inlineStr">
        <is>
          <t>CORREGIBLE(11)</t>
        </is>
      </c>
      <c r="M30" s="16" t="inlineStr">
        <is>
          <t>O2(11) · O1(2)</t>
        </is>
      </c>
    </row>
    <row r="31">
      <c r="A31" s="16" t="inlineStr">
        <is>
          <t>B3</t>
        </is>
      </c>
      <c r="B31" s="35" t="n">
        <v>288.15</v>
      </c>
      <c r="C31" s="16" t="n">
        <v>18</v>
      </c>
      <c r="D31" s="16" t="n">
        <v>10</v>
      </c>
      <c r="E31" s="16" t="n">
        <v>0</v>
      </c>
      <c r="F31" s="35" t="n">
        <v>984.38</v>
      </c>
      <c r="G31" s="29" t="n">
        <v>8.1091</v>
      </c>
      <c r="H31" s="16" t="inlineStr">
        <is>
          <t>sí</t>
        </is>
      </c>
      <c r="I31" s="16" t="inlineStr">
        <is>
          <t>sí</t>
        </is>
      </c>
      <c r="J31" s="29" t="n">
        <v>8.1091</v>
      </c>
      <c r="K31" s="35" t="n">
        <v>984.38</v>
      </c>
      <c r="L31" s="16" t="inlineStr">
        <is>
          <t>CORREGIBLE(8)</t>
        </is>
      </c>
      <c r="M31" s="16" t="inlineStr">
        <is>
          <t>O2(8) · O1(2)</t>
        </is>
      </c>
    </row>
    <row r="32">
      <c r="A32" s="16" t="inlineStr">
        <is>
          <t>B3</t>
        </is>
      </c>
      <c r="B32" s="35" t="n">
        <v>293.15</v>
      </c>
      <c r="C32" s="16" t="n">
        <v>18</v>
      </c>
      <c r="D32" s="16" t="n">
        <v>7</v>
      </c>
      <c r="E32" s="16" t="n">
        <v>0</v>
      </c>
      <c r="F32" s="36" t="n">
        <v>1115.6</v>
      </c>
      <c r="G32" s="29" t="n">
        <v>7.3421</v>
      </c>
      <c r="H32" s="16" t="inlineStr">
        <is>
          <t>sí</t>
        </is>
      </c>
      <c r="I32" s="16" t="inlineStr">
        <is>
          <t>sí</t>
        </is>
      </c>
      <c r="J32" s="29" t="n">
        <v>7.3421</v>
      </c>
      <c r="K32" s="36" t="n">
        <v>1115.6</v>
      </c>
      <c r="L32" s="16" t="inlineStr">
        <is>
          <t>CORREGIBLE(11)</t>
        </is>
      </c>
      <c r="M32" s="16" t="inlineStr">
        <is>
          <t>O2(11) · O1(2)</t>
        </is>
      </c>
    </row>
    <row r="33">
      <c r="A33" s="16" t="inlineStr">
        <is>
          <t>B3</t>
        </is>
      </c>
      <c r="B33" s="35" t="n">
        <v>300.03</v>
      </c>
      <c r="C33" s="16" t="n">
        <v>18</v>
      </c>
      <c r="D33" s="16" t="n">
        <v>4</v>
      </c>
      <c r="E33" s="16" t="n">
        <v>0</v>
      </c>
      <c r="F33" s="36" t="n">
        <v>1312.5</v>
      </c>
      <c r="G33" s="29" t="n">
        <v>6.3023</v>
      </c>
      <c r="H33" s="16" t="inlineStr">
        <is>
          <t>sí</t>
        </is>
      </c>
      <c r="I33" s="16" t="inlineStr">
        <is>
          <t>sí</t>
        </is>
      </c>
      <c r="J33" s="29" t="n">
        <v>6.3023</v>
      </c>
      <c r="K33" s="36" t="n">
        <v>1312.5</v>
      </c>
      <c r="L33" s="16" t="inlineStr">
        <is>
          <t>CORREGIBLE(14)</t>
        </is>
      </c>
      <c r="M33" s="16" t="inlineStr">
        <is>
          <t>O2(14) · O1(2)</t>
        </is>
      </c>
    </row>
    <row r="34">
      <c r="A34" s="16" t="inlineStr">
        <is>
          <t>B4</t>
        </is>
      </c>
      <c r="B34" s="35" t="n">
        <v>278.15</v>
      </c>
      <c r="C34" s="16" t="n">
        <v>0</v>
      </c>
      <c r="D34" s="16" t="n">
        <v>0</v>
      </c>
      <c r="E34" s="16" t="n">
        <v>0</v>
      </c>
      <c r="F34" s="16" t="n"/>
      <c r="G34" s="16" t="n"/>
      <c r="H34" s="16" t="n"/>
      <c r="I34" s="16" t="n"/>
      <c r="J34" s="16" t="n"/>
      <c r="K34" s="16" t="n"/>
      <c r="L34" s="16" t="n"/>
      <c r="M34" s="16" t="n"/>
    </row>
    <row r="35">
      <c r="A35" s="16" t="inlineStr">
        <is>
          <t>B4</t>
        </is>
      </c>
      <c r="B35" s="35" t="n">
        <v>283.15</v>
      </c>
      <c r="C35" s="16" t="n">
        <v>0</v>
      </c>
      <c r="D35" s="16" t="n">
        <v>0</v>
      </c>
      <c r="E35" s="16" t="n">
        <v>0</v>
      </c>
      <c r="F35" s="16" t="n"/>
      <c r="G35" s="16" t="n"/>
      <c r="H35" s="16" t="n"/>
      <c r="I35" s="16" t="n"/>
      <c r="J35" s="16" t="n"/>
      <c r="K35" s="16" t="n"/>
      <c r="L35" s="16" t="n"/>
      <c r="M35" s="16" t="n"/>
    </row>
    <row r="36">
      <c r="A36" s="16" t="inlineStr">
        <is>
          <t>B4</t>
        </is>
      </c>
      <c r="B36" s="35" t="n">
        <v>288.15</v>
      </c>
      <c r="C36" s="16" t="n">
        <v>0</v>
      </c>
      <c r="D36" s="16" t="n">
        <v>0</v>
      </c>
      <c r="E36" s="16" t="n">
        <v>0</v>
      </c>
      <c r="F36" s="16" t="n"/>
      <c r="G36" s="16" t="n"/>
      <c r="H36" s="16" t="n"/>
      <c r="I36" s="16" t="n"/>
      <c r="J36" s="16" t="n"/>
      <c r="K36" s="16" t="n"/>
      <c r="L36" s="16" t="n"/>
      <c r="M36" s="16" t="n"/>
    </row>
    <row r="37">
      <c r="A37" s="16" t="inlineStr">
        <is>
          <t>B4</t>
        </is>
      </c>
      <c r="B37" s="35" t="n">
        <v>293.15</v>
      </c>
      <c r="C37" s="16" t="n">
        <v>0</v>
      </c>
      <c r="D37" s="16" t="n">
        <v>0</v>
      </c>
      <c r="E37" s="16" t="n">
        <v>0</v>
      </c>
      <c r="F37" s="16" t="n"/>
      <c r="G37" s="16" t="n"/>
      <c r="H37" s="16" t="n"/>
      <c r="I37" s="16" t="n"/>
      <c r="J37" s="16" t="n"/>
      <c r="K37" s="16" t="n"/>
      <c r="L37" s="16" t="n"/>
      <c r="M37" s="16" t="n"/>
    </row>
    <row r="38">
      <c r="A38" s="16" t="inlineStr">
        <is>
          <t>B4</t>
        </is>
      </c>
      <c r="B38" s="35" t="n">
        <v>300.03</v>
      </c>
      <c r="C38" s="16" t="n">
        <v>0</v>
      </c>
      <c r="D38" s="16" t="n">
        <v>0</v>
      </c>
      <c r="E38" s="16" t="n">
        <v>0</v>
      </c>
      <c r="F38" s="16" t="n"/>
      <c r="G38" s="16" t="n"/>
      <c r="H38" s="16" t="n"/>
      <c r="I38" s="16" t="n"/>
      <c r="J38" s="16" t="n"/>
      <c r="K38" s="16" t="n"/>
      <c r="L38" s="16" t="n"/>
      <c r="M38" s="16" t="n"/>
    </row>
    <row r="40">
      <c r="A40" s="23" t="inlineStr">
        <is>
          <t>Notas: Filtro: todos los puntos de la malla. n = 20 filas en la tabla. † = fuera del rango confiable (IAPWS G4-01); ‡ = falso convergido. Fuente: resultados/2026-10-06_final_M2S/m2s_resumen.csv.</t>
        </is>
      </c>
    </row>
  </sheetData>
  <autoFilter ref="A18:M3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351"/>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2.4 · Sumidero más frío</t>
        </is>
      </c>
    </row>
    <row r="2">
      <c r="A2" t="inlineStr">
        <is>
          <t>Cada fila es un punto calculado (n = 320);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6">
      <c r="A6" s="33" t="inlineStr">
        <is>
          <t>Parte 2.4a · fuente a 403 K · 90 puntos</t>
        </is>
      </c>
      <c r="B6" s="31" t="n"/>
      <c r="C6" s="31" t="n"/>
      <c r="D6" s="31" t="n"/>
      <c r="E6" s="31" t="n"/>
      <c r="F6" s="31" t="n"/>
      <c r="G6" s="31" t="n"/>
      <c r="H6" s="31" t="n"/>
      <c r="I6" s="31" t="n"/>
      <c r="J6" s="31" t="n"/>
      <c r="K6" s="31" t="n"/>
      <c r="M6" s="24" t="inlineStr">
        <is>
          <t>Figura 2.4-1 · Un sumidero más frío baja la P_baja mínima de KALINA y sube η</t>
        </is>
      </c>
    </row>
    <row r="7"/>
    <row r="8">
      <c r="A8" s="34" t="inlineStr">
        <is>
          <t>Barrido de la parte 2.4a · 90 puntos</t>
        </is>
      </c>
    </row>
    <row r="9">
      <c r="A9" s="25" t="inlineStr">
        <is>
          <t>Fijos en este barrido: T_fuente = 403, P_alta = 3000, x_b = 0.5, η_t = 0.85, η_p = 0.75, ε_HRVG = 0.85, ε_reg = 0.75, ε_cond = 0.8.</t>
        </is>
      </c>
    </row>
    <row r="10">
      <c r="A10" s="25" t="inlineStr">
        <is>
          <t>Tipos de punto: malla 50, bisección 40.</t>
        </is>
      </c>
    </row>
    <row r="11">
      <c r="A11" s="22" t="inlineStr">
        <is>
          <t>id_punto</t>
        </is>
      </c>
      <c r="B11" s="22" t="inlineStr">
        <is>
          <t>T_sumidero [K]</t>
        </is>
      </c>
      <c r="C11" s="22" t="inlineStr">
        <is>
          <t>P_baja [kPa]</t>
        </is>
      </c>
      <c r="D11" s="22" t="inlineStr">
        <is>
          <t>Clase</t>
        </is>
      </c>
      <c r="E11" s="22" t="inlineStr">
        <is>
          <t>η [%]</t>
        </is>
      </c>
      <c r="F11" s="22" t="inlineStr">
        <is>
          <t>W_net [kW] (m_b = 1 kg/s)</t>
        </is>
      </c>
      <c r="G11" s="22" t="inlineStr">
        <is>
          <t>ΔP [kPa]</t>
        </is>
      </c>
      <c r="H11" s="22" t="inlineStr">
        <is>
          <t>r_P [–]</t>
        </is>
      </c>
      <c r="I11" s="22" t="inlineStr">
        <is>
          <t>Fuera de rango</t>
        </is>
      </c>
      <c r="J11" s="22" t="inlineStr">
        <is>
          <t>Criterios que falla</t>
        </is>
      </c>
      <c r="K11" s="22" t="inlineStr">
        <is>
          <t>Tipo de punto</t>
        </is>
      </c>
    </row>
    <row r="12">
      <c r="A12" s="16" t="inlineStr">
        <is>
          <t>KF-M02S-B1-0000</t>
        </is>
      </c>
      <c r="B12" s="35" t="n">
        <v>278.15</v>
      </c>
      <c r="C12" s="35" t="n">
        <v>150</v>
      </c>
      <c r="D12" s="39" t="inlineStr">
        <is>
          <t>Corregible</t>
        </is>
      </c>
      <c r="E12" s="29" t="n">
        <v>12.32626504822476</v>
      </c>
      <c r="F12" s="35" t="n">
        <v>41.19930066589606</v>
      </c>
      <c r="G12" s="36" t="n">
        <v>2850</v>
      </c>
      <c r="H12" s="29" t="n">
        <v>20</v>
      </c>
      <c r="I12" s="16" t="inlineStr">
        <is>
          <t>no</t>
        </is>
      </c>
      <c r="J12" s="16" t="inlineStr">
        <is>
          <t>O2</t>
        </is>
      </c>
      <c r="K12" s="16" t="inlineStr">
        <is>
          <t>malla</t>
        </is>
      </c>
    </row>
    <row r="13">
      <c r="A13" s="16" t="inlineStr">
        <is>
          <t>KF-M02S-B1-0051</t>
        </is>
      </c>
      <c r="B13" s="35" t="n">
        <v>278.15</v>
      </c>
      <c r="C13" s="35" t="n">
        <v>225</v>
      </c>
      <c r="D13" s="39" t="inlineStr">
        <is>
          <t>Corregible</t>
        </is>
      </c>
      <c r="E13" s="29" t="n">
        <v>11.34985665852915</v>
      </c>
      <c r="F13" s="35" t="n">
        <v>38.06284705470508</v>
      </c>
      <c r="G13" s="36" t="n">
        <v>2775</v>
      </c>
      <c r="H13" s="29" t="n">
        <v>13.33333333333333</v>
      </c>
      <c r="I13" s="16" t="inlineStr">
        <is>
          <t>no</t>
        </is>
      </c>
      <c r="J13" s="16" t="inlineStr">
        <is>
          <t>O2</t>
        </is>
      </c>
      <c r="K13" s="16" t="inlineStr">
        <is>
          <t>bisección</t>
        </is>
      </c>
    </row>
    <row r="14">
      <c r="A14" s="16" t="inlineStr">
        <is>
          <t>KF-M02S-B1-0052</t>
        </is>
      </c>
      <c r="B14" s="35" t="n">
        <v>278.15</v>
      </c>
      <c r="C14" s="35" t="n">
        <v>225</v>
      </c>
      <c r="D14" s="39" t="inlineStr">
        <is>
          <t>Corregible</t>
        </is>
      </c>
      <c r="E14" s="29" t="n">
        <v>11.34985665852915</v>
      </c>
      <c r="F14" s="35" t="n">
        <v>38.06284705470508</v>
      </c>
      <c r="G14" s="36" t="n">
        <v>2775</v>
      </c>
      <c r="H14" s="29" t="n">
        <v>13.33333333333333</v>
      </c>
      <c r="I14" s="16" t="inlineStr">
        <is>
          <t>no</t>
        </is>
      </c>
      <c r="J14" s="16" t="inlineStr">
        <is>
          <t>O2</t>
        </is>
      </c>
      <c r="K14" s="16" t="inlineStr">
        <is>
          <t>bisección</t>
        </is>
      </c>
    </row>
    <row r="15">
      <c r="A15" s="16" t="inlineStr">
        <is>
          <t>KF-M02S-B1-0060</t>
        </is>
      </c>
      <c r="B15" s="35" t="n">
        <v>278.15</v>
      </c>
      <c r="C15" s="35" t="n">
        <v>262.5</v>
      </c>
      <c r="D15" s="39" t="inlineStr">
        <is>
          <t>Corregible</t>
        </is>
      </c>
      <c r="E15" s="29" t="n">
        <v>10.81350480672232</v>
      </c>
      <c r="F15" s="35" t="n">
        <v>36.26014267619018</v>
      </c>
      <c r="G15" s="36" t="n">
        <v>2737.5</v>
      </c>
      <c r="H15" s="29" t="n">
        <v>11.42857142857143</v>
      </c>
      <c r="I15" s="16" t="inlineStr">
        <is>
          <t>no</t>
        </is>
      </c>
      <c r="J15" s="16" t="inlineStr">
        <is>
          <t>O2</t>
        </is>
      </c>
      <c r="K15" s="16" t="inlineStr">
        <is>
          <t>bisección</t>
        </is>
      </c>
    </row>
    <row r="16">
      <c r="A16" s="16" t="inlineStr">
        <is>
          <t>KF-M02S-B1-0061</t>
        </is>
      </c>
      <c r="B16" s="35" t="n">
        <v>278.15</v>
      </c>
      <c r="C16" s="35" t="n">
        <v>262.5</v>
      </c>
      <c r="D16" s="39" t="inlineStr">
        <is>
          <t>Corregible</t>
        </is>
      </c>
      <c r="E16" s="29" t="n">
        <v>10.81350480672232</v>
      </c>
      <c r="F16" s="35" t="n">
        <v>36.26014267619018</v>
      </c>
      <c r="G16" s="36" t="n">
        <v>2737.5</v>
      </c>
      <c r="H16" s="29" t="n">
        <v>11.42857142857143</v>
      </c>
      <c r="I16" s="16" t="inlineStr">
        <is>
          <t>no</t>
        </is>
      </c>
      <c r="J16" s="16" t="inlineStr">
        <is>
          <t>O2</t>
        </is>
      </c>
      <c r="K16" s="16" t="inlineStr">
        <is>
          <t>bisección</t>
        </is>
      </c>
    </row>
    <row r="17">
      <c r="A17" s="16" t="inlineStr">
        <is>
          <t>KF-M02S-B1-0070</t>
        </is>
      </c>
      <c r="B17" s="35" t="n">
        <v>278.15</v>
      </c>
      <c r="C17" s="35" t="n">
        <v>281.25</v>
      </c>
      <c r="D17" s="39" t="inlineStr">
        <is>
          <t>Corregible</t>
        </is>
      </c>
      <c r="E17" s="29" t="n">
        <v>10.542921081408</v>
      </c>
      <c r="F17" s="35" t="n">
        <v>35.34747836723507</v>
      </c>
      <c r="G17" s="36" t="n">
        <v>2718.75</v>
      </c>
      <c r="H17" s="29" t="n">
        <v>10.66666666666667</v>
      </c>
      <c r="I17" s="16" t="inlineStr">
        <is>
          <t>no</t>
        </is>
      </c>
      <c r="J17" s="16" t="inlineStr">
        <is>
          <t>O2</t>
        </is>
      </c>
      <c r="K17" s="16" t="inlineStr">
        <is>
          <t>bisección</t>
        </is>
      </c>
    </row>
    <row r="18">
      <c r="A18" s="16" t="inlineStr">
        <is>
          <t>KF-M02S-B1-0073</t>
        </is>
      </c>
      <c r="B18" s="35" t="n">
        <v>278.15</v>
      </c>
      <c r="C18" s="35" t="n">
        <v>281.25</v>
      </c>
      <c r="D18" s="39" t="inlineStr">
        <is>
          <t>Corregible</t>
        </is>
      </c>
      <c r="E18" s="29" t="n">
        <v>10.542921081408</v>
      </c>
      <c r="F18" s="35" t="n">
        <v>35.34747836723507</v>
      </c>
      <c r="G18" s="36" t="n">
        <v>2718.75</v>
      </c>
      <c r="H18" s="29" t="n">
        <v>10.66666666666667</v>
      </c>
      <c r="I18" s="16" t="inlineStr">
        <is>
          <t>no</t>
        </is>
      </c>
      <c r="J18" s="16" t="inlineStr">
        <is>
          <t>O2</t>
        </is>
      </c>
      <c r="K18" s="16" t="inlineStr">
        <is>
          <t>bisección</t>
        </is>
      </c>
    </row>
    <row r="19">
      <c r="A19" s="16" t="inlineStr">
        <is>
          <t>KF-M02S-B1-0083</t>
        </is>
      </c>
      <c r="B19" s="35" t="n">
        <v>278.15</v>
      </c>
      <c r="C19" s="35" t="n">
        <v>290.625</v>
      </c>
      <c r="D19" s="42" t="inlineStr">
        <is>
          <t>KALINA</t>
        </is>
      </c>
      <c r="E19" s="29" t="n">
        <v>10.40861607895899</v>
      </c>
      <c r="F19" s="35" t="n">
        <v>34.89404219106095</v>
      </c>
      <c r="G19" s="36" t="n">
        <v>2709.375</v>
      </c>
      <c r="H19" s="29" t="n">
        <v>10.32258064516129</v>
      </c>
      <c r="I19" s="16" t="inlineStr">
        <is>
          <t>no</t>
        </is>
      </c>
      <c r="J19" s="16" t="n"/>
      <c r="K19" s="16" t="inlineStr">
        <is>
          <t>bisección</t>
        </is>
      </c>
    </row>
    <row r="20">
      <c r="A20" s="16" t="inlineStr">
        <is>
          <t>KF-M02S-B1-0084</t>
        </is>
      </c>
      <c r="B20" s="35" t="n">
        <v>278.15</v>
      </c>
      <c r="C20" s="35" t="n">
        <v>290.625</v>
      </c>
      <c r="D20" s="42" t="inlineStr">
        <is>
          <t>KALINA</t>
        </is>
      </c>
      <c r="E20" s="29" t="n">
        <v>10.40861607895899</v>
      </c>
      <c r="F20" s="35" t="n">
        <v>34.89404219106095</v>
      </c>
      <c r="G20" s="36" t="n">
        <v>2709.375</v>
      </c>
      <c r="H20" s="29" t="n">
        <v>10.32258064516129</v>
      </c>
      <c r="I20" s="16" t="inlineStr">
        <is>
          <t>no</t>
        </is>
      </c>
      <c r="J20" s="16" t="n"/>
      <c r="K20" s="16" t="inlineStr">
        <is>
          <t>bisección</t>
        </is>
      </c>
    </row>
    <row r="21">
      <c r="A21" s="16" t="inlineStr">
        <is>
          <t>KF-M02S-B1-0001</t>
        </is>
      </c>
      <c r="B21" s="35" t="n">
        <v>278.15</v>
      </c>
      <c r="C21" s="35" t="n">
        <v>300</v>
      </c>
      <c r="D21" s="42" t="inlineStr">
        <is>
          <t>KALINA</t>
        </is>
      </c>
      <c r="E21" s="29" t="n">
        <v>10.27793412092901</v>
      </c>
      <c r="F21" s="35" t="n">
        <v>34.45290997869488</v>
      </c>
      <c r="G21" s="36" t="n">
        <v>2700</v>
      </c>
      <c r="H21" s="29" t="n">
        <v>10</v>
      </c>
      <c r="I21" s="16" t="inlineStr">
        <is>
          <t>no</t>
        </is>
      </c>
      <c r="J21" s="16" t="n"/>
      <c r="K21" s="16" t="inlineStr">
        <is>
          <t>malla</t>
        </is>
      </c>
    </row>
    <row r="22">
      <c r="A22" s="16" t="inlineStr">
        <is>
          <t>KF-M02S-B1-0002</t>
        </is>
      </c>
      <c r="B22" s="35" t="n">
        <v>278.15</v>
      </c>
      <c r="C22" s="35" t="n">
        <v>450</v>
      </c>
      <c r="D22" s="42" t="inlineStr">
        <is>
          <t>KALINA</t>
        </is>
      </c>
      <c r="E22" s="29" t="n">
        <v>8.56524501552747</v>
      </c>
      <c r="F22" s="35" t="n">
        <v>28.67921663714574</v>
      </c>
      <c r="G22" s="36" t="n">
        <v>2550</v>
      </c>
      <c r="H22" s="29" t="n">
        <v>6.666666666666667</v>
      </c>
      <c r="I22" s="16" t="inlineStr">
        <is>
          <t>no</t>
        </is>
      </c>
      <c r="J22" s="16" t="n"/>
      <c r="K22" s="16" t="inlineStr">
        <is>
          <t>malla</t>
        </is>
      </c>
    </row>
    <row r="23">
      <c r="A23" s="16" t="inlineStr">
        <is>
          <t>KF-M02S-B1-0004</t>
        </is>
      </c>
      <c r="B23" s="35" t="n">
        <v>278.15</v>
      </c>
      <c r="C23" s="35" t="n">
        <v>600</v>
      </c>
      <c r="D23" s="42" t="inlineStr">
        <is>
          <t>KALINA</t>
        </is>
      </c>
      <c r="E23" s="29" t="n">
        <v>7.30467585906953</v>
      </c>
      <c r="F23" s="35" t="n">
        <v>24.43868283198353</v>
      </c>
      <c r="G23" s="36" t="n">
        <v>2400</v>
      </c>
      <c r="H23" s="29" t="n">
        <v>5</v>
      </c>
      <c r="I23" s="16" t="inlineStr">
        <is>
          <t>no</t>
        </is>
      </c>
      <c r="J23" s="16" t="n"/>
      <c r="K23" s="16" t="inlineStr">
        <is>
          <t>malla</t>
        </is>
      </c>
    </row>
    <row r="24">
      <c r="A24" s="16" t="inlineStr">
        <is>
          <t>KF-M02S-B1-0003</t>
        </is>
      </c>
      <c r="B24" s="35" t="n">
        <v>278.15</v>
      </c>
      <c r="C24" s="35" t="n">
        <v>750</v>
      </c>
      <c r="D24" s="42" t="inlineStr">
        <is>
          <t>KALINA</t>
        </is>
      </c>
      <c r="E24" s="29" t="n">
        <v>6.304920487273261</v>
      </c>
      <c r="F24" s="35" t="n">
        <v>21.08082575407569</v>
      </c>
      <c r="G24" s="36" t="n">
        <v>2250</v>
      </c>
      <c r="H24" s="29" t="n">
        <v>4</v>
      </c>
      <c r="I24" s="16" t="inlineStr">
        <is>
          <t>no</t>
        </is>
      </c>
      <c r="J24" s="16" t="n"/>
      <c r="K24" s="16" t="inlineStr">
        <is>
          <t>malla</t>
        </is>
      </c>
    </row>
    <row r="25">
      <c r="A25" s="16" t="inlineStr">
        <is>
          <t>KF-M02S-B1-0005</t>
        </is>
      </c>
      <c r="B25" s="35" t="n">
        <v>278.15</v>
      </c>
      <c r="C25" s="35" t="n">
        <v>900</v>
      </c>
      <c r="D25" s="42" t="inlineStr">
        <is>
          <t>KALINA</t>
        </is>
      </c>
      <c r="E25" s="29" t="n">
        <v>5.4765447016791</v>
      </c>
      <c r="F25" s="35" t="n">
        <v>18.30203197576216</v>
      </c>
      <c r="G25" s="36" t="n">
        <v>2100</v>
      </c>
      <c r="H25" s="29" t="n">
        <v>3.333333333333333</v>
      </c>
      <c r="I25" s="16" t="inlineStr">
        <is>
          <t>no</t>
        </is>
      </c>
      <c r="J25" s="16" t="n"/>
      <c r="K25" s="16" t="inlineStr">
        <is>
          <t>malla</t>
        </is>
      </c>
      <c r="M25" s="25" t="inlineStr">
        <is>
          <t>Estudio 2.4 (figura de síntesis: cada base es una parte con sus propios datos fijos y cada línea es una parte).</t>
        </is>
      </c>
    </row>
    <row r="26">
      <c r="A26" s="16" t="inlineStr">
        <is>
          <t>KF-M02S-B1-0006</t>
        </is>
      </c>
      <c r="B26" s="35" t="n">
        <v>278.15</v>
      </c>
      <c r="C26" s="35" t="n">
        <v>1050</v>
      </c>
      <c r="D26" s="42" t="inlineStr">
        <is>
          <t>KALINA</t>
        </is>
      </c>
      <c r="E26" s="29" t="n">
        <v>4.77004223127892</v>
      </c>
      <c r="F26" s="35" t="n">
        <v>15.93449147593715</v>
      </c>
      <c r="G26" s="36" t="n">
        <v>1950</v>
      </c>
      <c r="H26" s="29" t="n">
        <v>2.857142857142857</v>
      </c>
      <c r="I26" s="16" t="inlineStr">
        <is>
          <t>no</t>
        </is>
      </c>
      <c r="J26" s="16" t="n"/>
      <c r="K26" s="16" t="inlineStr">
        <is>
          <t>malla</t>
        </is>
      </c>
      <c r="M26" s="25" t="inlineStr">
        <is>
          <t>Parte 2.4a (T_fuente = 403 K (A*)): Datos fijos: T_fuente = 403.0; P_alta = 3000.0; x_b = 0.5; m_b = 1.0; η_t = 0.85; η_p = 0.75; ε_HRVG = 0.85; ε_reg = 0.75; ε_cond = 0.8; motor de propiedades = teqp. Datos barridos: P_baja; piso de O2; T_sumidero.</t>
        </is>
      </c>
    </row>
    <row r="27">
      <c r="A27" s="16" t="inlineStr">
        <is>
          <t>KF-M02S-B1-0007</t>
        </is>
      </c>
      <c r="B27" s="35" t="n">
        <v>278.15</v>
      </c>
      <c r="C27" s="35" t="n">
        <v>1200</v>
      </c>
      <c r="D27" s="42" t="inlineStr">
        <is>
          <t>KALINA</t>
        </is>
      </c>
      <c r="E27" s="29" t="n">
        <v>4.15499863881567</v>
      </c>
      <c r="F27" s="35" t="n">
        <v>13.87517721406423</v>
      </c>
      <c r="G27" s="36" t="n">
        <v>1800</v>
      </c>
      <c r="H27" s="29" t="n">
        <v>2.5</v>
      </c>
      <c r="I27" s="16" t="inlineStr">
        <is>
          <t>no</t>
        </is>
      </c>
      <c r="J27" s="16" t="n"/>
      <c r="K27" s="16" t="inlineStr">
        <is>
          <t>malla</t>
        </is>
      </c>
      <c r="M27" s="25" t="inlineStr">
        <is>
          <t>Parte 2.4b (T_fuente = 420 K): Datos fijos: T_fuente = 420.0; P_alta = 3000.0; x_b = 0.5; m_b = 1.0; η_t = 0.85; η_p = 0.75; ε_HRVG = 0.85; ε_reg = 0.75; ε_cond = 0.8; motor de propiedades = teqp. Datos barridos: P_baja; piso de O2; T_sumidero.</t>
        </is>
      </c>
    </row>
    <row r="28">
      <c r="A28" s="16" t="inlineStr">
        <is>
          <t>KF-M02S-B1-0008</t>
        </is>
      </c>
      <c r="B28" s="35" t="n">
        <v>278.15</v>
      </c>
      <c r="C28" s="35" t="n">
        <v>1350</v>
      </c>
      <c r="D28" s="42" t="inlineStr">
        <is>
          <t>KALINA</t>
        </is>
      </c>
      <c r="E28" s="29" t="n">
        <v>3.61129846627593</v>
      </c>
      <c r="F28" s="35" t="n">
        <v>12.05604958317661</v>
      </c>
      <c r="G28" s="36" t="n">
        <v>1650</v>
      </c>
      <c r="H28" s="29" t="n">
        <v>2.222222222222222</v>
      </c>
      <c r="I28" s="16" t="inlineStr">
        <is>
          <t>no</t>
        </is>
      </c>
      <c r="J28" s="16" t="n"/>
      <c r="K28" s="16" t="inlineStr">
        <is>
          <t>malla</t>
        </is>
      </c>
      <c r="M28" s="25" t="inlineStr">
        <is>
          <t>Parte 2.4c (ε_HRVG = 0.40 (fuente del profesor)): Datos fijos: T_fuente = 623.15; P_alta = 3000.0; x_b = 0.5; m_b = 1.0; η_t = 0.85; η_p = 0.75; ε_HRVG = 0.4; ε_reg = 0.75; ε_cond = 0.8; motor de propiedades = teqp. Datos barridos: P_baja; piso de O2; T_sumidero.</t>
        </is>
      </c>
    </row>
    <row r="29">
      <c r="A29" s="16" t="inlineStr">
        <is>
          <t>KF-M02S-B1-0009</t>
        </is>
      </c>
      <c r="B29" s="35" t="n">
        <v>278.15</v>
      </c>
      <c r="C29" s="35" t="n">
        <v>1500</v>
      </c>
      <c r="D29" s="42" t="inlineStr">
        <is>
          <t>KALINA</t>
        </is>
      </c>
      <c r="E29" s="29" t="n">
        <v>3.12492058419203</v>
      </c>
      <c r="F29" s="35" t="n">
        <v>10.42971737598545</v>
      </c>
      <c r="G29" s="36" t="n">
        <v>1500</v>
      </c>
      <c r="H29" s="29" t="n">
        <v>2</v>
      </c>
      <c r="I29" s="16" t="inlineStr">
        <is>
          <t>no</t>
        </is>
      </c>
      <c r="J29" s="16" t="n"/>
      <c r="K29" s="16" t="inlineStr">
        <is>
          <t>malla</t>
        </is>
      </c>
      <c r="M29" s="25" t="inlineStr">
        <is>
          <t>Base B4 (datos del profesor, T_fuente 623.15 K): 0 KALINA; no se dibuja (queda nombrada en el pie).</t>
        </is>
      </c>
    </row>
    <row r="30">
      <c r="A30" s="16" t="inlineStr">
        <is>
          <t>KF-M02S-B1-0010</t>
        </is>
      </c>
      <c r="B30" s="35" t="n">
        <v>283.15</v>
      </c>
      <c r="C30" s="35" t="n">
        <v>150</v>
      </c>
      <c r="D30" s="39" t="inlineStr">
        <is>
          <t>Corregible</t>
        </is>
      </c>
      <c r="E30" s="29" t="n">
        <v>9.757353520377251</v>
      </c>
      <c r="F30" s="35" t="n">
        <v>28.6168667258741</v>
      </c>
      <c r="G30" s="36" t="n">
        <v>2850</v>
      </c>
      <c r="H30" s="29" t="n">
        <v>20</v>
      </c>
      <c r="I30" s="16" t="inlineStr">
        <is>
          <t>no</t>
        </is>
      </c>
      <c r="J30" s="16" t="inlineStr">
        <is>
          <t>O2</t>
        </is>
      </c>
      <c r="K30" s="16" t="inlineStr">
        <is>
          <t>malla</t>
        </is>
      </c>
      <c r="M30" s="25" t="inlineStr">
        <is>
          <t>Filtro: mínimos de P_baja y máximos de η de los KALINA por (base, T_sumidero). Marcas: Las líneas marcadas “fuera de rango” se apoyan en KALINA fuera del rango validado del modelo de propiedades.</t>
        </is>
      </c>
    </row>
    <row r="31">
      <c r="A31" s="16" t="inlineStr">
        <is>
          <t>KF-M02S-B1-0011</t>
        </is>
      </c>
      <c r="B31" s="35" t="n">
        <v>283.15</v>
      </c>
      <c r="C31" s="35" t="n">
        <v>300</v>
      </c>
      <c r="D31" s="39" t="inlineStr">
        <is>
          <t>Corregible</t>
        </is>
      </c>
      <c r="E31" s="29" t="n">
        <v>10.51248364340477</v>
      </c>
      <c r="F31" s="35" t="n">
        <v>34.55353433689377</v>
      </c>
      <c r="G31" s="36" t="n">
        <v>2700</v>
      </c>
      <c r="H31" s="29" t="n">
        <v>10</v>
      </c>
      <c r="I31" s="16" t="inlineStr">
        <is>
          <t>no</t>
        </is>
      </c>
      <c r="J31" s="16" t="inlineStr">
        <is>
          <t>O2</t>
        </is>
      </c>
      <c r="K31" s="16" t="inlineStr">
        <is>
          <t>malla</t>
        </is>
      </c>
      <c r="M31" s="25" t="inlineStr">
        <is>
          <t>n = 15 puntos por panel (3 bases × 5 T_sumidero). Fuente: todos_los_puntos.csv.</t>
        </is>
      </c>
    </row>
    <row r="32">
      <c r="A32" s="16" t="inlineStr">
        <is>
          <t>KF-M02S-B1-0071</t>
        </is>
      </c>
      <c r="B32" s="35" t="n">
        <v>283.15</v>
      </c>
      <c r="C32" s="35" t="n">
        <v>318.75</v>
      </c>
      <c r="D32" s="39" t="inlineStr">
        <is>
          <t>Corregible</t>
        </is>
      </c>
      <c r="E32" s="29" t="n">
        <v>10.27338965095361</v>
      </c>
      <c r="F32" s="35" t="n">
        <v>33.76412316888072</v>
      </c>
      <c r="G32" s="36" t="n">
        <v>2681.25</v>
      </c>
      <c r="H32" s="29" t="n">
        <v>9.411764705882351</v>
      </c>
      <c r="I32" s="16" t="inlineStr">
        <is>
          <t>no</t>
        </is>
      </c>
      <c r="J32" s="16" t="inlineStr">
        <is>
          <t>O2</t>
        </is>
      </c>
      <c r="K32" s="16" t="inlineStr">
        <is>
          <t>bisección</t>
        </is>
      </c>
    </row>
    <row r="33">
      <c r="A33" s="16" t="inlineStr">
        <is>
          <t>KF-M02S-B1-0072</t>
        </is>
      </c>
      <c r="B33" s="35" t="n">
        <v>283.15</v>
      </c>
      <c r="C33" s="35" t="n">
        <v>318.75</v>
      </c>
      <c r="D33" s="39" t="inlineStr">
        <is>
          <t>Corregible</t>
        </is>
      </c>
      <c r="E33" s="29" t="n">
        <v>10.27338965095361</v>
      </c>
      <c r="F33" s="35" t="n">
        <v>33.76412316888072</v>
      </c>
      <c r="G33" s="36" t="n">
        <v>2681.25</v>
      </c>
      <c r="H33" s="29" t="n">
        <v>9.411764705882351</v>
      </c>
      <c r="I33" s="16" t="inlineStr">
        <is>
          <t>no</t>
        </is>
      </c>
      <c r="J33" s="16" t="inlineStr">
        <is>
          <t>O2</t>
        </is>
      </c>
      <c r="K33" s="16" t="inlineStr">
        <is>
          <t>bisección</t>
        </is>
      </c>
    </row>
    <row r="34">
      <c r="A34" s="16" t="inlineStr">
        <is>
          <t>KF-M02S-B1-0081</t>
        </is>
      </c>
      <c r="B34" s="35" t="n">
        <v>283.15</v>
      </c>
      <c r="C34" s="35" t="n">
        <v>328.125</v>
      </c>
      <c r="D34" s="39" t="inlineStr">
        <is>
          <t>Corregible</t>
        </is>
      </c>
      <c r="E34" s="29" t="n">
        <v>10.15345080197827</v>
      </c>
      <c r="F34" s="35" t="n">
        <v>33.36764105716199</v>
      </c>
      <c r="G34" s="36" t="n">
        <v>2671.875</v>
      </c>
      <c r="H34" s="29" t="n">
        <v>9.142857142857142</v>
      </c>
      <c r="I34" s="16" t="inlineStr">
        <is>
          <t>no</t>
        </is>
      </c>
      <c r="J34" s="16" t="inlineStr">
        <is>
          <t>O2</t>
        </is>
      </c>
      <c r="K34" s="16" t="inlineStr">
        <is>
          <t>bisección</t>
        </is>
      </c>
    </row>
    <row r="35">
      <c r="A35" s="16" t="inlineStr">
        <is>
          <t>KF-M02S-B1-0082</t>
        </is>
      </c>
      <c r="B35" s="35" t="n">
        <v>283.15</v>
      </c>
      <c r="C35" s="35" t="n">
        <v>328.125</v>
      </c>
      <c r="D35" s="39" t="inlineStr">
        <is>
          <t>Corregible</t>
        </is>
      </c>
      <c r="E35" s="29" t="n">
        <v>10.15345080197827</v>
      </c>
      <c r="F35" s="35" t="n">
        <v>33.36764105716199</v>
      </c>
      <c r="G35" s="36" t="n">
        <v>2671.875</v>
      </c>
      <c r="H35" s="29" t="n">
        <v>9.142857142857142</v>
      </c>
      <c r="I35" s="16" t="inlineStr">
        <is>
          <t>no</t>
        </is>
      </c>
      <c r="J35" s="16" t="inlineStr">
        <is>
          <t>O2</t>
        </is>
      </c>
      <c r="K35" s="16" t="inlineStr">
        <is>
          <t>bisección</t>
        </is>
      </c>
    </row>
    <row r="36">
      <c r="A36" s="16" t="inlineStr">
        <is>
          <t>KF-M02S-B1-0062</t>
        </is>
      </c>
      <c r="B36" s="35" t="n">
        <v>283.15</v>
      </c>
      <c r="C36" s="35" t="n">
        <v>337.5</v>
      </c>
      <c r="D36" s="42" t="inlineStr">
        <is>
          <t>KALINA</t>
        </is>
      </c>
      <c r="E36" s="29" t="n">
        <v>10.03354235296544</v>
      </c>
      <c r="F36" s="35" t="n">
        <v>32.97101044720274</v>
      </c>
      <c r="G36" s="36" t="n">
        <v>2662.5</v>
      </c>
      <c r="H36" s="29" t="n">
        <v>8.888888888888889</v>
      </c>
      <c r="I36" s="16" t="inlineStr">
        <is>
          <t>no</t>
        </is>
      </c>
      <c r="J36" s="16" t="n"/>
      <c r="K36" s="16" t="inlineStr">
        <is>
          <t>bisección</t>
        </is>
      </c>
    </row>
    <row r="37">
      <c r="A37" s="16" t="inlineStr">
        <is>
          <t>KF-M02S-B1-0064</t>
        </is>
      </c>
      <c r="B37" s="35" t="n">
        <v>283.15</v>
      </c>
      <c r="C37" s="35" t="n">
        <v>337.5</v>
      </c>
      <c r="D37" s="42" t="inlineStr">
        <is>
          <t>KALINA</t>
        </is>
      </c>
      <c r="E37" s="29" t="n">
        <v>10.03354235296544</v>
      </c>
      <c r="F37" s="35" t="n">
        <v>32.97101044720274</v>
      </c>
      <c r="G37" s="36" t="n">
        <v>2662.5</v>
      </c>
      <c r="H37" s="29" t="n">
        <v>8.888888888888889</v>
      </c>
      <c r="I37" s="16" t="inlineStr">
        <is>
          <t>no</t>
        </is>
      </c>
      <c r="J37" s="16" t="n"/>
      <c r="K37" s="16" t="inlineStr">
        <is>
          <t>bisección</t>
        </is>
      </c>
    </row>
    <row r="38">
      <c r="A38" s="16" t="inlineStr">
        <is>
          <t>KF-M02S-B1-0053</t>
        </is>
      </c>
      <c r="B38" s="35" t="n">
        <v>283.15</v>
      </c>
      <c r="C38" s="35" t="n">
        <v>375</v>
      </c>
      <c r="D38" s="42" t="inlineStr">
        <is>
          <t>KALINA</t>
        </is>
      </c>
      <c r="E38" s="29" t="n">
        <v>9.578980660541561</v>
      </c>
      <c r="F38" s="35" t="n">
        <v>31.46778024796109</v>
      </c>
      <c r="G38" s="36" t="n">
        <v>2625</v>
      </c>
      <c r="H38" s="29" t="n">
        <v>8</v>
      </c>
      <c r="I38" s="16" t="inlineStr">
        <is>
          <t>no</t>
        </is>
      </c>
      <c r="J38" s="16" t="n"/>
      <c r="K38" s="16" t="inlineStr">
        <is>
          <t>bisección</t>
        </is>
      </c>
    </row>
    <row r="39">
      <c r="A39" s="16" t="inlineStr">
        <is>
          <t>KF-M02S-B1-0054</t>
        </is>
      </c>
      <c r="B39" s="35" t="n">
        <v>283.15</v>
      </c>
      <c r="C39" s="35" t="n">
        <v>375</v>
      </c>
      <c r="D39" s="42" t="inlineStr">
        <is>
          <t>KALINA</t>
        </is>
      </c>
      <c r="E39" s="29" t="n">
        <v>9.578980660541561</v>
      </c>
      <c r="F39" s="35" t="n">
        <v>31.46778024796109</v>
      </c>
      <c r="G39" s="36" t="n">
        <v>2625</v>
      </c>
      <c r="H39" s="29" t="n">
        <v>8</v>
      </c>
      <c r="I39" s="16" t="inlineStr">
        <is>
          <t>no</t>
        </is>
      </c>
      <c r="J39" s="16" t="n"/>
      <c r="K39" s="16" t="inlineStr">
        <is>
          <t>bisección</t>
        </is>
      </c>
    </row>
    <row r="40">
      <c r="A40" s="16" t="inlineStr">
        <is>
          <t>KF-M02S-B1-0012</t>
        </is>
      </c>
      <c r="B40" s="35" t="n">
        <v>283.15</v>
      </c>
      <c r="C40" s="35" t="n">
        <v>450</v>
      </c>
      <c r="D40" s="42" t="inlineStr">
        <is>
          <t>KALINA</t>
        </is>
      </c>
      <c r="E40" s="29" t="n">
        <v>8.779542659631801</v>
      </c>
      <c r="F40" s="35" t="n">
        <v>28.82643193664205</v>
      </c>
      <c r="G40" s="36" t="n">
        <v>2550</v>
      </c>
      <c r="H40" s="29" t="n">
        <v>6.666666666666667</v>
      </c>
      <c r="I40" s="16" t="inlineStr">
        <is>
          <t>no</t>
        </is>
      </c>
      <c r="J40" s="16" t="n"/>
      <c r="K40" s="16" t="inlineStr">
        <is>
          <t>malla</t>
        </is>
      </c>
    </row>
    <row r="41">
      <c r="A41" s="16" t="inlineStr">
        <is>
          <t>KF-M02S-B1-0014</t>
        </is>
      </c>
      <c r="B41" s="35" t="n">
        <v>283.15</v>
      </c>
      <c r="C41" s="35" t="n">
        <v>600</v>
      </c>
      <c r="D41" s="42" t="inlineStr">
        <is>
          <t>KALINA</t>
        </is>
      </c>
      <c r="E41" s="29" t="n">
        <v>7.48746651887819</v>
      </c>
      <c r="F41" s="35" t="n">
        <v>24.56375597821157</v>
      </c>
      <c r="G41" s="36" t="n">
        <v>2400</v>
      </c>
      <c r="H41" s="29" t="n">
        <v>5</v>
      </c>
      <c r="I41" s="16" t="inlineStr">
        <is>
          <t>no</t>
        </is>
      </c>
      <c r="J41" s="16" t="n"/>
      <c r="K41" s="16" t="inlineStr">
        <is>
          <t>malla</t>
        </is>
      </c>
    </row>
    <row r="42">
      <c r="A42" s="16" t="inlineStr">
        <is>
          <t>KF-M02S-B1-0013</t>
        </is>
      </c>
      <c r="B42" s="35" t="n">
        <v>283.15</v>
      </c>
      <c r="C42" s="35" t="n">
        <v>750</v>
      </c>
      <c r="D42" s="42" t="inlineStr">
        <is>
          <t>KALINA</t>
        </is>
      </c>
      <c r="E42" s="29" t="n">
        <v>6.46271623892625</v>
      </c>
      <c r="F42" s="35" t="n">
        <v>21.18847731023126</v>
      </c>
      <c r="G42" s="36" t="n">
        <v>2250</v>
      </c>
      <c r="H42" s="29" t="n">
        <v>4</v>
      </c>
      <c r="I42" s="16" t="inlineStr">
        <is>
          <t>no</t>
        </is>
      </c>
      <c r="J42" s="16" t="n"/>
      <c r="K42" s="16" t="inlineStr">
        <is>
          <t>malla</t>
        </is>
      </c>
    </row>
    <row r="43">
      <c r="A43" s="16" t="inlineStr">
        <is>
          <t>KF-M02S-B1-0015</t>
        </is>
      </c>
      <c r="B43" s="35" t="n">
        <v>283.15</v>
      </c>
      <c r="C43" s="35" t="n">
        <v>900</v>
      </c>
      <c r="D43" s="42" t="inlineStr">
        <is>
          <t>KALINA</t>
        </is>
      </c>
      <c r="E43" s="29" t="n">
        <v>5.61361998494764</v>
      </c>
      <c r="F43" s="35" t="n">
        <v>18.3953302271266</v>
      </c>
      <c r="G43" s="36" t="n">
        <v>2100</v>
      </c>
      <c r="H43" s="29" t="n">
        <v>3.333333333333333</v>
      </c>
      <c r="I43" s="16" t="inlineStr">
        <is>
          <t>no</t>
        </is>
      </c>
      <c r="J43" s="16" t="n"/>
      <c r="K43" s="16" t="inlineStr">
        <is>
          <t>malla</t>
        </is>
      </c>
    </row>
    <row r="44">
      <c r="A44" s="16" t="inlineStr">
        <is>
          <t>KF-M02S-B1-0016</t>
        </is>
      </c>
      <c r="B44" s="35" t="n">
        <v>283.15</v>
      </c>
      <c r="C44" s="35" t="n">
        <v>1050</v>
      </c>
      <c r="D44" s="42" t="inlineStr">
        <is>
          <t>KALINA</t>
        </is>
      </c>
      <c r="E44" s="29" t="n">
        <v>4.88944749913399</v>
      </c>
      <c r="F44" s="35" t="n">
        <v>16.01560960660471</v>
      </c>
      <c r="G44" s="36" t="n">
        <v>1950</v>
      </c>
      <c r="H44" s="29" t="n">
        <v>2.857142857142857</v>
      </c>
      <c r="I44" s="16" t="inlineStr">
        <is>
          <t>no</t>
        </is>
      </c>
      <c r="J44" s="16" t="n"/>
      <c r="K44" s="16" t="inlineStr">
        <is>
          <t>malla</t>
        </is>
      </c>
    </row>
    <row r="45">
      <c r="A45" s="16" t="inlineStr">
        <is>
          <t>KF-M02S-B1-0017</t>
        </is>
      </c>
      <c r="B45" s="35" t="n">
        <v>283.15</v>
      </c>
      <c r="C45" s="35" t="n">
        <v>1200</v>
      </c>
      <c r="D45" s="42" t="inlineStr">
        <is>
          <t>KALINA</t>
        </is>
      </c>
      <c r="E45" s="29" t="n">
        <v>4.25901336067443</v>
      </c>
      <c r="F45" s="35" t="n">
        <v>13.94572780440843</v>
      </c>
      <c r="G45" s="36" t="n">
        <v>1800</v>
      </c>
      <c r="H45" s="29" t="n">
        <v>2.5</v>
      </c>
      <c r="I45" s="16" t="inlineStr">
        <is>
          <t>no</t>
        </is>
      </c>
      <c r="J45" s="16" t="n"/>
      <c r="K45" s="16" t="inlineStr">
        <is>
          <t>malla</t>
        </is>
      </c>
    </row>
    <row r="46">
      <c r="A46" s="16" t="inlineStr">
        <is>
          <t>KF-M02S-B1-0018</t>
        </is>
      </c>
      <c r="B46" s="35" t="n">
        <v>283.15</v>
      </c>
      <c r="C46" s="35" t="n">
        <v>1350</v>
      </c>
      <c r="D46" s="42" t="inlineStr">
        <is>
          <t>KALINA</t>
        </is>
      </c>
      <c r="E46" s="29" t="n">
        <v>3.70170500338981</v>
      </c>
      <c r="F46" s="35" t="n">
        <v>12.117287015291</v>
      </c>
      <c r="G46" s="36" t="n">
        <v>1650</v>
      </c>
      <c r="H46" s="29" t="n">
        <v>2.222222222222222</v>
      </c>
      <c r="I46" s="16" t="inlineStr">
        <is>
          <t>no</t>
        </is>
      </c>
      <c r="J46" s="16" t="n"/>
      <c r="K46" s="16" t="inlineStr">
        <is>
          <t>malla</t>
        </is>
      </c>
    </row>
    <row r="47">
      <c r="A47" s="16" t="inlineStr">
        <is>
          <t>KF-M02S-B1-0019</t>
        </is>
      </c>
      <c r="B47" s="35" t="n">
        <v>283.15</v>
      </c>
      <c r="C47" s="35" t="n">
        <v>1500</v>
      </c>
      <c r="D47" s="42" t="inlineStr">
        <is>
          <t>KALINA</t>
        </is>
      </c>
      <c r="E47" s="29" t="n">
        <v>3.20315161609658</v>
      </c>
      <c r="F47" s="35" t="n">
        <v>10.48264529935328</v>
      </c>
      <c r="G47" s="36" t="n">
        <v>1500</v>
      </c>
      <c r="H47" s="29" t="n">
        <v>2</v>
      </c>
      <c r="I47" s="16" t="inlineStr">
        <is>
          <t>no</t>
        </is>
      </c>
      <c r="J47" s="16" t="n"/>
      <c r="K47" s="16" t="inlineStr">
        <is>
          <t>malla</t>
        </is>
      </c>
    </row>
    <row r="48">
      <c r="A48" s="16" t="inlineStr">
        <is>
          <t>KF-M02S-B1-0023</t>
        </is>
      </c>
      <c r="B48" s="35" t="n">
        <v>288.15</v>
      </c>
      <c r="C48" s="35" t="n">
        <v>150</v>
      </c>
      <c r="D48" s="39" t="inlineStr">
        <is>
          <t>Corregible</t>
        </is>
      </c>
      <c r="E48" s="29" t="n">
        <v>3.13201795914914</v>
      </c>
      <c r="F48" s="35" t="n">
        <v>7.95289447810697</v>
      </c>
      <c r="G48" s="36" t="n">
        <v>2850</v>
      </c>
      <c r="H48" s="29" t="n">
        <v>20</v>
      </c>
      <c r="I48" s="16" t="inlineStr">
        <is>
          <t>no</t>
        </is>
      </c>
      <c r="J48" s="16" t="inlineStr">
        <is>
          <t>O2</t>
        </is>
      </c>
      <c r="K48" s="16" t="inlineStr">
        <is>
          <t>malla</t>
        </is>
      </c>
    </row>
    <row r="49">
      <c r="A49" s="16" t="inlineStr">
        <is>
          <t>KF-M02S-B1-0020</t>
        </is>
      </c>
      <c r="B49" s="35" t="n">
        <v>288.15</v>
      </c>
      <c r="C49" s="35" t="n">
        <v>300</v>
      </c>
      <c r="D49" s="39" t="inlineStr">
        <is>
          <t>Corregible</t>
        </is>
      </c>
      <c r="E49" s="29" t="n">
        <v>10.65848112233135</v>
      </c>
      <c r="F49" s="35" t="n">
        <v>34.32047951050086</v>
      </c>
      <c r="G49" s="36" t="n">
        <v>2700</v>
      </c>
      <c r="H49" s="29" t="n">
        <v>10</v>
      </c>
      <c r="I49" s="16" t="inlineStr">
        <is>
          <t>no</t>
        </is>
      </c>
      <c r="J49" s="16" t="inlineStr">
        <is>
          <t>O2</t>
        </is>
      </c>
      <c r="K49" s="16" t="inlineStr">
        <is>
          <t>malla</t>
        </is>
      </c>
    </row>
    <row r="50">
      <c r="A50" s="16" t="inlineStr">
        <is>
          <t>KF-M02S-B1-0050</t>
        </is>
      </c>
      <c r="B50" s="35" t="n">
        <v>288.15</v>
      </c>
      <c r="C50" s="35" t="n">
        <v>375</v>
      </c>
      <c r="D50" s="39" t="inlineStr">
        <is>
          <t>Corregible</t>
        </is>
      </c>
      <c r="E50" s="29" t="n">
        <v>9.819807123998279</v>
      </c>
      <c r="F50" s="35" t="n">
        <v>31.61611467795632</v>
      </c>
      <c r="G50" s="36" t="n">
        <v>2625</v>
      </c>
      <c r="H50" s="29" t="n">
        <v>8</v>
      </c>
      <c r="I50" s="16" t="inlineStr">
        <is>
          <t>no</t>
        </is>
      </c>
      <c r="J50" s="16" t="inlineStr">
        <is>
          <t>O2</t>
        </is>
      </c>
      <c r="K50" s="16" t="inlineStr">
        <is>
          <t>bisección</t>
        </is>
      </c>
    </row>
    <row r="51">
      <c r="A51" s="16" t="inlineStr">
        <is>
          <t>KF-M02S-B1-0055</t>
        </is>
      </c>
      <c r="B51" s="35" t="n">
        <v>288.15</v>
      </c>
      <c r="C51" s="35" t="n">
        <v>375</v>
      </c>
      <c r="D51" s="39" t="inlineStr">
        <is>
          <t>Corregible</t>
        </is>
      </c>
      <c r="E51" s="29" t="n">
        <v>9.819807123998279</v>
      </c>
      <c r="F51" s="35" t="n">
        <v>31.61611467795632</v>
      </c>
      <c r="G51" s="36" t="n">
        <v>2625</v>
      </c>
      <c r="H51" s="29" t="n">
        <v>8</v>
      </c>
      <c r="I51" s="16" t="inlineStr">
        <is>
          <t>no</t>
        </is>
      </c>
      <c r="J51" s="16" t="inlineStr">
        <is>
          <t>O2</t>
        </is>
      </c>
      <c r="K51" s="16" t="inlineStr">
        <is>
          <t>bisección</t>
        </is>
      </c>
    </row>
    <row r="52">
      <c r="A52" s="16" t="inlineStr">
        <is>
          <t>KF-M02S-B1-0080</t>
        </is>
      </c>
      <c r="B52" s="35" t="n">
        <v>288.15</v>
      </c>
      <c r="C52" s="35" t="n">
        <v>384.375</v>
      </c>
      <c r="D52" s="39" t="inlineStr">
        <is>
          <t>Corregible</t>
        </is>
      </c>
      <c r="E52" s="29" t="n">
        <v>9.71299299102539</v>
      </c>
      <c r="F52" s="35" t="n">
        <v>31.27031981834736</v>
      </c>
      <c r="G52" s="36" t="n">
        <v>2615.625</v>
      </c>
      <c r="H52" s="29" t="n">
        <v>7.804878048780488</v>
      </c>
      <c r="I52" s="16" t="inlineStr">
        <is>
          <t>no</t>
        </is>
      </c>
      <c r="J52" s="16" t="inlineStr">
        <is>
          <t>O2</t>
        </is>
      </c>
      <c r="K52" s="16" t="inlineStr">
        <is>
          <t>bisección</t>
        </is>
      </c>
    </row>
    <row r="53">
      <c r="A53" s="16" t="inlineStr">
        <is>
          <t>KF-M02S-B1-0085</t>
        </is>
      </c>
      <c r="B53" s="35" t="n">
        <v>288.15</v>
      </c>
      <c r="C53" s="35" t="n">
        <v>384.375</v>
      </c>
      <c r="D53" s="39" t="inlineStr">
        <is>
          <t>Corregible</t>
        </is>
      </c>
      <c r="E53" s="29" t="n">
        <v>9.71299299102539</v>
      </c>
      <c r="F53" s="35" t="n">
        <v>31.27031981834736</v>
      </c>
      <c r="G53" s="36" t="n">
        <v>2615.625</v>
      </c>
      <c r="H53" s="29" t="n">
        <v>7.804878048780488</v>
      </c>
      <c r="I53" s="16" t="inlineStr">
        <is>
          <t>no</t>
        </is>
      </c>
      <c r="J53" s="16" t="inlineStr">
        <is>
          <t>O2</t>
        </is>
      </c>
      <c r="K53" s="16" t="inlineStr">
        <is>
          <t>bisección</t>
        </is>
      </c>
    </row>
    <row r="54">
      <c r="A54" s="16" t="inlineStr">
        <is>
          <t>KF-M02S-B1-0074</t>
        </is>
      </c>
      <c r="B54" s="35" t="n">
        <v>288.15</v>
      </c>
      <c r="C54" s="35" t="n">
        <v>393.75</v>
      </c>
      <c r="D54" s="42" t="inlineStr">
        <is>
          <t>KALINA</t>
        </is>
      </c>
      <c r="E54" s="29" t="n">
        <v>9.606043872636221</v>
      </c>
      <c r="F54" s="35" t="n">
        <v>30.92389613161344</v>
      </c>
      <c r="G54" s="36" t="n">
        <v>2606.25</v>
      </c>
      <c r="H54" s="29" t="n">
        <v>7.619047619047619</v>
      </c>
      <c r="I54" s="16" t="inlineStr">
        <is>
          <t>no</t>
        </is>
      </c>
      <c r="J54" s="16" t="n"/>
      <c r="K54" s="16" t="inlineStr">
        <is>
          <t>bisección</t>
        </is>
      </c>
    </row>
    <row r="55">
      <c r="A55" s="16" t="inlineStr">
        <is>
          <t>KF-M02S-B1-0079</t>
        </is>
      </c>
      <c r="B55" s="35" t="n">
        <v>288.15</v>
      </c>
      <c r="C55" s="35" t="n">
        <v>393.75</v>
      </c>
      <c r="D55" s="42" t="inlineStr">
        <is>
          <t>KALINA</t>
        </is>
      </c>
      <c r="E55" s="29" t="n">
        <v>9.606043872636221</v>
      </c>
      <c r="F55" s="35" t="n">
        <v>30.92389613161344</v>
      </c>
      <c r="G55" s="36" t="n">
        <v>2606.25</v>
      </c>
      <c r="H55" s="29" t="n">
        <v>7.619047619047619</v>
      </c>
      <c r="I55" s="16" t="inlineStr">
        <is>
          <t>no</t>
        </is>
      </c>
      <c r="J55" s="16" t="n"/>
      <c r="K55" s="16" t="inlineStr">
        <is>
          <t>bisección</t>
        </is>
      </c>
    </row>
    <row r="56">
      <c r="A56" s="16" t="inlineStr">
        <is>
          <t>KF-M02S-B1-0063</t>
        </is>
      </c>
      <c r="B56" s="35" t="n">
        <v>288.15</v>
      </c>
      <c r="C56" s="35" t="n">
        <v>412.5</v>
      </c>
      <c r="D56" s="42" t="inlineStr">
        <is>
          <t>KALINA</t>
        </is>
      </c>
      <c r="E56" s="29" t="n">
        <v>9.397284267035969</v>
      </c>
      <c r="F56" s="35" t="n">
        <v>30.24770286732903</v>
      </c>
      <c r="G56" s="36" t="n">
        <v>2587.5</v>
      </c>
      <c r="H56" s="29" t="n">
        <v>7.272727272727272</v>
      </c>
      <c r="I56" s="16" t="inlineStr">
        <is>
          <t>no</t>
        </is>
      </c>
      <c r="J56" s="16" t="n"/>
      <c r="K56" s="16" t="inlineStr">
        <is>
          <t>bisección</t>
        </is>
      </c>
    </row>
    <row r="57">
      <c r="A57" s="16" t="inlineStr">
        <is>
          <t>KF-M02S-B1-0067</t>
        </is>
      </c>
      <c r="B57" s="35" t="n">
        <v>288.15</v>
      </c>
      <c r="C57" s="35" t="n">
        <v>412.5</v>
      </c>
      <c r="D57" s="42" t="inlineStr">
        <is>
          <t>KALINA</t>
        </is>
      </c>
      <c r="E57" s="29" t="n">
        <v>9.397284267035969</v>
      </c>
      <c r="F57" s="35" t="n">
        <v>30.24770286732903</v>
      </c>
      <c r="G57" s="36" t="n">
        <v>2587.5</v>
      </c>
      <c r="H57" s="29" t="n">
        <v>7.272727272727272</v>
      </c>
      <c r="I57" s="16" t="inlineStr">
        <is>
          <t>no</t>
        </is>
      </c>
      <c r="J57" s="16" t="n"/>
      <c r="K57" s="16" t="inlineStr">
        <is>
          <t>bisección</t>
        </is>
      </c>
    </row>
    <row r="58">
      <c r="A58" s="16" t="inlineStr">
        <is>
          <t>KF-M02S-B1-0021</t>
        </is>
      </c>
      <c r="B58" s="35" t="n">
        <v>288.15</v>
      </c>
      <c r="C58" s="35" t="n">
        <v>450</v>
      </c>
      <c r="D58" s="42" t="inlineStr">
        <is>
          <t>KALINA</t>
        </is>
      </c>
      <c r="E58" s="29" t="n">
        <v>9.00398199146481</v>
      </c>
      <c r="F58" s="35" t="n">
        <v>28.97430737673782</v>
      </c>
      <c r="G58" s="36" t="n">
        <v>2550</v>
      </c>
      <c r="H58" s="29" t="n">
        <v>6.666666666666667</v>
      </c>
      <c r="I58" s="16" t="inlineStr">
        <is>
          <t>no</t>
        </is>
      </c>
      <c r="J58" s="16" t="n"/>
      <c r="K58" s="16" t="inlineStr">
        <is>
          <t>malla</t>
        </is>
      </c>
    </row>
    <row r="59">
      <c r="A59" s="16" t="inlineStr">
        <is>
          <t>KF-M02S-B1-0022</t>
        </is>
      </c>
      <c r="B59" s="35" t="n">
        <v>288.15</v>
      </c>
      <c r="C59" s="35" t="n">
        <v>600</v>
      </c>
      <c r="D59" s="42" t="inlineStr">
        <is>
          <t>KALINA</t>
        </is>
      </c>
      <c r="E59" s="29" t="n">
        <v>7.67890936591449</v>
      </c>
      <c r="F59" s="35" t="n">
        <v>24.68935655388631</v>
      </c>
      <c r="G59" s="36" t="n">
        <v>2400</v>
      </c>
      <c r="H59" s="29" t="n">
        <v>5</v>
      </c>
      <c r="I59" s="16" t="inlineStr">
        <is>
          <t>no</t>
        </is>
      </c>
      <c r="J59" s="16" t="n"/>
      <c r="K59" s="16" t="inlineStr">
        <is>
          <t>malla</t>
        </is>
      </c>
    </row>
    <row r="60">
      <c r="A60" s="16" t="inlineStr">
        <is>
          <t>KF-M02S-B1-0024</t>
        </is>
      </c>
      <c r="B60" s="35" t="n">
        <v>288.15</v>
      </c>
      <c r="C60" s="35" t="n">
        <v>750</v>
      </c>
      <c r="D60" s="42" t="inlineStr">
        <is>
          <t>KALINA</t>
        </is>
      </c>
      <c r="E60" s="29" t="n">
        <v>6.627977996100411</v>
      </c>
      <c r="F60" s="35" t="n">
        <v>21.29655463159476</v>
      </c>
      <c r="G60" s="36" t="n">
        <v>2250</v>
      </c>
      <c r="H60" s="29" t="n">
        <v>4</v>
      </c>
      <c r="I60" s="16" t="inlineStr">
        <is>
          <t>no</t>
        </is>
      </c>
      <c r="J60" s="16" t="n"/>
      <c r="K60" s="16" t="inlineStr">
        <is>
          <t>malla</t>
        </is>
      </c>
    </row>
    <row r="61">
      <c r="A61" s="16" t="inlineStr">
        <is>
          <t>KF-M02S-B1-0025</t>
        </is>
      </c>
      <c r="B61" s="35" t="n">
        <v>288.15</v>
      </c>
      <c r="C61" s="35" t="n">
        <v>900</v>
      </c>
      <c r="D61" s="42" t="inlineStr">
        <is>
          <t>KALINA</t>
        </is>
      </c>
      <c r="E61" s="29" t="n">
        <v>5.75718112684901</v>
      </c>
      <c r="F61" s="35" t="n">
        <v>18.48897739931245</v>
      </c>
      <c r="G61" s="36" t="n">
        <v>2100</v>
      </c>
      <c r="H61" s="29" t="n">
        <v>3.333333333333333</v>
      </c>
      <c r="I61" s="16" t="inlineStr">
        <is>
          <t>no</t>
        </is>
      </c>
      <c r="J61" s="16" t="n"/>
      <c r="K61" s="16" t="inlineStr">
        <is>
          <t>malla</t>
        </is>
      </c>
    </row>
    <row r="62">
      <c r="A62" s="16" t="inlineStr">
        <is>
          <t>KF-M02S-B1-0027</t>
        </is>
      </c>
      <c r="B62" s="35" t="n">
        <v>288.15</v>
      </c>
      <c r="C62" s="35" t="n">
        <v>1050</v>
      </c>
      <c r="D62" s="42" t="inlineStr">
        <is>
          <t>KALINA</t>
        </is>
      </c>
      <c r="E62" s="29" t="n">
        <v>5.01449531407823</v>
      </c>
      <c r="F62" s="35" t="n">
        <v>16.09700932498765</v>
      </c>
      <c r="G62" s="36" t="n">
        <v>1950</v>
      </c>
      <c r="H62" s="29" t="n">
        <v>2.857142857142857</v>
      </c>
      <c r="I62" s="16" t="inlineStr">
        <is>
          <t>no</t>
        </is>
      </c>
      <c r="J62" s="16" t="n"/>
      <c r="K62" s="16" t="inlineStr">
        <is>
          <t>malla</t>
        </is>
      </c>
    </row>
    <row r="63">
      <c r="A63" s="16" t="inlineStr">
        <is>
          <t>KF-M02S-B1-0029</t>
        </is>
      </c>
      <c r="B63" s="35" t="n">
        <v>288.15</v>
      </c>
      <c r="C63" s="35" t="n">
        <v>1200</v>
      </c>
      <c r="D63" s="42" t="inlineStr">
        <is>
          <t>KALINA</t>
        </is>
      </c>
      <c r="E63" s="29" t="n">
        <v>4.36794032575431</v>
      </c>
      <c r="F63" s="35" t="n">
        <v>14.01650770112492</v>
      </c>
      <c r="G63" s="36" t="n">
        <v>1800</v>
      </c>
      <c r="H63" s="29" t="n">
        <v>2.5</v>
      </c>
      <c r="I63" s="16" t="inlineStr">
        <is>
          <t>no</t>
        </is>
      </c>
      <c r="J63" s="16" t="n"/>
      <c r="K63" s="16" t="inlineStr">
        <is>
          <t>malla</t>
        </is>
      </c>
    </row>
    <row r="64">
      <c r="A64" s="16" t="inlineStr">
        <is>
          <t>KF-M02S-B1-0026</t>
        </is>
      </c>
      <c r="B64" s="35" t="n">
        <v>288.15</v>
      </c>
      <c r="C64" s="35" t="n">
        <v>1350</v>
      </c>
      <c r="D64" s="42" t="inlineStr">
        <is>
          <t>KALINA</t>
        </is>
      </c>
      <c r="E64" s="29" t="n">
        <v>3.79637831149736</v>
      </c>
      <c r="F64" s="35" t="n">
        <v>12.17871037856786</v>
      </c>
      <c r="G64" s="36" t="n">
        <v>1650</v>
      </c>
      <c r="H64" s="29" t="n">
        <v>2.222222222222222</v>
      </c>
      <c r="I64" s="16" t="inlineStr">
        <is>
          <t>no</t>
        </is>
      </c>
      <c r="J64" s="16" t="n"/>
      <c r="K64" s="16" t="inlineStr">
        <is>
          <t>malla</t>
        </is>
      </c>
    </row>
    <row r="65">
      <c r="A65" s="16" t="inlineStr">
        <is>
          <t>KF-M02S-B1-0028</t>
        </is>
      </c>
      <c r="B65" s="35" t="n">
        <v>288.15</v>
      </c>
      <c r="C65" s="35" t="n">
        <v>1500</v>
      </c>
      <c r="D65" s="42" t="inlineStr">
        <is>
          <t>KALINA</t>
        </is>
      </c>
      <c r="E65" s="29" t="n">
        <v>3.28507223356427</v>
      </c>
      <c r="F65" s="35" t="n">
        <v>10.53572289228107</v>
      </c>
      <c r="G65" s="36" t="n">
        <v>1500</v>
      </c>
      <c r="H65" s="29" t="n">
        <v>2</v>
      </c>
      <c r="I65" s="16" t="inlineStr">
        <is>
          <t>no</t>
        </is>
      </c>
      <c r="J65" s="16" t="n"/>
      <c r="K65" s="16" t="inlineStr">
        <is>
          <t>malla</t>
        </is>
      </c>
    </row>
    <row r="66">
      <c r="A66" s="16" t="inlineStr">
        <is>
          <t>KF-M02S-B1-0034</t>
        </is>
      </c>
      <c r="B66" s="35" t="n">
        <v>293.15</v>
      </c>
      <c r="C66" s="35" t="n">
        <v>150</v>
      </c>
      <c r="D66" s="40" t="inlineStr">
        <is>
          <t>Inviable</t>
        </is>
      </c>
      <c r="E66" s="29" t="n">
        <v>-8.35157713807928</v>
      </c>
      <c r="F66" s="35" t="n">
        <v>-17.99855788303107</v>
      </c>
      <c r="G66" s="36" t="n">
        <v>2850</v>
      </c>
      <c r="H66" s="29" t="n">
        <v>20</v>
      </c>
      <c r="I66" s="16" t="inlineStr">
        <is>
          <t>no</t>
        </is>
      </c>
      <c r="J66" s="16" t="inlineStr">
        <is>
          <t>O2,O3</t>
        </is>
      </c>
      <c r="K66" s="16" t="inlineStr">
        <is>
          <t>malla</t>
        </is>
      </c>
    </row>
    <row r="67">
      <c r="A67" s="16" t="inlineStr">
        <is>
          <t>KF-M02S-B1-0030</t>
        </is>
      </c>
      <c r="B67" s="35" t="n">
        <v>293.15</v>
      </c>
      <c r="C67" s="35" t="n">
        <v>300</v>
      </c>
      <c r="D67" s="39" t="inlineStr">
        <is>
          <t>Corregible</t>
        </is>
      </c>
      <c r="E67" s="29" t="n">
        <v>10.70218492853048</v>
      </c>
      <c r="F67" s="35" t="n">
        <v>33.7264345081734</v>
      </c>
      <c r="G67" s="36" t="n">
        <v>2700</v>
      </c>
      <c r="H67" s="29" t="n">
        <v>10</v>
      </c>
      <c r="I67" s="16" t="inlineStr">
        <is>
          <t>no</t>
        </is>
      </c>
      <c r="J67" s="16" t="inlineStr">
        <is>
          <t>O2</t>
        </is>
      </c>
      <c r="K67" s="16" t="inlineStr">
        <is>
          <t>malla</t>
        </is>
      </c>
    </row>
    <row r="68">
      <c r="A68" s="16" t="inlineStr">
        <is>
          <t>KF-M02S-B1-0031</t>
        </is>
      </c>
      <c r="B68" s="35" t="n">
        <v>293.15</v>
      </c>
      <c r="C68" s="35" t="n">
        <v>450</v>
      </c>
      <c r="D68" s="39" t="inlineStr">
        <is>
          <t>Corregible</t>
        </is>
      </c>
      <c r="E68" s="29" t="n">
        <v>9.23879494144408</v>
      </c>
      <c r="F68" s="35" t="n">
        <v>29.12130104228657</v>
      </c>
      <c r="G68" s="36" t="n">
        <v>2550</v>
      </c>
      <c r="H68" s="29" t="n">
        <v>6.666666666666667</v>
      </c>
      <c r="I68" s="16" t="inlineStr">
        <is>
          <t>no</t>
        </is>
      </c>
      <c r="J68" s="16" t="inlineStr">
        <is>
          <t>O2</t>
        </is>
      </c>
      <c r="K68" s="16" t="inlineStr">
        <is>
          <t>malla</t>
        </is>
      </c>
    </row>
    <row r="69">
      <c r="A69" s="16" t="inlineStr">
        <is>
          <t>KF-M02S-B1-0088</t>
        </is>
      </c>
      <c r="B69" s="35" t="n">
        <v>293.15</v>
      </c>
      <c r="C69" s="35" t="n">
        <v>459.375</v>
      </c>
      <c r="D69" s="42" t="inlineStr">
        <is>
          <t>KALINA</t>
        </is>
      </c>
      <c r="E69" s="29" t="n">
        <v>9.143077277027931</v>
      </c>
      <c r="F69" s="35" t="n">
        <v>28.81784144601271</v>
      </c>
      <c r="G69" s="36" t="n">
        <v>2540.625</v>
      </c>
      <c r="H69" s="29" t="n">
        <v>6.530612244897959</v>
      </c>
      <c r="I69" s="16" t="inlineStr">
        <is>
          <t>no</t>
        </is>
      </c>
      <c r="J69" s="16" t="n"/>
      <c r="K69" s="16" t="inlineStr">
        <is>
          <t>bisección</t>
        </is>
      </c>
    </row>
    <row r="70">
      <c r="A70" s="16" t="inlineStr">
        <is>
          <t>KF-M02S-B1-0089</t>
        </is>
      </c>
      <c r="B70" s="35" t="n">
        <v>293.15</v>
      </c>
      <c r="C70" s="35" t="n">
        <v>459.375</v>
      </c>
      <c r="D70" s="42" t="inlineStr">
        <is>
          <t>KALINA</t>
        </is>
      </c>
      <c r="E70" s="29" t="n">
        <v>9.143077277027931</v>
      </c>
      <c r="F70" s="35" t="n">
        <v>28.81784144601271</v>
      </c>
      <c r="G70" s="36" t="n">
        <v>2540.625</v>
      </c>
      <c r="H70" s="29" t="n">
        <v>6.530612244897959</v>
      </c>
      <c r="I70" s="16" t="inlineStr">
        <is>
          <t>no</t>
        </is>
      </c>
      <c r="J70" s="16" t="n"/>
      <c r="K70" s="16" t="inlineStr">
        <is>
          <t>bisección</t>
        </is>
      </c>
    </row>
    <row r="71">
      <c r="A71" s="16" t="inlineStr">
        <is>
          <t>KF-M02S-B1-0076</t>
        </is>
      </c>
      <c r="B71" s="35" t="n">
        <v>293.15</v>
      </c>
      <c r="C71" s="35" t="n">
        <v>468.75</v>
      </c>
      <c r="D71" s="42" t="inlineStr">
        <is>
          <t>KALINA</t>
        </is>
      </c>
      <c r="E71" s="29" t="n">
        <v>9.048642251879761</v>
      </c>
      <c r="F71" s="35" t="n">
        <v>28.51844792204543</v>
      </c>
      <c r="G71" s="36" t="n">
        <v>2531.25</v>
      </c>
      <c r="H71" s="29" t="n">
        <v>6.4</v>
      </c>
      <c r="I71" s="16" t="inlineStr">
        <is>
          <t>no</t>
        </is>
      </c>
      <c r="J71" s="16" t="n"/>
      <c r="K71" s="16" t="inlineStr">
        <is>
          <t>bisección</t>
        </is>
      </c>
    </row>
    <row r="72">
      <c r="A72" s="16" t="inlineStr">
        <is>
          <t>KF-M02S-B1-0077</t>
        </is>
      </c>
      <c r="B72" s="35" t="n">
        <v>293.15</v>
      </c>
      <c r="C72" s="35" t="n">
        <v>468.75</v>
      </c>
      <c r="D72" s="42" t="inlineStr">
        <is>
          <t>KALINA</t>
        </is>
      </c>
      <c r="E72" s="29" t="n">
        <v>9.048642251879761</v>
      </c>
      <c r="F72" s="35" t="n">
        <v>28.51844792204543</v>
      </c>
      <c r="G72" s="36" t="n">
        <v>2531.25</v>
      </c>
      <c r="H72" s="29" t="n">
        <v>6.4</v>
      </c>
      <c r="I72" s="16" t="inlineStr">
        <is>
          <t>no</t>
        </is>
      </c>
      <c r="J72" s="16" t="n"/>
      <c r="K72" s="16" t="inlineStr">
        <is>
          <t>bisección</t>
        </is>
      </c>
    </row>
    <row r="73">
      <c r="A73" s="16" t="inlineStr">
        <is>
          <t>KF-M02S-B1-0065</t>
        </is>
      </c>
      <c r="B73" s="35" t="n">
        <v>293.15</v>
      </c>
      <c r="C73" s="35" t="n">
        <v>487.5</v>
      </c>
      <c r="D73" s="42" t="inlineStr">
        <is>
          <t>KALINA</t>
        </is>
      </c>
      <c r="E73" s="29" t="n">
        <v>8.864755004818189</v>
      </c>
      <c r="F73" s="35" t="n">
        <v>27.93557384109969</v>
      </c>
      <c r="G73" s="36" t="n">
        <v>2512.5</v>
      </c>
      <c r="H73" s="29" t="n">
        <v>6.153846153846154</v>
      </c>
      <c r="I73" s="16" t="inlineStr">
        <is>
          <t>no</t>
        </is>
      </c>
      <c r="J73" s="16" t="n"/>
      <c r="K73" s="16" t="inlineStr">
        <is>
          <t>bisección</t>
        </is>
      </c>
    </row>
    <row r="74">
      <c r="A74" s="16" t="inlineStr">
        <is>
          <t>KF-M02S-B1-0066</t>
        </is>
      </c>
      <c r="B74" s="35" t="n">
        <v>293.15</v>
      </c>
      <c r="C74" s="35" t="n">
        <v>487.5</v>
      </c>
      <c r="D74" s="42" t="inlineStr">
        <is>
          <t>KALINA</t>
        </is>
      </c>
      <c r="E74" s="29" t="n">
        <v>8.864755004818189</v>
      </c>
      <c r="F74" s="35" t="n">
        <v>27.93557384109969</v>
      </c>
      <c r="G74" s="36" t="n">
        <v>2512.5</v>
      </c>
      <c r="H74" s="29" t="n">
        <v>6.153846153846154</v>
      </c>
      <c r="I74" s="16" t="inlineStr">
        <is>
          <t>no</t>
        </is>
      </c>
      <c r="J74" s="16" t="n"/>
      <c r="K74" s="16" t="inlineStr">
        <is>
          <t>bisección</t>
        </is>
      </c>
    </row>
    <row r="75">
      <c r="A75" s="16" t="inlineStr">
        <is>
          <t>KF-M02S-B1-0056</t>
        </is>
      </c>
      <c r="B75" s="35" t="n">
        <v>293.15</v>
      </c>
      <c r="C75" s="35" t="n">
        <v>525</v>
      </c>
      <c r="D75" s="42" t="inlineStr">
        <is>
          <t>KALINA</t>
        </is>
      </c>
      <c r="E75" s="29" t="n">
        <v>8.51534220419717</v>
      </c>
      <c r="F75" s="35" t="n">
        <v>26.82844731547565</v>
      </c>
      <c r="G75" s="36" t="n">
        <v>2475</v>
      </c>
      <c r="H75" s="29" t="n">
        <v>5.714285714285714</v>
      </c>
      <c r="I75" s="16" t="inlineStr">
        <is>
          <t>no</t>
        </is>
      </c>
      <c r="J75" s="16" t="n"/>
      <c r="K75" s="16" t="inlineStr">
        <is>
          <t>bisección</t>
        </is>
      </c>
    </row>
    <row r="76">
      <c r="A76" s="16" t="inlineStr">
        <is>
          <t>KF-M02S-B1-0057</t>
        </is>
      </c>
      <c r="B76" s="35" t="n">
        <v>293.15</v>
      </c>
      <c r="C76" s="35" t="n">
        <v>525</v>
      </c>
      <c r="D76" s="42" t="inlineStr">
        <is>
          <t>KALINA</t>
        </is>
      </c>
      <c r="E76" s="29" t="n">
        <v>8.51534220419717</v>
      </c>
      <c r="F76" s="35" t="n">
        <v>26.82844731547565</v>
      </c>
      <c r="G76" s="36" t="n">
        <v>2475</v>
      </c>
      <c r="H76" s="29" t="n">
        <v>5.714285714285714</v>
      </c>
      <c r="I76" s="16" t="inlineStr">
        <is>
          <t>no</t>
        </is>
      </c>
      <c r="J76" s="16" t="n"/>
      <c r="K76" s="16" t="inlineStr">
        <is>
          <t>bisección</t>
        </is>
      </c>
    </row>
    <row r="77">
      <c r="A77" s="16" t="inlineStr">
        <is>
          <t>KF-M02S-B1-0032</t>
        </is>
      </c>
      <c r="B77" s="35" t="n">
        <v>293.15</v>
      </c>
      <c r="C77" s="35" t="n">
        <v>600</v>
      </c>
      <c r="D77" s="42" t="inlineStr">
        <is>
          <t>KALINA</t>
        </is>
      </c>
      <c r="E77" s="29" t="n">
        <v>7.87959028658678</v>
      </c>
      <c r="F77" s="35" t="n">
        <v>24.81544763357127</v>
      </c>
      <c r="G77" s="36" t="n">
        <v>2400</v>
      </c>
      <c r="H77" s="29" t="n">
        <v>5</v>
      </c>
      <c r="I77" s="16" t="inlineStr">
        <is>
          <t>no</t>
        </is>
      </c>
      <c r="J77" s="16" t="n"/>
      <c r="K77" s="16" t="inlineStr">
        <is>
          <t>malla</t>
        </is>
      </c>
    </row>
    <row r="78">
      <c r="A78" s="16" t="inlineStr">
        <is>
          <t>KF-M02S-B1-0033</t>
        </is>
      </c>
      <c r="B78" s="35" t="n">
        <v>293.15</v>
      </c>
      <c r="C78" s="35" t="n">
        <v>750</v>
      </c>
      <c r="D78" s="42" t="inlineStr">
        <is>
          <t>KALINA</t>
        </is>
      </c>
      <c r="E78" s="29" t="n">
        <v>6.801211374533351</v>
      </c>
      <c r="F78" s="35" t="n">
        <v>21.40502459549124</v>
      </c>
      <c r="G78" s="36" t="n">
        <v>2250</v>
      </c>
      <c r="H78" s="29" t="n">
        <v>4</v>
      </c>
      <c r="I78" s="16" t="inlineStr">
        <is>
          <t>no</t>
        </is>
      </c>
      <c r="J78" s="16" t="n"/>
      <c r="K78" s="16" t="inlineStr">
        <is>
          <t>malla</t>
        </is>
      </c>
    </row>
    <row r="79">
      <c r="A79" s="16" t="inlineStr">
        <is>
          <t>KF-M02S-B1-0035</t>
        </is>
      </c>
      <c r="B79" s="35" t="n">
        <v>293.15</v>
      </c>
      <c r="C79" s="35" t="n">
        <v>900</v>
      </c>
      <c r="D79" s="42" t="inlineStr">
        <is>
          <t>KALINA</t>
        </is>
      </c>
      <c r="E79" s="29" t="n">
        <v>5.907663730663789</v>
      </c>
      <c r="F79" s="35" t="n">
        <v>18.58294102001982</v>
      </c>
      <c r="G79" s="36" t="n">
        <v>2100</v>
      </c>
      <c r="H79" s="29" t="n">
        <v>3.333333333333333</v>
      </c>
      <c r="I79" s="16" t="inlineStr">
        <is>
          <t>no</t>
        </is>
      </c>
      <c r="J79" s="16" t="n"/>
      <c r="K79" s="16" t="inlineStr">
        <is>
          <t>malla</t>
        </is>
      </c>
    </row>
    <row r="80">
      <c r="A80" s="16" t="inlineStr">
        <is>
          <t>KF-M02S-B1-0036</t>
        </is>
      </c>
      <c r="B80" s="35" t="n">
        <v>293.15</v>
      </c>
      <c r="C80" s="35" t="n">
        <v>1050</v>
      </c>
      <c r="D80" s="42" t="inlineStr">
        <is>
          <t>KALINA</t>
        </is>
      </c>
      <c r="E80" s="29" t="n">
        <v>5.14556859603598</v>
      </c>
      <c r="F80" s="35" t="n">
        <v>16.1786644969544</v>
      </c>
      <c r="G80" s="36" t="n">
        <v>1950</v>
      </c>
      <c r="H80" s="29" t="n">
        <v>2.857142857142857</v>
      </c>
      <c r="I80" s="16" t="inlineStr">
        <is>
          <t>no</t>
        </is>
      </c>
      <c r="J80" s="16" t="n"/>
      <c r="K80" s="16" t="inlineStr">
        <is>
          <t>malla</t>
        </is>
      </c>
    </row>
    <row r="81">
      <c r="A81" s="16" t="inlineStr">
        <is>
          <t>KF-M02S-B1-0037</t>
        </is>
      </c>
      <c r="B81" s="35" t="n">
        <v>293.15</v>
      </c>
      <c r="C81" s="35" t="n">
        <v>1200</v>
      </c>
      <c r="D81" s="42" t="inlineStr">
        <is>
          <t>KALINA</t>
        </is>
      </c>
      <c r="E81" s="29" t="n">
        <v>4.48211270099348</v>
      </c>
      <c r="F81" s="35" t="n">
        <v>14.08749335462489</v>
      </c>
      <c r="G81" s="36" t="n">
        <v>1800</v>
      </c>
      <c r="H81" s="29" t="n">
        <v>2.5</v>
      </c>
      <c r="I81" s="16" t="inlineStr">
        <is>
          <t>no</t>
        </is>
      </c>
      <c r="J81" s="16" t="n"/>
      <c r="K81" s="16" t="inlineStr">
        <is>
          <t>malla</t>
        </is>
      </c>
    </row>
    <row r="82">
      <c r="A82" s="16" t="inlineStr">
        <is>
          <t>KF-M02S-B1-0038</t>
        </is>
      </c>
      <c r="B82" s="35" t="n">
        <v>293.15</v>
      </c>
      <c r="C82" s="35" t="n">
        <v>1350</v>
      </c>
      <c r="D82" s="42" t="inlineStr">
        <is>
          <t>KALINA</t>
        </is>
      </c>
      <c r="E82" s="29" t="n">
        <v>3.89560759737661</v>
      </c>
      <c r="F82" s="35" t="n">
        <v>12.24029854552899</v>
      </c>
      <c r="G82" s="36" t="n">
        <v>1650</v>
      </c>
      <c r="H82" s="29" t="n">
        <v>2.222222222222222</v>
      </c>
      <c r="I82" s="16" t="inlineStr">
        <is>
          <t>no</t>
        </is>
      </c>
      <c r="J82" s="16" t="n"/>
      <c r="K82" s="16" t="inlineStr">
        <is>
          <t>malla</t>
        </is>
      </c>
    </row>
    <row r="83">
      <c r="A83" s="16" t="inlineStr">
        <is>
          <t>KF-M02S-B1-0039</t>
        </is>
      </c>
      <c r="B83" s="35" t="n">
        <v>293.15</v>
      </c>
      <c r="C83" s="35" t="n">
        <v>1500</v>
      </c>
      <c r="D83" s="42" t="inlineStr">
        <is>
          <t>KALINA</t>
        </is>
      </c>
      <c r="E83" s="29" t="n">
        <v>3.37093060808711</v>
      </c>
      <c r="F83" s="35" t="n">
        <v>10.58893005737616</v>
      </c>
      <c r="G83" s="36" t="n">
        <v>1500</v>
      </c>
      <c r="H83" s="29" t="n">
        <v>2</v>
      </c>
      <c r="I83" s="16" t="inlineStr">
        <is>
          <t>no</t>
        </is>
      </c>
      <c r="J83" s="16" t="n"/>
      <c r="K83" s="16" t="inlineStr">
        <is>
          <t>malla</t>
        </is>
      </c>
    </row>
    <row r="84">
      <c r="A84" s="16" t="inlineStr">
        <is>
          <t>KF-M02S-B1-0040</t>
        </is>
      </c>
      <c r="B84" s="35" t="n">
        <v>300.032917</v>
      </c>
      <c r="C84" s="35" t="n">
        <v>150</v>
      </c>
      <c r="D84" s="40" t="inlineStr">
        <is>
          <t>Inviable</t>
        </is>
      </c>
      <c r="E84" s="29" t="n">
        <v>-40.37130861728543</v>
      </c>
      <c r="F84" s="35" t="n">
        <v>-53.8293307599943</v>
      </c>
      <c r="G84" s="36" t="n">
        <v>2850</v>
      </c>
      <c r="H84" s="29" t="n">
        <v>20</v>
      </c>
      <c r="I84" s="16" t="inlineStr">
        <is>
          <t>no</t>
        </is>
      </c>
      <c r="J84" s="16" t="inlineStr">
        <is>
          <t>O2,O3</t>
        </is>
      </c>
      <c r="K84" s="16" t="inlineStr">
        <is>
          <t>malla</t>
        </is>
      </c>
    </row>
    <row r="85">
      <c r="A85" s="16" t="inlineStr">
        <is>
          <t>KF-M02S-B1-0041</t>
        </is>
      </c>
      <c r="B85" s="35" t="n">
        <v>300.032917</v>
      </c>
      <c r="C85" s="35" t="n">
        <v>300</v>
      </c>
      <c r="D85" s="39" t="inlineStr">
        <is>
          <t>Corregible</t>
        </is>
      </c>
      <c r="E85" s="29" t="n">
        <v>9.31735608031927</v>
      </c>
      <c r="F85" s="35" t="n">
        <v>26.21501198323617</v>
      </c>
      <c r="G85" s="36" t="n">
        <v>2700</v>
      </c>
      <c r="H85" s="29" t="n">
        <v>10</v>
      </c>
      <c r="I85" s="16" t="inlineStr">
        <is>
          <t>no</t>
        </is>
      </c>
      <c r="J85" s="16" t="inlineStr">
        <is>
          <t>O2</t>
        </is>
      </c>
      <c r="K85" s="16" t="inlineStr">
        <is>
          <t>malla</t>
        </is>
      </c>
    </row>
    <row r="86">
      <c r="A86" s="16" t="inlineStr">
        <is>
          <t>KF-M02S-B1-0042</t>
        </is>
      </c>
      <c r="B86" s="35" t="n">
        <v>300.032917</v>
      </c>
      <c r="C86" s="35" t="n">
        <v>450</v>
      </c>
      <c r="D86" s="39" t="inlineStr">
        <is>
          <t>Corregible</t>
        </is>
      </c>
      <c r="E86" s="29" t="n">
        <v>9.46623090994277</v>
      </c>
      <c r="F86" s="35" t="n">
        <v>28.96031107589675</v>
      </c>
      <c r="G86" s="36" t="n">
        <v>2550</v>
      </c>
      <c r="H86" s="29" t="n">
        <v>6.666666666666667</v>
      </c>
      <c r="I86" s="16" t="inlineStr">
        <is>
          <t>no</t>
        </is>
      </c>
      <c r="J86" s="16" t="inlineStr">
        <is>
          <t>O2</t>
        </is>
      </c>
      <c r="K86" s="16" t="inlineStr">
        <is>
          <t>malla</t>
        </is>
      </c>
    </row>
    <row r="87">
      <c r="A87" s="16" t="inlineStr">
        <is>
          <t>KF-M02S-B1-0058</t>
        </is>
      </c>
      <c r="B87" s="35" t="n">
        <v>300.032917</v>
      </c>
      <c r="C87" s="35" t="n">
        <v>525</v>
      </c>
      <c r="D87" s="39" t="inlineStr">
        <is>
          <t>Corregible</t>
        </is>
      </c>
      <c r="E87" s="29" t="n">
        <v>8.821944050599249</v>
      </c>
      <c r="F87" s="35" t="n">
        <v>26.98696544866856</v>
      </c>
      <c r="G87" s="36" t="n">
        <v>2475</v>
      </c>
      <c r="H87" s="29" t="n">
        <v>5.714285714285714</v>
      </c>
      <c r="I87" s="16" t="inlineStr">
        <is>
          <t>no</t>
        </is>
      </c>
      <c r="J87" s="16" t="inlineStr">
        <is>
          <t>O2</t>
        </is>
      </c>
      <c r="K87" s="16" t="inlineStr">
        <is>
          <t>bisección</t>
        </is>
      </c>
    </row>
    <row r="88">
      <c r="A88" s="16" t="inlineStr">
        <is>
          <t>KF-M02S-B1-0059</t>
        </is>
      </c>
      <c r="B88" s="35" t="n">
        <v>300.032917</v>
      </c>
      <c r="C88" s="35" t="n">
        <v>525</v>
      </c>
      <c r="D88" s="39" t="inlineStr">
        <is>
          <t>Corregible</t>
        </is>
      </c>
      <c r="E88" s="29" t="n">
        <v>8.821944050599249</v>
      </c>
      <c r="F88" s="35" t="n">
        <v>26.98696544866856</v>
      </c>
      <c r="G88" s="36" t="n">
        <v>2475</v>
      </c>
      <c r="H88" s="29" t="n">
        <v>5.714285714285714</v>
      </c>
      <c r="I88" s="16" t="inlineStr">
        <is>
          <t>no</t>
        </is>
      </c>
      <c r="J88" s="16" t="inlineStr">
        <is>
          <t>O2</t>
        </is>
      </c>
      <c r="K88" s="16" t="inlineStr">
        <is>
          <t>bisección</t>
        </is>
      </c>
    </row>
    <row r="89">
      <c r="A89" s="16" t="inlineStr">
        <is>
          <t>KF-M02S-B1-0075</t>
        </is>
      </c>
      <c r="B89" s="35" t="n">
        <v>300.032917</v>
      </c>
      <c r="C89" s="35" t="n">
        <v>543.75</v>
      </c>
      <c r="D89" s="39" t="inlineStr">
        <is>
          <t>Corregible</t>
        </is>
      </c>
      <c r="E89" s="29" t="n">
        <v>8.65727600002319</v>
      </c>
      <c r="F89" s="35" t="n">
        <v>26.48109832429025</v>
      </c>
      <c r="G89" s="36" t="n">
        <v>2456.25</v>
      </c>
      <c r="H89" s="29" t="n">
        <v>5.517241379310345</v>
      </c>
      <c r="I89" s="16" t="inlineStr">
        <is>
          <t>no</t>
        </is>
      </c>
      <c r="J89" s="16" t="inlineStr">
        <is>
          <t>O2</t>
        </is>
      </c>
      <c r="K89" s="16" t="inlineStr">
        <is>
          <t>bisección</t>
        </is>
      </c>
    </row>
    <row r="90">
      <c r="A90" s="16" t="inlineStr">
        <is>
          <t>KF-M02S-B1-0078</t>
        </is>
      </c>
      <c r="B90" s="35" t="n">
        <v>300.032917</v>
      </c>
      <c r="C90" s="35" t="n">
        <v>543.75</v>
      </c>
      <c r="D90" s="39" t="inlineStr">
        <is>
          <t>Corregible</t>
        </is>
      </c>
      <c r="E90" s="29" t="n">
        <v>8.65727600002319</v>
      </c>
      <c r="F90" s="35" t="n">
        <v>26.48109832429025</v>
      </c>
      <c r="G90" s="36" t="n">
        <v>2456.25</v>
      </c>
      <c r="H90" s="29" t="n">
        <v>5.517241379310345</v>
      </c>
      <c r="I90" s="16" t="inlineStr">
        <is>
          <t>no</t>
        </is>
      </c>
      <c r="J90" s="16" t="inlineStr">
        <is>
          <t>O2</t>
        </is>
      </c>
      <c r="K90" s="16" t="inlineStr">
        <is>
          <t>bisección</t>
        </is>
      </c>
    </row>
    <row r="91">
      <c r="A91" s="16" t="inlineStr">
        <is>
          <t>KF-M02S-B1-0086</t>
        </is>
      </c>
      <c r="B91" s="35" t="n">
        <v>300.032917</v>
      </c>
      <c r="C91" s="35" t="n">
        <v>553.125</v>
      </c>
      <c r="D91" s="39" t="inlineStr">
        <is>
          <t>Corregible</t>
        </is>
      </c>
      <c r="E91" s="29" t="n">
        <v>8.57459118386744</v>
      </c>
      <c r="F91" s="35" t="n">
        <v>26.22692825973288</v>
      </c>
      <c r="G91" s="36" t="n">
        <v>2446.875</v>
      </c>
      <c r="H91" s="29" t="n">
        <v>5.423728813559322</v>
      </c>
      <c r="I91" s="16" t="inlineStr">
        <is>
          <t>no</t>
        </is>
      </c>
      <c r="J91" s="16" t="inlineStr">
        <is>
          <t>O2</t>
        </is>
      </c>
      <c r="K91" s="16" t="inlineStr">
        <is>
          <t>bisección</t>
        </is>
      </c>
    </row>
    <row r="92">
      <c r="A92" s="16" t="inlineStr">
        <is>
          <t>KF-M02S-B1-0087</t>
        </is>
      </c>
      <c r="B92" s="35" t="n">
        <v>300.032917</v>
      </c>
      <c r="C92" s="35" t="n">
        <v>553.125</v>
      </c>
      <c r="D92" s="39" t="inlineStr">
        <is>
          <t>Corregible</t>
        </is>
      </c>
      <c r="E92" s="29" t="n">
        <v>8.57459118386744</v>
      </c>
      <c r="F92" s="35" t="n">
        <v>26.22692825973288</v>
      </c>
      <c r="G92" s="36" t="n">
        <v>2446.875</v>
      </c>
      <c r="H92" s="29" t="n">
        <v>5.423728813559322</v>
      </c>
      <c r="I92" s="16" t="inlineStr">
        <is>
          <t>no</t>
        </is>
      </c>
      <c r="J92" s="16" t="inlineStr">
        <is>
          <t>O2</t>
        </is>
      </c>
      <c r="K92" s="16" t="inlineStr">
        <is>
          <t>bisección</t>
        </is>
      </c>
    </row>
    <row r="93">
      <c r="A93" s="16" t="inlineStr">
        <is>
          <t>KF-M02S-B1-0068</t>
        </is>
      </c>
      <c r="B93" s="35" t="n">
        <v>300.032917</v>
      </c>
      <c r="C93" s="35" t="n">
        <v>562.5</v>
      </c>
      <c r="D93" s="42" t="inlineStr">
        <is>
          <t>KALINA</t>
        </is>
      </c>
      <c r="E93" s="29" t="n">
        <v>8.49185963787032</v>
      </c>
      <c r="F93" s="35" t="n">
        <v>25.97253411041291</v>
      </c>
      <c r="G93" s="36" t="n">
        <v>2437.5</v>
      </c>
      <c r="H93" s="29" t="n">
        <v>5.333333333333333</v>
      </c>
      <c r="I93" s="16" t="inlineStr">
        <is>
          <t>no</t>
        </is>
      </c>
      <c r="J93" s="16" t="n"/>
      <c r="K93" s="16" t="inlineStr">
        <is>
          <t>bisección</t>
        </is>
      </c>
    </row>
    <row r="94">
      <c r="A94" s="16" t="inlineStr">
        <is>
          <t>KF-M02S-B1-0069</t>
        </is>
      </c>
      <c r="B94" s="35" t="n">
        <v>300.032917</v>
      </c>
      <c r="C94" s="35" t="n">
        <v>562.5</v>
      </c>
      <c r="D94" s="42" t="inlineStr">
        <is>
          <t>KALINA</t>
        </is>
      </c>
      <c r="E94" s="29" t="n">
        <v>8.49185963787032</v>
      </c>
      <c r="F94" s="35" t="n">
        <v>25.97253411041291</v>
      </c>
      <c r="G94" s="36" t="n">
        <v>2437.5</v>
      </c>
      <c r="H94" s="29" t="n">
        <v>5.333333333333333</v>
      </c>
      <c r="I94" s="16" t="inlineStr">
        <is>
          <t>no</t>
        </is>
      </c>
      <c r="J94" s="16" t="n"/>
      <c r="K94" s="16" t="inlineStr">
        <is>
          <t>bisección</t>
        </is>
      </c>
    </row>
    <row r="95">
      <c r="A95" s="16" t="inlineStr">
        <is>
          <t>KF-M02S-B1-0043</t>
        </is>
      </c>
      <c r="B95" s="35" t="n">
        <v>300.032917</v>
      </c>
      <c r="C95" s="35" t="n">
        <v>600</v>
      </c>
      <c r="D95" s="42" t="inlineStr">
        <is>
          <t>KALINA</t>
        </is>
      </c>
      <c r="E95" s="29" t="n">
        <v>8.1721892568799</v>
      </c>
      <c r="F95" s="35" t="n">
        <v>24.98977919628529</v>
      </c>
      <c r="G95" s="36" t="n">
        <v>2400</v>
      </c>
      <c r="H95" s="29" t="n">
        <v>5</v>
      </c>
      <c r="I95" s="16" t="inlineStr">
        <is>
          <t>no</t>
        </is>
      </c>
      <c r="J95" s="16" t="n"/>
      <c r="K95" s="16" t="inlineStr">
        <is>
          <t>malla</t>
        </is>
      </c>
    </row>
    <row r="96">
      <c r="A96" s="16" t="inlineStr">
        <is>
          <t>KF-M02S-B1-0044</t>
        </is>
      </c>
      <c r="B96" s="35" t="n">
        <v>300.032917</v>
      </c>
      <c r="C96" s="35" t="n">
        <v>750</v>
      </c>
      <c r="D96" s="42" t="inlineStr">
        <is>
          <t>KALINA</t>
        </is>
      </c>
      <c r="E96" s="29" t="n">
        <v>7.05378552173042</v>
      </c>
      <c r="F96" s="35" t="n">
        <v>21.55494256812118</v>
      </c>
      <c r="G96" s="36" t="n">
        <v>2250</v>
      </c>
      <c r="H96" s="29" t="n">
        <v>4</v>
      </c>
      <c r="I96" s="16" t="inlineStr">
        <is>
          <t>no</t>
        </is>
      </c>
      <c r="J96" s="16" t="n"/>
      <c r="K96" s="16" t="inlineStr">
        <is>
          <t>malla</t>
        </is>
      </c>
    </row>
    <row r="97">
      <c r="A97" s="16" t="inlineStr">
        <is>
          <t>KF-M02S-B1-0045</t>
        </is>
      </c>
      <c r="B97" s="35" t="n">
        <v>300.032917</v>
      </c>
      <c r="C97" s="35" t="n">
        <v>900</v>
      </c>
      <c r="D97" s="42" t="inlineStr">
        <is>
          <t>KALINA</t>
        </is>
      </c>
      <c r="E97" s="29" t="n">
        <v>6.12706118441853</v>
      </c>
      <c r="F97" s="35" t="n">
        <v>18.7127684232278</v>
      </c>
      <c r="G97" s="36" t="n">
        <v>2100</v>
      </c>
      <c r="H97" s="29" t="n">
        <v>3.333333333333333</v>
      </c>
      <c r="I97" s="16" t="inlineStr">
        <is>
          <t>no</t>
        </is>
      </c>
      <c r="J97" s="16" t="n"/>
      <c r="K97" s="16" t="inlineStr">
        <is>
          <t>malla</t>
        </is>
      </c>
    </row>
    <row r="98">
      <c r="A98" s="16" t="inlineStr">
        <is>
          <t>KF-M02S-B1-0046</t>
        </is>
      </c>
      <c r="B98" s="35" t="n">
        <v>300.032917</v>
      </c>
      <c r="C98" s="35" t="n">
        <v>1050</v>
      </c>
      <c r="D98" s="42" t="inlineStr">
        <is>
          <t>KALINA</t>
        </is>
      </c>
      <c r="E98" s="29" t="n">
        <v>5.33666192853466</v>
      </c>
      <c r="F98" s="35" t="n">
        <v>16.29145166031817</v>
      </c>
      <c r="G98" s="36" t="n">
        <v>1950</v>
      </c>
      <c r="H98" s="29" t="n">
        <v>2.857142857142857</v>
      </c>
      <c r="I98" s="16" t="inlineStr">
        <is>
          <t>no</t>
        </is>
      </c>
      <c r="J98" s="16" t="n"/>
      <c r="K98" s="16" t="inlineStr">
        <is>
          <t>malla</t>
        </is>
      </c>
    </row>
    <row r="99">
      <c r="A99" s="16" t="inlineStr">
        <is>
          <t>KF-M02S-B1-0047</t>
        </is>
      </c>
      <c r="B99" s="35" t="n">
        <v>300.032917</v>
      </c>
      <c r="C99" s="35" t="n">
        <v>1200</v>
      </c>
      <c r="D99" s="42" t="inlineStr">
        <is>
          <t>KALINA</t>
        </is>
      </c>
      <c r="E99" s="29" t="n">
        <v>4.64855599585817</v>
      </c>
      <c r="F99" s="35" t="n">
        <v>14.18551201394656</v>
      </c>
      <c r="G99" s="36" t="n">
        <v>1800</v>
      </c>
      <c r="H99" s="29" t="n">
        <v>2.5</v>
      </c>
      <c r="I99" s="16" t="inlineStr">
        <is>
          <t>no</t>
        </is>
      </c>
      <c r="J99" s="16" t="n"/>
      <c r="K99" s="16" t="inlineStr">
        <is>
          <t>malla</t>
        </is>
      </c>
    </row>
    <row r="100">
      <c r="A100" s="16" t="inlineStr">
        <is>
          <t>KF-M02S-B1-0048</t>
        </is>
      </c>
      <c r="B100" s="35" t="n">
        <v>300.032917</v>
      </c>
      <c r="C100" s="35" t="n">
        <v>1350</v>
      </c>
      <c r="D100" s="42" t="inlineStr">
        <is>
          <t>KALINA</t>
        </is>
      </c>
      <c r="E100" s="29" t="n">
        <v>4.04026088358925</v>
      </c>
      <c r="F100" s="35" t="n">
        <v>12.32531702263673</v>
      </c>
      <c r="G100" s="36" t="n">
        <v>1650</v>
      </c>
      <c r="H100" s="29" t="n">
        <v>2.222222222222222</v>
      </c>
      <c r="I100" s="16" t="inlineStr">
        <is>
          <t>no</t>
        </is>
      </c>
      <c r="J100" s="16" t="n"/>
      <c r="K100" s="16" t="inlineStr">
        <is>
          <t>malla</t>
        </is>
      </c>
    </row>
    <row r="101">
      <c r="A101" s="16" t="inlineStr">
        <is>
          <t>KF-M02S-B1-0049</t>
        </is>
      </c>
      <c r="B101" s="35" t="n">
        <v>300.032917</v>
      </c>
      <c r="C101" s="35" t="n">
        <v>1500</v>
      </c>
      <c r="D101" s="42" t="inlineStr">
        <is>
          <t>KALINA</t>
        </is>
      </c>
      <c r="E101" s="29" t="n">
        <v>3.49609139100652</v>
      </c>
      <c r="F101" s="35" t="n">
        <v>10.66236197414988</v>
      </c>
      <c r="G101" s="36" t="n">
        <v>1500</v>
      </c>
      <c r="H101" s="29" t="n">
        <v>2</v>
      </c>
      <c r="I101" s="16" t="inlineStr">
        <is>
          <t>no</t>
        </is>
      </c>
      <c r="J101" s="16" t="n"/>
      <c r="K101" s="16" t="inlineStr">
        <is>
          <t>malla</t>
        </is>
      </c>
    </row>
    <row r="102"/>
    <row r="103">
      <c r="A103" s="33" t="inlineStr">
        <is>
          <t>Parte 2.4b · fuente a 420 K · 90 puntos</t>
        </is>
      </c>
      <c r="B103" s="31" t="n"/>
      <c r="C103" s="31" t="n"/>
      <c r="D103" s="31" t="n"/>
      <c r="E103" s="31" t="n"/>
      <c r="F103" s="31" t="n"/>
      <c r="G103" s="31" t="n"/>
      <c r="H103" s="31" t="n"/>
      <c r="I103" s="31" t="n"/>
      <c r="J103" s="31" t="n"/>
      <c r="K103" s="31" t="n"/>
    </row>
    <row r="104"/>
    <row r="105">
      <c r="A105" s="34" t="inlineStr">
        <is>
          <t>Barrido de la parte 2.4b · 90 puntos</t>
        </is>
      </c>
    </row>
    <row r="106">
      <c r="A106" s="25" t="inlineStr">
        <is>
          <t>Fijos en este barrido: T_fuente = 420, P_alta = 3000, x_b = 0.5, η_t = 0.85, η_p = 0.75, ε_HRVG = 0.85, ε_reg = 0.75, ε_cond = 0.8.</t>
        </is>
      </c>
    </row>
    <row r="107">
      <c r="A107" s="25" t="inlineStr">
        <is>
          <t>Tipos de punto: malla 50, bisección 40.</t>
        </is>
      </c>
    </row>
    <row r="108">
      <c r="A108" s="22" t="inlineStr">
        <is>
          <t>id_punto</t>
        </is>
      </c>
      <c r="B108" s="22" t="inlineStr">
        <is>
          <t>T_sumidero [K]</t>
        </is>
      </c>
      <c r="C108" s="22" t="inlineStr">
        <is>
          <t>P_baja [kPa]</t>
        </is>
      </c>
      <c r="D108" s="22" t="inlineStr">
        <is>
          <t>Clase</t>
        </is>
      </c>
      <c r="E108" s="22" t="inlineStr">
        <is>
          <t>η [%]</t>
        </is>
      </c>
      <c r="F108" s="22" t="inlineStr">
        <is>
          <t>W_net [kW] (m_b = 1 kg/s)</t>
        </is>
      </c>
      <c r="G108" s="22" t="inlineStr">
        <is>
          <t>ΔP [kPa]</t>
        </is>
      </c>
      <c r="H108" s="22" t="inlineStr">
        <is>
          <t>r_P [–]</t>
        </is>
      </c>
      <c r="I108" s="22" t="inlineStr">
        <is>
          <t>Fuera de rango</t>
        </is>
      </c>
      <c r="J108" s="22" t="inlineStr">
        <is>
          <t>Criterios que falla</t>
        </is>
      </c>
      <c r="K108" s="22" t="inlineStr">
        <is>
          <t>Tipo de punto</t>
        </is>
      </c>
    </row>
    <row r="109">
      <c r="A109" s="16" t="inlineStr">
        <is>
          <t>KF-M02S-B2-0000</t>
        </is>
      </c>
      <c r="B109" s="35" t="n">
        <v>278.15</v>
      </c>
      <c r="C109" s="35" t="n">
        <v>150</v>
      </c>
      <c r="D109" s="39" t="inlineStr">
        <is>
          <t>Corregible</t>
        </is>
      </c>
      <c r="E109" s="29" t="n">
        <v>15.82706115287613</v>
      </c>
      <c r="F109" s="35" t="n">
        <v>85.26535830834251</v>
      </c>
      <c r="G109" s="36" t="n">
        <v>2850</v>
      </c>
      <c r="H109" s="29" t="n">
        <v>20</v>
      </c>
      <c r="I109" s="16" t="inlineStr">
        <is>
          <t>no</t>
        </is>
      </c>
      <c r="J109" s="16" t="inlineStr">
        <is>
          <t>O1,O2</t>
        </is>
      </c>
      <c r="K109" s="16" t="inlineStr">
        <is>
          <t>malla</t>
        </is>
      </c>
    </row>
    <row r="110">
      <c r="A110" s="16" t="inlineStr">
        <is>
          <t>KF-M02S-B2-0001</t>
        </is>
      </c>
      <c r="B110" s="35" t="n">
        <v>278.15</v>
      </c>
      <c r="C110" s="35" t="n">
        <v>300</v>
      </c>
      <c r="D110" s="39" t="inlineStr">
        <is>
          <t>Corregible</t>
        </is>
      </c>
      <c r="E110" s="29" t="n">
        <v>13.26199479913055</v>
      </c>
      <c r="F110" s="35" t="n">
        <v>71.66275833828891</v>
      </c>
      <c r="G110" s="36" t="n">
        <v>2700</v>
      </c>
      <c r="H110" s="29" t="n">
        <v>10</v>
      </c>
      <c r="I110" s="16" t="inlineStr">
        <is>
          <t>no</t>
        </is>
      </c>
      <c r="J110" s="16" t="inlineStr">
        <is>
          <t>O2</t>
        </is>
      </c>
      <c r="K110" s="16" t="inlineStr">
        <is>
          <t>malla</t>
        </is>
      </c>
    </row>
    <row r="111">
      <c r="A111" s="16" t="inlineStr">
        <is>
          <t>KF-M02S-B2-0050</t>
        </is>
      </c>
      <c r="B111" s="35" t="n">
        <v>278.15</v>
      </c>
      <c r="C111" s="35" t="n">
        <v>375</v>
      </c>
      <c r="D111" s="39" t="inlineStr">
        <is>
          <t>Corregible</t>
        </is>
      </c>
      <c r="E111" s="29" t="n">
        <v>12.16685960262816</v>
      </c>
      <c r="F111" s="35" t="n">
        <v>65.70359496565666</v>
      </c>
      <c r="G111" s="36" t="n">
        <v>2625</v>
      </c>
      <c r="H111" s="29" t="n">
        <v>8</v>
      </c>
      <c r="I111" s="16" t="inlineStr">
        <is>
          <t>no</t>
        </is>
      </c>
      <c r="J111" s="16" t="inlineStr">
        <is>
          <t>O2</t>
        </is>
      </c>
      <c r="K111" s="16" t="inlineStr">
        <is>
          <t>bisección</t>
        </is>
      </c>
    </row>
    <row r="112">
      <c r="A112" s="16" t="inlineStr">
        <is>
          <t>KF-M02S-B2-0051</t>
        </is>
      </c>
      <c r="B112" s="35" t="n">
        <v>278.15</v>
      </c>
      <c r="C112" s="35" t="n">
        <v>375</v>
      </c>
      <c r="D112" s="39" t="inlineStr">
        <is>
          <t>Corregible</t>
        </is>
      </c>
      <c r="E112" s="29" t="n">
        <v>12.16685960262816</v>
      </c>
      <c r="F112" s="35" t="n">
        <v>65.70359496565666</v>
      </c>
      <c r="G112" s="36" t="n">
        <v>2625</v>
      </c>
      <c r="H112" s="29" t="n">
        <v>8</v>
      </c>
      <c r="I112" s="16" t="inlineStr">
        <is>
          <t>no</t>
        </is>
      </c>
      <c r="J112" s="16" t="inlineStr">
        <is>
          <t>O2</t>
        </is>
      </c>
      <c r="K112" s="16" t="inlineStr">
        <is>
          <t>bisección</t>
        </is>
      </c>
    </row>
    <row r="113">
      <c r="A113" s="16" t="inlineStr">
        <is>
          <t>KF-M02S-B2-0080</t>
        </is>
      </c>
      <c r="B113" s="35" t="n">
        <v>278.15</v>
      </c>
      <c r="C113" s="35" t="n">
        <v>384.375</v>
      </c>
      <c r="D113" s="39" t="inlineStr">
        <is>
          <t>Corregible</t>
        </is>
      </c>
      <c r="E113" s="29" t="n">
        <v>12.03693394844753</v>
      </c>
      <c r="F113" s="35" t="n">
        <v>64.99523417133774</v>
      </c>
      <c r="G113" s="36" t="n">
        <v>2615.625</v>
      </c>
      <c r="H113" s="29" t="n">
        <v>7.804878048780488</v>
      </c>
      <c r="I113" s="16" t="inlineStr">
        <is>
          <t>no</t>
        </is>
      </c>
      <c r="J113" s="16" t="inlineStr">
        <is>
          <t>O2</t>
        </is>
      </c>
      <c r="K113" s="16" t="inlineStr">
        <is>
          <t>bisección</t>
        </is>
      </c>
    </row>
    <row r="114">
      <c r="A114" s="16" t="inlineStr">
        <is>
          <t>KF-M02S-B2-0081</t>
        </is>
      </c>
      <c r="B114" s="35" t="n">
        <v>278.15</v>
      </c>
      <c r="C114" s="35" t="n">
        <v>384.375</v>
      </c>
      <c r="D114" s="39" t="inlineStr">
        <is>
          <t>Corregible</t>
        </is>
      </c>
      <c r="E114" s="29" t="n">
        <v>12.03693394844753</v>
      </c>
      <c r="F114" s="35" t="n">
        <v>64.99523417133774</v>
      </c>
      <c r="G114" s="36" t="n">
        <v>2615.625</v>
      </c>
      <c r="H114" s="29" t="n">
        <v>7.804878048780488</v>
      </c>
      <c r="I114" s="16" t="inlineStr">
        <is>
          <t>no</t>
        </is>
      </c>
      <c r="J114" s="16" t="inlineStr">
        <is>
          <t>O2</t>
        </is>
      </c>
      <c r="K114" s="16" t="inlineStr">
        <is>
          <t>bisección</t>
        </is>
      </c>
    </row>
    <row r="115">
      <c r="A115" s="16" t="inlineStr">
        <is>
          <t>KF-M02S-B2-0070</t>
        </is>
      </c>
      <c r="B115" s="35" t="n">
        <v>278.15</v>
      </c>
      <c r="C115" s="35" t="n">
        <v>393.75</v>
      </c>
      <c r="D115" s="42" t="inlineStr">
        <is>
          <t>KALINA</t>
        </is>
      </c>
      <c r="E115" s="29" t="n">
        <v>11.90841397447066</v>
      </c>
      <c r="F115" s="35" t="n">
        <v>64.29434111942909</v>
      </c>
      <c r="G115" s="36" t="n">
        <v>2606.25</v>
      </c>
      <c r="H115" s="29" t="n">
        <v>7.619047619047619</v>
      </c>
      <c r="I115" s="16" t="inlineStr">
        <is>
          <t>no</t>
        </is>
      </c>
      <c r="J115" s="16" t="n"/>
      <c r="K115" s="16" t="inlineStr">
        <is>
          <t>bisección</t>
        </is>
      </c>
    </row>
    <row r="116">
      <c r="A116" s="16" t="inlineStr">
        <is>
          <t>KF-M02S-B2-0071</t>
        </is>
      </c>
      <c r="B116" s="35" t="n">
        <v>278.15</v>
      </c>
      <c r="C116" s="35" t="n">
        <v>393.75</v>
      </c>
      <c r="D116" s="42" t="inlineStr">
        <is>
          <t>KALINA</t>
        </is>
      </c>
      <c r="E116" s="29" t="n">
        <v>11.90841397447066</v>
      </c>
      <c r="F116" s="35" t="n">
        <v>64.29434111942909</v>
      </c>
      <c r="G116" s="36" t="n">
        <v>2606.25</v>
      </c>
      <c r="H116" s="29" t="n">
        <v>7.619047619047619</v>
      </c>
      <c r="I116" s="16" t="inlineStr">
        <is>
          <t>no</t>
        </is>
      </c>
      <c r="J116" s="16" t="n"/>
      <c r="K116" s="16" t="inlineStr">
        <is>
          <t>bisección</t>
        </is>
      </c>
    </row>
    <row r="117">
      <c r="A117" s="16" t="inlineStr">
        <is>
          <t>KF-M02S-B2-0060</t>
        </is>
      </c>
      <c r="B117" s="35" t="n">
        <v>278.15</v>
      </c>
      <c r="C117" s="35" t="n">
        <v>412.5</v>
      </c>
      <c r="D117" s="42" t="inlineStr">
        <is>
          <t>KALINA</t>
        </is>
      </c>
      <c r="E117" s="29" t="n">
        <v>11.6580602899474</v>
      </c>
      <c r="F117" s="35" t="n">
        <v>62.92916526972017</v>
      </c>
      <c r="G117" s="36" t="n">
        <v>2587.5</v>
      </c>
      <c r="H117" s="29" t="n">
        <v>7.272727272727272</v>
      </c>
      <c r="I117" s="16" t="inlineStr">
        <is>
          <t>no</t>
        </is>
      </c>
      <c r="J117" s="16" t="n"/>
      <c r="K117" s="16" t="inlineStr">
        <is>
          <t>bisección</t>
        </is>
      </c>
    </row>
    <row r="118">
      <c r="A118" s="16" t="inlineStr">
        <is>
          <t>KF-M02S-B2-0061</t>
        </is>
      </c>
      <c r="B118" s="35" t="n">
        <v>278.15</v>
      </c>
      <c r="C118" s="35" t="n">
        <v>412.5</v>
      </c>
      <c r="D118" s="42" t="inlineStr">
        <is>
          <t>KALINA</t>
        </is>
      </c>
      <c r="E118" s="29" t="n">
        <v>11.6580602899474</v>
      </c>
      <c r="F118" s="35" t="n">
        <v>62.92916526972017</v>
      </c>
      <c r="G118" s="36" t="n">
        <v>2587.5</v>
      </c>
      <c r="H118" s="29" t="n">
        <v>7.272727272727272</v>
      </c>
      <c r="I118" s="16" t="inlineStr">
        <is>
          <t>no</t>
        </is>
      </c>
      <c r="J118" s="16" t="n"/>
      <c r="K118" s="16" t="inlineStr">
        <is>
          <t>bisección</t>
        </is>
      </c>
    </row>
    <row r="119">
      <c r="A119" s="16" t="inlineStr">
        <is>
          <t>KF-M02S-B2-0002</t>
        </is>
      </c>
      <c r="B119" s="35" t="n">
        <v>278.15</v>
      </c>
      <c r="C119" s="35" t="n">
        <v>450</v>
      </c>
      <c r="D119" s="42" t="inlineStr">
        <is>
          <t>KALINA</t>
        </is>
      </c>
      <c r="E119" s="29" t="n">
        <v>11.18628477389919</v>
      </c>
      <c r="F119" s="35" t="n">
        <v>60.35823851124148</v>
      </c>
      <c r="G119" s="36" t="n">
        <v>2550</v>
      </c>
      <c r="H119" s="29" t="n">
        <v>6.666666666666667</v>
      </c>
      <c r="I119" s="16" t="inlineStr">
        <is>
          <t>no</t>
        </is>
      </c>
      <c r="J119" s="16" t="n"/>
      <c r="K119" s="16" t="inlineStr">
        <is>
          <t>malla</t>
        </is>
      </c>
    </row>
    <row r="120">
      <c r="A120" s="16" t="inlineStr">
        <is>
          <t>KF-M02S-B2-0003</t>
        </is>
      </c>
      <c r="B120" s="35" t="n">
        <v>278.15</v>
      </c>
      <c r="C120" s="35" t="n">
        <v>600</v>
      </c>
      <c r="D120" s="42" t="inlineStr">
        <is>
          <t>KALINA</t>
        </is>
      </c>
      <c r="E120" s="29" t="n">
        <v>9.59448327912876</v>
      </c>
      <c r="F120" s="35" t="n">
        <v>51.69967163726868</v>
      </c>
      <c r="G120" s="36" t="n">
        <v>2400</v>
      </c>
      <c r="H120" s="29" t="n">
        <v>5</v>
      </c>
      <c r="I120" s="16" t="inlineStr">
        <is>
          <t>no</t>
        </is>
      </c>
      <c r="J120" s="16" t="n"/>
      <c r="K120" s="16" t="inlineStr">
        <is>
          <t>malla</t>
        </is>
      </c>
    </row>
    <row r="121">
      <c r="A121" s="16" t="inlineStr">
        <is>
          <t>KF-M02S-B2-0004</t>
        </is>
      </c>
      <c r="B121" s="35" t="n">
        <v>278.15</v>
      </c>
      <c r="C121" s="35" t="n">
        <v>750</v>
      </c>
      <c r="D121" s="42" t="inlineStr">
        <is>
          <t>KALINA</t>
        </is>
      </c>
      <c r="E121" s="29" t="n">
        <v>8.32717851616929</v>
      </c>
      <c r="F121" s="35" t="n">
        <v>44.82357909795613</v>
      </c>
      <c r="G121" s="36" t="n">
        <v>2250</v>
      </c>
      <c r="H121" s="29" t="n">
        <v>4</v>
      </c>
      <c r="I121" s="16" t="inlineStr">
        <is>
          <t>no</t>
        </is>
      </c>
      <c r="J121" s="16" t="n"/>
      <c r="K121" s="16" t="inlineStr">
        <is>
          <t>malla</t>
        </is>
      </c>
    </row>
    <row r="122">
      <c r="A122" s="16" t="inlineStr">
        <is>
          <t>KF-M02S-B2-0005</t>
        </is>
      </c>
      <c r="B122" s="35" t="n">
        <v>278.15</v>
      </c>
      <c r="C122" s="35" t="n">
        <v>900</v>
      </c>
      <c r="D122" s="42" t="inlineStr">
        <is>
          <t>KALINA</t>
        </is>
      </c>
      <c r="E122" s="29" t="n">
        <v>7.27186493535278</v>
      </c>
      <c r="F122" s="35" t="n">
        <v>39.10925058835644</v>
      </c>
      <c r="G122" s="36" t="n">
        <v>2100</v>
      </c>
      <c r="H122" s="29" t="n">
        <v>3.333333333333333</v>
      </c>
      <c r="I122" s="16" t="inlineStr">
        <is>
          <t>no</t>
        </is>
      </c>
      <c r="J122" s="16" t="n"/>
      <c r="K122" s="16" t="inlineStr">
        <is>
          <t>malla</t>
        </is>
      </c>
    </row>
    <row r="123">
      <c r="A123" s="16" t="inlineStr">
        <is>
          <t>KF-M02S-B2-0006</t>
        </is>
      </c>
      <c r="B123" s="35" t="n">
        <v>278.15</v>
      </c>
      <c r="C123" s="35" t="n">
        <v>1050</v>
      </c>
      <c r="D123" s="42" t="inlineStr">
        <is>
          <t>KALINA</t>
        </is>
      </c>
      <c r="E123" s="29" t="n">
        <v>6.36669461877723</v>
      </c>
      <c r="F123" s="35" t="n">
        <v>34.21616220345279</v>
      </c>
      <c r="G123" s="36" t="n">
        <v>1950</v>
      </c>
      <c r="H123" s="29" t="n">
        <v>2.857142857142857</v>
      </c>
      <c r="I123" s="16" t="inlineStr">
        <is>
          <t>no</t>
        </is>
      </c>
      <c r="J123" s="16" t="n"/>
      <c r="K123" s="16" t="inlineStr">
        <is>
          <t>malla</t>
        </is>
      </c>
    </row>
    <row r="124">
      <c r="A124" s="16" t="inlineStr">
        <is>
          <t>KF-M02S-B2-0007</t>
        </is>
      </c>
      <c r="B124" s="35" t="n">
        <v>278.15</v>
      </c>
      <c r="C124" s="35" t="n">
        <v>1200</v>
      </c>
      <c r="D124" s="42" t="inlineStr">
        <is>
          <t>KALINA</t>
        </is>
      </c>
      <c r="E124" s="29" t="n">
        <v>5.57384642590648</v>
      </c>
      <c r="F124" s="35" t="n">
        <v>29.93640409365369</v>
      </c>
      <c r="G124" s="36" t="n">
        <v>1800</v>
      </c>
      <c r="H124" s="29" t="n">
        <v>2.5</v>
      </c>
      <c r="I124" s="16" t="inlineStr">
        <is>
          <t>no</t>
        </is>
      </c>
      <c r="J124" s="16" t="n"/>
      <c r="K124" s="16" t="inlineStr">
        <is>
          <t>malla</t>
        </is>
      </c>
    </row>
    <row r="125">
      <c r="A125" s="16" t="inlineStr">
        <is>
          <t>KF-M02S-B2-0008</t>
        </is>
      </c>
      <c r="B125" s="35" t="n">
        <v>278.15</v>
      </c>
      <c r="C125" s="35" t="n">
        <v>1350</v>
      </c>
      <c r="D125" s="42" t="inlineStr">
        <is>
          <t>KALINA</t>
        </is>
      </c>
      <c r="E125" s="29" t="n">
        <v>4.86842073094225</v>
      </c>
      <c r="F125" s="35" t="n">
        <v>26.13329304626955</v>
      </c>
      <c r="G125" s="36" t="n">
        <v>1650</v>
      </c>
      <c r="H125" s="29" t="n">
        <v>2.222222222222222</v>
      </c>
      <c r="I125" s="16" t="inlineStr">
        <is>
          <t>no</t>
        </is>
      </c>
      <c r="J125" s="16" t="n"/>
      <c r="K125" s="16" t="inlineStr">
        <is>
          <t>malla</t>
        </is>
      </c>
    </row>
    <row r="126">
      <c r="A126" s="16" t="inlineStr">
        <is>
          <t>KF-M02S-B2-0009</t>
        </is>
      </c>
      <c r="B126" s="35" t="n">
        <v>278.15</v>
      </c>
      <c r="C126" s="35" t="n">
        <v>1500</v>
      </c>
      <c r="D126" s="42" t="inlineStr">
        <is>
          <t>KALINA</t>
        </is>
      </c>
      <c r="E126" s="29" t="n">
        <v>4.23311203857378</v>
      </c>
      <c r="F126" s="35" t="n">
        <v>22.71195339234582</v>
      </c>
      <c r="G126" s="36" t="n">
        <v>1500</v>
      </c>
      <c r="H126" s="29" t="n">
        <v>2</v>
      </c>
      <c r="I126" s="16" t="inlineStr">
        <is>
          <t>no</t>
        </is>
      </c>
      <c r="J126" s="16" t="n"/>
      <c r="K126" s="16" t="inlineStr">
        <is>
          <t>malla</t>
        </is>
      </c>
    </row>
    <row r="127">
      <c r="A127" s="16" t="inlineStr">
        <is>
          <t>KF-M02S-B2-0010</t>
        </is>
      </c>
      <c r="B127" s="35" t="n">
        <v>283.15</v>
      </c>
      <c r="C127" s="35" t="n">
        <v>150</v>
      </c>
      <c r="D127" s="39" t="inlineStr">
        <is>
          <t>Corregible</t>
        </is>
      </c>
      <c r="E127" s="29" t="n">
        <v>14.27001577144364</v>
      </c>
      <c r="F127" s="35" t="n">
        <v>69.41010602709171</v>
      </c>
      <c r="G127" s="36" t="n">
        <v>2850</v>
      </c>
      <c r="H127" s="29" t="n">
        <v>20</v>
      </c>
      <c r="I127" s="16" t="inlineStr">
        <is>
          <t>no</t>
        </is>
      </c>
      <c r="J127" s="16" t="inlineStr">
        <is>
          <t>O1,O2</t>
        </is>
      </c>
      <c r="K127" s="16" t="inlineStr">
        <is>
          <t>malla</t>
        </is>
      </c>
    </row>
    <row r="128">
      <c r="A128" s="16" t="inlineStr">
        <is>
          <t>KF-M02S-B2-0011</t>
        </is>
      </c>
      <c r="B128" s="35" t="n">
        <v>283.15</v>
      </c>
      <c r="C128" s="35" t="n">
        <v>300</v>
      </c>
      <c r="D128" s="39" t="inlineStr">
        <is>
          <t>Corregible</t>
        </is>
      </c>
      <c r="E128" s="29" t="n">
        <v>13.37383610674018</v>
      </c>
      <c r="F128" s="35" t="n">
        <v>71.1475310296666</v>
      </c>
      <c r="G128" s="36" t="n">
        <v>2700</v>
      </c>
      <c r="H128" s="29" t="n">
        <v>10</v>
      </c>
      <c r="I128" s="16" t="inlineStr">
        <is>
          <t>no</t>
        </is>
      </c>
      <c r="J128" s="16" t="inlineStr">
        <is>
          <t>O2</t>
        </is>
      </c>
      <c r="K128" s="16" t="inlineStr">
        <is>
          <t>malla</t>
        </is>
      </c>
    </row>
    <row r="129">
      <c r="A129" s="16" t="inlineStr">
        <is>
          <t>KF-M02S-B2-0012</t>
        </is>
      </c>
      <c r="B129" s="35" t="n">
        <v>283.15</v>
      </c>
      <c r="C129" s="35" t="n">
        <v>450</v>
      </c>
      <c r="D129" s="39" t="inlineStr">
        <is>
          <t>Corregible</t>
        </is>
      </c>
      <c r="E129" s="29" t="n">
        <v>11.3899526804246</v>
      </c>
      <c r="F129" s="35" t="n">
        <v>60.54087937739679</v>
      </c>
      <c r="G129" s="36" t="n">
        <v>2550</v>
      </c>
      <c r="H129" s="29" t="n">
        <v>6.666666666666667</v>
      </c>
      <c r="I129" s="16" t="inlineStr">
        <is>
          <t>no</t>
        </is>
      </c>
      <c r="J129" s="16" t="inlineStr">
        <is>
          <t>O2</t>
        </is>
      </c>
      <c r="K129" s="16" t="inlineStr">
        <is>
          <t>malla</t>
        </is>
      </c>
    </row>
    <row r="130">
      <c r="A130" s="16" t="inlineStr">
        <is>
          <t>KF-M02S-B2-0082</t>
        </is>
      </c>
      <c r="B130" s="35" t="n">
        <v>283.15</v>
      </c>
      <c r="C130" s="35" t="n">
        <v>459.375</v>
      </c>
      <c r="D130" s="42" t="inlineStr">
        <is>
          <t>KALINA</t>
        </is>
      </c>
      <c r="E130" s="29" t="n">
        <v>11.27583657674989</v>
      </c>
      <c r="F130" s="35" t="n">
        <v>59.92858369708472</v>
      </c>
      <c r="G130" s="36" t="n">
        <v>2540.625</v>
      </c>
      <c r="H130" s="29" t="n">
        <v>6.530612244897959</v>
      </c>
      <c r="I130" s="16" t="inlineStr">
        <is>
          <t>no</t>
        </is>
      </c>
      <c r="J130" s="16" t="n"/>
      <c r="K130" s="16" t="inlineStr">
        <is>
          <t>bisección</t>
        </is>
      </c>
    </row>
    <row r="131">
      <c r="A131" s="16" t="inlineStr">
        <is>
          <t>KF-M02S-B2-0084</t>
        </is>
      </c>
      <c r="B131" s="35" t="n">
        <v>283.15</v>
      </c>
      <c r="C131" s="35" t="n">
        <v>459.375</v>
      </c>
      <c r="D131" s="42" t="inlineStr">
        <is>
          <t>KALINA</t>
        </is>
      </c>
      <c r="E131" s="29" t="n">
        <v>11.27583657674989</v>
      </c>
      <c r="F131" s="35" t="n">
        <v>59.92858369708472</v>
      </c>
      <c r="G131" s="36" t="n">
        <v>2540.625</v>
      </c>
      <c r="H131" s="29" t="n">
        <v>6.530612244897959</v>
      </c>
      <c r="I131" s="16" t="inlineStr">
        <is>
          <t>no</t>
        </is>
      </c>
      <c r="J131" s="16" t="n"/>
      <c r="K131" s="16" t="inlineStr">
        <is>
          <t>bisección</t>
        </is>
      </c>
    </row>
    <row r="132">
      <c r="A132" s="16" t="inlineStr">
        <is>
          <t>KF-M02S-B2-0072</t>
        </is>
      </c>
      <c r="B132" s="35" t="n">
        <v>283.15</v>
      </c>
      <c r="C132" s="35" t="n">
        <v>468.75</v>
      </c>
      <c r="D132" s="42" t="inlineStr">
        <is>
          <t>KALINA</t>
        </is>
      </c>
      <c r="E132" s="29" t="n">
        <v>11.16338605466932</v>
      </c>
      <c r="F132" s="35" t="n">
        <v>59.32525534557198</v>
      </c>
      <c r="G132" s="36" t="n">
        <v>2531.25</v>
      </c>
      <c r="H132" s="29" t="n">
        <v>6.4</v>
      </c>
      <c r="I132" s="16" t="inlineStr">
        <is>
          <t>no</t>
        </is>
      </c>
      <c r="J132" s="16" t="n"/>
      <c r="K132" s="16" t="inlineStr">
        <is>
          <t>bisección</t>
        </is>
      </c>
    </row>
    <row r="133">
      <c r="A133" s="16" t="inlineStr">
        <is>
          <t>KF-M02S-B2-0074</t>
        </is>
      </c>
      <c r="B133" s="35" t="n">
        <v>283.15</v>
      </c>
      <c r="C133" s="35" t="n">
        <v>468.75</v>
      </c>
      <c r="D133" s="42" t="inlineStr">
        <is>
          <t>KALINA</t>
        </is>
      </c>
      <c r="E133" s="29" t="n">
        <v>11.16338605466932</v>
      </c>
      <c r="F133" s="35" t="n">
        <v>59.32525534557198</v>
      </c>
      <c r="G133" s="36" t="n">
        <v>2531.25</v>
      </c>
      <c r="H133" s="29" t="n">
        <v>6.4</v>
      </c>
      <c r="I133" s="16" t="inlineStr">
        <is>
          <t>no</t>
        </is>
      </c>
      <c r="J133" s="16" t="n"/>
      <c r="K133" s="16" t="inlineStr">
        <is>
          <t>bisección</t>
        </is>
      </c>
    </row>
    <row r="134">
      <c r="A134" s="16" t="inlineStr">
        <is>
          <t>KF-M02S-B2-0063</t>
        </is>
      </c>
      <c r="B134" s="35" t="n">
        <v>283.15</v>
      </c>
      <c r="C134" s="35" t="n">
        <v>487.5</v>
      </c>
      <c r="D134" s="42" t="inlineStr">
        <is>
          <t>KALINA</t>
        </is>
      </c>
      <c r="E134" s="29" t="n">
        <v>10.94437193385668</v>
      </c>
      <c r="F134" s="35" t="n">
        <v>58.1505307232755</v>
      </c>
      <c r="G134" s="36" t="n">
        <v>2512.5</v>
      </c>
      <c r="H134" s="29" t="n">
        <v>6.153846153846154</v>
      </c>
      <c r="I134" s="16" t="inlineStr">
        <is>
          <t>no</t>
        </is>
      </c>
      <c r="J134" s="16" t="n"/>
      <c r="K134" s="16" t="inlineStr">
        <is>
          <t>bisección</t>
        </is>
      </c>
    </row>
    <row r="135">
      <c r="A135" s="16" t="inlineStr">
        <is>
          <t>KF-M02S-B2-0064</t>
        </is>
      </c>
      <c r="B135" s="35" t="n">
        <v>283.15</v>
      </c>
      <c r="C135" s="35" t="n">
        <v>487.5</v>
      </c>
      <c r="D135" s="42" t="inlineStr">
        <is>
          <t>KALINA</t>
        </is>
      </c>
      <c r="E135" s="29" t="n">
        <v>10.94437193385668</v>
      </c>
      <c r="F135" s="35" t="n">
        <v>58.1505307232755</v>
      </c>
      <c r="G135" s="36" t="n">
        <v>2512.5</v>
      </c>
      <c r="H135" s="29" t="n">
        <v>6.153846153846154</v>
      </c>
      <c r="I135" s="16" t="inlineStr">
        <is>
          <t>no</t>
        </is>
      </c>
      <c r="J135" s="16" t="n"/>
      <c r="K135" s="16" t="inlineStr">
        <is>
          <t>bisección</t>
        </is>
      </c>
    </row>
    <row r="136">
      <c r="A136" s="16" t="inlineStr">
        <is>
          <t>KF-M02S-B2-0052</t>
        </is>
      </c>
      <c r="B136" s="35" t="n">
        <v>283.15</v>
      </c>
      <c r="C136" s="35" t="n">
        <v>525</v>
      </c>
      <c r="D136" s="42" t="inlineStr">
        <is>
          <t>KALINA</t>
        </is>
      </c>
      <c r="E136" s="29" t="n">
        <v>10.52801024548572</v>
      </c>
      <c r="F136" s="35" t="n">
        <v>55.91855643641483</v>
      </c>
      <c r="G136" s="36" t="n">
        <v>2475</v>
      </c>
      <c r="H136" s="29" t="n">
        <v>5.714285714285714</v>
      </c>
      <c r="I136" s="16" t="inlineStr">
        <is>
          <t>no</t>
        </is>
      </c>
      <c r="J136" s="16" t="n"/>
      <c r="K136" s="16" t="inlineStr">
        <is>
          <t>bisección</t>
        </is>
      </c>
    </row>
    <row r="137">
      <c r="A137" s="16" t="inlineStr">
        <is>
          <t>KF-M02S-B2-0054</t>
        </is>
      </c>
      <c r="B137" s="35" t="n">
        <v>283.15</v>
      </c>
      <c r="C137" s="35" t="n">
        <v>525</v>
      </c>
      <c r="D137" s="42" t="inlineStr">
        <is>
          <t>KALINA</t>
        </is>
      </c>
      <c r="E137" s="29" t="n">
        <v>10.52801024548572</v>
      </c>
      <c r="F137" s="35" t="n">
        <v>55.91855643641483</v>
      </c>
      <c r="G137" s="36" t="n">
        <v>2475</v>
      </c>
      <c r="H137" s="29" t="n">
        <v>5.714285714285714</v>
      </c>
      <c r="I137" s="16" t="inlineStr">
        <is>
          <t>no</t>
        </is>
      </c>
      <c r="J137" s="16" t="n"/>
      <c r="K137" s="16" t="inlineStr">
        <is>
          <t>bisección</t>
        </is>
      </c>
    </row>
    <row r="138">
      <c r="A138" s="16" t="inlineStr">
        <is>
          <t>KF-M02S-B2-0013</t>
        </is>
      </c>
      <c r="B138" s="35" t="n">
        <v>283.15</v>
      </c>
      <c r="C138" s="35" t="n">
        <v>600</v>
      </c>
      <c r="D138" s="42" t="inlineStr">
        <is>
          <t>KALINA</t>
        </is>
      </c>
      <c r="E138" s="29" t="n">
        <v>9.769545446446951</v>
      </c>
      <c r="F138" s="35" t="n">
        <v>51.85691753239725</v>
      </c>
      <c r="G138" s="36" t="n">
        <v>2400</v>
      </c>
      <c r="H138" s="29" t="n">
        <v>5</v>
      </c>
      <c r="I138" s="16" t="inlineStr">
        <is>
          <t>no</t>
        </is>
      </c>
      <c r="J138" s="16" t="n"/>
      <c r="K138" s="16" t="inlineStr">
        <is>
          <t>malla</t>
        </is>
      </c>
    </row>
    <row r="139">
      <c r="A139" s="16" t="inlineStr">
        <is>
          <t>KF-M02S-B2-0014</t>
        </is>
      </c>
      <c r="B139" s="35" t="n">
        <v>283.15</v>
      </c>
      <c r="C139" s="35" t="n">
        <v>750</v>
      </c>
      <c r="D139" s="42" t="inlineStr">
        <is>
          <t>KALINA</t>
        </is>
      </c>
      <c r="E139" s="29" t="n">
        <v>8.479133613969161</v>
      </c>
      <c r="F139" s="35" t="n">
        <v>44.95911976086182</v>
      </c>
      <c r="G139" s="36" t="n">
        <v>2250</v>
      </c>
      <c r="H139" s="29" t="n">
        <v>4</v>
      </c>
      <c r="I139" s="16" t="inlineStr">
        <is>
          <t>no</t>
        </is>
      </c>
      <c r="J139" s="16" t="n"/>
      <c r="K139" s="16" t="inlineStr">
        <is>
          <t>malla</t>
        </is>
      </c>
    </row>
    <row r="140">
      <c r="A140" s="16" t="inlineStr">
        <is>
          <t>KF-M02S-B2-0015</t>
        </is>
      </c>
      <c r="B140" s="35" t="n">
        <v>283.15</v>
      </c>
      <c r="C140" s="35" t="n">
        <v>900</v>
      </c>
      <c r="D140" s="42" t="inlineStr">
        <is>
          <t>KALINA</t>
        </is>
      </c>
      <c r="E140" s="29" t="n">
        <v>7.40456146818481</v>
      </c>
      <c r="F140" s="35" t="n">
        <v>39.22690150412661</v>
      </c>
      <c r="G140" s="36" t="n">
        <v>2100</v>
      </c>
      <c r="H140" s="29" t="n">
        <v>3.333333333333333</v>
      </c>
      <c r="I140" s="16" t="inlineStr">
        <is>
          <t>no</t>
        </is>
      </c>
      <c r="J140" s="16" t="n"/>
      <c r="K140" s="16" t="inlineStr">
        <is>
          <t>malla</t>
        </is>
      </c>
    </row>
    <row r="141">
      <c r="A141" s="16" t="inlineStr">
        <is>
          <t>KF-M02S-B2-0016</t>
        </is>
      </c>
      <c r="B141" s="35" t="n">
        <v>283.15</v>
      </c>
      <c r="C141" s="35" t="n">
        <v>1050</v>
      </c>
      <c r="D141" s="42" t="inlineStr">
        <is>
          <t>KALINA</t>
        </is>
      </c>
      <c r="E141" s="29" t="n">
        <v>6.482864930520189</v>
      </c>
      <c r="F141" s="35" t="n">
        <v>34.31860903615208</v>
      </c>
      <c r="G141" s="36" t="n">
        <v>1950</v>
      </c>
      <c r="H141" s="29" t="n">
        <v>2.857142857142857</v>
      </c>
      <c r="I141" s="16" t="inlineStr">
        <is>
          <t>no</t>
        </is>
      </c>
      <c r="J141" s="16" t="n"/>
      <c r="K141" s="16" t="inlineStr">
        <is>
          <t>malla</t>
        </is>
      </c>
    </row>
    <row r="142">
      <c r="A142" s="16" t="inlineStr">
        <is>
          <t>KF-M02S-B2-0017</t>
        </is>
      </c>
      <c r="B142" s="35" t="n">
        <v>283.15</v>
      </c>
      <c r="C142" s="35" t="n">
        <v>1200</v>
      </c>
      <c r="D142" s="42" t="inlineStr">
        <is>
          <t>KALINA</t>
        </is>
      </c>
      <c r="E142" s="29" t="n">
        <v>5.67553705973351</v>
      </c>
      <c r="F142" s="35" t="n">
        <v>30.02564451421101</v>
      </c>
      <c r="G142" s="36" t="n">
        <v>1800</v>
      </c>
      <c r="H142" s="29" t="n">
        <v>2.5</v>
      </c>
      <c r="I142" s="16" t="inlineStr">
        <is>
          <t>no</t>
        </is>
      </c>
      <c r="J142" s="16" t="n"/>
      <c r="K142" s="16" t="inlineStr">
        <is>
          <t>malla</t>
        </is>
      </c>
    </row>
    <row r="143">
      <c r="A143" s="16" t="inlineStr">
        <is>
          <t>KF-M02S-B2-0018</t>
        </is>
      </c>
      <c r="B143" s="35" t="n">
        <v>283.15</v>
      </c>
      <c r="C143" s="35" t="n">
        <v>1350</v>
      </c>
      <c r="D143" s="42" t="inlineStr">
        <is>
          <t>KALINA</t>
        </is>
      </c>
      <c r="E143" s="29" t="n">
        <v>4.95722642388793</v>
      </c>
      <c r="F143" s="35" t="n">
        <v>26.21087468576227</v>
      </c>
      <c r="G143" s="36" t="n">
        <v>1650</v>
      </c>
      <c r="H143" s="29" t="n">
        <v>2.222222222222222</v>
      </c>
      <c r="I143" s="16" t="inlineStr">
        <is>
          <t>no</t>
        </is>
      </c>
      <c r="J143" s="16" t="n"/>
      <c r="K143" s="16" t="inlineStr">
        <is>
          <t>malla</t>
        </is>
      </c>
    </row>
    <row r="144">
      <c r="A144" s="16" t="inlineStr">
        <is>
          <t>KF-M02S-B2-0019</t>
        </is>
      </c>
      <c r="B144" s="35" t="n">
        <v>283.15</v>
      </c>
      <c r="C144" s="35" t="n">
        <v>1500</v>
      </c>
      <c r="D144" s="42" t="inlineStr">
        <is>
          <t>KALINA</t>
        </is>
      </c>
      <c r="E144" s="29" t="n">
        <v>4.31031329679835</v>
      </c>
      <c r="F144" s="35" t="n">
        <v>22.77911273840071</v>
      </c>
      <c r="G144" s="36" t="n">
        <v>1500</v>
      </c>
      <c r="H144" s="29" t="n">
        <v>2</v>
      </c>
      <c r="I144" s="16" t="inlineStr">
        <is>
          <t>no</t>
        </is>
      </c>
      <c r="J144" s="16" t="n"/>
      <c r="K144" s="16" t="inlineStr">
        <is>
          <t>malla</t>
        </is>
      </c>
    </row>
    <row r="145">
      <c r="A145" s="16" t="inlineStr">
        <is>
          <t>KF-M02S-B2-0020</t>
        </is>
      </c>
      <c r="B145" s="35" t="n">
        <v>288.15</v>
      </c>
      <c r="C145" s="35" t="n">
        <v>150</v>
      </c>
      <c r="D145" s="39" t="inlineStr">
        <is>
          <t>Corregible</t>
        </is>
      </c>
      <c r="E145" s="29" t="n">
        <v>10.63374661508692</v>
      </c>
      <c r="F145" s="35" t="n">
        <v>46.41788554666806</v>
      </c>
      <c r="G145" s="36" t="n">
        <v>2850</v>
      </c>
      <c r="H145" s="29" t="n">
        <v>20</v>
      </c>
      <c r="I145" s="16" t="inlineStr">
        <is>
          <t>no</t>
        </is>
      </c>
      <c r="J145" s="16" t="inlineStr">
        <is>
          <t>O1,O2</t>
        </is>
      </c>
      <c r="K145" s="16" t="inlineStr">
        <is>
          <t>malla</t>
        </is>
      </c>
    </row>
    <row r="146">
      <c r="A146" s="16" t="inlineStr">
        <is>
          <t>KF-M02S-B2-0021</t>
        </is>
      </c>
      <c r="B146" s="35" t="n">
        <v>288.15</v>
      </c>
      <c r="C146" s="35" t="n">
        <v>300</v>
      </c>
      <c r="D146" s="39" t="inlineStr">
        <is>
          <t>Corregible</t>
        </is>
      </c>
      <c r="E146" s="29" t="n">
        <v>13.42871243542744</v>
      </c>
      <c r="F146" s="35" t="n">
        <v>70.28683008702366</v>
      </c>
      <c r="G146" s="36" t="n">
        <v>2700</v>
      </c>
      <c r="H146" s="29" t="n">
        <v>10</v>
      </c>
      <c r="I146" s="16" t="inlineStr">
        <is>
          <t>no</t>
        </is>
      </c>
      <c r="J146" s="16" t="inlineStr">
        <is>
          <t>O2</t>
        </is>
      </c>
      <c r="K146" s="16" t="inlineStr">
        <is>
          <t>malla</t>
        </is>
      </c>
    </row>
    <row r="147">
      <c r="A147" s="16" t="inlineStr">
        <is>
          <t>KF-M02S-B2-0022</t>
        </is>
      </c>
      <c r="B147" s="35" t="n">
        <v>288.15</v>
      </c>
      <c r="C147" s="35" t="n">
        <v>450</v>
      </c>
      <c r="D147" s="39" t="inlineStr">
        <is>
          <t>Corregible</t>
        </is>
      </c>
      <c r="E147" s="29" t="n">
        <v>11.56591701456847</v>
      </c>
      <c r="F147" s="35" t="n">
        <v>60.52917007503767</v>
      </c>
      <c r="G147" s="36" t="n">
        <v>2550</v>
      </c>
      <c r="H147" s="29" t="n">
        <v>6.666666666666667</v>
      </c>
      <c r="I147" s="16" t="inlineStr">
        <is>
          <t>no</t>
        </is>
      </c>
      <c r="J147" s="16" t="inlineStr">
        <is>
          <t>O2</t>
        </is>
      </c>
      <c r="K147" s="16" t="inlineStr">
        <is>
          <t>malla</t>
        </is>
      </c>
    </row>
    <row r="148">
      <c r="A148" s="16" t="inlineStr">
        <is>
          <t>KF-M02S-B2-0053</t>
        </is>
      </c>
      <c r="B148" s="35" t="n">
        <v>288.15</v>
      </c>
      <c r="C148" s="35" t="n">
        <v>525</v>
      </c>
      <c r="D148" s="39" t="inlineStr">
        <is>
          <t>Corregible</t>
        </is>
      </c>
      <c r="E148" s="29" t="n">
        <v>10.72361039564103</v>
      </c>
      <c r="F148" s="35" t="n">
        <v>56.0887336979534</v>
      </c>
      <c r="G148" s="36" t="n">
        <v>2475</v>
      </c>
      <c r="H148" s="29" t="n">
        <v>5.714285714285714</v>
      </c>
      <c r="I148" s="16" t="inlineStr">
        <is>
          <t>no</t>
        </is>
      </c>
      <c r="J148" s="16" t="inlineStr">
        <is>
          <t>O2</t>
        </is>
      </c>
      <c r="K148" s="16" t="inlineStr">
        <is>
          <t>bisección</t>
        </is>
      </c>
    </row>
    <row r="149">
      <c r="A149" s="16" t="inlineStr">
        <is>
          <t>KF-M02S-B2-0055</t>
        </is>
      </c>
      <c r="B149" s="35" t="n">
        <v>288.15</v>
      </c>
      <c r="C149" s="35" t="n">
        <v>525</v>
      </c>
      <c r="D149" s="39" t="inlineStr">
        <is>
          <t>Corregible</t>
        </is>
      </c>
      <c r="E149" s="29" t="n">
        <v>10.72361039564103</v>
      </c>
      <c r="F149" s="35" t="n">
        <v>56.0887336979534</v>
      </c>
      <c r="G149" s="36" t="n">
        <v>2475</v>
      </c>
      <c r="H149" s="29" t="n">
        <v>5.714285714285714</v>
      </c>
      <c r="I149" s="16" t="inlineStr">
        <is>
          <t>no</t>
        </is>
      </c>
      <c r="J149" s="16" t="inlineStr">
        <is>
          <t>O2</t>
        </is>
      </c>
      <c r="K149" s="16" t="inlineStr">
        <is>
          <t>bisección</t>
        </is>
      </c>
    </row>
    <row r="150">
      <c r="A150" s="16" t="inlineStr">
        <is>
          <t>KF-M02S-B2-0083</t>
        </is>
      </c>
      <c r="B150" s="35" t="n">
        <v>288.15</v>
      </c>
      <c r="C150" s="35" t="n">
        <v>534.375</v>
      </c>
      <c r="D150" s="42" t="inlineStr">
        <is>
          <t>KALINA</t>
        </is>
      </c>
      <c r="E150" s="29" t="n">
        <v>10.62196052106462</v>
      </c>
      <c r="F150" s="35" t="n">
        <v>55.55232011661489</v>
      </c>
      <c r="G150" s="36" t="n">
        <v>2465.625</v>
      </c>
      <c r="H150" s="29" t="n">
        <v>5.614035087719298</v>
      </c>
      <c r="I150" s="16" t="inlineStr">
        <is>
          <t>no</t>
        </is>
      </c>
      <c r="J150" s="16" t="n"/>
      <c r="K150" s="16" t="inlineStr">
        <is>
          <t>bisección</t>
        </is>
      </c>
    </row>
    <row r="151">
      <c r="A151" s="16" t="inlineStr">
        <is>
          <t>KF-M02S-B2-0085</t>
        </is>
      </c>
      <c r="B151" s="35" t="n">
        <v>288.15</v>
      </c>
      <c r="C151" s="35" t="n">
        <v>534.375</v>
      </c>
      <c r="D151" s="42" t="inlineStr">
        <is>
          <t>KALINA</t>
        </is>
      </c>
      <c r="E151" s="29" t="n">
        <v>10.62196052106462</v>
      </c>
      <c r="F151" s="35" t="n">
        <v>55.55232011661489</v>
      </c>
      <c r="G151" s="36" t="n">
        <v>2465.625</v>
      </c>
      <c r="H151" s="29" t="n">
        <v>5.614035087719298</v>
      </c>
      <c r="I151" s="16" t="inlineStr">
        <is>
          <t>no</t>
        </is>
      </c>
      <c r="J151" s="16" t="n"/>
      <c r="K151" s="16" t="inlineStr">
        <is>
          <t>bisección</t>
        </is>
      </c>
    </row>
    <row r="152">
      <c r="A152" s="16" t="inlineStr">
        <is>
          <t>KF-M02S-B2-0073</t>
        </is>
      </c>
      <c r="B152" s="35" t="n">
        <v>288.15</v>
      </c>
      <c r="C152" s="35" t="n">
        <v>543.75</v>
      </c>
      <c r="D152" s="42" t="inlineStr">
        <is>
          <t>KALINA</t>
        </is>
      </c>
      <c r="E152" s="29" t="n">
        <v>10.52176226022545</v>
      </c>
      <c r="F152" s="35" t="n">
        <v>55.02363311518772</v>
      </c>
      <c r="G152" s="36" t="n">
        <v>2456.25</v>
      </c>
      <c r="H152" s="29" t="n">
        <v>5.517241379310345</v>
      </c>
      <c r="I152" s="16" t="inlineStr">
        <is>
          <t>no</t>
        </is>
      </c>
      <c r="J152" s="16" t="n"/>
      <c r="K152" s="16" t="inlineStr">
        <is>
          <t>bisección</t>
        </is>
      </c>
    </row>
    <row r="153">
      <c r="A153" s="16" t="inlineStr">
        <is>
          <t>KF-M02S-B2-0075</t>
        </is>
      </c>
      <c r="B153" s="35" t="n">
        <v>288.15</v>
      </c>
      <c r="C153" s="35" t="n">
        <v>543.75</v>
      </c>
      <c r="D153" s="42" t="inlineStr">
        <is>
          <t>KALINA</t>
        </is>
      </c>
      <c r="E153" s="29" t="n">
        <v>10.52176226022545</v>
      </c>
      <c r="F153" s="35" t="n">
        <v>55.02363311518772</v>
      </c>
      <c r="G153" s="36" t="n">
        <v>2456.25</v>
      </c>
      <c r="H153" s="29" t="n">
        <v>5.517241379310345</v>
      </c>
      <c r="I153" s="16" t="inlineStr">
        <is>
          <t>no</t>
        </is>
      </c>
      <c r="J153" s="16" t="n"/>
      <c r="K153" s="16" t="inlineStr">
        <is>
          <t>bisección</t>
        </is>
      </c>
    </row>
    <row r="154">
      <c r="A154" s="16" t="inlineStr">
        <is>
          <t>KF-M02S-B2-0062</t>
        </is>
      </c>
      <c r="B154" s="35" t="n">
        <v>288.15</v>
      </c>
      <c r="C154" s="35" t="n">
        <v>562.5</v>
      </c>
      <c r="D154" s="42" t="inlineStr">
        <is>
          <t>KALINA</t>
        </is>
      </c>
      <c r="E154" s="29" t="n">
        <v>10.32592167862772</v>
      </c>
      <c r="F154" s="35" t="n">
        <v>53.99056945692303</v>
      </c>
      <c r="G154" s="36" t="n">
        <v>2437.5</v>
      </c>
      <c r="H154" s="29" t="n">
        <v>5.333333333333333</v>
      </c>
      <c r="I154" s="16" t="inlineStr">
        <is>
          <t>no</t>
        </is>
      </c>
      <c r="J154" s="16" t="n"/>
      <c r="K154" s="16" t="inlineStr">
        <is>
          <t>bisección</t>
        </is>
      </c>
    </row>
    <row r="155">
      <c r="A155" s="16" t="inlineStr">
        <is>
          <t>KF-M02S-B2-0065</t>
        </is>
      </c>
      <c r="B155" s="35" t="n">
        <v>288.15</v>
      </c>
      <c r="C155" s="35" t="n">
        <v>562.5</v>
      </c>
      <c r="D155" s="42" t="inlineStr">
        <is>
          <t>KALINA</t>
        </is>
      </c>
      <c r="E155" s="29" t="n">
        <v>10.32592167862772</v>
      </c>
      <c r="F155" s="35" t="n">
        <v>53.99056945692303</v>
      </c>
      <c r="G155" s="36" t="n">
        <v>2437.5</v>
      </c>
      <c r="H155" s="29" t="n">
        <v>5.333333333333333</v>
      </c>
      <c r="I155" s="16" t="inlineStr">
        <is>
          <t>no</t>
        </is>
      </c>
      <c r="J155" s="16" t="n"/>
      <c r="K155" s="16" t="inlineStr">
        <is>
          <t>bisección</t>
        </is>
      </c>
    </row>
    <row r="156">
      <c r="A156" s="16" t="inlineStr">
        <is>
          <t>KF-M02S-B2-0024</t>
        </is>
      </c>
      <c r="B156" s="35" t="n">
        <v>288.15</v>
      </c>
      <c r="C156" s="35" t="n">
        <v>600</v>
      </c>
      <c r="D156" s="42" t="inlineStr">
        <is>
          <t>KALINA</t>
        </is>
      </c>
      <c r="E156" s="29" t="n">
        <v>9.951195242028971</v>
      </c>
      <c r="F156" s="35" t="n">
        <v>52.01487719919917</v>
      </c>
      <c r="G156" s="36" t="n">
        <v>2400</v>
      </c>
      <c r="H156" s="29" t="n">
        <v>5</v>
      </c>
      <c r="I156" s="16" t="inlineStr">
        <is>
          <t>no</t>
        </is>
      </c>
      <c r="J156" s="16" t="n"/>
      <c r="K156" s="16" t="inlineStr">
        <is>
          <t>malla</t>
        </is>
      </c>
    </row>
    <row r="157">
      <c r="A157" s="16" t="inlineStr">
        <is>
          <t>KF-M02S-B2-0023</t>
        </is>
      </c>
      <c r="B157" s="35" t="n">
        <v>288.15</v>
      </c>
      <c r="C157" s="35" t="n">
        <v>750</v>
      </c>
      <c r="D157" s="42" t="inlineStr">
        <is>
          <t>KALINA</t>
        </is>
      </c>
      <c r="E157" s="29" t="n">
        <v>8.636805595675929</v>
      </c>
      <c r="F157" s="35" t="n">
        <v>45.09524456955386</v>
      </c>
      <c r="G157" s="36" t="n">
        <v>2250</v>
      </c>
      <c r="H157" s="29" t="n">
        <v>4</v>
      </c>
      <c r="I157" s="16" t="inlineStr">
        <is>
          <t>no</t>
        </is>
      </c>
      <c r="J157" s="16" t="n"/>
      <c r="K157" s="16" t="inlineStr">
        <is>
          <t>malla</t>
        </is>
      </c>
    </row>
    <row r="158">
      <c r="A158" s="16" t="inlineStr">
        <is>
          <t>KF-M02S-B2-0025</t>
        </is>
      </c>
      <c r="B158" s="35" t="n">
        <v>288.15</v>
      </c>
      <c r="C158" s="35" t="n">
        <v>900</v>
      </c>
      <c r="D158" s="42" t="inlineStr">
        <is>
          <t>KALINA</t>
        </is>
      </c>
      <c r="E158" s="29" t="n">
        <v>7.54225176383516</v>
      </c>
      <c r="F158" s="35" t="n">
        <v>39.34503726195055</v>
      </c>
      <c r="G158" s="36" t="n">
        <v>2100</v>
      </c>
      <c r="H158" s="29" t="n">
        <v>3.333333333333333</v>
      </c>
      <c r="I158" s="16" t="inlineStr">
        <is>
          <t>no</t>
        </is>
      </c>
      <c r="J158" s="16" t="n"/>
      <c r="K158" s="16" t="inlineStr">
        <is>
          <t>malla</t>
        </is>
      </c>
    </row>
    <row r="159">
      <c r="A159" s="16" t="inlineStr">
        <is>
          <t>KF-M02S-B2-0026</t>
        </is>
      </c>
      <c r="B159" s="35" t="n">
        <v>288.15</v>
      </c>
      <c r="C159" s="35" t="n">
        <v>1050</v>
      </c>
      <c r="D159" s="42" t="inlineStr">
        <is>
          <t>KALINA</t>
        </is>
      </c>
      <c r="E159" s="29" t="n">
        <v>6.60340764545448</v>
      </c>
      <c r="F159" s="35" t="n">
        <v>34.42145956774781</v>
      </c>
      <c r="G159" s="36" t="n">
        <v>1950</v>
      </c>
      <c r="H159" s="29" t="n">
        <v>2.857142857142857</v>
      </c>
      <c r="I159" s="16" t="inlineStr">
        <is>
          <t>no</t>
        </is>
      </c>
      <c r="J159" s="16" t="n"/>
      <c r="K159" s="16" t="inlineStr">
        <is>
          <t>malla</t>
        </is>
      </c>
    </row>
    <row r="160">
      <c r="A160" s="16" t="inlineStr">
        <is>
          <t>KF-M02S-B2-0027</t>
        </is>
      </c>
      <c r="B160" s="35" t="n">
        <v>288.15</v>
      </c>
      <c r="C160" s="35" t="n">
        <v>1200</v>
      </c>
      <c r="D160" s="42" t="inlineStr">
        <is>
          <t>KALINA</t>
        </is>
      </c>
      <c r="E160" s="29" t="n">
        <v>5.78105231080368</v>
      </c>
      <c r="F160" s="35" t="n">
        <v>30.11521832322888</v>
      </c>
      <c r="G160" s="36" t="n">
        <v>1800</v>
      </c>
      <c r="H160" s="29" t="n">
        <v>2.5</v>
      </c>
      <c r="I160" s="16" t="inlineStr">
        <is>
          <t>no</t>
        </is>
      </c>
      <c r="J160" s="16" t="n"/>
      <c r="K160" s="16" t="inlineStr">
        <is>
          <t>malla</t>
        </is>
      </c>
    </row>
    <row r="161">
      <c r="A161" s="16" t="inlineStr">
        <is>
          <t>KF-M02S-B2-0028</t>
        </is>
      </c>
      <c r="B161" s="35" t="n">
        <v>288.15</v>
      </c>
      <c r="C161" s="35" t="n">
        <v>1350</v>
      </c>
      <c r="D161" s="42" t="inlineStr">
        <is>
          <t>KALINA</t>
        </is>
      </c>
      <c r="E161" s="29" t="n">
        <v>5.04937187861442</v>
      </c>
      <c r="F161" s="35" t="n">
        <v>26.28873303658052</v>
      </c>
      <c r="G161" s="36" t="n">
        <v>1650</v>
      </c>
      <c r="H161" s="29" t="n">
        <v>2.222222222222222</v>
      </c>
      <c r="I161" s="16" t="inlineStr">
        <is>
          <t>no</t>
        </is>
      </c>
      <c r="J161" s="16" t="n"/>
      <c r="K161" s="16" t="inlineStr">
        <is>
          <t>malla</t>
        </is>
      </c>
    </row>
    <row r="162">
      <c r="A162" s="16" t="inlineStr">
        <is>
          <t>KF-M02S-B2-0029</t>
        </is>
      </c>
      <c r="B162" s="35" t="n">
        <v>288.15</v>
      </c>
      <c r="C162" s="35" t="n">
        <v>1500</v>
      </c>
      <c r="D162" s="42" t="inlineStr">
        <is>
          <t>KALINA</t>
        </is>
      </c>
      <c r="E162" s="29" t="n">
        <v>4.3904173963407</v>
      </c>
      <c r="F162" s="35" t="n">
        <v>22.84650043618621</v>
      </c>
      <c r="G162" s="36" t="n">
        <v>1500</v>
      </c>
      <c r="H162" s="29" t="n">
        <v>2</v>
      </c>
      <c r="I162" s="16" t="inlineStr">
        <is>
          <t>no</t>
        </is>
      </c>
      <c r="J162" s="16" t="n"/>
      <c r="K162" s="16" t="inlineStr">
        <is>
          <t>malla</t>
        </is>
      </c>
    </row>
    <row r="163">
      <c r="A163" s="16" t="inlineStr">
        <is>
          <t>KF-M02S-B2-0032</t>
        </is>
      </c>
      <c r="B163" s="35" t="n">
        <v>293.15</v>
      </c>
      <c r="C163" s="35" t="n">
        <v>150</v>
      </c>
      <c r="D163" s="39" t="inlineStr">
        <is>
          <t>Corregible</t>
        </is>
      </c>
      <c r="E163" s="29" t="n">
        <v>4.86781407487201</v>
      </c>
      <c r="F163" s="35" t="n">
        <v>18.89530417583678</v>
      </c>
      <c r="G163" s="36" t="n">
        <v>2850</v>
      </c>
      <c r="H163" s="29" t="n">
        <v>20</v>
      </c>
      <c r="I163" s="16" t="inlineStr">
        <is>
          <t>no</t>
        </is>
      </c>
      <c r="J163" s="16" t="inlineStr">
        <is>
          <t>O1,O2</t>
        </is>
      </c>
      <c r="K163" s="16" t="inlineStr">
        <is>
          <t>malla</t>
        </is>
      </c>
    </row>
    <row r="164">
      <c r="A164" s="16" t="inlineStr">
        <is>
          <t>KF-M02S-B2-0030</t>
        </is>
      </c>
      <c r="B164" s="35" t="n">
        <v>293.15</v>
      </c>
      <c r="C164" s="35" t="n">
        <v>300</v>
      </c>
      <c r="D164" s="39" t="inlineStr">
        <is>
          <t>Corregible</t>
        </is>
      </c>
      <c r="E164" s="29" t="n">
        <v>13.42268303819938</v>
      </c>
      <c r="F164" s="35" t="n">
        <v>69.07444009676553</v>
      </c>
      <c r="G164" s="36" t="n">
        <v>2700</v>
      </c>
      <c r="H164" s="29" t="n">
        <v>10</v>
      </c>
      <c r="I164" s="16" t="inlineStr">
        <is>
          <t>no</t>
        </is>
      </c>
      <c r="J164" s="16" t="inlineStr">
        <is>
          <t>O2</t>
        </is>
      </c>
      <c r="K164" s="16" t="inlineStr">
        <is>
          <t>malla</t>
        </is>
      </c>
    </row>
    <row r="165">
      <c r="A165" s="16" t="inlineStr">
        <is>
          <t>KF-M02S-B2-0031</t>
        </is>
      </c>
      <c r="B165" s="35" t="n">
        <v>293.15</v>
      </c>
      <c r="C165" s="35" t="n">
        <v>450</v>
      </c>
      <c r="D165" s="39" t="inlineStr">
        <is>
          <t>Corregible</t>
        </is>
      </c>
      <c r="E165" s="29" t="n">
        <v>11.68930740367206</v>
      </c>
      <c r="F165" s="35" t="n">
        <v>60.19449865751274</v>
      </c>
      <c r="G165" s="36" t="n">
        <v>2550</v>
      </c>
      <c r="H165" s="29" t="n">
        <v>6.666666666666667</v>
      </c>
      <c r="I165" s="16" t="inlineStr">
        <is>
          <t>no</t>
        </is>
      </c>
      <c r="J165" s="16" t="inlineStr">
        <is>
          <t>O2</t>
        </is>
      </c>
      <c r="K165" s="16" t="inlineStr">
        <is>
          <t>malla</t>
        </is>
      </c>
    </row>
    <row r="166">
      <c r="A166" s="16" t="inlineStr">
        <is>
          <t>KF-M02S-B2-0033</t>
        </is>
      </c>
      <c r="B166" s="35" t="n">
        <v>293.15</v>
      </c>
      <c r="C166" s="35" t="n">
        <v>600</v>
      </c>
      <c r="D166" s="39" t="inlineStr">
        <is>
          <t>Corregible</t>
        </is>
      </c>
      <c r="E166" s="29" t="n">
        <v>10.13930752454878</v>
      </c>
      <c r="F166" s="35" t="n">
        <v>52.1710580024439</v>
      </c>
      <c r="G166" s="36" t="n">
        <v>2400</v>
      </c>
      <c r="H166" s="29" t="n">
        <v>5</v>
      </c>
      <c r="I166" s="16" t="inlineStr">
        <is>
          <t>no</t>
        </is>
      </c>
      <c r="J166" s="16" t="inlineStr">
        <is>
          <t>O2</t>
        </is>
      </c>
      <c r="K166" s="16" t="inlineStr">
        <is>
          <t>malla</t>
        </is>
      </c>
    </row>
    <row r="167">
      <c r="A167" s="16" t="inlineStr">
        <is>
          <t>KF-M02S-B2-0086</t>
        </is>
      </c>
      <c r="B167" s="35" t="n">
        <v>293.15</v>
      </c>
      <c r="C167" s="35" t="n">
        <v>609.375</v>
      </c>
      <c r="D167" s="39" t="inlineStr">
        <is>
          <t>Corregible</t>
        </is>
      </c>
      <c r="E167" s="29" t="n">
        <v>10.04765433055355</v>
      </c>
      <c r="F167" s="35" t="n">
        <v>51.69558026028981</v>
      </c>
      <c r="G167" s="36" t="n">
        <v>2390.625</v>
      </c>
      <c r="H167" s="29" t="n">
        <v>4.923076923076923</v>
      </c>
      <c r="I167" s="16" t="inlineStr">
        <is>
          <t>no</t>
        </is>
      </c>
      <c r="J167" s="16" t="inlineStr">
        <is>
          <t>O2</t>
        </is>
      </c>
      <c r="K167" s="16" t="inlineStr">
        <is>
          <t>bisección</t>
        </is>
      </c>
    </row>
    <row r="168">
      <c r="A168" s="16" t="inlineStr">
        <is>
          <t>KF-M02S-B2-0087</t>
        </is>
      </c>
      <c r="B168" s="35" t="n">
        <v>293.15</v>
      </c>
      <c r="C168" s="35" t="n">
        <v>609.375</v>
      </c>
      <c r="D168" s="39" t="inlineStr">
        <is>
          <t>Corregible</t>
        </is>
      </c>
      <c r="E168" s="29" t="n">
        <v>10.04765433055355</v>
      </c>
      <c r="F168" s="35" t="n">
        <v>51.69558026028981</v>
      </c>
      <c r="G168" s="36" t="n">
        <v>2390.625</v>
      </c>
      <c r="H168" s="29" t="n">
        <v>4.923076923076923</v>
      </c>
      <c r="I168" s="16" t="inlineStr">
        <is>
          <t>no</t>
        </is>
      </c>
      <c r="J168" s="16" t="inlineStr">
        <is>
          <t>O2</t>
        </is>
      </c>
      <c r="K168" s="16" t="inlineStr">
        <is>
          <t>bisección</t>
        </is>
      </c>
    </row>
    <row r="169">
      <c r="A169" s="16" t="inlineStr">
        <is>
          <t>KF-M02S-B2-0076</t>
        </is>
      </c>
      <c r="B169" s="35" t="n">
        <v>293.15</v>
      </c>
      <c r="C169" s="35" t="n">
        <v>618.75</v>
      </c>
      <c r="D169" s="42" t="inlineStr">
        <is>
          <t>KALINA</t>
        </is>
      </c>
      <c r="E169" s="29" t="n">
        <v>9.95682336587444</v>
      </c>
      <c r="F169" s="35" t="n">
        <v>51.22435583255326</v>
      </c>
      <c r="G169" s="36" t="n">
        <v>2381.25</v>
      </c>
      <c r="H169" s="29" t="n">
        <v>4.848484848484849</v>
      </c>
      <c r="I169" s="16" t="inlineStr">
        <is>
          <t>no</t>
        </is>
      </c>
      <c r="J169" s="16" t="n"/>
      <c r="K169" s="16" t="inlineStr">
        <is>
          <t>bisección</t>
        </is>
      </c>
    </row>
    <row r="170">
      <c r="A170" s="16" t="inlineStr">
        <is>
          <t>KF-M02S-B2-0078</t>
        </is>
      </c>
      <c r="B170" s="35" t="n">
        <v>293.15</v>
      </c>
      <c r="C170" s="35" t="n">
        <v>618.75</v>
      </c>
      <c r="D170" s="42" t="inlineStr">
        <is>
          <t>KALINA</t>
        </is>
      </c>
      <c r="E170" s="29" t="n">
        <v>9.95682336587444</v>
      </c>
      <c r="F170" s="35" t="n">
        <v>51.22435583255326</v>
      </c>
      <c r="G170" s="36" t="n">
        <v>2381.25</v>
      </c>
      <c r="H170" s="29" t="n">
        <v>4.848484848484849</v>
      </c>
      <c r="I170" s="16" t="inlineStr">
        <is>
          <t>no</t>
        </is>
      </c>
      <c r="J170" s="16" t="n"/>
      <c r="K170" s="16" t="inlineStr">
        <is>
          <t>bisección</t>
        </is>
      </c>
    </row>
    <row r="171">
      <c r="A171" s="16" t="inlineStr">
        <is>
          <t>KF-M02S-B2-0068</t>
        </is>
      </c>
      <c r="B171" s="35" t="n">
        <v>293.15</v>
      </c>
      <c r="C171" s="35" t="n">
        <v>637.5</v>
      </c>
      <c r="D171" s="42" t="inlineStr">
        <is>
          <t>KALINA</t>
        </is>
      </c>
      <c r="E171" s="29" t="n">
        <v>9.77880519120062</v>
      </c>
      <c r="F171" s="35" t="n">
        <v>50.30102763957688</v>
      </c>
      <c r="G171" s="36" t="n">
        <v>2362.5</v>
      </c>
      <c r="H171" s="29" t="n">
        <v>4.705882352941177</v>
      </c>
      <c r="I171" s="16" t="inlineStr">
        <is>
          <t>no</t>
        </is>
      </c>
      <c r="J171" s="16" t="n"/>
      <c r="K171" s="16" t="inlineStr">
        <is>
          <t>bisección</t>
        </is>
      </c>
    </row>
    <row r="172">
      <c r="A172" s="16" t="inlineStr">
        <is>
          <t>KF-M02S-B2-0069</t>
        </is>
      </c>
      <c r="B172" s="35" t="n">
        <v>293.15</v>
      </c>
      <c r="C172" s="35" t="n">
        <v>637.5</v>
      </c>
      <c r="D172" s="42" t="inlineStr">
        <is>
          <t>KALINA</t>
        </is>
      </c>
      <c r="E172" s="29" t="n">
        <v>9.77880519120062</v>
      </c>
      <c r="F172" s="35" t="n">
        <v>50.30102763957688</v>
      </c>
      <c r="G172" s="36" t="n">
        <v>2362.5</v>
      </c>
      <c r="H172" s="29" t="n">
        <v>4.705882352941177</v>
      </c>
      <c r="I172" s="16" t="inlineStr">
        <is>
          <t>no</t>
        </is>
      </c>
      <c r="J172" s="16" t="n"/>
      <c r="K172" s="16" t="inlineStr">
        <is>
          <t>bisección</t>
        </is>
      </c>
    </row>
    <row r="173">
      <c r="A173" s="16" t="inlineStr">
        <is>
          <t>KF-M02S-B2-0056</t>
        </is>
      </c>
      <c r="B173" s="35" t="n">
        <v>293.15</v>
      </c>
      <c r="C173" s="35" t="n">
        <v>675</v>
      </c>
      <c r="D173" s="42" t="inlineStr">
        <is>
          <t>KALINA</t>
        </is>
      </c>
      <c r="E173" s="29" t="n">
        <v>9.436478322075011</v>
      </c>
      <c r="F173" s="35" t="n">
        <v>48.52631216931114</v>
      </c>
      <c r="G173" s="36" t="n">
        <v>2325</v>
      </c>
      <c r="H173" s="29" t="n">
        <v>4.444444444444445</v>
      </c>
      <c r="I173" s="16" t="inlineStr">
        <is>
          <t>no</t>
        </is>
      </c>
      <c r="J173" s="16" t="n"/>
      <c r="K173" s="16" t="inlineStr">
        <is>
          <t>bisección</t>
        </is>
      </c>
    </row>
    <row r="174">
      <c r="A174" s="16" t="inlineStr">
        <is>
          <t>KF-M02S-B2-0058</t>
        </is>
      </c>
      <c r="B174" s="35" t="n">
        <v>293.15</v>
      </c>
      <c r="C174" s="35" t="n">
        <v>675</v>
      </c>
      <c r="D174" s="42" t="inlineStr">
        <is>
          <t>KALINA</t>
        </is>
      </c>
      <c r="E174" s="29" t="n">
        <v>9.436478322075011</v>
      </c>
      <c r="F174" s="35" t="n">
        <v>48.52631216931114</v>
      </c>
      <c r="G174" s="36" t="n">
        <v>2325</v>
      </c>
      <c r="H174" s="29" t="n">
        <v>4.444444444444445</v>
      </c>
      <c r="I174" s="16" t="inlineStr">
        <is>
          <t>no</t>
        </is>
      </c>
      <c r="J174" s="16" t="n"/>
      <c r="K174" s="16" t="inlineStr">
        <is>
          <t>bisección</t>
        </is>
      </c>
    </row>
    <row r="175">
      <c r="A175" s="16" t="inlineStr">
        <is>
          <t>KF-M02S-B2-0034</t>
        </is>
      </c>
      <c r="B175" s="35" t="n">
        <v>293.15</v>
      </c>
      <c r="C175" s="35" t="n">
        <v>750</v>
      </c>
      <c r="D175" s="42" t="inlineStr">
        <is>
          <t>KALINA</t>
        </is>
      </c>
      <c r="E175" s="29" t="n">
        <v>8.800478358867259</v>
      </c>
      <c r="F175" s="35" t="n">
        <v>45.23190699487393</v>
      </c>
      <c r="G175" s="36" t="n">
        <v>2250</v>
      </c>
      <c r="H175" s="29" t="n">
        <v>4</v>
      </c>
      <c r="I175" s="16" t="inlineStr">
        <is>
          <t>no</t>
        </is>
      </c>
      <c r="J175" s="16" t="n"/>
      <c r="K175" s="16" t="inlineStr">
        <is>
          <t>malla</t>
        </is>
      </c>
    </row>
    <row r="176">
      <c r="A176" s="16" t="inlineStr">
        <is>
          <t>KF-M02S-B2-0035</t>
        </is>
      </c>
      <c r="B176" s="35" t="n">
        <v>293.15</v>
      </c>
      <c r="C176" s="35" t="n">
        <v>900</v>
      </c>
      <c r="D176" s="42" t="inlineStr">
        <is>
          <t>KALINA</t>
        </is>
      </c>
      <c r="E176" s="29" t="n">
        <v>7.685183535959079</v>
      </c>
      <c r="F176" s="35" t="n">
        <v>39.46361576137853</v>
      </c>
      <c r="G176" s="36" t="n">
        <v>2100</v>
      </c>
      <c r="H176" s="29" t="n">
        <v>3.333333333333333</v>
      </c>
      <c r="I176" s="16" t="inlineStr">
        <is>
          <t>no</t>
        </is>
      </c>
      <c r="J176" s="16" t="n"/>
      <c r="K176" s="16" t="inlineStr">
        <is>
          <t>malla</t>
        </is>
      </c>
    </row>
    <row r="177">
      <c r="A177" s="16" t="inlineStr">
        <is>
          <t>KF-M02S-B2-0036</t>
        </is>
      </c>
      <c r="B177" s="35" t="n">
        <v>293.15</v>
      </c>
      <c r="C177" s="35" t="n">
        <v>1050</v>
      </c>
      <c r="D177" s="42" t="inlineStr">
        <is>
          <t>KALINA</t>
        </is>
      </c>
      <c r="E177" s="29" t="n">
        <v>6.7285393377506</v>
      </c>
      <c r="F177" s="35" t="n">
        <v>34.52467565994112</v>
      </c>
      <c r="G177" s="36" t="n">
        <v>1950</v>
      </c>
      <c r="H177" s="29" t="n">
        <v>2.857142857142857</v>
      </c>
      <c r="I177" s="16" t="inlineStr">
        <is>
          <t>no</t>
        </is>
      </c>
      <c r="J177" s="16" t="n"/>
      <c r="K177" s="16" t="inlineStr">
        <is>
          <t>malla</t>
        </is>
      </c>
    </row>
    <row r="178">
      <c r="A178" s="16" t="inlineStr">
        <is>
          <t>KF-M02S-B2-0037</t>
        </is>
      </c>
      <c r="B178" s="35" t="n">
        <v>293.15</v>
      </c>
      <c r="C178" s="35" t="n">
        <v>1200</v>
      </c>
      <c r="D178" s="42" t="inlineStr">
        <is>
          <t>KALINA</t>
        </is>
      </c>
      <c r="E178" s="29" t="n">
        <v>5.89059006282291</v>
      </c>
      <c r="F178" s="35" t="n">
        <v>30.20509924967617</v>
      </c>
      <c r="G178" s="36" t="n">
        <v>1800</v>
      </c>
      <c r="H178" s="29" t="n">
        <v>2.5</v>
      </c>
      <c r="I178" s="16" t="inlineStr">
        <is>
          <t>no</t>
        </is>
      </c>
      <c r="J178" s="16" t="n"/>
      <c r="K178" s="16" t="inlineStr">
        <is>
          <t>malla</t>
        </is>
      </c>
    </row>
    <row r="179">
      <c r="A179" s="16" t="inlineStr">
        <is>
          <t>KF-M02S-B2-0038</t>
        </is>
      </c>
      <c r="B179" s="35" t="n">
        <v>293.15</v>
      </c>
      <c r="C179" s="35" t="n">
        <v>1350</v>
      </c>
      <c r="D179" s="42" t="inlineStr">
        <is>
          <t>KALINA</t>
        </is>
      </c>
      <c r="E179" s="29" t="n">
        <v>5.14502967000857</v>
      </c>
      <c r="F179" s="35" t="n">
        <v>26.36684427013838</v>
      </c>
      <c r="G179" s="36" t="n">
        <v>1650</v>
      </c>
      <c r="H179" s="29" t="n">
        <v>2.222222222222222</v>
      </c>
      <c r="I179" s="16" t="inlineStr">
        <is>
          <t>no</t>
        </is>
      </c>
      <c r="J179" s="16" t="n"/>
      <c r="K179" s="16" t="inlineStr">
        <is>
          <t>malla</t>
        </is>
      </c>
    </row>
    <row r="180">
      <c r="A180" s="16" t="inlineStr">
        <is>
          <t>KF-M02S-B2-0039</t>
        </is>
      </c>
      <c r="B180" s="35" t="n">
        <v>293.15</v>
      </c>
      <c r="C180" s="35" t="n">
        <v>1500</v>
      </c>
      <c r="D180" s="42" t="inlineStr">
        <is>
          <t>KALINA</t>
        </is>
      </c>
      <c r="E180" s="29" t="n">
        <v>4.4735743872176</v>
      </c>
      <c r="F180" s="35" t="n">
        <v>22.91409523924154</v>
      </c>
      <c r="G180" s="36" t="n">
        <v>1500</v>
      </c>
      <c r="H180" s="29" t="n">
        <v>2</v>
      </c>
      <c r="I180" s="16" t="inlineStr">
        <is>
          <t>no</t>
        </is>
      </c>
      <c r="J180" s="16" t="n"/>
      <c r="K180" s="16" t="inlineStr">
        <is>
          <t>malla</t>
        </is>
      </c>
    </row>
    <row r="181">
      <c r="A181" s="16" t="inlineStr">
        <is>
          <t>KF-M02S-B2-0040</t>
        </is>
      </c>
      <c r="B181" s="35" t="n">
        <v>300.032917</v>
      </c>
      <c r="C181" s="35" t="n">
        <v>150</v>
      </c>
      <c r="D181" s="40" t="inlineStr">
        <is>
          <t>Inviable</t>
        </is>
      </c>
      <c r="E181" s="29" t="n">
        <v>-5.389705593465</v>
      </c>
      <c r="F181" s="35" t="n">
        <v>-15.58216950655182</v>
      </c>
      <c r="G181" s="36" t="n">
        <v>2850</v>
      </c>
      <c r="H181" s="29" t="n">
        <v>20</v>
      </c>
      <c r="I181" s="16" t="inlineStr">
        <is>
          <t>no</t>
        </is>
      </c>
      <c r="J181" s="16" t="inlineStr">
        <is>
          <t>O1,O2,O3</t>
        </is>
      </c>
      <c r="K181" s="16" t="inlineStr">
        <is>
          <t>malla</t>
        </is>
      </c>
    </row>
    <row r="182">
      <c r="A182" s="16" t="inlineStr">
        <is>
          <t>KF-M02S-B2-0042</t>
        </is>
      </c>
      <c r="B182" s="35" t="n">
        <v>300.032917</v>
      </c>
      <c r="C182" s="35" t="n">
        <v>300</v>
      </c>
      <c r="D182" s="39" t="inlineStr">
        <is>
          <t>Corregible</t>
        </is>
      </c>
      <c r="E182" s="29" t="n">
        <v>12.48919850487911</v>
      </c>
      <c r="F182" s="35" t="n">
        <v>58.88724473422816</v>
      </c>
      <c r="G182" s="36" t="n">
        <v>2700</v>
      </c>
      <c r="H182" s="29" t="n">
        <v>10</v>
      </c>
      <c r="I182" s="16" t="inlineStr">
        <is>
          <t>no</t>
        </is>
      </c>
      <c r="J182" s="16" t="inlineStr">
        <is>
          <t>O2</t>
        </is>
      </c>
      <c r="K182" s="16" t="inlineStr">
        <is>
          <t>malla</t>
        </is>
      </c>
    </row>
    <row r="183">
      <c r="A183" s="16" t="inlineStr">
        <is>
          <t>KF-M02S-B2-0041</t>
        </is>
      </c>
      <c r="B183" s="35" t="n">
        <v>300.032917</v>
      </c>
      <c r="C183" s="35" t="n">
        <v>450</v>
      </c>
      <c r="D183" s="39" t="inlineStr">
        <is>
          <t>Corregible</t>
        </is>
      </c>
      <c r="E183" s="29" t="n">
        <v>11.7667307988599</v>
      </c>
      <c r="F183" s="35" t="n">
        <v>59.19558716156818</v>
      </c>
      <c r="G183" s="36" t="n">
        <v>2550</v>
      </c>
      <c r="H183" s="29" t="n">
        <v>6.666666666666667</v>
      </c>
      <c r="I183" s="16" t="inlineStr">
        <is>
          <t>no</t>
        </is>
      </c>
      <c r="J183" s="16" t="inlineStr">
        <is>
          <t>O2</t>
        </is>
      </c>
      <c r="K183" s="16" t="inlineStr">
        <is>
          <t>malla</t>
        </is>
      </c>
    </row>
    <row r="184">
      <c r="A184" s="16" t="inlineStr">
        <is>
          <t>KF-M02S-B2-0043</t>
        </is>
      </c>
      <c r="B184" s="35" t="n">
        <v>300.032917</v>
      </c>
      <c r="C184" s="35" t="n">
        <v>600</v>
      </c>
      <c r="D184" s="39" t="inlineStr">
        <is>
          <t>Corregible</t>
        </is>
      </c>
      <c r="E184" s="29" t="n">
        <v>10.34480083843099</v>
      </c>
      <c r="F184" s="35" t="n">
        <v>52.04170751239253</v>
      </c>
      <c r="G184" s="36" t="n">
        <v>2400</v>
      </c>
      <c r="H184" s="29" t="n">
        <v>5</v>
      </c>
      <c r="I184" s="16" t="inlineStr">
        <is>
          <t>no</t>
        </is>
      </c>
      <c r="J184" s="16" t="inlineStr">
        <is>
          <t>O2</t>
        </is>
      </c>
      <c r="K184" s="16" t="inlineStr">
        <is>
          <t>malla</t>
        </is>
      </c>
    </row>
    <row r="185">
      <c r="A185" s="16" t="inlineStr">
        <is>
          <t>KF-M02S-B2-0057</t>
        </is>
      </c>
      <c r="B185" s="35" t="n">
        <v>300.032917</v>
      </c>
      <c r="C185" s="35" t="n">
        <v>675</v>
      </c>
      <c r="D185" s="39" t="inlineStr">
        <is>
          <t>Corregible</t>
        </is>
      </c>
      <c r="E185" s="29" t="n">
        <v>9.67721079973065</v>
      </c>
      <c r="F185" s="35" t="n">
        <v>48.66639637912365</v>
      </c>
      <c r="G185" s="36" t="n">
        <v>2325</v>
      </c>
      <c r="H185" s="29" t="n">
        <v>4.444444444444445</v>
      </c>
      <c r="I185" s="16" t="inlineStr">
        <is>
          <t>no</t>
        </is>
      </c>
      <c r="J185" s="16" t="inlineStr">
        <is>
          <t>O2</t>
        </is>
      </c>
      <c r="K185" s="16" t="inlineStr">
        <is>
          <t>bisección</t>
        </is>
      </c>
    </row>
    <row r="186">
      <c r="A186" s="16" t="inlineStr">
        <is>
          <t>KF-M02S-B2-0059</t>
        </is>
      </c>
      <c r="B186" s="35" t="n">
        <v>300.032917</v>
      </c>
      <c r="C186" s="35" t="n">
        <v>675</v>
      </c>
      <c r="D186" s="39" t="inlineStr">
        <is>
          <t>Corregible</t>
        </is>
      </c>
      <c r="E186" s="29" t="n">
        <v>9.67721079973065</v>
      </c>
      <c r="F186" s="35" t="n">
        <v>48.66639637912365</v>
      </c>
      <c r="G186" s="36" t="n">
        <v>2325</v>
      </c>
      <c r="H186" s="29" t="n">
        <v>4.444444444444445</v>
      </c>
      <c r="I186" s="16" t="inlineStr">
        <is>
          <t>no</t>
        </is>
      </c>
      <c r="J186" s="16" t="inlineStr">
        <is>
          <t>O2</t>
        </is>
      </c>
      <c r="K186" s="16" t="inlineStr">
        <is>
          <t>bisección</t>
        </is>
      </c>
    </row>
    <row r="187">
      <c r="A187" s="16" t="inlineStr">
        <is>
          <t>KF-M02S-B2-0066</t>
        </is>
      </c>
      <c r="B187" s="35" t="n">
        <v>300.032917</v>
      </c>
      <c r="C187" s="35" t="n">
        <v>712.5</v>
      </c>
      <c r="D187" s="39" t="inlineStr">
        <is>
          <t>Corregible</t>
        </is>
      </c>
      <c r="E187" s="29" t="n">
        <v>9.353297901348061</v>
      </c>
      <c r="F187" s="35" t="n">
        <v>47.0266882518628</v>
      </c>
      <c r="G187" s="36" t="n">
        <v>2287.5</v>
      </c>
      <c r="H187" s="29" t="n">
        <v>4.210526315789473</v>
      </c>
      <c r="I187" s="16" t="inlineStr">
        <is>
          <t>no</t>
        </is>
      </c>
      <c r="J187" s="16" t="inlineStr">
        <is>
          <t>O2</t>
        </is>
      </c>
      <c r="K187" s="16" t="inlineStr">
        <is>
          <t>bisección</t>
        </is>
      </c>
    </row>
    <row r="188">
      <c r="A188" s="16" t="inlineStr">
        <is>
          <t>KF-M02S-B2-0067</t>
        </is>
      </c>
      <c r="B188" s="35" t="n">
        <v>300.032917</v>
      </c>
      <c r="C188" s="35" t="n">
        <v>712.5</v>
      </c>
      <c r="D188" s="39" t="inlineStr">
        <is>
          <t>Corregible</t>
        </is>
      </c>
      <c r="E188" s="29" t="n">
        <v>9.3532979011986</v>
      </c>
      <c r="F188" s="35" t="n">
        <v>47.02668825119597</v>
      </c>
      <c r="G188" s="36" t="n">
        <v>2287.5</v>
      </c>
      <c r="H188" s="29" t="n">
        <v>4.210526315789473</v>
      </c>
      <c r="I188" s="16" t="inlineStr">
        <is>
          <t>no</t>
        </is>
      </c>
      <c r="J188" s="16" t="inlineStr">
        <is>
          <t>O2</t>
        </is>
      </c>
      <c r="K188" s="16" t="inlineStr">
        <is>
          <t>bisección</t>
        </is>
      </c>
    </row>
    <row r="189">
      <c r="A189" s="16" t="inlineStr">
        <is>
          <t>KF-M02S-B2-0077</t>
        </is>
      </c>
      <c r="B189" s="35" t="n">
        <v>300.032917</v>
      </c>
      <c r="C189" s="35" t="n">
        <v>731.25</v>
      </c>
      <c r="D189" s="39" t="inlineStr">
        <is>
          <t>Corregible</t>
        </is>
      </c>
      <c r="E189" s="29" t="n">
        <v>9.193685031361589</v>
      </c>
      <c r="F189" s="35" t="n">
        <v>46.21836613710254</v>
      </c>
      <c r="G189" s="36" t="n">
        <v>2268.75</v>
      </c>
      <c r="H189" s="29" t="n">
        <v>4.102564102564102</v>
      </c>
      <c r="I189" s="16" t="inlineStr">
        <is>
          <t>no</t>
        </is>
      </c>
      <c r="J189" s="16" t="inlineStr">
        <is>
          <t>O2</t>
        </is>
      </c>
      <c r="K189" s="16" t="inlineStr">
        <is>
          <t>bisección</t>
        </is>
      </c>
    </row>
    <row r="190">
      <c r="A190" s="16" t="inlineStr">
        <is>
          <t>KF-M02S-B2-0079</t>
        </is>
      </c>
      <c r="B190" s="35" t="n">
        <v>300.032917</v>
      </c>
      <c r="C190" s="35" t="n">
        <v>731.25</v>
      </c>
      <c r="D190" s="39" t="inlineStr">
        <is>
          <t>Corregible</t>
        </is>
      </c>
      <c r="E190" s="29" t="n">
        <v>9.193685031361589</v>
      </c>
      <c r="F190" s="35" t="n">
        <v>46.21836613710254</v>
      </c>
      <c r="G190" s="36" t="n">
        <v>2268.75</v>
      </c>
      <c r="H190" s="29" t="n">
        <v>4.102564102564102</v>
      </c>
      <c r="I190" s="16" t="inlineStr">
        <is>
          <t>no</t>
        </is>
      </c>
      <c r="J190" s="16" t="inlineStr">
        <is>
          <t>O2</t>
        </is>
      </c>
      <c r="K190" s="16" t="inlineStr">
        <is>
          <t>bisección</t>
        </is>
      </c>
    </row>
    <row r="191">
      <c r="A191" s="16" t="inlineStr">
        <is>
          <t>KF-M02S-B2-0088</t>
        </is>
      </c>
      <c r="B191" s="35" t="n">
        <v>300.032917</v>
      </c>
      <c r="C191" s="35" t="n">
        <v>740.625</v>
      </c>
      <c r="D191" s="42" t="inlineStr">
        <is>
          <t>KALINA</t>
        </is>
      </c>
      <c r="E191" s="29" t="n">
        <v>9.11452943989682</v>
      </c>
      <c r="F191" s="35" t="n">
        <v>45.817450225626</v>
      </c>
      <c r="G191" s="36" t="n">
        <v>2259.375</v>
      </c>
      <c r="H191" s="29" t="n">
        <v>4.050632911392405</v>
      </c>
      <c r="I191" s="16" t="inlineStr">
        <is>
          <t>no</t>
        </is>
      </c>
      <c r="J191" s="16" t="n"/>
      <c r="K191" s="16" t="inlineStr">
        <is>
          <t>bisección</t>
        </is>
      </c>
    </row>
    <row r="192">
      <c r="A192" s="16" t="inlineStr">
        <is>
          <t>KF-M02S-B2-0089</t>
        </is>
      </c>
      <c r="B192" s="35" t="n">
        <v>300.032917</v>
      </c>
      <c r="C192" s="35" t="n">
        <v>740.625</v>
      </c>
      <c r="D192" s="42" t="inlineStr">
        <is>
          <t>KALINA</t>
        </is>
      </c>
      <c r="E192" s="29" t="n">
        <v>9.11452943989682</v>
      </c>
      <c r="F192" s="35" t="n">
        <v>45.817450225626</v>
      </c>
      <c r="G192" s="36" t="n">
        <v>2259.375</v>
      </c>
      <c r="H192" s="29" t="n">
        <v>4.050632911392405</v>
      </c>
      <c r="I192" s="16" t="inlineStr">
        <is>
          <t>no</t>
        </is>
      </c>
      <c r="J192" s="16" t="n"/>
      <c r="K192" s="16" t="inlineStr">
        <is>
          <t>bisección</t>
        </is>
      </c>
    </row>
    <row r="193">
      <c r="A193" s="16" t="inlineStr">
        <is>
          <t>KF-M02S-B2-0044</t>
        </is>
      </c>
      <c r="B193" s="35" t="n">
        <v>300.032917</v>
      </c>
      <c r="C193" s="35" t="n">
        <v>750</v>
      </c>
      <c r="D193" s="42" t="inlineStr">
        <is>
          <t>KALINA</t>
        </is>
      </c>
      <c r="E193" s="29" t="n">
        <v>9.036221420092231</v>
      </c>
      <c r="F193" s="35" t="n">
        <v>45.42087204143432</v>
      </c>
      <c r="G193" s="36" t="n">
        <v>2250</v>
      </c>
      <c r="H193" s="29" t="n">
        <v>4</v>
      </c>
      <c r="I193" s="16" t="inlineStr">
        <is>
          <t>no</t>
        </is>
      </c>
      <c r="J193" s="16" t="n"/>
      <c r="K193" s="16" t="inlineStr">
        <is>
          <t>malla</t>
        </is>
      </c>
    </row>
    <row r="194">
      <c r="A194" s="16" t="inlineStr">
        <is>
          <t>KF-M02S-B2-0045</t>
        </is>
      </c>
      <c r="B194" s="35" t="n">
        <v>300.032917</v>
      </c>
      <c r="C194" s="35" t="n">
        <v>900</v>
      </c>
      <c r="D194" s="42" t="inlineStr">
        <is>
          <t>KALINA</t>
        </is>
      </c>
      <c r="E194" s="29" t="n">
        <v>7.891055063020031</v>
      </c>
      <c r="F194" s="35" t="n">
        <v>39.62753542687533</v>
      </c>
      <c r="G194" s="36" t="n">
        <v>2100</v>
      </c>
      <c r="H194" s="29" t="n">
        <v>3.333333333333333</v>
      </c>
      <c r="I194" s="16" t="inlineStr">
        <is>
          <t>no</t>
        </is>
      </c>
      <c r="J194" s="16" t="n"/>
      <c r="K194" s="16" t="inlineStr">
        <is>
          <t>malla</t>
        </is>
      </c>
    </row>
    <row r="195">
      <c r="A195" s="16" t="inlineStr">
        <is>
          <t>KF-M02S-B2-0046</t>
        </is>
      </c>
      <c r="B195" s="35" t="n">
        <v>300.032917</v>
      </c>
      <c r="C195" s="35" t="n">
        <v>1050</v>
      </c>
      <c r="D195" s="42" t="inlineStr">
        <is>
          <t>KALINA</t>
        </is>
      </c>
      <c r="E195" s="29" t="n">
        <v>6.90877355791581</v>
      </c>
      <c r="F195" s="35" t="n">
        <v>34.66732531190164</v>
      </c>
      <c r="G195" s="36" t="n">
        <v>1950</v>
      </c>
      <c r="H195" s="29" t="n">
        <v>2.857142857142857</v>
      </c>
      <c r="I195" s="16" t="inlineStr">
        <is>
          <t>no</t>
        </is>
      </c>
      <c r="J195" s="16" t="n"/>
      <c r="K195" s="16" t="inlineStr">
        <is>
          <t>malla</t>
        </is>
      </c>
    </row>
    <row r="196">
      <c r="A196" s="16" t="inlineStr">
        <is>
          <t>KF-M02S-B2-0047</t>
        </is>
      </c>
      <c r="B196" s="35" t="n">
        <v>300.032917</v>
      </c>
      <c r="C196" s="35" t="n">
        <v>1200</v>
      </c>
      <c r="D196" s="42" t="inlineStr">
        <is>
          <t>KALINA</t>
        </is>
      </c>
      <c r="E196" s="29" t="n">
        <v>6.048359362806989</v>
      </c>
      <c r="F196" s="35" t="n">
        <v>30.32928722951075</v>
      </c>
      <c r="G196" s="36" t="n">
        <v>1800</v>
      </c>
      <c r="H196" s="29" t="n">
        <v>2.5</v>
      </c>
      <c r="I196" s="16" t="inlineStr">
        <is>
          <t>no</t>
        </is>
      </c>
      <c r="J196" s="16" t="n"/>
      <c r="K196" s="16" t="inlineStr">
        <is>
          <t>malla</t>
        </is>
      </c>
    </row>
    <row r="197">
      <c r="A197" s="16" t="inlineStr">
        <is>
          <t>KF-M02S-B2-0048</t>
        </is>
      </c>
      <c r="B197" s="35" t="n">
        <v>300.032917</v>
      </c>
      <c r="C197" s="35" t="n">
        <v>1350</v>
      </c>
      <c r="D197" s="42" t="inlineStr">
        <is>
          <t>KALINA</t>
        </is>
      </c>
      <c r="E197" s="29" t="n">
        <v>5.28280675866074</v>
      </c>
      <c r="F197" s="35" t="n">
        <v>26.47474643080694</v>
      </c>
      <c r="G197" s="36" t="n">
        <v>1650</v>
      </c>
      <c r="H197" s="29" t="n">
        <v>2.222222222222222</v>
      </c>
      <c r="I197" s="16" t="inlineStr">
        <is>
          <t>no</t>
        </is>
      </c>
      <c r="J197" s="16" t="n"/>
      <c r="K197" s="16" t="inlineStr">
        <is>
          <t>malla</t>
        </is>
      </c>
    </row>
    <row r="198">
      <c r="A198" s="16" t="inlineStr">
        <is>
          <t>KF-M02S-B2-0049</t>
        </is>
      </c>
      <c r="B198" s="35" t="n">
        <v>300.032917</v>
      </c>
      <c r="C198" s="35" t="n">
        <v>1500</v>
      </c>
      <c r="D198" s="42" t="inlineStr">
        <is>
          <t>KALINA</t>
        </is>
      </c>
      <c r="E198" s="29" t="n">
        <v>4.593345365401779</v>
      </c>
      <c r="F198" s="35" t="n">
        <v>23.00745000209272</v>
      </c>
      <c r="G198" s="36" t="n">
        <v>1500</v>
      </c>
      <c r="H198" s="29" t="n">
        <v>2</v>
      </c>
      <c r="I198" s="16" t="inlineStr">
        <is>
          <t>no</t>
        </is>
      </c>
      <c r="J198" s="16" t="n"/>
      <c r="K198" s="16" t="inlineStr">
        <is>
          <t>malla</t>
        </is>
      </c>
    </row>
    <row r="199"/>
    <row r="200">
      <c r="A200" s="33" t="inlineStr">
        <is>
          <t>Parte 2.4c · ε_HRVG = 0.40 (fuente del profesor) · 90 puntos</t>
        </is>
      </c>
      <c r="B200" s="31" t="n"/>
      <c r="C200" s="31" t="n"/>
      <c r="D200" s="31" t="n"/>
      <c r="E200" s="31" t="n"/>
      <c r="F200" s="31" t="n"/>
      <c r="G200" s="31" t="n"/>
      <c r="H200" s="31" t="n"/>
      <c r="I200" s="31" t="n"/>
      <c r="J200" s="31" t="n"/>
      <c r="K200" s="31" t="n"/>
    </row>
    <row r="201"/>
    <row r="202">
      <c r="A202" s="34" t="inlineStr">
        <is>
          <t>Barrido de la parte 2.4c · 90 puntos</t>
        </is>
      </c>
    </row>
    <row r="203">
      <c r="A203" s="25" t="inlineStr">
        <is>
          <t>Fijos en este barrido: T_fuente = 623.15, P_alta = 3000, x_b = 0.5, η_t = 0.85, η_p = 0.75, ε_HRVG = 0.4, ε_reg = 0.75, ε_cond = 0.8.</t>
        </is>
      </c>
    </row>
    <row r="204">
      <c r="A204" s="25" t="inlineStr">
        <is>
          <t>Tipos de punto: malla 50, bisección 40.</t>
        </is>
      </c>
    </row>
    <row r="205">
      <c r="A205" s="22" t="inlineStr">
        <is>
          <t>id_punto</t>
        </is>
      </c>
      <c r="B205" s="22" t="inlineStr">
        <is>
          <t>T_sumidero [K]</t>
        </is>
      </c>
      <c r="C205" s="22" t="inlineStr">
        <is>
          <t>P_baja [kPa]</t>
        </is>
      </c>
      <c r="D205" s="22" t="inlineStr">
        <is>
          <t>Clase</t>
        </is>
      </c>
      <c r="E205" s="22" t="inlineStr">
        <is>
          <t>η [%]</t>
        </is>
      </c>
      <c r="F205" s="22" t="inlineStr">
        <is>
          <t>W_net [kW] (m_b = 1 kg/s)</t>
        </is>
      </c>
      <c r="G205" s="22" t="inlineStr">
        <is>
          <t>ΔP [kPa]</t>
        </is>
      </c>
      <c r="H205" s="22" t="inlineStr">
        <is>
          <t>r_P [–]</t>
        </is>
      </c>
      <c r="I205" s="22" t="inlineStr">
        <is>
          <t>Fuera de rango</t>
        </is>
      </c>
      <c r="J205" s="22" t="inlineStr">
        <is>
          <t>Criterios que falla</t>
        </is>
      </c>
      <c r="K205" s="22" t="inlineStr">
        <is>
          <t>Tipo de punto</t>
        </is>
      </c>
    </row>
    <row r="206">
      <c r="A206" s="16" t="inlineStr">
        <is>
          <t>KF-M02S-B3-0001</t>
        </is>
      </c>
      <c r="B206" s="35" t="n">
        <v>278.15</v>
      </c>
      <c r="C206" s="35" t="n">
        <v>150</v>
      </c>
      <c r="D206" s="39" t="inlineStr">
        <is>
          <t>Corregible</t>
        </is>
      </c>
      <c r="E206" s="29" t="n">
        <v>17.71476905821945</v>
      </c>
      <c r="F206" s="35" t="n">
        <v>170.3449956795498</v>
      </c>
      <c r="G206" s="36" t="n">
        <v>2850</v>
      </c>
      <c r="H206" s="29" t="n">
        <v>20</v>
      </c>
      <c r="I206" s="16" t="inlineStr">
        <is>
          <t>sí</t>
        </is>
      </c>
      <c r="J206" s="16" t="inlineStr">
        <is>
          <t>O1,O2</t>
        </is>
      </c>
      <c r="K206" s="16" t="inlineStr">
        <is>
          <t>malla</t>
        </is>
      </c>
    </row>
    <row r="207">
      <c r="A207" s="16" t="inlineStr">
        <is>
          <t>KF-M02S-B3-0000</t>
        </is>
      </c>
      <c r="B207" s="35" t="n">
        <v>278.15</v>
      </c>
      <c r="C207" s="35" t="n">
        <v>300</v>
      </c>
      <c r="D207" s="32" t="inlineStr">
        <is>
          <t>No convergió</t>
        </is>
      </c>
      <c r="E207" s="29" t="inlineStr">
        <is>
          <t>—</t>
        </is>
      </c>
      <c r="F207" s="35" t="inlineStr">
        <is>
          <t>—</t>
        </is>
      </c>
      <c r="G207" s="36" t="n">
        <v>2700</v>
      </c>
      <c r="H207" s="29" t="n">
        <v>10</v>
      </c>
      <c r="I207" s="16" t="inlineStr">
        <is>
          <t>no</t>
        </is>
      </c>
      <c r="J207" s="16" t="n"/>
      <c r="K207" s="16" t="inlineStr">
        <is>
          <t>malla</t>
        </is>
      </c>
    </row>
    <row r="208">
      <c r="A208" s="16" t="inlineStr">
        <is>
          <t>KF-M02S-B3-0002</t>
        </is>
      </c>
      <c r="B208" s="35" t="n">
        <v>278.15</v>
      </c>
      <c r="C208" s="35" t="n">
        <v>450</v>
      </c>
      <c r="D208" s="39" t="inlineStr">
        <is>
          <t>Corregible</t>
        </is>
      </c>
      <c r="E208" s="29" t="n">
        <v>12.74521290492908</v>
      </c>
      <c r="F208" s="35" t="n">
        <v>122.7426027021334</v>
      </c>
      <c r="G208" s="36" t="n">
        <v>2550</v>
      </c>
      <c r="H208" s="29" t="n">
        <v>6.666666666666667</v>
      </c>
      <c r="I208" s="16" t="inlineStr">
        <is>
          <t>sí</t>
        </is>
      </c>
      <c r="J208" s="16" t="inlineStr">
        <is>
          <t>O2</t>
        </is>
      </c>
      <c r="K208" s="16" t="inlineStr">
        <is>
          <t>malla</t>
        </is>
      </c>
    </row>
    <row r="209">
      <c r="A209" s="16" t="inlineStr">
        <is>
          <t>KF-M02S-B3-0003</t>
        </is>
      </c>
      <c r="B209" s="35" t="n">
        <v>278.15</v>
      </c>
      <c r="C209" s="35" t="n">
        <v>600</v>
      </c>
      <c r="D209" s="39" t="inlineStr">
        <is>
          <t>Corregible</t>
        </is>
      </c>
      <c r="E209" s="29" t="n">
        <v>11.08981672328147</v>
      </c>
      <c r="F209" s="35" t="n">
        <v>106.7432741251097</v>
      </c>
      <c r="G209" s="36" t="n">
        <v>2400</v>
      </c>
      <c r="H209" s="29" t="n">
        <v>5</v>
      </c>
      <c r="I209" s="16" t="inlineStr">
        <is>
          <t>sí</t>
        </is>
      </c>
      <c r="J209" s="16" t="inlineStr">
        <is>
          <t>O2</t>
        </is>
      </c>
      <c r="K209" s="16" t="inlineStr">
        <is>
          <t>malla</t>
        </is>
      </c>
    </row>
    <row r="210">
      <c r="A210" s="16" t="inlineStr">
        <is>
          <t>KF-M02S-B3-0050</t>
        </is>
      </c>
      <c r="B210" s="35" t="n">
        <v>278.15</v>
      </c>
      <c r="C210" s="35" t="n">
        <v>675</v>
      </c>
      <c r="D210" s="39" t="inlineStr">
        <is>
          <t>Corregible</t>
        </is>
      </c>
      <c r="E210" s="29" t="n">
        <v>10.36279975182519</v>
      </c>
      <c r="F210" s="35" t="n">
        <v>99.71318752655824</v>
      </c>
      <c r="G210" s="36" t="n">
        <v>2325</v>
      </c>
      <c r="H210" s="29" t="n">
        <v>4.444444444444445</v>
      </c>
      <c r="I210" s="16" t="inlineStr">
        <is>
          <t>sí</t>
        </is>
      </c>
      <c r="J210" s="16" t="inlineStr">
        <is>
          <t>O2</t>
        </is>
      </c>
      <c r="K210" s="16" t="inlineStr">
        <is>
          <t>bisección</t>
        </is>
      </c>
    </row>
    <row r="211">
      <c r="A211" s="16" t="inlineStr">
        <is>
          <t>KF-M02S-B3-0051</t>
        </is>
      </c>
      <c r="B211" s="35" t="n">
        <v>278.15</v>
      </c>
      <c r="C211" s="35" t="n">
        <v>675</v>
      </c>
      <c r="D211" s="39" t="inlineStr">
        <is>
          <t>Corregible</t>
        </is>
      </c>
      <c r="E211" s="29" t="n">
        <v>10.36279975182519</v>
      </c>
      <c r="F211" s="35" t="n">
        <v>99.71318752655824</v>
      </c>
      <c r="G211" s="36" t="n">
        <v>2325</v>
      </c>
      <c r="H211" s="29" t="n">
        <v>4.444444444444445</v>
      </c>
      <c r="I211" s="16" t="inlineStr">
        <is>
          <t>sí</t>
        </is>
      </c>
      <c r="J211" s="16" t="inlineStr">
        <is>
          <t>O2</t>
        </is>
      </c>
      <c r="K211" s="16" t="inlineStr">
        <is>
          <t>bisección</t>
        </is>
      </c>
    </row>
    <row r="212">
      <c r="A212" s="16" t="inlineStr">
        <is>
          <t>KF-M02S-B3-0060</t>
        </is>
      </c>
      <c r="B212" s="35" t="n">
        <v>278.15</v>
      </c>
      <c r="C212" s="35" t="n">
        <v>712.5</v>
      </c>
      <c r="D212" s="39" t="inlineStr">
        <is>
          <t>Corregible</t>
        </is>
      </c>
      <c r="E212" s="29" t="n">
        <v>10.01898750983844</v>
      </c>
      <c r="F212" s="35" t="n">
        <v>96.38852935112672</v>
      </c>
      <c r="G212" s="36" t="n">
        <v>2287.5</v>
      </c>
      <c r="H212" s="29" t="n">
        <v>4.210526315789473</v>
      </c>
      <c r="I212" s="16" t="inlineStr">
        <is>
          <t>sí</t>
        </is>
      </c>
      <c r="J212" s="16" t="inlineStr">
        <is>
          <t>O2</t>
        </is>
      </c>
      <c r="K212" s="16" t="inlineStr">
        <is>
          <t>bisección</t>
        </is>
      </c>
    </row>
    <row r="213">
      <c r="A213" s="16" t="inlineStr">
        <is>
          <t>KF-M02S-B3-0063</t>
        </is>
      </c>
      <c r="B213" s="35" t="n">
        <v>278.15</v>
      </c>
      <c r="C213" s="35" t="n">
        <v>712.5</v>
      </c>
      <c r="D213" s="39" t="inlineStr">
        <is>
          <t>Corregible</t>
        </is>
      </c>
      <c r="E213" s="29" t="n">
        <v>10.01898750983844</v>
      </c>
      <c r="F213" s="35" t="n">
        <v>96.38852935112672</v>
      </c>
      <c r="G213" s="36" t="n">
        <v>2287.5</v>
      </c>
      <c r="H213" s="29" t="n">
        <v>4.210526315789473</v>
      </c>
      <c r="I213" s="16" t="inlineStr">
        <is>
          <t>sí</t>
        </is>
      </c>
      <c r="J213" s="16" t="inlineStr">
        <is>
          <t>O2</t>
        </is>
      </c>
      <c r="K213" s="16" t="inlineStr">
        <is>
          <t>bisección</t>
        </is>
      </c>
    </row>
    <row r="214">
      <c r="A214" s="16" t="inlineStr">
        <is>
          <t>KF-M02S-B3-0070</t>
        </is>
      </c>
      <c r="B214" s="35" t="n">
        <v>278.15</v>
      </c>
      <c r="C214" s="35" t="n">
        <v>731.25</v>
      </c>
      <c r="D214" s="39" t="inlineStr">
        <is>
          <t>Corregible</t>
        </is>
      </c>
      <c r="E214" s="29" t="n">
        <v>9.8514941118141</v>
      </c>
      <c r="F214" s="35" t="n">
        <v>94.7689429413265</v>
      </c>
      <c r="G214" s="36" t="n">
        <v>2268.75</v>
      </c>
      <c r="H214" s="29" t="n">
        <v>4.102564102564102</v>
      </c>
      <c r="I214" s="16" t="inlineStr">
        <is>
          <t>sí</t>
        </is>
      </c>
      <c r="J214" s="16" t="inlineStr">
        <is>
          <t>O2</t>
        </is>
      </c>
      <c r="K214" s="16" t="inlineStr">
        <is>
          <t>bisección</t>
        </is>
      </c>
    </row>
    <row r="215">
      <c r="A215" s="16" t="inlineStr">
        <is>
          <t>KF-M02S-B3-0071</t>
        </is>
      </c>
      <c r="B215" s="35" t="n">
        <v>278.15</v>
      </c>
      <c r="C215" s="35" t="n">
        <v>731.25</v>
      </c>
      <c r="D215" s="39" t="inlineStr">
        <is>
          <t>Corregible</t>
        </is>
      </c>
      <c r="E215" s="29" t="n">
        <v>9.8514941118141</v>
      </c>
      <c r="F215" s="35" t="n">
        <v>94.7689429413265</v>
      </c>
      <c r="G215" s="36" t="n">
        <v>2268.75</v>
      </c>
      <c r="H215" s="29" t="n">
        <v>4.102564102564102</v>
      </c>
      <c r="I215" s="16" t="inlineStr">
        <is>
          <t>sí</t>
        </is>
      </c>
      <c r="J215" s="16" t="inlineStr">
        <is>
          <t>O2</t>
        </is>
      </c>
      <c r="K215" s="16" t="inlineStr">
        <is>
          <t>bisección</t>
        </is>
      </c>
    </row>
    <row r="216">
      <c r="A216" s="16" t="inlineStr">
        <is>
          <t>KF-M02S-B3-0080</t>
        </is>
      </c>
      <c r="B216" s="35" t="n">
        <v>278.15</v>
      </c>
      <c r="C216" s="35" t="n">
        <v>740.625</v>
      </c>
      <c r="D216" s="39" t="inlineStr">
        <is>
          <t>Corregible</t>
        </is>
      </c>
      <c r="E216" s="29" t="n">
        <v>9.768800000106779</v>
      </c>
      <c r="F216" s="35" t="n">
        <v>93.96933987294987</v>
      </c>
      <c r="G216" s="36" t="n">
        <v>2259.375</v>
      </c>
      <c r="H216" s="29" t="n">
        <v>4.050632911392405</v>
      </c>
      <c r="I216" s="16" t="inlineStr">
        <is>
          <t>sí</t>
        </is>
      </c>
      <c r="J216" s="16" t="inlineStr">
        <is>
          <t>O2</t>
        </is>
      </c>
      <c r="K216" s="16" t="inlineStr">
        <is>
          <t>bisección</t>
        </is>
      </c>
    </row>
    <row r="217">
      <c r="A217" s="16" t="inlineStr">
        <is>
          <t>KF-M02S-B3-0081</t>
        </is>
      </c>
      <c r="B217" s="35" t="n">
        <v>278.15</v>
      </c>
      <c r="C217" s="35" t="n">
        <v>740.625</v>
      </c>
      <c r="D217" s="39" t="inlineStr">
        <is>
          <t>Corregible</t>
        </is>
      </c>
      <c r="E217" s="29" t="n">
        <v>9.768800000106779</v>
      </c>
      <c r="F217" s="35" t="n">
        <v>93.96933987294987</v>
      </c>
      <c r="G217" s="36" t="n">
        <v>2259.375</v>
      </c>
      <c r="H217" s="29" t="n">
        <v>4.050632911392405</v>
      </c>
      <c r="I217" s="16" t="inlineStr">
        <is>
          <t>sí</t>
        </is>
      </c>
      <c r="J217" s="16" t="inlineStr">
        <is>
          <t>O2</t>
        </is>
      </c>
      <c r="K217" s="16" t="inlineStr">
        <is>
          <t>bisección</t>
        </is>
      </c>
    </row>
    <row r="218">
      <c r="A218" s="16" t="inlineStr">
        <is>
          <t>KF-M02S-B3-0004</t>
        </is>
      </c>
      <c r="B218" s="35" t="n">
        <v>278.15</v>
      </c>
      <c r="C218" s="35" t="n">
        <v>750</v>
      </c>
      <c r="D218" s="42" t="inlineStr">
        <is>
          <t>KALINA</t>
        </is>
      </c>
      <c r="E218" s="29" t="n">
        <v>9.68679592819989</v>
      </c>
      <c r="F218" s="35" t="n">
        <v>93.17642645251124</v>
      </c>
      <c r="G218" s="36" t="n">
        <v>2250</v>
      </c>
      <c r="H218" s="29" t="n">
        <v>4</v>
      </c>
      <c r="I218" s="16" t="inlineStr">
        <is>
          <t>sí</t>
        </is>
      </c>
      <c r="J218" s="16" t="n"/>
      <c r="K218" s="16" t="inlineStr">
        <is>
          <t>malla</t>
        </is>
      </c>
    </row>
    <row r="219">
      <c r="A219" s="16" t="inlineStr">
        <is>
          <t>KF-M02S-B3-0006</t>
        </is>
      </c>
      <c r="B219" s="35" t="n">
        <v>278.15</v>
      </c>
      <c r="C219" s="35" t="n">
        <v>900</v>
      </c>
      <c r="D219" s="42" t="inlineStr">
        <is>
          <t>KALINA</t>
        </is>
      </c>
      <c r="E219" s="29" t="n">
        <v>8.48445510744544</v>
      </c>
      <c r="F219" s="35" t="n">
        <v>81.55873517214428</v>
      </c>
      <c r="G219" s="36" t="n">
        <v>2100</v>
      </c>
      <c r="H219" s="29" t="n">
        <v>3.333333333333333</v>
      </c>
      <c r="I219" s="16" t="inlineStr">
        <is>
          <t>sí</t>
        </is>
      </c>
      <c r="J219" s="16" t="n"/>
      <c r="K219" s="16" t="inlineStr">
        <is>
          <t>malla</t>
        </is>
      </c>
    </row>
    <row r="220">
      <c r="A220" s="16" t="inlineStr">
        <is>
          <t>KF-M02S-B3-0005</t>
        </is>
      </c>
      <c r="B220" s="35" t="n">
        <v>278.15</v>
      </c>
      <c r="C220" s="35" t="n">
        <v>1050</v>
      </c>
      <c r="D220" s="42" t="inlineStr">
        <is>
          <t>KALINA</t>
        </is>
      </c>
      <c r="E220" s="29" t="n">
        <v>7.44937566512872</v>
      </c>
      <c r="F220" s="35" t="n">
        <v>71.56944346144168</v>
      </c>
      <c r="G220" s="36" t="n">
        <v>1950</v>
      </c>
      <c r="H220" s="29" t="n">
        <v>2.857142857142857</v>
      </c>
      <c r="I220" s="16" t="inlineStr">
        <is>
          <t>sí</t>
        </is>
      </c>
      <c r="J220" s="16" t="n"/>
      <c r="K220" s="16" t="inlineStr">
        <is>
          <t>malla</t>
        </is>
      </c>
    </row>
    <row r="221">
      <c r="A221" s="16" t="inlineStr">
        <is>
          <t>KF-M02S-B3-0007</t>
        </is>
      </c>
      <c r="B221" s="35" t="n">
        <v>278.15</v>
      </c>
      <c r="C221" s="35" t="n">
        <v>1200</v>
      </c>
      <c r="D221" s="42" t="inlineStr">
        <is>
          <t>KALINA</t>
        </is>
      </c>
      <c r="E221" s="29" t="n">
        <v>6.539321870643549</v>
      </c>
      <c r="F221" s="35" t="n">
        <v>62.79601497876374</v>
      </c>
      <c r="G221" s="36" t="n">
        <v>1800</v>
      </c>
      <c r="H221" s="29" t="n">
        <v>2.5</v>
      </c>
      <c r="I221" s="16" t="inlineStr">
        <is>
          <t>sí</t>
        </is>
      </c>
      <c r="J221" s="16" t="n"/>
      <c r="K221" s="16" t="inlineStr">
        <is>
          <t>malla</t>
        </is>
      </c>
    </row>
    <row r="222">
      <c r="A222" s="16" t="inlineStr">
        <is>
          <t>KF-M02S-B3-0008</t>
        </is>
      </c>
      <c r="B222" s="35" t="n">
        <v>278.15</v>
      </c>
      <c r="C222" s="35" t="n">
        <v>1350</v>
      </c>
      <c r="D222" s="42" t="inlineStr">
        <is>
          <t>KALINA</t>
        </is>
      </c>
      <c r="E222" s="29" t="n">
        <v>5.72652402565444</v>
      </c>
      <c r="F222" s="35" t="n">
        <v>54.96746295894801</v>
      </c>
      <c r="G222" s="36" t="n">
        <v>1650</v>
      </c>
      <c r="H222" s="29" t="n">
        <v>2.222222222222222</v>
      </c>
      <c r="I222" s="16" t="inlineStr">
        <is>
          <t>sí</t>
        </is>
      </c>
      <c r="J222" s="16" t="n"/>
      <c r="K222" s="16" t="inlineStr">
        <is>
          <t>malla</t>
        </is>
      </c>
    </row>
    <row r="223">
      <c r="A223" s="16" t="inlineStr">
        <is>
          <t>KF-M02S-B3-0009</t>
        </is>
      </c>
      <c r="B223" s="35" t="n">
        <v>278.15</v>
      </c>
      <c r="C223" s="35" t="n">
        <v>1500</v>
      </c>
      <c r="D223" s="42" t="inlineStr">
        <is>
          <t>KALINA</t>
        </is>
      </c>
      <c r="E223" s="29" t="n">
        <v>4.99170048056182</v>
      </c>
      <c r="F223" s="35" t="n">
        <v>47.89578633964617</v>
      </c>
      <c r="G223" s="36" t="n">
        <v>1500</v>
      </c>
      <c r="H223" s="29" t="n">
        <v>2</v>
      </c>
      <c r="I223" s="16" t="inlineStr">
        <is>
          <t>sí</t>
        </is>
      </c>
      <c r="J223" s="16" t="n"/>
      <c r="K223" s="16" t="inlineStr">
        <is>
          <t>malla</t>
        </is>
      </c>
    </row>
    <row r="224">
      <c r="A224" s="16" t="inlineStr">
        <is>
          <t>KF-M02S-B3-0011</t>
        </is>
      </c>
      <c r="B224" s="35" t="n">
        <v>283.15</v>
      </c>
      <c r="C224" s="35" t="n">
        <v>150</v>
      </c>
      <c r="D224" s="39" t="inlineStr">
        <is>
          <t>Corregible</t>
        </is>
      </c>
      <c r="E224" s="29" t="n">
        <v>16.71134471055502</v>
      </c>
      <c r="F224" s="35" t="n">
        <v>154.7303694307556</v>
      </c>
      <c r="G224" s="36" t="n">
        <v>2850</v>
      </c>
      <c r="H224" s="29" t="n">
        <v>20</v>
      </c>
      <c r="I224" s="16" t="inlineStr">
        <is>
          <t>sí</t>
        </is>
      </c>
      <c r="J224" s="16" t="inlineStr">
        <is>
          <t>O1,O2</t>
        </is>
      </c>
      <c r="K224" s="16" t="inlineStr">
        <is>
          <t>malla</t>
        </is>
      </c>
    </row>
    <row r="225">
      <c r="A225" s="16" t="inlineStr">
        <is>
          <t>KF-M02S-B3-0010</t>
        </is>
      </c>
      <c r="B225" s="35" t="n">
        <v>283.15</v>
      </c>
      <c r="C225" s="35" t="n">
        <v>300</v>
      </c>
      <c r="D225" s="39" t="inlineStr">
        <is>
          <t>Corregible</t>
        </is>
      </c>
      <c r="E225" s="29" t="n">
        <v>14.81374403706624</v>
      </c>
      <c r="F225" s="35" t="n">
        <v>141.8579261484158</v>
      </c>
      <c r="G225" s="36" t="n">
        <v>2700</v>
      </c>
      <c r="H225" s="29" t="n">
        <v>10</v>
      </c>
      <c r="I225" s="16" t="inlineStr">
        <is>
          <t>sí</t>
        </is>
      </c>
      <c r="J225" s="16" t="inlineStr">
        <is>
          <t>O1,O2</t>
        </is>
      </c>
      <c r="K225" s="16" t="inlineStr">
        <is>
          <t>malla</t>
        </is>
      </c>
    </row>
    <row r="226">
      <c r="A226" s="16" t="inlineStr">
        <is>
          <t>KF-M02S-B3-0012</t>
        </is>
      </c>
      <c r="B226" s="35" t="n">
        <v>283.15</v>
      </c>
      <c r="C226" s="35" t="n">
        <v>450</v>
      </c>
      <c r="D226" s="39" t="inlineStr">
        <is>
          <t>Corregible</t>
        </is>
      </c>
      <c r="E226" s="29" t="n">
        <v>12.80052872407388</v>
      </c>
      <c r="F226" s="35" t="n">
        <v>122.5884147707805</v>
      </c>
      <c r="G226" s="36" t="n">
        <v>2550</v>
      </c>
      <c r="H226" s="29" t="n">
        <v>6.666666666666667</v>
      </c>
      <c r="I226" s="16" t="inlineStr">
        <is>
          <t>sí</t>
        </is>
      </c>
      <c r="J226" s="16" t="inlineStr">
        <is>
          <t>O2</t>
        </is>
      </c>
      <c r="K226" s="16" t="inlineStr">
        <is>
          <t>malla</t>
        </is>
      </c>
    </row>
    <row r="227">
      <c r="A227" s="16" t="inlineStr">
        <is>
          <t>KF-M02S-B3-0013</t>
        </is>
      </c>
      <c r="B227" s="35" t="n">
        <v>283.15</v>
      </c>
      <c r="C227" s="35" t="n">
        <v>600</v>
      </c>
      <c r="D227" s="39" t="inlineStr">
        <is>
          <t>Corregible</t>
        </is>
      </c>
      <c r="E227" s="29" t="n">
        <v>11.18272680023349</v>
      </c>
      <c r="F227" s="35" t="n">
        <v>107.0566354064998</v>
      </c>
      <c r="G227" s="36" t="n">
        <v>2400</v>
      </c>
      <c r="H227" s="29" t="n">
        <v>5</v>
      </c>
      <c r="I227" s="16" t="inlineStr">
        <is>
          <t>sí</t>
        </is>
      </c>
      <c r="J227" s="16" t="inlineStr">
        <is>
          <t>O2</t>
        </is>
      </c>
      <c r="K227" s="16" t="inlineStr">
        <is>
          <t>malla</t>
        </is>
      </c>
    </row>
    <row r="228">
      <c r="A228" s="16" t="inlineStr">
        <is>
          <t>KF-M02S-B3-0014</t>
        </is>
      </c>
      <c r="B228" s="35" t="n">
        <v>283.15</v>
      </c>
      <c r="C228" s="35" t="n">
        <v>750</v>
      </c>
      <c r="D228" s="39" t="inlineStr">
        <is>
          <t>Corregible</t>
        </is>
      </c>
      <c r="E228" s="29" t="n">
        <v>9.80832427010527</v>
      </c>
      <c r="F228" s="35" t="n">
        <v>93.8485392819383</v>
      </c>
      <c r="G228" s="36" t="n">
        <v>2250</v>
      </c>
      <c r="H228" s="29" t="n">
        <v>4</v>
      </c>
      <c r="I228" s="16" t="inlineStr">
        <is>
          <t>sí</t>
        </is>
      </c>
      <c r="J228" s="16" t="inlineStr">
        <is>
          <t>O2</t>
        </is>
      </c>
      <c r="K228" s="16" t="inlineStr">
        <is>
          <t>malla</t>
        </is>
      </c>
    </row>
    <row r="229">
      <c r="A229" s="16" t="inlineStr">
        <is>
          <t>KF-M02S-B3-0052</t>
        </is>
      </c>
      <c r="B229" s="35" t="n">
        <v>283.15</v>
      </c>
      <c r="C229" s="35" t="n">
        <v>825</v>
      </c>
      <c r="D229" s="39" t="inlineStr">
        <is>
          <t>Corregible</t>
        </is>
      </c>
      <c r="E229" s="29" t="n">
        <v>9.187223347122609</v>
      </c>
      <c r="F229" s="35" t="n">
        <v>87.8790523955897</v>
      </c>
      <c r="G229" s="36" t="n">
        <v>2175</v>
      </c>
      <c r="H229" s="29" t="n">
        <v>3.636363636363636</v>
      </c>
      <c r="I229" s="16" t="inlineStr">
        <is>
          <t>sí</t>
        </is>
      </c>
      <c r="J229" s="16" t="inlineStr">
        <is>
          <t>O2</t>
        </is>
      </c>
      <c r="K229" s="16" t="inlineStr">
        <is>
          <t>bisección</t>
        </is>
      </c>
    </row>
    <row r="230">
      <c r="A230" s="16" t="inlineStr">
        <is>
          <t>KF-M02S-B3-0053</t>
        </is>
      </c>
      <c r="B230" s="35" t="n">
        <v>283.15</v>
      </c>
      <c r="C230" s="35" t="n">
        <v>825</v>
      </c>
      <c r="D230" s="39" t="inlineStr">
        <is>
          <t>Corregible</t>
        </is>
      </c>
      <c r="E230" s="29" t="n">
        <v>9.187223347122609</v>
      </c>
      <c r="F230" s="35" t="n">
        <v>87.8790523955897</v>
      </c>
      <c r="G230" s="36" t="n">
        <v>2175</v>
      </c>
      <c r="H230" s="29" t="n">
        <v>3.636363636363636</v>
      </c>
      <c r="I230" s="16" t="inlineStr">
        <is>
          <t>sí</t>
        </is>
      </c>
      <c r="J230" s="16" t="inlineStr">
        <is>
          <t>O2</t>
        </is>
      </c>
      <c r="K230" s="16" t="inlineStr">
        <is>
          <t>bisección</t>
        </is>
      </c>
    </row>
    <row r="231">
      <c r="A231" s="16" t="inlineStr">
        <is>
          <t>KF-M02S-B3-0072</t>
        </is>
      </c>
      <c r="B231" s="35" t="n">
        <v>283.15</v>
      </c>
      <c r="C231" s="35" t="n">
        <v>843.75</v>
      </c>
      <c r="D231" s="39" t="inlineStr">
        <is>
          <t>Corregible</t>
        </is>
      </c>
      <c r="E231" s="29" t="n">
        <v>9.037688292980391</v>
      </c>
      <c r="F231" s="35" t="n">
        <v>86.44194169636614</v>
      </c>
      <c r="G231" s="36" t="n">
        <v>2156.25</v>
      </c>
      <c r="H231" s="29" t="n">
        <v>3.555555555555556</v>
      </c>
      <c r="I231" s="16" t="inlineStr">
        <is>
          <t>sí</t>
        </is>
      </c>
      <c r="J231" s="16" t="inlineStr">
        <is>
          <t>O2</t>
        </is>
      </c>
      <c r="K231" s="16" t="inlineStr">
        <is>
          <t>bisección</t>
        </is>
      </c>
    </row>
    <row r="232">
      <c r="A232" s="16" t="inlineStr">
        <is>
          <t>KF-M02S-B3-0073</t>
        </is>
      </c>
      <c r="B232" s="35" t="n">
        <v>283.15</v>
      </c>
      <c r="C232" s="35" t="n">
        <v>843.75</v>
      </c>
      <c r="D232" s="39" t="inlineStr">
        <is>
          <t>Corregible</t>
        </is>
      </c>
      <c r="E232" s="29" t="n">
        <v>9.037688292980391</v>
      </c>
      <c r="F232" s="35" t="n">
        <v>86.44194169636614</v>
      </c>
      <c r="G232" s="36" t="n">
        <v>2156.25</v>
      </c>
      <c r="H232" s="29" t="n">
        <v>3.555555555555556</v>
      </c>
      <c r="I232" s="16" t="inlineStr">
        <is>
          <t>sí</t>
        </is>
      </c>
      <c r="J232" s="16" t="inlineStr">
        <is>
          <t>O2</t>
        </is>
      </c>
      <c r="K232" s="16" t="inlineStr">
        <is>
          <t>bisección</t>
        </is>
      </c>
    </row>
    <row r="233">
      <c r="A233" s="16" t="inlineStr">
        <is>
          <t>KF-M02S-B3-0082</t>
        </is>
      </c>
      <c r="B233" s="35" t="n">
        <v>283.15</v>
      </c>
      <c r="C233" s="35" t="n">
        <v>853.125</v>
      </c>
      <c r="D233" s="39" t="inlineStr">
        <is>
          <t>Corregible</t>
        </is>
      </c>
      <c r="E233" s="29" t="n">
        <v>8.9637237375662</v>
      </c>
      <c r="F233" s="35" t="n">
        <v>85.7311243550529</v>
      </c>
      <c r="G233" s="36" t="n">
        <v>2146.875</v>
      </c>
      <c r="H233" s="29" t="n">
        <v>3.516483516483516</v>
      </c>
      <c r="I233" s="16" t="inlineStr">
        <is>
          <t>sí</t>
        </is>
      </c>
      <c r="J233" s="16" t="inlineStr">
        <is>
          <t>O2</t>
        </is>
      </c>
      <c r="K233" s="16" t="inlineStr">
        <is>
          <t>bisección</t>
        </is>
      </c>
    </row>
    <row r="234">
      <c r="A234" s="16" t="inlineStr">
        <is>
          <t>KF-M02S-B3-0083</t>
        </is>
      </c>
      <c r="B234" s="35" t="n">
        <v>283.15</v>
      </c>
      <c r="C234" s="35" t="n">
        <v>853.125</v>
      </c>
      <c r="D234" s="39" t="inlineStr">
        <is>
          <t>Corregible</t>
        </is>
      </c>
      <c r="E234" s="29" t="n">
        <v>8.9637237375662</v>
      </c>
      <c r="F234" s="35" t="n">
        <v>85.7311243550529</v>
      </c>
      <c r="G234" s="36" t="n">
        <v>2146.875</v>
      </c>
      <c r="H234" s="29" t="n">
        <v>3.516483516483516</v>
      </c>
      <c r="I234" s="16" t="inlineStr">
        <is>
          <t>sí</t>
        </is>
      </c>
      <c r="J234" s="16" t="inlineStr">
        <is>
          <t>O2</t>
        </is>
      </c>
      <c r="K234" s="16" t="inlineStr">
        <is>
          <t>bisección</t>
        </is>
      </c>
    </row>
    <row r="235">
      <c r="A235" s="16" t="inlineStr">
        <is>
          <t>KF-M02S-B3-0061</t>
        </is>
      </c>
      <c r="B235" s="35" t="n">
        <v>283.15</v>
      </c>
      <c r="C235" s="35" t="n">
        <v>862.5</v>
      </c>
      <c r="D235" s="42" t="inlineStr">
        <is>
          <t>KALINA</t>
        </is>
      </c>
      <c r="E235" s="29" t="n">
        <v>8.890322063636059</v>
      </c>
      <c r="F235" s="35" t="n">
        <v>85.02574063311332</v>
      </c>
      <c r="G235" s="36" t="n">
        <v>2137.5</v>
      </c>
      <c r="H235" s="29" t="n">
        <v>3.478260869565217</v>
      </c>
      <c r="I235" s="16" t="inlineStr">
        <is>
          <t>sí</t>
        </is>
      </c>
      <c r="J235" s="16" t="n"/>
      <c r="K235" s="16" t="inlineStr">
        <is>
          <t>bisección</t>
        </is>
      </c>
    </row>
    <row r="236">
      <c r="A236" s="16" t="inlineStr">
        <is>
          <t>KF-M02S-B3-0062</t>
        </is>
      </c>
      <c r="B236" s="35" t="n">
        <v>283.15</v>
      </c>
      <c r="C236" s="35" t="n">
        <v>862.5</v>
      </c>
      <c r="D236" s="42" t="inlineStr">
        <is>
          <t>KALINA</t>
        </is>
      </c>
      <c r="E236" s="29" t="n">
        <v>8.890322063636059</v>
      </c>
      <c r="F236" s="35" t="n">
        <v>85.02574063311332</v>
      </c>
      <c r="G236" s="36" t="n">
        <v>2137.5</v>
      </c>
      <c r="H236" s="29" t="n">
        <v>3.478260869565217</v>
      </c>
      <c r="I236" s="16" t="inlineStr">
        <is>
          <t>sí</t>
        </is>
      </c>
      <c r="J236" s="16" t="n"/>
      <c r="K236" s="16" t="inlineStr">
        <is>
          <t>bisección</t>
        </is>
      </c>
    </row>
    <row r="237">
      <c r="A237" s="16" t="inlineStr">
        <is>
          <t>KF-M02S-B3-0015</t>
        </is>
      </c>
      <c r="B237" s="35" t="n">
        <v>283.15</v>
      </c>
      <c r="C237" s="35" t="n">
        <v>900</v>
      </c>
      <c r="D237" s="42" t="inlineStr">
        <is>
          <t>KALINA</t>
        </is>
      </c>
      <c r="E237" s="29" t="n">
        <v>8.60360545034694</v>
      </c>
      <c r="F237" s="35" t="n">
        <v>82.27095427374084</v>
      </c>
      <c r="G237" s="36" t="n">
        <v>2100</v>
      </c>
      <c r="H237" s="29" t="n">
        <v>3.333333333333333</v>
      </c>
      <c r="I237" s="16" t="inlineStr">
        <is>
          <t>sí</t>
        </is>
      </c>
      <c r="J237" s="16" t="n"/>
      <c r="K237" s="16" t="inlineStr">
        <is>
          <t>malla</t>
        </is>
      </c>
    </row>
    <row r="238">
      <c r="A238" s="16" t="inlineStr">
        <is>
          <t>KF-M02S-B3-0016</t>
        </is>
      </c>
      <c r="B238" s="35" t="n">
        <v>283.15</v>
      </c>
      <c r="C238" s="35" t="n">
        <v>1050</v>
      </c>
      <c r="D238" s="42" t="inlineStr">
        <is>
          <t>KALINA</t>
        </is>
      </c>
      <c r="E238" s="29" t="n">
        <v>7.554170103940271</v>
      </c>
      <c r="F238" s="35" t="n">
        <v>72.19533155377343</v>
      </c>
      <c r="G238" s="36" t="n">
        <v>1950</v>
      </c>
      <c r="H238" s="29" t="n">
        <v>2.857142857142857</v>
      </c>
      <c r="I238" s="16" t="inlineStr">
        <is>
          <t>sí</t>
        </is>
      </c>
      <c r="J238" s="16" t="n"/>
      <c r="K238" s="16" t="inlineStr">
        <is>
          <t>malla</t>
        </is>
      </c>
    </row>
    <row r="239">
      <c r="A239" s="16" t="inlineStr">
        <is>
          <t>KF-M02S-B3-0017</t>
        </is>
      </c>
      <c r="B239" s="35" t="n">
        <v>283.15</v>
      </c>
      <c r="C239" s="35" t="n">
        <v>1200</v>
      </c>
      <c r="D239" s="42" t="inlineStr">
        <is>
          <t>KALINA</t>
        </is>
      </c>
      <c r="E239" s="29" t="n">
        <v>6.631455660888371</v>
      </c>
      <c r="F239" s="35" t="n">
        <v>63.34590413625431</v>
      </c>
      <c r="G239" s="36" t="n">
        <v>1800</v>
      </c>
      <c r="H239" s="29" t="n">
        <v>2.5</v>
      </c>
      <c r="I239" s="16" t="inlineStr">
        <is>
          <t>sí</t>
        </is>
      </c>
      <c r="J239" s="16" t="n"/>
      <c r="K239" s="16" t="inlineStr">
        <is>
          <t>malla</t>
        </is>
      </c>
    </row>
    <row r="240">
      <c r="A240" s="16" t="inlineStr">
        <is>
          <t>KF-M02S-B3-0018</t>
        </is>
      </c>
      <c r="B240" s="35" t="n">
        <v>283.15</v>
      </c>
      <c r="C240" s="35" t="n">
        <v>1350</v>
      </c>
      <c r="D240" s="42" t="inlineStr">
        <is>
          <t>KALINA</t>
        </is>
      </c>
      <c r="E240" s="29" t="n">
        <v>5.80731882435003</v>
      </c>
      <c r="F240" s="35" t="n">
        <v>55.44939092883935</v>
      </c>
      <c r="G240" s="36" t="n">
        <v>1650</v>
      </c>
      <c r="H240" s="29" t="n">
        <v>2.222222222222222</v>
      </c>
      <c r="I240" s="16" t="inlineStr">
        <is>
          <t>sí</t>
        </is>
      </c>
      <c r="J240" s="16" t="n"/>
      <c r="K240" s="16" t="inlineStr">
        <is>
          <t>malla</t>
        </is>
      </c>
    </row>
    <row r="241">
      <c r="A241" s="16" t="inlineStr">
        <is>
          <t>KF-M02S-B3-0019</t>
        </is>
      </c>
      <c r="B241" s="35" t="n">
        <v>283.15</v>
      </c>
      <c r="C241" s="35" t="n">
        <v>1500</v>
      </c>
      <c r="D241" s="42" t="inlineStr">
        <is>
          <t>KALINA</t>
        </is>
      </c>
      <c r="E241" s="29" t="n">
        <v>5.06221778971868</v>
      </c>
      <c r="F241" s="35" t="n">
        <v>48.31619522373508</v>
      </c>
      <c r="G241" s="36" t="n">
        <v>1500</v>
      </c>
      <c r="H241" s="29" t="n">
        <v>2</v>
      </c>
      <c r="I241" s="16" t="inlineStr">
        <is>
          <t>sí</t>
        </is>
      </c>
      <c r="J241" s="16" t="n"/>
      <c r="K241" s="16" t="inlineStr">
        <is>
          <t>malla</t>
        </is>
      </c>
    </row>
    <row r="242">
      <c r="A242" s="16" t="inlineStr">
        <is>
          <t>KF-M02S-B3-0021</t>
        </is>
      </c>
      <c r="B242" s="35" t="n">
        <v>288.15</v>
      </c>
      <c r="C242" s="35" t="n">
        <v>150</v>
      </c>
      <c r="D242" s="39" t="inlineStr">
        <is>
          <t>Corregible</t>
        </is>
      </c>
      <c r="E242" s="29" t="n">
        <v>14.92271363616219</v>
      </c>
      <c r="F242" s="35" t="n">
        <v>132.9084569061059</v>
      </c>
      <c r="G242" s="36" t="n">
        <v>2850</v>
      </c>
      <c r="H242" s="29" t="n">
        <v>20</v>
      </c>
      <c r="I242" s="16" t="inlineStr">
        <is>
          <t>sí</t>
        </is>
      </c>
      <c r="J242" s="16" t="inlineStr">
        <is>
          <t>O1,O2</t>
        </is>
      </c>
      <c r="K242" s="16" t="inlineStr">
        <is>
          <t>malla</t>
        </is>
      </c>
    </row>
    <row r="243">
      <c r="A243" s="16" t="inlineStr">
        <is>
          <t>KF-M02S-B3-0020</t>
        </is>
      </c>
      <c r="B243" s="35" t="n">
        <v>288.15</v>
      </c>
      <c r="C243" s="35" t="n">
        <v>300</v>
      </c>
      <c r="D243" s="39" t="inlineStr">
        <is>
          <t>Corregible</t>
        </is>
      </c>
      <c r="E243" s="29" t="n">
        <v>14.78228805630939</v>
      </c>
      <c r="F243" s="35" t="n">
        <v>140.699748663281</v>
      </c>
      <c r="G243" s="36" t="n">
        <v>2700</v>
      </c>
      <c r="H243" s="29" t="n">
        <v>10</v>
      </c>
      <c r="I243" s="16" t="inlineStr">
        <is>
          <t>sí</t>
        </is>
      </c>
      <c r="J243" s="16" t="inlineStr">
        <is>
          <t>O1,O2</t>
        </is>
      </c>
      <c r="K243" s="16" t="inlineStr">
        <is>
          <t>malla</t>
        </is>
      </c>
    </row>
    <row r="244">
      <c r="A244" s="16" t="inlineStr">
        <is>
          <t>KF-M02S-B3-0022</t>
        </is>
      </c>
      <c r="B244" s="35" t="n">
        <v>288.15</v>
      </c>
      <c r="C244" s="35" t="n">
        <v>450</v>
      </c>
      <c r="D244" s="39" t="inlineStr">
        <is>
          <t>Corregible</t>
        </is>
      </c>
      <c r="E244" s="29" t="n">
        <v>12.82576633162863</v>
      </c>
      <c r="F244" s="35" t="n">
        <v>122.1203480615631</v>
      </c>
      <c r="G244" s="36" t="n">
        <v>2550</v>
      </c>
      <c r="H244" s="29" t="n">
        <v>6.666666666666667</v>
      </c>
      <c r="I244" s="16" t="inlineStr">
        <is>
          <t>sí</t>
        </is>
      </c>
      <c r="J244" s="16" t="inlineStr">
        <is>
          <t>O2</t>
        </is>
      </c>
      <c r="K244" s="16" t="inlineStr">
        <is>
          <t>malla</t>
        </is>
      </c>
    </row>
    <row r="245">
      <c r="A245" s="16" t="inlineStr">
        <is>
          <t>KF-M02S-B3-0023</t>
        </is>
      </c>
      <c r="B245" s="35" t="n">
        <v>288.15</v>
      </c>
      <c r="C245" s="35" t="n">
        <v>600</v>
      </c>
      <c r="D245" s="39" t="inlineStr">
        <is>
          <t>Corregible</t>
        </is>
      </c>
      <c r="E245" s="29" t="n">
        <v>11.24712849167695</v>
      </c>
      <c r="F245" s="35" t="n">
        <v>107.0709850064417</v>
      </c>
      <c r="G245" s="36" t="n">
        <v>2400</v>
      </c>
      <c r="H245" s="29" t="n">
        <v>5</v>
      </c>
      <c r="I245" s="16" t="inlineStr">
        <is>
          <t>sí</t>
        </is>
      </c>
      <c r="J245" s="16" t="inlineStr">
        <is>
          <t>O2</t>
        </is>
      </c>
      <c r="K245" s="16" t="inlineStr">
        <is>
          <t>malla</t>
        </is>
      </c>
    </row>
    <row r="246">
      <c r="A246" s="16" t="inlineStr">
        <is>
          <t>KF-M02S-B3-0024</t>
        </is>
      </c>
      <c r="B246" s="35" t="n">
        <v>288.15</v>
      </c>
      <c r="C246" s="35" t="n">
        <v>750</v>
      </c>
      <c r="D246" s="39" t="inlineStr">
        <is>
          <t>Corregible</t>
        </is>
      </c>
      <c r="E246" s="29" t="n">
        <v>9.902526770980829</v>
      </c>
      <c r="F246" s="35" t="n">
        <v>94.23310511276038</v>
      </c>
      <c r="G246" s="36" t="n">
        <v>2250</v>
      </c>
      <c r="H246" s="29" t="n">
        <v>4</v>
      </c>
      <c r="I246" s="16" t="inlineStr">
        <is>
          <t>sí</t>
        </is>
      </c>
      <c r="J246" s="16" t="inlineStr">
        <is>
          <t>O2</t>
        </is>
      </c>
      <c r="K246" s="16" t="inlineStr">
        <is>
          <t>malla</t>
        </is>
      </c>
    </row>
    <row r="247">
      <c r="A247" s="16" t="inlineStr">
        <is>
          <t>KF-M02S-B3-0025</t>
        </is>
      </c>
      <c r="B247" s="35" t="n">
        <v>288.15</v>
      </c>
      <c r="C247" s="35" t="n">
        <v>900</v>
      </c>
      <c r="D247" s="39" t="inlineStr">
        <is>
          <t>Corregible</t>
        </is>
      </c>
      <c r="E247" s="29" t="n">
        <v>8.71974766134211</v>
      </c>
      <c r="F247" s="35" t="n">
        <v>82.93541299078834</v>
      </c>
      <c r="G247" s="36" t="n">
        <v>2100</v>
      </c>
      <c r="H247" s="29" t="n">
        <v>3.333333333333333</v>
      </c>
      <c r="I247" s="16" t="inlineStr">
        <is>
          <t>sí</t>
        </is>
      </c>
      <c r="J247" s="16" t="inlineStr">
        <is>
          <t>O2</t>
        </is>
      </c>
      <c r="K247" s="16" t="inlineStr">
        <is>
          <t>malla</t>
        </is>
      </c>
    </row>
    <row r="248">
      <c r="A248" s="16" t="inlineStr">
        <is>
          <t>KF-M02S-B3-0054</t>
        </is>
      </c>
      <c r="B248" s="35" t="n">
        <v>288.15</v>
      </c>
      <c r="C248" s="35" t="n">
        <v>975</v>
      </c>
      <c r="D248" s="39" t="inlineStr">
        <is>
          <t>Corregible</t>
        </is>
      </c>
      <c r="E248" s="29" t="n">
        <v>8.175212193272479</v>
      </c>
      <c r="F248" s="35" t="n">
        <v>77.73450230186089</v>
      </c>
      <c r="G248" s="36" t="n">
        <v>2025</v>
      </c>
      <c r="H248" s="29" t="n">
        <v>3.076923076923077</v>
      </c>
      <c r="I248" s="16" t="inlineStr">
        <is>
          <t>sí</t>
        </is>
      </c>
      <c r="J248" s="16" t="inlineStr">
        <is>
          <t>O2</t>
        </is>
      </c>
      <c r="K248" s="16" t="inlineStr">
        <is>
          <t>bisección</t>
        </is>
      </c>
    </row>
    <row r="249">
      <c r="A249" s="16" t="inlineStr">
        <is>
          <t>KF-M02S-B3-0055</t>
        </is>
      </c>
      <c r="B249" s="35" t="n">
        <v>288.15</v>
      </c>
      <c r="C249" s="35" t="n">
        <v>975</v>
      </c>
      <c r="D249" s="39" t="inlineStr">
        <is>
          <t>Corregible</t>
        </is>
      </c>
      <c r="E249" s="29" t="n">
        <v>8.175212193272479</v>
      </c>
      <c r="F249" s="35" t="n">
        <v>77.73450230186089</v>
      </c>
      <c r="G249" s="36" t="n">
        <v>2025</v>
      </c>
      <c r="H249" s="29" t="n">
        <v>3.076923076923077</v>
      </c>
      <c r="I249" s="16" t="inlineStr">
        <is>
          <t>sí</t>
        </is>
      </c>
      <c r="J249" s="16" t="inlineStr">
        <is>
          <t>O2</t>
        </is>
      </c>
      <c r="K249" s="16" t="inlineStr">
        <is>
          <t>bisección</t>
        </is>
      </c>
    </row>
    <row r="250">
      <c r="A250" s="16" t="inlineStr">
        <is>
          <t>KF-M02S-B3-0084</t>
        </is>
      </c>
      <c r="B250" s="35" t="n">
        <v>288.15</v>
      </c>
      <c r="C250" s="35" t="n">
        <v>984.375</v>
      </c>
      <c r="D250" s="42" t="inlineStr">
        <is>
          <t>KALINA</t>
        </is>
      </c>
      <c r="E250" s="29" t="n">
        <v>8.10910026551915</v>
      </c>
      <c r="F250" s="35" t="n">
        <v>77.10313029762087</v>
      </c>
      <c r="G250" s="36" t="n">
        <v>2015.625</v>
      </c>
      <c r="H250" s="29" t="n">
        <v>3.047619047619047</v>
      </c>
      <c r="I250" s="16" t="inlineStr">
        <is>
          <t>sí</t>
        </is>
      </c>
      <c r="J250" s="16" t="n"/>
      <c r="K250" s="16" t="inlineStr">
        <is>
          <t>bisección</t>
        </is>
      </c>
    </row>
    <row r="251">
      <c r="A251" s="16" t="inlineStr">
        <is>
          <t>KF-M02S-B3-0085</t>
        </is>
      </c>
      <c r="B251" s="35" t="n">
        <v>288.15</v>
      </c>
      <c r="C251" s="35" t="n">
        <v>984.375</v>
      </c>
      <c r="D251" s="42" t="inlineStr">
        <is>
          <t>KALINA</t>
        </is>
      </c>
      <c r="E251" s="29" t="n">
        <v>8.10910026551915</v>
      </c>
      <c r="F251" s="35" t="n">
        <v>77.10313029762087</v>
      </c>
      <c r="G251" s="36" t="n">
        <v>2015.625</v>
      </c>
      <c r="H251" s="29" t="n">
        <v>3.047619047619047</v>
      </c>
      <c r="I251" s="16" t="inlineStr">
        <is>
          <t>sí</t>
        </is>
      </c>
      <c r="J251" s="16" t="n"/>
      <c r="K251" s="16" t="inlineStr">
        <is>
          <t>bisección</t>
        </is>
      </c>
    </row>
    <row r="252">
      <c r="A252" s="16" t="inlineStr">
        <is>
          <t>KF-M02S-B3-0074</t>
        </is>
      </c>
      <c r="B252" s="35" t="n">
        <v>288.15</v>
      </c>
      <c r="C252" s="35" t="n">
        <v>993.75</v>
      </c>
      <c r="D252" s="42" t="inlineStr">
        <is>
          <t>KALINA</t>
        </is>
      </c>
      <c r="E252" s="29" t="n">
        <v>8.043546001888121</v>
      </c>
      <c r="F252" s="35" t="n">
        <v>76.47712898036526</v>
      </c>
      <c r="G252" s="36" t="n">
        <v>2006.25</v>
      </c>
      <c r="H252" s="29" t="n">
        <v>3.018867924528302</v>
      </c>
      <c r="I252" s="16" t="inlineStr">
        <is>
          <t>sí</t>
        </is>
      </c>
      <c r="J252" s="16" t="n"/>
      <c r="K252" s="16" t="inlineStr">
        <is>
          <t>bisección</t>
        </is>
      </c>
    </row>
    <row r="253">
      <c r="A253" s="16" t="inlineStr">
        <is>
          <t>KF-M02S-B3-0075</t>
        </is>
      </c>
      <c r="B253" s="35" t="n">
        <v>288.15</v>
      </c>
      <c r="C253" s="35" t="n">
        <v>993.75</v>
      </c>
      <c r="D253" s="42" t="inlineStr">
        <is>
          <t>KALINA</t>
        </is>
      </c>
      <c r="E253" s="29" t="n">
        <v>8.043546001888121</v>
      </c>
      <c r="F253" s="35" t="n">
        <v>76.47712898036526</v>
      </c>
      <c r="G253" s="36" t="n">
        <v>2006.25</v>
      </c>
      <c r="H253" s="29" t="n">
        <v>3.018867924528302</v>
      </c>
      <c r="I253" s="16" t="inlineStr">
        <is>
          <t>sí</t>
        </is>
      </c>
      <c r="J253" s="16" t="n"/>
      <c r="K253" s="16" t="inlineStr">
        <is>
          <t>bisección</t>
        </is>
      </c>
    </row>
    <row r="254">
      <c r="A254" s="16" t="inlineStr">
        <is>
          <t>KF-M02S-B3-0064</t>
        </is>
      </c>
      <c r="B254" s="35" t="n">
        <v>288.15</v>
      </c>
      <c r="C254" s="35" t="n">
        <v>1012.5</v>
      </c>
      <c r="D254" s="42" t="inlineStr">
        <is>
          <t>KALINA</t>
        </is>
      </c>
      <c r="E254" s="29" t="n">
        <v>7.91408156963825</v>
      </c>
      <c r="F254" s="35" t="n">
        <v>75.2409594447676</v>
      </c>
      <c r="G254" s="36" t="n">
        <v>1987.5</v>
      </c>
      <c r="H254" s="29" t="n">
        <v>2.962962962962963</v>
      </c>
      <c r="I254" s="16" t="inlineStr">
        <is>
          <t>sí</t>
        </is>
      </c>
      <c r="J254" s="16" t="n"/>
      <c r="K254" s="16" t="inlineStr">
        <is>
          <t>bisección</t>
        </is>
      </c>
    </row>
    <row r="255">
      <c r="A255" s="16" t="inlineStr">
        <is>
          <t>KF-M02S-B3-0065</t>
        </is>
      </c>
      <c r="B255" s="35" t="n">
        <v>288.15</v>
      </c>
      <c r="C255" s="35" t="n">
        <v>1012.5</v>
      </c>
      <c r="D255" s="42" t="inlineStr">
        <is>
          <t>KALINA</t>
        </is>
      </c>
      <c r="E255" s="29" t="n">
        <v>7.91408156963825</v>
      </c>
      <c r="F255" s="35" t="n">
        <v>75.2409594447676</v>
      </c>
      <c r="G255" s="36" t="n">
        <v>1987.5</v>
      </c>
      <c r="H255" s="29" t="n">
        <v>2.962962962962963</v>
      </c>
      <c r="I255" s="16" t="inlineStr">
        <is>
          <t>sí</t>
        </is>
      </c>
      <c r="J255" s="16" t="n"/>
      <c r="K255" s="16" t="inlineStr">
        <is>
          <t>bisección</t>
        </is>
      </c>
    </row>
    <row r="256">
      <c r="A256" s="16" t="inlineStr">
        <is>
          <t>KF-M02S-B3-0026</t>
        </is>
      </c>
      <c r="B256" s="35" t="n">
        <v>288.15</v>
      </c>
      <c r="C256" s="35" t="n">
        <v>1050</v>
      </c>
      <c r="D256" s="42" t="inlineStr">
        <is>
          <t>KALINA</t>
        </is>
      </c>
      <c r="E256" s="29" t="n">
        <v>7.66146691903602</v>
      </c>
      <c r="F256" s="35" t="n">
        <v>72.82941872197982</v>
      </c>
      <c r="G256" s="36" t="n">
        <v>1950</v>
      </c>
      <c r="H256" s="29" t="n">
        <v>2.857142857142857</v>
      </c>
      <c r="I256" s="16" t="inlineStr">
        <is>
          <t>sí</t>
        </is>
      </c>
      <c r="J256" s="16" t="n"/>
      <c r="K256" s="16" t="inlineStr">
        <is>
          <t>malla</t>
        </is>
      </c>
    </row>
    <row r="257">
      <c r="A257" s="16" t="inlineStr">
        <is>
          <t>KF-M02S-B3-0027</t>
        </is>
      </c>
      <c r="B257" s="35" t="n">
        <v>288.15</v>
      </c>
      <c r="C257" s="35" t="n">
        <v>1200</v>
      </c>
      <c r="D257" s="42" t="inlineStr">
        <is>
          <t>KALINA</t>
        </is>
      </c>
      <c r="E257" s="29" t="n">
        <v>6.725791827790061</v>
      </c>
      <c r="F257" s="35" t="n">
        <v>63.90299539940116</v>
      </c>
      <c r="G257" s="36" t="n">
        <v>1800</v>
      </c>
      <c r="H257" s="29" t="n">
        <v>2.5</v>
      </c>
      <c r="I257" s="16" t="inlineStr">
        <is>
          <t>sí</t>
        </is>
      </c>
      <c r="J257" s="16" t="n"/>
      <c r="K257" s="16" t="inlineStr">
        <is>
          <t>malla</t>
        </is>
      </c>
    </row>
    <row r="258">
      <c r="A258" s="16" t="inlineStr">
        <is>
          <t>KF-M02S-B3-0029</t>
        </is>
      </c>
      <c r="B258" s="35" t="n">
        <v>288.15</v>
      </c>
      <c r="C258" s="35" t="n">
        <v>1350</v>
      </c>
      <c r="D258" s="42" t="inlineStr">
        <is>
          <t>KALINA</t>
        </is>
      </c>
      <c r="E258" s="29" t="n">
        <v>5.89004825674193</v>
      </c>
      <c r="F258" s="35" t="n">
        <v>55.93763833958747</v>
      </c>
      <c r="G258" s="36" t="n">
        <v>1650</v>
      </c>
      <c r="H258" s="29" t="n">
        <v>2.222222222222222</v>
      </c>
      <c r="I258" s="16" t="inlineStr">
        <is>
          <t>sí</t>
        </is>
      </c>
      <c r="J258" s="16" t="n"/>
      <c r="K258" s="16" t="inlineStr">
        <is>
          <t>malla</t>
        </is>
      </c>
    </row>
    <row r="259">
      <c r="A259" s="16" t="inlineStr">
        <is>
          <t>KF-M02S-B3-0030</t>
        </is>
      </c>
      <c r="B259" s="35" t="n">
        <v>288.15</v>
      </c>
      <c r="C259" s="35" t="n">
        <v>1500</v>
      </c>
      <c r="D259" s="42" t="inlineStr">
        <is>
          <t>KALINA</t>
        </is>
      </c>
      <c r="E259" s="29" t="n">
        <v>5.13442490244629</v>
      </c>
      <c r="F259" s="35" t="n">
        <v>48.74211476928103</v>
      </c>
      <c r="G259" s="36" t="n">
        <v>1500</v>
      </c>
      <c r="H259" s="29" t="n">
        <v>2</v>
      </c>
      <c r="I259" s="16" t="inlineStr">
        <is>
          <t>sí</t>
        </is>
      </c>
      <c r="J259" s="16" t="n"/>
      <c r="K259" s="16" t="inlineStr">
        <is>
          <t>malla</t>
        </is>
      </c>
    </row>
    <row r="260">
      <c r="A260" s="16" t="inlineStr">
        <is>
          <t>KF-M02S-B3-0028</t>
        </is>
      </c>
      <c r="B260" s="35" t="n">
        <v>293.15</v>
      </c>
      <c r="C260" s="35" t="n">
        <v>150</v>
      </c>
      <c r="D260" s="39" t="inlineStr">
        <is>
          <t>Corregible</t>
        </is>
      </c>
      <c r="E260" s="29" t="n">
        <v>13.39073428545905</v>
      </c>
      <c r="F260" s="35" t="n">
        <v>113.4967634149443</v>
      </c>
      <c r="G260" s="36" t="n">
        <v>2850</v>
      </c>
      <c r="H260" s="29" t="n">
        <v>20</v>
      </c>
      <c r="I260" s="16" t="inlineStr">
        <is>
          <t>sí</t>
        </is>
      </c>
      <c r="J260" s="16" t="inlineStr">
        <is>
          <t>O1,O2</t>
        </is>
      </c>
      <c r="K260" s="16" t="inlineStr">
        <is>
          <t>malla</t>
        </is>
      </c>
    </row>
    <row r="261">
      <c r="A261" s="16" t="inlineStr">
        <is>
          <t>KF-M02S-B3-0031</t>
        </is>
      </c>
      <c r="B261" s="35" t="n">
        <v>293.15</v>
      </c>
      <c r="C261" s="35" t="n">
        <v>300</v>
      </c>
      <c r="D261" s="39" t="inlineStr">
        <is>
          <t>Corregible</t>
        </is>
      </c>
      <c r="E261" s="29" t="n">
        <v>14.71746652777934</v>
      </c>
      <c r="F261" s="35" t="n">
        <v>139.2025059825027</v>
      </c>
      <c r="G261" s="36" t="n">
        <v>2700</v>
      </c>
      <c r="H261" s="29" t="n">
        <v>10</v>
      </c>
      <c r="I261" s="16" t="inlineStr">
        <is>
          <t>sí</t>
        </is>
      </c>
      <c r="J261" s="16" t="inlineStr">
        <is>
          <t>O1,O2</t>
        </is>
      </c>
      <c r="K261" s="16" t="inlineStr">
        <is>
          <t>malla</t>
        </is>
      </c>
    </row>
    <row r="262">
      <c r="A262" s="16" t="inlineStr">
        <is>
          <t>KF-M02S-B3-0032</t>
        </is>
      </c>
      <c r="B262" s="35" t="n">
        <v>293.15</v>
      </c>
      <c r="C262" s="35" t="n">
        <v>450</v>
      </c>
      <c r="D262" s="39" t="inlineStr">
        <is>
          <t>Corregible</t>
        </is>
      </c>
      <c r="E262" s="29" t="n">
        <v>12.81720755044012</v>
      </c>
      <c r="F262" s="35" t="n">
        <v>121.3165966925522</v>
      </c>
      <c r="G262" s="36" t="n">
        <v>2550</v>
      </c>
      <c r="H262" s="29" t="n">
        <v>6.666666666666667</v>
      </c>
      <c r="I262" s="16" t="inlineStr">
        <is>
          <t>sí</t>
        </is>
      </c>
      <c r="J262" s="16" t="inlineStr">
        <is>
          <t>O2</t>
        </is>
      </c>
      <c r="K262" s="16" t="inlineStr">
        <is>
          <t>malla</t>
        </is>
      </c>
    </row>
    <row r="263">
      <c r="A263" s="16" t="inlineStr">
        <is>
          <t>KF-M02S-B3-0033</t>
        </is>
      </c>
      <c r="B263" s="35" t="n">
        <v>293.15</v>
      </c>
      <c r="C263" s="35" t="n">
        <v>600</v>
      </c>
      <c r="D263" s="39" t="inlineStr">
        <is>
          <t>Corregible</t>
        </is>
      </c>
      <c r="E263" s="29" t="n">
        <v>11.27931071993894</v>
      </c>
      <c r="F263" s="35" t="n">
        <v>106.7644816388417</v>
      </c>
      <c r="G263" s="36" t="n">
        <v>2400</v>
      </c>
      <c r="H263" s="29" t="n">
        <v>5</v>
      </c>
      <c r="I263" s="16" t="inlineStr">
        <is>
          <t>sí</t>
        </is>
      </c>
      <c r="J263" s="16" t="inlineStr">
        <is>
          <t>O2</t>
        </is>
      </c>
      <c r="K263" s="16" t="inlineStr">
        <is>
          <t>malla</t>
        </is>
      </c>
    </row>
    <row r="264">
      <c r="A264" s="16" t="inlineStr">
        <is>
          <t>KF-M02S-B3-0035</t>
        </is>
      </c>
      <c r="B264" s="35" t="n">
        <v>293.15</v>
      </c>
      <c r="C264" s="35" t="n">
        <v>750</v>
      </c>
      <c r="D264" s="39" t="inlineStr">
        <is>
          <t>Corregible</t>
        </is>
      </c>
      <c r="E264" s="29" t="n">
        <v>9.861823300056049</v>
      </c>
      <c r="F264" s="35" t="n">
        <v>93.28542392054452</v>
      </c>
      <c r="G264" s="36" t="n">
        <v>2250</v>
      </c>
      <c r="H264" s="29" t="n">
        <v>4</v>
      </c>
      <c r="I264" s="16" t="inlineStr">
        <is>
          <t>sí</t>
        </is>
      </c>
      <c r="J264" s="16" t="inlineStr">
        <is>
          <t>O2</t>
        </is>
      </c>
      <c r="K264" s="16" t="inlineStr">
        <is>
          <t>malla</t>
        </is>
      </c>
    </row>
    <row r="265">
      <c r="A265" s="16" t="inlineStr">
        <is>
          <t>KF-M02S-B3-0034</t>
        </is>
      </c>
      <c r="B265" s="35" t="n">
        <v>293.15</v>
      </c>
      <c r="C265" s="35" t="n">
        <v>900</v>
      </c>
      <c r="D265" s="39" t="inlineStr">
        <is>
          <t>Corregible</t>
        </is>
      </c>
      <c r="E265" s="29" t="n">
        <v>8.8107160997212</v>
      </c>
      <c r="F265" s="35" t="n">
        <v>83.33706408560762</v>
      </c>
      <c r="G265" s="36" t="n">
        <v>2100</v>
      </c>
      <c r="H265" s="29" t="n">
        <v>3.333333333333333</v>
      </c>
      <c r="I265" s="16" t="inlineStr">
        <is>
          <t>sí</t>
        </is>
      </c>
      <c r="J265" s="16" t="inlineStr">
        <is>
          <t>O2</t>
        </is>
      </c>
      <c r="K265" s="16" t="inlineStr">
        <is>
          <t>malla</t>
        </is>
      </c>
    </row>
    <row r="266">
      <c r="A266" s="16" t="inlineStr">
        <is>
          <t>KF-M02S-B3-0036</t>
        </is>
      </c>
      <c r="B266" s="35" t="n">
        <v>293.15</v>
      </c>
      <c r="C266" s="35" t="n">
        <v>1050</v>
      </c>
      <c r="D266" s="39" t="inlineStr">
        <is>
          <t>Corregible</t>
        </is>
      </c>
      <c r="E266" s="29" t="n">
        <v>7.76854439491249</v>
      </c>
      <c r="F266" s="35" t="n">
        <v>73.44481292654123</v>
      </c>
      <c r="G266" s="36" t="n">
        <v>1950</v>
      </c>
      <c r="H266" s="29" t="n">
        <v>2.857142857142857</v>
      </c>
      <c r="I266" s="16" t="inlineStr">
        <is>
          <t>sí</t>
        </is>
      </c>
      <c r="J266" s="16" t="inlineStr">
        <is>
          <t>O2</t>
        </is>
      </c>
      <c r="K266" s="16" t="inlineStr">
        <is>
          <t>malla</t>
        </is>
      </c>
    </row>
    <row r="267">
      <c r="A267" s="16" t="inlineStr">
        <is>
          <t>KF-M02S-B3-0066</t>
        </is>
      </c>
      <c r="B267" s="35" t="n">
        <v>293.15</v>
      </c>
      <c r="C267" s="35" t="n">
        <v>1087.5</v>
      </c>
      <c r="D267" s="39" t="inlineStr">
        <is>
          <t>Corregible</t>
        </is>
      </c>
      <c r="E267" s="29" t="n">
        <v>7.522848351241721</v>
      </c>
      <c r="F267" s="35" t="n">
        <v>71.1129692937198</v>
      </c>
      <c r="G267" s="36" t="n">
        <v>1912.5</v>
      </c>
      <c r="H267" s="29" t="n">
        <v>2.758620689655173</v>
      </c>
      <c r="I267" s="16" t="inlineStr">
        <is>
          <t>sí</t>
        </is>
      </c>
      <c r="J267" s="16" t="inlineStr">
        <is>
          <t>O2</t>
        </is>
      </c>
      <c r="K267" s="16" t="inlineStr">
        <is>
          <t>bisección</t>
        </is>
      </c>
    </row>
    <row r="268">
      <c r="A268" s="16" t="inlineStr">
        <is>
          <t>KF-M02S-B3-0067</t>
        </is>
      </c>
      <c r="B268" s="35" t="n">
        <v>293.15</v>
      </c>
      <c r="C268" s="35" t="n">
        <v>1087.5</v>
      </c>
      <c r="D268" s="39" t="inlineStr">
        <is>
          <t>Corregible</t>
        </is>
      </c>
      <c r="E268" s="29" t="n">
        <v>7.522848351241721</v>
      </c>
      <c r="F268" s="35" t="n">
        <v>71.1129692937198</v>
      </c>
      <c r="G268" s="36" t="n">
        <v>1912.5</v>
      </c>
      <c r="H268" s="29" t="n">
        <v>2.758620689655173</v>
      </c>
      <c r="I268" s="16" t="inlineStr">
        <is>
          <t>sí</t>
        </is>
      </c>
      <c r="J268" s="16" t="inlineStr">
        <is>
          <t>O2</t>
        </is>
      </c>
      <c r="K268" s="16" t="inlineStr">
        <is>
          <t>bisección</t>
        </is>
      </c>
    </row>
    <row r="269">
      <c r="A269" s="16" t="inlineStr">
        <is>
          <t>KF-M02S-B3-0076</t>
        </is>
      </c>
      <c r="B269" s="35" t="n">
        <v>293.15</v>
      </c>
      <c r="C269" s="35" t="n">
        <v>1106.25</v>
      </c>
      <c r="D269" s="39" t="inlineStr">
        <is>
          <t>Corregible</t>
        </is>
      </c>
      <c r="E269" s="29" t="n">
        <v>7.40199616947115</v>
      </c>
      <c r="F269" s="35" t="n">
        <v>69.96606597275012</v>
      </c>
      <c r="G269" s="36" t="n">
        <v>1893.75</v>
      </c>
      <c r="H269" s="29" t="n">
        <v>2.711864406779661</v>
      </c>
      <c r="I269" s="16" t="inlineStr">
        <is>
          <t>sí</t>
        </is>
      </c>
      <c r="J269" s="16" t="inlineStr">
        <is>
          <t>O2</t>
        </is>
      </c>
      <c r="K269" s="16" t="inlineStr">
        <is>
          <t>bisección</t>
        </is>
      </c>
    </row>
    <row r="270">
      <c r="A270" s="16" t="inlineStr">
        <is>
          <t>KF-M02S-B3-0078</t>
        </is>
      </c>
      <c r="B270" s="35" t="n">
        <v>293.15</v>
      </c>
      <c r="C270" s="35" t="n">
        <v>1106.25</v>
      </c>
      <c r="D270" s="39" t="inlineStr">
        <is>
          <t>Corregible</t>
        </is>
      </c>
      <c r="E270" s="29" t="n">
        <v>7.40199616947115</v>
      </c>
      <c r="F270" s="35" t="n">
        <v>69.96606597275012</v>
      </c>
      <c r="G270" s="36" t="n">
        <v>1893.75</v>
      </c>
      <c r="H270" s="29" t="n">
        <v>2.711864406779661</v>
      </c>
      <c r="I270" s="16" t="inlineStr">
        <is>
          <t>sí</t>
        </is>
      </c>
      <c r="J270" s="16" t="inlineStr">
        <is>
          <t>O2</t>
        </is>
      </c>
      <c r="K270" s="16" t="inlineStr">
        <is>
          <t>bisección</t>
        </is>
      </c>
    </row>
    <row r="271">
      <c r="A271" s="16" t="inlineStr">
        <is>
          <t>KF-M02S-B3-0086</t>
        </is>
      </c>
      <c r="B271" s="35" t="n">
        <v>293.15</v>
      </c>
      <c r="C271" s="35" t="n">
        <v>1115.625</v>
      </c>
      <c r="D271" s="42" t="inlineStr">
        <is>
          <t>KALINA</t>
        </is>
      </c>
      <c r="E271" s="29" t="n">
        <v>7.34209204174651</v>
      </c>
      <c r="F271" s="35" t="n">
        <v>69.39759559373886</v>
      </c>
      <c r="G271" s="36" t="n">
        <v>1884.375</v>
      </c>
      <c r="H271" s="29" t="n">
        <v>2.689075630252101</v>
      </c>
      <c r="I271" s="16" t="inlineStr">
        <is>
          <t>sí</t>
        </is>
      </c>
      <c r="J271" s="16" t="n"/>
      <c r="K271" s="16" t="inlineStr">
        <is>
          <t>bisección</t>
        </is>
      </c>
    </row>
    <row r="272">
      <c r="A272" s="16" t="inlineStr">
        <is>
          <t>KF-M02S-B3-0088</t>
        </is>
      </c>
      <c r="B272" s="35" t="n">
        <v>293.15</v>
      </c>
      <c r="C272" s="35" t="n">
        <v>1115.625</v>
      </c>
      <c r="D272" s="42" t="inlineStr">
        <is>
          <t>KALINA</t>
        </is>
      </c>
      <c r="E272" s="29" t="n">
        <v>7.34209204174651</v>
      </c>
      <c r="F272" s="35" t="n">
        <v>69.39759559373886</v>
      </c>
      <c r="G272" s="36" t="n">
        <v>1884.375</v>
      </c>
      <c r="H272" s="29" t="n">
        <v>2.689075630252101</v>
      </c>
      <c r="I272" s="16" t="inlineStr">
        <is>
          <t>sí</t>
        </is>
      </c>
      <c r="J272" s="16" t="n"/>
      <c r="K272" s="16" t="inlineStr">
        <is>
          <t>bisección</t>
        </is>
      </c>
    </row>
    <row r="273">
      <c r="A273" s="16" t="inlineStr">
        <is>
          <t>KF-M02S-B3-0056</t>
        </is>
      </c>
      <c r="B273" s="35" t="n">
        <v>293.15</v>
      </c>
      <c r="C273" s="35" t="n">
        <v>1125</v>
      </c>
      <c r="D273" s="42" t="inlineStr">
        <is>
          <t>KALINA</t>
        </is>
      </c>
      <c r="E273" s="29" t="n">
        <v>7.282634232065829</v>
      </c>
      <c r="F273" s="35" t="n">
        <v>68.83339716114969</v>
      </c>
      <c r="G273" s="36" t="n">
        <v>1875</v>
      </c>
      <c r="H273" s="29" t="n">
        <v>2.666666666666667</v>
      </c>
      <c r="I273" s="16" t="inlineStr">
        <is>
          <t>sí</t>
        </is>
      </c>
      <c r="J273" s="16" t="n"/>
      <c r="K273" s="16" t="inlineStr">
        <is>
          <t>bisección</t>
        </is>
      </c>
    </row>
    <row r="274">
      <c r="A274" s="16" t="inlineStr">
        <is>
          <t>KF-M02S-B3-0059</t>
        </is>
      </c>
      <c r="B274" s="35" t="n">
        <v>293.15</v>
      </c>
      <c r="C274" s="35" t="n">
        <v>1125</v>
      </c>
      <c r="D274" s="42" t="inlineStr">
        <is>
          <t>KALINA</t>
        </is>
      </c>
      <c r="E274" s="29" t="n">
        <v>7.282634232065829</v>
      </c>
      <c r="F274" s="35" t="n">
        <v>68.83339716114969</v>
      </c>
      <c r="G274" s="36" t="n">
        <v>1875</v>
      </c>
      <c r="H274" s="29" t="n">
        <v>2.666666666666667</v>
      </c>
      <c r="I274" s="16" t="inlineStr">
        <is>
          <t>sí</t>
        </is>
      </c>
      <c r="J274" s="16" t="n"/>
      <c r="K274" s="16" t="inlineStr">
        <is>
          <t>bisección</t>
        </is>
      </c>
    </row>
    <row r="275">
      <c r="A275" s="16" t="inlineStr">
        <is>
          <t>KF-M02S-B3-0037</t>
        </is>
      </c>
      <c r="B275" s="35" t="n">
        <v>293.15</v>
      </c>
      <c r="C275" s="35" t="n">
        <v>1200</v>
      </c>
      <c r="D275" s="42" t="inlineStr">
        <is>
          <t>KALINA</t>
        </is>
      </c>
      <c r="E275" s="29" t="n">
        <v>6.822374677449609</v>
      </c>
      <c r="F275" s="35" t="n">
        <v>64.46722149301937</v>
      </c>
      <c r="G275" s="36" t="n">
        <v>1800</v>
      </c>
      <c r="H275" s="29" t="n">
        <v>2.5</v>
      </c>
      <c r="I275" s="16" t="inlineStr">
        <is>
          <t>sí</t>
        </is>
      </c>
      <c r="J275" s="16" t="n"/>
      <c r="K275" s="16" t="inlineStr">
        <is>
          <t>malla</t>
        </is>
      </c>
    </row>
    <row r="276">
      <c r="A276" s="16" t="inlineStr">
        <is>
          <t>KF-M02S-B3-0039</t>
        </is>
      </c>
      <c r="B276" s="35" t="n">
        <v>293.15</v>
      </c>
      <c r="C276" s="35" t="n">
        <v>1350</v>
      </c>
      <c r="D276" s="42" t="inlineStr">
        <is>
          <t>KALINA</t>
        </is>
      </c>
      <c r="E276" s="29" t="n">
        <v>5.97474657425476</v>
      </c>
      <c r="F276" s="35" t="n">
        <v>56.43211794360493</v>
      </c>
      <c r="G276" s="36" t="n">
        <v>1650</v>
      </c>
      <c r="H276" s="29" t="n">
        <v>2.222222222222222</v>
      </c>
      <c r="I276" s="16" t="inlineStr">
        <is>
          <t>sí</t>
        </is>
      </c>
      <c r="J276" s="16" t="n"/>
      <c r="K276" s="16" t="inlineStr">
        <is>
          <t>malla</t>
        </is>
      </c>
    </row>
    <row r="277">
      <c r="A277" s="16" t="inlineStr">
        <is>
          <t>KF-M02S-B3-0040</t>
        </is>
      </c>
      <c r="B277" s="35" t="n">
        <v>293.15</v>
      </c>
      <c r="C277" s="35" t="n">
        <v>1500</v>
      </c>
      <c r="D277" s="42" t="inlineStr">
        <is>
          <t>KALINA</t>
        </is>
      </c>
      <c r="E277" s="29" t="n">
        <v>5.20835188335498</v>
      </c>
      <c r="F277" s="35" t="n">
        <v>49.17346890841297</v>
      </c>
      <c r="G277" s="36" t="n">
        <v>1500</v>
      </c>
      <c r="H277" s="29" t="n">
        <v>2</v>
      </c>
      <c r="I277" s="16" t="inlineStr">
        <is>
          <t>sí</t>
        </is>
      </c>
      <c r="J277" s="16" t="n"/>
      <c r="K277" s="16" t="inlineStr">
        <is>
          <t>malla</t>
        </is>
      </c>
    </row>
    <row r="278">
      <c r="A278" s="16" t="inlineStr">
        <is>
          <t>KF-M02S-B3-0038</t>
        </is>
      </c>
      <c r="B278" s="35" t="n">
        <v>300.032917</v>
      </c>
      <c r="C278" s="35" t="n">
        <v>150</v>
      </c>
      <c r="D278" s="39" t="inlineStr">
        <is>
          <t>Corregible</t>
        </is>
      </c>
      <c r="E278" s="29" t="n">
        <v>11.32517138193039</v>
      </c>
      <c r="F278" s="35" t="n">
        <v>89.91318338680395</v>
      </c>
      <c r="G278" s="36" t="n">
        <v>2850</v>
      </c>
      <c r="H278" s="29" t="n">
        <v>20</v>
      </c>
      <c r="I278" s="16" t="inlineStr">
        <is>
          <t>sí</t>
        </is>
      </c>
      <c r="J278" s="16" t="inlineStr">
        <is>
          <t>O1,O2</t>
        </is>
      </c>
      <c r="K278" s="16" t="inlineStr">
        <is>
          <t>malla</t>
        </is>
      </c>
    </row>
    <row r="279">
      <c r="A279" s="16" t="inlineStr">
        <is>
          <t>KF-M02S-B3-0041</t>
        </is>
      </c>
      <c r="B279" s="35" t="n">
        <v>300.032917</v>
      </c>
      <c r="C279" s="35" t="n">
        <v>300</v>
      </c>
      <c r="D279" s="39" t="inlineStr">
        <is>
          <t>Corregible</t>
        </is>
      </c>
      <c r="E279" s="29" t="n">
        <v>13.96874186499611</v>
      </c>
      <c r="F279" s="35" t="n">
        <v>127.949390389116</v>
      </c>
      <c r="G279" s="36" t="n">
        <v>2700</v>
      </c>
      <c r="H279" s="29" t="n">
        <v>10</v>
      </c>
      <c r="I279" s="16" t="inlineStr">
        <is>
          <t>sí</t>
        </is>
      </c>
      <c r="J279" s="16" t="inlineStr">
        <is>
          <t>O1,O2</t>
        </is>
      </c>
      <c r="K279" s="16" t="inlineStr">
        <is>
          <t>malla</t>
        </is>
      </c>
    </row>
    <row r="280">
      <c r="A280" s="16" t="inlineStr">
        <is>
          <t>KF-M02S-B3-0042</t>
        </is>
      </c>
      <c r="B280" s="35" t="n">
        <v>300.032917</v>
      </c>
      <c r="C280" s="35" t="n">
        <v>450</v>
      </c>
      <c r="D280" s="39" t="inlineStr">
        <is>
          <t>Corregible</t>
        </is>
      </c>
      <c r="E280" s="29" t="n">
        <v>12.75982514104871</v>
      </c>
      <c r="F280" s="35" t="n">
        <v>119.7259012752679</v>
      </c>
      <c r="G280" s="36" t="n">
        <v>2550</v>
      </c>
      <c r="H280" s="29" t="n">
        <v>6.666666666666667</v>
      </c>
      <c r="I280" s="16" t="inlineStr">
        <is>
          <t>sí</t>
        </is>
      </c>
      <c r="J280" s="16" t="inlineStr">
        <is>
          <t>O2</t>
        </is>
      </c>
      <c r="K280" s="16" t="inlineStr">
        <is>
          <t>malla</t>
        </is>
      </c>
    </row>
    <row r="281">
      <c r="A281" s="16" t="inlineStr">
        <is>
          <t>KF-M02S-B3-0043</t>
        </is>
      </c>
      <c r="B281" s="35" t="n">
        <v>300.032917</v>
      </c>
      <c r="C281" s="35" t="n">
        <v>600</v>
      </c>
      <c r="D281" s="39" t="inlineStr">
        <is>
          <t>Corregible</t>
        </is>
      </c>
      <c r="E281" s="29" t="n">
        <v>11.28078200816002</v>
      </c>
      <c r="F281" s="35" t="n">
        <v>105.8817161928283</v>
      </c>
      <c r="G281" s="36" t="n">
        <v>2400</v>
      </c>
      <c r="H281" s="29" t="n">
        <v>5</v>
      </c>
      <c r="I281" s="16" t="inlineStr">
        <is>
          <t>sí</t>
        </is>
      </c>
      <c r="J281" s="16" t="inlineStr">
        <is>
          <t>O2</t>
        </is>
      </c>
      <c r="K281" s="16" t="inlineStr">
        <is>
          <t>malla</t>
        </is>
      </c>
    </row>
    <row r="282">
      <c r="A282" s="16" t="inlineStr">
        <is>
          <t>KF-M02S-B3-0044</t>
        </is>
      </c>
      <c r="B282" s="35" t="n">
        <v>300.032917</v>
      </c>
      <c r="C282" s="35" t="n">
        <v>750</v>
      </c>
      <c r="D282" s="39" t="inlineStr">
        <is>
          <t>Corregible</t>
        </is>
      </c>
      <c r="E282" s="29" t="n">
        <v>10.01187318231557</v>
      </c>
      <c r="F282" s="35" t="n">
        <v>93.96867616091116</v>
      </c>
      <c r="G282" s="36" t="n">
        <v>2250</v>
      </c>
      <c r="H282" s="29" t="n">
        <v>4</v>
      </c>
      <c r="I282" s="16" t="inlineStr">
        <is>
          <t>sí</t>
        </is>
      </c>
      <c r="J282" s="16" t="inlineStr">
        <is>
          <t>O2</t>
        </is>
      </c>
      <c r="K282" s="16" t="inlineStr">
        <is>
          <t>malla</t>
        </is>
      </c>
    </row>
    <row r="283">
      <c r="A283" s="16" t="inlineStr">
        <is>
          <t>KF-M02S-B3-0045</t>
        </is>
      </c>
      <c r="B283" s="35" t="n">
        <v>300.032917</v>
      </c>
      <c r="C283" s="35" t="n">
        <v>900</v>
      </c>
      <c r="D283" s="39" t="inlineStr">
        <is>
          <t>Corregible</t>
        </is>
      </c>
      <c r="E283" s="29" t="n">
        <v>8.8899683808202</v>
      </c>
      <c r="F283" s="35" t="n">
        <v>83.42036075819711</v>
      </c>
      <c r="G283" s="36" t="n">
        <v>2100</v>
      </c>
      <c r="H283" s="29" t="n">
        <v>3.333333333333333</v>
      </c>
      <c r="I283" s="16" t="inlineStr">
        <is>
          <t>sí</t>
        </is>
      </c>
      <c r="J283" s="16" t="inlineStr">
        <is>
          <t>O2</t>
        </is>
      </c>
      <c r="K283" s="16" t="inlineStr">
        <is>
          <t>malla</t>
        </is>
      </c>
    </row>
    <row r="284">
      <c r="A284" s="16" t="inlineStr">
        <is>
          <t>KF-M02S-B3-0046</t>
        </is>
      </c>
      <c r="B284" s="35" t="n">
        <v>300.032917</v>
      </c>
      <c r="C284" s="35" t="n">
        <v>1050</v>
      </c>
      <c r="D284" s="39" t="inlineStr">
        <is>
          <t>Corregible</t>
        </is>
      </c>
      <c r="E284" s="29" t="n">
        <v>7.8777772209997</v>
      </c>
      <c r="F284" s="35" t="n">
        <v>73.89780225569271</v>
      </c>
      <c r="G284" s="36" t="n">
        <v>1950</v>
      </c>
      <c r="H284" s="29" t="n">
        <v>2.857142857142857</v>
      </c>
      <c r="I284" s="16" t="inlineStr">
        <is>
          <t>sí</t>
        </is>
      </c>
      <c r="J284" s="16" t="inlineStr">
        <is>
          <t>O2</t>
        </is>
      </c>
      <c r="K284" s="16" t="inlineStr">
        <is>
          <t>malla</t>
        </is>
      </c>
    </row>
    <row r="285">
      <c r="A285" s="16" t="inlineStr">
        <is>
          <t>KF-M02S-B3-0047</t>
        </is>
      </c>
      <c r="B285" s="35" t="n">
        <v>300.032917</v>
      </c>
      <c r="C285" s="35" t="n">
        <v>1200</v>
      </c>
      <c r="D285" s="39" t="inlineStr">
        <is>
          <t>Corregible</t>
        </is>
      </c>
      <c r="E285" s="29" t="n">
        <v>6.951213083978231</v>
      </c>
      <c r="F285" s="35" t="n">
        <v>65.180017384366</v>
      </c>
      <c r="G285" s="36" t="n">
        <v>1800</v>
      </c>
      <c r="H285" s="29" t="n">
        <v>2.5</v>
      </c>
      <c r="I285" s="16" t="inlineStr">
        <is>
          <t>sí</t>
        </is>
      </c>
      <c r="J285" s="16" t="inlineStr">
        <is>
          <t>O2</t>
        </is>
      </c>
      <c r="K285" s="16" t="inlineStr">
        <is>
          <t>malla</t>
        </is>
      </c>
    </row>
    <row r="286">
      <c r="A286" s="16" t="inlineStr">
        <is>
          <t>KF-M02S-B3-0057</t>
        </is>
      </c>
      <c r="B286" s="35" t="n">
        <v>300.032917</v>
      </c>
      <c r="C286" s="35" t="n">
        <v>1275</v>
      </c>
      <c r="D286" s="39" t="inlineStr">
        <is>
          <t>Corregible</t>
        </is>
      </c>
      <c r="E286" s="29" t="n">
        <v>6.51465576378263</v>
      </c>
      <c r="F286" s="35" t="n">
        <v>61.07319676035566</v>
      </c>
      <c r="G286" s="36" t="n">
        <v>1725</v>
      </c>
      <c r="H286" s="29" t="n">
        <v>2.352941176470588</v>
      </c>
      <c r="I286" s="16" t="inlineStr">
        <is>
          <t>sí</t>
        </is>
      </c>
      <c r="J286" s="16" t="inlineStr">
        <is>
          <t>O2</t>
        </is>
      </c>
      <c r="K286" s="16" t="inlineStr">
        <is>
          <t>bisección</t>
        </is>
      </c>
    </row>
    <row r="287">
      <c r="A287" s="16" t="inlineStr">
        <is>
          <t>KF-M02S-B3-0058</t>
        </is>
      </c>
      <c r="B287" s="35" t="n">
        <v>300.032917</v>
      </c>
      <c r="C287" s="35" t="n">
        <v>1275</v>
      </c>
      <c r="D287" s="39" t="inlineStr">
        <is>
          <t>Corregible</t>
        </is>
      </c>
      <c r="E287" s="29" t="n">
        <v>6.51465576378263</v>
      </c>
      <c r="F287" s="35" t="n">
        <v>61.07319676035566</v>
      </c>
      <c r="G287" s="36" t="n">
        <v>1725</v>
      </c>
      <c r="H287" s="29" t="n">
        <v>2.352941176470588</v>
      </c>
      <c r="I287" s="16" t="inlineStr">
        <is>
          <t>sí</t>
        </is>
      </c>
      <c r="J287" s="16" t="inlineStr">
        <is>
          <t>O2</t>
        </is>
      </c>
      <c r="K287" s="16" t="inlineStr">
        <is>
          <t>bisección</t>
        </is>
      </c>
    </row>
    <row r="288">
      <c r="A288" s="16" t="inlineStr">
        <is>
          <t>KF-M02S-B3-0077</t>
        </is>
      </c>
      <c r="B288" s="35" t="n">
        <v>300.032917</v>
      </c>
      <c r="C288" s="35" t="n">
        <v>1293.75</v>
      </c>
      <c r="D288" s="39" t="inlineStr">
        <is>
          <t>Corregible</t>
        </is>
      </c>
      <c r="E288" s="29" t="n">
        <v>6.408010104336791</v>
      </c>
      <c r="F288" s="35" t="n">
        <v>60.07005961257376</v>
      </c>
      <c r="G288" s="36" t="n">
        <v>1706.25</v>
      </c>
      <c r="H288" s="29" t="n">
        <v>2.318840579710145</v>
      </c>
      <c r="I288" s="16" t="inlineStr">
        <is>
          <t>sí</t>
        </is>
      </c>
      <c r="J288" s="16" t="inlineStr">
        <is>
          <t>O2</t>
        </is>
      </c>
      <c r="K288" s="16" t="inlineStr">
        <is>
          <t>bisección</t>
        </is>
      </c>
    </row>
    <row r="289">
      <c r="A289" s="16" t="inlineStr">
        <is>
          <t>KF-M02S-B3-0079</t>
        </is>
      </c>
      <c r="B289" s="35" t="n">
        <v>300.032917</v>
      </c>
      <c r="C289" s="35" t="n">
        <v>1293.75</v>
      </c>
      <c r="D289" s="39" t="inlineStr">
        <is>
          <t>Corregible</t>
        </is>
      </c>
      <c r="E289" s="29" t="n">
        <v>6.408010104336791</v>
      </c>
      <c r="F289" s="35" t="n">
        <v>60.07005961257376</v>
      </c>
      <c r="G289" s="36" t="n">
        <v>1706.25</v>
      </c>
      <c r="H289" s="29" t="n">
        <v>2.318840579710145</v>
      </c>
      <c r="I289" s="16" t="inlineStr">
        <is>
          <t>sí</t>
        </is>
      </c>
      <c r="J289" s="16" t="inlineStr">
        <is>
          <t>O2</t>
        </is>
      </c>
      <c r="K289" s="16" t="inlineStr">
        <is>
          <t>bisección</t>
        </is>
      </c>
    </row>
    <row r="290">
      <c r="A290" s="16" t="inlineStr">
        <is>
          <t>KF-M02S-B3-0087</t>
        </is>
      </c>
      <c r="B290" s="35" t="n">
        <v>300.032917</v>
      </c>
      <c r="C290" s="35" t="n">
        <v>1303.125</v>
      </c>
      <c r="D290" s="39" t="inlineStr">
        <is>
          <t>Corregible</t>
        </is>
      </c>
      <c r="E290" s="29" t="n">
        <v>6.35504551443406</v>
      </c>
      <c r="F290" s="35" t="n">
        <v>59.57187939014052</v>
      </c>
      <c r="G290" s="36" t="n">
        <v>1696.875</v>
      </c>
      <c r="H290" s="29" t="n">
        <v>2.302158273381295</v>
      </c>
      <c r="I290" s="16" t="inlineStr">
        <is>
          <t>sí</t>
        </is>
      </c>
      <c r="J290" s="16" t="inlineStr">
        <is>
          <t>O2</t>
        </is>
      </c>
      <c r="K290" s="16" t="inlineStr">
        <is>
          <t>bisección</t>
        </is>
      </c>
    </row>
    <row r="291">
      <c r="A291" s="16" t="inlineStr">
        <is>
          <t>KF-M02S-B3-0089</t>
        </is>
      </c>
      <c r="B291" s="35" t="n">
        <v>300.032917</v>
      </c>
      <c r="C291" s="35" t="n">
        <v>1303.125</v>
      </c>
      <c r="D291" s="39" t="inlineStr">
        <is>
          <t>Corregible</t>
        </is>
      </c>
      <c r="E291" s="29" t="n">
        <v>6.35504551443406</v>
      </c>
      <c r="F291" s="35" t="n">
        <v>59.57187939014052</v>
      </c>
      <c r="G291" s="36" t="n">
        <v>1696.875</v>
      </c>
      <c r="H291" s="29" t="n">
        <v>2.302158273381295</v>
      </c>
      <c r="I291" s="16" t="inlineStr">
        <is>
          <t>sí</t>
        </is>
      </c>
      <c r="J291" s="16" t="inlineStr">
        <is>
          <t>O2</t>
        </is>
      </c>
      <c r="K291" s="16" t="inlineStr">
        <is>
          <t>bisección</t>
        </is>
      </c>
    </row>
    <row r="292">
      <c r="A292" s="16" t="inlineStr">
        <is>
          <t>KF-M02S-B3-0068</t>
        </is>
      </c>
      <c r="B292" s="35" t="n">
        <v>300.032917</v>
      </c>
      <c r="C292" s="35" t="n">
        <v>1312.5</v>
      </c>
      <c r="D292" s="42" t="inlineStr">
        <is>
          <t>KALINA</t>
        </is>
      </c>
      <c r="E292" s="29" t="n">
        <v>6.302320204312569</v>
      </c>
      <c r="F292" s="35" t="n">
        <v>59.07596336169758</v>
      </c>
      <c r="G292" s="36" t="n">
        <v>1687.5</v>
      </c>
      <c r="H292" s="29" t="n">
        <v>2.285714285714286</v>
      </c>
      <c r="I292" s="16" t="inlineStr">
        <is>
          <t>sí</t>
        </is>
      </c>
      <c r="J292" s="16" t="n"/>
      <c r="K292" s="16" t="inlineStr">
        <is>
          <t>bisección</t>
        </is>
      </c>
    </row>
    <row r="293">
      <c r="A293" s="16" t="inlineStr">
        <is>
          <t>KF-M02S-B3-0069</t>
        </is>
      </c>
      <c r="B293" s="35" t="n">
        <v>300.032917</v>
      </c>
      <c r="C293" s="35" t="n">
        <v>1312.5</v>
      </c>
      <c r="D293" s="42" t="inlineStr">
        <is>
          <t>KALINA</t>
        </is>
      </c>
      <c r="E293" s="29" t="n">
        <v>6.302320204312569</v>
      </c>
      <c r="F293" s="35" t="n">
        <v>59.07596336169758</v>
      </c>
      <c r="G293" s="36" t="n">
        <v>1687.5</v>
      </c>
      <c r="H293" s="29" t="n">
        <v>2.285714285714286</v>
      </c>
      <c r="I293" s="16" t="inlineStr">
        <is>
          <t>sí</t>
        </is>
      </c>
      <c r="J293" s="16" t="n"/>
      <c r="K293" s="16" t="inlineStr">
        <is>
          <t>bisección</t>
        </is>
      </c>
    </row>
    <row r="294">
      <c r="A294" s="16" t="inlineStr">
        <is>
          <t>KF-M02S-B3-0048</t>
        </is>
      </c>
      <c r="B294" s="35" t="n">
        <v>300.032917</v>
      </c>
      <c r="C294" s="35" t="n">
        <v>1350</v>
      </c>
      <c r="D294" s="42" t="inlineStr">
        <is>
          <t>KALINA</t>
        </is>
      </c>
      <c r="E294" s="29" t="n">
        <v>6.09465489612694</v>
      </c>
      <c r="F294" s="35" t="n">
        <v>57.12300031034861</v>
      </c>
      <c r="G294" s="36" t="n">
        <v>1650</v>
      </c>
      <c r="H294" s="29" t="n">
        <v>2.222222222222222</v>
      </c>
      <c r="I294" s="16" t="inlineStr">
        <is>
          <t>sí</t>
        </is>
      </c>
      <c r="J294" s="16" t="n"/>
      <c r="K294" s="16" t="inlineStr">
        <is>
          <t>malla</t>
        </is>
      </c>
    </row>
    <row r="295">
      <c r="A295" s="16" t="inlineStr">
        <is>
          <t>KF-M02S-B3-0049</t>
        </is>
      </c>
      <c r="B295" s="35" t="n">
        <v>300.032917</v>
      </c>
      <c r="C295" s="35" t="n">
        <v>1500</v>
      </c>
      <c r="D295" s="42" t="inlineStr">
        <is>
          <t>KALINA</t>
        </is>
      </c>
      <c r="E295" s="29" t="n">
        <v>5.313013436435679</v>
      </c>
      <c r="F295" s="35" t="n">
        <v>49.77614931777247</v>
      </c>
      <c r="G295" s="36" t="n">
        <v>1500</v>
      </c>
      <c r="H295" s="29" t="n">
        <v>2</v>
      </c>
      <c r="I295" s="16" t="inlineStr">
        <is>
          <t>sí</t>
        </is>
      </c>
      <c r="J295" s="16" t="n"/>
      <c r="K295" s="16" t="inlineStr">
        <is>
          <t>malla</t>
        </is>
      </c>
    </row>
    <row r="296"/>
    <row r="297">
      <c r="A297" s="33" t="inlineStr">
        <is>
          <t>Parte 2.4d · datos exactos del profesor · 50 puntos</t>
        </is>
      </c>
      <c r="B297" s="31" t="n"/>
      <c r="C297" s="31" t="n"/>
      <c r="D297" s="31" t="n"/>
      <c r="E297" s="31" t="n"/>
      <c r="F297" s="31" t="n"/>
      <c r="G297" s="31" t="n"/>
      <c r="H297" s="31" t="n"/>
      <c r="I297" s="31" t="n"/>
      <c r="J297" s="31" t="n"/>
      <c r="K297" s="31" t="n"/>
    </row>
    <row r="298"/>
    <row r="299">
      <c r="A299" s="34" t="inlineStr">
        <is>
          <t>Barrido de la parte 2.4d · 50 puntos</t>
        </is>
      </c>
    </row>
    <row r="300">
      <c r="A300" s="25" t="inlineStr">
        <is>
          <t>Fijos en este barrido: T_fuente = 623.15, P_alta = 3000, x_b = 0.5, η_t = 0.85, η_p = 0.75, ε_HRVG = 0.85, ε_reg = 0.75, ε_cond = 0.8.</t>
        </is>
      </c>
    </row>
    <row r="301">
      <c r="A301" s="22" t="inlineStr">
        <is>
          <t>id_punto</t>
        </is>
      </c>
      <c r="B301" s="22" t="inlineStr">
        <is>
          <t>T_sumidero [K]</t>
        </is>
      </c>
      <c r="C301" s="22" t="inlineStr">
        <is>
          <t>P_baja [kPa]</t>
        </is>
      </c>
      <c r="D301" s="22" t="inlineStr">
        <is>
          <t>Clase</t>
        </is>
      </c>
      <c r="E301" s="22" t="inlineStr">
        <is>
          <t>η [%]</t>
        </is>
      </c>
      <c r="F301" s="22" t="inlineStr">
        <is>
          <t>W_net [kW] (m_b = 1 kg/s)</t>
        </is>
      </c>
      <c r="G301" s="22" t="inlineStr">
        <is>
          <t>ΔP [kPa]</t>
        </is>
      </c>
      <c r="H301" s="22" t="inlineStr">
        <is>
          <t>r_P [–]</t>
        </is>
      </c>
      <c r="I301" s="22" t="inlineStr">
        <is>
          <t>Fuera de rango</t>
        </is>
      </c>
    </row>
    <row r="302">
      <c r="A302" s="16" t="inlineStr">
        <is>
          <t>KF-M02S-B4-0000</t>
        </is>
      </c>
      <c r="B302" s="35" t="n">
        <v>278.15</v>
      </c>
      <c r="C302" s="35" t="n">
        <v>150</v>
      </c>
      <c r="D302" s="32" t="inlineStr">
        <is>
          <t>No convergió</t>
        </is>
      </c>
      <c r="E302" s="29" t="inlineStr">
        <is>
          <t>—</t>
        </is>
      </c>
      <c r="F302" s="35" t="inlineStr">
        <is>
          <t>—</t>
        </is>
      </c>
      <c r="G302" s="36" t="n">
        <v>2850</v>
      </c>
      <c r="H302" s="29" t="n">
        <v>20</v>
      </c>
      <c r="I302" s="16" t="inlineStr">
        <is>
          <t>no</t>
        </is>
      </c>
    </row>
    <row r="303">
      <c r="A303" s="16" t="inlineStr">
        <is>
          <t>KF-M02S-B4-0001</t>
        </is>
      </c>
      <c r="B303" s="35" t="n">
        <v>278.15</v>
      </c>
      <c r="C303" s="35" t="n">
        <v>300</v>
      </c>
      <c r="D303" s="32" t="inlineStr">
        <is>
          <t>No convergió</t>
        </is>
      </c>
      <c r="E303" s="29" t="inlineStr">
        <is>
          <t>—</t>
        </is>
      </c>
      <c r="F303" s="35" t="inlineStr">
        <is>
          <t>—</t>
        </is>
      </c>
      <c r="G303" s="36" t="n">
        <v>2700</v>
      </c>
      <c r="H303" s="29" t="n">
        <v>10</v>
      </c>
      <c r="I303" s="16" t="inlineStr">
        <is>
          <t>no</t>
        </is>
      </c>
    </row>
    <row r="304">
      <c r="A304" s="16" t="inlineStr">
        <is>
          <t>KF-M02S-B4-0002</t>
        </is>
      </c>
      <c r="B304" s="35" t="n">
        <v>278.15</v>
      </c>
      <c r="C304" s="35" t="n">
        <v>450</v>
      </c>
      <c r="D304" s="32" t="inlineStr">
        <is>
          <t>No convergió</t>
        </is>
      </c>
      <c r="E304" s="29" t="inlineStr">
        <is>
          <t>—</t>
        </is>
      </c>
      <c r="F304" s="35" t="inlineStr">
        <is>
          <t>—</t>
        </is>
      </c>
      <c r="G304" s="36" t="n">
        <v>2550</v>
      </c>
      <c r="H304" s="29" t="n">
        <v>6.666666666666667</v>
      </c>
      <c r="I304" s="16" t="inlineStr">
        <is>
          <t>no</t>
        </is>
      </c>
    </row>
    <row r="305">
      <c r="A305" s="16" t="inlineStr">
        <is>
          <t>KF-M02S-B4-0003</t>
        </is>
      </c>
      <c r="B305" s="35" t="n">
        <v>278.15</v>
      </c>
      <c r="C305" s="35" t="n">
        <v>600</v>
      </c>
      <c r="D305" s="32" t="inlineStr">
        <is>
          <t>No convergió</t>
        </is>
      </c>
      <c r="E305" s="29" t="inlineStr">
        <is>
          <t>—</t>
        </is>
      </c>
      <c r="F305" s="35" t="inlineStr">
        <is>
          <t>—</t>
        </is>
      </c>
      <c r="G305" s="36" t="n">
        <v>2400</v>
      </c>
      <c r="H305" s="29" t="n">
        <v>5</v>
      </c>
      <c r="I305" s="16" t="inlineStr">
        <is>
          <t>no</t>
        </is>
      </c>
    </row>
    <row r="306">
      <c r="A306" s="16" t="inlineStr">
        <is>
          <t>KF-M02S-B4-0005</t>
        </is>
      </c>
      <c r="B306" s="35" t="n">
        <v>278.15</v>
      </c>
      <c r="C306" s="35" t="n">
        <v>750</v>
      </c>
      <c r="D306" s="32" t="inlineStr">
        <is>
          <t>No convergió</t>
        </is>
      </c>
      <c r="E306" s="29" t="inlineStr">
        <is>
          <t>—</t>
        </is>
      </c>
      <c r="F306" s="35" t="inlineStr">
        <is>
          <t>—</t>
        </is>
      </c>
      <c r="G306" s="36" t="n">
        <v>2250</v>
      </c>
      <c r="H306" s="29" t="n">
        <v>4</v>
      </c>
      <c r="I306" s="16" t="inlineStr">
        <is>
          <t>no</t>
        </is>
      </c>
    </row>
    <row r="307">
      <c r="A307" s="16" t="inlineStr">
        <is>
          <t>KF-M02S-B4-0006</t>
        </is>
      </c>
      <c r="B307" s="35" t="n">
        <v>278.15</v>
      </c>
      <c r="C307" s="35" t="n">
        <v>900</v>
      </c>
      <c r="D307" s="32" t="inlineStr">
        <is>
          <t>No convergió</t>
        </is>
      </c>
      <c r="E307" s="29" t="inlineStr">
        <is>
          <t>—</t>
        </is>
      </c>
      <c r="F307" s="35" t="inlineStr">
        <is>
          <t>—</t>
        </is>
      </c>
      <c r="G307" s="36" t="n">
        <v>2100</v>
      </c>
      <c r="H307" s="29" t="n">
        <v>3.333333333333333</v>
      </c>
      <c r="I307" s="16" t="inlineStr">
        <is>
          <t>no</t>
        </is>
      </c>
    </row>
    <row r="308">
      <c r="A308" s="16" t="inlineStr">
        <is>
          <t>KF-M02S-B4-0004</t>
        </is>
      </c>
      <c r="B308" s="35" t="n">
        <v>278.15</v>
      </c>
      <c r="C308" s="35" t="n">
        <v>1050</v>
      </c>
      <c r="D308" s="32" t="inlineStr">
        <is>
          <t>No convergió</t>
        </is>
      </c>
      <c r="E308" s="29" t="inlineStr">
        <is>
          <t>—</t>
        </is>
      </c>
      <c r="F308" s="35" t="inlineStr">
        <is>
          <t>—</t>
        </is>
      </c>
      <c r="G308" s="36" t="n">
        <v>1950</v>
      </c>
      <c r="H308" s="29" t="n">
        <v>2.857142857142857</v>
      </c>
      <c r="I308" s="16" t="inlineStr">
        <is>
          <t>no</t>
        </is>
      </c>
    </row>
    <row r="309">
      <c r="A309" s="16" t="inlineStr">
        <is>
          <t>KF-M02S-B4-0007</t>
        </is>
      </c>
      <c r="B309" s="35" t="n">
        <v>278.15</v>
      </c>
      <c r="C309" s="35" t="n">
        <v>1200</v>
      </c>
      <c r="D309" s="32" t="inlineStr">
        <is>
          <t>No convergió</t>
        </is>
      </c>
      <c r="E309" s="29" t="inlineStr">
        <is>
          <t>—</t>
        </is>
      </c>
      <c r="F309" s="35" t="inlineStr">
        <is>
          <t>—</t>
        </is>
      </c>
      <c r="G309" s="36" t="n">
        <v>1800</v>
      </c>
      <c r="H309" s="29" t="n">
        <v>2.5</v>
      </c>
      <c r="I309" s="16" t="inlineStr">
        <is>
          <t>no</t>
        </is>
      </c>
    </row>
    <row r="310">
      <c r="A310" s="16" t="inlineStr">
        <is>
          <t>KF-M02S-B4-0008</t>
        </is>
      </c>
      <c r="B310" s="35" t="n">
        <v>278.15</v>
      </c>
      <c r="C310" s="35" t="n">
        <v>1350</v>
      </c>
      <c r="D310" s="32" t="inlineStr">
        <is>
          <t>No convergió</t>
        </is>
      </c>
      <c r="E310" s="29" t="inlineStr">
        <is>
          <t>—</t>
        </is>
      </c>
      <c r="F310" s="35" t="inlineStr">
        <is>
          <t>—</t>
        </is>
      </c>
      <c r="G310" s="36" t="n">
        <v>1650</v>
      </c>
      <c r="H310" s="29" t="n">
        <v>2.222222222222222</v>
      </c>
      <c r="I310" s="16" t="inlineStr">
        <is>
          <t>no</t>
        </is>
      </c>
    </row>
    <row r="311">
      <c r="A311" s="16" t="inlineStr">
        <is>
          <t>KF-M02S-B4-0009</t>
        </is>
      </c>
      <c r="B311" s="35" t="n">
        <v>278.15</v>
      </c>
      <c r="C311" s="35" t="n">
        <v>1500</v>
      </c>
      <c r="D311" s="32" t="inlineStr">
        <is>
          <t>No convergió</t>
        </is>
      </c>
      <c r="E311" s="29" t="inlineStr">
        <is>
          <t>—</t>
        </is>
      </c>
      <c r="F311" s="35" t="inlineStr">
        <is>
          <t>—</t>
        </is>
      </c>
      <c r="G311" s="36" t="n">
        <v>1500</v>
      </c>
      <c r="H311" s="29" t="n">
        <v>2</v>
      </c>
      <c r="I311" s="16" t="inlineStr">
        <is>
          <t>no</t>
        </is>
      </c>
    </row>
    <row r="312">
      <c r="A312" s="16" t="inlineStr">
        <is>
          <t>KF-M02S-B4-0011</t>
        </is>
      </c>
      <c r="B312" s="35" t="n">
        <v>283.15</v>
      </c>
      <c r="C312" s="35" t="n">
        <v>150</v>
      </c>
      <c r="D312" s="32" t="inlineStr">
        <is>
          <t>No convergió</t>
        </is>
      </c>
      <c r="E312" s="29" t="inlineStr">
        <is>
          <t>—</t>
        </is>
      </c>
      <c r="F312" s="35" t="inlineStr">
        <is>
          <t>—</t>
        </is>
      </c>
      <c r="G312" s="36" t="n">
        <v>2850</v>
      </c>
      <c r="H312" s="29" t="n">
        <v>20</v>
      </c>
      <c r="I312" s="16" t="inlineStr">
        <is>
          <t>no</t>
        </is>
      </c>
    </row>
    <row r="313">
      <c r="A313" s="16" t="inlineStr">
        <is>
          <t>KF-M02S-B4-0010</t>
        </is>
      </c>
      <c r="B313" s="35" t="n">
        <v>283.15</v>
      </c>
      <c r="C313" s="35" t="n">
        <v>300</v>
      </c>
      <c r="D313" s="32" t="inlineStr">
        <is>
          <t>No convergió</t>
        </is>
      </c>
      <c r="E313" s="29" t="inlineStr">
        <is>
          <t>—</t>
        </is>
      </c>
      <c r="F313" s="35" t="inlineStr">
        <is>
          <t>—</t>
        </is>
      </c>
      <c r="G313" s="36" t="n">
        <v>2700</v>
      </c>
      <c r="H313" s="29" t="n">
        <v>10</v>
      </c>
      <c r="I313" s="16" t="inlineStr">
        <is>
          <t>no</t>
        </is>
      </c>
    </row>
    <row r="314">
      <c r="A314" s="16" t="inlineStr">
        <is>
          <t>KF-M02S-B4-0012</t>
        </is>
      </c>
      <c r="B314" s="35" t="n">
        <v>283.15</v>
      </c>
      <c r="C314" s="35" t="n">
        <v>450</v>
      </c>
      <c r="D314" s="32" t="inlineStr">
        <is>
          <t>No convergió</t>
        </is>
      </c>
      <c r="E314" s="29" t="inlineStr">
        <is>
          <t>—</t>
        </is>
      </c>
      <c r="F314" s="35" t="inlineStr">
        <is>
          <t>—</t>
        </is>
      </c>
      <c r="G314" s="36" t="n">
        <v>2550</v>
      </c>
      <c r="H314" s="29" t="n">
        <v>6.666666666666667</v>
      </c>
      <c r="I314" s="16" t="inlineStr">
        <is>
          <t>no</t>
        </is>
      </c>
    </row>
    <row r="315">
      <c r="A315" s="16" t="inlineStr">
        <is>
          <t>KF-M02S-B4-0013</t>
        </is>
      </c>
      <c r="B315" s="35" t="n">
        <v>283.15</v>
      </c>
      <c r="C315" s="35" t="n">
        <v>600</v>
      </c>
      <c r="D315" s="32" t="inlineStr">
        <is>
          <t>No convergió</t>
        </is>
      </c>
      <c r="E315" s="29" t="inlineStr">
        <is>
          <t>—</t>
        </is>
      </c>
      <c r="F315" s="35" t="inlineStr">
        <is>
          <t>—</t>
        </is>
      </c>
      <c r="G315" s="36" t="n">
        <v>2400</v>
      </c>
      <c r="H315" s="29" t="n">
        <v>5</v>
      </c>
      <c r="I315" s="16" t="inlineStr">
        <is>
          <t>no</t>
        </is>
      </c>
    </row>
    <row r="316">
      <c r="A316" s="16" t="inlineStr">
        <is>
          <t>KF-M02S-B4-0016</t>
        </is>
      </c>
      <c r="B316" s="35" t="n">
        <v>283.15</v>
      </c>
      <c r="C316" s="35" t="n">
        <v>750</v>
      </c>
      <c r="D316" s="32" t="inlineStr">
        <is>
          <t>No convergió</t>
        </is>
      </c>
      <c r="E316" s="29" t="inlineStr">
        <is>
          <t>—</t>
        </is>
      </c>
      <c r="F316" s="35" t="inlineStr">
        <is>
          <t>—</t>
        </is>
      </c>
      <c r="G316" s="36" t="n">
        <v>2250</v>
      </c>
      <c r="H316" s="29" t="n">
        <v>4</v>
      </c>
      <c r="I316" s="16" t="inlineStr">
        <is>
          <t>no</t>
        </is>
      </c>
    </row>
    <row r="317">
      <c r="A317" s="16" t="inlineStr">
        <is>
          <t>KF-M02S-B4-0015</t>
        </is>
      </c>
      <c r="B317" s="35" t="n">
        <v>283.15</v>
      </c>
      <c r="C317" s="35" t="n">
        <v>900</v>
      </c>
      <c r="D317" s="32" t="inlineStr">
        <is>
          <t>No convergió</t>
        </is>
      </c>
      <c r="E317" s="29" t="inlineStr">
        <is>
          <t>—</t>
        </is>
      </c>
      <c r="F317" s="35" t="inlineStr">
        <is>
          <t>—</t>
        </is>
      </c>
      <c r="G317" s="36" t="n">
        <v>2100</v>
      </c>
      <c r="H317" s="29" t="n">
        <v>3.333333333333333</v>
      </c>
      <c r="I317" s="16" t="inlineStr">
        <is>
          <t>no</t>
        </is>
      </c>
    </row>
    <row r="318">
      <c r="A318" s="16" t="inlineStr">
        <is>
          <t>KF-M02S-B4-0014</t>
        </is>
      </c>
      <c r="B318" s="35" t="n">
        <v>283.15</v>
      </c>
      <c r="C318" s="35" t="n">
        <v>1050</v>
      </c>
      <c r="D318" s="32" t="inlineStr">
        <is>
          <t>No convergió</t>
        </is>
      </c>
      <c r="E318" s="29" t="inlineStr">
        <is>
          <t>—</t>
        </is>
      </c>
      <c r="F318" s="35" t="inlineStr">
        <is>
          <t>—</t>
        </is>
      </c>
      <c r="G318" s="36" t="n">
        <v>1950</v>
      </c>
      <c r="H318" s="29" t="n">
        <v>2.857142857142857</v>
      </c>
      <c r="I318" s="16" t="inlineStr">
        <is>
          <t>no</t>
        </is>
      </c>
    </row>
    <row r="319">
      <c r="A319" s="16" t="inlineStr">
        <is>
          <t>KF-M02S-B4-0017</t>
        </is>
      </c>
      <c r="B319" s="35" t="n">
        <v>283.15</v>
      </c>
      <c r="C319" s="35" t="n">
        <v>1200</v>
      </c>
      <c r="D319" s="32" t="inlineStr">
        <is>
          <t>No convergió</t>
        </is>
      </c>
      <c r="E319" s="29" t="inlineStr">
        <is>
          <t>—</t>
        </is>
      </c>
      <c r="F319" s="35" t="inlineStr">
        <is>
          <t>—</t>
        </is>
      </c>
      <c r="G319" s="36" t="n">
        <v>1800</v>
      </c>
      <c r="H319" s="29" t="n">
        <v>2.5</v>
      </c>
      <c r="I319" s="16" t="inlineStr">
        <is>
          <t>no</t>
        </is>
      </c>
    </row>
    <row r="320">
      <c r="A320" s="16" t="inlineStr">
        <is>
          <t>KF-M02S-B4-0018</t>
        </is>
      </c>
      <c r="B320" s="35" t="n">
        <v>283.15</v>
      </c>
      <c r="C320" s="35" t="n">
        <v>1350</v>
      </c>
      <c r="D320" s="32" t="inlineStr">
        <is>
          <t>No convergió</t>
        </is>
      </c>
      <c r="E320" s="29" t="inlineStr">
        <is>
          <t>—</t>
        </is>
      </c>
      <c r="F320" s="35" t="inlineStr">
        <is>
          <t>—</t>
        </is>
      </c>
      <c r="G320" s="36" t="n">
        <v>1650</v>
      </c>
      <c r="H320" s="29" t="n">
        <v>2.222222222222222</v>
      </c>
      <c r="I320" s="16" t="inlineStr">
        <is>
          <t>no</t>
        </is>
      </c>
    </row>
    <row r="321">
      <c r="A321" s="16" t="inlineStr">
        <is>
          <t>KF-M02S-B4-0019</t>
        </is>
      </c>
      <c r="B321" s="35" t="n">
        <v>283.15</v>
      </c>
      <c r="C321" s="35" t="n">
        <v>1500</v>
      </c>
      <c r="D321" s="32" t="inlineStr">
        <is>
          <t>No convergió</t>
        </is>
      </c>
      <c r="E321" s="29" t="inlineStr">
        <is>
          <t>—</t>
        </is>
      </c>
      <c r="F321" s="35" t="inlineStr">
        <is>
          <t>—</t>
        </is>
      </c>
      <c r="G321" s="36" t="n">
        <v>1500</v>
      </c>
      <c r="H321" s="29" t="n">
        <v>2</v>
      </c>
      <c r="I321" s="16" t="inlineStr">
        <is>
          <t>no</t>
        </is>
      </c>
    </row>
    <row r="322">
      <c r="A322" s="16" t="inlineStr">
        <is>
          <t>KF-M02S-B4-0021</t>
        </is>
      </c>
      <c r="B322" s="35" t="n">
        <v>288.15</v>
      </c>
      <c r="C322" s="35" t="n">
        <v>150</v>
      </c>
      <c r="D322" s="32" t="inlineStr">
        <is>
          <t>No convergió</t>
        </is>
      </c>
      <c r="E322" s="29" t="inlineStr">
        <is>
          <t>—</t>
        </is>
      </c>
      <c r="F322" s="35" t="inlineStr">
        <is>
          <t>—</t>
        </is>
      </c>
      <c r="G322" s="36" t="n">
        <v>2850</v>
      </c>
      <c r="H322" s="29" t="n">
        <v>20</v>
      </c>
      <c r="I322" s="16" t="inlineStr">
        <is>
          <t>no</t>
        </is>
      </c>
    </row>
    <row r="323">
      <c r="A323" s="16" t="inlineStr">
        <is>
          <t>KF-M02S-B4-0020</t>
        </is>
      </c>
      <c r="B323" s="35" t="n">
        <v>288.15</v>
      </c>
      <c r="C323" s="35" t="n">
        <v>300</v>
      </c>
      <c r="D323" s="32" t="inlineStr">
        <is>
          <t>No convergió</t>
        </is>
      </c>
      <c r="E323" s="29" t="inlineStr">
        <is>
          <t>—</t>
        </is>
      </c>
      <c r="F323" s="35" t="inlineStr">
        <is>
          <t>—</t>
        </is>
      </c>
      <c r="G323" s="36" t="n">
        <v>2700</v>
      </c>
      <c r="H323" s="29" t="n">
        <v>10</v>
      </c>
      <c r="I323" s="16" t="inlineStr">
        <is>
          <t>no</t>
        </is>
      </c>
    </row>
    <row r="324">
      <c r="A324" s="16" t="inlineStr">
        <is>
          <t>KF-M02S-B4-0022</t>
        </is>
      </c>
      <c r="B324" s="35" t="n">
        <v>288.15</v>
      </c>
      <c r="C324" s="35" t="n">
        <v>450</v>
      </c>
      <c r="D324" s="32" t="inlineStr">
        <is>
          <t>No convergió</t>
        </is>
      </c>
      <c r="E324" s="29" t="inlineStr">
        <is>
          <t>—</t>
        </is>
      </c>
      <c r="F324" s="35" t="inlineStr">
        <is>
          <t>—</t>
        </is>
      </c>
      <c r="G324" s="36" t="n">
        <v>2550</v>
      </c>
      <c r="H324" s="29" t="n">
        <v>6.666666666666667</v>
      </c>
      <c r="I324" s="16" t="inlineStr">
        <is>
          <t>no</t>
        </is>
      </c>
    </row>
    <row r="325">
      <c r="A325" s="16" t="inlineStr">
        <is>
          <t>KF-M02S-B4-0023</t>
        </is>
      </c>
      <c r="B325" s="35" t="n">
        <v>288.15</v>
      </c>
      <c r="C325" s="35" t="n">
        <v>600</v>
      </c>
      <c r="D325" s="32" t="inlineStr">
        <is>
          <t>No convergió</t>
        </is>
      </c>
      <c r="E325" s="29" t="inlineStr">
        <is>
          <t>—</t>
        </is>
      </c>
      <c r="F325" s="35" t="inlineStr">
        <is>
          <t>—</t>
        </is>
      </c>
      <c r="G325" s="36" t="n">
        <v>2400</v>
      </c>
      <c r="H325" s="29" t="n">
        <v>5</v>
      </c>
      <c r="I325" s="16" t="inlineStr">
        <is>
          <t>no</t>
        </is>
      </c>
    </row>
    <row r="326">
      <c r="A326" s="16" t="inlineStr">
        <is>
          <t>KF-M02S-B4-0024</t>
        </is>
      </c>
      <c r="B326" s="35" t="n">
        <v>288.15</v>
      </c>
      <c r="C326" s="35" t="n">
        <v>750</v>
      </c>
      <c r="D326" s="32" t="inlineStr">
        <is>
          <t>No convergió</t>
        </is>
      </c>
      <c r="E326" s="29" t="inlineStr">
        <is>
          <t>—</t>
        </is>
      </c>
      <c r="F326" s="35" t="inlineStr">
        <is>
          <t>—</t>
        </is>
      </c>
      <c r="G326" s="36" t="n">
        <v>2250</v>
      </c>
      <c r="H326" s="29" t="n">
        <v>4</v>
      </c>
      <c r="I326" s="16" t="inlineStr">
        <is>
          <t>no</t>
        </is>
      </c>
    </row>
    <row r="327">
      <c r="A327" s="16" t="inlineStr">
        <is>
          <t>KF-M02S-B4-0026</t>
        </is>
      </c>
      <c r="B327" s="35" t="n">
        <v>288.15</v>
      </c>
      <c r="C327" s="35" t="n">
        <v>900</v>
      </c>
      <c r="D327" s="32" t="inlineStr">
        <is>
          <t>No convergió</t>
        </is>
      </c>
      <c r="E327" s="29" t="inlineStr">
        <is>
          <t>—</t>
        </is>
      </c>
      <c r="F327" s="35" t="inlineStr">
        <is>
          <t>—</t>
        </is>
      </c>
      <c r="G327" s="36" t="n">
        <v>2100</v>
      </c>
      <c r="H327" s="29" t="n">
        <v>3.333333333333333</v>
      </c>
      <c r="I327" s="16" t="inlineStr">
        <is>
          <t>no</t>
        </is>
      </c>
    </row>
    <row r="328">
      <c r="A328" s="16" t="inlineStr">
        <is>
          <t>KF-M02S-B4-0025</t>
        </is>
      </c>
      <c r="B328" s="35" t="n">
        <v>288.15</v>
      </c>
      <c r="C328" s="35" t="n">
        <v>1050</v>
      </c>
      <c r="D328" s="32" t="inlineStr">
        <is>
          <t>No convergió</t>
        </is>
      </c>
      <c r="E328" s="29" t="inlineStr">
        <is>
          <t>—</t>
        </is>
      </c>
      <c r="F328" s="35" t="inlineStr">
        <is>
          <t>—</t>
        </is>
      </c>
      <c r="G328" s="36" t="n">
        <v>1950</v>
      </c>
      <c r="H328" s="29" t="n">
        <v>2.857142857142857</v>
      </c>
      <c r="I328" s="16" t="inlineStr">
        <is>
          <t>no</t>
        </is>
      </c>
    </row>
    <row r="329">
      <c r="A329" s="16" t="inlineStr">
        <is>
          <t>KF-M02S-B4-0027</t>
        </is>
      </c>
      <c r="B329" s="35" t="n">
        <v>288.15</v>
      </c>
      <c r="C329" s="35" t="n">
        <v>1200</v>
      </c>
      <c r="D329" s="32" t="inlineStr">
        <is>
          <t>No convergió</t>
        </is>
      </c>
      <c r="E329" s="29" t="inlineStr">
        <is>
          <t>—</t>
        </is>
      </c>
      <c r="F329" s="35" t="inlineStr">
        <is>
          <t>—</t>
        </is>
      </c>
      <c r="G329" s="36" t="n">
        <v>1800</v>
      </c>
      <c r="H329" s="29" t="n">
        <v>2.5</v>
      </c>
      <c r="I329" s="16" t="inlineStr">
        <is>
          <t>no</t>
        </is>
      </c>
    </row>
    <row r="330">
      <c r="A330" s="16" t="inlineStr">
        <is>
          <t>KF-M02S-B4-0028</t>
        </is>
      </c>
      <c r="B330" s="35" t="n">
        <v>288.15</v>
      </c>
      <c r="C330" s="35" t="n">
        <v>1350</v>
      </c>
      <c r="D330" s="32" t="inlineStr">
        <is>
          <t>No convergió</t>
        </is>
      </c>
      <c r="E330" s="29" t="inlineStr">
        <is>
          <t>—</t>
        </is>
      </c>
      <c r="F330" s="35" t="inlineStr">
        <is>
          <t>—</t>
        </is>
      </c>
      <c r="G330" s="36" t="n">
        <v>1650</v>
      </c>
      <c r="H330" s="29" t="n">
        <v>2.222222222222222</v>
      </c>
      <c r="I330" s="16" t="inlineStr">
        <is>
          <t>no</t>
        </is>
      </c>
    </row>
    <row r="331">
      <c r="A331" s="16" t="inlineStr">
        <is>
          <t>KF-M02S-B4-0029</t>
        </is>
      </c>
      <c r="B331" s="35" t="n">
        <v>288.15</v>
      </c>
      <c r="C331" s="35" t="n">
        <v>1500</v>
      </c>
      <c r="D331" s="32" t="inlineStr">
        <is>
          <t>No convergió</t>
        </is>
      </c>
      <c r="E331" s="29" t="inlineStr">
        <is>
          <t>—</t>
        </is>
      </c>
      <c r="F331" s="35" t="inlineStr">
        <is>
          <t>—</t>
        </is>
      </c>
      <c r="G331" s="36" t="n">
        <v>1500</v>
      </c>
      <c r="H331" s="29" t="n">
        <v>2</v>
      </c>
      <c r="I331" s="16" t="inlineStr">
        <is>
          <t>no</t>
        </is>
      </c>
    </row>
    <row r="332">
      <c r="A332" s="16" t="inlineStr">
        <is>
          <t>KF-M02S-B4-0031</t>
        </is>
      </c>
      <c r="B332" s="35" t="n">
        <v>293.15</v>
      </c>
      <c r="C332" s="35" t="n">
        <v>150</v>
      </c>
      <c r="D332" s="32" t="inlineStr">
        <is>
          <t>No convergió</t>
        </is>
      </c>
      <c r="E332" s="29" t="inlineStr">
        <is>
          <t>—</t>
        </is>
      </c>
      <c r="F332" s="35" t="inlineStr">
        <is>
          <t>—</t>
        </is>
      </c>
      <c r="G332" s="36" t="n">
        <v>2850</v>
      </c>
      <c r="H332" s="29" t="n">
        <v>20</v>
      </c>
      <c r="I332" s="16" t="inlineStr">
        <is>
          <t>no</t>
        </is>
      </c>
    </row>
    <row r="333">
      <c r="A333" s="16" t="inlineStr">
        <is>
          <t>KF-M02S-B4-0030</t>
        </is>
      </c>
      <c r="B333" s="35" t="n">
        <v>293.15</v>
      </c>
      <c r="C333" s="35" t="n">
        <v>300</v>
      </c>
      <c r="D333" s="32" t="inlineStr">
        <is>
          <t>No convergió</t>
        </is>
      </c>
      <c r="E333" s="29" t="inlineStr">
        <is>
          <t>—</t>
        </is>
      </c>
      <c r="F333" s="35" t="inlineStr">
        <is>
          <t>—</t>
        </is>
      </c>
      <c r="G333" s="36" t="n">
        <v>2700</v>
      </c>
      <c r="H333" s="29" t="n">
        <v>10</v>
      </c>
      <c r="I333" s="16" t="inlineStr">
        <is>
          <t>no</t>
        </is>
      </c>
    </row>
    <row r="334">
      <c r="A334" s="16" t="inlineStr">
        <is>
          <t>KF-M02S-B4-0032</t>
        </is>
      </c>
      <c r="B334" s="35" t="n">
        <v>293.15</v>
      </c>
      <c r="C334" s="35" t="n">
        <v>450</v>
      </c>
      <c r="D334" s="32" t="inlineStr">
        <is>
          <t>No convergió</t>
        </is>
      </c>
      <c r="E334" s="29" t="inlineStr">
        <is>
          <t>—</t>
        </is>
      </c>
      <c r="F334" s="35" t="inlineStr">
        <is>
          <t>—</t>
        </is>
      </c>
      <c r="G334" s="36" t="n">
        <v>2550</v>
      </c>
      <c r="H334" s="29" t="n">
        <v>6.666666666666667</v>
      </c>
      <c r="I334" s="16" t="inlineStr">
        <is>
          <t>no</t>
        </is>
      </c>
    </row>
    <row r="335">
      <c r="A335" s="16" t="inlineStr">
        <is>
          <t>KF-M02S-B4-0033</t>
        </is>
      </c>
      <c r="B335" s="35" t="n">
        <v>293.15</v>
      </c>
      <c r="C335" s="35" t="n">
        <v>600</v>
      </c>
      <c r="D335" s="32" t="inlineStr">
        <is>
          <t>No convergió</t>
        </is>
      </c>
      <c r="E335" s="29" t="inlineStr">
        <is>
          <t>—</t>
        </is>
      </c>
      <c r="F335" s="35" t="inlineStr">
        <is>
          <t>—</t>
        </is>
      </c>
      <c r="G335" s="36" t="n">
        <v>2400</v>
      </c>
      <c r="H335" s="29" t="n">
        <v>5</v>
      </c>
      <c r="I335" s="16" t="inlineStr">
        <is>
          <t>no</t>
        </is>
      </c>
    </row>
    <row r="336">
      <c r="A336" s="16" t="inlineStr">
        <is>
          <t>KF-M02S-B4-0036</t>
        </is>
      </c>
      <c r="B336" s="35" t="n">
        <v>293.15</v>
      </c>
      <c r="C336" s="35" t="n">
        <v>750</v>
      </c>
      <c r="D336" s="32" t="inlineStr">
        <is>
          <t>No convergió</t>
        </is>
      </c>
      <c r="E336" s="29" t="inlineStr">
        <is>
          <t>—</t>
        </is>
      </c>
      <c r="F336" s="35" t="inlineStr">
        <is>
          <t>—</t>
        </is>
      </c>
      <c r="G336" s="36" t="n">
        <v>2250</v>
      </c>
      <c r="H336" s="29" t="n">
        <v>4</v>
      </c>
      <c r="I336" s="16" t="inlineStr">
        <is>
          <t>no</t>
        </is>
      </c>
    </row>
    <row r="337">
      <c r="A337" s="16" t="inlineStr">
        <is>
          <t>KF-M02S-B4-0037</t>
        </is>
      </c>
      <c r="B337" s="35" t="n">
        <v>293.15</v>
      </c>
      <c r="C337" s="35" t="n">
        <v>900</v>
      </c>
      <c r="D337" s="32" t="inlineStr">
        <is>
          <t>No convergió</t>
        </is>
      </c>
      <c r="E337" s="29" t="inlineStr">
        <is>
          <t>—</t>
        </is>
      </c>
      <c r="F337" s="35" t="inlineStr">
        <is>
          <t>—</t>
        </is>
      </c>
      <c r="G337" s="36" t="n">
        <v>2100</v>
      </c>
      <c r="H337" s="29" t="n">
        <v>3.333333333333333</v>
      </c>
      <c r="I337" s="16" t="inlineStr">
        <is>
          <t>no</t>
        </is>
      </c>
    </row>
    <row r="338">
      <c r="A338" s="16" t="inlineStr">
        <is>
          <t>KF-M02S-B4-0034</t>
        </is>
      </c>
      <c r="B338" s="35" t="n">
        <v>293.15</v>
      </c>
      <c r="C338" s="35" t="n">
        <v>1050</v>
      </c>
      <c r="D338" s="32" t="inlineStr">
        <is>
          <t>No convergió</t>
        </is>
      </c>
      <c r="E338" s="29" t="inlineStr">
        <is>
          <t>—</t>
        </is>
      </c>
      <c r="F338" s="35" t="inlineStr">
        <is>
          <t>—</t>
        </is>
      </c>
      <c r="G338" s="36" t="n">
        <v>1950</v>
      </c>
      <c r="H338" s="29" t="n">
        <v>2.857142857142857</v>
      </c>
      <c r="I338" s="16" t="inlineStr">
        <is>
          <t>no</t>
        </is>
      </c>
    </row>
    <row r="339">
      <c r="A339" s="16" t="inlineStr">
        <is>
          <t>KF-M02S-B4-0035</t>
        </is>
      </c>
      <c r="B339" s="35" t="n">
        <v>293.15</v>
      </c>
      <c r="C339" s="35" t="n">
        <v>1200</v>
      </c>
      <c r="D339" s="32" t="inlineStr">
        <is>
          <t>No convergió</t>
        </is>
      </c>
      <c r="E339" s="29" t="inlineStr">
        <is>
          <t>—</t>
        </is>
      </c>
      <c r="F339" s="35" t="inlineStr">
        <is>
          <t>—</t>
        </is>
      </c>
      <c r="G339" s="36" t="n">
        <v>1800</v>
      </c>
      <c r="H339" s="29" t="n">
        <v>2.5</v>
      </c>
      <c r="I339" s="16" t="inlineStr">
        <is>
          <t>no</t>
        </is>
      </c>
    </row>
    <row r="340">
      <c r="A340" s="16" t="inlineStr">
        <is>
          <t>KF-M02S-B4-0038</t>
        </is>
      </c>
      <c r="B340" s="35" t="n">
        <v>293.15</v>
      </c>
      <c r="C340" s="35" t="n">
        <v>1350</v>
      </c>
      <c r="D340" s="32" t="inlineStr">
        <is>
          <t>No convergió</t>
        </is>
      </c>
      <c r="E340" s="29" t="inlineStr">
        <is>
          <t>—</t>
        </is>
      </c>
      <c r="F340" s="35" t="inlineStr">
        <is>
          <t>—</t>
        </is>
      </c>
      <c r="G340" s="36" t="n">
        <v>1650</v>
      </c>
      <c r="H340" s="29" t="n">
        <v>2.222222222222222</v>
      </c>
      <c r="I340" s="16" t="inlineStr">
        <is>
          <t>no</t>
        </is>
      </c>
    </row>
    <row r="341">
      <c r="A341" s="16" t="inlineStr">
        <is>
          <t>KF-M02S-B4-0039</t>
        </is>
      </c>
      <c r="B341" s="35" t="n">
        <v>293.15</v>
      </c>
      <c r="C341" s="35" t="n">
        <v>1500</v>
      </c>
      <c r="D341" s="32" t="inlineStr">
        <is>
          <t>No convergió</t>
        </is>
      </c>
      <c r="E341" s="29" t="inlineStr">
        <is>
          <t>—</t>
        </is>
      </c>
      <c r="F341" s="35" t="inlineStr">
        <is>
          <t>—</t>
        </is>
      </c>
      <c r="G341" s="36" t="n">
        <v>1500</v>
      </c>
      <c r="H341" s="29" t="n">
        <v>2</v>
      </c>
      <c r="I341" s="16" t="inlineStr">
        <is>
          <t>no</t>
        </is>
      </c>
    </row>
    <row r="342">
      <c r="A342" s="16" t="inlineStr">
        <is>
          <t>KF-M02S-B4-0042</t>
        </is>
      </c>
      <c r="B342" s="35" t="n">
        <v>300.032917</v>
      </c>
      <c r="C342" s="35" t="n">
        <v>150</v>
      </c>
      <c r="D342" s="32" t="inlineStr">
        <is>
          <t>No convergió</t>
        </is>
      </c>
      <c r="E342" s="29" t="inlineStr">
        <is>
          <t>—</t>
        </is>
      </c>
      <c r="F342" s="35" t="inlineStr">
        <is>
          <t>—</t>
        </is>
      </c>
      <c r="G342" s="36" t="n">
        <v>2850</v>
      </c>
      <c r="H342" s="29" t="n">
        <v>20</v>
      </c>
      <c r="I342" s="16" t="inlineStr">
        <is>
          <t>no</t>
        </is>
      </c>
    </row>
    <row r="343">
      <c r="A343" s="16" t="inlineStr">
        <is>
          <t>KF-M02S-B4-0041</t>
        </is>
      </c>
      <c r="B343" s="35" t="n">
        <v>300.032917</v>
      </c>
      <c r="C343" s="35" t="n">
        <v>300</v>
      </c>
      <c r="D343" s="32" t="inlineStr">
        <is>
          <t>No convergió</t>
        </is>
      </c>
      <c r="E343" s="29" t="inlineStr">
        <is>
          <t>—</t>
        </is>
      </c>
      <c r="F343" s="35" t="inlineStr">
        <is>
          <t>—</t>
        </is>
      </c>
      <c r="G343" s="36" t="n">
        <v>2700</v>
      </c>
      <c r="H343" s="29" t="n">
        <v>10</v>
      </c>
      <c r="I343" s="16" t="inlineStr">
        <is>
          <t>no</t>
        </is>
      </c>
    </row>
    <row r="344">
      <c r="A344" s="16" t="inlineStr">
        <is>
          <t>KF-M02S-B4-0040</t>
        </is>
      </c>
      <c r="B344" s="35" t="n">
        <v>300.032917</v>
      </c>
      <c r="C344" s="35" t="n">
        <v>450</v>
      </c>
      <c r="D344" s="32" t="inlineStr">
        <is>
          <t>No convergió</t>
        </is>
      </c>
      <c r="E344" s="29" t="inlineStr">
        <is>
          <t>—</t>
        </is>
      </c>
      <c r="F344" s="35" t="inlineStr">
        <is>
          <t>—</t>
        </is>
      </c>
      <c r="G344" s="36" t="n">
        <v>2550</v>
      </c>
      <c r="H344" s="29" t="n">
        <v>6.666666666666667</v>
      </c>
      <c r="I344" s="16" t="inlineStr">
        <is>
          <t>no</t>
        </is>
      </c>
    </row>
    <row r="345">
      <c r="A345" s="16" t="inlineStr">
        <is>
          <t>KF-M02S-B4-0043</t>
        </is>
      </c>
      <c r="B345" s="35" t="n">
        <v>300.032917</v>
      </c>
      <c r="C345" s="35" t="n">
        <v>600</v>
      </c>
      <c r="D345" s="32" t="inlineStr">
        <is>
          <t>No convergió</t>
        </is>
      </c>
      <c r="E345" s="29" t="inlineStr">
        <is>
          <t>—</t>
        </is>
      </c>
      <c r="F345" s="35" t="inlineStr">
        <is>
          <t>—</t>
        </is>
      </c>
      <c r="G345" s="36" t="n">
        <v>2400</v>
      </c>
      <c r="H345" s="29" t="n">
        <v>5</v>
      </c>
      <c r="I345" s="16" t="inlineStr">
        <is>
          <t>no</t>
        </is>
      </c>
    </row>
    <row r="346">
      <c r="A346" s="16" t="inlineStr">
        <is>
          <t>KF-M02S-B4-0047</t>
        </is>
      </c>
      <c r="B346" s="35" t="n">
        <v>300.032917</v>
      </c>
      <c r="C346" s="35" t="n">
        <v>750</v>
      </c>
      <c r="D346" s="32" t="inlineStr">
        <is>
          <t>No convergió</t>
        </is>
      </c>
      <c r="E346" s="29" t="inlineStr">
        <is>
          <t>—</t>
        </is>
      </c>
      <c r="F346" s="35" t="inlineStr">
        <is>
          <t>—</t>
        </is>
      </c>
      <c r="G346" s="36" t="n">
        <v>2250</v>
      </c>
      <c r="H346" s="29" t="n">
        <v>4</v>
      </c>
      <c r="I346" s="16" t="inlineStr">
        <is>
          <t>no</t>
        </is>
      </c>
    </row>
    <row r="347">
      <c r="A347" s="16" t="inlineStr">
        <is>
          <t>KF-M02S-B4-0046</t>
        </is>
      </c>
      <c r="B347" s="35" t="n">
        <v>300.032917</v>
      </c>
      <c r="C347" s="35" t="n">
        <v>900</v>
      </c>
      <c r="D347" s="32" t="inlineStr">
        <is>
          <t>No convergió</t>
        </is>
      </c>
      <c r="E347" s="29" t="inlineStr">
        <is>
          <t>—</t>
        </is>
      </c>
      <c r="F347" s="35" t="inlineStr">
        <is>
          <t>—</t>
        </is>
      </c>
      <c r="G347" s="36" t="n">
        <v>2100</v>
      </c>
      <c r="H347" s="29" t="n">
        <v>3.333333333333333</v>
      </c>
      <c r="I347" s="16" t="inlineStr">
        <is>
          <t>no</t>
        </is>
      </c>
    </row>
    <row r="348">
      <c r="A348" s="16" t="inlineStr">
        <is>
          <t>KF-M02S-B4-0044</t>
        </is>
      </c>
      <c r="B348" s="35" t="n">
        <v>300.032917</v>
      </c>
      <c r="C348" s="35" t="n">
        <v>1050</v>
      </c>
      <c r="D348" s="32" t="inlineStr">
        <is>
          <t>No convergió</t>
        </is>
      </c>
      <c r="E348" s="29" t="inlineStr">
        <is>
          <t>—</t>
        </is>
      </c>
      <c r="F348" s="35" t="inlineStr">
        <is>
          <t>—</t>
        </is>
      </c>
      <c r="G348" s="36" t="n">
        <v>1950</v>
      </c>
      <c r="H348" s="29" t="n">
        <v>2.857142857142857</v>
      </c>
      <c r="I348" s="16" t="inlineStr">
        <is>
          <t>no</t>
        </is>
      </c>
    </row>
    <row r="349">
      <c r="A349" s="16" t="inlineStr">
        <is>
          <t>KF-M02S-B4-0045</t>
        </is>
      </c>
      <c r="B349" s="35" t="n">
        <v>300.032917</v>
      </c>
      <c r="C349" s="35" t="n">
        <v>1200</v>
      </c>
      <c r="D349" s="32" t="inlineStr">
        <is>
          <t>No convergió</t>
        </is>
      </c>
      <c r="E349" s="29" t="inlineStr">
        <is>
          <t>—</t>
        </is>
      </c>
      <c r="F349" s="35" t="inlineStr">
        <is>
          <t>—</t>
        </is>
      </c>
      <c r="G349" s="36" t="n">
        <v>1800</v>
      </c>
      <c r="H349" s="29" t="n">
        <v>2.5</v>
      </c>
      <c r="I349" s="16" t="inlineStr">
        <is>
          <t>no</t>
        </is>
      </c>
    </row>
    <row r="350">
      <c r="A350" s="16" t="inlineStr">
        <is>
          <t>KF-M02S-B4-0048</t>
        </is>
      </c>
      <c r="B350" s="35" t="n">
        <v>300.032917</v>
      </c>
      <c r="C350" s="35" t="n">
        <v>1350</v>
      </c>
      <c r="D350" s="32" t="inlineStr">
        <is>
          <t>No convergió</t>
        </is>
      </c>
      <c r="E350" s="29" t="inlineStr">
        <is>
          <t>—</t>
        </is>
      </c>
      <c r="F350" s="35" t="inlineStr">
        <is>
          <t>—</t>
        </is>
      </c>
      <c r="G350" s="36" t="n">
        <v>1650</v>
      </c>
      <c r="H350" s="29" t="n">
        <v>2.222222222222222</v>
      </c>
      <c r="I350" s="16" t="inlineStr">
        <is>
          <t>no</t>
        </is>
      </c>
    </row>
    <row r="351">
      <c r="A351" s="16" t="inlineStr">
        <is>
          <t>KF-M02S-B4-0049</t>
        </is>
      </c>
      <c r="B351" s="35" t="n">
        <v>300.032917</v>
      </c>
      <c r="C351" s="35" t="n">
        <v>1500</v>
      </c>
      <c r="D351" s="32" t="inlineStr">
        <is>
          <t>No convergió</t>
        </is>
      </c>
      <c r="E351" s="29" t="inlineStr">
        <is>
          <t>—</t>
        </is>
      </c>
      <c r="F351" s="35" t="inlineStr">
        <is>
          <t>—</t>
        </is>
      </c>
      <c r="G351" s="36" t="n">
        <v>1500</v>
      </c>
      <c r="H351" s="29" t="n">
        <v>2</v>
      </c>
      <c r="I351" s="16" t="inlineStr">
        <is>
          <t>no</t>
        </is>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273"/>
  <sheetViews>
    <sheetView workbookViewId="0">
      <selection activeCell="A1" sqref="A1"/>
    </sheetView>
  </sheetViews>
  <sheetFormatPr baseColWidth="8" defaultRowHeight="15"/>
  <sheetData>
    <row r="1">
      <c r="A1" s="11" t="inlineStr">
        <is>
          <t>Pregunta 2 · ¿Qué es lo mínimo que hay que cambiar para que funcione?</t>
        </is>
      </c>
    </row>
    <row r="2">
      <c r="A2" t="inlineStr">
        <is>
          <t>Gráficos nativos de Excel: pase el cursor sobre un punto para ver su valor. Los números de cada gráfico están en la hoja «2 Datos de gráficos» (el subtítulo de cada figura lleva un vínculo a su bloque).</t>
        </is>
      </c>
    </row>
    <row r="4">
      <c r="A4" s="24" t="inlineStr">
        <is>
          <t>Figura 2.1-1 · Con un solo cambio sobre los datos del profesor hay 0 KALINA</t>
        </is>
      </c>
    </row>
    <row r="65">
      <c r="A65" s="25" t="inlineStr">
        <is>
          <t>Figura 2.1-1. Con un solo cambio sobre los datos del profesor hay 0 KALINA.</t>
        </is>
      </c>
    </row>
    <row r="66">
      <c r="A66" s="25" t="inlineStr">
        <is>
          <t>Estudio 2.1. Punto base: PP = datos del enunciado del profesor (T_fuente 623.15 K, P_alta 3000 kPa, P_baja 400 kPa, x_b 0.50)</t>
        </is>
      </c>
    </row>
    <row r="67">
      <c r="A67" s="25" t="inlineStr">
        <is>
          <t>Punto base (las demás variables quedan fijas en): T_fuente = 623.15 K; T_sumidero = 300.03 K; P_alta = 3000 kPa; P_baja = 400 kPa; x_b = 0.5; m_b = 1 kg/s; η_t = 0.85; η_p = 0.75; ε_HRVG = 0.85; ε_reg = 0.75; ε_cond = 0.8; motor de propiedades = teqp. Cada panel o tramo mueve solo su variable.</t>
        </is>
      </c>
    </row>
    <row r="68">
      <c r="A68" s="25" t="inlineStr">
        <is>
          <t>Datos barridos (uno a la vez): T_fuente [340–623.15] K (22 valores); T_sumidero [283.15–303.55] K (10 valores); P_alta [1000–10000] kPa (24 valores); P_baja [150–1500] kPa (10 valores); x_b [0.3–0.9] (14 valores); η_t [0.75–0.9] (10 valores); η_p [0.65–0.85] (10 valores); ε_HRVG [0.75–0.85] (12 valores); ε_reg [0.75–0.85] (10 valores); ε_cond [0.75–0.85] (10 valores).</t>
        </is>
      </c>
    </row>
    <row r="69">
      <c r="A69" s="25" t="inlineStr">
        <is>
          <t>Filtro: estudio 2.1 (2.1), barrido de una variable a la vez.</t>
        </is>
      </c>
    </row>
    <row r="70">
      <c r="A70" s="25" t="inlineStr">
        <is>
          <t>n = 132. Fuente: todos_los_puntos.csv.</t>
        </is>
      </c>
    </row>
    <row r="73">
      <c r="A73" s="24" t="inlineStr">
        <is>
          <t>Figura 2.2-1 · Ruta A: conservando la fuente del profesor (623 K), 0 KALINA</t>
        </is>
      </c>
    </row>
    <row r="92">
      <c r="A92" s="25" t="inlineStr">
        <is>
          <t>Figura 2.2-1. Ruta A: conservando la fuente del profesor (623 K), 0 KALINA.</t>
        </is>
      </c>
    </row>
    <row r="93">
      <c r="A93" s="25" t="inlineStr">
        <is>
          <t>Estudio 2.2 · parte(s) 2.2a. Punto base: PP = datos del enunciado del profesor (T_fuente 623.15 K, P_alta 3000 kPa, P_baja 400 kPa, x_b 0.50)</t>
        </is>
      </c>
    </row>
    <row r="94">
      <c r="A94" s="25" t="inlineStr">
        <is>
          <t>Datos fijos: T_fuente = 623.15 K; T_sumidero = 300.03 K; P_alta = 3000 kPa; x_b = 0.5; m_b = 1 kg/s; η_t = 0.85; η_p = 0.75; ε_reg = 0.75; ε_cond = 0.8; motor de propiedades = teqp.</t>
        </is>
      </c>
    </row>
    <row r="95">
      <c r="A95" s="25" t="inlineStr">
        <is>
          <t>Datos barridos: P_baja [400–2000] kPa (12 valores); ε_HRVG [0.75–0.81] (3 valores).</t>
        </is>
      </c>
    </row>
    <row r="96">
      <c r="A96" s="25" t="inlineStr">
        <is>
          <t>Filtro: parte 2.2a (2.2a).</t>
        </is>
      </c>
    </row>
    <row r="97">
      <c r="A97" s="25" t="inlineStr">
        <is>
          <t>n = 36. Fuente: todos_los_puntos.csv.</t>
        </is>
      </c>
    </row>
    <row r="100">
      <c r="A100" s="24" t="inlineStr">
        <is>
          <t>Figura 2.2-2 · Ruta B: KALINA con T_fuente entre 390 y 434 K</t>
        </is>
      </c>
    </row>
    <row r="119">
      <c r="A119" s="25" t="inlineStr">
        <is>
          <t>Figura 2.2-2. Ruta B: KALINA con T_fuente entre 390 y 434 K.</t>
        </is>
      </c>
    </row>
    <row r="120">
      <c r="A120" s="25" t="inlineStr">
        <is>
          <t>Estudio 2.2 · parte(s) 2.2b. Punto base: PP = datos del enunciado del profesor (T_fuente 623.15 K, P_alta 3000 kPa, P_baja 400 kPa, x_b 0.50)</t>
        </is>
      </c>
    </row>
    <row r="121">
      <c r="A121" s="25" t="inlineStr">
        <is>
          <t>Datos fijos: T_sumidero = 300.03 K; P_alta = 3000 kPa; x_b = 0.5; m_b = 1 kg/s; η_t = 0.85; η_p = 0.75; ε_HRVG = 0.85; ε_reg = 0.75; ε_cond = 0.8; motor de propiedades = teqp.</t>
        </is>
      </c>
    </row>
    <row r="122">
      <c r="A122" s="25" t="inlineStr">
        <is>
          <t>Datos barridos: T_fuente [380–560] K (9 valores); P_baja [400–2000] kPa (32 valores).</t>
        </is>
      </c>
    </row>
    <row r="123">
      <c r="A123" s="25" t="inlineStr">
        <is>
          <t>Filtro: parte 2.2b (2.2b).</t>
        </is>
      </c>
    </row>
    <row r="124">
      <c r="A124" s="25" t="inlineStr">
        <is>
          <t>n = 144. Fuente: todos_los_puntos.csv.</t>
        </is>
      </c>
    </row>
    <row r="127">
      <c r="A127" s="24" t="inlineStr">
        <is>
          <t>Figura 2.3-1 · Parte 2.3a: 0 KALINA con η y ε en [0.40, 0.95]</t>
        </is>
      </c>
    </row>
    <row r="158">
      <c r="A158" s="25" t="inlineStr">
        <is>
          <t>Figura 2.3-1. Parte 2.3a: 0 KALINA con η y ε en [0.40, 0.95].</t>
        </is>
      </c>
    </row>
    <row r="159">
      <c r="A159" s="25" t="inlineStr">
        <is>
          <t>Estudio 2.3 · parte(s) 2.3a. Punto base: PP = datos del enunciado del profesor (T_fuente 623.15 K, P_alta 3000 kPa, P_baja 400 kPa, x_b 0.50)</t>
        </is>
      </c>
    </row>
    <row r="160">
      <c r="A160" s="25" t="inlineStr">
        <is>
          <t>Datos fijos: T_fuente = 623.15 K; T_sumidero = 300.03 K; P_alta = 3000 kPa; P_baja = 400 kPa; x_b = 0.5; m_b = 1 kg/s; motor de propiedades = teqp.</t>
        </is>
      </c>
    </row>
    <row r="161">
      <c r="A161" s="25" t="inlineStr">
        <is>
          <t>Datos barridos: η_t [0.4–0.95] (12 valores); η_p [0.4–0.95] (12 valores); ε_HRVG [0.4–0.95] (32 valores); ε_reg [0.4–0.95] (12 valores); ε_cond [0.4–0.95] (12 valores).</t>
        </is>
      </c>
    </row>
    <row r="162">
      <c r="A162" s="25" t="inlineStr">
        <is>
          <t>Filtro: parte 2.3a (2.3a).</t>
        </is>
      </c>
    </row>
    <row r="163">
      <c r="A163" s="25" t="inlineStr">
        <is>
          <t>n = 80. Fuente: todos_los_puntos.csv.</t>
        </is>
      </c>
    </row>
    <row r="166">
      <c r="A166" s="24" t="inlineStr">
        <is>
          <t>Figura 2.3-2 · Parte 2.3b: 0 KALINA con η y ε en [0.40, 0.95]</t>
        </is>
      </c>
    </row>
    <row r="185">
      <c r="A185" s="25" t="inlineStr">
        <is>
          <t>Figura 2.3-2. Parte 2.3b: 0 KALINA con η y ε en [0.40, 0.95].</t>
        </is>
      </c>
    </row>
    <row r="186">
      <c r="A186" s="25" t="inlineStr">
        <is>
          <t>Estudio 2.3 · parte(s) 2.3b. Punto base: PP = datos del enunciado del profesor (T_fuente 623.15 K, P_alta 3000 kPa, P_baja 400 kPa, x_b 0.50)</t>
        </is>
      </c>
    </row>
    <row r="187">
      <c r="A187" s="25" t="inlineStr">
        <is>
          <t>Datos fijos: T_fuente = 623.15 K; T_sumidero = 300.03 K; P_alta = 3000 kPa; P_baja = 400 kPa; x_b = 0.5; m_b = 1 kg/s; η_t = 0.85; η_p = 0.75; ε_reg = 0.75; motor de propiedades = teqp.</t>
        </is>
      </c>
    </row>
    <row r="188">
      <c r="A188" s="25" t="inlineStr">
        <is>
          <t>Datos barridos: ε_HRVG [0.4–0.8] (5 valores); ε_cond [0.4–0.95] (12 valores).</t>
        </is>
      </c>
    </row>
    <row r="189">
      <c r="A189" s="25" t="inlineStr">
        <is>
          <t>Filtro: parte 2.3b (2.3b).</t>
        </is>
      </c>
    </row>
    <row r="190">
      <c r="A190" s="25" t="inlineStr">
        <is>
          <t>n = 60. Fuente: todos_los_puntos.csv.</t>
        </is>
      </c>
    </row>
    <row r="193">
      <c r="A193" s="24" t="inlineStr">
        <is>
          <t>Figura 2.3-3 · Parte 2.3c: 19 KALINA con η y ε en [0.40, 0.95]</t>
        </is>
      </c>
    </row>
    <row r="212">
      <c r="A212" s="25" t="inlineStr">
        <is>
          <t>Figura 2.3-3. Parte 2.3c: 19 KALINA con η y ε en [0.40, 0.95].</t>
        </is>
      </c>
    </row>
    <row r="213">
      <c r="A213" s="25" t="inlineStr">
        <is>
          <t>Estudio 2.3 · parte(s) 2.3c. Punto base: PP = datos del enunciado del profesor (T_fuente 623.15 K, P_alta 3000 kPa, P_baja 400 kPa, x_b 0.50)</t>
        </is>
      </c>
    </row>
    <row r="214">
      <c r="A214" s="25" t="inlineStr">
        <is>
          <t>Datos fijos: T_fuente = 623.15 K; T_sumidero = 300.03 K; P_alta = 3000 kPa; x_b = 0.5; m_b = 1 kg/s; η_t = 0.85; η_p = 0.75; ε_reg = 0.75; ε_cond = 0.8; motor de propiedades = teqp.</t>
        </is>
      </c>
    </row>
    <row r="215">
      <c r="A215" s="25" t="inlineStr">
        <is>
          <t>Datos barridos: P_baja [400–2000] kPa (20 valores); ε_HRVG [0.4–0.7] (4 valores).</t>
        </is>
      </c>
    </row>
    <row r="216">
      <c r="A216" s="25" t="inlineStr">
        <is>
          <t>Filtro: parte 2.3c (2.3c).</t>
        </is>
      </c>
    </row>
    <row r="217">
      <c r="A217" s="25" t="inlineStr">
        <is>
          <t>n = 64. Fuente: todos_los_puntos.csv.</t>
        </is>
      </c>
    </row>
    <row r="220">
      <c r="A220" s="24" t="inlineStr">
        <is>
          <t>Figura 2.3-4 · Parte 2.3d: 1 KALINA con η y ε en [0.40, 0.95]</t>
        </is>
      </c>
    </row>
    <row r="239">
      <c r="A239" s="25" t="inlineStr">
        <is>
          <t>Figura 2.3-4. Parte 2.3d: 1 KALINA con η y ε en [0.40, 0.95].</t>
        </is>
      </c>
    </row>
    <row r="240">
      <c r="A240" s="25" t="inlineStr">
        <is>
          <t>Estudio 2.3 · parte(s) 2.3d. Punto base: PP = datos del enunciado del profesor (T_fuente 623.15 K, P_alta 3000 kPa, P_baja 400 kPa, x_b 0.50)</t>
        </is>
      </c>
    </row>
    <row r="241">
      <c r="A241" s="25" t="inlineStr">
        <is>
          <t>Datos fijos: T_sumidero = 300.03 K; P_alta = 3000 kPa; P_baja = 400 kPa; x_b = 0.5; m_b = 1 kg/s; η_t = 0.85; η_p = 0.75; ε_HRVG = 0.85; ε_reg = 0.75; motor de propiedades = teqp.</t>
        </is>
      </c>
    </row>
    <row r="242">
      <c r="A242" s="25" t="inlineStr">
        <is>
          <t>Datos barridos: T_fuente [403–560] K (7 valores); ε_cond [0.85–0.95] (3 valores).</t>
        </is>
      </c>
    </row>
    <row r="243">
      <c r="A243" s="25" t="inlineStr">
        <is>
          <t>Filtro: parte 2.3d (2.3d).</t>
        </is>
      </c>
    </row>
    <row r="244">
      <c r="A244" s="25" t="inlineStr">
        <is>
          <t>n = 21. Fuente: todos_los_puntos.csv.</t>
        </is>
      </c>
    </row>
    <row r="247">
      <c r="A247" s="24" t="inlineStr">
        <is>
          <t>Figura 2.4-1 · Un sumidero más frío baja la P_baja mínima de KALINA y sube η</t>
        </is>
      </c>
    </row>
    <row r="266">
      <c r="A266" s="25" t="inlineStr">
        <is>
          <t>Figura 2.4-1. Un sumidero más frío baja la P_baja mínima de KALINA y sube η.</t>
        </is>
      </c>
    </row>
    <row r="267">
      <c r="A267" s="25" t="inlineStr">
        <is>
          <t>Estudio 2.4 (figura de síntesis: cada base es una parte con sus propios datos fijos y cada línea es una parte).</t>
        </is>
      </c>
    </row>
    <row r="268">
      <c r="A268" s="25" t="inlineStr">
        <is>
          <t>Parte 2.4a (T_fuente = 403 K (A*)): Datos fijos: T_fuente = 403.0; P_alta = 3000.0; x_b = 0.5; m_b = 1.0; η_t = 0.85; η_p = 0.75; ε_HRVG = 0.85; ε_reg = 0.75; ε_cond = 0.8; motor de propiedades = teqp. Datos barridos: P_baja; piso de O2; T_sumidero.</t>
        </is>
      </c>
    </row>
    <row r="269">
      <c r="A269" s="25" t="inlineStr">
        <is>
          <t>Parte 2.4b (T_fuente = 420 K): Datos fijos: T_fuente = 420.0; P_alta = 3000.0; x_b = 0.5; m_b = 1.0; η_t = 0.85; η_p = 0.75; ε_HRVG = 0.85; ε_reg = 0.75; ε_cond = 0.8; motor de propiedades = teqp. Datos barridos: P_baja; piso de O2; T_sumidero.</t>
        </is>
      </c>
    </row>
    <row r="270">
      <c r="A270" s="25" t="inlineStr">
        <is>
          <t>Parte 2.4c (ε_HRVG = 0.40 (fuente del profesor)): Datos fijos: T_fuente = 623.15; P_alta = 3000.0; x_b = 0.5; m_b = 1.0; η_t = 0.85; η_p = 0.75; ε_HRVG = 0.4; ε_reg = 0.75; ε_cond = 0.8; motor de propiedades = teqp. Datos barridos: P_baja; piso de O2; T_sumidero.</t>
        </is>
      </c>
    </row>
    <row r="271">
      <c r="A271" s="25" t="inlineStr">
        <is>
          <t>Base B4 (datos del profesor, T_fuente 623.15 K): 0 KALINA; no se dibuja (queda nombrada en el pie).</t>
        </is>
      </c>
    </row>
    <row r="272">
      <c r="A272" s="25" t="inlineStr">
        <is>
          <t>Filtro: mínimos de P_baja y máximos de η de los KALINA por (base, T_sumidero). Marcas: Las líneas marcadas “fuera de rango” se apoyan en KALINA fuera del rango validado del modelo de propiedades.</t>
        </is>
      </c>
    </row>
    <row r="273">
      <c r="A273" s="25" t="inlineStr">
        <is>
          <t>n = 15 puntos por panel (3 bases × 5 T_sumidero). Fuente: todos_los_puntos.csv.</t>
        </is>
      </c>
    </row>
  </sheetData>
  <hyperlinks>
    <hyperlink xmlns:r="http://schemas.openxmlformats.org/officeDocument/2006/relationships" ref="A4" r:id="rId1"/>
    <hyperlink xmlns:r="http://schemas.openxmlformats.org/officeDocument/2006/relationships" ref="A73" r:id="rId2"/>
    <hyperlink xmlns:r="http://schemas.openxmlformats.org/officeDocument/2006/relationships" ref="A100" r:id="rId3"/>
    <hyperlink xmlns:r="http://schemas.openxmlformats.org/officeDocument/2006/relationships" ref="A127" r:id="rId4"/>
    <hyperlink xmlns:r="http://schemas.openxmlformats.org/officeDocument/2006/relationships" ref="A166" r:id="rId5"/>
    <hyperlink xmlns:r="http://schemas.openxmlformats.org/officeDocument/2006/relationships" ref="A193" r:id="rId6"/>
    <hyperlink xmlns:r="http://schemas.openxmlformats.org/officeDocument/2006/relationships" ref="A220" r:id="rId7"/>
    <hyperlink xmlns:r="http://schemas.openxmlformats.org/officeDocument/2006/relationships" ref="A247" r:id="rId8"/>
  </hyperlinks>
  <pageMargins left="0.75" right="0.75" top="1" bottom="1" header="0.5" footer="0.5"/>
  <drawing xmlns:r="http://schemas.openxmlformats.org/officeDocument/2006/relationships" r:id="rId9"/>
</worksheet>
</file>

<file path=xl/worksheets/sheet34.xml><?xml version="1.0" encoding="utf-8"?>
<worksheet xmlns="http://schemas.openxmlformats.org/spreadsheetml/2006/main">
  <sheetPr>
    <outlinePr summaryBelow="1" summaryRight="1"/>
    <pageSetUpPr/>
  </sheetPr>
  <dimension ref="A1:DC6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40" max="40"/>
    <col width="16" customWidth="1" min="41" max="41"/>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 width="16" customWidth="1" min="68" max="68"/>
    <col width="16" customWidth="1" min="69" max="69"/>
    <col width="16" customWidth="1" min="70" max="70"/>
    <col width="16" customWidth="1" min="71" max="71"/>
    <col width="16" customWidth="1" min="73" max="73"/>
    <col width="16" customWidth="1" min="74" max="74"/>
    <col width="16" customWidth="1" min="75" max="75"/>
    <col width="16" customWidth="1" min="76" max="76"/>
    <col width="16" customWidth="1" min="78" max="78"/>
    <col width="16" customWidth="1" min="79" max="79"/>
    <col width="16" customWidth="1" min="80" max="80"/>
    <col width="16" customWidth="1" min="81" max="81"/>
    <col width="16" customWidth="1" min="82" max="82"/>
    <col width="16" customWidth="1" min="83" max="83"/>
    <col width="16" customWidth="1" min="85" max="85"/>
    <col width="16" customWidth="1" min="86" max="86"/>
    <col width="16" customWidth="1" min="87" max="87"/>
    <col width="16" customWidth="1" min="88" max="88"/>
    <col width="16" customWidth="1" min="89" max="89"/>
    <col width="16" customWidth="1" min="90" max="90"/>
    <col width="16" customWidth="1" min="91" max="91"/>
    <col width="16" customWidth="1" min="92" max="92"/>
    <col width="16" customWidth="1" min="93" max="93"/>
    <col width="16" customWidth="1" min="94" max="94"/>
    <col width="16" customWidth="1" min="96" max="96"/>
    <col width="16" customWidth="1" min="97" max="97"/>
    <col width="16" customWidth="1" min="98" max="98"/>
    <col width="16" customWidth="1" min="99" max="99"/>
    <col width="16" customWidth="1" min="100" max="100"/>
    <col width="16" customWidth="1" min="101" max="101"/>
    <col width="16" customWidth="1" min="102" max="102"/>
    <col width="16" customWidth="1" min="103" max="103"/>
    <col width="16" customWidth="1" min="104" max="104"/>
    <col width="16" customWidth="1" min="105" max="105"/>
    <col width="16" customWidth="1" min="106" max="106"/>
    <col width="16" customWidth="1" min="107" max="107"/>
  </cols>
  <sheetData>
    <row r="1">
      <c r="A1" s="11" t="inlineStr">
        <is>
          <t>Datos de los gráficos de la pregunta 2</t>
        </is>
      </c>
    </row>
    <row r="2">
      <c r="A2" t="inlineStr">
        <is>
          <t>Cada bloque de columnas es una figura; cada serie ocupa dos columnas (valores de x y de y, o categoría y valor).</t>
        </is>
      </c>
    </row>
    <row r="4">
      <c r="A4" s="30" t="inlineStr">
        <is>
          <t>Figura 2.1-1 · Con un solo cambio sobre los datos del profesor hay 0 KALINA</t>
        </is>
      </c>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N4" s="30" t="inlineStr">
        <is>
          <t>Figura 2.2-1 · Ruta A: conservando la fuente del profesor (623 K), 0 KALINA</t>
        </is>
      </c>
      <c r="AO4" s="31" t="n"/>
      <c r="AQ4" s="30" t="inlineStr">
        <is>
          <t>Figura 2.2-2 · Ruta B: KALINA con T_fuente entre 390 y 434 K</t>
        </is>
      </c>
      <c r="AR4" s="31" t="n"/>
      <c r="AS4" s="31" t="n"/>
      <c r="AT4" s="31" t="n"/>
      <c r="AU4" s="31" t="n"/>
      <c r="AV4" s="31" t="n"/>
      <c r="AW4" s="31" t="n"/>
      <c r="AX4" s="31" t="n"/>
      <c r="AY4" s="31" t="n"/>
      <c r="AZ4" s="31" t="n"/>
      <c r="BA4" s="31" t="n"/>
      <c r="BB4" s="31" t="n"/>
      <c r="BD4" s="30" t="inlineStr">
        <is>
          <t>Figura 2.3-1 · Parte 2.3a: 0 KALINA con η y ε en [0.40, 0.95]</t>
        </is>
      </c>
      <c r="BE4" s="31" t="n"/>
      <c r="BF4" s="31" t="n"/>
      <c r="BG4" s="31" t="n"/>
      <c r="BH4" s="31" t="n"/>
      <c r="BI4" s="31" t="n"/>
      <c r="BJ4" s="31" t="n"/>
      <c r="BK4" s="31" t="n"/>
      <c r="BL4" s="31" t="n"/>
      <c r="BM4" s="31" t="n"/>
      <c r="BN4" s="31" t="n"/>
      <c r="BO4" s="31" t="n"/>
      <c r="BP4" s="31" t="n"/>
      <c r="BQ4" s="31" t="n"/>
      <c r="BR4" s="31" t="n"/>
      <c r="BS4" s="31" t="n"/>
      <c r="BU4" s="30" t="inlineStr">
        <is>
          <t>Figura 2.3-2 · Parte 2.3b: 0 KALINA con η y ε en [0.40, 0.95]</t>
        </is>
      </c>
      <c r="BV4" s="31" t="n"/>
      <c r="BW4" s="31" t="n"/>
      <c r="BX4" s="31" t="n"/>
      <c r="BZ4" s="30" t="inlineStr">
        <is>
          <t>Figura 2.3-3 · Parte 2.3c: 19 KALINA con η y ε en [0.40, 0.95]</t>
        </is>
      </c>
      <c r="CA4" s="31" t="n"/>
      <c r="CB4" s="31" t="n"/>
      <c r="CC4" s="31" t="n"/>
      <c r="CD4" s="31" t="n"/>
      <c r="CE4" s="31" t="n"/>
      <c r="CG4" s="30" t="inlineStr">
        <is>
          <t>Figura 2.3-4 · Parte 2.3d: 1 KALINA con η y ε en [0.40, 0.95]</t>
        </is>
      </c>
      <c r="CH4" s="31" t="n"/>
      <c r="CI4" s="31" t="n"/>
      <c r="CJ4" s="31" t="n"/>
      <c r="CK4" s="31" t="n"/>
      <c r="CL4" s="31" t="n"/>
      <c r="CM4" s="31" t="n"/>
      <c r="CN4" s="31" t="n"/>
      <c r="CO4" s="31" t="n"/>
      <c r="CP4" s="31" t="n"/>
      <c r="CR4" s="30" t="inlineStr">
        <is>
          <t>Figura 2.4-1 · Un sumidero más frío baja la P_baja mínima de KALINA y sube η</t>
        </is>
      </c>
      <c r="CS4" s="31" t="n"/>
      <c r="CT4" s="31" t="n"/>
      <c r="CU4" s="31" t="n"/>
      <c r="CV4" s="31" t="n"/>
      <c r="CW4" s="31" t="n"/>
      <c r="CX4" s="31" t="n"/>
      <c r="CY4" s="31" t="n"/>
      <c r="CZ4" s="31" t="n"/>
      <c r="DA4" s="31" t="n"/>
      <c r="DB4" s="31" t="n"/>
      <c r="DC4" s="31" t="n"/>
    </row>
    <row r="5">
      <c r="A5" s="22" t="inlineStr">
        <is>
          <t>T_fuente · Corregible (n = 1) · y: fila de la clase (solo para dibujar)</t>
        </is>
      </c>
      <c r="B5" s="22" t="inlineStr">
        <is>
          <t>T_fuente · Corregible (n = 1) · x: Temperatura de la fuente, T_fuente [K]</t>
        </is>
      </c>
      <c r="C5" s="22" t="inlineStr">
        <is>
          <t>T_fuente · Corregible, fuera de rango (n = 5) · y: fila de la clase (solo para dibujar)</t>
        </is>
      </c>
      <c r="D5" s="22" t="inlineStr">
        <is>
          <t>T_fuente · Corregible, fuera de rango (n = 5) · x: Temperatura de la fuente, T_fuente [K]</t>
        </is>
      </c>
      <c r="E5" s="22" t="inlineStr">
        <is>
          <t>T_fuente · Inviable, fuera de rango (n = 1) · y: fila de la clase (solo para dibujar)</t>
        </is>
      </c>
      <c r="F5" s="22" t="inlineStr">
        <is>
          <t>T_fuente · Inviable, fuera de rango (n = 1) · x: Temperatura de la fuente, T_fuente [K]</t>
        </is>
      </c>
      <c r="G5" s="22" t="inlineStr">
        <is>
          <t>T_fuente · No convergió (n = 10) · y: fila de la clase (solo para dibujar)</t>
        </is>
      </c>
      <c r="H5" s="22" t="inlineStr">
        <is>
          <t>T_fuente · No convergió (n = 10) · x: Temperatura de la fuente, T_fuente [K]</t>
        </is>
      </c>
      <c r="I5" s="22" t="inlineStr">
        <is>
          <t>T_fuente · Falso convergido (n = 5) · y: fila de la clase (solo para dibujar)</t>
        </is>
      </c>
      <c r="J5" s="22" t="inlineStr">
        <is>
          <t>T_fuente · Falso convergido (n = 5) · x: Temperatura de la fuente, T_fuente [K]</t>
        </is>
      </c>
      <c r="K5" s="22" t="inlineStr">
        <is>
          <t>T_sumidero · No convergió (n = 10) · y: fila de la clase (solo para dibujar)</t>
        </is>
      </c>
      <c r="L5" s="22" t="inlineStr">
        <is>
          <t>T_sumidero · No convergió (n = 10) · x: Temperatura del sumidero, T_sumidero [K]</t>
        </is>
      </c>
      <c r="M5" s="22" t="inlineStr">
        <is>
          <t>P_alta · No convergió (n = 11) · y: fila de la clase (solo para dibujar)</t>
        </is>
      </c>
      <c r="N5" s="22" t="inlineStr">
        <is>
          <t>P_alta · No convergió (n = 11) · x: Presión de alta, P_alta [kPa]</t>
        </is>
      </c>
      <c r="O5" s="22" t="inlineStr">
        <is>
          <t>P_alta · Falso convergido (n = 13) · y: fila de la clase (solo para dibujar)</t>
        </is>
      </c>
      <c r="P5" s="22" t="inlineStr">
        <is>
          <t>P_alta · Falso convergido (n = 13) · x: Presión de alta, P_alta [kPa]</t>
        </is>
      </c>
      <c r="Q5" s="22" t="inlineStr">
        <is>
          <t>P_baja · No convergió (n = 10) · y: fila de la clase (solo para dibujar)</t>
        </is>
      </c>
      <c r="R5" s="22" t="inlineStr">
        <is>
          <t>P_baja · No convergió (n = 10) · x: Presión de baja, P_baja [kPa]</t>
        </is>
      </c>
      <c r="S5" s="22" t="inlineStr">
        <is>
          <t>x_b · Inviable, fuera de rango (n = 1) · y: fila de la clase (solo para dibujar)</t>
        </is>
      </c>
      <c r="T5" s="22" t="inlineStr">
        <is>
          <t>x_b · Inviable, fuera de rango (n = 1) · x: Fracción de amoníaco de la mezcla base, x_b [–]</t>
        </is>
      </c>
      <c r="U5" s="22" t="inlineStr">
        <is>
          <t>x_b · No convergió (n = 12) · y: fila de la clase (solo para dibujar)</t>
        </is>
      </c>
      <c r="V5" s="22" t="inlineStr">
        <is>
          <t>x_b · No convergió (n = 12) · x: Fracción de amoníaco de la mezcla base, x_b [–]</t>
        </is>
      </c>
      <c r="W5" s="22" t="inlineStr">
        <is>
          <t>x_b · Falso convergido (n = 1) · y: fila de la clase (solo para dibujar)</t>
        </is>
      </c>
      <c r="X5" s="22" t="inlineStr">
        <is>
          <t>x_b · Falso convergido (n = 1) · x: Fracción de amoníaco de la mezcla base, x_b [–]</t>
        </is>
      </c>
      <c r="Y5" s="22" t="inlineStr">
        <is>
          <t>η_t · No convergió (n = 10) · y: fila de la clase (solo para dibujar)</t>
        </is>
      </c>
      <c r="Z5" s="22" t="inlineStr">
        <is>
          <t>η_t · No convergió (n = 10) · x: Eficiencia isentrópica de la turbina, η_t [–]</t>
        </is>
      </c>
      <c r="AA5" s="22" t="inlineStr">
        <is>
          <t>η_p · No convergió (n = 10) · y: fila de la clase (solo para dibujar)</t>
        </is>
      </c>
      <c r="AB5" s="22" t="inlineStr">
        <is>
          <t>η_p · No convergió (n = 10) · x: Eficiencia isentrópica de la bomba, η_p [–]</t>
        </is>
      </c>
      <c r="AC5" s="22" t="inlineStr">
        <is>
          <t>ε_HRVG · Corregible, fuera de rango (n = 7) · y: fila de la clase (solo para dibujar)</t>
        </is>
      </c>
      <c r="AD5" s="22" t="inlineStr">
        <is>
          <t>ε_HRVG · Corregible, fuera de rango (n = 7) · x: Efectividad del generador de vapor, ε_HRVG [–]</t>
        </is>
      </c>
      <c r="AE5" s="22" t="inlineStr">
        <is>
          <t>ε_HRVG · No convergió (n = 3) · y: fila de la clase (solo para dibujar)</t>
        </is>
      </c>
      <c r="AF5" s="22" t="inlineStr">
        <is>
          <t>ε_HRVG · No convergió (n = 3) · x: Efectividad del generador de vapor, ε_HRVG [–]</t>
        </is>
      </c>
      <c r="AG5" s="22" t="inlineStr">
        <is>
          <t>ε_HRVG · Falso convergido (n = 2) · y: fila de la clase (solo para dibujar)</t>
        </is>
      </c>
      <c r="AH5" s="22" t="inlineStr">
        <is>
          <t>ε_HRVG · Falso convergido (n = 2) · x: Efectividad del generador de vapor, ε_HRVG [–]</t>
        </is>
      </c>
      <c r="AI5" s="22" t="inlineStr">
        <is>
          <t>ε_reg · No convergió (n = 10) · y: fila de la clase (solo para dibujar)</t>
        </is>
      </c>
      <c r="AJ5" s="22" t="inlineStr">
        <is>
          <t>ε_reg · No convergió (n = 10) · x: Efectividad del regenerador, ε_reg [–]</t>
        </is>
      </c>
      <c r="AK5" s="22" t="inlineStr">
        <is>
          <t>ε_cond · No convergió (n = 10) · y: fila de la clase (solo para dibujar)</t>
        </is>
      </c>
      <c r="AL5" s="22" t="inlineStr">
        <is>
          <t>ε_cond · No convergió (n = 10) · x: Efectividad del condensador, ε_cond [–]</t>
        </is>
      </c>
      <c r="AN5" s="22" t="inlineStr">
        <is>
          <t>Ruta A: conservando la fuente del profesor (623 K), 0 KALINA · Corregible, fuera de rango (n = 36) · y: Efectividad del generador de vapor, ε_HRVG [–]</t>
        </is>
      </c>
      <c r="AO5" s="22" t="inlineStr">
        <is>
          <t>Ruta A: conservando la fuente del profesor (623 K), 0 KALINA · Corregible, fuera de rango (n = 36) · x: Presión de baja, P_baja [kPa]</t>
        </is>
      </c>
      <c r="AQ5" s="22" t="inlineStr">
        <is>
          <t>Ruta B: KALINA con T_fuente entre 390 y 434 K · KALINA (n = 48) · y: Temperatura de la fuente, T_fuente [K]</t>
        </is>
      </c>
      <c r="AR5" s="22" t="inlineStr">
        <is>
          <t>Ruta B: KALINA con T_fuente entre 390 y 434 K · KALINA (n = 48) · x: Presión de baja, P_baja [kPa]</t>
        </is>
      </c>
      <c r="AS5" s="22" t="inlineStr">
        <is>
          <t>Ruta B: KALINA con T_fuente entre 390 y 434 K · KALINA, fuera de rango (n = 11) · y: Temperatura de la fuente, T_fuente [K]</t>
        </is>
      </c>
      <c r="AT5" s="22" t="inlineStr">
        <is>
          <t>Ruta B: KALINA con T_fuente entre 390 y 434 K · KALINA, fuera de rango (n = 11) · x: Presión de baja, P_baja [kPa]</t>
        </is>
      </c>
      <c r="AU5" s="22" t="inlineStr">
        <is>
          <t>Ruta B: KALINA con T_fuente entre 390 y 434 K · Corregible (n = 12) · y: Temperatura de la fuente, T_fuente [K]</t>
        </is>
      </c>
      <c r="AV5" s="22" t="inlineStr">
        <is>
          <t>Ruta B: KALINA con T_fuente entre 390 y 434 K · Corregible (n = 12) · x: Presión de baja, P_baja [kPa]</t>
        </is>
      </c>
      <c r="AW5" s="22" t="inlineStr">
        <is>
          <t>Ruta B: KALINA con T_fuente entre 390 y 434 K · Corregible, fuera de rango (n = 58) · y: Temperatura de la fuente, T_fuente [K]</t>
        </is>
      </c>
      <c r="AX5" s="22" t="inlineStr">
        <is>
          <t>Ruta B: KALINA con T_fuente entre 390 y 434 K · Corregible, fuera de rango (n = 58) · x: Presión de baja, P_baja [kPa]</t>
        </is>
      </c>
      <c r="AY5" s="22" t="inlineStr">
        <is>
          <t>Ruta B: KALINA con T_fuente entre 390 y 434 K · No convergió (n = 3) · y: Temperatura de la fuente, T_fuente [K]</t>
        </is>
      </c>
      <c r="AZ5" s="22" t="inlineStr">
        <is>
          <t>Ruta B: KALINA con T_fuente entre 390 y 434 K · No convergió (n = 3) · x: Presión de baja, P_baja [kPa]</t>
        </is>
      </c>
      <c r="BA5" s="22" t="inlineStr">
        <is>
          <t>Ruta B: KALINA con T_fuente entre 390 y 434 K · Falso convergido (n = 12) · y: Temperatura de la fuente, T_fuente [K]</t>
        </is>
      </c>
      <c r="BB5" s="22" t="inlineStr">
        <is>
          <t>Ruta B: KALINA con T_fuente entre 390 y 434 K · Falso convergido (n = 12) · x: Presión de baja, P_baja [kPa]</t>
        </is>
      </c>
      <c r="BD5" s="22" t="inlineStr">
        <is>
          <t>η_t · No convergió (n = 12) · y: fila de la clase (solo para dibujar)</t>
        </is>
      </c>
      <c r="BE5" s="22" t="inlineStr">
        <is>
          <t>η_t · No convergió (n = 12) · x: Eficiencia isentrópica de la turbina, η_t [–]</t>
        </is>
      </c>
      <c r="BF5" s="22" t="inlineStr">
        <is>
          <t>η_p · No convergió (n = 12) · y: fila de la clase (solo para dibujar)</t>
        </is>
      </c>
      <c r="BG5" s="22" t="inlineStr">
        <is>
          <t>η_p · No convergió (n = 12) · x: Eficiencia isentrópica de la bomba, η_p [–]</t>
        </is>
      </c>
      <c r="BH5" s="22" t="inlineStr">
        <is>
          <t>ε_HRVG · Corregible, fuera de rango (n = 24) · y: fila de la clase (solo para dibujar)</t>
        </is>
      </c>
      <c r="BI5" s="22" t="inlineStr">
        <is>
          <t>ε_HRVG · Corregible, fuera de rango (n = 24) · x: Efectividad del generador de vapor, ε_HRVG [–]</t>
        </is>
      </c>
      <c r="BJ5" s="22" t="inlineStr">
        <is>
          <t>ε_HRVG · No convergió (n = 6) · y: fila de la clase (solo para dibujar)</t>
        </is>
      </c>
      <c r="BK5" s="22" t="inlineStr">
        <is>
          <t>ε_HRVG · No convergió (n = 6) · x: Efectividad del generador de vapor, ε_HRVG [–]</t>
        </is>
      </c>
      <c r="BL5" s="22" t="inlineStr">
        <is>
          <t>ε_HRVG · Falso convergido (n = 2) · y: fila de la clase (solo para dibujar)</t>
        </is>
      </c>
      <c r="BM5" s="22" t="inlineStr">
        <is>
          <t>ε_HRVG · Falso convergido (n = 2) · x: Efectividad del generador de vapor, ε_HRVG [–]</t>
        </is>
      </c>
      <c r="BN5" s="22" t="inlineStr">
        <is>
          <t>ε_reg · No convergió (n = 12) · y: fila de la clase (solo para dibujar)</t>
        </is>
      </c>
      <c r="BO5" s="22" t="inlineStr">
        <is>
          <t>ε_reg · No convergió (n = 12) · x: Efectividad del regenerador, ε_reg [–]</t>
        </is>
      </c>
      <c r="BP5" s="22" t="inlineStr">
        <is>
          <t>ε_cond · No convergió (n = 10) · y: fila de la clase (solo para dibujar)</t>
        </is>
      </c>
      <c r="BQ5" s="22" t="inlineStr">
        <is>
          <t>ε_cond · No convergió (n = 10) · x: Efectividad del condensador, ε_cond [–]</t>
        </is>
      </c>
      <c r="BR5" s="22" t="inlineStr">
        <is>
          <t>ε_cond · Falso convergido (n = 2) · y: fila de la clase (solo para dibujar)</t>
        </is>
      </c>
      <c r="BS5" s="22" t="inlineStr">
        <is>
          <t>ε_cond · Falso convergido (n = 2) · x: Efectividad del condensador, ε_cond [–]</t>
        </is>
      </c>
      <c r="BU5" s="22" t="inlineStr">
        <is>
          <t>Parte 2.3b: 0 KALINA con η y ε en [0.40, 0.95] · Corregible, fuera de rango (n = 48) · y: Efectividad del generador de vapor, ε_HRVG [–]</t>
        </is>
      </c>
      <c r="BV5" s="22" t="inlineStr">
        <is>
          <t>Parte 2.3b: 0 KALINA con η y ε en [0.40, 0.95] · Corregible, fuera de rango (n = 48) · x: Efectividad del condensador, ε_cond [–]</t>
        </is>
      </c>
      <c r="BW5" s="22" t="inlineStr">
        <is>
          <t>Parte 2.3b: 0 KALINA con η y ε en [0.40, 0.95] · No convergió (n = 12) · y: Efectividad del generador de vapor, ε_HRVG [–]</t>
        </is>
      </c>
      <c r="BX5" s="22" t="inlineStr">
        <is>
          <t>Parte 2.3b: 0 KALINA con η y ε en [0.40, 0.95] · No convergió (n = 12) · x: Efectividad del condensador, ε_cond [–]</t>
        </is>
      </c>
      <c r="BZ5" s="22" t="inlineStr">
        <is>
          <t>Parte 2.3c: 19 KALINA con η y ε en [0.40, 0.95] · KALINA, fuera de rango (n = 19) · y: Efectividad del generador de vapor, ε_HRVG [–]</t>
        </is>
      </c>
      <c r="CA5" s="22" t="inlineStr">
        <is>
          <t>Parte 2.3c: 19 KALINA con η y ε en [0.40, 0.95] · KALINA, fuera de rango (n = 19) · x: Presión de baja, P_baja [kPa]</t>
        </is>
      </c>
      <c r="CB5" s="22" t="inlineStr">
        <is>
          <t>Parte 2.3c: 19 KALINA con η y ε en [0.40, 0.95] · Corregible, fuera de rango (n = 43) · y: Efectividad del generador de vapor, ε_HRVG [–]</t>
        </is>
      </c>
      <c r="CC5" s="22" t="inlineStr">
        <is>
          <t>Parte 2.3c: 19 KALINA con η y ε en [0.40, 0.95] · Corregible, fuera de rango (n = 43) · x: Presión de baja, P_baja [kPa]</t>
        </is>
      </c>
      <c r="CD5" s="22" t="inlineStr">
        <is>
          <t>Parte 2.3c: 19 KALINA con η y ε en [0.40, 0.95] · No convergió (n = 2) · y: Efectividad del generador de vapor, ε_HRVG [–]</t>
        </is>
      </c>
      <c r="CE5" s="22" t="inlineStr">
        <is>
          <t>Parte 2.3c: 19 KALINA con η y ε en [0.40, 0.95] · No convergió (n = 2) · x: Presión de baja, P_baja [kPa]</t>
        </is>
      </c>
      <c r="CG5" s="22" t="inlineStr">
        <is>
          <t>Parte 2.3d: 1 KALINA con η y ε en [0.40, 0.95] · KALINA (n = 1) · y: Temperatura de la fuente, T_fuente [K]</t>
        </is>
      </c>
      <c r="CH5" s="22" t="inlineStr">
        <is>
          <t>Parte 2.3d: 1 KALINA con η y ε en [0.40, 0.95] · KALINA (n = 1) · x: Efectividad del condensador, ε_cond [–]</t>
        </is>
      </c>
      <c r="CI5" s="22" t="inlineStr">
        <is>
          <t>Parte 2.3d: 1 KALINA con η y ε en [0.40, 0.95] · Corregible (n = 4) · y: Temperatura de la fuente, T_fuente [K]</t>
        </is>
      </c>
      <c r="CJ5" s="22" t="inlineStr">
        <is>
          <t>Parte 2.3d: 1 KALINA con η y ε en [0.40, 0.95] · Corregible (n = 4) · x: Efectividad del condensador, ε_cond [–]</t>
        </is>
      </c>
      <c r="CK5" s="22" t="inlineStr">
        <is>
          <t>Parte 2.3d: 1 KALINA con η y ε en [0.40, 0.95] · Corregible, fuera de rango (n = 14) · y: Temperatura de la fuente, T_fuente [K]</t>
        </is>
      </c>
      <c r="CL5" s="22" t="inlineStr">
        <is>
          <t>Parte 2.3d: 1 KALINA con η y ε en [0.40, 0.95] · Corregible, fuera de rango (n = 14) · x: Efectividad del condensador, ε_cond [–]</t>
        </is>
      </c>
      <c r="CM5" s="22" t="inlineStr">
        <is>
          <t>Parte 2.3d: 1 KALINA con η y ε en [0.40, 0.95] · Inviable (n = 1) · y: Temperatura de la fuente, T_fuente [K]</t>
        </is>
      </c>
      <c r="CN5" s="22" t="inlineStr">
        <is>
          <t>Parte 2.3d: 1 KALINA con η y ε en [0.40, 0.95] · Inviable (n = 1) · x: Efectividad del condensador, ε_cond [–]</t>
        </is>
      </c>
      <c r="CO5" s="22" t="inlineStr">
        <is>
          <t>Parte 2.3d: 1 KALINA con η y ε en [0.40, 0.95] · No convergió (n = 1) · y: Temperatura de la fuente, T_fuente [K]</t>
        </is>
      </c>
      <c r="CP5" s="22" t="inlineStr">
        <is>
          <t>Parte 2.3d: 1 KALINA con η y ε en [0.40, 0.95] · No convergió (n = 1) · x: Efectividad del condensador, ε_cond [–]</t>
        </is>
      </c>
      <c r="CR5" s="22" t="inlineStr">
        <is>
          <t>P_baja mínima de KALINA según el clima · 2.4a · T_fuente = 403 K (A*) · y: P_baja mínima de KALINA [kPa]</t>
        </is>
      </c>
      <c r="CS5" s="22" t="inlineStr">
        <is>
          <t>P_baja mínima de KALINA según el clima · 2.4a · T_fuente = 403 K (A*) · x: Temperatura del sumidero, T_sumidero [K]</t>
        </is>
      </c>
      <c r="CT5" s="22" t="inlineStr">
        <is>
          <t>P_baja mínima de KALINA según el clima · 2.4b · T_fuente = 420 K · y: P_baja mínima de KALINA [kPa]</t>
        </is>
      </c>
      <c r="CU5" s="22" t="inlineStr">
        <is>
          <t>P_baja mínima de KALINA según el clima · 2.4b · T_fuente = 420 K · x: Temperatura del sumidero, T_sumidero [K]</t>
        </is>
      </c>
      <c r="CV5" s="22" t="inlineStr">
        <is>
          <t>P_baja mínima de KALINA según el clima · 2.4c · ε_HRVG = 0.40 (fuente del profesor) · fuera de rango · y: P_baja mínima de KALINA [kPa]</t>
        </is>
      </c>
      <c r="CW5" s="22" t="inlineStr">
        <is>
          <t>P_baja mínima de KALINA según el clima · 2.4c · ε_HRVG = 0.40 (fuente del profesor) · fuera de rango · x: Temperatura del sumidero, T_sumidero [K]</t>
        </is>
      </c>
      <c r="CX5" s="22" t="inlineStr">
        <is>
          <t>η máxima de KALINA según el clima · 2.4a · T_fuente = 403 K (A*) · y: η máxima de KALINA [%]</t>
        </is>
      </c>
      <c r="CY5" s="22" t="inlineStr">
        <is>
          <t>η máxima de KALINA según el clima · 2.4a · T_fuente = 403 K (A*) · x: Temperatura del sumidero, T_sumidero [K]</t>
        </is>
      </c>
      <c r="CZ5" s="22" t="inlineStr">
        <is>
          <t>η máxima de KALINA según el clima · 2.4b · T_fuente = 420 K · y: η máxima de KALINA [%]</t>
        </is>
      </c>
      <c r="DA5" s="22" t="inlineStr">
        <is>
          <t>η máxima de KALINA según el clima · 2.4b · T_fuente = 420 K · x: Temperatura del sumidero, T_sumidero [K]</t>
        </is>
      </c>
      <c r="DB5" s="22" t="inlineStr">
        <is>
          <t>η máxima de KALINA según el clima · 2.4c · ε_HRVG = 0.40 (fuente del profesor) · fuera de rango · y: η máxima de KALINA [%]</t>
        </is>
      </c>
      <c r="DC5" s="22" t="inlineStr">
        <is>
          <t>η máxima de KALINA según el clima · 2.4c · ε_HRVG = 0.40 (fuente del profesor) · fuera de rango · x: Temperatura del sumidero, T_sumidero [K]</t>
        </is>
      </c>
    </row>
    <row r="6">
      <c r="A6" s="16" t="n">
        <v>3</v>
      </c>
      <c r="B6" s="16" t="n">
        <v>402.922222</v>
      </c>
      <c r="C6" s="16" t="n">
        <v>3</v>
      </c>
      <c r="D6" s="16" t="n">
        <v>434.383333</v>
      </c>
      <c r="E6" s="16" t="n">
        <v>2</v>
      </c>
      <c r="F6" s="16" t="n">
        <v>591.688889</v>
      </c>
      <c r="G6" s="16" t="n">
        <v>1</v>
      </c>
      <c r="H6" s="16" t="n">
        <v>340</v>
      </c>
      <c r="I6" s="16" t="n">
        <v>0</v>
      </c>
      <c r="J6" s="16" t="n">
        <v>371.461111</v>
      </c>
      <c r="K6" s="16" t="n">
        <v>1</v>
      </c>
      <c r="L6" s="16" t="n">
        <v>283.15</v>
      </c>
      <c r="M6" s="16" t="n">
        <v>1</v>
      </c>
      <c r="N6" s="16" t="n">
        <v>1000</v>
      </c>
      <c r="O6" s="16" t="n">
        <v>0</v>
      </c>
      <c r="P6" s="16" t="n">
        <v>6000</v>
      </c>
      <c r="Q6" s="16" t="n">
        <v>1</v>
      </c>
      <c r="R6" s="16" t="n">
        <v>150</v>
      </c>
      <c r="S6" s="16" t="n">
        <v>2</v>
      </c>
      <c r="T6" s="16" t="n">
        <v>0.3</v>
      </c>
      <c r="U6" s="16" t="n">
        <v>1</v>
      </c>
      <c r="V6" s="16" t="n">
        <v>0.366667</v>
      </c>
      <c r="W6" s="16" t="n">
        <v>0</v>
      </c>
      <c r="X6" s="16" t="n">
        <v>0.316667</v>
      </c>
      <c r="Y6" s="16" t="n">
        <v>1</v>
      </c>
      <c r="Z6" s="16" t="n">
        <v>0.766667</v>
      </c>
      <c r="AA6" s="16" t="n">
        <v>1</v>
      </c>
      <c r="AB6" s="16" t="n">
        <v>0.65</v>
      </c>
      <c r="AC6" s="16" t="n">
        <v>3</v>
      </c>
      <c r="AD6" s="16" t="n">
        <v>0.75</v>
      </c>
      <c r="AE6" s="16" t="n">
        <v>1</v>
      </c>
      <c r="AF6" s="16" t="n">
        <v>0.827778</v>
      </c>
      <c r="AG6" s="16" t="n">
        <v>0</v>
      </c>
      <c r="AH6" s="16" t="n">
        <v>0.822222</v>
      </c>
      <c r="AI6" s="16" t="n">
        <v>1</v>
      </c>
      <c r="AJ6" s="16" t="n">
        <v>0.761111</v>
      </c>
      <c r="AK6" s="16" t="n">
        <v>1</v>
      </c>
      <c r="AL6" s="16" t="n">
        <v>0.75</v>
      </c>
      <c r="AN6" s="16" t="n">
        <v>0.75</v>
      </c>
      <c r="AO6" s="16" t="n">
        <v>400</v>
      </c>
      <c r="AQ6" s="16" t="n">
        <v>390</v>
      </c>
      <c r="AR6" s="16" t="n">
        <v>545.4545450000001</v>
      </c>
      <c r="AS6" s="16" t="n">
        <v>434</v>
      </c>
      <c r="AT6" s="16" t="n">
        <v>1272.727273</v>
      </c>
      <c r="AU6" s="16" t="n">
        <v>390</v>
      </c>
      <c r="AV6" s="16" t="n">
        <v>400</v>
      </c>
      <c r="AW6" s="16" t="n">
        <v>434</v>
      </c>
      <c r="AX6" s="16" t="n">
        <v>400</v>
      </c>
      <c r="AY6" s="16" t="n">
        <v>434</v>
      </c>
      <c r="AZ6" s="16" t="n">
        <v>1854.545455</v>
      </c>
      <c r="BA6" s="16" t="n">
        <v>380</v>
      </c>
      <c r="BB6" s="16" t="n">
        <v>400</v>
      </c>
      <c r="BD6" s="16" t="n">
        <v>1</v>
      </c>
      <c r="BE6" s="16" t="n">
        <v>0.4</v>
      </c>
      <c r="BF6" s="16" t="n">
        <v>1</v>
      </c>
      <c r="BG6" s="16" t="n">
        <v>0.4</v>
      </c>
      <c r="BH6" s="16" t="n">
        <v>3</v>
      </c>
      <c r="BI6" s="16" t="n">
        <v>0.6</v>
      </c>
      <c r="BJ6" s="16" t="n">
        <v>1</v>
      </c>
      <c r="BK6" s="16" t="n">
        <v>0.5</v>
      </c>
      <c r="BL6" s="16" t="n">
        <v>0</v>
      </c>
      <c r="BM6" s="16" t="n">
        <v>0.825</v>
      </c>
      <c r="BN6" s="16" t="n">
        <v>1</v>
      </c>
      <c r="BO6" s="16" t="n">
        <v>0.45</v>
      </c>
      <c r="BP6" s="16" t="n">
        <v>1</v>
      </c>
      <c r="BQ6" s="16" t="n">
        <v>0.5</v>
      </c>
      <c r="BR6" s="16" t="n">
        <v>0</v>
      </c>
      <c r="BS6" s="16" t="n">
        <v>0.95</v>
      </c>
      <c r="BU6" s="16" t="n">
        <v>0.4</v>
      </c>
      <c r="BV6" s="16" t="n">
        <v>0.4</v>
      </c>
      <c r="BW6" s="16" t="n">
        <v>0.5</v>
      </c>
      <c r="BX6" s="16" t="n">
        <v>0.8</v>
      </c>
      <c r="BZ6" s="16" t="n">
        <v>0.4</v>
      </c>
      <c r="CA6" s="16" t="n">
        <v>1418.181818</v>
      </c>
      <c r="CB6" s="16" t="n">
        <v>0.4</v>
      </c>
      <c r="CC6" s="16" t="n">
        <v>400</v>
      </c>
      <c r="CD6" s="16" t="n">
        <v>0.5</v>
      </c>
      <c r="CE6" s="16" t="n">
        <v>400</v>
      </c>
      <c r="CG6" s="16" t="n">
        <v>403</v>
      </c>
      <c r="CH6" s="16" t="n">
        <v>0.95</v>
      </c>
      <c r="CI6" s="16" t="n">
        <v>403</v>
      </c>
      <c r="CJ6" s="16" t="n">
        <v>0.9</v>
      </c>
      <c r="CK6" s="16" t="n">
        <v>434</v>
      </c>
      <c r="CL6" s="16" t="n">
        <v>0.85</v>
      </c>
      <c r="CM6" s="16" t="n">
        <v>420</v>
      </c>
      <c r="CN6" s="16" t="n">
        <v>0.9</v>
      </c>
      <c r="CO6" s="16" t="n">
        <v>497</v>
      </c>
      <c r="CP6" s="16" t="n">
        <v>0.9</v>
      </c>
      <c r="CR6" s="16" t="n">
        <v>290.625</v>
      </c>
      <c r="CS6" s="16" t="n">
        <v>278.15</v>
      </c>
      <c r="CT6" s="16" t="n">
        <v>393.75</v>
      </c>
      <c r="CU6" s="16" t="n">
        <v>278.15</v>
      </c>
      <c r="CV6" s="16" t="n">
        <v>750</v>
      </c>
      <c r="CW6" s="16" t="n">
        <v>278.15</v>
      </c>
      <c r="CX6" s="16" t="n">
        <v>10.408616</v>
      </c>
      <c r="CY6" s="16" t="n">
        <v>278.15</v>
      </c>
      <c r="CZ6" s="16" t="n">
        <v>11.908414</v>
      </c>
      <c r="DA6" s="16" t="n">
        <v>278.15</v>
      </c>
      <c r="DB6" s="16" t="n">
        <v>9.686795999999999</v>
      </c>
      <c r="DC6" s="16" t="n">
        <v>278.15</v>
      </c>
    </row>
    <row r="7">
      <c r="A7" s="16" t="n"/>
      <c r="B7" s="16" t="n"/>
      <c r="C7" s="16" t="n">
        <v>3.1</v>
      </c>
      <c r="D7" s="16" t="n">
        <v>528.766667</v>
      </c>
      <c r="E7" s="16" t="n"/>
      <c r="F7" s="16" t="n"/>
      <c r="G7" s="16" t="n">
        <v>1.1</v>
      </c>
      <c r="H7" s="16" t="n">
        <v>623.15</v>
      </c>
      <c r="I7" s="16" t="n">
        <v>0.1</v>
      </c>
      <c r="J7" s="16" t="n">
        <v>599.554167</v>
      </c>
      <c r="K7" s="16" t="n">
        <v>1.1</v>
      </c>
      <c r="L7" s="16" t="n">
        <v>285.416667</v>
      </c>
      <c r="M7" s="16" t="n">
        <v>1.1</v>
      </c>
      <c r="N7" s="16" t="n">
        <v>3000</v>
      </c>
      <c r="O7" s="16" t="n">
        <v>0.1</v>
      </c>
      <c r="P7" s="16" t="n">
        <v>7000</v>
      </c>
      <c r="Q7" s="16" t="n">
        <v>1.1</v>
      </c>
      <c r="R7" s="16" t="n">
        <v>300</v>
      </c>
      <c r="S7" s="16" t="n"/>
      <c r="T7" s="16" t="n"/>
      <c r="U7" s="16" t="n">
        <v>1.1</v>
      </c>
      <c r="V7" s="16" t="n">
        <v>0.5</v>
      </c>
      <c r="W7" s="16" t="n"/>
      <c r="X7" s="16" t="n"/>
      <c r="Y7" s="16" t="n">
        <v>1.1</v>
      </c>
      <c r="Z7" s="16" t="n">
        <v>0.75</v>
      </c>
      <c r="AA7" s="16" t="n">
        <v>1.1</v>
      </c>
      <c r="AB7" s="16" t="n">
        <v>0.672222</v>
      </c>
      <c r="AC7" s="16" t="n">
        <v>3.1</v>
      </c>
      <c r="AD7" s="16" t="n">
        <v>0.772222</v>
      </c>
      <c r="AE7" s="16" t="n">
        <v>1.1</v>
      </c>
      <c r="AF7" s="16" t="n">
        <v>0.838889</v>
      </c>
      <c r="AG7" s="16" t="n">
        <v>0.1</v>
      </c>
      <c r="AH7" s="16" t="n">
        <v>0.825</v>
      </c>
      <c r="AI7" s="16" t="n">
        <v>1.1</v>
      </c>
      <c r="AJ7" s="16" t="n">
        <v>0.75</v>
      </c>
      <c r="AK7" s="16" t="n">
        <v>1.1</v>
      </c>
      <c r="AL7" s="16" t="n">
        <v>0.761111</v>
      </c>
      <c r="AN7" s="16" t="n">
        <v>0.75</v>
      </c>
      <c r="AO7" s="16" t="n">
        <v>545.4545450000001</v>
      </c>
      <c r="AQ7" s="16" t="n">
        <v>390</v>
      </c>
      <c r="AR7" s="16" t="n">
        <v>836.363636</v>
      </c>
      <c r="AS7" s="16" t="n">
        <v>434</v>
      </c>
      <c r="AT7" s="16" t="n">
        <v>1127.272727</v>
      </c>
      <c r="AU7" s="16" t="n">
        <v>403</v>
      </c>
      <c r="AV7" s="16" t="n">
        <v>400</v>
      </c>
      <c r="AW7" s="16" t="n">
        <v>434</v>
      </c>
      <c r="AX7" s="16" t="n">
        <v>545.4545450000001</v>
      </c>
      <c r="AY7" s="16" t="n">
        <v>434</v>
      </c>
      <c r="AZ7" s="16" t="n">
        <v>2000</v>
      </c>
      <c r="BA7" s="16" t="n">
        <v>380</v>
      </c>
      <c r="BB7" s="16" t="n">
        <v>1127.272727</v>
      </c>
      <c r="BD7" s="16" t="n">
        <v>1.1</v>
      </c>
      <c r="BE7" s="16" t="n">
        <v>0.45</v>
      </c>
      <c r="BF7" s="16" t="n">
        <v>1.1</v>
      </c>
      <c r="BG7" s="16" t="n">
        <v>0.45</v>
      </c>
      <c r="BH7" s="16" t="n">
        <v>3.1</v>
      </c>
      <c r="BI7" s="16" t="n">
        <v>0.4</v>
      </c>
      <c r="BJ7" s="16" t="n">
        <v>1.1</v>
      </c>
      <c r="BK7" s="16" t="n">
        <v>0.9</v>
      </c>
      <c r="BL7" s="16" t="n">
        <v>0.1</v>
      </c>
      <c r="BM7" s="16" t="n">
        <v>0.821875</v>
      </c>
      <c r="BN7" s="16" t="n">
        <v>1.1</v>
      </c>
      <c r="BO7" s="16" t="n">
        <v>0.4</v>
      </c>
      <c r="BP7" s="16" t="n">
        <v>1.1</v>
      </c>
      <c r="BQ7" s="16" t="n">
        <v>0.4</v>
      </c>
      <c r="BR7" s="16" t="n">
        <v>0.1</v>
      </c>
      <c r="BS7" s="16" t="n">
        <v>0.9</v>
      </c>
      <c r="BU7" s="16" t="n">
        <v>0.4</v>
      </c>
      <c r="BV7" s="16" t="n">
        <v>0.55</v>
      </c>
      <c r="BW7" s="16" t="n">
        <v>0.7</v>
      </c>
      <c r="BX7" s="16" t="n">
        <v>0.4</v>
      </c>
      <c r="BZ7" s="16" t="n">
        <v>0.4</v>
      </c>
      <c r="CA7" s="16" t="n">
        <v>1563.636364</v>
      </c>
      <c r="CB7" s="16" t="n">
        <v>0.4</v>
      </c>
      <c r="CC7" s="16" t="n">
        <v>545.4545450000001</v>
      </c>
      <c r="CD7" s="16" t="n">
        <v>0.5</v>
      </c>
      <c r="CE7" s="16" t="n">
        <v>836.363636</v>
      </c>
      <c r="CG7" s="16" t="n"/>
      <c r="CH7" s="16" t="n"/>
      <c r="CI7" s="16" t="n">
        <v>403</v>
      </c>
      <c r="CJ7" s="16" t="n">
        <v>0.85</v>
      </c>
      <c r="CK7" s="16" t="n">
        <v>434</v>
      </c>
      <c r="CL7" s="16" t="n">
        <v>0.9</v>
      </c>
      <c r="CM7" s="16" t="n"/>
      <c r="CN7" s="16" t="n"/>
      <c r="CO7" s="16" t="n"/>
      <c r="CP7" s="16" t="n"/>
      <c r="CR7" s="16" t="n">
        <v>337.5</v>
      </c>
      <c r="CS7" s="16" t="n">
        <v>283.15</v>
      </c>
      <c r="CT7" s="16" t="n">
        <v>459.375</v>
      </c>
      <c r="CU7" s="16" t="n">
        <v>283.15</v>
      </c>
      <c r="CV7" s="16" t="n">
        <v>862.5</v>
      </c>
      <c r="CW7" s="16" t="n">
        <v>283.15</v>
      </c>
      <c r="CX7" s="16" t="n">
        <v>10.033542</v>
      </c>
      <c r="CY7" s="16" t="n">
        <v>283.15</v>
      </c>
      <c r="CZ7" s="16" t="n">
        <v>11.275837</v>
      </c>
      <c r="DA7" s="16" t="n">
        <v>283.15</v>
      </c>
      <c r="DB7" s="16" t="n">
        <v>8.890321999999999</v>
      </c>
      <c r="DC7" s="16" t="n">
        <v>283.15</v>
      </c>
    </row>
    <row r="8">
      <c r="A8" s="16" t="n"/>
      <c r="B8" s="16" t="n"/>
      <c r="C8" s="16" t="n">
        <v>3.2</v>
      </c>
      <c r="D8" s="16" t="n">
        <v>465.844444</v>
      </c>
      <c r="E8" s="16" t="n"/>
      <c r="F8" s="16" t="n"/>
      <c r="G8" s="16" t="n">
        <v>1.2</v>
      </c>
      <c r="H8" s="16" t="n">
        <v>607.419444</v>
      </c>
      <c r="I8" s="16" t="n">
        <v>0.2</v>
      </c>
      <c r="J8" s="16" t="n">
        <v>369.494792</v>
      </c>
      <c r="K8" s="16" t="n">
        <v>1.2</v>
      </c>
      <c r="L8" s="16" t="n">
        <v>287.683333</v>
      </c>
      <c r="M8" s="16" t="n">
        <v>1.2</v>
      </c>
      <c r="N8" s="16" t="n">
        <v>2000</v>
      </c>
      <c r="O8" s="16" t="n">
        <v>0.2</v>
      </c>
      <c r="P8" s="16" t="n">
        <v>9000</v>
      </c>
      <c r="Q8" s="16" t="n">
        <v>1.2</v>
      </c>
      <c r="R8" s="16" t="n">
        <v>450</v>
      </c>
      <c r="S8" s="16" t="n"/>
      <c r="T8" s="16" t="n"/>
      <c r="U8" s="16" t="n">
        <v>1.2</v>
      </c>
      <c r="V8" s="16" t="n">
        <v>0.433333</v>
      </c>
      <c r="W8" s="16" t="n"/>
      <c r="X8" s="16" t="n"/>
      <c r="Y8" s="16" t="n">
        <v>1.2</v>
      </c>
      <c r="Z8" s="16" t="n">
        <v>0.7833329999999999</v>
      </c>
      <c r="AA8" s="16" t="n">
        <v>1.2</v>
      </c>
      <c r="AB8" s="16" t="n">
        <v>0.694444</v>
      </c>
      <c r="AC8" s="16" t="n">
        <v>3.2</v>
      </c>
      <c r="AD8" s="16" t="n">
        <v>0.761111</v>
      </c>
      <c r="AE8" s="16" t="n">
        <v>1.2</v>
      </c>
      <c r="AF8" s="16" t="n">
        <v>0.85</v>
      </c>
      <c r="AG8" s="16" t="n"/>
      <c r="AH8" s="16" t="n"/>
      <c r="AI8" s="16" t="n">
        <v>1.2</v>
      </c>
      <c r="AJ8" s="16" t="n">
        <v>0.772222</v>
      </c>
      <c r="AK8" s="16" t="n">
        <v>1.2</v>
      </c>
      <c r="AL8" s="16" t="n">
        <v>0.7833329999999999</v>
      </c>
      <c r="AN8" s="16" t="n">
        <v>0.75</v>
      </c>
      <c r="AO8" s="16" t="n">
        <v>690.909091</v>
      </c>
      <c r="AQ8" s="16" t="n">
        <v>390</v>
      </c>
      <c r="AR8" s="16" t="n">
        <v>981.818182</v>
      </c>
      <c r="AS8" s="16" t="n">
        <v>434</v>
      </c>
      <c r="AT8" s="16" t="n">
        <v>981.818182</v>
      </c>
      <c r="AU8" s="16" t="n">
        <v>403</v>
      </c>
      <c r="AV8" s="16" t="n">
        <v>545.4545450000001</v>
      </c>
      <c r="AW8" s="16" t="n">
        <v>434</v>
      </c>
      <c r="AX8" s="16" t="n">
        <v>690.909091</v>
      </c>
      <c r="AY8" s="16" t="n">
        <v>434</v>
      </c>
      <c r="AZ8" s="16" t="n">
        <v>1836.363636</v>
      </c>
      <c r="BA8" s="16" t="n">
        <v>380</v>
      </c>
      <c r="BB8" s="16" t="n">
        <v>545.4545450000001</v>
      </c>
      <c r="BD8" s="16" t="n">
        <v>1.2</v>
      </c>
      <c r="BE8" s="16" t="n">
        <v>0.5</v>
      </c>
      <c r="BF8" s="16" t="n">
        <v>1.2</v>
      </c>
      <c r="BG8" s="16" t="n">
        <v>0.5</v>
      </c>
      <c r="BH8" s="16" t="n">
        <v>3.2</v>
      </c>
      <c r="BI8" s="16" t="n">
        <v>0.55</v>
      </c>
      <c r="BJ8" s="16" t="n">
        <v>1.2</v>
      </c>
      <c r="BK8" s="16" t="n">
        <v>0.95</v>
      </c>
      <c r="BL8" s="16" t="n"/>
      <c r="BM8" s="16" t="n"/>
      <c r="BN8" s="16" t="n">
        <v>1.2</v>
      </c>
      <c r="BO8" s="16" t="n">
        <v>0.5</v>
      </c>
      <c r="BP8" s="16" t="n">
        <v>1.2</v>
      </c>
      <c r="BQ8" s="16" t="n">
        <v>0.45</v>
      </c>
      <c r="BR8" s="16" t="n"/>
      <c r="BS8" s="16" t="n"/>
      <c r="BU8" s="16" t="n">
        <v>0.4</v>
      </c>
      <c r="BV8" s="16" t="n">
        <v>0.5</v>
      </c>
      <c r="BW8" s="16" t="n">
        <v>0.7</v>
      </c>
      <c r="BX8" s="16" t="n">
        <v>0.45</v>
      </c>
      <c r="BZ8" s="16" t="n">
        <v>0.4</v>
      </c>
      <c r="CA8" s="16" t="n">
        <v>1709.090909</v>
      </c>
      <c r="CB8" s="16" t="n">
        <v>0.4</v>
      </c>
      <c r="CC8" s="16" t="n">
        <v>690.909091</v>
      </c>
      <c r="CD8" s="16" t="n"/>
      <c r="CE8" s="16" t="n"/>
      <c r="CG8" s="16" t="n"/>
      <c r="CH8" s="16" t="n"/>
      <c r="CI8" s="16" t="n">
        <v>420</v>
      </c>
      <c r="CJ8" s="16" t="n">
        <v>0.95</v>
      </c>
      <c r="CK8" s="16" t="n">
        <v>434</v>
      </c>
      <c r="CL8" s="16" t="n">
        <v>0.95</v>
      </c>
      <c r="CM8" s="16" t="n"/>
      <c r="CN8" s="16" t="n"/>
      <c r="CO8" s="16" t="n"/>
      <c r="CP8" s="16" t="n"/>
      <c r="CR8" s="16" t="n">
        <v>393.75</v>
      </c>
      <c r="CS8" s="16" t="n">
        <v>288.15</v>
      </c>
      <c r="CT8" s="16" t="n">
        <v>534.375</v>
      </c>
      <c r="CU8" s="16" t="n">
        <v>288.15</v>
      </c>
      <c r="CV8" s="16" t="n">
        <v>984.375</v>
      </c>
      <c r="CW8" s="16" t="n">
        <v>288.15</v>
      </c>
      <c r="CX8" s="16" t="n">
        <v>9.606044000000001</v>
      </c>
      <c r="CY8" s="16" t="n">
        <v>288.15</v>
      </c>
      <c r="CZ8" s="16" t="n">
        <v>10.621961</v>
      </c>
      <c r="DA8" s="16" t="n">
        <v>288.15</v>
      </c>
      <c r="DB8" s="16" t="n">
        <v>8.1091</v>
      </c>
      <c r="DC8" s="16" t="n">
        <v>288.15</v>
      </c>
    </row>
    <row r="9">
      <c r="A9" s="16" t="n"/>
      <c r="B9" s="16" t="n"/>
      <c r="C9" s="16" t="n">
        <v>3</v>
      </c>
      <c r="D9" s="16" t="n">
        <v>497.305556</v>
      </c>
      <c r="E9" s="16" t="n"/>
      <c r="F9" s="16" t="n"/>
      <c r="G9" s="16" t="n">
        <v>1</v>
      </c>
      <c r="H9" s="16" t="n">
        <v>355.730556</v>
      </c>
      <c r="I9" s="16" t="n">
        <v>0</v>
      </c>
      <c r="J9" s="16" t="n">
        <v>368.511632</v>
      </c>
      <c r="K9" s="16" t="n">
        <v>1</v>
      </c>
      <c r="L9" s="16" t="n">
        <v>289.95</v>
      </c>
      <c r="M9" s="16" t="n">
        <v>1</v>
      </c>
      <c r="N9" s="16" t="n">
        <v>5000</v>
      </c>
      <c r="O9" s="16" t="n">
        <v>0</v>
      </c>
      <c r="P9" s="16" t="n">
        <v>8000</v>
      </c>
      <c r="Q9" s="16" t="n">
        <v>1</v>
      </c>
      <c r="R9" s="16" t="n">
        <v>600</v>
      </c>
      <c r="S9" s="16" t="n"/>
      <c r="T9" s="16" t="n"/>
      <c r="U9" s="16" t="n">
        <v>1</v>
      </c>
      <c r="V9" s="16" t="n">
        <v>0.633333</v>
      </c>
      <c r="W9" s="16" t="n"/>
      <c r="X9" s="16" t="n"/>
      <c r="Y9" s="16" t="n">
        <v>1</v>
      </c>
      <c r="Z9" s="16" t="n">
        <v>0.816667</v>
      </c>
      <c r="AA9" s="16" t="n">
        <v>1</v>
      </c>
      <c r="AB9" s="16" t="n">
        <v>0.738889</v>
      </c>
      <c r="AC9" s="16" t="n">
        <v>3</v>
      </c>
      <c r="AD9" s="16" t="n">
        <v>0.7833329999999999</v>
      </c>
      <c r="AE9" s="16" t="n"/>
      <c r="AF9" s="16" t="n"/>
      <c r="AG9" s="16" t="n"/>
      <c r="AH9" s="16" t="n"/>
      <c r="AI9" s="16" t="n">
        <v>1</v>
      </c>
      <c r="AJ9" s="16" t="n">
        <v>0.7833329999999999</v>
      </c>
      <c r="AK9" s="16" t="n">
        <v>1</v>
      </c>
      <c r="AL9" s="16" t="n">
        <v>0.772222</v>
      </c>
      <c r="AN9" s="16" t="n">
        <v>0.75</v>
      </c>
      <c r="AO9" s="16" t="n">
        <v>981.818182</v>
      </c>
      <c r="AQ9" s="16" t="n">
        <v>390</v>
      </c>
      <c r="AR9" s="16" t="n">
        <v>1127.272727</v>
      </c>
      <c r="AS9" s="16" t="n">
        <v>434</v>
      </c>
      <c r="AT9" s="16" t="n">
        <v>1418.181818</v>
      </c>
      <c r="AU9" s="16" t="n">
        <v>420</v>
      </c>
      <c r="AV9" s="16" t="n">
        <v>400</v>
      </c>
      <c r="AW9" s="16" t="n">
        <v>434</v>
      </c>
      <c r="AX9" s="16" t="n">
        <v>836.363636</v>
      </c>
      <c r="AY9" s="16" t="n"/>
      <c r="AZ9" s="16" t="n"/>
      <c r="BA9" s="16" t="n">
        <v>380</v>
      </c>
      <c r="BB9" s="16" t="n">
        <v>836.363636</v>
      </c>
      <c r="BD9" s="16" t="n">
        <v>1</v>
      </c>
      <c r="BE9" s="16" t="n">
        <v>0.55</v>
      </c>
      <c r="BF9" s="16" t="n">
        <v>1</v>
      </c>
      <c r="BG9" s="16" t="n">
        <v>0.55</v>
      </c>
      <c r="BH9" s="16" t="n">
        <v>3</v>
      </c>
      <c r="BI9" s="16" t="n">
        <v>0.45</v>
      </c>
      <c r="BJ9" s="16" t="n">
        <v>1</v>
      </c>
      <c r="BK9" s="16" t="n">
        <v>0.85</v>
      </c>
      <c r="BL9" s="16" t="n"/>
      <c r="BM9" s="16" t="n"/>
      <c r="BN9" s="16" t="n">
        <v>1</v>
      </c>
      <c r="BO9" s="16" t="n">
        <v>0.6</v>
      </c>
      <c r="BP9" s="16" t="n">
        <v>1</v>
      </c>
      <c r="BQ9" s="16" t="n">
        <v>0.55</v>
      </c>
      <c r="BR9" s="16" t="n"/>
      <c r="BS9" s="16" t="n"/>
      <c r="BU9" s="16" t="n">
        <v>0.4</v>
      </c>
      <c r="BV9" s="16" t="n">
        <v>0.45</v>
      </c>
      <c r="BW9" s="16" t="n">
        <v>0.7</v>
      </c>
      <c r="BX9" s="16" t="n">
        <v>0.5</v>
      </c>
      <c r="BZ9" s="16" t="n">
        <v>0.4</v>
      </c>
      <c r="CA9" s="16" t="n">
        <v>1854.545455</v>
      </c>
      <c r="CB9" s="16" t="n">
        <v>0.4</v>
      </c>
      <c r="CC9" s="16" t="n">
        <v>836.363636</v>
      </c>
      <c r="CD9" s="16" t="n"/>
      <c r="CE9" s="16" t="n"/>
      <c r="CG9" s="16" t="n"/>
      <c r="CH9" s="16" t="n"/>
      <c r="CI9" s="16" t="n">
        <v>420</v>
      </c>
      <c r="CJ9" s="16" t="n">
        <v>0.85</v>
      </c>
      <c r="CK9" s="16" t="n">
        <v>466</v>
      </c>
      <c r="CL9" s="16" t="n">
        <v>0.9</v>
      </c>
      <c r="CM9" s="16" t="n"/>
      <c r="CN9" s="16" t="n"/>
      <c r="CO9" s="16" t="n"/>
      <c r="CP9" s="16" t="n"/>
      <c r="CR9" s="16" t="n">
        <v>459.375</v>
      </c>
      <c r="CS9" s="16" t="n">
        <v>293.15</v>
      </c>
      <c r="CT9" s="16" t="n">
        <v>618.75</v>
      </c>
      <c r="CU9" s="16" t="n">
        <v>293.15</v>
      </c>
      <c r="CV9" s="16" t="n">
        <v>1115.625</v>
      </c>
      <c r="CW9" s="16" t="n">
        <v>293.15</v>
      </c>
      <c r="CX9" s="16" t="n">
        <v>9.143077</v>
      </c>
      <c r="CY9" s="16" t="n">
        <v>293.15</v>
      </c>
      <c r="CZ9" s="16" t="n">
        <v>9.956823</v>
      </c>
      <c r="DA9" s="16" t="n">
        <v>293.15</v>
      </c>
      <c r="DB9" s="16" t="n">
        <v>7.342092</v>
      </c>
      <c r="DC9" s="16" t="n">
        <v>293.15</v>
      </c>
    </row>
    <row r="10">
      <c r="A10" s="16" t="n"/>
      <c r="B10" s="16" t="n"/>
      <c r="C10" s="16" t="n">
        <v>3.1</v>
      </c>
      <c r="D10" s="16" t="n">
        <v>560.2277779999999</v>
      </c>
      <c r="E10" s="16" t="n"/>
      <c r="F10" s="16" t="n"/>
      <c r="G10" s="16" t="n">
        <v>1.1</v>
      </c>
      <c r="H10" s="16" t="n">
        <v>363.595833</v>
      </c>
      <c r="I10" s="16" t="n">
        <v>0.1</v>
      </c>
      <c r="J10" s="16" t="n">
        <v>600.045747</v>
      </c>
      <c r="K10" s="16" t="n">
        <v>1.1</v>
      </c>
      <c r="L10" s="16" t="n">
        <v>292.216667</v>
      </c>
      <c r="M10" s="16" t="n">
        <v>1.1</v>
      </c>
      <c r="N10" s="16" t="n">
        <v>4000</v>
      </c>
      <c r="O10" s="16" t="n">
        <v>0.1</v>
      </c>
      <c r="P10" s="16" t="n">
        <v>5500</v>
      </c>
      <c r="Q10" s="16" t="n">
        <v>1.1</v>
      </c>
      <c r="R10" s="16" t="n">
        <v>1200</v>
      </c>
      <c r="S10" s="16" t="n"/>
      <c r="T10" s="16" t="n"/>
      <c r="U10" s="16" t="n">
        <v>1.1</v>
      </c>
      <c r="V10" s="16" t="n">
        <v>0.566667</v>
      </c>
      <c r="W10" s="16" t="n"/>
      <c r="X10" s="16" t="n"/>
      <c r="Y10" s="16" t="n">
        <v>1.1</v>
      </c>
      <c r="Z10" s="16" t="n">
        <v>0.8</v>
      </c>
      <c r="AA10" s="16" t="n">
        <v>1.1</v>
      </c>
      <c r="AB10" s="16" t="n">
        <v>0.7166670000000001</v>
      </c>
      <c r="AC10" s="16" t="n">
        <v>3.1</v>
      </c>
      <c r="AD10" s="16" t="n">
        <v>0.805556</v>
      </c>
      <c r="AE10" s="16" t="n"/>
      <c r="AF10" s="16" t="n"/>
      <c r="AG10" s="16" t="n"/>
      <c r="AH10" s="16" t="n"/>
      <c r="AI10" s="16" t="n">
        <v>1.1</v>
      </c>
      <c r="AJ10" s="16" t="n">
        <v>0.794444</v>
      </c>
      <c r="AK10" s="16" t="n">
        <v>1.1</v>
      </c>
      <c r="AL10" s="16" t="n">
        <v>0.794444</v>
      </c>
      <c r="AN10" s="16" t="n">
        <v>0.75</v>
      </c>
      <c r="AO10" s="16" t="n">
        <v>836.363636</v>
      </c>
      <c r="AQ10" s="16" t="n">
        <v>390</v>
      </c>
      <c r="AR10" s="16" t="n">
        <v>690.909091</v>
      </c>
      <c r="AS10" s="16" t="n">
        <v>434</v>
      </c>
      <c r="AT10" s="16" t="n">
        <v>1563.636364</v>
      </c>
      <c r="AU10" s="16" t="n">
        <v>420</v>
      </c>
      <c r="AV10" s="16" t="n">
        <v>545.4545450000001</v>
      </c>
      <c r="AW10" s="16" t="n">
        <v>466</v>
      </c>
      <c r="AX10" s="16" t="n">
        <v>400</v>
      </c>
      <c r="AY10" s="16" t="n"/>
      <c r="AZ10" s="16" t="n"/>
      <c r="BA10" s="16" t="n">
        <v>380</v>
      </c>
      <c r="BB10" s="16" t="n">
        <v>981.818182</v>
      </c>
      <c r="BD10" s="16" t="n">
        <v>1.1</v>
      </c>
      <c r="BE10" s="16" t="n">
        <v>0.6</v>
      </c>
      <c r="BF10" s="16" t="n">
        <v>1.1</v>
      </c>
      <c r="BG10" s="16" t="n">
        <v>0.6</v>
      </c>
      <c r="BH10" s="16" t="n">
        <v>3.1</v>
      </c>
      <c r="BI10" s="16" t="n">
        <v>0.65</v>
      </c>
      <c r="BJ10" s="16" t="n">
        <v>1.1</v>
      </c>
      <c r="BK10" s="16" t="n">
        <v>0.7</v>
      </c>
      <c r="BL10" s="16" t="n"/>
      <c r="BM10" s="16" t="n"/>
      <c r="BN10" s="16" t="n">
        <v>1.1</v>
      </c>
      <c r="BO10" s="16" t="n">
        <v>0.55</v>
      </c>
      <c r="BP10" s="16" t="n">
        <v>1.1</v>
      </c>
      <c r="BQ10" s="16" t="n">
        <v>0.6</v>
      </c>
      <c r="BR10" s="16" t="n"/>
      <c r="BS10" s="16" t="n"/>
      <c r="BU10" s="16" t="n">
        <v>0.4</v>
      </c>
      <c r="BV10" s="16" t="n">
        <v>0.6</v>
      </c>
      <c r="BW10" s="16" t="n">
        <v>0.8</v>
      </c>
      <c r="BX10" s="16" t="n">
        <v>0.4</v>
      </c>
      <c r="BZ10" s="16" t="n">
        <v>0.4</v>
      </c>
      <c r="CA10" s="16" t="n">
        <v>2000</v>
      </c>
      <c r="CB10" s="16" t="n">
        <v>0.4</v>
      </c>
      <c r="CC10" s="16" t="n">
        <v>981.818182</v>
      </c>
      <c r="CD10" s="16" t="n"/>
      <c r="CE10" s="16" t="n"/>
      <c r="CG10" s="16" t="n"/>
      <c r="CH10" s="16" t="n"/>
      <c r="CI10" s="16" t="n"/>
      <c r="CJ10" s="16" t="n"/>
      <c r="CK10" s="16" t="n">
        <v>466</v>
      </c>
      <c r="CL10" s="16" t="n">
        <v>0.85</v>
      </c>
      <c r="CM10" s="16" t="n"/>
      <c r="CN10" s="16" t="n"/>
      <c r="CO10" s="16" t="n"/>
      <c r="CP10" s="16" t="n"/>
      <c r="CR10" s="16" t="n">
        <v>562.5</v>
      </c>
      <c r="CS10" s="16" t="n">
        <v>300.032917</v>
      </c>
      <c r="CT10" s="16" t="n">
        <v>740.625</v>
      </c>
      <c r="CU10" s="16" t="n">
        <v>300.032917</v>
      </c>
      <c r="CV10" s="16" t="n">
        <v>1312.5</v>
      </c>
      <c r="CW10" s="16" t="n">
        <v>300.032917</v>
      </c>
      <c r="CX10" s="16" t="n">
        <v>8.491860000000001</v>
      </c>
      <c r="CY10" s="16" t="n">
        <v>300.032917</v>
      </c>
      <c r="CZ10" s="16" t="n">
        <v>9.114528999999999</v>
      </c>
      <c r="DA10" s="16" t="n">
        <v>300.032917</v>
      </c>
      <c r="DB10" s="16" t="n">
        <v>6.30232</v>
      </c>
      <c r="DC10" s="16" t="n">
        <v>300.032917</v>
      </c>
    </row>
    <row r="11">
      <c r="A11" s="16" t="n"/>
      <c r="B11" s="16" t="n"/>
      <c r="C11" s="16" t="n"/>
      <c r="D11" s="16" t="n"/>
      <c r="E11" s="16" t="n"/>
      <c r="F11" s="16" t="n"/>
      <c r="G11" s="16" t="n">
        <v>1.2</v>
      </c>
      <c r="H11" s="16" t="n">
        <v>603.486806</v>
      </c>
      <c r="I11" s="16" t="n"/>
      <c r="J11" s="16" t="n"/>
      <c r="K11" s="16" t="n">
        <v>1.2</v>
      </c>
      <c r="L11" s="16" t="n">
        <v>294.483333</v>
      </c>
      <c r="M11" s="16" t="n">
        <v>1.2</v>
      </c>
      <c r="N11" s="16" t="n">
        <v>10000</v>
      </c>
      <c r="O11" s="16" t="n">
        <v>0.2</v>
      </c>
      <c r="P11" s="16" t="n">
        <v>9500</v>
      </c>
      <c r="Q11" s="16" t="n">
        <v>1.2</v>
      </c>
      <c r="R11" s="16" t="n">
        <v>1050</v>
      </c>
      <c r="S11" s="16" t="n"/>
      <c r="T11" s="16" t="n"/>
      <c r="U11" s="16" t="n">
        <v>1.2</v>
      </c>
      <c r="V11" s="16" t="n">
        <v>0.7</v>
      </c>
      <c r="W11" s="16" t="n"/>
      <c r="X11" s="16" t="n"/>
      <c r="Y11" s="16" t="n">
        <v>1.2</v>
      </c>
      <c r="Z11" s="16" t="n">
        <v>0.833333</v>
      </c>
      <c r="AA11" s="16" t="n">
        <v>1.2</v>
      </c>
      <c r="AB11" s="16" t="n">
        <v>0.761111</v>
      </c>
      <c r="AC11" s="16" t="n">
        <v>3.2</v>
      </c>
      <c r="AD11" s="16" t="n">
        <v>0.794444</v>
      </c>
      <c r="AE11" s="16" t="n"/>
      <c r="AF11" s="16" t="n"/>
      <c r="AG11" s="16" t="n"/>
      <c r="AH11" s="16" t="n"/>
      <c r="AI11" s="16" t="n">
        <v>1.2</v>
      </c>
      <c r="AJ11" s="16" t="n">
        <v>0.805556</v>
      </c>
      <c r="AK11" s="16" t="n">
        <v>1.2</v>
      </c>
      <c r="AL11" s="16" t="n">
        <v>0.805556</v>
      </c>
      <c r="AN11" s="16" t="n">
        <v>0.75</v>
      </c>
      <c r="AO11" s="16" t="n">
        <v>1127.272727</v>
      </c>
      <c r="AQ11" s="16" t="n">
        <v>390</v>
      </c>
      <c r="AR11" s="16" t="n">
        <v>1272.727273</v>
      </c>
      <c r="AS11" s="16" t="n">
        <v>434</v>
      </c>
      <c r="AT11" s="16" t="n">
        <v>1709.090909</v>
      </c>
      <c r="AU11" s="16" t="n">
        <v>420</v>
      </c>
      <c r="AV11" s="16" t="n">
        <v>690.909091</v>
      </c>
      <c r="AW11" s="16" t="n">
        <v>466</v>
      </c>
      <c r="AX11" s="16" t="n">
        <v>545.4545450000001</v>
      </c>
      <c r="AY11" s="16" t="n"/>
      <c r="AZ11" s="16" t="n"/>
      <c r="BA11" s="16" t="n">
        <v>380</v>
      </c>
      <c r="BB11" s="16" t="n">
        <v>690.909091</v>
      </c>
      <c r="BD11" s="16" t="n">
        <v>1.2</v>
      </c>
      <c r="BE11" s="16" t="n">
        <v>0.65</v>
      </c>
      <c r="BF11" s="16" t="n">
        <v>1.2</v>
      </c>
      <c r="BG11" s="16" t="n">
        <v>0.65</v>
      </c>
      <c r="BH11" s="16" t="n">
        <v>3.2</v>
      </c>
      <c r="BI11" s="16" t="n">
        <v>0.75</v>
      </c>
      <c r="BJ11" s="16" t="n">
        <v>1.2</v>
      </c>
      <c r="BK11" s="16" t="n">
        <v>0.675</v>
      </c>
      <c r="BL11" s="16" t="n"/>
      <c r="BM11" s="16" t="n"/>
      <c r="BN11" s="16" t="n">
        <v>1.2</v>
      </c>
      <c r="BO11" s="16" t="n">
        <v>0.65</v>
      </c>
      <c r="BP11" s="16" t="n">
        <v>1.2</v>
      </c>
      <c r="BQ11" s="16" t="n">
        <v>0.7</v>
      </c>
      <c r="BR11" s="16" t="n"/>
      <c r="BS11" s="16" t="n"/>
      <c r="BU11" s="16" t="n">
        <v>0.4</v>
      </c>
      <c r="BV11" s="16" t="n">
        <v>0.65</v>
      </c>
      <c r="BW11" s="16" t="n">
        <v>0.8</v>
      </c>
      <c r="BX11" s="16" t="n">
        <v>0.45</v>
      </c>
      <c r="BZ11" s="16" t="n">
        <v>0.5</v>
      </c>
      <c r="CA11" s="16" t="n">
        <v>1854.545455</v>
      </c>
      <c r="CB11" s="16" t="n">
        <v>0.4</v>
      </c>
      <c r="CC11" s="16" t="n">
        <v>1127.272727</v>
      </c>
      <c r="CD11" s="16" t="n"/>
      <c r="CE11" s="16" t="n"/>
      <c r="CG11" s="16" t="n"/>
      <c r="CH11" s="16" t="n"/>
      <c r="CI11" s="16" t="n"/>
      <c r="CJ11" s="16" t="n"/>
      <c r="CK11" s="16" t="n">
        <v>466</v>
      </c>
      <c r="CL11" s="16" t="n">
        <v>0.95</v>
      </c>
      <c r="CM11" s="16" t="n"/>
      <c r="CN11" s="16" t="n"/>
      <c r="CO11" s="16" t="n"/>
      <c r="CP11" s="16" t="n"/>
    </row>
    <row r="12">
      <c r="A12" s="16" t="n"/>
      <c r="B12" s="16" t="n"/>
      <c r="C12" s="16" t="n"/>
      <c r="D12" s="16" t="n"/>
      <c r="E12" s="16" t="n"/>
      <c r="F12" s="16" t="n"/>
      <c r="G12" s="16" t="n">
        <v>1</v>
      </c>
      <c r="H12" s="16" t="n">
        <v>367.528472</v>
      </c>
      <c r="I12" s="16" t="n"/>
      <c r="J12" s="16" t="n"/>
      <c r="K12" s="16" t="n">
        <v>1</v>
      </c>
      <c r="L12" s="16" t="n">
        <v>296.75</v>
      </c>
      <c r="M12" s="16" t="n">
        <v>1</v>
      </c>
      <c r="N12" s="16" t="n">
        <v>5250</v>
      </c>
      <c r="O12" s="16" t="n">
        <v>0</v>
      </c>
      <c r="P12" s="16" t="n">
        <v>5437.5</v>
      </c>
      <c r="Q12" s="16" t="n">
        <v>1</v>
      </c>
      <c r="R12" s="16" t="n">
        <v>750</v>
      </c>
      <c r="S12" s="16" t="n"/>
      <c r="T12" s="16" t="n"/>
      <c r="U12" s="16" t="n">
        <v>1</v>
      </c>
      <c r="V12" s="16" t="n">
        <v>0.766667</v>
      </c>
      <c r="W12" s="16" t="n"/>
      <c r="X12" s="16" t="n"/>
      <c r="Y12" s="16" t="n">
        <v>1</v>
      </c>
      <c r="Z12" s="16" t="n">
        <v>0.85</v>
      </c>
      <c r="AA12" s="16" t="n">
        <v>1</v>
      </c>
      <c r="AB12" s="16" t="n">
        <v>0.7833329999999999</v>
      </c>
      <c r="AC12" s="16" t="n">
        <v>3</v>
      </c>
      <c r="AD12" s="16" t="n">
        <v>0.816667</v>
      </c>
      <c r="AE12" s="16" t="n"/>
      <c r="AF12" s="16" t="n"/>
      <c r="AG12" s="16" t="n"/>
      <c r="AH12" s="16" t="n"/>
      <c r="AI12" s="16" t="n">
        <v>1</v>
      </c>
      <c r="AJ12" s="16" t="n">
        <v>0.827778</v>
      </c>
      <c r="AK12" s="16" t="n">
        <v>1</v>
      </c>
      <c r="AL12" s="16" t="n">
        <v>0.816667</v>
      </c>
      <c r="AN12" s="16" t="n">
        <v>0.75</v>
      </c>
      <c r="AO12" s="16" t="n">
        <v>1418.181818</v>
      </c>
      <c r="AQ12" s="16" t="n">
        <v>390</v>
      </c>
      <c r="AR12" s="16" t="n">
        <v>1418.181818</v>
      </c>
      <c r="AS12" s="16" t="n">
        <v>434</v>
      </c>
      <c r="AT12" s="16" t="n">
        <v>1781.818182</v>
      </c>
      <c r="AU12" s="16" t="n">
        <v>390</v>
      </c>
      <c r="AV12" s="16" t="n">
        <v>436.363636</v>
      </c>
      <c r="AW12" s="16" t="n">
        <v>466</v>
      </c>
      <c r="AX12" s="16" t="n">
        <v>690.909091</v>
      </c>
      <c r="AY12" s="16" t="n"/>
      <c r="AZ12" s="16" t="n"/>
      <c r="BA12" s="16" t="n">
        <v>380</v>
      </c>
      <c r="BB12" s="16" t="n">
        <v>1272.727273</v>
      </c>
      <c r="BD12" s="16" t="n">
        <v>1</v>
      </c>
      <c r="BE12" s="16" t="n">
        <v>0.7</v>
      </c>
      <c r="BF12" s="16" t="n">
        <v>1</v>
      </c>
      <c r="BG12" s="16" t="n">
        <v>0.7</v>
      </c>
      <c r="BH12" s="16" t="n">
        <v>3</v>
      </c>
      <c r="BI12" s="16" t="n">
        <v>0.8</v>
      </c>
      <c r="BJ12" s="16" t="n"/>
      <c r="BK12" s="16" t="n"/>
      <c r="BL12" s="16" t="n"/>
      <c r="BM12" s="16" t="n"/>
      <c r="BN12" s="16" t="n">
        <v>1</v>
      </c>
      <c r="BO12" s="16" t="n">
        <v>0.7</v>
      </c>
      <c r="BP12" s="16" t="n">
        <v>1</v>
      </c>
      <c r="BQ12" s="16" t="n">
        <v>0.75</v>
      </c>
      <c r="BR12" s="16" t="n"/>
      <c r="BS12" s="16" t="n"/>
      <c r="BU12" s="16" t="n">
        <v>0.4</v>
      </c>
      <c r="BV12" s="16" t="n">
        <v>0.8</v>
      </c>
      <c r="BW12" s="16" t="n">
        <v>0.8</v>
      </c>
      <c r="BX12" s="16" t="n">
        <v>0.55</v>
      </c>
      <c r="BZ12" s="16" t="n">
        <v>0.5</v>
      </c>
      <c r="CA12" s="16" t="n">
        <v>2000</v>
      </c>
      <c r="CB12" s="16" t="n">
        <v>0.4</v>
      </c>
      <c r="CC12" s="16" t="n">
        <v>1272.727273</v>
      </c>
      <c r="CD12" s="16" t="n"/>
      <c r="CE12" s="16" t="n"/>
      <c r="CG12" s="16" t="n"/>
      <c r="CH12" s="16" t="n"/>
      <c r="CI12" s="16" t="n"/>
      <c r="CJ12" s="16" t="n"/>
      <c r="CK12" s="16" t="n">
        <v>497</v>
      </c>
      <c r="CL12" s="16" t="n">
        <v>0.85</v>
      </c>
      <c r="CM12" s="16" t="n"/>
      <c r="CN12" s="16" t="n"/>
      <c r="CO12" s="16" t="n"/>
      <c r="CP12" s="16" t="n"/>
    </row>
    <row r="13">
      <c r="A13" s="16" t="n"/>
      <c r="B13" s="16" t="n"/>
      <c r="C13" s="16" t="n"/>
      <c r="D13" s="16" t="n"/>
      <c r="E13" s="16" t="n"/>
      <c r="F13" s="16" t="n"/>
      <c r="G13" s="16" t="n">
        <v>1.1</v>
      </c>
      <c r="H13" s="16" t="n">
        <v>601.520486</v>
      </c>
      <c r="I13" s="16" t="n"/>
      <c r="J13" s="16" t="n"/>
      <c r="K13" s="16" t="n">
        <v>1.1</v>
      </c>
      <c r="L13" s="16" t="n">
        <v>299.016667</v>
      </c>
      <c r="M13" s="16" t="n">
        <v>1.1</v>
      </c>
      <c r="N13" s="16" t="n">
        <v>9750</v>
      </c>
      <c r="O13" s="16" t="n">
        <v>0.1</v>
      </c>
      <c r="P13" s="16" t="n">
        <v>9562.5</v>
      </c>
      <c r="Q13" s="16" t="n">
        <v>1.1</v>
      </c>
      <c r="R13" s="16" t="n">
        <v>900</v>
      </c>
      <c r="S13" s="16" t="n"/>
      <c r="T13" s="16" t="n"/>
      <c r="U13" s="16" t="n">
        <v>1.1</v>
      </c>
      <c r="V13" s="16" t="n">
        <v>0.833333</v>
      </c>
      <c r="W13" s="16" t="n"/>
      <c r="X13" s="16" t="n"/>
      <c r="Y13" s="16" t="n">
        <v>1.1</v>
      </c>
      <c r="Z13" s="16" t="n">
        <v>0.866667</v>
      </c>
      <c r="AA13" s="16" t="n">
        <v>1.1</v>
      </c>
      <c r="AB13" s="16" t="n">
        <v>0.805556</v>
      </c>
      <c r="AC13" s="16" t="n"/>
      <c r="AD13" s="16" t="n"/>
      <c r="AE13" s="16" t="n"/>
      <c r="AF13" s="16" t="n"/>
      <c r="AG13" s="16" t="n"/>
      <c r="AH13" s="16" t="n"/>
      <c r="AI13" s="16" t="n">
        <v>1.1</v>
      </c>
      <c r="AJ13" s="16" t="n">
        <v>0.838889</v>
      </c>
      <c r="AK13" s="16" t="n">
        <v>1.1</v>
      </c>
      <c r="AL13" s="16" t="n">
        <v>0.827778</v>
      </c>
      <c r="AN13" s="16" t="n">
        <v>0.75</v>
      </c>
      <c r="AO13" s="16" t="n">
        <v>1272.727273</v>
      </c>
      <c r="AQ13" s="16" t="n">
        <v>390</v>
      </c>
      <c r="AR13" s="16" t="n">
        <v>1563.636364</v>
      </c>
      <c r="AS13" s="16" t="n">
        <v>434</v>
      </c>
      <c r="AT13" s="16" t="n">
        <v>945.4545450000001</v>
      </c>
      <c r="AU13" s="16" t="n">
        <v>390</v>
      </c>
      <c r="AV13" s="16" t="n">
        <v>436.363636</v>
      </c>
      <c r="AW13" s="16" t="n">
        <v>466</v>
      </c>
      <c r="AX13" s="16" t="n">
        <v>836.363636</v>
      </c>
      <c r="AY13" s="16" t="n"/>
      <c r="AZ13" s="16" t="n"/>
      <c r="BA13" s="16" t="n">
        <v>380</v>
      </c>
      <c r="BB13" s="16" t="n">
        <v>1418.181818</v>
      </c>
      <c r="BD13" s="16" t="n">
        <v>1.1</v>
      </c>
      <c r="BE13" s="16" t="n">
        <v>0.75</v>
      </c>
      <c r="BF13" s="16" t="n">
        <v>1.1</v>
      </c>
      <c r="BG13" s="16" t="n">
        <v>0.75</v>
      </c>
      <c r="BH13" s="16" t="n">
        <v>3.1</v>
      </c>
      <c r="BI13" s="16" t="n">
        <v>0.725</v>
      </c>
      <c r="BJ13" s="16" t="n"/>
      <c r="BK13" s="16" t="n"/>
      <c r="BL13" s="16" t="n"/>
      <c r="BM13" s="16" t="n"/>
      <c r="BN13" s="16" t="n">
        <v>1.1</v>
      </c>
      <c r="BO13" s="16" t="n">
        <v>0.75</v>
      </c>
      <c r="BP13" s="16" t="n">
        <v>1.1</v>
      </c>
      <c r="BQ13" s="16" t="n">
        <v>0.65</v>
      </c>
      <c r="BR13" s="16" t="n"/>
      <c r="BS13" s="16" t="n"/>
      <c r="BU13" s="16" t="n">
        <v>0.4</v>
      </c>
      <c r="BV13" s="16" t="n">
        <v>0.85</v>
      </c>
      <c r="BW13" s="16" t="n">
        <v>0.8</v>
      </c>
      <c r="BX13" s="16" t="n">
        <v>0.6</v>
      </c>
      <c r="BZ13" s="16" t="n">
        <v>0.4</v>
      </c>
      <c r="CA13" s="16" t="n">
        <v>1345.454545</v>
      </c>
      <c r="CB13" s="16" t="n">
        <v>0.5</v>
      </c>
      <c r="CC13" s="16" t="n">
        <v>545.4545450000001</v>
      </c>
      <c r="CD13" s="16" t="n"/>
      <c r="CE13" s="16" t="n"/>
      <c r="CG13" s="16" t="n"/>
      <c r="CH13" s="16" t="n"/>
      <c r="CI13" s="16" t="n"/>
      <c r="CJ13" s="16" t="n"/>
      <c r="CK13" s="16" t="n">
        <v>497</v>
      </c>
      <c r="CL13" s="16" t="n">
        <v>0.95</v>
      </c>
      <c r="CM13" s="16" t="n"/>
      <c r="CN13" s="16" t="n"/>
      <c r="CO13" s="16" t="n"/>
      <c r="CP13" s="16" t="n"/>
    </row>
    <row r="14">
      <c r="A14" s="16" t="n"/>
      <c r="B14" s="16" t="n"/>
      <c r="C14" s="16" t="n"/>
      <c r="D14" s="16" t="n"/>
      <c r="E14" s="16" t="n"/>
      <c r="F14" s="16" t="n"/>
      <c r="G14" s="16" t="n">
        <v>1.2</v>
      </c>
      <c r="H14" s="16" t="n">
        <v>600.537326</v>
      </c>
      <c r="I14" s="16" t="n"/>
      <c r="J14" s="16" t="n"/>
      <c r="K14" s="16" t="n">
        <v>1.2</v>
      </c>
      <c r="L14" s="16" t="n">
        <v>301.283333</v>
      </c>
      <c r="M14" s="16" t="n">
        <v>1.2</v>
      </c>
      <c r="N14" s="16" t="n">
        <v>5375</v>
      </c>
      <c r="O14" s="16" t="n">
        <v>0.2</v>
      </c>
      <c r="P14" s="16" t="n">
        <v>9593.75</v>
      </c>
      <c r="Q14" s="16" t="n">
        <v>1.2</v>
      </c>
      <c r="R14" s="16" t="n">
        <v>1350</v>
      </c>
      <c r="S14" s="16" t="n"/>
      <c r="T14" s="16" t="n"/>
      <c r="U14" s="16" t="n">
        <v>1.2</v>
      </c>
      <c r="V14" s="16" t="n">
        <v>0.9</v>
      </c>
      <c r="W14" s="16" t="n"/>
      <c r="X14" s="16" t="n"/>
      <c r="Y14" s="16" t="n">
        <v>1.2</v>
      </c>
      <c r="Z14" s="16" t="n">
        <v>0.883333</v>
      </c>
      <c r="AA14" s="16" t="n">
        <v>1.2</v>
      </c>
      <c r="AB14" s="16" t="n">
        <v>0.85</v>
      </c>
      <c r="AC14" s="16" t="n"/>
      <c r="AD14" s="16" t="n"/>
      <c r="AE14" s="16" t="n"/>
      <c r="AF14" s="16" t="n"/>
      <c r="AG14" s="16" t="n"/>
      <c r="AH14" s="16" t="n"/>
      <c r="AI14" s="16" t="n">
        <v>1.2</v>
      </c>
      <c r="AJ14" s="16" t="n">
        <v>0.816667</v>
      </c>
      <c r="AK14" s="16" t="n">
        <v>1.2</v>
      </c>
      <c r="AL14" s="16" t="n">
        <v>0.838889</v>
      </c>
      <c r="AN14" s="16" t="n">
        <v>0.75</v>
      </c>
      <c r="AO14" s="16" t="n">
        <v>1709.090909</v>
      </c>
      <c r="AQ14" s="16" t="n">
        <v>390</v>
      </c>
      <c r="AR14" s="16" t="n">
        <v>1709.090909</v>
      </c>
      <c r="AS14" s="16" t="n">
        <v>434</v>
      </c>
      <c r="AT14" s="16" t="n">
        <v>945.4545450000001</v>
      </c>
      <c r="AU14" s="16" t="n">
        <v>420</v>
      </c>
      <c r="AV14" s="16" t="n">
        <v>727.272727</v>
      </c>
      <c r="AW14" s="16" t="n">
        <v>466</v>
      </c>
      <c r="AX14" s="16" t="n">
        <v>981.818182</v>
      </c>
      <c r="AY14" s="16" t="n"/>
      <c r="AZ14" s="16" t="n"/>
      <c r="BA14" s="16" t="n">
        <v>380</v>
      </c>
      <c r="BB14" s="16" t="n">
        <v>1563.636364</v>
      </c>
      <c r="BD14" s="16" t="n">
        <v>1.2</v>
      </c>
      <c r="BE14" s="16" t="n">
        <v>0.8</v>
      </c>
      <c r="BF14" s="16" t="n">
        <v>1.2</v>
      </c>
      <c r="BG14" s="16" t="n">
        <v>0.8</v>
      </c>
      <c r="BH14" s="16" t="n">
        <v>3.2</v>
      </c>
      <c r="BI14" s="16" t="n">
        <v>0.475</v>
      </c>
      <c r="BJ14" s="16" t="n"/>
      <c r="BK14" s="16" t="n"/>
      <c r="BL14" s="16" t="n"/>
      <c r="BM14" s="16" t="n"/>
      <c r="BN14" s="16" t="n">
        <v>1.2</v>
      </c>
      <c r="BO14" s="16" t="n">
        <v>0.85</v>
      </c>
      <c r="BP14" s="16" t="n">
        <v>1.2</v>
      </c>
      <c r="BQ14" s="16" t="n">
        <v>0.8</v>
      </c>
      <c r="BR14" s="16" t="n"/>
      <c r="BS14" s="16" t="n"/>
      <c r="BU14" s="16" t="n">
        <v>0.4</v>
      </c>
      <c r="BV14" s="16" t="n">
        <v>0.7</v>
      </c>
      <c r="BW14" s="16" t="n">
        <v>0.8</v>
      </c>
      <c r="BX14" s="16" t="n">
        <v>0.5</v>
      </c>
      <c r="BZ14" s="16" t="n">
        <v>0.4</v>
      </c>
      <c r="CA14" s="16" t="n">
        <v>1345.454545</v>
      </c>
      <c r="CB14" s="16" t="n">
        <v>0.5</v>
      </c>
      <c r="CC14" s="16" t="n">
        <v>690.909091</v>
      </c>
      <c r="CD14" s="16" t="n"/>
      <c r="CE14" s="16" t="n"/>
      <c r="CG14" s="16" t="n"/>
      <c r="CH14" s="16" t="n"/>
      <c r="CI14" s="16" t="n"/>
      <c r="CJ14" s="16" t="n"/>
      <c r="CK14" s="16" t="n">
        <v>529</v>
      </c>
      <c r="CL14" s="16" t="n">
        <v>0.85</v>
      </c>
      <c r="CM14" s="16" t="n"/>
      <c r="CN14" s="16" t="n"/>
      <c r="CO14" s="16" t="n"/>
      <c r="CP14" s="16" t="n"/>
    </row>
    <row r="15">
      <c r="A15" s="16" t="n"/>
      <c r="B15" s="16" t="n"/>
      <c r="C15" s="16" t="n"/>
      <c r="D15" s="16" t="n"/>
      <c r="E15" s="16" t="n"/>
      <c r="F15" s="16" t="n"/>
      <c r="G15" s="16" t="n">
        <v>1</v>
      </c>
      <c r="H15" s="16" t="n">
        <v>368.020052</v>
      </c>
      <c r="I15" s="16" t="n"/>
      <c r="J15" s="16" t="n"/>
      <c r="K15" s="16" t="n">
        <v>1</v>
      </c>
      <c r="L15" s="16" t="n">
        <v>303.55</v>
      </c>
      <c r="M15" s="16" t="n">
        <v>1</v>
      </c>
      <c r="N15" s="16" t="n">
        <v>9625</v>
      </c>
      <c r="O15" s="16" t="n">
        <v>0</v>
      </c>
      <c r="P15" s="16" t="n">
        <v>5421.875</v>
      </c>
      <c r="Q15" s="16" t="n">
        <v>1</v>
      </c>
      <c r="R15" s="16" t="n">
        <v>1500</v>
      </c>
      <c r="S15" s="16" t="n"/>
      <c r="T15" s="16" t="n"/>
      <c r="U15" s="16" t="n">
        <v>1</v>
      </c>
      <c r="V15" s="16" t="n">
        <v>0.333333</v>
      </c>
      <c r="W15" s="16" t="n"/>
      <c r="X15" s="16" t="n"/>
      <c r="Y15" s="16" t="n">
        <v>1</v>
      </c>
      <c r="Z15" s="16" t="n">
        <v>0.9</v>
      </c>
      <c r="AA15" s="16" t="n">
        <v>1</v>
      </c>
      <c r="AB15" s="16" t="n">
        <v>0.827778</v>
      </c>
      <c r="AC15" s="16" t="n"/>
      <c r="AD15" s="16" t="n"/>
      <c r="AE15" s="16" t="n"/>
      <c r="AF15" s="16" t="n"/>
      <c r="AG15" s="16" t="n"/>
      <c r="AH15" s="16" t="n"/>
      <c r="AI15" s="16" t="n">
        <v>1</v>
      </c>
      <c r="AJ15" s="16" t="n">
        <v>0.85</v>
      </c>
      <c r="AK15" s="16" t="n">
        <v>1</v>
      </c>
      <c r="AL15" s="16" t="n">
        <v>0.85</v>
      </c>
      <c r="AN15" s="16" t="n">
        <v>0.75</v>
      </c>
      <c r="AO15" s="16" t="n">
        <v>1563.636364</v>
      </c>
      <c r="AQ15" s="16" t="n">
        <v>390</v>
      </c>
      <c r="AR15" s="16" t="n">
        <v>1854.545455</v>
      </c>
      <c r="AS15" s="16" t="n">
        <v>434</v>
      </c>
      <c r="AT15" s="16" t="n">
        <v>1818.181818</v>
      </c>
      <c r="AU15" s="16" t="n">
        <v>420</v>
      </c>
      <c r="AV15" s="16" t="n">
        <v>727.272727</v>
      </c>
      <c r="AW15" s="16" t="n">
        <v>466</v>
      </c>
      <c r="AX15" s="16" t="n">
        <v>1127.272727</v>
      </c>
      <c r="AY15" s="16" t="n"/>
      <c r="AZ15" s="16" t="n"/>
      <c r="BA15" s="16" t="n">
        <v>380</v>
      </c>
      <c r="BB15" s="16" t="n">
        <v>1854.545455</v>
      </c>
      <c r="BD15" s="16" t="n">
        <v>1</v>
      </c>
      <c r="BE15" s="16" t="n">
        <v>0.85</v>
      </c>
      <c r="BF15" s="16" t="n">
        <v>1</v>
      </c>
      <c r="BG15" s="16" t="n">
        <v>0.85</v>
      </c>
      <c r="BH15" s="16" t="n">
        <v>3</v>
      </c>
      <c r="BI15" s="16" t="n">
        <v>0.525</v>
      </c>
      <c r="BJ15" s="16" t="n"/>
      <c r="BK15" s="16" t="n"/>
      <c r="BL15" s="16" t="n"/>
      <c r="BM15" s="16" t="n"/>
      <c r="BN15" s="16" t="n">
        <v>1</v>
      </c>
      <c r="BO15" s="16" t="n">
        <v>0.8</v>
      </c>
      <c r="BP15" s="16" t="n">
        <v>1</v>
      </c>
      <c r="BQ15" s="16" t="n">
        <v>0.85</v>
      </c>
      <c r="BR15" s="16" t="n"/>
      <c r="BS15" s="16" t="n"/>
      <c r="BU15" s="16" t="n">
        <v>0.4</v>
      </c>
      <c r="BV15" s="16" t="n">
        <v>0.75</v>
      </c>
      <c r="BW15" s="16" t="n">
        <v>0.8</v>
      </c>
      <c r="BX15" s="16" t="n">
        <v>0.65</v>
      </c>
      <c r="BZ15" s="16" t="n">
        <v>0.5</v>
      </c>
      <c r="CA15" s="16" t="n">
        <v>1781.818182</v>
      </c>
      <c r="CB15" s="16" t="n">
        <v>0.5</v>
      </c>
      <c r="CC15" s="16" t="n">
        <v>981.818182</v>
      </c>
      <c r="CD15" s="16" t="n"/>
      <c r="CE15" s="16" t="n"/>
      <c r="CG15" s="16" t="n"/>
      <c r="CH15" s="16" t="n"/>
      <c r="CI15" s="16" t="n"/>
      <c r="CJ15" s="16" t="n"/>
      <c r="CK15" s="16" t="n">
        <v>529</v>
      </c>
      <c r="CL15" s="16" t="n">
        <v>0.95</v>
      </c>
      <c r="CM15" s="16" t="n"/>
      <c r="CN15" s="16" t="n"/>
      <c r="CO15" s="16" t="n"/>
      <c r="CP15" s="16" t="n"/>
    </row>
    <row r="16">
      <c r="A16" s="16" t="n"/>
      <c r="B16" s="16" t="n"/>
      <c r="C16" s="16" t="n"/>
      <c r="D16" s="16" t="n"/>
      <c r="E16" s="16" t="n"/>
      <c r="F16" s="16" t="n"/>
      <c r="G16" s="16" t="n"/>
      <c r="H16" s="16" t="n"/>
      <c r="I16" s="16" t="n"/>
      <c r="J16" s="16" t="n"/>
      <c r="K16" s="16" t="n"/>
      <c r="L16" s="16" t="n"/>
      <c r="M16" s="16" t="n">
        <v>1.1</v>
      </c>
      <c r="N16" s="16" t="n">
        <v>5406.25</v>
      </c>
      <c r="O16" s="16" t="n">
        <v>0.1</v>
      </c>
      <c r="P16" s="16" t="n">
        <v>9609.375</v>
      </c>
      <c r="Q16" s="16" t="n"/>
      <c r="R16" s="16" t="n"/>
      <c r="S16" s="16" t="n"/>
      <c r="T16" s="16" t="n"/>
      <c r="U16" s="16" t="n">
        <v>1.1</v>
      </c>
      <c r="V16" s="16" t="n">
        <v>0.325</v>
      </c>
      <c r="W16" s="16" t="n"/>
      <c r="X16" s="16" t="n"/>
      <c r="Y16" s="16" t="n"/>
      <c r="Z16" s="16" t="n"/>
      <c r="AA16" s="16" t="n"/>
      <c r="AB16" s="16" t="n"/>
      <c r="AC16" s="16" t="n"/>
      <c r="AD16" s="16" t="n"/>
      <c r="AE16" s="16" t="n"/>
      <c r="AF16" s="16" t="n"/>
      <c r="AG16" s="16" t="n"/>
      <c r="AH16" s="16" t="n"/>
      <c r="AI16" s="16" t="n"/>
      <c r="AJ16" s="16" t="n"/>
      <c r="AK16" s="16" t="n"/>
      <c r="AL16" s="16" t="n"/>
      <c r="AN16" s="16" t="n">
        <v>0.75</v>
      </c>
      <c r="AO16" s="16" t="n">
        <v>1854.545455</v>
      </c>
      <c r="AQ16" s="16" t="n">
        <v>390</v>
      </c>
      <c r="AR16" s="16" t="n">
        <v>2000</v>
      </c>
      <c r="AS16" s="16" t="n">
        <v>434</v>
      </c>
      <c r="AT16" s="16" t="n">
        <v>1827.272727</v>
      </c>
      <c r="AU16" s="16" t="n">
        <v>403</v>
      </c>
      <c r="AV16" s="16" t="n">
        <v>554.5454549999999</v>
      </c>
      <c r="AW16" s="16" t="n">
        <v>466</v>
      </c>
      <c r="AX16" s="16" t="n">
        <v>1272.727273</v>
      </c>
      <c r="AY16" s="16" t="n"/>
      <c r="AZ16" s="16" t="n"/>
      <c r="BA16" s="16" t="n">
        <v>380</v>
      </c>
      <c r="BB16" s="16" t="n">
        <v>1709.090909</v>
      </c>
      <c r="BD16" s="16" t="n">
        <v>1.1</v>
      </c>
      <c r="BE16" s="16" t="n">
        <v>0.9</v>
      </c>
      <c r="BF16" s="16" t="n">
        <v>1.1</v>
      </c>
      <c r="BG16" s="16" t="n">
        <v>0.9</v>
      </c>
      <c r="BH16" s="16" t="n">
        <v>3.1</v>
      </c>
      <c r="BI16" s="16" t="n">
        <v>0.8125</v>
      </c>
      <c r="BJ16" s="16" t="n"/>
      <c r="BK16" s="16" t="n"/>
      <c r="BL16" s="16" t="n"/>
      <c r="BM16" s="16" t="n"/>
      <c r="BN16" s="16" t="n">
        <v>1.1</v>
      </c>
      <c r="BO16" s="16" t="n">
        <v>0.9</v>
      </c>
      <c r="BP16" s="16" t="n"/>
      <c r="BQ16" s="16" t="n"/>
      <c r="BR16" s="16" t="n"/>
      <c r="BS16" s="16" t="n"/>
      <c r="BU16" s="16" t="n">
        <v>0.4</v>
      </c>
      <c r="BV16" s="16" t="n">
        <v>0.9</v>
      </c>
      <c r="BW16" s="16" t="n">
        <v>0.8</v>
      </c>
      <c r="BX16" s="16" t="n">
        <v>0.7</v>
      </c>
      <c r="BZ16" s="16" t="n">
        <v>0.5</v>
      </c>
      <c r="CA16" s="16" t="n">
        <v>1781.818182</v>
      </c>
      <c r="CB16" s="16" t="n">
        <v>0.5</v>
      </c>
      <c r="CC16" s="16" t="n">
        <v>1127.272727</v>
      </c>
      <c r="CD16" s="16" t="n"/>
      <c r="CE16" s="16" t="n"/>
      <c r="CG16" s="16" t="n"/>
      <c r="CH16" s="16" t="n"/>
      <c r="CI16" s="16" t="n"/>
      <c r="CJ16" s="16" t="n"/>
      <c r="CK16" s="16" t="n">
        <v>529</v>
      </c>
      <c r="CL16" s="16" t="n">
        <v>0.9</v>
      </c>
      <c r="CM16" s="16" t="n"/>
      <c r="CN16" s="16" t="n"/>
      <c r="CO16" s="16" t="n"/>
      <c r="CP16" s="16" t="n"/>
    </row>
    <row r="17">
      <c r="A17" s="16" t="n"/>
      <c r="B17" s="16" t="n"/>
      <c r="C17" s="16" t="n"/>
      <c r="D17" s="16" t="n"/>
      <c r="E17" s="16" t="n"/>
      <c r="F17" s="16" t="n"/>
      <c r="G17" s="16" t="n"/>
      <c r="H17" s="16" t="n"/>
      <c r="I17" s="16" t="n"/>
      <c r="J17" s="16" t="n"/>
      <c r="K17" s="16" t="n"/>
      <c r="L17" s="16" t="n"/>
      <c r="M17" s="16" t="n"/>
      <c r="N17" s="16" t="n"/>
      <c r="O17" s="16" t="n">
        <v>0.2</v>
      </c>
      <c r="P17" s="16" t="n">
        <v>5414.0625</v>
      </c>
      <c r="Q17" s="16" t="n"/>
      <c r="R17" s="16" t="n"/>
      <c r="S17" s="16" t="n"/>
      <c r="T17" s="16" t="n"/>
      <c r="U17" s="16" t="n">
        <v>1.2</v>
      </c>
      <c r="V17" s="16" t="n">
        <v>0.320833</v>
      </c>
      <c r="W17" s="16" t="n"/>
      <c r="X17" s="16" t="n"/>
      <c r="Y17" s="16" t="n"/>
      <c r="Z17" s="16" t="n"/>
      <c r="AA17" s="16" t="n"/>
      <c r="AB17" s="16" t="n"/>
      <c r="AC17" s="16" t="n"/>
      <c r="AD17" s="16" t="n"/>
      <c r="AE17" s="16" t="n"/>
      <c r="AF17" s="16" t="n"/>
      <c r="AG17" s="16" t="n"/>
      <c r="AH17" s="16" t="n"/>
      <c r="AI17" s="16" t="n"/>
      <c r="AJ17" s="16" t="n"/>
      <c r="AK17" s="16" t="n"/>
      <c r="AL17" s="16" t="n"/>
      <c r="AN17" s="16" t="n">
        <v>0.75</v>
      </c>
      <c r="AO17" s="16" t="n">
        <v>2000</v>
      </c>
      <c r="AQ17" s="16" t="n">
        <v>403</v>
      </c>
      <c r="AR17" s="16" t="n">
        <v>690.909091</v>
      </c>
      <c r="AS17" s="16" t="n"/>
      <c r="AT17" s="16" t="n"/>
      <c r="AU17" s="16" t="n">
        <v>403</v>
      </c>
      <c r="AV17" s="16" t="n">
        <v>554.5454549999999</v>
      </c>
      <c r="AW17" s="16" t="n">
        <v>466</v>
      </c>
      <c r="AX17" s="16" t="n">
        <v>1418.181818</v>
      </c>
      <c r="AY17" s="16" t="n"/>
      <c r="AZ17" s="16" t="n"/>
      <c r="BA17" s="16" t="n">
        <v>380</v>
      </c>
      <c r="BB17" s="16" t="n">
        <v>2000</v>
      </c>
      <c r="BD17" s="16" t="n">
        <v>1.2</v>
      </c>
      <c r="BE17" s="16" t="n">
        <v>0.95</v>
      </c>
      <c r="BF17" s="16" t="n">
        <v>1.2</v>
      </c>
      <c r="BG17" s="16" t="n">
        <v>0.95</v>
      </c>
      <c r="BH17" s="16" t="n">
        <v>3.2</v>
      </c>
      <c r="BI17" s="16" t="n">
        <v>0.7125</v>
      </c>
      <c r="BJ17" s="16" t="n"/>
      <c r="BK17" s="16" t="n"/>
      <c r="BL17" s="16" t="n"/>
      <c r="BM17" s="16" t="n"/>
      <c r="BN17" s="16" t="n">
        <v>1.2</v>
      </c>
      <c r="BO17" s="16" t="n">
        <v>0.95</v>
      </c>
      <c r="BP17" s="16" t="n"/>
      <c r="BQ17" s="16" t="n"/>
      <c r="BR17" s="16" t="n"/>
      <c r="BS17" s="16" t="n"/>
      <c r="BU17" s="16" t="n">
        <v>0.4</v>
      </c>
      <c r="BV17" s="16" t="n">
        <v>0.95</v>
      </c>
      <c r="BW17" s="16" t="n">
        <v>0.8</v>
      </c>
      <c r="BX17" s="16" t="n">
        <v>0.95</v>
      </c>
      <c r="BZ17" s="16" t="n">
        <v>0.5</v>
      </c>
      <c r="CA17" s="16" t="n">
        <v>1745.454545</v>
      </c>
      <c r="CB17" s="16" t="n">
        <v>0.5</v>
      </c>
      <c r="CC17" s="16" t="n">
        <v>1418.181818</v>
      </c>
      <c r="CD17" s="16" t="n"/>
      <c r="CE17" s="16" t="n"/>
      <c r="CG17" s="16" t="n"/>
      <c r="CH17" s="16" t="n"/>
      <c r="CI17" s="16" t="n"/>
      <c r="CJ17" s="16" t="n"/>
      <c r="CK17" s="16" t="n">
        <v>560</v>
      </c>
      <c r="CL17" s="16" t="n">
        <v>0.85</v>
      </c>
      <c r="CM17" s="16" t="n"/>
      <c r="CN17" s="16" t="n"/>
      <c r="CO17" s="16" t="n"/>
      <c r="CP17" s="16" t="n"/>
    </row>
    <row r="18">
      <c r="A18" s="16" t="n"/>
      <c r="B18" s="16" t="n"/>
      <c r="C18" s="16" t="n"/>
      <c r="D18" s="16" t="n"/>
      <c r="E18" s="16" t="n"/>
      <c r="F18" s="16" t="n"/>
      <c r="G18" s="16" t="n"/>
      <c r="H18" s="16" t="n"/>
      <c r="I18" s="16" t="n"/>
      <c r="J18" s="16" t="n"/>
      <c r="K18" s="16" t="n"/>
      <c r="L18" s="16" t="n"/>
      <c r="M18" s="16" t="n"/>
      <c r="N18" s="16" t="n"/>
      <c r="O18" s="16" t="n">
        <v>0</v>
      </c>
      <c r="P18" s="16" t="n">
        <v>9617.1875</v>
      </c>
      <c r="Q18" s="16" t="n"/>
      <c r="R18" s="16" t="n"/>
      <c r="S18" s="16" t="n"/>
      <c r="T18" s="16" t="n"/>
      <c r="U18" s="16" t="n"/>
      <c r="V18" s="16" t="n"/>
      <c r="W18" s="16" t="n"/>
      <c r="X18" s="16" t="n"/>
      <c r="Y18" s="16" t="n"/>
      <c r="Z18" s="16" t="n"/>
      <c r="AA18" s="16" t="n"/>
      <c r="AB18" s="16" t="n"/>
      <c r="AC18" s="16" t="n"/>
      <c r="AD18" s="16" t="n"/>
      <c r="AE18" s="16" t="n"/>
      <c r="AF18" s="16" t="n"/>
      <c r="AG18" s="16" t="n"/>
      <c r="AH18" s="16" t="n"/>
      <c r="AI18" s="16" t="n"/>
      <c r="AJ18" s="16" t="n"/>
      <c r="AK18" s="16" t="n"/>
      <c r="AL18" s="16" t="n"/>
      <c r="AN18" s="16" t="n">
        <v>0.78</v>
      </c>
      <c r="AO18" s="16" t="n">
        <v>400</v>
      </c>
      <c r="AQ18" s="16" t="n">
        <v>403</v>
      </c>
      <c r="AR18" s="16" t="n">
        <v>836.363636</v>
      </c>
      <c r="AS18" s="16" t="n"/>
      <c r="AT18" s="16" t="n"/>
      <c r="AU18" s="16" t="n"/>
      <c r="AV18" s="16" t="n"/>
      <c r="AW18" s="16" t="n">
        <v>466</v>
      </c>
      <c r="AX18" s="16" t="n">
        <v>1563.636364</v>
      </c>
      <c r="AY18" s="16" t="n"/>
      <c r="AZ18" s="16" t="n"/>
      <c r="BA18" s="16" t="n"/>
      <c r="BB18" s="16" t="n"/>
      <c r="BD18" s="16" t="n"/>
      <c r="BE18" s="16" t="n"/>
      <c r="BF18" s="16" t="n"/>
      <c r="BG18" s="16" t="n"/>
      <c r="BH18" s="16" t="n">
        <v>3</v>
      </c>
      <c r="BI18" s="16" t="n">
        <v>0.6625</v>
      </c>
      <c r="BJ18" s="16" t="n"/>
      <c r="BK18" s="16" t="n"/>
      <c r="BL18" s="16" t="n"/>
      <c r="BM18" s="16" t="n"/>
      <c r="BN18" s="16" t="n"/>
      <c r="BO18" s="16" t="n"/>
      <c r="BP18" s="16" t="n"/>
      <c r="BQ18" s="16" t="n"/>
      <c r="BR18" s="16" t="n"/>
      <c r="BS18" s="16" t="n"/>
      <c r="BU18" s="16" t="n">
        <v>0.5</v>
      </c>
      <c r="BV18" s="16" t="n">
        <v>0.45</v>
      </c>
      <c r="BW18" s="16" t="n"/>
      <c r="BX18" s="16" t="n"/>
      <c r="BZ18" s="16" t="n">
        <v>0.5</v>
      </c>
      <c r="CA18" s="16" t="n">
        <v>1745.454545</v>
      </c>
      <c r="CB18" s="16" t="n">
        <v>0.5</v>
      </c>
      <c r="CC18" s="16" t="n">
        <v>1272.727273</v>
      </c>
      <c r="CD18" s="16" t="n"/>
      <c r="CE18" s="16" t="n"/>
      <c r="CG18" s="16" t="n"/>
      <c r="CH18" s="16" t="n"/>
      <c r="CI18" s="16" t="n"/>
      <c r="CJ18" s="16" t="n"/>
      <c r="CK18" s="16" t="n">
        <v>560</v>
      </c>
      <c r="CL18" s="16" t="n">
        <v>0.95</v>
      </c>
      <c r="CM18" s="16" t="n"/>
      <c r="CN18" s="16" t="n"/>
      <c r="CO18" s="16" t="n"/>
      <c r="CP18" s="16" t="n"/>
    </row>
    <row r="19">
      <c r="AN19" s="16" t="n">
        <v>0.78</v>
      </c>
      <c r="AO19" s="16" t="n">
        <v>545.4545450000001</v>
      </c>
      <c r="AQ19" s="16" t="n">
        <v>403</v>
      </c>
      <c r="AR19" s="16" t="n">
        <v>981.818182</v>
      </c>
      <c r="AS19" s="16" t="n"/>
      <c r="AT19" s="16" t="n"/>
      <c r="AU19" s="16" t="n"/>
      <c r="AV19" s="16" t="n"/>
      <c r="AW19" s="16" t="n">
        <v>466</v>
      </c>
      <c r="AX19" s="16" t="n">
        <v>1709.090909</v>
      </c>
      <c r="AY19" s="16" t="n"/>
      <c r="AZ19" s="16" t="n"/>
      <c r="BA19" s="16" t="n"/>
      <c r="BB19" s="16" t="n"/>
      <c r="BD19" s="16" t="n"/>
      <c r="BE19" s="16" t="n"/>
      <c r="BF19" s="16" t="n"/>
      <c r="BG19" s="16" t="n"/>
      <c r="BH19" s="16" t="n">
        <v>3.1</v>
      </c>
      <c r="BI19" s="16" t="n">
        <v>0.5125</v>
      </c>
      <c r="BJ19" s="16" t="n"/>
      <c r="BK19" s="16" t="n"/>
      <c r="BL19" s="16" t="n"/>
      <c r="BM19" s="16" t="n"/>
      <c r="BN19" s="16" t="n"/>
      <c r="BO19" s="16" t="n"/>
      <c r="BP19" s="16" t="n"/>
      <c r="BQ19" s="16" t="n"/>
      <c r="BR19" s="16" t="n"/>
      <c r="BS19" s="16" t="n"/>
      <c r="BU19" s="16" t="n">
        <v>0.5</v>
      </c>
      <c r="BV19" s="16" t="n">
        <v>0.5</v>
      </c>
      <c r="BW19" s="16" t="n"/>
      <c r="BX19" s="16" t="n"/>
      <c r="BZ19" s="16" t="n">
        <v>0.4</v>
      </c>
      <c r="CA19" s="16" t="n">
        <v>1327.272727</v>
      </c>
      <c r="CB19" s="16" t="n">
        <v>0.5</v>
      </c>
      <c r="CC19" s="16" t="n">
        <v>1563.636364</v>
      </c>
      <c r="CD19" s="16" t="n"/>
      <c r="CE19" s="16" t="n"/>
      <c r="CG19" s="16" t="n"/>
      <c r="CH19" s="16" t="n"/>
      <c r="CI19" s="16" t="n"/>
      <c r="CJ19" s="16" t="n"/>
      <c r="CK19" s="16" t="n">
        <v>560</v>
      </c>
      <c r="CL19" s="16" t="n">
        <v>0.9</v>
      </c>
      <c r="CM19" s="16" t="n"/>
      <c r="CN19" s="16" t="n"/>
      <c r="CO19" s="16" t="n"/>
      <c r="CP19" s="16" t="n"/>
    </row>
    <row r="20">
      <c r="AN20" s="16" t="n">
        <v>0.78</v>
      </c>
      <c r="AO20" s="16" t="n">
        <v>690.909091</v>
      </c>
      <c r="AQ20" s="16" t="n">
        <v>403</v>
      </c>
      <c r="AR20" s="16" t="n">
        <v>1127.272727</v>
      </c>
      <c r="AS20" s="16" t="n"/>
      <c r="AT20" s="16" t="n"/>
      <c r="AU20" s="16" t="n"/>
      <c r="AV20" s="16" t="n"/>
      <c r="AW20" s="16" t="n">
        <v>466</v>
      </c>
      <c r="AX20" s="16" t="n">
        <v>1854.545455</v>
      </c>
      <c r="AY20" s="16" t="n"/>
      <c r="AZ20" s="16" t="n"/>
      <c r="BA20" s="16" t="n"/>
      <c r="BB20" s="16" t="n"/>
      <c r="BD20" s="16" t="n"/>
      <c r="BE20" s="16" t="n"/>
      <c r="BF20" s="16" t="n"/>
      <c r="BG20" s="16" t="n"/>
      <c r="BH20" s="16" t="n">
        <v>3.2</v>
      </c>
      <c r="BI20" s="16" t="n">
        <v>0.4875</v>
      </c>
      <c r="BJ20" s="16" t="n"/>
      <c r="BK20" s="16" t="n"/>
      <c r="BL20" s="16" t="n"/>
      <c r="BM20" s="16" t="n"/>
      <c r="BN20" s="16" t="n"/>
      <c r="BO20" s="16" t="n"/>
      <c r="BP20" s="16" t="n"/>
      <c r="BQ20" s="16" t="n"/>
      <c r="BR20" s="16" t="n"/>
      <c r="BS20" s="16" t="n"/>
      <c r="BU20" s="16" t="n">
        <v>0.5</v>
      </c>
      <c r="BV20" s="16" t="n">
        <v>0.4</v>
      </c>
      <c r="BW20" s="16" t="n"/>
      <c r="BX20" s="16" t="n"/>
      <c r="BZ20" s="16" t="n">
        <v>0.4</v>
      </c>
      <c r="CA20" s="16" t="n">
        <v>1327.272727</v>
      </c>
      <c r="CB20" s="16" t="n">
        <v>0.5</v>
      </c>
      <c r="CC20" s="16" t="n">
        <v>1709.090909</v>
      </c>
      <c r="CD20" s="16" t="n"/>
      <c r="CE20" s="16" t="n"/>
    </row>
    <row r="21">
      <c r="AN21" s="16" t="n">
        <v>0.78</v>
      </c>
      <c r="AO21" s="16" t="n">
        <v>1127.272727</v>
      </c>
      <c r="AQ21" s="16" t="n">
        <v>403</v>
      </c>
      <c r="AR21" s="16" t="n">
        <v>1272.727273</v>
      </c>
      <c r="AS21" s="16" t="n"/>
      <c r="AT21" s="16" t="n"/>
      <c r="AU21" s="16" t="n"/>
      <c r="AV21" s="16" t="n"/>
      <c r="AW21" s="16" t="n">
        <v>466</v>
      </c>
      <c r="AX21" s="16" t="n">
        <v>2000</v>
      </c>
      <c r="AY21" s="16" t="n"/>
      <c r="AZ21" s="16" t="n"/>
      <c r="BA21" s="16" t="n"/>
      <c r="BB21" s="16" t="n"/>
      <c r="BD21" s="16" t="n"/>
      <c r="BE21" s="16" t="n"/>
      <c r="BF21" s="16" t="n"/>
      <c r="BG21" s="16" t="n"/>
      <c r="BH21" s="16" t="n">
        <v>3</v>
      </c>
      <c r="BI21" s="16" t="n">
        <v>0.81875</v>
      </c>
      <c r="BJ21" s="16" t="n"/>
      <c r="BK21" s="16" t="n"/>
      <c r="BL21" s="16" t="n"/>
      <c r="BM21" s="16" t="n"/>
      <c r="BN21" s="16" t="n"/>
      <c r="BO21" s="16" t="n"/>
      <c r="BP21" s="16" t="n"/>
      <c r="BQ21" s="16" t="n"/>
      <c r="BR21" s="16" t="n"/>
      <c r="BS21" s="16" t="n"/>
      <c r="BU21" s="16" t="n">
        <v>0.5</v>
      </c>
      <c r="BV21" s="16" t="n">
        <v>0.6</v>
      </c>
      <c r="BW21" s="16" t="n"/>
      <c r="BX21" s="16" t="n"/>
      <c r="BZ21" s="16" t="n">
        <v>0.4</v>
      </c>
      <c r="CA21" s="16" t="n">
        <v>1318.181818</v>
      </c>
      <c r="CB21" s="16" t="n">
        <v>0.6</v>
      </c>
      <c r="CC21" s="16" t="n">
        <v>400</v>
      </c>
      <c r="CD21" s="16" t="n"/>
      <c r="CE21" s="16" t="n"/>
    </row>
    <row r="22">
      <c r="AN22" s="16" t="n">
        <v>0.78</v>
      </c>
      <c r="AO22" s="16" t="n">
        <v>836.363636</v>
      </c>
      <c r="AQ22" s="16" t="n">
        <v>403</v>
      </c>
      <c r="AR22" s="16" t="n">
        <v>1418.181818</v>
      </c>
      <c r="AS22" s="16" t="n"/>
      <c r="AT22" s="16" t="n"/>
      <c r="AU22" s="16" t="n"/>
      <c r="AV22" s="16" t="n"/>
      <c r="AW22" s="16" t="n">
        <v>497</v>
      </c>
      <c r="AX22" s="16" t="n">
        <v>400</v>
      </c>
      <c r="AY22" s="16" t="n"/>
      <c r="AZ22" s="16" t="n"/>
      <c r="BA22" s="16" t="n"/>
      <c r="BB22" s="16" t="n"/>
      <c r="BD22" s="16" t="n"/>
      <c r="BE22" s="16" t="n"/>
      <c r="BF22" s="16" t="n"/>
      <c r="BG22" s="16" t="n"/>
      <c r="BH22" s="16" t="n">
        <v>3.1</v>
      </c>
      <c r="BI22" s="16" t="n">
        <v>0.70625</v>
      </c>
      <c r="BJ22" s="16" t="n"/>
      <c r="BK22" s="16" t="n"/>
      <c r="BL22" s="16" t="n"/>
      <c r="BM22" s="16" t="n"/>
      <c r="BN22" s="16" t="n"/>
      <c r="BO22" s="16" t="n"/>
      <c r="BP22" s="16" t="n"/>
      <c r="BQ22" s="16" t="n"/>
      <c r="BR22" s="16" t="n"/>
      <c r="BS22" s="16" t="n"/>
      <c r="BU22" s="16" t="n">
        <v>0.5</v>
      </c>
      <c r="BV22" s="16" t="n">
        <v>0.55</v>
      </c>
      <c r="BW22" s="16" t="n"/>
      <c r="BX22" s="16" t="n"/>
      <c r="BZ22" s="16" t="n">
        <v>0.4</v>
      </c>
      <c r="CA22" s="16" t="n">
        <v>1318.181818</v>
      </c>
      <c r="CB22" s="16" t="n">
        <v>0.6</v>
      </c>
      <c r="CC22" s="16" t="n">
        <v>545.4545450000001</v>
      </c>
      <c r="CD22" s="16" t="n"/>
      <c r="CE22" s="16" t="n"/>
    </row>
    <row r="23">
      <c r="AN23" s="16" t="n">
        <v>0.78</v>
      </c>
      <c r="AO23" s="16" t="n">
        <v>981.818182</v>
      </c>
      <c r="AQ23" s="16" t="n">
        <v>403</v>
      </c>
      <c r="AR23" s="16" t="n">
        <v>1854.545455</v>
      </c>
      <c r="AS23" s="16" t="n"/>
      <c r="AT23" s="16" t="n"/>
      <c r="AU23" s="16" t="n"/>
      <c r="AV23" s="16" t="n"/>
      <c r="AW23" s="16" t="n">
        <v>497</v>
      </c>
      <c r="AX23" s="16" t="n">
        <v>545.4545450000001</v>
      </c>
      <c r="AY23" s="16" t="n"/>
      <c r="AZ23" s="16" t="n"/>
      <c r="BA23" s="16" t="n"/>
      <c r="BB23" s="16" t="n"/>
      <c r="BD23" s="16" t="n"/>
      <c r="BE23" s="16" t="n"/>
      <c r="BF23" s="16" t="n"/>
      <c r="BG23" s="16" t="n"/>
      <c r="BH23" s="16" t="n">
        <v>3.2</v>
      </c>
      <c r="BI23" s="16" t="n">
        <v>0.66875</v>
      </c>
      <c r="BJ23" s="16" t="n"/>
      <c r="BK23" s="16" t="n"/>
      <c r="BL23" s="16" t="n"/>
      <c r="BM23" s="16" t="n"/>
      <c r="BN23" s="16" t="n"/>
      <c r="BO23" s="16" t="n"/>
      <c r="BP23" s="16" t="n"/>
      <c r="BQ23" s="16" t="n"/>
      <c r="BR23" s="16" t="n"/>
      <c r="BS23" s="16" t="n"/>
      <c r="BU23" s="16" t="n">
        <v>0.5</v>
      </c>
      <c r="BV23" s="16" t="n">
        <v>0.65</v>
      </c>
      <c r="BW23" s="16" t="n"/>
      <c r="BX23" s="16" t="n"/>
      <c r="BZ23" s="16" t="n">
        <v>0.5</v>
      </c>
      <c r="CA23" s="16" t="n">
        <v>1736.363636</v>
      </c>
      <c r="CB23" s="16" t="n">
        <v>0.6</v>
      </c>
      <c r="CC23" s="16" t="n">
        <v>690.909091</v>
      </c>
      <c r="CD23" s="16" t="n"/>
      <c r="CE23" s="16" t="n"/>
    </row>
    <row r="24">
      <c r="AN24" s="16" t="n">
        <v>0.78</v>
      </c>
      <c r="AO24" s="16" t="n">
        <v>1272.727273</v>
      </c>
      <c r="AQ24" s="16" t="n">
        <v>403</v>
      </c>
      <c r="AR24" s="16" t="n">
        <v>1709.090909</v>
      </c>
      <c r="AS24" s="16" t="n"/>
      <c r="AT24" s="16" t="n"/>
      <c r="AU24" s="16" t="n"/>
      <c r="AV24" s="16" t="n"/>
      <c r="AW24" s="16" t="n">
        <v>497</v>
      </c>
      <c r="AX24" s="16" t="n">
        <v>690.909091</v>
      </c>
      <c r="AY24" s="16" t="n"/>
      <c r="AZ24" s="16" t="n"/>
      <c r="BA24" s="16" t="n"/>
      <c r="BB24" s="16" t="n"/>
      <c r="BD24" s="16" t="n"/>
      <c r="BE24" s="16" t="n"/>
      <c r="BF24" s="16" t="n"/>
      <c r="BG24" s="16" t="n"/>
      <c r="BH24" s="16" t="n">
        <v>3</v>
      </c>
      <c r="BI24" s="16" t="n">
        <v>0.50625</v>
      </c>
      <c r="BJ24" s="16" t="n"/>
      <c r="BK24" s="16" t="n"/>
      <c r="BL24" s="16" t="n"/>
      <c r="BM24" s="16" t="n"/>
      <c r="BN24" s="16" t="n"/>
      <c r="BO24" s="16" t="n"/>
      <c r="BP24" s="16" t="n"/>
      <c r="BQ24" s="16" t="n"/>
      <c r="BR24" s="16" t="n"/>
      <c r="BS24" s="16" t="n"/>
      <c r="BU24" s="16" t="n">
        <v>0.5</v>
      </c>
      <c r="BV24" s="16" t="n">
        <v>0.7</v>
      </c>
      <c r="BW24" s="16" t="n"/>
      <c r="BX24" s="16" t="n"/>
      <c r="BZ24" s="16" t="n">
        <v>0.5</v>
      </c>
      <c r="CA24" s="16" t="n">
        <v>1736.363636</v>
      </c>
      <c r="CB24" s="16" t="n">
        <v>0.6</v>
      </c>
      <c r="CC24" s="16" t="n">
        <v>836.363636</v>
      </c>
      <c r="CD24" s="16" t="n"/>
      <c r="CE24" s="16" t="n"/>
    </row>
    <row r="25">
      <c r="AN25" s="16" t="n">
        <v>0.78</v>
      </c>
      <c r="AO25" s="16" t="n">
        <v>1418.181818</v>
      </c>
      <c r="AQ25" s="16" t="n">
        <v>403</v>
      </c>
      <c r="AR25" s="16" t="n">
        <v>1563.636364</v>
      </c>
      <c r="AS25" s="16" t="n"/>
      <c r="AT25" s="16" t="n"/>
      <c r="AU25" s="16" t="n"/>
      <c r="AV25" s="16" t="n"/>
      <c r="AW25" s="16" t="n">
        <v>497</v>
      </c>
      <c r="AX25" s="16" t="n">
        <v>836.363636</v>
      </c>
      <c r="AY25" s="16" t="n"/>
      <c r="AZ25" s="16" t="n"/>
      <c r="BA25" s="16" t="n"/>
      <c r="BB25" s="16" t="n"/>
      <c r="BD25" s="16" t="n"/>
      <c r="BE25" s="16" t="n"/>
      <c r="BF25" s="16" t="n"/>
      <c r="BG25" s="16" t="n"/>
      <c r="BH25" s="16" t="n">
        <v>3.1</v>
      </c>
      <c r="BI25" s="16" t="n">
        <v>0.49375</v>
      </c>
      <c r="BJ25" s="16" t="n"/>
      <c r="BK25" s="16" t="n"/>
      <c r="BL25" s="16" t="n"/>
      <c r="BM25" s="16" t="n"/>
      <c r="BN25" s="16" t="n"/>
      <c r="BO25" s="16" t="n"/>
      <c r="BP25" s="16" t="n"/>
      <c r="BQ25" s="16" t="n"/>
      <c r="BR25" s="16" t="n"/>
      <c r="BS25" s="16" t="n"/>
      <c r="BU25" s="16" t="n">
        <v>0.5</v>
      </c>
      <c r="BV25" s="16" t="n">
        <v>0.75</v>
      </c>
      <c r="BW25" s="16" t="n"/>
      <c r="BX25" s="16" t="n"/>
      <c r="BZ25" s="16" t="n"/>
      <c r="CA25" s="16" t="n"/>
      <c r="CB25" s="16" t="n">
        <v>0.6</v>
      </c>
      <c r="CC25" s="16" t="n">
        <v>981.818182</v>
      </c>
      <c r="CD25" s="16" t="n"/>
      <c r="CE25" s="16" t="n"/>
    </row>
    <row r="26">
      <c r="AN26" s="16" t="n">
        <v>0.78</v>
      </c>
      <c r="AO26" s="16" t="n">
        <v>1563.636364</v>
      </c>
      <c r="AQ26" s="16" t="n">
        <v>403</v>
      </c>
      <c r="AR26" s="16" t="n">
        <v>2000</v>
      </c>
      <c r="AS26" s="16" t="n"/>
      <c r="AT26" s="16" t="n"/>
      <c r="AU26" s="16" t="n"/>
      <c r="AV26" s="16" t="n"/>
      <c r="AW26" s="16" t="n">
        <v>497</v>
      </c>
      <c r="AX26" s="16" t="n">
        <v>981.818182</v>
      </c>
      <c r="AY26" s="16" t="n"/>
      <c r="AZ26" s="16" t="n"/>
      <c r="BA26" s="16" t="n"/>
      <c r="BB26" s="16" t="n"/>
      <c r="BD26" s="16" t="n"/>
      <c r="BE26" s="16" t="n"/>
      <c r="BF26" s="16" t="n"/>
      <c r="BG26" s="16" t="n"/>
      <c r="BH26" s="16" t="n">
        <v>3.2</v>
      </c>
      <c r="BI26" s="16" t="n">
        <v>0.703125</v>
      </c>
      <c r="BJ26" s="16" t="n"/>
      <c r="BK26" s="16" t="n"/>
      <c r="BL26" s="16" t="n"/>
      <c r="BM26" s="16" t="n"/>
      <c r="BN26" s="16" t="n"/>
      <c r="BO26" s="16" t="n"/>
      <c r="BP26" s="16" t="n"/>
      <c r="BQ26" s="16" t="n"/>
      <c r="BR26" s="16" t="n"/>
      <c r="BS26" s="16" t="n"/>
      <c r="BU26" s="16" t="n">
        <v>0.5</v>
      </c>
      <c r="BV26" s="16" t="n">
        <v>0.85</v>
      </c>
      <c r="BW26" s="16" t="n"/>
      <c r="BX26" s="16" t="n"/>
      <c r="BZ26" s="16" t="n"/>
      <c r="CA26" s="16" t="n"/>
      <c r="CB26" s="16" t="n">
        <v>0.6</v>
      </c>
      <c r="CC26" s="16" t="n">
        <v>1127.272727</v>
      </c>
      <c r="CD26" s="16" t="n"/>
      <c r="CE26" s="16" t="n"/>
    </row>
    <row r="27">
      <c r="AN27" s="16" t="n">
        <v>0.78</v>
      </c>
      <c r="AO27" s="16" t="n">
        <v>1854.545455</v>
      </c>
      <c r="AQ27" s="16" t="n">
        <v>420</v>
      </c>
      <c r="AR27" s="16" t="n">
        <v>836.363636</v>
      </c>
      <c r="AS27" s="16" t="n"/>
      <c r="AT27" s="16" t="n"/>
      <c r="AU27" s="16" t="n"/>
      <c r="AV27" s="16" t="n"/>
      <c r="AW27" s="16" t="n">
        <v>497</v>
      </c>
      <c r="AX27" s="16" t="n">
        <v>1127.272727</v>
      </c>
      <c r="AY27" s="16" t="n"/>
      <c r="AZ27" s="16" t="n"/>
      <c r="BA27" s="16" t="n"/>
      <c r="BB27" s="16" t="n"/>
      <c r="BD27" s="16" t="n"/>
      <c r="BE27" s="16" t="n"/>
      <c r="BF27" s="16" t="n"/>
      <c r="BG27" s="16" t="n"/>
      <c r="BH27" s="16" t="n">
        <v>3</v>
      </c>
      <c r="BI27" s="16" t="n">
        <v>0.671875</v>
      </c>
      <c r="BJ27" s="16" t="n"/>
      <c r="BK27" s="16" t="n"/>
      <c r="BL27" s="16" t="n"/>
      <c r="BM27" s="16" t="n"/>
      <c r="BN27" s="16" t="n"/>
      <c r="BO27" s="16" t="n"/>
      <c r="BP27" s="16" t="n"/>
      <c r="BQ27" s="16" t="n"/>
      <c r="BR27" s="16" t="n"/>
      <c r="BS27" s="16" t="n"/>
      <c r="BU27" s="16" t="n">
        <v>0.5</v>
      </c>
      <c r="BV27" s="16" t="n">
        <v>0.9</v>
      </c>
      <c r="BW27" s="16" t="n"/>
      <c r="BX27" s="16" t="n"/>
      <c r="BZ27" s="16" t="n"/>
      <c r="CA27" s="16" t="n"/>
      <c r="CB27" s="16" t="n">
        <v>0.6</v>
      </c>
      <c r="CC27" s="16" t="n">
        <v>1272.727273</v>
      </c>
      <c r="CD27" s="16" t="n"/>
      <c r="CE27" s="16" t="n"/>
    </row>
    <row r="28">
      <c r="AN28" s="16" t="n">
        <v>0.78</v>
      </c>
      <c r="AO28" s="16" t="n">
        <v>1709.090909</v>
      </c>
      <c r="AQ28" s="16" t="n">
        <v>420</v>
      </c>
      <c r="AR28" s="16" t="n">
        <v>1127.272727</v>
      </c>
      <c r="AS28" s="16" t="n"/>
      <c r="AT28" s="16" t="n"/>
      <c r="AU28" s="16" t="n"/>
      <c r="AV28" s="16" t="n"/>
      <c r="AW28" s="16" t="n">
        <v>497</v>
      </c>
      <c r="AX28" s="16" t="n">
        <v>1272.727273</v>
      </c>
      <c r="AY28" s="16" t="n"/>
      <c r="AZ28" s="16" t="n"/>
      <c r="BA28" s="16" t="n"/>
      <c r="BB28" s="16" t="n"/>
      <c r="BD28" s="16" t="n"/>
      <c r="BE28" s="16" t="n"/>
      <c r="BF28" s="16" t="n"/>
      <c r="BG28" s="16" t="n"/>
      <c r="BH28" s="16" t="n">
        <v>3.1</v>
      </c>
      <c r="BI28" s="16" t="n">
        <v>0.503125</v>
      </c>
      <c r="BJ28" s="16" t="n"/>
      <c r="BK28" s="16" t="n"/>
      <c r="BL28" s="16" t="n"/>
      <c r="BM28" s="16" t="n"/>
      <c r="BN28" s="16" t="n"/>
      <c r="BO28" s="16" t="n"/>
      <c r="BP28" s="16" t="n"/>
      <c r="BQ28" s="16" t="n"/>
      <c r="BR28" s="16" t="n"/>
      <c r="BS28" s="16" t="n"/>
      <c r="BU28" s="16" t="n">
        <v>0.5</v>
      </c>
      <c r="BV28" s="16" t="n">
        <v>0.95</v>
      </c>
      <c r="BW28" s="16" t="n"/>
      <c r="BX28" s="16" t="n"/>
      <c r="BZ28" s="16" t="n"/>
      <c r="CA28" s="16" t="n"/>
      <c r="CB28" s="16" t="n">
        <v>0.6</v>
      </c>
      <c r="CC28" s="16" t="n">
        <v>1418.181818</v>
      </c>
      <c r="CD28" s="16" t="n"/>
      <c r="CE28" s="16" t="n"/>
    </row>
    <row r="29">
      <c r="AN29" s="16" t="n">
        <v>0.78</v>
      </c>
      <c r="AO29" s="16" t="n">
        <v>2000</v>
      </c>
      <c r="AQ29" s="16" t="n">
        <v>420</v>
      </c>
      <c r="AR29" s="16" t="n">
        <v>981.818182</v>
      </c>
      <c r="AS29" s="16" t="n"/>
      <c r="AT29" s="16" t="n"/>
      <c r="AU29" s="16" t="n"/>
      <c r="AV29" s="16" t="n"/>
      <c r="AW29" s="16" t="n">
        <v>497</v>
      </c>
      <c r="AX29" s="16" t="n">
        <v>1418.181818</v>
      </c>
      <c r="AY29" s="16" t="n"/>
      <c r="AZ29" s="16" t="n"/>
      <c r="BA29" s="16" t="n"/>
      <c r="BB29" s="16" t="n"/>
      <c r="BD29" s="16" t="n"/>
      <c r="BE29" s="16" t="n"/>
      <c r="BF29" s="16" t="n"/>
      <c r="BG29" s="16" t="n"/>
      <c r="BH29" s="16" t="n">
        <v>3.2</v>
      </c>
      <c r="BI29" s="16" t="n">
        <v>0.496875</v>
      </c>
      <c r="BJ29" s="16" t="n"/>
      <c r="BK29" s="16" t="n"/>
      <c r="BL29" s="16" t="n"/>
      <c r="BM29" s="16" t="n"/>
      <c r="BN29" s="16" t="n"/>
      <c r="BO29" s="16" t="n"/>
      <c r="BP29" s="16" t="n"/>
      <c r="BQ29" s="16" t="n"/>
      <c r="BR29" s="16" t="n"/>
      <c r="BS29" s="16" t="n"/>
      <c r="BU29" s="16" t="n">
        <v>0.6</v>
      </c>
      <c r="BV29" s="16" t="n">
        <v>0.4</v>
      </c>
      <c r="BW29" s="16" t="n"/>
      <c r="BX29" s="16" t="n"/>
      <c r="BZ29" s="16" t="n"/>
      <c r="CA29" s="16" t="n"/>
      <c r="CB29" s="16" t="n">
        <v>0.6</v>
      </c>
      <c r="CC29" s="16" t="n">
        <v>1563.636364</v>
      </c>
      <c r="CD29" s="16" t="n"/>
      <c r="CE29" s="16" t="n"/>
    </row>
    <row r="30">
      <c r="AN30" s="16" t="n">
        <v>0.8100000000000001</v>
      </c>
      <c r="AO30" s="16" t="n">
        <v>400</v>
      </c>
      <c r="AQ30" s="16" t="n">
        <v>420</v>
      </c>
      <c r="AR30" s="16" t="n">
        <v>1272.727273</v>
      </c>
      <c r="AS30" s="16" t="n"/>
      <c r="AT30" s="16" t="n"/>
      <c r="AU30" s="16" t="n"/>
      <c r="AV30" s="16" t="n"/>
      <c r="AW30" s="16" t="n">
        <v>497</v>
      </c>
      <c r="AX30" s="16" t="n">
        <v>1563.636364</v>
      </c>
      <c r="AY30" s="16" t="n"/>
      <c r="AZ30" s="16" t="n"/>
      <c r="BA30" s="16" t="n"/>
      <c r="BB30" s="16" t="n"/>
      <c r="BU30" s="16" t="n">
        <v>0.6</v>
      </c>
      <c r="BV30" s="16" t="n">
        <v>0.45</v>
      </c>
      <c r="BW30" s="16" t="n"/>
      <c r="BX30" s="16" t="n"/>
      <c r="BZ30" s="16" t="n"/>
      <c r="CA30" s="16" t="n"/>
      <c r="CB30" s="16" t="n">
        <v>0.6</v>
      </c>
      <c r="CC30" s="16" t="n">
        <v>1709.090909</v>
      </c>
      <c r="CD30" s="16" t="n"/>
      <c r="CE30" s="16" t="n"/>
    </row>
    <row r="31">
      <c r="AN31" s="16" t="n">
        <v>0.8100000000000001</v>
      </c>
      <c r="AO31" s="16" t="n">
        <v>545.4545450000001</v>
      </c>
      <c r="AQ31" s="16" t="n">
        <v>420</v>
      </c>
      <c r="AR31" s="16" t="n">
        <v>1418.181818</v>
      </c>
      <c r="AS31" s="16" t="n"/>
      <c r="AT31" s="16" t="n"/>
      <c r="AU31" s="16" t="n"/>
      <c r="AV31" s="16" t="n"/>
      <c r="AW31" s="16" t="n">
        <v>497</v>
      </c>
      <c r="AX31" s="16" t="n">
        <v>1709.090909</v>
      </c>
      <c r="AY31" s="16" t="n"/>
      <c r="AZ31" s="16" t="n"/>
      <c r="BA31" s="16" t="n"/>
      <c r="BB31" s="16" t="n"/>
      <c r="BU31" s="16" t="n">
        <v>0.6</v>
      </c>
      <c r="BV31" s="16" t="n">
        <v>0.5</v>
      </c>
      <c r="BW31" s="16" t="n"/>
      <c r="BX31" s="16" t="n"/>
      <c r="BZ31" s="16" t="n"/>
      <c r="CA31" s="16" t="n"/>
      <c r="CB31" s="16" t="n">
        <v>0.6</v>
      </c>
      <c r="CC31" s="16" t="n">
        <v>1854.545455</v>
      </c>
      <c r="CD31" s="16" t="n"/>
      <c r="CE31" s="16" t="n"/>
    </row>
    <row r="32">
      <c r="AN32" s="16" t="n">
        <v>0.8100000000000001</v>
      </c>
      <c r="AO32" s="16" t="n">
        <v>690.909091</v>
      </c>
      <c r="AQ32" s="16" t="n">
        <v>420</v>
      </c>
      <c r="AR32" s="16" t="n">
        <v>1563.636364</v>
      </c>
      <c r="AS32" s="16" t="n"/>
      <c r="AT32" s="16" t="n"/>
      <c r="AU32" s="16" t="n"/>
      <c r="AV32" s="16" t="n"/>
      <c r="AW32" s="16" t="n">
        <v>497</v>
      </c>
      <c r="AX32" s="16" t="n">
        <v>1854.545455</v>
      </c>
      <c r="AY32" s="16" t="n"/>
      <c r="AZ32" s="16" t="n"/>
      <c r="BA32" s="16" t="n"/>
      <c r="BB32" s="16" t="n"/>
      <c r="BU32" s="16" t="n">
        <v>0.6</v>
      </c>
      <c r="BV32" s="16" t="n">
        <v>0.55</v>
      </c>
      <c r="BW32" s="16" t="n"/>
      <c r="BX32" s="16" t="n"/>
      <c r="BZ32" s="16" t="n"/>
      <c r="CA32" s="16" t="n"/>
      <c r="CB32" s="16" t="n">
        <v>0.6</v>
      </c>
      <c r="CC32" s="16" t="n">
        <v>2000</v>
      </c>
      <c r="CD32" s="16" t="n"/>
      <c r="CE32" s="16" t="n"/>
    </row>
    <row r="33">
      <c r="AN33" s="16" t="n">
        <v>0.8100000000000001</v>
      </c>
      <c r="AO33" s="16" t="n">
        <v>836.363636</v>
      </c>
      <c r="AQ33" s="16" t="n">
        <v>420</v>
      </c>
      <c r="AR33" s="16" t="n">
        <v>1709.090909</v>
      </c>
      <c r="AS33" s="16" t="n"/>
      <c r="AT33" s="16" t="n"/>
      <c r="AU33" s="16" t="n"/>
      <c r="AV33" s="16" t="n"/>
      <c r="AW33" s="16" t="n">
        <v>529</v>
      </c>
      <c r="AX33" s="16" t="n">
        <v>400</v>
      </c>
      <c r="AY33" s="16" t="n"/>
      <c r="AZ33" s="16" t="n"/>
      <c r="BA33" s="16" t="n"/>
      <c r="BB33" s="16" t="n"/>
      <c r="BU33" s="16" t="n">
        <v>0.6</v>
      </c>
      <c r="BV33" s="16" t="n">
        <v>0.6</v>
      </c>
      <c r="BW33" s="16" t="n"/>
      <c r="BX33" s="16" t="n"/>
      <c r="BZ33" s="16" t="n"/>
      <c r="CA33" s="16" t="n"/>
      <c r="CB33" s="16" t="n">
        <v>0.7</v>
      </c>
      <c r="CC33" s="16" t="n">
        <v>400</v>
      </c>
      <c r="CD33" s="16" t="n"/>
      <c r="CE33" s="16" t="n"/>
    </row>
    <row r="34">
      <c r="AN34" s="16" t="n">
        <v>0.8100000000000001</v>
      </c>
      <c r="AO34" s="16" t="n">
        <v>981.818182</v>
      </c>
      <c r="AQ34" s="16" t="n">
        <v>420</v>
      </c>
      <c r="AR34" s="16" t="n">
        <v>1854.545455</v>
      </c>
      <c r="AS34" s="16" t="n"/>
      <c r="AT34" s="16" t="n"/>
      <c r="AU34" s="16" t="n"/>
      <c r="AV34" s="16" t="n"/>
      <c r="AW34" s="16" t="n">
        <v>497</v>
      </c>
      <c r="AX34" s="16" t="n">
        <v>2000</v>
      </c>
      <c r="AY34" s="16" t="n"/>
      <c r="AZ34" s="16" t="n"/>
      <c r="BA34" s="16" t="n"/>
      <c r="BB34" s="16" t="n"/>
      <c r="BU34" s="16" t="n">
        <v>0.6</v>
      </c>
      <c r="BV34" s="16" t="n">
        <v>0.65</v>
      </c>
      <c r="BW34" s="16" t="n"/>
      <c r="BX34" s="16" t="n"/>
      <c r="BZ34" s="16" t="n"/>
      <c r="CA34" s="16" t="n"/>
      <c r="CB34" s="16" t="n">
        <v>0.7</v>
      </c>
      <c r="CC34" s="16" t="n">
        <v>545.4545450000001</v>
      </c>
      <c r="CD34" s="16" t="n"/>
      <c r="CE34" s="16" t="n"/>
    </row>
    <row r="35">
      <c r="AN35" s="16" t="n">
        <v>0.8100000000000001</v>
      </c>
      <c r="AO35" s="16" t="n">
        <v>1127.272727</v>
      </c>
      <c r="AQ35" s="16" t="n">
        <v>420</v>
      </c>
      <c r="AR35" s="16" t="n">
        <v>2000</v>
      </c>
      <c r="AS35" s="16" t="n"/>
      <c r="AT35" s="16" t="n"/>
      <c r="AU35" s="16" t="n"/>
      <c r="AV35" s="16" t="n"/>
      <c r="AW35" s="16" t="n">
        <v>529</v>
      </c>
      <c r="AX35" s="16" t="n">
        <v>545.4545450000001</v>
      </c>
      <c r="AY35" s="16" t="n"/>
      <c r="AZ35" s="16" t="n"/>
      <c r="BA35" s="16" t="n"/>
      <c r="BB35" s="16" t="n"/>
      <c r="BU35" s="16" t="n">
        <v>0.6</v>
      </c>
      <c r="BV35" s="16" t="n">
        <v>0.7</v>
      </c>
      <c r="BW35" s="16" t="n"/>
      <c r="BX35" s="16" t="n"/>
      <c r="BZ35" s="16" t="n"/>
      <c r="CA35" s="16" t="n"/>
      <c r="CB35" s="16" t="n">
        <v>0.7</v>
      </c>
      <c r="CC35" s="16" t="n">
        <v>690.909091</v>
      </c>
      <c r="CD35" s="16" t="n"/>
      <c r="CE35" s="16" t="n"/>
    </row>
    <row r="36">
      <c r="AN36" s="16" t="n">
        <v>0.8100000000000001</v>
      </c>
      <c r="AO36" s="16" t="n">
        <v>1272.727273</v>
      </c>
      <c r="AQ36" s="16" t="n">
        <v>403</v>
      </c>
      <c r="AR36" s="16" t="n">
        <v>618.181818</v>
      </c>
      <c r="AS36" s="16" t="n"/>
      <c r="AT36" s="16" t="n"/>
      <c r="AU36" s="16" t="n"/>
      <c r="AV36" s="16" t="n"/>
      <c r="AW36" s="16" t="n">
        <v>529</v>
      </c>
      <c r="AX36" s="16" t="n">
        <v>690.909091</v>
      </c>
      <c r="AY36" s="16" t="n"/>
      <c r="AZ36" s="16" t="n"/>
      <c r="BA36" s="16" t="n"/>
      <c r="BB36" s="16" t="n"/>
      <c r="BU36" s="16" t="n">
        <v>0.6</v>
      </c>
      <c r="BV36" s="16" t="n">
        <v>0.75</v>
      </c>
      <c r="BW36" s="16" t="n"/>
      <c r="BX36" s="16" t="n"/>
      <c r="BZ36" s="16" t="n"/>
      <c r="CA36" s="16" t="n"/>
      <c r="CB36" s="16" t="n">
        <v>0.7</v>
      </c>
      <c r="CC36" s="16" t="n">
        <v>836.363636</v>
      </c>
      <c r="CD36" s="16" t="n"/>
      <c r="CE36" s="16" t="n"/>
    </row>
    <row r="37">
      <c r="AN37" s="16" t="n">
        <v>0.8100000000000001</v>
      </c>
      <c r="AO37" s="16" t="n">
        <v>1418.181818</v>
      </c>
      <c r="AQ37" s="16" t="n">
        <v>403</v>
      </c>
      <c r="AR37" s="16" t="n">
        <v>618.181818</v>
      </c>
      <c r="AS37" s="16" t="n"/>
      <c r="AT37" s="16" t="n"/>
      <c r="AU37" s="16" t="n"/>
      <c r="AV37" s="16" t="n"/>
      <c r="AW37" s="16" t="n">
        <v>529</v>
      </c>
      <c r="AX37" s="16" t="n">
        <v>836.363636</v>
      </c>
      <c r="AY37" s="16" t="n"/>
      <c r="AZ37" s="16" t="n"/>
      <c r="BA37" s="16" t="n"/>
      <c r="BB37" s="16" t="n"/>
      <c r="BU37" s="16" t="n">
        <v>0.6</v>
      </c>
      <c r="BV37" s="16" t="n">
        <v>0.8</v>
      </c>
      <c r="BW37" s="16" t="n"/>
      <c r="BX37" s="16" t="n"/>
      <c r="BZ37" s="16" t="n"/>
      <c r="CA37" s="16" t="n"/>
      <c r="CB37" s="16" t="n">
        <v>0.7</v>
      </c>
      <c r="CC37" s="16" t="n">
        <v>981.818182</v>
      </c>
      <c r="CD37" s="16" t="n"/>
      <c r="CE37" s="16" t="n"/>
    </row>
    <row r="38">
      <c r="AN38" s="16" t="n">
        <v>0.8100000000000001</v>
      </c>
      <c r="AO38" s="16" t="n">
        <v>1563.636364</v>
      </c>
      <c r="AQ38" s="16" t="n">
        <v>390</v>
      </c>
      <c r="AR38" s="16" t="n">
        <v>472.727273</v>
      </c>
      <c r="AS38" s="16" t="n"/>
      <c r="AT38" s="16" t="n"/>
      <c r="AU38" s="16" t="n"/>
      <c r="AV38" s="16" t="n"/>
      <c r="AW38" s="16" t="n">
        <v>529</v>
      </c>
      <c r="AX38" s="16" t="n">
        <v>981.818182</v>
      </c>
      <c r="AY38" s="16" t="n"/>
      <c r="AZ38" s="16" t="n"/>
      <c r="BA38" s="16" t="n"/>
      <c r="BB38" s="16" t="n"/>
      <c r="BU38" s="16" t="n">
        <v>0.6</v>
      </c>
      <c r="BV38" s="16" t="n">
        <v>0.95</v>
      </c>
      <c r="BW38" s="16" t="n"/>
      <c r="BX38" s="16" t="n"/>
      <c r="BZ38" s="16" t="n"/>
      <c r="CA38" s="16" t="n"/>
      <c r="CB38" s="16" t="n">
        <v>0.7</v>
      </c>
      <c r="CC38" s="16" t="n">
        <v>1127.272727</v>
      </c>
      <c r="CD38" s="16" t="n"/>
      <c r="CE38" s="16" t="n"/>
    </row>
    <row r="39">
      <c r="AN39" s="16" t="n">
        <v>0.8100000000000001</v>
      </c>
      <c r="AO39" s="16" t="n">
        <v>1709.090909</v>
      </c>
      <c r="AQ39" s="16" t="n">
        <v>390</v>
      </c>
      <c r="AR39" s="16" t="n">
        <v>472.727273</v>
      </c>
      <c r="AS39" s="16" t="n"/>
      <c r="AT39" s="16" t="n"/>
      <c r="AU39" s="16" t="n"/>
      <c r="AV39" s="16" t="n"/>
      <c r="AW39" s="16" t="n">
        <v>529</v>
      </c>
      <c r="AX39" s="16" t="n">
        <v>1127.272727</v>
      </c>
      <c r="AY39" s="16" t="n"/>
      <c r="AZ39" s="16" t="n"/>
      <c r="BA39" s="16" t="n"/>
      <c r="BB39" s="16" t="n"/>
      <c r="BU39" s="16" t="n">
        <v>0.6</v>
      </c>
      <c r="BV39" s="16" t="n">
        <v>0.9</v>
      </c>
      <c r="BW39" s="16" t="n"/>
      <c r="BX39" s="16" t="n"/>
      <c r="BZ39" s="16" t="n"/>
      <c r="CA39" s="16" t="n"/>
      <c r="CB39" s="16" t="n">
        <v>0.7</v>
      </c>
      <c r="CC39" s="16" t="n">
        <v>1272.727273</v>
      </c>
      <c r="CD39" s="16" t="n"/>
      <c r="CE39" s="16" t="n"/>
    </row>
    <row r="40">
      <c r="AN40" s="16" t="n">
        <v>0.8100000000000001</v>
      </c>
      <c r="AO40" s="16" t="n">
        <v>1854.545455</v>
      </c>
      <c r="AQ40" s="16" t="n">
        <v>420</v>
      </c>
      <c r="AR40" s="16" t="n">
        <v>763.636364</v>
      </c>
      <c r="AS40" s="16" t="n"/>
      <c r="AT40" s="16" t="n"/>
      <c r="AU40" s="16" t="n"/>
      <c r="AV40" s="16" t="n"/>
      <c r="AW40" s="16" t="n">
        <v>529</v>
      </c>
      <c r="AX40" s="16" t="n">
        <v>1272.727273</v>
      </c>
      <c r="AY40" s="16" t="n"/>
      <c r="AZ40" s="16" t="n"/>
      <c r="BA40" s="16" t="n"/>
      <c r="BB40" s="16" t="n"/>
      <c r="BU40" s="16" t="n">
        <v>0.6</v>
      </c>
      <c r="BV40" s="16" t="n">
        <v>0.85</v>
      </c>
      <c r="BW40" s="16" t="n"/>
      <c r="BX40" s="16" t="n"/>
      <c r="BZ40" s="16" t="n"/>
      <c r="CA40" s="16" t="n"/>
      <c r="CB40" s="16" t="n">
        <v>0.7</v>
      </c>
      <c r="CC40" s="16" t="n">
        <v>1418.181818</v>
      </c>
      <c r="CD40" s="16" t="n"/>
      <c r="CE40" s="16" t="n"/>
    </row>
    <row r="41">
      <c r="AN41" s="16" t="n">
        <v>0.8100000000000001</v>
      </c>
      <c r="AO41" s="16" t="n">
        <v>2000</v>
      </c>
      <c r="AQ41" s="16" t="n">
        <v>420</v>
      </c>
      <c r="AR41" s="16" t="n">
        <v>763.636364</v>
      </c>
      <c r="AS41" s="16" t="n"/>
      <c r="AT41" s="16" t="n"/>
      <c r="AU41" s="16" t="n"/>
      <c r="AV41" s="16" t="n"/>
      <c r="AW41" s="16" t="n">
        <v>529</v>
      </c>
      <c r="AX41" s="16" t="n">
        <v>1418.181818</v>
      </c>
      <c r="AY41" s="16" t="n"/>
      <c r="AZ41" s="16" t="n"/>
      <c r="BA41" s="16" t="n"/>
      <c r="BB41" s="16" t="n"/>
      <c r="BU41" s="16" t="n">
        <v>0.7</v>
      </c>
      <c r="BV41" s="16" t="n">
        <v>0.6</v>
      </c>
      <c r="BW41" s="16" t="n"/>
      <c r="BX41" s="16" t="n"/>
      <c r="BZ41" s="16" t="n"/>
      <c r="CA41" s="16" t="n"/>
      <c r="CB41" s="16" t="n">
        <v>0.7</v>
      </c>
      <c r="CC41" s="16" t="n">
        <v>1563.636364</v>
      </c>
      <c r="CD41" s="16" t="n"/>
      <c r="CE41" s="16" t="n"/>
    </row>
    <row r="42">
      <c r="AQ42" s="16" t="n">
        <v>403</v>
      </c>
      <c r="AR42" s="16" t="n">
        <v>581.818182</v>
      </c>
      <c r="AS42" s="16" t="n"/>
      <c r="AT42" s="16" t="n"/>
      <c r="AU42" s="16" t="n"/>
      <c r="AV42" s="16" t="n"/>
      <c r="AW42" s="16" t="n">
        <v>529</v>
      </c>
      <c r="AX42" s="16" t="n">
        <v>1563.636364</v>
      </c>
      <c r="AY42" s="16" t="n"/>
      <c r="AZ42" s="16" t="n"/>
      <c r="BA42" s="16" t="n"/>
      <c r="BB42" s="16" t="n"/>
      <c r="BU42" s="16" t="n">
        <v>0.7</v>
      </c>
      <c r="BV42" s="16" t="n">
        <v>0.55</v>
      </c>
      <c r="BW42" s="16" t="n"/>
      <c r="BX42" s="16" t="n"/>
      <c r="BZ42" s="16" t="n"/>
      <c r="CA42" s="16" t="n"/>
      <c r="CB42" s="16" t="n">
        <v>0.7</v>
      </c>
      <c r="CC42" s="16" t="n">
        <v>1709.090909</v>
      </c>
      <c r="CD42" s="16" t="n"/>
      <c r="CE42" s="16" t="n"/>
    </row>
    <row r="43">
      <c r="AQ43" s="16" t="n">
        <v>403</v>
      </c>
      <c r="AR43" s="16" t="n">
        <v>581.818182</v>
      </c>
      <c r="AS43" s="16" t="n"/>
      <c r="AT43" s="16" t="n"/>
      <c r="AU43" s="16" t="n"/>
      <c r="AV43" s="16" t="n"/>
      <c r="AW43" s="16" t="n">
        <v>529</v>
      </c>
      <c r="AX43" s="16" t="n">
        <v>1709.090909</v>
      </c>
      <c r="AY43" s="16" t="n"/>
      <c r="AZ43" s="16" t="n"/>
      <c r="BA43" s="16" t="n"/>
      <c r="BB43" s="16" t="n"/>
      <c r="BU43" s="16" t="n">
        <v>0.7</v>
      </c>
      <c r="BV43" s="16" t="n">
        <v>0.65</v>
      </c>
      <c r="BW43" s="16" t="n"/>
      <c r="BX43" s="16" t="n"/>
      <c r="BZ43" s="16" t="n"/>
      <c r="CA43" s="16" t="n"/>
      <c r="CB43" s="16" t="n">
        <v>0.7</v>
      </c>
      <c r="CC43" s="16" t="n">
        <v>1854.545455</v>
      </c>
      <c r="CD43" s="16" t="n"/>
      <c r="CE43" s="16" t="n"/>
    </row>
    <row r="44">
      <c r="AQ44" s="16" t="n">
        <v>403</v>
      </c>
      <c r="AR44" s="16" t="n">
        <v>563.636364</v>
      </c>
      <c r="AS44" s="16" t="n"/>
      <c r="AT44" s="16" t="n"/>
      <c r="AU44" s="16" t="n"/>
      <c r="AV44" s="16" t="n"/>
      <c r="AW44" s="16" t="n">
        <v>560</v>
      </c>
      <c r="AX44" s="16" t="n">
        <v>400</v>
      </c>
      <c r="AY44" s="16" t="n"/>
      <c r="AZ44" s="16" t="n"/>
      <c r="BA44" s="16" t="n"/>
      <c r="BB44" s="16" t="n"/>
      <c r="BU44" s="16" t="n">
        <v>0.7</v>
      </c>
      <c r="BV44" s="16" t="n">
        <v>0.7</v>
      </c>
      <c r="BW44" s="16" t="n"/>
      <c r="BX44" s="16" t="n"/>
      <c r="BZ44" s="16" t="n"/>
      <c r="CA44" s="16" t="n"/>
      <c r="CB44" s="16" t="n">
        <v>0.7</v>
      </c>
      <c r="CC44" s="16" t="n">
        <v>2000</v>
      </c>
      <c r="CD44" s="16" t="n"/>
      <c r="CE44" s="16" t="n"/>
    </row>
    <row r="45">
      <c r="AQ45" s="16" t="n">
        <v>403</v>
      </c>
      <c r="AR45" s="16" t="n">
        <v>563.636364</v>
      </c>
      <c r="AS45" s="16" t="n"/>
      <c r="AT45" s="16" t="n"/>
      <c r="AU45" s="16" t="n"/>
      <c r="AV45" s="16" t="n"/>
      <c r="AW45" s="16" t="n">
        <v>529</v>
      </c>
      <c r="AX45" s="16" t="n">
        <v>1854.545455</v>
      </c>
      <c r="AY45" s="16" t="n"/>
      <c r="AZ45" s="16" t="n"/>
      <c r="BA45" s="16" t="n"/>
      <c r="BB45" s="16" t="n"/>
      <c r="BU45" s="16" t="n">
        <v>0.7</v>
      </c>
      <c r="BV45" s="16" t="n">
        <v>0.75</v>
      </c>
      <c r="BW45" s="16" t="n"/>
      <c r="BX45" s="16" t="n"/>
      <c r="BZ45" s="16" t="n"/>
      <c r="CA45" s="16" t="n"/>
      <c r="CB45" s="16" t="n">
        <v>0.4</v>
      </c>
      <c r="CC45" s="16" t="n">
        <v>1309.090909</v>
      </c>
      <c r="CD45" s="16" t="n"/>
      <c r="CE45" s="16" t="n"/>
    </row>
    <row r="46">
      <c r="AQ46" s="16" t="n">
        <v>390</v>
      </c>
      <c r="AR46" s="16" t="n">
        <v>454.545455</v>
      </c>
      <c r="AS46" s="16" t="n"/>
      <c r="AT46" s="16" t="n"/>
      <c r="AU46" s="16" t="n"/>
      <c r="AV46" s="16" t="n"/>
      <c r="AW46" s="16" t="n">
        <v>529</v>
      </c>
      <c r="AX46" s="16" t="n">
        <v>2000</v>
      </c>
      <c r="AY46" s="16" t="n"/>
      <c r="AZ46" s="16" t="n"/>
      <c r="BA46" s="16" t="n"/>
      <c r="BB46" s="16" t="n"/>
      <c r="BU46" s="16" t="n">
        <v>0.7</v>
      </c>
      <c r="BV46" s="16" t="n">
        <v>0.9</v>
      </c>
      <c r="BW46" s="16" t="n"/>
      <c r="BX46" s="16" t="n"/>
      <c r="BZ46" s="16" t="n"/>
      <c r="CA46" s="16" t="n"/>
      <c r="CB46" s="16" t="n">
        <v>0.4</v>
      </c>
      <c r="CC46" s="16" t="n">
        <v>1309.090909</v>
      </c>
      <c r="CD46" s="16" t="n"/>
      <c r="CE46" s="16" t="n"/>
    </row>
    <row r="47">
      <c r="AQ47" s="16" t="n">
        <v>390</v>
      </c>
      <c r="AR47" s="16" t="n">
        <v>454.545455</v>
      </c>
      <c r="AS47" s="16" t="n"/>
      <c r="AT47" s="16" t="n"/>
      <c r="AU47" s="16" t="n"/>
      <c r="AV47" s="16" t="n"/>
      <c r="AW47" s="16" t="n">
        <v>560</v>
      </c>
      <c r="AX47" s="16" t="n">
        <v>545.4545450000001</v>
      </c>
      <c r="AY47" s="16" t="n"/>
      <c r="AZ47" s="16" t="n"/>
      <c r="BA47" s="16" t="n"/>
      <c r="BB47" s="16" t="n"/>
      <c r="BU47" s="16" t="n">
        <v>0.7</v>
      </c>
      <c r="BV47" s="16" t="n">
        <v>0.85</v>
      </c>
      <c r="BW47" s="16" t="n"/>
      <c r="BX47" s="16" t="n"/>
      <c r="BZ47" s="16" t="n"/>
      <c r="CA47" s="16" t="n"/>
      <c r="CB47" s="16" t="n">
        <v>0.5</v>
      </c>
      <c r="CC47" s="16" t="n">
        <v>1727.272727</v>
      </c>
      <c r="CD47" s="16" t="n"/>
      <c r="CE47" s="16" t="n"/>
    </row>
    <row r="48">
      <c r="AQ48" s="16" t="n">
        <v>420</v>
      </c>
      <c r="AR48" s="16" t="n">
        <v>745.4545450000001</v>
      </c>
      <c r="AS48" s="16" t="n"/>
      <c r="AT48" s="16" t="n"/>
      <c r="AU48" s="16" t="n"/>
      <c r="AV48" s="16" t="n"/>
      <c r="AW48" s="16" t="n">
        <v>560</v>
      </c>
      <c r="AX48" s="16" t="n">
        <v>690.909091</v>
      </c>
      <c r="AY48" s="16" t="n"/>
      <c r="AZ48" s="16" t="n"/>
      <c r="BA48" s="16" t="n"/>
      <c r="BB48" s="16" t="n"/>
      <c r="BU48" s="16" t="n">
        <v>0.7</v>
      </c>
      <c r="BV48" s="16" t="n">
        <v>0.8</v>
      </c>
      <c r="BW48" s="16" t="n"/>
      <c r="BX48" s="16" t="n"/>
      <c r="BZ48" s="16" t="n"/>
      <c r="CA48" s="16" t="n"/>
      <c r="CB48" s="16" t="n">
        <v>0.5</v>
      </c>
      <c r="CC48" s="16" t="n">
        <v>1727.272727</v>
      </c>
      <c r="CD48" s="16" t="n"/>
      <c r="CE48" s="16" t="n"/>
    </row>
    <row r="49">
      <c r="AQ49" s="16" t="n">
        <v>420</v>
      </c>
      <c r="AR49" s="16" t="n">
        <v>745.4545450000001</v>
      </c>
      <c r="AS49" s="16" t="n"/>
      <c r="AT49" s="16" t="n"/>
      <c r="AU49" s="16" t="n"/>
      <c r="AV49" s="16" t="n"/>
      <c r="AW49" s="16" t="n">
        <v>560</v>
      </c>
      <c r="AX49" s="16" t="n">
        <v>836.363636</v>
      </c>
      <c r="AY49" s="16" t="n"/>
      <c r="AZ49" s="16" t="n"/>
      <c r="BA49" s="16" t="n"/>
      <c r="BB49" s="16" t="n"/>
      <c r="BU49" s="16" t="n">
        <v>0.7</v>
      </c>
      <c r="BV49" s="16" t="n">
        <v>0.95</v>
      </c>
      <c r="BW49" s="16" t="n"/>
      <c r="BX49" s="16" t="n"/>
    </row>
    <row r="50">
      <c r="AQ50" s="16" t="n">
        <v>390</v>
      </c>
      <c r="AR50" s="16" t="n">
        <v>445.454545</v>
      </c>
      <c r="AS50" s="16" t="n"/>
      <c r="AT50" s="16" t="n"/>
      <c r="AU50" s="16" t="n"/>
      <c r="AV50" s="16" t="n"/>
      <c r="AW50" s="16" t="n">
        <v>560</v>
      </c>
      <c r="AX50" s="16" t="n">
        <v>1127.272727</v>
      </c>
      <c r="AY50" s="16" t="n"/>
      <c r="AZ50" s="16" t="n"/>
      <c r="BA50" s="16" t="n"/>
      <c r="BB50" s="16" t="n"/>
      <c r="BU50" s="16" t="n">
        <v>0.8</v>
      </c>
      <c r="BV50" s="16" t="n">
        <v>0.8</v>
      </c>
      <c r="BW50" s="16" t="n"/>
      <c r="BX50" s="16" t="n"/>
    </row>
    <row r="51">
      <c r="AQ51" s="16" t="n">
        <v>390</v>
      </c>
      <c r="AR51" s="16" t="n">
        <v>445.454545</v>
      </c>
      <c r="AS51" s="16" t="n"/>
      <c r="AT51" s="16" t="n"/>
      <c r="AU51" s="16" t="n"/>
      <c r="AV51" s="16" t="n"/>
      <c r="AW51" s="16" t="n">
        <v>560</v>
      </c>
      <c r="AX51" s="16" t="n">
        <v>981.818182</v>
      </c>
      <c r="AY51" s="16" t="n"/>
      <c r="AZ51" s="16" t="n"/>
      <c r="BA51" s="16" t="n"/>
      <c r="BB51" s="16" t="n"/>
      <c r="BU51" s="16" t="n">
        <v>0.8</v>
      </c>
      <c r="BV51" s="16" t="n">
        <v>0.75</v>
      </c>
      <c r="BW51" s="16" t="n"/>
      <c r="BX51" s="16" t="n"/>
    </row>
    <row r="52">
      <c r="AQ52" s="16" t="n">
        <v>420</v>
      </c>
      <c r="AR52" s="16" t="n">
        <v>736.363636</v>
      </c>
      <c r="AS52" s="16" t="n"/>
      <c r="AT52" s="16" t="n"/>
      <c r="AU52" s="16" t="n"/>
      <c r="AV52" s="16" t="n"/>
      <c r="AW52" s="16" t="n">
        <v>560</v>
      </c>
      <c r="AX52" s="16" t="n">
        <v>1272.727273</v>
      </c>
      <c r="AY52" s="16" t="n"/>
      <c r="AZ52" s="16" t="n"/>
      <c r="BA52" s="16" t="n"/>
      <c r="BB52" s="16" t="n"/>
      <c r="BU52" s="16" t="n">
        <v>0.8</v>
      </c>
      <c r="BV52" s="16" t="n">
        <v>0.85</v>
      </c>
      <c r="BW52" s="16" t="n"/>
      <c r="BX52" s="16" t="n"/>
    </row>
    <row r="53">
      <c r="AQ53" s="16" t="n">
        <v>420</v>
      </c>
      <c r="AR53" s="16" t="n">
        <v>736.363636</v>
      </c>
      <c r="AS53" s="16" t="n"/>
      <c r="AT53" s="16" t="n"/>
      <c r="AU53" s="16" t="n"/>
      <c r="AV53" s="16" t="n"/>
      <c r="AW53" s="16" t="n">
        <v>560</v>
      </c>
      <c r="AX53" s="16" t="n">
        <v>1418.181818</v>
      </c>
      <c r="AY53" s="16" t="n"/>
      <c r="AZ53" s="16" t="n"/>
      <c r="BA53" s="16" t="n"/>
      <c r="BB53" s="16" t="n"/>
      <c r="BU53" s="16" t="n">
        <v>0.8</v>
      </c>
      <c r="BV53" s="16" t="n">
        <v>0.9</v>
      </c>
      <c r="BW53" s="16" t="n"/>
      <c r="BX53" s="16" t="n"/>
    </row>
    <row r="54">
      <c r="AQ54" s="16" t="n"/>
      <c r="AR54" s="16" t="n"/>
      <c r="AS54" s="16" t="n"/>
      <c r="AT54" s="16" t="n"/>
      <c r="AU54" s="16" t="n"/>
      <c r="AV54" s="16" t="n"/>
      <c r="AW54" s="16" t="n">
        <v>560</v>
      </c>
      <c r="AX54" s="16" t="n">
        <v>1563.636364</v>
      </c>
      <c r="AY54" s="16" t="n"/>
      <c r="AZ54" s="16" t="n"/>
      <c r="BA54" s="16" t="n"/>
      <c r="BB54" s="16" t="n"/>
    </row>
    <row r="55">
      <c r="AQ55" s="16" t="n"/>
      <c r="AR55" s="16" t="n"/>
      <c r="AS55" s="16" t="n"/>
      <c r="AT55" s="16" t="n"/>
      <c r="AU55" s="16" t="n"/>
      <c r="AV55" s="16" t="n"/>
      <c r="AW55" s="16" t="n">
        <v>560</v>
      </c>
      <c r="AX55" s="16" t="n">
        <v>1709.090909</v>
      </c>
      <c r="AY55" s="16" t="n"/>
      <c r="AZ55" s="16" t="n"/>
      <c r="BA55" s="16" t="n"/>
      <c r="BB55" s="16" t="n"/>
    </row>
    <row r="56">
      <c r="AQ56" s="16" t="n"/>
      <c r="AR56" s="16" t="n"/>
      <c r="AS56" s="16" t="n"/>
      <c r="AT56" s="16" t="n"/>
      <c r="AU56" s="16" t="n"/>
      <c r="AV56" s="16" t="n"/>
      <c r="AW56" s="16" t="n">
        <v>560</v>
      </c>
      <c r="AX56" s="16" t="n">
        <v>1854.545455</v>
      </c>
      <c r="AY56" s="16" t="n"/>
      <c r="AZ56" s="16" t="n"/>
      <c r="BA56" s="16" t="n"/>
      <c r="BB56" s="16" t="n"/>
    </row>
    <row r="57">
      <c r="AQ57" s="16" t="n"/>
      <c r="AR57" s="16" t="n"/>
      <c r="AS57" s="16" t="n"/>
      <c r="AT57" s="16" t="n"/>
      <c r="AU57" s="16" t="n"/>
      <c r="AV57" s="16" t="n"/>
      <c r="AW57" s="16" t="n">
        <v>560</v>
      </c>
      <c r="AX57" s="16" t="n">
        <v>2000</v>
      </c>
      <c r="AY57" s="16" t="n"/>
      <c r="AZ57" s="16" t="n"/>
      <c r="BA57" s="16" t="n"/>
      <c r="BB57" s="16" t="n"/>
    </row>
    <row r="58">
      <c r="AQ58" s="16" t="n"/>
      <c r="AR58" s="16" t="n"/>
      <c r="AS58" s="16" t="n"/>
      <c r="AT58" s="16" t="n"/>
      <c r="AU58" s="16" t="n"/>
      <c r="AV58" s="16" t="n"/>
      <c r="AW58" s="16" t="n">
        <v>434</v>
      </c>
      <c r="AX58" s="16" t="n">
        <v>909.090909</v>
      </c>
      <c r="AY58" s="16" t="n"/>
      <c r="AZ58" s="16" t="n"/>
      <c r="BA58" s="16" t="n"/>
      <c r="BB58" s="16" t="n"/>
    </row>
    <row r="59">
      <c r="AQ59" s="16" t="n"/>
      <c r="AR59" s="16" t="n"/>
      <c r="AS59" s="16" t="n"/>
      <c r="AT59" s="16" t="n"/>
      <c r="AU59" s="16" t="n"/>
      <c r="AV59" s="16" t="n"/>
      <c r="AW59" s="16" t="n">
        <v>434</v>
      </c>
      <c r="AX59" s="16" t="n">
        <v>909.090909</v>
      </c>
      <c r="AY59" s="16" t="n"/>
      <c r="AZ59" s="16" t="n"/>
      <c r="BA59" s="16" t="n"/>
      <c r="BB59" s="16" t="n"/>
    </row>
    <row r="60">
      <c r="AQ60" s="16" t="n"/>
      <c r="AR60" s="16" t="n"/>
      <c r="AS60" s="16" t="n"/>
      <c r="AT60" s="16" t="n"/>
      <c r="AU60" s="16" t="n"/>
      <c r="AV60" s="16" t="n"/>
      <c r="AW60" s="16" t="n">
        <v>434</v>
      </c>
      <c r="AX60" s="16" t="n">
        <v>927.272727</v>
      </c>
      <c r="AY60" s="16" t="n"/>
      <c r="AZ60" s="16" t="n"/>
      <c r="BA60" s="16" t="n"/>
      <c r="BB60" s="16" t="n"/>
    </row>
    <row r="61">
      <c r="AQ61" s="16" t="n"/>
      <c r="AR61" s="16" t="n"/>
      <c r="AS61" s="16" t="n"/>
      <c r="AT61" s="16" t="n"/>
      <c r="AU61" s="16" t="n"/>
      <c r="AV61" s="16" t="n"/>
      <c r="AW61" s="16" t="n">
        <v>434</v>
      </c>
      <c r="AX61" s="16" t="n">
        <v>927.272727</v>
      </c>
      <c r="AY61" s="16" t="n"/>
      <c r="AZ61" s="16" t="n"/>
      <c r="BA61" s="16" t="n"/>
      <c r="BB61" s="16" t="n"/>
    </row>
    <row r="62">
      <c r="AQ62" s="16" t="n"/>
      <c r="AR62" s="16" t="n"/>
      <c r="AS62" s="16" t="n"/>
      <c r="AT62" s="16" t="n"/>
      <c r="AU62" s="16" t="n"/>
      <c r="AV62" s="16" t="n"/>
      <c r="AW62" s="16" t="n">
        <v>434</v>
      </c>
      <c r="AX62" s="16" t="n">
        <v>936.363636</v>
      </c>
      <c r="AY62" s="16" t="n"/>
      <c r="AZ62" s="16" t="n"/>
      <c r="BA62" s="16" t="n"/>
      <c r="BB62" s="16" t="n"/>
    </row>
    <row r="63">
      <c r="AQ63" s="16" t="n"/>
      <c r="AR63" s="16" t="n"/>
      <c r="AS63" s="16" t="n"/>
      <c r="AT63" s="16" t="n"/>
      <c r="AU63" s="16" t="n"/>
      <c r="AV63" s="16" t="n"/>
      <c r="AW63" s="16" t="n">
        <v>434</v>
      </c>
      <c r="AX63" s="16" t="n">
        <v>936.363636</v>
      </c>
      <c r="AY63" s="16" t="n"/>
      <c r="AZ63" s="16" t="n"/>
      <c r="BA63" s="16" t="n"/>
      <c r="BB63" s="16" t="n"/>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0" customWidth="1" min="1" max="1"/>
    <col width="48" customWidth="1" min="2" max="2"/>
    <col width="14" customWidth="1" min="3" max="3"/>
    <col width="24" customWidth="1" min="4" max="4"/>
    <col width="15" customWidth="1" min="5" max="5"/>
    <col width="11" customWidth="1" min="6" max="6"/>
    <col width="21" customWidth="1" min="7" max="7"/>
    <col width="10" customWidth="1" min="8" max="8"/>
  </cols>
  <sheetData>
    <row r="1">
      <c r="A1" s="19" t="inlineStr">
        <is>
          <t>Tabla 3.1-1 · Condiciones: qué quedó fijo y qué se barrió</t>
        </is>
      </c>
    </row>
    <row r="2">
      <c r="A2" s="20" t="inlineStr">
        <is>
          <t>Estudio 3.1 · Sensibilidad local alrededor de A*</t>
        </is>
      </c>
    </row>
    <row r="3">
      <c r="A3" s="20" t="inlineStr">
        <is>
          <t>Punto base: A* = punto del profesor con T_fuente = 403 K y P_baja = 563.64 kPa</t>
        </is>
      </c>
    </row>
    <row r="4">
      <c r="A4" s="21" t="inlineStr">
        <is>
          <t>Punto base (las demás variables quedan fijas en): T_fuente = 403 K; T_sumidero = 300.03 K; P_alta = 3000 kPa; P_baja = 563.64 kPa; x_b = 0.5; m_b = 1 kg/s; η_t = 0.85; η_p = 0.75; ε_HRVG = 0.85; ε_reg = 0.75; ε_cond = 0.8; motor de propiedades = teqp. Cada panel o tramo mueve solo su variable.</t>
        </is>
      </c>
    </row>
    <row r="5">
      <c r="A5" s="21" t="inlineStr">
        <is>
          <t>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row>
    <row r="6">
      <c r="A6" s="20" t="inlineStr">
        <is>
          <t>Fuente: analisis_final/00_inventario/condiciones_por_subcaso.csv</t>
        </is>
      </c>
    </row>
    <row r="8">
      <c r="A8" s="22" t="inlineStr">
        <is>
          <t>Parte</t>
        </is>
      </c>
      <c r="B8" s="22" t="inlineStr">
        <is>
          <t>Variable</t>
        </is>
      </c>
      <c r="C8" s="22" t="inlineStr">
        <is>
          <t>Estado</t>
        </is>
      </c>
      <c r="D8" s="22" t="inlineStr">
        <is>
          <t>Valor en el punto base</t>
        </is>
      </c>
      <c r="E8" s="22" t="inlineStr">
        <is>
          <t>Valor o rango</t>
        </is>
      </c>
      <c r="F8" s="22" t="inlineStr">
        <is>
          <t>n valores</t>
        </is>
      </c>
      <c r="G8" s="22" t="inlineStr">
        <is>
          <t>¿Igual al profesor?</t>
        </is>
      </c>
      <c r="H8" s="22" t="inlineStr">
        <is>
          <t>Unidad</t>
        </is>
      </c>
    </row>
    <row r="9">
      <c r="A9" s="16" t="n">
        <v>3.1</v>
      </c>
      <c r="B9" s="16" t="inlineStr">
        <is>
          <t>Temperatura de la fuente, T_fuente [K]</t>
        </is>
      </c>
      <c r="C9" s="16" t="inlineStr">
        <is>
          <t>Una a la vez</t>
        </is>
      </c>
      <c r="D9" s="16" t="n">
        <v>403</v>
      </c>
      <c r="E9" s="16" t="inlineStr">
        <is>
          <t>340.0 – 623.1</t>
        </is>
      </c>
      <c r="F9" s="16" t="n">
        <v>18</v>
      </c>
      <c r="G9" s="16" t="n"/>
      <c r="H9" s="16" t="inlineStr">
        <is>
          <t>K</t>
        </is>
      </c>
    </row>
    <row r="10">
      <c r="A10" s="16" t="n">
        <v>3.1</v>
      </c>
      <c r="B10" s="16" t="inlineStr">
        <is>
          <t>Temperatura del sumidero, T_sumidero [K]</t>
        </is>
      </c>
      <c r="C10" s="16" t="inlineStr">
        <is>
          <t>Una a la vez</t>
        </is>
      </c>
      <c r="D10" s="16" t="n">
        <v>300</v>
      </c>
      <c r="E10" s="16" t="inlineStr">
        <is>
          <t>283.1 – 303.6</t>
        </is>
      </c>
      <c r="F10" s="16" t="n">
        <v>18</v>
      </c>
      <c r="G10" s="16" t="n"/>
      <c r="H10" s="16" t="inlineStr">
        <is>
          <t>K</t>
        </is>
      </c>
    </row>
    <row r="11">
      <c r="A11" s="16" t="n">
        <v>3.1</v>
      </c>
      <c r="B11" s="16" t="inlineStr">
        <is>
          <t>Presión de alta, P_alta [kPa]</t>
        </is>
      </c>
      <c r="C11" s="16" t="inlineStr">
        <is>
          <t>Una a la vez</t>
        </is>
      </c>
      <c r="D11" s="16" t="n">
        <v>3000</v>
      </c>
      <c r="E11" s="16" t="inlineStr">
        <is>
          <t>1000 – 10000</t>
        </is>
      </c>
      <c r="F11" s="16" t="n">
        <v>18</v>
      </c>
      <c r="G11" s="16" t="n"/>
      <c r="H11" s="16" t="inlineStr">
        <is>
          <t>kPa</t>
        </is>
      </c>
    </row>
    <row r="12">
      <c r="A12" s="16" t="n">
        <v>3.1</v>
      </c>
      <c r="B12" s="16" t="inlineStr">
        <is>
          <t>Presión de baja, P_baja [kPa]</t>
        </is>
      </c>
      <c r="C12" s="16" t="inlineStr">
        <is>
          <t>Una a la vez</t>
        </is>
      </c>
      <c r="D12" s="16" t="n">
        <v>563.6</v>
      </c>
      <c r="E12" s="16" t="inlineStr">
        <is>
          <t>150.0 – 1500</t>
        </is>
      </c>
      <c r="F12" s="16" t="n">
        <v>18</v>
      </c>
      <c r="G12" s="16" t="n"/>
      <c r="H12" s="16" t="inlineStr">
        <is>
          <t>kPa</t>
        </is>
      </c>
    </row>
    <row r="13">
      <c r="A13" s="16" t="n">
        <v>3.1</v>
      </c>
      <c r="B13" s="16" t="inlineStr">
        <is>
          <t>Fracción de amoníaco de la mezcla base, x_b [–]</t>
        </is>
      </c>
      <c r="C13" s="16" t="inlineStr">
        <is>
          <t>Una a la vez</t>
        </is>
      </c>
      <c r="D13" s="16" t="n">
        <v>0.5</v>
      </c>
      <c r="E13" s="16" t="inlineStr">
        <is>
          <t>0.300 – 0.900</t>
        </is>
      </c>
      <c r="F13" s="16" t="n">
        <v>18</v>
      </c>
      <c r="G13" s="16" t="n"/>
      <c r="H13" s="16" t="inlineStr">
        <is>
          <t>–</t>
        </is>
      </c>
    </row>
    <row r="14">
      <c r="A14" s="16" t="n">
        <v>3.1</v>
      </c>
      <c r="B14" s="16" t="inlineStr">
        <is>
          <t>Flujo másico base, m_b [kg/s]</t>
        </is>
      </c>
      <c r="C14" s="16" t="inlineStr">
        <is>
          <t>Fija</t>
        </is>
      </c>
      <c r="D14" s="16" t="n">
        <v>1</v>
      </c>
      <c r="E14" s="16" t="inlineStr">
        <is>
          <t>1.0</t>
        </is>
      </c>
      <c r="F14" s="16" t="n"/>
      <c r="G14" s="16" t="inlineStr">
        <is>
          <t>sí</t>
        </is>
      </c>
      <c r="H14" s="16" t="inlineStr">
        <is>
          <t>kg/s</t>
        </is>
      </c>
    </row>
    <row r="15">
      <c r="A15" s="16" t="n">
        <v>3.1</v>
      </c>
      <c r="B15" s="16" t="inlineStr">
        <is>
          <t>Eficiencia isentrópica de la turbina, η_t [–]</t>
        </is>
      </c>
      <c r="C15" s="16" t="inlineStr">
        <is>
          <t>Una a la vez</t>
        </is>
      </c>
      <c r="D15" s="16" t="n">
        <v>0.85</v>
      </c>
      <c r="E15" s="16" t="inlineStr">
        <is>
          <t>0.400 – 0.950</t>
        </is>
      </c>
      <c r="F15" s="16" t="n">
        <v>18</v>
      </c>
      <c r="G15" s="16" t="n"/>
      <c r="H15" s="16" t="inlineStr">
        <is>
          <t>–</t>
        </is>
      </c>
    </row>
    <row r="16">
      <c r="A16" s="16" t="n">
        <v>3.1</v>
      </c>
      <c r="B16" s="16" t="inlineStr">
        <is>
          <t>Eficiencia isentrópica de la bomba, η_p [–]</t>
        </is>
      </c>
      <c r="C16" s="16" t="inlineStr">
        <is>
          <t>Una a la vez</t>
        </is>
      </c>
      <c r="D16" s="16" t="n">
        <v>0.75</v>
      </c>
      <c r="E16" s="16" t="inlineStr">
        <is>
          <t>0.400 – 0.950</t>
        </is>
      </c>
      <c r="F16" s="16" t="n">
        <v>18</v>
      </c>
      <c r="G16" s="16" t="n"/>
      <c r="H16" s="16" t="inlineStr">
        <is>
          <t>–</t>
        </is>
      </c>
    </row>
    <row r="17">
      <c r="A17" s="16" t="n">
        <v>3.1</v>
      </c>
      <c r="B17" s="16" t="inlineStr">
        <is>
          <t>Efectividad del generador de vapor, ε_HRVG [–]</t>
        </is>
      </c>
      <c r="C17" s="16" t="inlineStr">
        <is>
          <t>Una a la vez</t>
        </is>
      </c>
      <c r="D17" s="16" t="n">
        <v>0.85</v>
      </c>
      <c r="E17" s="16" t="inlineStr">
        <is>
          <t>0.400 – 0.950</t>
        </is>
      </c>
      <c r="F17" s="16" t="n">
        <v>18</v>
      </c>
      <c r="G17" s="16" t="n"/>
      <c r="H17" s="16" t="inlineStr">
        <is>
          <t>–</t>
        </is>
      </c>
    </row>
    <row r="18">
      <c r="A18" s="16" t="n">
        <v>3.1</v>
      </c>
      <c r="B18" s="16" t="inlineStr">
        <is>
          <t>Efectividad del regenerador, ε_reg [–]</t>
        </is>
      </c>
      <c r="C18" s="16" t="inlineStr">
        <is>
          <t>Una a la vez</t>
        </is>
      </c>
      <c r="D18" s="16" t="n">
        <v>0.75</v>
      </c>
      <c r="E18" s="16" t="inlineStr">
        <is>
          <t>0.400 – 0.950</t>
        </is>
      </c>
      <c r="F18" s="16" t="n">
        <v>18</v>
      </c>
      <c r="G18" s="16" t="n"/>
      <c r="H18" s="16" t="inlineStr">
        <is>
          <t>–</t>
        </is>
      </c>
    </row>
    <row r="19">
      <c r="A19" s="16" t="n">
        <v>3.1</v>
      </c>
      <c r="B19" s="16" t="inlineStr">
        <is>
          <t>Efectividad del condensador, ε_cond [–]</t>
        </is>
      </c>
      <c r="C19" s="16" t="inlineStr">
        <is>
          <t>Una a la vez</t>
        </is>
      </c>
      <c r="D19" s="16" t="n">
        <v>0.8</v>
      </c>
      <c r="E19" s="16" t="inlineStr">
        <is>
          <t>0.400 – 0.950</t>
        </is>
      </c>
      <c r="F19" s="16" t="n">
        <v>18</v>
      </c>
      <c r="G19" s="16" t="n"/>
      <c r="H19" s="16" t="inlineStr">
        <is>
          <t>–</t>
        </is>
      </c>
    </row>
    <row r="20">
      <c r="A20" s="16" t="n">
        <v>3.1</v>
      </c>
      <c r="B20" s="16" t="inlineStr">
        <is>
          <t>Piso de O2 (T de diseño de la bomba) [K]</t>
        </is>
      </c>
      <c r="C20" s="16" t="inlineStr">
        <is>
          <t>Sin dato</t>
        </is>
      </c>
      <c r="D20" s="16" t="n"/>
      <c r="E20" s="16" t="n"/>
      <c r="F20" s="16" t="n"/>
      <c r="G20" s="16" t="n"/>
      <c r="H20" s="16" t="inlineStr">
        <is>
          <t>K</t>
        </is>
      </c>
    </row>
    <row r="21">
      <c r="A21" s="16" t="n">
        <v>3.1</v>
      </c>
      <c r="B21" s="16" t="inlineStr">
        <is>
          <t>motor de propiedades</t>
        </is>
      </c>
      <c r="C21" s="16" t="inlineStr">
        <is>
          <t>Fija</t>
        </is>
      </c>
      <c r="D21" s="16" t="n"/>
      <c r="E21" s="16" t="inlineStr">
        <is>
          <t>teqp</t>
        </is>
      </c>
      <c r="F21" s="16" t="n"/>
      <c r="G21" s="16" t="n"/>
      <c r="H21" s="16" t="inlineStr">
        <is>
          <t>–</t>
        </is>
      </c>
    </row>
    <row r="23">
      <c r="A23" s="23" t="inlineStr">
        <is>
          <t>Notas: Filtro: cada parte y cada variable. n = 13 filas en la tabla. † = fuera del rango confiable (IAPWS G4-01); ‡ = falso convergido. Fuente: analisis_final/00_inventario/condiciones_por_subcaso.csv.</t>
        </is>
      </c>
    </row>
  </sheetData>
  <autoFilter ref="A8:H2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3.1-2 · Corridas por parte y por clase</t>
        </is>
      </c>
    </row>
    <row r="2">
      <c r="A2" s="20" t="inlineStr">
        <is>
          <t>Estudio 3.1 · Sensibilidad local alrededor de A*</t>
        </is>
      </c>
    </row>
    <row r="3">
      <c r="A3" s="20" t="inlineStr">
        <is>
          <t>Punto base: A* = punto del profesor con T_fuente = 403 K y P_baja = 563.64 kPa</t>
        </is>
      </c>
    </row>
    <row r="4">
      <c r="A4" s="21" t="inlineStr">
        <is>
          <t>Punto base (las demás variables quedan fijas en): T_fuente = 403 K; T_sumidero = 300.03 K; P_alta = 3000 kPa; P_baja = 563.64 kPa; x_b = 0.5; m_b = 1 kg/s; η_t = 0.85; η_p = 0.75; ε_HRVG = 0.85; ε_reg = 0.75; ε_cond = 0.8; motor de propiedades = teqp. Cada panel o tramo mueve solo su variable.</t>
        </is>
      </c>
    </row>
    <row r="5">
      <c r="A5" s="21" t="inlineStr">
        <is>
          <t>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row>
    <row r="6">
      <c r="A6" s="20" t="inlineStr">
        <is>
          <t>Fuente: analisis_final/00_inventario/conteo_por_subcaso.csv</t>
        </is>
      </c>
    </row>
    <row r="8">
      <c r="A8" s="22" t="inlineStr">
        <is>
          <t>Parte</t>
        </is>
      </c>
      <c r="B8" s="22" t="inlineStr">
        <is>
          <t>Corridas</t>
        </is>
      </c>
      <c r="C8" s="22" t="inlineStr">
        <is>
          <t>Omitidos</t>
        </is>
      </c>
      <c r="D8" s="22" t="inlineStr">
        <is>
          <t>Genuinos</t>
        </is>
      </c>
      <c r="E8" s="22" t="inlineStr">
        <is>
          <t>KALINA</t>
        </is>
      </c>
      <c r="F8" s="22" t="inlineStr">
        <is>
          <t>KALINA confiables</t>
        </is>
      </c>
      <c r="G8" s="22" t="inlineStr">
        <is>
          <t>Corregibles</t>
        </is>
      </c>
      <c r="H8" s="22" t="inlineStr">
        <is>
          <t>Inviables</t>
        </is>
      </c>
      <c r="I8" s="22" t="inlineStr">
        <is>
          <t>No convergidos</t>
        </is>
      </c>
      <c r="J8" s="22" t="inlineStr">
        <is>
          <t>Falsos convergidos</t>
        </is>
      </c>
      <c r="K8" s="22" t="inlineStr">
        <is>
          <t>Fuera de rango</t>
        </is>
      </c>
    </row>
    <row r="9">
      <c r="A9" s="16" t="n">
        <v>3.1</v>
      </c>
      <c r="B9" s="16" t="n">
        <v>171</v>
      </c>
      <c r="C9" s="16" t="n">
        <v>0</v>
      </c>
      <c r="D9" s="16" t="n">
        <v>148</v>
      </c>
      <c r="E9" s="16" t="n">
        <v>86</v>
      </c>
      <c r="F9" s="16" t="n">
        <v>86</v>
      </c>
      <c r="G9" s="16" t="n">
        <v>57</v>
      </c>
      <c r="H9" s="16" t="n">
        <v>5</v>
      </c>
      <c r="I9" s="16" t="n">
        <v>17</v>
      </c>
      <c r="J9" s="16" t="n">
        <v>6</v>
      </c>
      <c r="K9" s="16" t="n">
        <v>8</v>
      </c>
    </row>
    <row r="11">
      <c r="A11" s="23" t="inlineStr">
        <is>
          <t>Notas: Filtro: conteo por parte. n = 1 filas en la tabla. † = fuera del rango confiable (IAPWS G4-01); ‡ = falso convergido. Fuente: analisis_final/00_inventario/conteo_por_subcaso.csv.</t>
        </is>
      </c>
    </row>
  </sheetData>
  <autoFilter ref="A8:K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cols>
    <col width="48" customWidth="1" min="1" max="1"/>
    <col width="17" customWidth="1" min="2" max="2"/>
    <col width="13" customWidth="1" min="3" max="3"/>
    <col width="21" customWidth="1" min="4" max="4"/>
    <col width="20" customWidth="1" min="5" max="5"/>
    <col width="31" customWidth="1" min="6" max="6"/>
    <col width="21" customWidth="1" min="7" max="7"/>
    <col width="15" customWidth="1" min="8" max="8"/>
    <col width="24" customWidth="1" min="9" max="9"/>
    <col width="35" customWidth="1" min="10" max="10"/>
  </cols>
  <sheetData>
    <row r="1">
      <c r="A1" s="19" t="inlineStr">
        <is>
          <t>Tabla 3.1-3 · Influencia y margen por variable (Δη y O2)</t>
        </is>
      </c>
    </row>
    <row r="2">
      <c r="A2" s="20" t="inlineStr">
        <is>
          <t>Estudio 3.1 · Sensibilidad local alrededor de A*</t>
        </is>
      </c>
    </row>
    <row r="3">
      <c r="A3" s="20" t="inlineStr">
        <is>
          <t>Punto base: A* = punto del profesor con T_fuente = 403 K y P_baja = 563.64 kPa</t>
        </is>
      </c>
    </row>
    <row r="4">
      <c r="A4" s="21" t="inlineStr">
        <is>
          <t>Punto base (las demás variables quedan fijas en): T_fuente = 403 K; T_sumidero = 300.03 K; P_alta = 3000 kPa; P_baja = 563.64 kPa; x_b = 0.5; m_b = 1 kg/s; η_t = 0.85; η_p = 0.75; ε_HRVG = 0.85; ε_reg = 0.75; ε_cond = 0.8; motor de propiedades = teqp. Cada panel o tramo mueve solo su variable.</t>
        </is>
      </c>
    </row>
    <row r="5">
      <c r="A5" s="21" t="inlineStr">
        <is>
          <t>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row>
    <row r="6">
      <c r="A6" s="20" t="inlineStr">
        <is>
          <t>Fuente: canónico + m3_resumen.csv + m3_cruces.csv</t>
        </is>
      </c>
    </row>
    <row r="8">
      <c r="A8" s="22" t="inlineStr">
        <is>
          <t>Variable</t>
        </is>
      </c>
      <c r="B8" s="22" t="inlineStr">
        <is>
          <t>Rango explorado</t>
        </is>
      </c>
      <c r="C8" s="22" t="inlineStr">
        <is>
          <t>Valor en A*</t>
        </is>
      </c>
      <c r="D8" s="22" t="inlineStr">
        <is>
          <t>Elasticidad E en A*</t>
        </is>
      </c>
      <c r="E8" s="22" t="inlineStr">
        <is>
          <t>Δη (genuinos) [pp]</t>
        </is>
      </c>
      <c r="F8" s="22" t="inlineStr">
        <is>
          <t>η máx. KALINA en la malla [%]</t>
        </is>
      </c>
      <c r="G8" s="22" t="inlineStr">
        <is>
          <t>Valor de esa η máx.</t>
        </is>
      </c>
      <c r="H8" s="22" t="inlineStr">
        <is>
          <t>Zona KALINA</t>
        </is>
      </c>
      <c r="I8" s="22" t="inlineStr">
        <is>
          <t>Criterios que bloquean</t>
        </is>
      </c>
      <c r="J8" s="22" t="inlineStr">
        <is>
          <t>Distancia a la frontera de O2 [–]</t>
        </is>
      </c>
    </row>
    <row r="9">
      <c r="A9" s="16" t="inlineStr">
        <is>
          <t>Temperatura de la fuente, T_fuente [K]</t>
        </is>
      </c>
      <c r="B9" s="16" t="inlineStr">
        <is>
          <t>340.0 – 623.1</t>
        </is>
      </c>
      <c r="C9" s="16" t="n">
        <v>403</v>
      </c>
      <c r="D9" s="16" t="n">
        <v>10.871</v>
      </c>
      <c r="E9" s="16" t="n">
        <v>3.6674</v>
      </c>
      <c r="F9" s="29" t="n">
        <v>7.9012</v>
      </c>
      <c r="G9" s="16" t="n">
        <v>400.68</v>
      </c>
      <c r="H9" s="16" t="inlineStr">
        <is>
          <t>400.7 – 400.7</t>
        </is>
      </c>
      <c r="I9" s="16" t="inlineStr">
        <is>
          <t>O2(9)</t>
        </is>
      </c>
      <c r="J9" s="37" t="n">
        <v>0.023942</v>
      </c>
    </row>
    <row r="10">
      <c r="A10" s="16" t="inlineStr">
        <is>
          <t>Fracción de amoníaco de la mezcla base, x_b [–]</t>
        </is>
      </c>
      <c r="B10" s="16" t="inlineStr">
        <is>
          <t>0.300 – 0.900</t>
        </is>
      </c>
      <c r="C10" s="16" t="n">
        <v>0.5</v>
      </c>
      <c r="D10" s="16" t="n">
        <v>3.4018</v>
      </c>
      <c r="E10" s="16" t="n">
        <v>10.775</v>
      </c>
      <c r="F10" s="29" t="n">
        <v>6.4244</v>
      </c>
      <c r="G10" s="16" t="n">
        <v>0.47143</v>
      </c>
      <c r="H10" s="16" t="inlineStr">
        <is>
          <t>0.471 – 0.471</t>
        </is>
      </c>
      <c r="I10" s="16" t="inlineStr">
        <is>
          <t>O2(9) · O3(3)</t>
        </is>
      </c>
      <c r="J10" s="37" t="n">
        <v>0.018496</v>
      </c>
    </row>
    <row r="11">
      <c r="A11" s="16" t="inlineStr">
        <is>
          <t>Temperatura del sumidero, T_sumidero [K]</t>
        </is>
      </c>
      <c r="B11" s="16" t="inlineStr">
        <is>
          <t>283.1 – 303.6</t>
        </is>
      </c>
      <c r="C11" s="16" t="n">
        <v>300</v>
      </c>
      <c r="D11" s="16" t="n">
        <v>1.6142</v>
      </c>
      <c r="E11" s="16" t="n">
        <v>0.85253</v>
      </c>
      <c r="F11" s="29" t="n">
        <v>8.443099999999999</v>
      </c>
      <c r="G11" s="16" t="n">
        <v>299.18</v>
      </c>
      <c r="H11" s="16" t="inlineStr">
        <is>
          <t>283.1 – 299.2</t>
        </is>
      </c>
      <c r="I11" s="16" t="inlineStr">
        <is>
          <t>O2(3)</t>
        </is>
      </c>
      <c r="J11" s="37" t="n">
        <v>0.022161</v>
      </c>
    </row>
    <row r="12">
      <c r="A12" s="16" t="inlineStr">
        <is>
          <t>Presión de alta, P_alta [kPa]</t>
        </is>
      </c>
      <c r="B12" s="16" t="inlineStr">
        <is>
          <t>1000 – 10000</t>
        </is>
      </c>
      <c r="C12" s="16" t="n">
        <v>3000</v>
      </c>
      <c r="D12" s="16" t="n">
        <v>-1.1645</v>
      </c>
      <c r="E12" s="16" t="n">
        <v>5.1447</v>
      </c>
      <c r="F12" s="29" t="n">
        <v>4.655</v>
      </c>
      <c r="G12" s="16" t="n">
        <v>3571.4</v>
      </c>
      <c r="H12" s="16" t="inlineStr">
        <is>
          <t>3571 – 3571</t>
        </is>
      </c>
      <c r="I12" s="16" t="inlineStr">
        <is>
          <t>O2(4)</t>
        </is>
      </c>
      <c r="J12" s="37" t="n">
        <v>0.0070719</v>
      </c>
    </row>
    <row r="13">
      <c r="A13" s="16" t="inlineStr">
        <is>
          <t>Eficiencia isentrópica de la turbina, η_t [–]</t>
        </is>
      </c>
      <c r="B13" s="16" t="inlineStr">
        <is>
          <t>0.400 – 0.950</t>
        </is>
      </c>
      <c r="C13" s="16" t="n">
        <v>0.85</v>
      </c>
      <c r="D13" s="16" t="n">
        <v>1.1464</v>
      </c>
      <c r="E13" s="16" t="n">
        <v>6.3152</v>
      </c>
      <c r="F13" s="29" t="n">
        <v>9.624700000000001</v>
      </c>
      <c r="G13" s="16" t="n">
        <v>0.95</v>
      </c>
      <c r="H13" s="16" t="inlineStr">
        <is>
          <t>0.675 – 0.950</t>
        </is>
      </c>
      <c r="I13" s="16" t="inlineStr">
        <is>
          <t>O2(7)</t>
        </is>
      </c>
      <c r="J13" s="37" t="n">
        <v>0.34257</v>
      </c>
    </row>
    <row r="14">
      <c r="A14" s="16" t="inlineStr">
        <is>
          <t>Efectividad del regenerador, ε_reg [–]</t>
        </is>
      </c>
      <c r="B14" s="16" t="inlineStr">
        <is>
          <t>0.400 – 0.950</t>
        </is>
      </c>
      <c r="C14" s="16" t="n">
        <v>0.75</v>
      </c>
      <c r="D14" s="16" t="n">
        <v>0.86024</v>
      </c>
      <c r="E14" s="16" t="n">
        <v>4.991</v>
      </c>
      <c r="F14" s="29" t="n">
        <v>10.956</v>
      </c>
      <c r="G14" s="16" t="n">
        <v>0.95</v>
      </c>
      <c r="H14" s="16" t="inlineStr">
        <is>
          <t>0.754 – 0.950</t>
        </is>
      </c>
      <c r="I14" s="16" t="inlineStr">
        <is>
          <t>O2(9)</t>
        </is>
      </c>
      <c r="J14" s="37" t="n">
        <v>0.057196</v>
      </c>
    </row>
    <row r="15">
      <c r="A15" s="16" t="inlineStr">
        <is>
          <t>Efectividad del generador de vapor, ε_HRVG [–]</t>
        </is>
      </c>
      <c r="B15" s="16" t="inlineStr">
        <is>
          <t>0.400 – 0.950</t>
        </is>
      </c>
      <c r="C15" s="16" t="n">
        <v>0.85</v>
      </c>
      <c r="D15" s="16" t="n">
        <v>0.64385</v>
      </c>
      <c r="E15" s="16" t="n">
        <v>6.6911</v>
      </c>
      <c r="F15" s="29" t="n">
        <v>8.364699999999999</v>
      </c>
      <c r="G15" s="16" t="n">
        <v>0.83214</v>
      </c>
      <c r="H15" s="16" t="inlineStr">
        <is>
          <t>0.400 – 0.832</t>
        </is>
      </c>
      <c r="I15" s="16" t="inlineStr">
        <is>
          <t>O2(3) · S3(1)</t>
        </is>
      </c>
      <c r="J15" s="37" t="n">
        <v>0.038668</v>
      </c>
    </row>
    <row r="16">
      <c r="A16" s="16" t="inlineStr">
        <is>
          <t>Presión de baja, P_baja [kPa]</t>
        </is>
      </c>
      <c r="B16" s="16" t="inlineStr">
        <is>
          <t>150.0 – 1500</t>
        </is>
      </c>
      <c r="C16" s="16" t="n">
        <v>563.6</v>
      </c>
      <c r="D16" s="16" t="n">
        <v>-0.5811500000000001</v>
      </c>
      <c r="E16" s="16" t="n">
        <v>6.8008</v>
      </c>
      <c r="F16" s="29" t="n">
        <v>7.9124</v>
      </c>
      <c r="G16" s="16" t="n">
        <v>632.14</v>
      </c>
      <c r="H16" s="16" t="inlineStr">
        <is>
          <t>632.1 – 1500</t>
        </is>
      </c>
      <c r="I16" s="16" t="inlineStr">
        <is>
          <t>O2(5) · O3(1)</t>
        </is>
      </c>
      <c r="J16" s="37" t="n">
        <v>0.016347</v>
      </c>
    </row>
    <row r="17">
      <c r="A17" s="16" t="inlineStr">
        <is>
          <t>Efectividad del condensador, ε_cond [–]</t>
        </is>
      </c>
      <c r="B17" s="16" t="inlineStr">
        <is>
          <t>0.400 – 0.950</t>
        </is>
      </c>
      <c r="C17" s="16" t="n">
        <v>0.8</v>
      </c>
      <c r="D17" s="16" t="n">
        <v>-0.40581</v>
      </c>
      <c r="E17" s="16" t="n">
        <v>0.82117</v>
      </c>
      <c r="F17" s="29" t="n">
        <v>8.348599999999999</v>
      </c>
      <c r="G17" s="16" t="n">
        <v>0.83214</v>
      </c>
      <c r="H17" s="16" t="inlineStr">
        <is>
          <t>0.832 – 0.950</t>
        </is>
      </c>
      <c r="I17" s="16" t="inlineStr">
        <is>
          <t>O2(7)</t>
        </is>
      </c>
      <c r="J17" s="37" t="n">
        <v>0.01155</v>
      </c>
    </row>
    <row r="18">
      <c r="A18" s="16" t="inlineStr">
        <is>
          <t>Eficiencia isentrópica de la bomba, η_p [–]</t>
        </is>
      </c>
      <c r="B18" s="16" t="inlineStr">
        <is>
          <t>0.400 – 0.950</t>
        </is>
      </c>
      <c r="C18" s="16" t="n">
        <v>0.75</v>
      </c>
      <c r="D18" s="16" t="n">
        <v>0.14914</v>
      </c>
      <c r="E18" s="16" t="n">
        <v>1.3776</v>
      </c>
      <c r="F18" s="29" t="n">
        <v>8.7479</v>
      </c>
      <c r="G18" s="16" t="n">
        <v>0.95</v>
      </c>
      <c r="H18" s="16" t="inlineStr">
        <is>
          <t>0.400 – 0.950</t>
        </is>
      </c>
      <c r="I18" s="16" t="inlineStr">
        <is>
          <t>ninguno</t>
        </is>
      </c>
      <c r="J18" s="16" t="n"/>
    </row>
    <row r="20">
      <c r="A20" s="23" t="inlineStr">
        <is>
          <t>Notas: Filtro: puntos genuinos con W_net &gt; 0 de la malla estudio 3.1. n = 10 filas en la tabla. † = fuera del rango confiable (IAPWS G4-01); ‡ = falso convergido. Fuente: canónico + m3_resumen.csv + m3_cruces.csv. Ordenado por |E| de mayor a menor. η máx. KALINA: solo los 15 puntos de la malla (sin A* ni sus vecinos ±1 %), como en la nota del director de REPORTE_M3 §11.</t>
        </is>
      </c>
    </row>
    <row r="23">
      <c r="A23" s="24" t="inlineStr">
        <is>
          <t>Figura 3.1-2 · Pegado a A*, T_fuente es la variable más sensible (E = 10.9)</t>
        </is>
      </c>
    </row>
    <row r="42">
      <c r="A42" s="25" t="inlineStr">
        <is>
          <t>Estudio 3.1. Punto base: A* = punto del profesor con T_fuente = 403 K y P_baja = 563.64 kPa (KALINA, η = 8.48 %)</t>
        </is>
      </c>
    </row>
    <row r="43">
      <c r="A43" s="25" t="inlineStr">
        <is>
          <t>Punto base (las demás variables quedan fijas en): T_fuente = 403 K; T_sumidero = 300.03 K; P_alta = 3000 kPa; P_baja = 563.64 kPa; x_b = 0.5; m_b = 1 kg/s; η_t = 0.85; η_p = 0.75; ε_HRVG = 0.85; ε_reg = 0.75; ε_cond = 0.8; motor de propiedades = teqp. Cada panel o tramo mueve solo su variable.</t>
        </is>
      </c>
    </row>
    <row r="44">
      <c r="A44" s="25" t="inlineStr">
        <is>
          <t>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row>
    <row r="45">
      <c r="A45" s="25" t="inlineStr">
        <is>
          <t>Filtro: m3_resumen.csv (E_eta de la malla).</t>
        </is>
      </c>
    </row>
    <row r="46">
      <c r="A46" s="25" t="inlineStr">
        <is>
          <t>n = 10. Fuente: resultados/2026-10-06_final_M3/m3_resumen.csv.</t>
        </is>
      </c>
    </row>
    <row r="49">
      <c r="A49" s="24" t="inlineStr">
        <is>
          <t>Figura 3.1-4 · A* está a menos del 6 % del rango de la frontera de O2 en 8 de 9 variables</t>
        </is>
      </c>
    </row>
    <row r="68">
      <c r="A68" s="25" t="inlineStr">
        <is>
          <t>Estudio 3.1. Punto base: A* = punto del profesor con T_fuente = 403 K y P_baja = 563.64 kPa (KALINA, η = 8.48 %)</t>
        </is>
      </c>
    </row>
    <row r="69">
      <c r="A69" s="25" t="inlineStr">
        <is>
          <t>Punto base (las demás variables quedan fijas en): T_fuente = 403 K; T_sumidero = 300.03 K; P_alta = 3000 kPa; P_baja = 563.64 kPa; x_b = 0.5; m_b = 1 kg/s; η_t = 0.85; η_p = 0.75; ε_HRVG = 0.85; ε_reg = 0.75; ε_cond = 0.8; motor de propiedades = teqp. Cada panel o tramo mueve solo su variable.</t>
        </is>
      </c>
    </row>
    <row r="70">
      <c r="A70" s="25" t="inlineStr">
        <is>
          <t>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row>
    <row r="71">
      <c r="A71" s="25" t="inlineStr">
        <is>
          <t>Filtro: m3_cruces.csv (tipo = margen).</t>
        </is>
      </c>
    </row>
    <row r="72">
      <c r="A72" s="25" t="inlineStr">
        <is>
          <t>n = 9. Fuente: resultados/2026-10-06_final_M3/m3_cruces.csv.</t>
        </is>
      </c>
    </row>
  </sheetData>
  <autoFilter ref="A8:J18"/>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L231"/>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3.1 · Sensibilidad local alrededor de A*</t>
        </is>
      </c>
    </row>
    <row r="2">
      <c r="A2" t="inlineStr">
        <is>
          <t>Cada fila es un punto calculado (n = 171);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6">
      <c r="A6" s="33" t="inlineStr">
        <is>
          <t>Parte 3.1 · alrededor de A* · 171 puntos</t>
        </is>
      </c>
      <c r="B6" s="31" t="n"/>
      <c r="C6" s="31" t="n"/>
      <c r="D6" s="31" t="n"/>
      <c r="E6" s="31" t="n"/>
      <c r="F6" s="31" t="n"/>
      <c r="G6" s="31" t="n"/>
      <c r="H6" s="31" t="n"/>
      <c r="I6" s="31" t="n"/>
      <c r="J6" s="31" t="n"/>
      <c r="K6" s="31" t="n"/>
      <c r="L6" s="24" t="inlineStr">
        <is>
          <t>Figura 3.1-1 · Cerca de A*, x_b y P_baja son las que más mueven η en su rango</t>
        </is>
      </c>
    </row>
    <row r="7"/>
    <row r="8">
      <c r="A8" s="34" t="inlineStr">
        <is>
          <t>Barrido de T_fuente [K] · 17 puntos</t>
        </is>
      </c>
    </row>
    <row r="9">
      <c r="A9" s="25" t="inlineStr">
        <is>
          <t>Fijos en este barrido: T_sumidero = 300.03, P_alta = 3000, P_baja = 563.64, x_b = 0.5, η_t = 0.85, η_p = 0.75, ε_HRVG = 0.85, ε_reg = 0.75, ε_cond = 0.8.</t>
        </is>
      </c>
    </row>
    <row r="10">
      <c r="A10" s="25" t="inlineStr">
        <is>
          <t>Tipos de punto: malla 15, vecino de A* 2. Los gráficos de este estudio dibujan la malla y los vecinos de A*; el ancla va aparte.</t>
        </is>
      </c>
    </row>
    <row r="11">
      <c r="A11" s="22" t="inlineStr">
        <is>
          <t>id_punto</t>
        </is>
      </c>
      <c r="B11" s="22" t="inlineStr">
        <is>
          <t>T_fuente [K]</t>
        </is>
      </c>
      <c r="C11" s="22" t="inlineStr">
        <is>
          <t>Clase</t>
        </is>
      </c>
      <c r="D11" s="22" t="inlineStr">
        <is>
          <t>η [%]</t>
        </is>
      </c>
      <c r="E11" s="22" t="inlineStr">
        <is>
          <t>W_net [kW] (m_b = 1 kg/s)</t>
        </is>
      </c>
      <c r="F11" s="22" t="inlineStr">
        <is>
          <t>ΔP [kPa]</t>
        </is>
      </c>
      <c r="G11" s="22" t="inlineStr">
        <is>
          <t>r_P [–]</t>
        </is>
      </c>
      <c r="H11" s="22" t="inlineStr">
        <is>
          <t>Fuera de rango</t>
        </is>
      </c>
      <c r="I11" s="22" t="inlineStr">
        <is>
          <t>Criterios que falla</t>
        </is>
      </c>
      <c r="J11" s="22" t="inlineStr">
        <is>
          <t>Tipo de punto</t>
        </is>
      </c>
    </row>
    <row r="12">
      <c r="A12" s="16" t="inlineStr">
        <is>
          <t>KF-M03-0000</t>
        </is>
      </c>
      <c r="B12" s="35" t="n">
        <v>340</v>
      </c>
      <c r="C12" s="32" t="inlineStr">
        <is>
          <t>No convergió</t>
        </is>
      </c>
      <c r="D12" s="29" t="inlineStr">
        <is>
          <t>—</t>
        </is>
      </c>
      <c r="E12" s="35" t="inlineStr">
        <is>
          <t>—</t>
        </is>
      </c>
      <c r="F12" s="36" t="n">
        <v>2436.363636363636</v>
      </c>
      <c r="G12" s="29" t="n">
        <v>5.322580645161289</v>
      </c>
      <c r="H12" s="16" t="inlineStr">
        <is>
          <t>no</t>
        </is>
      </c>
      <c r="I12" s="16" t="n"/>
      <c r="J12" s="16" t="inlineStr">
        <is>
          <t>malla</t>
        </is>
      </c>
    </row>
    <row r="13">
      <c r="A13" s="16" t="inlineStr">
        <is>
          <t>KF-M03-0003</t>
        </is>
      </c>
      <c r="B13" s="35" t="n">
        <v>360.225</v>
      </c>
      <c r="C13" s="32" t="inlineStr">
        <is>
          <t>No convergió</t>
        </is>
      </c>
      <c r="D13" s="29" t="inlineStr">
        <is>
          <t>—</t>
        </is>
      </c>
      <c r="E13" s="35" t="inlineStr">
        <is>
          <t>—</t>
        </is>
      </c>
      <c r="F13" s="36" t="n">
        <v>2436.363636363636</v>
      </c>
      <c r="G13" s="29" t="n">
        <v>5.322580645161289</v>
      </c>
      <c r="H13" s="16" t="inlineStr">
        <is>
          <t>no</t>
        </is>
      </c>
      <c r="I13" s="16" t="n"/>
      <c r="J13" s="16" t="inlineStr">
        <is>
          <t>malla</t>
        </is>
      </c>
    </row>
    <row r="14">
      <c r="A14" s="16" t="inlineStr">
        <is>
          <t>KF-M03-0004</t>
        </is>
      </c>
      <c r="B14" s="35" t="n">
        <v>380.45</v>
      </c>
      <c r="C14" s="38" t="inlineStr">
        <is>
          <t>Falso convergido</t>
        </is>
      </c>
      <c r="D14" s="29" t="inlineStr">
        <is>
          <t>—</t>
        </is>
      </c>
      <c r="E14" s="35" t="inlineStr">
        <is>
          <t>—</t>
        </is>
      </c>
      <c r="F14" s="36" t="n">
        <v>2436.363636363636</v>
      </c>
      <c r="G14" s="29" t="n">
        <v>5.322580645161289</v>
      </c>
      <c r="H14" s="16" t="inlineStr">
        <is>
          <t>no</t>
        </is>
      </c>
      <c r="I14" s="16" t="inlineStr">
        <is>
          <t>N2,S6,O3,O5,C1,C3,C3</t>
        </is>
      </c>
      <c r="J14" s="16" t="inlineStr">
        <is>
          <t>malla</t>
        </is>
      </c>
    </row>
    <row r="15">
      <c r="A15" s="16" t="inlineStr">
        <is>
          <t>KF-M03-0016</t>
        </is>
      </c>
      <c r="B15" s="35" t="n">
        <v>400.1685</v>
      </c>
      <c r="C15" s="42" t="inlineStr">
        <is>
          <t>KALINA</t>
        </is>
      </c>
      <c r="D15" s="29" t="n">
        <v>7.758199477466101</v>
      </c>
      <c r="E15" s="35" t="n">
        <v>21.14445194646854</v>
      </c>
      <c r="F15" s="36" t="n">
        <v>2436.363636363636</v>
      </c>
      <c r="G15" s="29" t="n">
        <v>5.322580645161289</v>
      </c>
      <c r="H15" s="16" t="inlineStr">
        <is>
          <t>no</t>
        </is>
      </c>
      <c r="I15" s="16" t="n"/>
      <c r="J15" s="16" t="inlineStr">
        <is>
          <t>vecino de A*</t>
        </is>
      </c>
    </row>
    <row r="16">
      <c r="A16" s="16" t="inlineStr">
        <is>
          <t>KF-M03-0001</t>
        </is>
      </c>
      <c r="B16" s="35" t="n">
        <v>400.675</v>
      </c>
      <c r="C16" s="42" t="inlineStr">
        <is>
          <t>KALINA</t>
        </is>
      </c>
      <c r="D16" s="29" t="n">
        <v>7.901241058317191</v>
      </c>
      <c r="E16" s="35" t="n">
        <v>22.0086405435175</v>
      </c>
      <c r="F16" s="36" t="n">
        <v>2436.363636363636</v>
      </c>
      <c r="G16" s="29" t="n">
        <v>5.322580645161289</v>
      </c>
      <c r="H16" s="16" t="inlineStr">
        <is>
          <t>no</t>
        </is>
      </c>
      <c r="I16" s="16" t="n"/>
      <c r="J16" s="16" t="inlineStr">
        <is>
          <t>malla</t>
        </is>
      </c>
    </row>
    <row r="17">
      <c r="A17" s="16" t="inlineStr">
        <is>
          <t>KF-M03-0018</t>
        </is>
      </c>
      <c r="B17" s="35" t="n">
        <v>405.8315</v>
      </c>
      <c r="C17" s="39" t="inlineStr">
        <is>
          <t>Corregible</t>
        </is>
      </c>
      <c r="D17" s="29" t="n">
        <v>9.05391542175971</v>
      </c>
      <c r="E17" s="35" t="n">
        <v>30.66372902819186</v>
      </c>
      <c r="F17" s="36" t="n">
        <v>2436.363636363636</v>
      </c>
      <c r="G17" s="29" t="n">
        <v>5.322580645161289</v>
      </c>
      <c r="H17" s="16" t="inlineStr">
        <is>
          <t>no</t>
        </is>
      </c>
      <c r="I17" s="16" t="inlineStr">
        <is>
          <t>O2</t>
        </is>
      </c>
      <c r="J17" s="16" t="inlineStr">
        <is>
          <t>vecino de A*</t>
        </is>
      </c>
    </row>
    <row r="18">
      <c r="A18" s="16" t="inlineStr">
        <is>
          <t>KF-M03-0005</t>
        </is>
      </c>
      <c r="B18" s="35" t="n">
        <v>420.9</v>
      </c>
      <c r="C18" s="39" t="inlineStr">
        <is>
          <t>Corregible</t>
        </is>
      </c>
      <c r="D18" s="29" t="n">
        <v>10.74105785424298</v>
      </c>
      <c r="E18" s="35" t="n">
        <v>55.20238945868856</v>
      </c>
      <c r="F18" s="36" t="n">
        <v>2436.363636363636</v>
      </c>
      <c r="G18" s="29" t="n">
        <v>5.322580645161289</v>
      </c>
      <c r="H18" s="16" t="inlineStr">
        <is>
          <t>no</t>
        </is>
      </c>
      <c r="I18" s="16" t="inlineStr">
        <is>
          <t>O2</t>
        </is>
      </c>
      <c r="J18" s="16" t="inlineStr">
        <is>
          <t>malla</t>
        </is>
      </c>
    </row>
    <row r="19">
      <c r="A19" s="16" t="inlineStr">
        <is>
          <t>KF-M03-0006</t>
        </is>
      </c>
      <c r="B19" s="35" t="n">
        <v>441.125</v>
      </c>
      <c r="C19" s="39" t="inlineStr">
        <is>
          <t>Corregible</t>
        </is>
      </c>
      <c r="D19" s="29" t="n">
        <v>11.52975398831265</v>
      </c>
      <c r="E19" s="35" t="n">
        <v>91.4890191654396</v>
      </c>
      <c r="F19" s="36" t="n">
        <v>2436.363636363636</v>
      </c>
      <c r="G19" s="29" t="n">
        <v>5.322580645161289</v>
      </c>
      <c r="H19" s="16" t="inlineStr">
        <is>
          <t>sí</t>
        </is>
      </c>
      <c r="I19" s="16" t="inlineStr">
        <is>
          <t>O2</t>
        </is>
      </c>
      <c r="J19" s="16" t="inlineStr">
        <is>
          <t>malla</t>
        </is>
      </c>
    </row>
    <row r="20">
      <c r="A20" s="16" t="inlineStr">
        <is>
          <t>KF-M03-0007</t>
        </is>
      </c>
      <c r="B20" s="35" t="n">
        <v>461.35</v>
      </c>
      <c r="C20" s="39" t="inlineStr">
        <is>
          <t>Corregible</t>
        </is>
      </c>
      <c r="D20" s="29" t="n">
        <v>11.56863506159118</v>
      </c>
      <c r="E20" s="35" t="n">
        <v>142.6469708584337</v>
      </c>
      <c r="F20" s="36" t="n">
        <v>2436.363636363636</v>
      </c>
      <c r="G20" s="29" t="n">
        <v>5.322580645161289</v>
      </c>
      <c r="H20" s="16" t="inlineStr">
        <is>
          <t>sí</t>
        </is>
      </c>
      <c r="I20" s="16" t="inlineStr">
        <is>
          <t>O2</t>
        </is>
      </c>
      <c r="J20" s="16" t="inlineStr">
        <is>
          <t>malla</t>
        </is>
      </c>
    </row>
    <row r="21">
      <c r="A21" s="16" t="inlineStr">
        <is>
          <t>KF-M03-0008</t>
        </is>
      </c>
      <c r="B21" s="35" t="n">
        <v>481.575</v>
      </c>
      <c r="C21" s="39" t="inlineStr">
        <is>
          <t>Corregible</t>
        </is>
      </c>
      <c r="D21" s="29" t="n">
        <v>11.35643745671123</v>
      </c>
      <c r="E21" s="35" t="n">
        <v>185.6840031438072</v>
      </c>
      <c r="F21" s="36" t="n">
        <v>2436.363636363636</v>
      </c>
      <c r="G21" s="29" t="n">
        <v>5.322580645161289</v>
      </c>
      <c r="H21" s="16" t="inlineStr">
        <is>
          <t>sí</t>
        </is>
      </c>
      <c r="I21" s="16" t="inlineStr">
        <is>
          <t>O2</t>
        </is>
      </c>
      <c r="J21" s="16" t="inlineStr">
        <is>
          <t>malla</t>
        </is>
      </c>
    </row>
    <row r="22">
      <c r="A22" s="16" t="inlineStr">
        <is>
          <t>KF-M03-0010</t>
        </is>
      </c>
      <c r="B22" s="35" t="n">
        <v>501.8</v>
      </c>
      <c r="C22" s="39" t="inlineStr">
        <is>
          <t>Corregible</t>
        </is>
      </c>
      <c r="D22" s="29" t="n">
        <v>11.330252813248</v>
      </c>
      <c r="E22" s="35" t="n">
        <v>190.5026723860033</v>
      </c>
      <c r="F22" s="36" t="n">
        <v>2436.363636363636</v>
      </c>
      <c r="G22" s="29" t="n">
        <v>5.322580645161289</v>
      </c>
      <c r="H22" s="16" t="inlineStr">
        <is>
          <t>sí</t>
        </is>
      </c>
      <c r="I22" s="16" t="inlineStr">
        <is>
          <t>O2</t>
        </is>
      </c>
      <c r="J22" s="16" t="inlineStr">
        <is>
          <t>malla</t>
        </is>
      </c>
    </row>
    <row r="23">
      <c r="A23" s="16" t="inlineStr">
        <is>
          <t>KF-M03-0009</t>
        </is>
      </c>
      <c r="B23" s="35" t="n">
        <v>522.025</v>
      </c>
      <c r="C23" s="39" t="inlineStr">
        <is>
          <t>Corregible</t>
        </is>
      </c>
      <c r="D23" s="29" t="n">
        <v>11.30755460645939</v>
      </c>
      <c r="E23" s="35" t="n">
        <v>195.0735218895358</v>
      </c>
      <c r="F23" s="36" t="n">
        <v>2436.363636363636</v>
      </c>
      <c r="G23" s="29" t="n">
        <v>5.322580645161289</v>
      </c>
      <c r="H23" s="16" t="inlineStr">
        <is>
          <t>sí</t>
        </is>
      </c>
      <c r="I23" s="16" t="inlineStr">
        <is>
          <t>O2</t>
        </is>
      </c>
      <c r="J23" s="16" t="inlineStr">
        <is>
          <t>malla</t>
        </is>
      </c>
    </row>
    <row r="24">
      <c r="A24" s="16" t="inlineStr">
        <is>
          <t>KF-M03-0011</t>
        </is>
      </c>
      <c r="B24" s="35" t="n">
        <v>542.25</v>
      </c>
      <c r="C24" s="39" t="inlineStr">
        <is>
          <t>Corregible</t>
        </is>
      </c>
      <c r="D24" s="29" t="n">
        <v>11.28657037253576</v>
      </c>
      <c r="E24" s="35" t="n">
        <v>199.4849814759846</v>
      </c>
      <c r="F24" s="36" t="n">
        <v>2436.363636363636</v>
      </c>
      <c r="G24" s="29" t="n">
        <v>5.322580645161289</v>
      </c>
      <c r="H24" s="16" t="inlineStr">
        <is>
          <t>sí</t>
        </is>
      </c>
      <c r="I24" s="16" t="inlineStr">
        <is>
          <t>O2</t>
        </is>
      </c>
      <c r="J24" s="16" t="inlineStr">
        <is>
          <t>malla</t>
        </is>
      </c>
    </row>
    <row r="25">
      <c r="A25" s="16" t="inlineStr">
        <is>
          <t>KF-M03-0013</t>
        </is>
      </c>
      <c r="B25" s="35" t="n">
        <v>562.4749999999999</v>
      </c>
      <c r="C25" s="39" t="inlineStr">
        <is>
          <t>Corregible</t>
        </is>
      </c>
      <c r="D25" s="29" t="n">
        <v>11.26716403941931</v>
      </c>
      <c r="E25" s="35" t="n">
        <v>203.8154959014158</v>
      </c>
      <c r="F25" s="36" t="n">
        <v>2436.363636363636</v>
      </c>
      <c r="G25" s="29" t="n">
        <v>5.322580645161289</v>
      </c>
      <c r="H25" s="16" t="inlineStr">
        <is>
          <t>sí</t>
        </is>
      </c>
      <c r="I25" s="16" t="inlineStr">
        <is>
          <t>O2</t>
        </is>
      </c>
      <c r="J25" s="16" t="inlineStr">
        <is>
          <t>malla</t>
        </is>
      </c>
      <c r="L25" s="25" t="inlineStr">
        <is>
          <t>Estudio 3.1. Punto base: A* = punto del profesor con T_fuente = 403 K y P_baja = 563.64 kPa (KALINA, η = 8.48 %)</t>
        </is>
      </c>
    </row>
    <row r="26">
      <c r="A26" s="16" t="inlineStr">
        <is>
          <t>KF-M03-0014</t>
        </is>
      </c>
      <c r="B26" s="35" t="n">
        <v>582.7</v>
      </c>
      <c r="C26" s="39" t="inlineStr">
        <is>
          <t>Corregible</t>
        </is>
      </c>
      <c r="D26" s="29" t="n">
        <v>11.24919898631345</v>
      </c>
      <c r="E26" s="35" t="n">
        <v>208.0997623953892</v>
      </c>
      <c r="F26" s="36" t="n">
        <v>2436.363636363636</v>
      </c>
      <c r="G26" s="29" t="n">
        <v>5.322580645161289</v>
      </c>
      <c r="H26" s="16" t="inlineStr">
        <is>
          <t>sí</t>
        </is>
      </c>
      <c r="I26" s="16" t="inlineStr">
        <is>
          <t>O2</t>
        </is>
      </c>
      <c r="J26" s="16" t="inlineStr">
        <is>
          <t>malla</t>
        </is>
      </c>
      <c r="L26" s="25" t="inlineStr">
        <is>
          <t>Punto base (las demás variables quedan fijas en): T_fuente = 403 K; T_sumidero = 300.03 K; P_alta = 3000 kPa; P_baja = 563.64 kPa; x_b = 0.5; m_b = 1 kg/s; η_t = 0.85; η_p = 0.75; ε_HRVG = 0.85; ε_reg = 0.75; ε_cond = 0.8; motor de propiedades = teqp. Cada panel o tramo mueve solo su variable.</t>
        </is>
      </c>
    </row>
    <row r="27">
      <c r="A27" s="16" t="inlineStr">
        <is>
          <t>KF-M03-0012</t>
        </is>
      </c>
      <c r="B27" s="35" t="n">
        <v>602.925</v>
      </c>
      <c r="C27" s="32" t="inlineStr">
        <is>
          <t>No convergió</t>
        </is>
      </c>
      <c r="D27" s="29" t="inlineStr">
        <is>
          <t>—</t>
        </is>
      </c>
      <c r="E27" s="35" t="inlineStr">
        <is>
          <t>—</t>
        </is>
      </c>
      <c r="F27" s="36" t="n">
        <v>2436.363636363636</v>
      </c>
      <c r="G27" s="29" t="n">
        <v>5.322580645161289</v>
      </c>
      <c r="H27" s="16" t="inlineStr">
        <is>
          <t>no</t>
        </is>
      </c>
      <c r="I27" s="16" t="n"/>
      <c r="J27" s="16" t="inlineStr">
        <is>
          <t>malla</t>
        </is>
      </c>
      <c r="L27" s="25" t="inlineStr">
        <is>
          <t>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row>
    <row r="28">
      <c r="A28" s="16" t="inlineStr">
        <is>
          <t>KF-M03-0015</t>
        </is>
      </c>
      <c r="B28" s="35" t="n">
        <v>623.15</v>
      </c>
      <c r="C28" s="32" t="inlineStr">
        <is>
          <t>No convergió</t>
        </is>
      </c>
      <c r="D28" s="29" t="inlineStr">
        <is>
          <t>—</t>
        </is>
      </c>
      <c r="E28" s="35" t="inlineStr">
        <is>
          <t>—</t>
        </is>
      </c>
      <c r="F28" s="36" t="n">
        <v>2436.363636363636</v>
      </c>
      <c r="G28" s="29" t="n">
        <v>5.322580645161289</v>
      </c>
      <c r="H28" s="16" t="inlineStr">
        <is>
          <t>no</t>
        </is>
      </c>
      <c r="I28" s="16" t="n"/>
      <c r="J28" s="16" t="inlineStr">
        <is>
          <t>malla</t>
        </is>
      </c>
      <c r="L28" s="25" t="inlineStr">
        <is>
          <t>Filtro: estudio 3.1, malla, puntos genuinos con W_net &gt; 0.</t>
        </is>
      </c>
    </row>
    <row r="29">
      <c r="L29" s="25" t="inlineStr">
        <is>
          <t>n = 123. Fuente: todos_los_puntos.csv.</t>
        </is>
      </c>
    </row>
    <row r="30">
      <c r="A30" s="34" t="inlineStr">
        <is>
          <t>Barrido de T_sumidero [K] · 17 puntos</t>
        </is>
      </c>
    </row>
    <row r="31">
      <c r="A31" s="25" t="inlineStr">
        <is>
          <t>Fijos en este barrido: T_fuente = 403, P_alta = 3000, P_baja = 563.64, x_b = 0.5, η_t = 0.85, η_p = 0.75, ε_HRVG = 0.85, ε_reg = 0.75, ε_cond = 0.8.</t>
        </is>
      </c>
    </row>
    <row r="32">
      <c r="A32" s="25" t="inlineStr">
        <is>
          <t>Tipos de punto: malla 15, vecino de A* 2. Los gráficos de este estudio dibujan la malla y los vecinos de A*; el ancla va aparte.</t>
        </is>
      </c>
      <c r="L32" s="24" t="inlineStr">
        <is>
          <t>Figura 3.1-3 · Eficiencia según cada variable, una a la vez, alrededor de A*</t>
        </is>
      </c>
    </row>
    <row r="33">
      <c r="A33" s="22" t="inlineStr">
        <is>
          <t>id_punto</t>
        </is>
      </c>
      <c r="B33" s="22" t="inlineStr">
        <is>
          <t>T_sumidero [K]</t>
        </is>
      </c>
      <c r="C33" s="22" t="inlineStr">
        <is>
          <t>Clase</t>
        </is>
      </c>
      <c r="D33" s="22" t="inlineStr">
        <is>
          <t>η [%]</t>
        </is>
      </c>
      <c r="E33" s="22" t="inlineStr">
        <is>
          <t>W_net [kW] (m_b = 1 kg/s)</t>
        </is>
      </c>
      <c r="F33" s="22" t="inlineStr">
        <is>
          <t>ΔP [kPa]</t>
        </is>
      </c>
      <c r="G33" s="22" t="inlineStr">
        <is>
          <t>r_P [–]</t>
        </is>
      </c>
      <c r="H33" s="22" t="inlineStr">
        <is>
          <t>Fuera de rango</t>
        </is>
      </c>
      <c r="I33" s="22" t="inlineStr">
        <is>
          <t>Criterios que falla</t>
        </is>
      </c>
      <c r="J33" s="22" t="inlineStr">
        <is>
          <t>Tipo de punto</t>
        </is>
      </c>
    </row>
    <row r="34">
      <c r="A34" s="16" t="inlineStr">
        <is>
          <t>KF-M03-0019</t>
        </is>
      </c>
      <c r="B34" s="35" t="n">
        <v>283.15</v>
      </c>
      <c r="C34" s="42" t="inlineStr">
        <is>
          <t>KALINA</t>
        </is>
      </c>
      <c r="D34" s="29" t="n">
        <v>7.77124008573107</v>
      </c>
      <c r="E34" s="35" t="n">
        <v>25.49928657081651</v>
      </c>
      <c r="F34" s="36" t="n">
        <v>2436.363636363636</v>
      </c>
      <c r="G34" s="29" t="n">
        <v>5.322580645161289</v>
      </c>
      <c r="H34" s="16" t="inlineStr">
        <is>
          <t>no</t>
        </is>
      </c>
      <c r="I34" s="16" t="n"/>
      <c r="J34" s="16" t="inlineStr">
        <is>
          <t>malla</t>
        </is>
      </c>
    </row>
    <row r="35">
      <c r="A35" s="16" t="inlineStr">
        <is>
          <t>KF-M03-0017</t>
        </is>
      </c>
      <c r="B35" s="35" t="n">
        <v>284.6071428571428</v>
      </c>
      <c r="C35" s="42" t="inlineStr">
        <is>
          <t>KALINA</t>
        </is>
      </c>
      <c r="D35" s="29" t="n">
        <v>7.82819168388212</v>
      </c>
      <c r="E35" s="35" t="n">
        <v>25.53725530158006</v>
      </c>
      <c r="F35" s="36" t="n">
        <v>2436.363636363636</v>
      </c>
      <c r="G35" s="29" t="n">
        <v>5.322580645161289</v>
      </c>
      <c r="H35" s="16" t="inlineStr">
        <is>
          <t>no</t>
        </is>
      </c>
      <c r="I35" s="16" t="n"/>
      <c r="J35" s="16" t="inlineStr">
        <is>
          <t>malla</t>
        </is>
      </c>
    </row>
    <row r="36">
      <c r="A36" s="16" t="inlineStr">
        <is>
          <t>KF-M03-0021</t>
        </is>
      </c>
      <c r="B36" s="35" t="n">
        <v>286.0642857142857</v>
      </c>
      <c r="C36" s="42" t="inlineStr">
        <is>
          <t>KALINA</t>
        </is>
      </c>
      <c r="D36" s="29" t="n">
        <v>7.88591981406722</v>
      </c>
      <c r="E36" s="35" t="n">
        <v>25.57527009071268</v>
      </c>
      <c r="F36" s="36" t="n">
        <v>2436.363636363636</v>
      </c>
      <c r="G36" s="29" t="n">
        <v>5.322580645161289</v>
      </c>
      <c r="H36" s="16" t="inlineStr">
        <is>
          <t>no</t>
        </is>
      </c>
      <c r="I36" s="16" t="n"/>
      <c r="J36" s="16" t="inlineStr">
        <is>
          <t>malla</t>
        </is>
      </c>
    </row>
    <row r="37">
      <c r="A37" s="16" t="inlineStr">
        <is>
          <t>KF-M03-0020</t>
        </is>
      </c>
      <c r="B37" s="35" t="n">
        <v>287.5214285714285</v>
      </c>
      <c r="C37" s="42" t="inlineStr">
        <is>
          <t>KALINA</t>
        </is>
      </c>
      <c r="D37" s="29" t="n">
        <v>7.944439444895619</v>
      </c>
      <c r="E37" s="35" t="n">
        <v>25.61333002774528</v>
      </c>
      <c r="F37" s="36" t="n">
        <v>2436.363636363636</v>
      </c>
      <c r="G37" s="29" t="n">
        <v>5.322580645161289</v>
      </c>
      <c r="H37" s="16" t="inlineStr">
        <is>
          <t>no</t>
        </is>
      </c>
      <c r="I37" s="16" t="n"/>
      <c r="J37" s="16" t="inlineStr">
        <is>
          <t>malla</t>
        </is>
      </c>
    </row>
    <row r="38">
      <c r="A38" s="16" t="inlineStr">
        <is>
          <t>KF-M03-0022</t>
        </is>
      </c>
      <c r="B38" s="35" t="n">
        <v>288.9785714285714</v>
      </c>
      <c r="C38" s="42" t="inlineStr">
        <is>
          <t>KALINA</t>
        </is>
      </c>
      <c r="D38" s="29" t="n">
        <v>8.00376608012461</v>
      </c>
      <c r="E38" s="35" t="n">
        <v>25.65143428218371</v>
      </c>
      <c r="F38" s="36" t="n">
        <v>2436.363636363636</v>
      </c>
      <c r="G38" s="29" t="n">
        <v>5.322580645161289</v>
      </c>
      <c r="H38" s="16" t="inlineStr">
        <is>
          <t>no</t>
        </is>
      </c>
      <c r="I38" s="16" t="n"/>
      <c r="J38" s="16" t="inlineStr">
        <is>
          <t>malla</t>
        </is>
      </c>
    </row>
    <row r="39">
      <c r="A39" s="16" t="inlineStr">
        <is>
          <t>KF-M03-0023</t>
        </is>
      </c>
      <c r="B39" s="35" t="n">
        <v>290.4357142857143</v>
      </c>
      <c r="C39" s="42" t="inlineStr">
        <is>
          <t>KALINA</t>
        </is>
      </c>
      <c r="D39" s="29" t="n">
        <v>8.06391577457363</v>
      </c>
      <c r="E39" s="35" t="n">
        <v>25.6895820999942</v>
      </c>
      <c r="F39" s="36" t="n">
        <v>2436.363636363636</v>
      </c>
      <c r="G39" s="29" t="n">
        <v>5.322580645161289</v>
      </c>
      <c r="H39" s="16" t="inlineStr">
        <is>
          <t>no</t>
        </is>
      </c>
      <c r="I39" s="16" t="n"/>
      <c r="J39" s="16" t="inlineStr">
        <is>
          <t>malla</t>
        </is>
      </c>
    </row>
    <row r="40">
      <c r="A40" s="16" t="inlineStr">
        <is>
          <t>KF-M03-0024</t>
        </is>
      </c>
      <c r="B40" s="35" t="n">
        <v>291.8928571428571</v>
      </c>
      <c r="C40" s="42" t="inlineStr">
        <is>
          <t>KALINA</t>
        </is>
      </c>
      <c r="D40" s="29" t="n">
        <v>8.124905143525279</v>
      </c>
      <c r="E40" s="35" t="n">
        <v>25.72777278615488</v>
      </c>
      <c r="F40" s="36" t="n">
        <v>2436.363636363636</v>
      </c>
      <c r="G40" s="29" t="n">
        <v>5.322580645161289</v>
      </c>
      <c r="H40" s="16" t="inlineStr">
        <is>
          <t>no</t>
        </is>
      </c>
      <c r="I40" s="16" t="n"/>
      <c r="J40" s="16" t="inlineStr">
        <is>
          <t>malla</t>
        </is>
      </c>
    </row>
    <row r="41">
      <c r="A41" s="16" t="inlineStr">
        <is>
          <t>KF-M03-0026</t>
        </is>
      </c>
      <c r="B41" s="35" t="n">
        <v>293.35</v>
      </c>
      <c r="C41" s="42" t="inlineStr">
        <is>
          <t>KALINA</t>
        </is>
      </c>
      <c r="D41" s="29" t="n">
        <v>8.18675139559317</v>
      </c>
      <c r="E41" s="35" t="n">
        <v>25.76600575145878</v>
      </c>
      <c r="F41" s="36" t="n">
        <v>2436.363636363636</v>
      </c>
      <c r="G41" s="29" t="n">
        <v>5.322580645161289</v>
      </c>
      <c r="H41" s="16" t="inlineStr">
        <is>
          <t>no</t>
        </is>
      </c>
      <c r="I41" s="16" t="n"/>
      <c r="J41" s="16" t="inlineStr">
        <is>
          <t>malla</t>
        </is>
      </c>
    </row>
    <row r="42">
      <c r="A42" s="16" t="inlineStr">
        <is>
          <t>KF-M03-0025</t>
        </is>
      </c>
      <c r="B42" s="35" t="n">
        <v>294.8071428571429</v>
      </c>
      <c r="C42" s="42" t="inlineStr">
        <is>
          <t>KALINA</t>
        </is>
      </c>
      <c r="D42" s="29" t="n">
        <v>8.24947232257384</v>
      </c>
      <c r="E42" s="35" t="n">
        <v>25.80428042206708</v>
      </c>
      <c r="F42" s="36" t="n">
        <v>2436.363636363636</v>
      </c>
      <c r="G42" s="29" t="n">
        <v>5.322580645161289</v>
      </c>
      <c r="H42" s="16" t="inlineStr">
        <is>
          <t>no</t>
        </is>
      </c>
      <c r="I42" s="16" t="n"/>
      <c r="J42" s="16" t="inlineStr">
        <is>
          <t>malla</t>
        </is>
      </c>
    </row>
    <row r="43">
      <c r="A43" s="16" t="inlineStr">
        <is>
          <t>KF-M03-0027</t>
        </is>
      </c>
      <c r="B43" s="35" t="n">
        <v>296.2642857142857</v>
      </c>
      <c r="C43" s="42" t="inlineStr">
        <is>
          <t>KALINA</t>
        </is>
      </c>
      <c r="D43" s="29" t="n">
        <v>8.31308633878894</v>
      </c>
      <c r="E43" s="35" t="n">
        <v>25.84259630207274</v>
      </c>
      <c r="F43" s="36" t="n">
        <v>2436.363636363636</v>
      </c>
      <c r="G43" s="29" t="n">
        <v>5.322580645161289</v>
      </c>
      <c r="H43" s="16" t="inlineStr">
        <is>
          <t>no</t>
        </is>
      </c>
      <c r="I43" s="16" t="n"/>
      <c r="J43" s="16" t="inlineStr">
        <is>
          <t>malla</t>
        </is>
      </c>
    </row>
    <row r="44">
      <c r="A44" s="16" t="inlineStr">
        <is>
          <t>KF-M03-0028</t>
        </is>
      </c>
      <c r="B44" s="35" t="n">
        <v>297.7214285714286</v>
      </c>
      <c r="C44" s="42" t="inlineStr">
        <is>
          <t>KALINA</t>
        </is>
      </c>
      <c r="D44" s="29" t="n">
        <v>8.377612494883891</v>
      </c>
      <c r="E44" s="35" t="n">
        <v>25.88095295261229</v>
      </c>
      <c r="F44" s="36" t="n">
        <v>2436.363636363636</v>
      </c>
      <c r="G44" s="29" t="n">
        <v>5.322580645161289</v>
      </c>
      <c r="H44" s="16" t="inlineStr">
        <is>
          <t>no</t>
        </is>
      </c>
      <c r="I44" s="16" t="n"/>
      <c r="J44" s="16" t="inlineStr">
        <is>
          <t>malla</t>
        </is>
      </c>
    </row>
    <row r="45">
      <c r="A45" s="16" t="inlineStr">
        <is>
          <t>KF-M03-0029</t>
        </is>
      </c>
      <c r="B45" s="35" t="n">
        <v>299.1785714285714</v>
      </c>
      <c r="C45" s="42" t="inlineStr">
        <is>
          <t>KALINA</t>
        </is>
      </c>
      <c r="D45" s="29" t="n">
        <v>8.44307052419768</v>
      </c>
      <c r="E45" s="35" t="n">
        <v>25.91935000098482</v>
      </c>
      <c r="F45" s="36" t="n">
        <v>2436.363636363636</v>
      </c>
      <c r="G45" s="29" t="n">
        <v>5.322580645161289</v>
      </c>
      <c r="H45" s="16" t="inlineStr">
        <is>
          <t>no</t>
        </is>
      </c>
      <c r="I45" s="16" t="n"/>
      <c r="J45" s="16" t="inlineStr">
        <is>
          <t>malla</t>
        </is>
      </c>
    </row>
    <row r="46">
      <c r="A46" s="16" t="inlineStr">
        <is>
          <t>KF-M03-0033</t>
        </is>
      </c>
      <c r="B46" s="35" t="n">
        <v>299.828917</v>
      </c>
      <c r="C46" s="42" t="inlineStr">
        <is>
          <t>KALINA</t>
        </is>
      </c>
      <c r="D46" s="29" t="n">
        <v>8.472591590692589</v>
      </c>
      <c r="E46" s="35" t="n">
        <v>25.93650016275108</v>
      </c>
      <c r="F46" s="36" t="n">
        <v>2436.363636363636</v>
      </c>
      <c r="G46" s="29" t="n">
        <v>5.322580645161289</v>
      </c>
      <c r="H46" s="16" t="inlineStr">
        <is>
          <t>no</t>
        </is>
      </c>
      <c r="I46" s="16" t="n"/>
      <c r="J46" s="16" t="inlineStr">
        <is>
          <t>vecino de A*</t>
        </is>
      </c>
    </row>
    <row r="47">
      <c r="A47" s="16" t="inlineStr">
        <is>
          <t>KF-M03-0035</t>
        </is>
      </c>
      <c r="B47" s="35" t="n">
        <v>300.236917</v>
      </c>
      <c r="C47" s="42" t="inlineStr">
        <is>
          <t>KALINA</t>
        </is>
      </c>
      <c r="D47" s="29" t="n">
        <v>8.491209553756059</v>
      </c>
      <c r="E47" s="35" t="n">
        <v>25.94726353826813</v>
      </c>
      <c r="F47" s="36" t="n">
        <v>2436.363636363636</v>
      </c>
      <c r="G47" s="29" t="n">
        <v>5.322580645161289</v>
      </c>
      <c r="H47" s="16" t="inlineStr">
        <is>
          <t>no</t>
        </is>
      </c>
      <c r="I47" s="16" t="n"/>
      <c r="J47" s="16" t="inlineStr">
        <is>
          <t>vecino de A*</t>
        </is>
      </c>
    </row>
    <row r="48">
      <c r="A48" s="16" t="inlineStr">
        <is>
          <t>KF-M03-0030</t>
        </is>
      </c>
      <c r="B48" s="35" t="n">
        <v>300.6357142857143</v>
      </c>
      <c r="C48" s="39" t="inlineStr">
        <is>
          <t>Corregible</t>
        </is>
      </c>
      <c r="D48" s="29" t="n">
        <v>8.50933638220649</v>
      </c>
      <c r="E48" s="35" t="n">
        <v>25.95733234941006</v>
      </c>
      <c r="F48" s="36" t="n">
        <v>2436.363636363636</v>
      </c>
      <c r="G48" s="29" t="n">
        <v>5.322580645161289</v>
      </c>
      <c r="H48" s="16" t="inlineStr">
        <is>
          <t>no</t>
        </is>
      </c>
      <c r="I48" s="16" t="inlineStr">
        <is>
          <t>O2</t>
        </is>
      </c>
      <c r="J48" s="16" t="inlineStr">
        <is>
          <t>malla</t>
        </is>
      </c>
    </row>
    <row r="49">
      <c r="A49" s="16" t="inlineStr">
        <is>
          <t>KF-M03-0031</t>
        </is>
      </c>
      <c r="B49" s="35" t="n">
        <v>302.0928571428572</v>
      </c>
      <c r="C49" s="39" t="inlineStr">
        <is>
          <t>Corregible</t>
        </is>
      </c>
      <c r="D49" s="29" t="n">
        <v>8.57062342199162</v>
      </c>
      <c r="E49" s="35" t="n">
        <v>25.97673986762005</v>
      </c>
      <c r="F49" s="36" t="n">
        <v>2436.363636363636</v>
      </c>
      <c r="G49" s="29" t="n">
        <v>5.322580645161289</v>
      </c>
      <c r="H49" s="16" t="inlineStr">
        <is>
          <t>no</t>
        </is>
      </c>
      <c r="I49" s="16" t="inlineStr">
        <is>
          <t>O2</t>
        </is>
      </c>
      <c r="J49" s="16" t="inlineStr">
        <is>
          <t>malla</t>
        </is>
      </c>
    </row>
    <row r="50">
      <c r="A50" s="16" t="inlineStr">
        <is>
          <t>KF-M03-0032</t>
        </is>
      </c>
      <c r="B50" s="35" t="n">
        <v>303.55</v>
      </c>
      <c r="C50" s="39" t="inlineStr">
        <is>
          <t>Corregible</t>
        </is>
      </c>
      <c r="D50" s="29" t="n">
        <v>8.623774447903509</v>
      </c>
      <c r="E50" s="35" t="n">
        <v>25.96805576894423</v>
      </c>
      <c r="F50" s="36" t="n">
        <v>2436.363636363636</v>
      </c>
      <c r="G50" s="29" t="n">
        <v>5.322580645161289</v>
      </c>
      <c r="H50" s="16" t="inlineStr">
        <is>
          <t>no</t>
        </is>
      </c>
      <c r="I50" s="16" t="inlineStr">
        <is>
          <t>O2</t>
        </is>
      </c>
      <c r="J50" s="16" t="inlineStr">
        <is>
          <t>malla</t>
        </is>
      </c>
    </row>
    <row r="51"/>
    <row r="52">
      <c r="A52" s="34" t="inlineStr">
        <is>
          <t>Barrido de P_alta [kPa] · 17 puntos</t>
        </is>
      </c>
    </row>
    <row r="53">
      <c r="A53" s="25" t="inlineStr">
        <is>
          <t>Fijos en este barrido: T_fuente = 403, T_sumidero = 300.03, P_baja = 563.64, x_b = 0.5, η_t = 0.85, η_p = 0.75, ε_HRVG = 0.85, ε_reg = 0.75, ε_cond = 0.8.</t>
        </is>
      </c>
    </row>
    <row r="54">
      <c r="A54" s="25" t="inlineStr">
        <is>
          <t>Tipos de punto: malla 15, vecino de A* 2. Los gráficos de este estudio dibujan la malla y los vecinos de A*; el ancla va aparte.</t>
        </is>
      </c>
    </row>
    <row r="55">
      <c r="A55" s="22" t="inlineStr">
        <is>
          <t>id_punto</t>
        </is>
      </c>
      <c r="B55" s="22" t="inlineStr">
        <is>
          <t>P_alta [kPa]</t>
        </is>
      </c>
      <c r="C55" s="22" t="inlineStr">
        <is>
          <t>Clase</t>
        </is>
      </c>
      <c r="D55" s="22" t="inlineStr">
        <is>
          <t>η [%]</t>
        </is>
      </c>
      <c r="E55" s="22" t="inlineStr">
        <is>
          <t>W_net [kW] (m_b = 1 kg/s)</t>
        </is>
      </c>
      <c r="F55" s="22" t="inlineStr">
        <is>
          <t>ΔP [kPa]</t>
        </is>
      </c>
      <c r="G55" s="22" t="inlineStr">
        <is>
          <t>r_P [–]</t>
        </is>
      </c>
      <c r="H55" s="22" t="inlineStr">
        <is>
          <t>Fuera de rango</t>
        </is>
      </c>
      <c r="I55" s="22" t="inlineStr">
        <is>
          <t>Criterios que falla</t>
        </is>
      </c>
      <c r="J55" s="22" t="inlineStr">
        <is>
          <t>Tipo de punto</t>
        </is>
      </c>
    </row>
    <row r="56">
      <c r="A56" s="16" t="inlineStr">
        <is>
          <t>KF-M03-0034</t>
        </is>
      </c>
      <c r="B56" s="36" t="n">
        <v>1000</v>
      </c>
      <c r="C56" s="39" t="inlineStr">
        <is>
          <t>Corregible</t>
        </is>
      </c>
      <c r="D56" s="29" t="n">
        <v>4.04756560467498</v>
      </c>
      <c r="E56" s="35" t="n">
        <v>34.8619214092379</v>
      </c>
      <c r="F56" s="36" t="n">
        <v>436.3636363636363</v>
      </c>
      <c r="G56" s="29" t="n">
        <v>1.774193548387096</v>
      </c>
      <c r="H56" s="16" t="inlineStr">
        <is>
          <t>no</t>
        </is>
      </c>
      <c r="I56" s="16" t="inlineStr">
        <is>
          <t>O2</t>
        </is>
      </c>
      <c r="J56" s="16" t="inlineStr">
        <is>
          <t>malla</t>
        </is>
      </c>
    </row>
    <row r="57">
      <c r="A57" s="16" t="inlineStr">
        <is>
          <t>KF-M03-0038</t>
        </is>
      </c>
      <c r="B57" s="36" t="n">
        <v>1642.857142857143</v>
      </c>
      <c r="C57" s="39" t="inlineStr">
        <is>
          <t>Corregible</t>
        </is>
      </c>
      <c r="D57" s="29" t="n">
        <v>7.73560545666684</v>
      </c>
      <c r="E57" s="35" t="n">
        <v>46.80130168982937</v>
      </c>
      <c r="F57" s="36" t="n">
        <v>1079.220779220779</v>
      </c>
      <c r="G57" s="29" t="n">
        <v>2.914746543778801</v>
      </c>
      <c r="H57" s="16" t="inlineStr">
        <is>
          <t>no</t>
        </is>
      </c>
      <c r="I57" s="16" t="inlineStr">
        <is>
          <t>O2</t>
        </is>
      </c>
      <c r="J57" s="16" t="inlineStr">
        <is>
          <t>malla</t>
        </is>
      </c>
    </row>
    <row r="58">
      <c r="A58" s="16" t="inlineStr">
        <is>
          <t>KF-M03-0036</t>
        </is>
      </c>
      <c r="B58" s="36" t="n">
        <v>2285.714285714286</v>
      </c>
      <c r="C58" s="39" t="inlineStr">
        <is>
          <t>Corregible</t>
        </is>
      </c>
      <c r="D58" s="29" t="n">
        <v>9.19223572015537</v>
      </c>
      <c r="E58" s="35" t="n">
        <v>41.1878915714872</v>
      </c>
      <c r="F58" s="36" t="n">
        <v>1722.077922077922</v>
      </c>
      <c r="G58" s="29" t="n">
        <v>4.055299539170506</v>
      </c>
      <c r="H58" s="16" t="inlineStr">
        <is>
          <t>no</t>
        </is>
      </c>
      <c r="I58" s="16" t="inlineStr">
        <is>
          <t>O2</t>
        </is>
      </c>
      <c r="J58" s="16" t="inlineStr">
        <is>
          <t>malla</t>
        </is>
      </c>
    </row>
    <row r="59">
      <c r="A59" s="16" t="inlineStr">
        <is>
          <t>KF-M03-0052</t>
        </is>
      </c>
      <c r="B59" s="36" t="n">
        <v>2910</v>
      </c>
      <c r="C59" s="39" t="inlineStr">
        <is>
          <t>Corregible</t>
        </is>
      </c>
      <c r="D59" s="29" t="n">
        <v>8.74507634097869</v>
      </c>
      <c r="E59" s="35" t="n">
        <v>28.24875921802043</v>
      </c>
      <c r="F59" s="36" t="n">
        <v>2346.363636363636</v>
      </c>
      <c r="G59" s="29" t="n">
        <v>5.162903225806451</v>
      </c>
      <c r="H59" s="16" t="inlineStr">
        <is>
          <t>no</t>
        </is>
      </c>
      <c r="I59" s="16" t="inlineStr">
        <is>
          <t>O2</t>
        </is>
      </c>
      <c r="J59" s="16" t="inlineStr">
        <is>
          <t>vecino de A*</t>
        </is>
      </c>
    </row>
    <row r="60">
      <c r="A60" s="16" t="inlineStr">
        <is>
          <t>KF-M03-0037</t>
        </is>
      </c>
      <c r="B60" s="36" t="n">
        <v>2928.571428571428</v>
      </c>
      <c r="C60" s="39" t="inlineStr">
        <is>
          <t>Corregible</t>
        </is>
      </c>
      <c r="D60" s="29" t="n">
        <v>8.695909975091149</v>
      </c>
      <c r="E60" s="35" t="n">
        <v>27.78092729003665</v>
      </c>
      <c r="F60" s="36" t="n">
        <v>2364.935064935064</v>
      </c>
      <c r="G60" s="29" t="n">
        <v>5.195852534562211</v>
      </c>
      <c r="H60" s="16" t="inlineStr">
        <is>
          <t>no</t>
        </is>
      </c>
      <c r="I60" s="16" t="inlineStr">
        <is>
          <t>O2</t>
        </is>
      </c>
      <c r="J60" s="16" t="inlineStr">
        <is>
          <t>malla</t>
        </is>
      </c>
    </row>
    <row r="61">
      <c r="A61" s="16" t="inlineStr">
        <is>
          <t>KF-M03-0051</t>
        </is>
      </c>
      <c r="B61" s="36" t="n">
        <v>3090</v>
      </c>
      <c r="C61" s="42" t="inlineStr">
        <is>
          <t>KALINA</t>
        </is>
      </c>
      <c r="D61" s="29" t="n">
        <v>8.15243477879863</v>
      </c>
      <c r="E61" s="35" t="n">
        <v>23.5422546531335</v>
      </c>
      <c r="F61" s="36" t="n">
        <v>2526.363636363636</v>
      </c>
      <c r="G61" s="29" t="n">
        <v>5.482258064516128</v>
      </c>
      <c r="H61" s="16" t="inlineStr">
        <is>
          <t>no</t>
        </is>
      </c>
      <c r="I61" s="16" t="n"/>
      <c r="J61" s="16" t="inlineStr">
        <is>
          <t>vecino de A*</t>
        </is>
      </c>
    </row>
    <row r="62">
      <c r="A62" s="16" t="inlineStr">
        <is>
          <t>KF-M03-0039</t>
        </is>
      </c>
      <c r="B62" s="36" t="n">
        <v>3571.428571428572</v>
      </c>
      <c r="C62" s="42" t="inlineStr">
        <is>
          <t>KALINA</t>
        </is>
      </c>
      <c r="D62" s="29" t="n">
        <v>4.65503737373214</v>
      </c>
      <c r="E62" s="35" t="n">
        <v>9.212568154305528</v>
      </c>
      <c r="F62" s="36" t="n">
        <v>3007.792207792209</v>
      </c>
      <c r="G62" s="29" t="n">
        <v>6.336405529953917</v>
      </c>
      <c r="H62" s="16" t="inlineStr">
        <is>
          <t>no</t>
        </is>
      </c>
      <c r="I62" s="16" t="n"/>
      <c r="J62" s="16" t="inlineStr">
        <is>
          <t>malla</t>
        </is>
      </c>
    </row>
    <row r="63">
      <c r="A63" s="16" t="inlineStr">
        <is>
          <t>KF-M03-0040</t>
        </is>
      </c>
      <c r="B63" s="36" t="n">
        <v>4214.285714285714</v>
      </c>
      <c r="C63" s="38" t="inlineStr">
        <is>
          <t>Falso convergido</t>
        </is>
      </c>
      <c r="D63" s="29" t="inlineStr">
        <is>
          <t>—</t>
        </is>
      </c>
      <c r="E63" s="35" t="inlineStr">
        <is>
          <t>—</t>
        </is>
      </c>
      <c r="F63" s="36" t="n">
        <v>3650.64935064935</v>
      </c>
      <c r="G63" s="29" t="n">
        <v>7.47695852534562</v>
      </c>
      <c r="H63" s="16" t="inlineStr">
        <is>
          <t>no</t>
        </is>
      </c>
      <c r="I63" s="16" t="inlineStr">
        <is>
          <t>N2,O3,O5,C1,C3,C3</t>
        </is>
      </c>
      <c r="J63" s="16" t="inlineStr">
        <is>
          <t>malla</t>
        </is>
      </c>
    </row>
    <row r="64">
      <c r="A64" s="16" t="inlineStr">
        <is>
          <t>KF-M03-0044</t>
        </is>
      </c>
      <c r="B64" s="36" t="n">
        <v>4857.142857142857</v>
      </c>
      <c r="C64" s="38" t="inlineStr">
        <is>
          <t>Falso convergido</t>
        </is>
      </c>
      <c r="D64" s="29" t="inlineStr">
        <is>
          <t>—</t>
        </is>
      </c>
      <c r="E64" s="35" t="inlineStr">
        <is>
          <t>—</t>
        </is>
      </c>
      <c r="F64" s="36" t="n">
        <v>4293.506493506493</v>
      </c>
      <c r="G64" s="29" t="n">
        <v>8.617511520737326</v>
      </c>
      <c r="H64" s="16" t="inlineStr">
        <is>
          <t>no</t>
        </is>
      </c>
      <c r="I64" s="16" t="inlineStr">
        <is>
          <t>N2,S6,O3,O5,C1,C3,C3</t>
        </is>
      </c>
      <c r="J64" s="16" t="inlineStr">
        <is>
          <t>malla</t>
        </is>
      </c>
    </row>
    <row r="65">
      <c r="A65" s="16" t="inlineStr">
        <is>
          <t>KF-M03-0042</t>
        </is>
      </c>
      <c r="B65" s="36" t="n">
        <v>5500</v>
      </c>
      <c r="C65" s="32" t="inlineStr">
        <is>
          <t>No convergió</t>
        </is>
      </c>
      <c r="D65" s="29" t="inlineStr">
        <is>
          <t>—</t>
        </is>
      </c>
      <c r="E65" s="35" t="inlineStr">
        <is>
          <t>—</t>
        </is>
      </c>
      <c r="F65" s="36" t="n">
        <v>4936.363636363636</v>
      </c>
      <c r="G65" s="29" t="n">
        <v>9.75806451612903</v>
      </c>
      <c r="H65" s="16" t="inlineStr">
        <is>
          <t>no</t>
        </is>
      </c>
      <c r="I65" s="16" t="n"/>
      <c r="J65" s="16" t="inlineStr">
        <is>
          <t>malla</t>
        </is>
      </c>
    </row>
    <row r="66">
      <c r="A66" s="16" t="inlineStr">
        <is>
          <t>KF-M03-0041</t>
        </is>
      </c>
      <c r="B66" s="36" t="n">
        <v>6142.857142857143</v>
      </c>
      <c r="C66" s="32" t="inlineStr">
        <is>
          <t>No convergió</t>
        </is>
      </c>
      <c r="D66" s="29" t="inlineStr">
        <is>
          <t>—</t>
        </is>
      </c>
      <c r="E66" s="35" t="inlineStr">
        <is>
          <t>—</t>
        </is>
      </c>
      <c r="F66" s="36" t="n">
        <v>5579.220779220779</v>
      </c>
      <c r="G66" s="29" t="n">
        <v>10.89861751152074</v>
      </c>
      <c r="H66" s="16" t="inlineStr">
        <is>
          <t>no</t>
        </is>
      </c>
      <c r="I66" s="16" t="n"/>
      <c r="J66" s="16" t="inlineStr">
        <is>
          <t>malla</t>
        </is>
      </c>
    </row>
    <row r="67">
      <c r="A67" s="16" t="inlineStr">
        <is>
          <t>KF-M03-0043</t>
        </is>
      </c>
      <c r="B67" s="36" t="n">
        <v>6785.714285714285</v>
      </c>
      <c r="C67" s="32" t="inlineStr">
        <is>
          <t>No convergió</t>
        </is>
      </c>
      <c r="D67" s="29" t="inlineStr">
        <is>
          <t>—</t>
        </is>
      </c>
      <c r="E67" s="35" t="inlineStr">
        <is>
          <t>—</t>
        </is>
      </c>
      <c r="F67" s="36" t="n">
        <v>6222.077922077921</v>
      </c>
      <c r="G67" s="29" t="n">
        <v>12.03917050691244</v>
      </c>
      <c r="H67" s="16" t="inlineStr">
        <is>
          <t>no</t>
        </is>
      </c>
      <c r="I67" s="16" t="n"/>
      <c r="J67" s="16" t="inlineStr">
        <is>
          <t>malla</t>
        </is>
      </c>
    </row>
    <row r="68">
      <c r="A68" s="16" t="inlineStr">
        <is>
          <t>KF-M03-0045</t>
        </is>
      </c>
      <c r="B68" s="36" t="n">
        <v>7428.571428571428</v>
      </c>
      <c r="C68" s="32" t="inlineStr">
        <is>
          <t>No convergió</t>
        </is>
      </c>
      <c r="D68" s="29" t="inlineStr">
        <is>
          <t>—</t>
        </is>
      </c>
      <c r="E68" s="35" t="inlineStr">
        <is>
          <t>—</t>
        </is>
      </c>
      <c r="F68" s="36" t="n">
        <v>6864.935064935064</v>
      </c>
      <c r="G68" s="29" t="n">
        <v>13.17972350230414</v>
      </c>
      <c r="H68" s="16" t="inlineStr">
        <is>
          <t>no</t>
        </is>
      </c>
      <c r="I68" s="16" t="n"/>
      <c r="J68" s="16" t="inlineStr">
        <is>
          <t>malla</t>
        </is>
      </c>
    </row>
    <row r="69">
      <c r="A69" s="16" t="inlineStr">
        <is>
          <t>KF-M03-0046</t>
        </is>
      </c>
      <c r="B69" s="36" t="n">
        <v>8071.428571428572</v>
      </c>
      <c r="C69" s="32" t="inlineStr">
        <is>
          <t>No convergió</t>
        </is>
      </c>
      <c r="D69" s="29" t="inlineStr">
        <is>
          <t>—</t>
        </is>
      </c>
      <c r="E69" s="35" t="inlineStr">
        <is>
          <t>—</t>
        </is>
      </c>
      <c r="F69" s="36" t="n">
        <v>7507.792207792208</v>
      </c>
      <c r="G69" s="29" t="n">
        <v>14.32027649769585</v>
      </c>
      <c r="H69" s="16" t="inlineStr">
        <is>
          <t>no</t>
        </is>
      </c>
      <c r="I69" s="16" t="n"/>
      <c r="J69" s="16" t="inlineStr">
        <is>
          <t>malla</t>
        </is>
      </c>
    </row>
    <row r="70">
      <c r="A70" s="16" t="inlineStr">
        <is>
          <t>KF-M03-0047</t>
        </is>
      </c>
      <c r="B70" s="36" t="n">
        <v>8714.285714285714</v>
      </c>
      <c r="C70" s="32" t="inlineStr">
        <is>
          <t>No convergió</t>
        </is>
      </c>
      <c r="D70" s="29" t="inlineStr">
        <is>
          <t>—</t>
        </is>
      </c>
      <c r="E70" s="35" t="inlineStr">
        <is>
          <t>—</t>
        </is>
      </c>
      <c r="F70" s="36" t="n">
        <v>8150.64935064935</v>
      </c>
      <c r="G70" s="29" t="n">
        <v>15.46082949308755</v>
      </c>
      <c r="H70" s="16" t="inlineStr">
        <is>
          <t>no</t>
        </is>
      </c>
      <c r="I70" s="16" t="n"/>
      <c r="J70" s="16" t="inlineStr">
        <is>
          <t>malla</t>
        </is>
      </c>
    </row>
    <row r="71">
      <c r="A71" s="16" t="inlineStr">
        <is>
          <t>KF-M03-0048</t>
        </is>
      </c>
      <c r="B71" s="36" t="n">
        <v>9357.142857142857</v>
      </c>
      <c r="C71" s="32" t="inlineStr">
        <is>
          <t>No convergió</t>
        </is>
      </c>
      <c r="D71" s="29" t="inlineStr">
        <is>
          <t>—</t>
        </is>
      </c>
      <c r="E71" s="35" t="inlineStr">
        <is>
          <t>—</t>
        </is>
      </c>
      <c r="F71" s="36" t="n">
        <v>8793.506493506493</v>
      </c>
      <c r="G71" s="29" t="n">
        <v>16.60138248847926</v>
      </c>
      <c r="H71" s="16" t="inlineStr">
        <is>
          <t>no</t>
        </is>
      </c>
      <c r="I71" s="16" t="n"/>
      <c r="J71" s="16" t="inlineStr">
        <is>
          <t>malla</t>
        </is>
      </c>
    </row>
    <row r="72">
      <c r="A72" s="16" t="inlineStr">
        <is>
          <t>KF-M03-0049</t>
        </is>
      </c>
      <c r="B72" s="36" t="n">
        <v>10000</v>
      </c>
      <c r="C72" s="32" t="inlineStr">
        <is>
          <t>No convergió</t>
        </is>
      </c>
      <c r="D72" s="29" t="inlineStr">
        <is>
          <t>—</t>
        </is>
      </c>
      <c r="E72" s="35" t="inlineStr">
        <is>
          <t>—</t>
        </is>
      </c>
      <c r="F72" s="36" t="n">
        <v>9436.363636363636</v>
      </c>
      <c r="G72" s="29" t="n">
        <v>17.74193548387096</v>
      </c>
      <c r="H72" s="16" t="inlineStr">
        <is>
          <t>no</t>
        </is>
      </c>
      <c r="I72" s="16" t="n"/>
      <c r="J72" s="16" t="inlineStr">
        <is>
          <t>malla</t>
        </is>
      </c>
    </row>
    <row r="73"/>
    <row r="74">
      <c r="A74" s="34" t="inlineStr">
        <is>
          <t>Barrido de P_baja [kPa] · 17 puntos</t>
        </is>
      </c>
    </row>
    <row r="75">
      <c r="A75" s="25" t="inlineStr">
        <is>
          <t>Fijos en este barrido: T_fuente = 403, T_sumidero = 300.03, P_alta = 3000, x_b = 0.5, η_t = 0.85, η_p = 0.75, ε_HRVG = 0.85, ε_reg = 0.75, ε_cond = 0.8.</t>
        </is>
      </c>
    </row>
    <row r="76">
      <c r="A76" s="25" t="inlineStr">
        <is>
          <t>Tipos de punto: malla 15, vecino de A* 2. Los gráficos de este estudio dibujan la malla y los vecinos de A*; el ancla va aparte.</t>
        </is>
      </c>
    </row>
    <row r="77">
      <c r="A77" s="22" t="inlineStr">
        <is>
          <t>id_punto</t>
        </is>
      </c>
      <c r="B77" s="22" t="inlineStr">
        <is>
          <t>P_baja [kPa]</t>
        </is>
      </c>
      <c r="C77" s="22" t="inlineStr">
        <is>
          <t>Clase</t>
        </is>
      </c>
      <c r="D77" s="22" t="inlineStr">
        <is>
          <t>η [%]</t>
        </is>
      </c>
      <c r="E77" s="22" t="inlineStr">
        <is>
          <t>W_net [kW] (m_b = 1 kg/s)</t>
        </is>
      </c>
      <c r="F77" s="22" t="inlineStr">
        <is>
          <t>ΔP [kPa]</t>
        </is>
      </c>
      <c r="G77" s="22" t="inlineStr">
        <is>
          <t>r_P [–]</t>
        </is>
      </c>
      <c r="H77" s="22" t="inlineStr">
        <is>
          <t>Fuera de rango</t>
        </is>
      </c>
      <c r="I77" s="22" t="inlineStr">
        <is>
          <t>Criterios que falla</t>
        </is>
      </c>
      <c r="J77" s="22" t="inlineStr">
        <is>
          <t>Tipo de punto</t>
        </is>
      </c>
    </row>
    <row r="78">
      <c r="A78" s="16" t="inlineStr">
        <is>
          <t>KF-M03-0050</t>
        </is>
      </c>
      <c r="B78" s="35" t="n">
        <v>150</v>
      </c>
      <c r="C78" s="40" t="inlineStr">
        <is>
          <t>Inviable</t>
        </is>
      </c>
      <c r="D78" s="29" t="n">
        <v>-40.37130861728543</v>
      </c>
      <c r="E78" s="35" t="n">
        <v>-53.8293307599943</v>
      </c>
      <c r="F78" s="36" t="n">
        <v>2850</v>
      </c>
      <c r="G78" s="29" t="n">
        <v>20</v>
      </c>
      <c r="H78" s="16" t="inlineStr">
        <is>
          <t>no</t>
        </is>
      </c>
      <c r="I78" s="16" t="inlineStr">
        <is>
          <t>O2,O3</t>
        </is>
      </c>
      <c r="J78" s="16" t="inlineStr">
        <is>
          <t>malla</t>
        </is>
      </c>
    </row>
    <row r="79">
      <c r="A79" s="16" t="inlineStr">
        <is>
          <t>KF-M03-0053</t>
        </is>
      </c>
      <c r="B79" s="35" t="n">
        <v>246.4285714285714</v>
      </c>
      <c r="C79" s="39" t="inlineStr">
        <is>
          <t>Corregible</t>
        </is>
      </c>
      <c r="D79" s="29" t="n">
        <v>4.19925749131601</v>
      </c>
      <c r="E79" s="35" t="n">
        <v>10.39162737870946</v>
      </c>
      <c r="F79" s="36" t="n">
        <v>2753.571428571428</v>
      </c>
      <c r="G79" s="29" t="n">
        <v>12.17391304347826</v>
      </c>
      <c r="H79" s="16" t="inlineStr">
        <is>
          <t>no</t>
        </is>
      </c>
      <c r="I79" s="16" t="inlineStr">
        <is>
          <t>O2</t>
        </is>
      </c>
      <c r="J79" s="16" t="inlineStr">
        <is>
          <t>malla</t>
        </is>
      </c>
    </row>
    <row r="80">
      <c r="A80" s="16" t="inlineStr">
        <is>
          <t>KF-M03-0054</t>
        </is>
      </c>
      <c r="B80" s="35" t="n">
        <v>342.8571428571429</v>
      </c>
      <c r="C80" s="39" t="inlineStr">
        <is>
          <t>Corregible</t>
        </is>
      </c>
      <c r="D80" s="29" t="n">
        <v>10.29690767870775</v>
      </c>
      <c r="E80" s="35" t="n">
        <v>31.43012724228364</v>
      </c>
      <c r="F80" s="36" t="n">
        <v>2657.142857142857</v>
      </c>
      <c r="G80" s="29" t="n">
        <v>8.75</v>
      </c>
      <c r="H80" s="16" t="inlineStr">
        <is>
          <t>no</t>
        </is>
      </c>
      <c r="I80" s="16" t="inlineStr">
        <is>
          <t>O2</t>
        </is>
      </c>
      <c r="J80" s="16" t="inlineStr">
        <is>
          <t>malla</t>
        </is>
      </c>
    </row>
    <row r="81">
      <c r="A81" s="16" t="inlineStr">
        <is>
          <t>KF-M03-0055</t>
        </is>
      </c>
      <c r="B81" s="35" t="n">
        <v>439.2857142857143</v>
      </c>
      <c r="C81" s="39" t="inlineStr">
        <is>
          <t>Corregible</t>
        </is>
      </c>
      <c r="D81" s="29" t="n">
        <v>9.55554378291599</v>
      </c>
      <c r="E81" s="35" t="n">
        <v>29.23278984961429</v>
      </c>
      <c r="F81" s="36" t="n">
        <v>2560.714285714286</v>
      </c>
      <c r="G81" s="29" t="n">
        <v>6.829268292682927</v>
      </c>
      <c r="H81" s="16" t="inlineStr">
        <is>
          <t>no</t>
        </is>
      </c>
      <c r="I81" s="16" t="inlineStr">
        <is>
          <t>O2</t>
        </is>
      </c>
      <c r="J81" s="16" t="inlineStr">
        <is>
          <t>malla</t>
        </is>
      </c>
    </row>
    <row r="82">
      <c r="A82" s="16" t="inlineStr">
        <is>
          <t>KF-M03-0056</t>
        </is>
      </c>
      <c r="B82" s="35" t="n">
        <v>535.7142857142858</v>
      </c>
      <c r="C82" s="39" t="inlineStr">
        <is>
          <t>Corregible</t>
        </is>
      </c>
      <c r="D82" s="29" t="n">
        <v>8.727970988748721</v>
      </c>
      <c r="E82" s="35" t="n">
        <v>26.69833115034501</v>
      </c>
      <c r="F82" s="36" t="n">
        <v>2464.285714285714</v>
      </c>
      <c r="G82" s="29" t="n">
        <v>5.6</v>
      </c>
      <c r="H82" s="16" t="inlineStr">
        <is>
          <t>no</t>
        </is>
      </c>
      <c r="I82" s="16" t="inlineStr">
        <is>
          <t>O2</t>
        </is>
      </c>
      <c r="J82" s="16" t="inlineStr">
        <is>
          <t>malla</t>
        </is>
      </c>
    </row>
    <row r="83">
      <c r="A83" s="16" t="inlineStr">
        <is>
          <t>KF-M03-0066</t>
        </is>
      </c>
      <c r="B83" s="35" t="n">
        <v>550.1363636363637</v>
      </c>
      <c r="C83" s="39" t="inlineStr">
        <is>
          <t>Corregible</t>
        </is>
      </c>
      <c r="D83" s="29" t="n">
        <v>8.60097244864404</v>
      </c>
      <c r="E83" s="35" t="n">
        <v>26.30803377608057</v>
      </c>
      <c r="F83" s="36" t="n">
        <v>2449.863636363636</v>
      </c>
      <c r="G83" s="29" t="n">
        <v>5.453193423118234</v>
      </c>
      <c r="H83" s="16" t="inlineStr">
        <is>
          <t>no</t>
        </is>
      </c>
      <c r="I83" s="16" t="inlineStr">
        <is>
          <t>O2</t>
        </is>
      </c>
      <c r="J83" s="16" t="inlineStr">
        <is>
          <t>vecino de A*</t>
        </is>
      </c>
    </row>
    <row r="84">
      <c r="A84" s="16" t="inlineStr">
        <is>
          <t>KF-M03-0068</t>
        </is>
      </c>
      <c r="B84" s="35" t="n">
        <v>577.1363636363637</v>
      </c>
      <c r="C84" s="42" t="inlineStr">
        <is>
          <t>KALINA</t>
        </is>
      </c>
      <c r="D84" s="29" t="n">
        <v>8.36484406395253</v>
      </c>
      <c r="E84" s="35" t="n">
        <v>25.58200033195054</v>
      </c>
      <c r="F84" s="36" t="n">
        <v>2422.863636363636</v>
      </c>
      <c r="G84" s="29" t="n">
        <v>5.19807828620934</v>
      </c>
      <c r="H84" s="16" t="inlineStr">
        <is>
          <t>no</t>
        </is>
      </c>
      <c r="I84" s="16" t="n"/>
      <c r="J84" s="16" t="inlineStr">
        <is>
          <t>vecino de A*</t>
        </is>
      </c>
    </row>
    <row r="85">
      <c r="A85" s="16" t="inlineStr">
        <is>
          <t>KF-M03-0057</t>
        </is>
      </c>
      <c r="B85" s="35" t="n">
        <v>632.1428571428571</v>
      </c>
      <c r="C85" s="42" t="inlineStr">
        <is>
          <t>KALINA</t>
        </is>
      </c>
      <c r="D85" s="29" t="n">
        <v>7.912398443030209</v>
      </c>
      <c r="E85" s="35" t="n">
        <v>24.19143504426692</v>
      </c>
      <c r="F85" s="36" t="n">
        <v>2367.857142857143</v>
      </c>
      <c r="G85" s="29" t="n">
        <v>4.745762711864408</v>
      </c>
      <c r="H85" s="16" t="inlineStr">
        <is>
          <t>no</t>
        </is>
      </c>
      <c r="I85" s="16" t="n"/>
      <c r="J85" s="16" t="inlineStr">
        <is>
          <t>malla</t>
        </is>
      </c>
    </row>
    <row r="86">
      <c r="A86" s="16" t="inlineStr">
        <is>
          <t>KF-M03-0058</t>
        </is>
      </c>
      <c r="B86" s="35" t="n">
        <v>728.5714285714286</v>
      </c>
      <c r="C86" s="42" t="inlineStr">
        <is>
          <t>KALINA</t>
        </is>
      </c>
      <c r="D86" s="29" t="n">
        <v>7.200137066499971</v>
      </c>
      <c r="E86" s="35" t="n">
        <v>22.00411517687212</v>
      </c>
      <c r="F86" s="36" t="n">
        <v>2271.428571428572</v>
      </c>
      <c r="G86" s="29" t="n">
        <v>4.11764705882353</v>
      </c>
      <c r="H86" s="16" t="inlineStr">
        <is>
          <t>no</t>
        </is>
      </c>
      <c r="I86" s="16" t="n"/>
      <c r="J86" s="16" t="inlineStr">
        <is>
          <t>malla</t>
        </is>
      </c>
    </row>
    <row r="87">
      <c r="A87" s="16" t="inlineStr">
        <is>
          <t>KF-M03-0059</t>
        </is>
      </c>
      <c r="B87" s="35" t="n">
        <v>825</v>
      </c>
      <c r="C87" s="42" t="inlineStr">
        <is>
          <t>KALINA</t>
        </is>
      </c>
      <c r="D87" s="29" t="n">
        <v>6.570595209173161</v>
      </c>
      <c r="E87" s="35" t="n">
        <v>20.07260185867142</v>
      </c>
      <c r="F87" s="36" t="n">
        <v>2175</v>
      </c>
      <c r="G87" s="29" t="n">
        <v>3.636363636363636</v>
      </c>
      <c r="H87" s="16" t="inlineStr">
        <is>
          <t>no</t>
        </is>
      </c>
      <c r="I87" s="16" t="n"/>
      <c r="J87" s="16" t="inlineStr">
        <is>
          <t>malla</t>
        </is>
      </c>
    </row>
    <row r="88">
      <c r="A88" s="16" t="inlineStr">
        <is>
          <t>KF-M03-0060</t>
        </is>
      </c>
      <c r="B88" s="35" t="n">
        <v>921.4285714285714</v>
      </c>
      <c r="C88" s="42" t="inlineStr">
        <is>
          <t>KALINA</t>
        </is>
      </c>
      <c r="D88" s="29" t="n">
        <v>6.00676273927461</v>
      </c>
      <c r="E88" s="35" t="n">
        <v>18.34408315197642</v>
      </c>
      <c r="F88" s="36" t="n">
        <v>2078.571428571428</v>
      </c>
      <c r="G88" s="29" t="n">
        <v>3.255813953488372</v>
      </c>
      <c r="H88" s="16" t="inlineStr">
        <is>
          <t>no</t>
        </is>
      </c>
      <c r="I88" s="16" t="n"/>
      <c r="J88" s="16" t="inlineStr">
        <is>
          <t>malla</t>
        </is>
      </c>
    </row>
    <row r="89">
      <c r="A89" s="16" t="inlineStr">
        <is>
          <t>KF-M03-0062</t>
        </is>
      </c>
      <c r="B89" s="35" t="n">
        <v>1017.857142857143</v>
      </c>
      <c r="C89" s="42" t="inlineStr">
        <is>
          <t>KALINA</t>
        </is>
      </c>
      <c r="D89" s="29" t="n">
        <v>5.496481271906021</v>
      </c>
      <c r="E89" s="35" t="n">
        <v>16.78084291933079</v>
      </c>
      <c r="F89" s="36" t="n">
        <v>1982.142857142857</v>
      </c>
      <c r="G89" s="29" t="n">
        <v>2.947368421052632</v>
      </c>
      <c r="H89" s="16" t="inlineStr">
        <is>
          <t>no</t>
        </is>
      </c>
      <c r="I89" s="16" t="n"/>
      <c r="J89" s="16" t="inlineStr">
        <is>
          <t>malla</t>
        </is>
      </c>
    </row>
    <row r="90">
      <c r="A90" s="16" t="inlineStr">
        <is>
          <t>KF-M03-0061</t>
        </is>
      </c>
      <c r="B90" s="35" t="n">
        <v>1114.285714285714</v>
      </c>
      <c r="C90" s="42" t="inlineStr">
        <is>
          <t>KALINA</t>
        </is>
      </c>
      <c r="D90" s="29" t="n">
        <v>5.03073881448352</v>
      </c>
      <c r="E90" s="35" t="n">
        <v>15.35495820818113</v>
      </c>
      <c r="F90" s="36" t="n">
        <v>1885.714285714286</v>
      </c>
      <c r="G90" s="29" t="n">
        <v>2.692307692307693</v>
      </c>
      <c r="H90" s="16" t="inlineStr">
        <is>
          <t>no</t>
        </is>
      </c>
      <c r="I90" s="16" t="n"/>
      <c r="J90" s="16" t="inlineStr">
        <is>
          <t>malla</t>
        </is>
      </c>
    </row>
    <row r="91">
      <c r="A91" s="16" t="inlineStr">
        <is>
          <t>KF-M03-0063</t>
        </is>
      </c>
      <c r="B91" s="35" t="n">
        <v>1210.714285714286</v>
      </c>
      <c r="C91" s="42" t="inlineStr">
        <is>
          <t>KALINA</t>
        </is>
      </c>
      <c r="D91" s="29" t="n">
        <v>4.60267662806774</v>
      </c>
      <c r="E91" s="35" t="n">
        <v>14.04516258146169</v>
      </c>
      <c r="F91" s="36" t="n">
        <v>1789.285714285714</v>
      </c>
      <c r="G91" s="29" t="n">
        <v>2.47787610619469</v>
      </c>
      <c r="H91" s="16" t="inlineStr">
        <is>
          <t>no</t>
        </is>
      </c>
      <c r="I91" s="16" t="n"/>
      <c r="J91" s="16" t="inlineStr">
        <is>
          <t>malla</t>
        </is>
      </c>
    </row>
    <row r="92">
      <c r="A92" s="16" t="inlineStr">
        <is>
          <t>KF-M03-0064</t>
        </is>
      </c>
      <c r="B92" s="35" t="n">
        <v>1307.142857142857</v>
      </c>
      <c r="C92" s="42" t="inlineStr">
        <is>
          <t>KALINA</t>
        </is>
      </c>
      <c r="D92" s="29" t="n">
        <v>4.20692686410182</v>
      </c>
      <c r="E92" s="35" t="n">
        <v>12.83485319313774</v>
      </c>
      <c r="F92" s="36" t="n">
        <v>1692.857142857143</v>
      </c>
      <c r="G92" s="29" t="n">
        <v>2.295081967213114</v>
      </c>
      <c r="H92" s="16" t="inlineStr">
        <is>
          <t>no</t>
        </is>
      </c>
      <c r="I92" s="16" t="n"/>
      <c r="J92" s="16" t="inlineStr">
        <is>
          <t>malla</t>
        </is>
      </c>
    </row>
    <row r="93">
      <c r="A93" s="16" t="inlineStr">
        <is>
          <t>KF-M03-0065</t>
        </is>
      </c>
      <c r="B93" s="35" t="n">
        <v>1403.571428571429</v>
      </c>
      <c r="C93" s="42" t="inlineStr">
        <is>
          <t>KALINA</t>
        </is>
      </c>
      <c r="D93" s="29" t="n">
        <v>3.83921841178707</v>
      </c>
      <c r="E93" s="35" t="n">
        <v>11.71081824031368</v>
      </c>
      <c r="F93" s="36" t="n">
        <v>1596.428571428571</v>
      </c>
      <c r="G93" s="29" t="n">
        <v>2.137404580152672</v>
      </c>
      <c r="H93" s="16" t="inlineStr">
        <is>
          <t>no</t>
        </is>
      </c>
      <c r="I93" s="16" t="n"/>
      <c r="J93" s="16" t="inlineStr">
        <is>
          <t>malla</t>
        </is>
      </c>
    </row>
    <row r="94">
      <c r="A94" s="16" t="inlineStr">
        <is>
          <t>KF-M03-0067</t>
        </is>
      </c>
      <c r="B94" s="35" t="n">
        <v>1500</v>
      </c>
      <c r="C94" s="42" t="inlineStr">
        <is>
          <t>KALINA</t>
        </is>
      </c>
      <c r="D94" s="29" t="n">
        <v>3.49609139100652</v>
      </c>
      <c r="E94" s="35" t="n">
        <v>10.66236197414988</v>
      </c>
      <c r="F94" s="36" t="n">
        <v>1500</v>
      </c>
      <c r="G94" s="29" t="n">
        <v>2</v>
      </c>
      <c r="H94" s="16" t="inlineStr">
        <is>
          <t>no</t>
        </is>
      </c>
      <c r="I94" s="16" t="n"/>
      <c r="J94" s="16" t="inlineStr">
        <is>
          <t>malla</t>
        </is>
      </c>
    </row>
    <row r="95"/>
    <row r="96">
      <c r="A96" s="34" t="inlineStr">
        <is>
          <t>Barrido de x_b [–] · 17 puntos</t>
        </is>
      </c>
    </row>
    <row r="97">
      <c r="A97" s="25" t="inlineStr">
        <is>
          <t>Fijos en este barrido: T_fuente = 403, T_sumidero = 300.03, P_alta = 3000, P_baja = 563.64, η_t = 0.85, η_p = 0.75, ε_HRVG = 0.85, ε_reg = 0.75, ε_cond = 0.8.</t>
        </is>
      </c>
    </row>
    <row r="98">
      <c r="A98" s="25" t="inlineStr">
        <is>
          <t>Tipos de punto: malla 15, vecino de A* 2. Los gráficos de este estudio dibujan la malla y los vecinos de A*; el ancla va aparte.</t>
        </is>
      </c>
    </row>
    <row r="99">
      <c r="A99" s="22" t="inlineStr">
        <is>
          <t>id_punto</t>
        </is>
      </c>
      <c r="B99" s="22" t="inlineStr">
        <is>
          <t>x_b [–]</t>
        </is>
      </c>
      <c r="C99" s="22" t="inlineStr">
        <is>
          <t>Clase</t>
        </is>
      </c>
      <c r="D99" s="22" t="inlineStr">
        <is>
          <t>η [%]</t>
        </is>
      </c>
      <c r="E99" s="22" t="inlineStr">
        <is>
          <t>W_net [kW] (m_b = 1 kg/s)</t>
        </is>
      </c>
      <c r="F99" s="22" t="inlineStr">
        <is>
          <t>ΔP [kPa]</t>
        </is>
      </c>
      <c r="G99" s="22" t="inlineStr">
        <is>
          <t>r_P [–]</t>
        </is>
      </c>
      <c r="H99" s="22" t="inlineStr">
        <is>
          <t>Fuera de rango</t>
        </is>
      </c>
      <c r="I99" s="22" t="inlineStr">
        <is>
          <t>Criterios que falla</t>
        </is>
      </c>
      <c r="J99" s="22" t="inlineStr">
        <is>
          <t>Tipo de punto</t>
        </is>
      </c>
    </row>
    <row r="100">
      <c r="A100" s="16" t="inlineStr">
        <is>
          <t>KF-M03-0072</t>
        </is>
      </c>
      <c r="B100" s="37" t="n">
        <v>0.3</v>
      </c>
      <c r="C100" s="38" t="inlineStr">
        <is>
          <t>Falso convergido</t>
        </is>
      </c>
      <c r="D100" s="29" t="inlineStr">
        <is>
          <t>—</t>
        </is>
      </c>
      <c r="E100" s="35" t="inlineStr">
        <is>
          <t>—</t>
        </is>
      </c>
      <c r="F100" s="36" t="n">
        <v>2436.363636363636</v>
      </c>
      <c r="G100" s="29" t="n">
        <v>5.322580645161289</v>
      </c>
      <c r="H100" s="16" t="inlineStr">
        <is>
          <t>no</t>
        </is>
      </c>
      <c r="I100" s="16" t="inlineStr">
        <is>
          <t>N2,S6,O3,O5,C1,C3,C3</t>
        </is>
      </c>
      <c r="J100" s="16" t="inlineStr">
        <is>
          <t>malla</t>
        </is>
      </c>
    </row>
    <row r="101">
      <c r="A101" s="16" t="inlineStr">
        <is>
          <t>KF-M03-0070</t>
        </is>
      </c>
      <c r="B101" s="37" t="n">
        <v>0.3428571428571428</v>
      </c>
      <c r="C101" s="38" t="inlineStr">
        <is>
          <t>Falso convergido</t>
        </is>
      </c>
      <c r="D101" s="29" t="inlineStr">
        <is>
          <t>—</t>
        </is>
      </c>
      <c r="E101" s="35" t="inlineStr">
        <is>
          <t>—</t>
        </is>
      </c>
      <c r="F101" s="36" t="n">
        <v>2436.363636363636</v>
      </c>
      <c r="G101" s="29" t="n">
        <v>5.322580645161289</v>
      </c>
      <c r="H101" s="16" t="inlineStr">
        <is>
          <t>no</t>
        </is>
      </c>
      <c r="I101" s="16" t="inlineStr">
        <is>
          <t>N2,S6,O3,O5,C1,C3,C3</t>
        </is>
      </c>
      <c r="J101" s="16" t="inlineStr">
        <is>
          <t>malla</t>
        </is>
      </c>
    </row>
    <row r="102">
      <c r="A102" s="16" t="inlineStr">
        <is>
          <t>KF-M03-0071</t>
        </is>
      </c>
      <c r="B102" s="37" t="n">
        <v>0.3857142857142857</v>
      </c>
      <c r="C102" s="38" t="inlineStr">
        <is>
          <t>Falso convergido</t>
        </is>
      </c>
      <c r="D102" s="29" t="inlineStr">
        <is>
          <t>—</t>
        </is>
      </c>
      <c r="E102" s="35" t="inlineStr">
        <is>
          <t>—</t>
        </is>
      </c>
      <c r="F102" s="36" t="n">
        <v>2436.363636363636</v>
      </c>
      <c r="G102" s="29" t="n">
        <v>5.322580645161289</v>
      </c>
      <c r="H102" s="16" t="inlineStr">
        <is>
          <t>no</t>
        </is>
      </c>
      <c r="I102" s="16" t="inlineStr">
        <is>
          <t>N2,O3,O5,C1,C3,C3</t>
        </is>
      </c>
      <c r="J102" s="16" t="inlineStr">
        <is>
          <t>malla</t>
        </is>
      </c>
    </row>
    <row r="103">
      <c r="A103" s="16" t="inlineStr">
        <is>
          <t>KF-M03-0069</t>
        </is>
      </c>
      <c r="B103" s="37" t="n">
        <v>0.4285714285714286</v>
      </c>
      <c r="C103" s="40" t="inlineStr">
        <is>
          <t>Inviable</t>
        </is>
      </c>
      <c r="D103" s="29" t="n">
        <v>-0.20893550751728</v>
      </c>
      <c r="E103" s="35" t="n">
        <v>-0.2868075641876011</v>
      </c>
      <c r="F103" s="36" t="n">
        <v>2436.363636363636</v>
      </c>
      <c r="G103" s="29" t="n">
        <v>5.322580645161289</v>
      </c>
      <c r="H103" s="16" t="inlineStr">
        <is>
          <t>no</t>
        </is>
      </c>
      <c r="I103" s="16" t="inlineStr">
        <is>
          <t>O3</t>
        </is>
      </c>
      <c r="J103" s="16" t="inlineStr">
        <is>
          <t>malla</t>
        </is>
      </c>
    </row>
    <row r="104">
      <c r="A104" s="16" t="inlineStr">
        <is>
          <t>KF-M03-0073</t>
        </is>
      </c>
      <c r="B104" s="37" t="n">
        <v>0.4714285714285714</v>
      </c>
      <c r="C104" s="42" t="inlineStr">
        <is>
          <t>KALINA</t>
        </is>
      </c>
      <c r="D104" s="29" t="n">
        <v>6.424405071997589</v>
      </c>
      <c r="E104" s="35" t="n">
        <v>15.4415590158656</v>
      </c>
      <c r="F104" s="36" t="n">
        <v>2436.363636363636</v>
      </c>
      <c r="G104" s="29" t="n">
        <v>5.322580645161289</v>
      </c>
      <c r="H104" s="16" t="inlineStr">
        <is>
          <t>no</t>
        </is>
      </c>
      <c r="I104" s="16" t="n"/>
      <c r="J104" s="16" t="inlineStr">
        <is>
          <t>malla</t>
        </is>
      </c>
    </row>
    <row r="105">
      <c r="A105" s="16" t="inlineStr">
        <is>
          <t>KF-M03-0084</t>
        </is>
      </c>
      <c r="B105" s="37" t="n">
        <v>0.494</v>
      </c>
      <c r="C105" s="42" t="inlineStr">
        <is>
          <t>KALINA</t>
        </is>
      </c>
      <c r="D105" s="29" t="n">
        <v>8.12026905547512</v>
      </c>
      <c r="E105" s="35" t="n">
        <v>23.73601578814699</v>
      </c>
      <c r="F105" s="36" t="n">
        <v>2436.363636363636</v>
      </c>
      <c r="G105" s="29" t="n">
        <v>5.322580645161289</v>
      </c>
      <c r="H105" s="16" t="inlineStr">
        <is>
          <t>no</t>
        </is>
      </c>
      <c r="I105" s="16" t="n"/>
      <c r="J105" s="16" t="inlineStr">
        <is>
          <t>vecino de A*</t>
        </is>
      </c>
    </row>
    <row r="106">
      <c r="A106" s="16" t="inlineStr">
        <is>
          <t>KF-M03-0085</t>
        </is>
      </c>
      <c r="B106" s="37" t="n">
        <v>0.506</v>
      </c>
      <c r="C106" s="39" t="inlineStr">
        <is>
          <t>Corregible</t>
        </is>
      </c>
      <c r="D106" s="29" t="n">
        <v>8.81275395183912</v>
      </c>
      <c r="E106" s="35" t="n">
        <v>28.13747046338373</v>
      </c>
      <c r="F106" s="36" t="n">
        <v>2436.363636363636</v>
      </c>
      <c r="G106" s="29" t="n">
        <v>5.322580645161289</v>
      </c>
      <c r="H106" s="16" t="inlineStr">
        <is>
          <t>no</t>
        </is>
      </c>
      <c r="I106" s="16" t="inlineStr">
        <is>
          <t>O2</t>
        </is>
      </c>
      <c r="J106" s="16" t="inlineStr">
        <is>
          <t>vecino de A*</t>
        </is>
      </c>
    </row>
    <row r="107">
      <c r="A107" s="16" t="inlineStr">
        <is>
          <t>KF-M03-0074</t>
        </is>
      </c>
      <c r="B107" s="37" t="n">
        <v>0.5142857142857143</v>
      </c>
      <c r="C107" s="39" t="inlineStr">
        <is>
          <t>Corregible</t>
        </is>
      </c>
      <c r="D107" s="29" t="n">
        <v>9.21585411481627</v>
      </c>
      <c r="E107" s="35" t="n">
        <v>31.11546760380181</v>
      </c>
      <c r="F107" s="36" t="n">
        <v>2436.363636363636</v>
      </c>
      <c r="G107" s="29" t="n">
        <v>5.322580645161289</v>
      </c>
      <c r="H107" s="16" t="inlineStr">
        <is>
          <t>no</t>
        </is>
      </c>
      <c r="I107" s="16" t="inlineStr">
        <is>
          <t>O2</t>
        </is>
      </c>
      <c r="J107" s="16" t="inlineStr">
        <is>
          <t>malla</t>
        </is>
      </c>
    </row>
    <row r="108">
      <c r="A108" s="16" t="inlineStr">
        <is>
          <t>KF-M03-0077</t>
        </is>
      </c>
      <c r="B108" s="37" t="n">
        <v>0.5571428571428572</v>
      </c>
      <c r="C108" s="39" t="inlineStr">
        <is>
          <t>Corregible</t>
        </is>
      </c>
      <c r="D108" s="29" t="n">
        <v>10.62093803633538</v>
      </c>
      <c r="E108" s="35" t="n">
        <v>45.5507463879058</v>
      </c>
      <c r="F108" s="36" t="n">
        <v>2436.363636363636</v>
      </c>
      <c r="G108" s="29" t="n">
        <v>5.322580645161289</v>
      </c>
      <c r="H108" s="16" t="inlineStr">
        <is>
          <t>no</t>
        </is>
      </c>
      <c r="I108" s="16" t="inlineStr">
        <is>
          <t>O2</t>
        </is>
      </c>
      <c r="J108" s="16" t="inlineStr">
        <is>
          <t>malla</t>
        </is>
      </c>
    </row>
    <row r="109">
      <c r="A109" s="16" t="inlineStr">
        <is>
          <t>KF-M03-0075</t>
        </is>
      </c>
      <c r="B109" s="37" t="n">
        <v>0.6000000000000001</v>
      </c>
      <c r="C109" s="39" t="inlineStr">
        <is>
          <t>Corregible</t>
        </is>
      </c>
      <c r="D109" s="29" t="n">
        <v>11.38236741595711</v>
      </c>
      <c r="E109" s="35" t="n">
        <v>58.52212991587111</v>
      </c>
      <c r="F109" s="36" t="n">
        <v>2436.363636363636</v>
      </c>
      <c r="G109" s="29" t="n">
        <v>5.322580645161289</v>
      </c>
      <c r="H109" s="16" t="inlineStr">
        <is>
          <t>no</t>
        </is>
      </c>
      <c r="I109" s="16" t="inlineStr">
        <is>
          <t>O2</t>
        </is>
      </c>
      <c r="J109" s="16" t="inlineStr">
        <is>
          <t>malla</t>
        </is>
      </c>
    </row>
    <row r="110">
      <c r="A110" s="16" t="inlineStr">
        <is>
          <t>KF-M03-0078</t>
        </is>
      </c>
      <c r="B110" s="37" t="n">
        <v>0.6428571428571429</v>
      </c>
      <c r="C110" s="39" t="inlineStr">
        <is>
          <t>Corregible</t>
        </is>
      </c>
      <c r="D110" s="29" t="n">
        <v>11.03992643067335</v>
      </c>
      <c r="E110" s="35" t="n">
        <v>61.64540083530903</v>
      </c>
      <c r="F110" s="36" t="n">
        <v>2436.363636363636</v>
      </c>
      <c r="G110" s="29" t="n">
        <v>5.322580645161289</v>
      </c>
      <c r="H110" s="16" t="inlineStr">
        <is>
          <t>no</t>
        </is>
      </c>
      <c r="I110" s="16" t="inlineStr">
        <is>
          <t>O2</t>
        </is>
      </c>
      <c r="J110" s="16" t="inlineStr">
        <is>
          <t>malla</t>
        </is>
      </c>
    </row>
    <row r="111">
      <c r="A111" s="16" t="inlineStr">
        <is>
          <t>KF-M03-0076</t>
        </is>
      </c>
      <c r="B111" s="37" t="n">
        <v>0.6857142857142857</v>
      </c>
      <c r="C111" s="39" t="inlineStr">
        <is>
          <t>Corregible</t>
        </is>
      </c>
      <c r="D111" s="29" t="n">
        <v>8.237009477609181</v>
      </c>
      <c r="E111" s="35" t="n">
        <v>42.63041701722622</v>
      </c>
      <c r="F111" s="36" t="n">
        <v>2436.363636363636</v>
      </c>
      <c r="G111" s="29" t="n">
        <v>5.322580645161289</v>
      </c>
      <c r="H111" s="16" t="inlineStr">
        <is>
          <t>no</t>
        </is>
      </c>
      <c r="I111" s="16" t="inlineStr">
        <is>
          <t>O2</t>
        </is>
      </c>
      <c r="J111" s="16" t="inlineStr">
        <is>
          <t>malla</t>
        </is>
      </c>
    </row>
    <row r="112">
      <c r="A112" s="16" t="inlineStr">
        <is>
          <t>KF-M03-0079</t>
        </is>
      </c>
      <c r="B112" s="37" t="n">
        <v>0.7285714285714286</v>
      </c>
      <c r="C112" s="39" t="inlineStr">
        <is>
          <t>Corregible</t>
        </is>
      </c>
      <c r="D112" s="29" t="n">
        <v>5.01150148093083</v>
      </c>
      <c r="E112" s="35" t="n">
        <v>22.51741326276222</v>
      </c>
      <c r="F112" s="36" t="n">
        <v>2436.363636363636</v>
      </c>
      <c r="G112" s="29" t="n">
        <v>5.322580645161289</v>
      </c>
      <c r="H112" s="16" t="inlineStr">
        <is>
          <t>no</t>
        </is>
      </c>
      <c r="I112" s="16" t="inlineStr">
        <is>
          <t>O2</t>
        </is>
      </c>
      <c r="J112" s="16" t="inlineStr">
        <is>
          <t>malla</t>
        </is>
      </c>
    </row>
    <row r="113">
      <c r="A113" s="16" t="inlineStr">
        <is>
          <t>KF-M03-0081</t>
        </is>
      </c>
      <c r="B113" s="37" t="n">
        <v>0.7714285714285716</v>
      </c>
      <c r="C113" s="39" t="inlineStr">
        <is>
          <t>Corregible</t>
        </is>
      </c>
      <c r="D113" s="29" t="n">
        <v>0.60712276201791</v>
      </c>
      <c r="E113" s="35" t="n">
        <v>2.313653435223017</v>
      </c>
      <c r="F113" s="36" t="n">
        <v>2436.363636363636</v>
      </c>
      <c r="G113" s="29" t="n">
        <v>5.322580645161289</v>
      </c>
      <c r="H113" s="16" t="inlineStr">
        <is>
          <t>no</t>
        </is>
      </c>
      <c r="I113" s="16" t="inlineStr">
        <is>
          <t>O2</t>
        </is>
      </c>
      <c r="J113" s="16" t="inlineStr">
        <is>
          <t>malla</t>
        </is>
      </c>
    </row>
    <row r="114">
      <c r="A114" s="16" t="inlineStr">
        <is>
          <t>KF-M03-0082</t>
        </is>
      </c>
      <c r="B114" s="37" t="n">
        <v>0.8142857142857143</v>
      </c>
      <c r="C114" s="40" t="inlineStr">
        <is>
          <t>Inviable</t>
        </is>
      </c>
      <c r="D114" s="29" t="n">
        <v>-5.77645911027341</v>
      </c>
      <c r="E114" s="35" t="n">
        <v>-18.05936956942336</v>
      </c>
      <c r="F114" s="36" t="n">
        <v>2436.363636363636</v>
      </c>
      <c r="G114" s="29" t="n">
        <v>5.322580645161289</v>
      </c>
      <c r="H114" s="16" t="inlineStr">
        <is>
          <t>no</t>
        </is>
      </c>
      <c r="I114" s="16" t="inlineStr">
        <is>
          <t>O2,O3</t>
        </is>
      </c>
      <c r="J114" s="16" t="inlineStr">
        <is>
          <t>malla</t>
        </is>
      </c>
    </row>
    <row r="115">
      <c r="A115" s="16" t="inlineStr">
        <is>
          <t>KF-M03-0080</t>
        </is>
      </c>
      <c r="B115" s="37" t="n">
        <v>0.8571428571428572</v>
      </c>
      <c r="C115" s="32" t="inlineStr">
        <is>
          <t>No convergió</t>
        </is>
      </c>
      <c r="D115" s="29" t="inlineStr">
        <is>
          <t>—</t>
        </is>
      </c>
      <c r="E115" s="35" t="inlineStr">
        <is>
          <t>—</t>
        </is>
      </c>
      <c r="F115" s="36" t="n">
        <v>2436.363636363636</v>
      </c>
      <c r="G115" s="29" t="n">
        <v>5.322580645161289</v>
      </c>
      <c r="H115" s="16" t="inlineStr">
        <is>
          <t>no</t>
        </is>
      </c>
      <c r="I115" s="16" t="n"/>
      <c r="J115" s="16" t="inlineStr">
        <is>
          <t>malla</t>
        </is>
      </c>
    </row>
    <row r="116">
      <c r="A116" s="16" t="inlineStr">
        <is>
          <t>KF-M03-0083</t>
        </is>
      </c>
      <c r="B116" s="37" t="n">
        <v>0.9000000000000001</v>
      </c>
      <c r="C116" s="40" t="inlineStr">
        <is>
          <t>Inviable</t>
        </is>
      </c>
      <c r="D116" s="29" t="n">
        <v>-34.83013203944058</v>
      </c>
      <c r="E116" s="35" t="n">
        <v>-59.95239184324146</v>
      </c>
      <c r="F116" s="36" t="n">
        <v>2436.363636363636</v>
      </c>
      <c r="G116" s="29" t="n">
        <v>5.322580645161289</v>
      </c>
      <c r="H116" s="16" t="inlineStr">
        <is>
          <t>no</t>
        </is>
      </c>
      <c r="I116" s="16" t="inlineStr">
        <is>
          <t>O2,O3</t>
        </is>
      </c>
      <c r="J116" s="16" t="inlineStr">
        <is>
          <t>malla</t>
        </is>
      </c>
    </row>
    <row r="117"/>
    <row r="118">
      <c r="A118" s="34" t="inlineStr">
        <is>
          <t>Barrido de η_t [–] · 17 puntos</t>
        </is>
      </c>
    </row>
    <row r="119">
      <c r="A119" s="25" t="inlineStr">
        <is>
          <t>Fijos en este barrido: T_fuente = 403, T_sumidero = 300.03, P_alta = 3000, P_baja = 563.64, x_b = 0.5, η_p = 0.75, ε_HRVG = 0.85, ε_reg = 0.75, ε_cond = 0.8.</t>
        </is>
      </c>
    </row>
    <row r="120">
      <c r="A120" s="25" t="inlineStr">
        <is>
          <t>Tipos de punto: malla 15, vecino de A* 2. Los gráficos de este estudio dibujan la malla y los vecinos de A*; el ancla va aparte.</t>
        </is>
      </c>
    </row>
    <row r="121">
      <c r="A121" s="22" t="inlineStr">
        <is>
          <t>id_punto</t>
        </is>
      </c>
      <c r="B121" s="22" t="inlineStr">
        <is>
          <t>η_t [–]</t>
        </is>
      </c>
      <c r="C121" s="22" t="inlineStr">
        <is>
          <t>Clase</t>
        </is>
      </c>
      <c r="D121" s="22" t="inlineStr">
        <is>
          <t>η [%]</t>
        </is>
      </c>
      <c r="E121" s="22" t="inlineStr">
        <is>
          <t>W_net [kW] (m_b = 1 kg/s)</t>
        </is>
      </c>
      <c r="F121" s="22" t="inlineStr">
        <is>
          <t>ΔP [kPa]</t>
        </is>
      </c>
      <c r="G121" s="22" t="inlineStr">
        <is>
          <t>r_P [–]</t>
        </is>
      </c>
      <c r="H121" s="22" t="inlineStr">
        <is>
          <t>Fuera de rango</t>
        </is>
      </c>
      <c r="I121" s="22" t="inlineStr">
        <is>
          <t>Criterios que falla</t>
        </is>
      </c>
      <c r="J121" s="22" t="inlineStr">
        <is>
          <t>Tipo de punto</t>
        </is>
      </c>
    </row>
    <row r="122">
      <c r="A122" s="16" t="inlineStr">
        <is>
          <t>KF-M03-0086</t>
        </is>
      </c>
      <c r="B122" s="37" t="n">
        <v>0.4</v>
      </c>
      <c r="C122" s="39" t="inlineStr">
        <is>
          <t>Corregible</t>
        </is>
      </c>
      <c r="D122" s="29" t="n">
        <v>3.30949795641721</v>
      </c>
      <c r="E122" s="35" t="n">
        <v>10.08423651758285</v>
      </c>
      <c r="F122" s="36" t="n">
        <v>2436.363636363636</v>
      </c>
      <c r="G122" s="29" t="n">
        <v>5.322580645161289</v>
      </c>
      <c r="H122" s="16" t="inlineStr">
        <is>
          <t>no</t>
        </is>
      </c>
      <c r="I122" s="16" t="inlineStr">
        <is>
          <t>O2</t>
        </is>
      </c>
      <c r="J122" s="16" t="inlineStr">
        <is>
          <t>malla</t>
        </is>
      </c>
    </row>
    <row r="123">
      <c r="A123" s="16" t="inlineStr">
        <is>
          <t>KF-M03-0087</t>
        </is>
      </c>
      <c r="B123" s="37" t="n">
        <v>0.4392857142857143</v>
      </c>
      <c r="C123" s="39" t="inlineStr">
        <is>
          <t>Corregible</t>
        </is>
      </c>
      <c r="D123" s="29" t="n">
        <v>3.76307179403484</v>
      </c>
      <c r="E123" s="35" t="n">
        <v>11.47007072069912</v>
      </c>
      <c r="F123" s="36" t="n">
        <v>2436.363636363636</v>
      </c>
      <c r="G123" s="29" t="n">
        <v>5.322580645161289</v>
      </c>
      <c r="H123" s="16" t="inlineStr">
        <is>
          <t>no</t>
        </is>
      </c>
      <c r="I123" s="16" t="inlineStr">
        <is>
          <t>O2</t>
        </is>
      </c>
      <c r="J123" s="16" t="inlineStr">
        <is>
          <t>malla</t>
        </is>
      </c>
    </row>
    <row r="124">
      <c r="A124" s="16" t="inlineStr">
        <is>
          <t>KF-M03-0088</t>
        </is>
      </c>
      <c r="B124" s="37" t="n">
        <v>0.4785714285714286</v>
      </c>
      <c r="C124" s="39" t="inlineStr">
        <is>
          <t>Corregible</t>
        </is>
      </c>
      <c r="D124" s="29" t="n">
        <v>4.21625451051302</v>
      </c>
      <c r="E124" s="35" t="n">
        <v>12.85561877136164</v>
      </c>
      <c r="F124" s="36" t="n">
        <v>2436.363636363636</v>
      </c>
      <c r="G124" s="29" t="n">
        <v>5.322580645161289</v>
      </c>
      <c r="H124" s="16" t="inlineStr">
        <is>
          <t>no</t>
        </is>
      </c>
      <c r="I124" s="16" t="inlineStr">
        <is>
          <t>O2</t>
        </is>
      </c>
      <c r="J124" s="16" t="inlineStr">
        <is>
          <t>malla</t>
        </is>
      </c>
    </row>
    <row r="125">
      <c r="A125" s="16" t="inlineStr">
        <is>
          <t>KF-M03-0089</t>
        </is>
      </c>
      <c r="B125" s="37" t="n">
        <v>0.5178571428571429</v>
      </c>
      <c r="C125" s="39" t="inlineStr">
        <is>
          <t>Corregible</t>
        </is>
      </c>
      <c r="D125" s="29" t="n">
        <v>4.66904435487793</v>
      </c>
      <c r="E125" s="35" t="n">
        <v>14.24087341985586</v>
      </c>
      <c r="F125" s="36" t="n">
        <v>2436.363636363636</v>
      </c>
      <c r="G125" s="29" t="n">
        <v>5.322580645161289</v>
      </c>
      <c r="H125" s="16" t="inlineStr">
        <is>
          <t>no</t>
        </is>
      </c>
      <c r="I125" s="16" t="inlineStr">
        <is>
          <t>O2</t>
        </is>
      </c>
      <c r="J125" s="16" t="inlineStr">
        <is>
          <t>malla</t>
        </is>
      </c>
    </row>
    <row r="126">
      <c r="A126" s="16" t="inlineStr">
        <is>
          <t>KF-M03-0091</t>
        </is>
      </c>
      <c r="B126" s="37" t="n">
        <v>0.5571428571428572</v>
      </c>
      <c r="C126" s="39" t="inlineStr">
        <is>
          <t>Corregible</t>
        </is>
      </c>
      <c r="D126" s="29" t="n">
        <v>5.12144414153169</v>
      </c>
      <c r="E126" s="35" t="n">
        <v>15.62584173958471</v>
      </c>
      <c r="F126" s="36" t="n">
        <v>2436.363636363636</v>
      </c>
      <c r="G126" s="29" t="n">
        <v>5.322580645161289</v>
      </c>
      <c r="H126" s="16" t="inlineStr">
        <is>
          <t>no</t>
        </is>
      </c>
      <c r="I126" s="16" t="inlineStr">
        <is>
          <t>O2</t>
        </is>
      </c>
      <c r="J126" s="16" t="inlineStr">
        <is>
          <t>malla</t>
        </is>
      </c>
    </row>
    <row r="127">
      <c r="A127" s="16" t="inlineStr">
        <is>
          <t>KF-M03-0090</t>
        </is>
      </c>
      <c r="B127" s="37" t="n">
        <v>0.5964285714285714</v>
      </c>
      <c r="C127" s="39" t="inlineStr">
        <is>
          <t>Corregible</t>
        </is>
      </c>
      <c r="D127" s="29" t="n">
        <v>5.57346055189469</v>
      </c>
      <c r="E127" s="35" t="n">
        <v>17.01053058396107</v>
      </c>
      <c r="F127" s="36" t="n">
        <v>2436.363636363636</v>
      </c>
      <c r="G127" s="29" t="n">
        <v>5.322580645161289</v>
      </c>
      <c r="H127" s="16" t="inlineStr">
        <is>
          <t>no</t>
        </is>
      </c>
      <c r="I127" s="16" t="inlineStr">
        <is>
          <t>O2</t>
        </is>
      </c>
      <c r="J127" s="16" t="inlineStr">
        <is>
          <t>malla</t>
        </is>
      </c>
    </row>
    <row r="128">
      <c r="A128" s="16" t="inlineStr">
        <is>
          <t>KF-M03-0092</t>
        </is>
      </c>
      <c r="B128" s="37" t="n">
        <v>0.6357142857142857</v>
      </c>
      <c r="C128" s="39" t="inlineStr">
        <is>
          <t>Corregible</t>
        </is>
      </c>
      <c r="D128" s="29" t="n">
        <v>6.02508196426002</v>
      </c>
      <c r="E128" s="35" t="n">
        <v>18.39492498355384</v>
      </c>
      <c r="F128" s="36" t="n">
        <v>2436.363636363636</v>
      </c>
      <c r="G128" s="29" t="n">
        <v>5.322580645161289</v>
      </c>
      <c r="H128" s="16" t="inlineStr">
        <is>
          <t>no</t>
        </is>
      </c>
      <c r="I128" s="16" t="inlineStr">
        <is>
          <t>O2</t>
        </is>
      </c>
      <c r="J128" s="16" t="inlineStr">
        <is>
          <t>malla</t>
        </is>
      </c>
    </row>
    <row r="129">
      <c r="A129" s="16" t="inlineStr">
        <is>
          <t>KF-M03-0093</t>
        </is>
      </c>
      <c r="B129" s="37" t="n">
        <v>0.675</v>
      </c>
      <c r="C129" s="42" t="inlineStr">
        <is>
          <t>KALINA</t>
        </is>
      </c>
      <c r="D129" s="29" t="n">
        <v>6.47631544223253</v>
      </c>
      <c r="E129" s="35" t="n">
        <v>19.77903412152411</v>
      </c>
      <c r="F129" s="36" t="n">
        <v>2436.363636363636</v>
      </c>
      <c r="G129" s="29" t="n">
        <v>5.322580645161289</v>
      </c>
      <c r="H129" s="16" t="inlineStr">
        <is>
          <t>no</t>
        </is>
      </c>
      <c r="I129" s="16" t="n"/>
      <c r="J129" s="16" t="inlineStr">
        <is>
          <t>malla</t>
        </is>
      </c>
    </row>
    <row r="130">
      <c r="A130" s="16" t="inlineStr">
        <is>
          <t>KF-M03-0094</t>
        </is>
      </c>
      <c r="B130" s="37" t="n">
        <v>0.7142857142857142</v>
      </c>
      <c r="C130" s="42" t="inlineStr">
        <is>
          <t>KALINA</t>
        </is>
      </c>
      <c r="D130" s="29" t="n">
        <v>6.927174565481151</v>
      </c>
      <c r="E130" s="35" t="n">
        <v>21.16289865884195</v>
      </c>
      <c r="F130" s="36" t="n">
        <v>2436.363636363636</v>
      </c>
      <c r="G130" s="29" t="n">
        <v>5.322580645161289</v>
      </c>
      <c r="H130" s="16" t="inlineStr">
        <is>
          <t>no</t>
        </is>
      </c>
      <c r="I130" s="16" t="n"/>
      <c r="J130" s="16" t="inlineStr">
        <is>
          <t>malla</t>
        </is>
      </c>
    </row>
    <row r="131">
      <c r="A131" s="16" t="inlineStr">
        <is>
          <t>KF-M03-0096</t>
        </is>
      </c>
      <c r="B131" s="37" t="n">
        <v>0.7535714285714286</v>
      </c>
      <c r="C131" s="42" t="inlineStr">
        <is>
          <t>KALINA</t>
        </is>
      </c>
      <c r="D131" s="29" t="n">
        <v>7.377669830826441</v>
      </c>
      <c r="E131" s="35" t="n">
        <v>22.54655000770246</v>
      </c>
      <c r="F131" s="36" t="n">
        <v>2436.363636363636</v>
      </c>
      <c r="G131" s="29" t="n">
        <v>5.322580645161289</v>
      </c>
      <c r="H131" s="16" t="inlineStr">
        <is>
          <t>no</t>
        </is>
      </c>
      <c r="I131" s="16" t="n"/>
      <c r="J131" s="16" t="inlineStr">
        <is>
          <t>malla</t>
        </is>
      </c>
    </row>
    <row r="132">
      <c r="A132" s="16" t="inlineStr">
        <is>
          <t>KF-M03-0095</t>
        </is>
      </c>
      <c r="B132" s="37" t="n">
        <v>0.7928571428571428</v>
      </c>
      <c r="C132" s="42" t="inlineStr">
        <is>
          <t>KALINA</t>
        </is>
      </c>
      <c r="D132" s="29" t="n">
        <v>7.82780188218461</v>
      </c>
      <c r="E132" s="35" t="n">
        <v>23.92998881054222</v>
      </c>
      <c r="F132" s="36" t="n">
        <v>2436.363636363636</v>
      </c>
      <c r="G132" s="29" t="n">
        <v>5.322580645161289</v>
      </c>
      <c r="H132" s="16" t="inlineStr">
        <is>
          <t>no</t>
        </is>
      </c>
      <c r="I132" s="16" t="n"/>
      <c r="J132" s="16" t="inlineStr">
        <is>
          <t>malla</t>
        </is>
      </c>
    </row>
    <row r="133">
      <c r="A133" s="16" t="inlineStr">
        <is>
          <t>KF-M03-0097</t>
        </is>
      </c>
      <c r="B133" s="37" t="n">
        <v>0.8321428571428571</v>
      </c>
      <c r="C133" s="42" t="inlineStr">
        <is>
          <t>KALINA</t>
        </is>
      </c>
      <c r="D133" s="29" t="n">
        <v>8.27757092101935</v>
      </c>
      <c r="E133" s="35" t="n">
        <v>25.31321432495384</v>
      </c>
      <c r="F133" s="36" t="n">
        <v>2436.363636363636</v>
      </c>
      <c r="G133" s="29" t="n">
        <v>5.322580645161289</v>
      </c>
      <c r="H133" s="16" t="inlineStr">
        <is>
          <t>no</t>
        </is>
      </c>
      <c r="I133" s="16" t="n"/>
      <c r="J133" s="16" t="inlineStr">
        <is>
          <t>malla</t>
        </is>
      </c>
    </row>
    <row r="134">
      <c r="A134" s="16" t="inlineStr">
        <is>
          <t>KF-M03-0100</t>
        </is>
      </c>
      <c r="B134" s="37" t="n">
        <v>0.8445</v>
      </c>
      <c r="C134" s="42" t="inlineStr">
        <is>
          <t>KALINA</t>
        </is>
      </c>
      <c r="D134" s="29" t="n">
        <v>8.418968371579739</v>
      </c>
      <c r="E134" s="35" t="n">
        <v>25.74825633857399</v>
      </c>
      <c r="F134" s="36" t="n">
        <v>2436.363636363636</v>
      </c>
      <c r="G134" s="29" t="n">
        <v>5.322580645161289</v>
      </c>
      <c r="H134" s="16" t="inlineStr">
        <is>
          <t>no</t>
        </is>
      </c>
      <c r="I134" s="16" t="n"/>
      <c r="J134" s="16" t="inlineStr">
        <is>
          <t>vecino de A*</t>
        </is>
      </c>
    </row>
    <row r="135">
      <c r="A135" s="16" t="inlineStr">
        <is>
          <t>KF-M03-0102</t>
        </is>
      </c>
      <c r="B135" s="37" t="n">
        <v>0.8554999999999999</v>
      </c>
      <c r="C135" s="42" t="inlineStr">
        <is>
          <t>KALINA</t>
        </is>
      </c>
      <c r="D135" s="29" t="n">
        <v>8.544806765753931</v>
      </c>
      <c r="E135" s="35" t="n">
        <v>26.13550240097425</v>
      </c>
      <c r="F135" s="36" t="n">
        <v>2436.363636363636</v>
      </c>
      <c r="G135" s="29" t="n">
        <v>5.322580645161289</v>
      </c>
      <c r="H135" s="16" t="inlineStr">
        <is>
          <t>no</t>
        </is>
      </c>
      <c r="I135" s="16" t="n"/>
      <c r="J135" s="16" t="inlineStr">
        <is>
          <t>vecino de A*</t>
        </is>
      </c>
    </row>
    <row r="136">
      <c r="A136" s="16" t="inlineStr">
        <is>
          <t>KF-M03-0098</t>
        </is>
      </c>
      <c r="B136" s="37" t="n">
        <v>0.8714285714285714</v>
      </c>
      <c r="C136" s="42" t="inlineStr">
        <is>
          <t>KALINA</t>
        </is>
      </c>
      <c r="D136" s="29" t="n">
        <v>8.726976964647172</v>
      </c>
      <c r="E136" s="35" t="n">
        <v>26.69622521563681</v>
      </c>
      <c r="F136" s="36" t="n">
        <v>2436.363636363636</v>
      </c>
      <c r="G136" s="29" t="n">
        <v>5.322580645161289</v>
      </c>
      <c r="H136" s="16" t="inlineStr">
        <is>
          <t>no</t>
        </is>
      </c>
      <c r="I136" s="16" t="n"/>
      <c r="J136" s="16" t="inlineStr">
        <is>
          <t>malla</t>
        </is>
      </c>
    </row>
    <row r="137">
      <c r="A137" s="16" t="inlineStr">
        <is>
          <t>KF-M03-0099</t>
        </is>
      </c>
      <c r="B137" s="37" t="n">
        <v>0.9107142857142856</v>
      </c>
      <c r="C137" s="42" t="inlineStr">
        <is>
          <t>KALINA</t>
        </is>
      </c>
      <c r="D137" s="29" t="n">
        <v>9.176021304402679</v>
      </c>
      <c r="E137" s="35" t="n">
        <v>28.079024180318</v>
      </c>
      <c r="F137" s="36" t="n">
        <v>2436.363636363636</v>
      </c>
      <c r="G137" s="29" t="n">
        <v>5.322580645161289</v>
      </c>
      <c r="H137" s="16" t="inlineStr">
        <is>
          <t>no</t>
        </is>
      </c>
      <c r="I137" s="16" t="n"/>
      <c r="J137" s="16" t="inlineStr">
        <is>
          <t>malla</t>
        </is>
      </c>
    </row>
    <row r="138">
      <c r="A138" s="16" t="inlineStr">
        <is>
          <t>KF-M03-0101</t>
        </is>
      </c>
      <c r="B138" s="37" t="n">
        <v>0.95</v>
      </c>
      <c r="C138" s="42" t="inlineStr">
        <is>
          <t>KALINA</t>
        </is>
      </c>
      <c r="D138" s="29" t="n">
        <v>9.62470405138532</v>
      </c>
      <c r="E138" s="35" t="n">
        <v>29.46161019170828</v>
      </c>
      <c r="F138" s="36" t="n">
        <v>2436.363636363636</v>
      </c>
      <c r="G138" s="29" t="n">
        <v>5.322580645161289</v>
      </c>
      <c r="H138" s="16" t="inlineStr">
        <is>
          <t>no</t>
        </is>
      </c>
      <c r="I138" s="16" t="n"/>
      <c r="J138" s="16" t="inlineStr">
        <is>
          <t>malla</t>
        </is>
      </c>
    </row>
    <row r="139"/>
    <row r="140">
      <c r="A140" s="34" t="inlineStr">
        <is>
          <t>Barrido de η_p [–] · 17 puntos</t>
        </is>
      </c>
    </row>
    <row r="141">
      <c r="A141" s="25" t="inlineStr">
        <is>
          <t>Fijos en este barrido: T_fuente = 403, T_sumidero = 300.03, P_alta = 3000, P_baja = 563.64, x_b = 0.5, η_t = 0.85, ε_HRVG = 0.85, ε_reg = 0.75, ε_cond = 0.8.</t>
        </is>
      </c>
    </row>
    <row r="142">
      <c r="A142" s="25" t="inlineStr">
        <is>
          <t>Tipos de punto: malla 15, vecino de A* 2. Los gráficos de este estudio dibujan la malla y los vecinos de A*; el ancla va aparte.</t>
        </is>
      </c>
    </row>
    <row r="143">
      <c r="A143" s="22" t="inlineStr">
        <is>
          <t>id_punto</t>
        </is>
      </c>
      <c r="B143" s="22" t="inlineStr">
        <is>
          <t>η_p [–]</t>
        </is>
      </c>
      <c r="C143" s="22" t="inlineStr">
        <is>
          <t>Clase</t>
        </is>
      </c>
      <c r="D143" s="22" t="inlineStr">
        <is>
          <t>η [%]</t>
        </is>
      </c>
      <c r="E143" s="22" t="inlineStr">
        <is>
          <t>W_net [kW] (m_b = 1 kg/s)</t>
        </is>
      </c>
      <c r="F143" s="22" t="inlineStr">
        <is>
          <t>ΔP [kPa]</t>
        </is>
      </c>
      <c r="G143" s="22" t="inlineStr">
        <is>
          <t>r_P [–]</t>
        </is>
      </c>
      <c r="H143" s="22" t="inlineStr">
        <is>
          <t>Fuera de rango</t>
        </is>
      </c>
      <c r="I143" s="22" t="inlineStr">
        <is>
          <t>Tipo de punto</t>
        </is>
      </c>
    </row>
    <row r="144">
      <c r="A144" s="16" t="inlineStr">
        <is>
          <t>KF-M03-0103</t>
        </is>
      </c>
      <c r="B144" s="37" t="n">
        <v>0.4</v>
      </c>
      <c r="C144" s="42" t="inlineStr">
        <is>
          <t>KALINA</t>
        </is>
      </c>
      <c r="D144" s="29" t="n">
        <v>7.37033739451995</v>
      </c>
      <c r="E144" s="35" t="n">
        <v>22.44879866154887</v>
      </c>
      <c r="F144" s="36" t="n">
        <v>2436.363636363636</v>
      </c>
      <c r="G144" s="29" t="n">
        <v>5.322580645161289</v>
      </c>
      <c r="H144" s="16" t="inlineStr">
        <is>
          <t>no</t>
        </is>
      </c>
      <c r="I144" s="16" t="inlineStr">
        <is>
          <t>malla</t>
        </is>
      </c>
    </row>
    <row r="145">
      <c r="A145" s="16" t="inlineStr">
        <is>
          <t>KF-M03-0104</t>
        </is>
      </c>
      <c r="B145" s="37" t="n">
        <v>0.4392857142857143</v>
      </c>
      <c r="C145" s="42" t="inlineStr">
        <is>
          <t>KALINA</t>
        </is>
      </c>
      <c r="D145" s="29" t="n">
        <v>7.584093282183669</v>
      </c>
      <c r="E145" s="35" t="n">
        <v>23.11828495568127</v>
      </c>
      <c r="F145" s="36" t="n">
        <v>2436.363636363636</v>
      </c>
      <c r="G145" s="29" t="n">
        <v>5.322580645161289</v>
      </c>
      <c r="H145" s="16" t="inlineStr">
        <is>
          <t>no</t>
        </is>
      </c>
      <c r="I145" s="16" t="inlineStr">
        <is>
          <t>malla</t>
        </is>
      </c>
    </row>
    <row r="146">
      <c r="A146" s="16" t="inlineStr">
        <is>
          <t>KF-M03-0105</t>
        </is>
      </c>
      <c r="B146" s="37" t="n">
        <v>0.4785714285714286</v>
      </c>
      <c r="C146" s="42" t="inlineStr">
        <is>
          <t>KALINA</t>
        </is>
      </c>
      <c r="D146" s="29" t="n">
        <v>7.76248406841679</v>
      </c>
      <c r="E146" s="35" t="n">
        <v>23.67782406894001</v>
      </c>
      <c r="F146" s="36" t="n">
        <v>2436.363636363636</v>
      </c>
      <c r="G146" s="29" t="n">
        <v>5.322580645161289</v>
      </c>
      <c r="H146" s="16" t="inlineStr">
        <is>
          <t>no</t>
        </is>
      </c>
      <c r="I146" s="16" t="inlineStr">
        <is>
          <t>malla</t>
        </is>
      </c>
    </row>
    <row r="147">
      <c r="A147" s="16" t="inlineStr">
        <is>
          <t>KF-M03-0106</t>
        </is>
      </c>
      <c r="B147" s="37" t="n">
        <v>0.5178571428571429</v>
      </c>
      <c r="C147" s="42" t="inlineStr">
        <is>
          <t>KALINA</t>
        </is>
      </c>
      <c r="D147" s="29" t="n">
        <v>7.913616649830931</v>
      </c>
      <c r="E147" s="35" t="n">
        <v>24.15244791209221</v>
      </c>
      <c r="F147" s="36" t="n">
        <v>2436.363636363636</v>
      </c>
      <c r="G147" s="29" t="n">
        <v>5.322580645161289</v>
      </c>
      <c r="H147" s="16" t="inlineStr">
        <is>
          <t>no</t>
        </is>
      </c>
      <c r="I147" s="16" t="inlineStr">
        <is>
          <t>malla</t>
        </is>
      </c>
    </row>
    <row r="148">
      <c r="A148" s="16" t="inlineStr">
        <is>
          <t>KF-M03-0107</t>
        </is>
      </c>
      <c r="B148" s="37" t="n">
        <v>0.5571428571428572</v>
      </c>
      <c r="C148" s="42" t="inlineStr">
        <is>
          <t>KALINA</t>
        </is>
      </c>
      <c r="D148" s="29" t="n">
        <v>8.043295132575979</v>
      </c>
      <c r="E148" s="35" t="n">
        <v>24.56012298806583</v>
      </c>
      <c r="F148" s="36" t="n">
        <v>2436.363636363636</v>
      </c>
      <c r="G148" s="29" t="n">
        <v>5.322580645161289</v>
      </c>
      <c r="H148" s="16" t="inlineStr">
        <is>
          <t>no</t>
        </is>
      </c>
      <c r="I148" s="16" t="inlineStr">
        <is>
          <t>malla</t>
        </is>
      </c>
    </row>
    <row r="149">
      <c r="A149" s="16" t="inlineStr">
        <is>
          <t>KF-M03-0108</t>
        </is>
      </c>
      <c r="B149" s="37" t="n">
        <v>0.5964285714285714</v>
      </c>
      <c r="C149" s="42" t="inlineStr">
        <is>
          <t>KALINA</t>
        </is>
      </c>
      <c r="D149" s="29" t="n">
        <v>8.155784612503069</v>
      </c>
      <c r="E149" s="35" t="n">
        <v>24.91407999854049</v>
      </c>
      <c r="F149" s="36" t="n">
        <v>2436.363636363636</v>
      </c>
      <c r="G149" s="29" t="n">
        <v>5.322580645161289</v>
      </c>
      <c r="H149" s="16" t="inlineStr">
        <is>
          <t>no</t>
        </is>
      </c>
      <c r="I149" s="16" t="inlineStr">
        <is>
          <t>malla</t>
        </is>
      </c>
    </row>
    <row r="150">
      <c r="A150" s="16" t="inlineStr">
        <is>
          <t>KF-M03-0109</t>
        </is>
      </c>
      <c r="B150" s="37" t="n">
        <v>0.6357142857142857</v>
      </c>
      <c r="C150" s="42" t="inlineStr">
        <is>
          <t>KALINA</t>
        </is>
      </c>
      <c r="D150" s="29" t="n">
        <v>8.254291524622159</v>
      </c>
      <c r="E150" s="35" t="n">
        <v>25.22428393310418</v>
      </c>
      <c r="F150" s="36" t="n">
        <v>2436.363636363636</v>
      </c>
      <c r="G150" s="29" t="n">
        <v>5.322580645161289</v>
      </c>
      <c r="H150" s="16" t="inlineStr">
        <is>
          <t>no</t>
        </is>
      </c>
      <c r="I150" s="16" t="inlineStr">
        <is>
          <t>malla</t>
        </is>
      </c>
    </row>
    <row r="151">
      <c r="A151" s="16" t="inlineStr">
        <is>
          <t>KF-M03-0110</t>
        </is>
      </c>
      <c r="B151" s="37" t="n">
        <v>0.675</v>
      </c>
      <c r="C151" s="42" t="inlineStr">
        <is>
          <t>KALINA</t>
        </is>
      </c>
      <c r="D151" s="29" t="n">
        <v>8.34126912035506</v>
      </c>
      <c r="E151" s="35" t="n">
        <v>25.49837111469379</v>
      </c>
      <c r="F151" s="36" t="n">
        <v>2436.363636363636</v>
      </c>
      <c r="G151" s="29" t="n">
        <v>5.322580645161289</v>
      </c>
      <c r="H151" s="16" t="inlineStr">
        <is>
          <t>no</t>
        </is>
      </c>
      <c r="I151" s="16" t="inlineStr">
        <is>
          <t>malla</t>
        </is>
      </c>
    </row>
    <row r="152">
      <c r="A152" s="16" t="inlineStr">
        <is>
          <t>KF-M03-0111</t>
        </is>
      </c>
      <c r="B152" s="37" t="n">
        <v>0.7142857142857142</v>
      </c>
      <c r="C152" s="42" t="inlineStr">
        <is>
          <t>KALINA</t>
        </is>
      </c>
      <c r="D152" s="29" t="n">
        <v>8.4186301286119</v>
      </c>
      <c r="E152" s="35" t="n">
        <v>25.74230378624861</v>
      </c>
      <c r="F152" s="36" t="n">
        <v>2436.363636363636</v>
      </c>
      <c r="G152" s="29" t="n">
        <v>5.322580645161289</v>
      </c>
      <c r="H152" s="16" t="inlineStr">
        <is>
          <t>no</t>
        </is>
      </c>
      <c r="I152" s="16" t="inlineStr">
        <is>
          <t>malla</t>
        </is>
      </c>
    </row>
    <row r="153">
      <c r="A153" s="16" t="inlineStr">
        <is>
          <t>KF-M03-0118</t>
        </is>
      </c>
      <c r="B153" s="37" t="n">
        <v>0.7445000000000001</v>
      </c>
      <c r="C153" s="42" t="inlineStr">
        <is>
          <t>KALINA</t>
        </is>
      </c>
      <c r="D153" s="29" t="n">
        <v>8.472546400277629</v>
      </c>
      <c r="E153" s="35" t="n">
        <v>25.91239452105285</v>
      </c>
      <c r="F153" s="36" t="n">
        <v>2436.363636363636</v>
      </c>
      <c r="G153" s="29" t="n">
        <v>5.322580645161289</v>
      </c>
      <c r="H153" s="16" t="inlineStr">
        <is>
          <t>no</t>
        </is>
      </c>
      <c r="I153" s="16" t="inlineStr">
        <is>
          <t>vecino de A*</t>
        </is>
      </c>
    </row>
    <row r="154">
      <c r="A154" s="16" t="inlineStr">
        <is>
          <t>KF-M03-0112</t>
        </is>
      </c>
      <c r="B154" s="37" t="n">
        <v>0.7535714285714286</v>
      </c>
      <c r="C154" s="42" t="inlineStr">
        <is>
          <t>KALINA</t>
        </is>
      </c>
      <c r="D154" s="29" t="n">
        <v>8.48788587311315</v>
      </c>
      <c r="E154" s="35" t="n">
        <v>25.96079878162418</v>
      </c>
      <c r="F154" s="36" t="n">
        <v>2436.363636363636</v>
      </c>
      <c r="G154" s="29" t="n">
        <v>5.322580645161289</v>
      </c>
      <c r="H154" s="16" t="inlineStr">
        <is>
          <t>no</t>
        </is>
      </c>
      <c r="I154" s="16" t="inlineStr">
        <is>
          <t>malla</t>
        </is>
      </c>
    </row>
    <row r="155">
      <c r="A155" s="16" t="inlineStr">
        <is>
          <t>KF-M03-0119</t>
        </is>
      </c>
      <c r="B155" s="37" t="n">
        <v>0.7554999999999999</v>
      </c>
      <c r="C155" s="42" t="inlineStr">
        <is>
          <t>KALINA</t>
        </is>
      </c>
      <c r="D155" s="29" t="n">
        <v>8.491099317278831</v>
      </c>
      <c r="E155" s="35" t="n">
        <v>25.9709396236731</v>
      </c>
      <c r="F155" s="36" t="n">
        <v>2436.363636363636</v>
      </c>
      <c r="G155" s="29" t="n">
        <v>5.322580645161289</v>
      </c>
      <c r="H155" s="16" t="inlineStr">
        <is>
          <t>no</t>
        </is>
      </c>
      <c r="I155" s="16" t="inlineStr">
        <is>
          <t>vecino de A*</t>
        </is>
      </c>
    </row>
    <row r="156">
      <c r="A156" s="16" t="inlineStr">
        <is>
          <t>KF-M03-0113</t>
        </is>
      </c>
      <c r="B156" s="37" t="n">
        <v>0.7928571428571428</v>
      </c>
      <c r="C156" s="42" t="inlineStr">
        <is>
          <t>KALINA</t>
        </is>
      </c>
      <c r="D156" s="29" t="n">
        <v>8.550246194716459</v>
      </c>
      <c r="E156" s="35" t="n">
        <v>26.1576360397432</v>
      </c>
      <c r="F156" s="36" t="n">
        <v>2436.363636363636</v>
      </c>
      <c r="G156" s="29" t="n">
        <v>5.322580645161289</v>
      </c>
      <c r="H156" s="16" t="inlineStr">
        <is>
          <t>no</t>
        </is>
      </c>
      <c r="I156" s="16" t="inlineStr">
        <is>
          <t>malla</t>
        </is>
      </c>
    </row>
    <row r="157">
      <c r="A157" s="16" t="inlineStr">
        <is>
          <t>KF-M03-0114</t>
        </is>
      </c>
      <c r="B157" s="37" t="n">
        <v>0.8321428571428571</v>
      </c>
      <c r="C157" s="42" t="inlineStr">
        <is>
          <t>KALINA</t>
        </is>
      </c>
      <c r="D157" s="29" t="n">
        <v>8.606693297074559</v>
      </c>
      <c r="E157" s="35" t="n">
        <v>26.33588787893637</v>
      </c>
      <c r="F157" s="36" t="n">
        <v>2436.363636363636</v>
      </c>
      <c r="G157" s="29" t="n">
        <v>5.322580645161289</v>
      </c>
      <c r="H157" s="16" t="inlineStr">
        <is>
          <t>no</t>
        </is>
      </c>
      <c r="I157" s="16" t="inlineStr">
        <is>
          <t>malla</t>
        </is>
      </c>
    </row>
    <row r="158">
      <c r="A158" s="16" t="inlineStr">
        <is>
          <t>KF-M03-0115</t>
        </is>
      </c>
      <c r="B158" s="37" t="n">
        <v>0.8714285714285714</v>
      </c>
      <c r="C158" s="42" t="inlineStr">
        <is>
          <t>KALINA</t>
        </is>
      </c>
      <c r="D158" s="29" t="n">
        <v>8.658029142848141</v>
      </c>
      <c r="E158" s="35" t="n">
        <v>26.49806430500769</v>
      </c>
      <c r="F158" s="36" t="n">
        <v>2436.363636363636</v>
      </c>
      <c r="G158" s="29" t="n">
        <v>5.322580645161289</v>
      </c>
      <c r="H158" s="16" t="inlineStr">
        <is>
          <t>no</t>
        </is>
      </c>
      <c r="I158" s="16" t="inlineStr">
        <is>
          <t>malla</t>
        </is>
      </c>
    </row>
    <row r="159">
      <c r="A159" s="16" t="inlineStr">
        <is>
          <t>KF-M03-0116</t>
        </is>
      </c>
      <c r="B159" s="37" t="n">
        <v>0.9107142857142856</v>
      </c>
      <c r="C159" s="42" t="inlineStr">
        <is>
          <t>KALINA</t>
        </is>
      </c>
      <c r="D159" s="29" t="n">
        <v>8.7049181977993</v>
      </c>
      <c r="E159" s="35" t="n">
        <v>26.64624715573856</v>
      </c>
      <c r="F159" s="36" t="n">
        <v>2436.363636363636</v>
      </c>
      <c r="G159" s="29" t="n">
        <v>5.322580645161289</v>
      </c>
      <c r="H159" s="16" t="inlineStr">
        <is>
          <t>no</t>
        </is>
      </c>
      <c r="I159" s="16" t="inlineStr">
        <is>
          <t>malla</t>
        </is>
      </c>
    </row>
    <row r="160">
      <c r="A160" s="16" t="inlineStr">
        <is>
          <t>KF-M03-0117</t>
        </is>
      </c>
      <c r="B160" s="37" t="n">
        <v>0.95</v>
      </c>
      <c r="C160" s="42" t="inlineStr">
        <is>
          <t>KALINA</t>
        </is>
      </c>
      <c r="D160" s="29" t="n">
        <v>8.747914258849409</v>
      </c>
      <c r="E160" s="35" t="n">
        <v>26.7821727001356</v>
      </c>
      <c r="F160" s="36" t="n">
        <v>2436.363636363636</v>
      </c>
      <c r="G160" s="29" t="n">
        <v>5.322580645161289</v>
      </c>
      <c r="H160" s="16" t="inlineStr">
        <is>
          <t>no</t>
        </is>
      </c>
      <c r="I160" s="16" t="inlineStr">
        <is>
          <t>malla</t>
        </is>
      </c>
    </row>
    <row r="161"/>
    <row r="162">
      <c r="A162" s="34" t="inlineStr">
        <is>
          <t>Barrido de ε_HRVG [–] · 17 puntos</t>
        </is>
      </c>
    </row>
    <row r="163">
      <c r="A163" s="25" t="inlineStr">
        <is>
          <t>Fijos en este barrido: T_fuente = 403, T_sumidero = 300.03, P_alta = 3000, P_baja = 563.64, x_b = 0.5, η_t = 0.85, η_p = 0.75, ε_reg = 0.75, ε_cond = 0.8.</t>
        </is>
      </c>
    </row>
    <row r="164">
      <c r="A164" s="25" t="inlineStr">
        <is>
          <t>Tipos de punto: malla 15, vecino de A* 2. Los gráficos de este estudio dibujan la malla y los vecinos de A*; el ancla va aparte.</t>
        </is>
      </c>
    </row>
    <row r="165">
      <c r="A165" s="22" t="inlineStr">
        <is>
          <t>id_punto</t>
        </is>
      </c>
      <c r="B165" s="22" t="inlineStr">
        <is>
          <t>ε_HRVG [–]</t>
        </is>
      </c>
      <c r="C165" s="22" t="inlineStr">
        <is>
          <t>Clase</t>
        </is>
      </c>
      <c r="D165" s="22" t="inlineStr">
        <is>
          <t>η [%]</t>
        </is>
      </c>
      <c r="E165" s="22" t="inlineStr">
        <is>
          <t>W_net [kW] (m_b = 1 kg/s)</t>
        </is>
      </c>
      <c r="F165" s="22" t="inlineStr">
        <is>
          <t>ΔP [kPa]</t>
        </is>
      </c>
      <c r="G165" s="22" t="inlineStr">
        <is>
          <t>r_P [–]</t>
        </is>
      </c>
      <c r="H165" s="22" t="inlineStr">
        <is>
          <t>Fuera de rango</t>
        </is>
      </c>
      <c r="I165" s="22" t="inlineStr">
        <is>
          <t>Criterios que falla</t>
        </is>
      </c>
      <c r="J165" s="22" t="inlineStr">
        <is>
          <t>Tipo de punto</t>
        </is>
      </c>
    </row>
    <row r="166">
      <c r="A166" s="16" t="inlineStr">
        <is>
          <t>KF-M03-0121</t>
        </is>
      </c>
      <c r="B166" s="37" t="n">
        <v>0.4</v>
      </c>
      <c r="C166" s="42" t="inlineStr">
        <is>
          <t>KALINA</t>
        </is>
      </c>
      <c r="D166" s="29" t="n">
        <v>2.36204912319494</v>
      </c>
      <c r="E166" s="35" t="n">
        <v>3.529762933367045</v>
      </c>
      <c r="F166" s="36" t="n">
        <v>2436.363636363636</v>
      </c>
      <c r="G166" s="29" t="n">
        <v>5.322580645161289</v>
      </c>
      <c r="H166" s="16" t="inlineStr">
        <is>
          <t>no</t>
        </is>
      </c>
      <c r="I166" s="16" t="n"/>
      <c r="J166" s="16" t="inlineStr">
        <is>
          <t>malla</t>
        </is>
      </c>
    </row>
    <row r="167">
      <c r="A167" s="16" t="inlineStr">
        <is>
          <t>KF-M03-0120</t>
        </is>
      </c>
      <c r="B167" s="37" t="n">
        <v>0.4392857142857143</v>
      </c>
      <c r="C167" s="42" t="inlineStr">
        <is>
          <t>KALINA</t>
        </is>
      </c>
      <c r="D167" s="29" t="n">
        <v>3.39160324764729</v>
      </c>
      <c r="E167" s="35" t="n">
        <v>5.550657999740649</v>
      </c>
      <c r="F167" s="36" t="n">
        <v>2436.363636363636</v>
      </c>
      <c r="G167" s="29" t="n">
        <v>5.322580645161289</v>
      </c>
      <c r="H167" s="16" t="inlineStr">
        <is>
          <t>no</t>
        </is>
      </c>
      <c r="I167" s="16" t="n"/>
      <c r="J167" s="16" t="inlineStr">
        <is>
          <t>malla</t>
        </is>
      </c>
    </row>
    <row r="168">
      <c r="A168" s="16" t="inlineStr">
        <is>
          <t>KF-M03-0122</t>
        </is>
      </c>
      <c r="B168" s="37" t="n">
        <v>0.4785714285714286</v>
      </c>
      <c r="C168" s="42" t="inlineStr">
        <is>
          <t>KALINA</t>
        </is>
      </c>
      <c r="D168" s="29" t="n">
        <v>4.25324576927303</v>
      </c>
      <c r="E168" s="35" t="n">
        <v>7.561384403876184</v>
      </c>
      <c r="F168" s="36" t="n">
        <v>2436.363636363636</v>
      </c>
      <c r="G168" s="29" t="n">
        <v>5.322580645161289</v>
      </c>
      <c r="H168" s="16" t="inlineStr">
        <is>
          <t>no</t>
        </is>
      </c>
      <c r="I168" s="16" t="n"/>
      <c r="J168" s="16" t="inlineStr">
        <is>
          <t>malla</t>
        </is>
      </c>
    </row>
    <row r="169">
      <c r="A169" s="16" t="inlineStr">
        <is>
          <t>KF-M03-0123</t>
        </is>
      </c>
      <c r="B169" s="37" t="n">
        <v>0.5178571428571429</v>
      </c>
      <c r="C169" s="42" t="inlineStr">
        <is>
          <t>KALINA</t>
        </is>
      </c>
      <c r="D169" s="29" t="n">
        <v>4.98511165795313</v>
      </c>
      <c r="E169" s="35" t="n">
        <v>9.561145949152213</v>
      </c>
      <c r="F169" s="36" t="n">
        <v>2436.363636363636</v>
      </c>
      <c r="G169" s="29" t="n">
        <v>5.322580645161289</v>
      </c>
      <c r="H169" s="16" t="inlineStr">
        <is>
          <t>no</t>
        </is>
      </c>
      <c r="I169" s="16" t="n"/>
      <c r="J169" s="16" t="inlineStr">
        <is>
          <t>malla</t>
        </is>
      </c>
    </row>
    <row r="170">
      <c r="A170" s="16" t="inlineStr">
        <is>
          <t>KF-M03-0124</t>
        </is>
      </c>
      <c r="B170" s="37" t="n">
        <v>0.5571428571428572</v>
      </c>
      <c r="C170" s="42" t="inlineStr">
        <is>
          <t>KALINA</t>
        </is>
      </c>
      <c r="D170" s="29" t="n">
        <v>5.61454009977555</v>
      </c>
      <c r="E170" s="35" t="n">
        <v>11.54915938353207</v>
      </c>
      <c r="F170" s="36" t="n">
        <v>2436.363636363636</v>
      </c>
      <c r="G170" s="29" t="n">
        <v>5.322580645161289</v>
      </c>
      <c r="H170" s="16" t="inlineStr">
        <is>
          <t>no</t>
        </is>
      </c>
      <c r="I170" s="16" t="n"/>
      <c r="J170" s="16" t="inlineStr">
        <is>
          <t>malla</t>
        </is>
      </c>
    </row>
    <row r="171">
      <c r="A171" s="16" t="inlineStr">
        <is>
          <t>KF-M03-0126</t>
        </is>
      </c>
      <c r="B171" s="37" t="n">
        <v>0.5964285714285714</v>
      </c>
      <c r="C171" s="42" t="inlineStr">
        <is>
          <t>KALINA</t>
        </is>
      </c>
      <c r="D171" s="29" t="n">
        <v>6.16165751957585</v>
      </c>
      <c r="E171" s="35" t="n">
        <v>13.52471199139795</v>
      </c>
      <c r="F171" s="36" t="n">
        <v>2436.363636363636</v>
      </c>
      <c r="G171" s="29" t="n">
        <v>5.322580645161289</v>
      </c>
      <c r="H171" s="16" t="inlineStr">
        <is>
          <t>no</t>
        </is>
      </c>
      <c r="I171" s="16" t="n"/>
      <c r="J171" s="16" t="inlineStr">
        <is>
          <t>malla</t>
        </is>
      </c>
    </row>
    <row r="172">
      <c r="A172" s="16" t="inlineStr">
        <is>
          <t>KF-M03-0125</t>
        </is>
      </c>
      <c r="B172" s="37" t="n">
        <v>0.6357142857142857</v>
      </c>
      <c r="C172" s="42" t="inlineStr">
        <is>
          <t>KALINA</t>
        </is>
      </c>
      <c r="D172" s="29" t="n">
        <v>6.641646835838209</v>
      </c>
      <c r="E172" s="35" t="n">
        <v>15.48721670089076</v>
      </c>
      <c r="F172" s="36" t="n">
        <v>2436.363636363636</v>
      </c>
      <c r="G172" s="29" t="n">
        <v>5.322580645161289</v>
      </c>
      <c r="H172" s="16" t="inlineStr">
        <is>
          <t>no</t>
        </is>
      </c>
      <c r="I172" s="16" t="n"/>
      <c r="J172" s="16" t="inlineStr">
        <is>
          <t>malla</t>
        </is>
      </c>
    </row>
    <row r="173">
      <c r="A173" s="16" t="inlineStr">
        <is>
          <t>KF-M03-0127</t>
        </is>
      </c>
      <c r="B173" s="37" t="n">
        <v>0.675</v>
      </c>
      <c r="C173" s="42" t="inlineStr">
        <is>
          <t>KALINA</t>
        </is>
      </c>
      <c r="D173" s="29" t="n">
        <v>7.06612225238943</v>
      </c>
      <c r="E173" s="35" t="n">
        <v>17.43611224051258</v>
      </c>
      <c r="F173" s="36" t="n">
        <v>2436.363636363636</v>
      </c>
      <c r="G173" s="29" t="n">
        <v>5.322580645161289</v>
      </c>
      <c r="H173" s="16" t="inlineStr">
        <is>
          <t>no</t>
        </is>
      </c>
      <c r="I173" s="16" t="n"/>
      <c r="J173" s="16" t="inlineStr">
        <is>
          <t>malla</t>
        </is>
      </c>
    </row>
    <row r="174">
      <c r="A174" s="16" t="inlineStr">
        <is>
          <t>KF-M03-0128</t>
        </is>
      </c>
      <c r="B174" s="37" t="n">
        <v>0.7142857142857142</v>
      </c>
      <c r="C174" s="42" t="inlineStr">
        <is>
          <t>KALINA</t>
        </is>
      </c>
      <c r="D174" s="29" t="n">
        <v>7.44416267265906</v>
      </c>
      <c r="E174" s="35" t="n">
        <v>19.37094358013634</v>
      </c>
      <c r="F174" s="36" t="n">
        <v>2436.363636363636</v>
      </c>
      <c r="G174" s="29" t="n">
        <v>5.322580645161289</v>
      </c>
      <c r="H174" s="16" t="inlineStr">
        <is>
          <t>no</t>
        </is>
      </c>
      <c r="I174" s="16" t="n"/>
      <c r="J174" s="16" t="inlineStr">
        <is>
          <t>malla</t>
        </is>
      </c>
    </row>
    <row r="175">
      <c r="A175" s="16" t="inlineStr">
        <is>
          <t>KF-M03-0129</t>
        </is>
      </c>
      <c r="B175" s="37" t="n">
        <v>0.7535714285714286</v>
      </c>
      <c r="C175" s="42" t="inlineStr">
        <is>
          <t>KALINA</t>
        </is>
      </c>
      <c r="D175" s="29" t="n">
        <v>7.782946115089199</v>
      </c>
      <c r="E175" s="35" t="n">
        <v>21.29131919875457</v>
      </c>
      <c r="F175" s="36" t="n">
        <v>2436.363636363636</v>
      </c>
      <c r="G175" s="29" t="n">
        <v>5.322580645161289</v>
      </c>
      <c r="H175" s="16" t="inlineStr">
        <is>
          <t>no</t>
        </is>
      </c>
      <c r="I175" s="16" t="n"/>
      <c r="J175" s="16" t="inlineStr">
        <is>
          <t>malla</t>
        </is>
      </c>
    </row>
    <row r="176">
      <c r="A176" s="16" t="inlineStr">
        <is>
          <t>KF-M03-0132</t>
        </is>
      </c>
      <c r="B176" s="37" t="n">
        <v>0.7928571428571428</v>
      </c>
      <c r="C176" s="42" t="inlineStr">
        <is>
          <t>KALINA</t>
        </is>
      </c>
      <c r="D176" s="29" t="n">
        <v>8.08823043652083</v>
      </c>
      <c r="E176" s="35" t="n">
        <v>23.1969256405766</v>
      </c>
      <c r="F176" s="36" t="n">
        <v>2436.363636363636</v>
      </c>
      <c r="G176" s="29" t="n">
        <v>5.322580645161289</v>
      </c>
      <c r="H176" s="16" t="inlineStr">
        <is>
          <t>no</t>
        </is>
      </c>
      <c r="I176" s="16" t="n"/>
      <c r="J176" s="16" t="inlineStr">
        <is>
          <t>malla</t>
        </is>
      </c>
    </row>
    <row r="177">
      <c r="A177" s="16" t="inlineStr">
        <is>
          <t>KF-M03-0131</t>
        </is>
      </c>
      <c r="B177" s="37" t="n">
        <v>0.8321428571428571</v>
      </c>
      <c r="C177" s="42" t="inlineStr">
        <is>
          <t>KALINA</t>
        </is>
      </c>
      <c r="D177" s="29" t="n">
        <v>8.364688414671621</v>
      </c>
      <c r="E177" s="35" t="n">
        <v>25.08752365912554</v>
      </c>
      <c r="F177" s="36" t="n">
        <v>2436.363636363636</v>
      </c>
      <c r="G177" s="29" t="n">
        <v>5.322580645161289</v>
      </c>
      <c r="H177" s="16" t="inlineStr">
        <is>
          <t>no</t>
        </is>
      </c>
      <c r="I177" s="16" t="n"/>
      <c r="J177" s="16" t="inlineStr">
        <is>
          <t>malla</t>
        </is>
      </c>
    </row>
    <row r="178">
      <c r="A178" s="16" t="inlineStr">
        <is>
          <t>KF-M03-0135</t>
        </is>
      </c>
      <c r="B178" s="37" t="n">
        <v>0.8445</v>
      </c>
      <c r="C178" s="42" t="inlineStr">
        <is>
          <t>KALINA</t>
        </is>
      </c>
      <c r="D178" s="29" t="n">
        <v>8.4463252359851</v>
      </c>
      <c r="E178" s="35" t="n">
        <v>25.67907595676939</v>
      </c>
      <c r="F178" s="36" t="n">
        <v>2436.363636363636</v>
      </c>
      <c r="G178" s="29" t="n">
        <v>5.322580645161289</v>
      </c>
      <c r="H178" s="16" t="inlineStr">
        <is>
          <t>no</t>
        </is>
      </c>
      <c r="I178" s="16" t="n"/>
      <c r="J178" s="16" t="inlineStr">
        <is>
          <t>vecino de A*</t>
        </is>
      </c>
    </row>
    <row r="179">
      <c r="A179" s="16" t="inlineStr">
        <is>
          <t>KF-M03-0136</t>
        </is>
      </c>
      <c r="B179" s="37" t="n">
        <v>0.8554999999999999</v>
      </c>
      <c r="C179" s="42" t="inlineStr">
        <is>
          <t>KALINA</t>
        </is>
      </c>
      <c r="D179" s="29" t="n">
        <v>8.51699805241268</v>
      </c>
      <c r="E179" s="35" t="n">
        <v>26.20438873839784</v>
      </c>
      <c r="F179" s="36" t="n">
        <v>2436.363636363636</v>
      </c>
      <c r="G179" s="29" t="n">
        <v>5.322580645161289</v>
      </c>
      <c r="H179" s="16" t="inlineStr">
        <is>
          <t>no</t>
        </is>
      </c>
      <c r="I179" s="16" t="n"/>
      <c r="J179" s="16" t="inlineStr">
        <is>
          <t>vecino de A*</t>
        </is>
      </c>
    </row>
    <row r="180">
      <c r="A180" s="16" t="inlineStr">
        <is>
          <t>KF-M03-0130</t>
        </is>
      </c>
      <c r="B180" s="37" t="n">
        <v>0.8714285714285714</v>
      </c>
      <c r="C180" s="39" t="inlineStr">
        <is>
          <t>Corregible</t>
        </is>
      </c>
      <c r="D180" s="29" t="n">
        <v>8.61616161384956</v>
      </c>
      <c r="E180" s="35" t="n">
        <v>26.96295125074012</v>
      </c>
      <c r="F180" s="36" t="n">
        <v>2436.363636363636</v>
      </c>
      <c r="G180" s="29" t="n">
        <v>5.322580645161289</v>
      </c>
      <c r="H180" s="16" t="inlineStr">
        <is>
          <t>no</t>
        </is>
      </c>
      <c r="I180" s="16" t="inlineStr">
        <is>
          <t>O2</t>
        </is>
      </c>
      <c r="J180" s="16" t="inlineStr">
        <is>
          <t>malla</t>
        </is>
      </c>
    </row>
    <row r="181">
      <c r="A181" s="16" t="inlineStr">
        <is>
          <t>KF-M03-0133</t>
        </is>
      </c>
      <c r="B181" s="37" t="n">
        <v>0.9107142857142856</v>
      </c>
      <c r="C181" s="40" t="inlineStr">
        <is>
          <t>Inviable</t>
        </is>
      </c>
      <c r="D181" s="29" t="n">
        <v>8.84497483230737</v>
      </c>
      <c r="E181" s="35" t="n">
        <v>28.82026071227799</v>
      </c>
      <c r="F181" s="36" t="n">
        <v>2436.363636363636</v>
      </c>
      <c r="G181" s="29" t="n">
        <v>5.322580645161289</v>
      </c>
      <c r="H181" s="16" t="inlineStr">
        <is>
          <t>no</t>
        </is>
      </c>
      <c r="I181" s="16" t="inlineStr">
        <is>
          <t>S3,O2</t>
        </is>
      </c>
      <c r="J181" s="16" t="inlineStr">
        <is>
          <t>malla</t>
        </is>
      </c>
    </row>
    <row r="182">
      <c r="A182" s="16" t="inlineStr">
        <is>
          <t>KF-M03-0134</t>
        </is>
      </c>
      <c r="B182" s="37" t="n">
        <v>0.95</v>
      </c>
      <c r="C182" s="39" t="inlineStr">
        <is>
          <t>Corregible</t>
        </is>
      </c>
      <c r="D182" s="29" t="n">
        <v>9.05317242655784</v>
      </c>
      <c r="E182" s="35" t="n">
        <v>30.65686718267041</v>
      </c>
      <c r="F182" s="36" t="n">
        <v>2436.363636363636</v>
      </c>
      <c r="G182" s="29" t="n">
        <v>5.322580645161289</v>
      </c>
      <c r="H182" s="16" t="inlineStr">
        <is>
          <t>no</t>
        </is>
      </c>
      <c r="I182" s="16" t="inlineStr">
        <is>
          <t>O2</t>
        </is>
      </c>
      <c r="J182" s="16" t="inlineStr">
        <is>
          <t>malla</t>
        </is>
      </c>
    </row>
    <row r="183"/>
    <row r="184">
      <c r="A184" s="34" t="inlineStr">
        <is>
          <t>Barrido de ε_reg [–] · 17 puntos</t>
        </is>
      </c>
    </row>
    <row r="185">
      <c r="A185" s="25" t="inlineStr">
        <is>
          <t>Fijos en este barrido: T_fuente = 403, T_sumidero = 300.03, P_alta = 3000, P_baja = 563.64, x_b = 0.5, η_t = 0.85, η_p = 0.75, ε_HRVG = 0.85, ε_cond = 0.8.</t>
        </is>
      </c>
    </row>
    <row r="186">
      <c r="A186" s="25" t="inlineStr">
        <is>
          <t>Tipos de punto: malla 15, vecino de A* 2. Los gráficos de este estudio dibujan la malla y los vecinos de A*; el ancla va aparte.</t>
        </is>
      </c>
    </row>
    <row r="187">
      <c r="A187" s="22" t="inlineStr">
        <is>
          <t>id_punto</t>
        </is>
      </c>
      <c r="B187" s="22" t="inlineStr">
        <is>
          <t>ε_reg [–]</t>
        </is>
      </c>
      <c r="C187" s="22" t="inlineStr">
        <is>
          <t>Clase</t>
        </is>
      </c>
      <c r="D187" s="22" t="inlineStr">
        <is>
          <t>η [%]</t>
        </is>
      </c>
      <c r="E187" s="22" t="inlineStr">
        <is>
          <t>W_net [kW] (m_b = 1 kg/s)</t>
        </is>
      </c>
      <c r="F187" s="22" t="inlineStr">
        <is>
          <t>ΔP [kPa]</t>
        </is>
      </c>
      <c r="G187" s="22" t="inlineStr">
        <is>
          <t>r_P [–]</t>
        </is>
      </c>
      <c r="H187" s="22" t="inlineStr">
        <is>
          <t>Fuera de rango</t>
        </is>
      </c>
      <c r="I187" s="22" t="inlineStr">
        <is>
          <t>Criterios que falla</t>
        </is>
      </c>
      <c r="J187" s="22" t="inlineStr">
        <is>
          <t>Tipo de punto</t>
        </is>
      </c>
    </row>
    <row r="188">
      <c r="A188" s="16" t="inlineStr">
        <is>
          <t>KF-M03-0137</t>
        </is>
      </c>
      <c r="B188" s="37" t="n">
        <v>0.4</v>
      </c>
      <c r="C188" s="39" t="inlineStr">
        <is>
          <t>Corregible</t>
        </is>
      </c>
      <c r="D188" s="29" t="n">
        <v>5.96461268203815</v>
      </c>
      <c r="E188" s="35" t="n">
        <v>23.64877096080515</v>
      </c>
      <c r="F188" s="36" t="n">
        <v>2436.363636363636</v>
      </c>
      <c r="G188" s="29" t="n">
        <v>5.322580645161289</v>
      </c>
      <c r="H188" s="16" t="inlineStr">
        <is>
          <t>no</t>
        </is>
      </c>
      <c r="I188" s="16" t="inlineStr">
        <is>
          <t>O2</t>
        </is>
      </c>
      <c r="J188" s="16" t="inlineStr">
        <is>
          <t>malla</t>
        </is>
      </c>
    </row>
    <row r="189">
      <c r="A189" s="16" t="inlineStr">
        <is>
          <t>KF-M03-0138</t>
        </is>
      </c>
      <c r="B189" s="37" t="n">
        <v>0.4392857142857143</v>
      </c>
      <c r="C189" s="39" t="inlineStr">
        <is>
          <t>Corregible</t>
        </is>
      </c>
      <c r="D189" s="29" t="n">
        <v>6.18094896905352</v>
      </c>
      <c r="E189" s="35" t="n">
        <v>23.91106093641224</v>
      </c>
      <c r="F189" s="36" t="n">
        <v>2436.363636363636</v>
      </c>
      <c r="G189" s="29" t="n">
        <v>5.322580645161289</v>
      </c>
      <c r="H189" s="16" t="inlineStr">
        <is>
          <t>no</t>
        </is>
      </c>
      <c r="I189" s="16" t="inlineStr">
        <is>
          <t>O2</t>
        </is>
      </c>
      <c r="J189" s="16" t="inlineStr">
        <is>
          <t>malla</t>
        </is>
      </c>
    </row>
    <row r="190">
      <c r="A190" s="16" t="inlineStr">
        <is>
          <t>KF-M03-0139</t>
        </is>
      </c>
      <c r="B190" s="37" t="n">
        <v>0.4785714285714286</v>
      </c>
      <c r="C190" s="39" t="inlineStr">
        <is>
          <t>Corregible</t>
        </is>
      </c>
      <c r="D190" s="29" t="n">
        <v>6.41033394829755</v>
      </c>
      <c r="E190" s="35" t="n">
        <v>24.17241741750884</v>
      </c>
      <c r="F190" s="36" t="n">
        <v>2436.363636363636</v>
      </c>
      <c r="G190" s="29" t="n">
        <v>5.322580645161289</v>
      </c>
      <c r="H190" s="16" t="inlineStr">
        <is>
          <t>no</t>
        </is>
      </c>
      <c r="I190" s="16" t="inlineStr">
        <is>
          <t>O2</t>
        </is>
      </c>
      <c r="J190" s="16" t="inlineStr">
        <is>
          <t>malla</t>
        </is>
      </c>
    </row>
    <row r="191">
      <c r="A191" s="16" t="inlineStr">
        <is>
          <t>KF-M03-0140</t>
        </is>
      </c>
      <c r="B191" s="37" t="n">
        <v>0.5178571428571429</v>
      </c>
      <c r="C191" s="39" t="inlineStr">
        <is>
          <t>Corregible</t>
        </is>
      </c>
      <c r="D191" s="29" t="n">
        <v>6.65406219751193</v>
      </c>
      <c r="E191" s="35" t="n">
        <v>24.43271379240901</v>
      </c>
      <c r="F191" s="36" t="n">
        <v>2436.363636363636</v>
      </c>
      <c r="G191" s="29" t="n">
        <v>5.322580645161289</v>
      </c>
      <c r="H191" s="16" t="inlineStr">
        <is>
          <t>no</t>
        </is>
      </c>
      <c r="I191" s="16" t="inlineStr">
        <is>
          <t>O2</t>
        </is>
      </c>
      <c r="J191" s="16" t="inlineStr">
        <is>
          <t>malla</t>
        </is>
      </c>
    </row>
    <row r="192">
      <c r="A192" s="16" t="inlineStr">
        <is>
          <t>KF-M03-0141</t>
        </is>
      </c>
      <c r="B192" s="37" t="n">
        <v>0.5571428571428572</v>
      </c>
      <c r="C192" s="39" t="inlineStr">
        <is>
          <t>Corregible</t>
        </is>
      </c>
      <c r="D192" s="29" t="n">
        <v>6.913587330346769</v>
      </c>
      <c r="E192" s="35" t="n">
        <v>24.69180144531409</v>
      </c>
      <c r="F192" s="36" t="n">
        <v>2436.363636363636</v>
      </c>
      <c r="G192" s="29" t="n">
        <v>5.322580645161289</v>
      </c>
      <c r="H192" s="16" t="inlineStr">
        <is>
          <t>no</t>
        </is>
      </c>
      <c r="I192" s="16" t="inlineStr">
        <is>
          <t>O2</t>
        </is>
      </c>
      <c r="J192" s="16" t="inlineStr">
        <is>
          <t>malla</t>
        </is>
      </c>
    </row>
    <row r="193">
      <c r="A193" s="16" t="inlineStr">
        <is>
          <t>KF-M03-0142</t>
        </is>
      </c>
      <c r="B193" s="37" t="n">
        <v>0.5964285714285714</v>
      </c>
      <c r="C193" s="39" t="inlineStr">
        <is>
          <t>Corregible</t>
        </is>
      </c>
      <c r="D193" s="29" t="n">
        <v>7.19058403427672</v>
      </c>
      <c r="E193" s="35" t="n">
        <v>24.9495377599196</v>
      </c>
      <c r="F193" s="36" t="n">
        <v>2436.363636363636</v>
      </c>
      <c r="G193" s="29" t="n">
        <v>5.322580645161289</v>
      </c>
      <c r="H193" s="16" t="inlineStr">
        <is>
          <t>no</t>
        </is>
      </c>
      <c r="I193" s="16" t="inlineStr">
        <is>
          <t>O2</t>
        </is>
      </c>
      <c r="J193" s="16" t="inlineStr">
        <is>
          <t>malla</t>
        </is>
      </c>
    </row>
    <row r="194">
      <c r="A194" s="16" t="inlineStr">
        <is>
          <t>KF-M03-0143</t>
        </is>
      </c>
      <c r="B194" s="37" t="n">
        <v>0.6357142857142857</v>
      </c>
      <c r="C194" s="39" t="inlineStr">
        <is>
          <t>Corregible</t>
        </is>
      </c>
      <c r="D194" s="29" t="n">
        <v>7.486964141851179</v>
      </c>
      <c r="E194" s="35" t="n">
        <v>25.20576472201851</v>
      </c>
      <c r="F194" s="36" t="n">
        <v>2436.363636363636</v>
      </c>
      <c r="G194" s="29" t="n">
        <v>5.322580645161289</v>
      </c>
      <c r="H194" s="16" t="inlineStr">
        <is>
          <t>no</t>
        </is>
      </c>
      <c r="I194" s="16" t="inlineStr">
        <is>
          <t>O2</t>
        </is>
      </c>
      <c r="J194" s="16" t="inlineStr">
        <is>
          <t>malla</t>
        </is>
      </c>
    </row>
    <row r="195">
      <c r="A195" s="16" t="inlineStr">
        <is>
          <t>KF-M03-0144</t>
        </is>
      </c>
      <c r="B195" s="37" t="n">
        <v>0.675</v>
      </c>
      <c r="C195" s="39" t="inlineStr">
        <is>
          <t>Corregible</t>
        </is>
      </c>
      <c r="D195" s="29" t="n">
        <v>7.8049532334983</v>
      </c>
      <c r="E195" s="35" t="n">
        <v>25.46033631352596</v>
      </c>
      <c r="F195" s="36" t="n">
        <v>2436.363636363636</v>
      </c>
      <c r="G195" s="29" t="n">
        <v>5.322580645161289</v>
      </c>
      <c r="H195" s="16" t="inlineStr">
        <is>
          <t>no</t>
        </is>
      </c>
      <c r="I195" s="16" t="inlineStr">
        <is>
          <t>O2</t>
        </is>
      </c>
      <c r="J195" s="16" t="inlineStr">
        <is>
          <t>malla</t>
        </is>
      </c>
    </row>
    <row r="196">
      <c r="A196" s="16" t="inlineStr">
        <is>
          <t>KF-M03-0145</t>
        </is>
      </c>
      <c r="B196" s="37" t="n">
        <v>0.7142857142857142</v>
      </c>
      <c r="C196" s="39" t="inlineStr">
        <is>
          <t>Corregible</t>
        </is>
      </c>
      <c r="D196" s="29" t="n">
        <v>8.14711193476818</v>
      </c>
      <c r="E196" s="35" t="n">
        <v>25.71308064969283</v>
      </c>
      <c r="F196" s="36" t="n">
        <v>2436.363636363636</v>
      </c>
      <c r="G196" s="29" t="n">
        <v>5.322580645161289</v>
      </c>
      <c r="H196" s="16" t="inlineStr">
        <is>
          <t>no</t>
        </is>
      </c>
      <c r="I196" s="16" t="inlineStr">
        <is>
          <t>O2</t>
        </is>
      </c>
      <c r="J196" s="16" t="inlineStr">
        <is>
          <t>malla</t>
        </is>
      </c>
    </row>
    <row r="197">
      <c r="A197" s="16" t="inlineStr">
        <is>
          <t>KF-M03-0152</t>
        </is>
      </c>
      <c r="B197" s="37" t="n">
        <v>0.7445000000000001</v>
      </c>
      <c r="C197" s="42" t="inlineStr">
        <is>
          <t>KALINA</t>
        </is>
      </c>
      <c r="D197" s="29" t="n">
        <v>8.42869826937515</v>
      </c>
      <c r="E197" s="35" t="n">
        <v>25.90652644832958</v>
      </c>
      <c r="F197" s="36" t="n">
        <v>2436.363636363636</v>
      </c>
      <c r="G197" s="29" t="n">
        <v>5.322580645161289</v>
      </c>
      <c r="H197" s="16" t="inlineStr">
        <is>
          <t>no</t>
        </is>
      </c>
      <c r="I197" s="16" t="n"/>
      <c r="J197" s="16" t="inlineStr">
        <is>
          <t>vecino de A*</t>
        </is>
      </c>
    </row>
    <row r="198">
      <c r="A198" s="16" t="inlineStr">
        <is>
          <t>KF-M03-0147</t>
        </is>
      </c>
      <c r="B198" s="37" t="n">
        <v>0.7535714285714286</v>
      </c>
      <c r="C198" s="42" t="inlineStr">
        <is>
          <t>KALINA</t>
        </is>
      </c>
      <c r="D198" s="29" t="n">
        <v>8.51676815007875</v>
      </c>
      <c r="E198" s="35" t="n">
        <v>25.96487444183758</v>
      </c>
      <c r="F198" s="36" t="n">
        <v>2436.363636363636</v>
      </c>
      <c r="G198" s="29" t="n">
        <v>5.322580645161289</v>
      </c>
      <c r="H198" s="16" t="inlineStr">
        <is>
          <t>no</t>
        </is>
      </c>
      <c r="I198" s="16" t="n"/>
      <c r="J198" s="16" t="inlineStr">
        <is>
          <t>malla</t>
        </is>
      </c>
    </row>
    <row r="199">
      <c r="A199" s="16" t="inlineStr">
        <is>
          <t>KF-M03-0153</t>
        </is>
      </c>
      <c r="B199" s="37" t="n">
        <v>0.7554999999999999</v>
      </c>
      <c r="C199" s="42" t="inlineStr">
        <is>
          <t>KALINA</t>
        </is>
      </c>
      <c r="D199" s="29" t="n">
        <v>8.535713107749201</v>
      </c>
      <c r="E199" s="35" t="n">
        <v>25.97730215299762</v>
      </c>
      <c r="F199" s="36" t="n">
        <v>2436.363636363636</v>
      </c>
      <c r="G199" s="29" t="n">
        <v>5.322580645161289</v>
      </c>
      <c r="H199" s="16" t="inlineStr">
        <is>
          <t>no</t>
        </is>
      </c>
      <c r="I199" s="16" t="n"/>
      <c r="J199" s="16" t="inlineStr">
        <is>
          <t>vecino de A*</t>
        </is>
      </c>
    </row>
    <row r="200">
      <c r="A200" s="16" t="inlineStr">
        <is>
          <t>KF-M03-0146</t>
        </is>
      </c>
      <c r="B200" s="37" t="n">
        <v>0.7928571428571428</v>
      </c>
      <c r="C200" s="42" t="inlineStr">
        <is>
          <t>KALINA</t>
        </is>
      </c>
      <c r="D200" s="29" t="n">
        <v>8.918826493926559</v>
      </c>
      <c r="E200" s="35" t="n">
        <v>26.21963091660453</v>
      </c>
      <c r="F200" s="36" t="n">
        <v>2436.363636363636</v>
      </c>
      <c r="G200" s="29" t="n">
        <v>5.322580645161289</v>
      </c>
      <c r="H200" s="16" t="inlineStr">
        <is>
          <t>no</t>
        </is>
      </c>
      <c r="I200" s="16" t="n"/>
      <c r="J200" s="16" t="inlineStr">
        <is>
          <t>malla</t>
        </is>
      </c>
    </row>
    <row r="201">
      <c r="A201" s="16" t="inlineStr">
        <is>
          <t>KF-M03-0148</t>
        </is>
      </c>
      <c r="B201" s="37" t="n">
        <v>0.8321428571428571</v>
      </c>
      <c r="C201" s="42" t="inlineStr">
        <is>
          <t>KALINA</t>
        </is>
      </c>
      <c r="D201" s="29" t="n">
        <v>9.35786403356537</v>
      </c>
      <c r="E201" s="35" t="n">
        <v>26.47778313263867</v>
      </c>
      <c r="F201" s="36" t="n">
        <v>2436.363636363636</v>
      </c>
      <c r="G201" s="29" t="n">
        <v>5.322580645161289</v>
      </c>
      <c r="H201" s="16" t="inlineStr">
        <is>
          <t>no</t>
        </is>
      </c>
      <c r="I201" s="16" t="n"/>
      <c r="J201" s="16" t="inlineStr">
        <is>
          <t>malla</t>
        </is>
      </c>
    </row>
    <row r="202">
      <c r="A202" s="16" t="inlineStr">
        <is>
          <t>KF-M03-0149</t>
        </is>
      </c>
      <c r="B202" s="37" t="n">
        <v>0.8714285714285714</v>
      </c>
      <c r="C202" s="42" t="inlineStr">
        <is>
          <t>KALINA</t>
        </is>
      </c>
      <c r="D202" s="29" t="n">
        <v>9.839183704744951</v>
      </c>
      <c r="E202" s="35" t="n">
        <v>26.73937524815587</v>
      </c>
      <c r="F202" s="36" t="n">
        <v>2436.363636363636</v>
      </c>
      <c r="G202" s="29" t="n">
        <v>5.322580645161289</v>
      </c>
      <c r="H202" s="16" t="inlineStr">
        <is>
          <t>no</t>
        </is>
      </c>
      <c r="I202" s="16" t="n"/>
      <c r="J202" s="16" t="inlineStr">
        <is>
          <t>malla</t>
        </is>
      </c>
    </row>
    <row r="203">
      <c r="A203" s="16" t="inlineStr">
        <is>
          <t>KF-M03-0150</t>
        </is>
      </c>
      <c r="B203" s="37" t="n">
        <v>0.9107142857142856</v>
      </c>
      <c r="C203" s="42" t="inlineStr">
        <is>
          <t>KALINA</t>
        </is>
      </c>
      <c r="D203" s="29" t="n">
        <v>10.36918392525467</v>
      </c>
      <c r="E203" s="35" t="n">
        <v>27.00446731440402</v>
      </c>
      <c r="F203" s="36" t="n">
        <v>2436.363636363636</v>
      </c>
      <c r="G203" s="29" t="n">
        <v>5.322580645161289</v>
      </c>
      <c r="H203" s="16" t="inlineStr">
        <is>
          <t>no</t>
        </is>
      </c>
      <c r="I203" s="16" t="n"/>
      <c r="J203" s="16" t="inlineStr">
        <is>
          <t>malla</t>
        </is>
      </c>
    </row>
    <row r="204">
      <c r="A204" s="16" t="inlineStr">
        <is>
          <t>KF-M03-0151</t>
        </is>
      </c>
      <c r="B204" s="37" t="n">
        <v>0.95</v>
      </c>
      <c r="C204" s="42" t="inlineStr">
        <is>
          <t>KALINA</t>
        </is>
      </c>
      <c r="D204" s="29" t="n">
        <v>10.95558550051489</v>
      </c>
      <c r="E204" s="35" t="n">
        <v>27.27310214985478</v>
      </c>
      <c r="F204" s="36" t="n">
        <v>2436.363636363636</v>
      </c>
      <c r="G204" s="29" t="n">
        <v>5.322580645161289</v>
      </c>
      <c r="H204" s="16" t="inlineStr">
        <is>
          <t>no</t>
        </is>
      </c>
      <c r="I204" s="16" t="n"/>
      <c r="J204" s="16" t="inlineStr">
        <is>
          <t>malla</t>
        </is>
      </c>
    </row>
    <row r="205"/>
    <row r="206">
      <c r="A206" s="34" t="inlineStr">
        <is>
          <t>Barrido de ε_cond [–] · 17 puntos</t>
        </is>
      </c>
    </row>
    <row r="207">
      <c r="A207" s="25" t="inlineStr">
        <is>
          <t>Fijos en este barrido: T_fuente = 403, T_sumidero = 300.03, P_alta = 3000, P_baja = 563.64, x_b = 0.5, η_t = 0.85, η_p = 0.75, ε_HRVG = 0.85, ε_reg = 0.75.</t>
        </is>
      </c>
    </row>
    <row r="208">
      <c r="A208" s="25" t="inlineStr">
        <is>
          <t>Tipos de punto: malla 15, vecino de A* 2. Los gráficos de este estudio dibujan la malla y los vecinos de A*; el ancla va aparte.</t>
        </is>
      </c>
    </row>
    <row r="209">
      <c r="A209" s="22" t="inlineStr">
        <is>
          <t>id_punto</t>
        </is>
      </c>
      <c r="B209" s="22" t="inlineStr">
        <is>
          <t>ε_cond [–]</t>
        </is>
      </c>
      <c r="C209" s="22" t="inlineStr">
        <is>
          <t>Clase</t>
        </is>
      </c>
      <c r="D209" s="22" t="inlineStr">
        <is>
          <t>η [%]</t>
        </is>
      </c>
      <c r="E209" s="22" t="inlineStr">
        <is>
          <t>W_net [kW] (m_b = 1 kg/s)</t>
        </is>
      </c>
      <c r="F209" s="22" t="inlineStr">
        <is>
          <t>ΔP [kPa]</t>
        </is>
      </c>
      <c r="G209" s="22" t="inlineStr">
        <is>
          <t>r_P [–]</t>
        </is>
      </c>
      <c r="H209" s="22" t="inlineStr">
        <is>
          <t>Fuera de rango</t>
        </is>
      </c>
      <c r="I209" s="22" t="inlineStr">
        <is>
          <t>Criterios que falla</t>
        </is>
      </c>
      <c r="J209" s="22" t="inlineStr">
        <is>
          <t>Tipo de punto</t>
        </is>
      </c>
    </row>
    <row r="210">
      <c r="A210" s="16" t="inlineStr">
        <is>
          <t>KF-M03-0154</t>
        </is>
      </c>
      <c r="B210" s="37" t="n">
        <v>0.4</v>
      </c>
      <c r="C210" s="32" t="inlineStr">
        <is>
          <t>No convergió</t>
        </is>
      </c>
      <c r="D210" s="29" t="inlineStr">
        <is>
          <t>—</t>
        </is>
      </c>
      <c r="E210" s="35" t="inlineStr">
        <is>
          <t>—</t>
        </is>
      </c>
      <c r="F210" s="36" t="n">
        <v>2436.363636363636</v>
      </c>
      <c r="G210" s="29" t="n">
        <v>5.322580645161289</v>
      </c>
      <c r="H210" s="16" t="inlineStr">
        <is>
          <t>no</t>
        </is>
      </c>
      <c r="I210" s="16" t="n"/>
      <c r="J210" s="16" t="inlineStr">
        <is>
          <t>malla</t>
        </is>
      </c>
    </row>
    <row r="211">
      <c r="A211" s="16" t="inlineStr">
        <is>
          <t>KF-M03-0155</t>
        </is>
      </c>
      <c r="B211" s="37" t="n">
        <v>0.4392857142857143</v>
      </c>
      <c r="C211" s="32" t="inlineStr">
        <is>
          <t>No convergió</t>
        </is>
      </c>
      <c r="D211" s="29" t="inlineStr">
        <is>
          <t>—</t>
        </is>
      </c>
      <c r="E211" s="35" t="inlineStr">
        <is>
          <t>—</t>
        </is>
      </c>
      <c r="F211" s="36" t="n">
        <v>2436.363636363636</v>
      </c>
      <c r="G211" s="29" t="n">
        <v>5.322580645161289</v>
      </c>
      <c r="H211" s="16" t="inlineStr">
        <is>
          <t>no</t>
        </is>
      </c>
      <c r="I211" s="16" t="n"/>
      <c r="J211" s="16" t="inlineStr">
        <is>
          <t>malla</t>
        </is>
      </c>
    </row>
    <row r="212">
      <c r="A212" s="16" t="inlineStr">
        <is>
          <t>KF-M03-0156</t>
        </is>
      </c>
      <c r="B212" s="37" t="n">
        <v>0.4785714285714286</v>
      </c>
      <c r="C212" s="32" t="inlineStr">
        <is>
          <t>No convergió</t>
        </is>
      </c>
      <c r="D212" s="29" t="inlineStr">
        <is>
          <t>—</t>
        </is>
      </c>
      <c r="E212" s="35" t="inlineStr">
        <is>
          <t>—</t>
        </is>
      </c>
      <c r="F212" s="36" t="n">
        <v>2436.363636363636</v>
      </c>
      <c r="G212" s="29" t="n">
        <v>5.322580645161289</v>
      </c>
      <c r="H212" s="16" t="inlineStr">
        <is>
          <t>no</t>
        </is>
      </c>
      <c r="I212" s="16" t="n"/>
      <c r="J212" s="16" t="inlineStr">
        <is>
          <t>malla</t>
        </is>
      </c>
    </row>
    <row r="213">
      <c r="A213" s="16" t="inlineStr">
        <is>
          <t>KF-M03-0157</t>
        </is>
      </c>
      <c r="B213" s="37" t="n">
        <v>0.5178571428571429</v>
      </c>
      <c r="C213" s="32" t="inlineStr">
        <is>
          <t>No convergió</t>
        </is>
      </c>
      <c r="D213" s="29" t="inlineStr">
        <is>
          <t>—</t>
        </is>
      </c>
      <c r="E213" s="35" t="inlineStr">
        <is>
          <t>—</t>
        </is>
      </c>
      <c r="F213" s="36" t="n">
        <v>2436.363636363636</v>
      </c>
      <c r="G213" s="29" t="n">
        <v>5.322580645161289</v>
      </c>
      <c r="H213" s="16" t="inlineStr">
        <is>
          <t>no</t>
        </is>
      </c>
      <c r="I213" s="16" t="n"/>
      <c r="J213" s="16" t="inlineStr">
        <is>
          <t>malla</t>
        </is>
      </c>
    </row>
    <row r="214">
      <c r="A214" s="16" t="inlineStr">
        <is>
          <t>KF-M03-0158</t>
        </is>
      </c>
      <c r="B214" s="37" t="n">
        <v>0.5571428571428572</v>
      </c>
      <c r="C214" s="39" t="inlineStr">
        <is>
          <t>Corregible</t>
        </is>
      </c>
      <c r="D214" s="29" t="n">
        <v>8.05915961983532</v>
      </c>
      <c r="E214" s="35" t="n">
        <v>21.38319548981796</v>
      </c>
      <c r="F214" s="36" t="n">
        <v>2436.363636363636</v>
      </c>
      <c r="G214" s="29" t="n">
        <v>5.322580645161289</v>
      </c>
      <c r="H214" s="16" t="inlineStr">
        <is>
          <t>no</t>
        </is>
      </c>
      <c r="I214" s="16" t="inlineStr">
        <is>
          <t>O2</t>
        </is>
      </c>
      <c r="J214" s="16" t="inlineStr">
        <is>
          <t>malla</t>
        </is>
      </c>
    </row>
    <row r="215">
      <c r="A215" s="16" t="inlineStr">
        <is>
          <t>KF-M03-0161</t>
        </is>
      </c>
      <c r="B215" s="37" t="n">
        <v>0.5964285714285714</v>
      </c>
      <c r="C215" s="39" t="inlineStr">
        <is>
          <t>Corregible</t>
        </is>
      </c>
      <c r="D215" s="29" t="n">
        <v>8.45485400866505</v>
      </c>
      <c r="E215" s="35" t="n">
        <v>23.13548903339925</v>
      </c>
      <c r="F215" s="36" t="n">
        <v>2436.363636363636</v>
      </c>
      <c r="G215" s="29" t="n">
        <v>5.322580645161289</v>
      </c>
      <c r="H215" s="16" t="inlineStr">
        <is>
          <t>no</t>
        </is>
      </c>
      <c r="I215" s="16" t="inlineStr">
        <is>
          <t>O2</t>
        </is>
      </c>
      <c r="J215" s="16" t="inlineStr">
        <is>
          <t>malla</t>
        </is>
      </c>
    </row>
    <row r="216">
      <c r="A216" s="16" t="inlineStr">
        <is>
          <t>KF-M03-0163</t>
        </is>
      </c>
      <c r="B216" s="37" t="n">
        <v>0.6357142857142857</v>
      </c>
      <c r="C216" s="39" t="inlineStr">
        <is>
          <t>Corregible</t>
        </is>
      </c>
      <c r="D216" s="29" t="n">
        <v>8.67152951239059</v>
      </c>
      <c r="E216" s="35" t="n">
        <v>24.37665711592302</v>
      </c>
      <c r="F216" s="36" t="n">
        <v>2436.363636363636</v>
      </c>
      <c r="G216" s="29" t="n">
        <v>5.322580645161289</v>
      </c>
      <c r="H216" s="16" t="inlineStr">
        <is>
          <t>no</t>
        </is>
      </c>
      <c r="I216" s="16" t="inlineStr">
        <is>
          <t>O2</t>
        </is>
      </c>
      <c r="J216" s="16" t="inlineStr">
        <is>
          <t>malla</t>
        </is>
      </c>
    </row>
    <row r="217">
      <c r="A217" s="16" t="inlineStr">
        <is>
          <t>KF-M03-0160</t>
        </is>
      </c>
      <c r="B217" s="37" t="n">
        <v>0.675</v>
      </c>
      <c r="C217" s="39" t="inlineStr">
        <is>
          <t>Corregible</t>
        </is>
      </c>
      <c r="D217" s="29" t="n">
        <v>8.7565764230869</v>
      </c>
      <c r="E217" s="35" t="n">
        <v>25.20897935325275</v>
      </c>
      <c r="F217" s="36" t="n">
        <v>2436.363636363636</v>
      </c>
      <c r="G217" s="29" t="n">
        <v>5.322580645161289</v>
      </c>
      <c r="H217" s="16" t="inlineStr">
        <is>
          <t>no</t>
        </is>
      </c>
      <c r="I217" s="16" t="inlineStr">
        <is>
          <t>O2</t>
        </is>
      </c>
      <c r="J217" s="16" t="inlineStr">
        <is>
          <t>malla</t>
        </is>
      </c>
    </row>
    <row r="218">
      <c r="A218" s="16" t="inlineStr">
        <is>
          <t>KF-M03-0162</t>
        </is>
      </c>
      <c r="B218" s="37" t="n">
        <v>0.7142857142857142</v>
      </c>
      <c r="C218" s="39" t="inlineStr">
        <is>
          <t>Corregible</t>
        </is>
      </c>
      <c r="D218" s="29" t="n">
        <v>8.743420674580129</v>
      </c>
      <c r="E218" s="35" t="n">
        <v>25.71124702423145</v>
      </c>
      <c r="F218" s="36" t="n">
        <v>2436.363636363636</v>
      </c>
      <c r="G218" s="29" t="n">
        <v>5.322580645161289</v>
      </c>
      <c r="H218" s="16" t="inlineStr">
        <is>
          <t>no</t>
        </is>
      </c>
      <c r="I218" s="16" t="inlineStr">
        <is>
          <t>O2</t>
        </is>
      </c>
      <c r="J218" s="16" t="inlineStr">
        <is>
          <t>malla</t>
        </is>
      </c>
    </row>
    <row r="219">
      <c r="A219" s="16" t="inlineStr">
        <is>
          <t>KF-M03-0159</t>
        </is>
      </c>
      <c r="B219" s="37" t="n">
        <v>0.7535714285714286</v>
      </c>
      <c r="C219" s="39" t="inlineStr">
        <is>
          <t>Corregible</t>
        </is>
      </c>
      <c r="D219" s="29" t="n">
        <v>8.656208110141851</v>
      </c>
      <c r="E219" s="35" t="n">
        <v>25.94503263935774</v>
      </c>
      <c r="F219" s="36" t="n">
        <v>2436.363636363636</v>
      </c>
      <c r="G219" s="29" t="n">
        <v>5.322580645161289</v>
      </c>
      <c r="H219" s="16" t="inlineStr">
        <is>
          <t>no</t>
        </is>
      </c>
      <c r="I219" s="16" t="inlineStr">
        <is>
          <t>O2</t>
        </is>
      </c>
      <c r="J219" s="16" t="inlineStr">
        <is>
          <t>malla</t>
        </is>
      </c>
    </row>
    <row r="220">
      <c r="A220" s="16" t="inlineStr">
        <is>
          <t>KF-M03-0167</t>
        </is>
      </c>
      <c r="B220" s="37" t="n">
        <v>0.7928571428571428</v>
      </c>
      <c r="C220" s="39" t="inlineStr">
        <is>
          <t>Corregible</t>
        </is>
      </c>
      <c r="D220" s="29" t="n">
        <v>8.51269627068916</v>
      </c>
      <c r="E220" s="35" t="n">
        <v>25.95901527592077</v>
      </c>
      <c r="F220" s="36" t="n">
        <v>2436.363636363636</v>
      </c>
      <c r="G220" s="29" t="n">
        <v>5.322580645161289</v>
      </c>
      <c r="H220" s="16" t="inlineStr">
        <is>
          <t>no</t>
        </is>
      </c>
      <c r="I220" s="16" t="inlineStr">
        <is>
          <t>O2</t>
        </is>
      </c>
      <c r="J220" s="16" t="inlineStr">
        <is>
          <t>malla</t>
        </is>
      </c>
    </row>
    <row r="221">
      <c r="A221" s="16" t="inlineStr">
        <is>
          <t>KF-M03-0169</t>
        </is>
      </c>
      <c r="B221" s="37" t="n">
        <v>0.7945000000000001</v>
      </c>
      <c r="C221" s="39" t="inlineStr">
        <is>
          <t>Corregible</t>
        </is>
      </c>
      <c r="D221" s="29" t="n">
        <v>8.505679590558019</v>
      </c>
      <c r="E221" s="35" t="n">
        <v>25.95542374624111</v>
      </c>
      <c r="F221" s="36" t="n">
        <v>2436.363636363636</v>
      </c>
      <c r="G221" s="29" t="n">
        <v>5.322580645161289</v>
      </c>
      <c r="H221" s="16" t="inlineStr">
        <is>
          <t>no</t>
        </is>
      </c>
      <c r="I221" s="16" t="inlineStr">
        <is>
          <t>O2</t>
        </is>
      </c>
      <c r="J221" s="16" t="inlineStr">
        <is>
          <t>vecino de A*</t>
        </is>
      </c>
      <c r="L221" s="25" t="inlineStr">
        <is>
          <t>Estudio 3.1. Punto base: A* = punto del profesor con T_fuente = 403 K y P_baja = 563.64 kPa (KALINA, η = 8.48 %)</t>
        </is>
      </c>
    </row>
    <row r="222">
      <c r="A222" s="16" t="inlineStr">
        <is>
          <t>KF-M03-0170</t>
        </is>
      </c>
      <c r="B222" s="37" t="n">
        <v>0.8055</v>
      </c>
      <c r="C222" s="42" t="inlineStr">
        <is>
          <t>KALINA</t>
        </is>
      </c>
      <c r="D222" s="29" t="n">
        <v>8.45835133203032</v>
      </c>
      <c r="E222" s="35" t="n">
        <v>25.92824010536252</v>
      </c>
      <c r="F222" s="36" t="n">
        <v>2436.363636363636</v>
      </c>
      <c r="G222" s="29" t="n">
        <v>5.322580645161289</v>
      </c>
      <c r="H222" s="16" t="inlineStr">
        <is>
          <t>no</t>
        </is>
      </c>
      <c r="I222" s="16" t="n"/>
      <c r="J222" s="16" t="inlineStr">
        <is>
          <t>vecino de A*</t>
        </is>
      </c>
      <c r="L222" s="25" t="inlineStr">
        <is>
          <t>Punto base (las demás variables quedan fijas en): T_fuente = 403 K; T_sumidero = 300.03 K; P_alta = 3000 kPa; P_baja = 563.64 kPa; x_b = 0.5; m_b = 1 kg/s; η_t = 0.85; η_p = 0.75; ε_HRVG = 0.85; ε_reg = 0.75; ε_cond = 0.8; motor de propiedades = teqp. Cada panel o tramo mueve solo su variable.</t>
        </is>
      </c>
    </row>
    <row r="223">
      <c r="A223" s="16" t="inlineStr">
        <is>
          <t>KF-M03-0165</t>
        </is>
      </c>
      <c r="B223" s="37" t="n">
        <v>0.8321428571428571</v>
      </c>
      <c r="C223" s="42" t="inlineStr">
        <is>
          <t>KALINA</t>
        </is>
      </c>
      <c r="D223" s="29" t="n">
        <v>8.348620022014739</v>
      </c>
      <c r="E223" s="35" t="n">
        <v>25.86378151122852</v>
      </c>
      <c r="F223" s="36" t="n">
        <v>2436.363636363636</v>
      </c>
      <c r="G223" s="29" t="n">
        <v>5.322580645161289</v>
      </c>
      <c r="H223" s="16" t="inlineStr">
        <is>
          <t>no</t>
        </is>
      </c>
      <c r="I223" s="16" t="n"/>
      <c r="J223" s="16" t="inlineStr">
        <is>
          <t>malla</t>
        </is>
      </c>
      <c r="L223" s="25" t="inlineStr">
        <is>
          <t>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row>
    <row r="224">
      <c r="A224" s="16" t="inlineStr">
        <is>
          <t>KF-M03-0166</t>
        </is>
      </c>
      <c r="B224" s="37" t="n">
        <v>0.8714285714285714</v>
      </c>
      <c r="C224" s="42" t="inlineStr">
        <is>
          <t>KALINA</t>
        </is>
      </c>
      <c r="D224" s="29" t="n">
        <v>8.19877054451339</v>
      </c>
      <c r="E224" s="35" t="n">
        <v>25.77337922825318</v>
      </c>
      <c r="F224" s="36" t="n">
        <v>2436.363636363636</v>
      </c>
      <c r="G224" s="29" t="n">
        <v>5.322580645161289</v>
      </c>
      <c r="H224" s="16" t="inlineStr">
        <is>
          <t>no</t>
        </is>
      </c>
      <c r="I224" s="16" t="n"/>
      <c r="J224" s="16" t="inlineStr">
        <is>
          <t>malla</t>
        </is>
      </c>
      <c r="L224" s="25" t="inlineStr">
        <is>
          <t>Filtro: estudio 3.1, malla y vecinos de A* (±1 % del rango).</t>
        </is>
      </c>
    </row>
    <row r="225">
      <c r="A225" s="16" t="inlineStr">
        <is>
          <t>KF-M03-0164</t>
        </is>
      </c>
      <c r="B225" s="37" t="n">
        <v>0.9107142857142856</v>
      </c>
      <c r="C225" s="42" t="inlineStr">
        <is>
          <t>KALINA</t>
        </is>
      </c>
      <c r="D225" s="29" t="n">
        <v>8.06154362570844</v>
      </c>
      <c r="E225" s="35" t="n">
        <v>25.6880869636638</v>
      </c>
      <c r="F225" s="36" t="n">
        <v>2436.363636363636</v>
      </c>
      <c r="G225" s="29" t="n">
        <v>5.322580645161289</v>
      </c>
      <c r="H225" s="16" t="inlineStr">
        <is>
          <t>no</t>
        </is>
      </c>
      <c r="I225" s="16" t="n"/>
      <c r="J225" s="16" t="inlineStr">
        <is>
          <t>malla</t>
        </is>
      </c>
      <c r="L225" s="25" t="inlineStr">
        <is>
          <t>n = 170. Fuente: todos_los_puntos.csv.</t>
        </is>
      </c>
    </row>
    <row r="226">
      <c r="A226" s="16" t="inlineStr">
        <is>
          <t>KF-M03-0168</t>
        </is>
      </c>
      <c r="B226" s="37" t="n">
        <v>0.95</v>
      </c>
      <c r="C226" s="42" t="inlineStr">
        <is>
          <t>KALINA</t>
        </is>
      </c>
      <c r="D226" s="29" t="n">
        <v>7.9354097060929</v>
      </c>
      <c r="E226" s="35" t="n">
        <v>25.60748833924379</v>
      </c>
      <c r="F226" s="36" t="n">
        <v>2436.363636363636</v>
      </c>
      <c r="G226" s="29" t="n">
        <v>5.322580645161289</v>
      </c>
      <c r="H226" s="16" t="inlineStr">
        <is>
          <t>no</t>
        </is>
      </c>
      <c r="I226" s="16" t="n"/>
      <c r="J226" s="16" t="inlineStr">
        <is>
          <t>malla</t>
        </is>
      </c>
    </row>
    <row r="227"/>
    <row r="228">
      <c r="A228" s="34" t="inlineStr">
        <is>
          <t>Puntos de referencia, sin variable barrida · 1 puntos</t>
        </is>
      </c>
    </row>
    <row r="229">
      <c r="A229" s="25" t="inlineStr">
        <is>
          <t>Fijos en este barrido: T_fuente = 403, T_sumidero = 300.03, P_alta = 3000, P_baja = 563.64, x_b = 0.5, η_t = 0.85, η_p = 0.75, ε_HRVG = 0.85, ε_reg = 0.75, ε_cond = 0.8.</t>
        </is>
      </c>
    </row>
    <row r="230">
      <c r="A230" s="22" t="inlineStr">
        <is>
          <t>id_punto</t>
        </is>
      </c>
      <c r="B230" s="22" t="inlineStr">
        <is>
          <t>Clase</t>
        </is>
      </c>
      <c r="C230" s="22" t="inlineStr">
        <is>
          <t>η [%]</t>
        </is>
      </c>
      <c r="D230" s="22" t="inlineStr">
        <is>
          <t>W_net [kW] (m_b = 1 kg/s)</t>
        </is>
      </c>
      <c r="E230" s="22" t="inlineStr">
        <is>
          <t>ΔP [kPa]</t>
        </is>
      </c>
      <c r="F230" s="22" t="inlineStr">
        <is>
          <t>r_P [–]</t>
        </is>
      </c>
      <c r="G230" s="22" t="inlineStr">
        <is>
          <t>Fuera de rango</t>
        </is>
      </c>
    </row>
    <row r="231">
      <c r="A231" s="16" t="inlineStr">
        <is>
          <t>KF-M03-0002</t>
        </is>
      </c>
      <c r="B231" s="42" t="inlineStr">
        <is>
          <t>KALINA</t>
        </is>
      </c>
      <c r="C231" s="29" t="n">
        <v>8.481891205006569</v>
      </c>
      <c r="D231" s="35" t="n">
        <v>25.94188172942141</v>
      </c>
      <c r="E231" s="36" t="n">
        <v>2436.363636363636</v>
      </c>
      <c r="F231" s="29" t="n">
        <v>5.322580645161289</v>
      </c>
      <c r="G231" s="16" t="inlineStr">
        <is>
          <t>no</t>
        </is>
      </c>
    </row>
  </sheetData>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0" customWidth="1" min="1" max="1"/>
    <col width="48" customWidth="1" min="2" max="2"/>
    <col width="10" customWidth="1" min="3" max="3"/>
    <col width="15" customWidth="1" min="4" max="4"/>
    <col width="11" customWidth="1" min="5" max="5"/>
    <col width="21" customWidth="1" min="6" max="6"/>
    <col width="10" customWidth="1" min="7" max="7"/>
  </cols>
  <sheetData>
    <row r="1">
      <c r="A1" s="19" t="inlineStr">
        <is>
          <t>Tabla 3.2-1 · Condiciones: qué quedó fijo y qué se barrió</t>
        </is>
      </c>
    </row>
    <row r="2">
      <c r="A2" s="20" t="inlineStr">
        <is>
          <t>Estudio 3.2 · Sensibilidad global (500 puntos)</t>
        </is>
      </c>
    </row>
    <row r="3">
      <c r="A3" s="20" t="inlineStr">
        <is>
          <t>Punto base: caja estudio 3.2 = las 10 variables barridas dentro de su caja (ver Tabla 3.2-1)</t>
        </is>
      </c>
    </row>
    <row r="4">
      <c r="A4" s="21" t="inlineStr">
        <is>
          <t>Datos fijos: m_b = 1 kg/s; motor de propiedades = teqp.</t>
        </is>
      </c>
    </row>
    <row r="5">
      <c r="A5" s="21"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6">
      <c r="A6" s="20" t="inlineStr">
        <is>
          <t>Fuente: analisis_final/00_inventario/condiciones_por_subcaso.csv</t>
        </is>
      </c>
    </row>
    <row r="8">
      <c r="A8" s="22" t="inlineStr">
        <is>
          <t>Parte</t>
        </is>
      </c>
      <c r="B8" s="22" t="inlineStr">
        <is>
          <t>Variable</t>
        </is>
      </c>
      <c r="C8" s="22" t="inlineStr">
        <is>
          <t>Estado</t>
        </is>
      </c>
      <c r="D8" s="22" t="inlineStr">
        <is>
          <t>Valor o rango</t>
        </is>
      </c>
      <c r="E8" s="22" t="inlineStr">
        <is>
          <t>n valores</t>
        </is>
      </c>
      <c r="F8" s="22" t="inlineStr">
        <is>
          <t>¿Igual al profesor?</t>
        </is>
      </c>
      <c r="G8" s="22" t="inlineStr">
        <is>
          <t>Unidad</t>
        </is>
      </c>
    </row>
    <row r="9">
      <c r="A9" s="16" t="n">
        <v>3.2</v>
      </c>
      <c r="B9" s="16" t="inlineStr">
        <is>
          <t>Temperatura de la fuente, T_fuente [K]</t>
        </is>
      </c>
      <c r="C9" s="16" t="inlineStr">
        <is>
          <t>Barrida</t>
        </is>
      </c>
      <c r="D9" s="16" t="inlineStr">
        <is>
          <t>380.2 – 499.9</t>
        </is>
      </c>
      <c r="E9" s="16" t="n">
        <v>300</v>
      </c>
      <c r="F9" s="16" t="n"/>
      <c r="G9" s="16" t="inlineStr">
        <is>
          <t>K</t>
        </is>
      </c>
    </row>
    <row r="10">
      <c r="A10" s="16" t="n">
        <v>3.2</v>
      </c>
      <c r="B10" s="16" t="inlineStr">
        <is>
          <t>Temperatura del sumidero, T_sumidero [K]</t>
        </is>
      </c>
      <c r="C10" s="16" t="inlineStr">
        <is>
          <t>Barrida</t>
        </is>
      </c>
      <c r="D10" s="16" t="inlineStr">
        <is>
          <t>278.2 – 303.5</t>
        </is>
      </c>
      <c r="E10" s="16" t="n">
        <v>300</v>
      </c>
      <c r="F10" s="16" t="n"/>
      <c r="G10" s="16" t="inlineStr">
        <is>
          <t>K</t>
        </is>
      </c>
    </row>
    <row r="11">
      <c r="A11" s="16" t="n">
        <v>3.2</v>
      </c>
      <c r="B11" s="16" t="inlineStr">
        <is>
          <t>Presión de alta, P_alta [kPa]</t>
        </is>
      </c>
      <c r="C11" s="16" t="inlineStr">
        <is>
          <t>Barrida</t>
        </is>
      </c>
      <c r="D11" s="16" t="inlineStr">
        <is>
          <t>2005 – 4991</t>
        </is>
      </c>
      <c r="E11" s="16" t="n">
        <v>300</v>
      </c>
      <c r="F11" s="16" t="n"/>
      <c r="G11" s="16" t="inlineStr">
        <is>
          <t>kPa</t>
        </is>
      </c>
    </row>
    <row r="12">
      <c r="A12" s="16" t="n">
        <v>3.2</v>
      </c>
      <c r="B12" s="16" t="inlineStr">
        <is>
          <t>Presión de baja, P_baja [kPa]</t>
        </is>
      </c>
      <c r="C12" s="16" t="inlineStr">
        <is>
          <t>Barrida</t>
        </is>
      </c>
      <c r="D12" s="16" t="inlineStr">
        <is>
          <t>302.9 – 1498</t>
        </is>
      </c>
      <c r="E12" s="16" t="n">
        <v>300</v>
      </c>
      <c r="F12" s="16" t="n"/>
      <c r="G12" s="16" t="inlineStr">
        <is>
          <t>kPa</t>
        </is>
      </c>
    </row>
    <row r="13">
      <c r="A13" s="16" t="n">
        <v>3.2</v>
      </c>
      <c r="B13" s="16" t="inlineStr">
        <is>
          <t>Fracción de amoníaco de la mezcla base, x_b [–]</t>
        </is>
      </c>
      <c r="C13" s="16" t="inlineStr">
        <is>
          <t>Barrida</t>
        </is>
      </c>
      <c r="D13" s="16" t="inlineStr">
        <is>
          <t>0.500 – 0.850</t>
        </is>
      </c>
      <c r="E13" s="16" t="n">
        <v>300</v>
      </c>
      <c r="F13" s="16" t="n"/>
      <c r="G13" s="16" t="inlineStr">
        <is>
          <t>–</t>
        </is>
      </c>
    </row>
    <row r="14">
      <c r="A14" s="16" t="n">
        <v>3.2</v>
      </c>
      <c r="B14" s="16" t="inlineStr">
        <is>
          <t>Flujo másico base, m_b [kg/s]</t>
        </is>
      </c>
      <c r="C14" s="16" t="inlineStr">
        <is>
          <t>Fija</t>
        </is>
      </c>
      <c r="D14" s="16" t="inlineStr">
        <is>
          <t>1.0</t>
        </is>
      </c>
      <c r="E14" s="16" t="n"/>
      <c r="F14" s="16" t="inlineStr">
        <is>
          <t>sí</t>
        </is>
      </c>
      <c r="G14" s="16" t="inlineStr">
        <is>
          <t>kg/s</t>
        </is>
      </c>
    </row>
    <row r="15">
      <c r="A15" s="16" t="n">
        <v>3.2</v>
      </c>
      <c r="B15" s="16" t="inlineStr">
        <is>
          <t>Eficiencia isentrópica de la turbina, η_t [–]</t>
        </is>
      </c>
      <c r="C15" s="16" t="inlineStr">
        <is>
          <t>Barrida</t>
        </is>
      </c>
      <c r="D15" s="16" t="inlineStr">
        <is>
          <t>0.750 – 0.920</t>
        </is>
      </c>
      <c r="E15" s="16" t="n">
        <v>300</v>
      </c>
      <c r="F15" s="16" t="n"/>
      <c r="G15" s="16" t="inlineStr">
        <is>
          <t>–</t>
        </is>
      </c>
    </row>
    <row r="16">
      <c r="A16" s="16" t="n">
        <v>3.2</v>
      </c>
      <c r="B16" s="16" t="inlineStr">
        <is>
          <t>Eficiencia isentrópica de la bomba, η_p [–]</t>
        </is>
      </c>
      <c r="C16" s="16" t="inlineStr">
        <is>
          <t>Barrida</t>
        </is>
      </c>
      <c r="D16" s="16" t="inlineStr">
        <is>
          <t>0.650 – 0.899</t>
        </is>
      </c>
      <c r="E16" s="16" t="n">
        <v>300</v>
      </c>
      <c r="F16" s="16" t="n"/>
      <c r="G16" s="16" t="inlineStr">
        <is>
          <t>–</t>
        </is>
      </c>
    </row>
    <row r="17">
      <c r="A17" s="16" t="n">
        <v>3.2</v>
      </c>
      <c r="B17" s="16" t="inlineStr">
        <is>
          <t>Efectividad del generador de vapor, ε_HRVG [–]</t>
        </is>
      </c>
      <c r="C17" s="16" t="inlineStr">
        <is>
          <t>Barrida</t>
        </is>
      </c>
      <c r="D17" s="16" t="inlineStr">
        <is>
          <t>0.600 – 0.949</t>
        </is>
      </c>
      <c r="E17" s="16" t="n">
        <v>300</v>
      </c>
      <c r="F17" s="16" t="n"/>
      <c r="G17" s="16" t="inlineStr">
        <is>
          <t>–</t>
        </is>
      </c>
    </row>
    <row r="18">
      <c r="A18" s="16" t="n">
        <v>3.2</v>
      </c>
      <c r="B18" s="16" t="inlineStr">
        <is>
          <t>Efectividad del regenerador, ε_reg [–]</t>
        </is>
      </c>
      <c r="C18" s="16" t="inlineStr">
        <is>
          <t>Barrida</t>
        </is>
      </c>
      <c r="D18" s="16" t="inlineStr">
        <is>
          <t>0.601 – 0.950</t>
        </is>
      </c>
      <c r="E18" s="16" t="n">
        <v>300</v>
      </c>
      <c r="F18" s="16" t="n"/>
      <c r="G18" s="16" t="inlineStr">
        <is>
          <t>–</t>
        </is>
      </c>
    </row>
    <row r="19">
      <c r="A19" s="16" t="n">
        <v>3.2</v>
      </c>
      <c r="B19" s="16" t="inlineStr">
        <is>
          <t>Efectividad del condensador, ε_cond [–]</t>
        </is>
      </c>
      <c r="C19" s="16" t="inlineStr">
        <is>
          <t>Barrida</t>
        </is>
      </c>
      <c r="D19" s="16" t="inlineStr">
        <is>
          <t>0.700 – 0.949</t>
        </is>
      </c>
      <c r="E19" s="16" t="n">
        <v>300</v>
      </c>
      <c r="F19" s="16" t="n"/>
      <c r="G19" s="16" t="inlineStr">
        <is>
          <t>–</t>
        </is>
      </c>
    </row>
    <row r="20">
      <c r="A20" s="16" t="n">
        <v>3.2</v>
      </c>
      <c r="B20" s="16" t="inlineStr">
        <is>
          <t>Piso de O2 (T de diseño de la bomba) [K]</t>
        </is>
      </c>
      <c r="C20" s="16" t="inlineStr">
        <is>
          <t>Barrida</t>
        </is>
      </c>
      <c r="D20" s="16" t="inlineStr">
        <is>
          <t>278.2 – 303.5</t>
        </is>
      </c>
      <c r="E20" s="16" t="n">
        <v>300</v>
      </c>
      <c r="F20" s="16" t="n"/>
      <c r="G20" s="16" t="inlineStr">
        <is>
          <t>K</t>
        </is>
      </c>
    </row>
    <row r="21">
      <c r="A21" s="16" t="n">
        <v>3.2</v>
      </c>
      <c r="B21" s="16" t="inlineStr">
        <is>
          <t>motor de propiedades</t>
        </is>
      </c>
      <c r="C21" s="16" t="inlineStr">
        <is>
          <t>Fija</t>
        </is>
      </c>
      <c r="D21" s="16" t="inlineStr">
        <is>
          <t>teqp</t>
        </is>
      </c>
      <c r="E21" s="16" t="n"/>
      <c r="F21" s="16" t="n"/>
      <c r="G21" s="16" t="inlineStr">
        <is>
          <t>–</t>
        </is>
      </c>
    </row>
    <row r="22">
      <c r="A22" s="16" t="n">
        <v>3.2</v>
      </c>
      <c r="B22" s="16" t="inlineStr">
        <is>
          <t>Temperatura de la fuente, T_fuente [K]</t>
        </is>
      </c>
      <c r="C22" s="16" t="inlineStr">
        <is>
          <t>Barrida</t>
        </is>
      </c>
      <c r="D22" s="16" t="inlineStr">
        <is>
          <t>380.3 – 499.5</t>
        </is>
      </c>
      <c r="E22" s="16" t="n">
        <v>200</v>
      </c>
      <c r="F22" s="16" t="n"/>
      <c r="G22" s="16" t="inlineStr">
        <is>
          <t>K</t>
        </is>
      </c>
    </row>
    <row r="23">
      <c r="A23" s="16" t="n">
        <v>3.2</v>
      </c>
      <c r="B23" s="16" t="inlineStr">
        <is>
          <t>Temperatura del sumidero, T_sumidero [K]</t>
        </is>
      </c>
      <c r="C23" s="16" t="inlineStr">
        <is>
          <t>Barrida</t>
        </is>
      </c>
      <c r="D23" s="16" t="inlineStr">
        <is>
          <t>278.2 – 303.5</t>
        </is>
      </c>
      <c r="E23" s="16" t="n">
        <v>200</v>
      </c>
      <c r="F23" s="16" t="n"/>
      <c r="G23" s="16" t="inlineStr">
        <is>
          <t>K</t>
        </is>
      </c>
    </row>
    <row r="24">
      <c r="A24" s="16" t="n">
        <v>3.2</v>
      </c>
      <c r="B24" s="16" t="inlineStr">
        <is>
          <t>Presión de alta, P_alta [kPa]</t>
        </is>
      </c>
      <c r="C24" s="16" t="inlineStr">
        <is>
          <t>Barrida</t>
        </is>
      </c>
      <c r="D24" s="16" t="inlineStr">
        <is>
          <t>2010 – 4987</t>
        </is>
      </c>
      <c r="E24" s="16" t="n">
        <v>200</v>
      </c>
      <c r="F24" s="16" t="n"/>
      <c r="G24" s="16" t="inlineStr">
        <is>
          <t>kPa</t>
        </is>
      </c>
    </row>
    <row r="25">
      <c r="A25" s="16" t="n">
        <v>3.2</v>
      </c>
      <c r="B25" s="16" t="inlineStr">
        <is>
          <t>Presión de baja, P_baja [kPa]</t>
        </is>
      </c>
      <c r="C25" s="16" t="inlineStr">
        <is>
          <t>Barrida</t>
        </is>
      </c>
      <c r="D25" s="16" t="inlineStr">
        <is>
          <t>304.7 – 1497</t>
        </is>
      </c>
      <c r="E25" s="16" t="n">
        <v>200</v>
      </c>
      <c r="F25" s="16" t="n"/>
      <c r="G25" s="16" t="inlineStr">
        <is>
          <t>kPa</t>
        </is>
      </c>
    </row>
    <row r="26">
      <c r="A26" s="16" t="n">
        <v>3.2</v>
      </c>
      <c r="B26" s="16" t="inlineStr">
        <is>
          <t>Fracción de amoníaco de la mezcla base, x_b [–]</t>
        </is>
      </c>
      <c r="C26" s="16" t="inlineStr">
        <is>
          <t>Barrida</t>
        </is>
      </c>
      <c r="D26" s="16" t="inlineStr">
        <is>
          <t>0.500 – 0.849</t>
        </is>
      </c>
      <c r="E26" s="16" t="n">
        <v>200</v>
      </c>
      <c r="F26" s="16" t="n"/>
      <c r="G26" s="16" t="inlineStr">
        <is>
          <t>–</t>
        </is>
      </c>
    </row>
    <row r="27">
      <c r="A27" s="16" t="n">
        <v>3.2</v>
      </c>
      <c r="B27" s="16" t="inlineStr">
        <is>
          <t>Flujo másico base, m_b [kg/s]</t>
        </is>
      </c>
      <c r="C27" s="16" t="inlineStr">
        <is>
          <t>Fija</t>
        </is>
      </c>
      <c r="D27" s="16" t="inlineStr">
        <is>
          <t>1.0</t>
        </is>
      </c>
      <c r="E27" s="16" t="n"/>
      <c r="F27" s="16" t="inlineStr">
        <is>
          <t>sí</t>
        </is>
      </c>
      <c r="G27" s="16" t="inlineStr">
        <is>
          <t>kg/s</t>
        </is>
      </c>
    </row>
    <row r="28">
      <c r="A28" s="16" t="n">
        <v>3.2</v>
      </c>
      <c r="B28" s="16" t="inlineStr">
        <is>
          <t>Eficiencia isentrópica de la turbina, η_t [–]</t>
        </is>
      </c>
      <c r="C28" s="16" t="inlineStr">
        <is>
          <t>Barrida</t>
        </is>
      </c>
      <c r="D28" s="16" t="inlineStr">
        <is>
          <t>0.750 – 0.920</t>
        </is>
      </c>
      <c r="E28" s="16" t="n">
        <v>200</v>
      </c>
      <c r="F28" s="16" t="n"/>
      <c r="G28" s="16" t="inlineStr">
        <is>
          <t>–</t>
        </is>
      </c>
    </row>
    <row r="29">
      <c r="A29" s="16" t="n">
        <v>3.2</v>
      </c>
      <c r="B29" s="16" t="inlineStr">
        <is>
          <t>Eficiencia isentrópica de la bomba, η_p [–]</t>
        </is>
      </c>
      <c r="C29" s="16" t="inlineStr">
        <is>
          <t>Barrida</t>
        </is>
      </c>
      <c r="D29" s="16" t="inlineStr">
        <is>
          <t>0.651 – 0.899</t>
        </is>
      </c>
      <c r="E29" s="16" t="n">
        <v>200</v>
      </c>
      <c r="F29" s="16" t="n"/>
      <c r="G29" s="16" t="inlineStr">
        <is>
          <t>–</t>
        </is>
      </c>
    </row>
    <row r="30">
      <c r="A30" s="16" t="n">
        <v>3.2</v>
      </c>
      <c r="B30" s="16" t="inlineStr">
        <is>
          <t>Efectividad del generador de vapor, ε_HRVG [–]</t>
        </is>
      </c>
      <c r="C30" s="16" t="inlineStr">
        <is>
          <t>Barrida</t>
        </is>
      </c>
      <c r="D30" s="16" t="inlineStr">
        <is>
          <t>0.601 – 0.948</t>
        </is>
      </c>
      <c r="E30" s="16" t="n">
        <v>200</v>
      </c>
      <c r="F30" s="16" t="n"/>
      <c r="G30" s="16" t="inlineStr">
        <is>
          <t>–</t>
        </is>
      </c>
    </row>
    <row r="31">
      <c r="A31" s="16" t="n">
        <v>3.2</v>
      </c>
      <c r="B31" s="16" t="inlineStr">
        <is>
          <t>Efectividad del regenerador, ε_reg [–]</t>
        </is>
      </c>
      <c r="C31" s="16" t="inlineStr">
        <is>
          <t>Barrida</t>
        </is>
      </c>
      <c r="D31" s="16" t="inlineStr">
        <is>
          <t>0.602 – 0.949</t>
        </is>
      </c>
      <c r="E31" s="16" t="n">
        <v>200</v>
      </c>
      <c r="F31" s="16" t="n"/>
      <c r="G31" s="16" t="inlineStr">
        <is>
          <t>–</t>
        </is>
      </c>
    </row>
    <row r="32">
      <c r="A32" s="16" t="n">
        <v>3.2</v>
      </c>
      <c r="B32" s="16" t="inlineStr">
        <is>
          <t>Efectividad del condensador, ε_cond [–]</t>
        </is>
      </c>
      <c r="C32" s="16" t="inlineStr">
        <is>
          <t>Barrida</t>
        </is>
      </c>
      <c r="D32" s="16" t="inlineStr">
        <is>
          <t>0.701 – 0.949</t>
        </is>
      </c>
      <c r="E32" s="16" t="n">
        <v>200</v>
      </c>
      <c r="F32" s="16" t="n"/>
      <c r="G32" s="16" t="inlineStr">
        <is>
          <t>–</t>
        </is>
      </c>
    </row>
    <row r="33">
      <c r="A33" s="16" t="n">
        <v>3.2</v>
      </c>
      <c r="B33" s="16" t="inlineStr">
        <is>
          <t>Piso de O2 (T de diseño de la bomba) [K]</t>
        </is>
      </c>
      <c r="C33" s="16" t="inlineStr">
        <is>
          <t>Barrida</t>
        </is>
      </c>
      <c r="D33" s="16" t="inlineStr">
        <is>
          <t>278.2 – 303.5</t>
        </is>
      </c>
      <c r="E33" s="16" t="n">
        <v>200</v>
      </c>
      <c r="F33" s="16" t="n"/>
      <c r="G33" s="16" t="inlineStr">
        <is>
          <t>K</t>
        </is>
      </c>
    </row>
    <row r="34">
      <c r="A34" s="16" t="n">
        <v>3.2</v>
      </c>
      <c r="B34" s="16" t="inlineStr">
        <is>
          <t>motor de propiedades</t>
        </is>
      </c>
      <c r="C34" s="16" t="inlineStr">
        <is>
          <t>Fija</t>
        </is>
      </c>
      <c r="D34" s="16" t="inlineStr">
        <is>
          <t>teqp</t>
        </is>
      </c>
      <c r="E34" s="16" t="n"/>
      <c r="F34" s="16" t="n"/>
      <c r="G34" s="16" t="inlineStr">
        <is>
          <t>–</t>
        </is>
      </c>
    </row>
    <row r="36">
      <c r="A36" s="23" t="inlineStr">
        <is>
          <t>Notas: Filtro: cada parte y cada variable. n = 26 filas en la tabla. † = fuera del rango confiable (IAPWS G4-01); ‡ = falso convergido. Fuente: analisis_final/00_inventario/condiciones_por_subcaso.csv.</t>
        </is>
      </c>
    </row>
  </sheetData>
  <autoFilter ref="A8:G3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3.2-2 · Corridas por parte y por clase</t>
        </is>
      </c>
    </row>
    <row r="2">
      <c r="A2" s="20" t="inlineStr">
        <is>
          <t>Estudio 3.2 · Sensibilidad global (500 puntos)</t>
        </is>
      </c>
    </row>
    <row r="3">
      <c r="A3" s="20" t="inlineStr">
        <is>
          <t>Punto base: caja estudio 3.2 = las 10 variables barridas dentro de su caja (ver Tabla 3.2-1)</t>
        </is>
      </c>
    </row>
    <row r="4">
      <c r="A4" s="21" t="inlineStr">
        <is>
          <t>Datos fijos: m_b = 1 kg/s; motor de propiedades = teqp.</t>
        </is>
      </c>
    </row>
    <row r="5">
      <c r="A5" s="21"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6">
      <c r="A6" s="20" t="inlineStr">
        <is>
          <t>Fuente: analisis_final/00_inventario/conteo_por_subcaso.csv</t>
        </is>
      </c>
    </row>
    <row r="8">
      <c r="A8" s="22" t="inlineStr">
        <is>
          <t>Parte</t>
        </is>
      </c>
      <c r="B8" s="22" t="inlineStr">
        <is>
          <t>Corridas</t>
        </is>
      </c>
      <c r="C8" s="22" t="inlineStr">
        <is>
          <t>Omitidos</t>
        </is>
      </c>
      <c r="D8" s="22" t="inlineStr">
        <is>
          <t>Genuinos</t>
        </is>
      </c>
      <c r="E8" s="22" t="inlineStr">
        <is>
          <t>KALINA</t>
        </is>
      </c>
      <c r="F8" s="22" t="inlineStr">
        <is>
          <t>KALINA confiables</t>
        </is>
      </c>
      <c r="G8" s="22" t="inlineStr">
        <is>
          <t>Corregibles</t>
        </is>
      </c>
      <c r="H8" s="22" t="inlineStr">
        <is>
          <t>Inviables</t>
        </is>
      </c>
      <c r="I8" s="22" t="inlineStr">
        <is>
          <t>No convergidos</t>
        </is>
      </c>
      <c r="J8" s="22" t="inlineStr">
        <is>
          <t>Falsos convergidos</t>
        </is>
      </c>
      <c r="K8" s="22" t="inlineStr">
        <is>
          <t>Fuera de rango</t>
        </is>
      </c>
    </row>
    <row r="9">
      <c r="A9" s="16" t="n">
        <v>3.2</v>
      </c>
      <c r="B9" s="16" t="n">
        <v>300</v>
      </c>
      <c r="C9" s="16" t="n">
        <v>0</v>
      </c>
      <c r="D9" s="16" t="n">
        <v>266</v>
      </c>
      <c r="E9" s="16" t="n">
        <v>76</v>
      </c>
      <c r="F9" s="16" t="n">
        <v>57</v>
      </c>
      <c r="G9" s="16" t="n">
        <v>181</v>
      </c>
      <c r="H9" s="16" t="n">
        <v>9</v>
      </c>
      <c r="I9" s="16" t="n">
        <v>27</v>
      </c>
      <c r="J9" s="16" t="n">
        <v>7</v>
      </c>
      <c r="K9" s="16" t="n">
        <v>128</v>
      </c>
    </row>
    <row r="10">
      <c r="A10" s="16" t="n">
        <v>3.2</v>
      </c>
      <c r="B10" s="16" t="n">
        <v>200</v>
      </c>
      <c r="C10" s="16" t="n">
        <v>0</v>
      </c>
      <c r="D10" s="16" t="n">
        <v>186</v>
      </c>
      <c r="E10" s="16" t="n">
        <v>45</v>
      </c>
      <c r="F10" s="16" t="n">
        <v>26</v>
      </c>
      <c r="G10" s="16" t="n">
        <v>127</v>
      </c>
      <c r="H10" s="16" t="n">
        <v>14</v>
      </c>
      <c r="I10" s="16" t="n">
        <v>8</v>
      </c>
      <c r="J10" s="16" t="n">
        <v>6</v>
      </c>
      <c r="K10" s="16" t="n">
        <v>94</v>
      </c>
    </row>
    <row r="12">
      <c r="A12" s="23" t="inlineStr">
        <is>
          <t>Notas: Filtro: conteo por parte. n = 2 filas en la tabla. † = fuera del rango confiable (IAPWS G4-01); ‡ = falso convergido. Fuente: analisis_final/00_inventario/conteo_por_subcaso.csv.</t>
        </is>
      </c>
    </row>
  </sheetData>
  <autoFilter ref="A8:K10"/>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cols>
    <col width="12" customWidth="1" min="1" max="1"/>
    <col width="12" customWidth="1" min="2" max="2"/>
    <col width="17" customWidth="1" min="3" max="3"/>
    <col width="21" customWidth="1" min="4" max="4"/>
    <col width="13" customWidth="1" min="5" max="5"/>
    <col width="10" customWidth="1" min="6" max="6"/>
    <col width="12" customWidth="1" min="7" max="7"/>
    <col width="13" customWidth="1" min="8" max="8"/>
    <col width="13" customWidth="1" min="9" max="9"/>
    <col width="22" customWidth="1" min="10" max="10"/>
    <col width="22" customWidth="1" min="11" max="11"/>
  </cols>
  <sheetData>
    <row r="1">
      <c r="A1" s="19" t="inlineStr">
        <is>
          <t>Tabla 3.2-3 · Separación KALINA / no KALINA (RSA y KS)</t>
        </is>
      </c>
    </row>
    <row r="2">
      <c r="A2" s="20" t="inlineStr">
        <is>
          <t>Estudio 3.2 · Sensibilidad global (500 puntos)</t>
        </is>
      </c>
    </row>
    <row r="3">
      <c r="A3" s="20" t="inlineStr">
        <is>
          <t>Punto base: caja estudio 3.2 = las 10 variables barridas dentro de su caja (ver Tabla 3.2-1)</t>
        </is>
      </c>
    </row>
    <row r="4">
      <c r="A4" s="21" t="inlineStr">
        <is>
          <t>Datos fijos: m_b = 1 kg/s; motor de propiedades = teqp.</t>
        </is>
      </c>
    </row>
    <row r="5">
      <c r="A5" s="21"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6">
      <c r="A6" s="20" t="inlineStr">
        <is>
          <t>Fuente: resultados/2026-10-07_final_M4b/m4b_rsa.csv</t>
        </is>
      </c>
    </row>
    <row r="8">
      <c r="A8" s="22" t="inlineStr">
        <is>
          <t>Separación</t>
        </is>
      </c>
      <c r="B8" s="22" t="inlineStr">
        <is>
          <t>Variable</t>
        </is>
      </c>
      <c r="C8" s="22" t="inlineStr">
        <is>
          <t>n en B (KALINA)</t>
        </is>
      </c>
      <c r="D8" s="22" t="inlineStr">
        <is>
          <t>n en B̄ (no KALINA)</t>
        </is>
      </c>
      <c r="E8" s="22" t="inlineStr">
        <is>
          <t>n excluidos</t>
        </is>
      </c>
      <c r="F8" s="22" t="inlineStr">
        <is>
          <t>KS</t>
        </is>
      </c>
      <c r="G8" s="22" t="inlineStr">
        <is>
          <t>Valor p</t>
        </is>
      </c>
      <c r="H8" s="22" t="inlineStr">
        <is>
          <t>IC inferior</t>
        </is>
      </c>
      <c r="I8" s="22" t="inlineStr">
        <is>
          <t>IC superior</t>
        </is>
      </c>
      <c r="J8" s="22" t="inlineStr">
        <is>
          <t>Rango favorable, p05</t>
        </is>
      </c>
      <c r="K8" s="22" t="inlineStr">
        <is>
          <t>Rango favorable, p95</t>
        </is>
      </c>
    </row>
    <row r="9">
      <c r="A9" s="42" t="inlineStr">
        <is>
          <t>KALINA</t>
        </is>
      </c>
      <c r="B9" s="16" t="inlineStr">
        <is>
          <t>T_fuente</t>
        </is>
      </c>
      <c r="C9" s="16" t="n">
        <v>121</v>
      </c>
      <c r="D9" s="16" t="n">
        <v>379</v>
      </c>
      <c r="E9" s="16" t="n">
        <v>0</v>
      </c>
      <c r="F9" s="16" t="n">
        <v>0.28734</v>
      </c>
      <c r="G9" s="16" t="n">
        <v>3.4593e-07</v>
      </c>
      <c r="H9" s="16" t="n">
        <v>0.20711</v>
      </c>
      <c r="I9" s="16" t="n">
        <v>0.38829</v>
      </c>
      <c r="J9" s="16" t="n">
        <v>383.66</v>
      </c>
      <c r="K9" s="16" t="n">
        <v>486.22</v>
      </c>
    </row>
    <row r="10">
      <c r="A10" s="42" t="inlineStr">
        <is>
          <t>KALINA</t>
        </is>
      </c>
      <c r="B10" s="16" t="inlineStr">
        <is>
          <t>T_sumidero</t>
        </is>
      </c>
      <c r="C10" s="16" t="n">
        <v>121</v>
      </c>
      <c r="D10" s="16" t="n">
        <v>379</v>
      </c>
      <c r="E10" s="16" t="n">
        <v>0</v>
      </c>
      <c r="F10" s="16" t="n">
        <v>0.1995</v>
      </c>
      <c r="G10" s="16" t="n">
        <v>0.0011084</v>
      </c>
      <c r="H10" s="16" t="n">
        <v>0.13619</v>
      </c>
      <c r="I10" s="16" t="n">
        <v>0.31239</v>
      </c>
      <c r="J10" s="16" t="n">
        <v>278.97</v>
      </c>
      <c r="K10" s="16" t="n">
        <v>301.68</v>
      </c>
    </row>
    <row r="11">
      <c r="A11" s="42" t="inlineStr">
        <is>
          <t>KALINA</t>
        </is>
      </c>
      <c r="B11" s="16" t="inlineStr">
        <is>
          <t>P_alta</t>
        </is>
      </c>
      <c r="C11" s="16" t="n">
        <v>121</v>
      </c>
      <c r="D11" s="16" t="n">
        <v>379</v>
      </c>
      <c r="E11" s="16" t="n">
        <v>0</v>
      </c>
      <c r="F11" s="16" t="n">
        <v>0.13027</v>
      </c>
      <c r="G11" s="16" t="n">
        <v>0.07994</v>
      </c>
      <c r="H11" s="16" t="n">
        <v>0.080303</v>
      </c>
      <c r="I11" s="16" t="n">
        <v>0.23073</v>
      </c>
      <c r="J11" s="16" t="n">
        <v>2155.7</v>
      </c>
      <c r="K11" s="16" t="n">
        <v>4841.8</v>
      </c>
    </row>
    <row r="12">
      <c r="A12" s="42" t="inlineStr">
        <is>
          <t>KALINA</t>
        </is>
      </c>
      <c r="B12" s="16" t="inlineStr">
        <is>
          <t>P_baja</t>
        </is>
      </c>
      <c r="C12" s="16" t="n">
        <v>121</v>
      </c>
      <c r="D12" s="16" t="n">
        <v>379</v>
      </c>
      <c r="E12" s="16" t="n">
        <v>0</v>
      </c>
      <c r="F12" s="16" t="n">
        <v>0.42679</v>
      </c>
      <c r="G12" s="16" t="n">
        <v>1.4334e-15</v>
      </c>
      <c r="H12" s="16" t="n">
        <v>0.36485</v>
      </c>
      <c r="I12" s="16" t="n">
        <v>0.51914</v>
      </c>
      <c r="J12" s="16" t="n">
        <v>683.17</v>
      </c>
      <c r="K12" s="16" t="n">
        <v>1460.7</v>
      </c>
    </row>
    <row r="13">
      <c r="A13" s="42" t="inlineStr">
        <is>
          <t>KALINA</t>
        </is>
      </c>
      <c r="B13" s="16" t="inlineStr">
        <is>
          <t>x_b</t>
        </is>
      </c>
      <c r="C13" s="16" t="n">
        <v>121</v>
      </c>
      <c r="D13" s="16" t="n">
        <v>379</v>
      </c>
      <c r="E13" s="16" t="n">
        <v>0</v>
      </c>
      <c r="F13" s="16" t="n">
        <v>0.19285</v>
      </c>
      <c r="G13" s="16" t="n">
        <v>0.0018105</v>
      </c>
      <c r="H13" s="16" t="n">
        <v>0.14167</v>
      </c>
      <c r="I13" s="16" t="n">
        <v>0.30084</v>
      </c>
      <c r="J13" s="16" t="n">
        <v>0.51415</v>
      </c>
      <c r="K13" s="16" t="n">
        <v>0.81747</v>
      </c>
    </row>
    <row r="14">
      <c r="A14" s="42" t="inlineStr">
        <is>
          <t>KALINA</t>
        </is>
      </c>
      <c r="B14" s="16" t="inlineStr">
        <is>
          <t>η_t</t>
        </is>
      </c>
      <c r="C14" s="16" t="n">
        <v>121</v>
      </c>
      <c r="D14" s="16" t="n">
        <v>379</v>
      </c>
      <c r="E14" s="16" t="n">
        <v>0</v>
      </c>
      <c r="F14" s="16" t="n">
        <v>0.08530500000000001</v>
      </c>
      <c r="G14" s="16" t="n">
        <v>0.48501</v>
      </c>
      <c r="H14" s="16" t="n">
        <v>0.060051</v>
      </c>
      <c r="I14" s="16" t="n">
        <v>0.19739</v>
      </c>
      <c r="J14" s="16" t="n">
        <v>0.7583800000000001</v>
      </c>
      <c r="K14" s="16" t="n">
        <v>0.90996</v>
      </c>
    </row>
    <row r="15">
      <c r="A15" s="42" t="inlineStr">
        <is>
          <t>KALINA</t>
        </is>
      </c>
      <c r="B15" s="16" t="inlineStr">
        <is>
          <t>η_p</t>
        </is>
      </c>
      <c r="C15" s="16" t="n">
        <v>121</v>
      </c>
      <c r="D15" s="16" t="n">
        <v>379</v>
      </c>
      <c r="E15" s="16" t="n">
        <v>0</v>
      </c>
      <c r="F15" s="16" t="n">
        <v>0.09526999999999999</v>
      </c>
      <c r="G15" s="16" t="n">
        <v>0.34897</v>
      </c>
      <c r="H15" s="16" t="n">
        <v>0.06916600000000001</v>
      </c>
      <c r="I15" s="16" t="n">
        <v>0.20579</v>
      </c>
      <c r="J15" s="16" t="n">
        <v>0.6631</v>
      </c>
      <c r="K15" s="16" t="n">
        <v>0.8869</v>
      </c>
    </row>
    <row r="16">
      <c r="A16" s="42" t="inlineStr">
        <is>
          <t>KALINA</t>
        </is>
      </c>
      <c r="B16" s="16" t="inlineStr">
        <is>
          <t>ε_HRVG</t>
        </is>
      </c>
      <c r="C16" s="16" t="n">
        <v>121</v>
      </c>
      <c r="D16" s="16" t="n">
        <v>379</v>
      </c>
      <c r="E16" s="16" t="n">
        <v>0</v>
      </c>
      <c r="F16" s="16" t="n">
        <v>0.07385700000000001</v>
      </c>
      <c r="G16" s="16" t="n">
        <v>0.66517</v>
      </c>
      <c r="H16" s="16" t="n">
        <v>0.061318</v>
      </c>
      <c r="I16" s="16" t="n">
        <v>0.18469</v>
      </c>
      <c r="J16" s="16" t="n">
        <v>0.6172299999999999</v>
      </c>
      <c r="K16" s="16" t="n">
        <v>0.92993</v>
      </c>
    </row>
    <row r="17">
      <c r="A17" s="42" t="inlineStr">
        <is>
          <t>KALINA</t>
        </is>
      </c>
      <c r="B17" s="16" t="inlineStr">
        <is>
          <t>ε_reg</t>
        </is>
      </c>
      <c r="C17" s="16" t="n">
        <v>121</v>
      </c>
      <c r="D17" s="16" t="n">
        <v>379</v>
      </c>
      <c r="E17" s="16" t="n">
        <v>0</v>
      </c>
      <c r="F17" s="16" t="n">
        <v>0.12159</v>
      </c>
      <c r="G17" s="16" t="n">
        <v>0.12037</v>
      </c>
      <c r="H17" s="16" t="n">
        <v>0.073591</v>
      </c>
      <c r="I17" s="16" t="n">
        <v>0.22467</v>
      </c>
      <c r="J17" s="16" t="n">
        <v>0.62404</v>
      </c>
      <c r="K17" s="16" t="n">
        <v>0.9331</v>
      </c>
    </row>
    <row r="18">
      <c r="A18" s="42" t="inlineStr">
        <is>
          <t>KALINA</t>
        </is>
      </c>
      <c r="B18" s="16" t="inlineStr">
        <is>
          <t>ε_cond</t>
        </is>
      </c>
      <c r="C18" s="16" t="n">
        <v>121</v>
      </c>
      <c r="D18" s="16" t="n">
        <v>379</v>
      </c>
      <c r="E18" s="16" t="n">
        <v>0</v>
      </c>
      <c r="F18" s="16" t="n">
        <v>0.42628</v>
      </c>
      <c r="G18" s="16" t="n">
        <v>1.5659e-15</v>
      </c>
      <c r="H18" s="16" t="n">
        <v>0.35276</v>
      </c>
      <c r="I18" s="16" t="n">
        <v>0.52407</v>
      </c>
      <c r="J18" s="16" t="n">
        <v>0.73973</v>
      </c>
      <c r="K18" s="16" t="n">
        <v>0.94578</v>
      </c>
    </row>
    <row r="19">
      <c r="A19" s="42" t="inlineStr">
        <is>
          <t>KALINA</t>
        </is>
      </c>
      <c r="B19" s="16" t="inlineStr">
        <is>
          <t>dP</t>
        </is>
      </c>
      <c r="C19" s="16" t="n">
        <v>121</v>
      </c>
      <c r="D19" s="16" t="n">
        <v>379</v>
      </c>
      <c r="E19" s="16" t="n">
        <v>0</v>
      </c>
      <c r="F19" s="16" t="n">
        <v>0.13834</v>
      </c>
      <c r="G19" s="16" t="n">
        <v>0.053275</v>
      </c>
      <c r="H19" s="16" t="n">
        <v>0.10678</v>
      </c>
      <c r="I19" s="16" t="n">
        <v>0.24244</v>
      </c>
      <c r="J19" s="16" t="n">
        <v>968.03</v>
      </c>
      <c r="K19" s="16" t="n">
        <v>3717.6</v>
      </c>
    </row>
    <row r="20">
      <c r="A20" s="42" t="inlineStr">
        <is>
          <t>KALINA</t>
        </is>
      </c>
      <c r="B20" s="16" t="inlineStr">
        <is>
          <t>rP</t>
        </is>
      </c>
      <c r="C20" s="16" t="n">
        <v>121</v>
      </c>
      <c r="D20" s="16" t="n">
        <v>379</v>
      </c>
      <c r="E20" s="16" t="n">
        <v>0</v>
      </c>
      <c r="F20" s="16" t="n">
        <v>0.35291</v>
      </c>
      <c r="G20" s="16" t="n">
        <v>1.1057e-10</v>
      </c>
      <c r="H20" s="16" t="n">
        <v>0.29913</v>
      </c>
      <c r="I20" s="16" t="n">
        <v>0.44615</v>
      </c>
      <c r="J20" s="16" t="n">
        <v>1.6861</v>
      </c>
      <c r="K20" s="16" t="n">
        <v>5.3394</v>
      </c>
    </row>
    <row r="21">
      <c r="A21" s="42" t="inlineStr">
        <is>
          <t>KALINA</t>
        </is>
      </c>
      <c r="B21" s="16" t="inlineStr">
        <is>
          <t>dT_fs</t>
        </is>
      </c>
      <c r="C21" s="16" t="n">
        <v>121</v>
      </c>
      <c r="D21" s="16" t="n">
        <v>379</v>
      </c>
      <c r="E21" s="16" t="n">
        <v>0</v>
      </c>
      <c r="F21" s="16" t="n">
        <v>0.24846</v>
      </c>
      <c r="G21" s="16" t="n">
        <v>1.7909e-05</v>
      </c>
      <c r="H21" s="16" t="n">
        <v>0.17318</v>
      </c>
      <c r="I21" s="16" t="n">
        <v>0.34293</v>
      </c>
      <c r="J21" s="16" t="n">
        <v>91.38500000000001</v>
      </c>
      <c r="K21" s="16" t="n">
        <v>199.35</v>
      </c>
    </row>
    <row r="22">
      <c r="A22" s="16" t="inlineStr">
        <is>
          <t>converge</t>
        </is>
      </c>
      <c r="B22" s="16" t="inlineStr">
        <is>
          <t>T_fuente</t>
        </is>
      </c>
      <c r="C22" s="16" t="n">
        <v>452</v>
      </c>
      <c r="D22" s="16" t="n">
        <v>48</v>
      </c>
      <c r="E22" s="16" t="n">
        <v>0</v>
      </c>
      <c r="F22" s="16" t="n">
        <v>0.27341</v>
      </c>
      <c r="G22" s="16" t="n">
        <v>0.002336</v>
      </c>
      <c r="H22" s="16" t="n">
        <v>0.21608</v>
      </c>
      <c r="I22" s="16" t="n">
        <v>0.41912</v>
      </c>
      <c r="J22" s="16" t="n">
        <v>387.26</v>
      </c>
      <c r="K22" s="16" t="n">
        <v>493.3</v>
      </c>
    </row>
    <row r="23">
      <c r="A23" s="16" t="inlineStr">
        <is>
          <t>converge</t>
        </is>
      </c>
      <c r="B23" s="16" t="inlineStr">
        <is>
          <t>T_sumidero</t>
        </is>
      </c>
      <c r="C23" s="16" t="n">
        <v>452</v>
      </c>
      <c r="D23" s="16" t="n">
        <v>48</v>
      </c>
      <c r="E23" s="16" t="n">
        <v>0</v>
      </c>
      <c r="F23" s="16" t="n">
        <v>0.11136</v>
      </c>
      <c r="G23" s="16" t="n">
        <v>0.61225</v>
      </c>
      <c r="H23" s="16" t="n">
        <v>0.087924</v>
      </c>
      <c r="I23" s="16" t="n">
        <v>0.27455</v>
      </c>
      <c r="J23" s="16" t="n">
        <v>279.49</v>
      </c>
      <c r="K23" s="16" t="n">
        <v>302.28</v>
      </c>
    </row>
    <row r="24">
      <c r="A24" s="16" t="inlineStr">
        <is>
          <t>converge</t>
        </is>
      </c>
      <c r="B24" s="16" t="inlineStr">
        <is>
          <t>P_alta</t>
        </is>
      </c>
      <c r="C24" s="16" t="n">
        <v>452</v>
      </c>
      <c r="D24" s="16" t="n">
        <v>48</v>
      </c>
      <c r="E24" s="16" t="n">
        <v>0</v>
      </c>
      <c r="F24" s="16" t="n">
        <v>0.37445</v>
      </c>
      <c r="G24" s="16" t="n">
        <v>5.8179e-06</v>
      </c>
      <c r="H24" s="16" t="n">
        <v>0.24269</v>
      </c>
      <c r="I24" s="16" t="n">
        <v>0.51936</v>
      </c>
      <c r="J24" s="16" t="n">
        <v>2145.1</v>
      </c>
      <c r="K24" s="16" t="n">
        <v>4829.6</v>
      </c>
    </row>
    <row r="25">
      <c r="A25" s="16" t="inlineStr">
        <is>
          <t>converge</t>
        </is>
      </c>
      <c r="B25" s="16" t="inlineStr">
        <is>
          <t>P_baja</t>
        </is>
      </c>
      <c r="C25" s="16" t="n">
        <v>452</v>
      </c>
      <c r="D25" s="16" t="n">
        <v>48</v>
      </c>
      <c r="E25" s="16" t="n">
        <v>0</v>
      </c>
      <c r="F25" s="16" t="n">
        <v>0.12887</v>
      </c>
      <c r="G25" s="16" t="n">
        <v>0.42855</v>
      </c>
      <c r="H25" s="16" t="n">
        <v>0.099926</v>
      </c>
      <c r="I25" s="16" t="n">
        <v>0.28044</v>
      </c>
      <c r="J25" s="16" t="n">
        <v>361.88</v>
      </c>
      <c r="K25" s="16" t="n">
        <v>1444.8</v>
      </c>
    </row>
    <row r="26">
      <c r="A26" s="16" t="inlineStr">
        <is>
          <t>converge</t>
        </is>
      </c>
      <c r="B26" s="16" t="inlineStr">
        <is>
          <t>x_b</t>
        </is>
      </c>
      <c r="C26" s="16" t="n">
        <v>452</v>
      </c>
      <c r="D26" s="16" t="n">
        <v>48</v>
      </c>
      <c r="E26" s="16" t="n">
        <v>0</v>
      </c>
      <c r="F26" s="16" t="n">
        <v>0.17238</v>
      </c>
      <c r="G26" s="16" t="n">
        <v>0.13378</v>
      </c>
      <c r="H26" s="16" t="n">
        <v>0.1344</v>
      </c>
      <c r="I26" s="16" t="n">
        <v>0.33742</v>
      </c>
      <c r="J26" s="16" t="n">
        <v>0.51979</v>
      </c>
      <c r="K26" s="16" t="n">
        <v>0.82897</v>
      </c>
    </row>
    <row r="27">
      <c r="A27" s="16" t="inlineStr">
        <is>
          <t>converge</t>
        </is>
      </c>
      <c r="B27" s="16" t="inlineStr">
        <is>
          <t>η_t</t>
        </is>
      </c>
      <c r="C27" s="16" t="n">
        <v>452</v>
      </c>
      <c r="D27" s="16" t="n">
        <v>48</v>
      </c>
      <c r="E27" s="16" t="n">
        <v>0</v>
      </c>
      <c r="F27" s="16" t="n">
        <v>0.17847</v>
      </c>
      <c r="G27" s="16" t="n">
        <v>0.11054</v>
      </c>
      <c r="H27" s="16" t="n">
        <v>0.11282</v>
      </c>
      <c r="I27" s="16" t="n">
        <v>0.35272</v>
      </c>
      <c r="J27" s="16" t="n">
        <v>0.75875</v>
      </c>
      <c r="K27" s="16" t="n">
        <v>0.91049</v>
      </c>
    </row>
    <row r="28">
      <c r="A28" s="16" t="inlineStr">
        <is>
          <t>converge</t>
        </is>
      </c>
      <c r="B28" s="16" t="inlineStr">
        <is>
          <t>η_p</t>
        </is>
      </c>
      <c r="C28" s="16" t="n">
        <v>452</v>
      </c>
      <c r="D28" s="16" t="n">
        <v>48</v>
      </c>
      <c r="E28" s="16" t="n">
        <v>0</v>
      </c>
      <c r="F28" s="16" t="n">
        <v>0.1226</v>
      </c>
      <c r="G28" s="16" t="n">
        <v>0.49106</v>
      </c>
      <c r="H28" s="16" t="n">
        <v>0.09640899999999999</v>
      </c>
      <c r="I28" s="16" t="n">
        <v>0.30077</v>
      </c>
      <c r="J28" s="16" t="n">
        <v>0.66273</v>
      </c>
      <c r="K28" s="16" t="n">
        <v>0.88728</v>
      </c>
    </row>
    <row r="29">
      <c r="A29" s="16" t="inlineStr">
        <is>
          <t>converge</t>
        </is>
      </c>
      <c r="B29" s="16" t="inlineStr">
        <is>
          <t>ε_HRVG</t>
        </is>
      </c>
      <c r="C29" s="16" t="n">
        <v>452</v>
      </c>
      <c r="D29" s="16" t="n">
        <v>48</v>
      </c>
      <c r="E29" s="16" t="n">
        <v>0</v>
      </c>
      <c r="F29" s="16" t="n">
        <v>0.15524</v>
      </c>
      <c r="G29" s="16" t="n">
        <v>0.22092</v>
      </c>
      <c r="H29" s="16" t="n">
        <v>0.094197</v>
      </c>
      <c r="I29" s="16" t="n">
        <v>0.30555</v>
      </c>
      <c r="J29" s="16" t="n">
        <v>0.61846</v>
      </c>
      <c r="K29" s="16" t="n">
        <v>0.93138</v>
      </c>
    </row>
    <row r="30">
      <c r="A30" s="16" t="inlineStr">
        <is>
          <t>converge</t>
        </is>
      </c>
      <c r="B30" s="16" t="inlineStr">
        <is>
          <t>ε_reg</t>
        </is>
      </c>
      <c r="C30" s="16" t="n">
        <v>452</v>
      </c>
      <c r="D30" s="16" t="n">
        <v>48</v>
      </c>
      <c r="E30" s="16" t="n">
        <v>0</v>
      </c>
      <c r="F30" s="16" t="n">
        <v>0.1556</v>
      </c>
      <c r="G30" s="16" t="n">
        <v>0.21869</v>
      </c>
      <c r="H30" s="16" t="n">
        <v>0.11829</v>
      </c>
      <c r="I30" s="16" t="n">
        <v>0.26807</v>
      </c>
      <c r="J30" s="16" t="n">
        <v>0.61677</v>
      </c>
      <c r="K30" s="16" t="n">
        <v>0.9307299999999999</v>
      </c>
    </row>
    <row r="31">
      <c r="A31" s="16" t="inlineStr">
        <is>
          <t>converge</t>
        </is>
      </c>
      <c r="B31" s="16" t="inlineStr">
        <is>
          <t>ε_cond</t>
        </is>
      </c>
      <c r="C31" s="16" t="n">
        <v>452</v>
      </c>
      <c r="D31" s="16" t="n">
        <v>48</v>
      </c>
      <c r="E31" s="16" t="n">
        <v>0</v>
      </c>
      <c r="F31" s="16" t="n">
        <v>0.12887</v>
      </c>
      <c r="G31" s="16" t="n">
        <v>0.42855</v>
      </c>
      <c r="H31" s="16" t="n">
        <v>0.097341</v>
      </c>
      <c r="I31" s="16" t="n">
        <v>0.26309</v>
      </c>
      <c r="J31" s="16" t="n">
        <v>0.71218</v>
      </c>
      <c r="K31" s="16" t="n">
        <v>0.93797</v>
      </c>
    </row>
    <row r="32">
      <c r="A32" s="16" t="inlineStr">
        <is>
          <t>converge</t>
        </is>
      </c>
      <c r="B32" s="16" t="inlineStr">
        <is>
          <t>dP</t>
        </is>
      </c>
      <c r="C32" s="16" t="n">
        <v>452</v>
      </c>
      <c r="D32" s="16" t="n">
        <v>48</v>
      </c>
      <c r="E32" s="16" t="n">
        <v>0</v>
      </c>
      <c r="F32" s="16" t="n">
        <v>0.375</v>
      </c>
      <c r="G32" s="16" t="n">
        <v>5.5966e-06</v>
      </c>
      <c r="H32" s="16" t="n">
        <v>0.23909</v>
      </c>
      <c r="I32" s="16" t="n">
        <v>0.5264</v>
      </c>
      <c r="J32" s="16" t="n">
        <v>1042.6</v>
      </c>
      <c r="K32" s="16" t="n">
        <v>4048.4</v>
      </c>
    </row>
    <row r="33">
      <c r="A33" s="16" t="inlineStr">
        <is>
          <t>converge</t>
        </is>
      </c>
      <c r="B33" s="16" t="inlineStr">
        <is>
          <t>rP</t>
        </is>
      </c>
      <c r="C33" s="16" t="n">
        <v>452</v>
      </c>
      <c r="D33" s="16" t="n">
        <v>48</v>
      </c>
      <c r="E33" s="16" t="n">
        <v>0</v>
      </c>
      <c r="F33" s="16" t="n">
        <v>0.22622</v>
      </c>
      <c r="G33" s="16" t="n">
        <v>0.01956</v>
      </c>
      <c r="H33" s="16" t="n">
        <v>0.1342</v>
      </c>
      <c r="I33" s="16" t="n">
        <v>0.38532</v>
      </c>
      <c r="J33" s="16" t="n">
        <v>1.8353</v>
      </c>
      <c r="K33" s="16" t="n">
        <v>9.4451</v>
      </c>
    </row>
    <row r="34">
      <c r="A34" s="16" t="inlineStr">
        <is>
          <t>converge</t>
        </is>
      </c>
      <c r="B34" s="16" t="inlineStr">
        <is>
          <t>dT_fs</t>
        </is>
      </c>
      <c r="C34" s="16" t="n">
        <v>452</v>
      </c>
      <c r="D34" s="16" t="n">
        <v>48</v>
      </c>
      <c r="E34" s="16" t="n">
        <v>0</v>
      </c>
      <c r="F34" s="16" t="n">
        <v>0.25203</v>
      </c>
      <c r="G34" s="16" t="n">
        <v>0.0064422</v>
      </c>
      <c r="H34" s="16" t="n">
        <v>0.19688</v>
      </c>
      <c r="I34" s="16" t="n">
        <v>0.4014</v>
      </c>
      <c r="J34" s="16" t="n">
        <v>95.08799999999999</v>
      </c>
      <c r="K34" s="16" t="n">
        <v>203.92</v>
      </c>
    </row>
    <row r="35">
      <c r="A35" s="16" t="inlineStr">
        <is>
          <t>cumple_O2</t>
        </is>
      </c>
      <c r="B35" s="16" t="inlineStr">
        <is>
          <t>T_fuente</t>
        </is>
      </c>
      <c r="C35" s="16" t="n">
        <v>128</v>
      </c>
      <c r="D35" s="16" t="n">
        <v>324</v>
      </c>
      <c r="E35" s="16" t="n">
        <v>48</v>
      </c>
      <c r="F35" s="16" t="n">
        <v>0.30392</v>
      </c>
      <c r="G35" s="16" t="n">
        <v>5.3255e-08</v>
      </c>
      <c r="H35" s="16" t="n">
        <v>0.22839</v>
      </c>
      <c r="I35" s="16" t="n">
        <v>0.39876</v>
      </c>
      <c r="J35" s="16" t="n">
        <v>383.92</v>
      </c>
      <c r="K35" s="16" t="n">
        <v>488.45</v>
      </c>
    </row>
    <row r="36">
      <c r="A36" s="16" t="inlineStr">
        <is>
          <t>cumple_O2</t>
        </is>
      </c>
      <c r="B36" s="16" t="inlineStr">
        <is>
          <t>T_sumidero</t>
        </is>
      </c>
      <c r="C36" s="16" t="n">
        <v>128</v>
      </c>
      <c r="D36" s="16" t="n">
        <v>324</v>
      </c>
      <c r="E36" s="16" t="n">
        <v>48</v>
      </c>
      <c r="F36" s="16" t="n">
        <v>0.18547</v>
      </c>
      <c r="G36" s="16" t="n">
        <v>0.003051</v>
      </c>
      <c r="H36" s="16" t="n">
        <v>0.13223</v>
      </c>
      <c r="I36" s="16" t="n">
        <v>0.28926</v>
      </c>
      <c r="J36" s="16" t="n">
        <v>279.01</v>
      </c>
      <c r="K36" s="16" t="n">
        <v>301.59</v>
      </c>
    </row>
    <row r="37">
      <c r="A37" s="16" t="inlineStr">
        <is>
          <t>cumple_O2</t>
        </is>
      </c>
      <c r="B37" s="16" t="inlineStr">
        <is>
          <t>P_alta</t>
        </is>
      </c>
      <c r="C37" s="16" t="n">
        <v>128</v>
      </c>
      <c r="D37" s="16" t="n">
        <v>324</v>
      </c>
      <c r="E37" s="16" t="n">
        <v>48</v>
      </c>
      <c r="F37" s="16" t="n">
        <v>0.16319</v>
      </c>
      <c r="G37" s="16" t="n">
        <v>0.013082</v>
      </c>
      <c r="H37" s="16" t="n">
        <v>0.08873</v>
      </c>
      <c r="I37" s="16" t="n">
        <v>0.26096</v>
      </c>
      <c r="J37" s="16" t="n">
        <v>2177.9</v>
      </c>
      <c r="K37" s="16" t="n">
        <v>4873.6</v>
      </c>
    </row>
    <row r="38">
      <c r="A38" s="16" t="inlineStr">
        <is>
          <t>cumple_O2</t>
        </is>
      </c>
      <c r="B38" s="16" t="inlineStr">
        <is>
          <t>P_baja</t>
        </is>
      </c>
      <c r="C38" s="16" t="n">
        <v>128</v>
      </c>
      <c r="D38" s="16" t="n">
        <v>324</v>
      </c>
      <c r="E38" s="16" t="n">
        <v>48</v>
      </c>
      <c r="F38" s="16" t="n">
        <v>0.4265</v>
      </c>
      <c r="G38" s="16" t="n">
        <v>1.5244e-15</v>
      </c>
      <c r="H38" s="16" t="n">
        <v>0.36938</v>
      </c>
      <c r="I38" s="16" t="n">
        <v>0.52006</v>
      </c>
      <c r="J38" s="16" t="n">
        <v>681.8</v>
      </c>
      <c r="K38" s="16" t="n">
        <v>1460.2</v>
      </c>
    </row>
    <row r="39">
      <c r="A39" s="16" t="inlineStr">
        <is>
          <t>cumple_O2</t>
        </is>
      </c>
      <c r="B39" s="16" t="inlineStr">
        <is>
          <t>x_b</t>
        </is>
      </c>
      <c r="C39" s="16" t="n">
        <v>128</v>
      </c>
      <c r="D39" s="16" t="n">
        <v>324</v>
      </c>
      <c r="E39" s="16" t="n">
        <v>48</v>
      </c>
      <c r="F39" s="16" t="n">
        <v>0.22772</v>
      </c>
      <c r="G39" s="16" t="n">
        <v>0.00011485</v>
      </c>
      <c r="H39" s="16" t="n">
        <v>0.1685</v>
      </c>
      <c r="I39" s="16" t="n">
        <v>0.33286</v>
      </c>
      <c r="J39" s="16" t="n">
        <v>0.51292</v>
      </c>
      <c r="K39" s="16" t="n">
        <v>0.81432</v>
      </c>
    </row>
    <row r="40">
      <c r="A40" s="16" t="inlineStr">
        <is>
          <t>cumple_O2</t>
        </is>
      </c>
      <c r="B40" s="16" t="inlineStr">
        <is>
          <t>η_t</t>
        </is>
      </c>
      <c r="C40" s="16" t="n">
        <v>128</v>
      </c>
      <c r="D40" s="16" t="n">
        <v>324</v>
      </c>
      <c r="E40" s="16" t="n">
        <v>48</v>
      </c>
      <c r="F40" s="16" t="n">
        <v>0.065008</v>
      </c>
      <c r="G40" s="16" t="n">
        <v>0.80321</v>
      </c>
      <c r="H40" s="16" t="n">
        <v>0.059795</v>
      </c>
      <c r="I40" s="16" t="n">
        <v>0.18185</v>
      </c>
      <c r="J40" s="16" t="n">
        <v>0.75897</v>
      </c>
      <c r="K40" s="16" t="n">
        <v>0.91013</v>
      </c>
    </row>
    <row r="41">
      <c r="A41" s="16" t="inlineStr">
        <is>
          <t>cumple_O2</t>
        </is>
      </c>
      <c r="B41" s="16" t="inlineStr">
        <is>
          <t>η_p</t>
        </is>
      </c>
      <c r="C41" s="16" t="n">
        <v>128</v>
      </c>
      <c r="D41" s="16" t="n">
        <v>324</v>
      </c>
      <c r="E41" s="16" t="n">
        <v>48</v>
      </c>
      <c r="F41" s="16" t="n">
        <v>0.10108</v>
      </c>
      <c r="G41" s="16" t="n">
        <v>0.28228</v>
      </c>
      <c r="H41" s="16" t="n">
        <v>0.071267</v>
      </c>
      <c r="I41" s="16" t="n">
        <v>0.21915</v>
      </c>
      <c r="J41" s="16" t="n">
        <v>0.66333</v>
      </c>
      <c r="K41" s="16" t="n">
        <v>0.88734</v>
      </c>
    </row>
    <row r="42">
      <c r="A42" s="16" t="inlineStr">
        <is>
          <t>cumple_O2</t>
        </is>
      </c>
      <c r="B42" s="16" t="inlineStr">
        <is>
          <t>ε_HRVG</t>
        </is>
      </c>
      <c r="C42" s="16" t="n">
        <v>128</v>
      </c>
      <c r="D42" s="16" t="n">
        <v>324</v>
      </c>
      <c r="E42" s="16" t="n">
        <v>48</v>
      </c>
      <c r="F42" s="16" t="n">
        <v>0.09085600000000001</v>
      </c>
      <c r="G42" s="16" t="n">
        <v>0.40578</v>
      </c>
      <c r="H42" s="16" t="n">
        <v>0.06336799999999999</v>
      </c>
      <c r="I42" s="16" t="n">
        <v>0.20574</v>
      </c>
      <c r="J42" s="16" t="n">
        <v>0.61739</v>
      </c>
      <c r="K42" s="16" t="n">
        <v>0.92863</v>
      </c>
    </row>
    <row r="43">
      <c r="A43" s="16" t="inlineStr">
        <is>
          <t>cumple_O2</t>
        </is>
      </c>
      <c r="B43" s="16" t="inlineStr">
        <is>
          <t>ε_reg</t>
        </is>
      </c>
      <c r="C43" s="16" t="n">
        <v>128</v>
      </c>
      <c r="D43" s="16" t="n">
        <v>324</v>
      </c>
      <c r="E43" s="16" t="n">
        <v>48</v>
      </c>
      <c r="F43" s="16" t="n">
        <v>0.10648</v>
      </c>
      <c r="G43" s="16" t="n">
        <v>0.22905</v>
      </c>
      <c r="H43" s="16" t="n">
        <v>0.076097</v>
      </c>
      <c r="I43" s="16" t="n">
        <v>0.20914</v>
      </c>
      <c r="J43" s="16" t="n">
        <v>0.62307</v>
      </c>
      <c r="K43" s="16" t="n">
        <v>0.93232</v>
      </c>
    </row>
    <row r="44">
      <c r="A44" s="16" t="inlineStr">
        <is>
          <t>cumple_O2</t>
        </is>
      </c>
      <c r="B44" s="16" t="inlineStr">
        <is>
          <t>ε_cond</t>
        </is>
      </c>
      <c r="C44" s="16" t="n">
        <v>128</v>
      </c>
      <c r="D44" s="16" t="n">
        <v>324</v>
      </c>
      <c r="E44" s="16" t="n">
        <v>48</v>
      </c>
      <c r="F44" s="16" t="n">
        <v>0.44338</v>
      </c>
      <c r="G44" s="16" t="n">
        <v>8.338900000000001e-17</v>
      </c>
      <c r="H44" s="16" t="n">
        <v>0.36457</v>
      </c>
      <c r="I44" s="16" t="n">
        <v>0.54111</v>
      </c>
      <c r="J44" s="16" t="n">
        <v>0.74033</v>
      </c>
      <c r="K44" s="16" t="n">
        <v>0.94591</v>
      </c>
    </row>
    <row r="45">
      <c r="A45" s="16" t="inlineStr">
        <is>
          <t>cumple_O2</t>
        </is>
      </c>
      <c r="B45" s="16" t="inlineStr">
        <is>
          <t>dP</t>
        </is>
      </c>
      <c r="C45" s="16" t="n">
        <v>128</v>
      </c>
      <c r="D45" s="16" t="n">
        <v>324</v>
      </c>
      <c r="E45" s="16" t="n">
        <v>48</v>
      </c>
      <c r="F45" s="16" t="n">
        <v>0.079861</v>
      </c>
      <c r="G45" s="16" t="n">
        <v>0.5684399999999999</v>
      </c>
      <c r="H45" s="16" t="n">
        <v>0.07484300000000001</v>
      </c>
      <c r="I45" s="16" t="n">
        <v>0.1874</v>
      </c>
      <c r="J45" s="16" t="n">
        <v>969.39</v>
      </c>
      <c r="K45" s="16" t="n">
        <v>3754.2</v>
      </c>
    </row>
    <row r="46">
      <c r="A46" s="16" t="inlineStr">
        <is>
          <t>cumple_O2</t>
        </is>
      </c>
      <c r="B46" s="16" t="inlineStr">
        <is>
          <t>rP</t>
        </is>
      </c>
      <c r="C46" s="16" t="n">
        <v>128</v>
      </c>
      <c r="D46" s="16" t="n">
        <v>324</v>
      </c>
      <c r="E46" s="16" t="n">
        <v>48</v>
      </c>
      <c r="F46" s="16" t="n">
        <v>0.33247</v>
      </c>
      <c r="G46" s="16" t="n">
        <v>1.6418e-09</v>
      </c>
      <c r="H46" s="16" t="n">
        <v>0.27235</v>
      </c>
      <c r="I46" s="16" t="n">
        <v>0.43345</v>
      </c>
      <c r="J46" s="16" t="n">
        <v>1.6924</v>
      </c>
      <c r="K46" s="16" t="n">
        <v>6.104</v>
      </c>
    </row>
    <row r="47">
      <c r="A47" s="16" t="inlineStr">
        <is>
          <t>cumple_O2</t>
        </is>
      </c>
      <c r="B47" s="16" t="inlineStr">
        <is>
          <t>dT_fs</t>
        </is>
      </c>
      <c r="C47" s="16" t="n">
        <v>128</v>
      </c>
      <c r="D47" s="16" t="n">
        <v>324</v>
      </c>
      <c r="E47" s="16" t="n">
        <v>48</v>
      </c>
      <c r="F47" s="16" t="n">
        <v>0.26871</v>
      </c>
      <c r="G47" s="16" t="n">
        <v>2.4586e-06</v>
      </c>
      <c r="H47" s="16" t="n">
        <v>0.19346</v>
      </c>
      <c r="I47" s="16" t="n">
        <v>0.36519</v>
      </c>
      <c r="J47" s="16" t="n">
        <v>91.67</v>
      </c>
      <c r="K47" s="16" t="n">
        <v>199.33</v>
      </c>
    </row>
    <row r="48">
      <c r="A48" s="16" t="inlineStr">
        <is>
          <t>cumple_O1</t>
        </is>
      </c>
      <c r="B48" s="16" t="inlineStr">
        <is>
          <t>T_fuente</t>
        </is>
      </c>
      <c r="C48" s="16" t="n">
        <v>431</v>
      </c>
      <c r="D48" s="16" t="n">
        <v>21</v>
      </c>
      <c r="E48" s="16" t="n">
        <v>48</v>
      </c>
      <c r="F48" s="16" t="n">
        <v>0.46625</v>
      </c>
      <c r="G48" s="16" t="n">
        <v>0.00016561</v>
      </c>
      <c r="H48" s="16" t="n">
        <v>0.32803</v>
      </c>
      <c r="I48" s="16" t="n">
        <v>0.595</v>
      </c>
      <c r="J48" s="16" t="n">
        <v>387.26</v>
      </c>
      <c r="K48" s="16" t="n">
        <v>493.49</v>
      </c>
    </row>
    <row r="49">
      <c r="A49" s="16" t="inlineStr">
        <is>
          <t>cumple_O1</t>
        </is>
      </c>
      <c r="B49" s="16" t="inlineStr">
        <is>
          <t>T_sumidero</t>
        </is>
      </c>
      <c r="C49" s="16" t="n">
        <v>431</v>
      </c>
      <c r="D49" s="16" t="n">
        <v>21</v>
      </c>
      <c r="E49" s="16" t="n">
        <v>48</v>
      </c>
      <c r="F49" s="16" t="n">
        <v>0.34206</v>
      </c>
      <c r="G49" s="16" t="n">
        <v>0.013446</v>
      </c>
      <c r="H49" s="16" t="n">
        <v>0.21666</v>
      </c>
      <c r="I49" s="16" t="n">
        <v>0.51622</v>
      </c>
      <c r="J49" s="16" t="n">
        <v>279.49</v>
      </c>
      <c r="K49" s="16" t="n">
        <v>302.32</v>
      </c>
    </row>
    <row r="50">
      <c r="A50" s="16" t="inlineStr">
        <is>
          <t>cumple_O1</t>
        </is>
      </c>
      <c r="B50" s="16" t="inlineStr">
        <is>
          <t>P_alta</t>
        </is>
      </c>
      <c r="C50" s="16" t="n">
        <v>431</v>
      </c>
      <c r="D50" s="16" t="n">
        <v>21</v>
      </c>
      <c r="E50" s="16" t="n">
        <v>48</v>
      </c>
      <c r="F50" s="16" t="n">
        <v>0.48448</v>
      </c>
      <c r="G50" s="16" t="n">
        <v>7.744100000000001e-05</v>
      </c>
      <c r="H50" s="16" t="n">
        <v>0.37197</v>
      </c>
      <c r="I50" s="16" t="n">
        <v>0.68558</v>
      </c>
      <c r="J50" s="16" t="n">
        <v>2141.8</v>
      </c>
      <c r="K50" s="16" t="n">
        <v>4806.7</v>
      </c>
    </row>
    <row r="51">
      <c r="A51" s="16" t="inlineStr">
        <is>
          <t>cumple_O1</t>
        </is>
      </c>
      <c r="B51" s="16" t="inlineStr">
        <is>
          <t>P_baja</t>
        </is>
      </c>
      <c r="C51" s="16" t="n">
        <v>431</v>
      </c>
      <c r="D51" s="16" t="n">
        <v>21</v>
      </c>
      <c r="E51" s="16" t="n">
        <v>48</v>
      </c>
      <c r="F51" s="16" t="n">
        <v>0.69484</v>
      </c>
      <c r="G51" s="16" t="n">
        <v>4.1442e-10</v>
      </c>
      <c r="H51" s="16" t="n">
        <v>0.64269</v>
      </c>
      <c r="I51" s="16" t="n">
        <v>0.80513</v>
      </c>
      <c r="J51" s="16" t="n">
        <v>364.49</v>
      </c>
      <c r="K51" s="16" t="n">
        <v>1447.3</v>
      </c>
    </row>
    <row r="52">
      <c r="A52" s="16" t="inlineStr">
        <is>
          <t>cumple_O1</t>
        </is>
      </c>
      <c r="B52" s="16" t="inlineStr">
        <is>
          <t>x_b</t>
        </is>
      </c>
      <c r="C52" s="16" t="n">
        <v>431</v>
      </c>
      <c r="D52" s="16" t="n">
        <v>21</v>
      </c>
      <c r="E52" s="16" t="n">
        <v>48</v>
      </c>
      <c r="F52" s="16" t="n">
        <v>0.34538</v>
      </c>
      <c r="G52" s="16" t="n">
        <v>0.012295</v>
      </c>
      <c r="H52" s="16" t="n">
        <v>0.19887</v>
      </c>
      <c r="I52" s="16" t="n">
        <v>0.56369</v>
      </c>
      <c r="J52" s="16" t="n">
        <v>0.52565</v>
      </c>
      <c r="K52" s="16" t="n">
        <v>0.82986</v>
      </c>
    </row>
    <row r="53">
      <c r="A53" s="16" t="inlineStr">
        <is>
          <t>cumple_O1</t>
        </is>
      </c>
      <c r="B53" s="16" t="inlineStr">
        <is>
          <t>η_t</t>
        </is>
      </c>
      <c r="C53" s="16" t="n">
        <v>431</v>
      </c>
      <c r="D53" s="16" t="n">
        <v>21</v>
      </c>
      <c r="E53" s="16" t="n">
        <v>48</v>
      </c>
      <c r="F53" s="16" t="n">
        <v>0.37797</v>
      </c>
      <c r="G53" s="16" t="n">
        <v>0.0044337</v>
      </c>
      <c r="H53" s="16" t="n">
        <v>0.24129</v>
      </c>
      <c r="I53" s="16" t="n">
        <v>0.5648</v>
      </c>
      <c r="J53" s="16" t="n">
        <v>0.75854</v>
      </c>
      <c r="K53" s="16" t="n">
        <v>0.90928</v>
      </c>
    </row>
    <row r="54">
      <c r="A54" s="16" t="inlineStr">
        <is>
          <t>cumple_O1</t>
        </is>
      </c>
      <c r="B54" s="16" t="inlineStr">
        <is>
          <t>η_p</t>
        </is>
      </c>
      <c r="C54" s="16" t="n">
        <v>431</v>
      </c>
      <c r="D54" s="16" t="n">
        <v>21</v>
      </c>
      <c r="E54" s="16" t="n">
        <v>48</v>
      </c>
      <c r="F54" s="16" t="n">
        <v>0.14242</v>
      </c>
      <c r="G54" s="16" t="n">
        <v>0.7573800000000001</v>
      </c>
      <c r="H54" s="16" t="n">
        <v>0.13729</v>
      </c>
      <c r="I54" s="16" t="n">
        <v>0.36725</v>
      </c>
      <c r="J54" s="16" t="n">
        <v>0.66352</v>
      </c>
      <c r="K54" s="16" t="n">
        <v>0.88731</v>
      </c>
    </row>
    <row r="55">
      <c r="A55" s="16" t="inlineStr">
        <is>
          <t>cumple_O1</t>
        </is>
      </c>
      <c r="B55" s="16" t="inlineStr">
        <is>
          <t>ε_HRVG</t>
        </is>
      </c>
      <c r="C55" s="16" t="n">
        <v>431</v>
      </c>
      <c r="D55" s="16" t="n">
        <v>21</v>
      </c>
      <c r="E55" s="16" t="n">
        <v>48</v>
      </c>
      <c r="F55" s="16" t="n">
        <v>0.13203</v>
      </c>
      <c r="G55" s="16" t="n">
        <v>0.8297</v>
      </c>
      <c r="H55" s="16" t="n">
        <v>0.13034</v>
      </c>
      <c r="I55" s="16" t="n">
        <v>0.34884</v>
      </c>
      <c r="J55" s="16" t="n">
        <v>0.61839</v>
      </c>
      <c r="K55" s="16" t="n">
        <v>0.9313900000000001</v>
      </c>
    </row>
    <row r="56">
      <c r="A56" s="16" t="inlineStr">
        <is>
          <t>cumple_O1</t>
        </is>
      </c>
      <c r="B56" s="16" t="inlineStr">
        <is>
          <t>ε_reg</t>
        </is>
      </c>
      <c r="C56" s="16" t="n">
        <v>431</v>
      </c>
      <c r="D56" s="16" t="n">
        <v>21</v>
      </c>
      <c r="E56" s="16" t="n">
        <v>48</v>
      </c>
      <c r="F56" s="16" t="n">
        <v>0.14827</v>
      </c>
      <c r="G56" s="16" t="n">
        <v>0.71423</v>
      </c>
      <c r="H56" s="16" t="n">
        <v>0.12893</v>
      </c>
      <c r="I56" s="16" t="n">
        <v>0.34184</v>
      </c>
      <c r="J56" s="16" t="n">
        <v>0.6160099999999999</v>
      </c>
      <c r="K56" s="16" t="n">
        <v>0.93074</v>
      </c>
    </row>
    <row r="57">
      <c r="A57" s="16" t="inlineStr">
        <is>
          <t>cumple_O1</t>
        </is>
      </c>
      <c r="B57" s="16" t="inlineStr">
        <is>
          <t>ε_cond</t>
        </is>
      </c>
      <c r="C57" s="16" t="n">
        <v>431</v>
      </c>
      <c r="D57" s="16" t="n">
        <v>21</v>
      </c>
      <c r="E57" s="16" t="n">
        <v>48</v>
      </c>
      <c r="F57" s="16" t="n">
        <v>0.11557</v>
      </c>
      <c r="G57" s="16" t="n">
        <v>0.92264</v>
      </c>
      <c r="H57" s="16" t="n">
        <v>0.12958</v>
      </c>
      <c r="I57" s="16" t="n">
        <v>0.36153</v>
      </c>
      <c r="J57" s="16" t="n">
        <v>0.71157</v>
      </c>
      <c r="K57" s="16" t="n">
        <v>0.9376100000000001</v>
      </c>
    </row>
    <row r="58">
      <c r="A58" s="16" t="inlineStr">
        <is>
          <t>cumple_O1</t>
        </is>
      </c>
      <c r="B58" s="16" t="inlineStr">
        <is>
          <t>dP</t>
        </is>
      </c>
      <c r="C58" s="16" t="n">
        <v>431</v>
      </c>
      <c r="D58" s="16" t="n">
        <v>21</v>
      </c>
      <c r="E58" s="16" t="n">
        <v>48</v>
      </c>
      <c r="F58" s="16" t="n">
        <v>0.63098</v>
      </c>
      <c r="G58" s="16" t="n">
        <v>3.3181e-08</v>
      </c>
      <c r="H58" s="16" t="n">
        <v>0.5344100000000001</v>
      </c>
      <c r="I58" s="16" t="n">
        <v>0.79928</v>
      </c>
      <c r="J58" s="16" t="n">
        <v>1021.8</v>
      </c>
      <c r="K58" s="16" t="n">
        <v>3842.7</v>
      </c>
    </row>
    <row r="59">
      <c r="A59" s="16" t="inlineStr">
        <is>
          <t>cumple_O1</t>
        </is>
      </c>
      <c r="B59" s="16" t="inlineStr">
        <is>
          <t>rP</t>
        </is>
      </c>
      <c r="C59" s="16" t="n">
        <v>431</v>
      </c>
      <c r="D59" s="16" t="n">
        <v>21</v>
      </c>
      <c r="E59" s="16" t="n">
        <v>48</v>
      </c>
      <c r="F59" s="16" t="n">
        <v>0.84687</v>
      </c>
      <c r="G59" s="16" t="n">
        <v>2.4651e-16</v>
      </c>
      <c r="H59" s="16" t="n">
        <v>0.8143899999999999</v>
      </c>
      <c r="I59" s="16" t="n">
        <v>0.88863</v>
      </c>
      <c r="J59" s="16" t="n">
        <v>1.8313</v>
      </c>
      <c r="K59" s="16" t="n">
        <v>8.7875</v>
      </c>
    </row>
    <row r="60">
      <c r="A60" s="16" t="inlineStr">
        <is>
          <t>cumple_O1</t>
        </is>
      </c>
      <c r="B60" s="16" t="inlineStr">
        <is>
          <t>dT_fs</t>
        </is>
      </c>
      <c r="C60" s="16" t="n">
        <v>431</v>
      </c>
      <c r="D60" s="16" t="n">
        <v>21</v>
      </c>
      <c r="E60" s="16" t="n">
        <v>48</v>
      </c>
      <c r="F60" s="16" t="n">
        <v>0.4152</v>
      </c>
      <c r="G60" s="16" t="n">
        <v>0.0012161</v>
      </c>
      <c r="H60" s="16" t="n">
        <v>0.28275</v>
      </c>
      <c r="I60" s="16" t="n">
        <v>0.55555</v>
      </c>
      <c r="J60" s="16" t="n">
        <v>95.039</v>
      </c>
      <c r="K60" s="16" t="n">
        <v>204.88</v>
      </c>
    </row>
    <row r="62">
      <c r="A62" s="23" t="inlineStr">
        <is>
          <t>Notas: Filtro: todos los puntos de la caja estudio 3.2. n = 52 filas en la tabla. † = fuera del rango confiable (IAPWS G4-01); ‡ = falso convergido. Fuente: resultados/2026-10-07_final_M4b/m4b_rsa.csv.</t>
        </is>
      </c>
    </row>
  </sheetData>
  <autoFilter ref="A8:K60"/>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10" customWidth="1" min="1" max="1"/>
    <col width="12" customWidth="1" min="2" max="2"/>
    <col width="10" customWidth="1" min="3" max="3"/>
    <col width="12" customWidth="1" min="4" max="4"/>
    <col width="14" customWidth="1" min="5" max="5"/>
    <col width="13" customWidth="1" min="6" max="6"/>
    <col width="13" customWidth="1" min="7" max="7"/>
    <col width="13" customWidth="1" min="8" max="8"/>
  </cols>
  <sheetData>
    <row r="1">
      <c r="A1" s="19" t="inlineStr">
        <is>
          <t>Tabla 3.2-4 · Influencia de cada variable sobre η (PRCC)</t>
        </is>
      </c>
    </row>
    <row r="2">
      <c r="A2" s="20" t="inlineStr">
        <is>
          <t>Estudio 3.2 · Sensibilidad global (500 puntos)</t>
        </is>
      </c>
    </row>
    <row r="3">
      <c r="A3" s="20" t="inlineStr">
        <is>
          <t>Punto base: caja estudio 3.2 = las 10 variables barridas dentro de su caja (ver Tabla 3.2-1)</t>
        </is>
      </c>
    </row>
    <row r="4">
      <c r="A4" s="21" t="inlineStr">
        <is>
          <t>Datos fijos: m_b = 1 kg/s; motor de propiedades = teqp.</t>
        </is>
      </c>
    </row>
    <row r="5">
      <c r="A5" s="21"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6">
      <c r="A6" s="20" t="inlineStr">
        <is>
          <t>Fuente: resultados/2026-10-07_final_M4b/m4b_prcc.csv</t>
        </is>
      </c>
    </row>
    <row r="8">
      <c r="A8" s="22" t="inlineStr">
        <is>
          <t>Salida</t>
        </is>
      </c>
      <c r="B8" s="22" t="inlineStr">
        <is>
          <t>Variable</t>
        </is>
      </c>
      <c r="C8" s="22" t="inlineStr">
        <is>
          <t>N</t>
        </is>
      </c>
      <c r="D8" s="22" t="inlineStr">
        <is>
          <t>PRCC</t>
        </is>
      </c>
      <c r="E8" s="22" t="inlineStr">
        <is>
          <t>t de Student</t>
        </is>
      </c>
      <c r="F8" s="22" t="inlineStr">
        <is>
          <t>Valor p</t>
        </is>
      </c>
      <c r="G8" s="22" t="inlineStr">
        <is>
          <t>IC inferior</t>
        </is>
      </c>
      <c r="H8" s="22" t="inlineStr">
        <is>
          <t>IC superior</t>
        </is>
      </c>
    </row>
    <row r="9">
      <c r="A9" s="16" t="inlineStr">
        <is>
          <t>eta</t>
        </is>
      </c>
      <c r="B9" s="16" t="inlineStr">
        <is>
          <t>T_fuente</t>
        </is>
      </c>
      <c r="C9" s="16" t="n">
        <v>430</v>
      </c>
      <c r="D9" s="16" t="n">
        <v>0.29135</v>
      </c>
      <c r="E9" s="16" t="n">
        <v>6.2343</v>
      </c>
      <c r="F9" s="16" t="n">
        <v>1.1082e-09</v>
      </c>
      <c r="G9" s="16" t="n">
        <v>0.19949</v>
      </c>
      <c r="H9" s="16" t="n">
        <v>0.38322</v>
      </c>
    </row>
    <row r="10">
      <c r="A10" s="16" t="inlineStr">
        <is>
          <t>eta</t>
        </is>
      </c>
      <c r="B10" s="16" t="inlineStr">
        <is>
          <t>T_sumidero</t>
        </is>
      </c>
      <c r="C10" s="16" t="n">
        <v>430</v>
      </c>
      <c r="D10" s="16" t="n">
        <v>-0.041382</v>
      </c>
      <c r="E10" s="16" t="n">
        <v>-0.84779</v>
      </c>
      <c r="F10" s="16" t="n">
        <v>0.39704</v>
      </c>
      <c r="G10" s="16" t="n">
        <v>-0.13733</v>
      </c>
      <c r="H10" s="16" t="n">
        <v>0.054564</v>
      </c>
    </row>
    <row r="11">
      <c r="A11" s="16" t="inlineStr">
        <is>
          <t>eta</t>
        </is>
      </c>
      <c r="B11" s="16" t="inlineStr">
        <is>
          <t>P_alta</t>
        </is>
      </c>
      <c r="C11" s="16" t="n">
        <v>430</v>
      </c>
      <c r="D11" s="16" t="n">
        <v>0.58316</v>
      </c>
      <c r="E11" s="16" t="n">
        <v>14.694</v>
      </c>
      <c r="F11" s="16" t="n">
        <v>1.0177e-39</v>
      </c>
      <c r="G11" s="16" t="n">
        <v>0.50515</v>
      </c>
      <c r="H11" s="16" t="n">
        <v>0.66116</v>
      </c>
    </row>
    <row r="12">
      <c r="A12" s="16" t="inlineStr">
        <is>
          <t>eta</t>
        </is>
      </c>
      <c r="B12" s="16" t="inlineStr">
        <is>
          <t>P_baja</t>
        </is>
      </c>
      <c r="C12" s="16" t="n">
        <v>430</v>
      </c>
      <c r="D12" s="16" t="n">
        <v>-0.68066</v>
      </c>
      <c r="E12" s="16" t="n">
        <v>-19.018</v>
      </c>
      <c r="F12" s="16" t="n">
        <v>1.3638e-58</v>
      </c>
      <c r="G12" s="16" t="n">
        <v>-0.75101</v>
      </c>
      <c r="H12" s="16" t="n">
        <v>-0.61031</v>
      </c>
    </row>
    <row r="13">
      <c r="A13" s="16" t="inlineStr">
        <is>
          <t>eta</t>
        </is>
      </c>
      <c r="B13" s="16" t="inlineStr">
        <is>
          <t>x_b</t>
        </is>
      </c>
      <c r="C13" s="16" t="n">
        <v>430</v>
      </c>
      <c r="D13" s="16" t="n">
        <v>0.23598</v>
      </c>
      <c r="E13" s="16" t="n">
        <v>4.9707</v>
      </c>
      <c r="F13" s="16" t="n">
        <v>9.7431e-07</v>
      </c>
      <c r="G13" s="16" t="n">
        <v>0.14266</v>
      </c>
      <c r="H13" s="16" t="n">
        <v>0.32929</v>
      </c>
    </row>
    <row r="14">
      <c r="A14" s="16" t="inlineStr">
        <is>
          <t>eta</t>
        </is>
      </c>
      <c r="B14" s="16" t="inlineStr">
        <is>
          <t>η_t</t>
        </is>
      </c>
      <c r="C14" s="16" t="n">
        <v>430</v>
      </c>
      <c r="D14" s="16" t="n">
        <v>0.37516</v>
      </c>
      <c r="E14" s="16" t="n">
        <v>8.2844</v>
      </c>
      <c r="F14" s="16" t="n">
        <v>1.6174e-15</v>
      </c>
      <c r="G14" s="16" t="n">
        <v>0.28615</v>
      </c>
      <c r="H14" s="16" t="n">
        <v>0.46417</v>
      </c>
    </row>
    <row r="15">
      <c r="A15" s="16" t="inlineStr">
        <is>
          <t>eta</t>
        </is>
      </c>
      <c r="B15" s="16" t="inlineStr">
        <is>
          <t>η_p</t>
        </is>
      </c>
      <c r="C15" s="16" t="n">
        <v>430</v>
      </c>
      <c r="D15" s="16" t="n">
        <v>0.0095669</v>
      </c>
      <c r="E15" s="16" t="n">
        <v>0.19584</v>
      </c>
      <c r="F15" s="16" t="n">
        <v>0.84483</v>
      </c>
      <c r="G15" s="16" t="n">
        <v>-0.08645700000000001</v>
      </c>
      <c r="H15" s="16" t="n">
        <v>0.10559</v>
      </c>
    </row>
    <row r="16">
      <c r="A16" s="16" t="inlineStr">
        <is>
          <t>eta</t>
        </is>
      </c>
      <c r="B16" s="16" t="inlineStr">
        <is>
          <t>ε_HRVG</t>
        </is>
      </c>
      <c r="C16" s="16" t="n">
        <v>430</v>
      </c>
      <c r="D16" s="16" t="n">
        <v>0.0082153</v>
      </c>
      <c r="E16" s="16" t="n">
        <v>0.16817</v>
      </c>
      <c r="F16" s="16" t="n">
        <v>0.86653</v>
      </c>
      <c r="G16" s="16" t="n">
        <v>-0.087809</v>
      </c>
      <c r="H16" s="16" t="n">
        <v>0.10424</v>
      </c>
    </row>
    <row r="17">
      <c r="A17" s="16" t="inlineStr">
        <is>
          <t>eta</t>
        </is>
      </c>
      <c r="B17" s="16" t="inlineStr">
        <is>
          <t>ε_reg</t>
        </is>
      </c>
      <c r="C17" s="16" t="n">
        <v>430</v>
      </c>
      <c r="D17" s="16" t="n">
        <v>0.26656</v>
      </c>
      <c r="E17" s="16" t="n">
        <v>5.6612</v>
      </c>
      <c r="F17" s="16" t="n">
        <v>2.7927e-08</v>
      </c>
      <c r="G17" s="16" t="n">
        <v>0.17401</v>
      </c>
      <c r="H17" s="16" t="n">
        <v>0.35912</v>
      </c>
    </row>
    <row r="18">
      <c r="A18" s="16" t="inlineStr">
        <is>
          <t>eta</t>
        </is>
      </c>
      <c r="B18" s="16" t="inlineStr">
        <is>
          <t>ε_cond</t>
        </is>
      </c>
      <c r="C18" s="16" t="n">
        <v>430</v>
      </c>
      <c r="D18" s="16" t="n">
        <v>0.08314199999999999</v>
      </c>
      <c r="E18" s="16" t="n">
        <v>1.7078</v>
      </c>
      <c r="F18" s="16" t="n">
        <v>0.088418</v>
      </c>
      <c r="G18" s="16" t="n">
        <v>-0.012554</v>
      </c>
      <c r="H18" s="16" t="n">
        <v>0.17884</v>
      </c>
    </row>
    <row r="19">
      <c r="A19" s="16" t="inlineStr">
        <is>
          <t>m_O1</t>
        </is>
      </c>
      <c r="B19" s="16" t="inlineStr">
        <is>
          <t>T_fuente</t>
        </is>
      </c>
      <c r="C19" s="16" t="n">
        <v>452</v>
      </c>
      <c r="D19" s="16" t="n">
        <v>-0.77969</v>
      </c>
      <c r="E19" s="16" t="n">
        <v>-26.148</v>
      </c>
      <c r="F19" s="16" t="n">
        <v>1.0685e-91</v>
      </c>
      <c r="G19" s="16" t="n">
        <v>-0.83829</v>
      </c>
      <c r="H19" s="16" t="n">
        <v>-0.7210800000000001</v>
      </c>
    </row>
    <row r="20">
      <c r="A20" s="16" t="inlineStr">
        <is>
          <t>m_O1</t>
        </is>
      </c>
      <c r="B20" s="16" t="inlineStr">
        <is>
          <t>T_sumidero</t>
        </is>
      </c>
      <c r="C20" s="16" t="n">
        <v>452</v>
      </c>
      <c r="D20" s="16" t="n">
        <v>-0.12953</v>
      </c>
      <c r="E20" s="16" t="n">
        <v>-2.7433</v>
      </c>
      <c r="F20" s="16" t="n">
        <v>0.0063309</v>
      </c>
      <c r="G20" s="16" t="n">
        <v>-0.22233</v>
      </c>
      <c r="H20" s="16" t="n">
        <v>-0.036732</v>
      </c>
    </row>
    <row r="21">
      <c r="A21" s="16" t="inlineStr">
        <is>
          <t>m_O1</t>
        </is>
      </c>
      <c r="B21" s="16" t="inlineStr">
        <is>
          <t>P_alta</t>
        </is>
      </c>
      <c r="C21" s="16" t="n">
        <v>452</v>
      </c>
      <c r="D21" s="16" t="n">
        <v>-0.89656</v>
      </c>
      <c r="E21" s="16" t="n">
        <v>-42.509</v>
      </c>
      <c r="F21" s="16" t="n">
        <v>4.5102e-158</v>
      </c>
      <c r="G21" s="16" t="n">
        <v>-0.93802</v>
      </c>
      <c r="H21" s="16" t="n">
        <v>-0.85511</v>
      </c>
    </row>
    <row r="22">
      <c r="A22" s="16" t="inlineStr">
        <is>
          <t>m_O1</t>
        </is>
      </c>
      <c r="B22" s="16" t="inlineStr">
        <is>
          <t>P_baja</t>
        </is>
      </c>
      <c r="C22" s="16" t="n">
        <v>452</v>
      </c>
      <c r="D22" s="16" t="n">
        <v>0.92147</v>
      </c>
      <c r="E22" s="16" t="n">
        <v>49.815</v>
      </c>
      <c r="F22" s="16" t="n">
        <v>3.2667e-183</v>
      </c>
      <c r="G22" s="16" t="n">
        <v>0.88511</v>
      </c>
      <c r="H22" s="16" t="n">
        <v>0.95782</v>
      </c>
    </row>
    <row r="23">
      <c r="A23" s="16" t="inlineStr">
        <is>
          <t>m_O1</t>
        </is>
      </c>
      <c r="B23" s="16" t="inlineStr">
        <is>
          <t>x_b</t>
        </is>
      </c>
      <c r="C23" s="16" t="n">
        <v>452</v>
      </c>
      <c r="D23" s="16" t="n">
        <v>0.17117</v>
      </c>
      <c r="E23" s="16" t="n">
        <v>3.6483</v>
      </c>
      <c r="F23" s="16" t="n">
        <v>0.00029551</v>
      </c>
      <c r="G23" s="16" t="n">
        <v>0.078959</v>
      </c>
      <c r="H23" s="16" t="n">
        <v>0.26337</v>
      </c>
    </row>
    <row r="24">
      <c r="A24" s="16" t="inlineStr">
        <is>
          <t>m_O1</t>
        </is>
      </c>
      <c r="B24" s="16" t="inlineStr">
        <is>
          <t>η_t</t>
        </is>
      </c>
      <c r="C24" s="16" t="n">
        <v>452</v>
      </c>
      <c r="D24" s="16" t="n">
        <v>-0.58207</v>
      </c>
      <c r="E24" s="16" t="n">
        <v>-15.032</v>
      </c>
      <c r="F24" s="16" t="n">
        <v>1.5681e-41</v>
      </c>
      <c r="G24" s="16" t="n">
        <v>-0.65817</v>
      </c>
      <c r="H24" s="16" t="n">
        <v>-0.50597</v>
      </c>
    </row>
    <row r="25">
      <c r="A25" s="16" t="inlineStr">
        <is>
          <t>m_O1</t>
        </is>
      </c>
      <c r="B25" s="16" t="inlineStr">
        <is>
          <t>η_p</t>
        </is>
      </c>
      <c r="C25" s="16" t="n">
        <v>452</v>
      </c>
      <c r="D25" s="16" t="n">
        <v>-0.003038</v>
      </c>
      <c r="E25" s="16" t="n">
        <v>-0.06379799999999999</v>
      </c>
      <c r="F25" s="16" t="n">
        <v>0.94916</v>
      </c>
      <c r="G25" s="16" t="n">
        <v>-0.096626</v>
      </c>
      <c r="H25" s="16" t="n">
        <v>0.09055000000000001</v>
      </c>
    </row>
    <row r="26">
      <c r="A26" s="16" t="inlineStr">
        <is>
          <t>m_O1</t>
        </is>
      </c>
      <c r="B26" s="16" t="inlineStr">
        <is>
          <t>ε_HRVG</t>
        </is>
      </c>
      <c r="C26" s="16" t="n">
        <v>452</v>
      </c>
      <c r="D26" s="16" t="n">
        <v>-0.32645</v>
      </c>
      <c r="E26" s="16" t="n">
        <v>-7.2528</v>
      </c>
      <c r="F26" s="16" t="n">
        <v>1.8475e-12</v>
      </c>
      <c r="G26" s="16" t="n">
        <v>-0.41491</v>
      </c>
      <c r="H26" s="16" t="n">
        <v>-0.23799</v>
      </c>
    </row>
    <row r="27">
      <c r="A27" s="16" t="inlineStr">
        <is>
          <t>m_O1</t>
        </is>
      </c>
      <c r="B27" s="16" t="inlineStr">
        <is>
          <t>ε_reg</t>
        </is>
      </c>
      <c r="C27" s="16" t="n">
        <v>452</v>
      </c>
      <c r="D27" s="16" t="n">
        <v>-0.17151</v>
      </c>
      <c r="E27" s="16" t="n">
        <v>-3.6558</v>
      </c>
      <c r="F27" s="16" t="n">
        <v>0.00028727</v>
      </c>
      <c r="G27" s="16" t="n">
        <v>-0.26371</v>
      </c>
      <c r="H27" s="16" t="n">
        <v>-0.079305</v>
      </c>
    </row>
    <row r="28">
      <c r="A28" s="16" t="inlineStr">
        <is>
          <t>m_O1</t>
        </is>
      </c>
      <c r="B28" s="16" t="inlineStr">
        <is>
          <t>ε_cond</t>
        </is>
      </c>
      <c r="C28" s="16" t="n">
        <v>452</v>
      </c>
      <c r="D28" s="16" t="n">
        <v>0.060384</v>
      </c>
      <c r="E28" s="16" t="n">
        <v>1.2704</v>
      </c>
      <c r="F28" s="16" t="n">
        <v>0.20462</v>
      </c>
      <c r="G28" s="16" t="n">
        <v>-0.033033</v>
      </c>
      <c r="H28" s="16" t="n">
        <v>0.1538</v>
      </c>
    </row>
    <row r="29">
      <c r="A29" s="16" t="inlineStr">
        <is>
          <t>m_O2</t>
        </is>
      </c>
      <c r="B29" s="16" t="inlineStr">
        <is>
          <t>T_fuente</t>
        </is>
      </c>
      <c r="C29" s="16" t="n">
        <v>452</v>
      </c>
      <c r="D29" s="16" t="n">
        <v>-0.6796</v>
      </c>
      <c r="E29" s="16" t="n">
        <v>-19.455</v>
      </c>
      <c r="F29" s="16" t="n">
        <v>2.5605e-61</v>
      </c>
      <c r="G29" s="16" t="n">
        <v>-0.74826</v>
      </c>
      <c r="H29" s="16" t="n">
        <v>-0.61095</v>
      </c>
    </row>
    <row r="30">
      <c r="A30" s="16" t="inlineStr">
        <is>
          <t>m_O2</t>
        </is>
      </c>
      <c r="B30" s="16" t="inlineStr">
        <is>
          <t>T_sumidero</t>
        </is>
      </c>
      <c r="C30" s="16" t="n">
        <v>452</v>
      </c>
      <c r="D30" s="16" t="n">
        <v>-0.53676</v>
      </c>
      <c r="E30" s="16" t="n">
        <v>-13.36</v>
      </c>
      <c r="F30" s="16" t="n">
        <v>2.0116e-34</v>
      </c>
      <c r="G30" s="16" t="n">
        <v>-0.61573</v>
      </c>
      <c r="H30" s="16" t="n">
        <v>-0.4578</v>
      </c>
    </row>
    <row r="31">
      <c r="A31" s="16" t="inlineStr">
        <is>
          <t>m_O2</t>
        </is>
      </c>
      <c r="B31" s="16" t="inlineStr">
        <is>
          <t>P_alta</t>
        </is>
      </c>
      <c r="C31" s="16" t="n">
        <v>452</v>
      </c>
      <c r="D31" s="16" t="n">
        <v>0.26308</v>
      </c>
      <c r="E31" s="16" t="n">
        <v>5.7264</v>
      </c>
      <c r="F31" s="16" t="n">
        <v>1.9005e-08</v>
      </c>
      <c r="G31" s="16" t="n">
        <v>0.17279</v>
      </c>
      <c r="H31" s="16" t="n">
        <v>0.35337</v>
      </c>
    </row>
    <row r="32">
      <c r="A32" s="16" t="inlineStr">
        <is>
          <t>m_O2</t>
        </is>
      </c>
      <c r="B32" s="16" t="inlineStr">
        <is>
          <t>P_baja</t>
        </is>
      </c>
      <c r="C32" s="16" t="n">
        <v>452</v>
      </c>
      <c r="D32" s="16" t="n">
        <v>0.75723</v>
      </c>
      <c r="E32" s="16" t="n">
        <v>24.347</v>
      </c>
      <c r="F32" s="16" t="n">
        <v>1.3129e-83</v>
      </c>
      <c r="G32" s="16" t="n">
        <v>0.69611</v>
      </c>
      <c r="H32" s="16" t="n">
        <v>0.81836</v>
      </c>
    </row>
    <row r="33">
      <c r="A33" s="16" t="inlineStr">
        <is>
          <t>m_O2</t>
        </is>
      </c>
      <c r="B33" s="16" t="inlineStr">
        <is>
          <t>x_b</t>
        </is>
      </c>
      <c r="C33" s="16" t="n">
        <v>452</v>
      </c>
      <c r="D33" s="16" t="n">
        <v>-0.47034</v>
      </c>
      <c r="E33" s="16" t="n">
        <v>-11.192</v>
      </c>
      <c r="F33" s="16" t="n">
        <v>9.1387e-26</v>
      </c>
      <c r="G33" s="16" t="n">
        <v>-0.55293</v>
      </c>
      <c r="H33" s="16" t="n">
        <v>-0.38775</v>
      </c>
    </row>
    <row r="34">
      <c r="A34" s="16" t="inlineStr">
        <is>
          <t>m_O2</t>
        </is>
      </c>
      <c r="B34" s="16" t="inlineStr">
        <is>
          <t>η_t</t>
        </is>
      </c>
      <c r="C34" s="16" t="n">
        <v>452</v>
      </c>
      <c r="D34" s="16" t="n">
        <v>-0.0095978</v>
      </c>
      <c r="E34" s="16" t="n">
        <v>-0.20156</v>
      </c>
      <c r="F34" s="16" t="n">
        <v>0.84035</v>
      </c>
      <c r="G34" s="16" t="n">
        <v>-0.10318</v>
      </c>
      <c r="H34" s="16" t="n">
        <v>0.08398600000000001</v>
      </c>
    </row>
    <row r="35">
      <c r="A35" s="16" t="inlineStr">
        <is>
          <t>m_O2</t>
        </is>
      </c>
      <c r="B35" s="16" t="inlineStr">
        <is>
          <t>η_p</t>
        </is>
      </c>
      <c r="C35" s="16" t="n">
        <v>452</v>
      </c>
      <c r="D35" s="16" t="n">
        <v>0.039824</v>
      </c>
      <c r="E35" s="16" t="n">
        <v>0.83697</v>
      </c>
      <c r="F35" s="16" t="n">
        <v>0.40306</v>
      </c>
      <c r="G35" s="16" t="n">
        <v>-0.05369</v>
      </c>
      <c r="H35" s="16" t="n">
        <v>0.13334</v>
      </c>
    </row>
    <row r="36">
      <c r="A36" s="16" t="inlineStr">
        <is>
          <t>m_O2</t>
        </is>
      </c>
      <c r="B36" s="16" t="inlineStr">
        <is>
          <t>ε_HRVG</t>
        </is>
      </c>
      <c r="C36" s="16" t="n">
        <v>452</v>
      </c>
      <c r="D36" s="16" t="n">
        <v>-0.26752</v>
      </c>
      <c r="E36" s="16" t="n">
        <v>-5.8305</v>
      </c>
      <c r="F36" s="16" t="n">
        <v>1.0694e-08</v>
      </c>
      <c r="G36" s="16" t="n">
        <v>-0.3577</v>
      </c>
      <c r="H36" s="16" t="n">
        <v>-0.17734</v>
      </c>
    </row>
    <row r="37">
      <c r="A37" s="16" t="inlineStr">
        <is>
          <t>m_O2</t>
        </is>
      </c>
      <c r="B37" s="16" t="inlineStr">
        <is>
          <t>ε_reg</t>
        </is>
      </c>
      <c r="C37" s="16" t="n">
        <v>452</v>
      </c>
      <c r="D37" s="16" t="n">
        <v>-0.04059</v>
      </c>
      <c r="E37" s="16" t="n">
        <v>-0.8531</v>
      </c>
      <c r="F37" s="16" t="n">
        <v>0.39407</v>
      </c>
      <c r="G37" s="16" t="n">
        <v>-0.1341</v>
      </c>
      <c r="H37" s="16" t="n">
        <v>0.052921</v>
      </c>
    </row>
    <row r="38">
      <c r="A38" s="16" t="inlineStr">
        <is>
          <t>m_O2</t>
        </is>
      </c>
      <c r="B38" s="16" t="inlineStr">
        <is>
          <t>ε_cond</t>
        </is>
      </c>
      <c r="C38" s="16" t="n">
        <v>452</v>
      </c>
      <c r="D38" s="16" t="n">
        <v>0.73217</v>
      </c>
      <c r="E38" s="16" t="n">
        <v>22.574</v>
      </c>
      <c r="F38" s="16" t="n">
        <v>1.464e-75</v>
      </c>
      <c r="G38" s="16" t="n">
        <v>0.66843</v>
      </c>
      <c r="H38" s="16" t="n">
        <v>0.79592</v>
      </c>
    </row>
    <row r="39">
      <c r="A39" s="16" t="inlineStr">
        <is>
          <t>m_O5</t>
        </is>
      </c>
      <c r="B39" s="16" t="inlineStr">
        <is>
          <t>T_fuente</t>
        </is>
      </c>
      <c r="C39" s="16" t="n">
        <v>452</v>
      </c>
      <c r="D39" s="16" t="n">
        <v>-0.37245</v>
      </c>
      <c r="E39" s="16" t="n">
        <v>-8.4278</v>
      </c>
      <c r="F39" s="16" t="n">
        <v>5.0348e-16</v>
      </c>
      <c r="G39" s="16" t="n">
        <v>-0.4593</v>
      </c>
      <c r="H39" s="16" t="n">
        <v>-0.28559</v>
      </c>
    </row>
    <row r="40">
      <c r="A40" s="16" t="inlineStr">
        <is>
          <t>m_O5</t>
        </is>
      </c>
      <c r="B40" s="16" t="inlineStr">
        <is>
          <t>T_sumidero</t>
        </is>
      </c>
      <c r="C40" s="16" t="n">
        <v>452</v>
      </c>
      <c r="D40" s="16" t="n">
        <v>0.026904</v>
      </c>
      <c r="E40" s="16" t="n">
        <v>0.56519</v>
      </c>
      <c r="F40" s="16" t="n">
        <v>0.57223</v>
      </c>
      <c r="G40" s="16" t="n">
        <v>-0.066651</v>
      </c>
      <c r="H40" s="16" t="n">
        <v>0.12046</v>
      </c>
    </row>
    <row r="41">
      <c r="A41" s="16" t="inlineStr">
        <is>
          <t>m_O5</t>
        </is>
      </c>
      <c r="B41" s="16" t="inlineStr">
        <is>
          <t>P_alta</t>
        </is>
      </c>
      <c r="C41" s="16" t="n">
        <v>452</v>
      </c>
      <c r="D41" s="16" t="n">
        <v>0.11056</v>
      </c>
      <c r="E41" s="16" t="n">
        <v>2.3361</v>
      </c>
      <c r="F41" s="16" t="n">
        <v>0.019932</v>
      </c>
      <c r="G41" s="16" t="n">
        <v>0.017547</v>
      </c>
      <c r="H41" s="16" t="n">
        <v>0.20358</v>
      </c>
    </row>
    <row r="42">
      <c r="A42" s="16" t="inlineStr">
        <is>
          <t>m_O5</t>
        </is>
      </c>
      <c r="B42" s="16" t="inlineStr">
        <is>
          <t>P_baja</t>
        </is>
      </c>
      <c r="C42" s="16" t="n">
        <v>452</v>
      </c>
      <c r="D42" s="16" t="n">
        <v>0.055412</v>
      </c>
      <c r="E42" s="16" t="n">
        <v>1.1654</v>
      </c>
      <c r="F42" s="16" t="n">
        <v>0.24447</v>
      </c>
      <c r="G42" s="16" t="n">
        <v>-0.038033</v>
      </c>
      <c r="H42" s="16" t="n">
        <v>0.14886</v>
      </c>
    </row>
    <row r="43">
      <c r="A43" s="16" t="inlineStr">
        <is>
          <t>m_O5</t>
        </is>
      </c>
      <c r="B43" s="16" t="inlineStr">
        <is>
          <t>x_b</t>
        </is>
      </c>
      <c r="C43" s="16" t="n">
        <v>452</v>
      </c>
      <c r="D43" s="16" t="n">
        <v>-0.090199</v>
      </c>
      <c r="E43" s="16" t="n">
        <v>-1.9019</v>
      </c>
      <c r="F43" s="16" t="n">
        <v>0.057832</v>
      </c>
      <c r="G43" s="16" t="n">
        <v>-0.18341</v>
      </c>
      <c r="H43" s="16" t="n">
        <v>0.0030082</v>
      </c>
    </row>
    <row r="44">
      <c r="A44" s="16" t="inlineStr">
        <is>
          <t>m_O5</t>
        </is>
      </c>
      <c r="B44" s="16" t="inlineStr">
        <is>
          <t>η_t</t>
        </is>
      </c>
      <c r="C44" s="16" t="n">
        <v>452</v>
      </c>
      <c r="D44" s="16" t="n">
        <v>0.026195</v>
      </c>
      <c r="E44" s="16" t="n">
        <v>0.55028</v>
      </c>
      <c r="F44" s="16" t="n">
        <v>0.58241</v>
      </c>
      <c r="G44" s="16" t="n">
        <v>-0.067361</v>
      </c>
      <c r="H44" s="16" t="n">
        <v>0.11975</v>
      </c>
    </row>
    <row r="45">
      <c r="A45" s="16" t="inlineStr">
        <is>
          <t>m_O5</t>
        </is>
      </c>
      <c r="B45" s="16" t="inlineStr">
        <is>
          <t>η_p</t>
        </is>
      </c>
      <c r="C45" s="16" t="n">
        <v>452</v>
      </c>
      <c r="D45" s="16" t="n">
        <v>-0.095653</v>
      </c>
      <c r="E45" s="16" t="n">
        <v>-2.018</v>
      </c>
      <c r="F45" s="16" t="n">
        <v>0.044199</v>
      </c>
      <c r="G45" s="16" t="n">
        <v>-0.18881</v>
      </c>
      <c r="H45" s="16" t="n">
        <v>-0.002494</v>
      </c>
    </row>
    <row r="46">
      <c r="A46" s="16" t="inlineStr">
        <is>
          <t>m_O5</t>
        </is>
      </c>
      <c r="B46" s="16" t="inlineStr">
        <is>
          <t>ε_HRVG</t>
        </is>
      </c>
      <c r="C46" s="16" t="n">
        <v>452</v>
      </c>
      <c r="D46" s="16" t="n">
        <v>-0.30967</v>
      </c>
      <c r="E46" s="16" t="n">
        <v>-6.8393</v>
      </c>
      <c r="F46" s="16" t="n">
        <v>2.666e-11</v>
      </c>
      <c r="G46" s="16" t="n">
        <v>-0.39866</v>
      </c>
      <c r="H46" s="16" t="n">
        <v>-0.22068</v>
      </c>
    </row>
    <row r="47">
      <c r="A47" s="16" t="inlineStr">
        <is>
          <t>m_O5</t>
        </is>
      </c>
      <c r="B47" s="16" t="inlineStr">
        <is>
          <t>ε_reg</t>
        </is>
      </c>
      <c r="C47" s="16" t="n">
        <v>452</v>
      </c>
      <c r="D47" s="16" t="n">
        <v>0.12565</v>
      </c>
      <c r="E47" s="16" t="n">
        <v>2.6598</v>
      </c>
      <c r="F47" s="16" t="n">
        <v>0.0081032</v>
      </c>
      <c r="G47" s="16" t="n">
        <v>0.032807</v>
      </c>
      <c r="H47" s="16" t="n">
        <v>0.2185</v>
      </c>
    </row>
    <row r="48">
      <c r="A48" s="16" t="inlineStr">
        <is>
          <t>m_O5</t>
        </is>
      </c>
      <c r="B48" s="16" t="inlineStr">
        <is>
          <t>ε_cond</t>
        </is>
      </c>
      <c r="C48" s="16" t="n">
        <v>452</v>
      </c>
      <c r="D48" s="16" t="n">
        <v>0.030436</v>
      </c>
      <c r="E48" s="16" t="n">
        <v>0.63946</v>
      </c>
      <c r="F48" s="16" t="n">
        <v>0.52286</v>
      </c>
      <c r="G48" s="16" t="n">
        <v>-0.063109</v>
      </c>
      <c r="H48" s="16" t="n">
        <v>0.12398</v>
      </c>
    </row>
    <row r="50">
      <c r="A50" s="23" t="inlineStr">
        <is>
          <t>Notas: Filtro: todos los puntos de la caja estudio 3.2. n = 40 filas en la tabla. † = fuera del rango confiable (IAPWS G4-01); ‡ = falso convergido. Fuente: resultados/2026-10-07_final_M4b/m4b_prcc.csv.</t>
        </is>
      </c>
    </row>
    <row r="53">
      <c r="A53" s="24" t="inlineStr">
        <is>
          <t>Figura 3.2-3 · Influencia de cada variable sobre η (PRCC, 430 puntos)</t>
        </is>
      </c>
    </row>
    <row r="72">
      <c r="A72" s="25" t="inlineStr">
        <is>
          <t>Estudio 3.2. Punto base: Sin punto base: muestreo en la caja de rangos indicada en 'Datos barridos'</t>
        </is>
      </c>
    </row>
    <row r="73">
      <c r="A73" s="25" t="inlineStr">
        <is>
          <t>Datos fijos: m_b = 1 kg/s; motor de propiedades = teqp.</t>
        </is>
      </c>
    </row>
    <row r="74">
      <c r="A74" s="25"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75">
      <c r="A75" s="25" t="inlineStr">
        <is>
          <t>Filtro: m4b_prcc.csv (fila de salida = η).</t>
        </is>
      </c>
    </row>
    <row r="76">
      <c r="A76" s="25" t="inlineStr">
        <is>
          <t>n = 430. Fuente: resultados/2026-10-07_final_M4b/m4b_prcc.csv.</t>
        </is>
      </c>
    </row>
  </sheetData>
  <autoFilter ref="A8:H48"/>
  <pageMargins left="0.75" right="0.75" top="1" bottom="1" header="0.5" footer="0.5"/>
  <drawing xmlns:r="http://schemas.openxmlformats.org/officeDocument/2006/relationships" r:id="rId1"/>
</worksheet>
</file>

<file path=xl/worksheets/sheet43.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0" customWidth="1" min="1" max="1"/>
    <col width="19" customWidth="1" min="2" max="2"/>
    <col width="10" customWidth="1" min="3" max="3"/>
    <col width="10" customWidth="1" min="4" max="4"/>
    <col width="13" customWidth="1" min="5" max="5"/>
    <col width="10" customWidth="1" min="6" max="6"/>
    <col width="14" customWidth="1" min="7" max="7"/>
    <col width="10" customWidth="1" min="8" max="8"/>
    <col width="10" customWidth="1" min="9" max="9"/>
    <col width="12" customWidth="1" min="10" max="10"/>
  </cols>
  <sheetData>
    <row r="1">
      <c r="A1" s="19" t="inlineStr">
        <is>
          <t>Tabla 3.2-5 · Rangos de presión de los KALINA</t>
        </is>
      </c>
    </row>
    <row r="2">
      <c r="A2" s="20" t="inlineStr">
        <is>
          <t>Estudio 3.2 · Sensibilidad global (500 puntos)</t>
        </is>
      </c>
    </row>
    <row r="3">
      <c r="A3" s="20" t="inlineStr">
        <is>
          <t>Punto base: caja estudio 3.2 = las 10 variables barridas dentro de su caja (ver Tabla 3.2-1)</t>
        </is>
      </c>
    </row>
    <row r="4">
      <c r="A4" s="21" t="inlineStr">
        <is>
          <t>Datos fijos: m_b = 1 kg/s; motor de propiedades = teqp.</t>
        </is>
      </c>
    </row>
    <row r="5">
      <c r="A5" s="21"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6">
      <c r="A6" s="20" t="inlineStr">
        <is>
          <t>Fuente: resultados/2026-10-07_final_M4b/m4b_rangos_presiones.csv</t>
        </is>
      </c>
    </row>
    <row r="8">
      <c r="A8" s="22" t="inlineStr">
        <is>
          <t>Variable</t>
        </is>
      </c>
      <c r="B8" s="22" t="inlineStr">
        <is>
          <t>Grupo</t>
        </is>
      </c>
      <c r="C8" s="22" t="inlineStr">
        <is>
          <t>N</t>
        </is>
      </c>
      <c r="D8" s="22" t="inlineStr">
        <is>
          <t>Mínimo</t>
        </is>
      </c>
      <c r="E8" s="22" t="inlineStr">
        <is>
          <t>Percentil 5</t>
        </is>
      </c>
      <c r="F8" s="22" t="inlineStr">
        <is>
          <t>Mediana</t>
        </is>
      </c>
      <c r="G8" s="22" t="inlineStr">
        <is>
          <t>Percentil 95</t>
        </is>
      </c>
      <c r="H8" s="22" t="inlineStr">
        <is>
          <t>Máximo</t>
        </is>
      </c>
      <c r="I8" s="22" t="inlineStr">
        <is>
          <t>KS</t>
        </is>
      </c>
      <c r="J8" s="22" t="inlineStr">
        <is>
          <t>Valor p</t>
        </is>
      </c>
    </row>
    <row r="9">
      <c r="A9" s="16" t="inlineStr">
        <is>
          <t>P_alta</t>
        </is>
      </c>
      <c r="B9" s="42" t="inlineStr">
        <is>
          <t>KALINA</t>
        </is>
      </c>
      <c r="C9" s="16" t="n">
        <v>121</v>
      </c>
      <c r="D9" s="16" t="n">
        <v>2005.4</v>
      </c>
      <c r="E9" s="16" t="n">
        <v>2155.7</v>
      </c>
      <c r="F9" s="16" t="n">
        <v>3571.4</v>
      </c>
      <c r="G9" s="16" t="n">
        <v>4841.8</v>
      </c>
      <c r="H9" s="16" t="n">
        <v>4960.9</v>
      </c>
      <c r="I9" s="16" t="n">
        <v>0.14881</v>
      </c>
      <c r="J9" s="16" t="n">
        <v>0.034817</v>
      </c>
    </row>
    <row r="10">
      <c r="A10" s="16" t="inlineStr">
        <is>
          <t>P_alta</t>
        </is>
      </c>
      <c r="B10" s="16" t="inlineStr">
        <is>
          <t>no_KALINA_genuino</t>
        </is>
      </c>
      <c r="C10" s="16" t="n">
        <v>331</v>
      </c>
      <c r="D10" s="16" t="n">
        <v>2009.9</v>
      </c>
      <c r="E10" s="16" t="n">
        <v>2135.2</v>
      </c>
      <c r="F10" s="16" t="n">
        <v>3365.2</v>
      </c>
      <c r="G10" s="16" t="n">
        <v>4819</v>
      </c>
      <c r="H10" s="16" t="n">
        <v>4991.2</v>
      </c>
      <c r="I10" s="16" t="n">
        <v>0.14881</v>
      </c>
      <c r="J10" s="16" t="n">
        <v>0.034817</v>
      </c>
    </row>
    <row r="11">
      <c r="A11" s="16" t="inlineStr">
        <is>
          <t>P_baja</t>
        </is>
      </c>
      <c r="B11" s="42" t="inlineStr">
        <is>
          <t>KALINA</t>
        </is>
      </c>
      <c r="C11" s="16" t="n">
        <v>121</v>
      </c>
      <c r="D11" s="16" t="n">
        <v>546.97</v>
      </c>
      <c r="E11" s="16" t="n">
        <v>683.17</v>
      </c>
      <c r="F11" s="16" t="n">
        <v>1182.6</v>
      </c>
      <c r="G11" s="16" t="n">
        <v>1460.7</v>
      </c>
      <c r="H11" s="16" t="n">
        <v>1493.2</v>
      </c>
      <c r="I11" s="16" t="n">
        <v>0.43654</v>
      </c>
      <c r="J11" s="16" t="n">
        <v>9.346600000000001e-16</v>
      </c>
    </row>
    <row r="12">
      <c r="A12" s="16" t="inlineStr">
        <is>
          <t>P_baja</t>
        </is>
      </c>
      <c r="B12" s="16" t="inlineStr">
        <is>
          <t>no_KALINA_genuino</t>
        </is>
      </c>
      <c r="C12" s="16" t="n">
        <v>331</v>
      </c>
      <c r="D12" s="16" t="n">
        <v>302.95</v>
      </c>
      <c r="E12" s="16" t="n">
        <v>349.33</v>
      </c>
      <c r="F12" s="16" t="n">
        <v>767.04</v>
      </c>
      <c r="G12" s="16" t="n">
        <v>1416.7</v>
      </c>
      <c r="H12" s="16" t="n">
        <v>1498</v>
      </c>
      <c r="I12" s="16" t="n">
        <v>0.43654</v>
      </c>
      <c r="J12" s="16" t="n">
        <v>9.346600000000001e-16</v>
      </c>
    </row>
    <row r="13">
      <c r="A13" s="16" t="inlineStr">
        <is>
          <t>dP</t>
        </is>
      </c>
      <c r="B13" s="42" t="inlineStr">
        <is>
          <t>KALINA</t>
        </is>
      </c>
      <c r="C13" s="16" t="n">
        <v>121</v>
      </c>
      <c r="D13" s="16" t="n">
        <v>710.24</v>
      </c>
      <c r="E13" s="16" t="n">
        <v>968.03</v>
      </c>
      <c r="F13" s="16" t="n">
        <v>2463.7</v>
      </c>
      <c r="G13" s="16" t="n">
        <v>3717.6</v>
      </c>
      <c r="H13" s="16" t="n">
        <v>4117.1</v>
      </c>
      <c r="I13" s="16" t="n">
        <v>0.10012</v>
      </c>
      <c r="J13" s="16" t="n">
        <v>0.3112</v>
      </c>
    </row>
    <row r="14">
      <c r="A14" s="16" t="inlineStr">
        <is>
          <t>dP</t>
        </is>
      </c>
      <c r="B14" s="16" t="inlineStr">
        <is>
          <t>no_KALINA_genuino</t>
        </is>
      </c>
      <c r="C14" s="16" t="n">
        <v>331</v>
      </c>
      <c r="D14" s="16" t="n">
        <v>654.76</v>
      </c>
      <c r="E14" s="16" t="n">
        <v>1142.7</v>
      </c>
      <c r="F14" s="16" t="n">
        <v>2575.2</v>
      </c>
      <c r="G14" s="16" t="n">
        <v>4089.5</v>
      </c>
      <c r="H14" s="16" t="n">
        <v>4589.5</v>
      </c>
      <c r="I14" s="16" t="n">
        <v>0.10012</v>
      </c>
      <c r="J14" s="16" t="n">
        <v>0.3112</v>
      </c>
    </row>
    <row r="15">
      <c r="A15" s="16" t="inlineStr">
        <is>
          <t>rP</t>
        </is>
      </c>
      <c r="B15" s="42" t="inlineStr">
        <is>
          <t>KALINA</t>
        </is>
      </c>
      <c r="C15" s="16" t="n">
        <v>121</v>
      </c>
      <c r="D15" s="16" t="n">
        <v>1.5484</v>
      </c>
      <c r="E15" s="16" t="n">
        <v>1.6861</v>
      </c>
      <c r="F15" s="16" t="n">
        <v>3.1105</v>
      </c>
      <c r="G15" s="16" t="n">
        <v>5.3394</v>
      </c>
      <c r="H15" s="16" t="n">
        <v>8.376200000000001</v>
      </c>
      <c r="I15" s="16" t="n">
        <v>0.34723</v>
      </c>
      <c r="J15" s="16" t="n">
        <v>5.1709e-10</v>
      </c>
    </row>
    <row r="16">
      <c r="A16" s="16" t="inlineStr">
        <is>
          <t>rP</t>
        </is>
      </c>
      <c r="B16" s="16" t="inlineStr">
        <is>
          <t>no_KALINA_genuino</t>
        </is>
      </c>
      <c r="C16" s="16" t="n">
        <v>331</v>
      </c>
      <c r="D16" s="16" t="n">
        <v>1.4832</v>
      </c>
      <c r="E16" s="16" t="n">
        <v>1.9576</v>
      </c>
      <c r="F16" s="16" t="n">
        <v>4.3103</v>
      </c>
      <c r="G16" s="16" t="n">
        <v>10.08</v>
      </c>
      <c r="H16" s="16" t="n">
        <v>14.433</v>
      </c>
      <c r="I16" s="16" t="n">
        <v>0.34723</v>
      </c>
      <c r="J16" s="16" t="n">
        <v>5.1709e-10</v>
      </c>
    </row>
    <row r="18">
      <c r="A18" s="23" t="inlineStr">
        <is>
          <t>Notas: Filtro: todos los KALINA (121, incluidos los fuera de rango) contra los genuinos no KALINA (331). n = 8 filas en la tabla. † = fuera del rango confiable (IAPWS G4-01); ‡ = falso convergido. Fuente: resultados/2026-10-07_final_M4b/m4b_rangos_presiones.csv.</t>
        </is>
      </c>
    </row>
  </sheetData>
  <autoFilter ref="A8:J16"/>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10" customWidth="1" min="1" max="1"/>
    <col width="10" customWidth="1" min="2" max="2"/>
    <col width="17" customWidth="1" min="3" max="3"/>
    <col width="17" customWidth="1" min="4" max="4"/>
    <col width="10" customWidth="1" min="5" max="5"/>
    <col width="10" customWidth="1" min="6" max="6"/>
    <col width="12" customWidth="1" min="7" max="7"/>
    <col width="21" customWidth="1" min="8" max="8"/>
    <col width="21" customWidth="1" min="9" max="9"/>
    <col width="17" customWidth="1" min="10" max="10"/>
    <col width="17" customWidth="1" min="11" max="11"/>
    <col width="16" customWidth="1" min="12" max="12"/>
    <col width="16" customWidth="1" min="13" max="13"/>
  </cols>
  <sheetData>
    <row r="1">
      <c r="A1" s="19" t="inlineStr">
        <is>
          <t>Tabla 3.2-6 · Ventana KALINA por franjas de P_alta</t>
        </is>
      </c>
    </row>
    <row r="2">
      <c r="A2" s="20" t="inlineStr">
        <is>
          <t>Estudio 3.2 · Sensibilidad global (500 puntos)</t>
        </is>
      </c>
    </row>
    <row r="3">
      <c r="A3" s="20" t="inlineStr">
        <is>
          <t>Punto base: caja estudio 3.2 = las 10 variables barridas dentro de su caja (ver Tabla 3.2-1)</t>
        </is>
      </c>
    </row>
    <row r="4">
      <c r="A4" s="21" t="inlineStr">
        <is>
          <t>Datos fijos: m_b = 1 kg/s; motor de propiedades = teqp.</t>
        </is>
      </c>
    </row>
    <row r="5">
      <c r="A5" s="21"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6">
      <c r="A6" s="20" t="inlineStr">
        <is>
          <t>Fuente: resultados/2026-10-07_final_M4b/m4b_ventana_por_palta.csv</t>
        </is>
      </c>
    </row>
    <row r="8">
      <c r="A8" s="22" t="inlineStr">
        <is>
          <t>Variable</t>
        </is>
      </c>
      <c r="B8" s="22" t="inlineStr">
        <is>
          <t>Franja</t>
        </is>
      </c>
      <c r="C8" s="22" t="inlineStr">
        <is>
          <t>Límite inferior</t>
        </is>
      </c>
      <c r="D8" s="22" t="inlineStr">
        <is>
          <t>Límite superior</t>
        </is>
      </c>
      <c r="E8" s="22" t="inlineStr">
        <is>
          <t>N</t>
        </is>
      </c>
      <c r="F8" s="22" t="inlineStr">
        <is>
          <t>KALINA</t>
        </is>
      </c>
      <c r="G8" s="22" t="inlineStr">
        <is>
          <t>KALINA [%]</t>
        </is>
      </c>
      <c r="H8" s="22" t="inlineStr">
        <is>
          <t>P_baja mínima [kPa]</t>
        </is>
      </c>
      <c r="I8" s="22" t="inlineStr">
        <is>
          <t>P_baja máxima [kPa]</t>
        </is>
      </c>
      <c r="J8" s="22" t="inlineStr">
        <is>
          <t>ΔP mínima [kPa]</t>
        </is>
      </c>
      <c r="K8" s="22" t="inlineStr">
        <is>
          <t>ΔP máxima [kPa]</t>
        </is>
      </c>
      <c r="L8" s="22" t="inlineStr">
        <is>
          <t>r_P mínima [–]</t>
        </is>
      </c>
      <c r="M8" s="22" t="inlineStr">
        <is>
          <t>r_P máxima [–]</t>
        </is>
      </c>
    </row>
    <row r="9">
      <c r="A9" s="16" t="inlineStr">
        <is>
          <t>P_alta</t>
        </is>
      </c>
      <c r="B9" s="16" t="n">
        <v>1</v>
      </c>
      <c r="C9" s="16" t="n">
        <v>2000</v>
      </c>
      <c r="D9" s="16" t="n">
        <v>2500</v>
      </c>
      <c r="E9" s="16" t="n">
        <v>83</v>
      </c>
      <c r="F9" s="16" t="n">
        <v>18</v>
      </c>
      <c r="G9" s="29" t="n">
        <v>21.7</v>
      </c>
      <c r="H9" s="35" t="n">
        <v>912.8099999999999</v>
      </c>
      <c r="I9" s="36" t="n">
        <v>1459.4</v>
      </c>
      <c r="J9" s="35" t="n">
        <v>710.24</v>
      </c>
      <c r="K9" s="36" t="n">
        <v>1413.9</v>
      </c>
      <c r="L9" s="37" t="n">
        <v>1.5484</v>
      </c>
      <c r="M9" s="37" t="n">
        <v>2.3481</v>
      </c>
    </row>
    <row r="10">
      <c r="A10" s="16" t="inlineStr">
        <is>
          <t>P_alta</t>
        </is>
      </c>
      <c r="B10" s="16" t="n">
        <v>2</v>
      </c>
      <c r="C10" s="16" t="n">
        <v>2500</v>
      </c>
      <c r="D10" s="16" t="n">
        <v>3000</v>
      </c>
      <c r="E10" s="16" t="n">
        <v>83</v>
      </c>
      <c r="F10" s="16" t="n">
        <v>16</v>
      </c>
      <c r="G10" s="29" t="n">
        <v>19.3</v>
      </c>
      <c r="H10" s="35" t="n">
        <v>683.17</v>
      </c>
      <c r="I10" s="36" t="n">
        <v>1440.7</v>
      </c>
      <c r="J10" s="36" t="n">
        <v>1122.6</v>
      </c>
      <c r="K10" s="36" t="n">
        <v>2184.1</v>
      </c>
      <c r="L10" s="37" t="n">
        <v>1.7792</v>
      </c>
      <c r="M10" s="37" t="n">
        <v>4.1971</v>
      </c>
    </row>
    <row r="11">
      <c r="A11" s="16" t="inlineStr">
        <is>
          <t>P_alta</t>
        </is>
      </c>
      <c r="B11" s="16" t="n">
        <v>3</v>
      </c>
      <c r="C11" s="16" t="n">
        <v>3000</v>
      </c>
      <c r="D11" s="16" t="n">
        <v>3500</v>
      </c>
      <c r="E11" s="16" t="n">
        <v>84</v>
      </c>
      <c r="F11" s="16" t="n">
        <v>21</v>
      </c>
      <c r="G11" s="29" t="n">
        <v>25</v>
      </c>
      <c r="H11" s="35" t="n">
        <v>607.33</v>
      </c>
      <c r="I11" s="36" t="n">
        <v>1416.6</v>
      </c>
      <c r="J11" s="36" t="n">
        <v>1868.6</v>
      </c>
      <c r="K11" s="36" t="n">
        <v>2673.5</v>
      </c>
      <c r="L11" s="37" t="n">
        <v>2.3191</v>
      </c>
      <c r="M11" s="37" t="n">
        <v>5.2911</v>
      </c>
    </row>
    <row r="12">
      <c r="A12" s="16" t="inlineStr">
        <is>
          <t>P_alta</t>
        </is>
      </c>
      <c r="B12" s="16" t="n">
        <v>4</v>
      </c>
      <c r="C12" s="16" t="n">
        <v>3500</v>
      </c>
      <c r="D12" s="16" t="n">
        <v>4000</v>
      </c>
      <c r="E12" s="16" t="n">
        <v>83</v>
      </c>
      <c r="F12" s="16" t="n">
        <v>29</v>
      </c>
      <c r="G12" s="29" t="n">
        <v>34.9</v>
      </c>
      <c r="H12" s="35" t="n">
        <v>546.97</v>
      </c>
      <c r="I12" s="36" t="n">
        <v>1479.8</v>
      </c>
      <c r="J12" s="36" t="n">
        <v>2218</v>
      </c>
      <c r="K12" s="36" t="n">
        <v>3071.4</v>
      </c>
      <c r="L12" s="37" t="n">
        <v>2.5077</v>
      </c>
      <c r="M12" s="37" t="n">
        <v>6.4851</v>
      </c>
    </row>
    <row r="13">
      <c r="A13" s="16" t="inlineStr">
        <is>
          <t>P_alta</t>
        </is>
      </c>
      <c r="B13" s="16" t="n">
        <v>5</v>
      </c>
      <c r="C13" s="16" t="n">
        <v>4000</v>
      </c>
      <c r="D13" s="16" t="n">
        <v>4500</v>
      </c>
      <c r="E13" s="16" t="n">
        <v>84</v>
      </c>
      <c r="F13" s="16" t="n">
        <v>18</v>
      </c>
      <c r="G13" s="29" t="n">
        <v>21.4</v>
      </c>
      <c r="H13" s="35" t="n">
        <v>634.3</v>
      </c>
      <c r="I13" s="36" t="n">
        <v>1493.2</v>
      </c>
      <c r="J13" s="36" t="n">
        <v>2550.3</v>
      </c>
      <c r="K13" s="36" t="n">
        <v>3764.4</v>
      </c>
      <c r="L13" s="37" t="n">
        <v>2.7459</v>
      </c>
      <c r="M13" s="37" t="n">
        <v>6.9348</v>
      </c>
    </row>
    <row r="14">
      <c r="A14" s="16" t="inlineStr">
        <is>
          <t>P_alta</t>
        </is>
      </c>
      <c r="B14" s="16" t="n">
        <v>6</v>
      </c>
      <c r="C14" s="16" t="n">
        <v>4500</v>
      </c>
      <c r="D14" s="16" t="n">
        <v>5000</v>
      </c>
      <c r="E14" s="16" t="n">
        <v>83</v>
      </c>
      <c r="F14" s="16" t="n">
        <v>19</v>
      </c>
      <c r="G14" s="29" t="n">
        <v>22.9</v>
      </c>
      <c r="H14" s="35" t="n">
        <v>558.16</v>
      </c>
      <c r="I14" s="36" t="n">
        <v>1464.9</v>
      </c>
      <c r="J14" s="36" t="n">
        <v>3208.4</v>
      </c>
      <c r="K14" s="36" t="n">
        <v>4117.1</v>
      </c>
      <c r="L14" s="37" t="n">
        <v>3.21</v>
      </c>
      <c r="M14" s="37" t="n">
        <v>8.376200000000001</v>
      </c>
    </row>
    <row r="16">
      <c r="A16" s="23" t="inlineStr">
        <is>
          <t>Notas: Filtro: puntos genuinos de la caja estudio 3.2. n = 6 filas en la tabla. † = fuera del rango confiable (IAPWS G4-01); ‡ = falso convergido. Fuente: resultados/2026-10-07_final_M4b/m4b_ventana_por_palta.csv.</t>
        </is>
      </c>
    </row>
  </sheetData>
  <autoFilter ref="A8:M1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10" customWidth="1" min="1" max="1"/>
    <col width="10" customWidth="1" min="2" max="2"/>
    <col width="17" customWidth="1" min="3" max="3"/>
    <col width="17" customWidth="1" min="4" max="4"/>
    <col width="10" customWidth="1" min="5" max="5"/>
    <col width="10" customWidth="1" min="6" max="6"/>
    <col width="12" customWidth="1" min="7" max="7"/>
    <col width="21" customWidth="1" min="8" max="8"/>
    <col width="21" customWidth="1" min="9" max="9"/>
    <col width="17" customWidth="1" min="10" max="10"/>
    <col width="17" customWidth="1" min="11" max="11"/>
    <col width="16" customWidth="1" min="12" max="12"/>
    <col width="16" customWidth="1" min="13" max="13"/>
  </cols>
  <sheetData>
    <row r="1">
      <c r="A1" s="19" t="inlineStr">
        <is>
          <t>Tabla 3.2-7 · Ventana KALINA por franjas de T_fuente</t>
        </is>
      </c>
    </row>
    <row r="2">
      <c r="A2" s="20" t="inlineStr">
        <is>
          <t>Estudio 3.2 · Sensibilidad global (500 puntos)</t>
        </is>
      </c>
    </row>
    <row r="3">
      <c r="A3" s="20" t="inlineStr">
        <is>
          <t>Punto base: caja estudio 3.2 = las 10 variables barridas dentro de su caja (ver Tabla 3.2-1)</t>
        </is>
      </c>
    </row>
    <row r="4">
      <c r="A4" s="21" t="inlineStr">
        <is>
          <t>Datos fijos: m_b = 1 kg/s; motor de propiedades = teqp.</t>
        </is>
      </c>
    </row>
    <row r="5">
      <c r="A5" s="21"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6">
      <c r="A6" s="20" t="inlineStr">
        <is>
          <t>Fuente: resultados/2026-10-07_final_M4b/m4b_ventana_por_tfuente.csv</t>
        </is>
      </c>
    </row>
    <row r="8">
      <c r="A8" s="22" t="inlineStr">
        <is>
          <t>Variable</t>
        </is>
      </c>
      <c r="B8" s="22" t="inlineStr">
        <is>
          <t>Franja</t>
        </is>
      </c>
      <c r="C8" s="22" t="inlineStr">
        <is>
          <t>Límite inferior</t>
        </is>
      </c>
      <c r="D8" s="22" t="inlineStr">
        <is>
          <t>Límite superior</t>
        </is>
      </c>
      <c r="E8" s="22" t="inlineStr">
        <is>
          <t>N</t>
        </is>
      </c>
      <c r="F8" s="22" t="inlineStr">
        <is>
          <t>KALINA</t>
        </is>
      </c>
      <c r="G8" s="22" t="inlineStr">
        <is>
          <t>KALINA [%]</t>
        </is>
      </c>
      <c r="H8" s="22" t="inlineStr">
        <is>
          <t>P_baja mínima [kPa]</t>
        </is>
      </c>
      <c r="I8" s="22" t="inlineStr">
        <is>
          <t>P_baja máxima [kPa]</t>
        </is>
      </c>
      <c r="J8" s="22" t="inlineStr">
        <is>
          <t>ΔP mínima [kPa]</t>
        </is>
      </c>
      <c r="K8" s="22" t="inlineStr">
        <is>
          <t>ΔP máxima [kPa]</t>
        </is>
      </c>
      <c r="L8" s="22" t="inlineStr">
        <is>
          <t>r_P mínima [–]</t>
        </is>
      </c>
      <c r="M8" s="22" t="inlineStr">
        <is>
          <t>r_P máxima [–]</t>
        </is>
      </c>
    </row>
    <row r="9">
      <c r="A9" s="16" t="inlineStr">
        <is>
          <t>T_fuente</t>
        </is>
      </c>
      <c r="B9" s="16" t="n">
        <v>1</v>
      </c>
      <c r="C9" s="16" t="n">
        <v>380</v>
      </c>
      <c r="D9" s="16" t="n">
        <v>400</v>
      </c>
      <c r="E9" s="16" t="n">
        <v>83</v>
      </c>
      <c r="F9" s="16" t="n">
        <v>26</v>
      </c>
      <c r="G9" s="29" t="n">
        <v>31.3</v>
      </c>
      <c r="H9" s="35" t="n">
        <v>668.35</v>
      </c>
      <c r="I9" s="36" t="n">
        <v>1471.1</v>
      </c>
      <c r="J9" s="35" t="n">
        <v>903</v>
      </c>
      <c r="K9" s="36" t="n">
        <v>3539.8</v>
      </c>
      <c r="L9" s="37" t="n">
        <v>1.6861</v>
      </c>
      <c r="M9" s="37" t="n">
        <v>5.3242</v>
      </c>
    </row>
    <row r="10">
      <c r="A10" s="16" t="inlineStr">
        <is>
          <t>T_fuente</t>
        </is>
      </c>
      <c r="B10" s="16" t="n">
        <v>2</v>
      </c>
      <c r="C10" s="16" t="n">
        <v>400</v>
      </c>
      <c r="D10" s="16" t="n">
        <v>420</v>
      </c>
      <c r="E10" s="16" t="n">
        <v>84</v>
      </c>
      <c r="F10" s="16" t="n">
        <v>31</v>
      </c>
      <c r="G10" s="29" t="n">
        <v>36.9</v>
      </c>
      <c r="H10" s="35" t="n">
        <v>546.97</v>
      </c>
      <c r="I10" s="36" t="n">
        <v>1460.7</v>
      </c>
      <c r="J10" s="35" t="n">
        <v>710.24</v>
      </c>
      <c r="K10" s="36" t="n">
        <v>4117.1</v>
      </c>
      <c r="L10" s="37" t="n">
        <v>1.5484</v>
      </c>
      <c r="M10" s="37" t="n">
        <v>8.376200000000001</v>
      </c>
    </row>
    <row r="11">
      <c r="A11" s="16" t="inlineStr">
        <is>
          <t>T_fuente</t>
        </is>
      </c>
      <c r="B11" s="16" t="n">
        <v>3</v>
      </c>
      <c r="C11" s="16" t="n">
        <v>420</v>
      </c>
      <c r="D11" s="16" t="n">
        <v>440</v>
      </c>
      <c r="E11" s="16" t="n">
        <v>83</v>
      </c>
      <c r="F11" s="16" t="n">
        <v>26</v>
      </c>
      <c r="G11" s="29" t="n">
        <v>31.3</v>
      </c>
      <c r="H11" s="35" t="n">
        <v>634.3</v>
      </c>
      <c r="I11" s="36" t="n">
        <v>1493.2</v>
      </c>
      <c r="J11" s="36" t="n">
        <v>1203.9</v>
      </c>
      <c r="K11" s="36" t="n">
        <v>3764.4</v>
      </c>
      <c r="L11" s="37" t="n">
        <v>1.9878</v>
      </c>
      <c r="M11" s="37" t="n">
        <v>6.9348</v>
      </c>
    </row>
    <row r="12">
      <c r="A12" s="16" t="inlineStr">
        <is>
          <t>T_fuente</t>
        </is>
      </c>
      <c r="B12" s="16" t="n">
        <v>4</v>
      </c>
      <c r="C12" s="16" t="n">
        <v>440</v>
      </c>
      <c r="D12" s="16" t="n">
        <v>460</v>
      </c>
      <c r="E12" s="16" t="n">
        <v>84</v>
      </c>
      <c r="F12" s="16" t="n">
        <v>19</v>
      </c>
      <c r="G12" s="29" t="n">
        <v>22.6</v>
      </c>
      <c r="H12" s="35" t="n">
        <v>607.33</v>
      </c>
      <c r="I12" s="36" t="n">
        <v>1490.2</v>
      </c>
      <c r="J12" s="35" t="n">
        <v>766.29</v>
      </c>
      <c r="K12" s="36" t="n">
        <v>3576.6</v>
      </c>
      <c r="L12" s="37" t="n">
        <v>1.5551</v>
      </c>
      <c r="M12" s="37" t="n">
        <v>5.2911</v>
      </c>
    </row>
    <row r="13">
      <c r="A13" s="16" t="inlineStr">
        <is>
          <t>T_fuente</t>
        </is>
      </c>
      <c r="B13" s="16" t="n">
        <v>5</v>
      </c>
      <c r="C13" s="16" t="n">
        <v>460</v>
      </c>
      <c r="D13" s="16" t="n">
        <v>480</v>
      </c>
      <c r="E13" s="16" t="n">
        <v>82</v>
      </c>
      <c r="F13" s="16" t="n">
        <v>8</v>
      </c>
      <c r="G13" s="29" t="n">
        <v>9.800000000000001</v>
      </c>
      <c r="H13" s="35" t="n">
        <v>688.24</v>
      </c>
      <c r="I13" s="36" t="n">
        <v>1459.4</v>
      </c>
      <c r="J13" s="35" t="n">
        <v>816.6900000000001</v>
      </c>
      <c r="K13" s="36" t="n">
        <v>2883.2</v>
      </c>
      <c r="L13" s="37" t="n">
        <v>1.6175</v>
      </c>
      <c r="M13" s="37" t="n">
        <v>5.1892</v>
      </c>
    </row>
    <row r="14">
      <c r="A14" s="16" t="inlineStr">
        <is>
          <t>T_fuente</t>
        </is>
      </c>
      <c r="B14" s="16" t="n">
        <v>6</v>
      </c>
      <c r="C14" s="16" t="n">
        <v>480</v>
      </c>
      <c r="D14" s="16" t="n">
        <v>500</v>
      </c>
      <c r="E14" s="16" t="n">
        <v>84</v>
      </c>
      <c r="F14" s="16" t="n">
        <v>11</v>
      </c>
      <c r="G14" s="29" t="n">
        <v>13.1</v>
      </c>
      <c r="H14" s="35" t="n">
        <v>769.12</v>
      </c>
      <c r="I14" s="36" t="n">
        <v>1451.6</v>
      </c>
      <c r="J14" s="35" t="n">
        <v>904.75</v>
      </c>
      <c r="K14" s="36" t="n">
        <v>3326.4</v>
      </c>
      <c r="L14" s="37" t="n">
        <v>1.6825</v>
      </c>
      <c r="M14" s="37" t="n">
        <v>4.1602</v>
      </c>
    </row>
    <row r="16">
      <c r="A16" s="23" t="inlineStr">
        <is>
          <t>Notas: Filtro: puntos genuinos de la caja estudio 3.2. n = 6 filas en la tabla. † = fuera del rango confiable (IAPWS G4-01); ‡ = falso convergido. Fuente: resultados/2026-10-07_final_M4b/m4b_ventana_por_tfuente.csv.</t>
        </is>
      </c>
    </row>
  </sheetData>
  <autoFilter ref="A8:M1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 width="10" customWidth="1" min="2" max="2"/>
    <col width="17" customWidth="1" min="3" max="3"/>
    <col width="17" customWidth="1" min="4" max="4"/>
    <col width="10" customWidth="1" min="5" max="5"/>
    <col width="10" customWidth="1" min="6" max="6"/>
    <col width="12" customWidth="1" min="7" max="7"/>
    <col width="21" customWidth="1" min="8" max="8"/>
    <col width="21" customWidth="1" min="9" max="9"/>
    <col width="17" customWidth="1" min="10" max="10"/>
    <col width="17" customWidth="1" min="11" max="11"/>
    <col width="16" customWidth="1" min="12" max="12"/>
    <col width="16" customWidth="1" min="13" max="13"/>
  </cols>
  <sheetData>
    <row r="1">
      <c r="A1" s="19" t="inlineStr">
        <is>
          <t>Tabla 3.2-8 · Ventana KALINA por franjas de T_sumidero</t>
        </is>
      </c>
    </row>
    <row r="2">
      <c r="A2" s="20" t="inlineStr">
        <is>
          <t>Estudio 3.2 · Sensibilidad global (500 puntos)</t>
        </is>
      </c>
    </row>
    <row r="3">
      <c r="A3" s="20" t="inlineStr">
        <is>
          <t>Punto base: caja estudio 3.2 = las 10 variables barridas dentro de su caja (ver Tabla 3.2-1)</t>
        </is>
      </c>
    </row>
    <row r="4">
      <c r="A4" s="21" t="inlineStr">
        <is>
          <t>Datos fijos: m_b = 1 kg/s; motor de propiedades = teqp.</t>
        </is>
      </c>
    </row>
    <row r="5">
      <c r="A5" s="21"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6">
      <c r="A6" s="20" t="inlineStr">
        <is>
          <t>Fuente: resultados/2026-10-07_final_M4b/m4b_ventana_por_tsumidero.csv</t>
        </is>
      </c>
    </row>
    <row r="8">
      <c r="A8" s="22" t="inlineStr">
        <is>
          <t>Variable</t>
        </is>
      </c>
      <c r="B8" s="22" t="inlineStr">
        <is>
          <t>Franja</t>
        </is>
      </c>
      <c r="C8" s="22" t="inlineStr">
        <is>
          <t>Límite inferior</t>
        </is>
      </c>
      <c r="D8" s="22" t="inlineStr">
        <is>
          <t>Límite superior</t>
        </is>
      </c>
      <c r="E8" s="22" t="inlineStr">
        <is>
          <t>N</t>
        </is>
      </c>
      <c r="F8" s="22" t="inlineStr">
        <is>
          <t>KALINA</t>
        </is>
      </c>
      <c r="G8" s="22" t="inlineStr">
        <is>
          <t>KALINA [%]</t>
        </is>
      </c>
      <c r="H8" s="22" t="inlineStr">
        <is>
          <t>P_baja mínima [kPa]</t>
        </is>
      </c>
      <c r="I8" s="22" t="inlineStr">
        <is>
          <t>P_baja máxima [kPa]</t>
        </is>
      </c>
      <c r="J8" s="22" t="inlineStr">
        <is>
          <t>ΔP mínima [kPa]</t>
        </is>
      </c>
      <c r="K8" s="22" t="inlineStr">
        <is>
          <t>ΔP máxima [kPa]</t>
        </is>
      </c>
      <c r="L8" s="22" t="inlineStr">
        <is>
          <t>r_P mínima [–]</t>
        </is>
      </c>
      <c r="M8" s="22" t="inlineStr">
        <is>
          <t>r_P máxima [–]</t>
        </is>
      </c>
    </row>
    <row r="9">
      <c r="A9" s="16" t="inlineStr">
        <is>
          <t>T_sumidero</t>
        </is>
      </c>
      <c r="B9" s="16" t="n">
        <v>1</v>
      </c>
      <c r="C9" s="16" t="n">
        <v>278.15</v>
      </c>
      <c r="D9" s="16" t="n">
        <v>284.5</v>
      </c>
      <c r="E9" s="16" t="n">
        <v>125</v>
      </c>
      <c r="F9" s="16" t="n">
        <v>47</v>
      </c>
      <c r="G9" s="29" t="n">
        <v>37.6</v>
      </c>
      <c r="H9" s="35" t="n">
        <v>558.16</v>
      </c>
      <c r="I9" s="36" t="n">
        <v>1493.2</v>
      </c>
      <c r="J9" s="35" t="n">
        <v>766.29</v>
      </c>
      <c r="K9" s="36" t="n">
        <v>4117.1</v>
      </c>
      <c r="L9" s="37" t="n">
        <v>1.5551</v>
      </c>
      <c r="M9" s="37" t="n">
        <v>8.376200000000001</v>
      </c>
    </row>
    <row r="10">
      <c r="A10" s="16" t="inlineStr">
        <is>
          <t>T_sumidero</t>
        </is>
      </c>
      <c r="B10" s="16" t="n">
        <v>2</v>
      </c>
      <c r="C10" s="16" t="n">
        <v>284.5</v>
      </c>
      <c r="D10" s="16" t="n">
        <v>290.85</v>
      </c>
      <c r="E10" s="16" t="n">
        <v>125</v>
      </c>
      <c r="F10" s="16" t="n">
        <v>27</v>
      </c>
      <c r="G10" s="29" t="n">
        <v>21.6</v>
      </c>
      <c r="H10" s="35" t="n">
        <v>546.97</v>
      </c>
      <c r="I10" s="36" t="n">
        <v>1467.2</v>
      </c>
      <c r="J10" s="35" t="n">
        <v>904.75</v>
      </c>
      <c r="K10" s="36" t="n">
        <v>3785.7</v>
      </c>
      <c r="L10" s="37" t="n">
        <v>1.6825</v>
      </c>
      <c r="M10" s="37" t="n">
        <v>6.4851</v>
      </c>
    </row>
    <row r="11">
      <c r="A11" s="16" t="inlineStr">
        <is>
          <t>T_sumidero</t>
        </is>
      </c>
      <c r="B11" s="16" t="n">
        <v>3</v>
      </c>
      <c r="C11" s="16" t="n">
        <v>290.85</v>
      </c>
      <c r="D11" s="16" t="n">
        <v>297.2</v>
      </c>
      <c r="E11" s="16" t="n">
        <v>125</v>
      </c>
      <c r="F11" s="16" t="n">
        <v>28</v>
      </c>
      <c r="G11" s="29" t="n">
        <v>22.4</v>
      </c>
      <c r="H11" s="35" t="n">
        <v>607.33</v>
      </c>
      <c r="I11" s="36" t="n">
        <v>1490.2</v>
      </c>
      <c r="J11" s="35" t="n">
        <v>710.24</v>
      </c>
      <c r="K11" s="36" t="n">
        <v>3717.6</v>
      </c>
      <c r="L11" s="37" t="n">
        <v>1.5484</v>
      </c>
      <c r="M11" s="37" t="n">
        <v>5.3242</v>
      </c>
    </row>
    <row r="12">
      <c r="A12" s="16" t="inlineStr">
        <is>
          <t>T_sumidero</t>
        </is>
      </c>
      <c r="B12" s="16" t="n">
        <v>4</v>
      </c>
      <c r="C12" s="16" t="n">
        <v>297.2</v>
      </c>
      <c r="D12" s="16" t="n">
        <v>303.55</v>
      </c>
      <c r="E12" s="16" t="n">
        <v>125</v>
      </c>
      <c r="F12" s="16" t="n">
        <v>19</v>
      </c>
      <c r="G12" s="29" t="n">
        <v>15.2</v>
      </c>
      <c r="H12" s="35" t="n">
        <v>634.3</v>
      </c>
      <c r="I12" s="36" t="n">
        <v>1471.1</v>
      </c>
      <c r="J12" s="35" t="n">
        <v>903</v>
      </c>
      <c r="K12" s="36" t="n">
        <v>3770.3</v>
      </c>
      <c r="L12" s="37" t="n">
        <v>1.6861</v>
      </c>
      <c r="M12" s="37" t="n">
        <v>6.9348</v>
      </c>
    </row>
    <row r="14">
      <c r="A14" s="23" t="inlineStr">
        <is>
          <t>Notas: Filtro: puntos genuinos de la caja estudio 3.2. n = 4 filas en la tabla. † = fuera del rango confiable (IAPWS G4-01); ‡ = falso convergido. Fuente: resultados/2026-10-07_final_M4b/m4b_ventana_por_tsumidero.csv.</t>
        </is>
      </c>
    </row>
  </sheetData>
  <autoFilter ref="A8:M12"/>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V510"/>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3.2 · Sensibilidad global (500 puntos)</t>
        </is>
      </c>
    </row>
    <row r="2">
      <c r="A2" t="inlineStr">
        <is>
          <t>Cada fila es un punto calculado (n = 500);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6">
      <c r="A6" s="33" t="inlineStr">
        <is>
          <t>Parte 3.2 · muestra de 300 puntos · 500 puntos</t>
        </is>
      </c>
      <c r="B6" s="31" t="n"/>
      <c r="C6" s="31" t="n"/>
      <c r="D6" s="31" t="n"/>
      <c r="E6" s="31" t="n"/>
      <c r="F6" s="31" t="n"/>
      <c r="G6" s="31" t="n"/>
      <c r="H6" s="31" t="n"/>
      <c r="I6" s="31" t="n"/>
      <c r="J6" s="31" t="n"/>
      <c r="K6" s="31" t="n"/>
      <c r="V6" s="24" t="inlineStr">
        <is>
          <t>Figura 3.2-1 · Qué variables separan a los KALINA del resto (LHS de 500 puntos)</t>
        </is>
      </c>
    </row>
    <row r="7"/>
    <row r="8">
      <c r="A8" s="34" t="inlineStr">
        <is>
          <t>Barrido de la parte 3.2 · 500 puntos</t>
        </is>
      </c>
    </row>
    <row r="9">
      <c r="A9" s="25" t="inlineStr">
        <is>
          <t>Todas las variables se mueven.</t>
        </is>
      </c>
    </row>
    <row r="10">
      <c r="A10" s="22" t="inlineStr">
        <is>
          <t>id_punto</t>
        </is>
      </c>
      <c r="B10" s="22" t="inlineStr">
        <is>
          <t>T_fuente [K]</t>
        </is>
      </c>
      <c r="C10" s="22" t="inlineStr">
        <is>
          <t>T_sumidero [K]</t>
        </is>
      </c>
      <c r="D10" s="22" t="inlineStr">
        <is>
          <t>P_alta [kPa]</t>
        </is>
      </c>
      <c r="E10" s="22" t="inlineStr">
        <is>
          <t>P_baja [kPa]</t>
        </is>
      </c>
      <c r="F10" s="22" t="inlineStr">
        <is>
          <t>x_b [–]</t>
        </is>
      </c>
      <c r="G10" s="22" t="inlineStr">
        <is>
          <t>η_t [–]</t>
        </is>
      </c>
      <c r="H10" s="22" t="inlineStr">
        <is>
          <t>η_p [–]</t>
        </is>
      </c>
      <c r="I10" s="22" t="inlineStr">
        <is>
          <t>ε_HRVG [–]</t>
        </is>
      </c>
      <c r="J10" s="22" t="inlineStr">
        <is>
          <t>ε_reg [–]</t>
        </is>
      </c>
      <c r="K10" s="22" t="inlineStr">
        <is>
          <t>ε_cond [–]</t>
        </is>
      </c>
      <c r="L10" s="22" t="inlineStr">
        <is>
          <t>Clase</t>
        </is>
      </c>
      <c r="M10" s="22" t="inlineStr">
        <is>
          <t>η [%]</t>
        </is>
      </c>
      <c r="N10" s="22" t="inlineStr">
        <is>
          <t>W_net [kW] (m_b = 1 kg/s)</t>
        </is>
      </c>
      <c r="O10" s="22" t="inlineStr">
        <is>
          <t>ΔP [kPa]</t>
        </is>
      </c>
      <c r="P10" s="22" t="inlineStr">
        <is>
          <t>r_P [–]</t>
        </is>
      </c>
      <c r="Q10" s="22" t="inlineStr">
        <is>
          <t>Fuera de rango</t>
        </is>
      </c>
      <c r="R10" s="22" t="inlineStr">
        <is>
          <t>Criterios que falla</t>
        </is>
      </c>
    </row>
    <row r="11">
      <c r="A11" s="16" t="inlineStr">
        <is>
          <t>KF-M04-0000</t>
        </is>
      </c>
      <c r="B11" s="35" t="n">
        <v>407.1340416411023</v>
      </c>
      <c r="C11" s="35" t="n">
        <v>281.3414881998739</v>
      </c>
      <c r="D11" s="36" t="n">
        <v>4011.037294084613</v>
      </c>
      <c r="E11" s="35" t="n">
        <v>1460.712585145145</v>
      </c>
      <c r="F11" s="37" t="n">
        <v>0.5110070960268633</v>
      </c>
      <c r="G11" s="37" t="n">
        <v>0.8763691609388118</v>
      </c>
      <c r="H11" s="37" t="n">
        <v>0.8666441069626174</v>
      </c>
      <c r="I11" s="37" t="n">
        <v>0.8112875416892159</v>
      </c>
      <c r="J11" s="37" t="n">
        <v>0.9213041607672976</v>
      </c>
      <c r="K11" s="37" t="n">
        <v>0.7797292180065749</v>
      </c>
      <c r="L11" s="42" t="inlineStr">
        <is>
          <t>KALINA</t>
        </is>
      </c>
      <c r="M11" s="29" t="n">
        <v>3.26916177390642</v>
      </c>
      <c r="N11" s="35" t="n">
        <v>4.541993467445174</v>
      </c>
      <c r="O11" s="36" t="n">
        <v>2550.324708939468</v>
      </c>
      <c r="P11" s="29" t="n">
        <v>2.745945598658652</v>
      </c>
      <c r="Q11" s="16" t="inlineStr">
        <is>
          <t>no</t>
        </is>
      </c>
      <c r="R11" s="16" t="n"/>
    </row>
    <row r="12">
      <c r="A12" s="16" t="inlineStr">
        <is>
          <t>KF-M04-0001</t>
        </is>
      </c>
      <c r="B12" s="35" t="n">
        <v>451.4877506265385</v>
      </c>
      <c r="C12" s="35" t="n">
        <v>286.5744248868691</v>
      </c>
      <c r="D12" s="36" t="n">
        <v>3665.962676103748</v>
      </c>
      <c r="E12" s="35" t="n">
        <v>662.4103119374483</v>
      </c>
      <c r="F12" s="37" t="n">
        <v>0.8219756898095861</v>
      </c>
      <c r="G12" s="37" t="n">
        <v>0.7913495176669476</v>
      </c>
      <c r="H12" s="37" t="n">
        <v>0.7271676099957175</v>
      </c>
      <c r="I12" s="37" t="n">
        <v>0.842419755403758</v>
      </c>
      <c r="J12" s="37" t="n">
        <v>0.6631644370492918</v>
      </c>
      <c r="K12" s="37" t="n">
        <v>0.912392918553581</v>
      </c>
      <c r="L12" s="39" t="inlineStr">
        <is>
          <t>Corregible</t>
        </is>
      </c>
      <c r="M12" s="29" t="n">
        <v>13.07843876470006</v>
      </c>
      <c r="N12" s="35" t="n">
        <v>187.0893139673974</v>
      </c>
      <c r="O12" s="36" t="n">
        <v>3003.552364166299</v>
      </c>
      <c r="P12" s="29" t="n">
        <v>5.534277788311252</v>
      </c>
      <c r="Q12" s="16" t="inlineStr">
        <is>
          <t>sí</t>
        </is>
      </c>
      <c r="R12" s="16" t="inlineStr">
        <is>
          <t>O2</t>
        </is>
      </c>
    </row>
    <row r="13">
      <c r="A13" s="16" t="inlineStr">
        <is>
          <t>KF-M04-0002</t>
        </is>
      </c>
      <c r="B13" s="35" t="n">
        <v>386.1807303910927</v>
      </c>
      <c r="C13" s="35" t="n">
        <v>293.7027289078923</v>
      </c>
      <c r="D13" s="36" t="n">
        <v>2967.685564843559</v>
      </c>
      <c r="E13" s="35" t="n">
        <v>885.5900633145619</v>
      </c>
      <c r="F13" s="37" t="n">
        <v>0.5564416284709504</v>
      </c>
      <c r="G13" s="37" t="n">
        <v>0.848154575125184</v>
      </c>
      <c r="H13" s="37" t="n">
        <v>0.8951385639828898</v>
      </c>
      <c r="I13" s="37" t="n">
        <v>0.7833279717292597</v>
      </c>
      <c r="J13" s="37" t="n">
        <v>0.6526669076160373</v>
      </c>
      <c r="K13" s="37" t="n">
        <v>0.8367858543782041</v>
      </c>
      <c r="L13" s="42" t="inlineStr">
        <is>
          <t>KALINA</t>
        </is>
      </c>
      <c r="M13" s="29" t="n">
        <v>4.162919322197451</v>
      </c>
      <c r="N13" s="35" t="n">
        <v>10.5170162896404</v>
      </c>
      <c r="O13" s="36" t="n">
        <v>2082.095501528997</v>
      </c>
      <c r="P13" s="29" t="n">
        <v>3.351082727527665</v>
      </c>
      <c r="Q13" s="16" t="inlineStr">
        <is>
          <t>no</t>
        </is>
      </c>
      <c r="R13" s="16" t="n"/>
    </row>
    <row r="14">
      <c r="A14" s="16" t="inlineStr">
        <is>
          <t>KF-M04-0003</t>
        </is>
      </c>
      <c r="B14" s="35" t="n">
        <v>396.75109566561</v>
      </c>
      <c r="C14" s="35" t="n">
        <v>302.1602674119912</v>
      </c>
      <c r="D14" s="36" t="n">
        <v>4932.994104981873</v>
      </c>
      <c r="E14" s="35" t="n">
        <v>405.240349881691</v>
      </c>
      <c r="F14" s="37" t="n">
        <v>0.7871881235381006</v>
      </c>
      <c r="G14" s="37" t="n">
        <v>0.9104784732245352</v>
      </c>
      <c r="H14" s="37" t="n">
        <v>0.8358038608432342</v>
      </c>
      <c r="I14" s="37" t="n">
        <v>0.6062077812942049</v>
      </c>
      <c r="J14" s="37" t="n">
        <v>0.7938305415557918</v>
      </c>
      <c r="K14" s="37" t="n">
        <v>0.9280154784846282</v>
      </c>
      <c r="L14" s="32" t="inlineStr">
        <is>
          <t>No convergió</t>
        </is>
      </c>
      <c r="M14" s="29" t="inlineStr">
        <is>
          <t>—</t>
        </is>
      </c>
      <c r="N14" s="35" t="inlineStr">
        <is>
          <t>—</t>
        </is>
      </c>
      <c r="O14" s="36" t="n">
        <v>4527.753755100181</v>
      </c>
      <c r="P14" s="29" t="n">
        <v>12.17300820715916</v>
      </c>
      <c r="Q14" s="16" t="inlineStr">
        <is>
          <t>no</t>
        </is>
      </c>
      <c r="R14" s="16" t="n"/>
    </row>
    <row r="15">
      <c r="A15" s="16" t="inlineStr">
        <is>
          <t>KF-M04-0004</t>
        </is>
      </c>
      <c r="B15" s="35" t="n">
        <v>479.6754951075901</v>
      </c>
      <c r="C15" s="35" t="n">
        <v>298.5273680035384</v>
      </c>
      <c r="D15" s="36" t="n">
        <v>4020.057055564708</v>
      </c>
      <c r="E15" s="35" t="n">
        <v>1483.107052397032</v>
      </c>
      <c r="F15" s="37" t="n">
        <v>0.5950267464089529</v>
      </c>
      <c r="G15" s="37" t="n">
        <v>0.8688806141947087</v>
      </c>
      <c r="H15" s="37" t="n">
        <v>0.8595083334931408</v>
      </c>
      <c r="I15" s="37" t="n">
        <v>0.9170174704859276</v>
      </c>
      <c r="J15" s="37" t="n">
        <v>0.852130514853453</v>
      </c>
      <c r="K15" s="37" t="n">
        <v>0.8467420262506328</v>
      </c>
      <c r="L15" s="39" t="inlineStr">
        <is>
          <t>Corregible</t>
        </is>
      </c>
      <c r="M15" s="29" t="n">
        <v>8.096570388386411</v>
      </c>
      <c r="N15" s="35" t="n">
        <v>139.8761883528681</v>
      </c>
      <c r="O15" s="36" t="n">
        <v>2536.950003167676</v>
      </c>
      <c r="P15" s="29" t="n">
        <v>2.710564317705454</v>
      </c>
      <c r="Q15" s="16" t="inlineStr">
        <is>
          <t>sí</t>
        </is>
      </c>
      <c r="R15" s="16" t="inlineStr">
        <is>
          <t>O2</t>
        </is>
      </c>
    </row>
    <row r="16">
      <c r="A16" s="16" t="inlineStr">
        <is>
          <t>KF-M04-0005</t>
        </is>
      </c>
      <c r="B16" s="35" t="n">
        <v>487.1796610979839</v>
      </c>
      <c r="C16" s="35" t="n">
        <v>287.2441386112029</v>
      </c>
      <c r="D16" s="36" t="n">
        <v>3440.010095524289</v>
      </c>
      <c r="E16" s="35" t="n">
        <v>1334.233868431916</v>
      </c>
      <c r="F16" s="37" t="n">
        <v>0.6644820432197892</v>
      </c>
      <c r="G16" s="37" t="n">
        <v>0.7800044475207355</v>
      </c>
      <c r="H16" s="37" t="n">
        <v>0.8809567209794431</v>
      </c>
      <c r="I16" s="37" t="n">
        <v>0.7319672186009154</v>
      </c>
      <c r="J16" s="37" t="n">
        <v>0.6035785688928544</v>
      </c>
      <c r="K16" s="37" t="n">
        <v>0.7744272407920841</v>
      </c>
      <c r="L16" s="39" t="inlineStr">
        <is>
          <t>Corregible</t>
        </is>
      </c>
      <c r="M16" s="29" t="n">
        <v>7.02144386346804</v>
      </c>
      <c r="N16" s="35" t="n">
        <v>92.45149179103124</v>
      </c>
      <c r="O16" s="36" t="n">
        <v>2105.776227092373</v>
      </c>
      <c r="P16" s="29" t="n">
        <v>2.578266207233389</v>
      </c>
      <c r="Q16" s="16" t="inlineStr">
        <is>
          <t>sí</t>
        </is>
      </c>
      <c r="R16" s="16" t="inlineStr">
        <is>
          <t>O2</t>
        </is>
      </c>
    </row>
    <row r="17">
      <c r="A17" s="16" t="inlineStr">
        <is>
          <t>KF-M04-0006</t>
        </is>
      </c>
      <c r="B17" s="35" t="n">
        <v>398.5335160217198</v>
      </c>
      <c r="C17" s="35" t="n">
        <v>293.8739498803942</v>
      </c>
      <c r="D17" s="36" t="n">
        <v>3659.899746223215</v>
      </c>
      <c r="E17" s="35" t="n">
        <v>1152.091132516594</v>
      </c>
      <c r="F17" s="37" t="n">
        <v>0.6957730360753672</v>
      </c>
      <c r="G17" s="37" t="n">
        <v>0.7833377606679555</v>
      </c>
      <c r="H17" s="37" t="n">
        <v>0.8210504208550347</v>
      </c>
      <c r="I17" s="37" t="n">
        <v>0.7777237689702584</v>
      </c>
      <c r="J17" s="37" t="n">
        <v>0.7078869448285835</v>
      </c>
      <c r="K17" s="37" t="n">
        <v>0.7328223017651218</v>
      </c>
      <c r="L17" s="39" t="inlineStr">
        <is>
          <t>Corregible</t>
        </is>
      </c>
      <c r="M17" s="29" t="n">
        <v>8.14884571726583</v>
      </c>
      <c r="N17" s="35" t="n">
        <v>41.31799946164396</v>
      </c>
      <c r="O17" s="36" t="n">
        <v>2507.808613706621</v>
      </c>
      <c r="P17" s="29" t="n">
        <v>3.176745001264473</v>
      </c>
      <c r="Q17" s="16" t="inlineStr">
        <is>
          <t>no</t>
        </is>
      </c>
      <c r="R17" s="16" t="inlineStr">
        <is>
          <t>O2</t>
        </is>
      </c>
    </row>
    <row r="18">
      <c r="A18" s="16" t="inlineStr">
        <is>
          <t>KF-M04-0007</t>
        </is>
      </c>
      <c r="B18" s="35" t="n">
        <v>420.366601264874</v>
      </c>
      <c r="C18" s="35" t="n">
        <v>299.8712779038219</v>
      </c>
      <c r="D18" s="36" t="n">
        <v>2317.767297101228</v>
      </c>
      <c r="E18" s="35" t="n">
        <v>1489.610249973807</v>
      </c>
      <c r="F18" s="37" t="n">
        <v>0.7939555783761802</v>
      </c>
      <c r="G18" s="37" t="n">
        <v>0.7619686264359115</v>
      </c>
      <c r="H18" s="37" t="n">
        <v>0.7332959954016336</v>
      </c>
      <c r="I18" s="37" t="n">
        <v>0.7904850980823586</v>
      </c>
      <c r="J18" s="37" t="n">
        <v>0.72352981190632</v>
      </c>
      <c r="K18" s="37" t="n">
        <v>0.7772121624984167</v>
      </c>
      <c r="L18" s="39" t="inlineStr">
        <is>
          <t>Corregible</t>
        </is>
      </c>
      <c r="M18" s="29" t="n">
        <v>3.28577252164435</v>
      </c>
      <c r="N18" s="35" t="n">
        <v>34.12638774131963</v>
      </c>
      <c r="O18" s="36" t="n">
        <v>828.1570471274206</v>
      </c>
      <c r="P18" s="29" t="n">
        <v>1.555955524031862</v>
      </c>
      <c r="Q18" s="16" t="inlineStr">
        <is>
          <t>no</t>
        </is>
      </c>
      <c r="R18" s="16" t="inlineStr">
        <is>
          <t>O2</t>
        </is>
      </c>
    </row>
    <row r="19">
      <c r="A19" s="16" t="inlineStr">
        <is>
          <t>KF-M04-0008</t>
        </is>
      </c>
      <c r="B19" s="35" t="n">
        <v>444.7377726544881</v>
      </c>
      <c r="C19" s="35" t="n">
        <v>298.4292569814256</v>
      </c>
      <c r="D19" s="36" t="n">
        <v>2081.421554425518</v>
      </c>
      <c r="E19" s="35" t="n">
        <v>366.2307988962121</v>
      </c>
      <c r="F19" s="37" t="n">
        <v>0.571498005099502</v>
      </c>
      <c r="G19" s="37" t="n">
        <v>0.8222541235519705</v>
      </c>
      <c r="H19" s="37" t="n">
        <v>0.8934280885636271</v>
      </c>
      <c r="I19" s="37" t="n">
        <v>0.7821175428461492</v>
      </c>
      <c r="J19" s="37" t="n">
        <v>0.8822671853512101</v>
      </c>
      <c r="K19" s="37" t="n">
        <v>0.7356002972588127</v>
      </c>
      <c r="L19" s="39" t="inlineStr">
        <is>
          <t>Corregible</t>
        </is>
      </c>
      <c r="M19" s="29" t="n">
        <v>10.19403471116266</v>
      </c>
      <c r="N19" s="35" t="n">
        <v>110.7332816096698</v>
      </c>
      <c r="O19" s="36" t="n">
        <v>1715.190755529306</v>
      </c>
      <c r="P19" s="29" t="n">
        <v>5.683360221747439</v>
      </c>
      <c r="Q19" s="16" t="inlineStr">
        <is>
          <t>sí</t>
        </is>
      </c>
      <c r="R19" s="16" t="inlineStr">
        <is>
          <t>O2</t>
        </is>
      </c>
    </row>
    <row r="20">
      <c r="A20" s="16" t="inlineStr">
        <is>
          <t>KF-M04-0009</t>
        </is>
      </c>
      <c r="B20" s="35" t="n">
        <v>499.3504266043101</v>
      </c>
      <c r="C20" s="35" t="n">
        <v>284.2378823230073</v>
      </c>
      <c r="D20" s="36" t="n">
        <v>3959.411072656219</v>
      </c>
      <c r="E20" s="35" t="n">
        <v>551.5503390206027</v>
      </c>
      <c r="F20" s="37" t="n">
        <v>0.568141164804299</v>
      </c>
      <c r="G20" s="37" t="n">
        <v>0.816376322139074</v>
      </c>
      <c r="H20" s="37" t="n">
        <v>0.6526919888452196</v>
      </c>
      <c r="I20" s="37" t="n">
        <v>0.8655649542293777</v>
      </c>
      <c r="J20" s="37" t="n">
        <v>0.7601906255465478</v>
      </c>
      <c r="K20" s="37" t="n">
        <v>0.9289245604877914</v>
      </c>
      <c r="L20" s="39" t="inlineStr">
        <is>
          <t>Corregible</t>
        </is>
      </c>
      <c r="M20" s="29" t="n">
        <v>12.78816711244389</v>
      </c>
      <c r="N20" s="35" t="n">
        <v>240.8791773471982</v>
      </c>
      <c r="O20" s="36" t="n">
        <v>3407.860733635617</v>
      </c>
      <c r="P20" s="29" t="n">
        <v>7.178693933335284</v>
      </c>
      <c r="Q20" s="16" t="inlineStr">
        <is>
          <t>sí</t>
        </is>
      </c>
      <c r="R20" s="16" t="inlineStr">
        <is>
          <t>O2</t>
        </is>
      </c>
    </row>
    <row r="21">
      <c r="A21" s="16" t="inlineStr">
        <is>
          <t>KF-M04-0010</t>
        </is>
      </c>
      <c r="B21" s="35" t="n">
        <v>448.329887271656</v>
      </c>
      <c r="C21" s="35" t="n">
        <v>295.6464758963889</v>
      </c>
      <c r="D21" s="36" t="n">
        <v>2367.202377294724</v>
      </c>
      <c r="E21" s="35" t="n">
        <v>1372.230738766301</v>
      </c>
      <c r="F21" s="37" t="n">
        <v>0.6055933834579269</v>
      </c>
      <c r="G21" s="37" t="n">
        <v>0.8706602474225658</v>
      </c>
      <c r="H21" s="37" t="n">
        <v>0.8206970340029189</v>
      </c>
      <c r="I21" s="37" t="n">
        <v>0.9416047454090508</v>
      </c>
      <c r="J21" s="37" t="n">
        <v>0.6214017214737237</v>
      </c>
      <c r="K21" s="37" t="n">
        <v>0.9433582504798624</v>
      </c>
      <c r="L21" s="42" t="inlineStr">
        <is>
          <t>KALINA</t>
        </is>
      </c>
      <c r="M21" s="29" t="n">
        <v>4.23251244494196</v>
      </c>
      <c r="N21" s="35" t="n">
        <v>76.13539150459626</v>
      </c>
      <c r="O21" s="36" t="n">
        <v>994.971638528423</v>
      </c>
      <c r="P21" s="29" t="n">
        <v>1.725076046192456</v>
      </c>
      <c r="Q21" s="16" t="inlineStr">
        <is>
          <t>sí</t>
        </is>
      </c>
      <c r="R21" s="16" t="n"/>
    </row>
    <row r="22">
      <c r="A22" s="16" t="inlineStr">
        <is>
          <t>KF-M04-0011</t>
        </is>
      </c>
      <c r="B22" s="35" t="n">
        <v>393.0748910558003</v>
      </c>
      <c r="C22" s="35" t="n">
        <v>300.0078082063647</v>
      </c>
      <c r="D22" s="36" t="n">
        <v>4074.385291768395</v>
      </c>
      <c r="E22" s="35" t="n">
        <v>752.4503944049836</v>
      </c>
      <c r="F22" s="37" t="n">
        <v>0.8465625365981719</v>
      </c>
      <c r="G22" s="37" t="n">
        <v>0.9064468360771684</v>
      </c>
      <c r="H22" s="37" t="n">
        <v>0.8644298012490181</v>
      </c>
      <c r="I22" s="37" t="n">
        <v>0.914719531723836</v>
      </c>
      <c r="J22" s="37" t="n">
        <v>0.6173186619270103</v>
      </c>
      <c r="K22" s="37" t="n">
        <v>0.7287889334499165</v>
      </c>
      <c r="L22" s="39" t="inlineStr">
        <is>
          <t>Corregible</t>
        </is>
      </c>
      <c r="M22" s="29" t="n">
        <v>5.06431591212764</v>
      </c>
      <c r="N22" s="35" t="n">
        <v>15.78208748758712</v>
      </c>
      <c r="O22" s="36" t="n">
        <v>3321.934897363411</v>
      </c>
      <c r="P22" s="29" t="n">
        <v>5.414822454828139</v>
      </c>
      <c r="Q22" s="16" t="inlineStr">
        <is>
          <t>no</t>
        </is>
      </c>
      <c r="R22" s="16" t="inlineStr">
        <is>
          <t>O2</t>
        </is>
      </c>
    </row>
    <row r="23">
      <c r="A23" s="16" t="inlineStr">
        <is>
          <t>KF-M04-0012</t>
        </is>
      </c>
      <c r="B23" s="35" t="n">
        <v>492.9726402795517</v>
      </c>
      <c r="C23" s="35" t="n">
        <v>282.6757405852386</v>
      </c>
      <c r="D23" s="36" t="n">
        <v>3466.398943143784</v>
      </c>
      <c r="E23" s="35" t="n">
        <v>1350.208152409668</v>
      </c>
      <c r="F23" s="37" t="n">
        <v>0.7997068792004672</v>
      </c>
      <c r="G23" s="37" t="n">
        <v>0.8911109075794137</v>
      </c>
      <c r="H23" s="37" t="n">
        <v>0.7842533279683477</v>
      </c>
      <c r="I23" s="37" t="n">
        <v>0.9490472752785788</v>
      </c>
      <c r="J23" s="37" t="n">
        <v>0.6890258460816664</v>
      </c>
      <c r="K23" s="37" t="n">
        <v>0.9100898504111889</v>
      </c>
      <c r="L23" s="32" t="inlineStr">
        <is>
          <t>No convergió</t>
        </is>
      </c>
      <c r="M23" s="29" t="inlineStr">
        <is>
          <t>—</t>
        </is>
      </c>
      <c r="N23" s="35" t="inlineStr">
        <is>
          <t>—</t>
        </is>
      </c>
      <c r="O23" s="36" t="n">
        <v>2116.190790734116</v>
      </c>
      <c r="P23" s="29" t="n">
        <v>2.567307075547889</v>
      </c>
      <c r="Q23" s="16" t="inlineStr">
        <is>
          <t>no</t>
        </is>
      </c>
      <c r="R23" s="16" t="n"/>
    </row>
    <row r="24">
      <c r="A24" s="16" t="inlineStr">
        <is>
          <t>KF-M04-0013</t>
        </is>
      </c>
      <c r="B24" s="35" t="n">
        <v>458.4589517493552</v>
      </c>
      <c r="C24" s="35" t="n">
        <v>280.3616755625405</v>
      </c>
      <c r="D24" s="36" t="n">
        <v>4887.596702919715</v>
      </c>
      <c r="E24" s="35" t="n">
        <v>1145.696865142446</v>
      </c>
      <c r="F24" s="37" t="n">
        <v>0.5989928000371841</v>
      </c>
      <c r="G24" s="37" t="n">
        <v>0.8173438430770014</v>
      </c>
      <c r="H24" s="37" t="n">
        <v>0.7563686298506922</v>
      </c>
      <c r="I24" s="37" t="n">
        <v>0.7269972269359757</v>
      </c>
      <c r="J24" s="37" t="n">
        <v>0.6308665149554195</v>
      </c>
      <c r="K24" s="37" t="n">
        <v>0.7192219836861274</v>
      </c>
      <c r="L24" s="39" t="inlineStr">
        <is>
          <t>Corregible</t>
        </is>
      </c>
      <c r="M24" s="29" t="n">
        <v>10.03052934258199</v>
      </c>
      <c r="N24" s="35" t="n">
        <v>81.2887631579685</v>
      </c>
      <c r="O24" s="36" t="n">
        <v>3741.899837777268</v>
      </c>
      <c r="P24" s="29" t="n">
        <v>4.266047024848961</v>
      </c>
      <c r="Q24" s="16" t="inlineStr">
        <is>
          <t>sí</t>
        </is>
      </c>
      <c r="R24" s="16" t="inlineStr">
        <is>
          <t>O2</t>
        </is>
      </c>
    </row>
    <row r="25">
      <c r="A25" s="16" t="inlineStr">
        <is>
          <t>KF-M04-0014</t>
        </is>
      </c>
      <c r="B25" s="35" t="n">
        <v>402.2711209191971</v>
      </c>
      <c r="C25" s="35" t="n">
        <v>299.7648548066754</v>
      </c>
      <c r="D25" s="36" t="n">
        <v>3368.976964654717</v>
      </c>
      <c r="E25" s="35" t="n">
        <v>853.3544276712398</v>
      </c>
      <c r="F25" s="37" t="n">
        <v>0.7396694379997305</v>
      </c>
      <c r="G25" s="37" t="n">
        <v>0.8679902905037116</v>
      </c>
      <c r="H25" s="37" t="n">
        <v>0.7601444565316198</v>
      </c>
      <c r="I25" s="37" t="n">
        <v>0.8587955981505073</v>
      </c>
      <c r="J25" s="37" t="n">
        <v>0.6318074125391835</v>
      </c>
      <c r="K25" s="37" t="n">
        <v>0.8138862568574596</v>
      </c>
      <c r="L25" s="39" t="inlineStr">
        <is>
          <t>Corregible</t>
        </is>
      </c>
      <c r="M25" s="29" t="n">
        <v>11.11998469574395</v>
      </c>
      <c r="N25" s="35" t="n">
        <v>81.57936138722921</v>
      </c>
      <c r="O25" s="36" t="n">
        <v>2515.622536983476</v>
      </c>
      <c r="P25" s="29" t="n">
        <v>3.947922288103058</v>
      </c>
      <c r="Q25" s="16" t="inlineStr">
        <is>
          <t>no</t>
        </is>
      </c>
      <c r="R25" s="16" t="inlineStr">
        <is>
          <t>O2</t>
        </is>
      </c>
    </row>
    <row r="26">
      <c r="A26" s="16" t="inlineStr">
        <is>
          <t>KF-M04-0015</t>
        </is>
      </c>
      <c r="B26" s="35" t="n">
        <v>410.4815830686125</v>
      </c>
      <c r="C26" s="35" t="n">
        <v>287.6115228905517</v>
      </c>
      <c r="D26" s="36" t="n">
        <v>3682.617964392429</v>
      </c>
      <c r="E26" s="35" t="n">
        <v>1434.311362270726</v>
      </c>
      <c r="F26" s="37" t="n">
        <v>0.752231868266695</v>
      </c>
      <c r="G26" s="37" t="n">
        <v>0.784044991241699</v>
      </c>
      <c r="H26" s="37" t="n">
        <v>0.8323328932790151</v>
      </c>
      <c r="I26" s="37" t="n">
        <v>0.8296422914641496</v>
      </c>
      <c r="J26" s="37" t="n">
        <v>0.8262379636349058</v>
      </c>
      <c r="K26" s="37" t="n">
        <v>0.9264710250434078</v>
      </c>
      <c r="L26" s="42" t="inlineStr">
        <is>
          <t>KALINA</t>
        </is>
      </c>
      <c r="M26" s="29" t="n">
        <v>7.0284516347669</v>
      </c>
      <c r="N26" s="35" t="n">
        <v>58.70640588734442</v>
      </c>
      <c r="O26" s="36" t="n">
        <v>2248.306602121702</v>
      </c>
      <c r="P26" s="29" t="n">
        <v>2.567516413285816</v>
      </c>
      <c r="Q26" s="16" t="inlineStr">
        <is>
          <t>no</t>
        </is>
      </c>
      <c r="R26" s="16" t="n"/>
    </row>
    <row r="27">
      <c r="A27" s="16" t="inlineStr">
        <is>
          <t>KF-M04-0016</t>
        </is>
      </c>
      <c r="B27" s="35" t="n">
        <v>384.3990057833748</v>
      </c>
      <c r="C27" s="35" t="n">
        <v>291.5388486684531</v>
      </c>
      <c r="D27" s="36" t="n">
        <v>3558.443204699293</v>
      </c>
      <c r="E27" s="35" t="n">
        <v>668.3467653773705</v>
      </c>
      <c r="F27" s="37" t="n">
        <v>0.6751227700922948</v>
      </c>
      <c r="G27" s="37" t="n">
        <v>0.8627095096780527</v>
      </c>
      <c r="H27" s="37" t="n">
        <v>0.7552450887734984</v>
      </c>
      <c r="I27" s="37" t="n">
        <v>0.6232330857316662</v>
      </c>
      <c r="J27" s="37" t="n">
        <v>0.9130523290981232</v>
      </c>
      <c r="K27" s="37" t="n">
        <v>0.8664956479731942</v>
      </c>
      <c r="L27" s="42" t="inlineStr">
        <is>
          <t>KALINA</t>
        </is>
      </c>
      <c r="M27" s="29" t="n">
        <v>10.5402201105646</v>
      </c>
      <c r="N27" s="35" t="n">
        <v>26.53351412425448</v>
      </c>
      <c r="O27" s="36" t="n">
        <v>2890.096439321923</v>
      </c>
      <c r="P27" s="29" t="n">
        <v>5.324246916479172</v>
      </c>
      <c r="Q27" s="16" t="inlineStr">
        <is>
          <t>no</t>
        </is>
      </c>
      <c r="R27" s="16" t="n"/>
    </row>
    <row r="28">
      <c r="A28" s="16" t="inlineStr">
        <is>
          <t>KF-M04-0017</t>
        </is>
      </c>
      <c r="B28" s="35" t="n">
        <v>445.6085236065686</v>
      </c>
      <c r="C28" s="35" t="n">
        <v>285.7021288891295</v>
      </c>
      <c r="D28" s="36" t="n">
        <v>3600.243700547929</v>
      </c>
      <c r="E28" s="35" t="n">
        <v>1228.609862350464</v>
      </c>
      <c r="F28" s="37" t="n">
        <v>0.5164047065797122</v>
      </c>
      <c r="G28" s="37" t="n">
        <v>0.8212279064170683</v>
      </c>
      <c r="H28" s="37" t="n">
        <v>0.7231882265218526</v>
      </c>
      <c r="I28" s="37" t="n">
        <v>0.7618599445575309</v>
      </c>
      <c r="J28" s="37" t="n">
        <v>0.9086205620082192</v>
      </c>
      <c r="K28" s="37" t="n">
        <v>0.8636043263353845</v>
      </c>
      <c r="L28" s="42" t="inlineStr">
        <is>
          <t>KALINA</t>
        </is>
      </c>
      <c r="M28" s="29" t="n">
        <v>7.28108201701882</v>
      </c>
      <c r="N28" s="35" t="n">
        <v>50.76972984446494</v>
      </c>
      <c r="O28" s="36" t="n">
        <v>2371.633838197465</v>
      </c>
      <c r="P28" s="29" t="n">
        <v>2.930339248343875</v>
      </c>
      <c r="Q28" s="16" t="inlineStr">
        <is>
          <t>sí</t>
        </is>
      </c>
      <c r="R28" s="16" t="n"/>
    </row>
    <row r="29">
      <c r="A29" s="16" t="inlineStr">
        <is>
          <t>KF-M04-0018</t>
        </is>
      </c>
      <c r="B29" s="35" t="n">
        <v>460.7960385328633</v>
      </c>
      <c r="C29" s="35" t="n">
        <v>283.7434464280537</v>
      </c>
      <c r="D29" s="36" t="n">
        <v>2092.479305809892</v>
      </c>
      <c r="E29" s="35" t="n">
        <v>1165.177264282256</v>
      </c>
      <c r="F29" s="37" t="n">
        <v>0.5015728011296993</v>
      </c>
      <c r="G29" s="37" t="n">
        <v>0.8110089865729434</v>
      </c>
      <c r="H29" s="37" t="n">
        <v>0.8132821030401718</v>
      </c>
      <c r="I29" s="37" t="n">
        <v>0.8257415588838218</v>
      </c>
      <c r="J29" s="37" t="n">
        <v>0.8675492684641708</v>
      </c>
      <c r="K29" s="37" t="n">
        <v>0.7102358006180424</v>
      </c>
      <c r="L29" s="39" t="inlineStr">
        <is>
          <t>Corregible</t>
        </is>
      </c>
      <c r="M29" s="29" t="n">
        <v>3.95147207169215</v>
      </c>
      <c r="N29" s="35" t="n">
        <v>57.92545273094045</v>
      </c>
      <c r="O29" s="36" t="n">
        <v>927.3020415276364</v>
      </c>
      <c r="P29" s="29" t="n">
        <v>1.795846323090462</v>
      </c>
      <c r="Q29" s="16" t="inlineStr">
        <is>
          <t>sí</t>
        </is>
      </c>
      <c r="R29" s="16" t="inlineStr">
        <is>
          <t>O2</t>
        </is>
      </c>
    </row>
    <row r="30">
      <c r="A30" s="16" t="inlineStr">
        <is>
          <t>KF-M04-0019</t>
        </is>
      </c>
      <c r="B30" s="35" t="n">
        <v>381.517040722862</v>
      </c>
      <c r="C30" s="35" t="n">
        <v>298.9508409352265</v>
      </c>
      <c r="D30" s="36" t="n">
        <v>3885.397077479057</v>
      </c>
      <c r="E30" s="35" t="n">
        <v>490.8435874415852</v>
      </c>
      <c r="F30" s="37" t="n">
        <v>0.5791611087308084</v>
      </c>
      <c r="G30" s="37" t="n">
        <v>0.7804222913748103</v>
      </c>
      <c r="H30" s="37" t="n">
        <v>0.8633979644197292</v>
      </c>
      <c r="I30" s="37" t="n">
        <v>0.900531642858731</v>
      </c>
      <c r="J30" s="37" t="n">
        <v>0.7701046190816374</v>
      </c>
      <c r="K30" s="37" t="n">
        <v>0.7160732823484239</v>
      </c>
      <c r="L30" s="38" t="inlineStr">
        <is>
          <t>Falso convergido</t>
        </is>
      </c>
      <c r="M30" s="29" t="inlineStr">
        <is>
          <t>—</t>
        </is>
      </c>
      <c r="N30" s="35" t="inlineStr">
        <is>
          <t>—</t>
        </is>
      </c>
      <c r="O30" s="36" t="n">
        <v>3394.553490037471</v>
      </c>
      <c r="P30" s="29" t="n">
        <v>7.915753973136002</v>
      </c>
      <c r="Q30" s="16" t="inlineStr">
        <is>
          <t>no</t>
        </is>
      </c>
      <c r="R30" s="16" t="inlineStr">
        <is>
          <t>N2,S6,O3,O5,C1,C3,C3</t>
        </is>
      </c>
    </row>
    <row r="31">
      <c r="A31" s="16" t="inlineStr">
        <is>
          <t>KF-M04-0020</t>
        </is>
      </c>
      <c r="B31" s="35" t="n">
        <v>414.2648055273476</v>
      </c>
      <c r="C31" s="35" t="n">
        <v>287.8220545118322</v>
      </c>
      <c r="D31" s="36" t="n">
        <v>4841.777082605592</v>
      </c>
      <c r="E31" s="35" t="n">
        <v>1106.653520282203</v>
      </c>
      <c r="F31" s="37" t="n">
        <v>0.6766789211455704</v>
      </c>
      <c r="G31" s="37" t="n">
        <v>0.8264975762861092</v>
      </c>
      <c r="H31" s="37" t="n">
        <v>0.8182122291936239</v>
      </c>
      <c r="I31" s="37" t="n">
        <v>0.8691641120843575</v>
      </c>
      <c r="J31" s="37" t="n">
        <v>0.9043697258301904</v>
      </c>
      <c r="K31" s="37" t="n">
        <v>0.7948620035718433</v>
      </c>
      <c r="L31" s="42" t="inlineStr">
        <is>
          <t>KALINA</t>
        </is>
      </c>
      <c r="M31" s="29" t="n">
        <v>10.90847078288936</v>
      </c>
      <c r="N31" s="35" t="n">
        <v>57.83586001465822</v>
      </c>
      <c r="O31" s="36" t="n">
        <v>3735.123562323389</v>
      </c>
      <c r="P31" s="29" t="n">
        <v>4.375151747017361</v>
      </c>
      <c r="Q31" s="16" t="inlineStr">
        <is>
          <t>no</t>
        </is>
      </c>
      <c r="R31" s="16" t="n"/>
    </row>
    <row r="32">
      <c r="A32" s="16" t="inlineStr">
        <is>
          <t>KF-M04-0021</t>
        </is>
      </c>
      <c r="B32" s="35" t="n">
        <v>468.4687376957637</v>
      </c>
      <c r="C32" s="35" t="n">
        <v>291.1877568543284</v>
      </c>
      <c r="D32" s="36" t="n">
        <v>4360.074008942871</v>
      </c>
      <c r="E32" s="35" t="n">
        <v>1363.548173592592</v>
      </c>
      <c r="F32" s="37" t="n">
        <v>0.5499123819102221</v>
      </c>
      <c r="G32" s="37" t="n">
        <v>0.8183216320714576</v>
      </c>
      <c r="H32" s="37" t="n">
        <v>0.7090068115225405</v>
      </c>
      <c r="I32" s="37" t="n">
        <v>0.6692121173168507</v>
      </c>
      <c r="J32" s="37" t="n">
        <v>0.9473670996620904</v>
      </c>
      <c r="K32" s="37" t="n">
        <v>0.7655162364017868</v>
      </c>
      <c r="L32" s="39" t="inlineStr">
        <is>
          <t>Corregible</t>
        </is>
      </c>
      <c r="M32" s="29" t="n">
        <v>8.831474528965339</v>
      </c>
      <c r="N32" s="35" t="n">
        <v>74.19554880396677</v>
      </c>
      <c r="O32" s="36" t="n">
        <v>2996.52583535028</v>
      </c>
      <c r="P32" s="29" t="n">
        <v>3.197594403617747</v>
      </c>
      <c r="Q32" s="16" t="inlineStr">
        <is>
          <t>sí</t>
        </is>
      </c>
      <c r="R32" s="16" t="inlineStr">
        <is>
          <t>O2</t>
        </is>
      </c>
    </row>
    <row r="33">
      <c r="A33" s="16" t="inlineStr">
        <is>
          <t>KF-M04-0022</t>
        </is>
      </c>
      <c r="B33" s="35" t="n">
        <v>481.2095367996525</v>
      </c>
      <c r="C33" s="35" t="n">
        <v>296.0791881843862</v>
      </c>
      <c r="D33" s="36" t="n">
        <v>2419.567795477219</v>
      </c>
      <c r="E33" s="35" t="n">
        <v>376.8283965048228</v>
      </c>
      <c r="F33" s="37" t="n">
        <v>0.5043508925254866</v>
      </c>
      <c r="G33" s="37" t="n">
        <v>0.8095544758290588</v>
      </c>
      <c r="H33" s="37" t="n">
        <v>0.714459882917308</v>
      </c>
      <c r="I33" s="37" t="n">
        <v>0.8191304907889105</v>
      </c>
      <c r="J33" s="37" t="n">
        <v>0.7189516991265359</v>
      </c>
      <c r="K33" s="37" t="n">
        <v>0.8791922918854649</v>
      </c>
      <c r="L33" s="39" t="inlineStr">
        <is>
          <t>Corregible</t>
        </is>
      </c>
      <c r="M33" s="29" t="n">
        <v>11.82017515147912</v>
      </c>
      <c r="N33" s="35" t="n">
        <v>204.1373156039437</v>
      </c>
      <c r="O33" s="36" t="n">
        <v>2042.739398972396</v>
      </c>
      <c r="P33" s="29" t="n">
        <v>6.420874376557904</v>
      </c>
      <c r="Q33" s="16" t="inlineStr">
        <is>
          <t>sí</t>
        </is>
      </c>
      <c r="R33" s="16" t="inlineStr">
        <is>
          <t>O2</t>
        </is>
      </c>
    </row>
    <row r="34">
      <c r="A34" s="16" t="inlineStr">
        <is>
          <t>KF-M04-0023</t>
        </is>
      </c>
      <c r="B34" s="35" t="n">
        <v>435.5194320411548</v>
      </c>
      <c r="C34" s="35" t="n">
        <v>279.233717190693</v>
      </c>
      <c r="D34" s="36" t="n">
        <v>4185.140844201076</v>
      </c>
      <c r="E34" s="35" t="n">
        <v>425.1559511397466</v>
      </c>
      <c r="F34" s="37" t="n">
        <v>0.8049419050400812</v>
      </c>
      <c r="G34" s="37" t="n">
        <v>0.8290774165978586</v>
      </c>
      <c r="H34" s="37" t="n">
        <v>0.8391173125735742</v>
      </c>
      <c r="I34" s="37" t="n">
        <v>0.6840591950103064</v>
      </c>
      <c r="J34" s="37" t="n">
        <v>0.8481262763794548</v>
      </c>
      <c r="K34" s="37" t="n">
        <v>0.8972580002784932</v>
      </c>
      <c r="L34" s="39" t="inlineStr">
        <is>
          <t>Corregible</t>
        </is>
      </c>
      <c r="M34" s="29" t="n">
        <v>17.21868506121507</v>
      </c>
      <c r="N34" s="35" t="n">
        <v>164.7354337172538</v>
      </c>
      <c r="O34" s="36" t="n">
        <v>3759.984893061329</v>
      </c>
      <c r="P34" s="29" t="n">
        <v>9.843778107731206</v>
      </c>
      <c r="Q34" s="16" t="inlineStr">
        <is>
          <t>no</t>
        </is>
      </c>
      <c r="R34" s="16" t="inlineStr">
        <is>
          <t>O2</t>
        </is>
      </c>
    </row>
    <row r="35">
      <c r="A35" s="16" t="inlineStr">
        <is>
          <t>KF-M04-0024</t>
        </is>
      </c>
      <c r="B35" s="35" t="n">
        <v>392.2904056254739</v>
      </c>
      <c r="C35" s="35" t="n">
        <v>297.7231829079629</v>
      </c>
      <c r="D35" s="36" t="n">
        <v>2596.987028322553</v>
      </c>
      <c r="E35" s="35" t="n">
        <v>1392.940294092044</v>
      </c>
      <c r="F35" s="37" t="n">
        <v>0.8291528055280766</v>
      </c>
      <c r="G35" s="37" t="n">
        <v>0.8586511313333115</v>
      </c>
      <c r="H35" s="37" t="n">
        <v>0.6598080991381683</v>
      </c>
      <c r="I35" s="37" t="n">
        <v>0.659383732022264</v>
      </c>
      <c r="J35" s="37" t="n">
        <v>0.8154770952282242</v>
      </c>
      <c r="K35" s="37" t="n">
        <v>0.7150851697964457</v>
      </c>
      <c r="L35" s="39" t="inlineStr">
        <is>
          <t>Corregible</t>
        </is>
      </c>
      <c r="M35" s="29" t="n">
        <v>5.14272240646867</v>
      </c>
      <c r="N35" s="35" t="n">
        <v>32.79882711082332</v>
      </c>
      <c r="O35" s="36" t="n">
        <v>1204.046734230508</v>
      </c>
      <c r="P35" s="29" t="n">
        <v>1.864392206426434</v>
      </c>
      <c r="Q35" s="16" t="inlineStr">
        <is>
          <t>no</t>
        </is>
      </c>
      <c r="R35" s="16" t="inlineStr">
        <is>
          <t>O2</t>
        </is>
      </c>
    </row>
    <row r="36">
      <c r="A36" s="16" t="inlineStr">
        <is>
          <t>KF-M04-0025</t>
        </is>
      </c>
      <c r="B36" s="35" t="n">
        <v>393.6668502509162</v>
      </c>
      <c r="C36" s="35" t="n">
        <v>286.7617418817978</v>
      </c>
      <c r="D36" s="36" t="n">
        <v>3569.578832265039</v>
      </c>
      <c r="E36" s="35" t="n">
        <v>649.1854608000708</v>
      </c>
      <c r="F36" s="37" t="n">
        <v>0.8221417356174029</v>
      </c>
      <c r="G36" s="37" t="n">
        <v>0.911651944270523</v>
      </c>
      <c r="H36" s="37" t="n">
        <v>0.8572457168646404</v>
      </c>
      <c r="I36" s="37" t="n">
        <v>0.6619101028005296</v>
      </c>
      <c r="J36" s="37" t="n">
        <v>0.8947650750272844</v>
      </c>
      <c r="K36" s="37" t="n">
        <v>0.7047059452838946</v>
      </c>
      <c r="L36" s="39" t="inlineStr">
        <is>
          <t>Corregible</t>
        </is>
      </c>
      <c r="M36" s="29" t="n">
        <v>14.10222542661204</v>
      </c>
      <c r="N36" s="35" t="n">
        <v>81.58516492283111</v>
      </c>
      <c r="O36" s="36" t="n">
        <v>2920.393371464968</v>
      </c>
      <c r="P36" s="29" t="n">
        <v>5.498550179891289</v>
      </c>
      <c r="Q36" s="16" t="inlineStr">
        <is>
          <t>no</t>
        </is>
      </c>
      <c r="R36" s="16" t="inlineStr">
        <is>
          <t>O2</t>
        </is>
      </c>
    </row>
    <row r="37">
      <c r="A37" s="16" t="inlineStr">
        <is>
          <t>KF-M04-0026</t>
        </is>
      </c>
      <c r="B37" s="35" t="n">
        <v>469.9999780974126</v>
      </c>
      <c r="C37" s="35" t="n">
        <v>292.256543372837</v>
      </c>
      <c r="D37" s="36" t="n">
        <v>4430.809266456108</v>
      </c>
      <c r="E37" s="35" t="n">
        <v>440.8911787289314</v>
      </c>
      <c r="F37" s="37" t="n">
        <v>0.5804817754448367</v>
      </c>
      <c r="G37" s="37" t="n">
        <v>0.8532856150542854</v>
      </c>
      <c r="H37" s="37" t="n">
        <v>0.8276431257613591</v>
      </c>
      <c r="I37" s="37" t="n">
        <v>0.8234699380609934</v>
      </c>
      <c r="J37" s="37" t="n">
        <v>0.6524251169217826</v>
      </c>
      <c r="K37" s="37" t="n">
        <v>0.8839146552701898</v>
      </c>
      <c r="L37" s="39" t="inlineStr">
        <is>
          <t>Corregible</t>
        </is>
      </c>
      <c r="M37" s="29" t="n">
        <v>15.59378728806765</v>
      </c>
      <c r="N37" s="35" t="n">
        <v>197.8723592150954</v>
      </c>
      <c r="O37" s="36" t="n">
        <v>3989.918087727177</v>
      </c>
      <c r="P37" s="29" t="n">
        <v>10.04966640346474</v>
      </c>
      <c r="Q37" s="16" t="inlineStr">
        <is>
          <t>sí</t>
        </is>
      </c>
      <c r="R37" s="16" t="inlineStr">
        <is>
          <t>O1,O2</t>
        </is>
      </c>
    </row>
    <row r="38">
      <c r="A38" s="16" t="inlineStr">
        <is>
          <t>KF-M04-0027</t>
        </is>
      </c>
      <c r="B38" s="35" t="n">
        <v>437.3384646431107</v>
      </c>
      <c r="C38" s="35" t="n">
        <v>295.3142762724335</v>
      </c>
      <c r="D38" s="36" t="n">
        <v>2551.739378621204</v>
      </c>
      <c r="E38" s="35" t="n">
        <v>705.0432321114513</v>
      </c>
      <c r="F38" s="37" t="n">
        <v>0.7702097777705513</v>
      </c>
      <c r="G38" s="37" t="n">
        <v>0.8363741910550332</v>
      </c>
      <c r="H38" s="37" t="n">
        <v>0.7673916227347499</v>
      </c>
      <c r="I38" s="37" t="n">
        <v>0.9462895100609232</v>
      </c>
      <c r="J38" s="37" t="n">
        <v>0.7766967879722532</v>
      </c>
      <c r="K38" s="37" t="n">
        <v>0.7309507932656528</v>
      </c>
      <c r="L38" s="39" t="inlineStr">
        <is>
          <t>Corregible</t>
        </is>
      </c>
      <c r="M38" s="29" t="n">
        <v>8.65798429166359</v>
      </c>
      <c r="N38" s="35" t="n">
        <v>113.5776010331161</v>
      </c>
      <c r="O38" s="36" t="n">
        <v>1846.696146509753</v>
      </c>
      <c r="P38" s="29" t="n">
        <v>3.619266539130231</v>
      </c>
      <c r="Q38" s="16" t="inlineStr">
        <is>
          <t>sí</t>
        </is>
      </c>
      <c r="R38" s="16" t="inlineStr">
        <is>
          <t>O2</t>
        </is>
      </c>
    </row>
    <row r="39">
      <c r="A39" s="16" t="inlineStr">
        <is>
          <t>KF-M04-0028</t>
        </is>
      </c>
      <c r="B39" s="35" t="n">
        <v>385.0173082371893</v>
      </c>
      <c r="C39" s="35" t="n">
        <v>287.3743664806587</v>
      </c>
      <c r="D39" s="36" t="n">
        <v>3540.032699498654</v>
      </c>
      <c r="E39" s="35" t="n">
        <v>665.9320005381501</v>
      </c>
      <c r="F39" s="37" t="n">
        <v>0.753271089816677</v>
      </c>
      <c r="G39" s="37" t="n">
        <v>0.7786906292897584</v>
      </c>
      <c r="H39" s="37" t="n">
        <v>0.6736800555644287</v>
      </c>
      <c r="I39" s="37" t="n">
        <v>0.6828621581967723</v>
      </c>
      <c r="J39" s="37" t="n">
        <v>0.8290830936684517</v>
      </c>
      <c r="K39" s="37" t="n">
        <v>0.723256866088802</v>
      </c>
      <c r="L39" s="39" t="inlineStr">
        <is>
          <t>Corregible</t>
        </is>
      </c>
      <c r="M39" s="29" t="n">
        <v>10.10545759849014</v>
      </c>
      <c r="N39" s="35" t="n">
        <v>43.77056925345025</v>
      </c>
      <c r="O39" s="36" t="n">
        <v>2874.100698960504</v>
      </c>
      <c r="P39" s="29" t="n">
        <v>5.315907174663326</v>
      </c>
      <c r="Q39" s="16" t="inlineStr">
        <is>
          <t>no</t>
        </is>
      </c>
      <c r="R39" s="16" t="inlineStr">
        <is>
          <t>O2</t>
        </is>
      </c>
    </row>
    <row r="40">
      <c r="A40" s="16" t="inlineStr">
        <is>
          <t>KF-M04-0029</t>
        </is>
      </c>
      <c r="B40" s="35" t="n">
        <v>480.7006963136511</v>
      </c>
      <c r="C40" s="35" t="n">
        <v>286.4946709019569</v>
      </c>
      <c r="D40" s="36" t="n">
        <v>3206.440936249397</v>
      </c>
      <c r="E40" s="35" t="n">
        <v>577.3755443674788</v>
      </c>
      <c r="F40" s="37" t="n">
        <v>0.6994056719673754</v>
      </c>
      <c r="G40" s="37" t="n">
        <v>0.8952621664713077</v>
      </c>
      <c r="H40" s="37" t="n">
        <v>0.8169526703643966</v>
      </c>
      <c r="I40" s="37" t="n">
        <v>0.9123131578248984</v>
      </c>
      <c r="J40" s="37" t="n">
        <v>0.6770708312582564</v>
      </c>
      <c r="K40" s="37" t="n">
        <v>0.7378213671227706</v>
      </c>
      <c r="L40" s="39" t="inlineStr">
        <is>
          <t>Corregible</t>
        </is>
      </c>
      <c r="M40" s="29" t="n">
        <v>12.73555589222774</v>
      </c>
      <c r="N40" s="35" t="n">
        <v>188.3983104155379</v>
      </c>
      <c r="O40" s="36" t="n">
        <v>2629.065391881918</v>
      </c>
      <c r="P40" s="29" t="n">
        <v>5.553475493601114</v>
      </c>
      <c r="Q40" s="16" t="inlineStr">
        <is>
          <t>sí</t>
        </is>
      </c>
      <c r="R40" s="16" t="inlineStr">
        <is>
          <t>O2</t>
        </is>
      </c>
    </row>
    <row r="41">
      <c r="A41" s="16" t="inlineStr">
        <is>
          <t>KF-M04-0030</t>
        </is>
      </c>
      <c r="B41" s="35" t="n">
        <v>487.8912921339268</v>
      </c>
      <c r="C41" s="35" t="n">
        <v>302.7014821042908</v>
      </c>
      <c r="D41" s="36" t="n">
        <v>3899.225122832088</v>
      </c>
      <c r="E41" s="35" t="n">
        <v>987.854612020384</v>
      </c>
      <c r="F41" s="37" t="n">
        <v>0.6905916761792669</v>
      </c>
      <c r="G41" s="37" t="n">
        <v>0.8892067669250205</v>
      </c>
      <c r="H41" s="37" t="n">
        <v>0.6622896146425568</v>
      </c>
      <c r="I41" s="37" t="n">
        <v>0.9308641328735816</v>
      </c>
      <c r="J41" s="37" t="n">
        <v>0.8869199224676667</v>
      </c>
      <c r="K41" s="37" t="n">
        <v>0.8523696632061704</v>
      </c>
      <c r="L41" s="39" t="inlineStr">
        <is>
          <t>Corregible</t>
        </is>
      </c>
      <c r="M41" s="29" t="n">
        <v>11.07413374942874</v>
      </c>
      <c r="N41" s="35" t="n">
        <v>185.6634072077904</v>
      </c>
      <c r="O41" s="36" t="n">
        <v>2911.370510811704</v>
      </c>
      <c r="P41" s="29" t="n">
        <v>3.947164972846864</v>
      </c>
      <c r="Q41" s="16" t="inlineStr">
        <is>
          <t>sí</t>
        </is>
      </c>
      <c r="R41" s="16" t="inlineStr">
        <is>
          <t>O2</t>
        </is>
      </c>
    </row>
    <row r="42">
      <c r="A42" s="16" t="inlineStr">
        <is>
          <t>KF-M04-0031</t>
        </is>
      </c>
      <c r="B42" s="35" t="n">
        <v>494.3217628451121</v>
      </c>
      <c r="C42" s="35" t="n">
        <v>282.7954125644885</v>
      </c>
      <c r="D42" s="36" t="n">
        <v>3514.701368988619</v>
      </c>
      <c r="E42" s="35" t="n">
        <v>586.9384338881721</v>
      </c>
      <c r="F42" s="37" t="n">
        <v>0.534283312314304</v>
      </c>
      <c r="G42" s="37" t="n">
        <v>0.773309877010983</v>
      </c>
      <c r="H42" s="37" t="n">
        <v>0.7826133865144773</v>
      </c>
      <c r="I42" s="37" t="n">
        <v>0.7234800035441454</v>
      </c>
      <c r="J42" s="37" t="n">
        <v>0.8562549186889343</v>
      </c>
      <c r="K42" s="37" t="n">
        <v>0.7719075974323282</v>
      </c>
      <c r="L42" s="39" t="inlineStr">
        <is>
          <t>Corregible</t>
        </is>
      </c>
      <c r="M42" s="29" t="n">
        <v>11.34769036547371</v>
      </c>
      <c r="N42" s="35" t="n">
        <v>158.5088845462313</v>
      </c>
      <c r="O42" s="36" t="n">
        <v>2927.762935100447</v>
      </c>
      <c r="P42" s="29" t="n">
        <v>5.988194273981155</v>
      </c>
      <c r="Q42" s="16" t="inlineStr">
        <is>
          <t>sí</t>
        </is>
      </c>
      <c r="R42" s="16" t="inlineStr">
        <is>
          <t>O2</t>
        </is>
      </c>
    </row>
    <row r="43">
      <c r="A43" s="16" t="inlineStr">
        <is>
          <t>KF-M04-0032</t>
        </is>
      </c>
      <c r="B43" s="35" t="n">
        <v>447.5403059817739</v>
      </c>
      <c r="C43" s="35" t="n">
        <v>297.1113249852779</v>
      </c>
      <c r="D43" s="36" t="n">
        <v>4546.340013162568</v>
      </c>
      <c r="E43" s="35" t="n">
        <v>495.370174083842</v>
      </c>
      <c r="F43" s="37" t="n">
        <v>0.6164259823671855</v>
      </c>
      <c r="G43" s="37" t="n">
        <v>0.7561683441302542</v>
      </c>
      <c r="H43" s="37" t="n">
        <v>0.8881691002974871</v>
      </c>
      <c r="I43" s="37" t="n">
        <v>0.702889277733699</v>
      </c>
      <c r="J43" s="37" t="n">
        <v>0.609384898288126</v>
      </c>
      <c r="K43" s="37" t="n">
        <v>0.8276351070796421</v>
      </c>
      <c r="L43" s="39" t="inlineStr">
        <is>
          <t>Corregible</t>
        </is>
      </c>
      <c r="M43" s="29" t="n">
        <v>12.58898481019944</v>
      </c>
      <c r="N43" s="35" t="n">
        <v>93.16990986427696</v>
      </c>
      <c r="O43" s="36" t="n">
        <v>4050.969839078726</v>
      </c>
      <c r="P43" s="29" t="n">
        <v>9.177661980902981</v>
      </c>
      <c r="Q43" s="16" t="inlineStr">
        <is>
          <t>sí</t>
        </is>
      </c>
      <c r="R43" s="16" t="inlineStr">
        <is>
          <t>O2</t>
        </is>
      </c>
    </row>
    <row r="44">
      <c r="A44" s="16" t="inlineStr">
        <is>
          <t>KF-M04-0033</t>
        </is>
      </c>
      <c r="B44" s="35" t="n">
        <v>433.6243058999922</v>
      </c>
      <c r="C44" s="35" t="n">
        <v>279.9231031154966</v>
      </c>
      <c r="D44" s="36" t="n">
        <v>2160.485723338179</v>
      </c>
      <c r="E44" s="35" t="n">
        <v>451.1849669195475</v>
      </c>
      <c r="F44" s="37" t="n">
        <v>0.7747804631629771</v>
      </c>
      <c r="G44" s="37" t="n">
        <v>0.8080517039182611</v>
      </c>
      <c r="H44" s="37" t="n">
        <v>0.6788980739827942</v>
      </c>
      <c r="I44" s="37" t="n">
        <v>0.6031970463922085</v>
      </c>
      <c r="J44" s="37" t="n">
        <v>0.8279250336907824</v>
      </c>
      <c r="K44" s="37" t="n">
        <v>0.7581480882321279</v>
      </c>
      <c r="L44" s="39" t="inlineStr">
        <is>
          <t>Corregible</t>
        </is>
      </c>
      <c r="M44" s="29" t="n">
        <v>10.55836234269646</v>
      </c>
      <c r="N44" s="35" t="n">
        <v>101.5809955264819</v>
      </c>
      <c r="O44" s="36" t="n">
        <v>1709.300756418631</v>
      </c>
      <c r="P44" s="29" t="n">
        <v>4.788470099278427</v>
      </c>
      <c r="Q44" s="16" t="inlineStr">
        <is>
          <t>no</t>
        </is>
      </c>
      <c r="R44" s="16" t="inlineStr">
        <is>
          <t>O2</t>
        </is>
      </c>
    </row>
    <row r="45">
      <c r="A45" s="16" t="inlineStr">
        <is>
          <t>KF-M04-0034</t>
        </is>
      </c>
      <c r="B45" s="35" t="n">
        <v>498.73187817156</v>
      </c>
      <c r="C45" s="35" t="n">
        <v>301.3808703268818</v>
      </c>
      <c r="D45" s="36" t="n">
        <v>4238.795622881742</v>
      </c>
      <c r="E45" s="35" t="n">
        <v>1208.258783111841</v>
      </c>
      <c r="F45" s="37" t="n">
        <v>0.7374648205983418</v>
      </c>
      <c r="G45" s="37" t="n">
        <v>0.8091518481050851</v>
      </c>
      <c r="H45" s="37" t="n">
        <v>0.8450516985031936</v>
      </c>
      <c r="I45" s="37" t="n">
        <v>0.8955761854767197</v>
      </c>
      <c r="J45" s="37" t="n">
        <v>0.7592678962172132</v>
      </c>
      <c r="K45" s="37" t="n">
        <v>0.7243673056913783</v>
      </c>
      <c r="L45" s="39" t="inlineStr">
        <is>
          <t>Corregible</t>
        </is>
      </c>
      <c r="M45" s="29" t="n">
        <v>8.857948089085641</v>
      </c>
      <c r="N45" s="35" t="n">
        <v>120.7152932802979</v>
      </c>
      <c r="O45" s="36" t="n">
        <v>3030.536839769901</v>
      </c>
      <c r="P45" s="29" t="n">
        <v>3.508185234925277</v>
      </c>
      <c r="Q45" s="16" t="inlineStr">
        <is>
          <t>sí</t>
        </is>
      </c>
      <c r="R45" s="16" t="inlineStr">
        <is>
          <t>O2</t>
        </is>
      </c>
    </row>
    <row r="46">
      <c r="A46" s="16" t="inlineStr">
        <is>
          <t>KF-M04-0035</t>
        </is>
      </c>
      <c r="B46" s="35" t="n">
        <v>429.5178477405406</v>
      </c>
      <c r="C46" s="35" t="n">
        <v>300.6589462832984</v>
      </c>
      <c r="D46" s="36" t="n">
        <v>4160.685291819645</v>
      </c>
      <c r="E46" s="35" t="n">
        <v>1168.545778067049</v>
      </c>
      <c r="F46" s="37" t="n">
        <v>0.6457098375575764</v>
      </c>
      <c r="G46" s="37" t="n">
        <v>0.7822351197000063</v>
      </c>
      <c r="H46" s="37" t="n">
        <v>0.7734764014595111</v>
      </c>
      <c r="I46" s="37" t="n">
        <v>0.6943068706449426</v>
      </c>
      <c r="J46" s="37" t="n">
        <v>0.8219133016140339</v>
      </c>
      <c r="K46" s="37" t="n">
        <v>0.9425472838676124</v>
      </c>
      <c r="L46" s="42" t="inlineStr">
        <is>
          <t>KALINA</t>
        </is>
      </c>
      <c r="M46" s="29" t="n">
        <v>8.44314300208435</v>
      </c>
      <c r="N46" s="35" t="n">
        <v>52.66526671570394</v>
      </c>
      <c r="O46" s="36" t="n">
        <v>2992.139513752596</v>
      </c>
      <c r="P46" s="29" t="n">
        <v>3.560566791574093</v>
      </c>
      <c r="Q46" s="16" t="inlineStr">
        <is>
          <t>no</t>
        </is>
      </c>
      <c r="R46" s="16" t="n"/>
    </row>
    <row r="47">
      <c r="A47" s="16" t="inlineStr">
        <is>
          <t>KF-M04-0036</t>
        </is>
      </c>
      <c r="B47" s="35" t="n">
        <v>418.0014386282538</v>
      </c>
      <c r="C47" s="35" t="n">
        <v>300.3809008495073</v>
      </c>
      <c r="D47" s="36" t="n">
        <v>4680.893184247408</v>
      </c>
      <c r="E47" s="35" t="n">
        <v>1389.747100071894</v>
      </c>
      <c r="F47" s="37" t="n">
        <v>0.7076743171285149</v>
      </c>
      <c r="G47" s="37" t="n">
        <v>0.8924645955035786</v>
      </c>
      <c r="H47" s="37" t="n">
        <v>0.8303172235867229</v>
      </c>
      <c r="I47" s="37" t="n">
        <v>0.7753716855577533</v>
      </c>
      <c r="J47" s="37" t="n">
        <v>0.6687830978321061</v>
      </c>
      <c r="K47" s="37" t="n">
        <v>0.7519399318309548</v>
      </c>
      <c r="L47" s="39" t="inlineStr">
        <is>
          <t>Corregible</t>
        </is>
      </c>
      <c r="M47" s="29" t="n">
        <v>10.09598604534723</v>
      </c>
      <c r="N47" s="35" t="n">
        <v>59.99824933803005</v>
      </c>
      <c r="O47" s="36" t="n">
        <v>3291.146084175514</v>
      </c>
      <c r="P47" s="29" t="n">
        <v>3.368161864849553</v>
      </c>
      <c r="Q47" s="16" t="inlineStr">
        <is>
          <t>no</t>
        </is>
      </c>
      <c r="R47" s="16" t="inlineStr">
        <is>
          <t>O2</t>
        </is>
      </c>
    </row>
    <row r="48">
      <c r="A48" s="16" t="inlineStr">
        <is>
          <t>KF-M04-0037</t>
        </is>
      </c>
      <c r="B48" s="35" t="n">
        <v>484.1067035039137</v>
      </c>
      <c r="C48" s="35" t="n">
        <v>290.7531596240299</v>
      </c>
      <c r="D48" s="36" t="n">
        <v>4631.03513582728</v>
      </c>
      <c r="E48" s="35" t="n">
        <v>1377.514596345878</v>
      </c>
      <c r="F48" s="37" t="n">
        <v>0.5838640578515436</v>
      </c>
      <c r="G48" s="37" t="n">
        <v>0.9189514725777194</v>
      </c>
      <c r="H48" s="37" t="n">
        <v>0.836659809347415</v>
      </c>
      <c r="I48" s="37" t="n">
        <v>0.6579134657054716</v>
      </c>
      <c r="J48" s="37" t="n">
        <v>0.8790129754984701</v>
      </c>
      <c r="K48" s="37" t="n">
        <v>0.918377052447521</v>
      </c>
      <c r="L48" s="32" t="inlineStr">
        <is>
          <t>No convergió</t>
        </is>
      </c>
      <c r="M48" s="29" t="inlineStr">
        <is>
          <t>—</t>
        </is>
      </c>
      <c r="N48" s="35" t="inlineStr">
        <is>
          <t>—</t>
        </is>
      </c>
      <c r="O48" s="36" t="n">
        <v>3253.520539481402</v>
      </c>
      <c r="P48" s="29" t="n">
        <v>3.361877360945567</v>
      </c>
      <c r="Q48" s="16" t="inlineStr">
        <is>
          <t>no</t>
        </is>
      </c>
      <c r="R48" s="16" t="n"/>
    </row>
    <row r="49">
      <c r="A49" s="16" t="inlineStr">
        <is>
          <t>KF-M04-0038</t>
        </is>
      </c>
      <c r="B49" s="35" t="n">
        <v>396.9513354784034</v>
      </c>
      <c r="C49" s="35" t="n">
        <v>300.9856576660762</v>
      </c>
      <c r="D49" s="36" t="n">
        <v>2805.799739663207</v>
      </c>
      <c r="E49" s="35" t="n">
        <v>395.2402416887172</v>
      </c>
      <c r="F49" s="37" t="n">
        <v>0.7177108633868277</v>
      </c>
      <c r="G49" s="37" t="n">
        <v>0.8243697705088174</v>
      </c>
      <c r="H49" s="37" t="n">
        <v>0.846743494847048</v>
      </c>
      <c r="I49" s="37" t="n">
        <v>0.7876283408771486</v>
      </c>
      <c r="J49" s="37" t="n">
        <v>0.7561767878215887</v>
      </c>
      <c r="K49" s="37" t="n">
        <v>0.7712453349726458</v>
      </c>
      <c r="L49" s="40" t="inlineStr">
        <is>
          <t>Inviable</t>
        </is>
      </c>
      <c r="M49" s="29" t="n">
        <v>-9.02084917080232</v>
      </c>
      <c r="N49" s="35" t="n">
        <v>-20.10177972327241</v>
      </c>
      <c r="O49" s="36" t="n">
        <v>2410.55949797449</v>
      </c>
      <c r="P49" s="29" t="n">
        <v>7.098972836558974</v>
      </c>
      <c r="Q49" s="16" t="inlineStr">
        <is>
          <t>no</t>
        </is>
      </c>
      <c r="R49" s="16" t="inlineStr">
        <is>
          <t>O2,O3</t>
        </is>
      </c>
    </row>
    <row r="50">
      <c r="A50" s="16" t="inlineStr">
        <is>
          <t>KF-M04-0039</t>
        </is>
      </c>
      <c r="B50" s="35" t="n">
        <v>479.3008572538333</v>
      </c>
      <c r="C50" s="35" t="n">
        <v>283.2546233219593</v>
      </c>
      <c r="D50" s="36" t="n">
        <v>4294.967237002176</v>
      </c>
      <c r="E50" s="35" t="n">
        <v>1497.996504854212</v>
      </c>
      <c r="F50" s="37" t="n">
        <v>0.8440099275819304</v>
      </c>
      <c r="G50" s="37" t="n">
        <v>0.8612805668166088</v>
      </c>
      <c r="H50" s="37" t="n">
        <v>0.8991941805626534</v>
      </c>
      <c r="I50" s="37" t="n">
        <v>0.8628960897448319</v>
      </c>
      <c r="J50" s="37" t="n">
        <v>0.7145408471448373</v>
      </c>
      <c r="K50" s="37" t="n">
        <v>0.7359268738804577</v>
      </c>
      <c r="L50" s="39" t="inlineStr">
        <is>
          <t>Corregible</t>
        </is>
      </c>
      <c r="M50" s="29" t="n">
        <v>9.74642606231706</v>
      </c>
      <c r="N50" s="35" t="n">
        <v>123.4473666892658</v>
      </c>
      <c r="O50" s="36" t="n">
        <v>2796.970732147965</v>
      </c>
      <c r="P50" s="29" t="n">
        <v>2.86714102675438</v>
      </c>
      <c r="Q50" s="16" t="inlineStr">
        <is>
          <t>sí</t>
        </is>
      </c>
      <c r="R50" s="16" t="inlineStr">
        <is>
          <t>O2</t>
        </is>
      </c>
    </row>
    <row r="51">
      <c r="A51" s="16" t="inlineStr">
        <is>
          <t>KF-M04-0040</t>
        </is>
      </c>
      <c r="B51" s="35" t="n">
        <v>401.5836716181839</v>
      </c>
      <c r="C51" s="35" t="n">
        <v>281.3777939046265</v>
      </c>
      <c r="D51" s="36" t="n">
        <v>3732.069032390479</v>
      </c>
      <c r="E51" s="35" t="n">
        <v>858.7185183401663</v>
      </c>
      <c r="F51" s="37" t="n">
        <v>0.5764890308091185</v>
      </c>
      <c r="G51" s="37" t="n">
        <v>0.7862964373413974</v>
      </c>
      <c r="H51" s="37" t="n">
        <v>0.7995239097195601</v>
      </c>
      <c r="I51" s="37" t="n">
        <v>0.7939665631876108</v>
      </c>
      <c r="J51" s="37" t="n">
        <v>0.7440796506048581</v>
      </c>
      <c r="K51" s="37" t="n">
        <v>0.867505300338779</v>
      </c>
      <c r="L51" s="42" t="inlineStr">
        <is>
          <t>KALINA</t>
        </is>
      </c>
      <c r="M51" s="29" t="n">
        <v>6.09659948836227</v>
      </c>
      <c r="N51" s="35" t="n">
        <v>20.88822185191836</v>
      </c>
      <c r="O51" s="36" t="n">
        <v>2873.350514050313</v>
      </c>
      <c r="P51" s="29" t="n">
        <v>4.34609124256953</v>
      </c>
      <c r="Q51" s="16" t="inlineStr">
        <is>
          <t>no</t>
        </is>
      </c>
      <c r="R51" s="16" t="n"/>
    </row>
    <row r="52">
      <c r="A52" s="16" t="inlineStr">
        <is>
          <t>KF-M04-0041</t>
        </is>
      </c>
      <c r="B52" s="35" t="n">
        <v>460.3669111443588</v>
      </c>
      <c r="C52" s="35" t="n">
        <v>294.3989336558033</v>
      </c>
      <c r="D52" s="36" t="n">
        <v>4249.633474856335</v>
      </c>
      <c r="E52" s="35" t="n">
        <v>759.8630801584197</v>
      </c>
      <c r="F52" s="37" t="n">
        <v>0.6851642035957565</v>
      </c>
      <c r="G52" s="37" t="n">
        <v>0.7770092817925025</v>
      </c>
      <c r="H52" s="37" t="n">
        <v>0.8806025504532341</v>
      </c>
      <c r="I52" s="37" t="n">
        <v>0.814703564515652</v>
      </c>
      <c r="J52" s="37" t="n">
        <v>0.8428509298267234</v>
      </c>
      <c r="K52" s="37" t="n">
        <v>0.7280568912782855</v>
      </c>
      <c r="L52" s="39" t="inlineStr">
        <is>
          <t>Corregible</t>
        </is>
      </c>
      <c r="M52" s="29" t="n">
        <v>11.5046396129952</v>
      </c>
      <c r="N52" s="35" t="n">
        <v>129.2029091882912</v>
      </c>
      <c r="O52" s="36" t="n">
        <v>3489.770394697915</v>
      </c>
      <c r="P52" s="29" t="n">
        <v>5.592630548611932</v>
      </c>
      <c r="Q52" s="16" t="inlineStr">
        <is>
          <t>sí</t>
        </is>
      </c>
      <c r="R52" s="16" t="inlineStr">
        <is>
          <t>O2</t>
        </is>
      </c>
    </row>
    <row r="53">
      <c r="A53" s="16" t="inlineStr">
        <is>
          <t>KF-M04-0042</t>
        </is>
      </c>
      <c r="B53" s="35" t="n">
        <v>395.676971806121</v>
      </c>
      <c r="C53" s="35" t="n">
        <v>286.6957162137164</v>
      </c>
      <c r="D53" s="36" t="n">
        <v>3160.356416844596</v>
      </c>
      <c r="E53" s="35" t="n">
        <v>930.494149877678</v>
      </c>
      <c r="F53" s="37" t="n">
        <v>0.5961702593981435</v>
      </c>
      <c r="G53" s="37" t="n">
        <v>0.8254766014101839</v>
      </c>
      <c r="H53" s="37" t="n">
        <v>0.6548745282396067</v>
      </c>
      <c r="I53" s="37" t="n">
        <v>0.6111115790288563</v>
      </c>
      <c r="J53" s="37" t="n">
        <v>0.6053042882670805</v>
      </c>
      <c r="K53" s="37" t="n">
        <v>0.8402185438704587</v>
      </c>
      <c r="L53" s="42" t="inlineStr">
        <is>
          <t>KALINA</t>
        </is>
      </c>
      <c r="M53" s="29" t="n">
        <v>4.72446627638378</v>
      </c>
      <c r="N53" s="35" t="n">
        <v>16.05308390285159</v>
      </c>
      <c r="O53" s="36" t="n">
        <v>2229.862266966918</v>
      </c>
      <c r="P53" s="29" t="n">
        <v>3.396428034781362</v>
      </c>
      <c r="Q53" s="16" t="inlineStr">
        <is>
          <t>no</t>
        </is>
      </c>
      <c r="R53" s="16" t="n"/>
    </row>
    <row r="54">
      <c r="A54" s="16" t="inlineStr">
        <is>
          <t>KF-M04-0043</t>
        </is>
      </c>
      <c r="B54" s="35" t="n">
        <v>447.6665273317632</v>
      </c>
      <c r="C54" s="35" t="n">
        <v>291.288176367962</v>
      </c>
      <c r="D54" s="36" t="n">
        <v>4991.234240886499</v>
      </c>
      <c r="E54" s="35" t="n">
        <v>516.1798614917014</v>
      </c>
      <c r="F54" s="37" t="n">
        <v>0.790885841875296</v>
      </c>
      <c r="G54" s="37" t="n">
        <v>0.8672646795531308</v>
      </c>
      <c r="H54" s="37" t="n">
        <v>0.763131315409029</v>
      </c>
      <c r="I54" s="37" t="n">
        <v>0.8697538917379968</v>
      </c>
      <c r="J54" s="37" t="n">
        <v>0.8204729853905594</v>
      </c>
      <c r="K54" s="37" t="n">
        <v>0.7220140149880154</v>
      </c>
      <c r="L54" s="39" t="inlineStr">
        <is>
          <t>Corregible</t>
        </is>
      </c>
      <c r="M54" s="29" t="n">
        <v>10.35387206617621</v>
      </c>
      <c r="N54" s="35" t="n">
        <v>71.66534840905962</v>
      </c>
      <c r="O54" s="36" t="n">
        <v>4475.054379394797</v>
      </c>
      <c r="P54" s="29" t="n">
        <v>9.66956406718851</v>
      </c>
      <c r="Q54" s="16" t="inlineStr">
        <is>
          <t>sí</t>
        </is>
      </c>
      <c r="R54" s="16" t="inlineStr">
        <is>
          <t>O1,O2</t>
        </is>
      </c>
    </row>
    <row r="55">
      <c r="A55" s="16" t="inlineStr">
        <is>
          <t>KF-M04-0044</t>
        </is>
      </c>
      <c r="B55" s="35" t="n">
        <v>466.7804142153307</v>
      </c>
      <c r="C55" s="35" t="n">
        <v>278.5538874241547</v>
      </c>
      <c r="D55" s="36" t="n">
        <v>3922.458561675325</v>
      </c>
      <c r="E55" s="35" t="n">
        <v>1248.24885800572</v>
      </c>
      <c r="F55" s="37" t="n">
        <v>0.8273342088888622</v>
      </c>
      <c r="G55" s="37" t="n">
        <v>0.8153679854966273</v>
      </c>
      <c r="H55" s="37" t="n">
        <v>0.8690599377857189</v>
      </c>
      <c r="I55" s="37" t="n">
        <v>0.8123526088340405</v>
      </c>
      <c r="J55" s="37" t="n">
        <v>0.9499651907206834</v>
      </c>
      <c r="K55" s="37" t="n">
        <v>0.7181020982343854</v>
      </c>
      <c r="L55" s="39" t="inlineStr">
        <is>
          <t>Corregible</t>
        </is>
      </c>
      <c r="M55" s="29" t="n">
        <v>9.60966539388108</v>
      </c>
      <c r="N55" s="35" t="n">
        <v>113.6421880448725</v>
      </c>
      <c r="O55" s="36" t="n">
        <v>2674.209703669605</v>
      </c>
      <c r="P55" s="29" t="n">
        <v>3.142369036845816</v>
      </c>
      <c r="Q55" s="16" t="inlineStr">
        <is>
          <t>sí</t>
        </is>
      </c>
      <c r="R55" s="16" t="inlineStr">
        <is>
          <t>O2</t>
        </is>
      </c>
    </row>
    <row r="56">
      <c r="A56" s="16" t="inlineStr">
        <is>
          <t>KF-M04-0045</t>
        </is>
      </c>
      <c r="B56" s="35" t="n">
        <v>466.0350615415864</v>
      </c>
      <c r="C56" s="35" t="n">
        <v>285.4161220580795</v>
      </c>
      <c r="D56" s="36" t="n">
        <v>3078.579956871261</v>
      </c>
      <c r="E56" s="35" t="n">
        <v>352.9775294322192</v>
      </c>
      <c r="F56" s="37" t="n">
        <v>0.7688199788535048</v>
      </c>
      <c r="G56" s="37" t="n">
        <v>0.7551560193969694</v>
      </c>
      <c r="H56" s="37" t="n">
        <v>0.797267225013916</v>
      </c>
      <c r="I56" s="37" t="n">
        <v>0.7433811491634654</v>
      </c>
      <c r="J56" s="37" t="n">
        <v>0.8046557964724861</v>
      </c>
      <c r="K56" s="37" t="n">
        <v>0.7323779137175982</v>
      </c>
      <c r="L56" s="39" t="inlineStr">
        <is>
          <t>Corregible</t>
        </is>
      </c>
      <c r="M56" s="29" t="n">
        <v>4.50708975271851</v>
      </c>
      <c r="N56" s="35" t="n">
        <v>34.57886839810914</v>
      </c>
      <c r="O56" s="36" t="n">
        <v>2725.602427439041</v>
      </c>
      <c r="P56" s="29" t="n">
        <v>8.721744870908072</v>
      </c>
      <c r="Q56" s="16" t="inlineStr">
        <is>
          <t>sí</t>
        </is>
      </c>
      <c r="R56" s="16" t="inlineStr">
        <is>
          <t>O2</t>
        </is>
      </c>
    </row>
    <row r="57">
      <c r="A57" s="16" t="inlineStr">
        <is>
          <t>KF-M04-0046</t>
        </is>
      </c>
      <c r="B57" s="35" t="n">
        <v>401.0183646473832</v>
      </c>
      <c r="C57" s="35" t="n">
        <v>293.7711133866571</v>
      </c>
      <c r="D57" s="36" t="n">
        <v>2867.307731638073</v>
      </c>
      <c r="E57" s="35" t="n">
        <v>683.1653366024228</v>
      </c>
      <c r="F57" s="37" t="n">
        <v>0.6631892258220868</v>
      </c>
      <c r="G57" s="37" t="n">
        <v>0.775476197856405</v>
      </c>
      <c r="H57" s="37" t="n">
        <v>0.7697905616124896</v>
      </c>
      <c r="I57" s="37" t="n">
        <v>0.6259791487526769</v>
      </c>
      <c r="J57" s="37" t="n">
        <v>0.9027133344471832</v>
      </c>
      <c r="K57" s="37" t="n">
        <v>0.9400288519209792</v>
      </c>
      <c r="L57" s="42" t="inlineStr">
        <is>
          <t>KALINA</t>
        </is>
      </c>
      <c r="M57" s="29" t="n">
        <v>9.7055335668519</v>
      </c>
      <c r="N57" s="35" t="n">
        <v>47.58112849168716</v>
      </c>
      <c r="O57" s="36" t="n">
        <v>2184.14239503565</v>
      </c>
      <c r="P57" s="29" t="n">
        <v>4.197091945411072</v>
      </c>
      <c r="Q57" s="16" t="inlineStr">
        <is>
          <t>no</t>
        </is>
      </c>
      <c r="R57" s="16" t="n"/>
    </row>
    <row r="58">
      <c r="A58" s="16" t="inlineStr">
        <is>
          <t>KF-M04-0047</t>
        </is>
      </c>
      <c r="B58" s="35" t="n">
        <v>431.9705958069541</v>
      </c>
      <c r="C58" s="35" t="n">
        <v>300.2046878698165</v>
      </c>
      <c r="D58" s="36" t="n">
        <v>2400.070852990964</v>
      </c>
      <c r="E58" s="35" t="n">
        <v>420.327283379683</v>
      </c>
      <c r="F58" s="37" t="n">
        <v>0.7606048629171405</v>
      </c>
      <c r="G58" s="37" t="n">
        <v>0.7743198222497649</v>
      </c>
      <c r="H58" s="37" t="n">
        <v>0.8369382843927968</v>
      </c>
      <c r="I58" s="37" t="n">
        <v>0.7966919514299738</v>
      </c>
      <c r="J58" s="37" t="n">
        <v>0.7797320220262007</v>
      </c>
      <c r="K58" s="37" t="n">
        <v>0.7903542428114568</v>
      </c>
      <c r="L58" s="39" t="inlineStr">
        <is>
          <t>Corregible</t>
        </is>
      </c>
      <c r="M58" s="29" t="n">
        <v>3.18148000405937</v>
      </c>
      <c r="N58" s="35" t="n">
        <v>21.4584152729914</v>
      </c>
      <c r="O58" s="36" t="n">
        <v>1979.743569611281</v>
      </c>
      <c r="P58" s="29" t="n">
        <v>5.710004912583731</v>
      </c>
      <c r="Q58" s="16" t="inlineStr">
        <is>
          <t>sí</t>
        </is>
      </c>
      <c r="R58" s="16" t="inlineStr">
        <is>
          <t>O2</t>
        </is>
      </c>
    </row>
    <row r="59">
      <c r="A59" s="16" t="inlineStr">
        <is>
          <t>KF-M04-0048</t>
        </is>
      </c>
      <c r="B59" s="35" t="n">
        <v>448.9135094046675</v>
      </c>
      <c r="C59" s="35" t="n">
        <v>297.8531980501525</v>
      </c>
      <c r="D59" s="36" t="n">
        <v>3405.599188785769</v>
      </c>
      <c r="E59" s="35" t="n">
        <v>360.8034507215937</v>
      </c>
      <c r="F59" s="37" t="n">
        <v>0.6384033115605754</v>
      </c>
      <c r="G59" s="37" t="n">
        <v>0.915870323399786</v>
      </c>
      <c r="H59" s="37" t="n">
        <v>0.8785328634630405</v>
      </c>
      <c r="I59" s="37" t="n">
        <v>0.7181148669709033</v>
      </c>
      <c r="J59" s="37" t="n">
        <v>0.8661370844968821</v>
      </c>
      <c r="K59" s="37" t="n">
        <v>0.9494093711927932</v>
      </c>
      <c r="L59" s="39" t="inlineStr">
        <is>
          <t>Corregible</t>
        </is>
      </c>
      <c r="M59" s="29" t="n">
        <v>15.86934188551473</v>
      </c>
      <c r="N59" s="35" t="n">
        <v>132.7561702743388</v>
      </c>
      <c r="O59" s="36" t="n">
        <v>3044.795738064175</v>
      </c>
      <c r="P59" s="29" t="n">
        <v>9.438931867127918</v>
      </c>
      <c r="Q59" s="16" t="inlineStr">
        <is>
          <t>sí</t>
        </is>
      </c>
      <c r="R59" s="16" t="inlineStr">
        <is>
          <t>O1,O2</t>
        </is>
      </c>
    </row>
    <row r="60">
      <c r="A60" s="16" t="inlineStr">
        <is>
          <t>KF-M04-0049</t>
        </is>
      </c>
      <c r="B60" s="35" t="n">
        <v>413.0687111219252</v>
      </c>
      <c r="C60" s="35" t="n">
        <v>299.4157416586254</v>
      </c>
      <c r="D60" s="36" t="n">
        <v>2513.999872790016</v>
      </c>
      <c r="E60" s="35" t="n">
        <v>1369.564473386392</v>
      </c>
      <c r="F60" s="37" t="n">
        <v>0.6340765514626279</v>
      </c>
      <c r="G60" s="37" t="n">
        <v>0.7644180839104568</v>
      </c>
      <c r="H60" s="37" t="n">
        <v>0.7336790855830703</v>
      </c>
      <c r="I60" s="37" t="n">
        <v>0.8521204599482552</v>
      </c>
      <c r="J60" s="37" t="n">
        <v>0.9106255412024288</v>
      </c>
      <c r="K60" s="37" t="n">
        <v>0.7800210849071755</v>
      </c>
      <c r="L60" s="39" t="inlineStr">
        <is>
          <t>Corregible</t>
        </is>
      </c>
      <c r="M60" s="29" t="n">
        <v>4.81682331184163</v>
      </c>
      <c r="N60" s="35" t="n">
        <v>35.58875679901028</v>
      </c>
      <c r="O60" s="36" t="n">
        <v>1144.435399403624</v>
      </c>
      <c r="P60" s="29" t="n">
        <v>1.835619951920837</v>
      </c>
      <c r="Q60" s="16" t="inlineStr">
        <is>
          <t>no</t>
        </is>
      </c>
      <c r="R60" s="16" t="inlineStr">
        <is>
          <t>O2</t>
        </is>
      </c>
    </row>
    <row r="61">
      <c r="A61" s="16" t="inlineStr">
        <is>
          <t>KF-M04-0050</t>
        </is>
      </c>
      <c r="B61" s="35" t="n">
        <v>481.6066659360639</v>
      </c>
      <c r="C61" s="35" t="n">
        <v>303.5403871532023</v>
      </c>
      <c r="D61" s="36" t="n">
        <v>3030.708687305246</v>
      </c>
      <c r="E61" s="35" t="n">
        <v>646.8009595769654</v>
      </c>
      <c r="F61" s="37" t="n">
        <v>0.729331690692004</v>
      </c>
      <c r="G61" s="37" t="n">
        <v>0.7533783271158493</v>
      </c>
      <c r="H61" s="37" t="n">
        <v>0.69609712245696</v>
      </c>
      <c r="I61" s="37" t="n">
        <v>0.7735089549851204</v>
      </c>
      <c r="J61" s="37" t="n">
        <v>0.8633909049164121</v>
      </c>
      <c r="K61" s="37" t="n">
        <v>0.8871660262977987</v>
      </c>
      <c r="L61" s="39" t="inlineStr">
        <is>
          <t>Corregible</t>
        </is>
      </c>
      <c r="M61" s="29" t="n">
        <v>6.920280832670341</v>
      </c>
      <c r="N61" s="35" t="n">
        <v>77.03532129916243</v>
      </c>
      <c r="O61" s="36" t="n">
        <v>2383.90772772828</v>
      </c>
      <c r="P61" s="29" t="n">
        <v>4.685689843885598</v>
      </c>
      <c r="Q61" s="16" t="inlineStr">
        <is>
          <t>sí</t>
        </is>
      </c>
      <c r="R61" s="16" t="inlineStr">
        <is>
          <t>O2</t>
        </is>
      </c>
    </row>
    <row r="62">
      <c r="A62" s="16" t="inlineStr">
        <is>
          <t>KF-M04-0051</t>
        </is>
      </c>
      <c r="B62" s="35" t="n">
        <v>454.4524045634307</v>
      </c>
      <c r="C62" s="35" t="n">
        <v>284.9216731112575</v>
      </c>
      <c r="D62" s="36" t="n">
        <v>2450.961550052699</v>
      </c>
      <c r="E62" s="35" t="n">
        <v>558.5324202654344</v>
      </c>
      <c r="F62" s="37" t="n">
        <v>0.8336586903821034</v>
      </c>
      <c r="G62" s="37" t="n">
        <v>0.8233006077442313</v>
      </c>
      <c r="H62" s="37" t="n">
        <v>0.7067685056734802</v>
      </c>
      <c r="I62" s="37" t="n">
        <v>0.6455156915563316</v>
      </c>
      <c r="J62" s="37" t="n">
        <v>0.6762260250073405</v>
      </c>
      <c r="K62" s="37" t="n">
        <v>0.8061493134662547</v>
      </c>
      <c r="L62" s="39" t="inlineStr">
        <is>
          <t>Corregible</t>
        </is>
      </c>
      <c r="M62" s="29" t="n">
        <v>11.39867510913616</v>
      </c>
      <c r="N62" s="35" t="n">
        <v>118.5232719100042</v>
      </c>
      <c r="O62" s="36" t="n">
        <v>1892.429129787264</v>
      </c>
      <c r="P62" s="29" t="n">
        <v>4.388217158258986</v>
      </c>
      <c r="Q62" s="16" t="inlineStr">
        <is>
          <t>no</t>
        </is>
      </c>
      <c r="R62" s="16" t="inlineStr">
        <is>
          <t>O2</t>
        </is>
      </c>
    </row>
    <row r="63">
      <c r="A63" s="16" t="inlineStr">
        <is>
          <t>KF-M04-0052</t>
        </is>
      </c>
      <c r="B63" s="35" t="n">
        <v>465.6467574820703</v>
      </c>
      <c r="C63" s="35" t="n">
        <v>282.2670984829656</v>
      </c>
      <c r="D63" s="36" t="n">
        <v>2481.439707073466</v>
      </c>
      <c r="E63" s="35" t="n">
        <v>563.0065988906886</v>
      </c>
      <c r="F63" s="37" t="n">
        <v>0.5534766571537423</v>
      </c>
      <c r="G63" s="37" t="n">
        <v>0.8787538075205473</v>
      </c>
      <c r="H63" s="37" t="n">
        <v>0.7345172217580278</v>
      </c>
      <c r="I63" s="37" t="n">
        <v>0.8384746840278483</v>
      </c>
      <c r="J63" s="37" t="n">
        <v>0.7646764697044111</v>
      </c>
      <c r="K63" s="37" t="n">
        <v>0.845734610730803</v>
      </c>
      <c r="L63" s="39" t="inlineStr">
        <is>
          <t>Corregible</t>
        </is>
      </c>
      <c r="M63" s="29" t="n">
        <v>10.93110261728568</v>
      </c>
      <c r="N63" s="35" t="n">
        <v>184.3470968875613</v>
      </c>
      <c r="O63" s="36" t="n">
        <v>1918.433108182777</v>
      </c>
      <c r="P63" s="29" t="n">
        <v>4.407478903378277</v>
      </c>
      <c r="Q63" s="16" t="inlineStr">
        <is>
          <t>sí</t>
        </is>
      </c>
      <c r="R63" s="16" t="inlineStr">
        <is>
          <t>O2</t>
        </is>
      </c>
    </row>
    <row r="64">
      <c r="A64" s="16" t="inlineStr">
        <is>
          <t>KF-M04-0053</t>
        </is>
      </c>
      <c r="B64" s="35" t="n">
        <v>497.6431982644042</v>
      </c>
      <c r="C64" s="35" t="n">
        <v>281.8018075939418</v>
      </c>
      <c r="D64" s="36" t="n">
        <v>2443.769872928237</v>
      </c>
      <c r="E64" s="35" t="n">
        <v>867.7538884489124</v>
      </c>
      <c r="F64" s="37" t="n">
        <v>0.5625615277652998</v>
      </c>
      <c r="G64" s="37" t="n">
        <v>0.7846487934727513</v>
      </c>
      <c r="H64" s="37" t="n">
        <v>0.7439813570048186</v>
      </c>
      <c r="I64" s="37" t="n">
        <v>0.7990692220826269</v>
      </c>
      <c r="J64" s="37" t="n">
        <v>0.779324121139729</v>
      </c>
      <c r="K64" s="37" t="n">
        <v>0.8167209067408945</v>
      </c>
      <c r="L64" s="39" t="inlineStr">
        <is>
          <t>Corregible</t>
        </is>
      </c>
      <c r="M64" s="29" t="n">
        <v>7.070850031084509</v>
      </c>
      <c r="N64" s="35" t="n">
        <v>115.0382191381277</v>
      </c>
      <c r="O64" s="36" t="n">
        <v>1576.015984479324</v>
      </c>
      <c r="P64" s="29" t="n">
        <v>2.816201581414302</v>
      </c>
      <c r="Q64" s="16" t="inlineStr">
        <is>
          <t>sí</t>
        </is>
      </c>
      <c r="R64" s="16" t="inlineStr">
        <is>
          <t>O2</t>
        </is>
      </c>
    </row>
    <row r="65">
      <c r="A65" s="16" t="inlineStr">
        <is>
          <t>KF-M04-0054</t>
        </is>
      </c>
      <c r="B65" s="35" t="n">
        <v>442.581649298424</v>
      </c>
      <c r="C65" s="35" t="n">
        <v>286.1519398002105</v>
      </c>
      <c r="D65" s="36" t="n">
        <v>2017.489853570583</v>
      </c>
      <c r="E65" s="35" t="n">
        <v>1032.654294721409</v>
      </c>
      <c r="F65" s="37" t="n">
        <v>0.7235830504858638</v>
      </c>
      <c r="G65" s="37" t="n">
        <v>0.7882533720560152</v>
      </c>
      <c r="H65" s="37" t="n">
        <v>0.7397615014985012</v>
      </c>
      <c r="I65" s="37" t="n">
        <v>0.6807163880278051</v>
      </c>
      <c r="J65" s="37" t="n">
        <v>0.8011904639823846</v>
      </c>
      <c r="K65" s="37" t="n">
        <v>0.9148256759603082</v>
      </c>
      <c r="L65" s="42" t="inlineStr">
        <is>
          <t>KALINA</t>
        </is>
      </c>
      <c r="M65" s="29" t="n">
        <v>5.23508402117855</v>
      </c>
      <c r="N65" s="35" t="n">
        <v>65.83221187760853</v>
      </c>
      <c r="O65" s="36" t="n">
        <v>984.835558849174</v>
      </c>
      <c r="P65" s="29" t="n">
        <v>1.953693374329949</v>
      </c>
      <c r="Q65" s="16" t="inlineStr">
        <is>
          <t>no</t>
        </is>
      </c>
      <c r="R65" s="16" t="n"/>
    </row>
    <row r="66">
      <c r="A66" s="16" t="inlineStr">
        <is>
          <t>KF-M04-0055</t>
        </is>
      </c>
      <c r="B66" s="35" t="n">
        <v>431.4348799026089</v>
      </c>
      <c r="C66" s="35" t="n">
        <v>288.9564020624617</v>
      </c>
      <c r="D66" s="36" t="n">
        <v>4255.139848551047</v>
      </c>
      <c r="E66" s="35" t="n">
        <v>1356.462328255324</v>
      </c>
      <c r="F66" s="37" t="n">
        <v>0.7651069310076768</v>
      </c>
      <c r="G66" s="37" t="n">
        <v>0.8819244848451793</v>
      </c>
      <c r="H66" s="37" t="n">
        <v>0.8654596152830603</v>
      </c>
      <c r="I66" s="37" t="n">
        <v>0.6412624175816226</v>
      </c>
      <c r="J66" s="37" t="n">
        <v>0.6345869285775521</v>
      </c>
      <c r="K66" s="37" t="n">
        <v>0.7060263983723891</v>
      </c>
      <c r="L66" s="39" t="inlineStr">
        <is>
          <t>Corregible</t>
        </is>
      </c>
      <c r="M66" s="29" t="n">
        <v>10.24494733598503</v>
      </c>
      <c r="N66" s="35" t="n">
        <v>73.47662770320231</v>
      </c>
      <c r="O66" s="36" t="n">
        <v>2898.677520295724</v>
      </c>
      <c r="P66" s="29" t="n">
        <v>3.13693919832185</v>
      </c>
      <c r="Q66" s="16" t="inlineStr">
        <is>
          <t>no</t>
        </is>
      </c>
      <c r="R66" s="16" t="inlineStr">
        <is>
          <t>O2</t>
        </is>
      </c>
    </row>
    <row r="67">
      <c r="A67" s="16" t="inlineStr">
        <is>
          <t>KF-M04-0056</t>
        </is>
      </c>
      <c r="B67" s="35" t="n">
        <v>441.6389389471661</v>
      </c>
      <c r="C67" s="35" t="n">
        <v>296.2469282064162</v>
      </c>
      <c r="D67" s="36" t="n">
        <v>3704.873890662413</v>
      </c>
      <c r="E67" s="35" t="n">
        <v>920.1414585720509</v>
      </c>
      <c r="F67" s="37" t="n">
        <v>0.5991824144255893</v>
      </c>
      <c r="G67" s="37" t="n">
        <v>0.7693549781127424</v>
      </c>
      <c r="H67" s="37" t="n">
        <v>0.6561623362659015</v>
      </c>
      <c r="I67" s="37" t="n">
        <v>0.8246877687770225</v>
      </c>
      <c r="J67" s="37" t="n">
        <v>0.8939641371115318</v>
      </c>
      <c r="K67" s="37" t="n">
        <v>0.9293690742913056</v>
      </c>
      <c r="L67" s="42" t="inlineStr">
        <is>
          <t>KALINA</t>
        </is>
      </c>
      <c r="M67" s="29" t="n">
        <v>9.31763803581058</v>
      </c>
      <c r="N67" s="35" t="n">
        <v>82.07874509156505</v>
      </c>
      <c r="O67" s="36" t="n">
        <v>2784.732432090362</v>
      </c>
      <c r="P67" s="29" t="n">
        <v>4.026417738433319</v>
      </c>
      <c r="Q67" s="16" t="inlineStr">
        <is>
          <t>sí</t>
        </is>
      </c>
      <c r="R67" s="16" t="n"/>
      <c r="V67" s="25" t="inlineStr">
        <is>
          <t>Estudio 3.2. Punto base: Sin punto base: muestreo en la caja de rangos indicada en 'Datos barridos'</t>
        </is>
      </c>
    </row>
    <row r="68">
      <c r="A68" s="16" t="inlineStr">
        <is>
          <t>KF-M04-0057</t>
        </is>
      </c>
      <c r="B68" s="35" t="n">
        <v>485.4722257718874</v>
      </c>
      <c r="C68" s="35" t="n">
        <v>300.9078308091403</v>
      </c>
      <c r="D68" s="36" t="n">
        <v>4629.425047427362</v>
      </c>
      <c r="E68" s="35" t="n">
        <v>473.4522710708325</v>
      </c>
      <c r="F68" s="37" t="n">
        <v>0.8096434659089193</v>
      </c>
      <c r="G68" s="37" t="n">
        <v>0.8894384481436201</v>
      </c>
      <c r="H68" s="37" t="n">
        <v>0.8012818557201955</v>
      </c>
      <c r="I68" s="37" t="n">
        <v>0.9328008289237424</v>
      </c>
      <c r="J68" s="37" t="n">
        <v>0.7973349610823929</v>
      </c>
      <c r="K68" s="37" t="n">
        <v>0.8095458415044224</v>
      </c>
      <c r="L68" s="38" t="inlineStr">
        <is>
          <t>Falso convergido</t>
        </is>
      </c>
      <c r="M68" s="29" t="inlineStr">
        <is>
          <t>—</t>
        </is>
      </c>
      <c r="N68" s="35" t="inlineStr">
        <is>
          <t>—</t>
        </is>
      </c>
      <c r="O68" s="36" t="n">
        <v>4155.97277635653</v>
      </c>
      <c r="P68" s="29" t="n">
        <v>9.778018462044216</v>
      </c>
      <c r="Q68" s="16" t="inlineStr">
        <is>
          <t>sí</t>
        </is>
      </c>
      <c r="R68" s="16" t="inlineStr">
        <is>
          <t>N2,O1,O2,O5,C1,C3,C3</t>
        </is>
      </c>
      <c r="V68" s="25" t="inlineStr">
        <is>
          <t>Datos fijos: m_b = 1 kg/s; motor de propiedades = teqp.</t>
        </is>
      </c>
    </row>
    <row r="69">
      <c r="A69" s="16" t="inlineStr">
        <is>
          <t>KF-M04-0058</t>
        </is>
      </c>
      <c r="B69" s="35" t="n">
        <v>449.9462098904523</v>
      </c>
      <c r="C69" s="35" t="n">
        <v>281.9825684848797</v>
      </c>
      <c r="D69" s="36" t="n">
        <v>3850.001483062305</v>
      </c>
      <c r="E69" s="35" t="n">
        <v>1479.809375298441</v>
      </c>
      <c r="F69" s="37" t="n">
        <v>0.7120866220277036</v>
      </c>
      <c r="G69" s="37" t="n">
        <v>0.8666513938482879</v>
      </c>
      <c r="H69" s="37" t="n">
        <v>0.7811627987326794</v>
      </c>
      <c r="I69" s="37" t="n">
        <v>0.8919502895082624</v>
      </c>
      <c r="J69" s="37" t="n">
        <v>0.7300301725270746</v>
      </c>
      <c r="K69" s="37" t="n">
        <v>0.924185483891858</v>
      </c>
      <c r="L69" s="42" t="inlineStr">
        <is>
          <t>KALINA</t>
        </is>
      </c>
      <c r="M69" s="29" t="n">
        <v>7.6398972120168</v>
      </c>
      <c r="N69" s="35" t="n">
        <v>109.6457030644014</v>
      </c>
      <c r="O69" s="36" t="n">
        <v>2370.192107763864</v>
      </c>
      <c r="P69" s="29" t="n">
        <v>2.601687451997562</v>
      </c>
      <c r="Q69" s="16" t="inlineStr">
        <is>
          <t>sí</t>
        </is>
      </c>
      <c r="R69" s="16" t="n"/>
      <c r="V69" s="25"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70">
      <c r="A70" s="16" t="inlineStr">
        <is>
          <t>KF-M04-0059</t>
        </is>
      </c>
      <c r="B70" s="35" t="n">
        <v>388.0504086470886</v>
      </c>
      <c r="C70" s="35" t="n">
        <v>292.3335787182065</v>
      </c>
      <c r="D70" s="36" t="n">
        <v>3574.837438754253</v>
      </c>
      <c r="E70" s="35" t="n">
        <v>692.9450418666499</v>
      </c>
      <c r="F70" s="37" t="n">
        <v>0.7550545443117485</v>
      </c>
      <c r="G70" s="37" t="n">
        <v>0.7815520877123797</v>
      </c>
      <c r="H70" s="37" t="n">
        <v>0.7798823706787497</v>
      </c>
      <c r="I70" s="37" t="n">
        <v>0.8479918089342253</v>
      </c>
      <c r="J70" s="37" t="n">
        <v>0.6069622906904949</v>
      </c>
      <c r="K70" s="37" t="n">
        <v>0.9384095632816156</v>
      </c>
      <c r="L70" s="39" t="inlineStr">
        <is>
          <t>Corregible</t>
        </is>
      </c>
      <c r="M70" s="29" t="n">
        <v>10.37810494276915</v>
      </c>
      <c r="N70" s="35" t="n">
        <v>68.46742656752691</v>
      </c>
      <c r="O70" s="36" t="n">
        <v>2881.892396887602</v>
      </c>
      <c r="P70" s="29" t="n">
        <v>5.158904707831351</v>
      </c>
      <c r="Q70" s="16" t="inlineStr">
        <is>
          <t>no</t>
        </is>
      </c>
      <c r="R70" s="16" t="inlineStr">
        <is>
          <t>O2</t>
        </is>
      </c>
      <c r="V70" s="25" t="inlineStr">
        <is>
          <t>Filtro: estudio 3.2: 452 genuinos y 48 sin resultado (no convergió o falso convergido). Marcas: P_baja se muestreó entre 303 y 1498 kPa: el borde superior de P_baja de los KALINA es el borde de la caja de muestreo, no una frontera física (el estudio 3.3 explora hasta 2500 kPa).</t>
        </is>
      </c>
    </row>
    <row r="71">
      <c r="A71" s="16" t="inlineStr">
        <is>
          <t>KF-M04-0060</t>
        </is>
      </c>
      <c r="B71" s="35" t="n">
        <v>450.1510747841302</v>
      </c>
      <c r="C71" s="35" t="n">
        <v>302.4623431955463</v>
      </c>
      <c r="D71" s="36" t="n">
        <v>3018.433359479952</v>
      </c>
      <c r="E71" s="35" t="n">
        <v>1078.952669389513</v>
      </c>
      <c r="F71" s="37" t="n">
        <v>0.6406330522281973</v>
      </c>
      <c r="G71" s="37" t="n">
        <v>0.8544297971807808</v>
      </c>
      <c r="H71" s="37" t="n">
        <v>0.7659873738700598</v>
      </c>
      <c r="I71" s="37" t="n">
        <v>0.7250626074540591</v>
      </c>
      <c r="J71" s="37" t="n">
        <v>0.7811154960415949</v>
      </c>
      <c r="K71" s="37" t="n">
        <v>0.8644227980468264</v>
      </c>
      <c r="L71" s="39" t="inlineStr">
        <is>
          <t>Corregible</t>
        </is>
      </c>
      <c r="M71" s="29" t="n">
        <v>8.43271437468346</v>
      </c>
      <c r="N71" s="35" t="n">
        <v>94.80679154083978</v>
      </c>
      <c r="O71" s="36" t="n">
        <v>1939.480690090439</v>
      </c>
      <c r="P71" s="29" t="n">
        <v>2.797558637292055</v>
      </c>
      <c r="Q71" s="16" t="inlineStr">
        <is>
          <t>sí</t>
        </is>
      </c>
      <c r="R71" s="16" t="inlineStr">
        <is>
          <t>O2</t>
        </is>
      </c>
      <c r="V71" s="25" t="inlineStr">
        <is>
          <t>n = 500. Fuente: todos_los_puntos.csv.</t>
        </is>
      </c>
    </row>
    <row r="72">
      <c r="A72" s="16" t="inlineStr">
        <is>
          <t>KF-M04-0061</t>
        </is>
      </c>
      <c r="B72" s="35" t="n">
        <v>472.0814298913929</v>
      </c>
      <c r="C72" s="35" t="n">
        <v>293.591474769426</v>
      </c>
      <c r="D72" s="36" t="n">
        <v>3281.067918031492</v>
      </c>
      <c r="E72" s="35" t="n">
        <v>817.3380022375281</v>
      </c>
      <c r="F72" s="37" t="n">
        <v>0.6488115428558308</v>
      </c>
      <c r="G72" s="37" t="n">
        <v>0.8714649450334933</v>
      </c>
      <c r="H72" s="37" t="n">
        <v>0.8065912865577901</v>
      </c>
      <c r="I72" s="37" t="n">
        <v>0.6540511038231496</v>
      </c>
      <c r="J72" s="37" t="n">
        <v>0.6449764885027288</v>
      </c>
      <c r="K72" s="37" t="n">
        <v>0.8381304023683068</v>
      </c>
      <c r="L72" s="39" t="inlineStr">
        <is>
          <t>Corregible</t>
        </is>
      </c>
      <c r="M72" s="29" t="n">
        <v>11.04252673461333</v>
      </c>
      <c r="N72" s="35" t="n">
        <v>134.1811215641151</v>
      </c>
      <c r="O72" s="36" t="n">
        <v>2463.729915793964</v>
      </c>
      <c r="P72" s="29" t="n">
        <v>4.014334227760494</v>
      </c>
      <c r="Q72" s="16" t="inlineStr">
        <is>
          <t>sí</t>
        </is>
      </c>
      <c r="R72" s="16" t="inlineStr">
        <is>
          <t>O2</t>
        </is>
      </c>
    </row>
    <row r="73">
      <c r="A73" s="16" t="inlineStr">
        <is>
          <t>KF-M04-0062</t>
        </is>
      </c>
      <c r="B73" s="35" t="n">
        <v>467.7697722358823</v>
      </c>
      <c r="C73" s="35" t="n">
        <v>290.6503877262643</v>
      </c>
      <c r="D73" s="36" t="n">
        <v>2851.532116984768</v>
      </c>
      <c r="E73" s="35" t="n">
        <v>790.348167997955</v>
      </c>
      <c r="F73" s="37" t="n">
        <v>0.710075190104513</v>
      </c>
      <c r="G73" s="37" t="n">
        <v>0.8943881503955935</v>
      </c>
      <c r="H73" s="37" t="n">
        <v>0.7025375879266849</v>
      </c>
      <c r="I73" s="37" t="n">
        <v>0.8563482252902362</v>
      </c>
      <c r="J73" s="37" t="n">
        <v>0.9317963625333956</v>
      </c>
      <c r="K73" s="37" t="n">
        <v>0.9334080529796168</v>
      </c>
      <c r="L73" s="32" t="inlineStr">
        <is>
          <t>No convergió</t>
        </is>
      </c>
      <c r="M73" s="29" t="inlineStr">
        <is>
          <t>—</t>
        </is>
      </c>
      <c r="N73" s="35" t="inlineStr">
        <is>
          <t>—</t>
        </is>
      </c>
      <c r="O73" s="36" t="n">
        <v>2061.183948986813</v>
      </c>
      <c r="P73" s="29" t="n">
        <v>3.607944235776538</v>
      </c>
      <c r="Q73" s="16" t="inlineStr">
        <is>
          <t>no</t>
        </is>
      </c>
      <c r="R73" s="16" t="n"/>
    </row>
    <row r="74">
      <c r="A74" s="16" t="inlineStr">
        <is>
          <t>KF-M04-0063</t>
        </is>
      </c>
      <c r="B74" s="35" t="n">
        <v>480.8593833638887</v>
      </c>
      <c r="C74" s="35" t="n">
        <v>282.2095591049209</v>
      </c>
      <c r="D74" s="36" t="n">
        <v>4005.086734735974</v>
      </c>
      <c r="E74" s="35" t="n">
        <v>455.2746919145687</v>
      </c>
      <c r="F74" s="37" t="n">
        <v>0.8288118851231965</v>
      </c>
      <c r="G74" s="37" t="n">
        <v>0.7682637070347775</v>
      </c>
      <c r="H74" s="37" t="n">
        <v>0.765715678173197</v>
      </c>
      <c r="I74" s="37" t="n">
        <v>0.7332425527342035</v>
      </c>
      <c r="J74" s="37" t="n">
        <v>0.7177940744370952</v>
      </c>
      <c r="K74" s="37" t="n">
        <v>0.7826582715702768</v>
      </c>
      <c r="L74" s="39" t="inlineStr">
        <is>
          <t>Corregible</t>
        </is>
      </c>
      <c r="M74" s="29" t="n">
        <v>11.10847990198581</v>
      </c>
      <c r="N74" s="35" t="n">
        <v>104.5945645598695</v>
      </c>
      <c r="O74" s="36" t="n">
        <v>3549.812042821405</v>
      </c>
      <c r="P74" s="29" t="n">
        <v>8.797077469633473</v>
      </c>
      <c r="Q74" s="16" t="inlineStr">
        <is>
          <t>sí</t>
        </is>
      </c>
      <c r="R74" s="16" t="inlineStr">
        <is>
          <t>O2</t>
        </is>
      </c>
      <c r="V74" s="24" t="inlineStr">
        <is>
          <t>Figura 3.2-2 · El 90 % de los KALINA tiene razón de presiones entre 1.7 y 5.3</t>
        </is>
      </c>
    </row>
    <row r="75">
      <c r="A75" s="16" t="inlineStr">
        <is>
          <t>KF-M04-0064</t>
        </is>
      </c>
      <c r="B75" s="35" t="n">
        <v>467.5972586561853</v>
      </c>
      <c r="C75" s="35" t="n">
        <v>288.1028215325082</v>
      </c>
      <c r="D75" s="36" t="n">
        <v>3228.728334354167</v>
      </c>
      <c r="E75" s="35" t="n">
        <v>905.0515052357212</v>
      </c>
      <c r="F75" s="37" t="n">
        <v>0.776987611691229</v>
      </c>
      <c r="G75" s="37" t="n">
        <v>0.8200923806056249</v>
      </c>
      <c r="H75" s="37" t="n">
        <v>0.8185899506813021</v>
      </c>
      <c r="I75" s="37" t="n">
        <v>0.8834220512221207</v>
      </c>
      <c r="J75" s="37" t="n">
        <v>0.6390943813332384</v>
      </c>
      <c r="K75" s="37" t="n">
        <v>0.7824844345107167</v>
      </c>
      <c r="L75" s="39" t="inlineStr">
        <is>
          <t>Corregible</t>
        </is>
      </c>
      <c r="M75" s="29" t="n">
        <v>9.729250001988749</v>
      </c>
      <c r="N75" s="35" t="n">
        <v>136.8672072474068</v>
      </c>
      <c r="O75" s="36" t="n">
        <v>2323.676829118445</v>
      </c>
      <c r="P75" s="29" t="n">
        <v>3.567452587699131</v>
      </c>
      <c r="Q75" s="16" t="inlineStr">
        <is>
          <t>sí</t>
        </is>
      </c>
      <c r="R75" s="16" t="inlineStr">
        <is>
          <t>O2</t>
        </is>
      </c>
    </row>
    <row r="76">
      <c r="A76" s="16" t="inlineStr">
        <is>
          <t>KF-M04-0065</t>
        </is>
      </c>
      <c r="B76" s="35" t="n">
        <v>429.9353671450692</v>
      </c>
      <c r="C76" s="35" t="n">
        <v>278.8592804824678</v>
      </c>
      <c r="D76" s="36" t="n">
        <v>2791.884670335216</v>
      </c>
      <c r="E76" s="35" t="n">
        <v>1344.89126144369</v>
      </c>
      <c r="F76" s="37" t="n">
        <v>0.7712681071272205</v>
      </c>
      <c r="G76" s="37" t="n">
        <v>0.7875052356543569</v>
      </c>
      <c r="H76" s="37" t="n">
        <v>0.8817627776942802</v>
      </c>
      <c r="I76" s="37" t="n">
        <v>0.8612825626572577</v>
      </c>
      <c r="J76" s="37" t="n">
        <v>0.9165702804304316</v>
      </c>
      <c r="K76" s="37" t="n">
        <v>0.8563619477555122</v>
      </c>
      <c r="L76" s="32" t="inlineStr">
        <is>
          <t>No convergió</t>
        </is>
      </c>
      <c r="M76" s="29" t="inlineStr">
        <is>
          <t>—</t>
        </is>
      </c>
      <c r="N76" s="35" t="inlineStr">
        <is>
          <t>—</t>
        </is>
      </c>
      <c r="O76" s="36" t="n">
        <v>1446.993408891526</v>
      </c>
      <c r="P76" s="29" t="n">
        <v>2.075918515031642</v>
      </c>
      <c r="Q76" s="16" t="inlineStr">
        <is>
          <t>no</t>
        </is>
      </c>
      <c r="R76" s="16" t="n"/>
    </row>
    <row r="77">
      <c r="A77" s="16" t="inlineStr">
        <is>
          <t>KF-M04-0066</t>
        </is>
      </c>
      <c r="B77" s="35" t="n">
        <v>499.1027210654145</v>
      </c>
      <c r="C77" s="35" t="n">
        <v>298.0994531838887</v>
      </c>
      <c r="D77" s="36" t="n">
        <v>4928.023437908886</v>
      </c>
      <c r="E77" s="35" t="n">
        <v>642.7835658994754</v>
      </c>
      <c r="F77" s="37" t="n">
        <v>0.6314258620866475</v>
      </c>
      <c r="G77" s="37" t="n">
        <v>0.7545178898809785</v>
      </c>
      <c r="H77" s="37" t="n">
        <v>0.7114372493646737</v>
      </c>
      <c r="I77" s="37" t="n">
        <v>0.6784870982793419</v>
      </c>
      <c r="J77" s="37" t="n">
        <v>0.6733654793561269</v>
      </c>
      <c r="K77" s="37" t="n">
        <v>0.7698307502524733</v>
      </c>
      <c r="L77" s="39" t="inlineStr">
        <is>
          <t>Corregible</t>
        </is>
      </c>
      <c r="M77" s="29" t="n">
        <v>12.07365798840095</v>
      </c>
      <c r="N77" s="35" t="n">
        <v>144.16995698987</v>
      </c>
      <c r="O77" s="36" t="n">
        <v>4285.239872009411</v>
      </c>
      <c r="P77" s="29" t="n">
        <v>7.666691712960778</v>
      </c>
      <c r="Q77" s="16" t="inlineStr">
        <is>
          <t>sí</t>
        </is>
      </c>
      <c r="R77" s="16" t="inlineStr">
        <is>
          <t>O2</t>
        </is>
      </c>
    </row>
    <row r="78">
      <c r="A78" s="16" t="inlineStr">
        <is>
          <t>KF-M04-0067</t>
        </is>
      </c>
      <c r="B78" s="35" t="n">
        <v>415.6943251831133</v>
      </c>
      <c r="C78" s="35" t="n">
        <v>292.6168400955293</v>
      </c>
      <c r="D78" s="36" t="n">
        <v>3303.802097730111</v>
      </c>
      <c r="E78" s="35" t="n">
        <v>1291.098246882884</v>
      </c>
      <c r="F78" s="37" t="n">
        <v>0.7787644973326966</v>
      </c>
      <c r="G78" s="37" t="n">
        <v>0.8963498330659128</v>
      </c>
      <c r="H78" s="37" t="n">
        <v>0.7478276319958933</v>
      </c>
      <c r="I78" s="37" t="n">
        <v>0.947006153193472</v>
      </c>
      <c r="J78" s="37" t="n">
        <v>0.6612437976065836</v>
      </c>
      <c r="K78" s="37" t="n">
        <v>0.7026891564359882</v>
      </c>
      <c r="L78" s="39" t="inlineStr">
        <is>
          <t>Corregible</t>
        </is>
      </c>
      <c r="M78" s="29" t="n">
        <v>8.221903928932409</v>
      </c>
      <c r="N78" s="35" t="n">
        <v>74.80469852494274</v>
      </c>
      <c r="O78" s="36" t="n">
        <v>2012.703850847228</v>
      </c>
      <c r="P78" s="29" t="n">
        <v>2.558908360155028</v>
      </c>
      <c r="Q78" s="16" t="inlineStr">
        <is>
          <t>no</t>
        </is>
      </c>
      <c r="R78" s="16" t="inlineStr">
        <is>
          <t>O2</t>
        </is>
      </c>
    </row>
    <row r="79">
      <c r="A79" s="16" t="inlineStr">
        <is>
          <t>KF-M04-0068</t>
        </is>
      </c>
      <c r="B79" s="35" t="n">
        <v>395.1620930440915</v>
      </c>
      <c r="C79" s="35" t="n">
        <v>289.1329149849346</v>
      </c>
      <c r="D79" s="36" t="n">
        <v>2676.464074572325</v>
      </c>
      <c r="E79" s="35" t="n">
        <v>872.20860390269</v>
      </c>
      <c r="F79" s="37" t="n">
        <v>0.8318178185710234</v>
      </c>
      <c r="G79" s="37" t="n">
        <v>0.9080618696536634</v>
      </c>
      <c r="H79" s="37" t="n">
        <v>0.7853414368129183</v>
      </c>
      <c r="I79" s="37" t="n">
        <v>0.6823897946071529</v>
      </c>
      <c r="J79" s="37" t="n">
        <v>0.70565504905049</v>
      </c>
      <c r="K79" s="37" t="n">
        <v>0.8863006982831669</v>
      </c>
      <c r="L79" s="39" t="inlineStr">
        <is>
          <t>Corregible</t>
        </is>
      </c>
      <c r="M79" s="29" t="n">
        <v>10.0887448480359</v>
      </c>
      <c r="N79" s="35" t="n">
        <v>79.28841737655893</v>
      </c>
      <c r="O79" s="36" t="n">
        <v>1804.255470669634</v>
      </c>
      <c r="P79" s="29" t="n">
        <v>3.068605448967722</v>
      </c>
      <c r="Q79" s="16" t="inlineStr">
        <is>
          <t>no</t>
        </is>
      </c>
      <c r="R79" s="16" t="inlineStr">
        <is>
          <t>O2</t>
        </is>
      </c>
    </row>
    <row r="80">
      <c r="A80" s="16" t="inlineStr">
        <is>
          <t>KF-M04-0069</t>
        </is>
      </c>
      <c r="B80" s="35" t="n">
        <v>453.5322675563567</v>
      </c>
      <c r="C80" s="35" t="n">
        <v>280.5430793046254</v>
      </c>
      <c r="D80" s="36" t="n">
        <v>3316.573945453056</v>
      </c>
      <c r="E80" s="35" t="n">
        <v>356.2369174502807</v>
      </c>
      <c r="F80" s="37" t="n">
        <v>0.7389383281953887</v>
      </c>
      <c r="G80" s="37" t="n">
        <v>0.8355975621785146</v>
      </c>
      <c r="H80" s="37" t="n">
        <v>0.6861680724086203</v>
      </c>
      <c r="I80" s="37" t="n">
        <v>0.8754764130064285</v>
      </c>
      <c r="J80" s="37" t="n">
        <v>0.8024998412267326</v>
      </c>
      <c r="K80" s="37" t="n">
        <v>0.9033320958877632</v>
      </c>
      <c r="L80" s="39" t="inlineStr">
        <is>
          <t>Corregible</t>
        </is>
      </c>
      <c r="M80" s="29" t="n">
        <v>14.94097898046169</v>
      </c>
      <c r="N80" s="35" t="n">
        <v>211.5490036547579</v>
      </c>
      <c r="O80" s="36" t="n">
        <v>2960.337028002775</v>
      </c>
      <c r="P80" s="29" t="n">
        <v>9.310023141877044</v>
      </c>
      <c r="Q80" s="16" t="inlineStr">
        <is>
          <t>sí</t>
        </is>
      </c>
      <c r="R80" s="16" t="inlineStr">
        <is>
          <t>O2</t>
        </is>
      </c>
    </row>
    <row r="81">
      <c r="A81" s="16" t="inlineStr">
        <is>
          <t>KF-M04-0070</t>
        </is>
      </c>
      <c r="B81" s="35" t="n">
        <v>413.7112457001846</v>
      </c>
      <c r="C81" s="35" t="n">
        <v>294.7244307815627</v>
      </c>
      <c r="D81" s="36" t="n">
        <v>2838.322250845551</v>
      </c>
      <c r="E81" s="35" t="n">
        <v>686.1759879230095</v>
      </c>
      <c r="F81" s="37" t="n">
        <v>0.6033410265659798</v>
      </c>
      <c r="G81" s="37" t="n">
        <v>0.9171601530066694</v>
      </c>
      <c r="H81" s="37" t="n">
        <v>0.877982533452308</v>
      </c>
      <c r="I81" s="37" t="n">
        <v>0.8538239929368847</v>
      </c>
      <c r="J81" s="37" t="n">
        <v>0.7914748838977246</v>
      </c>
      <c r="K81" s="37" t="n">
        <v>0.8186178275641436</v>
      </c>
      <c r="L81" s="39" t="inlineStr">
        <is>
          <t>Corregible</t>
        </is>
      </c>
      <c r="M81" s="29" t="n">
        <v>11.75048108276897</v>
      </c>
      <c r="N81" s="35" t="n">
        <v>79.81729675456141</v>
      </c>
      <c r="O81" s="36" t="n">
        <v>2152.146262922542</v>
      </c>
      <c r="P81" s="29" t="n">
        <v>4.136434822554614</v>
      </c>
      <c r="Q81" s="16" t="inlineStr">
        <is>
          <t>no</t>
        </is>
      </c>
      <c r="R81" s="16" t="inlineStr">
        <is>
          <t>O2</t>
        </is>
      </c>
    </row>
    <row r="82">
      <c r="A82" s="16" t="inlineStr">
        <is>
          <t>KF-M04-0071</t>
        </is>
      </c>
      <c r="B82" s="35" t="n">
        <v>391.5257008929986</v>
      </c>
      <c r="C82" s="35" t="n">
        <v>289.736295181852</v>
      </c>
      <c r="D82" s="36" t="n">
        <v>4344.178189114858</v>
      </c>
      <c r="E82" s="35" t="n">
        <v>347.1354263099137</v>
      </c>
      <c r="F82" s="37" t="n">
        <v>0.6110147198534143</v>
      </c>
      <c r="G82" s="37" t="n">
        <v>0.8129359101034995</v>
      </c>
      <c r="H82" s="37" t="n">
        <v>0.7138419836984848</v>
      </c>
      <c r="I82" s="37" t="n">
        <v>0.7917845244596389</v>
      </c>
      <c r="J82" s="37" t="n">
        <v>0.8872536842044505</v>
      </c>
      <c r="K82" s="37" t="n">
        <v>0.7271187372795321</v>
      </c>
      <c r="L82" s="40" t="inlineStr">
        <is>
          <t>Inviable</t>
        </is>
      </c>
      <c r="M82" s="29" t="n">
        <v>-6.89221484716067</v>
      </c>
      <c r="N82" s="35" t="n">
        <v>-6.21701245745702</v>
      </c>
      <c r="O82" s="36" t="n">
        <v>3997.042762804945</v>
      </c>
      <c r="P82" s="29" t="n">
        <v>12.51436142745191</v>
      </c>
      <c r="Q82" s="16" t="inlineStr">
        <is>
          <t>no</t>
        </is>
      </c>
      <c r="R82" s="16" t="inlineStr">
        <is>
          <t>O2,O3</t>
        </is>
      </c>
    </row>
    <row r="83">
      <c r="A83" s="16" t="inlineStr">
        <is>
          <t>KF-M04-0072</t>
        </is>
      </c>
      <c r="B83" s="35" t="n">
        <v>474.2659238973538</v>
      </c>
      <c r="C83" s="35" t="n">
        <v>288.2748759254328</v>
      </c>
      <c r="D83" s="36" t="n">
        <v>3143.410294842173</v>
      </c>
      <c r="E83" s="35" t="n">
        <v>879.449791495599</v>
      </c>
      <c r="F83" s="37" t="n">
        <v>0.6011849870325516</v>
      </c>
      <c r="G83" s="37" t="n">
        <v>0.8350766462825436</v>
      </c>
      <c r="H83" s="37" t="n">
        <v>0.8037273403676009</v>
      </c>
      <c r="I83" s="37" t="n">
        <v>0.885565851864739</v>
      </c>
      <c r="J83" s="37" t="n">
        <v>0.7044300649516471</v>
      </c>
      <c r="K83" s="37" t="n">
        <v>0.916941544044672</v>
      </c>
      <c r="L83" s="39" t="inlineStr">
        <is>
          <t>Corregible</t>
        </is>
      </c>
      <c r="M83" s="29" t="n">
        <v>9.170066754697521</v>
      </c>
      <c r="N83" s="35" t="n">
        <v>167.9473598437933</v>
      </c>
      <c r="O83" s="36" t="n">
        <v>2263.960503346574</v>
      </c>
      <c r="P83" s="29" t="n">
        <v>3.574291932568959</v>
      </c>
      <c r="Q83" s="16" t="inlineStr">
        <is>
          <t>sí</t>
        </is>
      </c>
      <c r="R83" s="16" t="inlineStr">
        <is>
          <t>O2</t>
        </is>
      </c>
    </row>
    <row r="84">
      <c r="A84" s="16" t="inlineStr">
        <is>
          <t>KF-M04-0073</t>
        </is>
      </c>
      <c r="B84" s="35" t="n">
        <v>425.9743119534829</v>
      </c>
      <c r="C84" s="35" t="n">
        <v>298.2585762930893</v>
      </c>
      <c r="D84" s="36" t="n">
        <v>4398.709578956598</v>
      </c>
      <c r="E84" s="35" t="n">
        <v>634.296983018982</v>
      </c>
      <c r="F84" s="37" t="n">
        <v>0.5141525341684267</v>
      </c>
      <c r="G84" s="37" t="n">
        <v>0.8758769579827312</v>
      </c>
      <c r="H84" s="37" t="n">
        <v>0.7494224261841647</v>
      </c>
      <c r="I84" s="37" t="n">
        <v>0.6172262888272954</v>
      </c>
      <c r="J84" s="37" t="n">
        <v>0.7333706995652053</v>
      </c>
      <c r="K84" s="37" t="n">
        <v>0.9353469434155636</v>
      </c>
      <c r="L84" s="42" t="inlineStr">
        <is>
          <t>KALINA</t>
        </is>
      </c>
      <c r="M84" s="29" t="n">
        <v>6.585735616744611</v>
      </c>
      <c r="N84" s="35" t="n">
        <v>19.20876816215942</v>
      </c>
      <c r="O84" s="36" t="n">
        <v>3764.412595937616</v>
      </c>
      <c r="P84" s="29" t="n">
        <v>6.934779285912136</v>
      </c>
      <c r="Q84" s="16" t="inlineStr">
        <is>
          <t>no</t>
        </is>
      </c>
      <c r="R84" s="16" t="n"/>
    </row>
    <row r="85">
      <c r="A85" s="16" t="inlineStr">
        <is>
          <t>KF-M04-0074</t>
        </is>
      </c>
      <c r="B85" s="35" t="n">
        <v>466.8534444960829</v>
      </c>
      <c r="C85" s="35" t="n">
        <v>280.6084143120107</v>
      </c>
      <c r="D85" s="36" t="n">
        <v>2506.836026755731</v>
      </c>
      <c r="E85" s="35" t="n">
        <v>351.5152451936569</v>
      </c>
      <c r="F85" s="37" t="n">
        <v>0.826091887612153</v>
      </c>
      <c r="G85" s="37" t="n">
        <v>0.8069449220714843</v>
      </c>
      <c r="H85" s="37" t="n">
        <v>0.6678182115196547</v>
      </c>
      <c r="I85" s="37" t="n">
        <v>0.8143241902167389</v>
      </c>
      <c r="J85" s="37" t="n">
        <v>0.7095129647968299</v>
      </c>
      <c r="K85" s="37" t="n">
        <v>0.7440816901880632</v>
      </c>
      <c r="L85" s="39" t="inlineStr">
        <is>
          <t>Corregible</t>
        </is>
      </c>
      <c r="M85" s="29" t="n">
        <v>0.18334210888492</v>
      </c>
      <c r="N85" s="35" t="n">
        <v>1.320553198233597</v>
      </c>
      <c r="O85" s="36" t="n">
        <v>2155.320781562074</v>
      </c>
      <c r="P85" s="29" t="n">
        <v>7.131514382469142</v>
      </c>
      <c r="Q85" s="16" t="inlineStr">
        <is>
          <t>sí</t>
        </is>
      </c>
      <c r="R85" s="16" t="inlineStr">
        <is>
          <t>O2</t>
        </is>
      </c>
    </row>
    <row r="86">
      <c r="A86" s="16" t="inlineStr">
        <is>
          <t>KF-M04-0075</t>
        </is>
      </c>
      <c r="B86" s="35" t="n">
        <v>488.1167383604388</v>
      </c>
      <c r="C86" s="35" t="n">
        <v>280.2710127646671</v>
      </c>
      <c r="D86" s="36" t="n">
        <v>2650.571912221968</v>
      </c>
      <c r="E86" s="35" t="n">
        <v>916.0635834815899</v>
      </c>
      <c r="F86" s="37" t="n">
        <v>0.6477227722957831</v>
      </c>
      <c r="G86" s="37" t="n">
        <v>0.8326262177204757</v>
      </c>
      <c r="H86" s="37" t="n">
        <v>0.78991267127186</v>
      </c>
      <c r="I86" s="37" t="n">
        <v>0.7848160729601701</v>
      </c>
      <c r="J86" s="37" t="n">
        <v>0.8547087672607119</v>
      </c>
      <c r="K86" s="37" t="n">
        <v>0.9001919053297861</v>
      </c>
      <c r="L86" s="39" t="inlineStr">
        <is>
          <t>Corregible</t>
        </is>
      </c>
      <c r="M86" s="29" t="n">
        <v>8.022676926027019</v>
      </c>
      <c r="N86" s="35" t="n">
        <v>129.0605748029378</v>
      </c>
      <c r="O86" s="36" t="n">
        <v>1734.508328740379</v>
      </c>
      <c r="P86" s="29" t="n">
        <v>2.893436612934889</v>
      </c>
      <c r="Q86" s="16" t="inlineStr">
        <is>
          <t>sí</t>
        </is>
      </c>
      <c r="R86" s="16" t="inlineStr">
        <is>
          <t>O2</t>
        </is>
      </c>
    </row>
    <row r="87">
      <c r="A87" s="16" t="inlineStr">
        <is>
          <t>KF-M04-0076</t>
        </is>
      </c>
      <c r="B87" s="35" t="n">
        <v>412.2969033939582</v>
      </c>
      <c r="C87" s="35" t="n">
        <v>282.9530864519407</v>
      </c>
      <c r="D87" s="36" t="n">
        <v>3723.285290010011</v>
      </c>
      <c r="E87" s="35" t="n">
        <v>1030.303377686404</v>
      </c>
      <c r="F87" s="37" t="n">
        <v>0.5473817318176308</v>
      </c>
      <c r="G87" s="37" t="n">
        <v>0.9097924384713304</v>
      </c>
      <c r="H87" s="37" t="n">
        <v>0.8392561362583066</v>
      </c>
      <c r="I87" s="37" t="n">
        <v>0.6272778751969192</v>
      </c>
      <c r="J87" s="37" t="n">
        <v>0.6189841475039134</v>
      </c>
      <c r="K87" s="37" t="n">
        <v>0.8415460754557184</v>
      </c>
      <c r="L87" s="42" t="inlineStr">
        <is>
          <t>KALINA</t>
        </is>
      </c>
      <c r="M87" s="29" t="n">
        <v>4.70373958441919</v>
      </c>
      <c r="N87" s="35" t="n">
        <v>16.42188875307147</v>
      </c>
      <c r="O87" s="36" t="n">
        <v>2692.981912323607</v>
      </c>
      <c r="P87" s="29" t="n">
        <v>3.613775680684292</v>
      </c>
      <c r="Q87" s="16" t="inlineStr">
        <is>
          <t>no</t>
        </is>
      </c>
      <c r="R87" s="16" t="n"/>
    </row>
    <row r="88">
      <c r="A88" s="16" t="inlineStr">
        <is>
          <t>KF-M04-0077</t>
        </is>
      </c>
      <c r="B88" s="35" t="n">
        <v>490.7793329760802</v>
      </c>
      <c r="C88" s="35" t="n">
        <v>287.8932543449095</v>
      </c>
      <c r="D88" s="36" t="n">
        <v>4594.559894457701</v>
      </c>
      <c r="E88" s="35" t="n">
        <v>1315.78712921568</v>
      </c>
      <c r="F88" s="37" t="n">
        <v>0.8205469667521443</v>
      </c>
      <c r="G88" s="37" t="n">
        <v>0.8529193687177991</v>
      </c>
      <c r="H88" s="37" t="n">
        <v>0.7303113672003082</v>
      </c>
      <c r="I88" s="37" t="n">
        <v>0.8028137689205843</v>
      </c>
      <c r="J88" s="37" t="n">
        <v>0.9263766884183912</v>
      </c>
      <c r="K88" s="37" t="n">
        <v>0.9308272945162116</v>
      </c>
      <c r="L88" s="42" t="inlineStr">
        <is>
          <t>KALINA</t>
        </is>
      </c>
      <c r="M88" s="29" t="n">
        <v>10.61019331739266</v>
      </c>
      <c r="N88" s="35" t="n">
        <v>152.5134313635932</v>
      </c>
      <c r="O88" s="36" t="n">
        <v>3278.772765242021</v>
      </c>
      <c r="P88" s="29" t="n">
        <v>3.491871741591244</v>
      </c>
      <c r="Q88" s="16" t="inlineStr">
        <is>
          <t>sí</t>
        </is>
      </c>
      <c r="R88" s="16" t="n"/>
    </row>
    <row r="89">
      <c r="A89" s="16" t="inlineStr">
        <is>
          <t>KF-M04-0078</t>
        </is>
      </c>
      <c r="B89" s="35" t="n">
        <v>478.0322297286907</v>
      </c>
      <c r="C89" s="35" t="n">
        <v>282.4627812760697</v>
      </c>
      <c r="D89" s="36" t="n">
        <v>2915.52601975683</v>
      </c>
      <c r="E89" s="35" t="n">
        <v>1410.701913457753</v>
      </c>
      <c r="F89" s="37" t="n">
        <v>0.7503205813715339</v>
      </c>
      <c r="G89" s="37" t="n">
        <v>0.8194893053273515</v>
      </c>
      <c r="H89" s="37" t="n">
        <v>0.8161104575950877</v>
      </c>
      <c r="I89" s="37" t="n">
        <v>0.915892295976543</v>
      </c>
      <c r="J89" s="37" t="n">
        <v>0.9094644786373188</v>
      </c>
      <c r="K89" s="37" t="n">
        <v>0.7756213741163003</v>
      </c>
      <c r="L89" s="39" t="inlineStr">
        <is>
          <t>Corregible</t>
        </is>
      </c>
      <c r="M89" s="29" t="n">
        <v>5.701421971518529</v>
      </c>
      <c r="N89" s="35" t="n">
        <v>86.67212862778788</v>
      </c>
      <c r="O89" s="36" t="n">
        <v>1504.824106299078</v>
      </c>
      <c r="P89" s="29" t="n">
        <v>2.066720114251935</v>
      </c>
      <c r="Q89" s="16" t="inlineStr">
        <is>
          <t>sí</t>
        </is>
      </c>
      <c r="R89" s="16" t="inlineStr">
        <is>
          <t>O2</t>
        </is>
      </c>
    </row>
    <row r="90">
      <c r="A90" s="16" t="inlineStr">
        <is>
          <t>KF-M04-0079</t>
        </is>
      </c>
      <c r="B90" s="35" t="n">
        <v>398.9900607298841</v>
      </c>
      <c r="C90" s="35" t="n">
        <v>302.8141179316266</v>
      </c>
      <c r="D90" s="36" t="n">
        <v>3429.232588331723</v>
      </c>
      <c r="E90" s="35" t="n">
        <v>1190.441137421511</v>
      </c>
      <c r="F90" s="37" t="n">
        <v>0.6141329673467544</v>
      </c>
      <c r="G90" s="37" t="n">
        <v>0.7662952637122482</v>
      </c>
      <c r="H90" s="37" t="n">
        <v>0.8849029220149718</v>
      </c>
      <c r="I90" s="37" t="n">
        <v>0.9019759637040392</v>
      </c>
      <c r="J90" s="37" t="n">
        <v>0.8311004570087164</v>
      </c>
      <c r="K90" s="37" t="n">
        <v>0.8535233065529394</v>
      </c>
      <c r="L90" s="42" t="inlineStr">
        <is>
          <t>KALINA</t>
        </is>
      </c>
      <c r="M90" s="29" t="n">
        <v>6.95694159418966</v>
      </c>
      <c r="N90" s="35" t="n">
        <v>30.77663870139845</v>
      </c>
      <c r="O90" s="36" t="n">
        <v>2238.791450910212</v>
      </c>
      <c r="P90" s="29" t="n">
        <v>2.880640193398745</v>
      </c>
      <c r="Q90" s="16" t="inlineStr">
        <is>
          <t>no</t>
        </is>
      </c>
      <c r="R90" s="16" t="n"/>
    </row>
    <row r="91">
      <c r="A91" s="16" t="inlineStr">
        <is>
          <t>KF-M04-0080</t>
        </is>
      </c>
      <c r="B91" s="35" t="n">
        <v>392.6827090885004</v>
      </c>
      <c r="C91" s="35" t="n">
        <v>290.2494994047851</v>
      </c>
      <c r="D91" s="36" t="n">
        <v>4148.967785517323</v>
      </c>
      <c r="E91" s="35" t="n">
        <v>1026.519909177539</v>
      </c>
      <c r="F91" s="37" t="n">
        <v>0.7133957133092119</v>
      </c>
      <c r="G91" s="37" t="n">
        <v>0.8136629444379546</v>
      </c>
      <c r="H91" s="37" t="n">
        <v>0.6539917299853152</v>
      </c>
      <c r="I91" s="37" t="n">
        <v>0.7688339458433313</v>
      </c>
      <c r="J91" s="37" t="n">
        <v>0.8499846817682796</v>
      </c>
      <c r="K91" s="37" t="n">
        <v>0.8089725746004464</v>
      </c>
      <c r="L91" s="42" t="inlineStr">
        <is>
          <t>KALINA</t>
        </is>
      </c>
      <c r="M91" s="29" t="n">
        <v>9.074359536581619</v>
      </c>
      <c r="N91" s="35" t="n">
        <v>37.04644189210595</v>
      </c>
      <c r="O91" s="36" t="n">
        <v>3122.447876339785</v>
      </c>
      <c r="P91" s="29" t="n">
        <v>4.041780143203974</v>
      </c>
      <c r="Q91" s="16" t="inlineStr">
        <is>
          <t>no</t>
        </is>
      </c>
      <c r="R91" s="16" t="n"/>
    </row>
    <row r="92">
      <c r="A92" s="16" t="inlineStr">
        <is>
          <t>KF-M04-0081</t>
        </is>
      </c>
      <c r="B92" s="35" t="n">
        <v>413.4396520086486</v>
      </c>
      <c r="C92" s="35" t="n">
        <v>291.4544189178858</v>
      </c>
      <c r="D92" s="36" t="n">
        <v>2733.313616845958</v>
      </c>
      <c r="E92" s="35" t="n">
        <v>573.7505473881051</v>
      </c>
      <c r="F92" s="37" t="n">
        <v>0.6545426601959826</v>
      </c>
      <c r="G92" s="37" t="n">
        <v>0.9004862475850816</v>
      </c>
      <c r="H92" s="37" t="n">
        <v>0.7457442384436903</v>
      </c>
      <c r="I92" s="37" t="n">
        <v>0.7143889373267853</v>
      </c>
      <c r="J92" s="37" t="n">
        <v>0.9427902861322288</v>
      </c>
      <c r="K92" s="37" t="n">
        <v>0.8948996285723276</v>
      </c>
      <c r="L92" s="39" t="inlineStr">
        <is>
          <t>Corregible</t>
        </is>
      </c>
      <c r="M92" s="29" t="n">
        <v>13.09825221462849</v>
      </c>
      <c r="N92" s="35" t="n">
        <v>88.74901408940254</v>
      </c>
      <c r="O92" s="36" t="n">
        <v>2159.563069457853</v>
      </c>
      <c r="P92" s="29" t="n">
        <v>4.763940756638701</v>
      </c>
      <c r="Q92" s="16" t="inlineStr">
        <is>
          <t>no</t>
        </is>
      </c>
      <c r="R92" s="16" t="inlineStr">
        <is>
          <t>O2</t>
        </is>
      </c>
    </row>
    <row r="93">
      <c r="A93" s="16" t="inlineStr">
        <is>
          <t>KF-M04-0082</t>
        </is>
      </c>
      <c r="B93" s="35" t="n">
        <v>450.5876775316502</v>
      </c>
      <c r="C93" s="35" t="n">
        <v>282.1040831161979</v>
      </c>
      <c r="D93" s="36" t="n">
        <v>2262.470168526241</v>
      </c>
      <c r="E93" s="35" t="n">
        <v>1454.83498234847</v>
      </c>
      <c r="F93" s="37" t="n">
        <v>0.5844227708410078</v>
      </c>
      <c r="G93" s="37" t="n">
        <v>0.8120762850487404</v>
      </c>
      <c r="H93" s="37" t="n">
        <v>0.8701798751107959</v>
      </c>
      <c r="I93" s="37" t="n">
        <v>0.8015577521942722</v>
      </c>
      <c r="J93" s="37" t="n">
        <v>0.7633696802528094</v>
      </c>
      <c r="K93" s="37" t="n">
        <v>0.8776815948993253</v>
      </c>
      <c r="L93" s="42" t="inlineStr">
        <is>
          <t>KALINA</t>
        </is>
      </c>
      <c r="M93" s="29" t="n">
        <v>3.2907645762116</v>
      </c>
      <c r="N93" s="35" t="n">
        <v>51.20972706237875</v>
      </c>
      <c r="O93" s="36" t="n">
        <v>807.6351861777716</v>
      </c>
      <c r="P93" s="29" t="n">
        <v>1.555138689938597</v>
      </c>
      <c r="Q93" s="16" t="inlineStr">
        <is>
          <t>sí</t>
        </is>
      </c>
      <c r="R93" s="16" t="n"/>
    </row>
    <row r="94">
      <c r="A94" s="16" t="inlineStr">
        <is>
          <t>KF-M04-0083</t>
        </is>
      </c>
      <c r="B94" s="35" t="n">
        <v>453.6955651486761</v>
      </c>
      <c r="C94" s="35" t="n">
        <v>294.1991028828788</v>
      </c>
      <c r="D94" s="36" t="n">
        <v>4717.402847573444</v>
      </c>
      <c r="E94" s="35" t="n">
        <v>1094.439040364149</v>
      </c>
      <c r="F94" s="37" t="n">
        <v>0.6462913110790672</v>
      </c>
      <c r="G94" s="37" t="n">
        <v>0.8281186344496253</v>
      </c>
      <c r="H94" s="37" t="n">
        <v>0.7285072555938081</v>
      </c>
      <c r="I94" s="37" t="n">
        <v>0.9423538470084298</v>
      </c>
      <c r="J94" s="37" t="n">
        <v>0.9294114868950272</v>
      </c>
      <c r="K94" s="37" t="n">
        <v>0.7670256084804735</v>
      </c>
      <c r="L94" s="39" t="inlineStr">
        <is>
          <t>Corregible</t>
        </is>
      </c>
      <c r="M94" s="29" t="n">
        <v>11.41172532113685</v>
      </c>
      <c r="N94" s="35" t="n">
        <v>117.94797632053</v>
      </c>
      <c r="O94" s="36" t="n">
        <v>3622.963807209295</v>
      </c>
      <c r="P94" s="29" t="n">
        <v>4.310338605980137</v>
      </c>
      <c r="Q94" s="16" t="inlineStr">
        <is>
          <t>sí</t>
        </is>
      </c>
      <c r="R94" s="16" t="inlineStr">
        <is>
          <t>O2</t>
        </is>
      </c>
    </row>
    <row r="95">
      <c r="A95" s="16" t="inlineStr">
        <is>
          <t>KF-M04-0084</t>
        </is>
      </c>
      <c r="B95" s="35" t="n">
        <v>487.4566462979166</v>
      </c>
      <c r="C95" s="35" t="n">
        <v>300.7520042268899</v>
      </c>
      <c r="D95" s="36" t="n">
        <v>4669.085636046515</v>
      </c>
      <c r="E95" s="35" t="n">
        <v>1082.754051648912</v>
      </c>
      <c r="F95" s="37" t="n">
        <v>0.6660423570921101</v>
      </c>
      <c r="G95" s="37" t="n">
        <v>0.9028957503446768</v>
      </c>
      <c r="H95" s="37" t="n">
        <v>0.8833322525003988</v>
      </c>
      <c r="I95" s="37" t="n">
        <v>0.8370607713561149</v>
      </c>
      <c r="J95" s="37" t="n">
        <v>0.7160784433993884</v>
      </c>
      <c r="K95" s="37" t="n">
        <v>0.7960937856147992</v>
      </c>
      <c r="L95" s="32" t="inlineStr">
        <is>
          <t>No convergió</t>
        </is>
      </c>
      <c r="M95" s="29" t="inlineStr">
        <is>
          <t>—</t>
        </is>
      </c>
      <c r="N95" s="35" t="inlineStr">
        <is>
          <t>—</t>
        </is>
      </c>
      <c r="O95" s="36" t="n">
        <v>3586.331584397602</v>
      </c>
      <c r="P95" s="29" t="n">
        <v>4.312231045393942</v>
      </c>
      <c r="Q95" s="16" t="inlineStr">
        <is>
          <t>no</t>
        </is>
      </c>
      <c r="R95" s="16" t="n"/>
      <c r="V95" s="25" t="inlineStr">
        <is>
          <t>Estudio 3.2. Punto base: Sin punto base: muestreo en la caja de rangos indicada en 'Datos barridos'</t>
        </is>
      </c>
    </row>
    <row r="96">
      <c r="A96" s="16" t="inlineStr">
        <is>
          <t>KF-M04-0085</t>
        </is>
      </c>
      <c r="B96" s="35" t="n">
        <v>385.5400150181342</v>
      </c>
      <c r="C96" s="35" t="n">
        <v>283.3593484584791</v>
      </c>
      <c r="D96" s="36" t="n">
        <v>4275.300864904254</v>
      </c>
      <c r="E96" s="35" t="n">
        <v>782.5254515338474</v>
      </c>
      <c r="F96" s="37" t="n">
        <v>0.6611273868949203</v>
      </c>
      <c r="G96" s="37" t="n">
        <v>0.7773247253301913</v>
      </c>
      <c r="H96" s="37" t="n">
        <v>0.8671705137035546</v>
      </c>
      <c r="I96" s="37" t="n">
        <v>0.6671287816211204</v>
      </c>
      <c r="J96" s="37" t="n">
        <v>0.6131534660649063</v>
      </c>
      <c r="K96" s="37" t="n">
        <v>0.8615114553526353</v>
      </c>
      <c r="L96" s="40" t="inlineStr">
        <is>
          <t>Inviable</t>
        </is>
      </c>
      <c r="M96" s="29" t="n">
        <v>-0.8672284361867699</v>
      </c>
      <c r="N96" s="35" t="n">
        <v>-1.721405543790563</v>
      </c>
      <c r="O96" s="36" t="n">
        <v>3492.775413370407</v>
      </c>
      <c r="P96" s="29" t="n">
        <v>5.463465573578637</v>
      </c>
      <c r="Q96" s="16" t="inlineStr">
        <is>
          <t>no</t>
        </is>
      </c>
      <c r="R96" s="16" t="inlineStr">
        <is>
          <t>O3</t>
        </is>
      </c>
      <c r="V96" s="25" t="inlineStr">
        <is>
          <t>Datos fijos: m_b = 1 kg/s; motor de propiedades = teqp.</t>
        </is>
      </c>
    </row>
    <row r="97">
      <c r="A97" s="16" t="inlineStr">
        <is>
          <t>KF-M04-0086</t>
        </is>
      </c>
      <c r="B97" s="35" t="n">
        <v>490.8569959440714</v>
      </c>
      <c r="C97" s="35" t="n">
        <v>296.3968084523796</v>
      </c>
      <c r="D97" s="36" t="n">
        <v>3836.013417784205</v>
      </c>
      <c r="E97" s="35" t="n">
        <v>457.3944215455086</v>
      </c>
      <c r="F97" s="37" t="n">
        <v>0.5196958580866796</v>
      </c>
      <c r="G97" s="37" t="n">
        <v>0.8478807027661912</v>
      </c>
      <c r="H97" s="37" t="n">
        <v>0.7528307360817396</v>
      </c>
      <c r="I97" s="37" t="n">
        <v>0.6364974366703936</v>
      </c>
      <c r="J97" s="37" t="n">
        <v>0.8963703489079959</v>
      </c>
      <c r="K97" s="37" t="n">
        <v>0.8219829005544436</v>
      </c>
      <c r="L97" s="39" t="inlineStr">
        <is>
          <t>Corregible</t>
        </is>
      </c>
      <c r="M97" s="29" t="n">
        <v>14.67140677690331</v>
      </c>
      <c r="N97" s="35" t="n">
        <v>180.3666111779749</v>
      </c>
      <c r="O97" s="36" t="n">
        <v>3378.618996238696</v>
      </c>
      <c r="P97" s="29" t="n">
        <v>8.386664194159918</v>
      </c>
      <c r="Q97" s="16" t="inlineStr">
        <is>
          <t>sí</t>
        </is>
      </c>
      <c r="R97" s="16" t="inlineStr">
        <is>
          <t>O1,O2</t>
        </is>
      </c>
      <c r="V97" s="25"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98">
      <c r="A98" s="16" t="inlineStr">
        <is>
          <t>KF-M04-0087</t>
        </is>
      </c>
      <c r="B98" s="35" t="n">
        <v>453.1300820564006</v>
      </c>
      <c r="C98" s="35" t="n">
        <v>285.5668128650289</v>
      </c>
      <c r="D98" s="36" t="n">
        <v>3053.239598013821</v>
      </c>
      <c r="E98" s="35" t="n">
        <v>520.2115908612054</v>
      </c>
      <c r="F98" s="37" t="n">
        <v>0.7258676949963092</v>
      </c>
      <c r="G98" s="37" t="n">
        <v>0.899648298456344</v>
      </c>
      <c r="H98" s="37" t="n">
        <v>0.8981168895382025</v>
      </c>
      <c r="I98" s="37" t="n">
        <v>0.891494707916376</v>
      </c>
      <c r="J98" s="37" t="n">
        <v>0.726700853370115</v>
      </c>
      <c r="K98" s="37" t="n">
        <v>0.7777021752834721</v>
      </c>
      <c r="L98" s="39" t="inlineStr">
        <is>
          <t>Corregible</t>
        </is>
      </c>
      <c r="M98" s="29" t="n">
        <v>14.08978732819987</v>
      </c>
      <c r="N98" s="35" t="n">
        <v>203.8409986399362</v>
      </c>
      <c r="O98" s="36" t="n">
        <v>2533.028007152615</v>
      </c>
      <c r="P98" s="29" t="n">
        <v>5.86922639105217</v>
      </c>
      <c r="Q98" s="16" t="inlineStr">
        <is>
          <t>sí</t>
        </is>
      </c>
      <c r="R98" s="16" t="inlineStr">
        <is>
          <t>O2</t>
        </is>
      </c>
      <c r="V98" s="25" t="inlineStr">
        <is>
          <t>Filtro: estudio 3.2. Marcas: P_baja se muestreó entre 303 y 1498 kPa: el borde superior de P_baja de los KALINA es el borde de la caja de muestreo, no una frontera física (el estudio 3.3 explora hasta 2500 kPa).</t>
        </is>
      </c>
    </row>
    <row r="99">
      <c r="A99" s="16" t="inlineStr">
        <is>
          <t>KF-M04-0088</t>
        </is>
      </c>
      <c r="B99" s="35" t="n">
        <v>477.5705790440421</v>
      </c>
      <c r="C99" s="35" t="n">
        <v>298.6583028482268</v>
      </c>
      <c r="D99" s="36" t="n">
        <v>2248.475597248098</v>
      </c>
      <c r="E99" s="35" t="n">
        <v>400.2746443697802</v>
      </c>
      <c r="F99" s="37" t="n">
        <v>0.6327909346074458</v>
      </c>
      <c r="G99" s="37" t="n">
        <v>0.9090488163063216</v>
      </c>
      <c r="H99" s="37" t="n">
        <v>0.7021836829385164</v>
      </c>
      <c r="I99" s="37" t="n">
        <v>0.7131547536815045</v>
      </c>
      <c r="J99" s="37" t="n">
        <v>0.626629626351764</v>
      </c>
      <c r="K99" s="37" t="n">
        <v>0.9090935279822978</v>
      </c>
      <c r="L99" s="39" t="inlineStr">
        <is>
          <t>Corregible</t>
        </is>
      </c>
      <c r="M99" s="29" t="n">
        <v>11.35807822290315</v>
      </c>
      <c r="N99" s="35" t="n">
        <v>139.5402768871878</v>
      </c>
      <c r="O99" s="36" t="n">
        <v>1848.200952878319</v>
      </c>
      <c r="P99" s="29" t="n">
        <v>5.617332071553652</v>
      </c>
      <c r="Q99" s="16" t="inlineStr">
        <is>
          <t>sí</t>
        </is>
      </c>
      <c r="R99" s="16" t="inlineStr">
        <is>
          <t>O2</t>
        </is>
      </c>
      <c r="V99" s="25" t="inlineStr">
        <is>
          <t>n = 500. Fuente: todos_los_puntos.csv.</t>
        </is>
      </c>
    </row>
    <row r="100">
      <c r="A100" s="16" t="inlineStr">
        <is>
          <t>KF-M04-0089</t>
        </is>
      </c>
      <c r="B100" s="35" t="n">
        <v>412.5368932453263</v>
      </c>
      <c r="C100" s="35" t="n">
        <v>301.6758644142189</v>
      </c>
      <c r="D100" s="36" t="n">
        <v>4908.514700244743</v>
      </c>
      <c r="E100" s="35" t="n">
        <v>1268.657707014368</v>
      </c>
      <c r="F100" s="37" t="n">
        <v>0.5750791057355131</v>
      </c>
      <c r="G100" s="37" t="n">
        <v>0.8638269641863565</v>
      </c>
      <c r="H100" s="37" t="n">
        <v>0.7947660830441726</v>
      </c>
      <c r="I100" s="37" t="n">
        <v>0.9250279190721374</v>
      </c>
      <c r="J100" s="37" t="n">
        <v>0.8658669818717359</v>
      </c>
      <c r="K100" s="37" t="n">
        <v>0.8494890917239657</v>
      </c>
      <c r="L100" s="42" t="inlineStr">
        <is>
          <t>KALINA</t>
        </is>
      </c>
      <c r="M100" s="29" t="n">
        <v>6.91706121122251</v>
      </c>
      <c r="N100" s="35" t="n">
        <v>17.88503948242492</v>
      </c>
      <c r="O100" s="36" t="n">
        <v>3639.856993230374</v>
      </c>
      <c r="P100" s="29" t="n">
        <v>3.869061507375646</v>
      </c>
      <c r="Q100" s="16" t="inlineStr">
        <is>
          <t>no</t>
        </is>
      </c>
      <c r="R100" s="16" t="n"/>
    </row>
    <row r="101">
      <c r="A101" s="16" t="inlineStr">
        <is>
          <t>KF-M04-0090</t>
        </is>
      </c>
      <c r="B101" s="35" t="n">
        <v>432.164130069384</v>
      </c>
      <c r="C101" s="35" t="n">
        <v>296.7664427012509</v>
      </c>
      <c r="D101" s="36" t="n">
        <v>3598.295411482984</v>
      </c>
      <c r="E101" s="35" t="n">
        <v>894.0545133432975</v>
      </c>
      <c r="F101" s="37" t="n">
        <v>0.7953936472371819</v>
      </c>
      <c r="G101" s="37" t="n">
        <v>0.8305390023445005</v>
      </c>
      <c r="H101" s="37" t="n">
        <v>0.8342326001205428</v>
      </c>
      <c r="I101" s="37" t="n">
        <v>0.6329123122111976</v>
      </c>
      <c r="J101" s="37" t="n">
        <v>0.7727792087501223</v>
      </c>
      <c r="K101" s="37" t="n">
        <v>0.7095081149151131</v>
      </c>
      <c r="L101" s="39" t="inlineStr">
        <is>
          <t>Corregible</t>
        </is>
      </c>
      <c r="M101" s="29" t="n">
        <v>10.80569301723096</v>
      </c>
      <c r="N101" s="35" t="n">
        <v>84.28638234892897</v>
      </c>
      <c r="O101" s="36" t="n">
        <v>2704.240898139687</v>
      </c>
      <c r="P101" s="29" t="n">
        <v>4.024693525708222</v>
      </c>
      <c r="Q101" s="16" t="inlineStr">
        <is>
          <t>no</t>
        </is>
      </c>
      <c r="R101" s="16" t="inlineStr">
        <is>
          <t>O2</t>
        </is>
      </c>
    </row>
    <row r="102">
      <c r="A102" s="16" t="inlineStr">
        <is>
          <t>KF-M04-0091</t>
        </is>
      </c>
      <c r="B102" s="35" t="n">
        <v>405.3976283368621</v>
      </c>
      <c r="C102" s="35" t="n">
        <v>284.5982305327081</v>
      </c>
      <c r="D102" s="36" t="n">
        <v>3915.797414958881</v>
      </c>
      <c r="E102" s="35" t="n">
        <v>1047.092193704135</v>
      </c>
      <c r="F102" s="37" t="n">
        <v>0.7724467584851575</v>
      </c>
      <c r="G102" s="37" t="n">
        <v>0.7701270700760329</v>
      </c>
      <c r="H102" s="37" t="n">
        <v>0.8884182093223041</v>
      </c>
      <c r="I102" s="37" t="n">
        <v>0.8059915678068373</v>
      </c>
      <c r="J102" s="37" t="n">
        <v>0.8175409970940141</v>
      </c>
      <c r="K102" s="37" t="n">
        <v>0.906131406245288</v>
      </c>
      <c r="L102" s="42" t="inlineStr">
        <is>
          <t>KALINA</t>
        </is>
      </c>
      <c r="M102" s="29" t="n">
        <v>9.36662675892955</v>
      </c>
      <c r="N102" s="35" t="n">
        <v>72.00400062170507</v>
      </c>
      <c r="O102" s="36" t="n">
        <v>2868.705221254746</v>
      </c>
      <c r="P102" s="29" t="n">
        <v>3.739687334604773</v>
      </c>
      <c r="Q102" s="16" t="inlineStr">
        <is>
          <t>no</t>
        </is>
      </c>
      <c r="R102" s="16" t="n"/>
      <c r="V102" s="24" t="inlineStr">
        <is>
          <t>Figura 3.2-4 · El 90 % de los KALINA tiene ΔP 968–3718 kPa y r_P 1.7–5.3</t>
        </is>
      </c>
    </row>
    <row r="103">
      <c r="A103" s="16" t="inlineStr">
        <is>
          <t>KF-M04-0092</t>
        </is>
      </c>
      <c r="B103" s="35" t="n">
        <v>397.8673225212804</v>
      </c>
      <c r="C103" s="35" t="n">
        <v>282.314728732296</v>
      </c>
      <c r="D103" s="36" t="n">
        <v>4333.115678901523</v>
      </c>
      <c r="E103" s="35" t="n">
        <v>398.5432911679855</v>
      </c>
      <c r="F103" s="37" t="n">
        <v>0.5272177145473697</v>
      </c>
      <c r="G103" s="37" t="n">
        <v>0.7709322113987698</v>
      </c>
      <c r="H103" s="37" t="n">
        <v>0.7355783319928004</v>
      </c>
      <c r="I103" s="37" t="n">
        <v>0.7803870959098138</v>
      </c>
      <c r="J103" s="37" t="n">
        <v>0.7455972135826274</v>
      </c>
      <c r="K103" s="37" t="n">
        <v>0.8030569847048837</v>
      </c>
      <c r="L103" s="38" t="inlineStr">
        <is>
          <t>Falso convergido</t>
        </is>
      </c>
      <c r="M103" s="29" t="inlineStr">
        <is>
          <t>—</t>
        </is>
      </c>
      <c r="N103" s="35" t="inlineStr">
        <is>
          <t>—</t>
        </is>
      </c>
      <c r="O103" s="36" t="n">
        <v>3934.572387733538</v>
      </c>
      <c r="P103" s="29" t="n">
        <v>10.87238394153553</v>
      </c>
      <c r="Q103" s="16" t="inlineStr">
        <is>
          <t>no</t>
        </is>
      </c>
      <c r="R103" s="16" t="inlineStr">
        <is>
          <t>N2,S6,O3,O5,C1,C3,C3</t>
        </is>
      </c>
    </row>
    <row r="104">
      <c r="A104" s="16" t="inlineStr">
        <is>
          <t>KF-M04-0093</t>
        </is>
      </c>
      <c r="B104" s="35" t="n">
        <v>407.5723859105924</v>
      </c>
      <c r="C104" s="35" t="n">
        <v>286.8487187053676</v>
      </c>
      <c r="D104" s="36" t="n">
        <v>4401.367332734139</v>
      </c>
      <c r="E104" s="35" t="n">
        <v>1159.043150436301</v>
      </c>
      <c r="F104" s="37" t="n">
        <v>0.8305675915704482</v>
      </c>
      <c r="G104" s="37" t="n">
        <v>0.833758960937152</v>
      </c>
      <c r="H104" s="37" t="n">
        <v>0.8774543431193844</v>
      </c>
      <c r="I104" s="37" t="n">
        <v>0.7809470973573513</v>
      </c>
      <c r="J104" s="37" t="n">
        <v>0.8305469769901688</v>
      </c>
      <c r="K104" s="37" t="n">
        <v>0.8587440431581719</v>
      </c>
      <c r="L104" s="39" t="inlineStr">
        <is>
          <t>Corregible</t>
        </is>
      </c>
      <c r="M104" s="29" t="n">
        <v>11.01582870714495</v>
      </c>
      <c r="N104" s="35" t="n">
        <v>87.75882043514612</v>
      </c>
      <c r="O104" s="36" t="n">
        <v>3242.324182297838</v>
      </c>
      <c r="P104" s="29" t="n">
        <v>3.797414557928514</v>
      </c>
      <c r="Q104" s="16" t="inlineStr">
        <is>
          <t>no</t>
        </is>
      </c>
      <c r="R104" s="16" t="inlineStr">
        <is>
          <t>O2</t>
        </is>
      </c>
    </row>
    <row r="105">
      <c r="A105" s="16" t="inlineStr">
        <is>
          <t>KF-M04-0094</t>
        </is>
      </c>
      <c r="B105" s="35" t="n">
        <v>470.0184061623756</v>
      </c>
      <c r="C105" s="35" t="n">
        <v>303.0306542359101</v>
      </c>
      <c r="D105" s="36" t="n">
        <v>3349.66301260008</v>
      </c>
      <c r="E105" s="35" t="n">
        <v>1354.066158881679</v>
      </c>
      <c r="F105" s="37" t="n">
        <v>0.5862405282822463</v>
      </c>
      <c r="G105" s="37" t="n">
        <v>0.8503662658665632</v>
      </c>
      <c r="H105" s="37" t="n">
        <v>0.6887635137172872</v>
      </c>
      <c r="I105" s="37" t="n">
        <v>0.9315294173286428</v>
      </c>
      <c r="J105" s="37" t="n">
        <v>0.7254332240999878</v>
      </c>
      <c r="K105" s="37" t="n">
        <v>0.934518427642144</v>
      </c>
      <c r="L105" s="42" t="inlineStr">
        <is>
          <t>KALINA</t>
        </is>
      </c>
      <c r="M105" s="29" t="n">
        <v>6.770261399809741</v>
      </c>
      <c r="N105" s="35" t="n">
        <v>128.5507335756506</v>
      </c>
      <c r="O105" s="36" t="n">
        <v>1995.596853718401</v>
      </c>
      <c r="P105" s="29" t="n">
        <v>2.473780908435494</v>
      </c>
      <c r="Q105" s="16" t="inlineStr">
        <is>
          <t>sí</t>
        </is>
      </c>
      <c r="R105" s="16" t="n"/>
    </row>
    <row r="106">
      <c r="A106" s="16" t="inlineStr">
        <is>
          <t>KF-M04-0095</t>
        </is>
      </c>
      <c r="B106" s="35" t="n">
        <v>452.5437078835623</v>
      </c>
      <c r="C106" s="35" t="n">
        <v>287.7077398945918</v>
      </c>
      <c r="D106" s="36" t="n">
        <v>2116.104563278331</v>
      </c>
      <c r="E106" s="35" t="n">
        <v>676.1586643831347</v>
      </c>
      <c r="F106" s="37" t="n">
        <v>0.8016370459143962</v>
      </c>
      <c r="G106" s="37" t="n">
        <v>0.8649182563677374</v>
      </c>
      <c r="H106" s="37" t="n">
        <v>0.6575388758805655</v>
      </c>
      <c r="I106" s="37" t="n">
        <v>0.795854189576979</v>
      </c>
      <c r="J106" s="37" t="n">
        <v>0.8705522759007305</v>
      </c>
      <c r="K106" s="37" t="n">
        <v>0.8133060244908304</v>
      </c>
      <c r="L106" s="39" t="inlineStr">
        <is>
          <t>Corregible</t>
        </is>
      </c>
      <c r="M106" s="29" t="n">
        <v>9.01930833030276</v>
      </c>
      <c r="N106" s="35" t="n">
        <v>115.4955786550033</v>
      </c>
      <c r="O106" s="36" t="n">
        <v>1439.945898895196</v>
      </c>
      <c r="P106" s="29" t="n">
        <v>3.129597644376665</v>
      </c>
      <c r="Q106" s="16" t="inlineStr">
        <is>
          <t>no</t>
        </is>
      </c>
      <c r="R106" s="16" t="inlineStr">
        <is>
          <t>O2</t>
        </is>
      </c>
    </row>
    <row r="107">
      <c r="A107" s="16" t="inlineStr">
        <is>
          <t>KF-M04-0096</t>
        </is>
      </c>
      <c r="B107" s="35" t="n">
        <v>390.5513738688567</v>
      </c>
      <c r="C107" s="35" t="n">
        <v>280.0134868547992</v>
      </c>
      <c r="D107" s="36" t="n">
        <v>3672.889560886802</v>
      </c>
      <c r="E107" s="35" t="n">
        <v>1143.919076288394</v>
      </c>
      <c r="F107" s="37" t="n">
        <v>0.5727930247790437</v>
      </c>
      <c r="G107" s="37" t="n">
        <v>0.8980889073426196</v>
      </c>
      <c r="H107" s="37" t="n">
        <v>0.8491063996697544</v>
      </c>
      <c r="I107" s="37" t="n">
        <v>0.8506852875854269</v>
      </c>
      <c r="J107" s="37" t="n">
        <v>0.6566746076860545</v>
      </c>
      <c r="K107" s="37" t="n">
        <v>0.7034570955095866</v>
      </c>
      <c r="L107" s="42" t="inlineStr">
        <is>
          <t>KALINA</t>
        </is>
      </c>
      <c r="M107" s="29" t="n">
        <v>2.36659382539842</v>
      </c>
      <c r="N107" s="35" t="n">
        <v>5.377577339315511</v>
      </c>
      <c r="O107" s="36" t="n">
        <v>2528.970484598408</v>
      </c>
      <c r="P107" s="29" t="n">
        <v>3.210794921616315</v>
      </c>
      <c r="Q107" s="16" t="inlineStr">
        <is>
          <t>no</t>
        </is>
      </c>
      <c r="R107" s="16" t="n"/>
    </row>
    <row r="108">
      <c r="A108" s="16" t="inlineStr">
        <is>
          <t>KF-M04-0097</t>
        </is>
      </c>
      <c r="B108" s="35" t="n">
        <v>473.1584515007291</v>
      </c>
      <c r="C108" s="35" t="n">
        <v>287.461545703929</v>
      </c>
      <c r="D108" s="36" t="n">
        <v>3755.380376038406</v>
      </c>
      <c r="E108" s="35" t="n">
        <v>967.3425431829708</v>
      </c>
      <c r="F108" s="37" t="n">
        <v>0.6130328483983127</v>
      </c>
      <c r="G108" s="37" t="n">
        <v>0.7999568291208458</v>
      </c>
      <c r="H108" s="37" t="n">
        <v>0.6689582066494304</v>
      </c>
      <c r="I108" s="37" t="n">
        <v>0.6858122670510629</v>
      </c>
      <c r="J108" s="37" t="n">
        <v>0.7841985020116683</v>
      </c>
      <c r="K108" s="37" t="n">
        <v>0.7297842913864598</v>
      </c>
      <c r="L108" s="39" t="inlineStr">
        <is>
          <t>Corregible</t>
        </is>
      </c>
      <c r="M108" s="29" t="n">
        <v>9.05902997392665</v>
      </c>
      <c r="N108" s="35" t="n">
        <v>106.9507101649322</v>
      </c>
      <c r="O108" s="36" t="n">
        <v>2788.037832855435</v>
      </c>
      <c r="P108" s="29" t="n">
        <v>3.882161911003726</v>
      </c>
      <c r="Q108" s="16" t="inlineStr">
        <is>
          <t>sí</t>
        </is>
      </c>
      <c r="R108" s="16" t="inlineStr">
        <is>
          <t>O2</t>
        </is>
      </c>
    </row>
    <row r="109">
      <c r="A109" s="16" t="inlineStr">
        <is>
          <t>KF-M04-0098</t>
        </is>
      </c>
      <c r="B109" s="35" t="n">
        <v>443.2791594946904</v>
      </c>
      <c r="C109" s="35" t="n">
        <v>287.4664560162934</v>
      </c>
      <c r="D109" s="36" t="n">
        <v>2354.43524953111</v>
      </c>
      <c r="E109" s="35" t="n">
        <v>437.2631795050562</v>
      </c>
      <c r="F109" s="37" t="n">
        <v>0.7856774216724201</v>
      </c>
      <c r="G109" s="37" t="n">
        <v>0.8447955389606667</v>
      </c>
      <c r="H109" s="37" t="n">
        <v>0.8098413325663434</v>
      </c>
      <c r="I109" s="37" t="n">
        <v>0.7535144869624599</v>
      </c>
      <c r="J109" s="37" t="n">
        <v>0.807077860689783</v>
      </c>
      <c r="K109" s="37" t="n">
        <v>0.7569584860216093</v>
      </c>
      <c r="L109" s="39" t="inlineStr">
        <is>
          <t>Corregible</t>
        </is>
      </c>
      <c r="M109" s="29" t="n">
        <v>8.354833834877761</v>
      </c>
      <c r="N109" s="35" t="n">
        <v>69.18244732276335</v>
      </c>
      <c r="O109" s="36" t="n">
        <v>1917.172070026054</v>
      </c>
      <c r="P109" s="29" t="n">
        <v>5.384480925643283</v>
      </c>
      <c r="Q109" s="16" t="inlineStr">
        <is>
          <t>no</t>
        </is>
      </c>
      <c r="R109" s="16" t="inlineStr">
        <is>
          <t>O2</t>
        </is>
      </c>
    </row>
    <row r="110">
      <c r="A110" s="16" t="inlineStr">
        <is>
          <t>KF-M04-0099</t>
        </is>
      </c>
      <c r="B110" s="35" t="n">
        <v>477.647034195786</v>
      </c>
      <c r="C110" s="35" t="n">
        <v>293.071721901213</v>
      </c>
      <c r="D110" s="36" t="n">
        <v>4470.32970310754</v>
      </c>
      <c r="E110" s="35" t="n">
        <v>778.498254612226</v>
      </c>
      <c r="F110" s="37" t="n">
        <v>0.6749417926021046</v>
      </c>
      <c r="G110" s="37" t="n">
        <v>0.8282755585202636</v>
      </c>
      <c r="H110" s="37" t="n">
        <v>0.7808129803657534</v>
      </c>
      <c r="I110" s="37" t="n">
        <v>0.8841634753152201</v>
      </c>
      <c r="J110" s="37" t="n">
        <v>0.898169614713606</v>
      </c>
      <c r="K110" s="37" t="n">
        <v>0.8486985114134042</v>
      </c>
      <c r="L110" s="39" t="inlineStr">
        <is>
          <t>Corregible</t>
        </is>
      </c>
      <c r="M110" s="29" t="n">
        <v>12.99011420639718</v>
      </c>
      <c r="N110" s="35" t="n">
        <v>206.3616289260989</v>
      </c>
      <c r="O110" s="36" t="n">
        <v>3691.831448495314</v>
      </c>
      <c r="P110" s="29" t="n">
        <v>5.742247560123605</v>
      </c>
      <c r="Q110" s="16" t="inlineStr">
        <is>
          <t>sí</t>
        </is>
      </c>
      <c r="R110" s="16" t="inlineStr">
        <is>
          <t>O2</t>
        </is>
      </c>
    </row>
    <row r="111">
      <c r="A111" s="16" t="inlineStr">
        <is>
          <t>KF-M04-0100</t>
        </is>
      </c>
      <c r="B111" s="35" t="n">
        <v>387.2301416926621</v>
      </c>
      <c r="C111" s="35" t="n">
        <v>287.0432594490495</v>
      </c>
      <c r="D111" s="36" t="n">
        <v>3180.619696089402</v>
      </c>
      <c r="E111" s="35" t="n">
        <v>1381.119982366701</v>
      </c>
      <c r="F111" s="37" t="n">
        <v>0.8122037947686734</v>
      </c>
      <c r="G111" s="37" t="n">
        <v>0.8128524362287798</v>
      </c>
      <c r="H111" s="37" t="n">
        <v>0.7217594004723702</v>
      </c>
      <c r="I111" s="37" t="n">
        <v>0.922572300126452</v>
      </c>
      <c r="J111" s="37" t="n">
        <v>0.8373134950331275</v>
      </c>
      <c r="K111" s="37" t="n">
        <v>0.7597367746182382</v>
      </c>
      <c r="L111" s="39" t="inlineStr">
        <is>
          <t>Corregible</t>
        </is>
      </c>
      <c r="M111" s="29" t="n">
        <v>7.31867904623041</v>
      </c>
      <c r="N111" s="35" t="n">
        <v>56.45989783350567</v>
      </c>
      <c r="O111" s="36" t="n">
        <v>1799.499713722701</v>
      </c>
      <c r="P111" s="29" t="n">
        <v>2.302927867743294</v>
      </c>
      <c r="Q111" s="16" t="inlineStr">
        <is>
          <t>no</t>
        </is>
      </c>
      <c r="R111" s="16" t="inlineStr">
        <is>
          <t>O2</t>
        </is>
      </c>
    </row>
    <row r="112">
      <c r="A112" s="16" t="inlineStr">
        <is>
          <t>KF-M04-0101</t>
        </is>
      </c>
      <c r="B112" s="35" t="n">
        <v>446.4593529961271</v>
      </c>
      <c r="C112" s="35" t="n">
        <v>278.4814642932077</v>
      </c>
      <c r="D112" s="36" t="n">
        <v>2276.691927103386</v>
      </c>
      <c r="E112" s="35" t="n">
        <v>539.7324159564902</v>
      </c>
      <c r="F112" s="37" t="n">
        <v>0.6809028410086841</v>
      </c>
      <c r="G112" s="37" t="n">
        <v>0.9135607320575084</v>
      </c>
      <c r="H112" s="37" t="n">
        <v>0.7252541298736332</v>
      </c>
      <c r="I112" s="37" t="n">
        <v>0.6213053150332756</v>
      </c>
      <c r="J112" s="37" t="n">
        <v>0.9183268686598572</v>
      </c>
      <c r="K112" s="37" t="n">
        <v>0.9153612036866148</v>
      </c>
      <c r="L112" s="39" t="inlineStr">
        <is>
          <t>Corregible</t>
        </is>
      </c>
      <c r="M112" s="29" t="n">
        <v>12.07759242864614</v>
      </c>
      <c r="N112" s="35" t="n">
        <v>142.3165437414252</v>
      </c>
      <c r="O112" s="36" t="n">
        <v>1736.959511146896</v>
      </c>
      <c r="P112" s="29" t="n">
        <v>4.218186382355286</v>
      </c>
      <c r="Q112" s="16" t="inlineStr">
        <is>
          <t>no</t>
        </is>
      </c>
      <c r="R112" s="16" t="inlineStr">
        <is>
          <t>O2</t>
        </is>
      </c>
    </row>
    <row r="113">
      <c r="A113" s="16" t="inlineStr">
        <is>
          <t>KF-M04-0102</t>
        </is>
      </c>
      <c r="B113" s="35" t="n">
        <v>394.0707348816891</v>
      </c>
      <c r="C113" s="35" t="n">
        <v>299.0048563614902</v>
      </c>
      <c r="D113" s="36" t="n">
        <v>2155.056578862561</v>
      </c>
      <c r="E113" s="35" t="n">
        <v>1187.02941119233</v>
      </c>
      <c r="F113" s="37" t="n">
        <v>0.5438205097093916</v>
      </c>
      <c r="G113" s="37" t="n">
        <v>0.7600847256446479</v>
      </c>
      <c r="H113" s="37" t="n">
        <v>0.8252282886212198</v>
      </c>
      <c r="I113" s="37" t="n">
        <v>0.8643804682326987</v>
      </c>
      <c r="J113" s="37" t="n">
        <v>0.9010962905748828</v>
      </c>
      <c r="K113" s="37" t="n">
        <v>0.9132928021627936</v>
      </c>
      <c r="L113" s="42" t="inlineStr">
        <is>
          <t>KALINA</t>
        </is>
      </c>
      <c r="M113" s="29" t="n">
        <v>3.99036773100429</v>
      </c>
      <c r="N113" s="35" t="n">
        <v>18.56492809791987</v>
      </c>
      <c r="O113" s="36" t="n">
        <v>968.0271676702308</v>
      </c>
      <c r="P113" s="29" t="n">
        <v>1.81550394500999</v>
      </c>
      <c r="Q113" s="16" t="inlineStr">
        <is>
          <t>no</t>
        </is>
      </c>
      <c r="R113" s="16" t="n"/>
    </row>
    <row r="114">
      <c r="A114" s="16" t="inlineStr">
        <is>
          <t>KF-M04-0103</t>
        </is>
      </c>
      <c r="B114" s="35" t="n">
        <v>402.6685604467641</v>
      </c>
      <c r="C114" s="35" t="n">
        <v>278.1924523468124</v>
      </c>
      <c r="D114" s="36" t="n">
        <v>4209.325001809628</v>
      </c>
      <c r="E114" s="35" t="n">
        <v>927.998947365381</v>
      </c>
      <c r="F114" s="37" t="n">
        <v>0.8000030318819986</v>
      </c>
      <c r="G114" s="37" t="n">
        <v>0.83999590691185</v>
      </c>
      <c r="H114" s="37" t="n">
        <v>0.7503183155283186</v>
      </c>
      <c r="I114" s="37" t="n">
        <v>0.8798820910519232</v>
      </c>
      <c r="J114" s="37" t="n">
        <v>0.8725834486014942</v>
      </c>
      <c r="K114" s="37" t="n">
        <v>0.7587569048339374</v>
      </c>
      <c r="L114" s="39" t="inlineStr">
        <is>
          <t>Corregible</t>
        </is>
      </c>
      <c r="M114" s="29" t="n">
        <v>12.58563860020134</v>
      </c>
      <c r="N114" s="35" t="n">
        <v>96.20199140704412</v>
      </c>
      <c r="O114" s="36" t="n">
        <v>3281.326054444247</v>
      </c>
      <c r="P114" s="29" t="n">
        <v>4.535915707404667</v>
      </c>
      <c r="Q114" s="16" t="inlineStr">
        <is>
          <t>no</t>
        </is>
      </c>
      <c r="R114" s="16" t="inlineStr">
        <is>
          <t>O2</t>
        </is>
      </c>
    </row>
    <row r="115">
      <c r="A115" s="16" t="inlineStr">
        <is>
          <t>KF-M04-0104</t>
        </is>
      </c>
      <c r="B115" s="35" t="n">
        <v>398.0402789692159</v>
      </c>
      <c r="C115" s="35" t="n">
        <v>280.5092672833183</v>
      </c>
      <c r="D115" s="36" t="n">
        <v>3532.720065619244</v>
      </c>
      <c r="E115" s="35" t="n">
        <v>626.5297147707681</v>
      </c>
      <c r="F115" s="37" t="n">
        <v>0.7413372463060319</v>
      </c>
      <c r="G115" s="37" t="n">
        <v>0.8458840167558298</v>
      </c>
      <c r="H115" s="37" t="n">
        <v>0.732383676124711</v>
      </c>
      <c r="I115" s="37" t="n">
        <v>0.7631353979259167</v>
      </c>
      <c r="J115" s="37" t="n">
        <v>0.8926638321452727</v>
      </c>
      <c r="K115" s="37" t="n">
        <v>0.8550714662849094</v>
      </c>
      <c r="L115" s="39" t="inlineStr">
        <is>
          <t>Corregible</t>
        </is>
      </c>
      <c r="M115" s="29" t="n">
        <v>13.10106133727336</v>
      </c>
      <c r="N115" s="35" t="n">
        <v>81.8799727593383</v>
      </c>
      <c r="O115" s="36" t="n">
        <v>2906.190350848477</v>
      </c>
      <c r="P115" s="29" t="n">
        <v>5.63855150415616</v>
      </c>
      <c r="Q115" s="16" t="inlineStr">
        <is>
          <t>no</t>
        </is>
      </c>
      <c r="R115" s="16" t="inlineStr">
        <is>
          <t>O2</t>
        </is>
      </c>
    </row>
    <row r="116">
      <c r="A116" s="16" t="inlineStr">
        <is>
          <t>KF-M04-0105</t>
        </is>
      </c>
      <c r="B116" s="35" t="n">
        <v>493.6991695026927</v>
      </c>
      <c r="C116" s="35" t="n">
        <v>279.5007691284816</v>
      </c>
      <c r="D116" s="36" t="n">
        <v>2226.823282092813</v>
      </c>
      <c r="E116" s="35" t="n">
        <v>838.6648666430239</v>
      </c>
      <c r="F116" s="37" t="n">
        <v>0.5363034747007795</v>
      </c>
      <c r="G116" s="37" t="n">
        <v>0.7612389053170754</v>
      </c>
      <c r="H116" s="37" t="n">
        <v>0.8466061772574971</v>
      </c>
      <c r="I116" s="37" t="n">
        <v>0.7281703373785164</v>
      </c>
      <c r="J116" s="37" t="n">
        <v>0.7282904885270229</v>
      </c>
      <c r="K116" s="37" t="n">
        <v>0.754561436073123</v>
      </c>
      <c r="L116" s="39" t="inlineStr">
        <is>
          <t>Corregible</t>
        </is>
      </c>
      <c r="M116" s="29" t="n">
        <v>6.2258216991374</v>
      </c>
      <c r="N116" s="35" t="n">
        <v>89.06422949990579</v>
      </c>
      <c r="O116" s="36" t="n">
        <v>1388.15841544979</v>
      </c>
      <c r="P116" s="29" t="n">
        <v>2.655200391315136</v>
      </c>
      <c r="Q116" s="16" t="inlineStr">
        <is>
          <t>sí</t>
        </is>
      </c>
      <c r="R116" s="16" t="inlineStr">
        <is>
          <t>O2</t>
        </is>
      </c>
    </row>
    <row r="117">
      <c r="A117" s="16" t="inlineStr">
        <is>
          <t>KF-M04-0106</t>
        </is>
      </c>
      <c r="B117" s="35" t="n">
        <v>395.3582468667278</v>
      </c>
      <c r="C117" s="35" t="n">
        <v>297.2656486407774</v>
      </c>
      <c r="D117" s="36" t="n">
        <v>4480.469051272545</v>
      </c>
      <c r="E117" s="35" t="n">
        <v>1198.071503369763</v>
      </c>
      <c r="F117" s="37" t="n">
        <v>0.8089444184471274</v>
      </c>
      <c r="G117" s="37" t="n">
        <v>0.8064078444714662</v>
      </c>
      <c r="H117" s="37" t="n">
        <v>0.7016410452536838</v>
      </c>
      <c r="I117" s="37" t="n">
        <v>0.8209388670241742</v>
      </c>
      <c r="J117" s="37" t="n">
        <v>0.7524920955287336</v>
      </c>
      <c r="K117" s="37" t="n">
        <v>0.7873292107741934</v>
      </c>
      <c r="L117" s="39" t="inlineStr">
        <is>
          <t>Corregible</t>
        </is>
      </c>
      <c r="M117" s="29" t="n">
        <v>10.013946278643</v>
      </c>
      <c r="N117" s="35" t="n">
        <v>61.98130874242078</v>
      </c>
      <c r="O117" s="36" t="n">
        <v>3282.397547902781</v>
      </c>
      <c r="P117" s="29" t="n">
        <v>3.739734263498068</v>
      </c>
      <c r="Q117" s="16" t="inlineStr">
        <is>
          <t>no</t>
        </is>
      </c>
      <c r="R117" s="16" t="inlineStr">
        <is>
          <t>O2</t>
        </is>
      </c>
    </row>
    <row r="118">
      <c r="A118" s="16" t="inlineStr">
        <is>
          <t>KF-M04-0107</t>
        </is>
      </c>
      <c r="B118" s="35" t="n">
        <v>454.9286870219634</v>
      </c>
      <c r="C118" s="35" t="n">
        <v>290.796858170584</v>
      </c>
      <c r="D118" s="36" t="n">
        <v>4088.045989928837</v>
      </c>
      <c r="E118" s="35" t="n">
        <v>993.7960822139984</v>
      </c>
      <c r="F118" s="37" t="n">
        <v>0.7357711324588588</v>
      </c>
      <c r="G118" s="37" t="n">
        <v>0.8598469896721126</v>
      </c>
      <c r="H118" s="37" t="n">
        <v>0.8224072654354539</v>
      </c>
      <c r="I118" s="37" t="n">
        <v>0.6798758807615088</v>
      </c>
      <c r="J118" s="37" t="n">
        <v>0.675600158128018</v>
      </c>
      <c r="K118" s="37" t="n">
        <v>0.8628325970252846</v>
      </c>
      <c r="L118" s="39" t="inlineStr">
        <is>
          <t>Corregible</t>
        </is>
      </c>
      <c r="M118" s="29" t="n">
        <v>11.77527184921152</v>
      </c>
      <c r="N118" s="35" t="n">
        <v>129.6282283935816</v>
      </c>
      <c r="O118" s="36" t="n">
        <v>3094.249907714838</v>
      </c>
      <c r="P118" s="29" t="n">
        <v>4.113566216543547</v>
      </c>
      <c r="Q118" s="16" t="inlineStr">
        <is>
          <t>sí</t>
        </is>
      </c>
      <c r="R118" s="16" t="inlineStr">
        <is>
          <t>O2</t>
        </is>
      </c>
    </row>
    <row r="119">
      <c r="A119" s="16" t="inlineStr">
        <is>
          <t>KF-M04-0108</t>
        </is>
      </c>
      <c r="B119" s="35" t="n">
        <v>492.4479539936064</v>
      </c>
      <c r="C119" s="35" t="n">
        <v>278.922897839971</v>
      </c>
      <c r="D119" s="36" t="n">
        <v>4615.247022083548</v>
      </c>
      <c r="E119" s="35" t="n">
        <v>1406.893214417201</v>
      </c>
      <c r="F119" s="37" t="n">
        <v>0.6367325114985543</v>
      </c>
      <c r="G119" s="37" t="n">
        <v>0.8841125798048979</v>
      </c>
      <c r="H119" s="37" t="n">
        <v>0.7099165827689731</v>
      </c>
      <c r="I119" s="37" t="n">
        <v>0.6176850373149904</v>
      </c>
      <c r="J119" s="37" t="n">
        <v>0.6338072352756156</v>
      </c>
      <c r="K119" s="37" t="n">
        <v>0.8674835619171775</v>
      </c>
      <c r="L119" s="42" t="inlineStr">
        <is>
          <t>KALINA</t>
        </is>
      </c>
      <c r="M119" s="29" t="n">
        <v>8.977978327364319</v>
      </c>
      <c r="N119" s="35" t="n">
        <v>108.0472228487782</v>
      </c>
      <c r="O119" s="36" t="n">
        <v>3208.353807666347</v>
      </c>
      <c r="P119" s="29" t="n">
        <v>3.280452968845538</v>
      </c>
      <c r="Q119" s="16" t="inlineStr">
        <is>
          <t>sí</t>
        </is>
      </c>
      <c r="R119" s="16" t="n"/>
    </row>
    <row r="120">
      <c r="A120" s="16" t="inlineStr">
        <is>
          <t>KF-M04-0109</t>
        </is>
      </c>
      <c r="B120" s="35" t="n">
        <v>420.7208754102621</v>
      </c>
      <c r="C120" s="35" t="n">
        <v>282.9853106871545</v>
      </c>
      <c r="D120" s="36" t="n">
        <v>4111.491561710556</v>
      </c>
      <c r="E120" s="35" t="n">
        <v>1493.200032708748</v>
      </c>
      <c r="F120" s="37" t="n">
        <v>0.8453905215942479</v>
      </c>
      <c r="G120" s="37" t="n">
        <v>0.8794341543846735</v>
      </c>
      <c r="H120" s="37" t="n">
        <v>0.8482556804451195</v>
      </c>
      <c r="I120" s="37" t="n">
        <v>0.7302335485498654</v>
      </c>
      <c r="J120" s="37" t="n">
        <v>0.7198635434736419</v>
      </c>
      <c r="K120" s="37" t="n">
        <v>0.9233452973923776</v>
      </c>
      <c r="L120" s="42" t="inlineStr">
        <is>
          <t>KALINA</t>
        </is>
      </c>
      <c r="M120" s="29" t="n">
        <v>8.632700261279739</v>
      </c>
      <c r="N120" s="35" t="n">
        <v>83.1883866991223</v>
      </c>
      <c r="O120" s="36" t="n">
        <v>2618.291529001808</v>
      </c>
      <c r="P120" s="29" t="n">
        <v>2.753476742330418</v>
      </c>
      <c r="Q120" s="16" t="inlineStr">
        <is>
          <t>no</t>
        </is>
      </c>
      <c r="R120" s="16" t="n"/>
      <c r="V120" s="25" t="inlineStr">
        <is>
          <t>Estudio 3.2. Punto base: Sin punto base: muestreo en la caja de rangos indicada en 'Datos barridos'</t>
        </is>
      </c>
    </row>
    <row r="121">
      <c r="A121" s="16" t="inlineStr">
        <is>
          <t>KF-M04-0110</t>
        </is>
      </c>
      <c r="B121" s="35" t="n">
        <v>455.6211208056564</v>
      </c>
      <c r="C121" s="35" t="n">
        <v>279.5970080607263</v>
      </c>
      <c r="D121" s="36" t="n">
        <v>2342.038789546659</v>
      </c>
      <c r="E121" s="35" t="n">
        <v>321.5592018174124</v>
      </c>
      <c r="F121" s="37" t="n">
        <v>0.816073020551318</v>
      </c>
      <c r="G121" s="37" t="n">
        <v>0.7781622971709342</v>
      </c>
      <c r="H121" s="37" t="n">
        <v>0.8299301526685491</v>
      </c>
      <c r="I121" s="37" t="n">
        <v>0.7451537092702084</v>
      </c>
      <c r="J121" s="37" t="n">
        <v>0.8189036809269705</v>
      </c>
      <c r="K121" s="37" t="n">
        <v>0.8771128741085519</v>
      </c>
      <c r="L121" s="39" t="inlineStr">
        <is>
          <t>Corregible</t>
        </is>
      </c>
      <c r="M121" s="29" t="n">
        <v>7.703707835529521</v>
      </c>
      <c r="N121" s="35" t="n">
        <v>62.43296914404013</v>
      </c>
      <c r="O121" s="36" t="n">
        <v>2020.479587729247</v>
      </c>
      <c r="P121" s="29" t="n">
        <v>7.283382892822686</v>
      </c>
      <c r="Q121" s="16" t="inlineStr">
        <is>
          <t>no</t>
        </is>
      </c>
      <c r="R121" s="16" t="inlineStr">
        <is>
          <t>O2</t>
        </is>
      </c>
      <c r="V121" s="25" t="inlineStr">
        <is>
          <t>Datos fijos: m_b = 1 kg/s; motor de propiedades = teqp.</t>
        </is>
      </c>
    </row>
    <row r="122">
      <c r="A122" s="16" t="inlineStr">
        <is>
          <t>KF-M04-0111</t>
        </is>
      </c>
      <c r="B122" s="35" t="n">
        <v>482.3393612892561</v>
      </c>
      <c r="C122" s="35" t="n">
        <v>288.456005293258</v>
      </c>
      <c r="D122" s="36" t="n">
        <v>2882.245216868926</v>
      </c>
      <c r="E122" s="35" t="n">
        <v>1296.884032185822</v>
      </c>
      <c r="F122" s="37" t="n">
        <v>0.8420493862833115</v>
      </c>
      <c r="G122" s="37" t="n">
        <v>0.82388426258839</v>
      </c>
      <c r="H122" s="37" t="n">
        <v>0.8544696321504766</v>
      </c>
      <c r="I122" s="37" t="n">
        <v>0.6394119009520705</v>
      </c>
      <c r="J122" s="37" t="n">
        <v>0.7202051000180504</v>
      </c>
      <c r="K122" s="37" t="n">
        <v>0.8651512170746366</v>
      </c>
      <c r="L122" s="32" t="inlineStr">
        <is>
          <t>No convergió</t>
        </is>
      </c>
      <c r="M122" s="29" t="inlineStr">
        <is>
          <t>—</t>
        </is>
      </c>
      <c r="N122" s="35" t="inlineStr">
        <is>
          <t>—</t>
        </is>
      </c>
      <c r="O122" s="36" t="n">
        <v>1585.361184683104</v>
      </c>
      <c r="P122" s="29" t="n">
        <v>2.222438664782594</v>
      </c>
      <c r="Q122" s="16" t="inlineStr">
        <is>
          <t>no</t>
        </is>
      </c>
      <c r="R122" s="16" t="n"/>
      <c r="V122" s="25"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123">
      <c r="A123" s="16" t="inlineStr">
        <is>
          <t>KF-M04-0112</t>
        </is>
      </c>
      <c r="B123" s="35" t="n">
        <v>435.0510131215032</v>
      </c>
      <c r="C123" s="35" t="n">
        <v>285.9180446346153</v>
      </c>
      <c r="D123" s="36" t="n">
        <v>3103.330084668993</v>
      </c>
      <c r="E123" s="35" t="n">
        <v>750.2493533239415</v>
      </c>
      <c r="F123" s="37" t="n">
        <v>0.8357578556370046</v>
      </c>
      <c r="G123" s="37" t="n">
        <v>0.872715014959643</v>
      </c>
      <c r="H123" s="37" t="n">
        <v>0.6823537805757488</v>
      </c>
      <c r="I123" s="37" t="n">
        <v>0.6197692226737149</v>
      </c>
      <c r="J123" s="37" t="n">
        <v>0.9071449125854564</v>
      </c>
      <c r="K123" s="37" t="n">
        <v>0.8898262525875696</v>
      </c>
      <c r="L123" s="39" t="inlineStr">
        <is>
          <t>Corregible</t>
        </is>
      </c>
      <c r="M123" s="29" t="n">
        <v>12.575016548221</v>
      </c>
      <c r="N123" s="35" t="n">
        <v>125.1578526966363</v>
      </c>
      <c r="O123" s="36" t="n">
        <v>2353.080731345051</v>
      </c>
      <c r="P123" s="29" t="n">
        <v>4.136398213367126</v>
      </c>
      <c r="Q123" s="16" t="inlineStr">
        <is>
          <t>no</t>
        </is>
      </c>
      <c r="R123" s="16" t="inlineStr">
        <is>
          <t>O2</t>
        </is>
      </c>
      <c r="V123" s="25" t="inlineStr">
        <is>
          <t>Filtro: estudio 3.2: 452 genuinos y 48 sin resultado.</t>
        </is>
      </c>
    </row>
    <row r="124">
      <c r="A124" s="16" t="inlineStr">
        <is>
          <t>KF-M04-0113</t>
        </is>
      </c>
      <c r="B124" s="35" t="n">
        <v>435.7632350111654</v>
      </c>
      <c r="C124" s="35" t="n">
        <v>288.0391733346103</v>
      </c>
      <c r="D124" s="36" t="n">
        <v>3588.747997358853</v>
      </c>
      <c r="E124" s="35" t="n">
        <v>1365.887774483243</v>
      </c>
      <c r="F124" s="37" t="n">
        <v>0.6694784133619552</v>
      </c>
      <c r="G124" s="37" t="n">
        <v>0.7906867710134959</v>
      </c>
      <c r="H124" s="37" t="n">
        <v>0.6659797761045763</v>
      </c>
      <c r="I124" s="37" t="n">
        <v>0.9286454243984812</v>
      </c>
      <c r="J124" s="37" t="n">
        <v>0.7073330160724908</v>
      </c>
      <c r="K124" s="37" t="n">
        <v>0.8439154850874112</v>
      </c>
      <c r="L124" s="39" t="inlineStr">
        <is>
          <t>Corregible</t>
        </is>
      </c>
      <c r="M124" s="29" t="n">
        <v>7.25801466029117</v>
      </c>
      <c r="N124" s="35" t="n">
        <v>78.87777714635344</v>
      </c>
      <c r="O124" s="36" t="n">
        <v>2222.86022287561</v>
      </c>
      <c r="P124" s="29" t="n">
        <v>2.62741058555604</v>
      </c>
      <c r="Q124" s="16" t="inlineStr">
        <is>
          <t>sí</t>
        </is>
      </c>
      <c r="R124" s="16" t="inlineStr">
        <is>
          <t>O2</t>
        </is>
      </c>
      <c r="V124" s="25" t="inlineStr">
        <is>
          <t>n = 500. Fuente: todos_los_puntos.csv.</t>
        </is>
      </c>
    </row>
    <row r="125">
      <c r="A125" s="16" t="inlineStr">
        <is>
          <t>KF-M04-0114</t>
        </is>
      </c>
      <c r="B125" s="35" t="n">
        <v>407.7231626266845</v>
      </c>
      <c r="C125" s="35" t="n">
        <v>286.3015408677338</v>
      </c>
      <c r="D125" s="36" t="n">
        <v>4672.048749235894</v>
      </c>
      <c r="E125" s="35" t="n">
        <v>383.191975871152</v>
      </c>
      <c r="F125" s="37" t="n">
        <v>0.5052770323296947</v>
      </c>
      <c r="G125" s="37" t="n">
        <v>0.8749574445318973</v>
      </c>
      <c r="H125" s="37" t="n">
        <v>0.6988974807486804</v>
      </c>
      <c r="I125" s="37" t="n">
        <v>0.9091545741708164</v>
      </c>
      <c r="J125" s="37" t="n">
        <v>0.6235010604281747</v>
      </c>
      <c r="K125" s="37" t="n">
        <v>0.9135677079853258</v>
      </c>
      <c r="L125" s="38" t="inlineStr">
        <is>
          <t>Falso convergido</t>
        </is>
      </c>
      <c r="M125" s="29" t="inlineStr">
        <is>
          <t>—</t>
        </is>
      </c>
      <c r="N125" s="35" t="inlineStr">
        <is>
          <t>—</t>
        </is>
      </c>
      <c r="O125" s="36" t="n">
        <v>4288.856773364742</v>
      </c>
      <c r="P125" s="29" t="n">
        <v>12.19244932938488</v>
      </c>
      <c r="Q125" s="16" t="inlineStr">
        <is>
          <t>no</t>
        </is>
      </c>
      <c r="R125" s="16" t="inlineStr">
        <is>
          <t>N2,O3,O5,C1,C3,C3</t>
        </is>
      </c>
    </row>
    <row r="126">
      <c r="A126" s="16" t="inlineStr">
        <is>
          <t>KF-M04-0115</t>
        </is>
      </c>
      <c r="B126" s="35" t="n">
        <v>380.8736596912844</v>
      </c>
      <c r="C126" s="35" t="n">
        <v>281.2602954649993</v>
      </c>
      <c r="D126" s="36" t="n">
        <v>2583.243937801293</v>
      </c>
      <c r="E126" s="35" t="n">
        <v>1235.270961844453</v>
      </c>
      <c r="F126" s="37" t="n">
        <v>0.8028340697045067</v>
      </c>
      <c r="G126" s="37" t="n">
        <v>0.8910900809064712</v>
      </c>
      <c r="H126" s="37" t="n">
        <v>0.7180292825795996</v>
      </c>
      <c r="I126" s="37" t="n">
        <v>0.6908512319689724</v>
      </c>
      <c r="J126" s="37" t="n">
        <v>0.9306083595603736</v>
      </c>
      <c r="K126" s="37" t="n">
        <v>0.856938651876935</v>
      </c>
      <c r="L126" s="42" t="inlineStr">
        <is>
          <t>KALINA</t>
        </is>
      </c>
      <c r="M126" s="29" t="n">
        <v>6.5909429098735</v>
      </c>
      <c r="N126" s="35" t="n">
        <v>42.297246989839</v>
      </c>
      <c r="O126" s="36" t="n">
        <v>1347.972975956839</v>
      </c>
      <c r="P126" s="29" t="n">
        <v>2.091236674052553</v>
      </c>
      <c r="Q126" s="16" t="inlineStr">
        <is>
          <t>no</t>
        </is>
      </c>
      <c r="R126" s="16" t="n"/>
    </row>
    <row r="127">
      <c r="A127" s="16" t="inlineStr">
        <is>
          <t>KF-M04-0116</t>
        </is>
      </c>
      <c r="B127" s="35" t="n">
        <v>422.8146500177111</v>
      </c>
      <c r="C127" s="35" t="n">
        <v>279.2948058427395</v>
      </c>
      <c r="D127" s="36" t="n">
        <v>3791.102007697985</v>
      </c>
      <c r="E127" s="35" t="n">
        <v>534.8492103782486</v>
      </c>
      <c r="F127" s="37" t="n">
        <v>0.6680034161306925</v>
      </c>
      <c r="G127" s="37" t="n">
        <v>0.8008719196821527</v>
      </c>
      <c r="H127" s="37" t="n">
        <v>0.8600767201763425</v>
      </c>
      <c r="I127" s="37" t="n">
        <v>0.6608359981660397</v>
      </c>
      <c r="J127" s="37" t="n">
        <v>0.6941264594011085</v>
      </c>
      <c r="K127" s="37" t="n">
        <v>0.8735909660764795</v>
      </c>
      <c r="L127" s="32" t="inlineStr">
        <is>
          <t>No convergió</t>
        </is>
      </c>
      <c r="M127" s="29" t="inlineStr">
        <is>
          <t>—</t>
        </is>
      </c>
      <c r="N127" s="35" t="inlineStr">
        <is>
          <t>—</t>
        </is>
      </c>
      <c r="O127" s="36" t="n">
        <v>3256.252797319736</v>
      </c>
      <c r="P127" s="29" t="n">
        <v>7.088169775957778</v>
      </c>
      <c r="Q127" s="16" t="inlineStr">
        <is>
          <t>no</t>
        </is>
      </c>
      <c r="R127" s="16" t="n"/>
    </row>
    <row r="128">
      <c r="A128" s="16" t="inlineStr">
        <is>
          <t>KF-M04-0117</t>
        </is>
      </c>
      <c r="B128" s="35" t="n">
        <v>444.9795875598183</v>
      </c>
      <c r="C128" s="35" t="n">
        <v>295.4004350217197</v>
      </c>
      <c r="D128" s="36" t="n">
        <v>4771.928715867753</v>
      </c>
      <c r="E128" s="35" t="n">
        <v>729.6419300289389</v>
      </c>
      <c r="F128" s="37" t="n">
        <v>0.5212602546944715</v>
      </c>
      <c r="G128" s="37" t="n">
        <v>0.913805475694045</v>
      </c>
      <c r="H128" s="37" t="n">
        <v>0.740962725806541</v>
      </c>
      <c r="I128" s="37" t="n">
        <v>0.8338000892688716</v>
      </c>
      <c r="J128" s="37" t="n">
        <v>0.7133956304667697</v>
      </c>
      <c r="K128" s="37" t="n">
        <v>0.8596207576531407</v>
      </c>
      <c r="L128" s="39" t="inlineStr">
        <is>
          <t>Corregible</t>
        </is>
      </c>
      <c r="M128" s="29" t="n">
        <v>11.63990627353706</v>
      </c>
      <c r="N128" s="35" t="n">
        <v>69.99526586511793</v>
      </c>
      <c r="O128" s="36" t="n">
        <v>4042.286785838814</v>
      </c>
      <c r="P128" s="29" t="n">
        <v>6.54009661379862</v>
      </c>
      <c r="Q128" s="16" t="inlineStr">
        <is>
          <t>sí</t>
        </is>
      </c>
      <c r="R128" s="16" t="inlineStr">
        <is>
          <t>O1</t>
        </is>
      </c>
    </row>
    <row r="129">
      <c r="A129" s="16" t="inlineStr">
        <is>
          <t>KF-M04-0118</t>
        </is>
      </c>
      <c r="B129" s="35" t="n">
        <v>409.3128252254591</v>
      </c>
      <c r="C129" s="35" t="n">
        <v>299.2651362879183</v>
      </c>
      <c r="D129" s="36" t="n">
        <v>2946.519300934868</v>
      </c>
      <c r="E129" s="35" t="n">
        <v>1472.987916922285</v>
      </c>
      <c r="F129" s="37" t="n">
        <v>0.8367508236980218</v>
      </c>
      <c r="G129" s="37" t="n">
        <v>0.7716901747868424</v>
      </c>
      <c r="H129" s="37" t="n">
        <v>0.7954478541505994</v>
      </c>
      <c r="I129" s="37" t="n">
        <v>0.8576211774354678</v>
      </c>
      <c r="J129" s="37" t="n">
        <v>0.6018524947566117</v>
      </c>
      <c r="K129" s="37" t="n">
        <v>0.8819606546926823</v>
      </c>
      <c r="L129" s="39" t="inlineStr">
        <is>
          <t>Corregible</t>
        </is>
      </c>
      <c r="M129" s="29" t="n">
        <v>5.92318246707792</v>
      </c>
      <c r="N129" s="35" t="n">
        <v>62.71813189862516</v>
      </c>
      <c r="O129" s="36" t="n">
        <v>1473.531384012583</v>
      </c>
      <c r="P129" s="29" t="n">
        <v>2.000368955565796</v>
      </c>
      <c r="Q129" s="16" t="inlineStr">
        <is>
          <t>no</t>
        </is>
      </c>
      <c r="R129" s="16" t="inlineStr">
        <is>
          <t>O2</t>
        </is>
      </c>
    </row>
    <row r="130">
      <c r="A130" s="16" t="inlineStr">
        <is>
          <t>KF-M04-0119</t>
        </is>
      </c>
      <c r="B130" s="35" t="n">
        <v>446.9323811594256</v>
      </c>
      <c r="C130" s="35" t="n">
        <v>291.3711165846561</v>
      </c>
      <c r="D130" s="36" t="n">
        <v>4983.501169262159</v>
      </c>
      <c r="E130" s="35" t="n">
        <v>412.4306878144795</v>
      </c>
      <c r="F130" s="37" t="n">
        <v>0.5820193888400955</v>
      </c>
      <c r="G130" s="37" t="n">
        <v>0.9043988713201062</v>
      </c>
      <c r="H130" s="37" t="n">
        <v>0.6601626548598128</v>
      </c>
      <c r="I130" s="37" t="n">
        <v>0.7163065551377006</v>
      </c>
      <c r="J130" s="37" t="n">
        <v>0.6695493214924815</v>
      </c>
      <c r="K130" s="37" t="n">
        <v>0.7457458860358019</v>
      </c>
      <c r="L130" s="39" t="inlineStr">
        <is>
          <t>Corregible</t>
        </is>
      </c>
      <c r="M130" s="29" t="n">
        <v>14.98987403807025</v>
      </c>
      <c r="N130" s="35" t="n">
        <v>91.67930492861854</v>
      </c>
      <c r="O130" s="36" t="n">
        <v>4571.070481447679</v>
      </c>
      <c r="P130" s="29" t="n">
        <v>12.0832452979441</v>
      </c>
      <c r="Q130" s="16" t="inlineStr">
        <is>
          <t>sí</t>
        </is>
      </c>
      <c r="R130" s="16" t="inlineStr">
        <is>
          <t>O1,O2</t>
        </is>
      </c>
    </row>
    <row r="131">
      <c r="A131" s="16" t="inlineStr">
        <is>
          <t>KF-M04-0120</t>
        </is>
      </c>
      <c r="B131" s="35" t="n">
        <v>482.8369871052562</v>
      </c>
      <c r="C131" s="35" t="n">
        <v>290.4559884613878</v>
      </c>
      <c r="D131" s="36" t="n">
        <v>3094.081869472642</v>
      </c>
      <c r="E131" s="35" t="n">
        <v>1098.026134950806</v>
      </c>
      <c r="F131" s="37" t="n">
        <v>0.7514525837049748</v>
      </c>
      <c r="G131" s="37" t="n">
        <v>0.8495383115732745</v>
      </c>
      <c r="H131" s="37" t="n">
        <v>0.7717771566815902</v>
      </c>
      <c r="I131" s="37" t="n">
        <v>0.7108522842958241</v>
      </c>
      <c r="J131" s="37" t="n">
        <v>0.844390527543131</v>
      </c>
      <c r="K131" s="37" t="n">
        <v>0.8178691184797765</v>
      </c>
      <c r="L131" s="32" t="inlineStr">
        <is>
          <t>No convergió</t>
        </is>
      </c>
      <c r="M131" s="29" t="inlineStr">
        <is>
          <t>—</t>
        </is>
      </c>
      <c r="N131" s="35" t="inlineStr">
        <is>
          <t>—</t>
        </is>
      </c>
      <c r="O131" s="36" t="n">
        <v>1996.055734521836</v>
      </c>
      <c r="P131" s="29" t="n">
        <v>2.817858128314281</v>
      </c>
      <c r="Q131" s="16" t="inlineStr">
        <is>
          <t>no</t>
        </is>
      </c>
      <c r="R131" s="16" t="n"/>
    </row>
    <row r="132">
      <c r="A132" s="16" t="inlineStr">
        <is>
          <t>KF-M04-0121</t>
        </is>
      </c>
      <c r="B132" s="35" t="n">
        <v>397.5100212724842</v>
      </c>
      <c r="C132" s="35" t="n">
        <v>280.8024908522348</v>
      </c>
      <c r="D132" s="36" t="n">
        <v>4698.781225353001</v>
      </c>
      <c r="E132" s="35" t="n">
        <v>826.7349229794031</v>
      </c>
      <c r="F132" s="37" t="n">
        <v>0.5257333870486615</v>
      </c>
      <c r="G132" s="37" t="n">
        <v>0.7629369838271839</v>
      </c>
      <c r="H132" s="37" t="n">
        <v>0.8962621823166042</v>
      </c>
      <c r="I132" s="37" t="n">
        <v>0.707402078572775</v>
      </c>
      <c r="J132" s="37" t="n">
        <v>0.7885924833935121</v>
      </c>
      <c r="K132" s="37" t="n">
        <v>0.7478239444768804</v>
      </c>
      <c r="L132" s="38" t="inlineStr">
        <is>
          <t>Falso convergido</t>
        </is>
      </c>
      <c r="M132" s="29" t="inlineStr">
        <is>
          <t>—</t>
        </is>
      </c>
      <c r="N132" s="35" t="inlineStr">
        <is>
          <t>—</t>
        </is>
      </c>
      <c r="O132" s="36" t="n">
        <v>3872.046302373598</v>
      </c>
      <c r="P132" s="29" t="n">
        <v>5.683540267561752</v>
      </c>
      <c r="Q132" s="16" t="inlineStr">
        <is>
          <t>no</t>
        </is>
      </c>
      <c r="R132" s="16" t="inlineStr">
        <is>
          <t>N2,S6,O3,O5,C1,C3,C3</t>
        </is>
      </c>
    </row>
    <row r="133">
      <c r="A133" s="16" t="inlineStr">
        <is>
          <t>KF-M04-0122</t>
        </is>
      </c>
      <c r="B133" s="35" t="n">
        <v>475.7691211938354</v>
      </c>
      <c r="C133" s="35" t="n">
        <v>296.6415854684544</v>
      </c>
      <c r="D133" s="36" t="n">
        <v>2333.092969725413</v>
      </c>
      <c r="E133" s="35" t="n">
        <v>786.2442822326616</v>
      </c>
      <c r="F133" s="37" t="n">
        <v>0.560230975901256</v>
      </c>
      <c r="G133" s="37" t="n">
        <v>0.7918394490101398</v>
      </c>
      <c r="H133" s="37" t="n">
        <v>0.8834834974300049</v>
      </c>
      <c r="I133" s="37" t="n">
        <v>0.918878454555326</v>
      </c>
      <c r="J133" s="37" t="n">
        <v>0.6151033912031353</v>
      </c>
      <c r="K133" s="37" t="n">
        <v>0.7726585816010414</v>
      </c>
      <c r="L133" s="39" t="inlineStr">
        <is>
          <t>Corregible</t>
        </is>
      </c>
      <c r="M133" s="29" t="n">
        <v>7.024374252032629</v>
      </c>
      <c r="N133" s="35" t="n">
        <v>117.1794704434041</v>
      </c>
      <c r="O133" s="36" t="n">
        <v>1546.848687492751</v>
      </c>
      <c r="P133" s="29" t="n">
        <v>2.967389426477273</v>
      </c>
      <c r="Q133" s="16" t="inlineStr">
        <is>
          <t>sí</t>
        </is>
      </c>
      <c r="R133" s="16" t="inlineStr">
        <is>
          <t>O2</t>
        </is>
      </c>
    </row>
    <row r="134">
      <c r="A134" s="16" t="inlineStr">
        <is>
          <t>KF-M04-0123</t>
        </is>
      </c>
      <c r="B134" s="35" t="n">
        <v>430.5252130667929</v>
      </c>
      <c r="C134" s="35" t="n">
        <v>299.6676508696505</v>
      </c>
      <c r="D134" s="36" t="n">
        <v>3022.821660328623</v>
      </c>
      <c r="E134" s="35" t="n">
        <v>388.3976991566941</v>
      </c>
      <c r="F134" s="37" t="n">
        <v>0.7972780011374073</v>
      </c>
      <c r="G134" s="37" t="n">
        <v>0.9034995872167766</v>
      </c>
      <c r="H134" s="37" t="n">
        <v>0.6723088560121512</v>
      </c>
      <c r="I134" s="37" t="n">
        <v>0.9263280155907654</v>
      </c>
      <c r="J134" s="37" t="n">
        <v>0.85965881104218</v>
      </c>
      <c r="K134" s="37" t="n">
        <v>0.7791094463482731</v>
      </c>
      <c r="L134" s="40" t="inlineStr">
        <is>
          <t>Inviable</t>
        </is>
      </c>
      <c r="M134" s="29" t="n">
        <v>-6.14374087488837</v>
      </c>
      <c r="N134" s="35" t="n">
        <v>-27.9412090474246</v>
      </c>
      <c r="O134" s="36" t="n">
        <v>2634.423961171929</v>
      </c>
      <c r="P134" s="29" t="n">
        <v>7.782800121864533</v>
      </c>
      <c r="Q134" s="16" t="inlineStr">
        <is>
          <t>sí</t>
        </is>
      </c>
      <c r="R134" s="16" t="inlineStr">
        <is>
          <t>O2,O3</t>
        </is>
      </c>
    </row>
    <row r="135">
      <c r="A135" s="16" t="inlineStr">
        <is>
          <t>KF-M04-0124</t>
        </is>
      </c>
      <c r="B135" s="35" t="n">
        <v>462.7655295226863</v>
      </c>
      <c r="C135" s="35" t="n">
        <v>296.5910208731427</v>
      </c>
      <c r="D135" s="36" t="n">
        <v>2101.281691846085</v>
      </c>
      <c r="E135" s="35" t="n">
        <v>1054.642460606296</v>
      </c>
      <c r="F135" s="37" t="n">
        <v>0.6591514236584484</v>
      </c>
      <c r="G135" s="37" t="n">
        <v>0.7889583619357934</v>
      </c>
      <c r="H135" s="37" t="n">
        <v>0.8986023749923316</v>
      </c>
      <c r="I135" s="37" t="n">
        <v>0.8065885783856857</v>
      </c>
      <c r="J135" s="37" t="n">
        <v>0.9445971550633816</v>
      </c>
      <c r="K135" s="37" t="n">
        <v>0.9209648938427952</v>
      </c>
      <c r="L135" s="39" t="inlineStr">
        <is>
          <t>Corregible</t>
        </is>
      </c>
      <c r="M135" s="29" t="n">
        <v>5.19749299484297</v>
      </c>
      <c r="N135" s="35" t="n">
        <v>81.89073862302772</v>
      </c>
      <c r="O135" s="36" t="n">
        <v>1046.639231239789</v>
      </c>
      <c r="P135" s="29" t="n">
        <v>1.992411428834464</v>
      </c>
      <c r="Q135" s="16" t="inlineStr">
        <is>
          <t>sí</t>
        </is>
      </c>
      <c r="R135" s="16" t="inlineStr">
        <is>
          <t>O2</t>
        </is>
      </c>
    </row>
    <row r="136">
      <c r="A136" s="16" t="inlineStr">
        <is>
          <t>KF-M04-0125</t>
        </is>
      </c>
      <c r="B136" s="35" t="n">
        <v>457.0254121424249</v>
      </c>
      <c r="C136" s="35" t="n">
        <v>291.6409681648018</v>
      </c>
      <c r="D136" s="36" t="n">
        <v>2813.623684074178</v>
      </c>
      <c r="E136" s="35" t="n">
        <v>909.4209947155168</v>
      </c>
      <c r="F136" s="37" t="n">
        <v>0.8412785067279709</v>
      </c>
      <c r="G136" s="37" t="n">
        <v>0.8424878930689729</v>
      </c>
      <c r="H136" s="37" t="n">
        <v>0.7638062695189552</v>
      </c>
      <c r="I136" s="37" t="n">
        <v>0.8108059761291667</v>
      </c>
      <c r="J136" s="37" t="n">
        <v>0.8837040093674537</v>
      </c>
      <c r="K136" s="37" t="n">
        <v>0.7631996224786557</v>
      </c>
      <c r="L136" s="39" t="inlineStr">
        <is>
          <t>Corregible</t>
        </is>
      </c>
      <c r="M136" s="29" t="n">
        <v>9.182116524414869</v>
      </c>
      <c r="N136" s="35" t="n">
        <v>108.3771636807318</v>
      </c>
      <c r="O136" s="36" t="n">
        <v>1904.202689358661</v>
      </c>
      <c r="P136" s="29" t="n">
        <v>3.093862688923659</v>
      </c>
      <c r="Q136" s="16" t="inlineStr">
        <is>
          <t>no</t>
        </is>
      </c>
      <c r="R136" s="16" t="inlineStr">
        <is>
          <t>O2</t>
        </is>
      </c>
    </row>
    <row r="137">
      <c r="A137" s="16" t="inlineStr">
        <is>
          <t>KF-M04-0126</t>
        </is>
      </c>
      <c r="B137" s="35" t="n">
        <v>463.6818856488482</v>
      </c>
      <c r="C137" s="35" t="n">
        <v>295.7527561230624</v>
      </c>
      <c r="D137" s="36" t="n">
        <v>4386.38434125947</v>
      </c>
      <c r="E137" s="35" t="n">
        <v>1008.827607153711</v>
      </c>
      <c r="F137" s="37" t="n">
        <v>0.7327032367514238</v>
      </c>
      <c r="G137" s="37" t="n">
        <v>0.877292680747926</v>
      </c>
      <c r="H137" s="37" t="n">
        <v>0.7184035712808491</v>
      </c>
      <c r="I137" s="37" t="n">
        <v>0.6923096410602145</v>
      </c>
      <c r="J137" s="37" t="n">
        <v>0.7403463062414664</v>
      </c>
      <c r="K137" s="37" t="n">
        <v>0.7333349929814992</v>
      </c>
      <c r="L137" s="39" t="inlineStr">
        <is>
          <t>Corregible</t>
        </is>
      </c>
      <c r="M137" s="29" t="n">
        <v>11.75813956592638</v>
      </c>
      <c r="N137" s="35" t="n">
        <v>125.0195656545874</v>
      </c>
      <c r="O137" s="36" t="n">
        <v>3377.556734105759</v>
      </c>
      <c r="P137" s="29" t="n">
        <v>4.348001888682588</v>
      </c>
      <c r="Q137" s="16" t="inlineStr">
        <is>
          <t>sí</t>
        </is>
      </c>
      <c r="R137" s="16" t="inlineStr">
        <is>
          <t>O2</t>
        </is>
      </c>
    </row>
    <row r="138">
      <c r="A138" s="16" t="inlineStr">
        <is>
          <t>KF-M04-0127</t>
        </is>
      </c>
      <c r="B138" s="35" t="n">
        <v>471.5481733107485</v>
      </c>
      <c r="C138" s="35" t="n">
        <v>301.5284252336297</v>
      </c>
      <c r="D138" s="36" t="n">
        <v>3879.922616987305</v>
      </c>
      <c r="E138" s="35" t="n">
        <v>637.5712129450947</v>
      </c>
      <c r="F138" s="37" t="n">
        <v>0.6424926495404396</v>
      </c>
      <c r="G138" s="37" t="n">
        <v>0.8876286271645383</v>
      </c>
      <c r="H138" s="37" t="n">
        <v>0.8046614370261211</v>
      </c>
      <c r="I138" s="37" t="n">
        <v>0.7201077340694234</v>
      </c>
      <c r="J138" s="37" t="n">
        <v>0.748764731904545</v>
      </c>
      <c r="K138" s="37" t="n">
        <v>0.8465150288938347</v>
      </c>
      <c r="L138" s="39" t="inlineStr">
        <is>
          <t>Corregible</t>
        </is>
      </c>
      <c r="M138" s="29" t="n">
        <v>14.11172037093417</v>
      </c>
      <c r="N138" s="35" t="n">
        <v>182.8489919452365</v>
      </c>
      <c r="O138" s="36" t="n">
        <v>3242.351404042211</v>
      </c>
      <c r="P138" s="29" t="n">
        <v>6.085473337268492</v>
      </c>
      <c r="Q138" s="16" t="inlineStr">
        <is>
          <t>sí</t>
        </is>
      </c>
      <c r="R138" s="16" t="inlineStr">
        <is>
          <t>O2</t>
        </is>
      </c>
    </row>
    <row r="139">
      <c r="A139" s="16" t="inlineStr">
        <is>
          <t>KF-M04-0128</t>
        </is>
      </c>
      <c r="B139" s="35" t="n">
        <v>439.9217858099395</v>
      </c>
      <c r="C139" s="35" t="n">
        <v>301.9204723211446</v>
      </c>
      <c r="D139" s="36" t="n">
        <v>3716.250018605376</v>
      </c>
      <c r="E139" s="35" t="n">
        <v>1063.701008015161</v>
      </c>
      <c r="F139" s="37" t="n">
        <v>0.6258006690605619</v>
      </c>
      <c r="G139" s="37" t="n">
        <v>0.8599410143276075</v>
      </c>
      <c r="H139" s="37" t="n">
        <v>0.7515427350648023</v>
      </c>
      <c r="I139" s="37" t="n">
        <v>0.7206325585951645</v>
      </c>
      <c r="J139" s="37" t="n">
        <v>0.7846707120665867</v>
      </c>
      <c r="K139" s="37" t="n">
        <v>0.8334248663372045</v>
      </c>
      <c r="L139" s="39" t="inlineStr">
        <is>
          <t>Corregible</t>
        </is>
      </c>
      <c r="M139" s="29" t="n">
        <v>10.02005704553452</v>
      </c>
      <c r="N139" s="35" t="n">
        <v>76.85367894389758</v>
      </c>
      <c r="O139" s="36" t="n">
        <v>2652.549010590215</v>
      </c>
      <c r="P139" s="29" t="n">
        <v>3.493697938239059</v>
      </c>
      <c r="Q139" s="16" t="inlineStr">
        <is>
          <t>sí</t>
        </is>
      </c>
      <c r="R139" s="16" t="inlineStr">
        <is>
          <t>O2</t>
        </is>
      </c>
    </row>
    <row r="140">
      <c r="A140" s="16" t="inlineStr">
        <is>
          <t>KF-M04-0129</t>
        </is>
      </c>
      <c r="B140" s="35" t="n">
        <v>433.5017996261968</v>
      </c>
      <c r="C140" s="35" t="n">
        <v>278.7793778350288</v>
      </c>
      <c r="D140" s="36" t="n">
        <v>3961.412956534064</v>
      </c>
      <c r="E140" s="35" t="n">
        <v>889.9962833002423</v>
      </c>
      <c r="F140" s="37" t="n">
        <v>0.5356682237885608</v>
      </c>
      <c r="G140" s="37" t="n">
        <v>0.8929968574900348</v>
      </c>
      <c r="H140" s="37" t="n">
        <v>0.8284950366088678</v>
      </c>
      <c r="I140" s="37" t="n">
        <v>0.7388454282759975</v>
      </c>
      <c r="J140" s="37" t="n">
        <v>0.7550224345754984</v>
      </c>
      <c r="K140" s="37" t="n">
        <v>0.9198426708615544</v>
      </c>
      <c r="L140" s="42" t="inlineStr">
        <is>
          <t>KALINA</t>
        </is>
      </c>
      <c r="M140" s="29" t="n">
        <v>8.79214984325691</v>
      </c>
      <c r="N140" s="35" t="n">
        <v>49.6457683072697</v>
      </c>
      <c r="O140" s="36" t="n">
        <v>3071.416673233822</v>
      </c>
      <c r="P140" s="29" t="n">
        <v>4.451044381718695</v>
      </c>
      <c r="Q140" s="16" t="inlineStr">
        <is>
          <t>sí</t>
        </is>
      </c>
      <c r="R140" s="16" t="n"/>
    </row>
    <row r="141">
      <c r="A141" s="16" t="inlineStr">
        <is>
          <t>KF-M04-0130</t>
        </is>
      </c>
      <c r="B141" s="35" t="n">
        <v>448.6099624502038</v>
      </c>
      <c r="C141" s="35" t="n">
        <v>291.8615978847051</v>
      </c>
      <c r="D141" s="36" t="n">
        <v>4960.891670396268</v>
      </c>
      <c r="E141" s="35" t="n">
        <v>1384.324537102322</v>
      </c>
      <c r="F141" s="37" t="n">
        <v>0.7799893227962543</v>
      </c>
      <c r="G141" s="37" t="n">
        <v>0.8014497524510094</v>
      </c>
      <c r="H141" s="37" t="n">
        <v>0.6977454060423006</v>
      </c>
      <c r="I141" s="37" t="n">
        <v>0.6657493457718565</v>
      </c>
      <c r="J141" s="37" t="n">
        <v>0.6413693061124847</v>
      </c>
      <c r="K141" s="37" t="n">
        <v>0.8997383469603082</v>
      </c>
      <c r="L141" s="42" t="inlineStr">
        <is>
          <t>KALINA</t>
        </is>
      </c>
      <c r="M141" s="29" t="n">
        <v>9.52807105459592</v>
      </c>
      <c r="N141" s="35" t="n">
        <v>91.52739865305848</v>
      </c>
      <c r="O141" s="36" t="n">
        <v>3576.567133293945</v>
      </c>
      <c r="P141" s="29" t="n">
        <v>3.583618968988616</v>
      </c>
      <c r="Q141" s="16" t="inlineStr">
        <is>
          <t>no</t>
        </is>
      </c>
      <c r="R141" s="16" t="n"/>
    </row>
    <row r="142">
      <c r="A142" s="16" t="inlineStr">
        <is>
          <t>KF-M04-0131</t>
        </is>
      </c>
      <c r="B142" s="35" t="n">
        <v>400.1763413229122</v>
      </c>
      <c r="C142" s="35" t="n">
        <v>298.0356991715931</v>
      </c>
      <c r="D142" s="36" t="n">
        <v>4808.625812318527</v>
      </c>
      <c r="E142" s="35" t="n">
        <v>999.0281343782304</v>
      </c>
      <c r="F142" s="37" t="n">
        <v>0.5516465283376404</v>
      </c>
      <c r="G142" s="37" t="n">
        <v>0.8988564937322426</v>
      </c>
      <c r="H142" s="37" t="n">
        <v>0.6799323353284441</v>
      </c>
      <c r="I142" s="37" t="n">
        <v>0.8448505132326904</v>
      </c>
      <c r="J142" s="37" t="n">
        <v>0.7993503733360579</v>
      </c>
      <c r="K142" s="37" t="n">
        <v>0.7506155983240617</v>
      </c>
      <c r="L142" s="32" t="inlineStr">
        <is>
          <t>No convergió</t>
        </is>
      </c>
      <c r="M142" s="29" t="inlineStr">
        <is>
          <t>—</t>
        </is>
      </c>
      <c r="N142" s="35" t="inlineStr">
        <is>
          <t>—</t>
        </is>
      </c>
      <c r="O142" s="36" t="n">
        <v>3809.597677940297</v>
      </c>
      <c r="P142" s="29" t="n">
        <v>4.813303696708495</v>
      </c>
      <c r="Q142" s="16" t="inlineStr">
        <is>
          <t>no</t>
        </is>
      </c>
      <c r="R142" s="16" t="n"/>
    </row>
    <row r="143">
      <c r="A143" s="16" t="inlineStr">
        <is>
          <t>KF-M04-0132</t>
        </is>
      </c>
      <c r="B143" s="35" t="n">
        <v>489.6833794038356</v>
      </c>
      <c r="C143" s="35" t="n">
        <v>290.5618465088068</v>
      </c>
      <c r="D143" s="36" t="n">
        <v>2579.410779893956</v>
      </c>
      <c r="E143" s="35" t="n">
        <v>1129.37748943795</v>
      </c>
      <c r="F143" s="37" t="n">
        <v>0.8377108560390505</v>
      </c>
      <c r="G143" s="37" t="n">
        <v>0.9148982282141368</v>
      </c>
      <c r="H143" s="37" t="n">
        <v>0.759642945623034</v>
      </c>
      <c r="I143" s="37" t="n">
        <v>0.64518219749259</v>
      </c>
      <c r="J143" s="37" t="n">
        <v>0.6827454642508943</v>
      </c>
      <c r="K143" s="37" t="n">
        <v>0.869612808778467</v>
      </c>
      <c r="L143" s="32" t="inlineStr">
        <is>
          <t>No convergió</t>
        </is>
      </c>
      <c r="M143" s="29" t="inlineStr">
        <is>
          <t>—</t>
        </is>
      </c>
      <c r="N143" s="35" t="inlineStr">
        <is>
          <t>—</t>
        </is>
      </c>
      <c r="O143" s="36" t="n">
        <v>1450.033290456005</v>
      </c>
      <c r="P143" s="29" t="n">
        <v>2.283922606937768</v>
      </c>
      <c r="Q143" s="16" t="inlineStr">
        <is>
          <t>no</t>
        </is>
      </c>
      <c r="R143" s="16" t="n"/>
    </row>
    <row r="144">
      <c r="A144" s="16" t="inlineStr">
        <is>
          <t>KF-M04-0133</t>
        </is>
      </c>
      <c r="B144" s="35" t="n">
        <v>416.5113051139869</v>
      </c>
      <c r="C144" s="35" t="n">
        <v>280.877207911301</v>
      </c>
      <c r="D144" s="36" t="n">
        <v>2032.216494218936</v>
      </c>
      <c r="E144" s="35" t="n">
        <v>912.8142076572916</v>
      </c>
      <c r="F144" s="37" t="n">
        <v>0.5670548672384366</v>
      </c>
      <c r="G144" s="37" t="n">
        <v>0.909963801220393</v>
      </c>
      <c r="H144" s="37" t="n">
        <v>0.7712448835610911</v>
      </c>
      <c r="I144" s="37" t="n">
        <v>0.819690093250145</v>
      </c>
      <c r="J144" s="37" t="n">
        <v>0.8271752084151017</v>
      </c>
      <c r="K144" s="37" t="n">
        <v>0.9443905620171306</v>
      </c>
      <c r="L144" s="42" t="inlineStr">
        <is>
          <t>KALINA</t>
        </is>
      </c>
      <c r="M144" s="29" t="n">
        <v>6.17107572022473</v>
      </c>
      <c r="N144" s="35" t="n">
        <v>53.60633015209733</v>
      </c>
      <c r="O144" s="36" t="n">
        <v>1119.402286561644</v>
      </c>
      <c r="P144" s="29" t="n">
        <v>2.226319964316237</v>
      </c>
      <c r="Q144" s="16" t="inlineStr">
        <is>
          <t>no</t>
        </is>
      </c>
      <c r="R144" s="16" t="n"/>
    </row>
    <row r="145">
      <c r="A145" s="16" t="inlineStr">
        <is>
          <t>KF-M04-0134</t>
        </is>
      </c>
      <c r="B145" s="35" t="n">
        <v>476.7900781576256</v>
      </c>
      <c r="C145" s="35" t="n">
        <v>297.162298935752</v>
      </c>
      <c r="D145" s="36" t="n">
        <v>4457.133476729485</v>
      </c>
      <c r="E145" s="35" t="n">
        <v>368.9035007558117</v>
      </c>
      <c r="F145" s="37" t="n">
        <v>0.7577565815136318</v>
      </c>
      <c r="G145" s="37" t="n">
        <v>0.8029136479536387</v>
      </c>
      <c r="H145" s="37" t="n">
        <v>0.8437491336812593</v>
      </c>
      <c r="I145" s="37" t="n">
        <v>0.840789638446752</v>
      </c>
      <c r="J145" s="37" t="n">
        <v>0.6354034008191572</v>
      </c>
      <c r="K145" s="37" t="n">
        <v>0.7979090851381569</v>
      </c>
      <c r="L145" s="39" t="inlineStr">
        <is>
          <t>Corregible</t>
        </is>
      </c>
      <c r="M145" s="29" t="n">
        <v>7.42489025817665</v>
      </c>
      <c r="N145" s="35" t="n">
        <v>56.50018488213914</v>
      </c>
      <c r="O145" s="36" t="n">
        <v>4088.229975973673</v>
      </c>
      <c r="P145" s="29" t="n">
        <v>12.08211217187607</v>
      </c>
      <c r="Q145" s="16" t="inlineStr">
        <is>
          <t>sí</t>
        </is>
      </c>
      <c r="R145" s="16" t="inlineStr">
        <is>
          <t>O1,O2</t>
        </is>
      </c>
    </row>
    <row r="146">
      <c r="A146" s="16" t="inlineStr">
        <is>
          <t>KF-M04-0135</t>
        </is>
      </c>
      <c r="B146" s="35" t="n">
        <v>475.2505996689697</v>
      </c>
      <c r="C146" s="35" t="n">
        <v>279.5379823800096</v>
      </c>
      <c r="D146" s="36" t="n">
        <v>4875.263783849653</v>
      </c>
      <c r="E146" s="35" t="n">
        <v>547.2899249983644</v>
      </c>
      <c r="F146" s="37" t="n">
        <v>0.8112340958512879</v>
      </c>
      <c r="G146" s="37" t="n">
        <v>0.7929865019601463</v>
      </c>
      <c r="H146" s="37" t="n">
        <v>0.8973548140857182</v>
      </c>
      <c r="I146" s="37" t="n">
        <v>0.7935094717619685</v>
      </c>
      <c r="J146" s="37" t="n">
        <v>0.612581916512474</v>
      </c>
      <c r="K146" s="37" t="n">
        <v>0.8482199738130671</v>
      </c>
      <c r="L146" s="39" t="inlineStr">
        <is>
          <t>Corregible</t>
        </is>
      </c>
      <c r="M146" s="29" t="n">
        <v>16.30022769529829</v>
      </c>
      <c r="N146" s="35" t="n">
        <v>218.5663594454211</v>
      </c>
      <c r="O146" s="36" t="n">
        <v>4327.973858851288</v>
      </c>
      <c r="P146" s="29" t="n">
        <v>8.908009377048597</v>
      </c>
      <c r="Q146" s="16" t="inlineStr">
        <is>
          <t>sí</t>
        </is>
      </c>
      <c r="R146" s="16" t="inlineStr">
        <is>
          <t>O2</t>
        </is>
      </c>
    </row>
    <row r="147">
      <c r="A147" s="16" t="inlineStr">
        <is>
          <t>KF-M04-0136</t>
        </is>
      </c>
      <c r="B147" s="35" t="n">
        <v>491.9866390586594</v>
      </c>
      <c r="C147" s="35" t="n">
        <v>291.9527008500422</v>
      </c>
      <c r="D147" s="36" t="n">
        <v>3697.409732426161</v>
      </c>
      <c r="E147" s="35" t="n">
        <v>568.2998155180289</v>
      </c>
      <c r="F147" s="37" t="n">
        <v>0.5129967713138374</v>
      </c>
      <c r="G147" s="37" t="n">
        <v>0.9195008171186314</v>
      </c>
      <c r="H147" s="37" t="n">
        <v>0.706124626567088</v>
      </c>
      <c r="I147" s="37" t="n">
        <v>0.8875347857266793</v>
      </c>
      <c r="J147" s="37" t="n">
        <v>0.8356552153313982</v>
      </c>
      <c r="K147" s="37" t="n">
        <v>0.741872224188621</v>
      </c>
      <c r="L147" s="39" t="inlineStr">
        <is>
          <t>Corregible</t>
        </is>
      </c>
      <c r="M147" s="29" t="n">
        <v>13.48586694374381</v>
      </c>
      <c r="N147" s="35" t="n">
        <v>217.202126175527</v>
      </c>
      <c r="O147" s="36" t="n">
        <v>3129.109916908132</v>
      </c>
      <c r="P147" s="29" t="n">
        <v>6.506089974806376</v>
      </c>
      <c r="Q147" s="16" t="inlineStr">
        <is>
          <t>sí</t>
        </is>
      </c>
      <c r="R147" s="16" t="inlineStr">
        <is>
          <t>O1,O2</t>
        </is>
      </c>
    </row>
    <row r="148">
      <c r="A148" s="16" t="inlineStr">
        <is>
          <t>KF-M04-0137</t>
        </is>
      </c>
      <c r="B148" s="35" t="n">
        <v>458.9619434251367</v>
      </c>
      <c r="C148" s="35" t="n">
        <v>280.9683355664703</v>
      </c>
      <c r="D148" s="36" t="n">
        <v>2022.172409622757</v>
      </c>
      <c r="E148" s="35" t="n">
        <v>851.2529865889637</v>
      </c>
      <c r="F148" s="37" t="n">
        <v>0.6200916425575126</v>
      </c>
      <c r="G148" s="37" t="n">
        <v>0.7977199304152007</v>
      </c>
      <c r="H148" s="37" t="n">
        <v>0.700402429437368</v>
      </c>
      <c r="I148" s="37" t="n">
        <v>0.7021884713301864</v>
      </c>
      <c r="J148" s="37" t="n">
        <v>0.7315031355267413</v>
      </c>
      <c r="K148" s="37" t="n">
        <v>0.829951911156162</v>
      </c>
      <c r="L148" s="32" t="inlineStr">
        <is>
          <t>No convergió</t>
        </is>
      </c>
      <c r="M148" s="29" t="inlineStr">
        <is>
          <t>—</t>
        </is>
      </c>
      <c r="N148" s="35" t="inlineStr">
        <is>
          <t>—</t>
        </is>
      </c>
      <c r="O148" s="36" t="n">
        <v>1170.919423033793</v>
      </c>
      <c r="P148" s="29" t="n">
        <v>2.375524599009934</v>
      </c>
      <c r="Q148" s="16" t="inlineStr">
        <is>
          <t>no</t>
        </is>
      </c>
      <c r="R148" s="16" t="n"/>
    </row>
    <row r="149">
      <c r="A149" s="16" t="inlineStr">
        <is>
          <t>KF-M04-0138</t>
        </is>
      </c>
      <c r="B149" s="35" t="n">
        <v>469.2813664336145</v>
      </c>
      <c r="C149" s="35" t="n">
        <v>290.4030614372377</v>
      </c>
      <c r="D149" s="36" t="n">
        <v>3458.207296458289</v>
      </c>
      <c r="E149" s="35" t="n">
        <v>702.2443324641365</v>
      </c>
      <c r="F149" s="37" t="n">
        <v>0.6887964312431722</v>
      </c>
      <c r="G149" s="37" t="n">
        <v>0.8651072171869931</v>
      </c>
      <c r="H149" s="37" t="n">
        <v>0.8329190958578885</v>
      </c>
      <c r="I149" s="37" t="n">
        <v>0.8672773086401192</v>
      </c>
      <c r="J149" s="37" t="n">
        <v>0.6400188885065966</v>
      </c>
      <c r="K149" s="37" t="n">
        <v>0.8900895319601601</v>
      </c>
      <c r="L149" s="39" t="inlineStr">
        <is>
          <t>Corregible</t>
        </is>
      </c>
      <c r="M149" s="29" t="n">
        <v>12.44024717406542</v>
      </c>
      <c r="N149" s="35" t="n">
        <v>203.648837975353</v>
      </c>
      <c r="O149" s="36" t="n">
        <v>2755.962963994152</v>
      </c>
      <c r="P149" s="29" t="n">
        <v>4.924507235713289</v>
      </c>
      <c r="Q149" s="16" t="inlineStr">
        <is>
          <t>sí</t>
        </is>
      </c>
      <c r="R149" s="16" t="inlineStr">
        <is>
          <t>O2</t>
        </is>
      </c>
    </row>
    <row r="150">
      <c r="A150" s="16" t="inlineStr">
        <is>
          <t>KF-M04-0139</t>
        </is>
      </c>
      <c r="B150" s="35" t="n">
        <v>451.1168604136855</v>
      </c>
      <c r="C150" s="35" t="n">
        <v>289.2770089217507</v>
      </c>
      <c r="D150" s="36" t="n">
        <v>4210.64808524725</v>
      </c>
      <c r="E150" s="35" t="n">
        <v>952.6790367403548</v>
      </c>
      <c r="F150" s="37" t="n">
        <v>0.7836589692654736</v>
      </c>
      <c r="G150" s="37" t="n">
        <v>0.8755358751158604</v>
      </c>
      <c r="H150" s="37" t="n">
        <v>0.6874988273501483</v>
      </c>
      <c r="I150" s="37" t="n">
        <v>0.8348745958831171</v>
      </c>
      <c r="J150" s="37" t="n">
        <v>0.8853562590433099</v>
      </c>
      <c r="K150" s="37" t="n">
        <v>0.8315841965534586</v>
      </c>
      <c r="L150" s="39" t="inlineStr">
        <is>
          <t>Corregible</t>
        </is>
      </c>
      <c r="M150" s="29" t="n">
        <v>12.93923750879502</v>
      </c>
      <c r="N150" s="35" t="n">
        <v>168.1210086168738</v>
      </c>
      <c r="O150" s="36" t="n">
        <v>3257.969048506896</v>
      </c>
      <c r="P150" s="29" t="n">
        <v>4.419797143489397</v>
      </c>
      <c r="Q150" s="16" t="inlineStr">
        <is>
          <t>sí</t>
        </is>
      </c>
      <c r="R150" s="16" t="inlineStr">
        <is>
          <t>O2</t>
        </is>
      </c>
    </row>
    <row r="151">
      <c r="A151" s="16" t="inlineStr">
        <is>
          <t>KF-M04-0140</t>
        </is>
      </c>
      <c r="B151" s="35" t="n">
        <v>463.5521844770484</v>
      </c>
      <c r="C151" s="35" t="n">
        <v>300.8168085746968</v>
      </c>
      <c r="D151" s="36" t="n">
        <v>4416.575914691761</v>
      </c>
      <c r="E151" s="35" t="n">
        <v>566.9482867363154</v>
      </c>
      <c r="F151" s="37" t="n">
        <v>0.6226860770241313</v>
      </c>
      <c r="G151" s="37" t="n">
        <v>0.8113113815685574</v>
      </c>
      <c r="H151" s="37" t="n">
        <v>0.6934494149883758</v>
      </c>
      <c r="I151" s="37" t="n">
        <v>0.6921102829748494</v>
      </c>
      <c r="J151" s="37" t="n">
        <v>0.8246836317309969</v>
      </c>
      <c r="K151" s="37" t="n">
        <v>0.7490836799398337</v>
      </c>
      <c r="L151" s="39" t="inlineStr">
        <is>
          <t>Corregible</t>
        </is>
      </c>
      <c r="M151" s="29" t="n">
        <v>12.88716556625706</v>
      </c>
      <c r="N151" s="35" t="n">
        <v>114.2154742357002</v>
      </c>
      <c r="O151" s="36" t="n">
        <v>3849.627627955445</v>
      </c>
      <c r="P151" s="29" t="n">
        <v>7.790086006108502</v>
      </c>
      <c r="Q151" s="16" t="inlineStr">
        <is>
          <t>sí</t>
        </is>
      </c>
      <c r="R151" s="16" t="inlineStr">
        <is>
          <t>O2</t>
        </is>
      </c>
    </row>
    <row r="152">
      <c r="A152" s="16" t="inlineStr">
        <is>
          <t>KF-M04-0141</t>
        </is>
      </c>
      <c r="B152" s="35" t="n">
        <v>493.2649318637637</v>
      </c>
      <c r="C152" s="35" t="n">
        <v>286.2445643440762</v>
      </c>
      <c r="D152" s="36" t="n">
        <v>3742.291748310171</v>
      </c>
      <c r="E152" s="35" t="n">
        <v>1413.279306404757</v>
      </c>
      <c r="F152" s="37" t="n">
        <v>0.8383606127956176</v>
      </c>
      <c r="G152" s="37" t="n">
        <v>0.9120833182722956</v>
      </c>
      <c r="H152" s="37" t="n">
        <v>0.6744534480752722</v>
      </c>
      <c r="I152" s="37" t="n">
        <v>0.6055654299533968</v>
      </c>
      <c r="J152" s="37" t="n">
        <v>0.6009731187310379</v>
      </c>
      <c r="K152" s="37" t="n">
        <v>0.7537838533870951</v>
      </c>
      <c r="L152" s="39" t="inlineStr">
        <is>
          <t>Corregible</t>
        </is>
      </c>
      <c r="M152" s="29" t="n">
        <v>9.531040974216911</v>
      </c>
      <c r="N152" s="35" t="n">
        <v>93.42281488251577</v>
      </c>
      <c r="O152" s="36" t="n">
        <v>2329.012441905414</v>
      </c>
      <c r="P152" s="29" t="n">
        <v>2.647949157219454</v>
      </c>
      <c r="Q152" s="16" t="inlineStr">
        <is>
          <t>no</t>
        </is>
      </c>
      <c r="R152" s="16" t="inlineStr">
        <is>
          <t>O2</t>
        </is>
      </c>
    </row>
    <row r="153">
      <c r="A153" s="16" t="inlineStr">
        <is>
          <t>KF-M04-0142</t>
        </is>
      </c>
      <c r="B153" s="35" t="n">
        <v>476.2745867549749</v>
      </c>
      <c r="C153" s="35" t="n">
        <v>289.4115446824891</v>
      </c>
      <c r="D153" s="36" t="n">
        <v>2878.064123348901</v>
      </c>
      <c r="E153" s="35" t="n">
        <v>410.517520204588</v>
      </c>
      <c r="F153" s="37" t="n">
        <v>0.7214007806199999</v>
      </c>
      <c r="G153" s="37" t="n">
        <v>0.8659452422931705</v>
      </c>
      <c r="H153" s="37" t="n">
        <v>0.7705159106510983</v>
      </c>
      <c r="I153" s="37" t="n">
        <v>0.6951904466992288</v>
      </c>
      <c r="J153" s="37" t="n">
        <v>0.9364495447976596</v>
      </c>
      <c r="K153" s="37" t="n">
        <v>0.8044255763694856</v>
      </c>
      <c r="L153" s="39" t="inlineStr">
        <is>
          <t>Corregible</t>
        </is>
      </c>
      <c r="M153" s="29" t="n">
        <v>11.55714506207048</v>
      </c>
      <c r="N153" s="35" t="n">
        <v>113.4201534403619</v>
      </c>
      <c r="O153" s="36" t="n">
        <v>2467.546603144313</v>
      </c>
      <c r="P153" s="29" t="n">
        <v>7.010819226216148</v>
      </c>
      <c r="Q153" s="16" t="inlineStr">
        <is>
          <t>sí</t>
        </is>
      </c>
      <c r="R153" s="16" t="inlineStr">
        <is>
          <t>O2</t>
        </is>
      </c>
    </row>
    <row r="154">
      <c r="A154" s="16" t="inlineStr">
        <is>
          <t>KF-M04-0143</t>
        </is>
      </c>
      <c r="B154" s="35" t="n">
        <v>456.6738939798129</v>
      </c>
      <c r="C154" s="35" t="n">
        <v>302.3237170373859</v>
      </c>
      <c r="D154" s="36" t="n">
        <v>4835.649175048517</v>
      </c>
      <c r="E154" s="35" t="n">
        <v>1403.658796420059</v>
      </c>
      <c r="F154" s="37" t="n">
        <v>0.5242975289268771</v>
      </c>
      <c r="G154" s="37" t="n">
        <v>0.8038946463645135</v>
      </c>
      <c r="H154" s="37" t="n">
        <v>0.7214594293088336</v>
      </c>
      <c r="I154" s="37" t="n">
        <v>0.7513561584530409</v>
      </c>
      <c r="J154" s="37" t="n">
        <v>0.9389302087151592</v>
      </c>
      <c r="K154" s="37" t="n">
        <v>0.741431211795596</v>
      </c>
      <c r="L154" s="42" t="inlineStr">
        <is>
          <t>KALINA</t>
        </is>
      </c>
      <c r="M154" s="29" t="n">
        <v>8.862939813315201</v>
      </c>
      <c r="N154" s="35" t="n">
        <v>52.05144316303051</v>
      </c>
      <c r="O154" s="36" t="n">
        <v>3431.990378628458</v>
      </c>
      <c r="P154" s="29" t="n">
        <v>3.445031789336217</v>
      </c>
      <c r="Q154" s="16" t="inlineStr">
        <is>
          <t>sí</t>
        </is>
      </c>
      <c r="R154" s="16" t="n"/>
    </row>
    <row r="155">
      <c r="A155" s="16" t="inlineStr">
        <is>
          <t>KF-M04-0144</t>
        </is>
      </c>
      <c r="B155" s="35" t="n">
        <v>411.0039330905904</v>
      </c>
      <c r="C155" s="35" t="n">
        <v>295.0965464724693</v>
      </c>
      <c r="D155" s="36" t="n">
        <v>4049.142820173306</v>
      </c>
      <c r="E155" s="35" t="n">
        <v>942.9808388170708</v>
      </c>
      <c r="F155" s="37" t="n">
        <v>0.7149155642590479</v>
      </c>
      <c r="G155" s="37" t="n">
        <v>0.7666415048920523</v>
      </c>
      <c r="H155" s="37" t="n">
        <v>0.6971406906133668</v>
      </c>
      <c r="I155" s="37" t="n">
        <v>0.6868856216048219</v>
      </c>
      <c r="J155" s="37" t="n">
        <v>0.6231583757896157</v>
      </c>
      <c r="K155" s="37" t="n">
        <v>0.8909828975410689</v>
      </c>
      <c r="L155" s="39" t="inlineStr">
        <is>
          <t>Corregible</t>
        </is>
      </c>
      <c r="M155" s="29" t="n">
        <v>8.797312388292109</v>
      </c>
      <c r="N155" s="35" t="n">
        <v>52.84594906359793</v>
      </c>
      <c r="O155" s="36" t="n">
        <v>3106.161981356235</v>
      </c>
      <c r="P155" s="29" t="n">
        <v>4.293982076298372</v>
      </c>
      <c r="Q155" s="16" t="inlineStr">
        <is>
          <t>no</t>
        </is>
      </c>
      <c r="R155" s="16" t="inlineStr">
        <is>
          <t>O2</t>
        </is>
      </c>
    </row>
    <row r="156">
      <c r="A156" s="16" t="inlineStr">
        <is>
          <t>KF-M04-0145</t>
        </is>
      </c>
      <c r="B156" s="35" t="n">
        <v>478.4021881569368</v>
      </c>
      <c r="C156" s="35" t="n">
        <v>296.9308509408497</v>
      </c>
      <c r="D156" s="36" t="n">
        <v>2048.677953817212</v>
      </c>
      <c r="E156" s="35" t="n">
        <v>717.8868639688034</v>
      </c>
      <c r="F156" s="37" t="n">
        <v>0.6806373309486183</v>
      </c>
      <c r="G156" s="37" t="n">
        <v>0.9012167479650351</v>
      </c>
      <c r="H156" s="37" t="n">
        <v>0.7316543016397027</v>
      </c>
      <c r="I156" s="37" t="n">
        <v>0.9273062849819148</v>
      </c>
      <c r="J156" s="37" t="n">
        <v>0.746609599547653</v>
      </c>
      <c r="K156" s="37" t="n">
        <v>0.8211638974407564</v>
      </c>
      <c r="L156" s="39" t="inlineStr">
        <is>
          <t>Corregible</t>
        </is>
      </c>
      <c r="M156" s="29" t="n">
        <v>7.962494194696659</v>
      </c>
      <c r="N156" s="35" t="n">
        <v>132.3795788681901</v>
      </c>
      <c r="O156" s="36" t="n">
        <v>1330.791089848408</v>
      </c>
      <c r="P156" s="29" t="n">
        <v>2.853761583672381</v>
      </c>
      <c r="Q156" s="16" t="inlineStr">
        <is>
          <t>sí</t>
        </is>
      </c>
      <c r="R156" s="16" t="inlineStr">
        <is>
          <t>O2</t>
        </is>
      </c>
    </row>
    <row r="157">
      <c r="A157" s="16" t="inlineStr">
        <is>
          <t>KF-M04-0146</t>
        </is>
      </c>
      <c r="B157" s="35" t="n">
        <v>421.7380440711633</v>
      </c>
      <c r="C157" s="35" t="n">
        <v>279.9492615790234</v>
      </c>
      <c r="D157" s="36" t="n">
        <v>3500.262718794284</v>
      </c>
      <c r="E157" s="35" t="n">
        <v>1263.606280801354</v>
      </c>
      <c r="F157" s="37" t="n">
        <v>0.5416772116166169</v>
      </c>
      <c r="G157" s="37" t="n">
        <v>0.8103095930468042</v>
      </c>
      <c r="H157" s="37" t="n">
        <v>0.6714418309390331</v>
      </c>
      <c r="I157" s="37" t="n">
        <v>0.8274247415938933</v>
      </c>
      <c r="J157" s="37" t="n">
        <v>0.9227608698346262</v>
      </c>
      <c r="K157" s="37" t="n">
        <v>0.7397338616547524</v>
      </c>
      <c r="L157" s="42" t="inlineStr">
        <is>
          <t>KALINA</t>
        </is>
      </c>
      <c r="M157" s="29" t="n">
        <v>6.92338300785286</v>
      </c>
      <c r="N157" s="35" t="n">
        <v>33.4017155873232</v>
      </c>
      <c r="O157" s="36" t="n">
        <v>2236.65643799293</v>
      </c>
      <c r="P157" s="29" t="n">
        <v>2.770058025174176</v>
      </c>
      <c r="Q157" s="16" t="inlineStr">
        <is>
          <t>no</t>
        </is>
      </c>
      <c r="R157" s="16" t="n"/>
    </row>
    <row r="158">
      <c r="A158" s="16" t="inlineStr">
        <is>
          <t>KF-M04-0147</t>
        </is>
      </c>
      <c r="B158" s="35" t="n">
        <v>428.0333880450719</v>
      </c>
      <c r="C158" s="35" t="n">
        <v>296.0035560466928</v>
      </c>
      <c r="D158" s="36" t="n">
        <v>4127.892419825802</v>
      </c>
      <c r="E158" s="35" t="n">
        <v>882.8064030961441</v>
      </c>
      <c r="F158" s="37" t="n">
        <v>0.671541963038886</v>
      </c>
      <c r="G158" s="37" t="n">
        <v>0.7710522693090507</v>
      </c>
      <c r="H158" s="37" t="n">
        <v>0.8072738015049647</v>
      </c>
      <c r="I158" s="37" t="n">
        <v>0.7889385896640362</v>
      </c>
      <c r="J158" s="37" t="n">
        <v>0.9124770236717322</v>
      </c>
      <c r="K158" s="37" t="n">
        <v>0.93190774333421</v>
      </c>
      <c r="L158" s="42" t="inlineStr">
        <is>
          <t>KALINA</t>
        </is>
      </c>
      <c r="M158" s="29" t="n">
        <v>10.84830687819082</v>
      </c>
      <c r="N158" s="35" t="n">
        <v>80.10460021696885</v>
      </c>
      <c r="O158" s="36" t="n">
        <v>3245.086016729658</v>
      </c>
      <c r="P158" s="29" t="n">
        <v>4.675875033697784</v>
      </c>
      <c r="Q158" s="16" t="inlineStr">
        <is>
          <t>no</t>
        </is>
      </c>
      <c r="R158" s="16" t="n"/>
    </row>
    <row r="159">
      <c r="A159" s="16" t="inlineStr">
        <is>
          <t>KF-M04-0148</t>
        </is>
      </c>
      <c r="B159" s="35" t="n">
        <v>404.4821729889797</v>
      </c>
      <c r="C159" s="35" t="n">
        <v>292.7159337160937</v>
      </c>
      <c r="D159" s="36" t="n">
        <v>2531.472839998504</v>
      </c>
      <c r="E159" s="35" t="n">
        <v>581.2840156141363</v>
      </c>
      <c r="F159" s="37" t="n">
        <v>0.6736275222136603</v>
      </c>
      <c r="G159" s="37" t="n">
        <v>0.7872011270798482</v>
      </c>
      <c r="H159" s="37" t="n">
        <v>0.8556547322947906</v>
      </c>
      <c r="I159" s="37" t="n">
        <v>0.8777990911030094</v>
      </c>
      <c r="J159" s="37" t="n">
        <v>0.7013653105663765</v>
      </c>
      <c r="K159" s="37" t="n">
        <v>0.923205786025765</v>
      </c>
      <c r="L159" s="39" t="inlineStr">
        <is>
          <t>Corregible</t>
        </is>
      </c>
      <c r="M159" s="29" t="n">
        <v>10.33726863921205</v>
      </c>
      <c r="N159" s="35" t="n">
        <v>87.8426257649337</v>
      </c>
      <c r="O159" s="36" t="n">
        <v>1950.188824384368</v>
      </c>
      <c r="P159" s="29" t="n">
        <v>4.35496723116317</v>
      </c>
      <c r="Q159" s="16" t="inlineStr">
        <is>
          <t>no</t>
        </is>
      </c>
      <c r="R159" s="16" t="inlineStr">
        <is>
          <t>O2</t>
        </is>
      </c>
    </row>
    <row r="160">
      <c r="A160" s="16" t="inlineStr">
        <is>
          <t>KF-M04-0149</t>
        </is>
      </c>
      <c r="B160" s="35" t="n">
        <v>499.9409497806105</v>
      </c>
      <c r="C160" s="35" t="n">
        <v>284.4613547205568</v>
      </c>
      <c r="D160" s="36" t="n">
        <v>3238.262952356354</v>
      </c>
      <c r="E160" s="35" t="n">
        <v>1013.429226631598</v>
      </c>
      <c r="F160" s="37" t="n">
        <v>0.5462226699452218</v>
      </c>
      <c r="G160" s="37" t="n">
        <v>0.9149910149591456</v>
      </c>
      <c r="H160" s="37" t="n">
        <v>0.6844156673548407</v>
      </c>
      <c r="I160" s="37" t="n">
        <v>0.9129861528748624</v>
      </c>
      <c r="J160" s="37" t="n">
        <v>0.8098020294965484</v>
      </c>
      <c r="K160" s="37" t="n">
        <v>0.7168821129433658</v>
      </c>
      <c r="L160" s="39" t="inlineStr">
        <is>
          <t>Corregible</t>
        </is>
      </c>
      <c r="M160" s="29" t="n">
        <v>8.572773364907791</v>
      </c>
      <c r="N160" s="35" t="n">
        <v>139.3109175490837</v>
      </c>
      <c r="O160" s="36" t="n">
        <v>2224.833725724756</v>
      </c>
      <c r="P160" s="29" t="n">
        <v>3.195351848218925</v>
      </c>
      <c r="Q160" s="16" t="inlineStr">
        <is>
          <t>sí</t>
        </is>
      </c>
      <c r="R160" s="16" t="inlineStr">
        <is>
          <t>O2</t>
        </is>
      </c>
    </row>
    <row r="161">
      <c r="A161" s="16" t="inlineStr">
        <is>
          <t>KF-M04-0150</t>
        </is>
      </c>
      <c r="B161" s="35" t="n">
        <v>495.4081364199327</v>
      </c>
      <c r="C161" s="35" t="n">
        <v>280.7717228522209</v>
      </c>
      <c r="D161" s="36" t="n">
        <v>4817.775632202194</v>
      </c>
      <c r="E161" s="35" t="n">
        <v>1002.139181562782</v>
      </c>
      <c r="F161" s="37" t="n">
        <v>0.7461066380674107</v>
      </c>
      <c r="G161" s="37" t="n">
        <v>0.883650723679178</v>
      </c>
      <c r="H161" s="37" t="n">
        <v>0.8029581698509706</v>
      </c>
      <c r="I161" s="37" t="n">
        <v>0.7640276585656671</v>
      </c>
      <c r="J161" s="37" t="n">
        <v>0.8339146139121769</v>
      </c>
      <c r="K161" s="37" t="n">
        <v>0.7208655934775472</v>
      </c>
      <c r="L161" s="39" t="inlineStr">
        <is>
          <t>Corregible</t>
        </is>
      </c>
      <c r="M161" s="29" t="n">
        <v>13.21010625807215</v>
      </c>
      <c r="N161" s="35" t="n">
        <v>162.9280887391454</v>
      </c>
      <c r="O161" s="36" t="n">
        <v>3815.636450639413</v>
      </c>
      <c r="P161" s="29" t="n">
        <v>4.807491534947406</v>
      </c>
      <c r="Q161" s="16" t="inlineStr">
        <is>
          <t>sí</t>
        </is>
      </c>
      <c r="R161" s="16" t="inlineStr">
        <is>
          <t>O2</t>
        </is>
      </c>
    </row>
    <row r="162">
      <c r="A162" s="16" t="inlineStr">
        <is>
          <t>KF-M04-0151</t>
        </is>
      </c>
      <c r="B162" s="35" t="n">
        <v>427.1179530634166</v>
      </c>
      <c r="C162" s="35" t="n">
        <v>290.8539572643693</v>
      </c>
      <c r="D162" s="36" t="n">
        <v>3808.049392815273</v>
      </c>
      <c r="E162" s="35" t="n">
        <v>1021.922960772625</v>
      </c>
      <c r="F162" s="37" t="n">
        <v>0.5914494296812309</v>
      </c>
      <c r="G162" s="37" t="n">
        <v>0.7550611868603829</v>
      </c>
      <c r="H162" s="37" t="n">
        <v>0.7887808855963062</v>
      </c>
      <c r="I162" s="37" t="n">
        <v>0.6757577040345193</v>
      </c>
      <c r="J162" s="37" t="n">
        <v>0.6106454140907532</v>
      </c>
      <c r="K162" s="37" t="n">
        <v>0.7610837671699681</v>
      </c>
      <c r="L162" s="39" t="inlineStr">
        <is>
          <t>Corregible</t>
        </is>
      </c>
      <c r="M162" s="29" t="n">
        <v>7.44885103682309</v>
      </c>
      <c r="N162" s="35" t="n">
        <v>40.77028443975999</v>
      </c>
      <c r="O162" s="36" t="n">
        <v>2786.126432042648</v>
      </c>
      <c r="P162" s="29" t="n">
        <v>3.726356622749914</v>
      </c>
      <c r="Q162" s="16" t="inlineStr">
        <is>
          <t>no</t>
        </is>
      </c>
      <c r="R162" s="16" t="inlineStr">
        <is>
          <t>O2</t>
        </is>
      </c>
    </row>
    <row r="163">
      <c r="A163" s="16" t="inlineStr">
        <is>
          <t>KF-M04-0152</t>
        </is>
      </c>
      <c r="B163" s="35" t="n">
        <v>441.0688918004743</v>
      </c>
      <c r="C163" s="35" t="n">
        <v>292.1258984893497</v>
      </c>
      <c r="D163" s="36" t="n">
        <v>3213.426013813886</v>
      </c>
      <c r="E163" s="35" t="n">
        <v>607.3291536014565</v>
      </c>
      <c r="F163" s="37" t="n">
        <v>0.5395104440068157</v>
      </c>
      <c r="G163" s="37" t="n">
        <v>0.8160124009063323</v>
      </c>
      <c r="H163" s="37" t="n">
        <v>0.6637614771218336</v>
      </c>
      <c r="I163" s="37" t="n">
        <v>0.7563808708299845</v>
      </c>
      <c r="J163" s="37" t="n">
        <v>0.8401279481668507</v>
      </c>
      <c r="K163" s="37" t="n">
        <v>0.945982464250274</v>
      </c>
      <c r="L163" s="42" t="inlineStr">
        <is>
          <t>KALINA</t>
        </is>
      </c>
      <c r="M163" s="29" t="n">
        <v>10.76823832632847</v>
      </c>
      <c r="N163" s="35" t="n">
        <v>85.07512022128739</v>
      </c>
      <c r="O163" s="36" t="n">
        <v>2606.096860212429</v>
      </c>
      <c r="P163" s="29" t="n">
        <v>5.291078148905414</v>
      </c>
      <c r="Q163" s="16" t="inlineStr">
        <is>
          <t>sí</t>
        </is>
      </c>
      <c r="R163" s="16" t="n"/>
    </row>
    <row r="164">
      <c r="A164" s="16" t="inlineStr">
        <is>
          <t>KF-M04-0153</t>
        </is>
      </c>
      <c r="B164" s="35" t="n">
        <v>411.8847670756751</v>
      </c>
      <c r="C164" s="35" t="n">
        <v>303.1225051543633</v>
      </c>
      <c r="D164" s="36" t="n">
        <v>3155.202144828041</v>
      </c>
      <c r="E164" s="35" t="n">
        <v>1068.728721229202</v>
      </c>
      <c r="F164" s="37" t="n">
        <v>0.607712985648713</v>
      </c>
      <c r="G164" s="37" t="n">
        <v>0.9163162452654042</v>
      </c>
      <c r="H164" s="37" t="n">
        <v>0.7578612136416221</v>
      </c>
      <c r="I164" s="37" t="n">
        <v>0.9216153496849236</v>
      </c>
      <c r="J164" s="37" t="n">
        <v>0.7676136463519894</v>
      </c>
      <c r="K164" s="37" t="n">
        <v>0.7496391231218409</v>
      </c>
      <c r="L164" s="39" t="inlineStr">
        <is>
          <t>Corregible</t>
        </is>
      </c>
      <c r="M164" s="29" t="n">
        <v>9.312393826965049</v>
      </c>
      <c r="N164" s="35" t="n">
        <v>57.07204736635506</v>
      </c>
      <c r="O164" s="36" t="n">
        <v>2086.473423598839</v>
      </c>
      <c r="P164" s="29" t="n">
        <v>2.952294705057682</v>
      </c>
      <c r="Q164" s="16" t="inlineStr">
        <is>
          <t>no</t>
        </is>
      </c>
      <c r="R164" s="16" t="inlineStr">
        <is>
          <t>O2</t>
        </is>
      </c>
    </row>
    <row r="165">
      <c r="A165" s="16" t="inlineStr">
        <is>
          <t>KF-M04-0154</t>
        </is>
      </c>
      <c r="B165" s="35" t="n">
        <v>389.3276004242328</v>
      </c>
      <c r="C165" s="35" t="n">
        <v>289.8890021346743</v>
      </c>
      <c r="D165" s="36" t="n">
        <v>4866.228647001242</v>
      </c>
      <c r="E165" s="35" t="n">
        <v>463.536993249562</v>
      </c>
      <c r="F165" s="37" t="n">
        <v>0.7591081275751961</v>
      </c>
      <c r="G165" s="37" t="n">
        <v>0.8878310129852817</v>
      </c>
      <c r="H165" s="37" t="n">
        <v>0.8539235906834084</v>
      </c>
      <c r="I165" s="37" t="n">
        <v>0.6677015947373078</v>
      </c>
      <c r="J165" s="37" t="n">
        <v>0.8358972082280288</v>
      </c>
      <c r="K165" s="37" t="n">
        <v>0.7553688583192818</v>
      </c>
      <c r="L165" s="40" t="inlineStr">
        <is>
          <t>Inviable</t>
        </is>
      </c>
      <c r="M165" s="29" t="n">
        <v>-15.8640152282458</v>
      </c>
      <c r="N165" s="35" t="n">
        <v>-27.19651250733108</v>
      </c>
      <c r="O165" s="36" t="n">
        <v>4402.69165375168</v>
      </c>
      <c r="P165" s="29" t="n">
        <v>10.4980373041798</v>
      </c>
      <c r="Q165" s="16" t="inlineStr">
        <is>
          <t>no</t>
        </is>
      </c>
      <c r="R165" s="16" t="inlineStr">
        <is>
          <t>O1,O2,O3</t>
        </is>
      </c>
    </row>
    <row r="166">
      <c r="A166" s="16" t="inlineStr">
        <is>
          <t>KF-M04-0155</t>
        </is>
      </c>
      <c r="B166" s="35" t="n">
        <v>444.3823286517897</v>
      </c>
      <c r="C166" s="35" t="n">
        <v>285.8422254333574</v>
      </c>
      <c r="D166" s="36" t="n">
        <v>4156.765910241249</v>
      </c>
      <c r="E166" s="35" t="n">
        <v>1150.143753512928</v>
      </c>
      <c r="F166" s="37" t="n">
        <v>0.7091932896905958</v>
      </c>
      <c r="G166" s="37" t="n">
        <v>0.7562498052554203</v>
      </c>
      <c r="H166" s="37" t="n">
        <v>0.7078163931387947</v>
      </c>
      <c r="I166" s="37" t="n">
        <v>0.8436107120242694</v>
      </c>
      <c r="J166" s="37" t="n">
        <v>0.925173002294266</v>
      </c>
      <c r="K166" s="37" t="n">
        <v>0.7561927025775497</v>
      </c>
      <c r="L166" s="39" t="inlineStr">
        <is>
          <t>Corregible</t>
        </is>
      </c>
      <c r="M166" s="29" t="n">
        <v>9.48021856857298</v>
      </c>
      <c r="N166" s="35" t="n">
        <v>95.35150429417986</v>
      </c>
      <c r="O166" s="36" t="n">
        <v>3006.622156728321</v>
      </c>
      <c r="P166" s="29" t="n">
        <v>3.61412727543412</v>
      </c>
      <c r="Q166" s="16" t="inlineStr">
        <is>
          <t>sí</t>
        </is>
      </c>
      <c r="R166" s="16" t="inlineStr">
        <is>
          <t>O2</t>
        </is>
      </c>
    </row>
    <row r="167">
      <c r="A167" s="16" t="inlineStr">
        <is>
          <t>KF-M04-0156</t>
        </is>
      </c>
      <c r="B167" s="35" t="n">
        <v>438.8161537768013</v>
      </c>
      <c r="C167" s="35" t="n">
        <v>281.4657756227745</v>
      </c>
      <c r="D167" s="36" t="n">
        <v>3419.473692117773</v>
      </c>
      <c r="E167" s="35" t="n">
        <v>762.1045087921802</v>
      </c>
      <c r="F167" s="37" t="n">
        <v>0.8232676347533857</v>
      </c>
      <c r="G167" s="37" t="n">
        <v>0.7641488720976264</v>
      </c>
      <c r="H167" s="37" t="n">
        <v>0.7386287582520373</v>
      </c>
      <c r="I167" s="37" t="n">
        <v>0.8218242291505842</v>
      </c>
      <c r="J167" s="37" t="n">
        <v>0.6186657466922999</v>
      </c>
      <c r="K167" s="37" t="n">
        <v>0.9311230112604916</v>
      </c>
      <c r="L167" s="39" t="inlineStr">
        <is>
          <t>Corregible</t>
        </is>
      </c>
      <c r="M167" s="29" t="n">
        <v>11.07912738398159</v>
      </c>
      <c r="N167" s="35" t="n">
        <v>155.891470368833</v>
      </c>
      <c r="O167" s="36" t="n">
        <v>2657.369183325593</v>
      </c>
      <c r="P167" s="29" t="n">
        <v>4.486882904730637</v>
      </c>
      <c r="Q167" s="16" t="inlineStr">
        <is>
          <t>no</t>
        </is>
      </c>
      <c r="R167" s="16" t="inlineStr">
        <is>
          <t>O2</t>
        </is>
      </c>
    </row>
    <row r="168">
      <c r="A168" s="16" t="inlineStr">
        <is>
          <t>KF-M04-0157</t>
        </is>
      </c>
      <c r="B168" s="35" t="n">
        <v>426.257582968365</v>
      </c>
      <c r="C168" s="35" t="n">
        <v>290.0430390930269</v>
      </c>
      <c r="D168" s="36" t="n">
        <v>2613.480720067638</v>
      </c>
      <c r="E168" s="35" t="n">
        <v>374.3693443220704</v>
      </c>
      <c r="F168" s="37" t="n">
        <v>0.6962341887976842</v>
      </c>
      <c r="G168" s="37" t="n">
        <v>0.8415207419731222</v>
      </c>
      <c r="H168" s="37" t="n">
        <v>0.6923997427119094</v>
      </c>
      <c r="I168" s="37" t="n">
        <v>0.7899781064295979</v>
      </c>
      <c r="J168" s="37" t="n">
        <v>0.8888330792509469</v>
      </c>
      <c r="K168" s="37" t="n">
        <v>0.711538080201507</v>
      </c>
      <c r="L168" s="39" t="inlineStr">
        <is>
          <t>Corregible</t>
        </is>
      </c>
      <c r="M168" s="29" t="n">
        <v>5.768974988096081</v>
      </c>
      <c r="N168" s="35" t="n">
        <v>36.43598723415036</v>
      </c>
      <c r="O168" s="36" t="n">
        <v>2239.111375745568</v>
      </c>
      <c r="P168" s="29" t="n">
        <v>6.981022243688996</v>
      </c>
      <c r="Q168" s="16" t="inlineStr">
        <is>
          <t>no</t>
        </is>
      </c>
      <c r="R168" s="16" t="inlineStr">
        <is>
          <t>O2</t>
        </is>
      </c>
    </row>
    <row r="169">
      <c r="A169" s="16" t="inlineStr">
        <is>
          <t>KF-M04-0158</t>
        </is>
      </c>
      <c r="B169" s="35" t="n">
        <v>410.3224787299183</v>
      </c>
      <c r="C169" s="35" t="n">
        <v>297.0085424220495</v>
      </c>
      <c r="D169" s="36" t="n">
        <v>4565.563664860976</v>
      </c>
      <c r="E169" s="35" t="n">
        <v>1067.248236821704</v>
      </c>
      <c r="F169" s="37" t="n">
        <v>0.7066564788242827</v>
      </c>
      <c r="G169" s="37" t="n">
        <v>0.7657587317245739</v>
      </c>
      <c r="H169" s="37" t="n">
        <v>0.7420543015118191</v>
      </c>
      <c r="I169" s="37" t="n">
        <v>0.634868935223837</v>
      </c>
      <c r="J169" s="37" t="n">
        <v>0.650574638546102</v>
      </c>
      <c r="K169" s="37" t="n">
        <v>0.8256421524034714</v>
      </c>
      <c r="L169" s="39" t="inlineStr">
        <is>
          <t>Corregible</t>
        </is>
      </c>
      <c r="M169" s="29" t="n">
        <v>8.053709788382179</v>
      </c>
      <c r="N169" s="35" t="n">
        <v>37.53251237421946</v>
      </c>
      <c r="O169" s="36" t="n">
        <v>3498.315428039272</v>
      </c>
      <c r="P169" s="29" t="n">
        <v>4.277883539500948</v>
      </c>
      <c r="Q169" s="16" t="inlineStr">
        <is>
          <t>no</t>
        </is>
      </c>
      <c r="R169" s="16" t="inlineStr">
        <is>
          <t>O2</t>
        </is>
      </c>
    </row>
    <row r="170">
      <c r="A170" s="16" t="inlineStr">
        <is>
          <t>KF-M04-0159</t>
        </is>
      </c>
      <c r="B170" s="35" t="n">
        <v>428.4329949301786</v>
      </c>
      <c r="C170" s="35" t="n">
        <v>283.8778639925258</v>
      </c>
      <c r="D170" s="36" t="n">
        <v>2076.588716550844</v>
      </c>
      <c r="E170" s="35" t="n">
        <v>428.455920241973</v>
      </c>
      <c r="F170" s="37" t="n">
        <v>0.7058298717250465</v>
      </c>
      <c r="G170" s="37" t="n">
        <v>0.7807052643460031</v>
      </c>
      <c r="H170" s="37" t="n">
        <v>0.6954427274585242</v>
      </c>
      <c r="I170" s="37" t="n">
        <v>0.7482803161857882</v>
      </c>
      <c r="J170" s="37" t="n">
        <v>0.7751044588686855</v>
      </c>
      <c r="K170" s="37" t="n">
        <v>0.7051299647057261</v>
      </c>
      <c r="L170" s="39" t="inlineStr">
        <is>
          <t>Corregible</t>
        </is>
      </c>
      <c r="M170" s="29" t="n">
        <v>8.416313309613429</v>
      </c>
      <c r="N170" s="35" t="n">
        <v>84.5125954983682</v>
      </c>
      <c r="O170" s="36" t="n">
        <v>1648.132796308871</v>
      </c>
      <c r="P170" s="29" t="n">
        <v>4.846679946394669</v>
      </c>
      <c r="Q170" s="16" t="inlineStr">
        <is>
          <t>no</t>
        </is>
      </c>
      <c r="R170" s="16" t="inlineStr">
        <is>
          <t>O2</t>
        </is>
      </c>
    </row>
    <row r="171">
      <c r="A171" s="16" t="inlineStr">
        <is>
          <t>KF-M04-0160</t>
        </is>
      </c>
      <c r="B171" s="35" t="n">
        <v>475.008302460522</v>
      </c>
      <c r="C171" s="35" t="n">
        <v>283.5276278079261</v>
      </c>
      <c r="D171" s="36" t="n">
        <v>3942.226975825357</v>
      </c>
      <c r="E171" s="35" t="n">
        <v>1239.938518861987</v>
      </c>
      <c r="F171" s="37" t="n">
        <v>0.8244402639739288</v>
      </c>
      <c r="G171" s="37" t="n">
        <v>0.8591183160842149</v>
      </c>
      <c r="H171" s="37" t="n">
        <v>0.6668869131177232</v>
      </c>
      <c r="I171" s="37" t="n">
        <v>0.7387246794125534</v>
      </c>
      <c r="J171" s="37" t="n">
        <v>0.8113150370107342</v>
      </c>
      <c r="K171" s="37" t="n">
        <v>0.9201684833446984</v>
      </c>
      <c r="L171" s="42" t="inlineStr">
        <is>
          <t>KALINA</t>
        </is>
      </c>
      <c r="M171" s="29" t="n">
        <v>9.94666693376003</v>
      </c>
      <c r="N171" s="35" t="n">
        <v>128.9396106388774</v>
      </c>
      <c r="O171" s="36" t="n">
        <v>2702.28845696337</v>
      </c>
      <c r="P171" s="29" t="n">
        <v>3.179372941364484</v>
      </c>
      <c r="Q171" s="16" t="inlineStr">
        <is>
          <t>sí</t>
        </is>
      </c>
      <c r="R171" s="16" t="n"/>
    </row>
    <row r="172">
      <c r="A172" s="16" t="inlineStr">
        <is>
          <t>KF-M04-0161</t>
        </is>
      </c>
      <c r="B172" s="35" t="n">
        <v>436.915585600499</v>
      </c>
      <c r="C172" s="35" t="n">
        <v>291.726709607405</v>
      </c>
      <c r="D172" s="36" t="n">
        <v>3869.926538190442</v>
      </c>
      <c r="E172" s="35" t="n">
        <v>616.3650707013746</v>
      </c>
      <c r="F172" s="37" t="n">
        <v>0.6418591846489332</v>
      </c>
      <c r="G172" s="37" t="n">
        <v>0.8440884435703722</v>
      </c>
      <c r="H172" s="37" t="n">
        <v>0.746731468572819</v>
      </c>
      <c r="I172" s="37" t="n">
        <v>0.7558876251154708</v>
      </c>
      <c r="J172" s="37" t="n">
        <v>0.93754087660917</v>
      </c>
      <c r="K172" s="37" t="n">
        <v>0.8765464113930359</v>
      </c>
      <c r="L172" s="39" t="inlineStr">
        <is>
          <t>Corregible</t>
        </is>
      </c>
      <c r="M172" s="29" t="n">
        <v>14.07868282693672</v>
      </c>
      <c r="N172" s="35" t="n">
        <v>109.8359733142662</v>
      </c>
      <c r="O172" s="36" t="n">
        <v>3253.561467489067</v>
      </c>
      <c r="P172" s="29" t="n">
        <v>6.278627265147864</v>
      </c>
      <c r="Q172" s="16" t="inlineStr">
        <is>
          <t>sí</t>
        </is>
      </c>
      <c r="R172" s="16" t="inlineStr">
        <is>
          <t>O2</t>
        </is>
      </c>
    </row>
    <row r="173">
      <c r="A173" s="16" t="inlineStr">
        <is>
          <t>KF-M04-0162</t>
        </is>
      </c>
      <c r="B173" s="35" t="n">
        <v>464.9880316187518</v>
      </c>
      <c r="C173" s="35" t="n">
        <v>291.0947413010872</v>
      </c>
      <c r="D173" s="36" t="n">
        <v>3001.727051317068</v>
      </c>
      <c r="E173" s="35" t="n">
        <v>1257.862416039375</v>
      </c>
      <c r="F173" s="37" t="n">
        <v>0.7804919476880128</v>
      </c>
      <c r="G173" s="37" t="n">
        <v>0.7924105494227881</v>
      </c>
      <c r="H173" s="37" t="n">
        <v>0.6695722469835903</v>
      </c>
      <c r="I173" s="37" t="n">
        <v>0.9050737920337339</v>
      </c>
      <c r="J173" s="37" t="n">
        <v>0.6962843991609351</v>
      </c>
      <c r="K173" s="37" t="n">
        <v>0.8926662506163365</v>
      </c>
      <c r="L173" s="39" t="inlineStr">
        <is>
          <t>Corregible</t>
        </is>
      </c>
      <c r="M173" s="29" t="n">
        <v>6.94880307388811</v>
      </c>
      <c r="N173" s="35" t="n">
        <v>111.4516186546419</v>
      </c>
      <c r="O173" s="36" t="n">
        <v>1743.864635277693</v>
      </c>
      <c r="P173" s="29" t="n">
        <v>2.386371524453835</v>
      </c>
      <c r="Q173" s="16" t="inlineStr">
        <is>
          <t>sí</t>
        </is>
      </c>
      <c r="R173" s="16" t="inlineStr">
        <is>
          <t>O2</t>
        </is>
      </c>
    </row>
    <row r="174">
      <c r="A174" s="16" t="inlineStr">
        <is>
          <t>KF-M04-0163</t>
        </is>
      </c>
      <c r="B174" s="35" t="n">
        <v>469.0737546222869</v>
      </c>
      <c r="C174" s="35" t="n">
        <v>295.2271929381747</v>
      </c>
      <c r="D174" s="36" t="n">
        <v>2438.757091722845</v>
      </c>
      <c r="E174" s="35" t="n">
        <v>1459.363534615464</v>
      </c>
      <c r="F174" s="37" t="n">
        <v>0.7732980804281404</v>
      </c>
      <c r="G174" s="37" t="n">
        <v>0.8691543832106314</v>
      </c>
      <c r="H174" s="37" t="n">
        <v>0.8414500105316285</v>
      </c>
      <c r="I174" s="37" t="n">
        <v>0.6970249598722082</v>
      </c>
      <c r="J174" s="37" t="n">
        <v>0.7711096491359274</v>
      </c>
      <c r="K174" s="37" t="n">
        <v>0.9485906239725508</v>
      </c>
      <c r="L174" s="42" t="inlineStr">
        <is>
          <t>KALINA</t>
        </is>
      </c>
      <c r="M174" s="29" t="n">
        <v>4.602183827407281</v>
      </c>
      <c r="N174" s="35" t="n">
        <v>59.1973905438835</v>
      </c>
      <c r="O174" s="36" t="n">
        <v>979.3935571073816</v>
      </c>
      <c r="P174" s="29" t="n">
        <v>1.671110065365206</v>
      </c>
      <c r="Q174" s="16" t="inlineStr">
        <is>
          <t>no</t>
        </is>
      </c>
      <c r="R174" s="16" t="n"/>
    </row>
    <row r="175">
      <c r="A175" s="16" t="inlineStr">
        <is>
          <t>KF-M04-0164</t>
        </is>
      </c>
      <c r="B175" s="35" t="n">
        <v>423.5204713209189</v>
      </c>
      <c r="C175" s="35" t="n">
        <v>286.9403416298888</v>
      </c>
      <c r="D175" s="36" t="n">
        <v>3080.402220673114</v>
      </c>
      <c r="E175" s="35" t="n">
        <v>722.8563541503839</v>
      </c>
      <c r="F175" s="37" t="n">
        <v>0.8399192776997839</v>
      </c>
      <c r="G175" s="37" t="n">
        <v>0.857812135828277</v>
      </c>
      <c r="H175" s="37" t="n">
        <v>0.8865583163724146</v>
      </c>
      <c r="I175" s="37" t="n">
        <v>0.9478319538162412</v>
      </c>
      <c r="J175" s="37" t="n">
        <v>0.94798505613638</v>
      </c>
      <c r="K175" s="37" t="n">
        <v>0.8053341029432373</v>
      </c>
      <c r="L175" s="39" t="inlineStr">
        <is>
          <t>Corregible</t>
        </is>
      </c>
      <c r="M175" s="29" t="n">
        <v>12.62746860223288</v>
      </c>
      <c r="N175" s="35" t="n">
        <v>160.6584145468247</v>
      </c>
      <c r="O175" s="36" t="n">
        <v>2357.54586652273</v>
      </c>
      <c r="P175" s="29" t="n">
        <v>4.261430646609856</v>
      </c>
      <c r="Q175" s="16" t="inlineStr">
        <is>
          <t>no</t>
        </is>
      </c>
      <c r="R175" s="16" t="inlineStr">
        <is>
          <t>O2</t>
        </is>
      </c>
    </row>
    <row r="176">
      <c r="A176" s="16" t="inlineStr">
        <is>
          <t>KF-M04-0165</t>
        </is>
      </c>
      <c r="B176" s="35" t="n">
        <v>474.5368232349216</v>
      </c>
      <c r="C176" s="35" t="n">
        <v>287.7492828112809</v>
      </c>
      <c r="D176" s="36" t="n">
        <v>2925.327036548436</v>
      </c>
      <c r="E176" s="35" t="n">
        <v>697.8352260011454</v>
      </c>
      <c r="F176" s="37" t="n">
        <v>0.5897306938118567</v>
      </c>
      <c r="G176" s="37" t="n">
        <v>0.9051854209503508</v>
      </c>
      <c r="H176" s="37" t="n">
        <v>0.7203637749252776</v>
      </c>
      <c r="I176" s="37" t="n">
        <v>0.9395747271973928</v>
      </c>
      <c r="J176" s="37" t="n">
        <v>0.7665436493724476</v>
      </c>
      <c r="K176" s="37" t="n">
        <v>0.8922247421535066</v>
      </c>
      <c r="L176" s="39" t="inlineStr">
        <is>
          <t>Corregible</t>
        </is>
      </c>
      <c r="M176" s="29" t="n">
        <v>11.1034235018923</v>
      </c>
      <c r="N176" s="35" t="n">
        <v>214.9101926696248</v>
      </c>
      <c r="O176" s="36" t="n">
        <v>2227.491810547291</v>
      </c>
      <c r="P176" s="29" t="n">
        <v>4.192002535199669</v>
      </c>
      <c r="Q176" s="16" t="inlineStr">
        <is>
          <t>sí</t>
        </is>
      </c>
      <c r="R176" s="16" t="inlineStr">
        <is>
          <t>O2</t>
        </is>
      </c>
    </row>
    <row r="177">
      <c r="A177" s="16" t="inlineStr">
        <is>
          <t>KF-M04-0166</t>
        </is>
      </c>
      <c r="B177" s="35" t="n">
        <v>390.0642545447775</v>
      </c>
      <c r="C177" s="35" t="n">
        <v>295.5861681319898</v>
      </c>
      <c r="D177" s="36" t="n">
        <v>4652.959294573954</v>
      </c>
      <c r="E177" s="35" t="n">
        <v>600.6721290042125</v>
      </c>
      <c r="F177" s="37" t="n">
        <v>0.5632693189790773</v>
      </c>
      <c r="G177" s="37" t="n">
        <v>0.8375783675799203</v>
      </c>
      <c r="H177" s="37" t="n">
        <v>0.7442770939534777</v>
      </c>
      <c r="I177" s="37" t="n">
        <v>0.7516901324230223</v>
      </c>
      <c r="J177" s="37" t="n">
        <v>0.6872329900421188</v>
      </c>
      <c r="K177" s="37" t="n">
        <v>0.7939755511586523</v>
      </c>
      <c r="L177" s="38" t="inlineStr">
        <is>
          <t>Falso convergido</t>
        </is>
      </c>
      <c r="M177" s="29" t="inlineStr">
        <is>
          <t>—</t>
        </is>
      </c>
      <c r="N177" s="35" t="inlineStr">
        <is>
          <t>—</t>
        </is>
      </c>
      <c r="O177" s="36" t="n">
        <v>4052.287165569742</v>
      </c>
      <c r="P177" s="29" t="n">
        <v>7.746254686874814</v>
      </c>
      <c r="Q177" s="16" t="inlineStr">
        <is>
          <t>no</t>
        </is>
      </c>
      <c r="R177" s="16" t="inlineStr">
        <is>
          <t>N2,S6,O3,O5,C1,C3,C3</t>
        </is>
      </c>
    </row>
    <row r="178">
      <c r="A178" s="16" t="inlineStr">
        <is>
          <t>KF-M04-0167</t>
        </is>
      </c>
      <c r="B178" s="35" t="n">
        <v>416.9099977218495</v>
      </c>
      <c r="C178" s="35" t="n">
        <v>287.1978256441858</v>
      </c>
      <c r="D178" s="36" t="n">
        <v>3114.297461986203</v>
      </c>
      <c r="E178" s="35" t="n">
        <v>444.4648291091686</v>
      </c>
      <c r="F178" s="37" t="n">
        <v>0.70041444070059</v>
      </c>
      <c r="G178" s="37" t="n">
        <v>0.8313741998989156</v>
      </c>
      <c r="H178" s="37" t="n">
        <v>0.7682093339356986</v>
      </c>
      <c r="I178" s="37" t="n">
        <v>0.8945168332511328</v>
      </c>
      <c r="J178" s="37" t="n">
        <v>0.6628282029553981</v>
      </c>
      <c r="K178" s="37" t="n">
        <v>0.7139441360758617</v>
      </c>
      <c r="L178" s="39" t="inlineStr">
        <is>
          <t>Corregible</t>
        </is>
      </c>
      <c r="M178" s="29" t="n">
        <v>11.85012206684411</v>
      </c>
      <c r="N178" s="35" t="n">
        <v>92.72344985355974</v>
      </c>
      <c r="O178" s="36" t="n">
        <v>2669.832632877034</v>
      </c>
      <c r="P178" s="29" t="n">
        <v>7.006847916916447</v>
      </c>
      <c r="Q178" s="16" t="inlineStr">
        <is>
          <t>no</t>
        </is>
      </c>
      <c r="R178" s="16" t="inlineStr">
        <is>
          <t>O2</t>
        </is>
      </c>
    </row>
    <row r="179">
      <c r="A179" s="16" t="inlineStr">
        <is>
          <t>KF-M04-0168</t>
        </is>
      </c>
      <c r="B179" s="35" t="n">
        <v>472.5617144622068</v>
      </c>
      <c r="C179" s="35" t="n">
        <v>292.1026406562318</v>
      </c>
      <c r="D179" s="36" t="n">
        <v>4426.957176458453</v>
      </c>
      <c r="E179" s="35" t="n">
        <v>555.6196173612551</v>
      </c>
      <c r="F179" s="37" t="n">
        <v>0.597515046178122</v>
      </c>
      <c r="G179" s="37" t="n">
        <v>0.7984816979160112</v>
      </c>
      <c r="H179" s="37" t="n">
        <v>0.8520223793409154</v>
      </c>
      <c r="I179" s="37" t="n">
        <v>0.7857708201054071</v>
      </c>
      <c r="J179" s="37" t="n">
        <v>0.8830114905720745</v>
      </c>
      <c r="K179" s="37" t="n">
        <v>0.765924369097183</v>
      </c>
      <c r="L179" s="39" t="inlineStr">
        <is>
          <t>Corregible</t>
        </is>
      </c>
      <c r="M179" s="29" t="n">
        <v>13.90316712605064</v>
      </c>
      <c r="N179" s="35" t="n">
        <v>163.2406868266469</v>
      </c>
      <c r="O179" s="36" t="n">
        <v>3871.337559097197</v>
      </c>
      <c r="P179" s="29" t="n">
        <v>7.967604163227582</v>
      </c>
      <c r="Q179" s="16" t="inlineStr">
        <is>
          <t>sí</t>
        </is>
      </c>
      <c r="R179" s="16" t="inlineStr">
        <is>
          <t>O2</t>
        </is>
      </c>
    </row>
    <row r="180">
      <c r="A180" s="16" t="inlineStr">
        <is>
          <t>KF-M04-0169</t>
        </is>
      </c>
      <c r="B180" s="35" t="n">
        <v>476.9777087706128</v>
      </c>
      <c r="C180" s="35" t="n">
        <v>283.5950555683702</v>
      </c>
      <c r="D180" s="36" t="n">
        <v>2958.827926159463</v>
      </c>
      <c r="E180" s="35" t="n">
        <v>1445.711244617638</v>
      </c>
      <c r="F180" s="37" t="n">
        <v>0.6574318667836869</v>
      </c>
      <c r="G180" s="37" t="n">
        <v>0.8330945479074949</v>
      </c>
      <c r="H180" s="37" t="n">
        <v>0.7155526111159122</v>
      </c>
      <c r="I180" s="37" t="n">
        <v>0.8546464226230728</v>
      </c>
      <c r="J180" s="37" t="n">
        <v>0.79321783229988</v>
      </c>
      <c r="K180" s="37" t="n">
        <v>0.7425287042611662</v>
      </c>
      <c r="L180" s="39" t="inlineStr">
        <is>
          <t>Corregible</t>
        </is>
      </c>
      <c r="M180" s="29" t="n">
        <v>5.23549505823563</v>
      </c>
      <c r="N180" s="35" t="n">
        <v>76.08627826570219</v>
      </c>
      <c r="O180" s="36" t="n">
        <v>1513.116681541826</v>
      </c>
      <c r="P180" s="29" t="n">
        <v>2.046624412153628</v>
      </c>
      <c r="Q180" s="16" t="inlineStr">
        <is>
          <t>sí</t>
        </is>
      </c>
      <c r="R180" s="16" t="inlineStr">
        <is>
          <t>O2</t>
        </is>
      </c>
    </row>
    <row r="181">
      <c r="A181" s="16" t="inlineStr">
        <is>
          <t>KF-M04-0170</t>
        </is>
      </c>
      <c r="B181" s="35" t="n">
        <v>422.034392588755</v>
      </c>
      <c r="C181" s="35" t="n">
        <v>283.1825819197987</v>
      </c>
      <c r="D181" s="36" t="n">
        <v>2053.684601305301</v>
      </c>
      <c r="E181" s="35" t="n">
        <v>588.5952395230663</v>
      </c>
      <c r="F181" s="37" t="n">
        <v>0.6090664311879771</v>
      </c>
      <c r="G181" s="37" t="n">
        <v>0.8178177141414885</v>
      </c>
      <c r="H181" s="37" t="n">
        <v>0.6651184021074966</v>
      </c>
      <c r="I181" s="37" t="n">
        <v>0.7601554744934806</v>
      </c>
      <c r="J181" s="37" t="n">
        <v>0.6580425787268013</v>
      </c>
      <c r="K181" s="37" t="n">
        <v>0.8395741655304191</v>
      </c>
      <c r="L181" s="39" t="inlineStr">
        <is>
          <t>Corregible</t>
        </is>
      </c>
      <c r="M181" s="29" t="n">
        <v>8.902539381665241</v>
      </c>
      <c r="N181" s="35" t="n">
        <v>83.27833506746335</v>
      </c>
      <c r="O181" s="36" t="n">
        <v>1465.089361782235</v>
      </c>
      <c r="P181" s="29" t="n">
        <v>3.489128799222679</v>
      </c>
      <c r="Q181" s="16" t="inlineStr">
        <is>
          <t>no</t>
        </is>
      </c>
      <c r="R181" s="16" t="inlineStr">
        <is>
          <t>O2</t>
        </is>
      </c>
    </row>
    <row r="182">
      <c r="A182" s="16" t="inlineStr">
        <is>
          <t>KF-M04-0171</t>
        </is>
      </c>
      <c r="B182" s="35" t="n">
        <v>490.1890320073868</v>
      </c>
      <c r="C182" s="35" t="n">
        <v>297.8875144199107</v>
      </c>
      <c r="D182" s="36" t="n">
        <v>4197.391509925012</v>
      </c>
      <c r="E182" s="35" t="n">
        <v>1213.074960151908</v>
      </c>
      <c r="F182" s="37" t="n">
        <v>0.6838381999085946</v>
      </c>
      <c r="G182" s="37" t="n">
        <v>0.873150075893265</v>
      </c>
      <c r="H182" s="37" t="n">
        <v>0.7489496553293959</v>
      </c>
      <c r="I182" s="37" t="n">
        <v>0.6240176705178873</v>
      </c>
      <c r="J182" s="37" t="n">
        <v>0.8033030673974774</v>
      </c>
      <c r="K182" s="37" t="n">
        <v>0.895535765330591</v>
      </c>
      <c r="L182" s="39" t="inlineStr">
        <is>
          <t>Corregible</t>
        </is>
      </c>
      <c r="M182" s="29" t="n">
        <v>10.32250210025854</v>
      </c>
      <c r="N182" s="35" t="n">
        <v>119.4466545036223</v>
      </c>
      <c r="O182" s="36" t="n">
        <v>2984.316549773104</v>
      </c>
      <c r="P182" s="29" t="n">
        <v>3.46012542324622</v>
      </c>
      <c r="Q182" s="16" t="inlineStr">
        <is>
          <t>sí</t>
        </is>
      </c>
      <c r="R182" s="16" t="inlineStr">
        <is>
          <t>O2</t>
        </is>
      </c>
    </row>
    <row r="183">
      <c r="A183" s="16" t="inlineStr">
        <is>
          <t>KF-M04-0172</t>
        </is>
      </c>
      <c r="B183" s="35" t="n">
        <v>411.3219381199824</v>
      </c>
      <c r="C183" s="35" t="n">
        <v>293.0196543643164</v>
      </c>
      <c r="D183" s="36" t="n">
        <v>3778.714399642958</v>
      </c>
      <c r="E183" s="35" t="n">
        <v>1057.105358690659</v>
      </c>
      <c r="F183" s="37" t="n">
        <v>0.5098980415152725</v>
      </c>
      <c r="G183" s="37" t="n">
        <v>0.9055185484611484</v>
      </c>
      <c r="H183" s="37" t="n">
        <v>0.7819065196730791</v>
      </c>
      <c r="I183" s="37" t="n">
        <v>0.9091774320323348</v>
      </c>
      <c r="J183" s="37" t="n">
        <v>0.7367974919520223</v>
      </c>
      <c r="K183" s="37" t="n">
        <v>0.7954129626388953</v>
      </c>
      <c r="L183" s="42" t="inlineStr">
        <is>
          <t>KALINA</t>
        </is>
      </c>
      <c r="M183" s="29" t="n">
        <v>6.04897885076735</v>
      </c>
      <c r="N183" s="35" t="n">
        <v>19.369877540544</v>
      </c>
      <c r="O183" s="36" t="n">
        <v>2721.609040952299</v>
      </c>
      <c r="P183" s="29" t="n">
        <v>3.574586363201593</v>
      </c>
      <c r="Q183" s="16" t="inlineStr">
        <is>
          <t>no</t>
        </is>
      </c>
      <c r="R183" s="16" t="n"/>
    </row>
    <row r="184">
      <c r="A184" s="16" t="inlineStr">
        <is>
          <t>KF-M04-0173</t>
        </is>
      </c>
      <c r="B184" s="35" t="n">
        <v>427.253235580864</v>
      </c>
      <c r="C184" s="35" t="n">
        <v>293.4317247573715</v>
      </c>
      <c r="D184" s="36" t="n">
        <v>4493.226606072599</v>
      </c>
      <c r="E184" s="35" t="n">
        <v>983.0172018205408</v>
      </c>
      <c r="F184" s="37" t="n">
        <v>0.5402176757890992</v>
      </c>
      <c r="G184" s="37" t="n">
        <v>0.7996935963025951</v>
      </c>
      <c r="H184" s="37" t="n">
        <v>0.7902268537337118</v>
      </c>
      <c r="I184" s="37" t="n">
        <v>0.8045088551099646</v>
      </c>
      <c r="J184" s="37" t="n">
        <v>0.919654788288072</v>
      </c>
      <c r="K184" s="37" t="n">
        <v>0.7930446947117057</v>
      </c>
      <c r="L184" s="42" t="inlineStr">
        <is>
          <t>KALINA</t>
        </is>
      </c>
      <c r="M184" s="29" t="n">
        <v>9.29337499854177</v>
      </c>
      <c r="N184" s="35" t="n">
        <v>34.45084475310347</v>
      </c>
      <c r="O184" s="36" t="n">
        <v>3510.209404252058</v>
      </c>
      <c r="P184" s="29" t="n">
        <v>4.570852471097327</v>
      </c>
      <c r="Q184" s="16" t="inlineStr">
        <is>
          <t>sí</t>
        </is>
      </c>
      <c r="R184" s="16" t="n"/>
    </row>
    <row r="185">
      <c r="A185" s="16" t="inlineStr">
        <is>
          <t>KF-M04-0174</t>
        </is>
      </c>
      <c r="B185" s="35" t="n">
        <v>464.4990038760914</v>
      </c>
      <c r="C185" s="35" t="n">
        <v>293.2916730334052</v>
      </c>
      <c r="D185" s="36" t="n">
        <v>4605.621154068506</v>
      </c>
      <c r="E185" s="35" t="n">
        <v>515.7349757405634</v>
      </c>
      <c r="F185" s="37" t="n">
        <v>0.7274956709884961</v>
      </c>
      <c r="G185" s="37" t="n">
        <v>0.7946672817351057</v>
      </c>
      <c r="H185" s="37" t="n">
        <v>0.6503998185550797</v>
      </c>
      <c r="I185" s="37" t="n">
        <v>0.8932438757579202</v>
      </c>
      <c r="J185" s="37" t="n">
        <v>0.7719485254916227</v>
      </c>
      <c r="K185" s="37" t="n">
        <v>0.7301599822352278</v>
      </c>
      <c r="L185" s="39" t="inlineStr">
        <is>
          <t>Corregible</t>
        </is>
      </c>
      <c r="M185" s="29" t="n">
        <v>8.230187387255249</v>
      </c>
      <c r="N185" s="35" t="n">
        <v>86.51537323013326</v>
      </c>
      <c r="O185" s="36" t="n">
        <v>4089.886178327943</v>
      </c>
      <c r="P185" s="29" t="n">
        <v>8.930209062232244</v>
      </c>
      <c r="Q185" s="16" t="inlineStr">
        <is>
          <t>sí</t>
        </is>
      </c>
      <c r="R185" s="16" t="inlineStr">
        <is>
          <t>O1,O2</t>
        </is>
      </c>
    </row>
    <row r="186">
      <c r="A186" s="16" t="inlineStr">
        <is>
          <t>KF-M04-0175</t>
        </is>
      </c>
      <c r="B186" s="35" t="n">
        <v>409.7590855798677</v>
      </c>
      <c r="C186" s="35" t="n">
        <v>284.3153560216888</v>
      </c>
      <c r="D186" s="36" t="n">
        <v>3478.21712671385</v>
      </c>
      <c r="E186" s="35" t="n">
        <v>935.6033463872698</v>
      </c>
      <c r="F186" s="37" t="n">
        <v>0.51844171619869</v>
      </c>
      <c r="G186" s="37" t="n">
        <v>0.7602021547411252</v>
      </c>
      <c r="H186" s="37" t="n">
        <v>0.8577970945852142</v>
      </c>
      <c r="I186" s="37" t="n">
        <v>0.8177904031908161</v>
      </c>
      <c r="J186" s="37" t="n">
        <v>0.8785675729687936</v>
      </c>
      <c r="K186" s="37" t="n">
        <v>0.8938899452924145</v>
      </c>
      <c r="L186" s="42" t="inlineStr">
        <is>
          <t>KALINA</t>
        </is>
      </c>
      <c r="M186" s="29" t="n">
        <v>6.44680488961395</v>
      </c>
      <c r="N186" s="35" t="n">
        <v>20.29045877081666</v>
      </c>
      <c r="O186" s="36" t="n">
        <v>2542.61378032658</v>
      </c>
      <c r="P186" s="29" t="n">
        <v>3.717619373791902</v>
      </c>
      <c r="Q186" s="16" t="inlineStr">
        <is>
          <t>no</t>
        </is>
      </c>
      <c r="R186" s="16" t="n"/>
    </row>
    <row r="187">
      <c r="A187" s="16" t="inlineStr">
        <is>
          <t>KF-M04-0176</t>
        </is>
      </c>
      <c r="B187" s="35" t="n">
        <v>445.2856350984906</v>
      </c>
      <c r="C187" s="35" t="n">
        <v>292.4875934975382</v>
      </c>
      <c r="D187" s="36" t="n">
        <v>2621.483802207721</v>
      </c>
      <c r="E187" s="35" t="n">
        <v>327.3914422925041</v>
      </c>
      <c r="F187" s="37" t="n">
        <v>0.5282785426411908</v>
      </c>
      <c r="G187" s="37" t="n">
        <v>0.8073682132172524</v>
      </c>
      <c r="H187" s="37" t="n">
        <v>0.7402185853153785</v>
      </c>
      <c r="I187" s="37" t="n">
        <v>0.8396016201038187</v>
      </c>
      <c r="J187" s="37" t="n">
        <v>0.6279744185960984</v>
      </c>
      <c r="K187" s="37" t="n">
        <v>0.9179760074220096</v>
      </c>
      <c r="L187" s="39" t="inlineStr">
        <is>
          <t>Corregible</t>
        </is>
      </c>
      <c r="M187" s="29" t="n">
        <v>12.74787300329569</v>
      </c>
      <c r="N187" s="35" t="n">
        <v>148.1379844247164</v>
      </c>
      <c r="O187" s="36" t="n">
        <v>2294.092359915217</v>
      </c>
      <c r="P187" s="29" t="n">
        <v>8.007184866688076</v>
      </c>
      <c r="Q187" s="16" t="inlineStr">
        <is>
          <t>sí</t>
        </is>
      </c>
      <c r="R187" s="16" t="inlineStr">
        <is>
          <t>O2</t>
        </is>
      </c>
    </row>
    <row r="188">
      <c r="A188" s="16" t="inlineStr">
        <is>
          <t>KF-M04-0177</t>
        </is>
      </c>
      <c r="B188" s="35" t="n">
        <v>486.2682922243853</v>
      </c>
      <c r="C188" s="35" t="n">
        <v>296.2939166512251</v>
      </c>
      <c r="D188" s="36" t="n">
        <v>2742.399639714884</v>
      </c>
      <c r="E188" s="35" t="n">
        <v>674.5008913892616</v>
      </c>
      <c r="F188" s="37" t="n">
        <v>0.5329339109876085</v>
      </c>
      <c r="G188" s="37" t="n">
        <v>0.8386417002162674</v>
      </c>
      <c r="H188" s="37" t="n">
        <v>0.8087518984100098</v>
      </c>
      <c r="I188" s="37" t="n">
        <v>0.898423097544687</v>
      </c>
      <c r="J188" s="37" t="n">
        <v>0.8589154855067982</v>
      </c>
      <c r="K188" s="37" t="n">
        <v>0.7148565466312973</v>
      </c>
      <c r="L188" s="39" t="inlineStr">
        <is>
          <t>Corregible</t>
        </is>
      </c>
      <c r="M188" s="29" t="n">
        <v>9.02622520293739</v>
      </c>
      <c r="N188" s="35" t="n">
        <v>139.8430324239727</v>
      </c>
      <c r="O188" s="36" t="n">
        <v>2067.898748325622</v>
      </c>
      <c r="P188" s="29" t="n">
        <v>4.065820630816952</v>
      </c>
      <c r="Q188" s="16" t="inlineStr">
        <is>
          <t>sí</t>
        </is>
      </c>
      <c r="R188" s="16" t="inlineStr">
        <is>
          <t>O2</t>
        </is>
      </c>
    </row>
    <row r="189">
      <c r="A189" s="16" t="inlineStr">
        <is>
          <t>KF-M04-0178</t>
        </is>
      </c>
      <c r="B189" s="35" t="n">
        <v>414.4186629017753</v>
      </c>
      <c r="C189" s="35" t="n">
        <v>301.1236962388051</v>
      </c>
      <c r="D189" s="36" t="n">
        <v>4910.206466736995</v>
      </c>
      <c r="E189" s="35" t="n">
        <v>1139.94078496408</v>
      </c>
      <c r="F189" s="37" t="n">
        <v>0.5698815693621134</v>
      </c>
      <c r="G189" s="37" t="n">
        <v>0.7583753996763858</v>
      </c>
      <c r="H189" s="37" t="n">
        <v>0.8147164787968277</v>
      </c>
      <c r="I189" s="37" t="n">
        <v>0.7047599656982818</v>
      </c>
      <c r="J189" s="37" t="n">
        <v>0.7247400725054997</v>
      </c>
      <c r="K189" s="37" t="n">
        <v>0.8080848801265135</v>
      </c>
      <c r="L189" s="42" t="inlineStr">
        <is>
          <t>KALINA</t>
        </is>
      </c>
      <c r="M189" s="29" t="n">
        <v>3.36197910312355</v>
      </c>
      <c r="N189" s="35" t="n">
        <v>8.210629231408088</v>
      </c>
      <c r="O189" s="36" t="n">
        <v>3770.265681772915</v>
      </c>
      <c r="P189" s="29" t="n">
        <v>4.307422395534095</v>
      </c>
      <c r="Q189" s="16" t="inlineStr">
        <is>
          <t>no</t>
        </is>
      </c>
      <c r="R189" s="16" t="n"/>
    </row>
    <row r="190">
      <c r="A190" s="16" t="inlineStr">
        <is>
          <t>KF-M04-0179</t>
        </is>
      </c>
      <c r="B190" s="35" t="n">
        <v>492.1104912407744</v>
      </c>
      <c r="C190" s="35" t="n">
        <v>302.7229885074606</v>
      </c>
      <c r="D190" s="36" t="n">
        <v>3974.686253531494</v>
      </c>
      <c r="E190" s="35" t="n">
        <v>764.2551676454963</v>
      </c>
      <c r="F190" s="37" t="n">
        <v>0.8144536304854686</v>
      </c>
      <c r="G190" s="37" t="n">
        <v>0.8561282865390647</v>
      </c>
      <c r="H190" s="37" t="n">
        <v>0.6833176560566059</v>
      </c>
      <c r="I190" s="37" t="n">
        <v>0.7674703149777848</v>
      </c>
      <c r="J190" s="37" t="n">
        <v>0.6302968978941635</v>
      </c>
      <c r="K190" s="37" t="n">
        <v>0.8321824999167774</v>
      </c>
      <c r="L190" s="39" t="inlineStr">
        <is>
          <t>Corregible</t>
        </is>
      </c>
      <c r="M190" s="29" t="n">
        <v>7.280909702497371</v>
      </c>
      <c r="N190" s="35" t="n">
        <v>63.10817323298039</v>
      </c>
      <c r="O190" s="36" t="n">
        <v>3210.431085885998</v>
      </c>
      <c r="P190" s="29" t="n">
        <v>5.200731930641224</v>
      </c>
      <c r="Q190" s="16" t="inlineStr">
        <is>
          <t>sí</t>
        </is>
      </c>
      <c r="R190" s="16" t="inlineStr">
        <is>
          <t>O2</t>
        </is>
      </c>
    </row>
    <row r="191">
      <c r="A191" s="16" t="inlineStr">
        <is>
          <t>KF-M04-0180</t>
        </is>
      </c>
      <c r="B191" s="35" t="n">
        <v>387.8451151959841</v>
      </c>
      <c r="C191" s="35" t="n">
        <v>296.8091444324504</v>
      </c>
      <c r="D191" s="36" t="n">
        <v>3648.122848450414</v>
      </c>
      <c r="E191" s="35" t="n">
        <v>1303.645408011819</v>
      </c>
      <c r="F191" s="37" t="n">
        <v>0.7050366093299332</v>
      </c>
      <c r="G191" s="37" t="n">
        <v>0.761731211877441</v>
      </c>
      <c r="H191" s="37" t="n">
        <v>0.7760612436887373</v>
      </c>
      <c r="I191" s="37" t="n">
        <v>0.8668959789636455</v>
      </c>
      <c r="J191" s="37" t="n">
        <v>0.6950233215203971</v>
      </c>
      <c r="K191" s="37" t="n">
        <v>0.922433313511882</v>
      </c>
      <c r="L191" s="42" t="inlineStr">
        <is>
          <t>KALINA</t>
        </is>
      </c>
      <c r="M191" s="29" t="n">
        <v>6.17708957947591</v>
      </c>
      <c r="N191" s="35" t="n">
        <v>31.56796278691618</v>
      </c>
      <c r="O191" s="36" t="n">
        <v>2344.477440438595</v>
      </c>
      <c r="P191" s="29" t="n">
        <v>2.798401180282714</v>
      </c>
      <c r="Q191" s="16" t="inlineStr">
        <is>
          <t>no</t>
        </is>
      </c>
      <c r="R191" s="16" t="n"/>
    </row>
    <row r="192">
      <c r="A192" s="16" t="inlineStr">
        <is>
          <t>KF-M04-0181</t>
        </is>
      </c>
      <c r="B192" s="35" t="n">
        <v>385.7480188873339</v>
      </c>
      <c r="C192" s="35" t="n">
        <v>281.1800409197113</v>
      </c>
      <c r="D192" s="36" t="n">
        <v>4520.157196185828</v>
      </c>
      <c r="E192" s="35" t="n">
        <v>433.3889852442429</v>
      </c>
      <c r="F192" s="37" t="n">
        <v>0.7949450613121861</v>
      </c>
      <c r="G192" s="37" t="n">
        <v>0.8411845233678709</v>
      </c>
      <c r="H192" s="37" t="n">
        <v>0.7641959682250747</v>
      </c>
      <c r="I192" s="37" t="n">
        <v>0.7655242179079951</v>
      </c>
      <c r="J192" s="37" t="n">
        <v>0.7032645861634753</v>
      </c>
      <c r="K192" s="37" t="n">
        <v>0.9164719353440888</v>
      </c>
      <c r="L192" s="39" t="inlineStr">
        <is>
          <t>Corregible</t>
        </is>
      </c>
      <c r="M192" s="29" t="n">
        <v>12.87062522681541</v>
      </c>
      <c r="N192" s="35" t="n">
        <v>57.72673439056236</v>
      </c>
      <c r="O192" s="36" t="n">
        <v>4086.768210941585</v>
      </c>
      <c r="P192" s="29" t="n">
        <v>10.42979251915788</v>
      </c>
      <c r="Q192" s="16" t="inlineStr">
        <is>
          <t>no</t>
        </is>
      </c>
      <c r="R192" s="16" t="inlineStr">
        <is>
          <t>O1,O2</t>
        </is>
      </c>
    </row>
    <row r="193">
      <c r="A193" s="16" t="inlineStr">
        <is>
          <t>KF-M04-0182</t>
        </is>
      </c>
      <c r="B193" s="35" t="n">
        <v>414.9726031343597</v>
      </c>
      <c r="C193" s="35" t="n">
        <v>286.4300842997052</v>
      </c>
      <c r="D193" s="36" t="n">
        <v>4264.259314280108</v>
      </c>
      <c r="E193" s="35" t="n">
        <v>1277.817032372805</v>
      </c>
      <c r="F193" s="37" t="n">
        <v>0.6973321510255819</v>
      </c>
      <c r="G193" s="37" t="n">
        <v>0.7727129904758023</v>
      </c>
      <c r="H193" s="37" t="n">
        <v>0.8609198243725213</v>
      </c>
      <c r="I193" s="37" t="n">
        <v>0.6966193611046534</v>
      </c>
      <c r="J193" s="37" t="n">
        <v>0.7103158765035348</v>
      </c>
      <c r="K193" s="37" t="n">
        <v>0.7999474404455715</v>
      </c>
      <c r="L193" s="42" t="inlineStr">
        <is>
          <t>KALINA</t>
        </is>
      </c>
      <c r="M193" s="29" t="n">
        <v>7.82863390990549</v>
      </c>
      <c r="N193" s="35" t="n">
        <v>44.56680621148011</v>
      </c>
      <c r="O193" s="36" t="n">
        <v>2986.442281907303</v>
      </c>
      <c r="P193" s="29" t="n">
        <v>3.337143899515658</v>
      </c>
      <c r="Q193" s="16" t="inlineStr">
        <is>
          <t>no</t>
        </is>
      </c>
      <c r="R193" s="16" t="n"/>
    </row>
    <row r="194">
      <c r="A194" s="16" t="inlineStr">
        <is>
          <t>KF-M04-0183</t>
        </is>
      </c>
      <c r="B194" s="35" t="n">
        <v>462.035863692008</v>
      </c>
      <c r="C194" s="35" t="n">
        <v>288.4901480350601</v>
      </c>
      <c r="D194" s="36" t="n">
        <v>4065.738705868403</v>
      </c>
      <c r="E194" s="35" t="n">
        <v>531.9410681367464</v>
      </c>
      <c r="F194" s="37" t="n">
        <v>0.5641764363764679</v>
      </c>
      <c r="G194" s="37" t="n">
        <v>0.8439427943173331</v>
      </c>
      <c r="H194" s="37" t="n">
        <v>0.724928302101801</v>
      </c>
      <c r="I194" s="37" t="n">
        <v>0.7284139604638391</v>
      </c>
      <c r="J194" s="37" t="n">
        <v>0.7357696816815567</v>
      </c>
      <c r="K194" s="37" t="n">
        <v>0.8266604829802835</v>
      </c>
      <c r="L194" s="39" t="inlineStr">
        <is>
          <t>Corregible</t>
        </is>
      </c>
      <c r="M194" s="29" t="n">
        <v>13.84156215659259</v>
      </c>
      <c r="N194" s="35" t="n">
        <v>133.2990910071621</v>
      </c>
      <c r="O194" s="36" t="n">
        <v>3533.797637731657</v>
      </c>
      <c r="P194" s="29" t="n">
        <v>7.643212659082042</v>
      </c>
      <c r="Q194" s="16" t="inlineStr">
        <is>
          <t>sí</t>
        </is>
      </c>
      <c r="R194" s="16" t="inlineStr">
        <is>
          <t>O2</t>
        </is>
      </c>
    </row>
    <row r="195">
      <c r="A195" s="16" t="inlineStr">
        <is>
          <t>KF-M04-0184</t>
        </is>
      </c>
      <c r="B195" s="35" t="n">
        <v>382.1257924678086</v>
      </c>
      <c r="C195" s="35" t="n">
        <v>294.7871621116896</v>
      </c>
      <c r="D195" s="36" t="n">
        <v>4513.586597618479</v>
      </c>
      <c r="E195" s="35" t="n">
        <v>1176.425328460281</v>
      </c>
      <c r="F195" s="37" t="n">
        <v>0.51609024638551</v>
      </c>
      <c r="G195" s="37" t="n">
        <v>0.9015648594509682</v>
      </c>
      <c r="H195" s="37" t="n">
        <v>0.8734272378811927</v>
      </c>
      <c r="I195" s="37" t="n">
        <v>0.6162402219973322</v>
      </c>
      <c r="J195" s="37" t="n">
        <v>0.7412701681669764</v>
      </c>
      <c r="K195" s="37" t="n">
        <v>0.8684488168572382</v>
      </c>
      <c r="L195" s="32" t="inlineStr">
        <is>
          <t>No convergió</t>
        </is>
      </c>
      <c r="M195" s="29" t="inlineStr">
        <is>
          <t>—</t>
        </is>
      </c>
      <c r="N195" s="35" t="inlineStr">
        <is>
          <t>—</t>
        </is>
      </c>
      <c r="O195" s="36" t="n">
        <v>3337.161269158198</v>
      </c>
      <c r="P195" s="29" t="n">
        <v>3.836696208781829</v>
      </c>
      <c r="Q195" s="16" t="inlineStr">
        <is>
          <t>no</t>
        </is>
      </c>
      <c r="R195" s="16" t="n"/>
    </row>
    <row r="196">
      <c r="A196" s="16" t="inlineStr">
        <is>
          <t>KF-M04-0185</t>
        </is>
      </c>
      <c r="B196" s="35" t="n">
        <v>442.2508195109115</v>
      </c>
      <c r="C196" s="35" t="n">
        <v>300.1523997676826</v>
      </c>
      <c r="D196" s="36" t="n">
        <v>4327.691300201725</v>
      </c>
      <c r="E196" s="35" t="n">
        <v>1448.885244025193</v>
      </c>
      <c r="F196" s="37" t="n">
        <v>0.6934108557164106</v>
      </c>
      <c r="G196" s="37" t="n">
        <v>0.8204888814986903</v>
      </c>
      <c r="H196" s="37" t="n">
        <v>0.7572225220363655</v>
      </c>
      <c r="I196" s="37" t="n">
        <v>0.9370164236607552</v>
      </c>
      <c r="J196" s="37" t="n">
        <v>0.6645087291318904</v>
      </c>
      <c r="K196" s="37" t="n">
        <v>0.707336654897156</v>
      </c>
      <c r="L196" s="39" t="inlineStr">
        <is>
          <t>Corregible</t>
        </is>
      </c>
      <c r="M196" s="29" t="n">
        <v>8.21305215535838</v>
      </c>
      <c r="N196" s="35" t="n">
        <v>77.7418165597737</v>
      </c>
      <c r="O196" s="36" t="n">
        <v>2878.806056176531</v>
      </c>
      <c r="P196" s="29" t="n">
        <v>2.986911018693814</v>
      </c>
      <c r="Q196" s="16" t="inlineStr">
        <is>
          <t>sí</t>
        </is>
      </c>
      <c r="R196" s="16" t="inlineStr">
        <is>
          <t>O2</t>
        </is>
      </c>
    </row>
    <row r="197">
      <c r="A197" s="16" t="inlineStr">
        <is>
          <t>KF-M04-0186</t>
        </is>
      </c>
      <c r="B197" s="35" t="n">
        <v>441.4573753534333</v>
      </c>
      <c r="C197" s="35" t="n">
        <v>298.7950151256282</v>
      </c>
      <c r="D197" s="36" t="n">
        <v>3373.492752583611</v>
      </c>
      <c r="E197" s="35" t="n">
        <v>726.3459600573497</v>
      </c>
      <c r="F197" s="37" t="n">
        <v>0.6820387960187194</v>
      </c>
      <c r="G197" s="37" t="n">
        <v>0.8642007501697919</v>
      </c>
      <c r="H197" s="37" t="n">
        <v>0.8018551242981984</v>
      </c>
      <c r="I197" s="37" t="n">
        <v>0.8307642660096316</v>
      </c>
      <c r="J197" s="37" t="n">
        <v>0.8710825124416329</v>
      </c>
      <c r="K197" s="37" t="n">
        <v>0.8385004615508842</v>
      </c>
      <c r="L197" s="39" t="inlineStr">
        <is>
          <t>Corregible</t>
        </is>
      </c>
      <c r="M197" s="29" t="n">
        <v>12.50149389679249</v>
      </c>
      <c r="N197" s="35" t="n">
        <v>134.6342818869808</v>
      </c>
      <c r="O197" s="36" t="n">
        <v>2647.146792526262</v>
      </c>
      <c r="P197" s="29" t="n">
        <v>4.644471007062878</v>
      </c>
      <c r="Q197" s="16" t="inlineStr">
        <is>
          <t>sí</t>
        </is>
      </c>
      <c r="R197" s="16" t="inlineStr">
        <is>
          <t>O2</t>
        </is>
      </c>
    </row>
    <row r="198">
      <c r="A198" s="16" t="inlineStr">
        <is>
          <t>KF-M04-0187</t>
        </is>
      </c>
      <c r="B198" s="35" t="n">
        <v>391.9456931236318</v>
      </c>
      <c r="C198" s="35" t="n">
        <v>281.951019464638</v>
      </c>
      <c r="D198" s="36" t="n">
        <v>2848.91656432159</v>
      </c>
      <c r="E198" s="35" t="n">
        <v>735.7263095117871</v>
      </c>
      <c r="F198" s="37" t="n">
        <v>0.6677266862260698</v>
      </c>
      <c r="G198" s="37" t="n">
        <v>0.8977909250710865</v>
      </c>
      <c r="H198" s="37" t="n">
        <v>0.7977700636587424</v>
      </c>
      <c r="I198" s="37" t="n">
        <v>0.6884424626539855</v>
      </c>
      <c r="J198" s="37" t="n">
        <v>0.7539079340818802</v>
      </c>
      <c r="K198" s="37" t="n">
        <v>0.7001363230117509</v>
      </c>
      <c r="L198" s="39" t="inlineStr">
        <is>
          <t>Corregible</t>
        </is>
      </c>
      <c r="M198" s="29" t="n">
        <v>10.47131427350261</v>
      </c>
      <c r="N198" s="35" t="n">
        <v>48.25866573300726</v>
      </c>
      <c r="O198" s="36" t="n">
        <v>2113.190254809802</v>
      </c>
      <c r="P198" s="29" t="n">
        <v>3.872250492458361</v>
      </c>
      <c r="Q198" s="16" t="inlineStr">
        <is>
          <t>no</t>
        </is>
      </c>
      <c r="R198" s="16" t="inlineStr">
        <is>
          <t>O2</t>
        </is>
      </c>
    </row>
    <row r="199">
      <c r="A199" s="16" t="inlineStr">
        <is>
          <t>KF-M04-0188</t>
        </is>
      </c>
      <c r="B199" s="35" t="n">
        <v>446.3695335873794</v>
      </c>
      <c r="C199" s="35" t="n">
        <v>289.0356015585697</v>
      </c>
      <c r="D199" s="36" t="n">
        <v>2529.134636417654</v>
      </c>
      <c r="E199" s="35" t="n">
        <v>1431.58017366385</v>
      </c>
      <c r="F199" s="37" t="n">
        <v>0.7634321480791146</v>
      </c>
      <c r="G199" s="37" t="n">
        <v>0.7965173416591305</v>
      </c>
      <c r="H199" s="37" t="n">
        <v>0.7916988867415728</v>
      </c>
      <c r="I199" s="37" t="n">
        <v>0.7092661293209724</v>
      </c>
      <c r="J199" s="37" t="n">
        <v>0.9336899763450262</v>
      </c>
      <c r="K199" s="37" t="n">
        <v>0.7203127243420099</v>
      </c>
      <c r="L199" s="39" t="inlineStr">
        <is>
          <t>Corregible</t>
        </is>
      </c>
      <c r="M199" s="29" t="n">
        <v>4.35796429616203</v>
      </c>
      <c r="N199" s="35" t="n">
        <v>46.35921283750758</v>
      </c>
      <c r="O199" s="36" t="n">
        <v>1097.554462753805</v>
      </c>
      <c r="P199" s="29" t="n">
        <v>1.766673416512069</v>
      </c>
      <c r="Q199" s="16" t="inlineStr">
        <is>
          <t>no</t>
        </is>
      </c>
      <c r="R199" s="16" t="inlineStr">
        <is>
          <t>O2</t>
        </is>
      </c>
    </row>
    <row r="200">
      <c r="A200" s="16" t="inlineStr">
        <is>
          <t>KF-M04-0189</t>
        </is>
      </c>
      <c r="B200" s="35" t="n">
        <v>404.3346696294941</v>
      </c>
      <c r="C200" s="35" t="n">
        <v>279.0805074384895</v>
      </c>
      <c r="D200" s="36" t="n">
        <v>2604.944636423121</v>
      </c>
      <c r="E200" s="35" t="n">
        <v>1241.446773162118</v>
      </c>
      <c r="F200" s="37" t="n">
        <v>0.5703551029323306</v>
      </c>
      <c r="G200" s="37" t="n">
        <v>0.8631473629796587</v>
      </c>
      <c r="H200" s="37" t="n">
        <v>0.867821179714149</v>
      </c>
      <c r="I200" s="37" t="n">
        <v>0.6310964490798764</v>
      </c>
      <c r="J200" s="37" t="n">
        <v>0.6922547844146371</v>
      </c>
      <c r="K200" s="37" t="n">
        <v>0.7078431013054423</v>
      </c>
      <c r="L200" s="42" t="inlineStr">
        <is>
          <t>KALINA</t>
        </is>
      </c>
      <c r="M200" s="29" t="n">
        <v>4.97053346851335</v>
      </c>
      <c r="N200" s="35" t="n">
        <v>21.33847299566249</v>
      </c>
      <c r="O200" s="36" t="n">
        <v>1363.497863261002</v>
      </c>
      <c r="P200" s="29" t="n">
        <v>2.098313590834028</v>
      </c>
      <c r="Q200" s="16" t="inlineStr">
        <is>
          <t>no</t>
        </is>
      </c>
      <c r="R200" s="16" t="n"/>
    </row>
    <row r="201">
      <c r="A201" s="16" t="inlineStr">
        <is>
          <t>KF-M04-0190</t>
        </is>
      </c>
      <c r="B201" s="35" t="n">
        <v>463.1111168557866</v>
      </c>
      <c r="C201" s="35" t="n">
        <v>294.9990426939667</v>
      </c>
      <c r="D201" s="36" t="n">
        <v>2139.236516373478</v>
      </c>
      <c r="E201" s="35" t="n">
        <v>1322.547882021173</v>
      </c>
      <c r="F201" s="37" t="n">
        <v>0.7016727081400007</v>
      </c>
      <c r="G201" s="37" t="n">
        <v>0.830176258546749</v>
      </c>
      <c r="H201" s="37" t="n">
        <v>0.8562499150210342</v>
      </c>
      <c r="I201" s="37" t="n">
        <v>0.7100945700793495</v>
      </c>
      <c r="J201" s="37" t="n">
        <v>0.6917177439083608</v>
      </c>
      <c r="K201" s="37" t="n">
        <v>0.9397669595502248</v>
      </c>
      <c r="L201" s="42" t="inlineStr">
        <is>
          <t>KALINA</t>
        </is>
      </c>
      <c r="M201" s="29" t="n">
        <v>3.89793730734696</v>
      </c>
      <c r="N201" s="35" t="n">
        <v>53.55297842723637</v>
      </c>
      <c r="O201" s="36" t="n">
        <v>816.6886343523049</v>
      </c>
      <c r="P201" s="29" t="n">
        <v>1.61751158158766</v>
      </c>
      <c r="Q201" s="16" t="inlineStr">
        <is>
          <t>no</t>
        </is>
      </c>
      <c r="R201" s="16" t="n"/>
    </row>
    <row r="202">
      <c r="A202" s="16" t="inlineStr">
        <is>
          <t>KF-M04-0191</t>
        </is>
      </c>
      <c r="B202" s="35" t="n">
        <v>388.6545899027584</v>
      </c>
      <c r="C202" s="35" t="n">
        <v>289.5001411149934</v>
      </c>
      <c r="D202" s="36" t="n">
        <v>2712.859710540737</v>
      </c>
      <c r="E202" s="35" t="n">
        <v>659.3942285039368</v>
      </c>
      <c r="F202" s="37" t="n">
        <v>0.6302214735072169</v>
      </c>
      <c r="G202" s="37" t="n">
        <v>0.8568925986086129</v>
      </c>
      <c r="H202" s="37" t="n">
        <v>0.8081227535770303</v>
      </c>
      <c r="I202" s="37" t="n">
        <v>0.6595985416274399</v>
      </c>
      <c r="J202" s="37" t="n">
        <v>0.6441263700076821</v>
      </c>
      <c r="K202" s="37" t="n">
        <v>0.7858029729818617</v>
      </c>
      <c r="L202" s="39" t="inlineStr">
        <is>
          <t>Corregible</t>
        </is>
      </c>
      <c r="M202" s="29" t="n">
        <v>8.783520252306209</v>
      </c>
      <c r="N202" s="35" t="n">
        <v>35.21416014393466</v>
      </c>
      <c r="O202" s="36" t="n">
        <v>2053.4654820368</v>
      </c>
      <c r="P202" s="29" t="n">
        <v>4.11416963217254</v>
      </c>
      <c r="Q202" s="16" t="inlineStr">
        <is>
          <t>no</t>
        </is>
      </c>
      <c r="R202" s="16" t="inlineStr">
        <is>
          <t>O2</t>
        </is>
      </c>
    </row>
    <row r="203">
      <c r="A203" s="16" t="inlineStr">
        <is>
          <t>KF-M04-0192</t>
        </is>
      </c>
      <c r="B203" s="35" t="n">
        <v>399.5831938805738</v>
      </c>
      <c r="C203" s="35" t="n">
        <v>293.3452629392416</v>
      </c>
      <c r="D203" s="36" t="n">
        <v>2724.514536180277</v>
      </c>
      <c r="E203" s="35" t="n">
        <v>314.7321596794044</v>
      </c>
      <c r="F203" s="37" t="n">
        <v>0.721758037510612</v>
      </c>
      <c r="G203" s="37" t="n">
        <v>0.7975646510996336</v>
      </c>
      <c r="H203" s="37" t="n">
        <v>0.8338938527925673</v>
      </c>
      <c r="I203" s="37" t="n">
        <v>0.6741001721603879</v>
      </c>
      <c r="J203" s="37" t="n">
        <v>0.6484140319759535</v>
      </c>
      <c r="K203" s="37" t="n">
        <v>0.806971520991676</v>
      </c>
      <c r="L203" s="40" t="inlineStr">
        <is>
          <t>Inviable</t>
        </is>
      </c>
      <c r="M203" s="29" t="n">
        <v>-10.23911052792601</v>
      </c>
      <c r="N203" s="35" t="n">
        <v>-25.23831506611208</v>
      </c>
      <c r="O203" s="36" t="n">
        <v>2409.782376500872</v>
      </c>
      <c r="P203" s="29" t="n">
        <v>8.656613099073029</v>
      </c>
      <c r="Q203" s="16" t="inlineStr">
        <is>
          <t>no</t>
        </is>
      </c>
      <c r="R203" s="16" t="inlineStr">
        <is>
          <t>O2,O3</t>
        </is>
      </c>
    </row>
    <row r="204">
      <c r="A204" s="16" t="inlineStr">
        <is>
          <t>KF-M04-0193</t>
        </is>
      </c>
      <c r="B204" s="35" t="n">
        <v>449.3482442244365</v>
      </c>
      <c r="C204" s="35" t="n">
        <v>278.2622606696762</v>
      </c>
      <c r="D204" s="36" t="n">
        <v>4178.30434766902</v>
      </c>
      <c r="E204" s="35" t="n">
        <v>1182.62103642894</v>
      </c>
      <c r="F204" s="37" t="n">
        <v>0.5317599555000451</v>
      </c>
      <c r="G204" s="37" t="n">
        <v>0.9131201914860224</v>
      </c>
      <c r="H204" s="37" t="n">
        <v>0.8231428191599452</v>
      </c>
      <c r="I204" s="37" t="n">
        <v>0.7057461989171193</v>
      </c>
      <c r="J204" s="37" t="n">
        <v>0.8776482504160039</v>
      </c>
      <c r="K204" s="37" t="n">
        <v>0.8151825645560585</v>
      </c>
      <c r="L204" s="42" t="inlineStr">
        <is>
          <t>KALINA</t>
        </is>
      </c>
      <c r="M204" s="29" t="n">
        <v>9.294609397876441</v>
      </c>
      <c r="N204" s="35" t="n">
        <v>58.92476791291413</v>
      </c>
      <c r="O204" s="36" t="n">
        <v>2995.68331124008</v>
      </c>
      <c r="P204" s="29" t="n">
        <v>3.533088131330631</v>
      </c>
      <c r="Q204" s="16" t="inlineStr">
        <is>
          <t>sí</t>
        </is>
      </c>
      <c r="R204" s="16" t="n"/>
    </row>
    <row r="205">
      <c r="A205" s="16" t="inlineStr">
        <is>
          <t>KF-M04-0194</t>
        </is>
      </c>
      <c r="B205" s="35" t="n">
        <v>417.2034818020346</v>
      </c>
      <c r="C205" s="35" t="n">
        <v>298.3853205551786</v>
      </c>
      <c r="D205" s="36" t="n">
        <v>2064.353382930798</v>
      </c>
      <c r="E205" s="35" t="n">
        <v>792.8621731530367</v>
      </c>
      <c r="F205" s="37" t="n">
        <v>0.5904323565858962</v>
      </c>
      <c r="G205" s="37" t="n">
        <v>0.7679541634377878</v>
      </c>
      <c r="H205" s="37" t="n">
        <v>0.7127792413063421</v>
      </c>
      <c r="I205" s="37" t="n">
        <v>0.6130102957480491</v>
      </c>
      <c r="J205" s="37" t="n">
        <v>0.6701694595791565</v>
      </c>
      <c r="K205" s="37" t="n">
        <v>0.8809047632706224</v>
      </c>
      <c r="L205" s="39" t="inlineStr">
        <is>
          <t>Corregible</t>
        </is>
      </c>
      <c r="M205" s="29" t="n">
        <v>6.40500175172342</v>
      </c>
      <c r="N205" s="35" t="n">
        <v>42.6531949026158</v>
      </c>
      <c r="O205" s="36" t="n">
        <v>1271.491209777762</v>
      </c>
      <c r="P205" s="29" t="n">
        <v>2.603672432399346</v>
      </c>
      <c r="Q205" s="16" t="inlineStr">
        <is>
          <t>no</t>
        </is>
      </c>
      <c r="R205" s="16" t="inlineStr">
        <is>
          <t>O2</t>
        </is>
      </c>
    </row>
    <row r="206">
      <c r="A206" s="16" t="inlineStr">
        <is>
          <t>KF-M04-0195</t>
        </is>
      </c>
      <c r="B206" s="35" t="n">
        <v>451.811451612887</v>
      </c>
      <c r="C206" s="35" t="n">
        <v>292.7025582994822</v>
      </c>
      <c r="D206" s="36" t="n">
        <v>3828.611837533173</v>
      </c>
      <c r="E206" s="35" t="n">
        <v>991.5208083790064</v>
      </c>
      <c r="F206" s="37" t="n">
        <v>0.7159295915680389</v>
      </c>
      <c r="G206" s="37" t="n">
        <v>0.91789057884559</v>
      </c>
      <c r="H206" s="37" t="n">
        <v>0.7877355883268439</v>
      </c>
      <c r="I206" s="37" t="n">
        <v>0.8277911291367935</v>
      </c>
      <c r="J206" s="37" t="n">
        <v>0.7950766534595282</v>
      </c>
      <c r="K206" s="37" t="n">
        <v>0.7462539844217772</v>
      </c>
      <c r="L206" s="39" t="inlineStr">
        <is>
          <t>Corregible</t>
        </is>
      </c>
      <c r="M206" s="29" t="n">
        <v>11.69101310489031</v>
      </c>
      <c r="N206" s="35" t="n">
        <v>134.6671813414882</v>
      </c>
      <c r="O206" s="36" t="n">
        <v>2837.091029154167</v>
      </c>
      <c r="P206" s="29" t="n">
        <v>3.861352989446991</v>
      </c>
      <c r="Q206" s="16" t="inlineStr">
        <is>
          <t>sí</t>
        </is>
      </c>
      <c r="R206" s="16" t="inlineStr">
        <is>
          <t>O2</t>
        </is>
      </c>
    </row>
    <row r="207">
      <c r="A207" s="16" t="inlineStr">
        <is>
          <t>KF-M04-0196</t>
        </is>
      </c>
      <c r="B207" s="35" t="n">
        <v>384.6343075371379</v>
      </c>
      <c r="C207" s="35" t="n">
        <v>297.5377590257303</v>
      </c>
      <c r="D207" s="36" t="n">
        <v>4578.745457105882</v>
      </c>
      <c r="E207" s="35" t="n">
        <v>861.9832211245416</v>
      </c>
      <c r="F207" s="37" t="n">
        <v>0.7681046965632807</v>
      </c>
      <c r="G207" s="37" t="n">
        <v>0.8556025065640869</v>
      </c>
      <c r="H207" s="37" t="n">
        <v>0.8699724793255851</v>
      </c>
      <c r="I207" s="37" t="n">
        <v>0.8323219379770017</v>
      </c>
      <c r="J207" s="37" t="n">
        <v>0.7611688416959037</v>
      </c>
      <c r="K207" s="37" t="n">
        <v>0.8290351284476671</v>
      </c>
      <c r="L207" s="39" t="inlineStr">
        <is>
          <t>Corregible</t>
        </is>
      </c>
      <c r="M207" s="29" t="n">
        <v>10.84101769313531</v>
      </c>
      <c r="N207" s="35" t="n">
        <v>41.70783717431528</v>
      </c>
      <c r="O207" s="36" t="n">
        <v>3716.762235981341</v>
      </c>
      <c r="P207" s="29" t="n">
        <v>5.311873067705959</v>
      </c>
      <c r="Q207" s="16" t="inlineStr">
        <is>
          <t>no</t>
        </is>
      </c>
      <c r="R207" s="16" t="inlineStr">
        <is>
          <t>O2</t>
        </is>
      </c>
    </row>
    <row r="208">
      <c r="A208" s="16" t="inlineStr">
        <is>
          <t>KF-M04-0197</t>
        </is>
      </c>
      <c r="B208" s="35" t="n">
        <v>423.9950187444789</v>
      </c>
      <c r="C208" s="35" t="n">
        <v>294.8562985461167</v>
      </c>
      <c r="D208" s="36" t="n">
        <v>4734.3608776931</v>
      </c>
      <c r="E208" s="35" t="n">
        <v>1016.729934867299</v>
      </c>
      <c r="F208" s="37" t="n">
        <v>0.5540502045846063</v>
      </c>
      <c r="G208" s="37" t="n">
        <v>0.9070887383232268</v>
      </c>
      <c r="H208" s="37" t="n">
        <v>0.8794067125311194</v>
      </c>
      <c r="I208" s="37" t="n">
        <v>0.6525407390015912</v>
      </c>
      <c r="J208" s="37" t="n">
        <v>0.933101813632868</v>
      </c>
      <c r="K208" s="37" t="n">
        <v>0.8880186325569748</v>
      </c>
      <c r="L208" s="42" t="inlineStr">
        <is>
          <t>KALINA</t>
        </is>
      </c>
      <c r="M208" s="29" t="n">
        <v>9.794597548362049</v>
      </c>
      <c r="N208" s="35" t="n">
        <v>26.02369183941354</v>
      </c>
      <c r="O208" s="36" t="n">
        <v>3717.630942825801</v>
      </c>
      <c r="P208" s="29" t="n">
        <v>4.656458628132177</v>
      </c>
      <c r="Q208" s="16" t="inlineStr">
        <is>
          <t>no</t>
        </is>
      </c>
      <c r="R208" s="16" t="n"/>
    </row>
    <row r="209">
      <c r="A209" s="16" t="inlineStr">
        <is>
          <t>KF-M04-0198</t>
        </is>
      </c>
      <c r="B209" s="35" t="n">
        <v>457.7525390497773</v>
      </c>
      <c r="C209" s="35" t="n">
        <v>299.0939722672025</v>
      </c>
      <c r="D209" s="36" t="n">
        <v>4287.726378148507</v>
      </c>
      <c r="E209" s="35" t="n">
        <v>486.2601670051677</v>
      </c>
      <c r="F209" s="37" t="n">
        <v>0.7425911456488939</v>
      </c>
      <c r="G209" s="37" t="n">
        <v>0.7524712214285751</v>
      </c>
      <c r="H209" s="37" t="n">
        <v>0.8530699618502326</v>
      </c>
      <c r="I209" s="37" t="n">
        <v>0.8973968428260193</v>
      </c>
      <c r="J209" s="37" t="n">
        <v>0.7968354801954224</v>
      </c>
      <c r="K209" s="37" t="n">
        <v>0.7252121282512123</v>
      </c>
      <c r="L209" s="39" t="inlineStr">
        <is>
          <t>Corregible</t>
        </is>
      </c>
      <c r="M209" s="29" t="n">
        <v>5.9538880666843</v>
      </c>
      <c r="N209" s="35" t="n">
        <v>47.68813962682654</v>
      </c>
      <c r="O209" s="36" t="n">
        <v>3801.46621114334</v>
      </c>
      <c r="P209" s="29" t="n">
        <v>8.817761908313868</v>
      </c>
      <c r="Q209" s="16" t="inlineStr">
        <is>
          <t>sí</t>
        </is>
      </c>
      <c r="R209" s="16" t="inlineStr">
        <is>
          <t>O2</t>
        </is>
      </c>
    </row>
    <row r="210">
      <c r="A210" s="16" t="inlineStr">
        <is>
          <t>KF-M04-0199</t>
        </is>
      </c>
      <c r="B210" s="35" t="n">
        <v>393.4503954805007</v>
      </c>
      <c r="C210" s="35" t="n">
        <v>302.0317056549281</v>
      </c>
      <c r="D210" s="36" t="n">
        <v>2820.631650397426</v>
      </c>
      <c r="E210" s="35" t="n">
        <v>316.5699196402394</v>
      </c>
      <c r="F210" s="37" t="n">
        <v>0.5001699597327433</v>
      </c>
      <c r="G210" s="37" t="n">
        <v>0.9084088618605139</v>
      </c>
      <c r="H210" s="37" t="n">
        <v>0.7102033785771958</v>
      </c>
      <c r="I210" s="37" t="n">
        <v>0.655751302004708</v>
      </c>
      <c r="J210" s="37" t="n">
        <v>0.8958024371258977</v>
      </c>
      <c r="K210" s="37" t="n">
        <v>0.9371149514815332</v>
      </c>
      <c r="L210" s="39" t="inlineStr">
        <is>
          <t>Corregible</t>
        </is>
      </c>
      <c r="M210" s="29" t="n">
        <v>7.85165243124769</v>
      </c>
      <c r="N210" s="35" t="n">
        <v>10.81610141037873</v>
      </c>
      <c r="O210" s="36" t="n">
        <v>2504.061730757187</v>
      </c>
      <c r="P210" s="29" t="n">
        <v>8.90997999305457</v>
      </c>
      <c r="Q210" s="16" t="inlineStr">
        <is>
          <t>no</t>
        </is>
      </c>
      <c r="R210" s="16" t="inlineStr">
        <is>
          <t>O2</t>
        </is>
      </c>
    </row>
    <row r="211">
      <c r="A211" s="16" t="inlineStr">
        <is>
          <t>KF-M04-0200</t>
        </is>
      </c>
      <c r="B211" s="35" t="n">
        <v>439.5042239550834</v>
      </c>
      <c r="C211" s="35" t="n">
        <v>294.086816810136</v>
      </c>
      <c r="D211" s="36" t="n">
        <v>4820.222261672555</v>
      </c>
      <c r="E211" s="35" t="n">
        <v>623.1255034237613</v>
      </c>
      <c r="F211" s="37" t="n">
        <v>0.6943568209957687</v>
      </c>
      <c r="G211" s="37" t="n">
        <v>0.7535185141251821</v>
      </c>
      <c r="H211" s="37" t="n">
        <v>0.6610549507418519</v>
      </c>
      <c r="I211" s="37" t="n">
        <v>0.8859661841004076</v>
      </c>
      <c r="J211" s="37" t="n">
        <v>0.8541587719293575</v>
      </c>
      <c r="K211" s="37" t="n">
        <v>0.784663655477462</v>
      </c>
      <c r="L211" s="39" t="inlineStr">
        <is>
          <t>Corregible</t>
        </is>
      </c>
      <c r="M211" s="29" t="n">
        <v>13.08306120022021</v>
      </c>
      <c r="N211" s="35" t="n">
        <v>113.9524015563204</v>
      </c>
      <c r="O211" s="36" t="n">
        <v>4197.096758248794</v>
      </c>
      <c r="P211" s="29" t="n">
        <v>7.735556056023799</v>
      </c>
      <c r="Q211" s="16" t="inlineStr">
        <is>
          <t>sí</t>
        </is>
      </c>
      <c r="R211" s="16" t="inlineStr">
        <is>
          <t>O2</t>
        </is>
      </c>
    </row>
    <row r="212">
      <c r="A212" s="16" t="inlineStr">
        <is>
          <t>KF-M04-0201</t>
        </is>
      </c>
      <c r="B212" s="35" t="n">
        <v>473.4484357661759</v>
      </c>
      <c r="C212" s="35" t="n">
        <v>301.7391624751343</v>
      </c>
      <c r="D212" s="36" t="n">
        <v>2193.423828897708</v>
      </c>
      <c r="E212" s="35" t="n">
        <v>1471.103642271848</v>
      </c>
      <c r="F212" s="37" t="n">
        <v>0.60731630181959</v>
      </c>
      <c r="G212" s="37" t="n">
        <v>0.9061544433733868</v>
      </c>
      <c r="H212" s="37" t="n">
        <v>0.6929776372082789</v>
      </c>
      <c r="I212" s="37" t="n">
        <v>0.6292480417856007</v>
      </c>
      <c r="J212" s="37" t="n">
        <v>0.7283535559790725</v>
      </c>
      <c r="K212" s="37" t="n">
        <v>0.8206926840407225</v>
      </c>
      <c r="L212" s="39" t="inlineStr">
        <is>
          <t>Corregible</t>
        </is>
      </c>
      <c r="M212" s="29" t="n">
        <v>3.49732551602897</v>
      </c>
      <c r="N212" s="35" t="n">
        <v>41.70037124287638</v>
      </c>
      <c r="O212" s="36" t="n">
        <v>722.3201866258598</v>
      </c>
      <c r="P212" s="29" t="n">
        <v>1.491005640846874</v>
      </c>
      <c r="Q212" s="16" t="inlineStr">
        <is>
          <t>sí</t>
        </is>
      </c>
      <c r="R212" s="16" t="inlineStr">
        <is>
          <t>O2</t>
        </is>
      </c>
    </row>
    <row r="213">
      <c r="A213" s="16" t="inlineStr">
        <is>
          <t>KF-M04-0202</t>
        </is>
      </c>
      <c r="B213" s="35" t="n">
        <v>422.7578551462301</v>
      </c>
      <c r="C213" s="35" t="n">
        <v>288.6618085347304</v>
      </c>
      <c r="D213" s="36" t="n">
        <v>3353.234677575101</v>
      </c>
      <c r="E213" s="35" t="n">
        <v>1224.949697174275</v>
      </c>
      <c r="F213" s="37" t="n">
        <v>0.6865264640765416</v>
      </c>
      <c r="G213" s="37" t="n">
        <v>0.8391668260972823</v>
      </c>
      <c r="H213" s="37" t="n">
        <v>0.6996624236419539</v>
      </c>
      <c r="I213" s="37" t="n">
        <v>0.7360799594511644</v>
      </c>
      <c r="J213" s="37" t="n">
        <v>0.6667235405241168</v>
      </c>
      <c r="K213" s="37" t="n">
        <v>0.835747274844457</v>
      </c>
      <c r="L213" s="42" t="inlineStr">
        <is>
          <t>KALINA</t>
        </is>
      </c>
      <c r="M213" s="29" t="n">
        <v>7.83675424988524</v>
      </c>
      <c r="N213" s="35" t="n">
        <v>61.20222255922064</v>
      </c>
      <c r="O213" s="36" t="n">
        <v>2128.284980400826</v>
      </c>
      <c r="P213" s="29" t="n">
        <v>2.737446839907282</v>
      </c>
      <c r="Q213" s="16" t="inlineStr">
        <is>
          <t>no</t>
        </is>
      </c>
      <c r="R213" s="16" t="n"/>
    </row>
    <row r="214">
      <c r="A214" s="16" t="inlineStr">
        <is>
          <t>KF-M04-0203</t>
        </is>
      </c>
      <c r="B214" s="35" t="n">
        <v>408.174606797052</v>
      </c>
      <c r="C214" s="35" t="n">
        <v>297.3408225551868</v>
      </c>
      <c r="D214" s="36" t="n">
        <v>3635.642214756188</v>
      </c>
      <c r="E214" s="35" t="n">
        <v>1074.270243330533</v>
      </c>
      <c r="F214" s="37" t="n">
        <v>0.5291902057261471</v>
      </c>
      <c r="G214" s="37" t="n">
        <v>0.7759751214921864</v>
      </c>
      <c r="H214" s="37" t="n">
        <v>0.6754673482465678</v>
      </c>
      <c r="I214" s="37" t="n">
        <v>0.8744054342197194</v>
      </c>
      <c r="J214" s="37" t="n">
        <v>0.7108346540485385</v>
      </c>
      <c r="K214" s="37" t="n">
        <v>0.8306930548486962</v>
      </c>
      <c r="L214" s="42" t="inlineStr">
        <is>
          <t>KALINA</t>
        </is>
      </c>
      <c r="M214" s="29" t="n">
        <v>5.05044829595635</v>
      </c>
      <c r="N214" s="35" t="n">
        <v>17.51734801870592</v>
      </c>
      <c r="O214" s="36" t="n">
        <v>2561.371971425655</v>
      </c>
      <c r="P214" s="29" t="n">
        <v>3.384290160997756</v>
      </c>
      <c r="Q214" s="16" t="inlineStr">
        <is>
          <t>no</t>
        </is>
      </c>
      <c r="R214" s="16" t="n"/>
    </row>
    <row r="215">
      <c r="A215" s="16" t="inlineStr">
        <is>
          <t>KF-M04-0204</t>
        </is>
      </c>
      <c r="B215" s="35" t="n">
        <v>382.9418487755841</v>
      </c>
      <c r="C215" s="35" t="n">
        <v>302.2119236079336</v>
      </c>
      <c r="D215" s="36" t="n">
        <v>3985.967692756678</v>
      </c>
      <c r="E215" s="35" t="n">
        <v>946.0883331862606</v>
      </c>
      <c r="F215" s="37" t="n">
        <v>0.6782973325729982</v>
      </c>
      <c r="G215" s="37" t="n">
        <v>0.8707571482464626</v>
      </c>
      <c r="H215" s="37" t="n">
        <v>0.783907868381971</v>
      </c>
      <c r="I215" s="37" t="n">
        <v>0.9042096691906758</v>
      </c>
      <c r="J215" s="37" t="n">
        <v>0.6737159344228367</v>
      </c>
      <c r="K215" s="37" t="n">
        <v>0.8714601439843408</v>
      </c>
      <c r="L215" s="42" t="inlineStr">
        <is>
          <t>KALINA</t>
        </is>
      </c>
      <c r="M215" s="29" t="n">
        <v>6.96076622317592</v>
      </c>
      <c r="N215" s="35" t="n">
        <v>20.52900965518425</v>
      </c>
      <c r="O215" s="36" t="n">
        <v>3039.879359570417</v>
      </c>
      <c r="P215" s="29" t="n">
        <v>4.213103103525897</v>
      </c>
      <c r="Q215" s="16" t="inlineStr">
        <is>
          <t>no</t>
        </is>
      </c>
      <c r="R215" s="16" t="n"/>
    </row>
    <row r="216">
      <c r="A216" s="16" t="inlineStr">
        <is>
          <t>KF-M04-0205</t>
        </is>
      </c>
      <c r="B216" s="35" t="n">
        <v>400.7042994950773</v>
      </c>
      <c r="C216" s="35" t="n">
        <v>299.931490105399</v>
      </c>
      <c r="D216" s="36" t="n">
        <v>2382.939897944534</v>
      </c>
      <c r="E216" s="35" t="n">
        <v>871.9106059632719</v>
      </c>
      <c r="F216" s="37" t="n">
        <v>0.8448058105037345</v>
      </c>
      <c r="G216" s="37" t="n">
        <v>0.7791814720929134</v>
      </c>
      <c r="H216" s="37" t="n">
        <v>0.8003805400749218</v>
      </c>
      <c r="I216" s="37" t="n">
        <v>0.9377509277093106</v>
      </c>
      <c r="J216" s="37" t="n">
        <v>0.7686142985347855</v>
      </c>
      <c r="K216" s="37" t="n">
        <v>0.7740817682089601</v>
      </c>
      <c r="L216" s="39" t="inlineStr">
        <is>
          <t>Corregible</t>
        </is>
      </c>
      <c r="M216" s="29" t="n">
        <v>6.74337615004922</v>
      </c>
      <c r="N216" s="35" t="n">
        <v>60.73079824510297</v>
      </c>
      <c r="O216" s="36" t="n">
        <v>1511.029291981262</v>
      </c>
      <c r="P216" s="29" t="n">
        <v>2.733009418221152</v>
      </c>
      <c r="Q216" s="16" t="inlineStr">
        <is>
          <t>no</t>
        </is>
      </c>
      <c r="R216" s="16" t="inlineStr">
        <is>
          <t>O2</t>
        </is>
      </c>
    </row>
    <row r="217">
      <c r="A217" s="16" t="inlineStr">
        <is>
          <t>KF-M04-0206</t>
        </is>
      </c>
      <c r="B217" s="35" t="n">
        <v>461.0543074917402</v>
      </c>
      <c r="C217" s="35" t="n">
        <v>302.9390923862632</v>
      </c>
      <c r="D217" s="36" t="n">
        <v>3782.882413356787</v>
      </c>
      <c r="E217" s="35" t="n">
        <v>1420.202265011503</v>
      </c>
      <c r="F217" s="37" t="n">
        <v>0.5881416408442415</v>
      </c>
      <c r="G217" s="37" t="n">
        <v>0.8048204890627807</v>
      </c>
      <c r="H217" s="37" t="n">
        <v>0.6584524538778829</v>
      </c>
      <c r="I217" s="37" t="n">
        <v>0.8896482121796433</v>
      </c>
      <c r="J217" s="37" t="n">
        <v>0.683069477071324</v>
      </c>
      <c r="K217" s="37" t="n">
        <v>0.7370878264061369</v>
      </c>
      <c r="L217" s="39" t="inlineStr">
        <is>
          <t>Corregible</t>
        </is>
      </c>
      <c r="M217" s="29" t="n">
        <v>6.693286484719691</v>
      </c>
      <c r="N217" s="35" t="n">
        <v>76.42048380259394</v>
      </c>
      <c r="O217" s="36" t="n">
        <v>2362.680148345284</v>
      </c>
      <c r="P217" s="29" t="n">
        <v>2.663622292790913</v>
      </c>
      <c r="Q217" s="16" t="inlineStr">
        <is>
          <t>sí</t>
        </is>
      </c>
      <c r="R217" s="16" t="inlineStr">
        <is>
          <t>O2</t>
        </is>
      </c>
    </row>
    <row r="218">
      <c r="A218" s="16" t="inlineStr">
        <is>
          <t>KF-M04-0207</t>
        </is>
      </c>
      <c r="B218" s="35" t="n">
        <v>455.2903502285416</v>
      </c>
      <c r="C218" s="35" t="n">
        <v>300.5516382813408</v>
      </c>
      <c r="D218" s="36" t="n">
        <v>2770.735908631396</v>
      </c>
      <c r="E218" s="35" t="n">
        <v>769.4176007130936</v>
      </c>
      <c r="F218" s="37" t="n">
        <v>0.8175088415048826</v>
      </c>
      <c r="G218" s="37" t="n">
        <v>0.7519120189530022</v>
      </c>
      <c r="H218" s="37" t="n">
        <v>0.6908190255815203</v>
      </c>
      <c r="I218" s="37" t="n">
        <v>0.6202938105155327</v>
      </c>
      <c r="J218" s="37" t="n">
        <v>0.6362883105119793</v>
      </c>
      <c r="K218" s="37" t="n">
        <v>0.832930543873669</v>
      </c>
      <c r="L218" s="39" t="inlineStr">
        <is>
          <t>Corregible</t>
        </is>
      </c>
      <c r="M218" s="29" t="n">
        <v>4.02524727608311</v>
      </c>
      <c r="N218" s="35" t="n">
        <v>30.1717388767166</v>
      </c>
      <c r="O218" s="36" t="n">
        <v>2001.318307918303</v>
      </c>
      <c r="P218" s="29" t="n">
        <v>3.60108204707494</v>
      </c>
      <c r="Q218" s="16" t="inlineStr">
        <is>
          <t>no</t>
        </is>
      </c>
      <c r="R218" s="16" t="inlineStr">
        <is>
          <t>O2</t>
        </is>
      </c>
    </row>
    <row r="219">
      <c r="A219" s="16" t="inlineStr">
        <is>
          <t>KF-M04-0208</t>
        </is>
      </c>
      <c r="B219" s="35" t="n">
        <v>496.2069566665908</v>
      </c>
      <c r="C219" s="35" t="n">
        <v>288.7374623183422</v>
      </c>
      <c r="D219" s="36" t="n">
        <v>2230.392431952534</v>
      </c>
      <c r="E219" s="35" t="n">
        <v>1325.645944743025</v>
      </c>
      <c r="F219" s="37" t="n">
        <v>0.7194463601758352</v>
      </c>
      <c r="G219" s="37" t="n">
        <v>0.7507729107346055</v>
      </c>
      <c r="H219" s="37" t="n">
        <v>0.842832201214275</v>
      </c>
      <c r="I219" s="37" t="n">
        <v>0.7463277732681615</v>
      </c>
      <c r="J219" s="37" t="n">
        <v>0.9062083913666494</v>
      </c>
      <c r="K219" s="37" t="n">
        <v>0.9054459507904484</v>
      </c>
      <c r="L219" s="42" t="inlineStr">
        <is>
          <t>KALINA</t>
        </is>
      </c>
      <c r="M219" s="29" t="n">
        <v>3.9249967314538</v>
      </c>
      <c r="N219" s="35" t="n">
        <v>57.60923350573785</v>
      </c>
      <c r="O219" s="36" t="n">
        <v>904.7464872095092</v>
      </c>
      <c r="P219" s="29" t="n">
        <v>1.682494817562237</v>
      </c>
      <c r="Q219" s="16" t="inlineStr">
        <is>
          <t>sí</t>
        </is>
      </c>
      <c r="R219" s="16" t="n"/>
    </row>
    <row r="220">
      <c r="A220" s="16" t="inlineStr">
        <is>
          <t>KF-M04-0209</t>
        </is>
      </c>
      <c r="B220" s="35" t="n">
        <v>470.6945599389476</v>
      </c>
      <c r="C220" s="35" t="n">
        <v>289.9217265400521</v>
      </c>
      <c r="D220" s="36" t="n">
        <v>4034.509920217565</v>
      </c>
      <c r="E220" s="35" t="n">
        <v>480.6284827487954</v>
      </c>
      <c r="F220" s="37" t="n">
        <v>0.6045220716905071</v>
      </c>
      <c r="G220" s="37" t="n">
        <v>0.8143443193014166</v>
      </c>
      <c r="H220" s="37" t="n">
        <v>0.7365309972911713</v>
      </c>
      <c r="I220" s="37" t="n">
        <v>0.7072684573708065</v>
      </c>
      <c r="J220" s="37" t="n">
        <v>0.8748322934158003</v>
      </c>
      <c r="K220" s="37" t="n">
        <v>0.7446018631620137</v>
      </c>
      <c r="L220" s="39" t="inlineStr">
        <is>
          <t>Corregible</t>
        </is>
      </c>
      <c r="M220" s="29" t="n">
        <v>13.75534196611389</v>
      </c>
      <c r="N220" s="35" t="n">
        <v>153.1640659280303</v>
      </c>
      <c r="O220" s="36" t="n">
        <v>3553.88143746877</v>
      </c>
      <c r="P220" s="29" t="n">
        <v>8.394238096634478</v>
      </c>
      <c r="Q220" s="16" t="inlineStr">
        <is>
          <t>sí</t>
        </is>
      </c>
      <c r="R220" s="16" t="inlineStr">
        <is>
          <t>O2</t>
        </is>
      </c>
    </row>
    <row r="221">
      <c r="A221" s="16" t="inlineStr">
        <is>
          <t>KF-M04-0210</t>
        </is>
      </c>
      <c r="B221" s="35" t="n">
        <v>459.839142502911</v>
      </c>
      <c r="C221" s="35" t="n">
        <v>294.411635309309</v>
      </c>
      <c r="D221" s="36" t="n">
        <v>4447.309146437858</v>
      </c>
      <c r="E221" s="35" t="n">
        <v>1329.363788874343</v>
      </c>
      <c r="F221" s="37" t="n">
        <v>0.804278646425389</v>
      </c>
      <c r="G221" s="37" t="n">
        <v>0.834560350933427</v>
      </c>
      <c r="H221" s="37" t="n">
        <v>0.8857865001622272</v>
      </c>
      <c r="I221" s="37" t="n">
        <v>0.637384424739867</v>
      </c>
      <c r="J221" s="37" t="n">
        <v>0.7345972895617131</v>
      </c>
      <c r="K221" s="37" t="n">
        <v>0.814301906522221</v>
      </c>
      <c r="L221" s="39" t="inlineStr">
        <is>
          <t>Corregible</t>
        </is>
      </c>
      <c r="M221" s="29" t="n">
        <v>10.75188053651</v>
      </c>
      <c r="N221" s="35" t="n">
        <v>107.6073586504668</v>
      </c>
      <c r="O221" s="36" t="n">
        <v>3117.945357563515</v>
      </c>
      <c r="P221" s="29" t="n">
        <v>3.345441769708259</v>
      </c>
      <c r="Q221" s="16" t="inlineStr">
        <is>
          <t>no</t>
        </is>
      </c>
      <c r="R221" s="16" t="inlineStr">
        <is>
          <t>O2</t>
        </is>
      </c>
    </row>
    <row r="222">
      <c r="A222" s="16" t="inlineStr">
        <is>
          <t>KF-M04-0211</t>
        </is>
      </c>
      <c r="B222" s="35" t="n">
        <v>497.0484510720239</v>
      </c>
      <c r="C222" s="35" t="n">
        <v>289.2035728829594</v>
      </c>
      <c r="D222" s="36" t="n">
        <v>2646.096710846009</v>
      </c>
      <c r="E222" s="35" t="n">
        <v>805.104001391026</v>
      </c>
      <c r="F222" s="37" t="n">
        <v>0.5071073020521002</v>
      </c>
      <c r="G222" s="37" t="n">
        <v>0.8822421695672087</v>
      </c>
      <c r="H222" s="37" t="n">
        <v>0.8719211827181557</v>
      </c>
      <c r="I222" s="37" t="n">
        <v>0.9031793658602232</v>
      </c>
      <c r="J222" s="37" t="n">
        <v>0.6997501450195737</v>
      </c>
      <c r="K222" s="37" t="n">
        <v>0.9468020854951664</v>
      </c>
      <c r="L222" s="42" t="inlineStr">
        <is>
          <t>KALINA</t>
        </is>
      </c>
      <c r="M222" s="29" t="n">
        <v>8.44442278943688</v>
      </c>
      <c r="N222" s="35" t="n">
        <v>176.6647197123241</v>
      </c>
      <c r="O222" s="36" t="n">
        <v>1840.992709454983</v>
      </c>
      <c r="P222" s="29" t="n">
        <v>3.286652042809613</v>
      </c>
      <c r="Q222" s="16" t="inlineStr">
        <is>
          <t>sí</t>
        </is>
      </c>
      <c r="R222" s="16" t="n"/>
    </row>
    <row r="223">
      <c r="A223" s="16" t="inlineStr">
        <is>
          <t>KF-M04-0212</t>
        </is>
      </c>
      <c r="B223" s="35" t="n">
        <v>402.9784816442986</v>
      </c>
      <c r="C223" s="35" t="n">
        <v>281.5588484698561</v>
      </c>
      <c r="D223" s="36" t="n">
        <v>4312.309607406948</v>
      </c>
      <c r="E223" s="35" t="n">
        <v>691.7734007340954</v>
      </c>
      <c r="F223" s="37" t="n">
        <v>0.6502435650004574</v>
      </c>
      <c r="G223" s="37" t="n">
        <v>0.7954002259791917</v>
      </c>
      <c r="H223" s="37" t="n">
        <v>0.8868956822729184</v>
      </c>
      <c r="I223" s="37" t="n">
        <v>0.8592850326086365</v>
      </c>
      <c r="J223" s="37" t="n">
        <v>0.7877367911467129</v>
      </c>
      <c r="K223" s="37" t="n">
        <v>0.7986926748874699</v>
      </c>
      <c r="L223" s="42" t="inlineStr">
        <is>
          <t>KALINA</t>
        </is>
      </c>
      <c r="M223" s="29" t="n">
        <v>10.64360232447652</v>
      </c>
      <c r="N223" s="35" t="n">
        <v>47.00229624969498</v>
      </c>
      <c r="O223" s="36" t="n">
        <v>3620.536206672853</v>
      </c>
      <c r="P223" s="29" t="n">
        <v>6.233702543102721</v>
      </c>
      <c r="Q223" s="16" t="inlineStr">
        <is>
          <t>no</t>
        </is>
      </c>
      <c r="R223" s="16" t="n"/>
    </row>
    <row r="224">
      <c r="A224" s="16" t="inlineStr">
        <is>
          <t>KF-M04-0213</t>
        </is>
      </c>
      <c r="B224" s="35" t="n">
        <v>491.5257696455872</v>
      </c>
      <c r="C224" s="35" t="n">
        <v>284.3325763143935</v>
      </c>
      <c r="D224" s="36" t="n">
        <v>3931.47696388223</v>
      </c>
      <c r="E224" s="35" t="n">
        <v>899.1182281674681</v>
      </c>
      <c r="F224" s="37" t="n">
        <v>0.5378264063349809</v>
      </c>
      <c r="G224" s="37" t="n">
        <v>0.794967536444961</v>
      </c>
      <c r="H224" s="37" t="n">
        <v>0.7170578806467564</v>
      </c>
      <c r="I224" s="37" t="n">
        <v>0.7411790388007786</v>
      </c>
      <c r="J224" s="37" t="n">
        <v>0.8996803087483926</v>
      </c>
      <c r="K224" s="37" t="n">
        <v>0.8608201471418369</v>
      </c>
      <c r="L224" s="39" t="inlineStr">
        <is>
          <t>Corregible</t>
        </is>
      </c>
      <c r="M224" s="29" t="n">
        <v>9.992380647038161</v>
      </c>
      <c r="N224" s="35" t="n">
        <v>149.1349331708753</v>
      </c>
      <c r="O224" s="36" t="n">
        <v>3032.358735714762</v>
      </c>
      <c r="P224" s="29" t="n">
        <v>4.372591769043703</v>
      </c>
      <c r="Q224" s="16" t="inlineStr">
        <is>
          <t>sí</t>
        </is>
      </c>
      <c r="R224" s="16" t="inlineStr">
        <is>
          <t>O2</t>
        </is>
      </c>
    </row>
    <row r="225">
      <c r="A225" s="16" t="inlineStr">
        <is>
          <t>KF-M04-0214</t>
        </is>
      </c>
      <c r="B225" s="35" t="n">
        <v>401.6872141378365</v>
      </c>
      <c r="C225" s="35" t="n">
        <v>278.6320755027971</v>
      </c>
      <c r="D225" s="36" t="n">
        <v>4722.718648960963</v>
      </c>
      <c r="E225" s="35" t="n">
        <v>478.1619381209957</v>
      </c>
      <c r="F225" s="37" t="n">
        <v>0.781266428688306</v>
      </c>
      <c r="G225" s="37" t="n">
        <v>0.8421334524264773</v>
      </c>
      <c r="H225" s="37" t="n">
        <v>0.7927317653236096</v>
      </c>
      <c r="I225" s="37" t="n">
        <v>0.648173865506083</v>
      </c>
      <c r="J225" s="37" t="n">
        <v>0.6373412685143358</v>
      </c>
      <c r="K225" s="37" t="n">
        <v>0.9081742450260354</v>
      </c>
      <c r="L225" s="39" t="inlineStr">
        <is>
          <t>Corregible</t>
        </is>
      </c>
      <c r="M225" s="29" t="n">
        <v>12.83843022543097</v>
      </c>
      <c r="N225" s="35" t="n">
        <v>70.79894284198365</v>
      </c>
      <c r="O225" s="36" t="n">
        <v>4244.556710839967</v>
      </c>
      <c r="P225" s="29" t="n">
        <v>9.87681844255431</v>
      </c>
      <c r="Q225" s="16" t="inlineStr">
        <is>
          <t>no</t>
        </is>
      </c>
      <c r="R225" s="16" t="inlineStr">
        <is>
          <t>O2</t>
        </is>
      </c>
    </row>
    <row r="226">
      <c r="A226" s="16" t="inlineStr">
        <is>
          <t>KF-M04-0215</t>
        </is>
      </c>
      <c r="B226" s="35" t="n">
        <v>380.5836236353158</v>
      </c>
      <c r="C226" s="35" t="n">
        <v>288.3845597139331</v>
      </c>
      <c r="D226" s="36" t="n">
        <v>3272.744306362581</v>
      </c>
      <c r="E226" s="35" t="n">
        <v>1274.893547848595</v>
      </c>
      <c r="F226" s="37" t="n">
        <v>0.66016838268169</v>
      </c>
      <c r="G226" s="37" t="n">
        <v>0.8524288403642575</v>
      </c>
      <c r="H226" s="37" t="n">
        <v>0.7913217153686632</v>
      </c>
      <c r="I226" s="37" t="n">
        <v>0.9299277674787582</v>
      </c>
      <c r="J226" s="37" t="n">
        <v>0.8577643929814113</v>
      </c>
      <c r="K226" s="37" t="n">
        <v>0.8124837512348334</v>
      </c>
      <c r="L226" s="42" t="inlineStr">
        <is>
          <t>KALINA</t>
        </is>
      </c>
      <c r="M226" s="29" t="n">
        <v>6.52028275881882</v>
      </c>
      <c r="N226" s="35" t="n">
        <v>23.31445919007118</v>
      </c>
      <c r="O226" s="36" t="n">
        <v>1997.850758513986</v>
      </c>
      <c r="P226" s="29" t="n">
        <v>2.567072609227173</v>
      </c>
      <c r="Q226" s="16" t="inlineStr">
        <is>
          <t>no</t>
        </is>
      </c>
      <c r="R226" s="16" t="n"/>
    </row>
    <row r="227">
      <c r="A227" s="16" t="inlineStr">
        <is>
          <t>KF-M04-0216</t>
        </is>
      </c>
      <c r="B227" s="35" t="n">
        <v>495.1208194750652</v>
      </c>
      <c r="C227" s="35" t="n">
        <v>288.2057806576414</v>
      </c>
      <c r="D227" s="36" t="n">
        <v>2171.291892795626</v>
      </c>
      <c r="E227" s="35" t="n">
        <v>962.640988937726</v>
      </c>
      <c r="F227" s="37" t="n">
        <v>0.7578994065117776</v>
      </c>
      <c r="G227" s="37" t="n">
        <v>0.8343944936568066</v>
      </c>
      <c r="H227" s="37" t="n">
        <v>0.6708112780224913</v>
      </c>
      <c r="I227" s="37" t="n">
        <v>0.9347719604000364</v>
      </c>
      <c r="J227" s="37" t="n">
        <v>0.6806903763286118</v>
      </c>
      <c r="K227" s="37" t="n">
        <v>0.8011883781044833</v>
      </c>
      <c r="L227" s="32" t="inlineStr">
        <is>
          <t>No convergió</t>
        </is>
      </c>
      <c r="M227" s="29" t="inlineStr">
        <is>
          <t>—</t>
        </is>
      </c>
      <c r="N227" s="35" t="inlineStr">
        <is>
          <t>—</t>
        </is>
      </c>
      <c r="O227" s="36" t="n">
        <v>1208.6509038579</v>
      </c>
      <c r="P227" s="29" t="n">
        <v>2.255557282254983</v>
      </c>
      <c r="Q227" s="16" t="inlineStr">
        <is>
          <t>no</t>
        </is>
      </c>
      <c r="R227" s="16" t="n"/>
    </row>
    <row r="228">
      <c r="A228" s="16" t="inlineStr">
        <is>
          <t>KF-M04-0217</t>
        </is>
      </c>
      <c r="B228" s="35" t="n">
        <v>457.5517631775284</v>
      </c>
      <c r="C228" s="35" t="n">
        <v>292.9378932627461</v>
      </c>
      <c r="D228" s="36" t="n">
        <v>2326.18259835533</v>
      </c>
      <c r="E228" s="35" t="n">
        <v>1084.441098746134</v>
      </c>
      <c r="F228" s="37" t="n">
        <v>0.6189732462303941</v>
      </c>
      <c r="G228" s="37" t="n">
        <v>0.8828995668067587</v>
      </c>
      <c r="H228" s="37" t="n">
        <v>0.8585131845935198</v>
      </c>
      <c r="I228" s="37" t="n">
        <v>0.8358644777225445</v>
      </c>
      <c r="J228" s="37" t="n">
        <v>0.7580022080146166</v>
      </c>
      <c r="K228" s="37" t="n">
        <v>0.900932230584889</v>
      </c>
      <c r="L228" s="39" t="inlineStr">
        <is>
          <t>Corregible</t>
        </is>
      </c>
      <c r="M228" s="29" t="n">
        <v>6.2329895292713</v>
      </c>
      <c r="N228" s="35" t="n">
        <v>102.9492285373634</v>
      </c>
      <c r="O228" s="36" t="n">
        <v>1241.741499609196</v>
      </c>
      <c r="P228" s="29" t="n">
        <v>2.145052046667116</v>
      </c>
      <c r="Q228" s="16" t="inlineStr">
        <is>
          <t>sí</t>
        </is>
      </c>
      <c r="R228" s="16" t="inlineStr">
        <is>
          <t>O2</t>
        </is>
      </c>
    </row>
    <row r="229">
      <c r="A229" s="16" t="inlineStr">
        <is>
          <t>KF-M04-0218</t>
        </is>
      </c>
      <c r="B229" s="35" t="n">
        <v>459.5831019458523</v>
      </c>
      <c r="C229" s="35" t="n">
        <v>282.8503324878751</v>
      </c>
      <c r="D229" s="36" t="n">
        <v>3529.969169407416</v>
      </c>
      <c r="E229" s="35" t="n">
        <v>1042.197856953135</v>
      </c>
      <c r="F229" s="37" t="n">
        <v>0.7306259537489972</v>
      </c>
      <c r="G229" s="37" t="n">
        <v>0.8935093783975711</v>
      </c>
      <c r="H229" s="37" t="n">
        <v>0.7373680025475405</v>
      </c>
      <c r="I229" s="37" t="n">
        <v>0.8466365385465714</v>
      </c>
      <c r="J229" s="37" t="n">
        <v>0.8998813226329381</v>
      </c>
      <c r="K229" s="37" t="n">
        <v>0.8986512792443005</v>
      </c>
      <c r="L229" s="39" t="inlineStr">
        <is>
          <t>Corregible</t>
        </is>
      </c>
      <c r="M229" s="29" t="n">
        <v>10.42134300269481</v>
      </c>
      <c r="N229" s="35" t="n">
        <v>161.0895068489887</v>
      </c>
      <c r="O229" s="36" t="n">
        <v>2487.771312454281</v>
      </c>
      <c r="P229" s="29" t="n">
        <v>3.387043204758911</v>
      </c>
      <c r="Q229" s="16" t="inlineStr">
        <is>
          <t>sí</t>
        </is>
      </c>
      <c r="R229" s="16" t="inlineStr">
        <is>
          <t>O2</t>
        </is>
      </c>
    </row>
    <row r="230">
      <c r="A230" s="16" t="inlineStr">
        <is>
          <t>KF-M04-0219</t>
        </is>
      </c>
      <c r="B230" s="35" t="n">
        <v>409.1040301235357</v>
      </c>
      <c r="C230" s="35" t="n">
        <v>289.6579308240863</v>
      </c>
      <c r="D230" s="36" t="n">
        <v>4500.932155762511</v>
      </c>
      <c r="E230" s="35" t="n">
        <v>715.1984939356119</v>
      </c>
      <c r="F230" s="37" t="n">
        <v>0.5808609021755982</v>
      </c>
      <c r="G230" s="37" t="n">
        <v>0.7899917612460322</v>
      </c>
      <c r="H230" s="37" t="n">
        <v>0.7864782513016755</v>
      </c>
      <c r="I230" s="37" t="n">
        <v>0.9204580937611156</v>
      </c>
      <c r="J230" s="37" t="n">
        <v>0.8058380409935235</v>
      </c>
      <c r="K230" s="37" t="n">
        <v>0.8197252928413351</v>
      </c>
      <c r="L230" s="42" t="inlineStr">
        <is>
          <t>KALINA</t>
        </is>
      </c>
      <c r="M230" s="29" t="n">
        <v>8.65028193952395</v>
      </c>
      <c r="N230" s="35" t="n">
        <v>28.60277295978016</v>
      </c>
      <c r="O230" s="36" t="n">
        <v>3785.733661826899</v>
      </c>
      <c r="P230" s="29" t="n">
        <v>6.293262910824478</v>
      </c>
      <c r="Q230" s="16" t="inlineStr">
        <is>
          <t>no</t>
        </is>
      </c>
      <c r="R230" s="16" t="n"/>
    </row>
    <row r="231">
      <c r="A231" s="16" t="inlineStr">
        <is>
          <t>KF-M04-0220</t>
        </is>
      </c>
      <c r="B231" s="35" t="n">
        <v>381.8016973354189</v>
      </c>
      <c r="C231" s="35" t="n">
        <v>280.2486341040707</v>
      </c>
      <c r="D231" s="36" t="n">
        <v>4302.369023730509</v>
      </c>
      <c r="E231" s="35" t="n">
        <v>1037.558880616701</v>
      </c>
      <c r="F231" s="37" t="n">
        <v>0.6915338643240198</v>
      </c>
      <c r="G231" s="37" t="n">
        <v>0.8741881138309744</v>
      </c>
      <c r="H231" s="37" t="n">
        <v>0.7783911378101156</v>
      </c>
      <c r="I231" s="37" t="n">
        <v>0.8517355592237592</v>
      </c>
      <c r="J231" s="37" t="n">
        <v>0.6288251044314848</v>
      </c>
      <c r="K231" s="37" t="n">
        <v>0.7892406769550392</v>
      </c>
      <c r="L231" s="42" t="inlineStr">
        <is>
          <t>KALINA</t>
        </is>
      </c>
      <c r="M231" s="29" t="n">
        <v>2.55786385106957</v>
      </c>
      <c r="N231" s="35" t="n">
        <v>6.236364766619232</v>
      </c>
      <c r="O231" s="36" t="n">
        <v>3264.810143113808</v>
      </c>
      <c r="P231" s="29" t="n">
        <v>4.146626378614079</v>
      </c>
      <c r="Q231" s="16" t="inlineStr">
        <is>
          <t>no</t>
        </is>
      </c>
      <c r="R231" s="16" t="n"/>
    </row>
    <row r="232">
      <c r="A232" s="16" t="inlineStr">
        <is>
          <t>KF-M04-0221</t>
        </is>
      </c>
      <c r="B232" s="35" t="n">
        <v>440.3910003588969</v>
      </c>
      <c r="C232" s="35" t="n">
        <v>300.3075503411359</v>
      </c>
      <c r="D232" s="36" t="n">
        <v>2479.216747934866</v>
      </c>
      <c r="E232" s="35" t="n">
        <v>302.9492299975095</v>
      </c>
      <c r="F232" s="37" t="n">
        <v>0.6528746974693457</v>
      </c>
      <c r="G232" s="37" t="n">
        <v>0.8802611921368801</v>
      </c>
      <c r="H232" s="37" t="n">
        <v>0.6773108942448754</v>
      </c>
      <c r="I232" s="37" t="n">
        <v>0.8883969056082863</v>
      </c>
      <c r="J232" s="37" t="n">
        <v>0.7020611747677272</v>
      </c>
      <c r="K232" s="37" t="n">
        <v>0.8784601692955322</v>
      </c>
      <c r="L232" s="39" t="inlineStr">
        <is>
          <t>Corregible</t>
        </is>
      </c>
      <c r="M232" s="29" t="n">
        <v>8.33991225870642</v>
      </c>
      <c r="N232" s="35" t="n">
        <v>75.65197121579121</v>
      </c>
      <c r="O232" s="36" t="n">
        <v>2176.267517937356</v>
      </c>
      <c r="P232" s="29" t="n">
        <v>8.183604718042185</v>
      </c>
      <c r="Q232" s="16" t="inlineStr">
        <is>
          <t>sí</t>
        </is>
      </c>
      <c r="R232" s="16" t="inlineStr">
        <is>
          <t>O2</t>
        </is>
      </c>
    </row>
    <row r="233">
      <c r="A233" s="16" t="inlineStr">
        <is>
          <t>KF-M04-0222</t>
        </is>
      </c>
      <c r="B233" s="35" t="n">
        <v>432.9546021527171</v>
      </c>
      <c r="C233" s="35" t="n">
        <v>299.6454979464501</v>
      </c>
      <c r="D233" s="36" t="n">
        <v>3997.395935441186</v>
      </c>
      <c r="E233" s="35" t="n">
        <v>631.9044468109053</v>
      </c>
      <c r="F233" s="37" t="n">
        <v>0.6521764213721353</v>
      </c>
      <c r="G233" s="37" t="n">
        <v>0.8456920991708452</v>
      </c>
      <c r="H233" s="37" t="n">
        <v>0.6855582121248028</v>
      </c>
      <c r="I233" s="37" t="n">
        <v>0.774644442302976</v>
      </c>
      <c r="J233" s="37" t="n">
        <v>0.9160128549615616</v>
      </c>
      <c r="K233" s="37" t="n">
        <v>0.8826952513983964</v>
      </c>
      <c r="L233" s="39" t="inlineStr">
        <is>
          <t>Corregible</t>
        </is>
      </c>
      <c r="M233" s="29" t="n">
        <v>14.09756959285801</v>
      </c>
      <c r="N233" s="35" t="n">
        <v>104.4454113941698</v>
      </c>
      <c r="O233" s="36" t="n">
        <v>3365.49148863028</v>
      </c>
      <c r="P233" s="29" t="n">
        <v>6.325950000217976</v>
      </c>
      <c r="Q233" s="16" t="inlineStr">
        <is>
          <t>no</t>
        </is>
      </c>
      <c r="R233" s="16" t="inlineStr">
        <is>
          <t>O2</t>
        </is>
      </c>
    </row>
    <row r="234">
      <c r="A234" s="16" t="inlineStr">
        <is>
          <t>KF-M04-0223</t>
        </is>
      </c>
      <c r="B234" s="35" t="n">
        <v>440.6544429661656</v>
      </c>
      <c r="C234" s="35" t="n">
        <v>296.4656452477205</v>
      </c>
      <c r="D234" s="36" t="n">
        <v>4946.569364724107</v>
      </c>
      <c r="E234" s="35" t="n">
        <v>948.7753889493652</v>
      </c>
      <c r="F234" s="37" t="n">
        <v>0.8483040019853136</v>
      </c>
      <c r="G234" s="37" t="n">
        <v>0.7858854622094423</v>
      </c>
      <c r="H234" s="37" t="n">
        <v>0.650936527220647</v>
      </c>
      <c r="I234" s="37" t="n">
        <v>0.8038986164963779</v>
      </c>
      <c r="J234" s="37" t="n">
        <v>0.6425850935943066</v>
      </c>
      <c r="K234" s="37" t="n">
        <v>0.811025070777121</v>
      </c>
      <c r="L234" s="32" t="inlineStr">
        <is>
          <t>No convergió</t>
        </is>
      </c>
      <c r="M234" s="29" t="inlineStr">
        <is>
          <t>—</t>
        </is>
      </c>
      <c r="N234" s="35" t="inlineStr">
        <is>
          <t>—</t>
        </is>
      </c>
      <c r="O234" s="36" t="n">
        <v>3997.793975774742</v>
      </c>
      <c r="P234" s="29" t="n">
        <v>5.213635832398366</v>
      </c>
      <c r="Q234" s="16" t="inlineStr">
        <is>
          <t>no</t>
        </is>
      </c>
      <c r="R234" s="16" t="n"/>
    </row>
    <row r="235">
      <c r="A235" s="16" t="inlineStr">
        <is>
          <t>KF-M04-0224</t>
        </is>
      </c>
      <c r="B235" s="35" t="n">
        <v>383.2114026299085</v>
      </c>
      <c r="C235" s="35" t="n">
        <v>301.0616826067424</v>
      </c>
      <c r="D235" s="36" t="n">
        <v>2984.824551226909</v>
      </c>
      <c r="E235" s="35" t="n">
        <v>498.4690410020023</v>
      </c>
      <c r="F235" s="37" t="n">
        <v>0.8135669719949488</v>
      </c>
      <c r="G235" s="37" t="n">
        <v>0.8486764355856469</v>
      </c>
      <c r="H235" s="37" t="n">
        <v>0.6810102316391647</v>
      </c>
      <c r="I235" s="37" t="n">
        <v>0.7214872982490872</v>
      </c>
      <c r="J235" s="37" t="n">
        <v>0.8001127935351198</v>
      </c>
      <c r="K235" s="37" t="n">
        <v>0.8976030605447404</v>
      </c>
      <c r="L235" s="40" t="inlineStr">
        <is>
          <t>Inviable</t>
        </is>
      </c>
      <c r="M235" s="29" t="n">
        <v>-101.561542525508</v>
      </c>
      <c r="N235" s="35" t="n">
        <v>-81.06338882160338</v>
      </c>
      <c r="O235" s="36" t="n">
        <v>2486.355510224907</v>
      </c>
      <c r="P235" s="29" t="n">
        <v>5.987983817865469</v>
      </c>
      <c r="Q235" s="16" t="inlineStr">
        <is>
          <t>no</t>
        </is>
      </c>
      <c r="R235" s="16" t="inlineStr">
        <is>
          <t>O2,O3</t>
        </is>
      </c>
    </row>
    <row r="236">
      <c r="A236" s="16" t="inlineStr">
        <is>
          <t>KF-M04-0225</t>
        </is>
      </c>
      <c r="B236" s="35" t="n">
        <v>420.8644744374256</v>
      </c>
      <c r="C236" s="35" t="n">
        <v>285.6101089107889</v>
      </c>
      <c r="D236" s="36" t="n">
        <v>4646.653516524502</v>
      </c>
      <c r="E236" s="35" t="n">
        <v>337.9554282911307</v>
      </c>
      <c r="F236" s="37" t="n">
        <v>0.5423111445915675</v>
      </c>
      <c r="G236" s="37" t="n">
        <v>0.7635670008312566</v>
      </c>
      <c r="H236" s="37" t="n">
        <v>0.8378339393198938</v>
      </c>
      <c r="I236" s="37" t="n">
        <v>0.6354407749551445</v>
      </c>
      <c r="J236" s="37" t="n">
        <v>0.6207135866870757</v>
      </c>
      <c r="K236" s="37" t="n">
        <v>0.8618398724592795</v>
      </c>
      <c r="L236" s="39" t="inlineStr">
        <is>
          <t>Corregible</t>
        </is>
      </c>
      <c r="M236" s="29" t="n">
        <v>4.77212645095393</v>
      </c>
      <c r="N236" s="35" t="n">
        <v>15.01336433554987</v>
      </c>
      <c r="O236" s="36" t="n">
        <v>4308.698088233372</v>
      </c>
      <c r="P236" s="29" t="n">
        <v>13.74930871807645</v>
      </c>
      <c r="Q236" s="16" t="inlineStr">
        <is>
          <t>no</t>
        </is>
      </c>
      <c r="R236" s="16" t="inlineStr">
        <is>
          <t>O2</t>
        </is>
      </c>
    </row>
    <row r="237">
      <c r="A237" s="16" t="inlineStr">
        <is>
          <t>KF-M04-0226</t>
        </is>
      </c>
      <c r="B237" s="35" t="n">
        <v>497.2141314546261</v>
      </c>
      <c r="C237" s="35" t="n">
        <v>290.2997360774774</v>
      </c>
      <c r="D237" s="36" t="n">
        <v>4851.753111118871</v>
      </c>
      <c r="E237" s="35" t="n">
        <v>821.5995952805338</v>
      </c>
      <c r="F237" s="37" t="n">
        <v>0.6209790503039539</v>
      </c>
      <c r="G237" s="37" t="n">
        <v>0.851189865794115</v>
      </c>
      <c r="H237" s="37" t="n">
        <v>0.8153011088216731</v>
      </c>
      <c r="I237" s="37" t="n">
        <v>0.7694616749961922</v>
      </c>
      <c r="J237" s="37" t="n">
        <v>0.8389808269306915</v>
      </c>
      <c r="K237" s="37" t="n">
        <v>0.7122886619221251</v>
      </c>
      <c r="L237" s="32" t="inlineStr">
        <is>
          <t>No convergió</t>
        </is>
      </c>
      <c r="M237" s="29" t="inlineStr">
        <is>
          <t>—</t>
        </is>
      </c>
      <c r="N237" s="35" t="inlineStr">
        <is>
          <t>—</t>
        </is>
      </c>
      <c r="O237" s="36" t="n">
        <v>4030.153515838337</v>
      </c>
      <c r="P237" s="29" t="n">
        <v>5.905252557314427</v>
      </c>
      <c r="Q237" s="16" t="inlineStr">
        <is>
          <t>no</t>
        </is>
      </c>
      <c r="R237" s="16" t="n"/>
    </row>
    <row r="238">
      <c r="A238" s="16" t="inlineStr">
        <is>
          <t>KF-M04-0227</t>
        </is>
      </c>
      <c r="B238" s="35" t="n">
        <v>383.6584814438123</v>
      </c>
      <c r="C238" s="35" t="n">
        <v>298.8543790336173</v>
      </c>
      <c r="D238" s="36" t="n">
        <v>3262.876769528304</v>
      </c>
      <c r="E238" s="35" t="n">
        <v>1336.435912200403</v>
      </c>
      <c r="F238" s="37" t="n">
        <v>0.7640202291936016</v>
      </c>
      <c r="G238" s="37" t="n">
        <v>0.8947378602789342</v>
      </c>
      <c r="H238" s="37" t="n">
        <v>0.8120217051656773</v>
      </c>
      <c r="I238" s="37" t="n">
        <v>0.6041387187397677</v>
      </c>
      <c r="J238" s="37" t="n">
        <v>0.8761711965127308</v>
      </c>
      <c r="K238" s="37" t="n">
        <v>0.8514220777509669</v>
      </c>
      <c r="L238" s="42" t="inlineStr">
        <is>
          <t>KALINA</t>
        </is>
      </c>
      <c r="M238" s="29" t="n">
        <v>7.57833393347663</v>
      </c>
      <c r="N238" s="35" t="n">
        <v>32.32431111563251</v>
      </c>
      <c r="O238" s="36" t="n">
        <v>1926.440857327901</v>
      </c>
      <c r="P238" s="29" t="n">
        <v>2.441476422282062</v>
      </c>
      <c r="Q238" s="16" t="inlineStr">
        <is>
          <t>no</t>
        </is>
      </c>
      <c r="R238" s="16" t="n"/>
    </row>
    <row r="239">
      <c r="A239" s="16" t="inlineStr">
        <is>
          <t>KF-M04-0228</t>
        </is>
      </c>
      <c r="B239" s="35" t="n">
        <v>432.7944915718168</v>
      </c>
      <c r="C239" s="35" t="n">
        <v>285.0334988565534</v>
      </c>
      <c r="D239" s="36" t="n">
        <v>2548.097371659946</v>
      </c>
      <c r="E239" s="35" t="n">
        <v>1110.860657709698</v>
      </c>
      <c r="F239" s="37" t="n">
        <v>0.6294744778065782</v>
      </c>
      <c r="G239" s="37" t="n">
        <v>0.8850527297352523</v>
      </c>
      <c r="H239" s="37" t="n">
        <v>0.6945608971824592</v>
      </c>
      <c r="I239" s="37" t="n">
        <v>0.8814014338669169</v>
      </c>
      <c r="J239" s="37" t="n">
        <v>0.6546824973597511</v>
      </c>
      <c r="K239" s="37" t="n">
        <v>0.8959183844387084</v>
      </c>
      <c r="L239" s="42" t="inlineStr">
        <is>
          <t>KALINA</t>
        </is>
      </c>
      <c r="M239" s="29" t="n">
        <v>6.60808840435998</v>
      </c>
      <c r="N239" s="35" t="n">
        <v>79.57440062967633</v>
      </c>
      <c r="O239" s="36" t="n">
        <v>1437.236713950248</v>
      </c>
      <c r="P239" s="29" t="n">
        <v>2.293804676559032</v>
      </c>
      <c r="Q239" s="16" t="inlineStr">
        <is>
          <t>sí</t>
        </is>
      </c>
      <c r="R239" s="16" t="n"/>
    </row>
    <row r="240">
      <c r="A240" s="16" t="inlineStr">
        <is>
          <t>KF-M04-0229</t>
        </is>
      </c>
      <c r="B240" s="35" t="n">
        <v>482.6925659491382</v>
      </c>
      <c r="C240" s="35" t="n">
        <v>302.55844167903</v>
      </c>
      <c r="D240" s="36" t="n">
        <v>3381.451689328788</v>
      </c>
      <c r="E240" s="35" t="n">
        <v>841.6494998337434</v>
      </c>
      <c r="F240" s="37" t="n">
        <v>0.6787471511134791</v>
      </c>
      <c r="G240" s="37" t="n">
        <v>0.8778184034728318</v>
      </c>
      <c r="H240" s="37" t="n">
        <v>0.8925640890693249</v>
      </c>
      <c r="I240" s="37" t="n">
        <v>0.7352730610343644</v>
      </c>
      <c r="J240" s="37" t="n">
        <v>0.6596828707795626</v>
      </c>
      <c r="K240" s="37" t="n">
        <v>0.88024600978808</v>
      </c>
      <c r="L240" s="39" t="inlineStr">
        <is>
          <t>Corregible</t>
        </is>
      </c>
      <c r="M240" s="29" t="n">
        <v>11.3903682347796</v>
      </c>
      <c r="N240" s="35" t="n">
        <v>156.4536985906295</v>
      </c>
      <c r="O240" s="36" t="n">
        <v>2539.802189495044</v>
      </c>
      <c r="P240" s="29" t="n">
        <v>4.017648308466586</v>
      </c>
      <c r="Q240" s="16" t="inlineStr">
        <is>
          <t>sí</t>
        </is>
      </c>
      <c r="R240" s="16" t="inlineStr">
        <is>
          <t>O2</t>
        </is>
      </c>
    </row>
    <row r="241">
      <c r="A241" s="16" t="inlineStr">
        <is>
          <t>KF-M04-0230</t>
        </is>
      </c>
      <c r="B241" s="35" t="n">
        <v>419.622368617253</v>
      </c>
      <c r="C241" s="35" t="n">
        <v>282.4880284817011</v>
      </c>
      <c r="D241" s="36" t="n">
        <v>4750.194928377976</v>
      </c>
      <c r="E241" s="35" t="n">
        <v>613.5400090441511</v>
      </c>
      <c r="F241" s="37" t="n">
        <v>0.6897367536436327</v>
      </c>
      <c r="G241" s="37" t="n">
        <v>0.8678429297367709</v>
      </c>
      <c r="H241" s="37" t="n">
        <v>0.8443474540720324</v>
      </c>
      <c r="I241" s="37" t="n">
        <v>0.758620138045224</v>
      </c>
      <c r="J241" s="37" t="n">
        <v>0.9398486658691848</v>
      </c>
      <c r="K241" s="37" t="n">
        <v>0.8527997555017197</v>
      </c>
      <c r="L241" s="39" t="inlineStr">
        <is>
          <t>Corregible</t>
        </is>
      </c>
      <c r="M241" s="29" t="n">
        <v>15.50611204682515</v>
      </c>
      <c r="N241" s="35" t="n">
        <v>88.41784661066946</v>
      </c>
      <c r="O241" s="36" t="n">
        <v>4136.654919333825</v>
      </c>
      <c r="P241" s="29" t="n">
        <v>7.742274111477131</v>
      </c>
      <c r="Q241" s="16" t="inlineStr">
        <is>
          <t>no</t>
        </is>
      </c>
      <c r="R241" s="16" t="inlineStr">
        <is>
          <t>O2</t>
        </is>
      </c>
    </row>
    <row r="242">
      <c r="A242" s="16" t="inlineStr">
        <is>
          <t>KF-M04-0231</t>
        </is>
      </c>
      <c r="B242" s="35" t="n">
        <v>389.6902405187864</v>
      </c>
      <c r="C242" s="35" t="n">
        <v>303.440730490687</v>
      </c>
      <c r="D242" s="36" t="n">
        <v>3175.483333911347</v>
      </c>
      <c r="E242" s="35" t="n">
        <v>1200.548312920992</v>
      </c>
      <c r="F242" s="37" t="n">
        <v>0.5504552913111876</v>
      </c>
      <c r="G242" s="37" t="n">
        <v>0.8215019564171622</v>
      </c>
      <c r="H242" s="37" t="n">
        <v>0.811613335771644</v>
      </c>
      <c r="I242" s="37" t="n">
        <v>0.6720626686046319</v>
      </c>
      <c r="J242" s="37" t="n">
        <v>0.680045223456322</v>
      </c>
      <c r="K242" s="37" t="n">
        <v>0.7702276589457133</v>
      </c>
      <c r="L242" s="42" t="inlineStr">
        <is>
          <t>KALINA</t>
        </is>
      </c>
      <c r="M242" s="29" t="n">
        <v>2.17729197231365</v>
      </c>
      <c r="N242" s="35" t="n">
        <v>4.088875244248833</v>
      </c>
      <c r="O242" s="36" t="n">
        <v>1974.935020990355</v>
      </c>
      <c r="P242" s="29" t="n">
        <v>2.645027525952073</v>
      </c>
      <c r="Q242" s="16" t="inlineStr">
        <is>
          <t>no</t>
        </is>
      </c>
      <c r="R242" s="16" t="n"/>
    </row>
    <row r="243">
      <c r="A243" s="16" t="inlineStr">
        <is>
          <t>KF-M04-0232</t>
        </is>
      </c>
      <c r="B243" s="35" t="n">
        <v>456.0184455166745</v>
      </c>
      <c r="C243" s="35" t="n">
        <v>290.9806845825473</v>
      </c>
      <c r="D243" s="36" t="n">
        <v>2563.342312539491</v>
      </c>
      <c r="E243" s="35" t="n">
        <v>1440.710131756108</v>
      </c>
      <c r="F243" s="37" t="n">
        <v>0.7338022049555125</v>
      </c>
      <c r="G243" s="37" t="n">
        <v>0.7648675871031667</v>
      </c>
      <c r="H243" s="37" t="n">
        <v>0.7747870338057045</v>
      </c>
      <c r="I243" s="37" t="n">
        <v>0.6398182221325153</v>
      </c>
      <c r="J243" s="37" t="n">
        <v>0.747853577381222</v>
      </c>
      <c r="K243" s="37" t="n">
        <v>0.9483041753284996</v>
      </c>
      <c r="L243" s="42" t="inlineStr">
        <is>
          <t>KALINA</t>
        </is>
      </c>
      <c r="M243" s="29" t="n">
        <v>4.31111183600821</v>
      </c>
      <c r="N243" s="35" t="n">
        <v>51.33304826379114</v>
      </c>
      <c r="O243" s="36" t="n">
        <v>1122.632180783384</v>
      </c>
      <c r="P243" s="29" t="n">
        <v>1.779221410357535</v>
      </c>
      <c r="Q243" s="16" t="inlineStr">
        <is>
          <t>no</t>
        </is>
      </c>
      <c r="R243" s="16" t="n"/>
    </row>
    <row r="244">
      <c r="A244" s="16" t="inlineStr">
        <is>
          <t>KF-M04-0233</t>
        </is>
      </c>
      <c r="B244" s="35" t="n">
        <v>495.7735116044128</v>
      </c>
      <c r="C244" s="35" t="n">
        <v>301.790125216409</v>
      </c>
      <c r="D244" s="36" t="n">
        <v>2753.600685755742</v>
      </c>
      <c r="E244" s="35" t="n">
        <v>1280.721496143582</v>
      </c>
      <c r="F244" s="37" t="n">
        <v>0.7885971067647544</v>
      </c>
      <c r="G244" s="37" t="n">
        <v>0.8294174224552964</v>
      </c>
      <c r="H244" s="37" t="n">
        <v>0.8103326623942556</v>
      </c>
      <c r="I244" s="37" t="n">
        <v>0.848556989048071</v>
      </c>
      <c r="J244" s="37" t="n">
        <v>0.6784372409058901</v>
      </c>
      <c r="K244" s="37" t="n">
        <v>0.7972330231551026</v>
      </c>
      <c r="L244" s="32" t="inlineStr">
        <is>
          <t>No convergió</t>
        </is>
      </c>
      <c r="M244" s="29" t="inlineStr">
        <is>
          <t>—</t>
        </is>
      </c>
      <c r="N244" s="35" t="inlineStr">
        <is>
          <t>—</t>
        </is>
      </c>
      <c r="O244" s="36" t="n">
        <v>1472.87918961216</v>
      </c>
      <c r="P244" s="29" t="n">
        <v>2.150038625920772</v>
      </c>
      <c r="Q244" s="16" t="inlineStr">
        <is>
          <t>no</t>
        </is>
      </c>
      <c r="R244" s="16" t="n"/>
    </row>
    <row r="245">
      <c r="A245" s="16" t="inlineStr">
        <is>
          <t>KF-M04-0234</t>
        </is>
      </c>
      <c r="B245" s="35" t="n">
        <v>424.7496040800085</v>
      </c>
      <c r="C245" s="35" t="n">
        <v>294.9831381368971</v>
      </c>
      <c r="D245" s="36" t="n">
        <v>4460.093809745365</v>
      </c>
      <c r="E245" s="35" t="n">
        <v>1112.256411872577</v>
      </c>
      <c r="F245" s="37" t="n">
        <v>0.7866456227613865</v>
      </c>
      <c r="G245" s="37" t="n">
        <v>0.7940855078467167</v>
      </c>
      <c r="H245" s="37" t="n">
        <v>0.6551314137133597</v>
      </c>
      <c r="I245" s="37" t="n">
        <v>0.6012238711814119</v>
      </c>
      <c r="J245" s="37" t="n">
        <v>0.8233966236661252</v>
      </c>
      <c r="K245" s="37" t="n">
        <v>0.7346040035554262</v>
      </c>
      <c r="L245" s="39" t="inlineStr">
        <is>
          <t>Corregible</t>
        </is>
      </c>
      <c r="M245" s="29" t="n">
        <v>10.1918649298592</v>
      </c>
      <c r="N245" s="35" t="n">
        <v>63.50258709972115</v>
      </c>
      <c r="O245" s="36" t="n">
        <v>3347.837397872789</v>
      </c>
      <c r="P245" s="29" t="n">
        <v>4.009951088738993</v>
      </c>
      <c r="Q245" s="16" t="inlineStr">
        <is>
          <t>no</t>
        </is>
      </c>
      <c r="R245" s="16" t="inlineStr">
        <is>
          <t>O2</t>
        </is>
      </c>
    </row>
    <row r="246">
      <c r="A246" s="16" t="inlineStr">
        <is>
          <t>KF-M04-0235</t>
        </is>
      </c>
      <c r="B246" s="35" t="n">
        <v>417.9259575687537</v>
      </c>
      <c r="C246" s="35" t="n">
        <v>286.9940455553141</v>
      </c>
      <c r="D246" s="36" t="n">
        <v>2898.101622896409</v>
      </c>
      <c r="E246" s="35" t="n">
        <v>1485.335384226557</v>
      </c>
      <c r="F246" s="37" t="n">
        <v>0.8067629086250629</v>
      </c>
      <c r="G246" s="37" t="n">
        <v>0.7587144159028502</v>
      </c>
      <c r="H246" s="37" t="n">
        <v>0.8912242824208376</v>
      </c>
      <c r="I246" s="37" t="n">
        <v>0.716947431964864</v>
      </c>
      <c r="J246" s="37" t="n">
        <v>0.9149171064076976</v>
      </c>
      <c r="K246" s="37" t="n">
        <v>0.7508722254770525</v>
      </c>
      <c r="L246" s="39" t="inlineStr">
        <is>
          <t>Corregible</t>
        </is>
      </c>
      <c r="M246" s="29" t="n">
        <v>5.65214192137486</v>
      </c>
      <c r="N246" s="35" t="n">
        <v>49.27328143328616</v>
      </c>
      <c r="O246" s="36" t="n">
        <v>1412.766238669852</v>
      </c>
      <c r="P246" s="29" t="n">
        <v>1.95114292278542</v>
      </c>
      <c r="Q246" s="16" t="inlineStr">
        <is>
          <t>no</t>
        </is>
      </c>
      <c r="R246" s="16" t="inlineStr">
        <is>
          <t>O2</t>
        </is>
      </c>
    </row>
    <row r="247">
      <c r="A247" s="16" t="inlineStr">
        <is>
          <t>KF-M04-0236</t>
        </is>
      </c>
      <c r="B247" s="35" t="n">
        <v>471.0080796820071</v>
      </c>
      <c r="C247" s="35" t="n">
        <v>294.4925725634904</v>
      </c>
      <c r="D247" s="36" t="n">
        <v>2126.010874372207</v>
      </c>
      <c r="E247" s="35" t="n">
        <v>796.5085528455427</v>
      </c>
      <c r="F247" s="37" t="n">
        <v>0.7242335405568301</v>
      </c>
      <c r="G247" s="37" t="n">
        <v>0.8616583646807399</v>
      </c>
      <c r="H247" s="37" t="n">
        <v>0.777552633939751</v>
      </c>
      <c r="I247" s="37" t="n">
        <v>0.6099236601943235</v>
      </c>
      <c r="J247" s="37" t="n">
        <v>0.7908048681546205</v>
      </c>
      <c r="K247" s="37" t="n">
        <v>0.79239542573218</v>
      </c>
      <c r="L247" s="39" t="inlineStr">
        <is>
          <t>Corregible</t>
        </is>
      </c>
      <c r="M247" s="29" t="n">
        <v>7.871433782208991</v>
      </c>
      <c r="N247" s="35" t="n">
        <v>83.6342761738408</v>
      </c>
      <c r="O247" s="36" t="n">
        <v>1329.502321526664</v>
      </c>
      <c r="P247" s="29" t="n">
        <v>2.669162643360189</v>
      </c>
      <c r="Q247" s="16" t="inlineStr">
        <is>
          <t>no</t>
        </is>
      </c>
      <c r="R247" s="16" t="inlineStr">
        <is>
          <t>O2</t>
        </is>
      </c>
    </row>
    <row r="248">
      <c r="A248" s="16" t="inlineStr">
        <is>
          <t>KF-M04-0237</t>
        </is>
      </c>
      <c r="B248" s="35" t="n">
        <v>436.5241959718242</v>
      </c>
      <c r="C248" s="35" t="n">
        <v>299.3563907041109</v>
      </c>
      <c r="D248" s="36" t="n">
        <v>4702.230184271984</v>
      </c>
      <c r="E248" s="35" t="n">
        <v>1464.867445124028</v>
      </c>
      <c r="F248" s="37" t="n">
        <v>0.6245543344784574</v>
      </c>
      <c r="G248" s="37" t="n">
        <v>0.7576365543506851</v>
      </c>
      <c r="H248" s="37" t="n">
        <v>0.8316555067953814</v>
      </c>
      <c r="I248" s="37" t="n">
        <v>0.6318762991929415</v>
      </c>
      <c r="J248" s="37" t="n">
        <v>0.8647668218353417</v>
      </c>
      <c r="K248" s="37" t="n">
        <v>0.9457764414248226</v>
      </c>
      <c r="L248" s="42" t="inlineStr">
        <is>
          <t>KALINA</t>
        </is>
      </c>
      <c r="M248" s="29" t="n">
        <v>7.14555151814191</v>
      </c>
      <c r="N248" s="35" t="n">
        <v>37.8833271203797</v>
      </c>
      <c r="O248" s="36" t="n">
        <v>3237.362739147956</v>
      </c>
      <c r="P248" s="29" t="n">
        <v>3.210003881186569</v>
      </c>
      <c r="Q248" s="16" t="inlineStr">
        <is>
          <t>no</t>
        </is>
      </c>
      <c r="R248" s="16" t="n"/>
    </row>
    <row r="249">
      <c r="A249" s="16" t="inlineStr">
        <is>
          <t>KF-M04-0238</t>
        </is>
      </c>
      <c r="B249" s="35" t="n">
        <v>461.2784551018678</v>
      </c>
      <c r="C249" s="35" t="n">
        <v>299.5470727457512</v>
      </c>
      <c r="D249" s="36" t="n">
        <v>2493.33274063554</v>
      </c>
      <c r="E249" s="35" t="n">
        <v>973.3351270029729</v>
      </c>
      <c r="F249" s="37" t="n">
        <v>0.6555936764334402</v>
      </c>
      <c r="G249" s="37" t="n">
        <v>0.8514702800974231</v>
      </c>
      <c r="H249" s="37" t="n">
        <v>0.7987249073976249</v>
      </c>
      <c r="I249" s="37" t="n">
        <v>0.924149104086588</v>
      </c>
      <c r="J249" s="37" t="n">
        <v>0.658971660473011</v>
      </c>
      <c r="K249" s="37" t="n">
        <v>0.7909468752541378</v>
      </c>
      <c r="L249" s="39" t="inlineStr">
        <is>
          <t>Corregible</t>
        </is>
      </c>
      <c r="M249" s="29" t="n">
        <v>6.86967009426228</v>
      </c>
      <c r="N249" s="35" t="n">
        <v>107.8705361525475</v>
      </c>
      <c r="O249" s="36" t="n">
        <v>1519.997613632567</v>
      </c>
      <c r="P249" s="29" t="n">
        <v>2.561638506064032</v>
      </c>
      <c r="Q249" s="16" t="inlineStr">
        <is>
          <t>sí</t>
        </is>
      </c>
      <c r="R249" s="16" t="inlineStr">
        <is>
          <t>O2</t>
        </is>
      </c>
    </row>
    <row r="250">
      <c r="A250" s="16" t="inlineStr">
        <is>
          <t>KF-M04-0239</t>
        </is>
      </c>
      <c r="B250" s="35" t="n">
        <v>483.6846165350545</v>
      </c>
      <c r="C250" s="35" t="n">
        <v>303.3308155170789</v>
      </c>
      <c r="D250" s="36" t="n">
        <v>3196.211656475389</v>
      </c>
      <c r="E250" s="35" t="n">
        <v>801.1242899270544</v>
      </c>
      <c r="F250" s="37" t="n">
        <v>0.7275051486979791</v>
      </c>
      <c r="G250" s="37" t="n">
        <v>0.783979683595015</v>
      </c>
      <c r="H250" s="37" t="n">
        <v>0.842453106043431</v>
      </c>
      <c r="I250" s="37" t="n">
        <v>0.9079762811504296</v>
      </c>
      <c r="J250" s="37" t="n">
        <v>0.8421781140655128</v>
      </c>
      <c r="K250" s="37" t="n">
        <v>0.8847658675909628</v>
      </c>
      <c r="L250" s="39" t="inlineStr">
        <is>
          <t>Corregible</t>
        </is>
      </c>
      <c r="M250" s="29" t="n">
        <v>9.90277326712684</v>
      </c>
      <c r="N250" s="35" t="n">
        <v>159.579086392721</v>
      </c>
      <c r="O250" s="36" t="n">
        <v>2395.087366548334</v>
      </c>
      <c r="P250" s="29" t="n">
        <v>3.989657655700861</v>
      </c>
      <c r="Q250" s="16" t="inlineStr">
        <is>
          <t>sí</t>
        </is>
      </c>
      <c r="R250" s="16" t="inlineStr">
        <is>
          <t>O2</t>
        </is>
      </c>
    </row>
    <row r="251">
      <c r="A251" s="16" t="inlineStr">
        <is>
          <t>KF-M04-0240</t>
        </is>
      </c>
      <c r="B251" s="35" t="n">
        <v>418.6333538110085</v>
      </c>
      <c r="C251" s="35" t="n">
        <v>292.3839815711045</v>
      </c>
      <c r="D251" s="36" t="n">
        <v>3126.873834830641</v>
      </c>
      <c r="E251" s="35" t="n">
        <v>1247.611980786854</v>
      </c>
      <c r="F251" s="37" t="n">
        <v>0.6101471034956187</v>
      </c>
      <c r="G251" s="37" t="n">
        <v>0.8805427317788102</v>
      </c>
      <c r="H251" s="37" t="n">
        <v>0.6761532047810334</v>
      </c>
      <c r="I251" s="37" t="n">
        <v>0.8317342105981421</v>
      </c>
      <c r="J251" s="37" t="n">
        <v>0.851825436453898</v>
      </c>
      <c r="K251" s="37" t="n">
        <v>0.7875498437801165</v>
      </c>
      <c r="L251" s="40" t="inlineStr">
        <is>
          <t>Inviable</t>
        </is>
      </c>
      <c r="M251" s="29" t="n">
        <v>7.70702165050257</v>
      </c>
      <c r="N251" s="35" t="n">
        <v>51.08393794416858</v>
      </c>
      <c r="O251" s="36" t="n">
        <v>1879.261854043787</v>
      </c>
      <c r="P251" s="29" t="n">
        <v>2.506287117296325</v>
      </c>
      <c r="Q251" s="16" t="inlineStr">
        <is>
          <t>no</t>
        </is>
      </c>
      <c r="R251" s="16" t="inlineStr">
        <is>
          <t>S3</t>
        </is>
      </c>
    </row>
    <row r="252">
      <c r="A252" s="16" t="inlineStr">
        <is>
          <t>KF-M04-0241</t>
        </is>
      </c>
      <c r="B252" s="35" t="n">
        <v>454.3490101703642</v>
      </c>
      <c r="C252" s="35" t="n">
        <v>281.7356048700285</v>
      </c>
      <c r="D252" s="36" t="n">
        <v>3041.878040889472</v>
      </c>
      <c r="E252" s="35" t="n">
        <v>1161.275268138855</v>
      </c>
      <c r="F252" s="37" t="n">
        <v>0.5871718556141458</v>
      </c>
      <c r="G252" s="37" t="n">
        <v>0.8549605916693075</v>
      </c>
      <c r="H252" s="37" t="n">
        <v>0.7056114750179454</v>
      </c>
      <c r="I252" s="37" t="n">
        <v>0.7591979176321435</v>
      </c>
      <c r="J252" s="37" t="n">
        <v>0.7827759631177218</v>
      </c>
      <c r="K252" s="37" t="n">
        <v>0.7810985764956829</v>
      </c>
      <c r="L252" s="39" t="inlineStr">
        <is>
          <t>Corregible</t>
        </is>
      </c>
      <c r="M252" s="29" t="n">
        <v>7.69790762594227</v>
      </c>
      <c r="N252" s="35" t="n">
        <v>87.54900851316725</v>
      </c>
      <c r="O252" s="36" t="n">
        <v>1880.602772750617</v>
      </c>
      <c r="P252" s="29" t="n">
        <v>2.619428936745213</v>
      </c>
      <c r="Q252" s="16" t="inlineStr">
        <is>
          <t>sí</t>
        </is>
      </c>
      <c r="R252" s="16" t="inlineStr">
        <is>
          <t>O2</t>
        </is>
      </c>
    </row>
    <row r="253">
      <c r="A253" s="16" t="inlineStr">
        <is>
          <t>KF-M04-0242</t>
        </is>
      </c>
      <c r="B253" s="35" t="n">
        <v>485.8309987543348</v>
      </c>
      <c r="C253" s="35" t="n">
        <v>297.3821645648199</v>
      </c>
      <c r="D253" s="36" t="n">
        <v>2991.432788258667</v>
      </c>
      <c r="E253" s="35" t="n">
        <v>467.4007399490317</v>
      </c>
      <c r="F253" s="37" t="n">
        <v>0.5609096114881178</v>
      </c>
      <c r="G253" s="37" t="n">
        <v>0.8904036920093497</v>
      </c>
      <c r="H253" s="37" t="n">
        <v>0.7941352977533609</v>
      </c>
      <c r="I253" s="37" t="n">
        <v>0.7794391990168741</v>
      </c>
      <c r="J253" s="37" t="n">
        <v>0.9233159063459324</v>
      </c>
      <c r="K253" s="37" t="n">
        <v>0.7859178266192093</v>
      </c>
      <c r="L253" s="39" t="inlineStr">
        <is>
          <t>Corregible</t>
        </is>
      </c>
      <c r="M253" s="29" t="n">
        <v>13.30406465736319</v>
      </c>
      <c r="N253" s="35" t="n">
        <v>193.4342257732221</v>
      </c>
      <c r="O253" s="36" t="n">
        <v>2524.032048309636</v>
      </c>
      <c r="P253" s="29" t="n">
        <v>6.400145597939943</v>
      </c>
      <c r="Q253" s="16" t="inlineStr">
        <is>
          <t>sí</t>
        </is>
      </c>
      <c r="R253" s="16" t="inlineStr">
        <is>
          <t>O2</t>
        </is>
      </c>
    </row>
    <row r="254">
      <c r="A254" s="16" t="inlineStr">
        <is>
          <t>KF-M04-0243</t>
        </is>
      </c>
      <c r="B254" s="35" t="n">
        <v>403.9901879931364</v>
      </c>
      <c r="C254" s="35" t="n">
        <v>301.4359851023136</v>
      </c>
      <c r="D254" s="36" t="n">
        <v>3327.772238845569</v>
      </c>
      <c r="E254" s="35" t="n">
        <v>1205.063074717169</v>
      </c>
      <c r="F254" s="37" t="n">
        <v>0.7494550393713024</v>
      </c>
      <c r="G254" s="37" t="n">
        <v>0.8404051796470344</v>
      </c>
      <c r="H254" s="37" t="n">
        <v>0.6646739914960442</v>
      </c>
      <c r="I254" s="37" t="n">
        <v>0.6505528040027816</v>
      </c>
      <c r="J254" s="37" t="n">
        <v>0.9201968273951158</v>
      </c>
      <c r="K254" s="37" t="n">
        <v>0.9364437427882945</v>
      </c>
      <c r="L254" s="42" t="inlineStr">
        <is>
          <t>KALINA</t>
        </is>
      </c>
      <c r="M254" s="29" t="n">
        <v>8.27329743419536</v>
      </c>
      <c r="N254" s="35" t="n">
        <v>49.65565946704061</v>
      </c>
      <c r="O254" s="36" t="n">
        <v>2122.7091641284</v>
      </c>
      <c r="P254" s="29" t="n">
        <v>2.761492164737189</v>
      </c>
      <c r="Q254" s="16" t="inlineStr">
        <is>
          <t>no</t>
        </is>
      </c>
      <c r="R254" s="16" t="n"/>
    </row>
    <row r="255">
      <c r="A255" s="16" t="inlineStr">
        <is>
          <t>KF-M04-0244</t>
        </is>
      </c>
      <c r="B255" s="35" t="n">
        <v>464.0753516053844</v>
      </c>
      <c r="C255" s="35" t="n">
        <v>285.9828594716552</v>
      </c>
      <c r="D255" s="36" t="n">
        <v>3614.682523970197</v>
      </c>
      <c r="E255" s="35" t="n">
        <v>500.4614034143506</v>
      </c>
      <c r="F255" s="37" t="n">
        <v>0.7621638047280941</v>
      </c>
      <c r="G255" s="37" t="n">
        <v>0.7747769765173986</v>
      </c>
      <c r="H255" s="37" t="n">
        <v>0.7278312166374339</v>
      </c>
      <c r="I255" s="37" t="n">
        <v>0.6251446291258024</v>
      </c>
      <c r="J255" s="37" t="n">
        <v>0.6554820060872781</v>
      </c>
      <c r="K255" s="37" t="n">
        <v>0.8165147683052826</v>
      </c>
      <c r="L255" s="39" t="inlineStr">
        <is>
          <t>Corregible</t>
        </is>
      </c>
      <c r="M255" s="29" t="n">
        <v>13.45197551072942</v>
      </c>
      <c r="N255" s="35" t="n">
        <v>141.5598149245158</v>
      </c>
      <c r="O255" s="36" t="n">
        <v>3114.221120555846</v>
      </c>
      <c r="P255" s="29" t="n">
        <v>7.222699891159173</v>
      </c>
      <c r="Q255" s="16" t="inlineStr">
        <is>
          <t>no</t>
        </is>
      </c>
      <c r="R255" s="16" t="inlineStr">
        <is>
          <t>O2</t>
        </is>
      </c>
    </row>
    <row r="256">
      <c r="A256" s="16" t="inlineStr">
        <is>
          <t>KF-M04-0245</t>
        </is>
      </c>
      <c r="B256" s="35" t="n">
        <v>489.0192029646505</v>
      </c>
      <c r="C256" s="35" t="n">
        <v>294.3044498272517</v>
      </c>
      <c r="D256" s="36" t="n">
        <v>2251.395536928917</v>
      </c>
      <c r="E256" s="35" t="n">
        <v>1340.305802740606</v>
      </c>
      <c r="F256" s="37" t="n">
        <v>0.7469595479825571</v>
      </c>
      <c r="G256" s="37" t="n">
        <v>0.8317813897673565</v>
      </c>
      <c r="H256" s="37" t="n">
        <v>0.8512583801695202</v>
      </c>
      <c r="I256" s="37" t="n">
        <v>0.8455850793983759</v>
      </c>
      <c r="J256" s="37" t="n">
        <v>0.6159304850459316</v>
      </c>
      <c r="K256" s="37" t="n">
        <v>0.8748400759058738</v>
      </c>
      <c r="L256" s="39" t="inlineStr">
        <is>
          <t>Corregible</t>
        </is>
      </c>
      <c r="M256" s="29" t="n">
        <v>4.37283372735367</v>
      </c>
      <c r="N256" s="35" t="n">
        <v>68.7885837285144</v>
      </c>
      <c r="O256" s="36" t="n">
        <v>911.0897341883112</v>
      </c>
      <c r="P256" s="29" t="n">
        <v>1.679762582781743</v>
      </c>
      <c r="Q256" s="16" t="inlineStr">
        <is>
          <t>sí</t>
        </is>
      </c>
      <c r="R256" s="16" t="inlineStr">
        <is>
          <t>O2</t>
        </is>
      </c>
    </row>
    <row r="257">
      <c r="A257" s="16" t="inlineStr">
        <is>
          <t>KF-M04-0246</t>
        </is>
      </c>
      <c r="B257" s="35" t="n">
        <v>434.1453460259523</v>
      </c>
      <c r="C257" s="35" t="n">
        <v>283.4750661229878</v>
      </c>
      <c r="D257" s="36" t="n">
        <v>4588.917036782899</v>
      </c>
      <c r="E257" s="35" t="n">
        <v>976.8138472025904</v>
      </c>
      <c r="F257" s="37" t="n">
        <v>0.703772637799957</v>
      </c>
      <c r="G257" s="37" t="n">
        <v>0.8229346619981747</v>
      </c>
      <c r="H257" s="37" t="n">
        <v>0.7584659465059291</v>
      </c>
      <c r="I257" s="37" t="n">
        <v>0.6086778130624531</v>
      </c>
      <c r="J257" s="37" t="n">
        <v>0.6461755682872263</v>
      </c>
      <c r="K257" s="37" t="n">
        <v>0.888815001240246</v>
      </c>
      <c r="L257" s="42" t="inlineStr">
        <is>
          <t>KALINA</t>
        </is>
      </c>
      <c r="M257" s="29" t="n">
        <v>9.76633807774911</v>
      </c>
      <c r="N257" s="35" t="n">
        <v>66.04719450719216</v>
      </c>
      <c r="O257" s="36" t="n">
        <v>3612.103189580309</v>
      </c>
      <c r="P257" s="29" t="n">
        <v>4.697841917295386</v>
      </c>
      <c r="Q257" s="16" t="inlineStr">
        <is>
          <t>no</t>
        </is>
      </c>
      <c r="R257" s="16" t="n"/>
    </row>
    <row r="258">
      <c r="A258" s="16" t="inlineStr">
        <is>
          <t>KF-M04-0247</t>
        </is>
      </c>
      <c r="B258" s="35" t="n">
        <v>424.0809749996675</v>
      </c>
      <c r="C258" s="35" t="n">
        <v>282.6358633868163</v>
      </c>
      <c r="D258" s="36" t="n">
        <v>2467.373004707456</v>
      </c>
      <c r="E258" s="35" t="n">
        <v>1119.328580188661</v>
      </c>
      <c r="F258" s="37" t="n">
        <v>0.5305921793173206</v>
      </c>
      <c r="G258" s="37" t="n">
        <v>0.8367903983522439</v>
      </c>
      <c r="H258" s="37" t="n">
        <v>0.689212831322945</v>
      </c>
      <c r="I258" s="37" t="n">
        <v>0.9447572292921926</v>
      </c>
      <c r="J258" s="37" t="n">
        <v>0.7623994785811088</v>
      </c>
      <c r="K258" s="37" t="n">
        <v>0.73907231802582</v>
      </c>
      <c r="L258" s="39" t="inlineStr">
        <is>
          <t>Corregible</t>
        </is>
      </c>
      <c r="M258" s="29" t="n">
        <v>6.064544317338251</v>
      </c>
      <c r="N258" s="35" t="n">
        <v>48.42130468653532</v>
      </c>
      <c r="O258" s="36" t="n">
        <v>1348.044424518795</v>
      </c>
      <c r="P258" s="29" t="n">
        <v>2.204333069286576</v>
      </c>
      <c r="Q258" s="16" t="inlineStr">
        <is>
          <t>sí</t>
        </is>
      </c>
      <c r="R258" s="16" t="inlineStr">
        <is>
          <t>O2</t>
        </is>
      </c>
    </row>
    <row r="259">
      <c r="A259" s="16" t="inlineStr">
        <is>
          <t>KF-M04-0248</t>
        </is>
      </c>
      <c r="B259" s="35" t="n">
        <v>480.175595405674</v>
      </c>
      <c r="C259" s="35" t="n">
        <v>295.4795993558668</v>
      </c>
      <c r="D259" s="36" t="n">
        <v>2669.174650351103</v>
      </c>
      <c r="E259" s="35" t="n">
        <v>608.5111264401344</v>
      </c>
      <c r="F259" s="37" t="n">
        <v>0.7918713117144509</v>
      </c>
      <c r="G259" s="37" t="n">
        <v>0.8865295136297178</v>
      </c>
      <c r="H259" s="37" t="n">
        <v>0.8500372029856259</v>
      </c>
      <c r="I259" s="37" t="n">
        <v>0.6501104605364716</v>
      </c>
      <c r="J259" s="37" t="n">
        <v>0.8450648797390854</v>
      </c>
      <c r="K259" s="37" t="n">
        <v>0.8248687813684582</v>
      </c>
      <c r="L259" s="39" t="inlineStr">
        <is>
          <t>Corregible</t>
        </is>
      </c>
      <c r="M259" s="29" t="n">
        <v>10.51372593661362</v>
      </c>
      <c r="N259" s="35" t="n">
        <v>89.93258605837465</v>
      </c>
      <c r="O259" s="36" t="n">
        <v>2060.663523910969</v>
      </c>
      <c r="P259" s="29" t="n">
        <v>4.386402375197486</v>
      </c>
      <c r="Q259" s="16" t="inlineStr">
        <is>
          <t>no</t>
        </is>
      </c>
      <c r="R259" s="16" t="inlineStr">
        <is>
          <t>O2</t>
        </is>
      </c>
    </row>
    <row r="260">
      <c r="A260" s="16" t="inlineStr">
        <is>
          <t>KF-M04-0249</t>
        </is>
      </c>
      <c r="B260" s="35" t="n">
        <v>382.4138281961342</v>
      </c>
      <c r="C260" s="35" t="n">
        <v>281.0990682245778</v>
      </c>
      <c r="D260" s="36" t="n">
        <v>3491.429147490326</v>
      </c>
      <c r="E260" s="35" t="n">
        <v>1122.456530609773</v>
      </c>
      <c r="F260" s="37" t="n">
        <v>0.7142887739450012</v>
      </c>
      <c r="G260" s="37" t="n">
        <v>0.7989528768423086</v>
      </c>
      <c r="H260" s="37" t="n">
        <v>0.7192666909490378</v>
      </c>
      <c r="I260" s="37" t="n">
        <v>0.7236997155909346</v>
      </c>
      <c r="J260" s="37" t="n">
        <v>0.73227565601014</v>
      </c>
      <c r="K260" s="37" t="n">
        <v>0.7605461558213099</v>
      </c>
      <c r="L260" s="42" t="inlineStr">
        <is>
          <t>KALINA</t>
        </is>
      </c>
      <c r="M260" s="29" t="n">
        <v>6.73806181146889</v>
      </c>
      <c r="N260" s="35" t="n">
        <v>26.6738069083927</v>
      </c>
      <c r="O260" s="36" t="n">
        <v>2368.972616880553</v>
      </c>
      <c r="P260" s="29" t="n">
        <v>3.110525042420673</v>
      </c>
      <c r="Q260" s="16" t="inlineStr">
        <is>
          <t>no</t>
        </is>
      </c>
      <c r="R260" s="16" t="n"/>
    </row>
    <row r="261">
      <c r="A261" s="16" t="inlineStr">
        <is>
          <t>KF-M04-0250</t>
        </is>
      </c>
      <c r="B261" s="35" t="n">
        <v>426.5963064388209</v>
      </c>
      <c r="C261" s="35" t="n">
        <v>294.5832235303347</v>
      </c>
      <c r="D261" s="36" t="n">
        <v>2372.337325066554</v>
      </c>
      <c r="E261" s="35" t="n">
        <v>1284.238433056974</v>
      </c>
      <c r="F261" s="37" t="n">
        <v>0.7477788090664439</v>
      </c>
      <c r="G261" s="37" t="n">
        <v>0.8059731562372188</v>
      </c>
      <c r="H261" s="37" t="n">
        <v>0.7767179055804239</v>
      </c>
      <c r="I261" s="37" t="n">
        <v>0.7369283322345929</v>
      </c>
      <c r="J261" s="37" t="n">
        <v>0.7399224326012873</v>
      </c>
      <c r="K261" s="37" t="n">
        <v>0.7467183994555707</v>
      </c>
      <c r="L261" s="39" t="inlineStr">
        <is>
          <t>Corregible</t>
        </is>
      </c>
      <c r="M261" s="29" t="n">
        <v>4.753419674862021</v>
      </c>
      <c r="N261" s="35" t="n">
        <v>46.57169875403176</v>
      </c>
      <c r="O261" s="36" t="n">
        <v>1088.098892009579</v>
      </c>
      <c r="P261" s="29" t="n">
        <v>1.84727170905444</v>
      </c>
      <c r="Q261" s="16" t="inlineStr">
        <is>
          <t>no</t>
        </is>
      </c>
      <c r="R261" s="16" t="inlineStr">
        <is>
          <t>O2</t>
        </is>
      </c>
    </row>
    <row r="262">
      <c r="A262" s="16" t="inlineStr">
        <is>
          <t>KF-M04-0251</t>
        </is>
      </c>
      <c r="B262" s="35" t="n">
        <v>485.0166845610353</v>
      </c>
      <c r="C262" s="35" t="n">
        <v>293.1676358520551</v>
      </c>
      <c r="D262" s="36" t="n">
        <v>3297.487010782806</v>
      </c>
      <c r="E262" s="35" t="n">
        <v>815.7720961782053</v>
      </c>
      <c r="F262" s="37" t="n">
        <v>0.6869411139672826</v>
      </c>
      <c r="G262" s="37" t="n">
        <v>0.8036727520571653</v>
      </c>
      <c r="H262" s="37" t="n">
        <v>0.8136008078947046</v>
      </c>
      <c r="I262" s="37" t="n">
        <v>0.8086841034813834</v>
      </c>
      <c r="J262" s="37" t="n">
        <v>0.6902953855678676</v>
      </c>
      <c r="K262" s="37" t="n">
        <v>0.7013496301353244</v>
      </c>
      <c r="L262" s="39" t="inlineStr">
        <is>
          <t>Corregible</t>
        </is>
      </c>
      <c r="M262" s="29" t="n">
        <v>8.838406955604821</v>
      </c>
      <c r="N262" s="35" t="n">
        <v>112.2824768752662</v>
      </c>
      <c r="O262" s="36" t="n">
        <v>2481.7149146046</v>
      </c>
      <c r="P262" s="29" t="n">
        <v>4.04216695598089</v>
      </c>
      <c r="Q262" s="16" t="inlineStr">
        <is>
          <t>sí</t>
        </is>
      </c>
      <c r="R262" s="16" t="inlineStr">
        <is>
          <t>O2</t>
        </is>
      </c>
    </row>
    <row r="263">
      <c r="A263" s="16" t="inlineStr">
        <is>
          <t>KF-M04-0252</t>
        </is>
      </c>
      <c r="B263" s="35" t="n">
        <v>386.6700466867887</v>
      </c>
      <c r="C263" s="35" t="n">
        <v>278.3590475868853</v>
      </c>
      <c r="D263" s="36" t="n">
        <v>4536.454313399127</v>
      </c>
      <c r="E263" s="35" t="n">
        <v>328.5843609878258</v>
      </c>
      <c r="F263" s="37" t="n">
        <v>0.5586238405615949</v>
      </c>
      <c r="G263" s="37" t="n">
        <v>0.751402352588421</v>
      </c>
      <c r="H263" s="37" t="n">
        <v>0.7524859109482961</v>
      </c>
      <c r="I263" s="37" t="n">
        <v>0.7660610797779711</v>
      </c>
      <c r="J263" s="37" t="n">
        <v>0.7493737148860503</v>
      </c>
      <c r="K263" s="37" t="n">
        <v>0.7636356102070717</v>
      </c>
      <c r="L263" s="32" t="inlineStr">
        <is>
          <t>No convergió</t>
        </is>
      </c>
      <c r="M263" s="29" t="inlineStr">
        <is>
          <t>—</t>
        </is>
      </c>
      <c r="N263" s="35" t="inlineStr">
        <is>
          <t>—</t>
        </is>
      </c>
      <c r="O263" s="36" t="n">
        <v>4207.869952411302</v>
      </c>
      <c r="P263" s="29" t="n">
        <v>13.80605668438129</v>
      </c>
      <c r="Q263" s="16" t="inlineStr">
        <is>
          <t>no</t>
        </is>
      </c>
      <c r="R263" s="16" t="n"/>
    </row>
    <row r="264">
      <c r="A264" s="16" t="inlineStr">
        <is>
          <t>KF-M04-0253</t>
        </is>
      </c>
      <c r="B264" s="35" t="n">
        <v>425.3919270470792</v>
      </c>
      <c r="C264" s="35" t="n">
        <v>301.1895086099282</v>
      </c>
      <c r="D264" s="36" t="n">
        <v>4057.000960629413</v>
      </c>
      <c r="E264" s="35" t="n">
        <v>1438.266041719052</v>
      </c>
      <c r="F264" s="37" t="n">
        <v>0.6583016866431044</v>
      </c>
      <c r="G264" s="37" t="n">
        <v>0.8994500337629592</v>
      </c>
      <c r="H264" s="37" t="n">
        <v>0.7297796077451839</v>
      </c>
      <c r="I264" s="37" t="n">
        <v>0.6897940450180331</v>
      </c>
      <c r="J264" s="37" t="n">
        <v>0.9270267883025668</v>
      </c>
      <c r="K264" s="37" t="n">
        <v>0.7126811195504291</v>
      </c>
      <c r="L264" s="39" t="inlineStr">
        <is>
          <t>Corregible</t>
        </is>
      </c>
      <c r="M264" s="29" t="n">
        <v>9.502986901869249</v>
      </c>
      <c r="N264" s="35" t="n">
        <v>51.31756859438374</v>
      </c>
      <c r="O264" s="36" t="n">
        <v>2618.734918910361</v>
      </c>
      <c r="P264" s="29" t="n">
        <v>2.820758359684543</v>
      </c>
      <c r="Q264" s="16" t="inlineStr">
        <is>
          <t>no</t>
        </is>
      </c>
      <c r="R264" s="16" t="inlineStr">
        <is>
          <t>O2</t>
        </is>
      </c>
    </row>
    <row r="265">
      <c r="A265" s="16" t="inlineStr">
        <is>
          <t>KF-M04-0254</t>
        </is>
      </c>
      <c r="B265" s="35" t="n">
        <v>498.3162534567387</v>
      </c>
      <c r="C265" s="35" t="n">
        <v>295.7641016553802</v>
      </c>
      <c r="D265" s="36" t="n">
        <v>2931.470571288104</v>
      </c>
      <c r="E265" s="35" t="n">
        <v>1223.327062052129</v>
      </c>
      <c r="F265" s="37" t="n">
        <v>0.8192209732599409</v>
      </c>
      <c r="G265" s="37" t="n">
        <v>0.8858043597170799</v>
      </c>
      <c r="H265" s="37" t="n">
        <v>0.8493492356929037</v>
      </c>
      <c r="I265" s="37" t="n">
        <v>0.881087466078692</v>
      </c>
      <c r="J265" s="37" t="n">
        <v>0.8167946701390238</v>
      </c>
      <c r="K265" s="37" t="n">
        <v>0.9096704517602716</v>
      </c>
      <c r="L265" s="32" t="inlineStr">
        <is>
          <t>No convergió</t>
        </is>
      </c>
      <c r="M265" s="29" t="inlineStr">
        <is>
          <t>—</t>
        </is>
      </c>
      <c r="N265" s="35" t="inlineStr">
        <is>
          <t>—</t>
        </is>
      </c>
      <c r="O265" s="36" t="n">
        <v>1708.143509235975</v>
      </c>
      <c r="P265" s="29" t="n">
        <v>2.396309754131137</v>
      </c>
      <c r="Q265" s="16" t="inlineStr">
        <is>
          <t>no</t>
        </is>
      </c>
      <c r="R265" s="16" t="n"/>
    </row>
    <row r="266">
      <c r="A266" s="16" t="inlineStr">
        <is>
          <t>KF-M04-0255</t>
        </is>
      </c>
      <c r="B266" s="35" t="n">
        <v>421.4521819297212</v>
      </c>
      <c r="C266" s="35" t="n">
        <v>279.3652384122813</v>
      </c>
      <c r="D266" s="36" t="n">
        <v>2761.686995571216</v>
      </c>
      <c r="E266" s="35" t="n">
        <v>709.6704518480492</v>
      </c>
      <c r="F266" s="37" t="n">
        <v>0.7354457641975405</v>
      </c>
      <c r="G266" s="37" t="n">
        <v>0.8540674453740179</v>
      </c>
      <c r="H266" s="37" t="n">
        <v>0.8244515710865304</v>
      </c>
      <c r="I266" s="37" t="n">
        <v>0.6519818144304315</v>
      </c>
      <c r="J266" s="37" t="n">
        <v>0.6851119338024917</v>
      </c>
      <c r="K266" s="37" t="n">
        <v>0.9417529780522867</v>
      </c>
      <c r="L266" s="42" t="inlineStr">
        <is>
          <t>KALINA</t>
        </is>
      </c>
      <c r="M266" s="29" t="n">
        <v>10.25015313744935</v>
      </c>
      <c r="N266" s="35" t="n">
        <v>91.387537291174</v>
      </c>
      <c r="O266" s="36" t="n">
        <v>2052.016543723167</v>
      </c>
      <c r="P266" s="29" t="n">
        <v>3.891506245440431</v>
      </c>
      <c r="Q266" s="16" t="inlineStr">
        <is>
          <t>no</t>
        </is>
      </c>
      <c r="R266" s="16" t="n"/>
    </row>
    <row r="267">
      <c r="A267" s="16" t="inlineStr">
        <is>
          <t>KF-M04-0256</t>
        </is>
      </c>
      <c r="B267" s="35" t="n">
        <v>443.181942001407</v>
      </c>
      <c r="C267" s="35" t="n">
        <v>285.5024515329162</v>
      </c>
      <c r="D267" s="36" t="n">
        <v>4134.185703392221</v>
      </c>
      <c r="E267" s="35" t="n">
        <v>1399.190997438363</v>
      </c>
      <c r="F267" s="37" t="n">
        <v>0.8167893770895491</v>
      </c>
      <c r="G267" s="37" t="n">
        <v>0.8497632759188071</v>
      </c>
      <c r="H267" s="37" t="n">
        <v>0.7266432119963873</v>
      </c>
      <c r="I267" s="37" t="n">
        <v>0.8990323076492839</v>
      </c>
      <c r="J267" s="37" t="n">
        <v>0.6884124521505856</v>
      </c>
      <c r="K267" s="37" t="n">
        <v>0.8576107642005121</v>
      </c>
      <c r="L267" s="39" t="inlineStr">
        <is>
          <t>Corregible</t>
        </is>
      </c>
      <c r="M267" s="29" t="n">
        <v>9.63426495319427</v>
      </c>
      <c r="N267" s="35" t="n">
        <v>133.4820308922153</v>
      </c>
      <c r="O267" s="36" t="n">
        <v>2734.994705953858</v>
      </c>
      <c r="P267" s="29" t="n">
        <v>2.954697186417782</v>
      </c>
      <c r="Q267" s="16" t="inlineStr">
        <is>
          <t>sí</t>
        </is>
      </c>
      <c r="R267" s="16" t="inlineStr">
        <is>
          <t>O2</t>
        </is>
      </c>
    </row>
    <row r="268">
      <c r="A268" s="16" t="inlineStr">
        <is>
          <t>KF-M04-0257</t>
        </is>
      </c>
      <c r="B268" s="35" t="n">
        <v>396.0101167385824</v>
      </c>
      <c r="C268" s="35" t="n">
        <v>297.6200333033918</v>
      </c>
      <c r="D268" s="36" t="n">
        <v>4784.510602589246</v>
      </c>
      <c r="E268" s="35" t="n">
        <v>507.5453731251175</v>
      </c>
      <c r="F268" s="37" t="n">
        <v>0.702455048722244</v>
      </c>
      <c r="G268" s="37" t="n">
        <v>0.9024104693234012</v>
      </c>
      <c r="H268" s="37" t="n">
        <v>0.7725295535639427</v>
      </c>
      <c r="I268" s="37" t="n">
        <v>0.6652420521739613</v>
      </c>
      <c r="J268" s="37" t="n">
        <v>0.8076805930158836</v>
      </c>
      <c r="K268" s="37" t="n">
        <v>0.8850130504141593</v>
      </c>
      <c r="L268" s="32" t="inlineStr">
        <is>
          <t>No convergió</t>
        </is>
      </c>
      <c r="M268" s="29" t="inlineStr">
        <is>
          <t>—</t>
        </is>
      </c>
      <c r="N268" s="35" t="inlineStr">
        <is>
          <t>—</t>
        </is>
      </c>
      <c r="O268" s="36" t="n">
        <v>4276.965229464128</v>
      </c>
      <c r="P268" s="29" t="n">
        <v>9.426764297208541</v>
      </c>
      <c r="Q268" s="16" t="inlineStr">
        <is>
          <t>no</t>
        </is>
      </c>
      <c r="R268" s="16" t="n"/>
    </row>
    <row r="269">
      <c r="A269" s="16" t="inlineStr">
        <is>
          <t>KF-M04-0258</t>
        </is>
      </c>
      <c r="B269" s="35" t="n">
        <v>425.1356096831565</v>
      </c>
      <c r="C269" s="35" t="n">
        <v>298.5993608780948</v>
      </c>
      <c r="D269" s="36" t="n">
        <v>4744.047708087763</v>
      </c>
      <c r="E269" s="35" t="n">
        <v>1310.73990752675</v>
      </c>
      <c r="F269" s="37" t="n">
        <v>0.7555269867747059</v>
      </c>
      <c r="G269" s="37" t="n">
        <v>0.7692141709135736</v>
      </c>
      <c r="H269" s="37" t="n">
        <v>0.8625424274466089</v>
      </c>
      <c r="I269" s="37" t="n">
        <v>0.8615683044436779</v>
      </c>
      <c r="J269" s="37" t="n">
        <v>0.9052464467599884</v>
      </c>
      <c r="K269" s="37" t="n">
        <v>0.8360542520587132</v>
      </c>
      <c r="L269" s="39" t="inlineStr">
        <is>
          <t>Corregible</t>
        </is>
      </c>
      <c r="M269" s="29" t="n">
        <v>10.21959206533548</v>
      </c>
      <c r="N269" s="35" t="n">
        <v>84.21987014967493</v>
      </c>
      <c r="O269" s="36" t="n">
        <v>3433.307800561013</v>
      </c>
      <c r="P269" s="29" t="n">
        <v>3.619366192213801</v>
      </c>
      <c r="Q269" s="16" t="inlineStr">
        <is>
          <t>no</t>
        </is>
      </c>
      <c r="R269" s="16" t="inlineStr">
        <is>
          <t>O2</t>
        </is>
      </c>
    </row>
    <row r="270">
      <c r="A270" s="16" t="inlineStr">
        <is>
          <t>KF-M04-0259</t>
        </is>
      </c>
      <c r="B270" s="35" t="n">
        <v>471.943888054163</v>
      </c>
      <c r="C270" s="35" t="n">
        <v>281.6523848782051</v>
      </c>
      <c r="D270" s="36" t="n">
        <v>3240.600488638109</v>
      </c>
      <c r="E270" s="35" t="n">
        <v>653.4198130836471</v>
      </c>
      <c r="F270" s="37" t="n">
        <v>0.6171689926094736</v>
      </c>
      <c r="G270" s="37" t="n">
        <v>0.8609668719206571</v>
      </c>
      <c r="H270" s="37" t="n">
        <v>0.6910577666561563</v>
      </c>
      <c r="I270" s="37" t="n">
        <v>0.6423705403745191</v>
      </c>
      <c r="J270" s="37" t="n">
        <v>0.6664499655179916</v>
      </c>
      <c r="K270" s="37" t="n">
        <v>0.9332268723838903</v>
      </c>
      <c r="L270" s="32" t="inlineStr">
        <is>
          <t>No convergió</t>
        </is>
      </c>
      <c r="M270" s="29" t="inlineStr">
        <is>
          <t>—</t>
        </is>
      </c>
      <c r="N270" s="35" t="inlineStr">
        <is>
          <t>—</t>
        </is>
      </c>
      <c r="O270" s="36" t="n">
        <v>2587.180675554462</v>
      </c>
      <c r="P270" s="29" t="n">
        <v>4.959446321875252</v>
      </c>
      <c r="Q270" s="16" t="inlineStr">
        <is>
          <t>no</t>
        </is>
      </c>
      <c r="R270" s="16" t="n"/>
    </row>
    <row r="271">
      <c r="A271" s="16" t="inlineStr">
        <is>
          <t>KF-M04-0260</t>
        </is>
      </c>
      <c r="B271" s="35" t="n">
        <v>406.0208979521294</v>
      </c>
      <c r="C271" s="35" t="n">
        <v>292.8096789436848</v>
      </c>
      <c r="D271" s="36" t="n">
        <v>2005.39507330362</v>
      </c>
      <c r="E271" s="35" t="n">
        <v>1295.157266668871</v>
      </c>
      <c r="F271" s="37" t="n">
        <v>0.7977564881171847</v>
      </c>
      <c r="G271" s="37" t="n">
        <v>0.7824174624291546</v>
      </c>
      <c r="H271" s="37" t="n">
        <v>0.8730952724843166</v>
      </c>
      <c r="I271" s="37" t="n">
        <v>0.675861343704537</v>
      </c>
      <c r="J271" s="37" t="n">
        <v>0.8685869131860321</v>
      </c>
      <c r="K271" s="37" t="n">
        <v>0.9111390044255731</v>
      </c>
      <c r="L271" s="42" t="inlineStr">
        <is>
          <t>KALINA</t>
        </is>
      </c>
      <c r="M271" s="29" t="n">
        <v>3.73772113579302</v>
      </c>
      <c r="N271" s="35" t="n">
        <v>34.15442979321527</v>
      </c>
      <c r="O271" s="36" t="n">
        <v>710.2378066347492</v>
      </c>
      <c r="P271" s="29" t="n">
        <v>1.548379586721134</v>
      </c>
      <c r="Q271" s="16" t="inlineStr">
        <is>
          <t>no</t>
        </is>
      </c>
      <c r="R271" s="16" t="n"/>
    </row>
    <row r="272">
      <c r="A272" s="16" t="inlineStr">
        <is>
          <t>KF-M04-0261</t>
        </is>
      </c>
      <c r="B272" s="35" t="n">
        <v>458.1232408840985</v>
      </c>
      <c r="C272" s="35" t="n">
        <v>288.6237899365004</v>
      </c>
      <c r="D272" s="36" t="n">
        <v>4097.87975060235</v>
      </c>
      <c r="E272" s="35" t="n">
        <v>599.3993838589877</v>
      </c>
      <c r="F272" s="37" t="n">
        <v>0.5023835531178387</v>
      </c>
      <c r="G272" s="37" t="n">
        <v>0.8380289722419727</v>
      </c>
      <c r="H272" s="37" t="n">
        <v>0.6838840380393243</v>
      </c>
      <c r="I272" s="37" t="n">
        <v>0.7720054172204862</v>
      </c>
      <c r="J272" s="37" t="n">
        <v>0.8212298588693914</v>
      </c>
      <c r="K272" s="37" t="n">
        <v>0.8004377579339135</v>
      </c>
      <c r="L272" s="39" t="inlineStr">
        <is>
          <t>Corregible</t>
        </is>
      </c>
      <c r="M272" s="29" t="n">
        <v>12.72612584923111</v>
      </c>
      <c r="N272" s="35" t="n">
        <v>98.23417594279022</v>
      </c>
      <c r="O272" s="36" t="n">
        <v>3498.480366743363</v>
      </c>
      <c r="P272" s="29" t="n">
        <v>6.836643248145883</v>
      </c>
      <c r="Q272" s="16" t="inlineStr">
        <is>
          <t>sí</t>
        </is>
      </c>
      <c r="R272" s="16" t="inlineStr">
        <is>
          <t>O2</t>
        </is>
      </c>
    </row>
    <row r="273">
      <c r="A273" s="16" t="inlineStr">
        <is>
          <t>KF-M04-0262</t>
        </is>
      </c>
      <c r="B273" s="35" t="n">
        <v>416.2508365797654</v>
      </c>
      <c r="C273" s="35" t="n">
        <v>299.1938908191185</v>
      </c>
      <c r="D273" s="36" t="n">
        <v>4221.270902140441</v>
      </c>
      <c r="E273" s="35" t="n">
        <v>417.4941825739629</v>
      </c>
      <c r="F273" s="37" t="n">
        <v>0.7189576834101742</v>
      </c>
      <c r="G273" s="37" t="n">
        <v>0.7674783603941692</v>
      </c>
      <c r="H273" s="37" t="n">
        <v>0.7122788873061776</v>
      </c>
      <c r="I273" s="37" t="n">
        <v>0.9109537492457982</v>
      </c>
      <c r="J273" s="37" t="n">
        <v>0.8623433728026878</v>
      </c>
      <c r="K273" s="37" t="n">
        <v>0.872968810801883</v>
      </c>
      <c r="L273" s="40" t="inlineStr">
        <is>
          <t>Inviable</t>
        </is>
      </c>
      <c r="M273" s="29" t="n">
        <v>-9.23529253760158</v>
      </c>
      <c r="N273" s="35" t="n">
        <v>-30.78093261529327</v>
      </c>
      <c r="O273" s="36" t="n">
        <v>3803.776719566478</v>
      </c>
      <c r="P273" s="29" t="n">
        <v>10.11096939390911</v>
      </c>
      <c r="Q273" s="16" t="inlineStr">
        <is>
          <t>no</t>
        </is>
      </c>
      <c r="R273" s="16" t="inlineStr">
        <is>
          <t>O2,O3</t>
        </is>
      </c>
    </row>
    <row r="274">
      <c r="A274" s="16" t="inlineStr">
        <is>
          <t>KF-M04-0263</t>
        </is>
      </c>
      <c r="B274" s="35" t="n">
        <v>486.5552398167103</v>
      </c>
      <c r="C274" s="35" t="n">
        <v>291.2221554003623</v>
      </c>
      <c r="D274" s="36" t="n">
        <v>2706.720715021008</v>
      </c>
      <c r="E274" s="35" t="n">
        <v>306.7283875827424</v>
      </c>
      <c r="F274" s="37" t="n">
        <v>0.8499842557356352</v>
      </c>
      <c r="G274" s="37" t="n">
        <v>0.8267236503535308</v>
      </c>
      <c r="H274" s="37" t="n">
        <v>0.8759382485612202</v>
      </c>
      <c r="I274" s="37" t="n">
        <v>0.6571247596529621</v>
      </c>
      <c r="J274" s="37" t="n">
        <v>0.9454746587322054</v>
      </c>
      <c r="K274" s="37" t="n">
        <v>0.8428332505932049</v>
      </c>
      <c r="L274" s="32" t="inlineStr">
        <is>
          <t>No convergió</t>
        </is>
      </c>
      <c r="M274" s="29" t="inlineStr">
        <is>
          <t>—</t>
        </is>
      </c>
      <c r="N274" s="35" t="inlineStr">
        <is>
          <t>—</t>
        </is>
      </c>
      <c r="O274" s="36" t="n">
        <v>2399.992327438266</v>
      </c>
      <c r="P274" s="29" t="n">
        <v>8.824487150837479</v>
      </c>
      <c r="Q274" s="16" t="inlineStr">
        <is>
          <t>no</t>
        </is>
      </c>
      <c r="R274" s="16" t="n"/>
    </row>
    <row r="275">
      <c r="A275" s="16" t="inlineStr">
        <is>
          <t>KF-M04-0264</t>
        </is>
      </c>
      <c r="B275" s="35" t="n">
        <v>483.3257703561993</v>
      </c>
      <c r="C275" s="35" t="n">
        <v>284.6878839062722</v>
      </c>
      <c r="D275" s="36" t="n">
        <v>2973.486691259374</v>
      </c>
      <c r="E275" s="35" t="n">
        <v>745.035922898008</v>
      </c>
      <c r="F275" s="37" t="n">
        <v>0.7316110044382808</v>
      </c>
      <c r="G275" s="37" t="n">
        <v>0.8573450033567693</v>
      </c>
      <c r="H275" s="37" t="n">
        <v>0.7538930382766345</v>
      </c>
      <c r="I275" s="37" t="n">
        <v>0.755053307357494</v>
      </c>
      <c r="J275" s="37" t="n">
        <v>0.6493949591120287</v>
      </c>
      <c r="K275" s="37" t="n">
        <v>0.9376128815887969</v>
      </c>
      <c r="L275" s="39" t="inlineStr">
        <is>
          <t>Corregible</t>
        </is>
      </c>
      <c r="M275" s="29" t="n">
        <v>10.88891018772218</v>
      </c>
      <c r="N275" s="35" t="n">
        <v>161.9679446288611</v>
      </c>
      <c r="O275" s="36" t="n">
        <v>2228.450768361366</v>
      </c>
      <c r="P275" s="29" t="n">
        <v>3.991064859924117</v>
      </c>
      <c r="Q275" s="16" t="inlineStr">
        <is>
          <t>sí</t>
        </is>
      </c>
      <c r="R275" s="16" t="inlineStr">
        <is>
          <t>O2</t>
        </is>
      </c>
    </row>
    <row r="276">
      <c r="A276" s="16" t="inlineStr">
        <is>
          <t>KF-M04-0265</t>
        </is>
      </c>
      <c r="B276" s="35" t="n">
        <v>408.5388247598925</v>
      </c>
      <c r="C276" s="35" t="n">
        <v>302.4137994341331</v>
      </c>
      <c r="D276" s="36" t="n">
        <v>2181.880506824388</v>
      </c>
      <c r="E276" s="35" t="n">
        <v>1089.357485633039</v>
      </c>
      <c r="F276" s="37" t="n">
        <v>0.6706306571937087</v>
      </c>
      <c r="G276" s="37" t="n">
        <v>0.9174105341339144</v>
      </c>
      <c r="H276" s="37" t="n">
        <v>0.673309008657485</v>
      </c>
      <c r="I276" s="37" t="n">
        <v>0.7976881597287697</v>
      </c>
      <c r="J276" s="37" t="n">
        <v>0.8896282535493542</v>
      </c>
      <c r="K276" s="37" t="n">
        <v>0.81045874015028</v>
      </c>
      <c r="L276" s="39" t="inlineStr">
        <is>
          <t>Corregible</t>
        </is>
      </c>
      <c r="M276" s="29" t="n">
        <v>6.464436875653091</v>
      </c>
      <c r="N276" s="35" t="n">
        <v>50.42796281479142</v>
      </c>
      <c r="O276" s="36" t="n">
        <v>1092.523021191349</v>
      </c>
      <c r="P276" s="29" t="n">
        <v>2.002905873967048</v>
      </c>
      <c r="Q276" s="16" t="inlineStr">
        <is>
          <t>no</t>
        </is>
      </c>
      <c r="R276" s="16" t="inlineStr">
        <is>
          <t>O2</t>
        </is>
      </c>
    </row>
    <row r="277">
      <c r="A277" s="16" t="inlineStr">
        <is>
          <t>KF-M04-0266</t>
        </is>
      </c>
      <c r="B277" s="35" t="n">
        <v>479.1427083644453</v>
      </c>
      <c r="C277" s="35" t="n">
        <v>301.3390948746072</v>
      </c>
      <c r="D277" s="36" t="n">
        <v>4557.936849078362</v>
      </c>
      <c r="E277" s="35" t="n">
        <v>846.2820130426193</v>
      </c>
      <c r="F277" s="37" t="n">
        <v>0.7426961059891604</v>
      </c>
      <c r="G277" s="37" t="n">
        <v>0.7504107235067567</v>
      </c>
      <c r="H277" s="37" t="n">
        <v>0.8949220328137633</v>
      </c>
      <c r="I277" s="37" t="n">
        <v>0.7476002883381181</v>
      </c>
      <c r="J277" s="37" t="n">
        <v>0.8324624540054797</v>
      </c>
      <c r="K277" s="37" t="n">
        <v>0.926973079945292</v>
      </c>
      <c r="L277" s="32" t="inlineStr">
        <is>
          <t>No convergió</t>
        </is>
      </c>
      <c r="M277" s="29" t="inlineStr">
        <is>
          <t>—</t>
        </is>
      </c>
      <c r="N277" s="35" t="inlineStr">
        <is>
          <t>—</t>
        </is>
      </c>
      <c r="O277" s="36" t="n">
        <v>3711.654836035742</v>
      </c>
      <c r="P277" s="29" t="n">
        <v>5.385836847330963</v>
      </c>
      <c r="Q277" s="16" t="inlineStr">
        <is>
          <t>no</t>
        </is>
      </c>
      <c r="R277" s="16" t="n"/>
    </row>
    <row r="278">
      <c r="A278" s="16" t="inlineStr">
        <is>
          <t>KF-M04-0267</t>
        </is>
      </c>
      <c r="B278" s="35" t="n">
        <v>399.8335889681399</v>
      </c>
      <c r="C278" s="35" t="n">
        <v>297.6556233820791</v>
      </c>
      <c r="D278" s="36" t="n">
        <v>4762.457995218927</v>
      </c>
      <c r="E278" s="35" t="n">
        <v>1418.583633233644</v>
      </c>
      <c r="F278" s="37" t="n">
        <v>0.5658505405215641</v>
      </c>
      <c r="G278" s="37" t="n">
        <v>0.8434481693396955</v>
      </c>
      <c r="H278" s="37" t="n">
        <v>0.6524029272644893</v>
      </c>
      <c r="I278" s="37" t="n">
        <v>0.6469684502471964</v>
      </c>
      <c r="J278" s="37" t="n">
        <v>0.8130009115266322</v>
      </c>
      <c r="K278" s="37" t="n">
        <v>0.7084384055951749</v>
      </c>
      <c r="L278" s="32" t="inlineStr">
        <is>
          <t>No convergió</t>
        </is>
      </c>
      <c r="M278" s="29" t="inlineStr">
        <is>
          <t>—</t>
        </is>
      </c>
      <c r="N278" s="35" t="inlineStr">
        <is>
          <t>—</t>
        </is>
      </c>
      <c r="O278" s="36" t="n">
        <v>3343.874361985283</v>
      </c>
      <c r="P278" s="29" t="n">
        <v>3.35719226110269</v>
      </c>
      <c r="Q278" s="16" t="inlineStr">
        <is>
          <t>no</t>
        </is>
      </c>
      <c r="R278" s="16" t="n"/>
    </row>
    <row r="279">
      <c r="A279" s="16" t="inlineStr">
        <is>
          <t>KF-M04-0268</t>
        </is>
      </c>
      <c r="B279" s="35" t="n">
        <v>430.8001506586206</v>
      </c>
      <c r="C279" s="35" t="n">
        <v>279.7707449959522</v>
      </c>
      <c r="D279" s="36" t="n">
        <v>2422.669307692801</v>
      </c>
      <c r="E279" s="35" t="n">
        <v>1218.780197074526</v>
      </c>
      <c r="F279" s="37" t="n">
        <v>0.5443490734571926</v>
      </c>
      <c r="G279" s="37" t="n">
        <v>0.8055232590738162</v>
      </c>
      <c r="H279" s="37" t="n">
        <v>0.6630960297671583</v>
      </c>
      <c r="I279" s="37" t="n">
        <v>0.6438503926601179</v>
      </c>
      <c r="J279" s="37" t="n">
        <v>0.7571645641872687</v>
      </c>
      <c r="K279" s="37" t="n">
        <v>0.7645859803766988</v>
      </c>
      <c r="L279" s="42" t="inlineStr">
        <is>
          <t>KALINA</t>
        </is>
      </c>
      <c r="M279" s="29" t="n">
        <v>4.83187060348452</v>
      </c>
      <c r="N279" s="35" t="n">
        <v>33.25820374706797</v>
      </c>
      <c r="O279" s="36" t="n">
        <v>1203.889110618275</v>
      </c>
      <c r="P279" s="29" t="n">
        <v>1.987781975378337</v>
      </c>
      <c r="Q279" s="16" t="inlineStr">
        <is>
          <t>no</t>
        </is>
      </c>
      <c r="R279" s="16" t="n"/>
    </row>
    <row r="280">
      <c r="A280" s="16" t="inlineStr">
        <is>
          <t>KF-M04-0269</t>
        </is>
      </c>
      <c r="B280" s="35" t="n">
        <v>494.4193992289213</v>
      </c>
      <c r="C280" s="35" t="n">
        <v>286.0728402448335</v>
      </c>
      <c r="D280" s="36" t="n">
        <v>3331.036952632181</v>
      </c>
      <c r="E280" s="35" t="n">
        <v>594.1435862840151</v>
      </c>
      <c r="F280" s="37" t="n">
        <v>0.6393833075787784</v>
      </c>
      <c r="G280" s="37" t="n">
        <v>0.8739543500372093</v>
      </c>
      <c r="H280" s="37" t="n">
        <v>0.7235167319268659</v>
      </c>
      <c r="I280" s="37" t="n">
        <v>0.6633207684359156</v>
      </c>
      <c r="J280" s="37" t="n">
        <v>0.9281927647860454</v>
      </c>
      <c r="K280" s="37" t="n">
        <v>0.8270956868182311</v>
      </c>
      <c r="L280" s="39" t="inlineStr">
        <is>
          <t>Corregible</t>
        </is>
      </c>
      <c r="M280" s="29" t="n">
        <v>13.41345051491106</v>
      </c>
      <c r="N280" s="35" t="n">
        <v>169.6672981492207</v>
      </c>
      <c r="O280" s="36" t="n">
        <v>2736.893366348166</v>
      </c>
      <c r="P280" s="29" t="n">
        <v>5.606451082752013</v>
      </c>
      <c r="Q280" s="16" t="inlineStr">
        <is>
          <t>sí</t>
        </is>
      </c>
      <c r="R280" s="16" t="inlineStr">
        <is>
          <t>O2</t>
        </is>
      </c>
    </row>
    <row r="281">
      <c r="A281" s="16" t="inlineStr">
        <is>
          <t>KF-M04-0270</t>
        </is>
      </c>
      <c r="B281" s="35" t="n">
        <v>468.042885073546</v>
      </c>
      <c r="C281" s="35" t="n">
        <v>279.7510952566117</v>
      </c>
      <c r="D281" s="36" t="n">
        <v>2632.932644902006</v>
      </c>
      <c r="E281" s="35" t="n">
        <v>340.0984549393936</v>
      </c>
      <c r="F281" s="37" t="n">
        <v>0.5063227712317018</v>
      </c>
      <c r="G281" s="37" t="n">
        <v>0.8147567175421868</v>
      </c>
      <c r="H281" s="37" t="n">
        <v>0.7618946177681852</v>
      </c>
      <c r="I281" s="37" t="n">
        <v>0.7136887091903255</v>
      </c>
      <c r="J281" s="37" t="n">
        <v>0.7215732385876865</v>
      </c>
      <c r="K281" s="37" t="n">
        <v>0.8758285469123737</v>
      </c>
      <c r="L281" s="39" t="inlineStr">
        <is>
          <t>Corregible</t>
        </is>
      </c>
      <c r="M281" s="29" t="n">
        <v>12.94105007736285</v>
      </c>
      <c r="N281" s="35" t="n">
        <v>193.8711202507914</v>
      </c>
      <c r="O281" s="36" t="n">
        <v>2292.834189962613</v>
      </c>
      <c r="P281" s="29" t="n">
        <v>7.74167776025681</v>
      </c>
      <c r="Q281" s="16" t="inlineStr">
        <is>
          <t>sí</t>
        </is>
      </c>
      <c r="R281" s="16" t="inlineStr">
        <is>
          <t>O2</t>
        </is>
      </c>
    </row>
    <row r="282">
      <c r="A282" s="16" t="inlineStr">
        <is>
          <t>KF-M04-0271</t>
        </is>
      </c>
      <c r="B282" s="35" t="n">
        <v>429.0682954502525</v>
      </c>
      <c r="C282" s="35" t="n">
        <v>284.7830749278082</v>
      </c>
      <c r="D282" s="36" t="n">
        <v>3761.295205273566</v>
      </c>
      <c r="E282" s="35" t="n">
        <v>1134.585646055689</v>
      </c>
      <c r="F282" s="37" t="n">
        <v>0.5253754651526317</v>
      </c>
      <c r="G282" s="37" t="n">
        <v>0.8473030913713221</v>
      </c>
      <c r="H282" s="37" t="n">
        <v>0.8198496331031641</v>
      </c>
      <c r="I282" s="37" t="n">
        <v>0.8770031865095407</v>
      </c>
      <c r="J282" s="37" t="n">
        <v>0.6034883891620242</v>
      </c>
      <c r="K282" s="37" t="n">
        <v>0.8706469861397568</v>
      </c>
      <c r="L282" s="42" t="inlineStr">
        <is>
          <t>KALINA</t>
        </is>
      </c>
      <c r="M282" s="29" t="n">
        <v>6.60965801575448</v>
      </c>
      <c r="N282" s="35" t="n">
        <v>42.87663451997091</v>
      </c>
      <c r="O282" s="36" t="n">
        <v>2626.709559217877</v>
      </c>
      <c r="P282" s="29" t="n">
        <v>3.315126732256358</v>
      </c>
      <c r="Q282" s="16" t="inlineStr">
        <is>
          <t>sí</t>
        </is>
      </c>
      <c r="R282" s="16" t="n"/>
    </row>
    <row r="283">
      <c r="A283" s="16" t="inlineStr">
        <is>
          <t>KF-M04-0272</t>
        </is>
      </c>
      <c r="B283" s="35" t="n">
        <v>403.3718829330577</v>
      </c>
      <c r="C283" s="35" t="n">
        <v>302.0002041438884</v>
      </c>
      <c r="D283" s="36" t="n">
        <v>4374.254391733589</v>
      </c>
      <c r="E283" s="35" t="n">
        <v>1125.918556943843</v>
      </c>
      <c r="F283" s="37" t="n">
        <v>0.5480338772682949</v>
      </c>
      <c r="G283" s="37" t="n">
        <v>0.8813950031074664</v>
      </c>
      <c r="H283" s="37" t="n">
        <v>0.8235592962210505</v>
      </c>
      <c r="I283" s="37" t="n">
        <v>0.7013698729794581</v>
      </c>
      <c r="J283" s="37" t="n">
        <v>0.7513002375613392</v>
      </c>
      <c r="K283" s="37" t="n">
        <v>0.8034310563797917</v>
      </c>
      <c r="L283" s="32" t="inlineStr">
        <is>
          <t>No convergió</t>
        </is>
      </c>
      <c r="M283" s="29" t="inlineStr">
        <is>
          <t>—</t>
        </is>
      </c>
      <c r="N283" s="35" t="inlineStr">
        <is>
          <t>—</t>
        </is>
      </c>
      <c r="O283" s="36" t="n">
        <v>3248.335834789746</v>
      </c>
      <c r="P283" s="29" t="n">
        <v>3.885053998583097</v>
      </c>
      <c r="Q283" s="16" t="inlineStr">
        <is>
          <t>no</t>
        </is>
      </c>
      <c r="R283" s="16" t="n"/>
    </row>
    <row r="284">
      <c r="A284" s="16" t="inlineStr">
        <is>
          <t>KF-M04-0273</t>
        </is>
      </c>
      <c r="B284" s="35" t="n">
        <v>461.6346546659216</v>
      </c>
      <c r="C284" s="35" t="n">
        <v>283.1252863433535</v>
      </c>
      <c r="D284" s="36" t="n">
        <v>4107.388099479284</v>
      </c>
      <c r="E284" s="35" t="n">
        <v>1049.26403831999</v>
      </c>
      <c r="F284" s="37" t="n">
        <v>0.8070447318618477</v>
      </c>
      <c r="G284" s="37" t="n">
        <v>0.795983080818772</v>
      </c>
      <c r="H284" s="37" t="n">
        <v>0.6777266498343405</v>
      </c>
      <c r="I284" s="37" t="n">
        <v>0.8096458290239997</v>
      </c>
      <c r="J284" s="37" t="n">
        <v>0.6075207735783122</v>
      </c>
      <c r="K284" s="37" t="n">
        <v>0.7264248256335644</v>
      </c>
      <c r="L284" s="39" t="inlineStr">
        <is>
          <t>Corregible</t>
        </is>
      </c>
      <c r="M284" s="29" t="n">
        <v>9.77424764282665</v>
      </c>
      <c r="N284" s="35" t="n">
        <v>115.1780136547863</v>
      </c>
      <c r="O284" s="36" t="n">
        <v>3058.124061159294</v>
      </c>
      <c r="P284" s="29" t="n">
        <v>3.914541954621597</v>
      </c>
      <c r="Q284" s="16" t="inlineStr">
        <is>
          <t>sí</t>
        </is>
      </c>
      <c r="R284" s="16" t="inlineStr">
        <is>
          <t>O2</t>
        </is>
      </c>
    </row>
    <row r="285">
      <c r="A285" s="16" t="inlineStr">
        <is>
          <t>KF-M04-0274</t>
        </is>
      </c>
      <c r="B285" s="35" t="n">
        <v>427.6663535784826</v>
      </c>
      <c r="C285" s="35" t="n">
        <v>293.4901727259257</v>
      </c>
      <c r="D285" s="36" t="n">
        <v>4359.313239245592</v>
      </c>
      <c r="E285" s="35" t="n">
        <v>1425.534915694434</v>
      </c>
      <c r="F285" s="37" t="n">
        <v>0.6021884458184867</v>
      </c>
      <c r="G285" s="37" t="n">
        <v>0.886631694470436</v>
      </c>
      <c r="H285" s="37" t="n">
        <v>0.8260428066863389</v>
      </c>
      <c r="I285" s="37" t="n">
        <v>0.6981779490916811</v>
      </c>
      <c r="J285" s="37" t="n">
        <v>0.7858982146291258</v>
      </c>
      <c r="K285" s="37" t="n">
        <v>0.8347179987830845</v>
      </c>
      <c r="L285" s="42" t="inlineStr">
        <is>
          <t>KALINA</t>
        </is>
      </c>
      <c r="M285" s="29" t="n">
        <v>7.769139581925049</v>
      </c>
      <c r="N285" s="35" t="n">
        <v>38.94676793283764</v>
      </c>
      <c r="O285" s="36" t="n">
        <v>2933.778323551158</v>
      </c>
      <c r="P285" s="29" t="n">
        <v>3.058019267891449</v>
      </c>
      <c r="Q285" s="16" t="inlineStr">
        <is>
          <t>no</t>
        </is>
      </c>
      <c r="R285" s="16" t="n"/>
    </row>
    <row r="286">
      <c r="A286" s="16" t="inlineStr">
        <is>
          <t>KF-M04-0275</t>
        </is>
      </c>
      <c r="B286" s="35" t="n">
        <v>387.0593965453861</v>
      </c>
      <c r="C286" s="35" t="n">
        <v>303.1884185770379</v>
      </c>
      <c r="D286" s="36" t="n">
        <v>2219.048271709253</v>
      </c>
      <c r="E286" s="35" t="n">
        <v>1316.052288897485</v>
      </c>
      <c r="F286" s="37" t="n">
        <v>0.5122517278423064</v>
      </c>
      <c r="G286" s="37" t="n">
        <v>0.8191171029696622</v>
      </c>
      <c r="H286" s="37" t="n">
        <v>0.8271229065135572</v>
      </c>
      <c r="I286" s="37" t="n">
        <v>0.7409646800234808</v>
      </c>
      <c r="J286" s="37" t="n">
        <v>0.6245865402818106</v>
      </c>
      <c r="K286" s="37" t="n">
        <v>0.8020159228366088</v>
      </c>
      <c r="L286" s="42" t="inlineStr">
        <is>
          <t>KALINA</t>
        </is>
      </c>
      <c r="M286" s="29" t="n">
        <v>2.54301309953582</v>
      </c>
      <c r="N286" s="35" t="n">
        <v>7.467674100189418</v>
      </c>
      <c r="O286" s="36" t="n">
        <v>902.9959828117678</v>
      </c>
      <c r="P286" s="29" t="n">
        <v>1.686139897654254</v>
      </c>
      <c r="Q286" s="16" t="inlineStr">
        <is>
          <t>no</t>
        </is>
      </c>
      <c r="R286" s="16" t="n"/>
    </row>
    <row r="287">
      <c r="A287" s="16" t="inlineStr">
        <is>
          <t>KF-M04-0276</t>
        </is>
      </c>
      <c r="B287" s="35" t="n">
        <v>484.766374278519</v>
      </c>
      <c r="C287" s="35" t="n">
        <v>280.1485172543232</v>
      </c>
      <c r="D287" s="36" t="n">
        <v>2303.173147760612</v>
      </c>
      <c r="E287" s="35" t="n">
        <v>902.1948885307554</v>
      </c>
      <c r="F287" s="37" t="n">
        <v>0.635602877824038</v>
      </c>
      <c r="G287" s="37" t="n">
        <v>0.7856366096945798</v>
      </c>
      <c r="H287" s="37" t="n">
        <v>0.8711681831480487</v>
      </c>
      <c r="I287" s="37" t="n">
        <v>0.6075649569260135</v>
      </c>
      <c r="J287" s="37" t="n">
        <v>0.7901074276018414</v>
      </c>
      <c r="K287" s="37" t="n">
        <v>0.8717323824695002</v>
      </c>
      <c r="L287" s="39" t="inlineStr">
        <is>
          <t>Corregible</t>
        </is>
      </c>
      <c r="M287" s="29" t="n">
        <v>6.850295611924071</v>
      </c>
      <c r="N287" s="35" t="n">
        <v>83.99397658905542</v>
      </c>
      <c r="O287" s="36" t="n">
        <v>1400.978259229857</v>
      </c>
      <c r="P287" s="29" t="n">
        <v>2.552855460654828</v>
      </c>
      <c r="Q287" s="16" t="inlineStr">
        <is>
          <t>sí</t>
        </is>
      </c>
      <c r="R287" s="16" t="inlineStr">
        <is>
          <t>O2</t>
        </is>
      </c>
    </row>
    <row r="288">
      <c r="A288" s="16" t="inlineStr">
        <is>
          <t>KF-M04-0277</t>
        </is>
      </c>
      <c r="B288" s="35" t="n">
        <v>434.655292190233</v>
      </c>
      <c r="C288" s="35" t="n">
        <v>284.9324322039939</v>
      </c>
      <c r="D288" s="36" t="n">
        <v>2694.119120858413</v>
      </c>
      <c r="E288" s="35" t="n">
        <v>957.6915825632316</v>
      </c>
      <c r="F288" s="37" t="n">
        <v>0.7671286999761986</v>
      </c>
      <c r="G288" s="37" t="n">
        <v>0.7895818535383291</v>
      </c>
      <c r="H288" s="37" t="n">
        <v>0.8742308204584734</v>
      </c>
      <c r="I288" s="37" t="n">
        <v>0.6284729721437147</v>
      </c>
      <c r="J288" s="37" t="n">
        <v>0.6854760377962223</v>
      </c>
      <c r="K288" s="37" t="n">
        <v>0.7624743364226864</v>
      </c>
      <c r="L288" s="39" t="inlineStr">
        <is>
          <t>Corregible</t>
        </is>
      </c>
      <c r="M288" s="29" t="n">
        <v>8.1477549781641</v>
      </c>
      <c r="N288" s="35" t="n">
        <v>78.47043569497694</v>
      </c>
      <c r="O288" s="36" t="n">
        <v>1736.427538295182</v>
      </c>
      <c r="P288" s="29" t="n">
        <v>2.813138561422549</v>
      </c>
      <c r="Q288" s="16" t="inlineStr">
        <is>
          <t>no</t>
        </is>
      </c>
      <c r="R288" s="16" t="inlineStr">
        <is>
          <t>O2</t>
        </is>
      </c>
    </row>
    <row r="289">
      <c r="A289" s="16" t="inlineStr">
        <is>
          <t>KF-M04-0278</t>
        </is>
      </c>
      <c r="B289" s="35" t="n">
        <v>489.2549348858334</v>
      </c>
      <c r="C289" s="35" t="n">
        <v>291.8823623151902</v>
      </c>
      <c r="D289" s="36" t="n">
        <v>2789.378539747727</v>
      </c>
      <c r="E289" s="35" t="n">
        <v>526.5580681328704</v>
      </c>
      <c r="F289" s="37" t="n">
        <v>0.7441371210625175</v>
      </c>
      <c r="G289" s="37" t="n">
        <v>0.8721635771384133</v>
      </c>
      <c r="H289" s="37" t="n">
        <v>0.8400446826290197</v>
      </c>
      <c r="I289" s="37" t="n">
        <v>0.8722489731123584</v>
      </c>
      <c r="J289" s="37" t="n">
        <v>0.8104180403900048</v>
      </c>
      <c r="K289" s="37" t="n">
        <v>0.7887929333797467</v>
      </c>
      <c r="L289" s="39" t="inlineStr">
        <is>
          <t>Corregible</t>
        </is>
      </c>
      <c r="M289" s="29" t="n">
        <v>11.51065471465016</v>
      </c>
      <c r="N289" s="35" t="n">
        <v>147.9943569597255</v>
      </c>
      <c r="O289" s="36" t="n">
        <v>2262.820471614857</v>
      </c>
      <c r="P289" s="29" t="n">
        <v>5.297380685170437</v>
      </c>
      <c r="Q289" s="16" t="inlineStr">
        <is>
          <t>sí</t>
        </is>
      </c>
      <c r="R289" s="16" t="inlineStr">
        <is>
          <t>O2</t>
        </is>
      </c>
    </row>
    <row r="290">
      <c r="A290" s="16" t="inlineStr">
        <is>
          <t>KF-M04-0279</t>
        </is>
      </c>
      <c r="B290" s="35" t="n">
        <v>391.1997101731045</v>
      </c>
      <c r="C290" s="35" t="n">
        <v>285.2097300095097</v>
      </c>
      <c r="D290" s="36" t="n">
        <v>3904.214468868249</v>
      </c>
      <c r="E290" s="35" t="n">
        <v>1266.770671937919</v>
      </c>
      <c r="F290" s="37" t="n">
        <v>0.5090801263982271</v>
      </c>
      <c r="G290" s="37" t="n">
        <v>0.911159279751968</v>
      </c>
      <c r="H290" s="37" t="n">
        <v>0.7965625297924656</v>
      </c>
      <c r="I290" s="37" t="n">
        <v>0.6993859831875732</v>
      </c>
      <c r="J290" s="37" t="n">
        <v>0.6970460642228932</v>
      </c>
      <c r="K290" s="37" t="n">
        <v>0.8240515108075867</v>
      </c>
      <c r="L290" s="38" t="inlineStr">
        <is>
          <t>Falso convergido</t>
        </is>
      </c>
      <c r="M290" s="29" t="inlineStr">
        <is>
          <t>—</t>
        </is>
      </c>
      <c r="N290" s="35" t="inlineStr">
        <is>
          <t>—</t>
        </is>
      </c>
      <c r="O290" s="36" t="n">
        <v>2637.44379693033</v>
      </c>
      <c r="P290" s="29" t="n">
        <v>3.082021517671814</v>
      </c>
      <c r="Q290" s="16" t="inlineStr">
        <is>
          <t>no</t>
        </is>
      </c>
      <c r="R290" s="16" t="inlineStr">
        <is>
          <t>N2,S6,O3,O5,C1,C3,C3</t>
        </is>
      </c>
    </row>
    <row r="291">
      <c r="A291" s="16" t="inlineStr">
        <is>
          <t>KF-M04-0280</t>
        </is>
      </c>
      <c r="B291" s="35" t="n">
        <v>415.2997719120997</v>
      </c>
      <c r="C291" s="35" t="n">
        <v>288.8784013687462</v>
      </c>
      <c r="D291" s="36" t="n">
        <v>2683.0954820666</v>
      </c>
      <c r="E291" s="35" t="n">
        <v>308.7619406418021</v>
      </c>
      <c r="F291" s="37" t="n">
        <v>0.5779922827154379</v>
      </c>
      <c r="G291" s="37" t="n">
        <v>0.8882701149877024</v>
      </c>
      <c r="H291" s="37" t="n">
        <v>0.8905772222853396</v>
      </c>
      <c r="I291" s="37" t="n">
        <v>0.906126599383296</v>
      </c>
      <c r="J291" s="37" t="n">
        <v>0.8610525708146453</v>
      </c>
      <c r="K291" s="37" t="n">
        <v>0.7835781237049394</v>
      </c>
      <c r="L291" s="39" t="inlineStr">
        <is>
          <t>Corregible</t>
        </is>
      </c>
      <c r="M291" s="29" t="n">
        <v>15.47747087464849</v>
      </c>
      <c r="N291" s="35" t="n">
        <v>104.2966890380942</v>
      </c>
      <c r="O291" s="36" t="n">
        <v>2374.333541424798</v>
      </c>
      <c r="P291" s="29" t="n">
        <v>8.689851723594673</v>
      </c>
      <c r="Q291" s="16" t="inlineStr">
        <is>
          <t>no</t>
        </is>
      </c>
      <c r="R291" s="16" t="inlineStr">
        <is>
          <t>O2</t>
        </is>
      </c>
    </row>
    <row r="292">
      <c r="A292" s="16" t="inlineStr">
        <is>
          <t>KF-M04-0281</t>
        </is>
      </c>
      <c r="B292" s="35" t="n">
        <v>496.5281712029577</v>
      </c>
      <c r="C292" s="35" t="n">
        <v>284.0072969380811</v>
      </c>
      <c r="D292" s="36" t="n">
        <v>2280.99714226519</v>
      </c>
      <c r="E292" s="35" t="n">
        <v>1194.306985931101</v>
      </c>
      <c r="F292" s="37" t="n">
        <v>0.5572691983946766</v>
      </c>
      <c r="G292" s="37" t="n">
        <v>0.8783721003358427</v>
      </c>
      <c r="H292" s="37" t="n">
        <v>0.6877651083416968</v>
      </c>
      <c r="I292" s="37" t="n">
        <v>0.7707614580991897</v>
      </c>
      <c r="J292" s="37" t="n">
        <v>0.7745046446957167</v>
      </c>
      <c r="K292" s="37" t="n">
        <v>0.9067118010842522</v>
      </c>
      <c r="L292" s="42" t="inlineStr">
        <is>
          <t>KALINA</t>
        </is>
      </c>
      <c r="M292" s="29" t="n">
        <v>4.94563805471147</v>
      </c>
      <c r="N292" s="35" t="n">
        <v>83.22972287687396</v>
      </c>
      <c r="O292" s="36" t="n">
        <v>1086.690156334089</v>
      </c>
      <c r="P292" s="29" t="n">
        <v>1.909891819385858</v>
      </c>
      <c r="Q292" s="16" t="inlineStr">
        <is>
          <t>sí</t>
        </is>
      </c>
      <c r="R292" s="16" t="n"/>
    </row>
    <row r="293">
      <c r="A293" s="16" t="inlineStr">
        <is>
          <t>KF-M04-0282</t>
        </is>
      </c>
      <c r="B293" s="35" t="n">
        <v>418.8249799273664</v>
      </c>
      <c r="C293" s="35" t="n">
        <v>289.8235304382774</v>
      </c>
      <c r="D293" s="36" t="n">
        <v>3626.187360424647</v>
      </c>
      <c r="E293" s="35" t="n">
        <v>540.5520926981621</v>
      </c>
      <c r="F293" s="37" t="n">
        <v>0.7830814417884311</v>
      </c>
      <c r="G293" s="37" t="n">
        <v>0.8846519286123975</v>
      </c>
      <c r="H293" s="37" t="n">
        <v>0.6806205475648723</v>
      </c>
      <c r="I293" s="37" t="n">
        <v>0.7309381468948714</v>
      </c>
      <c r="J293" s="37" t="n">
        <v>0.6717128931955864</v>
      </c>
      <c r="K293" s="37" t="n">
        <v>0.7526418483109308</v>
      </c>
      <c r="L293" s="39" t="inlineStr">
        <is>
          <t>Corregible</t>
        </is>
      </c>
      <c r="M293" s="29" t="n">
        <v>9.826789981539839</v>
      </c>
      <c r="N293" s="35" t="n">
        <v>60.60449711383777</v>
      </c>
      <c r="O293" s="36" t="n">
        <v>3085.635267726485</v>
      </c>
      <c r="P293" s="29" t="n">
        <v>6.708303250339032</v>
      </c>
      <c r="Q293" s="16" t="inlineStr">
        <is>
          <t>no</t>
        </is>
      </c>
      <c r="R293" s="16" t="inlineStr">
        <is>
          <t>O2</t>
        </is>
      </c>
    </row>
    <row r="294">
      <c r="A294" s="16" t="inlineStr">
        <is>
          <t>KF-M04-0283</t>
        </is>
      </c>
      <c r="B294" s="35" t="n">
        <v>394.7385874436977</v>
      </c>
      <c r="C294" s="35" t="n">
        <v>278.7071298187471</v>
      </c>
      <c r="D294" s="36" t="n">
        <v>2291.415835900696</v>
      </c>
      <c r="E294" s="35" t="n">
        <v>1253.662661973812</v>
      </c>
      <c r="F294" s="37" t="n">
        <v>0.7900710782667457</v>
      </c>
      <c r="G294" s="37" t="n">
        <v>0.8249408638374485</v>
      </c>
      <c r="H294" s="37" t="n">
        <v>0.7547712837473382</v>
      </c>
      <c r="I294" s="37" t="n">
        <v>0.9358172348514192</v>
      </c>
      <c r="J294" s="37" t="n">
        <v>0.9440900040931196</v>
      </c>
      <c r="K294" s="37" t="n">
        <v>0.9039382709682852</v>
      </c>
      <c r="L294" s="42" t="inlineStr">
        <is>
          <t>KALINA</t>
        </is>
      </c>
      <c r="M294" s="29" t="n">
        <v>5.19729254994921</v>
      </c>
      <c r="N294" s="35" t="n">
        <v>55.18256695609755</v>
      </c>
      <c r="O294" s="36" t="n">
        <v>1037.753173926884</v>
      </c>
      <c r="P294" s="29" t="n">
        <v>1.827777045136694</v>
      </c>
      <c r="Q294" s="16" t="inlineStr">
        <is>
          <t>no</t>
        </is>
      </c>
      <c r="R294" s="16" t="n"/>
    </row>
    <row r="295">
      <c r="A295" s="16" t="inlineStr">
        <is>
          <t>KF-M04-0284</t>
        </is>
      </c>
      <c r="B295" s="35" t="n">
        <v>438.4468076868022</v>
      </c>
      <c r="C295" s="35" t="n">
        <v>300.423378627373</v>
      </c>
      <c r="D295" s="36" t="n">
        <v>2907.358038607102</v>
      </c>
      <c r="E295" s="35" t="n">
        <v>1103.05835450258</v>
      </c>
      <c r="F295" s="37" t="n">
        <v>0.5927049623909713</v>
      </c>
      <c r="G295" s="37" t="n">
        <v>0.8466279244796082</v>
      </c>
      <c r="H295" s="37" t="n">
        <v>0.7750550314055631</v>
      </c>
      <c r="I295" s="37" t="n">
        <v>0.744632629538052</v>
      </c>
      <c r="J295" s="37" t="n">
        <v>0.8485756622317899</v>
      </c>
      <c r="K295" s="37" t="n">
        <v>0.8541847824112214</v>
      </c>
      <c r="L295" s="39" t="inlineStr">
        <is>
          <t>Corregible</t>
        </is>
      </c>
      <c r="M295" s="29" t="n">
        <v>7.79718240039574</v>
      </c>
      <c r="N295" s="35" t="n">
        <v>67.51679390604853</v>
      </c>
      <c r="O295" s="36" t="n">
        <v>1804.299684104522</v>
      </c>
      <c r="P295" s="29" t="n">
        <v>2.635724598557766</v>
      </c>
      <c r="Q295" s="16" t="inlineStr">
        <is>
          <t>sí</t>
        </is>
      </c>
      <c r="R295" s="16" t="inlineStr">
        <is>
          <t>O2</t>
        </is>
      </c>
    </row>
    <row r="296">
      <c r="A296" s="16" t="inlineStr">
        <is>
          <t>KF-M04-0285</t>
        </is>
      </c>
      <c r="B296" s="35" t="n">
        <v>430.3464179806264</v>
      </c>
      <c r="C296" s="35" t="n">
        <v>285.3329601239557</v>
      </c>
      <c r="D296" s="36" t="n">
        <v>3062.882727816617</v>
      </c>
      <c r="E296" s="35" t="n">
        <v>1172.082114199014</v>
      </c>
      <c r="F296" s="37" t="n">
        <v>0.6511817266229122</v>
      </c>
      <c r="G296" s="37" t="n">
        <v>0.8967687477999307</v>
      </c>
      <c r="H296" s="37" t="n">
        <v>0.7041205627742597</v>
      </c>
      <c r="I296" s="37" t="n">
        <v>0.8159897829465719</v>
      </c>
      <c r="J296" s="37" t="n">
        <v>0.8738785490397881</v>
      </c>
      <c r="K296" s="37" t="n">
        <v>0.7240654492120285</v>
      </c>
      <c r="L296" s="39" t="inlineStr">
        <is>
          <t>Corregible</t>
        </is>
      </c>
      <c r="M296" s="29" t="n">
        <v>8.53353809156749</v>
      </c>
      <c r="N296" s="35" t="n">
        <v>72.57259279715171</v>
      </c>
      <c r="O296" s="36" t="n">
        <v>1890.800613617603</v>
      </c>
      <c r="P296" s="29" t="n">
        <v>2.613198077772693</v>
      </c>
      <c r="Q296" s="16" t="inlineStr">
        <is>
          <t>no</t>
        </is>
      </c>
      <c r="R296" s="16" t="inlineStr">
        <is>
          <t>O2</t>
        </is>
      </c>
    </row>
    <row r="297">
      <c r="A297" s="16" t="inlineStr">
        <is>
          <t>KF-M04-0286</t>
        </is>
      </c>
      <c r="B297" s="35" t="n">
        <v>436.0969531091276</v>
      </c>
      <c r="C297" s="35" t="n">
        <v>279.0977013205448</v>
      </c>
      <c r="D297" s="36" t="n">
        <v>3481.823024523768</v>
      </c>
      <c r="E297" s="35" t="n">
        <v>808.3402577390962</v>
      </c>
      <c r="F297" s="37" t="n">
        <v>0.6347489709498951</v>
      </c>
      <c r="G297" s="37" t="n">
        <v>0.9184829805028722</v>
      </c>
      <c r="H297" s="37" t="n">
        <v>0.7460814839003643</v>
      </c>
      <c r="I297" s="37" t="n">
        <v>0.6777311085206517</v>
      </c>
      <c r="J297" s="37" t="n">
        <v>0.9415298192493302</v>
      </c>
      <c r="K297" s="37" t="n">
        <v>0.8418262585071621</v>
      </c>
      <c r="L297" s="42" t="inlineStr">
        <is>
          <t>KALINA</t>
        </is>
      </c>
      <c r="M297" s="29" t="n">
        <v>12.30159889633283</v>
      </c>
      <c r="N297" s="35" t="n">
        <v>91.41821112392584</v>
      </c>
      <c r="O297" s="36" t="n">
        <v>2673.482766784672</v>
      </c>
      <c r="P297" s="29" t="n">
        <v>4.307373029103269</v>
      </c>
      <c r="Q297" s="16" t="inlineStr">
        <is>
          <t>no</t>
        </is>
      </c>
      <c r="R297" s="16" t="n"/>
    </row>
    <row r="298">
      <c r="A298" s="16" t="inlineStr">
        <is>
          <t>KF-M04-0287</t>
        </is>
      </c>
      <c r="B298" s="35" t="n">
        <v>380.2299239934842</v>
      </c>
      <c r="C298" s="35" t="n">
        <v>295.9012705158958</v>
      </c>
      <c r="D298" s="36" t="n">
        <v>3132.991411849378</v>
      </c>
      <c r="E298" s="35" t="n">
        <v>1004.95873018104</v>
      </c>
      <c r="F298" s="37" t="n">
        <v>0.6646635650954211</v>
      </c>
      <c r="G298" s="37" t="n">
        <v>0.8699261260392093</v>
      </c>
      <c r="H298" s="37" t="n">
        <v>0.7612021268905729</v>
      </c>
      <c r="I298" s="37" t="n">
        <v>0.7772930964977618</v>
      </c>
      <c r="J298" s="37" t="n">
        <v>0.7123069727695696</v>
      </c>
      <c r="K298" s="37" t="n">
        <v>0.7685686597767855</v>
      </c>
      <c r="L298" s="39" t="inlineStr">
        <is>
          <t>Corregible</t>
        </is>
      </c>
      <c r="M298" s="29" t="n">
        <v>7.51633949737588</v>
      </c>
      <c r="N298" s="35" t="n">
        <v>25.86620552576942</v>
      </c>
      <c r="O298" s="36" t="n">
        <v>2128.032681668338</v>
      </c>
      <c r="P298" s="29" t="n">
        <v>3.117532409798541</v>
      </c>
      <c r="Q298" s="16" t="inlineStr">
        <is>
          <t>no</t>
        </is>
      </c>
      <c r="R298" s="16" t="inlineStr">
        <is>
          <t>O2</t>
        </is>
      </c>
    </row>
    <row r="299">
      <c r="A299" s="16" t="inlineStr">
        <is>
          <t>KF-M04-0288</t>
        </is>
      </c>
      <c r="B299" s="35" t="n">
        <v>443.6605574257579</v>
      </c>
      <c r="C299" s="35" t="n">
        <v>289.3726586877481</v>
      </c>
      <c r="D299" s="36" t="n">
        <v>3816.286927833382</v>
      </c>
      <c r="E299" s="35" t="n">
        <v>968.7085919334684</v>
      </c>
      <c r="F299" s="37" t="n">
        <v>0.8336842985817186</v>
      </c>
      <c r="G299" s="37" t="n">
        <v>0.8089221493624302</v>
      </c>
      <c r="H299" s="37" t="n">
        <v>0.8624622172900454</v>
      </c>
      <c r="I299" s="37" t="n">
        <v>0.9433454104054588</v>
      </c>
      <c r="J299" s="37" t="n">
        <v>0.8405486720813294</v>
      </c>
      <c r="K299" s="37" t="n">
        <v>0.9017784540574294</v>
      </c>
      <c r="L299" s="39" t="inlineStr">
        <is>
          <t>Corregible</t>
        </is>
      </c>
      <c r="M299" s="29" t="n">
        <v>11.28782326233089</v>
      </c>
      <c r="N299" s="35" t="n">
        <v>173.9778613099508</v>
      </c>
      <c r="O299" s="36" t="n">
        <v>2847.578335899913</v>
      </c>
      <c r="P299" s="29" t="n">
        <v>3.939561349627719</v>
      </c>
      <c r="Q299" s="16" t="inlineStr">
        <is>
          <t>sí</t>
        </is>
      </c>
      <c r="R299" s="16" t="inlineStr">
        <is>
          <t>O2</t>
        </is>
      </c>
    </row>
    <row r="300">
      <c r="A300" s="16" t="inlineStr">
        <is>
          <t>KF-M04-0289</t>
        </is>
      </c>
      <c r="B300" s="35" t="n">
        <v>419.5304966402773</v>
      </c>
      <c r="C300" s="35" t="n">
        <v>284.0900976608205</v>
      </c>
      <c r="D300" s="36" t="n">
        <v>4890.757585739927</v>
      </c>
      <c r="E300" s="35" t="n">
        <v>834.1656556774753</v>
      </c>
      <c r="F300" s="37" t="n">
        <v>0.627697378065232</v>
      </c>
      <c r="G300" s="37" t="n">
        <v>0.9037773338407278</v>
      </c>
      <c r="H300" s="37" t="n">
        <v>0.6569589119039213</v>
      </c>
      <c r="I300" s="37" t="n">
        <v>0.7498996686574465</v>
      </c>
      <c r="J300" s="37" t="n">
        <v>0.7434876391086656</v>
      </c>
      <c r="K300" s="37" t="n">
        <v>0.941602775634152</v>
      </c>
      <c r="L300" s="42" t="inlineStr">
        <is>
          <t>KALINA</t>
        </is>
      </c>
      <c r="M300" s="29" t="n">
        <v>9.77315139508242</v>
      </c>
      <c r="N300" s="35" t="n">
        <v>46.66056542796528</v>
      </c>
      <c r="O300" s="36" t="n">
        <v>4056.591930062452</v>
      </c>
      <c r="P300" s="29" t="n">
        <v>5.863053162705258</v>
      </c>
      <c r="Q300" s="16" t="inlineStr">
        <is>
          <t>no</t>
        </is>
      </c>
      <c r="R300" s="16" t="n"/>
    </row>
    <row r="301">
      <c r="A301" s="16" t="inlineStr">
        <is>
          <t>KF-M04-0290</t>
        </is>
      </c>
      <c r="B301" s="35" t="n">
        <v>405.057211412196</v>
      </c>
      <c r="C301" s="35" t="n">
        <v>290.0971025362109</v>
      </c>
      <c r="D301" s="36" t="n">
        <v>4950.97408997087</v>
      </c>
      <c r="E301" s="35" t="n">
        <v>1307.586825936962</v>
      </c>
      <c r="F301" s="37" t="n">
        <v>0.6435798276203912</v>
      </c>
      <c r="G301" s="37" t="n">
        <v>0.7724593461372505</v>
      </c>
      <c r="H301" s="37" t="n">
        <v>0.8895868014557626</v>
      </c>
      <c r="I301" s="37" t="n">
        <v>0.9173572949482754</v>
      </c>
      <c r="J301" s="37" t="n">
        <v>0.9355226087485826</v>
      </c>
      <c r="K301" s="37" t="n">
        <v>0.9046816283900566</v>
      </c>
      <c r="L301" s="42" t="inlineStr">
        <is>
          <t>KALINA</t>
        </is>
      </c>
      <c r="M301" s="29" t="n">
        <v>7.63904425317266</v>
      </c>
      <c r="N301" s="35" t="n">
        <v>24.39712888754419</v>
      </c>
      <c r="O301" s="36" t="n">
        <v>3643.387264033908</v>
      </c>
      <c r="P301" s="29" t="n">
        <v>3.78634442605615</v>
      </c>
      <c r="Q301" s="16" t="inlineStr">
        <is>
          <t>no</t>
        </is>
      </c>
      <c r="R301" s="16" t="n"/>
    </row>
    <row r="302">
      <c r="A302" s="16" t="inlineStr">
        <is>
          <t>KF-M04-0291</t>
        </is>
      </c>
      <c r="B302" s="35" t="n">
        <v>437.9841564361316</v>
      </c>
      <c r="C302" s="35" t="n">
        <v>283.7377194208255</v>
      </c>
      <c r="D302" s="36" t="n">
        <v>3396.524525340546</v>
      </c>
      <c r="E302" s="35" t="n">
        <v>775.8021834708327</v>
      </c>
      <c r="F302" s="37" t="n">
        <v>0.6261873568625259</v>
      </c>
      <c r="G302" s="37" t="n">
        <v>0.8018029291288898</v>
      </c>
      <c r="H302" s="37" t="n">
        <v>0.8918142387695286</v>
      </c>
      <c r="I302" s="37" t="n">
        <v>0.6000388554667904</v>
      </c>
      <c r="J302" s="37" t="n">
        <v>0.8806455198959592</v>
      </c>
      <c r="K302" s="37" t="n">
        <v>0.9252092463616292</v>
      </c>
      <c r="L302" s="42" t="inlineStr">
        <is>
          <t>KALINA</t>
        </is>
      </c>
      <c r="M302" s="29" t="n">
        <v>10.15169729110485</v>
      </c>
      <c r="N302" s="35" t="n">
        <v>71.05905775391983</v>
      </c>
      <c r="O302" s="36" t="n">
        <v>2620.722341869714</v>
      </c>
      <c r="P302" s="29" t="n">
        <v>4.378080646982664</v>
      </c>
      <c r="Q302" s="16" t="inlineStr">
        <is>
          <t>no</t>
        </is>
      </c>
      <c r="R302" s="16" t="n"/>
    </row>
    <row r="303">
      <c r="A303" s="16" t="inlineStr">
        <is>
          <t>KF-M04-0292</t>
        </is>
      </c>
      <c r="B303" s="35" t="n">
        <v>452.3401573256488</v>
      </c>
      <c r="C303" s="35" t="n">
        <v>298.1418734042439</v>
      </c>
      <c r="D303" s="36" t="n">
        <v>2145.67133721663</v>
      </c>
      <c r="E303" s="35" t="n">
        <v>736.0676858124627</v>
      </c>
      <c r="F303" s="37" t="n">
        <v>0.5742589760136623</v>
      </c>
      <c r="G303" s="37" t="n">
        <v>0.8956370966717202</v>
      </c>
      <c r="H303" s="37" t="n">
        <v>0.7685592092408765</v>
      </c>
      <c r="I303" s="37" t="n">
        <v>0.8713337373041009</v>
      </c>
      <c r="J303" s="37" t="n">
        <v>0.7782156958096228</v>
      </c>
      <c r="K303" s="37" t="n">
        <v>0.7188356738157782</v>
      </c>
      <c r="L303" s="39" t="inlineStr">
        <is>
          <t>Corregible</t>
        </is>
      </c>
      <c r="M303" s="29" t="n">
        <v>7.45402159821337</v>
      </c>
      <c r="N303" s="35" t="n">
        <v>106.4387579217564</v>
      </c>
      <c r="O303" s="36" t="n">
        <v>1409.603651404167</v>
      </c>
      <c r="P303" s="29" t="n">
        <v>2.915046236336626</v>
      </c>
      <c r="Q303" s="16" t="inlineStr">
        <is>
          <t>sí</t>
        </is>
      </c>
      <c r="R303" s="16" t="inlineStr">
        <is>
          <t>O2</t>
        </is>
      </c>
    </row>
    <row r="304">
      <c r="A304" s="16" t="inlineStr">
        <is>
          <t>KF-M04-0293</t>
        </is>
      </c>
      <c r="B304" s="35" t="n">
        <v>388.8562620075182</v>
      </c>
      <c r="C304" s="35" t="n">
        <v>303.2520674473334</v>
      </c>
      <c r="D304" s="36" t="n">
        <v>2394.621537495461</v>
      </c>
      <c r="E304" s="35" t="n">
        <v>830.476218392964</v>
      </c>
      <c r="F304" s="37" t="n">
        <v>0.5939049273814487</v>
      </c>
      <c r="G304" s="37" t="n">
        <v>0.7765186154117247</v>
      </c>
      <c r="H304" s="37" t="n">
        <v>0.875794102129831</v>
      </c>
      <c r="I304" s="37" t="n">
        <v>0.9392069407816942</v>
      </c>
      <c r="J304" s="37" t="n">
        <v>0.6085215381089808</v>
      </c>
      <c r="K304" s="37" t="n">
        <v>0.823132342573786</v>
      </c>
      <c r="L304" s="39" t="inlineStr">
        <is>
          <t>Corregible</t>
        </is>
      </c>
      <c r="M304" s="29" t="n">
        <v>6.92920634904972</v>
      </c>
      <c r="N304" s="35" t="n">
        <v>36.4489555152995</v>
      </c>
      <c r="O304" s="36" t="n">
        <v>1564.145319102497</v>
      </c>
      <c r="P304" s="29" t="n">
        <v>2.883431800285913</v>
      </c>
      <c r="Q304" s="16" t="inlineStr">
        <is>
          <t>no</t>
        </is>
      </c>
      <c r="R304" s="16" t="inlineStr">
        <is>
          <t>O2</t>
        </is>
      </c>
    </row>
    <row r="305">
      <c r="A305" s="16" t="inlineStr">
        <is>
          <t>KF-M04-0294</t>
        </is>
      </c>
      <c r="B305" s="35" t="n">
        <v>488.5725071609361</v>
      </c>
      <c r="C305" s="35" t="n">
        <v>284.5227699117992</v>
      </c>
      <c r="D305" s="36" t="n">
        <v>2203.171124899518</v>
      </c>
      <c r="E305" s="35" t="n">
        <v>938.90576560086</v>
      </c>
      <c r="F305" s="37" t="n">
        <v>0.7761860739087231</v>
      </c>
      <c r="G305" s="37" t="n">
        <v>0.7571076746644073</v>
      </c>
      <c r="H305" s="37" t="n">
        <v>0.7376246949656997</v>
      </c>
      <c r="I305" s="37" t="n">
        <v>0.6119940373320004</v>
      </c>
      <c r="J305" s="37" t="n">
        <v>0.7381633169179176</v>
      </c>
      <c r="K305" s="37" t="n">
        <v>0.776107981915539</v>
      </c>
      <c r="L305" s="32" t="inlineStr">
        <is>
          <t>No convergió</t>
        </is>
      </c>
      <c r="M305" s="29" t="inlineStr">
        <is>
          <t>—</t>
        </is>
      </c>
      <c r="N305" s="35" t="inlineStr">
        <is>
          <t>—</t>
        </is>
      </c>
      <c r="O305" s="36" t="n">
        <v>1264.265359298658</v>
      </c>
      <c r="P305" s="29" t="n">
        <v>2.346530616402788</v>
      </c>
      <c r="Q305" s="16" t="inlineStr">
        <is>
          <t>no</t>
        </is>
      </c>
      <c r="R305" s="16" t="n"/>
    </row>
    <row r="306">
      <c r="A306" s="16" t="inlineStr">
        <is>
          <t>KF-M04-0295</t>
        </is>
      </c>
      <c r="B306" s="35" t="n">
        <v>465.5983933626047</v>
      </c>
      <c r="C306" s="35" t="n">
        <v>285.1747229213544</v>
      </c>
      <c r="D306" s="36" t="n">
        <v>4975.89373209624</v>
      </c>
      <c r="E306" s="35" t="n">
        <v>386.3813921285268</v>
      </c>
      <c r="F306" s="37" t="n">
        <v>0.6146714045970534</v>
      </c>
      <c r="G306" s="37" t="n">
        <v>0.7931786806723377</v>
      </c>
      <c r="H306" s="37" t="n">
        <v>0.8057786989452852</v>
      </c>
      <c r="I306" s="37" t="n">
        <v>0.7996057502111029</v>
      </c>
      <c r="J306" s="37" t="n">
        <v>0.6478293773783974</v>
      </c>
      <c r="K306" s="37" t="n">
        <v>0.7680196032959445</v>
      </c>
      <c r="L306" s="39" t="inlineStr">
        <is>
          <t>Corregible</t>
        </is>
      </c>
      <c r="M306" s="29" t="n">
        <v>15.50094592953483</v>
      </c>
      <c r="N306" s="35" t="n">
        <v>159.3808544375833</v>
      </c>
      <c r="O306" s="36" t="n">
        <v>4589.512339967714</v>
      </c>
      <c r="P306" s="29" t="n">
        <v>12.87819194574735</v>
      </c>
      <c r="Q306" s="16" t="inlineStr">
        <is>
          <t>sí</t>
        </is>
      </c>
      <c r="R306" s="16" t="inlineStr">
        <is>
          <t>O1,O2</t>
        </is>
      </c>
    </row>
    <row r="307">
      <c r="A307" s="16" t="inlineStr">
        <is>
          <t>KF-M04-0296</t>
        </is>
      </c>
      <c r="B307" s="35" t="n">
        <v>473.9066241425643</v>
      </c>
      <c r="C307" s="35" t="n">
        <v>293.916319558983</v>
      </c>
      <c r="D307" s="36" t="n">
        <v>3253.722633816824</v>
      </c>
      <c r="E307" s="35" t="n">
        <v>469.1778674819476</v>
      </c>
      <c r="F307" s="37" t="n">
        <v>0.5198610643991574</v>
      </c>
      <c r="G307" s="37" t="n">
        <v>0.7595773393649576</v>
      </c>
      <c r="H307" s="37" t="n">
        <v>0.7874468451395461</v>
      </c>
      <c r="I307" s="37" t="n">
        <v>0.6732491460165646</v>
      </c>
      <c r="J307" s="37" t="n">
        <v>0.890536338566747</v>
      </c>
      <c r="K307" s="37" t="n">
        <v>0.850737777728986</v>
      </c>
      <c r="L307" s="39" t="inlineStr">
        <is>
          <t>Corregible</t>
        </is>
      </c>
      <c r="M307" s="29" t="n">
        <v>12.0403376925187</v>
      </c>
      <c r="N307" s="35" t="n">
        <v>158.4910980148338</v>
      </c>
      <c r="O307" s="36" t="n">
        <v>2784.544766334876</v>
      </c>
      <c r="P307" s="29" t="n">
        <v>6.934944845713585</v>
      </c>
      <c r="Q307" s="16" t="inlineStr">
        <is>
          <t>sí</t>
        </is>
      </c>
      <c r="R307" s="16" t="inlineStr">
        <is>
          <t>O2</t>
        </is>
      </c>
    </row>
    <row r="308">
      <c r="A308" s="16" t="inlineStr">
        <is>
          <t>KF-M04-0297</t>
        </is>
      </c>
      <c r="B308" s="35" t="n">
        <v>405.774065493802</v>
      </c>
      <c r="C308" s="35" t="n">
        <v>294.0371477614854</v>
      </c>
      <c r="D308" s="36" t="n">
        <v>3844.161669703544</v>
      </c>
      <c r="E308" s="35" t="n">
        <v>510.7901871291433</v>
      </c>
      <c r="F308" s="37" t="n">
        <v>0.5557287530460909</v>
      </c>
      <c r="G308" s="37" t="n">
        <v>0.8274655187105316</v>
      </c>
      <c r="H308" s="37" t="n">
        <v>0.7161345544517226</v>
      </c>
      <c r="I308" s="37" t="n">
        <v>0.8736130059807499</v>
      </c>
      <c r="J308" s="37" t="n">
        <v>0.6987772433402573</v>
      </c>
      <c r="K308" s="37" t="n">
        <v>0.8445981730542217</v>
      </c>
      <c r="L308" s="39" t="inlineStr">
        <is>
          <t>Corregible</t>
        </is>
      </c>
      <c r="M308" s="29" t="n">
        <v>8.88284024031231</v>
      </c>
      <c r="N308" s="35" t="n">
        <v>31.46715314654614</v>
      </c>
      <c r="O308" s="36" t="n">
        <v>3333.3714825744</v>
      </c>
      <c r="P308" s="29" t="n">
        <v>7.525911355716046</v>
      </c>
      <c r="Q308" s="16" t="inlineStr">
        <is>
          <t>no</t>
        </is>
      </c>
      <c r="R308" s="16" t="inlineStr">
        <is>
          <t>O2</t>
        </is>
      </c>
    </row>
    <row r="309">
      <c r="A309" s="16" t="inlineStr">
        <is>
          <t>KF-M04-0298</t>
        </is>
      </c>
      <c r="B309" s="35" t="n">
        <v>438.0369399329183</v>
      </c>
      <c r="C309" s="35" t="n">
        <v>296.15539343744</v>
      </c>
      <c r="D309" s="36" t="n">
        <v>3436.515330245455</v>
      </c>
      <c r="E309" s="35" t="n">
        <v>743.4609483934786</v>
      </c>
      <c r="F309" s="37" t="n">
        <v>0.622123495154182</v>
      </c>
      <c r="G309" s="37" t="n">
        <v>0.8022443427621284</v>
      </c>
      <c r="H309" s="37" t="n">
        <v>0.7045854002332652</v>
      </c>
      <c r="I309" s="37" t="n">
        <v>0.6143773840070156</v>
      </c>
      <c r="J309" s="37" t="n">
        <v>0.8141886158788414</v>
      </c>
      <c r="K309" s="37" t="n">
        <v>0.7017211838664866</v>
      </c>
      <c r="L309" s="39" t="inlineStr">
        <is>
          <t>Corregible</t>
        </is>
      </c>
      <c r="M309" s="29" t="n">
        <v>10.21831989479211</v>
      </c>
      <c r="N309" s="35" t="n">
        <v>64.5067010708508</v>
      </c>
      <c r="O309" s="36" t="n">
        <v>2693.054381851976</v>
      </c>
      <c r="P309" s="29" t="n">
        <v>4.622321236470204</v>
      </c>
      <c r="Q309" s="16" t="inlineStr">
        <is>
          <t>no</t>
        </is>
      </c>
      <c r="R309" s="16" t="inlineStr">
        <is>
          <t>O2</t>
        </is>
      </c>
    </row>
    <row r="310">
      <c r="A310" s="16" t="inlineStr">
        <is>
          <t>KF-M04-0299</t>
        </is>
      </c>
      <c r="B310" s="35" t="n">
        <v>406.4878971929941</v>
      </c>
      <c r="C310" s="35" t="n">
        <v>283.9825451236665</v>
      </c>
      <c r="D310" s="36" t="n">
        <v>4792.742139535572</v>
      </c>
      <c r="E310" s="35" t="n">
        <v>333.5639741793088</v>
      </c>
      <c r="F310" s="37" t="n">
        <v>0.5224209264978167</v>
      </c>
      <c r="G310" s="37" t="n">
        <v>0.8917202932335564</v>
      </c>
      <c r="H310" s="37" t="n">
        <v>0.7431723579807953</v>
      </c>
      <c r="I310" s="37" t="n">
        <v>0.6706954987644316</v>
      </c>
      <c r="J310" s="37" t="n">
        <v>0.8466400588880039</v>
      </c>
      <c r="K310" s="37" t="n">
        <v>0.7403418682116368</v>
      </c>
      <c r="L310" s="32" t="inlineStr">
        <is>
          <t>No convergió</t>
        </is>
      </c>
      <c r="M310" s="29" t="inlineStr">
        <is>
          <t>—</t>
        </is>
      </c>
      <c r="N310" s="35" t="inlineStr">
        <is>
          <t>—</t>
        </is>
      </c>
      <c r="O310" s="36" t="n">
        <v>4459.178165356263</v>
      </c>
      <c r="P310" s="29" t="n">
        <v>14.36828467860624</v>
      </c>
      <c r="Q310" s="16" t="inlineStr">
        <is>
          <t>no</t>
        </is>
      </c>
      <c r="R310" s="16" t="n"/>
    </row>
    <row r="311">
      <c r="A311" s="16" t="inlineStr">
        <is>
          <t>KF-M04b-0000</t>
        </is>
      </c>
      <c r="B311" s="35" t="n">
        <v>415.2806465295041</v>
      </c>
      <c r="C311" s="35" t="n">
        <v>284.2492606001856</v>
      </c>
      <c r="D311" s="36" t="n">
        <v>2352.454585184713</v>
      </c>
      <c r="E311" s="35" t="n">
        <v>1380.546268649107</v>
      </c>
      <c r="F311" s="37" t="n">
        <v>0.5186726573836469</v>
      </c>
      <c r="G311" s="37" t="n">
        <v>0.7538853547543595</v>
      </c>
      <c r="H311" s="37" t="n">
        <v>0.7446629096368058</v>
      </c>
      <c r="I311" s="37" t="n">
        <v>0.6614469529212912</v>
      </c>
      <c r="J311" s="37" t="n">
        <v>0.7535782801242231</v>
      </c>
      <c r="K311" s="37" t="n">
        <v>0.8886296906322618</v>
      </c>
      <c r="L311" s="42" t="inlineStr">
        <is>
          <t>KALINA</t>
        </is>
      </c>
      <c r="M311" s="29" t="n">
        <v>2.95428927730202</v>
      </c>
      <c r="N311" s="35" t="n">
        <v>15.56867802648261</v>
      </c>
      <c r="O311" s="36" t="n">
        <v>971.9083165356058</v>
      </c>
      <c r="P311" s="29" t="n">
        <v>1.704002711540149</v>
      </c>
      <c r="Q311" s="16" t="inlineStr">
        <is>
          <t>no</t>
        </is>
      </c>
      <c r="R311" s="16" t="n"/>
    </row>
    <row r="312">
      <c r="A312" s="16" t="inlineStr">
        <is>
          <t>KF-M04b-0001</t>
        </is>
      </c>
      <c r="B312" s="35" t="n">
        <v>457.2976276114018</v>
      </c>
      <c r="C312" s="35" t="n">
        <v>282.2051538586384</v>
      </c>
      <c r="D312" s="36" t="n">
        <v>2155.688849966575</v>
      </c>
      <c r="E312" s="35" t="n">
        <v>918.041130057621</v>
      </c>
      <c r="F312" s="37" t="n">
        <v>0.5959604903989996</v>
      </c>
      <c r="G312" s="37" t="n">
        <v>0.7832916769504216</v>
      </c>
      <c r="H312" s="37" t="n">
        <v>0.6531251808110692</v>
      </c>
      <c r="I312" s="37" t="n">
        <v>0.906292024925946</v>
      </c>
      <c r="J312" s="37" t="n">
        <v>0.6553226678085063</v>
      </c>
      <c r="K312" s="37" t="n">
        <v>0.9279406998809592</v>
      </c>
      <c r="L312" s="42" t="inlineStr">
        <is>
          <t>KALINA</t>
        </is>
      </c>
      <c r="M312" s="29" t="n">
        <v>5.72843491498087</v>
      </c>
      <c r="N312" s="35" t="n">
        <v>109.9033183301413</v>
      </c>
      <c r="O312" s="36" t="n">
        <v>1237.647719908954</v>
      </c>
      <c r="P312" s="29" t="n">
        <v>2.348139728588492</v>
      </c>
      <c r="Q312" s="16" t="inlineStr">
        <is>
          <t>sí</t>
        </is>
      </c>
      <c r="R312" s="16" t="n"/>
    </row>
    <row r="313">
      <c r="A313" s="16" t="inlineStr">
        <is>
          <t>KF-M04b-0002</t>
        </is>
      </c>
      <c r="B313" s="35" t="n">
        <v>417.8781054564405</v>
      </c>
      <c r="C313" s="35" t="n">
        <v>289.5339830781852</v>
      </c>
      <c r="D313" s="36" t="n">
        <v>4986.563595799034</v>
      </c>
      <c r="E313" s="35" t="n">
        <v>1254.520050129621</v>
      </c>
      <c r="F313" s="37" t="n">
        <v>0.503600207534467</v>
      </c>
      <c r="G313" s="37" t="n">
        <v>0.8946343105000243</v>
      </c>
      <c r="H313" s="37" t="n">
        <v>0.8875836034188722</v>
      </c>
      <c r="I313" s="37" t="n">
        <v>0.6467229048247698</v>
      </c>
      <c r="J313" s="37" t="n">
        <v>0.8925396097442926</v>
      </c>
      <c r="K313" s="37" t="n">
        <v>0.9067171214346322</v>
      </c>
      <c r="L313" s="40" t="inlineStr">
        <is>
          <t>Inviable</t>
        </is>
      </c>
      <c r="M313" s="29" t="n">
        <v>-5.00758254785141</v>
      </c>
      <c r="N313" s="35" t="n">
        <v>-3.793723840477081</v>
      </c>
      <c r="O313" s="36" t="n">
        <v>3732.043545669413</v>
      </c>
      <c r="P313" s="29" t="n">
        <v>3.974877559975072</v>
      </c>
      <c r="Q313" s="16" t="inlineStr">
        <is>
          <t>no</t>
        </is>
      </c>
      <c r="R313" s="16" t="inlineStr">
        <is>
          <t>O3</t>
        </is>
      </c>
    </row>
    <row r="314">
      <c r="A314" s="16" t="inlineStr">
        <is>
          <t>KF-M04b-0003</t>
        </is>
      </c>
      <c r="B314" s="35" t="n">
        <v>492.1999150231421</v>
      </c>
      <c r="C314" s="35" t="n">
        <v>290.702863562995</v>
      </c>
      <c r="D314" s="36" t="n">
        <v>2674.482313309567</v>
      </c>
      <c r="E314" s="35" t="n">
        <v>498.7518172150124</v>
      </c>
      <c r="F314" s="37" t="n">
        <v>0.5787611812874194</v>
      </c>
      <c r="G314" s="37" t="n">
        <v>0.886078904275146</v>
      </c>
      <c r="H314" s="37" t="n">
        <v>0.7358999516023778</v>
      </c>
      <c r="I314" s="37" t="n">
        <v>0.8588384280440577</v>
      </c>
      <c r="J314" s="37" t="n">
        <v>0.8977924541472984</v>
      </c>
      <c r="K314" s="37" t="n">
        <v>0.9111173166687176</v>
      </c>
      <c r="L314" s="39" t="inlineStr">
        <is>
          <t>Corregible</t>
        </is>
      </c>
      <c r="M314" s="29" t="n">
        <v>12.38834033493272</v>
      </c>
      <c r="N314" s="35" t="n">
        <v>226.9768143357576</v>
      </c>
      <c r="O314" s="36" t="n">
        <v>2175.730496094554</v>
      </c>
      <c r="P314" s="29" t="n">
        <v>5.36235101506727</v>
      </c>
      <c r="Q314" s="16" t="inlineStr">
        <is>
          <t>sí</t>
        </is>
      </c>
      <c r="R314" s="16" t="inlineStr">
        <is>
          <t>O2</t>
        </is>
      </c>
    </row>
    <row r="315">
      <c r="A315" s="16" t="inlineStr">
        <is>
          <t>KF-M04b-0004</t>
        </is>
      </c>
      <c r="B315" s="35" t="n">
        <v>484.387254042173</v>
      </c>
      <c r="C315" s="35" t="n">
        <v>282.6519494028217</v>
      </c>
      <c r="D315" s="36" t="n">
        <v>2459.481768045072</v>
      </c>
      <c r="E315" s="35" t="n">
        <v>451.8604749164564</v>
      </c>
      <c r="F315" s="37" t="n">
        <v>0.5297298884186833</v>
      </c>
      <c r="G315" s="37" t="n">
        <v>0.8214566372932895</v>
      </c>
      <c r="H315" s="37" t="n">
        <v>0.6801127354551314</v>
      </c>
      <c r="I315" s="37" t="n">
        <v>0.729078784348053</v>
      </c>
      <c r="J315" s="37" t="n">
        <v>0.7850349447691388</v>
      </c>
      <c r="K315" s="37" t="n">
        <v>0.7895987798088689</v>
      </c>
      <c r="L315" s="39" t="inlineStr">
        <is>
          <t>Corregible</t>
        </is>
      </c>
      <c r="M315" s="29" t="n">
        <v>10.90675665103822</v>
      </c>
      <c r="N315" s="35" t="n">
        <v>157.9875378802799</v>
      </c>
      <c r="O315" s="36" t="n">
        <v>2007.621293128616</v>
      </c>
      <c r="P315" s="29" t="n">
        <v>5.443011514781861</v>
      </c>
      <c r="Q315" s="16" t="inlineStr">
        <is>
          <t>sí</t>
        </is>
      </c>
      <c r="R315" s="16" t="inlineStr">
        <is>
          <t>O2</t>
        </is>
      </c>
    </row>
    <row r="316">
      <c r="A316" s="16" t="inlineStr">
        <is>
          <t>KF-M04b-0005</t>
        </is>
      </c>
      <c r="B316" s="35" t="n">
        <v>468.3152789733691</v>
      </c>
      <c r="C316" s="35" t="n">
        <v>283.7818473250117</v>
      </c>
      <c r="D316" s="36" t="n">
        <v>2507.763487865784</v>
      </c>
      <c r="E316" s="35" t="n">
        <v>787.4467961031082</v>
      </c>
      <c r="F316" s="37" t="n">
        <v>0.8155692456600261</v>
      </c>
      <c r="G316" s="37" t="n">
        <v>0.8059070505809353</v>
      </c>
      <c r="H316" s="37" t="n">
        <v>0.6829325947597485</v>
      </c>
      <c r="I316" s="37" t="n">
        <v>0.6812974106192209</v>
      </c>
      <c r="J316" s="37" t="n">
        <v>0.6316610208637291</v>
      </c>
      <c r="K316" s="37" t="n">
        <v>0.7149904378924382</v>
      </c>
      <c r="L316" s="39" t="inlineStr">
        <is>
          <t>Corregible</t>
        </is>
      </c>
      <c r="M316" s="29" t="n">
        <v>7.81667916535006</v>
      </c>
      <c r="N316" s="35" t="n">
        <v>80.56873587449542</v>
      </c>
      <c r="O316" s="36" t="n">
        <v>1720.316691762676</v>
      </c>
      <c r="P316" s="29" t="n">
        <v>3.184676730257999</v>
      </c>
      <c r="Q316" s="16" t="inlineStr">
        <is>
          <t>no</t>
        </is>
      </c>
      <c r="R316" s="16" t="inlineStr">
        <is>
          <t>O2</t>
        </is>
      </c>
    </row>
    <row r="317">
      <c r="A317" s="16" t="inlineStr">
        <is>
          <t>KF-M04b-0006</t>
        </is>
      </c>
      <c r="B317" s="35" t="n">
        <v>413.8316141751564</v>
      </c>
      <c r="C317" s="35" t="n">
        <v>294.9220458932307</v>
      </c>
      <c r="D317" s="36" t="n">
        <v>3622.121813510464</v>
      </c>
      <c r="E317" s="35" t="n">
        <v>827.1112753148744</v>
      </c>
      <c r="F317" s="37" t="n">
        <v>0.7408608122299538</v>
      </c>
      <c r="G317" s="37" t="n">
        <v>0.8940708851987392</v>
      </c>
      <c r="H317" s="37" t="n">
        <v>0.861571356722965</v>
      </c>
      <c r="I317" s="37" t="n">
        <v>0.7383783073414355</v>
      </c>
      <c r="J317" s="37" t="n">
        <v>0.7049224003788198</v>
      </c>
      <c r="K317" s="37" t="n">
        <v>0.8155676091765617</v>
      </c>
      <c r="L317" s="39" t="inlineStr">
        <is>
          <t>Corregible</t>
        </is>
      </c>
      <c r="M317" s="29" t="n">
        <v>12.51501431728092</v>
      </c>
      <c r="N317" s="35" t="n">
        <v>90.2560682352749</v>
      </c>
      <c r="O317" s="36" t="n">
        <v>2795.01053819559</v>
      </c>
      <c r="P317" s="29" t="n">
        <v>4.379243666012838</v>
      </c>
      <c r="Q317" s="16" t="inlineStr">
        <is>
          <t>no</t>
        </is>
      </c>
      <c r="R317" s="16" t="inlineStr">
        <is>
          <t>O2</t>
        </is>
      </c>
    </row>
    <row r="318">
      <c r="A318" s="16" t="inlineStr">
        <is>
          <t>KF-M04b-0007</t>
        </is>
      </c>
      <c r="B318" s="35" t="n">
        <v>479.1726655721185</v>
      </c>
      <c r="C318" s="35" t="n">
        <v>281.8471118826477</v>
      </c>
      <c r="D318" s="36" t="n">
        <v>3345.752762983845</v>
      </c>
      <c r="E318" s="35" t="n">
        <v>1408.841268419527</v>
      </c>
      <c r="F318" s="37" t="n">
        <v>0.5322543806632219</v>
      </c>
      <c r="G318" s="37" t="n">
        <v>0.797381821645639</v>
      </c>
      <c r="H318" s="37" t="n">
        <v>0.7926231339209298</v>
      </c>
      <c r="I318" s="37" t="n">
        <v>0.9353962569626282</v>
      </c>
      <c r="J318" s="37" t="n">
        <v>0.9219119278582486</v>
      </c>
      <c r="K318" s="37" t="n">
        <v>0.7509240124586515</v>
      </c>
      <c r="L318" s="39" t="inlineStr">
        <is>
          <t>Corregible</t>
        </is>
      </c>
      <c r="M318" s="29" t="n">
        <v>6.051031625033469</v>
      </c>
      <c r="N318" s="35" t="n">
        <v>102.9857356734827</v>
      </c>
      <c r="O318" s="36" t="n">
        <v>1936.911494564318</v>
      </c>
      <c r="P318" s="29" t="n">
        <v>2.374825921118277</v>
      </c>
      <c r="Q318" s="16" t="inlineStr">
        <is>
          <t>sí</t>
        </is>
      </c>
      <c r="R318" s="16" t="inlineStr">
        <is>
          <t>O2</t>
        </is>
      </c>
    </row>
    <row r="319">
      <c r="A319" s="16" t="inlineStr">
        <is>
          <t>KF-M04b-0008</t>
        </is>
      </c>
      <c r="B319" s="35" t="n">
        <v>449.9372992361555</v>
      </c>
      <c r="C319" s="35" t="n">
        <v>303.4036191090312</v>
      </c>
      <c r="D319" s="36" t="n">
        <v>3460.363839446954</v>
      </c>
      <c r="E319" s="35" t="n">
        <v>1251.20882915582</v>
      </c>
      <c r="F319" s="37" t="n">
        <v>0.6668522529111973</v>
      </c>
      <c r="G319" s="37" t="n">
        <v>0.891653273183468</v>
      </c>
      <c r="H319" s="37" t="n">
        <v>0.6921929782406527</v>
      </c>
      <c r="I319" s="37" t="n">
        <v>0.6500764975673777</v>
      </c>
      <c r="J319" s="37" t="n">
        <v>0.6054551226862541</v>
      </c>
      <c r="K319" s="37" t="n">
        <v>0.7272644466501315</v>
      </c>
      <c r="L319" s="39" t="inlineStr">
        <is>
          <t>Corregible</t>
        </is>
      </c>
      <c r="M319" s="29" t="n">
        <v>8.107099278062719</v>
      </c>
      <c r="N319" s="35" t="n">
        <v>70.91094153656849</v>
      </c>
      <c r="O319" s="36" t="n">
        <v>2209.155010291134</v>
      </c>
      <c r="P319" s="29" t="n">
        <v>2.765616545226613</v>
      </c>
      <c r="Q319" s="16" t="inlineStr">
        <is>
          <t>sí</t>
        </is>
      </c>
      <c r="R319" s="16" t="inlineStr">
        <is>
          <t>O2</t>
        </is>
      </c>
    </row>
    <row r="320">
      <c r="A320" s="16" t="inlineStr">
        <is>
          <t>KF-M04b-0009</t>
        </is>
      </c>
      <c r="B320" s="35" t="n">
        <v>381.872835664222</v>
      </c>
      <c r="C320" s="35" t="n">
        <v>302.5206658116049</v>
      </c>
      <c r="D320" s="36" t="n">
        <v>4467.232928992657</v>
      </c>
      <c r="E320" s="35" t="n">
        <v>641.8145666113764</v>
      </c>
      <c r="F320" s="37" t="n">
        <v>0.5203735762221311</v>
      </c>
      <c r="G320" s="37" t="n">
        <v>0.8505263875006821</v>
      </c>
      <c r="H320" s="37" t="n">
        <v>0.885198599571507</v>
      </c>
      <c r="I320" s="37" t="n">
        <v>0.6657600971418551</v>
      </c>
      <c r="J320" s="37" t="n">
        <v>0.8955677871336951</v>
      </c>
      <c r="K320" s="37" t="n">
        <v>0.7595513815269379</v>
      </c>
      <c r="L320" s="32" t="inlineStr">
        <is>
          <t>No convergió</t>
        </is>
      </c>
      <c r="M320" s="29" t="inlineStr">
        <is>
          <t>—</t>
        </is>
      </c>
      <c r="N320" s="35" t="inlineStr">
        <is>
          <t>—</t>
        </is>
      </c>
      <c r="O320" s="36" t="n">
        <v>3825.41836238128</v>
      </c>
      <c r="P320" s="29" t="n">
        <v>6.960317140476495</v>
      </c>
      <c r="Q320" s="16" t="inlineStr">
        <is>
          <t>no</t>
        </is>
      </c>
      <c r="R320" s="16" t="n"/>
    </row>
    <row r="321">
      <c r="A321" s="16" t="inlineStr">
        <is>
          <t>KF-M04b-0010</t>
        </is>
      </c>
      <c r="B321" s="35" t="n">
        <v>428.601034883403</v>
      </c>
      <c r="C321" s="35" t="n">
        <v>299.3028137245336</v>
      </c>
      <c r="D321" s="36" t="n">
        <v>2559.785520070714</v>
      </c>
      <c r="E321" s="35" t="n">
        <v>512.457498918885</v>
      </c>
      <c r="F321" s="37" t="n">
        <v>0.6414633069010677</v>
      </c>
      <c r="G321" s="37" t="n">
        <v>0.8291295126550279</v>
      </c>
      <c r="H321" s="37" t="n">
        <v>0.7550251004212473</v>
      </c>
      <c r="I321" s="37" t="n">
        <v>0.8922260569158795</v>
      </c>
      <c r="J321" s="37" t="n">
        <v>0.7880224719683605</v>
      </c>
      <c r="K321" s="37" t="n">
        <v>0.7355670496690558</v>
      </c>
      <c r="L321" s="39" t="inlineStr">
        <is>
          <t>Corregible</t>
        </is>
      </c>
      <c r="M321" s="29" t="n">
        <v>8.920907870446861</v>
      </c>
      <c r="N321" s="35" t="n">
        <v>74.13428166286525</v>
      </c>
      <c r="O321" s="36" t="n">
        <v>2047.328021151829</v>
      </c>
      <c r="P321" s="29" t="n">
        <v>4.995117693605832</v>
      </c>
      <c r="Q321" s="16" t="inlineStr">
        <is>
          <t>sí</t>
        </is>
      </c>
      <c r="R321" s="16" t="inlineStr">
        <is>
          <t>O2</t>
        </is>
      </c>
    </row>
    <row r="322">
      <c r="A322" s="16" t="inlineStr">
        <is>
          <t>KF-M04b-0011</t>
        </is>
      </c>
      <c r="B322" s="35" t="n">
        <v>473.6464120020619</v>
      </c>
      <c r="C322" s="35" t="n">
        <v>301.983396400256</v>
      </c>
      <c r="D322" s="36" t="n">
        <v>3146.691582293936</v>
      </c>
      <c r="E322" s="35" t="n">
        <v>994.8334363733796</v>
      </c>
      <c r="F322" s="37" t="n">
        <v>0.586642571375138</v>
      </c>
      <c r="G322" s="37" t="n">
        <v>0.880241265092602</v>
      </c>
      <c r="H322" s="37" t="n">
        <v>0.8822844049131411</v>
      </c>
      <c r="I322" s="37" t="n">
        <v>0.6085695089692689</v>
      </c>
      <c r="J322" s="37" t="n">
        <v>0.9112664234728336</v>
      </c>
      <c r="K322" s="37" t="n">
        <v>0.8214999233406381</v>
      </c>
      <c r="L322" s="39" t="inlineStr">
        <is>
          <t>Corregible</t>
        </is>
      </c>
      <c r="M322" s="29" t="n">
        <v>9.58743247756146</v>
      </c>
      <c r="N322" s="35" t="n">
        <v>107.8641341352862</v>
      </c>
      <c r="O322" s="36" t="n">
        <v>2151.858145920557</v>
      </c>
      <c r="P322" s="29" t="n">
        <v>3.163033596624032</v>
      </c>
      <c r="Q322" s="16" t="inlineStr">
        <is>
          <t>sí</t>
        </is>
      </c>
      <c r="R322" s="16" t="inlineStr">
        <is>
          <t>O2</t>
        </is>
      </c>
    </row>
    <row r="323">
      <c r="A323" s="16" t="inlineStr">
        <is>
          <t>KF-M04b-0012</t>
        </is>
      </c>
      <c r="B323" s="35" t="n">
        <v>464.9391134514209</v>
      </c>
      <c r="C323" s="35" t="n">
        <v>299.6027454539569</v>
      </c>
      <c r="D323" s="36" t="n">
        <v>3577.649491973242</v>
      </c>
      <c r="E323" s="35" t="n">
        <v>1200.867699802452</v>
      </c>
      <c r="F323" s="37" t="n">
        <v>0.8470855914907705</v>
      </c>
      <c r="G323" s="37" t="n">
        <v>0.7992485878170159</v>
      </c>
      <c r="H323" s="37" t="n">
        <v>0.7892757522795485</v>
      </c>
      <c r="I323" s="37" t="n">
        <v>0.6979572348288419</v>
      </c>
      <c r="J323" s="37" t="n">
        <v>0.7768852211160274</v>
      </c>
      <c r="K323" s="37" t="n">
        <v>0.9236798019207988</v>
      </c>
      <c r="L323" s="39" t="inlineStr">
        <is>
          <t>Corregible</t>
        </is>
      </c>
      <c r="M323" s="29" t="n">
        <v>9.313385825708629</v>
      </c>
      <c r="N323" s="35" t="n">
        <v>107.3769715594785</v>
      </c>
      <c r="O323" s="36" t="n">
        <v>2376.78179217079</v>
      </c>
      <c r="P323" s="29" t="n">
        <v>2.97922035255156</v>
      </c>
      <c r="Q323" s="16" t="inlineStr">
        <is>
          <t>no</t>
        </is>
      </c>
      <c r="R323" s="16" t="inlineStr">
        <is>
          <t>O2</t>
        </is>
      </c>
    </row>
    <row r="324">
      <c r="A324" s="16" t="inlineStr">
        <is>
          <t>KF-M04b-0013</t>
        </is>
      </c>
      <c r="B324" s="35" t="n">
        <v>437.7305085308801</v>
      </c>
      <c r="C324" s="35" t="n">
        <v>293.7211659519837</v>
      </c>
      <c r="D324" s="36" t="n">
        <v>4202.002920515505</v>
      </c>
      <c r="E324" s="35" t="n">
        <v>894.3259549580453</v>
      </c>
      <c r="F324" s="37" t="n">
        <v>0.6208653403283333</v>
      </c>
      <c r="G324" s="37" t="n">
        <v>0.8819694876578755</v>
      </c>
      <c r="H324" s="37" t="n">
        <v>0.8145110993724919</v>
      </c>
      <c r="I324" s="37" t="n">
        <v>0.8318658104558045</v>
      </c>
      <c r="J324" s="37" t="n">
        <v>0.7244610232792964</v>
      </c>
      <c r="K324" s="37" t="n">
        <v>0.7160586581976673</v>
      </c>
      <c r="L324" s="39" t="inlineStr">
        <is>
          <t>Corregible</t>
        </is>
      </c>
      <c r="M324" s="29" t="n">
        <v>12.09898020573309</v>
      </c>
      <c r="N324" s="35" t="n">
        <v>88.51445803505439</v>
      </c>
      <c r="O324" s="36" t="n">
        <v>3307.67696555746</v>
      </c>
      <c r="P324" s="29" t="n">
        <v>4.698513888834446</v>
      </c>
      <c r="Q324" s="16" t="inlineStr">
        <is>
          <t>sí</t>
        </is>
      </c>
      <c r="R324" s="16" t="inlineStr">
        <is>
          <t>O2</t>
        </is>
      </c>
    </row>
    <row r="325">
      <c r="A325" s="16" t="inlineStr">
        <is>
          <t>KF-M04b-0014</t>
        </is>
      </c>
      <c r="B325" s="35" t="n">
        <v>494.6908000633736</v>
      </c>
      <c r="C325" s="35" t="n">
        <v>301.0445088917985</v>
      </c>
      <c r="D325" s="36" t="n">
        <v>2399.02039368288</v>
      </c>
      <c r="E325" s="35" t="n">
        <v>575.6515252524321</v>
      </c>
      <c r="F325" s="37" t="n">
        <v>0.6296959111468223</v>
      </c>
      <c r="G325" s="37" t="n">
        <v>0.7690354151692749</v>
      </c>
      <c r="H325" s="37" t="n">
        <v>0.6875891782656285</v>
      </c>
      <c r="I325" s="37" t="n">
        <v>0.7431986531818369</v>
      </c>
      <c r="J325" s="37" t="n">
        <v>0.8856990818856223</v>
      </c>
      <c r="K325" s="37" t="n">
        <v>0.8779770808854769</v>
      </c>
      <c r="L325" s="39" t="inlineStr">
        <is>
          <t>Corregible</t>
        </is>
      </c>
      <c r="M325" s="29" t="n">
        <v>9.08805576137871</v>
      </c>
      <c r="N325" s="35" t="n">
        <v>131.0470574439463</v>
      </c>
      <c r="O325" s="36" t="n">
        <v>1823.368868430448</v>
      </c>
      <c r="P325" s="29" t="n">
        <v>4.167487253040583</v>
      </c>
      <c r="Q325" s="16" t="inlineStr">
        <is>
          <t>sí</t>
        </is>
      </c>
      <c r="R325" s="16" t="inlineStr">
        <is>
          <t>O2</t>
        </is>
      </c>
    </row>
    <row r="326">
      <c r="A326" s="16" t="inlineStr">
        <is>
          <t>KF-M04b-0015</t>
        </is>
      </c>
      <c r="B326" s="35" t="n">
        <v>473.1980568860835</v>
      </c>
      <c r="C326" s="35" t="n">
        <v>283.9384666619641</v>
      </c>
      <c r="D326" s="36" t="n">
        <v>4597.945159057259</v>
      </c>
      <c r="E326" s="35" t="n">
        <v>1027.942471087398</v>
      </c>
      <c r="F326" s="37" t="n">
        <v>0.5939189181906614</v>
      </c>
      <c r="G326" s="37" t="n">
        <v>0.9020431408945856</v>
      </c>
      <c r="H326" s="37" t="n">
        <v>0.8097155759632326</v>
      </c>
      <c r="I326" s="37" t="n">
        <v>0.9201059005283024</v>
      </c>
      <c r="J326" s="37" t="n">
        <v>0.8837552687248647</v>
      </c>
      <c r="K326" s="37" t="n">
        <v>0.8244892781239832</v>
      </c>
      <c r="L326" s="39" t="inlineStr">
        <is>
          <t>Corregible</t>
        </is>
      </c>
      <c r="M326" s="29" t="n">
        <v>12.15534810744237</v>
      </c>
      <c r="N326" s="35" t="n">
        <v>174.3910403535073</v>
      </c>
      <c r="O326" s="36" t="n">
        <v>3570.002687969861</v>
      </c>
      <c r="P326" s="29" t="n">
        <v>4.472959614357962</v>
      </c>
      <c r="Q326" s="16" t="inlineStr">
        <is>
          <t>sí</t>
        </is>
      </c>
      <c r="R326" s="16" t="inlineStr">
        <is>
          <t>O2</t>
        </is>
      </c>
    </row>
    <row r="327">
      <c r="A327" s="16" t="inlineStr">
        <is>
          <t>KF-M04b-0016</t>
        </is>
      </c>
      <c r="B327" s="35" t="n">
        <v>445.2325543549998</v>
      </c>
      <c r="C327" s="35" t="n">
        <v>294.0384557843981</v>
      </c>
      <c r="D327" s="36" t="n">
        <v>4236.263721972168</v>
      </c>
      <c r="E327" s="35" t="n">
        <v>754.9971454496385</v>
      </c>
      <c r="F327" s="37" t="n">
        <v>0.7012159486777612</v>
      </c>
      <c r="G327" s="37" t="n">
        <v>0.8809503213963275</v>
      </c>
      <c r="H327" s="37" t="n">
        <v>0.6620594867199796</v>
      </c>
      <c r="I327" s="37" t="n">
        <v>0.906149847299058</v>
      </c>
      <c r="J327" s="37" t="n">
        <v>0.8455001437505776</v>
      </c>
      <c r="K327" s="37" t="n">
        <v>0.942481940685618</v>
      </c>
      <c r="L327" s="39" t="inlineStr">
        <is>
          <t>Corregible</t>
        </is>
      </c>
      <c r="M327" s="29" t="n">
        <v>13.77620920753343</v>
      </c>
      <c r="N327" s="35" t="n">
        <v>167.3340702705877</v>
      </c>
      <c r="O327" s="36" t="n">
        <v>3481.26657652253</v>
      </c>
      <c r="P327" s="29" t="n">
        <v>5.610966541402301</v>
      </c>
      <c r="Q327" s="16" t="inlineStr">
        <is>
          <t>sí</t>
        </is>
      </c>
      <c r="R327" s="16" t="inlineStr">
        <is>
          <t>O2</t>
        </is>
      </c>
    </row>
    <row r="328">
      <c r="A328" s="16" t="inlineStr">
        <is>
          <t>KF-M04b-0017</t>
        </is>
      </c>
      <c r="B328" s="35" t="n">
        <v>474.2448552513332</v>
      </c>
      <c r="C328" s="35" t="n">
        <v>300.4087185663897</v>
      </c>
      <c r="D328" s="36" t="n">
        <v>2654.784617300328</v>
      </c>
      <c r="E328" s="35" t="n">
        <v>328.004598580474</v>
      </c>
      <c r="F328" s="37" t="n">
        <v>0.5879109069358677</v>
      </c>
      <c r="G328" s="37" t="n">
        <v>0.8687271167217566</v>
      </c>
      <c r="H328" s="37" t="n">
        <v>0.8956599662745248</v>
      </c>
      <c r="I328" s="37" t="n">
        <v>0.9420275781125989</v>
      </c>
      <c r="J328" s="37" t="n">
        <v>0.9435165264483294</v>
      </c>
      <c r="K328" s="37" t="n">
        <v>0.9199095350347012</v>
      </c>
      <c r="L328" s="39" t="inlineStr">
        <is>
          <t>Corregible</t>
        </is>
      </c>
      <c r="M328" s="29" t="n">
        <v>14.03878510669353</v>
      </c>
      <c r="N328" s="35" t="n">
        <v>233.3784872256282</v>
      </c>
      <c r="O328" s="36" t="n">
        <v>2326.780018719854</v>
      </c>
      <c r="P328" s="29" t="n">
        <v>8.093742065780802</v>
      </c>
      <c r="Q328" s="16" t="inlineStr">
        <is>
          <t>sí</t>
        </is>
      </c>
      <c r="R328" s="16" t="inlineStr">
        <is>
          <t>O1,O2</t>
        </is>
      </c>
    </row>
    <row r="329">
      <c r="A329" s="16" t="inlineStr">
        <is>
          <t>KF-M04b-0018</t>
        </is>
      </c>
      <c r="B329" s="35" t="n">
        <v>435.933430513684</v>
      </c>
      <c r="C329" s="35" t="n">
        <v>287.8781432364916</v>
      </c>
      <c r="D329" s="36" t="n">
        <v>4350.40976960553</v>
      </c>
      <c r="E329" s="35" t="n">
        <v>1317.208460746917</v>
      </c>
      <c r="F329" s="37" t="n">
        <v>0.6229083313283539</v>
      </c>
      <c r="G329" s="37" t="n">
        <v>0.9119250097501266</v>
      </c>
      <c r="H329" s="37" t="n">
        <v>0.6664361615766549</v>
      </c>
      <c r="I329" s="37" t="n">
        <v>0.8370212701238002</v>
      </c>
      <c r="J329" s="37" t="n">
        <v>0.924255940545622</v>
      </c>
      <c r="K329" s="37" t="n">
        <v>0.9015611936442968</v>
      </c>
      <c r="L329" s="42" t="inlineStr">
        <is>
          <t>KALINA</t>
        </is>
      </c>
      <c r="M329" s="29" t="n">
        <v>9.5862659936932</v>
      </c>
      <c r="N329" s="35" t="n">
        <v>71.68645240651031</v>
      </c>
      <c r="O329" s="36" t="n">
        <v>3033.201308858613</v>
      </c>
      <c r="P329" s="29" t="n">
        <v>3.302749640052153</v>
      </c>
      <c r="Q329" s="16" t="inlineStr">
        <is>
          <t>sí</t>
        </is>
      </c>
      <c r="R329" s="16" t="n"/>
    </row>
    <row r="330">
      <c r="A330" s="16" t="inlineStr">
        <is>
          <t>KF-M04b-0019</t>
        </is>
      </c>
      <c r="B330" s="35" t="n">
        <v>400.8574729181181</v>
      </c>
      <c r="C330" s="35" t="n">
        <v>287.5297458526138</v>
      </c>
      <c r="D330" s="36" t="n">
        <v>4288.478428872939</v>
      </c>
      <c r="E330" s="35" t="n">
        <v>355.3037031327749</v>
      </c>
      <c r="F330" s="37" t="n">
        <v>0.7723318555122751</v>
      </c>
      <c r="G330" s="37" t="n">
        <v>0.8354593522613986</v>
      </c>
      <c r="H330" s="37" t="n">
        <v>0.6632769186660751</v>
      </c>
      <c r="I330" s="37" t="n">
        <v>0.7842950014483144</v>
      </c>
      <c r="J330" s="37" t="n">
        <v>0.8062432964182401</v>
      </c>
      <c r="K330" s="37" t="n">
        <v>0.9292066566147998</v>
      </c>
      <c r="L330" s="40" t="inlineStr">
        <is>
          <t>Inviable</t>
        </is>
      </c>
      <c r="M330" s="29" t="n">
        <v>-25.71269426970546</v>
      </c>
      <c r="N330" s="35" t="n">
        <v>-58.40259521924912</v>
      </c>
      <c r="O330" s="36" t="n">
        <v>3933.174725740164</v>
      </c>
      <c r="P330" s="29" t="n">
        <v>12.0698951096222</v>
      </c>
      <c r="Q330" s="16" t="inlineStr">
        <is>
          <t>no</t>
        </is>
      </c>
      <c r="R330" s="16" t="inlineStr">
        <is>
          <t>O2,O3</t>
        </is>
      </c>
    </row>
    <row r="331">
      <c r="A331" s="16" t="inlineStr">
        <is>
          <t>KF-M04b-0020</t>
        </is>
      </c>
      <c r="B331" s="35" t="n">
        <v>387.2826042392401</v>
      </c>
      <c r="C331" s="35" t="n">
        <v>287.6541765923323</v>
      </c>
      <c r="D331" s="36" t="n">
        <v>2718.161587507432</v>
      </c>
      <c r="E331" s="35" t="n">
        <v>342.6957805016876</v>
      </c>
      <c r="F331" s="37" t="n">
        <v>0.8449659051310846</v>
      </c>
      <c r="G331" s="37" t="n">
        <v>0.8498655730483821</v>
      </c>
      <c r="H331" s="37" t="n">
        <v>0.7023127261489466</v>
      </c>
      <c r="I331" s="37" t="n">
        <v>0.8836094116215305</v>
      </c>
      <c r="J331" s="37" t="n">
        <v>0.8689775507300412</v>
      </c>
      <c r="K331" s="37" t="n">
        <v>0.8459497721486811</v>
      </c>
      <c r="L331" s="40" t="inlineStr">
        <is>
          <t>Inviable</t>
        </is>
      </c>
      <c r="M331" s="29" t="n">
        <v>-63.70706965265968</v>
      </c>
      <c r="N331" s="35" t="n">
        <v>-82.54306979872433</v>
      </c>
      <c r="O331" s="36" t="n">
        <v>2375.465807005744</v>
      </c>
      <c r="P331" s="29" t="n">
        <v>7.931704275810442</v>
      </c>
      <c r="Q331" s="16" t="inlineStr">
        <is>
          <t>no</t>
        </is>
      </c>
      <c r="R331" s="16" t="inlineStr">
        <is>
          <t>O2,O3</t>
        </is>
      </c>
    </row>
    <row r="332">
      <c r="A332" s="16" t="inlineStr">
        <is>
          <t>KF-M04b-0021</t>
        </is>
      </c>
      <c r="B332" s="35" t="n">
        <v>432.4985227522645</v>
      </c>
      <c r="C332" s="35" t="n">
        <v>295.4567969541457</v>
      </c>
      <c r="D332" s="36" t="n">
        <v>2171.603663434303</v>
      </c>
      <c r="E332" s="35" t="n">
        <v>820.08193500838</v>
      </c>
      <c r="F332" s="37" t="n">
        <v>0.7814981646791771</v>
      </c>
      <c r="G332" s="37" t="n">
        <v>0.7954503153091765</v>
      </c>
      <c r="H332" s="37" t="n">
        <v>0.7315923085053587</v>
      </c>
      <c r="I332" s="37" t="n">
        <v>0.9398860394168708</v>
      </c>
      <c r="J332" s="37" t="n">
        <v>0.7826826054713997</v>
      </c>
      <c r="K332" s="37" t="n">
        <v>0.8499911331153225</v>
      </c>
      <c r="L332" s="39" t="inlineStr">
        <is>
          <t>Corregible</t>
        </is>
      </c>
      <c r="M332" s="29" t="n">
        <v>7.10418647617802</v>
      </c>
      <c r="N332" s="35" t="n">
        <v>107.0137670200474</v>
      </c>
      <c r="O332" s="36" t="n">
        <v>1351.521728425923</v>
      </c>
      <c r="P332" s="29" t="n">
        <v>2.648032557151881</v>
      </c>
      <c r="Q332" s="16" t="inlineStr">
        <is>
          <t>sí</t>
        </is>
      </c>
      <c r="R332" s="16" t="inlineStr">
        <is>
          <t>O2</t>
        </is>
      </c>
    </row>
    <row r="333">
      <c r="A333" s="16" t="inlineStr">
        <is>
          <t>KF-M04b-0022</t>
        </is>
      </c>
      <c r="B333" s="35" t="n">
        <v>459.8546220000279</v>
      </c>
      <c r="C333" s="35" t="n">
        <v>282.2346017012357</v>
      </c>
      <c r="D333" s="36" t="n">
        <v>4035.592074228966</v>
      </c>
      <c r="E333" s="35" t="n">
        <v>1453.694308422001</v>
      </c>
      <c r="F333" s="37" t="n">
        <v>0.6148815740673924</v>
      </c>
      <c r="G333" s="37" t="n">
        <v>0.8036228467128929</v>
      </c>
      <c r="H333" s="37" t="n">
        <v>0.8945367814492127</v>
      </c>
      <c r="I333" s="37" t="n">
        <v>0.6120563039164815</v>
      </c>
      <c r="J333" s="37" t="n">
        <v>0.6240361625373795</v>
      </c>
      <c r="K333" s="37" t="n">
        <v>0.836644355264998</v>
      </c>
      <c r="L333" s="42" t="inlineStr">
        <is>
          <t>KALINA</t>
        </is>
      </c>
      <c r="M333" s="29" t="n">
        <v>6.92603622952037</v>
      </c>
      <c r="N333" s="35" t="n">
        <v>62.24351357372841</v>
      </c>
      <c r="O333" s="36" t="n">
        <v>2581.897765806966</v>
      </c>
      <c r="P333" s="29" t="n">
        <v>2.776094018425126</v>
      </c>
      <c r="Q333" s="16" t="inlineStr">
        <is>
          <t>sí</t>
        </is>
      </c>
      <c r="R333" s="16" t="n"/>
    </row>
    <row r="334">
      <c r="A334" s="16" t="inlineStr">
        <is>
          <t>KF-M04b-0023</t>
        </is>
      </c>
      <c r="B334" s="35" t="n">
        <v>390.4588583581598</v>
      </c>
      <c r="C334" s="35" t="n">
        <v>299.0738817543011</v>
      </c>
      <c r="D334" s="36" t="n">
        <v>4652.457692772524</v>
      </c>
      <c r="E334" s="35" t="n">
        <v>1112.70454033647</v>
      </c>
      <c r="F334" s="37" t="n">
        <v>0.808469517190753</v>
      </c>
      <c r="G334" s="37" t="n">
        <v>0.8611035287255717</v>
      </c>
      <c r="H334" s="37" t="n">
        <v>0.6648192765245098</v>
      </c>
      <c r="I334" s="37" t="n">
        <v>0.7174066607154269</v>
      </c>
      <c r="J334" s="37" t="n">
        <v>0.8525121976280653</v>
      </c>
      <c r="K334" s="37" t="n">
        <v>0.9376136448497366</v>
      </c>
      <c r="L334" s="42" t="inlineStr">
        <is>
          <t>KALINA</t>
        </is>
      </c>
      <c r="M334" s="29" t="n">
        <v>10.3378523524201</v>
      </c>
      <c r="N334" s="35" t="n">
        <v>50.47120543314502</v>
      </c>
      <c r="O334" s="36" t="n">
        <v>3539.753152436054</v>
      </c>
      <c r="P334" s="29" t="n">
        <v>4.181215699331712</v>
      </c>
      <c r="Q334" s="16" t="inlineStr">
        <is>
          <t>no</t>
        </is>
      </c>
      <c r="R334" s="16" t="n"/>
    </row>
    <row r="335">
      <c r="A335" s="16" t="inlineStr">
        <is>
          <t>KF-M04b-0024</t>
        </is>
      </c>
      <c r="B335" s="35" t="n">
        <v>436.6281829899725</v>
      </c>
      <c r="C335" s="35" t="n">
        <v>298.848009643976</v>
      </c>
      <c r="D335" s="36" t="n">
        <v>4703.406264210913</v>
      </c>
      <c r="E335" s="35" t="n">
        <v>1181.93598414521</v>
      </c>
      <c r="F335" s="37" t="n">
        <v>0.8111254905605725</v>
      </c>
      <c r="G335" s="37" t="n">
        <v>0.8573152484821949</v>
      </c>
      <c r="H335" s="37" t="n">
        <v>0.677189956499241</v>
      </c>
      <c r="I335" s="37" t="n">
        <v>0.6285645376081122</v>
      </c>
      <c r="J335" s="37" t="n">
        <v>0.7640416944193871</v>
      </c>
      <c r="K335" s="37" t="n">
        <v>0.7614562512733464</v>
      </c>
      <c r="L335" s="39" t="inlineStr">
        <is>
          <t>Corregible</t>
        </is>
      </c>
      <c r="M335" s="29" t="n">
        <v>11.57850604859644</v>
      </c>
      <c r="N335" s="35" t="n">
        <v>88.22704776624199</v>
      </c>
      <c r="O335" s="36" t="n">
        <v>3521.470280065702</v>
      </c>
      <c r="P335" s="29" t="n">
        <v>3.97940863744196</v>
      </c>
      <c r="Q335" s="16" t="inlineStr">
        <is>
          <t>no</t>
        </is>
      </c>
      <c r="R335" s="16" t="inlineStr">
        <is>
          <t>O2</t>
        </is>
      </c>
    </row>
    <row r="336">
      <c r="A336" s="16" t="inlineStr">
        <is>
          <t>KF-M04b-0025</t>
        </is>
      </c>
      <c r="B336" s="35" t="n">
        <v>482.5618734433651</v>
      </c>
      <c r="C336" s="35" t="n">
        <v>288.6911674592122</v>
      </c>
      <c r="D336" s="36" t="n">
        <v>3039.969834523045</v>
      </c>
      <c r="E336" s="35" t="n">
        <v>1459.893668561017</v>
      </c>
      <c r="F336" s="37" t="n">
        <v>0.6044287127239425</v>
      </c>
      <c r="G336" s="37" t="n">
        <v>0.8097664604800771</v>
      </c>
      <c r="H336" s="37" t="n">
        <v>0.7966039226261009</v>
      </c>
      <c r="I336" s="37" t="n">
        <v>0.8629842216052659</v>
      </c>
      <c r="J336" s="37" t="n">
        <v>0.912361249688876</v>
      </c>
      <c r="K336" s="37" t="n">
        <v>0.7718568373937618</v>
      </c>
      <c r="L336" s="39" t="inlineStr">
        <is>
          <t>Corregible</t>
        </is>
      </c>
      <c r="M336" s="29" t="n">
        <v>5.38149370714216</v>
      </c>
      <c r="N336" s="35" t="n">
        <v>83.82417303684834</v>
      </c>
      <c r="O336" s="36" t="n">
        <v>1580.076165962029</v>
      </c>
      <c r="P336" s="29" t="n">
        <v>2.082322774589106</v>
      </c>
      <c r="Q336" s="16" t="inlineStr">
        <is>
          <t>sí</t>
        </is>
      </c>
      <c r="R336" s="16" t="inlineStr">
        <is>
          <t>O2</t>
        </is>
      </c>
    </row>
    <row r="337">
      <c r="A337" s="16" t="inlineStr">
        <is>
          <t>KF-M04b-0026</t>
        </is>
      </c>
      <c r="B337" s="35" t="n">
        <v>469.8595074554011</v>
      </c>
      <c r="C337" s="35" t="n">
        <v>294.618270907707</v>
      </c>
      <c r="D337" s="36" t="n">
        <v>3696.657855248017</v>
      </c>
      <c r="E337" s="35" t="n">
        <v>1229.334769624135</v>
      </c>
      <c r="F337" s="37" t="n">
        <v>0.7217468538230977</v>
      </c>
      <c r="G337" s="37" t="n">
        <v>0.7627488359629386</v>
      </c>
      <c r="H337" s="37" t="n">
        <v>0.7571841660054071</v>
      </c>
      <c r="I337" s="37" t="n">
        <v>0.6902243865085931</v>
      </c>
      <c r="J337" s="37" t="n">
        <v>0.8590731359113493</v>
      </c>
      <c r="K337" s="37" t="n">
        <v>0.9308703427378264</v>
      </c>
      <c r="L337" s="42" t="inlineStr">
        <is>
          <t>KALINA</t>
        </is>
      </c>
      <c r="M337" s="29" t="n">
        <v>8.07654428267832</v>
      </c>
      <c r="N337" s="35" t="n">
        <v>101.530188215597</v>
      </c>
      <c r="O337" s="36" t="n">
        <v>2467.323085623881</v>
      </c>
      <c r="P337" s="29" t="n">
        <v>3.007039210627922</v>
      </c>
      <c r="Q337" s="16" t="inlineStr">
        <is>
          <t>sí</t>
        </is>
      </c>
      <c r="R337" s="16" t="n"/>
    </row>
    <row r="338">
      <c r="A338" s="16" t="inlineStr">
        <is>
          <t>KF-M04b-0027</t>
        </is>
      </c>
      <c r="B338" s="35" t="n">
        <v>392.133394736349</v>
      </c>
      <c r="C338" s="35" t="n">
        <v>285.729876265148</v>
      </c>
      <c r="D338" s="36" t="n">
        <v>3779.924374004033</v>
      </c>
      <c r="E338" s="35" t="n">
        <v>1467.220522266601</v>
      </c>
      <c r="F338" s="37" t="n">
        <v>0.6660670611246455</v>
      </c>
      <c r="G338" s="37" t="n">
        <v>0.8061292591051772</v>
      </c>
      <c r="H338" s="37" t="n">
        <v>0.7594797945992104</v>
      </c>
      <c r="I338" s="37" t="n">
        <v>0.8904357018266732</v>
      </c>
      <c r="J338" s="37" t="n">
        <v>0.8700091657574611</v>
      </c>
      <c r="K338" s="37" t="n">
        <v>0.7043982680786326</v>
      </c>
      <c r="L338" s="42" t="inlineStr">
        <is>
          <t>KALINA</t>
        </is>
      </c>
      <c r="M338" s="29" t="n">
        <v>6.64378528378827</v>
      </c>
      <c r="N338" s="35" t="n">
        <v>26.33071775933034</v>
      </c>
      <c r="O338" s="36" t="n">
        <v>2312.703851737432</v>
      </c>
      <c r="P338" s="29" t="n">
        <v>2.576248298493471</v>
      </c>
      <c r="Q338" s="16" t="inlineStr">
        <is>
          <t>no</t>
        </is>
      </c>
      <c r="R338" s="16" t="n"/>
    </row>
    <row r="339">
      <c r="A339" s="16" t="inlineStr">
        <is>
          <t>KF-M04b-0028</t>
        </is>
      </c>
      <c r="B339" s="35" t="n">
        <v>454.9278344734663</v>
      </c>
      <c r="C339" s="35" t="n">
        <v>288.8372711118199</v>
      </c>
      <c r="D339" s="36" t="n">
        <v>2271.326110520777</v>
      </c>
      <c r="E339" s="35" t="n">
        <v>1444.120100995135</v>
      </c>
      <c r="F339" s="37" t="n">
        <v>0.843336330376294</v>
      </c>
      <c r="G339" s="37" t="n">
        <v>0.8983074168493029</v>
      </c>
      <c r="H339" s="37" t="n">
        <v>0.7912580670538245</v>
      </c>
      <c r="I339" s="37" t="n">
        <v>0.8500148514540169</v>
      </c>
      <c r="J339" s="37" t="n">
        <v>0.6665241635604837</v>
      </c>
      <c r="K339" s="37" t="n">
        <v>0.9096984630819756</v>
      </c>
      <c r="L339" s="39" t="inlineStr">
        <is>
          <t>Corregible</t>
        </is>
      </c>
      <c r="M339" s="29" t="n">
        <v>4.45373459854136</v>
      </c>
      <c r="N339" s="35" t="n">
        <v>64.7615821875474</v>
      </c>
      <c r="O339" s="36" t="n">
        <v>827.206009525642</v>
      </c>
      <c r="P339" s="29" t="n">
        <v>1.572809705339341</v>
      </c>
      <c r="Q339" s="16" t="inlineStr">
        <is>
          <t>no</t>
        </is>
      </c>
      <c r="R339" s="16" t="inlineStr">
        <is>
          <t>O2</t>
        </is>
      </c>
    </row>
    <row r="340">
      <c r="A340" s="16" t="inlineStr">
        <is>
          <t>KF-M04b-0029</t>
        </is>
      </c>
      <c r="B340" s="35" t="n">
        <v>493.6505069514705</v>
      </c>
      <c r="C340" s="35" t="n">
        <v>290.4318055401525</v>
      </c>
      <c r="D340" s="36" t="n">
        <v>4863.554444881775</v>
      </c>
      <c r="E340" s="35" t="n">
        <v>1386.501419431633</v>
      </c>
      <c r="F340" s="37" t="n">
        <v>0.5525903168191286</v>
      </c>
      <c r="G340" s="37" t="n">
        <v>0.7604911438866984</v>
      </c>
      <c r="H340" s="37" t="n">
        <v>0.7160725879473038</v>
      </c>
      <c r="I340" s="37" t="n">
        <v>0.7316325105480941</v>
      </c>
      <c r="J340" s="37" t="n">
        <v>0.7790363157851625</v>
      </c>
      <c r="K340" s="37" t="n">
        <v>0.8054369682005358</v>
      </c>
      <c r="L340" s="39" t="inlineStr">
        <is>
          <t>Corregible</t>
        </is>
      </c>
      <c r="M340" s="29" t="n">
        <v>8.477564667844851</v>
      </c>
      <c r="N340" s="35" t="n">
        <v>116.5764310424392</v>
      </c>
      <c r="O340" s="36" t="n">
        <v>3477.053025450143</v>
      </c>
      <c r="P340" s="29" t="n">
        <v>3.507789012488345</v>
      </c>
      <c r="Q340" s="16" t="inlineStr">
        <is>
          <t>sí</t>
        </is>
      </c>
      <c r="R340" s="16" t="inlineStr">
        <is>
          <t>O2</t>
        </is>
      </c>
    </row>
    <row r="341">
      <c r="A341" s="16" t="inlineStr">
        <is>
          <t>KF-M04b-0030</t>
        </is>
      </c>
      <c r="B341" s="35" t="n">
        <v>471.1711957938994</v>
      </c>
      <c r="C341" s="35" t="n">
        <v>285.5718080558973</v>
      </c>
      <c r="D341" s="36" t="n">
        <v>4366.264594501075</v>
      </c>
      <c r="E341" s="35" t="n">
        <v>867.1021736262953</v>
      </c>
      <c r="F341" s="37" t="n">
        <v>0.74680847215687</v>
      </c>
      <c r="G341" s="37" t="n">
        <v>0.7789083161845926</v>
      </c>
      <c r="H341" s="37" t="n">
        <v>0.8430934020445555</v>
      </c>
      <c r="I341" s="37" t="n">
        <v>0.8408037559629855</v>
      </c>
      <c r="J341" s="37" t="n">
        <v>0.8635104045057926</v>
      </c>
      <c r="K341" s="37" t="n">
        <v>0.7073588380898163</v>
      </c>
      <c r="L341" s="39" t="inlineStr">
        <is>
          <t>Corregible</t>
        </is>
      </c>
      <c r="M341" s="29" t="n">
        <v>10.89175126698587</v>
      </c>
      <c r="N341" s="35" t="n">
        <v>135.4821673050137</v>
      </c>
      <c r="O341" s="36" t="n">
        <v>3499.16242087478</v>
      </c>
      <c r="P341" s="29" t="n">
        <v>5.035467246311913</v>
      </c>
      <c r="Q341" s="16" t="inlineStr">
        <is>
          <t>sí</t>
        </is>
      </c>
      <c r="R341" s="16" t="inlineStr">
        <is>
          <t>O2</t>
        </is>
      </c>
    </row>
    <row r="342">
      <c r="A342" s="16" t="inlineStr">
        <is>
          <t>KF-M04b-0031</t>
        </is>
      </c>
      <c r="B342" s="35" t="n">
        <v>461.6561524494128</v>
      </c>
      <c r="C342" s="35" t="n">
        <v>278.1833892862896</v>
      </c>
      <c r="D342" s="36" t="n">
        <v>2105.915185287449</v>
      </c>
      <c r="E342" s="35" t="n">
        <v>984.648729976431</v>
      </c>
      <c r="F342" s="37" t="n">
        <v>0.7360224427459281</v>
      </c>
      <c r="G342" s="37" t="n">
        <v>0.9123953753418184</v>
      </c>
      <c r="H342" s="37" t="n">
        <v>0.7731837046155546</v>
      </c>
      <c r="I342" s="37" t="n">
        <v>0.8822758403639483</v>
      </c>
      <c r="J342" s="37" t="n">
        <v>0.6160890402266878</v>
      </c>
      <c r="K342" s="37" t="n">
        <v>0.7075778626462661</v>
      </c>
      <c r="L342" s="39" t="inlineStr">
        <is>
          <t>Corregible</t>
        </is>
      </c>
      <c r="M342" s="29" t="n">
        <v>6.009431284346601</v>
      </c>
      <c r="N342" s="35" t="n">
        <v>81.88051183559149</v>
      </c>
      <c r="O342" s="36" t="n">
        <v>1121.266455311018</v>
      </c>
      <c r="P342" s="29" t="n">
        <v>2.138747678411018</v>
      </c>
      <c r="Q342" s="16" t="inlineStr">
        <is>
          <t>sí</t>
        </is>
      </c>
      <c r="R342" s="16" t="inlineStr">
        <is>
          <t>O2</t>
        </is>
      </c>
    </row>
    <row r="343">
      <c r="A343" s="16" t="inlineStr">
        <is>
          <t>KF-M04b-0032</t>
        </is>
      </c>
      <c r="B343" s="35" t="n">
        <v>459.4414021960855</v>
      </c>
      <c r="C343" s="35" t="n">
        <v>298.2274005560234</v>
      </c>
      <c r="D343" s="36" t="n">
        <v>3058.127230014456</v>
      </c>
      <c r="E343" s="35" t="n">
        <v>532.9843068387761</v>
      </c>
      <c r="F343" s="37" t="n">
        <v>0.5345428090742804</v>
      </c>
      <c r="G343" s="37" t="n">
        <v>0.8699329945504505</v>
      </c>
      <c r="H343" s="37" t="n">
        <v>0.8375987730132169</v>
      </c>
      <c r="I343" s="37" t="n">
        <v>0.8190750856621152</v>
      </c>
      <c r="J343" s="37" t="n">
        <v>0.6979638465461564</v>
      </c>
      <c r="K343" s="37" t="n">
        <v>0.8446661612720514</v>
      </c>
      <c r="L343" s="39" t="inlineStr">
        <is>
          <t>Corregible</t>
        </is>
      </c>
      <c r="M343" s="29" t="n">
        <v>12.58220523264356</v>
      </c>
      <c r="N343" s="35" t="n">
        <v>157.9168789300124</v>
      </c>
      <c r="O343" s="36" t="n">
        <v>2525.14292317568</v>
      </c>
      <c r="P343" s="29" t="n">
        <v>5.737743477200572</v>
      </c>
      <c r="Q343" s="16" t="inlineStr">
        <is>
          <t>sí</t>
        </is>
      </c>
      <c r="R343" s="16" t="inlineStr">
        <is>
          <t>O2</t>
        </is>
      </c>
    </row>
    <row r="344">
      <c r="A344" s="16" t="inlineStr">
        <is>
          <t>KF-M04b-0033</t>
        </is>
      </c>
      <c r="B344" s="35" t="n">
        <v>402.9466480154194</v>
      </c>
      <c r="C344" s="35" t="n">
        <v>294.6946035725245</v>
      </c>
      <c r="D344" s="36" t="n">
        <v>3762.285095850995</v>
      </c>
      <c r="E344" s="35" t="n">
        <v>1023.255776400223</v>
      </c>
      <c r="F344" s="37" t="n">
        <v>0.7919161985998657</v>
      </c>
      <c r="G344" s="37" t="n">
        <v>0.8580648942853627</v>
      </c>
      <c r="H344" s="37" t="n">
        <v>0.6741740353946163</v>
      </c>
      <c r="I344" s="37" t="n">
        <v>0.6557831550998001</v>
      </c>
      <c r="J344" s="37" t="n">
        <v>0.8424500029040329</v>
      </c>
      <c r="K344" s="37" t="n">
        <v>0.8634079604238549</v>
      </c>
      <c r="L344" s="39" t="inlineStr">
        <is>
          <t>Corregible</t>
        </is>
      </c>
      <c r="M344" s="29" t="n">
        <v>10.59436591473336</v>
      </c>
      <c r="N344" s="35" t="n">
        <v>65.4970446395558</v>
      </c>
      <c r="O344" s="36" t="n">
        <v>2739.029319450772</v>
      </c>
      <c r="P344" s="29" t="n">
        <v>3.676778751336814</v>
      </c>
      <c r="Q344" s="16" t="inlineStr">
        <is>
          <t>no</t>
        </is>
      </c>
      <c r="R344" s="16" t="inlineStr">
        <is>
          <t>O2</t>
        </is>
      </c>
    </row>
    <row r="345">
      <c r="A345" s="16" t="inlineStr">
        <is>
          <t>KF-M04b-0034</t>
        </is>
      </c>
      <c r="B345" s="35" t="n">
        <v>488.7115375641565</v>
      </c>
      <c r="C345" s="35" t="n">
        <v>293.5207771596494</v>
      </c>
      <c r="D345" s="36" t="n">
        <v>4717.364769827663</v>
      </c>
      <c r="E345" s="35" t="n">
        <v>1335.54915596388</v>
      </c>
      <c r="F345" s="37" t="n">
        <v>0.5924804263064183</v>
      </c>
      <c r="G345" s="37" t="n">
        <v>0.7884235435326626</v>
      </c>
      <c r="H345" s="37" t="n">
        <v>0.839396455765711</v>
      </c>
      <c r="I345" s="37" t="n">
        <v>0.8301995067411033</v>
      </c>
      <c r="J345" s="37" t="n">
        <v>0.7360988114748656</v>
      </c>
      <c r="K345" s="37" t="n">
        <v>0.770468091184632</v>
      </c>
      <c r="L345" s="39" t="inlineStr">
        <is>
          <t>Corregible</t>
        </is>
      </c>
      <c r="M345" s="29" t="n">
        <v>9.00993302119551</v>
      </c>
      <c r="N345" s="35" t="n">
        <v>132.5823173877974</v>
      </c>
      <c r="O345" s="36" t="n">
        <v>3381.815613863782</v>
      </c>
      <c r="P345" s="29" t="n">
        <v>3.532153607946455</v>
      </c>
      <c r="Q345" s="16" t="inlineStr">
        <is>
          <t>sí</t>
        </is>
      </c>
      <c r="R345" s="16" t="inlineStr">
        <is>
          <t>O2</t>
        </is>
      </c>
    </row>
    <row r="346">
      <c r="A346" s="16" t="inlineStr">
        <is>
          <t>KF-M04b-0035</t>
        </is>
      </c>
      <c r="B346" s="35" t="n">
        <v>496.9446723451211</v>
      </c>
      <c r="C346" s="35" t="n">
        <v>288.6711462520531</v>
      </c>
      <c r="D346" s="36" t="n">
        <v>3873.543893316661</v>
      </c>
      <c r="E346" s="35" t="n">
        <v>911.7519440729463</v>
      </c>
      <c r="F346" s="37" t="n">
        <v>0.5645940912865439</v>
      </c>
      <c r="G346" s="37" t="n">
        <v>0.7897649378585176</v>
      </c>
      <c r="H346" s="37" t="n">
        <v>0.830641274391128</v>
      </c>
      <c r="I346" s="37" t="n">
        <v>0.9312546673056904</v>
      </c>
      <c r="J346" s="37" t="n">
        <v>0.8441047363188434</v>
      </c>
      <c r="K346" s="37" t="n">
        <v>0.8999942052043404</v>
      </c>
      <c r="L346" s="39" t="inlineStr">
        <is>
          <t>Corregible</t>
        </is>
      </c>
      <c r="M346" s="29" t="n">
        <v>9.69608238621197</v>
      </c>
      <c r="N346" s="35" t="n">
        <v>192.0219393446791</v>
      </c>
      <c r="O346" s="36" t="n">
        <v>2961.791949243714</v>
      </c>
      <c r="P346" s="29" t="n">
        <v>4.248462444744456</v>
      </c>
      <c r="Q346" s="16" t="inlineStr">
        <is>
          <t>sí</t>
        </is>
      </c>
      <c r="R346" s="16" t="inlineStr">
        <is>
          <t>O2</t>
        </is>
      </c>
    </row>
    <row r="347">
      <c r="A347" s="16" t="inlineStr">
        <is>
          <t>KF-M04b-0036</t>
        </is>
      </c>
      <c r="B347" s="35" t="n">
        <v>475.7040395321686</v>
      </c>
      <c r="C347" s="35" t="n">
        <v>279.3608266579636</v>
      </c>
      <c r="D347" s="36" t="n">
        <v>3971.888677247197</v>
      </c>
      <c r="E347" s="35" t="n">
        <v>420.1910710064911</v>
      </c>
      <c r="F347" s="37" t="n">
        <v>0.6026306389290408</v>
      </c>
      <c r="G347" s="37" t="n">
        <v>0.8593414433374885</v>
      </c>
      <c r="H347" s="37" t="n">
        <v>0.6568977125845625</v>
      </c>
      <c r="I347" s="37" t="n">
        <v>0.8708688871311659</v>
      </c>
      <c r="J347" s="37" t="n">
        <v>0.6775907461537033</v>
      </c>
      <c r="K347" s="37" t="n">
        <v>0.7957019110904552</v>
      </c>
      <c r="L347" s="39" t="inlineStr">
        <is>
          <t>Corregible</t>
        </is>
      </c>
      <c r="M347" s="29" t="n">
        <v>15.17425162984379</v>
      </c>
      <c r="N347" s="35" t="n">
        <v>243.7262428059577</v>
      </c>
      <c r="O347" s="36" t="n">
        <v>3551.697606240706</v>
      </c>
      <c r="P347" s="29" t="n">
        <v>9.45257753272401</v>
      </c>
      <c r="Q347" s="16" t="inlineStr">
        <is>
          <t>sí</t>
        </is>
      </c>
      <c r="R347" s="16" t="inlineStr">
        <is>
          <t>O1,O2</t>
        </is>
      </c>
    </row>
    <row r="348">
      <c r="A348" s="16" t="inlineStr">
        <is>
          <t>KF-M04b-0037</t>
        </is>
      </c>
      <c r="B348" s="35" t="n">
        <v>448.5464381731514</v>
      </c>
      <c r="C348" s="35" t="n">
        <v>303.2696383566856</v>
      </c>
      <c r="D348" s="36" t="n">
        <v>3614.338680912828</v>
      </c>
      <c r="E348" s="35" t="n">
        <v>1138.943976345036</v>
      </c>
      <c r="F348" s="37" t="n">
        <v>0.6634775229106294</v>
      </c>
      <c r="G348" s="37" t="n">
        <v>0.7549484581819855</v>
      </c>
      <c r="H348" s="37" t="n">
        <v>0.8571547682420843</v>
      </c>
      <c r="I348" s="37" t="n">
        <v>0.8674102586305763</v>
      </c>
      <c r="J348" s="37" t="n">
        <v>0.9065821911351848</v>
      </c>
      <c r="K348" s="37" t="n">
        <v>0.719488755807684</v>
      </c>
      <c r="L348" s="39" t="inlineStr">
        <is>
          <t>Corregible</t>
        </is>
      </c>
      <c r="M348" s="29" t="n">
        <v>7.656749099071559</v>
      </c>
      <c r="N348" s="35" t="n">
        <v>77.86027004799855</v>
      </c>
      <c r="O348" s="36" t="n">
        <v>2475.394704567791</v>
      </c>
      <c r="P348" s="29" t="n">
        <v>3.173412174768713</v>
      </c>
      <c r="Q348" s="16" t="inlineStr">
        <is>
          <t>sí</t>
        </is>
      </c>
      <c r="R348" s="16" t="inlineStr">
        <is>
          <t>O2</t>
        </is>
      </c>
    </row>
    <row r="349">
      <c r="A349" s="16" t="inlineStr">
        <is>
          <t>KF-M04b-0038</t>
        </is>
      </c>
      <c r="B349" s="35" t="n">
        <v>416.5497872309603</v>
      </c>
      <c r="C349" s="35" t="n">
        <v>282.4775313472949</v>
      </c>
      <c r="D349" s="36" t="n">
        <v>4675.274719834546</v>
      </c>
      <c r="E349" s="35" t="n">
        <v>558.1647013539609</v>
      </c>
      <c r="F349" s="37" t="n">
        <v>0.5506886318907573</v>
      </c>
      <c r="G349" s="37" t="n">
        <v>0.861354944992979</v>
      </c>
      <c r="H349" s="37" t="n">
        <v>0.8786347300411499</v>
      </c>
      <c r="I349" s="37" t="n">
        <v>0.6190972645630328</v>
      </c>
      <c r="J349" s="37" t="n">
        <v>0.7451405083123925</v>
      </c>
      <c r="K349" s="37" t="n">
        <v>0.703401375461588</v>
      </c>
      <c r="L349" s="42" t="inlineStr">
        <is>
          <t>KALINA</t>
        </is>
      </c>
      <c r="M349" s="29" t="n">
        <v>5.56870759195688</v>
      </c>
      <c r="N349" s="35" t="n">
        <v>12.92451312971966</v>
      </c>
      <c r="O349" s="36" t="n">
        <v>4117.110018480585</v>
      </c>
      <c r="P349" s="29" t="n">
        <v>8.376156192775282</v>
      </c>
      <c r="Q349" s="16" t="inlineStr">
        <is>
          <t>no</t>
        </is>
      </c>
      <c r="R349" s="16" t="n"/>
    </row>
    <row r="350">
      <c r="A350" s="16" t="inlineStr">
        <is>
          <t>KF-M04b-0039</t>
        </is>
      </c>
      <c r="B350" s="35" t="n">
        <v>410.2465461841168</v>
      </c>
      <c r="C350" s="35" t="n">
        <v>288.3475165547603</v>
      </c>
      <c r="D350" s="36" t="n">
        <v>4312.986811198436</v>
      </c>
      <c r="E350" s="35" t="n">
        <v>873.4253062993467</v>
      </c>
      <c r="F350" s="37" t="n">
        <v>0.5615643451140011</v>
      </c>
      <c r="G350" s="37" t="n">
        <v>0.8209107572786932</v>
      </c>
      <c r="H350" s="37" t="n">
        <v>0.7800222209546599</v>
      </c>
      <c r="I350" s="37" t="n">
        <v>0.8554532068788446</v>
      </c>
      <c r="J350" s="37" t="n">
        <v>0.7011587879482351</v>
      </c>
      <c r="K350" s="37" t="n">
        <v>0.8926349055118947</v>
      </c>
      <c r="L350" s="42" t="inlineStr">
        <is>
          <t>KALINA</t>
        </is>
      </c>
      <c r="M350" s="29" t="n">
        <v>6.05317108791373</v>
      </c>
      <c r="N350" s="35" t="n">
        <v>21.44610279721383</v>
      </c>
      <c r="O350" s="36" t="n">
        <v>3439.561504899089</v>
      </c>
      <c r="P350" s="29" t="n">
        <v>4.938014481710308</v>
      </c>
      <c r="Q350" s="16" t="inlineStr">
        <is>
          <t>no</t>
        </is>
      </c>
      <c r="R350" s="16" t="n"/>
    </row>
    <row r="351">
      <c r="A351" s="16" t="inlineStr">
        <is>
          <t>KF-M04b-0040</t>
        </is>
      </c>
      <c r="B351" s="35" t="n">
        <v>383.1163778055353</v>
      </c>
      <c r="C351" s="35" t="n">
        <v>288.0095091039276</v>
      </c>
      <c r="D351" s="36" t="n">
        <v>2026.762751719789</v>
      </c>
      <c r="E351" s="35" t="n">
        <v>1301.092690119161</v>
      </c>
      <c r="F351" s="37" t="n">
        <v>0.682467225611996</v>
      </c>
      <c r="G351" s="37" t="n">
        <v>0.8512761679326326</v>
      </c>
      <c r="H351" s="37" t="n">
        <v>0.6852291470434502</v>
      </c>
      <c r="I351" s="37" t="n">
        <v>0.9149387269829869</v>
      </c>
      <c r="J351" s="37" t="n">
        <v>0.8767590194431882</v>
      </c>
      <c r="K351" s="37" t="n">
        <v>0.7391401709110755</v>
      </c>
      <c r="L351" s="39" t="inlineStr">
        <is>
          <t>Corregible</t>
        </is>
      </c>
      <c r="M351" s="29" t="n">
        <v>4.01020023998399</v>
      </c>
      <c r="N351" s="35" t="n">
        <v>26.11212796568775</v>
      </c>
      <c r="O351" s="36" t="n">
        <v>725.6700616006274</v>
      </c>
      <c r="P351" s="29" t="n">
        <v>1.557738942898962</v>
      </c>
      <c r="Q351" s="16" t="inlineStr">
        <is>
          <t>no</t>
        </is>
      </c>
      <c r="R351" s="16" t="inlineStr">
        <is>
          <t>O2</t>
        </is>
      </c>
    </row>
    <row r="352">
      <c r="A352" s="16" t="inlineStr">
        <is>
          <t>KF-M04b-0041</t>
        </is>
      </c>
      <c r="B352" s="35" t="n">
        <v>453.6663434900911</v>
      </c>
      <c r="C352" s="35" t="n">
        <v>301.5180974873707</v>
      </c>
      <c r="D352" s="36" t="n">
        <v>2748.189109275715</v>
      </c>
      <c r="E352" s="35" t="n">
        <v>410.3657750640633</v>
      </c>
      <c r="F352" s="37" t="n">
        <v>0.8328612333409835</v>
      </c>
      <c r="G352" s="37" t="n">
        <v>0.8106405860990792</v>
      </c>
      <c r="H352" s="37" t="n">
        <v>0.7977404394688763</v>
      </c>
      <c r="I352" s="37" t="n">
        <v>0.8812910044179341</v>
      </c>
      <c r="J352" s="37" t="n">
        <v>0.7217539393652894</v>
      </c>
      <c r="K352" s="37" t="n">
        <v>0.7262046625897942</v>
      </c>
      <c r="L352" s="38" t="inlineStr">
        <is>
          <t>Falso convergido</t>
        </is>
      </c>
      <c r="M352" s="29" t="inlineStr">
        <is>
          <t>—</t>
        </is>
      </c>
      <c r="N352" s="35" t="inlineStr">
        <is>
          <t>—</t>
        </is>
      </c>
      <c r="O352" s="36" t="n">
        <v>2337.823334211652</v>
      </c>
      <c r="P352" s="29" t="n">
        <v>6.696925709378878</v>
      </c>
      <c r="Q352" s="16" t="inlineStr">
        <is>
          <t>sí</t>
        </is>
      </c>
      <c r="R352" s="16" t="inlineStr">
        <is>
          <t>N2,O2,O3,O5,C1,C3,C3</t>
        </is>
      </c>
    </row>
    <row r="353">
      <c r="A353" s="16" t="inlineStr">
        <is>
          <t>KF-M04b-0042</t>
        </is>
      </c>
      <c r="B353" s="35" t="n">
        <v>397.902122495778</v>
      </c>
      <c r="C353" s="35" t="n">
        <v>295.6462249922335</v>
      </c>
      <c r="D353" s="36" t="n">
        <v>3203.706480517036</v>
      </c>
      <c r="E353" s="35" t="n">
        <v>1219.59255739447</v>
      </c>
      <c r="F353" s="37" t="n">
        <v>0.6445925795666091</v>
      </c>
      <c r="G353" s="37" t="n">
        <v>0.9137282448405848</v>
      </c>
      <c r="H353" s="37" t="n">
        <v>0.6547313537619169</v>
      </c>
      <c r="I353" s="37" t="n">
        <v>0.8530941940612815</v>
      </c>
      <c r="J353" s="37" t="n">
        <v>0.6620019368981908</v>
      </c>
      <c r="K353" s="37" t="n">
        <v>0.9114289915714748</v>
      </c>
      <c r="L353" s="42" t="inlineStr">
        <is>
          <t>KALINA</t>
        </is>
      </c>
      <c r="M353" s="29" t="n">
        <v>7.016110632237361</v>
      </c>
      <c r="N353" s="35" t="n">
        <v>40.32029138429743</v>
      </c>
      <c r="O353" s="36" t="n">
        <v>1984.113923122566</v>
      </c>
      <c r="P353" s="29" t="n">
        <v>2.626866211254532</v>
      </c>
      <c r="Q353" s="16" t="inlineStr">
        <is>
          <t>no</t>
        </is>
      </c>
      <c r="R353" s="16" t="n"/>
    </row>
    <row r="354">
      <c r="A354" s="16" t="inlineStr">
        <is>
          <t>KF-M04b-0043</t>
        </is>
      </c>
      <c r="B354" s="35" t="n">
        <v>439.0641913276344</v>
      </c>
      <c r="C354" s="35" t="n">
        <v>299.7228785247982</v>
      </c>
      <c r="D354" s="36" t="n">
        <v>3741.557358558424</v>
      </c>
      <c r="E354" s="35" t="n">
        <v>1015.992447295506</v>
      </c>
      <c r="F354" s="37" t="n">
        <v>0.6203159702183497</v>
      </c>
      <c r="G354" s="37" t="n">
        <v>0.8467569225944989</v>
      </c>
      <c r="H354" s="37" t="n">
        <v>0.75455033317371</v>
      </c>
      <c r="I354" s="37" t="n">
        <v>0.7645634041236353</v>
      </c>
      <c r="J354" s="37" t="n">
        <v>0.686095290339697</v>
      </c>
      <c r="K354" s="37" t="n">
        <v>0.8338442385711852</v>
      </c>
      <c r="L354" s="39" t="inlineStr">
        <is>
          <t>Corregible</t>
        </is>
      </c>
      <c r="M354" s="29" t="n">
        <v>9.87283355571028</v>
      </c>
      <c r="N354" s="35" t="n">
        <v>79.71675914722789</v>
      </c>
      <c r="O354" s="36" t="n">
        <v>2725.564911262918</v>
      </c>
      <c r="P354" s="29" t="n">
        <v>3.682662571476948</v>
      </c>
      <c r="Q354" s="16" t="inlineStr">
        <is>
          <t>sí</t>
        </is>
      </c>
      <c r="R354" s="16" t="inlineStr">
        <is>
          <t>O2</t>
        </is>
      </c>
    </row>
    <row r="355">
      <c r="A355" s="16" t="inlineStr">
        <is>
          <t>KF-M04b-0044</t>
        </is>
      </c>
      <c r="B355" s="35" t="n">
        <v>455.9095148880637</v>
      </c>
      <c r="C355" s="35" t="n">
        <v>279.7317727190601</v>
      </c>
      <c r="D355" s="36" t="n">
        <v>3525.879139721946</v>
      </c>
      <c r="E355" s="35" t="n">
        <v>799.3148623992377</v>
      </c>
      <c r="F355" s="37" t="n">
        <v>0.7694109325569132</v>
      </c>
      <c r="G355" s="37" t="n">
        <v>0.9108192396830532</v>
      </c>
      <c r="H355" s="37" t="n">
        <v>0.7259537221165779</v>
      </c>
      <c r="I355" s="37" t="n">
        <v>0.7789852217958996</v>
      </c>
      <c r="J355" s="37" t="n">
        <v>0.9349271304401384</v>
      </c>
      <c r="K355" s="37" t="n">
        <v>0.8761536766559073</v>
      </c>
      <c r="L355" s="39" t="inlineStr">
        <is>
          <t>Corregible</t>
        </is>
      </c>
      <c r="M355" s="29" t="n">
        <v>13.25984921206044</v>
      </c>
      <c r="N355" s="35" t="n">
        <v>179.5250273041273</v>
      </c>
      <c r="O355" s="36" t="n">
        <v>2726.564277322708</v>
      </c>
      <c r="P355" s="29" t="n">
        <v>4.411126710616395</v>
      </c>
      <c r="Q355" s="16" t="inlineStr">
        <is>
          <t>sí</t>
        </is>
      </c>
      <c r="R355" s="16" t="inlineStr">
        <is>
          <t>O2</t>
        </is>
      </c>
    </row>
    <row r="356">
      <c r="A356" s="16" t="inlineStr">
        <is>
          <t>KF-M04b-0045</t>
        </is>
      </c>
      <c r="B356" s="35" t="n">
        <v>487.984989897948</v>
      </c>
      <c r="C356" s="35" t="n">
        <v>300.269044804541</v>
      </c>
      <c r="D356" s="36" t="n">
        <v>2828.608740543356</v>
      </c>
      <c r="E356" s="35" t="n">
        <v>625.4814404899362</v>
      </c>
      <c r="F356" s="37" t="n">
        <v>0.5695976524923441</v>
      </c>
      <c r="G356" s="37" t="n">
        <v>0.7669211519819767</v>
      </c>
      <c r="H356" s="37" t="n">
        <v>0.7391535786524499</v>
      </c>
      <c r="I356" s="37" t="n">
        <v>0.6687966279328155</v>
      </c>
      <c r="J356" s="37" t="n">
        <v>0.7335223372480757</v>
      </c>
      <c r="K356" s="37" t="n">
        <v>0.8873089961166196</v>
      </c>
      <c r="L356" s="39" t="inlineStr">
        <is>
          <t>Corregible</t>
        </is>
      </c>
      <c r="M356" s="29" t="n">
        <v>9.823156222823689</v>
      </c>
      <c r="N356" s="35" t="n">
        <v>133.0625679108628</v>
      </c>
      <c r="O356" s="36" t="n">
        <v>2203.12730005342</v>
      </c>
      <c r="P356" s="29" t="n">
        <v>4.522290442907023</v>
      </c>
      <c r="Q356" s="16" t="inlineStr">
        <is>
          <t>sí</t>
        </is>
      </c>
      <c r="R356" s="16" t="inlineStr">
        <is>
          <t>O2</t>
        </is>
      </c>
    </row>
    <row r="357">
      <c r="A357" s="16" t="inlineStr">
        <is>
          <t>KF-M04b-0046</t>
        </is>
      </c>
      <c r="B357" s="35" t="n">
        <v>496.1581921922005</v>
      </c>
      <c r="C357" s="35" t="n">
        <v>298.361901534205</v>
      </c>
      <c r="D357" s="36" t="n">
        <v>4206.426944838786</v>
      </c>
      <c r="E357" s="35" t="n">
        <v>970.6287495228754</v>
      </c>
      <c r="F357" s="37" t="n">
        <v>0.6510475367258967</v>
      </c>
      <c r="G357" s="37" t="n">
        <v>0.8856463649991083</v>
      </c>
      <c r="H357" s="37" t="n">
        <v>0.7192567070882201</v>
      </c>
      <c r="I357" s="37" t="n">
        <v>0.8214385744936321</v>
      </c>
      <c r="J357" s="37" t="n">
        <v>0.8239216131372658</v>
      </c>
      <c r="K357" s="37" t="n">
        <v>0.8117610361900657</v>
      </c>
      <c r="L357" s="39" t="inlineStr">
        <is>
          <t>Corregible</t>
        </is>
      </c>
      <c r="M357" s="29" t="n">
        <v>11.69027661194045</v>
      </c>
      <c r="N357" s="35" t="n">
        <v>173.5363821365093</v>
      </c>
      <c r="O357" s="36" t="n">
        <v>3235.798195315911</v>
      </c>
      <c r="P357" s="29" t="n">
        <v>4.333713530437366</v>
      </c>
      <c r="Q357" s="16" t="inlineStr">
        <is>
          <t>sí</t>
        </is>
      </c>
      <c r="R357" s="16" t="inlineStr">
        <is>
          <t>O2</t>
        </is>
      </c>
    </row>
    <row r="358">
      <c r="A358" s="16" t="inlineStr">
        <is>
          <t>KF-M04b-0047</t>
        </is>
      </c>
      <c r="B358" s="35" t="n">
        <v>477.0385273228613</v>
      </c>
      <c r="C358" s="35" t="n">
        <v>301.5116018837278</v>
      </c>
      <c r="D358" s="36" t="n">
        <v>4269.977630883368</v>
      </c>
      <c r="E358" s="35" t="n">
        <v>905.093281950096</v>
      </c>
      <c r="F358" s="37" t="n">
        <v>0.5152852630781116</v>
      </c>
      <c r="G358" s="37" t="n">
        <v>0.8904421576363881</v>
      </c>
      <c r="H358" s="37" t="n">
        <v>0.8230874233318883</v>
      </c>
      <c r="I358" s="37" t="n">
        <v>0.6448543270400803</v>
      </c>
      <c r="J358" s="37" t="n">
        <v>0.861327116039456</v>
      </c>
      <c r="K358" s="37" t="n">
        <v>0.7680002541877564</v>
      </c>
      <c r="L358" s="39" t="inlineStr">
        <is>
          <t>Corregible</t>
        </is>
      </c>
      <c r="M358" s="29" t="n">
        <v>12.19481813714913</v>
      </c>
      <c r="N358" s="35" t="n">
        <v>112.3337260936453</v>
      </c>
      <c r="O358" s="36" t="n">
        <v>3364.884348933272</v>
      </c>
      <c r="P358" s="29" t="n">
        <v>4.717721052666924</v>
      </c>
      <c r="Q358" s="16" t="inlineStr">
        <is>
          <t>sí</t>
        </is>
      </c>
      <c r="R358" s="16" t="inlineStr">
        <is>
          <t>O2</t>
        </is>
      </c>
    </row>
    <row r="359">
      <c r="A359" s="16" t="inlineStr">
        <is>
          <t>KF-M04b-0048</t>
        </is>
      </c>
      <c r="B359" s="35" t="n">
        <v>461.5184410429844</v>
      </c>
      <c r="C359" s="35" t="n">
        <v>289.0076867143288</v>
      </c>
      <c r="D359" s="36" t="n">
        <v>4169.534017475182</v>
      </c>
      <c r="E359" s="35" t="n">
        <v>1321.240701376639</v>
      </c>
      <c r="F359" s="37" t="n">
        <v>0.6708274732764112</v>
      </c>
      <c r="G359" s="37" t="n">
        <v>0.7904748285167316</v>
      </c>
      <c r="H359" s="37" t="n">
        <v>0.8156980005006859</v>
      </c>
      <c r="I359" s="37" t="n">
        <v>0.6859928388768844</v>
      </c>
      <c r="J359" s="37" t="n">
        <v>0.7411801121520336</v>
      </c>
      <c r="K359" s="37" t="n">
        <v>0.8069236737339759</v>
      </c>
      <c r="L359" s="39" t="inlineStr">
        <is>
          <t>Corregible</t>
        </is>
      </c>
      <c r="M359" s="29" t="n">
        <v>8.804116889989929</v>
      </c>
      <c r="N359" s="35" t="n">
        <v>93.19783004254415</v>
      </c>
      <c r="O359" s="36" t="n">
        <v>2848.293316098542</v>
      </c>
      <c r="P359" s="29" t="n">
        <v>3.155771702408821</v>
      </c>
      <c r="Q359" s="16" t="inlineStr">
        <is>
          <t>sí</t>
        </is>
      </c>
      <c r="R359" s="16" t="inlineStr">
        <is>
          <t>O2</t>
        </is>
      </c>
    </row>
    <row r="360">
      <c r="A360" s="16" t="inlineStr">
        <is>
          <t>KF-M04b-0049</t>
        </is>
      </c>
      <c r="B360" s="35" t="n">
        <v>420.279430741515</v>
      </c>
      <c r="C360" s="35" t="n">
        <v>290.0958827150911</v>
      </c>
      <c r="D360" s="36" t="n">
        <v>2530.991649286069</v>
      </c>
      <c r="E360" s="35" t="n">
        <v>997.2631383917504</v>
      </c>
      <c r="F360" s="37" t="n">
        <v>0.8191200730041919</v>
      </c>
      <c r="G360" s="37" t="n">
        <v>0.8446366487144541</v>
      </c>
      <c r="H360" s="37" t="n">
        <v>0.6794180017876345</v>
      </c>
      <c r="I360" s="37" t="n">
        <v>0.6832736777903037</v>
      </c>
      <c r="J360" s="37" t="n">
        <v>0.9086109058754256</v>
      </c>
      <c r="K360" s="37" t="n">
        <v>0.8406614482098089</v>
      </c>
      <c r="L360" s="39" t="inlineStr">
        <is>
          <t>Corregible</t>
        </is>
      </c>
      <c r="M360" s="29" t="n">
        <v>8.39097148787932</v>
      </c>
      <c r="N360" s="35" t="n">
        <v>82.24644620576079</v>
      </c>
      <c r="O360" s="36" t="n">
        <v>1533.728510894318</v>
      </c>
      <c r="P360" s="29" t="n">
        <v>2.537937633358941</v>
      </c>
      <c r="Q360" s="16" t="inlineStr">
        <is>
          <t>no</t>
        </is>
      </c>
      <c r="R360" s="16" t="inlineStr">
        <is>
          <t>O2</t>
        </is>
      </c>
    </row>
    <row r="361">
      <c r="A361" s="16" t="inlineStr">
        <is>
          <t>KF-M04b-0050</t>
        </is>
      </c>
      <c r="B361" s="35" t="n">
        <v>446.1045699512924</v>
      </c>
      <c r="C361" s="35" t="n">
        <v>297.6744540057454</v>
      </c>
      <c r="D361" s="36" t="n">
        <v>4454.785612683757</v>
      </c>
      <c r="E361" s="35" t="n">
        <v>632.7488849345355</v>
      </c>
      <c r="F361" s="37" t="n">
        <v>0.6331231697442203</v>
      </c>
      <c r="G361" s="37" t="n">
        <v>0.9151539507909749</v>
      </c>
      <c r="H361" s="37" t="n">
        <v>0.8697904883669677</v>
      </c>
      <c r="I361" s="37" t="n">
        <v>0.875803310744403</v>
      </c>
      <c r="J361" s="37" t="n">
        <v>0.7478757902955913</v>
      </c>
      <c r="K361" s="37" t="n">
        <v>0.811100892498573</v>
      </c>
      <c r="L361" s="39" t="inlineStr">
        <is>
          <t>Corregible</t>
        </is>
      </c>
      <c r="M361" s="29" t="n">
        <v>15.64689907097536</v>
      </c>
      <c r="N361" s="35" t="n">
        <v>143.0860196528834</v>
      </c>
      <c r="O361" s="36" t="n">
        <v>3822.036727749221</v>
      </c>
      <c r="P361" s="29" t="n">
        <v>7.040368965872854</v>
      </c>
      <c r="Q361" s="16" t="inlineStr">
        <is>
          <t>sí</t>
        </is>
      </c>
      <c r="R361" s="16" t="inlineStr">
        <is>
          <t>O1,O2</t>
        </is>
      </c>
    </row>
    <row r="362">
      <c r="A362" s="16" t="inlineStr">
        <is>
          <t>KF-M04b-0051</t>
        </is>
      </c>
      <c r="B362" s="35" t="n">
        <v>490.6987495687471</v>
      </c>
      <c r="C362" s="35" t="n">
        <v>292.5807976246953</v>
      </c>
      <c r="D362" s="36" t="n">
        <v>4752.592547607569</v>
      </c>
      <c r="E362" s="35" t="n">
        <v>658.5451309328361</v>
      </c>
      <c r="F362" s="37" t="n">
        <v>0.5764266999155847</v>
      </c>
      <c r="G362" s="37" t="n">
        <v>0.8494414152880883</v>
      </c>
      <c r="H362" s="37" t="n">
        <v>0.692904711327933</v>
      </c>
      <c r="I362" s="37" t="n">
        <v>0.7533716371488766</v>
      </c>
      <c r="J362" s="37" t="n">
        <v>0.6818394117847981</v>
      </c>
      <c r="K362" s="37" t="n">
        <v>0.9476275389856516</v>
      </c>
      <c r="L362" s="39" t="inlineStr">
        <is>
          <t>Corregible</t>
        </is>
      </c>
      <c r="M362" s="29" t="n">
        <v>13.21790916408871</v>
      </c>
      <c r="N362" s="35" t="n">
        <v>204.2598065755584</v>
      </c>
      <c r="O362" s="36" t="n">
        <v>4094.047416674733</v>
      </c>
      <c r="P362" s="29" t="n">
        <v>7.216806144896208</v>
      </c>
      <c r="Q362" s="16" t="inlineStr">
        <is>
          <t>sí</t>
        </is>
      </c>
      <c r="R362" s="16" t="inlineStr">
        <is>
          <t>O1</t>
        </is>
      </c>
    </row>
    <row r="363">
      <c r="A363" s="16" t="inlineStr">
        <is>
          <t>KF-M04b-0052</t>
        </is>
      </c>
      <c r="B363" s="35" t="n">
        <v>404.7273922731768</v>
      </c>
      <c r="C363" s="35" t="n">
        <v>296.9617402887465</v>
      </c>
      <c r="D363" s="36" t="n">
        <v>2222.422620686175</v>
      </c>
      <c r="E363" s="35" t="n">
        <v>668.8289175332309</v>
      </c>
      <c r="F363" s="37" t="n">
        <v>0.7955819383227558</v>
      </c>
      <c r="G363" s="37" t="n">
        <v>0.8925279192862742</v>
      </c>
      <c r="H363" s="37" t="n">
        <v>0.8898087772308901</v>
      </c>
      <c r="I363" s="37" t="n">
        <v>0.6988249349328293</v>
      </c>
      <c r="J363" s="37" t="n">
        <v>0.7691370838361337</v>
      </c>
      <c r="K363" s="37" t="n">
        <v>0.904556804921836</v>
      </c>
      <c r="L363" s="39" t="inlineStr">
        <is>
          <t>Corregible</t>
        </is>
      </c>
      <c r="M363" s="29" t="n">
        <v>9.45392873126592</v>
      </c>
      <c r="N363" s="35" t="n">
        <v>62.8329771291739</v>
      </c>
      <c r="O363" s="36" t="n">
        <v>1553.593703152944</v>
      </c>
      <c r="P363" s="29" t="n">
        <v>3.322856656501778</v>
      </c>
      <c r="Q363" s="16" t="inlineStr">
        <is>
          <t>no</t>
        </is>
      </c>
      <c r="R363" s="16" t="inlineStr">
        <is>
          <t>O2</t>
        </is>
      </c>
    </row>
    <row r="364">
      <c r="A364" s="16" t="inlineStr">
        <is>
          <t>KF-M04b-0053</t>
        </is>
      </c>
      <c r="B364" s="35" t="n">
        <v>409.7266571111253</v>
      </c>
      <c r="C364" s="35" t="n">
        <v>278.9689009730492</v>
      </c>
      <c r="D364" s="36" t="n">
        <v>3382.467325858066</v>
      </c>
      <c r="E364" s="35" t="n">
        <v>1326.805600201829</v>
      </c>
      <c r="F364" s="37" t="n">
        <v>0.7086605057008939</v>
      </c>
      <c r="G364" s="37" t="n">
        <v>0.8274215004354002</v>
      </c>
      <c r="H364" s="37" t="n">
        <v>0.8807054029994236</v>
      </c>
      <c r="I364" s="37" t="n">
        <v>0.896770558062034</v>
      </c>
      <c r="J364" s="37" t="n">
        <v>0.8486403045222281</v>
      </c>
      <c r="K364" s="37" t="n">
        <v>0.9427863333640044</v>
      </c>
      <c r="L364" s="42" t="inlineStr">
        <is>
          <t>KALINA</t>
        </is>
      </c>
      <c r="M364" s="29" t="n">
        <v>7.060528507100241</v>
      </c>
      <c r="N364" s="35" t="n">
        <v>61.49527721352588</v>
      </c>
      <c r="O364" s="36" t="n">
        <v>2055.661725656237</v>
      </c>
      <c r="P364" s="29" t="n">
        <v>2.549331511220285</v>
      </c>
      <c r="Q364" s="16" t="inlineStr">
        <is>
          <t>no</t>
        </is>
      </c>
      <c r="R364" s="16" t="n"/>
    </row>
    <row r="365">
      <c r="A365" s="16" t="inlineStr">
        <is>
          <t>KF-M04b-0054</t>
        </is>
      </c>
      <c r="B365" s="35" t="n">
        <v>391.0780526704776</v>
      </c>
      <c r="C365" s="35" t="n">
        <v>285.0266507105866</v>
      </c>
      <c r="D365" s="36" t="n">
        <v>4432.829032580335</v>
      </c>
      <c r="E365" s="35" t="n">
        <v>806.0939022826688</v>
      </c>
      <c r="F365" s="37" t="n">
        <v>0.5815168610584344</v>
      </c>
      <c r="G365" s="37" t="n">
        <v>0.9158821547608264</v>
      </c>
      <c r="H365" s="37" t="n">
        <v>0.7643313453440824</v>
      </c>
      <c r="I365" s="37" t="n">
        <v>0.7354367659370373</v>
      </c>
      <c r="J365" s="37" t="n">
        <v>0.705363137821904</v>
      </c>
      <c r="K365" s="37" t="n">
        <v>0.7865865188946539</v>
      </c>
      <c r="L365" s="38" t="inlineStr">
        <is>
          <t>Falso convergido</t>
        </is>
      </c>
      <c r="M365" s="29" t="inlineStr">
        <is>
          <t>—</t>
        </is>
      </c>
      <c r="N365" s="35" t="inlineStr">
        <is>
          <t>—</t>
        </is>
      </c>
      <c r="O365" s="36" t="n">
        <v>3626.735130297666</v>
      </c>
      <c r="P365" s="29" t="n">
        <v>5.499147208566648</v>
      </c>
      <c r="Q365" s="16" t="inlineStr">
        <is>
          <t>no</t>
        </is>
      </c>
      <c r="R365" s="16" t="inlineStr">
        <is>
          <t>N2,S6,O3,O5,C1,C3,C3</t>
        </is>
      </c>
    </row>
    <row r="366">
      <c r="A366" s="16" t="inlineStr">
        <is>
          <t>KF-M04b-0055</t>
        </is>
      </c>
      <c r="B366" s="35" t="n">
        <v>442.5632797012128</v>
      </c>
      <c r="C366" s="35" t="n">
        <v>282.7525694080898</v>
      </c>
      <c r="D366" s="36" t="n">
        <v>4384.931757886976</v>
      </c>
      <c r="E366" s="35" t="n">
        <v>1058.255347470374</v>
      </c>
      <c r="F366" s="37" t="n">
        <v>0.6906763644807341</v>
      </c>
      <c r="G366" s="37" t="n">
        <v>0.8644155524757772</v>
      </c>
      <c r="H366" s="37" t="n">
        <v>0.7774220793867821</v>
      </c>
      <c r="I366" s="37" t="n">
        <v>0.7296840854304997</v>
      </c>
      <c r="J366" s="37" t="n">
        <v>0.8376987699616018</v>
      </c>
      <c r="K366" s="37" t="n">
        <v>0.70895132615984</v>
      </c>
      <c r="L366" s="39" t="inlineStr">
        <is>
          <t>Corregible</t>
        </is>
      </c>
      <c r="M366" s="29" t="n">
        <v>11.94821565165509</v>
      </c>
      <c r="N366" s="35" t="n">
        <v>94.7560480374439</v>
      </c>
      <c r="O366" s="36" t="n">
        <v>3326.676410416602</v>
      </c>
      <c r="P366" s="29" t="n">
        <v>4.143547933273951</v>
      </c>
      <c r="Q366" s="16" t="inlineStr">
        <is>
          <t>sí</t>
        </is>
      </c>
      <c r="R366" s="16" t="inlineStr">
        <is>
          <t>O2</t>
        </is>
      </c>
    </row>
    <row r="367">
      <c r="A367" s="16" t="inlineStr">
        <is>
          <t>KF-M04b-0056</t>
        </is>
      </c>
      <c r="B367" s="35" t="n">
        <v>433.5741970949274</v>
      </c>
      <c r="C367" s="35" t="n">
        <v>296.680103388525</v>
      </c>
      <c r="D367" s="36" t="n">
        <v>2949.653534082217</v>
      </c>
      <c r="E367" s="35" t="n">
        <v>983.2175221601036</v>
      </c>
      <c r="F367" s="37" t="n">
        <v>0.5074355572780465</v>
      </c>
      <c r="G367" s="37" t="n">
        <v>0.7757666281933139</v>
      </c>
      <c r="H367" s="37" t="n">
        <v>0.8072211143954371</v>
      </c>
      <c r="I367" s="37" t="n">
        <v>0.9473264267493642</v>
      </c>
      <c r="J367" s="37" t="n">
        <v>0.7381993108212803</v>
      </c>
      <c r="K367" s="37" t="n">
        <v>0.9492133935902464</v>
      </c>
      <c r="L367" s="42" t="inlineStr">
        <is>
          <t>KALINA</t>
        </is>
      </c>
      <c r="M367" s="29" t="n">
        <v>6.63322679960051</v>
      </c>
      <c r="N367" s="35" t="n">
        <v>57.44824733360384</v>
      </c>
      <c r="O367" s="36" t="n">
        <v>1966.436011922113</v>
      </c>
      <c r="P367" s="29" t="n">
        <v>3.000000984117841</v>
      </c>
      <c r="Q367" s="16" t="inlineStr">
        <is>
          <t>sí</t>
        </is>
      </c>
      <c r="R367" s="16" t="n"/>
    </row>
    <row r="368">
      <c r="A368" s="16" t="inlineStr">
        <is>
          <t>KF-M04b-0057</t>
        </is>
      </c>
      <c r="B368" s="35" t="n">
        <v>444.0536350828378</v>
      </c>
      <c r="C368" s="35" t="n">
        <v>284.4353979171211</v>
      </c>
      <c r="D368" s="36" t="n">
        <v>2329.373721689228</v>
      </c>
      <c r="E368" s="35" t="n">
        <v>1188.461165331636</v>
      </c>
      <c r="F368" s="37" t="n">
        <v>0.6816179067248265</v>
      </c>
      <c r="G368" s="37" t="n">
        <v>0.9182576748440274</v>
      </c>
      <c r="H368" s="37" t="n">
        <v>0.720100185880642</v>
      </c>
      <c r="I368" s="37" t="n">
        <v>0.7943793597492464</v>
      </c>
      <c r="J368" s="37" t="n">
        <v>0.7916545950817109</v>
      </c>
      <c r="K368" s="37" t="n">
        <v>0.7788814865721796</v>
      </c>
      <c r="L368" s="39" t="inlineStr">
        <is>
          <t>Corregible</t>
        </is>
      </c>
      <c r="M368" s="29" t="n">
        <v>5.78374923937223</v>
      </c>
      <c r="N368" s="35" t="n">
        <v>77.84549839988362</v>
      </c>
      <c r="O368" s="36" t="n">
        <v>1140.912556357592</v>
      </c>
      <c r="P368" s="29" t="n">
        <v>1.959991449143585</v>
      </c>
      <c r="Q368" s="16" t="inlineStr">
        <is>
          <t>sí</t>
        </is>
      </c>
      <c r="R368" s="16" t="inlineStr">
        <is>
          <t>O2</t>
        </is>
      </c>
    </row>
    <row r="369">
      <c r="A369" s="16" t="inlineStr">
        <is>
          <t>KF-M04b-0058</t>
        </is>
      </c>
      <c r="B369" s="35" t="n">
        <v>396.4977375909168</v>
      </c>
      <c r="C369" s="35" t="n">
        <v>297.0930254334266</v>
      </c>
      <c r="D369" s="36" t="n">
        <v>4393.100585597984</v>
      </c>
      <c r="E369" s="35" t="n">
        <v>1370.024784885569</v>
      </c>
      <c r="F369" s="37" t="n">
        <v>0.513825251116901</v>
      </c>
      <c r="G369" s="37" t="n">
        <v>0.7615050038611483</v>
      </c>
      <c r="H369" s="37" t="n">
        <v>0.706227671389177</v>
      </c>
      <c r="I369" s="37" t="n">
        <v>0.6788124961769517</v>
      </c>
      <c r="J369" s="37" t="n">
        <v>0.8265845645303869</v>
      </c>
      <c r="K369" s="37" t="n">
        <v>0.8656451409616703</v>
      </c>
      <c r="L369" s="38" t="inlineStr">
        <is>
          <t>Falso convergido</t>
        </is>
      </c>
      <c r="M369" s="29" t="inlineStr">
        <is>
          <t>—</t>
        </is>
      </c>
      <c r="N369" s="35" t="inlineStr">
        <is>
          <t>—</t>
        </is>
      </c>
      <c r="O369" s="36" t="n">
        <v>3023.075800712414</v>
      </c>
      <c r="P369" s="29" t="n">
        <v>3.206584752380896</v>
      </c>
      <c r="Q369" s="16" t="inlineStr">
        <is>
          <t>no</t>
        </is>
      </c>
      <c r="R369" s="16" t="inlineStr">
        <is>
          <t>N2,S6,O3,O5,C1,C3,C3</t>
        </is>
      </c>
    </row>
    <row r="370">
      <c r="A370" s="16" t="inlineStr">
        <is>
          <t>KF-M04b-0059</t>
        </is>
      </c>
      <c r="B370" s="35" t="n">
        <v>411.638660860796</v>
      </c>
      <c r="C370" s="35" t="n">
        <v>288.4899114207342</v>
      </c>
      <c r="D370" s="36" t="n">
        <v>3738.696339857722</v>
      </c>
      <c r="E370" s="35" t="n">
        <v>536.1595911726158</v>
      </c>
      <c r="F370" s="37" t="n">
        <v>0.7082039610006579</v>
      </c>
      <c r="G370" s="37" t="n">
        <v>0.7798434919830537</v>
      </c>
      <c r="H370" s="37" t="n">
        <v>0.8759665986138229</v>
      </c>
      <c r="I370" s="37" t="n">
        <v>0.7861884741028308</v>
      </c>
      <c r="J370" s="37" t="n">
        <v>0.9146440184834046</v>
      </c>
      <c r="K370" s="37" t="n">
        <v>0.7463004956344839</v>
      </c>
      <c r="L370" s="39" t="inlineStr">
        <is>
          <t>Corregible</t>
        </is>
      </c>
      <c r="M370" s="29" t="n">
        <v>13.41986934640805</v>
      </c>
      <c r="N370" s="35" t="n">
        <v>84.74457923403703</v>
      </c>
      <c r="O370" s="36" t="n">
        <v>3202.536748685106</v>
      </c>
      <c r="P370" s="29" t="n">
        <v>6.973103533746269</v>
      </c>
      <c r="Q370" s="16" t="inlineStr">
        <is>
          <t>no</t>
        </is>
      </c>
      <c r="R370" s="16" t="inlineStr">
        <is>
          <t>O2</t>
        </is>
      </c>
    </row>
    <row r="371">
      <c r="A371" s="16" t="inlineStr">
        <is>
          <t>KF-M04b-0060</t>
        </is>
      </c>
      <c r="B371" s="35" t="n">
        <v>435.0392469146804</v>
      </c>
      <c r="C371" s="35" t="n">
        <v>295.2595204680782</v>
      </c>
      <c r="D371" s="36" t="n">
        <v>3176.083328275172</v>
      </c>
      <c r="E371" s="35" t="n">
        <v>540.40281323404</v>
      </c>
      <c r="F371" s="37" t="n">
        <v>0.7143210849211353</v>
      </c>
      <c r="G371" s="37" t="n">
        <v>0.8732820041051412</v>
      </c>
      <c r="H371" s="37" t="n">
        <v>0.6904836815287526</v>
      </c>
      <c r="I371" s="37" t="n">
        <v>0.7993596030830059</v>
      </c>
      <c r="J371" s="37" t="n">
        <v>0.8669009454200372</v>
      </c>
      <c r="K371" s="37" t="n">
        <v>0.8914977828865033</v>
      </c>
      <c r="L371" s="39" t="inlineStr">
        <is>
          <t>Corregible</t>
        </is>
      </c>
      <c r="M371" s="29" t="n">
        <v>12.41285465376635</v>
      </c>
      <c r="N371" s="35" t="n">
        <v>115.7054124119517</v>
      </c>
      <c r="O371" s="36" t="n">
        <v>2635.680515041132</v>
      </c>
      <c r="P371" s="29" t="n">
        <v>5.877251654683115</v>
      </c>
      <c r="Q371" s="16" t="inlineStr">
        <is>
          <t>sí</t>
        </is>
      </c>
      <c r="R371" s="16" t="inlineStr">
        <is>
          <t>O2</t>
        </is>
      </c>
    </row>
    <row r="372">
      <c r="A372" s="16" t="inlineStr">
        <is>
          <t>KF-M04b-0061</t>
        </is>
      </c>
      <c r="B372" s="35" t="n">
        <v>463.4991608076982</v>
      </c>
      <c r="C372" s="35" t="n">
        <v>295.1227799272486</v>
      </c>
      <c r="D372" s="36" t="n">
        <v>3654.299154011756</v>
      </c>
      <c r="E372" s="35" t="n">
        <v>505.836818781852</v>
      </c>
      <c r="F372" s="37" t="n">
        <v>0.5650537151925178</v>
      </c>
      <c r="G372" s="37" t="n">
        <v>0.9143951864056632</v>
      </c>
      <c r="H372" s="37" t="n">
        <v>0.7748712579009874</v>
      </c>
      <c r="I372" s="37" t="n">
        <v>0.6098342565440684</v>
      </c>
      <c r="J372" s="37" t="n">
        <v>0.8337465166645937</v>
      </c>
      <c r="K372" s="37" t="n">
        <v>0.757840275009139</v>
      </c>
      <c r="L372" s="39" t="inlineStr">
        <is>
          <t>Corregible</t>
        </is>
      </c>
      <c r="M372" s="29" t="n">
        <v>15.1142098560161</v>
      </c>
      <c r="N372" s="35" t="n">
        <v>130.3173791243358</v>
      </c>
      <c r="O372" s="36" t="n">
        <v>3148.462335229904</v>
      </c>
      <c r="P372" s="29" t="n">
        <v>7.22426485840232</v>
      </c>
      <c r="Q372" s="16" t="inlineStr">
        <is>
          <t>sí</t>
        </is>
      </c>
      <c r="R372" s="16" t="inlineStr">
        <is>
          <t>O1,O2</t>
        </is>
      </c>
    </row>
    <row r="373">
      <c r="A373" s="16" t="inlineStr">
        <is>
          <t>KF-M04b-0062</t>
        </is>
      </c>
      <c r="B373" s="35" t="n">
        <v>417.7059741910698</v>
      </c>
      <c r="C373" s="35" t="n">
        <v>295.7536174224045</v>
      </c>
      <c r="D373" s="36" t="n">
        <v>2044.241944019708</v>
      </c>
      <c r="E373" s="35" t="n">
        <v>1038.342815175176</v>
      </c>
      <c r="F373" s="37" t="n">
        <v>0.8061855727321838</v>
      </c>
      <c r="G373" s="37" t="n">
        <v>0.7729893431453014</v>
      </c>
      <c r="H373" s="37" t="n">
        <v>0.8480432265501372</v>
      </c>
      <c r="I373" s="37" t="n">
        <v>0.7911718759764663</v>
      </c>
      <c r="J373" s="37" t="n">
        <v>0.6390951700827255</v>
      </c>
      <c r="K373" s="37" t="n">
        <v>0.827365073608614</v>
      </c>
      <c r="L373" s="39" t="inlineStr">
        <is>
          <t>Corregible</t>
        </is>
      </c>
      <c r="M373" s="29" t="n">
        <v>5.288346380129401</v>
      </c>
      <c r="N373" s="35" t="n">
        <v>60.98005305289865</v>
      </c>
      <c r="O373" s="36" t="n">
        <v>1005.899128844532</v>
      </c>
      <c r="P373" s="29" t="n">
        <v>1.968754359488517</v>
      </c>
      <c r="Q373" s="16" t="inlineStr">
        <is>
          <t>no</t>
        </is>
      </c>
      <c r="R373" s="16" t="inlineStr">
        <is>
          <t>O2</t>
        </is>
      </c>
    </row>
    <row r="374">
      <c r="A374" s="16" t="inlineStr">
        <is>
          <t>KF-M04b-0063</t>
        </is>
      </c>
      <c r="B374" s="35" t="n">
        <v>451.8678624707397</v>
      </c>
      <c r="C374" s="35" t="n">
        <v>299.4343243127605</v>
      </c>
      <c r="D374" s="36" t="n">
        <v>4801.64415359301</v>
      </c>
      <c r="E374" s="35" t="n">
        <v>1130.379176031913</v>
      </c>
      <c r="F374" s="37" t="n">
        <v>0.5665942073131072</v>
      </c>
      <c r="G374" s="37" t="n">
        <v>0.90714135990348</v>
      </c>
      <c r="H374" s="37" t="n">
        <v>0.7945839642209049</v>
      </c>
      <c r="I374" s="37" t="n">
        <v>0.6236769597716748</v>
      </c>
      <c r="J374" s="37" t="n">
        <v>0.8107110268194209</v>
      </c>
      <c r="K374" s="37" t="n">
        <v>0.7116116231140299</v>
      </c>
      <c r="L374" s="39" t="inlineStr">
        <is>
          <t>Corregible</t>
        </is>
      </c>
      <c r="M374" s="29" t="n">
        <v>11.27257535360799</v>
      </c>
      <c r="N374" s="35" t="n">
        <v>60.60916266791621</v>
      </c>
      <c r="O374" s="36" t="n">
        <v>3671.264977561097</v>
      </c>
      <c r="P374" s="29" t="n">
        <v>4.247817241687625</v>
      </c>
      <c r="Q374" s="16" t="inlineStr">
        <is>
          <t>sí</t>
        </is>
      </c>
      <c r="R374" s="16" t="inlineStr">
        <is>
          <t>O2</t>
        </is>
      </c>
    </row>
    <row r="375">
      <c r="A375" s="16" t="inlineStr">
        <is>
          <t>KF-M04b-0064</t>
        </is>
      </c>
      <c r="B375" s="35" t="n">
        <v>486.2201144410944</v>
      </c>
      <c r="C375" s="35" t="n">
        <v>287.2066716795949</v>
      </c>
      <c r="D375" s="36" t="n">
        <v>4778.036850488084</v>
      </c>
      <c r="E375" s="35" t="n">
        <v>1451.623593396958</v>
      </c>
      <c r="F375" s="37" t="n">
        <v>0.7278431608011311</v>
      </c>
      <c r="G375" s="37" t="n">
        <v>0.8178887878860778</v>
      </c>
      <c r="H375" s="37" t="n">
        <v>0.8013726160373175</v>
      </c>
      <c r="I375" s="37" t="n">
        <v>0.7768961001267718</v>
      </c>
      <c r="J375" s="37" t="n">
        <v>0.9417546260275482</v>
      </c>
      <c r="K375" s="37" t="n">
        <v>0.8831902066879915</v>
      </c>
      <c r="L375" s="42" t="inlineStr">
        <is>
          <t>KALINA</t>
        </is>
      </c>
      <c r="M375" s="29" t="n">
        <v>9.47093102648611</v>
      </c>
      <c r="N375" s="35" t="n">
        <v>132.8478273376854</v>
      </c>
      <c r="O375" s="36" t="n">
        <v>3326.413257091126</v>
      </c>
      <c r="P375" s="29" t="n">
        <v>3.291512257187109</v>
      </c>
      <c r="Q375" s="16" t="inlineStr">
        <is>
          <t>sí</t>
        </is>
      </c>
      <c r="R375" s="16" t="n"/>
    </row>
    <row r="376">
      <c r="A376" s="16" t="inlineStr">
        <is>
          <t>KF-M04b-0065</t>
        </is>
      </c>
      <c r="B376" s="35" t="n">
        <v>495.7034372343154</v>
      </c>
      <c r="C376" s="35" t="n">
        <v>292.3518189615037</v>
      </c>
      <c r="D376" s="36" t="n">
        <v>2632.449277327646</v>
      </c>
      <c r="E376" s="35" t="n">
        <v>1082.752806479143</v>
      </c>
      <c r="F376" s="37" t="n">
        <v>0.7781609960821653</v>
      </c>
      <c r="G376" s="37" t="n">
        <v>0.8270971577737074</v>
      </c>
      <c r="H376" s="37" t="n">
        <v>0.8288979186910634</v>
      </c>
      <c r="I376" s="37" t="n">
        <v>0.6857178892071943</v>
      </c>
      <c r="J376" s="37" t="n">
        <v>0.814903830635073</v>
      </c>
      <c r="K376" s="37" t="n">
        <v>0.785983544754874</v>
      </c>
      <c r="L376" s="39" t="inlineStr">
        <is>
          <t>Corregible</t>
        </is>
      </c>
      <c r="M376" s="29" t="n">
        <v>7.310728268728959</v>
      </c>
      <c r="N376" s="35" t="n">
        <v>85.34074673408007</v>
      </c>
      <c r="O376" s="36" t="n">
        <v>1549.696470848503</v>
      </c>
      <c r="P376" s="29" t="n">
        <v>2.431256018525365</v>
      </c>
      <c r="Q376" s="16" t="inlineStr">
        <is>
          <t>no</t>
        </is>
      </c>
      <c r="R376" s="16" t="inlineStr">
        <is>
          <t>O2</t>
        </is>
      </c>
    </row>
    <row r="377">
      <c r="A377" s="16" t="inlineStr">
        <is>
          <t>KF-M04b-0066</t>
        </is>
      </c>
      <c r="B377" s="35" t="n">
        <v>441.7419097620464</v>
      </c>
      <c r="C377" s="35" t="n">
        <v>281.2442795183602</v>
      </c>
      <c r="D377" s="36" t="n">
        <v>4176.475395928959</v>
      </c>
      <c r="E377" s="35" t="n">
        <v>1358.986474025779</v>
      </c>
      <c r="F377" s="37" t="n">
        <v>0.5781360375599208</v>
      </c>
      <c r="G377" s="37" t="n">
        <v>0.8386595893761454</v>
      </c>
      <c r="H377" s="37" t="n">
        <v>0.7489074821906208</v>
      </c>
      <c r="I377" s="37" t="n">
        <v>0.8741658931648014</v>
      </c>
      <c r="J377" s="37" t="n">
        <v>0.8914821462936315</v>
      </c>
      <c r="K377" s="37" t="n">
        <v>0.8298659762447922</v>
      </c>
      <c r="L377" s="42" t="inlineStr">
        <is>
          <t>KALINA</t>
        </is>
      </c>
      <c r="M377" s="29" t="n">
        <v>8.174431859339961</v>
      </c>
      <c r="N377" s="35" t="n">
        <v>63.93654483317819</v>
      </c>
      <c r="O377" s="36" t="n">
        <v>2817.48892190318</v>
      </c>
      <c r="P377" s="29" t="n">
        <v>3.07322808265841</v>
      </c>
      <c r="Q377" s="16" t="inlineStr">
        <is>
          <t>sí</t>
        </is>
      </c>
      <c r="R377" s="16" t="n"/>
    </row>
    <row r="378">
      <c r="A378" s="16" t="inlineStr">
        <is>
          <t>KF-M04b-0067</t>
        </is>
      </c>
      <c r="B378" s="35" t="n">
        <v>385.2018108985653</v>
      </c>
      <c r="C378" s="35" t="n">
        <v>287.1310898392791</v>
      </c>
      <c r="D378" s="36" t="n">
        <v>4636.09609967464</v>
      </c>
      <c r="E378" s="35" t="n">
        <v>387.419238020422</v>
      </c>
      <c r="F378" s="37" t="n">
        <v>0.6293400074120851</v>
      </c>
      <c r="G378" s="37" t="n">
        <v>0.7874703427558012</v>
      </c>
      <c r="H378" s="37" t="n">
        <v>0.8734597130936753</v>
      </c>
      <c r="I378" s="37" t="n">
        <v>0.8464965274903375</v>
      </c>
      <c r="J378" s="37" t="n">
        <v>0.6083867782049408</v>
      </c>
      <c r="K378" s="37" t="n">
        <v>0.7298462925782447</v>
      </c>
      <c r="L378" s="38" t="inlineStr">
        <is>
          <t>Falso convergido</t>
        </is>
      </c>
      <c r="M378" s="29" t="inlineStr">
        <is>
          <t>—</t>
        </is>
      </c>
      <c r="N378" s="35" t="inlineStr">
        <is>
          <t>—</t>
        </is>
      </c>
      <c r="O378" s="36" t="n">
        <v>4248.676861654218</v>
      </c>
      <c r="P378" s="29" t="n">
        <v>11.96661302459703</v>
      </c>
      <c r="Q378" s="16" t="inlineStr">
        <is>
          <t>no</t>
        </is>
      </c>
      <c r="R378" s="16" t="inlineStr">
        <is>
          <t>N2,S6,O3,O5,C1,C3,C3</t>
        </is>
      </c>
    </row>
    <row r="379">
      <c r="A379" s="16" t="inlineStr">
        <is>
          <t>KF-M04b-0068</t>
        </is>
      </c>
      <c r="B379" s="35" t="n">
        <v>493.3387621807931</v>
      </c>
      <c r="C379" s="35" t="n">
        <v>288.1900210177034</v>
      </c>
      <c r="D379" s="36" t="n">
        <v>3600.015429275951</v>
      </c>
      <c r="E379" s="35" t="n">
        <v>321.1962324725073</v>
      </c>
      <c r="F379" s="37" t="n">
        <v>0.605974372921996</v>
      </c>
      <c r="G379" s="37" t="n">
        <v>0.7769358861604648</v>
      </c>
      <c r="H379" s="37" t="n">
        <v>0.8454359991838566</v>
      </c>
      <c r="I379" s="37" t="n">
        <v>0.7901047465086734</v>
      </c>
      <c r="J379" s="37" t="n">
        <v>0.6285792477309081</v>
      </c>
      <c r="K379" s="37" t="n">
        <v>0.8015255232390466</v>
      </c>
      <c r="L379" s="39" t="inlineStr">
        <is>
          <t>Corregible</t>
        </is>
      </c>
      <c r="M379" s="29" t="n">
        <v>13.82897870732311</v>
      </c>
      <c r="N379" s="35" t="n">
        <v>196.5850367212284</v>
      </c>
      <c r="O379" s="36" t="n">
        <v>3278.819196803443</v>
      </c>
      <c r="P379" s="29" t="n">
        <v>11.20814961484361</v>
      </c>
      <c r="Q379" s="16" t="inlineStr">
        <is>
          <t>sí</t>
        </is>
      </c>
      <c r="R379" s="16" t="inlineStr">
        <is>
          <t>O2</t>
        </is>
      </c>
    </row>
    <row r="380">
      <c r="A380" s="16" t="inlineStr">
        <is>
          <t>KF-M04b-0069</t>
        </is>
      </c>
      <c r="B380" s="35" t="n">
        <v>395.9773273608353</v>
      </c>
      <c r="C380" s="35" t="n">
        <v>279.5732070831257</v>
      </c>
      <c r="D380" s="36" t="n">
        <v>3991.388142762185</v>
      </c>
      <c r="E380" s="35" t="n">
        <v>576.2217366229509</v>
      </c>
      <c r="F380" s="37" t="n">
        <v>0.6744601018601457</v>
      </c>
      <c r="G380" s="37" t="n">
        <v>0.8897970286271552</v>
      </c>
      <c r="H380" s="37" t="n">
        <v>0.8495308851187378</v>
      </c>
      <c r="I380" s="37" t="n">
        <v>0.7033995822660104</v>
      </c>
      <c r="J380" s="37" t="n">
        <v>0.7467985943833235</v>
      </c>
      <c r="K380" s="37" t="n">
        <v>0.7517966790683336</v>
      </c>
      <c r="L380" s="39" t="inlineStr">
        <is>
          <t>Corregible</t>
        </is>
      </c>
      <c r="M380" s="29" t="n">
        <v>11.7682253962747</v>
      </c>
      <c r="N380" s="35" t="n">
        <v>44.96258827433927</v>
      </c>
      <c r="O380" s="36" t="n">
        <v>3415.166406139234</v>
      </c>
      <c r="P380" s="29" t="n">
        <v>6.926826756231758</v>
      </c>
      <c r="Q380" s="16" t="inlineStr">
        <is>
          <t>no</t>
        </is>
      </c>
      <c r="R380" s="16" t="inlineStr">
        <is>
          <t>O2</t>
        </is>
      </c>
    </row>
    <row r="381">
      <c r="A381" s="16" t="inlineStr">
        <is>
          <t>KF-M04b-0070</t>
        </is>
      </c>
      <c r="B381" s="35" t="n">
        <v>499.532816399556</v>
      </c>
      <c r="C381" s="35" t="n">
        <v>293.020465036482</v>
      </c>
      <c r="D381" s="36" t="n">
        <v>3819.266813431677</v>
      </c>
      <c r="E381" s="35" t="n">
        <v>711.2337088100921</v>
      </c>
      <c r="F381" s="37" t="n">
        <v>0.5749938353570196</v>
      </c>
      <c r="G381" s="37" t="n">
        <v>0.8260169316152924</v>
      </c>
      <c r="H381" s="37" t="n">
        <v>0.7856962154340756</v>
      </c>
      <c r="I381" s="37" t="n">
        <v>0.9247668723646618</v>
      </c>
      <c r="J381" s="37" t="n">
        <v>0.786051682502058</v>
      </c>
      <c r="K381" s="37" t="n">
        <v>0.9208580431192992</v>
      </c>
      <c r="L381" s="39" t="inlineStr">
        <is>
          <t>Corregible</t>
        </is>
      </c>
      <c r="M381" s="29" t="n">
        <v>11.55627081296117</v>
      </c>
      <c r="N381" s="35" t="n">
        <v>229.8296380097555</v>
      </c>
      <c r="O381" s="36" t="n">
        <v>3108.033104621585</v>
      </c>
      <c r="P381" s="29" t="n">
        <v>5.369918166310459</v>
      </c>
      <c r="Q381" s="16" t="inlineStr">
        <is>
          <t>sí</t>
        </is>
      </c>
      <c r="R381" s="16" t="inlineStr">
        <is>
          <t>O2</t>
        </is>
      </c>
    </row>
    <row r="382">
      <c r="A382" s="16" t="inlineStr">
        <is>
          <t>KF-M04b-0071</t>
        </is>
      </c>
      <c r="B382" s="35" t="n">
        <v>472.9198214702874</v>
      </c>
      <c r="C382" s="35" t="n">
        <v>285.8263981537647</v>
      </c>
      <c r="D382" s="36" t="n">
        <v>2753.040647600984</v>
      </c>
      <c r="E382" s="35" t="n">
        <v>742.4438325863022</v>
      </c>
      <c r="F382" s="37" t="n">
        <v>0.6324914494117202</v>
      </c>
      <c r="G382" s="37" t="n">
        <v>0.7749366312180903</v>
      </c>
      <c r="H382" s="37" t="n">
        <v>0.8539440741722459</v>
      </c>
      <c r="I382" s="37" t="n">
        <v>0.8652602946989876</v>
      </c>
      <c r="J382" s="37" t="n">
        <v>0.6366644331826062</v>
      </c>
      <c r="K382" s="37" t="n">
        <v>0.7428732558855081</v>
      </c>
      <c r="L382" s="39" t="inlineStr">
        <is>
          <t>Corregible</t>
        </is>
      </c>
      <c r="M382" s="29" t="n">
        <v>8.18748476631672</v>
      </c>
      <c r="N382" s="35" t="n">
        <v>121.34342418647</v>
      </c>
      <c r="O382" s="36" t="n">
        <v>2010.596815014682</v>
      </c>
      <c r="P382" s="29" t="n">
        <v>3.708079354650668</v>
      </c>
      <c r="Q382" s="16" t="inlineStr">
        <is>
          <t>sí</t>
        </is>
      </c>
      <c r="R382" s="16" t="inlineStr">
        <is>
          <t>O2</t>
        </is>
      </c>
    </row>
    <row r="383">
      <c r="A383" s="16" t="inlineStr">
        <is>
          <t>KF-M04b-0072</t>
        </is>
      </c>
      <c r="B383" s="35" t="n">
        <v>423.6580059589073</v>
      </c>
      <c r="C383" s="35" t="n">
        <v>289.8473793310081</v>
      </c>
      <c r="D383" s="36" t="n">
        <v>3139.517686279952</v>
      </c>
      <c r="E383" s="35" t="n">
        <v>964.895826925524</v>
      </c>
      <c r="F383" s="37" t="n">
        <v>0.7763579612959564</v>
      </c>
      <c r="G383" s="37" t="n">
        <v>0.7698544046103278</v>
      </c>
      <c r="H383" s="37" t="n">
        <v>0.8841183533397391</v>
      </c>
      <c r="I383" s="37" t="n">
        <v>0.9297673906372428</v>
      </c>
      <c r="J383" s="37" t="n">
        <v>0.8168561631593657</v>
      </c>
      <c r="K383" s="37" t="n">
        <v>0.7005181018253995</v>
      </c>
      <c r="L383" s="39" t="inlineStr">
        <is>
          <t>Corregible</t>
        </is>
      </c>
      <c r="M383" s="29" t="n">
        <v>8.37497901551569</v>
      </c>
      <c r="N383" s="35" t="n">
        <v>83.00562130198975</v>
      </c>
      <c r="O383" s="36" t="n">
        <v>2174.621859354428</v>
      </c>
      <c r="P383" s="29" t="n">
        <v>3.253737448822315</v>
      </c>
      <c r="Q383" s="16" t="inlineStr">
        <is>
          <t>no</t>
        </is>
      </c>
      <c r="R383" s="16" t="inlineStr">
        <is>
          <t>O2</t>
        </is>
      </c>
    </row>
    <row r="384">
      <c r="A384" s="16" t="inlineStr">
        <is>
          <t>KF-M04b-0073</t>
        </is>
      </c>
      <c r="B384" s="35" t="n">
        <v>381.7050034553101</v>
      </c>
      <c r="C384" s="35" t="n">
        <v>286.1599547771238</v>
      </c>
      <c r="D384" s="36" t="n">
        <v>4732.276904332451</v>
      </c>
      <c r="E384" s="35" t="n">
        <v>947.2056700728396</v>
      </c>
      <c r="F384" s="37" t="n">
        <v>0.6071334622648531</v>
      </c>
      <c r="G384" s="37" t="n">
        <v>0.8725757828122819</v>
      </c>
      <c r="H384" s="37" t="n">
        <v>0.8333876833173171</v>
      </c>
      <c r="I384" s="37" t="n">
        <v>0.8074057683308928</v>
      </c>
      <c r="J384" s="37" t="n">
        <v>0.7718949515845277</v>
      </c>
      <c r="K384" s="37" t="n">
        <v>0.8186051612608216</v>
      </c>
      <c r="L384" s="32" t="inlineStr">
        <is>
          <t>No convergió</t>
        </is>
      </c>
      <c r="M384" s="29" t="inlineStr">
        <is>
          <t>—</t>
        </is>
      </c>
      <c r="N384" s="35" t="inlineStr">
        <is>
          <t>—</t>
        </is>
      </c>
      <c r="O384" s="36" t="n">
        <v>3785.071234259611</v>
      </c>
      <c r="P384" s="29" t="n">
        <v>4.996039459907943</v>
      </c>
      <c r="Q384" s="16" t="inlineStr">
        <is>
          <t>no</t>
        </is>
      </c>
      <c r="R384" s="16" t="n"/>
    </row>
    <row r="385">
      <c r="A385" s="16" t="inlineStr">
        <is>
          <t>KF-M04b-0074</t>
        </is>
      </c>
      <c r="B385" s="35" t="n">
        <v>427.7911945225414</v>
      </c>
      <c r="C385" s="35" t="n">
        <v>284.858143358791</v>
      </c>
      <c r="D385" s="36" t="n">
        <v>4409.117253370263</v>
      </c>
      <c r="E385" s="35" t="n">
        <v>1171.42944015151</v>
      </c>
      <c r="F385" s="37" t="n">
        <v>0.7273597058905504</v>
      </c>
      <c r="G385" s="37" t="n">
        <v>0.8231874361999487</v>
      </c>
      <c r="H385" s="37" t="n">
        <v>0.8971704475963842</v>
      </c>
      <c r="I385" s="37" t="n">
        <v>0.7566424709175047</v>
      </c>
      <c r="J385" s="37" t="n">
        <v>0.6825241615676415</v>
      </c>
      <c r="K385" s="37" t="n">
        <v>0.8162937429270793</v>
      </c>
      <c r="L385" s="39" t="inlineStr">
        <is>
          <t>Corregible</t>
        </is>
      </c>
      <c r="M385" s="29" t="n">
        <v>10.1921006762839</v>
      </c>
      <c r="N385" s="35" t="n">
        <v>80.62925012184752</v>
      </c>
      <c r="O385" s="36" t="n">
        <v>3237.687813218753</v>
      </c>
      <c r="P385" s="29" t="n">
        <v>3.763877790880856</v>
      </c>
      <c r="Q385" s="16" t="inlineStr">
        <is>
          <t>no</t>
        </is>
      </c>
      <c r="R385" s="16" t="inlineStr">
        <is>
          <t>O2</t>
        </is>
      </c>
    </row>
    <row r="386">
      <c r="A386" s="16" t="inlineStr">
        <is>
          <t>KF-M04b-0075</t>
        </is>
      </c>
      <c r="B386" s="35" t="n">
        <v>422.7765873066458</v>
      </c>
      <c r="C386" s="35" t="n">
        <v>298.7207307570354</v>
      </c>
      <c r="D386" s="36" t="n">
        <v>2240.751279883435</v>
      </c>
      <c r="E386" s="35" t="n">
        <v>1477.966902528124</v>
      </c>
      <c r="F386" s="37" t="n">
        <v>0.6092351081466059</v>
      </c>
      <c r="G386" s="37" t="n">
        <v>0.8299441168324941</v>
      </c>
      <c r="H386" s="37" t="n">
        <v>0.7780299212605478</v>
      </c>
      <c r="I386" s="37" t="n">
        <v>0.7464757379633262</v>
      </c>
      <c r="J386" s="37" t="n">
        <v>0.8198040361819586</v>
      </c>
      <c r="K386" s="37" t="n">
        <v>0.7809788898815653</v>
      </c>
      <c r="L386" s="39" t="inlineStr">
        <is>
          <t>Corregible</t>
        </is>
      </c>
      <c r="M386" s="29" t="n">
        <v>3.57345312254282</v>
      </c>
      <c r="N386" s="35" t="n">
        <v>28.43387055424465</v>
      </c>
      <c r="O386" s="36" t="n">
        <v>762.7843773553118</v>
      </c>
      <c r="P386" s="29" t="n">
        <v>1.516103828881782</v>
      </c>
      <c r="Q386" s="16" t="inlineStr">
        <is>
          <t>no</t>
        </is>
      </c>
      <c r="R386" s="16" t="inlineStr">
        <is>
          <t>O2</t>
        </is>
      </c>
    </row>
    <row r="387">
      <c r="A387" s="16" t="inlineStr">
        <is>
          <t>KF-M04b-0076</t>
        </is>
      </c>
      <c r="B387" s="35" t="n">
        <v>442.2036648678891</v>
      </c>
      <c r="C387" s="35" t="n">
        <v>293.9586962372086</v>
      </c>
      <c r="D387" s="36" t="n">
        <v>4113.946707522697</v>
      </c>
      <c r="E387" s="35" t="n">
        <v>622.6081847127834</v>
      </c>
      <c r="F387" s="37" t="n">
        <v>0.7896166072393843</v>
      </c>
      <c r="G387" s="37" t="n">
        <v>0.7680822907508801</v>
      </c>
      <c r="H387" s="37" t="n">
        <v>0.6725951777757732</v>
      </c>
      <c r="I387" s="37" t="n">
        <v>0.6886887779399647</v>
      </c>
      <c r="J387" s="37" t="n">
        <v>0.7705144517710629</v>
      </c>
      <c r="K387" s="37" t="n">
        <v>0.705217374313469</v>
      </c>
      <c r="L387" s="39" t="inlineStr">
        <is>
          <t>Corregible</t>
        </is>
      </c>
      <c r="M387" s="29" t="n">
        <v>5.16271623264204</v>
      </c>
      <c r="N387" s="35" t="n">
        <v>35.11833276703061</v>
      </c>
      <c r="O387" s="36" t="n">
        <v>3491.338522809913</v>
      </c>
      <c r="P387" s="29" t="n">
        <v>6.607601391267462</v>
      </c>
      <c r="Q387" s="16" t="inlineStr">
        <is>
          <t>sí</t>
        </is>
      </c>
      <c r="R387" s="16" t="inlineStr">
        <is>
          <t>O2</t>
        </is>
      </c>
    </row>
    <row r="388">
      <c r="A388" s="16" t="inlineStr">
        <is>
          <t>KF-M04b-0077</t>
        </is>
      </c>
      <c r="B388" s="35" t="n">
        <v>395.1865122085972</v>
      </c>
      <c r="C388" s="35" t="n">
        <v>289.9816399372079</v>
      </c>
      <c r="D388" s="36" t="n">
        <v>4578.160932061923</v>
      </c>
      <c r="E388" s="35" t="n">
        <v>1366.330640150393</v>
      </c>
      <c r="F388" s="37" t="n">
        <v>0.6353399195721799</v>
      </c>
      <c r="G388" s="37" t="n">
        <v>0.7741976653449645</v>
      </c>
      <c r="H388" s="37" t="n">
        <v>0.7691032594166383</v>
      </c>
      <c r="I388" s="37" t="n">
        <v>0.6397907051791208</v>
      </c>
      <c r="J388" s="37" t="n">
        <v>0.6728333503892491</v>
      </c>
      <c r="K388" s="37" t="n">
        <v>0.9271676715092788</v>
      </c>
      <c r="L388" s="40" t="inlineStr">
        <is>
          <t>Inviable</t>
        </is>
      </c>
      <c r="M388" s="29" t="n">
        <v>-0.2299102121667</v>
      </c>
      <c r="N388" s="35" t="n">
        <v>-0.4665149464848648</v>
      </c>
      <c r="O388" s="36" t="n">
        <v>3211.830291911529</v>
      </c>
      <c r="P388" s="29" t="n">
        <v>3.350697699026936</v>
      </c>
      <c r="Q388" s="16" t="inlineStr">
        <is>
          <t>no</t>
        </is>
      </c>
      <c r="R388" s="16" t="inlineStr">
        <is>
          <t>O3</t>
        </is>
      </c>
    </row>
    <row r="389">
      <c r="A389" s="16" t="inlineStr">
        <is>
          <t>KF-M04b-0078</t>
        </is>
      </c>
      <c r="B389" s="35" t="n">
        <v>482.7031178089875</v>
      </c>
      <c r="C389" s="35" t="n">
        <v>283.3533168550476</v>
      </c>
      <c r="D389" s="36" t="n">
        <v>3473.563613239317</v>
      </c>
      <c r="E389" s="35" t="n">
        <v>1403.895909483831</v>
      </c>
      <c r="F389" s="37" t="n">
        <v>0.6185906784780553</v>
      </c>
      <c r="G389" s="37" t="n">
        <v>0.8165518125435598</v>
      </c>
      <c r="H389" s="37" t="n">
        <v>0.7912155882523979</v>
      </c>
      <c r="I389" s="37" t="n">
        <v>0.6911129623079036</v>
      </c>
      <c r="J389" s="37" t="n">
        <v>0.8579546181046328</v>
      </c>
      <c r="K389" s="37" t="n">
        <v>0.8971636458689306</v>
      </c>
      <c r="L389" s="42" t="inlineStr">
        <is>
          <t>KALINA</t>
        </is>
      </c>
      <c r="M389" s="29" t="n">
        <v>6.64768984883408</v>
      </c>
      <c r="N389" s="35" t="n">
        <v>90.93598759701004</v>
      </c>
      <c r="O389" s="36" t="n">
        <v>2069.667703755486</v>
      </c>
      <c r="P389" s="29" t="n">
        <v>2.474231593506416</v>
      </c>
      <c r="Q389" s="16" t="inlineStr">
        <is>
          <t>sí</t>
        </is>
      </c>
      <c r="R389" s="16" t="n"/>
    </row>
    <row r="390">
      <c r="A390" s="16" t="inlineStr">
        <is>
          <t>KF-M04b-0079</t>
        </is>
      </c>
      <c r="B390" s="35" t="n">
        <v>406.6700087349817</v>
      </c>
      <c r="C390" s="35" t="n">
        <v>278.6392799883886</v>
      </c>
      <c r="D390" s="36" t="n">
        <v>4811.745787712287</v>
      </c>
      <c r="E390" s="35" t="n">
        <v>1159.627285217969</v>
      </c>
      <c r="F390" s="37" t="n">
        <v>0.7823330349091961</v>
      </c>
      <c r="G390" s="37" t="n">
        <v>0.8780967231876989</v>
      </c>
      <c r="H390" s="37" t="n">
        <v>0.7343239671789885</v>
      </c>
      <c r="I390" s="37" t="n">
        <v>0.9094943340613726</v>
      </c>
      <c r="J390" s="37" t="n">
        <v>0.7277443140616505</v>
      </c>
      <c r="K390" s="37" t="n">
        <v>0.8977243056859093</v>
      </c>
      <c r="L390" s="42" t="inlineStr">
        <is>
          <t>KALINA</t>
        </is>
      </c>
      <c r="M390" s="29" t="n">
        <v>10.80642603229097</v>
      </c>
      <c r="N390" s="35" t="n">
        <v>88.49663727740288</v>
      </c>
      <c r="O390" s="36" t="n">
        <v>3652.118502494318</v>
      </c>
      <c r="P390" s="29" t="n">
        <v>4.1493899367915</v>
      </c>
      <c r="Q390" s="16" t="inlineStr">
        <is>
          <t>no</t>
        </is>
      </c>
      <c r="R390" s="16" t="n"/>
    </row>
    <row r="391">
      <c r="A391" s="16" t="inlineStr">
        <is>
          <t>KF-M04b-0080</t>
        </is>
      </c>
      <c r="B391" s="35" t="n">
        <v>488.2035483548468</v>
      </c>
      <c r="C391" s="35" t="n">
        <v>280.3069420119081</v>
      </c>
      <c r="D391" s="36" t="n">
        <v>2944.929321614936</v>
      </c>
      <c r="E391" s="35" t="n">
        <v>1208.291031742486</v>
      </c>
      <c r="F391" s="37" t="n">
        <v>0.8221362331947547</v>
      </c>
      <c r="G391" s="37" t="n">
        <v>0.8786379407783133</v>
      </c>
      <c r="H391" s="37" t="n">
        <v>0.7668323290250861</v>
      </c>
      <c r="I391" s="37" t="n">
        <v>0.7026231352711629</v>
      </c>
      <c r="J391" s="37" t="n">
        <v>0.9475592905349972</v>
      </c>
      <c r="K391" s="37" t="n">
        <v>0.7417997750303077</v>
      </c>
      <c r="L391" s="32" t="inlineStr">
        <is>
          <t>No convergió</t>
        </is>
      </c>
      <c r="M391" s="29" t="inlineStr">
        <is>
          <t>—</t>
        </is>
      </c>
      <c r="N391" s="35" t="inlineStr">
        <is>
          <t>—</t>
        </is>
      </c>
      <c r="O391" s="36" t="n">
        <v>1736.63828987245</v>
      </c>
      <c r="P391" s="29" t="n">
        <v>2.437268211258698</v>
      </c>
      <c r="Q391" s="16" t="inlineStr">
        <is>
          <t>no</t>
        </is>
      </c>
      <c r="R391" s="16" t="n"/>
    </row>
    <row r="392">
      <c r="A392" s="16" t="inlineStr">
        <is>
          <t>KF-M04b-0081</t>
        </is>
      </c>
      <c r="B392" s="35" t="n">
        <v>388.9717347470957</v>
      </c>
      <c r="C392" s="35" t="n">
        <v>301.8015083207181</v>
      </c>
      <c r="D392" s="36" t="n">
        <v>2891.278952726228</v>
      </c>
      <c r="E392" s="35" t="n">
        <v>913.581366835484</v>
      </c>
      <c r="F392" s="37" t="n">
        <v>0.6124118079102301</v>
      </c>
      <c r="G392" s="37" t="n">
        <v>0.859950700936426</v>
      </c>
      <c r="H392" s="37" t="n">
        <v>0.6597018339641209</v>
      </c>
      <c r="I392" s="37" t="n">
        <v>0.6271443071568616</v>
      </c>
      <c r="J392" s="37" t="n">
        <v>0.9260525915074894</v>
      </c>
      <c r="K392" s="37" t="n">
        <v>0.7441796583150537</v>
      </c>
      <c r="L392" s="39" t="inlineStr">
        <is>
          <t>Corregible</t>
        </is>
      </c>
      <c r="M392" s="29" t="n">
        <v>8.46984162623629</v>
      </c>
      <c r="N392" s="35" t="n">
        <v>23.28361535334945</v>
      </c>
      <c r="O392" s="36" t="n">
        <v>1977.697585890744</v>
      </c>
      <c r="P392" s="29" t="n">
        <v>3.1647744335474</v>
      </c>
      <c r="Q392" s="16" t="inlineStr">
        <is>
          <t>no</t>
        </is>
      </c>
      <c r="R392" s="16" t="inlineStr">
        <is>
          <t>O2</t>
        </is>
      </c>
    </row>
    <row r="393">
      <c r="A393" s="16" t="inlineStr">
        <is>
          <t>KF-M04b-0082</t>
        </is>
      </c>
      <c r="B393" s="35" t="n">
        <v>462.7042909072819</v>
      </c>
      <c r="C393" s="35" t="n">
        <v>278.372076926449</v>
      </c>
      <c r="D393" s="36" t="n">
        <v>2095.385835313507</v>
      </c>
      <c r="E393" s="35" t="n">
        <v>756.8509146329272</v>
      </c>
      <c r="F393" s="37" t="n">
        <v>0.6853077135700568</v>
      </c>
      <c r="G393" s="37" t="n">
        <v>0.7524825912187727</v>
      </c>
      <c r="H393" s="37" t="n">
        <v>0.8203562022346036</v>
      </c>
      <c r="I393" s="37" t="n">
        <v>0.7821406829655484</v>
      </c>
      <c r="J393" s="37" t="n">
        <v>0.8883628446098805</v>
      </c>
      <c r="K393" s="37" t="n">
        <v>0.8257511402651535</v>
      </c>
      <c r="L393" s="39" t="inlineStr">
        <is>
          <t>Corregible</t>
        </is>
      </c>
      <c r="M393" s="29" t="n">
        <v>7.01909822333818</v>
      </c>
      <c r="N393" s="35" t="n">
        <v>101.5029982749924</v>
      </c>
      <c r="O393" s="36" t="n">
        <v>1338.534920680579</v>
      </c>
      <c r="P393" s="29" t="n">
        <v>2.768558238883504</v>
      </c>
      <c r="Q393" s="16" t="inlineStr">
        <is>
          <t>sí</t>
        </is>
      </c>
      <c r="R393" s="16" t="inlineStr">
        <is>
          <t>O2</t>
        </is>
      </c>
    </row>
    <row r="394">
      <c r="A394" s="16" t="inlineStr">
        <is>
          <t>KF-M04b-0083</t>
        </is>
      </c>
      <c r="B394" s="35" t="n">
        <v>477.6323813996723</v>
      </c>
      <c r="C394" s="35" t="n">
        <v>293.3584127454354</v>
      </c>
      <c r="D394" s="36" t="n">
        <v>3290.178000667938</v>
      </c>
      <c r="E394" s="35" t="n">
        <v>475.7328549409533</v>
      </c>
      <c r="F394" s="37" t="n">
        <v>0.5001154359957808</v>
      </c>
      <c r="G394" s="37" t="n">
        <v>0.9041437920706612</v>
      </c>
      <c r="H394" s="37" t="n">
        <v>0.7475872873478044</v>
      </c>
      <c r="I394" s="37" t="n">
        <v>0.621044006541371</v>
      </c>
      <c r="J394" s="37" t="n">
        <v>0.8350312072144059</v>
      </c>
      <c r="K394" s="37" t="n">
        <v>0.8574624852615771</v>
      </c>
      <c r="L394" s="39" t="inlineStr">
        <is>
          <t>Corregible</t>
        </is>
      </c>
      <c r="M394" s="29" t="n">
        <v>14.21490881167014</v>
      </c>
      <c r="N394" s="35" t="n">
        <v>175.9315138924466</v>
      </c>
      <c r="O394" s="36" t="n">
        <v>2814.445145726985</v>
      </c>
      <c r="P394" s="29" t="n">
        <v>6.91602012872604</v>
      </c>
      <c r="Q394" s="16" t="inlineStr">
        <is>
          <t>sí</t>
        </is>
      </c>
      <c r="R394" s="16" t="inlineStr">
        <is>
          <t>O1,O2</t>
        </is>
      </c>
    </row>
    <row r="395">
      <c r="A395" s="16" t="inlineStr">
        <is>
          <t>KF-M04b-0084</t>
        </is>
      </c>
      <c r="B395" s="35" t="n">
        <v>465.7759505571082</v>
      </c>
      <c r="C395" s="35" t="n">
        <v>281.6568869652932</v>
      </c>
      <c r="D395" s="36" t="n">
        <v>2815.780313765198</v>
      </c>
      <c r="E395" s="35" t="n">
        <v>1090.246141968173</v>
      </c>
      <c r="F395" s="37" t="n">
        <v>0.6368333683779777</v>
      </c>
      <c r="G395" s="37" t="n">
        <v>0.8128777219973419</v>
      </c>
      <c r="H395" s="37" t="n">
        <v>0.8248324709602676</v>
      </c>
      <c r="I395" s="37" t="n">
        <v>0.7579222636846816</v>
      </c>
      <c r="J395" s="37" t="n">
        <v>0.8015991745832237</v>
      </c>
      <c r="K395" s="37" t="n">
        <v>0.921892807716594</v>
      </c>
      <c r="L395" s="42" t="inlineStr">
        <is>
          <t>KALINA</t>
        </is>
      </c>
      <c r="M395" s="29" t="n">
        <v>6.859064001776701</v>
      </c>
      <c r="N395" s="35" t="n">
        <v>104.2636474014828</v>
      </c>
      <c r="O395" s="36" t="n">
        <v>1725.534171797025</v>
      </c>
      <c r="P395" s="29" t="n">
        <v>2.582701470222124</v>
      </c>
      <c r="Q395" s="16" t="inlineStr">
        <is>
          <t>sí</t>
        </is>
      </c>
      <c r="R395" s="16" t="n"/>
    </row>
    <row r="396">
      <c r="A396" s="16" t="inlineStr">
        <is>
          <t>KF-M04b-0085</t>
        </is>
      </c>
      <c r="B396" s="35" t="n">
        <v>481.0862947336252</v>
      </c>
      <c r="C396" s="35" t="n">
        <v>300.0622935244317</v>
      </c>
      <c r="D396" s="36" t="n">
        <v>2580.865873678349</v>
      </c>
      <c r="E396" s="35" t="n">
        <v>779.7090627737823</v>
      </c>
      <c r="F396" s="37" t="n">
        <v>0.6110057112236769</v>
      </c>
      <c r="G396" s="37" t="n">
        <v>0.7677851796066395</v>
      </c>
      <c r="H396" s="37" t="n">
        <v>0.7848734130034873</v>
      </c>
      <c r="I396" s="37" t="n">
        <v>0.6146305148107103</v>
      </c>
      <c r="J396" s="37" t="n">
        <v>0.8399077266241318</v>
      </c>
      <c r="K396" s="37" t="n">
        <v>0.775672105329327</v>
      </c>
      <c r="L396" s="39" t="inlineStr">
        <is>
          <t>Corregible</t>
        </is>
      </c>
      <c r="M396" s="29" t="n">
        <v>7.72149844715936</v>
      </c>
      <c r="N396" s="35" t="n">
        <v>86.68925100837097</v>
      </c>
      <c r="O396" s="36" t="n">
        <v>1801.156810904567</v>
      </c>
      <c r="P396" s="29" t="n">
        <v>3.310037034194558</v>
      </c>
      <c r="Q396" s="16" t="inlineStr">
        <is>
          <t>sí</t>
        </is>
      </c>
      <c r="R396" s="16" t="inlineStr">
        <is>
          <t>O2</t>
        </is>
      </c>
    </row>
    <row r="397">
      <c r="A397" s="16" t="inlineStr">
        <is>
          <t>KF-M04b-0086</t>
        </is>
      </c>
      <c r="B397" s="35" t="n">
        <v>388.2201361519083</v>
      </c>
      <c r="C397" s="35" t="n">
        <v>279.9918669714973</v>
      </c>
      <c r="D397" s="36" t="n">
        <v>4527.030702036714</v>
      </c>
      <c r="E397" s="35" t="n">
        <v>1072.261035219792</v>
      </c>
      <c r="F397" s="37" t="n">
        <v>0.811781861360531</v>
      </c>
      <c r="G397" s="37" t="n">
        <v>0.7631213196379093</v>
      </c>
      <c r="H397" s="37" t="n">
        <v>0.7867235105652842</v>
      </c>
      <c r="I397" s="37" t="n">
        <v>0.9031045363573575</v>
      </c>
      <c r="J397" s="37" t="n">
        <v>0.8381451306190393</v>
      </c>
      <c r="K397" s="37" t="n">
        <v>0.8029605207710027</v>
      </c>
      <c r="L397" s="39" t="inlineStr">
        <is>
          <t>Corregible</t>
        </is>
      </c>
      <c r="M397" s="29" t="n">
        <v>10.04309551757894</v>
      </c>
      <c r="N397" s="35" t="n">
        <v>62.76093034853533</v>
      </c>
      <c r="O397" s="36" t="n">
        <v>3454.769666816921</v>
      </c>
      <c r="P397" s="29" t="n">
        <v>4.221948344051094</v>
      </c>
      <c r="Q397" s="16" t="inlineStr">
        <is>
          <t>no</t>
        </is>
      </c>
      <c r="R397" s="16" t="inlineStr">
        <is>
          <t>O2</t>
        </is>
      </c>
    </row>
    <row r="398">
      <c r="A398" s="16" t="inlineStr">
        <is>
          <t>KF-M04b-0087</t>
        </is>
      </c>
      <c r="B398" s="35" t="n">
        <v>478.2728581788985</v>
      </c>
      <c r="C398" s="35" t="n">
        <v>280.0728312820038</v>
      </c>
      <c r="D398" s="36" t="n">
        <v>3798.265736331154</v>
      </c>
      <c r="E398" s="35" t="n">
        <v>484.3009558692722</v>
      </c>
      <c r="F398" s="37" t="n">
        <v>0.7103621178553517</v>
      </c>
      <c r="G398" s="37" t="n">
        <v>0.8085979971322252</v>
      </c>
      <c r="H398" s="37" t="n">
        <v>0.8984531214839195</v>
      </c>
      <c r="I398" s="37" t="n">
        <v>0.8104311266658926</v>
      </c>
      <c r="J398" s="37" t="n">
        <v>0.7615126064431835</v>
      </c>
      <c r="K398" s="37" t="n">
        <v>0.8624057748393652</v>
      </c>
      <c r="L398" s="39" t="inlineStr">
        <is>
          <t>Corregible</t>
        </is>
      </c>
      <c r="M398" s="29" t="n">
        <v>14.74766099842948</v>
      </c>
      <c r="N398" s="35" t="n">
        <v>222.4828470021177</v>
      </c>
      <c r="O398" s="36" t="n">
        <v>3313.964780461882</v>
      </c>
      <c r="P398" s="29" t="n">
        <v>7.842779763904541</v>
      </c>
      <c r="Q398" s="16" t="inlineStr">
        <is>
          <t>sí</t>
        </is>
      </c>
      <c r="R398" s="16" t="inlineStr">
        <is>
          <t>O2</t>
        </is>
      </c>
    </row>
    <row r="399">
      <c r="A399" s="16" t="inlineStr">
        <is>
          <t>KF-M04b-0088</t>
        </is>
      </c>
      <c r="B399" s="35" t="n">
        <v>407.9983163338112</v>
      </c>
      <c r="C399" s="35" t="n">
        <v>301.1960532983114</v>
      </c>
      <c r="D399" s="36" t="n">
        <v>2697.190256342048</v>
      </c>
      <c r="E399" s="35" t="n">
        <v>335.2403095449289</v>
      </c>
      <c r="F399" s="37" t="n">
        <v>0.7295322469369863</v>
      </c>
      <c r="G399" s="37" t="n">
        <v>0.8978543870316863</v>
      </c>
      <c r="H399" s="37" t="n">
        <v>0.6986365150886138</v>
      </c>
      <c r="I399" s="37" t="n">
        <v>0.7415572491594445</v>
      </c>
      <c r="J399" s="37" t="n">
        <v>0.8791258017406656</v>
      </c>
      <c r="K399" s="37" t="n">
        <v>0.8201074197668631</v>
      </c>
      <c r="L399" s="40" t="inlineStr">
        <is>
          <t>Inviable</t>
        </is>
      </c>
      <c r="M399" s="29" t="n">
        <v>-18.47947815046222</v>
      </c>
      <c r="N399" s="35" t="n">
        <v>-42.75351224447255</v>
      </c>
      <c r="O399" s="36" t="n">
        <v>2361.949946797119</v>
      </c>
      <c r="P399" s="29" t="n">
        <v>8.045542792879955</v>
      </c>
      <c r="Q399" s="16" t="inlineStr">
        <is>
          <t>no</t>
        </is>
      </c>
      <c r="R399" s="16" t="inlineStr">
        <is>
          <t>O2,O3</t>
        </is>
      </c>
    </row>
    <row r="400">
      <c r="A400" s="16" t="inlineStr">
        <is>
          <t>KF-M04b-0089</t>
        </is>
      </c>
      <c r="B400" s="35" t="n">
        <v>419.0575760780754</v>
      </c>
      <c r="C400" s="35" t="n">
        <v>292.179482005938</v>
      </c>
      <c r="D400" s="36" t="n">
        <v>4870.948860030223</v>
      </c>
      <c r="E400" s="35" t="n">
        <v>1097.645709423847</v>
      </c>
      <c r="F400" s="37" t="n">
        <v>0.8010072842307044</v>
      </c>
      <c r="G400" s="37" t="n">
        <v>0.832693244230552</v>
      </c>
      <c r="H400" s="37" t="n">
        <v>0.8468451285759406</v>
      </c>
      <c r="I400" s="37" t="n">
        <v>0.8157019734176501</v>
      </c>
      <c r="J400" s="37" t="n">
        <v>0.7603129964823436</v>
      </c>
      <c r="K400" s="37" t="n">
        <v>0.8146955099518061</v>
      </c>
      <c r="L400" s="39" t="inlineStr">
        <is>
          <t>Corregible</t>
        </is>
      </c>
      <c r="M400" s="29" t="n">
        <v>12.3492965145229</v>
      </c>
      <c r="N400" s="35" t="n">
        <v>100.3463263297362</v>
      </c>
      <c r="O400" s="36" t="n">
        <v>3773.303150606375</v>
      </c>
      <c r="P400" s="29" t="n">
        <v>4.437633034239233</v>
      </c>
      <c r="Q400" s="16" t="inlineStr">
        <is>
          <t>no</t>
        </is>
      </c>
      <c r="R400" s="16" t="inlineStr">
        <is>
          <t>O2</t>
        </is>
      </c>
    </row>
    <row r="401">
      <c r="A401" s="16" t="inlineStr">
        <is>
          <t>KF-M04b-0090</t>
        </is>
      </c>
      <c r="B401" s="35" t="n">
        <v>400.1625888639119</v>
      </c>
      <c r="C401" s="35" t="n">
        <v>286.6812739384961</v>
      </c>
      <c r="D401" s="36" t="n">
        <v>3024.072191977454</v>
      </c>
      <c r="E401" s="35" t="n">
        <v>456.9459612600096</v>
      </c>
      <c r="F401" s="37" t="n">
        <v>0.6924649039388179</v>
      </c>
      <c r="G401" s="37" t="n">
        <v>0.8879437618144579</v>
      </c>
      <c r="H401" s="37" t="n">
        <v>0.8639665316604784</v>
      </c>
      <c r="I401" s="37" t="n">
        <v>0.8467783371463968</v>
      </c>
      <c r="J401" s="37" t="n">
        <v>0.6303990452502132</v>
      </c>
      <c r="K401" s="37" t="n">
        <v>0.7967511603833575</v>
      </c>
      <c r="L401" s="39" t="inlineStr">
        <is>
          <t>Corregible</t>
        </is>
      </c>
      <c r="M401" s="29" t="n">
        <v>13.96169565169683</v>
      </c>
      <c r="N401" s="35" t="n">
        <v>97.00517257981193</v>
      </c>
      <c r="O401" s="36" t="n">
        <v>2567.126230717445</v>
      </c>
      <c r="P401" s="29" t="n">
        <v>6.618008360635687</v>
      </c>
      <c r="Q401" s="16" t="inlineStr">
        <is>
          <t>no</t>
        </is>
      </c>
      <c r="R401" s="16" t="inlineStr">
        <is>
          <t>O2</t>
        </is>
      </c>
    </row>
    <row r="402">
      <c r="A402" s="16" t="inlineStr">
        <is>
          <t>KF-M04b-0091</t>
        </is>
      </c>
      <c r="B402" s="35" t="n">
        <v>415.6689041243427</v>
      </c>
      <c r="C402" s="35" t="n">
        <v>282.3699605989569</v>
      </c>
      <c r="D402" s="36" t="n">
        <v>4561.306855575673</v>
      </c>
      <c r="E402" s="35" t="n">
        <v>316.0336741003949</v>
      </c>
      <c r="F402" s="37" t="n">
        <v>0.6784930641611048</v>
      </c>
      <c r="G402" s="37" t="n">
        <v>0.785091362970163</v>
      </c>
      <c r="H402" s="37" t="n">
        <v>0.7222126919262202</v>
      </c>
      <c r="I402" s="37" t="n">
        <v>0.7116308154654483</v>
      </c>
      <c r="J402" s="37" t="n">
        <v>0.9031477857177058</v>
      </c>
      <c r="K402" s="37" t="n">
        <v>0.8096654631297596</v>
      </c>
      <c r="L402" s="39" t="inlineStr">
        <is>
          <t>Corregible</t>
        </is>
      </c>
      <c r="M402" s="29" t="n">
        <v>10.86549220231758</v>
      </c>
      <c r="N402" s="35" t="n">
        <v>47.20715001689467</v>
      </c>
      <c r="O402" s="36" t="n">
        <v>4245.273181475278</v>
      </c>
      <c r="P402" s="29" t="n">
        <v>14.43297733559454</v>
      </c>
      <c r="Q402" s="16" t="inlineStr">
        <is>
          <t>no</t>
        </is>
      </c>
      <c r="R402" s="16" t="inlineStr">
        <is>
          <t>O2</t>
        </is>
      </c>
    </row>
    <row r="403">
      <c r="A403" s="16" t="inlineStr">
        <is>
          <t>KF-M04b-0092</t>
        </is>
      </c>
      <c r="B403" s="35" t="n">
        <v>449.2116716338692</v>
      </c>
      <c r="C403" s="35" t="n">
        <v>302.253104949392</v>
      </c>
      <c r="D403" s="36" t="n">
        <v>3353.022928262066</v>
      </c>
      <c r="E403" s="35" t="n">
        <v>1497.185787006144</v>
      </c>
      <c r="F403" s="37" t="n">
        <v>0.680135051288416</v>
      </c>
      <c r="G403" s="37" t="n">
        <v>0.8070378910076541</v>
      </c>
      <c r="H403" s="37" t="n">
        <v>0.6950214249340421</v>
      </c>
      <c r="I403" s="37" t="n">
        <v>0.7003160784188321</v>
      </c>
      <c r="J403" s="37" t="n">
        <v>0.832700964107611</v>
      </c>
      <c r="K403" s="37" t="n">
        <v>0.784552655520484</v>
      </c>
      <c r="L403" s="39" t="inlineStr">
        <is>
          <t>Corregible</t>
        </is>
      </c>
      <c r="M403" s="29" t="n">
        <v>6.48133908337398</v>
      </c>
      <c r="N403" s="35" t="n">
        <v>64.3447165360289</v>
      </c>
      <c r="O403" s="36" t="n">
        <v>1855.837141255922</v>
      </c>
      <c r="P403" s="29" t="n">
        <v>2.239550333273572</v>
      </c>
      <c r="Q403" s="16" t="inlineStr">
        <is>
          <t>sí</t>
        </is>
      </c>
      <c r="R403" s="16" t="inlineStr">
        <is>
          <t>O2</t>
        </is>
      </c>
    </row>
    <row r="404">
      <c r="A404" s="16" t="inlineStr">
        <is>
          <t>KF-M04b-0093</t>
        </is>
      </c>
      <c r="B404" s="35" t="n">
        <v>386.9048793765245</v>
      </c>
      <c r="C404" s="35" t="n">
        <v>291.8934510054804</v>
      </c>
      <c r="D404" s="36" t="n">
        <v>3365.235697529324</v>
      </c>
      <c r="E404" s="35" t="n">
        <v>427.5523885560019</v>
      </c>
      <c r="F404" s="37" t="n">
        <v>0.6942143529667242</v>
      </c>
      <c r="G404" s="37" t="n">
        <v>0.781825379295336</v>
      </c>
      <c r="H404" s="37" t="n">
        <v>0.8831768871063563</v>
      </c>
      <c r="I404" s="37" t="n">
        <v>0.6160669473701579</v>
      </c>
      <c r="J404" s="37" t="n">
        <v>0.6106739430530115</v>
      </c>
      <c r="K404" s="37" t="n">
        <v>0.8434232271668114</v>
      </c>
      <c r="L404" s="39" t="inlineStr">
        <is>
          <t>Corregible</t>
        </is>
      </c>
      <c r="M404" s="29" t="n">
        <v>1.37992154862441</v>
      </c>
      <c r="N404" s="35" t="n">
        <v>3.930296132023889</v>
      </c>
      <c r="O404" s="36" t="n">
        <v>2937.683308973322</v>
      </c>
      <c r="P404" s="29" t="n">
        <v>7.870931814683423</v>
      </c>
      <c r="Q404" s="16" t="inlineStr">
        <is>
          <t>no</t>
        </is>
      </c>
      <c r="R404" s="16" t="inlineStr">
        <is>
          <t>O2</t>
        </is>
      </c>
    </row>
    <row r="405">
      <c r="A405" s="16" t="inlineStr">
        <is>
          <t>KF-M04b-0094</t>
        </is>
      </c>
      <c r="B405" s="35" t="n">
        <v>450.5012198582779</v>
      </c>
      <c r="C405" s="35" t="n">
        <v>278.4534624821488</v>
      </c>
      <c r="D405" s="36" t="n">
        <v>3916.991105548818</v>
      </c>
      <c r="E405" s="35" t="n">
        <v>1121.268866483308</v>
      </c>
      <c r="F405" s="37" t="n">
        <v>0.6753902741010486</v>
      </c>
      <c r="G405" s="37" t="n">
        <v>0.8142092382625209</v>
      </c>
      <c r="H405" s="37" t="n">
        <v>0.8059462589282519</v>
      </c>
      <c r="I405" s="37" t="n">
        <v>0.6123776019315232</v>
      </c>
      <c r="J405" s="37" t="n">
        <v>0.9047064151638324</v>
      </c>
      <c r="K405" s="37" t="n">
        <v>0.7487903758363119</v>
      </c>
      <c r="L405" s="39" t="inlineStr">
        <is>
          <t>Corregible</t>
        </is>
      </c>
      <c r="M405" s="29" t="n">
        <v>10.14099847071208</v>
      </c>
      <c r="N405" s="35" t="n">
        <v>82.65640884420614</v>
      </c>
      <c r="O405" s="36" t="n">
        <v>2795.72223906551</v>
      </c>
      <c r="P405" s="29" t="n">
        <v>3.493355806653113</v>
      </c>
      <c r="Q405" s="16" t="inlineStr">
        <is>
          <t>sí</t>
        </is>
      </c>
      <c r="R405" s="16" t="inlineStr">
        <is>
          <t>O2</t>
        </is>
      </c>
    </row>
    <row r="406">
      <c r="A406" s="16" t="inlineStr">
        <is>
          <t>KF-M04b-0095</t>
        </is>
      </c>
      <c r="B406" s="35" t="n">
        <v>445.9551351454318</v>
      </c>
      <c r="C406" s="35" t="n">
        <v>290.8582915635683</v>
      </c>
      <c r="D406" s="36" t="n">
        <v>3096.516701422712</v>
      </c>
      <c r="E406" s="35" t="n">
        <v>836.0583169465763</v>
      </c>
      <c r="F406" s="37" t="n">
        <v>0.8417745818831525</v>
      </c>
      <c r="G406" s="37" t="n">
        <v>0.7568089648862433</v>
      </c>
      <c r="H406" s="37" t="n">
        <v>0.6654198584019837</v>
      </c>
      <c r="I406" s="37" t="n">
        <v>0.8135772465087853</v>
      </c>
      <c r="J406" s="37" t="n">
        <v>0.6950588401514826</v>
      </c>
      <c r="K406" s="37" t="n">
        <v>0.7108686930128081</v>
      </c>
      <c r="L406" s="39" t="inlineStr">
        <is>
          <t>Corregible</t>
        </is>
      </c>
      <c r="M406" s="29" t="n">
        <v>7.61647152646332</v>
      </c>
      <c r="N406" s="35" t="n">
        <v>81.98360388788046</v>
      </c>
      <c r="O406" s="36" t="n">
        <v>2260.458384476136</v>
      </c>
      <c r="P406" s="29" t="n">
        <v>3.70370898615267</v>
      </c>
      <c r="Q406" s="16" t="inlineStr">
        <is>
          <t>no</t>
        </is>
      </c>
      <c r="R406" s="16" t="inlineStr">
        <is>
          <t>O2</t>
        </is>
      </c>
    </row>
    <row r="407">
      <c r="A407" s="16" t="inlineStr">
        <is>
          <t>KF-M04b-0096</t>
        </is>
      </c>
      <c r="B407" s="35" t="n">
        <v>467.9064229088403</v>
      </c>
      <c r="C407" s="35" t="n">
        <v>280.6309660159708</v>
      </c>
      <c r="D407" s="36" t="n">
        <v>3285.18414769873</v>
      </c>
      <c r="E407" s="35" t="n">
        <v>1416.577729466989</v>
      </c>
      <c r="F407" s="37" t="n">
        <v>0.7542819053606281</v>
      </c>
      <c r="G407" s="37" t="n">
        <v>0.835911673490296</v>
      </c>
      <c r="H407" s="37" t="n">
        <v>0.8265477648848218</v>
      </c>
      <c r="I407" s="37" t="n">
        <v>0.671247218762798</v>
      </c>
      <c r="J407" s="37" t="n">
        <v>0.6914812569250758</v>
      </c>
      <c r="K407" s="37" t="n">
        <v>0.9445697141857248</v>
      </c>
      <c r="L407" s="42" t="inlineStr">
        <is>
          <t>KALINA</t>
        </is>
      </c>
      <c r="M407" s="29" t="n">
        <v>6.62816327609575</v>
      </c>
      <c r="N407" s="35" t="n">
        <v>83.74607066128587</v>
      </c>
      <c r="O407" s="36" t="n">
        <v>1868.60641823174</v>
      </c>
      <c r="P407" s="29" t="n">
        <v>2.319099107208776</v>
      </c>
      <c r="Q407" s="16" t="inlineStr">
        <is>
          <t>no</t>
        </is>
      </c>
      <c r="R407" s="16" t="n"/>
    </row>
    <row r="408">
      <c r="A408" s="16" t="inlineStr">
        <is>
          <t>KF-M04b-0097</t>
        </is>
      </c>
      <c r="B408" s="35" t="n">
        <v>498.5612370224</v>
      </c>
      <c r="C408" s="35" t="n">
        <v>291.5153106300409</v>
      </c>
      <c r="D408" s="36" t="n">
        <v>2208.761743305652</v>
      </c>
      <c r="E408" s="35" t="n">
        <v>1291.336131119507</v>
      </c>
      <c r="F408" s="37" t="n">
        <v>0.7500168269709848</v>
      </c>
      <c r="G408" s="37" t="n">
        <v>0.7581116249023582</v>
      </c>
      <c r="H408" s="37" t="n">
        <v>0.6678651878242778</v>
      </c>
      <c r="I408" s="37" t="n">
        <v>0.7633088435707883</v>
      </c>
      <c r="J408" s="37" t="n">
        <v>0.8506937953155416</v>
      </c>
      <c r="K408" s="37" t="n">
        <v>0.8534287769134046</v>
      </c>
      <c r="L408" s="39" t="inlineStr">
        <is>
          <t>Corregible</t>
        </is>
      </c>
      <c r="M408" s="29" t="n">
        <v>4.037671188277741</v>
      </c>
      <c r="N408" s="35" t="n">
        <v>57.04084713853831</v>
      </c>
      <c r="O408" s="36" t="n">
        <v>917.4256121861451</v>
      </c>
      <c r="P408" s="29" t="n">
        <v>1.710446792339648</v>
      </c>
      <c r="Q408" s="16" t="inlineStr">
        <is>
          <t>sí</t>
        </is>
      </c>
      <c r="R408" s="16" t="inlineStr">
        <is>
          <t>O2</t>
        </is>
      </c>
    </row>
    <row r="409">
      <c r="A409" s="16" t="inlineStr">
        <is>
          <t>KF-M04b-0098</t>
        </is>
      </c>
      <c r="B409" s="35" t="n">
        <v>446.6667550602474</v>
      </c>
      <c r="C409" s="35" t="n">
        <v>279.2099799507258</v>
      </c>
      <c r="D409" s="36" t="n">
        <v>2009.945022568368</v>
      </c>
      <c r="E409" s="35" t="n">
        <v>1355.183594953652</v>
      </c>
      <c r="F409" s="37" t="n">
        <v>0.8000133677821495</v>
      </c>
      <c r="G409" s="37" t="n">
        <v>0.7772466123315993</v>
      </c>
      <c r="H409" s="37" t="n">
        <v>0.7435680679404917</v>
      </c>
      <c r="I409" s="37" t="n">
        <v>0.6784994382705437</v>
      </c>
      <c r="J409" s="37" t="n">
        <v>0.7733963891382478</v>
      </c>
      <c r="K409" s="37" t="n">
        <v>0.7246444661582973</v>
      </c>
      <c r="L409" s="39" t="inlineStr">
        <is>
          <t>Corregible</t>
        </is>
      </c>
      <c r="M409" s="29" t="n">
        <v>2.96554137304735</v>
      </c>
      <c r="N409" s="35" t="n">
        <v>30.86541502987599</v>
      </c>
      <c r="O409" s="36" t="n">
        <v>654.7614276147165</v>
      </c>
      <c r="P409" s="29" t="n">
        <v>1.483153301185814</v>
      </c>
      <c r="Q409" s="16" t="inlineStr">
        <is>
          <t>no</t>
        </is>
      </c>
      <c r="R409" s="16" t="inlineStr">
        <is>
          <t>O2</t>
        </is>
      </c>
    </row>
    <row r="410">
      <c r="A410" s="16" t="inlineStr">
        <is>
          <t>KF-M04b-0099</t>
        </is>
      </c>
      <c r="B410" s="35" t="n">
        <v>494.5958215151578</v>
      </c>
      <c r="C410" s="35" t="n">
        <v>295.3913503102026</v>
      </c>
      <c r="D410" s="36" t="n">
        <v>2729.135386954714</v>
      </c>
      <c r="E410" s="35" t="n">
        <v>1265.474895834942</v>
      </c>
      <c r="F410" s="37" t="n">
        <v>0.6169756021866475</v>
      </c>
      <c r="G410" s="37" t="n">
        <v>0.8032593096187928</v>
      </c>
      <c r="H410" s="37" t="n">
        <v>0.7636652344686509</v>
      </c>
      <c r="I410" s="37" t="n">
        <v>0.7553448219847697</v>
      </c>
      <c r="J410" s="37" t="n">
        <v>0.6793683081588561</v>
      </c>
      <c r="K410" s="37" t="n">
        <v>0.798766634714684</v>
      </c>
      <c r="L410" s="39" t="inlineStr">
        <is>
          <t>Corregible</t>
        </is>
      </c>
      <c r="M410" s="29" t="n">
        <v>5.57295445819397</v>
      </c>
      <c r="N410" s="35" t="n">
        <v>79.45010626157682</v>
      </c>
      <c r="O410" s="36" t="n">
        <v>1463.660491119772</v>
      </c>
      <c r="P410" s="29" t="n">
        <v>2.15660966166703</v>
      </c>
      <c r="Q410" s="16" t="inlineStr">
        <is>
          <t>sí</t>
        </is>
      </c>
      <c r="R410" s="16" t="inlineStr">
        <is>
          <t>O2</t>
        </is>
      </c>
    </row>
    <row r="411">
      <c r="A411" s="16" t="inlineStr">
        <is>
          <t>KF-M04b-0100</t>
        </is>
      </c>
      <c r="B411" s="35" t="n">
        <v>433.2266049115928</v>
      </c>
      <c r="C411" s="35" t="n">
        <v>286.4550954183983</v>
      </c>
      <c r="D411" s="36" t="n">
        <v>3156.258462888873</v>
      </c>
      <c r="E411" s="35" t="n">
        <v>707.9093181320513</v>
      </c>
      <c r="F411" s="37" t="n">
        <v>0.751041064249017</v>
      </c>
      <c r="G411" s="37" t="n">
        <v>0.8836729137903782</v>
      </c>
      <c r="H411" s="37" t="n">
        <v>0.8411279858215515</v>
      </c>
      <c r="I411" s="37" t="n">
        <v>0.8607370460784278</v>
      </c>
      <c r="J411" s="37" t="n">
        <v>0.710777780426184</v>
      </c>
      <c r="K411" s="37" t="n">
        <v>0.916178579036571</v>
      </c>
      <c r="L411" s="39" t="inlineStr">
        <is>
          <t>Corregible</t>
        </is>
      </c>
      <c r="M411" s="29" t="n">
        <v>12.5551025595041</v>
      </c>
      <c r="N411" s="35" t="n">
        <v>160.4742981569055</v>
      </c>
      <c r="O411" s="36" t="n">
        <v>2448.349144756821</v>
      </c>
      <c r="P411" s="29" t="n">
        <v>4.458563239734207</v>
      </c>
      <c r="Q411" s="16" t="inlineStr">
        <is>
          <t>sí</t>
        </is>
      </c>
      <c r="R411" s="16" t="inlineStr">
        <is>
          <t>O2</t>
        </is>
      </c>
    </row>
    <row r="412">
      <c r="A412" s="16" t="inlineStr">
        <is>
          <t>KF-M04b-0101</t>
        </is>
      </c>
      <c r="B412" s="35" t="n">
        <v>414.4588532165658</v>
      </c>
      <c r="C412" s="35" t="n">
        <v>287.798703250527</v>
      </c>
      <c r="D412" s="36" t="n">
        <v>3427.867964467935</v>
      </c>
      <c r="E412" s="35" t="n">
        <v>590.0386015408029</v>
      </c>
      <c r="F412" s="37" t="n">
        <v>0.6954847759489139</v>
      </c>
      <c r="G412" s="37" t="n">
        <v>0.7638541188535919</v>
      </c>
      <c r="H412" s="37" t="n">
        <v>0.6705585423130217</v>
      </c>
      <c r="I412" s="37" t="n">
        <v>0.7213358920786471</v>
      </c>
      <c r="J412" s="37" t="n">
        <v>0.7137878680369588</v>
      </c>
      <c r="K412" s="37" t="n">
        <v>0.7832096585571184</v>
      </c>
      <c r="L412" s="39" t="inlineStr">
        <is>
          <t>Corregible</t>
        </is>
      </c>
      <c r="M412" s="29" t="n">
        <v>11.07726137092725</v>
      </c>
      <c r="N412" s="35" t="n">
        <v>73.45031920742859</v>
      </c>
      <c r="O412" s="36" t="n">
        <v>2837.829362927132</v>
      </c>
      <c r="P412" s="29" t="n">
        <v>5.809565603871576</v>
      </c>
      <c r="Q412" s="16" t="inlineStr">
        <is>
          <t>no</t>
        </is>
      </c>
      <c r="R412" s="16" t="inlineStr">
        <is>
          <t>O2</t>
        </is>
      </c>
    </row>
    <row r="413">
      <c r="A413" s="16" t="inlineStr">
        <is>
          <t>KF-M04b-0102</t>
        </is>
      </c>
      <c r="B413" s="35" t="n">
        <v>469.3668764958962</v>
      </c>
      <c r="C413" s="35" t="n">
        <v>283.4692103529204</v>
      </c>
      <c r="D413" s="36" t="n">
        <v>3217.092069830782</v>
      </c>
      <c r="E413" s="35" t="n">
        <v>1484.624381464122</v>
      </c>
      <c r="F413" s="37" t="n">
        <v>0.5259258637170487</v>
      </c>
      <c r="G413" s="37" t="n">
        <v>0.856273944301967</v>
      </c>
      <c r="H413" s="37" t="n">
        <v>0.669277737235255</v>
      </c>
      <c r="I413" s="37" t="n">
        <v>0.9127088146949732</v>
      </c>
      <c r="J413" s="37" t="n">
        <v>0.8247041766247292</v>
      </c>
      <c r="K413" s="37" t="n">
        <v>0.7939744566804865</v>
      </c>
      <c r="L413" s="39" t="inlineStr">
        <is>
          <t>Corregible</t>
        </is>
      </c>
      <c r="M413" s="29" t="n">
        <v>6.07025342543677</v>
      </c>
      <c r="N413" s="35" t="n">
        <v>97.24100357429845</v>
      </c>
      <c r="O413" s="36" t="n">
        <v>1732.46768836666</v>
      </c>
      <c r="P413" s="29" t="n">
        <v>2.166940075885133</v>
      </c>
      <c r="Q413" s="16" t="inlineStr">
        <is>
          <t>sí</t>
        </is>
      </c>
      <c r="R413" s="16" t="inlineStr">
        <is>
          <t>O2</t>
        </is>
      </c>
    </row>
    <row r="414">
      <c r="A414" s="16" t="inlineStr">
        <is>
          <t>KF-M04b-0103</t>
        </is>
      </c>
      <c r="B414" s="35" t="n">
        <v>485.160460017911</v>
      </c>
      <c r="C414" s="35" t="n">
        <v>291.7779121502921</v>
      </c>
      <c r="D414" s="36" t="n">
        <v>4496.25364759389</v>
      </c>
      <c r="E414" s="35" t="n">
        <v>617.5000257816625</v>
      </c>
      <c r="F414" s="37" t="n">
        <v>0.7229295841407618</v>
      </c>
      <c r="G414" s="37" t="n">
        <v>0.8999398639510461</v>
      </c>
      <c r="H414" s="37" t="n">
        <v>0.8533291834371152</v>
      </c>
      <c r="I414" s="37" t="n">
        <v>0.7666542858778089</v>
      </c>
      <c r="J414" s="37" t="n">
        <v>0.7570606013232564</v>
      </c>
      <c r="K414" s="37" t="n">
        <v>0.8276470072186797</v>
      </c>
      <c r="L414" s="39" t="inlineStr">
        <is>
          <t>Corregible</t>
        </is>
      </c>
      <c r="M414" s="29" t="n">
        <v>16.41330760969738</v>
      </c>
      <c r="N414" s="35" t="n">
        <v>219.8464305695713</v>
      </c>
      <c r="O414" s="36" t="n">
        <v>3878.753621812227</v>
      </c>
      <c r="P414" s="29" t="n">
        <v>7.281382121243325</v>
      </c>
      <c r="Q414" s="16" t="inlineStr">
        <is>
          <t>sí</t>
        </is>
      </c>
      <c r="R414" s="16" t="inlineStr">
        <is>
          <t>O1,O2</t>
        </is>
      </c>
    </row>
    <row r="415">
      <c r="A415" s="16" t="inlineStr">
        <is>
          <t>KF-M04b-0104</t>
        </is>
      </c>
      <c r="B415" s="35" t="n">
        <v>385.506611595281</v>
      </c>
      <c r="C415" s="35" t="n">
        <v>283.2203811345309</v>
      </c>
      <c r="D415" s="36" t="n">
        <v>4309.779303910185</v>
      </c>
      <c r="E415" s="35" t="n">
        <v>847.1306823547823</v>
      </c>
      <c r="F415" s="37" t="n">
        <v>0.820532971897999</v>
      </c>
      <c r="G415" s="37" t="n">
        <v>0.8674336345679209</v>
      </c>
      <c r="H415" s="37" t="n">
        <v>0.7514032215432906</v>
      </c>
      <c r="I415" s="37" t="n">
        <v>0.8866696932537921</v>
      </c>
      <c r="J415" s="37" t="n">
        <v>0.6104363050279826</v>
      </c>
      <c r="K415" s="37" t="n">
        <v>0.8730123113240376</v>
      </c>
      <c r="L415" s="39" t="inlineStr">
        <is>
          <t>Corregible</t>
        </is>
      </c>
      <c r="M415" s="29" t="n">
        <v>11.81873722751104</v>
      </c>
      <c r="N415" s="35" t="n">
        <v>81.88467258940943</v>
      </c>
      <c r="O415" s="36" t="n">
        <v>3462.648621555403</v>
      </c>
      <c r="P415" s="29" t="n">
        <v>5.087502310659112</v>
      </c>
      <c r="Q415" s="16" t="inlineStr">
        <is>
          <t>no</t>
        </is>
      </c>
      <c r="R415" s="16" t="inlineStr">
        <is>
          <t>O2</t>
        </is>
      </c>
    </row>
    <row r="416">
      <c r="A416" s="16" t="inlineStr">
        <is>
          <t>KF-M04b-0105</t>
        </is>
      </c>
      <c r="B416" s="35" t="n">
        <v>381.1853008469528</v>
      </c>
      <c r="C416" s="35" t="n">
        <v>297.923755066241</v>
      </c>
      <c r="D416" s="36" t="n">
        <v>3689.007664233494</v>
      </c>
      <c r="E416" s="35" t="n">
        <v>1471.050689542086</v>
      </c>
      <c r="F416" s="37" t="n">
        <v>0.8262450145218985</v>
      </c>
      <c r="G416" s="37" t="n">
        <v>0.7940529658547778</v>
      </c>
      <c r="H416" s="37" t="n">
        <v>0.7135514768226028</v>
      </c>
      <c r="I416" s="37" t="n">
        <v>0.7757936004623284</v>
      </c>
      <c r="J416" s="37" t="n">
        <v>0.8996140209427816</v>
      </c>
      <c r="K416" s="37" t="n">
        <v>0.8643452763625558</v>
      </c>
      <c r="L416" s="42" t="inlineStr">
        <is>
          <t>KALINA</t>
        </is>
      </c>
      <c r="M416" s="29" t="n">
        <v>7.23423364975596</v>
      </c>
      <c r="N416" s="35" t="n">
        <v>42.50907507953578</v>
      </c>
      <c r="O416" s="36" t="n">
        <v>2217.956974691409</v>
      </c>
      <c r="P416" s="29" t="n">
        <v>2.507736606535171</v>
      </c>
      <c r="Q416" s="16" t="inlineStr">
        <is>
          <t>no</t>
        </is>
      </c>
      <c r="R416" s="16" t="n"/>
    </row>
    <row r="417">
      <c r="A417" s="16" t="inlineStr">
        <is>
          <t>KF-M04b-0106</t>
        </is>
      </c>
      <c r="B417" s="35" t="n">
        <v>490.0124337039715</v>
      </c>
      <c r="C417" s="35" t="n">
        <v>283.6142274484471</v>
      </c>
      <c r="D417" s="36" t="n">
        <v>2335.075359233134</v>
      </c>
      <c r="E417" s="35" t="n">
        <v>446.0033245334352</v>
      </c>
      <c r="F417" s="37" t="n">
        <v>0.5088543530336863</v>
      </c>
      <c r="G417" s="37" t="n">
        <v>0.872099703776322</v>
      </c>
      <c r="H417" s="37" t="n">
        <v>0.7305277501927775</v>
      </c>
      <c r="I417" s="37" t="n">
        <v>0.7502183295370528</v>
      </c>
      <c r="J417" s="37" t="n">
        <v>0.6662976269667381</v>
      </c>
      <c r="K417" s="37" t="n">
        <v>0.8767528344266583</v>
      </c>
      <c r="L417" s="39" t="inlineStr">
        <is>
          <t>Corregible</t>
        </is>
      </c>
      <c r="M417" s="29" t="n">
        <v>11.57932448627934</v>
      </c>
      <c r="N417" s="35" t="n">
        <v>189.2923922196569</v>
      </c>
      <c r="O417" s="36" t="n">
        <v>1889.072034699698</v>
      </c>
      <c r="P417" s="29" t="n">
        <v>5.235555949444682</v>
      </c>
      <c r="Q417" s="16" t="inlineStr">
        <is>
          <t>sí</t>
        </is>
      </c>
      <c r="R417" s="16" t="inlineStr">
        <is>
          <t>O2</t>
        </is>
      </c>
    </row>
    <row r="418">
      <c r="A418" s="16" t="inlineStr">
        <is>
          <t>KF-M04b-0107</t>
        </is>
      </c>
      <c r="B418" s="35" t="n">
        <v>480.66288017203</v>
      </c>
      <c r="C418" s="35" t="n">
        <v>292.4380831446747</v>
      </c>
      <c r="D418" s="36" t="n">
        <v>2467.483813818391</v>
      </c>
      <c r="E418" s="35" t="n">
        <v>598.0245144669302</v>
      </c>
      <c r="F418" s="37" t="n">
        <v>0.7628863645167488</v>
      </c>
      <c r="G418" s="37" t="n">
        <v>0.8227045815873542</v>
      </c>
      <c r="H418" s="37" t="n">
        <v>0.8926993746411245</v>
      </c>
      <c r="I418" s="37" t="n">
        <v>0.7091119085257297</v>
      </c>
      <c r="J418" s="37" t="n">
        <v>0.6125991459814322</v>
      </c>
      <c r="K418" s="37" t="n">
        <v>0.7936680921774106</v>
      </c>
      <c r="L418" s="39" t="inlineStr">
        <is>
          <t>Corregible</t>
        </is>
      </c>
      <c r="M418" s="29" t="n">
        <v>10.10850991179284</v>
      </c>
      <c r="N418" s="35" t="n">
        <v>114.3754219023398</v>
      </c>
      <c r="O418" s="36" t="n">
        <v>1869.459299351461</v>
      </c>
      <c r="P418" s="29" t="n">
        <v>4.126057969409277</v>
      </c>
      <c r="Q418" s="16" t="inlineStr">
        <is>
          <t>no</t>
        </is>
      </c>
      <c r="R418" s="16" t="inlineStr">
        <is>
          <t>O2</t>
        </is>
      </c>
    </row>
    <row r="419">
      <c r="A419" s="16" t="inlineStr">
        <is>
          <t>KF-M04b-0108</t>
        </is>
      </c>
      <c r="B419" s="35" t="n">
        <v>401.5517594424842</v>
      </c>
      <c r="C419" s="35" t="n">
        <v>289.2170699174372</v>
      </c>
      <c r="D419" s="36" t="n">
        <v>2144.421813663376</v>
      </c>
      <c r="E419" s="35" t="n">
        <v>1168.677196893584</v>
      </c>
      <c r="F419" s="37" t="n">
        <v>0.7610685373551318</v>
      </c>
      <c r="G419" s="37" t="n">
        <v>0.8799352144769895</v>
      </c>
      <c r="H419" s="37" t="n">
        <v>0.7043106566099354</v>
      </c>
      <c r="I419" s="37" t="n">
        <v>0.6204194884368299</v>
      </c>
      <c r="J419" s="37" t="n">
        <v>0.8217848724278437</v>
      </c>
      <c r="K419" s="37" t="n">
        <v>0.8484689094718818</v>
      </c>
      <c r="L419" s="39" t="inlineStr">
        <is>
          <t>Corregible</t>
        </is>
      </c>
      <c r="M419" s="29" t="n">
        <v>5.63429998437193</v>
      </c>
      <c r="N419" s="35" t="n">
        <v>40.6882044648904</v>
      </c>
      <c r="O419" s="36" t="n">
        <v>975.7446167697916</v>
      </c>
      <c r="P419" s="29" t="n">
        <v>1.834913712155402</v>
      </c>
      <c r="Q419" s="16" t="inlineStr">
        <is>
          <t>no</t>
        </is>
      </c>
      <c r="R419" s="16" t="inlineStr">
        <is>
          <t>O2</t>
        </is>
      </c>
    </row>
    <row r="420">
      <c r="A420" s="16" t="inlineStr">
        <is>
          <t>KF-M04b-0109</t>
        </is>
      </c>
      <c r="B420" s="35" t="n">
        <v>471.2402862097353</v>
      </c>
      <c r="C420" s="35" t="n">
        <v>278.7020317273727</v>
      </c>
      <c r="D420" s="36" t="n">
        <v>2074.152719983641</v>
      </c>
      <c r="E420" s="35" t="n">
        <v>796.5021289700808</v>
      </c>
      <c r="F420" s="37" t="n">
        <v>0.7657790318791866</v>
      </c>
      <c r="G420" s="37" t="n">
        <v>0.8392654632443868</v>
      </c>
      <c r="H420" s="37" t="n">
        <v>0.7406615599204225</v>
      </c>
      <c r="I420" s="37" t="n">
        <v>0.9172338991597812</v>
      </c>
      <c r="J420" s="37" t="n">
        <v>0.658322514397492</v>
      </c>
      <c r="K420" s="37" t="n">
        <v>0.9371065372542112</v>
      </c>
      <c r="L420" s="39" t="inlineStr">
        <is>
          <t>Corregible</t>
        </is>
      </c>
      <c r="M420" s="29" t="n">
        <v>7.58207104003501</v>
      </c>
      <c r="N420" s="35" t="n">
        <v>137.3679638596725</v>
      </c>
      <c r="O420" s="36" t="n">
        <v>1277.65059101356</v>
      </c>
      <c r="P420" s="29" t="n">
        <v>2.604076806003808</v>
      </c>
      <c r="Q420" s="16" t="inlineStr">
        <is>
          <t>sí</t>
        </is>
      </c>
      <c r="R420" s="16" t="inlineStr">
        <is>
          <t>O2</t>
        </is>
      </c>
    </row>
    <row r="421">
      <c r="A421" s="16" t="inlineStr">
        <is>
          <t>KF-M04b-0110</t>
        </is>
      </c>
      <c r="B421" s="35" t="n">
        <v>458.7367812279987</v>
      </c>
      <c r="C421" s="35" t="n">
        <v>288.1528612265759</v>
      </c>
      <c r="D421" s="36" t="n">
        <v>4546.896306309386</v>
      </c>
      <c r="E421" s="35" t="n">
        <v>1101.886053225254</v>
      </c>
      <c r="F421" s="37" t="n">
        <v>0.5708680726462138</v>
      </c>
      <c r="G421" s="37" t="n">
        <v>0.8319810597631834</v>
      </c>
      <c r="H421" s="37" t="n">
        <v>0.7603290109768819</v>
      </c>
      <c r="I421" s="37" t="n">
        <v>0.7967529916157912</v>
      </c>
      <c r="J421" s="37" t="n">
        <v>0.6631901678015635</v>
      </c>
      <c r="K421" s="37" t="n">
        <v>0.7647250490279613</v>
      </c>
      <c r="L421" s="39" t="inlineStr">
        <is>
          <t>Corregible</t>
        </is>
      </c>
      <c r="M421" s="29" t="n">
        <v>10.05316459202188</v>
      </c>
      <c r="N421" s="35" t="n">
        <v>89.37993428286059</v>
      </c>
      <c r="O421" s="36" t="n">
        <v>3445.010253084132</v>
      </c>
      <c r="P421" s="29" t="n">
        <v>4.126466881943446</v>
      </c>
      <c r="Q421" s="16" t="inlineStr">
        <is>
          <t>sí</t>
        </is>
      </c>
      <c r="R421" s="16" t="inlineStr">
        <is>
          <t>O2</t>
        </is>
      </c>
    </row>
    <row r="422">
      <c r="A422" s="16" t="inlineStr">
        <is>
          <t>KF-M04b-0111</t>
        </is>
      </c>
      <c r="B422" s="35" t="n">
        <v>476.1795308919696</v>
      </c>
      <c r="C422" s="35" t="n">
        <v>285.2593352659401</v>
      </c>
      <c r="D422" s="36" t="n">
        <v>4880.511873954973</v>
      </c>
      <c r="E422" s="35" t="n">
        <v>931.2105578590198</v>
      </c>
      <c r="F422" s="37" t="n">
        <v>0.7194128491740428</v>
      </c>
      <c r="G422" s="37" t="n">
        <v>0.8000353971750934</v>
      </c>
      <c r="H422" s="37" t="n">
        <v>0.7269785266900914</v>
      </c>
      <c r="I422" s="37" t="n">
        <v>0.8127024830454297</v>
      </c>
      <c r="J422" s="37" t="n">
        <v>0.8968071182383888</v>
      </c>
      <c r="K422" s="37" t="n">
        <v>0.7235374008051115</v>
      </c>
      <c r="L422" s="39" t="inlineStr">
        <is>
          <t>Corregible</t>
        </is>
      </c>
      <c r="M422" s="29" t="n">
        <v>11.45366082606002</v>
      </c>
      <c r="N422" s="35" t="n">
        <v>143.8750333103686</v>
      </c>
      <c r="O422" s="36" t="n">
        <v>3949.301316095954</v>
      </c>
      <c r="P422" s="29" t="n">
        <v>5.241040098574415</v>
      </c>
      <c r="Q422" s="16" t="inlineStr">
        <is>
          <t>sí</t>
        </is>
      </c>
      <c r="R422" s="16" t="inlineStr">
        <is>
          <t>O2</t>
        </is>
      </c>
    </row>
    <row r="423">
      <c r="A423" s="16" t="inlineStr">
        <is>
          <t>KF-M04b-0112</t>
        </is>
      </c>
      <c r="B423" s="35" t="n">
        <v>413.0811643320292</v>
      </c>
      <c r="C423" s="35" t="n">
        <v>286.3679002573763</v>
      </c>
      <c r="D423" s="36" t="n">
        <v>3324.631353875451</v>
      </c>
      <c r="E423" s="35" t="n">
        <v>462.3278134883942</v>
      </c>
      <c r="F423" s="37" t="n">
        <v>0.7124352162974701</v>
      </c>
      <c r="G423" s="37" t="n">
        <v>0.8954303811508364</v>
      </c>
      <c r="H423" s="37" t="n">
        <v>0.8171744165313952</v>
      </c>
      <c r="I423" s="37" t="n">
        <v>0.892691257118701</v>
      </c>
      <c r="J423" s="37" t="n">
        <v>0.6376482732559816</v>
      </c>
      <c r="K423" s="37" t="n">
        <v>0.716863006016589</v>
      </c>
      <c r="L423" s="39" t="inlineStr">
        <is>
          <t>Corregible</t>
        </is>
      </c>
      <c r="M423" s="29" t="n">
        <v>14.7028822025809</v>
      </c>
      <c r="N423" s="35" t="n">
        <v>116.3868250786346</v>
      </c>
      <c r="O423" s="36" t="n">
        <v>2862.303540387057</v>
      </c>
      <c r="P423" s="29" t="n">
        <v>7.191069316790973</v>
      </c>
      <c r="Q423" s="16" t="inlineStr">
        <is>
          <t>no</t>
        </is>
      </c>
      <c r="R423" s="16" t="inlineStr">
        <is>
          <t>O2</t>
        </is>
      </c>
    </row>
    <row r="424">
      <c r="A424" s="16" t="inlineStr">
        <is>
          <t>KF-M04b-0113</t>
        </is>
      </c>
      <c r="B424" s="35" t="n">
        <v>447.3910608006619</v>
      </c>
      <c r="C424" s="35" t="n">
        <v>299.7873441540284</v>
      </c>
      <c r="D424" s="36" t="n">
        <v>2794.216855374882</v>
      </c>
      <c r="E424" s="35" t="n">
        <v>1392.707347050828</v>
      </c>
      <c r="F424" s="37" t="n">
        <v>0.5906540524273338</v>
      </c>
      <c r="G424" s="37" t="n">
        <v>0.9032543554166924</v>
      </c>
      <c r="H424" s="37" t="n">
        <v>0.8628873414180532</v>
      </c>
      <c r="I424" s="37" t="n">
        <v>0.9483393081883889</v>
      </c>
      <c r="J424" s="37" t="n">
        <v>0.618607574869635</v>
      </c>
      <c r="K424" s="37" t="n">
        <v>0.8747194993501255</v>
      </c>
      <c r="L424" s="39" t="inlineStr">
        <is>
          <t>Corregible</t>
        </is>
      </c>
      <c r="M424" s="29" t="n">
        <v>5.8755607487094</v>
      </c>
      <c r="N424" s="35" t="n">
        <v>82.24902983540117</v>
      </c>
      <c r="O424" s="36" t="n">
        <v>1401.509508324054</v>
      </c>
      <c r="P424" s="29" t="n">
        <v>2.00632018010953</v>
      </c>
      <c r="Q424" s="16" t="inlineStr">
        <is>
          <t>sí</t>
        </is>
      </c>
      <c r="R424" s="16" t="inlineStr">
        <is>
          <t>O2</t>
        </is>
      </c>
    </row>
    <row r="425">
      <c r="A425" s="16" t="inlineStr">
        <is>
          <t>KF-M04b-0114</t>
        </is>
      </c>
      <c r="B425" s="35" t="n">
        <v>428.2820308092849</v>
      </c>
      <c r="C425" s="35" t="n">
        <v>299.9378047277405</v>
      </c>
      <c r="D425" s="36" t="n">
        <v>3271.965612358676</v>
      </c>
      <c r="E425" s="35" t="n">
        <v>696.7754287574105</v>
      </c>
      <c r="F425" s="37" t="n">
        <v>0.5579171586328854</v>
      </c>
      <c r="G425" s="37" t="n">
        <v>0.8410017263051179</v>
      </c>
      <c r="H425" s="37" t="n">
        <v>0.8006938116983078</v>
      </c>
      <c r="I425" s="37" t="n">
        <v>0.793195087679134</v>
      </c>
      <c r="J425" s="37" t="n">
        <v>0.8473938686458494</v>
      </c>
      <c r="K425" s="37" t="n">
        <v>0.8910475723507637</v>
      </c>
      <c r="L425" s="39" t="inlineStr">
        <is>
          <t>Corregible</t>
        </is>
      </c>
      <c r="M425" s="29" t="n">
        <v>11.04550866566379</v>
      </c>
      <c r="N425" s="35" t="n">
        <v>70.84250430709072</v>
      </c>
      <c r="O425" s="36" t="n">
        <v>2575.190183601266</v>
      </c>
      <c r="P425" s="29" t="n">
        <v>4.695868248674775</v>
      </c>
      <c r="Q425" s="16" t="inlineStr">
        <is>
          <t>no</t>
        </is>
      </c>
      <c r="R425" s="16" t="inlineStr">
        <is>
          <t>O2</t>
        </is>
      </c>
    </row>
    <row r="426">
      <c r="A426" s="16" t="inlineStr">
        <is>
          <t>KF-M04b-0115</t>
        </is>
      </c>
      <c r="B426" s="35" t="n">
        <v>384.4964786747848</v>
      </c>
      <c r="C426" s="35" t="n">
        <v>292.0646703581144</v>
      </c>
      <c r="D426" s="36" t="n">
        <v>3951.204720401021</v>
      </c>
      <c r="E426" s="35" t="n">
        <v>1054.159716556556</v>
      </c>
      <c r="F426" s="37" t="n">
        <v>0.6693032130591867</v>
      </c>
      <c r="G426" s="37" t="n">
        <v>0.9196877844293536</v>
      </c>
      <c r="H426" s="37" t="n">
        <v>0.7178384774827048</v>
      </c>
      <c r="I426" s="37" t="n">
        <v>0.7608436211558747</v>
      </c>
      <c r="J426" s="37" t="n">
        <v>0.6540585350453352</v>
      </c>
      <c r="K426" s="37" t="n">
        <v>0.8553130168508699</v>
      </c>
      <c r="L426" s="42" t="inlineStr">
        <is>
          <t>KALINA</t>
        </is>
      </c>
      <c r="M426" s="29" t="n">
        <v>5.05036030002508</v>
      </c>
      <c r="N426" s="35" t="n">
        <v>13.94270643128037</v>
      </c>
      <c r="O426" s="36" t="n">
        <v>2897.045003844465</v>
      </c>
      <c r="P426" s="29" t="n">
        <v>3.748203102759181</v>
      </c>
      <c r="Q426" s="16" t="inlineStr">
        <is>
          <t>no</t>
        </is>
      </c>
      <c r="R426" s="16" t="n"/>
    </row>
    <row r="427">
      <c r="A427" s="16" t="inlineStr">
        <is>
          <t>KF-M04b-0116</t>
        </is>
      </c>
      <c r="B427" s="35" t="n">
        <v>423.9028320344096</v>
      </c>
      <c r="C427" s="35" t="n">
        <v>302.8783985858868</v>
      </c>
      <c r="D427" s="36" t="n">
        <v>3849.269462423598</v>
      </c>
      <c r="E427" s="35" t="n">
        <v>1378.229478099102</v>
      </c>
      <c r="F427" s="37" t="n">
        <v>0.6603751820237814</v>
      </c>
      <c r="G427" s="37" t="n">
        <v>0.7868455399152438</v>
      </c>
      <c r="H427" s="37" t="n">
        <v>0.724683033106495</v>
      </c>
      <c r="I427" s="37" t="n">
        <v>0.817923176653802</v>
      </c>
      <c r="J427" s="37" t="n">
        <v>0.6684899008544534</v>
      </c>
      <c r="K427" s="37" t="n">
        <v>0.7326602063180386</v>
      </c>
      <c r="L427" s="39" t="inlineStr">
        <is>
          <t>Corregible</t>
        </is>
      </c>
      <c r="M427" s="29" t="n">
        <v>7.531932452527281</v>
      </c>
      <c r="N427" s="35" t="n">
        <v>50.77612904890983</v>
      </c>
      <c r="O427" s="36" t="n">
        <v>2471.039984324497</v>
      </c>
      <c r="P427" s="29" t="n">
        <v>2.792908962978091</v>
      </c>
      <c r="Q427" s="16" t="inlineStr">
        <is>
          <t>no</t>
        </is>
      </c>
      <c r="R427" s="16" t="inlineStr">
        <is>
          <t>O2</t>
        </is>
      </c>
    </row>
    <row r="428">
      <c r="A428" s="16" t="inlineStr">
        <is>
          <t>KF-M04b-0117</t>
        </is>
      </c>
      <c r="B428" s="35" t="n">
        <v>444.7006795381559</v>
      </c>
      <c r="C428" s="35" t="n">
        <v>281.7159179480975</v>
      </c>
      <c r="D428" s="36" t="n">
        <v>2291.88531207738</v>
      </c>
      <c r="E428" s="35" t="n">
        <v>603.390956393714</v>
      </c>
      <c r="F428" s="37" t="n">
        <v>0.7573819194695458</v>
      </c>
      <c r="G428" s="37" t="n">
        <v>0.9008903751347658</v>
      </c>
      <c r="H428" s="37" t="n">
        <v>0.778913177023184</v>
      </c>
      <c r="I428" s="37" t="n">
        <v>0.6049528769732034</v>
      </c>
      <c r="J428" s="37" t="n">
        <v>0.8176159131726881</v>
      </c>
      <c r="K428" s="37" t="n">
        <v>0.7558302369965181</v>
      </c>
      <c r="L428" s="39" t="inlineStr">
        <is>
          <t>Corregible</t>
        </is>
      </c>
      <c r="M428" s="29" t="n">
        <v>11.2136674886957</v>
      </c>
      <c r="N428" s="35" t="n">
        <v>111.2767523482597</v>
      </c>
      <c r="O428" s="36" t="n">
        <v>1688.494355683666</v>
      </c>
      <c r="P428" s="29" t="n">
        <v>3.79834216570843</v>
      </c>
      <c r="Q428" s="16" t="inlineStr">
        <is>
          <t>no</t>
        </is>
      </c>
      <c r="R428" s="16" t="inlineStr">
        <is>
          <t>O2</t>
        </is>
      </c>
    </row>
    <row r="429">
      <c r="A429" s="16" t="inlineStr">
        <is>
          <t>KF-M04b-0118</t>
        </is>
      </c>
      <c r="B429" s="35" t="n">
        <v>386.2300433123273</v>
      </c>
      <c r="C429" s="35" t="n">
        <v>290.3162731740514</v>
      </c>
      <c r="D429" s="36" t="n">
        <v>3930.850673891649</v>
      </c>
      <c r="E429" s="35" t="n">
        <v>1196.501615209263</v>
      </c>
      <c r="F429" s="37" t="n">
        <v>0.6005104564195433</v>
      </c>
      <c r="G429" s="37" t="n">
        <v>0.8249133497407433</v>
      </c>
      <c r="H429" s="37" t="n">
        <v>0.8415551333358767</v>
      </c>
      <c r="I429" s="37" t="n">
        <v>0.9262064959153952</v>
      </c>
      <c r="J429" s="37" t="n">
        <v>0.7231551580951874</v>
      </c>
      <c r="K429" s="37" t="n">
        <v>0.884063225307865</v>
      </c>
      <c r="L429" s="40" t="inlineStr">
        <is>
          <t>Inviable</t>
        </is>
      </c>
      <c r="M429" s="29" t="n">
        <v>-0.09789017579141999</v>
      </c>
      <c r="N429" s="35" t="n">
        <v>-0.1573622203802798</v>
      </c>
      <c r="O429" s="36" t="n">
        <v>2734.349058682387</v>
      </c>
      <c r="P429" s="29" t="n">
        <v>3.285286558684805</v>
      </c>
      <c r="Q429" s="16" t="inlineStr">
        <is>
          <t>no</t>
        </is>
      </c>
      <c r="R429" s="16" t="inlineStr">
        <is>
          <t>O3</t>
        </is>
      </c>
    </row>
    <row r="430">
      <c r="A430" s="16" t="inlineStr">
        <is>
          <t>KF-M04b-0119</t>
        </is>
      </c>
      <c r="B430" s="35" t="n">
        <v>425.7172919638367</v>
      </c>
      <c r="C430" s="35" t="n">
        <v>295.8786318967264</v>
      </c>
      <c r="D430" s="36" t="n">
        <v>2605.823829002298</v>
      </c>
      <c r="E430" s="35" t="n">
        <v>1106.339020625116</v>
      </c>
      <c r="F430" s="37" t="n">
        <v>0.5270709573032775</v>
      </c>
      <c r="G430" s="37" t="n">
        <v>0.8936129206783534</v>
      </c>
      <c r="H430" s="37" t="n">
        <v>0.8344075892619361</v>
      </c>
      <c r="I430" s="37" t="n">
        <v>0.7685140722635736</v>
      </c>
      <c r="J430" s="37" t="n">
        <v>0.7321160886208897</v>
      </c>
      <c r="K430" s="37" t="n">
        <v>0.9037052352610652</v>
      </c>
      <c r="L430" s="42" t="inlineStr">
        <is>
          <t>KALINA</t>
        </is>
      </c>
      <c r="M430" s="29" t="n">
        <v>6.21787613688492</v>
      </c>
      <c r="N430" s="35" t="n">
        <v>43.13218002750435</v>
      </c>
      <c r="O430" s="36" t="n">
        <v>1499.484808377182</v>
      </c>
      <c r="P430" s="29" t="n">
        <v>2.355357426993695</v>
      </c>
      <c r="Q430" s="16" t="inlineStr">
        <is>
          <t>no</t>
        </is>
      </c>
      <c r="R430" s="16" t="n"/>
    </row>
    <row r="431">
      <c r="A431" s="16" t="inlineStr">
        <is>
          <t>KF-M04b-0120</t>
        </is>
      </c>
      <c r="B431" s="35" t="n">
        <v>466.4678099528163</v>
      </c>
      <c r="C431" s="35" t="n">
        <v>289.3370599310383</v>
      </c>
      <c r="D431" s="36" t="n">
        <v>3008.39687386971</v>
      </c>
      <c r="E431" s="35" t="n">
        <v>584.5897694887155</v>
      </c>
      <c r="F431" s="37" t="n">
        <v>0.5313551559088309</v>
      </c>
      <c r="G431" s="37" t="n">
        <v>0.8050644314702962</v>
      </c>
      <c r="H431" s="37" t="n">
        <v>0.8652385775493403</v>
      </c>
      <c r="I431" s="37" t="n">
        <v>0.9282951818224288</v>
      </c>
      <c r="J431" s="37" t="n">
        <v>0.7590563129650527</v>
      </c>
      <c r="K431" s="37" t="n">
        <v>0.7533155487201376</v>
      </c>
      <c r="L431" s="39" t="inlineStr">
        <is>
          <t>Corregible</t>
        </is>
      </c>
      <c r="M431" s="29" t="n">
        <v>10.52318894677323</v>
      </c>
      <c r="N431" s="35" t="n">
        <v>163.7245978492193</v>
      </c>
      <c r="O431" s="36" t="n">
        <v>2423.807104380995</v>
      </c>
      <c r="P431" s="29" t="n">
        <v>5.146167502214187</v>
      </c>
      <c r="Q431" s="16" t="inlineStr">
        <is>
          <t>sí</t>
        </is>
      </c>
      <c r="R431" s="16" t="inlineStr">
        <is>
          <t>O2</t>
        </is>
      </c>
    </row>
    <row r="432">
      <c r="A432" s="16" t="inlineStr">
        <is>
          <t>KF-M04b-0121</t>
        </is>
      </c>
      <c r="B432" s="35" t="n">
        <v>382.887652217981</v>
      </c>
      <c r="C432" s="35" t="n">
        <v>298.0065762193073</v>
      </c>
      <c r="D432" s="36" t="n">
        <v>3114.796381615248</v>
      </c>
      <c r="E432" s="35" t="n">
        <v>720.7462036669335</v>
      </c>
      <c r="F432" s="37" t="n">
        <v>0.7433506982819971</v>
      </c>
      <c r="G432" s="37" t="n">
        <v>0.8870599282371275</v>
      </c>
      <c r="H432" s="37" t="n">
        <v>0.6714607577355217</v>
      </c>
      <c r="I432" s="37" t="n">
        <v>0.897997396200822</v>
      </c>
      <c r="J432" s="37" t="n">
        <v>0.6016718962259631</v>
      </c>
      <c r="K432" s="37" t="n">
        <v>0.9359217060211952</v>
      </c>
      <c r="L432" s="39" t="inlineStr">
        <is>
          <t>Corregible</t>
        </is>
      </c>
      <c r="M432" s="29" t="n">
        <v>11.09469229467476</v>
      </c>
      <c r="N432" s="35" t="n">
        <v>74.37882660912594</v>
      </c>
      <c r="O432" s="36" t="n">
        <v>2394.050177948314</v>
      </c>
      <c r="P432" s="29" t="n">
        <v>4.321627177178497</v>
      </c>
      <c r="Q432" s="16" t="inlineStr">
        <is>
          <t>no</t>
        </is>
      </c>
      <c r="R432" s="16" t="inlineStr">
        <is>
          <t>O2</t>
        </is>
      </c>
    </row>
    <row r="433">
      <c r="A433" s="16" t="inlineStr">
        <is>
          <t>KF-M04b-0122</t>
        </is>
      </c>
      <c r="B433" s="35" t="n">
        <v>460.6563986279427</v>
      </c>
      <c r="C433" s="35" t="n">
        <v>300.2145317383062</v>
      </c>
      <c r="D433" s="36" t="n">
        <v>3678.498952336176</v>
      </c>
      <c r="E433" s="35" t="n">
        <v>304.7409728147116</v>
      </c>
      <c r="F433" s="37" t="n">
        <v>0.8034514552191677</v>
      </c>
      <c r="G433" s="37" t="n">
        <v>0.7928337917888775</v>
      </c>
      <c r="H433" s="37" t="n">
        <v>0.6557201480422924</v>
      </c>
      <c r="I433" s="37" t="n">
        <v>0.6409161486542848</v>
      </c>
      <c r="J433" s="37" t="n">
        <v>0.6142607063435223</v>
      </c>
      <c r="K433" s="37" t="n">
        <v>0.7564953608794273</v>
      </c>
      <c r="L433" s="40" t="inlineStr">
        <is>
          <t>Inviable</t>
        </is>
      </c>
      <c r="M433" s="29" t="n">
        <v>-43.68702579526239</v>
      </c>
      <c r="N433" s="35" t="n">
        <v>-131.736596386359</v>
      </c>
      <c r="O433" s="36" t="n">
        <v>3373.757979521464</v>
      </c>
      <c r="P433" s="29" t="n">
        <v>12.07090375265283</v>
      </c>
      <c r="Q433" s="16" t="inlineStr">
        <is>
          <t>sí</t>
        </is>
      </c>
      <c r="R433" s="16" t="inlineStr">
        <is>
          <t>O2,O3</t>
        </is>
      </c>
    </row>
    <row r="434">
      <c r="A434" s="16" t="inlineStr">
        <is>
          <t>KF-M04b-0123</t>
        </is>
      </c>
      <c r="B434" s="35" t="n">
        <v>466.1481646683824</v>
      </c>
      <c r="C434" s="35" t="n">
        <v>300.6851498109261</v>
      </c>
      <c r="D434" s="36" t="n">
        <v>3454.160964197272</v>
      </c>
      <c r="E434" s="35" t="n">
        <v>306.8591841578382</v>
      </c>
      <c r="F434" s="37" t="n">
        <v>0.8487947732025092</v>
      </c>
      <c r="G434" s="37" t="n">
        <v>0.81163997553078</v>
      </c>
      <c r="H434" s="37" t="n">
        <v>0.8276213674371564</v>
      </c>
      <c r="I434" s="37" t="n">
        <v>0.6313090123679227</v>
      </c>
      <c r="J434" s="37" t="n">
        <v>0.7134697306384616</v>
      </c>
      <c r="K434" s="37" t="n">
        <v>0.7979667004188964</v>
      </c>
      <c r="L434" s="40" t="inlineStr">
        <is>
          <t>Inviable</t>
        </is>
      </c>
      <c r="M434" s="29" t="n">
        <v>-21.4305535038159</v>
      </c>
      <c r="N434" s="35" t="n">
        <v>-59.5663578856728</v>
      </c>
      <c r="O434" s="36" t="n">
        <v>3147.301780039434</v>
      </c>
      <c r="P434" s="29" t="n">
        <v>11.25650181752607</v>
      </c>
      <c r="Q434" s="16" t="inlineStr">
        <is>
          <t>sí</t>
        </is>
      </c>
      <c r="R434" s="16" t="inlineStr">
        <is>
          <t>O2,O3</t>
        </is>
      </c>
    </row>
    <row r="435">
      <c r="A435" s="16" t="inlineStr">
        <is>
          <t>KF-M04b-0124</t>
        </is>
      </c>
      <c r="B435" s="35" t="n">
        <v>412.3293645723653</v>
      </c>
      <c r="C435" s="35" t="n">
        <v>292.7928126831931</v>
      </c>
      <c r="D435" s="36" t="n">
        <v>3497.91214283354</v>
      </c>
      <c r="E435" s="35" t="n">
        <v>719.4114652340807</v>
      </c>
      <c r="F435" s="37" t="n">
        <v>0.7344085608734882</v>
      </c>
      <c r="G435" s="37" t="n">
        <v>0.917359756430238</v>
      </c>
      <c r="H435" s="37" t="n">
        <v>0.6602593480267952</v>
      </c>
      <c r="I435" s="37" t="n">
        <v>0.6727284696212996</v>
      </c>
      <c r="J435" s="37" t="n">
        <v>0.7199935273701052</v>
      </c>
      <c r="K435" s="37" t="n">
        <v>0.7693579159774731</v>
      </c>
      <c r="L435" s="39" t="inlineStr">
        <is>
          <t>Corregible</t>
        </is>
      </c>
      <c r="M435" s="29" t="n">
        <v>12.73507403255714</v>
      </c>
      <c r="N435" s="35" t="n">
        <v>81.12645933603747</v>
      </c>
      <c r="O435" s="36" t="n">
        <v>2778.500677599459</v>
      </c>
      <c r="P435" s="29" t="n">
        <v>4.862185705777425</v>
      </c>
      <c r="Q435" s="16" t="inlineStr">
        <is>
          <t>no</t>
        </is>
      </c>
      <c r="R435" s="16" t="inlineStr">
        <is>
          <t>O2</t>
        </is>
      </c>
    </row>
    <row r="436">
      <c r="A436" s="16" t="inlineStr">
        <is>
          <t>KF-M04b-0125</t>
        </is>
      </c>
      <c r="B436" s="35" t="n">
        <v>405.6643014526023</v>
      </c>
      <c r="C436" s="35" t="n">
        <v>297.4410811092943</v>
      </c>
      <c r="D436" s="36" t="n">
        <v>4339.780615708146</v>
      </c>
      <c r="E436" s="35" t="n">
        <v>812.7815424286804</v>
      </c>
      <c r="F436" s="37" t="n">
        <v>0.5464488505560433</v>
      </c>
      <c r="G436" s="37" t="n">
        <v>0.8762078894439458</v>
      </c>
      <c r="H436" s="37" t="n">
        <v>0.7997722715562134</v>
      </c>
      <c r="I436" s="37" t="n">
        <v>0.8686208830789779</v>
      </c>
      <c r="J436" s="37" t="n">
        <v>0.8302833016272144</v>
      </c>
      <c r="K436" s="37" t="n">
        <v>0.8515847403112115</v>
      </c>
      <c r="L436" s="42" t="inlineStr">
        <is>
          <t>KALINA</t>
        </is>
      </c>
      <c r="M436" s="29" t="n">
        <v>5.37524351723227</v>
      </c>
      <c r="N436" s="35" t="n">
        <v>10.0669531938959</v>
      </c>
      <c r="O436" s="36" t="n">
        <v>3526.999073279465</v>
      </c>
      <c r="P436" s="29" t="n">
        <v>5.339418268210675</v>
      </c>
      <c r="Q436" s="16" t="inlineStr">
        <is>
          <t>no</t>
        </is>
      </c>
      <c r="R436" s="16" t="n"/>
    </row>
    <row r="437">
      <c r="A437" s="16" t="inlineStr">
        <is>
          <t>KF-M04b-0126</t>
        </is>
      </c>
      <c r="B437" s="35" t="n">
        <v>421.8416995824393</v>
      </c>
      <c r="C437" s="35" t="n">
        <v>293.7744252658779</v>
      </c>
      <c r="D437" s="36" t="n">
        <v>2796.923069702998</v>
      </c>
      <c r="E437" s="35" t="n">
        <v>1430.554715675412</v>
      </c>
      <c r="F437" s="37" t="n">
        <v>0.7668414548430469</v>
      </c>
      <c r="G437" s="37" t="n">
        <v>0.8455598990054338</v>
      </c>
      <c r="H437" s="37" t="n">
        <v>0.8988577009576548</v>
      </c>
      <c r="I437" s="37" t="n">
        <v>0.9379717636462844</v>
      </c>
      <c r="J437" s="37" t="n">
        <v>0.6768123789298572</v>
      </c>
      <c r="K437" s="37" t="n">
        <v>0.7476694716933316</v>
      </c>
      <c r="L437" s="39" t="inlineStr">
        <is>
          <t>Corregible</t>
        </is>
      </c>
      <c r="M437" s="29" t="n">
        <v>5.81879455420487</v>
      </c>
      <c r="N437" s="35" t="n">
        <v>62.56618765971032</v>
      </c>
      <c r="O437" s="36" t="n">
        <v>1366.368354027586</v>
      </c>
      <c r="P437" s="29" t="n">
        <v>1.955131837360361</v>
      </c>
      <c r="Q437" s="16" t="inlineStr">
        <is>
          <t>no</t>
        </is>
      </c>
      <c r="R437" s="16" t="inlineStr">
        <is>
          <t>O2</t>
        </is>
      </c>
    </row>
    <row r="438">
      <c r="A438" s="16" t="inlineStr">
        <is>
          <t>KF-M04b-0127</t>
        </is>
      </c>
      <c r="B438" s="35" t="n">
        <v>402.6646742529997</v>
      </c>
      <c r="C438" s="35" t="n">
        <v>302.3115145365658</v>
      </c>
      <c r="D438" s="36" t="n">
        <v>3316.463893999092</v>
      </c>
      <c r="E438" s="35" t="n">
        <v>609.9167989462223</v>
      </c>
      <c r="F438" s="37" t="n">
        <v>0.5993789899268172</v>
      </c>
      <c r="G438" s="37" t="n">
        <v>0.8635783403754168</v>
      </c>
      <c r="H438" s="37" t="n">
        <v>0.700590095907215</v>
      </c>
      <c r="I438" s="37" t="n">
        <v>0.6361714007664226</v>
      </c>
      <c r="J438" s="37" t="n">
        <v>0.6443979835417516</v>
      </c>
      <c r="K438" s="37" t="n">
        <v>0.8231439675578825</v>
      </c>
      <c r="L438" s="39" t="inlineStr">
        <is>
          <t>Corregible</t>
        </is>
      </c>
      <c r="M438" s="29" t="n">
        <v>9.12436104734317</v>
      </c>
      <c r="N438" s="35" t="n">
        <v>33.61795924123813</v>
      </c>
      <c r="O438" s="36" t="n">
        <v>2706.54709505287</v>
      </c>
      <c r="P438" s="29" t="n">
        <v>5.437567713709607</v>
      </c>
      <c r="Q438" s="16" t="inlineStr">
        <is>
          <t>no</t>
        </is>
      </c>
      <c r="R438" s="16" t="inlineStr">
        <is>
          <t>O2</t>
        </is>
      </c>
    </row>
    <row r="439">
      <c r="A439" s="16" t="inlineStr">
        <is>
          <t>KF-M04b-0128</t>
        </is>
      </c>
      <c r="B439" s="35" t="n">
        <v>427.2218495497027</v>
      </c>
      <c r="C439" s="35" t="n">
        <v>303.0263755842036</v>
      </c>
      <c r="D439" s="36" t="n">
        <v>4232.314608314509</v>
      </c>
      <c r="E439" s="35" t="n">
        <v>726.4676953034264</v>
      </c>
      <c r="F439" s="37" t="n">
        <v>0.5232072908744213</v>
      </c>
      <c r="G439" s="37" t="n">
        <v>0.7726459080861668</v>
      </c>
      <c r="H439" s="37" t="n">
        <v>0.696915940067623</v>
      </c>
      <c r="I439" s="37" t="n">
        <v>0.7261764410713251</v>
      </c>
      <c r="J439" s="37" t="n">
        <v>0.7176622362298737</v>
      </c>
      <c r="K439" s="37" t="n">
        <v>0.8079934348583029</v>
      </c>
      <c r="L439" s="39" t="inlineStr">
        <is>
          <t>Corregible</t>
        </is>
      </c>
      <c r="M439" s="29" t="n">
        <v>7.916216265992319</v>
      </c>
      <c r="N439" s="35" t="n">
        <v>30.19114980496716</v>
      </c>
      <c r="O439" s="36" t="n">
        <v>3505.846913011083</v>
      </c>
      <c r="P439" s="29" t="n">
        <v>5.825881364961154</v>
      </c>
      <c r="Q439" s="16" t="inlineStr">
        <is>
          <t>no</t>
        </is>
      </c>
      <c r="R439" s="16" t="inlineStr">
        <is>
          <t>O2</t>
        </is>
      </c>
    </row>
    <row r="440">
      <c r="A440" s="16" t="inlineStr">
        <is>
          <t>KF-M04b-0129</t>
        </is>
      </c>
      <c r="B440" s="35" t="n">
        <v>399.0418892971064</v>
      </c>
      <c r="C440" s="35" t="n">
        <v>284.1450022215211</v>
      </c>
      <c r="D440" s="36" t="n">
        <v>3253.987855848156</v>
      </c>
      <c r="E440" s="35" t="n">
        <v>681.0684880043149</v>
      </c>
      <c r="F440" s="37" t="n">
        <v>0.5604901812649742</v>
      </c>
      <c r="G440" s="37" t="n">
        <v>0.750357913451607</v>
      </c>
      <c r="H440" s="37" t="n">
        <v>0.6864804689296488</v>
      </c>
      <c r="I440" s="37" t="n">
        <v>0.7745714917728773</v>
      </c>
      <c r="J440" s="37" t="n">
        <v>0.7752877578132431</v>
      </c>
      <c r="K440" s="37" t="n">
        <v>0.8396209768631442</v>
      </c>
      <c r="L440" s="42" t="inlineStr">
        <is>
          <t>KALINA</t>
        </is>
      </c>
      <c r="M440" s="29" t="n">
        <v>6.820055969511631</v>
      </c>
      <c r="N440" s="35" t="n">
        <v>22.90317982620644</v>
      </c>
      <c r="O440" s="36" t="n">
        <v>2572.919367843841</v>
      </c>
      <c r="P440" s="29" t="n">
        <v>4.777768922158003</v>
      </c>
      <c r="Q440" s="16" t="inlineStr">
        <is>
          <t>no</t>
        </is>
      </c>
      <c r="R440" s="16" t="n"/>
    </row>
    <row r="441">
      <c r="A441" s="16" t="inlineStr">
        <is>
          <t>KF-M04b-0130</t>
        </is>
      </c>
      <c r="B441" s="35" t="n">
        <v>472.0476014288096</v>
      </c>
      <c r="C441" s="35" t="n">
        <v>286.9887461128228</v>
      </c>
      <c r="D441" s="36" t="n">
        <v>2189.372121129089</v>
      </c>
      <c r="E441" s="35" t="n">
        <v>957.061608112662</v>
      </c>
      <c r="F441" s="37" t="n">
        <v>0.8408438085006995</v>
      </c>
      <c r="G441" s="37" t="n">
        <v>0.8087298190401095</v>
      </c>
      <c r="H441" s="37" t="n">
        <v>0.732949740087284</v>
      </c>
      <c r="I441" s="37" t="n">
        <v>0.8291915328050707</v>
      </c>
      <c r="J441" s="37" t="n">
        <v>0.7077684973617208</v>
      </c>
      <c r="K441" s="37" t="n">
        <v>0.7745962050924681</v>
      </c>
      <c r="L441" s="39" t="inlineStr">
        <is>
          <t>Corregible</t>
        </is>
      </c>
      <c r="M441" s="29" t="n">
        <v>6.25877590040448</v>
      </c>
      <c r="N441" s="35" t="n">
        <v>79.90199545879311</v>
      </c>
      <c r="O441" s="36" t="n">
        <v>1232.310513016427</v>
      </c>
      <c r="P441" s="29" t="n">
        <v>2.287597896071246</v>
      </c>
      <c r="Q441" s="16" t="inlineStr">
        <is>
          <t>no</t>
        </is>
      </c>
      <c r="R441" s="16" t="inlineStr">
        <is>
          <t>O2</t>
        </is>
      </c>
    </row>
    <row r="442">
      <c r="A442" s="16" t="inlineStr">
        <is>
          <t>KF-M04b-0131</t>
        </is>
      </c>
      <c r="B442" s="35" t="n">
        <v>497.1546164151805</v>
      </c>
      <c r="C442" s="35" t="n">
        <v>285.3798209286568</v>
      </c>
      <c r="D442" s="36" t="n">
        <v>2909.835972035908</v>
      </c>
      <c r="E442" s="35" t="n">
        <v>1288.825449537628</v>
      </c>
      <c r="F442" s="37" t="n">
        <v>0.6526207901994187</v>
      </c>
      <c r="G442" s="37" t="n">
        <v>0.8189319041783818</v>
      </c>
      <c r="H442" s="37" t="n">
        <v>0.7170517075918783</v>
      </c>
      <c r="I442" s="37" t="n">
        <v>0.7131261616600701</v>
      </c>
      <c r="J442" s="37" t="n">
        <v>0.8283661397377849</v>
      </c>
      <c r="K442" s="37" t="n">
        <v>0.8680009751877988</v>
      </c>
      <c r="L442" s="39" t="inlineStr">
        <is>
          <t>Corregible</t>
        </is>
      </c>
      <c r="M442" s="29" t="n">
        <v>6.36410054671518</v>
      </c>
      <c r="N442" s="35" t="n">
        <v>90.06665152945038</v>
      </c>
      <c r="O442" s="36" t="n">
        <v>1621.01052249828</v>
      </c>
      <c r="P442" s="29" t="n">
        <v>2.257742484119804</v>
      </c>
      <c r="Q442" s="16" t="inlineStr">
        <is>
          <t>sí</t>
        </is>
      </c>
      <c r="R442" s="16" t="inlineStr">
        <is>
          <t>O2</t>
        </is>
      </c>
    </row>
    <row r="443">
      <c r="A443" s="16" t="inlineStr">
        <is>
          <t>KF-M04b-0132</t>
        </is>
      </c>
      <c r="B443" s="35" t="n">
        <v>470.1606396710339</v>
      </c>
      <c r="C443" s="35" t="n">
        <v>294.453500275565</v>
      </c>
      <c r="D443" s="36" t="n">
        <v>2624.980834960795</v>
      </c>
      <c r="E443" s="35" t="n">
        <v>1344.938944291633</v>
      </c>
      <c r="F443" s="37" t="n">
        <v>0.5432609155616063</v>
      </c>
      <c r="G443" s="37" t="n">
        <v>0.8531979091362378</v>
      </c>
      <c r="H443" s="37" t="n">
        <v>0.8501772615680998</v>
      </c>
      <c r="I443" s="37" t="n">
        <v>0.9008183341010952</v>
      </c>
      <c r="J443" s="37" t="n">
        <v>0.6267537441301408</v>
      </c>
      <c r="K443" s="37" t="n">
        <v>0.8548740360431456</v>
      </c>
      <c r="L443" s="39" t="inlineStr">
        <is>
          <t>Corregible</t>
        </is>
      </c>
      <c r="M443" s="29" t="n">
        <v>5.226639210067329</v>
      </c>
      <c r="N443" s="35" t="n">
        <v>94.14198120290798</v>
      </c>
      <c r="O443" s="36" t="n">
        <v>1280.041890669162</v>
      </c>
      <c r="P443" s="29" t="n">
        <v>1.951747212096196</v>
      </c>
      <c r="Q443" s="16" t="inlineStr">
        <is>
          <t>sí</t>
        </is>
      </c>
      <c r="R443" s="16" t="inlineStr">
        <is>
          <t>O2</t>
        </is>
      </c>
    </row>
    <row r="444">
      <c r="A444" s="16" t="inlineStr">
        <is>
          <t>KF-M04b-0133</t>
        </is>
      </c>
      <c r="B444" s="35" t="n">
        <v>443.155295575482</v>
      </c>
      <c r="C444" s="35" t="n">
        <v>291.2827444208244</v>
      </c>
      <c r="D444" s="36" t="n">
        <v>4257.260065476171</v>
      </c>
      <c r="E444" s="35" t="n">
        <v>1490.200492941936</v>
      </c>
      <c r="F444" s="37" t="n">
        <v>0.6720457777622199</v>
      </c>
      <c r="G444" s="37" t="n">
        <v>0.7654932324931011</v>
      </c>
      <c r="H444" s="37" t="n">
        <v>0.8600203261681342</v>
      </c>
      <c r="I444" s="37" t="n">
        <v>0.6640942690111528</v>
      </c>
      <c r="J444" s="37" t="n">
        <v>0.7676459138344044</v>
      </c>
      <c r="K444" s="37" t="n">
        <v>0.8955254248486165</v>
      </c>
      <c r="L444" s="42" t="inlineStr">
        <is>
          <t>KALINA</t>
        </is>
      </c>
      <c r="M444" s="29" t="n">
        <v>7.135652476747991</v>
      </c>
      <c r="N444" s="35" t="n">
        <v>56.34447752857211</v>
      </c>
      <c r="O444" s="36" t="n">
        <v>2767.059572534235</v>
      </c>
      <c r="P444" s="29" t="n">
        <v>2.856837107248259</v>
      </c>
      <c r="Q444" s="16" t="inlineStr">
        <is>
          <t>no</t>
        </is>
      </c>
      <c r="R444" s="16" t="n"/>
    </row>
    <row r="445">
      <c r="A445" s="16" t="inlineStr">
        <is>
          <t>KF-M04b-0134</t>
        </is>
      </c>
      <c r="B445" s="35" t="n">
        <v>401.720707206788</v>
      </c>
      <c r="C445" s="35" t="n">
        <v>300.9046472107679</v>
      </c>
      <c r="D445" s="36" t="n">
        <v>4005.013079570259</v>
      </c>
      <c r="E445" s="35" t="n">
        <v>1312.976037108916</v>
      </c>
      <c r="F445" s="37" t="n">
        <v>0.6464566062009004</v>
      </c>
      <c r="G445" s="37" t="n">
        <v>0.7846453340011603</v>
      </c>
      <c r="H445" s="37" t="n">
        <v>0.8358464302967368</v>
      </c>
      <c r="I445" s="37" t="n">
        <v>0.8886222511125069</v>
      </c>
      <c r="J445" s="37" t="n">
        <v>0.6716779568279932</v>
      </c>
      <c r="K445" s="37" t="n">
        <v>0.7541632778879562</v>
      </c>
      <c r="L445" s="39" t="inlineStr">
        <is>
          <t>Corregible</t>
        </is>
      </c>
      <c r="M445" s="29" t="n">
        <v>7.178133571053349</v>
      </c>
      <c r="N445" s="35" t="n">
        <v>32.94281641700528</v>
      </c>
      <c r="O445" s="36" t="n">
        <v>2692.037042461342</v>
      </c>
      <c r="P445" s="29" t="n">
        <v>3.050332196761964</v>
      </c>
      <c r="Q445" s="16" t="inlineStr">
        <is>
          <t>no</t>
        </is>
      </c>
      <c r="R445" s="16" t="inlineStr">
        <is>
          <t>O2</t>
        </is>
      </c>
    </row>
    <row r="446">
      <c r="A446" s="16" t="inlineStr">
        <is>
          <t>KF-M04b-0135</t>
        </is>
      </c>
      <c r="B446" s="35" t="n">
        <v>478.5087447472868</v>
      </c>
      <c r="C446" s="35" t="n">
        <v>294.2959029378756</v>
      </c>
      <c r="D446" s="36" t="n">
        <v>4011.194893326781</v>
      </c>
      <c r="E446" s="35" t="n">
        <v>392.4009766415693</v>
      </c>
      <c r="F446" s="37" t="n">
        <v>0.502890264480009</v>
      </c>
      <c r="G446" s="37" t="n">
        <v>0.8750192865857039</v>
      </c>
      <c r="H446" s="37" t="n">
        <v>0.8718516743708155</v>
      </c>
      <c r="I446" s="37" t="n">
        <v>0.8392182432507185</v>
      </c>
      <c r="J446" s="37" t="n">
        <v>0.9187771312137852</v>
      </c>
      <c r="K446" s="37" t="n">
        <v>0.731253634280868</v>
      </c>
      <c r="L446" s="39" t="inlineStr">
        <is>
          <t>Corregible</t>
        </is>
      </c>
      <c r="M446" s="29" t="n">
        <v>16.01491631164206</v>
      </c>
      <c r="N446" s="35" t="n">
        <v>201.84524776092</v>
      </c>
      <c r="O446" s="36" t="n">
        <v>3618.793916685212</v>
      </c>
      <c r="P446" s="29" t="n">
        <v>10.22218376635368</v>
      </c>
      <c r="Q446" s="16" t="inlineStr">
        <is>
          <t>sí</t>
        </is>
      </c>
      <c r="R446" s="16" t="inlineStr">
        <is>
          <t>O1,O2</t>
        </is>
      </c>
    </row>
    <row r="447">
      <c r="A447" s="16" t="inlineStr">
        <is>
          <t>KF-M04b-0136</t>
        </is>
      </c>
      <c r="B447" s="35" t="n">
        <v>397.0384012392493</v>
      </c>
      <c r="C447" s="35" t="n">
        <v>293.4951783415585</v>
      </c>
      <c r="D447" s="36" t="n">
        <v>4475.558910184573</v>
      </c>
      <c r="E447" s="35" t="n">
        <v>925.989107268322</v>
      </c>
      <c r="F447" s="37" t="n">
        <v>0.7745908067679201</v>
      </c>
      <c r="G447" s="37" t="n">
        <v>0.8011448674463482</v>
      </c>
      <c r="H447" s="37" t="n">
        <v>0.8251917484857131</v>
      </c>
      <c r="I447" s="37" t="n">
        <v>0.9100134743102282</v>
      </c>
      <c r="J447" s="37" t="n">
        <v>0.6991214136948121</v>
      </c>
      <c r="K447" s="37" t="n">
        <v>0.7374527889377349</v>
      </c>
      <c r="L447" s="32" t="inlineStr">
        <is>
          <t>No convergió</t>
        </is>
      </c>
      <c r="M447" s="29" t="inlineStr">
        <is>
          <t>—</t>
        </is>
      </c>
      <c r="N447" s="35" t="inlineStr">
        <is>
          <t>—</t>
        </is>
      </c>
      <c r="O447" s="36" t="n">
        <v>3549.56980291625</v>
      </c>
      <c r="P447" s="29" t="n">
        <v>4.833273820452943</v>
      </c>
      <c r="Q447" s="16" t="inlineStr">
        <is>
          <t>no</t>
        </is>
      </c>
      <c r="R447" s="16" t="n"/>
    </row>
    <row r="448">
      <c r="A448" s="16" t="inlineStr">
        <is>
          <t>KF-M04b-0137</t>
        </is>
      </c>
      <c r="B448" s="35" t="n">
        <v>450.9408464852826</v>
      </c>
      <c r="C448" s="35" t="n">
        <v>286.5879139673808</v>
      </c>
      <c r="D448" s="36" t="n">
        <v>4960.171892946295</v>
      </c>
      <c r="E448" s="35" t="n">
        <v>1124.420413302747</v>
      </c>
      <c r="F448" s="37" t="n">
        <v>0.7795878271247525</v>
      </c>
      <c r="G448" s="37" t="n">
        <v>0.846948908313759</v>
      </c>
      <c r="H448" s="37" t="n">
        <v>0.7884417909420671</v>
      </c>
      <c r="I448" s="37" t="n">
        <v>0.6349773734073737</v>
      </c>
      <c r="J448" s="37" t="n">
        <v>0.7950871298886932</v>
      </c>
      <c r="K448" s="37" t="n">
        <v>0.8611853704721297</v>
      </c>
      <c r="L448" s="39" t="inlineStr">
        <is>
          <t>Corregible</t>
        </is>
      </c>
      <c r="M448" s="29" t="n">
        <v>12.2117743427757</v>
      </c>
      <c r="N448" s="35" t="n">
        <v>112.3496906173393</v>
      </c>
      <c r="O448" s="36" t="n">
        <v>3835.751479643548</v>
      </c>
      <c r="P448" s="29" t="n">
        <v>4.411314339604384</v>
      </c>
      <c r="Q448" s="16" t="inlineStr">
        <is>
          <t>no</t>
        </is>
      </c>
      <c r="R448" s="16" t="inlineStr">
        <is>
          <t>O2</t>
        </is>
      </c>
    </row>
    <row r="449">
      <c r="A449" s="16" t="inlineStr">
        <is>
          <t>KF-M04b-0138</t>
        </is>
      </c>
      <c r="B449" s="35" t="n">
        <v>481.9005417253939</v>
      </c>
      <c r="C449" s="35" t="n">
        <v>283.0920022391073</v>
      </c>
      <c r="D449" s="36" t="n">
        <v>2521.261536955443</v>
      </c>
      <c r="E449" s="35" t="n">
        <v>1004.773189877077</v>
      </c>
      <c r="F449" s="37" t="n">
        <v>0.5386007756430599</v>
      </c>
      <c r="G449" s="37" t="n">
        <v>0.818454285461959</v>
      </c>
      <c r="H449" s="37" t="n">
        <v>0.7033694836201586</v>
      </c>
      <c r="I449" s="37" t="n">
        <v>0.7060416977865072</v>
      </c>
      <c r="J449" s="37" t="n">
        <v>0.8084189070913829</v>
      </c>
      <c r="K449" s="37" t="n">
        <v>0.9081706524048668</v>
      </c>
      <c r="L449" s="42" t="inlineStr">
        <is>
          <t>KALINA</t>
        </is>
      </c>
      <c r="M449" s="29" t="n">
        <v>6.35590856650822</v>
      </c>
      <c r="N449" s="35" t="n">
        <v>95.59092261009212</v>
      </c>
      <c r="O449" s="36" t="n">
        <v>1516.488347078366</v>
      </c>
      <c r="P449" s="29" t="n">
        <v>2.509284246789956</v>
      </c>
      <c r="Q449" s="16" t="inlineStr">
        <is>
          <t>sí</t>
        </is>
      </c>
      <c r="R449" s="16" t="n"/>
    </row>
    <row r="450">
      <c r="A450" s="16" t="inlineStr">
        <is>
          <t>KF-M04b-0139</t>
        </is>
      </c>
      <c r="B450" s="35" t="n">
        <v>394.3522691951027</v>
      </c>
      <c r="C450" s="35" t="n">
        <v>302.765444113127</v>
      </c>
      <c r="D450" s="36" t="n">
        <v>3635.790371733168</v>
      </c>
      <c r="E450" s="35" t="n">
        <v>973.7117079629209</v>
      </c>
      <c r="F450" s="37" t="n">
        <v>0.6488925777281245</v>
      </c>
      <c r="G450" s="37" t="n">
        <v>0.8711902075997507</v>
      </c>
      <c r="H450" s="37" t="n">
        <v>0.8037152295642682</v>
      </c>
      <c r="I450" s="37" t="n">
        <v>0.6580467300048892</v>
      </c>
      <c r="J450" s="37" t="n">
        <v>0.7431378557976768</v>
      </c>
      <c r="K450" s="37" t="n">
        <v>0.8196094878583027</v>
      </c>
      <c r="L450" s="39" t="inlineStr">
        <is>
          <t>Corregible</t>
        </is>
      </c>
      <c r="M450" s="29" t="n">
        <v>8.25431524755469</v>
      </c>
      <c r="N450" s="35" t="n">
        <v>26.97702374605548</v>
      </c>
      <c r="O450" s="36" t="n">
        <v>2662.078663770247</v>
      </c>
      <c r="P450" s="29" t="n">
        <v>3.733949527360125</v>
      </c>
      <c r="Q450" s="16" t="inlineStr">
        <is>
          <t>no</t>
        </is>
      </c>
      <c r="R450" s="16" t="inlineStr">
        <is>
          <t>O2</t>
        </is>
      </c>
    </row>
    <row r="451">
      <c r="A451" s="16" t="inlineStr">
        <is>
          <t>KF-M04b-0140</t>
        </is>
      </c>
      <c r="B451" s="35" t="n">
        <v>408.7948043710392</v>
      </c>
      <c r="C451" s="35" t="n">
        <v>290.8090265407415</v>
      </c>
      <c r="D451" s="36" t="n">
        <v>4944.96732500092</v>
      </c>
      <c r="E451" s="35" t="n">
        <v>1267.682281970871</v>
      </c>
      <c r="F451" s="37" t="n">
        <v>0.6591626749334402</v>
      </c>
      <c r="G451" s="37" t="n">
        <v>0.814750343547199</v>
      </c>
      <c r="H451" s="37" t="n">
        <v>0.8199816387903398</v>
      </c>
      <c r="I451" s="37" t="n">
        <v>0.7509644297383145</v>
      </c>
      <c r="J451" s="37" t="n">
        <v>0.8761472347427551</v>
      </c>
      <c r="K451" s="37" t="n">
        <v>0.7126450271059694</v>
      </c>
      <c r="L451" s="42" t="inlineStr">
        <is>
          <t>KALINA</t>
        </is>
      </c>
      <c r="M451" s="29" t="n">
        <v>8.599528694435559</v>
      </c>
      <c r="N451" s="35" t="n">
        <v>29.11991361663664</v>
      </c>
      <c r="O451" s="36" t="n">
        <v>3677.285043030049</v>
      </c>
      <c r="P451" s="29" t="n">
        <v>3.900793909742871</v>
      </c>
      <c r="Q451" s="16" t="inlineStr">
        <is>
          <t>no</t>
        </is>
      </c>
      <c r="R451" s="16" t="n"/>
    </row>
    <row r="452">
      <c r="A452" s="16" t="inlineStr">
        <is>
          <t>KF-M04b-0141</t>
        </is>
      </c>
      <c r="B452" s="35" t="n">
        <v>452.7899956748965</v>
      </c>
      <c r="C452" s="35" t="n">
        <v>291.1699961790733</v>
      </c>
      <c r="D452" s="36" t="n">
        <v>3900.724847004843</v>
      </c>
      <c r="E452" s="35" t="n">
        <v>552.2781254083093</v>
      </c>
      <c r="F452" s="37" t="n">
        <v>0.6267019693153373</v>
      </c>
      <c r="G452" s="37" t="n">
        <v>0.8653786715613017</v>
      </c>
      <c r="H452" s="37" t="n">
        <v>0.722532986545573</v>
      </c>
      <c r="I452" s="37" t="n">
        <v>0.8435988054351362</v>
      </c>
      <c r="J452" s="37" t="n">
        <v>0.7979312601408464</v>
      </c>
      <c r="K452" s="37" t="n">
        <v>0.7651472672437662</v>
      </c>
      <c r="L452" s="39" t="inlineStr">
        <is>
          <t>Corregible</t>
        </is>
      </c>
      <c r="M452" s="29" t="n">
        <v>14.18682019496544</v>
      </c>
      <c r="N452" s="35" t="n">
        <v>147.2558535270025</v>
      </c>
      <c r="O452" s="36" t="n">
        <v>3348.446721596534</v>
      </c>
      <c r="P452" s="29" t="n">
        <v>7.062971838909908</v>
      </c>
      <c r="Q452" s="16" t="inlineStr">
        <is>
          <t>sí</t>
        </is>
      </c>
      <c r="R452" s="16" t="inlineStr">
        <is>
          <t>O2</t>
        </is>
      </c>
    </row>
    <row r="453">
      <c r="A453" s="16" t="inlineStr">
        <is>
          <t>KF-M04b-0142</t>
        </is>
      </c>
      <c r="B453" s="35" t="n">
        <v>424.7216755236255</v>
      </c>
      <c r="C453" s="35" t="n">
        <v>296.5224039020085</v>
      </c>
      <c r="D453" s="36" t="n">
        <v>4840.223104255379</v>
      </c>
      <c r="E453" s="35" t="n">
        <v>692.7745770862618</v>
      </c>
      <c r="F453" s="37" t="n">
        <v>0.8383576792004144</v>
      </c>
      <c r="G453" s="37" t="n">
        <v>0.8203610021766595</v>
      </c>
      <c r="H453" s="37" t="n">
        <v>0.7958157398223026</v>
      </c>
      <c r="I453" s="37" t="n">
        <v>0.7450436657613406</v>
      </c>
      <c r="J453" s="37" t="n">
        <v>0.6208544892637909</v>
      </c>
      <c r="K453" s="37" t="n">
        <v>0.7023015170719189</v>
      </c>
      <c r="L453" s="39" t="inlineStr">
        <is>
          <t>Corregible</t>
        </is>
      </c>
      <c r="M453" s="29" t="n">
        <v>4.078930687595371</v>
      </c>
      <c r="N453" s="35" t="n">
        <v>18.29215314607123</v>
      </c>
      <c r="O453" s="36" t="n">
        <v>4147.448527169117</v>
      </c>
      <c r="P453" s="29" t="n">
        <v>6.986721603747148</v>
      </c>
      <c r="Q453" s="16" t="inlineStr">
        <is>
          <t>no</t>
        </is>
      </c>
      <c r="R453" s="16" t="inlineStr">
        <is>
          <t>O2</t>
        </is>
      </c>
    </row>
    <row r="454">
      <c r="A454" s="16" t="inlineStr">
        <is>
          <t>KF-M04b-0143</t>
        </is>
      </c>
      <c r="B454" s="35" t="n">
        <v>455.350181090014</v>
      </c>
      <c r="C454" s="35" t="n">
        <v>287.2940319005797</v>
      </c>
      <c r="D454" s="36" t="n">
        <v>2771.686561978541</v>
      </c>
      <c r="E454" s="35" t="n">
        <v>367.7714134082516</v>
      </c>
      <c r="F454" s="37" t="n">
        <v>0.8308105302276449</v>
      </c>
      <c r="G454" s="37" t="n">
        <v>0.8136697564273184</v>
      </c>
      <c r="H454" s="37" t="n">
        <v>0.6892478660961724</v>
      </c>
      <c r="I454" s="37" t="n">
        <v>0.8507975497018921</v>
      </c>
      <c r="J454" s="37" t="n">
        <v>0.6474388508012067</v>
      </c>
      <c r="K454" s="37" t="n">
        <v>0.8335034162602136</v>
      </c>
      <c r="L454" s="40" t="inlineStr">
        <is>
          <t>Inviable</t>
        </is>
      </c>
      <c r="M454" s="29" t="n">
        <v>-0.84929374123364</v>
      </c>
      <c r="N454" s="35" t="n">
        <v>-5.58429591281481</v>
      </c>
      <c r="O454" s="36" t="n">
        <v>2403.915148570289</v>
      </c>
      <c r="P454" s="29" t="n">
        <v>7.536438290003192</v>
      </c>
      <c r="Q454" s="16" t="inlineStr">
        <is>
          <t>sí</t>
        </is>
      </c>
      <c r="R454" s="16" t="inlineStr">
        <is>
          <t>O2,O3</t>
        </is>
      </c>
    </row>
    <row r="455">
      <c r="A455" s="16" t="inlineStr">
        <is>
          <t>KF-M04b-0144</t>
        </is>
      </c>
      <c r="B455" s="35" t="n">
        <v>467.3124942625843</v>
      </c>
      <c r="C455" s="35" t="n">
        <v>279.1406700010066</v>
      </c>
      <c r="D455" s="36" t="n">
        <v>4691.462748328093</v>
      </c>
      <c r="E455" s="35" t="n">
        <v>645.2215781868917</v>
      </c>
      <c r="F455" s="37" t="n">
        <v>0.545027053072874</v>
      </c>
      <c r="G455" s="37" t="n">
        <v>0.8162282084636068</v>
      </c>
      <c r="H455" s="37" t="n">
        <v>0.878778552532995</v>
      </c>
      <c r="I455" s="37" t="n">
        <v>0.6006051881075212</v>
      </c>
      <c r="J455" s="37" t="n">
        <v>0.9175783947352404</v>
      </c>
      <c r="K455" s="37" t="n">
        <v>0.7878761661936191</v>
      </c>
      <c r="L455" s="39" t="inlineStr">
        <is>
          <t>Corregible</t>
        </is>
      </c>
      <c r="M455" s="29" t="n">
        <v>13.4852353791103</v>
      </c>
      <c r="N455" s="35" t="n">
        <v>94.4036050723729</v>
      </c>
      <c r="O455" s="36" t="n">
        <v>4046.241170141201</v>
      </c>
      <c r="P455" s="29" t="n">
        <v>7.271087804458372</v>
      </c>
      <c r="Q455" s="16" t="inlineStr">
        <is>
          <t>sí</t>
        </is>
      </c>
      <c r="R455" s="16" t="inlineStr">
        <is>
          <t>O2</t>
        </is>
      </c>
    </row>
    <row r="456">
      <c r="A456" s="16" t="inlineStr">
        <is>
          <t>KF-M04b-0145</t>
        </is>
      </c>
      <c r="B456" s="35" t="n">
        <v>420.9157817644276</v>
      </c>
      <c r="C456" s="35" t="n">
        <v>300.765199722962</v>
      </c>
      <c r="D456" s="36" t="n">
        <v>4057.762868975783</v>
      </c>
      <c r="E456" s="35" t="n">
        <v>443.7957771416111</v>
      </c>
      <c r="F456" s="37" t="n">
        <v>0.7971613728747068</v>
      </c>
      <c r="G456" s="37" t="n">
        <v>0.8241598623088051</v>
      </c>
      <c r="H456" s="37" t="n">
        <v>0.8553352370983257</v>
      </c>
      <c r="I456" s="37" t="n">
        <v>0.805766255847298</v>
      </c>
      <c r="J456" s="37" t="n">
        <v>0.8010352976962136</v>
      </c>
      <c r="K456" s="37" t="n">
        <v>0.8133959038739641</v>
      </c>
      <c r="L456" s="40" t="inlineStr">
        <is>
          <t>Inviable</t>
        </is>
      </c>
      <c r="M456" s="29" t="n">
        <v>-8.575911863703579</v>
      </c>
      <c r="N456" s="35" t="n">
        <v>-22.98365614380873</v>
      </c>
      <c r="O456" s="36" t="n">
        <v>3613.967091834172</v>
      </c>
      <c r="P456" s="29" t="n">
        <v>9.143311130878535</v>
      </c>
      <c r="Q456" s="16" t="inlineStr">
        <is>
          <t>no</t>
        </is>
      </c>
      <c r="R456" s="16" t="inlineStr">
        <is>
          <t>O2,O3</t>
        </is>
      </c>
    </row>
    <row r="457">
      <c r="A457" s="16" t="inlineStr">
        <is>
          <t>KF-M04b-0146</t>
        </is>
      </c>
      <c r="B457" s="35" t="n">
        <v>407.4253550981164</v>
      </c>
      <c r="C457" s="35" t="n">
        <v>289.165230165067</v>
      </c>
      <c r="D457" s="36" t="n">
        <v>4771.50802721203</v>
      </c>
      <c r="E457" s="35" t="n">
        <v>648.4571232262081</v>
      </c>
      <c r="F457" s="37" t="n">
        <v>0.7699090154945063</v>
      </c>
      <c r="G457" s="37" t="n">
        <v>0.798069887034488</v>
      </c>
      <c r="H457" s="37" t="n">
        <v>0.887038797579485</v>
      </c>
      <c r="I457" s="37" t="n">
        <v>0.7166395495631498</v>
      </c>
      <c r="J457" s="37" t="n">
        <v>0.949157232950084</v>
      </c>
      <c r="K457" s="37" t="n">
        <v>0.7218946246843816</v>
      </c>
      <c r="L457" s="39" t="inlineStr">
        <is>
          <t>Corregible</t>
        </is>
      </c>
      <c r="M457" s="29" t="n">
        <v>14.07882101788606</v>
      </c>
      <c r="N457" s="35" t="n">
        <v>74.25674055199697</v>
      </c>
      <c r="O457" s="36" t="n">
        <v>4123.050903985823</v>
      </c>
      <c r="P457" s="29" t="n">
        <v>7.358247532963772</v>
      </c>
      <c r="Q457" s="16" t="inlineStr">
        <is>
          <t>no</t>
        </is>
      </c>
      <c r="R457" s="16" t="inlineStr">
        <is>
          <t>O2</t>
        </is>
      </c>
    </row>
    <row r="458">
      <c r="A458" s="16" t="inlineStr">
        <is>
          <t>KF-M04b-0147</t>
        </is>
      </c>
      <c r="B458" s="35" t="n">
        <v>409.3546424243955</v>
      </c>
      <c r="C458" s="35" t="n">
        <v>300.5136914407589</v>
      </c>
      <c r="D458" s="36" t="n">
        <v>2844.588786688648</v>
      </c>
      <c r="E458" s="35" t="n">
        <v>952.44158003743</v>
      </c>
      <c r="F458" s="37" t="n">
        <v>0.638782587246552</v>
      </c>
      <c r="G458" s="37" t="n">
        <v>0.8402690445186805</v>
      </c>
      <c r="H458" s="37" t="n">
        <v>0.8135587549305658</v>
      </c>
      <c r="I458" s="37" t="n">
        <v>0.7147025403233999</v>
      </c>
      <c r="J458" s="37" t="n">
        <v>0.6602642621038273</v>
      </c>
      <c r="K458" s="37" t="n">
        <v>0.918003863452548</v>
      </c>
      <c r="L458" s="42" t="inlineStr">
        <is>
          <t>KALINA</t>
        </is>
      </c>
      <c r="M458" s="29" t="n">
        <v>7.841334278586699</v>
      </c>
      <c r="N458" s="35" t="n">
        <v>49.25754648798434</v>
      </c>
      <c r="O458" s="36" t="n">
        <v>1892.147206651218</v>
      </c>
      <c r="P458" s="29" t="n">
        <v>2.986628100147474</v>
      </c>
      <c r="Q458" s="16" t="inlineStr">
        <is>
          <t>no</t>
        </is>
      </c>
      <c r="R458" s="16" t="n"/>
    </row>
    <row r="459">
      <c r="A459" s="16" t="inlineStr">
        <is>
          <t>KF-M04b-0148</t>
        </is>
      </c>
      <c r="B459" s="35" t="n">
        <v>452.5983588275938</v>
      </c>
      <c r="C459" s="35" t="n">
        <v>297.5098640416518</v>
      </c>
      <c r="D459" s="36" t="n">
        <v>2977.487928249597</v>
      </c>
      <c r="E459" s="35" t="n">
        <v>665.1747174796385</v>
      </c>
      <c r="F459" s="37" t="n">
        <v>0.7882701579150739</v>
      </c>
      <c r="G459" s="37" t="n">
        <v>0.8348612102171558</v>
      </c>
      <c r="H459" s="37" t="n">
        <v>0.8083550385609222</v>
      </c>
      <c r="I459" s="37" t="n">
        <v>0.8249147780738567</v>
      </c>
      <c r="J459" s="37" t="n">
        <v>0.9165784064492845</v>
      </c>
      <c r="K459" s="37" t="n">
        <v>0.7302720244331016</v>
      </c>
      <c r="L459" s="39" t="inlineStr">
        <is>
          <t>Corregible</t>
        </is>
      </c>
      <c r="M459" s="29" t="n">
        <v>8.198745386921349</v>
      </c>
      <c r="N459" s="35" t="n">
        <v>75.64290547413523</v>
      </c>
      <c r="O459" s="36" t="n">
        <v>2312.313210769958</v>
      </c>
      <c r="P459" s="29" t="n">
        <v>4.476249397348359</v>
      </c>
      <c r="Q459" s="16" t="inlineStr">
        <is>
          <t>sí</t>
        </is>
      </c>
      <c r="R459" s="16" t="inlineStr">
        <is>
          <t>O2</t>
        </is>
      </c>
    </row>
    <row r="460">
      <c r="A460" s="16" t="inlineStr">
        <is>
          <t>KF-M04b-0149</t>
        </is>
      </c>
      <c r="B460" s="35" t="n">
        <v>429.4317183863684</v>
      </c>
      <c r="C460" s="35" t="n">
        <v>296.221926249798</v>
      </c>
      <c r="D460" s="36" t="n">
        <v>3001.014749903614</v>
      </c>
      <c r="E460" s="35" t="n">
        <v>858.3276940949652</v>
      </c>
      <c r="F460" s="37" t="n">
        <v>0.5403026494545657</v>
      </c>
      <c r="G460" s="37" t="n">
        <v>0.9083217033709988</v>
      </c>
      <c r="H460" s="37" t="n">
        <v>0.7624844102659599</v>
      </c>
      <c r="I460" s="37" t="n">
        <v>0.7475705147101294</v>
      </c>
      <c r="J460" s="37" t="n">
        <v>0.9308676927840472</v>
      </c>
      <c r="K460" s="37" t="n">
        <v>0.9248300932670368</v>
      </c>
      <c r="L460" s="42" t="inlineStr">
        <is>
          <t>KALINA</t>
        </is>
      </c>
      <c r="M460" s="29" t="n">
        <v>9.83276958198285</v>
      </c>
      <c r="N460" s="35" t="n">
        <v>61.57391053914023</v>
      </c>
      <c r="O460" s="36" t="n">
        <v>2142.687055808648</v>
      </c>
      <c r="P460" s="29" t="n">
        <v>3.49635083494298</v>
      </c>
      <c r="Q460" s="16" t="inlineStr">
        <is>
          <t>no</t>
        </is>
      </c>
      <c r="R460" s="16" t="n"/>
    </row>
    <row r="461">
      <c r="A461" s="16" t="inlineStr">
        <is>
          <t>KF-M04b-0150</t>
        </is>
      </c>
      <c r="B461" s="35" t="n">
        <v>489.6503811531055</v>
      </c>
      <c r="C461" s="35" t="n">
        <v>279.8440742059097</v>
      </c>
      <c r="D461" s="36" t="n">
        <v>3808.827317148546</v>
      </c>
      <c r="E461" s="35" t="n">
        <v>1426.633752568553</v>
      </c>
      <c r="F461" s="37" t="n">
        <v>0.7429167003041326</v>
      </c>
      <c r="G461" s="37" t="n">
        <v>0.7807088461818847</v>
      </c>
      <c r="H461" s="37" t="n">
        <v>0.8373004011755606</v>
      </c>
      <c r="I461" s="37" t="n">
        <v>0.9231195608932315</v>
      </c>
      <c r="J461" s="37" t="n">
        <v>0.8728812908589397</v>
      </c>
      <c r="K461" s="37" t="n">
        <v>0.9474141011869216</v>
      </c>
      <c r="L461" s="42" t="inlineStr">
        <is>
          <t>KALINA</t>
        </is>
      </c>
      <c r="M461" s="29" t="n">
        <v>6.99874115907401</v>
      </c>
      <c r="N461" s="35" t="n">
        <v>130.3975055644234</v>
      </c>
      <c r="O461" s="36" t="n">
        <v>2382.193564579994</v>
      </c>
      <c r="P461" s="29" t="n">
        <v>2.669800367677425</v>
      </c>
      <c r="Q461" s="16" t="inlineStr">
        <is>
          <t>sí</t>
        </is>
      </c>
      <c r="R461" s="16" t="n"/>
    </row>
    <row r="462">
      <c r="A462" s="16" t="inlineStr">
        <is>
          <t>KF-M04b-0151</t>
        </is>
      </c>
      <c r="B462" s="35" t="n">
        <v>430.4546178856229</v>
      </c>
      <c r="C462" s="35" t="n">
        <v>280.4629434581389</v>
      </c>
      <c r="D462" s="36" t="n">
        <v>2688.487342437024</v>
      </c>
      <c r="E462" s="35" t="n">
        <v>1304.543517295375</v>
      </c>
      <c r="F462" s="37" t="n">
        <v>0.7170200270093154</v>
      </c>
      <c r="G462" s="37" t="n">
        <v>0.7920945766094777</v>
      </c>
      <c r="H462" s="37" t="n">
        <v>0.7473641042762355</v>
      </c>
      <c r="I462" s="37" t="n">
        <v>0.6067456113196019</v>
      </c>
      <c r="J462" s="37" t="n">
        <v>0.652411737362715</v>
      </c>
      <c r="K462" s="37" t="n">
        <v>0.8699598169614433</v>
      </c>
      <c r="L462" s="42" t="inlineStr">
        <is>
          <t>KALINA</t>
        </is>
      </c>
      <c r="M462" s="29" t="n">
        <v>5.27111780490452</v>
      </c>
      <c r="N462" s="35" t="n">
        <v>46.9540833164477</v>
      </c>
      <c r="O462" s="36" t="n">
        <v>1383.94382514165</v>
      </c>
      <c r="P462" s="29" t="n">
        <v>2.060864437861675</v>
      </c>
      <c r="Q462" s="16" t="inlineStr">
        <is>
          <t>no</t>
        </is>
      </c>
      <c r="R462" s="16" t="n"/>
    </row>
    <row r="463">
      <c r="A463" s="16" t="inlineStr">
        <is>
          <t>KF-M04b-0152</t>
        </is>
      </c>
      <c r="B463" s="35" t="n">
        <v>437.1359320104499</v>
      </c>
      <c r="C463" s="35" t="n">
        <v>284.5692239785941</v>
      </c>
      <c r="D463" s="36" t="n">
        <v>2435.192906620164</v>
      </c>
      <c r="E463" s="35" t="n">
        <v>1049.983715480241</v>
      </c>
      <c r="F463" s="37" t="n">
        <v>0.7040110011164702</v>
      </c>
      <c r="G463" s="37" t="n">
        <v>0.9102234344491872</v>
      </c>
      <c r="H463" s="37" t="n">
        <v>0.7710030222817703</v>
      </c>
      <c r="I463" s="37" t="n">
        <v>0.8228575503275939</v>
      </c>
      <c r="J463" s="37" t="n">
        <v>0.8032745911722724</v>
      </c>
      <c r="K463" s="37" t="n">
        <v>0.9410372167370769</v>
      </c>
      <c r="L463" s="42" t="inlineStr">
        <is>
          <t>KALINA</t>
        </is>
      </c>
      <c r="M463" s="29" t="n">
        <v>7.18318151916357</v>
      </c>
      <c r="N463" s="35" t="n">
        <v>102.9825707817046</v>
      </c>
      <c r="O463" s="36" t="n">
        <v>1385.209191139923</v>
      </c>
      <c r="P463" s="29" t="n">
        <v>2.319267309309037</v>
      </c>
      <c r="Q463" s="16" t="inlineStr">
        <is>
          <t>sí</t>
        </is>
      </c>
      <c r="R463" s="16" t="n"/>
    </row>
    <row r="464">
      <c r="A464" s="16" t="inlineStr">
        <is>
          <t>KF-M04b-0153</t>
        </is>
      </c>
      <c r="B464" s="35" t="n">
        <v>456.4731342749693</v>
      </c>
      <c r="C464" s="35" t="n">
        <v>297.2574287766589</v>
      </c>
      <c r="D464" s="36" t="n">
        <v>4139.075648534656</v>
      </c>
      <c r="E464" s="35" t="n">
        <v>379.1265949767107</v>
      </c>
      <c r="F464" s="37" t="n">
        <v>0.7985152262026944</v>
      </c>
      <c r="G464" s="37" t="n">
        <v>0.7825514775280967</v>
      </c>
      <c r="H464" s="37" t="n">
        <v>0.6778751919222589</v>
      </c>
      <c r="I464" s="37" t="n">
        <v>0.7611380197470377</v>
      </c>
      <c r="J464" s="37" t="n">
        <v>0.7932337807940548</v>
      </c>
      <c r="K464" s="37" t="n">
        <v>0.8939804814113996</v>
      </c>
      <c r="L464" s="40" t="inlineStr">
        <is>
          <t>Inviable</t>
        </is>
      </c>
      <c r="M464" s="29" t="n">
        <v>-6.86378891619057</v>
      </c>
      <c r="N464" s="35" t="n">
        <v>-38.29219334255606</v>
      </c>
      <c r="O464" s="36" t="n">
        <v>3759.949053557945</v>
      </c>
      <c r="P464" s="29" t="n">
        <v>10.9173972582665</v>
      </c>
      <c r="Q464" s="16" t="inlineStr">
        <is>
          <t>sí</t>
        </is>
      </c>
      <c r="R464" s="16" t="inlineStr">
        <is>
          <t>O2,O3</t>
        </is>
      </c>
    </row>
    <row r="465">
      <c r="A465" s="16" t="inlineStr">
        <is>
          <t>KF-M04b-0154</t>
        </is>
      </c>
      <c r="B465" s="35" t="n">
        <v>425.5604903984895</v>
      </c>
      <c r="C465" s="35" t="n">
        <v>291.3916366320541</v>
      </c>
      <c r="D465" s="36" t="n">
        <v>2384.050062648462</v>
      </c>
      <c r="E465" s="35" t="n">
        <v>674.2491416886387</v>
      </c>
      <c r="F465" s="37" t="n">
        <v>0.71649655924093</v>
      </c>
      <c r="G465" s="37" t="n">
        <v>0.8002675778240496</v>
      </c>
      <c r="H465" s="37" t="n">
        <v>0.7530112870297114</v>
      </c>
      <c r="I465" s="37" t="n">
        <v>0.6947346610267403</v>
      </c>
      <c r="J465" s="37" t="n">
        <v>0.936306258072078</v>
      </c>
      <c r="K465" s="37" t="n">
        <v>0.836216760212118</v>
      </c>
      <c r="L465" s="39" t="inlineStr">
        <is>
          <t>Corregible</t>
        </is>
      </c>
      <c r="M465" s="29" t="n">
        <v>9.801509597714681</v>
      </c>
      <c r="N465" s="35" t="n">
        <v>92.41175303772248</v>
      </c>
      <c r="O465" s="36" t="n">
        <v>1709.800920959823</v>
      </c>
      <c r="P465" s="29" t="n">
        <v>3.535859247336486</v>
      </c>
      <c r="Q465" s="16" t="inlineStr">
        <is>
          <t>no</t>
        </is>
      </c>
      <c r="R465" s="16" t="inlineStr">
        <is>
          <t>O2</t>
        </is>
      </c>
    </row>
    <row r="466">
      <c r="A466" s="16" t="inlineStr">
        <is>
          <t>KF-M04b-0155</t>
        </is>
      </c>
      <c r="B466" s="35" t="n">
        <v>438.3620717370898</v>
      </c>
      <c r="C466" s="35" t="n">
        <v>292.6487290005464</v>
      </c>
      <c r="D466" s="36" t="n">
        <v>2258.175386945265</v>
      </c>
      <c r="E466" s="35" t="n">
        <v>857.3309537002935</v>
      </c>
      <c r="F466" s="37" t="n">
        <v>0.813970216592951</v>
      </c>
      <c r="G466" s="37" t="n">
        <v>0.8369916891863198</v>
      </c>
      <c r="H466" s="37" t="n">
        <v>0.7112463731009322</v>
      </c>
      <c r="I466" s="37" t="n">
        <v>0.6479990420874888</v>
      </c>
      <c r="J466" s="37" t="n">
        <v>0.6857433716672138</v>
      </c>
      <c r="K466" s="37" t="n">
        <v>0.734688132309458</v>
      </c>
      <c r="L466" s="39" t="inlineStr">
        <is>
          <t>Corregible</t>
        </is>
      </c>
      <c r="M466" s="29" t="n">
        <v>7.24242638244474</v>
      </c>
      <c r="N466" s="35" t="n">
        <v>68.75919990768472</v>
      </c>
      <c r="O466" s="36" t="n">
        <v>1400.844433244972</v>
      </c>
      <c r="P466" s="29" t="n">
        <v>2.633959939506255</v>
      </c>
      <c r="Q466" s="16" t="inlineStr">
        <is>
          <t>no</t>
        </is>
      </c>
      <c r="R466" s="16" t="inlineStr">
        <is>
          <t>O2</t>
        </is>
      </c>
    </row>
    <row r="467">
      <c r="A467" s="16" t="inlineStr">
        <is>
          <t>KF-M04b-0156</t>
        </is>
      </c>
      <c r="B467" s="35" t="n">
        <v>431.1062314531932</v>
      </c>
      <c r="C467" s="35" t="n">
        <v>280.7702598705241</v>
      </c>
      <c r="D467" s="36" t="n">
        <v>2547.880207285646</v>
      </c>
      <c r="E467" s="35" t="n">
        <v>1152.816198561386</v>
      </c>
      <c r="F467" s="37" t="n">
        <v>0.7319607703363422</v>
      </c>
      <c r="G467" s="37" t="n">
        <v>0.8888559370167148</v>
      </c>
      <c r="H467" s="37" t="n">
        <v>0.7065146059380883</v>
      </c>
      <c r="I467" s="37" t="n">
        <v>0.6759126896708895</v>
      </c>
      <c r="J467" s="37" t="n">
        <v>0.7299730865907579</v>
      </c>
      <c r="K467" s="37" t="n">
        <v>0.8576611393047293</v>
      </c>
      <c r="L467" s="42" t="inlineStr">
        <is>
          <t>KALINA</t>
        </is>
      </c>
      <c r="M467" s="29" t="n">
        <v>7.103158236384941</v>
      </c>
      <c r="N467" s="35" t="n">
        <v>73.5952062002179</v>
      </c>
      <c r="O467" s="36" t="n">
        <v>1395.06400872426</v>
      </c>
      <c r="P467" s="29" t="n">
        <v>2.210135675110377</v>
      </c>
      <c r="Q467" s="16" t="inlineStr">
        <is>
          <t>no</t>
        </is>
      </c>
      <c r="R467" s="16" t="n"/>
    </row>
    <row r="468">
      <c r="A468" s="16" t="inlineStr">
        <is>
          <t>KF-M04b-0157</t>
        </is>
      </c>
      <c r="B468" s="35" t="n">
        <v>435.3115128889434</v>
      </c>
      <c r="C468" s="35" t="n">
        <v>286.8050947248212</v>
      </c>
      <c r="D468" s="36" t="n">
        <v>2964.476189410884</v>
      </c>
      <c r="E468" s="35" t="n">
        <v>1063.335092272874</v>
      </c>
      <c r="F468" s="37" t="n">
        <v>0.7385414015091101</v>
      </c>
      <c r="G468" s="37" t="n">
        <v>0.75998524154415</v>
      </c>
      <c r="H468" s="37" t="n">
        <v>0.8923256579747677</v>
      </c>
      <c r="I468" s="37" t="n">
        <v>0.6601586444116945</v>
      </c>
      <c r="J468" s="37" t="n">
        <v>0.8812601067299377</v>
      </c>
      <c r="K468" s="37" t="n">
        <v>0.8002175023879344</v>
      </c>
      <c r="L468" s="39" t="inlineStr">
        <is>
          <t>Corregible</t>
        </is>
      </c>
      <c r="M468" s="29" t="n">
        <v>8.117899244915309</v>
      </c>
      <c r="N468" s="35" t="n">
        <v>76.12090412881156</v>
      </c>
      <c r="O468" s="36" t="n">
        <v>1901.14109713801</v>
      </c>
      <c r="P468" s="29" t="n">
        <v>2.787904030397727</v>
      </c>
      <c r="Q468" s="16" t="inlineStr">
        <is>
          <t>no</t>
        </is>
      </c>
      <c r="R468" s="16" t="inlineStr">
        <is>
          <t>O2</t>
        </is>
      </c>
    </row>
    <row r="469">
      <c r="A469" s="16" t="inlineStr">
        <is>
          <t>KF-M04b-0158</t>
        </is>
      </c>
      <c r="B469" s="35" t="n">
        <v>464.5102408159347</v>
      </c>
      <c r="C469" s="35" t="n">
        <v>289.7621749441602</v>
      </c>
      <c r="D469" s="36" t="n">
        <v>3571.407297915099</v>
      </c>
      <c r="E469" s="35" t="n">
        <v>688.2442385216538</v>
      </c>
      <c r="F469" s="37" t="n">
        <v>0.5356850045853754</v>
      </c>
      <c r="G469" s="37" t="n">
        <v>0.8545989527769011</v>
      </c>
      <c r="H469" s="37" t="n">
        <v>0.8599047142450121</v>
      </c>
      <c r="I469" s="37" t="n">
        <v>0.800813221692969</v>
      </c>
      <c r="J469" s="37" t="n">
        <v>0.9393344440366042</v>
      </c>
      <c r="K469" s="37" t="n">
        <v>0.9052736566049636</v>
      </c>
      <c r="L469" s="42" t="inlineStr">
        <is>
          <t>KALINA</t>
        </is>
      </c>
      <c r="M469" s="29" t="n">
        <v>11.85082770802142</v>
      </c>
      <c r="N469" s="35" t="n">
        <v>142.2541328832426</v>
      </c>
      <c r="O469" s="36" t="n">
        <v>2883.163059393445</v>
      </c>
      <c r="P469" s="29" t="n">
        <v>5.189156839999808</v>
      </c>
      <c r="Q469" s="16" t="inlineStr">
        <is>
          <t>sí</t>
        </is>
      </c>
      <c r="R469" s="16" t="n"/>
    </row>
    <row r="470">
      <c r="A470" s="16" t="inlineStr">
        <is>
          <t>KF-M04b-0159</t>
        </is>
      </c>
      <c r="B470" s="35" t="n">
        <v>418.4264071948723</v>
      </c>
      <c r="C470" s="35" t="n">
        <v>296.8444210549123</v>
      </c>
      <c r="D470" s="36" t="n">
        <v>4085.708159249239</v>
      </c>
      <c r="E470" s="35" t="n">
        <v>783.7880728701409</v>
      </c>
      <c r="F470" s="37" t="n">
        <v>0.7245181000994899</v>
      </c>
      <c r="G470" s="37" t="n">
        <v>0.8435839930340712</v>
      </c>
      <c r="H470" s="37" t="n">
        <v>0.6823221272214406</v>
      </c>
      <c r="I470" s="37" t="n">
        <v>0.6928257072761735</v>
      </c>
      <c r="J470" s="37" t="n">
        <v>0.6461182933502631</v>
      </c>
      <c r="K470" s="37" t="n">
        <v>0.8504555665011765</v>
      </c>
      <c r="L470" s="39" t="inlineStr">
        <is>
          <t>Corregible</t>
        </is>
      </c>
      <c r="M470" s="29" t="n">
        <v>11.79529995928597</v>
      </c>
      <c r="N470" s="35" t="n">
        <v>78.28379785141318</v>
      </c>
      <c r="O470" s="36" t="n">
        <v>3301.920086379098</v>
      </c>
      <c r="P470" s="29" t="n">
        <v>5.21277153949007</v>
      </c>
      <c r="Q470" s="16" t="inlineStr">
        <is>
          <t>no</t>
        </is>
      </c>
      <c r="R470" s="16" t="inlineStr">
        <is>
          <t>O2</t>
        </is>
      </c>
    </row>
    <row r="471">
      <c r="A471" s="16" t="inlineStr">
        <is>
          <t>KF-M04b-0160</t>
        </is>
      </c>
      <c r="B471" s="35" t="n">
        <v>498.9522268082118</v>
      </c>
      <c r="C471" s="35" t="n">
        <v>298.4752319563554</v>
      </c>
      <c r="D471" s="36" t="n">
        <v>2421.900119820586</v>
      </c>
      <c r="E471" s="35" t="n">
        <v>876.2542343533936</v>
      </c>
      <c r="F471" s="37" t="n">
        <v>0.8352522941521945</v>
      </c>
      <c r="G471" s="37" t="n">
        <v>0.8672531614760274</v>
      </c>
      <c r="H471" s="37" t="n">
        <v>0.8678765256615362</v>
      </c>
      <c r="I471" s="37" t="n">
        <v>0.8787981071610813</v>
      </c>
      <c r="J471" s="37" t="n">
        <v>0.689924436323652</v>
      </c>
      <c r="K471" s="37" t="n">
        <v>0.8317430282198371</v>
      </c>
      <c r="L471" s="38" t="inlineStr">
        <is>
          <t>Falso convergido</t>
        </is>
      </c>
      <c r="M471" s="29" t="inlineStr">
        <is>
          <t>—</t>
        </is>
      </c>
      <c r="N471" s="35" t="inlineStr">
        <is>
          <t>—</t>
        </is>
      </c>
      <c r="O471" s="36" t="n">
        <v>1545.645885467192</v>
      </c>
      <c r="P471" s="29" t="n">
        <v>2.763924012998074</v>
      </c>
      <c r="Q471" s="16" t="inlineStr">
        <is>
          <t>sí</t>
        </is>
      </c>
      <c r="R471" s="16" t="inlineStr">
        <is>
          <t>N2,O2,O5,C1,C3,C3</t>
        </is>
      </c>
    </row>
    <row r="472">
      <c r="A472" s="16" t="inlineStr">
        <is>
          <t>KF-M04b-0161</t>
        </is>
      </c>
      <c r="B472" s="35" t="n">
        <v>394.991807140974</v>
      </c>
      <c r="C472" s="35" t="n">
        <v>296.023687183944</v>
      </c>
      <c r="D472" s="36" t="n">
        <v>2488.805528706217</v>
      </c>
      <c r="E472" s="35" t="n">
        <v>1074.925149433288</v>
      </c>
      <c r="F472" s="37" t="n">
        <v>0.6888870815158722</v>
      </c>
      <c r="G472" s="37" t="n">
        <v>0.8623960096645299</v>
      </c>
      <c r="H472" s="37" t="n">
        <v>0.7081717185834986</v>
      </c>
      <c r="I472" s="37" t="n">
        <v>0.8083970874985351</v>
      </c>
      <c r="J472" s="37" t="n">
        <v>0.6929020388441528</v>
      </c>
      <c r="K472" s="37" t="n">
        <v>0.8892315356024595</v>
      </c>
      <c r="L472" s="42" t="inlineStr">
        <is>
          <t>KALINA</t>
        </is>
      </c>
      <c r="M472" s="29" t="n">
        <v>6.84031329123391</v>
      </c>
      <c r="N472" s="35" t="n">
        <v>47.7095091825338</v>
      </c>
      <c r="O472" s="36" t="n">
        <v>1413.880379272929</v>
      </c>
      <c r="P472" s="29" t="n">
        <v>2.31532914642321</v>
      </c>
      <c r="Q472" s="16" t="inlineStr">
        <is>
          <t>no</t>
        </is>
      </c>
      <c r="R472" s="16" t="n"/>
    </row>
    <row r="473">
      <c r="A473" s="16" t="inlineStr">
        <is>
          <t>KF-M04b-0162</t>
        </is>
      </c>
      <c r="B473" s="35" t="n">
        <v>431.8626593137864</v>
      </c>
      <c r="C473" s="35" t="n">
        <v>284.7511010623257</v>
      </c>
      <c r="D473" s="36" t="n">
        <v>3399.199210539763</v>
      </c>
      <c r="E473" s="35" t="n">
        <v>375.7774758849193</v>
      </c>
      <c r="F473" s="37" t="n">
        <v>0.6562888388302172</v>
      </c>
      <c r="G473" s="37" t="n">
        <v>0.8992850335913466</v>
      </c>
      <c r="H473" s="37" t="n">
        <v>0.6519065991070582</v>
      </c>
      <c r="I473" s="37" t="n">
        <v>0.6025373210719519</v>
      </c>
      <c r="J473" s="37" t="n">
        <v>0.702932998152477</v>
      </c>
      <c r="K473" s="37" t="n">
        <v>0.7813582173714863</v>
      </c>
      <c r="L473" s="39" t="inlineStr">
        <is>
          <t>Corregible</t>
        </is>
      </c>
      <c r="M473" s="29" t="n">
        <v>15.15671411911223</v>
      </c>
      <c r="N473" s="35" t="n">
        <v>101.40089087314</v>
      </c>
      <c r="O473" s="36" t="n">
        <v>3023.421734654844</v>
      </c>
      <c r="P473" s="29" t="n">
        <v>9.045776899041064</v>
      </c>
      <c r="Q473" s="16" t="inlineStr">
        <is>
          <t>no</t>
        </is>
      </c>
      <c r="R473" s="16" t="inlineStr">
        <is>
          <t>O2</t>
        </is>
      </c>
    </row>
    <row r="474">
      <c r="A474" s="16" t="inlineStr">
        <is>
          <t>KF-M04b-0163</t>
        </is>
      </c>
      <c r="B474" s="35" t="n">
        <v>475.25687509544</v>
      </c>
      <c r="C474" s="35" t="n">
        <v>303.1417591075636</v>
      </c>
      <c r="D474" s="36" t="n">
        <v>2081.052357899298</v>
      </c>
      <c r="E474" s="35" t="n">
        <v>401.8502444634403</v>
      </c>
      <c r="F474" s="37" t="n">
        <v>0.8374577023056713</v>
      </c>
      <c r="G474" s="37" t="n">
        <v>0.7527538701934955</v>
      </c>
      <c r="H474" s="37" t="n">
        <v>0.877019551656681</v>
      </c>
      <c r="I474" s="37" t="n">
        <v>0.772974511534585</v>
      </c>
      <c r="J474" s="37" t="n">
        <v>0.7543174695008326</v>
      </c>
      <c r="K474" s="37" t="n">
        <v>0.8595633247436292</v>
      </c>
      <c r="L474" s="40" t="inlineStr">
        <is>
          <t>Inviable</t>
        </is>
      </c>
      <c r="M474" s="29" t="n">
        <v>-0.82335137351691</v>
      </c>
      <c r="N474" s="35" t="n">
        <v>-4.597215220660587</v>
      </c>
      <c r="O474" s="36" t="n">
        <v>1679.202113435858</v>
      </c>
      <c r="P474" s="29" t="n">
        <v>5.178676351629367</v>
      </c>
      <c r="Q474" s="16" t="inlineStr">
        <is>
          <t>no</t>
        </is>
      </c>
      <c r="R474" s="16" t="inlineStr">
        <is>
          <t>O2,O3</t>
        </is>
      </c>
    </row>
    <row r="475">
      <c r="A475" s="16" t="inlineStr">
        <is>
          <t>KF-M04b-0164</t>
        </is>
      </c>
      <c r="B475" s="35" t="n">
        <v>412.6621631537134</v>
      </c>
      <c r="C475" s="35" t="n">
        <v>301.7114968494935</v>
      </c>
      <c r="D475" s="36" t="n">
        <v>4824.709183522055</v>
      </c>
      <c r="E475" s="35" t="n">
        <v>340.16206457801</v>
      </c>
      <c r="F475" s="37" t="n">
        <v>0.7372560730881929</v>
      </c>
      <c r="G475" s="37" t="n">
        <v>0.8382525113800005</v>
      </c>
      <c r="H475" s="37" t="n">
        <v>0.8116226621931272</v>
      </c>
      <c r="I475" s="37" t="n">
        <v>0.7250034041559776</v>
      </c>
      <c r="J475" s="37" t="n">
        <v>0.7507051587337228</v>
      </c>
      <c r="K475" s="37" t="n">
        <v>0.8717833956239887</v>
      </c>
      <c r="L475" s="40" t="inlineStr">
        <is>
          <t>Inviable</t>
        </is>
      </c>
      <c r="M475" s="29" t="n">
        <v>-93.56724148927444</v>
      </c>
      <c r="N475" s="35" t="n">
        <v>-81.89608673673348</v>
      </c>
      <c r="O475" s="36" t="n">
        <v>4484.547118944045</v>
      </c>
      <c r="P475" s="29" t="n">
        <v>14.18356038468715</v>
      </c>
      <c r="Q475" s="16" t="inlineStr">
        <is>
          <t>no</t>
        </is>
      </c>
      <c r="R475" s="16" t="inlineStr">
        <is>
          <t>O2,O3</t>
        </is>
      </c>
    </row>
    <row r="476">
      <c r="A476" s="16" t="inlineStr">
        <is>
          <t>KF-M04b-0165</t>
        </is>
      </c>
      <c r="B476" s="35" t="n">
        <v>406.2934163156216</v>
      </c>
      <c r="C476" s="35" t="n">
        <v>298.9216552189891</v>
      </c>
      <c r="D476" s="36" t="n">
        <v>4929.43342455066</v>
      </c>
      <c r="E476" s="35" t="n">
        <v>407.3162401136894</v>
      </c>
      <c r="F476" s="37" t="n">
        <v>0.5375775074722442</v>
      </c>
      <c r="G476" s="37" t="n">
        <v>0.8663988167892441</v>
      </c>
      <c r="H476" s="37" t="n">
        <v>0.699611280735946</v>
      </c>
      <c r="I476" s="37" t="n">
        <v>0.8267738112171104</v>
      </c>
      <c r="J476" s="37" t="n">
        <v>0.8644995089026797</v>
      </c>
      <c r="K476" s="37" t="n">
        <v>0.8041243181345762</v>
      </c>
      <c r="L476" s="38" t="inlineStr">
        <is>
          <t>Falso convergido</t>
        </is>
      </c>
      <c r="M476" s="29" t="inlineStr">
        <is>
          <t>—</t>
        </is>
      </c>
      <c r="N476" s="35" t="inlineStr">
        <is>
          <t>—</t>
        </is>
      </c>
      <c r="O476" s="36" t="n">
        <v>4522.11718443697</v>
      </c>
      <c r="P476" s="29" t="n">
        <v>12.10222657258833</v>
      </c>
      <c r="Q476" s="16" t="inlineStr">
        <is>
          <t>no</t>
        </is>
      </c>
      <c r="R476" s="16" t="inlineStr">
        <is>
          <t>N2,O2,O3,O5,C1,C3,C3</t>
        </is>
      </c>
    </row>
    <row r="477">
      <c r="A477" s="16" t="inlineStr">
        <is>
          <t>KF-M04b-0166</t>
        </is>
      </c>
      <c r="B477" s="35" t="n">
        <v>416.7795161817627</v>
      </c>
      <c r="C477" s="35" t="n">
        <v>286.0596338799718</v>
      </c>
      <c r="D477" s="36" t="n">
        <v>3547.150641998355</v>
      </c>
      <c r="E477" s="35" t="n">
        <v>546.9716749659381</v>
      </c>
      <c r="F477" s="37" t="n">
        <v>0.5108428268721068</v>
      </c>
      <c r="G477" s="37" t="n">
        <v>0.9095136432103156</v>
      </c>
      <c r="H477" s="37" t="n">
        <v>0.8737967860880209</v>
      </c>
      <c r="I477" s="37" t="n">
        <v>0.6372344312434328</v>
      </c>
      <c r="J477" s="37" t="n">
        <v>0.6225421125576419</v>
      </c>
      <c r="K477" s="37" t="n">
        <v>0.7175845374990458</v>
      </c>
      <c r="L477" s="42" t="inlineStr">
        <is>
          <t>KALINA</t>
        </is>
      </c>
      <c r="M477" s="29" t="n">
        <v>7.78013947113968</v>
      </c>
      <c r="N477" s="35" t="n">
        <v>26.01588858495738</v>
      </c>
      <c r="O477" s="36" t="n">
        <v>3000.178967032417</v>
      </c>
      <c r="P477" s="29" t="n">
        <v>6.485071904718374</v>
      </c>
      <c r="Q477" s="16" t="inlineStr">
        <is>
          <t>no</t>
        </is>
      </c>
      <c r="R477" s="16" t="n"/>
    </row>
    <row r="478">
      <c r="A478" s="16" t="inlineStr">
        <is>
          <t>KF-M04b-0167</t>
        </is>
      </c>
      <c r="B478" s="35" t="n">
        <v>454.1583016778496</v>
      </c>
      <c r="C478" s="35" t="n">
        <v>284.1159655769282</v>
      </c>
      <c r="D478" s="36" t="n">
        <v>2046.947027378186</v>
      </c>
      <c r="E478" s="35" t="n">
        <v>1280.658961349689</v>
      </c>
      <c r="F478" s="37" t="n">
        <v>0.5844899170621963</v>
      </c>
      <c r="G478" s="37" t="n">
        <v>0.8826602548619811</v>
      </c>
      <c r="H478" s="37" t="n">
        <v>0.8910199078653952</v>
      </c>
      <c r="I478" s="37" t="n">
        <v>0.8043144210450551</v>
      </c>
      <c r="J478" s="37" t="n">
        <v>0.6429578724860098</v>
      </c>
      <c r="K478" s="37" t="n">
        <v>0.9319729820779789</v>
      </c>
      <c r="L478" s="42" t="inlineStr">
        <is>
          <t>KALINA</t>
        </is>
      </c>
      <c r="M478" s="29" t="n">
        <v>3.61202774394704</v>
      </c>
      <c r="N478" s="35" t="n">
        <v>61.08594514208908</v>
      </c>
      <c r="O478" s="36" t="n">
        <v>766.2880660284961</v>
      </c>
      <c r="P478" s="29" t="n">
        <v>1.598354510572357</v>
      </c>
      <c r="Q478" s="16" t="inlineStr">
        <is>
          <t>sí</t>
        </is>
      </c>
      <c r="R478" s="16" t="n"/>
    </row>
    <row r="479">
      <c r="A479" s="16" t="inlineStr">
        <is>
          <t>KF-M04b-0168</t>
        </is>
      </c>
      <c r="B479" s="35" t="n">
        <v>410.6961152136475</v>
      </c>
      <c r="C479" s="35" t="n">
        <v>299.114468528225</v>
      </c>
      <c r="D479" s="36" t="n">
        <v>4519.552970682784</v>
      </c>
      <c r="E479" s="35" t="n">
        <v>488.1157247359498</v>
      </c>
      <c r="F479" s="37" t="n">
        <v>0.6970610872520835</v>
      </c>
      <c r="G479" s="37" t="n">
        <v>0.8542706001302639</v>
      </c>
      <c r="H479" s="37" t="n">
        <v>0.7685507133916438</v>
      </c>
      <c r="I479" s="37" t="n">
        <v>0.7337161273557422</v>
      </c>
      <c r="J479" s="37" t="n">
        <v>0.6740437479193349</v>
      </c>
      <c r="K479" s="37" t="n">
        <v>0.914893557594806</v>
      </c>
      <c r="L479" s="39" t="inlineStr">
        <is>
          <t>Corregible</t>
        </is>
      </c>
      <c r="M479" s="29" t="n">
        <v>3.20268036373081</v>
      </c>
      <c r="N479" s="35" t="n">
        <v>11.417377230635</v>
      </c>
      <c r="O479" s="36" t="n">
        <v>4031.437245946834</v>
      </c>
      <c r="P479" s="29" t="n">
        <v>9.259183307662692</v>
      </c>
      <c r="Q479" s="16" t="inlineStr">
        <is>
          <t>no</t>
        </is>
      </c>
      <c r="R479" s="16" t="inlineStr">
        <is>
          <t>O2</t>
        </is>
      </c>
    </row>
    <row r="480">
      <c r="A480" s="16" t="inlineStr">
        <is>
          <t>KF-M04b-0169</t>
        </is>
      </c>
      <c r="B480" s="35" t="n">
        <v>462.8511481132424</v>
      </c>
      <c r="C480" s="35" t="n">
        <v>296.0809306682136</v>
      </c>
      <c r="D480" s="36" t="n">
        <v>4120.866544605548</v>
      </c>
      <c r="E480" s="35" t="n">
        <v>527.0313370796946</v>
      </c>
      <c r="F480" s="37" t="n">
        <v>0.6986921389667983</v>
      </c>
      <c r="G480" s="37" t="n">
        <v>0.9078683323426748</v>
      </c>
      <c r="H480" s="37" t="n">
        <v>0.8710743332337727</v>
      </c>
      <c r="I480" s="37" t="n">
        <v>0.7806409453804873</v>
      </c>
      <c r="J480" s="37" t="n">
        <v>0.7280070943781979</v>
      </c>
      <c r="K480" s="37" t="n">
        <v>0.8466538649576061</v>
      </c>
      <c r="L480" s="32" t="inlineStr">
        <is>
          <t>No convergió</t>
        </is>
      </c>
      <c r="M480" s="29" t="inlineStr">
        <is>
          <t>—</t>
        </is>
      </c>
      <c r="N480" s="35" t="inlineStr">
        <is>
          <t>—</t>
        </is>
      </c>
      <c r="O480" s="36" t="n">
        <v>3593.835207525853</v>
      </c>
      <c r="P480" s="29" t="n">
        <v>7.819016165982584</v>
      </c>
      <c r="Q480" s="16" t="inlineStr">
        <is>
          <t>no</t>
        </is>
      </c>
      <c r="R480" s="16" t="n"/>
    </row>
    <row r="481">
      <c r="A481" s="16" t="inlineStr">
        <is>
          <t>KF-M04b-0170</t>
        </is>
      </c>
      <c r="B481" s="35" t="n">
        <v>440.2731781034814</v>
      </c>
      <c r="C481" s="35" t="n">
        <v>282.9501882440261</v>
      </c>
      <c r="D481" s="36" t="n">
        <v>3834.173673035498</v>
      </c>
      <c r="E481" s="35" t="n">
        <v>1150.635832573309</v>
      </c>
      <c r="F481" s="37" t="n">
        <v>0.6420586981000159</v>
      </c>
      <c r="G481" s="37" t="n">
        <v>0.7965044704681661</v>
      </c>
      <c r="H481" s="37" t="n">
        <v>0.7658148027334306</v>
      </c>
      <c r="I481" s="37" t="n">
        <v>0.9205889747093788</v>
      </c>
      <c r="J481" s="37" t="n">
        <v>0.927650748337588</v>
      </c>
      <c r="K481" s="37" t="n">
        <v>0.8789548877363722</v>
      </c>
      <c r="L481" s="42" t="inlineStr">
        <is>
          <t>KALINA</t>
        </is>
      </c>
      <c r="M481" s="29" t="n">
        <v>8.81519632600566</v>
      </c>
      <c r="N481" s="35" t="n">
        <v>92.22619640764448</v>
      </c>
      <c r="O481" s="36" t="n">
        <v>2683.53784046219</v>
      </c>
      <c r="P481" s="29" t="n">
        <v>3.332221685170941</v>
      </c>
      <c r="Q481" s="16" t="inlineStr">
        <is>
          <t>sí</t>
        </is>
      </c>
      <c r="R481" s="16" t="n"/>
    </row>
    <row r="482">
      <c r="A482" s="16" t="inlineStr">
        <is>
          <t>KF-M04b-0171</t>
        </is>
      </c>
      <c r="B482" s="35" t="n">
        <v>480.0392375515158</v>
      </c>
      <c r="C482" s="35" t="n">
        <v>279.4725137593469</v>
      </c>
      <c r="D482" s="36" t="n">
        <v>4145.887674295072</v>
      </c>
      <c r="E482" s="35" t="n">
        <v>1240.754443539701</v>
      </c>
      <c r="F482" s="37" t="n">
        <v>0.7855508584235484</v>
      </c>
      <c r="G482" s="37" t="n">
        <v>0.8024966575233494</v>
      </c>
      <c r="H482" s="37" t="n">
        <v>0.7372822136900301</v>
      </c>
      <c r="I482" s="37" t="n">
        <v>0.8330443128284675</v>
      </c>
      <c r="J482" s="37" t="n">
        <v>0.7812803337039018</v>
      </c>
      <c r="K482" s="37" t="n">
        <v>0.7908207791285984</v>
      </c>
      <c r="L482" s="39" t="inlineStr">
        <is>
          <t>Corregible</t>
        </is>
      </c>
      <c r="M482" s="29" t="n">
        <v>9.74190167406446</v>
      </c>
      <c r="N482" s="35" t="n">
        <v>134.1409248826088</v>
      </c>
      <c r="O482" s="36" t="n">
        <v>2905.133230755371</v>
      </c>
      <c r="P482" s="29" t="n">
        <v>3.34142480478847</v>
      </c>
      <c r="Q482" s="16" t="inlineStr">
        <is>
          <t>sí</t>
        </is>
      </c>
      <c r="R482" s="16" t="inlineStr">
        <is>
          <t>O2</t>
        </is>
      </c>
    </row>
    <row r="483">
      <c r="A483" s="16" t="inlineStr">
        <is>
          <t>KF-M04b-0172</t>
        </is>
      </c>
      <c r="B483" s="35" t="n">
        <v>458.24818958148</v>
      </c>
      <c r="C483" s="35" t="n">
        <v>289.592376733426</v>
      </c>
      <c r="D483" s="36" t="n">
        <v>3876.840930918905</v>
      </c>
      <c r="E483" s="35" t="n">
        <v>1413.172395788022</v>
      </c>
      <c r="F483" s="37" t="n">
        <v>0.7050828901064928</v>
      </c>
      <c r="G483" s="37" t="n">
        <v>0.8527672727512298</v>
      </c>
      <c r="H483" s="37" t="n">
        <v>0.7278800513988755</v>
      </c>
      <c r="I483" s="37" t="n">
        <v>0.945635539786532</v>
      </c>
      <c r="J483" s="37" t="n">
        <v>0.6501641702402943</v>
      </c>
      <c r="K483" s="37" t="n">
        <v>0.9451285601180408</v>
      </c>
      <c r="L483" s="42" t="inlineStr">
        <is>
          <t>KALINA</t>
        </is>
      </c>
      <c r="M483" s="29" t="n">
        <v>7.803098599929161</v>
      </c>
      <c r="N483" s="35" t="n">
        <v>135.4879326635395</v>
      </c>
      <c r="O483" s="36" t="n">
        <v>2463.668535130884</v>
      </c>
      <c r="P483" s="29" t="n">
        <v>2.743360217390234</v>
      </c>
      <c r="Q483" s="16" t="inlineStr">
        <is>
          <t>sí</t>
        </is>
      </c>
      <c r="R483" s="16" t="n"/>
    </row>
    <row r="484">
      <c r="A484" s="16" t="inlineStr">
        <is>
          <t>KF-M04b-0173</t>
        </is>
      </c>
      <c r="B484" s="35" t="n">
        <v>389.2318753591857</v>
      </c>
      <c r="C484" s="35" t="n">
        <v>278.8335129218995</v>
      </c>
      <c r="D484" s="36" t="n">
        <v>3416.920064932184</v>
      </c>
      <c r="E484" s="35" t="n">
        <v>1245.228726760481</v>
      </c>
      <c r="F484" s="37" t="n">
        <v>0.7597533184686796</v>
      </c>
      <c r="G484" s="37" t="n">
        <v>0.7516408764698431</v>
      </c>
      <c r="H484" s="37" t="n">
        <v>0.7381747671119719</v>
      </c>
      <c r="I484" s="37" t="n">
        <v>0.7711778627398528</v>
      </c>
      <c r="J484" s="37" t="n">
        <v>0.9012623066684242</v>
      </c>
      <c r="K484" s="37" t="n">
        <v>0.837871782769316</v>
      </c>
      <c r="L484" s="42" t="inlineStr">
        <is>
          <t>KALINA</t>
        </is>
      </c>
      <c r="M484" s="29" t="n">
        <v>7.02456387137891</v>
      </c>
      <c r="N484" s="35" t="n">
        <v>41.60033783731254</v>
      </c>
      <c r="O484" s="36" t="n">
        <v>2171.691338171703</v>
      </c>
      <c r="P484" s="29" t="n">
        <v>2.74400998908968</v>
      </c>
      <c r="Q484" s="16" t="inlineStr">
        <is>
          <t>no</t>
        </is>
      </c>
      <c r="R484" s="16" t="n"/>
    </row>
    <row r="485">
      <c r="A485" s="16" t="inlineStr">
        <is>
          <t>KF-M04b-0174</t>
        </is>
      </c>
      <c r="B485" s="35" t="n">
        <v>457.5001050452224</v>
      </c>
      <c r="C485" s="35" t="n">
        <v>296.725699367502</v>
      </c>
      <c r="D485" s="36" t="n">
        <v>3938.333618433051</v>
      </c>
      <c r="E485" s="35" t="n">
        <v>1233.348173165551</v>
      </c>
      <c r="F485" s="37" t="n">
        <v>0.757052013558474</v>
      </c>
      <c r="G485" s="37" t="n">
        <v>0.8285666750212526</v>
      </c>
      <c r="H485" s="37" t="n">
        <v>0.818731099641108</v>
      </c>
      <c r="I485" s="37" t="n">
        <v>0.9374503284664994</v>
      </c>
      <c r="J485" s="37" t="n">
        <v>0.929634325496226</v>
      </c>
      <c r="K485" s="37" t="n">
        <v>0.7204063486277248</v>
      </c>
      <c r="L485" s="39" t="inlineStr">
        <is>
          <t>Corregible</t>
        </is>
      </c>
      <c r="M485" s="29" t="n">
        <v>8.604528209493759</v>
      </c>
      <c r="N485" s="35" t="n">
        <v>113.0401914769856</v>
      </c>
      <c r="O485" s="36" t="n">
        <v>2704.9854452675</v>
      </c>
      <c r="P485" s="29" t="n">
        <v>3.193205052815538</v>
      </c>
      <c r="Q485" s="16" t="inlineStr">
        <is>
          <t>sí</t>
        </is>
      </c>
      <c r="R485" s="16" t="inlineStr">
        <is>
          <t>O2</t>
        </is>
      </c>
    </row>
    <row r="486">
      <c r="A486" s="16" t="inlineStr">
        <is>
          <t>KF-M04b-0175</t>
        </is>
      </c>
      <c r="B486" s="35" t="n">
        <v>434.4453494010097</v>
      </c>
      <c r="C486" s="35" t="n">
        <v>283.5674584746307</v>
      </c>
      <c r="D486" s="36" t="n">
        <v>4977.044106507237</v>
      </c>
      <c r="E486" s="35" t="n">
        <v>887.9396816713631</v>
      </c>
      <c r="F486" s="37" t="n">
        <v>0.7018364754333274</v>
      </c>
      <c r="G486" s="37" t="n">
        <v>0.8333279127072195</v>
      </c>
      <c r="H486" s="37" t="n">
        <v>0.7295637445942526</v>
      </c>
      <c r="I486" s="37" t="n">
        <v>0.7366614819534509</v>
      </c>
      <c r="J486" s="37" t="n">
        <v>0.6560669114491485</v>
      </c>
      <c r="K486" s="37" t="n">
        <v>0.7452686343424072</v>
      </c>
      <c r="L486" s="39" t="inlineStr">
        <is>
          <t>Corregible</t>
        </is>
      </c>
      <c r="M486" s="29" t="n">
        <v>12.30566365233746</v>
      </c>
      <c r="N486" s="35" t="n">
        <v>87.78800769528797</v>
      </c>
      <c r="O486" s="36" t="n">
        <v>4089.104424835874</v>
      </c>
      <c r="P486" s="29" t="n">
        <v>5.605160135583736</v>
      </c>
      <c r="Q486" s="16" t="inlineStr">
        <is>
          <t>no</t>
        </is>
      </c>
      <c r="R486" s="16" t="inlineStr">
        <is>
          <t>O2</t>
        </is>
      </c>
    </row>
    <row r="487">
      <c r="A487" s="16" t="inlineStr">
        <is>
          <t>KF-M04b-0176</t>
        </is>
      </c>
      <c r="B487" s="35" t="n">
        <v>390.1543459973672</v>
      </c>
      <c r="C487" s="35" t="n">
        <v>291.6978679529486</v>
      </c>
      <c r="D487" s="36" t="n">
        <v>4618.005423446417</v>
      </c>
      <c r="E487" s="35" t="n">
        <v>1275.004073771255</v>
      </c>
      <c r="F487" s="37" t="n">
        <v>0.79298242659503</v>
      </c>
      <c r="G487" s="37" t="n">
        <v>0.8421106513034227</v>
      </c>
      <c r="H487" s="37" t="n">
        <v>0.6946353868407199</v>
      </c>
      <c r="I487" s="37" t="n">
        <v>0.6261821020860203</v>
      </c>
      <c r="J487" s="37" t="n">
        <v>0.6041554636199556</v>
      </c>
      <c r="K487" s="37" t="n">
        <v>0.939197544292364</v>
      </c>
      <c r="L487" s="42" t="inlineStr">
        <is>
          <t>KALINA</t>
        </is>
      </c>
      <c r="M487" s="29" t="n">
        <v>6.515064899995029</v>
      </c>
      <c r="N487" s="35" t="n">
        <v>28.76576947296192</v>
      </c>
      <c r="O487" s="36" t="n">
        <v>3343.001349675162</v>
      </c>
      <c r="P487" s="29" t="n">
        <v>3.621953465440393</v>
      </c>
      <c r="Q487" s="16" t="inlineStr">
        <is>
          <t>no</t>
        </is>
      </c>
      <c r="R487" s="16" t="n"/>
    </row>
    <row r="488">
      <c r="A488" s="16" t="inlineStr">
        <is>
          <t>KF-M04b-0177</t>
        </is>
      </c>
      <c r="B488" s="35" t="n">
        <v>492.5493337836681</v>
      </c>
      <c r="C488" s="35" t="n">
        <v>280.3329749953295</v>
      </c>
      <c r="D488" s="36" t="n">
        <v>4663.407950127952</v>
      </c>
      <c r="E488" s="35" t="n">
        <v>841.0457733940583</v>
      </c>
      <c r="F488" s="37" t="n">
        <v>0.685689918604843</v>
      </c>
      <c r="G488" s="37" t="n">
        <v>0.8695517013828283</v>
      </c>
      <c r="H488" s="37" t="n">
        <v>0.7424087701884761</v>
      </c>
      <c r="I488" s="37" t="n">
        <v>0.6737100162714326</v>
      </c>
      <c r="J488" s="37" t="n">
        <v>0.7498167042213643</v>
      </c>
      <c r="K488" s="37" t="n">
        <v>0.7287068146939223</v>
      </c>
      <c r="L488" s="39" t="inlineStr">
        <is>
          <t>Corregible</t>
        </is>
      </c>
      <c r="M488" s="29" t="n">
        <v>13.36857251988822</v>
      </c>
      <c r="N488" s="35" t="n">
        <v>154.1630193359441</v>
      </c>
      <c r="O488" s="36" t="n">
        <v>3822.362176733894</v>
      </c>
      <c r="P488" s="29" t="n">
        <v>5.544773064263398</v>
      </c>
      <c r="Q488" s="16" t="inlineStr">
        <is>
          <t>sí</t>
        </is>
      </c>
      <c r="R488" s="16" t="inlineStr">
        <is>
          <t>O2</t>
        </is>
      </c>
    </row>
    <row r="489">
      <c r="A489" s="16" t="inlineStr">
        <is>
          <t>KF-M04b-0178</t>
        </is>
      </c>
      <c r="B489" s="35" t="n">
        <v>399.4557273742422</v>
      </c>
      <c r="C489" s="35" t="n">
        <v>280.8967472316744</v>
      </c>
      <c r="D489" s="36" t="n">
        <v>3079.970124219652</v>
      </c>
      <c r="E489" s="35" t="n">
        <v>569.7640411257477</v>
      </c>
      <c r="F489" s="37" t="n">
        <v>0.5973346917008427</v>
      </c>
      <c r="G489" s="37" t="n">
        <v>0.8969903906138067</v>
      </c>
      <c r="H489" s="37" t="n">
        <v>0.6509198421423426</v>
      </c>
      <c r="I489" s="37" t="n">
        <v>0.8954361879889718</v>
      </c>
      <c r="J489" s="37" t="n">
        <v>0.9339170055932358</v>
      </c>
      <c r="K489" s="37" t="n">
        <v>0.7382746858607905</v>
      </c>
      <c r="L489" s="39" t="inlineStr">
        <is>
          <t>Corregible</t>
        </is>
      </c>
      <c r="M489" s="29" t="n">
        <v>13.13587797983928</v>
      </c>
      <c r="N489" s="35" t="n">
        <v>59.99047615282109</v>
      </c>
      <c r="O489" s="36" t="n">
        <v>2510.206083093904</v>
      </c>
      <c r="P489" s="29" t="n">
        <v>5.405694115294121</v>
      </c>
      <c r="Q489" s="16" t="inlineStr">
        <is>
          <t>no</t>
        </is>
      </c>
      <c r="R489" s="16" t="inlineStr">
        <is>
          <t>O2</t>
        </is>
      </c>
    </row>
    <row r="490">
      <c r="A490" s="16" t="inlineStr">
        <is>
          <t>KF-M04b-0179</t>
        </is>
      </c>
      <c r="B490" s="35" t="n">
        <v>393.3562936570744</v>
      </c>
      <c r="C490" s="35" t="n">
        <v>293.1879647427633</v>
      </c>
      <c r="D490" s="36" t="n">
        <v>2587.28049139648</v>
      </c>
      <c r="E490" s="35" t="n">
        <v>1013.86509483878</v>
      </c>
      <c r="F490" s="37" t="n">
        <v>0.7847841016823012</v>
      </c>
      <c r="G490" s="37" t="n">
        <v>0.8310880721811732</v>
      </c>
      <c r="H490" s="37" t="n">
        <v>0.8103517789493251</v>
      </c>
      <c r="I490" s="37" t="n">
        <v>0.6425250589570349</v>
      </c>
      <c r="J490" s="37" t="n">
        <v>0.6032065568424584</v>
      </c>
      <c r="K490" s="37" t="n">
        <v>0.7772383111419592</v>
      </c>
      <c r="L490" s="39" t="inlineStr">
        <is>
          <t>Corregible</t>
        </is>
      </c>
      <c r="M490" s="29" t="n">
        <v>7.613153591295251</v>
      </c>
      <c r="N490" s="35" t="n">
        <v>48.42456907750227</v>
      </c>
      <c r="O490" s="36" t="n">
        <v>1573.4153965577</v>
      </c>
      <c r="P490" s="29" t="n">
        <v>2.551898181096665</v>
      </c>
      <c r="Q490" s="16" t="inlineStr">
        <is>
          <t>no</t>
        </is>
      </c>
      <c r="R490" s="16" t="inlineStr">
        <is>
          <t>O2</t>
        </is>
      </c>
    </row>
    <row r="491">
      <c r="A491" s="16" t="inlineStr">
        <is>
          <t>KF-M04b-0180</t>
        </is>
      </c>
      <c r="B491" s="35" t="n">
        <v>484.7683450267998</v>
      </c>
      <c r="C491" s="35" t="n">
        <v>285.461392130312</v>
      </c>
      <c r="D491" s="36" t="n">
        <v>3199.684546717047</v>
      </c>
      <c r="E491" s="35" t="n">
        <v>769.1235100428783</v>
      </c>
      <c r="F491" s="37" t="n">
        <v>0.5724731943357252</v>
      </c>
      <c r="G491" s="37" t="n">
        <v>0.7716974116551358</v>
      </c>
      <c r="H491" s="37" t="n">
        <v>0.8672320606870144</v>
      </c>
      <c r="I491" s="37" t="n">
        <v>0.6524619043936972</v>
      </c>
      <c r="J491" s="37" t="n">
        <v>0.882813669767659</v>
      </c>
      <c r="K491" s="37" t="n">
        <v>0.9173041622058538</v>
      </c>
      <c r="L491" s="42" t="inlineStr">
        <is>
          <t>KALINA</t>
        </is>
      </c>
      <c r="M491" s="29" t="n">
        <v>9.33654583245727</v>
      </c>
      <c r="N491" s="35" t="n">
        <v>124.4723565466827</v>
      </c>
      <c r="O491" s="36" t="n">
        <v>2430.561036674168</v>
      </c>
      <c r="P491" s="29" t="n">
        <v>4.160169992123458</v>
      </c>
      <c r="Q491" s="16" t="inlineStr">
        <is>
          <t>sí</t>
        </is>
      </c>
      <c r="R491" s="16" t="n"/>
    </row>
    <row r="492">
      <c r="A492" s="16" t="inlineStr">
        <is>
          <t>KF-M04b-0181</t>
        </is>
      </c>
      <c r="B492" s="35" t="n">
        <v>398.3758041155251</v>
      </c>
      <c r="C492" s="35" t="n">
        <v>281.4296374409729</v>
      </c>
      <c r="D492" s="36" t="n">
        <v>4421.474582446555</v>
      </c>
      <c r="E492" s="35" t="n">
        <v>436.2132959577355</v>
      </c>
      <c r="F492" s="37" t="n">
        <v>0.6548018604568984</v>
      </c>
      <c r="G492" s="37" t="n">
        <v>0.8847424993071954</v>
      </c>
      <c r="H492" s="37" t="n">
        <v>0.684882767281219</v>
      </c>
      <c r="I492" s="37" t="n">
        <v>0.9165473487755524</v>
      </c>
      <c r="J492" s="37" t="n">
        <v>0.9402923538982402</v>
      </c>
      <c r="K492" s="37" t="n">
        <v>0.7629379491099502</v>
      </c>
      <c r="L492" s="39" t="inlineStr">
        <is>
          <t>Corregible</t>
        </is>
      </c>
      <c r="M492" s="29" t="n">
        <v>15.55458340034617</v>
      </c>
      <c r="N492" s="35" t="n">
        <v>53.61018040055865</v>
      </c>
      <c r="O492" s="36" t="n">
        <v>3985.26128648882</v>
      </c>
      <c r="P492" s="29" t="n">
        <v>10.13603808829099</v>
      </c>
      <c r="Q492" s="16" t="inlineStr">
        <is>
          <t>no</t>
        </is>
      </c>
      <c r="R492" s="16" t="inlineStr">
        <is>
          <t>O2</t>
        </is>
      </c>
    </row>
    <row r="493">
      <c r="A493" s="16" t="inlineStr">
        <is>
          <t>KF-M04b-0182</t>
        </is>
      </c>
      <c r="B493" s="35" t="n">
        <v>439.4566563168345</v>
      </c>
      <c r="C493" s="35" t="n">
        <v>298.1997871104812</v>
      </c>
      <c r="D493" s="36" t="n">
        <v>2855.587170748473</v>
      </c>
      <c r="E493" s="35" t="n">
        <v>767.0431789487776</v>
      </c>
      <c r="F493" s="37" t="n">
        <v>0.5572708938120979</v>
      </c>
      <c r="G493" s="37" t="n">
        <v>0.918619466224385</v>
      </c>
      <c r="H493" s="37" t="n">
        <v>0.775732205685845</v>
      </c>
      <c r="I493" s="37" t="n">
        <v>0.8557916266288472</v>
      </c>
      <c r="J493" s="37" t="n">
        <v>0.8565995350543445</v>
      </c>
      <c r="K493" s="37" t="n">
        <v>0.7919351667229676</v>
      </c>
      <c r="L493" s="39" t="inlineStr">
        <is>
          <t>Corregible</t>
        </is>
      </c>
      <c r="M493" s="29" t="n">
        <v>10.95563560051162</v>
      </c>
      <c r="N493" s="35" t="n">
        <v>100.1659856417039</v>
      </c>
      <c r="O493" s="36" t="n">
        <v>2088.543991799696</v>
      </c>
      <c r="P493" s="29" t="n">
        <v>3.722850615348691</v>
      </c>
      <c r="Q493" s="16" t="inlineStr">
        <is>
          <t>sí</t>
        </is>
      </c>
      <c r="R493" s="16" t="inlineStr">
        <is>
          <t>O2</t>
        </is>
      </c>
    </row>
    <row r="494">
      <c r="A494" s="16" t="inlineStr">
        <is>
          <t>KF-M04b-0183</t>
        </is>
      </c>
      <c r="B494" s="35" t="n">
        <v>422.0146889680343</v>
      </c>
      <c r="C494" s="35" t="n">
        <v>294.2090012348785</v>
      </c>
      <c r="D494" s="36" t="n">
        <v>3241.530694083611</v>
      </c>
      <c r="E494" s="35" t="n">
        <v>1213.870757203076</v>
      </c>
      <c r="F494" s="37" t="n">
        <v>0.7520275743054916</v>
      </c>
      <c r="G494" s="37" t="n">
        <v>0.8747911903229773</v>
      </c>
      <c r="H494" s="37" t="n">
        <v>0.7825122906910151</v>
      </c>
      <c r="I494" s="37" t="n">
        <v>0.9017010140915503</v>
      </c>
      <c r="J494" s="37" t="n">
        <v>0.8127164669238599</v>
      </c>
      <c r="K494" s="37" t="n">
        <v>0.7733067189926649</v>
      </c>
      <c r="L494" s="39" t="inlineStr">
        <is>
          <t>Corregible</t>
        </is>
      </c>
      <c r="M494" s="29" t="n">
        <v>8.85961606678333</v>
      </c>
      <c r="N494" s="35" t="n">
        <v>86.89752129848866</v>
      </c>
      <c r="O494" s="36" t="n">
        <v>2027.659936880534</v>
      </c>
      <c r="P494" s="29" t="n">
        <v>2.670408422682939</v>
      </c>
      <c r="Q494" s="16" t="inlineStr">
        <is>
          <t>no</t>
        </is>
      </c>
      <c r="R494" s="16" t="inlineStr">
        <is>
          <t>O2</t>
        </is>
      </c>
    </row>
    <row r="495">
      <c r="A495" s="16" t="inlineStr">
        <is>
          <t>KF-M04b-0184</t>
        </is>
      </c>
      <c r="B495" s="35" t="n">
        <v>404.5641237085016</v>
      </c>
      <c r="C495" s="35" t="n">
        <v>281.4820482638185</v>
      </c>
      <c r="D495" s="36" t="n">
        <v>2921.798925985498</v>
      </c>
      <c r="E495" s="35" t="n">
        <v>1142.295616276611</v>
      </c>
      <c r="F495" s="37" t="n">
        <v>0.8246969867746188</v>
      </c>
      <c r="G495" s="37" t="n">
        <v>0.9059458071668296</v>
      </c>
      <c r="H495" s="37" t="n">
        <v>0.8323162593849371</v>
      </c>
      <c r="I495" s="37" t="n">
        <v>0.6528292309911017</v>
      </c>
      <c r="J495" s="37" t="n">
        <v>0.8903363523148566</v>
      </c>
      <c r="K495" s="37" t="n">
        <v>0.8709624561153071</v>
      </c>
      <c r="L495" s="42" t="inlineStr">
        <is>
          <t>KALINA</t>
        </is>
      </c>
      <c r="M495" s="29" t="n">
        <v>8.65531607346972</v>
      </c>
      <c r="N495" s="35" t="n">
        <v>67.78478417175586</v>
      </c>
      <c r="O495" s="36" t="n">
        <v>1779.503309708887</v>
      </c>
      <c r="P495" s="29" t="n">
        <v>2.557830813979044</v>
      </c>
      <c r="Q495" s="16" t="inlineStr">
        <is>
          <t>no</t>
        </is>
      </c>
      <c r="R495" s="16" t="n"/>
    </row>
    <row r="496">
      <c r="A496" s="16" t="inlineStr">
        <is>
          <t>KF-M04b-0185</t>
        </is>
      </c>
      <c r="B496" s="35" t="n">
        <v>497.6181437154366</v>
      </c>
      <c r="C496" s="35" t="n">
        <v>302.0266377224469</v>
      </c>
      <c r="D496" s="36" t="n">
        <v>4043.992285696097</v>
      </c>
      <c r="E496" s="35" t="n">
        <v>828.3142548484592</v>
      </c>
      <c r="F496" s="37" t="n">
        <v>0.6252432639853782</v>
      </c>
      <c r="G496" s="37" t="n">
        <v>0.7652943472590616</v>
      </c>
      <c r="H496" s="37" t="n">
        <v>0.657704311961379</v>
      </c>
      <c r="I496" s="37" t="n">
        <v>0.667853023361641</v>
      </c>
      <c r="J496" s="37" t="n">
        <v>0.6884739684791696</v>
      </c>
      <c r="K496" s="37" t="n">
        <v>0.9336172202995791</v>
      </c>
      <c r="L496" s="39" t="inlineStr">
        <is>
          <t>Corregible</t>
        </is>
      </c>
      <c r="M496" s="29" t="n">
        <v>10.40175425750011</v>
      </c>
      <c r="N496" s="35" t="n">
        <v>138.325269769262</v>
      </c>
      <c r="O496" s="36" t="n">
        <v>3215.678030847638</v>
      </c>
      <c r="P496" s="29" t="n">
        <v>4.882195690856424</v>
      </c>
      <c r="Q496" s="16" t="inlineStr">
        <is>
          <t>sí</t>
        </is>
      </c>
      <c r="R496" s="16" t="inlineStr">
        <is>
          <t>O2</t>
        </is>
      </c>
    </row>
    <row r="497">
      <c r="A497" s="16" t="inlineStr">
        <is>
          <t>KF-M04b-0186</t>
        </is>
      </c>
      <c r="B497" s="35" t="n">
        <v>483.225047978744</v>
      </c>
      <c r="C497" s="35" t="n">
        <v>294.8280315023758</v>
      </c>
      <c r="D497" s="36" t="n">
        <v>3718.573104357165</v>
      </c>
      <c r="E497" s="35" t="n">
        <v>1438.218115492034</v>
      </c>
      <c r="F497" s="37" t="n">
        <v>0.8275207808707826</v>
      </c>
      <c r="G497" s="37" t="n">
        <v>0.7911930380752734</v>
      </c>
      <c r="H497" s="37" t="n">
        <v>0.804570613120741</v>
      </c>
      <c r="I497" s="37" t="n">
        <v>0.6568376939980793</v>
      </c>
      <c r="J497" s="37" t="n">
        <v>0.7089328272068571</v>
      </c>
      <c r="K497" s="37" t="n">
        <v>0.9252770541692577</v>
      </c>
      <c r="L497" s="42" t="inlineStr">
        <is>
          <t>KALINA</t>
        </is>
      </c>
      <c r="M497" s="29" t="n">
        <v>7.803202926305659</v>
      </c>
      <c r="N497" s="35" t="n">
        <v>89.55641235995047</v>
      </c>
      <c r="O497" s="36" t="n">
        <v>2280.354988865131</v>
      </c>
      <c r="P497" s="29" t="n">
        <v>2.585541834233529</v>
      </c>
      <c r="Q497" s="16" t="inlineStr">
        <is>
          <t>no</t>
        </is>
      </c>
      <c r="R497" s="16" t="n"/>
    </row>
    <row r="498">
      <c r="A498" s="16" t="inlineStr">
        <is>
          <t>KF-M04b-0187</t>
        </is>
      </c>
      <c r="B498" s="35" t="n">
        <v>448.3838390528537</v>
      </c>
      <c r="C498" s="35" t="n">
        <v>297.805543585852</v>
      </c>
      <c r="D498" s="36" t="n">
        <v>3093.893829465327</v>
      </c>
      <c r="E498" s="35" t="n">
        <v>352.4653803887509</v>
      </c>
      <c r="F498" s="37" t="n">
        <v>0.5836258989346002</v>
      </c>
      <c r="G498" s="37" t="n">
        <v>0.7782603753910349</v>
      </c>
      <c r="H498" s="37" t="n">
        <v>0.8224298587157792</v>
      </c>
      <c r="I498" s="37" t="n">
        <v>0.8018539057109488</v>
      </c>
      <c r="J498" s="37" t="n">
        <v>0.7895072102396334</v>
      </c>
      <c r="K498" s="37" t="n">
        <v>0.7607735673618223</v>
      </c>
      <c r="L498" s="39" t="inlineStr">
        <is>
          <t>Corregible</t>
        </is>
      </c>
      <c r="M498" s="29" t="n">
        <v>10.52349635737272</v>
      </c>
      <c r="N498" s="35" t="n">
        <v>89.89292206838959</v>
      </c>
      <c r="O498" s="36" t="n">
        <v>2741.428449076576</v>
      </c>
      <c r="P498" s="29" t="n">
        <v>8.777865860337613</v>
      </c>
      <c r="Q498" s="16" t="inlineStr">
        <is>
          <t>sí</t>
        </is>
      </c>
      <c r="R498" s="16" t="inlineStr">
        <is>
          <t>O2</t>
        </is>
      </c>
    </row>
    <row r="499">
      <c r="A499" s="16" t="inlineStr">
        <is>
          <t>KF-M04b-0188</t>
        </is>
      </c>
      <c r="B499" s="35" t="n">
        <v>491.1149939516986</v>
      </c>
      <c r="C499" s="35" t="n">
        <v>284.9223386166307</v>
      </c>
      <c r="D499" s="36" t="n">
        <v>4920.880380918463</v>
      </c>
      <c r="E499" s="35" t="n">
        <v>1032.970525554797</v>
      </c>
      <c r="F499" s="37" t="n">
        <v>0.8295699640650269</v>
      </c>
      <c r="G499" s="37" t="n">
        <v>0.9028408685182278</v>
      </c>
      <c r="H499" s="37" t="n">
        <v>0.7586712772701348</v>
      </c>
      <c r="I499" s="37" t="n">
        <v>0.6330918989205325</v>
      </c>
      <c r="J499" s="37" t="n">
        <v>0.9220088850088608</v>
      </c>
      <c r="K499" s="37" t="n">
        <v>0.7781667185064352</v>
      </c>
      <c r="L499" s="32" t="inlineStr">
        <is>
          <t>No convergió</t>
        </is>
      </c>
      <c r="M499" s="29" t="inlineStr">
        <is>
          <t>—</t>
        </is>
      </c>
      <c r="N499" s="35" t="inlineStr">
        <is>
          <t>—</t>
        </is>
      </c>
      <c r="O499" s="36" t="n">
        <v>3887.909855363666</v>
      </c>
      <c r="P499" s="29" t="n">
        <v>4.763814900019063</v>
      </c>
      <c r="Q499" s="16" t="inlineStr">
        <is>
          <t>no</t>
        </is>
      </c>
      <c r="R499" s="16" t="n"/>
    </row>
    <row r="500">
      <c r="A500" s="16" t="inlineStr">
        <is>
          <t>KF-M04b-0189</t>
        </is>
      </c>
      <c r="B500" s="35" t="n">
        <v>430.0018330420809</v>
      </c>
      <c r="C500" s="35" t="n">
        <v>282.0333386924513</v>
      </c>
      <c r="D500" s="36" t="n">
        <v>3539.531349768299</v>
      </c>
      <c r="E500" s="35" t="n">
        <v>1184.909450503314</v>
      </c>
      <c r="F500" s="37" t="n">
        <v>0.8174660129117255</v>
      </c>
      <c r="G500" s="37" t="n">
        <v>0.7565069807630693</v>
      </c>
      <c r="H500" s="37" t="n">
        <v>0.7115504530063381</v>
      </c>
      <c r="I500" s="37" t="n">
        <v>0.9334846391959348</v>
      </c>
      <c r="J500" s="37" t="n">
        <v>0.6348169965952418</v>
      </c>
      <c r="K500" s="37" t="n">
        <v>0.9339470323499928</v>
      </c>
      <c r="L500" s="42" t="inlineStr">
        <is>
          <t>KALINA</t>
        </is>
      </c>
      <c r="M500" s="29" t="n">
        <v>8.08678681377531</v>
      </c>
      <c r="N500" s="35" t="n">
        <v>115.6173678321987</v>
      </c>
      <c r="O500" s="36" t="n">
        <v>2354.621899264985</v>
      </c>
      <c r="P500" s="29" t="n">
        <v>2.987174545924006</v>
      </c>
      <c r="Q500" s="16" t="inlineStr">
        <is>
          <t>sí</t>
        </is>
      </c>
      <c r="R500" s="16" t="n"/>
    </row>
    <row r="501">
      <c r="A501" s="16" t="inlineStr">
        <is>
          <t>KF-M04b-0190</t>
        </is>
      </c>
      <c r="B501" s="35" t="n">
        <v>426.48643204369</v>
      </c>
      <c r="C501" s="35" t="n">
        <v>285.9273896361529</v>
      </c>
      <c r="D501" s="36" t="n">
        <v>2230.116054462213</v>
      </c>
      <c r="E501" s="35" t="n">
        <v>890.6474326728451</v>
      </c>
      <c r="F501" s="37" t="n">
        <v>0.7457237380143278</v>
      </c>
      <c r="G501" s="37" t="n">
        <v>0.7946920393361766</v>
      </c>
      <c r="H501" s="37" t="n">
        <v>0.8438229692172371</v>
      </c>
      <c r="I501" s="37" t="n">
        <v>0.7226825696574629</v>
      </c>
      <c r="J501" s="37" t="n">
        <v>0.806799287624799</v>
      </c>
      <c r="K501" s="37" t="n">
        <v>0.8860185448859977</v>
      </c>
      <c r="L501" s="39" t="inlineStr">
        <is>
          <t>Corregible</t>
        </is>
      </c>
      <c r="M501" s="29" t="n">
        <v>7.404024074231461</v>
      </c>
      <c r="N501" s="35" t="n">
        <v>84.17441906742226</v>
      </c>
      <c r="O501" s="36" t="n">
        <v>1339.468621789368</v>
      </c>
      <c r="P501" s="29" t="n">
        <v>2.503926888072427</v>
      </c>
      <c r="Q501" s="16" t="inlineStr">
        <is>
          <t>no</t>
        </is>
      </c>
      <c r="R501" s="16" t="inlineStr">
        <is>
          <t>O2</t>
        </is>
      </c>
    </row>
    <row r="502">
      <c r="A502" s="16" t="inlineStr">
        <is>
          <t>KF-M04b-0191</t>
        </is>
      </c>
      <c r="B502" s="35" t="n">
        <v>393.0459385660836</v>
      </c>
      <c r="C502" s="35" t="n">
        <v>290.5193776807272</v>
      </c>
      <c r="D502" s="36" t="n">
        <v>2300.853525272941</v>
      </c>
      <c r="E502" s="35" t="n">
        <v>734.3346091483525</v>
      </c>
      <c r="F502" s="37" t="n">
        <v>0.6610067625684378</v>
      </c>
      <c r="G502" s="37" t="n">
        <v>0.8431701334542505</v>
      </c>
      <c r="H502" s="37" t="n">
        <v>0.8523468060702207</v>
      </c>
      <c r="I502" s="37" t="n">
        <v>0.842279900088942</v>
      </c>
      <c r="J502" s="37" t="n">
        <v>0.7972346004492555</v>
      </c>
      <c r="K502" s="37" t="n">
        <v>0.9008300826692937</v>
      </c>
      <c r="L502" s="39" t="inlineStr">
        <is>
          <t>Corregible</t>
        </is>
      </c>
      <c r="M502" s="29" t="n">
        <v>8.882006664217599</v>
      </c>
      <c r="N502" s="35" t="n">
        <v>61.07736267549256</v>
      </c>
      <c r="O502" s="36" t="n">
        <v>1566.518916124588</v>
      </c>
      <c r="P502" s="29" t="n">
        <v>3.133249470485076</v>
      </c>
      <c r="Q502" s="16" t="inlineStr">
        <is>
          <t>no</t>
        </is>
      </c>
      <c r="R502" s="16" t="inlineStr">
        <is>
          <t>O2</t>
        </is>
      </c>
    </row>
    <row r="503">
      <c r="A503" s="16" t="inlineStr">
        <is>
          <t>KF-M04b-0192</t>
        </is>
      </c>
      <c r="B503" s="35" t="n">
        <v>440.8782305458118</v>
      </c>
      <c r="C503" s="35" t="n">
        <v>292.9107812226251</v>
      </c>
      <c r="D503" s="36" t="n">
        <v>3514.415125407494</v>
      </c>
      <c r="E503" s="35" t="n">
        <v>936.88135157308</v>
      </c>
      <c r="F503" s="37" t="n">
        <v>0.5476342131290541</v>
      </c>
      <c r="G503" s="37" t="n">
        <v>0.7861602870126519</v>
      </c>
      <c r="H503" s="37" t="n">
        <v>0.7510036137392531</v>
      </c>
      <c r="I503" s="37" t="n">
        <v>0.8775570283375628</v>
      </c>
      <c r="J503" s="37" t="n">
        <v>0.8733068821015159</v>
      </c>
      <c r="K503" s="37" t="n">
        <v>0.8804226886920787</v>
      </c>
      <c r="L503" s="42" t="inlineStr">
        <is>
          <t>KALINA</t>
        </is>
      </c>
      <c r="M503" s="29" t="n">
        <v>8.868430485148671</v>
      </c>
      <c r="N503" s="35" t="n">
        <v>73.73074560643724</v>
      </c>
      <c r="O503" s="36" t="n">
        <v>2577.533773834414</v>
      </c>
      <c r="P503" s="29" t="n">
        <v>3.751184842676802</v>
      </c>
      <c r="Q503" s="16" t="inlineStr">
        <is>
          <t>sí</t>
        </is>
      </c>
      <c r="R503" s="16" t="n"/>
    </row>
    <row r="504">
      <c r="A504" s="16" t="inlineStr">
        <is>
          <t>KF-M04b-0193</t>
        </is>
      </c>
      <c r="B504" s="35" t="n">
        <v>383.6370937232629</v>
      </c>
      <c r="C504" s="35" t="n">
        <v>302.6271097175316</v>
      </c>
      <c r="D504" s="36" t="n">
        <v>4593.339295432349</v>
      </c>
      <c r="E504" s="35" t="n">
        <v>1341.797200075589</v>
      </c>
      <c r="F504" s="37" t="n">
        <v>0.5217182051963116</v>
      </c>
      <c r="G504" s="37" t="n">
        <v>0.8484682968961922</v>
      </c>
      <c r="H504" s="37" t="n">
        <v>0.7148538664645705</v>
      </c>
      <c r="I504" s="37" t="n">
        <v>0.706892807455672</v>
      </c>
      <c r="J504" s="37" t="n">
        <v>0.7652796992024895</v>
      </c>
      <c r="K504" s="37" t="n">
        <v>0.8304816668282945</v>
      </c>
      <c r="L504" s="32" t="inlineStr">
        <is>
          <t>No convergió</t>
        </is>
      </c>
      <c r="M504" s="29" t="inlineStr">
        <is>
          <t>—</t>
        </is>
      </c>
      <c r="N504" s="35" t="inlineStr">
        <is>
          <t>—</t>
        </is>
      </c>
      <c r="O504" s="36" t="n">
        <v>3251.54209535676</v>
      </c>
      <c r="P504" s="29" t="n">
        <v>3.423273871173369</v>
      </c>
      <c r="Q504" s="16" t="inlineStr">
        <is>
          <t>no</t>
        </is>
      </c>
      <c r="R504" s="16" t="n"/>
    </row>
    <row r="505">
      <c r="A505" s="16" t="inlineStr">
        <is>
          <t>KF-M04b-0194</t>
        </is>
      </c>
      <c r="B505" s="35" t="n">
        <v>419.7470257701867</v>
      </c>
      <c r="C505" s="35" t="n">
        <v>296.4310602506681</v>
      </c>
      <c r="D505" s="36" t="n">
        <v>2410.50861223804</v>
      </c>
      <c r="E505" s="35" t="n">
        <v>362.7585853384533</v>
      </c>
      <c r="F505" s="37" t="n">
        <v>0.8062721573766441</v>
      </c>
      <c r="G505" s="37" t="n">
        <v>0.8769462415104143</v>
      </c>
      <c r="H505" s="37" t="n">
        <v>0.7095609148066363</v>
      </c>
      <c r="I505" s="37" t="n">
        <v>0.8714986095188872</v>
      </c>
      <c r="J505" s="37" t="n">
        <v>0.6418483745740059</v>
      </c>
      <c r="K505" s="37" t="n">
        <v>0.7665810548548119</v>
      </c>
      <c r="L505" s="40" t="inlineStr">
        <is>
          <t>Inviable</t>
        </is>
      </c>
      <c r="M505" s="29" t="n">
        <v>-6.294215720733461</v>
      </c>
      <c r="N505" s="35" t="n">
        <v>-26.86245363311488</v>
      </c>
      <c r="O505" s="36" t="n">
        <v>2047.750026899586</v>
      </c>
      <c r="P505" s="29" t="n">
        <v>6.644938837185723</v>
      </c>
      <c r="Q505" s="16" t="inlineStr">
        <is>
          <t>no</t>
        </is>
      </c>
      <c r="R505" s="16" t="inlineStr">
        <is>
          <t>O2,O3</t>
        </is>
      </c>
    </row>
    <row r="506">
      <c r="A506" s="16" t="inlineStr">
        <is>
          <t>KF-M04b-0195</t>
        </is>
      </c>
      <c r="B506" s="35" t="n">
        <v>486.1346843227195</v>
      </c>
      <c r="C506" s="35" t="n">
        <v>303.4699946370026</v>
      </c>
      <c r="D506" s="36" t="n">
        <v>2365.348117495867</v>
      </c>
      <c r="E506" s="35" t="n">
        <v>419.4582519561502</v>
      </c>
      <c r="F506" s="37" t="n">
        <v>0.554594521311049</v>
      </c>
      <c r="G506" s="37" t="n">
        <v>0.758771879589796</v>
      </c>
      <c r="H506" s="37" t="n">
        <v>0.6757428336920558</v>
      </c>
      <c r="I506" s="37" t="n">
        <v>0.8619755743801247</v>
      </c>
      <c r="J506" s="37" t="n">
        <v>0.8548999778299078</v>
      </c>
      <c r="K506" s="37" t="n">
        <v>0.913423120775241</v>
      </c>
      <c r="L506" s="39" t="inlineStr">
        <is>
          <t>Corregible</t>
        </is>
      </c>
      <c r="M506" s="29" t="n">
        <v>10.00703299281368</v>
      </c>
      <c r="N506" s="35" t="n">
        <v>171.9025664983085</v>
      </c>
      <c r="O506" s="36" t="n">
        <v>1945.889865539716</v>
      </c>
      <c r="P506" s="29" t="n">
        <v>5.639054915393912</v>
      </c>
      <c r="Q506" s="16" t="inlineStr">
        <is>
          <t>sí</t>
        </is>
      </c>
      <c r="R506" s="16" t="inlineStr">
        <is>
          <t>O2</t>
        </is>
      </c>
    </row>
    <row r="507">
      <c r="A507" s="16" t="inlineStr">
        <is>
          <t>KF-M04b-0196</t>
        </is>
      </c>
      <c r="B507" s="35" t="n">
        <v>391.5868903720024</v>
      </c>
      <c r="C507" s="35" t="n">
        <v>281.1796040552066</v>
      </c>
      <c r="D507" s="36" t="n">
        <v>2871.547892208388</v>
      </c>
      <c r="E507" s="35" t="n">
        <v>518.8977973122836</v>
      </c>
      <c r="F507" s="37" t="n">
        <v>0.6477999944184427</v>
      </c>
      <c r="G507" s="37" t="n">
        <v>0.8558143279043651</v>
      </c>
      <c r="H507" s="37" t="n">
        <v>0.7717210017184951</v>
      </c>
      <c r="I507" s="37" t="n">
        <v>0.8356872777899255</v>
      </c>
      <c r="J507" s="37" t="n">
        <v>0.624886944186327</v>
      </c>
      <c r="K507" s="37" t="n">
        <v>0.8412889207413493</v>
      </c>
      <c r="L507" s="39" t="inlineStr">
        <is>
          <t>Corregible</t>
        </is>
      </c>
      <c r="M507" s="29" t="n">
        <v>11.01586930128213</v>
      </c>
      <c r="N507" s="35" t="n">
        <v>63.13702191838857</v>
      </c>
      <c r="O507" s="36" t="n">
        <v>2352.650094896105</v>
      </c>
      <c r="P507" s="29" t="n">
        <v>5.533937332326409</v>
      </c>
      <c r="Q507" s="16" t="inlineStr">
        <is>
          <t>no</t>
        </is>
      </c>
      <c r="R507" s="16" t="inlineStr">
        <is>
          <t>O2</t>
        </is>
      </c>
    </row>
    <row r="508">
      <c r="A508" s="16" t="inlineStr">
        <is>
          <t>KF-M04b-0197</t>
        </is>
      </c>
      <c r="B508" s="35" t="n">
        <v>487.1261856635524</v>
      </c>
      <c r="C508" s="35" t="n">
        <v>301.33949283584</v>
      </c>
      <c r="D508" s="36" t="n">
        <v>4897.460721034211</v>
      </c>
      <c r="E508" s="35" t="n">
        <v>496.7649004882162</v>
      </c>
      <c r="F508" s="37" t="n">
        <v>0.5161666769248683</v>
      </c>
      <c r="G508" s="37" t="n">
        <v>0.7710823491000474</v>
      </c>
      <c r="H508" s="37" t="n">
        <v>0.7814973520396816</v>
      </c>
      <c r="I508" s="37" t="n">
        <v>0.7201630021739091</v>
      </c>
      <c r="J508" s="37" t="n">
        <v>0.7386320769272899</v>
      </c>
      <c r="K508" s="37" t="n">
        <v>0.8819490193719932</v>
      </c>
      <c r="L508" s="39" t="inlineStr">
        <is>
          <t>Corregible</t>
        </is>
      </c>
      <c r="M508" s="29" t="n">
        <v>13.65396402127257</v>
      </c>
      <c r="N508" s="35" t="n">
        <v>164.4406200649275</v>
      </c>
      <c r="O508" s="36" t="n">
        <v>4400.695820545995</v>
      </c>
      <c r="P508" s="29" t="n">
        <v>9.858709253051151</v>
      </c>
      <c r="Q508" s="16" t="inlineStr">
        <is>
          <t>sí</t>
        </is>
      </c>
      <c r="R508" s="16" t="inlineStr">
        <is>
          <t>O1,O2</t>
        </is>
      </c>
    </row>
    <row r="509">
      <c r="A509" s="16" t="inlineStr">
        <is>
          <t>KF-M04b-0198</t>
        </is>
      </c>
      <c r="B509" s="35" t="n">
        <v>403.6851196319058</v>
      </c>
      <c r="C509" s="35" t="n">
        <v>281.0563163151422</v>
      </c>
      <c r="D509" s="36" t="n">
        <v>2120.168989719818</v>
      </c>
      <c r="E509" s="35" t="n">
        <v>745.6376168773202</v>
      </c>
      <c r="F509" s="37" t="n">
        <v>0.551683173403714</v>
      </c>
      <c r="G509" s="37" t="n">
        <v>0.7553229653448998</v>
      </c>
      <c r="H509" s="37" t="n">
        <v>0.7457533692445284</v>
      </c>
      <c r="I509" s="37" t="n">
        <v>0.9433689762480298</v>
      </c>
      <c r="J509" s="37" t="n">
        <v>0.7170568223833521</v>
      </c>
      <c r="K509" s="37" t="n">
        <v>0.7400162579133172</v>
      </c>
      <c r="L509" s="39" t="inlineStr">
        <is>
          <t>Corregible</t>
        </is>
      </c>
      <c r="M509" s="29" t="n">
        <v>6.896924751409419</v>
      </c>
      <c r="N509" s="35" t="n">
        <v>45.92755008083576</v>
      </c>
      <c r="O509" s="36" t="n">
        <v>1374.531372842498</v>
      </c>
      <c r="P509" s="29" t="n">
        <v>2.843430832525513</v>
      </c>
      <c r="Q509" s="16" t="inlineStr">
        <is>
          <t>no</t>
        </is>
      </c>
      <c r="R509" s="16" t="inlineStr">
        <is>
          <t>O2</t>
        </is>
      </c>
    </row>
    <row r="510">
      <c r="A510" s="16" t="inlineStr">
        <is>
          <t>KF-M04b-0199</t>
        </is>
      </c>
      <c r="B510" s="35" t="n">
        <v>380.2941850161218</v>
      </c>
      <c r="C510" s="35" t="n">
        <v>290.9857226713722</v>
      </c>
      <c r="D510" s="36" t="n">
        <v>4079.305131088077</v>
      </c>
      <c r="E510" s="35" t="n">
        <v>472.8890156686001</v>
      </c>
      <c r="F510" s="37" t="n">
        <v>0.5069174660651857</v>
      </c>
      <c r="G510" s="37" t="n">
        <v>0.905229455768009</v>
      </c>
      <c r="H510" s="37" t="n">
        <v>0.8584773331538054</v>
      </c>
      <c r="I510" s="37" t="n">
        <v>0.7875892130291611</v>
      </c>
      <c r="J510" s="37" t="n">
        <v>0.9450731636555088</v>
      </c>
      <c r="K510" s="37" t="n">
        <v>0.8666133054456897</v>
      </c>
      <c r="L510" s="32" t="inlineStr">
        <is>
          <t>No convergió</t>
        </is>
      </c>
      <c r="M510" s="29" t="inlineStr">
        <is>
          <t>—</t>
        </is>
      </c>
      <c r="N510" s="35" t="inlineStr">
        <is>
          <t>—</t>
        </is>
      </c>
      <c r="O510" s="36" t="n">
        <v>3606.416115419477</v>
      </c>
      <c r="P510" s="29" t="n">
        <v>8.626347823538469</v>
      </c>
      <c r="Q510" s="16" t="inlineStr">
        <is>
          <t>no</t>
        </is>
      </c>
      <c r="R510" s="16" t="n"/>
    </row>
  </sheetData>
  <pageMargins left="0.75" right="0.75" top="1" bottom="1" header="0.5" footer="0.5"/>
  <drawing xmlns:r="http://schemas.openxmlformats.org/officeDocument/2006/relationships" r:id="rId1"/>
</worksheet>
</file>

<file path=xl/worksheets/sheet48.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0" customWidth="1" min="1" max="1"/>
    <col width="48" customWidth="1" min="2" max="2"/>
    <col width="10" customWidth="1" min="3" max="3"/>
    <col width="15" customWidth="1" min="4" max="4"/>
    <col width="11" customWidth="1" min="5" max="5"/>
    <col width="21" customWidth="1" min="6" max="6"/>
    <col width="10" customWidth="1" min="7" max="7"/>
  </cols>
  <sheetData>
    <row r="1">
      <c r="A1" s="19" t="inlineStr">
        <is>
          <t>Tabla 3.3-1 · Condiciones: qué quedó fijo y qué se barrió</t>
        </is>
      </c>
    </row>
    <row r="2">
      <c r="A2" s="20" t="inlineStr">
        <is>
          <t>Estudio 3.3 · P_baja alta (1500–2500 kPa)</t>
        </is>
      </c>
    </row>
    <row r="3">
      <c r="A3" s="20" t="inlineStr">
        <is>
          <t>Punto base: caja estudio 3.2 con P_baja dentro de 1500 a 2500 kPa</t>
        </is>
      </c>
    </row>
    <row r="4">
      <c r="A4" s="21" t="inlineStr">
        <is>
          <t>Datos fijos: m_b = 1 kg/s; motor de propiedades = teqp.</t>
        </is>
      </c>
    </row>
    <row r="5">
      <c r="A5" s="21" t="inlineStr">
        <is>
          <t>Datos barridos: T_fuente [380.75–499.83] K (150 valores); T_sumidero [278.28–303.41] K (150 valores); P_alta [2015.7–4995.8] kPa (150 valores); P_baja [1501.3–2494.5] kPa (150 valores); x_b [0.5023–0.84953] (150 valores); η_t [0.75103–0.91919] (150 valores); η_p [0.65119–0.89988] (150 valores); ε_HRVG [0.60089–0.94845] (150 valores); ε_reg [0.60038–0.9477] (150 valores); ε_cond [0.70004–0.94966] (150 valores); piso de O2 [278.28–303.41] K (135 valores).</t>
        </is>
      </c>
    </row>
    <row r="6">
      <c r="A6" s="20" t="inlineStr">
        <is>
          <t>Fuente: analisis_final/00_inventario/condiciones_por_subcaso.csv</t>
        </is>
      </c>
    </row>
    <row r="8">
      <c r="A8" s="22" t="inlineStr">
        <is>
          <t>Parte</t>
        </is>
      </c>
      <c r="B8" s="22" t="inlineStr">
        <is>
          <t>Variable</t>
        </is>
      </c>
      <c r="C8" s="22" t="inlineStr">
        <is>
          <t>Estado</t>
        </is>
      </c>
      <c r="D8" s="22" t="inlineStr">
        <is>
          <t>Valor o rango</t>
        </is>
      </c>
      <c r="E8" s="22" t="inlineStr">
        <is>
          <t>n valores</t>
        </is>
      </c>
      <c r="F8" s="22" t="inlineStr">
        <is>
          <t>¿Igual al profesor?</t>
        </is>
      </c>
      <c r="G8" s="22" t="inlineStr">
        <is>
          <t>Unidad</t>
        </is>
      </c>
    </row>
    <row r="9">
      <c r="A9" s="16" t="n">
        <v>3.3</v>
      </c>
      <c r="B9" s="16" t="inlineStr">
        <is>
          <t>Temperatura de la fuente, T_fuente [K]</t>
        </is>
      </c>
      <c r="C9" s="16" t="inlineStr">
        <is>
          <t>Barrida</t>
        </is>
      </c>
      <c r="D9" s="16" t="inlineStr">
        <is>
          <t>380.7 – 499.8</t>
        </is>
      </c>
      <c r="E9" s="16" t="n">
        <v>150</v>
      </c>
      <c r="F9" s="16" t="n"/>
      <c r="G9" s="16" t="inlineStr">
        <is>
          <t>K</t>
        </is>
      </c>
    </row>
    <row r="10">
      <c r="A10" s="16" t="n">
        <v>3.3</v>
      </c>
      <c r="B10" s="16" t="inlineStr">
        <is>
          <t>Temperatura del sumidero, T_sumidero [K]</t>
        </is>
      </c>
      <c r="C10" s="16" t="inlineStr">
        <is>
          <t>Barrida</t>
        </is>
      </c>
      <c r="D10" s="16" t="inlineStr">
        <is>
          <t>278.3 – 303.4</t>
        </is>
      </c>
      <c r="E10" s="16" t="n">
        <v>150</v>
      </c>
      <c r="F10" s="16" t="n"/>
      <c r="G10" s="16" t="inlineStr">
        <is>
          <t>K</t>
        </is>
      </c>
    </row>
    <row r="11">
      <c r="A11" s="16" t="n">
        <v>3.3</v>
      </c>
      <c r="B11" s="16" t="inlineStr">
        <is>
          <t>Presión de alta, P_alta [kPa]</t>
        </is>
      </c>
      <c r="C11" s="16" t="inlineStr">
        <is>
          <t>Barrida</t>
        </is>
      </c>
      <c r="D11" s="16" t="inlineStr">
        <is>
          <t>2016 – 4996</t>
        </is>
      </c>
      <c r="E11" s="16" t="n">
        <v>150</v>
      </c>
      <c r="F11" s="16" t="n"/>
      <c r="G11" s="16" t="inlineStr">
        <is>
          <t>kPa</t>
        </is>
      </c>
    </row>
    <row r="12">
      <c r="A12" s="16" t="n">
        <v>3.3</v>
      </c>
      <c r="B12" s="16" t="inlineStr">
        <is>
          <t>Presión de baja, P_baja [kPa]</t>
        </is>
      </c>
      <c r="C12" s="16" t="inlineStr">
        <is>
          <t>Barrida</t>
        </is>
      </c>
      <c r="D12" s="16" t="inlineStr">
        <is>
          <t>1501 – 2495</t>
        </is>
      </c>
      <c r="E12" s="16" t="n">
        <v>150</v>
      </c>
      <c r="F12" s="16" t="n"/>
      <c r="G12" s="16" t="inlineStr">
        <is>
          <t>kPa</t>
        </is>
      </c>
    </row>
    <row r="13">
      <c r="A13" s="16" t="n">
        <v>3.3</v>
      </c>
      <c r="B13" s="16" t="inlineStr">
        <is>
          <t>Fracción de amoníaco de la mezcla base, x_b [–]</t>
        </is>
      </c>
      <c r="C13" s="16" t="inlineStr">
        <is>
          <t>Barrida</t>
        </is>
      </c>
      <c r="D13" s="16" t="inlineStr">
        <is>
          <t>0.502 – 0.850</t>
        </is>
      </c>
      <c r="E13" s="16" t="n">
        <v>150</v>
      </c>
      <c r="F13" s="16" t="n"/>
      <c r="G13" s="16" t="inlineStr">
        <is>
          <t>–</t>
        </is>
      </c>
    </row>
    <row r="14">
      <c r="A14" s="16" t="n">
        <v>3.3</v>
      </c>
      <c r="B14" s="16" t="inlineStr">
        <is>
          <t>Flujo másico base, m_b [kg/s]</t>
        </is>
      </c>
      <c r="C14" s="16" t="inlineStr">
        <is>
          <t>Fija</t>
        </is>
      </c>
      <c r="D14" s="16" t="inlineStr">
        <is>
          <t>1.0</t>
        </is>
      </c>
      <c r="E14" s="16" t="n"/>
      <c r="F14" s="16" t="inlineStr">
        <is>
          <t>sí</t>
        </is>
      </c>
      <c r="G14" s="16" t="inlineStr">
        <is>
          <t>kg/s</t>
        </is>
      </c>
    </row>
    <row r="15">
      <c r="A15" s="16" t="n">
        <v>3.3</v>
      </c>
      <c r="B15" s="16" t="inlineStr">
        <is>
          <t>Eficiencia isentrópica de la turbina, η_t [–]</t>
        </is>
      </c>
      <c r="C15" s="16" t="inlineStr">
        <is>
          <t>Barrida</t>
        </is>
      </c>
      <c r="D15" s="16" t="inlineStr">
        <is>
          <t>0.751 – 0.919</t>
        </is>
      </c>
      <c r="E15" s="16" t="n">
        <v>150</v>
      </c>
      <c r="F15" s="16" t="n"/>
      <c r="G15" s="16" t="inlineStr">
        <is>
          <t>–</t>
        </is>
      </c>
    </row>
    <row r="16">
      <c r="A16" s="16" t="n">
        <v>3.3</v>
      </c>
      <c r="B16" s="16" t="inlineStr">
        <is>
          <t>Eficiencia isentrópica de la bomba, η_p [–]</t>
        </is>
      </c>
      <c r="C16" s="16" t="inlineStr">
        <is>
          <t>Barrida</t>
        </is>
      </c>
      <c r="D16" s="16" t="inlineStr">
        <is>
          <t>0.651 – 0.900</t>
        </is>
      </c>
      <c r="E16" s="16" t="n">
        <v>150</v>
      </c>
      <c r="F16" s="16" t="n"/>
      <c r="G16" s="16" t="inlineStr">
        <is>
          <t>–</t>
        </is>
      </c>
    </row>
    <row r="17">
      <c r="A17" s="16" t="n">
        <v>3.3</v>
      </c>
      <c r="B17" s="16" t="inlineStr">
        <is>
          <t>Efectividad del generador de vapor, ε_HRVG [–]</t>
        </is>
      </c>
      <c r="C17" s="16" t="inlineStr">
        <is>
          <t>Barrida</t>
        </is>
      </c>
      <c r="D17" s="16" t="inlineStr">
        <is>
          <t>0.601 – 0.948</t>
        </is>
      </c>
      <c r="E17" s="16" t="n">
        <v>150</v>
      </c>
      <c r="F17" s="16" t="n"/>
      <c r="G17" s="16" t="inlineStr">
        <is>
          <t>–</t>
        </is>
      </c>
    </row>
    <row r="18">
      <c r="A18" s="16" t="n">
        <v>3.3</v>
      </c>
      <c r="B18" s="16" t="inlineStr">
        <is>
          <t>Efectividad del regenerador, ε_reg [–]</t>
        </is>
      </c>
      <c r="C18" s="16" t="inlineStr">
        <is>
          <t>Barrida</t>
        </is>
      </c>
      <c r="D18" s="16" t="inlineStr">
        <is>
          <t>0.600 – 0.948</t>
        </is>
      </c>
      <c r="E18" s="16" t="n">
        <v>150</v>
      </c>
      <c r="F18" s="16" t="n"/>
      <c r="G18" s="16" t="inlineStr">
        <is>
          <t>–</t>
        </is>
      </c>
    </row>
    <row r="19">
      <c r="A19" s="16" t="n">
        <v>3.3</v>
      </c>
      <c r="B19" s="16" t="inlineStr">
        <is>
          <t>Efectividad del condensador, ε_cond [–]</t>
        </is>
      </c>
      <c r="C19" s="16" t="inlineStr">
        <is>
          <t>Barrida</t>
        </is>
      </c>
      <c r="D19" s="16" t="inlineStr">
        <is>
          <t>0.700 – 0.950</t>
        </is>
      </c>
      <c r="E19" s="16" t="n">
        <v>150</v>
      </c>
      <c r="F19" s="16" t="n"/>
      <c r="G19" s="16" t="inlineStr">
        <is>
          <t>–</t>
        </is>
      </c>
    </row>
    <row r="20">
      <c r="A20" s="16" t="n">
        <v>3.3</v>
      </c>
      <c r="B20" s="16" t="inlineStr">
        <is>
          <t>Piso de O2 (T de diseño de la bomba) [K]</t>
        </is>
      </c>
      <c r="C20" s="16" t="inlineStr">
        <is>
          <t>Barrida</t>
        </is>
      </c>
      <c r="D20" s="16" t="inlineStr">
        <is>
          <t>278.3 – 303.4</t>
        </is>
      </c>
      <c r="E20" s="16" t="n">
        <v>135</v>
      </c>
      <c r="F20" s="16" t="n"/>
      <c r="G20" s="16" t="inlineStr">
        <is>
          <t>K</t>
        </is>
      </c>
    </row>
    <row r="21">
      <c r="A21" s="16" t="n">
        <v>3.3</v>
      </c>
      <c r="B21" s="16" t="inlineStr">
        <is>
          <t>motor de propiedades</t>
        </is>
      </c>
      <c r="C21" s="16" t="inlineStr">
        <is>
          <t>Fija</t>
        </is>
      </c>
      <c r="D21" s="16" t="inlineStr">
        <is>
          <t>teqp</t>
        </is>
      </c>
      <c r="E21" s="16" t="n"/>
      <c r="F21" s="16" t="n"/>
      <c r="G21" s="16" t="inlineStr">
        <is>
          <t>–</t>
        </is>
      </c>
    </row>
    <row r="23">
      <c r="A23" s="23" t="inlineStr">
        <is>
          <t>Notas: Filtro: cada parte y cada variable. n = 13 filas en la tabla. † = fuera del rango confiable (IAPWS G4-01); ‡ = falso convergido. Fuente: analisis_final/00_inventario/condiciones_por_subcaso.csv.</t>
        </is>
      </c>
    </row>
  </sheetData>
  <autoFilter ref="A8:G2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3.3-2 · Corridas por parte y por clase</t>
        </is>
      </c>
    </row>
    <row r="2">
      <c r="A2" s="20" t="inlineStr">
        <is>
          <t>Estudio 3.3 · P_baja alta (1500–2500 kPa)</t>
        </is>
      </c>
    </row>
    <row r="3">
      <c r="A3" s="20" t="inlineStr">
        <is>
          <t>Punto base: caja estudio 3.2 con P_baja dentro de 1500 a 2500 kPa</t>
        </is>
      </c>
    </row>
    <row r="4">
      <c r="A4" s="21" t="inlineStr">
        <is>
          <t>Datos fijos: m_b = 1 kg/s; motor de propiedades = teqp.</t>
        </is>
      </c>
    </row>
    <row r="5">
      <c r="A5" s="21" t="inlineStr">
        <is>
          <t>Datos barridos: T_fuente [380.75–499.83] K (150 valores); T_sumidero [278.28–303.41] K (150 valores); P_alta [2015.7–4995.8] kPa (150 valores); P_baja [1501.3–2494.5] kPa (150 valores); x_b [0.5023–0.84953] (150 valores); η_t [0.75103–0.91919] (150 valores); η_p [0.65119–0.89988] (150 valores); ε_HRVG [0.60089–0.94845] (150 valores); ε_reg [0.60038–0.9477] (150 valores); ε_cond [0.70004–0.94966] (150 valores); piso de O2 [278.28–303.41] K (135 valores).</t>
        </is>
      </c>
    </row>
    <row r="6">
      <c r="A6" s="20" t="inlineStr">
        <is>
          <t>Fuente: analisis_final/00_inventario/conteo_por_subcaso.csv</t>
        </is>
      </c>
    </row>
    <row r="8">
      <c r="A8" s="22" t="inlineStr">
        <is>
          <t>Parte</t>
        </is>
      </c>
      <c r="B8" s="22" t="inlineStr">
        <is>
          <t>Corridas</t>
        </is>
      </c>
      <c r="C8" s="22" t="inlineStr">
        <is>
          <t>Omitidos</t>
        </is>
      </c>
      <c r="D8" s="22" t="inlineStr">
        <is>
          <t>Genuinos</t>
        </is>
      </c>
      <c r="E8" s="22" t="inlineStr">
        <is>
          <t>KALINA</t>
        </is>
      </c>
      <c r="F8" s="22" t="inlineStr">
        <is>
          <t>KALINA confiables</t>
        </is>
      </c>
      <c r="G8" s="22" t="inlineStr">
        <is>
          <t>Corregibles</t>
        </is>
      </c>
      <c r="H8" s="22" t="inlineStr">
        <is>
          <t>Inviables</t>
        </is>
      </c>
      <c r="I8" s="22" t="inlineStr">
        <is>
          <t>No convergidos</t>
        </is>
      </c>
      <c r="J8" s="22" t="inlineStr">
        <is>
          <t>Falsos convergidos</t>
        </is>
      </c>
      <c r="K8" s="22" t="inlineStr">
        <is>
          <t>Fuera de rango</t>
        </is>
      </c>
    </row>
    <row r="9">
      <c r="A9" s="16" t="n">
        <v>3.3</v>
      </c>
      <c r="B9" s="16" t="n">
        <v>150</v>
      </c>
      <c r="C9" s="16" t="n">
        <v>15</v>
      </c>
      <c r="D9" s="16" t="n">
        <v>120</v>
      </c>
      <c r="E9" s="16" t="n">
        <v>75</v>
      </c>
      <c r="F9" s="16" t="n">
        <v>45</v>
      </c>
      <c r="G9" s="16" t="n">
        <v>43</v>
      </c>
      <c r="H9" s="16" t="n">
        <v>2</v>
      </c>
      <c r="I9" s="16" t="n">
        <v>9</v>
      </c>
      <c r="J9" s="16" t="n">
        <v>6</v>
      </c>
      <c r="K9" s="16" t="n">
        <v>58</v>
      </c>
    </row>
    <row r="11">
      <c r="A11" s="23" t="inlineStr">
        <is>
          <t>Notas: Filtro: conteo por parte. n = 1 filas en la tabla. † = fuera del rango confiable (IAPWS G4-01); ‡ = falso convergido. Fuente: analisis_final/00_inventario/conteo_por_subcaso.csv.</t>
        </is>
      </c>
    </row>
  </sheetData>
  <autoFilter ref="A8:K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5" customWidth="1" min="1" max="1"/>
    <col width="11" customWidth="1" min="2" max="2"/>
    <col width="17" customWidth="1" min="3" max="3"/>
    <col width="17" customWidth="1" min="4" max="4"/>
    <col width="10" customWidth="1" min="5" max="5"/>
    <col width="10" customWidth="1" min="6" max="6"/>
    <col width="12" customWidth="1" min="7" max="7"/>
    <col width="28" customWidth="1" min="8" max="8"/>
  </cols>
  <sheetData>
    <row r="1">
      <c r="A1" s="19" t="inlineStr">
        <is>
          <t>Tabla 3.3-3 · Techo de P_baja antes de cortar KALINA</t>
        </is>
      </c>
    </row>
    <row r="2">
      <c r="A2" s="20" t="inlineStr">
        <is>
          <t>Estudio 3.3 · P_baja alta (1500–2500 kPa)</t>
        </is>
      </c>
    </row>
    <row r="3">
      <c r="A3" s="20" t="inlineStr">
        <is>
          <t>Punto base: caja estudio 3.2 con P_baja dentro de 1500 a 2500 kPa</t>
        </is>
      </c>
    </row>
    <row r="4">
      <c r="A4" s="21" t="inlineStr">
        <is>
          <t>Datos fijos: m_b = 1 kg/s; motor de propiedades = teqp.</t>
        </is>
      </c>
    </row>
    <row r="5">
      <c r="A5" s="21" t="inlineStr">
        <is>
          <t>Datos barridos: T_fuente [380.75–499.83] K (150 valores); T_sumidero [278.28–303.41] K (150 valores); P_alta [2015.7–4995.8] kPa (150 valores); P_baja [1501.3–2494.5] kPa (150 valores); x_b [0.5023–0.84953] (150 valores); η_t [0.75103–0.91919] (150 valores); η_p [0.65119–0.89988] (150 valores); ε_HRVG [0.60089–0.94845] (150 valores); ε_reg [0.60038–0.9477] (150 valores); ε_cond [0.70004–0.94966] (150 valores); piso de O2 [278.28–303.41] K (135 valores).</t>
        </is>
      </c>
    </row>
    <row r="6">
      <c r="A6" s="20" t="inlineStr">
        <is>
          <t>Fuente: resultados/2026-10-07_final_M4c/m4c_techo.csv</t>
        </is>
      </c>
    </row>
    <row r="8">
      <c r="A8" s="22" t="inlineStr">
        <is>
          <t>Fuente</t>
        </is>
      </c>
      <c r="B8" s="22" t="inlineStr">
        <is>
          <t>Franja</t>
        </is>
      </c>
      <c r="C8" s="22" t="inlineStr">
        <is>
          <t>Límite inferior</t>
        </is>
      </c>
      <c r="D8" s="22" t="inlineStr">
        <is>
          <t>Límite superior</t>
        </is>
      </c>
      <c r="E8" s="22" t="inlineStr">
        <is>
          <t>N</t>
        </is>
      </c>
      <c r="F8" s="22" t="inlineStr">
        <is>
          <t>KALINA</t>
        </is>
      </c>
      <c r="G8" s="22" t="inlineStr">
        <is>
          <t>KALINA [%]</t>
        </is>
      </c>
      <c r="H8" s="22" t="inlineStr">
        <is>
          <t>P_baja máxima KALINA [kPa]</t>
        </is>
      </c>
    </row>
    <row r="9">
      <c r="A9" s="16" t="inlineStr">
        <is>
          <t>estudio 3.2+estudio 3.2</t>
        </is>
      </c>
      <c r="B9" s="16" t="inlineStr">
        <is>
          <t>1300–1400</t>
        </is>
      </c>
      <c r="C9" s="16" t="n">
        <v>1300</v>
      </c>
      <c r="D9" s="16" t="n">
        <v>1400</v>
      </c>
      <c r="E9" s="16" t="n">
        <v>42</v>
      </c>
      <c r="F9" s="16" t="n">
        <v>15</v>
      </c>
      <c r="G9" s="29" t="n">
        <v>35.7</v>
      </c>
      <c r="H9" s="36" t="n">
        <v>1384.3</v>
      </c>
    </row>
    <row r="10">
      <c r="A10" s="16" t="inlineStr">
        <is>
          <t>estudio 3.2+estudio 3.2</t>
        </is>
      </c>
      <c r="B10" s="16" t="inlineStr">
        <is>
          <t>1400–1500</t>
        </is>
      </c>
      <c r="C10" s="16" t="n">
        <v>1400</v>
      </c>
      <c r="D10" s="16" t="n">
        <v>1500</v>
      </c>
      <c r="E10" s="16" t="n">
        <v>42</v>
      </c>
      <c r="F10" s="16" t="n">
        <v>21</v>
      </c>
      <c r="G10" s="29" t="n">
        <v>50</v>
      </c>
      <c r="H10" s="36" t="n">
        <v>1493.2</v>
      </c>
    </row>
    <row r="11">
      <c r="A11" s="16" t="inlineStr">
        <is>
          <t>estudio 3.3</t>
        </is>
      </c>
      <c r="B11" s="16" t="inlineStr">
        <is>
          <t>1500–1600</t>
        </is>
      </c>
      <c r="C11" s="16" t="n">
        <v>1500</v>
      </c>
      <c r="D11" s="16" t="n">
        <v>1600</v>
      </c>
      <c r="E11" s="16" t="n">
        <v>15</v>
      </c>
      <c r="F11" s="16" t="n">
        <v>5</v>
      </c>
      <c r="G11" s="29" t="n">
        <v>33.3</v>
      </c>
      <c r="H11" s="36" t="n">
        <v>1593</v>
      </c>
    </row>
    <row r="12">
      <c r="A12" s="16" t="inlineStr">
        <is>
          <t>estudio 3.3</t>
        </is>
      </c>
      <c r="B12" s="16" t="inlineStr">
        <is>
          <t>1600–1700</t>
        </is>
      </c>
      <c r="C12" s="16" t="n">
        <v>1600</v>
      </c>
      <c r="D12" s="16" t="n">
        <v>1700</v>
      </c>
      <c r="E12" s="16" t="n">
        <v>15</v>
      </c>
      <c r="F12" s="16" t="n">
        <v>8</v>
      </c>
      <c r="G12" s="29" t="n">
        <v>53.3</v>
      </c>
      <c r="H12" s="36" t="n">
        <v>1655.5</v>
      </c>
    </row>
    <row r="13">
      <c r="A13" s="16" t="inlineStr">
        <is>
          <t>estudio 3.3</t>
        </is>
      </c>
      <c r="B13" s="16" t="inlineStr">
        <is>
          <t>1700–1800</t>
        </is>
      </c>
      <c r="C13" s="16" t="n">
        <v>1700</v>
      </c>
      <c r="D13" s="16" t="n">
        <v>1800</v>
      </c>
      <c r="E13" s="16" t="n">
        <v>14</v>
      </c>
      <c r="F13" s="16" t="n">
        <v>7</v>
      </c>
      <c r="G13" s="29" t="n">
        <v>50</v>
      </c>
      <c r="H13" s="36" t="n">
        <v>1759.8</v>
      </c>
    </row>
    <row r="14">
      <c r="A14" s="16" t="inlineStr">
        <is>
          <t>estudio 3.3</t>
        </is>
      </c>
      <c r="B14" s="16" t="inlineStr">
        <is>
          <t>1800–1900</t>
        </is>
      </c>
      <c r="C14" s="16" t="n">
        <v>1800</v>
      </c>
      <c r="D14" s="16" t="n">
        <v>1900</v>
      </c>
      <c r="E14" s="16" t="n">
        <v>15</v>
      </c>
      <c r="F14" s="16" t="n">
        <v>10</v>
      </c>
      <c r="G14" s="29" t="n">
        <v>66.7</v>
      </c>
      <c r="H14" s="36" t="n">
        <v>1896.9</v>
      </c>
    </row>
    <row r="15">
      <c r="A15" s="16" t="inlineStr">
        <is>
          <t>estudio 3.3</t>
        </is>
      </c>
      <c r="B15" s="16" t="inlineStr">
        <is>
          <t>1900–2000</t>
        </is>
      </c>
      <c r="C15" s="16" t="n">
        <v>1900</v>
      </c>
      <c r="D15" s="16" t="n">
        <v>2000</v>
      </c>
      <c r="E15" s="16" t="n">
        <v>13</v>
      </c>
      <c r="F15" s="16" t="n">
        <v>9</v>
      </c>
      <c r="G15" s="29" t="n">
        <v>69.2</v>
      </c>
      <c r="H15" s="36" t="n">
        <v>1981.4</v>
      </c>
    </row>
    <row r="16">
      <c r="A16" s="16" t="inlineStr">
        <is>
          <t>estudio 3.3</t>
        </is>
      </c>
      <c r="B16" s="16" t="inlineStr">
        <is>
          <t>2000–2100</t>
        </is>
      </c>
      <c r="C16" s="16" t="n">
        <v>2000</v>
      </c>
      <c r="D16" s="16" t="n">
        <v>2100</v>
      </c>
      <c r="E16" s="16" t="n">
        <v>13</v>
      </c>
      <c r="F16" s="16" t="n">
        <v>8</v>
      </c>
      <c r="G16" s="29" t="n">
        <v>61.5</v>
      </c>
      <c r="H16" s="36" t="n">
        <v>2096.2</v>
      </c>
    </row>
    <row r="17">
      <c r="A17" s="16" t="inlineStr">
        <is>
          <t>estudio 3.3</t>
        </is>
      </c>
      <c r="B17" s="16" t="inlineStr">
        <is>
          <t>2100–2200</t>
        </is>
      </c>
      <c r="C17" s="16" t="n">
        <v>2100</v>
      </c>
      <c r="D17" s="16" t="n">
        <v>2200</v>
      </c>
      <c r="E17" s="16" t="n">
        <v>14</v>
      </c>
      <c r="F17" s="16" t="n">
        <v>7</v>
      </c>
      <c r="G17" s="29" t="n">
        <v>50</v>
      </c>
      <c r="H17" s="36" t="n">
        <v>2198.7</v>
      </c>
    </row>
    <row r="18">
      <c r="A18" s="16" t="inlineStr">
        <is>
          <t>estudio 3.3</t>
        </is>
      </c>
      <c r="B18" s="16" t="inlineStr">
        <is>
          <t>2200–2300</t>
        </is>
      </c>
      <c r="C18" s="16" t="n">
        <v>2200</v>
      </c>
      <c r="D18" s="16" t="n">
        <v>2300</v>
      </c>
      <c r="E18" s="16" t="n">
        <v>14</v>
      </c>
      <c r="F18" s="16" t="n">
        <v>5</v>
      </c>
      <c r="G18" s="29" t="n">
        <v>35.7</v>
      </c>
      <c r="H18" s="36" t="n">
        <v>2292.6</v>
      </c>
    </row>
    <row r="19">
      <c r="A19" s="16" t="inlineStr">
        <is>
          <t>estudio 3.3</t>
        </is>
      </c>
      <c r="B19" s="16" t="inlineStr">
        <is>
          <t>2300–2400</t>
        </is>
      </c>
      <c r="C19" s="16" t="n">
        <v>2300</v>
      </c>
      <c r="D19" s="16" t="n">
        <v>2400</v>
      </c>
      <c r="E19" s="16" t="n">
        <v>10</v>
      </c>
      <c r="F19" s="16" t="n">
        <v>7</v>
      </c>
      <c r="G19" s="29" t="n">
        <v>70</v>
      </c>
      <c r="H19" s="36" t="n">
        <v>2388.2</v>
      </c>
    </row>
    <row r="20">
      <c r="A20" s="16" t="inlineStr">
        <is>
          <t>estudio 3.3</t>
        </is>
      </c>
      <c r="B20" s="16" t="inlineStr">
        <is>
          <t>2400–2500</t>
        </is>
      </c>
      <c r="C20" s="16" t="n">
        <v>2400</v>
      </c>
      <c r="D20" s="16" t="n">
        <v>2500</v>
      </c>
      <c r="E20" s="16" t="n">
        <v>12</v>
      </c>
      <c r="F20" s="16" t="n">
        <v>9</v>
      </c>
      <c r="G20" s="29" t="n">
        <v>75</v>
      </c>
      <c r="H20" s="36" t="n">
        <v>2494.5</v>
      </c>
    </row>
    <row r="22">
      <c r="A22" s="23" t="inlineStr">
        <is>
          <t>Notas: Filtro: todos los puntos del barrido de P_baja. n = 12 filas en la tabla. † = fuera del rango confiable (IAPWS G4-01); ‡ = falso convergido. Fuente: resultados/2026-10-07_final_M4c/m4c_techo.csv.</t>
        </is>
      </c>
    </row>
  </sheetData>
  <autoFilter ref="A8:H20"/>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1" customWidth="1" min="1" max="1"/>
    <col width="17" customWidth="1" min="2" max="2"/>
    <col width="17" customWidth="1" min="3" max="3"/>
    <col width="10" customWidth="1" min="4" max="4"/>
    <col width="10" customWidth="1" min="5" max="5"/>
    <col width="12" customWidth="1" min="6" max="6"/>
    <col width="28" customWidth="1" min="7" max="7"/>
  </cols>
  <sheetData>
    <row r="1">
      <c r="A1" s="19" t="inlineStr">
        <is>
          <t>Tabla 3.3-4 · Techo de P_baja por franja de P_alta</t>
        </is>
      </c>
    </row>
    <row r="2">
      <c r="A2" s="20" t="inlineStr">
        <is>
          <t>Estudio 3.3 · P_baja alta (1500–2500 kPa)</t>
        </is>
      </c>
    </row>
    <row r="3">
      <c r="A3" s="20" t="inlineStr">
        <is>
          <t>Punto base: caja estudio 3.2 con P_baja dentro de 1500 a 2500 kPa</t>
        </is>
      </c>
    </row>
    <row r="4">
      <c r="A4" s="21" t="inlineStr">
        <is>
          <t>Datos fijos: m_b = 1 kg/s; motor de propiedades = teqp.</t>
        </is>
      </c>
    </row>
    <row r="5">
      <c r="A5" s="21" t="inlineStr">
        <is>
          <t>Datos barridos: T_fuente [380.75–499.83] K (150 valores); T_sumidero [278.28–303.41] K (150 valores); P_alta [2015.7–4995.8] kPa (150 valores); P_baja [1501.3–2494.5] kPa (150 valores); x_b [0.5023–0.84953] (150 valores); η_t [0.75103–0.91919] (150 valores); η_p [0.65119–0.89988] (150 valores); ε_HRVG [0.60089–0.94845] (150 valores); ε_reg [0.60038–0.9477] (150 valores); ε_cond [0.70004–0.94966] (150 valores); piso de O2 [278.28–303.41] K (135 valores).</t>
        </is>
      </c>
    </row>
    <row r="6">
      <c r="A6" s="20" t="inlineStr">
        <is>
          <t>Fuente: resultados/2026-10-07_final_M4c/m4c_techo_por_palta.csv</t>
        </is>
      </c>
    </row>
    <row r="8">
      <c r="A8" s="22" t="inlineStr">
        <is>
          <t>Franja</t>
        </is>
      </c>
      <c r="B8" s="22" t="inlineStr">
        <is>
          <t>Límite inferior</t>
        </is>
      </c>
      <c r="C8" s="22" t="inlineStr">
        <is>
          <t>Límite superior</t>
        </is>
      </c>
      <c r="D8" s="22" t="inlineStr">
        <is>
          <t>N</t>
        </is>
      </c>
      <c r="E8" s="22" t="inlineStr">
        <is>
          <t>KALINA</t>
        </is>
      </c>
      <c r="F8" s="22" t="inlineStr">
        <is>
          <t>KALINA [%]</t>
        </is>
      </c>
      <c r="G8" s="22" t="inlineStr">
        <is>
          <t>P_baja máxima KALINA [kPa]</t>
        </is>
      </c>
    </row>
    <row r="9">
      <c r="A9" s="16" t="inlineStr">
        <is>
          <t>2000–2500</t>
        </is>
      </c>
      <c r="B9" s="16" t="n">
        <v>2000</v>
      </c>
      <c r="C9" s="16" t="n">
        <v>2500</v>
      </c>
      <c r="D9" s="16" t="n">
        <v>94</v>
      </c>
      <c r="E9" s="16" t="n">
        <v>23</v>
      </c>
      <c r="F9" s="29" t="n">
        <v>24.5</v>
      </c>
      <c r="G9" s="36" t="n">
        <v>1921.4</v>
      </c>
    </row>
    <row r="10">
      <c r="A10" s="16" t="inlineStr">
        <is>
          <t>2500–3000</t>
        </is>
      </c>
      <c r="B10" s="16" t="n">
        <v>2500</v>
      </c>
      <c r="C10" s="16" t="n">
        <v>3000</v>
      </c>
      <c r="D10" s="16" t="n">
        <v>107</v>
      </c>
      <c r="E10" s="16" t="n">
        <v>29</v>
      </c>
      <c r="F10" s="29" t="n">
        <v>27.1</v>
      </c>
      <c r="G10" s="36" t="n">
        <v>2423</v>
      </c>
    </row>
    <row r="11">
      <c r="A11" s="16" t="inlineStr">
        <is>
          <t>3000–3500</t>
        </is>
      </c>
      <c r="B11" s="16" t="n">
        <v>3000</v>
      </c>
      <c r="C11" s="16" t="n">
        <v>3500</v>
      </c>
      <c r="D11" s="16" t="n">
        <v>109</v>
      </c>
      <c r="E11" s="16" t="n">
        <v>34</v>
      </c>
      <c r="F11" s="29" t="n">
        <v>31.2</v>
      </c>
      <c r="G11" s="36" t="n">
        <v>2479.4</v>
      </c>
    </row>
    <row r="12">
      <c r="A12" s="16" t="inlineStr">
        <is>
          <t>3500–4000</t>
        </is>
      </c>
      <c r="B12" s="16" t="n">
        <v>3500</v>
      </c>
      <c r="C12" s="16" t="n">
        <v>4000</v>
      </c>
      <c r="D12" s="16" t="n">
        <v>108</v>
      </c>
      <c r="E12" s="16" t="n">
        <v>43</v>
      </c>
      <c r="F12" s="29" t="n">
        <v>39.8</v>
      </c>
      <c r="G12" s="36" t="n">
        <v>2494.5</v>
      </c>
    </row>
    <row r="13">
      <c r="A13" s="16" t="inlineStr">
        <is>
          <t>4000–4500</t>
        </is>
      </c>
      <c r="B13" s="16" t="n">
        <v>4000</v>
      </c>
      <c r="C13" s="16" t="n">
        <v>4500</v>
      </c>
      <c r="D13" s="16" t="n">
        <v>109</v>
      </c>
      <c r="E13" s="16" t="n">
        <v>32</v>
      </c>
      <c r="F13" s="29" t="n">
        <v>29.4</v>
      </c>
      <c r="G13" s="36" t="n">
        <v>2418.8</v>
      </c>
    </row>
    <row r="14">
      <c r="A14" s="16" t="inlineStr">
        <is>
          <t>4500–5000</t>
        </is>
      </c>
      <c r="B14" s="16" t="n">
        <v>4500</v>
      </c>
      <c r="C14" s="16" t="n">
        <v>5000</v>
      </c>
      <c r="D14" s="16" t="n">
        <v>108</v>
      </c>
      <c r="E14" s="16" t="n">
        <v>35</v>
      </c>
      <c r="F14" s="29" t="n">
        <v>32.4</v>
      </c>
      <c r="G14" s="36" t="n">
        <v>2482.4</v>
      </c>
    </row>
    <row r="16">
      <c r="A16" s="23" t="inlineStr">
        <is>
          <t>Notas: Filtro: todos los puntos del barrido de P_baja. n = 6 filas en la tabla. † = fuera del rango confiable (IAPWS G4-01); ‡ = falso convergido. Fuente: resultados/2026-10-07_final_M4c/m4c_techo_por_palta.csv.</t>
        </is>
      </c>
    </row>
  </sheetData>
  <autoFilter ref="A8:G1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V145"/>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3.3 · P_baja alta (1500–2500 kPa)</t>
        </is>
      </c>
    </row>
    <row r="2">
      <c r="A2" t="inlineStr">
        <is>
          <t>Cada fila es un punto calculado (n = 135);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5">
      <c r="A5" t="inlineStr">
        <is>
          <t>15 puntos omitidos (el modelo no los evaluó) no se muestran ni en la tabla ni en los gráficos.</t>
        </is>
      </c>
    </row>
    <row r="6">
      <c r="A6" s="33" t="inlineStr">
        <is>
          <t>Parte 3.3 · P_baja de 1500 a 2500 kPa · 135 puntos</t>
        </is>
      </c>
      <c r="B6" s="31" t="n"/>
      <c r="C6" s="31" t="n"/>
      <c r="D6" s="31" t="n"/>
      <c r="E6" s="31" t="n"/>
      <c r="F6" s="31" t="n"/>
      <c r="G6" s="31" t="n"/>
      <c r="H6" s="31" t="n"/>
      <c r="I6" s="31" t="n"/>
      <c r="J6" s="31" t="n"/>
      <c r="K6" s="31" t="n"/>
      <c r="V6" s="24" t="inlineStr">
        <is>
          <t>Figura 3.3-1 · Fracción de KALINA al subir P_baja entre 1500 y 2500 kPa</t>
        </is>
      </c>
    </row>
    <row r="7"/>
    <row r="8">
      <c r="A8" s="34" t="inlineStr">
        <is>
          <t>Barrido de la parte 3.3 · 135 puntos</t>
        </is>
      </c>
    </row>
    <row r="9">
      <c r="A9" s="25" t="inlineStr">
        <is>
          <t>Todas las variables se mueven.</t>
        </is>
      </c>
    </row>
    <row r="10">
      <c r="A10" s="22" t="inlineStr">
        <is>
          <t>id_punto</t>
        </is>
      </c>
      <c r="B10" s="22" t="inlineStr">
        <is>
          <t>T_fuente [K]</t>
        </is>
      </c>
      <c r="C10" s="22" t="inlineStr">
        <is>
          <t>T_sumidero [K]</t>
        </is>
      </c>
      <c r="D10" s="22" t="inlineStr">
        <is>
          <t>P_alta [kPa]</t>
        </is>
      </c>
      <c r="E10" s="22" t="inlineStr">
        <is>
          <t>P_baja [kPa]</t>
        </is>
      </c>
      <c r="F10" s="22" t="inlineStr">
        <is>
          <t>x_b [–]</t>
        </is>
      </c>
      <c r="G10" s="22" t="inlineStr">
        <is>
          <t>η_t [–]</t>
        </is>
      </c>
      <c r="H10" s="22" t="inlineStr">
        <is>
          <t>η_p [–]</t>
        </is>
      </c>
      <c r="I10" s="22" t="inlineStr">
        <is>
          <t>ε_HRVG [–]</t>
        </is>
      </c>
      <c r="J10" s="22" t="inlineStr">
        <is>
          <t>ε_reg [–]</t>
        </is>
      </c>
      <c r="K10" s="22" t="inlineStr">
        <is>
          <t>ε_cond [–]</t>
        </is>
      </c>
      <c r="L10" s="22" t="inlineStr">
        <is>
          <t>Clase</t>
        </is>
      </c>
      <c r="M10" s="22" t="inlineStr">
        <is>
          <t>η [%]</t>
        </is>
      </c>
      <c r="N10" s="22" t="inlineStr">
        <is>
          <t>W_net [kW] (m_b = 1 kg/s)</t>
        </is>
      </c>
      <c r="O10" s="22" t="inlineStr">
        <is>
          <t>ΔP [kPa]</t>
        </is>
      </c>
      <c r="P10" s="22" t="inlineStr">
        <is>
          <t>r_P [–]</t>
        </is>
      </c>
      <c r="Q10" s="22" t="inlineStr">
        <is>
          <t>Fuera de rango</t>
        </is>
      </c>
      <c r="R10" s="22" t="inlineStr">
        <is>
          <t>Criterios que falla</t>
        </is>
      </c>
    </row>
    <row r="11">
      <c r="A11" s="16" t="inlineStr">
        <is>
          <t>KF-M04c-0001</t>
        </is>
      </c>
      <c r="B11" s="35" t="n">
        <v>390.4398665966994</v>
      </c>
      <c r="C11" s="35" t="n">
        <v>282.2947962274959</v>
      </c>
      <c r="D11" s="36" t="n">
        <v>3432.389070802661</v>
      </c>
      <c r="E11" s="35" t="n">
        <v>2446.042662126142</v>
      </c>
      <c r="F11" s="37" t="n">
        <v>0.5132763836837659</v>
      </c>
      <c r="G11" s="37" t="n">
        <v>0.8018552668165404</v>
      </c>
      <c r="H11" s="37" t="n">
        <v>0.8475043001147259</v>
      </c>
      <c r="I11" s="37" t="n">
        <v>0.921857523818699</v>
      </c>
      <c r="J11" s="37" t="n">
        <v>0.6521132195337673</v>
      </c>
      <c r="K11" s="37" t="n">
        <v>0.7990066915575935</v>
      </c>
      <c r="L11" s="38" t="inlineStr">
        <is>
          <t>Falso convergido</t>
        </is>
      </c>
      <c r="M11" s="29" t="inlineStr">
        <is>
          <t>—</t>
        </is>
      </c>
      <c r="N11" s="35" t="inlineStr">
        <is>
          <t>—</t>
        </is>
      </c>
      <c r="O11" s="36" t="n">
        <v>986.3464086765188</v>
      </c>
      <c r="P11" s="29" t="n">
        <v>1.403241702995961</v>
      </c>
      <c r="Q11" s="16" t="inlineStr">
        <is>
          <t>no</t>
        </is>
      </c>
      <c r="R11" s="16" t="inlineStr">
        <is>
          <t>N2,O3,O5,C1,C3,C3</t>
        </is>
      </c>
    </row>
    <row r="12">
      <c r="A12" s="16" t="inlineStr">
        <is>
          <t>KF-M04c-0002</t>
        </is>
      </c>
      <c r="B12" s="35" t="n">
        <v>432.6994908319649</v>
      </c>
      <c r="C12" s="35" t="n">
        <v>303.0469754653772</v>
      </c>
      <c r="D12" s="36" t="n">
        <v>3520.172027688752</v>
      </c>
      <c r="E12" s="35" t="n">
        <v>1790.68924805168</v>
      </c>
      <c r="F12" s="37" t="n">
        <v>0.7922219648920018</v>
      </c>
      <c r="G12" s="37" t="n">
        <v>0.8598095964426913</v>
      </c>
      <c r="H12" s="37" t="n">
        <v>0.731105471220319</v>
      </c>
      <c r="I12" s="37" t="n">
        <v>0.6905805614174769</v>
      </c>
      <c r="J12" s="37" t="n">
        <v>0.7798132066654053</v>
      </c>
      <c r="K12" s="37" t="n">
        <v>0.8186854027747896</v>
      </c>
      <c r="L12" s="39" t="inlineStr">
        <is>
          <t>Corregible</t>
        </is>
      </c>
      <c r="M12" s="29" t="n">
        <v>6.51942623085659</v>
      </c>
      <c r="N12" s="35" t="n">
        <v>59.49917076798116</v>
      </c>
      <c r="O12" s="36" t="n">
        <v>1729.482779637072</v>
      </c>
      <c r="P12" s="29" t="n">
        <v>1.965819603551424</v>
      </c>
      <c r="Q12" s="16" t="inlineStr">
        <is>
          <t>no</t>
        </is>
      </c>
      <c r="R12" s="16" t="inlineStr">
        <is>
          <t>O2</t>
        </is>
      </c>
    </row>
    <row r="13">
      <c r="A13" s="16" t="inlineStr">
        <is>
          <t>KF-M04c-0005</t>
        </is>
      </c>
      <c r="B13" s="35" t="n">
        <v>457.8763703239463</v>
      </c>
      <c r="C13" s="35" t="n">
        <v>297.0986464438654</v>
      </c>
      <c r="D13" s="36" t="n">
        <v>3719.566979126963</v>
      </c>
      <c r="E13" s="35" t="n">
        <v>1523.799278985118</v>
      </c>
      <c r="F13" s="37" t="n">
        <v>0.7840962366344995</v>
      </c>
      <c r="G13" s="37" t="n">
        <v>0.8533539882875352</v>
      </c>
      <c r="H13" s="37" t="n">
        <v>0.8259673261798972</v>
      </c>
      <c r="I13" s="37" t="n">
        <v>0.6044837674139375</v>
      </c>
      <c r="J13" s="37" t="n">
        <v>0.8955287491871746</v>
      </c>
      <c r="K13" s="37" t="n">
        <v>0.8816005741494491</v>
      </c>
      <c r="L13" s="39" t="inlineStr">
        <is>
          <t>Corregible</t>
        </is>
      </c>
      <c r="M13" s="29" t="n">
        <v>8.19112789781326</v>
      </c>
      <c r="N13" s="35" t="n">
        <v>81.86139075824434</v>
      </c>
      <c r="O13" s="36" t="n">
        <v>2195.767700141844</v>
      </c>
      <c r="P13" s="29" t="n">
        <v>2.440982241180919</v>
      </c>
      <c r="Q13" s="16" t="inlineStr">
        <is>
          <t>no</t>
        </is>
      </c>
      <c r="R13" s="16" t="inlineStr">
        <is>
          <t>O2</t>
        </is>
      </c>
    </row>
    <row r="14">
      <c r="A14" s="16" t="inlineStr">
        <is>
          <t>KF-M04c-0006</t>
        </is>
      </c>
      <c r="B14" s="35" t="n">
        <v>429.0549156640558</v>
      </c>
      <c r="C14" s="35" t="n">
        <v>302.4403633809515</v>
      </c>
      <c r="D14" s="36" t="n">
        <v>2916.061184773991</v>
      </c>
      <c r="E14" s="35" t="n">
        <v>2096.181681428085</v>
      </c>
      <c r="F14" s="37" t="n">
        <v>0.5849658379418586</v>
      </c>
      <c r="G14" s="37" t="n">
        <v>0.8307521303835663</v>
      </c>
      <c r="H14" s="37" t="n">
        <v>0.692956579206518</v>
      </c>
      <c r="I14" s="37" t="n">
        <v>0.7408731801786509</v>
      </c>
      <c r="J14" s="37" t="n">
        <v>0.76800870471019</v>
      </c>
      <c r="K14" s="37" t="n">
        <v>0.8778421247589593</v>
      </c>
      <c r="L14" s="42" t="inlineStr">
        <is>
          <t>KALINA</t>
        </is>
      </c>
      <c r="M14" s="29" t="n">
        <v>2.4902919960983</v>
      </c>
      <c r="N14" s="35" t="n">
        <v>18.17338472335152</v>
      </c>
      <c r="O14" s="36" t="n">
        <v>819.8795033459055</v>
      </c>
      <c r="P14" s="29" t="n">
        <v>1.391129982009641</v>
      </c>
      <c r="Q14" s="16" t="inlineStr">
        <is>
          <t>no</t>
        </is>
      </c>
      <c r="R14" s="16" t="n"/>
    </row>
    <row r="15">
      <c r="A15" s="16" t="inlineStr">
        <is>
          <t>KF-M04c-0007</t>
        </is>
      </c>
      <c r="B15" s="35" t="n">
        <v>399.8754470107883</v>
      </c>
      <c r="C15" s="35" t="n">
        <v>280.9398863671551</v>
      </c>
      <c r="D15" s="36" t="n">
        <v>3080.143064359546</v>
      </c>
      <c r="E15" s="35" t="n">
        <v>1604.636210125756</v>
      </c>
      <c r="F15" s="37" t="n">
        <v>0.7634109623949563</v>
      </c>
      <c r="G15" s="37" t="n">
        <v>0.8093672187162755</v>
      </c>
      <c r="H15" s="37" t="n">
        <v>0.7360407313217491</v>
      </c>
      <c r="I15" s="37" t="n">
        <v>0.8367037980708438</v>
      </c>
      <c r="J15" s="37" t="n">
        <v>0.9476963824473652</v>
      </c>
      <c r="K15" s="37" t="n">
        <v>0.8031141434366271</v>
      </c>
      <c r="L15" s="42" t="inlineStr">
        <is>
          <t>KALINA</t>
        </is>
      </c>
      <c r="M15" s="29" t="n">
        <v>5.64374418215832</v>
      </c>
      <c r="N15" s="35" t="n">
        <v>43.70017387117802</v>
      </c>
      <c r="O15" s="36" t="n">
        <v>1475.50685423379</v>
      </c>
      <c r="P15" s="29" t="n">
        <v>1.919527332689416</v>
      </c>
      <c r="Q15" s="16" t="inlineStr">
        <is>
          <t>no</t>
        </is>
      </c>
      <c r="R15" s="16" t="n"/>
    </row>
    <row r="16">
      <c r="A16" s="16" t="inlineStr">
        <is>
          <t>KF-M04c-0008</t>
        </is>
      </c>
      <c r="B16" s="35" t="n">
        <v>465.0743895832441</v>
      </c>
      <c r="C16" s="35" t="n">
        <v>280.49097346784</v>
      </c>
      <c r="D16" s="36" t="n">
        <v>2467.938421960246</v>
      </c>
      <c r="E16" s="35" t="n">
        <v>1785.646256258532</v>
      </c>
      <c r="F16" s="37" t="n">
        <v>0.7198627017259152</v>
      </c>
      <c r="G16" s="37" t="n">
        <v>0.8611349307829184</v>
      </c>
      <c r="H16" s="37" t="n">
        <v>0.6770273057332904</v>
      </c>
      <c r="I16" s="37" t="n">
        <v>0.6054905063514182</v>
      </c>
      <c r="J16" s="37" t="n">
        <v>0.8316054193836205</v>
      </c>
      <c r="K16" s="37" t="n">
        <v>0.7324660421334764</v>
      </c>
      <c r="L16" s="39" t="inlineStr">
        <is>
          <t>Corregible</t>
        </is>
      </c>
      <c r="M16" s="29" t="n">
        <v>2.87182095283785</v>
      </c>
      <c r="N16" s="35" t="n">
        <v>29.4089727637818</v>
      </c>
      <c r="O16" s="36" t="n">
        <v>682.2921657017146</v>
      </c>
      <c r="P16" s="29" t="n">
        <v>1.382098169394045</v>
      </c>
      <c r="Q16" s="16" t="inlineStr">
        <is>
          <t>no</t>
        </is>
      </c>
      <c r="R16" s="16" t="inlineStr">
        <is>
          <t>O2</t>
        </is>
      </c>
    </row>
    <row r="17">
      <c r="A17" s="16" t="inlineStr">
        <is>
          <t>KF-M04c-0009</t>
        </is>
      </c>
      <c r="B17" s="35" t="n">
        <v>411.2695890426718</v>
      </c>
      <c r="C17" s="35" t="n">
        <v>289.6089789408638</v>
      </c>
      <c r="D17" s="36" t="n">
        <v>3931.197874704566</v>
      </c>
      <c r="E17" s="35" t="n">
        <v>2143.789516905501</v>
      </c>
      <c r="F17" s="37" t="n">
        <v>0.6219483151996508</v>
      </c>
      <c r="G17" s="37" t="n">
        <v>0.91918779398715</v>
      </c>
      <c r="H17" s="37" t="n">
        <v>0.8647191263610277</v>
      </c>
      <c r="I17" s="37" t="n">
        <v>0.6767862897063014</v>
      </c>
      <c r="J17" s="37" t="n">
        <v>0.6504770230453498</v>
      </c>
      <c r="K17" s="37" t="n">
        <v>0.7511211762305928</v>
      </c>
      <c r="L17" s="42" t="inlineStr">
        <is>
          <t>KALINA</t>
        </is>
      </c>
      <c r="M17" s="29" t="n">
        <v>4.02192790892651</v>
      </c>
      <c r="N17" s="35" t="n">
        <v>17.369878359758</v>
      </c>
      <c r="O17" s="36" t="n">
        <v>1787.408357799065</v>
      </c>
      <c r="P17" s="29" t="n">
        <v>1.833761124263327</v>
      </c>
      <c r="Q17" s="16" t="inlineStr">
        <is>
          <t>no</t>
        </is>
      </c>
      <c r="R17" s="16" t="n"/>
    </row>
    <row r="18">
      <c r="A18" s="16" t="inlineStr">
        <is>
          <t>KF-M04c-0010</t>
        </is>
      </c>
      <c r="B18" s="35" t="n">
        <v>494.7404471694847</v>
      </c>
      <c r="C18" s="35" t="n">
        <v>291.8553306155917</v>
      </c>
      <c r="D18" s="36" t="n">
        <v>2694.664190498703</v>
      </c>
      <c r="E18" s="35" t="n">
        <v>1981.397269808512</v>
      </c>
      <c r="F18" s="37" t="n">
        <v>0.5673175851034441</v>
      </c>
      <c r="G18" s="37" t="n">
        <v>0.8754527230637795</v>
      </c>
      <c r="H18" s="37" t="n">
        <v>0.685850636281929</v>
      </c>
      <c r="I18" s="37" t="n">
        <v>0.8869118063459107</v>
      </c>
      <c r="J18" s="37" t="n">
        <v>0.9290428113099276</v>
      </c>
      <c r="K18" s="37" t="n">
        <v>0.92361125371152</v>
      </c>
      <c r="L18" s="42" t="inlineStr">
        <is>
          <t>KALINA</t>
        </is>
      </c>
      <c r="M18" s="29" t="n">
        <v>2.3956700112703</v>
      </c>
      <c r="N18" s="35" t="n">
        <v>46.09293895145823</v>
      </c>
      <c r="O18" s="36" t="n">
        <v>713.2669206901912</v>
      </c>
      <c r="P18" s="29" t="n">
        <v>1.359981782330367</v>
      </c>
      <c r="Q18" s="16" t="inlineStr">
        <is>
          <t>sí</t>
        </is>
      </c>
      <c r="R18" s="16" t="n"/>
    </row>
    <row r="19">
      <c r="A19" s="16" t="inlineStr">
        <is>
          <t>KF-M04c-0011</t>
        </is>
      </c>
      <c r="B19" s="35" t="n">
        <v>410.2474695314724</v>
      </c>
      <c r="C19" s="35" t="n">
        <v>294.5799555506383</v>
      </c>
      <c r="D19" s="36" t="n">
        <v>4185.474905912935</v>
      </c>
      <c r="E19" s="35" t="n">
        <v>1628.785266354178</v>
      </c>
      <c r="F19" s="37" t="n">
        <v>0.5306587423461543</v>
      </c>
      <c r="G19" s="37" t="n">
        <v>0.8195326075381834</v>
      </c>
      <c r="H19" s="37" t="n">
        <v>0.7257072207106948</v>
      </c>
      <c r="I19" s="37" t="n">
        <v>0.7133590101591623</v>
      </c>
      <c r="J19" s="37" t="n">
        <v>0.6999293851478459</v>
      </c>
      <c r="K19" s="37" t="n">
        <v>0.8125374913302172</v>
      </c>
      <c r="L19" s="42" t="inlineStr">
        <is>
          <t>KALINA</t>
        </is>
      </c>
      <c r="M19" s="29" t="n">
        <v>1.47734687753859</v>
      </c>
      <c r="N19" s="35" t="n">
        <v>3.484156123590505</v>
      </c>
      <c r="O19" s="36" t="n">
        <v>2556.689639558757</v>
      </c>
      <c r="P19" s="29" t="n">
        <v>2.569691040539414</v>
      </c>
      <c r="Q19" s="16" t="inlineStr">
        <is>
          <t>no</t>
        </is>
      </c>
      <c r="R19" s="16" t="n"/>
    </row>
    <row r="20">
      <c r="A20" s="16" t="inlineStr">
        <is>
          <t>KF-M04c-0012</t>
        </is>
      </c>
      <c r="B20" s="35" t="n">
        <v>450.9893074811102</v>
      </c>
      <c r="C20" s="35" t="n">
        <v>299.2443835272988</v>
      </c>
      <c r="D20" s="36" t="n">
        <v>4689.398241648308</v>
      </c>
      <c r="E20" s="35" t="n">
        <v>1766.295157486949</v>
      </c>
      <c r="F20" s="37" t="n">
        <v>0.7953345150241091</v>
      </c>
      <c r="G20" s="37" t="n">
        <v>0.8359843860745628</v>
      </c>
      <c r="H20" s="37" t="n">
        <v>0.7961569412774487</v>
      </c>
      <c r="I20" s="37" t="n">
        <v>0.7157411276781915</v>
      </c>
      <c r="J20" s="37" t="n">
        <v>0.7253890827746153</v>
      </c>
      <c r="K20" s="37" t="n">
        <v>0.8336510662308577</v>
      </c>
      <c r="L20" s="39" t="inlineStr">
        <is>
          <t>Corregible</t>
        </is>
      </c>
      <c r="M20" s="29" t="n">
        <v>8.820690511451181</v>
      </c>
      <c r="N20" s="35" t="n">
        <v>92.73013662344378</v>
      </c>
      <c r="O20" s="36" t="n">
        <v>2923.103084161358</v>
      </c>
      <c r="P20" s="29" t="n">
        <v>2.654934664668556</v>
      </c>
      <c r="Q20" s="16" t="inlineStr">
        <is>
          <t>sí</t>
        </is>
      </c>
      <c r="R20" s="16" t="inlineStr">
        <is>
          <t>O2</t>
        </is>
      </c>
    </row>
    <row r="21">
      <c r="A21" s="16" t="inlineStr">
        <is>
          <t>KF-M04c-0013</t>
        </is>
      </c>
      <c r="B21" s="35" t="n">
        <v>474.8477944635779</v>
      </c>
      <c r="C21" s="35" t="n">
        <v>290.5015237429492</v>
      </c>
      <c r="D21" s="36" t="n">
        <v>3752.053337497172</v>
      </c>
      <c r="E21" s="35" t="n">
        <v>1655.513367141967</v>
      </c>
      <c r="F21" s="37" t="n">
        <v>0.6741527869692465</v>
      </c>
      <c r="G21" s="37" t="n">
        <v>0.8032807891530898</v>
      </c>
      <c r="H21" s="37" t="n">
        <v>0.7904855594185187</v>
      </c>
      <c r="I21" s="37" t="n">
        <v>0.7263385640400988</v>
      </c>
      <c r="J21" s="37" t="n">
        <v>0.9103249120657158</v>
      </c>
      <c r="K21" s="37" t="n">
        <v>0.9421721114255678</v>
      </c>
      <c r="L21" s="42" t="inlineStr">
        <is>
          <t>KALINA</t>
        </is>
      </c>
      <c r="M21" s="29" t="n">
        <v>6.06688631818431</v>
      </c>
      <c r="N21" s="35" t="n">
        <v>84.21251472832272</v>
      </c>
      <c r="O21" s="36" t="n">
        <v>2096.539970355205</v>
      </c>
      <c r="P21" s="29" t="n">
        <v>2.266398696601655</v>
      </c>
      <c r="Q21" s="16" t="inlineStr">
        <is>
          <t>sí</t>
        </is>
      </c>
      <c r="R21" s="16" t="n"/>
    </row>
    <row r="22">
      <c r="A22" s="16" t="inlineStr">
        <is>
          <t>KF-M04c-0014</t>
        </is>
      </c>
      <c r="B22" s="35" t="n">
        <v>391.5660221531734</v>
      </c>
      <c r="C22" s="35" t="n">
        <v>292.5205869326031</v>
      </c>
      <c r="D22" s="36" t="n">
        <v>2802.809760742077</v>
      </c>
      <c r="E22" s="35" t="n">
        <v>2423.018631598137</v>
      </c>
      <c r="F22" s="37" t="n">
        <v>0.7060159498116451</v>
      </c>
      <c r="G22" s="37" t="n">
        <v>0.7569499134573461</v>
      </c>
      <c r="H22" s="37" t="n">
        <v>0.8127825198499503</v>
      </c>
      <c r="I22" s="37" t="n">
        <v>0.9288401279826</v>
      </c>
      <c r="J22" s="37" t="n">
        <v>0.8610582569277669</v>
      </c>
      <c r="K22" s="37" t="n">
        <v>0.7398987632130107</v>
      </c>
      <c r="L22" s="42" t="inlineStr">
        <is>
          <t>KALINA</t>
        </is>
      </c>
      <c r="M22" s="29" t="n">
        <v>1.23497821787083</v>
      </c>
      <c r="N22" s="35" t="n">
        <v>7.94138154531292</v>
      </c>
      <c r="O22" s="36" t="n">
        <v>379.79112914394</v>
      </c>
      <c r="P22" s="29" t="n">
        <v>1.156742966888968</v>
      </c>
      <c r="Q22" s="16" t="inlineStr">
        <is>
          <t>no</t>
        </is>
      </c>
      <c r="R22" s="16" t="n"/>
    </row>
    <row r="23">
      <c r="A23" s="16" t="inlineStr">
        <is>
          <t>KF-M04c-0015</t>
        </is>
      </c>
      <c r="B23" s="35" t="n">
        <v>412.7595940248629</v>
      </c>
      <c r="C23" s="35" t="n">
        <v>286.7545652134839</v>
      </c>
      <c r="D23" s="36" t="n">
        <v>4887.819971582242</v>
      </c>
      <c r="E23" s="35" t="n">
        <v>2482.357497177626</v>
      </c>
      <c r="F23" s="37" t="n">
        <v>0.7303034719686323</v>
      </c>
      <c r="G23" s="37" t="n">
        <v>0.878283994404111</v>
      </c>
      <c r="H23" s="37" t="n">
        <v>0.8509604669845663</v>
      </c>
      <c r="I23" s="37" t="n">
        <v>0.8428570054746163</v>
      </c>
      <c r="J23" s="37" t="n">
        <v>0.6155247656865818</v>
      </c>
      <c r="K23" s="37" t="n">
        <v>0.9022305892072668</v>
      </c>
      <c r="L23" s="42" t="inlineStr">
        <is>
          <t>KALINA</t>
        </is>
      </c>
      <c r="M23" s="29" t="n">
        <v>4.808370934406421</v>
      </c>
      <c r="N23" s="35" t="n">
        <v>34.10943882872089</v>
      </c>
      <c r="O23" s="36" t="n">
        <v>2405.462474404616</v>
      </c>
      <c r="P23" s="29" t="n">
        <v>1.969023388911372</v>
      </c>
      <c r="Q23" s="16" t="inlineStr">
        <is>
          <t>no</t>
        </is>
      </c>
      <c r="R23" s="16" t="n"/>
    </row>
    <row r="24">
      <c r="A24" s="16" t="inlineStr">
        <is>
          <t>KF-M04c-0016</t>
        </is>
      </c>
      <c r="B24" s="35" t="n">
        <v>415.8314631621158</v>
      </c>
      <c r="C24" s="35" t="n">
        <v>280.8139402468917</v>
      </c>
      <c r="D24" s="36" t="n">
        <v>4909.596024434353</v>
      </c>
      <c r="E24" s="35" t="n">
        <v>2406.867703420082</v>
      </c>
      <c r="F24" s="37" t="n">
        <v>0.6974498600064004</v>
      </c>
      <c r="G24" s="37" t="n">
        <v>0.8571984653028089</v>
      </c>
      <c r="H24" s="37" t="n">
        <v>0.807701985112626</v>
      </c>
      <c r="I24" s="37" t="n">
        <v>0.8055913661767267</v>
      </c>
      <c r="J24" s="37" t="n">
        <v>0.8763660612833688</v>
      </c>
      <c r="K24" s="37" t="n">
        <v>0.8838251353037161</v>
      </c>
      <c r="L24" s="42" t="inlineStr">
        <is>
          <t>KALINA</t>
        </is>
      </c>
      <c r="M24" s="29" t="n">
        <v>5.15339812915488</v>
      </c>
      <c r="N24" s="35" t="n">
        <v>30.02342566538902</v>
      </c>
      <c r="O24" s="36" t="n">
        <v>2502.728321014271</v>
      </c>
      <c r="P24" s="29" t="n">
        <v>2.039827954589267</v>
      </c>
      <c r="Q24" s="16" t="inlineStr">
        <is>
          <t>no</t>
        </is>
      </c>
      <c r="R24" s="16" t="n"/>
    </row>
    <row r="25">
      <c r="A25" s="16" t="inlineStr">
        <is>
          <t>KF-M04c-0017</t>
        </is>
      </c>
      <c r="B25" s="35" t="n">
        <v>495.9280611290693</v>
      </c>
      <c r="C25" s="35" t="n">
        <v>303.4104516690429</v>
      </c>
      <c r="D25" s="36" t="n">
        <v>3056.703732319918</v>
      </c>
      <c r="E25" s="35" t="n">
        <v>2342.877823990452</v>
      </c>
      <c r="F25" s="37" t="n">
        <v>0.6781410013500402</v>
      </c>
      <c r="G25" s="37" t="n">
        <v>0.7805265216480682</v>
      </c>
      <c r="H25" s="37" t="n">
        <v>0.6711171341190951</v>
      </c>
      <c r="I25" s="37" t="n">
        <v>0.9145739028648504</v>
      </c>
      <c r="J25" s="37" t="n">
        <v>0.6326234890955563</v>
      </c>
      <c r="K25" s="37" t="n">
        <v>0.8887542361024987</v>
      </c>
      <c r="L25" s="42" t="inlineStr">
        <is>
          <t>KALINA</t>
        </is>
      </c>
      <c r="M25" s="29" t="n">
        <v>2.08102168152804</v>
      </c>
      <c r="N25" s="35" t="n">
        <v>36.76761675392513</v>
      </c>
      <c r="O25" s="36" t="n">
        <v>713.8259083294661</v>
      </c>
      <c r="P25" s="29" t="n">
        <v>1.30467910064284</v>
      </c>
      <c r="Q25" s="16" t="inlineStr">
        <is>
          <t>sí</t>
        </is>
      </c>
      <c r="R25" s="16" t="n"/>
      <c r="V25" s="25" t="inlineStr">
        <is>
          <t>Estudio 3.3. Punto base: Sin punto base: muestreo en la caja de rangos indicada en 'Datos barridos'</t>
        </is>
      </c>
    </row>
    <row r="26">
      <c r="A26" s="16" t="inlineStr">
        <is>
          <t>KF-M04c-0018</t>
        </is>
      </c>
      <c r="B26" s="35" t="n">
        <v>441.703492090925</v>
      </c>
      <c r="C26" s="35" t="n">
        <v>279.1577873569639</v>
      </c>
      <c r="D26" s="36" t="n">
        <v>4263.532472464449</v>
      </c>
      <c r="E26" s="35" t="n">
        <v>1582.364931794596</v>
      </c>
      <c r="F26" s="37" t="n">
        <v>0.6275566781315488</v>
      </c>
      <c r="G26" s="37" t="n">
        <v>0.8472758789635302</v>
      </c>
      <c r="H26" s="37" t="n">
        <v>0.7859278006776804</v>
      </c>
      <c r="I26" s="37" t="n">
        <v>0.6974121689872467</v>
      </c>
      <c r="J26" s="37" t="n">
        <v>0.9429467720471922</v>
      </c>
      <c r="K26" s="37" t="n">
        <v>0.8265431798978753</v>
      </c>
      <c r="L26" s="42" t="inlineStr">
        <is>
          <t>KALINA</t>
        </is>
      </c>
      <c r="M26" s="29" t="n">
        <v>7.658534540563871</v>
      </c>
      <c r="N26" s="35" t="n">
        <v>53.18733092617674</v>
      </c>
      <c r="O26" s="36" t="n">
        <v>2681.167540669853</v>
      </c>
      <c r="P26" s="29" t="n">
        <v>2.694405308659792</v>
      </c>
      <c r="Q26" s="16" t="inlineStr">
        <is>
          <t>sí</t>
        </is>
      </c>
      <c r="R26" s="16" t="n"/>
      <c r="V26" s="25" t="inlineStr">
        <is>
          <t>Datos fijos: m_b = 1 kg/s; motor de propiedades = teqp.</t>
        </is>
      </c>
    </row>
    <row r="27">
      <c r="A27" s="16" t="inlineStr">
        <is>
          <t>KF-M04c-0019</t>
        </is>
      </c>
      <c r="B27" s="35" t="n">
        <v>404.9150000986174</v>
      </c>
      <c r="C27" s="35" t="n">
        <v>283.8879244010575</v>
      </c>
      <c r="D27" s="36" t="n">
        <v>4944.426066848791</v>
      </c>
      <c r="E27" s="35" t="n">
        <v>1972.368340335818</v>
      </c>
      <c r="F27" s="37" t="n">
        <v>0.5149990508954705</v>
      </c>
      <c r="G27" s="37" t="n">
        <v>0.786859310820643</v>
      </c>
      <c r="H27" s="37" t="n">
        <v>0.7199148657768005</v>
      </c>
      <c r="I27" s="37" t="n">
        <v>0.6590218161311133</v>
      </c>
      <c r="J27" s="37" t="n">
        <v>0.8261790000693545</v>
      </c>
      <c r="K27" s="37" t="n">
        <v>0.7495669492632092</v>
      </c>
      <c r="L27" s="38" t="inlineStr">
        <is>
          <t>Falso convergido</t>
        </is>
      </c>
      <c r="M27" s="29" t="inlineStr">
        <is>
          <t>—</t>
        </is>
      </c>
      <c r="N27" s="35" t="inlineStr">
        <is>
          <t>—</t>
        </is>
      </c>
      <c r="O27" s="36" t="n">
        <v>2972.057726512973</v>
      </c>
      <c r="P27" s="29" t="n">
        <v>2.506847207863286</v>
      </c>
      <c r="Q27" s="16" t="inlineStr">
        <is>
          <t>no</t>
        </is>
      </c>
      <c r="R27" s="16" t="inlineStr">
        <is>
          <t>N2,S6,O3,O5,C1,C3,C3</t>
        </is>
      </c>
      <c r="V27" s="25" t="inlineStr">
        <is>
          <t>Datos barridos: T_fuente [380.75–499.83] K (150 valores); T_sumidero [278.28–303.41] K (150 valores); P_alta [2015.7–4995.8] kPa (150 valores); P_baja [1501.3–2494.5] kPa (150 valores); x_b [0.5023–0.84953] (150 valores); η_t [0.75103–0.91919] (150 valores); η_p [0.65119–0.89988] (150 valores); ε_HRVG [0.60089–0.94845] (150 valores); ε_reg [0.60038–0.9477] (150 valores); ε_cond [0.70004–0.94966] (150 valores); piso de O2 [278.28–303.41] K (135 valores).</t>
        </is>
      </c>
    </row>
    <row r="28">
      <c r="A28" s="16" t="inlineStr">
        <is>
          <t>KF-M04c-0020</t>
        </is>
      </c>
      <c r="B28" s="35" t="n">
        <v>397.7829503800403</v>
      </c>
      <c r="C28" s="35" t="n">
        <v>290.3173045404957</v>
      </c>
      <c r="D28" s="36" t="n">
        <v>3249.398768663742</v>
      </c>
      <c r="E28" s="35" t="n">
        <v>2388.225783663329</v>
      </c>
      <c r="F28" s="37" t="n">
        <v>0.7555057444861117</v>
      </c>
      <c r="G28" s="37" t="n">
        <v>0.7902074840597973</v>
      </c>
      <c r="H28" s="37" t="n">
        <v>0.76585356742931</v>
      </c>
      <c r="I28" s="37" t="n">
        <v>0.8334126385096147</v>
      </c>
      <c r="J28" s="37" t="n">
        <v>0.6402984987337785</v>
      </c>
      <c r="K28" s="37" t="n">
        <v>0.9207115229963408</v>
      </c>
      <c r="L28" s="42" t="inlineStr">
        <is>
          <t>KALINA</t>
        </is>
      </c>
      <c r="M28" s="29" t="n">
        <v>2.27309470580508</v>
      </c>
      <c r="N28" s="35" t="n">
        <v>17.93955874670736</v>
      </c>
      <c r="O28" s="36" t="n">
        <v>861.1729850004135</v>
      </c>
      <c r="P28" s="29" t="n">
        <v>1.36059110947184</v>
      </c>
      <c r="Q28" s="16" t="inlineStr">
        <is>
          <t>no</t>
        </is>
      </c>
      <c r="R28" s="16" t="n"/>
      <c r="V28" s="25" t="inlineStr">
        <is>
          <t>Filtro: estudio 3.3, puntos evaluados. Marcas: Barra sólida: KALINA dentro del rango; rayada: KALINA fuera de rango</t>
        </is>
      </c>
    </row>
    <row r="29">
      <c r="A29" s="16" t="inlineStr">
        <is>
          <t>KF-M04c-0021</t>
        </is>
      </c>
      <c r="B29" s="35" t="n">
        <v>436.6951536017857</v>
      </c>
      <c r="C29" s="35" t="n">
        <v>287.9926323690067</v>
      </c>
      <c r="D29" s="36" t="n">
        <v>4304.651575714825</v>
      </c>
      <c r="E29" s="35" t="n">
        <v>1828.38697782563</v>
      </c>
      <c r="F29" s="37" t="n">
        <v>0.5621300116852599</v>
      </c>
      <c r="G29" s="37" t="n">
        <v>0.884548937601997</v>
      </c>
      <c r="H29" s="37" t="n">
        <v>0.8203231770944515</v>
      </c>
      <c r="I29" s="37" t="n">
        <v>0.9263564794509992</v>
      </c>
      <c r="J29" s="37" t="n">
        <v>0.702503400605988</v>
      </c>
      <c r="K29" s="37" t="n">
        <v>0.8403307322740541</v>
      </c>
      <c r="L29" s="42" t="inlineStr">
        <is>
          <t>KALINA</t>
        </is>
      </c>
      <c r="M29" s="29" t="n">
        <v>5.9750913113646</v>
      </c>
      <c r="N29" s="35" t="n">
        <v>43.92817050398486</v>
      </c>
      <c r="O29" s="36" t="n">
        <v>2476.264597889195</v>
      </c>
      <c r="P29" s="29" t="n">
        <v>2.354343816665135</v>
      </c>
      <c r="Q29" s="16" t="inlineStr">
        <is>
          <t>sí</t>
        </is>
      </c>
      <c r="R29" s="16" t="n"/>
      <c r="V29" s="25" t="inlineStr">
        <is>
          <t>n = 135. Fuente: todos_los_puntos.csv.</t>
        </is>
      </c>
    </row>
    <row r="30">
      <c r="A30" s="16" t="inlineStr">
        <is>
          <t>KF-M04c-0022</t>
        </is>
      </c>
      <c r="B30" s="35" t="n">
        <v>427.5439514856402</v>
      </c>
      <c r="C30" s="35" t="n">
        <v>287.2182580858554</v>
      </c>
      <c r="D30" s="36" t="n">
        <v>2990.711369638281</v>
      </c>
      <c r="E30" s="35" t="n">
        <v>1641.698527584877</v>
      </c>
      <c r="F30" s="37" t="n">
        <v>0.6918101977880825</v>
      </c>
      <c r="G30" s="37" t="n">
        <v>0.8906120777525941</v>
      </c>
      <c r="H30" s="37" t="n">
        <v>0.8931731350051006</v>
      </c>
      <c r="I30" s="37" t="n">
        <v>0.619207547737031</v>
      </c>
      <c r="J30" s="37" t="n">
        <v>0.8218168470897911</v>
      </c>
      <c r="K30" s="37" t="n">
        <v>0.9190352598304</v>
      </c>
      <c r="L30" s="42" t="inlineStr">
        <is>
          <t>KALINA</t>
        </is>
      </c>
      <c r="M30" s="29" t="n">
        <v>5.06922288055062</v>
      </c>
      <c r="N30" s="35" t="n">
        <v>39.23333085845808</v>
      </c>
      <c r="O30" s="36" t="n">
        <v>1349.012842053404</v>
      </c>
      <c r="P30" s="29" t="n">
        <v>1.821717763271649</v>
      </c>
      <c r="Q30" s="16" t="inlineStr">
        <is>
          <t>no</t>
        </is>
      </c>
      <c r="R30" s="16" t="n"/>
    </row>
    <row r="31">
      <c r="A31" s="16" t="inlineStr">
        <is>
          <t>KF-M04c-0023</t>
        </is>
      </c>
      <c r="B31" s="35" t="n">
        <v>483.4393714989496</v>
      </c>
      <c r="C31" s="35" t="n">
        <v>284.5163453986573</v>
      </c>
      <c r="D31" s="36" t="n">
        <v>3738.773385672755</v>
      </c>
      <c r="E31" s="35" t="n">
        <v>2101.512008046729</v>
      </c>
      <c r="F31" s="37" t="n">
        <v>0.7418460797768196</v>
      </c>
      <c r="G31" s="37" t="n">
        <v>0.901080231875536</v>
      </c>
      <c r="H31" s="37" t="n">
        <v>0.6950859827314839</v>
      </c>
      <c r="I31" s="37" t="n">
        <v>0.6100984680324152</v>
      </c>
      <c r="J31" s="37" t="n">
        <v>0.816333535612596</v>
      </c>
      <c r="K31" s="37" t="n">
        <v>0.7429111306659201</v>
      </c>
      <c r="L31" s="39" t="inlineStr">
        <is>
          <t>Corregible</t>
        </is>
      </c>
      <c r="M31" s="29" t="n">
        <v>5.72343545254175</v>
      </c>
      <c r="N31" s="35" t="n">
        <v>58.53051548529166</v>
      </c>
      <c r="O31" s="36" t="n">
        <v>1637.261377626026</v>
      </c>
      <c r="P31" s="29" t="n">
        <v>1.779087329197702</v>
      </c>
      <c r="Q31" s="16" t="inlineStr">
        <is>
          <t>sí</t>
        </is>
      </c>
      <c r="R31" s="16" t="inlineStr">
        <is>
          <t>O2</t>
        </is>
      </c>
    </row>
    <row r="32">
      <c r="A32" s="16" t="inlineStr">
        <is>
          <t>KF-M04c-0025</t>
        </is>
      </c>
      <c r="B32" s="35" t="n">
        <v>402.0459973857673</v>
      </c>
      <c r="C32" s="35" t="n">
        <v>302.8874739252284</v>
      </c>
      <c r="D32" s="36" t="n">
        <v>4070.854896157934</v>
      </c>
      <c r="E32" s="35" t="n">
        <v>2135.825284224648</v>
      </c>
      <c r="F32" s="37" t="n">
        <v>0.5549270963623711</v>
      </c>
      <c r="G32" s="37" t="n">
        <v>0.7684547613795573</v>
      </c>
      <c r="H32" s="37" t="n">
        <v>0.7560045617628832</v>
      </c>
      <c r="I32" s="37" t="n">
        <v>0.6778439687425571</v>
      </c>
      <c r="J32" s="37" t="n">
        <v>0.7149387209835419</v>
      </c>
      <c r="K32" s="37" t="n">
        <v>0.938052297615188</v>
      </c>
      <c r="L32" s="42" t="inlineStr">
        <is>
          <t>KALINA</t>
        </is>
      </c>
      <c r="M32" s="29" t="n">
        <v>0.26709346223527</v>
      </c>
      <c r="N32" s="35" t="n">
        <v>0.5182715071182433</v>
      </c>
      <c r="O32" s="36" t="n">
        <v>1935.029611933286</v>
      </c>
      <c r="P32" s="29" t="n">
        <v>1.905986845565294</v>
      </c>
      <c r="Q32" s="16" t="inlineStr">
        <is>
          <t>no</t>
        </is>
      </c>
      <c r="R32" s="16" t="n"/>
    </row>
    <row r="33">
      <c r="A33" s="16" t="inlineStr">
        <is>
          <t>KF-M04c-0026</t>
        </is>
      </c>
      <c r="B33" s="35" t="n">
        <v>480.3913953308831</v>
      </c>
      <c r="C33" s="35" t="n">
        <v>302.5567489131968</v>
      </c>
      <c r="D33" s="36" t="n">
        <v>4859.227915176411</v>
      </c>
      <c r="E33" s="35" t="n">
        <v>2166.645102745724</v>
      </c>
      <c r="F33" s="37" t="n">
        <v>0.8170584412625963</v>
      </c>
      <c r="G33" s="37" t="n">
        <v>0.9185561119455316</v>
      </c>
      <c r="H33" s="37" t="n">
        <v>0.7728741851057521</v>
      </c>
      <c r="I33" s="37" t="n">
        <v>0.9329311330598854</v>
      </c>
      <c r="J33" s="37" t="n">
        <v>0.9052064045035132</v>
      </c>
      <c r="K33" s="37" t="n">
        <v>0.8281143737392886</v>
      </c>
      <c r="L33" s="32" t="inlineStr">
        <is>
          <t>No convergió</t>
        </is>
      </c>
      <c r="M33" s="29" t="inlineStr">
        <is>
          <t>—</t>
        </is>
      </c>
      <c r="N33" s="35" t="inlineStr">
        <is>
          <t>—</t>
        </is>
      </c>
      <c r="O33" s="36" t="n">
        <v>2692.582812430686</v>
      </c>
      <c r="P33" s="29" t="n">
        <v>2.242742897310896</v>
      </c>
      <c r="Q33" s="16" t="inlineStr">
        <is>
          <t>no</t>
        </is>
      </c>
      <c r="R33" s="16" t="n"/>
    </row>
    <row r="34">
      <c r="A34" s="16" t="inlineStr">
        <is>
          <t>KF-M04c-0027</t>
        </is>
      </c>
      <c r="B34" s="35" t="n">
        <v>468.1660675991787</v>
      </c>
      <c r="C34" s="35" t="n">
        <v>284.3571227794254</v>
      </c>
      <c r="D34" s="36" t="n">
        <v>3411.888854052801</v>
      </c>
      <c r="E34" s="35" t="n">
        <v>1978.75693726311</v>
      </c>
      <c r="F34" s="37" t="n">
        <v>0.7903674552054545</v>
      </c>
      <c r="G34" s="37" t="n">
        <v>0.8158115902387533</v>
      </c>
      <c r="H34" s="37" t="n">
        <v>0.7684587131656516</v>
      </c>
      <c r="I34" s="37" t="n">
        <v>0.6858481631196033</v>
      </c>
      <c r="J34" s="37" t="n">
        <v>0.9215202010727042</v>
      </c>
      <c r="K34" s="37" t="n">
        <v>0.928419991783346</v>
      </c>
      <c r="L34" s="42" t="inlineStr">
        <is>
          <t>KALINA</t>
        </is>
      </c>
      <c r="M34" s="29" t="n">
        <v>4.53181972772328</v>
      </c>
      <c r="N34" s="35" t="n">
        <v>55.25706577662808</v>
      </c>
      <c r="O34" s="36" t="n">
        <v>1433.131916789691</v>
      </c>
      <c r="P34" s="29" t="n">
        <v>1.724258694840968</v>
      </c>
      <c r="Q34" s="16" t="inlineStr">
        <is>
          <t>no</t>
        </is>
      </c>
      <c r="R34" s="16" t="n"/>
    </row>
    <row r="35">
      <c r="A35" s="16" t="inlineStr">
        <is>
          <t>KF-M04c-0028</t>
        </is>
      </c>
      <c r="B35" s="35" t="n">
        <v>486.7304614203554</v>
      </c>
      <c r="C35" s="35" t="n">
        <v>301.3450374491023</v>
      </c>
      <c r="D35" s="36" t="n">
        <v>2840.572390807307</v>
      </c>
      <c r="E35" s="35" t="n">
        <v>1575.003017450846</v>
      </c>
      <c r="F35" s="37" t="n">
        <v>0.6855568021075036</v>
      </c>
      <c r="G35" s="37" t="n">
        <v>0.7594663993746094</v>
      </c>
      <c r="H35" s="37" t="n">
        <v>0.8386053948093244</v>
      </c>
      <c r="I35" s="37" t="n">
        <v>0.7179331469873472</v>
      </c>
      <c r="J35" s="37" t="n">
        <v>0.6296225732072617</v>
      </c>
      <c r="K35" s="37" t="n">
        <v>0.8528247090804876</v>
      </c>
      <c r="L35" s="39" t="inlineStr">
        <is>
          <t>Corregible</t>
        </is>
      </c>
      <c r="M35" s="29" t="n">
        <v>4.49914172711051</v>
      </c>
      <c r="N35" s="35" t="n">
        <v>60.02493454271652</v>
      </c>
      <c r="O35" s="36" t="n">
        <v>1265.569373356461</v>
      </c>
      <c r="P35" s="29" t="n">
        <v>1.80353457062247</v>
      </c>
      <c r="Q35" s="16" t="inlineStr">
        <is>
          <t>sí</t>
        </is>
      </c>
      <c r="R35" s="16" t="inlineStr">
        <is>
          <t>O2</t>
        </is>
      </c>
    </row>
    <row r="36">
      <c r="A36" s="16" t="inlineStr">
        <is>
          <t>KF-M04c-0029</t>
        </is>
      </c>
      <c r="B36" s="35" t="n">
        <v>406.4438641998906</v>
      </c>
      <c r="C36" s="35" t="n">
        <v>293.9845862122419</v>
      </c>
      <c r="D36" s="36" t="n">
        <v>4677.047455852009</v>
      </c>
      <c r="E36" s="35" t="n">
        <v>2282.458543248077</v>
      </c>
      <c r="F36" s="37" t="n">
        <v>0.6212642265355224</v>
      </c>
      <c r="G36" s="37" t="n">
        <v>0.7652900937823379</v>
      </c>
      <c r="H36" s="37" t="n">
        <v>0.6597165530948643</v>
      </c>
      <c r="I36" s="37" t="n">
        <v>0.8184979517383758</v>
      </c>
      <c r="J36" s="37" t="n">
        <v>0.6212036495801377</v>
      </c>
      <c r="K36" s="37" t="n">
        <v>0.8488249949972346</v>
      </c>
      <c r="L36" s="42" t="inlineStr">
        <is>
          <t>KALINA</t>
        </is>
      </c>
      <c r="M36" s="29" t="n">
        <v>2.30228359985292</v>
      </c>
      <c r="N36" s="35" t="n">
        <v>8.715327877676426</v>
      </c>
      <c r="O36" s="36" t="n">
        <v>2394.588912603932</v>
      </c>
      <c r="P36" s="29" t="n">
        <v>2.049127012487283</v>
      </c>
      <c r="Q36" s="16" t="inlineStr">
        <is>
          <t>no</t>
        </is>
      </c>
      <c r="R36" s="16" t="n"/>
    </row>
    <row r="37">
      <c r="A37" s="16" t="inlineStr">
        <is>
          <t>KF-M04c-0030</t>
        </is>
      </c>
      <c r="B37" s="35" t="n">
        <v>432.9558822287285</v>
      </c>
      <c r="C37" s="35" t="n">
        <v>285.3124323706422</v>
      </c>
      <c r="D37" s="36" t="n">
        <v>3562.7619811951</v>
      </c>
      <c r="E37" s="35" t="n">
        <v>1541.368130664265</v>
      </c>
      <c r="F37" s="37" t="n">
        <v>0.6130057518299965</v>
      </c>
      <c r="G37" s="37" t="n">
        <v>0.8553161262080108</v>
      </c>
      <c r="H37" s="37" t="n">
        <v>0.8799150780302156</v>
      </c>
      <c r="I37" s="37" t="n">
        <v>0.8115131599348699</v>
      </c>
      <c r="J37" s="37" t="n">
        <v>0.8997321120736153</v>
      </c>
      <c r="K37" s="37" t="n">
        <v>0.9361475207488044</v>
      </c>
      <c r="L37" s="42" t="inlineStr">
        <is>
          <t>KALINA</t>
        </is>
      </c>
      <c r="M37" s="29" t="n">
        <v>6.337331281693751</v>
      </c>
      <c r="N37" s="35" t="n">
        <v>51.69844081146772</v>
      </c>
      <c r="O37" s="36" t="n">
        <v>2021.393850530835</v>
      </c>
      <c r="P37" s="29" t="n">
        <v>2.311428341041214</v>
      </c>
      <c r="Q37" s="16" t="inlineStr">
        <is>
          <t>sí</t>
        </is>
      </c>
      <c r="R37" s="16" t="n"/>
    </row>
    <row r="38">
      <c r="A38" s="16" t="inlineStr">
        <is>
          <t>KF-M04c-0031</t>
        </is>
      </c>
      <c r="B38" s="35" t="n">
        <v>385.3250124092712</v>
      </c>
      <c r="C38" s="35" t="n">
        <v>300.7097781067478</v>
      </c>
      <c r="D38" s="36" t="n">
        <v>4766.06460841975</v>
      </c>
      <c r="E38" s="35" t="n">
        <v>2061.585645825198</v>
      </c>
      <c r="F38" s="37" t="n">
        <v>0.6468933324252868</v>
      </c>
      <c r="G38" s="37" t="n">
        <v>0.8058357420660405</v>
      </c>
      <c r="H38" s="37" t="n">
        <v>0.8566695515540064</v>
      </c>
      <c r="I38" s="37" t="n">
        <v>0.7884610628934957</v>
      </c>
      <c r="J38" s="37" t="n">
        <v>0.6810566772758943</v>
      </c>
      <c r="K38" s="37" t="n">
        <v>0.9146012542063878</v>
      </c>
      <c r="L38" s="38" t="inlineStr">
        <is>
          <t>Falso convergido</t>
        </is>
      </c>
      <c r="M38" s="29" t="inlineStr">
        <is>
          <t>—</t>
        </is>
      </c>
      <c r="N38" s="35" t="inlineStr">
        <is>
          <t>—</t>
        </is>
      </c>
      <c r="O38" s="36" t="n">
        <v>2704.478962594551</v>
      </c>
      <c r="P38" s="29" t="n">
        <v>2.311844098289702</v>
      </c>
      <c r="Q38" s="16" t="inlineStr">
        <is>
          <t>no</t>
        </is>
      </c>
      <c r="R38" s="16" t="inlineStr">
        <is>
          <t>N2,S6,O3,O5,C1,C3,C3</t>
        </is>
      </c>
    </row>
    <row r="39">
      <c r="A39" s="16" t="inlineStr">
        <is>
          <t>KF-M04c-0032</t>
        </is>
      </c>
      <c r="B39" s="35" t="n">
        <v>420.187930968158</v>
      </c>
      <c r="C39" s="35" t="n">
        <v>294.7503320341526</v>
      </c>
      <c r="D39" s="36" t="n">
        <v>4835.854462178502</v>
      </c>
      <c r="E39" s="35" t="n">
        <v>2239.928719385813</v>
      </c>
      <c r="F39" s="37" t="n">
        <v>0.5688481011534995</v>
      </c>
      <c r="G39" s="37" t="n">
        <v>0.8903471627580521</v>
      </c>
      <c r="H39" s="37" t="n">
        <v>0.7925800830932807</v>
      </c>
      <c r="I39" s="37" t="n">
        <v>0.8542319929706292</v>
      </c>
      <c r="J39" s="37" t="n">
        <v>0.7111601440680041</v>
      </c>
      <c r="K39" s="37" t="n">
        <v>0.931721950089305</v>
      </c>
      <c r="L39" s="42" t="inlineStr">
        <is>
          <t>KALINA</t>
        </is>
      </c>
      <c r="M39" s="29" t="n">
        <v>3.633516050515849</v>
      </c>
      <c r="N39" s="35" t="n">
        <v>14.9885440667892</v>
      </c>
      <c r="O39" s="36" t="n">
        <v>2595.925742792689</v>
      </c>
      <c r="P39" s="29" t="n">
        <v>2.158932300088768</v>
      </c>
      <c r="Q39" s="16" t="inlineStr">
        <is>
          <t>no</t>
        </is>
      </c>
      <c r="R39" s="16" t="n"/>
    </row>
    <row r="40">
      <c r="A40" s="16" t="inlineStr">
        <is>
          <t>KF-M04c-0033</t>
        </is>
      </c>
      <c r="B40" s="35" t="n">
        <v>491.5938697300798</v>
      </c>
      <c r="C40" s="35" t="n">
        <v>297.1406992033011</v>
      </c>
      <c r="D40" s="36" t="n">
        <v>2335.081504417939</v>
      </c>
      <c r="E40" s="35" t="n">
        <v>1572.751589231709</v>
      </c>
      <c r="F40" s="37" t="n">
        <v>0.5818710301627508</v>
      </c>
      <c r="G40" s="37" t="n">
        <v>0.8522964264215914</v>
      </c>
      <c r="H40" s="37" t="n">
        <v>0.6878611322081355</v>
      </c>
      <c r="I40" s="37" t="n">
        <v>0.6731923206666722</v>
      </c>
      <c r="J40" s="37" t="n">
        <v>0.9235971984468254</v>
      </c>
      <c r="K40" s="37" t="n">
        <v>0.7800877793877783</v>
      </c>
      <c r="L40" s="39" t="inlineStr">
        <is>
          <t>Corregible</t>
        </is>
      </c>
      <c r="M40" s="29" t="n">
        <v>3.13826935170312</v>
      </c>
      <c r="N40" s="35" t="n">
        <v>39.91795175304775</v>
      </c>
      <c r="O40" s="36" t="n">
        <v>762.3299151862295</v>
      </c>
      <c r="P40" s="29" t="n">
        <v>1.484710948890936</v>
      </c>
      <c r="Q40" s="16" t="inlineStr">
        <is>
          <t>sí</t>
        </is>
      </c>
      <c r="R40" s="16" t="inlineStr">
        <is>
          <t>O2</t>
        </is>
      </c>
    </row>
    <row r="41">
      <c r="A41" s="16" t="inlineStr">
        <is>
          <t>KF-M04c-0034</t>
        </is>
      </c>
      <c r="B41" s="35" t="n">
        <v>438.2259566657808</v>
      </c>
      <c r="C41" s="35" t="n">
        <v>282.8953248402438</v>
      </c>
      <c r="D41" s="36" t="n">
        <v>3655.031570453786</v>
      </c>
      <c r="E41" s="35" t="n">
        <v>2494.528668778344</v>
      </c>
      <c r="F41" s="37" t="n">
        <v>0.5781880347009879</v>
      </c>
      <c r="G41" s="37" t="n">
        <v>0.7807499296946772</v>
      </c>
      <c r="H41" s="37" t="n">
        <v>0.8717826943293954</v>
      </c>
      <c r="I41" s="37" t="n">
        <v>0.8204551584792749</v>
      </c>
      <c r="J41" s="37" t="n">
        <v>0.8725835974278591</v>
      </c>
      <c r="K41" s="37" t="n">
        <v>0.8379501788293323</v>
      </c>
      <c r="L41" s="42" t="inlineStr">
        <is>
          <t>KALINA</t>
        </is>
      </c>
      <c r="M41" s="29" t="n">
        <v>2.66901697023635</v>
      </c>
      <c r="N41" s="35" t="n">
        <v>20.73567036963515</v>
      </c>
      <c r="O41" s="36" t="n">
        <v>1160.502901675442</v>
      </c>
      <c r="P41" s="29" t="n">
        <v>1.465219308240614</v>
      </c>
      <c r="Q41" s="16" t="inlineStr">
        <is>
          <t>sí</t>
        </is>
      </c>
      <c r="R41" s="16" t="n"/>
    </row>
    <row r="42">
      <c r="A42" s="16" t="inlineStr">
        <is>
          <t>KF-M04c-0035</t>
        </is>
      </c>
      <c r="B42" s="35" t="n">
        <v>394.9564115120992</v>
      </c>
      <c r="C42" s="35" t="n">
        <v>297.8275477340491</v>
      </c>
      <c r="D42" s="36" t="n">
        <v>3192.631905943009</v>
      </c>
      <c r="E42" s="35" t="n">
        <v>1878.660568044057</v>
      </c>
      <c r="F42" s="37" t="n">
        <v>0.5532836843900527</v>
      </c>
      <c r="G42" s="37" t="n">
        <v>0.8294349743969269</v>
      </c>
      <c r="H42" s="37" t="n">
        <v>0.6837528177049744</v>
      </c>
      <c r="I42" s="37" t="n">
        <v>0.7037588023231431</v>
      </c>
      <c r="J42" s="37" t="n">
        <v>0.9316771970102836</v>
      </c>
      <c r="K42" s="37" t="n">
        <v>0.7604247412985276</v>
      </c>
      <c r="L42" s="42" t="inlineStr">
        <is>
          <t>KALINA</t>
        </is>
      </c>
      <c r="M42" s="29" t="n">
        <v>2.912807783853</v>
      </c>
      <c r="N42" s="35" t="n">
        <v>5.947921417732392</v>
      </c>
      <c r="O42" s="36" t="n">
        <v>1313.971337898952</v>
      </c>
      <c r="P42" s="29" t="n">
        <v>1.699419235304958</v>
      </c>
      <c r="Q42" s="16" t="inlineStr">
        <is>
          <t>no</t>
        </is>
      </c>
      <c r="R42" s="16" t="n"/>
    </row>
    <row r="43">
      <c r="A43" s="16" t="inlineStr">
        <is>
          <t>KF-M04c-0036</t>
        </is>
      </c>
      <c r="B43" s="35" t="n">
        <v>400.5943107041801</v>
      </c>
      <c r="C43" s="35" t="n">
        <v>297.4686308058389</v>
      </c>
      <c r="D43" s="36" t="n">
        <v>2825.241242969333</v>
      </c>
      <c r="E43" s="35" t="n">
        <v>2184.522314021205</v>
      </c>
      <c r="F43" s="37" t="n">
        <v>0.6446581625462916</v>
      </c>
      <c r="G43" s="37" t="n">
        <v>0.7833123789161837</v>
      </c>
      <c r="H43" s="37" t="n">
        <v>0.7231385083898648</v>
      </c>
      <c r="I43" s="37" t="n">
        <v>0.7843786884166003</v>
      </c>
      <c r="J43" s="37" t="n">
        <v>0.8825616906826126</v>
      </c>
      <c r="K43" s="37" t="n">
        <v>0.7555708766367306</v>
      </c>
      <c r="L43" s="42" t="inlineStr">
        <is>
          <t>KALINA</t>
        </is>
      </c>
      <c r="M43" s="29" t="n">
        <v>2.05929962854809</v>
      </c>
      <c r="N43" s="35" t="n">
        <v>10.91730630786819</v>
      </c>
      <c r="O43" s="36" t="n">
        <v>640.7189289481275</v>
      </c>
      <c r="P43" s="29" t="n">
        <v>1.293299329027549</v>
      </c>
      <c r="Q43" s="16" t="inlineStr">
        <is>
          <t>no</t>
        </is>
      </c>
      <c r="R43" s="16" t="n"/>
    </row>
    <row r="44">
      <c r="A44" s="16" t="inlineStr">
        <is>
          <t>KF-M04c-0037</t>
        </is>
      </c>
      <c r="B44" s="35" t="n">
        <v>441.3308806163315</v>
      </c>
      <c r="C44" s="35" t="n">
        <v>278.3845757897643</v>
      </c>
      <c r="D44" s="36" t="n">
        <v>2925.261605772082</v>
      </c>
      <c r="E44" s="35" t="n">
        <v>2233.233944296735</v>
      </c>
      <c r="F44" s="37" t="n">
        <v>0.7361008702328651</v>
      </c>
      <c r="G44" s="37" t="n">
        <v>0.7977129908163502</v>
      </c>
      <c r="H44" s="37" t="n">
        <v>0.8337479667368997</v>
      </c>
      <c r="I44" s="37" t="n">
        <v>0.9108729238919582</v>
      </c>
      <c r="J44" s="37" t="n">
        <v>0.9183830761972488</v>
      </c>
      <c r="K44" s="37" t="n">
        <v>0.7018462513938819</v>
      </c>
      <c r="L44" s="39" t="inlineStr">
        <is>
          <t>Corregible</t>
        </is>
      </c>
      <c r="M44" s="29" t="n">
        <v>2.12924230377979</v>
      </c>
      <c r="N44" s="35" t="n">
        <v>26.64491215363545</v>
      </c>
      <c r="O44" s="36" t="n">
        <v>692.0276614753475</v>
      </c>
      <c r="P44" s="29" t="n">
        <v>1.309876922318263</v>
      </c>
      <c r="Q44" s="16" t="inlineStr">
        <is>
          <t>sí</t>
        </is>
      </c>
      <c r="R44" s="16" t="inlineStr">
        <is>
          <t>O2</t>
        </is>
      </c>
    </row>
    <row r="45">
      <c r="A45" s="16" t="inlineStr">
        <is>
          <t>KF-M04c-0038</t>
        </is>
      </c>
      <c r="B45" s="35" t="n">
        <v>494.370165242507</v>
      </c>
      <c r="C45" s="35" t="n">
        <v>296.4028549343211</v>
      </c>
      <c r="D45" s="36" t="n">
        <v>3842.3588158538</v>
      </c>
      <c r="E45" s="35" t="n">
        <v>1741.88695844015</v>
      </c>
      <c r="F45" s="37" t="n">
        <v>0.6373534479692817</v>
      </c>
      <c r="G45" s="37" t="n">
        <v>0.7889239719443989</v>
      </c>
      <c r="H45" s="37" t="n">
        <v>0.8863824559067883</v>
      </c>
      <c r="I45" s="37" t="n">
        <v>0.7358708524441986</v>
      </c>
      <c r="J45" s="37" t="n">
        <v>0.8202042718187423</v>
      </c>
      <c r="K45" s="37" t="n">
        <v>0.9096664522935471</v>
      </c>
      <c r="L45" s="42" t="inlineStr">
        <is>
          <t>KALINA</t>
        </is>
      </c>
      <c r="M45" s="29" t="n">
        <v>5.79008466936368</v>
      </c>
      <c r="N45" s="35" t="n">
        <v>83.80331570942606</v>
      </c>
      <c r="O45" s="36" t="n">
        <v>2100.47185741365</v>
      </c>
      <c r="P45" s="29" t="n">
        <v>2.205860028537449</v>
      </c>
      <c r="Q45" s="16" t="inlineStr">
        <is>
          <t>sí</t>
        </is>
      </c>
      <c r="R45" s="16" t="n"/>
    </row>
    <row r="46">
      <c r="A46" s="16" t="inlineStr">
        <is>
          <t>KF-M04c-0039</t>
        </is>
      </c>
      <c r="B46" s="35" t="n">
        <v>499.0107679729125</v>
      </c>
      <c r="C46" s="35" t="n">
        <v>301.7901750086351</v>
      </c>
      <c r="D46" s="36" t="n">
        <v>4259.649685857626</v>
      </c>
      <c r="E46" s="35" t="n">
        <v>2118.430916700522</v>
      </c>
      <c r="F46" s="37" t="n">
        <v>0.760692473656284</v>
      </c>
      <c r="G46" s="37" t="n">
        <v>0.8085544117592391</v>
      </c>
      <c r="H46" s="37" t="n">
        <v>0.6569333072148128</v>
      </c>
      <c r="I46" s="37" t="n">
        <v>0.7105587640236306</v>
      </c>
      <c r="J46" s="37" t="n">
        <v>0.9105990850762762</v>
      </c>
      <c r="K46" s="37" t="n">
        <v>0.7698802361583481</v>
      </c>
      <c r="L46" s="32" t="inlineStr">
        <is>
          <t>No convergió</t>
        </is>
      </c>
      <c r="M46" s="29" t="inlineStr">
        <is>
          <t>—</t>
        </is>
      </c>
      <c r="N46" s="35" t="inlineStr">
        <is>
          <t>—</t>
        </is>
      </c>
      <c r="O46" s="36" t="n">
        <v>2141.218769157104</v>
      </c>
      <c r="P46" s="29" t="n">
        <v>2.010756948587247</v>
      </c>
      <c r="Q46" s="16" t="inlineStr">
        <is>
          <t>no</t>
        </is>
      </c>
      <c r="R46" s="16" t="n"/>
    </row>
    <row r="47">
      <c r="A47" s="16" t="inlineStr">
        <is>
          <t>KF-M04c-0040</t>
        </is>
      </c>
      <c r="B47" s="35" t="n">
        <v>460.7187087819248</v>
      </c>
      <c r="C47" s="35" t="n">
        <v>280.6004993688421</v>
      </c>
      <c r="D47" s="36" t="n">
        <v>4004.010472846701</v>
      </c>
      <c r="E47" s="35" t="n">
        <v>2034.619829969995</v>
      </c>
      <c r="F47" s="37" t="n">
        <v>0.666454273171</v>
      </c>
      <c r="G47" s="37" t="n">
        <v>0.8049405641529653</v>
      </c>
      <c r="H47" s="37" t="n">
        <v>0.8558741615651192</v>
      </c>
      <c r="I47" s="37" t="n">
        <v>0.7026472603691868</v>
      </c>
      <c r="J47" s="37" t="n">
        <v>0.6825937781964929</v>
      </c>
      <c r="K47" s="37" t="n">
        <v>0.9277417167468676</v>
      </c>
      <c r="L47" s="32" t="inlineStr">
        <is>
          <t>No convergió</t>
        </is>
      </c>
      <c r="M47" s="29" t="inlineStr">
        <is>
          <t>—</t>
        </is>
      </c>
      <c r="N47" s="35" t="inlineStr">
        <is>
          <t>—</t>
        </is>
      </c>
      <c r="O47" s="36" t="n">
        <v>1969.390642876706</v>
      </c>
      <c r="P47" s="29" t="n">
        <v>1.96794035616263</v>
      </c>
      <c r="Q47" s="16" t="inlineStr">
        <is>
          <t>no</t>
        </is>
      </c>
      <c r="R47" s="16" t="n"/>
    </row>
    <row r="48">
      <c r="A48" s="16" t="inlineStr">
        <is>
          <t>KF-M04c-0041</t>
        </is>
      </c>
      <c r="B48" s="35" t="n">
        <v>469.7075438652856</v>
      </c>
      <c r="C48" s="35" t="n">
        <v>291.1270708476133</v>
      </c>
      <c r="D48" s="36" t="n">
        <v>3888.493292773595</v>
      </c>
      <c r="E48" s="35" t="n">
        <v>2023.619636776904</v>
      </c>
      <c r="F48" s="37" t="n">
        <v>0.6508248789269798</v>
      </c>
      <c r="G48" s="37" t="n">
        <v>0.8682071648595869</v>
      </c>
      <c r="H48" s="37" t="n">
        <v>0.799345887149195</v>
      </c>
      <c r="I48" s="37" t="n">
        <v>0.7229947648195769</v>
      </c>
      <c r="J48" s="37" t="n">
        <v>0.8574477336896176</v>
      </c>
      <c r="K48" s="37" t="n">
        <v>0.9182422422696432</v>
      </c>
      <c r="L48" s="42" t="inlineStr">
        <is>
          <t>KALINA</t>
        </is>
      </c>
      <c r="M48" s="29" t="n">
        <v>5.25536456556669</v>
      </c>
      <c r="N48" s="35" t="n">
        <v>71.66220810771276</v>
      </c>
      <c r="O48" s="36" t="n">
        <v>1864.873655996691</v>
      </c>
      <c r="P48" s="29" t="n">
        <v>1.921553449128882</v>
      </c>
      <c r="Q48" s="16" t="inlineStr">
        <is>
          <t>sí</t>
        </is>
      </c>
      <c r="R48" s="16" t="n"/>
    </row>
    <row r="49">
      <c r="A49" s="16" t="inlineStr">
        <is>
          <t>KF-M04c-0042</t>
        </is>
      </c>
      <c r="B49" s="35" t="n">
        <v>387.7867133573844</v>
      </c>
      <c r="C49" s="35" t="n">
        <v>294.2473609667489</v>
      </c>
      <c r="D49" s="36" t="n">
        <v>4995.757833850567</v>
      </c>
      <c r="E49" s="35" t="n">
        <v>1530.663174893521</v>
      </c>
      <c r="F49" s="37" t="n">
        <v>0.6630759187772886</v>
      </c>
      <c r="G49" s="37" t="n">
        <v>0.882701265749871</v>
      </c>
      <c r="H49" s="37" t="n">
        <v>0.8545657953487755</v>
      </c>
      <c r="I49" s="37" t="n">
        <v>0.8135496976972771</v>
      </c>
      <c r="J49" s="37" t="n">
        <v>0.6267050037051535</v>
      </c>
      <c r="K49" s="37" t="n">
        <v>0.8736770133646311</v>
      </c>
      <c r="L49" s="38" t="inlineStr">
        <is>
          <t>Falso convergido</t>
        </is>
      </c>
      <c r="M49" s="29" t="inlineStr">
        <is>
          <t>—</t>
        </is>
      </c>
      <c r="N49" s="35" t="inlineStr">
        <is>
          <t>—</t>
        </is>
      </c>
      <c r="O49" s="36" t="n">
        <v>3465.094658957046</v>
      </c>
      <c r="P49" s="29" t="n">
        <v>3.263786518022223</v>
      </c>
      <c r="Q49" s="16" t="inlineStr">
        <is>
          <t>no</t>
        </is>
      </c>
      <c r="R49" s="16" t="inlineStr">
        <is>
          <t>N2,S6,O3,O5,C1,C3,C3</t>
        </is>
      </c>
    </row>
    <row r="50">
      <c r="A50" s="16" t="inlineStr">
        <is>
          <t>KF-M04c-0043</t>
        </is>
      </c>
      <c r="B50" s="35" t="n">
        <v>408.6142534615134</v>
      </c>
      <c r="C50" s="35" t="n">
        <v>283.5149434003681</v>
      </c>
      <c r="D50" s="36" t="n">
        <v>3483.270071522058</v>
      </c>
      <c r="E50" s="35" t="n">
        <v>1808.053371215052</v>
      </c>
      <c r="F50" s="37" t="n">
        <v>0.8412220040305842</v>
      </c>
      <c r="G50" s="37" t="n">
        <v>0.766210950818388</v>
      </c>
      <c r="H50" s="37" t="n">
        <v>0.6699398282557438</v>
      </c>
      <c r="I50" s="37" t="n">
        <v>0.6819920983425845</v>
      </c>
      <c r="J50" s="37" t="n">
        <v>0.7644113873232806</v>
      </c>
      <c r="K50" s="37" t="n">
        <v>0.7000421402095042</v>
      </c>
      <c r="L50" s="39" t="inlineStr">
        <is>
          <t>Corregible</t>
        </is>
      </c>
      <c r="M50" s="29" t="n">
        <v>5.39685543793464</v>
      </c>
      <c r="N50" s="35" t="n">
        <v>39.31815235231712</v>
      </c>
      <c r="O50" s="36" t="n">
        <v>1675.216700307006</v>
      </c>
      <c r="P50" s="29" t="n">
        <v>1.926530558763995</v>
      </c>
      <c r="Q50" s="16" t="inlineStr">
        <is>
          <t>no</t>
        </is>
      </c>
      <c r="R50" s="16" t="inlineStr">
        <is>
          <t>O2</t>
        </is>
      </c>
    </row>
    <row r="51">
      <c r="A51" s="16" t="inlineStr">
        <is>
          <t>KF-M04c-0044</t>
        </is>
      </c>
      <c r="B51" s="35" t="n">
        <v>455.7837256042581</v>
      </c>
      <c r="C51" s="35" t="n">
        <v>287.4770589712541</v>
      </c>
      <c r="D51" s="36" t="n">
        <v>2447.732658124461</v>
      </c>
      <c r="E51" s="35" t="n">
        <v>1907.207517585249</v>
      </c>
      <c r="F51" s="37" t="n">
        <v>0.7383730784606526</v>
      </c>
      <c r="G51" s="37" t="n">
        <v>0.79131827790276</v>
      </c>
      <c r="H51" s="37" t="n">
        <v>0.8982005958948224</v>
      </c>
      <c r="I51" s="37" t="n">
        <v>0.8591276857798111</v>
      </c>
      <c r="J51" s="37" t="n">
        <v>0.7120716999848519</v>
      </c>
      <c r="K51" s="37" t="n">
        <v>0.8988004152440645</v>
      </c>
      <c r="L51" s="42" t="inlineStr">
        <is>
          <t>KALINA</t>
        </is>
      </c>
      <c r="M51" s="29" t="n">
        <v>2.01936989301425</v>
      </c>
      <c r="N51" s="35" t="n">
        <v>31.88229497117666</v>
      </c>
      <c r="O51" s="36" t="n">
        <v>540.5251405392123</v>
      </c>
      <c r="P51" s="29" t="n">
        <v>1.283411813111759</v>
      </c>
      <c r="Q51" s="16" t="inlineStr">
        <is>
          <t>sí</t>
        </is>
      </c>
      <c r="R51" s="16" t="n"/>
    </row>
    <row r="52">
      <c r="A52" s="16" t="inlineStr">
        <is>
          <t>KF-M04c-0045</t>
        </is>
      </c>
      <c r="B52" s="35" t="n">
        <v>448.0662831224266</v>
      </c>
      <c r="C52" s="35" t="n">
        <v>289.0603815968944</v>
      </c>
      <c r="D52" s="36" t="n">
        <v>4608.017638701334</v>
      </c>
      <c r="E52" s="35" t="n">
        <v>2069.983251638794</v>
      </c>
      <c r="F52" s="37" t="n">
        <v>0.5411341217956592</v>
      </c>
      <c r="G52" s="37" t="n">
        <v>0.8406807702795935</v>
      </c>
      <c r="H52" s="37" t="n">
        <v>0.8245511487503108</v>
      </c>
      <c r="I52" s="37" t="n">
        <v>0.6147180732045171</v>
      </c>
      <c r="J52" s="37" t="n">
        <v>0.6471737076224404</v>
      </c>
      <c r="K52" s="37" t="n">
        <v>0.7872023064787632</v>
      </c>
      <c r="L52" s="42" t="inlineStr">
        <is>
          <t>KALINA</t>
        </is>
      </c>
      <c r="M52" s="29" t="n">
        <v>4.34622332222636</v>
      </c>
      <c r="N52" s="35" t="n">
        <v>23.2002669972625</v>
      </c>
      <c r="O52" s="36" t="n">
        <v>2538.034387062541</v>
      </c>
      <c r="P52" s="29" t="n">
        <v>2.226113489108278</v>
      </c>
      <c r="Q52" s="16" t="inlineStr">
        <is>
          <t>sí</t>
        </is>
      </c>
      <c r="R52" s="16" t="n"/>
    </row>
    <row r="53">
      <c r="A53" s="16" t="inlineStr">
        <is>
          <t>KF-M04c-0046</t>
        </is>
      </c>
      <c r="B53" s="35" t="n">
        <v>463.5165646817236</v>
      </c>
      <c r="C53" s="35" t="n">
        <v>299.4991914025873</v>
      </c>
      <c r="D53" s="36" t="n">
        <v>2878.595434131244</v>
      </c>
      <c r="E53" s="35" t="n">
        <v>2175.386656824735</v>
      </c>
      <c r="F53" s="37" t="n">
        <v>0.5920154273486765</v>
      </c>
      <c r="G53" s="37" t="n">
        <v>0.8810849355746313</v>
      </c>
      <c r="H53" s="37" t="n">
        <v>0.760420305406126</v>
      </c>
      <c r="I53" s="37" t="n">
        <v>0.630741381249082</v>
      </c>
      <c r="J53" s="37" t="n">
        <v>0.6946224039439316</v>
      </c>
      <c r="K53" s="37" t="n">
        <v>0.7193264213221505</v>
      </c>
      <c r="L53" s="39" t="inlineStr">
        <is>
          <t>Corregible</t>
        </is>
      </c>
      <c r="M53" s="29" t="n">
        <v>2.37004446660756</v>
      </c>
      <c r="N53" s="35" t="n">
        <v>25.64267510687154</v>
      </c>
      <c r="O53" s="36" t="n">
        <v>703.2087773065086</v>
      </c>
      <c r="P53" s="29" t="n">
        <v>1.323256913937743</v>
      </c>
      <c r="Q53" s="16" t="inlineStr">
        <is>
          <t>sí</t>
        </is>
      </c>
      <c r="R53" s="16" t="inlineStr">
        <is>
          <t>O2</t>
        </is>
      </c>
    </row>
    <row r="54">
      <c r="A54" s="16" t="inlineStr">
        <is>
          <t>KF-M04c-0047</t>
        </is>
      </c>
      <c r="B54" s="35" t="n">
        <v>386.9707484069957</v>
      </c>
      <c r="C54" s="35" t="n">
        <v>281.4423370898108</v>
      </c>
      <c r="D54" s="36" t="n">
        <v>4550.847890416774</v>
      </c>
      <c r="E54" s="35" t="n">
        <v>2449.312120001814</v>
      </c>
      <c r="F54" s="37" t="n">
        <v>0.8458018687614481</v>
      </c>
      <c r="G54" s="37" t="n">
        <v>0.7611831013339734</v>
      </c>
      <c r="H54" s="37" t="n">
        <v>0.7110713864243654</v>
      </c>
      <c r="I54" s="37" t="n">
        <v>0.7397684452720023</v>
      </c>
      <c r="J54" s="37" t="n">
        <v>0.7585519690948781</v>
      </c>
      <c r="K54" s="37" t="n">
        <v>0.8552505917563812</v>
      </c>
      <c r="L54" s="42" t="inlineStr">
        <is>
          <t>KALINA</t>
        </is>
      </c>
      <c r="M54" s="29" t="n">
        <v>3.8982117141132</v>
      </c>
      <c r="N54" s="35" t="n">
        <v>22.90888704595692</v>
      </c>
      <c r="O54" s="36" t="n">
        <v>2101.535770414961</v>
      </c>
      <c r="P54" s="29" t="n">
        <v>1.858010603570363</v>
      </c>
      <c r="Q54" s="16" t="inlineStr">
        <is>
          <t>no</t>
        </is>
      </c>
      <c r="R54" s="16" t="n"/>
    </row>
    <row r="55">
      <c r="A55" s="16" t="inlineStr">
        <is>
          <t>KF-M04c-0048</t>
        </is>
      </c>
      <c r="B55" s="35" t="n">
        <v>396.260843733731</v>
      </c>
      <c r="C55" s="35" t="n">
        <v>302.717059413674</v>
      </c>
      <c r="D55" s="36" t="n">
        <v>4290.796032463362</v>
      </c>
      <c r="E55" s="35" t="n">
        <v>2418.816917516489</v>
      </c>
      <c r="F55" s="37" t="n">
        <v>0.5886030548195156</v>
      </c>
      <c r="G55" s="37" t="n">
        <v>0.9033236351213366</v>
      </c>
      <c r="H55" s="37" t="n">
        <v>0.752708088593135</v>
      </c>
      <c r="I55" s="37" t="n">
        <v>0.8814245399010656</v>
      </c>
      <c r="J55" s="37" t="n">
        <v>0.7380701294133524</v>
      </c>
      <c r="K55" s="37" t="n">
        <v>0.765334397916014</v>
      </c>
      <c r="L55" s="42" t="inlineStr">
        <is>
          <t>KALINA</t>
        </is>
      </c>
      <c r="M55" s="29" t="n">
        <v>0.95799763708457</v>
      </c>
      <c r="N55" s="35" t="n">
        <v>1.788992961489221</v>
      </c>
      <c r="O55" s="36" t="n">
        <v>1871.979114946873</v>
      </c>
      <c r="P55" s="29" t="n">
        <v>1.773923442237588</v>
      </c>
      <c r="Q55" s="16" t="inlineStr">
        <is>
          <t>no</t>
        </is>
      </c>
      <c r="R55" s="16" t="n"/>
    </row>
    <row r="56">
      <c r="A56" s="16" t="inlineStr">
        <is>
          <t>KF-M04c-0049</t>
        </is>
      </c>
      <c r="B56" s="35" t="n">
        <v>425.7037165982901</v>
      </c>
      <c r="C56" s="35" t="n">
        <v>279.632353544986</v>
      </c>
      <c r="D56" s="36" t="n">
        <v>3295.162467157236</v>
      </c>
      <c r="E56" s="35" t="n">
        <v>1728.055937161029</v>
      </c>
      <c r="F56" s="37" t="n">
        <v>0.8084795271413934</v>
      </c>
      <c r="G56" s="37" t="n">
        <v>0.7943637760301394</v>
      </c>
      <c r="H56" s="37" t="n">
        <v>0.7286326940294142</v>
      </c>
      <c r="I56" s="37" t="n">
        <v>0.6624835564984125</v>
      </c>
      <c r="J56" s="37" t="n">
        <v>0.8879441456084212</v>
      </c>
      <c r="K56" s="37" t="n">
        <v>0.8513087284855375</v>
      </c>
      <c r="L56" s="42" t="inlineStr">
        <is>
          <t>KALINA</t>
        </is>
      </c>
      <c r="M56" s="29" t="n">
        <v>5.39181554816605</v>
      </c>
      <c r="N56" s="35" t="n">
        <v>49.24048876091373</v>
      </c>
      <c r="O56" s="36" t="n">
        <v>1567.106529996207</v>
      </c>
      <c r="P56" s="29" t="n">
        <v>1.906860996971405</v>
      </c>
      <c r="Q56" s="16" t="inlineStr">
        <is>
          <t>no</t>
        </is>
      </c>
      <c r="R56" s="16" t="n"/>
    </row>
    <row r="57">
      <c r="A57" s="16" t="inlineStr">
        <is>
          <t>KF-M04c-0050</t>
        </is>
      </c>
      <c r="B57" s="35" t="n">
        <v>381.4076021342032</v>
      </c>
      <c r="C57" s="35" t="n">
        <v>288.3333678464785</v>
      </c>
      <c r="D57" s="36" t="n">
        <v>4875.603941173633</v>
      </c>
      <c r="E57" s="35" t="n">
        <v>1668.530750057611</v>
      </c>
      <c r="F57" s="37" t="n">
        <v>0.5239875839376793</v>
      </c>
      <c r="G57" s="37" t="n">
        <v>0.7968784234972491</v>
      </c>
      <c r="H57" s="37" t="n">
        <v>0.7635155180826003</v>
      </c>
      <c r="I57" s="37" t="n">
        <v>0.7754554052775672</v>
      </c>
      <c r="J57" s="37" t="n">
        <v>0.9464826499703494</v>
      </c>
      <c r="K57" s="37" t="n">
        <v>0.8476757586371828</v>
      </c>
      <c r="L57" s="32" t="inlineStr">
        <is>
          <t>No convergió</t>
        </is>
      </c>
      <c r="M57" s="29" t="inlineStr">
        <is>
          <t>—</t>
        </is>
      </c>
      <c r="N57" s="35" t="inlineStr">
        <is>
          <t>—</t>
        </is>
      </c>
      <c r="O57" s="36" t="n">
        <v>3207.073191116022</v>
      </c>
      <c r="P57" s="29" t="n">
        <v>2.922094148402892</v>
      </c>
      <c r="Q57" s="16" t="inlineStr">
        <is>
          <t>no</t>
        </is>
      </c>
      <c r="R57" s="16" t="n"/>
    </row>
    <row r="58">
      <c r="A58" s="16" t="inlineStr">
        <is>
          <t>KF-M04c-0051</t>
        </is>
      </c>
      <c r="B58" s="35" t="n">
        <v>418.5286143460037</v>
      </c>
      <c r="C58" s="35" t="n">
        <v>282.1432080122711</v>
      </c>
      <c r="D58" s="36" t="n">
        <v>2402.397328678186</v>
      </c>
      <c r="E58" s="35" t="n">
        <v>1733.348803333265</v>
      </c>
      <c r="F58" s="37" t="n">
        <v>0.5054409625353629</v>
      </c>
      <c r="G58" s="37" t="n">
        <v>0.8218286060296438</v>
      </c>
      <c r="H58" s="37" t="n">
        <v>0.8352536288208493</v>
      </c>
      <c r="I58" s="37" t="n">
        <v>0.7330154945419564</v>
      </c>
      <c r="J58" s="37" t="n">
        <v>0.6872392131270961</v>
      </c>
      <c r="K58" s="37" t="n">
        <v>0.9416512272386364</v>
      </c>
      <c r="L58" s="42" t="inlineStr">
        <is>
          <t>KALINA</t>
        </is>
      </c>
      <c r="M58" s="29" t="n">
        <v>1.88055196682375</v>
      </c>
      <c r="N58" s="35" t="n">
        <v>11.61372308174241</v>
      </c>
      <c r="O58" s="36" t="n">
        <v>669.048525344921</v>
      </c>
      <c r="P58" s="29" t="n">
        <v>1.385986088927011</v>
      </c>
      <c r="Q58" s="16" t="inlineStr">
        <is>
          <t>no</t>
        </is>
      </c>
      <c r="R58" s="16" t="n"/>
    </row>
    <row r="59">
      <c r="A59" s="16" t="inlineStr">
        <is>
          <t>KF-M04c-0052</t>
        </is>
      </c>
      <c r="B59" s="35" t="n">
        <v>481.9685066998586</v>
      </c>
      <c r="C59" s="35" t="n">
        <v>286.1230962850447</v>
      </c>
      <c r="D59" s="36" t="n">
        <v>4490.769481982243</v>
      </c>
      <c r="E59" s="35" t="n">
        <v>1931.052982177544</v>
      </c>
      <c r="F59" s="37" t="n">
        <v>0.5037371453285936</v>
      </c>
      <c r="G59" s="37" t="n">
        <v>0.8151493010039862</v>
      </c>
      <c r="H59" s="37" t="n">
        <v>0.8666691045363322</v>
      </c>
      <c r="I59" s="37" t="n">
        <v>0.6354123326132354</v>
      </c>
      <c r="J59" s="37" t="n">
        <v>0.8895217176740504</v>
      </c>
      <c r="K59" s="37" t="n">
        <v>0.9055870206078538</v>
      </c>
      <c r="L59" s="42" t="inlineStr">
        <is>
          <t>KALINA</t>
        </is>
      </c>
      <c r="M59" s="29" t="n">
        <v>5.57581356203957</v>
      </c>
      <c r="N59" s="35" t="n">
        <v>56.16331828208304</v>
      </c>
      <c r="O59" s="36" t="n">
        <v>2559.716499804699</v>
      </c>
      <c r="P59" s="29" t="n">
        <v>2.325554774223877</v>
      </c>
      <c r="Q59" s="16" t="inlineStr">
        <is>
          <t>sí</t>
        </is>
      </c>
      <c r="R59" s="16" t="n"/>
    </row>
    <row r="60">
      <c r="A60" s="16" t="inlineStr">
        <is>
          <t>KF-M04c-0053</t>
        </is>
      </c>
      <c r="B60" s="35" t="n">
        <v>461.0973216558344</v>
      </c>
      <c r="C60" s="35" t="n">
        <v>291.9289187001321</v>
      </c>
      <c r="D60" s="36" t="n">
        <v>2125.21876696368</v>
      </c>
      <c r="E60" s="35" t="n">
        <v>1753.141243024385</v>
      </c>
      <c r="F60" s="37" t="n">
        <v>0.7821411363313759</v>
      </c>
      <c r="G60" s="37" t="n">
        <v>0.8777470575240722</v>
      </c>
      <c r="H60" s="37" t="n">
        <v>0.6759766969221219</v>
      </c>
      <c r="I60" s="37" t="n">
        <v>0.6184300321665062</v>
      </c>
      <c r="J60" s="37" t="n">
        <v>0.6707554512044335</v>
      </c>
      <c r="K60" s="37" t="n">
        <v>0.8567522549812463</v>
      </c>
      <c r="L60" s="39" t="inlineStr">
        <is>
          <t>Corregible</t>
        </is>
      </c>
      <c r="M60" s="29" t="n">
        <v>1.90242660102901</v>
      </c>
      <c r="N60" s="35" t="n">
        <v>20.55187068576469</v>
      </c>
      <c r="O60" s="36" t="n">
        <v>372.0775239392947</v>
      </c>
      <c r="P60" s="29" t="n">
        <v>1.212234767403803</v>
      </c>
      <c r="Q60" s="16" t="inlineStr">
        <is>
          <t>no</t>
        </is>
      </c>
      <c r="R60" s="16" t="inlineStr">
        <is>
          <t>O2</t>
        </is>
      </c>
    </row>
    <row r="61">
      <c r="A61" s="16" t="inlineStr">
        <is>
          <t>KF-M04c-0054</t>
        </is>
      </c>
      <c r="B61" s="35" t="n">
        <v>485.8649053577304</v>
      </c>
      <c r="C61" s="35" t="n">
        <v>299.7606981832258</v>
      </c>
      <c r="D61" s="36" t="n">
        <v>3603.148231836606</v>
      </c>
      <c r="E61" s="35" t="n">
        <v>1554.410313131391</v>
      </c>
      <c r="F61" s="37" t="n">
        <v>0.8398205603322583</v>
      </c>
      <c r="G61" s="37" t="n">
        <v>0.7782319604855271</v>
      </c>
      <c r="H61" s="37" t="n">
        <v>0.7428874072029125</v>
      </c>
      <c r="I61" s="37" t="n">
        <v>0.8419709152161304</v>
      </c>
      <c r="J61" s="37" t="n">
        <v>0.6109130364505808</v>
      </c>
      <c r="K61" s="37" t="n">
        <v>0.8865569282295064</v>
      </c>
      <c r="L61" s="39" t="inlineStr">
        <is>
          <t>Corregible</t>
        </is>
      </c>
      <c r="M61" s="29" t="n">
        <v>7.07168329734161</v>
      </c>
      <c r="N61" s="35" t="n">
        <v>100.4122427635195</v>
      </c>
      <c r="O61" s="36" t="n">
        <v>2048.737918705215</v>
      </c>
      <c r="P61" s="29" t="n">
        <v>2.318016164327932</v>
      </c>
      <c r="Q61" s="16" t="inlineStr">
        <is>
          <t>sí</t>
        </is>
      </c>
      <c r="R61" s="16" t="inlineStr">
        <is>
          <t>O2</t>
        </is>
      </c>
    </row>
    <row r="62">
      <c r="A62" s="16" t="inlineStr">
        <is>
          <t>KF-M04c-0055</t>
        </is>
      </c>
      <c r="B62" s="35" t="n">
        <v>454.6338630555237</v>
      </c>
      <c r="C62" s="35" t="n">
        <v>287.3692497706547</v>
      </c>
      <c r="D62" s="36" t="n">
        <v>3623.87460578767</v>
      </c>
      <c r="E62" s="35" t="n">
        <v>2257.231915427412</v>
      </c>
      <c r="F62" s="37" t="n">
        <v>0.7222675896909276</v>
      </c>
      <c r="G62" s="37" t="n">
        <v>0.8391460100346767</v>
      </c>
      <c r="H62" s="37" t="n">
        <v>0.8734484957726862</v>
      </c>
      <c r="I62" s="37" t="n">
        <v>0.6559622779084604</v>
      </c>
      <c r="J62" s="37" t="n">
        <v>0.8070168920480008</v>
      </c>
      <c r="K62" s="37" t="n">
        <v>0.8818848978958052</v>
      </c>
      <c r="L62" s="32" t="inlineStr">
        <is>
          <t>No convergió</t>
        </is>
      </c>
      <c r="M62" s="29" t="inlineStr">
        <is>
          <t>—</t>
        </is>
      </c>
      <c r="N62" s="35" t="inlineStr">
        <is>
          <t>—</t>
        </is>
      </c>
      <c r="O62" s="36" t="n">
        <v>1366.642690360257</v>
      </c>
      <c r="P62" s="29" t="n">
        <v>1.605450720867324</v>
      </c>
      <c r="Q62" s="16" t="inlineStr">
        <is>
          <t>no</t>
        </is>
      </c>
      <c r="R62" s="16" t="n"/>
    </row>
    <row r="63">
      <c r="A63" s="16" t="inlineStr">
        <is>
          <t>KF-M04c-0056</t>
        </is>
      </c>
      <c r="B63" s="35" t="n">
        <v>487.9394292626534</v>
      </c>
      <c r="C63" s="35" t="n">
        <v>297.6649690115808</v>
      </c>
      <c r="D63" s="36" t="n">
        <v>4044.630274312575</v>
      </c>
      <c r="E63" s="35" t="n">
        <v>1665.899964438849</v>
      </c>
      <c r="F63" s="37" t="n">
        <v>0.8382544796564511</v>
      </c>
      <c r="G63" s="37" t="n">
        <v>0.8601963438683403</v>
      </c>
      <c r="H63" s="37" t="n">
        <v>0.8683924288342052</v>
      </c>
      <c r="I63" s="37" t="n">
        <v>0.8465788890063749</v>
      </c>
      <c r="J63" s="37" t="n">
        <v>0.7656862177743462</v>
      </c>
      <c r="K63" s="37" t="n">
        <v>0.746590619840058</v>
      </c>
      <c r="L63" s="39" t="inlineStr">
        <is>
          <t>Corregible</t>
        </is>
      </c>
      <c r="M63" s="29" t="n">
        <v>8.07353868064923</v>
      </c>
      <c r="N63" s="35" t="n">
        <v>99.91794650486668</v>
      </c>
      <c r="O63" s="36" t="n">
        <v>2378.730309873726</v>
      </c>
      <c r="P63" s="29" t="n">
        <v>2.427895048112922</v>
      </c>
      <c r="Q63" s="16" t="inlineStr">
        <is>
          <t>sí</t>
        </is>
      </c>
      <c r="R63" s="16" t="inlineStr">
        <is>
          <t>O2</t>
        </is>
      </c>
    </row>
    <row r="64">
      <c r="A64" s="16" t="inlineStr">
        <is>
          <t>KF-M04c-0057</t>
        </is>
      </c>
      <c r="B64" s="35" t="n">
        <v>424.5756752168117</v>
      </c>
      <c r="C64" s="35" t="n">
        <v>301.4686984455583</v>
      </c>
      <c r="D64" s="36" t="n">
        <v>3260.063627665817</v>
      </c>
      <c r="E64" s="35" t="n">
        <v>1712.636418407105</v>
      </c>
      <c r="F64" s="37" t="n">
        <v>0.5500986270252297</v>
      </c>
      <c r="G64" s="37" t="n">
        <v>0.8456800536179878</v>
      </c>
      <c r="H64" s="37" t="n">
        <v>0.8096559975112952</v>
      </c>
      <c r="I64" s="37" t="n">
        <v>0.798090300688262</v>
      </c>
      <c r="J64" s="37" t="n">
        <v>0.7989517100277386</v>
      </c>
      <c r="K64" s="37" t="n">
        <v>0.7542212040067784</v>
      </c>
      <c r="L64" s="42" t="inlineStr">
        <is>
          <t>KALINA</t>
        </is>
      </c>
      <c r="M64" s="29" t="n">
        <v>4.96174468320866</v>
      </c>
      <c r="N64" s="35" t="n">
        <v>27.43815890028161</v>
      </c>
      <c r="O64" s="36" t="n">
        <v>1547.427209258712</v>
      </c>
      <c r="P64" s="29" t="n">
        <v>1.903535153537112</v>
      </c>
      <c r="Q64" s="16" t="inlineStr">
        <is>
          <t>no</t>
        </is>
      </c>
      <c r="R64" s="16" t="n"/>
    </row>
    <row r="65">
      <c r="A65" s="16" t="inlineStr">
        <is>
          <t>KF-M04c-0058</t>
        </is>
      </c>
      <c r="B65" s="35" t="n">
        <v>499.8267958529154</v>
      </c>
      <c r="C65" s="35" t="n">
        <v>283.32014294928</v>
      </c>
      <c r="D65" s="36" t="n">
        <v>4518.076270270658</v>
      </c>
      <c r="E65" s="35" t="n">
        <v>1637.89169753281</v>
      </c>
      <c r="F65" s="37" t="n">
        <v>0.647985412049547</v>
      </c>
      <c r="G65" s="37" t="n">
        <v>0.8145883475850513</v>
      </c>
      <c r="H65" s="37" t="n">
        <v>0.6611969975717397</v>
      </c>
      <c r="I65" s="37" t="n">
        <v>0.809547168646606</v>
      </c>
      <c r="J65" s="37" t="n">
        <v>0.7971867101433424</v>
      </c>
      <c r="K65" s="37" t="n">
        <v>0.8952359641290037</v>
      </c>
      <c r="L65" s="42" t="inlineStr">
        <is>
          <t>KALINA</t>
        </is>
      </c>
      <c r="M65" s="29" t="n">
        <v>7.358933625034831</v>
      </c>
      <c r="N65" s="35" t="n">
        <v>118.8873207976074</v>
      </c>
      <c r="O65" s="36" t="n">
        <v>2880.184572737848</v>
      </c>
      <c r="P65" s="29" t="n">
        <v>2.758470707847368</v>
      </c>
      <c r="Q65" s="16" t="inlineStr">
        <is>
          <t>sí</t>
        </is>
      </c>
      <c r="R65" s="16" t="n"/>
    </row>
    <row r="66">
      <c r="A66" s="16" t="inlineStr">
        <is>
          <t>KF-M04c-0059</t>
        </is>
      </c>
      <c r="B66" s="35" t="n">
        <v>483.1792582073932</v>
      </c>
      <c r="C66" s="35" t="n">
        <v>279.4732657689622</v>
      </c>
      <c r="D66" s="36" t="n">
        <v>3342.764875777179</v>
      </c>
      <c r="E66" s="35" t="n">
        <v>2479.358955031153</v>
      </c>
      <c r="F66" s="37" t="n">
        <v>0.6831359189783424</v>
      </c>
      <c r="G66" s="37" t="n">
        <v>0.8891848739359897</v>
      </c>
      <c r="H66" s="37" t="n">
        <v>0.7629690793372129</v>
      </c>
      <c r="I66" s="37" t="n">
        <v>0.7991665531453939</v>
      </c>
      <c r="J66" s="37" t="n">
        <v>0.7300088842043164</v>
      </c>
      <c r="K66" s="37" t="n">
        <v>0.8906721850657688</v>
      </c>
      <c r="L66" s="42" t="inlineStr">
        <is>
          <t>KALINA</t>
        </is>
      </c>
      <c r="M66" s="29" t="n">
        <v>2.53644105690257</v>
      </c>
      <c r="N66" s="35" t="n">
        <v>39.72119740574998</v>
      </c>
      <c r="O66" s="36" t="n">
        <v>863.4059207460255</v>
      </c>
      <c r="P66" s="29" t="n">
        <v>1.348237563178978</v>
      </c>
      <c r="Q66" s="16" t="inlineStr">
        <is>
          <t>sí</t>
        </is>
      </c>
      <c r="R66" s="16" t="n"/>
    </row>
    <row r="67">
      <c r="A67" s="16" t="inlineStr">
        <is>
          <t>KF-M04c-0060</t>
        </is>
      </c>
      <c r="B67" s="35" t="n">
        <v>466.3745030913955</v>
      </c>
      <c r="C67" s="35" t="n">
        <v>278.8127465594754</v>
      </c>
      <c r="D67" s="36" t="n">
        <v>2315.688223840573</v>
      </c>
      <c r="E67" s="35" t="n">
        <v>1563.936972237929</v>
      </c>
      <c r="F67" s="37" t="n">
        <v>0.5279469738432757</v>
      </c>
      <c r="G67" s="37" t="n">
        <v>0.7754327371545867</v>
      </c>
      <c r="H67" s="37" t="n">
        <v>0.6984318351580036</v>
      </c>
      <c r="I67" s="37" t="n">
        <v>0.6247074649850247</v>
      </c>
      <c r="J67" s="37" t="n">
        <v>0.6003819808842435</v>
      </c>
      <c r="K67" s="37" t="n">
        <v>0.7683104287437265</v>
      </c>
      <c r="L67" s="39" t="inlineStr">
        <is>
          <t>Corregible</t>
        </is>
      </c>
      <c r="M67" s="29" t="n">
        <v>2.84457644258356</v>
      </c>
      <c r="N67" s="35" t="n">
        <v>34.92289519169874</v>
      </c>
      <c r="O67" s="36" t="n">
        <v>751.7512516026445</v>
      </c>
      <c r="P67" s="29" t="n">
        <v>1.480678738943629</v>
      </c>
      <c r="Q67" s="16" t="inlineStr">
        <is>
          <t>sí</t>
        </is>
      </c>
      <c r="R67" s="16" t="inlineStr">
        <is>
          <t>O2</t>
        </is>
      </c>
    </row>
    <row r="68">
      <c r="A68" s="16" t="inlineStr">
        <is>
          <t>KF-M04c-0063</t>
        </is>
      </c>
      <c r="B68" s="35" t="n">
        <v>477.4981640360661</v>
      </c>
      <c r="C68" s="35" t="n">
        <v>287.0919884420034</v>
      </c>
      <c r="D68" s="36" t="n">
        <v>3222.261241019029</v>
      </c>
      <c r="E68" s="35" t="n">
        <v>2261.182993356717</v>
      </c>
      <c r="F68" s="37" t="n">
        <v>0.7353529791876663</v>
      </c>
      <c r="G68" s="37" t="n">
        <v>0.8982753635547727</v>
      </c>
      <c r="H68" s="37" t="n">
        <v>0.7540052532392058</v>
      </c>
      <c r="I68" s="37" t="n">
        <v>0.7321685363229558</v>
      </c>
      <c r="J68" s="37" t="n">
        <v>0.8189038618015203</v>
      </c>
      <c r="K68" s="37" t="n">
        <v>0.7593539243408141</v>
      </c>
      <c r="L68" s="39" t="inlineStr">
        <is>
          <t>Corregible</t>
        </is>
      </c>
      <c r="M68" s="29" t="n">
        <v>3.41093151928355</v>
      </c>
      <c r="N68" s="35" t="n">
        <v>41.48706459279567</v>
      </c>
      <c r="O68" s="36" t="n">
        <v>961.0782476623112</v>
      </c>
      <c r="P68" s="29" t="n">
        <v>1.425033378760555</v>
      </c>
      <c r="Q68" s="16" t="inlineStr">
        <is>
          <t>sí</t>
        </is>
      </c>
      <c r="R68" s="16" t="inlineStr">
        <is>
          <t>O2</t>
        </is>
      </c>
    </row>
    <row r="69">
      <c r="A69" s="16" t="inlineStr">
        <is>
          <t>KF-M04c-0064</t>
        </is>
      </c>
      <c r="B69" s="35" t="n">
        <v>407.4118337847604</v>
      </c>
      <c r="C69" s="35" t="n">
        <v>279.7316286412618</v>
      </c>
      <c r="D69" s="36" t="n">
        <v>4460.076957202919</v>
      </c>
      <c r="E69" s="35" t="n">
        <v>2272.097652955517</v>
      </c>
      <c r="F69" s="37" t="n">
        <v>0.7099974383262846</v>
      </c>
      <c r="G69" s="37" t="n">
        <v>0.8489261059858412</v>
      </c>
      <c r="H69" s="37" t="n">
        <v>0.7970999598545072</v>
      </c>
      <c r="I69" s="37" t="n">
        <v>0.6402524268779608</v>
      </c>
      <c r="J69" s="37" t="n">
        <v>0.6899426844449165</v>
      </c>
      <c r="K69" s="37" t="n">
        <v>0.9104875453147008</v>
      </c>
      <c r="L69" s="42" t="inlineStr">
        <is>
          <t>KALINA</t>
        </is>
      </c>
      <c r="M69" s="29" t="n">
        <v>3.77242336546223</v>
      </c>
      <c r="N69" s="35" t="n">
        <v>18.6035385440547</v>
      </c>
      <c r="O69" s="36" t="n">
        <v>2187.979304247402</v>
      </c>
      <c r="P69" s="29" t="n">
        <v>1.962977670172453</v>
      </c>
      <c r="Q69" s="16" t="inlineStr">
        <is>
          <t>no</t>
        </is>
      </c>
      <c r="R69" s="16" t="n"/>
    </row>
    <row r="70">
      <c r="A70" s="16" t="inlineStr">
        <is>
          <t>KF-M04c-0065</t>
        </is>
      </c>
      <c r="B70" s="35" t="n">
        <v>492.6944851926027</v>
      </c>
      <c r="C70" s="35" t="n">
        <v>281.7042586970181</v>
      </c>
      <c r="D70" s="36" t="n">
        <v>4106.015390185168</v>
      </c>
      <c r="E70" s="35" t="n">
        <v>2298.053815456731</v>
      </c>
      <c r="F70" s="37" t="n">
        <v>0.5984020671071626</v>
      </c>
      <c r="G70" s="37" t="n">
        <v>0.8110627472431513</v>
      </c>
      <c r="H70" s="37" t="n">
        <v>0.829454617420333</v>
      </c>
      <c r="I70" s="37" t="n">
        <v>0.9342006464965864</v>
      </c>
      <c r="J70" s="37" t="n">
        <v>0.8805762062019367</v>
      </c>
      <c r="K70" s="37" t="n">
        <v>0.7519404325808697</v>
      </c>
      <c r="L70" s="39" t="inlineStr">
        <is>
          <t>Corregible</t>
        </is>
      </c>
      <c r="M70" s="29" t="n">
        <v>4.50821324198418</v>
      </c>
      <c r="N70" s="35" t="n">
        <v>74.94057710570496</v>
      </c>
      <c r="O70" s="36" t="n">
        <v>1807.961574728437</v>
      </c>
      <c r="P70" s="29" t="n">
        <v>1.786735960040653</v>
      </c>
      <c r="Q70" s="16" t="inlineStr">
        <is>
          <t>sí</t>
        </is>
      </c>
      <c r="R70" s="16" t="inlineStr">
        <is>
          <t>O2</t>
        </is>
      </c>
    </row>
    <row r="71">
      <c r="A71" s="16" t="inlineStr">
        <is>
          <t>KF-M04c-0066</t>
        </is>
      </c>
      <c r="B71" s="35" t="n">
        <v>496.1803912368263</v>
      </c>
      <c r="C71" s="35" t="n">
        <v>278.8802250958641</v>
      </c>
      <c r="D71" s="36" t="n">
        <v>2613.32237924985</v>
      </c>
      <c r="E71" s="35" t="n">
        <v>1550.510570027684</v>
      </c>
      <c r="F71" s="37" t="n">
        <v>0.517247574456463</v>
      </c>
      <c r="G71" s="37" t="n">
        <v>0.9121661558355446</v>
      </c>
      <c r="H71" s="37" t="n">
        <v>0.8867312691661731</v>
      </c>
      <c r="I71" s="37" t="n">
        <v>0.8962893151961889</v>
      </c>
      <c r="J71" s="37" t="n">
        <v>0.9362153494534116</v>
      </c>
      <c r="K71" s="37" t="n">
        <v>0.8980441545254008</v>
      </c>
      <c r="L71" s="42" t="inlineStr">
        <is>
          <t>KALINA</t>
        </is>
      </c>
      <c r="M71" s="29" t="n">
        <v>4.113234178216571</v>
      </c>
      <c r="N71" s="35" t="n">
        <v>82.31926971274345</v>
      </c>
      <c r="O71" s="36" t="n">
        <v>1062.811809222165</v>
      </c>
      <c r="P71" s="29" t="n">
        <v>1.685459247919341</v>
      </c>
      <c r="Q71" s="16" t="inlineStr">
        <is>
          <t>sí</t>
        </is>
      </c>
      <c r="R71" s="16" t="n"/>
    </row>
    <row r="72">
      <c r="A72" s="16" t="inlineStr">
        <is>
          <t>KF-M04c-0067</t>
        </is>
      </c>
      <c r="B72" s="35" t="n">
        <v>446.2011201380818</v>
      </c>
      <c r="C72" s="35" t="n">
        <v>300.4348446052085</v>
      </c>
      <c r="D72" s="36" t="n">
        <v>2729.144604605264</v>
      </c>
      <c r="E72" s="35" t="n">
        <v>2130.348649377401</v>
      </c>
      <c r="F72" s="37" t="n">
        <v>0.6094418531690025</v>
      </c>
      <c r="G72" s="37" t="n">
        <v>0.8962347417433072</v>
      </c>
      <c r="H72" s="37" t="n">
        <v>0.7879541211016706</v>
      </c>
      <c r="I72" s="37" t="n">
        <v>0.8615302837735177</v>
      </c>
      <c r="J72" s="37" t="n">
        <v>0.6644672089948657</v>
      </c>
      <c r="K72" s="37" t="n">
        <v>0.8171740731572137</v>
      </c>
      <c r="L72" s="39" t="inlineStr">
        <is>
          <t>Corregible</t>
        </is>
      </c>
      <c r="M72" s="29" t="n">
        <v>2.26519187040425</v>
      </c>
      <c r="N72" s="35" t="n">
        <v>27.99246284035329</v>
      </c>
      <c r="O72" s="36" t="n">
        <v>598.7959552278626</v>
      </c>
      <c r="P72" s="29" t="n">
        <v>1.281078853174039</v>
      </c>
      <c r="Q72" s="16" t="inlineStr">
        <is>
          <t>sí</t>
        </is>
      </c>
      <c r="R72" s="16" t="inlineStr">
        <is>
          <t>O2</t>
        </is>
      </c>
    </row>
    <row r="73">
      <c r="A73" s="16" t="inlineStr">
        <is>
          <t>KF-M04c-0068</t>
        </is>
      </c>
      <c r="B73" s="35" t="n">
        <v>488.4701366724409</v>
      </c>
      <c r="C73" s="35" t="n">
        <v>281.2106063409265</v>
      </c>
      <c r="D73" s="36" t="n">
        <v>3117.888441663725</v>
      </c>
      <c r="E73" s="35" t="n">
        <v>2490.79721377669</v>
      </c>
      <c r="F73" s="37" t="n">
        <v>0.6014087524197466</v>
      </c>
      <c r="G73" s="37" t="n">
        <v>0.8423650491285987</v>
      </c>
      <c r="H73" s="37" t="n">
        <v>0.844948729257827</v>
      </c>
      <c r="I73" s="37" t="n">
        <v>0.8641103031712166</v>
      </c>
      <c r="J73" s="37" t="n">
        <v>0.8619110106451477</v>
      </c>
      <c r="K73" s="37" t="n">
        <v>0.7054967305791687</v>
      </c>
      <c r="L73" s="39" t="inlineStr">
        <is>
          <t>Corregible</t>
        </is>
      </c>
      <c r="M73" s="29" t="n">
        <v>1.78667430285064</v>
      </c>
      <c r="N73" s="35" t="n">
        <v>26.342454271224</v>
      </c>
      <c r="O73" s="36" t="n">
        <v>627.0912278870346</v>
      </c>
      <c r="P73" s="29" t="n">
        <v>1.251763260541071</v>
      </c>
      <c r="Q73" s="16" t="inlineStr">
        <is>
          <t>sí</t>
        </is>
      </c>
      <c r="R73" s="16" t="inlineStr">
        <is>
          <t>O2</t>
        </is>
      </c>
    </row>
    <row r="74">
      <c r="A74" s="16" t="inlineStr">
        <is>
          <t>KF-M04c-0070</t>
        </is>
      </c>
      <c r="B74" s="35" t="n">
        <v>452.2076924943995</v>
      </c>
      <c r="C74" s="35" t="n">
        <v>284.1009921076139</v>
      </c>
      <c r="D74" s="36" t="n">
        <v>2386.850068796868</v>
      </c>
      <c r="E74" s="35" t="n">
        <v>1921.426537752159</v>
      </c>
      <c r="F74" s="37" t="n">
        <v>0.5452035036028553</v>
      </c>
      <c r="G74" s="37" t="n">
        <v>0.8363959119755905</v>
      </c>
      <c r="H74" s="37" t="n">
        <v>0.6799733863477462</v>
      </c>
      <c r="I74" s="37" t="n">
        <v>0.7428312435446344</v>
      </c>
      <c r="J74" s="37" t="n">
        <v>0.6344674898901936</v>
      </c>
      <c r="K74" s="37" t="n">
        <v>0.843571447864748</v>
      </c>
      <c r="L74" s="42" t="inlineStr">
        <is>
          <t>KALINA</t>
        </is>
      </c>
      <c r="M74" s="29" t="n">
        <v>1.6432158856196</v>
      </c>
      <c r="N74" s="35" t="n">
        <v>21.29100200438818</v>
      </c>
      <c r="O74" s="36" t="n">
        <v>465.4235310447093</v>
      </c>
      <c r="P74" s="29" t="n">
        <v>1.242228116402098</v>
      </c>
      <c r="Q74" s="16" t="inlineStr">
        <is>
          <t>sí</t>
        </is>
      </c>
      <c r="R74" s="16" t="n"/>
    </row>
    <row r="75">
      <c r="A75" s="16" t="inlineStr">
        <is>
          <t>KF-M04c-0071</t>
        </is>
      </c>
      <c r="B75" s="35" t="n">
        <v>466.9370855046997</v>
      </c>
      <c r="C75" s="35" t="n">
        <v>280.1024050920565</v>
      </c>
      <c r="D75" s="36" t="n">
        <v>2497.277492054203</v>
      </c>
      <c r="E75" s="35" t="n">
        <v>2124.23575468286</v>
      </c>
      <c r="F75" s="37" t="n">
        <v>0.5898490911902845</v>
      </c>
      <c r="G75" s="37" t="n">
        <v>0.9156122385590366</v>
      </c>
      <c r="H75" s="37" t="n">
        <v>0.8029279527057465</v>
      </c>
      <c r="I75" s="37" t="n">
        <v>0.9161575105079538</v>
      </c>
      <c r="J75" s="37" t="n">
        <v>0.6054136489051983</v>
      </c>
      <c r="K75" s="37" t="n">
        <v>0.733735225474335</v>
      </c>
      <c r="L75" s="39" t="inlineStr">
        <is>
          <t>Corregible</t>
        </is>
      </c>
      <c r="M75" s="29" t="n">
        <v>1.38163492318675</v>
      </c>
      <c r="N75" s="35" t="n">
        <v>21.98632710965512</v>
      </c>
      <c r="O75" s="36" t="n">
        <v>373.0417373713426</v>
      </c>
      <c r="P75" s="29" t="n">
        <v>1.175612210908782</v>
      </c>
      <c r="Q75" s="16" t="inlineStr">
        <is>
          <t>sí</t>
        </is>
      </c>
      <c r="R75" s="16" t="inlineStr">
        <is>
          <t>O2</t>
        </is>
      </c>
    </row>
    <row r="76">
      <c r="A76" s="16" t="inlineStr">
        <is>
          <t>KF-M04c-0072</t>
        </is>
      </c>
      <c r="B76" s="35" t="n">
        <v>383.7237987833429</v>
      </c>
      <c r="C76" s="35" t="n">
        <v>289.9744831215599</v>
      </c>
      <c r="D76" s="36" t="n">
        <v>3397.186060079769</v>
      </c>
      <c r="E76" s="35" t="n">
        <v>1688.08311954695</v>
      </c>
      <c r="F76" s="37" t="n">
        <v>0.5475876379881632</v>
      </c>
      <c r="G76" s="37" t="n">
        <v>0.8859609537660155</v>
      </c>
      <c r="H76" s="37" t="n">
        <v>0.738248786398046</v>
      </c>
      <c r="I76" s="37" t="n">
        <v>0.87251627162953</v>
      </c>
      <c r="J76" s="37" t="n">
        <v>0.6598670700764134</v>
      </c>
      <c r="K76" s="37" t="n">
        <v>0.8067583517705703</v>
      </c>
      <c r="L76" s="38" t="inlineStr">
        <is>
          <t>Falso convergido</t>
        </is>
      </c>
      <c r="M76" s="29" t="inlineStr">
        <is>
          <t>—</t>
        </is>
      </c>
      <c r="N76" s="35" t="inlineStr">
        <is>
          <t>—</t>
        </is>
      </c>
      <c r="O76" s="36" t="n">
        <v>1709.102940532819</v>
      </c>
      <c r="P76" s="29" t="n">
        <v>2.012451887435205</v>
      </c>
      <c r="Q76" s="16" t="inlineStr">
        <is>
          <t>no</t>
        </is>
      </c>
      <c r="R76" s="16" t="inlineStr">
        <is>
          <t>N2,O3,O5,C1,C3,C3</t>
        </is>
      </c>
    </row>
    <row r="77">
      <c r="A77" s="16" t="inlineStr">
        <is>
          <t>KF-M04c-0073</t>
        </is>
      </c>
      <c r="B77" s="35" t="n">
        <v>392.4621045410471</v>
      </c>
      <c r="C77" s="35" t="n">
        <v>293.1287601359675</v>
      </c>
      <c r="D77" s="36" t="n">
        <v>3466.846390129096</v>
      </c>
      <c r="E77" s="35" t="n">
        <v>1715.355498068953</v>
      </c>
      <c r="F77" s="37" t="n">
        <v>0.5600830335907285</v>
      </c>
      <c r="G77" s="37" t="n">
        <v>0.8376760628368743</v>
      </c>
      <c r="H77" s="37" t="n">
        <v>0.6720958412016838</v>
      </c>
      <c r="I77" s="37" t="n">
        <v>0.6936661460252896</v>
      </c>
      <c r="J77" s="37" t="n">
        <v>0.8846835776972779</v>
      </c>
      <c r="K77" s="37" t="n">
        <v>0.8351269390113469</v>
      </c>
      <c r="L77" s="42" t="inlineStr">
        <is>
          <t>KALINA</t>
        </is>
      </c>
      <c r="M77" s="29" t="n">
        <v>2.10133974344436</v>
      </c>
      <c r="N77" s="35" t="n">
        <v>3.284623848734421</v>
      </c>
      <c r="O77" s="36" t="n">
        <v>1751.490892060143</v>
      </c>
      <c r="P77" s="29" t="n">
        <v>2.021065833893831</v>
      </c>
      <c r="Q77" s="16" t="inlineStr">
        <is>
          <t>no</t>
        </is>
      </c>
      <c r="R77" s="16" t="n"/>
    </row>
    <row r="78">
      <c r="A78" s="16" t="inlineStr">
        <is>
          <t>KF-M04c-0074</t>
        </is>
      </c>
      <c r="B78" s="35" t="n">
        <v>421.5924198361084</v>
      </c>
      <c r="C78" s="35" t="n">
        <v>292.3555864607452</v>
      </c>
      <c r="D78" s="36" t="n">
        <v>3998.649707315593</v>
      </c>
      <c r="E78" s="35" t="n">
        <v>2312.150484339236</v>
      </c>
      <c r="F78" s="37" t="n">
        <v>0.8274545329657241</v>
      </c>
      <c r="G78" s="37" t="n">
        <v>0.8582821355643312</v>
      </c>
      <c r="H78" s="37" t="n">
        <v>0.7849905988929184</v>
      </c>
      <c r="I78" s="37" t="n">
        <v>0.7815589097523711</v>
      </c>
      <c r="J78" s="37" t="n">
        <v>0.7522857953025471</v>
      </c>
      <c r="K78" s="37" t="n">
        <v>0.9496647513346532</v>
      </c>
      <c r="L78" s="42" t="inlineStr">
        <is>
          <t>KALINA</t>
        </is>
      </c>
      <c r="M78" s="29" t="n">
        <v>4.73062193081669</v>
      </c>
      <c r="N78" s="35" t="n">
        <v>47.8048293832727</v>
      </c>
      <c r="O78" s="36" t="n">
        <v>1686.499222976357</v>
      </c>
      <c r="P78" s="29" t="n">
        <v>1.72940720528332</v>
      </c>
      <c r="Q78" s="16" t="inlineStr">
        <is>
          <t>no</t>
        </is>
      </c>
      <c r="R78" s="16" t="n"/>
    </row>
    <row r="79">
      <c r="A79" s="16" t="inlineStr">
        <is>
          <t>KF-M04c-0075</t>
        </is>
      </c>
      <c r="B79" s="35" t="n">
        <v>416.1151737958647</v>
      </c>
      <c r="C79" s="35" t="n">
        <v>283.9906262861405</v>
      </c>
      <c r="D79" s="36" t="n">
        <v>4128.16390733049</v>
      </c>
      <c r="E79" s="35" t="n">
        <v>1942.13023018856</v>
      </c>
      <c r="F79" s="37" t="n">
        <v>0.8293862882020619</v>
      </c>
      <c r="G79" s="37" t="n">
        <v>0.7929632184539023</v>
      </c>
      <c r="H79" s="37" t="n">
        <v>0.7478345535730687</v>
      </c>
      <c r="I79" s="37" t="n">
        <v>0.768426264006037</v>
      </c>
      <c r="J79" s="37" t="n">
        <v>0.9168439805106656</v>
      </c>
      <c r="K79" s="37" t="n">
        <v>0.930372335612579</v>
      </c>
      <c r="L79" s="42" t="inlineStr">
        <is>
          <t>KALINA</t>
        </is>
      </c>
      <c r="M79" s="29" t="n">
        <v>5.8905598125431</v>
      </c>
      <c r="N79" s="35" t="n">
        <v>54.0391893014401</v>
      </c>
      <c r="O79" s="36" t="n">
        <v>2186.03367714193</v>
      </c>
      <c r="P79" s="29" t="n">
        <v>2.125585526223796</v>
      </c>
      <c r="Q79" s="16" t="inlineStr">
        <is>
          <t>no</t>
        </is>
      </c>
      <c r="R79" s="16" t="n"/>
    </row>
    <row r="80">
      <c r="A80" s="16" t="inlineStr">
        <is>
          <t>KF-M04c-0077</t>
        </is>
      </c>
      <c r="B80" s="35" t="n">
        <v>451.240537833544</v>
      </c>
      <c r="C80" s="35" t="n">
        <v>278.2778372787966</v>
      </c>
      <c r="D80" s="36" t="n">
        <v>2884.386479081242</v>
      </c>
      <c r="E80" s="35" t="n">
        <v>2107.627711088611</v>
      </c>
      <c r="F80" s="37" t="n">
        <v>0.5377954321738834</v>
      </c>
      <c r="G80" s="37" t="n">
        <v>0.7586799439881798</v>
      </c>
      <c r="H80" s="37" t="n">
        <v>0.8830070741060182</v>
      </c>
      <c r="I80" s="37" t="n">
        <v>0.8789326644401582</v>
      </c>
      <c r="J80" s="37" t="n">
        <v>0.9387428803390816</v>
      </c>
      <c r="K80" s="37" t="n">
        <v>0.8308888999722285</v>
      </c>
      <c r="L80" s="42" t="inlineStr">
        <is>
          <t>KALINA</t>
        </is>
      </c>
      <c r="M80" s="29" t="n">
        <v>2.1999278544282</v>
      </c>
      <c r="N80" s="35" t="n">
        <v>26.26065047219715</v>
      </c>
      <c r="O80" s="36" t="n">
        <v>776.758767992631</v>
      </c>
      <c r="P80" s="29" t="n">
        <v>1.368546477115461</v>
      </c>
      <c r="Q80" s="16" t="inlineStr">
        <is>
          <t>sí</t>
        </is>
      </c>
      <c r="R80" s="16" t="n"/>
    </row>
    <row r="81">
      <c r="A81" s="16" t="inlineStr">
        <is>
          <t>KF-M04c-0078</t>
        </is>
      </c>
      <c r="B81" s="35" t="n">
        <v>397.09177885196</v>
      </c>
      <c r="C81" s="35" t="n">
        <v>293.7693307470602</v>
      </c>
      <c r="D81" s="36" t="n">
        <v>2972.540349518591</v>
      </c>
      <c r="E81" s="35" t="n">
        <v>2334.373012652082</v>
      </c>
      <c r="F81" s="37" t="n">
        <v>0.7036860499464891</v>
      </c>
      <c r="G81" s="37" t="n">
        <v>0.9086414781387104</v>
      </c>
      <c r="H81" s="37" t="n">
        <v>0.8604925294994435</v>
      </c>
      <c r="I81" s="37" t="n">
        <v>0.6476664620757646</v>
      </c>
      <c r="J81" s="37" t="n">
        <v>0.7178802942179698</v>
      </c>
      <c r="K81" s="37" t="n">
        <v>0.9155997203737924</v>
      </c>
      <c r="L81" s="42" t="inlineStr">
        <is>
          <t>KALINA</t>
        </is>
      </c>
      <c r="M81" s="29" t="n">
        <v>1.95448434018676</v>
      </c>
      <c r="N81" s="35" t="n">
        <v>10.695819146625</v>
      </c>
      <c r="O81" s="36" t="n">
        <v>638.1673368665088</v>
      </c>
      <c r="P81" s="29" t="n">
        <v>1.273378476108018</v>
      </c>
      <c r="Q81" s="16" t="inlineStr">
        <is>
          <t>no</t>
        </is>
      </c>
      <c r="R81" s="16" t="n"/>
    </row>
    <row r="82">
      <c r="A82" s="16" t="inlineStr">
        <is>
          <t>KF-M04c-0079</t>
        </is>
      </c>
      <c r="B82" s="35" t="n">
        <v>412.870358452908</v>
      </c>
      <c r="C82" s="35" t="n">
        <v>286.9210692505212</v>
      </c>
      <c r="D82" s="36" t="n">
        <v>4027.302323617338</v>
      </c>
      <c r="E82" s="35" t="n">
        <v>2007.830079444174</v>
      </c>
      <c r="F82" s="37" t="n">
        <v>0.7707762507010444</v>
      </c>
      <c r="G82" s="37" t="n">
        <v>0.834582067500475</v>
      </c>
      <c r="H82" s="37" t="n">
        <v>0.7153409643568359</v>
      </c>
      <c r="I82" s="37" t="n">
        <v>0.9225374163397182</v>
      </c>
      <c r="J82" s="37" t="n">
        <v>0.6672199767555002</v>
      </c>
      <c r="K82" s="37" t="n">
        <v>0.7774683432937339</v>
      </c>
      <c r="L82" s="39" t="inlineStr">
        <is>
          <t>Corregible</t>
        </is>
      </c>
      <c r="M82" s="29" t="n">
        <v>6.19781992007342</v>
      </c>
      <c r="N82" s="35" t="n">
        <v>53.97765006369528</v>
      </c>
      <c r="O82" s="36" t="n">
        <v>2019.472244173164</v>
      </c>
      <c r="P82" s="29" t="n">
        <v>2.005798381470714</v>
      </c>
      <c r="Q82" s="16" t="inlineStr">
        <is>
          <t>no</t>
        </is>
      </c>
      <c r="R82" s="16" t="inlineStr">
        <is>
          <t>O2</t>
        </is>
      </c>
    </row>
    <row r="83">
      <c r="A83" s="16" t="inlineStr">
        <is>
          <t>KF-M04c-0080</t>
        </is>
      </c>
      <c r="B83" s="35" t="n">
        <v>409.0801683384015</v>
      </c>
      <c r="C83" s="35" t="n">
        <v>280.2751454663694</v>
      </c>
      <c r="D83" s="36" t="n">
        <v>4369.264766764227</v>
      </c>
      <c r="E83" s="35" t="n">
        <v>1864.259073243996</v>
      </c>
      <c r="F83" s="37" t="n">
        <v>0.8212412843839818</v>
      </c>
      <c r="G83" s="37" t="n">
        <v>0.908761943510214</v>
      </c>
      <c r="H83" s="37" t="n">
        <v>0.7050667974558817</v>
      </c>
      <c r="I83" s="37" t="n">
        <v>0.7643544757126434</v>
      </c>
      <c r="J83" s="37" t="n">
        <v>0.7060944914398826</v>
      </c>
      <c r="K83" s="37" t="n">
        <v>0.8671040484629786</v>
      </c>
      <c r="L83" s="42" t="inlineStr">
        <is>
          <t>KALINA</t>
        </is>
      </c>
      <c r="M83" s="29" t="n">
        <v>7.26527803674971</v>
      </c>
      <c r="N83" s="35" t="n">
        <v>58.87728202858554</v>
      </c>
      <c r="O83" s="36" t="n">
        <v>2505.005693520231</v>
      </c>
      <c r="P83" s="29" t="n">
        <v>2.343700416681503</v>
      </c>
      <c r="Q83" s="16" t="inlineStr">
        <is>
          <t>no</t>
        </is>
      </c>
      <c r="R83" s="16" t="n"/>
    </row>
    <row r="84">
      <c r="A84" s="16" t="inlineStr">
        <is>
          <t>KF-M04c-0081</t>
        </is>
      </c>
      <c r="B84" s="35" t="n">
        <v>401.4325081879542</v>
      </c>
      <c r="C84" s="35" t="n">
        <v>293.5945585549215</v>
      </c>
      <c r="D84" s="36" t="n">
        <v>4921.171604059608</v>
      </c>
      <c r="E84" s="35" t="n">
        <v>1620.803789071626</v>
      </c>
      <c r="F84" s="37" t="n">
        <v>0.7281249300452057</v>
      </c>
      <c r="G84" s="37" t="n">
        <v>0.8316954002334136</v>
      </c>
      <c r="H84" s="37" t="n">
        <v>0.8144800145974217</v>
      </c>
      <c r="I84" s="37" t="n">
        <v>0.8874168060463929</v>
      </c>
      <c r="J84" s="37" t="n">
        <v>0.8681926728226514</v>
      </c>
      <c r="K84" s="37" t="n">
        <v>0.7851394900430638</v>
      </c>
      <c r="L84" s="42" t="inlineStr">
        <is>
          <t>KALINA</t>
        </is>
      </c>
      <c r="M84" s="29" t="n">
        <v>8.349861226394269</v>
      </c>
      <c r="N84" s="35" t="n">
        <v>40.44463699203906</v>
      </c>
      <c r="O84" s="36" t="n">
        <v>3300.367814987982</v>
      </c>
      <c r="P84" s="29" t="n">
        <v>3.036253763250631</v>
      </c>
      <c r="Q84" s="16" t="inlineStr">
        <is>
          <t>no</t>
        </is>
      </c>
      <c r="R84" s="16" t="n"/>
    </row>
    <row r="85">
      <c r="A85" s="16" t="inlineStr">
        <is>
          <t>KF-M04c-0082</t>
        </is>
      </c>
      <c r="B85" s="35" t="n">
        <v>435.2293499982645</v>
      </c>
      <c r="C85" s="35" t="n">
        <v>300.0017721261045</v>
      </c>
      <c r="D85" s="36" t="n">
        <v>4814.579299404854</v>
      </c>
      <c r="E85" s="35" t="n">
        <v>2328.479505949725</v>
      </c>
      <c r="F85" s="37" t="n">
        <v>0.6108358394817568</v>
      </c>
      <c r="G85" s="37" t="n">
        <v>0.7623654697856861</v>
      </c>
      <c r="H85" s="37" t="n">
        <v>0.7811104765235765</v>
      </c>
      <c r="I85" s="37" t="n">
        <v>0.8760670767232439</v>
      </c>
      <c r="J85" s="37" t="n">
        <v>0.8925126912057414</v>
      </c>
      <c r="K85" s="37" t="n">
        <v>0.8112639025935566</v>
      </c>
      <c r="L85" s="42" t="inlineStr">
        <is>
          <t>KALINA</t>
        </is>
      </c>
      <c r="M85" s="29" t="n">
        <v>5.03513644511669</v>
      </c>
      <c r="N85" s="35" t="n">
        <v>31.61776332229088</v>
      </c>
      <c r="O85" s="36" t="n">
        <v>2486.099793455129</v>
      </c>
      <c r="P85" s="29" t="n">
        <v>2.067692366242714</v>
      </c>
      <c r="Q85" s="16" t="inlineStr">
        <is>
          <t>sí</t>
        </is>
      </c>
      <c r="R85" s="16" t="n"/>
    </row>
    <row r="86">
      <c r="A86" s="16" t="inlineStr">
        <is>
          <t>KF-M04c-0083</t>
        </is>
      </c>
      <c r="B86" s="35" t="n">
        <v>382.2875891593205</v>
      </c>
      <c r="C86" s="35" t="n">
        <v>286.3984869152141</v>
      </c>
      <c r="D86" s="36" t="n">
        <v>2575.741911242752</v>
      </c>
      <c r="E86" s="35" t="n">
        <v>1593.044753827096</v>
      </c>
      <c r="F86" s="37" t="n">
        <v>0.5345607850088705</v>
      </c>
      <c r="G86" s="37" t="n">
        <v>0.7516904253027634</v>
      </c>
      <c r="H86" s="37" t="n">
        <v>0.832918392854649</v>
      </c>
      <c r="I86" s="37" t="n">
        <v>0.8480571063899001</v>
      </c>
      <c r="J86" s="37" t="n">
        <v>0.6456866099052159</v>
      </c>
      <c r="K86" s="37" t="n">
        <v>0.8164109059779253</v>
      </c>
      <c r="L86" s="42" t="inlineStr">
        <is>
          <t>KALINA</t>
        </is>
      </c>
      <c r="M86" s="29" t="n">
        <v>1.41739478217852</v>
      </c>
      <c r="N86" s="35" t="n">
        <v>3.805228450669996</v>
      </c>
      <c r="O86" s="36" t="n">
        <v>982.697157415656</v>
      </c>
      <c r="P86" s="29" t="n">
        <v>1.616867263179421</v>
      </c>
      <c r="Q86" s="16" t="inlineStr">
        <is>
          <t>no</t>
        </is>
      </c>
      <c r="R86" s="16" t="n"/>
    </row>
    <row r="87">
      <c r="A87" s="16" t="inlineStr">
        <is>
          <t>KF-M04c-0084</t>
        </is>
      </c>
      <c r="B87" s="35" t="n">
        <v>464.2983044776312</v>
      </c>
      <c r="C87" s="35" t="n">
        <v>292.9189290240174</v>
      </c>
      <c r="D87" s="36" t="n">
        <v>3819.720033286515</v>
      </c>
      <c r="E87" s="35" t="n">
        <v>1501.262154912899</v>
      </c>
      <c r="F87" s="37" t="n">
        <v>0.745081577927037</v>
      </c>
      <c r="G87" s="37" t="n">
        <v>0.8823759552654671</v>
      </c>
      <c r="H87" s="37" t="n">
        <v>0.6653226304660833</v>
      </c>
      <c r="I87" s="37" t="n">
        <v>0.9401322016553494</v>
      </c>
      <c r="J87" s="37" t="n">
        <v>0.6920813569122315</v>
      </c>
      <c r="K87" s="37" t="n">
        <v>0.8053055439309142</v>
      </c>
      <c r="L87" s="39" t="inlineStr">
        <is>
          <t>Corregible</t>
        </is>
      </c>
      <c r="M87" s="29" t="n">
        <v>7.99592253725008</v>
      </c>
      <c r="N87" s="35" t="n">
        <v>122.0109368322515</v>
      </c>
      <c r="O87" s="36" t="n">
        <v>2318.457878373616</v>
      </c>
      <c r="P87" s="29" t="n">
        <v>2.544339122108976</v>
      </c>
      <c r="Q87" s="16" t="inlineStr">
        <is>
          <t>sí</t>
        </is>
      </c>
      <c r="R87" s="16" t="inlineStr">
        <is>
          <t>O2</t>
        </is>
      </c>
    </row>
    <row r="88">
      <c r="A88" s="16" t="inlineStr">
        <is>
          <t>KF-M04c-0085</t>
        </is>
      </c>
      <c r="B88" s="35" t="n">
        <v>489.6872015061121</v>
      </c>
      <c r="C88" s="35" t="n">
        <v>302.2748697423454</v>
      </c>
      <c r="D88" s="36" t="n">
        <v>3159.155219359864</v>
      </c>
      <c r="E88" s="35" t="n">
        <v>2205.413747149867</v>
      </c>
      <c r="F88" s="37" t="n">
        <v>0.6301004217805461</v>
      </c>
      <c r="G88" s="37" t="n">
        <v>0.8266476719525083</v>
      </c>
      <c r="H88" s="37" t="n">
        <v>0.842187938754353</v>
      </c>
      <c r="I88" s="37" t="n">
        <v>0.9474695467971028</v>
      </c>
      <c r="J88" s="37" t="n">
        <v>0.6773533144991517</v>
      </c>
      <c r="K88" s="37" t="n">
        <v>0.7157202934609759</v>
      </c>
      <c r="L88" s="40" t="inlineStr">
        <is>
          <t>Inviable</t>
        </is>
      </c>
      <c r="M88" s="29" t="n">
        <v>2.63397398377295</v>
      </c>
      <c r="N88" s="35" t="n">
        <v>40.06374097946846</v>
      </c>
      <c r="O88" s="36" t="n">
        <v>953.7414722099976</v>
      </c>
      <c r="P88" s="29" t="n">
        <v>1.432454669080825</v>
      </c>
      <c r="Q88" s="16" t="inlineStr">
        <is>
          <t>sí</t>
        </is>
      </c>
      <c r="R88" s="16" t="inlineStr">
        <is>
          <t>O2,O5</t>
        </is>
      </c>
    </row>
    <row r="89">
      <c r="A89" s="16" t="inlineStr">
        <is>
          <t>KF-M04c-0086</t>
        </is>
      </c>
      <c r="B89" s="35" t="n">
        <v>471.3723446477122</v>
      </c>
      <c r="C89" s="35" t="n">
        <v>286.0796067720991</v>
      </c>
      <c r="D89" s="36" t="n">
        <v>2952.30713286758</v>
      </c>
      <c r="E89" s="35" t="n">
        <v>2044.378449691666</v>
      </c>
      <c r="F89" s="37" t="n">
        <v>0.5719210189696892</v>
      </c>
      <c r="G89" s="37" t="n">
        <v>0.813448473746247</v>
      </c>
      <c r="H89" s="37" t="n">
        <v>0.8195548901130473</v>
      </c>
      <c r="I89" s="37" t="n">
        <v>0.6572195305500642</v>
      </c>
      <c r="J89" s="37" t="n">
        <v>0.7268700254250451</v>
      </c>
      <c r="K89" s="37" t="n">
        <v>0.7909211741100534</v>
      </c>
      <c r="L89" s="42" t="inlineStr">
        <is>
          <t>KALINA</t>
        </is>
      </c>
      <c r="M89" s="29" t="n">
        <v>2.92111260988701</v>
      </c>
      <c r="N89" s="35" t="n">
        <v>36.32698862055845</v>
      </c>
      <c r="O89" s="36" t="n">
        <v>907.9286831759136</v>
      </c>
      <c r="P89" s="29" t="n">
        <v>1.444109887439308</v>
      </c>
      <c r="Q89" s="16" t="inlineStr">
        <is>
          <t>sí</t>
        </is>
      </c>
      <c r="R89" s="16" t="n"/>
    </row>
    <row r="90">
      <c r="A90" s="16" t="inlineStr">
        <is>
          <t>KF-M04c-0087</t>
        </is>
      </c>
      <c r="B90" s="35" t="n">
        <v>472.3412357339319</v>
      </c>
      <c r="C90" s="35" t="n">
        <v>278.6432414127783</v>
      </c>
      <c r="D90" s="36" t="n">
        <v>3763.894804263703</v>
      </c>
      <c r="E90" s="35" t="n">
        <v>1988.222337283467</v>
      </c>
      <c r="F90" s="37" t="n">
        <v>0.8028693686569588</v>
      </c>
      <c r="G90" s="37" t="n">
        <v>0.8727278456931709</v>
      </c>
      <c r="H90" s="37" t="n">
        <v>0.7040005225083306</v>
      </c>
      <c r="I90" s="37" t="n">
        <v>0.9484546250086781</v>
      </c>
      <c r="J90" s="37" t="n">
        <v>0.8966087817448321</v>
      </c>
      <c r="K90" s="37" t="n">
        <v>0.8535130469604871</v>
      </c>
      <c r="L90" s="39" t="inlineStr">
        <is>
          <t>Corregible</t>
        </is>
      </c>
      <c r="M90" s="29" t="n">
        <v>5.87910472944299</v>
      </c>
      <c r="N90" s="35" t="n">
        <v>96.25730300280192</v>
      </c>
      <c r="O90" s="36" t="n">
        <v>1775.672466980236</v>
      </c>
      <c r="P90" s="29" t="n">
        <v>1.893095522408404</v>
      </c>
      <c r="Q90" s="16" t="inlineStr">
        <is>
          <t>sí</t>
        </is>
      </c>
      <c r="R90" s="16" t="inlineStr">
        <is>
          <t>O2</t>
        </is>
      </c>
    </row>
    <row r="91">
      <c r="A91" s="16" t="inlineStr">
        <is>
          <t>KF-M04c-0088</t>
        </is>
      </c>
      <c r="B91" s="35" t="n">
        <v>448.9611053047043</v>
      </c>
      <c r="C91" s="35" t="n">
        <v>296.697733220946</v>
      </c>
      <c r="D91" s="36" t="n">
        <v>4719.925908259518</v>
      </c>
      <c r="E91" s="35" t="n">
        <v>2383.637463910125</v>
      </c>
      <c r="F91" s="37" t="n">
        <v>0.7500579217754311</v>
      </c>
      <c r="G91" s="37" t="n">
        <v>0.7732090624927788</v>
      </c>
      <c r="H91" s="37" t="n">
        <v>0.7073940113378733</v>
      </c>
      <c r="I91" s="37" t="n">
        <v>0.6931156744671217</v>
      </c>
      <c r="J91" s="37" t="n">
        <v>0.7945971465598989</v>
      </c>
      <c r="K91" s="37" t="n">
        <v>0.9478428224196072</v>
      </c>
      <c r="L91" s="42" t="inlineStr">
        <is>
          <t>KALINA</t>
        </is>
      </c>
      <c r="M91" s="29" t="n">
        <v>4.97115394870563</v>
      </c>
      <c r="N91" s="35" t="n">
        <v>48.66635085600316</v>
      </c>
      <c r="O91" s="36" t="n">
        <v>2336.288444349393</v>
      </c>
      <c r="P91" s="29" t="n">
        <v>1.980135813319925</v>
      </c>
      <c r="Q91" s="16" t="inlineStr">
        <is>
          <t>sí</t>
        </is>
      </c>
      <c r="R91" s="16" t="n"/>
    </row>
    <row r="92">
      <c r="A92" s="16" t="inlineStr">
        <is>
          <t>KF-M04c-0089</t>
        </is>
      </c>
      <c r="B92" s="35" t="n">
        <v>447.1460068622839</v>
      </c>
      <c r="C92" s="35" t="n">
        <v>301.0660787980818</v>
      </c>
      <c r="D92" s="36" t="n">
        <v>3009.127671922412</v>
      </c>
      <c r="E92" s="35" t="n">
        <v>2277.269043639463</v>
      </c>
      <c r="F92" s="37" t="n">
        <v>0.6937847744448504</v>
      </c>
      <c r="G92" s="37" t="n">
        <v>0.7938349984376992</v>
      </c>
      <c r="H92" s="37" t="n">
        <v>0.7093773363572694</v>
      </c>
      <c r="I92" s="37" t="n">
        <v>0.6869989144527947</v>
      </c>
      <c r="J92" s="37" t="n">
        <v>0.8115574347233608</v>
      </c>
      <c r="K92" s="37" t="n">
        <v>0.9388444871696038</v>
      </c>
      <c r="L92" s="32" t="inlineStr">
        <is>
          <t>No convergió</t>
        </is>
      </c>
      <c r="M92" s="29" t="inlineStr">
        <is>
          <t>—</t>
        </is>
      </c>
      <c r="N92" s="35" t="inlineStr">
        <is>
          <t>—</t>
        </is>
      </c>
      <c r="O92" s="36" t="n">
        <v>731.8586282829483</v>
      </c>
      <c r="P92" s="29" t="n">
        <v>1.321375566197182</v>
      </c>
      <c r="Q92" s="16" t="inlineStr">
        <is>
          <t>no</t>
        </is>
      </c>
      <c r="R92" s="16" t="n"/>
    </row>
    <row r="93">
      <c r="A93" s="16" t="inlineStr">
        <is>
          <t>KF-M04c-0090</t>
        </is>
      </c>
      <c r="B93" s="35" t="n">
        <v>479.9843936555874</v>
      </c>
      <c r="C93" s="35" t="n">
        <v>288.6077736098675</v>
      </c>
      <c r="D93" s="36" t="n">
        <v>4417.862688953663</v>
      </c>
      <c r="E93" s="35" t="n">
        <v>2364.181691464377</v>
      </c>
      <c r="F93" s="37" t="n">
        <v>0.8495267494469412</v>
      </c>
      <c r="G93" s="37" t="n">
        <v>0.911917036207038</v>
      </c>
      <c r="H93" s="37" t="n">
        <v>0.6747275588221679</v>
      </c>
      <c r="I93" s="37" t="n">
        <v>0.8999642000249085</v>
      </c>
      <c r="J93" s="37" t="n">
        <v>0.6548300472693013</v>
      </c>
      <c r="K93" s="37" t="n">
        <v>0.8585504502070993</v>
      </c>
      <c r="L93" s="32" t="inlineStr">
        <is>
          <t>No convergió</t>
        </is>
      </c>
      <c r="M93" s="29" t="inlineStr">
        <is>
          <t>—</t>
        </is>
      </c>
      <c r="N93" s="35" t="inlineStr">
        <is>
          <t>—</t>
        </is>
      </c>
      <c r="O93" s="36" t="n">
        <v>2053.680997489285</v>
      </c>
      <c r="P93" s="29" t="n">
        <v>1.868664622902664</v>
      </c>
      <c r="Q93" s="16" t="inlineStr">
        <is>
          <t>no</t>
        </is>
      </c>
      <c r="R93" s="16" t="n"/>
    </row>
    <row r="94">
      <c r="A94" s="16" t="inlineStr">
        <is>
          <t>KF-M04c-0091</t>
        </is>
      </c>
      <c r="B94" s="35" t="n">
        <v>453.2510824304998</v>
      </c>
      <c r="C94" s="35" t="n">
        <v>290.8125123048395</v>
      </c>
      <c r="D94" s="36" t="n">
        <v>3940.916927295578</v>
      </c>
      <c r="E94" s="35" t="n">
        <v>2019.074991132865</v>
      </c>
      <c r="F94" s="37" t="n">
        <v>0.7121646324061338</v>
      </c>
      <c r="G94" s="37" t="n">
        <v>0.7647278845989455</v>
      </c>
      <c r="H94" s="37" t="n">
        <v>0.73369381759008</v>
      </c>
      <c r="I94" s="37" t="n">
        <v>0.937033080691843</v>
      </c>
      <c r="J94" s="37" t="n">
        <v>0.6254824748263151</v>
      </c>
      <c r="K94" s="37" t="n">
        <v>0.8760460120142191</v>
      </c>
      <c r="L94" s="42" t="inlineStr">
        <is>
          <t>KALINA</t>
        </is>
      </c>
      <c r="M94" s="29" t="n">
        <v>5.0147140525359</v>
      </c>
      <c r="N94" s="35" t="n">
        <v>74.30499610347638</v>
      </c>
      <c r="O94" s="36" t="n">
        <v>1921.841936162713</v>
      </c>
      <c r="P94" s="29" t="n">
        <v>1.951842771864755</v>
      </c>
      <c r="Q94" s="16" t="inlineStr">
        <is>
          <t>sí</t>
        </is>
      </c>
      <c r="R94" s="16" t="n"/>
    </row>
    <row r="95">
      <c r="A95" s="16" t="inlineStr">
        <is>
          <t>KF-M04c-0092</t>
        </is>
      </c>
      <c r="B95" s="35" t="n">
        <v>462.7810068507821</v>
      </c>
      <c r="C95" s="35" t="n">
        <v>285.1518369293476</v>
      </c>
      <c r="D95" s="36" t="n">
        <v>4388.914820414277</v>
      </c>
      <c r="E95" s="35" t="n">
        <v>2153.603666861276</v>
      </c>
      <c r="F95" s="37" t="n">
        <v>0.7703277403534616</v>
      </c>
      <c r="G95" s="37" t="n">
        <v>0.7739893027244666</v>
      </c>
      <c r="H95" s="37" t="n">
        <v>0.8454223580482402</v>
      </c>
      <c r="I95" s="37" t="n">
        <v>0.7505648664419171</v>
      </c>
      <c r="J95" s="37" t="n">
        <v>0.7348492287225211</v>
      </c>
      <c r="K95" s="37" t="n">
        <v>0.714443069507262</v>
      </c>
      <c r="L95" s="39" t="inlineStr">
        <is>
          <t>Corregible</t>
        </is>
      </c>
      <c r="M95" s="29" t="n">
        <v>5.82313337540107</v>
      </c>
      <c r="N95" s="35" t="n">
        <v>65.10558478250184</v>
      </c>
      <c r="O95" s="36" t="n">
        <v>2235.311153553001</v>
      </c>
      <c r="P95" s="29" t="n">
        <v>2.037939890217037</v>
      </c>
      <c r="Q95" s="16" t="inlineStr">
        <is>
          <t>sí</t>
        </is>
      </c>
      <c r="R95" s="16" t="inlineStr">
        <is>
          <t>O2</t>
        </is>
      </c>
    </row>
    <row r="96">
      <c r="A96" s="16" t="inlineStr">
        <is>
          <t>KF-M04c-0093</t>
        </is>
      </c>
      <c r="B96" s="35" t="n">
        <v>418.288883707066</v>
      </c>
      <c r="C96" s="35" t="n">
        <v>291.6825127381579</v>
      </c>
      <c r="D96" s="36" t="n">
        <v>4090.06629179166</v>
      </c>
      <c r="E96" s="35" t="n">
        <v>1896.949983399701</v>
      </c>
      <c r="F96" s="37" t="n">
        <v>0.8033965985970096</v>
      </c>
      <c r="G96" s="37" t="n">
        <v>0.899192734756298</v>
      </c>
      <c r="H96" s="37" t="n">
        <v>0.8108220643115031</v>
      </c>
      <c r="I96" s="37" t="n">
        <v>0.6075282181735275</v>
      </c>
      <c r="J96" s="37" t="n">
        <v>0.7770185384876674</v>
      </c>
      <c r="K96" s="37" t="n">
        <v>0.828618824360946</v>
      </c>
      <c r="L96" s="42" t="inlineStr">
        <is>
          <t>KALINA</t>
        </is>
      </c>
      <c r="M96" s="29" t="n">
        <v>6.94659847577148</v>
      </c>
      <c r="N96" s="35" t="n">
        <v>46.77032804042424</v>
      </c>
      <c r="O96" s="36" t="n">
        <v>2193.116308391959</v>
      </c>
      <c r="P96" s="29" t="n">
        <v>2.156127640467078</v>
      </c>
      <c r="Q96" s="16" t="inlineStr">
        <is>
          <t>no</t>
        </is>
      </c>
      <c r="R96" s="16" t="n"/>
    </row>
    <row r="97">
      <c r="A97" s="16" t="inlineStr">
        <is>
          <t>KF-M04c-0094</t>
        </is>
      </c>
      <c r="B97" s="35" t="n">
        <v>430.2713469950795</v>
      </c>
      <c r="C97" s="35" t="n">
        <v>281.8103860601592</v>
      </c>
      <c r="D97" s="36" t="n">
        <v>4232.224697543899</v>
      </c>
      <c r="E97" s="35" t="n">
        <v>1958.97895330556</v>
      </c>
      <c r="F97" s="37" t="n">
        <v>0.5728211940906737</v>
      </c>
      <c r="G97" s="37" t="n">
        <v>0.7846377618726424</v>
      </c>
      <c r="H97" s="37" t="n">
        <v>0.7238903109673842</v>
      </c>
      <c r="I97" s="37" t="n">
        <v>0.6651269145004032</v>
      </c>
      <c r="J97" s="37" t="n">
        <v>0.8799850393772196</v>
      </c>
      <c r="K97" s="37" t="n">
        <v>0.7730867365041441</v>
      </c>
      <c r="L97" s="42" t="inlineStr">
        <is>
          <t>KALINA</t>
        </is>
      </c>
      <c r="M97" s="29" t="n">
        <v>4.63011450924004</v>
      </c>
      <c r="N97" s="35" t="n">
        <v>20.6995706477336</v>
      </c>
      <c r="O97" s="36" t="n">
        <v>2273.24574423834</v>
      </c>
      <c r="P97" s="29" t="n">
        <v>2.160423770966242</v>
      </c>
      <c r="Q97" s="16" t="inlineStr">
        <is>
          <t>no</t>
        </is>
      </c>
      <c r="R97" s="16" t="n"/>
    </row>
    <row r="98">
      <c r="A98" s="16" t="inlineStr">
        <is>
          <t>KF-M04c-0095</t>
        </is>
      </c>
      <c r="B98" s="35" t="n">
        <v>490.713404990708</v>
      </c>
      <c r="C98" s="35" t="n">
        <v>279.3023787545104</v>
      </c>
      <c r="D98" s="36" t="n">
        <v>4561.003173354306</v>
      </c>
      <c r="E98" s="35" t="n">
        <v>2000.448736805984</v>
      </c>
      <c r="F98" s="37" t="n">
        <v>0.5765463555320396</v>
      </c>
      <c r="G98" s="37" t="n">
        <v>0.7770247249745752</v>
      </c>
      <c r="H98" s="37" t="n">
        <v>0.69667146217291</v>
      </c>
      <c r="I98" s="37" t="n">
        <v>0.7734811985058485</v>
      </c>
      <c r="J98" s="37" t="n">
        <v>0.9058971148412882</v>
      </c>
      <c r="K98" s="37" t="n">
        <v>0.7211863925679393</v>
      </c>
      <c r="L98" s="39" t="inlineStr">
        <is>
          <t>Corregible</t>
        </is>
      </c>
      <c r="M98" s="29" t="n">
        <v>6.02754455810862</v>
      </c>
      <c r="N98" s="35" t="n">
        <v>81.80145663463773</v>
      </c>
      <c r="O98" s="36" t="n">
        <v>2560.554436548323</v>
      </c>
      <c r="P98" s="29" t="n">
        <v>2.279990028955519</v>
      </c>
      <c r="Q98" s="16" t="inlineStr">
        <is>
          <t>sí</t>
        </is>
      </c>
      <c r="R98" s="16" t="inlineStr">
        <is>
          <t>O2</t>
        </is>
      </c>
    </row>
    <row r="99">
      <c r="A99" s="16" t="inlineStr">
        <is>
          <t>KF-M04c-0096</t>
        </is>
      </c>
      <c r="B99" s="35" t="n">
        <v>484.8036275848132</v>
      </c>
      <c r="C99" s="35" t="n">
        <v>292.7237080642045</v>
      </c>
      <c r="D99" s="36" t="n">
        <v>2244.649248802665</v>
      </c>
      <c r="E99" s="35" t="n">
        <v>1858.653785047535</v>
      </c>
      <c r="F99" s="37" t="n">
        <v>0.656130497313</v>
      </c>
      <c r="G99" s="37" t="n">
        <v>0.8636751418141928</v>
      </c>
      <c r="H99" s="37" t="n">
        <v>0.7433780543804133</v>
      </c>
      <c r="I99" s="37" t="n">
        <v>0.8267541078137473</v>
      </c>
      <c r="J99" s="37" t="n">
        <v>0.8429813419713462</v>
      </c>
      <c r="K99" s="37" t="n">
        <v>0.7968420780903043</v>
      </c>
      <c r="L99" s="39" t="inlineStr">
        <is>
          <t>Corregible</t>
        </is>
      </c>
      <c r="M99" s="29" t="n">
        <v>1.55435789677948</v>
      </c>
      <c r="N99" s="35" t="n">
        <v>23.35255107641253</v>
      </c>
      <c r="O99" s="36" t="n">
        <v>385.9954637551298</v>
      </c>
      <c r="P99" s="29" t="n">
        <v>1.207674751941636</v>
      </c>
      <c r="Q99" s="16" t="inlineStr">
        <is>
          <t>sí</t>
        </is>
      </c>
      <c r="R99" s="16" t="inlineStr">
        <is>
          <t>O2</t>
        </is>
      </c>
    </row>
    <row r="100">
      <c r="A100" s="16" t="inlineStr">
        <is>
          <t>KF-M04c-0097</t>
        </is>
      </c>
      <c r="B100" s="35" t="n">
        <v>403.1226197178786</v>
      </c>
      <c r="C100" s="35" t="n">
        <v>302.0466431581543</v>
      </c>
      <c r="D100" s="36" t="n">
        <v>3790.927120985752</v>
      </c>
      <c r="E100" s="35" t="n">
        <v>1510.129263615873</v>
      </c>
      <c r="F100" s="37" t="n">
        <v>0.5978659651117778</v>
      </c>
      <c r="G100" s="37" t="n">
        <v>0.8399409212120397</v>
      </c>
      <c r="H100" s="37" t="n">
        <v>0.8404768587267322</v>
      </c>
      <c r="I100" s="37" t="n">
        <v>0.7299331571445686</v>
      </c>
      <c r="J100" s="37" t="n">
        <v>0.8299259654564446</v>
      </c>
      <c r="K100" s="37" t="n">
        <v>0.771483856307117</v>
      </c>
      <c r="L100" s="42" t="inlineStr">
        <is>
          <t>KALINA</t>
        </is>
      </c>
      <c r="M100" s="29" t="n">
        <v>5.82136941466585</v>
      </c>
      <c r="N100" s="35" t="n">
        <v>18.0832849893608</v>
      </c>
      <c r="O100" s="36" t="n">
        <v>2280.797857369879</v>
      </c>
      <c r="P100" s="29" t="n">
        <v>2.510332865087793</v>
      </c>
      <c r="Q100" s="16" t="inlineStr">
        <is>
          <t>no</t>
        </is>
      </c>
      <c r="R100" s="16" t="n"/>
    </row>
    <row r="101">
      <c r="A101" s="16" t="inlineStr">
        <is>
          <t>KF-M04c-0098</t>
        </is>
      </c>
      <c r="B101" s="35" t="n">
        <v>445.2542323682415</v>
      </c>
      <c r="C101" s="35" t="n">
        <v>301.9188031981053</v>
      </c>
      <c r="D101" s="36" t="n">
        <v>3821.846090088983</v>
      </c>
      <c r="E101" s="35" t="n">
        <v>1697.526761536378</v>
      </c>
      <c r="F101" s="37" t="n">
        <v>0.7004593579642621</v>
      </c>
      <c r="G101" s="37" t="n">
        <v>0.7560875735170113</v>
      </c>
      <c r="H101" s="37" t="n">
        <v>0.8229174091423759</v>
      </c>
      <c r="I101" s="37" t="n">
        <v>0.7587375472531057</v>
      </c>
      <c r="J101" s="37" t="n">
        <v>0.914519759320238</v>
      </c>
      <c r="K101" s="37" t="n">
        <v>0.7743559495083175</v>
      </c>
      <c r="L101" s="39" t="inlineStr">
        <is>
          <t>Corregible</t>
        </is>
      </c>
      <c r="M101" s="29" t="n">
        <v>6.466940395700729</v>
      </c>
      <c r="N101" s="35" t="n">
        <v>60.64368488914445</v>
      </c>
      <c r="O101" s="36" t="n">
        <v>2124.319328552606</v>
      </c>
      <c r="P101" s="29" t="n">
        <v>2.251420228939396</v>
      </c>
      <c r="Q101" s="16" t="inlineStr">
        <is>
          <t>sí</t>
        </is>
      </c>
      <c r="R101" s="16" t="inlineStr">
        <is>
          <t>O2</t>
        </is>
      </c>
    </row>
    <row r="102">
      <c r="A102" s="16" t="inlineStr">
        <is>
          <t>KF-M04c-0099</t>
        </is>
      </c>
      <c r="B102" s="35" t="n">
        <v>473.8881995625577</v>
      </c>
      <c r="C102" s="35" t="n">
        <v>287.7324022916976</v>
      </c>
      <c r="D102" s="36" t="n">
        <v>2666.699393134349</v>
      </c>
      <c r="E102" s="35" t="n">
        <v>1868.428760743241</v>
      </c>
      <c r="F102" s="37" t="n">
        <v>0.6172595278318367</v>
      </c>
      <c r="G102" s="37" t="n">
        <v>0.9139483021604116</v>
      </c>
      <c r="H102" s="37" t="n">
        <v>0.7281692323331421</v>
      </c>
      <c r="I102" s="37" t="n">
        <v>0.7774269348734053</v>
      </c>
      <c r="J102" s="37" t="n">
        <v>0.8700297449198111</v>
      </c>
      <c r="K102" s="37" t="n">
        <v>0.923029578019382</v>
      </c>
      <c r="L102" s="42" t="inlineStr">
        <is>
          <t>KALINA</t>
        </is>
      </c>
      <c r="M102" s="29" t="n">
        <v>2.97909263496988</v>
      </c>
      <c r="N102" s="35" t="n">
        <v>47.11304119901192</v>
      </c>
      <c r="O102" s="36" t="n">
        <v>798.2706323911077</v>
      </c>
      <c r="P102" s="29" t="n">
        <v>1.427241674482448</v>
      </c>
      <c r="Q102" s="16" t="inlineStr">
        <is>
          <t>sí</t>
        </is>
      </c>
      <c r="R102" s="16" t="n"/>
    </row>
    <row r="103">
      <c r="A103" s="16" t="inlineStr">
        <is>
          <t>KF-M04c-0100</t>
        </is>
      </c>
      <c r="B103" s="35" t="n">
        <v>383.0810779414031</v>
      </c>
      <c r="C103" s="35" t="n">
        <v>296.0734461701012</v>
      </c>
      <c r="D103" s="36" t="n">
        <v>4213.478197407408</v>
      </c>
      <c r="E103" s="35" t="n">
        <v>2292.551550175685</v>
      </c>
      <c r="F103" s="37" t="n">
        <v>0.7745939516432897</v>
      </c>
      <c r="G103" s="37" t="n">
        <v>0.8997182781187616</v>
      </c>
      <c r="H103" s="37" t="n">
        <v>0.7143525351996146</v>
      </c>
      <c r="I103" s="37" t="n">
        <v>0.6456040151668324</v>
      </c>
      <c r="J103" s="37" t="n">
        <v>0.8548738034886547</v>
      </c>
      <c r="K103" s="37" t="n">
        <v>0.8232065121412482</v>
      </c>
      <c r="L103" s="42" t="inlineStr">
        <is>
          <t>KALINA</t>
        </is>
      </c>
      <c r="M103" s="29" t="n">
        <v>4.29059302944928</v>
      </c>
      <c r="N103" s="35" t="n">
        <v>14.38848154891667</v>
      </c>
      <c r="O103" s="36" t="n">
        <v>1920.926647231722</v>
      </c>
      <c r="P103" s="29" t="n">
        <v>1.837898998207702</v>
      </c>
      <c r="Q103" s="16" t="inlineStr">
        <is>
          <t>no</t>
        </is>
      </c>
      <c r="R103" s="16" t="n"/>
    </row>
    <row r="104">
      <c r="A104" s="16" t="inlineStr">
        <is>
          <t>KF-M04c-0101</t>
        </is>
      </c>
      <c r="B104" s="35" t="n">
        <v>444.7769913723403</v>
      </c>
      <c r="C104" s="35" t="n">
        <v>295.7854198199432</v>
      </c>
      <c r="D104" s="36" t="n">
        <v>4455.198864586941</v>
      </c>
      <c r="E104" s="35" t="n">
        <v>1891.592787880841</v>
      </c>
      <c r="F104" s="37" t="n">
        <v>0.639449756286055</v>
      </c>
      <c r="G104" s="37" t="n">
        <v>0.893167367516027</v>
      </c>
      <c r="H104" s="37" t="n">
        <v>0.7742389847706324</v>
      </c>
      <c r="I104" s="37" t="n">
        <v>0.7939404003720458</v>
      </c>
      <c r="J104" s="37" t="n">
        <v>0.6441176691145605</v>
      </c>
      <c r="K104" s="37" t="n">
        <v>0.8045363428614924</v>
      </c>
      <c r="L104" s="42" t="inlineStr">
        <is>
          <t>KALINA</t>
        </is>
      </c>
      <c r="M104" s="29" t="n">
        <v>7.05615628947793</v>
      </c>
      <c r="N104" s="35" t="n">
        <v>59.295388590224</v>
      </c>
      <c r="O104" s="36" t="n">
        <v>2563.6060767061</v>
      </c>
      <c r="P104" s="29" t="n">
        <v>2.355263190434405</v>
      </c>
      <c r="Q104" s="16" t="inlineStr">
        <is>
          <t>sí</t>
        </is>
      </c>
      <c r="R104" s="16" t="n"/>
    </row>
    <row r="105">
      <c r="A105" s="16" t="inlineStr">
        <is>
          <t>KF-M04c-0102</t>
        </is>
      </c>
      <c r="B105" s="35" t="n">
        <v>467.8429557695865</v>
      </c>
      <c r="C105" s="35" t="n">
        <v>282.5096578718439</v>
      </c>
      <c r="D105" s="36" t="n">
        <v>2772.535400004202</v>
      </c>
      <c r="E105" s="35" t="n">
        <v>2078.849196353292</v>
      </c>
      <c r="F105" s="37" t="n">
        <v>0.6873036327458664</v>
      </c>
      <c r="G105" s="37" t="n">
        <v>0.8182846867150181</v>
      </c>
      <c r="H105" s="37" t="n">
        <v>0.8707828336231667</v>
      </c>
      <c r="I105" s="37" t="n">
        <v>0.9088629157117796</v>
      </c>
      <c r="J105" s="37" t="n">
        <v>0.8135245862582041</v>
      </c>
      <c r="K105" s="37" t="n">
        <v>0.926044119852074</v>
      </c>
      <c r="L105" s="42" t="inlineStr">
        <is>
          <t>KALINA</t>
        </is>
      </c>
      <c r="M105" s="29" t="n">
        <v>2.21810565298135</v>
      </c>
      <c r="N105" s="35" t="n">
        <v>40.27434259426044</v>
      </c>
      <c r="O105" s="36" t="n">
        <v>693.6862036509092</v>
      </c>
      <c r="P105" s="29" t="n">
        <v>1.333687602192487</v>
      </c>
      <c r="Q105" s="16" t="inlineStr">
        <is>
          <t>sí</t>
        </is>
      </c>
      <c r="R105" s="16" t="n"/>
    </row>
    <row r="106">
      <c r="A106" s="16" t="inlineStr">
        <is>
          <t>KF-M04c-0103</t>
        </is>
      </c>
      <c r="B106" s="35" t="n">
        <v>386.2354509894676</v>
      </c>
      <c r="C106" s="35" t="n">
        <v>300.5057608379353</v>
      </c>
      <c r="D106" s="36" t="n">
        <v>4140.245017775569</v>
      </c>
      <c r="E106" s="35" t="n">
        <v>1838.423774081167</v>
      </c>
      <c r="F106" s="37" t="n">
        <v>0.5576920268808225</v>
      </c>
      <c r="G106" s="37" t="n">
        <v>0.8561544477196277</v>
      </c>
      <c r="H106" s="37" t="n">
        <v>0.8889527463311815</v>
      </c>
      <c r="I106" s="37" t="n">
        <v>0.7253940594984123</v>
      </c>
      <c r="J106" s="37" t="n">
        <v>0.7610193438904758</v>
      </c>
      <c r="K106" s="37" t="n">
        <v>0.8243203588857394</v>
      </c>
      <c r="L106" s="38" t="inlineStr">
        <is>
          <t>Falso convergido</t>
        </is>
      </c>
      <c r="M106" s="29" t="inlineStr">
        <is>
          <t>—</t>
        </is>
      </c>
      <c r="N106" s="35" t="inlineStr">
        <is>
          <t>—</t>
        </is>
      </c>
      <c r="O106" s="36" t="n">
        <v>2301.821243694402</v>
      </c>
      <c r="P106" s="29" t="n">
        <v>2.252062378732476</v>
      </c>
      <c r="Q106" s="16" t="inlineStr">
        <is>
          <t>no</t>
        </is>
      </c>
      <c r="R106" s="16" t="inlineStr">
        <is>
          <t>N2,S6,O3,O5,C1,C3,C3</t>
        </is>
      </c>
    </row>
    <row r="107">
      <c r="A107" s="16" t="inlineStr">
        <is>
          <t>KF-M04c-0104</t>
        </is>
      </c>
      <c r="B107" s="35" t="n">
        <v>447.2181506221542</v>
      </c>
      <c r="C107" s="35" t="n">
        <v>285.6442961660208</v>
      </c>
      <c r="D107" s="36" t="n">
        <v>3304.55859925308</v>
      </c>
      <c r="E107" s="35" t="n">
        <v>1902.764174137651</v>
      </c>
      <c r="F107" s="37" t="n">
        <v>0.6759270598605149</v>
      </c>
      <c r="G107" s="37" t="n">
        <v>0.8290046329853098</v>
      </c>
      <c r="H107" s="37" t="n">
        <v>0.6564387882294032</v>
      </c>
      <c r="I107" s="37" t="n">
        <v>0.600893267934215</v>
      </c>
      <c r="J107" s="37" t="n">
        <v>0.7843794930434345</v>
      </c>
      <c r="K107" s="37" t="n">
        <v>0.7097454894462264</v>
      </c>
      <c r="L107" s="39" t="inlineStr">
        <is>
          <t>Corregible</t>
        </is>
      </c>
      <c r="M107" s="29" t="n">
        <v>4.80383447965652</v>
      </c>
      <c r="N107" s="35" t="n">
        <v>39.93430224018586</v>
      </c>
      <c r="O107" s="36" t="n">
        <v>1401.794425115429</v>
      </c>
      <c r="P107" s="29" t="n">
        <v>1.736714745930475</v>
      </c>
      <c r="Q107" s="16" t="inlineStr">
        <is>
          <t>no</t>
        </is>
      </c>
      <c r="R107" s="16" t="inlineStr">
        <is>
          <t>O2</t>
        </is>
      </c>
    </row>
    <row r="108">
      <c r="A108" s="16" t="inlineStr">
        <is>
          <t>KF-M04c-0105</t>
        </is>
      </c>
      <c r="B108" s="35" t="n">
        <v>425.2057876071221</v>
      </c>
      <c r="C108" s="35" t="n">
        <v>298.0233209264949</v>
      </c>
      <c r="D108" s="36" t="n">
        <v>2599.301246246027</v>
      </c>
      <c r="E108" s="35" t="n">
        <v>1815.583967107892</v>
      </c>
      <c r="F108" s="37" t="n">
        <v>0.5945011184401406</v>
      </c>
      <c r="G108" s="37" t="n">
        <v>0.7989699943617775</v>
      </c>
      <c r="H108" s="37" t="n">
        <v>0.6935506644247217</v>
      </c>
      <c r="I108" s="37" t="n">
        <v>0.941210816397684</v>
      </c>
      <c r="J108" s="37" t="n">
        <v>0.7484299443831749</v>
      </c>
      <c r="K108" s="37" t="n">
        <v>0.7796104271313671</v>
      </c>
      <c r="L108" s="39" t="inlineStr">
        <is>
          <t>Corregible</t>
        </is>
      </c>
      <c r="M108" s="29" t="n">
        <v>2.90241425803649</v>
      </c>
      <c r="N108" s="35" t="n">
        <v>26.15044890177325</v>
      </c>
      <c r="O108" s="36" t="n">
        <v>783.7172791381354</v>
      </c>
      <c r="P108" s="29" t="n">
        <v>1.431661268956096</v>
      </c>
      <c r="Q108" s="16" t="inlineStr">
        <is>
          <t>sí</t>
        </is>
      </c>
      <c r="R108" s="16" t="inlineStr">
        <is>
          <t>O2</t>
        </is>
      </c>
    </row>
    <row r="109">
      <c r="A109" s="16" t="inlineStr">
        <is>
          <t>KF-M04c-0106</t>
        </is>
      </c>
      <c r="B109" s="35" t="n">
        <v>497.3377766817414</v>
      </c>
      <c r="C109" s="35" t="n">
        <v>285.8170599457495</v>
      </c>
      <c r="D109" s="36" t="n">
        <v>2522.37956913247</v>
      </c>
      <c r="E109" s="35" t="n">
        <v>1998.435127826524</v>
      </c>
      <c r="F109" s="37" t="n">
        <v>0.7996384958200612</v>
      </c>
      <c r="G109" s="37" t="n">
        <v>0.8205507223593058</v>
      </c>
      <c r="H109" s="37" t="n">
        <v>0.8802142733938935</v>
      </c>
      <c r="I109" s="37" t="n">
        <v>0.8028359802349506</v>
      </c>
      <c r="J109" s="37" t="n">
        <v>0.674245661852636</v>
      </c>
      <c r="K109" s="37" t="n">
        <v>0.7473050939722984</v>
      </c>
      <c r="L109" s="32" t="inlineStr">
        <is>
          <t>No convergió</t>
        </is>
      </c>
      <c r="M109" s="29" t="inlineStr">
        <is>
          <t>—</t>
        </is>
      </c>
      <c r="N109" s="35" t="inlineStr">
        <is>
          <t>—</t>
        </is>
      </c>
      <c r="O109" s="36" t="n">
        <v>523.9444413059464</v>
      </c>
      <c r="P109" s="29" t="n">
        <v>1.262177357678747</v>
      </c>
      <c r="Q109" s="16" t="inlineStr">
        <is>
          <t>no</t>
        </is>
      </c>
      <c r="R109" s="16" t="n"/>
    </row>
    <row r="110">
      <c r="A110" s="16" t="inlineStr">
        <is>
          <t>KF-M04c-0107</t>
        </is>
      </c>
      <c r="B110" s="35" t="n">
        <v>456.2236654330911</v>
      </c>
      <c r="C110" s="35" t="n">
        <v>285.0187590245189</v>
      </c>
      <c r="D110" s="36" t="n">
        <v>4171.579111762625</v>
      </c>
      <c r="E110" s="35" t="n">
        <v>1724.248185514237</v>
      </c>
      <c r="F110" s="37" t="n">
        <v>0.7579551084241827</v>
      </c>
      <c r="G110" s="37" t="n">
        <v>0.8865843802214547</v>
      </c>
      <c r="H110" s="37" t="n">
        <v>0.7415101101561493</v>
      </c>
      <c r="I110" s="37" t="n">
        <v>0.8228012946879019</v>
      </c>
      <c r="J110" s="37" t="n">
        <v>0.7213770560451034</v>
      </c>
      <c r="K110" s="37" t="n">
        <v>0.8324064439359533</v>
      </c>
      <c r="L110" s="39" t="inlineStr">
        <is>
          <t>Corregible</t>
        </is>
      </c>
      <c r="M110" s="29" t="n">
        <v>8.13071692173572</v>
      </c>
      <c r="N110" s="35" t="n">
        <v>110.653631271087</v>
      </c>
      <c r="O110" s="36" t="n">
        <v>2447.330926248388</v>
      </c>
      <c r="P110" s="29" t="n">
        <v>2.419361172486025</v>
      </c>
      <c r="Q110" s="16" t="inlineStr">
        <is>
          <t>sí</t>
        </is>
      </c>
      <c r="R110" s="16" t="inlineStr">
        <is>
          <t>O2</t>
        </is>
      </c>
    </row>
    <row r="111">
      <c r="A111" s="16" t="inlineStr">
        <is>
          <t>KF-M04c-0108</t>
        </is>
      </c>
      <c r="B111" s="35" t="n">
        <v>426.403249255157</v>
      </c>
      <c r="C111" s="35" t="n">
        <v>289.7628411462837</v>
      </c>
      <c r="D111" s="36" t="n">
        <v>4732.003232860974</v>
      </c>
      <c r="E111" s="35" t="n">
        <v>1880.590776819677</v>
      </c>
      <c r="F111" s="37" t="n">
        <v>0.8340623068450387</v>
      </c>
      <c r="G111" s="37" t="n">
        <v>0.7510274163891214</v>
      </c>
      <c r="H111" s="37" t="n">
        <v>0.8010870904718862</v>
      </c>
      <c r="I111" s="37" t="n">
        <v>0.8261758703068207</v>
      </c>
      <c r="J111" s="37" t="n">
        <v>0.7448325668662303</v>
      </c>
      <c r="K111" s="37" t="n">
        <v>0.8387845604370419</v>
      </c>
      <c r="L111" s="42" t="inlineStr">
        <is>
          <t>KALINA</t>
        </is>
      </c>
      <c r="M111" s="29" t="n">
        <v>7.38199488575554</v>
      </c>
      <c r="N111" s="35" t="n">
        <v>72.76229134634647</v>
      </c>
      <c r="O111" s="36" t="n">
        <v>2851.412456041297</v>
      </c>
      <c r="P111" s="29" t="n">
        <v>2.516232287847016</v>
      </c>
      <c r="Q111" s="16" t="inlineStr">
        <is>
          <t>no</t>
        </is>
      </c>
      <c r="R111" s="16" t="n"/>
    </row>
    <row r="112">
      <c r="A112" s="16" t="inlineStr">
        <is>
          <t>KF-M04c-0109</t>
        </is>
      </c>
      <c r="B112" s="35" t="n">
        <v>477.940405859902</v>
      </c>
      <c r="C112" s="35" t="n">
        <v>300.2392682491917</v>
      </c>
      <c r="D112" s="36" t="n">
        <v>4964.802176677782</v>
      </c>
      <c r="E112" s="35" t="n">
        <v>1612.743564276018</v>
      </c>
      <c r="F112" s="37" t="n">
        <v>0.6034248367617476</v>
      </c>
      <c r="G112" s="37" t="n">
        <v>0.8672864297904259</v>
      </c>
      <c r="H112" s="37" t="n">
        <v>0.8908587538954446</v>
      </c>
      <c r="I112" s="37" t="n">
        <v>0.6526153699231122</v>
      </c>
      <c r="J112" s="37" t="n">
        <v>0.6627453213004043</v>
      </c>
      <c r="K112" s="37" t="n">
        <v>0.8135940461786035</v>
      </c>
      <c r="L112" s="39" t="inlineStr">
        <is>
          <t>Corregible</t>
        </is>
      </c>
      <c r="M112" s="29" t="n">
        <v>8.954743190209941</v>
      </c>
      <c r="N112" s="35" t="n">
        <v>92.10155139544165</v>
      </c>
      <c r="O112" s="36" t="n">
        <v>3352.058612401765</v>
      </c>
      <c r="P112" s="29" t="n">
        <v>3.0784820889405</v>
      </c>
      <c r="Q112" s="16" t="inlineStr">
        <is>
          <t>sí</t>
        </is>
      </c>
      <c r="R112" s="16" t="inlineStr">
        <is>
          <t>O2</t>
        </is>
      </c>
    </row>
    <row r="113">
      <c r="A113" s="16" t="inlineStr">
        <is>
          <t>KF-M04c-0112</t>
        </is>
      </c>
      <c r="B113" s="35" t="n">
        <v>475.3853402585461</v>
      </c>
      <c r="C113" s="35" t="n">
        <v>295.7295162755792</v>
      </c>
      <c r="D113" s="36" t="n">
        <v>3916.570364123456</v>
      </c>
      <c r="E113" s="35" t="n">
        <v>1766.927029301462</v>
      </c>
      <c r="F113" s="37" t="n">
        <v>0.5369096601674219</v>
      </c>
      <c r="G113" s="37" t="n">
        <v>0.8631349768997225</v>
      </c>
      <c r="H113" s="37" t="n">
        <v>0.7120817441674864</v>
      </c>
      <c r="I113" s="37" t="n">
        <v>0.8555170960041451</v>
      </c>
      <c r="J113" s="37" t="n">
        <v>0.8030679909656422</v>
      </c>
      <c r="K113" s="37" t="n">
        <v>0.7836488438259511</v>
      </c>
      <c r="L113" s="39" t="inlineStr">
        <is>
          <t>Corregible</t>
        </is>
      </c>
      <c r="M113" s="29" t="n">
        <v>6.45744078579099</v>
      </c>
      <c r="N113" s="35" t="n">
        <v>89.12845350065321</v>
      </c>
      <c r="O113" s="36" t="n">
        <v>2149.643334821993</v>
      </c>
      <c r="P113" s="29" t="n">
        <v>2.216599949615256</v>
      </c>
      <c r="Q113" s="16" t="inlineStr">
        <is>
          <t>sí</t>
        </is>
      </c>
      <c r="R113" s="16" t="inlineStr">
        <is>
          <t>O2</t>
        </is>
      </c>
    </row>
    <row r="114">
      <c r="A114" s="16" t="inlineStr">
        <is>
          <t>KF-M04c-0113</t>
        </is>
      </c>
      <c r="B114" s="35" t="n">
        <v>428.4609769894058</v>
      </c>
      <c r="C114" s="35" t="n">
        <v>298.906664430057</v>
      </c>
      <c r="D114" s="36" t="n">
        <v>2637.605553332168</v>
      </c>
      <c r="E114" s="35" t="n">
        <v>2089.469061034356</v>
      </c>
      <c r="F114" s="37" t="n">
        <v>0.7247118271831194</v>
      </c>
      <c r="G114" s="37" t="n">
        <v>0.9166324634101806</v>
      </c>
      <c r="H114" s="37" t="n">
        <v>0.8751105848389834</v>
      </c>
      <c r="I114" s="37" t="n">
        <v>0.7544855906488038</v>
      </c>
      <c r="J114" s="37" t="n">
        <v>0.8375789019793198</v>
      </c>
      <c r="K114" s="37" t="n">
        <v>0.9442655911748123</v>
      </c>
      <c r="L114" s="42" t="inlineStr">
        <is>
          <t>KALINA</t>
        </is>
      </c>
      <c r="M114" s="29" t="n">
        <v>2.20815726674136</v>
      </c>
      <c r="N114" s="35" t="n">
        <v>23.75764595840117</v>
      </c>
      <c r="O114" s="36" t="n">
        <v>548.1364922978123</v>
      </c>
      <c r="P114" s="29" t="n">
        <v>1.262332906727256</v>
      </c>
      <c r="Q114" s="16" t="inlineStr">
        <is>
          <t>no</t>
        </is>
      </c>
      <c r="R114" s="16" t="n"/>
    </row>
    <row r="115">
      <c r="A115" s="16" t="inlineStr">
        <is>
          <t>KF-M04c-0114</t>
        </is>
      </c>
      <c r="B115" s="35" t="n">
        <v>439.8443512372285</v>
      </c>
      <c r="C115" s="35" t="n">
        <v>298.3630328264353</v>
      </c>
      <c r="D115" s="36" t="n">
        <v>4599.039060815708</v>
      </c>
      <c r="E115" s="35" t="n">
        <v>1703.122741457417</v>
      </c>
      <c r="F115" s="37" t="n">
        <v>0.6564733583304483</v>
      </c>
      <c r="G115" s="37" t="n">
        <v>0.8333871361986458</v>
      </c>
      <c r="H115" s="37" t="n">
        <v>0.7771818164938625</v>
      </c>
      <c r="I115" s="37" t="n">
        <v>0.90481712185567</v>
      </c>
      <c r="J115" s="37" t="n">
        <v>0.6362626713192144</v>
      </c>
      <c r="K115" s="37" t="n">
        <v>0.8608933121384432</v>
      </c>
      <c r="L115" s="42" t="inlineStr">
        <is>
          <t>KALINA</t>
        </is>
      </c>
      <c r="M115" s="29" t="n">
        <v>7.48111568256559</v>
      </c>
      <c r="N115" s="35" t="n">
        <v>69.44418497324278</v>
      </c>
      <c r="O115" s="36" t="n">
        <v>2895.916319358291</v>
      </c>
      <c r="P115" s="29" t="n">
        <v>2.700356791008593</v>
      </c>
      <c r="Q115" s="16" t="inlineStr">
        <is>
          <t>sí</t>
        </is>
      </c>
      <c r="R115" s="16" t="n"/>
    </row>
    <row r="116">
      <c r="A116" s="16" t="inlineStr">
        <is>
          <t>KF-M04c-0115</t>
        </is>
      </c>
      <c r="B116" s="35" t="n">
        <v>389.4726528778281</v>
      </c>
      <c r="C116" s="35" t="n">
        <v>282.7915908046291</v>
      </c>
      <c r="D116" s="36" t="n">
        <v>3688.995046670389</v>
      </c>
      <c r="E116" s="35" t="n">
        <v>1759.82994292785</v>
      </c>
      <c r="F116" s="37" t="n">
        <v>0.6806267211034562</v>
      </c>
      <c r="G116" s="37" t="n">
        <v>0.8028305958321771</v>
      </c>
      <c r="H116" s="37" t="n">
        <v>0.7672292823057011</v>
      </c>
      <c r="I116" s="37" t="n">
        <v>0.9296130709004607</v>
      </c>
      <c r="J116" s="37" t="n">
        <v>0.7875748952435671</v>
      </c>
      <c r="K116" s="37" t="n">
        <v>0.7238817776688696</v>
      </c>
      <c r="L116" s="42" t="inlineStr">
        <is>
          <t>KALINA</t>
        </is>
      </c>
      <c r="M116" s="29" t="n">
        <v>5.10894985846126</v>
      </c>
      <c r="N116" s="35" t="n">
        <v>23.15507851786789</v>
      </c>
      <c r="O116" s="36" t="n">
        <v>1929.165103742539</v>
      </c>
      <c r="P116" s="29" t="n">
        <v>2.096222456888627</v>
      </c>
      <c r="Q116" s="16" t="inlineStr">
        <is>
          <t>no</t>
        </is>
      </c>
      <c r="R116" s="16" t="n"/>
    </row>
    <row r="117">
      <c r="A117" s="16" t="inlineStr">
        <is>
          <t>KF-M04c-0116</t>
        </is>
      </c>
      <c r="B117" s="35" t="n">
        <v>453.8410303888576</v>
      </c>
      <c r="C117" s="35" t="n">
        <v>295.2867788203537</v>
      </c>
      <c r="D117" s="36" t="n">
        <v>4529.324632897753</v>
      </c>
      <c r="E117" s="35" t="n">
        <v>2427.598344614476</v>
      </c>
      <c r="F117" s="37" t="n">
        <v>0.51006437704332</v>
      </c>
      <c r="G117" s="37" t="n">
        <v>0.9049807366179676</v>
      </c>
      <c r="H117" s="37" t="n">
        <v>0.8150187665403663</v>
      </c>
      <c r="I117" s="37" t="n">
        <v>0.747092491458637</v>
      </c>
      <c r="J117" s="37" t="n">
        <v>0.7082500236493749</v>
      </c>
      <c r="K117" s="37" t="n">
        <v>0.8870302760122257</v>
      </c>
      <c r="L117" s="42" t="inlineStr">
        <is>
          <t>KALINA</t>
        </is>
      </c>
      <c r="M117" s="29" t="n">
        <v>3.99630948267868</v>
      </c>
      <c r="N117" s="35" t="n">
        <v>26.7749316590564</v>
      </c>
      <c r="O117" s="36" t="n">
        <v>2101.726288283277</v>
      </c>
      <c r="P117" s="29" t="n">
        <v>1.865763602511044</v>
      </c>
      <c r="Q117" s="16" t="inlineStr">
        <is>
          <t>sí</t>
        </is>
      </c>
      <c r="R117" s="16" t="n"/>
    </row>
    <row r="118">
      <c r="A118" s="16" t="inlineStr">
        <is>
          <t>KF-M04c-0117</t>
        </is>
      </c>
      <c r="B118" s="35" t="n">
        <v>469.2433123560377</v>
      </c>
      <c r="C118" s="35" t="n">
        <v>283.1031650192095</v>
      </c>
      <c r="D118" s="36" t="n">
        <v>3378.998306225895</v>
      </c>
      <c r="E118" s="35" t="n">
        <v>1820.422209452838</v>
      </c>
      <c r="F118" s="37" t="n">
        <v>0.6647634182347203</v>
      </c>
      <c r="G118" s="37" t="n">
        <v>0.7788775280504222</v>
      </c>
      <c r="H118" s="37" t="n">
        <v>0.7177305505306321</v>
      </c>
      <c r="I118" s="37" t="n">
        <v>0.8498567087842104</v>
      </c>
      <c r="J118" s="37" t="n">
        <v>0.8420715084766266</v>
      </c>
      <c r="K118" s="37" t="n">
        <v>0.9124159792347682</v>
      </c>
      <c r="L118" s="42" t="inlineStr">
        <is>
          <t>KALINA</t>
        </is>
      </c>
      <c r="M118" s="29" t="n">
        <v>4.42257712145642</v>
      </c>
      <c r="N118" s="35" t="n">
        <v>73.57177372297087</v>
      </c>
      <c r="O118" s="36" t="n">
        <v>1558.576096773056</v>
      </c>
      <c r="P118" s="29" t="n">
        <v>1.856161877546811</v>
      </c>
      <c r="Q118" s="16" t="inlineStr">
        <is>
          <t>sí</t>
        </is>
      </c>
      <c r="R118" s="16" t="n"/>
    </row>
    <row r="119">
      <c r="A119" s="16" t="inlineStr">
        <is>
          <t>KF-M04c-0118</t>
        </is>
      </c>
      <c r="B119" s="35" t="n">
        <v>437.1011115929256</v>
      </c>
      <c r="C119" s="35" t="n">
        <v>288.7961165611783</v>
      </c>
      <c r="D119" s="36" t="n">
        <v>2504.20600520682</v>
      </c>
      <c r="E119" s="35" t="n">
        <v>1516.8554419862</v>
      </c>
      <c r="F119" s="37" t="n">
        <v>0.8105604852945134</v>
      </c>
      <c r="G119" s="37" t="n">
        <v>0.8745257278501134</v>
      </c>
      <c r="H119" s="37" t="n">
        <v>0.66671377233572</v>
      </c>
      <c r="I119" s="37" t="n">
        <v>0.7062809112520162</v>
      </c>
      <c r="J119" s="37" t="n">
        <v>0.8734778072530341</v>
      </c>
      <c r="K119" s="37" t="n">
        <v>0.7369397573470813</v>
      </c>
      <c r="L119" s="39" t="inlineStr">
        <is>
          <t>Corregible</t>
        </is>
      </c>
      <c r="M119" s="29" t="n">
        <v>4.40464019360984</v>
      </c>
      <c r="N119" s="35" t="n">
        <v>45.28198071786425</v>
      </c>
      <c r="O119" s="36" t="n">
        <v>987.35056322062</v>
      </c>
      <c r="P119" s="29" t="n">
        <v>1.650919353216523</v>
      </c>
      <c r="Q119" s="16" t="inlineStr">
        <is>
          <t>no</t>
        </is>
      </c>
      <c r="R119" s="16" t="inlineStr">
        <is>
          <t>O2</t>
        </is>
      </c>
    </row>
    <row r="120">
      <c r="A120" s="16" t="inlineStr">
        <is>
          <t>KF-M04c-0119</t>
        </is>
      </c>
      <c r="B120" s="35" t="n">
        <v>488.9950457035968</v>
      </c>
      <c r="C120" s="35" t="n">
        <v>296.7996689392726</v>
      </c>
      <c r="D120" s="36" t="n">
        <v>4788.9458567562</v>
      </c>
      <c r="E120" s="35" t="n">
        <v>2085.816368103596</v>
      </c>
      <c r="F120" s="37" t="n">
        <v>0.778912235138172</v>
      </c>
      <c r="G120" s="37" t="n">
        <v>0.8499813868207011</v>
      </c>
      <c r="H120" s="37" t="n">
        <v>0.7010299996880803</v>
      </c>
      <c r="I120" s="37" t="n">
        <v>0.6440507378657105</v>
      </c>
      <c r="J120" s="37" t="n">
        <v>0.7596117078785425</v>
      </c>
      <c r="K120" s="37" t="n">
        <v>0.8924571036715316</v>
      </c>
      <c r="L120" s="42" t="inlineStr">
        <is>
          <t>KALINA</t>
        </is>
      </c>
      <c r="M120" s="29" t="n">
        <v>7.180127207042419</v>
      </c>
      <c r="N120" s="35" t="n">
        <v>80.19282864294613</v>
      </c>
      <c r="O120" s="36" t="n">
        <v>2703.129488652604</v>
      </c>
      <c r="P120" s="29" t="n">
        <v>2.295957558867113</v>
      </c>
      <c r="Q120" s="16" t="inlineStr">
        <is>
          <t>sí</t>
        </is>
      </c>
      <c r="R120" s="16" t="n"/>
    </row>
    <row r="121">
      <c r="A121" s="16" t="inlineStr">
        <is>
          <t>KF-M04c-0120</t>
        </is>
      </c>
      <c r="B121" s="35" t="n">
        <v>393.9079519275077</v>
      </c>
      <c r="C121" s="35" t="n">
        <v>282.667280839492</v>
      </c>
      <c r="D121" s="36" t="n">
        <v>3457.281165262054</v>
      </c>
      <c r="E121" s="35" t="n">
        <v>1674.804937669859</v>
      </c>
      <c r="F121" s="37" t="n">
        <v>0.5084501152834879</v>
      </c>
      <c r="G121" s="37" t="n">
        <v>0.8433982428794251</v>
      </c>
      <c r="H121" s="37" t="n">
        <v>0.6525443973962468</v>
      </c>
      <c r="I121" s="37" t="n">
        <v>0.8300109120630061</v>
      </c>
      <c r="J121" s="37" t="n">
        <v>0.7358854221522789</v>
      </c>
      <c r="K121" s="37" t="n">
        <v>0.7447470363668912</v>
      </c>
      <c r="L121" s="40" t="inlineStr">
        <is>
          <t>Inviable</t>
        </is>
      </c>
      <c r="M121" s="29" t="n">
        <v>-2.01476039779747</v>
      </c>
      <c r="N121" s="35" t="n">
        <v>-2.727004776922462</v>
      </c>
      <c r="O121" s="36" t="n">
        <v>1782.476227592195</v>
      </c>
      <c r="P121" s="29" t="n">
        <v>2.064288853884165</v>
      </c>
      <c r="Q121" s="16" t="inlineStr">
        <is>
          <t>no</t>
        </is>
      </c>
      <c r="R121" s="16" t="inlineStr">
        <is>
          <t>O3</t>
        </is>
      </c>
    </row>
    <row r="122">
      <c r="A122" s="16" t="inlineStr">
        <is>
          <t>KF-M04c-0121</t>
        </is>
      </c>
      <c r="B122" s="35" t="n">
        <v>384.0225726716305</v>
      </c>
      <c r="C122" s="35" t="n">
        <v>291.5158775534903</v>
      </c>
      <c r="D122" s="36" t="n">
        <v>3175.598436877513</v>
      </c>
      <c r="E122" s="35" t="n">
        <v>2207.541902417778</v>
      </c>
      <c r="F122" s="37" t="n">
        <v>0.6067173788011608</v>
      </c>
      <c r="G122" s="37" t="n">
        <v>0.7707265349688178</v>
      </c>
      <c r="H122" s="37" t="n">
        <v>0.77967471991688</v>
      </c>
      <c r="I122" s="37" t="n">
        <v>0.8166331180082168</v>
      </c>
      <c r="J122" s="37" t="n">
        <v>0.658274167476795</v>
      </c>
      <c r="K122" s="37" t="n">
        <v>0.9076542537762076</v>
      </c>
      <c r="L122" s="42" t="inlineStr">
        <is>
          <t>KALINA</t>
        </is>
      </c>
      <c r="M122" s="29" t="n">
        <v>1.31659338744653</v>
      </c>
      <c r="N122" s="35" t="n">
        <v>4.132516669573511</v>
      </c>
      <c r="O122" s="36" t="n">
        <v>968.0565344597348</v>
      </c>
      <c r="P122" s="29" t="n">
        <v>1.438522382474138</v>
      </c>
      <c r="Q122" s="16" t="inlineStr">
        <is>
          <t>no</t>
        </is>
      </c>
      <c r="R122" s="16" t="n"/>
    </row>
    <row r="123">
      <c r="A123" s="16" t="inlineStr">
        <is>
          <t>KF-M04c-0122</t>
        </is>
      </c>
      <c r="B123" s="35" t="n">
        <v>438.8609413995403</v>
      </c>
      <c r="C123" s="35" t="n">
        <v>300.9173659070056</v>
      </c>
      <c r="D123" s="36" t="n">
        <v>3672.822823413653</v>
      </c>
      <c r="E123" s="35" t="n">
        <v>2223.27228947055</v>
      </c>
      <c r="F123" s="37" t="n">
        <v>0.8187281833155606</v>
      </c>
      <c r="G123" s="37" t="n">
        <v>0.9106027811074182</v>
      </c>
      <c r="H123" s="37" t="n">
        <v>0.8034799639286001</v>
      </c>
      <c r="I123" s="37" t="n">
        <v>0.8384926554507581</v>
      </c>
      <c r="J123" s="37" t="n">
        <v>0.639470389243202</v>
      </c>
      <c r="K123" s="37" t="n">
        <v>0.7569703732973773</v>
      </c>
      <c r="L123" s="32" t="inlineStr">
        <is>
          <t>No convergió</t>
        </is>
      </c>
      <c r="M123" s="29" t="inlineStr">
        <is>
          <t>—</t>
        </is>
      </c>
      <c r="N123" s="35" t="inlineStr">
        <is>
          <t>—</t>
        </is>
      </c>
      <c r="O123" s="36" t="n">
        <v>1449.550533943103</v>
      </c>
      <c r="P123" s="29" t="n">
        <v>1.651989655431858</v>
      </c>
      <c r="Q123" s="16" t="inlineStr">
        <is>
          <t>no</t>
        </is>
      </c>
      <c r="R123" s="16" t="n"/>
    </row>
    <row r="124">
      <c r="A124" s="16" t="inlineStr">
        <is>
          <t>KF-M04c-0123</t>
        </is>
      </c>
      <c r="B124" s="35" t="n">
        <v>415.0911247694747</v>
      </c>
      <c r="C124" s="35" t="n">
        <v>296.2533166143571</v>
      </c>
      <c r="D124" s="36" t="n">
        <v>3329.752968968047</v>
      </c>
      <c r="E124" s="35" t="n">
        <v>1799.262434793567</v>
      </c>
      <c r="F124" s="37" t="n">
        <v>0.7541732875852185</v>
      </c>
      <c r="G124" s="37" t="n">
        <v>0.8450480011396492</v>
      </c>
      <c r="H124" s="37" t="n">
        <v>0.8277500631645015</v>
      </c>
      <c r="I124" s="37" t="n">
        <v>0.782378703898617</v>
      </c>
      <c r="J124" s="37" t="n">
        <v>0.7316561263298952</v>
      </c>
      <c r="K124" s="37" t="n">
        <v>0.7042608888511813</v>
      </c>
      <c r="L124" s="39" t="inlineStr">
        <is>
          <t>Corregible</t>
        </is>
      </c>
      <c r="M124" s="29" t="n">
        <v>5.57262146003156</v>
      </c>
      <c r="N124" s="35" t="n">
        <v>41.59316388680558</v>
      </c>
      <c r="O124" s="36" t="n">
        <v>1530.49053417448</v>
      </c>
      <c r="P124" s="29" t="n">
        <v>1.850621068154561</v>
      </c>
      <c r="Q124" s="16" t="inlineStr">
        <is>
          <t>no</t>
        </is>
      </c>
      <c r="R124" s="16" t="inlineStr">
        <is>
          <t>O2</t>
        </is>
      </c>
    </row>
    <row r="125">
      <c r="A125" s="16" t="inlineStr">
        <is>
          <t>KF-M04c-0126</t>
        </is>
      </c>
      <c r="B125" s="35" t="n">
        <v>433.9152470168509</v>
      </c>
      <c r="C125" s="35" t="n">
        <v>303.2260652882305</v>
      </c>
      <c r="D125" s="36" t="n">
        <v>3976.145295895554</v>
      </c>
      <c r="E125" s="35" t="n">
        <v>1935.407812669293</v>
      </c>
      <c r="F125" s="37" t="n">
        <v>0.8079021923220993</v>
      </c>
      <c r="G125" s="37" t="n">
        <v>0.887219501735528</v>
      </c>
      <c r="H125" s="37" t="n">
        <v>0.895846386449431</v>
      </c>
      <c r="I125" s="37" t="n">
        <v>0.634183269462758</v>
      </c>
      <c r="J125" s="37" t="n">
        <v>0.6129781325624893</v>
      </c>
      <c r="K125" s="37" t="n">
        <v>0.8933941276829482</v>
      </c>
      <c r="L125" s="42" t="inlineStr">
        <is>
          <t>KALINA</t>
        </is>
      </c>
      <c r="M125" s="29" t="n">
        <v>6.706944867220151</v>
      </c>
      <c r="N125" s="35" t="n">
        <v>58.53490563791406</v>
      </c>
      <c r="O125" s="36" t="n">
        <v>2040.737483226261</v>
      </c>
      <c r="P125" s="29" t="n">
        <v>2.054422468415945</v>
      </c>
      <c r="Q125" s="16" t="inlineStr">
        <is>
          <t>no</t>
        </is>
      </c>
      <c r="R125" s="16" t="n"/>
    </row>
    <row r="126">
      <c r="A126" s="16" t="inlineStr">
        <is>
          <t>KF-M04c-0128</t>
        </is>
      </c>
      <c r="B126" s="35" t="n">
        <v>403.6131479594</v>
      </c>
      <c r="C126" s="35" t="n">
        <v>291.2374336278435</v>
      </c>
      <c r="D126" s="36" t="n">
        <v>3867.423066026832</v>
      </c>
      <c r="E126" s="35" t="n">
        <v>2349.987270399293</v>
      </c>
      <c r="F126" s="37" t="n">
        <v>0.6904316377872028</v>
      </c>
      <c r="G126" s="37" t="n">
        <v>0.89557994534403</v>
      </c>
      <c r="H126" s="37" t="n">
        <v>0.757845891112496</v>
      </c>
      <c r="I126" s="37" t="n">
        <v>0.9076440950726704</v>
      </c>
      <c r="J126" s="37" t="n">
        <v>0.7557503527319842</v>
      </c>
      <c r="K126" s="37" t="n">
        <v>0.8420662714315321</v>
      </c>
      <c r="L126" s="42" t="inlineStr">
        <is>
          <t>KALINA</t>
        </is>
      </c>
      <c r="M126" s="29" t="n">
        <v>4.08510323277454</v>
      </c>
      <c r="N126" s="35" t="n">
        <v>25.99765151240421</v>
      </c>
      <c r="O126" s="36" t="n">
        <v>1517.435795627539</v>
      </c>
      <c r="P126" s="29" t="n">
        <v>1.645720857615414</v>
      </c>
      <c r="Q126" s="16" t="inlineStr">
        <is>
          <t>no</t>
        </is>
      </c>
      <c r="R126" s="16" t="n"/>
    </row>
    <row r="127">
      <c r="A127" s="16" t="inlineStr">
        <is>
          <t>KF-M04c-0129</t>
        </is>
      </c>
      <c r="B127" s="35" t="n">
        <v>421.8120929120335</v>
      </c>
      <c r="C127" s="35" t="n">
        <v>293.2921369504153</v>
      </c>
      <c r="D127" s="36" t="n">
        <v>4325.819814711333</v>
      </c>
      <c r="E127" s="35" t="n">
        <v>1534.076609265747</v>
      </c>
      <c r="F127" s="37" t="n">
        <v>0.7486066594067458</v>
      </c>
      <c r="G127" s="37" t="n">
        <v>0.8949057260220173</v>
      </c>
      <c r="H127" s="37" t="n">
        <v>0.6620773525969714</v>
      </c>
      <c r="I127" s="37" t="n">
        <v>0.7201439895149712</v>
      </c>
      <c r="J127" s="37" t="n">
        <v>0.6177664466190447</v>
      </c>
      <c r="K127" s="37" t="n">
        <v>0.7068008391938175</v>
      </c>
      <c r="L127" s="39" t="inlineStr">
        <is>
          <t>Corregible</t>
        </is>
      </c>
      <c r="M127" s="29" t="n">
        <v>9.07185415066837</v>
      </c>
      <c r="N127" s="35" t="n">
        <v>61.10708127984786</v>
      </c>
      <c r="O127" s="36" t="n">
        <v>2791.743205445586</v>
      </c>
      <c r="P127" s="29" t="n">
        <v>2.819819941575014</v>
      </c>
      <c r="Q127" s="16" t="inlineStr">
        <is>
          <t>no</t>
        </is>
      </c>
      <c r="R127" s="16" t="inlineStr">
        <is>
          <t>O2</t>
        </is>
      </c>
    </row>
    <row r="128">
      <c r="A128" s="16" t="inlineStr">
        <is>
          <t>KF-M04c-0130</t>
        </is>
      </c>
      <c r="B128" s="35" t="n">
        <v>422.4594093235967</v>
      </c>
      <c r="C128" s="35" t="n">
        <v>294.5353531892615</v>
      </c>
      <c r="D128" s="36" t="n">
        <v>3505.922650777025</v>
      </c>
      <c r="E128" s="35" t="n">
        <v>1840.006688205012</v>
      </c>
      <c r="F128" s="37" t="n">
        <v>0.6342186682035923</v>
      </c>
      <c r="G128" s="37" t="n">
        <v>0.8923399806670211</v>
      </c>
      <c r="H128" s="37" t="n">
        <v>0.7208112598916054</v>
      </c>
      <c r="I128" s="37" t="n">
        <v>0.8911328425104372</v>
      </c>
      <c r="J128" s="37" t="n">
        <v>0.7405163979914871</v>
      </c>
      <c r="K128" s="37" t="n">
        <v>0.7260790362328985</v>
      </c>
      <c r="L128" s="39" t="inlineStr">
        <is>
          <t>Corregible</t>
        </is>
      </c>
      <c r="M128" s="29" t="n">
        <v>5.84714611564382</v>
      </c>
      <c r="N128" s="35" t="n">
        <v>41.82371690633819</v>
      </c>
      <c r="O128" s="36" t="n">
        <v>1665.915962572013</v>
      </c>
      <c r="P128" s="29" t="n">
        <v>1.905385819111978</v>
      </c>
      <c r="Q128" s="16" t="inlineStr">
        <is>
          <t>no</t>
        </is>
      </c>
      <c r="R128" s="16" t="inlineStr">
        <is>
          <t>O2</t>
        </is>
      </c>
    </row>
    <row r="129">
      <c r="A129" s="16" t="inlineStr">
        <is>
          <t>KF-M04c-0131</t>
        </is>
      </c>
      <c r="B129" s="35" t="n">
        <v>459.8020257625558</v>
      </c>
      <c r="C129" s="35" t="n">
        <v>286.5030612471279</v>
      </c>
      <c r="D129" s="36" t="n">
        <v>4355.317098515139</v>
      </c>
      <c r="E129" s="35" t="n">
        <v>2168.554186403195</v>
      </c>
      <c r="F129" s="37" t="n">
        <v>0.5647478786239646</v>
      </c>
      <c r="G129" s="37" t="n">
        <v>0.8660655964429551</v>
      </c>
      <c r="H129" s="37" t="n">
        <v>0.7318655054133566</v>
      </c>
      <c r="I129" s="37" t="n">
        <v>0.7929273388722294</v>
      </c>
      <c r="J129" s="37" t="n">
        <v>0.774009485481165</v>
      </c>
      <c r="K129" s="37" t="n">
        <v>0.7110502232671062</v>
      </c>
      <c r="L129" s="42" t="inlineStr">
        <is>
          <t>KALINA</t>
        </is>
      </c>
      <c r="M129" s="29" t="n">
        <v>5.76111936722839</v>
      </c>
      <c r="N129" s="35" t="n">
        <v>49.92060157891543</v>
      </c>
      <c r="O129" s="36" t="n">
        <v>2186.762912111944</v>
      </c>
      <c r="P129" s="29" t="n">
        <v>2.00839671234545</v>
      </c>
      <c r="Q129" s="16" t="inlineStr">
        <is>
          <t>sí</t>
        </is>
      </c>
      <c r="R129" s="16" t="n"/>
    </row>
    <row r="130">
      <c r="A130" s="16" t="inlineStr">
        <is>
          <t>KF-M04c-0132</t>
        </is>
      </c>
      <c r="B130" s="35" t="n">
        <v>423.8424372728675</v>
      </c>
      <c r="C130" s="35" t="n">
        <v>290.8666132778217</v>
      </c>
      <c r="D130" s="36" t="n">
        <v>3076.067495852913</v>
      </c>
      <c r="E130" s="35" t="n">
        <v>2198.693740274208</v>
      </c>
      <c r="F130" s="37" t="n">
        <v>0.7167438171155638</v>
      </c>
      <c r="G130" s="37" t="n">
        <v>0.8120952223644051</v>
      </c>
      <c r="H130" s="37" t="n">
        <v>0.7033153522474741</v>
      </c>
      <c r="I130" s="37" t="n">
        <v>0.8706347054060017</v>
      </c>
      <c r="J130" s="37" t="n">
        <v>0.8481840698312422</v>
      </c>
      <c r="K130" s="37" t="n">
        <v>0.7933775181360545</v>
      </c>
      <c r="L130" s="42" t="inlineStr">
        <is>
          <t>KALINA</t>
        </is>
      </c>
      <c r="M130" s="29" t="n">
        <v>3.00765046116402</v>
      </c>
      <c r="N130" s="35" t="n">
        <v>28.92654324668135</v>
      </c>
      <c r="O130" s="36" t="n">
        <v>877.3737555787047</v>
      </c>
      <c r="P130" s="29" t="n">
        <v>1.399043186191672</v>
      </c>
      <c r="Q130" s="16" t="inlineStr">
        <is>
          <t>no</t>
        </is>
      </c>
      <c r="R130" s="16" t="n"/>
    </row>
    <row r="131">
      <c r="A131" s="16" t="inlineStr">
        <is>
          <t>KF-M04c-0133</t>
        </is>
      </c>
      <c r="B131" s="35" t="n">
        <v>443.4112555088493</v>
      </c>
      <c r="C131" s="35" t="n">
        <v>295.2263492321783</v>
      </c>
      <c r="D131" s="36" t="n">
        <v>2656.921883777969</v>
      </c>
      <c r="E131" s="35" t="n">
        <v>2215.0170606603</v>
      </c>
      <c r="F131" s="37" t="n">
        <v>0.6704176156688157</v>
      </c>
      <c r="G131" s="37" t="n">
        <v>0.8007018656516408</v>
      </c>
      <c r="H131" s="37" t="n">
        <v>0.8300853193222955</v>
      </c>
      <c r="I131" s="37" t="n">
        <v>0.918581876713521</v>
      </c>
      <c r="J131" s="37" t="n">
        <v>0.8022557901250885</v>
      </c>
      <c r="K131" s="37" t="n">
        <v>0.7278064813752493</v>
      </c>
      <c r="L131" s="39" t="inlineStr">
        <is>
          <t>Corregible</t>
        </is>
      </c>
      <c r="M131" s="29" t="n">
        <v>1.38163869324443</v>
      </c>
      <c r="N131" s="35" t="n">
        <v>17.44160824777103</v>
      </c>
      <c r="O131" s="36" t="n">
        <v>441.9048231176689</v>
      </c>
      <c r="P131" s="29" t="n">
        <v>1.199504026838482</v>
      </c>
      <c r="Q131" s="16" t="inlineStr">
        <is>
          <t>sí</t>
        </is>
      </c>
      <c r="R131" s="16" t="inlineStr">
        <is>
          <t>O2</t>
        </is>
      </c>
    </row>
    <row r="132">
      <c r="A132" s="16" t="inlineStr">
        <is>
          <t>KF-M04c-0134</t>
        </is>
      </c>
      <c r="B132" s="35" t="n">
        <v>440.6353834354543</v>
      </c>
      <c r="C132" s="35" t="n">
        <v>298.1821579393663</v>
      </c>
      <c r="D132" s="36" t="n">
        <v>4433.351254678839</v>
      </c>
      <c r="E132" s="35" t="n">
        <v>2393.63780932613</v>
      </c>
      <c r="F132" s="37" t="n">
        <v>0.7773825853794325</v>
      </c>
      <c r="G132" s="37" t="n">
        <v>0.870427156395347</v>
      </c>
      <c r="H132" s="37" t="n">
        <v>0.816940277146587</v>
      </c>
      <c r="I132" s="37" t="n">
        <v>0.7460529762659746</v>
      </c>
      <c r="J132" s="37" t="n">
        <v>0.934709669437095</v>
      </c>
      <c r="K132" s="37" t="n">
        <v>0.7892541015283521</v>
      </c>
      <c r="L132" s="39" t="inlineStr">
        <is>
          <t>Corregible</t>
        </is>
      </c>
      <c r="M132" s="29" t="n">
        <v>6.19764390027821</v>
      </c>
      <c r="N132" s="35" t="n">
        <v>56.94972902943443</v>
      </c>
      <c r="O132" s="36" t="n">
        <v>2039.713445352709</v>
      </c>
      <c r="P132" s="29" t="n">
        <v>1.852139549854011</v>
      </c>
      <c r="Q132" s="16" t="inlineStr">
        <is>
          <t>no</t>
        </is>
      </c>
      <c r="R132" s="16" t="inlineStr">
        <is>
          <t>O2</t>
        </is>
      </c>
    </row>
    <row r="133">
      <c r="A133" s="16" t="inlineStr">
        <is>
          <t>KF-M04c-0135</t>
        </is>
      </c>
      <c r="B133" s="35" t="n">
        <v>476.4503260574262</v>
      </c>
      <c r="C133" s="35" t="n">
        <v>281.9544720352198</v>
      </c>
      <c r="D133" s="36" t="n">
        <v>3027.330426902165</v>
      </c>
      <c r="E133" s="35" t="n">
        <v>2376.524928671297</v>
      </c>
      <c r="F133" s="37" t="n">
        <v>0.7865322271500422</v>
      </c>
      <c r="G133" s="37" t="n">
        <v>0.8516689585427485</v>
      </c>
      <c r="H133" s="37" t="n">
        <v>0.8656986711325093</v>
      </c>
      <c r="I133" s="37" t="n">
        <v>0.6296816700561122</v>
      </c>
      <c r="J133" s="37" t="n">
        <v>0.6767418516818667</v>
      </c>
      <c r="K133" s="37" t="n">
        <v>0.7825153628133302</v>
      </c>
      <c r="L133" s="39" t="inlineStr">
        <is>
          <t>Corregible</t>
        </is>
      </c>
      <c r="M133" s="29" t="n">
        <v>2.39866462289678</v>
      </c>
      <c r="N133" s="35" t="n">
        <v>25.55256493857182</v>
      </c>
      <c r="O133" s="36" t="n">
        <v>650.8054982308677</v>
      </c>
      <c r="P133" s="29" t="n">
        <v>1.273847536955873</v>
      </c>
      <c r="Q133" s="16" t="inlineStr">
        <is>
          <t>no</t>
        </is>
      </c>
      <c r="R133" s="16" t="inlineStr">
        <is>
          <t>O2</t>
        </is>
      </c>
    </row>
    <row r="134">
      <c r="A134" s="16" t="inlineStr">
        <is>
          <t>KF-M04c-0136</t>
        </is>
      </c>
      <c r="B134" s="35" t="n">
        <v>393.4367776231779</v>
      </c>
      <c r="C134" s="35" t="n">
        <v>299.9710166723353</v>
      </c>
      <c r="D134" s="36" t="n">
        <v>2269.635077149364</v>
      </c>
      <c r="E134" s="35" t="n">
        <v>1918.873483256834</v>
      </c>
      <c r="F134" s="37" t="n">
        <v>0.6405180719646155</v>
      </c>
      <c r="G134" s="37" t="n">
        <v>0.8800172639800734</v>
      </c>
      <c r="H134" s="37" t="n">
        <v>0.7586468260847012</v>
      </c>
      <c r="I134" s="37" t="n">
        <v>0.6691562104781114</v>
      </c>
      <c r="J134" s="37" t="n">
        <v>0.8391739964206162</v>
      </c>
      <c r="K134" s="37" t="n">
        <v>0.9342310569515514</v>
      </c>
      <c r="L134" s="42" t="inlineStr">
        <is>
          <t>KALINA</t>
        </is>
      </c>
      <c r="M134" s="29" t="n">
        <v>1.38447544027515</v>
      </c>
      <c r="N134" s="35" t="n">
        <v>7.103828652706953</v>
      </c>
      <c r="O134" s="36" t="n">
        <v>350.7615938925308</v>
      </c>
      <c r="P134" s="29" t="n">
        <v>1.1827955813414</v>
      </c>
      <c r="Q134" s="16" t="inlineStr">
        <is>
          <t>no</t>
        </is>
      </c>
      <c r="R134" s="16" t="n"/>
    </row>
    <row r="135">
      <c r="A135" s="16" t="inlineStr">
        <is>
          <t>KF-M04c-0138</t>
        </is>
      </c>
      <c r="B135" s="35" t="n">
        <v>414.1628646628673</v>
      </c>
      <c r="C135" s="35" t="n">
        <v>295.5076720094177</v>
      </c>
      <c r="D135" s="36" t="n">
        <v>4755.232960711648</v>
      </c>
      <c r="E135" s="35" t="n">
        <v>1848.803303059377</v>
      </c>
      <c r="F135" s="37" t="n">
        <v>0.788572212560111</v>
      </c>
      <c r="G135" s="37" t="n">
        <v>0.7547905008524315</v>
      </c>
      <c r="H135" s="37" t="n">
        <v>0.7502401811973803</v>
      </c>
      <c r="I135" s="37" t="n">
        <v>0.7529186008377035</v>
      </c>
      <c r="J135" s="37" t="n">
        <v>0.7028333134562182</v>
      </c>
      <c r="K135" s="37" t="n">
        <v>0.8720797407236013</v>
      </c>
      <c r="L135" s="42" t="inlineStr">
        <is>
          <t>KALINA</t>
        </is>
      </c>
      <c r="M135" s="29" t="n">
        <v>6.59003778740501</v>
      </c>
      <c r="N135" s="35" t="n">
        <v>47.44621773860888</v>
      </c>
      <c r="O135" s="36" t="n">
        <v>2906.429657652271</v>
      </c>
      <c r="P135" s="29" t="n">
        <v>2.572059965948107</v>
      </c>
      <c r="Q135" s="16" t="inlineStr">
        <is>
          <t>no</t>
        </is>
      </c>
      <c r="R135" s="16" t="n"/>
    </row>
    <row r="136">
      <c r="A136" s="16" t="inlineStr">
        <is>
          <t>KF-M04c-0139</t>
        </is>
      </c>
      <c r="B136" s="35" t="n">
        <v>471.126193161879</v>
      </c>
      <c r="C136" s="35" t="n">
        <v>287.8137880236466</v>
      </c>
      <c r="D136" s="36" t="n">
        <v>3214.369362198884</v>
      </c>
      <c r="E136" s="35" t="n">
        <v>2028.375494479147</v>
      </c>
      <c r="F136" s="37" t="n">
        <v>0.5023013643797095</v>
      </c>
      <c r="G136" s="37" t="n">
        <v>0.8068685137384359</v>
      </c>
      <c r="H136" s="37" t="n">
        <v>0.7891455995436234</v>
      </c>
      <c r="I136" s="37" t="n">
        <v>0.7712409616966669</v>
      </c>
      <c r="J136" s="37" t="n">
        <v>0.7502357885393764</v>
      </c>
      <c r="K136" s="37" t="n">
        <v>0.7314578620889354</v>
      </c>
      <c r="L136" s="39" t="inlineStr">
        <is>
          <t>Corregible</t>
        </is>
      </c>
      <c r="M136" s="29" t="n">
        <v>3.54707534241356</v>
      </c>
      <c r="N136" s="35" t="n">
        <v>45.35846232637432</v>
      </c>
      <c r="O136" s="36" t="n">
        <v>1185.993867719737</v>
      </c>
      <c r="P136" s="29" t="n">
        <v>1.584701339050776</v>
      </c>
      <c r="Q136" s="16" t="inlineStr">
        <is>
          <t>sí</t>
        </is>
      </c>
      <c r="R136" s="16" t="inlineStr">
        <is>
          <t>O2</t>
        </is>
      </c>
    </row>
    <row r="137">
      <c r="A137" s="16" t="inlineStr">
        <is>
          <t>KF-M04c-0141</t>
        </is>
      </c>
      <c r="B137" s="35" t="n">
        <v>399.1334699557137</v>
      </c>
      <c r="C137" s="35" t="n">
        <v>298.6754062543292</v>
      </c>
      <c r="D137" s="36" t="n">
        <v>2361.85368546775</v>
      </c>
      <c r="E137" s="35" t="n">
        <v>1648.04911261724</v>
      </c>
      <c r="F137" s="37" t="n">
        <v>0.8432568626630266</v>
      </c>
      <c r="G137" s="37" t="n">
        <v>0.8655318792486671</v>
      </c>
      <c r="H137" s="37" t="n">
        <v>0.8776858929954521</v>
      </c>
      <c r="I137" s="37" t="n">
        <v>0.8567621189788508</v>
      </c>
      <c r="J137" s="37" t="n">
        <v>0.850299562164371</v>
      </c>
      <c r="K137" s="37" t="n">
        <v>0.9452378289137476</v>
      </c>
      <c r="L137" s="42" t="inlineStr">
        <is>
          <t>KALINA</t>
        </is>
      </c>
      <c r="M137" s="29" t="n">
        <v>3.48242585652083</v>
      </c>
      <c r="N137" s="35" t="n">
        <v>37.67302765486049</v>
      </c>
      <c r="O137" s="36" t="n">
        <v>713.8045728505097</v>
      </c>
      <c r="P137" s="29" t="n">
        <v>1.433120935162501</v>
      </c>
      <c r="Q137" s="16" t="inlineStr">
        <is>
          <t>no</t>
        </is>
      </c>
      <c r="R137" s="16" t="n"/>
    </row>
    <row r="138">
      <c r="A138" s="16" t="inlineStr">
        <is>
          <t>KF-M04c-0142</t>
        </is>
      </c>
      <c r="B138" s="35" t="n">
        <v>419.6934064389159</v>
      </c>
      <c r="C138" s="35" t="n">
        <v>293.3952760072567</v>
      </c>
      <c r="D138" s="36" t="n">
        <v>4648.636776778967</v>
      </c>
      <c r="E138" s="35" t="n">
        <v>1617.269128432268</v>
      </c>
      <c r="F138" s="37" t="n">
        <v>0.660785077988411</v>
      </c>
      <c r="G138" s="37" t="n">
        <v>0.8274264917130567</v>
      </c>
      <c r="H138" s="37" t="n">
        <v>0.7487243441315378</v>
      </c>
      <c r="I138" s="37" t="n">
        <v>0.6263864025284412</v>
      </c>
      <c r="J138" s="37" t="n">
        <v>0.6844210874513775</v>
      </c>
      <c r="K138" s="37" t="n">
        <v>0.9033643864119116</v>
      </c>
      <c r="L138" s="42" t="inlineStr">
        <is>
          <t>KALINA</t>
        </is>
      </c>
      <c r="M138" s="29" t="n">
        <v>5.75316245399547</v>
      </c>
      <c r="N138" s="35" t="n">
        <v>27.29981830725426</v>
      </c>
      <c r="O138" s="36" t="n">
        <v>3031.3676483467</v>
      </c>
      <c r="P138" s="29" t="n">
        <v>2.874374273925093</v>
      </c>
      <c r="Q138" s="16" t="inlineStr">
        <is>
          <t>no</t>
        </is>
      </c>
      <c r="R138" s="16" t="n"/>
    </row>
    <row r="139">
      <c r="A139" s="16" t="inlineStr">
        <is>
          <t>KF-M04c-0143</t>
        </is>
      </c>
      <c r="B139" s="35" t="n">
        <v>457.3907263306791</v>
      </c>
      <c r="C139" s="35" t="n">
        <v>292.1358782304245</v>
      </c>
      <c r="D139" s="36" t="n">
        <v>3596.434523118251</v>
      </c>
      <c r="E139" s="35" t="n">
        <v>2193.032783494485</v>
      </c>
      <c r="F139" s="37" t="n">
        <v>0.6144867583108392</v>
      </c>
      <c r="G139" s="37" t="n">
        <v>0.8255138088012076</v>
      </c>
      <c r="H139" s="37" t="n">
        <v>0.8940870490402935</v>
      </c>
      <c r="I139" s="37" t="n">
        <v>0.7002919987377683</v>
      </c>
      <c r="J139" s="37" t="n">
        <v>0.925301784717986</v>
      </c>
      <c r="K139" s="37" t="n">
        <v>0.8797511425167955</v>
      </c>
      <c r="L139" s="42" t="inlineStr">
        <is>
          <t>KALINA</t>
        </is>
      </c>
      <c r="M139" s="29" t="n">
        <v>3.90280640682192</v>
      </c>
      <c r="N139" s="35" t="n">
        <v>40.3460164395979</v>
      </c>
      <c r="O139" s="36" t="n">
        <v>1403.401739623767</v>
      </c>
      <c r="P139" s="29" t="n">
        <v>1.639936507190521</v>
      </c>
      <c r="Q139" s="16" t="inlineStr">
        <is>
          <t>sí</t>
        </is>
      </c>
      <c r="R139" s="16" t="n"/>
    </row>
    <row r="140">
      <c r="A140" s="16" t="inlineStr">
        <is>
          <t>KF-M04c-0144</t>
        </is>
      </c>
      <c r="B140" s="35" t="n">
        <v>498.2054628027171</v>
      </c>
      <c r="C140" s="35" t="n">
        <v>285.4397587058509</v>
      </c>
      <c r="D140" s="36" t="n">
        <v>2787.984413131797</v>
      </c>
      <c r="E140" s="35" t="n">
        <v>2439.434749827305</v>
      </c>
      <c r="F140" s="37" t="n">
        <v>0.7026874637770554</v>
      </c>
      <c r="G140" s="37" t="n">
        <v>0.7878647622915421</v>
      </c>
      <c r="H140" s="37" t="n">
        <v>0.6639938166178854</v>
      </c>
      <c r="I140" s="37" t="n">
        <v>0.8939050109715323</v>
      </c>
      <c r="J140" s="37" t="n">
        <v>0.8096114242787943</v>
      </c>
      <c r="K140" s="37" t="n">
        <v>0.7229031019650254</v>
      </c>
      <c r="L140" s="39" t="inlineStr">
        <is>
          <t>Corregible</t>
        </is>
      </c>
      <c r="M140" s="29" t="n">
        <v>0.8931523368403501</v>
      </c>
      <c r="N140" s="35" t="n">
        <v>13.15413217686954</v>
      </c>
      <c r="O140" s="36" t="n">
        <v>348.5496633044918</v>
      </c>
      <c r="P140" s="29" t="n">
        <v>1.142881322539644</v>
      </c>
      <c r="Q140" s="16" t="inlineStr">
        <is>
          <t>sí</t>
        </is>
      </c>
      <c r="R140" s="16" t="inlineStr">
        <is>
          <t>O2</t>
        </is>
      </c>
    </row>
    <row r="141">
      <c r="A141" s="16" t="inlineStr">
        <is>
          <t>KF-M04c-0145</t>
        </is>
      </c>
      <c r="B141" s="35" t="n">
        <v>462.2237476667265</v>
      </c>
      <c r="C141" s="35" t="n">
        <v>296.5113988379462</v>
      </c>
      <c r="D141" s="36" t="n">
        <v>4621.311503014849</v>
      </c>
      <c r="E141" s="35" t="n">
        <v>1680.787274131129</v>
      </c>
      <c r="F141" s="37" t="n">
        <v>0.8245039710248026</v>
      </c>
      <c r="G141" s="37" t="n">
        <v>0.9063544001012704</v>
      </c>
      <c r="H141" s="37" t="n">
        <v>0.7710496888403139</v>
      </c>
      <c r="I141" s="37" t="n">
        <v>0.6800906605818978</v>
      </c>
      <c r="J141" s="37" t="n">
        <v>0.8457013280429768</v>
      </c>
      <c r="K141" s="37" t="n">
        <v>0.8707560029305271</v>
      </c>
      <c r="L141" s="39" t="inlineStr">
        <is>
          <t>Corregible</t>
        </is>
      </c>
      <c r="M141" s="29" t="n">
        <v>9.9363817432611</v>
      </c>
      <c r="N141" s="35" t="n">
        <v>106.9966880764745</v>
      </c>
      <c r="O141" s="36" t="n">
        <v>2940.52422888372</v>
      </c>
      <c r="P141" s="29" t="n">
        <v>2.749492201744449</v>
      </c>
      <c r="Q141" s="16" t="inlineStr">
        <is>
          <t>no</t>
        </is>
      </c>
      <c r="R141" s="16" t="inlineStr">
        <is>
          <t>O2</t>
        </is>
      </c>
    </row>
    <row r="142">
      <c r="A142" s="16" t="inlineStr">
        <is>
          <t>KF-M04c-0146</t>
        </is>
      </c>
      <c r="B142" s="35" t="n">
        <v>395.3807777346162</v>
      </c>
      <c r="C142" s="35" t="n">
        <v>301.6342355376509</v>
      </c>
      <c r="D142" s="36" t="n">
        <v>3129.18287946593</v>
      </c>
      <c r="E142" s="35" t="n">
        <v>1804.015748887794</v>
      </c>
      <c r="F142" s="37" t="n">
        <v>0.632128924578588</v>
      </c>
      <c r="G142" s="37" t="n">
        <v>0.8722076272359714</v>
      </c>
      <c r="H142" s="37" t="n">
        <v>0.8375661062122647</v>
      </c>
      <c r="I142" s="37" t="n">
        <v>0.6216241291196337</v>
      </c>
      <c r="J142" s="37" t="n">
        <v>0.9282551746465756</v>
      </c>
      <c r="K142" s="37" t="n">
        <v>0.76327491826337</v>
      </c>
      <c r="L142" s="42" t="inlineStr">
        <is>
          <t>KALINA</t>
        </is>
      </c>
      <c r="M142" s="29" t="n">
        <v>4.486140532388029</v>
      </c>
      <c r="N142" s="35" t="n">
        <v>14.59385545051511</v>
      </c>
      <c r="O142" s="36" t="n">
        <v>1325.167130578136</v>
      </c>
      <c r="P142" s="29" t="n">
        <v>1.734565167402293</v>
      </c>
      <c r="Q142" s="16" t="inlineStr">
        <is>
          <t>no</t>
        </is>
      </c>
      <c r="R142" s="16" t="n"/>
    </row>
    <row r="143">
      <c r="A143" s="16" t="inlineStr">
        <is>
          <t>KF-M04c-0147</t>
        </is>
      </c>
      <c r="B143" s="35" t="n">
        <v>389.7986344929794</v>
      </c>
      <c r="C143" s="35" t="n">
        <v>279.8812419451224</v>
      </c>
      <c r="D143" s="36" t="n">
        <v>2714.74861469017</v>
      </c>
      <c r="E143" s="35" t="n">
        <v>1593.627261280666</v>
      </c>
      <c r="F143" s="37" t="n">
        <v>0.7677373592949468</v>
      </c>
      <c r="G143" s="37" t="n">
        <v>0.8240564052295173</v>
      </c>
      <c r="H143" s="37" t="n">
        <v>0.7752292986395531</v>
      </c>
      <c r="I143" s="37" t="n">
        <v>0.8842003654505857</v>
      </c>
      <c r="J143" s="37" t="n">
        <v>0.6204706487157156</v>
      </c>
      <c r="K143" s="37" t="n">
        <v>0.7404106562335634</v>
      </c>
      <c r="L143" s="39" t="inlineStr">
        <is>
          <t>Corregible</t>
        </is>
      </c>
      <c r="M143" s="29" t="n">
        <v>4.77314702414805</v>
      </c>
      <c r="N143" s="35" t="n">
        <v>36.6351250515008</v>
      </c>
      <c r="O143" s="36" t="n">
        <v>1121.121353409504</v>
      </c>
      <c r="P143" s="29" t="n">
        <v>1.703502870871167</v>
      </c>
      <c r="Q143" s="16" t="inlineStr">
        <is>
          <t>no</t>
        </is>
      </c>
      <c r="R143" s="16" t="inlineStr">
        <is>
          <t>O2</t>
        </is>
      </c>
    </row>
    <row r="144">
      <c r="A144" s="16" t="inlineStr">
        <is>
          <t>KF-M04c-0148</t>
        </is>
      </c>
      <c r="B144" s="35" t="n">
        <v>388.2335650057015</v>
      </c>
      <c r="C144" s="35" t="n">
        <v>299.1319159116181</v>
      </c>
      <c r="D144" s="36" t="n">
        <v>2754.733263136032</v>
      </c>
      <c r="E144" s="35" t="n">
        <v>2247.377994773003</v>
      </c>
      <c r="F144" s="37" t="n">
        <v>0.8319985303136431</v>
      </c>
      <c r="G144" s="37" t="n">
        <v>0.7528589776411602</v>
      </c>
      <c r="H144" s="37" t="n">
        <v>0.8849139609762232</v>
      </c>
      <c r="I144" s="37" t="n">
        <v>0.6659295643536014</v>
      </c>
      <c r="J144" s="37" t="n">
        <v>0.7835232166405918</v>
      </c>
      <c r="K144" s="37" t="n">
        <v>0.7647951281739462</v>
      </c>
      <c r="L144" s="39" t="inlineStr">
        <is>
          <t>Corregible</t>
        </is>
      </c>
      <c r="M144" s="29" t="n">
        <v>1.82060280799094</v>
      </c>
      <c r="N144" s="35" t="n">
        <v>11.57821919656758</v>
      </c>
      <c r="O144" s="36" t="n">
        <v>507.3552683630296</v>
      </c>
      <c r="P144" s="29" t="n">
        <v>1.225754309930527</v>
      </c>
      <c r="Q144" s="16" t="inlineStr">
        <is>
          <t>no</t>
        </is>
      </c>
      <c r="R144" s="16" t="inlineStr">
        <is>
          <t>O2</t>
        </is>
      </c>
    </row>
    <row r="145">
      <c r="A145" s="16" t="inlineStr">
        <is>
          <t>KF-M04c-0149</t>
        </is>
      </c>
      <c r="B145" s="35" t="n">
        <v>411.0710221235994</v>
      </c>
      <c r="C145" s="35" t="n">
        <v>290.135708800282</v>
      </c>
      <c r="D145" s="36" t="n">
        <v>3544.717472517385</v>
      </c>
      <c r="E145" s="35" t="n">
        <v>2462.772922051537</v>
      </c>
      <c r="F145" s="37" t="n">
        <v>0.7638618693472929</v>
      </c>
      <c r="G145" s="37" t="n">
        <v>0.7820588559722593</v>
      </c>
      <c r="H145" s="37" t="n">
        <v>0.691317451971837</v>
      </c>
      <c r="I145" s="37" t="n">
        <v>0.7630209332114627</v>
      </c>
      <c r="J145" s="37" t="n">
        <v>0.6075345180893899</v>
      </c>
      <c r="K145" s="37" t="n">
        <v>0.7364672066547536</v>
      </c>
      <c r="L145" s="42" t="inlineStr">
        <is>
          <t>KALINA</t>
        </is>
      </c>
      <c r="M145" s="29" t="n">
        <v>3.10529710795641</v>
      </c>
      <c r="N145" s="35" t="n">
        <v>22.68058249934716</v>
      </c>
      <c r="O145" s="36" t="n">
        <v>1081.944550465848</v>
      </c>
      <c r="P145" s="29" t="n">
        <v>1.439319655002771</v>
      </c>
      <c r="Q145" s="16" t="inlineStr">
        <is>
          <t>no</t>
        </is>
      </c>
      <c r="R145" s="16" t="n"/>
    </row>
  </sheetData>
  <pageMargins left="0.75" right="0.75" top="1" bottom="1" header="0.5" footer="0.5"/>
  <drawing xmlns:r="http://schemas.openxmlformats.org/officeDocument/2006/relationships" r:id="rId1"/>
</worksheet>
</file>

<file path=xl/worksheets/sheet53.xml><?xml version="1.0" encoding="utf-8"?>
<worksheet xmlns="http://schemas.openxmlformats.org/spreadsheetml/2006/main">
  <sheetPr>
    <outlinePr summaryBelow="1" summaryRight="1"/>
    <pageSetUpPr/>
  </sheetPr>
  <dimension ref="A1:A329"/>
  <sheetViews>
    <sheetView workbookViewId="0">
      <selection activeCell="A1" sqref="A1"/>
    </sheetView>
  </sheetViews>
  <sheetFormatPr baseColWidth="8" defaultRowHeight="15"/>
  <sheetData>
    <row r="1">
      <c r="A1" s="11" t="inlineStr">
        <is>
          <t>Pregunta 3 · ¿Qué variables importan y cuánto?</t>
        </is>
      </c>
    </row>
    <row r="2">
      <c r="A2" t="inlineStr">
        <is>
          <t>Gráficos nativos de Excel: pase el cursor sobre un punto para ver su valor. Los números de cada gráfico están en la hoja «3 Datos de gráficos» (el subtítulo de cada figura lleva un vínculo a su bloque).</t>
        </is>
      </c>
    </row>
    <row r="4">
      <c r="A4" s="24" t="inlineStr">
        <is>
          <t>Figura 3.1-1 · Cerca de A*, x_b y P_baja son las que más mueven η en su rango</t>
        </is>
      </c>
    </row>
    <row r="23">
      <c r="A23" s="25" t="inlineStr">
        <is>
          <t>Figura 3.1-1. Cerca de A*, x_b y P_baja son las que más mueven η en su rango.</t>
        </is>
      </c>
    </row>
    <row r="24">
      <c r="A24" s="25" t="inlineStr">
        <is>
          <t>Estudio 3.1. Punto base: A* = punto del profesor con T_fuente = 403 K y P_baja = 563.64 kPa (KALINA, η = 8.48 %)</t>
        </is>
      </c>
    </row>
    <row r="25">
      <c r="A25" s="25" t="inlineStr">
        <is>
          <t>Punto base (las demás variables quedan fijas en): T_fuente = 403 K; T_sumidero = 300.03 K; P_alta = 3000 kPa; P_baja = 563.64 kPa; x_b = 0.5; m_b = 1 kg/s; η_t = 0.85; η_p = 0.75; ε_HRVG = 0.85; ε_reg = 0.75; ε_cond = 0.8; motor de propiedades = teqp. Cada panel o tramo mueve solo su variable.</t>
        </is>
      </c>
    </row>
    <row r="26">
      <c r="A26" s="25" t="inlineStr">
        <is>
          <t>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row>
    <row r="27">
      <c r="A27" s="25" t="inlineStr">
        <is>
          <t>Filtro: estudio 3.1, malla, puntos genuinos con W_net &gt; 0.</t>
        </is>
      </c>
    </row>
    <row r="28">
      <c r="A28" s="25" t="inlineStr">
        <is>
          <t>n = 123. Fuente: todos_los_puntos.csv.</t>
        </is>
      </c>
    </row>
    <row r="31">
      <c r="A31" s="24" t="inlineStr">
        <is>
          <t>Figura 3.1-2 · Pegado a A*, T_fuente es la variable más sensible (E = 10.9)</t>
        </is>
      </c>
    </row>
    <row r="50">
      <c r="A50" s="25" t="inlineStr">
        <is>
          <t>Figura 3.1-2. Pegado a A*, T_fuente es la variable más sensible (E = 10.9).</t>
        </is>
      </c>
    </row>
    <row r="51">
      <c r="A51" s="25" t="inlineStr">
        <is>
          <t>Estudio 3.1. Punto base: A* = punto del profesor con T_fuente = 403 K y P_baja = 563.64 kPa (KALINA, η = 8.48 %)</t>
        </is>
      </c>
    </row>
    <row r="52">
      <c r="A52" s="25" t="inlineStr">
        <is>
          <t>Punto base (las demás variables quedan fijas en): T_fuente = 403 K; T_sumidero = 300.03 K; P_alta = 3000 kPa; P_baja = 563.64 kPa; x_b = 0.5; m_b = 1 kg/s; η_t = 0.85; η_p = 0.75; ε_HRVG = 0.85; ε_reg = 0.75; ε_cond = 0.8; motor de propiedades = teqp. Cada panel o tramo mueve solo su variable.</t>
        </is>
      </c>
    </row>
    <row r="53">
      <c r="A53" s="25" t="inlineStr">
        <is>
          <t>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row>
    <row r="54">
      <c r="A54" s="25" t="inlineStr">
        <is>
          <t>Filtro: m3_resumen.csv (E_eta de la malla).</t>
        </is>
      </c>
    </row>
    <row r="55">
      <c r="A55" s="25" t="inlineStr">
        <is>
          <t>n = 10. Fuente: resultados/2026-10-06_final_M3/m3_resumen.csv.</t>
        </is>
      </c>
    </row>
    <row r="58">
      <c r="A58" s="24" t="inlineStr">
        <is>
          <t>Figura 3.1-3 · Eficiencia según cada variable, una a la vez, alrededor de A*</t>
        </is>
      </c>
    </row>
    <row r="119">
      <c r="A119" s="25" t="inlineStr">
        <is>
          <t>Figura 3.1-3. Eficiencia según cada variable, una a la vez, alrededor de A*.</t>
        </is>
      </c>
    </row>
    <row r="120">
      <c r="A120" s="25" t="inlineStr">
        <is>
          <t>Estudio 3.1. Punto base: A* = punto del profesor con T_fuente = 403 K y P_baja = 563.64 kPa (KALINA, η = 8.48 %)</t>
        </is>
      </c>
    </row>
    <row r="121">
      <c r="A121" s="25" t="inlineStr">
        <is>
          <t>Punto base (las demás variables quedan fijas en): T_fuente = 403 K; T_sumidero = 300.03 K; P_alta = 3000 kPa; P_baja = 563.64 kPa; x_b = 0.5; m_b = 1 kg/s; η_t = 0.85; η_p = 0.75; ε_HRVG = 0.85; ε_reg = 0.75; ε_cond = 0.8; motor de propiedades = teqp. Cada panel o tramo mueve solo su variable.</t>
        </is>
      </c>
    </row>
    <row r="122">
      <c r="A122" s="25" t="inlineStr">
        <is>
          <t>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row>
    <row r="123">
      <c r="A123" s="25" t="inlineStr">
        <is>
          <t>Filtro: estudio 3.1, malla y vecinos de A* (±1 % del rango).</t>
        </is>
      </c>
    </row>
    <row r="124">
      <c r="A124" s="25" t="inlineStr">
        <is>
          <t>n = 170. Fuente: todos_los_puntos.csv.</t>
        </is>
      </c>
    </row>
    <row r="127">
      <c r="A127" s="24" t="inlineStr">
        <is>
          <t>Figura 3.1-4 · A* está a menos del 6 % del rango de la frontera de O2 en 8 de 9 variables</t>
        </is>
      </c>
    </row>
    <row r="146">
      <c r="A146" s="25" t="inlineStr">
        <is>
          <t>Figura 3.1-4. A* está a menos del 6 % del rango de la frontera de O2 en 8 de 9 variables.</t>
        </is>
      </c>
    </row>
    <row r="147">
      <c r="A147" s="25" t="inlineStr">
        <is>
          <t>Estudio 3.1. Punto base: A* = punto del profesor con T_fuente = 403 K y P_baja = 563.64 kPa (KALINA, η = 8.48 %)</t>
        </is>
      </c>
    </row>
    <row r="148">
      <c r="A148" s="25" t="inlineStr">
        <is>
          <t>Punto base (las demás variables quedan fijas en): T_fuente = 403 K; T_sumidero = 300.03 K; P_alta = 3000 kPa; P_baja = 563.64 kPa; x_b = 0.5; m_b = 1 kg/s; η_t = 0.85; η_p = 0.75; ε_HRVG = 0.85; ε_reg = 0.75; ε_cond = 0.8; motor de propiedades = teqp. Cada panel o tramo mueve solo su variable.</t>
        </is>
      </c>
    </row>
    <row r="149">
      <c r="A149" s="25" t="inlineStr">
        <is>
          <t>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row>
    <row r="150">
      <c r="A150" s="25" t="inlineStr">
        <is>
          <t>Filtro: m3_cruces.csv (tipo = margen).</t>
        </is>
      </c>
    </row>
    <row r="151">
      <c r="A151" s="25" t="inlineStr">
        <is>
          <t>n = 9. Fuente: resultados/2026-10-06_final_M3/m3_cruces.csv.</t>
        </is>
      </c>
    </row>
    <row r="152">
      <c r="A152" s="25" t="inlineStr">
        <is>
          <t>Rojo: frontera a menos del 6 % del rango.</t>
        </is>
      </c>
    </row>
    <row r="154">
      <c r="A154" s="24" t="inlineStr">
        <is>
          <t>Figura 3.2-1 · Qué variables separan a los KALINA del resto (LHS de 500 puntos)</t>
        </is>
      </c>
    </row>
    <row r="215">
      <c r="A215" s="25" t="inlineStr">
        <is>
          <t>Figura 3.2-1. Qué variables separan a los KALINA del resto (LHS de 500 puntos).</t>
        </is>
      </c>
    </row>
    <row r="216">
      <c r="A216" s="25" t="inlineStr">
        <is>
          <t>Estudio 3.2. Punto base: Sin punto base: muestreo en la caja de rangos indicada en 'Datos barridos'</t>
        </is>
      </c>
    </row>
    <row r="217">
      <c r="A217" s="25" t="inlineStr">
        <is>
          <t>Datos fijos: m_b = 1 kg/s; motor de propiedades = teqp.</t>
        </is>
      </c>
    </row>
    <row r="218">
      <c r="A218" s="25"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219">
      <c r="A219" s="25" t="inlineStr">
        <is>
          <t>Filtro: estudio 3.2: 452 genuinos y 48 sin resultado (no convergió o falso convergido). Marcas: P_baja se muestreó entre 303 y 1498 kPa: el borde superior de P_baja de los KALINA es el borde de la caja de muestreo, no una frontera física (el estudio 3.3 explora hasta 2500 kPa).</t>
        </is>
      </c>
    </row>
    <row r="220">
      <c r="A220" s="25" t="inlineStr">
        <is>
          <t>n = 500. Fuente: todos_los_puntos.csv.</t>
        </is>
      </c>
    </row>
    <row r="223">
      <c r="A223" s="24" t="inlineStr">
        <is>
          <t>Figura 3.2-2 · El 90 % de los KALINA tiene razón de presiones entre 1.7 y 5.3</t>
        </is>
      </c>
    </row>
    <row r="244">
      <c r="A244" s="25" t="inlineStr">
        <is>
          <t>Figura 3.2-2. El 90 % de los KALINA tiene razón de presiones entre 1.7 y 5.3.</t>
        </is>
      </c>
    </row>
    <row r="245">
      <c r="A245" s="25" t="inlineStr">
        <is>
          <t>Estudio 3.2. Punto base: Sin punto base: muestreo en la caja de rangos indicada en 'Datos barridos'</t>
        </is>
      </c>
    </row>
    <row r="246">
      <c r="A246" s="25" t="inlineStr">
        <is>
          <t>Datos fijos: m_b = 1 kg/s; motor de propiedades = teqp.</t>
        </is>
      </c>
    </row>
    <row r="247">
      <c r="A247" s="25"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248">
      <c r="A248" s="25" t="inlineStr">
        <is>
          <t>Filtro: estudio 3.2. Marcas: P_baja se muestreó entre 303 y 1498 kPa: el borde superior de P_baja de los KALINA es el borde de la caja de muestreo, no una frontera física (el estudio 3.3 explora hasta 2500 kPa).</t>
        </is>
      </c>
    </row>
    <row r="249">
      <c r="A249" s="25" t="inlineStr">
        <is>
          <t>n = 500. Fuente: todos_los_puntos.csv.</t>
        </is>
      </c>
    </row>
    <row r="252">
      <c r="A252" s="24" t="inlineStr">
        <is>
          <t>Figura 3.2-3 · Influencia de cada variable sobre η (PRCC, 430 puntos)</t>
        </is>
      </c>
    </row>
    <row r="271">
      <c r="A271" s="25" t="inlineStr">
        <is>
          <t>Figura 3.2-3. Influencia de cada variable sobre η (PRCC, 430 puntos).</t>
        </is>
      </c>
    </row>
    <row r="272">
      <c r="A272" s="25" t="inlineStr">
        <is>
          <t>Estudio 3.2. Punto base: Sin punto base: muestreo en la caja de rangos indicada en 'Datos barridos'</t>
        </is>
      </c>
    </row>
    <row r="273">
      <c r="A273" s="25" t="inlineStr">
        <is>
          <t>Datos fijos: m_b = 1 kg/s; motor de propiedades = teqp.</t>
        </is>
      </c>
    </row>
    <row r="274">
      <c r="A274" s="25"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275">
      <c r="A275" s="25" t="inlineStr">
        <is>
          <t>Filtro: m4b_prcc.csv (fila de salida = η).</t>
        </is>
      </c>
    </row>
    <row r="276">
      <c r="A276" s="25" t="inlineStr">
        <is>
          <t>n = 430. Fuente: resultados/2026-10-07_final_M4b/m4b_prcc.csv.</t>
        </is>
      </c>
    </row>
    <row r="279">
      <c r="A279" s="24" t="inlineStr">
        <is>
          <t>Figura 3.2-4 · El 90 % de los KALINA tiene ΔP 968–3718 kPa y r_P 1.7–5.3</t>
        </is>
      </c>
    </row>
    <row r="297">
      <c r="A297" s="25" t="inlineStr">
        <is>
          <t>Figura 3.2-4. El 90 % de los KALINA tiene ΔP 968–3718 kPa y r_P 1.7–5.3.</t>
        </is>
      </c>
    </row>
    <row r="298">
      <c r="A298" s="25" t="inlineStr">
        <is>
          <t>Estudio 3.2. Punto base: Sin punto base: muestreo en la caja de rangos indicada en 'Datos barridos'</t>
        </is>
      </c>
    </row>
    <row r="299">
      <c r="A299" s="25" t="inlineStr">
        <is>
          <t>Datos fijos: m_b = 1 kg/s; motor de propiedades = teqp.</t>
        </is>
      </c>
    </row>
    <row r="300">
      <c r="A300" s="25" t="inlineStr">
        <is>
          <t>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row>
    <row r="301">
      <c r="A301" s="25" t="inlineStr">
        <is>
          <t>Filtro: estudio 3.2: 452 genuinos y 48 sin resultado.</t>
        </is>
      </c>
    </row>
    <row r="302">
      <c r="A302" s="25" t="inlineStr">
        <is>
          <t>n = 500. Fuente: todos_los_puntos.csv.</t>
        </is>
      </c>
    </row>
    <row r="305">
      <c r="A305" s="24" t="inlineStr">
        <is>
          <t>Figura 3.3-1 · Fracción de KALINA al subir P_baja entre 1500 y 2500 kPa</t>
        </is>
      </c>
    </row>
    <row r="324">
      <c r="A324" s="25" t="inlineStr">
        <is>
          <t>Figura 3.3-1. Fracción de KALINA al subir P_baja entre 1500 y 2500 kPa.</t>
        </is>
      </c>
    </row>
    <row r="325">
      <c r="A325" s="25" t="inlineStr">
        <is>
          <t>Estudio 3.3. Punto base: Sin punto base: muestreo en la caja de rangos indicada en 'Datos barridos'</t>
        </is>
      </c>
    </row>
    <row r="326">
      <c r="A326" s="25" t="inlineStr">
        <is>
          <t>Datos fijos: m_b = 1 kg/s; motor de propiedades = teqp.</t>
        </is>
      </c>
    </row>
    <row r="327">
      <c r="A327" s="25" t="inlineStr">
        <is>
          <t>Datos barridos: T_fuente [380.75–499.83] K (150 valores); T_sumidero [278.28–303.41] K (150 valores); P_alta [2015.7–4995.8] kPa (150 valores); P_baja [1501.3–2494.5] kPa (150 valores); x_b [0.5023–0.84953] (150 valores); η_t [0.75103–0.91919] (150 valores); η_p [0.65119–0.89988] (150 valores); ε_HRVG [0.60089–0.94845] (150 valores); ε_reg [0.60038–0.9477] (150 valores); ε_cond [0.70004–0.94966] (150 valores); piso de O2 [278.28–303.41] K (135 valores).</t>
        </is>
      </c>
    </row>
    <row r="328">
      <c r="A328" s="25" t="inlineStr">
        <is>
          <t>Filtro: estudio 3.3, puntos evaluados. Marcas: Barra sólida: KALINA dentro del rango; rayada: KALINA fuera de rango</t>
        </is>
      </c>
    </row>
    <row r="329">
      <c r="A329" s="25" t="inlineStr">
        <is>
          <t>n = 135. Fuente: todos_los_puntos.csv.</t>
        </is>
      </c>
    </row>
  </sheetData>
  <hyperlinks>
    <hyperlink xmlns:r="http://schemas.openxmlformats.org/officeDocument/2006/relationships" ref="A4" r:id="rId1"/>
    <hyperlink xmlns:r="http://schemas.openxmlformats.org/officeDocument/2006/relationships" ref="A31" r:id="rId2"/>
    <hyperlink xmlns:r="http://schemas.openxmlformats.org/officeDocument/2006/relationships" ref="A58" r:id="rId3"/>
    <hyperlink xmlns:r="http://schemas.openxmlformats.org/officeDocument/2006/relationships" ref="A127" r:id="rId4"/>
    <hyperlink xmlns:r="http://schemas.openxmlformats.org/officeDocument/2006/relationships" ref="A154" r:id="rId5"/>
    <hyperlink xmlns:r="http://schemas.openxmlformats.org/officeDocument/2006/relationships" ref="A223" r:id="rId6"/>
    <hyperlink xmlns:r="http://schemas.openxmlformats.org/officeDocument/2006/relationships" ref="A252" r:id="rId7"/>
    <hyperlink xmlns:r="http://schemas.openxmlformats.org/officeDocument/2006/relationships" ref="A279" r:id="rId8"/>
    <hyperlink xmlns:r="http://schemas.openxmlformats.org/officeDocument/2006/relationships" ref="A305" r:id="rId9"/>
  </hyperlinks>
  <pageMargins left="0.75" right="0.75" top="1" bottom="1" header="0.5" footer="0.5"/>
  <drawing xmlns:r="http://schemas.openxmlformats.org/officeDocument/2006/relationships" r:id="rId10"/>
</worksheet>
</file>

<file path=xl/worksheets/sheet54.xml><?xml version="1.0" encoding="utf-8"?>
<worksheet xmlns="http://schemas.openxmlformats.org/spreadsheetml/2006/main">
  <sheetPr>
    <outlinePr summaryBelow="1" summaryRight="1"/>
    <pageSetUpPr/>
  </sheetPr>
  <dimension ref="A1:FK336"/>
  <sheetViews>
    <sheetView workbookViewId="0">
      <selection activeCell="A1" sqref="A1"/>
    </sheetView>
  </sheetViews>
  <sheetFormatPr baseColWidth="8" defaultRowHeight="15"/>
  <cols>
    <col width="16" customWidth="1" min="1" max="1"/>
    <col width="16" customWidth="1" min="2" max="2"/>
    <col width="16" customWidth="1" min="4" max="4"/>
    <col width="16" customWidth="1" min="5" max="5"/>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8" max="68"/>
    <col width="16" customWidth="1" min="69" max="69"/>
    <col width="16" customWidth="1" min="71" max="71"/>
    <col width="16" customWidth="1" min="72" max="72"/>
    <col width="16" customWidth="1" min="73" max="73"/>
    <col width="16" customWidth="1" min="74" max="74"/>
    <col width="16" customWidth="1" min="75" max="75"/>
    <col width="16" customWidth="1" min="76" max="76"/>
    <col width="16" customWidth="1" min="77" max="77"/>
    <col width="16" customWidth="1" min="78" max="78"/>
    <col width="16" customWidth="1" min="79" max="79"/>
    <col width="16"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16" customWidth="1" min="91" max="91"/>
    <col width="16" customWidth="1" min="92" max="92"/>
    <col width="16" customWidth="1" min="93" max="93"/>
    <col width="16" customWidth="1" min="94" max="94"/>
    <col width="16" customWidth="1" min="95" max="95"/>
    <col width="16" customWidth="1" min="96" max="96"/>
    <col width="16" customWidth="1" min="97" max="97"/>
    <col width="16" customWidth="1" min="98" max="98"/>
    <col width="16" customWidth="1" min="99" max="99"/>
    <col width="16" customWidth="1" min="100" max="100"/>
    <col width="16" customWidth="1" min="101" max="101"/>
    <col width="16" customWidth="1" min="102" max="102"/>
    <col width="16" customWidth="1" min="103" max="103"/>
    <col width="16" customWidth="1" min="104" max="104"/>
    <col width="16" customWidth="1" min="105" max="105"/>
    <col width="16" customWidth="1" min="106" max="106"/>
    <col width="16" customWidth="1" min="107" max="107"/>
    <col width="16" customWidth="1" min="108" max="108"/>
    <col width="16" customWidth="1" min="109" max="109"/>
    <col width="16" customWidth="1" min="110" max="110"/>
    <col width="16" customWidth="1" min="111" max="111"/>
    <col width="16" customWidth="1" min="112" max="112"/>
    <col width="16" customWidth="1" min="113" max="113"/>
    <col width="16" customWidth="1" min="114" max="114"/>
    <col width="16" customWidth="1" min="115" max="115"/>
    <col width="16" customWidth="1" min="116" max="116"/>
    <col width="16" customWidth="1" min="117" max="117"/>
    <col width="16" customWidth="1" min="118" max="118"/>
    <col width="16" customWidth="1" min="119" max="119"/>
    <col width="16" customWidth="1" min="120" max="120"/>
    <col width="16" customWidth="1" min="121" max="121"/>
    <col width="16" customWidth="1" min="122" max="122"/>
    <col width="16" customWidth="1" min="123" max="123"/>
    <col width="16" customWidth="1" min="124" max="124"/>
    <col width="16" customWidth="1" min="125" max="125"/>
    <col width="16" customWidth="1" min="126" max="126"/>
    <col width="16" customWidth="1" min="127" max="127"/>
    <col width="16" customWidth="1" min="128" max="128"/>
    <col width="16" customWidth="1" min="129" max="129"/>
    <col width="16" customWidth="1" min="130" max="130"/>
    <col width="16" customWidth="1" min="132" max="132"/>
    <col width="16" customWidth="1" min="133" max="133"/>
    <col width="16" customWidth="1" min="134" max="134"/>
    <col width="16" customWidth="1" min="135" max="135"/>
    <col width="16" customWidth="1" min="136" max="136"/>
    <col width="16" customWidth="1" min="137" max="137"/>
    <col width="16" customWidth="1" min="138" max="138"/>
    <col width="16" customWidth="1" min="139" max="139"/>
    <col width="16" customWidth="1" min="140" max="140"/>
    <col width="16" customWidth="1" min="141" max="141"/>
    <col width="16" customWidth="1" min="142" max="142"/>
    <col width="16" customWidth="1" min="143" max="143"/>
    <col width="16" customWidth="1" min="144" max="144"/>
    <col width="16" customWidth="1" min="145" max="145"/>
    <col width="16" customWidth="1" min="146" max="146"/>
    <col width="16" customWidth="1" min="147" max="147"/>
    <col width="16" customWidth="1" min="148" max="148"/>
    <col width="16" customWidth="1" min="149" max="149"/>
    <col width="16" customWidth="1" min="150" max="150"/>
    <col width="16" customWidth="1" min="151" max="151"/>
    <col width="16" customWidth="1" min="153" max="153"/>
    <col width="16" customWidth="1" min="154" max="154"/>
    <col width="16" customWidth="1" min="156" max="156"/>
    <col width="16" customWidth="1" min="157" max="157"/>
    <col width="16" customWidth="1" min="158" max="158"/>
    <col width="16" customWidth="1" min="159" max="159"/>
    <col width="16" customWidth="1" min="160" max="160"/>
    <col width="16" customWidth="1" min="161" max="161"/>
    <col width="16" customWidth="1" min="162" max="162"/>
    <col width="16" customWidth="1" min="163" max="163"/>
    <col width="16" customWidth="1" min="165" max="165"/>
    <col width="16" customWidth="1" min="166" max="166"/>
    <col width="16" customWidth="1" min="167" max="167"/>
  </cols>
  <sheetData>
    <row r="1">
      <c r="A1" s="11" t="inlineStr">
        <is>
          <t>Datos de los gráficos de la pregunta 3</t>
        </is>
      </c>
    </row>
    <row r="2">
      <c r="A2" t="inlineStr">
        <is>
          <t>Cada bloque de columnas es una figura; cada serie ocupa dos columnas (valores de x y de y, o categoría y valor).</t>
        </is>
      </c>
    </row>
    <row r="4">
      <c r="A4" s="30" t="inlineStr">
        <is>
          <t>Figura 3.1-1 · Cerca de A*, x_b y P_baja son las que más mueven η en su rango</t>
        </is>
      </c>
      <c r="B4" s="31" t="n"/>
      <c r="D4" s="30" t="inlineStr">
        <is>
          <t>Figura 3.1-2 · Pegado a A*, T_fuente es la variable más sensible (E = 10.9)</t>
        </is>
      </c>
      <c r="E4" s="31" t="n"/>
      <c r="G4" s="30" t="inlineStr">
        <is>
          <t>Figura 3.1-3 · Eficiencia según cada variable, una a la vez, alrededor de A*</t>
        </is>
      </c>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c r="BL4" s="31" t="n"/>
      <c r="BM4" s="31" t="n"/>
      <c r="BN4" s="31" t="n"/>
      <c r="BP4" s="30" t="inlineStr">
        <is>
          <t>Figura 3.1-4 · A* está a menos del 6 % del rango de la frontera de O2 en 8 de 9 variables</t>
        </is>
      </c>
      <c r="BQ4" s="31" t="n"/>
      <c r="BS4" s="30" t="inlineStr">
        <is>
          <t>Figura 3.2-1 · Qué variables separan a los KALINA del resto (LHS de 500 puntos)</t>
        </is>
      </c>
      <c r="BT4" s="31" t="n"/>
      <c r="BU4" s="31" t="n"/>
      <c r="BV4" s="31" t="n"/>
      <c r="BW4" s="31" t="n"/>
      <c r="BX4" s="31" t="n"/>
      <c r="BY4" s="31" t="n"/>
      <c r="BZ4" s="31" t="n"/>
      <c r="CA4" s="31" t="n"/>
      <c r="CB4" s="31" t="n"/>
      <c r="CC4" s="31" t="n"/>
      <c r="CD4" s="31" t="n"/>
      <c r="CE4" s="31" t="n"/>
      <c r="CF4" s="31" t="n"/>
      <c r="CG4" s="31" t="n"/>
      <c r="CH4" s="31" t="n"/>
      <c r="CI4" s="31" t="n"/>
      <c r="CJ4" s="31" t="n"/>
      <c r="CK4" s="31" t="n"/>
      <c r="CL4" s="31" t="n"/>
      <c r="CM4" s="31" t="n"/>
      <c r="CN4" s="31" t="n"/>
      <c r="CO4" s="31" t="n"/>
      <c r="CP4" s="31" t="n"/>
      <c r="CQ4" s="31" t="n"/>
      <c r="CR4" s="31" t="n"/>
      <c r="CS4" s="31" t="n"/>
      <c r="CT4" s="31" t="n"/>
      <c r="CU4" s="31" t="n"/>
      <c r="CV4" s="31" t="n"/>
      <c r="CW4" s="31" t="n"/>
      <c r="CX4" s="31" t="n"/>
      <c r="CY4" s="31" t="n"/>
      <c r="CZ4" s="31" t="n"/>
      <c r="DA4" s="31" t="n"/>
      <c r="DB4" s="31" t="n"/>
      <c r="DC4" s="31" t="n"/>
      <c r="DD4" s="31" t="n"/>
      <c r="DE4" s="31" t="n"/>
      <c r="DF4" s="31" t="n"/>
      <c r="DG4" s="31" t="n"/>
      <c r="DH4" s="31" t="n"/>
      <c r="DI4" s="31" t="n"/>
      <c r="DJ4" s="31" t="n"/>
      <c r="DK4" s="31" t="n"/>
      <c r="DL4" s="31" t="n"/>
      <c r="DM4" s="31" t="n"/>
      <c r="DN4" s="31" t="n"/>
      <c r="DO4" s="31" t="n"/>
      <c r="DP4" s="31" t="n"/>
      <c r="DQ4" s="31" t="n"/>
      <c r="DR4" s="31" t="n"/>
      <c r="DS4" s="31" t="n"/>
      <c r="DT4" s="31" t="n"/>
      <c r="DU4" s="31" t="n"/>
      <c r="DV4" s="31" t="n"/>
      <c r="DW4" s="31" t="n"/>
      <c r="DX4" s="31" t="n"/>
      <c r="DY4" s="31" t="n"/>
      <c r="DZ4" s="31" t="n"/>
      <c r="EB4" s="30" t="inlineStr">
        <is>
          <t>Figura 3.2-2 · El 90 % de los KALINA tiene razón de presiones entre 1.7 y 5.3</t>
        </is>
      </c>
      <c r="EC4" s="31" t="n"/>
      <c r="ED4" s="31" t="n"/>
      <c r="EE4" s="31" t="n"/>
      <c r="EF4" s="31" t="n"/>
      <c r="EG4" s="31" t="n"/>
      <c r="EH4" s="31" t="n"/>
      <c r="EI4" s="31" t="n"/>
      <c r="EJ4" s="31" t="n"/>
      <c r="EK4" s="31" t="n"/>
      <c r="EL4" s="31" t="n"/>
      <c r="EM4" s="31" t="n"/>
      <c r="EN4" s="31" t="n"/>
      <c r="EO4" s="31" t="n"/>
      <c r="EP4" s="31" t="n"/>
      <c r="EQ4" s="31" t="n"/>
      <c r="ER4" s="31" t="n"/>
      <c r="ES4" s="31" t="n"/>
      <c r="ET4" s="31" t="n"/>
      <c r="EU4" s="31" t="n"/>
      <c r="EW4" s="30" t="inlineStr">
        <is>
          <t>Figura 3.2-3 · Influencia de cada variable sobre η (PRCC, 430 puntos)</t>
        </is>
      </c>
      <c r="EX4" s="31" t="n"/>
      <c r="EZ4" s="30" t="inlineStr">
        <is>
          <t>Figura 3.2-4 · El 90 % de los KALINA tiene ΔP 968–3718 kPa y r_P 1.7–5.3</t>
        </is>
      </c>
      <c r="FA4" s="31" t="n"/>
      <c r="FB4" s="31" t="n"/>
      <c r="FC4" s="31" t="n"/>
      <c r="FD4" s="31" t="n"/>
      <c r="FE4" s="31" t="n"/>
      <c r="FF4" s="31" t="n"/>
      <c r="FG4" s="31" t="n"/>
      <c r="FI4" s="30" t="inlineStr">
        <is>
          <t>Figura 3.3-1 · Fracción de KALINA al subir P_baja entre 1500 y 2500 kPa</t>
        </is>
      </c>
      <c r="FJ4" s="31" t="n"/>
      <c r="FK4" s="31" t="n"/>
    </row>
    <row r="5">
      <c r="A5" s="22" t="inlineStr">
        <is>
          <t>Cerca de A*, x_b y P_baja son las que más mueven η en su rango · categoría: Variable</t>
        </is>
      </c>
      <c r="B5" s="22" t="inlineStr">
        <is>
          <t>Cerca de A*, x_b y P_baja son las que más mueven η en su rango · Δη (máx − mín) [pp]</t>
        </is>
      </c>
      <c r="D5" s="22" t="inlineStr">
        <is>
          <t>Pegado a A*, T_fuente es la variable más sensible (E = 10.9) · categoría: Variable</t>
        </is>
      </c>
      <c r="E5" s="22" t="inlineStr">
        <is>
          <t>Pegado a A*, T_fuente es la variable más sensible (E = 10.9) · Elasticidad de η, E [–]</t>
        </is>
      </c>
      <c r="G5" s="22" t="inlineStr">
        <is>
          <t>T_fuente · KALINA (n = 2) · y: η [%] (−0.6 = sin η)</t>
        </is>
      </c>
      <c r="H5" s="22" t="inlineStr">
        <is>
          <t>T_fuente · KALINA (n = 2) · x: Temperatura de la fuente, T_fuente [K]</t>
        </is>
      </c>
      <c r="I5" s="22" t="inlineStr">
        <is>
          <t>T_fuente · Corregible (n = 2) · y: η [%] (−0.6 = sin η)</t>
        </is>
      </c>
      <c r="J5" s="22" t="inlineStr">
        <is>
          <t>T_fuente · Corregible (n = 2) · x: Temperatura de la fuente, T_fuente [K]</t>
        </is>
      </c>
      <c r="K5" s="22" t="inlineStr">
        <is>
          <t>T_fuente · Corregible, fuera de rango (n = 8) · y: η [%] (−0.6 = sin η)</t>
        </is>
      </c>
      <c r="L5" s="22" t="inlineStr">
        <is>
          <t>T_fuente · Corregible, fuera de rango (n = 8) · x: Temperatura de la fuente, T_fuente [K]</t>
        </is>
      </c>
      <c r="M5" s="22" t="inlineStr">
        <is>
          <t>T_fuente · No convergió (n = 4) · y: η [%] (−0.6 = sin η)</t>
        </is>
      </c>
      <c r="N5" s="22" t="inlineStr">
        <is>
          <t>T_fuente · No convergió (n = 4) · x: Temperatura de la fuente, T_fuente [K]</t>
        </is>
      </c>
      <c r="O5" s="22" t="inlineStr">
        <is>
          <t>T_fuente · Falso convergido (n = 1) · y: η [%] (−0.6 = sin η)</t>
        </is>
      </c>
      <c r="P5" s="22" t="inlineStr">
        <is>
          <t>T_fuente · Falso convergido (n = 1) · x: Temperatura de la fuente, T_fuente [K]</t>
        </is>
      </c>
      <c r="Q5" s="22" t="inlineStr">
        <is>
          <t>T_sumidero · KALINA (n = 14) · y: η [%] (−0.6 = sin η)</t>
        </is>
      </c>
      <c r="R5" s="22" t="inlineStr">
        <is>
          <t>T_sumidero · KALINA (n = 14) · x: Temperatura del sumidero, T_sumidero [K]</t>
        </is>
      </c>
      <c r="S5" s="22" t="inlineStr">
        <is>
          <t>T_sumidero · Corregible (n = 3) · y: η [%] (−0.6 = sin η)</t>
        </is>
      </c>
      <c r="T5" s="22" t="inlineStr">
        <is>
          <t>T_sumidero · Corregible (n = 3) · x: Temperatura del sumidero, T_sumidero [K]</t>
        </is>
      </c>
      <c r="U5" s="22" t="inlineStr">
        <is>
          <t>P_alta · KALINA (n = 2) · y: η [%] (−0.6 = sin η)</t>
        </is>
      </c>
      <c r="V5" s="22" t="inlineStr">
        <is>
          <t>P_alta · KALINA (n = 2) · x: Presión de alta, P_alta [kPa]</t>
        </is>
      </c>
      <c r="W5" s="22" t="inlineStr">
        <is>
          <t>P_alta · Corregible (n = 5) · y: η [%] (−0.6 = sin η)</t>
        </is>
      </c>
      <c r="X5" s="22" t="inlineStr">
        <is>
          <t>P_alta · Corregible (n = 5) · x: Presión de alta, P_alta [kPa]</t>
        </is>
      </c>
      <c r="Y5" s="22" t="inlineStr">
        <is>
          <t>P_alta · No convergió (n = 8) · y: η [%] (−0.6 = sin η)</t>
        </is>
      </c>
      <c r="Z5" s="22" t="inlineStr">
        <is>
          <t>P_alta · No convergió (n = 8) · x: Presión de alta, P_alta [kPa]</t>
        </is>
      </c>
      <c r="AA5" s="22" t="inlineStr">
        <is>
          <t>P_alta · Falso convergido (n = 2) · y: η [%] (−0.6 = sin η)</t>
        </is>
      </c>
      <c r="AB5" s="22" t="inlineStr">
        <is>
          <t>P_alta · Falso convergido (n = 2) · x: Presión de alta, P_alta [kPa]</t>
        </is>
      </c>
      <c r="AC5" s="22" t="inlineStr">
        <is>
          <t>P_baja · KALINA (n = 11) · y: η [%] (−0.6 = sin η)</t>
        </is>
      </c>
      <c r="AD5" s="22" t="inlineStr">
        <is>
          <t>P_baja · KALINA (n = 11) · x: Presión de baja, P_baja [kPa]</t>
        </is>
      </c>
      <c r="AE5" s="22" t="inlineStr">
        <is>
          <t>P_baja · Corregible (n = 5) · y: η [%] (−0.6 = sin η)</t>
        </is>
      </c>
      <c r="AF5" s="22" t="inlineStr">
        <is>
          <t>P_baja · Corregible (n = 5) · x: Presión de baja, P_baja [kPa]</t>
        </is>
      </c>
      <c r="AG5" s="22" t="inlineStr">
        <is>
          <t>P_baja · Inviable (n = 1) · y: η [%] (−0.6 = sin η)</t>
        </is>
      </c>
      <c r="AH5" s="22" t="inlineStr">
        <is>
          <t>P_baja · Inviable (n = 1) · x: Presión de baja, P_baja [kPa]</t>
        </is>
      </c>
      <c r="AI5" s="22" t="inlineStr">
        <is>
          <t>x_b · KALINA (n = 2) · y: η [%] (−0.6 = sin η)</t>
        </is>
      </c>
      <c r="AJ5" s="22" t="inlineStr">
        <is>
          <t>x_b · KALINA (n = 2) · x: Fracción de amoníaco de la mezcla base, x_b [–]</t>
        </is>
      </c>
      <c r="AK5" s="22" t="inlineStr">
        <is>
          <t>x_b · Corregible (n = 8) · y: η [%] (−0.6 = sin η)</t>
        </is>
      </c>
      <c r="AL5" s="22" t="inlineStr">
        <is>
          <t>x_b · Corregible (n = 8) · x: Fracción de amoníaco de la mezcla base, x_b [–]</t>
        </is>
      </c>
      <c r="AM5" s="22" t="inlineStr">
        <is>
          <t>x_b · Inviable (n = 3) · y: η [%] (−0.6 = sin η)</t>
        </is>
      </c>
      <c r="AN5" s="22" t="inlineStr">
        <is>
          <t>x_b · Inviable (n = 3) · x: Fracción de amoníaco de la mezcla base, x_b [–]</t>
        </is>
      </c>
      <c r="AO5" s="22" t="inlineStr">
        <is>
          <t>x_b · No convergió (n = 1) · y: η [%] (−0.6 = sin η)</t>
        </is>
      </c>
      <c r="AP5" s="22" t="inlineStr">
        <is>
          <t>x_b · No convergió (n = 1) · x: Fracción de amoníaco de la mezcla base, x_b [–]</t>
        </is>
      </c>
      <c r="AQ5" s="22" t="inlineStr">
        <is>
          <t>x_b · Falso convergido (n = 3) · y: η [%] (−0.6 = sin η)</t>
        </is>
      </c>
      <c r="AR5" s="22" t="inlineStr">
        <is>
          <t>x_b · Falso convergido (n = 3) · x: Fracción de amoníaco de la mezcla base, x_b [–]</t>
        </is>
      </c>
      <c r="AS5" s="22" t="inlineStr">
        <is>
          <t>η_t · KALINA (n = 10) · y: η [%] (−0.6 = sin η)</t>
        </is>
      </c>
      <c r="AT5" s="22" t="inlineStr">
        <is>
          <t>η_t · KALINA (n = 10) · x: Eficiencia isentrópica de la turbina, η_t [–]</t>
        </is>
      </c>
      <c r="AU5" s="22" t="inlineStr">
        <is>
          <t>η_t · Corregible (n = 7) · y: η [%] (−0.6 = sin η)</t>
        </is>
      </c>
      <c r="AV5" s="22" t="inlineStr">
        <is>
          <t>η_t · Corregible (n = 7) · x: Eficiencia isentrópica de la turbina, η_t [–]</t>
        </is>
      </c>
      <c r="AW5" s="22" t="inlineStr">
        <is>
          <t>η_p · KALINA (n = 17) · y: η [%] (−0.6 = sin η)</t>
        </is>
      </c>
      <c r="AX5" s="22" t="inlineStr">
        <is>
          <t>η_p · KALINA (n = 17) · x: Eficiencia isentrópica de la bomba, η_p [–]</t>
        </is>
      </c>
      <c r="AY5" s="22" t="inlineStr">
        <is>
          <t>ε_HRVG · KALINA (n = 14) · y: η [%] (−0.6 = sin η)</t>
        </is>
      </c>
      <c r="AZ5" s="22" t="inlineStr">
        <is>
          <t>ε_HRVG · KALINA (n = 14) · x: Efectividad del generador de vapor, ε_HRVG [–]</t>
        </is>
      </c>
      <c r="BA5" s="22" t="inlineStr">
        <is>
          <t>ε_HRVG · Corregible (n = 2) · y: η [%] (−0.6 = sin η)</t>
        </is>
      </c>
      <c r="BB5" s="22" t="inlineStr">
        <is>
          <t>ε_HRVG · Corregible (n = 2) · x: Efectividad del generador de vapor, ε_HRVG [–]</t>
        </is>
      </c>
      <c r="BC5" s="22" t="inlineStr">
        <is>
          <t>ε_HRVG · Inviable (n = 1) · y: η [%] (−0.6 = sin η)</t>
        </is>
      </c>
      <c r="BD5" s="22" t="inlineStr">
        <is>
          <t>ε_HRVG · Inviable (n = 1) · x: Efectividad del generador de vapor, ε_HRVG [–]</t>
        </is>
      </c>
      <c r="BE5" s="22" t="inlineStr">
        <is>
          <t>ε_reg · KALINA (n = 8) · y: η [%] (−0.6 = sin η)</t>
        </is>
      </c>
      <c r="BF5" s="22" t="inlineStr">
        <is>
          <t>ε_reg · KALINA (n = 8) · x: Efectividad del regenerador, ε_reg [–]</t>
        </is>
      </c>
      <c r="BG5" s="22" t="inlineStr">
        <is>
          <t>ε_reg · Corregible (n = 9) · y: η [%] (−0.6 = sin η)</t>
        </is>
      </c>
      <c r="BH5" s="22" t="inlineStr">
        <is>
          <t>ε_reg · Corregible (n = 9) · x: Efectividad del regenerador, ε_reg [–]</t>
        </is>
      </c>
      <c r="BI5" s="22" t="inlineStr">
        <is>
          <t>ε_cond · KALINA (n = 5) · y: η [%] (−0.6 = sin η)</t>
        </is>
      </c>
      <c r="BJ5" s="22" t="inlineStr">
        <is>
          <t>ε_cond · KALINA (n = 5) · x: Efectividad del condensador, ε_cond [–]</t>
        </is>
      </c>
      <c r="BK5" s="22" t="inlineStr">
        <is>
          <t>ε_cond · Corregible (n = 8) · y: η [%] (−0.6 = sin η)</t>
        </is>
      </c>
      <c r="BL5" s="22" t="inlineStr">
        <is>
          <t>ε_cond · Corregible (n = 8) · x: Efectividad del condensador, ε_cond [–]</t>
        </is>
      </c>
      <c r="BM5" s="22" t="inlineStr">
        <is>
          <t>ε_cond · No convergió (n = 4) · y: η [%] (−0.6 = sin η)</t>
        </is>
      </c>
      <c r="BN5" s="22" t="inlineStr">
        <is>
          <t>ε_cond · No convergió (n = 4) · x: Efectividad del condensador, ε_cond [–]</t>
        </is>
      </c>
      <c r="BP5" s="22" t="inlineStr">
        <is>
          <t>A* está a menos del 6 % del rango de la frontera de O2 en 8 de 9 variables · categoría: Variable</t>
        </is>
      </c>
      <c r="BQ5" s="22" t="inlineStr">
        <is>
          <t>A* está a menos del 6 % del rango de la frontera de O2 en 8 de 9 variables · Distancia a la frontera / rango [–]</t>
        </is>
      </c>
      <c r="BS5" s="22" t="inlineStr">
        <is>
          <t>T_fuente · KALINA (n = 121) · y: F(x)</t>
        </is>
      </c>
      <c r="BT5" s="22" t="inlineStr">
        <is>
          <t>T_fuente · KALINA (n = 121) · x: Temperatura de la fuente, T_fuente [K]</t>
        </is>
      </c>
      <c r="BU5" s="22" t="inlineStr">
        <is>
          <t>T_fuente · resto genuino (n = 331) · y: F(x)</t>
        </is>
      </c>
      <c r="BV5" s="22" t="inlineStr">
        <is>
          <t>T_fuente · resto genuino (n = 331) · x: Temperatura de la fuente, T_fuente [K]</t>
        </is>
      </c>
      <c r="BW5" s="22" t="inlineStr">
        <is>
          <t>T_fuente · sin resultado (n = 48) · y: F(x)</t>
        </is>
      </c>
      <c r="BX5" s="22" t="inlineStr">
        <is>
          <t>T_fuente · sin resultado (n = 48) · x: Temperatura de la fuente, T_fuente [K]</t>
        </is>
      </c>
      <c r="BY5" s="22" t="inlineStr">
        <is>
          <t>T_sumidero · KALINA (n = 121) · y: F(x)</t>
        </is>
      </c>
      <c r="BZ5" s="22" t="inlineStr">
        <is>
          <t>T_sumidero · KALINA (n = 121) · x: Temperatura del sumidero, T_sumidero [K]</t>
        </is>
      </c>
      <c r="CA5" s="22" t="inlineStr">
        <is>
          <t>T_sumidero · resto genuino (n = 331) · y: F(x)</t>
        </is>
      </c>
      <c r="CB5" s="22" t="inlineStr">
        <is>
          <t>T_sumidero · resto genuino (n = 331) · x: Temperatura del sumidero, T_sumidero [K]</t>
        </is>
      </c>
      <c r="CC5" s="22" t="inlineStr">
        <is>
          <t>T_sumidero · sin resultado (n = 48) · y: F(x)</t>
        </is>
      </c>
      <c r="CD5" s="22" t="inlineStr">
        <is>
          <t>T_sumidero · sin resultado (n = 48) · x: Temperatura del sumidero, T_sumidero [K]</t>
        </is>
      </c>
      <c r="CE5" s="22" t="inlineStr">
        <is>
          <t>P_alta · KALINA (n = 121) · y: F(x)</t>
        </is>
      </c>
      <c r="CF5" s="22" t="inlineStr">
        <is>
          <t>P_alta · KALINA (n = 121) · x: Presión de alta, P_alta [kPa]</t>
        </is>
      </c>
      <c r="CG5" s="22" t="inlineStr">
        <is>
          <t>P_alta · resto genuino (n = 331) · y: F(x)</t>
        </is>
      </c>
      <c r="CH5" s="22" t="inlineStr">
        <is>
          <t>P_alta · resto genuino (n = 331) · x: Presión de alta, P_alta [kPa]</t>
        </is>
      </c>
      <c r="CI5" s="22" t="inlineStr">
        <is>
          <t>P_alta · sin resultado (n = 48) · y: F(x)</t>
        </is>
      </c>
      <c r="CJ5" s="22" t="inlineStr">
        <is>
          <t>P_alta · sin resultado (n = 48) · x: Presión de alta, P_alta [kPa]</t>
        </is>
      </c>
      <c r="CK5" s="22" t="inlineStr">
        <is>
          <t>P_baja · KALINA (n = 121) · y: F(x)</t>
        </is>
      </c>
      <c r="CL5" s="22" t="inlineStr">
        <is>
          <t>P_baja · KALINA (n = 121) · x: Presión de baja, P_baja [kPa]</t>
        </is>
      </c>
      <c r="CM5" s="22" t="inlineStr">
        <is>
          <t>P_baja · resto genuino (n = 331) · y: F(x)</t>
        </is>
      </c>
      <c r="CN5" s="22" t="inlineStr">
        <is>
          <t>P_baja · resto genuino (n = 331) · x: Presión de baja, P_baja [kPa]</t>
        </is>
      </c>
      <c r="CO5" s="22" t="inlineStr">
        <is>
          <t>P_baja · sin resultado (n = 48) · y: F(x)</t>
        </is>
      </c>
      <c r="CP5" s="22" t="inlineStr">
        <is>
          <t>P_baja · sin resultado (n = 48) · x: Presión de baja, P_baja [kPa]</t>
        </is>
      </c>
      <c r="CQ5" s="22" t="inlineStr">
        <is>
          <t>x_b · KALINA (n = 121) · y: F(x)</t>
        </is>
      </c>
      <c r="CR5" s="22" t="inlineStr">
        <is>
          <t>x_b · KALINA (n = 121) · x: Fracción de amoníaco de la mezcla base, x_b [–]</t>
        </is>
      </c>
      <c r="CS5" s="22" t="inlineStr">
        <is>
          <t>x_b · resto genuino (n = 331) · y: F(x)</t>
        </is>
      </c>
      <c r="CT5" s="22" t="inlineStr">
        <is>
          <t>x_b · resto genuino (n = 331) · x: Fracción de amoníaco de la mezcla base, x_b [–]</t>
        </is>
      </c>
      <c r="CU5" s="22" t="inlineStr">
        <is>
          <t>x_b · sin resultado (n = 48) · y: F(x)</t>
        </is>
      </c>
      <c r="CV5" s="22" t="inlineStr">
        <is>
          <t>x_b · sin resultado (n = 48) · x: Fracción de amoníaco de la mezcla base, x_b [–]</t>
        </is>
      </c>
      <c r="CW5" s="22" t="inlineStr">
        <is>
          <t>η_t · KALINA (n = 121) · y: F(x)</t>
        </is>
      </c>
      <c r="CX5" s="22" t="inlineStr">
        <is>
          <t>η_t · KALINA (n = 121) · x: Eficiencia isentrópica de la turbina, η_t [–]</t>
        </is>
      </c>
      <c r="CY5" s="22" t="inlineStr">
        <is>
          <t>η_t · resto genuino (n = 331) · y: F(x)</t>
        </is>
      </c>
      <c r="CZ5" s="22" t="inlineStr">
        <is>
          <t>η_t · resto genuino (n = 331) · x: Eficiencia isentrópica de la turbina, η_t [–]</t>
        </is>
      </c>
      <c r="DA5" s="22" t="inlineStr">
        <is>
          <t>η_t · sin resultado (n = 48) · y: F(x)</t>
        </is>
      </c>
      <c r="DB5" s="22" t="inlineStr">
        <is>
          <t>η_t · sin resultado (n = 48) · x: Eficiencia isentrópica de la turbina, η_t [–]</t>
        </is>
      </c>
      <c r="DC5" s="22" t="inlineStr">
        <is>
          <t>η_p · KALINA (n = 121) · y: F(x)</t>
        </is>
      </c>
      <c r="DD5" s="22" t="inlineStr">
        <is>
          <t>η_p · KALINA (n = 121) · x: Eficiencia isentrópica de la bomba, η_p [–]</t>
        </is>
      </c>
      <c r="DE5" s="22" t="inlineStr">
        <is>
          <t>η_p · resto genuino (n = 331) · y: F(x)</t>
        </is>
      </c>
      <c r="DF5" s="22" t="inlineStr">
        <is>
          <t>η_p · resto genuino (n = 331) · x: Eficiencia isentrópica de la bomba, η_p [–]</t>
        </is>
      </c>
      <c r="DG5" s="22" t="inlineStr">
        <is>
          <t>η_p · sin resultado (n = 48) · y: F(x)</t>
        </is>
      </c>
      <c r="DH5" s="22" t="inlineStr">
        <is>
          <t>η_p · sin resultado (n = 48) · x: Eficiencia isentrópica de la bomba, η_p [–]</t>
        </is>
      </c>
      <c r="DI5" s="22" t="inlineStr">
        <is>
          <t>ε_HRVG · KALINA (n = 121) · y: F(x)</t>
        </is>
      </c>
      <c r="DJ5" s="22" t="inlineStr">
        <is>
          <t>ε_HRVG · KALINA (n = 121) · x: Efectividad del generador de vapor, ε_HRVG [–]</t>
        </is>
      </c>
      <c r="DK5" s="22" t="inlineStr">
        <is>
          <t>ε_HRVG · resto genuino (n = 331) · y: F(x)</t>
        </is>
      </c>
      <c r="DL5" s="22" t="inlineStr">
        <is>
          <t>ε_HRVG · resto genuino (n = 331) · x: Efectividad del generador de vapor, ε_HRVG [–]</t>
        </is>
      </c>
      <c r="DM5" s="22" t="inlineStr">
        <is>
          <t>ε_HRVG · sin resultado (n = 48) · y: F(x)</t>
        </is>
      </c>
      <c r="DN5" s="22" t="inlineStr">
        <is>
          <t>ε_HRVG · sin resultado (n = 48) · x: Efectividad del generador de vapor, ε_HRVG [–]</t>
        </is>
      </c>
      <c r="DO5" s="22" t="inlineStr">
        <is>
          <t>ε_reg · KALINA (n = 121) · y: F(x)</t>
        </is>
      </c>
      <c r="DP5" s="22" t="inlineStr">
        <is>
          <t>ε_reg · KALINA (n = 121) · x: Efectividad del regenerador, ε_reg [–]</t>
        </is>
      </c>
      <c r="DQ5" s="22" t="inlineStr">
        <is>
          <t>ε_reg · resto genuino (n = 331) · y: F(x)</t>
        </is>
      </c>
      <c r="DR5" s="22" t="inlineStr">
        <is>
          <t>ε_reg · resto genuino (n = 331) · x: Efectividad del regenerador, ε_reg [–]</t>
        </is>
      </c>
      <c r="DS5" s="22" t="inlineStr">
        <is>
          <t>ε_reg · sin resultado (n = 48) · y: F(x)</t>
        </is>
      </c>
      <c r="DT5" s="22" t="inlineStr">
        <is>
          <t>ε_reg · sin resultado (n = 48) · x: Efectividad del regenerador, ε_reg [–]</t>
        </is>
      </c>
      <c r="DU5" s="22" t="inlineStr">
        <is>
          <t>ε_cond · KALINA (n = 121) · y: F(x)</t>
        </is>
      </c>
      <c r="DV5" s="22" t="inlineStr">
        <is>
          <t>ε_cond · KALINA (n = 121) · x: Efectividad del condensador, ε_cond [–]</t>
        </is>
      </c>
      <c r="DW5" s="22" t="inlineStr">
        <is>
          <t>ε_cond · resto genuino (n = 331) · y: F(x)</t>
        </is>
      </c>
      <c r="DX5" s="22" t="inlineStr">
        <is>
          <t>ε_cond · resto genuino (n = 331) · x: Efectividad del condensador, ε_cond [–]</t>
        </is>
      </c>
      <c r="DY5" s="22" t="inlineStr">
        <is>
          <t>ε_cond · sin resultado (n = 48) · y: F(x)</t>
        </is>
      </c>
      <c r="DZ5" s="22" t="inlineStr">
        <is>
          <t>ε_cond · sin resultado (n = 48) · x: Efectividad del condensador, ε_cond [–]</t>
        </is>
      </c>
      <c r="EB5" s="22" t="inlineStr">
        <is>
          <t>El 90 % de los KALINA tiene razón de presiones entre 1.7 y 5.3 · KALINA (n = 83) · y: Presión de baja, P_baja [kPa]</t>
        </is>
      </c>
      <c r="EC5" s="22" t="inlineStr">
        <is>
          <t>El 90 % de los KALINA tiene razón de presiones entre 1.7 y 5.3 · KALINA (n = 83) · x: Presión de alta, P_alta [kPa]</t>
        </is>
      </c>
      <c r="ED5" s="22" t="inlineStr">
        <is>
          <t>El 90 % de los KALINA tiene razón de presiones entre 1.7 y 5.3 · KALINA, fuera de rango (n = 38) · y: Presión de baja, P_baja [kPa]</t>
        </is>
      </c>
      <c r="EE5" s="22" t="inlineStr">
        <is>
          <t>El 90 % de los KALINA tiene razón de presiones entre 1.7 y 5.3 · KALINA, fuera de rango (n = 38) · x: Presión de alta, P_alta [kPa]</t>
        </is>
      </c>
      <c r="EF5" s="22" t="inlineStr">
        <is>
          <t>El 90 % de los KALINA tiene razón de presiones entre 1.7 y 5.3 · Corregible (n = 132) · y: Presión de baja, P_baja [kPa]</t>
        </is>
      </c>
      <c r="EG5" s="22" t="inlineStr">
        <is>
          <t>El 90 % de los KALINA tiene razón de presiones entre 1.7 y 5.3 · Corregible (n = 132) · x: Presión de alta, P_alta [kPa]</t>
        </is>
      </c>
      <c r="EH5" s="22" t="inlineStr">
        <is>
          <t>El 90 % de los KALINA tiene razón de presiones entre 1.7 y 5.3 · Corregible, fuera de rango (n = 176) · y: Presión de baja, P_baja [kPa]</t>
        </is>
      </c>
      <c r="EI5" s="22" t="inlineStr">
        <is>
          <t>El 90 % de los KALINA tiene razón de presiones entre 1.7 y 5.3 · Corregible, fuera de rango (n = 176) · x: Presión de alta, P_alta [kPa]</t>
        </is>
      </c>
      <c r="EJ5" s="22" t="inlineStr">
        <is>
          <t>El 90 % de los KALINA tiene razón de presiones entre 1.7 y 5.3 · Inviable (n = 18) · y: Presión de baja, P_baja [kPa]</t>
        </is>
      </c>
      <c r="EK5" s="22" t="inlineStr">
        <is>
          <t>El 90 % de los KALINA tiene razón de presiones entre 1.7 y 5.3 · Inviable (n = 18) · x: Presión de alta, P_alta [kPa]</t>
        </is>
      </c>
      <c r="EL5" s="22" t="inlineStr">
        <is>
          <t>El 90 % de los KALINA tiene razón de presiones entre 1.7 y 5.3 · Inviable, fuera de rango (n = 5) · y: Presión de baja, P_baja [kPa]</t>
        </is>
      </c>
      <c r="EM5" s="22" t="inlineStr">
        <is>
          <t>El 90 % de los KALINA tiene razón de presiones entre 1.7 y 5.3 · Inviable, fuera de rango (n = 5) · x: Presión de alta, P_alta [kPa]</t>
        </is>
      </c>
      <c r="EN5" s="22" t="inlineStr">
        <is>
          <t>El 90 % de los KALINA tiene razón de presiones entre 1.7 y 5.3 · No convergió (n = 35) · y: Presión de baja, P_baja [kPa]</t>
        </is>
      </c>
      <c r="EO5" s="22" t="inlineStr">
        <is>
          <t>El 90 % de los KALINA tiene razón de presiones entre 1.7 y 5.3 · No convergió (n = 35) · x: Presión de alta, P_alta [kPa]</t>
        </is>
      </c>
      <c r="EP5" s="22" t="inlineStr">
        <is>
          <t>El 90 % de los KALINA tiene razón de presiones entre 1.7 y 5.3 · Falso convergido (n = 13) · y: Presión de baja, P_baja [kPa]</t>
        </is>
      </c>
      <c r="EQ5" s="22" t="inlineStr">
        <is>
          <t>El 90 % de los KALINA tiene razón de presiones entre 1.7 y 5.3 · Falso convergido (n = 13) · x: Presión de alta, P_alta [kPa]</t>
        </is>
      </c>
      <c r="ER5" s="22" t="inlineStr">
        <is>
          <t xml:space="preserve">r_P = 1.69 · y: </t>
        </is>
      </c>
      <c r="ES5" s="22" t="inlineStr">
        <is>
          <t xml:space="preserve">r_P = 1.69 · x: </t>
        </is>
      </c>
      <c r="ET5" s="22" t="inlineStr">
        <is>
          <t xml:space="preserve">r_P = 5.34 · y: </t>
        </is>
      </c>
      <c r="EU5" s="22" t="inlineStr">
        <is>
          <t xml:space="preserve">r_P = 5.34 · x: </t>
        </is>
      </c>
      <c r="EW5" s="22" t="inlineStr">
        <is>
          <t>Influencia de cada variable sobre η (PRCC, 430 puntos) · categoría: Variable</t>
        </is>
      </c>
      <c r="EX5" s="22" t="inlineStr">
        <is>
          <t>Influencia de cada variable sobre η (PRCC, 430 puntos) · PRCC sobre η [–]</t>
        </is>
      </c>
      <c r="EZ5" s="22" t="inlineStr">
        <is>
          <t>Diferencia de presiones, ΔP [kPa] · categoría: Diferencia de presiones, ΔP [kPa]</t>
        </is>
      </c>
      <c r="FA5" s="22" t="inlineStr">
        <is>
          <t>Diferencia de presiones, ΔP [kPa] · KALINA (n = 121)</t>
        </is>
      </c>
      <c r="FB5" s="22" t="inlineStr">
        <is>
          <t>Diferencia de presiones, ΔP [kPa] · resto (n = 331)</t>
        </is>
      </c>
      <c r="FC5" s="22" t="inlineStr">
        <is>
          <t>Diferencia de presiones, ΔP [kPa] · sin resultado (n = 48)</t>
        </is>
      </c>
      <c r="FD5" s="22" t="inlineStr">
        <is>
          <t>Razón de presiones, r_P [–] · categoría: Razón de presiones, r_P [–]</t>
        </is>
      </c>
      <c r="FE5" s="22" t="inlineStr">
        <is>
          <t>Razón de presiones, r_P [–] · KALINA (n = 121)</t>
        </is>
      </c>
      <c r="FF5" s="22" t="inlineStr">
        <is>
          <t>Razón de presiones, r_P [–] · resto (n = 331)</t>
        </is>
      </c>
      <c r="FG5" s="22" t="inlineStr">
        <is>
          <t>Razón de presiones, r_P [–] · sin resultado (n = 48)</t>
        </is>
      </c>
      <c r="FI5" s="22" t="inlineStr">
        <is>
          <t>Fracción de KALINA al subir P_baja entre 1500 y 2500 kPa · categoría: Franja de P_baja [kPa]</t>
        </is>
      </c>
      <c r="FJ5" s="22" t="inlineStr">
        <is>
          <t>Fracción de KALINA al subir P_baja entre 1500 y 2500 kPa · KALINA dentro del rango (n = 45)</t>
        </is>
      </c>
      <c r="FK5" s="22" t="inlineStr">
        <is>
          <t>Fracción de KALINA al subir P_baja entre 1500 y 2500 kPa · KALINA fuera de rango (n = 30)</t>
        </is>
      </c>
    </row>
    <row r="6">
      <c r="A6" s="16" t="inlineStr">
        <is>
          <t>ε_cond</t>
        </is>
      </c>
      <c r="B6" s="16" t="n">
        <v>0.821167</v>
      </c>
      <c r="D6" s="16" t="inlineStr">
        <is>
          <t>η_p</t>
        </is>
      </c>
      <c r="E6" s="16" t="n">
        <v>0.149138</v>
      </c>
      <c r="G6" s="16" t="n">
        <v>7.901241</v>
      </c>
      <c r="H6" s="16" t="n">
        <v>400.675</v>
      </c>
      <c r="I6" s="16" t="n">
        <v>10.741058</v>
      </c>
      <c r="J6" s="16" t="n">
        <v>420.9</v>
      </c>
      <c r="K6" s="16" t="n">
        <v>11.529754</v>
      </c>
      <c r="L6" s="16" t="n">
        <v>441.125</v>
      </c>
      <c r="M6" s="16" t="n">
        <v>-0.6</v>
      </c>
      <c r="N6" s="16" t="n">
        <v>340</v>
      </c>
      <c r="O6" s="16" t="n">
        <v>-0.6</v>
      </c>
      <c r="P6" s="16" t="n">
        <v>380.45</v>
      </c>
      <c r="Q6" s="16" t="n">
        <v>7.828192</v>
      </c>
      <c r="R6" s="16" t="n">
        <v>284.607143</v>
      </c>
      <c r="S6" s="16" t="n">
        <v>8.509335999999999</v>
      </c>
      <c r="T6" s="16" t="n">
        <v>300.635714</v>
      </c>
      <c r="U6" s="16" t="n">
        <v>4.655037</v>
      </c>
      <c r="V6" s="16" t="n">
        <v>3571.428571</v>
      </c>
      <c r="W6" s="16" t="n">
        <v>4.047566</v>
      </c>
      <c r="X6" s="16" t="n">
        <v>1000</v>
      </c>
      <c r="Y6" s="16" t="n">
        <v>-0.6</v>
      </c>
      <c r="Z6" s="16" t="n">
        <v>6142.857143</v>
      </c>
      <c r="AA6" s="16" t="n">
        <v>-0.6</v>
      </c>
      <c r="AB6" s="16" t="n">
        <v>4214.285714</v>
      </c>
      <c r="AC6" s="16" t="n">
        <v>7.912398</v>
      </c>
      <c r="AD6" s="16" t="n">
        <v>632.142857</v>
      </c>
      <c r="AE6" s="16" t="n">
        <v>4.199257</v>
      </c>
      <c r="AF6" s="16" t="n">
        <v>246.428571</v>
      </c>
      <c r="AG6" s="16" t="n">
        <v>-0.6</v>
      </c>
      <c r="AH6" s="16" t="n">
        <v>150</v>
      </c>
      <c r="AI6" s="16" t="n">
        <v>6.424405</v>
      </c>
      <c r="AJ6" s="16" t="n">
        <v>0.471429</v>
      </c>
      <c r="AK6" s="16" t="n">
        <v>9.215854</v>
      </c>
      <c r="AL6" s="16" t="n">
        <v>0.514286</v>
      </c>
      <c r="AM6" s="16" t="n">
        <v>-0.6</v>
      </c>
      <c r="AN6" s="16" t="n">
        <v>0.428571</v>
      </c>
      <c r="AO6" s="16" t="n">
        <v>-0.6</v>
      </c>
      <c r="AP6" s="16" t="n">
        <v>0.857143</v>
      </c>
      <c r="AQ6" s="16" t="n">
        <v>-0.6</v>
      </c>
      <c r="AR6" s="16" t="n">
        <v>0.342857</v>
      </c>
      <c r="AS6" s="16" t="n">
        <v>6.476315</v>
      </c>
      <c r="AT6" s="16" t="n">
        <v>0.675</v>
      </c>
      <c r="AU6" s="16" t="n">
        <v>3.309498</v>
      </c>
      <c r="AV6" s="16" t="n">
        <v>0.4</v>
      </c>
      <c r="AW6" s="16" t="n">
        <v>7.370337</v>
      </c>
      <c r="AX6" s="16" t="n">
        <v>0.4</v>
      </c>
      <c r="AY6" s="16" t="n">
        <v>3.391603</v>
      </c>
      <c r="AZ6" s="16" t="n">
        <v>0.439286</v>
      </c>
      <c r="BA6" s="16" t="n">
        <v>8.616161999999999</v>
      </c>
      <c r="BB6" s="16" t="n">
        <v>0.871429</v>
      </c>
      <c r="BC6" s="16" t="n">
        <v>8.844975</v>
      </c>
      <c r="BD6" s="16" t="n">
        <v>0.910714</v>
      </c>
      <c r="BE6" s="16" t="n">
        <v>8.918825999999999</v>
      </c>
      <c r="BF6" s="16" t="n">
        <v>0.792857</v>
      </c>
      <c r="BG6" s="16" t="n">
        <v>5.964613</v>
      </c>
      <c r="BH6" s="16" t="n">
        <v>0.4</v>
      </c>
      <c r="BI6" s="16" t="n">
        <v>8.061544</v>
      </c>
      <c r="BJ6" s="16" t="n">
        <v>0.910714</v>
      </c>
      <c r="BK6" s="16" t="n">
        <v>8.05916</v>
      </c>
      <c r="BL6" s="16" t="n">
        <v>0.5571430000000001</v>
      </c>
      <c r="BM6" s="16" t="n">
        <v>-0.6</v>
      </c>
      <c r="BN6" s="16" t="n">
        <v>0.4</v>
      </c>
      <c r="BP6" s="16" t="inlineStr">
        <is>
          <t>η_t</t>
        </is>
      </c>
      <c r="BQ6" s="16" t="n">
        <v>0.34257</v>
      </c>
      <c r="BS6" s="16" t="n">
        <v>0.008264000000000001</v>
      </c>
      <c r="BT6" s="16" t="n">
        <v>380.583624</v>
      </c>
      <c r="BU6" s="16" t="n">
        <v>0.003021</v>
      </c>
      <c r="BV6" s="16" t="n">
        <v>380.229924</v>
      </c>
      <c r="BW6" s="16" t="n">
        <v>0.020833</v>
      </c>
      <c r="BX6" s="16" t="n">
        <v>380.294185</v>
      </c>
      <c r="BY6" s="16" t="n">
        <v>0.008264000000000001</v>
      </c>
      <c r="BZ6" s="16" t="n">
        <v>278.262261</v>
      </c>
      <c r="CA6" s="16" t="n">
        <v>0.003021</v>
      </c>
      <c r="CB6" s="16" t="n">
        <v>278.183389</v>
      </c>
      <c r="CC6" s="16" t="n">
        <v>0.020833</v>
      </c>
      <c r="CD6" s="16" t="n">
        <v>278.359048</v>
      </c>
      <c r="CE6" s="16" t="n">
        <v>0.008264000000000001</v>
      </c>
      <c r="CF6" s="16" t="n">
        <v>2005.395073</v>
      </c>
      <c r="CG6" s="16" t="n">
        <v>0.003021</v>
      </c>
      <c r="CH6" s="16" t="n">
        <v>2009.945023</v>
      </c>
      <c r="CI6" s="16" t="n">
        <v>0.020833</v>
      </c>
      <c r="CJ6" s="16" t="n">
        <v>2022.17241</v>
      </c>
      <c r="CK6" s="16" t="n">
        <v>0.008264000000000001</v>
      </c>
      <c r="CL6" s="16" t="n">
        <v>546.971675</v>
      </c>
      <c r="CM6" s="16" t="n">
        <v>0.003021</v>
      </c>
      <c r="CN6" s="16" t="n">
        <v>302.94923</v>
      </c>
      <c r="CO6" s="16" t="n">
        <v>0.020833</v>
      </c>
      <c r="CP6" s="16" t="n">
        <v>306.728388</v>
      </c>
      <c r="CQ6" s="16" t="n">
        <v>0.008264000000000001</v>
      </c>
      <c r="CR6" s="16" t="n">
        <v>0.507107</v>
      </c>
      <c r="CS6" s="16" t="n">
        <v>0.003021</v>
      </c>
      <c r="CT6" s="16" t="n">
        <v>0.500115</v>
      </c>
      <c r="CU6" s="16" t="n">
        <v>0.020833</v>
      </c>
      <c r="CV6" s="16" t="n">
        <v>0.505277</v>
      </c>
      <c r="CW6" s="16" t="n">
        <v>0.008264000000000001</v>
      </c>
      <c r="CX6" s="16" t="n">
        <v>0.750358</v>
      </c>
      <c r="CY6" s="16" t="n">
        <v>0.003021</v>
      </c>
      <c r="CZ6" s="16" t="n">
        <v>0.751912</v>
      </c>
      <c r="DA6" s="16" t="n">
        <v>0.020833</v>
      </c>
      <c r="DB6" s="16" t="n">
        <v>0.7504110000000001</v>
      </c>
      <c r="DC6" s="16" t="n">
        <v>0.008264000000000001</v>
      </c>
      <c r="DD6" s="16" t="n">
        <v>0.653125</v>
      </c>
      <c r="DE6" s="16" t="n">
        <v>0.003021</v>
      </c>
      <c r="DF6" s="16" t="n">
        <v>0.6504</v>
      </c>
      <c r="DG6" s="16" t="n">
        <v>0.020833</v>
      </c>
      <c r="DH6" s="16" t="n">
        <v>0.650937</v>
      </c>
      <c r="DI6" s="16" t="n">
        <v>0.008264000000000001</v>
      </c>
      <c r="DJ6" s="16" t="n">
        <v>0.600039</v>
      </c>
      <c r="DK6" s="16" t="n">
        <v>0.003021</v>
      </c>
      <c r="DL6" s="16" t="n">
        <v>0.6006050000000001</v>
      </c>
      <c r="DM6" s="16" t="n">
        <v>0.020833</v>
      </c>
      <c r="DN6" s="16" t="n">
        <v>0.606208</v>
      </c>
      <c r="DO6" s="16" t="n">
        <v>0.008264000000000001</v>
      </c>
      <c r="DP6" s="16" t="n">
        <v>0.603488</v>
      </c>
      <c r="DQ6" s="16" t="n">
        <v>0.003021</v>
      </c>
      <c r="DR6" s="16" t="n">
        <v>0.600973</v>
      </c>
      <c r="DS6" s="16" t="n">
        <v>0.020833</v>
      </c>
      <c r="DT6" s="16" t="n">
        <v>0.608387</v>
      </c>
      <c r="DU6" s="16" t="n">
        <v>0.008264000000000001</v>
      </c>
      <c r="DV6" s="16" t="n">
        <v>0.7034010000000001</v>
      </c>
      <c r="DW6" s="16" t="n">
        <v>0.003021</v>
      </c>
      <c r="DX6" s="16" t="n">
        <v>0.700136</v>
      </c>
      <c r="DY6" s="16" t="n">
        <v>0.020833</v>
      </c>
      <c r="DZ6" s="16" t="n">
        <v>0.708438</v>
      </c>
      <c r="EB6" s="16" t="n">
        <v>1460.712585</v>
      </c>
      <c r="EC6" s="16" t="n">
        <v>4011.037294</v>
      </c>
      <c r="ED6" s="16" t="n">
        <v>1372.230739</v>
      </c>
      <c r="EE6" s="16" t="n">
        <v>2367.202377</v>
      </c>
      <c r="EF6" s="16" t="n">
        <v>1152.091133</v>
      </c>
      <c r="EG6" s="16" t="n">
        <v>3659.899746</v>
      </c>
      <c r="EH6" s="16" t="n">
        <v>662.410312</v>
      </c>
      <c r="EI6" s="16" t="n">
        <v>3665.962676</v>
      </c>
      <c r="EJ6" s="16" t="n">
        <v>395.240242</v>
      </c>
      <c r="EK6" s="16" t="n">
        <v>2805.79974</v>
      </c>
      <c r="EL6" s="16" t="n">
        <v>388.397699</v>
      </c>
      <c r="EM6" s="16" t="n">
        <v>3022.82166</v>
      </c>
      <c r="EN6" s="16" t="n">
        <v>405.24035</v>
      </c>
      <c r="EO6" s="16" t="n">
        <v>4932.994105</v>
      </c>
      <c r="EP6" s="16" t="n">
        <v>490.843587</v>
      </c>
      <c r="EQ6" s="16" t="n">
        <v>3885.397077</v>
      </c>
      <c r="ER6" s="16" t="n">
        <v>1189.340858</v>
      </c>
      <c r="ES6" s="16" t="n">
        <v>2005.395073</v>
      </c>
      <c r="ET6" s="16" t="n">
        <v>375.583064</v>
      </c>
      <c r="EU6" s="16" t="n">
        <v>2005.395073</v>
      </c>
      <c r="EW6" s="16" t="inlineStr">
        <is>
          <t>ε_HRVG</t>
        </is>
      </c>
      <c r="EX6" s="16" t="n">
        <v>0.008215</v>
      </c>
      <c r="EZ6" s="16" t="inlineStr">
        <is>
          <t>655–851</t>
        </is>
      </c>
      <c r="FA6" s="16" t="n">
        <v>4</v>
      </c>
      <c r="FB6" s="16" t="n">
        <v>6</v>
      </c>
      <c r="FC6" s="16" t="n">
        <v>0</v>
      </c>
      <c r="FD6" s="16" t="inlineStr">
        <is>
          <t>1.5–2.1</t>
        </is>
      </c>
      <c r="FE6" s="16" t="n">
        <v>18</v>
      </c>
      <c r="FF6" s="16" t="n">
        <v>26</v>
      </c>
      <c r="FG6" s="16" t="n">
        <v>1</v>
      </c>
      <c r="FI6" s="16" t="inlineStr">
        <is>
          <t>1500–1600</t>
        </is>
      </c>
      <c r="FJ6" s="16" t="n">
        <v>13.333333</v>
      </c>
      <c r="FK6" s="16" t="n">
        <v>20</v>
      </c>
    </row>
    <row r="7">
      <c r="A7" s="16" t="inlineStr">
        <is>
          <t>T_sumidero</t>
        </is>
      </c>
      <c r="B7" s="16" t="n">
        <v>0.852534</v>
      </c>
      <c r="D7" s="16" t="inlineStr">
        <is>
          <t>ε_cond</t>
        </is>
      </c>
      <c r="E7" s="16" t="n">
        <v>-0.405812</v>
      </c>
      <c r="G7" s="16" t="n">
        <v>7.758199</v>
      </c>
      <c r="H7" s="16" t="n">
        <v>400.1685</v>
      </c>
      <c r="I7" s="16" t="n">
        <v>9.053915</v>
      </c>
      <c r="J7" s="16" t="n">
        <v>405.8315</v>
      </c>
      <c r="K7" s="16" t="n">
        <v>11.568635</v>
      </c>
      <c r="L7" s="16" t="n">
        <v>461.35</v>
      </c>
      <c r="M7" s="16" t="n">
        <v>-0.6</v>
      </c>
      <c r="N7" s="16" t="n">
        <v>360.225</v>
      </c>
      <c r="O7" s="16" t="n"/>
      <c r="P7" s="16" t="n"/>
      <c r="Q7" s="16" t="n">
        <v>7.77124</v>
      </c>
      <c r="R7" s="16" t="n">
        <v>283.15</v>
      </c>
      <c r="S7" s="16" t="n">
        <v>8.570622999999999</v>
      </c>
      <c r="T7" s="16" t="n">
        <v>302.092857</v>
      </c>
      <c r="U7" s="16" t="n">
        <v>8.152435000000001</v>
      </c>
      <c r="V7" s="16" t="n">
        <v>3090</v>
      </c>
      <c r="W7" s="16" t="n">
        <v>9.192235999999999</v>
      </c>
      <c r="X7" s="16" t="n">
        <v>2285.714286</v>
      </c>
      <c r="Y7" s="16" t="n">
        <v>-0.6</v>
      </c>
      <c r="Z7" s="16" t="n">
        <v>5500</v>
      </c>
      <c r="AA7" s="16" t="n">
        <v>-0.6</v>
      </c>
      <c r="AB7" s="16" t="n">
        <v>4857.142857</v>
      </c>
      <c r="AC7" s="16" t="n">
        <v>7.200137</v>
      </c>
      <c r="AD7" s="16" t="n">
        <v>728.571429</v>
      </c>
      <c r="AE7" s="16" t="n">
        <v>10.296908</v>
      </c>
      <c r="AF7" s="16" t="n">
        <v>342.857143</v>
      </c>
      <c r="AG7" s="16" t="n"/>
      <c r="AH7" s="16" t="n"/>
      <c r="AI7" s="16" t="n">
        <v>8.120269</v>
      </c>
      <c r="AJ7" s="16" t="n">
        <v>0.494</v>
      </c>
      <c r="AK7" s="16" t="n">
        <v>11.382367</v>
      </c>
      <c r="AL7" s="16" t="n">
        <v>0.6</v>
      </c>
      <c r="AM7" s="16" t="n">
        <v>-0.6</v>
      </c>
      <c r="AN7" s="16" t="n">
        <v>0.814286</v>
      </c>
      <c r="AO7" s="16" t="n"/>
      <c r="AP7" s="16" t="n"/>
      <c r="AQ7" s="16" t="n">
        <v>-0.6</v>
      </c>
      <c r="AR7" s="16" t="n">
        <v>0.385714</v>
      </c>
      <c r="AS7" s="16" t="n">
        <v>6.927175</v>
      </c>
      <c r="AT7" s="16" t="n">
        <v>0.714286</v>
      </c>
      <c r="AU7" s="16" t="n">
        <v>3.763072</v>
      </c>
      <c r="AV7" s="16" t="n">
        <v>0.439286</v>
      </c>
      <c r="AW7" s="16" t="n">
        <v>7.584093</v>
      </c>
      <c r="AX7" s="16" t="n">
        <v>0.439286</v>
      </c>
      <c r="AY7" s="16" t="n">
        <v>2.362049</v>
      </c>
      <c r="AZ7" s="16" t="n">
        <v>0.4</v>
      </c>
      <c r="BA7" s="16" t="n">
        <v>9.053172</v>
      </c>
      <c r="BB7" s="16" t="n">
        <v>0.95</v>
      </c>
      <c r="BC7" s="16" t="n"/>
      <c r="BD7" s="16" t="n"/>
      <c r="BE7" s="16" t="n">
        <v>8.516768000000001</v>
      </c>
      <c r="BF7" s="16" t="n">
        <v>0.753571</v>
      </c>
      <c r="BG7" s="16" t="n">
        <v>6.180949</v>
      </c>
      <c r="BH7" s="16" t="n">
        <v>0.439286</v>
      </c>
      <c r="BI7" s="16" t="n">
        <v>8.34862</v>
      </c>
      <c r="BJ7" s="16" t="n">
        <v>0.832143</v>
      </c>
      <c r="BK7" s="16" t="n">
        <v>8.656207999999999</v>
      </c>
      <c r="BL7" s="16" t="n">
        <v>0.753571</v>
      </c>
      <c r="BM7" s="16" t="n">
        <v>-0.6</v>
      </c>
      <c r="BN7" s="16" t="n">
        <v>0.439286</v>
      </c>
      <c r="BP7" s="16" t="inlineStr">
        <is>
          <t>ε_reg</t>
        </is>
      </c>
      <c r="BQ7" s="16" t="n">
        <v>0.057196</v>
      </c>
      <c r="BS7" s="16" t="n">
        <v>0.016529</v>
      </c>
      <c r="BT7" s="16" t="n">
        <v>380.87366</v>
      </c>
      <c r="BU7" s="16" t="n">
        <v>0.006042</v>
      </c>
      <c r="BV7" s="16" t="n">
        <v>382.887652</v>
      </c>
      <c r="BW7" s="16" t="n">
        <v>0.041667</v>
      </c>
      <c r="BX7" s="16" t="n">
        <v>381.517041</v>
      </c>
      <c r="BY7" s="16" t="n">
        <v>0.016529</v>
      </c>
      <c r="BZ7" s="16" t="n">
        <v>278.63928</v>
      </c>
      <c r="CA7" s="16" t="n">
        <v>0.006042</v>
      </c>
      <c r="CB7" s="16" t="n">
        <v>278.192452</v>
      </c>
      <c r="CC7" s="16" t="n">
        <v>0.041667</v>
      </c>
      <c r="CD7" s="16" t="n">
        <v>278.85928</v>
      </c>
      <c r="CE7" s="16" t="n">
        <v>0.016529</v>
      </c>
      <c r="CF7" s="16" t="n">
        <v>2017.489854</v>
      </c>
      <c r="CG7" s="16" t="n">
        <v>0.006042</v>
      </c>
      <c r="CH7" s="16" t="n">
        <v>2026.762752</v>
      </c>
      <c r="CI7" s="16" t="n">
        <v>0.041667</v>
      </c>
      <c r="CJ7" s="16" t="n">
        <v>2171.291893</v>
      </c>
      <c r="CK7" s="16" t="n">
        <v>0.016529</v>
      </c>
      <c r="CL7" s="16" t="n">
        <v>558.164701</v>
      </c>
      <c r="CM7" s="16" t="n">
        <v>0.006042</v>
      </c>
      <c r="CN7" s="16" t="n">
        <v>304.740973</v>
      </c>
      <c r="CO7" s="16" t="n">
        <v>0.041667</v>
      </c>
      <c r="CP7" s="16" t="n">
        <v>328.584361</v>
      </c>
      <c r="CQ7" s="16" t="n">
        <v>0.016529</v>
      </c>
      <c r="CR7" s="16" t="n">
        <v>0.507436</v>
      </c>
      <c r="CS7" s="16" t="n">
        <v>0.006042</v>
      </c>
      <c r="CT7" s="16" t="n">
        <v>0.50017</v>
      </c>
      <c r="CU7" s="16" t="n">
        <v>0.041667</v>
      </c>
      <c r="CV7" s="16" t="n">
        <v>0.506917</v>
      </c>
      <c r="CW7" s="16" t="n">
        <v>0.016529</v>
      </c>
      <c r="CX7" s="16" t="n">
        <v>0.750773</v>
      </c>
      <c r="CY7" s="16" t="n">
        <v>0.006042</v>
      </c>
      <c r="CZ7" s="16" t="n">
        <v>0.752471</v>
      </c>
      <c r="DA7" s="16" t="n">
        <v>0.041667</v>
      </c>
      <c r="DB7" s="16" t="n">
        <v>0.751402</v>
      </c>
      <c r="DC7" s="16" t="n">
        <v>0.016529</v>
      </c>
      <c r="DD7" s="16" t="n">
        <v>0.653992</v>
      </c>
      <c r="DE7" s="16" t="n">
        <v>0.006042</v>
      </c>
      <c r="DF7" s="16" t="n">
        <v>0.6509200000000001</v>
      </c>
      <c r="DG7" s="16" t="n">
        <v>0.041667</v>
      </c>
      <c r="DH7" s="16" t="n">
        <v>0.652403</v>
      </c>
      <c r="DI7" s="16" t="n">
        <v>0.016529</v>
      </c>
      <c r="DJ7" s="16" t="n">
        <v>0.604139</v>
      </c>
      <c r="DK7" s="16" t="n">
        <v>0.006042</v>
      </c>
      <c r="DL7" s="16" t="n">
        <v>0.601224</v>
      </c>
      <c r="DM7" s="16" t="n">
        <v>0.041667</v>
      </c>
      <c r="DN7" s="16" t="n">
        <v>0.611994</v>
      </c>
      <c r="DO7" s="16" t="n">
        <v>0.016529</v>
      </c>
      <c r="DP7" s="16" t="n">
        <v>0.604155</v>
      </c>
      <c r="DQ7" s="16" t="n">
        <v>0.006042</v>
      </c>
      <c r="DR7" s="16" t="n">
        <v>0.601672</v>
      </c>
      <c r="DS7" s="16" t="n">
        <v>0.041667</v>
      </c>
      <c r="DT7" s="16" t="n">
        <v>0.623501</v>
      </c>
      <c r="DU7" s="16" t="n">
        <v>0.016529</v>
      </c>
      <c r="DV7" s="16" t="n">
        <v>0.703457</v>
      </c>
      <c r="DW7" s="16" t="n">
        <v>0.006042</v>
      </c>
      <c r="DX7" s="16" t="n">
        <v>0.700518</v>
      </c>
      <c r="DY7" s="16" t="n">
        <v>0.041667</v>
      </c>
      <c r="DZ7" s="16" t="n">
        <v>0.7122889999999999</v>
      </c>
      <c r="EB7" s="16" t="n">
        <v>885.590063</v>
      </c>
      <c r="EC7" s="16" t="n">
        <v>2967.685565</v>
      </c>
      <c r="ED7" s="16" t="n">
        <v>1228.609862</v>
      </c>
      <c r="EE7" s="16" t="n">
        <v>3600.243701</v>
      </c>
      <c r="EF7" s="16" t="n">
        <v>1489.61025</v>
      </c>
      <c r="EG7" s="16" t="n">
        <v>2317.767297</v>
      </c>
      <c r="EH7" s="16" t="n">
        <v>1483.107052</v>
      </c>
      <c r="EI7" s="16" t="n">
        <v>4020.057056</v>
      </c>
      <c r="EJ7" s="16" t="n">
        <v>347.135426</v>
      </c>
      <c r="EK7" s="16" t="n">
        <v>4344.178189</v>
      </c>
      <c r="EL7" s="16" t="n">
        <v>304.740973</v>
      </c>
      <c r="EM7" s="16" t="n">
        <v>3678.498952</v>
      </c>
      <c r="EN7" s="16" t="n">
        <v>1350.208152</v>
      </c>
      <c r="EO7" s="16" t="n">
        <v>3466.398943</v>
      </c>
      <c r="EP7" s="16" t="n">
        <v>473.452271</v>
      </c>
      <c r="EQ7" s="16" t="n">
        <v>4629.425047</v>
      </c>
      <c r="ER7" s="16" t="n">
        <v>2960.154284</v>
      </c>
      <c r="ES7" s="16" t="n">
        <v>4991.234241</v>
      </c>
      <c r="ET7" s="16" t="n">
        <v>934.789895</v>
      </c>
      <c r="EU7" s="16" t="n">
        <v>4991.234241</v>
      </c>
      <c r="EW7" s="16" t="inlineStr">
        <is>
          <t>η_p</t>
        </is>
      </c>
      <c r="EX7" s="16" t="n">
        <v>0.009567000000000001</v>
      </c>
      <c r="EZ7" s="16" t="inlineStr">
        <is>
          <t>851–1048</t>
        </is>
      </c>
      <c r="FA7" s="16" t="n">
        <v>8</v>
      </c>
      <c r="FB7" s="16" t="n">
        <v>6</v>
      </c>
      <c r="FC7" s="16" t="n">
        <v>0</v>
      </c>
      <c r="FD7" s="16" t="inlineStr">
        <is>
          <t>2.1–2.8</t>
        </is>
      </c>
      <c r="FE7" s="16" t="n">
        <v>32</v>
      </c>
      <c r="FF7" s="16" t="n">
        <v>37</v>
      </c>
      <c r="FG7" s="16" t="n">
        <v>10</v>
      </c>
      <c r="FI7" s="16" t="inlineStr">
        <is>
          <t>1600–1700</t>
        </is>
      </c>
      <c r="FJ7" s="16" t="n">
        <v>40</v>
      </c>
      <c r="FK7" s="16" t="n">
        <v>13.333333</v>
      </c>
    </row>
    <row r="8">
      <c r="A8" s="16" t="inlineStr">
        <is>
          <t>η_p</t>
        </is>
      </c>
      <c r="B8" s="16" t="n">
        <v>1.377577</v>
      </c>
      <c r="D8" s="16" t="inlineStr">
        <is>
          <t>P_baja</t>
        </is>
      </c>
      <c r="E8" s="16" t="n">
        <v>-0.581153</v>
      </c>
      <c r="G8" s="16" t="n"/>
      <c r="H8" s="16" t="n"/>
      <c r="I8" s="16" t="n"/>
      <c r="J8" s="16" t="n"/>
      <c r="K8" s="16" t="n">
        <v>11.356437</v>
      </c>
      <c r="L8" s="16" t="n">
        <v>481.575</v>
      </c>
      <c r="M8" s="16" t="n">
        <v>-0.6</v>
      </c>
      <c r="N8" s="16" t="n">
        <v>602.925</v>
      </c>
      <c r="O8" s="16" t="n"/>
      <c r="P8" s="16" t="n"/>
      <c r="Q8" s="16" t="n">
        <v>7.944439</v>
      </c>
      <c r="R8" s="16" t="n">
        <v>287.521429</v>
      </c>
      <c r="S8" s="16" t="n">
        <v>8.623773999999999</v>
      </c>
      <c r="T8" s="16" t="n">
        <v>303.55</v>
      </c>
      <c r="U8" s="16" t="n"/>
      <c r="V8" s="16" t="n"/>
      <c r="W8" s="16" t="n">
        <v>8.69591</v>
      </c>
      <c r="X8" s="16" t="n">
        <v>2928.571429</v>
      </c>
      <c r="Y8" s="16" t="n">
        <v>-0.6</v>
      </c>
      <c r="Z8" s="16" t="n">
        <v>6785.714286</v>
      </c>
      <c r="AA8" s="16" t="n"/>
      <c r="AB8" s="16" t="n"/>
      <c r="AC8" s="16" t="n">
        <v>6.570595</v>
      </c>
      <c r="AD8" s="16" t="n">
        <v>825</v>
      </c>
      <c r="AE8" s="16" t="n">
        <v>9.555543999999999</v>
      </c>
      <c r="AF8" s="16" t="n">
        <v>439.285714</v>
      </c>
      <c r="AG8" s="16" t="n"/>
      <c r="AH8" s="16" t="n"/>
      <c r="AI8" s="16" t="n"/>
      <c r="AJ8" s="16" t="n"/>
      <c r="AK8" s="16" t="n">
        <v>8.237009</v>
      </c>
      <c r="AL8" s="16" t="n">
        <v>0.685714</v>
      </c>
      <c r="AM8" s="16" t="n">
        <v>-0.6</v>
      </c>
      <c r="AN8" s="16" t="n">
        <v>0.9</v>
      </c>
      <c r="AO8" s="16" t="n"/>
      <c r="AP8" s="16" t="n"/>
      <c r="AQ8" s="16" t="n">
        <v>-0.6</v>
      </c>
      <c r="AR8" s="16" t="n">
        <v>0.3</v>
      </c>
      <c r="AS8" s="16" t="n">
        <v>7.827802</v>
      </c>
      <c r="AT8" s="16" t="n">
        <v>0.792857</v>
      </c>
      <c r="AU8" s="16" t="n">
        <v>4.216255</v>
      </c>
      <c r="AV8" s="16" t="n">
        <v>0.478571</v>
      </c>
      <c r="AW8" s="16" t="n">
        <v>7.762484</v>
      </c>
      <c r="AX8" s="16" t="n">
        <v>0.478571</v>
      </c>
      <c r="AY8" s="16" t="n">
        <v>4.253246</v>
      </c>
      <c r="AZ8" s="16" t="n">
        <v>0.478571</v>
      </c>
      <c r="BA8" s="16" t="n"/>
      <c r="BB8" s="16" t="n"/>
      <c r="BC8" s="16" t="n"/>
      <c r="BD8" s="16" t="n"/>
      <c r="BE8" s="16" t="n">
        <v>9.357863999999999</v>
      </c>
      <c r="BF8" s="16" t="n">
        <v>0.832143</v>
      </c>
      <c r="BG8" s="16" t="n">
        <v>6.410334</v>
      </c>
      <c r="BH8" s="16" t="n">
        <v>0.478571</v>
      </c>
      <c r="BI8" s="16" t="n">
        <v>8.198771000000001</v>
      </c>
      <c r="BJ8" s="16" t="n">
        <v>0.871429</v>
      </c>
      <c r="BK8" s="16" t="n">
        <v>8.756576000000001</v>
      </c>
      <c r="BL8" s="16" t="n">
        <v>0.675</v>
      </c>
      <c r="BM8" s="16" t="n">
        <v>-0.6</v>
      </c>
      <c r="BN8" s="16" t="n">
        <v>0.478571</v>
      </c>
      <c r="BP8" s="16" t="inlineStr">
        <is>
          <t>ε_HRVG</t>
        </is>
      </c>
      <c r="BQ8" s="16" t="n">
        <v>0.038668</v>
      </c>
      <c r="BS8" s="16" t="n">
        <v>0.024793</v>
      </c>
      <c r="BT8" s="16" t="n">
        <v>381.185301</v>
      </c>
      <c r="BU8" s="16" t="n">
        <v>0.009063</v>
      </c>
      <c r="BV8" s="16" t="n">
        <v>383.116378</v>
      </c>
      <c r="BW8" s="16" t="n">
        <v>0.0625</v>
      </c>
      <c r="BX8" s="16" t="n">
        <v>381.705003</v>
      </c>
      <c r="BY8" s="16" t="n">
        <v>0.024793</v>
      </c>
      <c r="BZ8" s="16" t="n">
        <v>278.70713</v>
      </c>
      <c r="CA8" s="16" t="n">
        <v>0.009063</v>
      </c>
      <c r="CB8" s="16" t="n">
        <v>278.372077</v>
      </c>
      <c r="CC8" s="16" t="n">
        <v>0.0625</v>
      </c>
      <c r="CD8" s="16" t="n">
        <v>279.294806</v>
      </c>
      <c r="CE8" s="16" t="n">
        <v>0.024793</v>
      </c>
      <c r="CF8" s="16" t="n">
        <v>2032.216494</v>
      </c>
      <c r="CG8" s="16" t="n">
        <v>0.009063</v>
      </c>
      <c r="CH8" s="16" t="n">
        <v>2044.241944</v>
      </c>
      <c r="CI8" s="16" t="n">
        <v>0.0625</v>
      </c>
      <c r="CJ8" s="16" t="n">
        <v>2203.171125</v>
      </c>
      <c r="CK8" s="16" t="n">
        <v>0.024793</v>
      </c>
      <c r="CL8" s="16" t="n">
        <v>607.329154</v>
      </c>
      <c r="CM8" s="16" t="n">
        <v>0.009063</v>
      </c>
      <c r="CN8" s="16" t="n">
        <v>306.859184</v>
      </c>
      <c r="CO8" s="16" t="n">
        <v>0.0625</v>
      </c>
      <c r="CP8" s="16" t="n">
        <v>333.563974</v>
      </c>
      <c r="CQ8" s="16" t="n">
        <v>0.024793</v>
      </c>
      <c r="CR8" s="16" t="n">
        <v>0.509898</v>
      </c>
      <c r="CS8" s="16" t="n">
        <v>0.009063</v>
      </c>
      <c r="CT8" s="16" t="n">
        <v>0.501573</v>
      </c>
      <c r="CU8" s="16" t="n">
        <v>0.0625</v>
      </c>
      <c r="CV8" s="16" t="n">
        <v>0.50908</v>
      </c>
      <c r="CW8" s="16" t="n">
        <v>0.024793</v>
      </c>
      <c r="CX8" s="16" t="n">
        <v>0.751641</v>
      </c>
      <c r="CY8" s="16" t="n">
        <v>0.009063</v>
      </c>
      <c r="CZ8" s="16" t="n">
        <v>0.752483</v>
      </c>
      <c r="DA8" s="16" t="n">
        <v>0.0625</v>
      </c>
      <c r="DB8" s="16" t="n">
        <v>0.757108</v>
      </c>
      <c r="DC8" s="16" t="n">
        <v>0.024793</v>
      </c>
      <c r="DD8" s="16" t="n">
        <v>0.654731</v>
      </c>
      <c r="DE8" s="16" t="n">
        <v>0.009063</v>
      </c>
      <c r="DF8" s="16" t="n">
        <v>0.651907</v>
      </c>
      <c r="DG8" s="16" t="n">
        <v>0.0625</v>
      </c>
      <c r="DH8" s="16" t="n">
        <v>0.670811</v>
      </c>
      <c r="DI8" s="16" t="n">
        <v>0.024793</v>
      </c>
      <c r="DJ8" s="16" t="n">
        <v>0.606746</v>
      </c>
      <c r="DK8" s="16" t="n">
        <v>0.009063</v>
      </c>
      <c r="DL8" s="16" t="n">
        <v>0.602537</v>
      </c>
      <c r="DM8" s="16" t="n">
        <v>0.0625</v>
      </c>
      <c r="DN8" s="16" t="n">
        <v>0.61624</v>
      </c>
      <c r="DO8" s="16" t="n">
        <v>0.024793</v>
      </c>
      <c r="DP8" s="16" t="n">
        <v>0.605304</v>
      </c>
      <c r="DQ8" s="16" t="n">
        <v>0.009063</v>
      </c>
      <c r="DR8" s="16" t="n">
        <v>0.6018520000000001</v>
      </c>
      <c r="DS8" s="16" t="n">
        <v>0.0625</v>
      </c>
      <c r="DT8" s="16" t="n">
        <v>0.642585</v>
      </c>
      <c r="DU8" s="16" t="n">
        <v>0.024793</v>
      </c>
      <c r="DV8" s="16" t="n">
        <v>0.704398</v>
      </c>
      <c r="DW8" s="16" t="n">
        <v>0.009063</v>
      </c>
      <c r="DX8" s="16" t="n">
        <v>0.70135</v>
      </c>
      <c r="DY8" s="16" t="n">
        <v>0.0625</v>
      </c>
      <c r="DZ8" s="16" t="n">
        <v>0.716073</v>
      </c>
      <c r="EB8" s="16" t="n">
        <v>1434.311362</v>
      </c>
      <c r="EC8" s="16" t="n">
        <v>3682.617964</v>
      </c>
      <c r="ED8" s="16" t="n">
        <v>920.1414590000001</v>
      </c>
      <c r="EE8" s="16" t="n">
        <v>3704.873891</v>
      </c>
      <c r="EF8" s="16" t="n">
        <v>752.450394</v>
      </c>
      <c r="EG8" s="16" t="n">
        <v>4074.385292</v>
      </c>
      <c r="EH8" s="16" t="n">
        <v>1334.233868</v>
      </c>
      <c r="EI8" s="16" t="n">
        <v>3440.010096</v>
      </c>
      <c r="EJ8" s="16" t="n">
        <v>782.525452</v>
      </c>
      <c r="EK8" s="16" t="n">
        <v>4275.300865</v>
      </c>
      <c r="EL8" s="16" t="n">
        <v>306.859184</v>
      </c>
      <c r="EM8" s="16" t="n">
        <v>3454.160964</v>
      </c>
      <c r="EN8" s="16" t="n">
        <v>1377.514596</v>
      </c>
      <c r="EO8" s="16" t="n">
        <v>4631.035136</v>
      </c>
      <c r="EP8" s="16" t="n">
        <v>398.543291</v>
      </c>
      <c r="EQ8" s="16" t="n">
        <v>4333.115679</v>
      </c>
      <c r="ER8" s="16" t="n"/>
      <c r="ES8" s="16" t="n"/>
      <c r="ET8" s="16" t="n"/>
      <c r="EU8" s="16" t="n"/>
      <c r="EW8" s="16" t="inlineStr">
        <is>
          <t>T_sumidero</t>
        </is>
      </c>
      <c r="EX8" s="16" t="n">
        <v>-0.041382</v>
      </c>
      <c r="EZ8" s="16" t="inlineStr">
        <is>
          <t>1048–1245</t>
        </is>
      </c>
      <c r="FA8" s="16" t="n">
        <v>5</v>
      </c>
      <c r="FB8" s="16" t="n">
        <v>9</v>
      </c>
      <c r="FC8" s="16" t="n">
        <v>2</v>
      </c>
      <c r="FD8" s="16" t="inlineStr">
        <is>
          <t>2.8–3.4</t>
        </is>
      </c>
      <c r="FE8" s="16" t="n">
        <v>24</v>
      </c>
      <c r="FF8" s="16" t="n">
        <v>43</v>
      </c>
      <c r="FG8" s="16" t="n">
        <v>6</v>
      </c>
      <c r="FI8" s="16" t="inlineStr">
        <is>
          <t>1700–1800</t>
        </is>
      </c>
      <c r="FJ8" s="16" t="n">
        <v>35.714286</v>
      </c>
      <c r="FK8" s="16" t="n">
        <v>14.285714</v>
      </c>
    </row>
    <row r="9">
      <c r="A9" s="16" t="inlineStr">
        <is>
          <t>T_fuente</t>
        </is>
      </c>
      <c r="B9" s="16" t="n">
        <v>3.667394</v>
      </c>
      <c r="D9" s="16" t="inlineStr">
        <is>
          <t>ε_HRVG</t>
        </is>
      </c>
      <c r="E9" s="16" t="n">
        <v>0.643852</v>
      </c>
      <c r="G9" s="16" t="n"/>
      <c r="H9" s="16" t="n"/>
      <c r="I9" s="16" t="n"/>
      <c r="J9" s="16" t="n"/>
      <c r="K9" s="16" t="n">
        <v>11.307555</v>
      </c>
      <c r="L9" s="16" t="n">
        <v>522.025</v>
      </c>
      <c r="M9" s="16" t="n">
        <v>-0.6</v>
      </c>
      <c r="N9" s="16" t="n">
        <v>623.15</v>
      </c>
      <c r="O9" s="16" t="n"/>
      <c r="P9" s="16" t="n"/>
      <c r="Q9" s="16" t="n">
        <v>7.88592</v>
      </c>
      <c r="R9" s="16" t="n">
        <v>286.064286</v>
      </c>
      <c r="S9" s="16" t="n"/>
      <c r="T9" s="16" t="n"/>
      <c r="U9" s="16" t="n"/>
      <c r="V9" s="16" t="n"/>
      <c r="W9" s="16" t="n">
        <v>7.735605</v>
      </c>
      <c r="X9" s="16" t="n">
        <v>1642.857143</v>
      </c>
      <c r="Y9" s="16" t="n">
        <v>-0.6</v>
      </c>
      <c r="Z9" s="16" t="n">
        <v>7428.571429</v>
      </c>
      <c r="AA9" s="16" t="n"/>
      <c r="AB9" s="16" t="n"/>
      <c r="AC9" s="16" t="n">
        <v>6.006763</v>
      </c>
      <c r="AD9" s="16" t="n">
        <v>921.428571</v>
      </c>
      <c r="AE9" s="16" t="n">
        <v>8.727971</v>
      </c>
      <c r="AF9" s="16" t="n">
        <v>535.714286</v>
      </c>
      <c r="AG9" s="16" t="n"/>
      <c r="AH9" s="16" t="n"/>
      <c r="AI9" s="16" t="n"/>
      <c r="AJ9" s="16" t="n"/>
      <c r="AK9" s="16" t="n">
        <v>10.620938</v>
      </c>
      <c r="AL9" s="16" t="n">
        <v>0.5571430000000001</v>
      </c>
      <c r="AM9" s="16" t="n"/>
      <c r="AN9" s="16" t="n"/>
      <c r="AO9" s="16" t="n"/>
      <c r="AP9" s="16" t="n"/>
      <c r="AQ9" s="16" t="n"/>
      <c r="AR9" s="16" t="n"/>
      <c r="AS9" s="16" t="n">
        <v>7.37767</v>
      </c>
      <c r="AT9" s="16" t="n">
        <v>0.753571</v>
      </c>
      <c r="AU9" s="16" t="n">
        <v>4.669044</v>
      </c>
      <c r="AV9" s="16" t="n">
        <v>0.517857</v>
      </c>
      <c r="AW9" s="16" t="n">
        <v>7.913617</v>
      </c>
      <c r="AX9" s="16" t="n">
        <v>0.517857</v>
      </c>
      <c r="AY9" s="16" t="n">
        <v>4.985112</v>
      </c>
      <c r="AZ9" s="16" t="n">
        <v>0.517857</v>
      </c>
      <c r="BA9" s="16" t="n"/>
      <c r="BB9" s="16" t="n"/>
      <c r="BC9" s="16" t="n"/>
      <c r="BD9" s="16" t="n"/>
      <c r="BE9" s="16" t="n">
        <v>9.839183999999999</v>
      </c>
      <c r="BF9" s="16" t="n">
        <v>0.871429</v>
      </c>
      <c r="BG9" s="16" t="n">
        <v>6.654062</v>
      </c>
      <c r="BH9" s="16" t="n">
        <v>0.517857</v>
      </c>
      <c r="BI9" s="16" t="n">
        <v>7.93541</v>
      </c>
      <c r="BJ9" s="16" t="n">
        <v>0.95</v>
      </c>
      <c r="BK9" s="16" t="n">
        <v>8.454853999999999</v>
      </c>
      <c r="BL9" s="16" t="n">
        <v>0.596429</v>
      </c>
      <c r="BM9" s="16" t="n">
        <v>-0.6</v>
      </c>
      <c r="BN9" s="16" t="n">
        <v>0.517857</v>
      </c>
      <c r="BP9" s="16" t="inlineStr">
        <is>
          <t>T_fuente</t>
        </is>
      </c>
      <c r="BQ9" s="16" t="n">
        <v>0.023942</v>
      </c>
      <c r="BS9" s="16" t="n">
        <v>0.033058</v>
      </c>
      <c r="BT9" s="16" t="n">
        <v>381.801697</v>
      </c>
      <c r="BU9" s="16" t="n">
        <v>0.012085</v>
      </c>
      <c r="BV9" s="16" t="n">
        <v>383.211403</v>
      </c>
      <c r="BW9" s="16" t="n">
        <v>0.083333</v>
      </c>
      <c r="BX9" s="16" t="n">
        <v>381.872836</v>
      </c>
      <c r="BY9" s="16" t="n">
        <v>0.033058</v>
      </c>
      <c r="BZ9" s="16" t="n">
        <v>278.779378</v>
      </c>
      <c r="CA9" s="16" t="n">
        <v>0.012085</v>
      </c>
      <c r="CB9" s="16" t="n">
        <v>278.453462</v>
      </c>
      <c r="CC9" s="16" t="n">
        <v>0.083333</v>
      </c>
      <c r="CD9" s="16" t="n">
        <v>280.306942</v>
      </c>
      <c r="CE9" s="16" t="n">
        <v>0.033058</v>
      </c>
      <c r="CF9" s="16" t="n">
        <v>2046.947027</v>
      </c>
      <c r="CG9" s="16" t="n">
        <v>0.012085</v>
      </c>
      <c r="CH9" s="16" t="n">
        <v>2048.677954</v>
      </c>
      <c r="CI9" s="16" t="n">
        <v>0.083333</v>
      </c>
      <c r="CJ9" s="16" t="n">
        <v>2421.90012</v>
      </c>
      <c r="CK9" s="16" t="n">
        <v>0.033058</v>
      </c>
      <c r="CL9" s="16" t="n">
        <v>634.296983</v>
      </c>
      <c r="CM9" s="16" t="n">
        <v>0.012085</v>
      </c>
      <c r="CN9" s="16" t="n">
        <v>308.761941</v>
      </c>
      <c r="CO9" s="16" t="n">
        <v>0.083333</v>
      </c>
      <c r="CP9" s="16" t="n">
        <v>383.191976</v>
      </c>
      <c r="CQ9" s="16" t="n">
        <v>0.033058</v>
      </c>
      <c r="CR9" s="16" t="n">
        <v>0.510843</v>
      </c>
      <c r="CS9" s="16" t="n">
        <v>0.012085</v>
      </c>
      <c r="CT9" s="16" t="n">
        <v>0.5023840000000001</v>
      </c>
      <c r="CU9" s="16" t="n">
        <v>0.083333</v>
      </c>
      <c r="CV9" s="16" t="n">
        <v>0.513825</v>
      </c>
      <c r="CW9" s="16" t="n">
        <v>0.033058</v>
      </c>
      <c r="CX9" s="16" t="n">
        <v>0.753885</v>
      </c>
      <c r="CY9" s="16" t="n">
        <v>0.012085</v>
      </c>
      <c r="CZ9" s="16" t="n">
        <v>0.752754</v>
      </c>
      <c r="DA9" s="16" t="n">
        <v>0.083333</v>
      </c>
      <c r="DB9" s="16" t="n">
        <v>0.761505</v>
      </c>
      <c r="DC9" s="16" t="n">
        <v>0.033058</v>
      </c>
      <c r="DD9" s="16" t="n">
        <v>0.654875</v>
      </c>
      <c r="DE9" s="16" t="n">
        <v>0.012085</v>
      </c>
      <c r="DF9" s="16" t="n">
        <v>0.652692</v>
      </c>
      <c r="DG9" s="16" t="n">
        <v>0.083333</v>
      </c>
      <c r="DH9" s="16" t="n">
        <v>0.679932</v>
      </c>
      <c r="DI9" s="16" t="n">
        <v>0.033058</v>
      </c>
      <c r="DJ9" s="16" t="n">
        <v>0.6086780000000001</v>
      </c>
      <c r="DK9" s="16" t="n">
        <v>0.012085</v>
      </c>
      <c r="DL9" s="16" t="n">
        <v>0.603197</v>
      </c>
      <c r="DM9" s="16" t="n">
        <v>0.083333</v>
      </c>
      <c r="DN9" s="16" t="n">
        <v>0.633092</v>
      </c>
      <c r="DO9" s="16" t="n">
        <v>0.033058</v>
      </c>
      <c r="DP9" s="16" t="n">
        <v>0.618984</v>
      </c>
      <c r="DQ9" s="16" t="n">
        <v>0.012085</v>
      </c>
      <c r="DR9" s="16" t="n">
        <v>0.603207</v>
      </c>
      <c r="DS9" s="16" t="n">
        <v>0.083333</v>
      </c>
      <c r="DT9" s="16" t="n">
        <v>0.66645</v>
      </c>
      <c r="DU9" s="16" t="n">
        <v>0.033058</v>
      </c>
      <c r="DV9" s="16" t="n">
        <v>0.707843</v>
      </c>
      <c r="DW9" s="16" t="n">
        <v>0.012085</v>
      </c>
      <c r="DX9" s="16" t="n">
        <v>0.701721</v>
      </c>
      <c r="DY9" s="16" t="n">
        <v>0.083333</v>
      </c>
      <c r="DZ9" s="16" t="n">
        <v>0.726205</v>
      </c>
      <c r="EB9" s="16" t="n">
        <v>668.346765</v>
      </c>
      <c r="EC9" s="16" t="n">
        <v>3558.443205</v>
      </c>
      <c r="ED9" s="16" t="n">
        <v>1479.809375</v>
      </c>
      <c r="EE9" s="16" t="n">
        <v>3850.001483</v>
      </c>
      <c r="EF9" s="16" t="n">
        <v>853.354428</v>
      </c>
      <c r="EG9" s="16" t="n">
        <v>3368.976965</v>
      </c>
      <c r="EH9" s="16" t="n">
        <v>366.230799</v>
      </c>
      <c r="EI9" s="16" t="n">
        <v>2081.421554</v>
      </c>
      <c r="EJ9" s="16" t="n">
        <v>463.536993</v>
      </c>
      <c r="EK9" s="16" t="n">
        <v>4866.228647</v>
      </c>
      <c r="EL9" s="16" t="n">
        <v>367.771413</v>
      </c>
      <c r="EM9" s="16" t="n">
        <v>2771.686562</v>
      </c>
      <c r="EN9" s="16" t="n">
        <v>790.348168</v>
      </c>
      <c r="EO9" s="16" t="n">
        <v>2851.532117</v>
      </c>
      <c r="EP9" s="16" t="n">
        <v>383.191976</v>
      </c>
      <c r="EQ9" s="16" t="n">
        <v>4672.048749</v>
      </c>
      <c r="ER9" s="16" t="n"/>
      <c r="ES9" s="16" t="n"/>
      <c r="ET9" s="16" t="n"/>
      <c r="EU9" s="16" t="n"/>
      <c r="EW9" s="16" t="inlineStr">
        <is>
          <t>ε_cond</t>
        </is>
      </c>
      <c r="EX9" s="16" t="n">
        <v>0.08314199999999999</v>
      </c>
      <c r="EZ9" s="16" t="inlineStr">
        <is>
          <t>1245–1442</t>
        </is>
      </c>
      <c r="FA9" s="16" t="n">
        <v>7</v>
      </c>
      <c r="FB9" s="16" t="n">
        <v>18</v>
      </c>
      <c r="FC9" s="16" t="n">
        <v>1</v>
      </c>
      <c r="FD9" s="16" t="inlineStr">
        <is>
          <t>3.4–4.1</t>
        </is>
      </c>
      <c r="FE9" s="16" t="n">
        <v>19</v>
      </c>
      <c r="FF9" s="16" t="n">
        <v>42</v>
      </c>
      <c r="FG9" s="16" t="n">
        <v>3</v>
      </c>
      <c r="FI9" s="16" t="inlineStr">
        <is>
          <t>1800–1900</t>
        </is>
      </c>
      <c r="FJ9" s="16" t="n">
        <v>40</v>
      </c>
      <c r="FK9" s="16" t="n">
        <v>26.666667</v>
      </c>
    </row>
    <row r="10">
      <c r="A10" s="16" t="inlineStr">
        <is>
          <t>ε_reg</t>
        </is>
      </c>
      <c r="B10" s="16" t="n">
        <v>4.990973</v>
      </c>
      <c r="D10" s="16" t="inlineStr">
        <is>
          <t>ε_reg</t>
        </is>
      </c>
      <c r="E10" s="16" t="n">
        <v>0.86024</v>
      </c>
      <c r="G10" s="16" t="n"/>
      <c r="H10" s="16" t="n"/>
      <c r="I10" s="16" t="n"/>
      <c r="J10" s="16" t="n"/>
      <c r="K10" s="16" t="n">
        <v>11.330253</v>
      </c>
      <c r="L10" s="16" t="n">
        <v>501.8</v>
      </c>
      <c r="M10" s="16" t="n"/>
      <c r="N10" s="16" t="n"/>
      <c r="O10" s="16" t="n"/>
      <c r="P10" s="16" t="n"/>
      <c r="Q10" s="16" t="n">
        <v>8.003766000000001</v>
      </c>
      <c r="R10" s="16" t="n">
        <v>288.978571</v>
      </c>
      <c r="S10" s="16" t="n"/>
      <c r="T10" s="16" t="n"/>
      <c r="U10" s="16" t="n"/>
      <c r="V10" s="16" t="n"/>
      <c r="W10" s="16" t="n">
        <v>8.745075999999999</v>
      </c>
      <c r="X10" s="16" t="n">
        <v>2910</v>
      </c>
      <c r="Y10" s="16" t="n">
        <v>-0.6</v>
      </c>
      <c r="Z10" s="16" t="n">
        <v>8071.428571</v>
      </c>
      <c r="AA10" s="16" t="n"/>
      <c r="AB10" s="16" t="n"/>
      <c r="AC10" s="16" t="n">
        <v>5.030739</v>
      </c>
      <c r="AD10" s="16" t="n">
        <v>1114.285714</v>
      </c>
      <c r="AE10" s="16" t="n">
        <v>8.600972000000001</v>
      </c>
      <c r="AF10" s="16" t="n">
        <v>550.136364</v>
      </c>
      <c r="AG10" s="16" t="n"/>
      <c r="AH10" s="16" t="n"/>
      <c r="AI10" s="16" t="n"/>
      <c r="AJ10" s="16" t="n"/>
      <c r="AK10" s="16" t="n">
        <v>11.039926</v>
      </c>
      <c r="AL10" s="16" t="n">
        <v>0.642857</v>
      </c>
      <c r="AM10" s="16" t="n"/>
      <c r="AN10" s="16" t="n"/>
      <c r="AO10" s="16" t="n"/>
      <c r="AP10" s="16" t="n"/>
      <c r="AQ10" s="16" t="n"/>
      <c r="AR10" s="16" t="n"/>
      <c r="AS10" s="16" t="n">
        <v>8.277571</v>
      </c>
      <c r="AT10" s="16" t="n">
        <v>0.832143</v>
      </c>
      <c r="AU10" s="16" t="n">
        <v>5.573461</v>
      </c>
      <c r="AV10" s="16" t="n">
        <v>0.596429</v>
      </c>
      <c r="AW10" s="16" t="n">
        <v>8.043295000000001</v>
      </c>
      <c r="AX10" s="16" t="n">
        <v>0.5571430000000001</v>
      </c>
      <c r="AY10" s="16" t="n">
        <v>5.61454</v>
      </c>
      <c r="AZ10" s="16" t="n">
        <v>0.5571430000000001</v>
      </c>
      <c r="BA10" s="16" t="n"/>
      <c r="BB10" s="16" t="n"/>
      <c r="BC10" s="16" t="n"/>
      <c r="BD10" s="16" t="n"/>
      <c r="BE10" s="16" t="n">
        <v>10.369184</v>
      </c>
      <c r="BF10" s="16" t="n">
        <v>0.910714</v>
      </c>
      <c r="BG10" s="16" t="n">
        <v>6.913587</v>
      </c>
      <c r="BH10" s="16" t="n">
        <v>0.5571430000000001</v>
      </c>
      <c r="BI10" s="16" t="n">
        <v>8.458351</v>
      </c>
      <c r="BJ10" s="16" t="n">
        <v>0.8055</v>
      </c>
      <c r="BK10" s="16" t="n">
        <v>8.743421</v>
      </c>
      <c r="BL10" s="16" t="n">
        <v>0.714286</v>
      </c>
      <c r="BM10" s="16" t="n"/>
      <c r="BN10" s="16" t="n"/>
      <c r="BP10" s="16" t="inlineStr">
        <is>
          <t>T_sumidero</t>
        </is>
      </c>
      <c r="BQ10" s="16" t="n">
        <v>0.022161</v>
      </c>
      <c r="BS10" s="16" t="n">
        <v>0.041322</v>
      </c>
      <c r="BT10" s="16" t="n">
        <v>382.413828</v>
      </c>
      <c r="BU10" s="16" t="n">
        <v>0.015106</v>
      </c>
      <c r="BV10" s="16" t="n">
        <v>384.634308</v>
      </c>
      <c r="BW10" s="16" t="n">
        <v>0.104167</v>
      </c>
      <c r="BX10" s="16" t="n">
        <v>382.125792</v>
      </c>
      <c r="BY10" s="16" t="n">
        <v>0.041322</v>
      </c>
      <c r="BZ10" s="16" t="n">
        <v>278.833513</v>
      </c>
      <c r="CA10" s="16" t="n">
        <v>0.015106</v>
      </c>
      <c r="CB10" s="16" t="n">
        <v>278.481464</v>
      </c>
      <c r="CC10" s="16" t="n">
        <v>0.104167</v>
      </c>
      <c r="CD10" s="16" t="n">
        <v>280.802491</v>
      </c>
      <c r="CE10" s="16" t="n">
        <v>0.041322</v>
      </c>
      <c r="CF10" s="16" t="n">
        <v>2139.236516</v>
      </c>
      <c r="CG10" s="16" t="n">
        <v>0.015106</v>
      </c>
      <c r="CH10" s="16" t="n">
        <v>2053.684601</v>
      </c>
      <c r="CI10" s="16" t="n">
        <v>0.104167</v>
      </c>
      <c r="CJ10" s="16" t="n">
        <v>2579.41078</v>
      </c>
      <c r="CK10" s="16" t="n">
        <v>0.041322</v>
      </c>
      <c r="CL10" s="16" t="n">
        <v>668.346765</v>
      </c>
      <c r="CM10" s="16" t="n">
        <v>0.015106</v>
      </c>
      <c r="CN10" s="16" t="n">
        <v>314.73216</v>
      </c>
      <c r="CO10" s="16" t="n">
        <v>0.104167</v>
      </c>
      <c r="CP10" s="16" t="n">
        <v>387.419238</v>
      </c>
      <c r="CQ10" s="16" t="n">
        <v>0.041322</v>
      </c>
      <c r="CR10" s="16" t="n">
        <v>0.511007</v>
      </c>
      <c r="CS10" s="16" t="n">
        <v>0.015106</v>
      </c>
      <c r="CT10" s="16" t="n">
        <v>0.5028899999999999</v>
      </c>
      <c r="CU10" s="16" t="n">
        <v>0.104167</v>
      </c>
      <c r="CV10" s="16" t="n">
        <v>0.51609</v>
      </c>
      <c r="CW10" s="16" t="n">
        <v>0.041322</v>
      </c>
      <c r="CX10" s="16" t="n">
        <v>0.756507</v>
      </c>
      <c r="CY10" s="16" t="n">
        <v>0.015106</v>
      </c>
      <c r="CZ10" s="16" t="n">
        <v>0.753378</v>
      </c>
      <c r="DA10" s="16" t="n">
        <v>0.104167</v>
      </c>
      <c r="DB10" s="16" t="n">
        <v>0.762937</v>
      </c>
      <c r="DC10" s="16" t="n">
        <v>0.041322</v>
      </c>
      <c r="DD10" s="16" t="n">
        <v>0.656162</v>
      </c>
      <c r="DE10" s="16" t="n">
        <v>0.015106</v>
      </c>
      <c r="DF10" s="16" t="n">
        <v>0.655131</v>
      </c>
      <c r="DG10" s="16" t="n">
        <v>0.104167</v>
      </c>
      <c r="DH10" s="16" t="n">
        <v>0.691058</v>
      </c>
      <c r="DI10" s="16" t="n">
        <v>0.041322</v>
      </c>
      <c r="DJ10" s="16" t="n">
        <v>0.611112</v>
      </c>
      <c r="DK10" s="16" t="n">
        <v>0.015106</v>
      </c>
      <c r="DL10" s="16" t="n">
        <v>0.604953</v>
      </c>
      <c r="DM10" s="16" t="n">
        <v>0.104167</v>
      </c>
      <c r="DN10" s="16" t="n">
        <v>0.639412</v>
      </c>
      <c r="DO10" s="16" t="n">
        <v>0.041322</v>
      </c>
      <c r="DP10" s="16" t="n">
        <v>0.621402</v>
      </c>
      <c r="DQ10" s="16" t="n">
        <v>0.015106</v>
      </c>
      <c r="DR10" s="16" t="n">
        <v>0.603579</v>
      </c>
      <c r="DS10" s="16" t="n">
        <v>0.104167</v>
      </c>
      <c r="DT10" s="16" t="n">
        <v>0.678437</v>
      </c>
      <c r="DU10" s="16" t="n">
        <v>0.041322</v>
      </c>
      <c r="DV10" s="16" t="n">
        <v>0.712645</v>
      </c>
      <c r="DW10" s="16" t="n">
        <v>0.015106</v>
      </c>
      <c r="DX10" s="16" t="n">
        <v>0.702302</v>
      </c>
      <c r="DY10" s="16" t="n">
        <v>0.104167</v>
      </c>
      <c r="DZ10" s="16" t="n">
        <v>0.729846</v>
      </c>
      <c r="EB10" s="16" t="n">
        <v>1106.65352</v>
      </c>
      <c r="EC10" s="16" t="n">
        <v>4841.777083</v>
      </c>
      <c r="ED10" s="16" t="n">
        <v>1315.787129</v>
      </c>
      <c r="EE10" s="16" t="n">
        <v>4594.559894</v>
      </c>
      <c r="EF10" s="16" t="n">
        <v>425.155951</v>
      </c>
      <c r="EG10" s="16" t="n">
        <v>4185.140844</v>
      </c>
      <c r="EH10" s="16" t="n">
        <v>551.550339</v>
      </c>
      <c r="EI10" s="16" t="n">
        <v>3959.411073</v>
      </c>
      <c r="EJ10" s="16" t="n">
        <v>314.73216</v>
      </c>
      <c r="EK10" s="16" t="n">
        <v>2724.514536</v>
      </c>
      <c r="EL10" s="16" t="n">
        <v>379.126595</v>
      </c>
      <c r="EM10" s="16" t="n">
        <v>4139.075649</v>
      </c>
      <c r="EN10" s="16" t="n">
        <v>1344.891261</v>
      </c>
      <c r="EO10" s="16" t="n">
        <v>2791.88467</v>
      </c>
      <c r="EP10" s="16" t="n">
        <v>826.734923</v>
      </c>
      <c r="EQ10" s="16" t="n">
        <v>4698.781225</v>
      </c>
      <c r="ER10" s="16" t="n"/>
      <c r="ES10" s="16" t="n"/>
      <c r="ET10" s="16" t="n"/>
      <c r="EU10" s="16" t="n"/>
      <c r="EW10" s="16" t="inlineStr">
        <is>
          <t>x_b</t>
        </is>
      </c>
      <c r="EX10" s="16" t="n">
        <v>0.235976</v>
      </c>
      <c r="EZ10" s="16" t="inlineStr">
        <is>
          <t>1442–1638</t>
        </is>
      </c>
      <c r="FA10" s="16" t="n">
        <v>2</v>
      </c>
      <c r="FB10" s="16" t="n">
        <v>17</v>
      </c>
      <c r="FC10" s="16" t="n">
        <v>5</v>
      </c>
      <c r="FD10" s="16" t="inlineStr">
        <is>
          <t>4.1–4.7</t>
        </is>
      </c>
      <c r="FE10" s="16" t="n">
        <v>16</v>
      </c>
      <c r="FF10" s="16" t="n">
        <v>43</v>
      </c>
      <c r="FG10" s="16" t="n">
        <v>1</v>
      </c>
      <c r="FI10" s="16" t="inlineStr">
        <is>
          <t>1900–2000</t>
        </is>
      </c>
      <c r="FJ10" s="16" t="n">
        <v>38.461538</v>
      </c>
      <c r="FK10" s="16" t="n">
        <v>30.769231</v>
      </c>
    </row>
    <row r="11">
      <c r="A11" s="16" t="inlineStr">
        <is>
          <t>P_alta</t>
        </is>
      </c>
      <c r="B11" s="16" t="n">
        <v>5.14467</v>
      </c>
      <c r="D11" s="16" t="inlineStr">
        <is>
          <t>η_t</t>
        </is>
      </c>
      <c r="E11" s="16" t="n">
        <v>1.146428</v>
      </c>
      <c r="G11" s="16" t="n"/>
      <c r="H11" s="16" t="n"/>
      <c r="I11" s="16" t="n"/>
      <c r="J11" s="16" t="n"/>
      <c r="K11" s="16" t="n">
        <v>11.28657</v>
      </c>
      <c r="L11" s="16" t="n">
        <v>542.25</v>
      </c>
      <c r="M11" s="16" t="n"/>
      <c r="N11" s="16" t="n"/>
      <c r="O11" s="16" t="n"/>
      <c r="P11" s="16" t="n"/>
      <c r="Q11" s="16" t="n">
        <v>8.063916000000001</v>
      </c>
      <c r="R11" s="16" t="n">
        <v>290.435714</v>
      </c>
      <c r="S11" s="16" t="n"/>
      <c r="T11" s="16" t="n"/>
      <c r="U11" s="16" t="n"/>
      <c r="V11" s="16" t="n"/>
      <c r="W11" s="16" t="n"/>
      <c r="X11" s="16" t="n"/>
      <c r="Y11" s="16" t="n">
        <v>-0.6</v>
      </c>
      <c r="Z11" s="16" t="n">
        <v>8714.285714</v>
      </c>
      <c r="AA11" s="16" t="n"/>
      <c r="AB11" s="16" t="n"/>
      <c r="AC11" s="16" t="n">
        <v>5.496481</v>
      </c>
      <c r="AD11" s="16" t="n">
        <v>1017.857143</v>
      </c>
      <c r="AE11" s="16" t="n"/>
      <c r="AF11" s="16" t="n"/>
      <c r="AG11" s="16" t="n"/>
      <c r="AH11" s="16" t="n"/>
      <c r="AI11" s="16" t="n"/>
      <c r="AJ11" s="16" t="n"/>
      <c r="AK11" s="16" t="n">
        <v>5.011501</v>
      </c>
      <c r="AL11" s="16" t="n">
        <v>0.728571</v>
      </c>
      <c r="AM11" s="16" t="n"/>
      <c r="AN11" s="16" t="n"/>
      <c r="AO11" s="16" t="n"/>
      <c r="AP11" s="16" t="n"/>
      <c r="AQ11" s="16" t="n"/>
      <c r="AR11" s="16" t="n"/>
      <c r="AS11" s="16" t="n">
        <v>8.726977</v>
      </c>
      <c r="AT11" s="16" t="n">
        <v>0.871429</v>
      </c>
      <c r="AU11" s="16" t="n">
        <v>5.121444</v>
      </c>
      <c r="AV11" s="16" t="n">
        <v>0.5571430000000001</v>
      </c>
      <c r="AW11" s="16" t="n">
        <v>8.155785</v>
      </c>
      <c r="AX11" s="16" t="n">
        <v>0.596429</v>
      </c>
      <c r="AY11" s="16" t="n">
        <v>6.641647</v>
      </c>
      <c r="AZ11" s="16" t="n">
        <v>0.635714</v>
      </c>
      <c r="BA11" s="16" t="n"/>
      <c r="BB11" s="16" t="n"/>
      <c r="BC11" s="16" t="n"/>
      <c r="BD11" s="16" t="n"/>
      <c r="BE11" s="16" t="n">
        <v>10.955586</v>
      </c>
      <c r="BF11" s="16" t="n">
        <v>0.95</v>
      </c>
      <c r="BG11" s="16" t="n">
        <v>7.190584</v>
      </c>
      <c r="BH11" s="16" t="n">
        <v>0.596429</v>
      </c>
      <c r="BI11" s="16" t="n"/>
      <c r="BJ11" s="16" t="n"/>
      <c r="BK11" s="16" t="n">
        <v>8.671530000000001</v>
      </c>
      <c r="BL11" s="16" t="n">
        <v>0.635714</v>
      </c>
      <c r="BM11" s="16" t="n"/>
      <c r="BN11" s="16" t="n"/>
      <c r="BP11" s="16" t="inlineStr">
        <is>
          <t>x_b</t>
        </is>
      </c>
      <c r="BQ11" s="16" t="n">
        <v>0.018496</v>
      </c>
      <c r="BS11" s="16" t="n">
        <v>0.049587</v>
      </c>
      <c r="BT11" s="16" t="n">
        <v>382.941849</v>
      </c>
      <c r="BU11" s="16" t="n">
        <v>0.018127</v>
      </c>
      <c r="BV11" s="16" t="n">
        <v>385.017308</v>
      </c>
      <c r="BW11" s="16" t="n">
        <v>0.125</v>
      </c>
      <c r="BX11" s="16" t="n">
        <v>383.637094</v>
      </c>
      <c r="BY11" s="16" t="n">
        <v>0.049587</v>
      </c>
      <c r="BZ11" s="16" t="n">
        <v>278.922898</v>
      </c>
      <c r="CA11" s="16" t="n">
        <v>0.018127</v>
      </c>
      <c r="CB11" s="16" t="n">
        <v>278.553887</v>
      </c>
      <c r="CC11" s="16" t="n">
        <v>0.125</v>
      </c>
      <c r="CD11" s="16" t="n">
        <v>280.968336</v>
      </c>
      <c r="CE11" s="16" t="n">
        <v>0.049587</v>
      </c>
      <c r="CF11" s="16" t="n">
        <v>2155.056579</v>
      </c>
      <c r="CG11" s="16" t="n">
        <v>0.018127</v>
      </c>
      <c r="CH11" s="16" t="n">
        <v>2064.353383</v>
      </c>
      <c r="CI11" s="16" t="n">
        <v>0.125</v>
      </c>
      <c r="CJ11" s="16" t="n">
        <v>2706.720715</v>
      </c>
      <c r="CK11" s="16" t="n">
        <v>0.049587</v>
      </c>
      <c r="CL11" s="16" t="n">
        <v>681.068488</v>
      </c>
      <c r="CM11" s="16" t="n">
        <v>0.018127</v>
      </c>
      <c r="CN11" s="16" t="n">
        <v>316.033674</v>
      </c>
      <c r="CO11" s="16" t="n">
        <v>0.125</v>
      </c>
      <c r="CP11" s="16" t="n">
        <v>398.543291</v>
      </c>
      <c r="CQ11" s="16" t="n">
        <v>0.049587</v>
      </c>
      <c r="CR11" s="16" t="n">
        <v>0.512252</v>
      </c>
      <c r="CS11" s="16" t="n">
        <v>0.018127</v>
      </c>
      <c r="CT11" s="16" t="n">
        <v>0.5036</v>
      </c>
      <c r="CU11" s="16" t="n">
        <v>0.125</v>
      </c>
      <c r="CV11" s="16" t="n">
        <v>0.520374</v>
      </c>
      <c r="CW11" s="16" t="n">
        <v>0.049587</v>
      </c>
      <c r="CX11" s="16" t="n">
        <v>0.757637</v>
      </c>
      <c r="CY11" s="16" t="n">
        <v>0.018127</v>
      </c>
      <c r="CZ11" s="16" t="n">
        <v>0.753519</v>
      </c>
      <c r="DA11" s="16" t="n">
        <v>0.125</v>
      </c>
      <c r="DB11" s="16" t="n">
        <v>0.770932</v>
      </c>
      <c r="DC11" s="16" t="n">
        <v>0.049587</v>
      </c>
      <c r="DD11" s="16" t="n">
        <v>0.656959</v>
      </c>
      <c r="DE11" s="16" t="n">
        <v>0.018127</v>
      </c>
      <c r="DF11" s="16" t="n">
        <v>0.65572</v>
      </c>
      <c r="DG11" s="16" t="n">
        <v>0.125</v>
      </c>
      <c r="DH11" s="16" t="n">
        <v>0.698897</v>
      </c>
      <c r="DI11" s="16" t="n">
        <v>0.049587</v>
      </c>
      <c r="DJ11" s="16" t="n">
        <v>0.612056</v>
      </c>
      <c r="DK11" s="16" t="n">
        <v>0.018127</v>
      </c>
      <c r="DL11" s="16" t="n">
        <v>0.605565</v>
      </c>
      <c r="DM11" s="16" t="n">
        <v>0.125</v>
      </c>
      <c r="DN11" s="16" t="n">
        <v>0.642371</v>
      </c>
      <c r="DO11" s="16" t="n">
        <v>0.049587</v>
      </c>
      <c r="DP11" s="16" t="n">
        <v>0.622542</v>
      </c>
      <c r="DQ11" s="16" t="n">
        <v>0.018127</v>
      </c>
      <c r="DR11" s="16" t="n">
        <v>0.605455</v>
      </c>
      <c r="DS11" s="16" t="n">
        <v>0.125</v>
      </c>
      <c r="DT11" s="16" t="n">
        <v>0.68069</v>
      </c>
      <c r="DU11" s="16" t="n">
        <v>0.049587</v>
      </c>
      <c r="DV11" s="16" t="n">
        <v>0.717585</v>
      </c>
      <c r="DW11" s="16" t="n">
        <v>0.018127</v>
      </c>
      <c r="DX11" s="16" t="n">
        <v>0.702689</v>
      </c>
      <c r="DY11" s="16" t="n">
        <v>0.125</v>
      </c>
      <c r="DZ11" s="16" t="n">
        <v>0.737453</v>
      </c>
      <c r="EB11" s="16" t="n">
        <v>1168.545778</v>
      </c>
      <c r="EC11" s="16" t="n">
        <v>4160.685292</v>
      </c>
      <c r="ED11" s="16" t="n">
        <v>1454.834982</v>
      </c>
      <c r="EE11" s="16" t="n">
        <v>2262.470169</v>
      </c>
      <c r="EF11" s="16" t="n">
        <v>1392.940294</v>
      </c>
      <c r="EG11" s="16" t="n">
        <v>2596.987028</v>
      </c>
      <c r="EH11" s="16" t="n">
        <v>1145.696865</v>
      </c>
      <c r="EI11" s="16" t="n">
        <v>4887.596703</v>
      </c>
      <c r="EJ11" s="16" t="n">
        <v>498.469041</v>
      </c>
      <c r="EK11" s="16" t="n">
        <v>2984.824551</v>
      </c>
      <c r="EL11" s="16" t="n"/>
      <c r="EM11" s="16" t="n"/>
      <c r="EN11" s="16" t="n">
        <v>1082.754052</v>
      </c>
      <c r="EO11" s="16" t="n">
        <v>4669.085636</v>
      </c>
      <c r="EP11" s="16" t="n">
        <v>600.672129</v>
      </c>
      <c r="EQ11" s="16" t="n">
        <v>4652.959295</v>
      </c>
      <c r="ER11" s="16" t="n"/>
      <c r="ES11" s="16" t="n"/>
      <c r="ET11" s="16" t="n"/>
      <c r="EU11" s="16" t="n"/>
      <c r="EW11" s="16" t="inlineStr">
        <is>
          <t>ε_reg</t>
        </is>
      </c>
      <c r="EX11" s="16" t="n">
        <v>0.266563</v>
      </c>
      <c r="EZ11" s="16" t="inlineStr">
        <is>
          <t>1638–1835</t>
        </is>
      </c>
      <c r="FA11" s="16" t="n">
        <v>2</v>
      </c>
      <c r="FB11" s="16" t="n">
        <v>17</v>
      </c>
      <c r="FC11" s="16" t="n">
        <v>2</v>
      </c>
      <c r="FD11" s="16" t="inlineStr">
        <is>
          <t>4.7–5.4</t>
        </is>
      </c>
      <c r="FE11" s="16" t="n">
        <v>6</v>
      </c>
      <c r="FF11" s="16" t="n">
        <v>21</v>
      </c>
      <c r="FG11" s="16" t="n">
        <v>6</v>
      </c>
      <c r="FI11" s="16" t="inlineStr">
        <is>
          <t>2000–2100</t>
        </is>
      </c>
      <c r="FJ11" s="16" t="n">
        <v>15.384615</v>
      </c>
      <c r="FK11" s="16" t="n">
        <v>46.153846</v>
      </c>
    </row>
    <row r="12">
      <c r="A12" s="16" t="inlineStr">
        <is>
          <t>η_t</t>
        </is>
      </c>
      <c r="B12" s="16" t="n">
        <v>6.315206</v>
      </c>
      <c r="D12" s="16" t="inlineStr">
        <is>
          <t>P_alta</t>
        </is>
      </c>
      <c r="E12" s="16" t="n">
        <v>-1.164523</v>
      </c>
      <c r="G12" s="16" t="n"/>
      <c r="H12" s="16" t="n"/>
      <c r="I12" s="16" t="n"/>
      <c r="J12" s="16" t="n"/>
      <c r="K12" s="16" t="n">
        <v>11.267164</v>
      </c>
      <c r="L12" s="16" t="n">
        <v>562.475</v>
      </c>
      <c r="M12" s="16" t="n"/>
      <c r="N12" s="16" t="n"/>
      <c r="O12" s="16" t="n"/>
      <c r="P12" s="16" t="n"/>
      <c r="Q12" s="16" t="n">
        <v>8.124905</v>
      </c>
      <c r="R12" s="16" t="n">
        <v>291.892857</v>
      </c>
      <c r="S12" s="16" t="n"/>
      <c r="T12" s="16" t="n"/>
      <c r="U12" s="16" t="n"/>
      <c r="V12" s="16" t="n"/>
      <c r="W12" s="16" t="n"/>
      <c r="X12" s="16" t="n"/>
      <c r="Y12" s="16" t="n">
        <v>-0.6</v>
      </c>
      <c r="Z12" s="16" t="n">
        <v>9357.142857000001</v>
      </c>
      <c r="AA12" s="16" t="n"/>
      <c r="AB12" s="16" t="n"/>
      <c r="AC12" s="16" t="n">
        <v>4.602677</v>
      </c>
      <c r="AD12" s="16" t="n">
        <v>1210.714286</v>
      </c>
      <c r="AE12" s="16" t="n"/>
      <c r="AF12" s="16" t="n"/>
      <c r="AG12" s="16" t="n"/>
      <c r="AH12" s="16" t="n"/>
      <c r="AI12" s="16" t="n"/>
      <c r="AJ12" s="16" t="n"/>
      <c r="AK12" s="16" t="n">
        <v>0.607123</v>
      </c>
      <c r="AL12" s="16" t="n">
        <v>0.771429</v>
      </c>
      <c r="AM12" s="16" t="n"/>
      <c r="AN12" s="16" t="n"/>
      <c r="AO12" s="16" t="n"/>
      <c r="AP12" s="16" t="n"/>
      <c r="AQ12" s="16" t="n"/>
      <c r="AR12" s="16" t="n"/>
      <c r="AS12" s="16" t="n">
        <v>9.176021</v>
      </c>
      <c r="AT12" s="16" t="n">
        <v>0.910714</v>
      </c>
      <c r="AU12" s="16" t="n">
        <v>6.025082</v>
      </c>
      <c r="AV12" s="16" t="n">
        <v>0.635714</v>
      </c>
      <c r="AW12" s="16" t="n">
        <v>8.254292</v>
      </c>
      <c r="AX12" s="16" t="n">
        <v>0.635714</v>
      </c>
      <c r="AY12" s="16" t="n">
        <v>6.161658</v>
      </c>
      <c r="AZ12" s="16" t="n">
        <v>0.596429</v>
      </c>
      <c r="BA12" s="16" t="n"/>
      <c r="BB12" s="16" t="n"/>
      <c r="BC12" s="16" t="n"/>
      <c r="BD12" s="16" t="n"/>
      <c r="BE12" s="16" t="n">
        <v>8.428698000000001</v>
      </c>
      <c r="BF12" s="16" t="n">
        <v>0.7445000000000001</v>
      </c>
      <c r="BG12" s="16" t="n">
        <v>7.486964</v>
      </c>
      <c r="BH12" s="16" t="n">
        <v>0.635714</v>
      </c>
      <c r="BI12" s="16" t="n"/>
      <c r="BJ12" s="16" t="n"/>
      <c r="BK12" s="16" t="n">
        <v>8.512696</v>
      </c>
      <c r="BL12" s="16" t="n">
        <v>0.792857</v>
      </c>
      <c r="BM12" s="16" t="n"/>
      <c r="BN12" s="16" t="n"/>
      <c r="BP12" s="16" t="inlineStr">
        <is>
          <t>P_baja</t>
        </is>
      </c>
      <c r="BQ12" s="16" t="n">
        <v>0.016347</v>
      </c>
      <c r="BS12" s="16" t="n">
        <v>0.057851</v>
      </c>
      <c r="BT12" s="16" t="n">
        <v>383.658481</v>
      </c>
      <c r="BU12" s="16" t="n">
        <v>0.021148</v>
      </c>
      <c r="BV12" s="16" t="n">
        <v>385.506612</v>
      </c>
      <c r="BW12" s="16" t="n">
        <v>0.145833</v>
      </c>
      <c r="BX12" s="16" t="n">
        <v>385.201811</v>
      </c>
      <c r="BY12" s="16" t="n">
        <v>0.057851</v>
      </c>
      <c r="BZ12" s="16" t="n">
        <v>278.968901</v>
      </c>
      <c r="CA12" s="16" t="n">
        <v>0.021148</v>
      </c>
      <c r="CB12" s="16" t="n">
        <v>278.632076</v>
      </c>
      <c r="CC12" s="16" t="n">
        <v>0.145833</v>
      </c>
      <c r="CD12" s="16" t="n">
        <v>281.652385</v>
      </c>
      <c r="CE12" s="16" t="n">
        <v>0.057851</v>
      </c>
      <c r="CF12" s="16" t="n">
        <v>2155.68885</v>
      </c>
      <c r="CG12" s="16" t="n">
        <v>0.021148</v>
      </c>
      <c r="CH12" s="16" t="n">
        <v>2074.15272</v>
      </c>
      <c r="CI12" s="16" t="n">
        <v>0.145833</v>
      </c>
      <c r="CJ12" s="16" t="n">
        <v>2748.189109</v>
      </c>
      <c r="CK12" s="16" t="n">
        <v>0.057851</v>
      </c>
      <c r="CL12" s="16" t="n">
        <v>683.165337</v>
      </c>
      <c r="CM12" s="16" t="n">
        <v>0.021148</v>
      </c>
      <c r="CN12" s="16" t="n">
        <v>316.56992</v>
      </c>
      <c r="CO12" s="16" t="n">
        <v>0.145833</v>
      </c>
      <c r="CP12" s="16" t="n">
        <v>405.24035</v>
      </c>
      <c r="CQ12" s="16" t="n">
        <v>0.057851</v>
      </c>
      <c r="CR12" s="16" t="n">
        <v>0.514153</v>
      </c>
      <c r="CS12" s="16" t="n">
        <v>0.021148</v>
      </c>
      <c r="CT12" s="16" t="n">
        <v>0.504351</v>
      </c>
      <c r="CU12" s="16" t="n">
        <v>0.145833</v>
      </c>
      <c r="CV12" s="16" t="n">
        <v>0.521718</v>
      </c>
      <c r="CW12" s="16" t="n">
        <v>0.057851</v>
      </c>
      <c r="CX12" s="16" t="n">
        <v>0.758375</v>
      </c>
      <c r="CY12" s="16" t="n">
        <v>0.021148</v>
      </c>
      <c r="CZ12" s="16" t="n">
        <v>0.754518</v>
      </c>
      <c r="DA12" s="16" t="n">
        <v>0.145833</v>
      </c>
      <c r="DB12" s="16" t="n">
        <v>0.7804219999999999</v>
      </c>
      <c r="DC12" s="16" t="n">
        <v>0.057851</v>
      </c>
      <c r="DD12" s="16" t="n">
        <v>0.663096</v>
      </c>
      <c r="DE12" s="16" t="n">
        <v>0.021148</v>
      </c>
      <c r="DF12" s="16" t="n">
        <v>0.656898</v>
      </c>
      <c r="DG12" s="16" t="n">
        <v>0.145833</v>
      </c>
      <c r="DH12" s="16" t="n">
        <v>0.699611</v>
      </c>
      <c r="DI12" s="16" t="n">
        <v>0.057851</v>
      </c>
      <c r="DJ12" s="16" t="n">
        <v>0.6172260000000001</v>
      </c>
      <c r="DK12" s="16" t="n">
        <v>0.021148</v>
      </c>
      <c r="DL12" s="16" t="n">
        <v>0.607565</v>
      </c>
      <c r="DM12" s="16" t="n">
        <v>0.145833</v>
      </c>
      <c r="DN12" s="16" t="n">
        <v>0.645182</v>
      </c>
      <c r="DO12" s="16" t="n">
        <v>0.057851</v>
      </c>
      <c r="DP12" s="16" t="n">
        <v>0.624036</v>
      </c>
      <c r="DQ12" s="16" t="n">
        <v>0.021148</v>
      </c>
      <c r="DR12" s="16" t="n">
        <v>0.606962</v>
      </c>
      <c r="DS12" s="16" t="n">
        <v>0.145833</v>
      </c>
      <c r="DT12" s="16" t="n">
        <v>0.682745</v>
      </c>
      <c r="DU12" s="16" t="n">
        <v>0.057851</v>
      </c>
      <c r="DV12" s="16" t="n">
        <v>0.739734</v>
      </c>
      <c r="DW12" s="16" t="n">
        <v>0.021148</v>
      </c>
      <c r="DX12" s="16" t="n">
        <v>0.7047060000000001</v>
      </c>
      <c r="DY12" s="16" t="n">
        <v>0.145833</v>
      </c>
      <c r="DZ12" s="16" t="n">
        <v>0.7403419999999999</v>
      </c>
      <c r="EB12" s="16" t="n">
        <v>858.718518</v>
      </c>
      <c r="EC12" s="16" t="n">
        <v>3732.069032</v>
      </c>
      <c r="ED12" s="16" t="n">
        <v>1354.066159</v>
      </c>
      <c r="EE12" s="16" t="n">
        <v>3349.663013</v>
      </c>
      <c r="EF12" s="16" t="n">
        <v>649.185461</v>
      </c>
      <c r="EG12" s="16" t="n">
        <v>3569.578832</v>
      </c>
      <c r="EH12" s="16" t="n">
        <v>1165.177264</v>
      </c>
      <c r="EI12" s="16" t="n">
        <v>2092.479306</v>
      </c>
      <c r="EJ12" s="16" t="n">
        <v>1247.611981</v>
      </c>
      <c r="EK12" s="16" t="n">
        <v>3126.873835</v>
      </c>
      <c r="EL12" s="16" t="n"/>
      <c r="EM12" s="16" t="n"/>
      <c r="EN12" s="16" t="n">
        <v>1296.884032</v>
      </c>
      <c r="EO12" s="16" t="n">
        <v>2882.245217</v>
      </c>
      <c r="EP12" s="16" t="n">
        <v>1266.770672</v>
      </c>
      <c r="EQ12" s="16" t="n">
        <v>3904.214469</v>
      </c>
      <c r="ER12" s="16" t="n"/>
      <c r="ES12" s="16" t="n"/>
      <c r="ET12" s="16" t="n"/>
      <c r="EU12" s="16" t="n"/>
      <c r="EW12" s="16" t="inlineStr">
        <is>
          <t>T_fuente</t>
        </is>
      </c>
      <c r="EX12" s="16" t="n">
        <v>0.291354</v>
      </c>
      <c r="EZ12" s="16" t="inlineStr">
        <is>
          <t>1835–2032</t>
        </is>
      </c>
      <c r="FA12" s="16" t="n">
        <v>9</v>
      </c>
      <c r="FB12" s="16" t="n">
        <v>25</v>
      </c>
      <c r="FC12" s="16" t="n">
        <v>1</v>
      </c>
      <c r="FD12" s="16" t="inlineStr">
        <is>
          <t>5.4–6.0</t>
        </is>
      </c>
      <c r="FE12" s="16" t="n">
        <v>1</v>
      </c>
      <c r="FF12" s="16" t="n">
        <v>29</v>
      </c>
      <c r="FG12" s="16" t="n">
        <v>4</v>
      </c>
      <c r="FI12" s="16" t="inlineStr">
        <is>
          <t>2100–2200</t>
        </is>
      </c>
      <c r="FJ12" s="16" t="n">
        <v>28.571429</v>
      </c>
      <c r="FK12" s="16" t="n">
        <v>21.428571</v>
      </c>
    </row>
    <row r="13">
      <c r="A13" s="16" t="inlineStr">
        <is>
          <t>ε_HRVG</t>
        </is>
      </c>
      <c r="B13" s="16" t="n">
        <v>6.691123</v>
      </c>
      <c r="D13" s="16" t="inlineStr">
        <is>
          <t>T_sumidero</t>
        </is>
      </c>
      <c r="E13" s="16" t="n">
        <v>1.614166</v>
      </c>
      <c r="G13" s="16" t="n"/>
      <c r="H13" s="16" t="n"/>
      <c r="I13" s="16" t="n"/>
      <c r="J13" s="16" t="n"/>
      <c r="K13" s="16" t="n">
        <v>11.249199</v>
      </c>
      <c r="L13" s="16" t="n">
        <v>582.7</v>
      </c>
      <c r="M13" s="16" t="n"/>
      <c r="N13" s="16" t="n"/>
      <c r="O13" s="16" t="n"/>
      <c r="P13" s="16" t="n"/>
      <c r="Q13" s="16" t="n">
        <v>8.249472000000001</v>
      </c>
      <c r="R13" s="16" t="n">
        <v>294.807143</v>
      </c>
      <c r="S13" s="16" t="n"/>
      <c r="T13" s="16" t="n"/>
      <c r="U13" s="16" t="n"/>
      <c r="V13" s="16" t="n"/>
      <c r="W13" s="16" t="n"/>
      <c r="X13" s="16" t="n"/>
      <c r="Y13" s="16" t="n">
        <v>-0.6</v>
      </c>
      <c r="Z13" s="16" t="n">
        <v>10000</v>
      </c>
      <c r="AA13" s="16" t="n"/>
      <c r="AB13" s="16" t="n"/>
      <c r="AC13" s="16" t="n">
        <v>4.206927</v>
      </c>
      <c r="AD13" s="16" t="n">
        <v>1307.142857</v>
      </c>
      <c r="AE13" s="16" t="n"/>
      <c r="AF13" s="16" t="n"/>
      <c r="AG13" s="16" t="n"/>
      <c r="AH13" s="16" t="n"/>
      <c r="AI13" s="16" t="n"/>
      <c r="AJ13" s="16" t="n"/>
      <c r="AK13" s="16" t="n">
        <v>8.812754</v>
      </c>
      <c r="AL13" s="16" t="n">
        <v>0.506</v>
      </c>
      <c r="AM13" s="16" t="n"/>
      <c r="AN13" s="16" t="n"/>
      <c r="AO13" s="16" t="n"/>
      <c r="AP13" s="16" t="n"/>
      <c r="AQ13" s="16" t="n"/>
      <c r="AR13" s="16" t="n"/>
      <c r="AS13" s="16" t="n">
        <v>8.418968</v>
      </c>
      <c r="AT13" s="16" t="n">
        <v>0.8445</v>
      </c>
      <c r="AU13" s="16" t="n"/>
      <c r="AV13" s="16" t="n"/>
      <c r="AW13" s="16" t="n">
        <v>8.341269</v>
      </c>
      <c r="AX13" s="16" t="n">
        <v>0.675</v>
      </c>
      <c r="AY13" s="16" t="n">
        <v>7.066122</v>
      </c>
      <c r="AZ13" s="16" t="n">
        <v>0.675</v>
      </c>
      <c r="BA13" s="16" t="n"/>
      <c r="BB13" s="16" t="n"/>
      <c r="BC13" s="16" t="n"/>
      <c r="BD13" s="16" t="n"/>
      <c r="BE13" s="16" t="n">
        <v>8.535712999999999</v>
      </c>
      <c r="BF13" s="16" t="n">
        <v>0.7554999999999999</v>
      </c>
      <c r="BG13" s="16" t="n">
        <v>7.804953</v>
      </c>
      <c r="BH13" s="16" t="n">
        <v>0.675</v>
      </c>
      <c r="BI13" s="16" t="n"/>
      <c r="BJ13" s="16" t="n"/>
      <c r="BK13" s="16" t="n">
        <v>8.50568</v>
      </c>
      <c r="BL13" s="16" t="n">
        <v>0.7945</v>
      </c>
      <c r="BM13" s="16" t="n"/>
      <c r="BN13" s="16" t="n"/>
      <c r="BP13" s="16" t="inlineStr">
        <is>
          <t>ε_cond</t>
        </is>
      </c>
      <c r="BQ13" s="16" t="n">
        <v>0.01155</v>
      </c>
      <c r="BS13" s="16" t="n">
        <v>0.06611599999999999</v>
      </c>
      <c r="BT13" s="16" t="n">
        <v>384.399006</v>
      </c>
      <c r="BU13" s="16" t="n">
        <v>0.024169</v>
      </c>
      <c r="BV13" s="16" t="n">
        <v>385.540015</v>
      </c>
      <c r="BW13" s="16" t="n">
        <v>0.166667</v>
      </c>
      <c r="BX13" s="16" t="n">
        <v>386.670047</v>
      </c>
      <c r="BY13" s="16" t="n">
        <v>0.06611599999999999</v>
      </c>
      <c r="BZ13" s="16" t="n">
        <v>279.080507</v>
      </c>
      <c r="CA13" s="16" t="n">
        <v>0.024169</v>
      </c>
      <c r="CB13" s="16" t="n">
        <v>278.702032</v>
      </c>
      <c r="CC13" s="16" t="n">
        <v>0.166667</v>
      </c>
      <c r="CD13" s="16" t="n">
        <v>282.314729</v>
      </c>
      <c r="CE13" s="16" t="n">
        <v>0.06611599999999999</v>
      </c>
      <c r="CF13" s="16" t="n">
        <v>2219.048272</v>
      </c>
      <c r="CG13" s="16" t="n">
        <v>0.024169</v>
      </c>
      <c r="CH13" s="16" t="n">
        <v>2076.588717</v>
      </c>
      <c r="CI13" s="16" t="n">
        <v>0.166667</v>
      </c>
      <c r="CJ13" s="16" t="n">
        <v>2753.600686</v>
      </c>
      <c r="CK13" s="16" t="n">
        <v>0.06611599999999999</v>
      </c>
      <c r="CL13" s="16" t="n">
        <v>688.244239</v>
      </c>
      <c r="CM13" s="16" t="n">
        <v>0.024169</v>
      </c>
      <c r="CN13" s="16" t="n">
        <v>321.196232</v>
      </c>
      <c r="CO13" s="16" t="n">
        <v>0.166667</v>
      </c>
      <c r="CP13" s="16" t="n">
        <v>407.31624</v>
      </c>
      <c r="CQ13" s="16" t="n">
        <v>0.06611599999999999</v>
      </c>
      <c r="CR13" s="16" t="n">
        <v>0.516405</v>
      </c>
      <c r="CS13" s="16" t="n">
        <v>0.024169</v>
      </c>
      <c r="CT13" s="16" t="n">
        <v>0.506323</v>
      </c>
      <c r="CU13" s="16" t="n">
        <v>0.166667</v>
      </c>
      <c r="CV13" s="16" t="n">
        <v>0.522421</v>
      </c>
      <c r="CW13" s="16" t="n">
        <v>0.06611599999999999</v>
      </c>
      <c r="CX13" s="16" t="n">
        <v>0.760085</v>
      </c>
      <c r="CY13" s="16" t="n">
        <v>0.024169</v>
      </c>
      <c r="CZ13" s="16" t="n">
        <v>0.754948</v>
      </c>
      <c r="DA13" s="16" t="n">
        <v>0.166667</v>
      </c>
      <c r="DB13" s="16" t="n">
        <v>0.7858849999999999</v>
      </c>
      <c r="DC13" s="16" t="n">
        <v>0.06611599999999999</v>
      </c>
      <c r="DD13" s="16" t="n">
        <v>0.663761</v>
      </c>
      <c r="DE13" s="16" t="n">
        <v>0.024169</v>
      </c>
      <c r="DF13" s="16" t="n">
        <v>0.657539</v>
      </c>
      <c r="DG13" s="16" t="n">
        <v>0.166667</v>
      </c>
      <c r="DH13" s="16" t="n">
        <v>0.700402</v>
      </c>
      <c r="DI13" s="16" t="n">
        <v>0.06611599999999999</v>
      </c>
      <c r="DJ13" s="16" t="n">
        <v>0.617685</v>
      </c>
      <c r="DK13" s="16" t="n">
        <v>0.024169</v>
      </c>
      <c r="DL13" s="16" t="n">
        <v>0.6085700000000001</v>
      </c>
      <c r="DM13" s="16" t="n">
        <v>0.166667</v>
      </c>
      <c r="DN13" s="16" t="n">
        <v>0.646968</v>
      </c>
      <c r="DO13" s="16" t="n">
        <v>0.06611599999999999</v>
      </c>
      <c r="DP13" s="16" t="n">
        <v>0.624587</v>
      </c>
      <c r="DQ13" s="16" t="n">
        <v>0.024169</v>
      </c>
      <c r="DR13" s="16" t="n">
        <v>0.607521</v>
      </c>
      <c r="DS13" s="16" t="n">
        <v>0.166667</v>
      </c>
      <c r="DT13" s="16" t="n">
        <v>0.687233</v>
      </c>
      <c r="DU13" s="16" t="n">
        <v>0.06611599999999999</v>
      </c>
      <c r="DV13" s="16" t="n">
        <v>0.741431</v>
      </c>
      <c r="DW13" s="16" t="n">
        <v>0.024169</v>
      </c>
      <c r="DX13" s="16" t="n">
        <v>0.70513</v>
      </c>
      <c r="DY13" s="16" t="n">
        <v>0.166667</v>
      </c>
      <c r="DZ13" s="16" t="n">
        <v>0.7418</v>
      </c>
      <c r="EB13" s="16" t="n">
        <v>930.49415</v>
      </c>
      <c r="EC13" s="16" t="n">
        <v>3160.356417</v>
      </c>
      <c r="ED13" s="16" t="n">
        <v>1406.893214</v>
      </c>
      <c r="EE13" s="16" t="n">
        <v>4615.247022</v>
      </c>
      <c r="EF13" s="16" t="n">
        <v>665.932001</v>
      </c>
      <c r="EG13" s="16" t="n">
        <v>3540.032699</v>
      </c>
      <c r="EH13" s="16" t="n">
        <v>1363.548174</v>
      </c>
      <c r="EI13" s="16" t="n">
        <v>4360.074009</v>
      </c>
      <c r="EJ13" s="16" t="n">
        <v>417.494183</v>
      </c>
      <c r="EK13" s="16" t="n">
        <v>4221.270902</v>
      </c>
      <c r="EL13" s="16" t="n"/>
      <c r="EM13" s="16" t="n"/>
      <c r="EN13" s="16" t="n">
        <v>534.84921</v>
      </c>
      <c r="EO13" s="16" t="n">
        <v>3791.102008</v>
      </c>
      <c r="EP13" s="16" t="n">
        <v>410.365775</v>
      </c>
      <c r="EQ13" s="16" t="n">
        <v>2748.189109</v>
      </c>
      <c r="ER13" s="16" t="n"/>
      <c r="ES13" s="16" t="n"/>
      <c r="ET13" s="16" t="n"/>
      <c r="EU13" s="16" t="n"/>
      <c r="EW13" s="16" t="inlineStr">
        <is>
          <t>η_t</t>
        </is>
      </c>
      <c r="EX13" s="16" t="n">
        <v>0.37516</v>
      </c>
      <c r="EZ13" s="16" t="inlineStr">
        <is>
          <t>2032–2229</t>
        </is>
      </c>
      <c r="FA13" s="16" t="n">
        <v>10</v>
      </c>
      <c r="FB13" s="16" t="n">
        <v>24</v>
      </c>
      <c r="FC13" s="16" t="n">
        <v>2</v>
      </c>
      <c r="FD13" s="16" t="inlineStr">
        <is>
          <t>6.0–6.7</t>
        </is>
      </c>
      <c r="FE13" s="16" t="n">
        <v>3</v>
      </c>
      <c r="FF13" s="16" t="n">
        <v>10</v>
      </c>
      <c r="FG13" s="16" t="n">
        <v>0</v>
      </c>
      <c r="FI13" s="16" t="inlineStr">
        <is>
          <t>2200–2300</t>
        </is>
      </c>
      <c r="FJ13" s="16" t="n">
        <v>35.714286</v>
      </c>
      <c r="FK13" s="16" t="n">
        <v>0</v>
      </c>
    </row>
    <row r="14">
      <c r="A14" s="16" t="inlineStr">
        <is>
          <t>P_baja</t>
        </is>
      </c>
      <c r="B14" s="16" t="n">
        <v>6.800816</v>
      </c>
      <c r="D14" s="16" t="inlineStr">
        <is>
          <t>x_b</t>
        </is>
      </c>
      <c r="E14" s="16" t="n">
        <v>3.401781</v>
      </c>
      <c r="G14" s="16" t="n"/>
      <c r="H14" s="16" t="n"/>
      <c r="I14" s="16" t="n"/>
      <c r="J14" s="16" t="n"/>
      <c r="K14" s="16" t="n"/>
      <c r="L14" s="16" t="n"/>
      <c r="M14" s="16" t="n"/>
      <c r="N14" s="16" t="n"/>
      <c r="O14" s="16" t="n"/>
      <c r="P14" s="16" t="n"/>
      <c r="Q14" s="16" t="n">
        <v>8.186750999999999</v>
      </c>
      <c r="R14" s="16" t="n">
        <v>293.35</v>
      </c>
      <c r="S14" s="16" t="n"/>
      <c r="T14" s="16" t="n"/>
      <c r="U14" s="16" t="n"/>
      <c r="V14" s="16" t="n"/>
      <c r="W14" s="16" t="n"/>
      <c r="X14" s="16" t="n"/>
      <c r="Y14" s="16" t="n"/>
      <c r="Z14" s="16" t="n"/>
      <c r="AA14" s="16" t="n"/>
      <c r="AB14" s="16" t="n"/>
      <c r="AC14" s="16" t="n">
        <v>3.839218</v>
      </c>
      <c r="AD14" s="16" t="n">
        <v>1403.571429</v>
      </c>
      <c r="AE14" s="16" t="n"/>
      <c r="AF14" s="16" t="n"/>
      <c r="AG14" s="16" t="n"/>
      <c r="AH14" s="16" t="n"/>
      <c r="AI14" s="16" t="n"/>
      <c r="AJ14" s="16" t="n"/>
      <c r="AK14" s="16" t="n"/>
      <c r="AL14" s="16" t="n"/>
      <c r="AM14" s="16" t="n"/>
      <c r="AN14" s="16" t="n"/>
      <c r="AO14" s="16" t="n"/>
      <c r="AP14" s="16" t="n"/>
      <c r="AQ14" s="16" t="n"/>
      <c r="AR14" s="16" t="n"/>
      <c r="AS14" s="16" t="n">
        <v>9.624703999999999</v>
      </c>
      <c r="AT14" s="16" t="n">
        <v>0.95</v>
      </c>
      <c r="AU14" s="16" t="n"/>
      <c r="AV14" s="16" t="n"/>
      <c r="AW14" s="16" t="n">
        <v>8.41863</v>
      </c>
      <c r="AX14" s="16" t="n">
        <v>0.714286</v>
      </c>
      <c r="AY14" s="16" t="n">
        <v>7.444163</v>
      </c>
      <c r="AZ14" s="16" t="n">
        <v>0.714286</v>
      </c>
      <c r="BA14" s="16" t="n"/>
      <c r="BB14" s="16" t="n"/>
      <c r="BC14" s="16" t="n"/>
      <c r="BD14" s="16" t="n"/>
      <c r="BE14" s="16" t="n"/>
      <c r="BF14" s="16" t="n"/>
      <c r="BG14" s="16" t="n">
        <v>8.147112</v>
      </c>
      <c r="BH14" s="16" t="n">
        <v>0.714286</v>
      </c>
      <c r="BI14" s="16" t="n"/>
      <c r="BJ14" s="16" t="n"/>
      <c r="BK14" s="16" t="n"/>
      <c r="BL14" s="16" t="n"/>
      <c r="BM14" s="16" t="n"/>
      <c r="BN14" s="16" t="n"/>
      <c r="BP14" s="16" t="inlineStr">
        <is>
          <t>P_alta</t>
        </is>
      </c>
      <c r="BQ14" s="16" t="n">
        <v>0.007072</v>
      </c>
      <c r="BS14" s="16" t="n">
        <v>0.07438</v>
      </c>
      <c r="BT14" s="16" t="n">
        <v>384.496479</v>
      </c>
      <c r="BU14" s="16" t="n">
        <v>0.02719</v>
      </c>
      <c r="BV14" s="16" t="n">
        <v>385.748019</v>
      </c>
      <c r="BW14" s="16" t="n">
        <v>0.1875</v>
      </c>
      <c r="BX14" s="16" t="n">
        <v>390.064255</v>
      </c>
      <c r="BY14" s="16" t="n">
        <v>0.07438</v>
      </c>
      <c r="BZ14" s="16" t="n">
        <v>279.097701</v>
      </c>
      <c r="CA14" s="16" t="n">
        <v>0.02719</v>
      </c>
      <c r="CB14" s="16" t="n">
        <v>279.14067</v>
      </c>
      <c r="CC14" s="16" t="n">
        <v>0.1875</v>
      </c>
      <c r="CD14" s="16" t="n">
        <v>282.675741</v>
      </c>
      <c r="CE14" s="16" t="n">
        <v>0.07438</v>
      </c>
      <c r="CF14" s="16" t="n">
        <v>2230.392432</v>
      </c>
      <c r="CG14" s="16" t="n">
        <v>0.02719</v>
      </c>
      <c r="CH14" s="16" t="n">
        <v>2081.052358</v>
      </c>
      <c r="CI14" s="16" t="n">
        <v>0.1875</v>
      </c>
      <c r="CJ14" s="16" t="n">
        <v>2791.88467</v>
      </c>
      <c r="CK14" s="16" t="n">
        <v>0.07438</v>
      </c>
      <c r="CL14" s="16" t="n">
        <v>691.773401</v>
      </c>
      <c r="CM14" s="16" t="n">
        <v>0.02719</v>
      </c>
      <c r="CN14" s="16" t="n">
        <v>321.559202</v>
      </c>
      <c r="CO14" s="16" t="n">
        <v>0.1875</v>
      </c>
      <c r="CP14" s="16" t="n">
        <v>410.365775</v>
      </c>
      <c r="CQ14" s="16" t="n">
        <v>0.07438</v>
      </c>
      <c r="CR14" s="16" t="n">
        <v>0.518442</v>
      </c>
      <c r="CS14" s="16" t="n">
        <v>0.02719</v>
      </c>
      <c r="CT14" s="16" t="n">
        <v>0.508854</v>
      </c>
      <c r="CU14" s="16" t="n">
        <v>0.1875</v>
      </c>
      <c r="CV14" s="16" t="n">
        <v>0.525733</v>
      </c>
      <c r="CW14" s="16" t="n">
        <v>0.07438</v>
      </c>
      <c r="CX14" s="16" t="n">
        <v>0.760202</v>
      </c>
      <c r="CY14" s="16" t="n">
        <v>0.02719</v>
      </c>
      <c r="CZ14" s="16" t="n">
        <v>0.755061</v>
      </c>
      <c r="DA14" s="16" t="n">
        <v>0.1875</v>
      </c>
      <c r="DB14" s="16" t="n">
        <v>0.78747</v>
      </c>
      <c r="DC14" s="16" t="n">
        <v>0.07438</v>
      </c>
      <c r="DD14" s="16" t="n">
        <v>0.664674</v>
      </c>
      <c r="DE14" s="16" t="n">
        <v>0.02719</v>
      </c>
      <c r="DF14" s="16" t="n">
        <v>0.657704</v>
      </c>
      <c r="DG14" s="16" t="n">
        <v>0.1875</v>
      </c>
      <c r="DH14" s="16" t="n">
        <v>0.702538</v>
      </c>
      <c r="DI14" s="16" t="n">
        <v>0.07438</v>
      </c>
      <c r="DJ14" s="16" t="n">
        <v>0.619097</v>
      </c>
      <c r="DK14" s="16" t="n">
        <v>0.02719</v>
      </c>
      <c r="DL14" s="16" t="n">
        <v>0.609834</v>
      </c>
      <c r="DM14" s="16" t="n">
        <v>0.1875</v>
      </c>
      <c r="DN14" s="16" t="n">
        <v>0.657125</v>
      </c>
      <c r="DO14" s="16" t="n">
        <v>0.07438</v>
      </c>
      <c r="DP14" s="16" t="n">
        <v>0.628825</v>
      </c>
      <c r="DQ14" s="16" t="n">
        <v>0.02719</v>
      </c>
      <c r="DR14" s="16" t="n">
        <v>0.608522</v>
      </c>
      <c r="DS14" s="16" t="n">
        <v>0.1875</v>
      </c>
      <c r="DT14" s="16" t="n">
        <v>0.689026</v>
      </c>
      <c r="DU14" s="16" t="n">
        <v>0.07438</v>
      </c>
      <c r="DV14" s="16" t="n">
        <v>0.7605460000000001</v>
      </c>
      <c r="DW14" s="16" t="n">
        <v>0.02719</v>
      </c>
      <c r="DX14" s="16" t="n">
        <v>0.705217</v>
      </c>
      <c r="DY14" s="16" t="n">
        <v>0.1875</v>
      </c>
      <c r="DZ14" s="16" t="n">
        <v>0.747824</v>
      </c>
      <c r="EB14" s="16" t="n">
        <v>683.165337</v>
      </c>
      <c r="EC14" s="16" t="n">
        <v>2867.307732</v>
      </c>
      <c r="ED14" s="16" t="n">
        <v>889.9962829999999</v>
      </c>
      <c r="EE14" s="16" t="n">
        <v>3961.412957</v>
      </c>
      <c r="EF14" s="16" t="n">
        <v>451.184967</v>
      </c>
      <c r="EG14" s="16" t="n">
        <v>2160.485723</v>
      </c>
      <c r="EH14" s="16" t="n">
        <v>376.828397</v>
      </c>
      <c r="EI14" s="16" t="n">
        <v>2419.567795</v>
      </c>
      <c r="EJ14" s="16" t="n">
        <v>1254.52005</v>
      </c>
      <c r="EK14" s="16" t="n">
        <v>4986.563596</v>
      </c>
      <c r="EL14" s="16" t="n"/>
      <c r="EM14" s="16" t="n"/>
      <c r="EN14" s="16" t="n">
        <v>1098.026135</v>
      </c>
      <c r="EO14" s="16" t="n">
        <v>3094.081869</v>
      </c>
      <c r="EP14" s="16" t="n">
        <v>806.093902</v>
      </c>
      <c r="EQ14" s="16" t="n">
        <v>4432.829033</v>
      </c>
      <c r="ER14" s="16" t="n"/>
      <c r="ES14" s="16" t="n"/>
      <c r="ET14" s="16" t="n"/>
      <c r="EU14" s="16" t="n"/>
      <c r="EW14" s="16" t="inlineStr">
        <is>
          <t>P_alta</t>
        </is>
      </c>
      <c r="EX14" s="16" t="n">
        <v>0.583155</v>
      </c>
      <c r="EZ14" s="16" t="inlineStr">
        <is>
          <t>2229–2425</t>
        </is>
      </c>
      <c r="FA14" s="16" t="n">
        <v>12</v>
      </c>
      <c r="FB14" s="16" t="n">
        <v>25</v>
      </c>
      <c r="FC14" s="16" t="n">
        <v>2</v>
      </c>
      <c r="FD14" s="16" t="inlineStr">
        <is>
          <t>6.7–7.3</t>
        </is>
      </c>
      <c r="FE14" s="16" t="n">
        <v>1</v>
      </c>
      <c r="FF14" s="16" t="n">
        <v>22</v>
      </c>
      <c r="FG14" s="16" t="n">
        <v>3</v>
      </c>
      <c r="FI14" s="16" t="inlineStr">
        <is>
          <t>2300–2400</t>
        </is>
      </c>
      <c r="FJ14" s="16" t="n">
        <v>40</v>
      </c>
      <c r="FK14" s="16" t="n">
        <v>30</v>
      </c>
    </row>
    <row r="15">
      <c r="A15" s="16" t="inlineStr">
        <is>
          <t>x_b</t>
        </is>
      </c>
      <c r="B15" s="16" t="n">
        <v>10.775245</v>
      </c>
      <c r="D15" s="16" t="inlineStr">
        <is>
          <t>T_fuente</t>
        </is>
      </c>
      <c r="E15" s="16" t="n">
        <v>10.871153</v>
      </c>
      <c r="G15" s="16" t="n"/>
      <c r="H15" s="16" t="n"/>
      <c r="I15" s="16" t="n"/>
      <c r="J15" s="16" t="n"/>
      <c r="K15" s="16" t="n"/>
      <c r="L15" s="16" t="n"/>
      <c r="M15" s="16" t="n"/>
      <c r="N15" s="16" t="n"/>
      <c r="O15" s="16" t="n"/>
      <c r="P15" s="16" t="n"/>
      <c r="Q15" s="16" t="n">
        <v>8.313086</v>
      </c>
      <c r="R15" s="16" t="n">
        <v>296.264286</v>
      </c>
      <c r="S15" s="16" t="n"/>
      <c r="T15" s="16" t="n"/>
      <c r="U15" s="16" t="n"/>
      <c r="V15" s="16" t="n"/>
      <c r="W15" s="16" t="n"/>
      <c r="X15" s="16" t="n"/>
      <c r="Y15" s="16" t="n"/>
      <c r="Z15" s="16" t="n"/>
      <c r="AA15" s="16" t="n"/>
      <c r="AB15" s="16" t="n"/>
      <c r="AC15" s="16" t="n">
        <v>3.496091</v>
      </c>
      <c r="AD15" s="16" t="n">
        <v>1500</v>
      </c>
      <c r="AE15" s="16" t="n"/>
      <c r="AF15" s="16" t="n"/>
      <c r="AG15" s="16" t="n"/>
      <c r="AH15" s="16" t="n"/>
      <c r="AI15" s="16" t="n"/>
      <c r="AJ15" s="16" t="n"/>
      <c r="AK15" s="16" t="n"/>
      <c r="AL15" s="16" t="n"/>
      <c r="AM15" s="16" t="n"/>
      <c r="AN15" s="16" t="n"/>
      <c r="AO15" s="16" t="n"/>
      <c r="AP15" s="16" t="n"/>
      <c r="AQ15" s="16" t="n"/>
      <c r="AR15" s="16" t="n"/>
      <c r="AS15" s="16" t="n">
        <v>8.544807</v>
      </c>
      <c r="AT15" s="16" t="n">
        <v>0.8555</v>
      </c>
      <c r="AU15" s="16" t="n"/>
      <c r="AV15" s="16" t="n"/>
      <c r="AW15" s="16" t="n">
        <v>8.487886</v>
      </c>
      <c r="AX15" s="16" t="n">
        <v>0.753571</v>
      </c>
      <c r="AY15" s="16" t="n">
        <v>7.782946</v>
      </c>
      <c r="AZ15" s="16" t="n">
        <v>0.753571</v>
      </c>
      <c r="BA15" s="16" t="n"/>
      <c r="BB15" s="16" t="n"/>
      <c r="BC15" s="16" t="n"/>
      <c r="BD15" s="16" t="n"/>
      <c r="BE15" s="16" t="n"/>
      <c r="BF15" s="16" t="n"/>
      <c r="BG15" s="16" t="n"/>
      <c r="BH15" s="16" t="n"/>
      <c r="BI15" s="16" t="n"/>
      <c r="BJ15" s="16" t="n"/>
      <c r="BK15" s="16" t="n"/>
      <c r="BL15" s="16" t="n"/>
      <c r="BM15" s="16" t="n"/>
      <c r="BN15" s="16" t="n"/>
      <c r="BS15" s="16" t="n">
        <v>0.082645</v>
      </c>
      <c r="BT15" s="16" t="n">
        <v>386.18073</v>
      </c>
      <c r="BU15" s="16" t="n">
        <v>0.030211</v>
      </c>
      <c r="BV15" s="16" t="n">
        <v>386.230043</v>
      </c>
      <c r="BW15" s="16" t="n">
        <v>0.208333</v>
      </c>
      <c r="BX15" s="16" t="n">
        <v>391.078053</v>
      </c>
      <c r="BY15" s="16" t="n">
        <v>0.082645</v>
      </c>
      <c r="BZ15" s="16" t="n">
        <v>279.365238</v>
      </c>
      <c r="CA15" s="16" t="n">
        <v>0.030211</v>
      </c>
      <c r="CB15" s="16" t="n">
        <v>279.20998</v>
      </c>
      <c r="CC15" s="16" t="n">
        <v>0.208333</v>
      </c>
      <c r="CD15" s="16" t="n">
        <v>283.982545</v>
      </c>
      <c r="CE15" s="16" t="n">
        <v>0.082645</v>
      </c>
      <c r="CF15" s="16" t="n">
        <v>2262.470169</v>
      </c>
      <c r="CG15" s="16" t="n">
        <v>0.030211</v>
      </c>
      <c r="CH15" s="16" t="n">
        <v>2081.421554</v>
      </c>
      <c r="CI15" s="16" t="n">
        <v>0.208333</v>
      </c>
      <c r="CJ15" s="16" t="n">
        <v>2851.532117</v>
      </c>
      <c r="CK15" s="16" t="n">
        <v>0.082645</v>
      </c>
      <c r="CL15" s="16" t="n">
        <v>709.670452</v>
      </c>
      <c r="CM15" s="16" t="n">
        <v>0.030211</v>
      </c>
      <c r="CN15" s="16" t="n">
        <v>327.391442</v>
      </c>
      <c r="CO15" s="16" t="n">
        <v>0.208333</v>
      </c>
      <c r="CP15" s="16" t="n">
        <v>472.889016</v>
      </c>
      <c r="CQ15" s="16" t="n">
        <v>0.082645</v>
      </c>
      <c r="CR15" s="16" t="n">
        <v>0.5186730000000001</v>
      </c>
      <c r="CS15" s="16" t="n">
        <v>0.030211</v>
      </c>
      <c r="CT15" s="16" t="n">
        <v>0.512997</v>
      </c>
      <c r="CU15" s="16" t="n">
        <v>0.208333</v>
      </c>
      <c r="CV15" s="16" t="n">
        <v>0.527218</v>
      </c>
      <c r="CW15" s="16" t="n">
        <v>0.082645</v>
      </c>
      <c r="CX15" s="16" t="n">
        <v>0.761731</v>
      </c>
      <c r="CY15" s="16" t="n">
        <v>0.030211</v>
      </c>
      <c r="CZ15" s="16" t="n">
        <v>0.755156</v>
      </c>
      <c r="DA15" s="16" t="n">
        <v>0.208333</v>
      </c>
      <c r="DB15" s="16" t="n">
        <v>0.787505</v>
      </c>
      <c r="DC15" s="16" t="n">
        <v>0.082645</v>
      </c>
      <c r="DD15" s="16" t="n">
        <v>0.664819</v>
      </c>
      <c r="DE15" s="16" t="n">
        <v>0.030211</v>
      </c>
      <c r="DF15" s="16" t="n">
        <v>0.658452</v>
      </c>
      <c r="DG15" s="16" t="n">
        <v>0.208333</v>
      </c>
      <c r="DH15" s="16" t="n">
        <v>0.706228</v>
      </c>
      <c r="DI15" s="16" t="n">
        <v>0.082645</v>
      </c>
      <c r="DJ15" s="16" t="n">
        <v>0.623233</v>
      </c>
      <c r="DK15" s="16" t="n">
        <v>0.030211</v>
      </c>
      <c r="DL15" s="16" t="n">
        <v>0.609924</v>
      </c>
      <c r="DM15" s="16" t="n">
        <v>0.208333</v>
      </c>
      <c r="DN15" s="16" t="n">
        <v>0.657913</v>
      </c>
      <c r="DO15" s="16" t="n">
        <v>0.082645</v>
      </c>
      <c r="DP15" s="16" t="n">
        <v>0.633807</v>
      </c>
      <c r="DQ15" s="16" t="n">
        <v>0.030211</v>
      </c>
      <c r="DR15" s="16" t="n">
        <v>0.609385</v>
      </c>
      <c r="DS15" s="16" t="n">
        <v>0.208333</v>
      </c>
      <c r="DT15" s="16" t="n">
        <v>0.689924</v>
      </c>
      <c r="DU15" s="16" t="n">
        <v>0.082645</v>
      </c>
      <c r="DV15" s="16" t="n">
        <v>0.764586</v>
      </c>
      <c r="DW15" s="16" t="n">
        <v>0.030211</v>
      </c>
      <c r="DX15" s="16" t="n">
        <v>0.706026</v>
      </c>
      <c r="DY15" s="16" t="n">
        <v>0.208333</v>
      </c>
      <c r="DZ15" s="16" t="n">
        <v>0.7506159999999999</v>
      </c>
      <c r="EB15" s="16" t="n">
        <v>1032.654295</v>
      </c>
      <c r="EC15" s="16" t="n">
        <v>2017.489854</v>
      </c>
      <c r="ED15" s="16" t="n">
        <v>1403.658796</v>
      </c>
      <c r="EE15" s="16" t="n">
        <v>4835.649175</v>
      </c>
      <c r="EF15" s="16" t="n">
        <v>1389.7471</v>
      </c>
      <c r="EG15" s="16" t="n">
        <v>4680.893184</v>
      </c>
      <c r="EH15" s="16" t="n">
        <v>440.891179</v>
      </c>
      <c r="EI15" s="16" t="n">
        <v>4430.809266</v>
      </c>
      <c r="EJ15" s="16" t="n">
        <v>355.303703</v>
      </c>
      <c r="EK15" s="16" t="n">
        <v>4288.478429</v>
      </c>
      <c r="EL15" s="16" t="n"/>
      <c r="EM15" s="16" t="n"/>
      <c r="EN15" s="16" t="n">
        <v>999.028134</v>
      </c>
      <c r="EO15" s="16" t="n">
        <v>4808.625812</v>
      </c>
      <c r="EP15" s="16" t="n">
        <v>1370.024785</v>
      </c>
      <c r="EQ15" s="16" t="n">
        <v>4393.100586</v>
      </c>
      <c r="ER15" s="16" t="n"/>
      <c r="ES15" s="16" t="n"/>
      <c r="ET15" s="16" t="n"/>
      <c r="EU15" s="16" t="n"/>
      <c r="EW15" s="16" t="inlineStr">
        <is>
          <t>P_baja</t>
        </is>
      </c>
      <c r="EX15" s="16" t="n">
        <v>-0.680663</v>
      </c>
      <c r="EZ15" s="16" t="inlineStr">
        <is>
          <t>2425–2622</t>
        </is>
      </c>
      <c r="FA15" s="16" t="n">
        <v>13</v>
      </c>
      <c r="FB15" s="16" t="n">
        <v>20</v>
      </c>
      <c r="FC15" s="16" t="n">
        <v>1</v>
      </c>
      <c r="FD15" s="16" t="inlineStr">
        <is>
          <t>7.3–8.0</t>
        </is>
      </c>
      <c r="FE15" s="16" t="n">
        <v>0</v>
      </c>
      <c r="FF15" s="16" t="n">
        <v>13</v>
      </c>
      <c r="FG15" s="16" t="n">
        <v>3</v>
      </c>
      <c r="FI15" s="16" t="inlineStr">
        <is>
          <t>2400–2500</t>
        </is>
      </c>
      <c r="FJ15" s="16" t="n">
        <v>50</v>
      </c>
      <c r="FK15" s="16" t="n">
        <v>25</v>
      </c>
    </row>
    <row r="16">
      <c r="G16" s="16" t="n"/>
      <c r="H16" s="16" t="n"/>
      <c r="I16" s="16" t="n"/>
      <c r="J16" s="16" t="n"/>
      <c r="K16" s="16" t="n"/>
      <c r="L16" s="16" t="n"/>
      <c r="M16" s="16" t="n"/>
      <c r="N16" s="16" t="n"/>
      <c r="O16" s="16" t="n"/>
      <c r="P16" s="16" t="n"/>
      <c r="Q16" s="16" t="n">
        <v>8.377611999999999</v>
      </c>
      <c r="R16" s="16" t="n">
        <v>297.721429</v>
      </c>
      <c r="S16" s="16" t="n"/>
      <c r="T16" s="16" t="n"/>
      <c r="U16" s="16" t="n"/>
      <c r="V16" s="16" t="n"/>
      <c r="W16" s="16" t="n"/>
      <c r="X16" s="16" t="n"/>
      <c r="Y16" s="16" t="n"/>
      <c r="Z16" s="16" t="n"/>
      <c r="AA16" s="16" t="n"/>
      <c r="AB16" s="16" t="n"/>
      <c r="AC16" s="16" t="n">
        <v>8.364844</v>
      </c>
      <c r="AD16" s="16" t="n">
        <v>577.136364</v>
      </c>
      <c r="AE16" s="16" t="n"/>
      <c r="AF16" s="16" t="n"/>
      <c r="AG16" s="16" t="n"/>
      <c r="AH16" s="16" t="n"/>
      <c r="AI16" s="16" t="n"/>
      <c r="AJ16" s="16" t="n"/>
      <c r="AK16" s="16" t="n"/>
      <c r="AL16" s="16" t="n"/>
      <c r="AM16" s="16" t="n"/>
      <c r="AN16" s="16" t="n"/>
      <c r="AO16" s="16" t="n"/>
      <c r="AP16" s="16" t="n"/>
      <c r="AQ16" s="16" t="n"/>
      <c r="AR16" s="16" t="n"/>
      <c r="AS16" s="16" t="n"/>
      <c r="AT16" s="16" t="n"/>
      <c r="AU16" s="16" t="n"/>
      <c r="AV16" s="16" t="n"/>
      <c r="AW16" s="16" t="n">
        <v>8.550246</v>
      </c>
      <c r="AX16" s="16" t="n">
        <v>0.792857</v>
      </c>
      <c r="AY16" s="16" t="n">
        <v>8.364687999999999</v>
      </c>
      <c r="AZ16" s="16" t="n">
        <v>0.832143</v>
      </c>
      <c r="BA16" s="16" t="n"/>
      <c r="BB16" s="16" t="n"/>
      <c r="BC16" s="16" t="n"/>
      <c r="BD16" s="16" t="n"/>
      <c r="BE16" s="16" t="n"/>
      <c r="BF16" s="16" t="n"/>
      <c r="BG16" s="16" t="n"/>
      <c r="BH16" s="16" t="n"/>
      <c r="BI16" s="16" t="n"/>
      <c r="BJ16" s="16" t="n"/>
      <c r="BK16" s="16" t="n"/>
      <c r="BL16" s="16" t="n"/>
      <c r="BM16" s="16" t="n"/>
      <c r="BN16" s="16" t="n"/>
      <c r="BS16" s="16" t="n">
        <v>0.090909</v>
      </c>
      <c r="BT16" s="16" t="n">
        <v>387.059397</v>
      </c>
      <c r="BU16" s="16" t="n">
        <v>0.033233</v>
      </c>
      <c r="BV16" s="16" t="n">
        <v>386.904879</v>
      </c>
      <c r="BW16" s="16" t="n">
        <v>0.229167</v>
      </c>
      <c r="BX16" s="16" t="n">
        <v>391.19971</v>
      </c>
      <c r="BY16" s="16" t="n">
        <v>0.090909</v>
      </c>
      <c r="BZ16" s="16" t="n">
        <v>279.770745</v>
      </c>
      <c r="CA16" s="16" t="n">
        <v>0.033233</v>
      </c>
      <c r="CB16" s="16" t="n">
        <v>279.233717</v>
      </c>
      <c r="CC16" s="16" t="n">
        <v>0.229167</v>
      </c>
      <c r="CD16" s="16" t="n">
        <v>284.52277</v>
      </c>
      <c r="CE16" s="16" t="n">
        <v>0.090909</v>
      </c>
      <c r="CF16" s="16" t="n">
        <v>2280.997142</v>
      </c>
      <c r="CG16" s="16" t="n">
        <v>0.033233</v>
      </c>
      <c r="CH16" s="16" t="n">
        <v>2092.479306</v>
      </c>
      <c r="CI16" s="16" t="n">
        <v>0.229167</v>
      </c>
      <c r="CJ16" s="16" t="n">
        <v>2882.245217</v>
      </c>
      <c r="CK16" s="16" t="n">
        <v>0.090909</v>
      </c>
      <c r="CL16" s="16" t="n">
        <v>715.198494</v>
      </c>
      <c r="CM16" s="16" t="n">
        <v>0.033233</v>
      </c>
      <c r="CN16" s="16" t="n">
        <v>328.004599</v>
      </c>
      <c r="CO16" s="16" t="n">
        <v>0.229167</v>
      </c>
      <c r="CP16" s="16" t="n">
        <v>473.452271</v>
      </c>
      <c r="CQ16" s="16" t="n">
        <v>0.090909</v>
      </c>
      <c r="CR16" s="16" t="n">
        <v>0.524298</v>
      </c>
      <c r="CS16" s="16" t="n">
        <v>0.033233</v>
      </c>
      <c r="CT16" s="16" t="n">
        <v>0.515285</v>
      </c>
      <c r="CU16" s="16" t="n">
        <v>0.229167</v>
      </c>
      <c r="CV16" s="16" t="n">
        <v>0.537578</v>
      </c>
      <c r="CW16" s="16" t="n">
        <v>0.090909</v>
      </c>
      <c r="CX16" s="16" t="n">
        <v>0.762749</v>
      </c>
      <c r="CY16" s="16" t="n">
        <v>0.033233</v>
      </c>
      <c r="CZ16" s="16" t="n">
        <v>0.755323</v>
      </c>
      <c r="DA16" s="16" t="n">
        <v>0.229167</v>
      </c>
      <c r="DB16" s="16" t="n">
        <v>0.79772</v>
      </c>
      <c r="DC16" s="16" t="n">
        <v>0.090909</v>
      </c>
      <c r="DD16" s="16" t="n">
        <v>0.666436</v>
      </c>
      <c r="DE16" s="16" t="n">
        <v>0.033233</v>
      </c>
      <c r="DF16" s="16" t="n">
        <v>0.659702</v>
      </c>
      <c r="DG16" s="16" t="n">
        <v>0.229167</v>
      </c>
      <c r="DH16" s="16" t="n">
        <v>0.714854</v>
      </c>
      <c r="DI16" s="16" t="n">
        <v>0.090909</v>
      </c>
      <c r="DJ16" s="16" t="n">
        <v>0.625979</v>
      </c>
      <c r="DK16" s="16" t="n">
        <v>0.033233</v>
      </c>
      <c r="DL16" s="16" t="n">
        <v>0.612378</v>
      </c>
      <c r="DM16" s="16" t="n">
        <v>0.229167</v>
      </c>
      <c r="DN16" s="16" t="n">
        <v>0.660836</v>
      </c>
      <c r="DO16" s="16" t="n">
        <v>0.090909</v>
      </c>
      <c r="DP16" s="16" t="n">
        <v>0.634817</v>
      </c>
      <c r="DQ16" s="16" t="n">
        <v>0.033233</v>
      </c>
      <c r="DR16" s="16" t="n">
        <v>0.610436</v>
      </c>
      <c r="DS16" s="16" t="n">
        <v>0.229167</v>
      </c>
      <c r="DT16" s="16" t="n">
        <v>0.694126</v>
      </c>
      <c r="DU16" s="16" t="n">
        <v>0.090909</v>
      </c>
      <c r="DV16" s="16" t="n">
        <v>0.770228</v>
      </c>
      <c r="DW16" s="16" t="n">
        <v>0.033233</v>
      </c>
      <c r="DX16" s="16" t="n">
        <v>0.707337</v>
      </c>
      <c r="DY16" s="16" t="n">
        <v>0.229167</v>
      </c>
      <c r="DZ16" s="16" t="n">
        <v>0.759551</v>
      </c>
      <c r="EB16" s="16" t="n">
        <v>634.296983</v>
      </c>
      <c r="EC16" s="16" t="n">
        <v>4398.709579</v>
      </c>
      <c r="ED16" s="16" t="n">
        <v>607.329154</v>
      </c>
      <c r="EE16" s="16" t="n">
        <v>3213.426014</v>
      </c>
      <c r="EF16" s="16" t="n">
        <v>1369.564473</v>
      </c>
      <c r="EG16" s="16" t="n">
        <v>2513.999873</v>
      </c>
      <c r="EH16" s="16" t="n">
        <v>705.043232</v>
      </c>
      <c r="EI16" s="16" t="n">
        <v>2551.739379</v>
      </c>
      <c r="EJ16" s="16" t="n">
        <v>342.695781</v>
      </c>
      <c r="EK16" s="16" t="n">
        <v>2718.161588</v>
      </c>
      <c r="EL16" s="16" t="n"/>
      <c r="EM16" s="16" t="n"/>
      <c r="EN16" s="16" t="n">
        <v>1129.377489</v>
      </c>
      <c r="EO16" s="16" t="n">
        <v>2579.41078</v>
      </c>
      <c r="EP16" s="16" t="n">
        <v>387.419238</v>
      </c>
      <c r="EQ16" s="16" t="n">
        <v>4636.0961</v>
      </c>
      <c r="ER16" s="16" t="n"/>
      <c r="ES16" s="16" t="n"/>
      <c r="ET16" s="16" t="n"/>
      <c r="EU16" s="16" t="n"/>
      <c r="EZ16" s="16" t="inlineStr">
        <is>
          <t>2622–2819</t>
        </is>
      </c>
      <c r="FA16" s="16" t="n">
        <v>9</v>
      </c>
      <c r="FB16" s="16" t="n">
        <v>31</v>
      </c>
      <c r="FC16" s="16" t="n">
        <v>1</v>
      </c>
      <c r="FD16" s="16" t="inlineStr">
        <is>
          <t>8.0–8.6</t>
        </is>
      </c>
      <c r="FE16" s="16" t="n">
        <v>1</v>
      </c>
      <c r="FF16" s="16" t="n">
        <v>7</v>
      </c>
      <c r="FG16" s="16" t="n">
        <v>0</v>
      </c>
    </row>
    <row r="17">
      <c r="G17" s="16" t="n"/>
      <c r="H17" s="16" t="n"/>
      <c r="I17" s="16" t="n"/>
      <c r="J17" s="16" t="n"/>
      <c r="K17" s="16" t="n"/>
      <c r="L17" s="16" t="n"/>
      <c r="M17" s="16" t="n"/>
      <c r="N17" s="16" t="n"/>
      <c r="O17" s="16" t="n"/>
      <c r="P17" s="16" t="n"/>
      <c r="Q17" s="16" t="n">
        <v>8.443071</v>
      </c>
      <c r="R17" s="16" t="n">
        <v>299.178571</v>
      </c>
      <c r="S17" s="16" t="n"/>
      <c r="T17" s="16" t="n"/>
      <c r="U17" s="16" t="n"/>
      <c r="V17" s="16" t="n"/>
      <c r="W17" s="16" t="n"/>
      <c r="X17" s="16" t="n"/>
      <c r="Y17" s="16" t="n"/>
      <c r="Z17" s="16" t="n"/>
      <c r="AA17" s="16" t="n"/>
      <c r="AB17" s="16" t="n"/>
      <c r="AC17" s="16" t="n"/>
      <c r="AD17" s="16" t="n"/>
      <c r="AE17" s="16" t="n"/>
      <c r="AF17" s="16" t="n"/>
      <c r="AG17" s="16" t="n"/>
      <c r="AH17" s="16" t="n"/>
      <c r="AI17" s="16" t="n"/>
      <c r="AJ17" s="16" t="n"/>
      <c r="AK17" s="16" t="n"/>
      <c r="AL17" s="16" t="n"/>
      <c r="AM17" s="16" t="n"/>
      <c r="AN17" s="16" t="n"/>
      <c r="AO17" s="16" t="n"/>
      <c r="AP17" s="16" t="n"/>
      <c r="AQ17" s="16" t="n"/>
      <c r="AR17" s="16" t="n"/>
      <c r="AS17" s="16" t="n"/>
      <c r="AT17" s="16" t="n"/>
      <c r="AU17" s="16" t="n"/>
      <c r="AV17" s="16" t="n"/>
      <c r="AW17" s="16" t="n">
        <v>8.606693</v>
      </c>
      <c r="AX17" s="16" t="n">
        <v>0.832143</v>
      </c>
      <c r="AY17" s="16" t="n">
        <v>8.088229999999999</v>
      </c>
      <c r="AZ17" s="16" t="n">
        <v>0.792857</v>
      </c>
      <c r="BA17" s="16" t="n"/>
      <c r="BB17" s="16" t="n"/>
      <c r="BC17" s="16" t="n"/>
      <c r="BD17" s="16" t="n"/>
      <c r="BE17" s="16" t="n"/>
      <c r="BF17" s="16" t="n"/>
      <c r="BG17" s="16" t="n"/>
      <c r="BH17" s="16" t="n"/>
      <c r="BI17" s="16" t="n"/>
      <c r="BJ17" s="16" t="n"/>
      <c r="BK17" s="16" t="n"/>
      <c r="BL17" s="16" t="n"/>
      <c r="BM17" s="16" t="n"/>
      <c r="BN17" s="16" t="n"/>
      <c r="BS17" s="16" t="n">
        <v>0.099174</v>
      </c>
      <c r="BT17" s="16" t="n">
        <v>387.845115</v>
      </c>
      <c r="BU17" s="16" t="n">
        <v>0.036254</v>
      </c>
      <c r="BV17" s="16" t="n">
        <v>387.230142</v>
      </c>
      <c r="BW17" s="16" t="n">
        <v>0.25</v>
      </c>
      <c r="BX17" s="16" t="n">
        <v>396.010117</v>
      </c>
      <c r="BY17" s="16" t="n">
        <v>0.099174</v>
      </c>
      <c r="BZ17" s="16" t="n">
        <v>279.844074</v>
      </c>
      <c r="CA17" s="16" t="n">
        <v>0.036254</v>
      </c>
      <c r="CB17" s="16" t="n">
        <v>279.360827</v>
      </c>
      <c r="CC17" s="16" t="n">
        <v>0.25</v>
      </c>
      <c r="CD17" s="16" t="n">
        <v>284.922339</v>
      </c>
      <c r="CE17" s="16" t="n">
        <v>0.099174</v>
      </c>
      <c r="CF17" s="16" t="n">
        <v>2291.415836</v>
      </c>
      <c r="CG17" s="16" t="n">
        <v>0.036254</v>
      </c>
      <c r="CH17" s="16" t="n">
        <v>2095.385835</v>
      </c>
      <c r="CI17" s="16" t="n">
        <v>0.25</v>
      </c>
      <c r="CJ17" s="16" t="n">
        <v>2931.470571</v>
      </c>
      <c r="CK17" s="16" t="n">
        <v>0.099174</v>
      </c>
      <c r="CL17" s="16" t="n">
        <v>769.12351</v>
      </c>
      <c r="CM17" s="16" t="n">
        <v>0.036254</v>
      </c>
      <c r="CN17" s="16" t="n">
        <v>335.24031</v>
      </c>
      <c r="CO17" s="16" t="n">
        <v>0.25</v>
      </c>
      <c r="CP17" s="16" t="n">
        <v>490.843587</v>
      </c>
      <c r="CQ17" s="16" t="n">
        <v>0.099174</v>
      </c>
      <c r="CR17" s="16" t="n">
        <v>0.525375</v>
      </c>
      <c r="CS17" s="16" t="n">
        <v>0.036254</v>
      </c>
      <c r="CT17" s="16" t="n">
        <v>0.516167</v>
      </c>
      <c r="CU17" s="16" t="n">
        <v>0.25</v>
      </c>
      <c r="CV17" s="16" t="n">
        <v>0.548034</v>
      </c>
      <c r="CW17" s="16" t="n">
        <v>0.099174</v>
      </c>
      <c r="CX17" s="16" t="n">
        <v>0.764868</v>
      </c>
      <c r="CY17" s="16" t="n">
        <v>0.036254</v>
      </c>
      <c r="CZ17" s="16" t="n">
        <v>0.756168</v>
      </c>
      <c r="DA17" s="16" t="n">
        <v>0.25</v>
      </c>
      <c r="DB17" s="16" t="n">
        <v>0.800872</v>
      </c>
      <c r="DC17" s="16" t="n">
        <v>0.099174</v>
      </c>
      <c r="DD17" s="16" t="n">
        <v>0.666887</v>
      </c>
      <c r="DE17" s="16" t="n">
        <v>0.036254</v>
      </c>
      <c r="DF17" s="16" t="n">
        <v>0.659808</v>
      </c>
      <c r="DG17" s="16" t="n">
        <v>0.25</v>
      </c>
      <c r="DH17" s="16" t="n">
        <v>0.735578</v>
      </c>
      <c r="DI17" s="16" t="n">
        <v>0.099174</v>
      </c>
      <c r="DJ17" s="16" t="n">
        <v>0.626182</v>
      </c>
      <c r="DK17" s="16" t="n">
        <v>0.036254</v>
      </c>
      <c r="DL17" s="16" t="n">
        <v>0.6130100000000001</v>
      </c>
      <c r="DM17" s="16" t="n">
        <v>0.25</v>
      </c>
      <c r="DN17" s="16" t="n">
        <v>0.665242</v>
      </c>
      <c r="DO17" s="16" t="n">
        <v>0.099174</v>
      </c>
      <c r="DP17" s="16" t="n">
        <v>0.641369</v>
      </c>
      <c r="DQ17" s="16" t="n">
        <v>0.036254</v>
      </c>
      <c r="DR17" s="16" t="n">
        <v>0.610645</v>
      </c>
      <c r="DS17" s="16" t="n">
        <v>0.25</v>
      </c>
      <c r="DT17" s="16" t="n">
        <v>0.6970460000000001</v>
      </c>
      <c r="DU17" s="16" t="n">
        <v>0.099174</v>
      </c>
      <c r="DV17" s="16" t="n">
        <v>0.779729</v>
      </c>
      <c r="DW17" s="16" t="n">
        <v>0.036254</v>
      </c>
      <c r="DX17" s="16" t="n">
        <v>0.707359</v>
      </c>
      <c r="DY17" s="16" t="n">
        <v>0.25</v>
      </c>
      <c r="DZ17" s="16" t="n">
        <v>0.763636</v>
      </c>
      <c r="EB17" s="16" t="n">
        <v>1030.303378</v>
      </c>
      <c r="EC17" s="16" t="n">
        <v>3723.28529</v>
      </c>
      <c r="ED17" s="16" t="n">
        <v>1239.938519</v>
      </c>
      <c r="EE17" s="16" t="n">
        <v>3942.226976</v>
      </c>
      <c r="EF17" s="16" t="n">
        <v>558.53242</v>
      </c>
      <c r="EG17" s="16" t="n">
        <v>2450.96155</v>
      </c>
      <c r="EH17" s="16" t="n">
        <v>577.375544</v>
      </c>
      <c r="EI17" s="16" t="n">
        <v>3206.440936</v>
      </c>
      <c r="EJ17" s="16" t="n">
        <v>1366.33064</v>
      </c>
      <c r="EK17" s="16" t="n">
        <v>4578.160932</v>
      </c>
      <c r="EL17" s="16" t="n"/>
      <c r="EM17" s="16" t="n"/>
      <c r="EN17" s="16" t="n">
        <v>851.252987</v>
      </c>
      <c r="EO17" s="16" t="n">
        <v>2022.17241</v>
      </c>
      <c r="EP17" s="16" t="n">
        <v>876.254234</v>
      </c>
      <c r="EQ17" s="16" t="n">
        <v>2421.90012</v>
      </c>
      <c r="ER17" s="16" t="n"/>
      <c r="ES17" s="16" t="n"/>
      <c r="ET17" s="16" t="n"/>
      <c r="EU17" s="16" t="n"/>
      <c r="EZ17" s="16" t="inlineStr">
        <is>
          <t>2819–3016</t>
        </is>
      </c>
      <c r="FA17" s="16" t="n">
        <v>10</v>
      </c>
      <c r="FB17" s="16" t="n">
        <v>21</v>
      </c>
      <c r="FC17" s="16" t="n">
        <v>0</v>
      </c>
      <c r="FD17" s="16" t="inlineStr">
        <is>
          <t>8.6–9.3</t>
        </is>
      </c>
      <c r="FE17" s="16" t="n">
        <v>0</v>
      </c>
      <c r="FF17" s="16" t="n">
        <v>12</v>
      </c>
      <c r="FG17" s="16" t="n">
        <v>2</v>
      </c>
    </row>
    <row r="18">
      <c r="G18" s="16" t="n"/>
      <c r="H18" s="16" t="n"/>
      <c r="I18" s="16" t="n"/>
      <c r="J18" s="16" t="n"/>
      <c r="K18" s="16" t="n"/>
      <c r="L18" s="16" t="n"/>
      <c r="M18" s="16" t="n"/>
      <c r="N18" s="16" t="n"/>
      <c r="O18" s="16" t="n"/>
      <c r="P18" s="16" t="n"/>
      <c r="Q18" s="16" t="n">
        <v>8.472592000000001</v>
      </c>
      <c r="R18" s="16" t="n">
        <v>299.828917</v>
      </c>
      <c r="S18" s="16" t="n"/>
      <c r="T18" s="16" t="n"/>
      <c r="U18" s="16" t="n"/>
      <c r="V18" s="16" t="n"/>
      <c r="W18" s="16" t="n"/>
      <c r="X18" s="16" t="n"/>
      <c r="Y18" s="16" t="n"/>
      <c r="Z18" s="16" t="n"/>
      <c r="AA18" s="16" t="n"/>
      <c r="AB18" s="16" t="n"/>
      <c r="AC18" s="16" t="n"/>
      <c r="AD18" s="16" t="n"/>
      <c r="AE18" s="16" t="n"/>
      <c r="AF18" s="16" t="n"/>
      <c r="AG18" s="16" t="n"/>
      <c r="AH18" s="16" t="n"/>
      <c r="AI18" s="16" t="n"/>
      <c r="AJ18" s="16" t="n"/>
      <c r="AK18" s="16" t="n"/>
      <c r="AL18" s="16" t="n"/>
      <c r="AM18" s="16" t="n"/>
      <c r="AN18" s="16" t="n"/>
      <c r="AO18" s="16" t="n"/>
      <c r="AP18" s="16" t="n"/>
      <c r="AQ18" s="16" t="n"/>
      <c r="AR18" s="16" t="n"/>
      <c r="AS18" s="16" t="n"/>
      <c r="AT18" s="16" t="n"/>
      <c r="AU18" s="16" t="n"/>
      <c r="AV18" s="16" t="n"/>
      <c r="AW18" s="16" t="n">
        <v>8.658029000000001</v>
      </c>
      <c r="AX18" s="16" t="n">
        <v>0.871429</v>
      </c>
      <c r="AY18" s="16" t="n">
        <v>8.446325</v>
      </c>
      <c r="AZ18" s="16" t="n">
        <v>0.8445</v>
      </c>
      <c r="BA18" s="16" t="n"/>
      <c r="BB18" s="16" t="n"/>
      <c r="BC18" s="16" t="n"/>
      <c r="BD18" s="16" t="n"/>
      <c r="BE18" s="16" t="n"/>
      <c r="BF18" s="16" t="n"/>
      <c r="BG18" s="16" t="n"/>
      <c r="BH18" s="16" t="n"/>
      <c r="BI18" s="16" t="n"/>
      <c r="BJ18" s="16" t="n"/>
      <c r="BK18" s="16" t="n"/>
      <c r="BL18" s="16" t="n"/>
      <c r="BM18" s="16" t="n"/>
      <c r="BN18" s="16" t="n"/>
      <c r="BS18" s="16" t="n">
        <v>0.107438</v>
      </c>
      <c r="BT18" s="16" t="n">
        <v>389.231875</v>
      </c>
      <c r="BU18" s="16" t="n">
        <v>0.039275</v>
      </c>
      <c r="BV18" s="16" t="n">
        <v>387.282604</v>
      </c>
      <c r="BW18" s="16" t="n">
        <v>0.270833</v>
      </c>
      <c r="BX18" s="16" t="n">
        <v>396.497738</v>
      </c>
      <c r="BY18" s="16" t="n">
        <v>0.107438</v>
      </c>
      <c r="BZ18" s="16" t="n">
        <v>279.949262</v>
      </c>
      <c r="CA18" s="16" t="n">
        <v>0.039275</v>
      </c>
      <c r="CB18" s="16" t="n">
        <v>279.472514</v>
      </c>
      <c r="CC18" s="16" t="n">
        <v>0.270833</v>
      </c>
      <c r="CD18" s="16" t="n">
        <v>285.026651</v>
      </c>
      <c r="CE18" s="16" t="n">
        <v>0.107438</v>
      </c>
      <c r="CF18" s="16" t="n">
        <v>2352.454585</v>
      </c>
      <c r="CG18" s="16" t="n">
        <v>0.039275</v>
      </c>
      <c r="CH18" s="16" t="n">
        <v>2101.281692</v>
      </c>
      <c r="CI18" s="16" t="n">
        <v>0.270833</v>
      </c>
      <c r="CJ18" s="16" t="n">
        <v>2944.929322</v>
      </c>
      <c r="CK18" s="16" t="n">
        <v>0.107438</v>
      </c>
      <c r="CL18" s="16" t="n">
        <v>775.802183</v>
      </c>
      <c r="CM18" s="16" t="n">
        <v>0.039275</v>
      </c>
      <c r="CN18" s="16" t="n">
        <v>337.955428</v>
      </c>
      <c r="CO18" s="16" t="n">
        <v>0.270833</v>
      </c>
      <c r="CP18" s="16" t="n">
        <v>507.545373</v>
      </c>
      <c r="CQ18" s="16" t="n">
        <v>0.107438</v>
      </c>
      <c r="CR18" s="16" t="n">
        <v>0.527071</v>
      </c>
      <c r="CS18" s="16" t="n">
        <v>0.039275</v>
      </c>
      <c r="CT18" s="16" t="n">
        <v>0.519696</v>
      </c>
      <c r="CU18" s="16" t="n">
        <v>0.270833</v>
      </c>
      <c r="CV18" s="16" t="n">
        <v>0.551647</v>
      </c>
      <c r="CW18" s="16" t="n">
        <v>0.107438</v>
      </c>
      <c r="CX18" s="16" t="n">
        <v>0.765493</v>
      </c>
      <c r="CY18" s="16" t="n">
        <v>0.039275</v>
      </c>
      <c r="CZ18" s="16" t="n">
        <v>0.75625</v>
      </c>
      <c r="DA18" s="16" t="n">
        <v>0.270833</v>
      </c>
      <c r="DB18" s="16" t="n">
        <v>0.801145</v>
      </c>
      <c r="DC18" s="16" t="n">
        <v>0.107438</v>
      </c>
      <c r="DD18" s="16" t="n">
        <v>0.671442</v>
      </c>
      <c r="DE18" s="16" t="n">
        <v>0.039275</v>
      </c>
      <c r="DF18" s="16" t="n">
        <v>0.6601630000000001</v>
      </c>
      <c r="DG18" s="16" t="n">
        <v>0.270833</v>
      </c>
      <c r="DH18" s="16" t="n">
        <v>0.737625</v>
      </c>
      <c r="DI18" s="16" t="n">
        <v>0.107438</v>
      </c>
      <c r="DJ18" s="16" t="n">
        <v>0.627278</v>
      </c>
      <c r="DK18" s="16" t="n">
        <v>0.039275</v>
      </c>
      <c r="DL18" s="16" t="n">
        <v>0.614377</v>
      </c>
      <c r="DM18" s="16" t="n">
        <v>0.270833</v>
      </c>
      <c r="DN18" s="16" t="n">
        <v>0.66576</v>
      </c>
      <c r="DO18" s="16" t="n">
        <v>0.107438</v>
      </c>
      <c r="DP18" s="16" t="n">
        <v>0.642958</v>
      </c>
      <c r="DQ18" s="16" t="n">
        <v>0.039275</v>
      </c>
      <c r="DR18" s="16" t="n">
        <v>0.6106740000000001</v>
      </c>
      <c r="DS18" s="16" t="n">
        <v>0.270833</v>
      </c>
      <c r="DT18" s="16" t="n">
        <v>0.699121</v>
      </c>
      <c r="DU18" s="16" t="n">
        <v>0.107438</v>
      </c>
      <c r="DV18" s="16" t="n">
        <v>0.789241</v>
      </c>
      <c r="DW18" s="16" t="n">
        <v>0.039275</v>
      </c>
      <c r="DX18" s="16" t="n">
        <v>0.707578</v>
      </c>
      <c r="DY18" s="16" t="n">
        <v>0.270833</v>
      </c>
      <c r="DZ18" s="16" t="n">
        <v>0.776108</v>
      </c>
      <c r="EB18" s="16" t="n">
        <v>1190.441137</v>
      </c>
      <c r="EC18" s="16" t="n">
        <v>3429.232588</v>
      </c>
      <c r="ED18" s="16" t="n">
        <v>983.017202</v>
      </c>
      <c r="EE18" s="16" t="n">
        <v>4493.226606</v>
      </c>
      <c r="EF18" s="16" t="n">
        <v>1356.462328</v>
      </c>
      <c r="EG18" s="16" t="n">
        <v>4255.139849</v>
      </c>
      <c r="EH18" s="16" t="n">
        <v>987.854612</v>
      </c>
      <c r="EI18" s="16" t="n">
        <v>3899.225123</v>
      </c>
      <c r="EJ18" s="16" t="n">
        <v>335.24031</v>
      </c>
      <c r="EK18" s="16" t="n">
        <v>2697.190256</v>
      </c>
      <c r="EL18" s="16" t="n"/>
      <c r="EM18" s="16" t="n"/>
      <c r="EN18" s="16" t="n">
        <v>1176.425328</v>
      </c>
      <c r="EO18" s="16" t="n">
        <v>4513.586598</v>
      </c>
      <c r="EP18" s="16" t="n">
        <v>407.31624</v>
      </c>
      <c r="EQ18" s="16" t="n">
        <v>4929.433425</v>
      </c>
      <c r="ER18" s="16" t="n"/>
      <c r="ES18" s="16" t="n"/>
      <c r="ET18" s="16" t="n"/>
      <c r="EU18" s="16" t="n"/>
      <c r="EZ18" s="16" t="inlineStr">
        <is>
          <t>3016–3212</t>
        </is>
      </c>
      <c r="FA18" s="16" t="n">
        <v>5</v>
      </c>
      <c r="FB18" s="16" t="n">
        <v>17</v>
      </c>
      <c r="FC18" s="16" t="n">
        <v>1</v>
      </c>
      <c r="FD18" s="16" t="inlineStr">
        <is>
          <t>9.3–9.9</t>
        </is>
      </c>
      <c r="FE18" s="16" t="n">
        <v>0</v>
      </c>
      <c r="FF18" s="16" t="n">
        <v>8</v>
      </c>
      <c r="FG18" s="16" t="n">
        <v>2</v>
      </c>
    </row>
    <row r="19">
      <c r="G19" s="16" t="n"/>
      <c r="H19" s="16" t="n"/>
      <c r="I19" s="16" t="n"/>
      <c r="J19" s="16" t="n"/>
      <c r="K19" s="16" t="n"/>
      <c r="L19" s="16" t="n"/>
      <c r="M19" s="16" t="n"/>
      <c r="N19" s="16" t="n"/>
      <c r="O19" s="16" t="n"/>
      <c r="P19" s="16" t="n"/>
      <c r="Q19" s="16" t="n">
        <v>8.491210000000001</v>
      </c>
      <c r="R19" s="16" t="n">
        <v>300.236917</v>
      </c>
      <c r="S19" s="16" t="n"/>
      <c r="T19" s="16" t="n"/>
      <c r="U19" s="16" t="n"/>
      <c r="V19" s="16" t="n"/>
      <c r="W19" s="16" t="n"/>
      <c r="X19" s="16" t="n"/>
      <c r="Y19" s="16" t="n"/>
      <c r="Z19" s="16" t="n"/>
      <c r="AA19" s="16" t="n"/>
      <c r="AB19" s="16" t="n"/>
      <c r="AC19" s="16" t="n"/>
      <c r="AD19" s="16" t="n"/>
      <c r="AE19" s="16" t="n"/>
      <c r="AF19" s="16" t="n"/>
      <c r="AG19" s="16" t="n"/>
      <c r="AH19" s="16" t="n"/>
      <c r="AI19" s="16" t="n"/>
      <c r="AJ19" s="16" t="n"/>
      <c r="AK19" s="16" t="n"/>
      <c r="AL19" s="16" t="n"/>
      <c r="AM19" s="16" t="n"/>
      <c r="AN19" s="16" t="n"/>
      <c r="AO19" s="16" t="n"/>
      <c r="AP19" s="16" t="n"/>
      <c r="AQ19" s="16" t="n"/>
      <c r="AR19" s="16" t="n"/>
      <c r="AS19" s="16" t="n"/>
      <c r="AT19" s="16" t="n"/>
      <c r="AU19" s="16" t="n"/>
      <c r="AV19" s="16" t="n"/>
      <c r="AW19" s="16" t="n">
        <v>8.704917999999999</v>
      </c>
      <c r="AX19" s="16" t="n">
        <v>0.910714</v>
      </c>
      <c r="AY19" s="16" t="n">
        <v>8.516997999999999</v>
      </c>
      <c r="AZ19" s="16" t="n">
        <v>0.8555</v>
      </c>
      <c r="BA19" s="16" t="n"/>
      <c r="BB19" s="16" t="n"/>
      <c r="BC19" s="16" t="n"/>
      <c r="BD19" s="16" t="n"/>
      <c r="BE19" s="16" t="n"/>
      <c r="BF19" s="16" t="n"/>
      <c r="BG19" s="16" t="n"/>
      <c r="BH19" s="16" t="n"/>
      <c r="BI19" s="16" t="n"/>
      <c r="BJ19" s="16" t="n"/>
      <c r="BK19" s="16" t="n"/>
      <c r="BL19" s="16" t="n"/>
      <c r="BM19" s="16" t="n"/>
      <c r="BN19" s="16" t="n"/>
      <c r="BS19" s="16" t="n">
        <v>0.115702</v>
      </c>
      <c r="BT19" s="16" t="n">
        <v>389.690241</v>
      </c>
      <c r="BU19" s="16" t="n">
        <v>0.042296</v>
      </c>
      <c r="BV19" s="16" t="n">
        <v>388.050409</v>
      </c>
      <c r="BW19" s="16" t="n">
        <v>0.291667</v>
      </c>
      <c r="BX19" s="16" t="n">
        <v>396.751096</v>
      </c>
      <c r="BY19" s="16" t="n">
        <v>0.115702</v>
      </c>
      <c r="BZ19" s="16" t="n">
        <v>280.013487</v>
      </c>
      <c r="CA19" s="16" t="n">
        <v>0.042296</v>
      </c>
      <c r="CB19" s="16" t="n">
        <v>279.500769</v>
      </c>
      <c r="CC19" s="16" t="n">
        <v>0.291667</v>
      </c>
      <c r="CD19" s="16" t="n">
        <v>285.20973</v>
      </c>
      <c r="CE19" s="16" t="n">
        <v>0.115702</v>
      </c>
      <c r="CF19" s="16" t="n">
        <v>2367.202377</v>
      </c>
      <c r="CG19" s="16" t="n">
        <v>0.042296</v>
      </c>
      <c r="CH19" s="16" t="n">
        <v>2105.915185</v>
      </c>
      <c r="CI19" s="16" t="n">
        <v>0.291667</v>
      </c>
      <c r="CJ19" s="16" t="n">
        <v>3094.081869</v>
      </c>
      <c r="CK19" s="16" t="n">
        <v>0.115702</v>
      </c>
      <c r="CL19" s="16" t="n">
        <v>805.104001</v>
      </c>
      <c r="CM19" s="16" t="n">
        <v>0.042296</v>
      </c>
      <c r="CN19" s="16" t="n">
        <v>340.098455</v>
      </c>
      <c r="CO19" s="16" t="n">
        <v>0.291667</v>
      </c>
      <c r="CP19" s="16" t="n">
        <v>527.031337</v>
      </c>
      <c r="CQ19" s="16" t="n">
        <v>0.115702</v>
      </c>
      <c r="CR19" s="16" t="n">
        <v>0.52919</v>
      </c>
      <c r="CS19" s="16" t="n">
        <v>0.042296</v>
      </c>
      <c r="CT19" s="16" t="n">
        <v>0.519861</v>
      </c>
      <c r="CU19" s="16" t="n">
        <v>0.291667</v>
      </c>
      <c r="CV19" s="16" t="n">
        <v>0.558624</v>
      </c>
      <c r="CW19" s="16" t="n">
        <v>0.115702</v>
      </c>
      <c r="CX19" s="16" t="n">
        <v>0.7662949999999999</v>
      </c>
      <c r="CY19" s="16" t="n">
        <v>0.042296</v>
      </c>
      <c r="CZ19" s="16" t="n">
        <v>0.756809</v>
      </c>
      <c r="DA19" s="16" t="n">
        <v>0.291667</v>
      </c>
      <c r="DB19" s="16" t="n">
        <v>0.8106409999999999</v>
      </c>
      <c r="DC19" s="16" t="n">
        <v>0.115702</v>
      </c>
      <c r="DD19" s="16" t="n">
        <v>0.675467</v>
      </c>
      <c r="DE19" s="16" t="n">
        <v>0.042296</v>
      </c>
      <c r="DF19" s="16" t="n">
        <v>0.660259</v>
      </c>
      <c r="DG19" s="16" t="n">
        <v>0.291667</v>
      </c>
      <c r="DH19" s="16" t="n">
        <v>0.7431720000000001</v>
      </c>
      <c r="DI19" s="16" t="n">
        <v>0.115702</v>
      </c>
      <c r="DJ19" s="16" t="n">
        <v>0.631096</v>
      </c>
      <c r="DK19" s="16" t="n">
        <v>0.042296</v>
      </c>
      <c r="DL19" s="16" t="n">
        <v>0.614631</v>
      </c>
      <c r="DM19" s="16" t="n">
        <v>0.291667</v>
      </c>
      <c r="DN19" s="16" t="n">
        <v>0.670695</v>
      </c>
      <c r="DO19" s="16" t="n">
        <v>0.115702</v>
      </c>
      <c r="DP19" s="16" t="n">
        <v>0.646176</v>
      </c>
      <c r="DQ19" s="16" t="n">
        <v>0.042296</v>
      </c>
      <c r="DR19" s="16" t="n">
        <v>0.612582</v>
      </c>
      <c r="DS19" s="16" t="n">
        <v>0.291667</v>
      </c>
      <c r="DT19" s="16" t="n">
        <v>0.705363</v>
      </c>
      <c r="DU19" s="16" t="n">
        <v>0.115702</v>
      </c>
      <c r="DV19" s="16" t="n">
        <v>0.793045</v>
      </c>
      <c r="DW19" s="16" t="n">
        <v>0.042296</v>
      </c>
      <c r="DX19" s="16" t="n">
        <v>0.708951</v>
      </c>
      <c r="DY19" s="16" t="n">
        <v>0.291667</v>
      </c>
      <c r="DZ19" s="16" t="n">
        <v>0.7781670000000001</v>
      </c>
      <c r="EB19" s="16" t="n">
        <v>1026.519909</v>
      </c>
      <c r="EC19" s="16" t="n">
        <v>4148.967786</v>
      </c>
      <c r="ED19" s="16" t="n">
        <v>1182.621036</v>
      </c>
      <c r="EE19" s="16" t="n">
        <v>4178.304348</v>
      </c>
      <c r="EF19" s="16" t="n">
        <v>692.9450419999999</v>
      </c>
      <c r="EG19" s="16" t="n">
        <v>3574.837439</v>
      </c>
      <c r="EH19" s="16" t="n">
        <v>586.938434</v>
      </c>
      <c r="EI19" s="16" t="n">
        <v>3514.701369</v>
      </c>
      <c r="EJ19" s="16" t="n">
        <v>1196.501615</v>
      </c>
      <c r="EK19" s="16" t="n">
        <v>3930.850674</v>
      </c>
      <c r="EL19" s="16" t="n"/>
      <c r="EM19" s="16" t="n"/>
      <c r="EN19" s="16" t="n">
        <v>962.640989</v>
      </c>
      <c r="EO19" s="16" t="n">
        <v>2171.291893</v>
      </c>
      <c r="EP19" s="16" t="n"/>
      <c r="EQ19" s="16" t="n"/>
      <c r="ER19" s="16" t="n"/>
      <c r="ES19" s="16" t="n"/>
      <c r="ET19" s="16" t="n"/>
      <c r="EU19" s="16" t="n"/>
      <c r="EZ19" s="16" t="inlineStr">
        <is>
          <t>3212–3409</t>
        </is>
      </c>
      <c r="FA19" s="16" t="n">
        <v>6</v>
      </c>
      <c r="FB19" s="16" t="n">
        <v>26</v>
      </c>
      <c r="FC19" s="16" t="n">
        <v>7</v>
      </c>
      <c r="FD19" s="16" t="inlineStr">
        <is>
          <t>9.9–10.5</t>
        </is>
      </c>
      <c r="FE19" s="16" t="n">
        <v>0</v>
      </c>
      <c r="FF19" s="16" t="n">
        <v>6</v>
      </c>
      <c r="FG19" s="16" t="n">
        <v>0</v>
      </c>
    </row>
    <row r="20">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c r="AI20" s="16" t="n"/>
      <c r="AJ20" s="16" t="n"/>
      <c r="AK20" s="16" t="n"/>
      <c r="AL20" s="16" t="n"/>
      <c r="AM20" s="16" t="n"/>
      <c r="AN20" s="16" t="n"/>
      <c r="AO20" s="16" t="n"/>
      <c r="AP20" s="16" t="n"/>
      <c r="AQ20" s="16" t="n"/>
      <c r="AR20" s="16" t="n"/>
      <c r="AS20" s="16" t="n"/>
      <c r="AT20" s="16" t="n"/>
      <c r="AU20" s="16" t="n"/>
      <c r="AV20" s="16" t="n"/>
      <c r="AW20" s="16" t="n">
        <v>8.747914</v>
      </c>
      <c r="AX20" s="16" t="n">
        <v>0.95</v>
      </c>
      <c r="AY20" s="16" t="n"/>
      <c r="AZ20" s="16" t="n"/>
      <c r="BA20" s="16" t="n"/>
      <c r="BB20" s="16" t="n"/>
      <c r="BC20" s="16" t="n"/>
      <c r="BD20" s="16" t="n"/>
      <c r="BE20" s="16" t="n"/>
      <c r="BF20" s="16" t="n"/>
      <c r="BG20" s="16" t="n"/>
      <c r="BH20" s="16" t="n"/>
      <c r="BI20" s="16" t="n"/>
      <c r="BJ20" s="16" t="n"/>
      <c r="BK20" s="16" t="n"/>
      <c r="BL20" s="16" t="n"/>
      <c r="BM20" s="16" t="n"/>
      <c r="BN20" s="16" t="n"/>
      <c r="BS20" s="16" t="n">
        <v>0.123967</v>
      </c>
      <c r="BT20" s="16" t="n">
        <v>390.154346</v>
      </c>
      <c r="BU20" s="16" t="n">
        <v>0.045317</v>
      </c>
      <c r="BV20" s="16" t="n">
        <v>388.220136</v>
      </c>
      <c r="BW20" s="16" t="n">
        <v>0.3125</v>
      </c>
      <c r="BX20" s="16" t="n">
        <v>397.038401</v>
      </c>
      <c r="BY20" s="16" t="n">
        <v>0.123967</v>
      </c>
      <c r="BZ20" s="16" t="n">
        <v>280.248634</v>
      </c>
      <c r="CA20" s="16" t="n">
        <v>0.045317</v>
      </c>
      <c r="CB20" s="16" t="n">
        <v>279.537982</v>
      </c>
      <c r="CC20" s="16" t="n">
        <v>0.3125</v>
      </c>
      <c r="CD20" s="16" t="n">
        <v>286.159955</v>
      </c>
      <c r="CE20" s="16" t="n">
        <v>0.123967</v>
      </c>
      <c r="CF20" s="16" t="n">
        <v>2422.669308</v>
      </c>
      <c r="CG20" s="16" t="n">
        <v>0.045317</v>
      </c>
      <c r="CH20" s="16" t="n">
        <v>2116.104563</v>
      </c>
      <c r="CI20" s="16" t="n">
        <v>0.3125</v>
      </c>
      <c r="CJ20" s="16" t="n">
        <v>3240.600489</v>
      </c>
      <c r="CK20" s="16" t="n">
        <v>0.123967</v>
      </c>
      <c r="CL20" s="16" t="n">
        <v>808.3402579999999</v>
      </c>
      <c r="CM20" s="16" t="n">
        <v>0.045317</v>
      </c>
      <c r="CN20" s="16" t="n">
        <v>340.162065</v>
      </c>
      <c r="CO20" s="16" t="n">
        <v>0.3125</v>
      </c>
      <c r="CP20" s="16" t="n">
        <v>534.84921</v>
      </c>
      <c r="CQ20" s="16" t="n">
        <v>0.123967</v>
      </c>
      <c r="CR20" s="16" t="n">
        <v>0.53176</v>
      </c>
      <c r="CS20" s="16" t="n">
        <v>0.045317</v>
      </c>
      <c r="CT20" s="16" t="n">
        <v>0.5212599999999999</v>
      </c>
      <c r="CU20" s="16" t="n">
        <v>0.3125</v>
      </c>
      <c r="CV20" s="16" t="n">
        <v>0.563269</v>
      </c>
      <c r="CW20" s="16" t="n">
        <v>0.123967</v>
      </c>
      <c r="CX20" s="16" t="n">
        <v>0.769355</v>
      </c>
      <c r="CY20" s="16" t="n">
        <v>0.045317</v>
      </c>
      <c r="CZ20" s="16" t="n">
        <v>0.758112</v>
      </c>
      <c r="DA20" s="16" t="n">
        <v>0.3125</v>
      </c>
      <c r="DB20" s="16" t="n">
        <v>0.8238839999999999</v>
      </c>
      <c r="DC20" s="16" t="n">
        <v>0.123967</v>
      </c>
      <c r="DD20" s="16" t="n">
        <v>0.68648</v>
      </c>
      <c r="DE20" s="16" t="n">
        <v>0.045317</v>
      </c>
      <c r="DF20" s="16" t="n">
        <v>0.6610549999999999</v>
      </c>
      <c r="DG20" s="16" t="n">
        <v>0.3125</v>
      </c>
      <c r="DH20" s="16" t="n">
        <v>0.744277</v>
      </c>
      <c r="DI20" s="16" t="n">
        <v>0.123967</v>
      </c>
      <c r="DJ20" s="16" t="n">
        <v>0.631876</v>
      </c>
      <c r="DK20" s="16" t="n">
        <v>0.045317</v>
      </c>
      <c r="DL20" s="16" t="n">
        <v>0.616067</v>
      </c>
      <c r="DM20" s="16" t="n">
        <v>0.3125</v>
      </c>
      <c r="DN20" s="16" t="n">
        <v>0.678812</v>
      </c>
      <c r="DO20" s="16" t="n">
        <v>0.123967</v>
      </c>
      <c r="DP20" s="16" t="n">
        <v>0.650164</v>
      </c>
      <c r="DQ20" s="16" t="n">
        <v>0.045317</v>
      </c>
      <c r="DR20" s="16" t="n">
        <v>0.612599</v>
      </c>
      <c r="DS20" s="16" t="n">
        <v>0.3125</v>
      </c>
      <c r="DT20" s="16" t="n">
        <v>0.716078</v>
      </c>
      <c r="DU20" s="16" t="n">
        <v>0.123967</v>
      </c>
      <c r="DV20" s="16" t="n">
        <v>0.794862</v>
      </c>
      <c r="DW20" s="16" t="n">
        <v>0.045317</v>
      </c>
      <c r="DX20" s="16" t="n">
        <v>0.709508</v>
      </c>
      <c r="DY20" s="16" t="n">
        <v>0.3125</v>
      </c>
      <c r="DZ20" s="16" t="n">
        <v>0.786587</v>
      </c>
      <c r="EB20" s="16" t="n">
        <v>1268.657707</v>
      </c>
      <c r="EC20" s="16" t="n">
        <v>4908.5147</v>
      </c>
      <c r="ED20" s="16" t="n">
        <v>1325.645945</v>
      </c>
      <c r="EE20" s="16" t="n">
        <v>2230.392432</v>
      </c>
      <c r="EF20" s="16" t="n">
        <v>1291.098247</v>
      </c>
      <c r="EG20" s="16" t="n">
        <v>3303.802098</v>
      </c>
      <c r="EH20" s="16" t="n">
        <v>495.370174</v>
      </c>
      <c r="EI20" s="16" t="n">
        <v>4546.340013</v>
      </c>
      <c r="EJ20" s="16" t="n">
        <v>443.795777</v>
      </c>
      <c r="EK20" s="16" t="n">
        <v>4057.762869</v>
      </c>
      <c r="EL20" s="16" t="n"/>
      <c r="EM20" s="16" t="n"/>
      <c r="EN20" s="16" t="n">
        <v>948.775389</v>
      </c>
      <c r="EO20" s="16" t="n">
        <v>4946.569365</v>
      </c>
      <c r="EP20" s="16" t="n"/>
      <c r="EQ20" s="16" t="n"/>
      <c r="ER20" s="16" t="n"/>
      <c r="ES20" s="16" t="n"/>
      <c r="ET20" s="16" t="n"/>
      <c r="EU20" s="16" t="n"/>
      <c r="EZ20" s="16" t="inlineStr">
        <is>
          <t>3409–3606</t>
        </is>
      </c>
      <c r="FA20" s="16" t="n">
        <v>6</v>
      </c>
      <c r="FB20" s="16" t="n">
        <v>20</v>
      </c>
      <c r="FC20" s="16" t="n">
        <v>3</v>
      </c>
      <c r="FD20" s="16" t="inlineStr">
        <is>
          <t>10.5–11.2</t>
        </is>
      </c>
      <c r="FE20" s="16" t="n">
        <v>0</v>
      </c>
      <c r="FF20" s="16" t="n">
        <v>1</v>
      </c>
      <c r="FG20" s="16" t="n">
        <v>1</v>
      </c>
    </row>
    <row r="21">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c r="AI21" s="16" t="n"/>
      <c r="AJ21" s="16" t="n"/>
      <c r="AK21" s="16" t="n"/>
      <c r="AL21" s="16" t="n"/>
      <c r="AM21" s="16" t="n"/>
      <c r="AN21" s="16" t="n"/>
      <c r="AO21" s="16" t="n"/>
      <c r="AP21" s="16" t="n"/>
      <c r="AQ21" s="16" t="n"/>
      <c r="AR21" s="16" t="n"/>
      <c r="AS21" s="16" t="n"/>
      <c r="AT21" s="16" t="n"/>
      <c r="AU21" s="16" t="n"/>
      <c r="AV21" s="16" t="n"/>
      <c r="AW21" s="16" t="n">
        <v>8.472545999999999</v>
      </c>
      <c r="AX21" s="16" t="n">
        <v>0.7445000000000001</v>
      </c>
      <c r="AY21" s="16" t="n"/>
      <c r="AZ21" s="16" t="n"/>
      <c r="BA21" s="16" t="n"/>
      <c r="BB21" s="16" t="n"/>
      <c r="BC21" s="16" t="n"/>
      <c r="BD21" s="16" t="n"/>
      <c r="BE21" s="16" t="n"/>
      <c r="BF21" s="16" t="n"/>
      <c r="BG21" s="16" t="n"/>
      <c r="BH21" s="16" t="n"/>
      <c r="BI21" s="16" t="n"/>
      <c r="BJ21" s="16" t="n"/>
      <c r="BK21" s="16" t="n"/>
      <c r="BL21" s="16" t="n"/>
      <c r="BM21" s="16" t="n"/>
      <c r="BN21" s="16" t="n"/>
      <c r="BS21" s="16" t="n">
        <v>0.132231</v>
      </c>
      <c r="BT21" s="16" t="n">
        <v>390.458858</v>
      </c>
      <c r="BU21" s="16" t="n">
        <v>0.048338</v>
      </c>
      <c r="BV21" s="16" t="n">
        <v>388.65459</v>
      </c>
      <c r="BW21" s="16" t="n">
        <v>0.333333</v>
      </c>
      <c r="BX21" s="16" t="n">
        <v>397.510021</v>
      </c>
      <c r="BY21" s="16" t="n">
        <v>0.132231</v>
      </c>
      <c r="BZ21" s="16" t="n">
        <v>280.462943</v>
      </c>
      <c r="CA21" s="16" t="n">
        <v>0.048338</v>
      </c>
      <c r="CB21" s="16" t="n">
        <v>279.573207</v>
      </c>
      <c r="CC21" s="16" t="n">
        <v>0.333333</v>
      </c>
      <c r="CD21" s="16" t="n">
        <v>286.301541</v>
      </c>
      <c r="CE21" s="16" t="n">
        <v>0.132231</v>
      </c>
      <c r="CF21" s="16" t="n">
        <v>2435.192907</v>
      </c>
      <c r="CG21" s="16" t="n">
        <v>0.048338</v>
      </c>
      <c r="CH21" s="16" t="n">
        <v>2120.16899</v>
      </c>
      <c r="CI21" s="16" t="n">
        <v>0.333333</v>
      </c>
      <c r="CJ21" s="16" t="n">
        <v>3466.398943</v>
      </c>
      <c r="CK21" s="16" t="n">
        <v>0.132231</v>
      </c>
      <c r="CL21" s="16" t="n">
        <v>812.7815419999999</v>
      </c>
      <c r="CM21" s="16" t="n">
        <v>0.048338</v>
      </c>
      <c r="CN21" s="16" t="n">
        <v>342.695781</v>
      </c>
      <c r="CO21" s="16" t="n">
        <v>0.333333</v>
      </c>
      <c r="CP21" s="16" t="n">
        <v>600.672129</v>
      </c>
      <c r="CQ21" s="16" t="n">
        <v>0.132231</v>
      </c>
      <c r="CR21" s="16" t="n">
        <v>0.535668</v>
      </c>
      <c r="CS21" s="16" t="n">
        <v>0.048338</v>
      </c>
      <c r="CT21" s="16" t="n">
        <v>0.523207</v>
      </c>
      <c r="CU21" s="16" t="n">
        <v>0.333333</v>
      </c>
      <c r="CV21" s="16" t="n">
        <v>0.565851</v>
      </c>
      <c r="CW21" s="16" t="n">
        <v>0.132231</v>
      </c>
      <c r="CX21" s="16" t="n">
        <v>0.770127</v>
      </c>
      <c r="CY21" s="16" t="n">
        <v>0.048338</v>
      </c>
      <c r="CZ21" s="16" t="n">
        <v>0.758714</v>
      </c>
      <c r="DA21" s="16" t="n">
        <v>0.333333</v>
      </c>
      <c r="DB21" s="16" t="n">
        <v>0.826724</v>
      </c>
      <c r="DC21" s="16" t="n">
        <v>0.132231</v>
      </c>
      <c r="DD21" s="16" t="n">
        <v>0.687765</v>
      </c>
      <c r="DE21" s="16" t="n">
        <v>0.048338</v>
      </c>
      <c r="DF21" s="16" t="n">
        <v>0.662059</v>
      </c>
      <c r="DG21" s="16" t="n">
        <v>0.333333</v>
      </c>
      <c r="DH21" s="16" t="n">
        <v>0.752486</v>
      </c>
      <c r="DI21" s="16" t="n">
        <v>0.132231</v>
      </c>
      <c r="DJ21" s="16" t="n">
        <v>0.637234</v>
      </c>
      <c r="DK21" s="16" t="n">
        <v>0.048338</v>
      </c>
      <c r="DL21" s="16" t="n">
        <v>0.619769</v>
      </c>
      <c r="DM21" s="16" t="n">
        <v>0.333333</v>
      </c>
      <c r="DN21" s="16" t="n">
        <v>0.699386</v>
      </c>
      <c r="DO21" s="16" t="n">
        <v>0.132231</v>
      </c>
      <c r="DP21" s="16" t="n">
        <v>0.652412</v>
      </c>
      <c r="DQ21" s="16" t="n">
        <v>0.048338</v>
      </c>
      <c r="DR21" s="16" t="n">
        <v>0.6131529999999999</v>
      </c>
      <c r="DS21" s="16" t="n">
        <v>0.333333</v>
      </c>
      <c r="DT21" s="16" t="n">
        <v>0.720205</v>
      </c>
      <c r="DU21" s="16" t="n">
        <v>0.132231</v>
      </c>
      <c r="DV21" s="16" t="n">
        <v>0.795413</v>
      </c>
      <c r="DW21" s="16" t="n">
        <v>0.048338</v>
      </c>
      <c r="DX21" s="16" t="n">
        <v>0.710236</v>
      </c>
      <c r="DY21" s="16" t="n">
        <v>0.333333</v>
      </c>
      <c r="DZ21" s="16" t="n">
        <v>0.793976</v>
      </c>
      <c r="EB21" s="16" t="n">
        <v>1047.092194</v>
      </c>
      <c r="EC21" s="16" t="n">
        <v>3915.797415</v>
      </c>
      <c r="ED21" s="16" t="n">
        <v>805.104001</v>
      </c>
      <c r="EE21" s="16" t="n">
        <v>2646.096711</v>
      </c>
      <c r="EF21" s="16" t="n">
        <v>872.208604</v>
      </c>
      <c r="EG21" s="16" t="n">
        <v>2676.464075</v>
      </c>
      <c r="EH21" s="16" t="n">
        <v>1208.258783</v>
      </c>
      <c r="EI21" s="16" t="n">
        <v>4238.795623</v>
      </c>
      <c r="EJ21" s="16" t="n">
        <v>401.850244</v>
      </c>
      <c r="EK21" s="16" t="n">
        <v>2081.052358</v>
      </c>
      <c r="EL21" s="16" t="n"/>
      <c r="EM21" s="16" t="n"/>
      <c r="EN21" s="16" t="n">
        <v>821.599595</v>
      </c>
      <c r="EO21" s="16" t="n">
        <v>4851.753111</v>
      </c>
      <c r="EP21" s="16" t="n"/>
      <c r="EQ21" s="16" t="n"/>
      <c r="ER21" s="16" t="n"/>
      <c r="ES21" s="16" t="n"/>
      <c r="ET21" s="16" t="n"/>
      <c r="EU21" s="16" t="n"/>
      <c r="EZ21" s="16" t="inlineStr">
        <is>
          <t>3606–3803</t>
        </is>
      </c>
      <c r="FA21" s="16" t="n">
        <v>11</v>
      </c>
      <c r="FB21" s="16" t="n">
        <v>12</v>
      </c>
      <c r="FC21" s="16" t="n">
        <v>4</v>
      </c>
      <c r="FD21" s="16" t="inlineStr">
        <is>
          <t>11.2–11.8</t>
        </is>
      </c>
      <c r="FE21" s="16" t="n">
        <v>0</v>
      </c>
      <c r="FF21" s="16" t="n">
        <v>2</v>
      </c>
      <c r="FG21" s="16" t="n">
        <v>0</v>
      </c>
    </row>
    <row r="22">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6" t="n"/>
      <c r="AL22" s="16" t="n"/>
      <c r="AM22" s="16" t="n"/>
      <c r="AN22" s="16" t="n"/>
      <c r="AO22" s="16" t="n"/>
      <c r="AP22" s="16" t="n"/>
      <c r="AQ22" s="16" t="n"/>
      <c r="AR22" s="16" t="n"/>
      <c r="AS22" s="16" t="n"/>
      <c r="AT22" s="16" t="n"/>
      <c r="AU22" s="16" t="n"/>
      <c r="AV22" s="16" t="n"/>
      <c r="AW22" s="16" t="n">
        <v>8.491099</v>
      </c>
      <c r="AX22" s="16" t="n">
        <v>0.7554999999999999</v>
      </c>
      <c r="AY22" s="16" t="n"/>
      <c r="AZ22" s="16" t="n"/>
      <c r="BA22" s="16" t="n"/>
      <c r="BB22" s="16" t="n"/>
      <c r="BC22" s="16" t="n"/>
      <c r="BD22" s="16" t="n"/>
      <c r="BE22" s="16" t="n"/>
      <c r="BF22" s="16" t="n"/>
      <c r="BG22" s="16" t="n"/>
      <c r="BH22" s="16" t="n"/>
      <c r="BI22" s="16" t="n"/>
      <c r="BJ22" s="16" t="n"/>
      <c r="BK22" s="16" t="n"/>
      <c r="BL22" s="16" t="n"/>
      <c r="BM22" s="16" t="n"/>
      <c r="BN22" s="16" t="n"/>
      <c r="BS22" s="16" t="n">
        <v>0.140496</v>
      </c>
      <c r="BT22" s="16" t="n">
        <v>390.551374</v>
      </c>
      <c r="BU22" s="16" t="n">
        <v>0.05136</v>
      </c>
      <c r="BV22" s="16" t="n">
        <v>388.856262</v>
      </c>
      <c r="BW22" s="16" t="n">
        <v>0.354167</v>
      </c>
      <c r="BX22" s="16" t="n">
        <v>397.867323</v>
      </c>
      <c r="BY22" s="16" t="n">
        <v>0.140496</v>
      </c>
      <c r="BZ22" s="16" t="n">
        <v>280.630966</v>
      </c>
      <c r="CA22" s="16" t="n">
        <v>0.05136</v>
      </c>
      <c r="CB22" s="16" t="n">
        <v>279.597008</v>
      </c>
      <c r="CC22" s="16" t="n">
        <v>0.354167</v>
      </c>
      <c r="CD22" s="16" t="n">
        <v>287.13109</v>
      </c>
      <c r="CE22" s="16" t="n">
        <v>0.140496</v>
      </c>
      <c r="CF22" s="16" t="n">
        <v>2438.757092</v>
      </c>
      <c r="CG22" s="16" t="n">
        <v>0.05136</v>
      </c>
      <c r="CH22" s="16" t="n">
        <v>2126.010874</v>
      </c>
      <c r="CI22" s="16" t="n">
        <v>0.354167</v>
      </c>
      <c r="CJ22" s="16" t="n">
        <v>3791.102008</v>
      </c>
      <c r="CK22" s="16" t="n">
        <v>0.140496</v>
      </c>
      <c r="CL22" s="16" t="n">
        <v>834.165656</v>
      </c>
      <c r="CM22" s="16" t="n">
        <v>0.05136</v>
      </c>
      <c r="CN22" s="16" t="n">
        <v>347.135426</v>
      </c>
      <c r="CO22" s="16" t="n">
        <v>0.354167</v>
      </c>
      <c r="CP22" s="16" t="n">
        <v>641.814567</v>
      </c>
      <c r="CQ22" s="16" t="n">
        <v>0.140496</v>
      </c>
      <c r="CR22" s="16" t="n">
        <v>0.535685</v>
      </c>
      <c r="CS22" s="16" t="n">
        <v>0.05136</v>
      </c>
      <c r="CT22" s="16" t="n">
        <v>0.525926</v>
      </c>
      <c r="CU22" s="16" t="n">
        <v>0.354167</v>
      </c>
      <c r="CV22" s="16" t="n">
        <v>0.579161</v>
      </c>
      <c r="CW22" s="16" t="n">
        <v>0.140496</v>
      </c>
      <c r="CX22" s="16" t="n">
        <v>0.771052</v>
      </c>
      <c r="CY22" s="16" t="n">
        <v>0.05136</v>
      </c>
      <c r="CZ22" s="16" t="n">
        <v>0.758772</v>
      </c>
      <c r="DA22" s="16" t="n">
        <v>0.354167</v>
      </c>
      <c r="DB22" s="16" t="n">
        <v>0.829417</v>
      </c>
      <c r="DC22" s="16" t="n">
        <v>0.140496</v>
      </c>
      <c r="DD22" s="16" t="n">
        <v>0.688764</v>
      </c>
      <c r="DE22" s="16" t="n">
        <v>0.05136</v>
      </c>
      <c r="DF22" s="16" t="n">
        <v>0.66229</v>
      </c>
      <c r="DG22" s="16" t="n">
        <v>0.354167</v>
      </c>
      <c r="DH22" s="16" t="n">
        <v>0.758671</v>
      </c>
      <c r="DI22" s="16" t="n">
        <v>0.140496</v>
      </c>
      <c r="DJ22" s="16" t="n">
        <v>0.639818</v>
      </c>
      <c r="DK22" s="16" t="n">
        <v>0.05136</v>
      </c>
      <c r="DL22" s="16" t="n">
        <v>0.620294</v>
      </c>
      <c r="DM22" s="16" t="n">
        <v>0.354167</v>
      </c>
      <c r="DN22" s="16" t="n">
        <v>0.70137</v>
      </c>
      <c r="DO22" s="16" t="n">
        <v>0.140496</v>
      </c>
      <c r="DP22" s="16" t="n">
        <v>0.652667</v>
      </c>
      <c r="DQ22" s="16" t="n">
        <v>0.05136</v>
      </c>
      <c r="DR22" s="16" t="n">
        <v>0.6142609999999999</v>
      </c>
      <c r="DS22" s="16" t="n">
        <v>0.354167</v>
      </c>
      <c r="DT22" s="16" t="n">
        <v>0.721754</v>
      </c>
      <c r="DU22" s="16" t="n">
        <v>0.140496</v>
      </c>
      <c r="DV22" s="16" t="n">
        <v>0.798693</v>
      </c>
      <c r="DW22" s="16" t="n">
        <v>0.05136</v>
      </c>
      <c r="DX22" s="16" t="n">
        <v>0.710869</v>
      </c>
      <c r="DY22" s="16" t="n">
        <v>0.354167</v>
      </c>
      <c r="DZ22" s="16" t="n">
        <v>0.796094</v>
      </c>
      <c r="EB22" s="16" t="n">
        <v>1143.919076</v>
      </c>
      <c r="EC22" s="16" t="n">
        <v>3672.889561</v>
      </c>
      <c r="ED22" s="16" t="n">
        <v>1110.860658</v>
      </c>
      <c r="EE22" s="16" t="n">
        <v>2548.097372</v>
      </c>
      <c r="EF22" s="16" t="n">
        <v>686.175988</v>
      </c>
      <c r="EG22" s="16" t="n">
        <v>2838.322251</v>
      </c>
      <c r="EH22" s="16" t="n">
        <v>1497.996505</v>
      </c>
      <c r="EI22" s="16" t="n">
        <v>4294.967237</v>
      </c>
      <c r="EJ22" s="16" t="n">
        <v>340.162065</v>
      </c>
      <c r="EK22" s="16" t="n">
        <v>4824.709184</v>
      </c>
      <c r="EL22" s="16" t="n"/>
      <c r="EM22" s="16" t="n"/>
      <c r="EN22" s="16" t="n">
        <v>1280.721496</v>
      </c>
      <c r="EO22" s="16" t="n">
        <v>2753.600686</v>
      </c>
      <c r="EP22" s="16" t="n"/>
      <c r="EQ22" s="16" t="n"/>
      <c r="ER22" s="16" t="n"/>
      <c r="ES22" s="16" t="n"/>
      <c r="ET22" s="16" t="n"/>
      <c r="EU22" s="16" t="n"/>
      <c r="EZ22" s="16" t="inlineStr">
        <is>
          <t>3803–3999</t>
        </is>
      </c>
      <c r="FA22" s="16" t="n">
        <v>0</v>
      </c>
      <c r="FB22" s="16" t="n">
        <v>13</v>
      </c>
      <c r="FC22" s="16" t="n">
        <v>6</v>
      </c>
      <c r="FD22" s="16" t="inlineStr">
        <is>
          <t>11.8–12.5</t>
        </is>
      </c>
      <c r="FE22" s="16" t="n">
        <v>0</v>
      </c>
      <c r="FF22" s="16" t="n">
        <v>4</v>
      </c>
      <c r="FG22" s="16" t="n">
        <v>4</v>
      </c>
    </row>
    <row r="23">
      <c r="BS23" s="16" t="n">
        <v>0.14876</v>
      </c>
      <c r="BT23" s="16" t="n">
        <v>392.133395</v>
      </c>
      <c r="BU23" s="16" t="n">
        <v>0.054381</v>
      </c>
      <c r="BV23" s="16" t="n">
        <v>388.971735</v>
      </c>
      <c r="BW23" s="16" t="n">
        <v>0.375</v>
      </c>
      <c r="BX23" s="16" t="n">
        <v>399.833589</v>
      </c>
      <c r="BY23" s="16" t="n">
        <v>0.14876</v>
      </c>
      <c r="BZ23" s="16" t="n">
        <v>280.77026</v>
      </c>
      <c r="CA23" s="16" t="n">
        <v>0.054381</v>
      </c>
      <c r="CB23" s="16" t="n">
        <v>279.731773</v>
      </c>
      <c r="CC23" s="16" t="n">
        <v>0.375</v>
      </c>
      <c r="CD23" s="16" t="n">
        <v>288.205781</v>
      </c>
      <c r="CE23" s="16" t="n">
        <v>0.14876</v>
      </c>
      <c r="CF23" s="16" t="n">
        <v>2488.805529</v>
      </c>
      <c r="CG23" s="16" t="n">
        <v>0.054381</v>
      </c>
      <c r="CH23" s="16" t="n">
        <v>2144.421814</v>
      </c>
      <c r="CI23" s="16" t="n">
        <v>0.375</v>
      </c>
      <c r="CJ23" s="16" t="n">
        <v>3885.397077</v>
      </c>
      <c r="CK23" s="16" t="n">
        <v>0.14876</v>
      </c>
      <c r="CL23" s="16" t="n">
        <v>858.327694</v>
      </c>
      <c r="CM23" s="16" t="n">
        <v>0.054381</v>
      </c>
      <c r="CN23" s="16" t="n">
        <v>351.515245</v>
      </c>
      <c r="CO23" s="16" t="n">
        <v>0.375</v>
      </c>
      <c r="CP23" s="16" t="n">
        <v>653.419813</v>
      </c>
      <c r="CQ23" s="16" t="n">
        <v>0.14876</v>
      </c>
      <c r="CR23" s="16" t="n">
        <v>0.538601</v>
      </c>
      <c r="CS23" s="16" t="n">
        <v>0.054381</v>
      </c>
      <c r="CT23" s="16" t="n">
        <v>0.5282790000000001</v>
      </c>
      <c r="CU23" s="16" t="n">
        <v>0.375</v>
      </c>
      <c r="CV23" s="16" t="n">
        <v>0.581517</v>
      </c>
      <c r="CW23" s="16" t="n">
        <v>0.14876</v>
      </c>
      <c r="CX23" s="16" t="n">
        <v>0.771697</v>
      </c>
      <c r="CY23" s="16" t="n">
        <v>0.054381</v>
      </c>
      <c r="CZ23" s="16" t="n">
        <v>0.7595769999999999</v>
      </c>
      <c r="DA23" s="16" t="n">
        <v>0.375</v>
      </c>
      <c r="DB23" s="16" t="n">
        <v>0.834394</v>
      </c>
      <c r="DC23" s="16" t="n">
        <v>0.14876</v>
      </c>
      <c r="DD23" s="16" t="n">
        <v>0.694561</v>
      </c>
      <c r="DE23" s="16" t="n">
        <v>0.054381</v>
      </c>
      <c r="DF23" s="16" t="n">
        <v>0.663277</v>
      </c>
      <c r="DG23" s="16" t="n">
        <v>0.375</v>
      </c>
      <c r="DH23" s="16" t="n">
        <v>0.759643</v>
      </c>
      <c r="DI23" s="16" t="n">
        <v>0.14876</v>
      </c>
      <c r="DJ23" s="16" t="n">
        <v>0.64385</v>
      </c>
      <c r="DK23" s="16" t="n">
        <v>0.054381</v>
      </c>
      <c r="DL23" s="16" t="n">
        <v>0.6204190000000001</v>
      </c>
      <c r="DM23" s="16" t="n">
        <v>0.375</v>
      </c>
      <c r="DN23" s="16" t="n">
        <v>0.702188</v>
      </c>
      <c r="DO23" s="16" t="n">
        <v>0.14876</v>
      </c>
      <c r="DP23" s="16" t="n">
        <v>0.6540589999999999</v>
      </c>
      <c r="DQ23" s="16" t="n">
        <v>0.054381</v>
      </c>
      <c r="DR23" s="16" t="n">
        <v>0.615103</v>
      </c>
      <c r="DS23" s="16" t="n">
        <v>0.375</v>
      </c>
      <c r="DT23" s="16" t="n">
        <v>0.728007</v>
      </c>
      <c r="DU23" s="16" t="n">
        <v>0.14876</v>
      </c>
      <c r="DV23" s="16" t="n">
        <v>0.799947</v>
      </c>
      <c r="DW23" s="16" t="n">
        <v>0.054381</v>
      </c>
      <c r="DX23" s="16" t="n">
        <v>0.711538</v>
      </c>
      <c r="DY23" s="16" t="n">
        <v>0.375</v>
      </c>
      <c r="DZ23" s="16" t="n">
        <v>0.797233</v>
      </c>
      <c r="EB23" s="16" t="n">
        <v>1187.029411</v>
      </c>
      <c r="EC23" s="16" t="n">
        <v>2155.056579</v>
      </c>
      <c r="ED23" s="16" t="n">
        <v>1134.585646</v>
      </c>
      <c r="EE23" s="16" t="n">
        <v>3761.295205</v>
      </c>
      <c r="EF23" s="16" t="n">
        <v>573.750547</v>
      </c>
      <c r="EG23" s="16" t="n">
        <v>2733.313617</v>
      </c>
      <c r="EH23" s="16" t="n">
        <v>759.86308</v>
      </c>
      <c r="EI23" s="16" t="n">
        <v>4249.633475</v>
      </c>
      <c r="EJ23" s="16" t="n">
        <v>362.758585</v>
      </c>
      <c r="EK23" s="16" t="n">
        <v>2410.508612</v>
      </c>
      <c r="EL23" s="16" t="n"/>
      <c r="EM23" s="16" t="n"/>
      <c r="EN23" s="16" t="n">
        <v>328.584361</v>
      </c>
      <c r="EO23" s="16" t="n">
        <v>4536.454313</v>
      </c>
      <c r="EP23" s="16" t="n"/>
      <c r="EQ23" s="16" t="n"/>
      <c r="ER23" s="16" t="n"/>
      <c r="ES23" s="16" t="n"/>
      <c r="ET23" s="16" t="n"/>
      <c r="EU23" s="16" t="n"/>
      <c r="EZ23" s="16" t="inlineStr">
        <is>
          <t>3999–4196</t>
        </is>
      </c>
      <c r="FA23" s="16" t="n">
        <v>2</v>
      </c>
      <c r="FB23" s="16" t="n">
        <v>12</v>
      </c>
      <c r="FC23" s="16" t="n">
        <v>3</v>
      </c>
      <c r="FD23" s="16" t="inlineStr">
        <is>
          <t>12.5–13.1</t>
        </is>
      </c>
      <c r="FE23" s="16" t="n">
        <v>0</v>
      </c>
      <c r="FF23" s="16" t="n">
        <v>2</v>
      </c>
      <c r="FG23" s="16" t="n">
        <v>0</v>
      </c>
    </row>
    <row r="24">
      <c r="BS24" s="16" t="n">
        <v>0.157025</v>
      </c>
      <c r="BT24" s="16" t="n">
        <v>392.682709</v>
      </c>
      <c r="BU24" s="16" t="n">
        <v>0.057402</v>
      </c>
      <c r="BV24" s="16" t="n">
        <v>389.3276</v>
      </c>
      <c r="BW24" s="16" t="n">
        <v>0.395833</v>
      </c>
      <c r="BX24" s="16" t="n">
        <v>400.176341</v>
      </c>
      <c r="BY24" s="16" t="n">
        <v>0.157025</v>
      </c>
      <c r="BZ24" s="16" t="n">
        <v>280.877208</v>
      </c>
      <c r="CA24" s="16" t="n">
        <v>0.057402</v>
      </c>
      <c r="CB24" s="16" t="n">
        <v>279.751095</v>
      </c>
      <c r="CC24" s="16" t="n">
        <v>0.395833</v>
      </c>
      <c r="CD24" s="16" t="n">
        <v>288.456005</v>
      </c>
      <c r="CE24" s="16" t="n">
        <v>0.157025</v>
      </c>
      <c r="CF24" s="16" t="n">
        <v>2521.261537</v>
      </c>
      <c r="CG24" s="16" t="n">
        <v>0.057402</v>
      </c>
      <c r="CH24" s="16" t="n">
        <v>2145.671337</v>
      </c>
      <c r="CI24" s="16" t="n">
        <v>0.395833</v>
      </c>
      <c r="CJ24" s="16" t="n">
        <v>3904.214469</v>
      </c>
      <c r="CK24" s="16" t="n">
        <v>0.157025</v>
      </c>
      <c r="CL24" s="16" t="n">
        <v>858.718518</v>
      </c>
      <c r="CM24" s="16" t="n">
        <v>0.057402</v>
      </c>
      <c r="CN24" s="16" t="n">
        <v>352.46538</v>
      </c>
      <c r="CO24" s="16" t="n">
        <v>0.395833</v>
      </c>
      <c r="CP24" s="16" t="n">
        <v>790.348168</v>
      </c>
      <c r="CQ24" s="16" t="n">
        <v>0.157025</v>
      </c>
      <c r="CR24" s="16" t="n">
        <v>0.53951</v>
      </c>
      <c r="CS24" s="16" t="n">
        <v>0.057402</v>
      </c>
      <c r="CT24" s="16" t="n">
        <v>0.52973</v>
      </c>
      <c r="CU24" s="16" t="n">
        <v>0.395833</v>
      </c>
      <c r="CV24" s="16" t="n">
        <v>0.583864</v>
      </c>
      <c r="CW24" s="16" t="n">
        <v>0.157025</v>
      </c>
      <c r="CX24" s="16" t="n">
        <v>0.772459</v>
      </c>
      <c r="CY24" s="16" t="n">
        <v>0.057402</v>
      </c>
      <c r="CZ24" s="16" t="n">
        <v>0.759985</v>
      </c>
      <c r="DA24" s="16" t="n">
        <v>0.395833</v>
      </c>
      <c r="DB24" s="16" t="n">
        <v>0.837578</v>
      </c>
      <c r="DC24" s="16" t="n">
        <v>0.157025</v>
      </c>
      <c r="DD24" s="16" t="n">
        <v>0.694635</v>
      </c>
      <c r="DE24" s="16" t="n">
        <v>0.057402</v>
      </c>
      <c r="DF24" s="16" t="n">
        <v>0.665118</v>
      </c>
      <c r="DG24" s="16" t="n">
        <v>0.395833</v>
      </c>
      <c r="DH24" s="16" t="n">
        <v>0.764331</v>
      </c>
      <c r="DI24" s="16" t="n">
        <v>0.157025</v>
      </c>
      <c r="DJ24" s="16" t="n">
        <v>0.650553</v>
      </c>
      <c r="DK24" s="16" t="n">
        <v>0.057402</v>
      </c>
      <c r="DL24" s="16" t="n">
        <v>0.621044</v>
      </c>
      <c r="DM24" s="16" t="n">
        <v>0.395833</v>
      </c>
      <c r="DN24" s="16" t="n">
        <v>0.702623</v>
      </c>
      <c r="DO24" s="16" t="n">
        <v>0.157025</v>
      </c>
      <c r="DP24" s="16" t="n">
        <v>0.654682</v>
      </c>
      <c r="DQ24" s="16" t="n">
        <v>0.057402</v>
      </c>
      <c r="DR24" s="16" t="n">
        <v>0.61593</v>
      </c>
      <c r="DS24" s="16" t="n">
        <v>0.395833</v>
      </c>
      <c r="DT24" s="16" t="n">
        <v>0.731503</v>
      </c>
      <c r="DU24" s="16" t="n">
        <v>0.157025</v>
      </c>
      <c r="DV24" s="16" t="n">
        <v>0.802016</v>
      </c>
      <c r="DW24" s="16" t="n">
        <v>0.057402</v>
      </c>
      <c r="DX24" s="16" t="n">
        <v>0.711612</v>
      </c>
      <c r="DY24" s="16" t="n">
        <v>0.395833</v>
      </c>
      <c r="DZ24" s="16" t="n">
        <v>0.801188</v>
      </c>
      <c r="EB24" s="16" t="n">
        <v>1493.200033</v>
      </c>
      <c r="EC24" s="16" t="n">
        <v>4111.491562</v>
      </c>
      <c r="ED24" s="16" t="n">
        <v>1194.306986</v>
      </c>
      <c r="EE24" s="16" t="n">
        <v>2280.997142</v>
      </c>
      <c r="EF24" s="16" t="n">
        <v>894.054513</v>
      </c>
      <c r="EG24" s="16" t="n">
        <v>3598.295411</v>
      </c>
      <c r="EH24" s="16" t="n">
        <v>516.179861</v>
      </c>
      <c r="EI24" s="16" t="n">
        <v>4991.234241</v>
      </c>
      <c r="EJ24" s="16" t="n"/>
      <c r="EK24" s="16" t="n"/>
      <c r="EL24" s="16" t="n"/>
      <c r="EM24" s="16" t="n"/>
      <c r="EN24" s="16" t="n">
        <v>1223.327062</v>
      </c>
      <c r="EO24" s="16" t="n">
        <v>2931.470571</v>
      </c>
      <c r="EP24" s="16" t="n"/>
      <c r="EQ24" s="16" t="n"/>
      <c r="ER24" s="16" t="n"/>
      <c r="ES24" s="16" t="n"/>
      <c r="ET24" s="16" t="n"/>
      <c r="EU24" s="16" t="n"/>
      <c r="EZ24" s="16" t="inlineStr">
        <is>
          <t>4196–4393</t>
        </is>
      </c>
      <c r="FA24" s="16" t="n">
        <v>0</v>
      </c>
      <c r="FB24" s="16" t="n">
        <v>6</v>
      </c>
      <c r="FC24" s="16" t="n">
        <v>4</v>
      </c>
      <c r="FD24" s="16" t="inlineStr">
        <is>
          <t>13.1–13.8</t>
        </is>
      </c>
      <c r="FE24" s="16" t="n">
        <v>0</v>
      </c>
      <c r="FF24" s="16" t="n">
        <v>1</v>
      </c>
      <c r="FG24" s="16" t="n">
        <v>0</v>
      </c>
    </row>
    <row r="25">
      <c r="BS25" s="16" t="n">
        <v>0.165289</v>
      </c>
      <c r="BT25" s="16" t="n">
        <v>394.070735</v>
      </c>
      <c r="BU25" s="16" t="n">
        <v>0.060423</v>
      </c>
      <c r="BV25" s="16" t="n">
        <v>391.525701</v>
      </c>
      <c r="BW25" s="16" t="n">
        <v>0.416667</v>
      </c>
      <c r="BX25" s="16" t="n">
        <v>403.371883</v>
      </c>
      <c r="BY25" s="16" t="n">
        <v>0.165289</v>
      </c>
      <c r="BZ25" s="16" t="n">
        <v>281.099068</v>
      </c>
      <c r="CA25" s="16" t="n">
        <v>0.060423</v>
      </c>
      <c r="CB25" s="16" t="n">
        <v>279.923103</v>
      </c>
      <c r="CC25" s="16" t="n">
        <v>0.416667</v>
      </c>
      <c r="CD25" s="16" t="n">
        <v>290.299736</v>
      </c>
      <c r="CE25" s="16" t="n">
        <v>0.165289</v>
      </c>
      <c r="CF25" s="16" t="n">
        <v>2547.880207</v>
      </c>
      <c r="CG25" s="16" t="n">
        <v>0.060423</v>
      </c>
      <c r="CH25" s="16" t="n">
        <v>2160.485723</v>
      </c>
      <c r="CI25" s="16" t="n">
        <v>0.416667</v>
      </c>
      <c r="CJ25" s="16" t="n">
        <v>4079.305131</v>
      </c>
      <c r="CK25" s="16" t="n">
        <v>0.165289</v>
      </c>
      <c r="CL25" s="16" t="n">
        <v>873.425306</v>
      </c>
      <c r="CM25" s="16" t="n">
        <v>0.060423</v>
      </c>
      <c r="CN25" s="16" t="n">
        <v>352.977529</v>
      </c>
      <c r="CO25" s="16" t="n">
        <v>0.416667</v>
      </c>
      <c r="CP25" s="16" t="n">
        <v>806.093902</v>
      </c>
      <c r="CQ25" s="16" t="n">
        <v>0.165289</v>
      </c>
      <c r="CR25" s="16" t="n">
        <v>0.540218</v>
      </c>
      <c r="CS25" s="16" t="n">
        <v>0.060423</v>
      </c>
      <c r="CT25" s="16" t="n">
        <v>0.530592</v>
      </c>
      <c r="CU25" s="16" t="n">
        <v>0.416667</v>
      </c>
      <c r="CV25" s="16" t="n">
        <v>0.607133</v>
      </c>
      <c r="CW25" s="16" t="n">
        <v>0.165289</v>
      </c>
      <c r="CX25" s="16" t="n">
        <v>0.772713</v>
      </c>
      <c r="CY25" s="16" t="n">
        <v>0.060423</v>
      </c>
      <c r="CZ25" s="16" t="n">
        <v>0.760491</v>
      </c>
      <c r="DA25" s="16" t="n">
        <v>0.416667</v>
      </c>
      <c r="DB25" s="16" t="n">
        <v>0.843448</v>
      </c>
      <c r="DC25" s="16" t="n">
        <v>0.165289</v>
      </c>
      <c r="DD25" s="16" t="n">
        <v>0.6977449999999999</v>
      </c>
      <c r="DE25" s="16" t="n">
        <v>0.060423</v>
      </c>
      <c r="DF25" s="16" t="n">
        <v>0.66542</v>
      </c>
      <c r="DG25" s="16" t="n">
        <v>0.416667</v>
      </c>
      <c r="DH25" s="16" t="n">
        <v>0.766832</v>
      </c>
      <c r="DI25" s="16" t="n">
        <v>0.165289</v>
      </c>
      <c r="DJ25" s="16" t="n">
        <v>0.651982</v>
      </c>
      <c r="DK25" s="16" t="n">
        <v>0.060423</v>
      </c>
      <c r="DL25" s="16" t="n">
        <v>0.621305</v>
      </c>
      <c r="DM25" s="16" t="n">
        <v>0.416667</v>
      </c>
      <c r="DN25" s="16" t="n">
        <v>0.706893</v>
      </c>
      <c r="DO25" s="16" t="n">
        <v>0.165289</v>
      </c>
      <c r="DP25" s="16" t="n">
        <v>0.655323</v>
      </c>
      <c r="DQ25" s="16" t="n">
        <v>0.060423</v>
      </c>
      <c r="DR25" s="16" t="n">
        <v>0.616089</v>
      </c>
      <c r="DS25" s="16" t="n">
        <v>0.416667</v>
      </c>
      <c r="DT25" s="16" t="n">
        <v>0.738163</v>
      </c>
      <c r="DU25" s="16" t="n">
        <v>0.165289</v>
      </c>
      <c r="DV25" s="16" t="n">
        <v>0.8080850000000001</v>
      </c>
      <c r="DW25" s="16" t="n">
        <v>0.060423</v>
      </c>
      <c r="DX25" s="16" t="n">
        <v>0.712681</v>
      </c>
      <c r="DY25" s="16" t="n">
        <v>0.416667</v>
      </c>
      <c r="DZ25" s="16" t="n">
        <v>0.803057</v>
      </c>
      <c r="EB25" s="16" t="n">
        <v>1235.270962</v>
      </c>
      <c r="EC25" s="16" t="n">
        <v>2583.243938</v>
      </c>
      <c r="ED25" s="16" t="n">
        <v>918.04113</v>
      </c>
      <c r="EE25" s="16" t="n">
        <v>2155.68885</v>
      </c>
      <c r="EF25" s="16" t="n">
        <v>1159.04315</v>
      </c>
      <c r="EG25" s="16" t="n">
        <v>4401.367333</v>
      </c>
      <c r="EH25" s="16" t="n">
        <v>1248.248858</v>
      </c>
      <c r="EI25" s="16" t="n">
        <v>3922.458562</v>
      </c>
      <c r="EJ25" s="16" t="n"/>
      <c r="EK25" s="16" t="n"/>
      <c r="EL25" s="16" t="n"/>
      <c r="EM25" s="16" t="n"/>
      <c r="EN25" s="16" t="n">
        <v>507.545373</v>
      </c>
      <c r="EO25" s="16" t="n">
        <v>4784.510603</v>
      </c>
      <c r="EP25" s="16" t="n"/>
      <c r="EQ25" s="16" t="n"/>
      <c r="ER25" s="16" t="n"/>
      <c r="ES25" s="16" t="n"/>
      <c r="ET25" s="16" t="n"/>
      <c r="EU25" s="16" t="n"/>
      <c r="EZ25" s="16" t="inlineStr">
        <is>
          <t>4393–4590</t>
        </is>
      </c>
      <c r="FA25" s="16" t="n">
        <v>0</v>
      </c>
      <c r="FB25" s="16" t="n">
        <v>6</v>
      </c>
      <c r="FC25" s="16" t="n">
        <v>3</v>
      </c>
      <c r="FD25" s="16" t="inlineStr">
        <is>
          <t>13.8–14.4</t>
        </is>
      </c>
      <c r="FE25" s="16" t="n">
        <v>0</v>
      </c>
      <c r="FF25" s="16" t="n">
        <v>2</v>
      </c>
      <c r="FG25" s="16" t="n">
        <v>2</v>
      </c>
    </row>
    <row r="26">
      <c r="BS26" s="16" t="n">
        <v>0.173554</v>
      </c>
      <c r="BT26" s="16" t="n">
        <v>394.738587</v>
      </c>
      <c r="BU26" s="16" t="n">
        <v>0.063444</v>
      </c>
      <c r="BV26" s="16" t="n">
        <v>391.58689</v>
      </c>
      <c r="BW26" s="16" t="n">
        <v>0.4375</v>
      </c>
      <c r="BX26" s="16" t="n">
        <v>406.293416</v>
      </c>
      <c r="BY26" s="16" t="n">
        <v>0.173554</v>
      </c>
      <c r="BZ26" s="16" t="n">
        <v>281.24428</v>
      </c>
      <c r="CA26" s="16" t="n">
        <v>0.063444</v>
      </c>
      <c r="CB26" s="16" t="n">
        <v>279.991867</v>
      </c>
      <c r="CC26" s="16" t="n">
        <v>0.4375</v>
      </c>
      <c r="CD26" s="16" t="n">
        <v>290.455988</v>
      </c>
      <c r="CE26" s="16" t="n">
        <v>0.173554</v>
      </c>
      <c r="CF26" s="16" t="n">
        <v>2548.097372</v>
      </c>
      <c r="CG26" s="16" t="n">
        <v>0.063444</v>
      </c>
      <c r="CH26" s="16" t="n">
        <v>2171.603663</v>
      </c>
      <c r="CI26" s="16" t="n">
        <v>0.4375</v>
      </c>
      <c r="CJ26" s="16" t="n">
        <v>4120.866545</v>
      </c>
      <c r="CK26" s="16" t="n">
        <v>0.173554</v>
      </c>
      <c r="CL26" s="16" t="n">
        <v>882.806403</v>
      </c>
      <c r="CM26" s="16" t="n">
        <v>0.063444</v>
      </c>
      <c r="CN26" s="16" t="n">
        <v>355.303703</v>
      </c>
      <c r="CO26" s="16" t="n">
        <v>0.4375</v>
      </c>
      <c r="CP26" s="16" t="n">
        <v>821.599595</v>
      </c>
      <c r="CQ26" s="16" t="n">
        <v>0.173554</v>
      </c>
      <c r="CR26" s="16" t="n">
        <v>0.540303</v>
      </c>
      <c r="CS26" s="16" t="n">
        <v>0.063444</v>
      </c>
      <c r="CT26" s="16" t="n">
        <v>0.531355</v>
      </c>
      <c r="CU26" s="16" t="n">
        <v>0.4375</v>
      </c>
      <c r="CV26" s="16" t="n">
        <v>0.617169</v>
      </c>
      <c r="CW26" s="16" t="n">
        <v>0.173554</v>
      </c>
      <c r="CX26" s="16" t="n">
        <v>0.7754760000000001</v>
      </c>
      <c r="CY26" s="16" t="n">
        <v>0.063444</v>
      </c>
      <c r="CZ26" s="16" t="n">
        <v>0.761239</v>
      </c>
      <c r="DA26" s="16" t="n">
        <v>0.4375</v>
      </c>
      <c r="DB26" s="16" t="n">
        <v>0.848468</v>
      </c>
      <c r="DC26" s="16" t="n">
        <v>0.173554</v>
      </c>
      <c r="DD26" s="16" t="n">
        <v>0.699662</v>
      </c>
      <c r="DE26" s="16" t="n">
        <v>0.063444</v>
      </c>
      <c r="DF26" s="16" t="n">
        <v>0.66598</v>
      </c>
      <c r="DG26" s="16" t="n">
        <v>0.4375</v>
      </c>
      <c r="DH26" s="16" t="n">
        <v>0.771777</v>
      </c>
      <c r="DI26" s="16" t="n">
        <v>0.173554</v>
      </c>
      <c r="DJ26" s="16" t="n">
        <v>0.652462</v>
      </c>
      <c r="DK26" s="16" t="n">
        <v>0.063444</v>
      </c>
      <c r="DL26" s="16" t="n">
        <v>0.623677</v>
      </c>
      <c r="DM26" s="16" t="n">
        <v>0.4375</v>
      </c>
      <c r="DN26" s="16" t="n">
        <v>0.707402</v>
      </c>
      <c r="DO26" s="16" t="n">
        <v>0.173554</v>
      </c>
      <c r="DP26" s="16" t="n">
        <v>0.656675</v>
      </c>
      <c r="DQ26" s="16" t="n">
        <v>0.063444</v>
      </c>
      <c r="DR26" s="16" t="n">
        <v>0.617319</v>
      </c>
      <c r="DS26" s="16" t="n">
        <v>0.4375</v>
      </c>
      <c r="DT26" s="16" t="n">
        <v>0.74127</v>
      </c>
      <c r="DU26" s="16" t="n">
        <v>0.173554</v>
      </c>
      <c r="DV26" s="16" t="n">
        <v>0.8089730000000001</v>
      </c>
      <c r="DW26" s="16" t="n">
        <v>0.063444</v>
      </c>
      <c r="DX26" s="16" t="n">
        <v>0.713944</v>
      </c>
      <c r="DY26" s="16" t="n">
        <v>0.4375</v>
      </c>
      <c r="DZ26" s="16" t="n">
        <v>0.803431</v>
      </c>
      <c r="EB26" s="16" t="n">
        <v>1384.324537</v>
      </c>
      <c r="EC26" s="16" t="n">
        <v>4960.89167</v>
      </c>
      <c r="ED26" s="16" t="n">
        <v>1317.208461</v>
      </c>
      <c r="EE26" s="16" t="n">
        <v>4350.40977</v>
      </c>
      <c r="EF26" s="16" t="n">
        <v>676.158664</v>
      </c>
      <c r="EG26" s="16" t="n">
        <v>2116.104563</v>
      </c>
      <c r="EH26" s="16" t="n">
        <v>352.977529</v>
      </c>
      <c r="EI26" s="16" t="n">
        <v>3078.579957</v>
      </c>
      <c r="EJ26" s="16" t="n"/>
      <c r="EK26" s="16" t="n"/>
      <c r="EL26" s="16" t="n"/>
      <c r="EM26" s="16" t="n"/>
      <c r="EN26" s="16" t="n">
        <v>653.419813</v>
      </c>
      <c r="EO26" s="16" t="n">
        <v>3240.600489</v>
      </c>
      <c r="EP26" s="16" t="n"/>
      <c r="EQ26" s="16" t="n"/>
      <c r="ER26" s="16" t="n"/>
      <c r="ES26" s="16" t="n"/>
      <c r="ET26" s="16" t="n"/>
      <c r="EU26" s="16" t="n"/>
    </row>
    <row r="27">
      <c r="BS27" s="16" t="n">
        <v>0.181818</v>
      </c>
      <c r="BT27" s="16" t="n">
        <v>394.991807</v>
      </c>
      <c r="BU27" s="16" t="n">
        <v>0.066465</v>
      </c>
      <c r="BV27" s="16" t="n">
        <v>391.945693</v>
      </c>
      <c r="BW27" s="16" t="n">
        <v>0.458333</v>
      </c>
      <c r="BX27" s="16" t="n">
        <v>406.487897</v>
      </c>
      <c r="BY27" s="16" t="n">
        <v>0.181818</v>
      </c>
      <c r="BZ27" s="16" t="n">
        <v>281.260295</v>
      </c>
      <c r="CA27" s="16" t="n">
        <v>0.066465</v>
      </c>
      <c r="CB27" s="16" t="n">
        <v>280.072831</v>
      </c>
      <c r="CC27" s="16" t="n">
        <v>0.458333</v>
      </c>
      <c r="CD27" s="16" t="n">
        <v>290.561847</v>
      </c>
      <c r="CE27" s="16" t="n">
        <v>0.181818</v>
      </c>
      <c r="CF27" s="16" t="n">
        <v>2563.342313</v>
      </c>
      <c r="CG27" s="16" t="n">
        <v>0.066465</v>
      </c>
      <c r="CH27" s="16" t="n">
        <v>2181.880507</v>
      </c>
      <c r="CI27" s="16" t="n">
        <v>0.458333</v>
      </c>
      <c r="CJ27" s="16" t="n">
        <v>4333.115679</v>
      </c>
      <c r="CK27" s="16" t="n">
        <v>0.181818</v>
      </c>
      <c r="CL27" s="16" t="n">
        <v>885.590063</v>
      </c>
      <c r="CM27" s="16" t="n">
        <v>0.066465</v>
      </c>
      <c r="CN27" s="16" t="n">
        <v>356.236917</v>
      </c>
      <c r="CO27" s="16" t="n">
        <v>0.458333</v>
      </c>
      <c r="CP27" s="16" t="n">
        <v>826.734923</v>
      </c>
      <c r="CQ27" s="16" t="n">
        <v>0.181818</v>
      </c>
      <c r="CR27" s="16" t="n">
        <v>0.541677</v>
      </c>
      <c r="CS27" s="16" t="n">
        <v>0.066465</v>
      </c>
      <c r="CT27" s="16" t="n">
        <v>0.532254</v>
      </c>
      <c r="CU27" s="16" t="n">
        <v>0.458333</v>
      </c>
      <c r="CV27" s="16" t="n">
        <v>0.620092</v>
      </c>
      <c r="CW27" s="16" t="n">
        <v>0.181818</v>
      </c>
      <c r="CX27" s="16" t="n">
        <v>0.775767</v>
      </c>
      <c r="CY27" s="16" t="n">
        <v>0.066465</v>
      </c>
      <c r="CZ27" s="16" t="n">
        <v>0.761969</v>
      </c>
      <c r="DA27" s="16" t="n">
        <v>0.458333</v>
      </c>
      <c r="DB27" s="16" t="n">
        <v>0.849538</v>
      </c>
      <c r="DC27" s="16" t="n">
        <v>0.181818</v>
      </c>
      <c r="DD27" s="16" t="n">
        <v>0.703369</v>
      </c>
      <c r="DE27" s="16" t="n">
        <v>0.066465</v>
      </c>
      <c r="DF27" s="16" t="n">
        <v>0.667818</v>
      </c>
      <c r="DG27" s="16" t="n">
        <v>0.458333</v>
      </c>
      <c r="DH27" s="16" t="n">
        <v>0.77253</v>
      </c>
      <c r="DI27" s="16" t="n">
        <v>0.181818</v>
      </c>
      <c r="DJ27" s="16" t="n">
        <v>0.652541</v>
      </c>
      <c r="DK27" s="16" t="n">
        <v>0.066465</v>
      </c>
      <c r="DL27" s="16" t="n">
        <v>0.624018</v>
      </c>
      <c r="DM27" s="16" t="n">
        <v>0.458333</v>
      </c>
      <c r="DN27" s="16" t="n">
        <v>0.710852</v>
      </c>
      <c r="DO27" s="16" t="n">
        <v>0.181818</v>
      </c>
      <c r="DP27" s="16" t="n">
        <v>0.660264</v>
      </c>
      <c r="DQ27" s="16" t="n">
        <v>0.066465</v>
      </c>
      <c r="DR27" s="16" t="n">
        <v>0.618608</v>
      </c>
      <c r="DS27" s="16" t="n">
        <v>0.458333</v>
      </c>
      <c r="DT27" s="16" t="n">
        <v>0.745597</v>
      </c>
      <c r="DU27" s="16" t="n">
        <v>0.181818</v>
      </c>
      <c r="DV27" s="16" t="n">
        <v>0.812484</v>
      </c>
      <c r="DW27" s="16" t="n">
        <v>0.066465</v>
      </c>
      <c r="DX27" s="16" t="n">
        <v>0.714857</v>
      </c>
      <c r="DY27" s="16" t="n">
        <v>0.458333</v>
      </c>
      <c r="DZ27" s="16" t="n">
        <v>0.8041239999999999</v>
      </c>
      <c r="EB27" s="16" t="n">
        <v>912.814208</v>
      </c>
      <c r="EC27" s="16" t="n">
        <v>2032.216494</v>
      </c>
      <c r="ED27" s="16" t="n">
        <v>1453.694308</v>
      </c>
      <c r="EE27" s="16" t="n">
        <v>4035.592074</v>
      </c>
      <c r="EF27" s="16" t="n">
        <v>437.26318</v>
      </c>
      <c r="EG27" s="16" t="n">
        <v>2354.43525</v>
      </c>
      <c r="EH27" s="16" t="n">
        <v>420.327283</v>
      </c>
      <c r="EI27" s="16" t="n">
        <v>2400.070853</v>
      </c>
      <c r="EJ27" s="16" t="n"/>
      <c r="EK27" s="16" t="n"/>
      <c r="EL27" s="16" t="n"/>
      <c r="EM27" s="16" t="n"/>
      <c r="EN27" s="16" t="n">
        <v>306.728388</v>
      </c>
      <c r="EO27" s="16" t="n">
        <v>2706.720715</v>
      </c>
      <c r="EP27" s="16" t="n"/>
      <c r="EQ27" s="16" t="n"/>
      <c r="ER27" s="16" t="n"/>
      <c r="ES27" s="16" t="n"/>
      <c r="ET27" s="16" t="n"/>
      <c r="EU27" s="16" t="n"/>
    </row>
    <row r="28">
      <c r="BS28" s="16" t="n">
        <v>0.190083</v>
      </c>
      <c r="BT28" s="16" t="n">
        <v>395.676972</v>
      </c>
      <c r="BU28" s="16" t="n">
        <v>0.06948600000000001</v>
      </c>
      <c r="BV28" s="16" t="n">
        <v>392.290406</v>
      </c>
      <c r="BW28" s="16" t="n">
        <v>0.479167</v>
      </c>
      <c r="BX28" s="16" t="n">
        <v>407.723163</v>
      </c>
      <c r="BY28" s="16" t="n">
        <v>0.190083</v>
      </c>
      <c r="BZ28" s="16" t="n">
        <v>281.341488</v>
      </c>
      <c r="CA28" s="16" t="n">
        <v>0.06948600000000001</v>
      </c>
      <c r="CB28" s="16" t="n">
        <v>280.148517</v>
      </c>
      <c r="CC28" s="16" t="n">
        <v>0.479167</v>
      </c>
      <c r="CD28" s="16" t="n">
        <v>290.650388</v>
      </c>
      <c r="CE28" s="16" t="n">
        <v>0.190083</v>
      </c>
      <c r="CF28" s="16" t="n">
        <v>2583.243938</v>
      </c>
      <c r="CG28" s="16" t="n">
        <v>0.06948600000000001</v>
      </c>
      <c r="CH28" s="16" t="n">
        <v>2189.372121</v>
      </c>
      <c r="CI28" s="16" t="n">
        <v>0.479167</v>
      </c>
      <c r="CJ28" s="16" t="n">
        <v>4374.254392</v>
      </c>
      <c r="CK28" s="16" t="n">
        <v>0.190083</v>
      </c>
      <c r="CL28" s="16" t="n">
        <v>889.9962829999999</v>
      </c>
      <c r="CM28" s="16" t="n">
        <v>0.06948600000000001</v>
      </c>
      <c r="CN28" s="16" t="n">
        <v>360.803451</v>
      </c>
      <c r="CO28" s="16" t="n">
        <v>0.479167</v>
      </c>
      <c r="CP28" s="16" t="n">
        <v>846.282013</v>
      </c>
      <c r="CQ28" s="16" t="n">
        <v>0.190083</v>
      </c>
      <c r="CR28" s="16" t="n">
        <v>0.543821</v>
      </c>
      <c r="CS28" s="16" t="n">
        <v>0.06948600000000001</v>
      </c>
      <c r="CT28" s="16" t="n">
        <v>0.532934</v>
      </c>
      <c r="CU28" s="16" t="n">
        <v>0.479167</v>
      </c>
      <c r="CV28" s="16" t="n">
        <v>0.6209789999999999</v>
      </c>
      <c r="CW28" s="16" t="n">
        <v>0.190083</v>
      </c>
      <c r="CX28" s="16" t="n">
        <v>0.775975</v>
      </c>
      <c r="CY28" s="16" t="n">
        <v>0.06948600000000001</v>
      </c>
      <c r="CZ28" s="16" t="n">
        <v>0.763121</v>
      </c>
      <c r="DA28" s="16" t="n">
        <v>0.479167</v>
      </c>
      <c r="DB28" s="16" t="n">
        <v>0.850526</v>
      </c>
      <c r="DC28" s="16" t="n">
        <v>0.190083</v>
      </c>
      <c r="DD28" s="16" t="n">
        <v>0.706515</v>
      </c>
      <c r="DE28" s="16" t="n">
        <v>0.06948600000000001</v>
      </c>
      <c r="DF28" s="16" t="n">
        <v>0.667865</v>
      </c>
      <c r="DG28" s="16" t="n">
        <v>0.479167</v>
      </c>
      <c r="DH28" s="16" t="n">
        <v>0.784253</v>
      </c>
      <c r="DI28" s="16" t="n">
        <v>0.190083</v>
      </c>
      <c r="DJ28" s="16" t="n">
        <v>0.652829</v>
      </c>
      <c r="DK28" s="16" t="n">
        <v>0.06948600000000001</v>
      </c>
      <c r="DL28" s="16" t="n">
        <v>0.625145</v>
      </c>
      <c r="DM28" s="16" t="n">
        <v>0.479167</v>
      </c>
      <c r="DN28" s="16" t="n">
        <v>0.735437</v>
      </c>
      <c r="DO28" s="16" t="n">
        <v>0.190083</v>
      </c>
      <c r="DP28" s="16" t="n">
        <v>0.662002</v>
      </c>
      <c r="DQ28" s="16" t="n">
        <v>0.06948600000000001</v>
      </c>
      <c r="DR28" s="16" t="n">
        <v>0.618666</v>
      </c>
      <c r="DS28" s="16" t="n">
        <v>0.479167</v>
      </c>
      <c r="DT28" s="16" t="n">
        <v>0.749374</v>
      </c>
      <c r="DU28" s="16" t="n">
        <v>0.190083</v>
      </c>
      <c r="DV28" s="16" t="n">
        <v>0.815183</v>
      </c>
      <c r="DW28" s="16" t="n">
        <v>0.06948600000000001</v>
      </c>
      <c r="DX28" s="16" t="n">
        <v>0.71499</v>
      </c>
      <c r="DY28" s="16" t="n">
        <v>0.479167</v>
      </c>
      <c r="DZ28" s="16" t="n">
        <v>0.809546</v>
      </c>
      <c r="EB28" s="16" t="n">
        <v>1263.606281</v>
      </c>
      <c r="EC28" s="16" t="n">
        <v>3500.262719</v>
      </c>
      <c r="ED28" s="16" t="n">
        <v>1229.33477</v>
      </c>
      <c r="EE28" s="16" t="n">
        <v>3696.657855</v>
      </c>
      <c r="EF28" s="16" t="n">
        <v>1381.119982</v>
      </c>
      <c r="EG28" s="16" t="n">
        <v>3180.619696</v>
      </c>
      <c r="EH28" s="16" t="n">
        <v>360.803451</v>
      </c>
      <c r="EI28" s="16" t="n">
        <v>3405.599189</v>
      </c>
      <c r="EJ28" s="16" t="n"/>
      <c r="EK28" s="16" t="n"/>
      <c r="EL28" s="16" t="n"/>
      <c r="EM28" s="16" t="n"/>
      <c r="EN28" s="16" t="n">
        <v>846.282013</v>
      </c>
      <c r="EO28" s="16" t="n">
        <v>4557.936849</v>
      </c>
      <c r="EP28" s="16" t="n"/>
      <c r="EQ28" s="16" t="n"/>
      <c r="ER28" s="16" t="n"/>
      <c r="ES28" s="16" t="n"/>
      <c r="ET28" s="16" t="n"/>
      <c r="EU28" s="16" t="n"/>
    </row>
    <row r="29">
      <c r="BS29" s="16" t="n">
        <v>0.198347</v>
      </c>
      <c r="BT29" s="16" t="n">
        <v>397.902122</v>
      </c>
      <c r="BU29" s="16" t="n">
        <v>0.072508</v>
      </c>
      <c r="BV29" s="16" t="n">
        <v>393.045939</v>
      </c>
      <c r="BW29" s="16" t="n">
        <v>0.5</v>
      </c>
      <c r="BX29" s="16" t="n">
        <v>422.81465</v>
      </c>
      <c r="BY29" s="16" t="n">
        <v>0.198347</v>
      </c>
      <c r="BZ29" s="16" t="n">
        <v>281.377794</v>
      </c>
      <c r="CA29" s="16" t="n">
        <v>0.072508</v>
      </c>
      <c r="CB29" s="16" t="n">
        <v>280.271013</v>
      </c>
      <c r="CC29" s="16" t="n">
        <v>0.5</v>
      </c>
      <c r="CD29" s="16" t="n">
        <v>290.75316</v>
      </c>
      <c r="CE29" s="16" t="n">
        <v>0.198347</v>
      </c>
      <c r="CF29" s="16" t="n">
        <v>2604.944636</v>
      </c>
      <c r="CG29" s="16" t="n">
        <v>0.072508</v>
      </c>
      <c r="CH29" s="16" t="n">
        <v>2193.423829</v>
      </c>
      <c r="CI29" s="16" t="n">
        <v>0.5</v>
      </c>
      <c r="CJ29" s="16" t="n">
        <v>4393.100586</v>
      </c>
      <c r="CK29" s="16" t="n">
        <v>0.198347</v>
      </c>
      <c r="CL29" s="16" t="n">
        <v>912.814208</v>
      </c>
      <c r="CM29" s="16" t="n">
        <v>0.072508</v>
      </c>
      <c r="CN29" s="16" t="n">
        <v>362.758585</v>
      </c>
      <c r="CO29" s="16" t="n">
        <v>0.5</v>
      </c>
      <c r="CP29" s="16" t="n">
        <v>851.252987</v>
      </c>
      <c r="CQ29" s="16" t="n">
        <v>0.198347</v>
      </c>
      <c r="CR29" s="16" t="n">
        <v>0.544349</v>
      </c>
      <c r="CS29" s="16" t="n">
        <v>0.072508</v>
      </c>
      <c r="CT29" s="16" t="n">
        <v>0.534283</v>
      </c>
      <c r="CU29" s="16" t="n">
        <v>0.5</v>
      </c>
      <c r="CV29" s="16" t="n">
        <v>0.62934</v>
      </c>
      <c r="CW29" s="16" t="n">
        <v>0.198347</v>
      </c>
      <c r="CX29" s="16" t="n">
        <v>0.780709</v>
      </c>
      <c r="CY29" s="16" t="n">
        <v>0.072508</v>
      </c>
      <c r="CZ29" s="16" t="n">
        <v>0.763567</v>
      </c>
      <c r="DA29" s="16" t="n">
        <v>0.5</v>
      </c>
      <c r="DB29" s="16" t="n">
        <v>0.85119</v>
      </c>
      <c r="DC29" s="16" t="n">
        <v>0.198347</v>
      </c>
      <c r="DD29" s="16" t="n">
        <v>0.708172</v>
      </c>
      <c r="DE29" s="16" t="n">
        <v>0.072508</v>
      </c>
      <c r="DF29" s="16" t="n">
        <v>0.6689580000000001</v>
      </c>
      <c r="DG29" s="16" t="n">
        <v>0.5</v>
      </c>
      <c r="DH29" s="16" t="n">
        <v>0.796563</v>
      </c>
      <c r="DI29" s="16" t="n">
        <v>0.198347</v>
      </c>
      <c r="DJ29" s="16" t="n">
        <v>0.656838</v>
      </c>
      <c r="DK29" s="16" t="n">
        <v>0.072508</v>
      </c>
      <c r="DL29" s="16" t="n">
        <v>0.627144</v>
      </c>
      <c r="DM29" s="16" t="n">
        <v>0.5</v>
      </c>
      <c r="DN29" s="16" t="n">
        <v>0.7476</v>
      </c>
      <c r="DO29" s="16" t="n">
        <v>0.198347</v>
      </c>
      <c r="DP29" s="16" t="n">
        <v>0.666724</v>
      </c>
      <c r="DQ29" s="16" t="n">
        <v>0.072508</v>
      </c>
      <c r="DR29" s="16" t="n">
        <v>0.620714</v>
      </c>
      <c r="DS29" s="16" t="n">
        <v>0.5</v>
      </c>
      <c r="DT29" s="16" t="n">
        <v>0.7513</v>
      </c>
      <c r="DU29" s="16" t="n">
        <v>0.198347</v>
      </c>
      <c r="DV29" s="16" t="n">
        <v>0.819725</v>
      </c>
      <c r="DW29" s="16" t="n">
        <v>0.072508</v>
      </c>
      <c r="DX29" s="16" t="n">
        <v>0.715085</v>
      </c>
      <c r="DY29" s="16" t="n">
        <v>0.5</v>
      </c>
      <c r="DZ29" s="16" t="n">
        <v>0.811025</v>
      </c>
      <c r="EB29" s="16" t="n">
        <v>882.806403</v>
      </c>
      <c r="EC29" s="16" t="n">
        <v>4127.89242</v>
      </c>
      <c r="ED29" s="16" t="n">
        <v>983.217522</v>
      </c>
      <c r="EE29" s="16" t="n">
        <v>2949.653534</v>
      </c>
      <c r="EF29" s="16" t="n">
        <v>539.7324159999999</v>
      </c>
      <c r="EG29" s="16" t="n">
        <v>2276.691927</v>
      </c>
      <c r="EH29" s="16" t="n">
        <v>646.80096</v>
      </c>
      <c r="EI29" s="16" t="n">
        <v>3030.708687</v>
      </c>
      <c r="EJ29" s="16" t="n"/>
      <c r="EK29" s="16" t="n"/>
      <c r="EL29" s="16" t="n"/>
      <c r="EM29" s="16" t="n"/>
      <c r="EN29" s="16" t="n">
        <v>1418.583633</v>
      </c>
      <c r="EO29" s="16" t="n">
        <v>4762.457995</v>
      </c>
      <c r="EP29" s="16" t="n"/>
      <c r="EQ29" s="16" t="n"/>
      <c r="ER29" s="16" t="n"/>
      <c r="ES29" s="16" t="n"/>
      <c r="ET29" s="16" t="n"/>
      <c r="EU29" s="16" t="n"/>
    </row>
    <row r="30">
      <c r="BS30" s="16" t="n">
        <v>0.206612</v>
      </c>
      <c r="BT30" s="16" t="n">
        <v>398.990061</v>
      </c>
      <c r="BU30" s="16" t="n">
        <v>0.075529</v>
      </c>
      <c r="BV30" s="16" t="n">
        <v>393.074891</v>
      </c>
      <c r="BW30" s="16" t="n">
        <v>0.520833</v>
      </c>
      <c r="BX30" s="16" t="n">
        <v>429.935367</v>
      </c>
      <c r="BY30" s="16" t="n">
        <v>0.206612</v>
      </c>
      <c r="BZ30" s="16" t="n">
        <v>281.482048</v>
      </c>
      <c r="CA30" s="16" t="n">
        <v>0.075529</v>
      </c>
      <c r="CB30" s="16" t="n">
        <v>280.332975</v>
      </c>
      <c r="CC30" s="16" t="n">
        <v>0.520833</v>
      </c>
      <c r="CD30" s="16" t="n">
        <v>290.985723</v>
      </c>
      <c r="CE30" s="16" t="n">
        <v>0.206612</v>
      </c>
      <c r="CF30" s="16" t="n">
        <v>2605.823829</v>
      </c>
      <c r="CG30" s="16" t="n">
        <v>0.075529</v>
      </c>
      <c r="CH30" s="16" t="n">
        <v>2208.761743</v>
      </c>
      <c r="CI30" s="16" t="n">
        <v>0.520833</v>
      </c>
      <c r="CJ30" s="16" t="n">
        <v>4432.829033</v>
      </c>
      <c r="CK30" s="16" t="n">
        <v>0.206612</v>
      </c>
      <c r="CL30" s="16" t="n">
        <v>918.04113</v>
      </c>
      <c r="CM30" s="16" t="n">
        <v>0.075529</v>
      </c>
      <c r="CN30" s="16" t="n">
        <v>366.230799</v>
      </c>
      <c r="CO30" s="16" t="n">
        <v>0.520833</v>
      </c>
      <c r="CP30" s="16" t="n">
        <v>876.254234</v>
      </c>
      <c r="CQ30" s="16" t="n">
        <v>0.206612</v>
      </c>
      <c r="CR30" s="16" t="n">
        <v>0.546449</v>
      </c>
      <c r="CS30" s="16" t="n">
        <v>0.075529</v>
      </c>
      <c r="CT30" s="16" t="n">
        <v>0.534543</v>
      </c>
      <c r="CU30" s="16" t="n">
        <v>0.520833</v>
      </c>
      <c r="CV30" s="16" t="n">
        <v>0.666042</v>
      </c>
      <c r="CW30" s="16" t="n">
        <v>0.206612</v>
      </c>
      <c r="CX30" s="16" t="n">
        <v>0.782235</v>
      </c>
      <c r="CY30" s="16" t="n">
        <v>0.075529</v>
      </c>
      <c r="CZ30" s="16" t="n">
        <v>0.763854</v>
      </c>
      <c r="DA30" s="16" t="n">
        <v>0.520833</v>
      </c>
      <c r="DB30" s="16" t="n">
        <v>0.860967</v>
      </c>
      <c r="DC30" s="16" t="n">
        <v>0.206612</v>
      </c>
      <c r="DD30" s="16" t="n">
        <v>0.709917</v>
      </c>
      <c r="DE30" s="16" t="n">
        <v>0.075529</v>
      </c>
      <c r="DF30" s="16" t="n">
        <v>0.669278</v>
      </c>
      <c r="DG30" s="16" t="n">
        <v>0.520833</v>
      </c>
      <c r="DH30" s="16" t="n">
        <v>0.79774</v>
      </c>
      <c r="DI30" s="16" t="n">
        <v>0.206612</v>
      </c>
      <c r="DJ30" s="16" t="n">
        <v>0.661447</v>
      </c>
      <c r="DK30" s="16" t="n">
        <v>0.075529</v>
      </c>
      <c r="DL30" s="16" t="n">
        <v>0.6284729999999999</v>
      </c>
      <c r="DM30" s="16" t="n">
        <v>0.520833</v>
      </c>
      <c r="DN30" s="16" t="n">
        <v>0.75169</v>
      </c>
      <c r="DO30" s="16" t="n">
        <v>0.206612</v>
      </c>
      <c r="DP30" s="16" t="n">
        <v>0.673716</v>
      </c>
      <c r="DQ30" s="16" t="n">
        <v>0.075529</v>
      </c>
      <c r="DR30" s="16" t="n">
        <v>0.620854</v>
      </c>
      <c r="DS30" s="16" t="n">
        <v>0.520833</v>
      </c>
      <c r="DT30" s="16" t="n">
        <v>0.76528</v>
      </c>
      <c r="DU30" s="16" t="n">
        <v>0.206612</v>
      </c>
      <c r="DV30" s="16" t="n">
        <v>0.829866</v>
      </c>
      <c r="DW30" s="16" t="n">
        <v>0.075529</v>
      </c>
      <c r="DX30" s="16" t="n">
        <v>0.716059</v>
      </c>
      <c r="DY30" s="16" t="n">
        <v>0.520833</v>
      </c>
      <c r="DZ30" s="16" t="n">
        <v>0.817869</v>
      </c>
      <c r="EB30" s="16" t="n">
        <v>1459.363535</v>
      </c>
      <c r="EC30" s="16" t="n">
        <v>2438.757092</v>
      </c>
      <c r="ED30" s="16" t="n">
        <v>1451.623593</v>
      </c>
      <c r="EE30" s="16" t="n">
        <v>4778.03685</v>
      </c>
      <c r="EF30" s="16" t="n">
        <v>927.998947</v>
      </c>
      <c r="EG30" s="16" t="n">
        <v>4209.325002</v>
      </c>
      <c r="EH30" s="16" t="n">
        <v>563.0065990000001</v>
      </c>
      <c r="EI30" s="16" t="n">
        <v>2481.439707</v>
      </c>
      <c r="EJ30" s="16" t="n"/>
      <c r="EK30" s="16" t="n"/>
      <c r="EL30" s="16" t="n"/>
      <c r="EM30" s="16" t="n"/>
      <c r="EN30" s="16" t="n">
        <v>1125.918557</v>
      </c>
      <c r="EO30" s="16" t="n">
        <v>4374.254392</v>
      </c>
      <c r="EP30" s="16" t="n"/>
      <c r="EQ30" s="16" t="n"/>
      <c r="ER30" s="16" t="n"/>
      <c r="ES30" s="16" t="n"/>
      <c r="ET30" s="16" t="n"/>
      <c r="EU30" s="16" t="n"/>
    </row>
    <row r="31">
      <c r="BS31" s="16" t="n">
        <v>0.214876</v>
      </c>
      <c r="BT31" s="16" t="n">
        <v>399.041889</v>
      </c>
      <c r="BU31" s="16" t="n">
        <v>0.07854999999999999</v>
      </c>
      <c r="BV31" s="16" t="n">
        <v>393.356294</v>
      </c>
      <c r="BW31" s="16" t="n">
        <v>0.541667</v>
      </c>
      <c r="BX31" s="16" t="n">
        <v>440.654443</v>
      </c>
      <c r="BY31" s="16" t="n">
        <v>0.214876</v>
      </c>
      <c r="BZ31" s="16" t="n">
        <v>281.558848</v>
      </c>
      <c r="CA31" s="16" t="n">
        <v>0.07854999999999999</v>
      </c>
      <c r="CB31" s="16" t="n">
        <v>280.361676</v>
      </c>
      <c r="CC31" s="16" t="n">
        <v>0.541667</v>
      </c>
      <c r="CD31" s="16" t="n">
        <v>291.222155</v>
      </c>
      <c r="CE31" s="16" t="n">
        <v>0.214876</v>
      </c>
      <c r="CF31" s="16" t="n">
        <v>2646.096711</v>
      </c>
      <c r="CG31" s="16" t="n">
        <v>0.07854999999999999</v>
      </c>
      <c r="CH31" s="16" t="n">
        <v>2222.422621</v>
      </c>
      <c r="CI31" s="16" t="n">
        <v>0.541667</v>
      </c>
      <c r="CJ31" s="16" t="n">
        <v>4467.232929</v>
      </c>
      <c r="CK31" s="16" t="n">
        <v>0.214876</v>
      </c>
      <c r="CL31" s="16" t="n">
        <v>920.1414590000001</v>
      </c>
      <c r="CM31" s="16" t="n">
        <v>0.07854999999999999</v>
      </c>
      <c r="CN31" s="16" t="n">
        <v>367.771413</v>
      </c>
      <c r="CO31" s="16" t="n">
        <v>0.541667</v>
      </c>
      <c r="CP31" s="16" t="n">
        <v>925.989107</v>
      </c>
      <c r="CQ31" s="16" t="n">
        <v>0.214876</v>
      </c>
      <c r="CR31" s="16" t="n">
        <v>0.547382</v>
      </c>
      <c r="CS31" s="16" t="n">
        <v>0.07854999999999999</v>
      </c>
      <c r="CT31" s="16" t="n">
        <v>0.536303</v>
      </c>
      <c r="CU31" s="16" t="n">
        <v>0.541667</v>
      </c>
      <c r="CV31" s="16" t="n">
        <v>0.668003</v>
      </c>
      <c r="CW31" s="16" t="n">
        <v>0.214876</v>
      </c>
      <c r="CX31" s="16" t="n">
        <v>0.782417</v>
      </c>
      <c r="CY31" s="16" t="n">
        <v>0.07854999999999999</v>
      </c>
      <c r="CZ31" s="16" t="n">
        <v>0.764149</v>
      </c>
      <c r="DA31" s="16" t="n">
        <v>0.541667</v>
      </c>
      <c r="DB31" s="16" t="n">
        <v>0.866399</v>
      </c>
      <c r="DC31" s="16" t="n">
        <v>0.214876</v>
      </c>
      <c r="DD31" s="16" t="n">
        <v>0.71155</v>
      </c>
      <c r="DE31" s="16" t="n">
        <v>0.07854999999999999</v>
      </c>
      <c r="DF31" s="16" t="n">
        <v>0.6695719999999999</v>
      </c>
      <c r="DG31" s="16" t="n">
        <v>0.541667</v>
      </c>
      <c r="DH31" s="16" t="n">
        <v>0.801282</v>
      </c>
      <c r="DI31" s="16" t="n">
        <v>0.214876</v>
      </c>
      <c r="DJ31" s="16" t="n">
        <v>0.664094</v>
      </c>
      <c r="DK31" s="16" t="n">
        <v>0.07854999999999999</v>
      </c>
      <c r="DL31" s="16" t="n">
        <v>0.628565</v>
      </c>
      <c r="DM31" s="16" t="n">
        <v>0.541667</v>
      </c>
      <c r="DN31" s="16" t="n">
        <v>0.766061</v>
      </c>
      <c r="DO31" s="16" t="n">
        <v>0.214876</v>
      </c>
      <c r="DP31" s="16" t="n">
        <v>0.680045</v>
      </c>
      <c r="DQ31" s="16" t="n">
        <v>0.07854999999999999</v>
      </c>
      <c r="DR31" s="16" t="n">
        <v>0.623158</v>
      </c>
      <c r="DS31" s="16" t="n">
        <v>0.541667</v>
      </c>
      <c r="DT31" s="16" t="n">
        <v>0.770105</v>
      </c>
      <c r="DU31" s="16" t="n">
        <v>0.214876</v>
      </c>
      <c r="DV31" s="16" t="n">
        <v>0.830693</v>
      </c>
      <c r="DW31" s="16" t="n">
        <v>0.07854999999999999</v>
      </c>
      <c r="DX31" s="16" t="n">
        <v>0.716863</v>
      </c>
      <c r="DY31" s="16" t="n">
        <v>0.541667</v>
      </c>
      <c r="DZ31" s="16" t="n">
        <v>0.818605</v>
      </c>
      <c r="EB31" s="16" t="n">
        <v>1057.105359</v>
      </c>
      <c r="EC31" s="16" t="n">
        <v>3778.7144</v>
      </c>
      <c r="ED31" s="16" t="n">
        <v>1358.986474</v>
      </c>
      <c r="EE31" s="16" t="n">
        <v>4176.475396</v>
      </c>
      <c r="EF31" s="16" t="n">
        <v>626.529715</v>
      </c>
      <c r="EG31" s="16" t="n">
        <v>3532.720066</v>
      </c>
      <c r="EH31" s="16" t="n">
        <v>867.753888</v>
      </c>
      <c r="EI31" s="16" t="n">
        <v>2443.769873</v>
      </c>
      <c r="EJ31" s="16" t="n"/>
      <c r="EK31" s="16" t="n"/>
      <c r="EL31" s="16" t="n"/>
      <c r="EM31" s="16" t="n"/>
      <c r="EN31" s="16" t="n">
        <v>938.905766</v>
      </c>
      <c r="EO31" s="16" t="n">
        <v>2203.171125</v>
      </c>
      <c r="EP31" s="16" t="n"/>
      <c r="EQ31" s="16" t="n"/>
      <c r="ER31" s="16" t="n"/>
      <c r="ES31" s="16" t="n"/>
      <c r="ET31" s="16" t="n"/>
      <c r="EU31" s="16" t="n"/>
    </row>
    <row r="32">
      <c r="BS32" s="16" t="n">
        <v>0.22314</v>
      </c>
      <c r="BT32" s="16" t="n">
        <v>401.018365</v>
      </c>
      <c r="BU32" s="16" t="n">
        <v>0.081571</v>
      </c>
      <c r="BV32" s="16" t="n">
        <v>393.450395</v>
      </c>
      <c r="BW32" s="16" t="n">
        <v>0.5625</v>
      </c>
      <c r="BX32" s="16" t="n">
        <v>453.666343</v>
      </c>
      <c r="BY32" s="16" t="n">
        <v>0.22314</v>
      </c>
      <c r="BZ32" s="16" t="n">
        <v>281.656887</v>
      </c>
      <c r="CA32" s="16" t="n">
        <v>0.081571</v>
      </c>
      <c r="CB32" s="16" t="n">
        <v>280.509267</v>
      </c>
      <c r="CC32" s="16" t="n">
        <v>0.5625</v>
      </c>
      <c r="CD32" s="16" t="n">
        <v>293.495178</v>
      </c>
      <c r="CE32" s="16" t="n">
        <v>0.22314</v>
      </c>
      <c r="CF32" s="16" t="n">
        <v>2688.487342</v>
      </c>
      <c r="CG32" s="16" t="n">
        <v>0.081571</v>
      </c>
      <c r="CH32" s="16" t="n">
        <v>2226.823282</v>
      </c>
      <c r="CI32" s="16" t="n">
        <v>0.5625</v>
      </c>
      <c r="CJ32" s="16" t="n">
        <v>4475.55891</v>
      </c>
      <c r="CK32" s="16" t="n">
        <v>0.22314</v>
      </c>
      <c r="CL32" s="16" t="n">
        <v>930.49415</v>
      </c>
      <c r="CM32" s="16" t="n">
        <v>0.081571</v>
      </c>
      <c r="CN32" s="16" t="n">
        <v>368.903501</v>
      </c>
      <c r="CO32" s="16" t="n">
        <v>0.5625</v>
      </c>
      <c r="CP32" s="16" t="n">
        <v>938.905766</v>
      </c>
      <c r="CQ32" s="16" t="n">
        <v>0.22314</v>
      </c>
      <c r="CR32" s="16" t="n">
        <v>0.547634</v>
      </c>
      <c r="CS32" s="16" t="n">
        <v>0.081571</v>
      </c>
      <c r="CT32" s="16" t="n">
        <v>0.537826</v>
      </c>
      <c r="CU32" s="16" t="n">
        <v>0.5625</v>
      </c>
      <c r="CV32" s="16" t="n">
        <v>0.698692</v>
      </c>
      <c r="CW32" s="16" t="n">
        <v>0.22314</v>
      </c>
      <c r="CX32" s="16" t="n">
        <v>0.783292</v>
      </c>
      <c r="CY32" s="16" t="n">
        <v>0.081571</v>
      </c>
      <c r="CZ32" s="16" t="n">
        <v>0.764418</v>
      </c>
      <c r="DA32" s="16" t="n">
        <v>0.5625</v>
      </c>
      <c r="DB32" s="16" t="n">
        <v>0.8672530000000001</v>
      </c>
      <c r="DC32" s="16" t="n">
        <v>0.22314</v>
      </c>
      <c r="DD32" s="16" t="n">
        <v>0.713551</v>
      </c>
      <c r="DE32" s="16" t="n">
        <v>0.081571</v>
      </c>
      <c r="DF32" s="16" t="n">
        <v>0.670559</v>
      </c>
      <c r="DG32" s="16" t="n">
        <v>0.5625</v>
      </c>
      <c r="DH32" s="16" t="n">
        <v>0.810333</v>
      </c>
      <c r="DI32" s="16" t="n">
        <v>0.22314</v>
      </c>
      <c r="DJ32" s="16" t="n">
        <v>0.665749</v>
      </c>
      <c r="DK32" s="16" t="n">
        <v>0.081571</v>
      </c>
      <c r="DL32" s="16" t="n">
        <v>0.629248</v>
      </c>
      <c r="DM32" s="16" t="n">
        <v>0.5625</v>
      </c>
      <c r="DN32" s="16" t="n">
        <v>0.769462</v>
      </c>
      <c r="DO32" s="16" t="n">
        <v>0.22314</v>
      </c>
      <c r="DP32" s="16" t="n">
        <v>0.6851120000000001</v>
      </c>
      <c r="DQ32" s="16" t="n">
        <v>0.081571</v>
      </c>
      <c r="DR32" s="16" t="n">
        <v>0.624887</v>
      </c>
      <c r="DS32" s="16" t="n">
        <v>0.5625</v>
      </c>
      <c r="DT32" s="16" t="n">
        <v>0.771895</v>
      </c>
      <c r="DU32" s="16" t="n">
        <v>0.22314</v>
      </c>
      <c r="DV32" s="16" t="n">
        <v>0.834718</v>
      </c>
      <c r="DW32" s="16" t="n">
        <v>0.081571</v>
      </c>
      <c r="DX32" s="16" t="n">
        <v>0.716882</v>
      </c>
      <c r="DY32" s="16" t="n">
        <v>0.5625</v>
      </c>
      <c r="DZ32" s="16" t="n">
        <v>0.824052</v>
      </c>
      <c r="EB32" s="16" t="n">
        <v>935.603346</v>
      </c>
      <c r="EC32" s="16" t="n">
        <v>3478.217127</v>
      </c>
      <c r="ED32" s="16" t="n">
        <v>1403.895909</v>
      </c>
      <c r="EE32" s="16" t="n">
        <v>3473.563613</v>
      </c>
      <c r="EF32" s="16" t="n">
        <v>1198.071503</v>
      </c>
      <c r="EG32" s="16" t="n">
        <v>4480.469051</v>
      </c>
      <c r="EH32" s="16" t="n">
        <v>1078.952669</v>
      </c>
      <c r="EI32" s="16" t="n">
        <v>3018.433359</v>
      </c>
      <c r="EJ32" s="16" t="n"/>
      <c r="EK32" s="16" t="n"/>
      <c r="EL32" s="16" t="n"/>
      <c r="EM32" s="16" t="n"/>
      <c r="EN32" s="16" t="n">
        <v>333.563974</v>
      </c>
      <c r="EO32" s="16" t="n">
        <v>4792.74214</v>
      </c>
      <c r="EP32" s="16" t="n"/>
      <c r="EQ32" s="16" t="n"/>
      <c r="ER32" s="16" t="n"/>
      <c r="ES32" s="16" t="n"/>
      <c r="ET32" s="16" t="n"/>
      <c r="EU32" s="16" t="n"/>
    </row>
    <row r="33">
      <c r="BS33" s="16" t="n">
        <v>0.231405</v>
      </c>
      <c r="BT33" s="16" t="n">
        <v>401.583672</v>
      </c>
      <c r="BU33" s="16" t="n">
        <v>0.084592</v>
      </c>
      <c r="BV33" s="16" t="n">
        <v>393.66685</v>
      </c>
      <c r="BW33" s="16" t="n">
        <v>0.583333</v>
      </c>
      <c r="BX33" s="16" t="n">
        <v>458.961943</v>
      </c>
      <c r="BY33" s="16" t="n">
        <v>0.231405</v>
      </c>
      <c r="BZ33" s="16" t="n">
        <v>281.982568</v>
      </c>
      <c r="CA33" s="16" t="n">
        <v>0.084592</v>
      </c>
      <c r="CB33" s="16" t="n">
        <v>280.543079</v>
      </c>
      <c r="CC33" s="16" t="n">
        <v>0.583333</v>
      </c>
      <c r="CD33" s="16" t="n">
        <v>294.787162</v>
      </c>
      <c r="CE33" s="16" t="n">
        <v>0.231405</v>
      </c>
      <c r="CF33" s="16" t="n">
        <v>2761.686996</v>
      </c>
      <c r="CG33" s="16" t="n">
        <v>0.084592</v>
      </c>
      <c r="CH33" s="16" t="n">
        <v>2230.116054</v>
      </c>
      <c r="CI33" s="16" t="n">
        <v>0.583333</v>
      </c>
      <c r="CJ33" s="16" t="n">
        <v>4513.586598</v>
      </c>
      <c r="CK33" s="16" t="n">
        <v>0.231405</v>
      </c>
      <c r="CL33" s="16" t="n">
        <v>935.603346</v>
      </c>
      <c r="CM33" s="16" t="n">
        <v>0.084592</v>
      </c>
      <c r="CN33" s="16" t="n">
        <v>374.369344</v>
      </c>
      <c r="CO33" s="16" t="n">
        <v>0.583333</v>
      </c>
      <c r="CP33" s="16" t="n">
        <v>947.2056700000001</v>
      </c>
      <c r="CQ33" s="16" t="n">
        <v>0.231405</v>
      </c>
      <c r="CR33" s="16" t="n">
        <v>0.550455</v>
      </c>
      <c r="CS33" s="16" t="n">
        <v>0.084592</v>
      </c>
      <c r="CT33" s="16" t="n">
        <v>0.542311</v>
      </c>
      <c r="CU33" s="16" t="n">
        <v>0.583333</v>
      </c>
      <c r="CV33" s="16" t="n">
        <v>0.7024550000000001</v>
      </c>
      <c r="CW33" s="16" t="n">
        <v>0.231405</v>
      </c>
      <c r="CX33" s="16" t="n">
        <v>0.784045</v>
      </c>
      <c r="CY33" s="16" t="n">
        <v>0.084592</v>
      </c>
      <c r="CZ33" s="16" t="n">
        <v>0.765294</v>
      </c>
      <c r="DA33" s="16" t="n">
        <v>0.583333</v>
      </c>
      <c r="DB33" s="16" t="n">
        <v>0.872576</v>
      </c>
      <c r="DC33" s="16" t="n">
        <v>0.231405</v>
      </c>
      <c r="DD33" s="16" t="n">
        <v>0.717838</v>
      </c>
      <c r="DE33" s="16" t="n">
        <v>0.084592</v>
      </c>
      <c r="DF33" s="16" t="n">
        <v>0.671461</v>
      </c>
      <c r="DG33" s="16" t="n">
        <v>0.583333</v>
      </c>
      <c r="DH33" s="16" t="n">
        <v>0.8153010000000001</v>
      </c>
      <c r="DI33" s="16" t="n">
        <v>0.231405</v>
      </c>
      <c r="DJ33" s="16" t="n">
        <v>0.671247</v>
      </c>
      <c r="DK33" s="16" t="n">
        <v>0.084592</v>
      </c>
      <c r="DL33" s="16" t="n">
        <v>0.631309</v>
      </c>
      <c r="DM33" s="16" t="n">
        <v>0.583333</v>
      </c>
      <c r="DN33" s="16" t="n">
        <v>0.7803870000000001</v>
      </c>
      <c r="DO33" s="16" t="n">
        <v>0.231405</v>
      </c>
      <c r="DP33" s="16" t="n">
        <v>0.691481</v>
      </c>
      <c r="DQ33" s="16" t="n">
        <v>0.084592</v>
      </c>
      <c r="DR33" s="16" t="n">
        <v>0.62663</v>
      </c>
      <c r="DS33" s="16" t="n">
        <v>0.583333</v>
      </c>
      <c r="DT33" s="16" t="n">
        <v>0.788592</v>
      </c>
      <c r="DU33" s="16" t="n">
        <v>0.231405</v>
      </c>
      <c r="DV33" s="16" t="n">
        <v>0.835747</v>
      </c>
      <c r="DW33" s="16" t="n">
        <v>0.084592</v>
      </c>
      <c r="DX33" s="16" t="n">
        <v>0.718102</v>
      </c>
      <c r="DY33" s="16" t="n">
        <v>0.583333</v>
      </c>
      <c r="DZ33" s="16" t="n">
        <v>0.829952</v>
      </c>
      <c r="EB33" s="16" t="n">
        <v>1139.940785</v>
      </c>
      <c r="EC33" s="16" t="n">
        <v>4910.206467</v>
      </c>
      <c r="ED33" s="16" t="n">
        <v>1090.246142</v>
      </c>
      <c r="EE33" s="16" t="n">
        <v>2815.780314</v>
      </c>
      <c r="EF33" s="16" t="n">
        <v>321.559202</v>
      </c>
      <c r="EG33" s="16" t="n">
        <v>2342.03879</v>
      </c>
      <c r="EH33" s="16" t="n">
        <v>817.338002</v>
      </c>
      <c r="EI33" s="16" t="n">
        <v>3281.067918</v>
      </c>
      <c r="EJ33" s="16" t="n"/>
      <c r="EK33" s="16" t="n"/>
      <c r="EL33" s="16" t="n"/>
      <c r="EM33" s="16" t="n"/>
      <c r="EN33" s="16" t="n">
        <v>641.814567</v>
      </c>
      <c r="EO33" s="16" t="n">
        <v>4467.232929</v>
      </c>
      <c r="EP33" s="16" t="n"/>
      <c r="EQ33" s="16" t="n"/>
      <c r="ER33" s="16" t="n"/>
      <c r="ES33" s="16" t="n"/>
      <c r="ET33" s="16" t="n"/>
      <c r="EU33" s="16" t="n"/>
    </row>
    <row r="34">
      <c r="BS34" s="16" t="n">
        <v>0.239669</v>
      </c>
      <c r="BT34" s="16" t="n">
        <v>402.978482</v>
      </c>
      <c r="BU34" s="16" t="n">
        <v>0.087613</v>
      </c>
      <c r="BV34" s="16" t="n">
        <v>394.352269</v>
      </c>
      <c r="BW34" s="16" t="n">
        <v>0.604167</v>
      </c>
      <c r="BX34" s="16" t="n">
        <v>462.851148</v>
      </c>
      <c r="BY34" s="16" t="n">
        <v>0.239669</v>
      </c>
      <c r="BZ34" s="16" t="n">
        <v>282.033339</v>
      </c>
      <c r="CA34" s="16" t="n">
        <v>0.087613</v>
      </c>
      <c r="CB34" s="16" t="n">
        <v>280.608414</v>
      </c>
      <c r="CC34" s="16" t="n">
        <v>0.604167</v>
      </c>
      <c r="CD34" s="16" t="n">
        <v>295.586168</v>
      </c>
      <c r="CE34" s="16" t="n">
        <v>0.239669</v>
      </c>
      <c r="CF34" s="16" t="n">
        <v>2815.780314</v>
      </c>
      <c r="CG34" s="16" t="n">
        <v>0.087613</v>
      </c>
      <c r="CH34" s="16" t="n">
        <v>2240.75128</v>
      </c>
      <c r="CI34" s="16" t="n">
        <v>0.604167</v>
      </c>
      <c r="CJ34" s="16" t="n">
        <v>4536.454313</v>
      </c>
      <c r="CK34" s="16" t="n">
        <v>0.239669</v>
      </c>
      <c r="CL34" s="16" t="n">
        <v>936.881352</v>
      </c>
      <c r="CM34" s="16" t="n">
        <v>0.087613</v>
      </c>
      <c r="CN34" s="16" t="n">
        <v>375.777476</v>
      </c>
      <c r="CO34" s="16" t="n">
        <v>0.604167</v>
      </c>
      <c r="CP34" s="16" t="n">
        <v>948.775389</v>
      </c>
      <c r="CQ34" s="16" t="n">
        <v>0.239669</v>
      </c>
      <c r="CR34" s="16" t="n">
        <v>0.550689</v>
      </c>
      <c r="CS34" s="16" t="n">
        <v>0.087613</v>
      </c>
      <c r="CT34" s="16" t="n">
        <v>0.543261</v>
      </c>
      <c r="CU34" s="16" t="n">
        <v>0.604167</v>
      </c>
      <c r="CV34" s="16" t="n">
        <v>0.710075</v>
      </c>
      <c r="CW34" s="16" t="n">
        <v>0.239669</v>
      </c>
      <c r="CX34" s="16" t="n">
        <v>0.78616</v>
      </c>
      <c r="CY34" s="16" t="n">
        <v>0.087613</v>
      </c>
      <c r="CZ34" s="16" t="n">
        <v>0.765759</v>
      </c>
      <c r="DA34" s="16" t="n">
        <v>0.604167</v>
      </c>
      <c r="DB34" s="16" t="n">
        <v>0.874957</v>
      </c>
      <c r="DC34" s="16" t="n">
        <v>0.239669</v>
      </c>
      <c r="DD34" s="16" t="n">
        <v>0.718029</v>
      </c>
      <c r="DE34" s="16" t="n">
        <v>0.087613</v>
      </c>
      <c r="DF34" s="16" t="n">
        <v>0.672309</v>
      </c>
      <c r="DG34" s="16" t="n">
        <v>0.604167</v>
      </c>
      <c r="DH34" s="16" t="n">
        <v>0.823559</v>
      </c>
      <c r="DI34" s="16" t="n">
        <v>0.239669</v>
      </c>
      <c r="DJ34" s="16" t="n">
        <v>0.672063</v>
      </c>
      <c r="DK34" s="16" t="n">
        <v>0.087613</v>
      </c>
      <c r="DL34" s="16" t="n">
        <v>0.632912</v>
      </c>
      <c r="DM34" s="16" t="n">
        <v>0.604167</v>
      </c>
      <c r="DN34" s="16" t="n">
        <v>0.780641</v>
      </c>
      <c r="DO34" s="16" t="n">
        <v>0.239669</v>
      </c>
      <c r="DP34" s="16" t="n">
        <v>0.6917180000000001</v>
      </c>
      <c r="DQ34" s="16" t="n">
        <v>0.087613</v>
      </c>
      <c r="DR34" s="16" t="n">
        <v>0.626754</v>
      </c>
      <c r="DS34" s="16" t="n">
        <v>0.604167</v>
      </c>
      <c r="DT34" s="16" t="n">
        <v>0.793831</v>
      </c>
      <c r="DU34" s="16" t="n">
        <v>0.239669</v>
      </c>
      <c r="DV34" s="16" t="n">
        <v>0.8366440000000001</v>
      </c>
      <c r="DW34" s="16" t="n">
        <v>0.087613</v>
      </c>
      <c r="DX34" s="16" t="n">
        <v>0.718836</v>
      </c>
      <c r="DY34" s="16" t="n">
        <v>0.604167</v>
      </c>
      <c r="DZ34" s="16" t="n">
        <v>0.8304820000000001</v>
      </c>
      <c r="EB34" s="16" t="n">
        <v>1303.645408</v>
      </c>
      <c r="EC34" s="16" t="n">
        <v>3648.122848</v>
      </c>
      <c r="ED34" s="16" t="n">
        <v>1004.77319</v>
      </c>
      <c r="EE34" s="16" t="n">
        <v>2521.261537</v>
      </c>
      <c r="EF34" s="16" t="n">
        <v>750.249353</v>
      </c>
      <c r="EG34" s="16" t="n">
        <v>3103.330085</v>
      </c>
      <c r="EH34" s="16" t="n">
        <v>455.274692</v>
      </c>
      <c r="EI34" s="16" t="n">
        <v>4005.086735</v>
      </c>
      <c r="EJ34" s="16" t="n"/>
      <c r="EK34" s="16" t="n"/>
      <c r="EL34" s="16" t="n"/>
      <c r="EM34" s="16" t="n"/>
      <c r="EN34" s="16" t="n">
        <v>947.2056700000001</v>
      </c>
      <c r="EO34" s="16" t="n">
        <v>4732.276904</v>
      </c>
      <c r="EP34" s="16" t="n"/>
      <c r="EQ34" s="16" t="n"/>
      <c r="ER34" s="16" t="n"/>
      <c r="ES34" s="16" t="n"/>
      <c r="ET34" s="16" t="n"/>
      <c r="EU34" s="16" t="n"/>
    </row>
    <row r="35">
      <c r="BS35" s="16" t="n">
        <v>0.247934</v>
      </c>
      <c r="BT35" s="16" t="n">
        <v>403.990188</v>
      </c>
      <c r="BU35" s="16" t="n">
        <v>0.09063400000000001</v>
      </c>
      <c r="BV35" s="16" t="n">
        <v>395.162093</v>
      </c>
      <c r="BW35" s="16" t="n">
        <v>0.625</v>
      </c>
      <c r="BX35" s="16" t="n">
        <v>467.769772</v>
      </c>
      <c r="BY35" s="16" t="n">
        <v>0.247934</v>
      </c>
      <c r="BZ35" s="16" t="n">
        <v>282.104083</v>
      </c>
      <c r="CA35" s="16" t="n">
        <v>0.09063400000000001</v>
      </c>
      <c r="CB35" s="16" t="n">
        <v>280.771723</v>
      </c>
      <c r="CC35" s="16" t="n">
        <v>0.625</v>
      </c>
      <c r="CD35" s="16" t="n">
        <v>295.764102</v>
      </c>
      <c r="CE35" s="16" t="n">
        <v>0.247934</v>
      </c>
      <c r="CF35" s="16" t="n">
        <v>2844.588787</v>
      </c>
      <c r="CG35" s="16" t="n">
        <v>0.09063400000000001</v>
      </c>
      <c r="CH35" s="16" t="n">
        <v>2248.475597</v>
      </c>
      <c r="CI35" s="16" t="n">
        <v>0.625</v>
      </c>
      <c r="CJ35" s="16" t="n">
        <v>4557.936849</v>
      </c>
      <c r="CK35" s="16" t="n">
        <v>0.247934</v>
      </c>
      <c r="CL35" s="16" t="n">
        <v>946.088333</v>
      </c>
      <c r="CM35" s="16" t="n">
        <v>0.09063400000000001</v>
      </c>
      <c r="CN35" s="16" t="n">
        <v>376.828397</v>
      </c>
      <c r="CO35" s="16" t="n">
        <v>0.625</v>
      </c>
      <c r="CP35" s="16" t="n">
        <v>962.640989</v>
      </c>
      <c r="CQ35" s="16" t="n">
        <v>0.247934</v>
      </c>
      <c r="CR35" s="16" t="n">
        <v>0.55405</v>
      </c>
      <c r="CS35" s="16" t="n">
        <v>0.09063400000000001</v>
      </c>
      <c r="CT35" s="16" t="n">
        <v>0.545027</v>
      </c>
      <c r="CU35" s="16" t="n">
        <v>0.625</v>
      </c>
      <c r="CV35" s="16" t="n">
        <v>0.742696</v>
      </c>
      <c r="CW35" s="16" t="n">
        <v>0.247934</v>
      </c>
      <c r="CX35" s="16" t="n">
        <v>0.786296</v>
      </c>
      <c r="CY35" s="16" t="n">
        <v>0.09063400000000001</v>
      </c>
      <c r="CZ35" s="16" t="n">
        <v>0.766642</v>
      </c>
      <c r="DA35" s="16" t="n">
        <v>0.625</v>
      </c>
      <c r="DB35" s="16" t="n">
        <v>0.878638</v>
      </c>
      <c r="DC35" s="16" t="n">
        <v>0.247934</v>
      </c>
      <c r="DD35" s="16" t="n">
        <v>0.719267</v>
      </c>
      <c r="DE35" s="16" t="n">
        <v>0.09063400000000001</v>
      </c>
      <c r="DF35" s="16" t="n">
        <v>0.6725950000000001</v>
      </c>
      <c r="DG35" s="16" t="n">
        <v>0.625</v>
      </c>
      <c r="DH35" s="16" t="n">
        <v>0.825192</v>
      </c>
      <c r="DI35" s="16" t="n">
        <v>0.247934</v>
      </c>
      <c r="DJ35" s="16" t="n">
        <v>0.675861</v>
      </c>
      <c r="DK35" s="16" t="n">
        <v>0.09063400000000001</v>
      </c>
      <c r="DL35" s="16" t="n">
        <v>0.634869</v>
      </c>
      <c r="DM35" s="16" t="n">
        <v>0.625</v>
      </c>
      <c r="DN35" s="16" t="n">
        <v>0.787589</v>
      </c>
      <c r="DO35" s="16" t="n">
        <v>0.247934</v>
      </c>
      <c r="DP35" s="16" t="n">
        <v>0.692255</v>
      </c>
      <c r="DQ35" s="16" t="n">
        <v>0.09063400000000001</v>
      </c>
      <c r="DR35" s="16" t="n">
        <v>0.627974</v>
      </c>
      <c r="DS35" s="16" t="n">
        <v>0.625</v>
      </c>
      <c r="DT35" s="16" t="n">
        <v>0.797335</v>
      </c>
      <c r="DU35" s="16" t="n">
        <v>0.247934</v>
      </c>
      <c r="DV35" s="16" t="n">
        <v>0.836786</v>
      </c>
      <c r="DW35" s="16" t="n">
        <v>0.09063400000000001</v>
      </c>
      <c r="DX35" s="16" t="n">
        <v>0.719222</v>
      </c>
      <c r="DY35" s="16" t="n">
        <v>0.625</v>
      </c>
      <c r="DZ35" s="16" t="n">
        <v>0.831743</v>
      </c>
      <c r="EB35" s="16" t="n">
        <v>1277.817032</v>
      </c>
      <c r="EC35" s="16" t="n">
        <v>4264.259314</v>
      </c>
      <c r="ED35" s="16" t="n">
        <v>1426.633753</v>
      </c>
      <c r="EE35" s="16" t="n">
        <v>3808.827317</v>
      </c>
      <c r="EF35" s="16" t="n">
        <v>1472.987917</v>
      </c>
      <c r="EG35" s="16" t="n">
        <v>2946.519301</v>
      </c>
      <c r="EH35" s="16" t="n">
        <v>905.051505</v>
      </c>
      <c r="EI35" s="16" t="n">
        <v>3228.728334</v>
      </c>
      <c r="EJ35" s="16" t="n"/>
      <c r="EK35" s="16" t="n"/>
      <c r="EL35" s="16" t="n"/>
      <c r="EM35" s="16" t="n"/>
      <c r="EN35" s="16" t="n">
        <v>1208.291032</v>
      </c>
      <c r="EO35" s="16" t="n">
        <v>2944.929322</v>
      </c>
      <c r="EP35" s="16" t="n"/>
      <c r="EQ35" s="16" t="n"/>
      <c r="ER35" s="16" t="n"/>
      <c r="ES35" s="16" t="n"/>
      <c r="ET35" s="16" t="n"/>
      <c r="EU35" s="16" t="n"/>
    </row>
    <row r="36">
      <c r="BS36" s="16" t="n">
        <v>0.256198</v>
      </c>
      <c r="BT36" s="16" t="n">
        <v>404.33467</v>
      </c>
      <c r="BU36" s="16" t="n">
        <v>0.093656</v>
      </c>
      <c r="BV36" s="16" t="n">
        <v>395.186512</v>
      </c>
      <c r="BW36" s="16" t="n">
        <v>0.645833</v>
      </c>
      <c r="BX36" s="16" t="n">
        <v>471.943888</v>
      </c>
      <c r="BY36" s="16" t="n">
        <v>0.256198</v>
      </c>
      <c r="BZ36" s="16" t="n">
        <v>282.205154</v>
      </c>
      <c r="CA36" s="16" t="n">
        <v>0.093656</v>
      </c>
      <c r="CB36" s="16" t="n">
        <v>280.896747</v>
      </c>
      <c r="CC36" s="16" t="n">
        <v>0.645833</v>
      </c>
      <c r="CD36" s="16" t="n">
        <v>296.080931</v>
      </c>
      <c r="CE36" s="16" t="n">
        <v>0.256198</v>
      </c>
      <c r="CF36" s="16" t="n">
        <v>2867.307732</v>
      </c>
      <c r="CG36" s="16" t="n">
        <v>0.093656</v>
      </c>
      <c r="CH36" s="16" t="n">
        <v>2251.395537</v>
      </c>
      <c r="CI36" s="16" t="n">
        <v>0.645833</v>
      </c>
      <c r="CJ36" s="16" t="n">
        <v>4593.339295</v>
      </c>
      <c r="CK36" s="16" t="n">
        <v>0.256198</v>
      </c>
      <c r="CL36" s="16" t="n">
        <v>952.44158</v>
      </c>
      <c r="CM36" s="16" t="n">
        <v>0.093656</v>
      </c>
      <c r="CN36" s="16" t="n">
        <v>379.126595</v>
      </c>
      <c r="CO36" s="16" t="n">
        <v>0.645833</v>
      </c>
      <c r="CP36" s="16" t="n">
        <v>999.028134</v>
      </c>
      <c r="CQ36" s="16" t="n">
        <v>0.256198</v>
      </c>
      <c r="CR36" s="16" t="n">
        <v>0.556442</v>
      </c>
      <c r="CS36" s="16" t="n">
        <v>0.093656</v>
      </c>
      <c r="CT36" s="16" t="n">
        <v>0.546223</v>
      </c>
      <c r="CU36" s="16" t="n">
        <v>0.645833</v>
      </c>
      <c r="CV36" s="16" t="n">
        <v>0.751453</v>
      </c>
      <c r="CW36" s="16" t="n">
        <v>0.256198</v>
      </c>
      <c r="CX36" s="16" t="n">
        <v>0.788253</v>
      </c>
      <c r="CY36" s="16" t="n">
        <v>0.093656</v>
      </c>
      <c r="CZ36" s="16" t="n">
        <v>0.766921</v>
      </c>
      <c r="DA36" s="16" t="n">
        <v>0.645833</v>
      </c>
      <c r="DB36" s="16" t="n">
        <v>0.881395</v>
      </c>
      <c r="DC36" s="16" t="n">
        <v>0.256198</v>
      </c>
      <c r="DD36" s="16" t="n">
        <v>0.721459</v>
      </c>
      <c r="DE36" s="16" t="n">
        <v>0.093656</v>
      </c>
      <c r="DF36" s="16" t="n">
        <v>0.673309</v>
      </c>
      <c r="DG36" s="16" t="n">
        <v>0.645833</v>
      </c>
      <c r="DH36" s="16" t="n">
        <v>0.833388</v>
      </c>
      <c r="DI36" s="16" t="n">
        <v>0.256198</v>
      </c>
      <c r="DJ36" s="16" t="n">
        <v>0.675913</v>
      </c>
      <c r="DK36" s="16" t="n">
        <v>0.093656</v>
      </c>
      <c r="DL36" s="16" t="n">
        <v>0.634977</v>
      </c>
      <c r="DM36" s="16" t="n">
        <v>0.645833</v>
      </c>
      <c r="DN36" s="16" t="n">
        <v>0.803899</v>
      </c>
      <c r="DO36" s="16" t="n">
        <v>0.256198</v>
      </c>
      <c r="DP36" s="16" t="n">
        <v>0.692902</v>
      </c>
      <c r="DQ36" s="16" t="n">
        <v>0.093656</v>
      </c>
      <c r="DR36" s="16" t="n">
        <v>0.628579</v>
      </c>
      <c r="DS36" s="16" t="n">
        <v>0.645833</v>
      </c>
      <c r="DT36" s="16" t="n">
        <v>0.79935</v>
      </c>
      <c r="DU36" s="16" t="n">
        <v>0.256198</v>
      </c>
      <c r="DV36" s="16" t="n">
        <v>0.837872</v>
      </c>
      <c r="DW36" s="16" t="n">
        <v>0.093656</v>
      </c>
      <c r="DX36" s="16" t="n">
        <v>0.719489</v>
      </c>
      <c r="DY36" s="16" t="n">
        <v>0.645833</v>
      </c>
      <c r="DZ36" s="16" t="n">
        <v>0.8428330000000001</v>
      </c>
      <c r="EB36" s="16" t="n">
        <v>1241.446773</v>
      </c>
      <c r="EC36" s="16" t="n">
        <v>2604.944636</v>
      </c>
      <c r="ED36" s="16" t="n">
        <v>1049.983715</v>
      </c>
      <c r="EE36" s="16" t="n">
        <v>2435.192907</v>
      </c>
      <c r="EF36" s="16" t="n">
        <v>909.4209949999999</v>
      </c>
      <c r="EG36" s="16" t="n">
        <v>2813.623684</v>
      </c>
      <c r="EH36" s="16" t="n">
        <v>642.783566</v>
      </c>
      <c r="EI36" s="16" t="n">
        <v>4928.023438</v>
      </c>
      <c r="EJ36" s="16" t="n"/>
      <c r="EK36" s="16" t="n"/>
      <c r="EL36" s="16" t="n"/>
      <c r="EM36" s="16" t="n"/>
      <c r="EN36" s="16" t="n">
        <v>925.989107</v>
      </c>
      <c r="EO36" s="16" t="n">
        <v>4475.55891</v>
      </c>
      <c r="EP36" s="16" t="n"/>
      <c r="EQ36" s="16" t="n"/>
      <c r="ER36" s="16" t="n"/>
      <c r="ES36" s="16" t="n"/>
      <c r="ET36" s="16" t="n"/>
      <c r="EU36" s="16" t="n"/>
    </row>
    <row r="37">
      <c r="BS37" s="16" t="n">
        <v>0.264463</v>
      </c>
      <c r="BT37" s="16" t="n">
        <v>404.564124</v>
      </c>
      <c r="BU37" s="16" t="n">
        <v>0.096677</v>
      </c>
      <c r="BV37" s="16" t="n">
        <v>395.358247</v>
      </c>
      <c r="BW37" s="16" t="n">
        <v>0.666667</v>
      </c>
      <c r="BX37" s="16" t="n">
        <v>479.142708</v>
      </c>
      <c r="BY37" s="16" t="n">
        <v>0.264463</v>
      </c>
      <c r="BZ37" s="16" t="n">
        <v>282.234602</v>
      </c>
      <c r="CA37" s="16" t="n">
        <v>0.096677</v>
      </c>
      <c r="CB37" s="16" t="n">
        <v>281.056316</v>
      </c>
      <c r="CC37" s="16" t="n">
        <v>0.666667</v>
      </c>
      <c r="CD37" s="16" t="n">
        <v>296.465645</v>
      </c>
      <c r="CE37" s="16" t="n">
        <v>0.264463</v>
      </c>
      <c r="CF37" s="16" t="n">
        <v>2921.798926</v>
      </c>
      <c r="CG37" s="16" t="n">
        <v>0.096677</v>
      </c>
      <c r="CH37" s="16" t="n">
        <v>2258.175387</v>
      </c>
      <c r="CI37" s="16" t="n">
        <v>0.666667</v>
      </c>
      <c r="CJ37" s="16" t="n">
        <v>4629.425047</v>
      </c>
      <c r="CK37" s="16" t="n">
        <v>0.264463</v>
      </c>
      <c r="CL37" s="16" t="n">
        <v>976.813847</v>
      </c>
      <c r="CM37" s="16" t="n">
        <v>0.096677</v>
      </c>
      <c r="CN37" s="16" t="n">
        <v>386.381392</v>
      </c>
      <c r="CO37" s="16" t="n">
        <v>0.666667</v>
      </c>
      <c r="CP37" s="16" t="n">
        <v>1032.970526</v>
      </c>
      <c r="CQ37" s="16" t="n">
        <v>0.264463</v>
      </c>
      <c r="CR37" s="16" t="n">
        <v>0.557269</v>
      </c>
      <c r="CS37" s="16" t="n">
        <v>0.096677</v>
      </c>
      <c r="CT37" s="16" t="n">
        <v>0.549912</v>
      </c>
      <c r="CU37" s="16" t="n">
        <v>0.666667</v>
      </c>
      <c r="CV37" s="16" t="n">
        <v>0.757899</v>
      </c>
      <c r="CW37" s="16" t="n">
        <v>0.264463</v>
      </c>
      <c r="CX37" s="16" t="n">
        <v>0.789992</v>
      </c>
      <c r="CY37" s="16" t="n">
        <v>0.096677</v>
      </c>
      <c r="CZ37" s="16" t="n">
        <v>0.767478</v>
      </c>
      <c r="DA37" s="16" t="n">
        <v>0.666667</v>
      </c>
      <c r="DB37" s="16" t="n">
        <v>0.885804</v>
      </c>
      <c r="DC37" s="16" t="n">
        <v>0.264463</v>
      </c>
      <c r="DD37" s="16" t="n">
        <v>0.7231880000000001</v>
      </c>
      <c r="DE37" s="16" t="n">
        <v>0.096677</v>
      </c>
      <c r="DF37" s="16" t="n">
        <v>0.6736799999999999</v>
      </c>
      <c r="DG37" s="16" t="n">
        <v>0.666667</v>
      </c>
      <c r="DH37" s="16" t="n">
        <v>0.835804</v>
      </c>
      <c r="DI37" s="16" t="n">
        <v>0.264463</v>
      </c>
      <c r="DJ37" s="16" t="n">
        <v>0.677731</v>
      </c>
      <c r="DK37" s="16" t="n">
        <v>0.096677</v>
      </c>
      <c r="DL37" s="16" t="n">
        <v>0.635441</v>
      </c>
      <c r="DM37" s="16" t="n">
        <v>0.666667</v>
      </c>
      <c r="DN37" s="16" t="n">
        <v>0.807406</v>
      </c>
      <c r="DO37" s="16" t="n">
        <v>0.264463</v>
      </c>
      <c r="DP37" s="16" t="n">
        <v>0.6950229999999999</v>
      </c>
      <c r="DQ37" s="16" t="n">
        <v>0.096677</v>
      </c>
      <c r="DR37" s="16" t="n">
        <v>0.630297</v>
      </c>
      <c r="DS37" s="16" t="n">
        <v>0.666667</v>
      </c>
      <c r="DT37" s="16" t="n">
        <v>0.807681</v>
      </c>
      <c r="DU37" s="16" t="n">
        <v>0.264463</v>
      </c>
      <c r="DV37" s="16" t="n">
        <v>0.839621</v>
      </c>
      <c r="DW37" s="16" t="n">
        <v>0.096677</v>
      </c>
      <c r="DX37" s="16" t="n">
        <v>0.720313</v>
      </c>
      <c r="DY37" s="16" t="n">
        <v>0.666667</v>
      </c>
      <c r="DZ37" s="16" t="n">
        <v>0.846654</v>
      </c>
      <c r="EB37" s="16" t="n">
        <v>1322.547882</v>
      </c>
      <c r="EC37" s="16" t="n">
        <v>2139.236516</v>
      </c>
      <c r="ED37" s="16" t="n">
        <v>688.244239</v>
      </c>
      <c r="EE37" s="16" t="n">
        <v>3571.407298</v>
      </c>
      <c r="EF37" s="16" t="n">
        <v>1413.279306</v>
      </c>
      <c r="EG37" s="16" t="n">
        <v>3742.291748</v>
      </c>
      <c r="EH37" s="16" t="n">
        <v>356.236917</v>
      </c>
      <c r="EI37" s="16" t="n">
        <v>3316.573945</v>
      </c>
      <c r="EJ37" s="16" t="n"/>
      <c r="EK37" s="16" t="n"/>
      <c r="EL37" s="16" t="n"/>
      <c r="EM37" s="16" t="n"/>
      <c r="EN37" s="16" t="n">
        <v>527.031337</v>
      </c>
      <c r="EO37" s="16" t="n">
        <v>4120.866545</v>
      </c>
      <c r="EP37" s="16" t="n"/>
      <c r="EQ37" s="16" t="n"/>
      <c r="ER37" s="16" t="n"/>
      <c r="ES37" s="16" t="n"/>
      <c r="ET37" s="16" t="n"/>
      <c r="EU37" s="16" t="n"/>
    </row>
    <row r="38">
      <c r="BS38" s="16" t="n">
        <v>0.272727</v>
      </c>
      <c r="BT38" s="16" t="n">
        <v>405.057211</v>
      </c>
      <c r="BU38" s="16" t="n">
        <v>0.09969799999999999</v>
      </c>
      <c r="BV38" s="16" t="n">
        <v>395.977327</v>
      </c>
      <c r="BW38" s="16" t="n">
        <v>0.6875</v>
      </c>
      <c r="BX38" s="16" t="n">
        <v>482.339361</v>
      </c>
      <c r="BY38" s="16" t="n">
        <v>0.272727</v>
      </c>
      <c r="BZ38" s="16" t="n">
        <v>282.477531</v>
      </c>
      <c r="CA38" s="16" t="n">
        <v>0.09969799999999999</v>
      </c>
      <c r="CB38" s="16" t="n">
        <v>281.179604</v>
      </c>
      <c r="CC38" s="16" t="n">
        <v>0.6875</v>
      </c>
      <c r="CD38" s="16" t="n">
        <v>297.093025</v>
      </c>
      <c r="CE38" s="16" t="n">
        <v>0.272727</v>
      </c>
      <c r="CF38" s="16" t="n">
        <v>2949.653534</v>
      </c>
      <c r="CG38" s="16" t="n">
        <v>0.09969799999999999</v>
      </c>
      <c r="CH38" s="16" t="n">
        <v>2271.326111</v>
      </c>
      <c r="CI38" s="16" t="n">
        <v>0.6875</v>
      </c>
      <c r="CJ38" s="16" t="n">
        <v>4631.035136</v>
      </c>
      <c r="CK38" s="16" t="n">
        <v>0.272727</v>
      </c>
      <c r="CL38" s="16" t="n">
        <v>983.017202</v>
      </c>
      <c r="CM38" s="16" t="n">
        <v>0.09969799999999999</v>
      </c>
      <c r="CN38" s="16" t="n">
        <v>388.397699</v>
      </c>
      <c r="CO38" s="16" t="n">
        <v>0.6875</v>
      </c>
      <c r="CP38" s="16" t="n">
        <v>1082.754052</v>
      </c>
      <c r="CQ38" s="16" t="n">
        <v>0.272727</v>
      </c>
      <c r="CR38" s="16" t="n">
        <v>0.56049</v>
      </c>
      <c r="CS38" s="16" t="n">
        <v>0.09969799999999999</v>
      </c>
      <c r="CT38" s="16" t="n">
        <v>0.551683</v>
      </c>
      <c r="CU38" s="16" t="n">
        <v>0.6875</v>
      </c>
      <c r="CV38" s="16" t="n">
        <v>0.771268</v>
      </c>
      <c r="CW38" s="16" t="n">
        <v>0.272727</v>
      </c>
      <c r="CX38" s="16" t="n">
        <v>0.791193</v>
      </c>
      <c r="CY38" s="16" t="n">
        <v>0.09969799999999999</v>
      </c>
      <c r="CZ38" s="16" t="n">
        <v>0.7677850000000001</v>
      </c>
      <c r="DA38" s="16" t="n">
        <v>0.6875</v>
      </c>
      <c r="DB38" s="16" t="n">
        <v>0.889438</v>
      </c>
      <c r="DC38" s="16" t="n">
        <v>0.272727</v>
      </c>
      <c r="DD38" s="16" t="n">
        <v>0.72788</v>
      </c>
      <c r="DE38" s="16" t="n">
        <v>0.09969799999999999</v>
      </c>
      <c r="DF38" s="16" t="n">
        <v>0.6741740000000001</v>
      </c>
      <c r="DG38" s="16" t="n">
        <v>0.6875</v>
      </c>
      <c r="DH38" s="16" t="n">
        <v>0.83666</v>
      </c>
      <c r="DI38" s="16" t="n">
        <v>0.272727</v>
      </c>
      <c r="DJ38" s="16" t="n">
        <v>0.680716</v>
      </c>
      <c r="DK38" s="16" t="n">
        <v>0.09969799999999999</v>
      </c>
      <c r="DL38" s="16" t="n">
        <v>0.636171</v>
      </c>
      <c r="DM38" s="16" t="n">
        <v>0.6875</v>
      </c>
      <c r="DN38" s="16" t="n">
        <v>0.826774</v>
      </c>
      <c r="DO38" s="16" t="n">
        <v>0.272727</v>
      </c>
      <c r="DP38" s="16" t="n">
        <v>0.69975</v>
      </c>
      <c r="DQ38" s="16" t="n">
        <v>0.09969799999999999</v>
      </c>
      <c r="DR38" s="16" t="n">
        <v>0.630399</v>
      </c>
      <c r="DS38" s="16" t="n">
        <v>0.6875</v>
      </c>
      <c r="DT38" s="16" t="n">
        <v>0.813001</v>
      </c>
      <c r="DU38" s="16" t="n">
        <v>0.272727</v>
      </c>
      <c r="DV38" s="16" t="n">
        <v>0.840219</v>
      </c>
      <c r="DW38" s="16" t="n">
        <v>0.09969799999999999</v>
      </c>
      <c r="DX38" s="16" t="n">
        <v>0.720406</v>
      </c>
      <c r="DY38" s="16" t="n">
        <v>0.6875</v>
      </c>
      <c r="DZ38" s="16" t="n">
        <v>0.856362</v>
      </c>
      <c r="EB38" s="16" t="n">
        <v>1016.729935</v>
      </c>
      <c r="EC38" s="16" t="n">
        <v>4734.360878</v>
      </c>
      <c r="ED38" s="16" t="n">
        <v>1280.658961</v>
      </c>
      <c r="EE38" s="16" t="n">
        <v>2046.947027</v>
      </c>
      <c r="EF38" s="16" t="n">
        <v>942.9808389999999</v>
      </c>
      <c r="EG38" s="16" t="n">
        <v>4049.14282</v>
      </c>
      <c r="EH38" s="16" t="n">
        <v>879.449791</v>
      </c>
      <c r="EI38" s="16" t="n">
        <v>3143.410295</v>
      </c>
      <c r="EJ38" s="16" t="n"/>
      <c r="EK38" s="16" t="n"/>
      <c r="EL38" s="16" t="n"/>
      <c r="EM38" s="16" t="n"/>
      <c r="EN38" s="16" t="n">
        <v>1032.970526</v>
      </c>
      <c r="EO38" s="16" t="n">
        <v>4920.880381</v>
      </c>
      <c r="EP38" s="16" t="n"/>
      <c r="EQ38" s="16" t="n"/>
      <c r="ER38" s="16" t="n"/>
      <c r="ES38" s="16" t="n"/>
      <c r="ET38" s="16" t="n"/>
      <c r="EU38" s="16" t="n"/>
    </row>
    <row r="39">
      <c r="BS39" s="16" t="n">
        <v>0.280992</v>
      </c>
      <c r="BT39" s="16" t="n">
        <v>405.397628</v>
      </c>
      <c r="BU39" s="16" t="n">
        <v>0.102719</v>
      </c>
      <c r="BV39" s="16" t="n">
        <v>396.951335</v>
      </c>
      <c r="BW39" s="16" t="n">
        <v>0.708333</v>
      </c>
      <c r="BX39" s="16" t="n">
        <v>482.836987</v>
      </c>
      <c r="BY39" s="16" t="n">
        <v>0.280992</v>
      </c>
      <c r="BZ39" s="16" t="n">
        <v>282.950188</v>
      </c>
      <c r="CA39" s="16" t="n">
        <v>0.102719</v>
      </c>
      <c r="CB39" s="16" t="n">
        <v>281.180041</v>
      </c>
      <c r="CC39" s="16" t="n">
        <v>0.708333</v>
      </c>
      <c r="CD39" s="16" t="n">
        <v>297.620033</v>
      </c>
      <c r="CE39" s="16" t="n">
        <v>0.280992</v>
      </c>
      <c r="CF39" s="16" t="n">
        <v>2967.685565</v>
      </c>
      <c r="CG39" s="16" t="n">
        <v>0.102719</v>
      </c>
      <c r="CH39" s="16" t="n">
        <v>2276.691927</v>
      </c>
      <c r="CI39" s="16" t="n">
        <v>0.708333</v>
      </c>
      <c r="CJ39" s="16" t="n">
        <v>4636.0961</v>
      </c>
      <c r="CK39" s="16" t="n">
        <v>0.280992</v>
      </c>
      <c r="CL39" s="16" t="n">
        <v>983.217522</v>
      </c>
      <c r="CM39" s="16" t="n">
        <v>0.102719</v>
      </c>
      <c r="CN39" s="16" t="n">
        <v>392.400977</v>
      </c>
      <c r="CO39" s="16" t="n">
        <v>0.708333</v>
      </c>
      <c r="CP39" s="16" t="n">
        <v>1098.026135</v>
      </c>
      <c r="CQ39" s="16" t="n">
        <v>0.280992</v>
      </c>
      <c r="CR39" s="16" t="n">
        <v>0.561564</v>
      </c>
      <c r="CS39" s="16" t="n">
        <v>0.102719</v>
      </c>
      <c r="CT39" s="16" t="n">
        <v>0.55259</v>
      </c>
      <c r="CU39" s="16" t="n">
        <v>0.708333</v>
      </c>
      <c r="CV39" s="16" t="n">
        <v>0.774591</v>
      </c>
      <c r="CW39" s="16" t="n">
        <v>0.280992</v>
      </c>
      <c r="CX39" s="16" t="n">
        <v>0.792095</v>
      </c>
      <c r="CY39" s="16" t="n">
        <v>0.102719</v>
      </c>
      <c r="CZ39" s="16" t="n">
        <v>0.767954</v>
      </c>
      <c r="DA39" s="16" t="n">
        <v>0.708333</v>
      </c>
      <c r="DB39" s="16" t="n">
        <v>0.891111</v>
      </c>
      <c r="DC39" s="16" t="n">
        <v>0.280992</v>
      </c>
      <c r="DD39" s="16" t="n">
        <v>0.730311</v>
      </c>
      <c r="DE39" s="16" t="n">
        <v>0.102719</v>
      </c>
      <c r="DF39" s="16" t="n">
        <v>0.674453</v>
      </c>
      <c r="DG39" s="16" t="n">
        <v>0.708333</v>
      </c>
      <c r="DH39" s="16" t="n">
        <v>0.849349</v>
      </c>
      <c r="DI39" s="16" t="n">
        <v>0.280992</v>
      </c>
      <c r="DJ39" s="16" t="n">
        <v>0.6902239999999999</v>
      </c>
      <c r="DK39" s="16" t="n">
        <v>0.102719</v>
      </c>
      <c r="DL39" s="16" t="n">
        <v>0.636497</v>
      </c>
      <c r="DM39" s="16" t="n">
        <v>0.708333</v>
      </c>
      <c r="DN39" s="16" t="n">
        <v>0.8370610000000001</v>
      </c>
      <c r="DO39" s="16" t="n">
        <v>0.280992</v>
      </c>
      <c r="DP39" s="16" t="n">
        <v>0.701159</v>
      </c>
      <c r="DQ39" s="16" t="n">
        <v>0.102719</v>
      </c>
      <c r="DR39" s="16" t="n">
        <v>0.630867</v>
      </c>
      <c r="DS39" s="16" t="n">
        <v>0.708333</v>
      </c>
      <c r="DT39" s="16" t="n">
        <v>0.816795</v>
      </c>
      <c r="DU39" s="16" t="n">
        <v>0.280992</v>
      </c>
      <c r="DV39" s="16" t="n">
        <v>0.841546</v>
      </c>
      <c r="DW39" s="16" t="n">
        <v>0.102719</v>
      </c>
      <c r="DX39" s="16" t="n">
        <v>0.720866</v>
      </c>
      <c r="DY39" s="16" t="n">
        <v>0.708333</v>
      </c>
      <c r="DZ39" s="16" t="n">
        <v>0.865151</v>
      </c>
      <c r="EB39" s="16" t="n">
        <v>1224.949697</v>
      </c>
      <c r="EC39" s="16" t="n">
        <v>3353.234678</v>
      </c>
      <c r="ED39" s="16" t="n">
        <v>1150.635833</v>
      </c>
      <c r="EE39" s="16" t="n">
        <v>3834.173673</v>
      </c>
      <c r="EF39" s="16" t="n">
        <v>581.284016</v>
      </c>
      <c r="EG39" s="16" t="n">
        <v>2531.47284</v>
      </c>
      <c r="EH39" s="16" t="n">
        <v>351.515245</v>
      </c>
      <c r="EI39" s="16" t="n">
        <v>2506.836027</v>
      </c>
      <c r="EJ39" s="16" t="n"/>
      <c r="EK39" s="16" t="n"/>
      <c r="EL39" s="16" t="n"/>
      <c r="EM39" s="16" t="n"/>
      <c r="EN39" s="16" t="n">
        <v>1341.7972</v>
      </c>
      <c r="EO39" s="16" t="n">
        <v>4593.339295</v>
      </c>
      <c r="EP39" s="16" t="n"/>
      <c r="EQ39" s="16" t="n"/>
      <c r="ER39" s="16" t="n"/>
      <c r="ES39" s="16" t="n"/>
      <c r="ET39" s="16" t="n"/>
      <c r="EU39" s="16" t="n"/>
    </row>
    <row r="40">
      <c r="BS40" s="16" t="n">
        <v>0.289256</v>
      </c>
      <c r="BT40" s="16" t="n">
        <v>405.664301</v>
      </c>
      <c r="BU40" s="16" t="n">
        <v>0.10574</v>
      </c>
      <c r="BV40" s="16" t="n">
        <v>398.040279</v>
      </c>
      <c r="BW40" s="16" t="n">
        <v>0.729167</v>
      </c>
      <c r="BX40" s="16" t="n">
        <v>484.106704</v>
      </c>
      <c r="BY40" s="16" t="n">
        <v>0.289256</v>
      </c>
      <c r="BZ40" s="16" t="n">
        <v>282.953086</v>
      </c>
      <c r="CA40" s="16" t="n">
        <v>0.10574</v>
      </c>
      <c r="CB40" s="16" t="n">
        <v>281.429637</v>
      </c>
      <c r="CC40" s="16" t="n">
        <v>0.729167</v>
      </c>
      <c r="CD40" s="16" t="n">
        <v>297.655623</v>
      </c>
      <c r="CE40" s="16" t="n">
        <v>0.289256</v>
      </c>
      <c r="CF40" s="16" t="n">
        <v>3001.01475</v>
      </c>
      <c r="CG40" s="16" t="n">
        <v>0.10574</v>
      </c>
      <c r="CH40" s="16" t="n">
        <v>2291.885312</v>
      </c>
      <c r="CI40" s="16" t="n">
        <v>0.729167</v>
      </c>
      <c r="CJ40" s="16" t="n">
        <v>4652.959295</v>
      </c>
      <c r="CK40" s="16" t="n">
        <v>0.289256</v>
      </c>
      <c r="CL40" s="16" t="n">
        <v>1004.77319</v>
      </c>
      <c r="CM40" s="16" t="n">
        <v>0.10574</v>
      </c>
      <c r="CN40" s="16" t="n">
        <v>395.240242</v>
      </c>
      <c r="CO40" s="16" t="n">
        <v>0.729167</v>
      </c>
      <c r="CP40" s="16" t="n">
        <v>1125.918557</v>
      </c>
      <c r="CQ40" s="16" t="n">
        <v>0.289256</v>
      </c>
      <c r="CR40" s="16" t="n">
        <v>0.567055</v>
      </c>
      <c r="CS40" s="16" t="n">
        <v>0.10574</v>
      </c>
      <c r="CT40" s="16" t="n">
        <v>0.553477</v>
      </c>
      <c r="CU40" s="16" t="n">
        <v>0.729167</v>
      </c>
      <c r="CV40" s="16" t="n">
        <v>0.776186</v>
      </c>
      <c r="CW40" s="16" t="n">
        <v>0.289256</v>
      </c>
      <c r="CX40" s="16" t="n">
        <v>0.794053</v>
      </c>
      <c r="CY40" s="16" t="n">
        <v>0.10574</v>
      </c>
      <c r="CZ40" s="16" t="n">
        <v>0.768082</v>
      </c>
      <c r="DA40" s="16" t="n">
        <v>0.729167</v>
      </c>
      <c r="DB40" s="16" t="n">
        <v>0.89172</v>
      </c>
      <c r="DC40" s="16" t="n">
        <v>0.289256</v>
      </c>
      <c r="DD40" s="16" t="n">
        <v>0.734324</v>
      </c>
      <c r="DE40" s="16" t="n">
        <v>0.10574</v>
      </c>
      <c r="DF40" s="16" t="n">
        <v>0.675743</v>
      </c>
      <c r="DG40" s="16" t="n">
        <v>0.729167</v>
      </c>
      <c r="DH40" s="16" t="n">
        <v>0.85447</v>
      </c>
      <c r="DI40" s="16" t="n">
        <v>0.289256</v>
      </c>
      <c r="DJ40" s="16" t="n">
        <v>0.690851</v>
      </c>
      <c r="DK40" s="16" t="n">
        <v>0.10574</v>
      </c>
      <c r="DL40" s="16" t="n">
        <v>0.637384</v>
      </c>
      <c r="DM40" s="16" t="n">
        <v>0.729167</v>
      </c>
      <c r="DN40" s="16" t="n">
        <v>0.844851</v>
      </c>
      <c r="DO40" s="16" t="n">
        <v>0.289256</v>
      </c>
      <c r="DP40" s="16" t="n">
        <v>0.708933</v>
      </c>
      <c r="DQ40" s="16" t="n">
        <v>0.10574</v>
      </c>
      <c r="DR40" s="16" t="n">
        <v>0.631661</v>
      </c>
      <c r="DS40" s="16" t="n">
        <v>0.729167</v>
      </c>
      <c r="DT40" s="16" t="n">
        <v>0.826585</v>
      </c>
      <c r="DU40" s="16" t="n">
        <v>0.289256</v>
      </c>
      <c r="DV40" s="16" t="n">
        <v>0.841826</v>
      </c>
      <c r="DW40" s="16" t="n">
        <v>0.10574</v>
      </c>
      <c r="DX40" s="16" t="n">
        <v>0.721895</v>
      </c>
      <c r="DY40" s="16" t="n">
        <v>0.729167</v>
      </c>
      <c r="DZ40" s="16" t="n">
        <v>0.865645</v>
      </c>
      <c r="EB40" s="16" t="n">
        <v>1074.270243</v>
      </c>
      <c r="EC40" s="16" t="n">
        <v>3635.642215</v>
      </c>
      <c r="ED40" s="16" t="n">
        <v>1413.172396</v>
      </c>
      <c r="EE40" s="16" t="n">
        <v>3876.840931</v>
      </c>
      <c r="EF40" s="16" t="n">
        <v>1021.922961</v>
      </c>
      <c r="EG40" s="16" t="n">
        <v>3808.049393</v>
      </c>
      <c r="EH40" s="16" t="n">
        <v>916.063583</v>
      </c>
      <c r="EI40" s="16" t="n">
        <v>2650.571912</v>
      </c>
      <c r="EJ40" s="16" t="n"/>
      <c r="EK40" s="16" t="n"/>
      <c r="EL40" s="16" t="n"/>
      <c r="EM40" s="16" t="n"/>
      <c r="EN40" s="16" t="n">
        <v>472.889016</v>
      </c>
      <c r="EO40" s="16" t="n">
        <v>4079.305131</v>
      </c>
      <c r="EP40" s="16" t="n"/>
      <c r="EQ40" s="16" t="n"/>
      <c r="ER40" s="16" t="n"/>
      <c r="ES40" s="16" t="n"/>
      <c r="ET40" s="16" t="n"/>
      <c r="EU40" s="16" t="n"/>
    </row>
    <row r="41">
      <c r="BS41" s="16" t="n">
        <v>0.297521</v>
      </c>
      <c r="BT41" s="16" t="n">
        <v>406.020898</v>
      </c>
      <c r="BU41" s="16" t="n">
        <v>0.108761</v>
      </c>
      <c r="BV41" s="16" t="n">
        <v>398.375804</v>
      </c>
      <c r="BW41" s="16" t="n">
        <v>0.75</v>
      </c>
      <c r="BX41" s="16" t="n">
        <v>485.472226</v>
      </c>
      <c r="BY41" s="16" t="n">
        <v>0.297521</v>
      </c>
      <c r="BZ41" s="16" t="n">
        <v>282.985311</v>
      </c>
      <c r="CA41" s="16" t="n">
        <v>0.108761</v>
      </c>
      <c r="CB41" s="16" t="n">
        <v>281.465776</v>
      </c>
      <c r="CC41" s="16" t="n">
        <v>0.75</v>
      </c>
      <c r="CD41" s="16" t="n">
        <v>298.035699</v>
      </c>
      <c r="CE41" s="16" t="n">
        <v>0.297521</v>
      </c>
      <c r="CF41" s="16" t="n">
        <v>3160.356417</v>
      </c>
      <c r="CG41" s="16" t="n">
        <v>0.108761</v>
      </c>
      <c r="CH41" s="16" t="n">
        <v>2300.853525</v>
      </c>
      <c r="CI41" s="16" t="n">
        <v>0.75</v>
      </c>
      <c r="CJ41" s="16" t="n">
        <v>4669.085636</v>
      </c>
      <c r="CK41" s="16" t="n">
        <v>0.297521</v>
      </c>
      <c r="CL41" s="16" t="n">
        <v>1016.729935</v>
      </c>
      <c r="CM41" s="16" t="n">
        <v>0.108761</v>
      </c>
      <c r="CN41" s="16" t="n">
        <v>400.274644</v>
      </c>
      <c r="CO41" s="16" t="n">
        <v>0.75</v>
      </c>
      <c r="CP41" s="16" t="n">
        <v>1129.377489</v>
      </c>
      <c r="CQ41" s="16" t="n">
        <v>0.297521</v>
      </c>
      <c r="CR41" s="16" t="n">
        <v>0.569882</v>
      </c>
      <c r="CS41" s="16" t="n">
        <v>0.108761</v>
      </c>
      <c r="CT41" s="16" t="n">
        <v>0.5545949999999999</v>
      </c>
      <c r="CU41" s="16" t="n">
        <v>0.75</v>
      </c>
      <c r="CV41" s="16" t="n">
        <v>0.787188</v>
      </c>
      <c r="CW41" s="16" t="n">
        <v>0.297521</v>
      </c>
      <c r="CX41" s="16" t="n">
        <v>0.7954</v>
      </c>
      <c r="CY41" s="16" t="n">
        <v>0.108761</v>
      </c>
      <c r="CZ41" s="16" t="n">
        <v>0.7682639999999999</v>
      </c>
      <c r="DA41" s="16" t="n">
        <v>0.75</v>
      </c>
      <c r="DB41" s="16" t="n">
        <v>0.894388</v>
      </c>
      <c r="DC41" s="16" t="n">
        <v>0.297521</v>
      </c>
      <c r="DD41" s="16" t="n">
        <v>0.738175</v>
      </c>
      <c r="DE41" s="16" t="n">
        <v>0.108761</v>
      </c>
      <c r="DF41" s="16" t="n">
        <v>0.676153</v>
      </c>
      <c r="DG41" s="16" t="n">
        <v>0.75</v>
      </c>
      <c r="DH41" s="16" t="n">
        <v>0.858477</v>
      </c>
      <c r="DI41" s="16" t="n">
        <v>0.297521</v>
      </c>
      <c r="DJ41" s="16" t="n">
        <v>0.691113</v>
      </c>
      <c r="DK41" s="16" t="n">
        <v>0.108761</v>
      </c>
      <c r="DL41" s="16" t="n">
        <v>0.639791</v>
      </c>
      <c r="DM41" s="16" t="n">
        <v>0.75</v>
      </c>
      <c r="DN41" s="16" t="n">
        <v>0.8464970000000001</v>
      </c>
      <c r="DO41" s="16" t="n">
        <v>0.297521</v>
      </c>
      <c r="DP41" s="16" t="n">
        <v>0.7103159999999999</v>
      </c>
      <c r="DQ41" s="16" t="n">
        <v>0.108761</v>
      </c>
      <c r="DR41" s="16" t="n">
        <v>0.631807</v>
      </c>
      <c r="DS41" s="16" t="n">
        <v>0.75</v>
      </c>
      <c r="DT41" s="16" t="n">
        <v>0.832462</v>
      </c>
      <c r="DU41" s="16" t="n">
        <v>0.297521</v>
      </c>
      <c r="DV41" s="16" t="n">
        <v>0.849489</v>
      </c>
      <c r="DW41" s="16" t="n">
        <v>0.108761</v>
      </c>
      <c r="DX41" s="16" t="n">
        <v>0.722014</v>
      </c>
      <c r="DY41" s="16" t="n">
        <v>0.75</v>
      </c>
      <c r="DZ41" s="16" t="n">
        <v>0.866613</v>
      </c>
      <c r="EB41" s="16" t="n">
        <v>946.088333</v>
      </c>
      <c r="EC41" s="16" t="n">
        <v>3985.967693</v>
      </c>
      <c r="ED41" s="16" t="n">
        <v>769.12351</v>
      </c>
      <c r="EE41" s="16" t="n">
        <v>3199.684547</v>
      </c>
      <c r="EF41" s="16" t="n">
        <v>1068.728721</v>
      </c>
      <c r="EG41" s="16" t="n">
        <v>3155.202145</v>
      </c>
      <c r="EH41" s="16" t="n">
        <v>1410.701913</v>
      </c>
      <c r="EI41" s="16" t="n">
        <v>2915.52602</v>
      </c>
      <c r="EJ41" s="16" t="n"/>
      <c r="EK41" s="16" t="n"/>
      <c r="EL41" s="16" t="n"/>
      <c r="EM41" s="16" t="n"/>
      <c r="EN41" s="16" t="n"/>
      <c r="EO41" s="16" t="n"/>
      <c r="EP41" s="16" t="n"/>
      <c r="EQ41" s="16" t="n"/>
      <c r="ER41" s="16" t="n"/>
      <c r="ES41" s="16" t="n"/>
      <c r="ET41" s="16" t="n"/>
      <c r="EU41" s="16" t="n"/>
    </row>
    <row r="42">
      <c r="BS42" s="16" t="n">
        <v>0.305785</v>
      </c>
      <c r="BT42" s="16" t="n">
        <v>406.670009</v>
      </c>
      <c r="BU42" s="16" t="n">
        <v>0.111782</v>
      </c>
      <c r="BV42" s="16" t="n">
        <v>398.533516</v>
      </c>
      <c r="BW42" s="16" t="n">
        <v>0.770833</v>
      </c>
      <c r="BX42" s="16" t="n">
        <v>486.55524</v>
      </c>
      <c r="BY42" s="16" t="n">
        <v>0.305785</v>
      </c>
      <c r="BZ42" s="16" t="n">
        <v>283.092002</v>
      </c>
      <c r="CA42" s="16" t="n">
        <v>0.111782</v>
      </c>
      <c r="CB42" s="16" t="n">
        <v>281.715918</v>
      </c>
      <c r="CC42" s="16" t="n">
        <v>0.770833</v>
      </c>
      <c r="CD42" s="16" t="n">
        <v>298.475232</v>
      </c>
      <c r="CE42" s="16" t="n">
        <v>0.305785</v>
      </c>
      <c r="CF42" s="16" t="n">
        <v>3175.483334</v>
      </c>
      <c r="CG42" s="16" t="n">
        <v>0.111782</v>
      </c>
      <c r="CH42" s="16" t="n">
        <v>2303.173148</v>
      </c>
      <c r="CI42" s="16" t="n">
        <v>0.770833</v>
      </c>
      <c r="CJ42" s="16" t="n">
        <v>4672.048749</v>
      </c>
      <c r="CK42" s="16" t="n">
        <v>0.305785</v>
      </c>
      <c r="CL42" s="16" t="n">
        <v>1026.519909</v>
      </c>
      <c r="CM42" s="16" t="n">
        <v>0.111782</v>
      </c>
      <c r="CN42" s="16" t="n">
        <v>401.850244</v>
      </c>
      <c r="CO42" s="16" t="n">
        <v>0.770833</v>
      </c>
      <c r="CP42" s="16" t="n">
        <v>1176.425328</v>
      </c>
      <c r="CQ42" s="16" t="n">
        <v>0.305785</v>
      </c>
      <c r="CR42" s="16" t="n">
        <v>0.5703549999999999</v>
      </c>
      <c r="CS42" s="16" t="n">
        <v>0.111782</v>
      </c>
      <c r="CT42" s="16" t="n">
        <v>0.555729</v>
      </c>
      <c r="CU42" s="16" t="n">
        <v>0.770833</v>
      </c>
      <c r="CV42" s="16" t="n">
        <v>0.788597</v>
      </c>
      <c r="CW42" s="16" t="n">
        <v>0.305785</v>
      </c>
      <c r="CX42" s="16" t="n">
        <v>0.796504</v>
      </c>
      <c r="CY42" s="16" t="n">
        <v>0.111782</v>
      </c>
      <c r="CZ42" s="16" t="n">
        <v>0.769035</v>
      </c>
      <c r="DA42" s="16" t="n">
        <v>0.770833</v>
      </c>
      <c r="DB42" s="16" t="n">
        <v>0.898856</v>
      </c>
      <c r="DC42" s="16" t="n">
        <v>0.305785</v>
      </c>
      <c r="DD42" s="16" t="n">
        <v>0.739762</v>
      </c>
      <c r="DE42" s="16" t="n">
        <v>0.111782</v>
      </c>
      <c r="DF42" s="16" t="n">
        <v>0.67719</v>
      </c>
      <c r="DG42" s="16" t="n">
        <v>0.770833</v>
      </c>
      <c r="DH42" s="16" t="n">
        <v>0.860077</v>
      </c>
      <c r="DI42" s="16" t="n">
        <v>0.305785</v>
      </c>
      <c r="DJ42" s="16" t="n">
        <v>0.694307</v>
      </c>
      <c r="DK42" s="16" t="n">
        <v>0.111782</v>
      </c>
      <c r="DL42" s="16" t="n">
        <v>0.640916</v>
      </c>
      <c r="DM42" s="16" t="n">
        <v>0.770833</v>
      </c>
      <c r="DN42" s="16" t="n">
        <v>0.848557</v>
      </c>
      <c r="DO42" s="16" t="n">
        <v>0.305785</v>
      </c>
      <c r="DP42" s="16" t="n">
        <v>0.710835</v>
      </c>
      <c r="DQ42" s="16" t="n">
        <v>0.111782</v>
      </c>
      <c r="DR42" s="16" t="n">
        <v>0.634587</v>
      </c>
      <c r="DS42" s="16" t="n">
        <v>0.770833</v>
      </c>
      <c r="DT42" s="16" t="n">
        <v>0.838981</v>
      </c>
      <c r="DU42" s="16" t="n">
        <v>0.305785</v>
      </c>
      <c r="DV42" s="16" t="n">
        <v>0.851422</v>
      </c>
      <c r="DW42" s="16" t="n">
        <v>0.111782</v>
      </c>
      <c r="DX42" s="16" t="n">
        <v>0.723257</v>
      </c>
      <c r="DY42" s="16" t="n">
        <v>0.770833</v>
      </c>
      <c r="DZ42" s="16" t="n">
        <v>0.868449</v>
      </c>
      <c r="EB42" s="16" t="n">
        <v>691.773401</v>
      </c>
      <c r="EC42" s="16" t="n">
        <v>4312.309607</v>
      </c>
      <c r="ED42" s="16" t="n">
        <v>1184.909451</v>
      </c>
      <c r="EE42" s="16" t="n">
        <v>3539.53135</v>
      </c>
      <c r="EF42" s="16" t="n">
        <v>762.104509</v>
      </c>
      <c r="EG42" s="16" t="n">
        <v>3419.473692</v>
      </c>
      <c r="EH42" s="16" t="n">
        <v>1094.43904</v>
      </c>
      <c r="EI42" s="16" t="n">
        <v>4717.402848</v>
      </c>
      <c r="EJ42" s="16" t="n"/>
      <c r="EK42" s="16" t="n"/>
      <c r="EL42" s="16" t="n"/>
      <c r="EM42" s="16" t="n"/>
      <c r="EN42" s="16" t="n"/>
      <c r="EO42" s="16" t="n"/>
      <c r="EP42" s="16" t="n"/>
      <c r="EQ42" s="16" t="n"/>
      <c r="ER42" s="16" t="n"/>
      <c r="ES42" s="16" t="n"/>
      <c r="ET42" s="16" t="n"/>
      <c r="EU42" s="16" t="n"/>
    </row>
    <row r="43">
      <c r="BS43" s="16" t="n">
        <v>0.31405</v>
      </c>
      <c r="BT43" s="16" t="n">
        <v>407.134042</v>
      </c>
      <c r="BU43" s="16" t="n">
        <v>0.114804</v>
      </c>
      <c r="BV43" s="16" t="n">
        <v>399.455727</v>
      </c>
      <c r="BW43" s="16" t="n">
        <v>0.791667</v>
      </c>
      <c r="BX43" s="16" t="n">
        <v>487.456646</v>
      </c>
      <c r="BY43" s="16" t="n">
        <v>0.31405</v>
      </c>
      <c r="BZ43" s="16" t="n">
        <v>283.353317</v>
      </c>
      <c r="CA43" s="16" t="n">
        <v>0.114804</v>
      </c>
      <c r="CB43" s="16" t="n">
        <v>281.735605</v>
      </c>
      <c r="CC43" s="16" t="n">
        <v>0.791667</v>
      </c>
      <c r="CD43" s="16" t="n">
        <v>298.921655</v>
      </c>
      <c r="CE43" s="16" t="n">
        <v>0.31405</v>
      </c>
      <c r="CF43" s="16" t="n">
        <v>3199.684547</v>
      </c>
      <c r="CG43" s="16" t="n">
        <v>0.114804</v>
      </c>
      <c r="CH43" s="16" t="n">
        <v>2317.767297</v>
      </c>
      <c r="CI43" s="16" t="n">
        <v>0.791667</v>
      </c>
      <c r="CJ43" s="16" t="n">
        <v>4698.781225</v>
      </c>
      <c r="CK43" s="16" t="n">
        <v>0.31405</v>
      </c>
      <c r="CL43" s="16" t="n">
        <v>1030.303378</v>
      </c>
      <c r="CM43" s="16" t="n">
        <v>0.114804</v>
      </c>
      <c r="CN43" s="16" t="n">
        <v>410.51752</v>
      </c>
      <c r="CO43" s="16" t="n">
        <v>0.791667</v>
      </c>
      <c r="CP43" s="16" t="n">
        <v>1208.291032</v>
      </c>
      <c r="CQ43" s="16" t="n">
        <v>0.31405</v>
      </c>
      <c r="CR43" s="16" t="n">
        <v>0.572473</v>
      </c>
      <c r="CS43" s="16" t="n">
        <v>0.114804</v>
      </c>
      <c r="CT43" s="16" t="n">
        <v>0.557271</v>
      </c>
      <c r="CU43" s="16" t="n">
        <v>0.791667</v>
      </c>
      <c r="CV43" s="16" t="n">
        <v>0.7997069999999999</v>
      </c>
      <c r="CW43" s="16" t="n">
        <v>0.31405</v>
      </c>
      <c r="CX43" s="16" t="n">
        <v>0.798953</v>
      </c>
      <c r="CY43" s="16" t="n">
        <v>0.114804</v>
      </c>
      <c r="CZ43" s="16" t="n">
        <v>0.769214</v>
      </c>
      <c r="DA43" s="16" t="n">
        <v>0.791667</v>
      </c>
      <c r="DB43" s="16" t="n">
        <v>0.9015649999999999</v>
      </c>
      <c r="DC43" s="16" t="n">
        <v>0.31405</v>
      </c>
      <c r="DD43" s="16" t="n">
        <v>0.744663</v>
      </c>
      <c r="DE43" s="16" t="n">
        <v>0.114804</v>
      </c>
      <c r="DF43" s="16" t="n">
        <v>0.677311</v>
      </c>
      <c r="DG43" s="16" t="n">
        <v>0.791667</v>
      </c>
      <c r="DH43" s="16" t="n">
        <v>0.863398</v>
      </c>
      <c r="DI43" s="16" t="n">
        <v>0.31405</v>
      </c>
      <c r="DJ43" s="16" t="n">
        <v>0.696619</v>
      </c>
      <c r="DK43" s="16" t="n">
        <v>0.114804</v>
      </c>
      <c r="DL43" s="16" t="n">
        <v>0.641262</v>
      </c>
      <c r="DM43" s="16" t="n">
        <v>0.791667</v>
      </c>
      <c r="DN43" s="16" t="n">
        <v>0.856348</v>
      </c>
      <c r="DO43" s="16" t="n">
        <v>0.31405</v>
      </c>
      <c r="DP43" s="16" t="n">
        <v>0.7198639999999999</v>
      </c>
      <c r="DQ43" s="16" t="n">
        <v>0.114804</v>
      </c>
      <c r="DR43" s="16" t="n">
        <v>0.6354030000000001</v>
      </c>
      <c r="DS43" s="16" t="n">
        <v>0.791667</v>
      </c>
      <c r="DT43" s="16" t="n">
        <v>0.844391</v>
      </c>
      <c r="DU43" s="16" t="n">
        <v>0.31405</v>
      </c>
      <c r="DV43" s="16" t="n">
        <v>0.851585</v>
      </c>
      <c r="DW43" s="16" t="n">
        <v>0.114804</v>
      </c>
      <c r="DX43" s="16" t="n">
        <v>0.723537</v>
      </c>
      <c r="DY43" s="16" t="n">
        <v>0.791667</v>
      </c>
      <c r="DZ43" s="16" t="n">
        <v>0.869613</v>
      </c>
      <c r="EB43" s="16" t="n">
        <v>1274.893548</v>
      </c>
      <c r="EC43" s="16" t="n">
        <v>3272.744306</v>
      </c>
      <c r="ED43" s="16" t="n">
        <v>936.881352</v>
      </c>
      <c r="EE43" s="16" t="n">
        <v>3514.415125</v>
      </c>
      <c r="EF43" s="16" t="n">
        <v>374.369344</v>
      </c>
      <c r="EG43" s="16" t="n">
        <v>2613.48072</v>
      </c>
      <c r="EH43" s="16" t="n">
        <v>457.394422</v>
      </c>
      <c r="EI43" s="16" t="n">
        <v>3836.013418</v>
      </c>
      <c r="EJ43" s="16" t="n"/>
      <c r="EK43" s="16" t="n"/>
      <c r="EL43" s="16" t="n"/>
      <c r="EM43" s="16" t="n"/>
      <c r="EN43" s="16" t="n"/>
      <c r="EO43" s="16" t="n"/>
      <c r="EP43" s="16" t="n"/>
      <c r="EQ43" s="16" t="n"/>
      <c r="ER43" s="16" t="n"/>
      <c r="ES43" s="16" t="n"/>
      <c r="ET43" s="16" t="n"/>
      <c r="EU43" s="16" t="n"/>
    </row>
    <row r="44">
      <c r="BS44" s="16" t="n">
        <v>0.322314</v>
      </c>
      <c r="BT44" s="16" t="n">
        <v>408.174607</v>
      </c>
      <c r="BU44" s="16" t="n">
        <v>0.117825</v>
      </c>
      <c r="BV44" s="16" t="n">
        <v>399.583194</v>
      </c>
      <c r="BW44" s="16" t="n">
        <v>0.8125</v>
      </c>
      <c r="BX44" s="16" t="n">
        <v>488.203548</v>
      </c>
      <c r="BY44" s="16" t="n">
        <v>0.322314</v>
      </c>
      <c r="BZ44" s="16" t="n">
        <v>283.475066</v>
      </c>
      <c r="CA44" s="16" t="n">
        <v>0.117825</v>
      </c>
      <c r="CB44" s="16" t="n">
        <v>281.801808</v>
      </c>
      <c r="CC44" s="16" t="n">
        <v>0.8125</v>
      </c>
      <c r="CD44" s="16" t="n">
        <v>298.950841</v>
      </c>
      <c r="CE44" s="16" t="n">
        <v>0.322314</v>
      </c>
      <c r="CF44" s="16" t="n">
        <v>3203.706481</v>
      </c>
      <c r="CG44" s="16" t="n">
        <v>0.117825</v>
      </c>
      <c r="CH44" s="16" t="n">
        <v>2326.182598</v>
      </c>
      <c r="CI44" s="16" t="n">
        <v>0.8125</v>
      </c>
      <c r="CJ44" s="16" t="n">
        <v>4732.276904</v>
      </c>
      <c r="CK44" s="16" t="n">
        <v>0.322314</v>
      </c>
      <c r="CL44" s="16" t="n">
        <v>1032.654295</v>
      </c>
      <c r="CM44" s="16" t="n">
        <v>0.117825</v>
      </c>
      <c r="CN44" s="16" t="n">
        <v>412.430688</v>
      </c>
      <c r="CO44" s="16" t="n">
        <v>0.8125</v>
      </c>
      <c r="CP44" s="16" t="n">
        <v>1223.327062</v>
      </c>
      <c r="CQ44" s="16" t="n">
        <v>0.322314</v>
      </c>
      <c r="CR44" s="16" t="n">
        <v>0.572793</v>
      </c>
      <c r="CS44" s="16" t="n">
        <v>0.117825</v>
      </c>
      <c r="CT44" s="16" t="n">
        <v>0.557917</v>
      </c>
      <c r="CU44" s="16" t="n">
        <v>0.8125</v>
      </c>
      <c r="CV44" s="16" t="n">
        <v>0.809643</v>
      </c>
      <c r="CW44" s="16" t="n">
        <v>0.322314</v>
      </c>
      <c r="CX44" s="16" t="n">
        <v>0.799694</v>
      </c>
      <c r="CY44" s="16" t="n">
        <v>0.117825</v>
      </c>
      <c r="CZ44" s="16" t="n">
        <v>0.769854</v>
      </c>
      <c r="DA44" s="16" t="n">
        <v>0.8125</v>
      </c>
      <c r="DB44" s="16" t="n">
        <v>0.90241</v>
      </c>
      <c r="DC44" s="16" t="n">
        <v>0.322314</v>
      </c>
      <c r="DD44" s="16" t="n">
        <v>0.746081</v>
      </c>
      <c r="DE44" s="16" t="n">
        <v>0.117825</v>
      </c>
      <c r="DF44" s="16" t="n">
        <v>0.677727</v>
      </c>
      <c r="DG44" s="16" t="n">
        <v>0.8125</v>
      </c>
      <c r="DH44" s="16" t="n">
        <v>0.867877</v>
      </c>
      <c r="DI44" s="16" t="n">
        <v>0.322314</v>
      </c>
      <c r="DJ44" s="16" t="n">
        <v>0.697025</v>
      </c>
      <c r="DK44" s="16" t="n">
        <v>0.117825</v>
      </c>
      <c r="DL44" s="16" t="n">
        <v>0.642525</v>
      </c>
      <c r="DM44" s="16" t="n">
        <v>0.8125</v>
      </c>
      <c r="DN44" s="16" t="n">
        <v>0.861283</v>
      </c>
      <c r="DO44" s="16" t="n">
        <v>0.322314</v>
      </c>
      <c r="DP44" s="16" t="n">
        <v>0.7247400000000001</v>
      </c>
      <c r="DQ44" s="16" t="n">
        <v>0.117825</v>
      </c>
      <c r="DR44" s="16" t="n">
        <v>0.636288</v>
      </c>
      <c r="DS44" s="16" t="n">
        <v>0.8125</v>
      </c>
      <c r="DT44" s="16" t="n">
        <v>0.8466399999999999</v>
      </c>
      <c r="DU44" s="16" t="n">
        <v>0.322314</v>
      </c>
      <c r="DV44" s="16" t="n">
        <v>0.853523</v>
      </c>
      <c r="DW44" s="16" t="n">
        <v>0.117825</v>
      </c>
      <c r="DX44" s="16" t="n">
        <v>0.724065</v>
      </c>
      <c r="DY44" s="16" t="n">
        <v>0.8125</v>
      </c>
      <c r="DZ44" s="16" t="n">
        <v>0.873591</v>
      </c>
      <c r="EB44" s="16" t="n">
        <v>715.198494</v>
      </c>
      <c r="EC44" s="16" t="n">
        <v>4500.932156</v>
      </c>
      <c r="ED44" s="16" t="n"/>
      <c r="EE44" s="16" t="n"/>
      <c r="EF44" s="16" t="n">
        <v>1067.248237</v>
      </c>
      <c r="EG44" s="16" t="n">
        <v>4565.563665</v>
      </c>
      <c r="EH44" s="16" t="n">
        <v>520.211591</v>
      </c>
      <c r="EI44" s="16" t="n">
        <v>3053.239598</v>
      </c>
      <c r="EJ44" s="16" t="n"/>
      <c r="EK44" s="16" t="n"/>
      <c r="EL44" s="16" t="n"/>
      <c r="EM44" s="16" t="n"/>
      <c r="EN44" s="16" t="n"/>
      <c r="EO44" s="16" t="n"/>
      <c r="EP44" s="16" t="n"/>
      <c r="EQ44" s="16" t="n"/>
      <c r="ER44" s="16" t="n"/>
      <c r="ES44" s="16" t="n"/>
      <c r="ET44" s="16" t="n"/>
      <c r="EU44" s="16" t="n"/>
    </row>
    <row r="45">
      <c r="BS45" s="16" t="n">
        <v>0.330579</v>
      </c>
      <c r="BT45" s="16" t="n">
        <v>408.794804</v>
      </c>
      <c r="BU45" s="16" t="n">
        <v>0.120846</v>
      </c>
      <c r="BV45" s="16" t="n">
        <v>400.162589</v>
      </c>
      <c r="BW45" s="16" t="n">
        <v>0.833333</v>
      </c>
      <c r="BX45" s="16" t="n">
        <v>488.572507</v>
      </c>
      <c r="BY45" s="16" t="n">
        <v>0.330579</v>
      </c>
      <c r="BZ45" s="16" t="n">
        <v>283.527628</v>
      </c>
      <c r="CA45" s="16" t="n">
        <v>0.120846</v>
      </c>
      <c r="CB45" s="16" t="n">
        <v>281.847112</v>
      </c>
      <c r="CC45" s="16" t="n">
        <v>0.833333</v>
      </c>
      <c r="CD45" s="16" t="n">
        <v>300.752004</v>
      </c>
      <c r="CE45" s="16" t="n">
        <v>0.330579</v>
      </c>
      <c r="CF45" s="16" t="n">
        <v>3213.426014</v>
      </c>
      <c r="CG45" s="16" t="n">
        <v>0.120846</v>
      </c>
      <c r="CH45" s="16" t="n">
        <v>2329.373722</v>
      </c>
      <c r="CI45" s="16" t="n">
        <v>0.833333</v>
      </c>
      <c r="CJ45" s="16" t="n">
        <v>4762.457995</v>
      </c>
      <c r="CK45" s="16" t="n">
        <v>0.330579</v>
      </c>
      <c r="CL45" s="16" t="n">
        <v>1037.558881</v>
      </c>
      <c r="CM45" s="16" t="n">
        <v>0.120846</v>
      </c>
      <c r="CN45" s="16" t="n">
        <v>417.494183</v>
      </c>
      <c r="CO45" s="16" t="n">
        <v>0.833333</v>
      </c>
      <c r="CP45" s="16" t="n">
        <v>1266.770672</v>
      </c>
      <c r="CQ45" s="16" t="n">
        <v>0.330579</v>
      </c>
      <c r="CR45" s="16" t="n">
        <v>0.575079</v>
      </c>
      <c r="CS45" s="16" t="n">
        <v>0.120846</v>
      </c>
      <c r="CT45" s="16" t="n">
        <v>0.560231</v>
      </c>
      <c r="CU45" s="16" t="n">
        <v>0.833333</v>
      </c>
      <c r="CV45" s="16" t="n">
        <v>0.819221</v>
      </c>
      <c r="CW45" s="16" t="n">
        <v>0.330579</v>
      </c>
      <c r="CX45" s="16" t="n">
        <v>0.80145</v>
      </c>
      <c r="CY45" s="16" t="n">
        <v>0.120846</v>
      </c>
      <c r="CZ45" s="16" t="n">
        <v>0.771082</v>
      </c>
      <c r="DA45" s="16" t="n">
        <v>0.833333</v>
      </c>
      <c r="DB45" s="16" t="n">
        <v>0.902841</v>
      </c>
      <c r="DC45" s="16" t="n">
        <v>0.330579</v>
      </c>
      <c r="DD45" s="16" t="n">
        <v>0.747364</v>
      </c>
      <c r="DE45" s="16" t="n">
        <v>0.120846</v>
      </c>
      <c r="DF45" s="16" t="n">
        <v>0.677875</v>
      </c>
      <c r="DG45" s="16" t="n">
        <v>0.833333</v>
      </c>
      <c r="DH45" s="16" t="n">
        <v>0.871074</v>
      </c>
      <c r="DI45" s="16" t="n">
        <v>0.330579</v>
      </c>
      <c r="DJ45" s="16" t="n">
        <v>0.698178</v>
      </c>
      <c r="DK45" s="16" t="n">
        <v>0.120846</v>
      </c>
      <c r="DL45" s="16" t="n">
        <v>0.644854</v>
      </c>
      <c r="DM45" s="16" t="n">
        <v>0.833333</v>
      </c>
      <c r="DN45" s="16" t="n">
        <v>0.878798</v>
      </c>
      <c r="DO45" s="16" t="n">
        <v>0.330579</v>
      </c>
      <c r="DP45" s="16" t="n">
        <v>0.725433</v>
      </c>
      <c r="DQ45" s="16" t="n">
        <v>0.120846</v>
      </c>
      <c r="DR45" s="16" t="n">
        <v>0.636664</v>
      </c>
      <c r="DS45" s="16" t="n">
        <v>0.833333</v>
      </c>
      <c r="DT45" s="16" t="n">
        <v>0.8645</v>
      </c>
      <c r="DU45" s="16" t="n">
        <v>0.330579</v>
      </c>
      <c r="DV45" s="16" t="n">
        <v>0.855313</v>
      </c>
      <c r="DW45" s="16" t="n">
        <v>0.120846</v>
      </c>
      <c r="DX45" s="16" t="n">
        <v>0.724367</v>
      </c>
      <c r="DY45" s="16" t="n">
        <v>0.833333</v>
      </c>
      <c r="DZ45" s="16" t="n">
        <v>0.885013</v>
      </c>
      <c r="EB45" s="16" t="n">
        <v>1037.558881</v>
      </c>
      <c r="EC45" s="16" t="n">
        <v>4302.369024</v>
      </c>
      <c r="ED45" s="16" t="n"/>
      <c r="EE45" s="16" t="n"/>
      <c r="EF45" s="16" t="n">
        <v>428.45592</v>
      </c>
      <c r="EG45" s="16" t="n">
        <v>2076.588717</v>
      </c>
      <c r="EH45" s="16" t="n">
        <v>400.274644</v>
      </c>
      <c r="EI45" s="16" t="n">
        <v>2248.475597</v>
      </c>
      <c r="EJ45" s="16" t="n"/>
      <c r="EK45" s="16" t="n"/>
      <c r="EL45" s="16" t="n"/>
      <c r="EM45" s="16" t="n"/>
      <c r="EN45" s="16" t="n"/>
      <c r="EO45" s="16" t="n"/>
      <c r="EP45" s="16" t="n"/>
      <c r="EQ45" s="16" t="n"/>
      <c r="ER45" s="16" t="n"/>
      <c r="ES45" s="16" t="n"/>
      <c r="ET45" s="16" t="n"/>
      <c r="EU45" s="16" t="n"/>
    </row>
    <row r="46">
      <c r="BS46" s="16" t="n">
        <v>0.338843</v>
      </c>
      <c r="BT46" s="16" t="n">
        <v>409.10403</v>
      </c>
      <c r="BU46" s="16" t="n">
        <v>0.123867</v>
      </c>
      <c r="BV46" s="16" t="n">
        <v>400.704299</v>
      </c>
      <c r="BW46" s="16" t="n">
        <v>0.854167</v>
      </c>
      <c r="BX46" s="16" t="n">
        <v>489.683379</v>
      </c>
      <c r="BY46" s="16" t="n">
        <v>0.338843</v>
      </c>
      <c r="BZ46" s="16" t="n">
        <v>283.737719</v>
      </c>
      <c r="CA46" s="16" t="n">
        <v>0.123867</v>
      </c>
      <c r="CB46" s="16" t="n">
        <v>281.951019</v>
      </c>
      <c r="CC46" s="16" t="n">
        <v>0.854167</v>
      </c>
      <c r="CD46" s="16" t="n">
        <v>300.907831</v>
      </c>
      <c r="CE46" s="16" t="n">
        <v>0.338843</v>
      </c>
      <c r="CF46" s="16" t="n">
        <v>3253.987856</v>
      </c>
      <c r="CG46" s="16" t="n">
        <v>0.123867</v>
      </c>
      <c r="CH46" s="16" t="n">
        <v>2333.09297</v>
      </c>
      <c r="CI46" s="16" t="n">
        <v>0.854167</v>
      </c>
      <c r="CJ46" s="16" t="n">
        <v>4784.510603</v>
      </c>
      <c r="CK46" s="16" t="n">
        <v>0.338843</v>
      </c>
      <c r="CL46" s="16" t="n">
        <v>1047.092194</v>
      </c>
      <c r="CM46" s="16" t="n">
        <v>0.123867</v>
      </c>
      <c r="CN46" s="16" t="n">
        <v>419.458252</v>
      </c>
      <c r="CO46" s="16" t="n">
        <v>0.854167</v>
      </c>
      <c r="CP46" s="16" t="n">
        <v>1280.721496</v>
      </c>
      <c r="CQ46" s="16" t="n">
        <v>0.338843</v>
      </c>
      <c r="CR46" s="16" t="n">
        <v>0.576489</v>
      </c>
      <c r="CS46" s="16" t="n">
        <v>0.123867</v>
      </c>
      <c r="CT46" s="16" t="n">
        <v>0.56091</v>
      </c>
      <c r="CU46" s="16" t="n">
        <v>0.854167</v>
      </c>
      <c r="CV46" s="16" t="n">
        <v>0.822136</v>
      </c>
      <c r="CW46" s="16" t="n">
        <v>0.338843</v>
      </c>
      <c r="CX46" s="16" t="n">
        <v>0.801803</v>
      </c>
      <c r="CY46" s="16" t="n">
        <v>0.123867</v>
      </c>
      <c r="CZ46" s="16" t="n">
        <v>0.77169</v>
      </c>
      <c r="DA46" s="16" t="n">
        <v>0.854167</v>
      </c>
      <c r="DB46" s="16" t="n">
        <v>0.902896</v>
      </c>
      <c r="DC46" s="16" t="n">
        <v>0.338843</v>
      </c>
      <c r="DD46" s="16" t="n">
        <v>0.748907</v>
      </c>
      <c r="DE46" s="16" t="n">
        <v>0.123867</v>
      </c>
      <c r="DF46" s="16" t="n">
        <v>0.678898</v>
      </c>
      <c r="DG46" s="16" t="n">
        <v>0.854167</v>
      </c>
      <c r="DH46" s="16" t="n">
        <v>0.873427</v>
      </c>
      <c r="DI46" s="16" t="n">
        <v>0.338843</v>
      </c>
      <c r="DJ46" s="16" t="n">
        <v>0.7047600000000001</v>
      </c>
      <c r="DK46" s="16" t="n">
        <v>0.123867</v>
      </c>
      <c r="DL46" s="16" t="n">
        <v>0.645516</v>
      </c>
      <c r="DM46" s="16" t="n">
        <v>0.854167</v>
      </c>
      <c r="DN46" s="16" t="n">
        <v>0.881087</v>
      </c>
      <c r="DO46" s="16" t="n">
        <v>0.338843</v>
      </c>
      <c r="DP46" s="16" t="n">
        <v>0.7277439999999999</v>
      </c>
      <c r="DQ46" s="16" t="n">
        <v>0.123867</v>
      </c>
      <c r="DR46" s="16" t="n">
        <v>0.637341</v>
      </c>
      <c r="DS46" s="16" t="n">
        <v>0.854167</v>
      </c>
      <c r="DT46" s="16" t="n">
        <v>0.879013</v>
      </c>
      <c r="DU46" s="16" t="n">
        <v>0.338843</v>
      </c>
      <c r="DV46" s="16" t="n">
        <v>0.856939</v>
      </c>
      <c r="DW46" s="16" t="n">
        <v>0.123867</v>
      </c>
      <c r="DX46" s="16" t="n">
        <v>0.724644</v>
      </c>
      <c r="DY46" s="16" t="n">
        <v>0.854167</v>
      </c>
      <c r="DZ46" s="16" t="n">
        <v>0.90967</v>
      </c>
      <c r="EB46" s="16" t="n">
        <v>1336.435912</v>
      </c>
      <c r="EC46" s="16" t="n">
        <v>3262.87677</v>
      </c>
      <c r="ED46" s="16" t="n"/>
      <c r="EE46" s="16" t="n"/>
      <c r="EF46" s="16" t="n">
        <v>722.856354</v>
      </c>
      <c r="EG46" s="16" t="n">
        <v>3080.402221</v>
      </c>
      <c r="EH46" s="16" t="n">
        <v>967.342543</v>
      </c>
      <c r="EI46" s="16" t="n">
        <v>3755.380376</v>
      </c>
      <c r="EJ46" s="16" t="n"/>
      <c r="EK46" s="16" t="n"/>
      <c r="EL46" s="16" t="n"/>
      <c r="EM46" s="16" t="n"/>
      <c r="EN46" s="16" t="n"/>
      <c r="EO46" s="16" t="n"/>
      <c r="EP46" s="16" t="n"/>
      <c r="EQ46" s="16" t="n"/>
      <c r="ER46" s="16" t="n"/>
      <c r="ES46" s="16" t="n"/>
      <c r="ET46" s="16" t="n"/>
      <c r="EU46" s="16" t="n"/>
    </row>
    <row r="47">
      <c r="BS47" s="16" t="n">
        <v>0.347107</v>
      </c>
      <c r="BT47" s="16" t="n">
        <v>409.354642</v>
      </c>
      <c r="BU47" s="16" t="n">
        <v>0.126888</v>
      </c>
      <c r="BV47" s="16" t="n">
        <v>400.857473</v>
      </c>
      <c r="BW47" s="16" t="n">
        <v>0.875</v>
      </c>
      <c r="BX47" s="16" t="n">
        <v>491.114994</v>
      </c>
      <c r="BY47" s="16" t="n">
        <v>0.347107</v>
      </c>
      <c r="BZ47" s="16" t="n">
        <v>284.007297</v>
      </c>
      <c r="CA47" s="16" t="n">
        <v>0.126888</v>
      </c>
      <c r="CB47" s="16" t="n">
        <v>282.209559</v>
      </c>
      <c r="CC47" s="16" t="n">
        <v>0.875</v>
      </c>
      <c r="CD47" s="16" t="n">
        <v>301.339095</v>
      </c>
      <c r="CE47" s="16" t="n">
        <v>0.347107</v>
      </c>
      <c r="CF47" s="16" t="n">
        <v>3262.87677</v>
      </c>
      <c r="CG47" s="16" t="n">
        <v>0.126888</v>
      </c>
      <c r="CH47" s="16" t="n">
        <v>2335.075359</v>
      </c>
      <c r="CI47" s="16" t="n">
        <v>0.875</v>
      </c>
      <c r="CJ47" s="16" t="n">
        <v>4792.74214</v>
      </c>
      <c r="CK47" s="16" t="n">
        <v>0.347107</v>
      </c>
      <c r="CL47" s="16" t="n">
        <v>1049.983715</v>
      </c>
      <c r="CM47" s="16" t="n">
        <v>0.126888</v>
      </c>
      <c r="CN47" s="16" t="n">
        <v>420.191071</v>
      </c>
      <c r="CO47" s="16" t="n">
        <v>0.875</v>
      </c>
      <c r="CP47" s="16" t="n">
        <v>1296.884032</v>
      </c>
      <c r="CQ47" s="16" t="n">
        <v>0.347107</v>
      </c>
      <c r="CR47" s="16" t="n">
        <v>0.578136</v>
      </c>
      <c r="CS47" s="16" t="n">
        <v>0.126888</v>
      </c>
      <c r="CT47" s="16" t="n">
        <v>0.562562</v>
      </c>
      <c r="CU47" s="16" t="n">
        <v>0.875</v>
      </c>
      <c r="CV47" s="16" t="n">
        <v>0.82957</v>
      </c>
      <c r="CW47" s="16" t="n">
        <v>0.347107</v>
      </c>
      <c r="CX47" s="16" t="n">
        <v>0.803623</v>
      </c>
      <c r="CY47" s="16" t="n">
        <v>0.126888</v>
      </c>
      <c r="CZ47" s="16" t="n">
        <v>0.7726460000000001</v>
      </c>
      <c r="DA47" s="16" t="n">
        <v>0.875</v>
      </c>
      <c r="DB47" s="16" t="n">
        <v>0.905229</v>
      </c>
      <c r="DC47" s="16" t="n">
        <v>0.347107</v>
      </c>
      <c r="DD47" s="16" t="n">
        <v>0.749422</v>
      </c>
      <c r="DE47" s="16" t="n">
        <v>0.126888</v>
      </c>
      <c r="DF47" s="16" t="n">
        <v>0.679418</v>
      </c>
      <c r="DG47" s="16" t="n">
        <v>0.875</v>
      </c>
      <c r="DH47" s="16" t="n">
        <v>0.87346</v>
      </c>
      <c r="DI47" s="16" t="n">
        <v>0.347107</v>
      </c>
      <c r="DJ47" s="16" t="n">
        <v>0.705746</v>
      </c>
      <c r="DK47" s="16" t="n">
        <v>0.126888</v>
      </c>
      <c r="DL47" s="16" t="n">
        <v>0.646723</v>
      </c>
      <c r="DM47" s="16" t="n">
        <v>0.875</v>
      </c>
      <c r="DN47" s="16" t="n">
        <v>0.881291</v>
      </c>
      <c r="DO47" s="16" t="n">
        <v>0.347107</v>
      </c>
      <c r="DP47" s="16" t="n">
        <v>0.729973</v>
      </c>
      <c r="DQ47" s="16" t="n">
        <v>0.126888</v>
      </c>
      <c r="DR47" s="16" t="n">
        <v>0.637648</v>
      </c>
      <c r="DS47" s="16" t="n">
        <v>0.875</v>
      </c>
      <c r="DT47" s="16" t="n">
        <v>0.895568</v>
      </c>
      <c r="DU47" s="16" t="n">
        <v>0.347107</v>
      </c>
      <c r="DV47" s="16" t="n">
        <v>0.857661</v>
      </c>
      <c r="DW47" s="16" t="n">
        <v>0.126888</v>
      </c>
      <c r="DX47" s="16" t="n">
        <v>0.725212</v>
      </c>
      <c r="DY47" s="16" t="n">
        <v>0.875</v>
      </c>
      <c r="DZ47" s="16" t="n">
        <v>0.91009</v>
      </c>
      <c r="EB47" s="16" t="n">
        <v>1200.548313</v>
      </c>
      <c r="EC47" s="16" t="n">
        <v>3175.483334</v>
      </c>
      <c r="ED47" s="16" t="n"/>
      <c r="EE47" s="16" t="n"/>
      <c r="EF47" s="16" t="n">
        <v>444.464829</v>
      </c>
      <c r="EG47" s="16" t="n">
        <v>3114.297462</v>
      </c>
      <c r="EH47" s="16" t="n">
        <v>778.498255</v>
      </c>
      <c r="EI47" s="16" t="n">
        <v>4470.329703</v>
      </c>
      <c r="EJ47" s="16" t="n"/>
      <c r="EK47" s="16" t="n"/>
      <c r="EL47" s="16" t="n"/>
      <c r="EM47" s="16" t="n"/>
      <c r="EN47" s="16" t="n"/>
      <c r="EO47" s="16" t="n"/>
      <c r="EP47" s="16" t="n"/>
      <c r="EQ47" s="16" t="n"/>
      <c r="ER47" s="16" t="n"/>
      <c r="ES47" s="16" t="n"/>
      <c r="ET47" s="16" t="n"/>
      <c r="EU47" s="16" t="n"/>
    </row>
    <row r="48">
      <c r="BS48" s="16" t="n">
        <v>0.355372</v>
      </c>
      <c r="BT48" s="16" t="n">
        <v>409.726657</v>
      </c>
      <c r="BU48" s="16" t="n">
        <v>0.129909</v>
      </c>
      <c r="BV48" s="16" t="n">
        <v>401.551759</v>
      </c>
      <c r="BW48" s="16" t="n">
        <v>0.895833</v>
      </c>
      <c r="BX48" s="16" t="n">
        <v>492.97264</v>
      </c>
      <c r="BY48" s="16" t="n">
        <v>0.355372</v>
      </c>
      <c r="BZ48" s="16" t="n">
        <v>284.090098</v>
      </c>
      <c r="CA48" s="16" t="n">
        <v>0.129909</v>
      </c>
      <c r="CB48" s="16" t="n">
        <v>282.267098</v>
      </c>
      <c r="CC48" s="16" t="n">
        <v>0.895833</v>
      </c>
      <c r="CD48" s="16" t="n">
        <v>301.518097</v>
      </c>
      <c r="CE48" s="16" t="n">
        <v>0.355372</v>
      </c>
      <c r="CF48" s="16" t="n">
        <v>3272.744306</v>
      </c>
      <c r="CG48" s="16" t="n">
        <v>0.129909</v>
      </c>
      <c r="CH48" s="16" t="n">
        <v>2342.03879</v>
      </c>
      <c r="CI48" s="16" t="n">
        <v>0.895833</v>
      </c>
      <c r="CJ48" s="16" t="n">
        <v>4808.625812</v>
      </c>
      <c r="CK48" s="16" t="n">
        <v>0.355372</v>
      </c>
      <c r="CL48" s="16" t="n">
        <v>1054.159717</v>
      </c>
      <c r="CM48" s="16" t="n">
        <v>0.129909</v>
      </c>
      <c r="CN48" s="16" t="n">
        <v>420.327283</v>
      </c>
      <c r="CO48" s="16" t="n">
        <v>0.895833</v>
      </c>
      <c r="CP48" s="16" t="n">
        <v>1341.7972</v>
      </c>
      <c r="CQ48" s="16" t="n">
        <v>0.355372</v>
      </c>
      <c r="CR48" s="16" t="n">
        <v>0.580861</v>
      </c>
      <c r="CS48" s="16" t="n">
        <v>0.129909</v>
      </c>
      <c r="CT48" s="16" t="n">
        <v>0.564176</v>
      </c>
      <c r="CU48" s="16" t="n">
        <v>0.895833</v>
      </c>
      <c r="CV48" s="16" t="n">
        <v>0.832861</v>
      </c>
      <c r="CW48" s="16" t="n">
        <v>0.355372</v>
      </c>
      <c r="CX48" s="16" t="n">
        <v>0.803895</v>
      </c>
      <c r="CY48" s="16" t="n">
        <v>0.129909</v>
      </c>
      <c r="CZ48" s="16" t="n">
        <v>0.772989</v>
      </c>
      <c r="DA48" s="16" t="n">
        <v>0.895833</v>
      </c>
      <c r="DB48" s="16" t="n">
        <v>0.907868</v>
      </c>
      <c r="DC48" s="16" t="n">
        <v>0.355372</v>
      </c>
      <c r="DD48" s="16" t="n">
        <v>0.751004</v>
      </c>
      <c r="DE48" s="16" t="n">
        <v>0.129909</v>
      </c>
      <c r="DF48" s="16" t="n">
        <v>0.680113</v>
      </c>
      <c r="DG48" s="16" t="n">
        <v>0.895833</v>
      </c>
      <c r="DH48" s="16" t="n">
        <v>0.875938</v>
      </c>
      <c r="DI48" s="16" t="n">
        <v>0.355372</v>
      </c>
      <c r="DJ48" s="16" t="n">
        <v>0.7060419999999999</v>
      </c>
      <c r="DK48" s="16" t="n">
        <v>0.129909</v>
      </c>
      <c r="DL48" s="16" t="n">
        <v>0.647999</v>
      </c>
      <c r="DM48" s="16" t="n">
        <v>0.895833</v>
      </c>
      <c r="DN48" s="16" t="n">
        <v>0.900532</v>
      </c>
      <c r="DO48" s="16" t="n">
        <v>0.355372</v>
      </c>
      <c r="DP48" s="16" t="n">
        <v>0.73003</v>
      </c>
      <c r="DQ48" s="16" t="n">
        <v>0.129909</v>
      </c>
      <c r="DR48" s="16" t="n">
        <v>0.6390940000000001</v>
      </c>
      <c r="DS48" s="16" t="n">
        <v>0.895833</v>
      </c>
      <c r="DT48" s="16" t="n">
        <v>0.91657</v>
      </c>
      <c r="DU48" s="16" t="n">
        <v>0.355372</v>
      </c>
      <c r="DV48" s="16" t="n">
        <v>0.863604</v>
      </c>
      <c r="DW48" s="16" t="n">
        <v>0.129909</v>
      </c>
      <c r="DX48" s="16" t="n">
        <v>0.726425</v>
      </c>
      <c r="DY48" s="16" t="n">
        <v>0.895833</v>
      </c>
      <c r="DZ48" s="16" t="n">
        <v>0.913568</v>
      </c>
      <c r="EB48" s="16" t="n">
        <v>1440.710132</v>
      </c>
      <c r="EC48" s="16" t="n">
        <v>2563.342313</v>
      </c>
      <c r="ED48" s="16" t="n"/>
      <c r="EE48" s="16" t="n"/>
      <c r="EF48" s="16" t="n">
        <v>588.59524</v>
      </c>
      <c r="EG48" s="16" t="n">
        <v>2053.684601</v>
      </c>
      <c r="EH48" s="16" t="n">
        <v>838.664867</v>
      </c>
      <c r="EI48" s="16" t="n">
        <v>2226.823282</v>
      </c>
      <c r="EJ48" s="16" t="n"/>
      <c r="EK48" s="16" t="n"/>
      <c r="EL48" s="16" t="n"/>
      <c r="EM48" s="16" t="n"/>
      <c r="EN48" s="16" t="n"/>
      <c r="EO48" s="16" t="n"/>
      <c r="EP48" s="16" t="n"/>
      <c r="EQ48" s="16" t="n"/>
      <c r="ER48" s="16" t="n"/>
      <c r="ES48" s="16" t="n"/>
      <c r="ET48" s="16" t="n"/>
      <c r="EU48" s="16" t="n"/>
    </row>
    <row r="49">
      <c r="BS49" s="16" t="n">
        <v>0.363636</v>
      </c>
      <c r="BT49" s="16" t="n">
        <v>409.759086</v>
      </c>
      <c r="BU49" s="16" t="n">
        <v>0.132931</v>
      </c>
      <c r="BV49" s="16" t="n">
        <v>401.687214</v>
      </c>
      <c r="BW49" s="16" t="n">
        <v>0.916667</v>
      </c>
      <c r="BX49" s="16" t="n">
        <v>495.120819</v>
      </c>
      <c r="BY49" s="16" t="n">
        <v>0.363636</v>
      </c>
      <c r="BZ49" s="16" t="n">
        <v>284.115966</v>
      </c>
      <c r="CA49" s="16" t="n">
        <v>0.132931</v>
      </c>
      <c r="CB49" s="16" t="n">
        <v>282.369961</v>
      </c>
      <c r="CC49" s="16" t="n">
        <v>0.916667</v>
      </c>
      <c r="CD49" s="16" t="n">
        <v>301.790125</v>
      </c>
      <c r="CE49" s="16" t="n">
        <v>0.363636</v>
      </c>
      <c r="CF49" s="16" t="n">
        <v>3285.184148</v>
      </c>
      <c r="CG49" s="16" t="n">
        <v>0.132931</v>
      </c>
      <c r="CH49" s="16" t="n">
        <v>2354.43525</v>
      </c>
      <c r="CI49" s="16" t="n">
        <v>0.916667</v>
      </c>
      <c r="CJ49" s="16" t="n">
        <v>4851.753111</v>
      </c>
      <c r="CK49" s="16" t="n">
        <v>0.363636</v>
      </c>
      <c r="CL49" s="16" t="n">
        <v>1057.105359</v>
      </c>
      <c r="CM49" s="16" t="n">
        <v>0.132931</v>
      </c>
      <c r="CN49" s="16" t="n">
        <v>425.155951</v>
      </c>
      <c r="CO49" s="16" t="n">
        <v>0.916667</v>
      </c>
      <c r="CP49" s="16" t="n">
        <v>1344.891261</v>
      </c>
      <c r="CQ49" s="16" t="n">
        <v>0.363636</v>
      </c>
      <c r="CR49" s="16" t="n">
        <v>0.584423</v>
      </c>
      <c r="CS49" s="16" t="n">
        <v>0.132931</v>
      </c>
      <c r="CT49" s="16" t="n">
        <v>0.564594</v>
      </c>
      <c r="CU49" s="16" t="n">
        <v>0.916667</v>
      </c>
      <c r="CV49" s="16" t="n">
        <v>0.835252</v>
      </c>
      <c r="CW49" s="16" t="n">
        <v>0.363636</v>
      </c>
      <c r="CX49" s="16" t="n">
        <v>0.805523</v>
      </c>
      <c r="CY49" s="16" t="n">
        <v>0.132931</v>
      </c>
      <c r="CZ49" s="16" t="n">
        <v>0.7733100000000001</v>
      </c>
      <c r="DA49" s="16" t="n">
        <v>0.916667</v>
      </c>
      <c r="DB49" s="16" t="n">
        <v>0.910478</v>
      </c>
      <c r="DC49" s="16" t="n">
        <v>0.363636</v>
      </c>
      <c r="DD49" s="16" t="n">
        <v>0.754771</v>
      </c>
      <c r="DE49" s="16" t="n">
        <v>0.132931</v>
      </c>
      <c r="DF49" s="16" t="n">
        <v>0.680621</v>
      </c>
      <c r="DG49" s="16" t="n">
        <v>0.916667</v>
      </c>
      <c r="DH49" s="16" t="n">
        <v>0.881763</v>
      </c>
      <c r="DI49" s="16" t="n">
        <v>0.363636</v>
      </c>
      <c r="DJ49" s="16" t="n">
        <v>0.710095</v>
      </c>
      <c r="DK49" s="16" t="n">
        <v>0.132931</v>
      </c>
      <c r="DL49" s="16" t="n">
        <v>0.648174</v>
      </c>
      <c r="DM49" s="16" t="n">
        <v>0.916667</v>
      </c>
      <c r="DN49" s="16" t="n">
        <v>0.909155</v>
      </c>
      <c r="DO49" s="16" t="n">
        <v>0.363636</v>
      </c>
      <c r="DP49" s="16" t="n">
        <v>0.732116</v>
      </c>
      <c r="DQ49" s="16" t="n">
        <v>0.132931</v>
      </c>
      <c r="DR49" s="16" t="n">
        <v>0.639095</v>
      </c>
      <c r="DS49" s="16" t="n">
        <v>0.916667</v>
      </c>
      <c r="DT49" s="16" t="n">
        <v>0.922009</v>
      </c>
      <c r="DU49" s="16" t="n">
        <v>0.363636</v>
      </c>
      <c r="DV49" s="16" t="n">
        <v>0.864345</v>
      </c>
      <c r="DW49" s="16" t="n">
        <v>0.132931</v>
      </c>
      <c r="DX49" s="16" t="n">
        <v>0.727119</v>
      </c>
      <c r="DY49" s="16" t="n">
        <v>0.916667</v>
      </c>
      <c r="DZ49" s="16" t="n">
        <v>0.918377</v>
      </c>
      <c r="EB49" s="16" t="n">
        <v>1464.867445</v>
      </c>
      <c r="EC49" s="16" t="n">
        <v>4702.230184</v>
      </c>
      <c r="ED49" s="16" t="n"/>
      <c r="EE49" s="16" t="n"/>
      <c r="EF49" s="16" t="n">
        <v>433.388985</v>
      </c>
      <c r="EG49" s="16" t="n">
        <v>4520.157196</v>
      </c>
      <c r="EH49" s="16" t="n">
        <v>993.796082</v>
      </c>
      <c r="EI49" s="16" t="n">
        <v>4088.04599</v>
      </c>
      <c r="EJ49" s="16" t="n"/>
      <c r="EK49" s="16" t="n"/>
      <c r="EL49" s="16" t="n"/>
      <c r="EM49" s="16" t="n"/>
      <c r="EN49" s="16" t="n"/>
      <c r="EO49" s="16" t="n"/>
      <c r="EP49" s="16" t="n"/>
      <c r="EQ49" s="16" t="n"/>
      <c r="ER49" s="16" t="n"/>
      <c r="ES49" s="16" t="n"/>
      <c r="ET49" s="16" t="n"/>
      <c r="EU49" s="16" t="n"/>
    </row>
    <row r="50">
      <c r="BS50" s="16" t="n">
        <v>0.371901</v>
      </c>
      <c r="BT50" s="16" t="n">
        <v>410.246546</v>
      </c>
      <c r="BU50" s="16" t="n">
        <v>0.135952</v>
      </c>
      <c r="BV50" s="16" t="n">
        <v>401.720707</v>
      </c>
      <c r="BW50" s="16" t="n">
        <v>0.9375</v>
      </c>
      <c r="BX50" s="16" t="n">
        <v>495.773512</v>
      </c>
      <c r="BY50" s="16" t="n">
        <v>0.371901</v>
      </c>
      <c r="BZ50" s="16" t="n">
        <v>284.145002</v>
      </c>
      <c r="CA50" s="16" t="n">
        <v>0.135952</v>
      </c>
      <c r="CB50" s="16" t="n">
        <v>282.462781</v>
      </c>
      <c r="CC50" s="16" t="n">
        <v>0.9375</v>
      </c>
      <c r="CD50" s="16" t="n">
        <v>302.000204</v>
      </c>
      <c r="CE50" s="16" t="n">
        <v>0.371901</v>
      </c>
      <c r="CF50" s="16" t="n">
        <v>3327.772239</v>
      </c>
      <c r="CG50" s="16" t="n">
        <v>0.135952</v>
      </c>
      <c r="CH50" s="16" t="n">
        <v>2365.348117</v>
      </c>
      <c r="CI50" s="16" t="n">
        <v>0.9375</v>
      </c>
      <c r="CJ50" s="16" t="n">
        <v>4920.880381</v>
      </c>
      <c r="CK50" s="16" t="n">
        <v>0.371901</v>
      </c>
      <c r="CL50" s="16" t="n">
        <v>1074.270243</v>
      </c>
      <c r="CM50" s="16" t="n">
        <v>0.135952</v>
      </c>
      <c r="CN50" s="16" t="n">
        <v>427.552389</v>
      </c>
      <c r="CO50" s="16" t="n">
        <v>0.9375</v>
      </c>
      <c r="CP50" s="16" t="n">
        <v>1350.208152</v>
      </c>
      <c r="CQ50" s="16" t="n">
        <v>0.371901</v>
      </c>
      <c r="CR50" s="16" t="n">
        <v>0.58449</v>
      </c>
      <c r="CS50" s="16" t="n">
        <v>0.135952</v>
      </c>
      <c r="CT50" s="16" t="n">
        <v>0.5650539999999999</v>
      </c>
      <c r="CU50" s="16" t="n">
        <v>0.9375</v>
      </c>
      <c r="CV50" s="16" t="n">
        <v>0.837711</v>
      </c>
      <c r="CW50" s="16" t="n">
        <v>0.371901</v>
      </c>
      <c r="CX50" s="16" t="n">
        <v>0.806129</v>
      </c>
      <c r="CY50" s="16" t="n">
        <v>0.135952</v>
      </c>
      <c r="CZ50" s="16" t="n">
        <v>0.7741980000000001</v>
      </c>
      <c r="DA50" s="16" t="n">
        <v>0.9375</v>
      </c>
      <c r="DB50" s="16" t="n">
        <v>0.9111590000000001</v>
      </c>
      <c r="DC50" s="16" t="n">
        <v>0.371901</v>
      </c>
      <c r="DD50" s="16" t="n">
        <v>0.7552450000000001</v>
      </c>
      <c r="DE50" s="16" t="n">
        <v>0.135952</v>
      </c>
      <c r="DF50" s="16" t="n">
        <v>0.68101</v>
      </c>
      <c r="DG50" s="16" t="n">
        <v>0.9375</v>
      </c>
      <c r="DH50" s="16" t="n">
        <v>0.883332</v>
      </c>
      <c r="DI50" s="16" t="n">
        <v>0.371901</v>
      </c>
      <c r="DJ50" s="16" t="n">
        <v>0.714703</v>
      </c>
      <c r="DK50" s="16" t="n">
        <v>0.135952</v>
      </c>
      <c r="DL50" s="16" t="n">
        <v>0.650076</v>
      </c>
      <c r="DM50" s="16" t="n">
        <v>0.9375</v>
      </c>
      <c r="DN50" s="16" t="n">
        <v>0.910013</v>
      </c>
      <c r="DO50" s="16" t="n">
        <v>0.371901</v>
      </c>
      <c r="DP50" s="16" t="n">
        <v>0.732276</v>
      </c>
      <c r="DQ50" s="16" t="n">
        <v>0.135952</v>
      </c>
      <c r="DR50" s="16" t="n">
        <v>0.640019</v>
      </c>
      <c r="DS50" s="16" t="n">
        <v>0.9375</v>
      </c>
      <c r="DT50" s="16" t="n">
        <v>0.931796</v>
      </c>
      <c r="DU50" s="16" t="n">
        <v>0.371901</v>
      </c>
      <c r="DV50" s="16" t="n">
        <v>0.866496</v>
      </c>
      <c r="DW50" s="16" t="n">
        <v>0.135952</v>
      </c>
      <c r="DX50" s="16" t="n">
        <v>0.727264</v>
      </c>
      <c r="DY50" s="16" t="n">
        <v>0.9375</v>
      </c>
      <c r="DZ50" s="16" t="n">
        <v>0.926973</v>
      </c>
      <c r="EB50" s="16" t="n">
        <v>1205.063075</v>
      </c>
      <c r="EC50" s="16" t="n">
        <v>3327.772239</v>
      </c>
      <c r="ED50" s="16" t="n"/>
      <c r="EE50" s="16" t="n"/>
      <c r="EF50" s="16" t="n">
        <v>735.72631</v>
      </c>
      <c r="EG50" s="16" t="n">
        <v>2848.916564</v>
      </c>
      <c r="EH50" s="16" t="n">
        <v>1365.887774</v>
      </c>
      <c r="EI50" s="16" t="n">
        <v>3588.747997</v>
      </c>
      <c r="EJ50" s="16" t="n"/>
      <c r="EK50" s="16" t="n"/>
      <c r="EL50" s="16" t="n"/>
      <c r="EM50" s="16" t="n"/>
      <c r="EN50" s="16" t="n"/>
      <c r="EO50" s="16" t="n"/>
      <c r="EP50" s="16" t="n"/>
      <c r="EQ50" s="16" t="n"/>
      <c r="ER50" s="16" t="n"/>
      <c r="ES50" s="16" t="n"/>
      <c r="ET50" s="16" t="n"/>
      <c r="EU50" s="16" t="n"/>
    </row>
    <row r="51">
      <c r="BS51" s="16" t="n">
        <v>0.380165</v>
      </c>
      <c r="BT51" s="16" t="n">
        <v>410.481583</v>
      </c>
      <c r="BU51" s="16" t="n">
        <v>0.138973</v>
      </c>
      <c r="BV51" s="16" t="n">
        <v>402.271121</v>
      </c>
      <c r="BW51" s="16" t="n">
        <v>0.958333</v>
      </c>
      <c r="BX51" s="16" t="n">
        <v>497.214131</v>
      </c>
      <c r="BY51" s="16" t="n">
        <v>0.380165</v>
      </c>
      <c r="BZ51" s="16" t="n">
        <v>284.249261</v>
      </c>
      <c r="CA51" s="16" t="n">
        <v>0.138973</v>
      </c>
      <c r="CB51" s="16" t="n">
        <v>282.488028</v>
      </c>
      <c r="CC51" s="16" t="n">
        <v>0.958333</v>
      </c>
      <c r="CD51" s="16" t="n">
        <v>302.160267</v>
      </c>
      <c r="CE51" s="16" t="n">
        <v>0.380165</v>
      </c>
      <c r="CF51" s="16" t="n">
        <v>3349.663013</v>
      </c>
      <c r="CG51" s="16" t="n">
        <v>0.138973</v>
      </c>
      <c r="CH51" s="16" t="n">
        <v>2372.337325</v>
      </c>
      <c r="CI51" s="16" t="n">
        <v>0.958333</v>
      </c>
      <c r="CJ51" s="16" t="n">
        <v>4929.433425</v>
      </c>
      <c r="CK51" s="16" t="n">
        <v>0.380165</v>
      </c>
      <c r="CL51" s="16" t="n">
        <v>1074.925149</v>
      </c>
      <c r="CM51" s="16" t="n">
        <v>0.138973</v>
      </c>
      <c r="CN51" s="16" t="n">
        <v>428.45592</v>
      </c>
      <c r="CO51" s="16" t="n">
        <v>0.958333</v>
      </c>
      <c r="CP51" s="16" t="n">
        <v>1370.024785</v>
      </c>
      <c r="CQ51" s="16" t="n">
        <v>0.380165</v>
      </c>
      <c r="CR51" s="16" t="n">
        <v>0.586241</v>
      </c>
      <c r="CS51" s="16" t="n">
        <v>0.138973</v>
      </c>
      <c r="CT51" s="16" t="n">
        <v>0.566594</v>
      </c>
      <c r="CU51" s="16" t="n">
        <v>0.958333</v>
      </c>
      <c r="CV51" s="16" t="n">
        <v>0.842049</v>
      </c>
      <c r="CW51" s="16" t="n">
        <v>0.380165</v>
      </c>
      <c r="CX51" s="16" t="n">
        <v>0.81031</v>
      </c>
      <c r="CY51" s="16" t="n">
        <v>0.138973</v>
      </c>
      <c r="CZ51" s="16" t="n">
        <v>0.77432</v>
      </c>
      <c r="DA51" s="16" t="n">
        <v>0.958333</v>
      </c>
      <c r="DB51" s="16" t="n">
        <v>0.914898</v>
      </c>
      <c r="DC51" s="16" t="n">
        <v>0.380165</v>
      </c>
      <c r="DD51" s="16" t="n">
        <v>0.757184</v>
      </c>
      <c r="DE51" s="16" t="n">
        <v>0.138973</v>
      </c>
      <c r="DF51" s="16" t="n">
        <v>0.682322</v>
      </c>
      <c r="DG51" s="16" t="n">
        <v>0.958333</v>
      </c>
      <c r="DH51" s="16" t="n">
        <v>0.885199</v>
      </c>
      <c r="DI51" s="16" t="n">
        <v>0.380165</v>
      </c>
      <c r="DJ51" s="16" t="n">
        <v>0.717407</v>
      </c>
      <c r="DK51" s="16" t="n">
        <v>0.138973</v>
      </c>
      <c r="DL51" s="16" t="n">
        <v>0.65011</v>
      </c>
      <c r="DM51" s="16" t="n">
        <v>0.958333</v>
      </c>
      <c r="DN51" s="16" t="n">
        <v>0.932801</v>
      </c>
      <c r="DO51" s="16" t="n">
        <v>0.380165</v>
      </c>
      <c r="DP51" s="16" t="n">
        <v>0.733371</v>
      </c>
      <c r="DQ51" s="16" t="n">
        <v>0.138973</v>
      </c>
      <c r="DR51" s="16" t="n">
        <v>0.641848</v>
      </c>
      <c r="DS51" s="16" t="n">
        <v>0.958333</v>
      </c>
      <c r="DT51" s="16" t="n">
        <v>0.9450730000000001</v>
      </c>
      <c r="DU51" s="16" t="n">
        <v>0.380165</v>
      </c>
      <c r="DV51" s="16" t="n">
        <v>0.867484</v>
      </c>
      <c r="DW51" s="16" t="n">
        <v>0.138973</v>
      </c>
      <c r="DX51" s="16" t="n">
        <v>0.728057</v>
      </c>
      <c r="DY51" s="16" t="n">
        <v>0.958333</v>
      </c>
      <c r="DZ51" s="16" t="n">
        <v>0.928015</v>
      </c>
      <c r="EB51" s="16" t="n">
        <v>976.813847</v>
      </c>
      <c r="EC51" s="16" t="n">
        <v>4588.917037</v>
      </c>
      <c r="ED51" s="16" t="n"/>
      <c r="EE51" s="16" t="n"/>
      <c r="EF51" s="16" t="n">
        <v>1431.580174</v>
      </c>
      <c r="EG51" s="16" t="n">
        <v>2529.134636</v>
      </c>
      <c r="EH51" s="16" t="n">
        <v>729.64193</v>
      </c>
      <c r="EI51" s="16" t="n">
        <v>4771.928716</v>
      </c>
      <c r="EJ51" s="16" t="n"/>
      <c r="EK51" s="16" t="n"/>
      <c r="EL51" s="16" t="n"/>
      <c r="EM51" s="16" t="n"/>
      <c r="EN51" s="16" t="n"/>
      <c r="EO51" s="16" t="n"/>
      <c r="EP51" s="16" t="n"/>
      <c r="EQ51" s="16" t="n"/>
      <c r="ER51" s="16" t="n"/>
      <c r="ES51" s="16" t="n"/>
      <c r="ET51" s="16" t="n"/>
      <c r="EU51" s="16" t="n"/>
    </row>
    <row r="52">
      <c r="BS52" s="16" t="n">
        <v>0.38843</v>
      </c>
      <c r="BT52" s="16" t="n">
        <v>411.321938</v>
      </c>
      <c r="BU52" s="16" t="n">
        <v>0.141994</v>
      </c>
      <c r="BV52" s="16" t="n">
        <v>402.664674</v>
      </c>
      <c r="BW52" s="16" t="n">
        <v>0.979167</v>
      </c>
      <c r="BX52" s="16" t="n">
        <v>498.316253</v>
      </c>
      <c r="BY52" s="16" t="n">
        <v>0.38843</v>
      </c>
      <c r="BZ52" s="16" t="n">
        <v>284.315356</v>
      </c>
      <c r="CA52" s="16" t="n">
        <v>0.141994</v>
      </c>
      <c r="CB52" s="16" t="n">
        <v>282.635863</v>
      </c>
      <c r="CC52" s="16" t="n">
        <v>0.979167</v>
      </c>
      <c r="CD52" s="16" t="n">
        <v>302.520666</v>
      </c>
      <c r="CE52" s="16" t="n">
        <v>0.38843</v>
      </c>
      <c r="CF52" s="16" t="n">
        <v>3353.234678</v>
      </c>
      <c r="CG52" s="16" t="n">
        <v>0.141994</v>
      </c>
      <c r="CH52" s="16" t="n">
        <v>2382.939898</v>
      </c>
      <c r="CI52" s="16" t="n">
        <v>0.979167</v>
      </c>
      <c r="CJ52" s="16" t="n">
        <v>4932.994105</v>
      </c>
      <c r="CK52" s="16" t="n">
        <v>0.38843</v>
      </c>
      <c r="CL52" s="16" t="n">
        <v>1090.246142</v>
      </c>
      <c r="CM52" s="16" t="n">
        <v>0.141994</v>
      </c>
      <c r="CN52" s="16" t="n">
        <v>433.388985</v>
      </c>
      <c r="CO52" s="16" t="n">
        <v>0.979167</v>
      </c>
      <c r="CP52" s="16" t="n">
        <v>1377.514596</v>
      </c>
      <c r="CQ52" s="16" t="n">
        <v>0.38843</v>
      </c>
      <c r="CR52" s="16" t="n">
        <v>0.59596</v>
      </c>
      <c r="CS52" s="16" t="n">
        <v>0.141994</v>
      </c>
      <c r="CT52" s="16" t="n">
        <v>0.568141</v>
      </c>
      <c r="CU52" s="16" t="n">
        <v>0.979167</v>
      </c>
      <c r="CV52" s="16" t="n">
        <v>0.8483039999999999</v>
      </c>
      <c r="CW52" s="16" t="n">
        <v>0.38843</v>
      </c>
      <c r="CX52" s="16" t="n">
        <v>0.812076</v>
      </c>
      <c r="CY52" s="16" t="n">
        <v>0.141994</v>
      </c>
      <c r="CZ52" s="16" t="n">
        <v>0.774777</v>
      </c>
      <c r="DA52" s="16" t="n">
        <v>0.979167</v>
      </c>
      <c r="DB52" s="16" t="n">
        <v>0.915882</v>
      </c>
      <c r="DC52" s="16" t="n">
        <v>0.38843</v>
      </c>
      <c r="DD52" s="16" t="n">
        <v>0.758466</v>
      </c>
      <c r="DE52" s="16" t="n">
        <v>0.141994</v>
      </c>
      <c r="DF52" s="16" t="n">
        <v>0.682354</v>
      </c>
      <c r="DG52" s="16" t="n">
        <v>0.979167</v>
      </c>
      <c r="DH52" s="16" t="n">
        <v>0.894922</v>
      </c>
      <c r="DI52" s="16" t="n">
        <v>0.38843</v>
      </c>
      <c r="DJ52" s="16" t="n">
        <v>0.7237</v>
      </c>
      <c r="DK52" s="16" t="n">
        <v>0.141994</v>
      </c>
      <c r="DL52" s="16" t="n">
        <v>0.654051</v>
      </c>
      <c r="DM52" s="16" t="n">
        <v>0.979167</v>
      </c>
      <c r="DN52" s="16" t="n">
        <v>0.934772</v>
      </c>
      <c r="DO52" s="16" t="n">
        <v>0.38843</v>
      </c>
      <c r="DP52" s="16" t="n">
        <v>0.736797</v>
      </c>
      <c r="DQ52" s="16" t="n">
        <v>0.141994</v>
      </c>
      <c r="DR52" s="16" t="n">
        <v>0.644126</v>
      </c>
      <c r="DS52" s="16" t="n">
        <v>0.979167</v>
      </c>
      <c r="DT52" s="16" t="n">
        <v>0.945475</v>
      </c>
      <c r="DU52" s="16" t="n">
        <v>0.38843</v>
      </c>
      <c r="DV52" s="16" t="n">
        <v>0.867505</v>
      </c>
      <c r="DW52" s="16" t="n">
        <v>0.141994</v>
      </c>
      <c r="DX52" s="16" t="n">
        <v>0.728707</v>
      </c>
      <c r="DY52" s="16" t="n">
        <v>0.979167</v>
      </c>
      <c r="DZ52" s="16" t="n">
        <v>0.933227</v>
      </c>
      <c r="EB52" s="16" t="n">
        <v>1122.456531</v>
      </c>
      <c r="EC52" s="16" t="n">
        <v>3491.429147</v>
      </c>
      <c r="ED52" s="16" t="n"/>
      <c r="EE52" s="16" t="n"/>
      <c r="EF52" s="16" t="n">
        <v>659.394229</v>
      </c>
      <c r="EG52" s="16" t="n">
        <v>2712.859711</v>
      </c>
      <c r="EH52" s="16" t="n">
        <v>412.430688</v>
      </c>
      <c r="EI52" s="16" t="n">
        <v>4983.501169</v>
      </c>
      <c r="EJ52" s="16" t="n"/>
      <c r="EK52" s="16" t="n"/>
      <c r="EL52" s="16" t="n"/>
      <c r="EM52" s="16" t="n"/>
      <c r="EN52" s="16" t="n"/>
      <c r="EO52" s="16" t="n"/>
      <c r="EP52" s="16" t="n"/>
      <c r="EQ52" s="16" t="n"/>
      <c r="ER52" s="16" t="n"/>
      <c r="ES52" s="16" t="n"/>
      <c r="ET52" s="16" t="n"/>
      <c r="EU52" s="16" t="n"/>
    </row>
    <row r="53">
      <c r="BS53" s="16" t="n">
        <v>0.396694</v>
      </c>
      <c r="BT53" s="16" t="n">
        <v>412.296903</v>
      </c>
      <c r="BU53" s="16" t="n">
        <v>0.145015</v>
      </c>
      <c r="BV53" s="16" t="n">
        <v>402.66856</v>
      </c>
      <c r="BW53" s="16" t="n">
        <v>1</v>
      </c>
      <c r="BX53" s="16" t="n">
        <v>498.952227</v>
      </c>
      <c r="BY53" s="16" t="n">
        <v>0.396694</v>
      </c>
      <c r="BZ53" s="16" t="n">
        <v>284.569224</v>
      </c>
      <c r="CA53" s="16" t="n">
        <v>0.145015</v>
      </c>
      <c r="CB53" s="16" t="n">
        <v>282.651949</v>
      </c>
      <c r="CC53" s="16" t="n">
        <v>1</v>
      </c>
      <c r="CD53" s="16" t="n">
        <v>302.62711</v>
      </c>
      <c r="CE53" s="16" t="n">
        <v>0.396694</v>
      </c>
      <c r="CF53" s="16" t="n">
        <v>3382.467326</v>
      </c>
      <c r="CG53" s="16" t="n">
        <v>0.145015</v>
      </c>
      <c r="CH53" s="16" t="n">
        <v>2384.050063</v>
      </c>
      <c r="CI53" s="16" t="n">
        <v>1</v>
      </c>
      <c r="CJ53" s="16" t="n">
        <v>4946.569365</v>
      </c>
      <c r="CK53" s="16" t="n">
        <v>0.396694</v>
      </c>
      <c r="CL53" s="16" t="n">
        <v>1106.339021</v>
      </c>
      <c r="CM53" s="16" t="n">
        <v>0.145015</v>
      </c>
      <c r="CN53" s="16" t="n">
        <v>436.213296</v>
      </c>
      <c r="CO53" s="16" t="n">
        <v>1</v>
      </c>
      <c r="CP53" s="16" t="n">
        <v>1418.583633</v>
      </c>
      <c r="CQ53" s="16" t="n">
        <v>0.396694</v>
      </c>
      <c r="CR53" s="16" t="n">
        <v>0.59617</v>
      </c>
      <c r="CS53" s="16" t="n">
        <v>0.145015</v>
      </c>
      <c r="CT53" s="16" t="n">
        <v>0.569598</v>
      </c>
      <c r="CU53" s="16" t="n">
        <v>1</v>
      </c>
      <c r="CV53" s="16" t="n">
        <v>0.849984</v>
      </c>
      <c r="CW53" s="16" t="n">
        <v>0.396694</v>
      </c>
      <c r="CX53" s="16" t="n">
        <v>0.812878</v>
      </c>
      <c r="CY53" s="16" t="n">
        <v>0.145015</v>
      </c>
      <c r="CZ53" s="16" t="n">
        <v>0.774937</v>
      </c>
      <c r="DA53" s="16" t="n">
        <v>1</v>
      </c>
      <c r="DB53" s="16" t="n">
        <v>0.918951</v>
      </c>
      <c r="DC53" s="16" t="n">
        <v>0.396694</v>
      </c>
      <c r="DD53" s="16" t="n">
        <v>0.75948</v>
      </c>
      <c r="DE53" s="16" t="n">
        <v>0.145015</v>
      </c>
      <c r="DF53" s="16" t="n">
        <v>0.682933</v>
      </c>
      <c r="DG53" s="16" t="n">
        <v>1</v>
      </c>
      <c r="DH53" s="16" t="n">
        <v>0.896262</v>
      </c>
      <c r="DI53" s="16" t="n">
        <v>0.396694</v>
      </c>
      <c r="DJ53" s="16" t="n">
        <v>0.730234</v>
      </c>
      <c r="DK53" s="16" t="n">
        <v>0.145015</v>
      </c>
      <c r="DL53" s="16" t="n">
        <v>0.655751</v>
      </c>
      <c r="DM53" s="16" t="n">
        <v>1</v>
      </c>
      <c r="DN53" s="16" t="n">
        <v>0.949047</v>
      </c>
      <c r="DO53" s="16" t="n">
        <v>0.396694</v>
      </c>
      <c r="DP53" s="16" t="n">
        <v>0.738199</v>
      </c>
      <c r="DQ53" s="16" t="n">
        <v>0.145015</v>
      </c>
      <c r="DR53" s="16" t="n">
        <v>0.644398</v>
      </c>
      <c r="DS53" s="16" t="n">
        <v>1</v>
      </c>
      <c r="DT53" s="16" t="n">
        <v>0.947559</v>
      </c>
      <c r="DU53" s="16" t="n">
        <v>0.396694</v>
      </c>
      <c r="DV53" s="16" t="n">
        <v>0.86996</v>
      </c>
      <c r="DW53" s="16" t="n">
        <v>0.145015</v>
      </c>
      <c r="DX53" s="16" t="n">
        <v>0.728789</v>
      </c>
      <c r="DY53" s="16" t="n">
        <v>1</v>
      </c>
      <c r="DZ53" s="16" t="n">
        <v>0.933408</v>
      </c>
      <c r="EB53" s="16" t="n">
        <v>709.670452</v>
      </c>
      <c r="EC53" s="16" t="n">
        <v>2761.686996</v>
      </c>
      <c r="ED53" s="16" t="n"/>
      <c r="EE53" s="16" t="n"/>
      <c r="EF53" s="16" t="n">
        <v>792.862173</v>
      </c>
      <c r="EG53" s="16" t="n">
        <v>2064.353383</v>
      </c>
      <c r="EH53" s="16" t="n">
        <v>786.244282</v>
      </c>
      <c r="EI53" s="16" t="n">
        <v>2333.09297</v>
      </c>
      <c r="EJ53" s="16" t="n"/>
      <c r="EK53" s="16" t="n"/>
      <c r="EL53" s="16" t="n"/>
      <c r="EM53" s="16" t="n"/>
      <c r="EN53" s="16" t="n"/>
      <c r="EO53" s="16" t="n"/>
      <c r="EP53" s="16" t="n"/>
      <c r="EQ53" s="16" t="n"/>
      <c r="ER53" s="16" t="n"/>
      <c r="ES53" s="16" t="n"/>
      <c r="ET53" s="16" t="n"/>
      <c r="EU53" s="16" t="n"/>
    </row>
    <row r="54">
      <c r="BS54" s="16" t="n">
        <v>0.404959</v>
      </c>
      <c r="BT54" s="16" t="n">
        <v>412.536893</v>
      </c>
      <c r="BU54" s="16" t="n">
        <v>0.148036</v>
      </c>
      <c r="BV54" s="16" t="n">
        <v>402.946648</v>
      </c>
      <c r="BW54" s="16" t="n"/>
      <c r="BX54" s="16" t="n"/>
      <c r="BY54" s="16" t="n">
        <v>0.404959</v>
      </c>
      <c r="BZ54" s="16" t="n">
        <v>284.598231</v>
      </c>
      <c r="CA54" s="16" t="n">
        <v>0.148036</v>
      </c>
      <c r="CB54" s="16" t="n">
        <v>282.752569</v>
      </c>
      <c r="CC54" s="16" t="n"/>
      <c r="CD54" s="16" t="n"/>
      <c r="CE54" s="16" t="n">
        <v>0.404959</v>
      </c>
      <c r="CF54" s="16" t="n">
        <v>3396.524525</v>
      </c>
      <c r="CG54" s="16" t="n">
        <v>0.148036</v>
      </c>
      <c r="CH54" s="16" t="n">
        <v>2394.621537</v>
      </c>
      <c r="CI54" s="16" t="n"/>
      <c r="CJ54" s="16" t="n"/>
      <c r="CK54" s="16" t="n">
        <v>0.404959</v>
      </c>
      <c r="CL54" s="16" t="n">
        <v>1106.65352</v>
      </c>
      <c r="CM54" s="16" t="n">
        <v>0.148036</v>
      </c>
      <c r="CN54" s="16" t="n">
        <v>437.26318</v>
      </c>
      <c r="CO54" s="16" t="n"/>
      <c r="CP54" s="16" t="n"/>
      <c r="CQ54" s="16" t="n">
        <v>0.404959</v>
      </c>
      <c r="CR54" s="16" t="n">
        <v>0.599182</v>
      </c>
      <c r="CS54" s="16" t="n">
        <v>0.148036</v>
      </c>
      <c r="CT54" s="16" t="n">
        <v>0.570868</v>
      </c>
      <c r="CU54" s="16" t="n"/>
      <c r="CV54" s="16" t="n"/>
      <c r="CW54" s="16" t="n">
        <v>0.404959</v>
      </c>
      <c r="CX54" s="16" t="n">
        <v>0.813663</v>
      </c>
      <c r="CY54" s="16" t="n">
        <v>0.148036</v>
      </c>
      <c r="CZ54" s="16" t="n">
        <v>0.776519</v>
      </c>
      <c r="DA54" s="16" t="n"/>
      <c r="DB54" s="16" t="n"/>
      <c r="DC54" s="16" t="n">
        <v>0.404959</v>
      </c>
      <c r="DD54" s="16" t="n">
        <v>0.7624840000000001</v>
      </c>
      <c r="DE54" s="16" t="n">
        <v>0.148036</v>
      </c>
      <c r="DF54" s="16" t="n">
        <v>0.683318</v>
      </c>
      <c r="DG54" s="16" t="n"/>
      <c r="DH54" s="16" t="n"/>
      <c r="DI54" s="16" t="n">
        <v>0.404959</v>
      </c>
      <c r="DJ54" s="16" t="n">
        <v>0.73608</v>
      </c>
      <c r="DK54" s="16" t="n">
        <v>0.148036</v>
      </c>
      <c r="DL54" s="16" t="n">
        <v>0.655783</v>
      </c>
      <c r="DM54" s="16" t="n"/>
      <c r="DN54" s="16" t="n"/>
      <c r="DO54" s="16" t="n">
        <v>0.404959</v>
      </c>
      <c r="DP54" s="16" t="n">
        <v>0.743488</v>
      </c>
      <c r="DQ54" s="16" t="n">
        <v>0.148036</v>
      </c>
      <c r="DR54" s="16" t="n">
        <v>0.644976</v>
      </c>
      <c r="DS54" s="16" t="n"/>
      <c r="DT54" s="16" t="n"/>
      <c r="DU54" s="16" t="n">
        <v>0.404959</v>
      </c>
      <c r="DV54" s="16" t="n">
        <v>0.8706469999999999</v>
      </c>
      <c r="DW54" s="16" t="n">
        <v>0.148036</v>
      </c>
      <c r="DX54" s="16" t="n">
        <v>0.729784</v>
      </c>
      <c r="DY54" s="16" t="n"/>
      <c r="DZ54" s="16" t="n"/>
      <c r="EB54" s="16" t="n">
        <v>1295.157267</v>
      </c>
      <c r="EC54" s="16" t="n">
        <v>2005.395073</v>
      </c>
      <c r="ED54" s="16" t="n"/>
      <c r="EE54" s="16" t="n"/>
      <c r="EF54" s="16" t="n">
        <v>861.983221</v>
      </c>
      <c r="EG54" s="16" t="n">
        <v>4578.745457</v>
      </c>
      <c r="EH54" s="16" t="n">
        <v>1054.642461</v>
      </c>
      <c r="EI54" s="16" t="n">
        <v>2101.281692</v>
      </c>
      <c r="EJ54" s="16" t="n"/>
      <c r="EK54" s="16" t="n"/>
      <c r="EL54" s="16" t="n"/>
      <c r="EM54" s="16" t="n"/>
      <c r="EN54" s="16" t="n"/>
      <c r="EO54" s="16" t="n"/>
      <c r="EP54" s="16" t="n"/>
      <c r="EQ54" s="16" t="n"/>
      <c r="ER54" s="16" t="n"/>
      <c r="ES54" s="16" t="n"/>
      <c r="ET54" s="16" t="n"/>
      <c r="EU54" s="16" t="n"/>
    </row>
    <row r="55">
      <c r="BS55" s="16" t="n">
        <v>0.413223</v>
      </c>
      <c r="BT55" s="16" t="n">
        <v>414.264806</v>
      </c>
      <c r="BU55" s="16" t="n">
        <v>0.151057</v>
      </c>
      <c r="BV55" s="16" t="n">
        <v>403.68512</v>
      </c>
      <c r="BW55" s="16" t="n"/>
      <c r="BX55" s="16" t="n"/>
      <c r="BY55" s="16" t="n">
        <v>0.413223</v>
      </c>
      <c r="BZ55" s="16" t="n">
        <v>284.783075</v>
      </c>
      <c r="CA55" s="16" t="n">
        <v>0.151057</v>
      </c>
      <c r="CB55" s="16" t="n">
        <v>282.795413</v>
      </c>
      <c r="CC55" s="16" t="n"/>
      <c r="CD55" s="16" t="n"/>
      <c r="CE55" s="16" t="n">
        <v>0.413223</v>
      </c>
      <c r="CF55" s="16" t="n">
        <v>3416.920065</v>
      </c>
      <c r="CG55" s="16" t="n">
        <v>0.151057</v>
      </c>
      <c r="CH55" s="16" t="n">
        <v>2399.020394</v>
      </c>
      <c r="CI55" s="16" t="n"/>
      <c r="CJ55" s="16" t="n"/>
      <c r="CK55" s="16" t="n">
        <v>0.413223</v>
      </c>
      <c r="CL55" s="16" t="n">
        <v>1110.860658</v>
      </c>
      <c r="CM55" s="16" t="n">
        <v>0.151057</v>
      </c>
      <c r="CN55" s="16" t="n">
        <v>440.891179</v>
      </c>
      <c r="CO55" s="16" t="n"/>
      <c r="CP55" s="16" t="n"/>
      <c r="CQ55" s="16" t="n">
        <v>0.413223</v>
      </c>
      <c r="CR55" s="16" t="n">
        <v>0.6021879999999999</v>
      </c>
      <c r="CS55" s="16" t="n">
        <v>0.151057</v>
      </c>
      <c r="CT55" s="16" t="n">
        <v>0.571498</v>
      </c>
      <c r="CU55" s="16" t="n"/>
      <c r="CV55" s="16" t="n"/>
      <c r="CW55" s="16" t="n">
        <v>0.413223</v>
      </c>
      <c r="CX55" s="16" t="n">
        <v>0.81475</v>
      </c>
      <c r="CY55" s="16" t="n">
        <v>0.151057</v>
      </c>
      <c r="CZ55" s="16" t="n">
        <v>0.776936</v>
      </c>
      <c r="DA55" s="16" t="n"/>
      <c r="DB55" s="16" t="n"/>
      <c r="DC55" s="16" t="n">
        <v>0.413223</v>
      </c>
      <c r="DD55" s="16" t="n">
        <v>0.765815</v>
      </c>
      <c r="DE55" s="16" t="n">
        <v>0.151057</v>
      </c>
      <c r="DF55" s="16" t="n">
        <v>0.683884</v>
      </c>
      <c r="DG55" s="16" t="n"/>
      <c r="DH55" s="16" t="n"/>
      <c r="DI55" s="16" t="n">
        <v>0.413223</v>
      </c>
      <c r="DJ55" s="16" t="n">
        <v>0.738725</v>
      </c>
      <c r="DK55" s="16" t="n">
        <v>0.151057</v>
      </c>
      <c r="DL55" s="16" t="n">
        <v>0.658047</v>
      </c>
      <c r="DM55" s="16" t="n"/>
      <c r="DN55" s="16" t="n"/>
      <c r="DO55" s="16" t="n">
        <v>0.413223</v>
      </c>
      <c r="DP55" s="16" t="n">
        <v>0.74408</v>
      </c>
      <c r="DQ55" s="16" t="n">
        <v>0.151057</v>
      </c>
      <c r="DR55" s="16" t="n">
        <v>0.646118</v>
      </c>
      <c r="DS55" s="16" t="n"/>
      <c r="DT55" s="16" t="n"/>
      <c r="DU55" s="16" t="n">
        <v>0.413223</v>
      </c>
      <c r="DV55" s="16" t="n">
        <v>0.870962</v>
      </c>
      <c r="DW55" s="16" t="n">
        <v>0.151057</v>
      </c>
      <c r="DX55" s="16" t="n">
        <v>0.73016</v>
      </c>
      <c r="DY55" s="16" t="n"/>
      <c r="DZ55" s="16" t="n"/>
      <c r="EB55" s="16" t="n">
        <v>1218.780197</v>
      </c>
      <c r="EC55" s="16" t="n">
        <v>2422.669308</v>
      </c>
      <c r="ED55" s="16" t="n"/>
      <c r="EE55" s="16" t="n"/>
      <c r="EF55" s="16" t="n">
        <v>316.56992</v>
      </c>
      <c r="EG55" s="16" t="n">
        <v>2820.63165</v>
      </c>
      <c r="EH55" s="16" t="n">
        <v>1008.827607</v>
      </c>
      <c r="EI55" s="16" t="n">
        <v>4386.384341</v>
      </c>
      <c r="EJ55" s="16" t="n"/>
      <c r="EK55" s="16" t="n"/>
      <c r="EL55" s="16" t="n"/>
      <c r="EM55" s="16" t="n"/>
      <c r="EN55" s="16" t="n"/>
      <c r="EO55" s="16" t="n"/>
      <c r="EP55" s="16" t="n"/>
      <c r="EQ55" s="16" t="n"/>
      <c r="ER55" s="16" t="n"/>
      <c r="ES55" s="16" t="n"/>
      <c r="ET55" s="16" t="n"/>
      <c r="EU55" s="16" t="n"/>
    </row>
    <row r="56">
      <c r="BS56" s="16" t="n">
        <v>0.421488</v>
      </c>
      <c r="BT56" s="16" t="n">
        <v>414.418663</v>
      </c>
      <c r="BU56" s="16" t="n">
        <v>0.154079</v>
      </c>
      <c r="BV56" s="16" t="n">
        <v>404.482173</v>
      </c>
      <c r="BW56" s="16" t="n"/>
      <c r="BX56" s="16" t="n"/>
      <c r="BY56" s="16" t="n">
        <v>0.421488</v>
      </c>
      <c r="BZ56" s="16" t="n">
        <v>285.033499</v>
      </c>
      <c r="CA56" s="16" t="n">
        <v>0.154079</v>
      </c>
      <c r="CB56" s="16" t="n">
        <v>282.850332</v>
      </c>
      <c r="CC56" s="16" t="n"/>
      <c r="CD56" s="16" t="n"/>
      <c r="CE56" s="16" t="n">
        <v>0.421488</v>
      </c>
      <c r="CF56" s="16" t="n">
        <v>3429.232588</v>
      </c>
      <c r="CG56" s="16" t="n">
        <v>0.154079</v>
      </c>
      <c r="CH56" s="16" t="n">
        <v>2400.070853</v>
      </c>
      <c r="CI56" s="16" t="n"/>
      <c r="CJ56" s="16" t="n"/>
      <c r="CK56" s="16" t="n">
        <v>0.421488</v>
      </c>
      <c r="CL56" s="16" t="n">
        <v>1112.70454</v>
      </c>
      <c r="CM56" s="16" t="n">
        <v>0.154079</v>
      </c>
      <c r="CN56" s="16" t="n">
        <v>443.795777</v>
      </c>
      <c r="CO56" s="16" t="n"/>
      <c r="CP56" s="16" t="n"/>
      <c r="CQ56" s="16" t="n">
        <v>0.421488</v>
      </c>
      <c r="CR56" s="16" t="n">
        <v>0.605593</v>
      </c>
      <c r="CS56" s="16" t="n">
        <v>0.154079</v>
      </c>
      <c r="CT56" s="16" t="n">
        <v>0.574259</v>
      </c>
      <c r="CU56" s="16" t="n"/>
      <c r="CV56" s="16" t="n"/>
      <c r="CW56" s="16" t="n">
        <v>0.421488</v>
      </c>
      <c r="CX56" s="16" t="n">
        <v>0.816012</v>
      </c>
      <c r="CY56" s="16" t="n">
        <v>0.154079</v>
      </c>
      <c r="CZ56" s="16" t="n">
        <v>0.7770089999999999</v>
      </c>
      <c r="DA56" s="16" t="n"/>
      <c r="DB56" s="16" t="n"/>
      <c r="DC56" s="16" t="n">
        <v>0.421488</v>
      </c>
      <c r="DD56" s="16" t="n">
        <v>0.769791</v>
      </c>
      <c r="DE56" s="16" t="n">
        <v>0.154079</v>
      </c>
      <c r="DF56" s="16" t="n">
        <v>0.684416</v>
      </c>
      <c r="DG56" s="16" t="n"/>
      <c r="DH56" s="16" t="n"/>
      <c r="DI56" s="16" t="n">
        <v>0.421488</v>
      </c>
      <c r="DJ56" s="16" t="n">
        <v>0.738845</v>
      </c>
      <c r="DK56" s="16" t="n">
        <v>0.154079</v>
      </c>
      <c r="DL56" s="16" t="n">
        <v>0.659384</v>
      </c>
      <c r="DM56" s="16" t="n"/>
      <c r="DN56" s="16" t="n"/>
      <c r="DO56" s="16" t="n">
        <v>0.421488</v>
      </c>
      <c r="DP56" s="16" t="n">
        <v>0.7451410000000001</v>
      </c>
      <c r="DQ56" s="16" t="n">
        <v>0.154079</v>
      </c>
      <c r="DR56" s="16" t="n">
        <v>0.647439</v>
      </c>
      <c r="DS56" s="16" t="n"/>
      <c r="DT56" s="16" t="n"/>
      <c r="DU56" s="16" t="n">
        <v>0.421488</v>
      </c>
      <c r="DV56" s="16" t="n">
        <v>0.87146</v>
      </c>
      <c r="DW56" s="16" t="n">
        <v>0.154079</v>
      </c>
      <c r="DX56" s="16" t="n">
        <v>0.730272</v>
      </c>
      <c r="DY56" s="16" t="n"/>
      <c r="DZ56" s="16" t="n"/>
      <c r="EB56" s="16" t="n">
        <v>1425.534916</v>
      </c>
      <c r="EC56" s="16" t="n">
        <v>4359.313239</v>
      </c>
      <c r="ED56" s="16" t="n"/>
      <c r="EE56" s="16" t="n"/>
      <c r="EF56" s="16" t="n">
        <v>871.910606</v>
      </c>
      <c r="EG56" s="16" t="n">
        <v>2382.939898</v>
      </c>
      <c r="EH56" s="16" t="n">
        <v>637.5712129999999</v>
      </c>
      <c r="EI56" s="16" t="n">
        <v>3879.922617</v>
      </c>
      <c r="EJ56" s="16" t="n"/>
      <c r="EK56" s="16" t="n"/>
      <c r="EL56" s="16" t="n"/>
      <c r="EM56" s="16" t="n"/>
      <c r="EN56" s="16" t="n"/>
      <c r="EO56" s="16" t="n"/>
      <c r="EP56" s="16" t="n"/>
      <c r="EQ56" s="16" t="n"/>
      <c r="ER56" s="16" t="n"/>
      <c r="ES56" s="16" t="n"/>
      <c r="ET56" s="16" t="n"/>
      <c r="EU56" s="16" t="n"/>
    </row>
    <row r="57">
      <c r="BS57" s="16" t="n">
        <v>0.429752</v>
      </c>
      <c r="BT57" s="16" t="n">
        <v>414.972603</v>
      </c>
      <c r="BU57" s="16" t="n">
        <v>0.1571</v>
      </c>
      <c r="BV57" s="16" t="n">
        <v>404.727392</v>
      </c>
      <c r="BW57" s="16" t="n"/>
      <c r="BX57" s="16" t="n"/>
      <c r="BY57" s="16" t="n">
        <v>0.429752</v>
      </c>
      <c r="BZ57" s="16" t="n">
        <v>285.461392</v>
      </c>
      <c r="CA57" s="16" t="n">
        <v>0.1571</v>
      </c>
      <c r="CB57" s="16" t="n">
        <v>283.125286</v>
      </c>
      <c r="CC57" s="16" t="n"/>
      <c r="CD57" s="16" t="n"/>
      <c r="CE57" s="16" t="n">
        <v>0.429752</v>
      </c>
      <c r="CF57" s="16" t="n">
        <v>3473.563613</v>
      </c>
      <c r="CG57" s="16" t="n">
        <v>0.1571</v>
      </c>
      <c r="CH57" s="16" t="n">
        <v>2410.508612</v>
      </c>
      <c r="CI57" s="16" t="n"/>
      <c r="CJ57" s="16" t="n"/>
      <c r="CK57" s="16" t="n">
        <v>0.429752</v>
      </c>
      <c r="CL57" s="16" t="n">
        <v>1122.456531</v>
      </c>
      <c r="CM57" s="16" t="n">
        <v>0.1571</v>
      </c>
      <c r="CN57" s="16" t="n">
        <v>444.464829</v>
      </c>
      <c r="CO57" s="16" t="n"/>
      <c r="CP57" s="16" t="n"/>
      <c r="CQ57" s="16" t="n">
        <v>0.429752</v>
      </c>
      <c r="CR57" s="16" t="n">
        <v>0.614133</v>
      </c>
      <c r="CS57" s="16" t="n">
        <v>0.1571</v>
      </c>
      <c r="CT57" s="16" t="n">
        <v>0.574994</v>
      </c>
      <c r="CU57" s="16" t="n"/>
      <c r="CV57" s="16" t="n"/>
      <c r="CW57" s="16" t="n">
        <v>0.429752</v>
      </c>
      <c r="CX57" s="16" t="n">
        <v>0.8165519999999999</v>
      </c>
      <c r="CY57" s="16" t="n">
        <v>0.1571</v>
      </c>
      <c r="CZ57" s="16" t="n">
        <v>0.777247</v>
      </c>
      <c r="DA57" s="16" t="n"/>
      <c r="DB57" s="16" t="n"/>
      <c r="DC57" s="16" t="n">
        <v>0.429752</v>
      </c>
      <c r="DD57" s="16" t="n">
        <v>0.771003</v>
      </c>
      <c r="DE57" s="16" t="n">
        <v>0.1571</v>
      </c>
      <c r="DF57" s="16" t="n">
        <v>0.684883</v>
      </c>
      <c r="DG57" s="16" t="n"/>
      <c r="DH57" s="16" t="n"/>
      <c r="DI57" s="16" t="n">
        <v>0.429752</v>
      </c>
      <c r="DJ57" s="16" t="n">
        <v>0.740965</v>
      </c>
      <c r="DK57" s="16" t="n">
        <v>0.1571</v>
      </c>
      <c r="DL57" s="16" t="n">
        <v>0.659599</v>
      </c>
      <c r="DM57" s="16" t="n"/>
      <c r="DN57" s="16" t="n"/>
      <c r="DO57" s="16" t="n">
        <v>0.429752</v>
      </c>
      <c r="DP57" s="16" t="n">
        <v>0.747854</v>
      </c>
      <c r="DQ57" s="16" t="n">
        <v>0.1571</v>
      </c>
      <c r="DR57" s="16" t="n">
        <v>0.647829</v>
      </c>
      <c r="DS57" s="16" t="n"/>
      <c r="DT57" s="16" t="n"/>
      <c r="DU57" s="16" t="n">
        <v>0.429752</v>
      </c>
      <c r="DV57" s="16" t="n">
        <v>0.877682</v>
      </c>
      <c r="DW57" s="16" t="n">
        <v>0.1571</v>
      </c>
      <c r="DX57" s="16" t="n">
        <v>0.730951</v>
      </c>
      <c r="DY57" s="16" t="n"/>
      <c r="DZ57" s="16" t="n"/>
      <c r="EB57" s="16" t="n">
        <v>1316.052289</v>
      </c>
      <c r="EC57" s="16" t="n">
        <v>2219.048272</v>
      </c>
      <c r="ED57" s="16" t="n"/>
      <c r="EE57" s="16" t="n"/>
      <c r="EF57" s="16" t="n">
        <v>769.417601</v>
      </c>
      <c r="EG57" s="16" t="n">
        <v>2770.735909</v>
      </c>
      <c r="EH57" s="16" t="n">
        <v>1063.701008</v>
      </c>
      <c r="EI57" s="16" t="n">
        <v>3716.250019</v>
      </c>
      <c r="EJ57" s="16" t="n"/>
      <c r="EK57" s="16" t="n"/>
      <c r="EL57" s="16" t="n"/>
      <c r="EM57" s="16" t="n"/>
      <c r="EN57" s="16" t="n"/>
      <c r="EO57" s="16" t="n"/>
      <c r="EP57" s="16" t="n"/>
      <c r="EQ57" s="16" t="n"/>
      <c r="ER57" s="16" t="n"/>
      <c r="ES57" s="16" t="n"/>
      <c r="ET57" s="16" t="n"/>
      <c r="EU57" s="16" t="n"/>
    </row>
    <row r="58">
      <c r="BS58" s="16" t="n">
        <v>0.438017</v>
      </c>
      <c r="BT58" s="16" t="n">
        <v>415.280647</v>
      </c>
      <c r="BU58" s="16" t="n">
        <v>0.160121</v>
      </c>
      <c r="BV58" s="16" t="n">
        <v>405.774065</v>
      </c>
      <c r="BW58" s="16" t="n"/>
      <c r="BX58" s="16" t="n"/>
      <c r="BY58" s="16" t="n">
        <v>0.438017</v>
      </c>
      <c r="BZ58" s="16" t="n">
        <v>285.702129</v>
      </c>
      <c r="CA58" s="16" t="n">
        <v>0.160121</v>
      </c>
      <c r="CB58" s="16" t="n">
        <v>283.182582</v>
      </c>
      <c r="CC58" s="16" t="n"/>
      <c r="CD58" s="16" t="n"/>
      <c r="CE58" s="16" t="n">
        <v>0.438017</v>
      </c>
      <c r="CF58" s="16" t="n">
        <v>3478.217127</v>
      </c>
      <c r="CG58" s="16" t="n">
        <v>0.160121</v>
      </c>
      <c r="CH58" s="16" t="n">
        <v>2419.567795</v>
      </c>
      <c r="CI58" s="16" t="n"/>
      <c r="CJ58" s="16" t="n"/>
      <c r="CK58" s="16" t="n">
        <v>0.438017</v>
      </c>
      <c r="CL58" s="16" t="n">
        <v>1134.585646</v>
      </c>
      <c r="CM58" s="16" t="n">
        <v>0.160121</v>
      </c>
      <c r="CN58" s="16" t="n">
        <v>446.003325</v>
      </c>
      <c r="CO58" s="16" t="n"/>
      <c r="CP58" s="16" t="n"/>
      <c r="CQ58" s="16" t="n">
        <v>0.438017</v>
      </c>
      <c r="CR58" s="16" t="n">
        <v>0.614882</v>
      </c>
      <c r="CS58" s="16" t="n">
        <v>0.160121</v>
      </c>
      <c r="CT58" s="16" t="n">
        <v>0.576427</v>
      </c>
      <c r="CU58" s="16" t="n"/>
      <c r="CV58" s="16" t="n"/>
      <c r="CW58" s="16" t="n">
        <v>0.438017</v>
      </c>
      <c r="CX58" s="16" t="n">
        <v>0.817889</v>
      </c>
      <c r="CY58" s="16" t="n">
        <v>0.160121</v>
      </c>
      <c r="CZ58" s="16" t="n">
        <v>0.777325</v>
      </c>
      <c r="DA58" s="16" t="n"/>
      <c r="DB58" s="16" t="n"/>
      <c r="DC58" s="16" t="n">
        <v>0.438017</v>
      </c>
      <c r="DD58" s="16" t="n">
        <v>0.771245</v>
      </c>
      <c r="DE58" s="16" t="n">
        <v>0.160121</v>
      </c>
      <c r="DF58" s="16" t="n">
        <v>0.685229</v>
      </c>
      <c r="DG58" s="16" t="n"/>
      <c r="DH58" s="16" t="n"/>
      <c r="DI58" s="16" t="n">
        <v>0.438017</v>
      </c>
      <c r="DJ58" s="16" t="n">
        <v>0.746328</v>
      </c>
      <c r="DK58" s="16" t="n">
        <v>0.160121</v>
      </c>
      <c r="DL58" s="16" t="n">
        <v>0.6601590000000001</v>
      </c>
      <c r="DM58" s="16" t="n"/>
      <c r="DN58" s="16" t="n"/>
      <c r="DO58" s="16" t="n">
        <v>0.438017</v>
      </c>
      <c r="DP58" s="16" t="n">
        <v>0.753578</v>
      </c>
      <c r="DQ58" s="16" t="n">
        <v>0.160121</v>
      </c>
      <c r="DR58" s="16" t="n">
        <v>0.648414</v>
      </c>
      <c r="DS58" s="16" t="n"/>
      <c r="DT58" s="16" t="n"/>
      <c r="DU58" s="16" t="n">
        <v>0.438017</v>
      </c>
      <c r="DV58" s="16" t="n">
        <v>0.878955</v>
      </c>
      <c r="DW58" s="16" t="n">
        <v>0.160121</v>
      </c>
      <c r="DX58" s="16" t="n">
        <v>0.731254</v>
      </c>
      <c r="DY58" s="16" t="n"/>
      <c r="DZ58" s="16" t="n"/>
      <c r="EB58" s="16" t="n">
        <v>1253.662662</v>
      </c>
      <c r="EC58" s="16" t="n">
        <v>2291.415836</v>
      </c>
      <c r="ED58" s="16" t="n"/>
      <c r="EE58" s="16" t="n"/>
      <c r="EF58" s="16" t="n">
        <v>1329.363789</v>
      </c>
      <c r="EG58" s="16" t="n">
        <v>4447.309146</v>
      </c>
      <c r="EH58" s="16" t="n">
        <v>368.903501</v>
      </c>
      <c r="EI58" s="16" t="n">
        <v>4457.133477</v>
      </c>
      <c r="EJ58" s="16" t="n"/>
      <c r="EK58" s="16" t="n"/>
      <c r="EL58" s="16" t="n"/>
      <c r="EM58" s="16" t="n"/>
      <c r="EN58" s="16" t="n"/>
      <c r="EO58" s="16" t="n"/>
      <c r="EP58" s="16" t="n"/>
      <c r="EQ58" s="16" t="n"/>
      <c r="ER58" s="16" t="n"/>
      <c r="ES58" s="16" t="n"/>
      <c r="ET58" s="16" t="n"/>
      <c r="EU58" s="16" t="n"/>
    </row>
    <row r="59">
      <c r="BS59" s="16" t="n">
        <v>0.446281</v>
      </c>
      <c r="BT59" s="16" t="n">
        <v>416.511305</v>
      </c>
      <c r="BU59" s="16" t="n">
        <v>0.163142</v>
      </c>
      <c r="BV59" s="16" t="n">
        <v>407.425355</v>
      </c>
      <c r="BW59" s="16" t="n"/>
      <c r="BX59" s="16" t="n"/>
      <c r="BY59" s="16" t="n">
        <v>0.446281</v>
      </c>
      <c r="BZ59" s="16" t="n">
        <v>285.729876</v>
      </c>
      <c r="CA59" s="16" t="n">
        <v>0.163142</v>
      </c>
      <c r="CB59" s="16" t="n">
        <v>283.220381</v>
      </c>
      <c r="CC59" s="16" t="n"/>
      <c r="CD59" s="16" t="n"/>
      <c r="CE59" s="16" t="n">
        <v>0.446281</v>
      </c>
      <c r="CF59" s="16" t="n">
        <v>3481.823025</v>
      </c>
      <c r="CG59" s="16" t="n">
        <v>0.163142</v>
      </c>
      <c r="CH59" s="16" t="n">
        <v>2443.769873</v>
      </c>
      <c r="CI59" s="16" t="n"/>
      <c r="CJ59" s="16" t="n"/>
      <c r="CK59" s="16" t="n">
        <v>0.446281</v>
      </c>
      <c r="CL59" s="16" t="n">
        <v>1139.940785</v>
      </c>
      <c r="CM59" s="16" t="n">
        <v>0.163142</v>
      </c>
      <c r="CN59" s="16" t="n">
        <v>451.184967</v>
      </c>
      <c r="CO59" s="16" t="n"/>
      <c r="CP59" s="16" t="n"/>
      <c r="CQ59" s="16" t="n">
        <v>0.446281</v>
      </c>
      <c r="CR59" s="16" t="n">
        <v>0.618591</v>
      </c>
      <c r="CS59" s="16" t="n">
        <v>0.163142</v>
      </c>
      <c r="CT59" s="16" t="n">
        <v>0.577992</v>
      </c>
      <c r="CU59" s="16" t="n"/>
      <c r="CV59" s="16" t="n"/>
      <c r="CW59" s="16" t="n">
        <v>0.446281</v>
      </c>
      <c r="CX59" s="16" t="n">
        <v>0.818454</v>
      </c>
      <c r="CY59" s="16" t="n">
        <v>0.163142</v>
      </c>
      <c r="CZ59" s="16" t="n">
        <v>0.778162</v>
      </c>
      <c r="DA59" s="16" t="n"/>
      <c r="DB59" s="16" t="n"/>
      <c r="DC59" s="16" t="n">
        <v>0.446281</v>
      </c>
      <c r="DD59" s="16" t="n">
        <v>0.7734760000000001</v>
      </c>
      <c r="DE59" s="16" t="n">
        <v>0.163142</v>
      </c>
      <c r="DF59" s="16" t="n">
        <v>0.685558</v>
      </c>
      <c r="DG59" s="16" t="n"/>
      <c r="DH59" s="16" t="n"/>
      <c r="DI59" s="16" t="n">
        <v>0.446281</v>
      </c>
      <c r="DJ59" s="16" t="n">
        <v>0.747571</v>
      </c>
      <c r="DK59" s="16" t="n">
        <v>0.163142</v>
      </c>
      <c r="DL59" s="16" t="n">
        <v>0.66191</v>
      </c>
      <c r="DM59" s="16" t="n"/>
      <c r="DN59" s="16" t="n"/>
      <c r="DO59" s="16" t="n">
        <v>0.446281</v>
      </c>
      <c r="DP59" s="16" t="n">
        <v>0.755022</v>
      </c>
      <c r="DQ59" s="16" t="n">
        <v>0.163142</v>
      </c>
      <c r="DR59" s="16" t="n">
        <v>0.6493949999999999</v>
      </c>
      <c r="DS59" s="16" t="n"/>
      <c r="DT59" s="16" t="n"/>
      <c r="DU59" s="16" t="n">
        <v>0.446281</v>
      </c>
      <c r="DV59" s="16" t="n">
        <v>0.880423</v>
      </c>
      <c r="DW59" s="16" t="n">
        <v>0.163142</v>
      </c>
      <c r="DX59" s="16" t="n">
        <v>0.732378</v>
      </c>
      <c r="DY59" s="16" t="n"/>
      <c r="DZ59" s="16" t="n"/>
      <c r="EB59" s="16" t="n">
        <v>808.3402579999999</v>
      </c>
      <c r="EC59" s="16" t="n">
        <v>3481.823025</v>
      </c>
      <c r="ED59" s="16" t="n"/>
      <c r="EE59" s="16" t="n"/>
      <c r="EF59" s="16" t="n">
        <v>478.161938</v>
      </c>
      <c r="EG59" s="16" t="n">
        <v>4722.718649</v>
      </c>
      <c r="EH59" s="16" t="n">
        <v>547.289925</v>
      </c>
      <c r="EI59" s="16" t="n">
        <v>4875.263784</v>
      </c>
      <c r="EJ59" s="16" t="n"/>
      <c r="EK59" s="16" t="n"/>
      <c r="EL59" s="16" t="n"/>
      <c r="EM59" s="16" t="n"/>
      <c r="EN59" s="16" t="n"/>
      <c r="EO59" s="16" t="n"/>
      <c r="EP59" s="16" t="n"/>
      <c r="EQ59" s="16" t="n"/>
      <c r="ER59" s="16" t="n"/>
      <c r="ES59" s="16" t="n"/>
      <c r="ET59" s="16" t="n"/>
      <c r="EU59" s="16" t="n"/>
    </row>
    <row r="60">
      <c r="BS60" s="16" t="n">
        <v>0.454545</v>
      </c>
      <c r="BT60" s="16" t="n">
        <v>416.549787</v>
      </c>
      <c r="BU60" s="16" t="n">
        <v>0.166163</v>
      </c>
      <c r="BV60" s="16" t="n">
        <v>407.572386</v>
      </c>
      <c r="BW60" s="16" t="n"/>
      <c r="BX60" s="16" t="n"/>
      <c r="BY60" s="16" t="n">
        <v>0.454545</v>
      </c>
      <c r="BZ60" s="16" t="n">
        <v>286.059634</v>
      </c>
      <c r="CA60" s="16" t="n">
        <v>0.166163</v>
      </c>
      <c r="CB60" s="16" t="n">
        <v>283.254623</v>
      </c>
      <c r="CC60" s="16" t="n"/>
      <c r="CD60" s="16" t="n"/>
      <c r="CE60" s="16" t="n">
        <v>0.454545</v>
      </c>
      <c r="CF60" s="16" t="n">
        <v>3491.429147</v>
      </c>
      <c r="CG60" s="16" t="n">
        <v>0.166163</v>
      </c>
      <c r="CH60" s="16" t="n">
        <v>2450.96155</v>
      </c>
      <c r="CI60" s="16" t="n"/>
      <c r="CJ60" s="16" t="n"/>
      <c r="CK60" s="16" t="n">
        <v>0.454545</v>
      </c>
      <c r="CL60" s="16" t="n">
        <v>1142.295616</v>
      </c>
      <c r="CM60" s="16" t="n">
        <v>0.166163</v>
      </c>
      <c r="CN60" s="16" t="n">
        <v>451.860475</v>
      </c>
      <c r="CO60" s="16" t="n"/>
      <c r="CP60" s="16" t="n"/>
      <c r="CQ60" s="16" t="n">
        <v>0.454545</v>
      </c>
      <c r="CR60" s="16" t="n">
        <v>0.622908</v>
      </c>
      <c r="CS60" s="16" t="n">
        <v>0.166163</v>
      </c>
      <c r="CT60" s="16" t="n">
        <v>0.578761</v>
      </c>
      <c r="CU60" s="16" t="n"/>
      <c r="CV60" s="16" t="n"/>
      <c r="CW60" s="16" t="n">
        <v>0.454545</v>
      </c>
      <c r="CX60" s="16" t="n">
        <v>0.819117</v>
      </c>
      <c r="CY60" s="16" t="n">
        <v>0.166163</v>
      </c>
      <c r="CZ60" s="16" t="n">
        <v>0.77826</v>
      </c>
      <c r="DA60" s="16" t="n"/>
      <c r="DB60" s="16" t="n"/>
      <c r="DC60" s="16" t="n">
        <v>0.454545</v>
      </c>
      <c r="DD60" s="16" t="n">
        <v>0.774787</v>
      </c>
      <c r="DE60" s="16" t="n">
        <v>0.166163</v>
      </c>
      <c r="DF60" s="16" t="n">
        <v>0.686168</v>
      </c>
      <c r="DG60" s="16" t="n"/>
      <c r="DH60" s="16" t="n"/>
      <c r="DI60" s="16" t="n">
        <v>0.454545</v>
      </c>
      <c r="DJ60" s="16" t="n">
        <v>0.7499</v>
      </c>
      <c r="DK60" s="16" t="n">
        <v>0.166163</v>
      </c>
      <c r="DL60" s="16" t="n">
        <v>0.663321</v>
      </c>
      <c r="DM60" s="16" t="n"/>
      <c r="DN60" s="16" t="n"/>
      <c r="DO60" s="16" t="n">
        <v>0.454545</v>
      </c>
      <c r="DP60" s="16" t="n">
        <v>0.757165</v>
      </c>
      <c r="DQ60" s="16" t="n">
        <v>0.166163</v>
      </c>
      <c r="DR60" s="16" t="n">
        <v>0.650575</v>
      </c>
      <c r="DS60" s="16" t="n"/>
      <c r="DT60" s="16" t="n"/>
      <c r="DU60" s="16" t="n">
        <v>0.454545</v>
      </c>
      <c r="DV60" s="16" t="n">
        <v>0.88319</v>
      </c>
      <c r="DW60" s="16" t="n">
        <v>0.166163</v>
      </c>
      <c r="DX60" s="16" t="n">
        <v>0.73266</v>
      </c>
      <c r="DY60" s="16" t="n"/>
      <c r="DZ60" s="16" t="n"/>
      <c r="EB60" s="16" t="n">
        <v>834.165656</v>
      </c>
      <c r="EC60" s="16" t="n">
        <v>4890.757586</v>
      </c>
      <c r="ED60" s="16" t="n"/>
      <c r="EE60" s="16" t="n"/>
      <c r="EF60" s="16" t="n">
        <v>631.904447</v>
      </c>
      <c r="EG60" s="16" t="n">
        <v>3997.395935</v>
      </c>
      <c r="EH60" s="16" t="n">
        <v>568.299816</v>
      </c>
      <c r="EI60" s="16" t="n">
        <v>3697.409732</v>
      </c>
      <c r="EJ60" s="16" t="n"/>
      <c r="EK60" s="16" t="n"/>
      <c r="EL60" s="16" t="n"/>
      <c r="EM60" s="16" t="n"/>
      <c r="EN60" s="16" t="n"/>
      <c r="EO60" s="16" t="n"/>
      <c r="EP60" s="16" t="n"/>
      <c r="EQ60" s="16" t="n"/>
      <c r="ER60" s="16" t="n"/>
      <c r="ES60" s="16" t="n"/>
      <c r="ET60" s="16" t="n"/>
      <c r="EU60" s="16" t="n"/>
    </row>
    <row r="61">
      <c r="BS61" s="16" t="n">
        <v>0.46281</v>
      </c>
      <c r="BT61" s="16" t="n">
        <v>416.779516</v>
      </c>
      <c r="BU61" s="16" t="n">
        <v>0.169184</v>
      </c>
      <c r="BV61" s="16" t="n">
        <v>407.998316</v>
      </c>
      <c r="BW61" s="16" t="n"/>
      <c r="BX61" s="16" t="n"/>
      <c r="BY61" s="16" t="n">
        <v>0.46281</v>
      </c>
      <c r="BZ61" s="16" t="n">
        <v>286.15194</v>
      </c>
      <c r="CA61" s="16" t="n">
        <v>0.169184</v>
      </c>
      <c r="CB61" s="16" t="n">
        <v>283.359348</v>
      </c>
      <c r="CC61" s="16" t="n"/>
      <c r="CD61" s="16" t="n"/>
      <c r="CE61" s="16" t="n">
        <v>0.46281</v>
      </c>
      <c r="CF61" s="16" t="n">
        <v>3500.262719</v>
      </c>
      <c r="CG61" s="16" t="n">
        <v>0.169184</v>
      </c>
      <c r="CH61" s="16" t="n">
        <v>2459.481768</v>
      </c>
      <c r="CI61" s="16" t="n"/>
      <c r="CJ61" s="16" t="n"/>
      <c r="CK61" s="16" t="n">
        <v>0.46281</v>
      </c>
      <c r="CL61" s="16" t="n">
        <v>1143.919076</v>
      </c>
      <c r="CM61" s="16" t="n">
        <v>0.169184</v>
      </c>
      <c r="CN61" s="16" t="n">
        <v>455.274692</v>
      </c>
      <c r="CO61" s="16" t="n"/>
      <c r="CP61" s="16" t="n"/>
      <c r="CQ61" s="16" t="n">
        <v>0.46281</v>
      </c>
      <c r="CR61" s="16" t="n">
        <v>0.6245540000000001</v>
      </c>
      <c r="CS61" s="16" t="n">
        <v>0.169184</v>
      </c>
      <c r="CT61" s="16" t="n">
        <v>0.5804820000000001</v>
      </c>
      <c r="CU61" s="16" t="n"/>
      <c r="CV61" s="16" t="n"/>
      <c r="CW61" s="16" t="n">
        <v>0.46281</v>
      </c>
      <c r="CX61" s="16" t="n">
        <v>0.8209109999999999</v>
      </c>
      <c r="CY61" s="16" t="n">
        <v>0.169184</v>
      </c>
      <c r="CZ61" s="16" t="n">
        <v>0.778691</v>
      </c>
      <c r="DA61" s="16" t="n"/>
      <c r="DB61" s="16" t="n"/>
      <c r="DC61" s="16" t="n">
        <v>0.46281</v>
      </c>
      <c r="DD61" s="16" t="n">
        <v>0.776061</v>
      </c>
      <c r="DE61" s="16" t="n">
        <v>0.169184</v>
      </c>
      <c r="DF61" s="16" t="n">
        <v>0.687499</v>
      </c>
      <c r="DG61" s="16" t="n"/>
      <c r="DH61" s="16" t="n"/>
      <c r="DI61" s="16" t="n">
        <v>0.46281</v>
      </c>
      <c r="DJ61" s="16" t="n">
        <v>0.750964</v>
      </c>
      <c r="DK61" s="16" t="n">
        <v>0.169184</v>
      </c>
      <c r="DL61" s="16" t="n">
        <v>0.667129</v>
      </c>
      <c r="DM61" s="16" t="n"/>
      <c r="DN61" s="16" t="n"/>
      <c r="DO61" s="16" t="n">
        <v>0.46281</v>
      </c>
      <c r="DP61" s="16" t="n">
        <v>0.76337</v>
      </c>
      <c r="DQ61" s="16" t="n">
        <v>0.169184</v>
      </c>
      <c r="DR61" s="16" t="n">
        <v>0.652425</v>
      </c>
      <c r="DS61" s="16" t="n"/>
      <c r="DT61" s="16" t="n"/>
      <c r="DU61" s="16" t="n">
        <v>0.46281</v>
      </c>
      <c r="DV61" s="16" t="n">
        <v>0.888019</v>
      </c>
      <c r="DW61" s="16" t="n">
        <v>0.169184</v>
      </c>
      <c r="DX61" s="16" t="n">
        <v>0.732822</v>
      </c>
      <c r="DY61" s="16" t="n"/>
      <c r="DZ61" s="16" t="n"/>
      <c r="EB61" s="16" t="n">
        <v>1307.586826</v>
      </c>
      <c r="EC61" s="16" t="n">
        <v>4950.97409</v>
      </c>
      <c r="ED61" s="16" t="n"/>
      <c r="EE61" s="16" t="n"/>
      <c r="EF61" s="16" t="n">
        <v>337.955428</v>
      </c>
      <c r="EG61" s="16" t="n">
        <v>4646.653517</v>
      </c>
      <c r="EH61" s="16" t="n">
        <v>702.244332</v>
      </c>
      <c r="EI61" s="16" t="n">
        <v>3458.207296</v>
      </c>
      <c r="EJ61" s="16" t="n"/>
      <c r="EK61" s="16" t="n"/>
      <c r="EL61" s="16" t="n"/>
      <c r="EM61" s="16" t="n"/>
      <c r="EN61" s="16" t="n"/>
      <c r="EO61" s="16" t="n"/>
      <c r="EP61" s="16" t="n"/>
      <c r="EQ61" s="16" t="n"/>
      <c r="ER61" s="16" t="n"/>
      <c r="ES61" s="16" t="n"/>
      <c r="ET61" s="16" t="n"/>
      <c r="EU61" s="16" t="n"/>
    </row>
    <row r="62">
      <c r="BS62" s="16" t="n">
        <v>0.471074</v>
      </c>
      <c r="BT62" s="16" t="n">
        <v>419.530497</v>
      </c>
      <c r="BU62" s="16" t="n">
        <v>0.172205</v>
      </c>
      <c r="BV62" s="16" t="n">
        <v>408.538825</v>
      </c>
      <c r="BW62" s="16" t="n"/>
      <c r="BX62" s="16" t="n"/>
      <c r="BY62" s="16" t="n">
        <v>0.471074</v>
      </c>
      <c r="BZ62" s="16" t="n">
        <v>286.430084</v>
      </c>
      <c r="CA62" s="16" t="n">
        <v>0.172205</v>
      </c>
      <c r="CB62" s="16" t="n">
        <v>283.46921</v>
      </c>
      <c r="CC62" s="16" t="n"/>
      <c r="CD62" s="16" t="n"/>
      <c r="CE62" s="16" t="n">
        <v>0.471074</v>
      </c>
      <c r="CF62" s="16" t="n">
        <v>3514.415125</v>
      </c>
      <c r="CG62" s="16" t="n">
        <v>0.172205</v>
      </c>
      <c r="CH62" s="16" t="n">
        <v>2467.373005</v>
      </c>
      <c r="CI62" s="16" t="n"/>
      <c r="CJ62" s="16" t="n"/>
      <c r="CK62" s="16" t="n">
        <v>0.471074</v>
      </c>
      <c r="CL62" s="16" t="n">
        <v>1150.635833</v>
      </c>
      <c r="CM62" s="16" t="n">
        <v>0.172205</v>
      </c>
      <c r="CN62" s="16" t="n">
        <v>456.945961</v>
      </c>
      <c r="CO62" s="16" t="n"/>
      <c r="CP62" s="16" t="n"/>
      <c r="CQ62" s="16" t="n">
        <v>0.471074</v>
      </c>
      <c r="CR62" s="16" t="n">
        <v>0.626187</v>
      </c>
      <c r="CS62" s="16" t="n">
        <v>0.172205</v>
      </c>
      <c r="CT62" s="16" t="n">
        <v>0.582019</v>
      </c>
      <c r="CU62" s="16" t="n"/>
      <c r="CV62" s="16" t="n"/>
      <c r="CW62" s="16" t="n">
        <v>0.471074</v>
      </c>
      <c r="CX62" s="16" t="n">
        <v>0.821228</v>
      </c>
      <c r="CY62" s="16" t="n">
        <v>0.172205</v>
      </c>
      <c r="CZ62" s="16" t="n">
        <v>0.778908</v>
      </c>
      <c r="DA62" s="16" t="n"/>
      <c r="DB62" s="16" t="n"/>
      <c r="DC62" s="16" t="n">
        <v>0.471074</v>
      </c>
      <c r="DD62" s="16" t="n">
        <v>0.7783910000000001</v>
      </c>
      <c r="DE62" s="16" t="n">
        <v>0.172205</v>
      </c>
      <c r="DF62" s="16" t="n">
        <v>0.687589</v>
      </c>
      <c r="DG62" s="16" t="n"/>
      <c r="DH62" s="16" t="n"/>
      <c r="DI62" s="16" t="n">
        <v>0.471074</v>
      </c>
      <c r="DJ62" s="16" t="n">
        <v>0.751356</v>
      </c>
      <c r="DK62" s="16" t="n">
        <v>0.172205</v>
      </c>
      <c r="DL62" s="16" t="n">
        <v>0.667702</v>
      </c>
      <c r="DM62" s="16" t="n"/>
      <c r="DN62" s="16" t="n"/>
      <c r="DO62" s="16" t="n">
        <v>0.471074</v>
      </c>
      <c r="DP62" s="16" t="n">
        <v>0.7676460000000001</v>
      </c>
      <c r="DQ62" s="16" t="n">
        <v>0.172205</v>
      </c>
      <c r="DR62" s="16" t="n">
        <v>0.655482</v>
      </c>
      <c r="DS62" s="16" t="n"/>
      <c r="DT62" s="16" t="n"/>
      <c r="DU62" s="16" t="n">
        <v>0.471074</v>
      </c>
      <c r="DV62" s="16" t="n">
        <v>0.88863</v>
      </c>
      <c r="DW62" s="16" t="n">
        <v>0.172205</v>
      </c>
      <c r="DX62" s="16" t="n">
        <v>0.733335</v>
      </c>
      <c r="DY62" s="16" t="n"/>
      <c r="DZ62" s="16" t="n"/>
      <c r="EB62" s="16" t="n">
        <v>775.802183</v>
      </c>
      <c r="EC62" s="16" t="n">
        <v>3396.524525</v>
      </c>
      <c r="ED62" s="16" t="n"/>
      <c r="EE62" s="16" t="n"/>
      <c r="EF62" s="16" t="n">
        <v>613.5400090000001</v>
      </c>
      <c r="EG62" s="16" t="n">
        <v>4750.194928</v>
      </c>
      <c r="EH62" s="16" t="n">
        <v>952.679037</v>
      </c>
      <c r="EI62" s="16" t="n">
        <v>4210.648085</v>
      </c>
      <c r="EJ62" s="16" t="n"/>
      <c r="EK62" s="16" t="n"/>
      <c r="EL62" s="16" t="n"/>
      <c r="EM62" s="16" t="n"/>
      <c r="EN62" s="16" t="n"/>
      <c r="EO62" s="16" t="n"/>
      <c r="EP62" s="16" t="n"/>
      <c r="EQ62" s="16" t="n"/>
      <c r="ER62" s="16" t="n"/>
      <c r="ES62" s="16" t="n"/>
      <c r="ET62" s="16" t="n"/>
      <c r="EU62" s="16" t="n"/>
    </row>
    <row r="63">
      <c r="BS63" s="16" t="n">
        <v>0.479339</v>
      </c>
      <c r="BT63" s="16" t="n">
        <v>420.720875</v>
      </c>
      <c r="BU63" s="16" t="n">
        <v>0.175227</v>
      </c>
      <c r="BV63" s="16" t="n">
        <v>409.312825</v>
      </c>
      <c r="BW63" s="16" t="n"/>
      <c r="BX63" s="16" t="n"/>
      <c r="BY63" s="16" t="n">
        <v>0.479339</v>
      </c>
      <c r="BZ63" s="16" t="n">
        <v>286.695716</v>
      </c>
      <c r="CA63" s="16" t="n">
        <v>0.175227</v>
      </c>
      <c r="CB63" s="16" t="n">
        <v>283.567458</v>
      </c>
      <c r="CC63" s="16" t="n"/>
      <c r="CD63" s="16" t="n"/>
      <c r="CE63" s="16" t="n">
        <v>0.479339</v>
      </c>
      <c r="CF63" s="16" t="n">
        <v>3539.53135</v>
      </c>
      <c r="CG63" s="16" t="n">
        <v>0.175227</v>
      </c>
      <c r="CH63" s="16" t="n">
        <v>2467.483814</v>
      </c>
      <c r="CI63" s="16" t="n"/>
      <c r="CJ63" s="16" t="n"/>
      <c r="CK63" s="16" t="n">
        <v>0.479339</v>
      </c>
      <c r="CL63" s="16" t="n">
        <v>1152.816199</v>
      </c>
      <c r="CM63" s="16" t="n">
        <v>0.175227</v>
      </c>
      <c r="CN63" s="16" t="n">
        <v>457.394422</v>
      </c>
      <c r="CO63" s="16" t="n"/>
      <c r="CP63" s="16" t="n"/>
      <c r="CQ63" s="16" t="n">
        <v>0.479339</v>
      </c>
      <c r="CR63" s="16" t="n">
        <v>0.6276969999999999</v>
      </c>
      <c r="CS63" s="16" t="n">
        <v>0.175227</v>
      </c>
      <c r="CT63" s="16" t="n">
        <v>0.583626</v>
      </c>
      <c r="CU63" s="16" t="n"/>
      <c r="CV63" s="16" t="n"/>
      <c r="CW63" s="16" t="n">
        <v>0.479339</v>
      </c>
      <c r="CX63" s="16" t="n">
        <v>0.821502</v>
      </c>
      <c r="CY63" s="16" t="n">
        <v>0.175227</v>
      </c>
      <c r="CZ63" s="16" t="n">
        <v>0.779181</v>
      </c>
      <c r="DA63" s="16" t="n"/>
      <c r="DB63" s="16" t="n"/>
      <c r="DC63" s="16" t="n">
        <v>0.479339</v>
      </c>
      <c r="DD63" s="16" t="n">
        <v>0.780022</v>
      </c>
      <c r="DE63" s="16" t="n">
        <v>0.175227</v>
      </c>
      <c r="DF63" s="16" t="n">
        <v>0.689213</v>
      </c>
      <c r="DG63" s="16" t="n"/>
      <c r="DH63" s="16" t="n"/>
      <c r="DI63" s="16" t="n">
        <v>0.479339</v>
      </c>
      <c r="DJ63" s="16" t="n">
        <v>0.756381</v>
      </c>
      <c r="DK63" s="16" t="n">
        <v>0.175227</v>
      </c>
      <c r="DL63" s="16" t="n">
        <v>0.667853</v>
      </c>
      <c r="DM63" s="16" t="n"/>
      <c r="DN63" s="16" t="n"/>
      <c r="DO63" s="16" t="n">
        <v>0.479339</v>
      </c>
      <c r="DP63" s="16" t="n">
        <v>0.77111</v>
      </c>
      <c r="DQ63" s="16" t="n">
        <v>0.175227</v>
      </c>
      <c r="DR63" s="16" t="n">
        <v>0.656067</v>
      </c>
      <c r="DS63" s="16" t="n"/>
      <c r="DT63" s="16" t="n"/>
      <c r="DU63" s="16" t="n">
        <v>0.479339</v>
      </c>
      <c r="DV63" s="16" t="n">
        <v>0.888815</v>
      </c>
      <c r="DW63" s="16" t="n">
        <v>0.175227</v>
      </c>
      <c r="DX63" s="16" t="n">
        <v>0.734604</v>
      </c>
      <c r="DY63" s="16" t="n"/>
      <c r="DZ63" s="16" t="n"/>
      <c r="EB63" s="16" t="n">
        <v>1380.546269</v>
      </c>
      <c r="EC63" s="16" t="n">
        <v>2352.454585</v>
      </c>
      <c r="ED63" s="16" t="n"/>
      <c r="EE63" s="16" t="n"/>
      <c r="EF63" s="16" t="n">
        <v>1112.256412</v>
      </c>
      <c r="EG63" s="16" t="n">
        <v>4460.09381</v>
      </c>
      <c r="EH63" s="16" t="n">
        <v>566.9482870000001</v>
      </c>
      <c r="EI63" s="16" t="n">
        <v>4416.575915</v>
      </c>
      <c r="EJ63" s="16" t="n"/>
      <c r="EK63" s="16" t="n"/>
      <c r="EL63" s="16" t="n"/>
      <c r="EM63" s="16" t="n"/>
      <c r="EN63" s="16" t="n"/>
      <c r="EO63" s="16" t="n"/>
      <c r="EP63" s="16" t="n"/>
      <c r="EQ63" s="16" t="n"/>
      <c r="ER63" s="16" t="n"/>
      <c r="ES63" s="16" t="n"/>
      <c r="ET63" s="16" t="n"/>
      <c r="EU63" s="16" t="n"/>
    </row>
    <row r="64">
      <c r="BS64" s="16" t="n">
        <v>0.487603</v>
      </c>
      <c r="BT64" s="16" t="n">
        <v>421.452182</v>
      </c>
      <c r="BU64" s="16" t="n">
        <v>0.178248</v>
      </c>
      <c r="BV64" s="16" t="n">
        <v>410.322479</v>
      </c>
      <c r="BW64" s="16" t="n"/>
      <c r="BX64" s="16" t="n"/>
      <c r="BY64" s="16" t="n">
        <v>0.487603</v>
      </c>
      <c r="BZ64" s="16" t="n">
        <v>287.206672</v>
      </c>
      <c r="CA64" s="16" t="n">
        <v>0.178248</v>
      </c>
      <c r="CB64" s="16" t="n">
        <v>283.595056</v>
      </c>
      <c r="CC64" s="16" t="n"/>
      <c r="CD64" s="16" t="n"/>
      <c r="CE64" s="16" t="n">
        <v>0.487603</v>
      </c>
      <c r="CF64" s="16" t="n">
        <v>3547.150642</v>
      </c>
      <c r="CG64" s="16" t="n">
        <v>0.178248</v>
      </c>
      <c r="CH64" s="16" t="n">
        <v>2479.216748</v>
      </c>
      <c r="CI64" s="16" t="n"/>
      <c r="CJ64" s="16" t="n"/>
      <c r="CK64" s="16" t="n">
        <v>0.487603</v>
      </c>
      <c r="CL64" s="16" t="n">
        <v>1159.627285</v>
      </c>
      <c r="CM64" s="16" t="n">
        <v>0.178248</v>
      </c>
      <c r="CN64" s="16" t="n">
        <v>462.327813</v>
      </c>
      <c r="CO64" s="16" t="n"/>
      <c r="CP64" s="16" t="n"/>
      <c r="CQ64" s="16" t="n">
        <v>0.487603</v>
      </c>
      <c r="CR64" s="16" t="n">
        <v>0.629474</v>
      </c>
      <c r="CS64" s="16" t="n">
        <v>0.178248</v>
      </c>
      <c r="CT64" s="16" t="n">
        <v>0.586643</v>
      </c>
      <c r="CU64" s="16" t="n"/>
      <c r="CV64" s="16" t="n"/>
      <c r="CW64" s="16" t="n">
        <v>0.487603</v>
      </c>
      <c r="CX64" s="16" t="n">
        <v>0.822935</v>
      </c>
      <c r="CY64" s="16" t="n">
        <v>0.178248</v>
      </c>
      <c r="CZ64" s="16" t="n">
        <v>0.779843</v>
      </c>
      <c r="DA64" s="16" t="n"/>
      <c r="DB64" s="16" t="n"/>
      <c r="DC64" s="16" t="n">
        <v>0.487603</v>
      </c>
      <c r="DD64" s="16" t="n">
        <v>0.7811630000000001</v>
      </c>
      <c r="DE64" s="16" t="n">
        <v>0.178248</v>
      </c>
      <c r="DF64" s="16" t="n">
        <v>0.689248</v>
      </c>
      <c r="DG64" s="16" t="n"/>
      <c r="DH64" s="16" t="n"/>
      <c r="DI64" s="16" t="n">
        <v>0.487603</v>
      </c>
      <c r="DJ64" s="16" t="n">
        <v>0.757922</v>
      </c>
      <c r="DK64" s="16" t="n">
        <v>0.178248</v>
      </c>
      <c r="DL64" s="16" t="n">
        <v>0.668797</v>
      </c>
      <c r="DM64" s="16" t="n"/>
      <c r="DN64" s="16" t="n"/>
      <c r="DO64" s="16" t="n">
        <v>0.487603</v>
      </c>
      <c r="DP64" s="16" t="n">
        <v>0.774505</v>
      </c>
      <c r="DQ64" s="16" t="n">
        <v>0.178248</v>
      </c>
      <c r="DR64" s="16" t="n">
        <v>0.658043</v>
      </c>
      <c r="DS64" s="16" t="n"/>
      <c r="DT64" s="16" t="n"/>
      <c r="DU64" s="16" t="n">
        <v>0.487603</v>
      </c>
      <c r="DV64" s="16" t="n">
        <v>0.889232</v>
      </c>
      <c r="DW64" s="16" t="n">
        <v>0.178248</v>
      </c>
      <c r="DX64" s="16" t="n">
        <v>0.734688</v>
      </c>
      <c r="DY64" s="16" t="n"/>
      <c r="DZ64" s="16" t="n"/>
      <c r="EB64" s="16" t="n">
        <v>1112.70454</v>
      </c>
      <c r="EC64" s="16" t="n">
        <v>4652.457693</v>
      </c>
      <c r="ED64" s="16" t="n"/>
      <c r="EE64" s="16" t="n"/>
      <c r="EF64" s="16" t="n">
        <v>1485.335384</v>
      </c>
      <c r="EG64" s="16" t="n">
        <v>2898.101623</v>
      </c>
      <c r="EH64" s="16" t="n">
        <v>410.51752</v>
      </c>
      <c r="EI64" s="16" t="n">
        <v>2878.064123</v>
      </c>
      <c r="EJ64" s="16" t="n"/>
      <c r="EK64" s="16" t="n"/>
      <c r="EL64" s="16" t="n"/>
      <c r="EM64" s="16" t="n"/>
      <c r="EN64" s="16" t="n"/>
      <c r="EO64" s="16" t="n"/>
      <c r="EP64" s="16" t="n"/>
      <c r="EQ64" s="16" t="n"/>
      <c r="ER64" s="16" t="n"/>
      <c r="ES64" s="16" t="n"/>
      <c r="ET64" s="16" t="n"/>
      <c r="EU64" s="16" t="n"/>
    </row>
    <row r="65">
      <c r="BS65" s="16" t="n">
        <v>0.495868</v>
      </c>
      <c r="BT65" s="16" t="n">
        <v>421.738044</v>
      </c>
      <c r="BU65" s="16" t="n">
        <v>0.181269</v>
      </c>
      <c r="BV65" s="16" t="n">
        <v>410.696115</v>
      </c>
      <c r="BW65" s="16" t="n"/>
      <c r="BX65" s="16" t="n"/>
      <c r="BY65" s="16" t="n">
        <v>0.495868</v>
      </c>
      <c r="BZ65" s="16" t="n">
        <v>287.611523</v>
      </c>
      <c r="CA65" s="16" t="n">
        <v>0.181269</v>
      </c>
      <c r="CB65" s="16" t="n">
        <v>283.614227</v>
      </c>
      <c r="CC65" s="16" t="n"/>
      <c r="CD65" s="16" t="n"/>
      <c r="CE65" s="16" t="n">
        <v>0.495868</v>
      </c>
      <c r="CF65" s="16" t="n">
        <v>3558.443205</v>
      </c>
      <c r="CG65" s="16" t="n">
        <v>0.181269</v>
      </c>
      <c r="CH65" s="16" t="n">
        <v>2481.439707</v>
      </c>
      <c r="CI65" s="16" t="n"/>
      <c r="CJ65" s="16" t="n"/>
      <c r="CK65" s="16" t="n">
        <v>0.495868</v>
      </c>
      <c r="CL65" s="16" t="n">
        <v>1168.545778</v>
      </c>
      <c r="CM65" s="16" t="n">
        <v>0.181269</v>
      </c>
      <c r="CN65" s="16" t="n">
        <v>463.536993</v>
      </c>
      <c r="CO65" s="16" t="n"/>
      <c r="CP65" s="16" t="n"/>
      <c r="CQ65" s="16" t="n">
        <v>0.495868</v>
      </c>
      <c r="CR65" s="16" t="n">
        <v>0.634749</v>
      </c>
      <c r="CS65" s="16" t="n">
        <v>0.181269</v>
      </c>
      <c r="CT65" s="16" t="n">
        <v>0.587172</v>
      </c>
      <c r="CU65" s="16" t="n"/>
      <c r="CV65" s="16" t="n"/>
      <c r="CW65" s="16" t="n">
        <v>0.495868</v>
      </c>
      <c r="CX65" s="16" t="n">
        <v>0.824941</v>
      </c>
      <c r="CY65" s="16" t="n">
        <v>0.181269</v>
      </c>
      <c r="CZ65" s="16" t="n">
        <v>0.780004</v>
      </c>
      <c r="DA65" s="16" t="n"/>
      <c r="DB65" s="16" t="n"/>
      <c r="DC65" s="16" t="n">
        <v>0.495868</v>
      </c>
      <c r="DD65" s="16" t="n">
        <v>0.781907</v>
      </c>
      <c r="DE65" s="16" t="n">
        <v>0.181269</v>
      </c>
      <c r="DF65" s="16" t="n">
        <v>0.690484</v>
      </c>
      <c r="DG65" s="16" t="n"/>
      <c r="DH65" s="16" t="n"/>
      <c r="DI65" s="16" t="n">
        <v>0.495868</v>
      </c>
      <c r="DJ65" s="16" t="n">
        <v>0.760844</v>
      </c>
      <c r="DK65" s="16" t="n">
        <v>0.181269</v>
      </c>
      <c r="DL65" s="16" t="n">
        <v>0.669212</v>
      </c>
      <c r="DM65" s="16" t="n"/>
      <c r="DN65" s="16" t="n"/>
      <c r="DO65" s="16" t="n">
        <v>0.495868</v>
      </c>
      <c r="DP65" s="16" t="n">
        <v>0.775288</v>
      </c>
      <c r="DQ65" s="16" t="n">
        <v>0.181269</v>
      </c>
      <c r="DR65" s="16" t="n">
        <v>0.658323</v>
      </c>
      <c r="DS65" s="16" t="n"/>
      <c r="DT65" s="16" t="n"/>
      <c r="DU65" s="16" t="n">
        <v>0.495868</v>
      </c>
      <c r="DV65" s="16" t="n">
        <v>0.892635</v>
      </c>
      <c r="DW65" s="16" t="n">
        <v>0.181269</v>
      </c>
      <c r="DX65" s="16" t="n">
        <v>0.735567</v>
      </c>
      <c r="DY65" s="16" t="n"/>
      <c r="DZ65" s="16" t="n"/>
      <c r="EB65" s="16" t="n">
        <v>1467.220522</v>
      </c>
      <c r="EC65" s="16" t="n">
        <v>3779.924374</v>
      </c>
      <c r="ED65" s="16" t="n"/>
      <c r="EE65" s="16" t="n"/>
      <c r="EF65" s="16" t="n">
        <v>796.508553</v>
      </c>
      <c r="EG65" s="16" t="n">
        <v>2126.010874</v>
      </c>
      <c r="EH65" s="16" t="n">
        <v>717.8868639999999</v>
      </c>
      <c r="EI65" s="16" t="n">
        <v>2048.677954</v>
      </c>
      <c r="EJ65" s="16" t="n"/>
      <c r="EK65" s="16" t="n"/>
      <c r="EL65" s="16" t="n"/>
      <c r="EM65" s="16" t="n"/>
      <c r="EN65" s="16" t="n"/>
      <c r="EO65" s="16" t="n"/>
      <c r="EP65" s="16" t="n"/>
      <c r="EQ65" s="16" t="n"/>
      <c r="ER65" s="16" t="n"/>
      <c r="ES65" s="16" t="n"/>
      <c r="ET65" s="16" t="n"/>
      <c r="EU65" s="16" t="n"/>
    </row>
    <row r="66">
      <c r="BS66" s="16" t="n">
        <v>0.504132</v>
      </c>
      <c r="BT66" s="16" t="n">
        <v>422.757855</v>
      </c>
      <c r="BU66" s="16" t="n">
        <v>0.18429</v>
      </c>
      <c r="BV66" s="16" t="n">
        <v>411.003933</v>
      </c>
      <c r="BW66" s="16" t="n"/>
      <c r="BX66" s="16" t="n"/>
      <c r="BY66" s="16" t="n">
        <v>0.504132</v>
      </c>
      <c r="BZ66" s="16" t="n">
        <v>287.822055</v>
      </c>
      <c r="CA66" s="16" t="n">
        <v>0.18429</v>
      </c>
      <c r="CB66" s="16" t="n">
        <v>283.743446</v>
      </c>
      <c r="CC66" s="16" t="n"/>
      <c r="CD66" s="16" t="n"/>
      <c r="CE66" s="16" t="n">
        <v>0.504132</v>
      </c>
      <c r="CF66" s="16" t="n">
        <v>3571.407298</v>
      </c>
      <c r="CG66" s="16" t="n">
        <v>0.18429</v>
      </c>
      <c r="CH66" s="16" t="n">
        <v>2493.332741</v>
      </c>
      <c r="CI66" s="16" t="n"/>
      <c r="CJ66" s="16" t="n"/>
      <c r="CK66" s="16" t="n">
        <v>0.504132</v>
      </c>
      <c r="CL66" s="16" t="n">
        <v>1182.621036</v>
      </c>
      <c r="CM66" s="16" t="n">
        <v>0.18429</v>
      </c>
      <c r="CN66" s="16" t="n">
        <v>467.40074</v>
      </c>
      <c r="CO66" s="16" t="n"/>
      <c r="CP66" s="16" t="n"/>
      <c r="CQ66" s="16" t="n">
        <v>0.504132</v>
      </c>
      <c r="CR66" s="16" t="n">
        <v>0.636733</v>
      </c>
      <c r="CS66" s="16" t="n">
        <v>0.18429</v>
      </c>
      <c r="CT66" s="16" t="n">
        <v>0.587911</v>
      </c>
      <c r="CU66" s="16" t="n"/>
      <c r="CV66" s="16" t="n"/>
      <c r="CW66" s="16" t="n">
        <v>0.504132</v>
      </c>
      <c r="CX66" s="16" t="n">
        <v>0.825477</v>
      </c>
      <c r="CY66" s="16" t="n">
        <v>0.18429</v>
      </c>
      <c r="CZ66" s="16" t="n">
        <v>0.780705</v>
      </c>
      <c r="DA66" s="16" t="n"/>
      <c r="DB66" s="16" t="n"/>
      <c r="DC66" s="16" t="n">
        <v>0.504132</v>
      </c>
      <c r="DD66" s="16" t="n">
        <v>0.783908</v>
      </c>
      <c r="DE66" s="16" t="n">
        <v>0.18429</v>
      </c>
      <c r="DF66" s="16" t="n">
        <v>0.690819</v>
      </c>
      <c r="DG66" s="16" t="n"/>
      <c r="DH66" s="16" t="n"/>
      <c r="DI66" s="16" t="n">
        <v>0.504132</v>
      </c>
      <c r="DJ66" s="16" t="n">
        <v>0.76186</v>
      </c>
      <c r="DK66" s="16" t="n">
        <v>0.18429</v>
      </c>
      <c r="DL66" s="16" t="n">
        <v>0.672728</v>
      </c>
      <c r="DM66" s="16" t="n"/>
      <c r="DN66" s="16" t="n"/>
      <c r="DO66" s="16" t="n">
        <v>0.504132</v>
      </c>
      <c r="DP66" s="16" t="n">
        <v>0.785898</v>
      </c>
      <c r="DQ66" s="16" t="n">
        <v>0.18429</v>
      </c>
      <c r="DR66" s="16" t="n">
        <v>0.658972</v>
      </c>
      <c r="DS66" s="16" t="n"/>
      <c r="DT66" s="16" t="n"/>
      <c r="DU66" s="16" t="n">
        <v>0.504132</v>
      </c>
      <c r="DV66" s="16" t="n">
        <v>0.89389</v>
      </c>
      <c r="DW66" s="16" t="n">
        <v>0.18429</v>
      </c>
      <c r="DX66" s="16" t="n">
        <v>0.7356</v>
      </c>
      <c r="DY66" s="16" t="n"/>
      <c r="DZ66" s="16" t="n"/>
      <c r="EB66" s="16" t="n">
        <v>558.164701</v>
      </c>
      <c r="EC66" s="16" t="n">
        <v>4675.27472</v>
      </c>
      <c r="ED66" s="16" t="n"/>
      <c r="EE66" s="16" t="n"/>
      <c r="EF66" s="16" t="n">
        <v>500.461403</v>
      </c>
      <c r="EG66" s="16" t="n">
        <v>3614.682524</v>
      </c>
      <c r="EH66" s="16" t="n">
        <v>1013.429227</v>
      </c>
      <c r="EI66" s="16" t="n">
        <v>3238.262952</v>
      </c>
      <c r="EJ66" s="16" t="n"/>
      <c r="EK66" s="16" t="n"/>
      <c r="EL66" s="16" t="n"/>
      <c r="EM66" s="16" t="n"/>
      <c r="EN66" s="16" t="n"/>
      <c r="EO66" s="16" t="n"/>
      <c r="EP66" s="16" t="n"/>
      <c r="EQ66" s="16" t="n"/>
      <c r="ER66" s="16" t="n"/>
      <c r="ES66" s="16" t="n"/>
      <c r="ET66" s="16" t="n"/>
      <c r="EU66" s="16" t="n"/>
    </row>
    <row r="67">
      <c r="BS67" s="16" t="n">
        <v>0.512397</v>
      </c>
      <c r="BT67" s="16" t="n">
        <v>423.995019</v>
      </c>
      <c r="BU67" s="16" t="n">
        <v>0.187311</v>
      </c>
      <c r="BV67" s="16" t="n">
        <v>411.638661</v>
      </c>
      <c r="BW67" s="16" t="n"/>
      <c r="BX67" s="16" t="n"/>
      <c r="BY67" s="16" t="n">
        <v>0.512397</v>
      </c>
      <c r="BZ67" s="16" t="n">
        <v>287.878143</v>
      </c>
      <c r="CA67" s="16" t="n">
        <v>0.187311</v>
      </c>
      <c r="CB67" s="16" t="n">
        <v>283.781847</v>
      </c>
      <c r="CC67" s="16" t="n"/>
      <c r="CD67" s="16" t="n"/>
      <c r="CE67" s="16" t="n">
        <v>0.512397</v>
      </c>
      <c r="CF67" s="16" t="n">
        <v>3600.243701</v>
      </c>
      <c r="CG67" s="16" t="n">
        <v>0.187311</v>
      </c>
      <c r="CH67" s="16" t="n">
        <v>2506.836027</v>
      </c>
      <c r="CI67" s="16" t="n"/>
      <c r="CJ67" s="16" t="n"/>
      <c r="CK67" s="16" t="n">
        <v>0.512397</v>
      </c>
      <c r="CL67" s="16" t="n">
        <v>1184.909451</v>
      </c>
      <c r="CM67" s="16" t="n">
        <v>0.187311</v>
      </c>
      <c r="CN67" s="16" t="n">
        <v>469.177867</v>
      </c>
      <c r="CO67" s="16" t="n"/>
      <c r="CP67" s="16" t="n"/>
      <c r="CQ67" s="16" t="n">
        <v>0.512397</v>
      </c>
      <c r="CR67" s="16" t="n">
        <v>0.636833</v>
      </c>
      <c r="CS67" s="16" t="n">
        <v>0.187311</v>
      </c>
      <c r="CT67" s="16" t="n">
        <v>0.5881420000000001</v>
      </c>
      <c r="CU67" s="16" t="n"/>
      <c r="CV67" s="16" t="n"/>
      <c r="CW67" s="16" t="n">
        <v>0.512397</v>
      </c>
      <c r="CX67" s="16" t="n">
        <v>0.826498</v>
      </c>
      <c r="CY67" s="16" t="n">
        <v>0.187311</v>
      </c>
      <c r="CZ67" s="16" t="n">
        <v>0.781552</v>
      </c>
      <c r="DA67" s="16" t="n"/>
      <c r="DB67" s="16" t="n"/>
      <c r="DC67" s="16" t="n">
        <v>0.512397</v>
      </c>
      <c r="DD67" s="16" t="n">
        <v>0.786478</v>
      </c>
      <c r="DE67" s="16" t="n">
        <v>0.187311</v>
      </c>
      <c r="DF67" s="16" t="n">
        <v>0.6921929999999999</v>
      </c>
      <c r="DG67" s="16" t="n"/>
      <c r="DH67" s="16" t="n"/>
      <c r="DI67" s="16" t="n">
        <v>0.512397</v>
      </c>
      <c r="DJ67" s="16" t="n">
        <v>0.768514</v>
      </c>
      <c r="DK67" s="16" t="n">
        <v>0.187311</v>
      </c>
      <c r="DL67" s="16" t="n">
        <v>0.673249</v>
      </c>
      <c r="DM67" s="16" t="n"/>
      <c r="DN67" s="16" t="n"/>
      <c r="DO67" s="16" t="n">
        <v>0.512397</v>
      </c>
      <c r="DP67" s="16" t="n">
        <v>0.787737</v>
      </c>
      <c r="DQ67" s="16" t="n">
        <v>0.187311</v>
      </c>
      <c r="DR67" s="16" t="n">
        <v>0.659683</v>
      </c>
      <c r="DS67" s="16" t="n"/>
      <c r="DT67" s="16" t="n"/>
      <c r="DU67" s="16" t="n">
        <v>0.512397</v>
      </c>
      <c r="DV67" s="16" t="n">
        <v>0.895525</v>
      </c>
      <c r="DW67" s="16" t="n">
        <v>0.187311</v>
      </c>
      <c r="DX67" s="16" t="n">
        <v>0.735927</v>
      </c>
      <c r="DY67" s="16" t="n"/>
      <c r="DZ67" s="16" t="n"/>
      <c r="EB67" s="16" t="n">
        <v>873.425306</v>
      </c>
      <c r="EC67" s="16" t="n">
        <v>4312.986811</v>
      </c>
      <c r="ED67" s="16" t="n"/>
      <c r="EE67" s="16" t="n"/>
      <c r="EF67" s="16" t="n">
        <v>608.511126</v>
      </c>
      <c r="EG67" s="16" t="n">
        <v>2669.17465</v>
      </c>
      <c r="EH67" s="16" t="n">
        <v>1002.139182</v>
      </c>
      <c r="EI67" s="16" t="n">
        <v>4817.775632</v>
      </c>
      <c r="EJ67" s="16" t="n"/>
      <c r="EK67" s="16" t="n"/>
      <c r="EL67" s="16" t="n"/>
      <c r="EM67" s="16" t="n"/>
      <c r="EN67" s="16" t="n"/>
      <c r="EO67" s="16" t="n"/>
      <c r="EP67" s="16" t="n"/>
      <c r="EQ67" s="16" t="n"/>
      <c r="ER67" s="16" t="n"/>
      <c r="ES67" s="16" t="n"/>
      <c r="ET67" s="16" t="n"/>
      <c r="EU67" s="16" t="n"/>
    </row>
    <row r="68">
      <c r="BS68" s="16" t="n">
        <v>0.520661</v>
      </c>
      <c r="BT68" s="16" t="n">
        <v>425.717292</v>
      </c>
      <c r="BU68" s="16" t="n">
        <v>0.190332</v>
      </c>
      <c r="BV68" s="16" t="n">
        <v>411.884767</v>
      </c>
      <c r="BW68" s="16" t="n"/>
      <c r="BX68" s="16" t="n"/>
      <c r="BY68" s="16" t="n">
        <v>0.520661</v>
      </c>
      <c r="BZ68" s="16" t="n">
        <v>287.893254</v>
      </c>
      <c r="CA68" s="16" t="n">
        <v>0.190332</v>
      </c>
      <c r="CB68" s="16" t="n">
        <v>283.877864</v>
      </c>
      <c r="CC68" s="16" t="n"/>
      <c r="CD68" s="16" t="n"/>
      <c r="CE68" s="16" t="n">
        <v>0.520661</v>
      </c>
      <c r="CF68" s="16" t="n">
        <v>3635.642215</v>
      </c>
      <c r="CG68" s="16" t="n">
        <v>0.190332</v>
      </c>
      <c r="CH68" s="16" t="n">
        <v>2507.763488</v>
      </c>
      <c r="CI68" s="16" t="n"/>
      <c r="CJ68" s="16" t="n"/>
      <c r="CK68" s="16" t="n">
        <v>0.520661</v>
      </c>
      <c r="CL68" s="16" t="n">
        <v>1187.029411</v>
      </c>
      <c r="CM68" s="16" t="n">
        <v>0.190332</v>
      </c>
      <c r="CN68" s="16" t="n">
        <v>475.732855</v>
      </c>
      <c r="CO68" s="16" t="n"/>
      <c r="CP68" s="16" t="n"/>
      <c r="CQ68" s="16" t="n">
        <v>0.520661</v>
      </c>
      <c r="CR68" s="16" t="n">
        <v>0.638783</v>
      </c>
      <c r="CS68" s="16" t="n">
        <v>0.190332</v>
      </c>
      <c r="CT68" s="16" t="n">
        <v>0.589731</v>
      </c>
      <c r="CU68" s="16" t="n"/>
      <c r="CV68" s="16" t="n"/>
      <c r="CW68" s="16" t="n">
        <v>0.520661</v>
      </c>
      <c r="CX68" s="16" t="n">
        <v>0.827422</v>
      </c>
      <c r="CY68" s="16" t="n">
        <v>0.190332</v>
      </c>
      <c r="CZ68" s="16" t="n">
        <v>0.781825</v>
      </c>
      <c r="DA68" s="16" t="n"/>
      <c r="DB68" s="16" t="n"/>
      <c r="DC68" s="16" t="n">
        <v>0.520661</v>
      </c>
      <c r="DD68" s="16" t="n">
        <v>0.790227</v>
      </c>
      <c r="DE68" s="16" t="n">
        <v>0.190332</v>
      </c>
      <c r="DF68" s="16" t="n">
        <v>0.6924</v>
      </c>
      <c r="DG68" s="16" t="n"/>
      <c r="DH68" s="16" t="n"/>
      <c r="DI68" s="16" t="n">
        <v>0.520661</v>
      </c>
      <c r="DJ68" s="16" t="n">
        <v>0.768834</v>
      </c>
      <c r="DK68" s="16" t="n">
        <v>0.190332</v>
      </c>
      <c r="DL68" s="16" t="n">
        <v>0.67371</v>
      </c>
      <c r="DM68" s="16" t="n"/>
      <c r="DN68" s="16" t="n"/>
      <c r="DO68" s="16" t="n">
        <v>0.520661</v>
      </c>
      <c r="DP68" s="16" t="n">
        <v>0.80119</v>
      </c>
      <c r="DQ68" s="16" t="n">
        <v>0.190332</v>
      </c>
      <c r="DR68" s="16" t="n">
        <v>0.6612440000000001</v>
      </c>
      <c r="DS68" s="16" t="n"/>
      <c r="DT68" s="16" t="n"/>
      <c r="DU68" s="16" t="n">
        <v>0.520661</v>
      </c>
      <c r="DV68" s="16" t="n">
        <v>0.895918</v>
      </c>
      <c r="DW68" s="16" t="n">
        <v>0.190332</v>
      </c>
      <c r="DX68" s="16" t="n">
        <v>0.737088</v>
      </c>
      <c r="DY68" s="16" t="n"/>
      <c r="DZ68" s="16" t="n"/>
      <c r="EB68" s="16" t="n">
        <v>1219.592557</v>
      </c>
      <c r="EC68" s="16" t="n">
        <v>3203.706481</v>
      </c>
      <c r="ED68" s="16" t="n"/>
      <c r="EE68" s="16" t="n"/>
      <c r="EF68" s="16" t="n">
        <v>1284.238433</v>
      </c>
      <c r="EG68" s="16" t="n">
        <v>2372.337325</v>
      </c>
      <c r="EH68" s="16" t="n">
        <v>1150.143754</v>
      </c>
      <c r="EI68" s="16" t="n">
        <v>4156.76591</v>
      </c>
      <c r="EJ68" s="16" t="n"/>
      <c r="EK68" s="16" t="n"/>
      <c r="EL68" s="16" t="n"/>
      <c r="EM68" s="16" t="n"/>
      <c r="EN68" s="16" t="n"/>
      <c r="EO68" s="16" t="n"/>
      <c r="EP68" s="16" t="n"/>
      <c r="EQ68" s="16" t="n"/>
      <c r="ER68" s="16" t="n"/>
      <c r="ES68" s="16" t="n"/>
      <c r="ET68" s="16" t="n"/>
      <c r="EU68" s="16" t="n"/>
    </row>
    <row r="69">
      <c r="BS69" s="16" t="n">
        <v>0.528926</v>
      </c>
      <c r="BT69" s="16" t="n">
        <v>425.974312</v>
      </c>
      <c r="BU69" s="16" t="n">
        <v>0.193353</v>
      </c>
      <c r="BV69" s="16" t="n">
        <v>412.329365</v>
      </c>
      <c r="BW69" s="16" t="n"/>
      <c r="BX69" s="16" t="n"/>
      <c r="BY69" s="16" t="n">
        <v>0.528926</v>
      </c>
      <c r="BZ69" s="16" t="n">
        <v>288.347517</v>
      </c>
      <c r="CA69" s="16" t="n">
        <v>0.193353</v>
      </c>
      <c r="CB69" s="16" t="n">
        <v>283.938467</v>
      </c>
      <c r="CC69" s="16" t="n"/>
      <c r="CD69" s="16" t="n"/>
      <c r="CE69" s="16" t="n">
        <v>0.528926</v>
      </c>
      <c r="CF69" s="16" t="n">
        <v>3648.122848</v>
      </c>
      <c r="CG69" s="16" t="n">
        <v>0.193353</v>
      </c>
      <c r="CH69" s="16" t="n">
        <v>2513.999873</v>
      </c>
      <c r="CI69" s="16" t="n"/>
      <c r="CJ69" s="16" t="n"/>
      <c r="CK69" s="16" t="n">
        <v>0.528926</v>
      </c>
      <c r="CL69" s="16" t="n">
        <v>1190.441137</v>
      </c>
      <c r="CM69" s="16" t="n">
        <v>0.193353</v>
      </c>
      <c r="CN69" s="16" t="n">
        <v>478.161938</v>
      </c>
      <c r="CO69" s="16" t="n"/>
      <c r="CP69" s="16" t="n"/>
      <c r="CQ69" s="16" t="n">
        <v>0.528926</v>
      </c>
      <c r="CR69" s="16" t="n">
        <v>0.642059</v>
      </c>
      <c r="CS69" s="16" t="n">
        <v>0.193353</v>
      </c>
      <c r="CT69" s="16" t="n">
        <v>0.590432</v>
      </c>
      <c r="CU69" s="16" t="n"/>
      <c r="CV69" s="16" t="n"/>
      <c r="CW69" s="16" t="n">
        <v>0.528926</v>
      </c>
      <c r="CX69" s="16" t="n">
        <v>0.830176</v>
      </c>
      <c r="CY69" s="16" t="n">
        <v>0.193353</v>
      </c>
      <c r="CZ69" s="16" t="n">
        <v>0.782551</v>
      </c>
      <c r="DA69" s="16" t="n"/>
      <c r="DB69" s="16" t="n"/>
      <c r="DC69" s="16" t="n">
        <v>0.528926</v>
      </c>
      <c r="DD69" s="16" t="n">
        <v>0.791216</v>
      </c>
      <c r="DE69" s="16" t="n">
        <v>0.193353</v>
      </c>
      <c r="DF69" s="16" t="n">
        <v>0.692905</v>
      </c>
      <c r="DG69" s="16" t="n"/>
      <c r="DH69" s="16" t="n"/>
      <c r="DI69" s="16" t="n">
        <v>0.528926</v>
      </c>
      <c r="DJ69" s="16" t="n">
        <v>0.770761</v>
      </c>
      <c r="DK69" s="16" t="n">
        <v>0.193353</v>
      </c>
      <c r="DL69" s="16" t="n">
        <v>0.6741</v>
      </c>
      <c r="DM69" s="16" t="n"/>
      <c r="DN69" s="16" t="n"/>
      <c r="DO69" s="16" t="n">
        <v>0.528926</v>
      </c>
      <c r="DP69" s="16" t="n">
        <v>0.801599</v>
      </c>
      <c r="DQ69" s="16" t="n">
        <v>0.193353</v>
      </c>
      <c r="DR69" s="16" t="n">
        <v>0.662828</v>
      </c>
      <c r="DS69" s="16" t="n"/>
      <c r="DT69" s="16" t="n"/>
      <c r="DU69" s="16" t="n">
        <v>0.528926</v>
      </c>
      <c r="DV69" s="16" t="n">
        <v>0.897164</v>
      </c>
      <c r="DW69" s="16" t="n">
        <v>0.193353</v>
      </c>
      <c r="DX69" s="16" t="n">
        <v>0.7378209999999999</v>
      </c>
      <c r="DY69" s="16" t="n"/>
      <c r="DZ69" s="16" t="n"/>
      <c r="EB69" s="16" t="n">
        <v>1326.8056</v>
      </c>
      <c r="EC69" s="16" t="n">
        <v>3382.467326</v>
      </c>
      <c r="ED69" s="16" t="n"/>
      <c r="EE69" s="16" t="n"/>
      <c r="EF69" s="16" t="n">
        <v>1438.266042</v>
      </c>
      <c r="EG69" s="16" t="n">
        <v>4057.000961</v>
      </c>
      <c r="EH69" s="16" t="n">
        <v>616.3650709999999</v>
      </c>
      <c r="EI69" s="16" t="n">
        <v>3869.926538</v>
      </c>
      <c r="EJ69" s="16" t="n"/>
      <c r="EK69" s="16" t="n"/>
      <c r="EL69" s="16" t="n"/>
      <c r="EM69" s="16" t="n"/>
      <c r="EN69" s="16" t="n"/>
      <c r="EO69" s="16" t="n"/>
      <c r="EP69" s="16" t="n"/>
      <c r="EQ69" s="16" t="n"/>
      <c r="ER69" s="16" t="n"/>
      <c r="ES69" s="16" t="n"/>
      <c r="ET69" s="16" t="n"/>
      <c r="EU69" s="16" t="n"/>
    </row>
    <row r="70">
      <c r="BS70" s="16" t="n">
        <v>0.5371899999999999</v>
      </c>
      <c r="BT70" s="16" t="n">
        <v>427.253236</v>
      </c>
      <c r="BU70" s="16" t="n">
        <v>0.196375</v>
      </c>
      <c r="BV70" s="16" t="n">
        <v>412.662163</v>
      </c>
      <c r="BW70" s="16" t="n"/>
      <c r="BX70" s="16" t="n"/>
      <c r="BY70" s="16" t="n">
        <v>0.5371899999999999</v>
      </c>
      <c r="BZ70" s="16" t="n">
        <v>288.38456</v>
      </c>
      <c r="CA70" s="16" t="n">
        <v>0.196375</v>
      </c>
      <c r="CB70" s="16" t="n">
        <v>284.237882</v>
      </c>
      <c r="CC70" s="16" t="n"/>
      <c r="CD70" s="16" t="n"/>
      <c r="CE70" s="16" t="n">
        <v>0.5371899999999999</v>
      </c>
      <c r="CF70" s="16" t="n">
        <v>3672.889561</v>
      </c>
      <c r="CG70" s="16" t="n">
        <v>0.196375</v>
      </c>
      <c r="CH70" s="16" t="n">
        <v>2529.134636</v>
      </c>
      <c r="CI70" s="16" t="n"/>
      <c r="CJ70" s="16" t="n"/>
      <c r="CK70" s="16" t="n">
        <v>0.5371899999999999</v>
      </c>
      <c r="CL70" s="16" t="n">
        <v>1194.306986</v>
      </c>
      <c r="CM70" s="16" t="n">
        <v>0.196375</v>
      </c>
      <c r="CN70" s="16" t="n">
        <v>480.628483</v>
      </c>
      <c r="CO70" s="16" t="n"/>
      <c r="CP70" s="16" t="n"/>
      <c r="CQ70" s="16" t="n">
        <v>0.5371899999999999</v>
      </c>
      <c r="CR70" s="16" t="n">
        <v>0.64358</v>
      </c>
      <c r="CS70" s="16" t="n">
        <v>0.196375</v>
      </c>
      <c r="CT70" s="16" t="n">
        <v>0.590654</v>
      </c>
      <c r="CU70" s="16" t="n"/>
      <c r="CV70" s="16" t="n"/>
      <c r="CW70" s="16" t="n">
        <v>0.5371899999999999</v>
      </c>
      <c r="CX70" s="16" t="n">
        <v>0.835912</v>
      </c>
      <c r="CY70" s="16" t="n">
        <v>0.196375</v>
      </c>
      <c r="CZ70" s="16" t="n">
        <v>0.783338</v>
      </c>
      <c r="DA70" s="16" t="n"/>
      <c r="DB70" s="16" t="n"/>
      <c r="DC70" s="16" t="n">
        <v>0.5371899999999999</v>
      </c>
      <c r="DD70" s="16" t="n">
        <v>0.791322</v>
      </c>
      <c r="DE70" s="16" t="n">
        <v>0.196375</v>
      </c>
      <c r="DF70" s="16" t="n">
        <v>0.692978</v>
      </c>
      <c r="DG70" s="16" t="n"/>
      <c r="DH70" s="16" t="n"/>
      <c r="DI70" s="16" t="n">
        <v>0.5371899999999999</v>
      </c>
      <c r="DJ70" s="16" t="n">
        <v>0.771178</v>
      </c>
      <c r="DK70" s="16" t="n">
        <v>0.196375</v>
      </c>
      <c r="DL70" s="16" t="n">
        <v>0.675758</v>
      </c>
      <c r="DM70" s="16" t="n"/>
      <c r="DN70" s="16" t="n"/>
      <c r="DO70" s="16" t="n">
        <v>0.5371899999999999</v>
      </c>
      <c r="DP70" s="16" t="n">
        <v>0.803275</v>
      </c>
      <c r="DQ70" s="16" t="n">
        <v>0.196375</v>
      </c>
      <c r="DR70" s="16" t="n">
        <v>0.663164</v>
      </c>
      <c r="DS70" s="16" t="n"/>
      <c r="DT70" s="16" t="n"/>
      <c r="DU70" s="16" t="n">
        <v>0.5371899999999999</v>
      </c>
      <c r="DV70" s="16" t="n">
        <v>0.897724</v>
      </c>
      <c r="DW70" s="16" t="n">
        <v>0.196375</v>
      </c>
      <c r="DX70" s="16" t="n">
        <v>0.738275</v>
      </c>
      <c r="DY70" s="16" t="n"/>
      <c r="DZ70" s="16" t="n"/>
      <c r="EB70" s="16" t="n">
        <v>1159.627285</v>
      </c>
      <c r="EC70" s="16" t="n">
        <v>4811.745788</v>
      </c>
      <c r="ED70" s="16" t="n"/>
      <c r="EE70" s="16" t="n"/>
      <c r="EF70" s="16" t="n">
        <v>1310.739908</v>
      </c>
      <c r="EG70" s="16" t="n">
        <v>4744.047708</v>
      </c>
      <c r="EH70" s="16" t="n">
        <v>1257.862416</v>
      </c>
      <c r="EI70" s="16" t="n">
        <v>3001.727051</v>
      </c>
      <c r="EJ70" s="16" t="n"/>
      <c r="EK70" s="16" t="n"/>
      <c r="EL70" s="16" t="n"/>
      <c r="EM70" s="16" t="n"/>
      <c r="EN70" s="16" t="n"/>
      <c r="EO70" s="16" t="n"/>
      <c r="EP70" s="16" t="n"/>
      <c r="EQ70" s="16" t="n"/>
      <c r="ER70" s="16" t="n"/>
      <c r="ES70" s="16" t="n"/>
      <c r="ET70" s="16" t="n"/>
      <c r="EU70" s="16" t="n"/>
    </row>
    <row r="71">
      <c r="BS71" s="16" t="n">
        <v>0.545455</v>
      </c>
      <c r="BT71" s="16" t="n">
        <v>427.666354</v>
      </c>
      <c r="BU71" s="16" t="n">
        <v>0.199396</v>
      </c>
      <c r="BV71" s="16" t="n">
        <v>413.068711</v>
      </c>
      <c r="BW71" s="16" t="n"/>
      <c r="BX71" s="16" t="n"/>
      <c r="BY71" s="16" t="n">
        <v>0.545455</v>
      </c>
      <c r="BZ71" s="16" t="n">
        <v>288.661809</v>
      </c>
      <c r="CA71" s="16" t="n">
        <v>0.199396</v>
      </c>
      <c r="CB71" s="16" t="n">
        <v>284.332576</v>
      </c>
      <c r="CC71" s="16" t="n"/>
      <c r="CD71" s="16" t="n"/>
      <c r="CE71" s="16" t="n">
        <v>0.545455</v>
      </c>
      <c r="CF71" s="16" t="n">
        <v>3682.617964</v>
      </c>
      <c r="CG71" s="16" t="n">
        <v>0.199396</v>
      </c>
      <c r="CH71" s="16" t="n">
        <v>2530.991649</v>
      </c>
      <c r="CI71" s="16" t="n"/>
      <c r="CJ71" s="16" t="n"/>
      <c r="CK71" s="16" t="n">
        <v>0.545455</v>
      </c>
      <c r="CL71" s="16" t="n">
        <v>1200.548313</v>
      </c>
      <c r="CM71" s="16" t="n">
        <v>0.199396</v>
      </c>
      <c r="CN71" s="16" t="n">
        <v>484.300956</v>
      </c>
      <c r="CO71" s="16" t="n"/>
      <c r="CP71" s="16" t="n"/>
      <c r="CQ71" s="16" t="n">
        <v>0.545455</v>
      </c>
      <c r="CR71" s="16" t="n">
        <v>0.644593</v>
      </c>
      <c r="CS71" s="16" t="n">
        <v>0.199396</v>
      </c>
      <c r="CT71" s="16" t="n">
        <v>0.591449</v>
      </c>
      <c r="CU71" s="16" t="n"/>
      <c r="CV71" s="16" t="n"/>
      <c r="CW71" s="16" t="n">
        <v>0.545455</v>
      </c>
      <c r="CX71" s="16" t="n">
        <v>0.83866</v>
      </c>
      <c r="CY71" s="16" t="n">
        <v>0.199396</v>
      </c>
      <c r="CZ71" s="16" t="n">
        <v>0.78398</v>
      </c>
      <c r="DA71" s="16" t="n"/>
      <c r="DB71" s="16" t="n"/>
      <c r="DC71" s="16" t="n">
        <v>0.545455</v>
      </c>
      <c r="DD71" s="16" t="n">
        <v>0.794766</v>
      </c>
      <c r="DE71" s="16" t="n">
        <v>0.199396</v>
      </c>
      <c r="DF71" s="16" t="n">
        <v>0.693449</v>
      </c>
      <c r="DG71" s="16" t="n"/>
      <c r="DH71" s="16" t="n"/>
      <c r="DI71" s="16" t="n">
        <v>0.545455</v>
      </c>
      <c r="DJ71" s="16" t="n">
        <v>0.774571</v>
      </c>
      <c r="DK71" s="16" t="n">
        <v>0.199396</v>
      </c>
      <c r="DL71" s="16" t="n">
        <v>0.678487</v>
      </c>
      <c r="DM71" s="16" t="n"/>
      <c r="DN71" s="16" t="n"/>
      <c r="DO71" s="16" t="n">
        <v>0.545455</v>
      </c>
      <c r="DP71" s="16" t="n">
        <v>0.8058380000000001</v>
      </c>
      <c r="DQ71" s="16" t="n">
        <v>0.199396</v>
      </c>
      <c r="DR71" s="16" t="n">
        <v>0.6631899999999999</v>
      </c>
      <c r="DS71" s="16" t="n"/>
      <c r="DT71" s="16" t="n"/>
      <c r="DU71" s="16" t="n">
        <v>0.545455</v>
      </c>
      <c r="DV71" s="16" t="n">
        <v>0.899738</v>
      </c>
      <c r="DW71" s="16" t="n">
        <v>0.199396</v>
      </c>
      <c r="DX71" s="16" t="n">
        <v>0.739072</v>
      </c>
      <c r="DY71" s="16" t="n"/>
      <c r="DZ71" s="16" t="n"/>
      <c r="EB71" s="16" t="n">
        <v>1416.577729</v>
      </c>
      <c r="EC71" s="16" t="n">
        <v>3285.184148</v>
      </c>
      <c r="ED71" s="16" t="n"/>
      <c r="EE71" s="16" t="n"/>
      <c r="EF71" s="16" t="n">
        <v>1089.357486</v>
      </c>
      <c r="EG71" s="16" t="n">
        <v>2181.880507</v>
      </c>
      <c r="EH71" s="16" t="n">
        <v>697.835226</v>
      </c>
      <c r="EI71" s="16" t="n">
        <v>2925.327037</v>
      </c>
      <c r="EJ71" s="16" t="n"/>
      <c r="EK71" s="16" t="n"/>
      <c r="EL71" s="16" t="n"/>
      <c r="EM71" s="16" t="n"/>
      <c r="EN71" s="16" t="n"/>
      <c r="EO71" s="16" t="n"/>
      <c r="EP71" s="16" t="n"/>
      <c r="EQ71" s="16" t="n"/>
      <c r="ER71" s="16" t="n"/>
      <c r="ES71" s="16" t="n"/>
      <c r="ET71" s="16" t="n"/>
      <c r="EU71" s="16" t="n"/>
    </row>
    <row r="72">
      <c r="BS72" s="16" t="n">
        <v>0.553719</v>
      </c>
      <c r="BT72" s="16" t="n">
        <v>428.033388</v>
      </c>
      <c r="BU72" s="16" t="n">
        <v>0.202417</v>
      </c>
      <c r="BV72" s="16" t="n">
        <v>413.081164</v>
      </c>
      <c r="BW72" s="16" t="n"/>
      <c r="BX72" s="16" t="n"/>
      <c r="BY72" s="16" t="n">
        <v>0.553719</v>
      </c>
      <c r="BZ72" s="16" t="n">
        <v>288.737462</v>
      </c>
      <c r="CA72" s="16" t="n">
        <v>0.202417</v>
      </c>
      <c r="CB72" s="16" t="n">
        <v>284.435398</v>
      </c>
      <c r="CC72" s="16" t="n"/>
      <c r="CD72" s="16" t="n"/>
      <c r="CE72" s="16" t="n">
        <v>0.553719</v>
      </c>
      <c r="CF72" s="16" t="n">
        <v>3689.007664</v>
      </c>
      <c r="CG72" s="16" t="n">
        <v>0.202417</v>
      </c>
      <c r="CH72" s="16" t="n">
        <v>2531.47284</v>
      </c>
      <c r="CI72" s="16" t="n"/>
      <c r="CJ72" s="16" t="n"/>
      <c r="CK72" s="16" t="n">
        <v>0.553719</v>
      </c>
      <c r="CL72" s="16" t="n">
        <v>1205.063075</v>
      </c>
      <c r="CM72" s="16" t="n">
        <v>0.202417</v>
      </c>
      <c r="CN72" s="16" t="n">
        <v>486.260167</v>
      </c>
      <c r="CO72" s="16" t="n"/>
      <c r="CP72" s="16" t="n"/>
      <c r="CQ72" s="16" t="n">
        <v>0.553719</v>
      </c>
      <c r="CR72" s="16" t="n">
        <v>0.64571</v>
      </c>
      <c r="CS72" s="16" t="n">
        <v>0.202417</v>
      </c>
      <c r="CT72" s="16" t="n">
        <v>0.59248</v>
      </c>
      <c r="CU72" s="16" t="n"/>
      <c r="CV72" s="16" t="n"/>
      <c r="CW72" s="16" t="n">
        <v>0.553719</v>
      </c>
      <c r="CX72" s="16" t="n">
        <v>0.839167</v>
      </c>
      <c r="CY72" s="16" t="n">
        <v>0.202417</v>
      </c>
      <c r="CZ72" s="16" t="n">
        <v>0.784645</v>
      </c>
      <c r="DA72" s="16" t="n"/>
      <c r="DB72" s="16" t="n"/>
      <c r="DC72" s="16" t="n">
        <v>0.553719</v>
      </c>
      <c r="DD72" s="16" t="n">
        <v>0.799524</v>
      </c>
      <c r="DE72" s="16" t="n">
        <v>0.202417</v>
      </c>
      <c r="DF72" s="16" t="n">
        <v>0.695021</v>
      </c>
      <c r="DG72" s="16" t="n"/>
      <c r="DH72" s="16" t="n"/>
      <c r="DI72" s="16" t="n">
        <v>0.553719</v>
      </c>
      <c r="DJ72" s="16" t="n">
        <v>0.775794</v>
      </c>
      <c r="DK72" s="16" t="n">
        <v>0.202417</v>
      </c>
      <c r="DL72" s="16" t="n">
        <v>0.678499</v>
      </c>
      <c r="DM72" s="16" t="n"/>
      <c r="DN72" s="16" t="n"/>
      <c r="DO72" s="16" t="n">
        <v>0.553719</v>
      </c>
      <c r="DP72" s="16" t="n">
        <v>0.808419</v>
      </c>
      <c r="DQ72" s="16" t="n">
        <v>0.202417</v>
      </c>
      <c r="DR72" s="16" t="n">
        <v>0.664509</v>
      </c>
      <c r="DS72" s="16" t="n"/>
      <c r="DT72" s="16" t="n"/>
      <c r="DU72" s="16" t="n">
        <v>0.553719</v>
      </c>
      <c r="DV72" s="16" t="n">
        <v>0.9015609999999999</v>
      </c>
      <c r="DW72" s="16" t="n">
        <v>0.202417</v>
      </c>
      <c r="DX72" s="16" t="n">
        <v>0.73914</v>
      </c>
      <c r="DY72" s="16" t="n"/>
      <c r="DZ72" s="16" t="n"/>
      <c r="EB72" s="16" t="n">
        <v>1471.05069</v>
      </c>
      <c r="EC72" s="16" t="n">
        <v>3689.007664</v>
      </c>
      <c r="ED72" s="16" t="n"/>
      <c r="EE72" s="16" t="n"/>
      <c r="EF72" s="16" t="n">
        <v>957.691583</v>
      </c>
      <c r="EG72" s="16" t="n">
        <v>2694.119121</v>
      </c>
      <c r="EH72" s="16" t="n">
        <v>555.6196169999999</v>
      </c>
      <c r="EI72" s="16" t="n">
        <v>4426.957176</v>
      </c>
      <c r="EJ72" s="16" t="n"/>
      <c r="EK72" s="16" t="n"/>
      <c r="EL72" s="16" t="n"/>
      <c r="EM72" s="16" t="n"/>
      <c r="EN72" s="16" t="n"/>
      <c r="EO72" s="16" t="n"/>
      <c r="EP72" s="16" t="n"/>
      <c r="EQ72" s="16" t="n"/>
      <c r="ER72" s="16" t="n"/>
      <c r="ES72" s="16" t="n"/>
      <c r="ET72" s="16" t="n"/>
      <c r="EU72" s="16" t="n"/>
    </row>
    <row r="73">
      <c r="BS73" s="16" t="n">
        <v>0.561983</v>
      </c>
      <c r="BT73" s="16" t="n">
        <v>429.068295</v>
      </c>
      <c r="BU73" s="16" t="n">
        <v>0.205438</v>
      </c>
      <c r="BV73" s="16" t="n">
        <v>413.439652</v>
      </c>
      <c r="BW73" s="16" t="n"/>
      <c r="BX73" s="16" t="n"/>
      <c r="BY73" s="16" t="n">
        <v>0.561983</v>
      </c>
      <c r="BZ73" s="16" t="n">
        <v>289.203573</v>
      </c>
      <c r="CA73" s="16" t="n">
        <v>0.205438</v>
      </c>
      <c r="CB73" s="16" t="n">
        <v>284.461355</v>
      </c>
      <c r="CC73" s="16" t="n"/>
      <c r="CD73" s="16" t="n"/>
      <c r="CE73" s="16" t="n">
        <v>0.561983</v>
      </c>
      <c r="CF73" s="16" t="n">
        <v>3696.657855</v>
      </c>
      <c r="CG73" s="16" t="n">
        <v>0.205438</v>
      </c>
      <c r="CH73" s="16" t="n">
        <v>2551.739379</v>
      </c>
      <c r="CI73" s="16" t="n"/>
      <c r="CJ73" s="16" t="n"/>
      <c r="CK73" s="16" t="n">
        <v>0.561983</v>
      </c>
      <c r="CL73" s="16" t="n">
        <v>1218.780197</v>
      </c>
      <c r="CM73" s="16" t="n">
        <v>0.205438</v>
      </c>
      <c r="CN73" s="16" t="n">
        <v>488.115725</v>
      </c>
      <c r="CO73" s="16" t="n"/>
      <c r="CP73" s="16" t="n"/>
      <c r="CQ73" s="16" t="n">
        <v>0.561983</v>
      </c>
      <c r="CR73" s="16" t="n">
        <v>0.650244</v>
      </c>
      <c r="CS73" s="16" t="n">
        <v>0.205438</v>
      </c>
      <c r="CT73" s="16" t="n">
        <v>0.592705</v>
      </c>
      <c r="CU73" s="16" t="n"/>
      <c r="CV73" s="16" t="n"/>
      <c r="CW73" s="16" t="n">
        <v>0.561983</v>
      </c>
      <c r="CX73" s="16" t="n">
        <v>0.840269</v>
      </c>
      <c r="CY73" s="16" t="n">
        <v>0.205438</v>
      </c>
      <c r="CZ73" s="16" t="n">
        <v>0.784649</v>
      </c>
      <c r="DA73" s="16" t="n"/>
      <c r="DB73" s="16" t="n"/>
      <c r="DC73" s="16" t="n">
        <v>0.561983</v>
      </c>
      <c r="DD73" s="16" t="n">
        <v>0.799772</v>
      </c>
      <c r="DE73" s="16" t="n">
        <v>0.205438</v>
      </c>
      <c r="DF73" s="16" t="n">
        <v>0.695443</v>
      </c>
      <c r="DG73" s="16" t="n"/>
      <c r="DH73" s="16" t="n"/>
      <c r="DI73" s="16" t="n">
        <v>0.561983</v>
      </c>
      <c r="DJ73" s="16" t="n">
        <v>0.776896</v>
      </c>
      <c r="DK73" s="16" t="n">
        <v>0.205438</v>
      </c>
      <c r="DL73" s="16" t="n">
        <v>0.679876</v>
      </c>
      <c r="DM73" s="16" t="n"/>
      <c r="DN73" s="16" t="n"/>
      <c r="DO73" s="16" t="n">
        <v>0.561983</v>
      </c>
      <c r="DP73" s="16" t="n">
        <v>0.811315</v>
      </c>
      <c r="DQ73" s="16" t="n">
        <v>0.205438</v>
      </c>
      <c r="DR73" s="16" t="n">
        <v>0.6662979999999999</v>
      </c>
      <c r="DS73" s="16" t="n"/>
      <c r="DT73" s="16" t="n"/>
      <c r="DU73" s="16" t="n">
        <v>0.561983</v>
      </c>
      <c r="DV73" s="16" t="n">
        <v>0.903705</v>
      </c>
      <c r="DW73" s="16" t="n">
        <v>0.205438</v>
      </c>
      <c r="DX73" s="16" t="n">
        <v>0.740016</v>
      </c>
      <c r="DY73" s="16" t="n"/>
      <c r="DZ73" s="16" t="n"/>
      <c r="EB73" s="16" t="n">
        <v>1054.159717</v>
      </c>
      <c r="EC73" s="16" t="n">
        <v>3951.20472</v>
      </c>
      <c r="ED73" s="16" t="n"/>
      <c r="EE73" s="16" t="n"/>
      <c r="EF73" s="16" t="n">
        <v>308.761941</v>
      </c>
      <c r="EG73" s="16" t="n">
        <v>2683.095482</v>
      </c>
      <c r="EH73" s="16" t="n">
        <v>1445.711245</v>
      </c>
      <c r="EI73" s="16" t="n">
        <v>2958.827926</v>
      </c>
      <c r="EJ73" s="16" t="n"/>
      <c r="EK73" s="16" t="n"/>
      <c r="EL73" s="16" t="n"/>
      <c r="EM73" s="16" t="n"/>
      <c r="EN73" s="16" t="n"/>
      <c r="EO73" s="16" t="n"/>
      <c r="EP73" s="16" t="n"/>
      <c r="EQ73" s="16" t="n"/>
      <c r="ER73" s="16" t="n"/>
      <c r="ES73" s="16" t="n"/>
      <c r="ET73" s="16" t="n"/>
      <c r="EU73" s="16" t="n"/>
    </row>
    <row r="74">
      <c r="BS74" s="16" t="n">
        <v>0.570248</v>
      </c>
      <c r="BT74" s="16" t="n">
        <v>429.431718</v>
      </c>
      <c r="BU74" s="16" t="n">
        <v>0.208459</v>
      </c>
      <c r="BV74" s="16" t="n">
        <v>413.711246</v>
      </c>
      <c r="BW74" s="16" t="n"/>
      <c r="BX74" s="16" t="n"/>
      <c r="BY74" s="16" t="n">
        <v>0.570248</v>
      </c>
      <c r="BZ74" s="16" t="n">
        <v>289.592377</v>
      </c>
      <c r="CA74" s="16" t="n">
        <v>0.208459</v>
      </c>
      <c r="CB74" s="16" t="n">
        <v>284.687884</v>
      </c>
      <c r="CC74" s="16" t="n"/>
      <c r="CD74" s="16" t="n"/>
      <c r="CE74" s="16" t="n">
        <v>0.570248</v>
      </c>
      <c r="CF74" s="16" t="n">
        <v>3704.873891</v>
      </c>
      <c r="CG74" s="16" t="n">
        <v>0.208459</v>
      </c>
      <c r="CH74" s="16" t="n">
        <v>2559.78552</v>
      </c>
      <c r="CI74" s="16" t="n"/>
      <c r="CJ74" s="16" t="n"/>
      <c r="CK74" s="16" t="n">
        <v>0.570248</v>
      </c>
      <c r="CL74" s="16" t="n">
        <v>1219.592557</v>
      </c>
      <c r="CM74" s="16" t="n">
        <v>0.208459</v>
      </c>
      <c r="CN74" s="16" t="n">
        <v>495.370174</v>
      </c>
      <c r="CO74" s="16" t="n"/>
      <c r="CP74" s="16" t="n"/>
      <c r="CQ74" s="16" t="n">
        <v>0.570248</v>
      </c>
      <c r="CR74" s="16" t="n">
        <v>0.6591630000000001</v>
      </c>
      <c r="CS74" s="16" t="n">
        <v>0.208459</v>
      </c>
      <c r="CT74" s="16" t="n">
        <v>0.593905</v>
      </c>
      <c r="CU74" s="16" t="n"/>
      <c r="CV74" s="16" t="n"/>
      <c r="CW74" s="16" t="n">
        <v>0.570248</v>
      </c>
      <c r="CX74" s="16" t="n">
        <v>0.840405</v>
      </c>
      <c r="CY74" s="16" t="n">
        <v>0.208459</v>
      </c>
      <c r="CZ74" s="16" t="n">
        <v>0.785091</v>
      </c>
      <c r="DA74" s="16" t="n"/>
      <c r="DB74" s="16" t="n"/>
      <c r="DC74" s="16" t="n">
        <v>0.570248</v>
      </c>
      <c r="DD74" s="16" t="n">
        <v>0.801373</v>
      </c>
      <c r="DE74" s="16" t="n">
        <v>0.208459</v>
      </c>
      <c r="DF74" s="16" t="n">
        <v>0.696097</v>
      </c>
      <c r="DG74" s="16" t="n"/>
      <c r="DH74" s="16" t="n"/>
      <c r="DI74" s="16" t="n">
        <v>0.570248</v>
      </c>
      <c r="DJ74" s="16" t="n">
        <v>0.783328</v>
      </c>
      <c r="DK74" s="16" t="n">
        <v>0.208459</v>
      </c>
      <c r="DL74" s="16" t="n">
        <v>0.681297</v>
      </c>
      <c r="DM74" s="16" t="n"/>
      <c r="DN74" s="16" t="n"/>
      <c r="DO74" s="16" t="n">
        <v>0.570248</v>
      </c>
      <c r="DP74" s="16" t="n">
        <v>0.817541</v>
      </c>
      <c r="DQ74" s="16" t="n">
        <v>0.208459</v>
      </c>
      <c r="DR74" s="16" t="n">
        <v>0.666524</v>
      </c>
      <c r="DS74" s="16" t="n"/>
      <c r="DT74" s="16" t="n"/>
      <c r="DU74" s="16" t="n">
        <v>0.570248</v>
      </c>
      <c r="DV74" s="16" t="n">
        <v>0.903938</v>
      </c>
      <c r="DW74" s="16" t="n">
        <v>0.208459</v>
      </c>
      <c r="DX74" s="16" t="n">
        <v>0.741872</v>
      </c>
      <c r="DY74" s="16" t="n"/>
      <c r="DZ74" s="16" t="n"/>
      <c r="EB74" s="16" t="n">
        <v>1106.339021</v>
      </c>
      <c r="EC74" s="16" t="n">
        <v>2605.823829</v>
      </c>
      <c r="ED74" s="16" t="n"/>
      <c r="EE74" s="16" t="n"/>
      <c r="EF74" s="16" t="n">
        <v>540.552093</v>
      </c>
      <c r="EG74" s="16" t="n">
        <v>3626.18736</v>
      </c>
      <c r="EH74" s="16" t="n">
        <v>1213.07496</v>
      </c>
      <c r="EI74" s="16" t="n">
        <v>4197.39151</v>
      </c>
      <c r="EJ74" s="16" t="n"/>
      <c r="EK74" s="16" t="n"/>
      <c r="EL74" s="16" t="n"/>
      <c r="EM74" s="16" t="n"/>
      <c r="EN74" s="16" t="n"/>
      <c r="EO74" s="16" t="n"/>
      <c r="EP74" s="16" t="n"/>
      <c r="EQ74" s="16" t="n"/>
      <c r="ER74" s="16" t="n"/>
      <c r="ES74" s="16" t="n"/>
      <c r="ET74" s="16" t="n"/>
      <c r="EU74" s="16" t="n"/>
    </row>
    <row r="75">
      <c r="BS75" s="16" t="n">
        <v>0.578512</v>
      </c>
      <c r="BT75" s="16" t="n">
        <v>429.517848</v>
      </c>
      <c r="BU75" s="16" t="n">
        <v>0.21148</v>
      </c>
      <c r="BV75" s="16" t="n">
        <v>413.831614</v>
      </c>
      <c r="BW75" s="16" t="n"/>
      <c r="BX75" s="16" t="n"/>
      <c r="BY75" s="16" t="n">
        <v>0.578512</v>
      </c>
      <c r="BZ75" s="16" t="n">
        <v>289.657931</v>
      </c>
      <c r="CA75" s="16" t="n">
        <v>0.21148</v>
      </c>
      <c r="CB75" s="16" t="n">
        <v>284.751101</v>
      </c>
      <c r="CC75" s="16" t="n"/>
      <c r="CD75" s="16" t="n"/>
      <c r="CE75" s="16" t="n">
        <v>0.578512</v>
      </c>
      <c r="CF75" s="16" t="n">
        <v>3718.573104</v>
      </c>
      <c r="CG75" s="16" t="n">
        <v>0.21148</v>
      </c>
      <c r="CH75" s="16" t="n">
        <v>2580.865874</v>
      </c>
      <c r="CI75" s="16" t="n"/>
      <c r="CJ75" s="16" t="n"/>
      <c r="CK75" s="16" t="n">
        <v>0.578512</v>
      </c>
      <c r="CL75" s="16" t="n">
        <v>1224.949697</v>
      </c>
      <c r="CM75" s="16" t="n">
        <v>0.21148</v>
      </c>
      <c r="CN75" s="16" t="n">
        <v>496.7649</v>
      </c>
      <c r="CO75" s="16" t="n"/>
      <c r="CP75" s="16" t="n"/>
      <c r="CQ75" s="16" t="n">
        <v>0.578512</v>
      </c>
      <c r="CR75" s="16" t="n">
        <v>0.660168</v>
      </c>
      <c r="CS75" s="16" t="n">
        <v>0.21148</v>
      </c>
      <c r="CT75" s="16" t="n">
        <v>0.593919</v>
      </c>
      <c r="CU75" s="16" t="n"/>
      <c r="CV75" s="16" t="n"/>
      <c r="CW75" s="16" t="n">
        <v>0.578512</v>
      </c>
      <c r="CX75" s="16" t="n">
        <v>0.8421110000000001</v>
      </c>
      <c r="CY75" s="16" t="n">
        <v>0.21148</v>
      </c>
      <c r="CZ75" s="16" t="n">
        <v>0.785637</v>
      </c>
      <c r="DA75" s="16" t="n"/>
      <c r="DB75" s="16" t="n"/>
      <c r="DC75" s="16" t="n">
        <v>0.578512</v>
      </c>
      <c r="DD75" s="16" t="n">
        <v>0.804571</v>
      </c>
      <c r="DE75" s="16" t="n">
        <v>0.21148</v>
      </c>
      <c r="DF75" s="16" t="n">
        <v>0.696916</v>
      </c>
      <c r="DG75" s="16" t="n"/>
      <c r="DH75" s="16" t="n"/>
      <c r="DI75" s="16" t="n">
        <v>0.578512</v>
      </c>
      <c r="DJ75" s="16" t="n">
        <v>0.7889389999999999</v>
      </c>
      <c r="DK75" s="16" t="n">
        <v>0.21148</v>
      </c>
      <c r="DL75" s="16" t="n">
        <v>0.6823900000000001</v>
      </c>
      <c r="DM75" s="16" t="n"/>
      <c r="DN75" s="16" t="n"/>
      <c r="DO75" s="16" t="n">
        <v>0.578512</v>
      </c>
      <c r="DP75" s="16" t="n">
        <v>0.821913</v>
      </c>
      <c r="DQ75" s="16" t="n">
        <v>0.21148</v>
      </c>
      <c r="DR75" s="16" t="n">
        <v>0.66849</v>
      </c>
      <c r="DS75" s="16" t="n"/>
      <c r="DT75" s="16" t="n"/>
      <c r="DU75" s="16" t="n">
        <v>0.578512</v>
      </c>
      <c r="DV75" s="16" t="n">
        <v>0.904682</v>
      </c>
      <c r="DW75" s="16" t="n">
        <v>0.21148</v>
      </c>
      <c r="DX75" s="16" t="n">
        <v>0.742529</v>
      </c>
      <c r="DY75" s="16" t="n"/>
      <c r="DZ75" s="16" t="n"/>
      <c r="EB75" s="16" t="n">
        <v>812.7815419999999</v>
      </c>
      <c r="EC75" s="16" t="n">
        <v>4339.780616</v>
      </c>
      <c r="ED75" s="16" t="n"/>
      <c r="EE75" s="16" t="n"/>
      <c r="EF75" s="16" t="n">
        <v>1172.082114</v>
      </c>
      <c r="EG75" s="16" t="n">
        <v>3062.882728</v>
      </c>
      <c r="EH75" s="16" t="n">
        <v>515.734976</v>
      </c>
      <c r="EI75" s="16" t="n">
        <v>4605.621154</v>
      </c>
      <c r="EJ75" s="16" t="n"/>
      <c r="EK75" s="16" t="n"/>
      <c r="EL75" s="16" t="n"/>
      <c r="EM75" s="16" t="n"/>
      <c r="EN75" s="16" t="n"/>
      <c r="EO75" s="16" t="n"/>
      <c r="EP75" s="16" t="n"/>
      <c r="EQ75" s="16" t="n"/>
      <c r="ER75" s="16" t="n"/>
      <c r="ES75" s="16" t="n"/>
      <c r="ET75" s="16" t="n"/>
      <c r="EU75" s="16" t="n"/>
    </row>
    <row r="76">
      <c r="BS76" s="16" t="n">
        <v>0.586777</v>
      </c>
      <c r="BT76" s="16" t="n">
        <v>430.001833</v>
      </c>
      <c r="BU76" s="16" t="n">
        <v>0.214502</v>
      </c>
      <c r="BV76" s="16" t="n">
        <v>414.458853</v>
      </c>
      <c r="BW76" s="16" t="n"/>
      <c r="BX76" s="16" t="n"/>
      <c r="BY76" s="16" t="n">
        <v>0.586777</v>
      </c>
      <c r="BZ76" s="16" t="n">
        <v>289.762175</v>
      </c>
      <c r="CA76" s="16" t="n">
        <v>0.214502</v>
      </c>
      <c r="CB76" s="16" t="n">
        <v>284.858143</v>
      </c>
      <c r="CC76" s="16" t="n"/>
      <c r="CD76" s="16" t="n"/>
      <c r="CE76" s="16" t="n">
        <v>0.586777</v>
      </c>
      <c r="CF76" s="16" t="n">
        <v>3723.28529</v>
      </c>
      <c r="CG76" s="16" t="n">
        <v>0.214502</v>
      </c>
      <c r="CH76" s="16" t="n">
        <v>2587.280491</v>
      </c>
      <c r="CI76" s="16" t="n"/>
      <c r="CJ76" s="16" t="n"/>
      <c r="CK76" s="16" t="n">
        <v>0.586777</v>
      </c>
      <c r="CL76" s="16" t="n">
        <v>1228.609862</v>
      </c>
      <c r="CM76" s="16" t="n">
        <v>0.214502</v>
      </c>
      <c r="CN76" s="16" t="n">
        <v>498.469041</v>
      </c>
      <c r="CO76" s="16" t="n"/>
      <c r="CP76" s="16" t="n"/>
      <c r="CQ76" s="16" t="n">
        <v>0.586777</v>
      </c>
      <c r="CR76" s="16" t="n">
        <v>0.663189</v>
      </c>
      <c r="CS76" s="16" t="n">
        <v>0.214502</v>
      </c>
      <c r="CT76" s="16" t="n">
        <v>0.595027</v>
      </c>
      <c r="CU76" s="16" t="n"/>
      <c r="CV76" s="16" t="n"/>
      <c r="CW76" s="16" t="n">
        <v>0.586777</v>
      </c>
      <c r="CX76" s="16" t="n">
        <v>0.847303</v>
      </c>
      <c r="CY76" s="16" t="n">
        <v>0.214502</v>
      </c>
      <c r="CZ76" s="16" t="n">
        <v>0.786846</v>
      </c>
      <c r="DA76" s="16" t="n"/>
      <c r="DB76" s="16" t="n"/>
      <c r="DC76" s="16" t="n">
        <v>0.586777</v>
      </c>
      <c r="DD76" s="16" t="n">
        <v>0.807221</v>
      </c>
      <c r="DE76" s="16" t="n">
        <v>0.214502</v>
      </c>
      <c r="DF76" s="16" t="n">
        <v>0.697141</v>
      </c>
      <c r="DG76" s="16" t="n"/>
      <c r="DH76" s="16" t="n"/>
      <c r="DI76" s="16" t="n">
        <v>0.586777</v>
      </c>
      <c r="DJ76" s="16" t="n">
        <v>0.793967</v>
      </c>
      <c r="DK76" s="16" t="n">
        <v>0.214502</v>
      </c>
      <c r="DL76" s="16" t="n">
        <v>0.682862</v>
      </c>
      <c r="DM76" s="16" t="n"/>
      <c r="DN76" s="16" t="n"/>
      <c r="DO76" s="16" t="n">
        <v>0.586777</v>
      </c>
      <c r="DP76" s="16" t="n">
        <v>0.826238</v>
      </c>
      <c r="DQ76" s="16" t="n">
        <v>0.214502</v>
      </c>
      <c r="DR76" s="16" t="n">
        <v>0.668783</v>
      </c>
      <c r="DS76" s="16" t="n"/>
      <c r="DT76" s="16" t="n"/>
      <c r="DU76" s="16" t="n">
        <v>0.586777</v>
      </c>
      <c r="DV76" s="16" t="n">
        <v>0.905274</v>
      </c>
      <c r="DW76" s="16" t="n">
        <v>0.214502</v>
      </c>
      <c r="DX76" s="16" t="n">
        <v>0.742873</v>
      </c>
      <c r="DY76" s="16" t="n"/>
      <c r="DZ76" s="16" t="n"/>
      <c r="EB76" s="16" t="n">
        <v>681.068488</v>
      </c>
      <c r="EC76" s="16" t="n">
        <v>3253.987856</v>
      </c>
      <c r="ED76" s="16" t="n"/>
      <c r="EE76" s="16" t="n"/>
      <c r="EF76" s="16" t="n">
        <v>1004.95873</v>
      </c>
      <c r="EG76" s="16" t="n">
        <v>3132.991412</v>
      </c>
      <c r="EH76" s="16" t="n">
        <v>327.391442</v>
      </c>
      <c r="EI76" s="16" t="n">
        <v>2621.483802</v>
      </c>
      <c r="EJ76" s="16" t="n"/>
      <c r="EK76" s="16" t="n"/>
      <c r="EL76" s="16" t="n"/>
      <c r="EM76" s="16" t="n"/>
      <c r="EN76" s="16" t="n"/>
      <c r="EO76" s="16" t="n"/>
      <c r="EP76" s="16" t="n"/>
      <c r="EQ76" s="16" t="n"/>
      <c r="ER76" s="16" t="n"/>
      <c r="ES76" s="16" t="n"/>
      <c r="ET76" s="16" t="n"/>
      <c r="EU76" s="16" t="n"/>
    </row>
    <row r="77">
      <c r="BS77" s="16" t="n">
        <v>0.595041</v>
      </c>
      <c r="BT77" s="16" t="n">
        <v>430.454618</v>
      </c>
      <c r="BU77" s="16" t="n">
        <v>0.217523</v>
      </c>
      <c r="BV77" s="16" t="n">
        <v>415.299772</v>
      </c>
      <c r="BW77" s="16" t="n"/>
      <c r="BX77" s="16" t="n"/>
      <c r="BY77" s="16" t="n">
        <v>0.595041</v>
      </c>
      <c r="BZ77" s="16" t="n">
        <v>290.097103</v>
      </c>
      <c r="CA77" s="16" t="n">
        <v>0.217523</v>
      </c>
      <c r="CB77" s="16" t="n">
        <v>284.921673</v>
      </c>
      <c r="CC77" s="16" t="n"/>
      <c r="CD77" s="16" t="n"/>
      <c r="CE77" s="16" t="n">
        <v>0.595041</v>
      </c>
      <c r="CF77" s="16" t="n">
        <v>3732.069032</v>
      </c>
      <c r="CG77" s="16" t="n">
        <v>0.217523</v>
      </c>
      <c r="CH77" s="16" t="n">
        <v>2596.987028</v>
      </c>
      <c r="CI77" s="16" t="n"/>
      <c r="CJ77" s="16" t="n"/>
      <c r="CK77" s="16" t="n">
        <v>0.595041</v>
      </c>
      <c r="CL77" s="16" t="n">
        <v>1229.33477</v>
      </c>
      <c r="CM77" s="16" t="n">
        <v>0.217523</v>
      </c>
      <c r="CN77" s="16" t="n">
        <v>498.751817</v>
      </c>
      <c r="CO77" s="16" t="n"/>
      <c r="CP77" s="16" t="n"/>
      <c r="CQ77" s="16" t="n">
        <v>0.595041</v>
      </c>
      <c r="CR77" s="16" t="n">
        <v>0.666067</v>
      </c>
      <c r="CS77" s="16" t="n">
        <v>0.217523</v>
      </c>
      <c r="CT77" s="16" t="n">
        <v>0.5973349999999999</v>
      </c>
      <c r="CU77" s="16" t="n"/>
      <c r="CV77" s="16" t="n"/>
      <c r="CW77" s="16" t="n">
        <v>0.595041</v>
      </c>
      <c r="CX77" s="16" t="n">
        <v>0.848155</v>
      </c>
      <c r="CY77" s="16" t="n">
        <v>0.217523</v>
      </c>
      <c r="CZ77" s="16" t="n">
        <v>0.787201</v>
      </c>
      <c r="DA77" s="16" t="n"/>
      <c r="DB77" s="16" t="n"/>
      <c r="DC77" s="16" t="n">
        <v>0.595041</v>
      </c>
      <c r="DD77" s="16" t="n">
        <v>0.807274</v>
      </c>
      <c r="DE77" s="16" t="n">
        <v>0.217523</v>
      </c>
      <c r="DF77" s="16" t="n">
        <v>0.698637</v>
      </c>
      <c r="DG77" s="16" t="n"/>
      <c r="DH77" s="16" t="n"/>
      <c r="DI77" s="16" t="n">
        <v>0.595041</v>
      </c>
      <c r="DJ77" s="16" t="n">
        <v>0.800813</v>
      </c>
      <c r="DK77" s="16" t="n">
        <v>0.217523</v>
      </c>
      <c r="DL77" s="16" t="n">
        <v>0.683274</v>
      </c>
      <c r="DM77" s="16" t="n"/>
      <c r="DN77" s="16" t="n"/>
      <c r="DO77" s="16" t="n">
        <v>0.595041</v>
      </c>
      <c r="DP77" s="16" t="n">
        <v>0.827175</v>
      </c>
      <c r="DQ77" s="16" t="n">
        <v>0.217523</v>
      </c>
      <c r="DR77" s="16" t="n">
        <v>0.6695489999999999</v>
      </c>
      <c r="DS77" s="16" t="n"/>
      <c r="DT77" s="16" t="n"/>
      <c r="DU77" s="16" t="n">
        <v>0.595041</v>
      </c>
      <c r="DV77" s="16" t="n">
        <v>0.905446</v>
      </c>
      <c r="DW77" s="16" t="n">
        <v>0.217523</v>
      </c>
      <c r="DX77" s="16" t="n">
        <v>0.744082</v>
      </c>
      <c r="DY77" s="16" t="n"/>
      <c r="DZ77" s="16" t="n"/>
      <c r="EB77" s="16" t="n">
        <v>1490.200493</v>
      </c>
      <c r="EC77" s="16" t="n">
        <v>4257.260065</v>
      </c>
      <c r="ED77" s="16" t="n"/>
      <c r="EE77" s="16" t="n"/>
      <c r="EF77" s="16" t="n">
        <v>830.476218</v>
      </c>
      <c r="EG77" s="16" t="n">
        <v>2394.621537</v>
      </c>
      <c r="EH77" s="16" t="n">
        <v>674.500891</v>
      </c>
      <c r="EI77" s="16" t="n">
        <v>2742.39964</v>
      </c>
      <c r="EJ77" s="16" t="n"/>
      <c r="EK77" s="16" t="n"/>
      <c r="EL77" s="16" t="n"/>
      <c r="EM77" s="16" t="n"/>
      <c r="EN77" s="16" t="n"/>
      <c r="EO77" s="16" t="n"/>
      <c r="EP77" s="16" t="n"/>
      <c r="EQ77" s="16" t="n"/>
      <c r="ER77" s="16" t="n"/>
      <c r="ES77" s="16" t="n"/>
      <c r="ET77" s="16" t="n"/>
      <c r="EU77" s="16" t="n"/>
    </row>
    <row r="78">
      <c r="BS78" s="16" t="n">
        <v>0.603306</v>
      </c>
      <c r="BT78" s="16" t="n">
        <v>430.800151</v>
      </c>
      <c r="BU78" s="16" t="n">
        <v>0.220544</v>
      </c>
      <c r="BV78" s="16" t="n">
        <v>415.668904</v>
      </c>
      <c r="BW78" s="16" t="n"/>
      <c r="BX78" s="16" t="n"/>
      <c r="BY78" s="16" t="n">
        <v>0.603306</v>
      </c>
      <c r="BZ78" s="16" t="n">
        <v>290.249499</v>
      </c>
      <c r="CA78" s="16" t="n">
        <v>0.220544</v>
      </c>
      <c r="CB78" s="16" t="n">
        <v>284.932432</v>
      </c>
      <c r="CC78" s="16" t="n"/>
      <c r="CD78" s="16" t="n"/>
      <c r="CE78" s="16" t="n">
        <v>0.603306</v>
      </c>
      <c r="CF78" s="16" t="n">
        <v>3761.295205</v>
      </c>
      <c r="CG78" s="16" t="n">
        <v>0.220544</v>
      </c>
      <c r="CH78" s="16" t="n">
        <v>2613.48072</v>
      </c>
      <c r="CI78" s="16" t="n"/>
      <c r="CJ78" s="16" t="n"/>
      <c r="CK78" s="16" t="n">
        <v>0.603306</v>
      </c>
      <c r="CL78" s="16" t="n">
        <v>1235.270962</v>
      </c>
      <c r="CM78" s="16" t="n">
        <v>0.220544</v>
      </c>
      <c r="CN78" s="16" t="n">
        <v>500.461403</v>
      </c>
      <c r="CO78" s="16" t="n"/>
      <c r="CP78" s="16" t="n"/>
      <c r="CQ78" s="16" t="n">
        <v>0.603306</v>
      </c>
      <c r="CR78" s="16" t="n">
        <v>0.669303</v>
      </c>
      <c r="CS78" s="16" t="n">
        <v>0.220544</v>
      </c>
      <c r="CT78" s="16" t="n">
        <v>0.597515</v>
      </c>
      <c r="CU78" s="16" t="n"/>
      <c r="CV78" s="16" t="n"/>
      <c r="CW78" s="16" t="n">
        <v>0.603306</v>
      </c>
      <c r="CX78" s="16" t="n">
        <v>0.850366</v>
      </c>
      <c r="CY78" s="16" t="n">
        <v>0.220544</v>
      </c>
      <c r="CZ78" s="16" t="n">
        <v>0.788424</v>
      </c>
      <c r="DA78" s="16" t="n"/>
      <c r="DB78" s="16" t="n"/>
      <c r="DC78" s="16" t="n">
        <v>0.603306</v>
      </c>
      <c r="DD78" s="16" t="n">
        <v>0.811613</v>
      </c>
      <c r="DE78" s="16" t="n">
        <v>0.220544</v>
      </c>
      <c r="DF78" s="16" t="n">
        <v>0.70059</v>
      </c>
      <c r="DG78" s="16" t="n"/>
      <c r="DH78" s="16" t="n"/>
      <c r="DI78" s="16" t="n">
        <v>0.603306</v>
      </c>
      <c r="DJ78" s="16" t="n">
        <v>0.801558</v>
      </c>
      <c r="DK78" s="16" t="n">
        <v>0.220544</v>
      </c>
      <c r="DL78" s="16" t="n">
        <v>0.684059</v>
      </c>
      <c r="DM78" s="16" t="n"/>
      <c r="DN78" s="16" t="n"/>
      <c r="DO78" s="16" t="n">
        <v>0.603306</v>
      </c>
      <c r="DP78" s="16" t="n">
        <v>0.830283</v>
      </c>
      <c r="DQ78" s="16" t="n">
        <v>0.220544</v>
      </c>
      <c r="DR78" s="16" t="n">
        <v>0.670169</v>
      </c>
      <c r="DS78" s="16" t="n"/>
      <c r="DT78" s="16" t="n"/>
      <c r="DU78" s="16" t="n">
        <v>0.603306</v>
      </c>
      <c r="DV78" s="16" t="n">
        <v>0.906131</v>
      </c>
      <c r="DW78" s="16" t="n">
        <v>0.220544</v>
      </c>
      <c r="DX78" s="16" t="n">
        <v>0.74418</v>
      </c>
      <c r="DY78" s="16" t="n"/>
      <c r="DZ78" s="16" t="n"/>
      <c r="EB78" s="16" t="n">
        <v>1267.682282</v>
      </c>
      <c r="EC78" s="16" t="n">
        <v>4944.967325</v>
      </c>
      <c r="ED78" s="16" t="n"/>
      <c r="EE78" s="16" t="n"/>
      <c r="EF78" s="16" t="n">
        <v>510.790187</v>
      </c>
      <c r="EG78" s="16" t="n">
        <v>3844.16167</v>
      </c>
      <c r="EH78" s="16" t="n">
        <v>764.255168</v>
      </c>
      <c r="EI78" s="16" t="n">
        <v>3974.686254</v>
      </c>
      <c r="EJ78" s="16" t="n"/>
      <c r="EK78" s="16" t="n"/>
      <c r="EL78" s="16" t="n"/>
      <c r="EM78" s="16" t="n"/>
      <c r="EN78" s="16" t="n"/>
      <c r="EO78" s="16" t="n"/>
      <c r="EP78" s="16" t="n"/>
      <c r="EQ78" s="16" t="n"/>
      <c r="ER78" s="16" t="n"/>
      <c r="ES78" s="16" t="n"/>
      <c r="ET78" s="16" t="n"/>
      <c r="EU78" s="16" t="n"/>
    </row>
    <row r="79">
      <c r="BS79" s="16" t="n">
        <v>0.6115699999999999</v>
      </c>
      <c r="BT79" s="16" t="n">
        <v>431.106231</v>
      </c>
      <c r="BU79" s="16" t="n">
        <v>0.223565</v>
      </c>
      <c r="BV79" s="16" t="n">
        <v>415.694325</v>
      </c>
      <c r="BW79" s="16" t="n"/>
      <c r="BX79" s="16" t="n"/>
      <c r="BY79" s="16" t="n">
        <v>0.6115699999999999</v>
      </c>
      <c r="BZ79" s="16" t="n">
        <v>290.809027</v>
      </c>
      <c r="CA79" s="16" t="n">
        <v>0.223565</v>
      </c>
      <c r="CB79" s="16" t="n">
        <v>285.174723</v>
      </c>
      <c r="CC79" s="16" t="n"/>
      <c r="CD79" s="16" t="n"/>
      <c r="CE79" s="16" t="n">
        <v>0.6115699999999999</v>
      </c>
      <c r="CF79" s="16" t="n">
        <v>3778.7144</v>
      </c>
      <c r="CG79" s="16" t="n">
        <v>0.223565</v>
      </c>
      <c r="CH79" s="16" t="n">
        <v>2621.483802</v>
      </c>
      <c r="CI79" s="16" t="n"/>
      <c r="CJ79" s="16" t="n"/>
      <c r="CK79" s="16" t="n">
        <v>0.6115699999999999</v>
      </c>
      <c r="CL79" s="16" t="n">
        <v>1239.938519</v>
      </c>
      <c r="CM79" s="16" t="n">
        <v>0.223565</v>
      </c>
      <c r="CN79" s="16" t="n">
        <v>505.836819</v>
      </c>
      <c r="CO79" s="16" t="n"/>
      <c r="CP79" s="16" t="n"/>
      <c r="CQ79" s="16" t="n">
        <v>0.6115699999999999</v>
      </c>
      <c r="CR79" s="16" t="n">
        <v>0.671542</v>
      </c>
      <c r="CS79" s="16" t="n">
        <v>0.223565</v>
      </c>
      <c r="CT79" s="16" t="n">
        <v>0.598993</v>
      </c>
      <c r="CU79" s="16" t="n"/>
      <c r="CV79" s="16" t="n"/>
      <c r="CW79" s="16" t="n">
        <v>0.6115699999999999</v>
      </c>
      <c r="CX79" s="16" t="n">
        <v>0.852429</v>
      </c>
      <c r="CY79" s="16" t="n">
        <v>0.223565</v>
      </c>
      <c r="CZ79" s="16" t="n">
        <v>0.788958</v>
      </c>
      <c r="DA79" s="16" t="n"/>
      <c r="DB79" s="16" t="n"/>
      <c r="DC79" s="16" t="n">
        <v>0.6115699999999999</v>
      </c>
      <c r="DD79" s="16" t="n">
        <v>0.812022</v>
      </c>
      <c r="DE79" s="16" t="n">
        <v>0.223565</v>
      </c>
      <c r="DF79" s="16" t="n">
        <v>0.701641</v>
      </c>
      <c r="DG79" s="16" t="n"/>
      <c r="DH79" s="16" t="n"/>
      <c r="DI79" s="16" t="n">
        <v>0.6115699999999999</v>
      </c>
      <c r="DJ79" s="16" t="n">
        <v>0.802814</v>
      </c>
      <c r="DK79" s="16" t="n">
        <v>0.223565</v>
      </c>
      <c r="DL79" s="16" t="n">
        <v>0.685718</v>
      </c>
      <c r="DM79" s="16" t="n"/>
      <c r="DN79" s="16" t="n"/>
      <c r="DO79" s="16" t="n">
        <v>0.6115699999999999</v>
      </c>
      <c r="DP79" s="16" t="n">
        <v>0.8310999999999999</v>
      </c>
      <c r="DQ79" s="16" t="n">
        <v>0.223565</v>
      </c>
      <c r="DR79" s="16" t="n">
        <v>0.671678</v>
      </c>
      <c r="DS79" s="16" t="n"/>
      <c r="DT79" s="16" t="n"/>
      <c r="DU79" s="16" t="n">
        <v>0.6115699999999999</v>
      </c>
      <c r="DV79" s="16" t="n">
        <v>0.906712</v>
      </c>
      <c r="DW79" s="16" t="n">
        <v>0.223565</v>
      </c>
      <c r="DX79" s="16" t="n">
        <v>0.744602</v>
      </c>
      <c r="DY79" s="16" t="n"/>
      <c r="DZ79" s="16" t="n"/>
      <c r="EB79" s="16" t="n">
        <v>952.44158</v>
      </c>
      <c r="EC79" s="16" t="n">
        <v>2844.588787</v>
      </c>
      <c r="ED79" s="16" t="n"/>
      <c r="EE79" s="16" t="n"/>
      <c r="EF79" s="16" t="n">
        <v>743.460948</v>
      </c>
      <c r="EG79" s="16" t="n">
        <v>3436.51533</v>
      </c>
      <c r="EH79" s="16" t="n">
        <v>531.941068</v>
      </c>
      <c r="EI79" s="16" t="n">
        <v>4065.738706</v>
      </c>
      <c r="EJ79" s="16" t="n"/>
      <c r="EK79" s="16" t="n"/>
      <c r="EL79" s="16" t="n"/>
      <c r="EM79" s="16" t="n"/>
      <c r="EN79" s="16" t="n"/>
      <c r="EO79" s="16" t="n"/>
      <c r="EP79" s="16" t="n"/>
      <c r="EQ79" s="16" t="n"/>
      <c r="ER79" s="16" t="n"/>
      <c r="ES79" s="16" t="n"/>
      <c r="ET79" s="16" t="n"/>
      <c r="EU79" s="16" t="n"/>
    </row>
    <row r="80">
      <c r="BS80" s="16" t="n">
        <v>0.619835</v>
      </c>
      <c r="BT80" s="16" t="n">
        <v>432.794492</v>
      </c>
      <c r="BU80" s="16" t="n">
        <v>0.226586</v>
      </c>
      <c r="BV80" s="16" t="n">
        <v>416.250837</v>
      </c>
      <c r="BW80" s="16" t="n"/>
      <c r="BX80" s="16" t="n"/>
      <c r="BY80" s="16" t="n">
        <v>0.619835</v>
      </c>
      <c r="BZ80" s="16" t="n">
        <v>290.980685</v>
      </c>
      <c r="CA80" s="16" t="n">
        <v>0.226586</v>
      </c>
      <c r="CB80" s="16" t="n">
        <v>285.259335</v>
      </c>
      <c r="CC80" s="16" t="n"/>
      <c r="CD80" s="16" t="n"/>
      <c r="CE80" s="16" t="n">
        <v>0.619835</v>
      </c>
      <c r="CF80" s="16" t="n">
        <v>3779.924374</v>
      </c>
      <c r="CG80" s="16" t="n">
        <v>0.226586</v>
      </c>
      <c r="CH80" s="16" t="n">
        <v>2624.980835</v>
      </c>
      <c r="CI80" s="16" t="n"/>
      <c r="CJ80" s="16" t="n"/>
      <c r="CK80" s="16" t="n">
        <v>0.619835</v>
      </c>
      <c r="CL80" s="16" t="n">
        <v>1241.446773</v>
      </c>
      <c r="CM80" s="16" t="n">
        <v>0.226586</v>
      </c>
      <c r="CN80" s="16" t="n">
        <v>510.790187</v>
      </c>
      <c r="CO80" s="16" t="n"/>
      <c r="CP80" s="16" t="n"/>
      <c r="CQ80" s="16" t="n">
        <v>0.619835</v>
      </c>
      <c r="CR80" s="16" t="n">
        <v>0.672046</v>
      </c>
      <c r="CS80" s="16" t="n">
        <v>0.226586</v>
      </c>
      <c r="CT80" s="16" t="n">
        <v>0.599379</v>
      </c>
      <c r="CU80" s="16" t="n"/>
      <c r="CV80" s="16" t="n"/>
      <c r="CW80" s="16" t="n">
        <v>0.619835</v>
      </c>
      <c r="CX80" s="16" t="n">
        <v>0.8527670000000001</v>
      </c>
      <c r="CY80" s="16" t="n">
        <v>0.226586</v>
      </c>
      <c r="CZ80" s="16" t="n">
        <v>0.789582</v>
      </c>
      <c r="DA80" s="16" t="n"/>
      <c r="DB80" s="16" t="n"/>
      <c r="DC80" s="16" t="n">
        <v>0.619835</v>
      </c>
      <c r="DD80" s="16" t="n">
        <v>0.813559</v>
      </c>
      <c r="DE80" s="16" t="n">
        <v>0.226586</v>
      </c>
      <c r="DF80" s="16" t="n">
        <v>0.702184</v>
      </c>
      <c r="DG80" s="16" t="n"/>
      <c r="DH80" s="16" t="n"/>
      <c r="DI80" s="16" t="n">
        <v>0.619835</v>
      </c>
      <c r="DJ80" s="16" t="n">
        <v>0.804314</v>
      </c>
      <c r="DK80" s="16" t="n">
        <v>0.226586</v>
      </c>
      <c r="DL80" s="16" t="n">
        <v>0.685812</v>
      </c>
      <c r="DM80" s="16" t="n"/>
      <c r="DN80" s="16" t="n"/>
      <c r="DO80" s="16" t="n">
        <v>0.619835</v>
      </c>
      <c r="DP80" s="16" t="n">
        <v>0.840128</v>
      </c>
      <c r="DQ80" s="16" t="n">
        <v>0.226586</v>
      </c>
      <c r="DR80" s="16" t="n">
        <v>0.671713</v>
      </c>
      <c r="DS80" s="16" t="n"/>
      <c r="DT80" s="16" t="n"/>
      <c r="DU80" s="16" t="n">
        <v>0.619835</v>
      </c>
      <c r="DV80" s="16" t="n">
        <v>0.908171</v>
      </c>
      <c r="DW80" s="16" t="n">
        <v>0.226586</v>
      </c>
      <c r="DX80" s="16" t="n">
        <v>0.745269</v>
      </c>
      <c r="DY80" s="16" t="n"/>
      <c r="DZ80" s="16" t="n"/>
      <c r="EB80" s="16" t="n">
        <v>858.327694</v>
      </c>
      <c r="EC80" s="16" t="n">
        <v>3001.01475</v>
      </c>
      <c r="ED80" s="16" t="n"/>
      <c r="EE80" s="16" t="n"/>
      <c r="EF80" s="16" t="n">
        <v>787.4467959999999</v>
      </c>
      <c r="EG80" s="16" t="n">
        <v>2507.763488</v>
      </c>
      <c r="EH80" s="16" t="n">
        <v>1448.885244</v>
      </c>
      <c r="EI80" s="16" t="n">
        <v>4327.6913</v>
      </c>
      <c r="EJ80" s="16" t="n"/>
      <c r="EK80" s="16" t="n"/>
      <c r="EL80" s="16" t="n"/>
      <c r="EM80" s="16" t="n"/>
      <c r="EN80" s="16" t="n"/>
      <c r="EO80" s="16" t="n"/>
      <c r="EP80" s="16" t="n"/>
      <c r="EQ80" s="16" t="n"/>
      <c r="ER80" s="16" t="n"/>
      <c r="ES80" s="16" t="n"/>
      <c r="ET80" s="16" t="n"/>
      <c r="EU80" s="16" t="n"/>
    </row>
    <row r="81">
      <c r="BS81" s="16" t="n">
        <v>0.628099</v>
      </c>
      <c r="BT81" s="16" t="n">
        <v>433.5018</v>
      </c>
      <c r="BU81" s="16" t="n">
        <v>0.229607</v>
      </c>
      <c r="BV81" s="16" t="n">
        <v>416.909998</v>
      </c>
      <c r="BW81" s="16" t="n"/>
      <c r="BX81" s="16" t="n"/>
      <c r="BY81" s="16" t="n">
        <v>0.628099</v>
      </c>
      <c r="BZ81" s="16" t="n">
        <v>291.282744</v>
      </c>
      <c r="CA81" s="16" t="n">
        <v>0.229607</v>
      </c>
      <c r="CB81" s="16" t="n">
        <v>285.33296</v>
      </c>
      <c r="CC81" s="16" t="n"/>
      <c r="CD81" s="16" t="n"/>
      <c r="CE81" s="16" t="n">
        <v>0.628099</v>
      </c>
      <c r="CF81" s="16" t="n">
        <v>3808.827317</v>
      </c>
      <c r="CG81" s="16" t="n">
        <v>0.229607</v>
      </c>
      <c r="CH81" s="16" t="n">
        <v>2632.449277</v>
      </c>
      <c r="CI81" s="16" t="n"/>
      <c r="CJ81" s="16" t="n"/>
      <c r="CK81" s="16" t="n">
        <v>0.628099</v>
      </c>
      <c r="CL81" s="16" t="n">
        <v>1245.228727</v>
      </c>
      <c r="CM81" s="16" t="n">
        <v>0.229607</v>
      </c>
      <c r="CN81" s="16" t="n">
        <v>512.457499</v>
      </c>
      <c r="CO81" s="16" t="n"/>
      <c r="CP81" s="16" t="n"/>
      <c r="CQ81" s="16" t="n">
        <v>0.628099</v>
      </c>
      <c r="CR81" s="16" t="n">
        <v>0.675123</v>
      </c>
      <c r="CS81" s="16" t="n">
        <v>0.229607</v>
      </c>
      <c r="CT81" s="16" t="n">
        <v>0.60051</v>
      </c>
      <c r="CU81" s="16" t="n"/>
      <c r="CV81" s="16" t="n"/>
      <c r="CW81" s="16" t="n">
        <v>0.628099</v>
      </c>
      <c r="CX81" s="16" t="n">
        <v>0.852919</v>
      </c>
      <c r="CY81" s="16" t="n">
        <v>0.229607</v>
      </c>
      <c r="CZ81" s="16" t="n">
        <v>0.7897650000000001</v>
      </c>
      <c r="DA81" s="16" t="n"/>
      <c r="DB81" s="16" t="n"/>
      <c r="DC81" s="16" t="n">
        <v>0.628099</v>
      </c>
      <c r="DD81" s="16" t="n">
        <v>0.814716</v>
      </c>
      <c r="DE81" s="16" t="n">
        <v>0.229607</v>
      </c>
      <c r="DF81" s="16" t="n">
        <v>0.702313</v>
      </c>
      <c r="DG81" s="16" t="n"/>
      <c r="DH81" s="16" t="n"/>
      <c r="DI81" s="16" t="n">
        <v>0.628099</v>
      </c>
      <c r="DJ81" s="16" t="n">
        <v>0.804509</v>
      </c>
      <c r="DK81" s="16" t="n">
        <v>0.229607</v>
      </c>
      <c r="DL81" s="16" t="n">
        <v>0.685993</v>
      </c>
      <c r="DM81" s="16" t="n"/>
      <c r="DN81" s="16" t="n"/>
      <c r="DO81" s="16" t="n">
        <v>0.628099</v>
      </c>
      <c r="DP81" s="16" t="n">
        <v>0.8486399999999999</v>
      </c>
      <c r="DQ81" s="16" t="n">
        <v>0.229607</v>
      </c>
      <c r="DR81" s="16" t="n">
        <v>0.672833</v>
      </c>
      <c r="DS81" s="16" t="n"/>
      <c r="DT81" s="16" t="n"/>
      <c r="DU81" s="16" t="n">
        <v>0.628099</v>
      </c>
      <c r="DV81" s="16" t="n">
        <v>0.911139</v>
      </c>
      <c r="DW81" s="16" t="n">
        <v>0.229607</v>
      </c>
      <c r="DX81" s="16" t="n">
        <v>0.745746</v>
      </c>
      <c r="DY81" s="16" t="n"/>
      <c r="DZ81" s="16" t="n"/>
      <c r="EB81" s="16" t="n">
        <v>1304.543517</v>
      </c>
      <c r="EC81" s="16" t="n">
        <v>2688.487342</v>
      </c>
      <c r="ED81" s="16" t="n"/>
      <c r="EE81" s="16" t="n"/>
      <c r="EF81" s="16" t="n">
        <v>827.111275</v>
      </c>
      <c r="EG81" s="16" t="n">
        <v>3622.121814</v>
      </c>
      <c r="EH81" s="16" t="n">
        <v>726.34596</v>
      </c>
      <c r="EI81" s="16" t="n">
        <v>3373.492753</v>
      </c>
      <c r="EJ81" s="16" t="n"/>
      <c r="EK81" s="16" t="n"/>
      <c r="EL81" s="16" t="n"/>
      <c r="EM81" s="16" t="n"/>
      <c r="EN81" s="16" t="n"/>
      <c r="EO81" s="16" t="n"/>
      <c r="EP81" s="16" t="n"/>
      <c r="EQ81" s="16" t="n"/>
      <c r="ER81" s="16" t="n"/>
      <c r="ES81" s="16" t="n"/>
      <c r="ET81" s="16" t="n"/>
      <c r="EU81" s="16" t="n"/>
    </row>
    <row r="82">
      <c r="BS82" s="16" t="n">
        <v>0.636364</v>
      </c>
      <c r="BT82" s="16" t="n">
        <v>433.574197</v>
      </c>
      <c r="BU82" s="16" t="n">
        <v>0.232628</v>
      </c>
      <c r="BV82" s="16" t="n">
        <v>417.203482</v>
      </c>
      <c r="BW82" s="16" t="n"/>
      <c r="BX82" s="16" t="n"/>
      <c r="BY82" s="16" t="n">
        <v>0.636364</v>
      </c>
      <c r="BZ82" s="16" t="n">
        <v>291.538849</v>
      </c>
      <c r="CA82" s="16" t="n">
        <v>0.232628</v>
      </c>
      <c r="CB82" s="16" t="n">
        <v>285.379821</v>
      </c>
      <c r="CC82" s="16" t="n"/>
      <c r="CD82" s="16" t="n"/>
      <c r="CE82" s="16" t="n">
        <v>0.636364</v>
      </c>
      <c r="CF82" s="16" t="n">
        <v>3834.173673</v>
      </c>
      <c r="CG82" s="16" t="n">
        <v>0.232628</v>
      </c>
      <c r="CH82" s="16" t="n">
        <v>2632.932645</v>
      </c>
      <c r="CI82" s="16" t="n"/>
      <c r="CJ82" s="16" t="n"/>
      <c r="CK82" s="16" t="n">
        <v>0.636364</v>
      </c>
      <c r="CL82" s="16" t="n">
        <v>1253.662662</v>
      </c>
      <c r="CM82" s="16" t="n">
        <v>0.232628</v>
      </c>
      <c r="CN82" s="16" t="n">
        <v>515.734976</v>
      </c>
      <c r="CO82" s="16" t="n"/>
      <c r="CP82" s="16" t="n"/>
      <c r="CQ82" s="16" t="n">
        <v>0.636364</v>
      </c>
      <c r="CR82" s="16" t="n">
        <v>0.676679</v>
      </c>
      <c r="CS82" s="16" t="n">
        <v>0.232628</v>
      </c>
      <c r="CT82" s="16" t="n">
        <v>0.601185</v>
      </c>
      <c r="CU82" s="16" t="n"/>
      <c r="CV82" s="16" t="n"/>
      <c r="CW82" s="16" t="n">
        <v>0.636364</v>
      </c>
      <c r="CX82" s="16" t="n">
        <v>0.854067</v>
      </c>
      <c r="CY82" s="16" t="n">
        <v>0.232628</v>
      </c>
      <c r="CZ82" s="16" t="n">
        <v>0.790475</v>
      </c>
      <c r="DA82" s="16" t="n"/>
      <c r="DB82" s="16" t="n"/>
      <c r="DC82" s="16" t="n">
        <v>0.636364</v>
      </c>
      <c r="DD82" s="16" t="n">
        <v>0.8182120000000001</v>
      </c>
      <c r="DE82" s="16" t="n">
        <v>0.232628</v>
      </c>
      <c r="DF82" s="16" t="n">
        <v>0.704121</v>
      </c>
      <c r="DG82" s="16" t="n"/>
      <c r="DH82" s="16" t="n"/>
      <c r="DI82" s="16" t="n">
        <v>0.636364</v>
      </c>
      <c r="DJ82" s="16" t="n">
        <v>0.805992</v>
      </c>
      <c r="DK82" s="16" t="n">
        <v>0.232628</v>
      </c>
      <c r="DL82" s="16" t="n">
        <v>0.686886</v>
      </c>
      <c r="DM82" s="16" t="n"/>
      <c r="DN82" s="16" t="n"/>
      <c r="DO82" s="16" t="n">
        <v>0.636364</v>
      </c>
      <c r="DP82" s="16" t="n">
        <v>0.849985</v>
      </c>
      <c r="DQ82" s="16" t="n">
        <v>0.232628</v>
      </c>
      <c r="DR82" s="16" t="n">
        <v>0.673365</v>
      </c>
      <c r="DS82" s="16" t="n"/>
      <c r="DT82" s="16" t="n"/>
      <c r="DU82" s="16" t="n">
        <v>0.636364</v>
      </c>
      <c r="DV82" s="16" t="n">
        <v>0.911429</v>
      </c>
      <c r="DW82" s="16" t="n">
        <v>0.232628</v>
      </c>
      <c r="DX82" s="16" t="n">
        <v>0.746254</v>
      </c>
      <c r="DY82" s="16" t="n"/>
      <c r="DZ82" s="16" t="n"/>
      <c r="EB82" s="16" t="n">
        <v>1152.816199</v>
      </c>
      <c r="EC82" s="16" t="n">
        <v>2547.880207</v>
      </c>
      <c r="ED82" s="16" t="n"/>
      <c r="EE82" s="16" t="n"/>
      <c r="EF82" s="16" t="n">
        <v>1200.8677</v>
      </c>
      <c r="EG82" s="16" t="n">
        <v>3577.649492</v>
      </c>
      <c r="EH82" s="16" t="n">
        <v>991.520808</v>
      </c>
      <c r="EI82" s="16" t="n">
        <v>3828.611838</v>
      </c>
      <c r="EJ82" s="16" t="n"/>
      <c r="EK82" s="16" t="n"/>
      <c r="EL82" s="16" t="n"/>
      <c r="EM82" s="16" t="n"/>
      <c r="EN82" s="16" t="n"/>
      <c r="EO82" s="16" t="n"/>
      <c r="EP82" s="16" t="n"/>
      <c r="EQ82" s="16" t="n"/>
      <c r="ER82" s="16" t="n"/>
      <c r="ES82" s="16" t="n"/>
      <c r="ET82" s="16" t="n"/>
      <c r="EU82" s="16" t="n"/>
    </row>
    <row r="83">
      <c r="BS83" s="16" t="n">
        <v>0.644628</v>
      </c>
      <c r="BT83" s="16" t="n">
        <v>434.145346</v>
      </c>
      <c r="BU83" s="16" t="n">
        <v>0.23565</v>
      </c>
      <c r="BV83" s="16" t="n">
        <v>417.705974</v>
      </c>
      <c r="BW83" s="16" t="n"/>
      <c r="BX83" s="16" t="n"/>
      <c r="BY83" s="16" t="n">
        <v>0.644628</v>
      </c>
      <c r="BZ83" s="16" t="n">
        <v>291.697868</v>
      </c>
      <c r="CA83" s="16" t="n">
        <v>0.23565</v>
      </c>
      <c r="CB83" s="16" t="n">
        <v>285.416122</v>
      </c>
      <c r="CC83" s="16" t="n"/>
      <c r="CD83" s="16" t="n"/>
      <c r="CE83" s="16" t="n">
        <v>0.644628</v>
      </c>
      <c r="CF83" s="16" t="n">
        <v>3850.001483</v>
      </c>
      <c r="CG83" s="16" t="n">
        <v>0.23565</v>
      </c>
      <c r="CH83" s="16" t="n">
        <v>2650.571912</v>
      </c>
      <c r="CI83" s="16" t="n"/>
      <c r="CJ83" s="16" t="n"/>
      <c r="CK83" s="16" t="n">
        <v>0.644628</v>
      </c>
      <c r="CL83" s="16" t="n">
        <v>1263.606281</v>
      </c>
      <c r="CM83" s="16" t="n">
        <v>0.23565</v>
      </c>
      <c r="CN83" s="16" t="n">
        <v>516.179861</v>
      </c>
      <c r="CO83" s="16" t="n"/>
      <c r="CP83" s="16" t="n"/>
      <c r="CQ83" s="16" t="n">
        <v>0.644628</v>
      </c>
      <c r="CR83" s="16" t="n">
        <v>0.678297</v>
      </c>
      <c r="CS83" s="16" t="n">
        <v>0.23565</v>
      </c>
      <c r="CT83" s="16" t="n">
        <v>0.602631</v>
      </c>
      <c r="CU83" s="16" t="n"/>
      <c r="CV83" s="16" t="n"/>
      <c r="CW83" s="16" t="n">
        <v>0.644628</v>
      </c>
      <c r="CX83" s="16" t="n">
        <v>0.854599</v>
      </c>
      <c r="CY83" s="16" t="n">
        <v>0.23565</v>
      </c>
      <c r="CZ83" s="16" t="n">
        <v>0.790687</v>
      </c>
      <c r="DA83" s="16" t="n"/>
      <c r="DB83" s="16" t="n"/>
      <c r="DC83" s="16" t="n">
        <v>0.644628</v>
      </c>
      <c r="DD83" s="16" t="n">
        <v>0.81985</v>
      </c>
      <c r="DE83" s="16" t="n">
        <v>0.23565</v>
      </c>
      <c r="DF83" s="16" t="n">
        <v>0.704311</v>
      </c>
      <c r="DG83" s="16" t="n"/>
      <c r="DH83" s="16" t="n"/>
      <c r="DI83" s="16" t="n">
        <v>0.644628</v>
      </c>
      <c r="DJ83" s="16" t="n">
        <v>0.808397</v>
      </c>
      <c r="DK83" s="16" t="n">
        <v>0.23565</v>
      </c>
      <c r="DL83" s="16" t="n">
        <v>0.688442</v>
      </c>
      <c r="DM83" s="16" t="n"/>
      <c r="DN83" s="16" t="n"/>
      <c r="DO83" s="16" t="n">
        <v>0.644628</v>
      </c>
      <c r="DP83" s="16" t="n">
        <v>0.852512</v>
      </c>
      <c r="DQ83" s="16" t="n">
        <v>0.23565</v>
      </c>
      <c r="DR83" s="16" t="n">
        <v>0.674044</v>
      </c>
      <c r="DS83" s="16" t="n"/>
      <c r="DT83" s="16" t="n"/>
      <c r="DU83" s="16" t="n">
        <v>0.644628</v>
      </c>
      <c r="DV83" s="16" t="n">
        <v>0.913293</v>
      </c>
      <c r="DW83" s="16" t="n">
        <v>0.23565</v>
      </c>
      <c r="DX83" s="16" t="n">
        <v>0.7463</v>
      </c>
      <c r="DY83" s="16" t="n"/>
      <c r="DZ83" s="16" t="n"/>
      <c r="EB83" s="16" t="n">
        <v>1074.925149</v>
      </c>
      <c r="EC83" s="16" t="n">
        <v>2488.805529</v>
      </c>
      <c r="ED83" s="16" t="n"/>
      <c r="EE83" s="16" t="n"/>
      <c r="EF83" s="16" t="n">
        <v>1181.935984</v>
      </c>
      <c r="EG83" s="16" t="n">
        <v>4703.406264</v>
      </c>
      <c r="EH83" s="16" t="n">
        <v>486.260167</v>
      </c>
      <c r="EI83" s="16" t="n">
        <v>4287.726378</v>
      </c>
      <c r="EJ83" s="16" t="n"/>
      <c r="EK83" s="16" t="n"/>
      <c r="EL83" s="16" t="n"/>
      <c r="EM83" s="16" t="n"/>
      <c r="EN83" s="16" t="n"/>
      <c r="EO83" s="16" t="n"/>
      <c r="EP83" s="16" t="n"/>
      <c r="EQ83" s="16" t="n"/>
      <c r="ER83" s="16" t="n"/>
      <c r="ES83" s="16" t="n"/>
      <c r="ET83" s="16" t="n"/>
      <c r="EU83" s="16" t="n"/>
    </row>
    <row r="84">
      <c r="BS84" s="16" t="n">
        <v>0.6528929999999999</v>
      </c>
      <c r="BT84" s="16" t="n">
        <v>435.933431</v>
      </c>
      <c r="BU84" s="16" t="n">
        <v>0.238671</v>
      </c>
      <c r="BV84" s="16" t="n">
        <v>417.878105</v>
      </c>
      <c r="BW84" s="16" t="n"/>
      <c r="BX84" s="16" t="n"/>
      <c r="BY84" s="16" t="n">
        <v>0.6528929999999999</v>
      </c>
      <c r="BZ84" s="16" t="n">
        <v>291.861598</v>
      </c>
      <c r="CA84" s="16" t="n">
        <v>0.238671</v>
      </c>
      <c r="CB84" s="16" t="n">
        <v>285.502452</v>
      </c>
      <c r="CC84" s="16" t="n"/>
      <c r="CD84" s="16" t="n"/>
      <c r="CE84" s="16" t="n">
        <v>0.6528929999999999</v>
      </c>
      <c r="CF84" s="16" t="n">
        <v>3876.840931</v>
      </c>
      <c r="CG84" s="16" t="n">
        <v>0.238671</v>
      </c>
      <c r="CH84" s="16" t="n">
        <v>2654.784617</v>
      </c>
      <c r="CI84" s="16" t="n"/>
      <c r="CJ84" s="16" t="n"/>
      <c r="CK84" s="16" t="n">
        <v>0.6528929999999999</v>
      </c>
      <c r="CL84" s="16" t="n">
        <v>1267.682282</v>
      </c>
      <c r="CM84" s="16" t="n">
        <v>0.238671</v>
      </c>
      <c r="CN84" s="16" t="n">
        <v>518.897797</v>
      </c>
      <c r="CO84" s="16" t="n"/>
      <c r="CP84" s="16" t="n"/>
      <c r="CQ84" s="16" t="n">
        <v>0.6528929999999999</v>
      </c>
      <c r="CR84" s="16" t="n">
        <v>0.686526</v>
      </c>
      <c r="CS84" s="16" t="n">
        <v>0.238671</v>
      </c>
      <c r="CT84" s="16" t="n">
        <v>0.603341</v>
      </c>
      <c r="CU84" s="16" t="n"/>
      <c r="CV84" s="16" t="n"/>
      <c r="CW84" s="16" t="n">
        <v>0.6528929999999999</v>
      </c>
      <c r="CX84" s="16" t="n">
        <v>0.859118</v>
      </c>
      <c r="CY84" s="16" t="n">
        <v>0.238671</v>
      </c>
      <c r="CZ84" s="16" t="n">
        <v>0.79135</v>
      </c>
      <c r="DA84" s="16" t="n"/>
      <c r="DB84" s="16" t="n"/>
      <c r="DC84" s="16" t="n">
        <v>0.6528929999999999</v>
      </c>
      <c r="DD84" s="16" t="n">
        <v>0.819982</v>
      </c>
      <c r="DE84" s="16" t="n">
        <v>0.238671</v>
      </c>
      <c r="DF84" s="16" t="n">
        <v>0.704585</v>
      </c>
      <c r="DG84" s="16" t="n"/>
      <c r="DH84" s="16" t="n"/>
      <c r="DI84" s="16" t="n">
        <v>0.6528929999999999</v>
      </c>
      <c r="DJ84" s="16" t="n">
        <v>0.811288</v>
      </c>
      <c r="DK84" s="16" t="n">
        <v>0.238671</v>
      </c>
      <c r="DL84" s="16" t="n">
        <v>0.688689</v>
      </c>
      <c r="DM84" s="16" t="n"/>
      <c r="DN84" s="16" t="n"/>
      <c r="DO84" s="16" t="n">
        <v>0.6528929999999999</v>
      </c>
      <c r="DP84" s="16" t="n">
        <v>0.857764</v>
      </c>
      <c r="DQ84" s="16" t="n">
        <v>0.238671</v>
      </c>
      <c r="DR84" s="16" t="n">
        <v>0.6756</v>
      </c>
      <c r="DS84" s="16" t="n"/>
      <c r="DT84" s="16" t="n"/>
      <c r="DU84" s="16" t="n">
        <v>0.6528929999999999</v>
      </c>
      <c r="DV84" s="16" t="n">
        <v>0.914826</v>
      </c>
      <c r="DW84" s="16" t="n">
        <v>0.238671</v>
      </c>
      <c r="DX84" s="16" t="n">
        <v>0.746718</v>
      </c>
      <c r="DY84" s="16" t="n"/>
      <c r="DZ84" s="16" t="n"/>
      <c r="EB84" s="16" t="n">
        <v>546.971675</v>
      </c>
      <c r="EC84" s="16" t="n">
        <v>3547.150642</v>
      </c>
      <c r="ED84" s="16" t="n"/>
      <c r="EE84" s="16" t="n"/>
      <c r="EF84" s="16" t="n">
        <v>1444.120101</v>
      </c>
      <c r="EG84" s="16" t="n">
        <v>2271.326111</v>
      </c>
      <c r="EH84" s="16" t="n">
        <v>623.125503</v>
      </c>
      <c r="EI84" s="16" t="n">
        <v>4820.222262</v>
      </c>
      <c r="EJ84" s="16" t="n"/>
      <c r="EK84" s="16" t="n"/>
      <c r="EL84" s="16" t="n"/>
      <c r="EM84" s="16" t="n"/>
      <c r="EN84" s="16" t="n"/>
      <c r="EO84" s="16" t="n"/>
      <c r="EP84" s="16" t="n"/>
      <c r="EQ84" s="16" t="n"/>
      <c r="ER84" s="16" t="n"/>
      <c r="ES84" s="16" t="n"/>
      <c r="ET84" s="16" t="n"/>
      <c r="EU84" s="16" t="n"/>
    </row>
    <row r="85">
      <c r="BS85" s="16" t="n">
        <v>0.661157</v>
      </c>
      <c r="BT85" s="16" t="n">
        <v>436.096953</v>
      </c>
      <c r="BU85" s="16" t="n">
        <v>0.241692</v>
      </c>
      <c r="BV85" s="16" t="n">
        <v>417.925958</v>
      </c>
      <c r="BW85" s="16" t="n"/>
      <c r="BX85" s="16" t="n"/>
      <c r="BY85" s="16" t="n">
        <v>0.661157</v>
      </c>
      <c r="BZ85" s="16" t="n">
        <v>292.06467</v>
      </c>
      <c r="CA85" s="16" t="n">
        <v>0.241692</v>
      </c>
      <c r="CB85" s="16" t="n">
        <v>285.566813</v>
      </c>
      <c r="CC85" s="16" t="n"/>
      <c r="CD85" s="16" t="n"/>
      <c r="CE85" s="16" t="n">
        <v>0.661157</v>
      </c>
      <c r="CF85" s="16" t="n">
        <v>3915.797415</v>
      </c>
      <c r="CG85" s="16" t="n">
        <v>0.241692</v>
      </c>
      <c r="CH85" s="16" t="n">
        <v>2669.17465</v>
      </c>
      <c r="CI85" s="16" t="n"/>
      <c r="CJ85" s="16" t="n"/>
      <c r="CK85" s="16" t="n">
        <v>0.661157</v>
      </c>
      <c r="CL85" s="16" t="n">
        <v>1268.657707</v>
      </c>
      <c r="CM85" s="16" t="n">
        <v>0.241692</v>
      </c>
      <c r="CN85" s="16" t="n">
        <v>520.211591</v>
      </c>
      <c r="CO85" s="16" t="n"/>
      <c r="CP85" s="16" t="n"/>
      <c r="CQ85" s="16" t="n">
        <v>0.661157</v>
      </c>
      <c r="CR85" s="16" t="n">
        <v>0.688887</v>
      </c>
      <c r="CS85" s="16" t="n">
        <v>0.241692</v>
      </c>
      <c r="CT85" s="16" t="n">
        <v>0.604429</v>
      </c>
      <c r="CU85" s="16" t="n"/>
      <c r="CV85" s="16" t="n"/>
      <c r="CW85" s="16" t="n">
        <v>0.661157</v>
      </c>
      <c r="CX85" s="16" t="n">
        <v>0.861104</v>
      </c>
      <c r="CY85" s="16" t="n">
        <v>0.241692</v>
      </c>
      <c r="CZ85" s="16" t="n">
        <v>0.791839</v>
      </c>
      <c r="DA85" s="16" t="n"/>
      <c r="DB85" s="16" t="n"/>
      <c r="DC85" s="16" t="n">
        <v>0.661157</v>
      </c>
      <c r="DD85" s="16" t="n">
        <v>0.820697</v>
      </c>
      <c r="DE85" s="16" t="n">
        <v>0.241692</v>
      </c>
      <c r="DF85" s="16" t="n">
        <v>0.705611</v>
      </c>
      <c r="DG85" s="16" t="n"/>
      <c r="DH85" s="16" t="n"/>
      <c r="DI85" s="16" t="n">
        <v>0.661157</v>
      </c>
      <c r="DJ85" s="16" t="n">
        <v>0.81779</v>
      </c>
      <c r="DK85" s="16" t="n">
        <v>0.241692</v>
      </c>
      <c r="DL85" s="16" t="n">
        <v>0.689794</v>
      </c>
      <c r="DM85" s="16" t="n"/>
      <c r="DN85" s="16" t="n"/>
      <c r="DO85" s="16" t="n">
        <v>0.661157</v>
      </c>
      <c r="DP85" s="16" t="n">
        <v>0.857955</v>
      </c>
      <c r="DQ85" s="16" t="n">
        <v>0.241692</v>
      </c>
      <c r="DR85" s="16" t="n">
        <v>0.676226</v>
      </c>
      <c r="DS85" s="16" t="n"/>
      <c r="DT85" s="16" t="n"/>
      <c r="DU85" s="16" t="n">
        <v>0.661157</v>
      </c>
      <c r="DV85" s="16" t="n">
        <v>0.917304</v>
      </c>
      <c r="DW85" s="16" t="n">
        <v>0.241692</v>
      </c>
      <c r="DX85" s="16" t="n">
        <v>0.747669</v>
      </c>
      <c r="DY85" s="16" t="n"/>
      <c r="DZ85" s="16" t="n"/>
      <c r="EB85" s="16" t="n">
        <v>1245.228727</v>
      </c>
      <c r="EC85" s="16" t="n">
        <v>3416.920065</v>
      </c>
      <c r="ED85" s="16" t="n"/>
      <c r="EE85" s="16" t="n"/>
      <c r="EF85" s="16" t="n">
        <v>1023.255776</v>
      </c>
      <c r="EG85" s="16" t="n">
        <v>3762.285096</v>
      </c>
      <c r="EH85" s="16" t="n">
        <v>1471.103642</v>
      </c>
      <c r="EI85" s="16" t="n">
        <v>2193.423829</v>
      </c>
      <c r="EJ85" s="16" t="n"/>
      <c r="EK85" s="16" t="n"/>
      <c r="EL85" s="16" t="n"/>
      <c r="EM85" s="16" t="n"/>
      <c r="EN85" s="16" t="n"/>
      <c r="EO85" s="16" t="n"/>
      <c r="EP85" s="16" t="n"/>
      <c r="EQ85" s="16" t="n"/>
      <c r="ER85" s="16" t="n"/>
      <c r="ES85" s="16" t="n"/>
      <c r="ET85" s="16" t="n"/>
      <c r="EU85" s="16" t="n"/>
    </row>
    <row r="86">
      <c r="BS86" s="16" t="n">
        <v>0.669421</v>
      </c>
      <c r="BT86" s="16" t="n">
        <v>436.524196</v>
      </c>
      <c r="BU86" s="16" t="n">
        <v>0.244713</v>
      </c>
      <c r="BV86" s="16" t="n">
        <v>418.001439</v>
      </c>
      <c r="BW86" s="16" t="n"/>
      <c r="BX86" s="16" t="n"/>
      <c r="BY86" s="16" t="n">
        <v>0.669421</v>
      </c>
      <c r="BZ86" s="16" t="n">
        <v>292.125898</v>
      </c>
      <c r="CA86" s="16" t="n">
        <v>0.244713</v>
      </c>
      <c r="CB86" s="16" t="n">
        <v>285.571808</v>
      </c>
      <c r="CC86" s="16" t="n"/>
      <c r="CD86" s="16" t="n"/>
      <c r="CE86" s="16" t="n">
        <v>0.669421</v>
      </c>
      <c r="CF86" s="16" t="n">
        <v>3942.226976</v>
      </c>
      <c r="CG86" s="16" t="n">
        <v>0.244713</v>
      </c>
      <c r="CH86" s="16" t="n">
        <v>2674.482313</v>
      </c>
      <c r="CI86" s="16" t="n"/>
      <c r="CJ86" s="16" t="n"/>
      <c r="CK86" s="16" t="n">
        <v>0.669421</v>
      </c>
      <c r="CL86" s="16" t="n">
        <v>1274.893548</v>
      </c>
      <c r="CM86" s="16" t="n">
        <v>0.244713</v>
      </c>
      <c r="CN86" s="16" t="n">
        <v>526.558068</v>
      </c>
      <c r="CO86" s="16" t="n"/>
      <c r="CP86" s="16" t="n"/>
      <c r="CQ86" s="16" t="n">
        <v>0.669421</v>
      </c>
      <c r="CR86" s="16" t="n">
        <v>0.691534</v>
      </c>
      <c r="CS86" s="16" t="n">
        <v>0.244713</v>
      </c>
      <c r="CT86" s="16" t="n">
        <v>0.604522</v>
      </c>
      <c r="CU86" s="16" t="n"/>
      <c r="CV86" s="16" t="n"/>
      <c r="CW86" s="16" t="n">
        <v>0.669421</v>
      </c>
      <c r="CX86" s="16" t="n">
        <v>0.861355</v>
      </c>
      <c r="CY86" s="16" t="n">
        <v>0.244713</v>
      </c>
      <c r="CZ86" s="16" t="n">
        <v>0.792411</v>
      </c>
      <c r="DA86" s="16" t="n"/>
      <c r="DB86" s="16" t="n"/>
      <c r="DC86" s="16" t="n">
        <v>0.669421</v>
      </c>
      <c r="DD86" s="16" t="n">
        <v>0.823143</v>
      </c>
      <c r="DE86" s="16" t="n">
        <v>0.244713</v>
      </c>
      <c r="DF86" s="16" t="n">
        <v>0.706125</v>
      </c>
      <c r="DG86" s="16" t="n"/>
      <c r="DH86" s="16" t="n"/>
      <c r="DI86" s="16" t="n">
        <v>0.669421</v>
      </c>
      <c r="DJ86" s="16" t="n">
        <v>0.81969</v>
      </c>
      <c r="DK86" s="16" t="n">
        <v>0.244713</v>
      </c>
      <c r="DL86" s="16" t="n">
        <v>0.69211</v>
      </c>
      <c r="DM86" s="16" t="n"/>
      <c r="DN86" s="16" t="n"/>
      <c r="DO86" s="16" t="n">
        <v>0.669421</v>
      </c>
      <c r="DP86" s="16" t="n">
        <v>0.859073</v>
      </c>
      <c r="DQ86" s="16" t="n">
        <v>0.244713</v>
      </c>
      <c r="DR86" s="16" t="n">
        <v>0.676812</v>
      </c>
      <c r="DS86" s="16" t="n"/>
      <c r="DT86" s="16" t="n"/>
      <c r="DU86" s="16" t="n">
        <v>0.669421</v>
      </c>
      <c r="DV86" s="16" t="n">
        <v>0.918004</v>
      </c>
      <c r="DW86" s="16" t="n">
        <v>0.244713</v>
      </c>
      <c r="DX86" s="16" t="n">
        <v>0.74879</v>
      </c>
      <c r="DY86" s="16" t="n"/>
      <c r="DZ86" s="16" t="n"/>
      <c r="EB86" s="16" t="n">
        <v>1275.004074</v>
      </c>
      <c r="EC86" s="16" t="n">
        <v>4618.005423</v>
      </c>
      <c r="ED86" s="16" t="n"/>
      <c r="EE86" s="16" t="n"/>
      <c r="EF86" s="16" t="n">
        <v>1301.09269</v>
      </c>
      <c r="EG86" s="16" t="n">
        <v>2026.762752</v>
      </c>
      <c r="EH86" s="16" t="n">
        <v>1420.202265</v>
      </c>
      <c r="EI86" s="16" t="n">
        <v>3782.882413</v>
      </c>
      <c r="EJ86" s="16" t="n"/>
      <c r="EK86" s="16" t="n"/>
      <c r="EL86" s="16" t="n"/>
      <c r="EM86" s="16" t="n"/>
      <c r="EN86" s="16" t="n"/>
      <c r="EO86" s="16" t="n"/>
      <c r="EP86" s="16" t="n"/>
      <c r="EQ86" s="16" t="n"/>
      <c r="ER86" s="16" t="n"/>
      <c r="ES86" s="16" t="n"/>
      <c r="ET86" s="16" t="n"/>
      <c r="EU86" s="16" t="n"/>
    </row>
    <row r="87">
      <c r="BS87" s="16" t="n">
        <v>0.677686</v>
      </c>
      <c r="BT87" s="16" t="n">
        <v>437.135932</v>
      </c>
      <c r="BU87" s="16" t="n">
        <v>0.247734</v>
      </c>
      <c r="BV87" s="16" t="n">
        <v>418.426407</v>
      </c>
      <c r="BW87" s="16" t="n"/>
      <c r="BX87" s="16" t="n"/>
      <c r="BY87" s="16" t="n">
        <v>0.677686</v>
      </c>
      <c r="BZ87" s="16" t="n">
        <v>292.809679</v>
      </c>
      <c r="CA87" s="16" t="n">
        <v>0.247734</v>
      </c>
      <c r="CB87" s="16" t="n">
        <v>285.610109</v>
      </c>
      <c r="CC87" s="16" t="n"/>
      <c r="CD87" s="16" t="n"/>
      <c r="CE87" s="16" t="n">
        <v>0.677686</v>
      </c>
      <c r="CF87" s="16" t="n">
        <v>3951.20472</v>
      </c>
      <c r="CG87" s="16" t="n">
        <v>0.247734</v>
      </c>
      <c r="CH87" s="16" t="n">
        <v>2676.464075</v>
      </c>
      <c r="CI87" s="16" t="n"/>
      <c r="CJ87" s="16" t="n"/>
      <c r="CK87" s="16" t="n">
        <v>0.677686</v>
      </c>
      <c r="CL87" s="16" t="n">
        <v>1275.004074</v>
      </c>
      <c r="CM87" s="16" t="n">
        <v>0.247734</v>
      </c>
      <c r="CN87" s="16" t="n">
        <v>531.941068</v>
      </c>
      <c r="CO87" s="16" t="n"/>
      <c r="CP87" s="16" t="n"/>
      <c r="CQ87" s="16" t="n">
        <v>0.677686</v>
      </c>
      <c r="CR87" s="16" t="n">
        <v>0.697332</v>
      </c>
      <c r="CS87" s="16" t="n">
        <v>0.247734</v>
      </c>
      <c r="CT87" s="16" t="n">
        <v>0.605974</v>
      </c>
      <c r="CU87" s="16" t="n"/>
      <c r="CV87" s="16" t="n"/>
      <c r="CW87" s="16" t="n">
        <v>0.677686</v>
      </c>
      <c r="CX87" s="16" t="n">
        <v>0.8623960000000001</v>
      </c>
      <c r="CY87" s="16" t="n">
        <v>0.247734</v>
      </c>
      <c r="CZ87" s="16" t="n">
        <v>0.792834</v>
      </c>
      <c r="DA87" s="16" t="n"/>
      <c r="DB87" s="16" t="n"/>
      <c r="DC87" s="16" t="n">
        <v>0.677686</v>
      </c>
      <c r="DD87" s="16" t="n">
        <v>0.824452</v>
      </c>
      <c r="DE87" s="16" t="n">
        <v>0.247734</v>
      </c>
      <c r="DF87" s="16" t="n">
        <v>0.706769</v>
      </c>
      <c r="DG87" s="16" t="n"/>
      <c r="DH87" s="16" t="n"/>
      <c r="DI87" s="16" t="n">
        <v>0.677686</v>
      </c>
      <c r="DJ87" s="16" t="n">
        <v>0.822858</v>
      </c>
      <c r="DK87" s="16" t="n">
        <v>0.247734</v>
      </c>
      <c r="DL87" s="16" t="n">
        <v>0.69231</v>
      </c>
      <c r="DM87" s="16" t="n"/>
      <c r="DN87" s="16" t="n"/>
      <c r="DO87" s="16" t="n">
        <v>0.677686</v>
      </c>
      <c r="DP87" s="16" t="n">
        <v>0.864767</v>
      </c>
      <c r="DQ87" s="16" t="n">
        <v>0.247734</v>
      </c>
      <c r="DR87" s="16" t="n">
        <v>0.677071</v>
      </c>
      <c r="DS87" s="16" t="n"/>
      <c r="DT87" s="16" t="n"/>
      <c r="DU87" s="16" t="n">
        <v>0.677686</v>
      </c>
      <c r="DV87" s="16" t="n">
        <v>0.919843</v>
      </c>
      <c r="DW87" s="16" t="n">
        <v>0.247734</v>
      </c>
      <c r="DX87" s="16" t="n">
        <v>0.749084</v>
      </c>
      <c r="DY87" s="16" t="n"/>
      <c r="DZ87" s="16" t="n"/>
      <c r="EB87" s="16" t="n">
        <v>1142.295616</v>
      </c>
      <c r="EC87" s="16" t="n">
        <v>2921.798926</v>
      </c>
      <c r="ED87" s="16" t="n"/>
      <c r="EE87" s="16" t="n"/>
      <c r="EF87" s="16" t="n">
        <v>997.263138</v>
      </c>
      <c r="EG87" s="16" t="n">
        <v>2530.991649</v>
      </c>
      <c r="EH87" s="16" t="n">
        <v>480.628483</v>
      </c>
      <c r="EI87" s="16" t="n">
        <v>4034.50992</v>
      </c>
      <c r="EJ87" s="16" t="n"/>
      <c r="EK87" s="16" t="n"/>
      <c r="EL87" s="16" t="n"/>
      <c r="EM87" s="16" t="n"/>
      <c r="EN87" s="16" t="n"/>
      <c r="EO87" s="16" t="n"/>
      <c r="EP87" s="16" t="n"/>
      <c r="EQ87" s="16" t="n"/>
      <c r="ER87" s="16" t="n"/>
      <c r="ES87" s="16" t="n"/>
      <c r="ET87" s="16" t="n"/>
      <c r="EU87" s="16" t="n"/>
    </row>
    <row r="88">
      <c r="BS88" s="16" t="n">
        <v>0.6859499999999999</v>
      </c>
      <c r="BT88" s="16" t="n">
        <v>437.984156</v>
      </c>
      <c r="BU88" s="16" t="n">
        <v>0.250755</v>
      </c>
      <c r="BV88" s="16" t="n">
        <v>418.633354</v>
      </c>
      <c r="BW88" s="16" t="n"/>
      <c r="BX88" s="16" t="n"/>
      <c r="BY88" s="16" t="n">
        <v>0.6859499999999999</v>
      </c>
      <c r="BZ88" s="16" t="n">
        <v>292.910781</v>
      </c>
      <c r="CA88" s="16" t="n">
        <v>0.250755</v>
      </c>
      <c r="CB88" s="16" t="n">
        <v>285.826398</v>
      </c>
      <c r="CC88" s="16" t="n"/>
      <c r="CD88" s="16" t="n"/>
      <c r="CE88" s="16" t="n">
        <v>0.6859499999999999</v>
      </c>
      <c r="CF88" s="16" t="n">
        <v>3961.412957</v>
      </c>
      <c r="CG88" s="16" t="n">
        <v>0.250755</v>
      </c>
      <c r="CH88" s="16" t="n">
        <v>2683.095482</v>
      </c>
      <c r="CI88" s="16" t="n"/>
      <c r="CJ88" s="16" t="n"/>
      <c r="CK88" s="16" t="n">
        <v>0.6859499999999999</v>
      </c>
      <c r="CL88" s="16" t="n">
        <v>1277.817032</v>
      </c>
      <c r="CM88" s="16" t="n">
        <v>0.250755</v>
      </c>
      <c r="CN88" s="16" t="n">
        <v>532.9843069999999</v>
      </c>
      <c r="CO88" s="16" t="n"/>
      <c r="CP88" s="16" t="n"/>
      <c r="CQ88" s="16" t="n">
        <v>0.6859499999999999</v>
      </c>
      <c r="CR88" s="16" t="n">
        <v>0.701673</v>
      </c>
      <c r="CS88" s="16" t="n">
        <v>0.250755</v>
      </c>
      <c r="CT88" s="16" t="n">
        <v>0.607316</v>
      </c>
      <c r="CU88" s="16" t="n"/>
      <c r="CV88" s="16" t="n"/>
      <c r="CW88" s="16" t="n">
        <v>0.6859499999999999</v>
      </c>
      <c r="CX88" s="16" t="n">
        <v>0.86271</v>
      </c>
      <c r="CY88" s="16" t="n">
        <v>0.250755</v>
      </c>
      <c r="CZ88" s="16" t="n">
        <v>0.792987</v>
      </c>
      <c r="DA88" s="16" t="n"/>
      <c r="DB88" s="16" t="n"/>
      <c r="DC88" s="16" t="n">
        <v>0.6859499999999999</v>
      </c>
      <c r="DD88" s="16" t="n">
        <v>0.824832</v>
      </c>
      <c r="DE88" s="16" t="n">
        <v>0.250755</v>
      </c>
      <c r="DF88" s="16" t="n">
        <v>0.707816</v>
      </c>
      <c r="DG88" s="16" t="n"/>
      <c r="DH88" s="16" t="n"/>
      <c r="DI88" s="16" t="n">
        <v>0.6859499999999999</v>
      </c>
      <c r="DJ88" s="16" t="n">
        <v>0.824688</v>
      </c>
      <c r="DK88" s="16" t="n">
        <v>0.250755</v>
      </c>
      <c r="DL88" s="16" t="n">
        <v>0.6928260000000001</v>
      </c>
      <c r="DM88" s="16" t="n"/>
      <c r="DN88" s="16" t="n"/>
      <c r="DO88" s="16" t="n">
        <v>0.6859499999999999</v>
      </c>
      <c r="DP88" s="16" t="n">
        <v>0.8658670000000001</v>
      </c>
      <c r="DQ88" s="16" t="n">
        <v>0.250755</v>
      </c>
      <c r="DR88" s="16" t="n">
        <v>0.6775910000000001</v>
      </c>
      <c r="DS88" s="16" t="n"/>
      <c r="DT88" s="16" t="n"/>
      <c r="DU88" s="16" t="n">
        <v>0.6859499999999999</v>
      </c>
      <c r="DV88" s="16" t="n">
        <v>0.920168</v>
      </c>
      <c r="DW88" s="16" t="n">
        <v>0.250755</v>
      </c>
      <c r="DX88" s="16" t="n">
        <v>0.7496390000000001</v>
      </c>
      <c r="DY88" s="16" t="n"/>
      <c r="DZ88" s="16" t="n"/>
      <c r="EB88" s="16" t="n">
        <v>1438.218115</v>
      </c>
      <c r="EC88" s="16" t="n">
        <v>3718.573104</v>
      </c>
      <c r="ED88" s="16" t="n"/>
      <c r="EE88" s="16" t="n"/>
      <c r="EF88" s="16" t="n">
        <v>668.828918</v>
      </c>
      <c r="EG88" s="16" t="n">
        <v>2222.422621</v>
      </c>
      <c r="EH88" s="16" t="n">
        <v>899.118228</v>
      </c>
      <c r="EI88" s="16" t="n">
        <v>3931.476964</v>
      </c>
      <c r="EJ88" s="16" t="n"/>
      <c r="EK88" s="16" t="n"/>
      <c r="EL88" s="16" t="n"/>
      <c r="EM88" s="16" t="n"/>
      <c r="EN88" s="16" t="n"/>
      <c r="EO88" s="16" t="n"/>
      <c r="EP88" s="16" t="n"/>
      <c r="EQ88" s="16" t="n"/>
      <c r="ER88" s="16" t="n"/>
      <c r="ES88" s="16" t="n"/>
      <c r="ET88" s="16" t="n"/>
      <c r="EU88" s="16" t="n"/>
    </row>
    <row r="89">
      <c r="BS89" s="16" t="n">
        <v>0.694215</v>
      </c>
      <c r="BT89" s="16" t="n">
        <v>440.273178</v>
      </c>
      <c r="BU89" s="16" t="n">
        <v>0.253776</v>
      </c>
      <c r="BV89" s="16" t="n">
        <v>418.82498</v>
      </c>
      <c r="BW89" s="16" t="n"/>
      <c r="BX89" s="16" t="n"/>
      <c r="BY89" s="16" t="n">
        <v>0.694215</v>
      </c>
      <c r="BZ89" s="16" t="n">
        <v>293.019654</v>
      </c>
      <c r="CA89" s="16" t="n">
        <v>0.253776</v>
      </c>
      <c r="CB89" s="16" t="n">
        <v>285.842225</v>
      </c>
      <c r="CC89" s="16" t="n"/>
      <c r="CD89" s="16" t="n"/>
      <c r="CE89" s="16" t="n">
        <v>0.694215</v>
      </c>
      <c r="CF89" s="16" t="n">
        <v>3985.967693</v>
      </c>
      <c r="CG89" s="16" t="n">
        <v>0.253776</v>
      </c>
      <c r="CH89" s="16" t="n">
        <v>2694.119121</v>
      </c>
      <c r="CI89" s="16" t="n"/>
      <c r="CJ89" s="16" t="n"/>
      <c r="CK89" s="16" t="n">
        <v>0.694215</v>
      </c>
      <c r="CL89" s="16" t="n">
        <v>1280.658961</v>
      </c>
      <c r="CM89" s="16" t="n">
        <v>0.253776</v>
      </c>
      <c r="CN89" s="16" t="n">
        <v>536.159591</v>
      </c>
      <c r="CO89" s="16" t="n"/>
      <c r="CP89" s="16" t="n"/>
      <c r="CQ89" s="16" t="n">
        <v>0.694215</v>
      </c>
      <c r="CR89" s="16" t="n">
        <v>0.703773</v>
      </c>
      <c r="CS89" s="16" t="n">
        <v>0.253776</v>
      </c>
      <c r="CT89" s="16" t="n">
        <v>0.6077129999999999</v>
      </c>
      <c r="CU89" s="16" t="n"/>
      <c r="CV89" s="16" t="n"/>
      <c r="CW89" s="16" t="n">
        <v>0.694215</v>
      </c>
      <c r="CX89" s="16" t="n">
        <v>0.863147</v>
      </c>
      <c r="CY89" s="16" t="n">
        <v>0.253776</v>
      </c>
      <c r="CZ89" s="16" t="n">
        <v>0.793179</v>
      </c>
      <c r="DA89" s="16" t="n"/>
      <c r="DB89" s="16" t="n"/>
      <c r="DC89" s="16" t="n">
        <v>0.694215</v>
      </c>
      <c r="DD89" s="16" t="n">
        <v>0.825228</v>
      </c>
      <c r="DE89" s="16" t="n">
        <v>0.253776</v>
      </c>
      <c r="DF89" s="16" t="n">
        <v>0.7090070000000001</v>
      </c>
      <c r="DG89" s="16" t="n"/>
      <c r="DH89" s="16" t="n"/>
      <c r="DI89" s="16" t="n">
        <v>0.694215</v>
      </c>
      <c r="DJ89" s="16" t="n">
        <v>0.827425</v>
      </c>
      <c r="DK89" s="16" t="n">
        <v>0.253776</v>
      </c>
      <c r="DL89" s="16" t="n">
        <v>0.694735</v>
      </c>
      <c r="DM89" s="16" t="n"/>
      <c r="DN89" s="16" t="n"/>
      <c r="DO89" s="16" t="n">
        <v>0.694215</v>
      </c>
      <c r="DP89" s="16" t="n">
        <v>0.868587</v>
      </c>
      <c r="DQ89" s="16" t="n">
        <v>0.253776</v>
      </c>
      <c r="DR89" s="16" t="n">
        <v>0.679368</v>
      </c>
      <c r="DS89" s="16" t="n"/>
      <c r="DT89" s="16" t="n"/>
      <c r="DU89" s="16" t="n">
        <v>0.694215</v>
      </c>
      <c r="DV89" s="16" t="n">
        <v>0.921893</v>
      </c>
      <c r="DW89" s="16" t="n">
        <v>0.253776</v>
      </c>
      <c r="DX89" s="16" t="n">
        <v>0.750872</v>
      </c>
      <c r="DY89" s="16" t="n"/>
      <c r="DZ89" s="16" t="n"/>
      <c r="EB89" s="16" t="n"/>
      <c r="EC89" s="16" t="n"/>
      <c r="ED89" s="16" t="n"/>
      <c r="EE89" s="16" t="n"/>
      <c r="EF89" s="16" t="n">
        <v>536.159591</v>
      </c>
      <c r="EG89" s="16" t="n">
        <v>3738.69634</v>
      </c>
      <c r="EH89" s="16" t="n">
        <v>1084.441099</v>
      </c>
      <c r="EI89" s="16" t="n">
        <v>2326.182598</v>
      </c>
      <c r="EJ89" s="16" t="n"/>
      <c r="EK89" s="16" t="n"/>
      <c r="EL89" s="16" t="n"/>
      <c r="EM89" s="16" t="n"/>
      <c r="EN89" s="16" t="n"/>
      <c r="EO89" s="16" t="n"/>
      <c r="EP89" s="16" t="n"/>
      <c r="EQ89" s="16" t="n"/>
      <c r="ER89" s="16" t="n"/>
      <c r="ES89" s="16" t="n"/>
      <c r="ET89" s="16" t="n"/>
      <c r="EU89" s="16" t="n"/>
    </row>
    <row r="90">
      <c r="BS90" s="16" t="n">
        <v>0.702479</v>
      </c>
      <c r="BT90" s="16" t="n">
        <v>440.878231</v>
      </c>
      <c r="BU90" s="16" t="n">
        <v>0.256798</v>
      </c>
      <c r="BV90" s="16" t="n">
        <v>419.057576</v>
      </c>
      <c r="BW90" s="16" t="n"/>
      <c r="BX90" s="16" t="n"/>
      <c r="BY90" s="16" t="n">
        <v>0.702479</v>
      </c>
      <c r="BZ90" s="16" t="n">
        <v>293.431725</v>
      </c>
      <c r="CA90" s="16" t="n">
        <v>0.256798</v>
      </c>
      <c r="CB90" s="16" t="n">
        <v>285.918045</v>
      </c>
      <c r="CC90" s="16" t="n"/>
      <c r="CD90" s="16" t="n"/>
      <c r="CE90" s="16" t="n">
        <v>0.702479</v>
      </c>
      <c r="CF90" s="16" t="n">
        <v>4011.037294</v>
      </c>
      <c r="CG90" s="16" t="n">
        <v>0.256798</v>
      </c>
      <c r="CH90" s="16" t="n">
        <v>2697.190256</v>
      </c>
      <c r="CI90" s="16" t="n"/>
      <c r="CJ90" s="16" t="n"/>
      <c r="CK90" s="16" t="n">
        <v>0.702479</v>
      </c>
      <c r="CL90" s="16" t="n">
        <v>1295.157267</v>
      </c>
      <c r="CM90" s="16" t="n">
        <v>0.256798</v>
      </c>
      <c r="CN90" s="16" t="n">
        <v>539.7324159999999</v>
      </c>
      <c r="CO90" s="16" t="n"/>
      <c r="CP90" s="16" t="n"/>
      <c r="CQ90" s="16" t="n">
        <v>0.702479</v>
      </c>
      <c r="CR90" s="16" t="n">
        <v>0.7040110000000001</v>
      </c>
      <c r="CS90" s="16" t="n">
        <v>0.256798</v>
      </c>
      <c r="CT90" s="16" t="n">
        <v>0.609066</v>
      </c>
      <c r="CU90" s="16" t="n"/>
      <c r="CV90" s="16" t="n"/>
      <c r="CW90" s="16" t="n">
        <v>0.702479</v>
      </c>
      <c r="CX90" s="16" t="n">
        <v>0.863827</v>
      </c>
      <c r="CY90" s="16" t="n">
        <v>0.256798</v>
      </c>
      <c r="CZ90" s="16" t="n">
        <v>0.794086</v>
      </c>
      <c r="DA90" s="16" t="n"/>
      <c r="DB90" s="16" t="n"/>
      <c r="DC90" s="16" t="n">
        <v>0.702479</v>
      </c>
      <c r="DD90" s="16" t="n">
        <v>0.826043</v>
      </c>
      <c r="DE90" s="16" t="n">
        <v>0.256798</v>
      </c>
      <c r="DF90" s="16" t="n">
        <v>0.709561</v>
      </c>
      <c r="DG90" s="16" t="n"/>
      <c r="DH90" s="16" t="n"/>
      <c r="DI90" s="16" t="n">
        <v>0.702479</v>
      </c>
      <c r="DJ90" s="16" t="n">
        <v>0.829642</v>
      </c>
      <c r="DK90" s="16" t="n">
        <v>0.256798</v>
      </c>
      <c r="DL90" s="16" t="n">
        <v>0.69519</v>
      </c>
      <c r="DM90" s="16" t="n"/>
      <c r="DN90" s="16" t="n"/>
      <c r="DO90" s="16" t="n">
        <v>0.702479</v>
      </c>
      <c r="DP90" s="16" t="n">
        <v>0.870009</v>
      </c>
      <c r="DQ90" s="16" t="n">
        <v>0.256798</v>
      </c>
      <c r="DR90" s="16" t="n">
        <v>0.681839</v>
      </c>
      <c r="DS90" s="16" t="n"/>
      <c r="DT90" s="16" t="n"/>
      <c r="DU90" s="16" t="n">
        <v>0.702479</v>
      </c>
      <c r="DV90" s="16" t="n">
        <v>0.9224329999999999</v>
      </c>
      <c r="DW90" s="16" t="n">
        <v>0.256798</v>
      </c>
      <c r="DX90" s="16" t="n">
        <v>0.750924</v>
      </c>
      <c r="DY90" s="16" t="n"/>
      <c r="DZ90" s="16" t="n"/>
      <c r="EB90" s="16" t="n"/>
      <c r="EC90" s="16" t="n"/>
      <c r="ED90" s="16" t="n"/>
      <c r="EE90" s="16" t="n"/>
      <c r="EF90" s="16" t="n">
        <v>1038.342815</v>
      </c>
      <c r="EG90" s="16" t="n">
        <v>2044.241944</v>
      </c>
      <c r="EH90" s="16" t="n">
        <v>1042.197857</v>
      </c>
      <c r="EI90" s="16" t="n">
        <v>3529.969169</v>
      </c>
      <c r="EJ90" s="16" t="n"/>
      <c r="EK90" s="16" t="n"/>
      <c r="EL90" s="16" t="n"/>
      <c r="EM90" s="16" t="n"/>
      <c r="EN90" s="16" t="n"/>
      <c r="EO90" s="16" t="n"/>
      <c r="EP90" s="16" t="n"/>
      <c r="EQ90" s="16" t="n"/>
      <c r="ER90" s="16" t="n"/>
      <c r="ES90" s="16" t="n"/>
      <c r="ET90" s="16" t="n"/>
      <c r="EU90" s="16" t="n"/>
    </row>
    <row r="91">
      <c r="BS91" s="16" t="n">
        <v>0.710744</v>
      </c>
      <c r="BT91" s="16" t="n">
        <v>441.068892</v>
      </c>
      <c r="BU91" s="16" t="n">
        <v>0.259819</v>
      </c>
      <c r="BV91" s="16" t="n">
        <v>419.622369</v>
      </c>
      <c r="BW91" s="16" t="n"/>
      <c r="BX91" s="16" t="n"/>
      <c r="BY91" s="16" t="n">
        <v>0.710744</v>
      </c>
      <c r="BZ91" s="16" t="n">
        <v>293.490173</v>
      </c>
      <c r="CA91" s="16" t="n">
        <v>0.259819</v>
      </c>
      <c r="CB91" s="16" t="n">
        <v>285.92739</v>
      </c>
      <c r="CC91" s="16" t="n"/>
      <c r="CD91" s="16" t="n"/>
      <c r="CE91" s="16" t="n">
        <v>0.710744</v>
      </c>
      <c r="CF91" s="16" t="n">
        <v>4035.592074</v>
      </c>
      <c r="CG91" s="16" t="n">
        <v>0.259819</v>
      </c>
      <c r="CH91" s="16" t="n">
        <v>2712.859711</v>
      </c>
      <c r="CI91" s="16" t="n"/>
      <c r="CJ91" s="16" t="n"/>
      <c r="CK91" s="16" t="n">
        <v>0.710744</v>
      </c>
      <c r="CL91" s="16" t="n">
        <v>1303.645408</v>
      </c>
      <c r="CM91" s="16" t="n">
        <v>0.259819</v>
      </c>
      <c r="CN91" s="16" t="n">
        <v>540.402813</v>
      </c>
      <c r="CO91" s="16" t="n"/>
      <c r="CP91" s="16" t="n"/>
      <c r="CQ91" s="16" t="n">
        <v>0.710744</v>
      </c>
      <c r="CR91" s="16" t="n">
        <v>0.705037</v>
      </c>
      <c r="CS91" s="16" t="n">
        <v>0.259819</v>
      </c>
      <c r="CT91" s="16" t="n">
        <v>0.609235</v>
      </c>
      <c r="CU91" s="16" t="n"/>
      <c r="CV91" s="16" t="n"/>
      <c r="CW91" s="16" t="n">
        <v>0.710744</v>
      </c>
      <c r="CX91" s="16" t="n">
        <v>0.8666509999999999</v>
      </c>
      <c r="CY91" s="16" t="n">
        <v>0.259819</v>
      </c>
      <c r="CZ91" s="16" t="n">
        <v>0.794667</v>
      </c>
      <c r="DA91" s="16" t="n"/>
      <c r="DB91" s="16" t="n"/>
      <c r="DC91" s="16" t="n">
        <v>0.710744</v>
      </c>
      <c r="DD91" s="16" t="n">
        <v>0.8265479999999999</v>
      </c>
      <c r="DE91" s="16" t="n">
        <v>0.259819</v>
      </c>
      <c r="DF91" s="16" t="n">
        <v>0.710203</v>
      </c>
      <c r="DG91" s="16" t="n"/>
      <c r="DH91" s="16" t="n"/>
      <c r="DI91" s="16" t="n">
        <v>0.710744</v>
      </c>
      <c r="DJ91" s="16" t="n">
        <v>0.837021</v>
      </c>
      <c r="DK91" s="16" t="n">
        <v>0.259819</v>
      </c>
      <c r="DL91" s="16" t="n">
        <v>0.697957</v>
      </c>
      <c r="DM91" s="16" t="n"/>
      <c r="DN91" s="16" t="n"/>
      <c r="DO91" s="16" t="n">
        <v>0.710744</v>
      </c>
      <c r="DP91" s="16" t="n">
        <v>0.872881</v>
      </c>
      <c r="DQ91" s="16" t="n">
        <v>0.259819</v>
      </c>
      <c r="DR91" s="16" t="n">
        <v>0.682524</v>
      </c>
      <c r="DS91" s="16" t="n"/>
      <c r="DT91" s="16" t="n"/>
      <c r="DU91" s="16" t="n">
        <v>0.710744</v>
      </c>
      <c r="DV91" s="16" t="n">
        <v>0.923345</v>
      </c>
      <c r="DW91" s="16" t="n">
        <v>0.259819</v>
      </c>
      <c r="DX91" s="16" t="n">
        <v>0.751797</v>
      </c>
      <c r="DY91" s="16" t="n"/>
      <c r="DZ91" s="16" t="n"/>
      <c r="EB91" s="16" t="n"/>
      <c r="EC91" s="16" t="n"/>
      <c r="ED91" s="16" t="n"/>
      <c r="EE91" s="16" t="n"/>
      <c r="EF91" s="16" t="n">
        <v>1082.752806</v>
      </c>
      <c r="EG91" s="16" t="n">
        <v>2632.449277</v>
      </c>
      <c r="EH91" s="16" t="n">
        <v>302.94923</v>
      </c>
      <c r="EI91" s="16" t="n">
        <v>2479.216748</v>
      </c>
      <c r="EJ91" s="16" t="n"/>
      <c r="EK91" s="16" t="n"/>
      <c r="EL91" s="16" t="n"/>
      <c r="EM91" s="16" t="n"/>
      <c r="EN91" s="16" t="n"/>
      <c r="EO91" s="16" t="n"/>
      <c r="EP91" s="16" t="n"/>
      <c r="EQ91" s="16" t="n"/>
      <c r="ER91" s="16" t="n"/>
      <c r="ES91" s="16" t="n"/>
      <c r="ET91" s="16" t="n"/>
      <c r="EU91" s="16" t="n"/>
    </row>
    <row r="92">
      <c r="BS92" s="16" t="n">
        <v>0.719008</v>
      </c>
      <c r="BT92" s="16" t="n">
        <v>441.638939</v>
      </c>
      <c r="BU92" s="16" t="n">
        <v>0.26284</v>
      </c>
      <c r="BV92" s="16" t="n">
        <v>419.747026</v>
      </c>
      <c r="BW92" s="16" t="n"/>
      <c r="BX92" s="16" t="n"/>
      <c r="BY92" s="16" t="n">
        <v>0.719008</v>
      </c>
      <c r="BZ92" s="16" t="n">
        <v>293.702729</v>
      </c>
      <c r="CA92" s="16" t="n">
        <v>0.26284</v>
      </c>
      <c r="CB92" s="16" t="n">
        <v>285.982859</v>
      </c>
      <c r="CC92" s="16" t="n"/>
      <c r="CD92" s="16" t="n"/>
      <c r="CE92" s="16" t="n">
        <v>0.719008</v>
      </c>
      <c r="CF92" s="16" t="n">
        <v>4111.491562</v>
      </c>
      <c r="CG92" s="16" t="n">
        <v>0.26284</v>
      </c>
      <c r="CH92" s="16" t="n">
        <v>2718.161588</v>
      </c>
      <c r="CI92" s="16" t="n"/>
      <c r="CJ92" s="16" t="n"/>
      <c r="CK92" s="16" t="n">
        <v>0.719008</v>
      </c>
      <c r="CL92" s="16" t="n">
        <v>1304.543517</v>
      </c>
      <c r="CM92" s="16" t="n">
        <v>0.26284</v>
      </c>
      <c r="CN92" s="16" t="n">
        <v>540.552093</v>
      </c>
      <c r="CO92" s="16" t="n"/>
      <c r="CP92" s="16" t="n"/>
      <c r="CQ92" s="16" t="n">
        <v>0.719008</v>
      </c>
      <c r="CR92" s="16" t="n">
        <v>0.705083</v>
      </c>
      <c r="CS92" s="16" t="n">
        <v>0.26284</v>
      </c>
      <c r="CT92" s="16" t="n">
        <v>0.610147</v>
      </c>
      <c r="CU92" s="16" t="n"/>
      <c r="CV92" s="16" t="n"/>
      <c r="CW92" s="16" t="n">
        <v>0.719008</v>
      </c>
      <c r="CX92" s="16" t="n">
        <v>0.869154</v>
      </c>
      <c r="CY92" s="16" t="n">
        <v>0.26284</v>
      </c>
      <c r="CZ92" s="16" t="n">
        <v>0.794692</v>
      </c>
      <c r="DA92" s="16" t="n"/>
      <c r="DB92" s="16" t="n"/>
      <c r="DC92" s="16" t="n">
        <v>0.719008</v>
      </c>
      <c r="DD92" s="16" t="n">
        <v>0.8271230000000001</v>
      </c>
      <c r="DE92" s="16" t="n">
        <v>0.26284</v>
      </c>
      <c r="DF92" s="16" t="n">
        <v>0.711246</v>
      </c>
      <c r="DG92" s="16" t="n"/>
      <c r="DH92" s="16" t="n"/>
      <c r="DI92" s="16" t="n">
        <v>0.719008</v>
      </c>
      <c r="DJ92" s="16" t="n">
        <v>0.850685</v>
      </c>
      <c r="DK92" s="16" t="n">
        <v>0.26284</v>
      </c>
      <c r="DL92" s="16" t="n">
        <v>0.698825</v>
      </c>
      <c r="DM92" s="16" t="n"/>
      <c r="DN92" s="16" t="n"/>
      <c r="DO92" s="16" t="n">
        <v>0.719008</v>
      </c>
      <c r="DP92" s="16" t="n">
        <v>0.8733070000000001</v>
      </c>
      <c r="DQ92" s="16" t="n">
        <v>0.26284</v>
      </c>
      <c r="DR92" s="16" t="n">
        <v>0.683069</v>
      </c>
      <c r="DS92" s="16" t="n"/>
      <c r="DT92" s="16" t="n"/>
      <c r="DU92" s="16" t="n">
        <v>0.719008</v>
      </c>
      <c r="DV92" s="16" t="n">
        <v>0.924185</v>
      </c>
      <c r="DW92" s="16" t="n">
        <v>0.26284</v>
      </c>
      <c r="DX92" s="16" t="n">
        <v>0.7519400000000001</v>
      </c>
      <c r="DY92" s="16" t="n"/>
      <c r="DZ92" s="16" t="n"/>
      <c r="EB92" s="16" t="n"/>
      <c r="EC92" s="16" t="n"/>
      <c r="ED92" s="16" t="n"/>
      <c r="EE92" s="16" t="n"/>
      <c r="EF92" s="16" t="n">
        <v>576.221737</v>
      </c>
      <c r="EG92" s="16" t="n">
        <v>3991.388143</v>
      </c>
      <c r="EH92" s="16" t="n">
        <v>841.6495</v>
      </c>
      <c r="EI92" s="16" t="n">
        <v>3381.451689</v>
      </c>
      <c r="EJ92" s="16" t="n"/>
      <c r="EK92" s="16" t="n"/>
      <c r="EL92" s="16" t="n"/>
      <c r="EM92" s="16" t="n"/>
      <c r="EN92" s="16" t="n"/>
      <c r="EO92" s="16" t="n"/>
      <c r="EP92" s="16" t="n"/>
      <c r="EQ92" s="16" t="n"/>
      <c r="ER92" s="16" t="n"/>
      <c r="ES92" s="16" t="n"/>
      <c r="ET92" s="16" t="n"/>
      <c r="EU92" s="16" t="n"/>
    </row>
    <row r="93">
      <c r="BS93" s="16" t="n">
        <v>0.7272729999999999</v>
      </c>
      <c r="BT93" s="16" t="n">
        <v>441.74191</v>
      </c>
      <c r="BU93" s="16" t="n">
        <v>0.265861</v>
      </c>
      <c r="BV93" s="16" t="n">
        <v>420.279431</v>
      </c>
      <c r="BW93" s="16" t="n"/>
      <c r="BX93" s="16" t="n"/>
      <c r="BY93" s="16" t="n">
        <v>0.7272729999999999</v>
      </c>
      <c r="BZ93" s="16" t="n">
        <v>293.771113</v>
      </c>
      <c r="CA93" s="16" t="n">
        <v>0.265861</v>
      </c>
      <c r="CB93" s="16" t="n">
        <v>286.07284</v>
      </c>
      <c r="CC93" s="16" t="n"/>
      <c r="CD93" s="16" t="n"/>
      <c r="CE93" s="16" t="n">
        <v>0.7272729999999999</v>
      </c>
      <c r="CF93" s="16" t="n">
        <v>4127.89242</v>
      </c>
      <c r="CG93" s="16" t="n">
        <v>0.265861</v>
      </c>
      <c r="CH93" s="16" t="n">
        <v>2724.514536</v>
      </c>
      <c r="CI93" s="16" t="n"/>
      <c r="CJ93" s="16" t="n"/>
      <c r="CK93" s="16" t="n">
        <v>0.7272729999999999</v>
      </c>
      <c r="CL93" s="16" t="n">
        <v>1307.586826</v>
      </c>
      <c r="CM93" s="16" t="n">
        <v>0.265861</v>
      </c>
      <c r="CN93" s="16" t="n">
        <v>547.289925</v>
      </c>
      <c r="CO93" s="16" t="n"/>
      <c r="CP93" s="16" t="n"/>
      <c r="CQ93" s="16" t="n">
        <v>0.7272729999999999</v>
      </c>
      <c r="CR93" s="16" t="n">
        <v>0.708661</v>
      </c>
      <c r="CS93" s="16" t="n">
        <v>0.265861</v>
      </c>
      <c r="CT93" s="16" t="n">
        <v>0.611006</v>
      </c>
      <c r="CU93" s="16" t="n"/>
      <c r="CV93" s="16" t="n"/>
      <c r="CW93" s="16" t="n">
        <v>0.7272729999999999</v>
      </c>
      <c r="CX93" s="16" t="n">
        <v>0.87066</v>
      </c>
      <c r="CY93" s="16" t="n">
        <v>0.265861</v>
      </c>
      <c r="CZ93" s="16" t="n">
        <v>0.794968</v>
      </c>
      <c r="DA93" s="16" t="n"/>
      <c r="DB93" s="16" t="n"/>
      <c r="DC93" s="16" t="n">
        <v>0.7272729999999999</v>
      </c>
      <c r="DD93" s="16" t="n">
        <v>0.828495</v>
      </c>
      <c r="DE93" s="16" t="n">
        <v>0.265861</v>
      </c>
      <c r="DF93" s="16" t="n">
        <v>0.711437</v>
      </c>
      <c r="DG93" s="16" t="n"/>
      <c r="DH93" s="16" t="n"/>
      <c r="DI93" s="16" t="n">
        <v>0.7272729999999999</v>
      </c>
      <c r="DJ93" s="16" t="n">
        <v>0.851736</v>
      </c>
      <c r="DK93" s="16" t="n">
        <v>0.265861</v>
      </c>
      <c r="DL93" s="16" t="n">
        <v>0.700316</v>
      </c>
      <c r="DM93" s="16" t="n"/>
      <c r="DN93" s="16" t="n"/>
      <c r="DO93" s="16" t="n">
        <v>0.7272729999999999</v>
      </c>
      <c r="DP93" s="16" t="n">
        <v>0.876147</v>
      </c>
      <c r="DQ93" s="16" t="n">
        <v>0.265861</v>
      </c>
      <c r="DR93" s="16" t="n">
        <v>0.685476</v>
      </c>
      <c r="DS93" s="16" t="n"/>
      <c r="DT93" s="16" t="n"/>
      <c r="DU93" s="16" t="n">
        <v>0.7272729999999999</v>
      </c>
      <c r="DV93" s="16" t="n">
        <v>0.92483</v>
      </c>
      <c r="DW93" s="16" t="n">
        <v>0.265861</v>
      </c>
      <c r="DX93" s="16" t="n">
        <v>0.752642</v>
      </c>
      <c r="DY93" s="16" t="n"/>
      <c r="DZ93" s="16" t="n"/>
      <c r="EB93" s="16" t="n"/>
      <c r="EC93" s="16" t="n"/>
      <c r="ED93" s="16" t="n"/>
      <c r="EE93" s="16" t="n"/>
      <c r="EF93" s="16" t="n">
        <v>964.8958270000001</v>
      </c>
      <c r="EG93" s="16" t="n">
        <v>3139.517686</v>
      </c>
      <c r="EH93" s="16" t="n">
        <v>973.3351270000001</v>
      </c>
      <c r="EI93" s="16" t="n">
        <v>2493.332741</v>
      </c>
      <c r="EJ93" s="16" t="n"/>
      <c r="EK93" s="16" t="n"/>
      <c r="EL93" s="16" t="n"/>
      <c r="EM93" s="16" t="n"/>
      <c r="EN93" s="16" t="n"/>
      <c r="EO93" s="16" t="n"/>
      <c r="EP93" s="16" t="n"/>
      <c r="EQ93" s="16" t="n"/>
      <c r="ER93" s="16" t="n"/>
      <c r="ES93" s="16" t="n"/>
      <c r="ET93" s="16" t="n"/>
      <c r="EU93" s="16" t="n"/>
    </row>
    <row r="94">
      <c r="BS94" s="16" t="n">
        <v>0.735537</v>
      </c>
      <c r="BT94" s="16" t="n">
        <v>442.581649</v>
      </c>
      <c r="BU94" s="16" t="n">
        <v>0.268882</v>
      </c>
      <c r="BV94" s="16" t="n">
        <v>420.366601</v>
      </c>
      <c r="BW94" s="16" t="n"/>
      <c r="BX94" s="16" t="n"/>
      <c r="BY94" s="16" t="n">
        <v>0.735537</v>
      </c>
      <c r="BZ94" s="16" t="n">
        <v>294.618271</v>
      </c>
      <c r="CA94" s="16" t="n">
        <v>0.268882</v>
      </c>
      <c r="CB94" s="16" t="n">
        <v>286.244564</v>
      </c>
      <c r="CC94" s="16" t="n"/>
      <c r="CD94" s="16" t="n"/>
      <c r="CE94" s="16" t="n">
        <v>0.735537</v>
      </c>
      <c r="CF94" s="16" t="n">
        <v>4148.967786</v>
      </c>
      <c r="CG94" s="16" t="n">
        <v>0.268882</v>
      </c>
      <c r="CH94" s="16" t="n">
        <v>2729.135387</v>
      </c>
      <c r="CI94" s="16" t="n"/>
      <c r="CJ94" s="16" t="n"/>
      <c r="CK94" s="16" t="n">
        <v>0.735537</v>
      </c>
      <c r="CL94" s="16" t="n">
        <v>1315.787129</v>
      </c>
      <c r="CM94" s="16" t="n">
        <v>0.268882</v>
      </c>
      <c r="CN94" s="16" t="n">
        <v>551.550339</v>
      </c>
      <c r="CO94" s="16" t="n"/>
      <c r="CP94" s="16" t="n"/>
      <c r="CQ94" s="16" t="n">
        <v>0.735537</v>
      </c>
      <c r="CR94" s="16" t="n">
        <v>0.712087</v>
      </c>
      <c r="CS94" s="16" t="n">
        <v>0.268882</v>
      </c>
      <c r="CT94" s="16" t="n">
        <v>0.611015</v>
      </c>
      <c r="CU94" s="16" t="n"/>
      <c r="CV94" s="16" t="n"/>
      <c r="CW94" s="16" t="n">
        <v>0.735537</v>
      </c>
      <c r="CX94" s="16" t="n">
        <v>0.870757</v>
      </c>
      <c r="CY94" s="16" t="n">
        <v>0.268882</v>
      </c>
      <c r="CZ94" s="16" t="n">
        <v>0.79545</v>
      </c>
      <c r="DA94" s="16" t="n"/>
      <c r="DB94" s="16" t="n"/>
      <c r="DC94" s="16" t="n">
        <v>0.735537</v>
      </c>
      <c r="DD94" s="16" t="n">
        <v>0.831656</v>
      </c>
      <c r="DE94" s="16" t="n">
        <v>0.268882</v>
      </c>
      <c r="DF94" s="16" t="n">
        <v>0.712279</v>
      </c>
      <c r="DG94" s="16" t="n"/>
      <c r="DH94" s="16" t="n"/>
      <c r="DI94" s="16" t="n">
        <v>0.735537</v>
      </c>
      <c r="DJ94" s="16" t="n">
        <v>0.853094</v>
      </c>
      <c r="DK94" s="16" t="n">
        <v>0.268882</v>
      </c>
      <c r="DL94" s="16" t="n">
        <v>0.702889</v>
      </c>
      <c r="DM94" s="16" t="n"/>
      <c r="DN94" s="16" t="n"/>
      <c r="DO94" s="16" t="n">
        <v>0.735537</v>
      </c>
      <c r="DP94" s="16" t="n">
        <v>0.876171</v>
      </c>
      <c r="DQ94" s="16" t="n">
        <v>0.268882</v>
      </c>
      <c r="DR94" s="16" t="n">
        <v>0.685743</v>
      </c>
      <c r="DS94" s="16" t="n"/>
      <c r="DT94" s="16" t="n"/>
      <c r="DU94" s="16" t="n">
        <v>0.735537</v>
      </c>
      <c r="DV94" s="16" t="n">
        <v>0.9252089999999999</v>
      </c>
      <c r="DW94" s="16" t="n">
        <v>0.268882</v>
      </c>
      <c r="DX94" s="16" t="n">
        <v>0.753316</v>
      </c>
      <c r="DY94" s="16" t="n"/>
      <c r="DZ94" s="16" t="n"/>
      <c r="EB94" s="16" t="n"/>
      <c r="EC94" s="16" t="n"/>
      <c r="ED94" s="16" t="n"/>
      <c r="EE94" s="16" t="n"/>
      <c r="EF94" s="16" t="n">
        <v>1171.42944</v>
      </c>
      <c r="EG94" s="16" t="n">
        <v>4409.117253</v>
      </c>
      <c r="EH94" s="16" t="n">
        <v>801.12429</v>
      </c>
      <c r="EI94" s="16" t="n">
        <v>3196.211656</v>
      </c>
      <c r="EJ94" s="16" t="n"/>
      <c r="EK94" s="16" t="n"/>
      <c r="EL94" s="16" t="n"/>
      <c r="EM94" s="16" t="n"/>
      <c r="EN94" s="16" t="n"/>
      <c r="EO94" s="16" t="n"/>
      <c r="EP94" s="16" t="n"/>
      <c r="EQ94" s="16" t="n"/>
      <c r="ER94" s="16" t="n"/>
      <c r="ES94" s="16" t="n"/>
      <c r="ET94" s="16" t="n"/>
      <c r="EU94" s="16" t="n"/>
    </row>
    <row r="95">
      <c r="BS95" s="16" t="n">
        <v>0.743802</v>
      </c>
      <c r="BT95" s="16" t="n">
        <v>443.155296</v>
      </c>
      <c r="BU95" s="16" t="n">
        <v>0.271903</v>
      </c>
      <c r="BV95" s="16" t="n">
        <v>420.864474</v>
      </c>
      <c r="BW95" s="16" t="n"/>
      <c r="BX95" s="16" t="n"/>
      <c r="BY95" s="16" t="n">
        <v>0.743802</v>
      </c>
      <c r="BZ95" s="16" t="n">
        <v>294.828032</v>
      </c>
      <c r="CA95" s="16" t="n">
        <v>0.271903</v>
      </c>
      <c r="CB95" s="16" t="n">
        <v>286.3679</v>
      </c>
      <c r="CC95" s="16" t="n"/>
      <c r="CD95" s="16" t="n"/>
      <c r="CE95" s="16" t="n">
        <v>0.743802</v>
      </c>
      <c r="CF95" s="16" t="n">
        <v>4160.685292</v>
      </c>
      <c r="CG95" s="16" t="n">
        <v>0.271903</v>
      </c>
      <c r="CH95" s="16" t="n">
        <v>2733.313617</v>
      </c>
      <c r="CI95" s="16" t="n"/>
      <c r="CJ95" s="16" t="n"/>
      <c r="CK95" s="16" t="n">
        <v>0.743802</v>
      </c>
      <c r="CL95" s="16" t="n">
        <v>1316.052289</v>
      </c>
      <c r="CM95" s="16" t="n">
        <v>0.271903</v>
      </c>
      <c r="CN95" s="16" t="n">
        <v>552.278125</v>
      </c>
      <c r="CO95" s="16" t="n"/>
      <c r="CP95" s="16" t="n"/>
      <c r="CQ95" s="16" t="n">
        <v>0.743802</v>
      </c>
      <c r="CR95" s="16" t="n">
        <v>0.713396</v>
      </c>
      <c r="CS95" s="16" t="n">
        <v>0.271903</v>
      </c>
      <c r="CT95" s="16" t="n">
        <v>0.612412</v>
      </c>
      <c r="CU95" s="16" t="n"/>
      <c r="CV95" s="16" t="n"/>
      <c r="CW95" s="16" t="n">
        <v>0.743802</v>
      </c>
      <c r="CX95" s="16" t="n">
        <v>0.874188</v>
      </c>
      <c r="CY95" s="16" t="n">
        <v>0.271903</v>
      </c>
      <c r="CZ95" s="16" t="n">
        <v>0.795983</v>
      </c>
      <c r="DA95" s="16" t="n"/>
      <c r="DB95" s="16" t="n"/>
      <c r="DC95" s="16" t="n">
        <v>0.743802</v>
      </c>
      <c r="DD95" s="16" t="n">
        <v>0.8323159999999999</v>
      </c>
      <c r="DE95" s="16" t="n">
        <v>0.271903</v>
      </c>
      <c r="DF95" s="16" t="n">
        <v>0.7127790000000001</v>
      </c>
      <c r="DG95" s="16" t="n"/>
      <c r="DH95" s="16" t="n"/>
      <c r="DI95" s="16" t="n">
        <v>0.743802</v>
      </c>
      <c r="DJ95" s="16" t="n">
        <v>0.855453</v>
      </c>
      <c r="DK95" s="16" t="n">
        <v>0.271903</v>
      </c>
      <c r="DL95" s="16" t="n">
        <v>0.7034</v>
      </c>
      <c r="DM95" s="16" t="n"/>
      <c r="DN95" s="16" t="n"/>
      <c r="DO95" s="16" t="n">
        <v>0.743802</v>
      </c>
      <c r="DP95" s="16" t="n">
        <v>0.877648</v>
      </c>
      <c r="DQ95" s="16" t="n">
        <v>0.271903</v>
      </c>
      <c r="DR95" s="16" t="n">
        <v>0.686095</v>
      </c>
      <c r="DS95" s="16" t="n"/>
      <c r="DT95" s="16" t="n"/>
      <c r="DU95" s="16" t="n">
        <v>0.743802</v>
      </c>
      <c r="DV95" s="16" t="n">
        <v>0.925277</v>
      </c>
      <c r="DW95" s="16" t="n">
        <v>0.271903</v>
      </c>
      <c r="DX95" s="16" t="n">
        <v>0.753784</v>
      </c>
      <c r="DY95" s="16" t="n"/>
      <c r="DZ95" s="16" t="n"/>
      <c r="EB95" s="16" t="n"/>
      <c r="EC95" s="16" t="n"/>
      <c r="ED95" s="16" t="n"/>
      <c r="EE95" s="16" t="n"/>
      <c r="EF95" s="16" t="n">
        <v>1477.966903</v>
      </c>
      <c r="EG95" s="16" t="n">
        <v>2240.75128</v>
      </c>
      <c r="EH95" s="16" t="n">
        <v>1161.275268</v>
      </c>
      <c r="EI95" s="16" t="n">
        <v>3041.878041</v>
      </c>
      <c r="EJ95" s="16" t="n"/>
      <c r="EK95" s="16" t="n"/>
      <c r="EL95" s="16" t="n"/>
      <c r="EM95" s="16" t="n"/>
      <c r="EN95" s="16" t="n"/>
      <c r="EO95" s="16" t="n"/>
      <c r="EP95" s="16" t="n"/>
      <c r="EQ95" s="16" t="n"/>
      <c r="ER95" s="16" t="n"/>
      <c r="ES95" s="16" t="n"/>
      <c r="ET95" s="16" t="n"/>
      <c r="EU95" s="16" t="n"/>
    </row>
    <row r="96">
      <c r="BS96" s="16" t="n">
        <v>0.752066</v>
      </c>
      <c r="BT96" s="16" t="n">
        <v>445.608524</v>
      </c>
      <c r="BU96" s="16" t="n">
        <v>0.274924</v>
      </c>
      <c r="BV96" s="16" t="n">
        <v>420.915782</v>
      </c>
      <c r="BW96" s="16" t="n"/>
      <c r="BX96" s="16" t="n"/>
      <c r="BY96" s="16" t="n">
        <v>0.752066</v>
      </c>
      <c r="BZ96" s="16" t="n">
        <v>294.856299</v>
      </c>
      <c r="CA96" s="16" t="n">
        <v>0.274924</v>
      </c>
      <c r="CB96" s="16" t="n">
        <v>286.455095</v>
      </c>
      <c r="CC96" s="16" t="n"/>
      <c r="CD96" s="16" t="n"/>
      <c r="CE96" s="16" t="n">
        <v>0.752066</v>
      </c>
      <c r="CF96" s="16" t="n">
        <v>4176.475396</v>
      </c>
      <c r="CG96" s="16" t="n">
        <v>0.274924</v>
      </c>
      <c r="CH96" s="16" t="n">
        <v>2742.39964</v>
      </c>
      <c r="CI96" s="16" t="n"/>
      <c r="CJ96" s="16" t="n"/>
      <c r="CK96" s="16" t="n">
        <v>0.752066</v>
      </c>
      <c r="CL96" s="16" t="n">
        <v>1317.208461</v>
      </c>
      <c r="CM96" s="16" t="n">
        <v>0.274924</v>
      </c>
      <c r="CN96" s="16" t="n">
        <v>555.6196169999999</v>
      </c>
      <c r="CO96" s="16" t="n"/>
      <c r="CP96" s="16" t="n"/>
      <c r="CQ96" s="16" t="n">
        <v>0.752066</v>
      </c>
      <c r="CR96" s="16" t="n">
        <v>0.714289</v>
      </c>
      <c r="CS96" s="16" t="n">
        <v>0.274924</v>
      </c>
      <c r="CT96" s="16" t="n">
        <v>0.6130330000000001</v>
      </c>
      <c r="CU96" s="16" t="n"/>
      <c r="CV96" s="16" t="n"/>
      <c r="CW96" s="16" t="n">
        <v>0.752066</v>
      </c>
      <c r="CX96" s="16" t="n">
        <v>0.875877</v>
      </c>
      <c r="CY96" s="16" t="n">
        <v>0.274924</v>
      </c>
      <c r="CZ96" s="16" t="n">
        <v>0.796517</v>
      </c>
      <c r="DA96" s="16" t="n"/>
      <c r="DB96" s="16" t="n"/>
      <c r="DC96" s="16" t="n">
        <v>0.752066</v>
      </c>
      <c r="DD96" s="16" t="n">
        <v>0.832333</v>
      </c>
      <c r="DE96" s="16" t="n">
        <v>0.274924</v>
      </c>
      <c r="DF96" s="16" t="n">
        <v>0.713842</v>
      </c>
      <c r="DG96" s="16" t="n"/>
      <c r="DH96" s="16" t="n"/>
      <c r="DI96" s="16" t="n">
        <v>0.752066</v>
      </c>
      <c r="DJ96" s="16" t="n">
        <v>0.859285</v>
      </c>
      <c r="DK96" s="16" t="n">
        <v>0.274924</v>
      </c>
      <c r="DL96" s="16" t="n">
        <v>0.707268</v>
      </c>
      <c r="DM96" s="16" t="n"/>
      <c r="DN96" s="16" t="n"/>
      <c r="DO96" s="16" t="n">
        <v>0.752066</v>
      </c>
      <c r="DP96" s="16" t="n">
        <v>0.878568</v>
      </c>
      <c r="DQ96" s="16" t="n">
        <v>0.274924</v>
      </c>
      <c r="DR96" s="16" t="n">
        <v>0.688412</v>
      </c>
      <c r="DS96" s="16" t="n"/>
      <c r="DT96" s="16" t="n"/>
      <c r="DU96" s="16" t="n">
        <v>0.752066</v>
      </c>
      <c r="DV96" s="16" t="n">
        <v>0.926471</v>
      </c>
      <c r="DW96" s="16" t="n">
        <v>0.274924</v>
      </c>
      <c r="DX96" s="16" t="n">
        <v>0.754163</v>
      </c>
      <c r="DY96" s="16" t="n"/>
      <c r="DZ96" s="16" t="n"/>
      <c r="EB96" s="16" t="n"/>
      <c r="EC96" s="16" t="n"/>
      <c r="ED96" s="16" t="n"/>
      <c r="EE96" s="16" t="n"/>
      <c r="EF96" s="16" t="n">
        <v>913.581367</v>
      </c>
      <c r="EG96" s="16" t="n">
        <v>2891.278953</v>
      </c>
      <c r="EH96" s="16" t="n">
        <v>467.40074</v>
      </c>
      <c r="EI96" s="16" t="n">
        <v>2991.432788</v>
      </c>
      <c r="EJ96" s="16" t="n"/>
      <c r="EK96" s="16" t="n"/>
      <c r="EL96" s="16" t="n"/>
      <c r="EM96" s="16" t="n"/>
      <c r="EN96" s="16" t="n"/>
      <c r="EO96" s="16" t="n"/>
      <c r="EP96" s="16" t="n"/>
      <c r="EQ96" s="16" t="n"/>
      <c r="ER96" s="16" t="n"/>
      <c r="ES96" s="16" t="n"/>
      <c r="ET96" s="16" t="n"/>
      <c r="EU96" s="16" t="n"/>
    </row>
    <row r="97">
      <c r="BS97" s="16" t="n">
        <v>0.760331</v>
      </c>
      <c r="BT97" s="16" t="n">
        <v>448.329887</v>
      </c>
      <c r="BU97" s="16" t="n">
        <v>0.277946</v>
      </c>
      <c r="BV97" s="16" t="n">
        <v>421.8417</v>
      </c>
      <c r="BW97" s="16" t="n"/>
      <c r="BX97" s="16" t="n"/>
      <c r="BY97" s="16" t="n">
        <v>0.760331</v>
      </c>
      <c r="BZ97" s="16" t="n">
        <v>294.999043</v>
      </c>
      <c r="CA97" s="16" t="n">
        <v>0.277946</v>
      </c>
      <c r="CB97" s="16" t="n">
        <v>286.494671</v>
      </c>
      <c r="CC97" s="16" t="n"/>
      <c r="CD97" s="16" t="n"/>
      <c r="CE97" s="16" t="n">
        <v>0.760331</v>
      </c>
      <c r="CF97" s="16" t="n">
        <v>4178.304348</v>
      </c>
      <c r="CG97" s="16" t="n">
        <v>0.277946</v>
      </c>
      <c r="CH97" s="16" t="n">
        <v>2753.040648</v>
      </c>
      <c r="CI97" s="16" t="n"/>
      <c r="CJ97" s="16" t="n"/>
      <c r="CK97" s="16" t="n">
        <v>0.760331</v>
      </c>
      <c r="CL97" s="16" t="n">
        <v>1322.547882</v>
      </c>
      <c r="CM97" s="16" t="n">
        <v>0.277946</v>
      </c>
      <c r="CN97" s="16" t="n">
        <v>558.53242</v>
      </c>
      <c r="CO97" s="16" t="n"/>
      <c r="CP97" s="16" t="n"/>
      <c r="CQ97" s="16" t="n">
        <v>0.760331</v>
      </c>
      <c r="CR97" s="16" t="n">
        <v>0.71702</v>
      </c>
      <c r="CS97" s="16" t="n">
        <v>0.277946</v>
      </c>
      <c r="CT97" s="16" t="n">
        <v>0.614671</v>
      </c>
      <c r="CU97" s="16" t="n"/>
      <c r="CV97" s="16" t="n"/>
      <c r="CW97" s="16" t="n">
        <v>0.760331</v>
      </c>
      <c r="CX97" s="16" t="n">
        <v>0.876208</v>
      </c>
      <c r="CY97" s="16" t="n">
        <v>0.277946</v>
      </c>
      <c r="CZ97" s="16" t="n">
        <v>0.797382</v>
      </c>
      <c r="DA97" s="16" t="n"/>
      <c r="DB97" s="16" t="n"/>
      <c r="DC97" s="16" t="n">
        <v>0.760331</v>
      </c>
      <c r="DD97" s="16" t="n">
        <v>0.834408</v>
      </c>
      <c r="DE97" s="16" t="n">
        <v>0.277946</v>
      </c>
      <c r="DF97" s="16" t="n">
        <v>0.71446</v>
      </c>
      <c r="DG97" s="16" t="n"/>
      <c r="DH97" s="16" t="n"/>
      <c r="DI97" s="16" t="n">
        <v>0.760331</v>
      </c>
      <c r="DJ97" s="16" t="n">
        <v>0.86438</v>
      </c>
      <c r="DK97" s="16" t="n">
        <v>0.277946</v>
      </c>
      <c r="DL97" s="16" t="n">
        <v>0.709112</v>
      </c>
      <c r="DM97" s="16" t="n"/>
      <c r="DN97" s="16" t="n"/>
      <c r="DO97" s="16" t="n">
        <v>0.760331</v>
      </c>
      <c r="DP97" s="16" t="n">
        <v>0.880646</v>
      </c>
      <c r="DQ97" s="16" t="n">
        <v>0.277946</v>
      </c>
      <c r="DR97" s="16" t="n">
        <v>0.688474</v>
      </c>
      <c r="DS97" s="16" t="n"/>
      <c r="DT97" s="16" t="n"/>
      <c r="DU97" s="16" t="n">
        <v>0.760331</v>
      </c>
      <c r="DV97" s="16" t="n">
        <v>0.927941</v>
      </c>
      <c r="DW97" s="16" t="n">
        <v>0.277946</v>
      </c>
      <c r="DX97" s="16" t="n">
        <v>0.754561</v>
      </c>
      <c r="DY97" s="16" t="n"/>
      <c r="DZ97" s="16" t="n"/>
      <c r="EB97" s="16" t="n"/>
      <c r="EC97" s="16" t="n"/>
      <c r="ED97" s="16" t="n"/>
      <c r="EE97" s="16" t="n"/>
      <c r="EF97" s="16" t="n">
        <v>1072.261035</v>
      </c>
      <c r="EG97" s="16" t="n">
        <v>4527.030702</v>
      </c>
      <c r="EH97" s="16" t="n">
        <v>1340.305803</v>
      </c>
      <c r="EI97" s="16" t="n">
        <v>2251.395537</v>
      </c>
      <c r="EJ97" s="16" t="n"/>
      <c r="EK97" s="16" t="n"/>
      <c r="EL97" s="16" t="n"/>
      <c r="EM97" s="16" t="n"/>
      <c r="EN97" s="16" t="n"/>
      <c r="EO97" s="16" t="n"/>
      <c r="EP97" s="16" t="n"/>
      <c r="EQ97" s="16" t="n"/>
      <c r="ER97" s="16" t="n"/>
      <c r="ES97" s="16" t="n"/>
      <c r="ET97" s="16" t="n"/>
      <c r="EU97" s="16" t="n"/>
    </row>
    <row r="98">
      <c r="BS98" s="16" t="n">
        <v>0.768595</v>
      </c>
      <c r="BT98" s="16" t="n">
        <v>448.609962</v>
      </c>
      <c r="BU98" s="16" t="n">
        <v>0.280967</v>
      </c>
      <c r="BV98" s="16" t="n">
        <v>422.014689</v>
      </c>
      <c r="BW98" s="16" t="n"/>
      <c r="BX98" s="16" t="n"/>
      <c r="BY98" s="16" t="n">
        <v>0.768595</v>
      </c>
      <c r="BZ98" s="16" t="n">
        <v>295.227193</v>
      </c>
      <c r="CA98" s="16" t="n">
        <v>0.280967</v>
      </c>
      <c r="CB98" s="16" t="n">
        <v>286.574425</v>
      </c>
      <c r="CC98" s="16" t="n"/>
      <c r="CD98" s="16" t="n"/>
      <c r="CE98" s="16" t="n">
        <v>0.768595</v>
      </c>
      <c r="CF98" s="16" t="n">
        <v>4257.260065</v>
      </c>
      <c r="CG98" s="16" t="n">
        <v>0.280967</v>
      </c>
      <c r="CH98" s="16" t="n">
        <v>2770.735909</v>
      </c>
      <c r="CI98" s="16" t="n"/>
      <c r="CJ98" s="16" t="n"/>
      <c r="CK98" s="16" t="n">
        <v>0.768595</v>
      </c>
      <c r="CL98" s="16" t="n">
        <v>1325.645945</v>
      </c>
      <c r="CM98" s="16" t="n">
        <v>0.280967</v>
      </c>
      <c r="CN98" s="16" t="n">
        <v>563.0065990000001</v>
      </c>
      <c r="CO98" s="16" t="n"/>
      <c r="CP98" s="16" t="n"/>
      <c r="CQ98" s="16" t="n">
        <v>0.768595</v>
      </c>
      <c r="CR98" s="16" t="n">
        <v>0.719446</v>
      </c>
      <c r="CS98" s="16" t="n">
        <v>0.280967</v>
      </c>
      <c r="CT98" s="16" t="n">
        <v>0.616426</v>
      </c>
      <c r="CU98" s="16" t="n"/>
      <c r="CV98" s="16" t="n"/>
      <c r="CW98" s="16" t="n">
        <v>0.768595</v>
      </c>
      <c r="CX98" s="16" t="n">
        <v>0.876369</v>
      </c>
      <c r="CY98" s="16" t="n">
        <v>0.280967</v>
      </c>
      <c r="CZ98" s="16" t="n">
        <v>0.797565</v>
      </c>
      <c r="DA98" s="16" t="n"/>
      <c r="DB98" s="16" t="n"/>
      <c r="DC98" s="16" t="n">
        <v>0.768595</v>
      </c>
      <c r="DD98" s="16" t="n">
        <v>0.8373</v>
      </c>
      <c r="DE98" s="16" t="n">
        <v>0.280967</v>
      </c>
      <c r="DF98" s="16" t="n">
        <v>0.715553</v>
      </c>
      <c r="DG98" s="16" t="n"/>
      <c r="DH98" s="16" t="n"/>
      <c r="DI98" s="16" t="n">
        <v>0.768595</v>
      </c>
      <c r="DJ98" s="16" t="n">
        <v>0.866896</v>
      </c>
      <c r="DK98" s="16" t="n">
        <v>0.280967</v>
      </c>
      <c r="DL98" s="16" t="n">
        <v>0.709266</v>
      </c>
      <c r="DM98" s="16" t="n"/>
      <c r="DN98" s="16" t="n"/>
      <c r="DO98" s="16" t="n">
        <v>0.768595</v>
      </c>
      <c r="DP98" s="16" t="n">
        <v>0.882814</v>
      </c>
      <c r="DQ98" s="16" t="n">
        <v>0.280967</v>
      </c>
      <c r="DR98" s="16" t="n">
        <v>0.690295</v>
      </c>
      <c r="DS98" s="16" t="n"/>
      <c r="DT98" s="16" t="n"/>
      <c r="DU98" s="16" t="n">
        <v>0.768595</v>
      </c>
      <c r="DV98" s="16" t="n">
        <v>0.929369</v>
      </c>
      <c r="DW98" s="16" t="n">
        <v>0.280967</v>
      </c>
      <c r="DX98" s="16" t="n">
        <v>0.755369</v>
      </c>
      <c r="DY98" s="16" t="n"/>
      <c r="DZ98" s="16" t="n"/>
      <c r="EB98" s="16" t="n"/>
      <c r="EC98" s="16" t="n"/>
      <c r="ED98" s="16" t="n"/>
      <c r="EE98" s="16" t="n"/>
      <c r="EF98" s="16" t="n">
        <v>1097.645709</v>
      </c>
      <c r="EG98" s="16" t="n">
        <v>4870.94886</v>
      </c>
      <c r="EH98" s="16" t="n">
        <v>1119.32858</v>
      </c>
      <c r="EI98" s="16" t="n">
        <v>2467.373005</v>
      </c>
      <c r="EJ98" s="16" t="n"/>
      <c r="EK98" s="16" t="n"/>
      <c r="EL98" s="16" t="n"/>
      <c r="EM98" s="16" t="n"/>
      <c r="EN98" s="16" t="n"/>
      <c r="EO98" s="16" t="n"/>
      <c r="EP98" s="16" t="n"/>
      <c r="EQ98" s="16" t="n"/>
      <c r="ER98" s="16" t="n"/>
      <c r="ES98" s="16" t="n"/>
      <c r="ET98" s="16" t="n"/>
      <c r="EU98" s="16" t="n"/>
    </row>
    <row r="99">
      <c r="BS99" s="16" t="n">
        <v>0.77686</v>
      </c>
      <c r="BT99" s="16" t="n">
        <v>449.348244</v>
      </c>
      <c r="BU99" s="16" t="n">
        <v>0.283988</v>
      </c>
      <c r="BV99" s="16" t="n">
        <v>422.034393</v>
      </c>
      <c r="BW99" s="16" t="n"/>
      <c r="BX99" s="16" t="n"/>
      <c r="BY99" s="16" t="n">
        <v>0.77686</v>
      </c>
      <c r="BZ99" s="16" t="n">
        <v>295.646225</v>
      </c>
      <c r="CA99" s="16" t="n">
        <v>0.283988</v>
      </c>
      <c r="CB99" s="16" t="n">
        <v>286.587914</v>
      </c>
      <c r="CC99" s="16" t="n"/>
      <c r="CD99" s="16" t="n"/>
      <c r="CE99" s="16" t="n">
        <v>0.77686</v>
      </c>
      <c r="CF99" s="16" t="n">
        <v>4264.259314</v>
      </c>
      <c r="CG99" s="16" t="n">
        <v>0.283988</v>
      </c>
      <c r="CH99" s="16" t="n">
        <v>2771.686562</v>
      </c>
      <c r="CI99" s="16" t="n"/>
      <c r="CJ99" s="16" t="n"/>
      <c r="CK99" s="16" t="n">
        <v>0.77686</v>
      </c>
      <c r="CL99" s="16" t="n">
        <v>1326.8056</v>
      </c>
      <c r="CM99" s="16" t="n">
        <v>0.283988</v>
      </c>
      <c r="CN99" s="16" t="n">
        <v>566.9482870000001</v>
      </c>
      <c r="CO99" s="16" t="n"/>
      <c r="CP99" s="16" t="n"/>
      <c r="CQ99" s="16" t="n">
        <v>0.77686</v>
      </c>
      <c r="CR99" s="16" t="n">
        <v>0.721747</v>
      </c>
      <c r="CS99" s="16" t="n">
        <v>0.283988</v>
      </c>
      <c r="CT99" s="16" t="n">
        <v>0.616976</v>
      </c>
      <c r="CU99" s="16" t="n"/>
      <c r="CV99" s="16" t="n"/>
      <c r="CW99" s="16" t="n">
        <v>0.77686</v>
      </c>
      <c r="CX99" s="16" t="n">
        <v>0.878097</v>
      </c>
      <c r="CY99" s="16" t="n">
        <v>0.283988</v>
      </c>
      <c r="CZ99" s="16" t="n">
        <v>0.7980699999999999</v>
      </c>
      <c r="DA99" s="16" t="n"/>
      <c r="DB99" s="16" t="n"/>
      <c r="DC99" s="16" t="n">
        <v>0.77686</v>
      </c>
      <c r="DD99" s="16" t="n">
        <v>0.839256</v>
      </c>
      <c r="DE99" s="16" t="n">
        <v>0.283988</v>
      </c>
      <c r="DF99" s="16" t="n">
        <v>0.716073</v>
      </c>
      <c r="DG99" s="16" t="n"/>
      <c r="DH99" s="16" t="n"/>
      <c r="DI99" s="16" t="n">
        <v>0.77686</v>
      </c>
      <c r="DJ99" s="16" t="n">
        <v>0.868621</v>
      </c>
      <c r="DK99" s="16" t="n">
        <v>0.283988</v>
      </c>
      <c r="DL99" s="16" t="n">
        <v>0.711631</v>
      </c>
      <c r="DM99" s="16" t="n"/>
      <c r="DN99" s="16" t="n"/>
      <c r="DO99" s="16" t="n">
        <v>0.77686</v>
      </c>
      <c r="DP99" s="16" t="n">
        <v>0.890336</v>
      </c>
      <c r="DQ99" s="16" t="n">
        <v>0.283988</v>
      </c>
      <c r="DR99" s="16" t="n">
        <v>0.695059</v>
      </c>
      <c r="DS99" s="16" t="n"/>
      <c r="DT99" s="16" t="n"/>
      <c r="DU99" s="16" t="n">
        <v>0.77686</v>
      </c>
      <c r="DV99" s="16" t="n">
        <v>0.930827</v>
      </c>
      <c r="DW99" s="16" t="n">
        <v>0.283988</v>
      </c>
      <c r="DX99" s="16" t="n">
        <v>0.75583</v>
      </c>
      <c r="DY99" s="16" t="n"/>
      <c r="DZ99" s="16" t="n"/>
      <c r="EB99" s="16" t="n"/>
      <c r="EC99" s="16" t="n"/>
      <c r="ED99" s="16" t="n"/>
      <c r="EE99" s="16" t="n"/>
      <c r="EF99" s="16" t="n">
        <v>456.945961</v>
      </c>
      <c r="EG99" s="16" t="n">
        <v>3024.072192</v>
      </c>
      <c r="EH99" s="16" t="n">
        <v>815.772096</v>
      </c>
      <c r="EI99" s="16" t="n">
        <v>3297.487011</v>
      </c>
      <c r="EJ99" s="16" t="n"/>
      <c r="EK99" s="16" t="n"/>
      <c r="EL99" s="16" t="n"/>
      <c r="EM99" s="16" t="n"/>
      <c r="EN99" s="16" t="n"/>
      <c r="EO99" s="16" t="n"/>
      <c r="EP99" s="16" t="n"/>
      <c r="EQ99" s="16" t="n"/>
      <c r="ER99" s="16" t="n"/>
      <c r="ES99" s="16" t="n"/>
      <c r="ET99" s="16" t="n"/>
      <c r="EU99" s="16" t="n"/>
    </row>
    <row r="100">
      <c r="BS100" s="16" t="n">
        <v>0.785124</v>
      </c>
      <c r="BT100" s="16" t="n">
        <v>449.94621</v>
      </c>
      <c r="BU100" s="16" t="n">
        <v>0.287009</v>
      </c>
      <c r="BV100" s="16" t="n">
        <v>422.776587</v>
      </c>
      <c r="BW100" s="16" t="n"/>
      <c r="BX100" s="16" t="n"/>
      <c r="BY100" s="16" t="n">
        <v>0.785124</v>
      </c>
      <c r="BZ100" s="16" t="n">
        <v>295.646476</v>
      </c>
      <c r="CA100" s="16" t="n">
        <v>0.287009</v>
      </c>
      <c r="CB100" s="16" t="n">
        <v>286.681274</v>
      </c>
      <c r="CC100" s="16" t="n"/>
      <c r="CD100" s="16" t="n"/>
      <c r="CE100" s="16" t="n">
        <v>0.785124</v>
      </c>
      <c r="CF100" s="16" t="n">
        <v>4302.369024</v>
      </c>
      <c r="CG100" s="16" t="n">
        <v>0.287009</v>
      </c>
      <c r="CH100" s="16" t="n">
        <v>2789.37854</v>
      </c>
      <c r="CI100" s="16" t="n"/>
      <c r="CJ100" s="16" t="n"/>
      <c r="CK100" s="16" t="n">
        <v>0.785124</v>
      </c>
      <c r="CL100" s="16" t="n">
        <v>1336.435912</v>
      </c>
      <c r="CM100" s="16" t="n">
        <v>0.287009</v>
      </c>
      <c r="CN100" s="16" t="n">
        <v>568.299816</v>
      </c>
      <c r="CO100" s="16" t="n"/>
      <c r="CP100" s="16" t="n"/>
      <c r="CQ100" s="16" t="n">
        <v>0.785124</v>
      </c>
      <c r="CR100" s="16" t="n">
        <v>0.723583</v>
      </c>
      <c r="CS100" s="16" t="n">
        <v>0.287009</v>
      </c>
      <c r="CT100" s="16" t="n">
        <v>0.618973</v>
      </c>
      <c r="CU100" s="16" t="n"/>
      <c r="CV100" s="16" t="n"/>
      <c r="CW100" s="16" t="n">
        <v>0.785124</v>
      </c>
      <c r="CX100" s="16" t="n">
        <v>0.878372</v>
      </c>
      <c r="CY100" s="16" t="n">
        <v>0.287009</v>
      </c>
      <c r="CZ100" s="16" t="n">
        <v>0.798482</v>
      </c>
      <c r="DA100" s="16" t="n"/>
      <c r="DB100" s="16" t="n"/>
      <c r="DC100" s="16" t="n">
        <v>0.785124</v>
      </c>
      <c r="DD100" s="16" t="n">
        <v>0.84145</v>
      </c>
      <c r="DE100" s="16" t="n">
        <v>0.287009</v>
      </c>
      <c r="DF100" s="16" t="n">
        <v>0.716135</v>
      </c>
      <c r="DG100" s="16" t="n"/>
      <c r="DH100" s="16" t="n"/>
      <c r="DI100" s="16" t="n">
        <v>0.785124</v>
      </c>
      <c r="DJ100" s="16" t="n">
        <v>0.869164</v>
      </c>
      <c r="DK100" s="16" t="n">
        <v>0.287009</v>
      </c>
      <c r="DL100" s="16" t="n">
        <v>0.713126</v>
      </c>
      <c r="DM100" s="16" t="n"/>
      <c r="DN100" s="16" t="n"/>
      <c r="DO100" s="16" t="n">
        <v>0.785124</v>
      </c>
      <c r="DP100" s="16" t="n">
        <v>0.891482</v>
      </c>
      <c r="DQ100" s="16" t="n">
        <v>0.287009</v>
      </c>
      <c r="DR100" s="16" t="n">
        <v>0.696284</v>
      </c>
      <c r="DS100" s="16" t="n"/>
      <c r="DT100" s="16" t="n"/>
      <c r="DU100" s="16" t="n">
        <v>0.785124</v>
      </c>
      <c r="DV100" s="16" t="n">
        <v>0.93087</v>
      </c>
      <c r="DW100" s="16" t="n">
        <v>0.287009</v>
      </c>
      <c r="DX100" s="16" t="n">
        <v>0.756193</v>
      </c>
      <c r="DY100" s="16" t="n"/>
      <c r="DZ100" s="16" t="n"/>
      <c r="EB100" s="16" t="n"/>
      <c r="EC100" s="16" t="n"/>
      <c r="ED100" s="16" t="n"/>
      <c r="EE100" s="16" t="n"/>
      <c r="EF100" s="16" t="n">
        <v>316.033674</v>
      </c>
      <c r="EG100" s="16" t="n">
        <v>4561.306856</v>
      </c>
      <c r="EH100" s="16" t="n">
        <v>1399.190997</v>
      </c>
      <c r="EI100" s="16" t="n">
        <v>4134.185703</v>
      </c>
      <c r="EJ100" s="16" t="n"/>
      <c r="EK100" s="16" t="n"/>
      <c r="EL100" s="16" t="n"/>
      <c r="EM100" s="16" t="n"/>
      <c r="EN100" s="16" t="n"/>
      <c r="EO100" s="16" t="n"/>
      <c r="EP100" s="16" t="n"/>
      <c r="EQ100" s="16" t="n"/>
      <c r="ER100" s="16" t="n"/>
      <c r="ES100" s="16" t="n"/>
      <c r="ET100" s="16" t="n"/>
      <c r="EU100" s="16" t="n"/>
    </row>
    <row r="101">
      <c r="BS101" s="16" t="n">
        <v>0.793388</v>
      </c>
      <c r="BT101" s="16" t="n">
        <v>450.587678</v>
      </c>
      <c r="BU101" s="16" t="n">
        <v>0.29003</v>
      </c>
      <c r="BV101" s="16" t="n">
        <v>423.520471</v>
      </c>
      <c r="BW101" s="16" t="n"/>
      <c r="BX101" s="16" t="n"/>
      <c r="BY101" s="16" t="n">
        <v>0.793388</v>
      </c>
      <c r="BZ101" s="16" t="n">
        <v>295.878632</v>
      </c>
      <c r="CA101" s="16" t="n">
        <v>0.29003</v>
      </c>
      <c r="CB101" s="16" t="n">
        <v>286.761742</v>
      </c>
      <c r="CC101" s="16" t="n"/>
      <c r="CD101" s="16" t="n"/>
      <c r="CE101" s="16" t="n">
        <v>0.793388</v>
      </c>
      <c r="CF101" s="16" t="n">
        <v>4312.309607</v>
      </c>
      <c r="CG101" s="16" t="n">
        <v>0.29003</v>
      </c>
      <c r="CH101" s="16" t="n">
        <v>2794.216855</v>
      </c>
      <c r="CI101" s="16" t="n"/>
      <c r="CJ101" s="16" t="n"/>
      <c r="CK101" s="16" t="n">
        <v>0.793388</v>
      </c>
      <c r="CL101" s="16" t="n">
        <v>1354.066159</v>
      </c>
      <c r="CM101" s="16" t="n">
        <v>0.29003</v>
      </c>
      <c r="CN101" s="16" t="n">
        <v>569.764041</v>
      </c>
      <c r="CO101" s="16" t="n"/>
      <c r="CP101" s="16" t="n"/>
      <c r="CQ101" s="16" t="n">
        <v>0.793388</v>
      </c>
      <c r="CR101" s="16" t="n">
        <v>0.727843</v>
      </c>
      <c r="CS101" s="16" t="n">
        <v>0.29003</v>
      </c>
      <c r="CT101" s="16" t="n">
        <v>0.620316</v>
      </c>
      <c r="CU101" s="16" t="n"/>
      <c r="CV101" s="16" t="n"/>
      <c r="CW101" s="16" t="n">
        <v>0.793388</v>
      </c>
      <c r="CX101" s="16" t="n">
        <v>0.879434</v>
      </c>
      <c r="CY101" s="16" t="n">
        <v>0.29003</v>
      </c>
      <c r="CZ101" s="16" t="n">
        <v>0.799249</v>
      </c>
      <c r="DA101" s="16" t="n"/>
      <c r="DB101" s="16" t="n"/>
      <c r="DC101" s="16" t="n">
        <v>0.793388</v>
      </c>
      <c r="DD101" s="16" t="n">
        <v>0.842832</v>
      </c>
      <c r="DE101" s="16" t="n">
        <v>0.29003</v>
      </c>
      <c r="DF101" s="16" t="n">
        <v>0.717052</v>
      </c>
      <c r="DG101" s="16" t="n"/>
      <c r="DH101" s="16" t="n"/>
      <c r="DI101" s="16" t="n">
        <v>0.793388</v>
      </c>
      <c r="DJ101" s="16" t="n">
        <v>0.874166</v>
      </c>
      <c r="DK101" s="16" t="n">
        <v>0.29003</v>
      </c>
      <c r="DL101" s="16" t="n">
        <v>0.713155</v>
      </c>
      <c r="DM101" s="16" t="n"/>
      <c r="DN101" s="16" t="n"/>
      <c r="DO101" s="16" t="n">
        <v>0.793388</v>
      </c>
      <c r="DP101" s="16" t="n">
        <v>0.893964</v>
      </c>
      <c r="DQ101" s="16" t="n">
        <v>0.29003</v>
      </c>
      <c r="DR101" s="16" t="n">
        <v>0.697964</v>
      </c>
      <c r="DS101" s="16" t="n"/>
      <c r="DT101" s="16" t="n"/>
      <c r="DU101" s="16" t="n">
        <v>0.793388</v>
      </c>
      <c r="DV101" s="16" t="n">
        <v>0.931908</v>
      </c>
      <c r="DW101" s="16" t="n">
        <v>0.29003</v>
      </c>
      <c r="DX101" s="16" t="n">
        <v>0.756495</v>
      </c>
      <c r="DY101" s="16" t="n"/>
      <c r="DZ101" s="16" t="n"/>
      <c r="EB101" s="16" t="n"/>
      <c r="EC101" s="16" t="n"/>
      <c r="ED101" s="16" t="n"/>
      <c r="EE101" s="16" t="n"/>
      <c r="EF101" s="16" t="n">
        <v>427.552389</v>
      </c>
      <c r="EG101" s="16" t="n">
        <v>3365.235698</v>
      </c>
      <c r="EH101" s="16" t="n">
        <v>599.3993840000001</v>
      </c>
      <c r="EI101" s="16" t="n">
        <v>4097.879751</v>
      </c>
      <c r="EJ101" s="16" t="n"/>
      <c r="EK101" s="16" t="n"/>
      <c r="EL101" s="16" t="n"/>
      <c r="EM101" s="16" t="n"/>
      <c r="EN101" s="16" t="n"/>
      <c r="EO101" s="16" t="n"/>
      <c r="EP101" s="16" t="n"/>
      <c r="EQ101" s="16" t="n"/>
      <c r="ER101" s="16" t="n"/>
      <c r="ES101" s="16" t="n"/>
      <c r="ET101" s="16" t="n"/>
      <c r="EU101" s="16" t="n"/>
    </row>
    <row r="102">
      <c r="BS102" s="16" t="n">
        <v>0.8016529999999999</v>
      </c>
      <c r="BT102" s="16" t="n">
        <v>454.158302</v>
      </c>
      <c r="BU102" s="16" t="n">
        <v>0.293051</v>
      </c>
      <c r="BV102" s="16" t="n">
        <v>423.658006</v>
      </c>
      <c r="BW102" s="16" t="n"/>
      <c r="BX102" s="16" t="n"/>
      <c r="BY102" s="16" t="n">
        <v>0.8016529999999999</v>
      </c>
      <c r="BZ102" s="16" t="n">
        <v>296.003556</v>
      </c>
      <c r="CA102" s="16" t="n">
        <v>0.293051</v>
      </c>
      <c r="CB102" s="16" t="n">
        <v>286.805095</v>
      </c>
      <c r="CC102" s="16" t="n"/>
      <c r="CD102" s="16" t="n"/>
      <c r="CE102" s="16" t="n">
        <v>0.8016529999999999</v>
      </c>
      <c r="CF102" s="16" t="n">
        <v>4312.986811</v>
      </c>
      <c r="CG102" s="16" t="n">
        <v>0.293051</v>
      </c>
      <c r="CH102" s="16" t="n">
        <v>2796.92307</v>
      </c>
      <c r="CI102" s="16" t="n"/>
      <c r="CJ102" s="16" t="n"/>
      <c r="CK102" s="16" t="n">
        <v>0.8016529999999999</v>
      </c>
      <c r="CL102" s="16" t="n">
        <v>1358.986474</v>
      </c>
      <c r="CM102" s="16" t="n">
        <v>0.293051</v>
      </c>
      <c r="CN102" s="16" t="n">
        <v>573.750547</v>
      </c>
      <c r="CO102" s="16" t="n"/>
      <c r="CP102" s="16" t="n"/>
      <c r="CQ102" s="16" t="n">
        <v>0.8016529999999999</v>
      </c>
      <c r="CR102" s="16" t="n">
        <v>0.731961</v>
      </c>
      <c r="CS102" s="16" t="n">
        <v>0.293051</v>
      </c>
      <c r="CT102" s="16" t="n">
        <v>0.620865</v>
      </c>
      <c r="CU102" s="16" t="n"/>
      <c r="CV102" s="16" t="n"/>
      <c r="CW102" s="16" t="n">
        <v>0.8016529999999999</v>
      </c>
      <c r="CX102" s="16" t="n">
        <v>0.882242</v>
      </c>
      <c r="CY102" s="16" t="n">
        <v>0.293051</v>
      </c>
      <c r="CZ102" s="16" t="n">
        <v>0.799957</v>
      </c>
      <c r="DA102" s="16" t="n"/>
      <c r="DB102" s="16" t="n"/>
      <c r="DC102" s="16" t="n">
        <v>0.8016529999999999</v>
      </c>
      <c r="DD102" s="16" t="n">
        <v>0.848256</v>
      </c>
      <c r="DE102" s="16" t="n">
        <v>0.293051</v>
      </c>
      <c r="DF102" s="16" t="n">
        <v>0.717058</v>
      </c>
      <c r="DG102" s="16" t="n"/>
      <c r="DH102" s="16" t="n"/>
      <c r="DI102" s="16" t="n">
        <v>0.8016529999999999</v>
      </c>
      <c r="DJ102" s="16" t="n">
        <v>0.874405</v>
      </c>
      <c r="DK102" s="16" t="n">
        <v>0.293051</v>
      </c>
      <c r="DL102" s="16" t="n">
        <v>0.713689</v>
      </c>
      <c r="DM102" s="16" t="n"/>
      <c r="DN102" s="16" t="n"/>
      <c r="DO102" s="16" t="n">
        <v>0.8016529999999999</v>
      </c>
      <c r="DP102" s="16" t="n">
        <v>0.899614</v>
      </c>
      <c r="DQ102" s="16" t="n">
        <v>0.293051</v>
      </c>
      <c r="DR102" s="16" t="n">
        <v>0.698777</v>
      </c>
      <c r="DS102" s="16" t="n"/>
      <c r="DT102" s="16" t="n"/>
      <c r="DU102" s="16" t="n">
        <v>0.8016529999999999</v>
      </c>
      <c r="DV102" s="16" t="n">
        <v>0.9319730000000001</v>
      </c>
      <c r="DW102" s="16" t="n">
        <v>0.293051</v>
      </c>
      <c r="DX102" s="16" t="n">
        <v>0.756958</v>
      </c>
      <c r="DY102" s="16" t="n"/>
      <c r="DZ102" s="16" t="n"/>
      <c r="EB102" s="16" t="n"/>
      <c r="EC102" s="16" t="n"/>
      <c r="ED102" s="16" t="n"/>
      <c r="EE102" s="16" t="n"/>
      <c r="EF102" s="16" t="n">
        <v>836.058317</v>
      </c>
      <c r="EG102" s="16" t="n">
        <v>3096.516701</v>
      </c>
      <c r="EH102" s="16" t="n">
        <v>745.035923</v>
      </c>
      <c r="EI102" s="16" t="n">
        <v>2973.486691</v>
      </c>
      <c r="EJ102" s="16" t="n"/>
      <c r="EK102" s="16" t="n"/>
      <c r="EL102" s="16" t="n"/>
      <c r="EM102" s="16" t="n"/>
      <c r="EN102" s="16" t="n"/>
      <c r="EO102" s="16" t="n"/>
      <c r="EP102" s="16" t="n"/>
      <c r="EQ102" s="16" t="n"/>
      <c r="ER102" s="16" t="n"/>
      <c r="ES102" s="16" t="n"/>
      <c r="ET102" s="16" t="n"/>
      <c r="EU102" s="16" t="n"/>
    </row>
    <row r="103">
      <c r="BS103" s="16" t="n">
        <v>0.809917</v>
      </c>
      <c r="BT103" s="16" t="n">
        <v>456.018446</v>
      </c>
      <c r="BU103" s="16" t="n">
        <v>0.296073</v>
      </c>
      <c r="BV103" s="16" t="n">
        <v>423.902832</v>
      </c>
      <c r="BW103" s="16" t="n"/>
      <c r="BX103" s="16" t="n"/>
      <c r="BY103" s="16" t="n">
        <v>0.809917</v>
      </c>
      <c r="BZ103" s="16" t="n">
        <v>296.023687</v>
      </c>
      <c r="CA103" s="16" t="n">
        <v>0.296073</v>
      </c>
      <c r="CB103" s="16" t="n">
        <v>286.848719</v>
      </c>
      <c r="CC103" s="16" t="n"/>
      <c r="CD103" s="16" t="n"/>
      <c r="CE103" s="16" t="n">
        <v>0.809917</v>
      </c>
      <c r="CF103" s="16" t="n">
        <v>4339.780616</v>
      </c>
      <c r="CG103" s="16" t="n">
        <v>0.296073</v>
      </c>
      <c r="CH103" s="16" t="n">
        <v>2805.79974</v>
      </c>
      <c r="CI103" s="16" t="n"/>
      <c r="CJ103" s="16" t="n"/>
      <c r="CK103" s="16" t="n">
        <v>0.809917</v>
      </c>
      <c r="CL103" s="16" t="n">
        <v>1372.230739</v>
      </c>
      <c r="CM103" s="16" t="n">
        <v>0.296073</v>
      </c>
      <c r="CN103" s="16" t="n">
        <v>575.651525</v>
      </c>
      <c r="CO103" s="16" t="n"/>
      <c r="CP103" s="16" t="n"/>
      <c r="CQ103" s="16" t="n">
        <v>0.809917</v>
      </c>
      <c r="CR103" s="16" t="n">
        <v>0.733802</v>
      </c>
      <c r="CS103" s="16" t="n">
        <v>0.296073</v>
      </c>
      <c r="CT103" s="16" t="n">
        <v>0.622123</v>
      </c>
      <c r="CU103" s="16" t="n"/>
      <c r="CV103" s="16" t="n"/>
      <c r="CW103" s="16" t="n">
        <v>0.809917</v>
      </c>
      <c r="CX103" s="16" t="n">
        <v>0.88266</v>
      </c>
      <c r="CY103" s="16" t="n">
        <v>0.296073</v>
      </c>
      <c r="CZ103" s="16" t="n">
        <v>0.8000350000000001</v>
      </c>
      <c r="DA103" s="16" t="n"/>
      <c r="DB103" s="16" t="n"/>
      <c r="DC103" s="16" t="n">
        <v>0.809917</v>
      </c>
      <c r="DD103" s="16" t="n">
        <v>0.849106</v>
      </c>
      <c r="DE103" s="16" t="n">
        <v>0.296073</v>
      </c>
      <c r="DF103" s="16" t="n">
        <v>0.718404</v>
      </c>
      <c r="DG103" s="16" t="n"/>
      <c r="DH103" s="16" t="n"/>
      <c r="DI103" s="16" t="n">
        <v>0.809917</v>
      </c>
      <c r="DJ103" s="16" t="n">
        <v>0.877003</v>
      </c>
      <c r="DK103" s="16" t="n">
        <v>0.296073</v>
      </c>
      <c r="DL103" s="16" t="n">
        <v>0.7143890000000001</v>
      </c>
      <c r="DM103" s="16" t="n"/>
      <c r="DN103" s="16" t="n"/>
      <c r="DO103" s="16" t="n">
        <v>0.809917</v>
      </c>
      <c r="DP103" s="16" t="n">
        <v>0.901096</v>
      </c>
      <c r="DQ103" s="16" t="n">
        <v>0.296073</v>
      </c>
      <c r="DR103" s="16" t="n">
        <v>0.701365</v>
      </c>
      <c r="DS103" s="16" t="n"/>
      <c r="DT103" s="16" t="n"/>
      <c r="DU103" s="16" t="n">
        <v>0.809917</v>
      </c>
      <c r="DV103" s="16" t="n">
        <v>0.933947</v>
      </c>
      <c r="DW103" s="16" t="n">
        <v>0.296073</v>
      </c>
      <c r="DX103" s="16" t="n">
        <v>0.75784</v>
      </c>
      <c r="DY103" s="16" t="n"/>
      <c r="DZ103" s="16" t="n"/>
      <c r="EB103" s="16" t="n"/>
      <c r="EC103" s="16" t="n"/>
      <c r="ED103" s="16" t="n"/>
      <c r="EE103" s="16" t="n"/>
      <c r="EF103" s="16" t="n">
        <v>1355.183595</v>
      </c>
      <c r="EG103" s="16" t="n">
        <v>2009.945023</v>
      </c>
      <c r="EH103" s="16" t="n">
        <v>594.143586</v>
      </c>
      <c r="EI103" s="16" t="n">
        <v>3331.036953</v>
      </c>
      <c r="EJ103" s="16" t="n"/>
      <c r="EK103" s="16" t="n"/>
      <c r="EL103" s="16" t="n"/>
      <c r="EM103" s="16" t="n"/>
      <c r="EN103" s="16" t="n"/>
      <c r="EO103" s="16" t="n"/>
      <c r="EP103" s="16" t="n"/>
      <c r="EQ103" s="16" t="n"/>
      <c r="ER103" s="16" t="n"/>
      <c r="ES103" s="16" t="n"/>
      <c r="ET103" s="16" t="n"/>
      <c r="EU103" s="16" t="n"/>
    </row>
    <row r="104">
      <c r="BS104" s="16" t="n">
        <v>0.818182</v>
      </c>
      <c r="BT104" s="16" t="n">
        <v>456.673894</v>
      </c>
      <c r="BU104" s="16" t="n">
        <v>0.299094</v>
      </c>
      <c r="BV104" s="16" t="n">
        <v>424.080975</v>
      </c>
      <c r="BW104" s="16" t="n"/>
      <c r="BX104" s="16" t="n"/>
      <c r="BY104" s="16" t="n">
        <v>0.818182</v>
      </c>
      <c r="BZ104" s="16" t="n">
        <v>296.221926</v>
      </c>
      <c r="CA104" s="16" t="n">
        <v>0.299094</v>
      </c>
      <c r="CB104" s="16" t="n">
        <v>286.940342</v>
      </c>
      <c r="CC104" s="16" t="n"/>
      <c r="CD104" s="16" t="n"/>
      <c r="CE104" s="16" t="n">
        <v>0.818182</v>
      </c>
      <c r="CF104" s="16" t="n">
        <v>4350.40977</v>
      </c>
      <c r="CG104" s="16" t="n">
        <v>0.299094</v>
      </c>
      <c r="CH104" s="16" t="n">
        <v>2813.623684</v>
      </c>
      <c r="CI104" s="16" t="n"/>
      <c r="CJ104" s="16" t="n"/>
      <c r="CK104" s="16" t="n">
        <v>0.818182</v>
      </c>
      <c r="CL104" s="16" t="n">
        <v>1380.546269</v>
      </c>
      <c r="CM104" s="16" t="n">
        <v>0.299094</v>
      </c>
      <c r="CN104" s="16" t="n">
        <v>576.221737</v>
      </c>
      <c r="CO104" s="16" t="n"/>
      <c r="CP104" s="16" t="n"/>
      <c r="CQ104" s="16" t="n">
        <v>0.818182</v>
      </c>
      <c r="CR104" s="16" t="n">
        <v>0.735446</v>
      </c>
      <c r="CS104" s="16" t="n">
        <v>0.299094</v>
      </c>
      <c r="CT104" s="16" t="n">
        <v>0.622686</v>
      </c>
      <c r="CU104" s="16" t="n"/>
      <c r="CV104" s="16" t="n"/>
      <c r="CW104" s="16" t="n">
        <v>0.818182</v>
      </c>
      <c r="CX104" s="16" t="n">
        <v>0.884113</v>
      </c>
      <c r="CY104" s="16" t="n">
        <v>0.299094</v>
      </c>
      <c r="CZ104" s="16" t="n">
        <v>0.800268</v>
      </c>
      <c r="DA104" s="16" t="n"/>
      <c r="DB104" s="16" t="n"/>
      <c r="DC104" s="16" t="n">
        <v>0.818182</v>
      </c>
      <c r="DD104" s="16" t="n">
        <v>0.85625</v>
      </c>
      <c r="DE104" s="16" t="n">
        <v>0.299094</v>
      </c>
      <c r="DF104" s="16" t="n">
        <v>0.719257</v>
      </c>
      <c r="DG104" s="16" t="n"/>
      <c r="DH104" s="16" t="n"/>
      <c r="DI104" s="16" t="n">
        <v>0.818182</v>
      </c>
      <c r="DJ104" s="16" t="n">
        <v>0.877557</v>
      </c>
      <c r="DK104" s="16" t="n">
        <v>0.299094</v>
      </c>
      <c r="DL104" s="16" t="n">
        <v>0.716307</v>
      </c>
      <c r="DM104" s="16" t="n"/>
      <c r="DN104" s="16" t="n"/>
      <c r="DO104" s="16" t="n">
        <v>0.818182</v>
      </c>
      <c r="DP104" s="16" t="n">
        <v>0.901262</v>
      </c>
      <c r="DQ104" s="16" t="n">
        <v>0.299094</v>
      </c>
      <c r="DR104" s="16" t="n">
        <v>0.702061</v>
      </c>
      <c r="DS104" s="16" t="n"/>
      <c r="DT104" s="16" t="n"/>
      <c r="DU104" s="16" t="n">
        <v>0.818182</v>
      </c>
      <c r="DV104" s="16" t="n">
        <v>0.934518</v>
      </c>
      <c r="DW104" s="16" t="n">
        <v>0.299094</v>
      </c>
      <c r="DX104" s="16" t="n">
        <v>0.758148</v>
      </c>
      <c r="DY104" s="16" t="n"/>
      <c r="DZ104" s="16" t="n"/>
      <c r="EB104" s="16" t="n"/>
      <c r="EC104" s="16" t="n"/>
      <c r="ED104" s="16" t="n"/>
      <c r="EE104" s="16" t="n"/>
      <c r="EF104" s="16" t="n">
        <v>590.038602</v>
      </c>
      <c r="EG104" s="16" t="n">
        <v>3427.867964</v>
      </c>
      <c r="EH104" s="16" t="n">
        <v>340.098455</v>
      </c>
      <c r="EI104" s="16" t="n">
        <v>2632.932645</v>
      </c>
      <c r="EJ104" s="16" t="n"/>
      <c r="EK104" s="16" t="n"/>
      <c r="EL104" s="16" t="n"/>
      <c r="EM104" s="16" t="n"/>
      <c r="EN104" s="16" t="n"/>
      <c r="EO104" s="16" t="n"/>
      <c r="EP104" s="16" t="n"/>
      <c r="EQ104" s="16" t="n"/>
      <c r="ER104" s="16" t="n"/>
      <c r="ES104" s="16" t="n"/>
      <c r="ET104" s="16" t="n"/>
      <c r="EU104" s="16" t="n"/>
    </row>
    <row r="105">
      <c r="BS105" s="16" t="n">
        <v>0.826446</v>
      </c>
      <c r="BT105" s="16" t="n">
        <v>457.297628</v>
      </c>
      <c r="BU105" s="16" t="n">
        <v>0.302115</v>
      </c>
      <c r="BV105" s="16" t="n">
        <v>424.721676</v>
      </c>
      <c r="BW105" s="16" t="n"/>
      <c r="BX105" s="16" t="n"/>
      <c r="BY105" s="16" t="n">
        <v>0.826446</v>
      </c>
      <c r="BZ105" s="16" t="n">
        <v>296.246928</v>
      </c>
      <c r="CA105" s="16" t="n">
        <v>0.302115</v>
      </c>
      <c r="CB105" s="16" t="n">
        <v>286.988746</v>
      </c>
      <c r="CC105" s="16" t="n"/>
      <c r="CD105" s="16" t="n"/>
      <c r="CE105" s="16" t="n">
        <v>0.826446</v>
      </c>
      <c r="CF105" s="16" t="n">
        <v>4359.313239</v>
      </c>
      <c r="CG105" s="16" t="n">
        <v>0.302115</v>
      </c>
      <c r="CH105" s="16" t="n">
        <v>2820.63165</v>
      </c>
      <c r="CI105" s="16" t="n"/>
      <c r="CJ105" s="16" t="n"/>
      <c r="CK105" s="16" t="n">
        <v>0.826446</v>
      </c>
      <c r="CL105" s="16" t="n">
        <v>1384.324537</v>
      </c>
      <c r="CM105" s="16" t="n">
        <v>0.302115</v>
      </c>
      <c r="CN105" s="16" t="n">
        <v>577.375544</v>
      </c>
      <c r="CO105" s="16" t="n"/>
      <c r="CP105" s="16" t="n"/>
      <c r="CQ105" s="16" t="n">
        <v>0.826446</v>
      </c>
      <c r="CR105" s="16" t="n">
        <v>0.742917</v>
      </c>
      <c r="CS105" s="16" t="n">
        <v>0.302115</v>
      </c>
      <c r="CT105" s="16" t="n">
        <v>0.625243</v>
      </c>
      <c r="CU105" s="16" t="n"/>
      <c r="CV105" s="16" t="n"/>
      <c r="CW105" s="16" t="n">
        <v>0.826446</v>
      </c>
      <c r="CX105" s="16" t="n">
        <v>0.885053</v>
      </c>
      <c r="CY105" s="16" t="n">
        <v>0.302115</v>
      </c>
      <c r="CZ105" s="16" t="n">
        <v>0.802244</v>
      </c>
      <c r="DA105" s="16" t="n"/>
      <c r="DB105" s="16" t="n"/>
      <c r="DC105" s="16" t="n">
        <v>0.826446</v>
      </c>
      <c r="DD105" s="16" t="n">
        <v>0.857797</v>
      </c>
      <c r="DE105" s="16" t="n">
        <v>0.302115</v>
      </c>
      <c r="DF105" s="16" t="n">
        <v>0.7201</v>
      </c>
      <c r="DG105" s="16" t="n"/>
      <c r="DH105" s="16" t="n"/>
      <c r="DI105" s="16" t="n">
        <v>0.826446</v>
      </c>
      <c r="DJ105" s="16" t="n">
        <v>0.881401</v>
      </c>
      <c r="DK105" s="16" t="n">
        <v>0.302115</v>
      </c>
      <c r="DL105" s="16" t="n">
        <v>0.7166400000000001</v>
      </c>
      <c r="DM105" s="16" t="n"/>
      <c r="DN105" s="16" t="n"/>
      <c r="DO105" s="16" t="n">
        <v>0.826446</v>
      </c>
      <c r="DP105" s="16" t="n">
        <v>0.902713</v>
      </c>
      <c r="DQ105" s="16" t="n">
        <v>0.302115</v>
      </c>
      <c r="DR105" s="16" t="n">
        <v>0.702933</v>
      </c>
      <c r="DS105" s="16" t="n"/>
      <c r="DT105" s="16" t="n"/>
      <c r="DU105" s="16" t="n">
        <v>0.826446</v>
      </c>
      <c r="DV105" s="16" t="n">
        <v>0.935347</v>
      </c>
      <c r="DW105" s="16" t="n">
        <v>0.302115</v>
      </c>
      <c r="DX105" s="16" t="n">
        <v>0.758757</v>
      </c>
      <c r="DY105" s="16" t="n"/>
      <c r="DZ105" s="16" t="n"/>
      <c r="EB105" s="16" t="n"/>
      <c r="EC105" s="16" t="n"/>
      <c r="ED105" s="16" t="n"/>
      <c r="EE105" s="16" t="n"/>
      <c r="EF105" s="16" t="n">
        <v>847.130682</v>
      </c>
      <c r="EG105" s="16" t="n">
        <v>4309.779304</v>
      </c>
      <c r="EH105" s="16" t="n">
        <v>1049.264038</v>
      </c>
      <c r="EI105" s="16" t="n">
        <v>4107.388099</v>
      </c>
      <c r="EJ105" s="16" t="n"/>
      <c r="EK105" s="16" t="n"/>
      <c r="EL105" s="16" t="n"/>
      <c r="EM105" s="16" t="n"/>
      <c r="EN105" s="16" t="n"/>
      <c r="EO105" s="16" t="n"/>
      <c r="EP105" s="16" t="n"/>
      <c r="EQ105" s="16" t="n"/>
      <c r="ER105" s="16" t="n"/>
      <c r="ES105" s="16" t="n"/>
      <c r="ET105" s="16" t="n"/>
      <c r="EU105" s="16" t="n"/>
    </row>
    <row r="106">
      <c r="BS106" s="16" t="n">
        <v>0.834711</v>
      </c>
      <c r="BT106" s="16" t="n">
        <v>458.24819</v>
      </c>
      <c r="BU106" s="16" t="n">
        <v>0.305136</v>
      </c>
      <c r="BV106" s="16" t="n">
        <v>424.749604</v>
      </c>
      <c r="BW106" s="16" t="n"/>
      <c r="BX106" s="16" t="n"/>
      <c r="BY106" s="16" t="n">
        <v>0.834711</v>
      </c>
      <c r="BZ106" s="16" t="n">
        <v>296.680103</v>
      </c>
      <c r="CA106" s="16" t="n">
        <v>0.305136</v>
      </c>
      <c r="CB106" s="16" t="n">
        <v>286.994046</v>
      </c>
      <c r="CC106" s="16" t="n"/>
      <c r="CD106" s="16" t="n"/>
      <c r="CE106" s="16" t="n">
        <v>0.834711</v>
      </c>
      <c r="CF106" s="16" t="n">
        <v>4398.709579</v>
      </c>
      <c r="CG106" s="16" t="n">
        <v>0.305136</v>
      </c>
      <c r="CH106" s="16" t="n">
        <v>2828.608741</v>
      </c>
      <c r="CI106" s="16" t="n"/>
      <c r="CJ106" s="16" t="n"/>
      <c r="CK106" s="16" t="n">
        <v>0.834711</v>
      </c>
      <c r="CL106" s="16" t="n">
        <v>1403.658796</v>
      </c>
      <c r="CM106" s="16" t="n">
        <v>0.305136</v>
      </c>
      <c r="CN106" s="16" t="n">
        <v>581.284016</v>
      </c>
      <c r="CO106" s="16" t="n"/>
      <c r="CP106" s="16" t="n"/>
      <c r="CQ106" s="16" t="n">
        <v>0.834711</v>
      </c>
      <c r="CR106" s="16" t="n">
        <v>0.749455</v>
      </c>
      <c r="CS106" s="16" t="n">
        <v>0.305136</v>
      </c>
      <c r="CT106" s="16" t="n">
        <v>0.6258010000000001</v>
      </c>
      <c r="CU106" s="16" t="n"/>
      <c r="CV106" s="16" t="n"/>
      <c r="CW106" s="16" t="n">
        <v>0.834711</v>
      </c>
      <c r="CX106" s="16" t="n">
        <v>0.886632</v>
      </c>
      <c r="CY106" s="16" t="n">
        <v>0.305136</v>
      </c>
      <c r="CZ106" s="16" t="n">
        <v>0.802497</v>
      </c>
      <c r="DA106" s="16" t="n"/>
      <c r="DB106" s="16" t="n"/>
      <c r="DC106" s="16" t="n">
        <v>0.834711</v>
      </c>
      <c r="DD106" s="16" t="n">
        <v>0.859905</v>
      </c>
      <c r="DE106" s="16" t="n">
        <v>0.305136</v>
      </c>
      <c r="DF106" s="16" t="n">
        <v>0.720364</v>
      </c>
      <c r="DG106" s="16" t="n"/>
      <c r="DH106" s="16" t="n"/>
      <c r="DI106" s="16" t="n">
        <v>0.834711</v>
      </c>
      <c r="DJ106" s="16" t="n">
        <v>0.890436</v>
      </c>
      <c r="DK106" s="16" t="n">
        <v>0.305136</v>
      </c>
      <c r="DL106" s="16" t="n">
        <v>0.716947</v>
      </c>
      <c r="DM106" s="16" t="n"/>
      <c r="DN106" s="16" t="n"/>
      <c r="DO106" s="16" t="n">
        <v>0.834711</v>
      </c>
      <c r="DP106" s="16" t="n">
        <v>0.90437</v>
      </c>
      <c r="DQ106" s="16" t="n">
        <v>0.305136</v>
      </c>
      <c r="DR106" s="16" t="n">
        <v>0.703265</v>
      </c>
      <c r="DS106" s="16" t="n"/>
      <c r="DT106" s="16" t="n"/>
      <c r="DU106" s="16" t="n">
        <v>0.834711</v>
      </c>
      <c r="DV106" s="16" t="n">
        <v>0.9364440000000001</v>
      </c>
      <c r="DW106" s="16" t="n">
        <v>0.305136</v>
      </c>
      <c r="DX106" s="16" t="n">
        <v>0.759737</v>
      </c>
      <c r="DY106" s="16" t="n"/>
      <c r="DZ106" s="16" t="n"/>
      <c r="EB106" s="16" t="n"/>
      <c r="EC106" s="16" t="n"/>
      <c r="ED106" s="16" t="n"/>
      <c r="EE106" s="16" t="n"/>
      <c r="EF106" s="16" t="n">
        <v>598.024514</v>
      </c>
      <c r="EG106" s="16" t="n">
        <v>2467.483814</v>
      </c>
      <c r="EH106" s="16" t="n">
        <v>902.194889</v>
      </c>
      <c r="EI106" s="16" t="n">
        <v>2303.173148</v>
      </c>
      <c r="EJ106" s="16" t="n"/>
      <c r="EK106" s="16" t="n"/>
      <c r="EL106" s="16" t="n"/>
      <c r="EM106" s="16" t="n"/>
      <c r="EN106" s="16" t="n"/>
      <c r="EO106" s="16" t="n"/>
      <c r="EP106" s="16" t="n"/>
      <c r="EQ106" s="16" t="n"/>
      <c r="ER106" s="16" t="n"/>
      <c r="ES106" s="16" t="n"/>
      <c r="ET106" s="16" t="n"/>
      <c r="EU106" s="16" t="n"/>
    </row>
    <row r="107">
      <c r="BS107" s="16" t="n">
        <v>0.842975</v>
      </c>
      <c r="BT107" s="16" t="n">
        <v>459.854622</v>
      </c>
      <c r="BU107" s="16" t="n">
        <v>0.308157</v>
      </c>
      <c r="BV107" s="16" t="n">
        <v>425.13561</v>
      </c>
      <c r="BW107" s="16" t="n"/>
      <c r="BX107" s="16" t="n"/>
      <c r="BY107" s="16" t="n">
        <v>0.842975</v>
      </c>
      <c r="BZ107" s="16" t="n">
        <v>296.809144</v>
      </c>
      <c r="CA107" s="16" t="n">
        <v>0.308157</v>
      </c>
      <c r="CB107" s="16" t="n">
        <v>287.043259</v>
      </c>
      <c r="CC107" s="16" t="n"/>
      <c r="CD107" s="16" t="n"/>
      <c r="CE107" s="16" t="n">
        <v>0.842975</v>
      </c>
      <c r="CF107" s="16" t="n">
        <v>4493.226606</v>
      </c>
      <c r="CG107" s="16" t="n">
        <v>0.308157</v>
      </c>
      <c r="CH107" s="16" t="n">
        <v>2838.322251</v>
      </c>
      <c r="CI107" s="16" t="n"/>
      <c r="CJ107" s="16" t="n"/>
      <c r="CK107" s="16" t="n">
        <v>0.842975</v>
      </c>
      <c r="CL107" s="16" t="n">
        <v>1403.895909</v>
      </c>
      <c r="CM107" s="16" t="n">
        <v>0.308157</v>
      </c>
      <c r="CN107" s="16" t="n">
        <v>584.589769</v>
      </c>
      <c r="CO107" s="16" t="n"/>
      <c r="CP107" s="16" t="n"/>
      <c r="CQ107" s="16" t="n">
        <v>0.842975</v>
      </c>
      <c r="CR107" s="16" t="n">
        <v>0.752232</v>
      </c>
      <c r="CS107" s="16" t="n">
        <v>0.308157</v>
      </c>
      <c r="CT107" s="16" t="n">
        <v>0.626702</v>
      </c>
      <c r="CU107" s="16" t="n"/>
      <c r="CV107" s="16" t="n"/>
      <c r="CW107" s="16" t="n">
        <v>0.842975</v>
      </c>
      <c r="CX107" s="16" t="n">
        <v>0.888856</v>
      </c>
      <c r="CY107" s="16" t="n">
        <v>0.308157</v>
      </c>
      <c r="CZ107" s="16" t="n">
        <v>0.802914</v>
      </c>
      <c r="DA107" s="16" t="n"/>
      <c r="DB107" s="16" t="n"/>
      <c r="DC107" s="16" t="n">
        <v>0.842975</v>
      </c>
      <c r="DD107" s="16" t="n">
        <v>0.86002</v>
      </c>
      <c r="DE107" s="16" t="n">
        <v>0.308157</v>
      </c>
      <c r="DF107" s="16" t="n">
        <v>0.721759</v>
      </c>
      <c r="DG107" s="16" t="n"/>
      <c r="DH107" s="16" t="n"/>
      <c r="DI107" s="16" t="n">
        <v>0.842975</v>
      </c>
      <c r="DJ107" s="16" t="n">
        <v>0.89195</v>
      </c>
      <c r="DK107" s="16" t="n">
        <v>0.308157</v>
      </c>
      <c r="DL107" s="16" t="n">
        <v>0.7181149999999999</v>
      </c>
      <c r="DM107" s="16" t="n"/>
      <c r="DN107" s="16" t="n"/>
      <c r="DO107" s="16" t="n">
        <v>0.842975</v>
      </c>
      <c r="DP107" s="16" t="n">
        <v>0.906208</v>
      </c>
      <c r="DQ107" s="16" t="n">
        <v>0.308157</v>
      </c>
      <c r="DR107" s="16" t="n">
        <v>0.70443</v>
      </c>
      <c r="DS107" s="16" t="n"/>
      <c r="DT107" s="16" t="n"/>
      <c r="DU107" s="16" t="n">
        <v>0.842975</v>
      </c>
      <c r="DV107" s="16" t="n">
        <v>0.9376139999999999</v>
      </c>
      <c r="DW107" s="16" t="n">
        <v>0.308157</v>
      </c>
      <c r="DX107" s="16" t="n">
        <v>0.760774</v>
      </c>
      <c r="DY107" s="16" t="n"/>
      <c r="DZ107" s="16" t="n"/>
      <c r="EB107" s="16" t="n"/>
      <c r="EC107" s="16" t="n"/>
      <c r="ED107" s="16" t="n"/>
      <c r="EE107" s="16" t="n"/>
      <c r="EF107" s="16" t="n">
        <v>1168.677197</v>
      </c>
      <c r="EG107" s="16" t="n">
        <v>2144.421814</v>
      </c>
      <c r="EH107" s="16" t="n">
        <v>526.558068</v>
      </c>
      <c r="EI107" s="16" t="n">
        <v>2789.37854</v>
      </c>
      <c r="EJ107" s="16" t="n"/>
      <c r="EK107" s="16" t="n"/>
      <c r="EL107" s="16" t="n"/>
      <c r="EM107" s="16" t="n"/>
      <c r="EN107" s="16" t="n"/>
      <c r="EO107" s="16" t="n"/>
      <c r="EP107" s="16" t="n"/>
      <c r="EQ107" s="16" t="n"/>
      <c r="ER107" s="16" t="n"/>
      <c r="ES107" s="16" t="n"/>
      <c r="ET107" s="16" t="n"/>
      <c r="EU107" s="16" t="n"/>
    </row>
    <row r="108">
      <c r="BS108" s="16" t="n">
        <v>0.85124</v>
      </c>
      <c r="BT108" s="16" t="n">
        <v>463.111117</v>
      </c>
      <c r="BU108" s="16" t="n">
        <v>0.311178</v>
      </c>
      <c r="BV108" s="16" t="n">
        <v>425.391927</v>
      </c>
      <c r="BW108" s="16" t="n"/>
      <c r="BX108" s="16" t="n"/>
      <c r="BY108" s="16" t="n">
        <v>0.85124</v>
      </c>
      <c r="BZ108" s="16" t="n">
        <v>297.340823</v>
      </c>
      <c r="CA108" s="16" t="n">
        <v>0.311178</v>
      </c>
      <c r="CB108" s="16" t="n">
        <v>287.197826</v>
      </c>
      <c r="CC108" s="16" t="n"/>
      <c r="CD108" s="16" t="n"/>
      <c r="CE108" s="16" t="n">
        <v>0.85124</v>
      </c>
      <c r="CF108" s="16" t="n">
        <v>4500.932156</v>
      </c>
      <c r="CG108" s="16" t="n">
        <v>0.311178</v>
      </c>
      <c r="CH108" s="16" t="n">
        <v>2848.916564</v>
      </c>
      <c r="CI108" s="16" t="n"/>
      <c r="CJ108" s="16" t="n"/>
      <c r="CK108" s="16" t="n">
        <v>0.85124</v>
      </c>
      <c r="CL108" s="16" t="n">
        <v>1406.893214</v>
      </c>
      <c r="CM108" s="16" t="n">
        <v>0.311178</v>
      </c>
      <c r="CN108" s="16" t="n">
        <v>586.938434</v>
      </c>
      <c r="CO108" s="16" t="n"/>
      <c r="CP108" s="16" t="n"/>
      <c r="CQ108" s="16" t="n">
        <v>0.85124</v>
      </c>
      <c r="CR108" s="16" t="n">
        <v>0.754282</v>
      </c>
      <c r="CS108" s="16" t="n">
        <v>0.311178</v>
      </c>
      <c r="CT108" s="16" t="n">
        <v>0.629696</v>
      </c>
      <c r="CU108" s="16" t="n"/>
      <c r="CV108" s="16" t="n"/>
      <c r="CW108" s="16" t="n">
        <v>0.85124</v>
      </c>
      <c r="CX108" s="16" t="n">
        <v>0.89109</v>
      </c>
      <c r="CY108" s="16" t="n">
        <v>0.311178</v>
      </c>
      <c r="CZ108" s="16" t="n">
        <v>0.8032589999999999</v>
      </c>
      <c r="DA108" s="16" t="n"/>
      <c r="DB108" s="16" t="n"/>
      <c r="DC108" s="16" t="n">
        <v>0.85124</v>
      </c>
      <c r="DD108" s="16" t="n">
        <v>0.86092</v>
      </c>
      <c r="DE108" s="16" t="n">
        <v>0.311178</v>
      </c>
      <c r="DF108" s="16" t="n">
        <v>0.722213</v>
      </c>
      <c r="DG108" s="16" t="n"/>
      <c r="DH108" s="16" t="n"/>
      <c r="DI108" s="16" t="n">
        <v>0.85124</v>
      </c>
      <c r="DJ108" s="16" t="n">
        <v>0.896771</v>
      </c>
      <c r="DK108" s="16" t="n">
        <v>0.311178</v>
      </c>
      <c r="DL108" s="16" t="n">
        <v>0.720108</v>
      </c>
      <c r="DM108" s="16" t="n"/>
      <c r="DN108" s="16" t="n"/>
      <c r="DO108" s="16" t="n">
        <v>0.85124</v>
      </c>
      <c r="DP108" s="16" t="n">
        <v>0.908621</v>
      </c>
      <c r="DQ108" s="16" t="n">
        <v>0.311178</v>
      </c>
      <c r="DR108" s="16" t="n">
        <v>0.704922</v>
      </c>
      <c r="DS108" s="16" t="n"/>
      <c r="DT108" s="16" t="n"/>
      <c r="DU108" s="16" t="n">
        <v>0.85124</v>
      </c>
      <c r="DV108" s="16" t="n">
        <v>0.939198</v>
      </c>
      <c r="DW108" s="16" t="n">
        <v>0.311178</v>
      </c>
      <c r="DX108" s="16" t="n">
        <v>0.761084</v>
      </c>
      <c r="DY108" s="16" t="n"/>
      <c r="DZ108" s="16" t="n"/>
      <c r="EB108" s="16" t="n"/>
      <c r="EC108" s="16" t="n"/>
      <c r="ED108" s="16" t="n"/>
      <c r="EE108" s="16" t="n"/>
      <c r="EF108" s="16" t="n">
        <v>462.327813</v>
      </c>
      <c r="EG108" s="16" t="n">
        <v>3324.631354</v>
      </c>
      <c r="EH108" s="16" t="n">
        <v>1103.058355</v>
      </c>
      <c r="EI108" s="16" t="n">
        <v>2907.358039</v>
      </c>
      <c r="EJ108" s="16" t="n"/>
      <c r="EK108" s="16" t="n"/>
      <c r="EL108" s="16" t="n"/>
      <c r="EM108" s="16" t="n"/>
      <c r="EN108" s="16" t="n"/>
      <c r="EO108" s="16" t="n"/>
      <c r="EP108" s="16" t="n"/>
      <c r="EQ108" s="16" t="n"/>
      <c r="ER108" s="16" t="n"/>
      <c r="ES108" s="16" t="n"/>
      <c r="ET108" s="16" t="n"/>
      <c r="EU108" s="16" t="n"/>
    </row>
    <row r="109">
      <c r="BS109" s="16" t="n">
        <v>0.859504</v>
      </c>
      <c r="BT109" s="16" t="n">
        <v>464.510241</v>
      </c>
      <c r="BU109" s="16" t="n">
        <v>0.314199</v>
      </c>
      <c r="BV109" s="16" t="n">
        <v>425.56049</v>
      </c>
      <c r="BW109" s="16" t="n"/>
      <c r="BX109" s="16" t="n"/>
      <c r="BY109" s="16" t="n">
        <v>0.859504</v>
      </c>
      <c r="BZ109" s="16" t="n">
        <v>297.441081</v>
      </c>
      <c r="CA109" s="16" t="n">
        <v>0.314199</v>
      </c>
      <c r="CB109" s="16" t="n">
        <v>287.244139</v>
      </c>
      <c r="CC109" s="16" t="n"/>
      <c r="CD109" s="16" t="n"/>
      <c r="CE109" s="16" t="n">
        <v>0.859504</v>
      </c>
      <c r="CF109" s="16" t="n">
        <v>4588.917037</v>
      </c>
      <c r="CG109" s="16" t="n">
        <v>0.314199</v>
      </c>
      <c r="CH109" s="16" t="n">
        <v>2855.587171</v>
      </c>
      <c r="CI109" s="16" t="n"/>
      <c r="CJ109" s="16" t="n"/>
      <c r="CK109" s="16" t="n">
        <v>0.859504</v>
      </c>
      <c r="CL109" s="16" t="n">
        <v>1413.172396</v>
      </c>
      <c r="CM109" s="16" t="n">
        <v>0.314199</v>
      </c>
      <c r="CN109" s="16" t="n">
        <v>588.59524</v>
      </c>
      <c r="CO109" s="16" t="n"/>
      <c r="CP109" s="16" t="n"/>
      <c r="CQ109" s="16" t="n">
        <v>0.859504</v>
      </c>
      <c r="CR109" s="16" t="n">
        <v>0.759753</v>
      </c>
      <c r="CS109" s="16" t="n">
        <v>0.314199</v>
      </c>
      <c r="CT109" s="16" t="n">
        <v>0.630221</v>
      </c>
      <c r="CU109" s="16" t="n"/>
      <c r="CV109" s="16" t="n"/>
      <c r="CW109" s="16" t="n">
        <v>0.859504</v>
      </c>
      <c r="CX109" s="16" t="n">
        <v>0.892997</v>
      </c>
      <c r="CY109" s="16" t="n">
        <v>0.314199</v>
      </c>
      <c r="CZ109" s="16" t="n">
        <v>0.803673</v>
      </c>
      <c r="DA109" s="16" t="n"/>
      <c r="DB109" s="16" t="n"/>
      <c r="DC109" s="16" t="n">
        <v>0.859504</v>
      </c>
      <c r="DD109" s="16" t="n">
        <v>0.866644</v>
      </c>
      <c r="DE109" s="16" t="n">
        <v>0.314199</v>
      </c>
      <c r="DF109" s="16" t="n">
        <v>0.722533</v>
      </c>
      <c r="DG109" s="16" t="n"/>
      <c r="DH109" s="16" t="n"/>
      <c r="DI109" s="16" t="n">
        <v>0.859504</v>
      </c>
      <c r="DJ109" s="16" t="n">
        <v>0.901976</v>
      </c>
      <c r="DK109" s="16" t="n">
        <v>0.314199</v>
      </c>
      <c r="DL109" s="16" t="n">
        <v>0.720163</v>
      </c>
      <c r="DM109" s="16" t="n"/>
      <c r="DN109" s="16" t="n"/>
      <c r="DO109" s="16" t="n">
        <v>0.859504</v>
      </c>
      <c r="DP109" s="16" t="n">
        <v>0.912477</v>
      </c>
      <c r="DQ109" s="16" t="n">
        <v>0.314199</v>
      </c>
      <c r="DR109" s="16" t="n">
        <v>0.705655</v>
      </c>
      <c r="DS109" s="16" t="n"/>
      <c r="DT109" s="16" t="n"/>
      <c r="DU109" s="16" t="n">
        <v>0.859504</v>
      </c>
      <c r="DV109" s="16" t="n">
        <v>0.939767</v>
      </c>
      <c r="DW109" s="16" t="n">
        <v>0.314199</v>
      </c>
      <c r="DX109" s="16" t="n">
        <v>0.761456</v>
      </c>
      <c r="DY109" s="16" t="n"/>
      <c r="DZ109" s="16" t="n"/>
      <c r="EB109" s="16" t="n"/>
      <c r="EC109" s="16" t="n"/>
      <c r="ED109" s="16" t="n"/>
      <c r="EE109" s="16" t="n"/>
      <c r="EF109" s="16" t="n">
        <v>696.775429</v>
      </c>
      <c r="EG109" s="16" t="n">
        <v>3271.965612</v>
      </c>
      <c r="EH109" s="16" t="n">
        <v>968.708592</v>
      </c>
      <c r="EI109" s="16" t="n">
        <v>3816.286928</v>
      </c>
      <c r="EJ109" s="16" t="n"/>
      <c r="EK109" s="16" t="n"/>
      <c r="EL109" s="16" t="n"/>
      <c r="EM109" s="16" t="n"/>
      <c r="EN109" s="16" t="n"/>
      <c r="EO109" s="16" t="n"/>
      <c r="EP109" s="16" t="n"/>
      <c r="EQ109" s="16" t="n"/>
      <c r="ER109" s="16" t="n"/>
      <c r="ES109" s="16" t="n"/>
      <c r="ET109" s="16" t="n"/>
      <c r="EU109" s="16" t="n"/>
    </row>
    <row r="110">
      <c r="BS110" s="16" t="n">
        <v>0.867769</v>
      </c>
      <c r="BT110" s="16" t="n">
        <v>465.775951</v>
      </c>
      <c r="BU110" s="16" t="n">
        <v>0.317221</v>
      </c>
      <c r="BV110" s="16" t="n">
        <v>426.257583</v>
      </c>
      <c r="BW110" s="16" t="n"/>
      <c r="BX110" s="16" t="n"/>
      <c r="BY110" s="16" t="n">
        <v>0.867769</v>
      </c>
      <c r="BZ110" s="16" t="n">
        <v>297.923755</v>
      </c>
      <c r="CA110" s="16" t="n">
        <v>0.317221</v>
      </c>
      <c r="CB110" s="16" t="n">
        <v>287.294032</v>
      </c>
      <c r="CC110" s="16" t="n"/>
      <c r="CD110" s="16" t="n"/>
      <c r="CE110" s="16" t="n">
        <v>0.867769</v>
      </c>
      <c r="CF110" s="16" t="n">
        <v>4594.559894</v>
      </c>
      <c r="CG110" s="16" t="n">
        <v>0.317221</v>
      </c>
      <c r="CH110" s="16" t="n">
        <v>2871.547892</v>
      </c>
      <c r="CI110" s="16" t="n"/>
      <c r="CJ110" s="16" t="n"/>
      <c r="CK110" s="16" t="n">
        <v>0.867769</v>
      </c>
      <c r="CL110" s="16" t="n">
        <v>1416.577729</v>
      </c>
      <c r="CM110" s="16" t="n">
        <v>0.317221</v>
      </c>
      <c r="CN110" s="16" t="n">
        <v>590.038602</v>
      </c>
      <c r="CO110" s="16" t="n"/>
      <c r="CP110" s="16" t="n"/>
      <c r="CQ110" s="16" t="n">
        <v>0.867769</v>
      </c>
      <c r="CR110" s="16" t="n">
        <v>0.76402</v>
      </c>
      <c r="CS110" s="16" t="n">
        <v>0.317221</v>
      </c>
      <c r="CT110" s="16" t="n">
        <v>0.631426</v>
      </c>
      <c r="CU110" s="16" t="n"/>
      <c r="CV110" s="16" t="n"/>
      <c r="CW110" s="16" t="n">
        <v>0.867769</v>
      </c>
      <c r="CX110" s="16" t="n">
        <v>0.893613</v>
      </c>
      <c r="CY110" s="16" t="n">
        <v>0.317221</v>
      </c>
      <c r="CZ110" s="16" t="n">
        <v>0.80482</v>
      </c>
      <c r="DA110" s="16" t="n"/>
      <c r="DB110" s="16" t="n"/>
      <c r="DC110" s="16" t="n">
        <v>0.867769</v>
      </c>
      <c r="DD110" s="16" t="n">
        <v>0.867232</v>
      </c>
      <c r="DE110" s="16" t="n">
        <v>0.317221</v>
      </c>
      <c r="DF110" s="16" t="n">
        <v>0.723517</v>
      </c>
      <c r="DG110" s="16" t="n"/>
      <c r="DH110" s="16" t="n"/>
      <c r="DI110" s="16" t="n">
        <v>0.867769</v>
      </c>
      <c r="DJ110" s="16" t="n">
        <v>0.903179</v>
      </c>
      <c r="DK110" s="16" t="n">
        <v>0.317221</v>
      </c>
      <c r="DL110" s="16" t="n">
        <v>0.720633</v>
      </c>
      <c r="DM110" s="16" t="n"/>
      <c r="DN110" s="16" t="n"/>
      <c r="DO110" s="16" t="n">
        <v>0.867769</v>
      </c>
      <c r="DP110" s="16" t="n">
        <v>0.913052</v>
      </c>
      <c r="DQ110" s="16" t="n">
        <v>0.317221</v>
      </c>
      <c r="DR110" s="16" t="n">
        <v>0.707333</v>
      </c>
      <c r="DS110" s="16" t="n"/>
      <c r="DT110" s="16" t="n"/>
      <c r="DU110" s="16" t="n">
        <v>0.867769</v>
      </c>
      <c r="DV110" s="16" t="n">
        <v>0.940029</v>
      </c>
      <c r="DW110" s="16" t="n">
        <v>0.317221</v>
      </c>
      <c r="DX110" s="16" t="n">
        <v>0.762474</v>
      </c>
      <c r="DY110" s="16" t="n"/>
      <c r="DZ110" s="16" t="n"/>
      <c r="EB110" s="16" t="n"/>
      <c r="EC110" s="16" t="n"/>
      <c r="ED110" s="16" t="n"/>
      <c r="EE110" s="16" t="n"/>
      <c r="EF110" s="16" t="n">
        <v>1378.229478</v>
      </c>
      <c r="EG110" s="16" t="n">
        <v>3849.269462</v>
      </c>
      <c r="EH110" s="16" t="n">
        <v>736.067686</v>
      </c>
      <c r="EI110" s="16" t="n">
        <v>2145.671337</v>
      </c>
      <c r="EJ110" s="16" t="n"/>
      <c r="EK110" s="16" t="n"/>
      <c r="EL110" s="16" t="n"/>
      <c r="EM110" s="16" t="n"/>
      <c r="EN110" s="16" t="n"/>
      <c r="EO110" s="16" t="n"/>
      <c r="EP110" s="16" t="n"/>
      <c r="EQ110" s="16" t="n"/>
      <c r="ER110" s="16" t="n"/>
      <c r="ES110" s="16" t="n"/>
      <c r="ET110" s="16" t="n"/>
      <c r="EU110" s="16" t="n"/>
    </row>
    <row r="111">
      <c r="BS111" s="16" t="n">
        <v>0.876033</v>
      </c>
      <c r="BT111" s="16" t="n">
        <v>467.906423</v>
      </c>
      <c r="BU111" s="16" t="n">
        <v>0.320242</v>
      </c>
      <c r="BV111" s="16" t="n">
        <v>426.486432</v>
      </c>
      <c r="BW111" s="16" t="n"/>
      <c r="BX111" s="16" t="n"/>
      <c r="BY111" s="16" t="n">
        <v>0.876033</v>
      </c>
      <c r="BZ111" s="16" t="n">
        <v>298.258576</v>
      </c>
      <c r="CA111" s="16" t="n">
        <v>0.320242</v>
      </c>
      <c r="CB111" s="16" t="n">
        <v>287.374366</v>
      </c>
      <c r="CC111" s="16" t="n"/>
      <c r="CD111" s="16" t="n"/>
      <c r="CE111" s="16" t="n">
        <v>0.876033</v>
      </c>
      <c r="CF111" s="16" t="n">
        <v>4615.247022</v>
      </c>
      <c r="CG111" s="16" t="n">
        <v>0.320242</v>
      </c>
      <c r="CH111" s="16" t="n">
        <v>2878.064123</v>
      </c>
      <c r="CI111" s="16" t="n"/>
      <c r="CJ111" s="16" t="n"/>
      <c r="CK111" s="16" t="n">
        <v>0.876033</v>
      </c>
      <c r="CL111" s="16" t="n">
        <v>1425.534916</v>
      </c>
      <c r="CM111" s="16" t="n">
        <v>0.320242</v>
      </c>
      <c r="CN111" s="16" t="n">
        <v>594.143586</v>
      </c>
      <c r="CO111" s="16" t="n"/>
      <c r="CP111" s="16" t="n"/>
      <c r="CQ111" s="16" t="n">
        <v>0.876033</v>
      </c>
      <c r="CR111" s="16" t="n">
        <v>0.772447</v>
      </c>
      <c r="CS111" s="16" t="n">
        <v>0.320242</v>
      </c>
      <c r="CT111" s="16" t="n">
        <v>0.632491</v>
      </c>
      <c r="CU111" s="16" t="n"/>
      <c r="CV111" s="16" t="n"/>
      <c r="CW111" s="16" t="n">
        <v>0.876033</v>
      </c>
      <c r="CX111" s="16" t="n">
        <v>0.894738</v>
      </c>
      <c r="CY111" s="16" t="n">
        <v>0.320242</v>
      </c>
      <c r="CZ111" s="16" t="n">
        <v>0.805064</v>
      </c>
      <c r="DA111" s="16" t="n"/>
      <c r="DB111" s="16" t="n"/>
      <c r="DC111" s="16" t="n">
        <v>0.876033</v>
      </c>
      <c r="DD111" s="16" t="n">
        <v>0.867821</v>
      </c>
      <c r="DE111" s="16" t="n">
        <v>0.320242</v>
      </c>
      <c r="DF111" s="16" t="n">
        <v>0.724683</v>
      </c>
      <c r="DG111" s="16" t="n"/>
      <c r="DH111" s="16" t="n"/>
      <c r="DI111" s="16" t="n">
        <v>0.876033</v>
      </c>
      <c r="DJ111" s="16" t="n">
        <v>0.90421</v>
      </c>
      <c r="DK111" s="16" t="n">
        <v>0.320242</v>
      </c>
      <c r="DL111" s="16" t="n">
        <v>0.721336</v>
      </c>
      <c r="DM111" s="16" t="n"/>
      <c r="DN111" s="16" t="n"/>
      <c r="DO111" s="16" t="n">
        <v>0.876033</v>
      </c>
      <c r="DP111" s="16" t="n">
        <v>0.919655</v>
      </c>
      <c r="DQ111" s="16" t="n">
        <v>0.320242</v>
      </c>
      <c r="DR111" s="16" t="n">
        <v>0.707768</v>
      </c>
      <c r="DS111" s="16" t="n"/>
      <c r="DT111" s="16" t="n"/>
      <c r="DU111" s="16" t="n">
        <v>0.876033</v>
      </c>
      <c r="DV111" s="16" t="n">
        <v>0.941037</v>
      </c>
      <c r="DW111" s="16" t="n">
        <v>0.320242</v>
      </c>
      <c r="DX111" s="16" t="n">
        <v>0.762938</v>
      </c>
      <c r="DY111" s="16" t="n"/>
      <c r="DZ111" s="16" t="n"/>
      <c r="EB111" s="16" t="n"/>
      <c r="EC111" s="16" t="n"/>
      <c r="ED111" s="16" t="n"/>
      <c r="EE111" s="16" t="n"/>
      <c r="EF111" s="16" t="n">
        <v>603.390956</v>
      </c>
      <c r="EG111" s="16" t="n">
        <v>2291.885312</v>
      </c>
      <c r="EH111" s="16" t="n">
        <v>386.381392</v>
      </c>
      <c r="EI111" s="16" t="n">
        <v>4975.893732</v>
      </c>
      <c r="EJ111" s="16" t="n"/>
      <c r="EK111" s="16" t="n"/>
      <c r="EL111" s="16" t="n"/>
      <c r="EM111" s="16" t="n"/>
      <c r="EN111" s="16" t="n"/>
      <c r="EO111" s="16" t="n"/>
      <c r="EP111" s="16" t="n"/>
      <c r="EQ111" s="16" t="n"/>
      <c r="ER111" s="16" t="n"/>
      <c r="ES111" s="16" t="n"/>
      <c r="ET111" s="16" t="n"/>
      <c r="EU111" s="16" t="n"/>
    </row>
    <row r="112">
      <c r="BS112" s="16" t="n">
        <v>0.884298</v>
      </c>
      <c r="BT112" s="16" t="n">
        <v>469.073755</v>
      </c>
      <c r="BU112" s="16" t="n">
        <v>0.323263</v>
      </c>
      <c r="BV112" s="16" t="n">
        <v>426.596306</v>
      </c>
      <c r="BW112" s="16" t="n"/>
      <c r="BX112" s="16" t="n"/>
      <c r="BY112" s="16" t="n">
        <v>0.884298</v>
      </c>
      <c r="BZ112" s="16" t="n">
        <v>298.854379</v>
      </c>
      <c r="CA112" s="16" t="n">
        <v>0.323263</v>
      </c>
      <c r="CB112" s="16" t="n">
        <v>287.461546</v>
      </c>
      <c r="CC112" s="16" t="n"/>
      <c r="CD112" s="16" t="n"/>
      <c r="CE112" s="16" t="n">
        <v>0.884298</v>
      </c>
      <c r="CF112" s="16" t="n">
        <v>4618.005423</v>
      </c>
      <c r="CG112" s="16" t="n">
        <v>0.323263</v>
      </c>
      <c r="CH112" s="16" t="n">
        <v>2891.278953</v>
      </c>
      <c r="CI112" s="16" t="n"/>
      <c r="CJ112" s="16" t="n"/>
      <c r="CK112" s="16" t="n">
        <v>0.884298</v>
      </c>
      <c r="CL112" s="16" t="n">
        <v>1426.633753</v>
      </c>
      <c r="CM112" s="16" t="n">
        <v>0.323263</v>
      </c>
      <c r="CN112" s="16" t="n">
        <v>598.024514</v>
      </c>
      <c r="CO112" s="16" t="n"/>
      <c r="CP112" s="16" t="n"/>
      <c r="CQ112" s="16" t="n">
        <v>0.884298</v>
      </c>
      <c r="CR112" s="16" t="n">
        <v>0.773298</v>
      </c>
      <c r="CS112" s="16" t="n">
        <v>0.323263</v>
      </c>
      <c r="CT112" s="16" t="n">
        <v>0.632791</v>
      </c>
      <c r="CU112" s="16" t="n"/>
      <c r="CV112" s="16" t="n"/>
      <c r="CW112" s="16" t="n">
        <v>0.884298</v>
      </c>
      <c r="CX112" s="16" t="n">
        <v>0.898089</v>
      </c>
      <c r="CY112" s="16" t="n">
        <v>0.323263</v>
      </c>
      <c r="CZ112" s="16" t="n">
        <v>0.805907</v>
      </c>
      <c r="DA112" s="16" t="n"/>
      <c r="DB112" s="16" t="n"/>
      <c r="DC112" s="16" t="n">
        <v>0.884298</v>
      </c>
      <c r="DD112" s="16" t="n">
        <v>0.87018</v>
      </c>
      <c r="DE112" s="16" t="n">
        <v>0.323263</v>
      </c>
      <c r="DF112" s="16" t="n">
        <v>0.724928</v>
      </c>
      <c r="DG112" s="16" t="n"/>
      <c r="DH112" s="16" t="n"/>
      <c r="DI112" s="16" t="n">
        <v>0.884298</v>
      </c>
      <c r="DJ112" s="16" t="n">
        <v>0.906292</v>
      </c>
      <c r="DK112" s="16" t="n">
        <v>0.323263</v>
      </c>
      <c r="DL112" s="16" t="n">
        <v>0.721487</v>
      </c>
      <c r="DM112" s="16" t="n"/>
      <c r="DN112" s="16" t="n"/>
      <c r="DO112" s="16" t="n">
        <v>0.884298</v>
      </c>
      <c r="DP112" s="16" t="n">
        <v>0.920197</v>
      </c>
      <c r="DQ112" s="16" t="n">
        <v>0.323263</v>
      </c>
      <c r="DR112" s="16" t="n">
        <v>0.707887</v>
      </c>
      <c r="DS112" s="16" t="n"/>
      <c r="DT112" s="16" t="n"/>
      <c r="DU112" s="16" t="n">
        <v>0.884298</v>
      </c>
      <c r="DV112" s="16" t="n">
        <v>0.941603</v>
      </c>
      <c r="DW112" s="16" t="n">
        <v>0.323263</v>
      </c>
      <c r="DX112" s="16" t="n">
        <v>0.7632</v>
      </c>
      <c r="DY112" s="16" t="n"/>
      <c r="DZ112" s="16" t="n"/>
      <c r="EB112" s="16" t="n"/>
      <c r="EC112" s="16" t="n"/>
      <c r="ED112" s="16" t="n"/>
      <c r="EE112" s="16" t="n"/>
      <c r="EF112" s="16" t="n">
        <v>720.746204</v>
      </c>
      <c r="EG112" s="16" t="n">
        <v>3114.796382</v>
      </c>
      <c r="EH112" s="16" t="n">
        <v>469.177867</v>
      </c>
      <c r="EI112" s="16" t="n">
        <v>3253.722634</v>
      </c>
      <c r="EJ112" s="16" t="n"/>
      <c r="EK112" s="16" t="n"/>
      <c r="EL112" s="16" t="n"/>
      <c r="EM112" s="16" t="n"/>
      <c r="EN112" s="16" t="n"/>
      <c r="EO112" s="16" t="n"/>
      <c r="EP112" s="16" t="n"/>
      <c r="EQ112" s="16" t="n"/>
      <c r="ER112" s="16" t="n"/>
      <c r="ES112" s="16" t="n"/>
      <c r="ET112" s="16" t="n"/>
      <c r="EU112" s="16" t="n"/>
    </row>
    <row r="113">
      <c r="BS113" s="16" t="n">
        <v>0.892562</v>
      </c>
      <c r="BT113" s="16" t="n">
        <v>469.859507</v>
      </c>
      <c r="BU113" s="16" t="n">
        <v>0.326284</v>
      </c>
      <c r="BV113" s="16" t="n">
        <v>427.117953</v>
      </c>
      <c r="BW113" s="16" t="n"/>
      <c r="BX113" s="16" t="n"/>
      <c r="BY113" s="16" t="n">
        <v>0.892562</v>
      </c>
      <c r="BZ113" s="16" t="n">
        <v>299.004856</v>
      </c>
      <c r="CA113" s="16" t="n">
        <v>0.326284</v>
      </c>
      <c r="CB113" s="16" t="n">
        <v>287.466456</v>
      </c>
      <c r="CC113" s="16" t="n"/>
      <c r="CD113" s="16" t="n"/>
      <c r="CE113" s="16" t="n">
        <v>0.892562</v>
      </c>
      <c r="CF113" s="16" t="n">
        <v>4652.457693</v>
      </c>
      <c r="CG113" s="16" t="n">
        <v>0.326284</v>
      </c>
      <c r="CH113" s="16" t="n">
        <v>2898.101623</v>
      </c>
      <c r="CI113" s="16" t="n"/>
      <c r="CJ113" s="16" t="n"/>
      <c r="CK113" s="16" t="n">
        <v>0.892562</v>
      </c>
      <c r="CL113" s="16" t="n">
        <v>1434.311362</v>
      </c>
      <c r="CM113" s="16" t="n">
        <v>0.326284</v>
      </c>
      <c r="CN113" s="16" t="n">
        <v>599.3993840000001</v>
      </c>
      <c r="CO113" s="16" t="n"/>
      <c r="CP113" s="16" t="n"/>
      <c r="CQ113" s="16" t="n">
        <v>0.892562</v>
      </c>
      <c r="CR113" s="16" t="n">
        <v>0.779989</v>
      </c>
      <c r="CS113" s="16" t="n">
        <v>0.326284</v>
      </c>
      <c r="CT113" s="16" t="n">
        <v>0.633123</v>
      </c>
      <c r="CU113" s="16" t="n"/>
      <c r="CV113" s="16" t="n"/>
      <c r="CW113" s="16" t="n">
        <v>0.892562</v>
      </c>
      <c r="CX113" s="16" t="n">
        <v>0.9037770000000001</v>
      </c>
      <c r="CY113" s="16" t="n">
        <v>0.326284</v>
      </c>
      <c r="CZ113" s="16" t="n">
        <v>0.8059730000000001</v>
      </c>
      <c r="DA113" s="16" t="n"/>
      <c r="DB113" s="16" t="n"/>
      <c r="DC113" s="16" t="n">
        <v>0.892562</v>
      </c>
      <c r="DD113" s="16" t="n">
        <v>0.8719209999999999</v>
      </c>
      <c r="DE113" s="16" t="n">
        <v>0.326284</v>
      </c>
      <c r="DF113" s="16" t="n">
        <v>0.725254</v>
      </c>
      <c r="DG113" s="16" t="n"/>
      <c r="DH113" s="16" t="n"/>
      <c r="DI113" s="16" t="n">
        <v>0.892562</v>
      </c>
      <c r="DJ113" s="16" t="n">
        <v>0.909177</v>
      </c>
      <c r="DK113" s="16" t="n">
        <v>0.326284</v>
      </c>
      <c r="DL113" s="16" t="n">
        <v>0.722683</v>
      </c>
      <c r="DM113" s="16" t="n"/>
      <c r="DN113" s="16" t="n"/>
      <c r="DO113" s="16" t="n">
        <v>0.892562</v>
      </c>
      <c r="DP113" s="16" t="n">
        <v>0.921304</v>
      </c>
      <c r="DQ113" s="16" t="n">
        <v>0.326284</v>
      </c>
      <c r="DR113" s="16" t="n">
        <v>0.7095129999999999</v>
      </c>
      <c r="DS113" s="16" t="n"/>
      <c r="DT113" s="16" t="n"/>
      <c r="DU113" s="16" t="n">
        <v>0.892562</v>
      </c>
      <c r="DV113" s="16" t="n">
        <v>0.941753</v>
      </c>
      <c r="DW113" s="16" t="n">
        <v>0.326284</v>
      </c>
      <c r="DX113" s="16" t="n">
        <v>0.764725</v>
      </c>
      <c r="DY113" s="16" t="n"/>
      <c r="DZ113" s="16" t="n"/>
      <c r="EB113" s="16" t="n"/>
      <c r="EC113" s="16" t="n"/>
      <c r="ED113" s="16" t="n"/>
      <c r="EE113" s="16" t="n"/>
      <c r="EF113" s="16" t="n">
        <v>719.411465</v>
      </c>
      <c r="EG113" s="16" t="n">
        <v>3497.912143</v>
      </c>
      <c r="EH113" s="16" t="n">
        <v>498.751817</v>
      </c>
      <c r="EI113" s="16" t="n">
        <v>2674.482313</v>
      </c>
      <c r="EJ113" s="16" t="n"/>
      <c r="EK113" s="16" t="n"/>
      <c r="EL113" s="16" t="n"/>
      <c r="EM113" s="16" t="n"/>
      <c r="EN113" s="16" t="n"/>
      <c r="EO113" s="16" t="n"/>
      <c r="EP113" s="16" t="n"/>
      <c r="EQ113" s="16" t="n"/>
      <c r="ER113" s="16" t="n"/>
      <c r="ES113" s="16" t="n"/>
      <c r="ET113" s="16" t="n"/>
      <c r="EU113" s="16" t="n"/>
    </row>
    <row r="114">
      <c r="BS114" s="16" t="n">
        <v>0.900826</v>
      </c>
      <c r="BT114" s="16" t="n">
        <v>470.018406</v>
      </c>
      <c r="BU114" s="16" t="n">
        <v>0.329305</v>
      </c>
      <c r="BV114" s="16" t="n">
        <v>427.22185</v>
      </c>
      <c r="BW114" s="16" t="n"/>
      <c r="BX114" s="16" t="n"/>
      <c r="BY114" s="16" t="n">
        <v>0.900826</v>
      </c>
      <c r="BZ114" s="16" t="n">
        <v>299.073882</v>
      </c>
      <c r="CA114" s="16" t="n">
        <v>0.329305</v>
      </c>
      <c r="CB114" s="16" t="n">
        <v>287.529746</v>
      </c>
      <c r="CC114" s="16" t="n"/>
      <c r="CD114" s="16" t="n"/>
      <c r="CE114" s="16" t="n">
        <v>0.900826</v>
      </c>
      <c r="CF114" s="16" t="n">
        <v>4675.27472</v>
      </c>
      <c r="CG114" s="16" t="n">
        <v>0.329305</v>
      </c>
      <c r="CH114" s="16" t="n">
        <v>2907.358039</v>
      </c>
      <c r="CI114" s="16" t="n"/>
      <c r="CJ114" s="16" t="n"/>
      <c r="CK114" s="16" t="n">
        <v>0.900826</v>
      </c>
      <c r="CL114" s="16" t="n">
        <v>1438.218115</v>
      </c>
      <c r="CM114" s="16" t="n">
        <v>0.329305</v>
      </c>
      <c r="CN114" s="16" t="n">
        <v>603.390956</v>
      </c>
      <c r="CO114" s="16" t="n"/>
      <c r="CP114" s="16" t="n"/>
      <c r="CQ114" s="16" t="n">
        <v>0.900826</v>
      </c>
      <c r="CR114" s="16" t="n">
        <v>0.7823329999999999</v>
      </c>
      <c r="CS114" s="16" t="n">
        <v>0.329305</v>
      </c>
      <c r="CT114" s="16" t="n">
        <v>0.634077</v>
      </c>
      <c r="CU114" s="16" t="n"/>
      <c r="CV114" s="16" t="n"/>
      <c r="CW114" s="16" t="n">
        <v>0.900826</v>
      </c>
      <c r="CX114" s="16" t="n">
        <v>0.905519</v>
      </c>
      <c r="CY114" s="16" t="n">
        <v>0.329305</v>
      </c>
      <c r="CZ114" s="16" t="n">
        <v>0.806408</v>
      </c>
      <c r="DA114" s="16" t="n"/>
      <c r="DB114" s="16" t="n"/>
      <c r="DC114" s="16" t="n">
        <v>0.900826</v>
      </c>
      <c r="DD114" s="16" t="n">
        <v>0.873095</v>
      </c>
      <c r="DE114" s="16" t="n">
        <v>0.329305</v>
      </c>
      <c r="DF114" s="16" t="n">
        <v>0.725954</v>
      </c>
      <c r="DG114" s="16" t="n"/>
      <c r="DH114" s="16" t="n"/>
      <c r="DI114" s="16" t="n">
        <v>0.900826</v>
      </c>
      <c r="DJ114" s="16" t="n">
        <v>0.909494</v>
      </c>
      <c r="DK114" s="16" t="n">
        <v>0.329305</v>
      </c>
      <c r="DL114" s="16" t="n">
        <v>0.72348</v>
      </c>
      <c r="DM114" s="16" t="n"/>
      <c r="DN114" s="16" t="n"/>
      <c r="DO114" s="16" t="n">
        <v>0.900826</v>
      </c>
      <c r="DP114" s="16" t="n">
        <v>0.9227610000000001</v>
      </c>
      <c r="DQ114" s="16" t="n">
        <v>0.329305</v>
      </c>
      <c r="DR114" s="16" t="n">
        <v>0.710778</v>
      </c>
      <c r="DS114" s="16" t="n"/>
      <c r="DT114" s="16" t="n"/>
      <c r="DU114" s="16" t="n">
        <v>0.900826</v>
      </c>
      <c r="DV114" s="16" t="n">
        <v>0.942547</v>
      </c>
      <c r="DW114" s="16" t="n">
        <v>0.329305</v>
      </c>
      <c r="DX114" s="16" t="n">
        <v>0.765147</v>
      </c>
      <c r="DY114" s="16" t="n"/>
      <c r="DZ114" s="16" t="n"/>
      <c r="EB114" s="16" t="n"/>
      <c r="EC114" s="16" t="n"/>
      <c r="ED114" s="16" t="n"/>
      <c r="EE114" s="16" t="n"/>
      <c r="EF114" s="16" t="n">
        <v>1430.554716</v>
      </c>
      <c r="EG114" s="16" t="n">
        <v>2796.92307</v>
      </c>
      <c r="EH114" s="16" t="n">
        <v>451.860475</v>
      </c>
      <c r="EI114" s="16" t="n">
        <v>2459.481768</v>
      </c>
      <c r="EJ114" s="16" t="n"/>
      <c r="EK114" s="16" t="n"/>
      <c r="EL114" s="16" t="n"/>
      <c r="EM114" s="16" t="n"/>
      <c r="EN114" s="16" t="n"/>
      <c r="EO114" s="16" t="n"/>
      <c r="EP114" s="16" t="n"/>
      <c r="EQ114" s="16" t="n"/>
      <c r="ER114" s="16" t="n"/>
      <c r="ES114" s="16" t="n"/>
      <c r="ET114" s="16" t="n"/>
      <c r="EU114" s="16" t="n"/>
    </row>
    <row r="115">
      <c r="BS115" s="16" t="n">
        <v>0.909091</v>
      </c>
      <c r="BT115" s="16" t="n">
        <v>475.008302</v>
      </c>
      <c r="BU115" s="16" t="n">
        <v>0.332326</v>
      </c>
      <c r="BV115" s="16" t="n">
        <v>427.791195</v>
      </c>
      <c r="BW115" s="16" t="n"/>
      <c r="BX115" s="16" t="n"/>
      <c r="BY115" s="16" t="n">
        <v>0.909091</v>
      </c>
      <c r="BZ115" s="16" t="n">
        <v>299.356391</v>
      </c>
      <c r="CA115" s="16" t="n">
        <v>0.332326</v>
      </c>
      <c r="CB115" s="16" t="n">
        <v>287.654177</v>
      </c>
      <c r="CC115" s="16" t="n"/>
      <c r="CD115" s="16" t="n"/>
      <c r="CE115" s="16" t="n">
        <v>0.909091</v>
      </c>
      <c r="CF115" s="16" t="n">
        <v>4702.230184</v>
      </c>
      <c r="CG115" s="16" t="n">
        <v>0.332326</v>
      </c>
      <c r="CH115" s="16" t="n">
        <v>2909.835972</v>
      </c>
      <c r="CI115" s="16" t="n"/>
      <c r="CJ115" s="16" t="n"/>
      <c r="CK115" s="16" t="n">
        <v>0.909091</v>
      </c>
      <c r="CL115" s="16" t="n">
        <v>1440.710132</v>
      </c>
      <c r="CM115" s="16" t="n">
        <v>0.332326</v>
      </c>
      <c r="CN115" s="16" t="n">
        <v>608.511126</v>
      </c>
      <c r="CO115" s="16" t="n"/>
      <c r="CP115" s="16" t="n"/>
      <c r="CQ115" s="16" t="n">
        <v>0.909091</v>
      </c>
      <c r="CR115" s="16" t="n">
        <v>0.790071</v>
      </c>
      <c r="CS115" s="16" t="n">
        <v>0.332326</v>
      </c>
      <c r="CT115" s="16" t="n">
        <v>0.63534</v>
      </c>
      <c r="CU115" s="16" t="n"/>
      <c r="CV115" s="16" t="n"/>
      <c r="CW115" s="16" t="n">
        <v>0.909091</v>
      </c>
      <c r="CX115" s="16" t="n">
        <v>0.905946</v>
      </c>
      <c r="CY115" s="16" t="n">
        <v>0.332326</v>
      </c>
      <c r="CZ115" s="16" t="n">
        <v>0.806945</v>
      </c>
      <c r="DA115" s="16" t="n"/>
      <c r="DB115" s="16" t="n"/>
      <c r="DC115" s="16" t="n">
        <v>0.909091</v>
      </c>
      <c r="DD115" s="16" t="n">
        <v>0.873797</v>
      </c>
      <c r="DE115" s="16" t="n">
        <v>0.332326</v>
      </c>
      <c r="DF115" s="16" t="n">
        <v>0.726643</v>
      </c>
      <c r="DG115" s="16" t="n"/>
      <c r="DH115" s="16" t="n"/>
      <c r="DI115" s="16" t="n">
        <v>0.909091</v>
      </c>
      <c r="DJ115" s="16" t="n">
        <v>0.917357</v>
      </c>
      <c r="DK115" s="16" t="n">
        <v>0.332326</v>
      </c>
      <c r="DL115" s="16" t="n">
        <v>0.725003</v>
      </c>
      <c r="DM115" s="16" t="n"/>
      <c r="DN115" s="16" t="n"/>
      <c r="DO115" s="16" t="n">
        <v>0.909091</v>
      </c>
      <c r="DP115" s="16" t="n">
        <v>0.924256</v>
      </c>
      <c r="DQ115" s="16" t="n">
        <v>0.332326</v>
      </c>
      <c r="DR115" s="16" t="n">
        <v>0.712307</v>
      </c>
      <c r="DS115" s="16" t="n"/>
      <c r="DT115" s="16" t="n"/>
      <c r="DU115" s="16" t="n">
        <v>0.909091</v>
      </c>
      <c r="DV115" s="16" t="n">
        <v>0.942786</v>
      </c>
      <c r="DW115" s="16" t="n">
        <v>0.332326</v>
      </c>
      <c r="DX115" s="16" t="n">
        <v>0.765516</v>
      </c>
      <c r="DY115" s="16" t="n"/>
      <c r="DZ115" s="16" t="n"/>
      <c r="EB115" s="16" t="n"/>
      <c r="EC115" s="16" t="n"/>
      <c r="ED115" s="16" t="n"/>
      <c r="EE115" s="16" t="n"/>
      <c r="EF115" s="16" t="n">
        <v>609.916799</v>
      </c>
      <c r="EG115" s="16" t="n">
        <v>3316.463894</v>
      </c>
      <c r="EH115" s="16" t="n">
        <v>1408.841268</v>
      </c>
      <c r="EI115" s="16" t="n">
        <v>3345.752763</v>
      </c>
      <c r="EJ115" s="16" t="n"/>
      <c r="EK115" s="16" t="n"/>
      <c r="EL115" s="16" t="n"/>
      <c r="EM115" s="16" t="n"/>
      <c r="EN115" s="16" t="n"/>
      <c r="EO115" s="16" t="n"/>
      <c r="EP115" s="16" t="n"/>
      <c r="EQ115" s="16" t="n"/>
      <c r="ER115" s="16" t="n"/>
      <c r="ES115" s="16" t="n"/>
      <c r="ET115" s="16" t="n"/>
      <c r="EU115" s="16" t="n"/>
    </row>
    <row r="116">
      <c r="BS116" s="16" t="n">
        <v>0.917355</v>
      </c>
      <c r="BT116" s="16" t="n">
        <v>481.900542</v>
      </c>
      <c r="BU116" s="16" t="n">
        <v>0.335347</v>
      </c>
      <c r="BV116" s="16" t="n">
        <v>428.282031</v>
      </c>
      <c r="BW116" s="16" t="n"/>
      <c r="BX116" s="16" t="n"/>
      <c r="BY116" s="16" t="n">
        <v>0.917355</v>
      </c>
      <c r="BZ116" s="16" t="n">
        <v>300.513691</v>
      </c>
      <c r="CA116" s="16" t="n">
        <v>0.335347</v>
      </c>
      <c r="CB116" s="16" t="n">
        <v>287.70774</v>
      </c>
      <c r="CC116" s="16" t="n"/>
      <c r="CD116" s="16" t="n"/>
      <c r="CE116" s="16" t="n">
        <v>0.917355</v>
      </c>
      <c r="CF116" s="16" t="n">
        <v>4734.360878</v>
      </c>
      <c r="CG116" s="16" t="n">
        <v>0.335347</v>
      </c>
      <c r="CH116" s="16" t="n">
        <v>2915.52602</v>
      </c>
      <c r="CI116" s="16" t="n"/>
      <c r="CJ116" s="16" t="n"/>
      <c r="CK116" s="16" t="n">
        <v>0.917355</v>
      </c>
      <c r="CL116" s="16" t="n">
        <v>1451.623593</v>
      </c>
      <c r="CM116" s="16" t="n">
        <v>0.335347</v>
      </c>
      <c r="CN116" s="16" t="n">
        <v>609.916799</v>
      </c>
      <c r="CO116" s="16" t="n"/>
      <c r="CP116" s="16" t="n"/>
      <c r="CQ116" s="16" t="n">
        <v>0.917355</v>
      </c>
      <c r="CR116" s="16" t="n">
        <v>0.792982</v>
      </c>
      <c r="CS116" s="16" t="n">
        <v>0.335347</v>
      </c>
      <c r="CT116" s="16" t="n">
        <v>0.635603</v>
      </c>
      <c r="CU116" s="16" t="n"/>
      <c r="CV116" s="16" t="n"/>
      <c r="CW116" s="16" t="n">
        <v>0.917355</v>
      </c>
      <c r="CX116" s="16" t="n">
        <v>0.907089</v>
      </c>
      <c r="CY116" s="16" t="n">
        <v>0.335347</v>
      </c>
      <c r="CZ116" s="16" t="n">
        <v>0.807038</v>
      </c>
      <c r="DA116" s="16" t="n"/>
      <c r="DB116" s="16" t="n"/>
      <c r="DC116" s="16" t="n">
        <v>0.917355</v>
      </c>
      <c r="DD116" s="16" t="n">
        <v>0.8786350000000001</v>
      </c>
      <c r="DE116" s="16" t="n">
        <v>0.335347</v>
      </c>
      <c r="DF116" s="16" t="n">
        <v>0.726979</v>
      </c>
      <c r="DG116" s="16" t="n"/>
      <c r="DH116" s="16" t="n"/>
      <c r="DI116" s="16" t="n">
        <v>0.917355</v>
      </c>
      <c r="DJ116" s="16" t="n">
        <v>0.920458</v>
      </c>
      <c r="DK116" s="16" t="n">
        <v>0.335347</v>
      </c>
      <c r="DL116" s="16" t="n">
        <v>0.725063</v>
      </c>
      <c r="DM116" s="16" t="n"/>
      <c r="DN116" s="16" t="n"/>
      <c r="DO116" s="16" t="n">
        <v>0.917355</v>
      </c>
      <c r="DP116" s="16" t="n">
        <v>0.926377</v>
      </c>
      <c r="DQ116" s="16" t="n">
        <v>0.335347</v>
      </c>
      <c r="DR116" s="16" t="n">
        <v>0.713396</v>
      </c>
      <c r="DS116" s="16" t="n"/>
      <c r="DT116" s="16" t="n"/>
      <c r="DU116" s="16" t="n">
        <v>0.917355</v>
      </c>
      <c r="DV116" s="16" t="n">
        <v>0.943358</v>
      </c>
      <c r="DW116" s="16" t="n">
        <v>0.335347</v>
      </c>
      <c r="DX116" s="16" t="n">
        <v>0.765924</v>
      </c>
      <c r="DY116" s="16" t="n"/>
      <c r="DZ116" s="16" t="n"/>
      <c r="EB116" s="16" t="n"/>
      <c r="EC116" s="16" t="n"/>
      <c r="ED116" s="16" t="n"/>
      <c r="EE116" s="16" t="n"/>
      <c r="EF116" s="16" t="n">
        <v>726.467695</v>
      </c>
      <c r="EG116" s="16" t="n">
        <v>4232.314608</v>
      </c>
      <c r="EH116" s="16" t="n">
        <v>1251.208829</v>
      </c>
      <c r="EI116" s="16" t="n">
        <v>3460.363839</v>
      </c>
      <c r="EJ116" s="16" t="n"/>
      <c r="EK116" s="16" t="n"/>
      <c r="EL116" s="16" t="n"/>
      <c r="EM116" s="16" t="n"/>
      <c r="EN116" s="16" t="n"/>
      <c r="EO116" s="16" t="n"/>
      <c r="EP116" s="16" t="n"/>
      <c r="EQ116" s="16" t="n"/>
      <c r="ER116" s="16" t="n"/>
      <c r="ES116" s="16" t="n"/>
      <c r="ET116" s="16" t="n"/>
      <c r="EU116" s="16" t="n"/>
    </row>
    <row r="117">
      <c r="BS117" s="16" t="n">
        <v>0.92562</v>
      </c>
      <c r="BT117" s="16" t="n">
        <v>482.703118</v>
      </c>
      <c r="BU117" s="16" t="n">
        <v>0.338369</v>
      </c>
      <c r="BV117" s="16" t="n">
        <v>428.432995</v>
      </c>
      <c r="BW117" s="16" t="n"/>
      <c r="BX117" s="16" t="n"/>
      <c r="BY117" s="16" t="n">
        <v>0.92562</v>
      </c>
      <c r="BZ117" s="16" t="n">
        <v>300.658946</v>
      </c>
      <c r="CA117" s="16" t="n">
        <v>0.338369</v>
      </c>
      <c r="CB117" s="16" t="n">
        <v>287.749283</v>
      </c>
      <c r="CC117" s="16" t="n"/>
      <c r="CD117" s="16" t="n"/>
      <c r="CE117" s="16" t="n">
        <v>0.92562</v>
      </c>
      <c r="CF117" s="16" t="n">
        <v>4778.03685</v>
      </c>
      <c r="CG117" s="16" t="n">
        <v>0.338369</v>
      </c>
      <c r="CH117" s="16" t="n">
        <v>2925.327037</v>
      </c>
      <c r="CI117" s="16" t="n"/>
      <c r="CJ117" s="16" t="n"/>
      <c r="CK117" s="16" t="n">
        <v>0.92562</v>
      </c>
      <c r="CL117" s="16" t="n">
        <v>1453.694308</v>
      </c>
      <c r="CM117" s="16" t="n">
        <v>0.338369</v>
      </c>
      <c r="CN117" s="16" t="n">
        <v>613.5400090000001</v>
      </c>
      <c r="CO117" s="16" t="n"/>
      <c r="CP117" s="16" t="n"/>
      <c r="CQ117" s="16" t="n">
        <v>0.92562</v>
      </c>
      <c r="CR117" s="16" t="n">
        <v>0.797756</v>
      </c>
      <c r="CS117" s="16" t="n">
        <v>0.338369</v>
      </c>
      <c r="CT117" s="16" t="n">
        <v>0.6384030000000001</v>
      </c>
      <c r="CU117" s="16" t="n"/>
      <c r="CV117" s="16" t="n"/>
      <c r="CW117" s="16" t="n">
        <v>0.92562</v>
      </c>
      <c r="CX117" s="16" t="n">
        <v>0.908322</v>
      </c>
      <c r="CY117" s="16" t="n">
        <v>0.338369</v>
      </c>
      <c r="CZ117" s="16" t="n">
        <v>0.807368</v>
      </c>
      <c r="DA117" s="16" t="n"/>
      <c r="DB117" s="16" t="n"/>
      <c r="DC117" s="16" t="n">
        <v>0.92562</v>
      </c>
      <c r="DD117" s="16" t="n">
        <v>0.879407</v>
      </c>
      <c r="DE117" s="16" t="n">
        <v>0.338369</v>
      </c>
      <c r="DF117" s="16" t="n">
        <v>0.727168</v>
      </c>
      <c r="DG117" s="16" t="n"/>
      <c r="DH117" s="16" t="n"/>
      <c r="DI117" s="16" t="n">
        <v>0.92562</v>
      </c>
      <c r="DJ117" s="16" t="n">
        <v>0.920589</v>
      </c>
      <c r="DK117" s="16" t="n">
        <v>0.338369</v>
      </c>
      <c r="DL117" s="16" t="n">
        <v>0.726176</v>
      </c>
      <c r="DM117" s="16" t="n"/>
      <c r="DN117" s="16" t="n"/>
      <c r="DO117" s="16" t="n">
        <v>0.92562</v>
      </c>
      <c r="DP117" s="16" t="n">
        <v>0.927651</v>
      </c>
      <c r="DQ117" s="16" t="n">
        <v>0.338369</v>
      </c>
      <c r="DR117" s="16" t="n">
        <v>0.71347</v>
      </c>
      <c r="DS117" s="16" t="n"/>
      <c r="DT117" s="16" t="n"/>
      <c r="DU117" s="16" t="n">
        <v>0.92562</v>
      </c>
      <c r="DV117" s="16" t="n">
        <v>0.944391</v>
      </c>
      <c r="DW117" s="16" t="n">
        <v>0.338369</v>
      </c>
      <c r="DX117" s="16" t="n">
        <v>0.766581</v>
      </c>
      <c r="DY117" s="16" t="n"/>
      <c r="DZ117" s="16" t="n"/>
      <c r="EB117" s="16" t="n"/>
      <c r="EC117" s="16" t="n"/>
      <c r="ED117" s="16" t="n"/>
      <c r="EE117" s="16" t="n"/>
      <c r="EF117" s="16" t="n">
        <v>957.061608</v>
      </c>
      <c r="EG117" s="16" t="n">
        <v>2189.372121</v>
      </c>
      <c r="EH117" s="16" t="n">
        <v>512.457499</v>
      </c>
      <c r="EI117" s="16" t="n">
        <v>2559.78552</v>
      </c>
      <c r="EJ117" s="16" t="n"/>
      <c r="EK117" s="16" t="n"/>
      <c r="EL117" s="16" t="n"/>
      <c r="EM117" s="16" t="n"/>
      <c r="EN117" s="16" t="n"/>
      <c r="EO117" s="16" t="n"/>
      <c r="EP117" s="16" t="n"/>
      <c r="EQ117" s="16" t="n"/>
      <c r="ER117" s="16" t="n"/>
      <c r="ES117" s="16" t="n"/>
      <c r="ET117" s="16" t="n"/>
      <c r="EU117" s="16" t="n"/>
    </row>
    <row r="118">
      <c r="BS118" s="16" t="n">
        <v>0.933884</v>
      </c>
      <c r="BT118" s="16" t="n">
        <v>483.225048</v>
      </c>
      <c r="BU118" s="16" t="n">
        <v>0.34139</v>
      </c>
      <c r="BV118" s="16" t="n">
        <v>428.601035</v>
      </c>
      <c r="BW118" s="16" t="n"/>
      <c r="BX118" s="16" t="n"/>
      <c r="BY118" s="16" t="n">
        <v>0.933884</v>
      </c>
      <c r="BZ118" s="16" t="n">
        <v>301.123696</v>
      </c>
      <c r="CA118" s="16" t="n">
        <v>0.34139</v>
      </c>
      <c r="CB118" s="16" t="n">
        <v>287.798703</v>
      </c>
      <c r="CC118" s="16" t="n"/>
      <c r="CD118" s="16" t="n"/>
      <c r="CE118" s="16" t="n">
        <v>0.933884</v>
      </c>
      <c r="CF118" s="16" t="n">
        <v>4811.745788</v>
      </c>
      <c r="CG118" s="16" t="n">
        <v>0.34139</v>
      </c>
      <c r="CH118" s="16" t="n">
        <v>2946.519301</v>
      </c>
      <c r="CI118" s="16" t="n"/>
      <c r="CJ118" s="16" t="n"/>
      <c r="CK118" s="16" t="n">
        <v>0.933884</v>
      </c>
      <c r="CL118" s="16" t="n">
        <v>1454.834982</v>
      </c>
      <c r="CM118" s="16" t="n">
        <v>0.34139</v>
      </c>
      <c r="CN118" s="16" t="n">
        <v>616.3650709999999</v>
      </c>
      <c r="CO118" s="16" t="n"/>
      <c r="CP118" s="16" t="n"/>
      <c r="CQ118" s="16" t="n">
        <v>0.933884</v>
      </c>
      <c r="CR118" s="16" t="n">
        <v>0.802834</v>
      </c>
      <c r="CS118" s="16" t="n">
        <v>0.34139</v>
      </c>
      <c r="CT118" s="16" t="n">
        <v>0.639383</v>
      </c>
      <c r="CU118" s="16" t="n"/>
      <c r="CV118" s="16" t="n"/>
      <c r="CW118" s="16" t="n">
        <v>0.933884</v>
      </c>
      <c r="CX118" s="16" t="n">
        <v>0.909514</v>
      </c>
      <c r="CY118" s="16" t="n">
        <v>0.34139</v>
      </c>
      <c r="CZ118" s="16" t="n">
        <v>0.808052</v>
      </c>
      <c r="DA118" s="16" t="n"/>
      <c r="DB118" s="16" t="n"/>
      <c r="DC118" s="16" t="n">
        <v>0.933884</v>
      </c>
      <c r="DD118" s="16" t="n">
        <v>0.880705</v>
      </c>
      <c r="DE118" s="16" t="n">
        <v>0.34139</v>
      </c>
      <c r="DF118" s="16" t="n">
        <v>0.727831</v>
      </c>
      <c r="DG118" s="16" t="n"/>
      <c r="DH118" s="16" t="n"/>
      <c r="DI118" s="16" t="n">
        <v>0.933884</v>
      </c>
      <c r="DJ118" s="16" t="n">
        <v>0.9231200000000001</v>
      </c>
      <c r="DK118" s="16" t="n">
        <v>0.34139</v>
      </c>
      <c r="DL118" s="16" t="n">
        <v>0.726997</v>
      </c>
      <c r="DM118" s="16" t="n"/>
      <c r="DN118" s="16" t="n"/>
      <c r="DO118" s="16" t="n">
        <v>0.933884</v>
      </c>
      <c r="DP118" s="16" t="n">
        <v>0.930608</v>
      </c>
      <c r="DQ118" s="16" t="n">
        <v>0.34139</v>
      </c>
      <c r="DR118" s="16" t="n">
        <v>0.713788</v>
      </c>
      <c r="DS118" s="16" t="n"/>
      <c r="DT118" s="16" t="n"/>
      <c r="DU118" s="16" t="n">
        <v>0.933884</v>
      </c>
      <c r="DV118" s="16" t="n">
        <v>0.94457</v>
      </c>
      <c r="DW118" s="16" t="n">
        <v>0.34139</v>
      </c>
      <c r="DX118" s="16" t="n">
        <v>0.767026</v>
      </c>
      <c r="DY118" s="16" t="n"/>
      <c r="DZ118" s="16" t="n"/>
      <c r="EB118" s="16" t="n"/>
      <c r="EC118" s="16" t="n"/>
      <c r="ED118" s="16" t="n"/>
      <c r="EE118" s="16" t="n"/>
      <c r="EF118" s="16" t="n">
        <v>1312.976037</v>
      </c>
      <c r="EG118" s="16" t="n">
        <v>4005.01308</v>
      </c>
      <c r="EH118" s="16" t="n">
        <v>994.833436</v>
      </c>
      <c r="EI118" s="16" t="n">
        <v>3146.691582</v>
      </c>
      <c r="EJ118" s="16" t="n"/>
      <c r="EK118" s="16" t="n"/>
      <c r="EL118" s="16" t="n"/>
      <c r="EM118" s="16" t="n"/>
      <c r="EN118" s="16" t="n"/>
      <c r="EO118" s="16" t="n"/>
      <c r="EP118" s="16" t="n"/>
      <c r="EQ118" s="16" t="n"/>
      <c r="ER118" s="16" t="n"/>
      <c r="ES118" s="16" t="n"/>
      <c r="ET118" s="16" t="n"/>
      <c r="EU118" s="16" t="n"/>
    </row>
    <row r="119">
      <c r="BS119" s="16" t="n">
        <v>0.942149</v>
      </c>
      <c r="BT119" s="16" t="n">
        <v>484.768345</v>
      </c>
      <c r="BU119" s="16" t="n">
        <v>0.344411</v>
      </c>
      <c r="BV119" s="16" t="n">
        <v>430.346418</v>
      </c>
      <c r="BW119" s="16" t="n"/>
      <c r="BX119" s="16" t="n"/>
      <c r="BY119" s="16" t="n">
        <v>0.942149</v>
      </c>
      <c r="BZ119" s="16" t="n">
        <v>301.435985</v>
      </c>
      <c r="CA119" s="16" t="n">
        <v>0.344411</v>
      </c>
      <c r="CB119" s="16" t="n">
        <v>288.009509</v>
      </c>
      <c r="CC119" s="16" t="n"/>
      <c r="CD119" s="16" t="n"/>
      <c r="CE119" s="16" t="n">
        <v>0.942149</v>
      </c>
      <c r="CF119" s="16" t="n">
        <v>4835.649175</v>
      </c>
      <c r="CG119" s="16" t="n">
        <v>0.344411</v>
      </c>
      <c r="CH119" s="16" t="n">
        <v>2958.827926</v>
      </c>
      <c r="CI119" s="16" t="n"/>
      <c r="CJ119" s="16" t="n"/>
      <c r="CK119" s="16" t="n">
        <v>0.942149</v>
      </c>
      <c r="CL119" s="16" t="n">
        <v>1459.363535</v>
      </c>
      <c r="CM119" s="16" t="n">
        <v>0.344411</v>
      </c>
      <c r="CN119" s="16" t="n">
        <v>617.500026</v>
      </c>
      <c r="CO119" s="16" t="n"/>
      <c r="CP119" s="16" t="n"/>
      <c r="CQ119" s="16" t="n">
        <v>0.942149</v>
      </c>
      <c r="CR119" s="16" t="n">
        <v>0.80847</v>
      </c>
      <c r="CS119" s="16" t="n">
        <v>0.344411</v>
      </c>
      <c r="CT119" s="16" t="n">
        <v>0.640633</v>
      </c>
      <c r="CU119" s="16" t="n"/>
      <c r="CV119" s="16" t="n"/>
      <c r="CW119" s="16" t="n">
        <v>0.942149</v>
      </c>
      <c r="CX119" s="16" t="n">
        <v>0.909792</v>
      </c>
      <c r="CY119" s="16" t="n">
        <v>0.344411</v>
      </c>
      <c r="CZ119" s="16" t="n">
        <v>0.808598</v>
      </c>
      <c r="DA119" s="16" t="n"/>
      <c r="DB119" s="16" t="n"/>
      <c r="DC119" s="16" t="n">
        <v>0.942149</v>
      </c>
      <c r="DD119" s="16" t="n">
        <v>0.884903</v>
      </c>
      <c r="DE119" s="16" t="n">
        <v>0.344411</v>
      </c>
      <c r="DF119" s="16" t="n">
        <v>0.728507</v>
      </c>
      <c r="DG119" s="16" t="n"/>
      <c r="DH119" s="16" t="n"/>
      <c r="DI119" s="16" t="n">
        <v>0.942149</v>
      </c>
      <c r="DJ119" s="16" t="n">
        <v>0.925028</v>
      </c>
      <c r="DK119" s="16" t="n">
        <v>0.344411</v>
      </c>
      <c r="DL119" s="16" t="n">
        <v>0.72817</v>
      </c>
      <c r="DM119" s="16" t="n"/>
      <c r="DN119" s="16" t="n"/>
      <c r="DO119" s="16" t="n">
        <v>0.942149</v>
      </c>
      <c r="DP119" s="16" t="n">
        <v>0.930868</v>
      </c>
      <c r="DQ119" s="16" t="n">
        <v>0.344411</v>
      </c>
      <c r="DR119" s="16" t="n">
        <v>0.714541</v>
      </c>
      <c r="DS119" s="16" t="n"/>
      <c r="DT119" s="16" t="n"/>
      <c r="DU119" s="16" t="n">
        <v>0.942149</v>
      </c>
      <c r="DV119" s="16" t="n">
        <v>0.945129</v>
      </c>
      <c r="DW119" s="16" t="n">
        <v>0.344411</v>
      </c>
      <c r="DX119" s="16" t="n">
        <v>0.768</v>
      </c>
      <c r="DY119" s="16" t="n"/>
      <c r="DZ119" s="16" t="n"/>
      <c r="EB119" s="16" t="n"/>
      <c r="EC119" s="16" t="n"/>
      <c r="ED119" s="16" t="n"/>
      <c r="EE119" s="16" t="n"/>
      <c r="EF119" s="16" t="n">
        <v>1124.420413</v>
      </c>
      <c r="EG119" s="16" t="n">
        <v>4960.171893</v>
      </c>
      <c r="EH119" s="16" t="n">
        <v>894.325955</v>
      </c>
      <c r="EI119" s="16" t="n">
        <v>4202.002921</v>
      </c>
      <c r="EJ119" s="16" t="n"/>
      <c r="EK119" s="16" t="n"/>
      <c r="EL119" s="16" t="n"/>
      <c r="EM119" s="16" t="n"/>
      <c r="EN119" s="16" t="n"/>
      <c r="EO119" s="16" t="n"/>
      <c r="EP119" s="16" t="n"/>
      <c r="EQ119" s="16" t="n"/>
      <c r="ER119" s="16" t="n"/>
      <c r="ES119" s="16" t="n"/>
      <c r="ET119" s="16" t="n"/>
      <c r="EU119" s="16" t="n"/>
    </row>
    <row r="120">
      <c r="BS120" s="16" t="n">
        <v>0.950413</v>
      </c>
      <c r="BT120" s="16" t="n">
        <v>486.220114</v>
      </c>
      <c r="BU120" s="16" t="n">
        <v>0.347432</v>
      </c>
      <c r="BV120" s="16" t="n">
        <v>430.525213</v>
      </c>
      <c r="BW120" s="16" t="n"/>
      <c r="BX120" s="16" t="n"/>
      <c r="BY120" s="16" t="n">
        <v>0.950413</v>
      </c>
      <c r="BZ120" s="16" t="n">
        <v>301.675864</v>
      </c>
      <c r="CA120" s="16" t="n">
        <v>0.347432</v>
      </c>
      <c r="CB120" s="16" t="n">
        <v>288.039173</v>
      </c>
      <c r="CC120" s="16" t="n"/>
      <c r="CD120" s="16" t="n"/>
      <c r="CE120" s="16" t="n">
        <v>0.950413</v>
      </c>
      <c r="CF120" s="16" t="n">
        <v>4841.777083</v>
      </c>
      <c r="CG120" s="16" t="n">
        <v>0.347432</v>
      </c>
      <c r="CH120" s="16" t="n">
        <v>2964.476189</v>
      </c>
      <c r="CI120" s="16" t="n"/>
      <c r="CJ120" s="16" t="n"/>
      <c r="CK120" s="16" t="n">
        <v>0.950413</v>
      </c>
      <c r="CL120" s="16" t="n">
        <v>1460.712585</v>
      </c>
      <c r="CM120" s="16" t="n">
        <v>0.347432</v>
      </c>
      <c r="CN120" s="16" t="n">
        <v>622.608185</v>
      </c>
      <c r="CO120" s="16" t="n"/>
      <c r="CP120" s="16" t="n"/>
      <c r="CQ120" s="16" t="n">
        <v>0.950413</v>
      </c>
      <c r="CR120" s="16" t="n">
        <v>0.817466</v>
      </c>
      <c r="CS120" s="16" t="n">
        <v>0.347432</v>
      </c>
      <c r="CT120" s="16" t="n">
        <v>0.641463</v>
      </c>
      <c r="CU120" s="16" t="n"/>
      <c r="CV120" s="16" t="n"/>
      <c r="CW120" s="16" t="n">
        <v>0.950413</v>
      </c>
      <c r="CX120" s="16" t="n">
        <v>0.909964</v>
      </c>
      <c r="CY120" s="16" t="n">
        <v>0.347432</v>
      </c>
      <c r="CZ120" s="16" t="n">
        <v>0.8087299999999999</v>
      </c>
      <c r="DA120" s="16" t="n"/>
      <c r="DB120" s="16" t="n"/>
      <c r="DC120" s="16" t="n">
        <v>0.950413</v>
      </c>
      <c r="DD120" s="16" t="n">
        <v>0.886896</v>
      </c>
      <c r="DE120" s="16" t="n">
        <v>0.347432</v>
      </c>
      <c r="DF120" s="16" t="n">
        <v>0.729564</v>
      </c>
      <c r="DG120" s="16" t="n"/>
      <c r="DH120" s="16" t="n"/>
      <c r="DI120" s="16" t="n">
        <v>0.950413</v>
      </c>
      <c r="DJ120" s="16" t="n">
        <v>0.929928</v>
      </c>
      <c r="DK120" s="16" t="n">
        <v>0.347432</v>
      </c>
      <c r="DL120" s="16" t="n">
        <v>0.728414</v>
      </c>
      <c r="DM120" s="16" t="n"/>
      <c r="DN120" s="16" t="n"/>
      <c r="DO120" s="16" t="n">
        <v>0.950413</v>
      </c>
      <c r="DP120" s="16" t="n">
        <v>0.933102</v>
      </c>
      <c r="DQ120" s="16" t="n">
        <v>0.347432</v>
      </c>
      <c r="DR120" s="16" t="n">
        <v>0.7170570000000001</v>
      </c>
      <c r="DS120" s="16" t="n"/>
      <c r="DT120" s="16" t="n"/>
      <c r="DU120" s="16" t="n">
        <v>0.950413</v>
      </c>
      <c r="DV120" s="16" t="n">
        <v>0.945776</v>
      </c>
      <c r="DW120" s="16" t="n">
        <v>0.347432</v>
      </c>
      <c r="DX120" s="16" t="n">
        <v>0.76802</v>
      </c>
      <c r="DY120" s="16" t="n"/>
      <c r="DZ120" s="16" t="n"/>
      <c r="EB120" s="16" t="n"/>
      <c r="EC120" s="16" t="n"/>
      <c r="ED120" s="16" t="n"/>
      <c r="EE120" s="16" t="n"/>
      <c r="EF120" s="16" t="n">
        <v>973.711708</v>
      </c>
      <c r="EG120" s="16" t="n">
        <v>3635.790372</v>
      </c>
      <c r="EH120" s="16" t="n">
        <v>575.651525</v>
      </c>
      <c r="EI120" s="16" t="n">
        <v>2399.020394</v>
      </c>
      <c r="EJ120" s="16" t="n"/>
      <c r="EK120" s="16" t="n"/>
      <c r="EL120" s="16" t="n"/>
      <c r="EM120" s="16" t="n"/>
      <c r="EN120" s="16" t="n"/>
      <c r="EO120" s="16" t="n"/>
      <c r="EP120" s="16" t="n"/>
      <c r="EQ120" s="16" t="n"/>
      <c r="ER120" s="16" t="n"/>
      <c r="ES120" s="16" t="n"/>
      <c r="ET120" s="16" t="n"/>
      <c r="EU120" s="16" t="n"/>
    </row>
    <row r="121">
      <c r="BS121" s="16" t="n">
        <v>0.958678</v>
      </c>
      <c r="BT121" s="16" t="n">
        <v>489.650381</v>
      </c>
      <c r="BU121" s="16" t="n">
        <v>0.350453</v>
      </c>
      <c r="BV121" s="16" t="n">
        <v>431.43488</v>
      </c>
      <c r="BW121" s="16" t="n"/>
      <c r="BX121" s="16" t="n"/>
      <c r="BY121" s="16" t="n">
        <v>0.958678</v>
      </c>
      <c r="BZ121" s="16" t="n">
        <v>302.211924</v>
      </c>
      <c r="CA121" s="16" t="n">
        <v>0.350453</v>
      </c>
      <c r="CB121" s="16" t="n">
        <v>288.102822</v>
      </c>
      <c r="CC121" s="16" t="n"/>
      <c r="CD121" s="16" t="n"/>
      <c r="CE121" s="16" t="n">
        <v>0.958678</v>
      </c>
      <c r="CF121" s="16" t="n">
        <v>4890.757586</v>
      </c>
      <c r="CG121" s="16" t="n">
        <v>0.350453</v>
      </c>
      <c r="CH121" s="16" t="n">
        <v>2973.486691</v>
      </c>
      <c r="CI121" s="16" t="n"/>
      <c r="CJ121" s="16" t="n"/>
      <c r="CK121" s="16" t="n">
        <v>0.958678</v>
      </c>
      <c r="CL121" s="16" t="n">
        <v>1464.867445</v>
      </c>
      <c r="CM121" s="16" t="n">
        <v>0.350453</v>
      </c>
      <c r="CN121" s="16" t="n">
        <v>623.125503</v>
      </c>
      <c r="CO121" s="16" t="n"/>
      <c r="CP121" s="16" t="n"/>
      <c r="CQ121" s="16" t="n">
        <v>0.958678</v>
      </c>
      <c r="CR121" s="16" t="n">
        <v>0.820547</v>
      </c>
      <c r="CS121" s="16" t="n">
        <v>0.350453</v>
      </c>
      <c r="CT121" s="16" t="n">
        <v>0.641859</v>
      </c>
      <c r="CU121" s="16" t="n"/>
      <c r="CV121" s="16" t="n"/>
      <c r="CW121" s="16" t="n">
        <v>0.958678</v>
      </c>
      <c r="CX121" s="16" t="n">
        <v>0.910223</v>
      </c>
      <c r="CY121" s="16" t="n">
        <v>0.350453</v>
      </c>
      <c r="CZ121" s="16" t="n">
        <v>0.808922</v>
      </c>
      <c r="DA121" s="16" t="n"/>
      <c r="DB121" s="16" t="n"/>
      <c r="DC121" s="16" t="n">
        <v>0.958678</v>
      </c>
      <c r="DD121" s="16" t="n">
        <v>0.888418</v>
      </c>
      <c r="DE121" s="16" t="n">
        <v>0.350453</v>
      </c>
      <c r="DF121" s="16" t="n">
        <v>0.72978</v>
      </c>
      <c r="DG121" s="16" t="n"/>
      <c r="DH121" s="16" t="n"/>
      <c r="DI121" s="16" t="n">
        <v>0.958678</v>
      </c>
      <c r="DJ121" s="16" t="n">
        <v>0.9315290000000001</v>
      </c>
      <c r="DK121" s="16" t="n">
        <v>0.350453</v>
      </c>
      <c r="DL121" s="16" t="n">
        <v>0.729079</v>
      </c>
      <c r="DM121" s="16" t="n"/>
      <c r="DN121" s="16" t="n"/>
      <c r="DO121" s="16" t="n">
        <v>0.958678</v>
      </c>
      <c r="DP121" s="16" t="n">
        <v>0.935523</v>
      </c>
      <c r="DQ121" s="16" t="n">
        <v>0.350453</v>
      </c>
      <c r="DR121" s="16" t="n">
        <v>0.717662</v>
      </c>
      <c r="DS121" s="16" t="n"/>
      <c r="DT121" s="16" t="n"/>
      <c r="DU121" s="16" t="n">
        <v>0.958678</v>
      </c>
      <c r="DV121" s="16" t="n">
        <v>0.945982</v>
      </c>
      <c r="DW121" s="16" t="n">
        <v>0.350453</v>
      </c>
      <c r="DX121" s="16" t="n">
        <v>0.7685689999999999</v>
      </c>
      <c r="DY121" s="16" t="n"/>
      <c r="DZ121" s="16" t="n"/>
      <c r="EB121" s="16" t="n"/>
      <c r="EC121" s="16" t="n"/>
      <c r="ED121" s="16" t="n"/>
      <c r="EE121" s="16" t="n"/>
      <c r="EF121" s="16" t="n">
        <v>692.774577</v>
      </c>
      <c r="EG121" s="16" t="n">
        <v>4840.223104</v>
      </c>
      <c r="EH121" s="16" t="n">
        <v>1027.942471</v>
      </c>
      <c r="EI121" s="16" t="n">
        <v>4597.945159</v>
      </c>
      <c r="EJ121" s="16" t="n"/>
      <c r="EK121" s="16" t="n"/>
      <c r="EL121" s="16" t="n"/>
      <c r="EM121" s="16" t="n"/>
      <c r="EN121" s="16" t="n"/>
      <c r="EO121" s="16" t="n"/>
      <c r="EP121" s="16" t="n"/>
      <c r="EQ121" s="16" t="n"/>
      <c r="ER121" s="16" t="n"/>
      <c r="ES121" s="16" t="n"/>
      <c r="ET121" s="16" t="n"/>
      <c r="EU121" s="16" t="n"/>
    </row>
    <row r="122">
      <c r="BS122" s="16" t="n">
        <v>0.966942</v>
      </c>
      <c r="BT122" s="16" t="n">
        <v>490.779333</v>
      </c>
      <c r="BU122" s="16" t="n">
        <v>0.353474</v>
      </c>
      <c r="BV122" s="16" t="n">
        <v>431.862659</v>
      </c>
      <c r="BW122" s="16" t="n"/>
      <c r="BX122" s="16" t="n"/>
      <c r="BY122" s="16" t="n">
        <v>0.966942</v>
      </c>
      <c r="BZ122" s="16" t="n">
        <v>302.323717</v>
      </c>
      <c r="CA122" s="16" t="n">
        <v>0.353474</v>
      </c>
      <c r="CB122" s="16" t="n">
        <v>288.152861</v>
      </c>
      <c r="CC122" s="16" t="n"/>
      <c r="CD122" s="16" t="n"/>
      <c r="CE122" s="16" t="n">
        <v>0.966942</v>
      </c>
      <c r="CF122" s="16" t="n">
        <v>4908.5147</v>
      </c>
      <c r="CG122" s="16" t="n">
        <v>0.353474</v>
      </c>
      <c r="CH122" s="16" t="n">
        <v>2977.487928</v>
      </c>
      <c r="CI122" s="16" t="n"/>
      <c r="CJ122" s="16" t="n"/>
      <c r="CK122" s="16" t="n">
        <v>0.966942</v>
      </c>
      <c r="CL122" s="16" t="n">
        <v>1467.220522</v>
      </c>
      <c r="CM122" s="16" t="n">
        <v>0.353474</v>
      </c>
      <c r="CN122" s="16" t="n">
        <v>625.48144</v>
      </c>
      <c r="CO122" s="16" t="n"/>
      <c r="CP122" s="16" t="n"/>
      <c r="CQ122" s="16" t="n">
        <v>0.966942</v>
      </c>
      <c r="CR122" s="16" t="n">
        <v>0.82444</v>
      </c>
      <c r="CS122" s="16" t="n">
        <v>0.353474</v>
      </c>
      <c r="CT122" s="16" t="n">
        <v>0.642493</v>
      </c>
      <c r="CU122" s="16" t="n"/>
      <c r="CV122" s="16" t="n"/>
      <c r="CW122" s="16" t="n">
        <v>0.966942</v>
      </c>
      <c r="CX122" s="16" t="n">
        <v>0.911925</v>
      </c>
      <c r="CY122" s="16" t="n">
        <v>0.353474</v>
      </c>
      <c r="CZ122" s="16" t="n">
        <v>0.809152</v>
      </c>
      <c r="DA122" s="16" t="n"/>
      <c r="DB122" s="16" t="n"/>
      <c r="DC122" s="16" t="n">
        <v>0.966942</v>
      </c>
      <c r="DD122" s="16" t="n">
        <v>0.889587</v>
      </c>
      <c r="DE122" s="16" t="n">
        <v>0.353474</v>
      </c>
      <c r="DF122" s="16" t="n">
        <v>0.730528</v>
      </c>
      <c r="DG122" s="16" t="n"/>
      <c r="DH122" s="16" t="n"/>
      <c r="DI122" s="16" t="n">
        <v>0.966942</v>
      </c>
      <c r="DJ122" s="16" t="n">
        <v>0.933485</v>
      </c>
      <c r="DK122" s="16" t="n">
        <v>0.353474</v>
      </c>
      <c r="DL122" s="16" t="n">
        <v>0.729684</v>
      </c>
      <c r="DM122" s="16" t="n"/>
      <c r="DN122" s="16" t="n"/>
      <c r="DO122" s="16" t="n">
        <v>0.966942</v>
      </c>
      <c r="DP122" s="16" t="n">
        <v>0.93893</v>
      </c>
      <c r="DQ122" s="16" t="n">
        <v>0.353474</v>
      </c>
      <c r="DR122" s="16" t="n">
        <v>0.717794</v>
      </c>
      <c r="DS122" s="16" t="n"/>
      <c r="DT122" s="16" t="n"/>
      <c r="DU122" s="16" t="n">
        <v>0.966942</v>
      </c>
      <c r="DV122" s="16" t="n">
        <v>0.946802</v>
      </c>
      <c r="DW122" s="16" t="n">
        <v>0.353474</v>
      </c>
      <c r="DX122" s="16" t="n">
        <v>0.769358</v>
      </c>
      <c r="DY122" s="16" t="n"/>
      <c r="DZ122" s="16" t="n"/>
      <c r="EB122" s="16" t="n"/>
      <c r="EC122" s="16" t="n"/>
      <c r="ED122" s="16" t="n"/>
      <c r="EE122" s="16" t="n"/>
      <c r="EF122" s="16" t="n">
        <v>648.457123</v>
      </c>
      <c r="EG122" s="16" t="n">
        <v>4771.508027</v>
      </c>
      <c r="EH122" s="16" t="n">
        <v>754.997145</v>
      </c>
      <c r="EI122" s="16" t="n">
        <v>4236.263722</v>
      </c>
      <c r="EJ122" s="16" t="n"/>
      <c r="EK122" s="16" t="n"/>
      <c r="EL122" s="16" t="n"/>
      <c r="EM122" s="16" t="n"/>
      <c r="EN122" s="16" t="n"/>
      <c r="EO122" s="16" t="n"/>
      <c r="EP122" s="16" t="n"/>
      <c r="EQ122" s="16" t="n"/>
      <c r="ER122" s="16" t="n"/>
      <c r="ES122" s="16" t="n"/>
      <c r="ET122" s="16" t="n"/>
      <c r="EU122" s="16" t="n"/>
    </row>
    <row r="123">
      <c r="BS123" s="16" t="n">
        <v>0.975207</v>
      </c>
      <c r="BT123" s="16" t="n">
        <v>492.447954</v>
      </c>
      <c r="BU123" s="16" t="n">
        <v>0.356495</v>
      </c>
      <c r="BV123" s="16" t="n">
        <v>431.970596</v>
      </c>
      <c r="BW123" s="16" t="n"/>
      <c r="BX123" s="16" t="n"/>
      <c r="BY123" s="16" t="n">
        <v>0.975207</v>
      </c>
      <c r="BZ123" s="16" t="n">
        <v>302.814118</v>
      </c>
      <c r="CA123" s="16" t="n">
        <v>0.356495</v>
      </c>
      <c r="CB123" s="16" t="n">
        <v>288.190021</v>
      </c>
      <c r="CC123" s="16" t="n"/>
      <c r="CD123" s="16" t="n"/>
      <c r="CE123" s="16" t="n">
        <v>0.975207</v>
      </c>
      <c r="CF123" s="16" t="n">
        <v>4910.206467</v>
      </c>
      <c r="CG123" s="16" t="n">
        <v>0.356495</v>
      </c>
      <c r="CH123" s="16" t="n">
        <v>2984.824551</v>
      </c>
      <c r="CI123" s="16" t="n"/>
      <c r="CJ123" s="16" t="n"/>
      <c r="CK123" s="16" t="n">
        <v>0.975207</v>
      </c>
      <c r="CL123" s="16" t="n">
        <v>1471.05069</v>
      </c>
      <c r="CM123" s="16" t="n">
        <v>0.356495</v>
      </c>
      <c r="CN123" s="16" t="n">
        <v>626.529715</v>
      </c>
      <c r="CO123" s="16" t="n"/>
      <c r="CP123" s="16" t="n"/>
      <c r="CQ123" s="16" t="n">
        <v>0.975207</v>
      </c>
      <c r="CR123" s="16" t="n">
        <v>0.824697</v>
      </c>
      <c r="CS123" s="16" t="n">
        <v>0.356495</v>
      </c>
      <c r="CT123" s="16" t="n">
        <v>0.6462909999999999</v>
      </c>
      <c r="CU123" s="16" t="n"/>
      <c r="CV123" s="16" t="n"/>
      <c r="CW123" s="16" t="n">
        <v>0.975207</v>
      </c>
      <c r="CX123" s="16" t="n">
        <v>0.91312</v>
      </c>
      <c r="CY123" s="16" t="n">
        <v>0.356495</v>
      </c>
      <c r="CZ123" s="16" t="n">
        <v>0.809554</v>
      </c>
      <c r="DA123" s="16" t="n"/>
      <c r="DB123" s="16" t="n"/>
      <c r="DC123" s="16" t="n">
        <v>0.975207</v>
      </c>
      <c r="DD123" s="16" t="n">
        <v>0.89102</v>
      </c>
      <c r="DE123" s="16" t="n">
        <v>0.356495</v>
      </c>
      <c r="DF123" s="16" t="n">
        <v>0.731592</v>
      </c>
      <c r="DG123" s="16" t="n"/>
      <c r="DH123" s="16" t="n"/>
      <c r="DI123" s="16" t="n">
        <v>0.975207</v>
      </c>
      <c r="DJ123" s="16" t="n">
        <v>0.935817</v>
      </c>
      <c r="DK123" s="16" t="n">
        <v>0.356495</v>
      </c>
      <c r="DL123" s="16" t="n">
        <v>0.730938</v>
      </c>
      <c r="DM123" s="16" t="n"/>
      <c r="DN123" s="16" t="n"/>
      <c r="DO123" s="16" t="n">
        <v>0.975207</v>
      </c>
      <c r="DP123" s="16" t="n">
        <v>0.939334</v>
      </c>
      <c r="DQ123" s="16" t="n">
        <v>0.356495</v>
      </c>
      <c r="DR123" s="16" t="n">
        <v>0.718952</v>
      </c>
      <c r="DS123" s="16" t="n"/>
      <c r="DT123" s="16" t="n"/>
      <c r="DU123" s="16" t="n">
        <v>0.975207</v>
      </c>
      <c r="DV123" s="16" t="n">
        <v>0.947414</v>
      </c>
      <c r="DW123" s="16" t="n">
        <v>0.356495</v>
      </c>
      <c r="DX123" s="16" t="n">
        <v>0.769831</v>
      </c>
      <c r="DY123" s="16" t="n"/>
      <c r="DZ123" s="16" t="n"/>
      <c r="EB123" s="16" t="n"/>
      <c r="EC123" s="16" t="n"/>
      <c r="ED123" s="16" t="n"/>
      <c r="EE123" s="16" t="n"/>
      <c r="EF123" s="16" t="n">
        <v>674.249142</v>
      </c>
      <c r="EG123" s="16" t="n">
        <v>2384.050063</v>
      </c>
      <c r="EH123" s="16" t="n">
        <v>328.004599</v>
      </c>
      <c r="EI123" s="16" t="n">
        <v>2654.784617</v>
      </c>
      <c r="EJ123" s="16" t="n"/>
      <c r="EK123" s="16" t="n"/>
      <c r="EL123" s="16" t="n"/>
      <c r="EM123" s="16" t="n"/>
      <c r="EN123" s="16" t="n"/>
      <c r="EO123" s="16" t="n"/>
      <c r="EP123" s="16" t="n"/>
      <c r="EQ123" s="16" t="n"/>
      <c r="ER123" s="16" t="n"/>
      <c r="ES123" s="16" t="n"/>
      <c r="ET123" s="16" t="n"/>
      <c r="EU123" s="16" t="n"/>
    </row>
    <row r="124">
      <c r="BS124" s="16" t="n">
        <v>0.983471</v>
      </c>
      <c r="BT124" s="16" t="n">
        <v>496.206957</v>
      </c>
      <c r="BU124" s="16" t="n">
        <v>0.359517</v>
      </c>
      <c r="BV124" s="16" t="n">
        <v>432.16413</v>
      </c>
      <c r="BW124" s="16" t="n"/>
      <c r="BX124" s="16" t="n"/>
      <c r="BY124" s="16" t="n">
        <v>0.983471</v>
      </c>
      <c r="BZ124" s="16" t="n">
        <v>303.030654</v>
      </c>
      <c r="CA124" s="16" t="n">
        <v>0.359517</v>
      </c>
      <c r="CB124" s="16" t="n">
        <v>288.274876</v>
      </c>
      <c r="CC124" s="16" t="n"/>
      <c r="CD124" s="16" t="n"/>
      <c r="CE124" s="16" t="n">
        <v>0.983471</v>
      </c>
      <c r="CF124" s="16" t="n">
        <v>4944.967325</v>
      </c>
      <c r="CG124" s="16" t="n">
        <v>0.359517</v>
      </c>
      <c r="CH124" s="16" t="n">
        <v>2991.432788</v>
      </c>
      <c r="CI124" s="16" t="n"/>
      <c r="CJ124" s="16" t="n"/>
      <c r="CK124" s="16" t="n">
        <v>0.983471</v>
      </c>
      <c r="CL124" s="16" t="n">
        <v>1479.809375</v>
      </c>
      <c r="CM124" s="16" t="n">
        <v>0.359517</v>
      </c>
      <c r="CN124" s="16" t="n">
        <v>631.904447</v>
      </c>
      <c r="CO124" s="16" t="n"/>
      <c r="CP124" s="16" t="n"/>
      <c r="CQ124" s="16" t="n">
        <v>0.983471</v>
      </c>
      <c r="CR124" s="16" t="n">
        <v>0.826245</v>
      </c>
      <c r="CS124" s="16" t="n">
        <v>0.359517</v>
      </c>
      <c r="CT124" s="16" t="n">
        <v>0.6464569999999999</v>
      </c>
      <c r="CU124" s="16" t="n"/>
      <c r="CV124" s="16" t="n"/>
      <c r="CW124" s="16" t="n">
        <v>0.983471</v>
      </c>
      <c r="CX124" s="16" t="n">
        <v>0.913728</v>
      </c>
      <c r="CY124" s="16" t="n">
        <v>0.359517</v>
      </c>
      <c r="CZ124" s="16" t="n">
        <v>0.809766</v>
      </c>
      <c r="DA124" s="16" t="n"/>
      <c r="DB124" s="16" t="n"/>
      <c r="DC124" s="16" t="n">
        <v>0.983471</v>
      </c>
      <c r="DD124" s="16" t="n">
        <v>0.891814</v>
      </c>
      <c r="DE124" s="16" t="n">
        <v>0.359517</v>
      </c>
      <c r="DF124" s="16" t="n">
        <v>0.731654</v>
      </c>
      <c r="DG124" s="16" t="n"/>
      <c r="DH124" s="16" t="n"/>
      <c r="DI124" s="16" t="n">
        <v>0.983471</v>
      </c>
      <c r="DJ124" s="16" t="n">
        <v>0.941605</v>
      </c>
      <c r="DK124" s="16" t="n">
        <v>0.359517</v>
      </c>
      <c r="DL124" s="16" t="n">
        <v>0.731633</v>
      </c>
      <c r="DM124" s="16" t="n"/>
      <c r="DN124" s="16" t="n"/>
      <c r="DO124" s="16" t="n">
        <v>0.983471</v>
      </c>
      <c r="DP124" s="16" t="n">
        <v>0.94153</v>
      </c>
      <c r="DQ124" s="16" t="n">
        <v>0.359517</v>
      </c>
      <c r="DR124" s="16" t="n">
        <v>0.719994</v>
      </c>
      <c r="DS124" s="16" t="n"/>
      <c r="DT124" s="16" t="n"/>
      <c r="DU124" s="16" t="n">
        <v>0.983471</v>
      </c>
      <c r="DV124" s="16" t="n">
        <v>0.948304</v>
      </c>
      <c r="DW124" s="16" t="n">
        <v>0.359517</v>
      </c>
      <c r="DX124" s="16" t="n">
        <v>0.770468</v>
      </c>
      <c r="DY124" s="16" t="n"/>
      <c r="DZ124" s="16" t="n"/>
      <c r="EB124" s="16" t="n"/>
      <c r="EC124" s="16" t="n"/>
      <c r="ED124" s="16" t="n"/>
      <c r="EE124" s="16" t="n"/>
      <c r="EF124" s="16" t="n">
        <v>857.330954</v>
      </c>
      <c r="EG124" s="16" t="n">
        <v>2258.175387</v>
      </c>
      <c r="EH124" s="16" t="n">
        <v>820.081935</v>
      </c>
      <c r="EI124" s="16" t="n">
        <v>2171.603663</v>
      </c>
      <c r="EJ124" s="16" t="n"/>
      <c r="EK124" s="16" t="n"/>
      <c r="EL124" s="16" t="n"/>
      <c r="EM124" s="16" t="n"/>
      <c r="EN124" s="16" t="n"/>
      <c r="EO124" s="16" t="n"/>
      <c r="EP124" s="16" t="n"/>
      <c r="EQ124" s="16" t="n"/>
      <c r="ER124" s="16" t="n"/>
      <c r="ES124" s="16" t="n"/>
      <c r="ET124" s="16" t="n"/>
      <c r="EU124" s="16" t="n"/>
    </row>
    <row r="125">
      <c r="BS125" s="16" t="n">
        <v>0.991736</v>
      </c>
      <c r="BT125" s="16" t="n">
        <v>496.528171</v>
      </c>
      <c r="BU125" s="16" t="n">
        <v>0.362538</v>
      </c>
      <c r="BV125" s="16" t="n">
        <v>432.498523</v>
      </c>
      <c r="BW125" s="16" t="n"/>
      <c r="BX125" s="16" t="n"/>
      <c r="BY125" s="16" t="n">
        <v>0.991736</v>
      </c>
      <c r="BZ125" s="16" t="n">
        <v>303.188419</v>
      </c>
      <c r="CA125" s="16" t="n">
        <v>0.362538</v>
      </c>
      <c r="CB125" s="16" t="n">
        <v>288.489911</v>
      </c>
      <c r="CC125" s="16" t="n"/>
      <c r="CD125" s="16" t="n"/>
      <c r="CE125" s="16" t="n">
        <v>0.991736</v>
      </c>
      <c r="CF125" s="16" t="n">
        <v>4950.97409</v>
      </c>
      <c r="CG125" s="16" t="n">
        <v>0.362538</v>
      </c>
      <c r="CH125" s="16" t="n">
        <v>3001.727051</v>
      </c>
      <c r="CI125" s="16" t="n"/>
      <c r="CJ125" s="16" t="n"/>
      <c r="CK125" s="16" t="n">
        <v>0.991736</v>
      </c>
      <c r="CL125" s="16" t="n">
        <v>1490.200493</v>
      </c>
      <c r="CM125" s="16" t="n">
        <v>0.362538</v>
      </c>
      <c r="CN125" s="16" t="n">
        <v>632.748885</v>
      </c>
      <c r="CO125" s="16" t="n"/>
      <c r="CP125" s="16" t="n"/>
      <c r="CQ125" s="16" t="n">
        <v>0.991736</v>
      </c>
      <c r="CR125" s="16" t="n">
        <v>0.827521</v>
      </c>
      <c r="CS125" s="16" t="n">
        <v>0.362538</v>
      </c>
      <c r="CT125" s="16" t="n">
        <v>0.647723</v>
      </c>
      <c r="CU125" s="16" t="n"/>
      <c r="CV125" s="16" t="n"/>
      <c r="CW125" s="16" t="n">
        <v>0.991736</v>
      </c>
      <c r="CX125" s="16" t="n">
        <v>0.918483</v>
      </c>
      <c r="CY125" s="16" t="n">
        <v>0.362538</v>
      </c>
      <c r="CZ125" s="16" t="n">
        <v>0.811009</v>
      </c>
      <c r="DA125" s="16" t="n"/>
      <c r="DB125" s="16" t="n"/>
      <c r="DC125" s="16" t="n">
        <v>0.991736</v>
      </c>
      <c r="DD125" s="16" t="n">
        <v>0.894537</v>
      </c>
      <c r="DE125" s="16" t="n">
        <v>0.362538</v>
      </c>
      <c r="DF125" s="16" t="n">
        <v>0.732384</v>
      </c>
      <c r="DG125" s="16" t="n"/>
      <c r="DH125" s="16" t="n"/>
      <c r="DI125" s="16" t="n">
        <v>0.991736</v>
      </c>
      <c r="DJ125" s="16" t="n">
        <v>0.945636</v>
      </c>
      <c r="DK125" s="16" t="n">
        <v>0.362538</v>
      </c>
      <c r="DL125" s="16" t="n">
        <v>0.731967</v>
      </c>
      <c r="DM125" s="16" t="n"/>
      <c r="DN125" s="16" t="n"/>
      <c r="DO125" s="16" t="n">
        <v>0.991736</v>
      </c>
      <c r="DP125" s="16" t="n">
        <v>0.941755</v>
      </c>
      <c r="DQ125" s="16" t="n">
        <v>0.362538</v>
      </c>
      <c r="DR125" s="16" t="n">
        <v>0.721573</v>
      </c>
      <c r="DS125" s="16" t="n"/>
      <c r="DT125" s="16" t="n"/>
      <c r="DU125" s="16" t="n">
        <v>0.991736</v>
      </c>
      <c r="DV125" s="16" t="n">
        <v>0.948591</v>
      </c>
      <c r="DW125" s="16" t="n">
        <v>0.362538</v>
      </c>
      <c r="DX125" s="16" t="n">
        <v>0.771245</v>
      </c>
      <c r="DY125" s="16" t="n"/>
      <c r="DZ125" s="16" t="n"/>
      <c r="EB125" s="16" t="n"/>
      <c r="EC125" s="16" t="n"/>
      <c r="ED125" s="16" t="n"/>
      <c r="EE125" s="16" t="n"/>
      <c r="EF125" s="16" t="n">
        <v>1063.335092</v>
      </c>
      <c r="EG125" s="16" t="n">
        <v>2964.476189</v>
      </c>
      <c r="EH125" s="16" t="n">
        <v>1459.893669</v>
      </c>
      <c r="EI125" s="16" t="n">
        <v>3039.969835</v>
      </c>
      <c r="EJ125" s="16" t="n"/>
      <c r="EK125" s="16" t="n"/>
      <c r="EL125" s="16" t="n"/>
      <c r="EM125" s="16" t="n"/>
      <c r="EN125" s="16" t="n"/>
      <c r="EO125" s="16" t="n"/>
      <c r="EP125" s="16" t="n"/>
      <c r="EQ125" s="16" t="n"/>
      <c r="ER125" s="16" t="n"/>
      <c r="ES125" s="16" t="n"/>
      <c r="ET125" s="16" t="n"/>
      <c r="EU125" s="16" t="n"/>
    </row>
    <row r="126">
      <c r="BS126" s="16" t="n">
        <v>1</v>
      </c>
      <c r="BT126" s="16" t="n">
        <v>497.048451</v>
      </c>
      <c r="BU126" s="16" t="n">
        <v>0.365559</v>
      </c>
      <c r="BV126" s="16" t="n">
        <v>432.954602</v>
      </c>
      <c r="BW126" s="16" t="n"/>
      <c r="BX126" s="16" t="n"/>
      <c r="BY126" s="16" t="n">
        <v>1</v>
      </c>
      <c r="BZ126" s="16" t="n">
        <v>303.44073</v>
      </c>
      <c r="CA126" s="16" t="n">
        <v>0.365559</v>
      </c>
      <c r="CB126" s="16" t="n">
        <v>288.490148</v>
      </c>
      <c r="CC126" s="16" t="n"/>
      <c r="CD126" s="16" t="n"/>
      <c r="CE126" s="16" t="n">
        <v>1</v>
      </c>
      <c r="CF126" s="16" t="n">
        <v>4960.89167</v>
      </c>
      <c r="CG126" s="16" t="n">
        <v>0.365559</v>
      </c>
      <c r="CH126" s="16" t="n">
        <v>3008.396874</v>
      </c>
      <c r="CI126" s="16" t="n"/>
      <c r="CJ126" s="16" t="n"/>
      <c r="CK126" s="16" t="n">
        <v>1</v>
      </c>
      <c r="CL126" s="16" t="n">
        <v>1493.200033</v>
      </c>
      <c r="CM126" s="16" t="n">
        <v>0.365559</v>
      </c>
      <c r="CN126" s="16" t="n">
        <v>637.5712129999999</v>
      </c>
      <c r="CO126" s="16" t="n"/>
      <c r="CP126" s="16" t="n"/>
      <c r="CQ126" s="16" t="n">
        <v>1</v>
      </c>
      <c r="CR126" s="16" t="n">
        <v>0.845391</v>
      </c>
      <c r="CS126" s="16" t="n">
        <v>0.365559</v>
      </c>
      <c r="CT126" s="16" t="n">
        <v>0.6478</v>
      </c>
      <c r="CU126" s="16" t="n"/>
      <c r="CV126" s="16" t="n"/>
      <c r="CW126" s="16" t="n">
        <v>1</v>
      </c>
      <c r="CX126" s="16" t="n">
        <v>0.9196879999999999</v>
      </c>
      <c r="CY126" s="16" t="n">
        <v>0.365559</v>
      </c>
      <c r="CZ126" s="16" t="n">
        <v>0.811311</v>
      </c>
      <c r="DA126" s="16" t="n"/>
      <c r="DB126" s="16" t="n"/>
      <c r="DC126" s="16" t="n">
        <v>1</v>
      </c>
      <c r="DD126" s="16" t="n">
        <v>0.895139</v>
      </c>
      <c r="DE126" s="16" t="n">
        <v>0.365559</v>
      </c>
      <c r="DF126" s="16" t="n">
        <v>0.73295</v>
      </c>
      <c r="DG126" s="16" t="n"/>
      <c r="DH126" s="16" t="n"/>
      <c r="DI126" s="16" t="n">
        <v>1</v>
      </c>
      <c r="DJ126" s="16" t="n">
        <v>0.947326</v>
      </c>
      <c r="DK126" s="16" t="n">
        <v>0.365559</v>
      </c>
      <c r="DL126" s="16" t="n">
        <v>0.733243</v>
      </c>
      <c r="DM126" s="16" t="n"/>
      <c r="DN126" s="16" t="n"/>
      <c r="DO126" s="16" t="n">
        <v>1</v>
      </c>
      <c r="DP126" s="16" t="n">
        <v>0.94409</v>
      </c>
      <c r="DQ126" s="16" t="n">
        <v>0.365559</v>
      </c>
      <c r="DR126" s="16" t="n">
        <v>0.723155</v>
      </c>
      <c r="DS126" s="16" t="n"/>
      <c r="DT126" s="16" t="n"/>
      <c r="DU126" s="16" t="n">
        <v>1</v>
      </c>
      <c r="DV126" s="16" t="n">
        <v>0.949213</v>
      </c>
      <c r="DW126" s="16" t="n">
        <v>0.365559</v>
      </c>
      <c r="DX126" s="16" t="n">
        <v>0.771857</v>
      </c>
      <c r="DY126" s="16" t="n"/>
      <c r="DZ126" s="16" t="n"/>
      <c r="EB126" s="16" t="n"/>
      <c r="EC126" s="16" t="n"/>
      <c r="ED126" s="16" t="n"/>
      <c r="EE126" s="16" t="n"/>
      <c r="EF126" s="16" t="n">
        <v>783.7880730000001</v>
      </c>
      <c r="EG126" s="16" t="n">
        <v>4085.708159</v>
      </c>
      <c r="EH126" s="16" t="n">
        <v>1386.501419</v>
      </c>
      <c r="EI126" s="16" t="n">
        <v>4863.554445</v>
      </c>
      <c r="EJ126" s="16" t="n"/>
      <c r="EK126" s="16" t="n"/>
      <c r="EL126" s="16" t="n"/>
      <c r="EM126" s="16" t="n"/>
      <c r="EN126" s="16" t="n"/>
      <c r="EO126" s="16" t="n"/>
      <c r="EP126" s="16" t="n"/>
      <c r="EQ126" s="16" t="n"/>
      <c r="ER126" s="16" t="n"/>
      <c r="ES126" s="16" t="n"/>
      <c r="ET126" s="16" t="n"/>
      <c r="EU126" s="16" t="n"/>
    </row>
    <row r="127">
      <c r="BS127" s="16" t="n"/>
      <c r="BT127" s="16" t="n"/>
      <c r="BU127" s="16" t="n">
        <v>0.36858</v>
      </c>
      <c r="BV127" s="16" t="n">
        <v>433.226605</v>
      </c>
      <c r="BW127" s="16" t="n"/>
      <c r="BX127" s="16" t="n"/>
      <c r="BY127" s="16" t="n"/>
      <c r="BZ127" s="16" t="n"/>
      <c r="CA127" s="16" t="n">
        <v>0.36858</v>
      </c>
      <c r="CB127" s="16" t="n">
        <v>288.62379</v>
      </c>
      <c r="CC127" s="16" t="n"/>
      <c r="CD127" s="16" t="n"/>
      <c r="CE127" s="16" t="n"/>
      <c r="CF127" s="16" t="n"/>
      <c r="CG127" s="16" t="n">
        <v>0.36858</v>
      </c>
      <c r="CH127" s="16" t="n">
        <v>3018.433359</v>
      </c>
      <c r="CI127" s="16" t="n"/>
      <c r="CJ127" s="16" t="n"/>
      <c r="CK127" s="16" t="n"/>
      <c r="CL127" s="16" t="n"/>
      <c r="CM127" s="16" t="n">
        <v>0.36858</v>
      </c>
      <c r="CN127" s="16" t="n">
        <v>642.783566</v>
      </c>
      <c r="CO127" s="16" t="n"/>
      <c r="CP127" s="16" t="n"/>
      <c r="CQ127" s="16" t="n"/>
      <c r="CR127" s="16" t="n"/>
      <c r="CS127" s="16" t="n">
        <v>0.36858</v>
      </c>
      <c r="CT127" s="16" t="n">
        <v>0.6488120000000001</v>
      </c>
      <c r="CU127" s="16" t="n"/>
      <c r="CV127" s="16" t="n"/>
      <c r="CW127" s="16" t="n"/>
      <c r="CX127" s="16" t="n"/>
      <c r="CY127" s="16" t="n">
        <v>0.36858</v>
      </c>
      <c r="CZ127" s="16" t="n">
        <v>0.81164</v>
      </c>
      <c r="DA127" s="16" t="n"/>
      <c r="DB127" s="16" t="n"/>
      <c r="DC127" s="16" t="n"/>
      <c r="DD127" s="16" t="n"/>
      <c r="DE127" s="16" t="n">
        <v>0.36858</v>
      </c>
      <c r="DF127" s="16" t="n">
        <v>0.7332959999999999</v>
      </c>
      <c r="DG127" s="16" t="n"/>
      <c r="DH127" s="16" t="n"/>
      <c r="DI127" s="16" t="n"/>
      <c r="DJ127" s="16" t="n"/>
      <c r="DK127" s="16" t="n">
        <v>0.36858</v>
      </c>
      <c r="DL127" s="16" t="n">
        <v>0.733716</v>
      </c>
      <c r="DM127" s="16" t="n"/>
      <c r="DN127" s="16" t="n"/>
      <c r="DO127" s="16" t="n"/>
      <c r="DP127" s="16" t="n"/>
      <c r="DQ127" s="16" t="n">
        <v>0.36858</v>
      </c>
      <c r="DR127" s="16" t="n">
        <v>0.72353</v>
      </c>
      <c r="DS127" s="16" t="n"/>
      <c r="DT127" s="16" t="n"/>
      <c r="DU127" s="16" t="n"/>
      <c r="DV127" s="16" t="n"/>
      <c r="DW127" s="16" t="n">
        <v>0.36858</v>
      </c>
      <c r="DX127" s="16" t="n">
        <v>0.771908</v>
      </c>
      <c r="DY127" s="16" t="n"/>
      <c r="DZ127" s="16" t="n"/>
      <c r="EB127" s="16" t="n"/>
      <c r="EC127" s="16" t="n"/>
      <c r="ED127" s="16" t="n"/>
      <c r="EE127" s="16" t="n"/>
      <c r="EF127" s="16" t="n">
        <v>375.777476</v>
      </c>
      <c r="EG127" s="16" t="n">
        <v>3399.199211</v>
      </c>
      <c r="EH127" s="16" t="n">
        <v>867.102174</v>
      </c>
      <c r="EI127" s="16" t="n">
        <v>4366.264595</v>
      </c>
      <c r="EJ127" s="16" t="n"/>
      <c r="EK127" s="16" t="n"/>
      <c r="EL127" s="16" t="n"/>
      <c r="EM127" s="16" t="n"/>
      <c r="EN127" s="16" t="n"/>
      <c r="EO127" s="16" t="n"/>
      <c r="EP127" s="16" t="n"/>
      <c r="EQ127" s="16" t="n"/>
      <c r="ER127" s="16" t="n"/>
      <c r="ES127" s="16" t="n"/>
      <c r="ET127" s="16" t="n"/>
      <c r="EU127" s="16" t="n"/>
    </row>
    <row r="128">
      <c r="BS128" s="16" t="n"/>
      <c r="BT128" s="16" t="n"/>
      <c r="BU128" s="16" t="n">
        <v>0.371601</v>
      </c>
      <c r="BV128" s="16" t="n">
        <v>433.624306</v>
      </c>
      <c r="BW128" s="16" t="n"/>
      <c r="BX128" s="16" t="n"/>
      <c r="BY128" s="16" t="n"/>
      <c r="BZ128" s="16" t="n"/>
      <c r="CA128" s="16" t="n">
        <v>0.371601</v>
      </c>
      <c r="CB128" s="16" t="n">
        <v>288.671146</v>
      </c>
      <c r="CC128" s="16" t="n"/>
      <c r="CD128" s="16" t="n"/>
      <c r="CE128" s="16" t="n"/>
      <c r="CF128" s="16" t="n"/>
      <c r="CG128" s="16" t="n">
        <v>0.371601</v>
      </c>
      <c r="CH128" s="16" t="n">
        <v>3022.82166</v>
      </c>
      <c r="CI128" s="16" t="n"/>
      <c r="CJ128" s="16" t="n"/>
      <c r="CK128" s="16" t="n"/>
      <c r="CL128" s="16" t="n"/>
      <c r="CM128" s="16" t="n">
        <v>0.371601</v>
      </c>
      <c r="CN128" s="16" t="n">
        <v>645.221578</v>
      </c>
      <c r="CO128" s="16" t="n"/>
      <c r="CP128" s="16" t="n"/>
      <c r="CQ128" s="16" t="n"/>
      <c r="CR128" s="16" t="n"/>
      <c r="CS128" s="16" t="n">
        <v>0.371601</v>
      </c>
      <c r="CT128" s="16" t="n">
        <v>0.6488930000000001</v>
      </c>
      <c r="CU128" s="16" t="n"/>
      <c r="CV128" s="16" t="n"/>
      <c r="CW128" s="16" t="n"/>
      <c r="CX128" s="16" t="n"/>
      <c r="CY128" s="16" t="n">
        <v>0.371601</v>
      </c>
      <c r="CZ128" s="16" t="n">
        <v>0.812852</v>
      </c>
      <c r="DA128" s="16" t="n"/>
      <c r="DB128" s="16" t="n"/>
      <c r="DC128" s="16" t="n"/>
      <c r="DD128" s="16" t="n"/>
      <c r="DE128" s="16" t="n">
        <v>0.371601</v>
      </c>
      <c r="DF128" s="16" t="n">
        <v>0.733679</v>
      </c>
      <c r="DG128" s="16" t="n"/>
      <c r="DH128" s="16" t="n"/>
      <c r="DI128" s="16" t="n"/>
      <c r="DJ128" s="16" t="n"/>
      <c r="DK128" s="16" t="n">
        <v>0.371601</v>
      </c>
      <c r="DL128" s="16" t="n">
        <v>0.735273</v>
      </c>
      <c r="DM128" s="16" t="n"/>
      <c r="DN128" s="16" t="n"/>
      <c r="DO128" s="16" t="n"/>
      <c r="DP128" s="16" t="n"/>
      <c r="DQ128" s="16" t="n">
        <v>0.371601</v>
      </c>
      <c r="DR128" s="16" t="n">
        <v>0.724461</v>
      </c>
      <c r="DS128" s="16" t="n"/>
      <c r="DT128" s="16" t="n"/>
      <c r="DU128" s="16" t="n"/>
      <c r="DV128" s="16" t="n"/>
      <c r="DW128" s="16" t="n">
        <v>0.371601</v>
      </c>
      <c r="DX128" s="16" t="n">
        <v>0.772659</v>
      </c>
      <c r="DY128" s="16" t="n"/>
      <c r="DZ128" s="16" t="n"/>
      <c r="EB128" s="16" t="n"/>
      <c r="EC128" s="16" t="n"/>
      <c r="ED128" s="16" t="n"/>
      <c r="EE128" s="16" t="n"/>
      <c r="EF128" s="16" t="n">
        <v>488.115725</v>
      </c>
      <c r="EG128" s="16" t="n">
        <v>4519.552971</v>
      </c>
      <c r="EH128" s="16" t="n">
        <v>984.64873</v>
      </c>
      <c r="EI128" s="16" t="n">
        <v>2105.915185</v>
      </c>
      <c r="EJ128" s="16" t="n"/>
      <c r="EK128" s="16" t="n"/>
      <c r="EL128" s="16" t="n"/>
      <c r="EM128" s="16" t="n"/>
      <c r="EN128" s="16" t="n"/>
      <c r="EO128" s="16" t="n"/>
      <c r="EP128" s="16" t="n"/>
      <c r="EQ128" s="16" t="n"/>
      <c r="ER128" s="16" t="n"/>
      <c r="ES128" s="16" t="n"/>
      <c r="ET128" s="16" t="n"/>
      <c r="EU128" s="16" t="n"/>
    </row>
    <row r="129">
      <c r="BS129" s="16" t="n"/>
      <c r="BT129" s="16" t="n"/>
      <c r="BU129" s="16" t="n">
        <v>0.374622</v>
      </c>
      <c r="BV129" s="16" t="n">
        <v>434.445349</v>
      </c>
      <c r="BW129" s="16" t="n"/>
      <c r="BX129" s="16" t="n"/>
      <c r="BY129" s="16" t="n"/>
      <c r="BZ129" s="16" t="n"/>
      <c r="CA129" s="16" t="n">
        <v>0.374622</v>
      </c>
      <c r="CB129" s="16" t="n">
        <v>288.691167</v>
      </c>
      <c r="CC129" s="16" t="n"/>
      <c r="CD129" s="16" t="n"/>
      <c r="CE129" s="16" t="n"/>
      <c r="CF129" s="16" t="n"/>
      <c r="CG129" s="16" t="n">
        <v>0.374622</v>
      </c>
      <c r="CH129" s="16" t="n">
        <v>3024.072192</v>
      </c>
      <c r="CI129" s="16" t="n"/>
      <c r="CJ129" s="16" t="n"/>
      <c r="CK129" s="16" t="n"/>
      <c r="CL129" s="16" t="n"/>
      <c r="CM129" s="16" t="n">
        <v>0.374622</v>
      </c>
      <c r="CN129" s="16" t="n">
        <v>646.80096</v>
      </c>
      <c r="CO129" s="16" t="n"/>
      <c r="CP129" s="16" t="n"/>
      <c r="CQ129" s="16" t="n"/>
      <c r="CR129" s="16" t="n"/>
      <c r="CS129" s="16" t="n">
        <v>0.374622</v>
      </c>
      <c r="CT129" s="16" t="n">
        <v>0.651048</v>
      </c>
      <c r="CU129" s="16" t="n"/>
      <c r="CV129" s="16" t="n"/>
      <c r="CW129" s="16" t="n"/>
      <c r="CX129" s="16" t="n"/>
      <c r="CY129" s="16" t="n">
        <v>0.374622</v>
      </c>
      <c r="CZ129" s="16" t="n">
        <v>0.812936</v>
      </c>
      <c r="DA129" s="16" t="n"/>
      <c r="DB129" s="16" t="n"/>
      <c r="DC129" s="16" t="n"/>
      <c r="DD129" s="16" t="n"/>
      <c r="DE129" s="16" t="n">
        <v>0.374622</v>
      </c>
      <c r="DF129" s="16" t="n">
        <v>0.734517</v>
      </c>
      <c r="DG129" s="16" t="n"/>
      <c r="DH129" s="16" t="n"/>
      <c r="DI129" s="16" t="n"/>
      <c r="DJ129" s="16" t="n"/>
      <c r="DK129" s="16" t="n">
        <v>0.374622</v>
      </c>
      <c r="DL129" s="16" t="n">
        <v>0.736661</v>
      </c>
      <c r="DM129" s="16" t="n"/>
      <c r="DN129" s="16" t="n"/>
      <c r="DO129" s="16" t="n"/>
      <c r="DP129" s="16" t="n"/>
      <c r="DQ129" s="16" t="n">
        <v>0.374622</v>
      </c>
      <c r="DR129" s="16" t="n">
        <v>0.726701</v>
      </c>
      <c r="DS129" s="16" t="n"/>
      <c r="DT129" s="16" t="n"/>
      <c r="DU129" s="16" t="n"/>
      <c r="DV129" s="16" t="n"/>
      <c r="DW129" s="16" t="n">
        <v>0.374622</v>
      </c>
      <c r="DX129" s="16" t="n">
        <v>0.773307</v>
      </c>
      <c r="DY129" s="16" t="n"/>
      <c r="DZ129" s="16" t="n"/>
      <c r="EB129" s="16" t="n"/>
      <c r="EC129" s="16" t="n"/>
      <c r="ED129" s="16" t="n"/>
      <c r="EE129" s="16" t="n"/>
      <c r="EF129" s="16" t="n">
        <v>887.9396819999999</v>
      </c>
      <c r="EG129" s="16" t="n">
        <v>4977.044107</v>
      </c>
      <c r="EH129" s="16" t="n">
        <v>532.9843069999999</v>
      </c>
      <c r="EI129" s="16" t="n">
        <v>3058.12723</v>
      </c>
      <c r="EJ129" s="16" t="n"/>
      <c r="EK129" s="16" t="n"/>
      <c r="EL129" s="16" t="n"/>
      <c r="EM129" s="16" t="n"/>
      <c r="EN129" s="16" t="n"/>
      <c r="EO129" s="16" t="n"/>
      <c r="EP129" s="16" t="n"/>
      <c r="EQ129" s="16" t="n"/>
      <c r="ER129" s="16" t="n"/>
      <c r="ES129" s="16" t="n"/>
      <c r="ET129" s="16" t="n"/>
      <c r="EU129" s="16" t="n"/>
    </row>
    <row r="130">
      <c r="BS130" s="16" t="n"/>
      <c r="BT130" s="16" t="n"/>
      <c r="BU130" s="16" t="n">
        <v>0.377644</v>
      </c>
      <c r="BV130" s="16" t="n">
        <v>434.655292</v>
      </c>
      <c r="BW130" s="16" t="n"/>
      <c r="BX130" s="16" t="n"/>
      <c r="BY130" s="16" t="n"/>
      <c r="BZ130" s="16" t="n"/>
      <c r="CA130" s="16" t="n">
        <v>0.377644</v>
      </c>
      <c r="CB130" s="16" t="n">
        <v>288.837271</v>
      </c>
      <c r="CC130" s="16" t="n"/>
      <c r="CD130" s="16" t="n"/>
      <c r="CE130" s="16" t="n"/>
      <c r="CF130" s="16" t="n"/>
      <c r="CG130" s="16" t="n">
        <v>0.377644</v>
      </c>
      <c r="CH130" s="16" t="n">
        <v>3030.708687</v>
      </c>
      <c r="CI130" s="16" t="n"/>
      <c r="CJ130" s="16" t="n"/>
      <c r="CK130" s="16" t="n"/>
      <c r="CL130" s="16" t="n"/>
      <c r="CM130" s="16" t="n">
        <v>0.377644</v>
      </c>
      <c r="CN130" s="16" t="n">
        <v>648.457123</v>
      </c>
      <c r="CO130" s="16" t="n"/>
      <c r="CP130" s="16" t="n"/>
      <c r="CQ130" s="16" t="n"/>
      <c r="CR130" s="16" t="n"/>
      <c r="CS130" s="16" t="n">
        <v>0.377644</v>
      </c>
      <c r="CT130" s="16" t="n">
        <v>0.651182</v>
      </c>
      <c r="CU130" s="16" t="n"/>
      <c r="CV130" s="16" t="n"/>
      <c r="CW130" s="16" t="n"/>
      <c r="CX130" s="16" t="n"/>
      <c r="CY130" s="16" t="n">
        <v>0.377644</v>
      </c>
      <c r="CZ130" s="16" t="n">
        <v>0.81367</v>
      </c>
      <c r="DA130" s="16" t="n"/>
      <c r="DB130" s="16" t="n"/>
      <c r="DC130" s="16" t="n"/>
      <c r="DD130" s="16" t="n"/>
      <c r="DE130" s="16" t="n">
        <v>0.377644</v>
      </c>
      <c r="DF130" s="16" t="n">
        <v>0.7359</v>
      </c>
      <c r="DG130" s="16" t="n"/>
      <c r="DH130" s="16" t="n"/>
      <c r="DI130" s="16" t="n"/>
      <c r="DJ130" s="16" t="n"/>
      <c r="DK130" s="16" t="n">
        <v>0.377644</v>
      </c>
      <c r="DL130" s="16" t="n">
        <v>0.736928</v>
      </c>
      <c r="DM130" s="16" t="n"/>
      <c r="DN130" s="16" t="n"/>
      <c r="DO130" s="16" t="n"/>
      <c r="DP130" s="16" t="n"/>
      <c r="DQ130" s="16" t="n">
        <v>0.377644</v>
      </c>
      <c r="DR130" s="16" t="n">
        <v>0.72829</v>
      </c>
      <c r="DS130" s="16" t="n"/>
      <c r="DT130" s="16" t="n"/>
      <c r="DU130" s="16" t="n"/>
      <c r="DV130" s="16" t="n"/>
      <c r="DW130" s="16" t="n">
        <v>0.377644</v>
      </c>
      <c r="DX130" s="16" t="n">
        <v>0.774082</v>
      </c>
      <c r="DY130" s="16" t="n"/>
      <c r="DZ130" s="16" t="n"/>
      <c r="EB130" s="16" t="n"/>
      <c r="EC130" s="16" t="n"/>
      <c r="ED130" s="16" t="n"/>
      <c r="EE130" s="16" t="n"/>
      <c r="EF130" s="16" t="n">
        <v>569.764041</v>
      </c>
      <c r="EG130" s="16" t="n">
        <v>3079.970124</v>
      </c>
      <c r="EH130" s="16" t="n">
        <v>1335.549156</v>
      </c>
      <c r="EI130" s="16" t="n">
        <v>4717.36477</v>
      </c>
      <c r="EJ130" s="16" t="n"/>
      <c r="EK130" s="16" t="n"/>
      <c r="EL130" s="16" t="n"/>
      <c r="EM130" s="16" t="n"/>
      <c r="EN130" s="16" t="n"/>
      <c r="EO130" s="16" t="n"/>
      <c r="EP130" s="16" t="n"/>
      <c r="EQ130" s="16" t="n"/>
      <c r="ER130" s="16" t="n"/>
      <c r="ES130" s="16" t="n"/>
      <c r="ET130" s="16" t="n"/>
      <c r="EU130" s="16" t="n"/>
    </row>
    <row r="131">
      <c r="BS131" s="16" t="n"/>
      <c r="BT131" s="16" t="n"/>
      <c r="BU131" s="16" t="n">
        <v>0.380665</v>
      </c>
      <c r="BV131" s="16" t="n">
        <v>435.039247</v>
      </c>
      <c r="BW131" s="16" t="n"/>
      <c r="BX131" s="16" t="n"/>
      <c r="BY131" s="16" t="n"/>
      <c r="BZ131" s="16" t="n"/>
      <c r="CA131" s="16" t="n">
        <v>0.380665</v>
      </c>
      <c r="CB131" s="16" t="n">
        <v>288.878401</v>
      </c>
      <c r="CC131" s="16" t="n"/>
      <c r="CD131" s="16" t="n"/>
      <c r="CE131" s="16" t="n"/>
      <c r="CF131" s="16" t="n"/>
      <c r="CG131" s="16" t="n">
        <v>0.380665</v>
      </c>
      <c r="CH131" s="16" t="n">
        <v>3039.969835</v>
      </c>
      <c r="CI131" s="16" t="n"/>
      <c r="CJ131" s="16" t="n"/>
      <c r="CK131" s="16" t="n"/>
      <c r="CL131" s="16" t="n"/>
      <c r="CM131" s="16" t="n">
        <v>0.380665</v>
      </c>
      <c r="CN131" s="16" t="n">
        <v>649.185461</v>
      </c>
      <c r="CO131" s="16" t="n"/>
      <c r="CP131" s="16" t="n"/>
      <c r="CQ131" s="16" t="n"/>
      <c r="CR131" s="16" t="n"/>
      <c r="CS131" s="16" t="n">
        <v>0.380665</v>
      </c>
      <c r="CT131" s="16" t="n">
        <v>0.652176</v>
      </c>
      <c r="CU131" s="16" t="n"/>
      <c r="CV131" s="16" t="n"/>
      <c r="CW131" s="16" t="n"/>
      <c r="CX131" s="16" t="n"/>
      <c r="CY131" s="16" t="n">
        <v>0.380665</v>
      </c>
      <c r="CZ131" s="16" t="n">
        <v>0.814209</v>
      </c>
      <c r="DA131" s="16" t="n"/>
      <c r="DB131" s="16" t="n"/>
      <c r="DC131" s="16" t="n"/>
      <c r="DD131" s="16" t="n"/>
      <c r="DE131" s="16" t="n">
        <v>0.380665</v>
      </c>
      <c r="DF131" s="16" t="n">
        <v>0.736531</v>
      </c>
      <c r="DG131" s="16" t="n"/>
      <c r="DH131" s="16" t="n"/>
      <c r="DI131" s="16" t="n"/>
      <c r="DJ131" s="16" t="n"/>
      <c r="DK131" s="16" t="n">
        <v>0.380665</v>
      </c>
      <c r="DL131" s="16" t="n">
        <v>0.738378</v>
      </c>
      <c r="DM131" s="16" t="n"/>
      <c r="DN131" s="16" t="n"/>
      <c r="DO131" s="16" t="n"/>
      <c r="DP131" s="16" t="n"/>
      <c r="DQ131" s="16" t="n">
        <v>0.380665</v>
      </c>
      <c r="DR131" s="16" t="n">
        <v>0.7283539999999999</v>
      </c>
      <c r="DS131" s="16" t="n"/>
      <c r="DT131" s="16" t="n"/>
      <c r="DU131" s="16" t="n"/>
      <c r="DV131" s="16" t="n"/>
      <c r="DW131" s="16" t="n">
        <v>0.380665</v>
      </c>
      <c r="DX131" s="16" t="n">
        <v>0.774427</v>
      </c>
      <c r="DY131" s="16" t="n"/>
      <c r="DZ131" s="16" t="n"/>
      <c r="EB131" s="16" t="n"/>
      <c r="EC131" s="16" t="n"/>
      <c r="ED131" s="16" t="n"/>
      <c r="EE131" s="16" t="n"/>
      <c r="EF131" s="16" t="n">
        <v>1013.865095</v>
      </c>
      <c r="EG131" s="16" t="n">
        <v>2587.280491</v>
      </c>
      <c r="EH131" s="16" t="n">
        <v>911.751944</v>
      </c>
      <c r="EI131" s="16" t="n">
        <v>3873.543893</v>
      </c>
      <c r="EJ131" s="16" t="n"/>
      <c r="EK131" s="16" t="n"/>
      <c r="EL131" s="16" t="n"/>
      <c r="EM131" s="16" t="n"/>
      <c r="EN131" s="16" t="n"/>
      <c r="EO131" s="16" t="n"/>
      <c r="EP131" s="16" t="n"/>
      <c r="EQ131" s="16" t="n"/>
      <c r="ER131" s="16" t="n"/>
      <c r="ES131" s="16" t="n"/>
      <c r="ET131" s="16" t="n"/>
      <c r="EU131" s="16" t="n"/>
    </row>
    <row r="132">
      <c r="BS132" s="16" t="n"/>
      <c r="BT132" s="16" t="n"/>
      <c r="BU132" s="16" t="n">
        <v>0.383686</v>
      </c>
      <c r="BV132" s="16" t="n">
        <v>435.051013</v>
      </c>
      <c r="BW132" s="16" t="n"/>
      <c r="BX132" s="16" t="n"/>
      <c r="BY132" s="16" t="n"/>
      <c r="BZ132" s="16" t="n"/>
      <c r="CA132" s="16" t="n">
        <v>0.383686</v>
      </c>
      <c r="CB132" s="16" t="n">
        <v>288.956402</v>
      </c>
      <c r="CC132" s="16" t="n"/>
      <c r="CD132" s="16" t="n"/>
      <c r="CE132" s="16" t="n"/>
      <c r="CF132" s="16" t="n"/>
      <c r="CG132" s="16" t="n">
        <v>0.383686</v>
      </c>
      <c r="CH132" s="16" t="n">
        <v>3041.878041</v>
      </c>
      <c r="CI132" s="16" t="n"/>
      <c r="CJ132" s="16" t="n"/>
      <c r="CK132" s="16" t="n"/>
      <c r="CL132" s="16" t="n"/>
      <c r="CM132" s="16" t="n">
        <v>0.383686</v>
      </c>
      <c r="CN132" s="16" t="n">
        <v>658.545131</v>
      </c>
      <c r="CO132" s="16" t="n"/>
      <c r="CP132" s="16" t="n"/>
      <c r="CQ132" s="16" t="n"/>
      <c r="CR132" s="16" t="n"/>
      <c r="CS132" s="16" t="n">
        <v>0.383686</v>
      </c>
      <c r="CT132" s="16" t="n">
        <v>0.652621</v>
      </c>
      <c r="CU132" s="16" t="n"/>
      <c r="CV132" s="16" t="n"/>
      <c r="CW132" s="16" t="n"/>
      <c r="CX132" s="16" t="n"/>
      <c r="CY132" s="16" t="n">
        <v>0.383686</v>
      </c>
      <c r="CZ132" s="16" t="n">
        <v>0.814344</v>
      </c>
      <c r="DA132" s="16" t="n"/>
      <c r="DB132" s="16" t="n"/>
      <c r="DC132" s="16" t="n"/>
      <c r="DD132" s="16" t="n"/>
      <c r="DE132" s="16" t="n">
        <v>0.383686</v>
      </c>
      <c r="DF132" s="16" t="n">
        <v>0.737282</v>
      </c>
      <c r="DG132" s="16" t="n"/>
      <c r="DH132" s="16" t="n"/>
      <c r="DI132" s="16" t="n"/>
      <c r="DJ132" s="16" t="n"/>
      <c r="DK132" s="16" t="n">
        <v>0.383686</v>
      </c>
      <c r="DL132" s="16" t="n">
        <v>0.741179</v>
      </c>
      <c r="DM132" s="16" t="n"/>
      <c r="DN132" s="16" t="n"/>
      <c r="DO132" s="16" t="n"/>
      <c r="DP132" s="16" t="n"/>
      <c r="DQ132" s="16" t="n">
        <v>0.383686</v>
      </c>
      <c r="DR132" s="16" t="n">
        <v>0.733522</v>
      </c>
      <c r="DS132" s="16" t="n"/>
      <c r="DT132" s="16" t="n"/>
      <c r="DU132" s="16" t="n"/>
      <c r="DV132" s="16" t="n"/>
      <c r="DW132" s="16" t="n">
        <v>0.383686</v>
      </c>
      <c r="DX132" s="16" t="n">
        <v>0.774596</v>
      </c>
      <c r="DY132" s="16" t="n"/>
      <c r="DZ132" s="16" t="n"/>
      <c r="EB132" s="16" t="n"/>
      <c r="EC132" s="16" t="n"/>
      <c r="ED132" s="16" t="n"/>
      <c r="EE132" s="16" t="n"/>
      <c r="EF132" s="16" t="n">
        <v>436.213296</v>
      </c>
      <c r="EG132" s="16" t="n">
        <v>4421.474582</v>
      </c>
      <c r="EH132" s="16" t="n">
        <v>420.191071</v>
      </c>
      <c r="EI132" s="16" t="n">
        <v>3971.888677</v>
      </c>
      <c r="EJ132" s="16" t="n"/>
      <c r="EK132" s="16" t="n"/>
      <c r="EL132" s="16" t="n"/>
      <c r="EM132" s="16" t="n"/>
      <c r="EN132" s="16" t="n"/>
      <c r="EO132" s="16" t="n"/>
      <c r="EP132" s="16" t="n"/>
      <c r="EQ132" s="16" t="n"/>
      <c r="ER132" s="16" t="n"/>
      <c r="ES132" s="16" t="n"/>
      <c r="ET132" s="16" t="n"/>
      <c r="EU132" s="16" t="n"/>
    </row>
    <row r="133">
      <c r="BS133" s="16" t="n"/>
      <c r="BT133" s="16" t="n"/>
      <c r="BU133" s="16" t="n">
        <v>0.386707</v>
      </c>
      <c r="BV133" s="16" t="n">
        <v>435.311513</v>
      </c>
      <c r="BW133" s="16" t="n"/>
      <c r="BX133" s="16" t="n"/>
      <c r="BY133" s="16" t="n"/>
      <c r="BZ133" s="16" t="n"/>
      <c r="CA133" s="16" t="n">
        <v>0.386707</v>
      </c>
      <c r="CB133" s="16" t="n">
        <v>289.007687</v>
      </c>
      <c r="CC133" s="16" t="n"/>
      <c r="CD133" s="16" t="n"/>
      <c r="CE133" s="16" t="n"/>
      <c r="CF133" s="16" t="n"/>
      <c r="CG133" s="16" t="n">
        <v>0.386707</v>
      </c>
      <c r="CH133" s="16" t="n">
        <v>3053.239598</v>
      </c>
      <c r="CI133" s="16" t="n"/>
      <c r="CJ133" s="16" t="n"/>
      <c r="CK133" s="16" t="n"/>
      <c r="CL133" s="16" t="n"/>
      <c r="CM133" s="16" t="n">
        <v>0.386707</v>
      </c>
      <c r="CN133" s="16" t="n">
        <v>659.394229</v>
      </c>
      <c r="CO133" s="16" t="n"/>
      <c r="CP133" s="16" t="n"/>
      <c r="CQ133" s="16" t="n"/>
      <c r="CR133" s="16" t="n"/>
      <c r="CS133" s="16" t="n">
        <v>0.386707</v>
      </c>
      <c r="CT133" s="16" t="n">
        <v>0.652875</v>
      </c>
      <c r="CU133" s="16" t="n"/>
      <c r="CV133" s="16" t="n"/>
      <c r="CW133" s="16" t="n"/>
      <c r="CX133" s="16" t="n"/>
      <c r="CY133" s="16" t="n">
        <v>0.386707</v>
      </c>
      <c r="CZ133" s="16" t="n">
        <v>0.814757</v>
      </c>
      <c r="DA133" s="16" t="n"/>
      <c r="DB133" s="16" t="n"/>
      <c r="DC133" s="16" t="n"/>
      <c r="DD133" s="16" t="n"/>
      <c r="DE133" s="16" t="n">
        <v>0.386707</v>
      </c>
      <c r="DF133" s="16" t="n">
        <v>0.737368</v>
      </c>
      <c r="DG133" s="16" t="n"/>
      <c r="DH133" s="16" t="n"/>
      <c r="DI133" s="16" t="n"/>
      <c r="DJ133" s="16" t="n"/>
      <c r="DK133" s="16" t="n">
        <v>0.386707</v>
      </c>
      <c r="DL133" s="16" t="n">
        <v>0.741557</v>
      </c>
      <c r="DM133" s="16" t="n"/>
      <c r="DN133" s="16" t="n"/>
      <c r="DO133" s="16" t="n"/>
      <c r="DP133" s="16" t="n"/>
      <c r="DQ133" s="16" t="n">
        <v>0.386707</v>
      </c>
      <c r="DR133" s="16" t="n">
        <v>0.7345970000000001</v>
      </c>
      <c r="DS133" s="16" t="n"/>
      <c r="DT133" s="16" t="n"/>
      <c r="DU133" s="16" t="n"/>
      <c r="DV133" s="16" t="n"/>
      <c r="DW133" s="16" t="n">
        <v>0.386707</v>
      </c>
      <c r="DX133" s="16" t="n">
        <v>0.775621</v>
      </c>
      <c r="DY133" s="16" t="n"/>
      <c r="DZ133" s="16" t="n"/>
      <c r="EB133" s="16" t="n"/>
      <c r="EC133" s="16" t="n"/>
      <c r="ED133" s="16" t="n"/>
      <c r="EE133" s="16" t="n"/>
      <c r="EF133" s="16" t="n">
        <v>1213.870757</v>
      </c>
      <c r="EG133" s="16" t="n">
        <v>3241.530694</v>
      </c>
      <c r="EH133" s="16" t="n">
        <v>1138.943976</v>
      </c>
      <c r="EI133" s="16" t="n">
        <v>3614.338681</v>
      </c>
      <c r="EJ133" s="16" t="n"/>
      <c r="EK133" s="16" t="n"/>
      <c r="EL133" s="16" t="n"/>
      <c r="EM133" s="16" t="n"/>
      <c r="EN133" s="16" t="n"/>
      <c r="EO133" s="16" t="n"/>
      <c r="EP133" s="16" t="n"/>
      <c r="EQ133" s="16" t="n"/>
      <c r="ER133" s="16" t="n"/>
      <c r="ES133" s="16" t="n"/>
      <c r="ET133" s="16" t="n"/>
      <c r="EU133" s="16" t="n"/>
    </row>
    <row r="134">
      <c r="BS134" s="16" t="n"/>
      <c r="BT134" s="16" t="n"/>
      <c r="BU134" s="16" t="n">
        <v>0.389728</v>
      </c>
      <c r="BV134" s="16" t="n">
        <v>435.519432</v>
      </c>
      <c r="BW134" s="16" t="n"/>
      <c r="BX134" s="16" t="n"/>
      <c r="BY134" s="16" t="n"/>
      <c r="BZ134" s="16" t="n"/>
      <c r="CA134" s="16" t="n">
        <v>0.389728</v>
      </c>
      <c r="CB134" s="16" t="n">
        <v>289.035602</v>
      </c>
      <c r="CC134" s="16" t="n"/>
      <c r="CD134" s="16" t="n"/>
      <c r="CE134" s="16" t="n"/>
      <c r="CF134" s="16" t="n"/>
      <c r="CG134" s="16" t="n">
        <v>0.389728</v>
      </c>
      <c r="CH134" s="16" t="n">
        <v>3058.12723</v>
      </c>
      <c r="CI134" s="16" t="n"/>
      <c r="CJ134" s="16" t="n"/>
      <c r="CK134" s="16" t="n"/>
      <c r="CL134" s="16" t="n"/>
      <c r="CM134" s="16" t="n">
        <v>0.389728</v>
      </c>
      <c r="CN134" s="16" t="n">
        <v>662.410312</v>
      </c>
      <c r="CO134" s="16" t="n"/>
      <c r="CP134" s="16" t="n"/>
      <c r="CQ134" s="16" t="n"/>
      <c r="CR134" s="16" t="n"/>
      <c r="CS134" s="16" t="n">
        <v>0.389728</v>
      </c>
      <c r="CT134" s="16" t="n">
        <v>0.654543</v>
      </c>
      <c r="CU134" s="16" t="n"/>
      <c r="CV134" s="16" t="n"/>
      <c r="CW134" s="16" t="n"/>
      <c r="CX134" s="16" t="n"/>
      <c r="CY134" s="16" t="n">
        <v>0.389728</v>
      </c>
      <c r="CZ134" s="16" t="n">
        <v>0.815368</v>
      </c>
      <c r="DA134" s="16" t="n"/>
      <c r="DB134" s="16" t="n"/>
      <c r="DC134" s="16" t="n"/>
      <c r="DD134" s="16" t="n"/>
      <c r="DE134" s="16" t="n">
        <v>0.389728</v>
      </c>
      <c r="DF134" s="16" t="n">
        <v>0.738629</v>
      </c>
      <c r="DG134" s="16" t="n"/>
      <c r="DH134" s="16" t="n"/>
      <c r="DI134" s="16" t="n"/>
      <c r="DJ134" s="16" t="n"/>
      <c r="DK134" s="16" t="n">
        <v>0.389728</v>
      </c>
      <c r="DL134" s="16" t="n">
        <v>0.7431990000000001</v>
      </c>
      <c r="DM134" s="16" t="n"/>
      <c r="DN134" s="16" t="n"/>
      <c r="DO134" s="16" t="n"/>
      <c r="DP134" s="16" t="n"/>
      <c r="DQ134" s="16" t="n">
        <v>0.389728</v>
      </c>
      <c r="DR134" s="16" t="n">
        <v>0.73577</v>
      </c>
      <c r="DS134" s="16" t="n"/>
      <c r="DT134" s="16" t="n"/>
      <c r="DU134" s="16" t="n"/>
      <c r="DV134" s="16" t="n"/>
      <c r="DW134" s="16" t="n">
        <v>0.389728</v>
      </c>
      <c r="DX134" s="16" t="n">
        <v>0.775672</v>
      </c>
      <c r="DY134" s="16" t="n"/>
      <c r="DZ134" s="16" t="n"/>
      <c r="EB134" s="16" t="n"/>
      <c r="EC134" s="16" t="n"/>
      <c r="ED134" s="16" t="n"/>
      <c r="EE134" s="16" t="n"/>
      <c r="EF134" s="16" t="n">
        <v>890.647433</v>
      </c>
      <c r="EG134" s="16" t="n">
        <v>2230.116054</v>
      </c>
      <c r="EH134" s="16" t="n">
        <v>1015.992447</v>
      </c>
      <c r="EI134" s="16" t="n">
        <v>3741.557359</v>
      </c>
      <c r="EJ134" s="16" t="n"/>
      <c r="EK134" s="16" t="n"/>
      <c r="EL134" s="16" t="n"/>
      <c r="EM134" s="16" t="n"/>
      <c r="EN134" s="16" t="n"/>
      <c r="EO134" s="16" t="n"/>
      <c r="EP134" s="16" t="n"/>
      <c r="EQ134" s="16" t="n"/>
      <c r="ER134" s="16" t="n"/>
      <c r="ES134" s="16" t="n"/>
      <c r="ET134" s="16" t="n"/>
      <c r="EU134" s="16" t="n"/>
    </row>
    <row r="135">
      <c r="BS135" s="16" t="n"/>
      <c r="BT135" s="16" t="n"/>
      <c r="BU135" s="16" t="n">
        <v>0.392749</v>
      </c>
      <c r="BV135" s="16" t="n">
        <v>435.763235</v>
      </c>
      <c r="BW135" s="16" t="n"/>
      <c r="BX135" s="16" t="n"/>
      <c r="BY135" s="16" t="n"/>
      <c r="BZ135" s="16" t="n"/>
      <c r="CA135" s="16" t="n">
        <v>0.392749</v>
      </c>
      <c r="CB135" s="16" t="n">
        <v>289.132915</v>
      </c>
      <c r="CC135" s="16" t="n"/>
      <c r="CD135" s="16" t="n"/>
      <c r="CE135" s="16" t="n"/>
      <c r="CF135" s="16" t="n"/>
      <c r="CG135" s="16" t="n">
        <v>0.392749</v>
      </c>
      <c r="CH135" s="16" t="n">
        <v>3062.882728</v>
      </c>
      <c r="CI135" s="16" t="n"/>
      <c r="CJ135" s="16" t="n"/>
      <c r="CK135" s="16" t="n"/>
      <c r="CL135" s="16" t="n"/>
      <c r="CM135" s="16" t="n">
        <v>0.392749</v>
      </c>
      <c r="CN135" s="16" t="n">
        <v>665.174717</v>
      </c>
      <c r="CO135" s="16" t="n"/>
      <c r="CP135" s="16" t="n"/>
      <c r="CQ135" s="16" t="n"/>
      <c r="CR135" s="16" t="n"/>
      <c r="CS135" s="16" t="n">
        <v>0.392749</v>
      </c>
      <c r="CT135" s="16" t="n">
        <v>0.654802</v>
      </c>
      <c r="CU135" s="16" t="n"/>
      <c r="CV135" s="16" t="n"/>
      <c r="CW135" s="16" t="n"/>
      <c r="CX135" s="16" t="n"/>
      <c r="CY135" s="16" t="n">
        <v>0.392749</v>
      </c>
      <c r="CZ135" s="16" t="n">
        <v>0.816228</v>
      </c>
      <c r="DA135" s="16" t="n"/>
      <c r="DB135" s="16" t="n"/>
      <c r="DC135" s="16" t="n"/>
      <c r="DD135" s="16" t="n"/>
      <c r="DE135" s="16" t="n">
        <v>0.392749</v>
      </c>
      <c r="DF135" s="16" t="n">
        <v>0.739154</v>
      </c>
      <c r="DG135" s="16" t="n"/>
      <c r="DH135" s="16" t="n"/>
      <c r="DI135" s="16" t="n"/>
      <c r="DJ135" s="16" t="n"/>
      <c r="DK135" s="16" t="n">
        <v>0.392749</v>
      </c>
      <c r="DL135" s="16" t="n">
        <v>0.743381</v>
      </c>
      <c r="DM135" s="16" t="n"/>
      <c r="DN135" s="16" t="n"/>
      <c r="DO135" s="16" t="n"/>
      <c r="DP135" s="16" t="n"/>
      <c r="DQ135" s="16" t="n">
        <v>0.392749</v>
      </c>
      <c r="DR135" s="16" t="n">
        <v>0.7360989999999999</v>
      </c>
      <c r="DS135" s="16" t="n"/>
      <c r="DT135" s="16" t="n"/>
      <c r="DU135" s="16" t="n"/>
      <c r="DV135" s="16" t="n"/>
      <c r="DW135" s="16" t="n">
        <v>0.392749</v>
      </c>
      <c r="DX135" s="16" t="n">
        <v>0.777212</v>
      </c>
      <c r="DY135" s="16" t="n"/>
      <c r="DZ135" s="16" t="n"/>
      <c r="EB135" s="16" t="n"/>
      <c r="EC135" s="16" t="n"/>
      <c r="ED135" s="16" t="n"/>
      <c r="EE135" s="16" t="n"/>
      <c r="EF135" s="16" t="n">
        <v>734.334609</v>
      </c>
      <c r="EG135" s="16" t="n">
        <v>2300.853525</v>
      </c>
      <c r="EH135" s="16" t="n">
        <v>799.3148619999999</v>
      </c>
      <c r="EI135" s="16" t="n">
        <v>3525.87914</v>
      </c>
      <c r="EJ135" s="16" t="n"/>
      <c r="EK135" s="16" t="n"/>
      <c r="EL135" s="16" t="n"/>
      <c r="EM135" s="16" t="n"/>
      <c r="EN135" s="16" t="n"/>
      <c r="EO135" s="16" t="n"/>
      <c r="EP135" s="16" t="n"/>
      <c r="EQ135" s="16" t="n"/>
      <c r="ER135" s="16" t="n"/>
      <c r="ES135" s="16" t="n"/>
      <c r="ET135" s="16" t="n"/>
      <c r="EU135" s="16" t="n"/>
    </row>
    <row r="136">
      <c r="BS136" s="16" t="n"/>
      <c r="BT136" s="16" t="n"/>
      <c r="BU136" s="16" t="n">
        <v>0.39577</v>
      </c>
      <c r="BV136" s="16" t="n">
        <v>436.628183</v>
      </c>
      <c r="BW136" s="16" t="n"/>
      <c r="BX136" s="16" t="n"/>
      <c r="BY136" s="16" t="n"/>
      <c r="BZ136" s="16" t="n"/>
      <c r="CA136" s="16" t="n">
        <v>0.39577</v>
      </c>
      <c r="CB136" s="16" t="n">
        <v>289.16523</v>
      </c>
      <c r="CC136" s="16" t="n"/>
      <c r="CD136" s="16" t="n"/>
      <c r="CE136" s="16" t="n"/>
      <c r="CF136" s="16" t="n"/>
      <c r="CG136" s="16" t="n">
        <v>0.39577</v>
      </c>
      <c r="CH136" s="16" t="n">
        <v>3078.579957</v>
      </c>
      <c r="CI136" s="16" t="n"/>
      <c r="CJ136" s="16" t="n"/>
      <c r="CK136" s="16" t="n"/>
      <c r="CL136" s="16" t="n"/>
      <c r="CM136" s="16" t="n">
        <v>0.39577</v>
      </c>
      <c r="CN136" s="16" t="n">
        <v>665.932001</v>
      </c>
      <c r="CO136" s="16" t="n"/>
      <c r="CP136" s="16" t="n"/>
      <c r="CQ136" s="16" t="n"/>
      <c r="CR136" s="16" t="n"/>
      <c r="CS136" s="16" t="n">
        <v>0.39577</v>
      </c>
      <c r="CT136" s="16" t="n">
        <v>0.655594</v>
      </c>
      <c r="CU136" s="16" t="n"/>
      <c r="CV136" s="16" t="n"/>
      <c r="CW136" s="16" t="n"/>
      <c r="CX136" s="16" t="n"/>
      <c r="CY136" s="16" t="n">
        <v>0.39577</v>
      </c>
      <c r="CZ136" s="16" t="n">
        <v>0.816376</v>
      </c>
      <c r="DA136" s="16" t="n"/>
      <c r="DB136" s="16" t="n"/>
      <c r="DC136" s="16" t="n"/>
      <c r="DD136" s="16" t="n"/>
      <c r="DE136" s="16" t="n">
        <v>0.39577</v>
      </c>
      <c r="DF136" s="16" t="n">
        <v>0.740219</v>
      </c>
      <c r="DG136" s="16" t="n"/>
      <c r="DH136" s="16" t="n"/>
      <c r="DI136" s="16" t="n"/>
      <c r="DJ136" s="16" t="n"/>
      <c r="DK136" s="16" t="n">
        <v>0.39577</v>
      </c>
      <c r="DL136" s="16" t="n">
        <v>0.744633</v>
      </c>
      <c r="DM136" s="16" t="n"/>
      <c r="DN136" s="16" t="n"/>
      <c r="DO136" s="16" t="n"/>
      <c r="DP136" s="16" t="n"/>
      <c r="DQ136" s="16" t="n">
        <v>0.39577</v>
      </c>
      <c r="DR136" s="16" t="n">
        <v>0.738632</v>
      </c>
      <c r="DS136" s="16" t="n"/>
      <c r="DT136" s="16" t="n"/>
      <c r="DU136" s="16" t="n"/>
      <c r="DV136" s="16" t="n"/>
      <c r="DW136" s="16" t="n">
        <v>0.39577</v>
      </c>
      <c r="DX136" s="16" t="n">
        <v>0.777238</v>
      </c>
      <c r="DY136" s="16" t="n"/>
      <c r="DZ136" s="16" t="n"/>
      <c r="EB136" s="16" t="n"/>
      <c r="EC136" s="16" t="n"/>
      <c r="ED136" s="16" t="n"/>
      <c r="EE136" s="16" t="n"/>
      <c r="EF136" s="16" t="n">
        <v>518.897797</v>
      </c>
      <c r="EG136" s="16" t="n">
        <v>2871.547892</v>
      </c>
      <c r="EH136" s="16" t="n">
        <v>625.48144</v>
      </c>
      <c r="EI136" s="16" t="n">
        <v>2828.608741</v>
      </c>
      <c r="EJ136" s="16" t="n"/>
      <c r="EK136" s="16" t="n"/>
      <c r="EL136" s="16" t="n"/>
      <c r="EM136" s="16" t="n"/>
      <c r="EN136" s="16" t="n"/>
      <c r="EO136" s="16" t="n"/>
      <c r="EP136" s="16" t="n"/>
      <c r="EQ136" s="16" t="n"/>
      <c r="ER136" s="16" t="n"/>
      <c r="ES136" s="16" t="n"/>
      <c r="ET136" s="16" t="n"/>
      <c r="EU136" s="16" t="n"/>
    </row>
    <row r="137">
      <c r="BS137" s="16" t="n"/>
      <c r="BT137" s="16" t="n"/>
      <c r="BU137" s="16" t="n">
        <v>0.398792</v>
      </c>
      <c r="BV137" s="16" t="n">
        <v>436.915586</v>
      </c>
      <c r="BW137" s="16" t="n"/>
      <c r="BX137" s="16" t="n"/>
      <c r="BY137" s="16" t="n"/>
      <c r="BZ137" s="16" t="n"/>
      <c r="CA137" s="16" t="n">
        <v>0.398792</v>
      </c>
      <c r="CB137" s="16" t="n">
        <v>289.21707</v>
      </c>
      <c r="CC137" s="16" t="n"/>
      <c r="CD137" s="16" t="n"/>
      <c r="CE137" s="16" t="n"/>
      <c r="CF137" s="16" t="n"/>
      <c r="CG137" s="16" t="n">
        <v>0.398792</v>
      </c>
      <c r="CH137" s="16" t="n">
        <v>3079.970124</v>
      </c>
      <c r="CI137" s="16" t="n"/>
      <c r="CJ137" s="16" t="n"/>
      <c r="CK137" s="16" t="n"/>
      <c r="CL137" s="16" t="n"/>
      <c r="CM137" s="16" t="n">
        <v>0.398792</v>
      </c>
      <c r="CN137" s="16" t="n">
        <v>668.828918</v>
      </c>
      <c r="CO137" s="16" t="n"/>
      <c r="CP137" s="16" t="n"/>
      <c r="CQ137" s="16" t="n"/>
      <c r="CR137" s="16" t="n"/>
      <c r="CS137" s="16" t="n">
        <v>0.398792</v>
      </c>
      <c r="CT137" s="16" t="n">
        <v>0.656289</v>
      </c>
      <c r="CU137" s="16" t="n"/>
      <c r="CV137" s="16" t="n"/>
      <c r="CW137" s="16" t="n"/>
      <c r="CX137" s="16" t="n"/>
      <c r="CY137" s="16" t="n">
        <v>0.398792</v>
      </c>
      <c r="CZ137" s="16" t="n">
        <v>0.817344</v>
      </c>
      <c r="DA137" s="16" t="n"/>
      <c r="DB137" s="16" t="n"/>
      <c r="DC137" s="16" t="n"/>
      <c r="DD137" s="16" t="n"/>
      <c r="DE137" s="16" t="n">
        <v>0.398792</v>
      </c>
      <c r="DF137" s="16" t="n">
        <v>0.740662</v>
      </c>
      <c r="DG137" s="16" t="n"/>
      <c r="DH137" s="16" t="n"/>
      <c r="DI137" s="16" t="n"/>
      <c r="DJ137" s="16" t="n"/>
      <c r="DK137" s="16" t="n">
        <v>0.398792</v>
      </c>
      <c r="DL137" s="16" t="n">
        <v>0.745044</v>
      </c>
      <c r="DM137" s="16" t="n"/>
      <c r="DN137" s="16" t="n"/>
      <c r="DO137" s="16" t="n"/>
      <c r="DP137" s="16" t="n"/>
      <c r="DQ137" s="16" t="n">
        <v>0.398792</v>
      </c>
      <c r="DR137" s="16" t="n">
        <v>0.739922</v>
      </c>
      <c r="DS137" s="16" t="n"/>
      <c r="DT137" s="16" t="n"/>
      <c r="DU137" s="16" t="n"/>
      <c r="DV137" s="16" t="n"/>
      <c r="DW137" s="16" t="n">
        <v>0.398792</v>
      </c>
      <c r="DX137" s="16" t="n">
        <v>0.777702</v>
      </c>
      <c r="DY137" s="16" t="n"/>
      <c r="DZ137" s="16" t="n"/>
      <c r="EB137" s="16" t="n"/>
      <c r="EC137" s="16" t="n"/>
      <c r="ED137" s="16" t="n"/>
      <c r="EE137" s="16" t="n"/>
      <c r="EF137" s="16" t="n">
        <v>745.637617</v>
      </c>
      <c r="EG137" s="16" t="n">
        <v>2120.16899</v>
      </c>
      <c r="EH137" s="16" t="n">
        <v>970.62875</v>
      </c>
      <c r="EI137" s="16" t="n">
        <v>4206.426945</v>
      </c>
      <c r="EJ137" s="16" t="n"/>
      <c r="EK137" s="16" t="n"/>
      <c r="EL137" s="16" t="n"/>
      <c r="EM137" s="16" t="n"/>
      <c r="EN137" s="16" t="n"/>
      <c r="EO137" s="16" t="n"/>
      <c r="EP137" s="16" t="n"/>
      <c r="EQ137" s="16" t="n"/>
      <c r="ER137" s="16" t="n"/>
      <c r="ES137" s="16" t="n"/>
      <c r="ET137" s="16" t="n"/>
      <c r="EU137" s="16" t="n"/>
    </row>
    <row r="138">
      <c r="BS138" s="16" t="n"/>
      <c r="BT138" s="16" t="n"/>
      <c r="BU138" s="16" t="n">
        <v>0.401813</v>
      </c>
      <c r="BV138" s="16" t="n">
        <v>437.338465</v>
      </c>
      <c r="BW138" s="16" t="n"/>
      <c r="BX138" s="16" t="n"/>
      <c r="BY138" s="16" t="n"/>
      <c r="BZ138" s="16" t="n"/>
      <c r="CA138" s="16" t="n">
        <v>0.401813</v>
      </c>
      <c r="CB138" s="16" t="n">
        <v>289.277009</v>
      </c>
      <c r="CC138" s="16" t="n"/>
      <c r="CD138" s="16" t="n"/>
      <c r="CE138" s="16" t="n"/>
      <c r="CF138" s="16" t="n"/>
      <c r="CG138" s="16" t="n">
        <v>0.401813</v>
      </c>
      <c r="CH138" s="16" t="n">
        <v>3080.402221</v>
      </c>
      <c r="CI138" s="16" t="n"/>
      <c r="CJ138" s="16" t="n"/>
      <c r="CK138" s="16" t="n"/>
      <c r="CL138" s="16" t="n"/>
      <c r="CM138" s="16" t="n">
        <v>0.401813</v>
      </c>
      <c r="CN138" s="16" t="n">
        <v>674.249142</v>
      </c>
      <c r="CO138" s="16" t="n"/>
      <c r="CP138" s="16" t="n"/>
      <c r="CQ138" s="16" t="n"/>
      <c r="CR138" s="16" t="n"/>
      <c r="CS138" s="16" t="n">
        <v>0.401813</v>
      </c>
      <c r="CT138" s="16" t="n">
        <v>0.657432</v>
      </c>
      <c r="CU138" s="16" t="n"/>
      <c r="CV138" s="16" t="n"/>
      <c r="CW138" s="16" t="n"/>
      <c r="CX138" s="16" t="n"/>
      <c r="CY138" s="16" t="n">
        <v>0.401813</v>
      </c>
      <c r="CZ138" s="16" t="n">
        <v>0.817818</v>
      </c>
      <c r="DA138" s="16" t="n"/>
      <c r="DB138" s="16" t="n"/>
      <c r="DC138" s="16" t="n"/>
      <c r="DD138" s="16" t="n"/>
      <c r="DE138" s="16" t="n">
        <v>0.401813</v>
      </c>
      <c r="DF138" s="16" t="n">
        <v>0.740963</v>
      </c>
      <c r="DG138" s="16" t="n"/>
      <c r="DH138" s="16" t="n"/>
      <c r="DI138" s="16" t="n"/>
      <c r="DJ138" s="16" t="n"/>
      <c r="DK138" s="16" t="n">
        <v>0.401813</v>
      </c>
      <c r="DL138" s="16" t="n">
        <v>0.745154</v>
      </c>
      <c r="DM138" s="16" t="n"/>
      <c r="DN138" s="16" t="n"/>
      <c r="DO138" s="16" t="n"/>
      <c r="DP138" s="16" t="n"/>
      <c r="DQ138" s="16" t="n">
        <v>0.401813</v>
      </c>
      <c r="DR138" s="16" t="n">
        <v>0.7403459999999999</v>
      </c>
      <c r="DS138" s="16" t="n"/>
      <c r="DT138" s="16" t="n"/>
      <c r="DU138" s="16" t="n"/>
      <c r="DV138" s="16" t="n"/>
      <c r="DW138" s="16" t="n">
        <v>0.401813</v>
      </c>
      <c r="DX138" s="16" t="n">
        <v>0.778881</v>
      </c>
      <c r="DY138" s="16" t="n"/>
      <c r="DZ138" s="16" t="n"/>
      <c r="EB138" s="16" t="n"/>
      <c r="EC138" s="16" t="n"/>
      <c r="ED138" s="16" t="n"/>
      <c r="EE138" s="16" t="n"/>
      <c r="EF138" s="16" t="n"/>
      <c r="EG138" s="16" t="n"/>
      <c r="EH138" s="16" t="n">
        <v>905.093282</v>
      </c>
      <c r="EI138" s="16" t="n">
        <v>4269.977631</v>
      </c>
      <c r="EJ138" s="16" t="n"/>
      <c r="EK138" s="16" t="n"/>
      <c r="EL138" s="16" t="n"/>
      <c r="EM138" s="16" t="n"/>
      <c r="EN138" s="16" t="n"/>
      <c r="EO138" s="16" t="n"/>
      <c r="EP138" s="16" t="n"/>
      <c r="EQ138" s="16" t="n"/>
      <c r="ER138" s="16" t="n"/>
      <c r="ES138" s="16" t="n"/>
      <c r="ET138" s="16" t="n"/>
      <c r="EU138" s="16" t="n"/>
    </row>
    <row r="139">
      <c r="BS139" s="16" t="n"/>
      <c r="BT139" s="16" t="n"/>
      <c r="BU139" s="16" t="n">
        <v>0.404834</v>
      </c>
      <c r="BV139" s="16" t="n">
        <v>437.730509</v>
      </c>
      <c r="BW139" s="16" t="n"/>
      <c r="BX139" s="16" t="n"/>
      <c r="BY139" s="16" t="n"/>
      <c r="BZ139" s="16" t="n"/>
      <c r="CA139" s="16" t="n">
        <v>0.404834</v>
      </c>
      <c r="CB139" s="16" t="n">
        <v>289.33706</v>
      </c>
      <c r="CC139" s="16" t="n"/>
      <c r="CD139" s="16" t="n"/>
      <c r="CE139" s="16" t="n"/>
      <c r="CF139" s="16" t="n"/>
      <c r="CG139" s="16" t="n">
        <v>0.404834</v>
      </c>
      <c r="CH139" s="16" t="n">
        <v>3093.893829</v>
      </c>
      <c r="CI139" s="16" t="n"/>
      <c r="CJ139" s="16" t="n"/>
      <c r="CK139" s="16" t="n"/>
      <c r="CL139" s="16" t="n"/>
      <c r="CM139" s="16" t="n">
        <v>0.404834</v>
      </c>
      <c r="CN139" s="16" t="n">
        <v>674.500891</v>
      </c>
      <c r="CO139" s="16" t="n"/>
      <c r="CP139" s="16" t="n"/>
      <c r="CQ139" s="16" t="n"/>
      <c r="CR139" s="16" t="n"/>
      <c r="CS139" s="16" t="n">
        <v>0.404834</v>
      </c>
      <c r="CT139" s="16" t="n">
        <v>0.6583020000000001</v>
      </c>
      <c r="CU139" s="16" t="n"/>
      <c r="CV139" s="16" t="n"/>
      <c r="CW139" s="16" t="n"/>
      <c r="CX139" s="16" t="n"/>
      <c r="CY139" s="16" t="n">
        <v>0.404834</v>
      </c>
      <c r="CZ139" s="16" t="n">
        <v>0.818322</v>
      </c>
      <c r="DA139" s="16" t="n"/>
      <c r="DB139" s="16" t="n"/>
      <c r="DC139" s="16" t="n"/>
      <c r="DD139" s="16" t="n"/>
      <c r="DE139" s="16" t="n">
        <v>0.404834</v>
      </c>
      <c r="DF139" s="16" t="n">
        <v>0.742054</v>
      </c>
      <c r="DG139" s="16" t="n"/>
      <c r="DH139" s="16" t="n"/>
      <c r="DI139" s="16" t="n"/>
      <c r="DJ139" s="16" t="n"/>
      <c r="DK139" s="16" t="n">
        <v>0.404834</v>
      </c>
      <c r="DL139" s="16" t="n">
        <v>0.746476</v>
      </c>
      <c r="DM139" s="16" t="n"/>
      <c r="DN139" s="16" t="n"/>
      <c r="DO139" s="16" t="n"/>
      <c r="DP139" s="16" t="n"/>
      <c r="DQ139" s="16" t="n">
        <v>0.404834</v>
      </c>
      <c r="DR139" s="16" t="n">
        <v>0.7411799999999999</v>
      </c>
      <c r="DS139" s="16" t="n"/>
      <c r="DT139" s="16" t="n"/>
      <c r="DU139" s="16" t="n"/>
      <c r="DV139" s="16" t="n"/>
      <c r="DW139" s="16" t="n">
        <v>0.404834</v>
      </c>
      <c r="DX139" s="16" t="n">
        <v>0.7791090000000001</v>
      </c>
      <c r="DY139" s="16" t="n"/>
      <c r="DZ139" s="16" t="n"/>
      <c r="EB139" s="16" t="n"/>
      <c r="EC139" s="16" t="n"/>
      <c r="ED139" s="16" t="n"/>
      <c r="EE139" s="16" t="n"/>
      <c r="EF139" s="16" t="n"/>
      <c r="EG139" s="16" t="n"/>
      <c r="EH139" s="16" t="n">
        <v>1321.240701</v>
      </c>
      <c r="EI139" s="16" t="n">
        <v>4169.534017</v>
      </c>
      <c r="EJ139" s="16" t="n"/>
      <c r="EK139" s="16" t="n"/>
      <c r="EL139" s="16" t="n"/>
      <c r="EM139" s="16" t="n"/>
      <c r="EN139" s="16" t="n"/>
      <c r="EO139" s="16" t="n"/>
      <c r="EP139" s="16" t="n"/>
      <c r="EQ139" s="16" t="n"/>
      <c r="ER139" s="16" t="n"/>
      <c r="ES139" s="16" t="n"/>
      <c r="ET139" s="16" t="n"/>
      <c r="EU139" s="16" t="n"/>
    </row>
    <row r="140">
      <c r="BS140" s="16" t="n"/>
      <c r="BT140" s="16" t="n"/>
      <c r="BU140" s="16" t="n">
        <v>0.407855</v>
      </c>
      <c r="BV140" s="16" t="n">
        <v>438.03694</v>
      </c>
      <c r="BW140" s="16" t="n"/>
      <c r="BX140" s="16" t="n"/>
      <c r="BY140" s="16" t="n"/>
      <c r="BZ140" s="16" t="n"/>
      <c r="CA140" s="16" t="n">
        <v>0.407855</v>
      </c>
      <c r="CB140" s="16" t="n">
        <v>289.372659</v>
      </c>
      <c r="CC140" s="16" t="n"/>
      <c r="CD140" s="16" t="n"/>
      <c r="CE140" s="16" t="n"/>
      <c r="CF140" s="16" t="n"/>
      <c r="CG140" s="16" t="n">
        <v>0.407855</v>
      </c>
      <c r="CH140" s="16" t="n">
        <v>3096.516701</v>
      </c>
      <c r="CI140" s="16" t="n"/>
      <c r="CJ140" s="16" t="n"/>
      <c r="CK140" s="16" t="n"/>
      <c r="CL140" s="16" t="n"/>
      <c r="CM140" s="16" t="n">
        <v>0.407855</v>
      </c>
      <c r="CN140" s="16" t="n">
        <v>676.158664</v>
      </c>
      <c r="CO140" s="16" t="n"/>
      <c r="CP140" s="16" t="n"/>
      <c r="CQ140" s="16" t="n"/>
      <c r="CR140" s="16" t="n"/>
      <c r="CS140" s="16" t="n">
        <v>0.407855</v>
      </c>
      <c r="CT140" s="16" t="n">
        <v>0.659151</v>
      </c>
      <c r="CU140" s="16" t="n"/>
      <c r="CV140" s="16" t="n"/>
      <c r="CW140" s="16" t="n"/>
      <c r="CX140" s="16" t="n"/>
      <c r="CY140" s="16" t="n">
        <v>0.407855</v>
      </c>
      <c r="CZ140" s="16" t="n">
        <v>0.818932</v>
      </c>
      <c r="DA140" s="16" t="n"/>
      <c r="DB140" s="16" t="n"/>
      <c r="DC140" s="16" t="n"/>
      <c r="DD140" s="16" t="n"/>
      <c r="DE140" s="16" t="n">
        <v>0.407855</v>
      </c>
      <c r="DF140" s="16" t="n">
        <v>0.742409</v>
      </c>
      <c r="DG140" s="16" t="n"/>
      <c r="DH140" s="16" t="n"/>
      <c r="DI140" s="16" t="n"/>
      <c r="DJ140" s="16" t="n"/>
      <c r="DK140" s="16" t="n">
        <v>0.407855</v>
      </c>
      <c r="DL140" s="16" t="n">
        <v>0.7482799999999999</v>
      </c>
      <c r="DM140" s="16" t="n"/>
      <c r="DN140" s="16" t="n"/>
      <c r="DO140" s="16" t="n"/>
      <c r="DP140" s="16" t="n"/>
      <c r="DQ140" s="16" t="n">
        <v>0.407855</v>
      </c>
      <c r="DR140" s="16" t="n">
        <v>0.743138</v>
      </c>
      <c r="DS140" s="16" t="n"/>
      <c r="DT140" s="16" t="n"/>
      <c r="DU140" s="16" t="n"/>
      <c r="DV140" s="16" t="n"/>
      <c r="DW140" s="16" t="n">
        <v>0.407855</v>
      </c>
      <c r="DX140" s="16" t="n">
        <v>0.780021</v>
      </c>
      <c r="DY140" s="16" t="n"/>
      <c r="DZ140" s="16" t="n"/>
      <c r="EB140" s="16" t="n"/>
      <c r="EC140" s="16" t="n"/>
      <c r="ED140" s="16" t="n"/>
      <c r="EE140" s="16" t="n"/>
      <c r="EF140" s="16" t="n"/>
      <c r="EG140" s="16" t="n"/>
      <c r="EH140" s="16" t="n">
        <v>632.748885</v>
      </c>
      <c r="EI140" s="16" t="n">
        <v>4454.785613</v>
      </c>
      <c r="EJ140" s="16" t="n"/>
      <c r="EK140" s="16" t="n"/>
      <c r="EL140" s="16" t="n"/>
      <c r="EM140" s="16" t="n"/>
      <c r="EN140" s="16" t="n"/>
      <c r="EO140" s="16" t="n"/>
      <c r="EP140" s="16" t="n"/>
      <c r="EQ140" s="16" t="n"/>
      <c r="ER140" s="16" t="n"/>
      <c r="ES140" s="16" t="n"/>
      <c r="ET140" s="16" t="n"/>
      <c r="EU140" s="16" t="n"/>
    </row>
    <row r="141">
      <c r="BS141" s="16" t="n"/>
      <c r="BT141" s="16" t="n"/>
      <c r="BU141" s="16" t="n">
        <v>0.410876</v>
      </c>
      <c r="BV141" s="16" t="n">
        <v>438.362072</v>
      </c>
      <c r="BW141" s="16" t="n"/>
      <c r="BX141" s="16" t="n"/>
      <c r="BY141" s="16" t="n"/>
      <c r="BZ141" s="16" t="n"/>
      <c r="CA141" s="16" t="n">
        <v>0.410876</v>
      </c>
      <c r="CB141" s="16" t="n">
        <v>289.411545</v>
      </c>
      <c r="CC141" s="16" t="n"/>
      <c r="CD141" s="16" t="n"/>
      <c r="CE141" s="16" t="n"/>
      <c r="CF141" s="16" t="n"/>
      <c r="CG141" s="16" t="n">
        <v>0.410876</v>
      </c>
      <c r="CH141" s="16" t="n">
        <v>3103.330085</v>
      </c>
      <c r="CI141" s="16" t="n"/>
      <c r="CJ141" s="16" t="n"/>
      <c r="CK141" s="16" t="n"/>
      <c r="CL141" s="16" t="n"/>
      <c r="CM141" s="16" t="n">
        <v>0.410876</v>
      </c>
      <c r="CN141" s="16" t="n">
        <v>686.175988</v>
      </c>
      <c r="CO141" s="16" t="n"/>
      <c r="CP141" s="16" t="n"/>
      <c r="CQ141" s="16" t="n"/>
      <c r="CR141" s="16" t="n"/>
      <c r="CS141" s="16" t="n">
        <v>0.410876</v>
      </c>
      <c r="CT141" s="16" t="n">
        <v>0.660375</v>
      </c>
      <c r="CU141" s="16" t="n"/>
      <c r="CV141" s="16" t="n"/>
      <c r="CW141" s="16" t="n"/>
      <c r="CX141" s="16" t="n"/>
      <c r="CY141" s="16" t="n">
        <v>0.410876</v>
      </c>
      <c r="CZ141" s="16" t="n">
        <v>0.819489</v>
      </c>
      <c r="DA141" s="16" t="n"/>
      <c r="DB141" s="16" t="n"/>
      <c r="DC141" s="16" t="n"/>
      <c r="DD141" s="16" t="n"/>
      <c r="DE141" s="16" t="n">
        <v>0.410876</v>
      </c>
      <c r="DF141" s="16" t="n">
        <v>0.743568</v>
      </c>
      <c r="DG141" s="16" t="n"/>
      <c r="DH141" s="16" t="n"/>
      <c r="DI141" s="16" t="n"/>
      <c r="DJ141" s="16" t="n"/>
      <c r="DK141" s="16" t="n">
        <v>0.410876</v>
      </c>
      <c r="DL141" s="16" t="n">
        <v>0.7502180000000001</v>
      </c>
      <c r="DM141" s="16" t="n"/>
      <c r="DN141" s="16" t="n"/>
      <c r="DO141" s="16" t="n"/>
      <c r="DP141" s="16" t="n"/>
      <c r="DQ141" s="16" t="n">
        <v>0.410876</v>
      </c>
      <c r="DR141" s="16" t="n">
        <v>0.74661</v>
      </c>
      <c r="DS141" s="16" t="n"/>
      <c r="DT141" s="16" t="n"/>
      <c r="DU141" s="16" t="n"/>
      <c r="DV141" s="16" t="n"/>
      <c r="DW141" s="16" t="n">
        <v>0.410876</v>
      </c>
      <c r="DX141" s="16" t="n">
        <v>0.780979</v>
      </c>
      <c r="DY141" s="16" t="n"/>
      <c r="DZ141" s="16" t="n"/>
      <c r="EB141" s="16" t="n"/>
      <c r="EC141" s="16" t="n"/>
      <c r="ED141" s="16" t="n"/>
      <c r="EE141" s="16" t="n"/>
      <c r="EF141" s="16" t="n"/>
      <c r="EG141" s="16" t="n"/>
      <c r="EH141" s="16" t="n">
        <v>658.545131</v>
      </c>
      <c r="EI141" s="16" t="n">
        <v>4752.592548</v>
      </c>
      <c r="EJ141" s="16" t="n"/>
      <c r="EK141" s="16" t="n"/>
      <c r="EL141" s="16" t="n"/>
      <c r="EM141" s="16" t="n"/>
      <c r="EN141" s="16" t="n"/>
      <c r="EO141" s="16" t="n"/>
      <c r="EP141" s="16" t="n"/>
      <c r="EQ141" s="16" t="n"/>
      <c r="ER141" s="16" t="n"/>
      <c r="ES141" s="16" t="n"/>
      <c r="ET141" s="16" t="n"/>
      <c r="EU141" s="16" t="n"/>
    </row>
    <row r="142">
      <c r="BS142" s="16" t="n"/>
      <c r="BT142" s="16" t="n"/>
      <c r="BU142" s="16" t="n">
        <v>0.413897</v>
      </c>
      <c r="BV142" s="16" t="n">
        <v>438.446808</v>
      </c>
      <c r="BW142" s="16" t="n"/>
      <c r="BX142" s="16" t="n"/>
      <c r="BY142" s="16" t="n"/>
      <c r="BZ142" s="16" t="n"/>
      <c r="CA142" s="16" t="n">
        <v>0.413897</v>
      </c>
      <c r="CB142" s="16" t="n">
        <v>289.500141</v>
      </c>
      <c r="CC142" s="16" t="n"/>
      <c r="CD142" s="16" t="n"/>
      <c r="CE142" s="16" t="n"/>
      <c r="CF142" s="16" t="n"/>
      <c r="CG142" s="16" t="n">
        <v>0.413897</v>
      </c>
      <c r="CH142" s="16" t="n">
        <v>3114.297462</v>
      </c>
      <c r="CI142" s="16" t="n"/>
      <c r="CJ142" s="16" t="n"/>
      <c r="CK142" s="16" t="n"/>
      <c r="CL142" s="16" t="n"/>
      <c r="CM142" s="16" t="n">
        <v>0.413897</v>
      </c>
      <c r="CN142" s="16" t="n">
        <v>692.774577</v>
      </c>
      <c r="CO142" s="16" t="n"/>
      <c r="CP142" s="16" t="n"/>
      <c r="CQ142" s="16" t="n"/>
      <c r="CR142" s="16" t="n"/>
      <c r="CS142" s="16" t="n">
        <v>0.413897</v>
      </c>
      <c r="CT142" s="16" t="n">
        <v>0.661007</v>
      </c>
      <c r="CU142" s="16" t="n"/>
      <c r="CV142" s="16" t="n"/>
      <c r="CW142" s="16" t="n"/>
      <c r="CX142" s="16" t="n"/>
      <c r="CY142" s="16" t="n">
        <v>0.413897</v>
      </c>
      <c r="CZ142" s="16" t="n">
        <v>0.820092</v>
      </c>
      <c r="DA142" s="16" t="n"/>
      <c r="DB142" s="16" t="n"/>
      <c r="DC142" s="16" t="n"/>
      <c r="DD142" s="16" t="n"/>
      <c r="DE142" s="16" t="n">
        <v>0.413897</v>
      </c>
      <c r="DF142" s="16" t="n">
        <v>0.743981</v>
      </c>
      <c r="DG142" s="16" t="n"/>
      <c r="DH142" s="16" t="n"/>
      <c r="DI142" s="16" t="n"/>
      <c r="DJ142" s="16" t="n"/>
      <c r="DK142" s="16" t="n">
        <v>0.413897</v>
      </c>
      <c r="DL142" s="16" t="n">
        <v>0.753372</v>
      </c>
      <c r="DM142" s="16" t="n"/>
      <c r="DN142" s="16" t="n"/>
      <c r="DO142" s="16" t="n"/>
      <c r="DP142" s="16" t="n"/>
      <c r="DQ142" s="16" t="n">
        <v>0.413897</v>
      </c>
      <c r="DR142" s="16" t="n">
        <v>0.746799</v>
      </c>
      <c r="DS142" s="16" t="n"/>
      <c r="DT142" s="16" t="n"/>
      <c r="DU142" s="16" t="n"/>
      <c r="DV142" s="16" t="n"/>
      <c r="DW142" s="16" t="n">
        <v>0.413897</v>
      </c>
      <c r="DX142" s="16" t="n">
        <v>0.781099</v>
      </c>
      <c r="DY142" s="16" t="n"/>
      <c r="DZ142" s="16" t="n"/>
      <c r="EB142" s="16" t="n"/>
      <c r="EC142" s="16" t="n"/>
      <c r="ED142" s="16" t="n"/>
      <c r="EE142" s="16" t="n"/>
      <c r="EF142" s="16" t="n"/>
      <c r="EG142" s="16" t="n"/>
      <c r="EH142" s="16" t="n">
        <v>1058.255347</v>
      </c>
      <c r="EI142" s="16" t="n">
        <v>4384.931758</v>
      </c>
      <c r="EJ142" s="16" t="n"/>
      <c r="EK142" s="16" t="n"/>
      <c r="EL142" s="16" t="n"/>
      <c r="EM142" s="16" t="n"/>
      <c r="EN142" s="16" t="n"/>
      <c r="EO142" s="16" t="n"/>
      <c r="EP142" s="16" t="n"/>
      <c r="EQ142" s="16" t="n"/>
      <c r="ER142" s="16" t="n"/>
      <c r="ES142" s="16" t="n"/>
      <c r="ET142" s="16" t="n"/>
      <c r="EU142" s="16" t="n"/>
    </row>
    <row r="143">
      <c r="BS143" s="16" t="n"/>
      <c r="BT143" s="16" t="n"/>
      <c r="BU143" s="16" t="n">
        <v>0.416918</v>
      </c>
      <c r="BV143" s="16" t="n">
        <v>438.816154</v>
      </c>
      <c r="BW143" s="16" t="n"/>
      <c r="BX143" s="16" t="n"/>
      <c r="BY143" s="16" t="n"/>
      <c r="BZ143" s="16" t="n"/>
      <c r="CA143" s="16" t="n">
        <v>0.416918</v>
      </c>
      <c r="CB143" s="16" t="n">
        <v>289.533983</v>
      </c>
      <c r="CC143" s="16" t="n"/>
      <c r="CD143" s="16" t="n"/>
      <c r="CE143" s="16" t="n"/>
      <c r="CF143" s="16" t="n"/>
      <c r="CG143" s="16" t="n">
        <v>0.416918</v>
      </c>
      <c r="CH143" s="16" t="n">
        <v>3114.796382</v>
      </c>
      <c r="CI143" s="16" t="n"/>
      <c r="CJ143" s="16" t="n"/>
      <c r="CK143" s="16" t="n"/>
      <c r="CL143" s="16" t="n"/>
      <c r="CM143" s="16" t="n">
        <v>0.416918</v>
      </c>
      <c r="CN143" s="16" t="n">
        <v>692.9450419999999</v>
      </c>
      <c r="CO143" s="16" t="n"/>
      <c r="CP143" s="16" t="n"/>
      <c r="CQ143" s="16" t="n"/>
      <c r="CR143" s="16" t="n"/>
      <c r="CS143" s="16" t="n">
        <v>0.416918</v>
      </c>
      <c r="CT143" s="16" t="n">
        <v>0.661127</v>
      </c>
      <c r="CU143" s="16" t="n"/>
      <c r="CV143" s="16" t="n"/>
      <c r="CW143" s="16" t="n"/>
      <c r="CX143" s="16" t="n"/>
      <c r="CY143" s="16" t="n">
        <v>0.416918</v>
      </c>
      <c r="CZ143" s="16" t="n">
        <v>0.820361</v>
      </c>
      <c r="DA143" s="16" t="n"/>
      <c r="DB143" s="16" t="n"/>
      <c r="DC143" s="16" t="n"/>
      <c r="DD143" s="16" t="n"/>
      <c r="DE143" s="16" t="n">
        <v>0.416918</v>
      </c>
      <c r="DF143" s="16" t="n">
        <v>0.745744</v>
      </c>
      <c r="DG143" s="16" t="n"/>
      <c r="DH143" s="16" t="n"/>
      <c r="DI143" s="16" t="n"/>
      <c r="DJ143" s="16" t="n"/>
      <c r="DK143" s="16" t="n">
        <v>0.416918</v>
      </c>
      <c r="DL143" s="16" t="n">
        <v>0.753514</v>
      </c>
      <c r="DM143" s="16" t="n"/>
      <c r="DN143" s="16" t="n"/>
      <c r="DO143" s="16" t="n"/>
      <c r="DP143" s="16" t="n"/>
      <c r="DQ143" s="16" t="n">
        <v>0.416918</v>
      </c>
      <c r="DR143" s="16" t="n">
        <v>0.747876</v>
      </c>
      <c r="DS143" s="16" t="n"/>
      <c r="DT143" s="16" t="n"/>
      <c r="DU143" s="16" t="n"/>
      <c r="DV143" s="16" t="n"/>
      <c r="DW143" s="16" t="n">
        <v>0.416918</v>
      </c>
      <c r="DX143" s="16" t="n">
        <v>0.781358</v>
      </c>
      <c r="DY143" s="16" t="n"/>
      <c r="DZ143" s="16" t="n"/>
      <c r="EB143" s="16" t="n"/>
      <c r="EC143" s="16" t="n"/>
      <c r="ED143" s="16" t="n"/>
      <c r="EE143" s="16" t="n"/>
      <c r="EF143" s="16" t="n"/>
      <c r="EG143" s="16" t="n"/>
      <c r="EH143" s="16" t="n">
        <v>1188.461165</v>
      </c>
      <c r="EI143" s="16" t="n">
        <v>2329.373722</v>
      </c>
      <c r="EJ143" s="16" t="n"/>
      <c r="EK143" s="16" t="n"/>
      <c r="EL143" s="16" t="n"/>
      <c r="EM143" s="16" t="n"/>
      <c r="EN143" s="16" t="n"/>
      <c r="EO143" s="16" t="n"/>
      <c r="EP143" s="16" t="n"/>
      <c r="EQ143" s="16" t="n"/>
      <c r="ER143" s="16" t="n"/>
      <c r="ES143" s="16" t="n"/>
      <c r="ET143" s="16" t="n"/>
      <c r="EU143" s="16" t="n"/>
    </row>
    <row r="144">
      <c r="BS144" s="16" t="n"/>
      <c r="BT144" s="16" t="n"/>
      <c r="BU144" s="16" t="n">
        <v>0.41994</v>
      </c>
      <c r="BV144" s="16" t="n">
        <v>439.064191</v>
      </c>
      <c r="BW144" s="16" t="n"/>
      <c r="BX144" s="16" t="n"/>
      <c r="BY144" s="16" t="n"/>
      <c r="BZ144" s="16" t="n"/>
      <c r="CA144" s="16" t="n">
        <v>0.41994</v>
      </c>
      <c r="CB144" s="16" t="n">
        <v>289.736295</v>
      </c>
      <c r="CC144" s="16" t="n"/>
      <c r="CD144" s="16" t="n"/>
      <c r="CE144" s="16" t="n"/>
      <c r="CF144" s="16" t="n"/>
      <c r="CG144" s="16" t="n">
        <v>0.41994</v>
      </c>
      <c r="CH144" s="16" t="n">
        <v>3126.873835</v>
      </c>
      <c r="CI144" s="16" t="n"/>
      <c r="CJ144" s="16" t="n"/>
      <c r="CK144" s="16" t="n"/>
      <c r="CL144" s="16" t="n"/>
      <c r="CM144" s="16" t="n">
        <v>0.41994</v>
      </c>
      <c r="CN144" s="16" t="n">
        <v>696.775429</v>
      </c>
      <c r="CO144" s="16" t="n"/>
      <c r="CP144" s="16" t="n"/>
      <c r="CQ144" s="16" t="n"/>
      <c r="CR144" s="16" t="n"/>
      <c r="CS144" s="16" t="n">
        <v>0.41994</v>
      </c>
      <c r="CT144" s="16" t="n">
        <v>0.663478</v>
      </c>
      <c r="CU144" s="16" t="n"/>
      <c r="CV144" s="16" t="n"/>
      <c r="CW144" s="16" t="n"/>
      <c r="CX144" s="16" t="n"/>
      <c r="CY144" s="16" t="n">
        <v>0.41994</v>
      </c>
      <c r="CZ144" s="16" t="n">
        <v>0.820489</v>
      </c>
      <c r="DA144" s="16" t="n"/>
      <c r="DB144" s="16" t="n"/>
      <c r="DC144" s="16" t="n"/>
      <c r="DD144" s="16" t="n"/>
      <c r="DE144" s="16" t="n">
        <v>0.41994</v>
      </c>
      <c r="DF144" s="16" t="n">
        <v>0.745753</v>
      </c>
      <c r="DG144" s="16" t="n"/>
      <c r="DH144" s="16" t="n"/>
      <c r="DI144" s="16" t="n"/>
      <c r="DJ144" s="16" t="n"/>
      <c r="DK144" s="16" t="n">
        <v>0.41994</v>
      </c>
      <c r="DL144" s="16" t="n">
        <v>0.755053</v>
      </c>
      <c r="DM144" s="16" t="n"/>
      <c r="DN144" s="16" t="n"/>
      <c r="DO144" s="16" t="n"/>
      <c r="DP144" s="16" t="n"/>
      <c r="DQ144" s="16" t="n">
        <v>0.41994</v>
      </c>
      <c r="DR144" s="16" t="n">
        <v>0.748765</v>
      </c>
      <c r="DS144" s="16" t="n"/>
      <c r="DT144" s="16" t="n"/>
      <c r="DU144" s="16" t="n"/>
      <c r="DV144" s="16" t="n"/>
      <c r="DW144" s="16" t="n">
        <v>0.41994</v>
      </c>
      <c r="DX144" s="16" t="n">
        <v>0.782484</v>
      </c>
      <c r="DY144" s="16" t="n"/>
      <c r="DZ144" s="16" t="n"/>
      <c r="EB144" s="16" t="n"/>
      <c r="EC144" s="16" t="n"/>
      <c r="ED144" s="16" t="n"/>
      <c r="EE144" s="16" t="n"/>
      <c r="EF144" s="16" t="n"/>
      <c r="EG144" s="16" t="n"/>
      <c r="EH144" s="16" t="n">
        <v>540.402813</v>
      </c>
      <c r="EI144" s="16" t="n">
        <v>3176.083328</v>
      </c>
      <c r="EJ144" s="16" t="n"/>
      <c r="EK144" s="16" t="n"/>
      <c r="EL144" s="16" t="n"/>
      <c r="EM144" s="16" t="n"/>
      <c r="EN144" s="16" t="n"/>
      <c r="EO144" s="16" t="n"/>
      <c r="EP144" s="16" t="n"/>
      <c r="EQ144" s="16" t="n"/>
      <c r="ER144" s="16" t="n"/>
      <c r="ES144" s="16" t="n"/>
      <c r="ET144" s="16" t="n"/>
      <c r="EU144" s="16" t="n"/>
    </row>
    <row r="145">
      <c r="BS145" s="16" t="n"/>
      <c r="BT145" s="16" t="n"/>
      <c r="BU145" s="16" t="n">
        <v>0.422961</v>
      </c>
      <c r="BV145" s="16" t="n">
        <v>439.456656</v>
      </c>
      <c r="BW145" s="16" t="n"/>
      <c r="BX145" s="16" t="n"/>
      <c r="BY145" s="16" t="n"/>
      <c r="BZ145" s="16" t="n"/>
      <c r="CA145" s="16" t="n">
        <v>0.422961</v>
      </c>
      <c r="CB145" s="16" t="n">
        <v>289.82353</v>
      </c>
      <c r="CC145" s="16" t="n"/>
      <c r="CD145" s="16" t="n"/>
      <c r="CE145" s="16" t="n"/>
      <c r="CF145" s="16" t="n"/>
      <c r="CG145" s="16" t="n">
        <v>0.422961</v>
      </c>
      <c r="CH145" s="16" t="n">
        <v>3132.991412</v>
      </c>
      <c r="CI145" s="16" t="n"/>
      <c r="CJ145" s="16" t="n"/>
      <c r="CK145" s="16" t="n"/>
      <c r="CL145" s="16" t="n"/>
      <c r="CM145" s="16" t="n">
        <v>0.422961</v>
      </c>
      <c r="CN145" s="16" t="n">
        <v>697.835226</v>
      </c>
      <c r="CO145" s="16" t="n"/>
      <c r="CP145" s="16" t="n"/>
      <c r="CQ145" s="16" t="n"/>
      <c r="CR145" s="16" t="n"/>
      <c r="CS145" s="16" t="n">
        <v>0.422961</v>
      </c>
      <c r="CT145" s="16" t="n">
        <v>0.664482</v>
      </c>
      <c r="CU145" s="16" t="n"/>
      <c r="CV145" s="16" t="n"/>
      <c r="CW145" s="16" t="n"/>
      <c r="CX145" s="16" t="n"/>
      <c r="CY145" s="16" t="n">
        <v>0.422961</v>
      </c>
      <c r="CZ145" s="16" t="n">
        <v>0.821457</v>
      </c>
      <c r="DA145" s="16" t="n"/>
      <c r="DB145" s="16" t="n"/>
      <c r="DC145" s="16" t="n"/>
      <c r="DD145" s="16" t="n"/>
      <c r="DE145" s="16" t="n">
        <v>0.422961</v>
      </c>
      <c r="DF145" s="16" t="n">
        <v>0.746731</v>
      </c>
      <c r="DG145" s="16" t="n"/>
      <c r="DH145" s="16" t="n"/>
      <c r="DI145" s="16" t="n"/>
      <c r="DJ145" s="16" t="n"/>
      <c r="DK145" s="16" t="n">
        <v>0.422961</v>
      </c>
      <c r="DL145" s="16" t="n">
        <v>0.755345</v>
      </c>
      <c r="DM145" s="16" t="n"/>
      <c r="DN145" s="16" t="n"/>
      <c r="DO145" s="16" t="n"/>
      <c r="DP145" s="16" t="n"/>
      <c r="DQ145" s="16" t="n">
        <v>0.422961</v>
      </c>
      <c r="DR145" s="16" t="n">
        <v>0.749817</v>
      </c>
      <c r="DS145" s="16" t="n"/>
      <c r="DT145" s="16" t="n"/>
      <c r="DU145" s="16" t="n"/>
      <c r="DV145" s="16" t="n"/>
      <c r="DW145" s="16" t="n">
        <v>0.422961</v>
      </c>
      <c r="DX145" s="16" t="n">
        <v>0.782658</v>
      </c>
      <c r="DY145" s="16" t="n"/>
      <c r="DZ145" s="16" t="n"/>
      <c r="EB145" s="16" t="n"/>
      <c r="EC145" s="16" t="n"/>
      <c r="ED145" s="16" t="n"/>
      <c r="EE145" s="16" t="n"/>
      <c r="EF145" s="16" t="n"/>
      <c r="EG145" s="16" t="n"/>
      <c r="EH145" s="16" t="n">
        <v>505.836819</v>
      </c>
      <c r="EI145" s="16" t="n">
        <v>3654.299154</v>
      </c>
      <c r="EJ145" s="16" t="n"/>
      <c r="EK145" s="16" t="n"/>
      <c r="EL145" s="16" t="n"/>
      <c r="EM145" s="16" t="n"/>
      <c r="EN145" s="16" t="n"/>
      <c r="EO145" s="16" t="n"/>
      <c r="EP145" s="16" t="n"/>
      <c r="EQ145" s="16" t="n"/>
      <c r="ER145" s="16" t="n"/>
      <c r="ES145" s="16" t="n"/>
      <c r="ET145" s="16" t="n"/>
      <c r="EU145" s="16" t="n"/>
    </row>
    <row r="146">
      <c r="BS146" s="16" t="n"/>
      <c r="BT146" s="16" t="n"/>
      <c r="BU146" s="16" t="n">
        <v>0.425982</v>
      </c>
      <c r="BV146" s="16" t="n">
        <v>439.504224</v>
      </c>
      <c r="BW146" s="16" t="n"/>
      <c r="BX146" s="16" t="n"/>
      <c r="BY146" s="16" t="n"/>
      <c r="BZ146" s="16" t="n"/>
      <c r="CA146" s="16" t="n">
        <v>0.425982</v>
      </c>
      <c r="CB146" s="16" t="n">
        <v>289.847379</v>
      </c>
      <c r="CC146" s="16" t="n"/>
      <c r="CD146" s="16" t="n"/>
      <c r="CE146" s="16" t="n"/>
      <c r="CF146" s="16" t="n"/>
      <c r="CG146" s="16" t="n">
        <v>0.425982</v>
      </c>
      <c r="CH146" s="16" t="n">
        <v>3139.517686</v>
      </c>
      <c r="CI146" s="16" t="n"/>
      <c r="CJ146" s="16" t="n"/>
      <c r="CK146" s="16" t="n"/>
      <c r="CL146" s="16" t="n"/>
      <c r="CM146" s="16" t="n">
        <v>0.425982</v>
      </c>
      <c r="CN146" s="16" t="n">
        <v>702.244332</v>
      </c>
      <c r="CO146" s="16" t="n"/>
      <c r="CP146" s="16" t="n"/>
      <c r="CQ146" s="16" t="n"/>
      <c r="CR146" s="16" t="n"/>
      <c r="CS146" s="16" t="n">
        <v>0.425982</v>
      </c>
      <c r="CT146" s="16" t="n">
        <v>0.664664</v>
      </c>
      <c r="CU146" s="16" t="n"/>
      <c r="CV146" s="16" t="n"/>
      <c r="CW146" s="16" t="n"/>
      <c r="CX146" s="16" t="n"/>
      <c r="CY146" s="16" t="n">
        <v>0.425982</v>
      </c>
      <c r="CZ146" s="16" t="n">
        <v>0.822254</v>
      </c>
      <c r="DA146" s="16" t="n"/>
      <c r="DB146" s="16" t="n"/>
      <c r="DC146" s="16" t="n"/>
      <c r="DD146" s="16" t="n"/>
      <c r="DE146" s="16" t="n">
        <v>0.425982</v>
      </c>
      <c r="DF146" s="16" t="n">
        <v>0.747587</v>
      </c>
      <c r="DG146" s="16" t="n"/>
      <c r="DH146" s="16" t="n"/>
      <c r="DI146" s="16" t="n"/>
      <c r="DJ146" s="16" t="n"/>
      <c r="DK146" s="16" t="n">
        <v>0.425982</v>
      </c>
      <c r="DL146" s="16" t="n">
        <v>0.755888</v>
      </c>
      <c r="DM146" s="16" t="n"/>
      <c r="DN146" s="16" t="n"/>
      <c r="DO146" s="16" t="n"/>
      <c r="DP146" s="16" t="n"/>
      <c r="DQ146" s="16" t="n">
        <v>0.425982</v>
      </c>
      <c r="DR146" s="16" t="n">
        <v>0.750705</v>
      </c>
      <c r="DS146" s="16" t="n"/>
      <c r="DT146" s="16" t="n"/>
      <c r="DU146" s="16" t="n"/>
      <c r="DV146" s="16" t="n"/>
      <c r="DW146" s="16" t="n">
        <v>0.425982</v>
      </c>
      <c r="DX146" s="16" t="n">
        <v>0.78321</v>
      </c>
      <c r="DY146" s="16" t="n"/>
      <c r="DZ146" s="16" t="n"/>
      <c r="EB146" s="16" t="n"/>
      <c r="EC146" s="16" t="n"/>
      <c r="ED146" s="16" t="n"/>
      <c r="EE146" s="16" t="n"/>
      <c r="EF146" s="16" t="n"/>
      <c r="EG146" s="16" t="n"/>
      <c r="EH146" s="16" t="n">
        <v>1130.379176</v>
      </c>
      <c r="EI146" s="16" t="n">
        <v>4801.644154</v>
      </c>
      <c r="EJ146" s="16" t="n"/>
      <c r="EK146" s="16" t="n"/>
      <c r="EL146" s="16" t="n"/>
      <c r="EM146" s="16" t="n"/>
      <c r="EN146" s="16" t="n"/>
      <c r="EO146" s="16" t="n"/>
      <c r="EP146" s="16" t="n"/>
      <c r="EQ146" s="16" t="n"/>
      <c r="ER146" s="16" t="n"/>
      <c r="ES146" s="16" t="n"/>
      <c r="ET146" s="16" t="n"/>
      <c r="EU146" s="16" t="n"/>
    </row>
    <row r="147">
      <c r="BS147" s="16" t="n"/>
      <c r="BT147" s="16" t="n"/>
      <c r="BU147" s="16" t="n">
        <v>0.429003</v>
      </c>
      <c r="BV147" s="16" t="n">
        <v>439.921786</v>
      </c>
      <c r="BW147" s="16" t="n"/>
      <c r="BX147" s="16" t="n"/>
      <c r="BY147" s="16" t="n"/>
      <c r="BZ147" s="16" t="n"/>
      <c r="CA147" s="16" t="n">
        <v>0.429003</v>
      </c>
      <c r="CB147" s="16" t="n">
        <v>289.889002</v>
      </c>
      <c r="CC147" s="16" t="n"/>
      <c r="CD147" s="16" t="n"/>
      <c r="CE147" s="16" t="n"/>
      <c r="CF147" s="16" t="n"/>
      <c r="CG147" s="16" t="n">
        <v>0.429003</v>
      </c>
      <c r="CH147" s="16" t="n">
        <v>3143.410295</v>
      </c>
      <c r="CI147" s="16" t="n"/>
      <c r="CJ147" s="16" t="n"/>
      <c r="CK147" s="16" t="n"/>
      <c r="CL147" s="16" t="n"/>
      <c r="CM147" s="16" t="n">
        <v>0.429003</v>
      </c>
      <c r="CN147" s="16" t="n">
        <v>705.043232</v>
      </c>
      <c r="CO147" s="16" t="n"/>
      <c r="CP147" s="16" t="n"/>
      <c r="CQ147" s="16" t="n"/>
      <c r="CR147" s="16" t="n"/>
      <c r="CS147" s="16" t="n">
        <v>0.429003</v>
      </c>
      <c r="CT147" s="16" t="n">
        <v>0.666852</v>
      </c>
      <c r="CU147" s="16" t="n"/>
      <c r="CV147" s="16" t="n"/>
      <c r="CW147" s="16" t="n"/>
      <c r="CX147" s="16" t="n"/>
      <c r="CY147" s="16" t="n">
        <v>0.429003</v>
      </c>
      <c r="CZ147" s="16" t="n">
        <v>0.822705</v>
      </c>
      <c r="DA147" s="16" t="n"/>
      <c r="DB147" s="16" t="n"/>
      <c r="DC147" s="16" t="n"/>
      <c r="DD147" s="16" t="n"/>
      <c r="DE147" s="16" t="n">
        <v>0.429003</v>
      </c>
      <c r="DF147" s="16" t="n">
        <v>0.747828</v>
      </c>
      <c r="DG147" s="16" t="n"/>
      <c r="DH147" s="16" t="n"/>
      <c r="DI147" s="16" t="n"/>
      <c r="DJ147" s="16" t="n"/>
      <c r="DK147" s="16" t="n">
        <v>0.429003</v>
      </c>
      <c r="DL147" s="16" t="n">
        <v>0.756642</v>
      </c>
      <c r="DM147" s="16" t="n"/>
      <c r="DN147" s="16" t="n"/>
      <c r="DO147" s="16" t="n"/>
      <c r="DP147" s="16" t="n"/>
      <c r="DQ147" s="16" t="n">
        <v>0.429003</v>
      </c>
      <c r="DR147" s="16" t="n">
        <v>0.752492</v>
      </c>
      <c r="DS147" s="16" t="n"/>
      <c r="DT147" s="16" t="n"/>
      <c r="DU147" s="16" t="n"/>
      <c r="DV147" s="16" t="n"/>
      <c r="DW147" s="16" t="n">
        <v>0.429003</v>
      </c>
      <c r="DX147" s="16" t="n">
        <v>0.783578</v>
      </c>
      <c r="DY147" s="16" t="n"/>
      <c r="DZ147" s="16" t="n"/>
      <c r="EB147" s="16" t="n"/>
      <c r="EC147" s="16" t="n"/>
      <c r="ED147" s="16" t="n"/>
      <c r="EE147" s="16" t="n"/>
      <c r="EF147" s="16" t="n"/>
      <c r="EG147" s="16" t="n"/>
      <c r="EH147" s="16" t="n">
        <v>321.196232</v>
      </c>
      <c r="EI147" s="16" t="n">
        <v>3600.015429</v>
      </c>
      <c r="EJ147" s="16" t="n"/>
      <c r="EK147" s="16" t="n"/>
      <c r="EL147" s="16" t="n"/>
      <c r="EM147" s="16" t="n"/>
      <c r="EN147" s="16" t="n"/>
      <c r="EO147" s="16" t="n"/>
      <c r="EP147" s="16" t="n"/>
      <c r="EQ147" s="16" t="n"/>
      <c r="ER147" s="16" t="n"/>
      <c r="ES147" s="16" t="n"/>
      <c r="ET147" s="16" t="n"/>
      <c r="EU147" s="16" t="n"/>
    </row>
    <row r="148">
      <c r="BS148" s="16" t="n"/>
      <c r="BT148" s="16" t="n"/>
      <c r="BU148" s="16" t="n">
        <v>0.432024</v>
      </c>
      <c r="BV148" s="16" t="n">
        <v>440.391</v>
      </c>
      <c r="BW148" s="16" t="n"/>
      <c r="BX148" s="16" t="n"/>
      <c r="BY148" s="16" t="n"/>
      <c r="BZ148" s="16" t="n"/>
      <c r="CA148" s="16" t="n">
        <v>0.432024</v>
      </c>
      <c r="CB148" s="16" t="n">
        <v>289.921727</v>
      </c>
      <c r="CC148" s="16" t="n"/>
      <c r="CD148" s="16" t="n"/>
      <c r="CE148" s="16" t="n"/>
      <c r="CF148" s="16" t="n"/>
      <c r="CG148" s="16" t="n">
        <v>0.432024</v>
      </c>
      <c r="CH148" s="16" t="n">
        <v>3146.691582</v>
      </c>
      <c r="CI148" s="16" t="n"/>
      <c r="CJ148" s="16" t="n"/>
      <c r="CK148" s="16" t="n"/>
      <c r="CL148" s="16" t="n"/>
      <c r="CM148" s="16" t="n">
        <v>0.432024</v>
      </c>
      <c r="CN148" s="16" t="n">
        <v>707.909318</v>
      </c>
      <c r="CO148" s="16" t="n"/>
      <c r="CP148" s="16" t="n"/>
      <c r="CQ148" s="16" t="n"/>
      <c r="CR148" s="16" t="n"/>
      <c r="CS148" s="16" t="n">
        <v>0.432024</v>
      </c>
      <c r="CT148" s="16" t="n">
        <v>0.667727</v>
      </c>
      <c r="CU148" s="16" t="n"/>
      <c r="CV148" s="16" t="n"/>
      <c r="CW148" s="16" t="n"/>
      <c r="CX148" s="16" t="n"/>
      <c r="CY148" s="16" t="n">
        <v>0.432024</v>
      </c>
      <c r="CZ148" s="16" t="n">
        <v>0.823187</v>
      </c>
      <c r="DA148" s="16" t="n"/>
      <c r="DB148" s="16" t="n"/>
      <c r="DC148" s="16" t="n"/>
      <c r="DD148" s="16" t="n"/>
      <c r="DE148" s="16" t="n">
        <v>0.432024</v>
      </c>
      <c r="DF148" s="16" t="n">
        <v>0.74895</v>
      </c>
      <c r="DG148" s="16" t="n"/>
      <c r="DH148" s="16" t="n"/>
      <c r="DI148" s="16" t="n"/>
      <c r="DJ148" s="16" t="n"/>
      <c r="DK148" s="16" t="n">
        <v>0.432024</v>
      </c>
      <c r="DL148" s="16" t="n">
        <v>0.75862</v>
      </c>
      <c r="DM148" s="16" t="n"/>
      <c r="DN148" s="16" t="n"/>
      <c r="DO148" s="16" t="n"/>
      <c r="DP148" s="16" t="n"/>
      <c r="DQ148" s="16" t="n">
        <v>0.432024</v>
      </c>
      <c r="DR148" s="16" t="n">
        <v>0.753908</v>
      </c>
      <c r="DS148" s="16" t="n"/>
      <c r="DT148" s="16" t="n"/>
      <c r="DU148" s="16" t="n"/>
      <c r="DV148" s="16" t="n"/>
      <c r="DW148" s="16" t="n">
        <v>0.432024</v>
      </c>
      <c r="DX148" s="16" t="n">
        <v>0.7845529999999999</v>
      </c>
      <c r="DY148" s="16" t="n"/>
      <c r="DZ148" s="16" t="n"/>
      <c r="EB148" s="16" t="n"/>
      <c r="EC148" s="16" t="n"/>
      <c r="ED148" s="16" t="n"/>
      <c r="EE148" s="16" t="n"/>
      <c r="EF148" s="16" t="n"/>
      <c r="EG148" s="16" t="n"/>
      <c r="EH148" s="16" t="n">
        <v>711.233709</v>
      </c>
      <c r="EI148" s="16" t="n">
        <v>3819.266813</v>
      </c>
      <c r="EJ148" s="16" t="n"/>
      <c r="EK148" s="16" t="n"/>
      <c r="EL148" s="16" t="n"/>
      <c r="EM148" s="16" t="n"/>
      <c r="EN148" s="16" t="n"/>
      <c r="EO148" s="16" t="n"/>
      <c r="EP148" s="16" t="n"/>
      <c r="EQ148" s="16" t="n"/>
      <c r="ER148" s="16" t="n"/>
      <c r="ES148" s="16" t="n"/>
      <c r="ET148" s="16" t="n"/>
      <c r="EU148" s="16" t="n"/>
    </row>
    <row r="149">
      <c r="BS149" s="16" t="n"/>
      <c r="BT149" s="16" t="n"/>
      <c r="BU149" s="16" t="n">
        <v>0.435045</v>
      </c>
      <c r="BV149" s="16" t="n">
        <v>441.457375</v>
      </c>
      <c r="BW149" s="16" t="n"/>
      <c r="BX149" s="16" t="n"/>
      <c r="BY149" s="16" t="n"/>
      <c r="BZ149" s="16" t="n"/>
      <c r="CA149" s="16" t="n">
        <v>0.435045</v>
      </c>
      <c r="CB149" s="16" t="n">
        <v>289.98164</v>
      </c>
      <c r="CC149" s="16" t="n"/>
      <c r="CD149" s="16" t="n"/>
      <c r="CE149" s="16" t="n"/>
      <c r="CF149" s="16" t="n"/>
      <c r="CG149" s="16" t="n">
        <v>0.435045</v>
      </c>
      <c r="CH149" s="16" t="n">
        <v>3155.202145</v>
      </c>
      <c r="CI149" s="16" t="n"/>
      <c r="CJ149" s="16" t="n"/>
      <c r="CK149" s="16" t="n"/>
      <c r="CL149" s="16" t="n"/>
      <c r="CM149" s="16" t="n">
        <v>0.435045</v>
      </c>
      <c r="CN149" s="16" t="n">
        <v>711.233709</v>
      </c>
      <c r="CO149" s="16" t="n"/>
      <c r="CP149" s="16" t="n"/>
      <c r="CQ149" s="16" t="n"/>
      <c r="CR149" s="16" t="n"/>
      <c r="CS149" s="16" t="n">
        <v>0.435045</v>
      </c>
      <c r="CT149" s="16" t="n">
        <v>0.669478</v>
      </c>
      <c r="CU149" s="16" t="n"/>
      <c r="CV149" s="16" t="n"/>
      <c r="CW149" s="16" t="n"/>
      <c r="CX149" s="16" t="n"/>
      <c r="CY149" s="16" t="n">
        <v>0.435045</v>
      </c>
      <c r="CZ149" s="16" t="n">
        <v>0.8233009999999999</v>
      </c>
      <c r="DA149" s="16" t="n"/>
      <c r="DB149" s="16" t="n"/>
      <c r="DC149" s="16" t="n"/>
      <c r="DD149" s="16" t="n"/>
      <c r="DE149" s="16" t="n">
        <v>0.435045</v>
      </c>
      <c r="DF149" s="16" t="n">
        <v>0.750318</v>
      </c>
      <c r="DG149" s="16" t="n"/>
      <c r="DH149" s="16" t="n"/>
      <c r="DI149" s="16" t="n"/>
      <c r="DJ149" s="16" t="n"/>
      <c r="DK149" s="16" t="n">
        <v>0.435045</v>
      </c>
      <c r="DL149" s="16" t="n">
        <v>0.759198</v>
      </c>
      <c r="DM149" s="16" t="n"/>
      <c r="DN149" s="16" t="n"/>
      <c r="DO149" s="16" t="n"/>
      <c r="DP149" s="16" t="n"/>
      <c r="DQ149" s="16" t="n">
        <v>0.435045</v>
      </c>
      <c r="DR149" s="16" t="n">
        <v>0.754317</v>
      </c>
      <c r="DS149" s="16" t="n"/>
      <c r="DT149" s="16" t="n"/>
      <c r="DU149" s="16" t="n"/>
      <c r="DV149" s="16" t="n"/>
      <c r="DW149" s="16" t="n">
        <v>0.435045</v>
      </c>
      <c r="DX149" s="16" t="n">
        <v>0.784664</v>
      </c>
      <c r="DY149" s="16" t="n"/>
      <c r="DZ149" s="16" t="n"/>
      <c r="EB149" s="16" t="n"/>
      <c r="EC149" s="16" t="n"/>
      <c r="ED149" s="16" t="n"/>
      <c r="EE149" s="16" t="n"/>
      <c r="EF149" s="16" t="n"/>
      <c r="EG149" s="16" t="n"/>
      <c r="EH149" s="16" t="n">
        <v>742.443833</v>
      </c>
      <c r="EI149" s="16" t="n">
        <v>2753.040648</v>
      </c>
      <c r="EJ149" s="16" t="n"/>
      <c r="EK149" s="16" t="n"/>
      <c r="EL149" s="16" t="n"/>
      <c r="EM149" s="16" t="n"/>
      <c r="EN149" s="16" t="n"/>
      <c r="EO149" s="16" t="n"/>
      <c r="EP149" s="16" t="n"/>
      <c r="EQ149" s="16" t="n"/>
      <c r="ER149" s="16" t="n"/>
      <c r="ES149" s="16" t="n"/>
      <c r="ET149" s="16" t="n"/>
      <c r="EU149" s="16" t="n"/>
    </row>
    <row r="150">
      <c r="BS150" s="16" t="n"/>
      <c r="BT150" s="16" t="n"/>
      <c r="BU150" s="16" t="n">
        <v>0.438066</v>
      </c>
      <c r="BV150" s="16" t="n">
        <v>442.203665</v>
      </c>
      <c r="BW150" s="16" t="n"/>
      <c r="BX150" s="16" t="n"/>
      <c r="BY150" s="16" t="n"/>
      <c r="BZ150" s="16" t="n"/>
      <c r="CA150" s="16" t="n">
        <v>0.438066</v>
      </c>
      <c r="CB150" s="16" t="n">
        <v>290.043039</v>
      </c>
      <c r="CC150" s="16" t="n"/>
      <c r="CD150" s="16" t="n"/>
      <c r="CE150" s="16" t="n"/>
      <c r="CF150" s="16" t="n"/>
      <c r="CG150" s="16" t="n">
        <v>0.438066</v>
      </c>
      <c r="CH150" s="16" t="n">
        <v>3156.258463</v>
      </c>
      <c r="CI150" s="16" t="n"/>
      <c r="CJ150" s="16" t="n"/>
      <c r="CK150" s="16" t="n"/>
      <c r="CL150" s="16" t="n"/>
      <c r="CM150" s="16" t="n">
        <v>0.438066</v>
      </c>
      <c r="CN150" s="16" t="n">
        <v>717.8868639999999</v>
      </c>
      <c r="CO150" s="16" t="n"/>
      <c r="CP150" s="16" t="n"/>
      <c r="CQ150" s="16" t="n"/>
      <c r="CR150" s="16" t="n"/>
      <c r="CS150" s="16" t="n">
        <v>0.438066</v>
      </c>
      <c r="CT150" s="16" t="n">
        <v>0.670631</v>
      </c>
      <c r="CU150" s="16" t="n"/>
      <c r="CV150" s="16" t="n"/>
      <c r="CW150" s="16" t="n"/>
      <c r="CX150" s="16" t="n"/>
      <c r="CY150" s="16" t="n">
        <v>0.438066</v>
      </c>
      <c r="CZ150" s="16" t="n">
        <v>0.82416</v>
      </c>
      <c r="DA150" s="16" t="n"/>
      <c r="DB150" s="16" t="n"/>
      <c r="DC150" s="16" t="n"/>
      <c r="DD150" s="16" t="n"/>
      <c r="DE150" s="16" t="n">
        <v>0.438066</v>
      </c>
      <c r="DF150" s="16" t="n">
        <v>0.751403</v>
      </c>
      <c r="DG150" s="16" t="n"/>
      <c r="DH150" s="16" t="n"/>
      <c r="DI150" s="16" t="n"/>
      <c r="DJ150" s="16" t="n"/>
      <c r="DK150" s="16" t="n">
        <v>0.438066</v>
      </c>
      <c r="DL150" s="16" t="n">
        <v>0.760155</v>
      </c>
      <c r="DM150" s="16" t="n"/>
      <c r="DN150" s="16" t="n"/>
      <c r="DO150" s="16" t="n"/>
      <c r="DP150" s="16" t="n"/>
      <c r="DQ150" s="16" t="n">
        <v>0.438066</v>
      </c>
      <c r="DR150" s="16" t="n">
        <v>0.756177</v>
      </c>
      <c r="DS150" s="16" t="n"/>
      <c r="DT150" s="16" t="n"/>
      <c r="DU150" s="16" t="n"/>
      <c r="DV150" s="16" t="n"/>
      <c r="DW150" s="16" t="n">
        <v>0.438066</v>
      </c>
      <c r="DX150" s="16" t="n">
        <v>0.785803</v>
      </c>
      <c r="DY150" s="16" t="n"/>
      <c r="DZ150" s="16" t="n"/>
      <c r="EB150" s="16" t="n"/>
      <c r="EC150" s="16" t="n"/>
      <c r="ED150" s="16" t="n"/>
      <c r="EE150" s="16" t="n"/>
      <c r="EF150" s="16" t="n"/>
      <c r="EG150" s="16" t="n"/>
      <c r="EH150" s="16" t="n">
        <v>622.608185</v>
      </c>
      <c r="EI150" s="16" t="n">
        <v>4113.946708</v>
      </c>
      <c r="EJ150" s="16" t="n"/>
      <c r="EK150" s="16" t="n"/>
      <c r="EL150" s="16" t="n"/>
      <c r="EM150" s="16" t="n"/>
      <c r="EN150" s="16" t="n"/>
      <c r="EO150" s="16" t="n"/>
      <c r="EP150" s="16" t="n"/>
      <c r="EQ150" s="16" t="n"/>
      <c r="ER150" s="16" t="n"/>
      <c r="ES150" s="16" t="n"/>
      <c r="ET150" s="16" t="n"/>
      <c r="EU150" s="16" t="n"/>
    </row>
    <row r="151">
      <c r="BS151" s="16" t="n"/>
      <c r="BT151" s="16" t="n"/>
      <c r="BU151" s="16" t="n">
        <v>0.441088</v>
      </c>
      <c r="BV151" s="16" t="n">
        <v>442.25082</v>
      </c>
      <c r="BW151" s="16" t="n"/>
      <c r="BX151" s="16" t="n"/>
      <c r="BY151" s="16" t="n"/>
      <c r="BZ151" s="16" t="n"/>
      <c r="CA151" s="16" t="n">
        <v>0.441088</v>
      </c>
      <c r="CB151" s="16" t="n">
        <v>290.095883</v>
      </c>
      <c r="CC151" s="16" t="n"/>
      <c r="CD151" s="16" t="n"/>
      <c r="CE151" s="16" t="n"/>
      <c r="CF151" s="16" t="n"/>
      <c r="CG151" s="16" t="n">
        <v>0.441088</v>
      </c>
      <c r="CH151" s="16" t="n">
        <v>3176.083328</v>
      </c>
      <c r="CI151" s="16" t="n"/>
      <c r="CJ151" s="16" t="n"/>
      <c r="CK151" s="16" t="n"/>
      <c r="CL151" s="16" t="n"/>
      <c r="CM151" s="16" t="n">
        <v>0.441088</v>
      </c>
      <c r="CN151" s="16" t="n">
        <v>719.411465</v>
      </c>
      <c r="CO151" s="16" t="n"/>
      <c r="CP151" s="16" t="n"/>
      <c r="CQ151" s="16" t="n"/>
      <c r="CR151" s="16" t="n"/>
      <c r="CS151" s="16" t="n">
        <v>0.441088</v>
      </c>
      <c r="CT151" s="16" t="n">
        <v>0.670827</v>
      </c>
      <c r="CU151" s="16" t="n"/>
      <c r="CV151" s="16" t="n"/>
      <c r="CW151" s="16" t="n"/>
      <c r="CX151" s="16" t="n"/>
      <c r="CY151" s="16" t="n">
        <v>0.441088</v>
      </c>
      <c r="CZ151" s="16" t="n">
        <v>0.82437</v>
      </c>
      <c r="DA151" s="16" t="n"/>
      <c r="DB151" s="16" t="n"/>
      <c r="DC151" s="16" t="n"/>
      <c r="DD151" s="16" t="n"/>
      <c r="DE151" s="16" t="n">
        <v>0.441088</v>
      </c>
      <c r="DF151" s="16" t="n">
        <v>0.751543</v>
      </c>
      <c r="DG151" s="16" t="n"/>
      <c r="DH151" s="16" t="n"/>
      <c r="DI151" s="16" t="n"/>
      <c r="DJ151" s="16" t="n"/>
      <c r="DK151" s="16" t="n">
        <v>0.441088</v>
      </c>
      <c r="DL151" s="16" t="n">
        <v>0.761138</v>
      </c>
      <c r="DM151" s="16" t="n"/>
      <c r="DN151" s="16" t="n"/>
      <c r="DO151" s="16" t="n"/>
      <c r="DP151" s="16" t="n"/>
      <c r="DQ151" s="16" t="n">
        <v>0.441088</v>
      </c>
      <c r="DR151" s="16" t="n">
        <v>0.757061</v>
      </c>
      <c r="DS151" s="16" t="n"/>
      <c r="DT151" s="16" t="n"/>
      <c r="DU151" s="16" t="n"/>
      <c r="DV151" s="16" t="n"/>
      <c r="DW151" s="16" t="n">
        <v>0.441088</v>
      </c>
      <c r="DX151" s="16" t="n">
        <v>0.785918</v>
      </c>
      <c r="DY151" s="16" t="n"/>
      <c r="DZ151" s="16" t="n"/>
      <c r="EB151" s="16" t="n"/>
      <c r="EC151" s="16" t="n"/>
      <c r="ED151" s="16" t="n"/>
      <c r="EE151" s="16" t="n"/>
      <c r="EF151" s="16" t="n"/>
      <c r="EG151" s="16" t="n"/>
      <c r="EH151" s="16" t="n">
        <v>756.850915</v>
      </c>
      <c r="EI151" s="16" t="n">
        <v>2095.385835</v>
      </c>
      <c r="EJ151" s="16" t="n"/>
      <c r="EK151" s="16" t="n"/>
      <c r="EL151" s="16" t="n"/>
      <c r="EM151" s="16" t="n"/>
      <c r="EN151" s="16" t="n"/>
      <c r="EO151" s="16" t="n"/>
      <c r="EP151" s="16" t="n"/>
      <c r="EQ151" s="16" t="n"/>
      <c r="ER151" s="16" t="n"/>
      <c r="ES151" s="16" t="n"/>
      <c r="ET151" s="16" t="n"/>
      <c r="EU151" s="16" t="n"/>
    </row>
    <row r="152">
      <c r="BS152" s="16" t="n"/>
      <c r="BT152" s="16" t="n"/>
      <c r="BU152" s="16" t="n">
        <v>0.444109</v>
      </c>
      <c r="BV152" s="16" t="n">
        <v>442.56328</v>
      </c>
      <c r="BW152" s="16" t="n"/>
      <c r="BX152" s="16" t="n"/>
      <c r="BY152" s="16" t="n"/>
      <c r="BZ152" s="16" t="n"/>
      <c r="CA152" s="16" t="n">
        <v>0.444109</v>
      </c>
      <c r="CB152" s="16" t="n">
        <v>290.316273</v>
      </c>
      <c r="CC152" s="16" t="n"/>
      <c r="CD152" s="16" t="n"/>
      <c r="CE152" s="16" t="n"/>
      <c r="CF152" s="16" t="n"/>
      <c r="CG152" s="16" t="n">
        <v>0.444109</v>
      </c>
      <c r="CH152" s="16" t="n">
        <v>3180.619696</v>
      </c>
      <c r="CI152" s="16" t="n"/>
      <c r="CJ152" s="16" t="n"/>
      <c r="CK152" s="16" t="n"/>
      <c r="CL152" s="16" t="n"/>
      <c r="CM152" s="16" t="n">
        <v>0.444109</v>
      </c>
      <c r="CN152" s="16" t="n">
        <v>720.746204</v>
      </c>
      <c r="CO152" s="16" t="n"/>
      <c r="CP152" s="16" t="n"/>
      <c r="CQ152" s="16" t="n"/>
      <c r="CR152" s="16" t="n"/>
      <c r="CS152" s="16" t="n">
        <v>0.444109</v>
      </c>
      <c r="CT152" s="16" t="n">
        <v>0.673628</v>
      </c>
      <c r="CU152" s="16" t="n"/>
      <c r="CV152" s="16" t="n"/>
      <c r="CW152" s="16" t="n"/>
      <c r="CX152" s="16" t="n"/>
      <c r="CY152" s="16" t="n">
        <v>0.444109</v>
      </c>
      <c r="CZ152" s="16" t="n">
        <v>0.824913</v>
      </c>
      <c r="DA152" s="16" t="n"/>
      <c r="DB152" s="16" t="n"/>
      <c r="DC152" s="16" t="n"/>
      <c r="DD152" s="16" t="n"/>
      <c r="DE152" s="16" t="n">
        <v>0.444109</v>
      </c>
      <c r="DF152" s="16" t="n">
        <v>0.752831</v>
      </c>
      <c r="DG152" s="16" t="n"/>
      <c r="DH152" s="16" t="n"/>
      <c r="DI152" s="16" t="n"/>
      <c r="DJ152" s="16" t="n"/>
      <c r="DK152" s="16" t="n">
        <v>0.444109</v>
      </c>
      <c r="DL152" s="16" t="n">
        <v>0.763135</v>
      </c>
      <c r="DM152" s="16" t="n"/>
      <c r="DN152" s="16" t="n"/>
      <c r="DO152" s="16" t="n"/>
      <c r="DP152" s="16" t="n"/>
      <c r="DQ152" s="16" t="n">
        <v>0.444109</v>
      </c>
      <c r="DR152" s="16" t="n">
        <v>0.758002</v>
      </c>
      <c r="DS152" s="16" t="n"/>
      <c r="DT152" s="16" t="n"/>
      <c r="DU152" s="16" t="n"/>
      <c r="DV152" s="16" t="n"/>
      <c r="DW152" s="16" t="n">
        <v>0.444109</v>
      </c>
      <c r="DX152" s="16" t="n">
        <v>0.785984</v>
      </c>
      <c r="DY152" s="16" t="n"/>
      <c r="DZ152" s="16" t="n"/>
      <c r="EB152" s="16" t="n"/>
      <c r="EC152" s="16" t="n"/>
      <c r="ED152" s="16" t="n"/>
      <c r="EE152" s="16" t="n"/>
      <c r="EF152" s="16" t="n"/>
      <c r="EG152" s="16" t="n"/>
      <c r="EH152" s="16" t="n">
        <v>475.732855</v>
      </c>
      <c r="EI152" s="16" t="n">
        <v>3290.178001</v>
      </c>
      <c r="EJ152" s="16" t="n"/>
      <c r="EK152" s="16" t="n"/>
      <c r="EL152" s="16" t="n"/>
      <c r="EM152" s="16" t="n"/>
      <c r="EN152" s="16" t="n"/>
      <c r="EO152" s="16" t="n"/>
      <c r="EP152" s="16" t="n"/>
      <c r="EQ152" s="16" t="n"/>
      <c r="ER152" s="16" t="n"/>
      <c r="ES152" s="16" t="n"/>
      <c r="ET152" s="16" t="n"/>
      <c r="EU152" s="16" t="n"/>
    </row>
    <row r="153">
      <c r="BS153" s="16" t="n"/>
      <c r="BT153" s="16" t="n"/>
      <c r="BU153" s="16" t="n">
        <v>0.44713</v>
      </c>
      <c r="BV153" s="16" t="n">
        <v>443.181942</v>
      </c>
      <c r="BW153" s="16" t="n"/>
      <c r="BX153" s="16" t="n"/>
      <c r="BY153" s="16" t="n"/>
      <c r="BZ153" s="16" t="n"/>
      <c r="CA153" s="16" t="n">
        <v>0.44713</v>
      </c>
      <c r="CB153" s="16" t="n">
        <v>290.403061</v>
      </c>
      <c r="CC153" s="16" t="n"/>
      <c r="CD153" s="16" t="n"/>
      <c r="CE153" s="16" t="n"/>
      <c r="CF153" s="16" t="n"/>
      <c r="CG153" s="16" t="n">
        <v>0.44713</v>
      </c>
      <c r="CH153" s="16" t="n">
        <v>3196.211656</v>
      </c>
      <c r="CI153" s="16" t="n"/>
      <c r="CJ153" s="16" t="n"/>
      <c r="CK153" s="16" t="n"/>
      <c r="CL153" s="16" t="n"/>
      <c r="CM153" s="16" t="n">
        <v>0.44713</v>
      </c>
      <c r="CN153" s="16" t="n">
        <v>722.856354</v>
      </c>
      <c r="CO153" s="16" t="n"/>
      <c r="CP153" s="16" t="n"/>
      <c r="CQ153" s="16" t="n"/>
      <c r="CR153" s="16" t="n"/>
      <c r="CS153" s="16" t="n">
        <v>0.44713</v>
      </c>
      <c r="CT153" s="16" t="n">
        <v>0.6744599999999999</v>
      </c>
      <c r="CU153" s="16" t="n"/>
      <c r="CV153" s="16" t="n"/>
      <c r="CW153" s="16" t="n"/>
      <c r="CX153" s="16" t="n"/>
      <c r="CY153" s="16" t="n">
        <v>0.44713</v>
      </c>
      <c r="CZ153" s="16" t="n">
        <v>0.826017</v>
      </c>
      <c r="DA153" s="16" t="n"/>
      <c r="DB153" s="16" t="n"/>
      <c r="DC153" s="16" t="n"/>
      <c r="DD153" s="16" t="n"/>
      <c r="DE153" s="16" t="n">
        <v>0.44713</v>
      </c>
      <c r="DF153" s="16" t="n">
        <v>0.753011</v>
      </c>
      <c r="DG153" s="16" t="n"/>
      <c r="DH153" s="16" t="n"/>
      <c r="DI153" s="16" t="n"/>
      <c r="DJ153" s="16" t="n"/>
      <c r="DK153" s="16" t="n">
        <v>0.44713</v>
      </c>
      <c r="DL153" s="16" t="n">
        <v>0.763309</v>
      </c>
      <c r="DM153" s="16" t="n"/>
      <c r="DN153" s="16" t="n"/>
      <c r="DO153" s="16" t="n"/>
      <c r="DP153" s="16" t="n"/>
      <c r="DQ153" s="16" t="n">
        <v>0.44713</v>
      </c>
      <c r="DR153" s="16" t="n">
        <v>0.759056</v>
      </c>
      <c r="DS153" s="16" t="n"/>
      <c r="DT153" s="16" t="n"/>
      <c r="DU153" s="16" t="n"/>
      <c r="DV153" s="16" t="n"/>
      <c r="DW153" s="16" t="n">
        <v>0.44713</v>
      </c>
      <c r="DX153" s="16" t="n">
        <v>0.7873289999999999</v>
      </c>
      <c r="DY153" s="16" t="n"/>
      <c r="DZ153" s="16" t="n"/>
      <c r="EB153" s="16" t="n"/>
      <c r="EC153" s="16" t="n"/>
      <c r="ED153" s="16" t="n"/>
      <c r="EE153" s="16" t="n"/>
      <c r="EF153" s="16" t="n"/>
      <c r="EG153" s="16" t="n"/>
      <c r="EH153" s="16" t="n">
        <v>779.709063</v>
      </c>
      <c r="EI153" s="16" t="n">
        <v>2580.865874</v>
      </c>
      <c r="EJ153" s="16" t="n"/>
      <c r="EK153" s="16" t="n"/>
      <c r="EL153" s="16" t="n"/>
      <c r="EM153" s="16" t="n"/>
      <c r="EN153" s="16" t="n"/>
      <c r="EO153" s="16" t="n"/>
      <c r="EP153" s="16" t="n"/>
      <c r="EQ153" s="16" t="n"/>
      <c r="ER153" s="16" t="n"/>
      <c r="ES153" s="16" t="n"/>
      <c r="ET153" s="16" t="n"/>
      <c r="EU153" s="16" t="n"/>
    </row>
    <row r="154">
      <c r="BS154" s="16" t="n"/>
      <c r="BT154" s="16" t="n"/>
      <c r="BU154" s="16" t="n">
        <v>0.450151</v>
      </c>
      <c r="BV154" s="16" t="n">
        <v>443.279159</v>
      </c>
      <c r="BW154" s="16" t="n"/>
      <c r="BX154" s="16" t="n"/>
      <c r="BY154" s="16" t="n"/>
      <c r="BZ154" s="16" t="n"/>
      <c r="CA154" s="16" t="n">
        <v>0.450151</v>
      </c>
      <c r="CB154" s="16" t="n">
        <v>290.431806</v>
      </c>
      <c r="CC154" s="16" t="n"/>
      <c r="CD154" s="16" t="n"/>
      <c r="CE154" s="16" t="n"/>
      <c r="CF154" s="16" t="n"/>
      <c r="CG154" s="16" t="n">
        <v>0.450151</v>
      </c>
      <c r="CH154" s="16" t="n">
        <v>3206.440936</v>
      </c>
      <c r="CI154" s="16" t="n"/>
      <c r="CJ154" s="16" t="n"/>
      <c r="CK154" s="16" t="n"/>
      <c r="CL154" s="16" t="n"/>
      <c r="CM154" s="16" t="n">
        <v>0.450151</v>
      </c>
      <c r="CN154" s="16" t="n">
        <v>726.34596</v>
      </c>
      <c r="CO154" s="16" t="n"/>
      <c r="CP154" s="16" t="n"/>
      <c r="CQ154" s="16" t="n"/>
      <c r="CR154" s="16" t="n"/>
      <c r="CS154" s="16" t="n">
        <v>0.450151</v>
      </c>
      <c r="CT154" s="16" t="n">
        <v>0.674942</v>
      </c>
      <c r="CU154" s="16" t="n"/>
      <c r="CV154" s="16" t="n"/>
      <c r="CW154" s="16" t="n"/>
      <c r="CX154" s="16" t="n"/>
      <c r="CY154" s="16" t="n">
        <v>0.450151</v>
      </c>
      <c r="CZ154" s="16" t="n">
        <v>0.827097</v>
      </c>
      <c r="DA154" s="16" t="n"/>
      <c r="DB154" s="16" t="n"/>
      <c r="DC154" s="16" t="n"/>
      <c r="DD154" s="16" t="n"/>
      <c r="DE154" s="16" t="n">
        <v>0.450151</v>
      </c>
      <c r="DF154" s="16" t="n">
        <v>0.753893</v>
      </c>
      <c r="DG154" s="16" t="n"/>
      <c r="DH154" s="16" t="n"/>
      <c r="DI154" s="16" t="n"/>
      <c r="DJ154" s="16" t="n"/>
      <c r="DK154" s="16" t="n">
        <v>0.450151</v>
      </c>
      <c r="DL154" s="16" t="n">
        <v>0.764028</v>
      </c>
      <c r="DM154" s="16" t="n"/>
      <c r="DN154" s="16" t="n"/>
      <c r="DO154" s="16" t="n"/>
      <c r="DP154" s="16" t="n"/>
      <c r="DQ154" s="16" t="n">
        <v>0.450151</v>
      </c>
      <c r="DR154" s="16" t="n">
        <v>0.7592680000000001</v>
      </c>
      <c r="DS154" s="16" t="n"/>
      <c r="DT154" s="16" t="n"/>
      <c r="DU154" s="16" t="n"/>
      <c r="DV154" s="16" t="n"/>
      <c r="DW154" s="16" t="n">
        <v>0.450151</v>
      </c>
      <c r="DX154" s="16" t="n">
        <v>0.78755</v>
      </c>
      <c r="DY154" s="16" t="n"/>
      <c r="DZ154" s="16" t="n"/>
      <c r="EB154" s="16" t="n"/>
      <c r="EC154" s="16" t="n"/>
      <c r="ED154" s="16" t="n"/>
      <c r="EE154" s="16" t="n"/>
      <c r="EF154" s="16" t="n"/>
      <c r="EG154" s="16" t="n"/>
      <c r="EH154" s="16" t="n">
        <v>484.300956</v>
      </c>
      <c r="EI154" s="16" t="n">
        <v>3798.265736</v>
      </c>
      <c r="EJ154" s="16" t="n"/>
      <c r="EK154" s="16" t="n"/>
      <c r="EL154" s="16" t="n"/>
      <c r="EM154" s="16" t="n"/>
      <c r="EN154" s="16" t="n"/>
      <c r="EO154" s="16" t="n"/>
      <c r="EP154" s="16" t="n"/>
      <c r="EQ154" s="16" t="n"/>
      <c r="ER154" s="16" t="n"/>
      <c r="ES154" s="16" t="n"/>
      <c r="ET154" s="16" t="n"/>
      <c r="EU154" s="16" t="n"/>
    </row>
    <row r="155">
      <c r="BS155" s="16" t="n"/>
      <c r="BT155" s="16" t="n"/>
      <c r="BU155" s="16" t="n">
        <v>0.453172</v>
      </c>
      <c r="BV155" s="16" t="n">
        <v>443.660557</v>
      </c>
      <c r="BW155" s="16" t="n"/>
      <c r="BX155" s="16" t="n"/>
      <c r="BY155" s="16" t="n"/>
      <c r="BZ155" s="16" t="n"/>
      <c r="CA155" s="16" t="n">
        <v>0.453172</v>
      </c>
      <c r="CB155" s="16" t="n">
        <v>290.519378</v>
      </c>
      <c r="CC155" s="16" t="n"/>
      <c r="CD155" s="16" t="n"/>
      <c r="CE155" s="16" t="n"/>
      <c r="CF155" s="16" t="n"/>
      <c r="CG155" s="16" t="n">
        <v>0.453172</v>
      </c>
      <c r="CH155" s="16" t="n">
        <v>3217.09207</v>
      </c>
      <c r="CI155" s="16" t="n"/>
      <c r="CJ155" s="16" t="n"/>
      <c r="CK155" s="16" t="n"/>
      <c r="CL155" s="16" t="n"/>
      <c r="CM155" s="16" t="n">
        <v>0.453172</v>
      </c>
      <c r="CN155" s="16" t="n">
        <v>726.467695</v>
      </c>
      <c r="CO155" s="16" t="n"/>
      <c r="CP155" s="16" t="n"/>
      <c r="CQ155" s="16" t="n"/>
      <c r="CR155" s="16" t="n"/>
      <c r="CS155" s="16" t="n">
        <v>0.453172</v>
      </c>
      <c r="CT155" s="16" t="n">
        <v>0.67539</v>
      </c>
      <c r="CU155" s="16" t="n"/>
      <c r="CV155" s="16" t="n"/>
      <c r="CW155" s="16" t="n"/>
      <c r="CX155" s="16" t="n"/>
      <c r="CY155" s="16" t="n">
        <v>0.453172</v>
      </c>
      <c r="CZ155" s="16" t="n">
        <v>0.827466</v>
      </c>
      <c r="DA155" s="16" t="n"/>
      <c r="DB155" s="16" t="n"/>
      <c r="DC155" s="16" t="n"/>
      <c r="DD155" s="16" t="n"/>
      <c r="DE155" s="16" t="n">
        <v>0.453172</v>
      </c>
      <c r="DF155" s="16" t="n">
        <v>0.7545500000000001</v>
      </c>
      <c r="DG155" s="16" t="n"/>
      <c r="DH155" s="16" t="n"/>
      <c r="DI155" s="16" t="n"/>
      <c r="DJ155" s="16" t="n"/>
      <c r="DK155" s="16" t="n">
        <v>0.453172</v>
      </c>
      <c r="DL155" s="16" t="n">
        <v>0.764563</v>
      </c>
      <c r="DM155" s="16" t="n"/>
      <c r="DN155" s="16" t="n"/>
      <c r="DO155" s="16" t="n"/>
      <c r="DP155" s="16" t="n"/>
      <c r="DQ155" s="16" t="n">
        <v>0.453172</v>
      </c>
      <c r="DR155" s="16" t="n">
        <v>0.760191</v>
      </c>
      <c r="DS155" s="16" t="n"/>
      <c r="DT155" s="16" t="n"/>
      <c r="DU155" s="16" t="n"/>
      <c r="DV155" s="16" t="n"/>
      <c r="DW155" s="16" t="n">
        <v>0.453172</v>
      </c>
      <c r="DX155" s="16" t="n">
        <v>0.787876</v>
      </c>
      <c r="DY155" s="16" t="n"/>
      <c r="DZ155" s="16" t="n"/>
      <c r="EB155" s="16" t="n"/>
      <c r="EC155" s="16" t="n"/>
      <c r="ED155" s="16" t="n"/>
      <c r="EE155" s="16" t="n"/>
      <c r="EF155" s="16" t="n"/>
      <c r="EG155" s="16" t="n"/>
      <c r="EH155" s="16" t="n">
        <v>1497.185787</v>
      </c>
      <c r="EI155" s="16" t="n">
        <v>3353.022928</v>
      </c>
      <c r="EJ155" s="16" t="n"/>
      <c r="EK155" s="16" t="n"/>
      <c r="EL155" s="16" t="n"/>
      <c r="EM155" s="16" t="n"/>
      <c r="EN155" s="16" t="n"/>
      <c r="EO155" s="16" t="n"/>
      <c r="EP155" s="16" t="n"/>
      <c r="EQ155" s="16" t="n"/>
      <c r="ER155" s="16" t="n"/>
      <c r="ES155" s="16" t="n"/>
      <c r="ET155" s="16" t="n"/>
      <c r="EU155" s="16" t="n"/>
    </row>
    <row r="156">
      <c r="BS156" s="16" t="n"/>
      <c r="BT156" s="16" t="n"/>
      <c r="BU156" s="16" t="n">
        <v>0.456193</v>
      </c>
      <c r="BV156" s="16" t="n">
        <v>444.053635</v>
      </c>
      <c r="BW156" s="16" t="n"/>
      <c r="BX156" s="16" t="n"/>
      <c r="BY156" s="16" t="n"/>
      <c r="BZ156" s="16" t="n"/>
      <c r="CA156" s="16" t="n">
        <v>0.456193</v>
      </c>
      <c r="CB156" s="16" t="n">
        <v>290.702864</v>
      </c>
      <c r="CC156" s="16" t="n"/>
      <c r="CD156" s="16" t="n"/>
      <c r="CE156" s="16" t="n"/>
      <c r="CF156" s="16" t="n"/>
      <c r="CG156" s="16" t="n">
        <v>0.456193</v>
      </c>
      <c r="CH156" s="16" t="n">
        <v>3228.728334</v>
      </c>
      <c r="CI156" s="16" t="n"/>
      <c r="CJ156" s="16" t="n"/>
      <c r="CK156" s="16" t="n"/>
      <c r="CL156" s="16" t="n"/>
      <c r="CM156" s="16" t="n">
        <v>0.456193</v>
      </c>
      <c r="CN156" s="16" t="n">
        <v>729.64193</v>
      </c>
      <c r="CO156" s="16" t="n"/>
      <c r="CP156" s="16" t="n"/>
      <c r="CQ156" s="16" t="n"/>
      <c r="CR156" s="16" t="n"/>
      <c r="CS156" s="16" t="n">
        <v>0.456193</v>
      </c>
      <c r="CT156" s="16" t="n">
        <v>0.678493</v>
      </c>
      <c r="CU156" s="16" t="n"/>
      <c r="CV156" s="16" t="n"/>
      <c r="CW156" s="16" t="n"/>
      <c r="CX156" s="16" t="n"/>
      <c r="CY156" s="16" t="n">
        <v>0.456193</v>
      </c>
      <c r="CZ156" s="16" t="n">
        <v>0.828119</v>
      </c>
      <c r="DA156" s="16" t="n"/>
      <c r="DB156" s="16" t="n"/>
      <c r="DC156" s="16" t="n"/>
      <c r="DD156" s="16" t="n"/>
      <c r="DE156" s="16" t="n">
        <v>0.456193</v>
      </c>
      <c r="DF156" s="16" t="n">
        <v>0.7550249999999999</v>
      </c>
      <c r="DG156" s="16" t="n"/>
      <c r="DH156" s="16" t="n"/>
      <c r="DI156" s="16" t="n"/>
      <c r="DJ156" s="16" t="n"/>
      <c r="DK156" s="16" t="n">
        <v>0.456193</v>
      </c>
      <c r="DL156" s="16" t="n">
        <v>0.765524</v>
      </c>
      <c r="DM156" s="16" t="n"/>
      <c r="DN156" s="16" t="n"/>
      <c r="DO156" s="16" t="n"/>
      <c r="DP156" s="16" t="n"/>
      <c r="DQ156" s="16" t="n">
        <v>0.456193</v>
      </c>
      <c r="DR156" s="16" t="n">
        <v>0.760313</v>
      </c>
      <c r="DS156" s="16" t="n"/>
      <c r="DT156" s="16" t="n"/>
      <c r="DU156" s="16" t="n"/>
      <c r="DV156" s="16" t="n"/>
      <c r="DW156" s="16" t="n">
        <v>0.456193</v>
      </c>
      <c r="DX156" s="16" t="n">
        <v>0.788793</v>
      </c>
      <c r="DY156" s="16" t="n"/>
      <c r="DZ156" s="16" t="n"/>
      <c r="EB156" s="16" t="n"/>
      <c r="EC156" s="16" t="n"/>
      <c r="ED156" s="16" t="n"/>
      <c r="EE156" s="16" t="n"/>
      <c r="EF156" s="16" t="n"/>
      <c r="EG156" s="16" t="n"/>
      <c r="EH156" s="16" t="n">
        <v>1121.268866</v>
      </c>
      <c r="EI156" s="16" t="n">
        <v>3916.991106</v>
      </c>
      <c r="EJ156" s="16" t="n"/>
      <c r="EK156" s="16" t="n"/>
      <c r="EL156" s="16" t="n"/>
      <c r="EM156" s="16" t="n"/>
      <c r="EN156" s="16" t="n"/>
      <c r="EO156" s="16" t="n"/>
      <c r="EP156" s="16" t="n"/>
      <c r="EQ156" s="16" t="n"/>
      <c r="ER156" s="16" t="n"/>
      <c r="ES156" s="16" t="n"/>
      <c r="ET156" s="16" t="n"/>
      <c r="EU156" s="16" t="n"/>
    </row>
    <row r="157">
      <c r="BS157" s="16" t="n"/>
      <c r="BT157" s="16" t="n"/>
      <c r="BU157" s="16" t="n">
        <v>0.459215</v>
      </c>
      <c r="BV157" s="16" t="n">
        <v>444.382329</v>
      </c>
      <c r="BW157" s="16" t="n"/>
      <c r="BX157" s="16" t="n"/>
      <c r="BY157" s="16" t="n"/>
      <c r="BZ157" s="16" t="n"/>
      <c r="CA157" s="16" t="n">
        <v>0.459215</v>
      </c>
      <c r="CB157" s="16" t="n">
        <v>290.796858</v>
      </c>
      <c r="CC157" s="16" t="n"/>
      <c r="CD157" s="16" t="n"/>
      <c r="CE157" s="16" t="n"/>
      <c r="CF157" s="16" t="n"/>
      <c r="CG157" s="16" t="n">
        <v>0.459215</v>
      </c>
      <c r="CH157" s="16" t="n">
        <v>3238.262952</v>
      </c>
      <c r="CI157" s="16" t="n"/>
      <c r="CJ157" s="16" t="n"/>
      <c r="CK157" s="16" t="n"/>
      <c r="CL157" s="16" t="n"/>
      <c r="CM157" s="16" t="n">
        <v>0.459215</v>
      </c>
      <c r="CN157" s="16" t="n">
        <v>734.334609</v>
      </c>
      <c r="CO157" s="16" t="n"/>
      <c r="CP157" s="16" t="n"/>
      <c r="CQ157" s="16" t="n"/>
      <c r="CR157" s="16" t="n"/>
      <c r="CS157" s="16" t="n">
        <v>0.459215</v>
      </c>
      <c r="CT157" s="16" t="n">
        <v>0.678747</v>
      </c>
      <c r="CU157" s="16" t="n"/>
      <c r="CV157" s="16" t="n"/>
      <c r="CW157" s="16" t="n"/>
      <c r="CX157" s="16" t="n"/>
      <c r="CY157" s="16" t="n">
        <v>0.459215</v>
      </c>
      <c r="CZ157" s="16" t="n">
        <v>0.828276</v>
      </c>
      <c r="DA157" s="16" t="n"/>
      <c r="DB157" s="16" t="n"/>
      <c r="DC157" s="16" t="n"/>
      <c r="DD157" s="16" t="n"/>
      <c r="DE157" s="16" t="n">
        <v>0.459215</v>
      </c>
      <c r="DF157" s="16" t="n">
        <v>0.756369</v>
      </c>
      <c r="DG157" s="16" t="n"/>
      <c r="DH157" s="16" t="n"/>
      <c r="DI157" s="16" t="n"/>
      <c r="DJ157" s="16" t="n"/>
      <c r="DK157" s="16" t="n">
        <v>0.459215</v>
      </c>
      <c r="DL157" s="16" t="n">
        <v>0.7666539999999999</v>
      </c>
      <c r="DM157" s="16" t="n"/>
      <c r="DN157" s="16" t="n"/>
      <c r="DO157" s="16" t="n"/>
      <c r="DP157" s="16" t="n"/>
      <c r="DQ157" s="16" t="n">
        <v>0.459215</v>
      </c>
      <c r="DR157" s="16" t="n">
        <v>0.761169</v>
      </c>
      <c r="DS157" s="16" t="n"/>
      <c r="DT157" s="16" t="n"/>
      <c r="DU157" s="16" t="n"/>
      <c r="DV157" s="16" t="n"/>
      <c r="DW157" s="16" t="n">
        <v>0.459215</v>
      </c>
      <c r="DX157" s="16" t="n">
        <v>0.7895990000000001</v>
      </c>
      <c r="DY157" s="16" t="n"/>
      <c r="DZ157" s="16" t="n"/>
      <c r="EB157" s="16" t="n"/>
      <c r="EC157" s="16" t="n"/>
      <c r="ED157" s="16" t="n"/>
      <c r="EE157" s="16" t="n"/>
      <c r="EF157" s="16" t="n"/>
      <c r="EG157" s="16" t="n"/>
      <c r="EH157" s="16" t="n">
        <v>1291.336131</v>
      </c>
      <c r="EI157" s="16" t="n">
        <v>2208.761743</v>
      </c>
      <c r="EJ157" s="16" t="n"/>
      <c r="EK157" s="16" t="n"/>
      <c r="EL157" s="16" t="n"/>
      <c r="EM157" s="16" t="n"/>
      <c r="EN157" s="16" t="n"/>
      <c r="EO157" s="16" t="n"/>
      <c r="EP157" s="16" t="n"/>
      <c r="EQ157" s="16" t="n"/>
      <c r="ER157" s="16" t="n"/>
      <c r="ES157" s="16" t="n"/>
      <c r="ET157" s="16" t="n"/>
      <c r="EU157" s="16" t="n"/>
    </row>
    <row r="158">
      <c r="BS158" s="16" t="n"/>
      <c r="BT158" s="16" t="n"/>
      <c r="BU158" s="16" t="n">
        <v>0.462236</v>
      </c>
      <c r="BV158" s="16" t="n">
        <v>444.70068</v>
      </c>
      <c r="BW158" s="16" t="n"/>
      <c r="BX158" s="16" t="n"/>
      <c r="BY158" s="16" t="n"/>
      <c r="BZ158" s="16" t="n"/>
      <c r="CA158" s="16" t="n">
        <v>0.462236</v>
      </c>
      <c r="CB158" s="16" t="n">
        <v>290.853957</v>
      </c>
      <c r="CC158" s="16" t="n"/>
      <c r="CD158" s="16" t="n"/>
      <c r="CE158" s="16" t="n"/>
      <c r="CF158" s="16" t="n"/>
      <c r="CG158" s="16" t="n">
        <v>0.462236</v>
      </c>
      <c r="CH158" s="16" t="n">
        <v>3241.530694</v>
      </c>
      <c r="CI158" s="16" t="n"/>
      <c r="CJ158" s="16" t="n"/>
      <c r="CK158" s="16" t="n"/>
      <c r="CL158" s="16" t="n"/>
      <c r="CM158" s="16" t="n">
        <v>0.462236</v>
      </c>
      <c r="CN158" s="16" t="n">
        <v>735.72631</v>
      </c>
      <c r="CO158" s="16" t="n"/>
      <c r="CP158" s="16" t="n"/>
      <c r="CQ158" s="16" t="n"/>
      <c r="CR158" s="16" t="n"/>
      <c r="CS158" s="16" t="n">
        <v>0.462236</v>
      </c>
      <c r="CT158" s="16" t="n">
        <v>0.680135</v>
      </c>
      <c r="CU158" s="16" t="n"/>
      <c r="CV158" s="16" t="n"/>
      <c r="CW158" s="16" t="n"/>
      <c r="CX158" s="16" t="n"/>
      <c r="CY158" s="16" t="n">
        <v>0.462236</v>
      </c>
      <c r="CZ158" s="16" t="n">
        <v>0.8285670000000001</v>
      </c>
      <c r="DA158" s="16" t="n"/>
      <c r="DB158" s="16" t="n"/>
      <c r="DC158" s="16" t="n"/>
      <c r="DD158" s="16" t="n"/>
      <c r="DE158" s="16" t="n">
        <v>0.462236</v>
      </c>
      <c r="DF158" s="16" t="n">
        <v>0.757223</v>
      </c>
      <c r="DG158" s="16" t="n"/>
      <c r="DH158" s="16" t="n"/>
      <c r="DI158" s="16" t="n"/>
      <c r="DJ158" s="16" t="n"/>
      <c r="DK158" s="16" t="n">
        <v>0.462236</v>
      </c>
      <c r="DL158" s="16" t="n">
        <v>0.76747</v>
      </c>
      <c r="DM158" s="16" t="n"/>
      <c r="DN158" s="16" t="n"/>
      <c r="DO158" s="16" t="n"/>
      <c r="DP158" s="16" t="n"/>
      <c r="DQ158" s="16" t="n">
        <v>0.462236</v>
      </c>
      <c r="DR158" s="16" t="n">
        <v>0.761513</v>
      </c>
      <c r="DS158" s="16" t="n"/>
      <c r="DT158" s="16" t="n"/>
      <c r="DU158" s="16" t="n"/>
      <c r="DV158" s="16" t="n"/>
      <c r="DW158" s="16" t="n">
        <v>0.462236</v>
      </c>
      <c r="DX158" s="16" t="n">
        <v>0.790354</v>
      </c>
      <c r="DY158" s="16" t="n"/>
      <c r="DZ158" s="16" t="n"/>
      <c r="EB158" s="16" t="n"/>
      <c r="EC158" s="16" t="n"/>
      <c r="ED158" s="16" t="n"/>
      <c r="EE158" s="16" t="n"/>
      <c r="EF158" s="16" t="n"/>
      <c r="EG158" s="16" t="n"/>
      <c r="EH158" s="16" t="n">
        <v>1265.474896</v>
      </c>
      <c r="EI158" s="16" t="n">
        <v>2729.135387</v>
      </c>
      <c r="EJ158" s="16" t="n"/>
      <c r="EK158" s="16" t="n"/>
      <c r="EL158" s="16" t="n"/>
      <c r="EM158" s="16" t="n"/>
      <c r="EN158" s="16" t="n"/>
      <c r="EO158" s="16" t="n"/>
      <c r="EP158" s="16" t="n"/>
      <c r="EQ158" s="16" t="n"/>
      <c r="ER158" s="16" t="n"/>
      <c r="ES158" s="16" t="n"/>
      <c r="ET158" s="16" t="n"/>
      <c r="EU158" s="16" t="n"/>
    </row>
    <row r="159">
      <c r="BS159" s="16" t="n"/>
      <c r="BT159" s="16" t="n"/>
      <c r="BU159" s="16" t="n">
        <v>0.465257</v>
      </c>
      <c r="BV159" s="16" t="n">
        <v>444.737773</v>
      </c>
      <c r="BW159" s="16" t="n"/>
      <c r="BX159" s="16" t="n"/>
      <c r="BY159" s="16" t="n"/>
      <c r="BZ159" s="16" t="n"/>
      <c r="CA159" s="16" t="n">
        <v>0.465257</v>
      </c>
      <c r="CB159" s="16" t="n">
        <v>290.858292</v>
      </c>
      <c r="CC159" s="16" t="n"/>
      <c r="CD159" s="16" t="n"/>
      <c r="CE159" s="16" t="n"/>
      <c r="CF159" s="16" t="n"/>
      <c r="CG159" s="16" t="n">
        <v>0.465257</v>
      </c>
      <c r="CH159" s="16" t="n">
        <v>3253.722634</v>
      </c>
      <c r="CI159" s="16" t="n"/>
      <c r="CJ159" s="16" t="n"/>
      <c r="CK159" s="16" t="n"/>
      <c r="CL159" s="16" t="n"/>
      <c r="CM159" s="16" t="n">
        <v>0.465257</v>
      </c>
      <c r="CN159" s="16" t="n">
        <v>736.067686</v>
      </c>
      <c r="CO159" s="16" t="n"/>
      <c r="CP159" s="16" t="n"/>
      <c r="CQ159" s="16" t="n"/>
      <c r="CR159" s="16" t="n"/>
      <c r="CS159" s="16" t="n">
        <v>0.465257</v>
      </c>
      <c r="CT159" s="16" t="n">
        <v>0.680637</v>
      </c>
      <c r="CU159" s="16" t="n"/>
      <c r="CV159" s="16" t="n"/>
      <c r="CW159" s="16" t="n"/>
      <c r="CX159" s="16" t="n"/>
      <c r="CY159" s="16" t="n">
        <v>0.465257</v>
      </c>
      <c r="CZ159" s="16" t="n">
        <v>0.829077</v>
      </c>
      <c r="DA159" s="16" t="n"/>
      <c r="DB159" s="16" t="n"/>
      <c r="DC159" s="16" t="n"/>
      <c r="DD159" s="16" t="n"/>
      <c r="DE159" s="16" t="n">
        <v>0.465257</v>
      </c>
      <c r="DF159" s="16" t="n">
        <v>0.757861</v>
      </c>
      <c r="DG159" s="16" t="n"/>
      <c r="DH159" s="16" t="n"/>
      <c r="DI159" s="16" t="n"/>
      <c r="DJ159" s="16" t="n"/>
      <c r="DK159" s="16" t="n">
        <v>0.465257</v>
      </c>
      <c r="DL159" s="16" t="n">
        <v>0.7720050000000001</v>
      </c>
      <c r="DM159" s="16" t="n"/>
      <c r="DN159" s="16" t="n"/>
      <c r="DO159" s="16" t="n"/>
      <c r="DP159" s="16" t="n"/>
      <c r="DQ159" s="16" t="n">
        <v>0.465257</v>
      </c>
      <c r="DR159" s="16" t="n">
        <v>0.762399</v>
      </c>
      <c r="DS159" s="16" t="n"/>
      <c r="DT159" s="16" t="n"/>
      <c r="DU159" s="16" t="n"/>
      <c r="DV159" s="16" t="n"/>
      <c r="DW159" s="16" t="n">
        <v>0.465257</v>
      </c>
      <c r="DX159" s="16" t="n">
        <v>0.790821</v>
      </c>
      <c r="DY159" s="16" t="n"/>
      <c r="DZ159" s="16" t="n"/>
      <c r="EB159" s="16" t="n"/>
      <c r="EC159" s="16" t="n"/>
      <c r="ED159" s="16" t="n"/>
      <c r="EE159" s="16" t="n"/>
      <c r="EF159" s="16" t="n"/>
      <c r="EG159" s="16" t="n"/>
      <c r="EH159" s="16" t="n">
        <v>707.909318</v>
      </c>
      <c r="EI159" s="16" t="n">
        <v>3156.258463</v>
      </c>
      <c r="EJ159" s="16" t="n"/>
      <c r="EK159" s="16" t="n"/>
      <c r="EL159" s="16" t="n"/>
      <c r="EM159" s="16" t="n"/>
      <c r="EN159" s="16" t="n"/>
      <c r="EO159" s="16" t="n"/>
      <c r="EP159" s="16" t="n"/>
      <c r="EQ159" s="16" t="n"/>
      <c r="ER159" s="16" t="n"/>
      <c r="ES159" s="16" t="n"/>
      <c r="ET159" s="16" t="n"/>
      <c r="EU159" s="16" t="n"/>
    </row>
    <row r="160">
      <c r="BS160" s="16" t="n"/>
      <c r="BT160" s="16" t="n"/>
      <c r="BU160" s="16" t="n">
        <v>0.468278</v>
      </c>
      <c r="BV160" s="16" t="n">
        <v>444.979588</v>
      </c>
      <c r="BW160" s="16" t="n"/>
      <c r="BX160" s="16" t="n"/>
      <c r="BY160" s="16" t="n"/>
      <c r="BZ160" s="16" t="n"/>
      <c r="CA160" s="16" t="n">
        <v>0.468278</v>
      </c>
      <c r="CB160" s="16" t="n">
        <v>291.094741</v>
      </c>
      <c r="CC160" s="16" t="n"/>
      <c r="CD160" s="16" t="n"/>
      <c r="CE160" s="16" t="n"/>
      <c r="CF160" s="16" t="n"/>
      <c r="CG160" s="16" t="n">
        <v>0.468278</v>
      </c>
      <c r="CH160" s="16" t="n">
        <v>3271.965612</v>
      </c>
      <c r="CI160" s="16" t="n"/>
      <c r="CJ160" s="16" t="n"/>
      <c r="CK160" s="16" t="n"/>
      <c r="CL160" s="16" t="n"/>
      <c r="CM160" s="16" t="n">
        <v>0.468278</v>
      </c>
      <c r="CN160" s="16" t="n">
        <v>742.443833</v>
      </c>
      <c r="CO160" s="16" t="n"/>
      <c r="CP160" s="16" t="n"/>
      <c r="CQ160" s="16" t="n"/>
      <c r="CR160" s="16" t="n"/>
      <c r="CS160" s="16" t="n">
        <v>0.468278</v>
      </c>
      <c r="CT160" s="16" t="n">
        <v>0.680903</v>
      </c>
      <c r="CU160" s="16" t="n"/>
      <c r="CV160" s="16" t="n"/>
      <c r="CW160" s="16" t="n"/>
      <c r="CX160" s="16" t="n"/>
      <c r="CY160" s="16" t="n">
        <v>0.468278</v>
      </c>
      <c r="CZ160" s="16" t="n">
        <v>0.82913</v>
      </c>
      <c r="DA160" s="16" t="n"/>
      <c r="DB160" s="16" t="n"/>
      <c r="DC160" s="16" t="n"/>
      <c r="DD160" s="16" t="n"/>
      <c r="DE160" s="16" t="n">
        <v>0.468278</v>
      </c>
      <c r="DF160" s="16" t="n">
        <v>0.760144</v>
      </c>
      <c r="DG160" s="16" t="n"/>
      <c r="DH160" s="16" t="n"/>
      <c r="DI160" s="16" t="n"/>
      <c r="DJ160" s="16" t="n"/>
      <c r="DK160" s="16" t="n">
        <v>0.468278</v>
      </c>
      <c r="DL160" s="16" t="n">
        <v>0.772975</v>
      </c>
      <c r="DM160" s="16" t="n"/>
      <c r="DN160" s="16" t="n"/>
      <c r="DO160" s="16" t="n"/>
      <c r="DP160" s="16" t="n"/>
      <c r="DQ160" s="16" t="n">
        <v>0.468278</v>
      </c>
      <c r="DR160" s="16" t="n">
        <v>0.764042</v>
      </c>
      <c r="DS160" s="16" t="n"/>
      <c r="DT160" s="16" t="n"/>
      <c r="DU160" s="16" t="n"/>
      <c r="DV160" s="16" t="n"/>
      <c r="DW160" s="16" t="n">
        <v>0.468278</v>
      </c>
      <c r="DX160" s="16" t="n">
        <v>0.790947</v>
      </c>
      <c r="DY160" s="16" t="n"/>
      <c r="DZ160" s="16" t="n"/>
      <c r="EB160" s="16" t="n"/>
      <c r="EC160" s="16" t="n"/>
      <c r="ED160" s="16" t="n"/>
      <c r="EE160" s="16" t="n"/>
      <c r="EF160" s="16" t="n"/>
      <c r="EG160" s="16" t="n"/>
      <c r="EH160" s="16" t="n">
        <v>1484.624381</v>
      </c>
      <c r="EI160" s="16" t="n">
        <v>3217.09207</v>
      </c>
      <c r="EJ160" s="16" t="n"/>
      <c r="EK160" s="16" t="n"/>
      <c r="EL160" s="16" t="n"/>
      <c r="EM160" s="16" t="n"/>
      <c r="EN160" s="16" t="n"/>
      <c r="EO160" s="16" t="n"/>
      <c r="EP160" s="16" t="n"/>
      <c r="EQ160" s="16" t="n"/>
      <c r="ER160" s="16" t="n"/>
      <c r="ES160" s="16" t="n"/>
      <c r="ET160" s="16" t="n"/>
      <c r="EU160" s="16" t="n"/>
    </row>
    <row r="161">
      <c r="BS161" s="16" t="n"/>
      <c r="BT161" s="16" t="n"/>
      <c r="BU161" s="16" t="n">
        <v>0.471299</v>
      </c>
      <c r="BV161" s="16" t="n">
        <v>445.232554</v>
      </c>
      <c r="BW161" s="16" t="n"/>
      <c r="BX161" s="16" t="n"/>
      <c r="BY161" s="16" t="n"/>
      <c r="BZ161" s="16" t="n"/>
      <c r="CA161" s="16" t="n">
        <v>0.471299</v>
      </c>
      <c r="CB161" s="16" t="n">
        <v>291.169996</v>
      </c>
      <c r="CC161" s="16" t="n"/>
      <c r="CD161" s="16" t="n"/>
      <c r="CE161" s="16" t="n"/>
      <c r="CF161" s="16" t="n"/>
      <c r="CG161" s="16" t="n">
        <v>0.471299</v>
      </c>
      <c r="CH161" s="16" t="n">
        <v>3281.067918</v>
      </c>
      <c r="CI161" s="16" t="n"/>
      <c r="CJ161" s="16" t="n"/>
      <c r="CK161" s="16" t="n"/>
      <c r="CL161" s="16" t="n"/>
      <c r="CM161" s="16" t="n">
        <v>0.471299</v>
      </c>
      <c r="CN161" s="16" t="n">
        <v>743.460948</v>
      </c>
      <c r="CO161" s="16" t="n"/>
      <c r="CP161" s="16" t="n"/>
      <c r="CQ161" s="16" t="n"/>
      <c r="CR161" s="16" t="n"/>
      <c r="CS161" s="16" t="n">
        <v>0.471299</v>
      </c>
      <c r="CT161" s="16" t="n">
        <v>0.6816179999999999</v>
      </c>
      <c r="CU161" s="16" t="n"/>
      <c r="CV161" s="16" t="n"/>
      <c r="CW161" s="16" t="n"/>
      <c r="CX161" s="16" t="n"/>
      <c r="CY161" s="16" t="n">
        <v>0.471299</v>
      </c>
      <c r="CZ161" s="16" t="n">
        <v>0.829944</v>
      </c>
      <c r="DA161" s="16" t="n"/>
      <c r="DB161" s="16" t="n"/>
      <c r="DC161" s="16" t="n"/>
      <c r="DD161" s="16" t="n"/>
      <c r="DE161" s="16" t="n">
        <v>0.471299</v>
      </c>
      <c r="DF161" s="16" t="n">
        <v>0.760329</v>
      </c>
      <c r="DG161" s="16" t="n"/>
      <c r="DH161" s="16" t="n"/>
      <c r="DI161" s="16" t="n"/>
      <c r="DJ161" s="16" t="n"/>
      <c r="DK161" s="16" t="n">
        <v>0.471299</v>
      </c>
      <c r="DL161" s="16" t="n">
        <v>0.773509</v>
      </c>
      <c r="DM161" s="16" t="n"/>
      <c r="DN161" s="16" t="n"/>
      <c r="DO161" s="16" t="n"/>
      <c r="DP161" s="16" t="n"/>
      <c r="DQ161" s="16" t="n">
        <v>0.471299</v>
      </c>
      <c r="DR161" s="16" t="n">
        <v>0.764676</v>
      </c>
      <c r="DS161" s="16" t="n"/>
      <c r="DT161" s="16" t="n"/>
      <c r="DU161" s="16" t="n"/>
      <c r="DV161" s="16" t="n"/>
      <c r="DW161" s="16" t="n">
        <v>0.471299</v>
      </c>
      <c r="DX161" s="16" t="n">
        <v>0.7919349999999999</v>
      </c>
      <c r="DY161" s="16" t="n"/>
      <c r="DZ161" s="16" t="n"/>
      <c r="EB161" s="16" t="n"/>
      <c r="EC161" s="16" t="n"/>
      <c r="ED161" s="16" t="n"/>
      <c r="EE161" s="16" t="n"/>
      <c r="EF161" s="16" t="n"/>
      <c r="EG161" s="16" t="n"/>
      <c r="EH161" s="16" t="n">
        <v>617.500026</v>
      </c>
      <c r="EI161" s="16" t="n">
        <v>4496.253648</v>
      </c>
      <c r="EJ161" s="16" t="n"/>
      <c r="EK161" s="16" t="n"/>
      <c r="EL161" s="16" t="n"/>
      <c r="EM161" s="16" t="n"/>
      <c r="EN161" s="16" t="n"/>
      <c r="EO161" s="16" t="n"/>
      <c r="EP161" s="16" t="n"/>
      <c r="EQ161" s="16" t="n"/>
      <c r="ER161" s="16" t="n"/>
      <c r="ES161" s="16" t="n"/>
      <c r="ET161" s="16" t="n"/>
      <c r="EU161" s="16" t="n"/>
    </row>
    <row r="162">
      <c r="BS162" s="16" t="n"/>
      <c r="BT162" s="16" t="n"/>
      <c r="BU162" s="16" t="n">
        <v>0.47432</v>
      </c>
      <c r="BV162" s="16" t="n">
        <v>445.285635</v>
      </c>
      <c r="BW162" s="16" t="n"/>
      <c r="BX162" s="16" t="n"/>
      <c r="BY162" s="16" t="n"/>
      <c r="BZ162" s="16" t="n"/>
      <c r="CA162" s="16" t="n">
        <v>0.47432</v>
      </c>
      <c r="CB162" s="16" t="n">
        <v>291.187757</v>
      </c>
      <c r="CC162" s="16" t="n"/>
      <c r="CD162" s="16" t="n"/>
      <c r="CE162" s="16" t="n"/>
      <c r="CF162" s="16" t="n"/>
      <c r="CG162" s="16" t="n">
        <v>0.47432</v>
      </c>
      <c r="CH162" s="16" t="n">
        <v>3290.178001</v>
      </c>
      <c r="CI162" s="16" t="n"/>
      <c r="CJ162" s="16" t="n"/>
      <c r="CK162" s="16" t="n"/>
      <c r="CL162" s="16" t="n"/>
      <c r="CM162" s="16" t="n">
        <v>0.47432</v>
      </c>
      <c r="CN162" s="16" t="n">
        <v>745.035923</v>
      </c>
      <c r="CO162" s="16" t="n"/>
      <c r="CP162" s="16" t="n"/>
      <c r="CQ162" s="16" t="n"/>
      <c r="CR162" s="16" t="n"/>
      <c r="CS162" s="16" t="n">
        <v>0.47432</v>
      </c>
      <c r="CT162" s="16" t="n">
        <v>0.682039</v>
      </c>
      <c r="CU162" s="16" t="n"/>
      <c r="CV162" s="16" t="n"/>
      <c r="CW162" s="16" t="n"/>
      <c r="CX162" s="16" t="n"/>
      <c r="CY162" s="16" t="n">
        <v>0.47432</v>
      </c>
      <c r="CZ162" s="16" t="n">
        <v>0.830539</v>
      </c>
      <c r="DA162" s="16" t="n"/>
      <c r="DB162" s="16" t="n"/>
      <c r="DC162" s="16" t="n"/>
      <c r="DD162" s="16" t="n"/>
      <c r="DE162" s="16" t="n">
        <v>0.47432</v>
      </c>
      <c r="DF162" s="16" t="n">
        <v>0.761202</v>
      </c>
      <c r="DG162" s="16" t="n"/>
      <c r="DH162" s="16" t="n"/>
      <c r="DI162" s="16" t="n"/>
      <c r="DJ162" s="16" t="n"/>
      <c r="DK162" s="16" t="n">
        <v>0.47432</v>
      </c>
      <c r="DL162" s="16" t="n">
        <v>0.774644</v>
      </c>
      <c r="DM162" s="16" t="n"/>
      <c r="DN162" s="16" t="n"/>
      <c r="DO162" s="16" t="n"/>
      <c r="DP162" s="16" t="n"/>
      <c r="DQ162" s="16" t="n">
        <v>0.47432</v>
      </c>
      <c r="DR162" s="16" t="n">
        <v>0.766544</v>
      </c>
      <c r="DS162" s="16" t="n"/>
      <c r="DT162" s="16" t="n"/>
      <c r="DU162" s="16" t="n"/>
      <c r="DV162" s="16" t="n"/>
      <c r="DW162" s="16" t="n">
        <v>0.47432</v>
      </c>
      <c r="DX162" s="16" t="n">
        <v>0.792395</v>
      </c>
      <c r="DY162" s="16" t="n"/>
      <c r="DZ162" s="16" t="n"/>
      <c r="EB162" s="16" t="n"/>
      <c r="EC162" s="16" t="n"/>
      <c r="ED162" s="16" t="n"/>
      <c r="EE162" s="16" t="n"/>
      <c r="EF162" s="16" t="n"/>
      <c r="EG162" s="16" t="n"/>
      <c r="EH162" s="16" t="n">
        <v>446.003325</v>
      </c>
      <c r="EI162" s="16" t="n">
        <v>2335.075359</v>
      </c>
      <c r="EJ162" s="16" t="n"/>
      <c r="EK162" s="16" t="n"/>
      <c r="EL162" s="16" t="n"/>
      <c r="EM162" s="16" t="n"/>
      <c r="EN162" s="16" t="n"/>
      <c r="EO162" s="16" t="n"/>
      <c r="EP162" s="16" t="n"/>
      <c r="EQ162" s="16" t="n"/>
      <c r="ER162" s="16" t="n"/>
      <c r="ES162" s="16" t="n"/>
      <c r="ET162" s="16" t="n"/>
      <c r="EU162" s="16" t="n"/>
    </row>
    <row r="163">
      <c r="BS163" s="16" t="n"/>
      <c r="BT163" s="16" t="n"/>
      <c r="BU163" s="16" t="n">
        <v>0.477341</v>
      </c>
      <c r="BV163" s="16" t="n">
        <v>445.955135</v>
      </c>
      <c r="BW163" s="16" t="n"/>
      <c r="BX163" s="16" t="n"/>
      <c r="BY163" s="16" t="n"/>
      <c r="BZ163" s="16" t="n"/>
      <c r="CA163" s="16" t="n">
        <v>0.477341</v>
      </c>
      <c r="CB163" s="16" t="n">
        <v>291.288176</v>
      </c>
      <c r="CC163" s="16" t="n"/>
      <c r="CD163" s="16" t="n"/>
      <c r="CE163" s="16" t="n"/>
      <c r="CF163" s="16" t="n"/>
      <c r="CG163" s="16" t="n">
        <v>0.477341</v>
      </c>
      <c r="CH163" s="16" t="n">
        <v>3297.487011</v>
      </c>
      <c r="CI163" s="16" t="n"/>
      <c r="CJ163" s="16" t="n"/>
      <c r="CK163" s="16" t="n"/>
      <c r="CL163" s="16" t="n"/>
      <c r="CM163" s="16" t="n">
        <v>0.477341</v>
      </c>
      <c r="CN163" s="16" t="n">
        <v>745.637617</v>
      </c>
      <c r="CO163" s="16" t="n"/>
      <c r="CP163" s="16" t="n"/>
      <c r="CQ163" s="16" t="n"/>
      <c r="CR163" s="16" t="n"/>
      <c r="CS163" s="16" t="n">
        <v>0.477341</v>
      </c>
      <c r="CT163" s="16" t="n">
        <v>0.682467</v>
      </c>
      <c r="CU163" s="16" t="n"/>
      <c r="CV163" s="16" t="n"/>
      <c r="CW163" s="16" t="n"/>
      <c r="CX163" s="16" t="n"/>
      <c r="CY163" s="16" t="n">
        <v>0.477341</v>
      </c>
      <c r="CZ163" s="16" t="n">
        <v>0.831088</v>
      </c>
      <c r="DA163" s="16" t="n"/>
      <c r="DB163" s="16" t="n"/>
      <c r="DC163" s="16" t="n"/>
      <c r="DD163" s="16" t="n"/>
      <c r="DE163" s="16" t="n">
        <v>0.477341</v>
      </c>
      <c r="DF163" s="16" t="n">
        <v>0.761895</v>
      </c>
      <c r="DG163" s="16" t="n"/>
      <c r="DH163" s="16" t="n"/>
      <c r="DI163" s="16" t="n"/>
      <c r="DJ163" s="16" t="n"/>
      <c r="DK163" s="16" t="n">
        <v>0.477341</v>
      </c>
      <c r="DL163" s="16" t="n">
        <v>0.775372</v>
      </c>
      <c r="DM163" s="16" t="n"/>
      <c r="DN163" s="16" t="n"/>
      <c r="DO163" s="16" t="n"/>
      <c r="DP163" s="16" t="n"/>
      <c r="DQ163" s="16" t="n">
        <v>0.477341</v>
      </c>
      <c r="DR163" s="16" t="n">
        <v>0.767614</v>
      </c>
      <c r="DS163" s="16" t="n"/>
      <c r="DT163" s="16" t="n"/>
      <c r="DU163" s="16" t="n"/>
      <c r="DV163" s="16" t="n"/>
      <c r="DW163" s="16" t="n">
        <v>0.477341</v>
      </c>
      <c r="DX163" s="16" t="n">
        <v>0.793668</v>
      </c>
      <c r="DY163" s="16" t="n"/>
      <c r="DZ163" s="16" t="n"/>
      <c r="EB163" s="16" t="n"/>
      <c r="EC163" s="16" t="n"/>
      <c r="ED163" s="16" t="n"/>
      <c r="EE163" s="16" t="n"/>
      <c r="EF163" s="16" t="n"/>
      <c r="EG163" s="16" t="n"/>
      <c r="EH163" s="16" t="n">
        <v>796.502129</v>
      </c>
      <c r="EI163" s="16" t="n">
        <v>2074.15272</v>
      </c>
      <c r="EJ163" s="16" t="n"/>
      <c r="EK163" s="16" t="n"/>
      <c r="EL163" s="16" t="n"/>
      <c r="EM163" s="16" t="n"/>
      <c r="EN163" s="16" t="n"/>
      <c r="EO163" s="16" t="n"/>
      <c r="EP163" s="16" t="n"/>
      <c r="EQ163" s="16" t="n"/>
      <c r="ER163" s="16" t="n"/>
      <c r="ES163" s="16" t="n"/>
      <c r="ET163" s="16" t="n"/>
      <c r="EU163" s="16" t="n"/>
    </row>
    <row r="164">
      <c r="BS164" s="16" t="n"/>
      <c r="BT164" s="16" t="n"/>
      <c r="BU164" s="16" t="n">
        <v>0.480363</v>
      </c>
      <c r="BV164" s="16" t="n">
        <v>446.10457</v>
      </c>
      <c r="BW164" s="16" t="n"/>
      <c r="BX164" s="16" t="n"/>
      <c r="BY164" s="16" t="n"/>
      <c r="BZ164" s="16" t="n"/>
      <c r="CA164" s="16" t="n">
        <v>0.480363</v>
      </c>
      <c r="CB164" s="16" t="n">
        <v>291.371117</v>
      </c>
      <c r="CC164" s="16" t="n"/>
      <c r="CD164" s="16" t="n"/>
      <c r="CE164" s="16" t="n"/>
      <c r="CF164" s="16" t="n"/>
      <c r="CG164" s="16" t="n">
        <v>0.480363</v>
      </c>
      <c r="CH164" s="16" t="n">
        <v>3303.802098</v>
      </c>
      <c r="CI164" s="16" t="n"/>
      <c r="CJ164" s="16" t="n"/>
      <c r="CK164" s="16" t="n"/>
      <c r="CL164" s="16" t="n"/>
      <c r="CM164" s="16" t="n">
        <v>0.480363</v>
      </c>
      <c r="CN164" s="16" t="n">
        <v>750.249353</v>
      </c>
      <c r="CO164" s="16" t="n"/>
      <c r="CP164" s="16" t="n"/>
      <c r="CQ164" s="16" t="n"/>
      <c r="CR164" s="16" t="n"/>
      <c r="CS164" s="16" t="n">
        <v>0.480363</v>
      </c>
      <c r="CT164" s="16" t="n">
        <v>0.6838379999999999</v>
      </c>
      <c r="CU164" s="16" t="n"/>
      <c r="CV164" s="16" t="n"/>
      <c r="CW164" s="16" t="n"/>
      <c r="CX164" s="16" t="n"/>
      <c r="CY164" s="16" t="n">
        <v>0.480363</v>
      </c>
      <c r="CZ164" s="16" t="n">
        <v>0.8313739999999999</v>
      </c>
      <c r="DA164" s="16" t="n"/>
      <c r="DB164" s="16" t="n"/>
      <c r="DC164" s="16" t="n"/>
      <c r="DD164" s="16" t="n"/>
      <c r="DE164" s="16" t="n">
        <v>0.480363</v>
      </c>
      <c r="DF164" s="16" t="n">
        <v>0.763131</v>
      </c>
      <c r="DG164" s="16" t="n"/>
      <c r="DH164" s="16" t="n"/>
      <c r="DI164" s="16" t="n"/>
      <c r="DJ164" s="16" t="n"/>
      <c r="DK164" s="16" t="n">
        <v>0.480363</v>
      </c>
      <c r="DL164" s="16" t="n">
        <v>0.777293</v>
      </c>
      <c r="DM164" s="16" t="n"/>
      <c r="DN164" s="16" t="n"/>
      <c r="DO164" s="16" t="n"/>
      <c r="DP164" s="16" t="n"/>
      <c r="DQ164" s="16" t="n">
        <v>0.480363</v>
      </c>
      <c r="DR164" s="16" t="n">
        <v>0.768614</v>
      </c>
      <c r="DS164" s="16" t="n"/>
      <c r="DT164" s="16" t="n"/>
      <c r="DU164" s="16" t="n"/>
      <c r="DV164" s="16" t="n"/>
      <c r="DW164" s="16" t="n">
        <v>0.480363</v>
      </c>
      <c r="DX164" s="16" t="n">
        <v>0.793974</v>
      </c>
      <c r="DY164" s="16" t="n"/>
      <c r="DZ164" s="16" t="n"/>
      <c r="EB164" s="16" t="n"/>
      <c r="EC164" s="16" t="n"/>
      <c r="ED164" s="16" t="n"/>
      <c r="EE164" s="16" t="n"/>
      <c r="EF164" s="16" t="n"/>
      <c r="EG164" s="16" t="n"/>
      <c r="EH164" s="16" t="n">
        <v>1101.886053</v>
      </c>
      <c r="EI164" s="16" t="n">
        <v>4546.896306</v>
      </c>
      <c r="EJ164" s="16" t="n"/>
      <c r="EK164" s="16" t="n"/>
      <c r="EL164" s="16" t="n"/>
      <c r="EM164" s="16" t="n"/>
      <c r="EN164" s="16" t="n"/>
      <c r="EO164" s="16" t="n"/>
      <c r="EP164" s="16" t="n"/>
      <c r="EQ164" s="16" t="n"/>
      <c r="ER164" s="16" t="n"/>
      <c r="ES164" s="16" t="n"/>
      <c r="ET164" s="16" t="n"/>
      <c r="EU164" s="16" t="n"/>
    </row>
    <row r="165">
      <c r="BS165" s="16" t="n"/>
      <c r="BT165" s="16" t="n"/>
      <c r="BU165" s="16" t="n">
        <v>0.483384</v>
      </c>
      <c r="BV165" s="16" t="n">
        <v>446.369534</v>
      </c>
      <c r="BW165" s="16" t="n"/>
      <c r="BX165" s="16" t="n"/>
      <c r="BY165" s="16" t="n"/>
      <c r="BZ165" s="16" t="n"/>
      <c r="CA165" s="16" t="n">
        <v>0.483384</v>
      </c>
      <c r="CB165" s="16" t="n">
        <v>291.391637</v>
      </c>
      <c r="CC165" s="16" t="n"/>
      <c r="CD165" s="16" t="n"/>
      <c r="CE165" s="16" t="n"/>
      <c r="CF165" s="16" t="n"/>
      <c r="CG165" s="16" t="n">
        <v>0.483384</v>
      </c>
      <c r="CH165" s="16" t="n">
        <v>3316.463894</v>
      </c>
      <c r="CI165" s="16" t="n"/>
      <c r="CJ165" s="16" t="n"/>
      <c r="CK165" s="16" t="n"/>
      <c r="CL165" s="16" t="n"/>
      <c r="CM165" s="16" t="n">
        <v>0.483384</v>
      </c>
      <c r="CN165" s="16" t="n">
        <v>752.450394</v>
      </c>
      <c r="CO165" s="16" t="n"/>
      <c r="CP165" s="16" t="n"/>
      <c r="CQ165" s="16" t="n"/>
      <c r="CR165" s="16" t="n"/>
      <c r="CS165" s="16" t="n">
        <v>0.483384</v>
      </c>
      <c r="CT165" s="16" t="n">
        <v>0.685164</v>
      </c>
      <c r="CU165" s="16" t="n"/>
      <c r="CV165" s="16" t="n"/>
      <c r="CW165" s="16" t="n"/>
      <c r="CX165" s="16" t="n"/>
      <c r="CY165" s="16" t="n">
        <v>0.483384</v>
      </c>
      <c r="CZ165" s="16" t="n">
        <v>0.831781</v>
      </c>
      <c r="DA165" s="16" t="n"/>
      <c r="DB165" s="16" t="n"/>
      <c r="DC165" s="16" t="n"/>
      <c r="DD165" s="16" t="n"/>
      <c r="DE165" s="16" t="n">
        <v>0.483384</v>
      </c>
      <c r="DF165" s="16" t="n">
        <v>0.763665</v>
      </c>
      <c r="DG165" s="16" t="n"/>
      <c r="DH165" s="16" t="n"/>
      <c r="DI165" s="16" t="n"/>
      <c r="DJ165" s="16" t="n"/>
      <c r="DK165" s="16" t="n">
        <v>0.483384</v>
      </c>
      <c r="DL165" s="16" t="n">
        <v>0.777724</v>
      </c>
      <c r="DM165" s="16" t="n"/>
      <c r="DN165" s="16" t="n"/>
      <c r="DO165" s="16" t="n"/>
      <c r="DP165" s="16" t="n"/>
      <c r="DQ165" s="16" t="n">
        <v>0.483384</v>
      </c>
      <c r="DR165" s="16" t="n">
        <v>0.769137</v>
      </c>
      <c r="DS165" s="16" t="n"/>
      <c r="DT165" s="16" t="n"/>
      <c r="DU165" s="16" t="n"/>
      <c r="DV165" s="16" t="n"/>
      <c r="DW165" s="16" t="n">
        <v>0.483384</v>
      </c>
      <c r="DX165" s="16" t="n">
        <v>0.795702</v>
      </c>
      <c r="DY165" s="16" t="n"/>
      <c r="DZ165" s="16" t="n"/>
      <c r="EB165" s="16" t="n"/>
      <c r="EC165" s="16" t="n"/>
      <c r="ED165" s="16" t="n"/>
      <c r="EE165" s="16" t="n"/>
      <c r="EF165" s="16" t="n"/>
      <c r="EG165" s="16" t="n"/>
      <c r="EH165" s="16" t="n">
        <v>931.210558</v>
      </c>
      <c r="EI165" s="16" t="n">
        <v>4880.511874</v>
      </c>
      <c r="EJ165" s="16" t="n"/>
      <c r="EK165" s="16" t="n"/>
      <c r="EL165" s="16" t="n"/>
      <c r="EM165" s="16" t="n"/>
      <c r="EN165" s="16" t="n"/>
      <c r="EO165" s="16" t="n"/>
      <c r="EP165" s="16" t="n"/>
      <c r="EQ165" s="16" t="n"/>
      <c r="ER165" s="16" t="n"/>
      <c r="ES165" s="16" t="n"/>
      <c r="ET165" s="16" t="n"/>
      <c r="EU165" s="16" t="n"/>
    </row>
    <row r="166">
      <c r="BS166" s="16" t="n"/>
      <c r="BT166" s="16" t="n"/>
      <c r="BU166" s="16" t="n">
        <v>0.486405</v>
      </c>
      <c r="BV166" s="16" t="n">
        <v>446.459353</v>
      </c>
      <c r="BW166" s="16" t="n"/>
      <c r="BX166" s="16" t="n"/>
      <c r="BY166" s="16" t="n"/>
      <c r="BZ166" s="16" t="n"/>
      <c r="CA166" s="16" t="n">
        <v>0.486405</v>
      </c>
      <c r="CB166" s="16" t="n">
        <v>291.454419</v>
      </c>
      <c r="CC166" s="16" t="n"/>
      <c r="CD166" s="16" t="n"/>
      <c r="CE166" s="16" t="n"/>
      <c r="CF166" s="16" t="n"/>
      <c r="CG166" s="16" t="n">
        <v>0.486405</v>
      </c>
      <c r="CH166" s="16" t="n">
        <v>3316.573945</v>
      </c>
      <c r="CI166" s="16" t="n"/>
      <c r="CJ166" s="16" t="n"/>
      <c r="CK166" s="16" t="n"/>
      <c r="CL166" s="16" t="n"/>
      <c r="CM166" s="16" t="n">
        <v>0.486405</v>
      </c>
      <c r="CN166" s="16" t="n">
        <v>754.997145</v>
      </c>
      <c r="CO166" s="16" t="n"/>
      <c r="CP166" s="16" t="n"/>
      <c r="CQ166" s="16" t="n"/>
      <c r="CR166" s="16" t="n"/>
      <c r="CS166" s="16" t="n">
        <v>0.486405</v>
      </c>
      <c r="CT166" s="16" t="n">
        <v>0.685308</v>
      </c>
      <c r="CU166" s="16" t="n"/>
      <c r="CV166" s="16" t="n"/>
      <c r="CW166" s="16" t="n"/>
      <c r="CX166" s="16" t="n"/>
      <c r="CY166" s="16" t="n">
        <v>0.486405</v>
      </c>
      <c r="CZ166" s="16" t="n">
        <v>0.831981</v>
      </c>
      <c r="DA166" s="16" t="n"/>
      <c r="DB166" s="16" t="n"/>
      <c r="DC166" s="16" t="n"/>
      <c r="DD166" s="16" t="n"/>
      <c r="DE166" s="16" t="n">
        <v>0.486405</v>
      </c>
      <c r="DF166" s="16" t="n">
        <v>0.763806</v>
      </c>
      <c r="DG166" s="16" t="n"/>
      <c r="DH166" s="16" t="n"/>
      <c r="DI166" s="16" t="n"/>
      <c r="DJ166" s="16" t="n"/>
      <c r="DK166" s="16" t="n">
        <v>0.486405</v>
      </c>
      <c r="DL166" s="16" t="n">
        <v>0.778985</v>
      </c>
      <c r="DM166" s="16" t="n"/>
      <c r="DN166" s="16" t="n"/>
      <c r="DO166" s="16" t="n"/>
      <c r="DP166" s="16" t="n"/>
      <c r="DQ166" s="16" t="n">
        <v>0.486405</v>
      </c>
      <c r="DR166" s="16" t="n">
        <v>0.770514</v>
      </c>
      <c r="DS166" s="16" t="n"/>
      <c r="DT166" s="16" t="n"/>
      <c r="DU166" s="16" t="n"/>
      <c r="DV166" s="16" t="n"/>
      <c r="DW166" s="16" t="n">
        <v>0.486405</v>
      </c>
      <c r="DX166" s="16" t="n">
        <v>0.796751</v>
      </c>
      <c r="DY166" s="16" t="n"/>
      <c r="DZ166" s="16" t="n"/>
      <c r="EB166" s="16" t="n"/>
      <c r="EC166" s="16" t="n"/>
      <c r="ED166" s="16" t="n"/>
      <c r="EE166" s="16" t="n"/>
      <c r="EF166" s="16" t="n"/>
      <c r="EG166" s="16" t="n"/>
      <c r="EH166" s="16" t="n">
        <v>1392.707347</v>
      </c>
      <c r="EI166" s="16" t="n">
        <v>2794.216855</v>
      </c>
      <c r="EJ166" s="16" t="n"/>
      <c r="EK166" s="16" t="n"/>
      <c r="EL166" s="16" t="n"/>
      <c r="EM166" s="16" t="n"/>
      <c r="EN166" s="16" t="n"/>
      <c r="EO166" s="16" t="n"/>
      <c r="EP166" s="16" t="n"/>
      <c r="EQ166" s="16" t="n"/>
      <c r="ER166" s="16" t="n"/>
      <c r="ES166" s="16" t="n"/>
      <c r="ET166" s="16" t="n"/>
      <c r="EU166" s="16" t="n"/>
    </row>
    <row r="167">
      <c r="BS167" s="16" t="n"/>
      <c r="BT167" s="16" t="n"/>
      <c r="BU167" s="16" t="n">
        <v>0.489426</v>
      </c>
      <c r="BV167" s="16" t="n">
        <v>446.666755</v>
      </c>
      <c r="BW167" s="16" t="n"/>
      <c r="BX167" s="16" t="n"/>
      <c r="BY167" s="16" t="n"/>
      <c r="BZ167" s="16" t="n"/>
      <c r="CA167" s="16" t="n">
        <v>0.489426</v>
      </c>
      <c r="CB167" s="16" t="n">
        <v>291.515311</v>
      </c>
      <c r="CC167" s="16" t="n"/>
      <c r="CD167" s="16" t="n"/>
      <c r="CE167" s="16" t="n"/>
      <c r="CF167" s="16" t="n"/>
      <c r="CG167" s="16" t="n">
        <v>0.489426</v>
      </c>
      <c r="CH167" s="16" t="n">
        <v>3324.631354</v>
      </c>
      <c r="CI167" s="16" t="n"/>
      <c r="CJ167" s="16" t="n"/>
      <c r="CK167" s="16" t="n"/>
      <c r="CL167" s="16" t="n"/>
      <c r="CM167" s="16" t="n">
        <v>0.489426</v>
      </c>
      <c r="CN167" s="16" t="n">
        <v>756.850915</v>
      </c>
      <c r="CO167" s="16" t="n"/>
      <c r="CP167" s="16" t="n"/>
      <c r="CQ167" s="16" t="n"/>
      <c r="CR167" s="16" t="n"/>
      <c r="CS167" s="16" t="n">
        <v>0.489426</v>
      </c>
      <c r="CT167" s="16" t="n">
        <v>0.68569</v>
      </c>
      <c r="CU167" s="16" t="n"/>
      <c r="CV167" s="16" t="n"/>
      <c r="CW167" s="16" t="n"/>
      <c r="CX167" s="16" t="n"/>
      <c r="CY167" s="16" t="n">
        <v>0.489426</v>
      </c>
      <c r="CZ167" s="16" t="n">
        <v>0.832626</v>
      </c>
      <c r="DA167" s="16" t="n"/>
      <c r="DB167" s="16" t="n"/>
      <c r="DC167" s="16" t="n"/>
      <c r="DD167" s="16" t="n"/>
      <c r="DE167" s="16" t="n">
        <v>0.489426</v>
      </c>
      <c r="DF167" s="16" t="n">
        <v>0.764196</v>
      </c>
      <c r="DG167" s="16" t="n"/>
      <c r="DH167" s="16" t="n"/>
      <c r="DI167" s="16" t="n"/>
      <c r="DJ167" s="16" t="n"/>
      <c r="DK167" s="16" t="n">
        <v>0.489426</v>
      </c>
      <c r="DL167" s="16" t="n">
        <v>0.779439</v>
      </c>
      <c r="DM167" s="16" t="n"/>
      <c r="DN167" s="16" t="n"/>
      <c r="DO167" s="16" t="n"/>
      <c r="DP167" s="16" t="n"/>
      <c r="DQ167" s="16" t="n">
        <v>0.489426</v>
      </c>
      <c r="DR167" s="16" t="n">
        <v>0.771949</v>
      </c>
      <c r="DS167" s="16" t="n"/>
      <c r="DT167" s="16" t="n"/>
      <c r="DU167" s="16" t="n"/>
      <c r="DV167" s="16" t="n"/>
      <c r="DW167" s="16" t="n">
        <v>0.489426</v>
      </c>
      <c r="DX167" s="16" t="n">
        <v>0.797909</v>
      </c>
      <c r="DY167" s="16" t="n"/>
      <c r="DZ167" s="16" t="n"/>
      <c r="EB167" s="16" t="n"/>
      <c r="EC167" s="16" t="n"/>
      <c r="ED167" s="16" t="n"/>
      <c r="EE167" s="16" t="n"/>
      <c r="EF167" s="16" t="n"/>
      <c r="EG167" s="16" t="n"/>
      <c r="EH167" s="16" t="n">
        <v>584.589769</v>
      </c>
      <c r="EI167" s="16" t="n">
        <v>3008.396874</v>
      </c>
      <c r="EJ167" s="16" t="n"/>
      <c r="EK167" s="16" t="n"/>
      <c r="EL167" s="16" t="n"/>
      <c r="EM167" s="16" t="n"/>
      <c r="EN167" s="16" t="n"/>
      <c r="EO167" s="16" t="n"/>
      <c r="EP167" s="16" t="n"/>
      <c r="EQ167" s="16" t="n"/>
      <c r="ER167" s="16" t="n"/>
      <c r="ES167" s="16" t="n"/>
      <c r="ET167" s="16" t="n"/>
      <c r="EU167" s="16" t="n"/>
    </row>
    <row r="168">
      <c r="BS168" s="16" t="n"/>
      <c r="BT168" s="16" t="n"/>
      <c r="BU168" s="16" t="n">
        <v>0.492447</v>
      </c>
      <c r="BV168" s="16" t="n">
        <v>446.932381</v>
      </c>
      <c r="BW168" s="16" t="n"/>
      <c r="BX168" s="16" t="n"/>
      <c r="BY168" s="16" t="n"/>
      <c r="BZ168" s="16" t="n"/>
      <c r="CA168" s="16" t="n">
        <v>0.492447</v>
      </c>
      <c r="CB168" s="16" t="n">
        <v>291.640968</v>
      </c>
      <c r="CC168" s="16" t="n"/>
      <c r="CD168" s="16" t="n"/>
      <c r="CE168" s="16" t="n"/>
      <c r="CF168" s="16" t="n"/>
      <c r="CG168" s="16" t="n">
        <v>0.492447</v>
      </c>
      <c r="CH168" s="16" t="n">
        <v>3331.036953</v>
      </c>
      <c r="CI168" s="16" t="n"/>
      <c r="CJ168" s="16" t="n"/>
      <c r="CK168" s="16" t="n"/>
      <c r="CL168" s="16" t="n"/>
      <c r="CM168" s="16" t="n">
        <v>0.492447</v>
      </c>
      <c r="CN168" s="16" t="n">
        <v>759.86308</v>
      </c>
      <c r="CO168" s="16" t="n"/>
      <c r="CP168" s="16" t="n"/>
      <c r="CQ168" s="16" t="n"/>
      <c r="CR168" s="16" t="n"/>
      <c r="CS168" s="16" t="n">
        <v>0.492447</v>
      </c>
      <c r="CT168" s="16" t="n">
        <v>0.686941</v>
      </c>
      <c r="CU168" s="16" t="n"/>
      <c r="CV168" s="16" t="n"/>
      <c r="CW168" s="16" t="n"/>
      <c r="CX168" s="16" t="n"/>
      <c r="CY168" s="16" t="n">
        <v>0.492447</v>
      </c>
      <c r="CZ168" s="16" t="n">
        <v>0.832693</v>
      </c>
      <c r="DA168" s="16" t="n"/>
      <c r="DB168" s="16" t="n"/>
      <c r="DC168" s="16" t="n"/>
      <c r="DD168" s="16" t="n"/>
      <c r="DE168" s="16" t="n">
        <v>0.492447</v>
      </c>
      <c r="DF168" s="16" t="n">
        <v>0.765716</v>
      </c>
      <c r="DG168" s="16" t="n"/>
      <c r="DH168" s="16" t="n"/>
      <c r="DI168" s="16" t="n"/>
      <c r="DJ168" s="16" t="n"/>
      <c r="DK168" s="16" t="n">
        <v>0.492447</v>
      </c>
      <c r="DL168" s="16" t="n">
        <v>0.7809469999999999</v>
      </c>
      <c r="DM168" s="16" t="n"/>
      <c r="DN168" s="16" t="n"/>
      <c r="DO168" s="16" t="n"/>
      <c r="DP168" s="16" t="n"/>
      <c r="DQ168" s="16" t="n">
        <v>0.492447</v>
      </c>
      <c r="DR168" s="16" t="n">
        <v>0.772779</v>
      </c>
      <c r="DS168" s="16" t="n"/>
      <c r="DT168" s="16" t="n"/>
      <c r="DU168" s="16" t="n"/>
      <c r="DV168" s="16" t="n"/>
      <c r="DW168" s="16" t="n">
        <v>0.492447</v>
      </c>
      <c r="DX168" s="16" t="n">
        <v>0.797967</v>
      </c>
      <c r="DY168" s="16" t="n"/>
      <c r="DZ168" s="16" t="n"/>
      <c r="EB168" s="16" t="n"/>
      <c r="EC168" s="16" t="n"/>
      <c r="ED168" s="16" t="n"/>
      <c r="EE168" s="16" t="n"/>
      <c r="EF168" s="16" t="n"/>
      <c r="EG168" s="16" t="n"/>
      <c r="EH168" s="16" t="n">
        <v>1288.82545</v>
      </c>
      <c r="EI168" s="16" t="n">
        <v>2909.835972</v>
      </c>
      <c r="EJ168" s="16" t="n"/>
      <c r="EK168" s="16" t="n"/>
      <c r="EL168" s="16" t="n"/>
      <c r="EM168" s="16" t="n"/>
      <c r="EN168" s="16" t="n"/>
      <c r="EO168" s="16" t="n"/>
      <c r="EP168" s="16" t="n"/>
      <c r="EQ168" s="16" t="n"/>
      <c r="ER168" s="16" t="n"/>
      <c r="ES168" s="16" t="n"/>
      <c r="ET168" s="16" t="n"/>
      <c r="EU168" s="16" t="n"/>
    </row>
    <row r="169">
      <c r="BS169" s="16" t="n"/>
      <c r="BT169" s="16" t="n"/>
      <c r="BU169" s="16" t="n">
        <v>0.495468</v>
      </c>
      <c r="BV169" s="16" t="n">
        <v>447.391061</v>
      </c>
      <c r="BW169" s="16" t="n"/>
      <c r="BX169" s="16" t="n"/>
      <c r="BY169" s="16" t="n"/>
      <c r="BZ169" s="16" t="n"/>
      <c r="CA169" s="16" t="n">
        <v>0.495468</v>
      </c>
      <c r="CB169" s="16" t="n">
        <v>291.72671</v>
      </c>
      <c r="CC169" s="16" t="n"/>
      <c r="CD169" s="16" t="n"/>
      <c r="CE169" s="16" t="n"/>
      <c r="CF169" s="16" t="n"/>
      <c r="CG169" s="16" t="n">
        <v>0.495468</v>
      </c>
      <c r="CH169" s="16" t="n">
        <v>3345.752763</v>
      </c>
      <c r="CI169" s="16" t="n"/>
      <c r="CJ169" s="16" t="n"/>
      <c r="CK169" s="16" t="n"/>
      <c r="CL169" s="16" t="n"/>
      <c r="CM169" s="16" t="n">
        <v>0.495468</v>
      </c>
      <c r="CN169" s="16" t="n">
        <v>762.104509</v>
      </c>
      <c r="CO169" s="16" t="n"/>
      <c r="CP169" s="16" t="n"/>
      <c r="CQ169" s="16" t="n"/>
      <c r="CR169" s="16" t="n"/>
      <c r="CS169" s="16" t="n">
        <v>0.495468</v>
      </c>
      <c r="CT169" s="16" t="n">
        <v>0.688796</v>
      </c>
      <c r="CU169" s="16" t="n"/>
      <c r="CV169" s="16" t="n"/>
      <c r="CW169" s="16" t="n"/>
      <c r="CX169" s="16" t="n"/>
      <c r="CY169" s="16" t="n">
        <v>0.495468</v>
      </c>
      <c r="CZ169" s="16" t="n">
        <v>0.833095</v>
      </c>
      <c r="DA169" s="16" t="n"/>
      <c r="DB169" s="16" t="n"/>
      <c r="DC169" s="16" t="n"/>
      <c r="DD169" s="16" t="n"/>
      <c r="DE169" s="16" t="n">
        <v>0.495468</v>
      </c>
      <c r="DF169" s="16" t="n">
        <v>0.765987</v>
      </c>
      <c r="DG169" s="16" t="n"/>
      <c r="DH169" s="16" t="n"/>
      <c r="DI169" s="16" t="n"/>
      <c r="DJ169" s="16" t="n"/>
      <c r="DK169" s="16" t="n">
        <v>0.495468</v>
      </c>
      <c r="DL169" s="16" t="n">
        <v>0.782118</v>
      </c>
      <c r="DM169" s="16" t="n"/>
      <c r="DN169" s="16" t="n"/>
      <c r="DO169" s="16" t="n"/>
      <c r="DP169" s="16" t="n"/>
      <c r="DQ169" s="16" t="n">
        <v>0.495468</v>
      </c>
      <c r="DR169" s="16" t="n">
        <v>0.773396</v>
      </c>
      <c r="DS169" s="16" t="n"/>
      <c r="DT169" s="16" t="n"/>
      <c r="DU169" s="16" t="n"/>
      <c r="DV169" s="16" t="n"/>
      <c r="DW169" s="16" t="n">
        <v>0.495468</v>
      </c>
      <c r="DX169" s="16" t="n">
        <v>0.798767</v>
      </c>
      <c r="DY169" s="16" t="n"/>
      <c r="DZ169" s="16" t="n"/>
      <c r="EB169" s="16" t="n"/>
      <c r="EC169" s="16" t="n"/>
      <c r="ED169" s="16" t="n"/>
      <c r="EE169" s="16" t="n"/>
      <c r="EF169" s="16" t="n"/>
      <c r="EG169" s="16" t="n"/>
      <c r="EH169" s="16" t="n">
        <v>1344.938944</v>
      </c>
      <c r="EI169" s="16" t="n">
        <v>2624.980835</v>
      </c>
      <c r="EJ169" s="16" t="n"/>
      <c r="EK169" s="16" t="n"/>
      <c r="EL169" s="16" t="n"/>
      <c r="EM169" s="16" t="n"/>
      <c r="EN169" s="16" t="n"/>
      <c r="EO169" s="16" t="n"/>
      <c r="EP169" s="16" t="n"/>
      <c r="EQ169" s="16" t="n"/>
      <c r="ER169" s="16" t="n"/>
      <c r="ES169" s="16" t="n"/>
      <c r="ET169" s="16" t="n"/>
      <c r="EU169" s="16" t="n"/>
    </row>
    <row r="170">
      <c r="BS170" s="16" t="n"/>
      <c r="BT170" s="16" t="n"/>
      <c r="BU170" s="16" t="n">
        <v>0.498489</v>
      </c>
      <c r="BV170" s="16" t="n">
        <v>447.540306</v>
      </c>
      <c r="BW170" s="16" t="n"/>
      <c r="BX170" s="16" t="n"/>
      <c r="BY170" s="16" t="n"/>
      <c r="BZ170" s="16" t="n"/>
      <c r="CA170" s="16" t="n">
        <v>0.498489</v>
      </c>
      <c r="CB170" s="16" t="n">
        <v>291.777912</v>
      </c>
      <c r="CC170" s="16" t="n"/>
      <c r="CD170" s="16" t="n"/>
      <c r="CE170" s="16" t="n"/>
      <c r="CF170" s="16" t="n"/>
      <c r="CG170" s="16" t="n">
        <v>0.498489</v>
      </c>
      <c r="CH170" s="16" t="n">
        <v>3353.022928</v>
      </c>
      <c r="CI170" s="16" t="n"/>
      <c r="CJ170" s="16" t="n"/>
      <c r="CK170" s="16" t="n"/>
      <c r="CL170" s="16" t="n"/>
      <c r="CM170" s="16" t="n">
        <v>0.498489</v>
      </c>
      <c r="CN170" s="16" t="n">
        <v>764.255168</v>
      </c>
      <c r="CO170" s="16" t="n"/>
      <c r="CP170" s="16" t="n"/>
      <c r="CQ170" s="16" t="n"/>
      <c r="CR170" s="16" t="n"/>
      <c r="CS170" s="16" t="n">
        <v>0.498489</v>
      </c>
      <c r="CT170" s="16" t="n">
        <v>0.689737</v>
      </c>
      <c r="CU170" s="16" t="n"/>
      <c r="CV170" s="16" t="n"/>
      <c r="CW170" s="16" t="n"/>
      <c r="CX170" s="16" t="n"/>
      <c r="CY170" s="16" t="n">
        <v>0.498489</v>
      </c>
      <c r="CZ170" s="16" t="n">
        <v>0.833328</v>
      </c>
      <c r="DA170" s="16" t="n"/>
      <c r="DB170" s="16" t="n"/>
      <c r="DC170" s="16" t="n"/>
      <c r="DD170" s="16" t="n"/>
      <c r="DE170" s="16" t="n">
        <v>0.498489</v>
      </c>
      <c r="DF170" s="16" t="n">
        <v>0.767392</v>
      </c>
      <c r="DG170" s="16" t="n"/>
      <c r="DH170" s="16" t="n"/>
      <c r="DI170" s="16" t="n"/>
      <c r="DJ170" s="16" t="n"/>
      <c r="DK170" s="16" t="n">
        <v>0.498489</v>
      </c>
      <c r="DL170" s="16" t="n">
        <v>0.782141</v>
      </c>
      <c r="DM170" s="16" t="n"/>
      <c r="DN170" s="16" t="n"/>
      <c r="DO170" s="16" t="n"/>
      <c r="DP170" s="16" t="n"/>
      <c r="DQ170" s="16" t="n">
        <v>0.498489</v>
      </c>
      <c r="DR170" s="16" t="n">
        <v>0.775104</v>
      </c>
      <c r="DS170" s="16" t="n"/>
      <c r="DT170" s="16" t="n"/>
      <c r="DU170" s="16" t="n"/>
      <c r="DV170" s="16" t="n"/>
      <c r="DW170" s="16" t="n">
        <v>0.498489</v>
      </c>
      <c r="DX170" s="16" t="n">
        <v>0.800218</v>
      </c>
      <c r="DY170" s="16" t="n"/>
      <c r="DZ170" s="16" t="n"/>
      <c r="EB170" s="16" t="n"/>
      <c r="EC170" s="16" t="n"/>
      <c r="ED170" s="16" t="n"/>
      <c r="EE170" s="16" t="n"/>
      <c r="EF170" s="16" t="n"/>
      <c r="EG170" s="16" t="n"/>
      <c r="EH170" s="16" t="n">
        <v>392.400977</v>
      </c>
      <c r="EI170" s="16" t="n">
        <v>4011.194893</v>
      </c>
      <c r="EJ170" s="16" t="n"/>
      <c r="EK170" s="16" t="n"/>
      <c r="EL170" s="16" t="n"/>
      <c r="EM170" s="16" t="n"/>
      <c r="EN170" s="16" t="n"/>
      <c r="EO170" s="16" t="n"/>
      <c r="EP170" s="16" t="n"/>
      <c r="EQ170" s="16" t="n"/>
      <c r="ER170" s="16" t="n"/>
      <c r="ES170" s="16" t="n"/>
      <c r="ET170" s="16" t="n"/>
      <c r="EU170" s="16" t="n"/>
    </row>
    <row r="171">
      <c r="BS171" s="16" t="n"/>
      <c r="BT171" s="16" t="n"/>
      <c r="BU171" s="16" t="n">
        <v>0.501511</v>
      </c>
      <c r="BV171" s="16" t="n">
        <v>447.666527</v>
      </c>
      <c r="BW171" s="16" t="n"/>
      <c r="BX171" s="16" t="n"/>
      <c r="BY171" s="16" t="n"/>
      <c r="BZ171" s="16" t="n"/>
      <c r="CA171" s="16" t="n">
        <v>0.501511</v>
      </c>
      <c r="CB171" s="16" t="n">
        <v>291.882362</v>
      </c>
      <c r="CC171" s="16" t="n"/>
      <c r="CD171" s="16" t="n"/>
      <c r="CE171" s="16" t="n"/>
      <c r="CF171" s="16" t="n"/>
      <c r="CG171" s="16" t="n">
        <v>0.501511</v>
      </c>
      <c r="CH171" s="16" t="n">
        <v>3365.235698</v>
      </c>
      <c r="CI171" s="16" t="n"/>
      <c r="CJ171" s="16" t="n"/>
      <c r="CK171" s="16" t="n"/>
      <c r="CL171" s="16" t="n"/>
      <c r="CM171" s="16" t="n">
        <v>0.501511</v>
      </c>
      <c r="CN171" s="16" t="n">
        <v>767.043179</v>
      </c>
      <c r="CO171" s="16" t="n"/>
      <c r="CP171" s="16" t="n"/>
      <c r="CQ171" s="16" t="n"/>
      <c r="CR171" s="16" t="n"/>
      <c r="CS171" s="16" t="n">
        <v>0.501511</v>
      </c>
      <c r="CT171" s="16" t="n">
        <v>0.690592</v>
      </c>
      <c r="CU171" s="16" t="n"/>
      <c r="CV171" s="16" t="n"/>
      <c r="CW171" s="16" t="n"/>
      <c r="CX171" s="16" t="n"/>
      <c r="CY171" s="16" t="n">
        <v>0.501511</v>
      </c>
      <c r="CZ171" s="16" t="n">
        <v>0.833759</v>
      </c>
      <c r="DA171" s="16" t="n"/>
      <c r="DB171" s="16" t="n"/>
      <c r="DC171" s="16" t="n"/>
      <c r="DD171" s="16" t="n"/>
      <c r="DE171" s="16" t="n">
        <v>0.501511</v>
      </c>
      <c r="DF171" s="16" t="n">
        <v>0.768209</v>
      </c>
      <c r="DG171" s="16" t="n"/>
      <c r="DH171" s="16" t="n"/>
      <c r="DI171" s="16" t="n"/>
      <c r="DJ171" s="16" t="n"/>
      <c r="DK171" s="16" t="n">
        <v>0.501511</v>
      </c>
      <c r="DL171" s="16" t="n">
        <v>0.784295</v>
      </c>
      <c r="DM171" s="16" t="n"/>
      <c r="DN171" s="16" t="n"/>
      <c r="DO171" s="16" t="n"/>
      <c r="DP171" s="16" t="n"/>
      <c r="DQ171" s="16" t="n">
        <v>0.501511</v>
      </c>
      <c r="DR171" s="16" t="n">
        <v>0.776697</v>
      </c>
      <c r="DS171" s="16" t="n"/>
      <c r="DT171" s="16" t="n"/>
      <c r="DU171" s="16" t="n"/>
      <c r="DV171" s="16" t="n"/>
      <c r="DW171" s="16" t="n">
        <v>0.501511</v>
      </c>
      <c r="DX171" s="16" t="n">
        <v>0.800438</v>
      </c>
      <c r="DY171" s="16" t="n"/>
      <c r="DZ171" s="16" t="n"/>
      <c r="EB171" s="16" t="n"/>
      <c r="EC171" s="16" t="n"/>
      <c r="ED171" s="16" t="n"/>
      <c r="EE171" s="16" t="n"/>
      <c r="EF171" s="16" t="n"/>
      <c r="EG171" s="16" t="n"/>
      <c r="EH171" s="16" t="n">
        <v>552.278125</v>
      </c>
      <c r="EI171" s="16" t="n">
        <v>3900.724847</v>
      </c>
      <c r="EJ171" s="16" t="n"/>
      <c r="EK171" s="16" t="n"/>
      <c r="EL171" s="16" t="n"/>
      <c r="EM171" s="16" t="n"/>
      <c r="EN171" s="16" t="n"/>
      <c r="EO171" s="16" t="n"/>
      <c r="EP171" s="16" t="n"/>
      <c r="EQ171" s="16" t="n"/>
      <c r="ER171" s="16" t="n"/>
      <c r="ES171" s="16" t="n"/>
      <c r="ET171" s="16" t="n"/>
      <c r="EU171" s="16" t="n"/>
    </row>
    <row r="172">
      <c r="BS172" s="16" t="n"/>
      <c r="BT172" s="16" t="n"/>
      <c r="BU172" s="16" t="n">
        <v>0.504532</v>
      </c>
      <c r="BV172" s="16" t="n">
        <v>448.383839</v>
      </c>
      <c r="BW172" s="16" t="n"/>
      <c r="BX172" s="16" t="n"/>
      <c r="BY172" s="16" t="n"/>
      <c r="BZ172" s="16" t="n"/>
      <c r="CA172" s="16" t="n">
        <v>0.504532</v>
      </c>
      <c r="CB172" s="16" t="n">
        <v>291.893451</v>
      </c>
      <c r="CC172" s="16" t="n"/>
      <c r="CD172" s="16" t="n"/>
      <c r="CE172" s="16" t="n"/>
      <c r="CF172" s="16" t="n"/>
      <c r="CG172" s="16" t="n">
        <v>0.504532</v>
      </c>
      <c r="CH172" s="16" t="n">
        <v>3368.976965</v>
      </c>
      <c r="CI172" s="16" t="n"/>
      <c r="CJ172" s="16" t="n"/>
      <c r="CK172" s="16" t="n"/>
      <c r="CL172" s="16" t="n"/>
      <c r="CM172" s="16" t="n">
        <v>0.504532</v>
      </c>
      <c r="CN172" s="16" t="n">
        <v>769.417601</v>
      </c>
      <c r="CO172" s="16" t="n"/>
      <c r="CP172" s="16" t="n"/>
      <c r="CQ172" s="16" t="n"/>
      <c r="CR172" s="16" t="n"/>
      <c r="CS172" s="16" t="n">
        <v>0.504532</v>
      </c>
      <c r="CT172" s="16" t="n">
        <v>0.690676</v>
      </c>
      <c r="CU172" s="16" t="n"/>
      <c r="CV172" s="16" t="n"/>
      <c r="CW172" s="16" t="n"/>
      <c r="CX172" s="16" t="n"/>
      <c r="CY172" s="16" t="n">
        <v>0.504532</v>
      </c>
      <c r="CZ172" s="16" t="n">
        <v>0.83456</v>
      </c>
      <c r="DA172" s="16" t="n"/>
      <c r="DB172" s="16" t="n"/>
      <c r="DC172" s="16" t="n"/>
      <c r="DD172" s="16" t="n"/>
      <c r="DE172" s="16" t="n">
        <v>0.504532</v>
      </c>
      <c r="DF172" s="16" t="n">
        <v>0.768551</v>
      </c>
      <c r="DG172" s="16" t="n"/>
      <c r="DH172" s="16" t="n"/>
      <c r="DI172" s="16" t="n"/>
      <c r="DJ172" s="16" t="n"/>
      <c r="DK172" s="16" t="n">
        <v>0.504532</v>
      </c>
      <c r="DL172" s="16" t="n">
        <v>0.784816</v>
      </c>
      <c r="DM172" s="16" t="n"/>
      <c r="DN172" s="16" t="n"/>
      <c r="DO172" s="16" t="n"/>
      <c r="DP172" s="16" t="n"/>
      <c r="DQ172" s="16" t="n">
        <v>0.504532</v>
      </c>
      <c r="DR172" s="16" t="n">
        <v>0.776885</v>
      </c>
      <c r="DS172" s="16" t="n"/>
      <c r="DT172" s="16" t="n"/>
      <c r="DU172" s="16" t="n"/>
      <c r="DV172" s="16" t="n"/>
      <c r="DW172" s="16" t="n">
        <v>0.504532</v>
      </c>
      <c r="DX172" s="16" t="n">
        <v>0.801526</v>
      </c>
      <c r="DY172" s="16" t="n"/>
      <c r="DZ172" s="16" t="n"/>
      <c r="EB172" s="16" t="n"/>
      <c r="EC172" s="16" t="n"/>
      <c r="ED172" s="16" t="n"/>
      <c r="EE172" s="16" t="n"/>
      <c r="EF172" s="16" t="n"/>
      <c r="EG172" s="16" t="n"/>
      <c r="EH172" s="16" t="n">
        <v>645.221578</v>
      </c>
      <c r="EI172" s="16" t="n">
        <v>4691.462748</v>
      </c>
      <c r="EJ172" s="16" t="n"/>
      <c r="EK172" s="16" t="n"/>
      <c r="EL172" s="16" t="n"/>
      <c r="EM172" s="16" t="n"/>
      <c r="EN172" s="16" t="n"/>
      <c r="EO172" s="16" t="n"/>
      <c r="EP172" s="16" t="n"/>
      <c r="EQ172" s="16" t="n"/>
      <c r="ER172" s="16" t="n"/>
      <c r="ES172" s="16" t="n"/>
      <c r="ET172" s="16" t="n"/>
      <c r="EU172" s="16" t="n"/>
    </row>
    <row r="173">
      <c r="BS173" s="16" t="n"/>
      <c r="BT173" s="16" t="n"/>
      <c r="BU173" s="16" t="n">
        <v>0.507553</v>
      </c>
      <c r="BV173" s="16" t="n">
        <v>448.546438</v>
      </c>
      <c r="BW173" s="16" t="n"/>
      <c r="BX173" s="16" t="n"/>
      <c r="BY173" s="16" t="n"/>
      <c r="BZ173" s="16" t="n"/>
      <c r="CA173" s="16" t="n">
        <v>0.507553</v>
      </c>
      <c r="CB173" s="16" t="n">
        <v>291.952701</v>
      </c>
      <c r="CC173" s="16" t="n"/>
      <c r="CD173" s="16" t="n"/>
      <c r="CE173" s="16" t="n"/>
      <c r="CF173" s="16" t="n"/>
      <c r="CG173" s="16" t="n">
        <v>0.507553</v>
      </c>
      <c r="CH173" s="16" t="n">
        <v>3373.492753</v>
      </c>
      <c r="CI173" s="16" t="n"/>
      <c r="CJ173" s="16" t="n"/>
      <c r="CK173" s="16" t="n"/>
      <c r="CL173" s="16" t="n"/>
      <c r="CM173" s="16" t="n">
        <v>0.507553</v>
      </c>
      <c r="CN173" s="16" t="n">
        <v>778.498255</v>
      </c>
      <c r="CO173" s="16" t="n"/>
      <c r="CP173" s="16" t="n"/>
      <c r="CQ173" s="16" t="n"/>
      <c r="CR173" s="16" t="n"/>
      <c r="CS173" s="16" t="n">
        <v>0.507553</v>
      </c>
      <c r="CT173" s="16" t="n">
        <v>0.692465</v>
      </c>
      <c r="CU173" s="16" t="n"/>
      <c r="CV173" s="16" t="n"/>
      <c r="CW173" s="16" t="n"/>
      <c r="CX173" s="16" t="n"/>
      <c r="CY173" s="16" t="n">
        <v>0.507553</v>
      </c>
      <c r="CZ173" s="16" t="n">
        <v>0.834861</v>
      </c>
      <c r="DA173" s="16" t="n"/>
      <c r="DB173" s="16" t="n"/>
      <c r="DC173" s="16" t="n"/>
      <c r="DD173" s="16" t="n"/>
      <c r="DE173" s="16" t="n">
        <v>0.507553</v>
      </c>
      <c r="DF173" s="16" t="n">
        <v>0.768559</v>
      </c>
      <c r="DG173" s="16" t="n"/>
      <c r="DH173" s="16" t="n"/>
      <c r="DI173" s="16" t="n"/>
      <c r="DJ173" s="16" t="n"/>
      <c r="DK173" s="16" t="n">
        <v>0.507553</v>
      </c>
      <c r="DL173" s="16" t="n">
        <v>0.785771</v>
      </c>
      <c r="DM173" s="16" t="n"/>
      <c r="DN173" s="16" t="n"/>
      <c r="DO173" s="16" t="n"/>
      <c r="DP173" s="16" t="n"/>
      <c r="DQ173" s="16" t="n">
        <v>0.507553</v>
      </c>
      <c r="DR173" s="16" t="n">
        <v>0.778216</v>
      </c>
      <c r="DS173" s="16" t="n"/>
      <c r="DT173" s="16" t="n"/>
      <c r="DU173" s="16" t="n"/>
      <c r="DV173" s="16" t="n"/>
      <c r="DW173" s="16" t="n">
        <v>0.507553</v>
      </c>
      <c r="DX173" s="16" t="n">
        <v>0.802961</v>
      </c>
      <c r="DY173" s="16" t="n"/>
      <c r="DZ173" s="16" t="n"/>
      <c r="EB173" s="16" t="n"/>
      <c r="EC173" s="16" t="n"/>
      <c r="ED173" s="16" t="n"/>
      <c r="EE173" s="16" t="n"/>
      <c r="EF173" s="16" t="n"/>
      <c r="EG173" s="16" t="n"/>
      <c r="EH173" s="16" t="n">
        <v>665.174717</v>
      </c>
      <c r="EI173" s="16" t="n">
        <v>2977.487928</v>
      </c>
      <c r="EJ173" s="16" t="n"/>
      <c r="EK173" s="16" t="n"/>
      <c r="EL173" s="16" t="n"/>
      <c r="EM173" s="16" t="n"/>
      <c r="EN173" s="16" t="n"/>
      <c r="EO173" s="16" t="n"/>
      <c r="EP173" s="16" t="n"/>
      <c r="EQ173" s="16" t="n"/>
      <c r="ER173" s="16" t="n"/>
      <c r="ES173" s="16" t="n"/>
      <c r="ET173" s="16" t="n"/>
      <c r="EU173" s="16" t="n"/>
    </row>
    <row r="174">
      <c r="BS174" s="16" t="n"/>
      <c r="BT174" s="16" t="n"/>
      <c r="BU174" s="16" t="n">
        <v>0.510574</v>
      </c>
      <c r="BV174" s="16" t="n">
        <v>448.913509</v>
      </c>
      <c r="BW174" s="16" t="n"/>
      <c r="BX174" s="16" t="n"/>
      <c r="BY174" s="16" t="n"/>
      <c r="BZ174" s="16" t="n"/>
      <c r="CA174" s="16" t="n">
        <v>0.510574</v>
      </c>
      <c r="CB174" s="16" t="n">
        <v>292.102641</v>
      </c>
      <c r="CC174" s="16" t="n"/>
      <c r="CD174" s="16" t="n"/>
      <c r="CE174" s="16" t="n"/>
      <c r="CF174" s="16" t="n"/>
      <c r="CG174" s="16" t="n">
        <v>0.510574</v>
      </c>
      <c r="CH174" s="16" t="n">
        <v>3381.451689</v>
      </c>
      <c r="CI174" s="16" t="n"/>
      <c r="CJ174" s="16" t="n"/>
      <c r="CK174" s="16" t="n"/>
      <c r="CL174" s="16" t="n"/>
      <c r="CM174" s="16" t="n">
        <v>0.510574</v>
      </c>
      <c r="CN174" s="16" t="n">
        <v>779.709063</v>
      </c>
      <c r="CO174" s="16" t="n"/>
      <c r="CP174" s="16" t="n"/>
      <c r="CQ174" s="16" t="n"/>
      <c r="CR174" s="16" t="n"/>
      <c r="CS174" s="16" t="n">
        <v>0.510574</v>
      </c>
      <c r="CT174" s="16" t="n">
        <v>0.693411</v>
      </c>
      <c r="CU174" s="16" t="n"/>
      <c r="CV174" s="16" t="n"/>
      <c r="CW174" s="16" t="n"/>
      <c r="CX174" s="16" t="n"/>
      <c r="CY174" s="16" t="n">
        <v>0.510574</v>
      </c>
      <c r="CZ174" s="16" t="n">
        <v>0.835077</v>
      </c>
      <c r="DA174" s="16" t="n"/>
      <c r="DB174" s="16" t="n"/>
      <c r="DC174" s="16" t="n"/>
      <c r="DD174" s="16" t="n"/>
      <c r="DE174" s="16" t="n">
        <v>0.510574</v>
      </c>
      <c r="DF174" s="16" t="n">
        <v>0.769103</v>
      </c>
      <c r="DG174" s="16" t="n"/>
      <c r="DH174" s="16" t="n"/>
      <c r="DI174" s="16" t="n"/>
      <c r="DJ174" s="16" t="n"/>
      <c r="DK174" s="16" t="n">
        <v>0.510574</v>
      </c>
      <c r="DL174" s="16" t="n">
        <v>0.786188</v>
      </c>
      <c r="DM174" s="16" t="n"/>
      <c r="DN174" s="16" t="n"/>
      <c r="DO174" s="16" t="n"/>
      <c r="DP174" s="16" t="n"/>
      <c r="DQ174" s="16" t="n">
        <v>0.510574</v>
      </c>
      <c r="DR174" s="16" t="n">
        <v>0.779036</v>
      </c>
      <c r="DS174" s="16" t="n"/>
      <c r="DT174" s="16" t="n"/>
      <c r="DU174" s="16" t="n"/>
      <c r="DV174" s="16" t="n"/>
      <c r="DW174" s="16" t="n">
        <v>0.510574</v>
      </c>
      <c r="DX174" s="16" t="n">
        <v>0.804426</v>
      </c>
      <c r="DY174" s="16" t="n"/>
      <c r="DZ174" s="16" t="n"/>
      <c r="EB174" s="16" t="n"/>
      <c r="EC174" s="16" t="n"/>
      <c r="ED174" s="16" t="n"/>
      <c r="EE174" s="16" t="n"/>
      <c r="EF174" s="16" t="n"/>
      <c r="EG174" s="16" t="n"/>
      <c r="EH174" s="16" t="n">
        <v>1240.754444</v>
      </c>
      <c r="EI174" s="16" t="n">
        <v>4145.887674</v>
      </c>
      <c r="EJ174" s="16" t="n"/>
      <c r="EK174" s="16" t="n"/>
      <c r="EL174" s="16" t="n"/>
      <c r="EM174" s="16" t="n"/>
      <c r="EN174" s="16" t="n"/>
      <c r="EO174" s="16" t="n"/>
      <c r="EP174" s="16" t="n"/>
      <c r="EQ174" s="16" t="n"/>
      <c r="ER174" s="16" t="n"/>
      <c r="ES174" s="16" t="n"/>
      <c r="ET174" s="16" t="n"/>
      <c r="EU174" s="16" t="n"/>
    </row>
    <row r="175">
      <c r="BS175" s="16" t="n"/>
      <c r="BT175" s="16" t="n"/>
      <c r="BU175" s="16" t="n">
        <v>0.513595</v>
      </c>
      <c r="BV175" s="16" t="n">
        <v>449.211672</v>
      </c>
      <c r="BW175" s="16" t="n"/>
      <c r="BX175" s="16" t="n"/>
      <c r="BY175" s="16" t="n"/>
      <c r="BZ175" s="16" t="n"/>
      <c r="CA175" s="16" t="n">
        <v>0.513595</v>
      </c>
      <c r="CB175" s="16" t="n">
        <v>292.179482</v>
      </c>
      <c r="CC175" s="16" t="n"/>
      <c r="CD175" s="16" t="n"/>
      <c r="CE175" s="16" t="n"/>
      <c r="CF175" s="16" t="n"/>
      <c r="CG175" s="16" t="n">
        <v>0.513595</v>
      </c>
      <c r="CH175" s="16" t="n">
        <v>3399.199211</v>
      </c>
      <c r="CI175" s="16" t="n"/>
      <c r="CJ175" s="16" t="n"/>
      <c r="CK175" s="16" t="n"/>
      <c r="CL175" s="16" t="n"/>
      <c r="CM175" s="16" t="n">
        <v>0.513595</v>
      </c>
      <c r="CN175" s="16" t="n">
        <v>782.525452</v>
      </c>
      <c r="CO175" s="16" t="n"/>
      <c r="CP175" s="16" t="n"/>
      <c r="CQ175" s="16" t="n"/>
      <c r="CR175" s="16" t="n"/>
      <c r="CS175" s="16" t="n">
        <v>0.513595</v>
      </c>
      <c r="CT175" s="16" t="n">
        <v>0.694214</v>
      </c>
      <c r="CU175" s="16" t="n"/>
      <c r="CV175" s="16" t="n"/>
      <c r="CW175" s="16" t="n"/>
      <c r="CX175" s="16" t="n"/>
      <c r="CY175" s="16" t="n">
        <v>0.513595</v>
      </c>
      <c r="CZ175" s="16" t="n">
        <v>0.835459</v>
      </c>
      <c r="DA175" s="16" t="n"/>
      <c r="DB175" s="16" t="n"/>
      <c r="DC175" s="16" t="n"/>
      <c r="DD175" s="16" t="n"/>
      <c r="DE175" s="16" t="n">
        <v>0.513595</v>
      </c>
      <c r="DF175" s="16" t="n">
        <v>0.770516</v>
      </c>
      <c r="DG175" s="16" t="n"/>
      <c r="DH175" s="16" t="n"/>
      <c r="DI175" s="16" t="n"/>
      <c r="DJ175" s="16" t="n"/>
      <c r="DK175" s="16" t="n">
        <v>0.513595</v>
      </c>
      <c r="DL175" s="16" t="n">
        <v>0.787628</v>
      </c>
      <c r="DM175" s="16" t="n"/>
      <c r="DN175" s="16" t="n"/>
      <c r="DO175" s="16" t="n"/>
      <c r="DP175" s="16" t="n"/>
      <c r="DQ175" s="16" t="n">
        <v>0.513595</v>
      </c>
      <c r="DR175" s="16" t="n">
        <v>0.779324</v>
      </c>
      <c r="DS175" s="16" t="n"/>
      <c r="DT175" s="16" t="n"/>
      <c r="DU175" s="16" t="n"/>
      <c r="DV175" s="16" t="n"/>
      <c r="DW175" s="16" t="n">
        <v>0.513595</v>
      </c>
      <c r="DX175" s="16" t="n">
        <v>0.805334</v>
      </c>
      <c r="DY175" s="16" t="n"/>
      <c r="DZ175" s="16" t="n"/>
      <c r="EB175" s="16" t="n"/>
      <c r="EC175" s="16" t="n"/>
      <c r="ED175" s="16" t="n"/>
      <c r="EE175" s="16" t="n"/>
      <c r="EF175" s="16" t="n"/>
      <c r="EG175" s="16" t="n"/>
      <c r="EH175" s="16" t="n">
        <v>1233.348173</v>
      </c>
      <c r="EI175" s="16" t="n">
        <v>3938.333618</v>
      </c>
      <c r="EJ175" s="16" t="n"/>
      <c r="EK175" s="16" t="n"/>
      <c r="EL175" s="16" t="n"/>
      <c r="EM175" s="16" t="n"/>
      <c r="EN175" s="16" t="n"/>
      <c r="EO175" s="16" t="n"/>
      <c r="EP175" s="16" t="n"/>
      <c r="EQ175" s="16" t="n"/>
      <c r="ER175" s="16" t="n"/>
      <c r="ES175" s="16" t="n"/>
      <c r="ET175" s="16" t="n"/>
      <c r="EU175" s="16" t="n"/>
    </row>
    <row r="176">
      <c r="BS176" s="16" t="n"/>
      <c r="BT176" s="16" t="n"/>
      <c r="BU176" s="16" t="n">
        <v>0.516616</v>
      </c>
      <c r="BV176" s="16" t="n">
        <v>449.937299</v>
      </c>
      <c r="BW176" s="16" t="n"/>
      <c r="BX176" s="16" t="n"/>
      <c r="BY176" s="16" t="n"/>
      <c r="BZ176" s="16" t="n"/>
      <c r="CA176" s="16" t="n">
        <v>0.516616</v>
      </c>
      <c r="CB176" s="16" t="n">
        <v>292.256543</v>
      </c>
      <c r="CC176" s="16" t="n"/>
      <c r="CD176" s="16" t="n"/>
      <c r="CE176" s="16" t="n"/>
      <c r="CF176" s="16" t="n"/>
      <c r="CG176" s="16" t="n">
        <v>0.516616</v>
      </c>
      <c r="CH176" s="16" t="n">
        <v>3405.599189</v>
      </c>
      <c r="CI176" s="16" t="n"/>
      <c r="CJ176" s="16" t="n"/>
      <c r="CK176" s="16" t="n"/>
      <c r="CL176" s="16" t="n"/>
      <c r="CM176" s="16" t="n">
        <v>0.516616</v>
      </c>
      <c r="CN176" s="16" t="n">
        <v>783.7880730000001</v>
      </c>
      <c r="CO176" s="16" t="n"/>
      <c r="CP176" s="16" t="n"/>
      <c r="CQ176" s="16" t="n"/>
      <c r="CR176" s="16" t="n"/>
      <c r="CS176" s="16" t="n">
        <v>0.516616</v>
      </c>
      <c r="CT176" s="16" t="n">
        <v>0.694357</v>
      </c>
      <c r="CU176" s="16" t="n"/>
      <c r="CV176" s="16" t="n"/>
      <c r="CW176" s="16" t="n"/>
      <c r="CX176" s="16" t="n"/>
      <c r="CY176" s="16" t="n">
        <v>0.516616</v>
      </c>
      <c r="CZ176" s="16" t="n">
        <v>0.835598</v>
      </c>
      <c r="DA176" s="16" t="n"/>
      <c r="DB176" s="16" t="n"/>
      <c r="DC176" s="16" t="n"/>
      <c r="DD176" s="16" t="n"/>
      <c r="DE176" s="16" t="n">
        <v>0.516616</v>
      </c>
      <c r="DF176" s="16" t="n">
        <v>0.771721</v>
      </c>
      <c r="DG176" s="16" t="n"/>
      <c r="DH176" s="16" t="n"/>
      <c r="DI176" s="16" t="n"/>
      <c r="DJ176" s="16" t="n"/>
      <c r="DK176" s="16" t="n">
        <v>0.516616</v>
      </c>
      <c r="DL176" s="16" t="n">
        <v>0.789978</v>
      </c>
      <c r="DM176" s="16" t="n"/>
      <c r="DN176" s="16" t="n"/>
      <c r="DO176" s="16" t="n"/>
      <c r="DP176" s="16" t="n"/>
      <c r="DQ176" s="16" t="n">
        <v>0.516616</v>
      </c>
      <c r="DR176" s="16" t="n">
        <v>0.779732</v>
      </c>
      <c r="DS176" s="16" t="n"/>
      <c r="DT176" s="16" t="n"/>
      <c r="DU176" s="16" t="n"/>
      <c r="DV176" s="16" t="n"/>
      <c r="DW176" s="16" t="n">
        <v>0.516616</v>
      </c>
      <c r="DX176" s="16" t="n">
        <v>0.805437</v>
      </c>
      <c r="DY176" s="16" t="n"/>
      <c r="DZ176" s="16" t="n"/>
      <c r="EB176" s="16" t="n"/>
      <c r="EC176" s="16" t="n"/>
      <c r="ED176" s="16" t="n"/>
      <c r="EE176" s="16" t="n"/>
      <c r="EF176" s="16" t="n"/>
      <c r="EG176" s="16" t="n"/>
      <c r="EH176" s="16" t="n">
        <v>841.0457730000001</v>
      </c>
      <c r="EI176" s="16" t="n">
        <v>4663.40795</v>
      </c>
      <c r="EJ176" s="16" t="n"/>
      <c r="EK176" s="16" t="n"/>
      <c r="EL176" s="16" t="n"/>
      <c r="EM176" s="16" t="n"/>
      <c r="EN176" s="16" t="n"/>
      <c r="EO176" s="16" t="n"/>
      <c r="EP176" s="16" t="n"/>
      <c r="EQ176" s="16" t="n"/>
      <c r="ER176" s="16" t="n"/>
      <c r="ES176" s="16" t="n"/>
      <c r="ET176" s="16" t="n"/>
      <c r="EU176" s="16" t="n"/>
    </row>
    <row r="177">
      <c r="BS177" s="16" t="n"/>
      <c r="BT177" s="16" t="n"/>
      <c r="BU177" s="16" t="n">
        <v>0.519637</v>
      </c>
      <c r="BV177" s="16" t="n">
        <v>450.151075</v>
      </c>
      <c r="BW177" s="16" t="n"/>
      <c r="BX177" s="16" t="n"/>
      <c r="BY177" s="16" t="n"/>
      <c r="BZ177" s="16" t="n"/>
      <c r="CA177" s="16" t="n">
        <v>0.519637</v>
      </c>
      <c r="CB177" s="16" t="n">
        <v>292.333579</v>
      </c>
      <c r="CC177" s="16" t="n"/>
      <c r="CD177" s="16" t="n"/>
      <c r="CE177" s="16" t="n"/>
      <c r="CF177" s="16" t="n"/>
      <c r="CG177" s="16" t="n">
        <v>0.519637</v>
      </c>
      <c r="CH177" s="16" t="n">
        <v>3419.473692</v>
      </c>
      <c r="CI177" s="16" t="n"/>
      <c r="CJ177" s="16" t="n"/>
      <c r="CK177" s="16" t="n"/>
      <c r="CL177" s="16" t="n"/>
      <c r="CM177" s="16" t="n">
        <v>0.519637</v>
      </c>
      <c r="CN177" s="16" t="n">
        <v>786.244282</v>
      </c>
      <c r="CO177" s="16" t="n"/>
      <c r="CP177" s="16" t="n"/>
      <c r="CQ177" s="16" t="n"/>
      <c r="CR177" s="16" t="n"/>
      <c r="CS177" s="16" t="n">
        <v>0.519637</v>
      </c>
      <c r="CT177" s="16" t="n">
        <v>0.695485</v>
      </c>
      <c r="CU177" s="16" t="n"/>
      <c r="CV177" s="16" t="n"/>
      <c r="CW177" s="16" t="n"/>
      <c r="CX177" s="16" t="n"/>
      <c r="CY177" s="16" t="n">
        <v>0.519637</v>
      </c>
      <c r="CZ177" s="16" t="n">
        <v>0.836374</v>
      </c>
      <c r="DA177" s="16" t="n"/>
      <c r="DB177" s="16" t="n"/>
      <c r="DC177" s="16" t="n"/>
      <c r="DD177" s="16" t="n"/>
      <c r="DE177" s="16" t="n">
        <v>0.519637</v>
      </c>
      <c r="DF177" s="16" t="n">
        <v>0.773184</v>
      </c>
      <c r="DG177" s="16" t="n"/>
      <c r="DH177" s="16" t="n"/>
      <c r="DI177" s="16" t="n"/>
      <c r="DJ177" s="16" t="n"/>
      <c r="DK177" s="16" t="n">
        <v>0.519637</v>
      </c>
      <c r="DL177" s="16" t="n">
        <v>0.7901049999999999</v>
      </c>
      <c r="DM177" s="16" t="n"/>
      <c r="DN177" s="16" t="n"/>
      <c r="DO177" s="16" t="n"/>
      <c r="DP177" s="16" t="n"/>
      <c r="DQ177" s="16" t="n">
        <v>0.519637</v>
      </c>
      <c r="DR177" s="16" t="n">
        <v>0.781115</v>
      </c>
      <c r="DS177" s="16" t="n"/>
      <c r="DT177" s="16" t="n"/>
      <c r="DU177" s="16" t="n"/>
      <c r="DV177" s="16" t="n"/>
      <c r="DW177" s="16" t="n">
        <v>0.519637</v>
      </c>
      <c r="DX177" s="16" t="n">
        <v>0.806149</v>
      </c>
      <c r="DY177" s="16" t="n"/>
      <c r="DZ177" s="16" t="n"/>
      <c r="EB177" s="16" t="n"/>
      <c r="EC177" s="16" t="n"/>
      <c r="ED177" s="16" t="n"/>
      <c r="EE177" s="16" t="n"/>
      <c r="EF177" s="16" t="n"/>
      <c r="EG177" s="16" t="n"/>
      <c r="EH177" s="16" t="n">
        <v>767.043179</v>
      </c>
      <c r="EI177" s="16" t="n">
        <v>2855.587171</v>
      </c>
      <c r="EJ177" s="16" t="n"/>
      <c r="EK177" s="16" t="n"/>
      <c r="EL177" s="16" t="n"/>
      <c r="EM177" s="16" t="n"/>
      <c r="EN177" s="16" t="n"/>
      <c r="EO177" s="16" t="n"/>
      <c r="EP177" s="16" t="n"/>
      <c r="EQ177" s="16" t="n"/>
      <c r="ER177" s="16" t="n"/>
      <c r="ES177" s="16" t="n"/>
      <c r="ET177" s="16" t="n"/>
      <c r="EU177" s="16" t="n"/>
    </row>
    <row r="178">
      <c r="BS178" s="16" t="n"/>
      <c r="BT178" s="16" t="n"/>
      <c r="BU178" s="16" t="n">
        <v>0.522659</v>
      </c>
      <c r="BV178" s="16" t="n">
        <v>450.50122</v>
      </c>
      <c r="BW178" s="16" t="n"/>
      <c r="BX178" s="16" t="n"/>
      <c r="BY178" s="16" t="n"/>
      <c r="BZ178" s="16" t="n"/>
      <c r="CA178" s="16" t="n">
        <v>0.522659</v>
      </c>
      <c r="CB178" s="16" t="n">
        <v>292.351819</v>
      </c>
      <c r="CC178" s="16" t="n"/>
      <c r="CD178" s="16" t="n"/>
      <c r="CE178" s="16" t="n"/>
      <c r="CF178" s="16" t="n"/>
      <c r="CG178" s="16" t="n">
        <v>0.522659</v>
      </c>
      <c r="CH178" s="16" t="n">
        <v>3427.867964</v>
      </c>
      <c r="CI178" s="16" t="n"/>
      <c r="CJ178" s="16" t="n"/>
      <c r="CK178" s="16" t="n"/>
      <c r="CL178" s="16" t="n"/>
      <c r="CM178" s="16" t="n">
        <v>0.522659</v>
      </c>
      <c r="CN178" s="16" t="n">
        <v>787.4467959999999</v>
      </c>
      <c r="CO178" s="16" t="n"/>
      <c r="CP178" s="16" t="n"/>
      <c r="CQ178" s="16" t="n"/>
      <c r="CR178" s="16" t="n"/>
      <c r="CS178" s="16" t="n">
        <v>0.522659</v>
      </c>
      <c r="CT178" s="16" t="n">
        <v>0.695773</v>
      </c>
      <c r="CU178" s="16" t="n"/>
      <c r="CV178" s="16" t="n"/>
      <c r="CW178" s="16" t="n"/>
      <c r="CX178" s="16" t="n"/>
      <c r="CY178" s="16" t="n">
        <v>0.522659</v>
      </c>
      <c r="CZ178" s="16" t="n">
        <v>0.83679</v>
      </c>
      <c r="DA178" s="16" t="n"/>
      <c r="DB178" s="16" t="n"/>
      <c r="DC178" s="16" t="n"/>
      <c r="DD178" s="16" t="n"/>
      <c r="DE178" s="16" t="n">
        <v>0.522659</v>
      </c>
      <c r="DF178" s="16" t="n">
        <v>0.774871</v>
      </c>
      <c r="DG178" s="16" t="n"/>
      <c r="DH178" s="16" t="n"/>
      <c r="DI178" s="16" t="n"/>
      <c r="DJ178" s="16" t="n"/>
      <c r="DK178" s="16" t="n">
        <v>0.522659</v>
      </c>
      <c r="DL178" s="16" t="n">
        <v>0.790485</v>
      </c>
      <c r="DM178" s="16" t="n"/>
      <c r="DN178" s="16" t="n"/>
      <c r="DO178" s="16" t="n"/>
      <c r="DP178" s="16" t="n"/>
      <c r="DQ178" s="16" t="n">
        <v>0.522659</v>
      </c>
      <c r="DR178" s="16" t="n">
        <v>0.78128</v>
      </c>
      <c r="DS178" s="16" t="n"/>
      <c r="DT178" s="16" t="n"/>
      <c r="DU178" s="16" t="n"/>
      <c r="DV178" s="16" t="n"/>
      <c r="DW178" s="16" t="n">
        <v>0.522659</v>
      </c>
      <c r="DX178" s="16" t="n">
        <v>0.806924</v>
      </c>
      <c r="DY178" s="16" t="n"/>
      <c r="DZ178" s="16" t="n"/>
      <c r="EB178" s="16" t="n"/>
      <c r="EC178" s="16" t="n"/>
      <c r="ED178" s="16" t="n"/>
      <c r="EE178" s="16" t="n"/>
      <c r="EF178" s="16" t="n"/>
      <c r="EG178" s="16" t="n"/>
      <c r="EH178" s="16" t="n">
        <v>828.314255</v>
      </c>
      <c r="EI178" s="16" t="n">
        <v>4043.992286</v>
      </c>
      <c r="EJ178" s="16" t="n"/>
      <c r="EK178" s="16" t="n"/>
      <c r="EL178" s="16" t="n"/>
      <c r="EM178" s="16" t="n"/>
      <c r="EN178" s="16" t="n"/>
      <c r="EO178" s="16" t="n"/>
      <c r="EP178" s="16" t="n"/>
      <c r="EQ178" s="16" t="n"/>
      <c r="ER178" s="16" t="n"/>
      <c r="ES178" s="16" t="n"/>
      <c r="ET178" s="16" t="n"/>
      <c r="EU178" s="16" t="n"/>
    </row>
    <row r="179">
      <c r="BS179" s="16" t="n"/>
      <c r="BT179" s="16" t="n"/>
      <c r="BU179" s="16" t="n">
        <v>0.52568</v>
      </c>
      <c r="BV179" s="16" t="n">
        <v>450.940846</v>
      </c>
      <c r="BW179" s="16" t="n"/>
      <c r="BX179" s="16" t="n"/>
      <c r="BY179" s="16" t="n"/>
      <c r="BZ179" s="16" t="n"/>
      <c r="CA179" s="16" t="n">
        <v>0.52568</v>
      </c>
      <c r="CB179" s="16" t="n">
        <v>292.383982</v>
      </c>
      <c r="CC179" s="16" t="n"/>
      <c r="CD179" s="16" t="n"/>
      <c r="CE179" s="16" t="n"/>
      <c r="CF179" s="16" t="n"/>
      <c r="CG179" s="16" t="n">
        <v>0.52568</v>
      </c>
      <c r="CH179" s="16" t="n">
        <v>3436.51533</v>
      </c>
      <c r="CI179" s="16" t="n"/>
      <c r="CJ179" s="16" t="n"/>
      <c r="CK179" s="16" t="n"/>
      <c r="CL179" s="16" t="n"/>
      <c r="CM179" s="16" t="n">
        <v>0.52568</v>
      </c>
      <c r="CN179" s="16" t="n">
        <v>792.862173</v>
      </c>
      <c r="CO179" s="16" t="n"/>
      <c r="CP179" s="16" t="n"/>
      <c r="CQ179" s="16" t="n"/>
      <c r="CR179" s="16" t="n"/>
      <c r="CS179" s="16" t="n">
        <v>0.52568</v>
      </c>
      <c r="CT179" s="16" t="n">
        <v>0.696234</v>
      </c>
      <c r="CU179" s="16" t="n"/>
      <c r="CV179" s="16" t="n"/>
      <c r="CW179" s="16" t="n"/>
      <c r="CX179" s="16" t="n"/>
      <c r="CY179" s="16" t="n">
        <v>0.52568</v>
      </c>
      <c r="CZ179" s="16" t="n">
        <v>0.836992</v>
      </c>
      <c r="DA179" s="16" t="n"/>
      <c r="DB179" s="16" t="n"/>
      <c r="DC179" s="16" t="n"/>
      <c r="DD179" s="16" t="n"/>
      <c r="DE179" s="16" t="n">
        <v>0.52568</v>
      </c>
      <c r="DF179" s="16" t="n">
        <v>0.775055</v>
      </c>
      <c r="DG179" s="16" t="n"/>
      <c r="DH179" s="16" t="n"/>
      <c r="DI179" s="16" t="n"/>
      <c r="DJ179" s="16" t="n"/>
      <c r="DK179" s="16" t="n">
        <v>0.52568</v>
      </c>
      <c r="DL179" s="16" t="n">
        <v>0.791172</v>
      </c>
      <c r="DM179" s="16" t="n"/>
      <c r="DN179" s="16" t="n"/>
      <c r="DO179" s="16" t="n"/>
      <c r="DP179" s="16" t="n"/>
      <c r="DQ179" s="16" t="n">
        <v>0.52568</v>
      </c>
      <c r="DR179" s="16" t="n">
        <v>0.782683</v>
      </c>
      <c r="DS179" s="16" t="n"/>
      <c r="DT179" s="16" t="n"/>
      <c r="DU179" s="16" t="n"/>
      <c r="DV179" s="16" t="n"/>
      <c r="DW179" s="16" t="n">
        <v>0.52568</v>
      </c>
      <c r="DX179" s="16" t="n">
        <v>0.806972</v>
      </c>
      <c r="DY179" s="16" t="n"/>
      <c r="DZ179" s="16" t="n"/>
      <c r="EB179" s="16" t="n"/>
      <c r="EC179" s="16" t="n"/>
      <c r="ED179" s="16" t="n"/>
      <c r="EE179" s="16" t="n"/>
      <c r="EF179" s="16" t="n"/>
      <c r="EG179" s="16" t="n"/>
      <c r="EH179" s="16" t="n">
        <v>352.46538</v>
      </c>
      <c r="EI179" s="16" t="n">
        <v>3093.893829</v>
      </c>
      <c r="EJ179" s="16" t="n"/>
      <c r="EK179" s="16" t="n"/>
      <c r="EL179" s="16" t="n"/>
      <c r="EM179" s="16" t="n"/>
      <c r="EN179" s="16" t="n"/>
      <c r="EO179" s="16" t="n"/>
      <c r="EP179" s="16" t="n"/>
      <c r="EQ179" s="16" t="n"/>
      <c r="ER179" s="16" t="n"/>
      <c r="ES179" s="16" t="n"/>
      <c r="ET179" s="16" t="n"/>
      <c r="EU179" s="16" t="n"/>
    </row>
    <row r="180">
      <c r="BS180" s="16" t="n"/>
      <c r="BT180" s="16" t="n"/>
      <c r="BU180" s="16" t="n">
        <v>0.528701</v>
      </c>
      <c r="BV180" s="16" t="n">
        <v>451.11686</v>
      </c>
      <c r="BW180" s="16" t="n"/>
      <c r="BX180" s="16" t="n"/>
      <c r="BY180" s="16" t="n"/>
      <c r="BZ180" s="16" t="n"/>
      <c r="CA180" s="16" t="n">
        <v>0.528701</v>
      </c>
      <c r="CB180" s="16" t="n">
        <v>292.438083</v>
      </c>
      <c r="CC180" s="16" t="n"/>
      <c r="CD180" s="16" t="n"/>
      <c r="CE180" s="16" t="n"/>
      <c r="CF180" s="16" t="n"/>
      <c r="CG180" s="16" t="n">
        <v>0.528701</v>
      </c>
      <c r="CH180" s="16" t="n">
        <v>3440.010096</v>
      </c>
      <c r="CI180" s="16" t="n"/>
      <c r="CJ180" s="16" t="n"/>
      <c r="CK180" s="16" t="n"/>
      <c r="CL180" s="16" t="n"/>
      <c r="CM180" s="16" t="n">
        <v>0.528701</v>
      </c>
      <c r="CN180" s="16" t="n">
        <v>796.502129</v>
      </c>
      <c r="CO180" s="16" t="n"/>
      <c r="CP180" s="16" t="n"/>
      <c r="CQ180" s="16" t="n"/>
      <c r="CR180" s="16" t="n"/>
      <c r="CS180" s="16" t="n">
        <v>0.528701</v>
      </c>
      <c r="CT180" s="16" t="n">
        <v>0.697061</v>
      </c>
      <c r="CU180" s="16" t="n"/>
      <c r="CV180" s="16" t="n"/>
      <c r="CW180" s="16" t="n"/>
      <c r="CX180" s="16" t="n"/>
      <c r="CY180" s="16" t="n">
        <v>0.528701</v>
      </c>
      <c r="CZ180" s="16" t="n">
        <v>0.838029</v>
      </c>
      <c r="DA180" s="16" t="n"/>
      <c r="DB180" s="16" t="n"/>
      <c r="DC180" s="16" t="n"/>
      <c r="DD180" s="16" t="n"/>
      <c r="DE180" s="16" t="n">
        <v>0.528701</v>
      </c>
      <c r="DF180" s="16" t="n">
        <v>0.775732</v>
      </c>
      <c r="DG180" s="16" t="n"/>
      <c r="DH180" s="16" t="n"/>
      <c r="DI180" s="16" t="n"/>
      <c r="DJ180" s="16" t="n"/>
      <c r="DK180" s="16" t="n">
        <v>0.528701</v>
      </c>
      <c r="DL180" s="16" t="n">
        <v>0.791785</v>
      </c>
      <c r="DM180" s="16" t="n"/>
      <c r="DN180" s="16" t="n"/>
      <c r="DO180" s="16" t="n"/>
      <c r="DP180" s="16" t="n"/>
      <c r="DQ180" s="16" t="n">
        <v>0.528701</v>
      </c>
      <c r="DR180" s="16" t="n">
        <v>0.782776</v>
      </c>
      <c r="DS180" s="16" t="n"/>
      <c r="DT180" s="16" t="n"/>
      <c r="DU180" s="16" t="n"/>
      <c r="DV180" s="16" t="n"/>
      <c r="DW180" s="16" t="n">
        <v>0.528701</v>
      </c>
      <c r="DX180" s="16" t="n">
        <v>0.807993</v>
      </c>
      <c r="DY180" s="16" t="n"/>
      <c r="DZ180" s="16" t="n"/>
      <c r="EB180" s="16" t="n"/>
      <c r="EC180" s="16" t="n"/>
      <c r="ED180" s="16" t="n"/>
      <c r="EE180" s="16" t="n"/>
      <c r="EF180" s="16" t="n"/>
      <c r="EG180" s="16" t="n"/>
      <c r="EH180" s="16" t="n">
        <v>419.458252</v>
      </c>
      <c r="EI180" s="16" t="n">
        <v>2365.348117</v>
      </c>
      <c r="EJ180" s="16" t="n"/>
      <c r="EK180" s="16" t="n"/>
      <c r="EL180" s="16" t="n"/>
      <c r="EM180" s="16" t="n"/>
      <c r="EN180" s="16" t="n"/>
      <c r="EO180" s="16" t="n"/>
      <c r="EP180" s="16" t="n"/>
      <c r="EQ180" s="16" t="n"/>
      <c r="ER180" s="16" t="n"/>
      <c r="ES180" s="16" t="n"/>
      <c r="ET180" s="16" t="n"/>
      <c r="EU180" s="16" t="n"/>
    </row>
    <row r="181">
      <c r="BS181" s="16" t="n"/>
      <c r="BT181" s="16" t="n"/>
      <c r="BU181" s="16" t="n">
        <v>0.531722</v>
      </c>
      <c r="BV181" s="16" t="n">
        <v>451.487751</v>
      </c>
      <c r="BW181" s="16" t="n"/>
      <c r="BX181" s="16" t="n"/>
      <c r="BY181" s="16" t="n"/>
      <c r="BZ181" s="16" t="n"/>
      <c r="CA181" s="16" t="n">
        <v>0.531722</v>
      </c>
      <c r="CB181" s="16" t="n">
        <v>292.487593</v>
      </c>
      <c r="CC181" s="16" t="n"/>
      <c r="CD181" s="16" t="n"/>
      <c r="CE181" s="16" t="n"/>
      <c r="CF181" s="16" t="n"/>
      <c r="CG181" s="16" t="n">
        <v>0.531722</v>
      </c>
      <c r="CH181" s="16" t="n">
        <v>3454.160964</v>
      </c>
      <c r="CI181" s="16" t="n"/>
      <c r="CJ181" s="16" t="n"/>
      <c r="CK181" s="16" t="n"/>
      <c r="CL181" s="16" t="n"/>
      <c r="CM181" s="16" t="n">
        <v>0.531722</v>
      </c>
      <c r="CN181" s="16" t="n">
        <v>796.508553</v>
      </c>
      <c r="CO181" s="16" t="n"/>
      <c r="CP181" s="16" t="n"/>
      <c r="CQ181" s="16" t="n"/>
      <c r="CR181" s="16" t="n"/>
      <c r="CS181" s="16" t="n">
        <v>0.531722</v>
      </c>
      <c r="CT181" s="16" t="n">
        <v>0.699406</v>
      </c>
      <c r="CU181" s="16" t="n"/>
      <c r="CV181" s="16" t="n"/>
      <c r="CW181" s="16" t="n"/>
      <c r="CX181" s="16" t="n"/>
      <c r="CY181" s="16" t="n">
        <v>0.531722</v>
      </c>
      <c r="CZ181" s="16" t="n">
        <v>0.838253</v>
      </c>
      <c r="DA181" s="16" t="n"/>
      <c r="DB181" s="16" t="n"/>
      <c r="DC181" s="16" t="n"/>
      <c r="DD181" s="16" t="n"/>
      <c r="DE181" s="16" t="n">
        <v>0.531722</v>
      </c>
      <c r="DF181" s="16" t="n">
        <v>0.776718</v>
      </c>
      <c r="DG181" s="16" t="n"/>
      <c r="DH181" s="16" t="n"/>
      <c r="DI181" s="16" t="n"/>
      <c r="DJ181" s="16" t="n"/>
      <c r="DK181" s="16" t="n">
        <v>0.531722</v>
      </c>
      <c r="DL181" s="16" t="n">
        <v>0.793195</v>
      </c>
      <c r="DM181" s="16" t="n"/>
      <c r="DN181" s="16" t="n"/>
      <c r="DO181" s="16" t="n"/>
      <c r="DP181" s="16" t="n"/>
      <c r="DQ181" s="16" t="n">
        <v>0.531722</v>
      </c>
      <c r="DR181" s="16" t="n">
        <v>0.784199</v>
      </c>
      <c r="DS181" s="16" t="n"/>
      <c r="DT181" s="16" t="n"/>
      <c r="DU181" s="16" t="n"/>
      <c r="DV181" s="16" t="n"/>
      <c r="DW181" s="16" t="n">
        <v>0.531722</v>
      </c>
      <c r="DX181" s="16" t="n">
        <v>0.809665</v>
      </c>
      <c r="DY181" s="16" t="n"/>
      <c r="DZ181" s="16" t="n"/>
      <c r="EB181" s="16" t="n"/>
      <c r="EC181" s="16" t="n"/>
      <c r="ED181" s="16" t="n"/>
      <c r="EE181" s="16" t="n"/>
      <c r="EF181" s="16" t="n"/>
      <c r="EG181" s="16" t="n"/>
      <c r="EH181" s="16" t="n">
        <v>496.7649</v>
      </c>
      <c r="EI181" s="16" t="n">
        <v>4897.460721</v>
      </c>
      <c r="EJ181" s="16" t="n"/>
      <c r="EK181" s="16" t="n"/>
      <c r="EL181" s="16" t="n"/>
      <c r="EM181" s="16" t="n"/>
      <c r="EN181" s="16" t="n"/>
      <c r="EO181" s="16" t="n"/>
      <c r="EP181" s="16" t="n"/>
      <c r="EQ181" s="16" t="n"/>
      <c r="ER181" s="16" t="n"/>
      <c r="ES181" s="16" t="n"/>
      <c r="ET181" s="16" t="n"/>
      <c r="EU181" s="16" t="n"/>
    </row>
    <row r="182">
      <c r="BS182" s="16" t="n"/>
      <c r="BT182" s="16" t="n"/>
      <c r="BU182" s="16" t="n">
        <v>0.534743</v>
      </c>
      <c r="BV182" s="16" t="n">
        <v>451.811452</v>
      </c>
      <c r="BW182" s="16" t="n"/>
      <c r="BX182" s="16" t="n"/>
      <c r="BY182" s="16" t="n"/>
      <c r="BZ182" s="16" t="n"/>
      <c r="CA182" s="16" t="n">
        <v>0.534743</v>
      </c>
      <c r="CB182" s="16" t="n">
        <v>292.580798</v>
      </c>
      <c r="CC182" s="16" t="n"/>
      <c r="CD182" s="16" t="n"/>
      <c r="CE182" s="16" t="n"/>
      <c r="CF182" s="16" t="n"/>
      <c r="CG182" s="16" t="n">
        <v>0.534743</v>
      </c>
      <c r="CH182" s="16" t="n">
        <v>3458.207296</v>
      </c>
      <c r="CI182" s="16" t="n"/>
      <c r="CJ182" s="16" t="n"/>
      <c r="CK182" s="16" t="n"/>
      <c r="CL182" s="16" t="n"/>
      <c r="CM182" s="16" t="n">
        <v>0.534743</v>
      </c>
      <c r="CN182" s="16" t="n">
        <v>799.3148619999999</v>
      </c>
      <c r="CO182" s="16" t="n"/>
      <c r="CP182" s="16" t="n"/>
      <c r="CQ182" s="16" t="n"/>
      <c r="CR182" s="16" t="n"/>
      <c r="CS182" s="16" t="n">
        <v>0.534743</v>
      </c>
      <c r="CT182" s="16" t="n">
        <v>0.700414</v>
      </c>
      <c r="CU182" s="16" t="n"/>
      <c r="CV182" s="16" t="n"/>
      <c r="CW182" s="16" t="n"/>
      <c r="CX182" s="16" t="n"/>
      <c r="CY182" s="16" t="n">
        <v>0.534743</v>
      </c>
      <c r="CZ182" s="16" t="n">
        <v>0.838642</v>
      </c>
      <c r="DA182" s="16" t="n"/>
      <c r="DB182" s="16" t="n"/>
      <c r="DC182" s="16" t="n"/>
      <c r="DD182" s="16" t="n"/>
      <c r="DE182" s="16" t="n">
        <v>0.534743</v>
      </c>
      <c r="DF182" s="16" t="n">
        <v>0.7774219999999999</v>
      </c>
      <c r="DG182" s="16" t="n"/>
      <c r="DH182" s="16" t="n"/>
      <c r="DI182" s="16" t="n"/>
      <c r="DJ182" s="16" t="n"/>
      <c r="DK182" s="16" t="n">
        <v>0.534743</v>
      </c>
      <c r="DL182" s="16" t="n">
        <v>0.793509</v>
      </c>
      <c r="DM182" s="16" t="n"/>
      <c r="DN182" s="16" t="n"/>
      <c r="DO182" s="16" t="n"/>
      <c r="DP182" s="16" t="n"/>
      <c r="DQ182" s="16" t="n">
        <v>0.534743</v>
      </c>
      <c r="DR182" s="16" t="n">
        <v>0.784671</v>
      </c>
      <c r="DS182" s="16" t="n"/>
      <c r="DT182" s="16" t="n"/>
      <c r="DU182" s="16" t="n"/>
      <c r="DV182" s="16" t="n"/>
      <c r="DW182" s="16" t="n">
        <v>0.534743</v>
      </c>
      <c r="DX182" s="16" t="n">
        <v>0.810459</v>
      </c>
      <c r="DY182" s="16" t="n"/>
      <c r="DZ182" s="16" t="n"/>
    </row>
    <row r="183">
      <c r="BS183" s="16" t="n"/>
      <c r="BT183" s="16" t="n"/>
      <c r="BU183" s="16" t="n">
        <v>0.537764</v>
      </c>
      <c r="BV183" s="16" t="n">
        <v>451.867862</v>
      </c>
      <c r="BW183" s="16" t="n"/>
      <c r="BX183" s="16" t="n"/>
      <c r="BY183" s="16" t="n"/>
      <c r="BZ183" s="16" t="n"/>
      <c r="CA183" s="16" t="n">
        <v>0.537764</v>
      </c>
      <c r="CB183" s="16" t="n">
        <v>292.61684</v>
      </c>
      <c r="CC183" s="16" t="n"/>
      <c r="CD183" s="16" t="n"/>
      <c r="CE183" s="16" t="n"/>
      <c r="CF183" s="16" t="n"/>
      <c r="CG183" s="16" t="n">
        <v>0.537764</v>
      </c>
      <c r="CH183" s="16" t="n">
        <v>3460.363839</v>
      </c>
      <c r="CI183" s="16" t="n"/>
      <c r="CJ183" s="16" t="n"/>
      <c r="CK183" s="16" t="n"/>
      <c r="CL183" s="16" t="n"/>
      <c r="CM183" s="16" t="n">
        <v>0.537764</v>
      </c>
      <c r="CN183" s="16" t="n">
        <v>801.12429</v>
      </c>
      <c r="CO183" s="16" t="n"/>
      <c r="CP183" s="16" t="n"/>
      <c r="CQ183" s="16" t="n"/>
      <c r="CR183" s="16" t="n"/>
      <c r="CS183" s="16" t="n">
        <v>0.537764</v>
      </c>
      <c r="CT183" s="16" t="n">
        <v>0.701216</v>
      </c>
      <c r="CU183" s="16" t="n"/>
      <c r="CV183" s="16" t="n"/>
      <c r="CW183" s="16" t="n"/>
      <c r="CX183" s="16" t="n"/>
      <c r="CY183" s="16" t="n">
        <v>0.537764</v>
      </c>
      <c r="CZ183" s="16" t="n">
        <v>0.839265</v>
      </c>
      <c r="DA183" s="16" t="n"/>
      <c r="DB183" s="16" t="n"/>
      <c r="DC183" s="16" t="n"/>
      <c r="DD183" s="16" t="n"/>
      <c r="DE183" s="16" t="n">
        <v>0.537764</v>
      </c>
      <c r="DF183" s="16" t="n">
        <v>0.777553</v>
      </c>
      <c r="DG183" s="16" t="n"/>
      <c r="DH183" s="16" t="n"/>
      <c r="DI183" s="16" t="n"/>
      <c r="DJ183" s="16" t="n"/>
      <c r="DK183" s="16" t="n">
        <v>0.537764</v>
      </c>
      <c r="DL183" s="16" t="n">
        <v>0.7943789999999999</v>
      </c>
      <c r="DM183" s="16" t="n"/>
      <c r="DN183" s="16" t="n"/>
      <c r="DO183" s="16" t="n"/>
      <c r="DP183" s="16" t="n"/>
      <c r="DQ183" s="16" t="n">
        <v>0.537764</v>
      </c>
      <c r="DR183" s="16" t="n">
        <v>0.785035</v>
      </c>
      <c r="DS183" s="16" t="n"/>
      <c r="DT183" s="16" t="n"/>
      <c r="DU183" s="16" t="n"/>
      <c r="DV183" s="16" t="n"/>
      <c r="DW183" s="16" t="n">
        <v>0.537764</v>
      </c>
      <c r="DX183" s="16" t="n">
        <v>0.811101</v>
      </c>
      <c r="DY183" s="16" t="n"/>
      <c r="DZ183" s="16" t="n"/>
    </row>
    <row r="184">
      <c r="BS184" s="16" t="n"/>
      <c r="BT184" s="16" t="n"/>
      <c r="BU184" s="16" t="n">
        <v>0.540785</v>
      </c>
      <c r="BV184" s="16" t="n">
        <v>452.340157</v>
      </c>
      <c r="BW184" s="16" t="n"/>
      <c r="BX184" s="16" t="n"/>
      <c r="BY184" s="16" t="n"/>
      <c r="BZ184" s="16" t="n"/>
      <c r="CA184" s="16" t="n">
        <v>0.540785</v>
      </c>
      <c r="CB184" s="16" t="n">
        <v>292.648729</v>
      </c>
      <c r="CC184" s="16" t="n"/>
      <c r="CD184" s="16" t="n"/>
      <c r="CE184" s="16" t="n"/>
      <c r="CF184" s="16" t="n"/>
      <c r="CG184" s="16" t="n">
        <v>0.540785</v>
      </c>
      <c r="CH184" s="16" t="n">
        <v>3497.912143</v>
      </c>
      <c r="CI184" s="16" t="n"/>
      <c r="CJ184" s="16" t="n"/>
      <c r="CK184" s="16" t="n"/>
      <c r="CL184" s="16" t="n"/>
      <c r="CM184" s="16" t="n">
        <v>0.540785</v>
      </c>
      <c r="CN184" s="16" t="n">
        <v>815.772096</v>
      </c>
      <c r="CO184" s="16" t="n"/>
      <c r="CP184" s="16" t="n"/>
      <c r="CQ184" s="16" t="n"/>
      <c r="CR184" s="16" t="n"/>
      <c r="CS184" s="16" t="n">
        <v>0.540785</v>
      </c>
      <c r="CT184" s="16" t="n">
        <v>0.701836</v>
      </c>
      <c r="CU184" s="16" t="n"/>
      <c r="CV184" s="16" t="n"/>
      <c r="CW184" s="16" t="n"/>
      <c r="CX184" s="16" t="n"/>
      <c r="CY184" s="16" t="n">
        <v>0.540785</v>
      </c>
      <c r="CZ184" s="16" t="n">
        <v>0.839996</v>
      </c>
      <c r="DA184" s="16" t="n"/>
      <c r="DB184" s="16" t="n"/>
      <c r="DC184" s="16" t="n"/>
      <c r="DD184" s="16" t="n"/>
      <c r="DE184" s="16" t="n">
        <v>0.540785</v>
      </c>
      <c r="DF184" s="16" t="n">
        <v>0.77803</v>
      </c>
      <c r="DG184" s="16" t="n"/>
      <c r="DH184" s="16" t="n"/>
      <c r="DI184" s="16" t="n"/>
      <c r="DJ184" s="16" t="n"/>
      <c r="DK184" s="16" t="n">
        <v>0.540785</v>
      </c>
      <c r="DL184" s="16" t="n">
        <v>0.795854</v>
      </c>
      <c r="DM184" s="16" t="n"/>
      <c r="DN184" s="16" t="n"/>
      <c r="DO184" s="16" t="n"/>
      <c r="DP184" s="16" t="n"/>
      <c r="DQ184" s="16" t="n">
        <v>0.540785</v>
      </c>
      <c r="DR184" s="16" t="n">
        <v>0.786052</v>
      </c>
      <c r="DS184" s="16" t="n"/>
      <c r="DT184" s="16" t="n"/>
      <c r="DU184" s="16" t="n"/>
      <c r="DV184" s="16" t="n"/>
      <c r="DW184" s="16" t="n">
        <v>0.540785</v>
      </c>
      <c r="DX184" s="16" t="n">
        <v>0.811761</v>
      </c>
      <c r="DY184" s="16" t="n"/>
      <c r="DZ184" s="16" t="n"/>
    </row>
    <row r="185">
      <c r="BS185" s="16" t="n"/>
      <c r="BT185" s="16" t="n"/>
      <c r="BU185" s="16" t="n">
        <v>0.543807</v>
      </c>
      <c r="BV185" s="16" t="n">
        <v>452.543708</v>
      </c>
      <c r="BW185" s="16" t="n"/>
      <c r="BX185" s="16" t="n"/>
      <c r="BY185" s="16" t="n"/>
      <c r="BZ185" s="16" t="n"/>
      <c r="CA185" s="16" t="n">
        <v>0.543807</v>
      </c>
      <c r="CB185" s="16" t="n">
        <v>292.702558</v>
      </c>
      <c r="CC185" s="16" t="n"/>
      <c r="CD185" s="16" t="n"/>
      <c r="CE185" s="16" t="n"/>
      <c r="CF185" s="16" t="n"/>
      <c r="CG185" s="16" t="n">
        <v>0.543807</v>
      </c>
      <c r="CH185" s="16" t="n">
        <v>3514.701369</v>
      </c>
      <c r="CI185" s="16" t="n"/>
      <c r="CJ185" s="16" t="n"/>
      <c r="CK185" s="16" t="n"/>
      <c r="CL185" s="16" t="n"/>
      <c r="CM185" s="16" t="n">
        <v>0.543807</v>
      </c>
      <c r="CN185" s="16" t="n">
        <v>817.338002</v>
      </c>
      <c r="CO185" s="16" t="n"/>
      <c r="CP185" s="16" t="n"/>
      <c r="CQ185" s="16" t="n"/>
      <c r="CR185" s="16" t="n"/>
      <c r="CS185" s="16" t="n">
        <v>0.543807</v>
      </c>
      <c r="CT185" s="16" t="n">
        <v>0.70583</v>
      </c>
      <c r="CU185" s="16" t="n"/>
      <c r="CV185" s="16" t="n"/>
      <c r="CW185" s="16" t="n"/>
      <c r="CX185" s="16" t="n"/>
      <c r="CY185" s="16" t="n">
        <v>0.543807</v>
      </c>
      <c r="CZ185" s="16" t="n">
        <v>0.841002</v>
      </c>
      <c r="DA185" s="16" t="n"/>
      <c r="DB185" s="16" t="n"/>
      <c r="DC185" s="16" t="n"/>
      <c r="DD185" s="16" t="n"/>
      <c r="DE185" s="16" t="n">
        <v>0.543807</v>
      </c>
      <c r="DF185" s="16" t="n">
        <v>0.778913</v>
      </c>
      <c r="DG185" s="16" t="n"/>
      <c r="DH185" s="16" t="n"/>
      <c r="DI185" s="16" t="n"/>
      <c r="DJ185" s="16" t="n"/>
      <c r="DK185" s="16" t="n">
        <v>0.543807</v>
      </c>
      <c r="DL185" s="16" t="n">
        <v>0.796692</v>
      </c>
      <c r="DM185" s="16" t="n"/>
      <c r="DN185" s="16" t="n"/>
      <c r="DO185" s="16" t="n"/>
      <c r="DP185" s="16" t="n"/>
      <c r="DQ185" s="16" t="n">
        <v>0.543807</v>
      </c>
      <c r="DR185" s="16" t="n">
        <v>0.788022</v>
      </c>
      <c r="DS185" s="16" t="n"/>
      <c r="DT185" s="16" t="n"/>
      <c r="DU185" s="16" t="n"/>
      <c r="DV185" s="16" t="n"/>
      <c r="DW185" s="16" t="n">
        <v>0.543807</v>
      </c>
      <c r="DX185" s="16" t="n">
        <v>0.813306</v>
      </c>
      <c r="DY185" s="16" t="n"/>
      <c r="DZ185" s="16" t="n"/>
    </row>
    <row r="186">
      <c r="BS186" s="16" t="n"/>
      <c r="BT186" s="16" t="n"/>
      <c r="BU186" s="16" t="n">
        <v>0.546828</v>
      </c>
      <c r="BV186" s="16" t="n">
        <v>452.598359</v>
      </c>
      <c r="BW186" s="16" t="n"/>
      <c r="BX186" s="16" t="n"/>
      <c r="BY186" s="16" t="n"/>
      <c r="BZ186" s="16" t="n"/>
      <c r="CA186" s="16" t="n">
        <v>0.546828</v>
      </c>
      <c r="CB186" s="16" t="n">
        <v>292.715934</v>
      </c>
      <c r="CC186" s="16" t="n"/>
      <c r="CD186" s="16" t="n"/>
      <c r="CE186" s="16" t="n"/>
      <c r="CF186" s="16" t="n"/>
      <c r="CG186" s="16" t="n">
        <v>0.546828</v>
      </c>
      <c r="CH186" s="16" t="n">
        <v>3525.87914</v>
      </c>
      <c r="CI186" s="16" t="n"/>
      <c r="CJ186" s="16" t="n"/>
      <c r="CK186" s="16" t="n"/>
      <c r="CL186" s="16" t="n"/>
      <c r="CM186" s="16" t="n">
        <v>0.546828</v>
      </c>
      <c r="CN186" s="16" t="n">
        <v>820.081935</v>
      </c>
      <c r="CO186" s="16" t="n"/>
      <c r="CP186" s="16" t="n"/>
      <c r="CQ186" s="16" t="n"/>
      <c r="CR186" s="16" t="n"/>
      <c r="CS186" s="16" t="n">
        <v>0.546828</v>
      </c>
      <c r="CT186" s="16" t="n">
        <v>0.706656</v>
      </c>
      <c r="CU186" s="16" t="n"/>
      <c r="CV186" s="16" t="n"/>
      <c r="CW186" s="16" t="n"/>
      <c r="CX186" s="16" t="n"/>
      <c r="CY186" s="16" t="n">
        <v>0.546828</v>
      </c>
      <c r="CZ186" s="16" t="n">
        <v>0.841185</v>
      </c>
      <c r="DA186" s="16" t="n"/>
      <c r="DB186" s="16" t="n"/>
      <c r="DC186" s="16" t="n"/>
      <c r="DD186" s="16" t="n"/>
      <c r="DE186" s="16" t="n">
        <v>0.546828</v>
      </c>
      <c r="DF186" s="16" t="n">
        <v>0.779882</v>
      </c>
      <c r="DG186" s="16" t="n"/>
      <c r="DH186" s="16" t="n"/>
      <c r="DI186" s="16" t="n"/>
      <c r="DJ186" s="16" t="n"/>
      <c r="DK186" s="16" t="n">
        <v>0.546828</v>
      </c>
      <c r="DL186" s="16" t="n">
        <v>0.796753</v>
      </c>
      <c r="DM186" s="16" t="n"/>
      <c r="DN186" s="16" t="n"/>
      <c r="DO186" s="16" t="n"/>
      <c r="DP186" s="16" t="n"/>
      <c r="DQ186" s="16" t="n">
        <v>0.546828</v>
      </c>
      <c r="DR186" s="16" t="n">
        <v>0.789507</v>
      </c>
      <c r="DS186" s="16" t="n"/>
      <c r="DT186" s="16" t="n"/>
      <c r="DU186" s="16" t="n"/>
      <c r="DV186" s="16" t="n"/>
      <c r="DW186" s="16" t="n">
        <v>0.546828</v>
      </c>
      <c r="DX186" s="16" t="n">
        <v>0.813396</v>
      </c>
      <c r="DY186" s="16" t="n"/>
      <c r="DZ186" s="16" t="n"/>
    </row>
    <row r="187">
      <c r="BS187" s="16" t="n"/>
      <c r="BT187" s="16" t="n"/>
      <c r="BU187" s="16" t="n">
        <v>0.549849</v>
      </c>
      <c r="BV187" s="16" t="n">
        <v>452.789996</v>
      </c>
      <c r="BW187" s="16" t="n"/>
      <c r="BX187" s="16" t="n"/>
      <c r="BY187" s="16" t="n"/>
      <c r="BZ187" s="16" t="n"/>
      <c r="CA187" s="16" t="n">
        <v>0.549849</v>
      </c>
      <c r="CB187" s="16" t="n">
        <v>292.792813</v>
      </c>
      <c r="CC187" s="16" t="n"/>
      <c r="CD187" s="16" t="n"/>
      <c r="CE187" s="16" t="n"/>
      <c r="CF187" s="16" t="n"/>
      <c r="CG187" s="16" t="n">
        <v>0.549849</v>
      </c>
      <c r="CH187" s="16" t="n">
        <v>3529.969169</v>
      </c>
      <c r="CI187" s="16" t="n"/>
      <c r="CJ187" s="16" t="n"/>
      <c r="CK187" s="16" t="n"/>
      <c r="CL187" s="16" t="n"/>
      <c r="CM187" s="16" t="n">
        <v>0.549849</v>
      </c>
      <c r="CN187" s="16" t="n">
        <v>827.111275</v>
      </c>
      <c r="CO187" s="16" t="n"/>
      <c r="CP187" s="16" t="n"/>
      <c r="CQ187" s="16" t="n"/>
      <c r="CR187" s="16" t="n"/>
      <c r="CS187" s="16" t="n">
        <v>0.549849</v>
      </c>
      <c r="CT187" s="16" t="n">
        <v>0.707674</v>
      </c>
      <c r="CU187" s="16" t="n"/>
      <c r="CV187" s="16" t="n"/>
      <c r="CW187" s="16" t="n"/>
      <c r="CX187" s="16" t="n"/>
      <c r="CY187" s="16" t="n">
        <v>0.549849</v>
      </c>
      <c r="CZ187" s="16" t="n">
        <v>0.841521</v>
      </c>
      <c r="DA187" s="16" t="n"/>
      <c r="DB187" s="16" t="n"/>
      <c r="DC187" s="16" t="n"/>
      <c r="DD187" s="16" t="n"/>
      <c r="DE187" s="16" t="n">
        <v>0.549849</v>
      </c>
      <c r="DF187" s="16" t="n">
        <v>0.780813</v>
      </c>
      <c r="DG187" s="16" t="n"/>
      <c r="DH187" s="16" t="n"/>
      <c r="DI187" s="16" t="n"/>
      <c r="DJ187" s="16" t="n"/>
      <c r="DK187" s="16" t="n">
        <v>0.549849</v>
      </c>
      <c r="DL187" s="16" t="n">
        <v>0.797688</v>
      </c>
      <c r="DM187" s="16" t="n"/>
      <c r="DN187" s="16" t="n"/>
      <c r="DO187" s="16" t="n"/>
      <c r="DP187" s="16" t="n"/>
      <c r="DQ187" s="16" t="n">
        <v>0.549849</v>
      </c>
      <c r="DR187" s="16" t="n">
        <v>0.790107</v>
      </c>
      <c r="DS187" s="16" t="n"/>
      <c r="DT187" s="16" t="n"/>
      <c r="DU187" s="16" t="n"/>
      <c r="DV187" s="16" t="n"/>
      <c r="DW187" s="16" t="n">
        <v>0.549849</v>
      </c>
      <c r="DX187" s="16" t="n">
        <v>0.813886</v>
      </c>
      <c r="DY187" s="16" t="n"/>
      <c r="DZ187" s="16" t="n"/>
    </row>
    <row r="188">
      <c r="BS188" s="16" t="n"/>
      <c r="BT188" s="16" t="n"/>
      <c r="BU188" s="16" t="n">
        <v>0.55287</v>
      </c>
      <c r="BV188" s="16" t="n">
        <v>453.130082</v>
      </c>
      <c r="BW188" s="16" t="n"/>
      <c r="BX188" s="16" t="n"/>
      <c r="BY188" s="16" t="n"/>
      <c r="BZ188" s="16" t="n"/>
      <c r="CA188" s="16" t="n">
        <v>0.55287</v>
      </c>
      <c r="CB188" s="16" t="n">
        <v>292.937893</v>
      </c>
      <c r="CC188" s="16" t="n"/>
      <c r="CD188" s="16" t="n"/>
      <c r="CE188" s="16" t="n"/>
      <c r="CF188" s="16" t="n"/>
      <c r="CG188" s="16" t="n">
        <v>0.55287</v>
      </c>
      <c r="CH188" s="16" t="n">
        <v>3532.720066</v>
      </c>
      <c r="CI188" s="16" t="n"/>
      <c r="CJ188" s="16" t="n"/>
      <c r="CK188" s="16" t="n"/>
      <c r="CL188" s="16" t="n"/>
      <c r="CM188" s="16" t="n">
        <v>0.55287</v>
      </c>
      <c r="CN188" s="16" t="n">
        <v>828.314255</v>
      </c>
      <c r="CO188" s="16" t="n"/>
      <c r="CP188" s="16" t="n"/>
      <c r="CQ188" s="16" t="n"/>
      <c r="CR188" s="16" t="n"/>
      <c r="CS188" s="16" t="n">
        <v>0.55287</v>
      </c>
      <c r="CT188" s="16" t="n">
        <v>0.7082039999999999</v>
      </c>
      <c r="CU188" s="16" t="n"/>
      <c r="CV188" s="16" t="n"/>
      <c r="CW188" s="16" t="n"/>
      <c r="CX188" s="16" t="n"/>
      <c r="CY188" s="16" t="n">
        <v>0.55287</v>
      </c>
      <c r="CZ188" s="16" t="n">
        <v>0.842133</v>
      </c>
      <c r="DA188" s="16" t="n"/>
      <c r="DB188" s="16" t="n"/>
      <c r="DC188" s="16" t="n"/>
      <c r="DD188" s="16" t="n"/>
      <c r="DE188" s="16" t="n">
        <v>0.55287</v>
      </c>
      <c r="DF188" s="16" t="n">
        <v>0.781497</v>
      </c>
      <c r="DG188" s="16" t="n"/>
      <c r="DH188" s="16" t="n"/>
      <c r="DI188" s="16" t="n"/>
      <c r="DJ188" s="16" t="n"/>
      <c r="DK188" s="16" t="n">
        <v>0.55287</v>
      </c>
      <c r="DL188" s="16" t="n">
        <v>0.799069</v>
      </c>
      <c r="DM188" s="16" t="n"/>
      <c r="DN188" s="16" t="n"/>
      <c r="DO188" s="16" t="n"/>
      <c r="DP188" s="16" t="n"/>
      <c r="DQ188" s="16" t="n">
        <v>0.55287</v>
      </c>
      <c r="DR188" s="16" t="n">
        <v>0.790805</v>
      </c>
      <c r="DS188" s="16" t="n"/>
      <c r="DT188" s="16" t="n"/>
      <c r="DU188" s="16" t="n"/>
      <c r="DV188" s="16" t="n"/>
      <c r="DW188" s="16" t="n">
        <v>0.55287</v>
      </c>
      <c r="DX188" s="16" t="n">
        <v>0.814302</v>
      </c>
      <c r="DY188" s="16" t="n"/>
      <c r="DZ188" s="16" t="n"/>
    </row>
    <row r="189">
      <c r="BS189" s="16" t="n"/>
      <c r="BT189" s="16" t="n"/>
      <c r="BU189" s="16" t="n">
        <v>0.555891</v>
      </c>
      <c r="BV189" s="16" t="n">
        <v>453.532268</v>
      </c>
      <c r="BW189" s="16" t="n"/>
      <c r="BX189" s="16" t="n"/>
      <c r="BY189" s="16" t="n"/>
      <c r="BZ189" s="16" t="n"/>
      <c r="CA189" s="16" t="n">
        <v>0.555891</v>
      </c>
      <c r="CB189" s="16" t="n">
        <v>293.020465</v>
      </c>
      <c r="CC189" s="16" t="n"/>
      <c r="CD189" s="16" t="n"/>
      <c r="CE189" s="16" t="n"/>
      <c r="CF189" s="16" t="n"/>
      <c r="CG189" s="16" t="n">
        <v>0.555891</v>
      </c>
      <c r="CH189" s="16" t="n">
        <v>3540.032699</v>
      </c>
      <c r="CI189" s="16" t="n"/>
      <c r="CJ189" s="16" t="n"/>
      <c r="CK189" s="16" t="n"/>
      <c r="CL189" s="16" t="n"/>
      <c r="CM189" s="16" t="n">
        <v>0.555891</v>
      </c>
      <c r="CN189" s="16" t="n">
        <v>830.476218</v>
      </c>
      <c r="CO189" s="16" t="n"/>
      <c r="CP189" s="16" t="n"/>
      <c r="CQ189" s="16" t="n"/>
      <c r="CR189" s="16" t="n"/>
      <c r="CS189" s="16" t="n">
        <v>0.555891</v>
      </c>
      <c r="CT189" s="16" t="n">
        <v>0.709193</v>
      </c>
      <c r="CU189" s="16" t="n"/>
      <c r="CV189" s="16" t="n"/>
      <c r="CW189" s="16" t="n"/>
      <c r="CX189" s="16" t="n"/>
      <c r="CY189" s="16" t="n">
        <v>0.555891</v>
      </c>
      <c r="CZ189" s="16" t="n">
        <v>0.842488</v>
      </c>
      <c r="DA189" s="16" t="n"/>
      <c r="DB189" s="16" t="n"/>
      <c r="DC189" s="16" t="n"/>
      <c r="DD189" s="16" t="n"/>
      <c r="DE189" s="16" t="n">
        <v>0.555891</v>
      </c>
      <c r="DF189" s="16" t="n">
        <v>0.782512</v>
      </c>
      <c r="DG189" s="16" t="n"/>
      <c r="DH189" s="16" t="n"/>
      <c r="DI189" s="16" t="n"/>
      <c r="DJ189" s="16" t="n"/>
      <c r="DK189" s="16" t="n">
        <v>0.555891</v>
      </c>
      <c r="DL189" s="16" t="n">
        <v>0.79936</v>
      </c>
      <c r="DM189" s="16" t="n"/>
      <c r="DN189" s="16" t="n"/>
      <c r="DO189" s="16" t="n"/>
      <c r="DP189" s="16" t="n"/>
      <c r="DQ189" s="16" t="n">
        <v>0.555891</v>
      </c>
      <c r="DR189" s="16" t="n">
        <v>0.791475</v>
      </c>
      <c r="DS189" s="16" t="n"/>
      <c r="DT189" s="16" t="n"/>
      <c r="DU189" s="16" t="n"/>
      <c r="DV189" s="16" t="n"/>
      <c r="DW189" s="16" t="n">
        <v>0.555891</v>
      </c>
      <c r="DX189" s="16" t="n">
        <v>0.814696</v>
      </c>
      <c r="DY189" s="16" t="n"/>
      <c r="DZ189" s="16" t="n"/>
    </row>
    <row r="190">
      <c r="BS190" s="16" t="n"/>
      <c r="BT190" s="16" t="n"/>
      <c r="BU190" s="16" t="n">
        <v>0.558912</v>
      </c>
      <c r="BV190" s="16" t="n">
        <v>453.695565</v>
      </c>
      <c r="BW190" s="16" t="n"/>
      <c r="BX190" s="16" t="n"/>
      <c r="BY190" s="16" t="n"/>
      <c r="BZ190" s="16" t="n"/>
      <c r="CA190" s="16" t="n">
        <v>0.558912</v>
      </c>
      <c r="CB190" s="16" t="n">
        <v>293.071722</v>
      </c>
      <c r="CC190" s="16" t="n"/>
      <c r="CD190" s="16" t="n"/>
      <c r="CE190" s="16" t="n"/>
      <c r="CF190" s="16" t="n"/>
      <c r="CG190" s="16" t="n">
        <v>0.558912</v>
      </c>
      <c r="CH190" s="16" t="n">
        <v>3569.578832</v>
      </c>
      <c r="CI190" s="16" t="n"/>
      <c r="CJ190" s="16" t="n"/>
      <c r="CK190" s="16" t="n"/>
      <c r="CL190" s="16" t="n"/>
      <c r="CM190" s="16" t="n">
        <v>0.558912</v>
      </c>
      <c r="CN190" s="16" t="n">
        <v>836.058317</v>
      </c>
      <c r="CO190" s="16" t="n"/>
      <c r="CP190" s="16" t="n"/>
      <c r="CQ190" s="16" t="n"/>
      <c r="CR190" s="16" t="n"/>
      <c r="CS190" s="16" t="n">
        <v>0.558912</v>
      </c>
      <c r="CT190" s="16" t="n">
        <v>0.710362</v>
      </c>
      <c r="CU190" s="16" t="n"/>
      <c r="CV190" s="16" t="n"/>
      <c r="CW190" s="16" t="n"/>
      <c r="CX190" s="16" t="n"/>
      <c r="CY190" s="16" t="n">
        <v>0.558912</v>
      </c>
      <c r="CZ190" s="16" t="n">
        <v>0.84317</v>
      </c>
      <c r="DA190" s="16" t="n"/>
      <c r="DB190" s="16" t="n"/>
      <c r="DC190" s="16" t="n"/>
      <c r="DD190" s="16" t="n"/>
      <c r="DE190" s="16" t="n">
        <v>0.558912</v>
      </c>
      <c r="DF190" s="16" t="n">
        <v>0.782613</v>
      </c>
      <c r="DG190" s="16" t="n"/>
      <c r="DH190" s="16" t="n"/>
      <c r="DI190" s="16" t="n"/>
      <c r="DJ190" s="16" t="n"/>
      <c r="DK190" s="16" t="n">
        <v>0.558912</v>
      </c>
      <c r="DL190" s="16" t="n">
        <v>0.799606</v>
      </c>
      <c r="DM190" s="16" t="n"/>
      <c r="DN190" s="16" t="n"/>
      <c r="DO190" s="16" t="n"/>
      <c r="DP190" s="16" t="n"/>
      <c r="DQ190" s="16" t="n">
        <v>0.558912</v>
      </c>
      <c r="DR190" s="16" t="n">
        <v>0.791655</v>
      </c>
      <c r="DS190" s="16" t="n"/>
      <c r="DT190" s="16" t="n"/>
      <c r="DU190" s="16" t="n"/>
      <c r="DV190" s="16" t="n"/>
      <c r="DW190" s="16" t="n">
        <v>0.558912</v>
      </c>
      <c r="DX190" s="16" t="n">
        <v>0.815568</v>
      </c>
      <c r="DY190" s="16" t="n"/>
      <c r="DZ190" s="16" t="n"/>
    </row>
    <row r="191">
      <c r="BS191" s="16" t="n"/>
      <c r="BT191" s="16" t="n"/>
      <c r="BU191" s="16" t="n">
        <v>0.561934</v>
      </c>
      <c r="BV191" s="16" t="n">
        <v>454.34901</v>
      </c>
      <c r="BW191" s="16" t="n"/>
      <c r="BX191" s="16" t="n"/>
      <c r="BY191" s="16" t="n"/>
      <c r="BZ191" s="16" t="n"/>
      <c r="CA191" s="16" t="n">
        <v>0.561934</v>
      </c>
      <c r="CB191" s="16" t="n">
        <v>293.167636</v>
      </c>
      <c r="CC191" s="16" t="n"/>
      <c r="CD191" s="16" t="n"/>
      <c r="CE191" s="16" t="n"/>
      <c r="CF191" s="16" t="n"/>
      <c r="CG191" s="16" t="n">
        <v>0.561934</v>
      </c>
      <c r="CH191" s="16" t="n">
        <v>3574.837439</v>
      </c>
      <c r="CI191" s="16" t="n"/>
      <c r="CJ191" s="16" t="n"/>
      <c r="CK191" s="16" t="n"/>
      <c r="CL191" s="16" t="n"/>
      <c r="CM191" s="16" t="n">
        <v>0.561934</v>
      </c>
      <c r="CN191" s="16" t="n">
        <v>838.664867</v>
      </c>
      <c r="CO191" s="16" t="n"/>
      <c r="CP191" s="16" t="n"/>
      <c r="CQ191" s="16" t="n"/>
      <c r="CR191" s="16" t="n"/>
      <c r="CS191" s="16" t="n">
        <v>0.561934</v>
      </c>
      <c r="CT191" s="16" t="n">
        <v>0.712435</v>
      </c>
      <c r="CU191" s="16" t="n"/>
      <c r="CV191" s="16" t="n"/>
      <c r="CW191" s="16" t="n"/>
      <c r="CX191" s="16" t="n"/>
      <c r="CY191" s="16" t="n">
        <v>0.561934</v>
      </c>
      <c r="CZ191" s="16" t="n">
        <v>0.843584</v>
      </c>
      <c r="DA191" s="16" t="n"/>
      <c r="DB191" s="16" t="n"/>
      <c r="DC191" s="16" t="n"/>
      <c r="DD191" s="16" t="n"/>
      <c r="DE191" s="16" t="n">
        <v>0.561934</v>
      </c>
      <c r="DF191" s="16" t="n">
        <v>0.784873</v>
      </c>
      <c r="DG191" s="16" t="n"/>
      <c r="DH191" s="16" t="n"/>
      <c r="DI191" s="16" t="n"/>
      <c r="DJ191" s="16" t="n"/>
      <c r="DK191" s="16" t="n">
        <v>0.561934</v>
      </c>
      <c r="DL191" s="16" t="n">
        <v>0.801854</v>
      </c>
      <c r="DM191" s="16" t="n"/>
      <c r="DN191" s="16" t="n"/>
      <c r="DO191" s="16" t="n"/>
      <c r="DP191" s="16" t="n"/>
      <c r="DQ191" s="16" t="n">
        <v>0.561934</v>
      </c>
      <c r="DR191" s="16" t="n">
        <v>0.793218</v>
      </c>
      <c r="DS191" s="16" t="n"/>
      <c r="DT191" s="16" t="n"/>
      <c r="DU191" s="16" t="n"/>
      <c r="DV191" s="16" t="n"/>
      <c r="DW191" s="16" t="n">
        <v>0.561934</v>
      </c>
      <c r="DX191" s="16" t="n">
        <v>0.816294</v>
      </c>
      <c r="DY191" s="16" t="n"/>
      <c r="DZ191" s="16" t="n"/>
    </row>
    <row r="192">
      <c r="BS192" s="16" t="n"/>
      <c r="BT192" s="16" t="n"/>
      <c r="BU192" s="16" t="n">
        <v>0.564955</v>
      </c>
      <c r="BV192" s="16" t="n">
        <v>454.452405</v>
      </c>
      <c r="BW192" s="16" t="n"/>
      <c r="BX192" s="16" t="n"/>
      <c r="BY192" s="16" t="n"/>
      <c r="BZ192" s="16" t="n"/>
      <c r="CA192" s="16" t="n">
        <v>0.564955</v>
      </c>
      <c r="CB192" s="16" t="n">
        <v>293.187965</v>
      </c>
      <c r="CC192" s="16" t="n"/>
      <c r="CD192" s="16" t="n"/>
      <c r="CE192" s="16" t="n"/>
      <c r="CF192" s="16" t="n"/>
      <c r="CG192" s="16" t="n">
        <v>0.564955</v>
      </c>
      <c r="CH192" s="16" t="n">
        <v>3577.649492</v>
      </c>
      <c r="CI192" s="16" t="n"/>
      <c r="CJ192" s="16" t="n"/>
      <c r="CK192" s="16" t="n"/>
      <c r="CL192" s="16" t="n"/>
      <c r="CM192" s="16" t="n">
        <v>0.564955</v>
      </c>
      <c r="CN192" s="16" t="n">
        <v>841.0457730000001</v>
      </c>
      <c r="CO192" s="16" t="n"/>
      <c r="CP192" s="16" t="n"/>
      <c r="CQ192" s="16" t="n"/>
      <c r="CR192" s="16" t="n"/>
      <c r="CS192" s="16" t="n">
        <v>0.564955</v>
      </c>
      <c r="CT192" s="16" t="n">
        <v>0.714321</v>
      </c>
      <c r="CU192" s="16" t="n"/>
      <c r="CV192" s="16" t="n"/>
      <c r="CW192" s="16" t="n"/>
      <c r="CX192" s="16" t="n"/>
      <c r="CY192" s="16" t="n">
        <v>0.564955</v>
      </c>
      <c r="CZ192" s="16" t="n">
        <v>0.843943</v>
      </c>
      <c r="DA192" s="16" t="n"/>
      <c r="DB192" s="16" t="n"/>
      <c r="DC192" s="16" t="n"/>
      <c r="DD192" s="16" t="n"/>
      <c r="DE192" s="16" t="n">
        <v>0.564955</v>
      </c>
      <c r="DF192" s="16" t="n">
        <v>0.785341</v>
      </c>
      <c r="DG192" s="16" t="n"/>
      <c r="DH192" s="16" t="n"/>
      <c r="DI192" s="16" t="n"/>
      <c r="DJ192" s="16" t="n"/>
      <c r="DK192" s="16" t="n">
        <v>0.564955</v>
      </c>
      <c r="DL192" s="16" t="n">
        <v>0.805766</v>
      </c>
      <c r="DM192" s="16" t="n"/>
      <c r="DN192" s="16" t="n"/>
      <c r="DO192" s="16" t="n"/>
      <c r="DP192" s="16" t="n"/>
      <c r="DQ192" s="16" t="n">
        <v>0.564955</v>
      </c>
      <c r="DR192" s="16" t="n">
        <v>0.793234</v>
      </c>
      <c r="DS192" s="16" t="n"/>
      <c r="DT192" s="16" t="n"/>
      <c r="DU192" s="16" t="n"/>
      <c r="DV192" s="16" t="n"/>
      <c r="DW192" s="16" t="n">
        <v>0.564955</v>
      </c>
      <c r="DX192" s="16" t="n">
        <v>0.816515</v>
      </c>
      <c r="DY192" s="16" t="n"/>
      <c r="DZ192" s="16" t="n"/>
    </row>
    <row r="193">
      <c r="BS193" s="16" t="n"/>
      <c r="BT193" s="16" t="n"/>
      <c r="BU193" s="16" t="n">
        <v>0.567976</v>
      </c>
      <c r="BV193" s="16" t="n">
        <v>454.927834</v>
      </c>
      <c r="BW193" s="16" t="n"/>
      <c r="BX193" s="16" t="n"/>
      <c r="BY193" s="16" t="n"/>
      <c r="BZ193" s="16" t="n"/>
      <c r="CA193" s="16" t="n">
        <v>0.567976</v>
      </c>
      <c r="CB193" s="16" t="n">
        <v>293.291673</v>
      </c>
      <c r="CC193" s="16" t="n"/>
      <c r="CD193" s="16" t="n"/>
      <c r="CE193" s="16" t="n"/>
      <c r="CF193" s="16" t="n"/>
      <c r="CG193" s="16" t="n">
        <v>0.567976</v>
      </c>
      <c r="CH193" s="16" t="n">
        <v>3588.747997</v>
      </c>
      <c r="CI193" s="16" t="n"/>
      <c r="CJ193" s="16" t="n"/>
      <c r="CK193" s="16" t="n"/>
      <c r="CL193" s="16" t="n"/>
      <c r="CM193" s="16" t="n">
        <v>0.567976</v>
      </c>
      <c r="CN193" s="16" t="n">
        <v>841.6495</v>
      </c>
      <c r="CO193" s="16" t="n"/>
      <c r="CP193" s="16" t="n"/>
      <c r="CQ193" s="16" t="n"/>
      <c r="CR193" s="16" t="n"/>
      <c r="CS193" s="16" t="n">
        <v>0.567976</v>
      </c>
      <c r="CT193" s="16" t="n">
        <v>0.714916</v>
      </c>
      <c r="CU193" s="16" t="n"/>
      <c r="CV193" s="16" t="n"/>
      <c r="CW193" s="16" t="n"/>
      <c r="CX193" s="16" t="n"/>
      <c r="CY193" s="16" t="n">
        <v>0.567976</v>
      </c>
      <c r="CZ193" s="16" t="n">
        <v>0.8440879999999999</v>
      </c>
      <c r="DA193" s="16" t="n"/>
      <c r="DB193" s="16" t="n"/>
      <c r="DC193" s="16" t="n"/>
      <c r="DD193" s="16" t="n"/>
      <c r="DE193" s="16" t="n">
        <v>0.567976</v>
      </c>
      <c r="DF193" s="16" t="n">
        <v>0.7856959999999999</v>
      </c>
      <c r="DG193" s="16" t="n"/>
      <c r="DH193" s="16" t="n"/>
      <c r="DI193" s="16" t="n"/>
      <c r="DJ193" s="16" t="n"/>
      <c r="DK193" s="16" t="n">
        <v>0.567976</v>
      </c>
      <c r="DL193" s="16" t="n">
        <v>0.806589</v>
      </c>
      <c r="DM193" s="16" t="n"/>
      <c r="DN193" s="16" t="n"/>
      <c r="DO193" s="16" t="n"/>
      <c r="DP193" s="16" t="n"/>
      <c r="DQ193" s="16" t="n">
        <v>0.567976</v>
      </c>
      <c r="DR193" s="16" t="n">
        <v>0.795077</v>
      </c>
      <c r="DS193" s="16" t="n"/>
      <c r="DT193" s="16" t="n"/>
      <c r="DU193" s="16" t="n"/>
      <c r="DV193" s="16" t="n"/>
      <c r="DW193" s="16" t="n">
        <v>0.567976</v>
      </c>
      <c r="DX193" s="16" t="n">
        <v>0.816721</v>
      </c>
      <c r="DY193" s="16" t="n"/>
      <c r="DZ193" s="16" t="n"/>
    </row>
    <row r="194">
      <c r="BS194" s="16" t="n"/>
      <c r="BT194" s="16" t="n"/>
      <c r="BU194" s="16" t="n">
        <v>0.570997</v>
      </c>
      <c r="BV194" s="16" t="n">
        <v>454.928687</v>
      </c>
      <c r="BW194" s="16" t="n"/>
      <c r="BX194" s="16" t="n"/>
      <c r="BY194" s="16" t="n"/>
      <c r="BZ194" s="16" t="n"/>
      <c r="CA194" s="16" t="n">
        <v>0.570997</v>
      </c>
      <c r="CB194" s="16" t="n">
        <v>293.345263</v>
      </c>
      <c r="CC194" s="16" t="n"/>
      <c r="CD194" s="16" t="n"/>
      <c r="CE194" s="16" t="n"/>
      <c r="CF194" s="16" t="n"/>
      <c r="CG194" s="16" t="n">
        <v>0.570997</v>
      </c>
      <c r="CH194" s="16" t="n">
        <v>3598.295411</v>
      </c>
      <c r="CI194" s="16" t="n"/>
      <c r="CJ194" s="16" t="n"/>
      <c r="CK194" s="16" t="n"/>
      <c r="CL194" s="16" t="n"/>
      <c r="CM194" s="16" t="n">
        <v>0.570997</v>
      </c>
      <c r="CN194" s="16" t="n">
        <v>847.130682</v>
      </c>
      <c r="CO194" s="16" t="n"/>
      <c r="CP194" s="16" t="n"/>
      <c r="CQ194" s="16" t="n"/>
      <c r="CR194" s="16" t="n"/>
      <c r="CS194" s="16" t="n">
        <v>0.570997</v>
      </c>
      <c r="CT194" s="16" t="n">
        <v>0.71593</v>
      </c>
      <c r="CU194" s="16" t="n"/>
      <c r="CV194" s="16" t="n"/>
      <c r="CW194" s="16" t="n"/>
      <c r="CX194" s="16" t="n"/>
      <c r="CY194" s="16" t="n">
        <v>0.570997</v>
      </c>
      <c r="CZ194" s="16" t="n">
        <v>0.844637</v>
      </c>
      <c r="DA194" s="16" t="n"/>
      <c r="DB194" s="16" t="n"/>
      <c r="DC194" s="16" t="n"/>
      <c r="DD194" s="16" t="n"/>
      <c r="DE194" s="16" t="n">
        <v>0.570997</v>
      </c>
      <c r="DF194" s="16" t="n">
        <v>0.786724</v>
      </c>
      <c r="DG194" s="16" t="n"/>
      <c r="DH194" s="16" t="n"/>
      <c r="DI194" s="16" t="n"/>
      <c r="DJ194" s="16" t="n"/>
      <c r="DK194" s="16" t="n">
        <v>0.570997</v>
      </c>
      <c r="DL194" s="16" t="n">
        <v>0.808684</v>
      </c>
      <c r="DM194" s="16" t="n"/>
      <c r="DN194" s="16" t="n"/>
      <c r="DO194" s="16" t="n"/>
      <c r="DP194" s="16" t="n"/>
      <c r="DQ194" s="16" t="n">
        <v>0.570997</v>
      </c>
      <c r="DR194" s="16" t="n">
        <v>0.795087</v>
      </c>
      <c r="DS194" s="16" t="n"/>
      <c r="DT194" s="16" t="n"/>
      <c r="DU194" s="16" t="n"/>
      <c r="DV194" s="16" t="n"/>
      <c r="DW194" s="16" t="n">
        <v>0.570997</v>
      </c>
      <c r="DX194" s="16" t="n">
        <v>0.818618</v>
      </c>
      <c r="DY194" s="16" t="n"/>
      <c r="DZ194" s="16" t="n"/>
    </row>
    <row r="195">
      <c r="BS195" s="16" t="n"/>
      <c r="BT195" s="16" t="n"/>
      <c r="BU195" s="16" t="n">
        <v>0.574018</v>
      </c>
      <c r="BV195" s="16" t="n">
        <v>455.29035</v>
      </c>
      <c r="BW195" s="16" t="n"/>
      <c r="BX195" s="16" t="n"/>
      <c r="BY195" s="16" t="n"/>
      <c r="BZ195" s="16" t="n"/>
      <c r="CA195" s="16" t="n">
        <v>0.574018</v>
      </c>
      <c r="CB195" s="16" t="n">
        <v>293.358413</v>
      </c>
      <c r="CC195" s="16" t="n"/>
      <c r="CD195" s="16" t="n"/>
      <c r="CE195" s="16" t="n"/>
      <c r="CF195" s="16" t="n"/>
      <c r="CG195" s="16" t="n">
        <v>0.574018</v>
      </c>
      <c r="CH195" s="16" t="n">
        <v>3600.015429</v>
      </c>
      <c r="CI195" s="16" t="n"/>
      <c r="CJ195" s="16" t="n"/>
      <c r="CK195" s="16" t="n"/>
      <c r="CL195" s="16" t="n"/>
      <c r="CM195" s="16" t="n">
        <v>0.574018</v>
      </c>
      <c r="CN195" s="16" t="n">
        <v>853.354428</v>
      </c>
      <c r="CO195" s="16" t="n"/>
      <c r="CP195" s="16" t="n"/>
      <c r="CQ195" s="16" t="n"/>
      <c r="CR195" s="16" t="n"/>
      <c r="CS195" s="16" t="n">
        <v>0.574018</v>
      </c>
      <c r="CT195" s="16" t="n">
        <v>0.7164970000000001</v>
      </c>
      <c r="CU195" s="16" t="n"/>
      <c r="CV195" s="16" t="n"/>
      <c r="CW195" s="16" t="n"/>
      <c r="CX195" s="16" t="n"/>
      <c r="CY195" s="16" t="n">
        <v>0.574018</v>
      </c>
      <c r="CZ195" s="16" t="n">
        <v>0.844796</v>
      </c>
      <c r="DA195" s="16" t="n"/>
      <c r="DB195" s="16" t="n"/>
      <c r="DC195" s="16" t="n"/>
      <c r="DD195" s="16" t="n"/>
      <c r="DE195" s="16" t="n">
        <v>0.574018</v>
      </c>
      <c r="DF195" s="16" t="n">
        <v>0.787447</v>
      </c>
      <c r="DG195" s="16" t="n"/>
      <c r="DH195" s="16" t="n"/>
      <c r="DI195" s="16" t="n"/>
      <c r="DJ195" s="16" t="n"/>
      <c r="DK195" s="16" t="n">
        <v>0.574018</v>
      </c>
      <c r="DL195" s="16" t="n">
        <v>0.809646</v>
      </c>
      <c r="DM195" s="16" t="n"/>
      <c r="DN195" s="16" t="n"/>
      <c r="DO195" s="16" t="n"/>
      <c r="DP195" s="16" t="n"/>
      <c r="DQ195" s="16" t="n">
        <v>0.574018</v>
      </c>
      <c r="DR195" s="16" t="n">
        <v>0.796835</v>
      </c>
      <c r="DS195" s="16" t="n"/>
      <c r="DT195" s="16" t="n"/>
      <c r="DU195" s="16" t="n"/>
      <c r="DV195" s="16" t="n"/>
      <c r="DW195" s="16" t="n">
        <v>0.574018</v>
      </c>
      <c r="DX195" s="16" t="n">
        <v>0.819609</v>
      </c>
      <c r="DY195" s="16" t="n"/>
      <c r="DZ195" s="16" t="n"/>
    </row>
    <row r="196">
      <c r="BS196" s="16" t="n"/>
      <c r="BT196" s="16" t="n"/>
      <c r="BU196" s="16" t="n">
        <v>0.577039</v>
      </c>
      <c r="BV196" s="16" t="n">
        <v>455.350181</v>
      </c>
      <c r="BW196" s="16" t="n"/>
      <c r="BX196" s="16" t="n"/>
      <c r="BY196" s="16" t="n"/>
      <c r="BZ196" s="16" t="n"/>
      <c r="CA196" s="16" t="n">
        <v>0.577039</v>
      </c>
      <c r="CB196" s="16" t="n">
        <v>293.520777</v>
      </c>
      <c r="CC196" s="16" t="n"/>
      <c r="CD196" s="16" t="n"/>
      <c r="CE196" s="16" t="n"/>
      <c r="CF196" s="16" t="n"/>
      <c r="CG196" s="16" t="n">
        <v>0.577039</v>
      </c>
      <c r="CH196" s="16" t="n">
        <v>3614.338681</v>
      </c>
      <c r="CI196" s="16" t="n"/>
      <c r="CJ196" s="16" t="n"/>
      <c r="CK196" s="16" t="n"/>
      <c r="CL196" s="16" t="n"/>
      <c r="CM196" s="16" t="n">
        <v>0.577039</v>
      </c>
      <c r="CN196" s="16" t="n">
        <v>857.330954</v>
      </c>
      <c r="CO196" s="16" t="n"/>
      <c r="CP196" s="16" t="n"/>
      <c r="CQ196" s="16" t="n"/>
      <c r="CR196" s="16" t="n"/>
      <c r="CS196" s="16" t="n">
        <v>0.577039</v>
      </c>
      <c r="CT196" s="16" t="n">
        <v>0.717711</v>
      </c>
      <c r="CU196" s="16" t="n"/>
      <c r="CV196" s="16" t="n"/>
      <c r="CW196" s="16" t="n"/>
      <c r="CX196" s="16" t="n"/>
      <c r="CY196" s="16" t="n">
        <v>0.577039</v>
      </c>
      <c r="CZ196" s="16" t="n">
        <v>0.84556</v>
      </c>
      <c r="DA196" s="16" t="n"/>
      <c r="DB196" s="16" t="n"/>
      <c r="DC196" s="16" t="n"/>
      <c r="DD196" s="16" t="n"/>
      <c r="DE196" s="16" t="n">
        <v>0.577039</v>
      </c>
      <c r="DF196" s="16" t="n">
        <v>0.787736</v>
      </c>
      <c r="DG196" s="16" t="n"/>
      <c r="DH196" s="16" t="n"/>
      <c r="DI196" s="16" t="n"/>
      <c r="DJ196" s="16" t="n"/>
      <c r="DK196" s="16" t="n">
        <v>0.577039</v>
      </c>
      <c r="DL196" s="16" t="n">
        <v>0.810431</v>
      </c>
      <c r="DM196" s="16" t="n"/>
      <c r="DN196" s="16" t="n"/>
      <c r="DO196" s="16" t="n"/>
      <c r="DP196" s="16" t="n"/>
      <c r="DQ196" s="16" t="n">
        <v>0.577039</v>
      </c>
      <c r="DR196" s="16" t="n">
        <v>0.797235</v>
      </c>
      <c r="DS196" s="16" t="n"/>
      <c r="DT196" s="16" t="n"/>
      <c r="DU196" s="16" t="n"/>
      <c r="DV196" s="16" t="n"/>
      <c r="DW196" s="16" t="n">
        <v>0.577039</v>
      </c>
      <c r="DX196" s="16" t="n">
        <v>0.820107</v>
      </c>
      <c r="DY196" s="16" t="n"/>
      <c r="DZ196" s="16" t="n"/>
    </row>
    <row r="197">
      <c r="BS197" s="16" t="n"/>
      <c r="BT197" s="16" t="n"/>
      <c r="BU197" s="16" t="n">
        <v>0.58006</v>
      </c>
      <c r="BV197" s="16" t="n">
        <v>455.621121</v>
      </c>
      <c r="BW197" s="16" t="n"/>
      <c r="BX197" s="16" t="n"/>
      <c r="BY197" s="16" t="n"/>
      <c r="BZ197" s="16" t="n"/>
      <c r="CA197" s="16" t="n">
        <v>0.58006</v>
      </c>
      <c r="CB197" s="16" t="n">
        <v>293.591475</v>
      </c>
      <c r="CC197" s="16" t="n"/>
      <c r="CD197" s="16" t="n"/>
      <c r="CE197" s="16" t="n"/>
      <c r="CF197" s="16" t="n"/>
      <c r="CG197" s="16" t="n">
        <v>0.58006</v>
      </c>
      <c r="CH197" s="16" t="n">
        <v>3614.682524</v>
      </c>
      <c r="CI197" s="16" t="n"/>
      <c r="CJ197" s="16" t="n"/>
      <c r="CK197" s="16" t="n"/>
      <c r="CL197" s="16" t="n"/>
      <c r="CM197" s="16" t="n">
        <v>0.58006</v>
      </c>
      <c r="CN197" s="16" t="n">
        <v>861.983221</v>
      </c>
      <c r="CO197" s="16" t="n"/>
      <c r="CP197" s="16" t="n"/>
      <c r="CQ197" s="16" t="n"/>
      <c r="CR197" s="16" t="n"/>
      <c r="CS197" s="16" t="n">
        <v>0.58006</v>
      </c>
      <c r="CT197" s="16" t="n">
        <v>0.718958</v>
      </c>
      <c r="CU197" s="16" t="n"/>
      <c r="CV197" s="16" t="n"/>
      <c r="CW197" s="16" t="n"/>
      <c r="CX197" s="16" t="n"/>
      <c r="CY197" s="16" t="n">
        <v>0.58006</v>
      </c>
      <c r="CZ197" s="16" t="n">
        <v>0.845692</v>
      </c>
      <c r="DA197" s="16" t="n"/>
      <c r="DB197" s="16" t="n"/>
      <c r="DC197" s="16" t="n"/>
      <c r="DD197" s="16" t="n"/>
      <c r="DE197" s="16" t="n">
        <v>0.58006</v>
      </c>
      <c r="DF197" s="16" t="n">
        <v>0.788442</v>
      </c>
      <c r="DG197" s="16" t="n"/>
      <c r="DH197" s="16" t="n"/>
      <c r="DI197" s="16" t="n"/>
      <c r="DJ197" s="16" t="n"/>
      <c r="DK197" s="16" t="n">
        <v>0.58006</v>
      </c>
      <c r="DL197" s="16" t="n">
        <v>0.810806</v>
      </c>
      <c r="DM197" s="16" t="n"/>
      <c r="DN197" s="16" t="n"/>
      <c r="DO197" s="16" t="n"/>
      <c r="DP197" s="16" t="n"/>
      <c r="DQ197" s="16" t="n">
        <v>0.58006</v>
      </c>
      <c r="DR197" s="16" t="n">
        <v>0.7979309999999999</v>
      </c>
      <c r="DS197" s="16" t="n"/>
      <c r="DT197" s="16" t="n"/>
      <c r="DU197" s="16" t="n"/>
      <c r="DV197" s="16" t="n"/>
      <c r="DW197" s="16" t="n">
        <v>0.58006</v>
      </c>
      <c r="DX197" s="16" t="n">
        <v>0.820693</v>
      </c>
      <c r="DY197" s="16" t="n"/>
      <c r="DZ197" s="16" t="n"/>
    </row>
    <row r="198">
      <c r="BS198" s="16" t="n"/>
      <c r="BT198" s="16" t="n"/>
      <c r="BU198" s="16" t="n">
        <v>0.583082</v>
      </c>
      <c r="BV198" s="16" t="n">
        <v>455.909515</v>
      </c>
      <c r="BW198" s="16" t="n"/>
      <c r="BX198" s="16" t="n"/>
      <c r="BY198" s="16" t="n"/>
      <c r="BZ198" s="16" t="n"/>
      <c r="CA198" s="16" t="n">
        <v>0.583082</v>
      </c>
      <c r="CB198" s="16" t="n">
        <v>293.721166</v>
      </c>
      <c r="CC198" s="16" t="n"/>
      <c r="CD198" s="16" t="n"/>
      <c r="CE198" s="16" t="n"/>
      <c r="CF198" s="16" t="n"/>
      <c r="CG198" s="16" t="n">
        <v>0.583082</v>
      </c>
      <c r="CH198" s="16" t="n">
        <v>3622.121814</v>
      </c>
      <c r="CI198" s="16" t="n"/>
      <c r="CJ198" s="16" t="n"/>
      <c r="CK198" s="16" t="n"/>
      <c r="CL198" s="16" t="n"/>
      <c r="CM198" s="16" t="n">
        <v>0.583082</v>
      </c>
      <c r="CN198" s="16" t="n">
        <v>867.102174</v>
      </c>
      <c r="CO198" s="16" t="n"/>
      <c r="CP198" s="16" t="n"/>
      <c r="CQ198" s="16" t="n"/>
      <c r="CR198" s="16" t="n"/>
      <c r="CS198" s="16" t="n">
        <v>0.583082</v>
      </c>
      <c r="CT198" s="16" t="n">
        <v>0.719413</v>
      </c>
      <c r="CU198" s="16" t="n"/>
      <c r="CV198" s="16" t="n"/>
      <c r="CW198" s="16" t="n"/>
      <c r="CX198" s="16" t="n"/>
      <c r="CY198" s="16" t="n">
        <v>0.583082</v>
      </c>
      <c r="CZ198" s="16" t="n">
        <v>0.845884</v>
      </c>
      <c r="DA198" s="16" t="n"/>
      <c r="DB198" s="16" t="n"/>
      <c r="DC198" s="16" t="n"/>
      <c r="DD198" s="16" t="n"/>
      <c r="DE198" s="16" t="n">
        <v>0.583082</v>
      </c>
      <c r="DF198" s="16" t="n">
        <v>0.788781</v>
      </c>
      <c r="DG198" s="16" t="n"/>
      <c r="DH198" s="16" t="n"/>
      <c r="DI198" s="16" t="n"/>
      <c r="DJ198" s="16" t="n"/>
      <c r="DK198" s="16" t="n">
        <v>0.583082</v>
      </c>
      <c r="DL198" s="16" t="n">
        <v>0.812353</v>
      </c>
      <c r="DM198" s="16" t="n"/>
      <c r="DN198" s="16" t="n"/>
      <c r="DO198" s="16" t="n"/>
      <c r="DP198" s="16" t="n"/>
      <c r="DQ198" s="16" t="n">
        <v>0.583082</v>
      </c>
      <c r="DR198" s="16" t="n">
        <v>0.800113</v>
      </c>
      <c r="DS198" s="16" t="n"/>
      <c r="DT198" s="16" t="n"/>
      <c r="DU198" s="16" t="n"/>
      <c r="DV198" s="16" t="n"/>
      <c r="DW198" s="16" t="n">
        <v>0.583082</v>
      </c>
      <c r="DX198" s="16" t="n">
        <v>0.821164</v>
      </c>
      <c r="DY198" s="16" t="n"/>
      <c r="DZ198" s="16" t="n"/>
    </row>
    <row r="199">
      <c r="BS199" s="16" t="n"/>
      <c r="BT199" s="16" t="n"/>
      <c r="BU199" s="16" t="n">
        <v>0.586103</v>
      </c>
      <c r="BV199" s="16" t="n">
        <v>456.473134</v>
      </c>
      <c r="BW199" s="16" t="n"/>
      <c r="BX199" s="16" t="n"/>
      <c r="BY199" s="16" t="n"/>
      <c r="BZ199" s="16" t="n"/>
      <c r="CA199" s="16" t="n">
        <v>0.586103</v>
      </c>
      <c r="CB199" s="16" t="n">
        <v>293.774425</v>
      </c>
      <c r="CC199" s="16" t="n"/>
      <c r="CD199" s="16" t="n"/>
      <c r="CE199" s="16" t="n"/>
      <c r="CF199" s="16" t="n"/>
      <c r="CG199" s="16" t="n">
        <v>0.586103</v>
      </c>
      <c r="CH199" s="16" t="n">
        <v>3626.18736</v>
      </c>
      <c r="CI199" s="16" t="n"/>
      <c r="CJ199" s="16" t="n"/>
      <c r="CK199" s="16" t="n"/>
      <c r="CL199" s="16" t="n"/>
      <c r="CM199" s="16" t="n">
        <v>0.586103</v>
      </c>
      <c r="CN199" s="16" t="n">
        <v>867.753888</v>
      </c>
      <c r="CO199" s="16" t="n"/>
      <c r="CP199" s="16" t="n"/>
      <c r="CQ199" s="16" t="n"/>
      <c r="CR199" s="16" t="n"/>
      <c r="CS199" s="16" t="n">
        <v>0.586103</v>
      </c>
      <c r="CT199" s="16" t="n">
        <v>0.721401</v>
      </c>
      <c r="CU199" s="16" t="n"/>
      <c r="CV199" s="16" t="n"/>
      <c r="CW199" s="16" t="n"/>
      <c r="CX199" s="16" t="n"/>
      <c r="CY199" s="16" t="n">
        <v>0.586103</v>
      </c>
      <c r="CZ199" s="16" t="n">
        <v>0.846628</v>
      </c>
      <c r="DA199" s="16" t="n"/>
      <c r="DB199" s="16" t="n"/>
      <c r="DC199" s="16" t="n"/>
      <c r="DD199" s="16" t="n"/>
      <c r="DE199" s="16" t="n">
        <v>0.586103</v>
      </c>
      <c r="DF199" s="16" t="n">
        <v>0.789276</v>
      </c>
      <c r="DG199" s="16" t="n"/>
      <c r="DH199" s="16" t="n"/>
      <c r="DI199" s="16" t="n"/>
      <c r="DJ199" s="16" t="n"/>
      <c r="DK199" s="16" t="n">
        <v>0.586103</v>
      </c>
      <c r="DL199" s="16" t="n">
        <v>0.812702</v>
      </c>
      <c r="DM199" s="16" t="n"/>
      <c r="DN199" s="16" t="n"/>
      <c r="DO199" s="16" t="n"/>
      <c r="DP199" s="16" t="n"/>
      <c r="DQ199" s="16" t="n">
        <v>0.586103</v>
      </c>
      <c r="DR199" s="16" t="n">
        <v>0.8010350000000001</v>
      </c>
      <c r="DS199" s="16" t="n"/>
      <c r="DT199" s="16" t="n"/>
      <c r="DU199" s="16" t="n"/>
      <c r="DV199" s="16" t="n"/>
      <c r="DW199" s="16" t="n">
        <v>0.586103</v>
      </c>
      <c r="DX199" s="16" t="n">
        <v>0.8215</v>
      </c>
      <c r="DY199" s="16" t="n"/>
      <c r="DZ199" s="16" t="n"/>
    </row>
    <row r="200">
      <c r="BS200" s="16" t="n"/>
      <c r="BT200" s="16" t="n"/>
      <c r="BU200" s="16" t="n">
        <v>0.589124</v>
      </c>
      <c r="BV200" s="16" t="n">
        <v>457.025412</v>
      </c>
      <c r="BW200" s="16" t="n"/>
      <c r="BX200" s="16" t="n"/>
      <c r="BY200" s="16" t="n"/>
      <c r="BZ200" s="16" t="n"/>
      <c r="CA200" s="16" t="n">
        <v>0.589124</v>
      </c>
      <c r="CB200" s="16" t="n">
        <v>293.87395</v>
      </c>
      <c r="CC200" s="16" t="n"/>
      <c r="CD200" s="16" t="n"/>
      <c r="CE200" s="16" t="n"/>
      <c r="CF200" s="16" t="n"/>
      <c r="CG200" s="16" t="n">
        <v>0.589124</v>
      </c>
      <c r="CH200" s="16" t="n">
        <v>3635.790372</v>
      </c>
      <c r="CI200" s="16" t="n"/>
      <c r="CJ200" s="16" t="n"/>
      <c r="CK200" s="16" t="n"/>
      <c r="CL200" s="16" t="n"/>
      <c r="CM200" s="16" t="n">
        <v>0.589124</v>
      </c>
      <c r="CN200" s="16" t="n">
        <v>871.910606</v>
      </c>
      <c r="CO200" s="16" t="n"/>
      <c r="CP200" s="16" t="n"/>
      <c r="CQ200" s="16" t="n"/>
      <c r="CR200" s="16" t="n"/>
      <c r="CS200" s="16" t="n">
        <v>0.589124</v>
      </c>
      <c r="CT200" s="16" t="n">
        <v>0.721758</v>
      </c>
      <c r="CU200" s="16" t="n"/>
      <c r="CV200" s="16" t="n"/>
      <c r="CW200" s="16" t="n"/>
      <c r="CX200" s="16" t="n"/>
      <c r="CY200" s="16" t="n">
        <v>0.589124</v>
      </c>
      <c r="CZ200" s="16" t="n">
        <v>0.846757</v>
      </c>
      <c r="DA200" s="16" t="n"/>
      <c r="DB200" s="16" t="n"/>
      <c r="DC200" s="16" t="n"/>
      <c r="DD200" s="16" t="n"/>
      <c r="DE200" s="16" t="n">
        <v>0.589124</v>
      </c>
      <c r="DF200" s="16" t="n">
        <v>0.789913</v>
      </c>
      <c r="DG200" s="16" t="n"/>
      <c r="DH200" s="16" t="n"/>
      <c r="DI200" s="16" t="n"/>
      <c r="DJ200" s="16" t="n"/>
      <c r="DK200" s="16" t="n">
        <v>0.589124</v>
      </c>
      <c r="DL200" s="16" t="n">
        <v>0.813577</v>
      </c>
      <c r="DM200" s="16" t="n"/>
      <c r="DN200" s="16" t="n"/>
      <c r="DO200" s="16" t="n"/>
      <c r="DP200" s="16" t="n"/>
      <c r="DQ200" s="16" t="n">
        <v>0.589124</v>
      </c>
      <c r="DR200" s="16" t="n">
        <v>0.8025</v>
      </c>
      <c r="DS200" s="16" t="n"/>
      <c r="DT200" s="16" t="n"/>
      <c r="DU200" s="16" t="n"/>
      <c r="DV200" s="16" t="n"/>
      <c r="DW200" s="16" t="n">
        <v>0.589124</v>
      </c>
      <c r="DX200" s="16" t="n">
        <v>0.821983</v>
      </c>
      <c r="DY200" s="16" t="n"/>
      <c r="DZ200" s="16" t="n"/>
    </row>
    <row r="201">
      <c r="BS201" s="16" t="n"/>
      <c r="BT201" s="16" t="n"/>
      <c r="BU201" s="16" t="n">
        <v>0.592145</v>
      </c>
      <c r="BV201" s="16" t="n">
        <v>457.500105</v>
      </c>
      <c r="BW201" s="16" t="n"/>
      <c r="BX201" s="16" t="n"/>
      <c r="BY201" s="16" t="n"/>
      <c r="BZ201" s="16" t="n"/>
      <c r="CA201" s="16" t="n">
        <v>0.592145</v>
      </c>
      <c r="CB201" s="16" t="n">
        <v>293.91632</v>
      </c>
      <c r="CC201" s="16" t="n"/>
      <c r="CD201" s="16" t="n"/>
      <c r="CE201" s="16" t="n"/>
      <c r="CF201" s="16" t="n"/>
      <c r="CG201" s="16" t="n">
        <v>0.592145</v>
      </c>
      <c r="CH201" s="16" t="n">
        <v>3654.299154</v>
      </c>
      <c r="CI201" s="16" t="n"/>
      <c r="CJ201" s="16" t="n"/>
      <c r="CK201" s="16" t="n"/>
      <c r="CL201" s="16" t="n"/>
      <c r="CM201" s="16" t="n">
        <v>0.592145</v>
      </c>
      <c r="CN201" s="16" t="n">
        <v>872.208604</v>
      </c>
      <c r="CO201" s="16" t="n"/>
      <c r="CP201" s="16" t="n"/>
      <c r="CQ201" s="16" t="n"/>
      <c r="CR201" s="16" t="n"/>
      <c r="CS201" s="16" t="n">
        <v>0.592145</v>
      </c>
      <c r="CT201" s="16" t="n">
        <v>0.72293</v>
      </c>
      <c r="CU201" s="16" t="n"/>
      <c r="CV201" s="16" t="n"/>
      <c r="CW201" s="16" t="n"/>
      <c r="CX201" s="16" t="n"/>
      <c r="CY201" s="16" t="n">
        <v>0.592145</v>
      </c>
      <c r="CZ201" s="16" t="n">
        <v>0.846949</v>
      </c>
      <c r="DA201" s="16" t="n"/>
      <c r="DB201" s="16" t="n"/>
      <c r="DC201" s="16" t="n"/>
      <c r="DD201" s="16" t="n"/>
      <c r="DE201" s="16" t="n">
        <v>0.592145</v>
      </c>
      <c r="DF201" s="16" t="n">
        <v>0.791258</v>
      </c>
      <c r="DG201" s="16" t="n"/>
      <c r="DH201" s="16" t="n"/>
      <c r="DI201" s="16" t="n"/>
      <c r="DJ201" s="16" t="n"/>
      <c r="DK201" s="16" t="n">
        <v>0.592145</v>
      </c>
      <c r="DL201" s="16" t="n">
        <v>0.814324</v>
      </c>
      <c r="DM201" s="16" t="n"/>
      <c r="DN201" s="16" t="n"/>
      <c r="DO201" s="16" t="n"/>
      <c r="DP201" s="16" t="n"/>
      <c r="DQ201" s="16" t="n">
        <v>0.592145</v>
      </c>
      <c r="DR201" s="16" t="n">
        <v>0.803303</v>
      </c>
      <c r="DS201" s="16" t="n"/>
      <c r="DT201" s="16" t="n"/>
      <c r="DU201" s="16" t="n"/>
      <c r="DV201" s="16" t="n"/>
      <c r="DW201" s="16" t="n">
        <v>0.592145</v>
      </c>
      <c r="DX201" s="16" t="n">
        <v>0.823132</v>
      </c>
      <c r="DY201" s="16" t="n"/>
      <c r="DZ201" s="16" t="n"/>
    </row>
    <row r="202">
      <c r="BS202" s="16" t="n"/>
      <c r="BT202" s="16" t="n"/>
      <c r="BU202" s="16" t="n">
        <v>0.595166</v>
      </c>
      <c r="BV202" s="16" t="n">
        <v>457.551763</v>
      </c>
      <c r="BW202" s="16" t="n"/>
      <c r="BX202" s="16" t="n"/>
      <c r="BY202" s="16" t="n"/>
      <c r="BZ202" s="16" t="n"/>
      <c r="CA202" s="16" t="n">
        <v>0.595166</v>
      </c>
      <c r="CB202" s="16" t="n">
        <v>293.958696</v>
      </c>
      <c r="CC202" s="16" t="n"/>
      <c r="CD202" s="16" t="n"/>
      <c r="CE202" s="16" t="n"/>
      <c r="CF202" s="16" t="n"/>
      <c r="CG202" s="16" t="n">
        <v>0.595166</v>
      </c>
      <c r="CH202" s="16" t="n">
        <v>3659.899746</v>
      </c>
      <c r="CI202" s="16" t="n"/>
      <c r="CJ202" s="16" t="n"/>
      <c r="CK202" s="16" t="n"/>
      <c r="CL202" s="16" t="n"/>
      <c r="CM202" s="16" t="n">
        <v>0.595166</v>
      </c>
      <c r="CN202" s="16" t="n">
        <v>879.449791</v>
      </c>
      <c r="CO202" s="16" t="n"/>
      <c r="CP202" s="16" t="n"/>
      <c r="CQ202" s="16" t="n"/>
      <c r="CR202" s="16" t="n"/>
      <c r="CS202" s="16" t="n">
        <v>0.595166</v>
      </c>
      <c r="CT202" s="16" t="n">
        <v>0.724234</v>
      </c>
      <c r="CU202" s="16" t="n"/>
      <c r="CV202" s="16" t="n"/>
      <c r="CW202" s="16" t="n"/>
      <c r="CX202" s="16" t="n"/>
      <c r="CY202" s="16" t="n">
        <v>0.595166</v>
      </c>
      <c r="CZ202" s="16" t="n">
        <v>0.847881</v>
      </c>
      <c r="DA202" s="16" t="n"/>
      <c r="DB202" s="16" t="n"/>
      <c r="DC202" s="16" t="n"/>
      <c r="DD202" s="16" t="n"/>
      <c r="DE202" s="16" t="n">
        <v>0.595166</v>
      </c>
      <c r="DF202" s="16" t="n">
        <v>0.791699</v>
      </c>
      <c r="DG202" s="16" t="n"/>
      <c r="DH202" s="16" t="n"/>
      <c r="DI202" s="16" t="n"/>
      <c r="DJ202" s="16" t="n"/>
      <c r="DK202" s="16" t="n">
        <v>0.595166</v>
      </c>
      <c r="DL202" s="16" t="n">
        <v>0.814704</v>
      </c>
      <c r="DM202" s="16" t="n"/>
      <c r="DN202" s="16" t="n"/>
      <c r="DO202" s="16" t="n"/>
      <c r="DP202" s="16" t="n"/>
      <c r="DQ202" s="16" t="n">
        <v>0.595166</v>
      </c>
      <c r="DR202" s="16" t="n">
        <v>0.804656</v>
      </c>
      <c r="DS202" s="16" t="n"/>
      <c r="DT202" s="16" t="n"/>
      <c r="DU202" s="16" t="n"/>
      <c r="DV202" s="16" t="n"/>
      <c r="DW202" s="16" t="n">
        <v>0.595166</v>
      </c>
      <c r="DX202" s="16" t="n">
        <v>0.823144</v>
      </c>
      <c r="DY202" s="16" t="n"/>
      <c r="DZ202" s="16" t="n"/>
    </row>
    <row r="203">
      <c r="BS203" s="16" t="n"/>
      <c r="BT203" s="16" t="n"/>
      <c r="BU203" s="16" t="n">
        <v>0.598187</v>
      </c>
      <c r="BV203" s="16" t="n">
        <v>457.752539</v>
      </c>
      <c r="BW203" s="16" t="n"/>
      <c r="BX203" s="16" t="n"/>
      <c r="BY203" s="16" t="n"/>
      <c r="BZ203" s="16" t="n"/>
      <c r="CA203" s="16" t="n">
        <v>0.598187</v>
      </c>
      <c r="CB203" s="16" t="n">
        <v>294.037148</v>
      </c>
      <c r="CC203" s="16" t="n"/>
      <c r="CD203" s="16" t="n"/>
      <c r="CE203" s="16" t="n"/>
      <c r="CF203" s="16" t="n"/>
      <c r="CG203" s="16" t="n">
        <v>0.598187</v>
      </c>
      <c r="CH203" s="16" t="n">
        <v>3665.962676</v>
      </c>
      <c r="CI203" s="16" t="n"/>
      <c r="CJ203" s="16" t="n"/>
      <c r="CK203" s="16" t="n"/>
      <c r="CL203" s="16" t="n"/>
      <c r="CM203" s="16" t="n">
        <v>0.598187</v>
      </c>
      <c r="CN203" s="16" t="n">
        <v>887.9396819999999</v>
      </c>
      <c r="CO203" s="16" t="n"/>
      <c r="CP203" s="16" t="n"/>
      <c r="CQ203" s="16" t="n"/>
      <c r="CR203" s="16" t="n"/>
      <c r="CS203" s="16" t="n">
        <v>0.598187</v>
      </c>
      <c r="CT203" s="16" t="n">
        <v>0.724518</v>
      </c>
      <c r="CU203" s="16" t="n"/>
      <c r="CV203" s="16" t="n"/>
      <c r="CW203" s="16" t="n"/>
      <c r="CX203" s="16" t="n"/>
      <c r="CY203" s="16" t="n">
        <v>0.598187</v>
      </c>
      <c r="CZ203" s="16" t="n">
        <v>0.848676</v>
      </c>
      <c r="DA203" s="16" t="n"/>
      <c r="DB203" s="16" t="n"/>
      <c r="DC203" s="16" t="n"/>
      <c r="DD203" s="16" t="n"/>
      <c r="DE203" s="16" t="n">
        <v>0.598187</v>
      </c>
      <c r="DF203" s="16" t="n">
        <v>0.792623</v>
      </c>
      <c r="DG203" s="16" t="n"/>
      <c r="DH203" s="16" t="n"/>
      <c r="DI203" s="16" t="n"/>
      <c r="DJ203" s="16" t="n"/>
      <c r="DK203" s="16" t="n">
        <v>0.598187</v>
      </c>
      <c r="DL203" s="16" t="n">
        <v>0.815702</v>
      </c>
      <c r="DM203" s="16" t="n"/>
      <c r="DN203" s="16" t="n"/>
      <c r="DO203" s="16" t="n"/>
      <c r="DP203" s="16" t="n"/>
      <c r="DQ203" s="16" t="n">
        <v>0.598187</v>
      </c>
      <c r="DR203" s="16" t="n">
        <v>0.806243</v>
      </c>
      <c r="DS203" s="16" t="n"/>
      <c r="DT203" s="16" t="n"/>
      <c r="DU203" s="16" t="n"/>
      <c r="DV203" s="16" t="n"/>
      <c r="DW203" s="16" t="n">
        <v>0.598187</v>
      </c>
      <c r="DX203" s="16" t="n">
        <v>0.824489</v>
      </c>
      <c r="DY203" s="16" t="n"/>
      <c r="DZ203" s="16" t="n"/>
    </row>
    <row r="204">
      <c r="BS204" s="16" t="n"/>
      <c r="BT204" s="16" t="n"/>
      <c r="BU204" s="16" t="n">
        <v>0.601208</v>
      </c>
      <c r="BV204" s="16" t="n">
        <v>458.123241</v>
      </c>
      <c r="BW204" s="16" t="n"/>
      <c r="BX204" s="16" t="n"/>
      <c r="BY204" s="16" t="n"/>
      <c r="BZ204" s="16" t="n"/>
      <c r="CA204" s="16" t="n">
        <v>0.601208</v>
      </c>
      <c r="CB204" s="16" t="n">
        <v>294.038456</v>
      </c>
      <c r="CC204" s="16" t="n"/>
      <c r="CD204" s="16" t="n"/>
      <c r="CE204" s="16" t="n"/>
      <c r="CF204" s="16" t="n"/>
      <c r="CG204" s="16" t="n">
        <v>0.601208</v>
      </c>
      <c r="CH204" s="16" t="n">
        <v>3678.498952</v>
      </c>
      <c r="CI204" s="16" t="n"/>
      <c r="CJ204" s="16" t="n"/>
      <c r="CK204" s="16" t="n"/>
      <c r="CL204" s="16" t="n"/>
      <c r="CM204" s="16" t="n">
        <v>0.601208</v>
      </c>
      <c r="CN204" s="16" t="n">
        <v>890.647433</v>
      </c>
      <c r="CO204" s="16" t="n"/>
      <c r="CP204" s="16" t="n"/>
      <c r="CQ204" s="16" t="n"/>
      <c r="CR204" s="16" t="n"/>
      <c r="CS204" s="16" t="n">
        <v>0.601208</v>
      </c>
      <c r="CT204" s="16" t="n">
        <v>0.725868</v>
      </c>
      <c r="CU204" s="16" t="n"/>
      <c r="CV204" s="16" t="n"/>
      <c r="CW204" s="16" t="n"/>
      <c r="CX204" s="16" t="n"/>
      <c r="CY204" s="16" t="n">
        <v>0.601208</v>
      </c>
      <c r="CZ204" s="16" t="n">
        <v>0.849441</v>
      </c>
      <c r="DA204" s="16" t="n"/>
      <c r="DB204" s="16" t="n"/>
      <c r="DC204" s="16" t="n"/>
      <c r="DD204" s="16" t="n"/>
      <c r="DE204" s="16" t="n">
        <v>0.601208</v>
      </c>
      <c r="DF204" s="16" t="n">
        <v>0.792732</v>
      </c>
      <c r="DG204" s="16" t="n"/>
      <c r="DH204" s="16" t="n"/>
      <c r="DI204" s="16" t="n"/>
      <c r="DJ204" s="16" t="n"/>
      <c r="DK204" s="16" t="n">
        <v>0.601208</v>
      </c>
      <c r="DL204" s="16" t="n">
        <v>0.81599</v>
      </c>
      <c r="DM204" s="16" t="n"/>
      <c r="DN204" s="16" t="n"/>
      <c r="DO204" s="16" t="n"/>
      <c r="DP204" s="16" t="n"/>
      <c r="DQ204" s="16" t="n">
        <v>0.601208</v>
      </c>
      <c r="DR204" s="16" t="n">
        <v>0.806799</v>
      </c>
      <c r="DS204" s="16" t="n"/>
      <c r="DT204" s="16" t="n"/>
      <c r="DU204" s="16" t="n"/>
      <c r="DV204" s="16" t="n"/>
      <c r="DW204" s="16" t="n">
        <v>0.601208</v>
      </c>
      <c r="DX204" s="16" t="n">
        <v>0.824869</v>
      </c>
      <c r="DY204" s="16" t="n"/>
      <c r="DZ204" s="16" t="n"/>
    </row>
    <row r="205">
      <c r="BS205" s="16" t="n"/>
      <c r="BT205" s="16" t="n"/>
      <c r="BU205" s="16" t="n">
        <v>0.60423</v>
      </c>
      <c r="BV205" s="16" t="n">
        <v>458.458952</v>
      </c>
      <c r="BW205" s="16" t="n"/>
      <c r="BX205" s="16" t="n"/>
      <c r="BY205" s="16" t="n"/>
      <c r="BZ205" s="16" t="n"/>
      <c r="CA205" s="16" t="n">
        <v>0.60423</v>
      </c>
      <c r="CB205" s="16" t="n">
        <v>294.086817</v>
      </c>
      <c r="CC205" s="16" t="n"/>
      <c r="CD205" s="16" t="n"/>
      <c r="CE205" s="16" t="n"/>
      <c r="CF205" s="16" t="n"/>
      <c r="CG205" s="16" t="n">
        <v>0.60423</v>
      </c>
      <c r="CH205" s="16" t="n">
        <v>3697.409732</v>
      </c>
      <c r="CI205" s="16" t="n"/>
      <c r="CJ205" s="16" t="n"/>
      <c r="CK205" s="16" t="n"/>
      <c r="CL205" s="16" t="n"/>
      <c r="CM205" s="16" t="n">
        <v>0.60423</v>
      </c>
      <c r="CN205" s="16" t="n">
        <v>894.054513</v>
      </c>
      <c r="CO205" s="16" t="n"/>
      <c r="CP205" s="16" t="n"/>
      <c r="CQ205" s="16" t="n"/>
      <c r="CR205" s="16" t="n"/>
      <c r="CS205" s="16" t="n">
        <v>0.60423</v>
      </c>
      <c r="CT205" s="16" t="n">
        <v>0.72736</v>
      </c>
      <c r="CU205" s="16" t="n"/>
      <c r="CV205" s="16" t="n"/>
      <c r="CW205" s="16" t="n"/>
      <c r="CX205" s="16" t="n"/>
      <c r="CY205" s="16" t="n">
        <v>0.60423</v>
      </c>
      <c r="CZ205" s="16" t="n">
        <v>0.849763</v>
      </c>
      <c r="DA205" s="16" t="n"/>
      <c r="DB205" s="16" t="n"/>
      <c r="DC205" s="16" t="n"/>
      <c r="DD205" s="16" t="n"/>
      <c r="DE205" s="16" t="n">
        <v>0.60423</v>
      </c>
      <c r="DF205" s="16" t="n">
        <v>0.794135</v>
      </c>
      <c r="DG205" s="16" t="n"/>
      <c r="DH205" s="16" t="n"/>
      <c r="DI205" s="16" t="n"/>
      <c r="DJ205" s="16" t="n"/>
      <c r="DK205" s="16" t="n">
        <v>0.60423</v>
      </c>
      <c r="DL205" s="16" t="n">
        <v>0.817923</v>
      </c>
      <c r="DM205" s="16" t="n"/>
      <c r="DN205" s="16" t="n"/>
      <c r="DO205" s="16" t="n"/>
      <c r="DP205" s="16" t="n"/>
      <c r="DQ205" s="16" t="n">
        <v>0.60423</v>
      </c>
      <c r="DR205" s="16" t="n">
        <v>0.807078</v>
      </c>
      <c r="DS205" s="16" t="n"/>
      <c r="DT205" s="16" t="n"/>
      <c r="DU205" s="16" t="n"/>
      <c r="DV205" s="16" t="n"/>
      <c r="DW205" s="16" t="n">
        <v>0.60423</v>
      </c>
      <c r="DX205" s="16" t="n">
        <v>0.825642</v>
      </c>
      <c r="DY205" s="16" t="n"/>
      <c r="DZ205" s="16" t="n"/>
    </row>
    <row r="206">
      <c r="BS206" s="16" t="n"/>
      <c r="BT206" s="16" t="n"/>
      <c r="BU206" s="16" t="n">
        <v>0.607251</v>
      </c>
      <c r="BV206" s="16" t="n">
        <v>458.736781</v>
      </c>
      <c r="BW206" s="16" t="n"/>
      <c r="BX206" s="16" t="n"/>
      <c r="BY206" s="16" t="n"/>
      <c r="BZ206" s="16" t="n"/>
      <c r="CA206" s="16" t="n">
        <v>0.607251</v>
      </c>
      <c r="CB206" s="16" t="n">
        <v>294.199103</v>
      </c>
      <c r="CC206" s="16" t="n"/>
      <c r="CD206" s="16" t="n"/>
      <c r="CE206" s="16" t="n"/>
      <c r="CF206" s="16" t="n"/>
      <c r="CG206" s="16" t="n">
        <v>0.607251</v>
      </c>
      <c r="CH206" s="16" t="n">
        <v>3716.250019</v>
      </c>
      <c r="CI206" s="16" t="n"/>
      <c r="CJ206" s="16" t="n"/>
      <c r="CK206" s="16" t="n"/>
      <c r="CL206" s="16" t="n"/>
      <c r="CM206" s="16" t="n">
        <v>0.607251</v>
      </c>
      <c r="CN206" s="16" t="n">
        <v>894.325955</v>
      </c>
      <c r="CO206" s="16" t="n"/>
      <c r="CP206" s="16" t="n"/>
      <c r="CQ206" s="16" t="n"/>
      <c r="CR206" s="16" t="n"/>
      <c r="CS206" s="16" t="n">
        <v>0.607251</v>
      </c>
      <c r="CT206" s="16" t="n">
        <v>0.727496</v>
      </c>
      <c r="CU206" s="16" t="n"/>
      <c r="CV206" s="16" t="n"/>
      <c r="CW206" s="16" t="n"/>
      <c r="CX206" s="16" t="n"/>
      <c r="CY206" s="16" t="n">
        <v>0.607251</v>
      </c>
      <c r="CZ206" s="16" t="n">
        <v>0.849866</v>
      </c>
      <c r="DA206" s="16" t="n"/>
      <c r="DB206" s="16" t="n"/>
      <c r="DC206" s="16" t="n"/>
      <c r="DD206" s="16" t="n"/>
      <c r="DE206" s="16" t="n">
        <v>0.607251</v>
      </c>
      <c r="DF206" s="16" t="n">
        <v>0.794584</v>
      </c>
      <c r="DG206" s="16" t="n"/>
      <c r="DH206" s="16" t="n"/>
      <c r="DI206" s="16" t="n"/>
      <c r="DJ206" s="16" t="n"/>
      <c r="DK206" s="16" t="n">
        <v>0.607251</v>
      </c>
      <c r="DL206" s="16" t="n">
        <v>0.819075</v>
      </c>
      <c r="DM206" s="16" t="n"/>
      <c r="DN206" s="16" t="n"/>
      <c r="DO206" s="16" t="n"/>
      <c r="DP206" s="16" t="n"/>
      <c r="DQ206" s="16" t="n">
        <v>0.607251</v>
      </c>
      <c r="DR206" s="16" t="n">
        <v>0.809802</v>
      </c>
      <c r="DS206" s="16" t="n"/>
      <c r="DT206" s="16" t="n"/>
      <c r="DU206" s="16" t="n"/>
      <c r="DV206" s="16" t="n"/>
      <c r="DW206" s="16" t="n">
        <v>0.607251</v>
      </c>
      <c r="DX206" s="16" t="n">
        <v>0.825751</v>
      </c>
      <c r="DY206" s="16" t="n"/>
      <c r="DZ206" s="16" t="n"/>
    </row>
    <row r="207">
      <c r="BS207" s="16" t="n"/>
      <c r="BT207" s="16" t="n"/>
      <c r="BU207" s="16" t="n">
        <v>0.610272</v>
      </c>
      <c r="BV207" s="16" t="n">
        <v>459.441402</v>
      </c>
      <c r="BW207" s="16" t="n"/>
      <c r="BX207" s="16" t="n"/>
      <c r="BY207" s="16" t="n"/>
      <c r="BZ207" s="16" t="n"/>
      <c r="CA207" s="16" t="n">
        <v>0.610272</v>
      </c>
      <c r="CB207" s="16" t="n">
        <v>294.209001</v>
      </c>
      <c r="CC207" s="16" t="n"/>
      <c r="CD207" s="16" t="n"/>
      <c r="CE207" s="16" t="n"/>
      <c r="CF207" s="16" t="n"/>
      <c r="CG207" s="16" t="n">
        <v>0.610272</v>
      </c>
      <c r="CH207" s="16" t="n">
        <v>3738.69634</v>
      </c>
      <c r="CI207" s="16" t="n"/>
      <c r="CJ207" s="16" t="n"/>
      <c r="CK207" s="16" t="n"/>
      <c r="CL207" s="16" t="n"/>
      <c r="CM207" s="16" t="n">
        <v>0.610272</v>
      </c>
      <c r="CN207" s="16" t="n">
        <v>899.118228</v>
      </c>
      <c r="CO207" s="16" t="n"/>
      <c r="CP207" s="16" t="n"/>
      <c r="CQ207" s="16" t="n"/>
      <c r="CR207" s="16" t="n"/>
      <c r="CS207" s="16" t="n">
        <v>0.610272</v>
      </c>
      <c r="CT207" s="16" t="n">
        <v>0.727505</v>
      </c>
      <c r="CU207" s="16" t="n"/>
      <c r="CV207" s="16" t="n"/>
      <c r="CW207" s="16" t="n"/>
      <c r="CX207" s="16" t="n"/>
      <c r="CY207" s="16" t="n">
        <v>0.610272</v>
      </c>
      <c r="CZ207" s="16" t="n">
        <v>0.851276</v>
      </c>
      <c r="DA207" s="16" t="n"/>
      <c r="DB207" s="16" t="n"/>
      <c r="DC207" s="16" t="n"/>
      <c r="DD207" s="16" t="n"/>
      <c r="DE207" s="16" t="n">
        <v>0.610272</v>
      </c>
      <c r="DF207" s="16" t="n">
        <v>0.795448</v>
      </c>
      <c r="DG207" s="16" t="n"/>
      <c r="DH207" s="16" t="n"/>
      <c r="DI207" s="16" t="n"/>
      <c r="DJ207" s="16" t="n"/>
      <c r="DK207" s="16" t="n">
        <v>0.610272</v>
      </c>
      <c r="DL207" s="16" t="n">
        <v>0.81913</v>
      </c>
      <c r="DM207" s="16" t="n"/>
      <c r="DN207" s="16" t="n"/>
      <c r="DO207" s="16" t="n"/>
      <c r="DP207" s="16" t="n"/>
      <c r="DQ207" s="16" t="n">
        <v>0.610272</v>
      </c>
      <c r="DR207" s="16" t="n">
        <v>0.810418</v>
      </c>
      <c r="DS207" s="16" t="n"/>
      <c r="DT207" s="16" t="n"/>
      <c r="DU207" s="16" t="n"/>
      <c r="DV207" s="16" t="n"/>
      <c r="DW207" s="16" t="n">
        <v>0.610272</v>
      </c>
      <c r="DX207" s="16" t="n">
        <v>0.82666</v>
      </c>
      <c r="DY207" s="16" t="n"/>
      <c r="DZ207" s="16" t="n"/>
    </row>
    <row r="208">
      <c r="BS208" s="16" t="n"/>
      <c r="BT208" s="16" t="n"/>
      <c r="BU208" s="16" t="n">
        <v>0.613293</v>
      </c>
      <c r="BV208" s="16" t="n">
        <v>459.583102</v>
      </c>
      <c r="BW208" s="16" t="n"/>
      <c r="BX208" s="16" t="n"/>
      <c r="BY208" s="16" t="n"/>
      <c r="BZ208" s="16" t="n"/>
      <c r="CA208" s="16" t="n">
        <v>0.613293</v>
      </c>
      <c r="CB208" s="16" t="n">
        <v>294.295903</v>
      </c>
      <c r="CC208" s="16" t="n"/>
      <c r="CD208" s="16" t="n"/>
      <c r="CE208" s="16" t="n"/>
      <c r="CF208" s="16" t="n"/>
      <c r="CG208" s="16" t="n">
        <v>0.613293</v>
      </c>
      <c r="CH208" s="16" t="n">
        <v>3741.557359</v>
      </c>
      <c r="CI208" s="16" t="n"/>
      <c r="CJ208" s="16" t="n"/>
      <c r="CK208" s="16" t="n"/>
      <c r="CL208" s="16" t="n"/>
      <c r="CM208" s="16" t="n">
        <v>0.613293</v>
      </c>
      <c r="CN208" s="16" t="n">
        <v>902.194889</v>
      </c>
      <c r="CO208" s="16" t="n"/>
      <c r="CP208" s="16" t="n"/>
      <c r="CQ208" s="16" t="n"/>
      <c r="CR208" s="16" t="n"/>
      <c r="CS208" s="16" t="n">
        <v>0.613293</v>
      </c>
      <c r="CT208" s="16" t="n">
        <v>0.729332</v>
      </c>
      <c r="CU208" s="16" t="n"/>
      <c r="CV208" s="16" t="n"/>
      <c r="CW208" s="16" t="n"/>
      <c r="CX208" s="16" t="n"/>
      <c r="CY208" s="16" t="n">
        <v>0.613293</v>
      </c>
      <c r="CZ208" s="16" t="n">
        <v>0.8514699999999999</v>
      </c>
      <c r="DA208" s="16" t="n"/>
      <c r="DB208" s="16" t="n"/>
      <c r="DC208" s="16" t="n"/>
      <c r="DD208" s="16" t="n"/>
      <c r="DE208" s="16" t="n">
        <v>0.613293</v>
      </c>
      <c r="DF208" s="16" t="n">
        <v>0.795816</v>
      </c>
      <c r="DG208" s="16" t="n"/>
      <c r="DH208" s="16" t="n"/>
      <c r="DI208" s="16" t="n"/>
      <c r="DJ208" s="16" t="n"/>
      <c r="DK208" s="16" t="n">
        <v>0.613293</v>
      </c>
      <c r="DL208" s="16" t="n">
        <v>0.820939</v>
      </c>
      <c r="DM208" s="16" t="n"/>
      <c r="DN208" s="16" t="n"/>
      <c r="DO208" s="16" t="n"/>
      <c r="DP208" s="16" t="n"/>
      <c r="DQ208" s="16" t="n">
        <v>0.613293</v>
      </c>
      <c r="DR208" s="16" t="n">
        <v>0.810711</v>
      </c>
      <c r="DS208" s="16" t="n"/>
      <c r="DT208" s="16" t="n"/>
      <c r="DU208" s="16" t="n"/>
      <c r="DV208" s="16" t="n"/>
      <c r="DW208" s="16" t="n">
        <v>0.613293</v>
      </c>
      <c r="DX208" s="16" t="n">
        <v>0.8270960000000001</v>
      </c>
      <c r="DY208" s="16" t="n"/>
      <c r="DZ208" s="16" t="n"/>
    </row>
    <row r="209">
      <c r="BS209" s="16" t="n"/>
      <c r="BT209" s="16" t="n"/>
      <c r="BU209" s="16" t="n">
        <v>0.616314</v>
      </c>
      <c r="BV209" s="16" t="n">
        <v>459.839143</v>
      </c>
      <c r="BW209" s="16" t="n"/>
      <c r="BX209" s="16" t="n"/>
      <c r="BY209" s="16" t="n"/>
      <c r="BZ209" s="16" t="n"/>
      <c r="CA209" s="16" t="n">
        <v>0.616314</v>
      </c>
      <c r="CB209" s="16" t="n">
        <v>294.30445</v>
      </c>
      <c r="CC209" s="16" t="n"/>
      <c r="CD209" s="16" t="n"/>
      <c r="CE209" s="16" t="n"/>
      <c r="CF209" s="16" t="n"/>
      <c r="CG209" s="16" t="n">
        <v>0.616314</v>
      </c>
      <c r="CH209" s="16" t="n">
        <v>3742.291748</v>
      </c>
      <c r="CI209" s="16" t="n"/>
      <c r="CJ209" s="16" t="n"/>
      <c r="CK209" s="16" t="n"/>
      <c r="CL209" s="16" t="n"/>
      <c r="CM209" s="16" t="n">
        <v>0.616314</v>
      </c>
      <c r="CN209" s="16" t="n">
        <v>905.051505</v>
      </c>
      <c r="CO209" s="16" t="n"/>
      <c r="CP209" s="16" t="n"/>
      <c r="CQ209" s="16" t="n"/>
      <c r="CR209" s="16" t="n"/>
      <c r="CS209" s="16" t="n">
        <v>0.616314</v>
      </c>
      <c r="CT209" s="16" t="n">
        <v>0.729532</v>
      </c>
      <c r="CU209" s="16" t="n"/>
      <c r="CV209" s="16" t="n"/>
      <c r="CW209" s="16" t="n"/>
      <c r="CX209" s="16" t="n"/>
      <c r="CY209" s="16" t="n">
        <v>0.616314</v>
      </c>
      <c r="CZ209" s="16" t="n">
        <v>0.853198</v>
      </c>
      <c r="DA209" s="16" t="n"/>
      <c r="DB209" s="16" t="n"/>
      <c r="DC209" s="16" t="n"/>
      <c r="DD209" s="16" t="n"/>
      <c r="DE209" s="16" t="n">
        <v>0.616314</v>
      </c>
      <c r="DF209" s="16" t="n">
        <v>0.796604</v>
      </c>
      <c r="DG209" s="16" t="n"/>
      <c r="DH209" s="16" t="n"/>
      <c r="DI209" s="16" t="n"/>
      <c r="DJ209" s="16" t="n"/>
      <c r="DK209" s="16" t="n">
        <v>0.616314</v>
      </c>
      <c r="DL209" s="16" t="n">
        <v>0.821439</v>
      </c>
      <c r="DM209" s="16" t="n"/>
      <c r="DN209" s="16" t="n"/>
      <c r="DO209" s="16" t="n"/>
      <c r="DP209" s="16" t="n"/>
      <c r="DQ209" s="16" t="n">
        <v>0.616314</v>
      </c>
      <c r="DR209" s="16" t="n">
        <v>0.812716</v>
      </c>
      <c r="DS209" s="16" t="n"/>
      <c r="DT209" s="16" t="n"/>
      <c r="DU209" s="16" t="n"/>
      <c r="DV209" s="16" t="n"/>
      <c r="DW209" s="16" t="n">
        <v>0.616314</v>
      </c>
      <c r="DX209" s="16" t="n">
        <v>0.827365</v>
      </c>
      <c r="DY209" s="16" t="n"/>
      <c r="DZ209" s="16" t="n"/>
    </row>
    <row r="210">
      <c r="BS210" s="16" t="n"/>
      <c r="BT210" s="16" t="n"/>
      <c r="BU210" s="16" t="n">
        <v>0.619335</v>
      </c>
      <c r="BV210" s="16" t="n">
        <v>460.366911</v>
      </c>
      <c r="BW210" s="16" t="n"/>
      <c r="BX210" s="16" t="n"/>
      <c r="BY210" s="16" t="n"/>
      <c r="BZ210" s="16" t="n"/>
      <c r="CA210" s="16" t="n">
        <v>0.619335</v>
      </c>
      <c r="CB210" s="16" t="n">
        <v>294.398934</v>
      </c>
      <c r="CC210" s="16" t="n"/>
      <c r="CD210" s="16" t="n"/>
      <c r="CE210" s="16" t="n"/>
      <c r="CF210" s="16" t="n"/>
      <c r="CG210" s="16" t="n">
        <v>0.619335</v>
      </c>
      <c r="CH210" s="16" t="n">
        <v>3755.380376</v>
      </c>
      <c r="CI210" s="16" t="n"/>
      <c r="CJ210" s="16" t="n"/>
      <c r="CK210" s="16" t="n"/>
      <c r="CL210" s="16" t="n"/>
      <c r="CM210" s="16" t="n">
        <v>0.619335</v>
      </c>
      <c r="CN210" s="16" t="n">
        <v>905.093282</v>
      </c>
      <c r="CO210" s="16" t="n"/>
      <c r="CP210" s="16" t="n"/>
      <c r="CQ210" s="16" t="n"/>
      <c r="CR210" s="16" t="n"/>
      <c r="CS210" s="16" t="n">
        <v>0.619335</v>
      </c>
      <c r="CT210" s="16" t="n">
        <v>0.730626</v>
      </c>
      <c r="CU210" s="16" t="n"/>
      <c r="CV210" s="16" t="n"/>
      <c r="CW210" s="16" t="n"/>
      <c r="CX210" s="16" t="n"/>
      <c r="CY210" s="16" t="n">
        <v>0.619335</v>
      </c>
      <c r="CZ210" s="16" t="n">
        <v>0.853286</v>
      </c>
      <c r="DA210" s="16" t="n"/>
      <c r="DB210" s="16" t="n"/>
      <c r="DC210" s="16" t="n"/>
      <c r="DD210" s="16" t="n"/>
      <c r="DE210" s="16" t="n">
        <v>0.619335</v>
      </c>
      <c r="DF210" s="16" t="n">
        <v>0.7972669999999999</v>
      </c>
      <c r="DG210" s="16" t="n"/>
      <c r="DH210" s="16" t="n"/>
      <c r="DI210" s="16" t="n"/>
      <c r="DJ210" s="16" t="n"/>
      <c r="DK210" s="16" t="n">
        <v>0.619335</v>
      </c>
      <c r="DL210" s="16" t="n">
        <v>0.821824</v>
      </c>
      <c r="DM210" s="16" t="n"/>
      <c r="DN210" s="16" t="n"/>
      <c r="DO210" s="16" t="n"/>
      <c r="DP210" s="16" t="n"/>
      <c r="DQ210" s="16" t="n">
        <v>0.619335</v>
      </c>
      <c r="DR210" s="16" t="n">
        <v>0.8141890000000001</v>
      </c>
      <c r="DS210" s="16" t="n"/>
      <c r="DT210" s="16" t="n"/>
      <c r="DU210" s="16" t="n"/>
      <c r="DV210" s="16" t="n"/>
      <c r="DW210" s="16" t="n">
        <v>0.619335</v>
      </c>
      <c r="DX210" s="16" t="n">
        <v>0.827635</v>
      </c>
      <c r="DY210" s="16" t="n"/>
      <c r="DZ210" s="16" t="n"/>
    </row>
    <row r="211">
      <c r="BS211" s="16" t="n"/>
      <c r="BT211" s="16" t="n"/>
      <c r="BU211" s="16" t="n">
        <v>0.622356</v>
      </c>
      <c r="BV211" s="16" t="n">
        <v>460.656399</v>
      </c>
      <c r="BW211" s="16" t="n"/>
      <c r="BX211" s="16" t="n"/>
      <c r="BY211" s="16" t="n"/>
      <c r="BZ211" s="16" t="n"/>
      <c r="CA211" s="16" t="n">
        <v>0.622356</v>
      </c>
      <c r="CB211" s="16" t="n">
        <v>294.411635</v>
      </c>
      <c r="CC211" s="16" t="n"/>
      <c r="CD211" s="16" t="n"/>
      <c r="CE211" s="16" t="n"/>
      <c r="CF211" s="16" t="n"/>
      <c r="CG211" s="16" t="n">
        <v>0.622356</v>
      </c>
      <c r="CH211" s="16" t="n">
        <v>3762.285096</v>
      </c>
      <c r="CI211" s="16" t="n"/>
      <c r="CJ211" s="16" t="n"/>
      <c r="CK211" s="16" t="n"/>
      <c r="CL211" s="16" t="n"/>
      <c r="CM211" s="16" t="n">
        <v>0.622356</v>
      </c>
      <c r="CN211" s="16" t="n">
        <v>909.4209949999999</v>
      </c>
      <c r="CO211" s="16" t="n"/>
      <c r="CP211" s="16" t="n"/>
      <c r="CQ211" s="16" t="n"/>
      <c r="CR211" s="16" t="n"/>
      <c r="CS211" s="16" t="n">
        <v>0.622356</v>
      </c>
      <c r="CT211" s="16" t="n">
        <v>0.731611</v>
      </c>
      <c r="CU211" s="16" t="n"/>
      <c r="CV211" s="16" t="n"/>
      <c r="CW211" s="16" t="n"/>
      <c r="CX211" s="16" t="n"/>
      <c r="CY211" s="16" t="n">
        <v>0.622356</v>
      </c>
      <c r="CZ211" s="16" t="n">
        <v>0.854271</v>
      </c>
      <c r="DA211" s="16" t="n"/>
      <c r="DB211" s="16" t="n"/>
      <c r="DC211" s="16" t="n"/>
      <c r="DD211" s="16" t="n"/>
      <c r="DE211" s="16" t="n">
        <v>0.622356</v>
      </c>
      <c r="DF211" s="16" t="n">
        <v>0.79777</v>
      </c>
      <c r="DG211" s="16" t="n"/>
      <c r="DH211" s="16" t="n"/>
      <c r="DI211" s="16" t="n"/>
      <c r="DJ211" s="16" t="n"/>
      <c r="DK211" s="16" t="n">
        <v>0.622356</v>
      </c>
      <c r="DL211" s="16" t="n">
        <v>0.82347</v>
      </c>
      <c r="DM211" s="16" t="n"/>
      <c r="DN211" s="16" t="n"/>
      <c r="DO211" s="16" t="n"/>
      <c r="DP211" s="16" t="n"/>
      <c r="DQ211" s="16" t="n">
        <v>0.622356</v>
      </c>
      <c r="DR211" s="16" t="n">
        <v>0.814904</v>
      </c>
      <c r="DS211" s="16" t="n"/>
      <c r="DT211" s="16" t="n"/>
      <c r="DU211" s="16" t="n"/>
      <c r="DV211" s="16" t="n"/>
      <c r="DW211" s="16" t="n">
        <v>0.622356</v>
      </c>
      <c r="DX211" s="16" t="n">
        <v>0.827647</v>
      </c>
      <c r="DY211" s="16" t="n"/>
      <c r="DZ211" s="16" t="n"/>
    </row>
    <row r="212">
      <c r="BS212" s="16" t="n"/>
      <c r="BT212" s="16" t="n"/>
      <c r="BU212" s="16" t="n">
        <v>0.625378</v>
      </c>
      <c r="BV212" s="16" t="n">
        <v>460.796039</v>
      </c>
      <c r="BW212" s="16" t="n"/>
      <c r="BX212" s="16" t="n"/>
      <c r="BY212" s="16" t="n"/>
      <c r="BZ212" s="16" t="n"/>
      <c r="CA212" s="16" t="n">
        <v>0.625378</v>
      </c>
      <c r="CB212" s="16" t="n">
        <v>294.4535</v>
      </c>
      <c r="CC212" s="16" t="n"/>
      <c r="CD212" s="16" t="n"/>
      <c r="CE212" s="16" t="n"/>
      <c r="CF212" s="16" t="n"/>
      <c r="CG212" s="16" t="n">
        <v>0.625378</v>
      </c>
      <c r="CH212" s="16" t="n">
        <v>3782.882413</v>
      </c>
      <c r="CI212" s="16" t="n"/>
      <c r="CJ212" s="16" t="n"/>
      <c r="CK212" s="16" t="n"/>
      <c r="CL212" s="16" t="n"/>
      <c r="CM212" s="16" t="n">
        <v>0.625378</v>
      </c>
      <c r="CN212" s="16" t="n">
        <v>911.751944</v>
      </c>
      <c r="CO212" s="16" t="n"/>
      <c r="CP212" s="16" t="n"/>
      <c r="CQ212" s="16" t="n"/>
      <c r="CR212" s="16" t="n"/>
      <c r="CS212" s="16" t="n">
        <v>0.625378</v>
      </c>
      <c r="CT212" s="16" t="n">
        <v>0.732703</v>
      </c>
      <c r="CU212" s="16" t="n"/>
      <c r="CV212" s="16" t="n"/>
      <c r="CW212" s="16" t="n"/>
      <c r="CX212" s="16" t="n"/>
      <c r="CY212" s="16" t="n">
        <v>0.625378</v>
      </c>
      <c r="CZ212" s="16" t="n">
        <v>0.85443</v>
      </c>
      <c r="DA212" s="16" t="n"/>
      <c r="DB212" s="16" t="n"/>
      <c r="DC212" s="16" t="n"/>
      <c r="DD212" s="16" t="n"/>
      <c r="DE212" s="16" t="n">
        <v>0.625378</v>
      </c>
      <c r="DF212" s="16" t="n">
        <v>0.798725</v>
      </c>
      <c r="DG212" s="16" t="n"/>
      <c r="DH212" s="16" t="n"/>
      <c r="DI212" s="16" t="n"/>
      <c r="DJ212" s="16" t="n"/>
      <c r="DK212" s="16" t="n">
        <v>0.625378</v>
      </c>
      <c r="DL212" s="16" t="n">
        <v>0.824915</v>
      </c>
      <c r="DM212" s="16" t="n"/>
      <c r="DN212" s="16" t="n"/>
      <c r="DO212" s="16" t="n"/>
      <c r="DP212" s="16" t="n"/>
      <c r="DQ212" s="16" t="n">
        <v>0.625378</v>
      </c>
      <c r="DR212" s="16" t="n">
        <v>0.815477</v>
      </c>
      <c r="DS212" s="16" t="n"/>
      <c r="DT212" s="16" t="n"/>
      <c r="DU212" s="16" t="n"/>
      <c r="DV212" s="16" t="n"/>
      <c r="DW212" s="16" t="n">
        <v>0.625378</v>
      </c>
      <c r="DX212" s="16" t="n">
        <v>0.829035</v>
      </c>
      <c r="DY212" s="16" t="n"/>
      <c r="DZ212" s="16" t="n"/>
    </row>
    <row r="213">
      <c r="BS213" s="16" t="n"/>
      <c r="BT213" s="16" t="n"/>
      <c r="BU213" s="16" t="n">
        <v>0.628399</v>
      </c>
      <c r="BV213" s="16" t="n">
        <v>461.054307</v>
      </c>
      <c r="BW213" s="16" t="n"/>
      <c r="BX213" s="16" t="n"/>
      <c r="BY213" s="16" t="n"/>
      <c r="BZ213" s="16" t="n"/>
      <c r="CA213" s="16" t="n">
        <v>0.628399</v>
      </c>
      <c r="CB213" s="16" t="n">
        <v>294.492573</v>
      </c>
      <c r="CC213" s="16" t="n"/>
      <c r="CD213" s="16" t="n"/>
      <c r="CE213" s="16" t="n"/>
      <c r="CF213" s="16" t="n"/>
      <c r="CG213" s="16" t="n">
        <v>0.628399</v>
      </c>
      <c r="CH213" s="16" t="n">
        <v>3798.265736</v>
      </c>
      <c r="CI213" s="16" t="n"/>
      <c r="CJ213" s="16" t="n"/>
      <c r="CK213" s="16" t="n"/>
      <c r="CL213" s="16" t="n"/>
      <c r="CM213" s="16" t="n">
        <v>0.628399</v>
      </c>
      <c r="CN213" s="16" t="n">
        <v>913.581367</v>
      </c>
      <c r="CO213" s="16" t="n"/>
      <c r="CP213" s="16" t="n"/>
      <c r="CQ213" s="16" t="n"/>
      <c r="CR213" s="16" t="n"/>
      <c r="CS213" s="16" t="n">
        <v>0.628399</v>
      </c>
      <c r="CT213" s="16" t="n">
        <v>0.734409</v>
      </c>
      <c r="CU213" s="16" t="n"/>
      <c r="CV213" s="16" t="n"/>
      <c r="CW213" s="16" t="n"/>
      <c r="CX213" s="16" t="n"/>
      <c r="CY213" s="16" t="n">
        <v>0.628399</v>
      </c>
      <c r="CZ213" s="16" t="n">
        <v>0.854961</v>
      </c>
      <c r="DA213" s="16" t="n"/>
      <c r="DB213" s="16" t="n"/>
      <c r="DC213" s="16" t="n"/>
      <c r="DD213" s="16" t="n"/>
      <c r="DE213" s="16" t="n">
        <v>0.628399</v>
      </c>
      <c r="DF213" s="16" t="n">
        <v>0.800381</v>
      </c>
      <c r="DG213" s="16" t="n"/>
      <c r="DH213" s="16" t="n"/>
      <c r="DI213" s="16" t="n"/>
      <c r="DJ213" s="16" t="n"/>
      <c r="DK213" s="16" t="n">
        <v>0.628399</v>
      </c>
      <c r="DL213" s="16" t="n">
        <v>0.825742</v>
      </c>
      <c r="DM213" s="16" t="n"/>
      <c r="DN213" s="16" t="n"/>
      <c r="DO213" s="16" t="n"/>
      <c r="DP213" s="16" t="n"/>
      <c r="DQ213" s="16" t="n">
        <v>0.628399</v>
      </c>
      <c r="DR213" s="16" t="n">
        <v>0.816856</v>
      </c>
      <c r="DS213" s="16" t="n"/>
      <c r="DT213" s="16" t="n"/>
      <c r="DU213" s="16" t="n"/>
      <c r="DV213" s="16" t="n"/>
      <c r="DW213" s="16" t="n">
        <v>0.628399</v>
      </c>
      <c r="DX213" s="16" t="n">
        <v>0.831584</v>
      </c>
      <c r="DY213" s="16" t="n"/>
      <c r="DZ213" s="16" t="n"/>
    </row>
    <row r="214">
      <c r="BS214" s="16" t="n"/>
      <c r="BT214" s="16" t="n"/>
      <c r="BU214" s="16" t="n">
        <v>0.63142</v>
      </c>
      <c r="BV214" s="16" t="n">
        <v>461.278455</v>
      </c>
      <c r="BW214" s="16" t="n"/>
      <c r="BX214" s="16" t="n"/>
      <c r="BY214" s="16" t="n"/>
      <c r="BZ214" s="16" t="n"/>
      <c r="CA214" s="16" t="n">
        <v>0.63142</v>
      </c>
      <c r="CB214" s="16" t="n">
        <v>294.583224</v>
      </c>
      <c r="CC214" s="16" t="n"/>
      <c r="CD214" s="16" t="n"/>
      <c r="CE214" s="16" t="n"/>
      <c r="CF214" s="16" t="n"/>
      <c r="CG214" s="16" t="n">
        <v>0.63142</v>
      </c>
      <c r="CH214" s="16" t="n">
        <v>3808.049393</v>
      </c>
      <c r="CI214" s="16" t="n"/>
      <c r="CJ214" s="16" t="n"/>
      <c r="CK214" s="16" t="n"/>
      <c r="CL214" s="16" t="n"/>
      <c r="CM214" s="16" t="n">
        <v>0.63142</v>
      </c>
      <c r="CN214" s="16" t="n">
        <v>916.063583</v>
      </c>
      <c r="CO214" s="16" t="n"/>
      <c r="CP214" s="16" t="n"/>
      <c r="CQ214" s="16" t="n"/>
      <c r="CR214" s="16" t="n"/>
      <c r="CS214" s="16" t="n">
        <v>0.63142</v>
      </c>
      <c r="CT214" s="16" t="n">
        <v>0.735771</v>
      </c>
      <c r="CU214" s="16" t="n"/>
      <c r="CV214" s="16" t="n"/>
      <c r="CW214" s="16" t="n"/>
      <c r="CX214" s="16" t="n"/>
      <c r="CY214" s="16" t="n">
        <v>0.63142</v>
      </c>
      <c r="CZ214" s="16" t="n">
        <v>0.855603</v>
      </c>
      <c r="DA214" s="16" t="n"/>
      <c r="DB214" s="16" t="n"/>
      <c r="DC214" s="16" t="n"/>
      <c r="DD214" s="16" t="n"/>
      <c r="DE214" s="16" t="n">
        <v>0.63142</v>
      </c>
      <c r="DF214" s="16" t="n">
        <v>0.800694</v>
      </c>
      <c r="DG214" s="16" t="n"/>
      <c r="DH214" s="16" t="n"/>
      <c r="DI214" s="16" t="n"/>
      <c r="DJ214" s="16" t="n"/>
      <c r="DK214" s="16" t="n">
        <v>0.63142</v>
      </c>
      <c r="DL214" s="16" t="n">
        <v>0.8277910000000001</v>
      </c>
      <c r="DM214" s="16" t="n"/>
      <c r="DN214" s="16" t="n"/>
      <c r="DO214" s="16" t="n"/>
      <c r="DP214" s="16" t="n"/>
      <c r="DQ214" s="16" t="n">
        <v>0.63142</v>
      </c>
      <c r="DR214" s="16" t="n">
        <v>0.817616</v>
      </c>
      <c r="DS214" s="16" t="n"/>
      <c r="DT214" s="16" t="n"/>
      <c r="DU214" s="16" t="n"/>
      <c r="DV214" s="16" t="n"/>
      <c r="DW214" s="16" t="n">
        <v>0.63142</v>
      </c>
      <c r="DX214" s="16" t="n">
        <v>0.832182</v>
      </c>
      <c r="DY214" s="16" t="n"/>
      <c r="DZ214" s="16" t="n"/>
    </row>
    <row r="215">
      <c r="BS215" s="16" t="n"/>
      <c r="BT215" s="16" t="n"/>
      <c r="BU215" s="16" t="n">
        <v>0.634441</v>
      </c>
      <c r="BV215" s="16" t="n">
        <v>461.518441</v>
      </c>
      <c r="BW215" s="16" t="n"/>
      <c r="BX215" s="16" t="n"/>
      <c r="BY215" s="16" t="n"/>
      <c r="BZ215" s="16" t="n"/>
      <c r="CA215" s="16" t="n">
        <v>0.634441</v>
      </c>
      <c r="CB215" s="16" t="n">
        <v>294.694604</v>
      </c>
      <c r="CC215" s="16" t="n"/>
      <c r="CD215" s="16" t="n"/>
      <c r="CE215" s="16" t="n"/>
      <c r="CF215" s="16" t="n"/>
      <c r="CG215" s="16" t="n">
        <v>0.634441</v>
      </c>
      <c r="CH215" s="16" t="n">
        <v>3816.286928</v>
      </c>
      <c r="CI215" s="16" t="n"/>
      <c r="CJ215" s="16" t="n"/>
      <c r="CK215" s="16" t="n"/>
      <c r="CL215" s="16" t="n"/>
      <c r="CM215" s="16" t="n">
        <v>0.634441</v>
      </c>
      <c r="CN215" s="16" t="n">
        <v>927.998947</v>
      </c>
      <c r="CO215" s="16" t="n"/>
      <c r="CP215" s="16" t="n"/>
      <c r="CQ215" s="16" t="n"/>
      <c r="CR215" s="16" t="n"/>
      <c r="CS215" s="16" t="n">
        <v>0.634441</v>
      </c>
      <c r="CT215" s="16" t="n">
        <v>0.736022</v>
      </c>
      <c r="CU215" s="16" t="n"/>
      <c r="CV215" s="16" t="n"/>
      <c r="CW215" s="16" t="n"/>
      <c r="CX215" s="16" t="n"/>
      <c r="CY215" s="16" t="n">
        <v>0.634441</v>
      </c>
      <c r="CZ215" s="16" t="n">
        <v>0.855814</v>
      </c>
      <c r="DA215" s="16" t="n"/>
      <c r="DB215" s="16" t="n"/>
      <c r="DC215" s="16" t="n"/>
      <c r="DD215" s="16" t="n"/>
      <c r="DE215" s="16" t="n">
        <v>0.634441</v>
      </c>
      <c r="DF215" s="16" t="n">
        <v>0.801855</v>
      </c>
      <c r="DG215" s="16" t="n"/>
      <c r="DH215" s="16" t="n"/>
      <c r="DI215" s="16" t="n"/>
      <c r="DJ215" s="16" t="n"/>
      <c r="DK215" s="16" t="n">
        <v>0.634441</v>
      </c>
      <c r="DL215" s="16" t="n">
        <v>0.829192</v>
      </c>
      <c r="DM215" s="16" t="n"/>
      <c r="DN215" s="16" t="n"/>
      <c r="DO215" s="16" t="n"/>
      <c r="DP215" s="16" t="n"/>
      <c r="DQ215" s="16" t="n">
        <v>0.634441</v>
      </c>
      <c r="DR215" s="16" t="n">
        <v>0.818904</v>
      </c>
      <c r="DS215" s="16" t="n"/>
      <c r="DT215" s="16" t="n"/>
      <c r="DU215" s="16" t="n"/>
      <c r="DV215" s="16" t="n"/>
      <c r="DW215" s="16" t="n">
        <v>0.634441</v>
      </c>
      <c r="DX215" s="16" t="n">
        <v>0.832931</v>
      </c>
      <c r="DY215" s="16" t="n"/>
      <c r="DZ215" s="16" t="n"/>
    </row>
    <row r="216">
      <c r="BS216" s="16" t="n"/>
      <c r="BT216" s="16" t="n"/>
      <c r="BU216" s="16" t="n">
        <v>0.637462</v>
      </c>
      <c r="BV216" s="16" t="n">
        <v>461.634655</v>
      </c>
      <c r="BW216" s="16" t="n"/>
      <c r="BX216" s="16" t="n"/>
      <c r="BY216" s="16" t="n"/>
      <c r="BZ216" s="16" t="n"/>
      <c r="CA216" s="16" t="n">
        <v>0.637462</v>
      </c>
      <c r="CB216" s="16" t="n">
        <v>294.724431</v>
      </c>
      <c r="CC216" s="16" t="n"/>
      <c r="CD216" s="16" t="n"/>
      <c r="CE216" s="16" t="n"/>
      <c r="CF216" s="16" t="n"/>
      <c r="CG216" s="16" t="n">
        <v>0.637462</v>
      </c>
      <c r="CH216" s="16" t="n">
        <v>3819.266813</v>
      </c>
      <c r="CI216" s="16" t="n"/>
      <c r="CJ216" s="16" t="n"/>
      <c r="CK216" s="16" t="n"/>
      <c r="CL216" s="16" t="n"/>
      <c r="CM216" s="16" t="n">
        <v>0.637462</v>
      </c>
      <c r="CN216" s="16" t="n">
        <v>931.210558</v>
      </c>
      <c r="CO216" s="16" t="n"/>
      <c r="CP216" s="16" t="n"/>
      <c r="CQ216" s="16" t="n"/>
      <c r="CR216" s="16" t="n"/>
      <c r="CS216" s="16" t="n">
        <v>0.637462</v>
      </c>
      <c r="CT216" s="16" t="n">
        <v>0.737256</v>
      </c>
      <c r="CU216" s="16" t="n"/>
      <c r="CV216" s="16" t="n"/>
      <c r="CW216" s="16" t="n"/>
      <c r="CX216" s="16" t="n"/>
      <c r="CY216" s="16" t="n">
        <v>0.637462</v>
      </c>
      <c r="CZ216" s="16" t="n">
        <v>0.856128</v>
      </c>
      <c r="DA216" s="16" t="n"/>
      <c r="DB216" s="16" t="n"/>
      <c r="DC216" s="16" t="n"/>
      <c r="DD216" s="16" t="n"/>
      <c r="DE216" s="16" t="n">
        <v>0.637462</v>
      </c>
      <c r="DF216" s="16" t="n">
        <v>0.8029579999999999</v>
      </c>
      <c r="DG216" s="16" t="n"/>
      <c r="DH216" s="16" t="n"/>
      <c r="DI216" s="16" t="n"/>
      <c r="DJ216" s="16" t="n"/>
      <c r="DK216" s="16" t="n">
        <v>0.637462</v>
      </c>
      <c r="DL216" s="16" t="n">
        <v>0.8302</v>
      </c>
      <c r="DM216" s="16" t="n"/>
      <c r="DN216" s="16" t="n"/>
      <c r="DO216" s="16" t="n"/>
      <c r="DP216" s="16" t="n"/>
      <c r="DQ216" s="16" t="n">
        <v>0.637462</v>
      </c>
      <c r="DR216" s="16" t="n">
        <v>0.819804</v>
      </c>
      <c r="DS216" s="16" t="n"/>
      <c r="DT216" s="16" t="n"/>
      <c r="DU216" s="16" t="n"/>
      <c r="DV216" s="16" t="n"/>
      <c r="DW216" s="16" t="n">
        <v>0.637462</v>
      </c>
      <c r="DX216" s="16" t="n">
        <v>0.833425</v>
      </c>
      <c r="DY216" s="16" t="n"/>
      <c r="DZ216" s="16" t="n"/>
    </row>
    <row r="217">
      <c r="BS217" s="16" t="n"/>
      <c r="BT217" s="16" t="n"/>
      <c r="BU217" s="16" t="n">
        <v>0.640483</v>
      </c>
      <c r="BV217" s="16" t="n">
        <v>461.656152</v>
      </c>
      <c r="BW217" s="16" t="n"/>
      <c r="BX217" s="16" t="n"/>
      <c r="BY217" s="16" t="n"/>
      <c r="BZ217" s="16" t="n"/>
      <c r="CA217" s="16" t="n">
        <v>0.640483</v>
      </c>
      <c r="CB217" s="16" t="n">
        <v>294.922046</v>
      </c>
      <c r="CC217" s="16" t="n"/>
      <c r="CD217" s="16" t="n"/>
      <c r="CE217" s="16" t="n"/>
      <c r="CF217" s="16" t="n"/>
      <c r="CG217" s="16" t="n">
        <v>0.640483</v>
      </c>
      <c r="CH217" s="16" t="n">
        <v>3828.611838</v>
      </c>
      <c r="CI217" s="16" t="n"/>
      <c r="CJ217" s="16" t="n"/>
      <c r="CK217" s="16" t="n"/>
      <c r="CL217" s="16" t="n"/>
      <c r="CM217" s="16" t="n">
        <v>0.640483</v>
      </c>
      <c r="CN217" s="16" t="n">
        <v>942.9808389999999</v>
      </c>
      <c r="CO217" s="16" t="n"/>
      <c r="CP217" s="16" t="n"/>
      <c r="CQ217" s="16" t="n"/>
      <c r="CR217" s="16" t="n"/>
      <c r="CS217" s="16" t="n">
        <v>0.640483</v>
      </c>
      <c r="CT217" s="16" t="n">
        <v>0.737465</v>
      </c>
      <c r="CU217" s="16" t="n"/>
      <c r="CV217" s="16" t="n"/>
      <c r="CW217" s="16" t="n"/>
      <c r="CX217" s="16" t="n"/>
      <c r="CY217" s="16" t="n">
        <v>0.640483</v>
      </c>
      <c r="CZ217" s="16" t="n">
        <v>0.856274</v>
      </c>
      <c r="DA217" s="16" t="n"/>
      <c r="DB217" s="16" t="n"/>
      <c r="DC217" s="16" t="n"/>
      <c r="DD217" s="16" t="n"/>
      <c r="DE217" s="16" t="n">
        <v>0.640483</v>
      </c>
      <c r="DF217" s="16" t="n">
        <v>0.803715</v>
      </c>
      <c r="DG217" s="16" t="n"/>
      <c r="DH217" s="16" t="n"/>
      <c r="DI217" s="16" t="n"/>
      <c r="DJ217" s="16" t="n"/>
      <c r="DK217" s="16" t="n">
        <v>0.640483</v>
      </c>
      <c r="DL217" s="16" t="n">
        <v>0.8307639999999999</v>
      </c>
      <c r="DM217" s="16" t="n"/>
      <c r="DN217" s="16" t="n"/>
      <c r="DO217" s="16" t="n"/>
      <c r="DP217" s="16" t="n"/>
      <c r="DQ217" s="16" t="n">
        <v>0.640483</v>
      </c>
      <c r="DR217" s="16" t="n">
        <v>0.820473</v>
      </c>
      <c r="DS217" s="16" t="n"/>
      <c r="DT217" s="16" t="n"/>
      <c r="DU217" s="16" t="n"/>
      <c r="DV217" s="16" t="n"/>
      <c r="DW217" s="16" t="n">
        <v>0.640483</v>
      </c>
      <c r="DX217" s="16" t="n">
        <v>0.833503</v>
      </c>
      <c r="DY217" s="16" t="n"/>
      <c r="DZ217" s="16" t="n"/>
    </row>
    <row r="218">
      <c r="BS218" s="16" t="n"/>
      <c r="BT218" s="16" t="n"/>
      <c r="BU218" s="16" t="n">
        <v>0.643505</v>
      </c>
      <c r="BV218" s="16" t="n">
        <v>462.035864</v>
      </c>
      <c r="BW218" s="16" t="n"/>
      <c r="BX218" s="16" t="n"/>
      <c r="BY218" s="16" t="n"/>
      <c r="BZ218" s="16" t="n"/>
      <c r="CA218" s="16" t="n">
        <v>0.643505</v>
      </c>
      <c r="CB218" s="16" t="n">
        <v>294.983138</v>
      </c>
      <c r="CC218" s="16" t="n"/>
      <c r="CD218" s="16" t="n"/>
      <c r="CE218" s="16" t="n"/>
      <c r="CF218" s="16" t="n"/>
      <c r="CG218" s="16" t="n">
        <v>0.643505</v>
      </c>
      <c r="CH218" s="16" t="n">
        <v>3836.013418</v>
      </c>
      <c r="CI218" s="16" t="n"/>
      <c r="CJ218" s="16" t="n"/>
      <c r="CK218" s="16" t="n"/>
      <c r="CL218" s="16" t="n"/>
      <c r="CM218" s="16" t="n">
        <v>0.643505</v>
      </c>
      <c r="CN218" s="16" t="n">
        <v>952.679037</v>
      </c>
      <c r="CO218" s="16" t="n"/>
      <c r="CP218" s="16" t="n"/>
      <c r="CQ218" s="16" t="n"/>
      <c r="CR218" s="16" t="n"/>
      <c r="CS218" s="16" t="n">
        <v>0.643505</v>
      </c>
      <c r="CT218" s="16" t="n">
        <v>0.738541</v>
      </c>
      <c r="CU218" s="16" t="n"/>
      <c r="CV218" s="16" t="n"/>
      <c r="CW218" s="16" t="n"/>
      <c r="CX218" s="16" t="n"/>
      <c r="CY218" s="16" t="n">
        <v>0.643505</v>
      </c>
      <c r="CZ218" s="16" t="n">
        <v>0.856893</v>
      </c>
      <c r="DA218" s="16" t="n"/>
      <c r="DB218" s="16" t="n"/>
      <c r="DC218" s="16" t="n"/>
      <c r="DD218" s="16" t="n"/>
      <c r="DE218" s="16" t="n">
        <v>0.643505</v>
      </c>
      <c r="DF218" s="16" t="n">
        <v>0.803727</v>
      </c>
      <c r="DG218" s="16" t="n"/>
      <c r="DH218" s="16" t="n"/>
      <c r="DI218" s="16" t="n"/>
      <c r="DJ218" s="16" t="n"/>
      <c r="DK218" s="16" t="n">
        <v>0.643505</v>
      </c>
      <c r="DL218" s="16" t="n">
        <v>0.831734</v>
      </c>
      <c r="DM218" s="16" t="n"/>
      <c r="DN218" s="16" t="n"/>
      <c r="DO218" s="16" t="n"/>
      <c r="DP218" s="16" t="n"/>
      <c r="DQ218" s="16" t="n">
        <v>0.643505</v>
      </c>
      <c r="DR218" s="16" t="n">
        <v>0.82123</v>
      </c>
      <c r="DS218" s="16" t="n"/>
      <c r="DT218" s="16" t="n"/>
      <c r="DU218" s="16" t="n"/>
      <c r="DV218" s="16" t="n"/>
      <c r="DW218" s="16" t="n">
        <v>0.643505</v>
      </c>
      <c r="DX218" s="16" t="n">
        <v>0.833844</v>
      </c>
      <c r="DY218" s="16" t="n"/>
      <c r="DZ218" s="16" t="n"/>
    </row>
    <row r="219">
      <c r="BS219" s="16" t="n"/>
      <c r="BT219" s="16" t="n"/>
      <c r="BU219" s="16" t="n">
        <v>0.646526</v>
      </c>
      <c r="BV219" s="16" t="n">
        <v>462.704291</v>
      </c>
      <c r="BW219" s="16" t="n"/>
      <c r="BX219" s="16" t="n"/>
      <c r="BY219" s="16" t="n"/>
      <c r="BZ219" s="16" t="n"/>
      <c r="CA219" s="16" t="n">
        <v>0.646526</v>
      </c>
      <c r="CB219" s="16" t="n">
        <v>295.096546</v>
      </c>
      <c r="CC219" s="16" t="n"/>
      <c r="CD219" s="16" t="n"/>
      <c r="CE219" s="16" t="n"/>
      <c r="CF219" s="16" t="n"/>
      <c r="CG219" s="16" t="n">
        <v>0.646526</v>
      </c>
      <c r="CH219" s="16" t="n">
        <v>3844.16167</v>
      </c>
      <c r="CI219" s="16" t="n"/>
      <c r="CJ219" s="16" t="n"/>
      <c r="CK219" s="16" t="n"/>
      <c r="CL219" s="16" t="n"/>
      <c r="CM219" s="16" t="n">
        <v>0.646526</v>
      </c>
      <c r="CN219" s="16" t="n">
        <v>957.061608</v>
      </c>
      <c r="CO219" s="16" t="n"/>
      <c r="CP219" s="16" t="n"/>
      <c r="CQ219" s="16" t="n"/>
      <c r="CR219" s="16" t="n"/>
      <c r="CS219" s="16" t="n">
        <v>0.646526</v>
      </c>
      <c r="CT219" s="16" t="n">
        <v>0.738938</v>
      </c>
      <c r="CU219" s="16" t="n"/>
      <c r="CV219" s="16" t="n"/>
      <c r="CW219" s="16" t="n"/>
      <c r="CX219" s="16" t="n"/>
      <c r="CY219" s="16" t="n">
        <v>0.646526</v>
      </c>
      <c r="CZ219" s="16" t="n">
        <v>0.857315</v>
      </c>
      <c r="DA219" s="16" t="n"/>
      <c r="DB219" s="16" t="n"/>
      <c r="DC219" s="16" t="n"/>
      <c r="DD219" s="16" t="n"/>
      <c r="DE219" s="16" t="n">
        <v>0.646526</v>
      </c>
      <c r="DF219" s="16" t="n">
        <v>0.804661</v>
      </c>
      <c r="DG219" s="16" t="n"/>
      <c r="DH219" s="16" t="n"/>
      <c r="DI219" s="16" t="n"/>
      <c r="DJ219" s="16" t="n"/>
      <c r="DK219" s="16" t="n">
        <v>0.646526</v>
      </c>
      <c r="DL219" s="16" t="n">
        <v>0.831866</v>
      </c>
      <c r="DM219" s="16" t="n"/>
      <c r="DN219" s="16" t="n"/>
      <c r="DO219" s="16" t="n"/>
      <c r="DP219" s="16" t="n"/>
      <c r="DQ219" s="16" t="n">
        <v>0.646526</v>
      </c>
      <c r="DR219" s="16" t="n">
        <v>0.821785</v>
      </c>
      <c r="DS219" s="16" t="n"/>
      <c r="DT219" s="16" t="n"/>
      <c r="DU219" s="16" t="n"/>
      <c r="DV219" s="16" t="n"/>
      <c r="DW219" s="16" t="n">
        <v>0.646526</v>
      </c>
      <c r="DX219" s="16" t="n">
        <v>0.836054</v>
      </c>
      <c r="DY219" s="16" t="n"/>
      <c r="DZ219" s="16" t="n"/>
    </row>
    <row r="220">
      <c r="BS220" s="16" t="n"/>
      <c r="BT220" s="16" t="n"/>
      <c r="BU220" s="16" t="n">
        <v>0.649547</v>
      </c>
      <c r="BV220" s="16" t="n">
        <v>462.76553</v>
      </c>
      <c r="BW220" s="16" t="n"/>
      <c r="BX220" s="16" t="n"/>
      <c r="BY220" s="16" t="n"/>
      <c r="BZ220" s="16" t="n"/>
      <c r="CA220" s="16" t="n">
        <v>0.649547</v>
      </c>
      <c r="CB220" s="16" t="n">
        <v>295.12278</v>
      </c>
      <c r="CC220" s="16" t="n"/>
      <c r="CD220" s="16" t="n"/>
      <c r="CE220" s="16" t="n"/>
      <c r="CF220" s="16" t="n"/>
      <c r="CG220" s="16" t="n">
        <v>0.649547</v>
      </c>
      <c r="CH220" s="16" t="n">
        <v>3849.269462</v>
      </c>
      <c r="CI220" s="16" t="n"/>
      <c r="CJ220" s="16" t="n"/>
      <c r="CK220" s="16" t="n"/>
      <c r="CL220" s="16" t="n"/>
      <c r="CM220" s="16" t="n">
        <v>0.649547</v>
      </c>
      <c r="CN220" s="16" t="n">
        <v>957.691583</v>
      </c>
      <c r="CO220" s="16" t="n"/>
      <c r="CP220" s="16" t="n"/>
      <c r="CQ220" s="16" t="n"/>
      <c r="CR220" s="16" t="n"/>
      <c r="CS220" s="16" t="n">
        <v>0.649547</v>
      </c>
      <c r="CT220" s="16" t="n">
        <v>0.739669</v>
      </c>
      <c r="CU220" s="16" t="n"/>
      <c r="CV220" s="16" t="n"/>
      <c r="CW220" s="16" t="n"/>
      <c r="CX220" s="16" t="n"/>
      <c r="CY220" s="16" t="n">
        <v>0.649547</v>
      </c>
      <c r="CZ220" s="16" t="n">
        <v>0.857345</v>
      </c>
      <c r="DA220" s="16" t="n"/>
      <c r="DB220" s="16" t="n"/>
      <c r="DC220" s="16" t="n"/>
      <c r="DD220" s="16" t="n"/>
      <c r="DE220" s="16" t="n">
        <v>0.649547</v>
      </c>
      <c r="DF220" s="16" t="n">
        <v>0.805779</v>
      </c>
      <c r="DG220" s="16" t="n"/>
      <c r="DH220" s="16" t="n"/>
      <c r="DI220" s="16" t="n"/>
      <c r="DJ220" s="16" t="n"/>
      <c r="DK220" s="16" t="n">
        <v>0.649547</v>
      </c>
      <c r="DL220" s="16" t="n">
        <v>0.832322</v>
      </c>
      <c r="DM220" s="16" t="n"/>
      <c r="DN220" s="16" t="n"/>
      <c r="DO220" s="16" t="n"/>
      <c r="DP220" s="16" t="n"/>
      <c r="DQ220" s="16" t="n">
        <v>0.649547</v>
      </c>
      <c r="DR220" s="16" t="n">
        <v>0.823397</v>
      </c>
      <c r="DS220" s="16" t="n"/>
      <c r="DT220" s="16" t="n"/>
      <c r="DU220" s="16" t="n"/>
      <c r="DV220" s="16" t="n"/>
      <c r="DW220" s="16" t="n">
        <v>0.649547</v>
      </c>
      <c r="DX220" s="16" t="n">
        <v>0.836217</v>
      </c>
      <c r="DY220" s="16" t="n"/>
      <c r="DZ220" s="16" t="n"/>
    </row>
    <row r="221">
      <c r="BS221" s="16" t="n"/>
      <c r="BT221" s="16" t="n"/>
      <c r="BU221" s="16" t="n">
        <v>0.652568</v>
      </c>
      <c r="BV221" s="16" t="n">
        <v>463.499161</v>
      </c>
      <c r="BW221" s="16" t="n"/>
      <c r="BX221" s="16" t="n"/>
      <c r="BY221" s="16" t="n"/>
      <c r="BZ221" s="16" t="n"/>
      <c r="CA221" s="16" t="n">
        <v>0.652568</v>
      </c>
      <c r="CB221" s="16" t="n">
        <v>295.25952</v>
      </c>
      <c r="CC221" s="16" t="n"/>
      <c r="CD221" s="16" t="n"/>
      <c r="CE221" s="16" t="n"/>
      <c r="CF221" s="16" t="n"/>
      <c r="CG221" s="16" t="n">
        <v>0.652568</v>
      </c>
      <c r="CH221" s="16" t="n">
        <v>3869.926538</v>
      </c>
      <c r="CI221" s="16" t="n"/>
      <c r="CJ221" s="16" t="n"/>
      <c r="CK221" s="16" t="n"/>
      <c r="CL221" s="16" t="n"/>
      <c r="CM221" s="16" t="n">
        <v>0.652568</v>
      </c>
      <c r="CN221" s="16" t="n">
        <v>964.8958270000001</v>
      </c>
      <c r="CO221" s="16" t="n"/>
      <c r="CP221" s="16" t="n"/>
      <c r="CQ221" s="16" t="n"/>
      <c r="CR221" s="16" t="n"/>
      <c r="CS221" s="16" t="n">
        <v>0.652568</v>
      </c>
      <c r="CT221" s="16" t="n">
        <v>0.740861</v>
      </c>
      <c r="CU221" s="16" t="n"/>
      <c r="CV221" s="16" t="n"/>
      <c r="CW221" s="16" t="n"/>
      <c r="CX221" s="16" t="n"/>
      <c r="CY221" s="16" t="n">
        <v>0.652568</v>
      </c>
      <c r="CZ221" s="16" t="n">
        <v>0.857812</v>
      </c>
      <c r="DA221" s="16" t="n"/>
      <c r="DB221" s="16" t="n"/>
      <c r="DC221" s="16" t="n"/>
      <c r="DD221" s="16" t="n"/>
      <c r="DE221" s="16" t="n">
        <v>0.652568</v>
      </c>
      <c r="DF221" s="16" t="n">
        <v>0.8059460000000001</v>
      </c>
      <c r="DG221" s="16" t="n"/>
      <c r="DH221" s="16" t="n"/>
      <c r="DI221" s="16" t="n"/>
      <c r="DJ221" s="16" t="n"/>
      <c r="DK221" s="16" t="n">
        <v>0.652568</v>
      </c>
      <c r="DL221" s="16" t="n">
        <v>0.833044</v>
      </c>
      <c r="DM221" s="16" t="n"/>
      <c r="DN221" s="16" t="n"/>
      <c r="DO221" s="16" t="n"/>
      <c r="DP221" s="16" t="n"/>
      <c r="DQ221" s="16" t="n">
        <v>0.652568</v>
      </c>
      <c r="DR221" s="16" t="n">
        <v>0.823922</v>
      </c>
      <c r="DS221" s="16" t="n"/>
      <c r="DT221" s="16" t="n"/>
      <c r="DU221" s="16" t="n"/>
      <c r="DV221" s="16" t="n"/>
      <c r="DW221" s="16" t="n">
        <v>0.652568</v>
      </c>
      <c r="DX221" s="16" t="n">
        <v>0.83813</v>
      </c>
      <c r="DY221" s="16" t="n"/>
      <c r="DZ221" s="16" t="n"/>
    </row>
    <row r="222">
      <c r="BS222" s="16" t="n"/>
      <c r="BT222" s="16" t="n"/>
      <c r="BU222" s="16" t="n">
        <v>0.655589</v>
      </c>
      <c r="BV222" s="16" t="n">
        <v>463.552184</v>
      </c>
      <c r="BW222" s="16" t="n"/>
      <c r="BX222" s="16" t="n"/>
      <c r="BY222" s="16" t="n"/>
      <c r="BZ222" s="16" t="n"/>
      <c r="CA222" s="16" t="n">
        <v>0.655589</v>
      </c>
      <c r="CB222" s="16" t="n">
        <v>295.314276</v>
      </c>
      <c r="CC222" s="16" t="n"/>
      <c r="CD222" s="16" t="n"/>
      <c r="CE222" s="16" t="n"/>
      <c r="CF222" s="16" t="n"/>
      <c r="CG222" s="16" t="n">
        <v>0.655589</v>
      </c>
      <c r="CH222" s="16" t="n">
        <v>3873.543893</v>
      </c>
      <c r="CI222" s="16" t="n"/>
      <c r="CJ222" s="16" t="n"/>
      <c r="CK222" s="16" t="n"/>
      <c r="CL222" s="16" t="n"/>
      <c r="CM222" s="16" t="n">
        <v>0.655589</v>
      </c>
      <c r="CN222" s="16" t="n">
        <v>967.342543</v>
      </c>
      <c r="CO222" s="16" t="n"/>
      <c r="CP222" s="16" t="n"/>
      <c r="CQ222" s="16" t="n"/>
      <c r="CR222" s="16" t="n"/>
      <c r="CS222" s="16" t="n">
        <v>0.655589</v>
      </c>
      <c r="CT222" s="16" t="n">
        <v>0.741337</v>
      </c>
      <c r="CU222" s="16" t="n"/>
      <c r="CV222" s="16" t="n"/>
      <c r="CW222" s="16" t="n"/>
      <c r="CX222" s="16" t="n"/>
      <c r="CY222" s="16" t="n">
        <v>0.655589</v>
      </c>
      <c r="CZ222" s="16" t="n">
        <v>0.858065</v>
      </c>
      <c r="DA222" s="16" t="n"/>
      <c r="DB222" s="16" t="n"/>
      <c r="DC222" s="16" t="n"/>
      <c r="DD222" s="16" t="n"/>
      <c r="DE222" s="16" t="n">
        <v>0.655589</v>
      </c>
      <c r="DF222" s="16" t="n">
        <v>0.8065909999999999</v>
      </c>
      <c r="DG222" s="16" t="n"/>
      <c r="DH222" s="16" t="n"/>
      <c r="DI222" s="16" t="n"/>
      <c r="DJ222" s="16" t="n"/>
      <c r="DK222" s="16" t="n">
        <v>0.655589</v>
      </c>
      <c r="DL222" s="16" t="n">
        <v>0.8338</v>
      </c>
      <c r="DM222" s="16" t="n"/>
      <c r="DN222" s="16" t="n"/>
      <c r="DO222" s="16" t="n"/>
      <c r="DP222" s="16" t="n"/>
      <c r="DQ222" s="16" t="n">
        <v>0.655589</v>
      </c>
      <c r="DR222" s="16" t="n">
        <v>0.824684</v>
      </c>
      <c r="DS222" s="16" t="n"/>
      <c r="DT222" s="16" t="n"/>
      <c r="DU222" s="16" t="n"/>
      <c r="DV222" s="16" t="n"/>
      <c r="DW222" s="16" t="n">
        <v>0.655589</v>
      </c>
      <c r="DX222" s="16" t="n">
        <v>0.8385</v>
      </c>
      <c r="DY222" s="16" t="n"/>
      <c r="DZ222" s="16" t="n"/>
    </row>
    <row r="223">
      <c r="BS223" s="16" t="n"/>
      <c r="BT223" s="16" t="n"/>
      <c r="BU223" s="16" t="n">
        <v>0.65861</v>
      </c>
      <c r="BV223" s="16" t="n">
        <v>463.681886</v>
      </c>
      <c r="BW223" s="16" t="n"/>
      <c r="BX223" s="16" t="n"/>
      <c r="BY223" s="16" t="n"/>
      <c r="BZ223" s="16" t="n"/>
      <c r="CA223" s="16" t="n">
        <v>0.65861</v>
      </c>
      <c r="CB223" s="16" t="n">
        <v>295.39135</v>
      </c>
      <c r="CC223" s="16" t="n"/>
      <c r="CD223" s="16" t="n"/>
      <c r="CE223" s="16" t="n"/>
      <c r="CF223" s="16" t="n"/>
      <c r="CG223" s="16" t="n">
        <v>0.65861</v>
      </c>
      <c r="CH223" s="16" t="n">
        <v>3879.922617</v>
      </c>
      <c r="CI223" s="16" t="n"/>
      <c r="CJ223" s="16" t="n"/>
      <c r="CK223" s="16" t="n"/>
      <c r="CL223" s="16" t="n"/>
      <c r="CM223" s="16" t="n">
        <v>0.65861</v>
      </c>
      <c r="CN223" s="16" t="n">
        <v>968.708592</v>
      </c>
      <c r="CO223" s="16" t="n"/>
      <c r="CP223" s="16" t="n"/>
      <c r="CQ223" s="16" t="n"/>
      <c r="CR223" s="16" t="n"/>
      <c r="CS223" s="16" t="n">
        <v>0.65861</v>
      </c>
      <c r="CT223" s="16" t="n">
        <v>0.742591</v>
      </c>
      <c r="CU223" s="16" t="n"/>
      <c r="CV223" s="16" t="n"/>
      <c r="CW223" s="16" t="n"/>
      <c r="CX223" s="16" t="n"/>
      <c r="CY223" s="16" t="n">
        <v>0.65861</v>
      </c>
      <c r="CZ223" s="16" t="n">
        <v>0.8586510000000001</v>
      </c>
      <c r="DA223" s="16" t="n"/>
      <c r="DB223" s="16" t="n"/>
      <c r="DC223" s="16" t="n"/>
      <c r="DD223" s="16" t="n"/>
      <c r="DE223" s="16" t="n">
        <v>0.65861</v>
      </c>
      <c r="DF223" s="16" t="n">
        <v>0.808123</v>
      </c>
      <c r="DG223" s="16" t="n"/>
      <c r="DH223" s="16" t="n"/>
      <c r="DI223" s="16" t="n"/>
      <c r="DJ223" s="16" t="n"/>
      <c r="DK223" s="16" t="n">
        <v>0.65861</v>
      </c>
      <c r="DL223" s="16" t="n">
        <v>0.834875</v>
      </c>
      <c r="DM223" s="16" t="n"/>
      <c r="DN223" s="16" t="n"/>
      <c r="DO223" s="16" t="n"/>
      <c r="DP223" s="16" t="n"/>
      <c r="DQ223" s="16" t="n">
        <v>0.65861</v>
      </c>
      <c r="DR223" s="16" t="n">
        <v>0.824704</v>
      </c>
      <c r="DS223" s="16" t="n"/>
      <c r="DT223" s="16" t="n"/>
      <c r="DU223" s="16" t="n"/>
      <c r="DV223" s="16" t="n"/>
      <c r="DW223" s="16" t="n">
        <v>0.65861</v>
      </c>
      <c r="DX223" s="16" t="n">
        <v>0.839574</v>
      </c>
      <c r="DY223" s="16" t="n"/>
      <c r="DZ223" s="16" t="n"/>
    </row>
    <row r="224">
      <c r="BS224" s="16" t="n"/>
      <c r="BT224" s="16" t="n"/>
      <c r="BU224" s="16" t="n">
        <v>0.661631</v>
      </c>
      <c r="BV224" s="16" t="n">
        <v>464.075352</v>
      </c>
      <c r="BW224" s="16" t="n"/>
      <c r="BX224" s="16" t="n"/>
      <c r="BY224" s="16" t="n"/>
      <c r="BZ224" s="16" t="n"/>
      <c r="CA224" s="16" t="n">
        <v>0.661631</v>
      </c>
      <c r="CB224" s="16" t="n">
        <v>295.400435</v>
      </c>
      <c r="CC224" s="16" t="n"/>
      <c r="CD224" s="16" t="n"/>
      <c r="CE224" s="16" t="n"/>
      <c r="CF224" s="16" t="n"/>
      <c r="CG224" s="16" t="n">
        <v>0.661631</v>
      </c>
      <c r="CH224" s="16" t="n">
        <v>3899.225123</v>
      </c>
      <c r="CI224" s="16" t="n"/>
      <c r="CJ224" s="16" t="n"/>
      <c r="CK224" s="16" t="n"/>
      <c r="CL224" s="16" t="n"/>
      <c r="CM224" s="16" t="n">
        <v>0.661631</v>
      </c>
      <c r="CN224" s="16" t="n">
        <v>970.62875</v>
      </c>
      <c r="CO224" s="16" t="n"/>
      <c r="CP224" s="16" t="n"/>
      <c r="CQ224" s="16" t="n"/>
      <c r="CR224" s="16" t="n"/>
      <c r="CS224" s="16" t="n">
        <v>0.661631</v>
      </c>
      <c r="CT224" s="16" t="n">
        <v>0.743351</v>
      </c>
      <c r="CU224" s="16" t="n"/>
      <c r="CV224" s="16" t="n"/>
      <c r="CW224" s="16" t="n"/>
      <c r="CX224" s="16" t="n"/>
      <c r="CY224" s="16" t="n">
        <v>0.661631</v>
      </c>
      <c r="CZ224" s="16" t="n">
        <v>0.859341</v>
      </c>
      <c r="DA224" s="16" t="n"/>
      <c r="DB224" s="16" t="n"/>
      <c r="DC224" s="16" t="n"/>
      <c r="DD224" s="16" t="n"/>
      <c r="DE224" s="16" t="n">
        <v>0.661631</v>
      </c>
      <c r="DF224" s="16" t="n">
        <v>0.808355</v>
      </c>
      <c r="DG224" s="16" t="n"/>
      <c r="DH224" s="16" t="n"/>
      <c r="DI224" s="16" t="n"/>
      <c r="DJ224" s="16" t="n"/>
      <c r="DK224" s="16" t="n">
        <v>0.661631</v>
      </c>
      <c r="DL224" s="16" t="n">
        <v>0.835687</v>
      </c>
      <c r="DM224" s="16" t="n"/>
      <c r="DN224" s="16" t="n"/>
      <c r="DO224" s="16" t="n"/>
      <c r="DP224" s="16" t="n"/>
      <c r="DQ224" s="16" t="n">
        <v>0.661631</v>
      </c>
      <c r="DR224" s="16" t="n">
        <v>0.827925</v>
      </c>
      <c r="DS224" s="16" t="n"/>
      <c r="DT224" s="16" t="n"/>
      <c r="DU224" s="16" t="n"/>
      <c r="DV224" s="16" t="n"/>
      <c r="DW224" s="16" t="n">
        <v>0.661631</v>
      </c>
      <c r="DX224" s="16" t="n">
        <v>0.840661</v>
      </c>
      <c r="DY224" s="16" t="n"/>
      <c r="DZ224" s="16" t="n"/>
    </row>
    <row r="225">
      <c r="BS225" s="16" t="n"/>
      <c r="BT225" s="16" t="n"/>
      <c r="BU225" s="16" t="n">
        <v>0.664653</v>
      </c>
      <c r="BV225" s="16" t="n">
        <v>464.499004</v>
      </c>
      <c r="BW225" s="16" t="n"/>
      <c r="BX225" s="16" t="n"/>
      <c r="BY225" s="16" t="n"/>
      <c r="BZ225" s="16" t="n"/>
      <c r="CA225" s="16" t="n">
        <v>0.664653</v>
      </c>
      <c r="CB225" s="16" t="n">
        <v>295.456797</v>
      </c>
      <c r="CC225" s="16" t="n"/>
      <c r="CD225" s="16" t="n"/>
      <c r="CE225" s="16" t="n"/>
      <c r="CF225" s="16" t="n"/>
      <c r="CG225" s="16" t="n">
        <v>0.664653</v>
      </c>
      <c r="CH225" s="16" t="n">
        <v>3900.724847</v>
      </c>
      <c r="CI225" s="16" t="n"/>
      <c r="CJ225" s="16" t="n"/>
      <c r="CK225" s="16" t="n"/>
      <c r="CL225" s="16" t="n"/>
      <c r="CM225" s="16" t="n">
        <v>0.664653</v>
      </c>
      <c r="CN225" s="16" t="n">
        <v>973.3351270000001</v>
      </c>
      <c r="CO225" s="16" t="n"/>
      <c r="CP225" s="16" t="n"/>
      <c r="CQ225" s="16" t="n"/>
      <c r="CR225" s="16" t="n"/>
      <c r="CS225" s="16" t="n">
        <v>0.664653</v>
      </c>
      <c r="CT225" s="16" t="n">
        <v>0.744137</v>
      </c>
      <c r="CU225" s="16" t="n"/>
      <c r="CV225" s="16" t="n"/>
      <c r="CW225" s="16" t="n"/>
      <c r="CX225" s="16" t="n"/>
      <c r="CY225" s="16" t="n">
        <v>0.664653</v>
      </c>
      <c r="CZ225" s="16" t="n">
        <v>0.859847</v>
      </c>
      <c r="DA225" s="16" t="n"/>
      <c r="DB225" s="16" t="n"/>
      <c r="DC225" s="16" t="n"/>
      <c r="DD225" s="16" t="n"/>
      <c r="DE225" s="16" t="n">
        <v>0.664653</v>
      </c>
      <c r="DF225" s="16" t="n">
        <v>0.808752</v>
      </c>
      <c r="DG225" s="16" t="n"/>
      <c r="DH225" s="16" t="n"/>
      <c r="DI225" s="16" t="n"/>
      <c r="DJ225" s="16" t="n"/>
      <c r="DK225" s="16" t="n">
        <v>0.664653</v>
      </c>
      <c r="DL225" s="16" t="n">
        <v>0.8358640000000001</v>
      </c>
      <c r="DM225" s="16" t="n"/>
      <c r="DN225" s="16" t="n"/>
      <c r="DO225" s="16" t="n"/>
      <c r="DP225" s="16" t="n"/>
      <c r="DQ225" s="16" t="n">
        <v>0.664653</v>
      </c>
      <c r="DR225" s="16" t="n">
        <v>0.828366</v>
      </c>
      <c r="DS225" s="16" t="n"/>
      <c r="DT225" s="16" t="n"/>
      <c r="DU225" s="16" t="n"/>
      <c r="DV225" s="16" t="n"/>
      <c r="DW225" s="16" t="n">
        <v>0.664653</v>
      </c>
      <c r="DX225" s="16" t="n">
        <v>0.841289</v>
      </c>
      <c r="DY225" s="16" t="n"/>
      <c r="DZ225" s="16" t="n"/>
    </row>
    <row r="226">
      <c r="BS226" s="16" t="n"/>
      <c r="BT226" s="16" t="n"/>
      <c r="BU226" s="16" t="n">
        <v>0.667674</v>
      </c>
      <c r="BV226" s="16" t="n">
        <v>464.939113</v>
      </c>
      <c r="BW226" s="16" t="n"/>
      <c r="BX226" s="16" t="n"/>
      <c r="BY226" s="16" t="n"/>
      <c r="BZ226" s="16" t="n"/>
      <c r="CA226" s="16" t="n">
        <v>0.667674</v>
      </c>
      <c r="CB226" s="16" t="n">
        <v>295.479599</v>
      </c>
      <c r="CC226" s="16" t="n"/>
      <c r="CD226" s="16" t="n"/>
      <c r="CE226" s="16" t="n"/>
      <c r="CF226" s="16" t="n"/>
      <c r="CG226" s="16" t="n">
        <v>0.667674</v>
      </c>
      <c r="CH226" s="16" t="n">
        <v>3916.991106</v>
      </c>
      <c r="CI226" s="16" t="n"/>
      <c r="CJ226" s="16" t="n"/>
      <c r="CK226" s="16" t="n"/>
      <c r="CL226" s="16" t="n"/>
      <c r="CM226" s="16" t="n">
        <v>0.667674</v>
      </c>
      <c r="CN226" s="16" t="n">
        <v>973.711708</v>
      </c>
      <c r="CO226" s="16" t="n"/>
      <c r="CP226" s="16" t="n"/>
      <c r="CQ226" s="16" t="n"/>
      <c r="CR226" s="16" t="n"/>
      <c r="CS226" s="16" t="n">
        <v>0.667674</v>
      </c>
      <c r="CT226" s="16" t="n">
        <v>0.7457240000000001</v>
      </c>
      <c r="CU226" s="16" t="n"/>
      <c r="CV226" s="16" t="n"/>
      <c r="CW226" s="16" t="n"/>
      <c r="CX226" s="16" t="n"/>
      <c r="CY226" s="16" t="n">
        <v>0.667674</v>
      </c>
      <c r="CZ226" s="16" t="n">
        <v>0.859941</v>
      </c>
      <c r="DA226" s="16" t="n"/>
      <c r="DB226" s="16" t="n"/>
      <c r="DC226" s="16" t="n"/>
      <c r="DD226" s="16" t="n"/>
      <c r="DE226" s="16" t="n">
        <v>0.667674</v>
      </c>
      <c r="DF226" s="16" t="n">
        <v>0.809716</v>
      </c>
      <c r="DG226" s="16" t="n"/>
      <c r="DH226" s="16" t="n"/>
      <c r="DI226" s="16" t="n"/>
      <c r="DJ226" s="16" t="n"/>
      <c r="DK226" s="16" t="n">
        <v>0.667674</v>
      </c>
      <c r="DL226" s="16" t="n">
        <v>0.838475</v>
      </c>
      <c r="DM226" s="16" t="n"/>
      <c r="DN226" s="16" t="n"/>
      <c r="DO226" s="16" t="n"/>
      <c r="DP226" s="16" t="n"/>
      <c r="DQ226" s="16" t="n">
        <v>0.667674</v>
      </c>
      <c r="DR226" s="16" t="n">
        <v>0.829083</v>
      </c>
      <c r="DS226" s="16" t="n"/>
      <c r="DT226" s="16" t="n"/>
      <c r="DU226" s="16" t="n"/>
      <c r="DV226" s="16" t="n"/>
      <c r="DW226" s="16" t="n">
        <v>0.667674</v>
      </c>
      <c r="DX226" s="16" t="n">
        <v>0.843423</v>
      </c>
      <c r="DY226" s="16" t="n"/>
      <c r="DZ226" s="16" t="n"/>
    </row>
    <row r="227">
      <c r="BS227" s="16" t="n"/>
      <c r="BT227" s="16" t="n"/>
      <c r="BU227" s="16" t="n">
        <v>0.670695</v>
      </c>
      <c r="BV227" s="16" t="n">
        <v>464.988032</v>
      </c>
      <c r="BW227" s="16" t="n"/>
      <c r="BX227" s="16" t="n"/>
      <c r="BY227" s="16" t="n"/>
      <c r="BZ227" s="16" t="n"/>
      <c r="CA227" s="16" t="n">
        <v>0.670695</v>
      </c>
      <c r="CB227" s="16" t="n">
        <v>295.752756</v>
      </c>
      <c r="CC227" s="16" t="n"/>
      <c r="CD227" s="16" t="n"/>
      <c r="CE227" s="16" t="n"/>
      <c r="CF227" s="16" t="n"/>
      <c r="CG227" s="16" t="n">
        <v>0.670695</v>
      </c>
      <c r="CH227" s="16" t="n">
        <v>3922.458562</v>
      </c>
      <c r="CI227" s="16" t="n"/>
      <c r="CJ227" s="16" t="n"/>
      <c r="CK227" s="16" t="n"/>
      <c r="CL227" s="16" t="n"/>
      <c r="CM227" s="16" t="n">
        <v>0.670695</v>
      </c>
      <c r="CN227" s="16" t="n">
        <v>984.64873</v>
      </c>
      <c r="CO227" s="16" t="n"/>
      <c r="CP227" s="16" t="n"/>
      <c r="CQ227" s="16" t="n"/>
      <c r="CR227" s="16" t="n"/>
      <c r="CS227" s="16" t="n">
        <v>0.670695</v>
      </c>
      <c r="CT227" s="16" t="n">
        <v>0.746107</v>
      </c>
      <c r="CU227" s="16" t="n"/>
      <c r="CV227" s="16" t="n"/>
      <c r="CW227" s="16" t="n"/>
      <c r="CX227" s="16" t="n"/>
      <c r="CY227" s="16" t="n">
        <v>0.670695</v>
      </c>
      <c r="CZ227" s="16" t="n">
        <v>0.859951</v>
      </c>
      <c r="DA227" s="16" t="n"/>
      <c r="DB227" s="16" t="n"/>
      <c r="DC227" s="16" t="n"/>
      <c r="DD227" s="16" t="n"/>
      <c r="DE227" s="16" t="n">
        <v>0.670695</v>
      </c>
      <c r="DF227" s="16" t="n">
        <v>0.809841</v>
      </c>
      <c r="DG227" s="16" t="n"/>
      <c r="DH227" s="16" t="n"/>
      <c r="DI227" s="16" t="n"/>
      <c r="DJ227" s="16" t="n"/>
      <c r="DK227" s="16" t="n">
        <v>0.670695</v>
      </c>
      <c r="DL227" s="16" t="n">
        <v>0.839218</v>
      </c>
      <c r="DM227" s="16" t="n"/>
      <c r="DN227" s="16" t="n"/>
      <c r="DO227" s="16" t="n"/>
      <c r="DP227" s="16" t="n"/>
      <c r="DQ227" s="16" t="n">
        <v>0.670695</v>
      </c>
      <c r="DR227" s="16" t="n">
        <v>0.830547</v>
      </c>
      <c r="DS227" s="16" t="n"/>
      <c r="DT227" s="16" t="n"/>
      <c r="DU227" s="16" t="n"/>
      <c r="DV227" s="16" t="n"/>
      <c r="DW227" s="16" t="n">
        <v>0.670695</v>
      </c>
      <c r="DX227" s="16" t="n">
        <v>0.843915</v>
      </c>
      <c r="DY227" s="16" t="n"/>
      <c r="DZ227" s="16" t="n"/>
    </row>
    <row r="228">
      <c r="BS228" s="16" t="n"/>
      <c r="BT228" s="16" t="n"/>
      <c r="BU228" s="16" t="n">
        <v>0.673716</v>
      </c>
      <c r="BV228" s="16" t="n">
        <v>465.598393</v>
      </c>
      <c r="BW228" s="16" t="n"/>
      <c r="BX228" s="16" t="n"/>
      <c r="BY228" s="16" t="n"/>
      <c r="BZ228" s="16" t="n"/>
      <c r="CA228" s="16" t="n">
        <v>0.673716</v>
      </c>
      <c r="CB228" s="16" t="n">
        <v>295.753617</v>
      </c>
      <c r="CC228" s="16" t="n"/>
      <c r="CD228" s="16" t="n"/>
      <c r="CE228" s="16" t="n"/>
      <c r="CF228" s="16" t="n"/>
      <c r="CG228" s="16" t="n">
        <v>0.673716</v>
      </c>
      <c r="CH228" s="16" t="n">
        <v>3930.850674</v>
      </c>
      <c r="CI228" s="16" t="n"/>
      <c r="CJ228" s="16" t="n"/>
      <c r="CK228" s="16" t="n"/>
      <c r="CL228" s="16" t="n"/>
      <c r="CM228" s="16" t="n">
        <v>0.673716</v>
      </c>
      <c r="CN228" s="16" t="n">
        <v>987.854612</v>
      </c>
      <c r="CO228" s="16" t="n"/>
      <c r="CP228" s="16" t="n"/>
      <c r="CQ228" s="16" t="n"/>
      <c r="CR228" s="16" t="n"/>
      <c r="CS228" s="16" t="n">
        <v>0.673716</v>
      </c>
      <c r="CT228" s="16" t="n">
        <v>0.746808</v>
      </c>
      <c r="CU228" s="16" t="n"/>
      <c r="CV228" s="16" t="n"/>
      <c r="CW228" s="16" t="n"/>
      <c r="CX228" s="16" t="n"/>
      <c r="CY228" s="16" t="n">
        <v>0.673716</v>
      </c>
      <c r="CZ228" s="16" t="n">
        <v>0.861281</v>
      </c>
      <c r="DA228" s="16" t="n"/>
      <c r="DB228" s="16" t="n"/>
      <c r="DC228" s="16" t="n"/>
      <c r="DD228" s="16" t="n"/>
      <c r="DE228" s="16" t="n">
        <v>0.673716</v>
      </c>
      <c r="DF228" s="16" t="n">
        <v>0.810352</v>
      </c>
      <c r="DG228" s="16" t="n"/>
      <c r="DH228" s="16" t="n"/>
      <c r="DI228" s="16" t="n"/>
      <c r="DJ228" s="16" t="n"/>
      <c r="DK228" s="16" t="n">
        <v>0.673716</v>
      </c>
      <c r="DL228" s="16" t="n">
        <v>0.839602</v>
      </c>
      <c r="DM228" s="16" t="n"/>
      <c r="DN228" s="16" t="n"/>
      <c r="DO228" s="16" t="n"/>
      <c r="DP228" s="16" t="n"/>
      <c r="DQ228" s="16" t="n">
        <v>0.673716</v>
      </c>
      <c r="DR228" s="16" t="n">
        <v>0.832701</v>
      </c>
      <c r="DS228" s="16" t="n"/>
      <c r="DT228" s="16" t="n"/>
      <c r="DU228" s="16" t="n"/>
      <c r="DV228" s="16" t="n"/>
      <c r="DW228" s="16" t="n">
        <v>0.673716</v>
      </c>
      <c r="DX228" s="16" t="n">
        <v>0.844598</v>
      </c>
      <c r="DY228" s="16" t="n"/>
      <c r="DZ228" s="16" t="n"/>
    </row>
    <row r="229">
      <c r="BS229" s="16" t="n"/>
      <c r="BT229" s="16" t="n"/>
      <c r="BU229" s="16" t="n">
        <v>0.676737</v>
      </c>
      <c r="BV229" s="16" t="n">
        <v>465.646757</v>
      </c>
      <c r="BW229" s="16" t="n"/>
      <c r="BX229" s="16" t="n"/>
      <c r="BY229" s="16" t="n"/>
      <c r="BZ229" s="16" t="n"/>
      <c r="CA229" s="16" t="n">
        <v>0.676737</v>
      </c>
      <c r="CB229" s="16" t="n">
        <v>295.901271</v>
      </c>
      <c r="CC229" s="16" t="n"/>
      <c r="CD229" s="16" t="n"/>
      <c r="CE229" s="16" t="n"/>
      <c r="CF229" s="16" t="n"/>
      <c r="CG229" s="16" t="n">
        <v>0.676737</v>
      </c>
      <c r="CH229" s="16" t="n">
        <v>3931.476964</v>
      </c>
      <c r="CI229" s="16" t="n"/>
      <c r="CJ229" s="16" t="n"/>
      <c r="CK229" s="16" t="n"/>
      <c r="CL229" s="16" t="n"/>
      <c r="CM229" s="16" t="n">
        <v>0.676737</v>
      </c>
      <c r="CN229" s="16" t="n">
        <v>991.520808</v>
      </c>
      <c r="CO229" s="16" t="n"/>
      <c r="CP229" s="16" t="n"/>
      <c r="CQ229" s="16" t="n"/>
      <c r="CR229" s="16" t="n"/>
      <c r="CS229" s="16" t="n">
        <v>0.676737</v>
      </c>
      <c r="CT229" s="16" t="n">
        <v>0.74696</v>
      </c>
      <c r="CU229" s="16" t="n"/>
      <c r="CV229" s="16" t="n"/>
      <c r="CW229" s="16" t="n"/>
      <c r="CX229" s="16" t="n"/>
      <c r="CY229" s="16" t="n">
        <v>0.676737</v>
      </c>
      <c r="CZ229" s="16" t="n">
        <v>0.861658</v>
      </c>
      <c r="DA229" s="16" t="n"/>
      <c r="DB229" s="16" t="n"/>
      <c r="DC229" s="16" t="n"/>
      <c r="DD229" s="16" t="n"/>
      <c r="DE229" s="16" t="n">
        <v>0.676737</v>
      </c>
      <c r="DF229" s="16" t="n">
        <v>0.811623</v>
      </c>
      <c r="DG229" s="16" t="n"/>
      <c r="DH229" s="16" t="n"/>
      <c r="DI229" s="16" t="n"/>
      <c r="DJ229" s="16" t="n"/>
      <c r="DK229" s="16" t="n">
        <v>0.676737</v>
      </c>
      <c r="DL229" s="16" t="n">
        <v>0.84079</v>
      </c>
      <c r="DM229" s="16" t="n"/>
      <c r="DN229" s="16" t="n"/>
      <c r="DO229" s="16" t="n"/>
      <c r="DP229" s="16" t="n"/>
      <c r="DQ229" s="16" t="n">
        <v>0.676737</v>
      </c>
      <c r="DR229" s="16" t="n">
        <v>0.833747</v>
      </c>
      <c r="DS229" s="16" t="n"/>
      <c r="DT229" s="16" t="n"/>
      <c r="DU229" s="16" t="n"/>
      <c r="DV229" s="16" t="n"/>
      <c r="DW229" s="16" t="n">
        <v>0.676737</v>
      </c>
      <c r="DX229" s="16" t="n">
        <v>0.844666</v>
      </c>
      <c r="DY229" s="16" t="n"/>
      <c r="DZ229" s="16" t="n"/>
    </row>
    <row r="230">
      <c r="BS230" s="16" t="n"/>
      <c r="BT230" s="16" t="n"/>
      <c r="BU230" s="16" t="n">
        <v>0.679758</v>
      </c>
      <c r="BV230" s="16" t="n">
        <v>466.035062</v>
      </c>
      <c r="BW230" s="16" t="n"/>
      <c r="BX230" s="16" t="n"/>
      <c r="BY230" s="16" t="n"/>
      <c r="BZ230" s="16" t="n"/>
      <c r="CA230" s="16" t="n">
        <v>0.679758</v>
      </c>
      <c r="CB230" s="16" t="n">
        <v>296.079188</v>
      </c>
      <c r="CC230" s="16" t="n"/>
      <c r="CD230" s="16" t="n"/>
      <c r="CE230" s="16" t="n"/>
      <c r="CF230" s="16" t="n"/>
      <c r="CG230" s="16" t="n">
        <v>0.679758</v>
      </c>
      <c r="CH230" s="16" t="n">
        <v>3938.333618</v>
      </c>
      <c r="CI230" s="16" t="n"/>
      <c r="CJ230" s="16" t="n"/>
      <c r="CK230" s="16" t="n"/>
      <c r="CL230" s="16" t="n"/>
      <c r="CM230" s="16" t="n">
        <v>0.679758</v>
      </c>
      <c r="CN230" s="16" t="n">
        <v>993.796082</v>
      </c>
      <c r="CO230" s="16" t="n"/>
      <c r="CP230" s="16" t="n"/>
      <c r="CQ230" s="16" t="n"/>
      <c r="CR230" s="16" t="n"/>
      <c r="CS230" s="16" t="n">
        <v>0.679758</v>
      </c>
      <c r="CT230" s="16" t="n">
        <v>0.747779</v>
      </c>
      <c r="CU230" s="16" t="n"/>
      <c r="CV230" s="16" t="n"/>
      <c r="CW230" s="16" t="n"/>
      <c r="CX230" s="16" t="n"/>
      <c r="CY230" s="16" t="n">
        <v>0.679758</v>
      </c>
      <c r="CZ230" s="16" t="n">
        <v>0.863578</v>
      </c>
      <c r="DA230" s="16" t="n"/>
      <c r="DB230" s="16" t="n"/>
      <c r="DC230" s="16" t="n"/>
      <c r="DD230" s="16" t="n"/>
      <c r="DE230" s="16" t="n">
        <v>0.679758</v>
      </c>
      <c r="DF230" s="16" t="n">
        <v>0.8132819999999999</v>
      </c>
      <c r="DG230" s="16" t="n"/>
      <c r="DH230" s="16" t="n"/>
      <c r="DI230" s="16" t="n"/>
      <c r="DJ230" s="16" t="n"/>
      <c r="DK230" s="16" t="n">
        <v>0.679758</v>
      </c>
      <c r="DL230" s="16" t="n">
        <v>0.840804</v>
      </c>
      <c r="DM230" s="16" t="n"/>
      <c r="DN230" s="16" t="n"/>
      <c r="DO230" s="16" t="n"/>
      <c r="DP230" s="16" t="n"/>
      <c r="DQ230" s="16" t="n">
        <v>0.679758</v>
      </c>
      <c r="DR230" s="16" t="n">
        <v>0.833915</v>
      </c>
      <c r="DS230" s="16" t="n"/>
      <c r="DT230" s="16" t="n"/>
      <c r="DU230" s="16" t="n"/>
      <c r="DV230" s="16" t="n"/>
      <c r="DW230" s="16" t="n">
        <v>0.679758</v>
      </c>
      <c r="DX230" s="16" t="n">
        <v>0.845735</v>
      </c>
      <c r="DY230" s="16" t="n"/>
      <c r="DZ230" s="16" t="n"/>
    </row>
    <row r="231">
      <c r="BS231" s="16" t="n"/>
      <c r="BT231" s="16" t="n"/>
      <c r="BU231" s="16" t="n">
        <v>0.682779</v>
      </c>
      <c r="BV231" s="16" t="n">
        <v>466.148165</v>
      </c>
      <c r="BW231" s="16" t="n"/>
      <c r="BX231" s="16" t="n"/>
      <c r="BY231" s="16" t="n"/>
      <c r="BZ231" s="16" t="n"/>
      <c r="CA231" s="16" t="n">
        <v>0.682779</v>
      </c>
      <c r="CB231" s="16" t="n">
        <v>296.155393</v>
      </c>
      <c r="CC231" s="16" t="n"/>
      <c r="CD231" s="16" t="n"/>
      <c r="CE231" s="16" t="n"/>
      <c r="CF231" s="16" t="n"/>
      <c r="CG231" s="16" t="n">
        <v>0.682779</v>
      </c>
      <c r="CH231" s="16" t="n">
        <v>3959.411073</v>
      </c>
      <c r="CI231" s="16" t="n"/>
      <c r="CJ231" s="16" t="n"/>
      <c r="CK231" s="16" t="n"/>
      <c r="CL231" s="16" t="n"/>
      <c r="CM231" s="16" t="n">
        <v>0.682779</v>
      </c>
      <c r="CN231" s="16" t="n">
        <v>994.833436</v>
      </c>
      <c r="CO231" s="16" t="n"/>
      <c r="CP231" s="16" t="n"/>
      <c r="CQ231" s="16" t="n"/>
      <c r="CR231" s="16" t="n"/>
      <c r="CS231" s="16" t="n">
        <v>0.682779</v>
      </c>
      <c r="CT231" s="16" t="n">
        <v>0.750017</v>
      </c>
      <c r="CU231" s="16" t="n"/>
      <c r="CV231" s="16" t="n"/>
      <c r="CW231" s="16" t="n"/>
      <c r="CX231" s="16" t="n"/>
      <c r="CY231" s="16" t="n">
        <v>0.682779</v>
      </c>
      <c r="CZ231" s="16" t="n">
        <v>0.864201</v>
      </c>
      <c r="DA231" s="16" t="n"/>
      <c r="DB231" s="16" t="n"/>
      <c r="DC231" s="16" t="n"/>
      <c r="DD231" s="16" t="n"/>
      <c r="DE231" s="16" t="n">
        <v>0.682779</v>
      </c>
      <c r="DF231" s="16" t="n">
        <v>0.813601</v>
      </c>
      <c r="DG231" s="16" t="n"/>
      <c r="DH231" s="16" t="n"/>
      <c r="DI231" s="16" t="n"/>
      <c r="DJ231" s="16" t="n"/>
      <c r="DK231" s="16" t="n">
        <v>0.682779</v>
      </c>
      <c r="DL231" s="16" t="n">
        <v>0.84228</v>
      </c>
      <c r="DM231" s="16" t="n"/>
      <c r="DN231" s="16" t="n"/>
      <c r="DO231" s="16" t="n"/>
      <c r="DP231" s="16" t="n"/>
      <c r="DQ231" s="16" t="n">
        <v>0.682779</v>
      </c>
      <c r="DR231" s="16" t="n">
        <v>0.835031</v>
      </c>
      <c r="DS231" s="16" t="n"/>
      <c r="DT231" s="16" t="n"/>
      <c r="DU231" s="16" t="n"/>
      <c r="DV231" s="16" t="n"/>
      <c r="DW231" s="16" t="n">
        <v>0.682779</v>
      </c>
      <c r="DX231" s="16" t="n">
        <v>0.84595</v>
      </c>
      <c r="DY231" s="16" t="n"/>
      <c r="DZ231" s="16" t="n"/>
    </row>
    <row r="232">
      <c r="BS232" s="16" t="n"/>
      <c r="BT232" s="16" t="n"/>
      <c r="BU232" s="16" t="n">
        <v>0.685801</v>
      </c>
      <c r="BV232" s="16" t="n">
        <v>466.46781</v>
      </c>
      <c r="BW232" s="16" t="n"/>
      <c r="BX232" s="16" t="n"/>
      <c r="BY232" s="16" t="n"/>
      <c r="BZ232" s="16" t="n"/>
      <c r="CA232" s="16" t="n">
        <v>0.685801</v>
      </c>
      <c r="CB232" s="16" t="n">
        <v>296.293917</v>
      </c>
      <c r="CC232" s="16" t="n"/>
      <c r="CD232" s="16" t="n"/>
      <c r="CE232" s="16" t="n"/>
      <c r="CF232" s="16" t="n"/>
      <c r="CG232" s="16" t="n">
        <v>0.685801</v>
      </c>
      <c r="CH232" s="16" t="n">
        <v>3971.888677</v>
      </c>
      <c r="CI232" s="16" t="n"/>
      <c r="CJ232" s="16" t="n"/>
      <c r="CK232" s="16" t="n"/>
      <c r="CL232" s="16" t="n"/>
      <c r="CM232" s="16" t="n">
        <v>0.685801</v>
      </c>
      <c r="CN232" s="16" t="n">
        <v>997.263138</v>
      </c>
      <c r="CO232" s="16" t="n"/>
      <c r="CP232" s="16" t="n"/>
      <c r="CQ232" s="16" t="n"/>
      <c r="CR232" s="16" t="n"/>
      <c r="CS232" s="16" t="n">
        <v>0.685801</v>
      </c>
      <c r="CT232" s="16" t="n">
        <v>0.750321</v>
      </c>
      <c r="CU232" s="16" t="n"/>
      <c r="CV232" s="16" t="n"/>
      <c r="CW232" s="16" t="n"/>
      <c r="CX232" s="16" t="n"/>
      <c r="CY232" s="16" t="n">
        <v>0.685801</v>
      </c>
      <c r="CZ232" s="16" t="n">
        <v>0.864416</v>
      </c>
      <c r="DA232" s="16" t="n"/>
      <c r="DB232" s="16" t="n"/>
      <c r="DC232" s="16" t="n"/>
      <c r="DD232" s="16" t="n"/>
      <c r="DE232" s="16" t="n">
        <v>0.685801</v>
      </c>
      <c r="DF232" s="16" t="n">
        <v>0.814511</v>
      </c>
      <c r="DG232" s="16" t="n"/>
      <c r="DH232" s="16" t="n"/>
      <c r="DI232" s="16" t="n"/>
      <c r="DJ232" s="16" t="n"/>
      <c r="DK232" s="16" t="n">
        <v>0.685801</v>
      </c>
      <c r="DL232" s="16" t="n">
        <v>0.8424199999999999</v>
      </c>
      <c r="DM232" s="16" t="n"/>
      <c r="DN232" s="16" t="n"/>
      <c r="DO232" s="16" t="n"/>
      <c r="DP232" s="16" t="n"/>
      <c r="DQ232" s="16" t="n">
        <v>0.685801</v>
      </c>
      <c r="DR232" s="16" t="n">
        <v>0.835655</v>
      </c>
      <c r="DS232" s="16" t="n"/>
      <c r="DT232" s="16" t="n"/>
      <c r="DU232" s="16" t="n"/>
      <c r="DV232" s="16" t="n"/>
      <c r="DW232" s="16" t="n">
        <v>0.685801</v>
      </c>
      <c r="DX232" s="16" t="n">
        <v>0.846515</v>
      </c>
      <c r="DY232" s="16" t="n"/>
      <c r="DZ232" s="16" t="n"/>
    </row>
    <row r="233">
      <c r="BS233" s="16" t="n"/>
      <c r="BT233" s="16" t="n"/>
      <c r="BU233" s="16" t="n">
        <v>0.688822</v>
      </c>
      <c r="BV233" s="16" t="n">
        <v>466.780414</v>
      </c>
      <c r="BW233" s="16" t="n"/>
      <c r="BX233" s="16" t="n"/>
      <c r="BY233" s="16" t="n"/>
      <c r="BZ233" s="16" t="n"/>
      <c r="CA233" s="16" t="n">
        <v>0.688822</v>
      </c>
      <c r="CB233" s="16" t="n">
        <v>296.396808</v>
      </c>
      <c r="CC233" s="16" t="n"/>
      <c r="CD233" s="16" t="n"/>
      <c r="CE233" s="16" t="n"/>
      <c r="CF233" s="16" t="n"/>
      <c r="CG233" s="16" t="n">
        <v>0.688822</v>
      </c>
      <c r="CH233" s="16" t="n">
        <v>3974.686254</v>
      </c>
      <c r="CI233" s="16" t="n"/>
      <c r="CJ233" s="16" t="n"/>
      <c r="CK233" s="16" t="n"/>
      <c r="CL233" s="16" t="n"/>
      <c r="CM233" s="16" t="n">
        <v>0.688822</v>
      </c>
      <c r="CN233" s="16" t="n">
        <v>1002.139182</v>
      </c>
      <c r="CO233" s="16" t="n"/>
      <c r="CP233" s="16" t="n"/>
      <c r="CQ233" s="16" t="n"/>
      <c r="CR233" s="16" t="n"/>
      <c r="CS233" s="16" t="n">
        <v>0.688822</v>
      </c>
      <c r="CT233" s="16" t="n">
        <v>0.751041</v>
      </c>
      <c r="CU233" s="16" t="n"/>
      <c r="CV233" s="16" t="n"/>
      <c r="CW233" s="16" t="n"/>
      <c r="CX233" s="16" t="n"/>
      <c r="CY233" s="16" t="n">
        <v>0.688822</v>
      </c>
      <c r="CZ233" s="16" t="n">
        <v>0.864918</v>
      </c>
      <c r="DA233" s="16" t="n"/>
      <c r="DB233" s="16" t="n"/>
      <c r="DC233" s="16" t="n"/>
      <c r="DD233" s="16" t="n"/>
      <c r="DE233" s="16" t="n">
        <v>0.688822</v>
      </c>
      <c r="DF233" s="16" t="n">
        <v>0.815698</v>
      </c>
      <c r="DG233" s="16" t="n"/>
      <c r="DH233" s="16" t="n"/>
      <c r="DI233" s="16" t="n"/>
      <c r="DJ233" s="16" t="n"/>
      <c r="DK233" s="16" t="n">
        <v>0.688822</v>
      </c>
      <c r="DL233" s="16" t="n">
        <v>0.843599</v>
      </c>
      <c r="DM233" s="16" t="n"/>
      <c r="DN233" s="16" t="n"/>
      <c r="DO233" s="16" t="n"/>
      <c r="DP233" s="16" t="n"/>
      <c r="DQ233" s="16" t="n">
        <v>0.688822</v>
      </c>
      <c r="DR233" s="16" t="n">
        <v>0.835897</v>
      </c>
      <c r="DS233" s="16" t="n"/>
      <c r="DT233" s="16" t="n"/>
      <c r="DU233" s="16" t="n"/>
      <c r="DV233" s="16" t="n"/>
      <c r="DW233" s="16" t="n">
        <v>0.688822</v>
      </c>
      <c r="DX233" s="16" t="n">
        <v>0.846742</v>
      </c>
      <c r="DY233" s="16" t="n"/>
      <c r="DZ233" s="16" t="n"/>
    </row>
    <row r="234">
      <c r="BS234" s="16" t="n"/>
      <c r="BT234" s="16" t="n"/>
      <c r="BU234" s="16" t="n">
        <v>0.691843</v>
      </c>
      <c r="BV234" s="16" t="n">
        <v>466.853444</v>
      </c>
      <c r="BW234" s="16" t="n"/>
      <c r="BX234" s="16" t="n"/>
      <c r="BY234" s="16" t="n"/>
      <c r="BZ234" s="16" t="n"/>
      <c r="CA234" s="16" t="n">
        <v>0.691843</v>
      </c>
      <c r="CB234" s="16" t="n">
        <v>296.43106</v>
      </c>
      <c r="CC234" s="16" t="n"/>
      <c r="CD234" s="16" t="n"/>
      <c r="CE234" s="16" t="n"/>
      <c r="CF234" s="16" t="n"/>
      <c r="CG234" s="16" t="n">
        <v>0.691843</v>
      </c>
      <c r="CH234" s="16" t="n">
        <v>3991.388143</v>
      </c>
      <c r="CI234" s="16" t="n"/>
      <c r="CJ234" s="16" t="n"/>
      <c r="CK234" s="16" t="n"/>
      <c r="CL234" s="16" t="n"/>
      <c r="CM234" s="16" t="n">
        <v>0.691843</v>
      </c>
      <c r="CN234" s="16" t="n">
        <v>1004.95873</v>
      </c>
      <c r="CO234" s="16" t="n"/>
      <c r="CP234" s="16" t="n"/>
      <c r="CQ234" s="16" t="n"/>
      <c r="CR234" s="16" t="n"/>
      <c r="CS234" s="16" t="n">
        <v>0.691843</v>
      </c>
      <c r="CT234" s="16" t="n">
        <v>0.752028</v>
      </c>
      <c r="CU234" s="16" t="n"/>
      <c r="CV234" s="16" t="n"/>
      <c r="CW234" s="16" t="n"/>
      <c r="CX234" s="16" t="n"/>
      <c r="CY234" s="16" t="n">
        <v>0.691843</v>
      </c>
      <c r="CZ234" s="16" t="n">
        <v>0.865107</v>
      </c>
      <c r="DA234" s="16" t="n"/>
      <c r="DB234" s="16" t="n"/>
      <c r="DC234" s="16" t="n"/>
      <c r="DD234" s="16" t="n"/>
      <c r="DE234" s="16" t="n">
        <v>0.691843</v>
      </c>
      <c r="DF234" s="16" t="n">
        <v>0.81611</v>
      </c>
      <c r="DG234" s="16" t="n"/>
      <c r="DH234" s="16" t="n"/>
      <c r="DI234" s="16" t="n"/>
      <c r="DJ234" s="16" t="n"/>
      <c r="DK234" s="16" t="n">
        <v>0.691843</v>
      </c>
      <c r="DL234" s="16" t="n">
        <v>0.843611</v>
      </c>
      <c r="DM234" s="16" t="n"/>
      <c r="DN234" s="16" t="n"/>
      <c r="DO234" s="16" t="n"/>
      <c r="DP234" s="16" t="n"/>
      <c r="DQ234" s="16" t="n">
        <v>0.691843</v>
      </c>
      <c r="DR234" s="16" t="n">
        <v>0.837313</v>
      </c>
      <c r="DS234" s="16" t="n"/>
      <c r="DT234" s="16" t="n"/>
      <c r="DU234" s="16" t="n"/>
      <c r="DV234" s="16" t="n"/>
      <c r="DW234" s="16" t="n">
        <v>0.691843</v>
      </c>
      <c r="DX234" s="16" t="n">
        <v>0.84822</v>
      </c>
      <c r="DY234" s="16" t="n"/>
      <c r="DZ234" s="16" t="n"/>
    </row>
    <row r="235">
      <c r="BS235" s="16" t="n"/>
      <c r="BT235" s="16" t="n"/>
      <c r="BU235" s="16" t="n">
        <v>0.694864</v>
      </c>
      <c r="BV235" s="16" t="n">
        <v>467.312494</v>
      </c>
      <c r="BW235" s="16" t="n"/>
      <c r="BX235" s="16" t="n"/>
      <c r="BY235" s="16" t="n"/>
      <c r="BZ235" s="16" t="n"/>
      <c r="CA235" s="16" t="n">
        <v>0.694864</v>
      </c>
      <c r="CB235" s="16" t="n">
        <v>296.522404</v>
      </c>
      <c r="CC235" s="16" t="n"/>
      <c r="CD235" s="16" t="n"/>
      <c r="CE235" s="16" t="n"/>
      <c r="CF235" s="16" t="n"/>
      <c r="CG235" s="16" t="n">
        <v>0.694864</v>
      </c>
      <c r="CH235" s="16" t="n">
        <v>3997.395935</v>
      </c>
      <c r="CI235" s="16" t="n"/>
      <c r="CJ235" s="16" t="n"/>
      <c r="CK235" s="16" t="n"/>
      <c r="CL235" s="16" t="n"/>
      <c r="CM235" s="16" t="n">
        <v>0.694864</v>
      </c>
      <c r="CN235" s="16" t="n">
        <v>1008.827607</v>
      </c>
      <c r="CO235" s="16" t="n"/>
      <c r="CP235" s="16" t="n"/>
      <c r="CQ235" s="16" t="n"/>
      <c r="CR235" s="16" t="n"/>
      <c r="CS235" s="16" t="n">
        <v>0.694864</v>
      </c>
      <c r="CT235" s="16" t="n">
        <v>0.753271</v>
      </c>
      <c r="CU235" s="16" t="n"/>
      <c r="CV235" s="16" t="n"/>
      <c r="CW235" s="16" t="n"/>
      <c r="CX235" s="16" t="n"/>
      <c r="CY235" s="16" t="n">
        <v>0.694864</v>
      </c>
      <c r="CZ235" s="16" t="n">
        <v>0.865379</v>
      </c>
      <c r="DA235" s="16" t="n"/>
      <c r="DB235" s="16" t="n"/>
      <c r="DC235" s="16" t="n"/>
      <c r="DD235" s="16" t="n"/>
      <c r="DE235" s="16" t="n">
        <v>0.694864</v>
      </c>
      <c r="DF235" s="16" t="n">
        <v>0.816953</v>
      </c>
      <c r="DG235" s="16" t="n"/>
      <c r="DH235" s="16" t="n"/>
      <c r="DI235" s="16" t="n"/>
      <c r="DJ235" s="16" t="n"/>
      <c r="DK235" s="16" t="n">
        <v>0.694864</v>
      </c>
      <c r="DL235" s="16" t="n">
        <v>0.845585</v>
      </c>
      <c r="DM235" s="16" t="n"/>
      <c r="DN235" s="16" t="n"/>
      <c r="DO235" s="16" t="n"/>
      <c r="DP235" s="16" t="n"/>
      <c r="DQ235" s="16" t="n">
        <v>0.694864</v>
      </c>
      <c r="DR235" s="16" t="n">
        <v>0.837699</v>
      </c>
      <c r="DS235" s="16" t="n"/>
      <c r="DT235" s="16" t="n"/>
      <c r="DU235" s="16" t="n"/>
      <c r="DV235" s="16" t="n"/>
      <c r="DW235" s="16" t="n">
        <v>0.694864</v>
      </c>
      <c r="DX235" s="16" t="n">
        <v>0.848469</v>
      </c>
      <c r="DY235" s="16" t="n"/>
      <c r="DZ235" s="16" t="n"/>
    </row>
    <row r="236">
      <c r="BS236" s="16" t="n"/>
      <c r="BT236" s="16" t="n"/>
      <c r="BU236" s="16" t="n">
        <v>0.697885</v>
      </c>
      <c r="BV236" s="16" t="n">
        <v>467.597259</v>
      </c>
      <c r="BW236" s="16" t="n"/>
      <c r="BX236" s="16" t="n"/>
      <c r="BY236" s="16" t="n"/>
      <c r="BZ236" s="16" t="n"/>
      <c r="CA236" s="16" t="n">
        <v>0.697885</v>
      </c>
      <c r="CB236" s="16" t="n">
        <v>296.591021</v>
      </c>
      <c r="CC236" s="16" t="n"/>
      <c r="CD236" s="16" t="n"/>
      <c r="CE236" s="16" t="n"/>
      <c r="CF236" s="16" t="n"/>
      <c r="CG236" s="16" t="n">
        <v>0.697885</v>
      </c>
      <c r="CH236" s="16" t="n">
        <v>4005.01308</v>
      </c>
      <c r="CI236" s="16" t="n"/>
      <c r="CJ236" s="16" t="n"/>
      <c r="CK236" s="16" t="n"/>
      <c r="CL236" s="16" t="n"/>
      <c r="CM236" s="16" t="n">
        <v>0.697885</v>
      </c>
      <c r="CN236" s="16" t="n">
        <v>1013.429227</v>
      </c>
      <c r="CO236" s="16" t="n"/>
      <c r="CP236" s="16" t="n"/>
      <c r="CQ236" s="16" t="n"/>
      <c r="CR236" s="16" t="n"/>
      <c r="CS236" s="16" t="n">
        <v>0.697885</v>
      </c>
      <c r="CT236" s="16" t="n">
        <v>0.755055</v>
      </c>
      <c r="CU236" s="16" t="n"/>
      <c r="CV236" s="16" t="n"/>
      <c r="CW236" s="16" t="n"/>
      <c r="CX236" s="16" t="n"/>
      <c r="CY236" s="16" t="n">
        <v>0.697885</v>
      </c>
      <c r="CZ236" s="16" t="n">
        <v>0.865945</v>
      </c>
      <c r="DA236" s="16" t="n"/>
      <c r="DB236" s="16" t="n"/>
      <c r="DC236" s="16" t="n"/>
      <c r="DD236" s="16" t="n"/>
      <c r="DE236" s="16" t="n">
        <v>0.697885</v>
      </c>
      <c r="DF236" s="16" t="n">
        <v>0.817174</v>
      </c>
      <c r="DG236" s="16" t="n"/>
      <c r="DH236" s="16" t="n"/>
      <c r="DI236" s="16" t="n"/>
      <c r="DJ236" s="16" t="n"/>
      <c r="DK236" s="16" t="n">
        <v>0.697885</v>
      </c>
      <c r="DL236" s="16" t="n">
        <v>0.846637</v>
      </c>
      <c r="DM236" s="16" t="n"/>
      <c r="DN236" s="16" t="n"/>
      <c r="DO236" s="16" t="n"/>
      <c r="DP236" s="16" t="n"/>
      <c r="DQ236" s="16" t="n">
        <v>0.697885</v>
      </c>
      <c r="DR236" s="16" t="n">
        <v>0.838145</v>
      </c>
      <c r="DS236" s="16" t="n"/>
      <c r="DT236" s="16" t="n"/>
      <c r="DU236" s="16" t="n"/>
      <c r="DV236" s="16" t="n"/>
      <c r="DW236" s="16" t="n">
        <v>0.697885</v>
      </c>
      <c r="DX236" s="16" t="n">
        <v>0.848699</v>
      </c>
      <c r="DY236" s="16" t="n"/>
      <c r="DZ236" s="16" t="n"/>
    </row>
    <row r="237">
      <c r="BS237" s="16" t="n"/>
      <c r="BT237" s="16" t="n"/>
      <c r="BU237" s="16" t="n">
        <v>0.700906</v>
      </c>
      <c r="BV237" s="16" t="n">
        <v>468.042885</v>
      </c>
      <c r="BW237" s="16" t="n"/>
      <c r="BX237" s="16" t="n"/>
      <c r="BY237" s="16" t="n"/>
      <c r="BZ237" s="16" t="n"/>
      <c r="CA237" s="16" t="n">
        <v>0.700906</v>
      </c>
      <c r="CB237" s="16" t="n">
        <v>296.641585</v>
      </c>
      <c r="CC237" s="16" t="n"/>
      <c r="CD237" s="16" t="n"/>
      <c r="CE237" s="16" t="n"/>
      <c r="CF237" s="16" t="n"/>
      <c r="CG237" s="16" t="n">
        <v>0.700906</v>
      </c>
      <c r="CH237" s="16" t="n">
        <v>4005.086735</v>
      </c>
      <c r="CI237" s="16" t="n"/>
      <c r="CJ237" s="16" t="n"/>
      <c r="CK237" s="16" t="n"/>
      <c r="CL237" s="16" t="n"/>
      <c r="CM237" s="16" t="n">
        <v>0.700906</v>
      </c>
      <c r="CN237" s="16" t="n">
        <v>1013.865095</v>
      </c>
      <c r="CO237" s="16" t="n"/>
      <c r="CP237" s="16" t="n"/>
      <c r="CQ237" s="16" t="n"/>
      <c r="CR237" s="16" t="n"/>
      <c r="CS237" s="16" t="n">
        <v>0.700906</v>
      </c>
      <c r="CT237" s="16" t="n">
        <v>0.7555269999999999</v>
      </c>
      <c r="CU237" s="16" t="n"/>
      <c r="CV237" s="16" t="n"/>
      <c r="CW237" s="16" t="n"/>
      <c r="CX237" s="16" t="n"/>
      <c r="CY237" s="16" t="n">
        <v>0.700906</v>
      </c>
      <c r="CZ237" s="16" t="n">
        <v>0.867265</v>
      </c>
      <c r="DA237" s="16" t="n"/>
      <c r="DB237" s="16" t="n"/>
      <c r="DC237" s="16" t="n"/>
      <c r="DD237" s="16" t="n"/>
      <c r="DE237" s="16" t="n">
        <v>0.700906</v>
      </c>
      <c r="DF237" s="16" t="n">
        <v>0.81859</v>
      </c>
      <c r="DG237" s="16" t="n"/>
      <c r="DH237" s="16" t="n"/>
      <c r="DI237" s="16" t="n"/>
      <c r="DJ237" s="16" t="n"/>
      <c r="DK237" s="16" t="n">
        <v>0.700906</v>
      </c>
      <c r="DL237" s="16" t="n">
        <v>0.846778</v>
      </c>
      <c r="DM237" s="16" t="n"/>
      <c r="DN237" s="16" t="n"/>
      <c r="DO237" s="16" t="n"/>
      <c r="DP237" s="16" t="n"/>
      <c r="DQ237" s="16" t="n">
        <v>0.700906</v>
      </c>
      <c r="DR237" s="16" t="n">
        <v>0.839908</v>
      </c>
      <c r="DS237" s="16" t="n"/>
      <c r="DT237" s="16" t="n"/>
      <c r="DU237" s="16" t="n"/>
      <c r="DV237" s="16" t="n"/>
      <c r="DW237" s="16" t="n">
        <v>0.700906</v>
      </c>
      <c r="DX237" s="16" t="n">
        <v>0.8499910000000001</v>
      </c>
      <c r="DY237" s="16" t="n"/>
      <c r="DZ237" s="16" t="n"/>
    </row>
    <row r="238">
      <c r="BS238" s="16" t="n"/>
      <c r="BT238" s="16" t="n"/>
      <c r="BU238" s="16" t="n">
        <v>0.703927</v>
      </c>
      <c r="BV238" s="16" t="n">
        <v>468.315279</v>
      </c>
      <c r="BW238" s="16" t="n"/>
      <c r="BX238" s="16" t="n"/>
      <c r="BY238" s="16" t="n"/>
      <c r="BZ238" s="16" t="n"/>
      <c r="CA238" s="16" t="n">
        <v>0.703927</v>
      </c>
      <c r="CB238" s="16" t="n">
        <v>296.725699</v>
      </c>
      <c r="CC238" s="16" t="n"/>
      <c r="CD238" s="16" t="n"/>
      <c r="CE238" s="16" t="n"/>
      <c r="CF238" s="16" t="n"/>
      <c r="CG238" s="16" t="n">
        <v>0.703927</v>
      </c>
      <c r="CH238" s="16" t="n">
        <v>4011.194893</v>
      </c>
      <c r="CI238" s="16" t="n"/>
      <c r="CJ238" s="16" t="n"/>
      <c r="CK238" s="16" t="n"/>
      <c r="CL238" s="16" t="n"/>
      <c r="CM238" s="16" t="n">
        <v>0.703927</v>
      </c>
      <c r="CN238" s="16" t="n">
        <v>1015.992447</v>
      </c>
      <c r="CO238" s="16" t="n"/>
      <c r="CP238" s="16" t="n"/>
      <c r="CQ238" s="16" t="n"/>
      <c r="CR238" s="16" t="n"/>
      <c r="CS238" s="16" t="n">
        <v>0.703927</v>
      </c>
      <c r="CT238" s="16" t="n">
        <v>0.7570519999999999</v>
      </c>
      <c r="CU238" s="16" t="n"/>
      <c r="CV238" s="16" t="n"/>
      <c r="CW238" s="16" t="n"/>
      <c r="CX238" s="16" t="n"/>
      <c r="CY238" s="16" t="n">
        <v>0.703927</v>
      </c>
      <c r="CZ238" s="16" t="n">
        <v>0.867434</v>
      </c>
      <c r="DA238" s="16" t="n"/>
      <c r="DB238" s="16" t="n"/>
      <c r="DC238" s="16" t="n"/>
      <c r="DD238" s="16" t="n"/>
      <c r="DE238" s="16" t="n">
        <v>0.703927</v>
      </c>
      <c r="DF238" s="16" t="n">
        <v>0.818731</v>
      </c>
      <c r="DG238" s="16" t="n"/>
      <c r="DH238" s="16" t="n"/>
      <c r="DI238" s="16" t="n"/>
      <c r="DJ238" s="16" t="n"/>
      <c r="DK238" s="16" t="n">
        <v>0.703927</v>
      </c>
      <c r="DL238" s="16" t="n">
        <v>0.847992</v>
      </c>
      <c r="DM238" s="16" t="n"/>
      <c r="DN238" s="16" t="n"/>
      <c r="DO238" s="16" t="n"/>
      <c r="DP238" s="16" t="n"/>
      <c r="DQ238" s="16" t="n">
        <v>0.703927</v>
      </c>
      <c r="DR238" s="16" t="n">
        <v>0.840549</v>
      </c>
      <c r="DS238" s="16" t="n"/>
      <c r="DT238" s="16" t="n"/>
      <c r="DU238" s="16" t="n"/>
      <c r="DV238" s="16" t="n"/>
      <c r="DW238" s="16" t="n">
        <v>0.703927</v>
      </c>
      <c r="DX238" s="16" t="n">
        <v>0.850456</v>
      </c>
      <c r="DY238" s="16" t="n"/>
      <c r="DZ238" s="16" t="n"/>
    </row>
    <row r="239">
      <c r="BS239" s="16" t="n"/>
      <c r="BT239" s="16" t="n"/>
      <c r="BU239" s="16" t="n">
        <v>0.706949</v>
      </c>
      <c r="BV239" s="16" t="n">
        <v>468.468738</v>
      </c>
      <c r="BW239" s="16" t="n"/>
      <c r="BX239" s="16" t="n"/>
      <c r="BY239" s="16" t="n"/>
      <c r="BZ239" s="16" t="n"/>
      <c r="CA239" s="16" t="n">
        <v>0.706949</v>
      </c>
      <c r="CB239" s="16" t="n">
        <v>296.766443</v>
      </c>
      <c r="CC239" s="16" t="n"/>
      <c r="CD239" s="16" t="n"/>
      <c r="CE239" s="16" t="n"/>
      <c r="CF239" s="16" t="n"/>
      <c r="CG239" s="16" t="n">
        <v>0.706949</v>
      </c>
      <c r="CH239" s="16" t="n">
        <v>4020.057056</v>
      </c>
      <c r="CI239" s="16" t="n"/>
      <c r="CJ239" s="16" t="n"/>
      <c r="CK239" s="16" t="n"/>
      <c r="CL239" s="16" t="n"/>
      <c r="CM239" s="16" t="n">
        <v>0.706949</v>
      </c>
      <c r="CN239" s="16" t="n">
        <v>1021.922961</v>
      </c>
      <c r="CO239" s="16" t="n"/>
      <c r="CP239" s="16" t="n"/>
      <c r="CQ239" s="16" t="n"/>
      <c r="CR239" s="16" t="n"/>
      <c r="CS239" s="16" t="n">
        <v>0.706949</v>
      </c>
      <c r="CT239" s="16" t="n">
        <v>0.757382</v>
      </c>
      <c r="CU239" s="16" t="n"/>
      <c r="CV239" s="16" t="n"/>
      <c r="CW239" s="16" t="n"/>
      <c r="CX239" s="16" t="n"/>
      <c r="CY239" s="16" t="n">
        <v>0.706949</v>
      </c>
      <c r="CZ239" s="16" t="n">
        <v>0.867843</v>
      </c>
      <c r="DA239" s="16" t="n"/>
      <c r="DB239" s="16" t="n"/>
      <c r="DC239" s="16" t="n"/>
      <c r="DD239" s="16" t="n"/>
      <c r="DE239" s="16" t="n">
        <v>0.706949</v>
      </c>
      <c r="DF239" s="16" t="n">
        <v>0.820356</v>
      </c>
      <c r="DG239" s="16" t="n"/>
      <c r="DH239" s="16" t="n"/>
      <c r="DI239" s="16" t="n"/>
      <c r="DJ239" s="16" t="n"/>
      <c r="DK239" s="16" t="n">
        <v>0.706949</v>
      </c>
      <c r="DL239" s="16" t="n">
        <v>0.850015</v>
      </c>
      <c r="DM239" s="16" t="n"/>
      <c r="DN239" s="16" t="n"/>
      <c r="DO239" s="16" t="n"/>
      <c r="DP239" s="16" t="n"/>
      <c r="DQ239" s="16" t="n">
        <v>0.706949</v>
      </c>
      <c r="DR239" s="16" t="n">
        <v>0.842178</v>
      </c>
      <c r="DS239" s="16" t="n"/>
      <c r="DT239" s="16" t="n"/>
      <c r="DU239" s="16" t="n"/>
      <c r="DV239" s="16" t="n"/>
      <c r="DW239" s="16" t="n">
        <v>0.706949</v>
      </c>
      <c r="DX239" s="16" t="n">
        <v>0.850738</v>
      </c>
      <c r="DY239" s="16" t="n"/>
      <c r="DZ239" s="16" t="n"/>
    </row>
    <row r="240">
      <c r="BS240" s="16" t="n"/>
      <c r="BT240" s="16" t="n"/>
      <c r="BU240" s="16" t="n">
        <v>0.70997</v>
      </c>
      <c r="BV240" s="16" t="n">
        <v>469.281366</v>
      </c>
      <c r="BW240" s="16" t="n"/>
      <c r="BX240" s="16" t="n"/>
      <c r="BY240" s="16" t="n"/>
      <c r="BZ240" s="16" t="n"/>
      <c r="CA240" s="16" t="n">
        <v>0.70997</v>
      </c>
      <c r="CB240" s="16" t="n">
        <v>296.844421</v>
      </c>
      <c r="CC240" s="16" t="n"/>
      <c r="CD240" s="16" t="n"/>
      <c r="CE240" s="16" t="n"/>
      <c r="CF240" s="16" t="n"/>
      <c r="CG240" s="16" t="n">
        <v>0.70997</v>
      </c>
      <c r="CH240" s="16" t="n">
        <v>4034.50992</v>
      </c>
      <c r="CI240" s="16" t="n"/>
      <c r="CJ240" s="16" t="n"/>
      <c r="CK240" s="16" t="n"/>
      <c r="CL240" s="16" t="n"/>
      <c r="CM240" s="16" t="n">
        <v>0.70997</v>
      </c>
      <c r="CN240" s="16" t="n">
        <v>1023.255776</v>
      </c>
      <c r="CO240" s="16" t="n"/>
      <c r="CP240" s="16" t="n"/>
      <c r="CQ240" s="16" t="n"/>
      <c r="CR240" s="16" t="n"/>
      <c r="CS240" s="16" t="n">
        <v>0.70997</v>
      </c>
      <c r="CT240" s="16" t="n">
        <v>0.757757</v>
      </c>
      <c r="CU240" s="16" t="n"/>
      <c r="CV240" s="16" t="n"/>
      <c r="CW240" s="16" t="n"/>
      <c r="CX240" s="16" t="n"/>
      <c r="CY240" s="16" t="n">
        <v>0.70997</v>
      </c>
      <c r="CZ240" s="16" t="n">
        <v>0.86799</v>
      </c>
      <c r="DA240" s="16" t="n"/>
      <c r="DB240" s="16" t="n"/>
      <c r="DC240" s="16" t="n"/>
      <c r="DD240" s="16" t="n"/>
      <c r="DE240" s="16" t="n">
        <v>0.70997</v>
      </c>
      <c r="DF240" s="16" t="n">
        <v>0.8210499999999999</v>
      </c>
      <c r="DG240" s="16" t="n"/>
      <c r="DH240" s="16" t="n"/>
      <c r="DI240" s="16" t="n"/>
      <c r="DJ240" s="16" t="n"/>
      <c r="DK240" s="16" t="n">
        <v>0.70997</v>
      </c>
      <c r="DL240" s="16" t="n">
        <v>0.8507980000000001</v>
      </c>
      <c r="DM240" s="16" t="n"/>
      <c r="DN240" s="16" t="n"/>
      <c r="DO240" s="16" t="n"/>
      <c r="DP240" s="16" t="n"/>
      <c r="DQ240" s="16" t="n">
        <v>0.70997</v>
      </c>
      <c r="DR240" s="16" t="n">
        <v>0.84245</v>
      </c>
      <c r="DS240" s="16" t="n"/>
      <c r="DT240" s="16" t="n"/>
      <c r="DU240" s="16" t="n"/>
      <c r="DV240" s="16" t="n"/>
      <c r="DW240" s="16" t="n">
        <v>0.70997</v>
      </c>
      <c r="DX240" s="16" t="n">
        <v>0.85237</v>
      </c>
      <c r="DY240" s="16" t="n"/>
      <c r="DZ240" s="16" t="n"/>
    </row>
    <row r="241">
      <c r="BS241" s="16" t="n"/>
      <c r="BT241" s="16" t="n"/>
      <c r="BU241" s="16" t="n">
        <v>0.712991</v>
      </c>
      <c r="BV241" s="16" t="n">
        <v>469.366876</v>
      </c>
      <c r="BW241" s="16" t="n"/>
      <c r="BX241" s="16" t="n"/>
      <c r="BY241" s="16" t="n"/>
      <c r="BZ241" s="16" t="n"/>
      <c r="CA241" s="16" t="n">
        <v>0.712991</v>
      </c>
      <c r="CB241" s="16" t="n">
        <v>296.930851</v>
      </c>
      <c r="CC241" s="16" t="n"/>
      <c r="CD241" s="16" t="n"/>
      <c r="CE241" s="16" t="n"/>
      <c r="CF241" s="16" t="n"/>
      <c r="CG241" s="16" t="n">
        <v>0.712991</v>
      </c>
      <c r="CH241" s="16" t="n">
        <v>4043.992286</v>
      </c>
      <c r="CI241" s="16" t="n"/>
      <c r="CJ241" s="16" t="n"/>
      <c r="CK241" s="16" t="n"/>
      <c r="CL241" s="16" t="n"/>
      <c r="CM241" s="16" t="n">
        <v>0.712991</v>
      </c>
      <c r="CN241" s="16" t="n">
        <v>1027.942471</v>
      </c>
      <c r="CO241" s="16" t="n"/>
      <c r="CP241" s="16" t="n"/>
      <c r="CQ241" s="16" t="n"/>
      <c r="CR241" s="16" t="n"/>
      <c r="CS241" s="16" t="n">
        <v>0.712991</v>
      </c>
      <c r="CT241" s="16" t="n">
        <v>0.759108</v>
      </c>
      <c r="CU241" s="16" t="n"/>
      <c r="CV241" s="16" t="n"/>
      <c r="CW241" s="16" t="n"/>
      <c r="CX241" s="16" t="n"/>
      <c r="CY241" s="16" t="n">
        <v>0.712991</v>
      </c>
      <c r="CZ241" s="16" t="n">
        <v>0.868727</v>
      </c>
      <c r="DA241" s="16" t="n"/>
      <c r="DB241" s="16" t="n"/>
      <c r="DC241" s="16" t="n"/>
      <c r="DD241" s="16" t="n"/>
      <c r="DE241" s="16" t="n">
        <v>0.712991</v>
      </c>
      <c r="DF241" s="16" t="n">
        <v>0.822407</v>
      </c>
      <c r="DG241" s="16" t="n"/>
      <c r="DH241" s="16" t="n"/>
      <c r="DI241" s="16" t="n"/>
      <c r="DJ241" s="16" t="n"/>
      <c r="DK241" s="16" t="n">
        <v>0.712991</v>
      </c>
      <c r="DL241" s="16" t="n">
        <v>0.85212</v>
      </c>
      <c r="DM241" s="16" t="n"/>
      <c r="DN241" s="16" t="n"/>
      <c r="DO241" s="16" t="n"/>
      <c r="DP241" s="16" t="n"/>
      <c r="DQ241" s="16" t="n">
        <v>0.712991</v>
      </c>
      <c r="DR241" s="16" t="n">
        <v>0.842851</v>
      </c>
      <c r="DS241" s="16" t="n"/>
      <c r="DT241" s="16" t="n"/>
      <c r="DU241" s="16" t="n"/>
      <c r="DV241" s="16" t="n"/>
      <c r="DW241" s="16" t="n">
        <v>0.712991</v>
      </c>
      <c r="DX241" s="16" t="n">
        <v>0.8528</v>
      </c>
      <c r="DY241" s="16" t="n"/>
      <c r="DZ241" s="16" t="n"/>
    </row>
    <row r="242">
      <c r="BS242" s="16" t="n"/>
      <c r="BT242" s="16" t="n"/>
      <c r="BU242" s="16" t="n">
        <v>0.716012</v>
      </c>
      <c r="BV242" s="16" t="n">
        <v>469.999978</v>
      </c>
      <c r="BW242" s="16" t="n"/>
      <c r="BX242" s="16" t="n"/>
      <c r="BY242" s="16" t="n"/>
      <c r="BZ242" s="16" t="n"/>
      <c r="CA242" s="16" t="n">
        <v>0.716012</v>
      </c>
      <c r="CB242" s="16" t="n">
        <v>296.96174</v>
      </c>
      <c r="CC242" s="16" t="n"/>
      <c r="CD242" s="16" t="n"/>
      <c r="CE242" s="16" t="n"/>
      <c r="CF242" s="16" t="n"/>
      <c r="CG242" s="16" t="n">
        <v>0.716012</v>
      </c>
      <c r="CH242" s="16" t="n">
        <v>4049.14282</v>
      </c>
      <c r="CI242" s="16" t="n"/>
      <c r="CJ242" s="16" t="n"/>
      <c r="CK242" s="16" t="n"/>
      <c r="CL242" s="16" t="n"/>
      <c r="CM242" s="16" t="n">
        <v>0.716012</v>
      </c>
      <c r="CN242" s="16" t="n">
        <v>1038.342815</v>
      </c>
      <c r="CO242" s="16" t="n"/>
      <c r="CP242" s="16" t="n"/>
      <c r="CQ242" s="16" t="n"/>
      <c r="CR242" s="16" t="n"/>
      <c r="CS242" s="16" t="n">
        <v>0.716012</v>
      </c>
      <c r="CT242" s="16" t="n">
        <v>0.760605</v>
      </c>
      <c r="CU242" s="16" t="n"/>
      <c r="CV242" s="16" t="n"/>
      <c r="CW242" s="16" t="n"/>
      <c r="CX242" s="16" t="n"/>
      <c r="CY242" s="16" t="n">
        <v>0.716012</v>
      </c>
      <c r="CZ242" s="16" t="n">
        <v>0.868881</v>
      </c>
      <c r="DA242" s="16" t="n"/>
      <c r="DB242" s="16" t="n"/>
      <c r="DC242" s="16" t="n"/>
      <c r="DD242" s="16" t="n"/>
      <c r="DE242" s="16" t="n">
        <v>0.716012</v>
      </c>
      <c r="DF242" s="16" t="n">
        <v>0.82243</v>
      </c>
      <c r="DG242" s="16" t="n"/>
      <c r="DH242" s="16" t="n"/>
      <c r="DI242" s="16" t="n"/>
      <c r="DJ242" s="16" t="n"/>
      <c r="DK242" s="16" t="n">
        <v>0.716012</v>
      </c>
      <c r="DL242" s="16" t="n">
        <v>0.853824</v>
      </c>
      <c r="DM242" s="16" t="n"/>
      <c r="DN242" s="16" t="n"/>
      <c r="DO242" s="16" t="n"/>
      <c r="DP242" s="16" t="n"/>
      <c r="DQ242" s="16" t="n">
        <v>0.716012</v>
      </c>
      <c r="DR242" s="16" t="n">
        <v>0.844105</v>
      </c>
      <c r="DS242" s="16" t="n"/>
      <c r="DT242" s="16" t="n"/>
      <c r="DU242" s="16" t="n"/>
      <c r="DV242" s="16" t="n"/>
      <c r="DW242" s="16" t="n">
        <v>0.716012</v>
      </c>
      <c r="DX242" s="16" t="n">
        <v>0.853429</v>
      </c>
      <c r="DY242" s="16" t="n"/>
      <c r="DZ242" s="16" t="n"/>
    </row>
    <row r="243">
      <c r="BS243" s="16" t="n"/>
      <c r="BT243" s="16" t="n"/>
      <c r="BU243" s="16" t="n">
        <v>0.719033</v>
      </c>
      <c r="BV243" s="16" t="n">
        <v>470.16064</v>
      </c>
      <c r="BW243" s="16" t="n"/>
      <c r="BX243" s="16" t="n"/>
      <c r="BY243" s="16" t="n"/>
      <c r="BZ243" s="16" t="n"/>
      <c r="CA243" s="16" t="n">
        <v>0.719033</v>
      </c>
      <c r="CB243" s="16" t="n">
        <v>297.008542</v>
      </c>
      <c r="CC243" s="16" t="n"/>
      <c r="CD243" s="16" t="n"/>
      <c r="CE243" s="16" t="n"/>
      <c r="CF243" s="16" t="n"/>
      <c r="CG243" s="16" t="n">
        <v>0.719033</v>
      </c>
      <c r="CH243" s="16" t="n">
        <v>4057.000961</v>
      </c>
      <c r="CI243" s="16" t="n"/>
      <c r="CJ243" s="16" t="n"/>
      <c r="CK243" s="16" t="n"/>
      <c r="CL243" s="16" t="n"/>
      <c r="CM243" s="16" t="n">
        <v>0.719033</v>
      </c>
      <c r="CN243" s="16" t="n">
        <v>1042.197857</v>
      </c>
      <c r="CO243" s="16" t="n"/>
      <c r="CP243" s="16" t="n"/>
      <c r="CQ243" s="16" t="n"/>
      <c r="CR243" s="16" t="n"/>
      <c r="CS243" s="16" t="n">
        <v>0.719033</v>
      </c>
      <c r="CT243" s="16" t="n">
        <v>0.761069</v>
      </c>
      <c r="CU243" s="16" t="n"/>
      <c r="CV243" s="16" t="n"/>
      <c r="CW243" s="16" t="n"/>
      <c r="CX243" s="16" t="n"/>
      <c r="CY243" s="16" t="n">
        <v>0.719033</v>
      </c>
      <c r="CZ243" s="16" t="n">
        <v>0.869552</v>
      </c>
      <c r="DA243" s="16" t="n"/>
      <c r="DB243" s="16" t="n"/>
      <c r="DC243" s="16" t="n"/>
      <c r="DD243" s="16" t="n"/>
      <c r="DE243" s="16" t="n">
        <v>0.719033</v>
      </c>
      <c r="DF243" s="16" t="n">
        <v>0.823087</v>
      </c>
      <c r="DG243" s="16" t="n"/>
      <c r="DH243" s="16" t="n"/>
      <c r="DI243" s="16" t="n"/>
      <c r="DJ243" s="16" t="n"/>
      <c r="DK243" s="16" t="n">
        <v>0.719033</v>
      </c>
      <c r="DL243" s="16" t="n">
        <v>0.854646</v>
      </c>
      <c r="DM243" s="16" t="n"/>
      <c r="DN243" s="16" t="n"/>
      <c r="DO243" s="16" t="n"/>
      <c r="DP243" s="16" t="n"/>
      <c r="DQ243" s="16" t="n">
        <v>0.719033</v>
      </c>
      <c r="DR243" s="16" t="n">
        <v>0.845065</v>
      </c>
      <c r="DS243" s="16" t="n"/>
      <c r="DT243" s="16" t="n"/>
      <c r="DU243" s="16" t="n"/>
      <c r="DV243" s="16" t="n"/>
      <c r="DW243" s="16" t="n">
        <v>0.719033</v>
      </c>
      <c r="DX243" s="16" t="n">
        <v>0.854185</v>
      </c>
      <c r="DY243" s="16" t="n"/>
      <c r="DZ243" s="16" t="n"/>
    </row>
    <row r="244">
      <c r="BS244" s="16" t="n"/>
      <c r="BT244" s="16" t="n"/>
      <c r="BU244" s="16" t="n">
        <v>0.722054</v>
      </c>
      <c r="BV244" s="16" t="n">
        <v>470.69456</v>
      </c>
      <c r="BW244" s="16" t="n"/>
      <c r="BX244" s="16" t="n"/>
      <c r="BY244" s="16" t="n"/>
      <c r="BZ244" s="16" t="n"/>
      <c r="CA244" s="16" t="n">
        <v>0.722054</v>
      </c>
      <c r="CB244" s="16" t="n">
        <v>297.111325</v>
      </c>
      <c r="CC244" s="16" t="n"/>
      <c r="CD244" s="16" t="n"/>
      <c r="CE244" s="16" t="n"/>
      <c r="CF244" s="16" t="n"/>
      <c r="CG244" s="16" t="n">
        <v>0.722054</v>
      </c>
      <c r="CH244" s="16" t="n">
        <v>4057.762869</v>
      </c>
      <c r="CI244" s="16" t="n"/>
      <c r="CJ244" s="16" t="n"/>
      <c r="CK244" s="16" t="n"/>
      <c r="CL244" s="16" t="n"/>
      <c r="CM244" s="16" t="n">
        <v>0.722054</v>
      </c>
      <c r="CN244" s="16" t="n">
        <v>1049.264038</v>
      </c>
      <c r="CO244" s="16" t="n"/>
      <c r="CP244" s="16" t="n"/>
      <c r="CQ244" s="16" t="n"/>
      <c r="CR244" s="16" t="n"/>
      <c r="CS244" s="16" t="n">
        <v>0.722054</v>
      </c>
      <c r="CT244" s="16" t="n">
        <v>0.762164</v>
      </c>
      <c r="CU244" s="16" t="n"/>
      <c r="CV244" s="16" t="n"/>
      <c r="CW244" s="16" t="n"/>
      <c r="CX244" s="16" t="n"/>
      <c r="CY244" s="16" t="n">
        <v>0.722054</v>
      </c>
      <c r="CZ244" s="16" t="n">
        <v>0.869926</v>
      </c>
      <c r="DA244" s="16" t="n"/>
      <c r="DB244" s="16" t="n"/>
      <c r="DC244" s="16" t="n"/>
      <c r="DD244" s="16" t="n"/>
      <c r="DE244" s="16" t="n">
        <v>0.722054</v>
      </c>
      <c r="DF244" s="16" t="n">
        <v>0.8276210000000001</v>
      </c>
      <c r="DG244" s="16" t="n"/>
      <c r="DH244" s="16" t="n"/>
      <c r="DI244" s="16" t="n"/>
      <c r="DJ244" s="16" t="n"/>
      <c r="DK244" s="16" t="n">
        <v>0.722054</v>
      </c>
      <c r="DL244" s="16" t="n">
        <v>0.855792</v>
      </c>
      <c r="DM244" s="16" t="n"/>
      <c r="DN244" s="16" t="n"/>
      <c r="DO244" s="16" t="n"/>
      <c r="DP244" s="16" t="n"/>
      <c r="DQ244" s="16" t="n">
        <v>0.722054</v>
      </c>
      <c r="DR244" s="16" t="n">
        <v>0.8455</v>
      </c>
      <c r="DS244" s="16" t="n"/>
      <c r="DT244" s="16" t="n"/>
      <c r="DU244" s="16" t="n"/>
      <c r="DV244" s="16" t="n"/>
      <c r="DW244" s="16" t="n">
        <v>0.722054</v>
      </c>
      <c r="DX244" s="16" t="n">
        <v>0.854874</v>
      </c>
      <c r="DY244" s="16" t="n"/>
      <c r="DZ244" s="16" t="n"/>
    </row>
    <row r="245">
      <c r="BS245" s="16" t="n"/>
      <c r="BT245" s="16" t="n"/>
      <c r="BU245" s="16" t="n">
        <v>0.7250760000000001</v>
      </c>
      <c r="BV245" s="16" t="n">
        <v>471.00808</v>
      </c>
      <c r="BW245" s="16" t="n"/>
      <c r="BX245" s="16" t="n"/>
      <c r="BY245" s="16" t="n"/>
      <c r="BZ245" s="16" t="n"/>
      <c r="CA245" s="16" t="n">
        <v>0.7250760000000001</v>
      </c>
      <c r="CB245" s="16" t="n">
        <v>297.162299</v>
      </c>
      <c r="CC245" s="16" t="n"/>
      <c r="CD245" s="16" t="n"/>
      <c r="CE245" s="16" t="n"/>
      <c r="CF245" s="16" t="n"/>
      <c r="CG245" s="16" t="n">
        <v>0.7250760000000001</v>
      </c>
      <c r="CH245" s="16" t="n">
        <v>4065.738706</v>
      </c>
      <c r="CI245" s="16" t="n"/>
      <c r="CJ245" s="16" t="n"/>
      <c r="CK245" s="16" t="n"/>
      <c r="CL245" s="16" t="n"/>
      <c r="CM245" s="16" t="n">
        <v>0.7250760000000001</v>
      </c>
      <c r="CN245" s="16" t="n">
        <v>1054.642461</v>
      </c>
      <c r="CO245" s="16" t="n"/>
      <c r="CP245" s="16" t="n"/>
      <c r="CQ245" s="16" t="n"/>
      <c r="CR245" s="16" t="n"/>
      <c r="CS245" s="16" t="n">
        <v>0.7250760000000001</v>
      </c>
      <c r="CT245" s="16" t="n">
        <v>0.762886</v>
      </c>
      <c r="CU245" s="16" t="n"/>
      <c r="CV245" s="16" t="n"/>
      <c r="CW245" s="16" t="n"/>
      <c r="CX245" s="16" t="n"/>
      <c r="CY245" s="16" t="n">
        <v>0.7250760000000001</v>
      </c>
      <c r="CZ245" s="16" t="n">
        <v>0.869933</v>
      </c>
      <c r="DA245" s="16" t="n"/>
      <c r="DB245" s="16" t="n"/>
      <c r="DC245" s="16" t="n"/>
      <c r="DD245" s="16" t="n"/>
      <c r="DE245" s="16" t="n">
        <v>0.7250760000000001</v>
      </c>
      <c r="DF245" s="16" t="n">
        <v>0.827643</v>
      </c>
      <c r="DG245" s="16" t="n"/>
      <c r="DH245" s="16" t="n"/>
      <c r="DI245" s="16" t="n"/>
      <c r="DJ245" s="16" t="n"/>
      <c r="DK245" s="16" t="n">
        <v>0.7250760000000001</v>
      </c>
      <c r="DL245" s="16" t="n">
        <v>0.857621</v>
      </c>
      <c r="DM245" s="16" t="n"/>
      <c r="DN245" s="16" t="n"/>
      <c r="DO245" s="16" t="n"/>
      <c r="DP245" s="16" t="n"/>
      <c r="DQ245" s="16" t="n">
        <v>0.7250760000000001</v>
      </c>
      <c r="DR245" s="16" t="n">
        <v>0.847394</v>
      </c>
      <c r="DS245" s="16" t="n"/>
      <c r="DT245" s="16" t="n"/>
      <c r="DU245" s="16" t="n"/>
      <c r="DV245" s="16" t="n"/>
      <c r="DW245" s="16" t="n">
        <v>0.7250760000000001</v>
      </c>
      <c r="DX245" s="16" t="n">
        <v>0.855071</v>
      </c>
      <c r="DY245" s="16" t="n"/>
      <c r="DZ245" s="16" t="n"/>
    </row>
    <row r="246">
      <c r="BS246" s="16" t="n"/>
      <c r="BT246" s="16" t="n"/>
      <c r="BU246" s="16" t="n">
        <v>0.728097</v>
      </c>
      <c r="BV246" s="16" t="n">
        <v>471.171196</v>
      </c>
      <c r="BW246" s="16" t="n"/>
      <c r="BX246" s="16" t="n"/>
      <c r="BY246" s="16" t="n"/>
      <c r="BZ246" s="16" t="n"/>
      <c r="CA246" s="16" t="n">
        <v>0.728097</v>
      </c>
      <c r="CB246" s="16" t="n">
        <v>297.257429</v>
      </c>
      <c r="CC246" s="16" t="n"/>
      <c r="CD246" s="16" t="n"/>
      <c r="CE246" s="16" t="n"/>
      <c r="CF246" s="16" t="n"/>
      <c r="CG246" s="16" t="n">
        <v>0.728097</v>
      </c>
      <c r="CH246" s="16" t="n">
        <v>4074.385292</v>
      </c>
      <c r="CI246" s="16" t="n"/>
      <c r="CJ246" s="16" t="n"/>
      <c r="CK246" s="16" t="n"/>
      <c r="CL246" s="16" t="n"/>
      <c r="CM246" s="16" t="n">
        <v>0.728097</v>
      </c>
      <c r="CN246" s="16" t="n">
        <v>1058.255347</v>
      </c>
      <c r="CO246" s="16" t="n"/>
      <c r="CP246" s="16" t="n"/>
      <c r="CQ246" s="16" t="n"/>
      <c r="CR246" s="16" t="n"/>
      <c r="CS246" s="16" t="n">
        <v>0.728097</v>
      </c>
      <c r="CT246" s="16" t="n">
        <v>0.763432</v>
      </c>
      <c r="CU246" s="16" t="n"/>
      <c r="CV246" s="16" t="n"/>
      <c r="CW246" s="16" t="n"/>
      <c r="CX246" s="16" t="n"/>
      <c r="CY246" s="16" t="n">
        <v>0.728097</v>
      </c>
      <c r="CZ246" s="16" t="n">
        <v>0.87119</v>
      </c>
      <c r="DA246" s="16" t="n"/>
      <c r="DB246" s="16" t="n"/>
      <c r="DC246" s="16" t="n"/>
      <c r="DD246" s="16" t="n"/>
      <c r="DE246" s="16" t="n">
        <v>0.728097</v>
      </c>
      <c r="DF246" s="16" t="n">
        <v>0.828898</v>
      </c>
      <c r="DG246" s="16" t="n"/>
      <c r="DH246" s="16" t="n"/>
      <c r="DI246" s="16" t="n"/>
      <c r="DJ246" s="16" t="n"/>
      <c r="DK246" s="16" t="n">
        <v>0.728097</v>
      </c>
      <c r="DL246" s="16" t="n">
        <v>0.858796</v>
      </c>
      <c r="DM246" s="16" t="n"/>
      <c r="DN246" s="16" t="n"/>
      <c r="DO246" s="16" t="n"/>
      <c r="DP246" s="16" t="n"/>
      <c r="DQ246" s="16" t="n">
        <v>0.728097</v>
      </c>
      <c r="DR246" s="16" t="n">
        <v>0.848126</v>
      </c>
      <c r="DS246" s="16" t="n"/>
      <c r="DT246" s="16" t="n"/>
      <c r="DU246" s="16" t="n"/>
      <c r="DV246" s="16" t="n"/>
      <c r="DW246" s="16" t="n">
        <v>0.728097</v>
      </c>
      <c r="DX246" s="16" t="n">
        <v>0.8574619999999999</v>
      </c>
      <c r="DY246" s="16" t="n"/>
      <c r="DZ246" s="16" t="n"/>
    </row>
    <row r="247">
      <c r="BS247" s="16" t="n"/>
      <c r="BT247" s="16" t="n"/>
      <c r="BU247" s="16" t="n">
        <v>0.731118</v>
      </c>
      <c r="BV247" s="16" t="n">
        <v>471.240286</v>
      </c>
      <c r="BW247" s="16" t="n"/>
      <c r="BX247" s="16" t="n"/>
      <c r="BY247" s="16" t="n"/>
      <c r="BZ247" s="16" t="n"/>
      <c r="CA247" s="16" t="n">
        <v>0.731118</v>
      </c>
      <c r="CB247" s="16" t="n">
        <v>297.265649</v>
      </c>
      <c r="CC247" s="16" t="n"/>
      <c r="CD247" s="16" t="n"/>
      <c r="CE247" s="16" t="n"/>
      <c r="CF247" s="16" t="n"/>
      <c r="CG247" s="16" t="n">
        <v>0.731118</v>
      </c>
      <c r="CH247" s="16" t="n">
        <v>4085.708159</v>
      </c>
      <c r="CI247" s="16" t="n"/>
      <c r="CJ247" s="16" t="n"/>
      <c r="CK247" s="16" t="n"/>
      <c r="CL247" s="16" t="n"/>
      <c r="CM247" s="16" t="n">
        <v>0.731118</v>
      </c>
      <c r="CN247" s="16" t="n">
        <v>1063.335092</v>
      </c>
      <c r="CO247" s="16" t="n"/>
      <c r="CP247" s="16" t="n"/>
      <c r="CQ247" s="16" t="n"/>
      <c r="CR247" s="16" t="n"/>
      <c r="CS247" s="16" t="n">
        <v>0.731118</v>
      </c>
      <c r="CT247" s="16" t="n">
        <v>0.765107</v>
      </c>
      <c r="CU247" s="16" t="n"/>
      <c r="CV247" s="16" t="n"/>
      <c r="CW247" s="16" t="n"/>
      <c r="CX247" s="16" t="n"/>
      <c r="CY247" s="16" t="n">
        <v>0.731118</v>
      </c>
      <c r="CZ247" s="16" t="n">
        <v>0.871465</v>
      </c>
      <c r="DA247" s="16" t="n"/>
      <c r="DB247" s="16" t="n"/>
      <c r="DC247" s="16" t="n"/>
      <c r="DD247" s="16" t="n"/>
      <c r="DE247" s="16" t="n">
        <v>0.731118</v>
      </c>
      <c r="DF247" s="16" t="n">
        <v>0.8299299999999999</v>
      </c>
      <c r="DG247" s="16" t="n"/>
      <c r="DH247" s="16" t="n"/>
      <c r="DI247" s="16" t="n"/>
      <c r="DJ247" s="16" t="n"/>
      <c r="DK247" s="16" t="n">
        <v>0.731118</v>
      </c>
      <c r="DL247" s="16" t="n">
        <v>0.858838</v>
      </c>
      <c r="DM247" s="16" t="n"/>
      <c r="DN247" s="16" t="n"/>
      <c r="DO247" s="16" t="n"/>
      <c r="DP247" s="16" t="n"/>
      <c r="DQ247" s="16" t="n">
        <v>0.731118</v>
      </c>
      <c r="DR247" s="16" t="n">
        <v>0.848576</v>
      </c>
      <c r="DS247" s="16" t="n"/>
      <c r="DT247" s="16" t="n"/>
      <c r="DU247" s="16" t="n"/>
      <c r="DV247" s="16" t="n"/>
      <c r="DW247" s="16" t="n">
        <v>0.731118</v>
      </c>
      <c r="DX247" s="16" t="n">
        <v>0.857611</v>
      </c>
      <c r="DY247" s="16" t="n"/>
      <c r="DZ247" s="16" t="n"/>
    </row>
    <row r="248">
      <c r="BS248" s="16" t="n"/>
      <c r="BT248" s="16" t="n"/>
      <c r="BU248" s="16" t="n">
        <v>0.734139</v>
      </c>
      <c r="BV248" s="16" t="n">
        <v>471.548173</v>
      </c>
      <c r="BW248" s="16" t="n"/>
      <c r="BX248" s="16" t="n"/>
      <c r="BY248" s="16" t="n"/>
      <c r="BZ248" s="16" t="n"/>
      <c r="CA248" s="16" t="n">
        <v>0.734139</v>
      </c>
      <c r="CB248" s="16" t="n">
        <v>297.382165</v>
      </c>
      <c r="CC248" s="16" t="n"/>
      <c r="CD248" s="16" t="n"/>
      <c r="CE248" s="16" t="n"/>
      <c r="CF248" s="16" t="n"/>
      <c r="CG248" s="16" t="n">
        <v>0.734139</v>
      </c>
      <c r="CH248" s="16" t="n">
        <v>4088.04599</v>
      </c>
      <c r="CI248" s="16" t="n"/>
      <c r="CJ248" s="16" t="n"/>
      <c r="CK248" s="16" t="n"/>
      <c r="CL248" s="16" t="n"/>
      <c r="CM248" s="16" t="n">
        <v>0.734139</v>
      </c>
      <c r="CN248" s="16" t="n">
        <v>1063.701008</v>
      </c>
      <c r="CO248" s="16" t="n"/>
      <c r="CP248" s="16" t="n"/>
      <c r="CQ248" s="16" t="n"/>
      <c r="CR248" s="16" t="n"/>
      <c r="CS248" s="16" t="n">
        <v>0.734139</v>
      </c>
      <c r="CT248" s="16" t="n">
        <v>0.765779</v>
      </c>
      <c r="CU248" s="16" t="n"/>
      <c r="CV248" s="16" t="n"/>
      <c r="CW248" s="16" t="n"/>
      <c r="CX248" s="16" t="n"/>
      <c r="CY248" s="16" t="n">
        <v>0.734139</v>
      </c>
      <c r="CZ248" s="16" t="n">
        <v>0.8721</v>
      </c>
      <c r="DA248" s="16" t="n"/>
      <c r="DB248" s="16" t="n"/>
      <c r="DC248" s="16" t="n"/>
      <c r="DD248" s="16" t="n"/>
      <c r="DE248" s="16" t="n">
        <v>0.734139</v>
      </c>
      <c r="DF248" s="16" t="n">
        <v>0.830317</v>
      </c>
      <c r="DG248" s="16" t="n"/>
      <c r="DH248" s="16" t="n"/>
      <c r="DI248" s="16" t="n"/>
      <c r="DJ248" s="16" t="n"/>
      <c r="DK248" s="16" t="n">
        <v>0.734139</v>
      </c>
      <c r="DL248" s="16" t="n">
        <v>0.860737</v>
      </c>
      <c r="DM248" s="16" t="n"/>
      <c r="DN248" s="16" t="n"/>
      <c r="DO248" s="16" t="n"/>
      <c r="DP248" s="16" t="n"/>
      <c r="DQ248" s="16" t="n">
        <v>0.734139</v>
      </c>
      <c r="DR248" s="16" t="n">
        <v>0.850694</v>
      </c>
      <c r="DS248" s="16" t="n"/>
      <c r="DT248" s="16" t="n"/>
      <c r="DU248" s="16" t="n"/>
      <c r="DV248" s="16" t="n"/>
      <c r="DW248" s="16" t="n">
        <v>0.734139</v>
      </c>
      <c r="DX248" s="16" t="n">
        <v>0.858744</v>
      </c>
      <c r="DY248" s="16" t="n"/>
      <c r="DZ248" s="16" t="n"/>
    </row>
    <row r="249">
      <c r="BS249" s="16" t="n"/>
      <c r="BT249" s="16" t="n"/>
      <c r="BU249" s="16" t="n">
        <v>0.73716</v>
      </c>
      <c r="BV249" s="16" t="n">
        <v>472.047601</v>
      </c>
      <c r="BW249" s="16" t="n"/>
      <c r="BX249" s="16" t="n"/>
      <c r="BY249" s="16" t="n"/>
      <c r="BZ249" s="16" t="n"/>
      <c r="CA249" s="16" t="n">
        <v>0.73716</v>
      </c>
      <c r="CB249" s="16" t="n">
        <v>297.509864</v>
      </c>
      <c r="CC249" s="16" t="n"/>
      <c r="CD249" s="16" t="n"/>
      <c r="CE249" s="16" t="n"/>
      <c r="CF249" s="16" t="n"/>
      <c r="CG249" s="16" t="n">
        <v>0.73716</v>
      </c>
      <c r="CH249" s="16" t="n">
        <v>4097.879751</v>
      </c>
      <c r="CI249" s="16" t="n"/>
      <c r="CJ249" s="16" t="n"/>
      <c r="CK249" s="16" t="n"/>
      <c r="CL249" s="16" t="n"/>
      <c r="CM249" s="16" t="n">
        <v>0.73716</v>
      </c>
      <c r="CN249" s="16" t="n">
        <v>1067.248237</v>
      </c>
      <c r="CO249" s="16" t="n"/>
      <c r="CP249" s="16" t="n"/>
      <c r="CQ249" s="16" t="n"/>
      <c r="CR249" s="16" t="n"/>
      <c r="CS249" s="16" t="n">
        <v>0.73716</v>
      </c>
      <c r="CT249" s="16" t="n">
        <v>0.766841</v>
      </c>
      <c r="CU249" s="16" t="n"/>
      <c r="CV249" s="16" t="n"/>
      <c r="CW249" s="16" t="n"/>
      <c r="CX249" s="16" t="n"/>
      <c r="CY249" s="16" t="n">
        <v>0.73716</v>
      </c>
      <c r="CZ249" s="16" t="n">
        <v>0.8721640000000001</v>
      </c>
      <c r="DA249" s="16" t="n"/>
      <c r="DB249" s="16" t="n"/>
      <c r="DC249" s="16" t="n"/>
      <c r="DD249" s="16" t="n"/>
      <c r="DE249" s="16" t="n">
        <v>0.73716</v>
      </c>
      <c r="DF249" s="16" t="n">
        <v>0.830641</v>
      </c>
      <c r="DG249" s="16" t="n"/>
      <c r="DH249" s="16" t="n"/>
      <c r="DI249" s="16" t="n"/>
      <c r="DJ249" s="16" t="n"/>
      <c r="DK249" s="16" t="n">
        <v>0.73716</v>
      </c>
      <c r="DL249" s="16" t="n">
        <v>0.861568</v>
      </c>
      <c r="DM249" s="16" t="n"/>
      <c r="DN249" s="16" t="n"/>
      <c r="DO249" s="16" t="n"/>
      <c r="DP249" s="16" t="n"/>
      <c r="DQ249" s="16" t="n">
        <v>0.73716</v>
      </c>
      <c r="DR249" s="16" t="n">
        <v>0.8518250000000001</v>
      </c>
      <c r="DS249" s="16" t="n"/>
      <c r="DT249" s="16" t="n"/>
      <c r="DU249" s="16" t="n"/>
      <c r="DV249" s="16" t="n"/>
      <c r="DW249" s="16" t="n">
        <v>0.73716</v>
      </c>
      <c r="DX249" s="16" t="n">
        <v>0.859563</v>
      </c>
      <c r="DY249" s="16" t="n"/>
      <c r="DZ249" s="16" t="n"/>
    </row>
    <row r="250">
      <c r="BS250" s="16" t="n"/>
      <c r="BT250" s="16" t="n"/>
      <c r="BU250" s="16" t="n">
        <v>0.740181</v>
      </c>
      <c r="BV250" s="16" t="n">
        <v>472.08143</v>
      </c>
      <c r="BW250" s="16" t="n"/>
      <c r="BX250" s="16" t="n"/>
      <c r="BY250" s="16" t="n"/>
      <c r="BZ250" s="16" t="n"/>
      <c r="CA250" s="16" t="n">
        <v>0.740181</v>
      </c>
      <c r="CB250" s="16" t="n">
        <v>297.537759</v>
      </c>
      <c r="CC250" s="16" t="n"/>
      <c r="CD250" s="16" t="n"/>
      <c r="CE250" s="16" t="n"/>
      <c r="CF250" s="16" t="n"/>
      <c r="CG250" s="16" t="n">
        <v>0.740181</v>
      </c>
      <c r="CH250" s="16" t="n">
        <v>4107.388099</v>
      </c>
      <c r="CI250" s="16" t="n"/>
      <c r="CJ250" s="16" t="n"/>
      <c r="CK250" s="16" t="n"/>
      <c r="CL250" s="16" t="n"/>
      <c r="CM250" s="16" t="n">
        <v>0.740181</v>
      </c>
      <c r="CN250" s="16" t="n">
        <v>1068.728721</v>
      </c>
      <c r="CO250" s="16" t="n"/>
      <c r="CP250" s="16" t="n"/>
      <c r="CQ250" s="16" t="n"/>
      <c r="CR250" s="16" t="n"/>
      <c r="CS250" s="16" t="n">
        <v>0.740181</v>
      </c>
      <c r="CT250" s="16" t="n">
        <v>0.7671289999999999</v>
      </c>
      <c r="CU250" s="16" t="n"/>
      <c r="CV250" s="16" t="n"/>
      <c r="CW250" s="16" t="n"/>
      <c r="CX250" s="16" t="n"/>
      <c r="CY250" s="16" t="n">
        <v>0.740181</v>
      </c>
      <c r="CZ250" s="16" t="n">
        <v>0.872715</v>
      </c>
      <c r="DA250" s="16" t="n"/>
      <c r="DB250" s="16" t="n"/>
      <c r="DC250" s="16" t="n"/>
      <c r="DD250" s="16" t="n"/>
      <c r="DE250" s="16" t="n">
        <v>0.740181</v>
      </c>
      <c r="DF250" s="16" t="n">
        <v>0.832919</v>
      </c>
      <c r="DG250" s="16" t="n"/>
      <c r="DH250" s="16" t="n"/>
      <c r="DI250" s="16" t="n"/>
      <c r="DJ250" s="16" t="n"/>
      <c r="DK250" s="16" t="n">
        <v>0.740181</v>
      </c>
      <c r="DL250" s="16" t="n">
        <v>0.861976</v>
      </c>
      <c r="DM250" s="16" t="n"/>
      <c r="DN250" s="16" t="n"/>
      <c r="DO250" s="16" t="n"/>
      <c r="DP250" s="16" t="n"/>
      <c r="DQ250" s="16" t="n">
        <v>0.740181</v>
      </c>
      <c r="DR250" s="16" t="n">
        <v>0.852131</v>
      </c>
      <c r="DS250" s="16" t="n"/>
      <c r="DT250" s="16" t="n"/>
      <c r="DU250" s="16" t="n"/>
      <c r="DV250" s="16" t="n"/>
      <c r="DW250" s="16" t="n">
        <v>0.740181</v>
      </c>
      <c r="DX250" s="16" t="n">
        <v>0.859621</v>
      </c>
      <c r="DY250" s="16" t="n"/>
      <c r="DZ250" s="16" t="n"/>
    </row>
    <row r="251">
      <c r="BS251" s="16" t="n"/>
      <c r="BT251" s="16" t="n"/>
      <c r="BU251" s="16" t="n">
        <v>0.743202</v>
      </c>
      <c r="BV251" s="16" t="n">
        <v>472.561714</v>
      </c>
      <c r="BW251" s="16" t="n"/>
      <c r="BX251" s="16" t="n"/>
      <c r="BY251" s="16" t="n"/>
      <c r="BZ251" s="16" t="n"/>
      <c r="CA251" s="16" t="n">
        <v>0.743202</v>
      </c>
      <c r="CB251" s="16" t="n">
        <v>297.674454</v>
      </c>
      <c r="CC251" s="16" t="n"/>
      <c r="CD251" s="16" t="n"/>
      <c r="CE251" s="16" t="n"/>
      <c r="CF251" s="16" t="n"/>
      <c r="CG251" s="16" t="n">
        <v>0.743202</v>
      </c>
      <c r="CH251" s="16" t="n">
        <v>4113.946708</v>
      </c>
      <c r="CI251" s="16" t="n"/>
      <c r="CJ251" s="16" t="n"/>
      <c r="CK251" s="16" t="n"/>
      <c r="CL251" s="16" t="n"/>
      <c r="CM251" s="16" t="n">
        <v>0.743202</v>
      </c>
      <c r="CN251" s="16" t="n">
        <v>1072.261035</v>
      </c>
      <c r="CO251" s="16" t="n"/>
      <c r="CP251" s="16" t="n"/>
      <c r="CQ251" s="16" t="n"/>
      <c r="CR251" s="16" t="n"/>
      <c r="CS251" s="16" t="n">
        <v>0.743202</v>
      </c>
      <c r="CT251" s="16" t="n">
        <v>0.768105</v>
      </c>
      <c r="CU251" s="16" t="n"/>
      <c r="CV251" s="16" t="n"/>
      <c r="CW251" s="16" t="n"/>
      <c r="CX251" s="16" t="n"/>
      <c r="CY251" s="16" t="n">
        <v>0.743202</v>
      </c>
      <c r="CZ251" s="16" t="n">
        <v>0.87315</v>
      </c>
      <c r="DA251" s="16" t="n"/>
      <c r="DB251" s="16" t="n"/>
      <c r="DC251" s="16" t="n"/>
      <c r="DD251" s="16" t="n"/>
      <c r="DE251" s="16" t="n">
        <v>0.743202</v>
      </c>
      <c r="DF251" s="16" t="n">
        <v>0.833894</v>
      </c>
      <c r="DG251" s="16" t="n"/>
      <c r="DH251" s="16" t="n"/>
      <c r="DI251" s="16" t="n"/>
      <c r="DJ251" s="16" t="n"/>
      <c r="DK251" s="16" t="n">
        <v>0.743202</v>
      </c>
      <c r="DL251" s="16" t="n">
        <v>0.862896</v>
      </c>
      <c r="DM251" s="16" t="n"/>
      <c r="DN251" s="16" t="n"/>
      <c r="DO251" s="16" t="n"/>
      <c r="DP251" s="16" t="n"/>
      <c r="DQ251" s="16" t="n">
        <v>0.743202</v>
      </c>
      <c r="DR251" s="16" t="n">
        <v>0.854159</v>
      </c>
      <c r="DS251" s="16" t="n"/>
      <c r="DT251" s="16" t="n"/>
      <c r="DU251" s="16" t="n"/>
      <c r="DV251" s="16" t="n"/>
      <c r="DW251" s="16" t="n">
        <v>0.743202</v>
      </c>
      <c r="DX251" s="16" t="n">
        <v>0.86082</v>
      </c>
      <c r="DY251" s="16" t="n"/>
      <c r="DZ251" s="16" t="n"/>
    </row>
    <row r="252">
      <c r="BS252" s="16" t="n"/>
      <c r="BT252" s="16" t="n"/>
      <c r="BU252" s="16" t="n">
        <v>0.746224</v>
      </c>
      <c r="BV252" s="16" t="n">
        <v>472.919821</v>
      </c>
      <c r="BW252" s="16" t="n"/>
      <c r="BX252" s="16" t="n"/>
      <c r="BY252" s="16" t="n"/>
      <c r="BZ252" s="16" t="n"/>
      <c r="CA252" s="16" t="n">
        <v>0.746224</v>
      </c>
      <c r="CB252" s="16" t="n">
        <v>297.723183</v>
      </c>
      <c r="CC252" s="16" t="n"/>
      <c r="CD252" s="16" t="n"/>
      <c r="CE252" s="16" t="n"/>
      <c r="CF252" s="16" t="n"/>
      <c r="CG252" s="16" t="n">
        <v>0.746224</v>
      </c>
      <c r="CH252" s="16" t="n">
        <v>4134.185703</v>
      </c>
      <c r="CI252" s="16" t="n"/>
      <c r="CJ252" s="16" t="n"/>
      <c r="CK252" s="16" t="n"/>
      <c r="CL252" s="16" t="n"/>
      <c r="CM252" s="16" t="n">
        <v>0.746224</v>
      </c>
      <c r="CN252" s="16" t="n">
        <v>1078.952669</v>
      </c>
      <c r="CO252" s="16" t="n"/>
      <c r="CP252" s="16" t="n"/>
      <c r="CQ252" s="16" t="n"/>
      <c r="CR252" s="16" t="n"/>
      <c r="CS252" s="16" t="n">
        <v>0.746224</v>
      </c>
      <c r="CT252" s="16" t="n">
        <v>0.7688199999999999</v>
      </c>
      <c r="CU252" s="16" t="n"/>
      <c r="CV252" s="16" t="n"/>
      <c r="CW252" s="16" t="n"/>
      <c r="CX252" s="16" t="n"/>
      <c r="CY252" s="16" t="n">
        <v>0.746224</v>
      </c>
      <c r="CZ252" s="16" t="n">
        <v>0.873282</v>
      </c>
      <c r="DA252" s="16" t="n"/>
      <c r="DB252" s="16" t="n"/>
      <c r="DC252" s="16" t="n"/>
      <c r="DD252" s="16" t="n"/>
      <c r="DE252" s="16" t="n">
        <v>0.746224</v>
      </c>
      <c r="DF252" s="16" t="n">
        <v>0.834233</v>
      </c>
      <c r="DG252" s="16" t="n"/>
      <c r="DH252" s="16" t="n"/>
      <c r="DI252" s="16" t="n"/>
      <c r="DJ252" s="16" t="n"/>
      <c r="DK252" s="16" t="n">
        <v>0.746224</v>
      </c>
      <c r="DL252" s="16" t="n">
        <v>0.862984</v>
      </c>
      <c r="DM252" s="16" t="n"/>
      <c r="DN252" s="16" t="n"/>
      <c r="DO252" s="16" t="n"/>
      <c r="DP252" s="16" t="n"/>
      <c r="DQ252" s="16" t="n">
        <v>0.746224</v>
      </c>
      <c r="DR252" s="16" t="n">
        <v>0.8547090000000001</v>
      </c>
      <c r="DS252" s="16" t="n"/>
      <c r="DT252" s="16" t="n"/>
      <c r="DU252" s="16" t="n"/>
      <c r="DV252" s="16" t="n"/>
      <c r="DW252" s="16" t="n">
        <v>0.746224</v>
      </c>
      <c r="DX252" s="16" t="n">
        <v>0.861185</v>
      </c>
      <c r="DY252" s="16" t="n"/>
      <c r="DZ252" s="16" t="n"/>
    </row>
    <row r="253">
      <c r="BS253" s="16" t="n"/>
      <c r="BT253" s="16" t="n"/>
      <c r="BU253" s="16" t="n">
        <v>0.749245</v>
      </c>
      <c r="BV253" s="16" t="n">
        <v>473.158452</v>
      </c>
      <c r="BW253" s="16" t="n"/>
      <c r="BX253" s="16" t="n"/>
      <c r="BY253" s="16" t="n"/>
      <c r="BZ253" s="16" t="n"/>
      <c r="CA253" s="16" t="n">
        <v>0.749245</v>
      </c>
      <c r="CB253" s="16" t="n">
        <v>297.805544</v>
      </c>
      <c r="CC253" s="16" t="n"/>
      <c r="CD253" s="16" t="n"/>
      <c r="CE253" s="16" t="n"/>
      <c r="CF253" s="16" t="n"/>
      <c r="CG253" s="16" t="n">
        <v>0.749245</v>
      </c>
      <c r="CH253" s="16" t="n">
        <v>4139.075649</v>
      </c>
      <c r="CI253" s="16" t="n"/>
      <c r="CJ253" s="16" t="n"/>
      <c r="CK253" s="16" t="n"/>
      <c r="CL253" s="16" t="n"/>
      <c r="CM253" s="16" t="n">
        <v>0.749245</v>
      </c>
      <c r="CN253" s="16" t="n">
        <v>1082.752806</v>
      </c>
      <c r="CO253" s="16" t="n"/>
      <c r="CP253" s="16" t="n"/>
      <c r="CQ253" s="16" t="n"/>
      <c r="CR253" s="16" t="n"/>
      <c r="CS253" s="16" t="n">
        <v>0.749245</v>
      </c>
      <c r="CT253" s="16" t="n">
        <v>0.769411</v>
      </c>
      <c r="CU253" s="16" t="n"/>
      <c r="CV253" s="16" t="n"/>
      <c r="CW253" s="16" t="n"/>
      <c r="CX253" s="16" t="n"/>
      <c r="CY253" s="16" t="n">
        <v>0.749245</v>
      </c>
      <c r="CZ253" s="16" t="n">
        <v>0.873954</v>
      </c>
      <c r="DA253" s="16" t="n"/>
      <c r="DB253" s="16" t="n"/>
      <c r="DC253" s="16" t="n"/>
      <c r="DD253" s="16" t="n"/>
      <c r="DE253" s="16" t="n">
        <v>0.749245</v>
      </c>
      <c r="DF253" s="16" t="n">
        <v>0.835846</v>
      </c>
      <c r="DG253" s="16" t="n"/>
      <c r="DH253" s="16" t="n"/>
      <c r="DI253" s="16" t="n"/>
      <c r="DJ253" s="16" t="n"/>
      <c r="DK253" s="16" t="n">
        <v>0.749245</v>
      </c>
      <c r="DL253" s="16" t="n">
        <v>0.86526</v>
      </c>
      <c r="DM253" s="16" t="n"/>
      <c r="DN253" s="16" t="n"/>
      <c r="DO253" s="16" t="n"/>
      <c r="DP253" s="16" t="n"/>
      <c r="DQ253" s="16" t="n">
        <v>0.749245</v>
      </c>
      <c r="DR253" s="16" t="n">
        <v>0.8549</v>
      </c>
      <c r="DS253" s="16" t="n"/>
      <c r="DT253" s="16" t="n"/>
      <c r="DU253" s="16" t="n"/>
      <c r="DV253" s="16" t="n"/>
      <c r="DW253" s="16" t="n">
        <v>0.749245</v>
      </c>
      <c r="DX253" s="16" t="n">
        <v>0.861511</v>
      </c>
      <c r="DY253" s="16" t="n"/>
      <c r="DZ253" s="16" t="n"/>
    </row>
    <row r="254">
      <c r="BS254" s="16" t="n"/>
      <c r="BT254" s="16" t="n"/>
      <c r="BU254" s="16" t="n">
        <v>0.752266</v>
      </c>
      <c r="BV254" s="16" t="n">
        <v>473.198057</v>
      </c>
      <c r="BW254" s="16" t="n"/>
      <c r="BX254" s="16" t="n"/>
      <c r="BY254" s="16" t="n"/>
      <c r="BZ254" s="16" t="n"/>
      <c r="CA254" s="16" t="n">
        <v>0.752266</v>
      </c>
      <c r="CB254" s="16" t="n">
        <v>297.853198</v>
      </c>
      <c r="CC254" s="16" t="n"/>
      <c r="CD254" s="16" t="n"/>
      <c r="CE254" s="16" t="n"/>
      <c r="CF254" s="16" t="n"/>
      <c r="CG254" s="16" t="n">
        <v>0.752266</v>
      </c>
      <c r="CH254" s="16" t="n">
        <v>4145.887674</v>
      </c>
      <c r="CI254" s="16" t="n"/>
      <c r="CJ254" s="16" t="n"/>
      <c r="CK254" s="16" t="n"/>
      <c r="CL254" s="16" t="n"/>
      <c r="CM254" s="16" t="n">
        <v>0.752266</v>
      </c>
      <c r="CN254" s="16" t="n">
        <v>1084.441099</v>
      </c>
      <c r="CO254" s="16" t="n"/>
      <c r="CP254" s="16" t="n"/>
      <c r="CQ254" s="16" t="n"/>
      <c r="CR254" s="16" t="n"/>
      <c r="CS254" s="16" t="n">
        <v>0.752266</v>
      </c>
      <c r="CT254" s="16" t="n">
        <v>0.769909</v>
      </c>
      <c r="CU254" s="16" t="n"/>
      <c r="CV254" s="16" t="n"/>
      <c r="CW254" s="16" t="n"/>
      <c r="CX254" s="16" t="n"/>
      <c r="CY254" s="16" t="n">
        <v>0.752266</v>
      </c>
      <c r="CZ254" s="16" t="n">
        <v>0.874791</v>
      </c>
      <c r="DA254" s="16" t="n"/>
      <c r="DB254" s="16" t="n"/>
      <c r="DC254" s="16" t="n"/>
      <c r="DD254" s="16" t="n"/>
      <c r="DE254" s="16" t="n">
        <v>0.752266</v>
      </c>
      <c r="DF254" s="16" t="n">
        <v>0.836938</v>
      </c>
      <c r="DG254" s="16" t="n"/>
      <c r="DH254" s="16" t="n"/>
      <c r="DI254" s="16" t="n"/>
      <c r="DJ254" s="16" t="n"/>
      <c r="DK254" s="16" t="n">
        <v>0.752266</v>
      </c>
      <c r="DL254" s="16" t="n">
        <v>0.865565</v>
      </c>
      <c r="DM254" s="16" t="n"/>
      <c r="DN254" s="16" t="n"/>
      <c r="DO254" s="16" t="n"/>
      <c r="DP254" s="16" t="n"/>
      <c r="DQ254" s="16" t="n">
        <v>0.752266</v>
      </c>
      <c r="DR254" s="16" t="n">
        <v>0.856255</v>
      </c>
      <c r="DS254" s="16" t="n"/>
      <c r="DT254" s="16" t="n"/>
      <c r="DU254" s="16" t="n"/>
      <c r="DV254" s="16" t="n"/>
      <c r="DW254" s="16" t="n">
        <v>0.752266</v>
      </c>
      <c r="DX254" s="16" t="n">
        <v>0.8618400000000001</v>
      </c>
      <c r="DY254" s="16" t="n"/>
      <c r="DZ254" s="16" t="n"/>
    </row>
    <row r="255">
      <c r="BS255" s="16" t="n"/>
      <c r="BT255" s="16" t="n"/>
      <c r="BU255" s="16" t="n">
        <v>0.755287</v>
      </c>
      <c r="BV255" s="16" t="n">
        <v>473.448436</v>
      </c>
      <c r="BW255" s="16" t="n"/>
      <c r="BX255" s="16" t="n"/>
      <c r="BY255" s="16" t="n"/>
      <c r="BZ255" s="16" t="n"/>
      <c r="CA255" s="16" t="n">
        <v>0.755287</v>
      </c>
      <c r="CB255" s="16" t="n">
        <v>297.887514</v>
      </c>
      <c r="CC255" s="16" t="n"/>
      <c r="CD255" s="16" t="n"/>
      <c r="CE255" s="16" t="n"/>
      <c r="CF255" s="16" t="n"/>
      <c r="CG255" s="16" t="n">
        <v>0.755287</v>
      </c>
      <c r="CH255" s="16" t="n">
        <v>4156.76591</v>
      </c>
      <c r="CI255" s="16" t="n"/>
      <c r="CJ255" s="16" t="n"/>
      <c r="CK255" s="16" t="n"/>
      <c r="CL255" s="16" t="n"/>
      <c r="CM255" s="16" t="n">
        <v>0.755287</v>
      </c>
      <c r="CN255" s="16" t="n">
        <v>1089.357486</v>
      </c>
      <c r="CO255" s="16" t="n"/>
      <c r="CP255" s="16" t="n"/>
      <c r="CQ255" s="16" t="n"/>
      <c r="CR255" s="16" t="n"/>
      <c r="CS255" s="16" t="n">
        <v>0.755287</v>
      </c>
      <c r="CT255" s="16" t="n">
        <v>0.77021</v>
      </c>
      <c r="CU255" s="16" t="n"/>
      <c r="CV255" s="16" t="n"/>
      <c r="CW255" s="16" t="n"/>
      <c r="CX255" s="16" t="n"/>
      <c r="CY255" s="16" t="n">
        <v>0.755287</v>
      </c>
      <c r="CZ255" s="16" t="n">
        <v>0.875019</v>
      </c>
      <c r="DA255" s="16" t="n"/>
      <c r="DB255" s="16" t="n"/>
      <c r="DC255" s="16" t="n"/>
      <c r="DD255" s="16" t="n"/>
      <c r="DE255" s="16" t="n">
        <v>0.755287</v>
      </c>
      <c r="DF255" s="16" t="n">
        <v>0.837599</v>
      </c>
      <c r="DG255" s="16" t="n"/>
      <c r="DH255" s="16" t="n"/>
      <c r="DI255" s="16" t="n"/>
      <c r="DJ255" s="16" t="n"/>
      <c r="DK255" s="16" t="n">
        <v>0.755287</v>
      </c>
      <c r="DL255" s="16" t="n">
        <v>0.867277</v>
      </c>
      <c r="DM255" s="16" t="n"/>
      <c r="DN255" s="16" t="n"/>
      <c r="DO255" s="16" t="n"/>
      <c r="DP255" s="16" t="n"/>
      <c r="DQ255" s="16" t="n">
        <v>0.755287</v>
      </c>
      <c r="DR255" s="16" t="n">
        <v>0.8566</v>
      </c>
      <c r="DS255" s="16" t="n"/>
      <c r="DT255" s="16" t="n"/>
      <c r="DU255" s="16" t="n"/>
      <c r="DV255" s="16" t="n"/>
      <c r="DW255" s="16" t="n">
        <v>0.755287</v>
      </c>
      <c r="DX255" s="16" t="n">
        <v>0.862406</v>
      </c>
      <c r="DY255" s="16" t="n"/>
      <c r="DZ255" s="16" t="n"/>
    </row>
    <row r="256">
      <c r="BS256" s="16" t="n"/>
      <c r="BT256" s="16" t="n"/>
      <c r="BU256" s="16" t="n">
        <v>0.758308</v>
      </c>
      <c r="BV256" s="16" t="n">
        <v>473.646412</v>
      </c>
      <c r="BW256" s="16" t="n"/>
      <c r="BX256" s="16" t="n"/>
      <c r="BY256" s="16" t="n"/>
      <c r="BZ256" s="16" t="n"/>
      <c r="CA256" s="16" t="n">
        <v>0.758308</v>
      </c>
      <c r="CB256" s="16" t="n">
        <v>298.006576</v>
      </c>
      <c r="CC256" s="16" t="n"/>
      <c r="CD256" s="16" t="n"/>
      <c r="CE256" s="16" t="n"/>
      <c r="CF256" s="16" t="n"/>
      <c r="CG256" s="16" t="n">
        <v>0.758308</v>
      </c>
      <c r="CH256" s="16" t="n">
        <v>4169.534017</v>
      </c>
      <c r="CI256" s="16" t="n"/>
      <c r="CJ256" s="16" t="n"/>
      <c r="CK256" s="16" t="n"/>
      <c r="CL256" s="16" t="n"/>
      <c r="CM256" s="16" t="n">
        <v>0.758308</v>
      </c>
      <c r="CN256" s="16" t="n">
        <v>1094.43904</v>
      </c>
      <c r="CO256" s="16" t="n"/>
      <c r="CP256" s="16" t="n"/>
      <c r="CQ256" s="16" t="n"/>
      <c r="CR256" s="16" t="n"/>
      <c r="CS256" s="16" t="n">
        <v>0.758308</v>
      </c>
      <c r="CT256" s="16" t="n">
        <v>0.772332</v>
      </c>
      <c r="CU256" s="16" t="n"/>
      <c r="CV256" s="16" t="n"/>
      <c r="CW256" s="16" t="n"/>
      <c r="CX256" s="16" t="n"/>
      <c r="CY256" s="16" t="n">
        <v>0.758308</v>
      </c>
      <c r="CZ256" s="16" t="n">
        <v>0.875536</v>
      </c>
      <c r="DA256" s="16" t="n"/>
      <c r="DB256" s="16" t="n"/>
      <c r="DC256" s="16" t="n"/>
      <c r="DD256" s="16" t="n"/>
      <c r="DE256" s="16" t="n">
        <v>0.758308</v>
      </c>
      <c r="DF256" s="16" t="n">
        <v>0.837834</v>
      </c>
      <c r="DG256" s="16" t="n"/>
      <c r="DH256" s="16" t="n"/>
      <c r="DI256" s="16" t="n"/>
      <c r="DJ256" s="16" t="n"/>
      <c r="DK256" s="16" t="n">
        <v>0.758308</v>
      </c>
      <c r="DL256" s="16" t="n">
        <v>0.86741</v>
      </c>
      <c r="DM256" s="16" t="n"/>
      <c r="DN256" s="16" t="n"/>
      <c r="DO256" s="16" t="n"/>
      <c r="DP256" s="16" t="n"/>
      <c r="DQ256" s="16" t="n">
        <v>0.758308</v>
      </c>
      <c r="DR256" s="16" t="n">
        <v>0.858915</v>
      </c>
      <c r="DS256" s="16" t="n"/>
      <c r="DT256" s="16" t="n"/>
      <c r="DU256" s="16" t="n"/>
      <c r="DV256" s="16" t="n"/>
      <c r="DW256" s="16" t="n">
        <v>0.758308</v>
      </c>
      <c r="DX256" s="16" t="n">
        <v>0.862833</v>
      </c>
      <c r="DY256" s="16" t="n"/>
      <c r="DZ256" s="16" t="n"/>
    </row>
    <row r="257">
      <c r="BS257" s="16" t="n"/>
      <c r="BT257" s="16" t="n"/>
      <c r="BU257" s="16" t="n">
        <v>0.761329</v>
      </c>
      <c r="BV257" s="16" t="n">
        <v>473.906624</v>
      </c>
      <c r="BW257" s="16" t="n"/>
      <c r="BX257" s="16" t="n"/>
      <c r="BY257" s="16" t="n"/>
      <c r="BZ257" s="16" t="n"/>
      <c r="CA257" s="16" t="n">
        <v>0.761329</v>
      </c>
      <c r="CB257" s="16" t="n">
        <v>298.099453</v>
      </c>
      <c r="CC257" s="16" t="n"/>
      <c r="CD257" s="16" t="n"/>
      <c r="CE257" s="16" t="n"/>
      <c r="CF257" s="16" t="n"/>
      <c r="CG257" s="16" t="n">
        <v>0.761329</v>
      </c>
      <c r="CH257" s="16" t="n">
        <v>4185.140844</v>
      </c>
      <c r="CI257" s="16" t="n"/>
      <c r="CJ257" s="16" t="n"/>
      <c r="CK257" s="16" t="n"/>
      <c r="CL257" s="16" t="n"/>
      <c r="CM257" s="16" t="n">
        <v>0.761329</v>
      </c>
      <c r="CN257" s="16" t="n">
        <v>1097.645709</v>
      </c>
      <c r="CO257" s="16" t="n"/>
      <c r="CP257" s="16" t="n"/>
      <c r="CQ257" s="16" t="n"/>
      <c r="CR257" s="16" t="n"/>
      <c r="CS257" s="16" t="n">
        <v>0.761329</v>
      </c>
      <c r="CT257" s="16" t="n">
        <v>0.77478</v>
      </c>
      <c r="CU257" s="16" t="n"/>
      <c r="CV257" s="16" t="n"/>
      <c r="CW257" s="16" t="n"/>
      <c r="CX257" s="16" t="n"/>
      <c r="CY257" s="16" t="n">
        <v>0.761329</v>
      </c>
      <c r="CZ257" s="16" t="n">
        <v>0.876946</v>
      </c>
      <c r="DA257" s="16" t="n"/>
      <c r="DB257" s="16" t="n"/>
      <c r="DC257" s="16" t="n"/>
      <c r="DD257" s="16" t="n"/>
      <c r="DE257" s="16" t="n">
        <v>0.761329</v>
      </c>
      <c r="DF257" s="16" t="n">
        <v>0.839117</v>
      </c>
      <c r="DG257" s="16" t="n"/>
      <c r="DH257" s="16" t="n"/>
      <c r="DI257" s="16" t="n"/>
      <c r="DJ257" s="16" t="n"/>
      <c r="DK257" s="16" t="n">
        <v>0.761329</v>
      </c>
      <c r="DL257" s="16" t="n">
        <v>0.869754</v>
      </c>
      <c r="DM257" s="16" t="n"/>
      <c r="DN257" s="16" t="n"/>
      <c r="DO257" s="16" t="n"/>
      <c r="DP257" s="16" t="n"/>
      <c r="DQ257" s="16" t="n">
        <v>0.761329</v>
      </c>
      <c r="DR257" s="16" t="n">
        <v>0.859659</v>
      </c>
      <c r="DS257" s="16" t="n"/>
      <c r="DT257" s="16" t="n"/>
      <c r="DU257" s="16" t="n"/>
      <c r="DV257" s="16" t="n"/>
      <c r="DW257" s="16" t="n">
        <v>0.761329</v>
      </c>
      <c r="DX257" s="16" t="n">
        <v>0.863408</v>
      </c>
      <c r="DY257" s="16" t="n"/>
      <c r="DZ257" s="16" t="n"/>
    </row>
    <row r="258">
      <c r="BS258" s="16" t="n"/>
      <c r="BT258" s="16" t="n"/>
      <c r="BU258" s="16" t="n">
        <v>0.76435</v>
      </c>
      <c r="BV258" s="16" t="n">
        <v>474.244855</v>
      </c>
      <c r="BW258" s="16" t="n"/>
      <c r="BX258" s="16" t="n"/>
      <c r="BY258" s="16" t="n"/>
      <c r="BZ258" s="16" t="n"/>
      <c r="CA258" s="16" t="n">
        <v>0.76435</v>
      </c>
      <c r="CB258" s="16" t="n">
        <v>298.141873</v>
      </c>
      <c r="CC258" s="16" t="n"/>
      <c r="CD258" s="16" t="n"/>
      <c r="CE258" s="16" t="n"/>
      <c r="CF258" s="16" t="n"/>
      <c r="CG258" s="16" t="n">
        <v>0.76435</v>
      </c>
      <c r="CH258" s="16" t="n">
        <v>4197.39151</v>
      </c>
      <c r="CI258" s="16" t="n"/>
      <c r="CJ258" s="16" t="n"/>
      <c r="CK258" s="16" t="n"/>
      <c r="CL258" s="16" t="n"/>
      <c r="CM258" s="16" t="n">
        <v>0.76435</v>
      </c>
      <c r="CN258" s="16" t="n">
        <v>1101.886053</v>
      </c>
      <c r="CO258" s="16" t="n"/>
      <c r="CP258" s="16" t="n"/>
      <c r="CQ258" s="16" t="n"/>
      <c r="CR258" s="16" t="n"/>
      <c r="CS258" s="16" t="n">
        <v>0.76435</v>
      </c>
      <c r="CT258" s="16" t="n">
        <v>0.776358</v>
      </c>
      <c r="CU258" s="16" t="n"/>
      <c r="CV258" s="16" t="n"/>
      <c r="CW258" s="16" t="n"/>
      <c r="CX258" s="16" t="n"/>
      <c r="CY258" s="16" t="n">
        <v>0.76435</v>
      </c>
      <c r="CZ258" s="16" t="n">
        <v>0.877293</v>
      </c>
      <c r="DA258" s="16" t="n"/>
      <c r="DB258" s="16" t="n"/>
      <c r="DC258" s="16" t="n"/>
      <c r="DD258" s="16" t="n"/>
      <c r="DE258" s="16" t="n">
        <v>0.76435</v>
      </c>
      <c r="DF258" s="16" t="n">
        <v>0.839396</v>
      </c>
      <c r="DG258" s="16" t="n"/>
      <c r="DH258" s="16" t="n"/>
      <c r="DI258" s="16" t="n"/>
      <c r="DJ258" s="16" t="n"/>
      <c r="DK258" s="16" t="n">
        <v>0.76435</v>
      </c>
      <c r="DL258" s="16" t="n">
        <v>0.870869</v>
      </c>
      <c r="DM258" s="16" t="n"/>
      <c r="DN258" s="16" t="n"/>
      <c r="DO258" s="16" t="n"/>
      <c r="DP258" s="16" t="n"/>
      <c r="DQ258" s="16" t="n">
        <v>0.76435</v>
      </c>
      <c r="DR258" s="16" t="n">
        <v>0.861053</v>
      </c>
      <c r="DS258" s="16" t="n"/>
      <c r="DT258" s="16" t="n"/>
      <c r="DU258" s="16" t="n"/>
      <c r="DV258" s="16" t="n"/>
      <c r="DW258" s="16" t="n">
        <v>0.76435</v>
      </c>
      <c r="DX258" s="16" t="n">
        <v>0.8644230000000001</v>
      </c>
      <c r="DY258" s="16" t="n"/>
      <c r="DZ258" s="16" t="n"/>
    </row>
    <row r="259">
      <c r="BS259" s="16" t="n"/>
      <c r="BT259" s="16" t="n"/>
      <c r="BU259" s="16" t="n">
        <v>0.7673720000000001</v>
      </c>
      <c r="BV259" s="16" t="n">
        <v>474.265924</v>
      </c>
      <c r="BW259" s="16" t="n"/>
      <c r="BX259" s="16" t="n"/>
      <c r="BY259" s="16" t="n"/>
      <c r="BZ259" s="16" t="n"/>
      <c r="CA259" s="16" t="n">
        <v>0.7673720000000001</v>
      </c>
      <c r="CB259" s="16" t="n">
        <v>298.199787</v>
      </c>
      <c r="CC259" s="16" t="n"/>
      <c r="CD259" s="16" t="n"/>
      <c r="CE259" s="16" t="n"/>
      <c r="CF259" s="16" t="n"/>
      <c r="CG259" s="16" t="n">
        <v>0.7673720000000001</v>
      </c>
      <c r="CH259" s="16" t="n">
        <v>4202.002921</v>
      </c>
      <c r="CI259" s="16" t="n"/>
      <c r="CJ259" s="16" t="n"/>
      <c r="CK259" s="16" t="n"/>
      <c r="CL259" s="16" t="n"/>
      <c r="CM259" s="16" t="n">
        <v>0.7673720000000001</v>
      </c>
      <c r="CN259" s="16" t="n">
        <v>1103.058355</v>
      </c>
      <c r="CO259" s="16" t="n"/>
      <c r="CP259" s="16" t="n"/>
      <c r="CQ259" s="16" t="n"/>
      <c r="CR259" s="16" t="n"/>
      <c r="CS259" s="16" t="n">
        <v>0.7673720000000001</v>
      </c>
      <c r="CT259" s="16" t="n">
        <v>0.776988</v>
      </c>
      <c r="CU259" s="16" t="n"/>
      <c r="CV259" s="16" t="n"/>
      <c r="CW259" s="16" t="n"/>
      <c r="CX259" s="16" t="n"/>
      <c r="CY259" s="16" t="n">
        <v>0.7673720000000001</v>
      </c>
      <c r="CZ259" s="16" t="n">
        <v>0.877818</v>
      </c>
      <c r="DA259" s="16" t="n"/>
      <c r="DB259" s="16" t="n"/>
      <c r="DC259" s="16" t="n"/>
      <c r="DD259" s="16" t="n"/>
      <c r="DE259" s="16" t="n">
        <v>0.7673720000000001</v>
      </c>
      <c r="DF259" s="16" t="n">
        <v>0.840045</v>
      </c>
      <c r="DG259" s="16" t="n"/>
      <c r="DH259" s="16" t="n"/>
      <c r="DI259" s="16" t="n"/>
      <c r="DJ259" s="16" t="n"/>
      <c r="DK259" s="16" t="n">
        <v>0.7673720000000001</v>
      </c>
      <c r="DL259" s="16" t="n">
        <v>0.8713340000000001</v>
      </c>
      <c r="DM259" s="16" t="n"/>
      <c r="DN259" s="16" t="n"/>
      <c r="DO259" s="16" t="n"/>
      <c r="DP259" s="16" t="n"/>
      <c r="DQ259" s="16" t="n">
        <v>0.7673720000000001</v>
      </c>
      <c r="DR259" s="16" t="n">
        <v>0.861327</v>
      </c>
      <c r="DS259" s="16" t="n"/>
      <c r="DT259" s="16" t="n"/>
      <c r="DU259" s="16" t="n"/>
      <c r="DV259" s="16" t="n"/>
      <c r="DW259" s="16" t="n">
        <v>0.7673720000000001</v>
      </c>
      <c r="DX259" s="16" t="n">
        <v>0.868001</v>
      </c>
      <c r="DY259" s="16" t="n"/>
      <c r="DZ259" s="16" t="n"/>
    </row>
    <row r="260">
      <c r="BS260" s="16" t="n"/>
      <c r="BT260" s="16" t="n"/>
      <c r="BU260" s="16" t="n">
        <v>0.770393</v>
      </c>
      <c r="BV260" s="16" t="n">
        <v>474.536823</v>
      </c>
      <c r="BW260" s="16" t="n"/>
      <c r="BX260" s="16" t="n"/>
      <c r="BY260" s="16" t="n"/>
      <c r="BZ260" s="16" t="n"/>
      <c r="CA260" s="16" t="n">
        <v>0.770393</v>
      </c>
      <c r="CB260" s="16" t="n">
        <v>298.227401</v>
      </c>
      <c r="CC260" s="16" t="n"/>
      <c r="CD260" s="16" t="n"/>
      <c r="CE260" s="16" t="n"/>
      <c r="CF260" s="16" t="n"/>
      <c r="CG260" s="16" t="n">
        <v>0.770393</v>
      </c>
      <c r="CH260" s="16" t="n">
        <v>4206.426945</v>
      </c>
      <c r="CI260" s="16" t="n"/>
      <c r="CJ260" s="16" t="n"/>
      <c r="CK260" s="16" t="n"/>
      <c r="CL260" s="16" t="n"/>
      <c r="CM260" s="16" t="n">
        <v>0.770393</v>
      </c>
      <c r="CN260" s="16" t="n">
        <v>1112.256412</v>
      </c>
      <c r="CO260" s="16" t="n"/>
      <c r="CP260" s="16" t="n"/>
      <c r="CQ260" s="16" t="n"/>
      <c r="CR260" s="16" t="n"/>
      <c r="CS260" s="16" t="n">
        <v>0.770393</v>
      </c>
      <c r="CT260" s="16" t="n">
        <v>0.778161</v>
      </c>
      <c r="CU260" s="16" t="n"/>
      <c r="CV260" s="16" t="n"/>
      <c r="CW260" s="16" t="n"/>
      <c r="CX260" s="16" t="n"/>
      <c r="CY260" s="16" t="n">
        <v>0.770393</v>
      </c>
      <c r="CZ260" s="16" t="n">
        <v>0.878754</v>
      </c>
      <c r="DA260" s="16" t="n"/>
      <c r="DB260" s="16" t="n"/>
      <c r="DC260" s="16" t="n"/>
      <c r="DD260" s="16" t="n"/>
      <c r="DE260" s="16" t="n">
        <v>0.770393</v>
      </c>
      <c r="DF260" s="16" t="n">
        <v>0.841128</v>
      </c>
      <c r="DG260" s="16" t="n"/>
      <c r="DH260" s="16" t="n"/>
      <c r="DI260" s="16" t="n"/>
      <c r="DJ260" s="16" t="n"/>
      <c r="DK260" s="16" t="n">
        <v>0.770393</v>
      </c>
      <c r="DL260" s="16" t="n">
        <v>0.871499</v>
      </c>
      <c r="DM260" s="16" t="n"/>
      <c r="DN260" s="16" t="n"/>
      <c r="DO260" s="16" t="n"/>
      <c r="DP260" s="16" t="n"/>
      <c r="DQ260" s="16" t="n">
        <v>0.770393</v>
      </c>
      <c r="DR260" s="16" t="n">
        <v>0.862343</v>
      </c>
      <c r="DS260" s="16" t="n"/>
      <c r="DT260" s="16" t="n"/>
      <c r="DU260" s="16" t="n"/>
      <c r="DV260" s="16" t="n"/>
      <c r="DW260" s="16" t="n">
        <v>0.770393</v>
      </c>
      <c r="DX260" s="16" t="n">
        <v>0.871732</v>
      </c>
      <c r="DY260" s="16" t="n"/>
      <c r="DZ260" s="16" t="n"/>
    </row>
    <row r="261">
      <c r="BS261" s="16" t="n"/>
      <c r="BT261" s="16" t="n"/>
      <c r="BU261" s="16" t="n">
        <v>0.773414</v>
      </c>
      <c r="BV261" s="16" t="n">
        <v>475.2506</v>
      </c>
      <c r="BW261" s="16" t="n"/>
      <c r="BX261" s="16" t="n"/>
      <c r="BY261" s="16" t="n"/>
      <c r="BZ261" s="16" t="n"/>
      <c r="CA261" s="16" t="n">
        <v>0.773414</v>
      </c>
      <c r="CB261" s="16" t="n">
        <v>298.361902</v>
      </c>
      <c r="CC261" s="16" t="n"/>
      <c r="CD261" s="16" t="n"/>
      <c r="CE261" s="16" t="n"/>
      <c r="CF261" s="16" t="n"/>
      <c r="CG261" s="16" t="n">
        <v>0.773414</v>
      </c>
      <c r="CH261" s="16" t="n">
        <v>4209.325002</v>
      </c>
      <c r="CI261" s="16" t="n"/>
      <c r="CJ261" s="16" t="n"/>
      <c r="CK261" s="16" t="n"/>
      <c r="CL261" s="16" t="n"/>
      <c r="CM261" s="16" t="n">
        <v>0.773414</v>
      </c>
      <c r="CN261" s="16" t="n">
        <v>1119.32858</v>
      </c>
      <c r="CO261" s="16" t="n"/>
      <c r="CP261" s="16" t="n"/>
      <c r="CQ261" s="16" t="n"/>
      <c r="CR261" s="16" t="n"/>
      <c r="CS261" s="16" t="n">
        <v>0.773414</v>
      </c>
      <c r="CT261" s="16" t="n">
        <v>0.778764</v>
      </c>
      <c r="CU261" s="16" t="n"/>
      <c r="CV261" s="16" t="n"/>
      <c r="CW261" s="16" t="n"/>
      <c r="CX261" s="16" t="n"/>
      <c r="CY261" s="16" t="n">
        <v>0.773414</v>
      </c>
      <c r="CZ261" s="16" t="n">
        <v>0.879935</v>
      </c>
      <c r="DA261" s="16" t="n"/>
      <c r="DB261" s="16" t="n"/>
      <c r="DC261" s="16" t="n"/>
      <c r="DD261" s="16" t="n"/>
      <c r="DE261" s="16" t="n">
        <v>0.773414</v>
      </c>
      <c r="DF261" s="16" t="n">
        <v>0.8415550000000001</v>
      </c>
      <c r="DG261" s="16" t="n"/>
      <c r="DH261" s="16" t="n"/>
      <c r="DI261" s="16" t="n"/>
      <c r="DJ261" s="16" t="n"/>
      <c r="DK261" s="16" t="n">
        <v>0.773414</v>
      </c>
      <c r="DL261" s="16" t="n">
        <v>0.8722490000000001</v>
      </c>
      <c r="DM261" s="16" t="n"/>
      <c r="DN261" s="16" t="n"/>
      <c r="DO261" s="16" t="n"/>
      <c r="DP261" s="16" t="n"/>
      <c r="DQ261" s="16" t="n">
        <v>0.773414</v>
      </c>
      <c r="DR261" s="16" t="n">
        <v>0.863391</v>
      </c>
      <c r="DS261" s="16" t="n"/>
      <c r="DT261" s="16" t="n"/>
      <c r="DU261" s="16" t="n"/>
      <c r="DV261" s="16" t="n"/>
      <c r="DW261" s="16" t="n">
        <v>0.773414</v>
      </c>
      <c r="DX261" s="16" t="n">
        <v>0.871783</v>
      </c>
      <c r="DY261" s="16" t="n"/>
      <c r="DZ261" s="16" t="n"/>
    </row>
    <row r="262">
      <c r="BS262" s="16" t="n"/>
      <c r="BT262" s="16" t="n"/>
      <c r="BU262" s="16" t="n">
        <v>0.776435</v>
      </c>
      <c r="BV262" s="16" t="n">
        <v>475.256875</v>
      </c>
      <c r="BW262" s="16" t="n"/>
      <c r="BX262" s="16" t="n"/>
      <c r="BY262" s="16" t="n"/>
      <c r="BZ262" s="16" t="n"/>
      <c r="CA262" s="16" t="n">
        <v>0.776435</v>
      </c>
      <c r="CB262" s="16" t="n">
        <v>298.385321</v>
      </c>
      <c r="CC262" s="16" t="n"/>
      <c r="CD262" s="16" t="n"/>
      <c r="CE262" s="16" t="n"/>
      <c r="CF262" s="16" t="n"/>
      <c r="CG262" s="16" t="n">
        <v>0.776435</v>
      </c>
      <c r="CH262" s="16" t="n">
        <v>4210.648085</v>
      </c>
      <c r="CI262" s="16" t="n"/>
      <c r="CJ262" s="16" t="n"/>
      <c r="CK262" s="16" t="n"/>
      <c r="CL262" s="16" t="n"/>
      <c r="CM262" s="16" t="n">
        <v>0.776435</v>
      </c>
      <c r="CN262" s="16" t="n">
        <v>1121.268866</v>
      </c>
      <c r="CO262" s="16" t="n"/>
      <c r="CP262" s="16" t="n"/>
      <c r="CQ262" s="16" t="n"/>
      <c r="CR262" s="16" t="n"/>
      <c r="CS262" s="16" t="n">
        <v>0.776435</v>
      </c>
      <c r="CT262" s="16" t="n">
        <v>0.7795879999999999</v>
      </c>
      <c r="CU262" s="16" t="n"/>
      <c r="CV262" s="16" t="n"/>
      <c r="CW262" s="16" t="n"/>
      <c r="CX262" s="16" t="n"/>
      <c r="CY262" s="16" t="n">
        <v>0.776435</v>
      </c>
      <c r="CZ262" s="16" t="n">
        <v>0.8802410000000001</v>
      </c>
      <c r="DA262" s="16" t="n"/>
      <c r="DB262" s="16" t="n"/>
      <c r="DC262" s="16" t="n"/>
      <c r="DD262" s="16" t="n"/>
      <c r="DE262" s="16" t="n">
        <v>0.776435</v>
      </c>
      <c r="DF262" s="16" t="n">
        <v>0.842453</v>
      </c>
      <c r="DG262" s="16" t="n"/>
      <c r="DH262" s="16" t="n"/>
      <c r="DI262" s="16" t="n"/>
      <c r="DJ262" s="16" t="n"/>
      <c r="DK262" s="16" t="n">
        <v>0.776435</v>
      </c>
      <c r="DL262" s="16" t="n">
        <v>0.873613</v>
      </c>
      <c r="DM262" s="16" t="n"/>
      <c r="DN262" s="16" t="n"/>
      <c r="DO262" s="16" t="n"/>
      <c r="DP262" s="16" t="n"/>
      <c r="DQ262" s="16" t="n">
        <v>0.776435</v>
      </c>
      <c r="DR262" s="16" t="n">
        <v>0.86351</v>
      </c>
      <c r="DS262" s="16" t="n"/>
      <c r="DT262" s="16" t="n"/>
      <c r="DU262" s="16" t="n"/>
      <c r="DV262" s="16" t="n"/>
      <c r="DW262" s="16" t="n">
        <v>0.776435</v>
      </c>
      <c r="DX262" s="16" t="n">
        <v>0.872969</v>
      </c>
      <c r="DY262" s="16" t="n"/>
      <c r="DZ262" s="16" t="n"/>
    </row>
    <row r="263">
      <c r="BS263" s="16" t="n"/>
      <c r="BT263" s="16" t="n"/>
      <c r="BU263" s="16" t="n">
        <v>0.779456</v>
      </c>
      <c r="BV263" s="16" t="n">
        <v>475.70404</v>
      </c>
      <c r="BW263" s="16" t="n"/>
      <c r="BX263" s="16" t="n"/>
      <c r="BY263" s="16" t="n"/>
      <c r="BZ263" s="16" t="n"/>
      <c r="CA263" s="16" t="n">
        <v>0.779456</v>
      </c>
      <c r="CB263" s="16" t="n">
        <v>298.429257</v>
      </c>
      <c r="CC263" s="16" t="n"/>
      <c r="CD263" s="16" t="n"/>
      <c r="CE263" s="16" t="n"/>
      <c r="CF263" s="16" t="n"/>
      <c r="CG263" s="16" t="n">
        <v>0.779456</v>
      </c>
      <c r="CH263" s="16" t="n">
        <v>4221.270902</v>
      </c>
      <c r="CI263" s="16" t="n"/>
      <c r="CJ263" s="16" t="n"/>
      <c r="CK263" s="16" t="n"/>
      <c r="CL263" s="16" t="n"/>
      <c r="CM263" s="16" t="n">
        <v>0.779456</v>
      </c>
      <c r="CN263" s="16" t="n">
        <v>1124.420413</v>
      </c>
      <c r="CO263" s="16" t="n"/>
      <c r="CP263" s="16" t="n"/>
      <c r="CQ263" s="16" t="n"/>
      <c r="CR263" s="16" t="n"/>
      <c r="CS263" s="16" t="n">
        <v>0.779456</v>
      </c>
      <c r="CT263" s="16" t="n">
        <v>0.780492</v>
      </c>
      <c r="CU263" s="16" t="n"/>
      <c r="CV263" s="16" t="n"/>
      <c r="CW263" s="16" t="n"/>
      <c r="CX263" s="16" t="n"/>
      <c r="CY263" s="16" t="n">
        <v>0.779456</v>
      </c>
      <c r="CZ263" s="16" t="n">
        <v>0.880261</v>
      </c>
      <c r="DA263" s="16" t="n"/>
      <c r="DB263" s="16" t="n"/>
      <c r="DC263" s="16" t="n"/>
      <c r="DD263" s="16" t="n"/>
      <c r="DE263" s="16" t="n">
        <v>0.779456</v>
      </c>
      <c r="DF263" s="16" t="n">
        <v>0.843093</v>
      </c>
      <c r="DG263" s="16" t="n"/>
      <c r="DH263" s="16" t="n"/>
      <c r="DI263" s="16" t="n"/>
      <c r="DJ263" s="16" t="n"/>
      <c r="DK263" s="16" t="n">
        <v>0.779456</v>
      </c>
      <c r="DL263" s="16" t="n">
        <v>0.875476</v>
      </c>
      <c r="DM263" s="16" t="n"/>
      <c r="DN263" s="16" t="n"/>
      <c r="DO263" s="16" t="n"/>
      <c r="DP263" s="16" t="n"/>
      <c r="DQ263" s="16" t="n">
        <v>0.779456</v>
      </c>
      <c r="DR263" s="16" t="n">
        <v>0.866137</v>
      </c>
      <c r="DS263" s="16" t="n"/>
      <c r="DT263" s="16" t="n"/>
      <c r="DU263" s="16" t="n"/>
      <c r="DV263" s="16" t="n"/>
      <c r="DW263" s="16" t="n">
        <v>0.779456</v>
      </c>
      <c r="DX263" s="16" t="n">
        <v>0.873012</v>
      </c>
      <c r="DY263" s="16" t="n"/>
      <c r="DZ263" s="16" t="n"/>
    </row>
    <row r="264">
      <c r="BS264" s="16" t="n"/>
      <c r="BT264" s="16" t="n"/>
      <c r="BU264" s="16" t="n">
        <v>0.782477</v>
      </c>
      <c r="BV264" s="16" t="n">
        <v>475.769121</v>
      </c>
      <c r="BW264" s="16" t="n"/>
      <c r="BX264" s="16" t="n"/>
      <c r="BY264" s="16" t="n"/>
      <c r="BZ264" s="16" t="n"/>
      <c r="CA264" s="16" t="n">
        <v>0.782477</v>
      </c>
      <c r="CB264" s="16" t="n">
        <v>298.527368</v>
      </c>
      <c r="CC264" s="16" t="n"/>
      <c r="CD264" s="16" t="n"/>
      <c r="CE264" s="16" t="n"/>
      <c r="CF264" s="16" t="n"/>
      <c r="CG264" s="16" t="n">
        <v>0.782477</v>
      </c>
      <c r="CH264" s="16" t="n">
        <v>4232.314608</v>
      </c>
      <c r="CI264" s="16" t="n"/>
      <c r="CJ264" s="16" t="n"/>
      <c r="CK264" s="16" t="n"/>
      <c r="CL264" s="16" t="n"/>
      <c r="CM264" s="16" t="n">
        <v>0.782477</v>
      </c>
      <c r="CN264" s="16" t="n">
        <v>1130.379176</v>
      </c>
      <c r="CO264" s="16" t="n"/>
      <c r="CP264" s="16" t="n"/>
      <c r="CQ264" s="16" t="n"/>
      <c r="CR264" s="16" t="n"/>
      <c r="CS264" s="16" t="n">
        <v>0.782477</v>
      </c>
      <c r="CT264" s="16" t="n">
        <v>0.781266</v>
      </c>
      <c r="CU264" s="16" t="n"/>
      <c r="CV264" s="16" t="n"/>
      <c r="CW264" s="16" t="n"/>
      <c r="CX264" s="16" t="n"/>
      <c r="CY264" s="16" t="n">
        <v>0.782477</v>
      </c>
      <c r="CZ264" s="16" t="n">
        <v>0.880543</v>
      </c>
      <c r="DA264" s="16" t="n"/>
      <c r="DB264" s="16" t="n"/>
      <c r="DC264" s="16" t="n"/>
      <c r="DD264" s="16" t="n"/>
      <c r="DE264" s="16" t="n">
        <v>0.782477</v>
      </c>
      <c r="DF264" s="16" t="n">
        <v>0.843749</v>
      </c>
      <c r="DG264" s="16" t="n"/>
      <c r="DH264" s="16" t="n"/>
      <c r="DI264" s="16" t="n"/>
      <c r="DJ264" s="16" t="n"/>
      <c r="DK264" s="16" t="n">
        <v>0.782477</v>
      </c>
      <c r="DL264" s="16" t="n">
        <v>0.875803</v>
      </c>
      <c r="DM264" s="16" t="n"/>
      <c r="DN264" s="16" t="n"/>
      <c r="DO264" s="16" t="n"/>
      <c r="DP264" s="16" t="n"/>
      <c r="DQ264" s="16" t="n">
        <v>0.782477</v>
      </c>
      <c r="DR264" s="16" t="n">
        <v>0.866901</v>
      </c>
      <c r="DS264" s="16" t="n"/>
      <c r="DT264" s="16" t="n"/>
      <c r="DU264" s="16" t="n"/>
      <c r="DV264" s="16" t="n"/>
      <c r="DW264" s="16" t="n">
        <v>0.782477</v>
      </c>
      <c r="DX264" s="16" t="n">
        <v>0.874719</v>
      </c>
      <c r="DY264" s="16" t="n"/>
      <c r="DZ264" s="16" t="n"/>
    </row>
    <row r="265">
      <c r="BS265" s="16" t="n"/>
      <c r="BT265" s="16" t="n"/>
      <c r="BU265" s="16" t="n">
        <v>0.785498</v>
      </c>
      <c r="BV265" s="16" t="n">
        <v>476.179531</v>
      </c>
      <c r="BW265" s="16" t="n"/>
      <c r="BX265" s="16" t="n"/>
      <c r="BY265" s="16" t="n"/>
      <c r="BZ265" s="16" t="n"/>
      <c r="CA265" s="16" t="n">
        <v>0.785498</v>
      </c>
      <c r="CB265" s="16" t="n">
        <v>298.599361</v>
      </c>
      <c r="CC265" s="16" t="n"/>
      <c r="CD265" s="16" t="n"/>
      <c r="CE265" s="16" t="n"/>
      <c r="CF265" s="16" t="n"/>
      <c r="CG265" s="16" t="n">
        <v>0.785498</v>
      </c>
      <c r="CH265" s="16" t="n">
        <v>4236.263722</v>
      </c>
      <c r="CI265" s="16" t="n"/>
      <c r="CJ265" s="16" t="n"/>
      <c r="CK265" s="16" t="n"/>
      <c r="CL265" s="16" t="n"/>
      <c r="CM265" s="16" t="n">
        <v>0.785498</v>
      </c>
      <c r="CN265" s="16" t="n">
        <v>1138.943976</v>
      </c>
      <c r="CO265" s="16" t="n"/>
      <c r="CP265" s="16" t="n"/>
      <c r="CQ265" s="16" t="n"/>
      <c r="CR265" s="16" t="n"/>
      <c r="CS265" s="16" t="n">
        <v>0.785498</v>
      </c>
      <c r="CT265" s="16" t="n">
        <v>0.781498</v>
      </c>
      <c r="CU265" s="16" t="n"/>
      <c r="CV265" s="16" t="n"/>
      <c r="CW265" s="16" t="n"/>
      <c r="CX265" s="16" t="n"/>
      <c r="CY265" s="16" t="n">
        <v>0.785498</v>
      </c>
      <c r="CZ265" s="16" t="n">
        <v>0.88095</v>
      </c>
      <c r="DA265" s="16" t="n"/>
      <c r="DB265" s="16" t="n"/>
      <c r="DC265" s="16" t="n"/>
      <c r="DD265" s="16" t="n"/>
      <c r="DE265" s="16" t="n">
        <v>0.785498</v>
      </c>
      <c r="DF265" s="16" t="n">
        <v>0.843823</v>
      </c>
      <c r="DG265" s="16" t="n"/>
      <c r="DH265" s="16" t="n"/>
      <c r="DI265" s="16" t="n"/>
      <c r="DJ265" s="16" t="n"/>
      <c r="DK265" s="16" t="n">
        <v>0.785498</v>
      </c>
      <c r="DL265" s="16" t="n">
        <v>0.877799</v>
      </c>
      <c r="DM265" s="16" t="n"/>
      <c r="DN265" s="16" t="n"/>
      <c r="DO265" s="16" t="n"/>
      <c r="DP265" s="16" t="n"/>
      <c r="DQ265" s="16" t="n">
        <v>0.785498</v>
      </c>
      <c r="DR265" s="16" t="n">
        <v>0.867549</v>
      </c>
      <c r="DS265" s="16" t="n"/>
      <c r="DT265" s="16" t="n"/>
      <c r="DU265" s="16" t="n"/>
      <c r="DV265" s="16" t="n"/>
      <c r="DW265" s="16" t="n">
        <v>0.785498</v>
      </c>
      <c r="DX265" s="16" t="n">
        <v>0.87484</v>
      </c>
      <c r="DY265" s="16" t="n"/>
      <c r="DZ265" s="16" t="n"/>
    </row>
    <row r="266">
      <c r="BS266" s="16" t="n"/>
      <c r="BT266" s="16" t="n"/>
      <c r="BU266" s="16" t="n">
        <v>0.78852</v>
      </c>
      <c r="BV266" s="16" t="n">
        <v>476.274587</v>
      </c>
      <c r="BW266" s="16" t="n"/>
      <c r="BX266" s="16" t="n"/>
      <c r="BY266" s="16" t="n"/>
      <c r="BZ266" s="16" t="n"/>
      <c r="CA266" s="16" t="n">
        <v>0.78852</v>
      </c>
      <c r="CB266" s="16" t="n">
        <v>298.658303</v>
      </c>
      <c r="CC266" s="16" t="n"/>
      <c r="CD266" s="16" t="n"/>
      <c r="CE266" s="16" t="n"/>
      <c r="CF266" s="16" t="n"/>
      <c r="CG266" s="16" t="n">
        <v>0.78852</v>
      </c>
      <c r="CH266" s="16" t="n">
        <v>4238.795623</v>
      </c>
      <c r="CI266" s="16" t="n"/>
      <c r="CJ266" s="16" t="n"/>
      <c r="CK266" s="16" t="n"/>
      <c r="CL266" s="16" t="n"/>
      <c r="CM266" s="16" t="n">
        <v>0.78852</v>
      </c>
      <c r="CN266" s="16" t="n">
        <v>1145.696865</v>
      </c>
      <c r="CO266" s="16" t="n"/>
      <c r="CP266" s="16" t="n"/>
      <c r="CQ266" s="16" t="n"/>
      <c r="CR266" s="16" t="n"/>
      <c r="CS266" s="16" t="n">
        <v>0.78852</v>
      </c>
      <c r="CT266" s="16" t="n">
        <v>0.783081</v>
      </c>
      <c r="CU266" s="16" t="n"/>
      <c r="CV266" s="16" t="n"/>
      <c r="CW266" s="16" t="n"/>
      <c r="CX266" s="16" t="n"/>
      <c r="CY266" s="16" t="n">
        <v>0.78852</v>
      </c>
      <c r="CZ266" s="16" t="n">
        <v>0.881924</v>
      </c>
      <c r="DA266" s="16" t="n"/>
      <c r="DB266" s="16" t="n"/>
      <c r="DC266" s="16" t="n"/>
      <c r="DD266" s="16" t="n"/>
      <c r="DE266" s="16" t="n">
        <v>0.78852</v>
      </c>
      <c r="DF266" s="16" t="n">
        <v>0.844347</v>
      </c>
      <c r="DG266" s="16" t="n"/>
      <c r="DH266" s="16" t="n"/>
      <c r="DI266" s="16" t="n"/>
      <c r="DJ266" s="16" t="n"/>
      <c r="DK266" s="16" t="n">
        <v>0.78852</v>
      </c>
      <c r="DL266" s="16" t="n">
        <v>0.8798820000000001</v>
      </c>
      <c r="DM266" s="16" t="n"/>
      <c r="DN266" s="16" t="n"/>
      <c r="DO266" s="16" t="n"/>
      <c r="DP266" s="16" t="n"/>
      <c r="DQ266" s="16" t="n">
        <v>0.78852</v>
      </c>
      <c r="DR266" s="16" t="n">
        <v>0.868978</v>
      </c>
      <c r="DS266" s="16" t="n"/>
      <c r="DT266" s="16" t="n"/>
      <c r="DU266" s="16" t="n"/>
      <c r="DV266" s="16" t="n"/>
      <c r="DW266" s="16" t="n">
        <v>0.78852</v>
      </c>
      <c r="DX266" s="16" t="n">
        <v>0.875829</v>
      </c>
      <c r="DY266" s="16" t="n"/>
      <c r="DZ266" s="16" t="n"/>
    </row>
    <row r="267">
      <c r="BS267" s="16" t="n"/>
      <c r="BT267" s="16" t="n"/>
      <c r="BU267" s="16" t="n">
        <v>0.7915410000000001</v>
      </c>
      <c r="BV267" s="16" t="n">
        <v>476.790078</v>
      </c>
      <c r="BW267" s="16" t="n"/>
      <c r="BX267" s="16" t="n"/>
      <c r="BY267" s="16" t="n"/>
      <c r="BZ267" s="16" t="n"/>
      <c r="CA267" s="16" t="n">
        <v>0.7915410000000001</v>
      </c>
      <c r="CB267" s="16" t="n">
        <v>298.720731</v>
      </c>
      <c r="CC267" s="16" t="n"/>
      <c r="CD267" s="16" t="n"/>
      <c r="CE267" s="16" t="n"/>
      <c r="CF267" s="16" t="n"/>
      <c r="CG267" s="16" t="n">
        <v>0.7915410000000001</v>
      </c>
      <c r="CH267" s="16" t="n">
        <v>4249.633475</v>
      </c>
      <c r="CI267" s="16" t="n"/>
      <c r="CJ267" s="16" t="n"/>
      <c r="CK267" s="16" t="n"/>
      <c r="CL267" s="16" t="n"/>
      <c r="CM267" s="16" t="n">
        <v>0.7915410000000001</v>
      </c>
      <c r="CN267" s="16" t="n">
        <v>1150.143754</v>
      </c>
      <c r="CO267" s="16" t="n"/>
      <c r="CP267" s="16" t="n"/>
      <c r="CQ267" s="16" t="n"/>
      <c r="CR267" s="16" t="n"/>
      <c r="CS267" s="16" t="n">
        <v>0.7915410000000001</v>
      </c>
      <c r="CT267" s="16" t="n">
        <v>0.783659</v>
      </c>
      <c r="CU267" s="16" t="n"/>
      <c r="CV267" s="16" t="n"/>
      <c r="CW267" s="16" t="n"/>
      <c r="CX267" s="16" t="n"/>
      <c r="CY267" s="16" t="n">
        <v>0.7915410000000001</v>
      </c>
      <c r="CZ267" s="16" t="n">
        <v>0.881969</v>
      </c>
      <c r="DA267" s="16" t="n"/>
      <c r="DB267" s="16" t="n"/>
      <c r="DC267" s="16" t="n"/>
      <c r="DD267" s="16" t="n"/>
      <c r="DE267" s="16" t="n">
        <v>0.7915410000000001</v>
      </c>
      <c r="DF267" s="16" t="n">
        <v>0.845052</v>
      </c>
      <c r="DG267" s="16" t="n"/>
      <c r="DH267" s="16" t="n"/>
      <c r="DI267" s="16" t="n"/>
      <c r="DJ267" s="16" t="n"/>
      <c r="DK267" s="16" t="n">
        <v>0.7915410000000001</v>
      </c>
      <c r="DL267" s="16" t="n">
        <v>0.8822759999999999</v>
      </c>
      <c r="DM267" s="16" t="n"/>
      <c r="DN267" s="16" t="n"/>
      <c r="DO267" s="16" t="n"/>
      <c r="DP267" s="16" t="n"/>
      <c r="DQ267" s="16" t="n">
        <v>0.7915410000000001</v>
      </c>
      <c r="DR267" s="16" t="n">
        <v>0.870552</v>
      </c>
      <c r="DS267" s="16" t="n"/>
      <c r="DT267" s="16" t="n"/>
      <c r="DU267" s="16" t="n"/>
      <c r="DV267" s="16" t="n"/>
      <c r="DW267" s="16" t="n">
        <v>0.7915410000000001</v>
      </c>
      <c r="DX267" s="16" t="n">
        <v>0.876154</v>
      </c>
      <c r="DY267" s="16" t="n"/>
      <c r="DZ267" s="16" t="n"/>
    </row>
    <row r="268">
      <c r="BS268" s="16" t="n"/>
      <c r="BT268" s="16" t="n"/>
      <c r="BU268" s="16" t="n">
        <v>0.794562</v>
      </c>
      <c r="BV268" s="16" t="n">
        <v>476.977709</v>
      </c>
      <c r="BW268" s="16" t="n"/>
      <c r="BX268" s="16" t="n"/>
      <c r="BY268" s="16" t="n"/>
      <c r="BZ268" s="16" t="n"/>
      <c r="CA268" s="16" t="n">
        <v>0.794562</v>
      </c>
      <c r="CB268" s="16" t="n">
        <v>298.795015</v>
      </c>
      <c r="CC268" s="16" t="n"/>
      <c r="CD268" s="16" t="n"/>
      <c r="CE268" s="16" t="n"/>
      <c r="CF268" s="16" t="n"/>
      <c r="CG268" s="16" t="n">
        <v>0.794562</v>
      </c>
      <c r="CH268" s="16" t="n">
        <v>4255.139849</v>
      </c>
      <c r="CI268" s="16" t="n"/>
      <c r="CJ268" s="16" t="n"/>
      <c r="CK268" s="16" t="n"/>
      <c r="CL268" s="16" t="n"/>
      <c r="CM268" s="16" t="n">
        <v>0.794562</v>
      </c>
      <c r="CN268" s="16" t="n">
        <v>1152.091133</v>
      </c>
      <c r="CO268" s="16" t="n"/>
      <c r="CP268" s="16" t="n"/>
      <c r="CQ268" s="16" t="n"/>
      <c r="CR268" s="16" t="n"/>
      <c r="CS268" s="16" t="n">
        <v>0.794562</v>
      </c>
      <c r="CT268" s="16" t="n">
        <v>0.784784</v>
      </c>
      <c r="CU268" s="16" t="n"/>
      <c r="CV268" s="16" t="n"/>
      <c r="CW268" s="16" t="n"/>
      <c r="CX268" s="16" t="n"/>
      <c r="CY268" s="16" t="n">
        <v>0.794562</v>
      </c>
      <c r="CZ268" s="16" t="n">
        <v>0.8829</v>
      </c>
      <c r="DA268" s="16" t="n"/>
      <c r="DB268" s="16" t="n"/>
      <c r="DC268" s="16" t="n"/>
      <c r="DD268" s="16" t="n"/>
      <c r="DE268" s="16" t="n">
        <v>0.794562</v>
      </c>
      <c r="DF268" s="16" t="n">
        <v>0.845436</v>
      </c>
      <c r="DG268" s="16" t="n"/>
      <c r="DH268" s="16" t="n"/>
      <c r="DI268" s="16" t="n"/>
      <c r="DJ268" s="16" t="n"/>
      <c r="DK268" s="16" t="n">
        <v>0.794562</v>
      </c>
      <c r="DL268" s="16" t="n">
        <v>0.883422</v>
      </c>
      <c r="DM268" s="16" t="n"/>
      <c r="DN268" s="16" t="n"/>
      <c r="DO268" s="16" t="n"/>
      <c r="DP268" s="16" t="n"/>
      <c r="DQ268" s="16" t="n">
        <v>0.794562</v>
      </c>
      <c r="DR268" s="16" t="n">
        <v>0.8710830000000001</v>
      </c>
      <c r="DS268" s="16" t="n"/>
      <c r="DT268" s="16" t="n"/>
      <c r="DU268" s="16" t="n"/>
      <c r="DV268" s="16" t="n"/>
      <c r="DW268" s="16" t="n">
        <v>0.794562</v>
      </c>
      <c r="DX268" s="16" t="n">
        <v>0.876546</v>
      </c>
      <c r="DY268" s="16" t="n"/>
      <c r="DZ268" s="16" t="n"/>
    </row>
    <row r="269">
      <c r="BS269" s="16" t="n"/>
      <c r="BT269" s="16" t="n"/>
      <c r="BU269" s="16" t="n">
        <v>0.797583</v>
      </c>
      <c r="BV269" s="16" t="n">
        <v>477.038527</v>
      </c>
      <c r="BW269" s="16" t="n"/>
      <c r="BX269" s="16" t="n"/>
      <c r="BY269" s="16" t="n"/>
      <c r="BZ269" s="16" t="n"/>
      <c r="CA269" s="16" t="n">
        <v>0.797583</v>
      </c>
      <c r="CB269" s="16" t="n">
        <v>298.84801</v>
      </c>
      <c r="CC269" s="16" t="n"/>
      <c r="CD269" s="16" t="n"/>
      <c r="CE269" s="16" t="n"/>
      <c r="CF269" s="16" t="n"/>
      <c r="CG269" s="16" t="n">
        <v>0.797583</v>
      </c>
      <c r="CH269" s="16" t="n">
        <v>4269.977631</v>
      </c>
      <c r="CI269" s="16" t="n"/>
      <c r="CJ269" s="16" t="n"/>
      <c r="CK269" s="16" t="n"/>
      <c r="CL269" s="16" t="n"/>
      <c r="CM269" s="16" t="n">
        <v>0.797583</v>
      </c>
      <c r="CN269" s="16" t="n">
        <v>1159.04315</v>
      </c>
      <c r="CO269" s="16" t="n"/>
      <c r="CP269" s="16" t="n"/>
      <c r="CQ269" s="16" t="n"/>
      <c r="CR269" s="16" t="n"/>
      <c r="CS269" s="16" t="n">
        <v>0.797583</v>
      </c>
      <c r="CT269" s="16" t="n">
        <v>0.785551</v>
      </c>
      <c r="CU269" s="16" t="n"/>
      <c r="CV269" s="16" t="n"/>
      <c r="CW269" s="16" t="n"/>
      <c r="CX269" s="16" t="n"/>
      <c r="CY269" s="16" t="n">
        <v>0.797583</v>
      </c>
      <c r="CZ269" s="16" t="n">
        <v>0.883651</v>
      </c>
      <c r="DA269" s="16" t="n"/>
      <c r="DB269" s="16" t="n"/>
      <c r="DC269" s="16" t="n"/>
      <c r="DD269" s="16" t="n"/>
      <c r="DE269" s="16" t="n">
        <v>0.797583</v>
      </c>
      <c r="DF269" s="16" t="n">
        <v>0.846606</v>
      </c>
      <c r="DG269" s="16" t="n"/>
      <c r="DH269" s="16" t="n"/>
      <c r="DI269" s="16" t="n"/>
      <c r="DJ269" s="16" t="n"/>
      <c r="DK269" s="16" t="n">
        <v>0.797583</v>
      </c>
      <c r="DL269" s="16" t="n">
        <v>0.883609</v>
      </c>
      <c r="DM269" s="16" t="n"/>
      <c r="DN269" s="16" t="n"/>
      <c r="DO269" s="16" t="n"/>
      <c r="DP269" s="16" t="n"/>
      <c r="DQ269" s="16" t="n">
        <v>0.797583</v>
      </c>
      <c r="DR269" s="16" t="n">
        <v>0.872583</v>
      </c>
      <c r="DS269" s="16" t="n"/>
      <c r="DT269" s="16" t="n"/>
      <c r="DU269" s="16" t="n"/>
      <c r="DV269" s="16" t="n"/>
      <c r="DW269" s="16" t="n">
        <v>0.797583</v>
      </c>
      <c r="DX269" s="16" t="n">
        <v>0.876753</v>
      </c>
      <c r="DY269" s="16" t="n"/>
      <c r="DZ269" s="16" t="n"/>
    </row>
    <row r="270">
      <c r="BS270" s="16" t="n"/>
      <c r="BT270" s="16" t="n"/>
      <c r="BU270" s="16" t="n">
        <v>0.800604</v>
      </c>
      <c r="BV270" s="16" t="n">
        <v>477.570579</v>
      </c>
      <c r="BW270" s="16" t="n"/>
      <c r="BX270" s="16" t="n"/>
      <c r="BY270" s="16" t="n"/>
      <c r="BZ270" s="16" t="n"/>
      <c r="CA270" s="16" t="n">
        <v>0.800604</v>
      </c>
      <c r="CB270" s="16" t="n">
        <v>299.093972</v>
      </c>
      <c r="CC270" s="16" t="n"/>
      <c r="CD270" s="16" t="n"/>
      <c r="CE270" s="16" t="n"/>
      <c r="CF270" s="16" t="n"/>
      <c r="CG270" s="16" t="n">
        <v>0.800604</v>
      </c>
      <c r="CH270" s="16" t="n">
        <v>4275.300865</v>
      </c>
      <c r="CI270" s="16" t="n"/>
      <c r="CJ270" s="16" t="n"/>
      <c r="CK270" s="16" t="n"/>
      <c r="CL270" s="16" t="n"/>
      <c r="CM270" s="16" t="n">
        <v>0.800604</v>
      </c>
      <c r="CN270" s="16" t="n">
        <v>1161.275268</v>
      </c>
      <c r="CO270" s="16" t="n"/>
      <c r="CP270" s="16" t="n"/>
      <c r="CQ270" s="16" t="n"/>
      <c r="CR270" s="16" t="n"/>
      <c r="CS270" s="16" t="n">
        <v>0.800604</v>
      </c>
      <c r="CT270" s="16" t="n">
        <v>0.785677</v>
      </c>
      <c r="CU270" s="16" t="n"/>
      <c r="CV270" s="16" t="n"/>
      <c r="CW270" s="16" t="n"/>
      <c r="CX270" s="16" t="n"/>
      <c r="CY270" s="16" t="n">
        <v>0.800604</v>
      </c>
      <c r="CZ270" s="16" t="n">
        <v>0.883673</v>
      </c>
      <c r="DA270" s="16" t="n"/>
      <c r="DB270" s="16" t="n"/>
      <c r="DC270" s="16" t="n"/>
      <c r="DD270" s="16" t="n"/>
      <c r="DE270" s="16" t="n">
        <v>0.800604</v>
      </c>
      <c r="DF270" s="16" t="n">
        <v>0.846743</v>
      </c>
      <c r="DG270" s="16" t="n"/>
      <c r="DH270" s="16" t="n"/>
      <c r="DI270" s="16" t="n"/>
      <c r="DJ270" s="16" t="n"/>
      <c r="DK270" s="16" t="n">
        <v>0.800604</v>
      </c>
      <c r="DL270" s="16" t="n">
        <v>0.884163</v>
      </c>
      <c r="DM270" s="16" t="n"/>
      <c r="DN270" s="16" t="n"/>
      <c r="DO270" s="16" t="n"/>
      <c r="DP270" s="16" t="n"/>
      <c r="DQ270" s="16" t="n">
        <v>0.800604</v>
      </c>
      <c r="DR270" s="16" t="n">
        <v>0.873879</v>
      </c>
      <c r="DS270" s="16" t="n"/>
      <c r="DT270" s="16" t="n"/>
      <c r="DU270" s="16" t="n"/>
      <c r="DV270" s="16" t="n"/>
      <c r="DW270" s="16" t="n">
        <v>0.800604</v>
      </c>
      <c r="DX270" s="16" t="n">
        <v>0.877113</v>
      </c>
      <c r="DY270" s="16" t="n"/>
      <c r="DZ270" s="16" t="n"/>
    </row>
    <row r="271">
      <c r="BS271" s="16" t="n"/>
      <c r="BT271" s="16" t="n"/>
      <c r="BU271" s="16" t="n">
        <v>0.803625</v>
      </c>
      <c r="BV271" s="16" t="n">
        <v>477.632381</v>
      </c>
      <c r="BW271" s="16" t="n"/>
      <c r="BX271" s="16" t="n"/>
      <c r="BY271" s="16" t="n"/>
      <c r="BZ271" s="16" t="n"/>
      <c r="CA271" s="16" t="n">
        <v>0.803625</v>
      </c>
      <c r="CB271" s="16" t="n">
        <v>299.114469</v>
      </c>
      <c r="CC271" s="16" t="n"/>
      <c r="CD271" s="16" t="n"/>
      <c r="CE271" s="16" t="n"/>
      <c r="CF271" s="16" t="n"/>
      <c r="CG271" s="16" t="n">
        <v>0.803625</v>
      </c>
      <c r="CH271" s="16" t="n">
        <v>4287.726378</v>
      </c>
      <c r="CI271" s="16" t="n"/>
      <c r="CJ271" s="16" t="n"/>
      <c r="CK271" s="16" t="n"/>
      <c r="CL271" s="16" t="n"/>
      <c r="CM271" s="16" t="n">
        <v>0.803625</v>
      </c>
      <c r="CN271" s="16" t="n">
        <v>1165.177264</v>
      </c>
      <c r="CO271" s="16" t="n"/>
      <c r="CP271" s="16" t="n"/>
      <c r="CQ271" s="16" t="n"/>
      <c r="CR271" s="16" t="n"/>
      <c r="CS271" s="16" t="n">
        <v>0.803625</v>
      </c>
      <c r="CT271" s="16" t="n">
        <v>0.786646</v>
      </c>
      <c r="CU271" s="16" t="n"/>
      <c r="CV271" s="16" t="n"/>
      <c r="CW271" s="16" t="n"/>
      <c r="CX271" s="16" t="n"/>
      <c r="CY271" s="16" t="n">
        <v>0.803625</v>
      </c>
      <c r="CZ271" s="16" t="n">
        <v>0.884652</v>
      </c>
      <c r="DA271" s="16" t="n"/>
      <c r="DB271" s="16" t="n"/>
      <c r="DC271" s="16" t="n"/>
      <c r="DD271" s="16" t="n"/>
      <c r="DE271" s="16" t="n">
        <v>0.803625</v>
      </c>
      <c r="DF271" s="16" t="n">
        <v>0.846845</v>
      </c>
      <c r="DG271" s="16" t="n"/>
      <c r="DH271" s="16" t="n"/>
      <c r="DI271" s="16" t="n"/>
      <c r="DJ271" s="16" t="n"/>
      <c r="DK271" s="16" t="n">
        <v>0.803625</v>
      </c>
      <c r="DL271" s="16" t="n">
        <v>0.885566</v>
      </c>
      <c r="DM271" s="16" t="n"/>
      <c r="DN271" s="16" t="n"/>
      <c r="DO271" s="16" t="n"/>
      <c r="DP271" s="16" t="n"/>
      <c r="DQ271" s="16" t="n">
        <v>0.803625</v>
      </c>
      <c r="DR271" s="16" t="n">
        <v>0.8748320000000001</v>
      </c>
      <c r="DS271" s="16" t="n"/>
      <c r="DT271" s="16" t="n"/>
      <c r="DU271" s="16" t="n"/>
      <c r="DV271" s="16" t="n"/>
      <c r="DW271" s="16" t="n">
        <v>0.803625</v>
      </c>
      <c r="DX271" s="16" t="n">
        <v>0.877977</v>
      </c>
      <c r="DY271" s="16" t="n"/>
      <c r="DZ271" s="16" t="n"/>
    </row>
    <row r="272">
      <c r="BS272" s="16" t="n"/>
      <c r="BT272" s="16" t="n"/>
      <c r="BU272" s="16" t="n">
        <v>0.806647</v>
      </c>
      <c r="BV272" s="16" t="n">
        <v>477.647034</v>
      </c>
      <c r="BW272" s="16" t="n"/>
      <c r="BX272" s="16" t="n"/>
      <c r="BY272" s="16" t="n"/>
      <c r="BZ272" s="16" t="n"/>
      <c r="CA272" s="16" t="n">
        <v>0.806647</v>
      </c>
      <c r="CB272" s="16" t="n">
        <v>299.193891</v>
      </c>
      <c r="CC272" s="16" t="n"/>
      <c r="CD272" s="16" t="n"/>
      <c r="CE272" s="16" t="n"/>
      <c r="CF272" s="16" t="n"/>
      <c r="CG272" s="16" t="n">
        <v>0.806647</v>
      </c>
      <c r="CH272" s="16" t="n">
        <v>4288.478429</v>
      </c>
      <c r="CI272" s="16" t="n"/>
      <c r="CJ272" s="16" t="n"/>
      <c r="CK272" s="16" t="n"/>
      <c r="CL272" s="16" t="n"/>
      <c r="CM272" s="16" t="n">
        <v>0.806647</v>
      </c>
      <c r="CN272" s="16" t="n">
        <v>1168.677197</v>
      </c>
      <c r="CO272" s="16" t="n"/>
      <c r="CP272" s="16" t="n"/>
      <c r="CQ272" s="16" t="n"/>
      <c r="CR272" s="16" t="n"/>
      <c r="CS272" s="16" t="n">
        <v>0.806647</v>
      </c>
      <c r="CT272" s="16" t="n">
        <v>0.78827</v>
      </c>
      <c r="CU272" s="16" t="n"/>
      <c r="CV272" s="16" t="n"/>
      <c r="CW272" s="16" t="n"/>
      <c r="CX272" s="16" t="n"/>
      <c r="CY272" s="16" t="n">
        <v>0.806647</v>
      </c>
      <c r="CZ272" s="16" t="n">
        <v>0.884742</v>
      </c>
      <c r="DA272" s="16" t="n"/>
      <c r="DB272" s="16" t="n"/>
      <c r="DC272" s="16" t="n"/>
      <c r="DD272" s="16" t="n"/>
      <c r="DE272" s="16" t="n">
        <v>0.806647</v>
      </c>
      <c r="DF272" s="16" t="n">
        <v>0.848043</v>
      </c>
      <c r="DG272" s="16" t="n"/>
      <c r="DH272" s="16" t="n"/>
      <c r="DI272" s="16" t="n"/>
      <c r="DJ272" s="16" t="n"/>
      <c r="DK272" s="16" t="n">
        <v>0.806647</v>
      </c>
      <c r="DL272" s="16" t="n">
        <v>0.885966</v>
      </c>
      <c r="DM272" s="16" t="n"/>
      <c r="DN272" s="16" t="n"/>
      <c r="DO272" s="16" t="n"/>
      <c r="DP272" s="16" t="n"/>
      <c r="DQ272" s="16" t="n">
        <v>0.806647</v>
      </c>
      <c r="DR272" s="16" t="n">
        <v>0.876759</v>
      </c>
      <c r="DS272" s="16" t="n"/>
      <c r="DT272" s="16" t="n"/>
      <c r="DU272" s="16" t="n"/>
      <c r="DV272" s="16" t="n"/>
      <c r="DW272" s="16" t="n">
        <v>0.806647</v>
      </c>
      <c r="DX272" s="16" t="n">
        <v>0.87846</v>
      </c>
      <c r="DY272" s="16" t="n"/>
      <c r="DZ272" s="16" t="n"/>
    </row>
    <row r="273">
      <c r="BS273" s="16" t="n"/>
      <c r="BT273" s="16" t="n"/>
      <c r="BU273" s="16" t="n">
        <v>0.8096680000000001</v>
      </c>
      <c r="BV273" s="16" t="n">
        <v>478.03223</v>
      </c>
      <c r="BW273" s="16" t="n"/>
      <c r="BX273" s="16" t="n"/>
      <c r="BY273" s="16" t="n"/>
      <c r="BZ273" s="16" t="n"/>
      <c r="CA273" s="16" t="n">
        <v>0.8096680000000001</v>
      </c>
      <c r="CB273" s="16" t="n">
        <v>299.265136</v>
      </c>
      <c r="CC273" s="16" t="n"/>
      <c r="CD273" s="16" t="n"/>
      <c r="CE273" s="16" t="n"/>
      <c r="CF273" s="16" t="n"/>
      <c r="CG273" s="16" t="n">
        <v>0.8096680000000001</v>
      </c>
      <c r="CH273" s="16" t="n">
        <v>4294.967237</v>
      </c>
      <c r="CI273" s="16" t="n"/>
      <c r="CJ273" s="16" t="n"/>
      <c r="CK273" s="16" t="n"/>
      <c r="CL273" s="16" t="n"/>
      <c r="CM273" s="16" t="n">
        <v>0.8096680000000001</v>
      </c>
      <c r="CN273" s="16" t="n">
        <v>1171.42944</v>
      </c>
      <c r="CO273" s="16" t="n"/>
      <c r="CP273" s="16" t="n"/>
      <c r="CQ273" s="16" t="n"/>
      <c r="CR273" s="16" t="n"/>
      <c r="CS273" s="16" t="n">
        <v>0.8096680000000001</v>
      </c>
      <c r="CT273" s="16" t="n">
        <v>0.789617</v>
      </c>
      <c r="CU273" s="16" t="n"/>
      <c r="CV273" s="16" t="n"/>
      <c r="CW273" s="16" t="n"/>
      <c r="CX273" s="16" t="n"/>
      <c r="CY273" s="16" t="n">
        <v>0.8096680000000001</v>
      </c>
      <c r="CZ273" s="16" t="n">
        <v>0.885646</v>
      </c>
      <c r="DA273" s="16" t="n"/>
      <c r="DB273" s="16" t="n"/>
      <c r="DC273" s="16" t="n"/>
      <c r="DD273" s="16" t="n"/>
      <c r="DE273" s="16" t="n">
        <v>0.8096680000000001</v>
      </c>
      <c r="DF273" s="16" t="n">
        <v>0.849531</v>
      </c>
      <c r="DG273" s="16" t="n"/>
      <c r="DH273" s="16" t="n"/>
      <c r="DI273" s="16" t="n"/>
      <c r="DJ273" s="16" t="n"/>
      <c r="DK273" s="16" t="n">
        <v>0.8096680000000001</v>
      </c>
      <c r="DL273" s="16" t="n">
        <v>0.88667</v>
      </c>
      <c r="DM273" s="16" t="n"/>
      <c r="DN273" s="16" t="n"/>
      <c r="DO273" s="16" t="n"/>
      <c r="DP273" s="16" t="n"/>
      <c r="DQ273" s="16" t="n">
        <v>0.8096680000000001</v>
      </c>
      <c r="DR273" s="16" t="n">
        <v>0.879126</v>
      </c>
      <c r="DS273" s="16" t="n"/>
      <c r="DT273" s="16" t="n"/>
      <c r="DU273" s="16" t="n"/>
      <c r="DV273" s="16" t="n"/>
      <c r="DW273" s="16" t="n">
        <v>0.8096680000000001</v>
      </c>
      <c r="DX273" s="16" t="n">
        <v>0.879192</v>
      </c>
      <c r="DY273" s="16" t="n"/>
      <c r="DZ273" s="16" t="n"/>
    </row>
    <row r="274">
      <c r="BS274" s="16" t="n"/>
      <c r="BT274" s="16" t="n"/>
      <c r="BU274" s="16" t="n">
        <v>0.812689</v>
      </c>
      <c r="BV274" s="16" t="n">
        <v>478.272858</v>
      </c>
      <c r="BW274" s="16" t="n"/>
      <c r="BX274" s="16" t="n"/>
      <c r="BY274" s="16" t="n"/>
      <c r="BZ274" s="16" t="n"/>
      <c r="CA274" s="16" t="n">
        <v>0.812689</v>
      </c>
      <c r="CB274" s="16" t="n">
        <v>299.302814</v>
      </c>
      <c r="CC274" s="16" t="n"/>
      <c r="CD274" s="16" t="n"/>
      <c r="CE274" s="16" t="n"/>
      <c r="CF274" s="16" t="n"/>
      <c r="CG274" s="16" t="n">
        <v>0.812689</v>
      </c>
      <c r="CH274" s="16" t="n">
        <v>4309.779304</v>
      </c>
      <c r="CI274" s="16" t="n"/>
      <c r="CJ274" s="16" t="n"/>
      <c r="CK274" s="16" t="n"/>
      <c r="CL274" s="16" t="n"/>
      <c r="CM274" s="16" t="n">
        <v>0.812689</v>
      </c>
      <c r="CN274" s="16" t="n">
        <v>1172.082114</v>
      </c>
      <c r="CO274" s="16" t="n"/>
      <c r="CP274" s="16" t="n"/>
      <c r="CQ274" s="16" t="n"/>
      <c r="CR274" s="16" t="n"/>
      <c r="CS274" s="16" t="n">
        <v>0.812689</v>
      </c>
      <c r="CT274" s="16" t="n">
        <v>0.790886</v>
      </c>
      <c r="CU274" s="16" t="n"/>
      <c r="CV274" s="16" t="n"/>
      <c r="CW274" s="16" t="n"/>
      <c r="CX274" s="16" t="n"/>
      <c r="CY274" s="16" t="n">
        <v>0.812689</v>
      </c>
      <c r="CZ274" s="16" t="n">
        <v>0.8860789999999999</v>
      </c>
      <c r="DA274" s="16" t="n"/>
      <c r="DB274" s="16" t="n"/>
      <c r="DC274" s="16" t="n"/>
      <c r="DD274" s="16" t="n"/>
      <c r="DE274" s="16" t="n">
        <v>0.812689</v>
      </c>
      <c r="DF274" s="16" t="n">
        <v>0.850037</v>
      </c>
      <c r="DG274" s="16" t="n"/>
      <c r="DH274" s="16" t="n"/>
      <c r="DI274" s="16" t="n"/>
      <c r="DJ274" s="16" t="n"/>
      <c r="DK274" s="16" t="n">
        <v>0.812689</v>
      </c>
      <c r="DL274" s="16" t="n">
        <v>0.887535</v>
      </c>
      <c r="DM274" s="16" t="n"/>
      <c r="DN274" s="16" t="n"/>
      <c r="DO274" s="16" t="n"/>
      <c r="DP274" s="16" t="n"/>
      <c r="DQ274" s="16" t="n">
        <v>0.812689</v>
      </c>
      <c r="DR274" s="16" t="n">
        <v>0.88126</v>
      </c>
      <c r="DS274" s="16" t="n"/>
      <c r="DT274" s="16" t="n"/>
      <c r="DU274" s="16" t="n"/>
      <c r="DV274" s="16" t="n"/>
      <c r="DW274" s="16" t="n">
        <v>0.812689</v>
      </c>
      <c r="DX274" s="16" t="n">
        <v>0.880246</v>
      </c>
      <c r="DY274" s="16" t="n"/>
      <c r="DZ274" s="16" t="n"/>
    </row>
    <row r="275">
      <c r="BS275" s="16" t="n"/>
      <c r="BT275" s="16" t="n"/>
      <c r="BU275" s="16" t="n">
        <v>0.81571</v>
      </c>
      <c r="BV275" s="16" t="n">
        <v>478.402188</v>
      </c>
      <c r="BW275" s="16" t="n"/>
      <c r="BX275" s="16" t="n"/>
      <c r="BY275" s="16" t="n"/>
      <c r="BZ275" s="16" t="n"/>
      <c r="CA275" s="16" t="n">
        <v>0.81571</v>
      </c>
      <c r="CB275" s="16" t="n">
        <v>299.415742</v>
      </c>
      <c r="CC275" s="16" t="n"/>
      <c r="CD275" s="16" t="n"/>
      <c r="CE275" s="16" t="n"/>
      <c r="CF275" s="16" t="n"/>
      <c r="CG275" s="16" t="n">
        <v>0.81571</v>
      </c>
      <c r="CH275" s="16" t="n">
        <v>4327.6913</v>
      </c>
      <c r="CI275" s="16" t="n"/>
      <c r="CJ275" s="16" t="n"/>
      <c r="CK275" s="16" t="n"/>
      <c r="CL275" s="16" t="n"/>
      <c r="CM275" s="16" t="n">
        <v>0.81571</v>
      </c>
      <c r="CN275" s="16" t="n">
        <v>1181.935984</v>
      </c>
      <c r="CO275" s="16" t="n"/>
      <c r="CP275" s="16" t="n"/>
      <c r="CQ275" s="16" t="n"/>
      <c r="CR275" s="16" t="n"/>
      <c r="CS275" s="16" t="n">
        <v>0.81571</v>
      </c>
      <c r="CT275" s="16" t="n">
        <v>0.791871</v>
      </c>
      <c r="CU275" s="16" t="n"/>
      <c r="CV275" s="16" t="n"/>
      <c r="CW275" s="16" t="n"/>
      <c r="CX275" s="16" t="n"/>
      <c r="CY275" s="16" t="n">
        <v>0.81571</v>
      </c>
      <c r="CZ275" s="16" t="n">
        <v>0.88653</v>
      </c>
      <c r="DA275" s="16" t="n"/>
      <c r="DB275" s="16" t="n"/>
      <c r="DC275" s="16" t="n"/>
      <c r="DD275" s="16" t="n"/>
      <c r="DE275" s="16" t="n">
        <v>0.81571</v>
      </c>
      <c r="DF275" s="16" t="n">
        <v>0.850177</v>
      </c>
      <c r="DG275" s="16" t="n"/>
      <c r="DH275" s="16" t="n"/>
      <c r="DI275" s="16" t="n"/>
      <c r="DJ275" s="16" t="n"/>
      <c r="DK275" s="16" t="n">
        <v>0.81571</v>
      </c>
      <c r="DL275" s="16" t="n">
        <v>0.888397</v>
      </c>
      <c r="DM275" s="16" t="n"/>
      <c r="DN275" s="16" t="n"/>
      <c r="DO275" s="16" t="n"/>
      <c r="DP275" s="16" t="n"/>
      <c r="DQ275" s="16" t="n">
        <v>0.81571</v>
      </c>
      <c r="DR275" s="16" t="n">
        <v>0.882267</v>
      </c>
      <c r="DS275" s="16" t="n"/>
      <c r="DT275" s="16" t="n"/>
      <c r="DU275" s="16" t="n"/>
      <c r="DV275" s="16" t="n"/>
      <c r="DW275" s="16" t="n">
        <v>0.81571</v>
      </c>
      <c r="DX275" s="16" t="n">
        <v>0.880905</v>
      </c>
      <c r="DY275" s="16" t="n"/>
      <c r="DZ275" s="16" t="n"/>
    </row>
    <row r="276">
      <c r="BS276" s="16" t="n"/>
      <c r="BT276" s="16" t="n"/>
      <c r="BU276" s="16" t="n">
        <v>0.818731</v>
      </c>
      <c r="BV276" s="16" t="n">
        <v>478.508745</v>
      </c>
      <c r="BW276" s="16" t="n"/>
      <c r="BX276" s="16" t="n"/>
      <c r="BY276" s="16" t="n"/>
      <c r="BZ276" s="16" t="n"/>
      <c r="CA276" s="16" t="n">
        <v>0.818731</v>
      </c>
      <c r="CB276" s="16" t="n">
        <v>299.434324</v>
      </c>
      <c r="CC276" s="16" t="n"/>
      <c r="CD276" s="16" t="n"/>
      <c r="CE276" s="16" t="n"/>
      <c r="CF276" s="16" t="n"/>
      <c r="CG276" s="16" t="n">
        <v>0.818731</v>
      </c>
      <c r="CH276" s="16" t="n">
        <v>4344.178189</v>
      </c>
      <c r="CI276" s="16" t="n"/>
      <c r="CJ276" s="16" t="n"/>
      <c r="CK276" s="16" t="n"/>
      <c r="CL276" s="16" t="n"/>
      <c r="CM276" s="16" t="n">
        <v>0.818731</v>
      </c>
      <c r="CN276" s="16" t="n">
        <v>1188.461165</v>
      </c>
      <c r="CO276" s="16" t="n"/>
      <c r="CP276" s="16" t="n"/>
      <c r="CQ276" s="16" t="n"/>
      <c r="CR276" s="16" t="n"/>
      <c r="CS276" s="16" t="n">
        <v>0.818731</v>
      </c>
      <c r="CT276" s="16" t="n">
        <v>0.791916</v>
      </c>
      <c r="CU276" s="16" t="n"/>
      <c r="CV276" s="16" t="n"/>
      <c r="CW276" s="16" t="n"/>
      <c r="CX276" s="16" t="n"/>
      <c r="CY276" s="16" t="n">
        <v>0.818731</v>
      </c>
      <c r="CZ276" s="16" t="n">
        <v>0.88706</v>
      </c>
      <c r="DA276" s="16" t="n"/>
      <c r="DB276" s="16" t="n"/>
      <c r="DC276" s="16" t="n"/>
      <c r="DD276" s="16" t="n"/>
      <c r="DE276" s="16" t="n">
        <v>0.818731</v>
      </c>
      <c r="DF276" s="16" t="n">
        <v>0.851258</v>
      </c>
      <c r="DG276" s="16" t="n"/>
      <c r="DH276" s="16" t="n"/>
      <c r="DI276" s="16" t="n"/>
      <c r="DJ276" s="16" t="n"/>
      <c r="DK276" s="16" t="n">
        <v>0.818731</v>
      </c>
      <c r="DL276" s="16" t="n">
        <v>0.888622</v>
      </c>
      <c r="DM276" s="16" t="n"/>
      <c r="DN276" s="16" t="n"/>
      <c r="DO276" s="16" t="n"/>
      <c r="DP276" s="16" t="n"/>
      <c r="DQ276" s="16" t="n">
        <v>0.818731</v>
      </c>
      <c r="DR276" s="16" t="n">
        <v>0.883011</v>
      </c>
      <c r="DS276" s="16" t="n"/>
      <c r="DT276" s="16" t="n"/>
      <c r="DU276" s="16" t="n"/>
      <c r="DV276" s="16" t="n"/>
      <c r="DW276" s="16" t="n">
        <v>0.818731</v>
      </c>
      <c r="DX276" s="16" t="n">
        <v>0.881949</v>
      </c>
      <c r="DY276" s="16" t="n"/>
      <c r="DZ276" s="16" t="n"/>
    </row>
    <row r="277">
      <c r="BS277" s="16" t="n"/>
      <c r="BT277" s="16" t="n"/>
      <c r="BU277" s="16" t="n">
        <v>0.821752</v>
      </c>
      <c r="BV277" s="16" t="n">
        <v>479.172666</v>
      </c>
      <c r="BW277" s="16" t="n"/>
      <c r="BX277" s="16" t="n"/>
      <c r="BY277" s="16" t="n"/>
      <c r="BZ277" s="16" t="n"/>
      <c r="CA277" s="16" t="n">
        <v>0.821752</v>
      </c>
      <c r="CB277" s="16" t="n">
        <v>299.547073</v>
      </c>
      <c r="CC277" s="16" t="n"/>
      <c r="CD277" s="16" t="n"/>
      <c r="CE277" s="16" t="n"/>
      <c r="CF277" s="16" t="n"/>
      <c r="CG277" s="16" t="n">
        <v>0.821752</v>
      </c>
      <c r="CH277" s="16" t="n">
        <v>4360.074009</v>
      </c>
      <c r="CI277" s="16" t="n"/>
      <c r="CJ277" s="16" t="n"/>
      <c r="CK277" s="16" t="n"/>
      <c r="CL277" s="16" t="n"/>
      <c r="CM277" s="16" t="n">
        <v>0.821752</v>
      </c>
      <c r="CN277" s="16" t="n">
        <v>1196.501615</v>
      </c>
      <c r="CO277" s="16" t="n"/>
      <c r="CP277" s="16" t="n"/>
      <c r="CQ277" s="16" t="n"/>
      <c r="CR277" s="16" t="n"/>
      <c r="CS277" s="16" t="n">
        <v>0.821752</v>
      </c>
      <c r="CT277" s="16" t="n">
        <v>0.793956</v>
      </c>
      <c r="CU277" s="16" t="n"/>
      <c r="CV277" s="16" t="n"/>
      <c r="CW277" s="16" t="n"/>
      <c r="CX277" s="16" t="n"/>
      <c r="CY277" s="16" t="n">
        <v>0.821752</v>
      </c>
      <c r="CZ277" s="16" t="n">
        <v>0.887629</v>
      </c>
      <c r="DA277" s="16" t="n"/>
      <c r="DB277" s="16" t="n"/>
      <c r="DC277" s="16" t="n"/>
      <c r="DD277" s="16" t="n"/>
      <c r="DE277" s="16" t="n">
        <v>0.821752</v>
      </c>
      <c r="DF277" s="16" t="n">
        <v>0.8520219999999999</v>
      </c>
      <c r="DG277" s="16" t="n"/>
      <c r="DH277" s="16" t="n"/>
      <c r="DI277" s="16" t="n"/>
      <c r="DJ277" s="16" t="n"/>
      <c r="DK277" s="16" t="n">
        <v>0.821752</v>
      </c>
      <c r="DL277" s="16" t="n">
        <v>0.889648</v>
      </c>
      <c r="DM277" s="16" t="n"/>
      <c r="DN277" s="16" t="n"/>
      <c r="DO277" s="16" t="n"/>
      <c r="DP277" s="16" t="n"/>
      <c r="DQ277" s="16" t="n">
        <v>0.821752</v>
      </c>
      <c r="DR277" s="16" t="n">
        <v>0.883704</v>
      </c>
      <c r="DS277" s="16" t="n"/>
      <c r="DT277" s="16" t="n"/>
      <c r="DU277" s="16" t="n"/>
      <c r="DV277" s="16" t="n"/>
      <c r="DW277" s="16" t="n">
        <v>0.821752</v>
      </c>
      <c r="DX277" s="16" t="n">
        <v>0.881961</v>
      </c>
      <c r="DY277" s="16" t="n"/>
      <c r="DZ277" s="16" t="n"/>
    </row>
    <row r="278">
      <c r="BS278" s="16" t="n"/>
      <c r="BT278" s="16" t="n"/>
      <c r="BU278" s="16" t="n">
        <v>0.824773</v>
      </c>
      <c r="BV278" s="16" t="n">
        <v>479.300857</v>
      </c>
      <c r="BW278" s="16" t="n"/>
      <c r="BX278" s="16" t="n"/>
      <c r="BY278" s="16" t="n"/>
      <c r="BZ278" s="16" t="n"/>
      <c r="CA278" s="16" t="n">
        <v>0.824773</v>
      </c>
      <c r="CB278" s="16" t="n">
        <v>299.602745</v>
      </c>
      <c r="CC278" s="16" t="n"/>
      <c r="CD278" s="16" t="n"/>
      <c r="CE278" s="16" t="n"/>
      <c r="CF278" s="16" t="n"/>
      <c r="CG278" s="16" t="n">
        <v>0.824773</v>
      </c>
      <c r="CH278" s="16" t="n">
        <v>4366.264595</v>
      </c>
      <c r="CI278" s="16" t="n"/>
      <c r="CJ278" s="16" t="n"/>
      <c r="CK278" s="16" t="n"/>
      <c r="CL278" s="16" t="n"/>
      <c r="CM278" s="16" t="n">
        <v>0.824773</v>
      </c>
      <c r="CN278" s="16" t="n">
        <v>1198.071503</v>
      </c>
      <c r="CO278" s="16" t="n"/>
      <c r="CP278" s="16" t="n"/>
      <c r="CQ278" s="16" t="n"/>
      <c r="CR278" s="16" t="n"/>
      <c r="CS278" s="16" t="n">
        <v>0.824773</v>
      </c>
      <c r="CT278" s="16" t="n">
        <v>0.794945</v>
      </c>
      <c r="CU278" s="16" t="n"/>
      <c r="CV278" s="16" t="n"/>
      <c r="CW278" s="16" t="n"/>
      <c r="CX278" s="16" t="n"/>
      <c r="CY278" s="16" t="n">
        <v>0.824773</v>
      </c>
      <c r="CZ278" s="16" t="n">
        <v>0.887831</v>
      </c>
      <c r="DA278" s="16" t="n"/>
      <c r="DB278" s="16" t="n"/>
      <c r="DC278" s="16" t="n"/>
      <c r="DD278" s="16" t="n"/>
      <c r="DE278" s="16" t="n">
        <v>0.824773</v>
      </c>
      <c r="DF278" s="16" t="n">
        <v>0.852347</v>
      </c>
      <c r="DG278" s="16" t="n"/>
      <c r="DH278" s="16" t="n"/>
      <c r="DI278" s="16" t="n"/>
      <c r="DJ278" s="16" t="n"/>
      <c r="DK278" s="16" t="n">
        <v>0.824773</v>
      </c>
      <c r="DL278" s="16" t="n">
        <v>0.891495</v>
      </c>
      <c r="DM278" s="16" t="n"/>
      <c r="DN278" s="16" t="n"/>
      <c r="DO278" s="16" t="n"/>
      <c r="DP278" s="16" t="n"/>
      <c r="DQ278" s="16" t="n">
        <v>0.824773</v>
      </c>
      <c r="DR278" s="16" t="n">
        <v>0.883755</v>
      </c>
      <c r="DS278" s="16" t="n"/>
      <c r="DT278" s="16" t="n"/>
      <c r="DU278" s="16" t="n"/>
      <c r="DV278" s="16" t="n"/>
      <c r="DW278" s="16" t="n">
        <v>0.824773</v>
      </c>
      <c r="DX278" s="16" t="n">
        <v>0.882695</v>
      </c>
      <c r="DY278" s="16" t="n"/>
      <c r="DZ278" s="16" t="n"/>
    </row>
    <row r="279">
      <c r="BS279" s="16" t="n"/>
      <c r="BT279" s="16" t="n"/>
      <c r="BU279" s="16" t="n">
        <v>0.8277949999999999</v>
      </c>
      <c r="BV279" s="16" t="n">
        <v>479.675495</v>
      </c>
      <c r="BW279" s="16" t="n"/>
      <c r="BX279" s="16" t="n"/>
      <c r="BY279" s="16" t="n"/>
      <c r="BZ279" s="16" t="n"/>
      <c r="CA279" s="16" t="n">
        <v>0.8277949999999999</v>
      </c>
      <c r="CB279" s="16" t="n">
        <v>299.645498</v>
      </c>
      <c r="CC279" s="16" t="n"/>
      <c r="CD279" s="16" t="n"/>
      <c r="CE279" s="16" t="n"/>
      <c r="CF279" s="16" t="n"/>
      <c r="CG279" s="16" t="n">
        <v>0.8277949999999999</v>
      </c>
      <c r="CH279" s="16" t="n">
        <v>4384.931758</v>
      </c>
      <c r="CI279" s="16" t="n"/>
      <c r="CJ279" s="16" t="n"/>
      <c r="CK279" s="16" t="n"/>
      <c r="CL279" s="16" t="n"/>
      <c r="CM279" s="16" t="n">
        <v>0.8277949999999999</v>
      </c>
      <c r="CN279" s="16" t="n">
        <v>1200.8677</v>
      </c>
      <c r="CO279" s="16" t="n"/>
      <c r="CP279" s="16" t="n"/>
      <c r="CQ279" s="16" t="n"/>
      <c r="CR279" s="16" t="n"/>
      <c r="CS279" s="16" t="n">
        <v>0.8277949999999999</v>
      </c>
      <c r="CT279" s="16" t="n">
        <v>0.795394</v>
      </c>
      <c r="CU279" s="16" t="n"/>
      <c r="CV279" s="16" t="n"/>
      <c r="CW279" s="16" t="n"/>
      <c r="CX279" s="16" t="n"/>
      <c r="CY279" s="16" t="n">
        <v>0.8277949999999999</v>
      </c>
      <c r="CZ279" s="16" t="n">
        <v>0.887944</v>
      </c>
      <c r="DA279" s="16" t="n"/>
      <c r="DB279" s="16" t="n"/>
      <c r="DC279" s="16" t="n"/>
      <c r="DD279" s="16" t="n"/>
      <c r="DE279" s="16" t="n">
        <v>0.8277949999999999</v>
      </c>
      <c r="DF279" s="16" t="n">
        <v>0.85307</v>
      </c>
      <c r="DG279" s="16" t="n"/>
      <c r="DH279" s="16" t="n"/>
      <c r="DI279" s="16" t="n"/>
      <c r="DJ279" s="16" t="n"/>
      <c r="DK279" s="16" t="n">
        <v>0.8277949999999999</v>
      </c>
      <c r="DL279" s="16" t="n">
        <v>0.892226</v>
      </c>
      <c r="DM279" s="16" t="n"/>
      <c r="DN279" s="16" t="n"/>
      <c r="DO279" s="16" t="n"/>
      <c r="DP279" s="16" t="n"/>
      <c r="DQ279" s="16" t="n">
        <v>0.8277949999999999</v>
      </c>
      <c r="DR279" s="16" t="n">
        <v>0.885356</v>
      </c>
      <c r="DS279" s="16" t="n"/>
      <c r="DT279" s="16" t="n"/>
      <c r="DU279" s="16" t="n"/>
      <c r="DV279" s="16" t="n"/>
      <c r="DW279" s="16" t="n">
        <v>0.8277949999999999</v>
      </c>
      <c r="DX279" s="16" t="n">
        <v>0.883915</v>
      </c>
      <c r="DY279" s="16" t="n"/>
      <c r="DZ279" s="16" t="n"/>
    </row>
    <row r="280">
      <c r="BS280" s="16" t="n"/>
      <c r="BT280" s="16" t="n"/>
      <c r="BU280" s="16" t="n">
        <v>0.830816</v>
      </c>
      <c r="BV280" s="16" t="n">
        <v>480.039238</v>
      </c>
      <c r="BW280" s="16" t="n"/>
      <c r="BX280" s="16" t="n"/>
      <c r="BY280" s="16" t="n"/>
      <c r="BZ280" s="16" t="n"/>
      <c r="CA280" s="16" t="n">
        <v>0.830816</v>
      </c>
      <c r="CB280" s="16" t="n">
        <v>299.667651</v>
      </c>
      <c r="CC280" s="16" t="n"/>
      <c r="CD280" s="16" t="n"/>
      <c r="CE280" s="16" t="n"/>
      <c r="CF280" s="16" t="n"/>
      <c r="CG280" s="16" t="n">
        <v>0.830816</v>
      </c>
      <c r="CH280" s="16" t="n">
        <v>4386.384341</v>
      </c>
      <c r="CI280" s="16" t="n"/>
      <c r="CJ280" s="16" t="n"/>
      <c r="CK280" s="16" t="n"/>
      <c r="CL280" s="16" t="n"/>
      <c r="CM280" s="16" t="n">
        <v>0.830816</v>
      </c>
      <c r="CN280" s="16" t="n">
        <v>1208.258783</v>
      </c>
      <c r="CO280" s="16" t="n"/>
      <c r="CP280" s="16" t="n"/>
      <c r="CQ280" s="16" t="n"/>
      <c r="CR280" s="16" t="n"/>
      <c r="CS280" s="16" t="n">
        <v>0.830816</v>
      </c>
      <c r="CT280" s="16" t="n">
        <v>0.795582</v>
      </c>
      <c r="CU280" s="16" t="n"/>
      <c r="CV280" s="16" t="n"/>
      <c r="CW280" s="16" t="n"/>
      <c r="CX280" s="16" t="n"/>
      <c r="CY280" s="16" t="n">
        <v>0.830816</v>
      </c>
      <c r="CZ280" s="16" t="n">
        <v>0.88827</v>
      </c>
      <c r="DA280" s="16" t="n"/>
      <c r="DB280" s="16" t="n"/>
      <c r="DC280" s="16" t="n"/>
      <c r="DD280" s="16" t="n"/>
      <c r="DE280" s="16" t="n">
        <v>0.830816</v>
      </c>
      <c r="DF280" s="16" t="n">
        <v>0.853329</v>
      </c>
      <c r="DG280" s="16" t="n"/>
      <c r="DH280" s="16" t="n"/>
      <c r="DI280" s="16" t="n"/>
      <c r="DJ280" s="16" t="n"/>
      <c r="DK280" s="16" t="n">
        <v>0.830816</v>
      </c>
      <c r="DL280" s="16" t="n">
        <v>0.892691</v>
      </c>
      <c r="DM280" s="16" t="n"/>
      <c r="DN280" s="16" t="n"/>
      <c r="DO280" s="16" t="n"/>
      <c r="DP280" s="16" t="n"/>
      <c r="DQ280" s="16" t="n">
        <v>0.830816</v>
      </c>
      <c r="DR280" s="16" t="n">
        <v>0.885699</v>
      </c>
      <c r="DS280" s="16" t="n"/>
      <c r="DT280" s="16" t="n"/>
      <c r="DU280" s="16" t="n"/>
      <c r="DV280" s="16" t="n"/>
      <c r="DW280" s="16" t="n">
        <v>0.830816</v>
      </c>
      <c r="DX280" s="16" t="n">
        <v>0.884063</v>
      </c>
      <c r="DY280" s="16" t="n"/>
      <c r="DZ280" s="16" t="n"/>
    </row>
    <row r="281">
      <c r="BS281" s="16" t="n"/>
      <c r="BT281" s="16" t="n"/>
      <c r="BU281" s="16" t="n">
        <v>0.8338370000000001</v>
      </c>
      <c r="BV281" s="16" t="n">
        <v>480.175595</v>
      </c>
      <c r="BW281" s="16" t="n"/>
      <c r="BX281" s="16" t="n"/>
      <c r="BY281" s="16" t="n"/>
      <c r="BZ281" s="16" t="n"/>
      <c r="CA281" s="16" t="n">
        <v>0.8338370000000001</v>
      </c>
      <c r="CB281" s="16" t="n">
        <v>299.722879</v>
      </c>
      <c r="CC281" s="16" t="n"/>
      <c r="CD281" s="16" t="n"/>
      <c r="CE281" s="16" t="n"/>
      <c r="CF281" s="16" t="n"/>
      <c r="CG281" s="16" t="n">
        <v>0.8338370000000001</v>
      </c>
      <c r="CH281" s="16" t="n">
        <v>4401.367333</v>
      </c>
      <c r="CI281" s="16" t="n"/>
      <c r="CJ281" s="16" t="n"/>
      <c r="CK281" s="16" t="n"/>
      <c r="CL281" s="16" t="n"/>
      <c r="CM281" s="16" t="n">
        <v>0.8338370000000001</v>
      </c>
      <c r="CN281" s="16" t="n">
        <v>1213.07496</v>
      </c>
      <c r="CO281" s="16" t="n"/>
      <c r="CP281" s="16" t="n"/>
      <c r="CQ281" s="16" t="n"/>
      <c r="CR281" s="16" t="n"/>
      <c r="CS281" s="16" t="n">
        <v>0.8338370000000001</v>
      </c>
      <c r="CT281" s="16" t="n">
        <v>0.797161</v>
      </c>
      <c r="CU281" s="16" t="n"/>
      <c r="CV281" s="16" t="n"/>
      <c r="CW281" s="16" t="n"/>
      <c r="CX281" s="16" t="n"/>
      <c r="CY281" s="16" t="n">
        <v>0.8338370000000001</v>
      </c>
      <c r="CZ281" s="16" t="n">
        <v>0.889207</v>
      </c>
      <c r="DA281" s="16" t="n"/>
      <c r="DB281" s="16" t="n"/>
      <c r="DC281" s="16" t="n"/>
      <c r="DD281" s="16" t="n"/>
      <c r="DE281" s="16" t="n">
        <v>0.8338370000000001</v>
      </c>
      <c r="DF281" s="16" t="n">
        <v>0.853924</v>
      </c>
      <c r="DG281" s="16" t="n"/>
      <c r="DH281" s="16" t="n"/>
      <c r="DI281" s="16" t="n"/>
      <c r="DJ281" s="16" t="n"/>
      <c r="DK281" s="16" t="n">
        <v>0.8338370000000001</v>
      </c>
      <c r="DL281" s="16" t="n">
        <v>0.893244</v>
      </c>
      <c r="DM281" s="16" t="n"/>
      <c r="DN281" s="16" t="n"/>
      <c r="DO281" s="16" t="n"/>
      <c r="DP281" s="16" t="n"/>
      <c r="DQ281" s="16" t="n">
        <v>0.8338370000000001</v>
      </c>
      <c r="DR281" s="16" t="n">
        <v>0.88692</v>
      </c>
      <c r="DS281" s="16" t="n"/>
      <c r="DT281" s="16" t="n"/>
      <c r="DU281" s="16" t="n"/>
      <c r="DV281" s="16" t="n"/>
      <c r="DW281" s="16" t="n">
        <v>0.8338370000000001</v>
      </c>
      <c r="DX281" s="16" t="n">
        <v>0.8847660000000001</v>
      </c>
      <c r="DY281" s="16" t="n"/>
      <c r="DZ281" s="16" t="n"/>
    </row>
    <row r="282">
      <c r="BS282" s="16" t="n"/>
      <c r="BT282" s="16" t="n"/>
      <c r="BU282" s="16" t="n">
        <v>0.836858</v>
      </c>
      <c r="BV282" s="16" t="n">
        <v>480.66288</v>
      </c>
      <c r="BW282" s="16" t="n"/>
      <c r="BX282" s="16" t="n"/>
      <c r="BY282" s="16" t="n"/>
      <c r="BZ282" s="16" t="n"/>
      <c r="CA282" s="16" t="n">
        <v>0.836858</v>
      </c>
      <c r="CB282" s="16" t="n">
        <v>299.764855</v>
      </c>
      <c r="CC282" s="16" t="n"/>
      <c r="CD282" s="16" t="n"/>
      <c r="CE282" s="16" t="n"/>
      <c r="CF282" s="16" t="n"/>
      <c r="CG282" s="16" t="n">
        <v>0.836858</v>
      </c>
      <c r="CH282" s="16" t="n">
        <v>4409.117253</v>
      </c>
      <c r="CI282" s="16" t="n"/>
      <c r="CJ282" s="16" t="n"/>
      <c r="CK282" s="16" t="n"/>
      <c r="CL282" s="16" t="n"/>
      <c r="CM282" s="16" t="n">
        <v>0.836858</v>
      </c>
      <c r="CN282" s="16" t="n">
        <v>1213.870757</v>
      </c>
      <c r="CO282" s="16" t="n"/>
      <c r="CP282" s="16" t="n"/>
      <c r="CQ282" s="16" t="n"/>
      <c r="CR282" s="16" t="n"/>
      <c r="CS282" s="16" t="n">
        <v>0.836858</v>
      </c>
      <c r="CT282" s="16" t="n">
        <v>0.797278</v>
      </c>
      <c r="CU282" s="16" t="n"/>
      <c r="CV282" s="16" t="n"/>
      <c r="CW282" s="16" t="n"/>
      <c r="CX282" s="16" t="n"/>
      <c r="CY282" s="16" t="n">
        <v>0.836858</v>
      </c>
      <c r="CZ282" s="16" t="n">
        <v>0.8897969999999999</v>
      </c>
      <c r="DA282" s="16" t="n"/>
      <c r="DB282" s="16" t="n"/>
      <c r="DC282" s="16" t="n"/>
      <c r="DD282" s="16" t="n"/>
      <c r="DE282" s="16" t="n">
        <v>0.836858</v>
      </c>
      <c r="DF282" s="16" t="n">
        <v>0.853944</v>
      </c>
      <c r="DG282" s="16" t="n"/>
      <c r="DH282" s="16" t="n"/>
      <c r="DI282" s="16" t="n"/>
      <c r="DJ282" s="16" t="n"/>
      <c r="DK282" s="16" t="n">
        <v>0.836858</v>
      </c>
      <c r="DL282" s="16" t="n">
        <v>0.894517</v>
      </c>
      <c r="DM282" s="16" t="n"/>
      <c r="DN282" s="16" t="n"/>
      <c r="DO282" s="16" t="n"/>
      <c r="DP282" s="16" t="n"/>
      <c r="DQ282" s="16" t="n">
        <v>0.836858</v>
      </c>
      <c r="DR282" s="16" t="n">
        <v>0.887254</v>
      </c>
      <c r="DS282" s="16" t="n"/>
      <c r="DT282" s="16" t="n"/>
      <c r="DU282" s="16" t="n"/>
      <c r="DV282" s="16" t="n"/>
      <c r="DW282" s="16" t="n">
        <v>0.836858</v>
      </c>
      <c r="DX282" s="16" t="n">
        <v>0.886019</v>
      </c>
      <c r="DY282" s="16" t="n"/>
      <c r="DZ282" s="16" t="n"/>
    </row>
    <row r="283">
      <c r="BS283" s="16" t="n"/>
      <c r="BT283" s="16" t="n"/>
      <c r="BU283" s="16" t="n">
        <v>0.839879</v>
      </c>
      <c r="BV283" s="16" t="n">
        <v>480.700696</v>
      </c>
      <c r="BW283" s="16" t="n"/>
      <c r="BX283" s="16" t="n"/>
      <c r="BY283" s="16" t="n"/>
      <c r="BZ283" s="16" t="n"/>
      <c r="CA283" s="16" t="n">
        <v>0.839879</v>
      </c>
      <c r="CB283" s="16" t="n">
        <v>299.787344</v>
      </c>
      <c r="CC283" s="16" t="n"/>
      <c r="CD283" s="16" t="n"/>
      <c r="CE283" s="16" t="n"/>
      <c r="CF283" s="16" t="n"/>
      <c r="CG283" s="16" t="n">
        <v>0.839879</v>
      </c>
      <c r="CH283" s="16" t="n">
        <v>4416.575915</v>
      </c>
      <c r="CI283" s="16" t="n"/>
      <c r="CJ283" s="16" t="n"/>
      <c r="CK283" s="16" t="n"/>
      <c r="CL283" s="16" t="n"/>
      <c r="CM283" s="16" t="n">
        <v>0.839879</v>
      </c>
      <c r="CN283" s="16" t="n">
        <v>1233.348173</v>
      </c>
      <c r="CO283" s="16" t="n"/>
      <c r="CP283" s="16" t="n"/>
      <c r="CQ283" s="16" t="n"/>
      <c r="CR283" s="16" t="n"/>
      <c r="CS283" s="16" t="n">
        <v>0.839879</v>
      </c>
      <c r="CT283" s="16" t="n">
        <v>0.798515</v>
      </c>
      <c r="CU283" s="16" t="n"/>
      <c r="CV283" s="16" t="n"/>
      <c r="CW283" s="16" t="n"/>
      <c r="CX283" s="16" t="n"/>
      <c r="CY283" s="16" t="n">
        <v>0.839879</v>
      </c>
      <c r="CZ283" s="16" t="n">
        <v>0.890404</v>
      </c>
      <c r="DA283" s="16" t="n"/>
      <c r="DB283" s="16" t="n"/>
      <c r="DC283" s="16" t="n"/>
      <c r="DD283" s="16" t="n"/>
      <c r="DE283" s="16" t="n">
        <v>0.839879</v>
      </c>
      <c r="DF283" s="16" t="n">
        <v>0.855335</v>
      </c>
      <c r="DG283" s="16" t="n"/>
      <c r="DH283" s="16" t="n"/>
      <c r="DI283" s="16" t="n"/>
      <c r="DJ283" s="16" t="n"/>
      <c r="DK283" s="16" t="n">
        <v>0.839879</v>
      </c>
      <c r="DL283" s="16" t="n">
        <v>0.895436</v>
      </c>
      <c r="DM283" s="16" t="n"/>
      <c r="DN283" s="16" t="n"/>
      <c r="DO283" s="16" t="n"/>
      <c r="DP283" s="16" t="n"/>
      <c r="DQ283" s="16" t="n">
        <v>0.839879</v>
      </c>
      <c r="DR283" s="16" t="n">
        <v>0.888363</v>
      </c>
      <c r="DS283" s="16" t="n"/>
      <c r="DT283" s="16" t="n"/>
      <c r="DU283" s="16" t="n"/>
      <c r="DV283" s="16" t="n"/>
      <c r="DW283" s="16" t="n">
        <v>0.839879</v>
      </c>
      <c r="DX283" s="16" t="n">
        <v>0.886301</v>
      </c>
      <c r="DY283" s="16" t="n"/>
      <c r="DZ283" s="16" t="n"/>
    </row>
    <row r="284">
      <c r="BS284" s="16" t="n"/>
      <c r="BT284" s="16" t="n"/>
      <c r="BU284" s="16" t="n">
        <v>0.8429</v>
      </c>
      <c r="BV284" s="16" t="n">
        <v>480.859383</v>
      </c>
      <c r="BW284" s="16" t="n"/>
      <c r="BX284" s="16" t="n"/>
      <c r="BY284" s="16" t="n"/>
      <c r="BZ284" s="16" t="n"/>
      <c r="CA284" s="16" t="n">
        <v>0.8429</v>
      </c>
      <c r="CB284" s="16" t="n">
        <v>299.871278</v>
      </c>
      <c r="CC284" s="16" t="n"/>
      <c r="CD284" s="16" t="n"/>
      <c r="CE284" s="16" t="n"/>
      <c r="CF284" s="16" t="n"/>
      <c r="CG284" s="16" t="n">
        <v>0.8429</v>
      </c>
      <c r="CH284" s="16" t="n">
        <v>4421.474582</v>
      </c>
      <c r="CI284" s="16" t="n"/>
      <c r="CJ284" s="16" t="n"/>
      <c r="CK284" s="16" t="n"/>
      <c r="CL284" s="16" t="n"/>
      <c r="CM284" s="16" t="n">
        <v>0.8429</v>
      </c>
      <c r="CN284" s="16" t="n">
        <v>1240.754444</v>
      </c>
      <c r="CO284" s="16" t="n"/>
      <c r="CP284" s="16" t="n"/>
      <c r="CQ284" s="16" t="n"/>
      <c r="CR284" s="16" t="n"/>
      <c r="CS284" s="16" t="n">
        <v>0.8429</v>
      </c>
      <c r="CT284" s="16" t="n">
        <v>0.800003</v>
      </c>
      <c r="CU284" s="16" t="n"/>
      <c r="CV284" s="16" t="n"/>
      <c r="CW284" s="16" t="n"/>
      <c r="CX284" s="16" t="n"/>
      <c r="CY284" s="16" t="n">
        <v>0.8429</v>
      </c>
      <c r="CZ284" s="16" t="n">
        <v>0.890442</v>
      </c>
      <c r="DA284" s="16" t="n"/>
      <c r="DB284" s="16" t="n"/>
      <c r="DC284" s="16" t="n"/>
      <c r="DD284" s="16" t="n"/>
      <c r="DE284" s="16" t="n">
        <v>0.8429</v>
      </c>
      <c r="DF284" s="16" t="n">
        <v>0.8556550000000001</v>
      </c>
      <c r="DG284" s="16" t="n"/>
      <c r="DH284" s="16" t="n"/>
      <c r="DI284" s="16" t="n"/>
      <c r="DJ284" s="16" t="n"/>
      <c r="DK284" s="16" t="n">
        <v>0.8429</v>
      </c>
      <c r="DL284" s="16" t="n">
        <v>0.895576</v>
      </c>
      <c r="DM284" s="16" t="n"/>
      <c r="DN284" s="16" t="n"/>
      <c r="DO284" s="16" t="n"/>
      <c r="DP284" s="16" t="n"/>
      <c r="DQ284" s="16" t="n">
        <v>0.8429</v>
      </c>
      <c r="DR284" s="16" t="n">
        <v>0.888833</v>
      </c>
      <c r="DS284" s="16" t="n"/>
      <c r="DT284" s="16" t="n"/>
      <c r="DU284" s="16" t="n"/>
      <c r="DV284" s="16" t="n"/>
      <c r="DW284" s="16" t="n">
        <v>0.8429</v>
      </c>
      <c r="DX284" s="16" t="n">
        <v>0.887166</v>
      </c>
      <c r="DY284" s="16" t="n"/>
      <c r="DZ284" s="16" t="n"/>
    </row>
    <row r="285">
      <c r="BS285" s="16" t="n"/>
      <c r="BT285" s="16" t="n"/>
      <c r="BU285" s="16" t="n">
        <v>0.845921</v>
      </c>
      <c r="BV285" s="16" t="n">
        <v>481.086295</v>
      </c>
      <c r="BW285" s="16" t="n"/>
      <c r="BX285" s="16" t="n"/>
      <c r="BY285" s="16" t="n"/>
      <c r="BZ285" s="16" t="n"/>
      <c r="CA285" s="16" t="n">
        <v>0.845921</v>
      </c>
      <c r="CB285" s="16" t="n">
        <v>299.93149</v>
      </c>
      <c r="CC285" s="16" t="n"/>
      <c r="CD285" s="16" t="n"/>
      <c r="CE285" s="16" t="n"/>
      <c r="CF285" s="16" t="n"/>
      <c r="CG285" s="16" t="n">
        <v>0.845921</v>
      </c>
      <c r="CH285" s="16" t="n">
        <v>4426.957176</v>
      </c>
      <c r="CI285" s="16" t="n"/>
      <c r="CJ285" s="16" t="n"/>
      <c r="CK285" s="16" t="n"/>
      <c r="CL285" s="16" t="n"/>
      <c r="CM285" s="16" t="n">
        <v>0.845921</v>
      </c>
      <c r="CN285" s="16" t="n">
        <v>1247.611981</v>
      </c>
      <c r="CO285" s="16" t="n"/>
      <c r="CP285" s="16" t="n"/>
      <c r="CQ285" s="16" t="n"/>
      <c r="CR285" s="16" t="n"/>
      <c r="CS285" s="16" t="n">
        <v>0.845921</v>
      </c>
      <c r="CT285" s="16" t="n">
        <v>0.800013</v>
      </c>
      <c r="CU285" s="16" t="n"/>
      <c r="CV285" s="16" t="n"/>
      <c r="CW285" s="16" t="n"/>
      <c r="CX285" s="16" t="n"/>
      <c r="CY285" s="16" t="n">
        <v>0.845921</v>
      </c>
      <c r="CZ285" s="16" t="n">
        <v>0.891653</v>
      </c>
      <c r="DA285" s="16" t="n"/>
      <c r="DB285" s="16" t="n"/>
      <c r="DC285" s="16" t="n"/>
      <c r="DD285" s="16" t="n"/>
      <c r="DE285" s="16" t="n">
        <v>0.845921</v>
      </c>
      <c r="DF285" s="16" t="n">
        <v>0.857155</v>
      </c>
      <c r="DG285" s="16" t="n"/>
      <c r="DH285" s="16" t="n"/>
      <c r="DI285" s="16" t="n"/>
      <c r="DJ285" s="16" t="n"/>
      <c r="DK285" s="16" t="n">
        <v>0.845921</v>
      </c>
      <c r="DL285" s="16" t="n">
        <v>0.897397</v>
      </c>
      <c r="DM285" s="16" t="n"/>
      <c r="DN285" s="16" t="n"/>
      <c r="DO285" s="16" t="n"/>
      <c r="DP285" s="16" t="n"/>
      <c r="DQ285" s="16" t="n">
        <v>0.845921</v>
      </c>
      <c r="DR285" s="16" t="n">
        <v>0.889628</v>
      </c>
      <c r="DS285" s="16" t="n"/>
      <c r="DT285" s="16" t="n"/>
      <c r="DU285" s="16" t="n"/>
      <c r="DV285" s="16" t="n"/>
      <c r="DW285" s="16" t="n">
        <v>0.845921</v>
      </c>
      <c r="DX285" s="16" t="n">
        <v>0.887309</v>
      </c>
      <c r="DY285" s="16" t="n"/>
      <c r="DZ285" s="16" t="n"/>
    </row>
    <row r="286">
      <c r="BS286" s="16" t="n"/>
      <c r="BT286" s="16" t="n"/>
      <c r="BU286" s="16" t="n">
        <v>0.848943</v>
      </c>
      <c r="BV286" s="16" t="n">
        <v>481.209537</v>
      </c>
      <c r="BW286" s="16" t="n"/>
      <c r="BX286" s="16" t="n"/>
      <c r="BY286" s="16" t="n"/>
      <c r="BZ286" s="16" t="n"/>
      <c r="CA286" s="16" t="n">
        <v>0.848943</v>
      </c>
      <c r="CB286" s="16" t="n">
        <v>299.937805</v>
      </c>
      <c r="CC286" s="16" t="n"/>
      <c r="CD286" s="16" t="n"/>
      <c r="CE286" s="16" t="n"/>
      <c r="CF286" s="16" t="n"/>
      <c r="CG286" s="16" t="n">
        <v>0.848943</v>
      </c>
      <c r="CH286" s="16" t="n">
        <v>4430.809266</v>
      </c>
      <c r="CI286" s="16" t="n"/>
      <c r="CJ286" s="16" t="n"/>
      <c r="CK286" s="16" t="n"/>
      <c r="CL286" s="16" t="n"/>
      <c r="CM286" s="16" t="n">
        <v>0.848943</v>
      </c>
      <c r="CN286" s="16" t="n">
        <v>1248.248858</v>
      </c>
      <c r="CO286" s="16" t="n"/>
      <c r="CP286" s="16" t="n"/>
      <c r="CQ286" s="16" t="n"/>
      <c r="CR286" s="16" t="n"/>
      <c r="CS286" s="16" t="n">
        <v>0.848943</v>
      </c>
      <c r="CT286" s="16" t="n">
        <v>0.801007</v>
      </c>
      <c r="CU286" s="16" t="n"/>
      <c r="CV286" s="16" t="n"/>
      <c r="CW286" s="16" t="n"/>
      <c r="CX286" s="16" t="n"/>
      <c r="CY286" s="16" t="n">
        <v>0.848943</v>
      </c>
      <c r="CZ286" s="16" t="n">
        <v>0.892465</v>
      </c>
      <c r="DA286" s="16" t="n"/>
      <c r="DB286" s="16" t="n"/>
      <c r="DC286" s="16" t="n"/>
      <c r="DD286" s="16" t="n"/>
      <c r="DE286" s="16" t="n">
        <v>0.848943</v>
      </c>
      <c r="DF286" s="16" t="n">
        <v>0.857246</v>
      </c>
      <c r="DG286" s="16" t="n"/>
      <c r="DH286" s="16" t="n"/>
      <c r="DI286" s="16" t="n"/>
      <c r="DJ286" s="16" t="n"/>
      <c r="DK286" s="16" t="n">
        <v>0.848943</v>
      </c>
      <c r="DL286" s="16" t="n">
        <v>0.897997</v>
      </c>
      <c r="DM286" s="16" t="n"/>
      <c r="DN286" s="16" t="n"/>
      <c r="DO286" s="16" t="n"/>
      <c r="DP286" s="16" t="n"/>
      <c r="DQ286" s="16" t="n">
        <v>0.848943</v>
      </c>
      <c r="DR286" s="16" t="n">
        <v>0.890536</v>
      </c>
      <c r="DS286" s="16" t="n"/>
      <c r="DT286" s="16" t="n"/>
      <c r="DU286" s="16" t="n"/>
      <c r="DV286" s="16" t="n"/>
      <c r="DW286" s="16" t="n">
        <v>0.848943</v>
      </c>
      <c r="DX286" s="16" t="n">
        <v>0.889826</v>
      </c>
      <c r="DY286" s="16" t="n"/>
      <c r="DZ286" s="16" t="n"/>
    </row>
    <row r="287">
      <c r="BS287" s="16" t="n"/>
      <c r="BT287" s="16" t="n"/>
      <c r="BU287" s="16" t="n">
        <v>0.8519640000000001</v>
      </c>
      <c r="BV287" s="16" t="n">
        <v>481.606666</v>
      </c>
      <c r="BW287" s="16" t="n"/>
      <c r="BX287" s="16" t="n"/>
      <c r="BY287" s="16" t="n"/>
      <c r="BZ287" s="16" t="n"/>
      <c r="CA287" s="16" t="n">
        <v>0.8519640000000001</v>
      </c>
      <c r="CB287" s="16" t="n">
        <v>300.007808</v>
      </c>
      <c r="CC287" s="16" t="n"/>
      <c r="CD287" s="16" t="n"/>
      <c r="CE287" s="16" t="n"/>
      <c r="CF287" s="16" t="n"/>
      <c r="CG287" s="16" t="n">
        <v>0.8519640000000001</v>
      </c>
      <c r="CH287" s="16" t="n">
        <v>4447.309146</v>
      </c>
      <c r="CI287" s="16" t="n"/>
      <c r="CJ287" s="16" t="n"/>
      <c r="CK287" s="16" t="n"/>
      <c r="CL287" s="16" t="n"/>
      <c r="CM287" s="16" t="n">
        <v>0.8519640000000001</v>
      </c>
      <c r="CN287" s="16" t="n">
        <v>1251.208829</v>
      </c>
      <c r="CO287" s="16" t="n"/>
      <c r="CP287" s="16" t="n"/>
      <c r="CQ287" s="16" t="n"/>
      <c r="CR287" s="16" t="n"/>
      <c r="CS287" s="16" t="n">
        <v>0.8519640000000001</v>
      </c>
      <c r="CT287" s="16" t="n">
        <v>0.801637</v>
      </c>
      <c r="CU287" s="16" t="n"/>
      <c r="CV287" s="16" t="n"/>
      <c r="CW287" s="16" t="n"/>
      <c r="CX287" s="16" t="n"/>
      <c r="CY287" s="16" t="n">
        <v>0.8519640000000001</v>
      </c>
      <c r="CZ287" s="16" t="n">
        <v>0.892528</v>
      </c>
      <c r="DA287" s="16" t="n"/>
      <c r="DB287" s="16" t="n"/>
      <c r="DC287" s="16" t="n"/>
      <c r="DD287" s="16" t="n"/>
      <c r="DE287" s="16" t="n">
        <v>0.8519640000000001</v>
      </c>
      <c r="DF287" s="16" t="n">
        <v>0.858513</v>
      </c>
      <c r="DG287" s="16" t="n"/>
      <c r="DH287" s="16" t="n"/>
      <c r="DI287" s="16" t="n"/>
      <c r="DJ287" s="16" t="n"/>
      <c r="DK287" s="16" t="n">
        <v>0.8519640000000001</v>
      </c>
      <c r="DL287" s="16" t="n">
        <v>0.898423</v>
      </c>
      <c r="DM287" s="16" t="n"/>
      <c r="DN287" s="16" t="n"/>
      <c r="DO287" s="16" t="n"/>
      <c r="DP287" s="16" t="n"/>
      <c r="DQ287" s="16" t="n">
        <v>0.8519640000000001</v>
      </c>
      <c r="DR287" s="16" t="n">
        <v>0.89254</v>
      </c>
      <c r="DS287" s="16" t="n"/>
      <c r="DT287" s="16" t="n"/>
      <c r="DU287" s="16" t="n"/>
      <c r="DV287" s="16" t="n"/>
      <c r="DW287" s="16" t="n">
        <v>0.8519640000000001</v>
      </c>
      <c r="DX287" s="16" t="n">
        <v>0.89009</v>
      </c>
      <c r="DY287" s="16" t="n"/>
      <c r="DZ287" s="16" t="n"/>
    </row>
    <row r="288">
      <c r="BS288" s="16" t="n"/>
      <c r="BT288" s="16" t="n"/>
      <c r="BU288" s="16" t="n">
        <v>0.854985</v>
      </c>
      <c r="BV288" s="16" t="n">
        <v>482.561873</v>
      </c>
      <c r="BW288" s="16" t="n"/>
      <c r="BX288" s="16" t="n"/>
      <c r="BY288" s="16" t="n"/>
      <c r="BZ288" s="16" t="n"/>
      <c r="CA288" s="16" t="n">
        <v>0.854985</v>
      </c>
      <c r="CB288" s="16" t="n">
        <v>300.062294</v>
      </c>
      <c r="CC288" s="16" t="n"/>
      <c r="CD288" s="16" t="n"/>
      <c r="CE288" s="16" t="n"/>
      <c r="CF288" s="16" t="n"/>
      <c r="CG288" s="16" t="n">
        <v>0.854985</v>
      </c>
      <c r="CH288" s="16" t="n">
        <v>4454.785613</v>
      </c>
      <c r="CI288" s="16" t="n"/>
      <c r="CJ288" s="16" t="n"/>
      <c r="CK288" s="16" t="n"/>
      <c r="CL288" s="16" t="n"/>
      <c r="CM288" s="16" t="n">
        <v>0.854985</v>
      </c>
      <c r="CN288" s="16" t="n">
        <v>1254.52005</v>
      </c>
      <c r="CO288" s="16" t="n"/>
      <c r="CP288" s="16" t="n"/>
      <c r="CQ288" s="16" t="n"/>
      <c r="CR288" s="16" t="n"/>
      <c r="CS288" s="16" t="n">
        <v>0.854985</v>
      </c>
      <c r="CT288" s="16" t="n">
        <v>0.803451</v>
      </c>
      <c r="CU288" s="16" t="n"/>
      <c r="CV288" s="16" t="n"/>
      <c r="CW288" s="16" t="n"/>
      <c r="CX288" s="16" t="n"/>
      <c r="CY288" s="16" t="n">
        <v>0.854985</v>
      </c>
      <c r="CZ288" s="16" t="n">
        <v>0.893509</v>
      </c>
      <c r="DA288" s="16" t="n"/>
      <c r="DB288" s="16" t="n"/>
      <c r="DC288" s="16" t="n"/>
      <c r="DD288" s="16" t="n"/>
      <c r="DE288" s="16" t="n">
        <v>0.854985</v>
      </c>
      <c r="DF288" s="16" t="n">
        <v>0.859508</v>
      </c>
      <c r="DG288" s="16" t="n"/>
      <c r="DH288" s="16" t="n"/>
      <c r="DI288" s="16" t="n"/>
      <c r="DJ288" s="16" t="n"/>
      <c r="DK288" s="16" t="n">
        <v>0.854985</v>
      </c>
      <c r="DL288" s="16" t="n">
        <v>0.8990320000000001</v>
      </c>
      <c r="DM288" s="16" t="n"/>
      <c r="DN288" s="16" t="n"/>
      <c r="DO288" s="16" t="n"/>
      <c r="DP288" s="16" t="n"/>
      <c r="DQ288" s="16" t="n">
        <v>0.854985</v>
      </c>
      <c r="DR288" s="16" t="n">
        <v>0.892664</v>
      </c>
      <c r="DS288" s="16" t="n"/>
      <c r="DT288" s="16" t="n"/>
      <c r="DU288" s="16" t="n"/>
      <c r="DV288" s="16" t="n"/>
      <c r="DW288" s="16" t="n">
        <v>0.854985</v>
      </c>
      <c r="DX288" s="16" t="n">
        <v>0.890983</v>
      </c>
      <c r="DY288" s="16" t="n"/>
      <c r="DZ288" s="16" t="n"/>
    </row>
    <row r="289">
      <c r="BS289" s="16" t="n"/>
      <c r="BT289" s="16" t="n"/>
      <c r="BU289" s="16" t="n">
        <v>0.858006</v>
      </c>
      <c r="BV289" s="16" t="n">
        <v>482.692566</v>
      </c>
      <c r="BW289" s="16" t="n"/>
      <c r="BX289" s="16" t="n"/>
      <c r="BY289" s="16" t="n"/>
      <c r="BZ289" s="16" t="n"/>
      <c r="CA289" s="16" t="n">
        <v>0.858006</v>
      </c>
      <c r="CB289" s="16" t="n">
        <v>300.1524</v>
      </c>
      <c r="CC289" s="16" t="n"/>
      <c r="CD289" s="16" t="n"/>
      <c r="CE289" s="16" t="n"/>
      <c r="CF289" s="16" t="n"/>
      <c r="CG289" s="16" t="n">
        <v>0.858006</v>
      </c>
      <c r="CH289" s="16" t="n">
        <v>4457.133477</v>
      </c>
      <c r="CI289" s="16" t="n"/>
      <c r="CJ289" s="16" t="n"/>
      <c r="CK289" s="16" t="n"/>
      <c r="CL289" s="16" t="n"/>
      <c r="CM289" s="16" t="n">
        <v>0.858006</v>
      </c>
      <c r="CN289" s="16" t="n">
        <v>1257.862416</v>
      </c>
      <c r="CO289" s="16" t="n"/>
      <c r="CP289" s="16" t="n"/>
      <c r="CQ289" s="16" t="n"/>
      <c r="CR289" s="16" t="n"/>
      <c r="CS289" s="16" t="n">
        <v>0.858006</v>
      </c>
      <c r="CT289" s="16" t="n">
        <v>0.804279</v>
      </c>
      <c r="CU289" s="16" t="n"/>
      <c r="CV289" s="16" t="n"/>
      <c r="CW289" s="16" t="n"/>
      <c r="CX289" s="16" t="n"/>
      <c r="CY289" s="16" t="n">
        <v>0.858006</v>
      </c>
      <c r="CZ289" s="16" t="n">
        <v>0.8940709999999999</v>
      </c>
      <c r="DA289" s="16" t="n"/>
      <c r="DB289" s="16" t="n"/>
      <c r="DC289" s="16" t="n"/>
      <c r="DD289" s="16" t="n"/>
      <c r="DE289" s="16" t="n">
        <v>0.858006</v>
      </c>
      <c r="DF289" s="16" t="n">
        <v>0.861571</v>
      </c>
      <c r="DG289" s="16" t="n"/>
      <c r="DH289" s="16" t="n"/>
      <c r="DI289" s="16" t="n"/>
      <c r="DJ289" s="16" t="n"/>
      <c r="DK289" s="16" t="n">
        <v>0.858006</v>
      </c>
      <c r="DL289" s="16" t="n">
        <v>0.900818</v>
      </c>
      <c r="DM289" s="16" t="n"/>
      <c r="DN289" s="16" t="n"/>
      <c r="DO289" s="16" t="n"/>
      <c r="DP289" s="16" t="n"/>
      <c r="DQ289" s="16" t="n">
        <v>0.858006</v>
      </c>
      <c r="DR289" s="16" t="n">
        <v>0.894765</v>
      </c>
      <c r="DS289" s="16" t="n"/>
      <c r="DT289" s="16" t="n"/>
      <c r="DU289" s="16" t="n"/>
      <c r="DV289" s="16" t="n"/>
      <c r="DW289" s="16" t="n">
        <v>0.858006</v>
      </c>
      <c r="DX289" s="16" t="n">
        <v>0.891048</v>
      </c>
      <c r="DY289" s="16" t="n"/>
      <c r="DZ289" s="16" t="n"/>
    </row>
    <row r="290">
      <c r="BS290" s="16" t="n"/>
      <c r="BT290" s="16" t="n"/>
      <c r="BU290" s="16" t="n">
        <v>0.861027</v>
      </c>
      <c r="BV290" s="16" t="n">
        <v>483.32577</v>
      </c>
      <c r="BW290" s="16" t="n"/>
      <c r="BX290" s="16" t="n"/>
      <c r="BY290" s="16" t="n"/>
      <c r="BZ290" s="16" t="n"/>
      <c r="CA290" s="16" t="n">
        <v>0.861027</v>
      </c>
      <c r="CB290" s="16" t="n">
        <v>300.204688</v>
      </c>
      <c r="CC290" s="16" t="n"/>
      <c r="CD290" s="16" t="n"/>
      <c r="CE290" s="16" t="n"/>
      <c r="CF290" s="16" t="n"/>
      <c r="CG290" s="16" t="n">
        <v>0.861027</v>
      </c>
      <c r="CH290" s="16" t="n">
        <v>4460.09381</v>
      </c>
      <c r="CI290" s="16" t="n"/>
      <c r="CJ290" s="16" t="n"/>
      <c r="CK290" s="16" t="n"/>
      <c r="CL290" s="16" t="n"/>
      <c r="CM290" s="16" t="n">
        <v>0.861027</v>
      </c>
      <c r="CN290" s="16" t="n">
        <v>1265.474896</v>
      </c>
      <c r="CO290" s="16" t="n"/>
      <c r="CP290" s="16" t="n"/>
      <c r="CQ290" s="16" t="n"/>
      <c r="CR290" s="16" t="n"/>
      <c r="CS290" s="16" t="n">
        <v>0.861027</v>
      </c>
      <c r="CT290" s="16" t="n">
        <v>0.804942</v>
      </c>
      <c r="CU290" s="16" t="n"/>
      <c r="CV290" s="16" t="n"/>
      <c r="CW290" s="16" t="n"/>
      <c r="CX290" s="16" t="n"/>
      <c r="CY290" s="16" t="n">
        <v>0.861027</v>
      </c>
      <c r="CZ290" s="16" t="n">
        <v>0.894634</v>
      </c>
      <c r="DA290" s="16" t="n"/>
      <c r="DB290" s="16" t="n"/>
      <c r="DC290" s="16" t="n"/>
      <c r="DD290" s="16" t="n"/>
      <c r="DE290" s="16" t="n">
        <v>0.861027</v>
      </c>
      <c r="DF290" s="16" t="n">
        <v>0.862462</v>
      </c>
      <c r="DG290" s="16" t="n"/>
      <c r="DH290" s="16" t="n"/>
      <c r="DI290" s="16" t="n"/>
      <c r="DJ290" s="16" t="n"/>
      <c r="DK290" s="16" t="n">
        <v>0.861027</v>
      </c>
      <c r="DL290" s="16" t="n">
        <v>0.901701</v>
      </c>
      <c r="DM290" s="16" t="n"/>
      <c r="DN290" s="16" t="n"/>
      <c r="DO290" s="16" t="n"/>
      <c r="DP290" s="16" t="n"/>
      <c r="DQ290" s="16" t="n">
        <v>0.861027</v>
      </c>
      <c r="DR290" s="16" t="n">
        <v>0.895802</v>
      </c>
      <c r="DS290" s="16" t="n"/>
      <c r="DT290" s="16" t="n"/>
      <c r="DU290" s="16" t="n"/>
      <c r="DV290" s="16" t="n"/>
      <c r="DW290" s="16" t="n">
        <v>0.861027</v>
      </c>
      <c r="DX290" s="16" t="n">
        <v>0.891498</v>
      </c>
      <c r="DY290" s="16" t="n"/>
      <c r="DZ290" s="16" t="n"/>
    </row>
    <row r="291">
      <c r="BS291" s="16" t="n"/>
      <c r="BT291" s="16" t="n"/>
      <c r="BU291" s="16" t="n">
        <v>0.864048</v>
      </c>
      <c r="BV291" s="16" t="n">
        <v>483.684617</v>
      </c>
      <c r="BW291" s="16" t="n"/>
      <c r="BX291" s="16" t="n"/>
      <c r="BY291" s="16" t="n"/>
      <c r="BZ291" s="16" t="n"/>
      <c r="CA291" s="16" t="n">
        <v>0.864048</v>
      </c>
      <c r="CB291" s="16" t="n">
        <v>300.214532</v>
      </c>
      <c r="CC291" s="16" t="n"/>
      <c r="CD291" s="16" t="n"/>
      <c r="CE291" s="16" t="n"/>
      <c r="CF291" s="16" t="n"/>
      <c r="CG291" s="16" t="n">
        <v>0.864048</v>
      </c>
      <c r="CH291" s="16" t="n">
        <v>4470.329703</v>
      </c>
      <c r="CI291" s="16" t="n"/>
      <c r="CJ291" s="16" t="n"/>
      <c r="CK291" s="16" t="n"/>
      <c r="CL291" s="16" t="n"/>
      <c r="CM291" s="16" t="n">
        <v>0.864048</v>
      </c>
      <c r="CN291" s="16" t="n">
        <v>1284.238433</v>
      </c>
      <c r="CO291" s="16" t="n"/>
      <c r="CP291" s="16" t="n"/>
      <c r="CQ291" s="16" t="n"/>
      <c r="CR291" s="16" t="n"/>
      <c r="CS291" s="16" t="n">
        <v>0.864048</v>
      </c>
      <c r="CT291" s="16" t="n">
        <v>0.806186</v>
      </c>
      <c r="CU291" s="16" t="n"/>
      <c r="CV291" s="16" t="n"/>
      <c r="CW291" s="16" t="n"/>
      <c r="CX291" s="16" t="n"/>
      <c r="CY291" s="16" t="n">
        <v>0.864048</v>
      </c>
      <c r="CZ291" s="16" t="n">
        <v>0.895262</v>
      </c>
      <c r="DA291" s="16" t="n"/>
      <c r="DB291" s="16" t="n"/>
      <c r="DC291" s="16" t="n"/>
      <c r="DD291" s="16" t="n"/>
      <c r="DE291" s="16" t="n">
        <v>0.864048</v>
      </c>
      <c r="DF291" s="16" t="n">
        <v>0.862542</v>
      </c>
      <c r="DG291" s="16" t="n"/>
      <c r="DH291" s="16" t="n"/>
      <c r="DI291" s="16" t="n"/>
      <c r="DJ291" s="16" t="n"/>
      <c r="DK291" s="16" t="n">
        <v>0.864048</v>
      </c>
      <c r="DL291" s="16" t="n">
        <v>0.903105</v>
      </c>
      <c r="DM291" s="16" t="n"/>
      <c r="DN291" s="16" t="n"/>
      <c r="DO291" s="16" t="n"/>
      <c r="DP291" s="16" t="n"/>
      <c r="DQ291" s="16" t="n">
        <v>0.864048</v>
      </c>
      <c r="DR291" s="16" t="n">
        <v>0.89637</v>
      </c>
      <c r="DS291" s="16" t="n"/>
      <c r="DT291" s="16" t="n"/>
      <c r="DU291" s="16" t="n"/>
      <c r="DV291" s="16" t="n"/>
      <c r="DW291" s="16" t="n">
        <v>0.864048</v>
      </c>
      <c r="DX291" s="16" t="n">
        <v>0.892225</v>
      </c>
      <c r="DY291" s="16" t="n"/>
      <c r="DZ291" s="16" t="n"/>
    </row>
    <row r="292">
      <c r="BS292" s="16" t="n"/>
      <c r="BT292" s="16" t="n"/>
      <c r="BU292" s="16" t="n">
        <v>0.867069</v>
      </c>
      <c r="BV292" s="16" t="n">
        <v>484.387254</v>
      </c>
      <c r="BW292" s="16" t="n"/>
      <c r="BX292" s="16" t="n"/>
      <c r="BY292" s="16" t="n"/>
      <c r="BZ292" s="16" t="n"/>
      <c r="CA292" s="16" t="n">
        <v>0.867069</v>
      </c>
      <c r="CB292" s="16" t="n">
        <v>300.269045</v>
      </c>
      <c r="CC292" s="16" t="n"/>
      <c r="CD292" s="16" t="n"/>
      <c r="CE292" s="16" t="n"/>
      <c r="CF292" s="16" t="n"/>
      <c r="CG292" s="16" t="n">
        <v>0.867069</v>
      </c>
      <c r="CH292" s="16" t="n">
        <v>4480.469051</v>
      </c>
      <c r="CI292" s="16" t="n"/>
      <c r="CJ292" s="16" t="n"/>
      <c r="CK292" s="16" t="n"/>
      <c r="CL292" s="16" t="n"/>
      <c r="CM292" s="16" t="n">
        <v>0.867069</v>
      </c>
      <c r="CN292" s="16" t="n">
        <v>1288.82545</v>
      </c>
      <c r="CO292" s="16" t="n"/>
      <c r="CP292" s="16" t="n"/>
      <c r="CQ292" s="16" t="n"/>
      <c r="CR292" s="16" t="n"/>
      <c r="CS292" s="16" t="n">
        <v>0.867069</v>
      </c>
      <c r="CT292" s="16" t="n">
        <v>0.806272</v>
      </c>
      <c r="CU292" s="16" t="n"/>
      <c r="CV292" s="16" t="n"/>
      <c r="CW292" s="16" t="n"/>
      <c r="CX292" s="16" t="n"/>
      <c r="CY292" s="16" t="n">
        <v>0.867069</v>
      </c>
      <c r="CZ292" s="16" t="n">
        <v>0.8954299999999999</v>
      </c>
      <c r="DA292" s="16" t="n"/>
      <c r="DB292" s="16" t="n"/>
      <c r="DC292" s="16" t="n"/>
      <c r="DD292" s="16" t="n"/>
      <c r="DE292" s="16" t="n">
        <v>0.867069</v>
      </c>
      <c r="DF292" s="16" t="n">
        <v>0.862887</v>
      </c>
      <c r="DG292" s="16" t="n"/>
      <c r="DH292" s="16" t="n"/>
      <c r="DI292" s="16" t="n"/>
      <c r="DJ292" s="16" t="n"/>
      <c r="DK292" s="16" t="n">
        <v>0.867069</v>
      </c>
      <c r="DL292" s="16" t="n">
        <v>0.905074</v>
      </c>
      <c r="DM292" s="16" t="n"/>
      <c r="DN292" s="16" t="n"/>
      <c r="DO292" s="16" t="n"/>
      <c r="DP292" s="16" t="n"/>
      <c r="DQ292" s="16" t="n">
        <v>0.867069</v>
      </c>
      <c r="DR292" s="16" t="n">
        <v>0.896807</v>
      </c>
      <c r="DS292" s="16" t="n"/>
      <c r="DT292" s="16" t="n"/>
      <c r="DU292" s="16" t="n"/>
      <c r="DV292" s="16" t="n"/>
      <c r="DW292" s="16" t="n">
        <v>0.867069</v>
      </c>
      <c r="DX292" s="16" t="n">
        <v>0.892666</v>
      </c>
      <c r="DY292" s="16" t="n"/>
      <c r="DZ292" s="16" t="n"/>
    </row>
    <row r="293">
      <c r="BS293" s="16" t="n"/>
      <c r="BT293" s="16" t="n"/>
      <c r="BU293" s="16" t="n">
        <v>0.8700909999999999</v>
      </c>
      <c r="BV293" s="16" t="n">
        <v>484.766374</v>
      </c>
      <c r="BW293" s="16" t="n"/>
      <c r="BX293" s="16" t="n"/>
      <c r="BY293" s="16" t="n"/>
      <c r="BZ293" s="16" t="n"/>
      <c r="CA293" s="16" t="n">
        <v>0.8700909999999999</v>
      </c>
      <c r="CB293" s="16" t="n">
        <v>300.30755</v>
      </c>
      <c r="CC293" s="16" t="n"/>
      <c r="CD293" s="16" t="n"/>
      <c r="CE293" s="16" t="n"/>
      <c r="CF293" s="16" t="n"/>
      <c r="CG293" s="16" t="n">
        <v>0.8700909999999999</v>
      </c>
      <c r="CH293" s="16" t="n">
        <v>4496.253648</v>
      </c>
      <c r="CI293" s="16" t="n"/>
      <c r="CJ293" s="16" t="n"/>
      <c r="CK293" s="16" t="n"/>
      <c r="CL293" s="16" t="n"/>
      <c r="CM293" s="16" t="n">
        <v>0.8700909999999999</v>
      </c>
      <c r="CN293" s="16" t="n">
        <v>1291.098247</v>
      </c>
      <c r="CO293" s="16" t="n"/>
      <c r="CP293" s="16" t="n"/>
      <c r="CQ293" s="16" t="n"/>
      <c r="CR293" s="16" t="n"/>
      <c r="CS293" s="16" t="n">
        <v>0.8700909999999999</v>
      </c>
      <c r="CT293" s="16" t="n">
        <v>0.806763</v>
      </c>
      <c r="CU293" s="16" t="n"/>
      <c r="CV293" s="16" t="n"/>
      <c r="CW293" s="16" t="n"/>
      <c r="CX293" s="16" t="n"/>
      <c r="CY293" s="16" t="n">
        <v>0.8700909999999999</v>
      </c>
      <c r="CZ293" s="16" t="n">
        <v>0.895637</v>
      </c>
      <c r="DA293" s="16" t="n"/>
      <c r="DB293" s="16" t="n"/>
      <c r="DC293" s="16" t="n"/>
      <c r="DD293" s="16" t="n"/>
      <c r="DE293" s="16" t="n">
        <v>0.8700909999999999</v>
      </c>
      <c r="DF293" s="16" t="n">
        <v>0.863967</v>
      </c>
      <c r="DG293" s="16" t="n"/>
      <c r="DH293" s="16" t="n"/>
      <c r="DI293" s="16" t="n"/>
      <c r="DJ293" s="16" t="n"/>
      <c r="DK293" s="16" t="n">
        <v>0.8700909999999999</v>
      </c>
      <c r="DL293" s="16" t="n">
        <v>0.906127</v>
      </c>
      <c r="DM293" s="16" t="n"/>
      <c r="DN293" s="16" t="n"/>
      <c r="DO293" s="16" t="n"/>
      <c r="DP293" s="16" t="n"/>
      <c r="DQ293" s="16" t="n">
        <v>0.8700909999999999</v>
      </c>
      <c r="DR293" s="16" t="n">
        <v>0.897792</v>
      </c>
      <c r="DS293" s="16" t="n"/>
      <c r="DT293" s="16" t="n"/>
      <c r="DU293" s="16" t="n"/>
      <c r="DV293" s="16" t="n"/>
      <c r="DW293" s="16" t="n">
        <v>0.8700909999999999</v>
      </c>
      <c r="DX293" s="16" t="n">
        <v>0.89398</v>
      </c>
      <c r="DY293" s="16" t="n"/>
      <c r="DZ293" s="16" t="n"/>
    </row>
    <row r="294">
      <c r="BS294" s="16" t="n"/>
      <c r="BT294" s="16" t="n"/>
      <c r="BU294" s="16" t="n">
        <v>0.873112</v>
      </c>
      <c r="BV294" s="16" t="n">
        <v>485.016685</v>
      </c>
      <c r="BW294" s="16" t="n"/>
      <c r="BX294" s="16" t="n"/>
      <c r="BY294" s="16" t="n"/>
      <c r="BZ294" s="16" t="n"/>
      <c r="CA294" s="16" t="n">
        <v>0.873112</v>
      </c>
      <c r="CB294" s="16" t="n">
        <v>300.380901</v>
      </c>
      <c r="CC294" s="16" t="n"/>
      <c r="CD294" s="16" t="n"/>
      <c r="CE294" s="16" t="n"/>
      <c r="CF294" s="16" t="n"/>
      <c r="CG294" s="16" t="n">
        <v>0.873112</v>
      </c>
      <c r="CH294" s="16" t="n">
        <v>4519.552971</v>
      </c>
      <c r="CI294" s="16" t="n"/>
      <c r="CJ294" s="16" t="n"/>
      <c r="CK294" s="16" t="n"/>
      <c r="CL294" s="16" t="n"/>
      <c r="CM294" s="16" t="n">
        <v>0.873112</v>
      </c>
      <c r="CN294" s="16" t="n">
        <v>1291.336131</v>
      </c>
      <c r="CO294" s="16" t="n"/>
      <c r="CP294" s="16" t="n"/>
      <c r="CQ294" s="16" t="n"/>
      <c r="CR294" s="16" t="n"/>
      <c r="CS294" s="16" t="n">
        <v>0.873112</v>
      </c>
      <c r="CT294" s="16" t="n">
        <v>0.807045</v>
      </c>
      <c r="CU294" s="16" t="n"/>
      <c r="CV294" s="16" t="n"/>
      <c r="CW294" s="16" t="n"/>
      <c r="CX294" s="16" t="n"/>
      <c r="CY294" s="16" t="n">
        <v>0.873112</v>
      </c>
      <c r="CZ294" s="16" t="n">
        <v>0.89635</v>
      </c>
      <c r="DA294" s="16" t="n"/>
      <c r="DB294" s="16" t="n"/>
      <c r="DC294" s="16" t="n"/>
      <c r="DD294" s="16" t="n"/>
      <c r="DE294" s="16" t="n">
        <v>0.873112</v>
      </c>
      <c r="DF294" s="16" t="n">
        <v>0.86443</v>
      </c>
      <c r="DG294" s="16" t="n"/>
      <c r="DH294" s="16" t="n"/>
      <c r="DI294" s="16" t="n"/>
      <c r="DJ294" s="16" t="n"/>
      <c r="DK294" s="16" t="n">
        <v>0.873112</v>
      </c>
      <c r="DL294" s="16" t="n">
        <v>0.90615</v>
      </c>
      <c r="DM294" s="16" t="n"/>
      <c r="DN294" s="16" t="n"/>
      <c r="DO294" s="16" t="n"/>
      <c r="DP294" s="16" t="n"/>
      <c r="DQ294" s="16" t="n">
        <v>0.873112</v>
      </c>
      <c r="DR294" s="16" t="n">
        <v>0.89817</v>
      </c>
      <c r="DS294" s="16" t="n"/>
      <c r="DT294" s="16" t="n"/>
      <c r="DU294" s="16" t="n"/>
      <c r="DV294" s="16" t="n"/>
      <c r="DW294" s="16" t="n">
        <v>0.873112</v>
      </c>
      <c r="DX294" s="16" t="n">
        <v>0.8949</v>
      </c>
      <c r="DY294" s="16" t="n"/>
      <c r="DZ294" s="16" t="n"/>
    </row>
    <row r="295">
      <c r="BS295" s="16" t="n"/>
      <c r="BT295" s="16" t="n"/>
      <c r="BU295" s="16" t="n">
        <v>0.8761330000000001</v>
      </c>
      <c r="BV295" s="16" t="n">
        <v>485.16046</v>
      </c>
      <c r="BW295" s="16" t="n"/>
      <c r="BX295" s="16" t="n"/>
      <c r="BY295" s="16" t="n"/>
      <c r="BZ295" s="16" t="n"/>
      <c r="CA295" s="16" t="n">
        <v>0.8761330000000001</v>
      </c>
      <c r="CB295" s="16" t="n">
        <v>300.408719</v>
      </c>
      <c r="CC295" s="16" t="n"/>
      <c r="CD295" s="16" t="n"/>
      <c r="CE295" s="16" t="n"/>
      <c r="CF295" s="16" t="n"/>
      <c r="CG295" s="16" t="n">
        <v>0.8761330000000001</v>
      </c>
      <c r="CH295" s="16" t="n">
        <v>4520.157196</v>
      </c>
      <c r="CI295" s="16" t="n"/>
      <c r="CJ295" s="16" t="n"/>
      <c r="CK295" s="16" t="n"/>
      <c r="CL295" s="16" t="n"/>
      <c r="CM295" s="16" t="n">
        <v>0.8761330000000001</v>
      </c>
      <c r="CN295" s="16" t="n">
        <v>1301.09269</v>
      </c>
      <c r="CO295" s="16" t="n"/>
      <c r="CP295" s="16" t="n"/>
      <c r="CQ295" s="16" t="n"/>
      <c r="CR295" s="16" t="n"/>
      <c r="CS295" s="16" t="n">
        <v>0.8761330000000001</v>
      </c>
      <c r="CT295" s="16" t="n">
        <v>0.808944</v>
      </c>
      <c r="CU295" s="16" t="n"/>
      <c r="CV295" s="16" t="n"/>
      <c r="CW295" s="16" t="n"/>
      <c r="CX295" s="16" t="n"/>
      <c r="CY295" s="16" t="n">
        <v>0.8761330000000001</v>
      </c>
      <c r="CZ295" s="16" t="n">
        <v>0.896769</v>
      </c>
      <c r="DA295" s="16" t="n"/>
      <c r="DB295" s="16" t="n"/>
      <c r="DC295" s="16" t="n"/>
      <c r="DD295" s="16" t="n"/>
      <c r="DE295" s="16" t="n">
        <v>0.8761330000000001</v>
      </c>
      <c r="DF295" s="16" t="n">
        <v>0.865239</v>
      </c>
      <c r="DG295" s="16" t="n"/>
      <c r="DH295" s="16" t="n"/>
      <c r="DI295" s="16" t="n"/>
      <c r="DJ295" s="16" t="n"/>
      <c r="DK295" s="16" t="n">
        <v>0.8761330000000001</v>
      </c>
      <c r="DL295" s="16" t="n">
        <v>0.907976</v>
      </c>
      <c r="DM295" s="16" t="n"/>
      <c r="DN295" s="16" t="n"/>
      <c r="DO295" s="16" t="n"/>
      <c r="DP295" s="16" t="n"/>
      <c r="DQ295" s="16" t="n">
        <v>0.8761330000000001</v>
      </c>
      <c r="DR295" s="16" t="n">
        <v>0.89968</v>
      </c>
      <c r="DS295" s="16" t="n"/>
      <c r="DT295" s="16" t="n"/>
      <c r="DU295" s="16" t="n"/>
      <c r="DV295" s="16" t="n"/>
      <c r="DW295" s="16" t="n">
        <v>0.8761330000000001</v>
      </c>
      <c r="DX295" s="16" t="n">
        <v>0.895536</v>
      </c>
      <c r="DY295" s="16" t="n"/>
      <c r="DZ295" s="16" t="n"/>
    </row>
    <row r="296">
      <c r="BS296" s="16" t="n"/>
      <c r="BT296" s="16" t="n"/>
      <c r="BU296" s="16" t="n">
        <v>0.879154</v>
      </c>
      <c r="BV296" s="16" t="n">
        <v>485.830999</v>
      </c>
      <c r="BW296" s="16" t="n"/>
      <c r="BX296" s="16" t="n"/>
      <c r="BY296" s="16" t="n"/>
      <c r="BZ296" s="16" t="n"/>
      <c r="CA296" s="16" t="n">
        <v>0.879154</v>
      </c>
      <c r="CB296" s="16" t="n">
        <v>300.423379</v>
      </c>
      <c r="CC296" s="16" t="n"/>
      <c r="CD296" s="16" t="n"/>
      <c r="CE296" s="16" t="n"/>
      <c r="CF296" s="16" t="n"/>
      <c r="CG296" s="16" t="n">
        <v>0.879154</v>
      </c>
      <c r="CH296" s="16" t="n">
        <v>4527.030702</v>
      </c>
      <c r="CI296" s="16" t="n"/>
      <c r="CJ296" s="16" t="n"/>
      <c r="CK296" s="16" t="n"/>
      <c r="CL296" s="16" t="n"/>
      <c r="CM296" s="16" t="n">
        <v>0.879154</v>
      </c>
      <c r="CN296" s="16" t="n">
        <v>1310.739908</v>
      </c>
      <c r="CO296" s="16" t="n"/>
      <c r="CP296" s="16" t="n"/>
      <c r="CQ296" s="16" t="n"/>
      <c r="CR296" s="16" t="n"/>
      <c r="CS296" s="16" t="n">
        <v>0.879154</v>
      </c>
      <c r="CT296" s="16" t="n">
        <v>0.811125</v>
      </c>
      <c r="CU296" s="16" t="n"/>
      <c r="CV296" s="16" t="n"/>
      <c r="CW296" s="16" t="n"/>
      <c r="CX296" s="16" t="n"/>
      <c r="CY296" s="16" t="n">
        <v>0.879154</v>
      </c>
      <c r="CZ296" s="16" t="n">
        <v>0.89699</v>
      </c>
      <c r="DA296" s="16" t="n"/>
      <c r="DB296" s="16" t="n"/>
      <c r="DC296" s="16" t="n"/>
      <c r="DD296" s="16" t="n"/>
      <c r="DE296" s="16" t="n">
        <v>0.879154</v>
      </c>
      <c r="DF296" s="16" t="n">
        <v>0.86546</v>
      </c>
      <c r="DG296" s="16" t="n"/>
      <c r="DH296" s="16" t="n"/>
      <c r="DI296" s="16" t="n"/>
      <c r="DJ296" s="16" t="n"/>
      <c r="DK296" s="16" t="n">
        <v>0.879154</v>
      </c>
      <c r="DL296" s="16" t="n">
        <v>0.910954</v>
      </c>
      <c r="DM296" s="16" t="n"/>
      <c r="DN296" s="16" t="n"/>
      <c r="DO296" s="16" t="n"/>
      <c r="DP296" s="16" t="n"/>
      <c r="DQ296" s="16" t="n">
        <v>0.879154</v>
      </c>
      <c r="DR296" s="16" t="n">
        <v>0.899881</v>
      </c>
      <c r="DS296" s="16" t="n"/>
      <c r="DT296" s="16" t="n"/>
      <c r="DU296" s="16" t="n"/>
      <c r="DV296" s="16" t="n"/>
      <c r="DW296" s="16" t="n">
        <v>0.879154</v>
      </c>
      <c r="DX296" s="16" t="n">
        <v>0.897258</v>
      </c>
      <c r="DY296" s="16" t="n"/>
      <c r="DZ296" s="16" t="n"/>
    </row>
    <row r="297">
      <c r="BS297" s="16" t="n"/>
      <c r="BT297" s="16" t="n"/>
      <c r="BU297" s="16" t="n">
        <v>0.882175</v>
      </c>
      <c r="BV297" s="16" t="n">
        <v>486.134684</v>
      </c>
      <c r="BW297" s="16" t="n"/>
      <c r="BX297" s="16" t="n"/>
      <c r="BY297" s="16" t="n"/>
      <c r="BZ297" s="16" t="n"/>
      <c r="CA297" s="16" t="n">
        <v>0.882175</v>
      </c>
      <c r="CB297" s="16" t="n">
        <v>300.551638</v>
      </c>
      <c r="CC297" s="16" t="n"/>
      <c r="CD297" s="16" t="n"/>
      <c r="CE297" s="16" t="n"/>
      <c r="CF297" s="16" t="n"/>
      <c r="CG297" s="16" t="n">
        <v>0.882175</v>
      </c>
      <c r="CH297" s="16" t="n">
        <v>4546.340013</v>
      </c>
      <c r="CI297" s="16" t="n"/>
      <c r="CJ297" s="16" t="n"/>
      <c r="CK297" s="16" t="n"/>
      <c r="CL297" s="16" t="n"/>
      <c r="CM297" s="16" t="n">
        <v>0.882175</v>
      </c>
      <c r="CN297" s="16" t="n">
        <v>1312.976037</v>
      </c>
      <c r="CO297" s="16" t="n"/>
      <c r="CP297" s="16" t="n"/>
      <c r="CQ297" s="16" t="n"/>
      <c r="CR297" s="16" t="n"/>
      <c r="CS297" s="16" t="n">
        <v>0.882175</v>
      </c>
      <c r="CT297" s="16" t="n">
        <v>0.811234</v>
      </c>
      <c r="CU297" s="16" t="n"/>
      <c r="CV297" s="16" t="n"/>
      <c r="CW297" s="16" t="n"/>
      <c r="CX297" s="16" t="n"/>
      <c r="CY297" s="16" t="n">
        <v>0.882175</v>
      </c>
      <c r="CZ297" s="16" t="n">
        <v>0.897791</v>
      </c>
      <c r="DA297" s="16" t="n"/>
      <c r="DB297" s="16" t="n"/>
      <c r="DC297" s="16" t="n"/>
      <c r="DD297" s="16" t="n"/>
      <c r="DE297" s="16" t="n">
        <v>0.882175</v>
      </c>
      <c r="DF297" s="16" t="n">
        <v>0.867171</v>
      </c>
      <c r="DG297" s="16" t="n"/>
      <c r="DH297" s="16" t="n"/>
      <c r="DI297" s="16" t="n"/>
      <c r="DJ297" s="16" t="n"/>
      <c r="DK297" s="16" t="n">
        <v>0.882175</v>
      </c>
      <c r="DL297" s="16" t="n">
        <v>0.912313</v>
      </c>
      <c r="DM297" s="16" t="n"/>
      <c r="DN297" s="16" t="n"/>
      <c r="DO297" s="16" t="n"/>
      <c r="DP297" s="16" t="n"/>
      <c r="DQ297" s="16" t="n">
        <v>0.882175</v>
      </c>
      <c r="DR297" s="16" t="n">
        <v>0.903148</v>
      </c>
      <c r="DS297" s="16" t="n"/>
      <c r="DT297" s="16" t="n"/>
      <c r="DU297" s="16" t="n"/>
      <c r="DV297" s="16" t="n"/>
      <c r="DW297" s="16" t="n">
        <v>0.882175</v>
      </c>
      <c r="DX297" s="16" t="n">
        <v>0.897603</v>
      </c>
      <c r="DY297" s="16" t="n"/>
      <c r="DZ297" s="16" t="n"/>
    </row>
    <row r="298">
      <c r="BS298" s="16" t="n"/>
      <c r="BT298" s="16" t="n"/>
      <c r="BU298" s="16" t="n">
        <v>0.885196</v>
      </c>
      <c r="BV298" s="16" t="n">
        <v>486.268292</v>
      </c>
      <c r="BW298" s="16" t="n"/>
      <c r="BX298" s="16" t="n"/>
      <c r="BY298" s="16" t="n"/>
      <c r="BZ298" s="16" t="n"/>
      <c r="CA298" s="16" t="n">
        <v>0.885196</v>
      </c>
      <c r="CB298" s="16" t="n">
        <v>300.68515</v>
      </c>
      <c r="CC298" s="16" t="n"/>
      <c r="CD298" s="16" t="n"/>
      <c r="CE298" s="16" t="n"/>
      <c r="CF298" s="16" t="n"/>
      <c r="CG298" s="16" t="n">
        <v>0.885196</v>
      </c>
      <c r="CH298" s="16" t="n">
        <v>4546.896306</v>
      </c>
      <c r="CI298" s="16" t="n"/>
      <c r="CJ298" s="16" t="n"/>
      <c r="CK298" s="16" t="n"/>
      <c r="CL298" s="16" t="n"/>
      <c r="CM298" s="16" t="n">
        <v>0.885196</v>
      </c>
      <c r="CN298" s="16" t="n">
        <v>1321.240701</v>
      </c>
      <c r="CO298" s="16" t="n"/>
      <c r="CP298" s="16" t="n"/>
      <c r="CQ298" s="16" t="n"/>
      <c r="CR298" s="16" t="n"/>
      <c r="CS298" s="16" t="n">
        <v>0.885196</v>
      </c>
      <c r="CT298" s="16" t="n">
        <v>0.811782</v>
      </c>
      <c r="CU298" s="16" t="n"/>
      <c r="CV298" s="16" t="n"/>
      <c r="CW298" s="16" t="n"/>
      <c r="CX298" s="16" t="n"/>
      <c r="CY298" s="16" t="n">
        <v>0.885196</v>
      </c>
      <c r="CZ298" s="16" t="n">
        <v>0.897854</v>
      </c>
      <c r="DA298" s="16" t="n"/>
      <c r="DB298" s="16" t="n"/>
      <c r="DC298" s="16" t="n"/>
      <c r="DD298" s="16" t="n"/>
      <c r="DE298" s="16" t="n">
        <v>0.885196</v>
      </c>
      <c r="DF298" s="16" t="n">
        <v>0.8690600000000001</v>
      </c>
      <c r="DG298" s="16" t="n"/>
      <c r="DH298" s="16" t="n"/>
      <c r="DI298" s="16" t="n"/>
      <c r="DJ298" s="16" t="n"/>
      <c r="DK298" s="16" t="n">
        <v>0.885196</v>
      </c>
      <c r="DL298" s="16" t="n">
        <v>0.912709</v>
      </c>
      <c r="DM298" s="16" t="n"/>
      <c r="DN298" s="16" t="n"/>
      <c r="DO298" s="16" t="n"/>
      <c r="DP298" s="16" t="n"/>
      <c r="DQ298" s="16" t="n">
        <v>0.885196</v>
      </c>
      <c r="DR298" s="16" t="n">
        <v>0.904706</v>
      </c>
      <c r="DS298" s="16" t="n"/>
      <c r="DT298" s="16" t="n"/>
      <c r="DU298" s="16" t="n"/>
      <c r="DV298" s="16" t="n"/>
      <c r="DW298" s="16" t="n">
        <v>0.885196</v>
      </c>
      <c r="DX298" s="16" t="n">
        <v>0.898651</v>
      </c>
      <c r="DY298" s="16" t="n"/>
      <c r="DZ298" s="16" t="n"/>
    </row>
    <row r="299">
      <c r="BS299" s="16" t="n"/>
      <c r="BT299" s="16" t="n"/>
      <c r="BU299" s="16" t="n">
        <v>0.888218</v>
      </c>
      <c r="BV299" s="16" t="n">
        <v>487.126186</v>
      </c>
      <c r="BW299" s="16" t="n"/>
      <c r="BX299" s="16" t="n"/>
      <c r="BY299" s="16" t="n"/>
      <c r="BZ299" s="16" t="n"/>
      <c r="CA299" s="16" t="n">
        <v>0.888218</v>
      </c>
      <c r="CB299" s="16" t="n">
        <v>300.7652</v>
      </c>
      <c r="CC299" s="16" t="n"/>
      <c r="CD299" s="16" t="n"/>
      <c r="CE299" s="16" t="n"/>
      <c r="CF299" s="16" t="n"/>
      <c r="CG299" s="16" t="n">
        <v>0.888218</v>
      </c>
      <c r="CH299" s="16" t="n">
        <v>4561.306856</v>
      </c>
      <c r="CI299" s="16" t="n"/>
      <c r="CJ299" s="16" t="n"/>
      <c r="CK299" s="16" t="n"/>
      <c r="CL299" s="16" t="n"/>
      <c r="CM299" s="16" t="n">
        <v>0.888218</v>
      </c>
      <c r="CN299" s="16" t="n">
        <v>1329.363789</v>
      </c>
      <c r="CO299" s="16" t="n"/>
      <c r="CP299" s="16" t="n"/>
      <c r="CQ299" s="16" t="n"/>
      <c r="CR299" s="16" t="n"/>
      <c r="CS299" s="16" t="n">
        <v>0.888218</v>
      </c>
      <c r="CT299" s="16" t="n">
        <v>0.812204</v>
      </c>
      <c r="CU299" s="16" t="n"/>
      <c r="CV299" s="16" t="n"/>
      <c r="CW299" s="16" t="n"/>
      <c r="CX299" s="16" t="n"/>
      <c r="CY299" s="16" t="n">
        <v>0.888218</v>
      </c>
      <c r="CZ299" s="16" t="n">
        <v>0.898307</v>
      </c>
      <c r="DA299" s="16" t="n"/>
      <c r="DB299" s="16" t="n"/>
      <c r="DC299" s="16" t="n"/>
      <c r="DD299" s="16" t="n"/>
      <c r="DE299" s="16" t="n">
        <v>0.888218</v>
      </c>
      <c r="DF299" s="16" t="n">
        <v>0.86979</v>
      </c>
      <c r="DG299" s="16" t="n"/>
      <c r="DH299" s="16" t="n"/>
      <c r="DI299" s="16" t="n"/>
      <c r="DJ299" s="16" t="n"/>
      <c r="DK299" s="16" t="n">
        <v>0.888218</v>
      </c>
      <c r="DL299" s="16" t="n">
        <v>0.912986</v>
      </c>
      <c r="DM299" s="16" t="n"/>
      <c r="DN299" s="16" t="n"/>
      <c r="DO299" s="16" t="n"/>
      <c r="DP299" s="16" t="n"/>
      <c r="DQ299" s="16" t="n">
        <v>0.888218</v>
      </c>
      <c r="DR299" s="16" t="n">
        <v>0.905246</v>
      </c>
      <c r="DS299" s="16" t="n"/>
      <c r="DT299" s="16" t="n"/>
      <c r="DU299" s="16" t="n"/>
      <c r="DV299" s="16" t="n"/>
      <c r="DW299" s="16" t="n">
        <v>0.888218</v>
      </c>
      <c r="DX299" s="16" t="n">
        <v>0.899994</v>
      </c>
      <c r="DY299" s="16" t="n"/>
      <c r="DZ299" s="16" t="n"/>
    </row>
    <row r="300">
      <c r="BS300" s="16" t="n"/>
      <c r="BT300" s="16" t="n"/>
      <c r="BU300" s="16" t="n">
        <v>0.891239</v>
      </c>
      <c r="BV300" s="16" t="n">
        <v>487.179661</v>
      </c>
      <c r="BW300" s="16" t="n"/>
      <c r="BX300" s="16" t="n"/>
      <c r="BY300" s="16" t="n"/>
      <c r="BZ300" s="16" t="n"/>
      <c r="CA300" s="16" t="n">
        <v>0.891239</v>
      </c>
      <c r="CB300" s="16" t="n">
        <v>300.816809</v>
      </c>
      <c r="CC300" s="16" t="n"/>
      <c r="CD300" s="16" t="n"/>
      <c r="CE300" s="16" t="n"/>
      <c r="CF300" s="16" t="n"/>
      <c r="CG300" s="16" t="n">
        <v>0.891239</v>
      </c>
      <c r="CH300" s="16" t="n">
        <v>4565.563665</v>
      </c>
      <c r="CI300" s="16" t="n"/>
      <c r="CJ300" s="16" t="n"/>
      <c r="CK300" s="16" t="n"/>
      <c r="CL300" s="16" t="n"/>
      <c r="CM300" s="16" t="n">
        <v>0.891239</v>
      </c>
      <c r="CN300" s="16" t="n">
        <v>1334.233868</v>
      </c>
      <c r="CO300" s="16" t="n"/>
      <c r="CP300" s="16" t="n"/>
      <c r="CQ300" s="16" t="n"/>
      <c r="CR300" s="16" t="n"/>
      <c r="CS300" s="16" t="n">
        <v>0.891239</v>
      </c>
      <c r="CT300" s="16" t="n">
        <v>0.813567</v>
      </c>
      <c r="CU300" s="16" t="n"/>
      <c r="CV300" s="16" t="n"/>
      <c r="CW300" s="16" t="n"/>
      <c r="CX300" s="16" t="n"/>
      <c r="CY300" s="16" t="n">
        <v>0.891239</v>
      </c>
      <c r="CZ300" s="16" t="n">
        <v>0.899285</v>
      </c>
      <c r="DA300" s="16" t="n"/>
      <c r="DB300" s="16" t="n"/>
      <c r="DC300" s="16" t="n"/>
      <c r="DD300" s="16" t="n"/>
      <c r="DE300" s="16" t="n">
        <v>0.891239</v>
      </c>
      <c r="DF300" s="16" t="n">
        <v>0.869972</v>
      </c>
      <c r="DG300" s="16" t="n"/>
      <c r="DH300" s="16" t="n"/>
      <c r="DI300" s="16" t="n"/>
      <c r="DJ300" s="16" t="n"/>
      <c r="DK300" s="16" t="n">
        <v>0.891239</v>
      </c>
      <c r="DL300" s="16" t="n">
        <v>0.91472</v>
      </c>
      <c r="DM300" s="16" t="n"/>
      <c r="DN300" s="16" t="n"/>
      <c r="DO300" s="16" t="n"/>
      <c r="DP300" s="16" t="n"/>
      <c r="DQ300" s="16" t="n">
        <v>0.891239</v>
      </c>
      <c r="DR300" s="16" t="n">
        <v>0.906582</v>
      </c>
      <c r="DS300" s="16" t="n"/>
      <c r="DT300" s="16" t="n"/>
      <c r="DU300" s="16" t="n"/>
      <c r="DV300" s="16" t="n"/>
      <c r="DW300" s="16" t="n">
        <v>0.891239</v>
      </c>
      <c r="DX300" s="16" t="n">
        <v>0.900192</v>
      </c>
      <c r="DY300" s="16" t="n"/>
      <c r="DZ300" s="16" t="n"/>
    </row>
    <row r="301">
      <c r="BS301" s="16" t="n"/>
      <c r="BT301" s="16" t="n"/>
      <c r="BU301" s="16" t="n">
        <v>0.8942600000000001</v>
      </c>
      <c r="BV301" s="16" t="n">
        <v>487.891292</v>
      </c>
      <c r="BW301" s="16" t="n"/>
      <c r="BX301" s="16" t="n"/>
      <c r="BY301" s="16" t="n"/>
      <c r="BZ301" s="16" t="n"/>
      <c r="CA301" s="16" t="n">
        <v>0.8942600000000001</v>
      </c>
      <c r="CB301" s="16" t="n">
        <v>300.904647</v>
      </c>
      <c r="CC301" s="16" t="n"/>
      <c r="CD301" s="16" t="n"/>
      <c r="CE301" s="16" t="n"/>
      <c r="CF301" s="16" t="n"/>
      <c r="CG301" s="16" t="n">
        <v>0.8942600000000001</v>
      </c>
      <c r="CH301" s="16" t="n">
        <v>4578.160932</v>
      </c>
      <c r="CI301" s="16" t="n"/>
      <c r="CJ301" s="16" t="n"/>
      <c r="CK301" s="16" t="n"/>
      <c r="CL301" s="16" t="n"/>
      <c r="CM301" s="16" t="n">
        <v>0.8942600000000001</v>
      </c>
      <c r="CN301" s="16" t="n">
        <v>1335.549156</v>
      </c>
      <c r="CO301" s="16" t="n"/>
      <c r="CP301" s="16" t="n"/>
      <c r="CQ301" s="16" t="n"/>
      <c r="CR301" s="16" t="n"/>
      <c r="CS301" s="16" t="n">
        <v>0.8942600000000001</v>
      </c>
      <c r="CT301" s="16" t="n">
        <v>0.81397</v>
      </c>
      <c r="CU301" s="16" t="n"/>
      <c r="CV301" s="16" t="n"/>
      <c r="CW301" s="16" t="n"/>
      <c r="CX301" s="16" t="n"/>
      <c r="CY301" s="16" t="n">
        <v>0.8942600000000001</v>
      </c>
      <c r="CZ301" s="16" t="n">
        <v>0.89945</v>
      </c>
      <c r="DA301" s="16" t="n"/>
      <c r="DB301" s="16" t="n"/>
      <c r="DC301" s="16" t="n"/>
      <c r="DD301" s="16" t="n"/>
      <c r="DE301" s="16" t="n">
        <v>0.8942600000000001</v>
      </c>
      <c r="DF301" s="16" t="n">
        <v>0.8711680000000001</v>
      </c>
      <c r="DG301" s="16" t="n"/>
      <c r="DH301" s="16" t="n"/>
      <c r="DI301" s="16" t="n"/>
      <c r="DJ301" s="16" t="n"/>
      <c r="DK301" s="16" t="n">
        <v>0.8942600000000001</v>
      </c>
      <c r="DL301" s="16" t="n">
        <v>0.9149389999999999</v>
      </c>
      <c r="DM301" s="16" t="n"/>
      <c r="DN301" s="16" t="n"/>
      <c r="DO301" s="16" t="n"/>
      <c r="DP301" s="16" t="n"/>
      <c r="DQ301" s="16" t="n">
        <v>0.8942600000000001</v>
      </c>
      <c r="DR301" s="16" t="n">
        <v>0.907145</v>
      </c>
      <c r="DS301" s="16" t="n"/>
      <c r="DT301" s="16" t="n"/>
      <c r="DU301" s="16" t="n"/>
      <c r="DV301" s="16" t="n"/>
      <c r="DW301" s="16" t="n">
        <v>0.8942600000000001</v>
      </c>
      <c r="DX301" s="16" t="n">
        <v>0.90083</v>
      </c>
      <c r="DY301" s="16" t="n"/>
      <c r="DZ301" s="16" t="n"/>
    </row>
    <row r="302">
      <c r="BS302" s="16" t="n"/>
      <c r="BT302" s="16" t="n"/>
      <c r="BU302" s="16" t="n">
        <v>0.897281</v>
      </c>
      <c r="BV302" s="16" t="n">
        <v>487.98499</v>
      </c>
      <c r="BW302" s="16" t="n"/>
      <c r="BX302" s="16" t="n"/>
      <c r="BY302" s="16" t="n"/>
      <c r="BZ302" s="16" t="n"/>
      <c r="CA302" s="16" t="n">
        <v>0.897281</v>
      </c>
      <c r="CB302" s="16" t="n">
        <v>300.985658</v>
      </c>
      <c r="CC302" s="16" t="n"/>
      <c r="CD302" s="16" t="n"/>
      <c r="CE302" s="16" t="n"/>
      <c r="CF302" s="16" t="n"/>
      <c r="CG302" s="16" t="n">
        <v>0.897281</v>
      </c>
      <c r="CH302" s="16" t="n">
        <v>4578.745457</v>
      </c>
      <c r="CI302" s="16" t="n"/>
      <c r="CJ302" s="16" t="n"/>
      <c r="CK302" s="16" t="n"/>
      <c r="CL302" s="16" t="n"/>
      <c r="CM302" s="16" t="n">
        <v>0.897281</v>
      </c>
      <c r="CN302" s="16" t="n">
        <v>1340.305803</v>
      </c>
      <c r="CO302" s="16" t="n"/>
      <c r="CP302" s="16" t="n"/>
      <c r="CQ302" s="16" t="n"/>
      <c r="CR302" s="16" t="n"/>
      <c r="CS302" s="16" t="n">
        <v>0.897281</v>
      </c>
      <c r="CT302" s="16" t="n">
        <v>0.814454</v>
      </c>
      <c r="CU302" s="16" t="n"/>
      <c r="CV302" s="16" t="n"/>
      <c r="CW302" s="16" t="n"/>
      <c r="CX302" s="16" t="n"/>
      <c r="CY302" s="16" t="n">
        <v>0.897281</v>
      </c>
      <c r="CZ302" s="16" t="n">
        <v>0.899648</v>
      </c>
      <c r="DA302" s="16" t="n"/>
      <c r="DB302" s="16" t="n"/>
      <c r="DC302" s="16" t="n"/>
      <c r="DD302" s="16" t="n"/>
      <c r="DE302" s="16" t="n">
        <v>0.897281</v>
      </c>
      <c r="DF302" s="16" t="n">
        <v>0.871852</v>
      </c>
      <c r="DG302" s="16" t="n"/>
      <c r="DH302" s="16" t="n"/>
      <c r="DI302" s="16" t="n"/>
      <c r="DJ302" s="16" t="n"/>
      <c r="DK302" s="16" t="n">
        <v>0.897281</v>
      </c>
      <c r="DL302" s="16" t="n">
        <v>0.915892</v>
      </c>
      <c r="DM302" s="16" t="n"/>
      <c r="DN302" s="16" t="n"/>
      <c r="DO302" s="16" t="n"/>
      <c r="DP302" s="16" t="n"/>
      <c r="DQ302" s="16" t="n">
        <v>0.897281</v>
      </c>
      <c r="DR302" s="16" t="n">
        <v>0.9086109999999999</v>
      </c>
      <c r="DS302" s="16" t="n"/>
      <c r="DT302" s="16" t="n"/>
      <c r="DU302" s="16" t="n"/>
      <c r="DV302" s="16" t="n"/>
      <c r="DW302" s="16" t="n">
        <v>0.897281</v>
      </c>
      <c r="DX302" s="16" t="n">
        <v>0.900932</v>
      </c>
      <c r="DY302" s="16" t="n"/>
      <c r="DZ302" s="16" t="n"/>
    </row>
    <row r="303">
      <c r="BS303" s="16" t="n"/>
      <c r="BT303" s="16" t="n"/>
      <c r="BU303" s="16" t="n">
        <v>0.900302</v>
      </c>
      <c r="BV303" s="16" t="n">
        <v>488.116738</v>
      </c>
      <c r="BW303" s="16" t="n"/>
      <c r="BX303" s="16" t="n"/>
      <c r="BY303" s="16" t="n"/>
      <c r="BZ303" s="16" t="n"/>
      <c r="CA303" s="16" t="n">
        <v>0.900302</v>
      </c>
      <c r="CB303" s="16" t="n">
        <v>301.044509</v>
      </c>
      <c r="CC303" s="16" t="n"/>
      <c r="CD303" s="16" t="n"/>
      <c r="CE303" s="16" t="n"/>
      <c r="CF303" s="16" t="n"/>
      <c r="CG303" s="16" t="n">
        <v>0.900302</v>
      </c>
      <c r="CH303" s="16" t="n">
        <v>4597.945159</v>
      </c>
      <c r="CI303" s="16" t="n"/>
      <c r="CJ303" s="16" t="n"/>
      <c r="CK303" s="16" t="n"/>
      <c r="CL303" s="16" t="n"/>
      <c r="CM303" s="16" t="n">
        <v>0.900302</v>
      </c>
      <c r="CN303" s="16" t="n">
        <v>1344.938944</v>
      </c>
      <c r="CO303" s="16" t="n"/>
      <c r="CP303" s="16" t="n"/>
      <c r="CQ303" s="16" t="n"/>
      <c r="CR303" s="16" t="n"/>
      <c r="CS303" s="16" t="n">
        <v>0.900302</v>
      </c>
      <c r="CT303" s="16" t="n">
        <v>0.815569</v>
      </c>
      <c r="CU303" s="16" t="n"/>
      <c r="CV303" s="16" t="n"/>
      <c r="CW303" s="16" t="n"/>
      <c r="CX303" s="16" t="n"/>
      <c r="CY303" s="16" t="n">
        <v>0.900302</v>
      </c>
      <c r="CZ303" s="16" t="n">
        <v>0.89994</v>
      </c>
      <c r="DA303" s="16" t="n"/>
      <c r="DB303" s="16" t="n"/>
      <c r="DC303" s="16" t="n"/>
      <c r="DD303" s="16" t="n"/>
      <c r="DE303" s="16" t="n">
        <v>0.900302</v>
      </c>
      <c r="DF303" s="16" t="n">
        <v>0.874231</v>
      </c>
      <c r="DG303" s="16" t="n"/>
      <c r="DH303" s="16" t="n"/>
      <c r="DI303" s="16" t="n"/>
      <c r="DJ303" s="16" t="n"/>
      <c r="DK303" s="16" t="n">
        <v>0.900302</v>
      </c>
      <c r="DL303" s="16" t="n">
        <v>0.916547</v>
      </c>
      <c r="DM303" s="16" t="n"/>
      <c r="DN303" s="16" t="n"/>
      <c r="DO303" s="16" t="n"/>
      <c r="DP303" s="16" t="n"/>
      <c r="DQ303" s="16" t="n">
        <v>0.900302</v>
      </c>
      <c r="DR303" s="16" t="n">
        <v>0.9094640000000001</v>
      </c>
      <c r="DS303" s="16" t="n"/>
      <c r="DT303" s="16" t="n"/>
      <c r="DU303" s="16" t="n"/>
      <c r="DV303" s="16" t="n"/>
      <c r="DW303" s="16" t="n">
        <v>0.900302</v>
      </c>
      <c r="DX303" s="16" t="n">
        <v>0.901778</v>
      </c>
      <c r="DY303" s="16" t="n"/>
      <c r="DZ303" s="16" t="n"/>
    </row>
    <row r="304">
      <c r="BS304" s="16" t="n"/>
      <c r="BT304" s="16" t="n"/>
      <c r="BU304" s="16" t="n">
        <v>0.903323</v>
      </c>
      <c r="BV304" s="16" t="n">
        <v>488.711538</v>
      </c>
      <c r="BW304" s="16" t="n"/>
      <c r="BX304" s="16" t="n"/>
      <c r="BY304" s="16" t="n"/>
      <c r="BZ304" s="16" t="n"/>
      <c r="CA304" s="16" t="n">
        <v>0.903323</v>
      </c>
      <c r="CB304" s="16" t="n">
        <v>301.061683</v>
      </c>
      <c r="CC304" s="16" t="n"/>
      <c r="CD304" s="16" t="n"/>
      <c r="CE304" s="16" t="n"/>
      <c r="CF304" s="16" t="n"/>
      <c r="CG304" s="16" t="n">
        <v>0.903323</v>
      </c>
      <c r="CH304" s="16" t="n">
        <v>4605.621154</v>
      </c>
      <c r="CI304" s="16" t="n"/>
      <c r="CJ304" s="16" t="n"/>
      <c r="CK304" s="16" t="n"/>
      <c r="CL304" s="16" t="n"/>
      <c r="CM304" s="16" t="n">
        <v>0.903323</v>
      </c>
      <c r="CN304" s="16" t="n">
        <v>1355.183595</v>
      </c>
      <c r="CO304" s="16" t="n"/>
      <c r="CP304" s="16" t="n"/>
      <c r="CQ304" s="16" t="n"/>
      <c r="CR304" s="16" t="n"/>
      <c r="CS304" s="16" t="n">
        <v>0.903323</v>
      </c>
      <c r="CT304" s="16" t="n">
        <v>0.816073</v>
      </c>
      <c r="CU304" s="16" t="n"/>
      <c r="CV304" s="16" t="n"/>
      <c r="CW304" s="16" t="n"/>
      <c r="CX304" s="16" t="n"/>
      <c r="CY304" s="16" t="n">
        <v>0.903323</v>
      </c>
      <c r="CZ304" s="16" t="n">
        <v>0.900486</v>
      </c>
      <c r="DA304" s="16" t="n"/>
      <c r="DB304" s="16" t="n"/>
      <c r="DC304" s="16" t="n"/>
      <c r="DD304" s="16" t="n"/>
      <c r="DE304" s="16" t="n">
        <v>0.903323</v>
      </c>
      <c r="DF304" s="16" t="n">
        <v>0.875794</v>
      </c>
      <c r="DG304" s="16" t="n"/>
      <c r="DH304" s="16" t="n"/>
      <c r="DI304" s="16" t="n"/>
      <c r="DJ304" s="16" t="n"/>
      <c r="DK304" s="16" t="n">
        <v>0.903323</v>
      </c>
      <c r="DL304" s="16" t="n">
        <v>0.917017</v>
      </c>
      <c r="DM304" s="16" t="n"/>
      <c r="DN304" s="16" t="n"/>
      <c r="DO304" s="16" t="n"/>
      <c r="DP304" s="16" t="n"/>
      <c r="DQ304" s="16" t="n">
        <v>0.903323</v>
      </c>
      <c r="DR304" s="16" t="n">
        <v>0.910626</v>
      </c>
      <c r="DS304" s="16" t="n"/>
      <c r="DT304" s="16" t="n"/>
      <c r="DU304" s="16" t="n"/>
      <c r="DV304" s="16" t="n"/>
      <c r="DW304" s="16" t="n">
        <v>0.903323</v>
      </c>
      <c r="DX304" s="16" t="n">
        <v>0.903332</v>
      </c>
      <c r="DY304" s="16" t="n"/>
      <c r="DZ304" s="16" t="n"/>
    </row>
    <row r="305">
      <c r="BS305" s="16" t="n"/>
      <c r="BT305" s="16" t="n"/>
      <c r="BU305" s="16" t="n">
        <v>0.906344</v>
      </c>
      <c r="BV305" s="16" t="n">
        <v>489.019203</v>
      </c>
      <c r="BW305" s="16" t="n"/>
      <c r="BX305" s="16" t="n"/>
      <c r="BY305" s="16" t="n"/>
      <c r="BZ305" s="16" t="n"/>
      <c r="CA305" s="16" t="n">
        <v>0.906344</v>
      </c>
      <c r="CB305" s="16" t="n">
        <v>301.189509</v>
      </c>
      <c r="CC305" s="16" t="n"/>
      <c r="CD305" s="16" t="n"/>
      <c r="CE305" s="16" t="n"/>
      <c r="CF305" s="16" t="n"/>
      <c r="CG305" s="16" t="n">
        <v>0.906344</v>
      </c>
      <c r="CH305" s="16" t="n">
        <v>4646.653517</v>
      </c>
      <c r="CI305" s="16" t="n"/>
      <c r="CJ305" s="16" t="n"/>
      <c r="CK305" s="16" t="n"/>
      <c r="CL305" s="16" t="n"/>
      <c r="CM305" s="16" t="n">
        <v>0.906344</v>
      </c>
      <c r="CN305" s="16" t="n">
        <v>1356.462328</v>
      </c>
      <c r="CO305" s="16" t="n"/>
      <c r="CP305" s="16" t="n"/>
      <c r="CQ305" s="16" t="n"/>
      <c r="CR305" s="16" t="n"/>
      <c r="CS305" s="16" t="n">
        <v>0.906344</v>
      </c>
      <c r="CT305" s="16" t="n">
        <v>0.816789</v>
      </c>
      <c r="CU305" s="16" t="n"/>
      <c r="CV305" s="16" t="n"/>
      <c r="CW305" s="16" t="n"/>
      <c r="CX305" s="16" t="n"/>
      <c r="CY305" s="16" t="n">
        <v>0.906344</v>
      </c>
      <c r="CZ305" s="16" t="n">
        <v>0.90089</v>
      </c>
      <c r="DA305" s="16" t="n"/>
      <c r="DB305" s="16" t="n"/>
      <c r="DC305" s="16" t="n"/>
      <c r="DD305" s="16" t="n"/>
      <c r="DE305" s="16" t="n">
        <v>0.906344</v>
      </c>
      <c r="DF305" s="16" t="n">
        <v>0.8759670000000001</v>
      </c>
      <c r="DG305" s="16" t="n"/>
      <c r="DH305" s="16" t="n"/>
      <c r="DI305" s="16" t="n"/>
      <c r="DJ305" s="16" t="n"/>
      <c r="DK305" s="16" t="n">
        <v>0.906344</v>
      </c>
      <c r="DL305" s="16" t="n">
        <v>0.917234</v>
      </c>
      <c r="DM305" s="16" t="n"/>
      <c r="DN305" s="16" t="n"/>
      <c r="DO305" s="16" t="n"/>
      <c r="DP305" s="16" t="n"/>
      <c r="DQ305" s="16" t="n">
        <v>0.906344</v>
      </c>
      <c r="DR305" s="16" t="n">
        <v>0.911266</v>
      </c>
      <c r="DS305" s="16" t="n"/>
      <c r="DT305" s="16" t="n"/>
      <c r="DU305" s="16" t="n"/>
      <c r="DV305" s="16" t="n"/>
      <c r="DW305" s="16" t="n">
        <v>0.906344</v>
      </c>
      <c r="DX305" s="16" t="n">
        <v>0.9045570000000001</v>
      </c>
      <c r="DY305" s="16" t="n"/>
      <c r="DZ305" s="16" t="n"/>
    </row>
    <row r="306">
      <c r="BS306" s="16" t="n"/>
      <c r="BT306" s="16" t="n"/>
      <c r="BU306" s="16" t="n">
        <v>0.909366</v>
      </c>
      <c r="BV306" s="16" t="n">
        <v>489.254935</v>
      </c>
      <c r="BW306" s="16" t="n"/>
      <c r="BX306" s="16" t="n"/>
      <c r="BY306" s="16" t="n"/>
      <c r="BZ306" s="16" t="n"/>
      <c r="CA306" s="16" t="n">
        <v>0.909366</v>
      </c>
      <c r="CB306" s="16" t="n">
        <v>301.196053</v>
      </c>
      <c r="CC306" s="16" t="n"/>
      <c r="CD306" s="16" t="n"/>
      <c r="CE306" s="16" t="n"/>
      <c r="CF306" s="16" t="n"/>
      <c r="CG306" s="16" t="n">
        <v>0.909366</v>
      </c>
      <c r="CH306" s="16" t="n">
        <v>4663.40795</v>
      </c>
      <c r="CI306" s="16" t="n"/>
      <c r="CJ306" s="16" t="n"/>
      <c r="CK306" s="16" t="n"/>
      <c r="CL306" s="16" t="n"/>
      <c r="CM306" s="16" t="n">
        <v>0.909366</v>
      </c>
      <c r="CN306" s="16" t="n">
        <v>1363.548174</v>
      </c>
      <c r="CO306" s="16" t="n"/>
      <c r="CP306" s="16" t="n"/>
      <c r="CQ306" s="16" t="n"/>
      <c r="CR306" s="16" t="n"/>
      <c r="CS306" s="16" t="n">
        <v>0.909366</v>
      </c>
      <c r="CT306" s="16" t="n">
        <v>0.817509</v>
      </c>
      <c r="CU306" s="16" t="n"/>
      <c r="CV306" s="16" t="n"/>
      <c r="CW306" s="16" t="n"/>
      <c r="CX306" s="16" t="n"/>
      <c r="CY306" s="16" t="n">
        <v>0.909366</v>
      </c>
      <c r="CZ306" s="16" t="n">
        <v>0.901217</v>
      </c>
      <c r="DA306" s="16" t="n"/>
      <c r="DB306" s="16" t="n"/>
      <c r="DC306" s="16" t="n"/>
      <c r="DD306" s="16" t="n"/>
      <c r="DE306" s="16" t="n">
        <v>0.909366</v>
      </c>
      <c r="DF306" s="16" t="n">
        <v>0.87702</v>
      </c>
      <c r="DG306" s="16" t="n"/>
      <c r="DH306" s="16" t="n"/>
      <c r="DI306" s="16" t="n"/>
      <c r="DJ306" s="16" t="n"/>
      <c r="DK306" s="16" t="n">
        <v>0.909366</v>
      </c>
      <c r="DL306" s="16" t="n">
        <v>0.918878</v>
      </c>
      <c r="DM306" s="16" t="n"/>
      <c r="DN306" s="16" t="n"/>
      <c r="DO306" s="16" t="n"/>
      <c r="DP306" s="16" t="n"/>
      <c r="DQ306" s="16" t="n">
        <v>0.909366</v>
      </c>
      <c r="DR306" s="16" t="n">
        <v>0.912361</v>
      </c>
      <c r="DS306" s="16" t="n"/>
      <c r="DT306" s="16" t="n"/>
      <c r="DU306" s="16" t="n"/>
      <c r="DV306" s="16" t="n"/>
      <c r="DW306" s="16" t="n">
        <v>0.909366</v>
      </c>
      <c r="DX306" s="16" t="n">
        <v>0.906717</v>
      </c>
      <c r="DY306" s="16" t="n"/>
      <c r="DZ306" s="16" t="n"/>
    </row>
    <row r="307">
      <c r="BS307" s="16" t="n"/>
      <c r="BT307" s="16" t="n"/>
      <c r="BU307" s="16" t="n">
        <v>0.9123869999999999</v>
      </c>
      <c r="BV307" s="16" t="n">
        <v>490.012434</v>
      </c>
      <c r="BW307" s="16" t="n"/>
      <c r="BX307" s="16" t="n"/>
      <c r="BY307" s="16" t="n"/>
      <c r="BZ307" s="16" t="n"/>
      <c r="CA307" s="16" t="n">
        <v>0.9123869999999999</v>
      </c>
      <c r="CB307" s="16" t="n">
        <v>301.339493</v>
      </c>
      <c r="CC307" s="16" t="n"/>
      <c r="CD307" s="16" t="n"/>
      <c r="CE307" s="16" t="n"/>
      <c r="CF307" s="16" t="n"/>
      <c r="CG307" s="16" t="n">
        <v>0.9123869999999999</v>
      </c>
      <c r="CH307" s="16" t="n">
        <v>4680.893184</v>
      </c>
      <c r="CI307" s="16" t="n"/>
      <c r="CJ307" s="16" t="n"/>
      <c r="CK307" s="16" t="n"/>
      <c r="CL307" s="16" t="n"/>
      <c r="CM307" s="16" t="n">
        <v>0.9123869999999999</v>
      </c>
      <c r="CN307" s="16" t="n">
        <v>1365.887774</v>
      </c>
      <c r="CO307" s="16" t="n"/>
      <c r="CP307" s="16" t="n"/>
      <c r="CQ307" s="16" t="n"/>
      <c r="CR307" s="16" t="n"/>
      <c r="CS307" s="16" t="n">
        <v>0.9123869999999999</v>
      </c>
      <c r="CT307" s="16" t="n">
        <v>0.81912</v>
      </c>
      <c r="CU307" s="16" t="n"/>
      <c r="CV307" s="16" t="n"/>
      <c r="CW307" s="16" t="n"/>
      <c r="CX307" s="16" t="n"/>
      <c r="CY307" s="16" t="n">
        <v>0.9123869999999999</v>
      </c>
      <c r="CZ307" s="16" t="n">
        <v>0.902043</v>
      </c>
      <c r="DA307" s="16" t="n"/>
      <c r="DB307" s="16" t="n"/>
      <c r="DC307" s="16" t="n"/>
      <c r="DD307" s="16" t="n"/>
      <c r="DE307" s="16" t="n">
        <v>0.9123869999999999</v>
      </c>
      <c r="DF307" s="16" t="n">
        <v>0.877454</v>
      </c>
      <c r="DG307" s="16" t="n"/>
      <c r="DH307" s="16" t="n"/>
      <c r="DI307" s="16" t="n"/>
      <c r="DJ307" s="16" t="n"/>
      <c r="DK307" s="16" t="n">
        <v>0.9123869999999999</v>
      </c>
      <c r="DL307" s="16" t="n">
        <v>0.920106</v>
      </c>
      <c r="DM307" s="16" t="n"/>
      <c r="DN307" s="16" t="n"/>
      <c r="DO307" s="16" t="n"/>
      <c r="DP307" s="16" t="n"/>
      <c r="DQ307" s="16" t="n">
        <v>0.9123869999999999</v>
      </c>
      <c r="DR307" s="16" t="n">
        <v>0.914644</v>
      </c>
      <c r="DS307" s="16" t="n"/>
      <c r="DT307" s="16" t="n"/>
      <c r="DU307" s="16" t="n"/>
      <c r="DV307" s="16" t="n"/>
      <c r="DW307" s="16" t="n">
        <v>0.9123869999999999</v>
      </c>
      <c r="DX307" s="16" t="n">
        <v>0.908174</v>
      </c>
      <c r="DY307" s="16" t="n"/>
      <c r="DZ307" s="16" t="n"/>
    </row>
    <row r="308">
      <c r="BS308" s="16" t="n"/>
      <c r="BT308" s="16" t="n"/>
      <c r="BU308" s="16" t="n">
        <v>0.915408</v>
      </c>
      <c r="BV308" s="16" t="n">
        <v>490.189032</v>
      </c>
      <c r="BW308" s="16" t="n"/>
      <c r="BX308" s="16" t="n"/>
      <c r="BY308" s="16" t="n"/>
      <c r="BZ308" s="16" t="n"/>
      <c r="CA308" s="16" t="n">
        <v>0.915408</v>
      </c>
      <c r="CB308" s="16" t="n">
        <v>301.38087</v>
      </c>
      <c r="CC308" s="16" t="n"/>
      <c r="CD308" s="16" t="n"/>
      <c r="CE308" s="16" t="n"/>
      <c r="CF308" s="16" t="n"/>
      <c r="CG308" s="16" t="n">
        <v>0.915408</v>
      </c>
      <c r="CH308" s="16" t="n">
        <v>4691.462748</v>
      </c>
      <c r="CI308" s="16" t="n"/>
      <c r="CJ308" s="16" t="n"/>
      <c r="CK308" s="16" t="n"/>
      <c r="CL308" s="16" t="n"/>
      <c r="CM308" s="16" t="n">
        <v>0.915408</v>
      </c>
      <c r="CN308" s="16" t="n">
        <v>1366.33064</v>
      </c>
      <c r="CO308" s="16" t="n"/>
      <c r="CP308" s="16" t="n"/>
      <c r="CQ308" s="16" t="n"/>
      <c r="CR308" s="16" t="n"/>
      <c r="CS308" s="16" t="n">
        <v>0.915408</v>
      </c>
      <c r="CT308" s="16" t="n">
        <v>0.820533</v>
      </c>
      <c r="CU308" s="16" t="n"/>
      <c r="CV308" s="16" t="n"/>
      <c r="CW308" s="16" t="n"/>
      <c r="CX308" s="16" t="n"/>
      <c r="CY308" s="16" t="n">
        <v>0.915408</v>
      </c>
      <c r="CZ308" s="16" t="n">
        <v>0.903254</v>
      </c>
      <c r="DA308" s="16" t="n"/>
      <c r="DB308" s="16" t="n"/>
      <c r="DC308" s="16" t="n"/>
      <c r="DD308" s="16" t="n"/>
      <c r="DE308" s="16" t="n">
        <v>0.915408</v>
      </c>
      <c r="DF308" s="16" t="n">
        <v>0.877983</v>
      </c>
      <c r="DG308" s="16" t="n"/>
      <c r="DH308" s="16" t="n"/>
      <c r="DI308" s="16" t="n"/>
      <c r="DJ308" s="16" t="n"/>
      <c r="DK308" s="16" t="n">
        <v>0.915408</v>
      </c>
      <c r="DL308" s="16" t="n">
        <v>0.921615</v>
      </c>
      <c r="DM308" s="16" t="n"/>
      <c r="DN308" s="16" t="n"/>
      <c r="DO308" s="16" t="n"/>
      <c r="DP308" s="16" t="n"/>
      <c r="DQ308" s="16" t="n">
        <v>0.915408</v>
      </c>
      <c r="DR308" s="16" t="n">
        <v>0.914917</v>
      </c>
      <c r="DS308" s="16" t="n"/>
      <c r="DT308" s="16" t="n"/>
      <c r="DU308" s="16" t="n"/>
      <c r="DV308" s="16" t="n"/>
      <c r="DW308" s="16" t="n">
        <v>0.915408</v>
      </c>
      <c r="DX308" s="16" t="n">
        <v>0.909094</v>
      </c>
      <c r="DY308" s="16" t="n"/>
      <c r="DZ308" s="16" t="n"/>
    </row>
    <row r="309">
      <c r="BS309" s="16" t="n"/>
      <c r="BT309" s="16" t="n"/>
      <c r="BU309" s="16" t="n">
        <v>0.9184290000000001</v>
      </c>
      <c r="BV309" s="16" t="n">
        <v>490.69875</v>
      </c>
      <c r="BW309" s="16" t="n"/>
      <c r="BX309" s="16" t="n"/>
      <c r="BY309" s="16" t="n"/>
      <c r="BZ309" s="16" t="n"/>
      <c r="CA309" s="16" t="n">
        <v>0.9184290000000001</v>
      </c>
      <c r="CB309" s="16" t="n">
        <v>301.511602</v>
      </c>
      <c r="CC309" s="16" t="n"/>
      <c r="CD309" s="16" t="n"/>
      <c r="CE309" s="16" t="n"/>
      <c r="CF309" s="16" t="n"/>
      <c r="CG309" s="16" t="n">
        <v>0.9184290000000001</v>
      </c>
      <c r="CH309" s="16" t="n">
        <v>4703.406264</v>
      </c>
      <c r="CI309" s="16" t="n"/>
      <c r="CJ309" s="16" t="n"/>
      <c r="CK309" s="16" t="n"/>
      <c r="CL309" s="16" t="n"/>
      <c r="CM309" s="16" t="n">
        <v>0.9184290000000001</v>
      </c>
      <c r="CN309" s="16" t="n">
        <v>1369.564473</v>
      </c>
      <c r="CO309" s="16" t="n"/>
      <c r="CP309" s="16" t="n"/>
      <c r="CQ309" s="16" t="n"/>
      <c r="CR309" s="16" t="n"/>
      <c r="CS309" s="16" t="n">
        <v>0.9184290000000001</v>
      </c>
      <c r="CT309" s="16" t="n">
        <v>0.821976</v>
      </c>
      <c r="CU309" s="16" t="n"/>
      <c r="CV309" s="16" t="n"/>
      <c r="CW309" s="16" t="n"/>
      <c r="CX309" s="16" t="n"/>
      <c r="CY309" s="16" t="n">
        <v>0.9184290000000001</v>
      </c>
      <c r="CZ309" s="16" t="n">
        <v>0.9035</v>
      </c>
      <c r="DA309" s="16" t="n"/>
      <c r="DB309" s="16" t="n"/>
      <c r="DC309" s="16" t="n"/>
      <c r="DD309" s="16" t="n"/>
      <c r="DE309" s="16" t="n">
        <v>0.9184290000000001</v>
      </c>
      <c r="DF309" s="16" t="n">
        <v>0.878533</v>
      </c>
      <c r="DG309" s="16" t="n"/>
      <c r="DH309" s="16" t="n"/>
      <c r="DI309" s="16" t="n"/>
      <c r="DJ309" s="16" t="n"/>
      <c r="DK309" s="16" t="n">
        <v>0.9184290000000001</v>
      </c>
      <c r="DL309" s="16" t="n">
        <v>0.9225719999999999</v>
      </c>
      <c r="DM309" s="16" t="n"/>
      <c r="DN309" s="16" t="n"/>
      <c r="DO309" s="16" t="n"/>
      <c r="DP309" s="16" t="n"/>
      <c r="DQ309" s="16" t="n">
        <v>0.9184290000000001</v>
      </c>
      <c r="DR309" s="16" t="n">
        <v>0.916013</v>
      </c>
      <c r="DS309" s="16" t="n"/>
      <c r="DT309" s="16" t="n"/>
      <c r="DU309" s="16" t="n"/>
      <c r="DV309" s="16" t="n"/>
      <c r="DW309" s="16" t="n">
        <v>0.9184290000000001</v>
      </c>
      <c r="DX309" s="16" t="n">
        <v>0.909698</v>
      </c>
      <c r="DY309" s="16" t="n"/>
      <c r="DZ309" s="16" t="n"/>
    </row>
    <row r="310">
      <c r="BS310" s="16" t="n"/>
      <c r="BT310" s="16" t="n"/>
      <c r="BU310" s="16" t="n">
        <v>0.92145</v>
      </c>
      <c r="BV310" s="16" t="n">
        <v>490.856996</v>
      </c>
      <c r="BW310" s="16" t="n"/>
      <c r="BX310" s="16" t="n"/>
      <c r="BY310" s="16" t="n"/>
      <c r="BZ310" s="16" t="n"/>
      <c r="CA310" s="16" t="n">
        <v>0.92145</v>
      </c>
      <c r="CB310" s="16" t="n">
        <v>301.528425</v>
      </c>
      <c r="CC310" s="16" t="n"/>
      <c r="CD310" s="16" t="n"/>
      <c r="CE310" s="16" t="n"/>
      <c r="CF310" s="16" t="n"/>
      <c r="CG310" s="16" t="n">
        <v>0.92145</v>
      </c>
      <c r="CH310" s="16" t="n">
        <v>4717.36477</v>
      </c>
      <c r="CI310" s="16" t="n"/>
      <c r="CJ310" s="16" t="n"/>
      <c r="CK310" s="16" t="n"/>
      <c r="CL310" s="16" t="n"/>
      <c r="CM310" s="16" t="n">
        <v>0.92145</v>
      </c>
      <c r="CN310" s="16" t="n">
        <v>1378.229478</v>
      </c>
      <c r="CO310" s="16" t="n"/>
      <c r="CP310" s="16" t="n"/>
      <c r="CQ310" s="16" t="n"/>
      <c r="CR310" s="16" t="n"/>
      <c r="CS310" s="16" t="n">
        <v>0.92145</v>
      </c>
      <c r="CT310" s="16" t="n">
        <v>0.822142</v>
      </c>
      <c r="CU310" s="16" t="n"/>
      <c r="CV310" s="16" t="n"/>
      <c r="CW310" s="16" t="n"/>
      <c r="CX310" s="16" t="n"/>
      <c r="CY310" s="16" t="n">
        <v>0.92145</v>
      </c>
      <c r="CZ310" s="16" t="n">
        <v>0.9041439999999999</v>
      </c>
      <c r="DA310" s="16" t="n"/>
      <c r="DB310" s="16" t="n"/>
      <c r="DC310" s="16" t="n"/>
      <c r="DD310" s="16" t="n"/>
      <c r="DE310" s="16" t="n">
        <v>0.92145</v>
      </c>
      <c r="DF310" s="16" t="n">
        <v>0.878779</v>
      </c>
      <c r="DG310" s="16" t="n"/>
      <c r="DH310" s="16" t="n"/>
      <c r="DI310" s="16" t="n"/>
      <c r="DJ310" s="16" t="n"/>
      <c r="DK310" s="16" t="n">
        <v>0.92145</v>
      </c>
      <c r="DL310" s="16" t="n">
        <v>0.924149</v>
      </c>
      <c r="DM310" s="16" t="n"/>
      <c r="DN310" s="16" t="n"/>
      <c r="DO310" s="16" t="n"/>
      <c r="DP310" s="16" t="n"/>
      <c r="DQ310" s="16" t="n">
        <v>0.92145</v>
      </c>
      <c r="DR310" s="16" t="n">
        <v>0.916578</v>
      </c>
      <c r="DS310" s="16" t="n"/>
      <c r="DT310" s="16" t="n"/>
      <c r="DU310" s="16" t="n"/>
      <c r="DV310" s="16" t="n"/>
      <c r="DW310" s="16" t="n">
        <v>0.92145</v>
      </c>
      <c r="DX310" s="16" t="n">
        <v>0.911117</v>
      </c>
      <c r="DY310" s="16" t="n"/>
      <c r="DZ310" s="16" t="n"/>
    </row>
    <row r="311">
      <c r="BS311" s="16" t="n"/>
      <c r="BT311" s="16" t="n"/>
      <c r="BU311" s="16" t="n">
        <v>0.924471</v>
      </c>
      <c r="BV311" s="16" t="n">
        <v>491.52577</v>
      </c>
      <c r="BW311" s="16" t="n"/>
      <c r="BX311" s="16" t="n"/>
      <c r="BY311" s="16" t="n"/>
      <c r="BZ311" s="16" t="n"/>
      <c r="CA311" s="16" t="n">
        <v>0.924471</v>
      </c>
      <c r="CB311" s="16" t="n">
        <v>301.711497</v>
      </c>
      <c r="CC311" s="16" t="n"/>
      <c r="CD311" s="16" t="n"/>
      <c r="CE311" s="16" t="n"/>
      <c r="CF311" s="16" t="n"/>
      <c r="CG311" s="16" t="n">
        <v>0.924471</v>
      </c>
      <c r="CH311" s="16" t="n">
        <v>4717.402848</v>
      </c>
      <c r="CI311" s="16" t="n"/>
      <c r="CJ311" s="16" t="n"/>
      <c r="CK311" s="16" t="n"/>
      <c r="CL311" s="16" t="n"/>
      <c r="CM311" s="16" t="n">
        <v>0.924471</v>
      </c>
      <c r="CN311" s="16" t="n">
        <v>1381.119982</v>
      </c>
      <c r="CO311" s="16" t="n"/>
      <c r="CP311" s="16" t="n"/>
      <c r="CQ311" s="16" t="n"/>
      <c r="CR311" s="16" t="n"/>
      <c r="CS311" s="16" t="n">
        <v>0.924471</v>
      </c>
      <c r="CT311" s="16" t="n">
        <v>0.823268</v>
      </c>
      <c r="CU311" s="16" t="n"/>
      <c r="CV311" s="16" t="n"/>
      <c r="CW311" s="16" t="n"/>
      <c r="CX311" s="16" t="n"/>
      <c r="CY311" s="16" t="n">
        <v>0.924471</v>
      </c>
      <c r="CZ311" s="16" t="n">
        <v>0.904399</v>
      </c>
      <c r="DA311" s="16" t="n"/>
      <c r="DB311" s="16" t="n"/>
      <c r="DC311" s="16" t="n"/>
      <c r="DD311" s="16" t="n"/>
      <c r="DE311" s="16" t="n">
        <v>0.924471</v>
      </c>
      <c r="DF311" s="16" t="n">
        <v>0.880603</v>
      </c>
      <c r="DG311" s="16" t="n"/>
      <c r="DH311" s="16" t="n"/>
      <c r="DI311" s="16" t="n"/>
      <c r="DJ311" s="16" t="n"/>
      <c r="DK311" s="16" t="n">
        <v>0.924471</v>
      </c>
      <c r="DL311" s="16" t="n">
        <v>0.924767</v>
      </c>
      <c r="DM311" s="16" t="n"/>
      <c r="DN311" s="16" t="n"/>
      <c r="DO311" s="16" t="n"/>
      <c r="DP311" s="16" t="n"/>
      <c r="DQ311" s="16" t="n">
        <v>0.924471</v>
      </c>
      <c r="DR311" s="16" t="n">
        <v>0.917578</v>
      </c>
      <c r="DS311" s="16" t="n"/>
      <c r="DT311" s="16" t="n"/>
      <c r="DU311" s="16" t="n"/>
      <c r="DV311" s="16" t="n"/>
      <c r="DW311" s="16" t="n">
        <v>0.924471</v>
      </c>
      <c r="DX311" s="16" t="n">
        <v>0.912393</v>
      </c>
      <c r="DY311" s="16" t="n"/>
      <c r="DZ311" s="16" t="n"/>
    </row>
    <row r="312">
      <c r="BS312" s="16" t="n"/>
      <c r="BT312" s="16" t="n"/>
      <c r="BU312" s="16" t="n">
        <v>0.927492</v>
      </c>
      <c r="BV312" s="16" t="n">
        <v>491.986639</v>
      </c>
      <c r="BW312" s="16" t="n"/>
      <c r="BX312" s="16" t="n"/>
      <c r="BY312" s="16" t="n"/>
      <c r="BZ312" s="16" t="n"/>
      <c r="CA312" s="16" t="n">
        <v>0.927492</v>
      </c>
      <c r="CB312" s="16" t="n">
        <v>301.739162</v>
      </c>
      <c r="CC312" s="16" t="n"/>
      <c r="CD312" s="16" t="n"/>
      <c r="CE312" s="16" t="n"/>
      <c r="CF312" s="16" t="n"/>
      <c r="CG312" s="16" t="n">
        <v>0.927492</v>
      </c>
      <c r="CH312" s="16" t="n">
        <v>4722.718649</v>
      </c>
      <c r="CI312" s="16" t="n"/>
      <c r="CJ312" s="16" t="n"/>
      <c r="CK312" s="16" t="n"/>
      <c r="CL312" s="16" t="n"/>
      <c r="CM312" s="16" t="n">
        <v>0.927492</v>
      </c>
      <c r="CN312" s="16" t="n">
        <v>1386.501419</v>
      </c>
      <c r="CO312" s="16" t="n"/>
      <c r="CP312" s="16" t="n"/>
      <c r="CQ312" s="16" t="n"/>
      <c r="CR312" s="16" t="n"/>
      <c r="CS312" s="16" t="n">
        <v>0.927492</v>
      </c>
      <c r="CT312" s="16" t="n">
        <v>0.826092</v>
      </c>
      <c r="CU312" s="16" t="n"/>
      <c r="CV312" s="16" t="n"/>
      <c r="CW312" s="16" t="n"/>
      <c r="CX312" s="16" t="n"/>
      <c r="CY312" s="16" t="n">
        <v>0.927492</v>
      </c>
      <c r="CZ312" s="16" t="n">
        <v>0.905185</v>
      </c>
      <c r="DA312" s="16" t="n"/>
      <c r="DB312" s="16" t="n"/>
      <c r="DC312" s="16" t="n"/>
      <c r="DD312" s="16" t="n"/>
      <c r="DE312" s="16" t="n">
        <v>0.927492</v>
      </c>
      <c r="DF312" s="16" t="n">
        <v>0.880957</v>
      </c>
      <c r="DG312" s="16" t="n"/>
      <c r="DH312" s="16" t="n"/>
      <c r="DI312" s="16" t="n"/>
      <c r="DJ312" s="16" t="n"/>
      <c r="DK312" s="16" t="n">
        <v>0.927492</v>
      </c>
      <c r="DL312" s="16" t="n">
        <v>0.926206</v>
      </c>
      <c r="DM312" s="16" t="n"/>
      <c r="DN312" s="16" t="n"/>
      <c r="DO312" s="16" t="n"/>
      <c r="DP312" s="16" t="n"/>
      <c r="DQ312" s="16" t="n">
        <v>0.927492</v>
      </c>
      <c r="DR312" s="16" t="n">
        <v>0.918327</v>
      </c>
      <c r="DS312" s="16" t="n"/>
      <c r="DT312" s="16" t="n"/>
      <c r="DU312" s="16" t="n"/>
      <c r="DV312" s="16" t="n"/>
      <c r="DW312" s="16" t="n">
        <v>0.927492</v>
      </c>
      <c r="DX312" s="16" t="n">
        <v>0.913423</v>
      </c>
      <c r="DY312" s="16" t="n"/>
      <c r="DZ312" s="16" t="n"/>
    </row>
    <row r="313">
      <c r="BS313" s="16" t="n"/>
      <c r="BT313" s="16" t="n"/>
      <c r="BU313" s="16" t="n">
        <v>0.930514</v>
      </c>
      <c r="BV313" s="16" t="n">
        <v>492.110491</v>
      </c>
      <c r="BW313" s="16" t="n"/>
      <c r="BX313" s="16" t="n"/>
      <c r="BY313" s="16" t="n"/>
      <c r="BZ313" s="16" t="n"/>
      <c r="CA313" s="16" t="n">
        <v>0.930514</v>
      </c>
      <c r="CB313" s="16" t="n">
        <v>301.801508</v>
      </c>
      <c r="CC313" s="16" t="n"/>
      <c r="CD313" s="16" t="n"/>
      <c r="CE313" s="16" t="n"/>
      <c r="CF313" s="16" t="n"/>
      <c r="CG313" s="16" t="n">
        <v>0.930514</v>
      </c>
      <c r="CH313" s="16" t="n">
        <v>4744.047708</v>
      </c>
      <c r="CI313" s="16" t="n"/>
      <c r="CJ313" s="16" t="n"/>
      <c r="CK313" s="16" t="n"/>
      <c r="CL313" s="16" t="n"/>
      <c r="CM313" s="16" t="n">
        <v>0.930514</v>
      </c>
      <c r="CN313" s="16" t="n">
        <v>1389.7471</v>
      </c>
      <c r="CO313" s="16" t="n"/>
      <c r="CP313" s="16" t="n"/>
      <c r="CQ313" s="16" t="n"/>
      <c r="CR313" s="16" t="n"/>
      <c r="CS313" s="16" t="n">
        <v>0.930514</v>
      </c>
      <c r="CT313" s="16" t="n">
        <v>0.827334</v>
      </c>
      <c r="CU313" s="16" t="n"/>
      <c r="CV313" s="16" t="n"/>
      <c r="CW313" s="16" t="n"/>
      <c r="CX313" s="16" t="n"/>
      <c r="CY313" s="16" t="n">
        <v>0.930514</v>
      </c>
      <c r="CZ313" s="16" t="n">
        <v>0.906154</v>
      </c>
      <c r="DA313" s="16" t="n"/>
      <c r="DB313" s="16" t="n"/>
      <c r="DC313" s="16" t="n"/>
      <c r="DD313" s="16" t="n"/>
      <c r="DE313" s="16" t="n">
        <v>0.930514</v>
      </c>
      <c r="DF313" s="16" t="n">
        <v>0.882284</v>
      </c>
      <c r="DG313" s="16" t="n"/>
      <c r="DH313" s="16" t="n"/>
      <c r="DI313" s="16" t="n"/>
      <c r="DJ313" s="16" t="n"/>
      <c r="DK313" s="16" t="n">
        <v>0.930514</v>
      </c>
      <c r="DL313" s="16" t="n">
        <v>0.926328</v>
      </c>
      <c r="DM313" s="16" t="n"/>
      <c r="DN313" s="16" t="n"/>
      <c r="DO313" s="16" t="n"/>
      <c r="DP313" s="16" t="n"/>
      <c r="DQ313" s="16" t="n">
        <v>0.930514</v>
      </c>
      <c r="DR313" s="16" t="n">
        <v>0.918777</v>
      </c>
      <c r="DS313" s="16" t="n"/>
      <c r="DT313" s="16" t="n"/>
      <c r="DU313" s="16" t="n"/>
      <c r="DV313" s="16" t="n"/>
      <c r="DW313" s="16" t="n">
        <v>0.930514</v>
      </c>
      <c r="DX313" s="16" t="n">
        <v>0.914894</v>
      </c>
      <c r="DY313" s="16" t="n"/>
      <c r="DZ313" s="16" t="n"/>
    </row>
    <row r="314">
      <c r="BS314" s="16" t="n"/>
      <c r="BT314" s="16" t="n"/>
      <c r="BU314" s="16" t="n">
        <v>0.933535</v>
      </c>
      <c r="BV314" s="16" t="n">
        <v>492.199915</v>
      </c>
      <c r="BW314" s="16" t="n"/>
      <c r="BX314" s="16" t="n"/>
      <c r="BY314" s="16" t="n"/>
      <c r="BZ314" s="16" t="n"/>
      <c r="CA314" s="16" t="n">
        <v>0.933535</v>
      </c>
      <c r="CB314" s="16" t="n">
        <v>301.920472</v>
      </c>
      <c r="CC314" s="16" t="n"/>
      <c r="CD314" s="16" t="n"/>
      <c r="CE314" s="16" t="n"/>
      <c r="CF314" s="16" t="n"/>
      <c r="CG314" s="16" t="n">
        <v>0.933535</v>
      </c>
      <c r="CH314" s="16" t="n">
        <v>4750.194928</v>
      </c>
      <c r="CI314" s="16" t="n"/>
      <c r="CJ314" s="16" t="n"/>
      <c r="CK314" s="16" t="n"/>
      <c r="CL314" s="16" t="n"/>
      <c r="CM314" s="16" t="n">
        <v>0.933535</v>
      </c>
      <c r="CN314" s="16" t="n">
        <v>1392.707347</v>
      </c>
      <c r="CO314" s="16" t="n"/>
      <c r="CP314" s="16" t="n"/>
      <c r="CQ314" s="16" t="n"/>
      <c r="CR314" s="16" t="n"/>
      <c r="CS314" s="16" t="n">
        <v>0.933535</v>
      </c>
      <c r="CT314" s="16" t="n">
        <v>0.828812</v>
      </c>
      <c r="CU314" s="16" t="n"/>
      <c r="CV314" s="16" t="n"/>
      <c r="CW314" s="16" t="n"/>
      <c r="CX314" s="16" t="n"/>
      <c r="CY314" s="16" t="n">
        <v>0.933535</v>
      </c>
      <c r="CZ314" s="16" t="n">
        <v>0.906447</v>
      </c>
      <c r="DA314" s="16" t="n"/>
      <c r="DB314" s="16" t="n"/>
      <c r="DC314" s="16" t="n"/>
      <c r="DD314" s="16" t="n"/>
      <c r="DE314" s="16" t="n">
        <v>0.933535</v>
      </c>
      <c r="DF314" s="16" t="n">
        <v>0.883177</v>
      </c>
      <c r="DG314" s="16" t="n"/>
      <c r="DH314" s="16" t="n"/>
      <c r="DI314" s="16" t="n"/>
      <c r="DJ314" s="16" t="n"/>
      <c r="DK314" s="16" t="n">
        <v>0.933535</v>
      </c>
      <c r="DL314" s="16" t="n">
        <v>0.927306</v>
      </c>
      <c r="DM314" s="16" t="n"/>
      <c r="DN314" s="16" t="n"/>
      <c r="DO314" s="16" t="n"/>
      <c r="DP314" s="16" t="n"/>
      <c r="DQ314" s="16" t="n">
        <v>0.933535</v>
      </c>
      <c r="DR314" s="16" t="n">
        <v>0.921912</v>
      </c>
      <c r="DS314" s="16" t="n"/>
      <c r="DT314" s="16" t="n"/>
      <c r="DU314" s="16" t="n"/>
      <c r="DV314" s="16" t="n"/>
      <c r="DW314" s="16" t="n">
        <v>0.933535</v>
      </c>
      <c r="DX314" s="16" t="n">
        <v>0.915361</v>
      </c>
      <c r="DY314" s="16" t="n"/>
      <c r="DZ314" s="16" t="n"/>
    </row>
    <row r="315">
      <c r="BS315" s="16" t="n"/>
      <c r="BT315" s="16" t="n"/>
      <c r="BU315" s="16" t="n">
        <v>0.9365560000000001</v>
      </c>
      <c r="BV315" s="16" t="n">
        <v>492.549334</v>
      </c>
      <c r="BW315" s="16" t="n"/>
      <c r="BX315" s="16" t="n"/>
      <c r="BY315" s="16" t="n"/>
      <c r="BZ315" s="16" t="n"/>
      <c r="CA315" s="16" t="n">
        <v>0.9365560000000001</v>
      </c>
      <c r="CB315" s="16" t="n">
        <v>301.983396</v>
      </c>
      <c r="CC315" s="16" t="n"/>
      <c r="CD315" s="16" t="n"/>
      <c r="CE315" s="16" t="n"/>
      <c r="CF315" s="16" t="n"/>
      <c r="CG315" s="16" t="n">
        <v>0.9365560000000001</v>
      </c>
      <c r="CH315" s="16" t="n">
        <v>4752.592548</v>
      </c>
      <c r="CI315" s="16" t="n"/>
      <c r="CJ315" s="16" t="n"/>
      <c r="CK315" s="16" t="n"/>
      <c r="CL315" s="16" t="n"/>
      <c r="CM315" s="16" t="n">
        <v>0.9365560000000001</v>
      </c>
      <c r="CN315" s="16" t="n">
        <v>1392.940294</v>
      </c>
      <c r="CO315" s="16" t="n"/>
      <c r="CP315" s="16" t="n"/>
      <c r="CQ315" s="16" t="n"/>
      <c r="CR315" s="16" t="n"/>
      <c r="CS315" s="16" t="n">
        <v>0.9365560000000001</v>
      </c>
      <c r="CT315" s="16" t="n">
        <v>0.829153</v>
      </c>
      <c r="CU315" s="16" t="n"/>
      <c r="CV315" s="16" t="n"/>
      <c r="CW315" s="16" t="n"/>
      <c r="CX315" s="16" t="n"/>
      <c r="CY315" s="16" t="n">
        <v>0.9365560000000001</v>
      </c>
      <c r="CZ315" s="16" t="n">
        <v>0.907141</v>
      </c>
      <c r="DA315" s="16" t="n"/>
      <c r="DB315" s="16" t="n"/>
      <c r="DC315" s="16" t="n"/>
      <c r="DD315" s="16" t="n"/>
      <c r="DE315" s="16" t="n">
        <v>0.9365560000000001</v>
      </c>
      <c r="DF315" s="16" t="n">
        <v>0.883483</v>
      </c>
      <c r="DG315" s="16" t="n"/>
      <c r="DH315" s="16" t="n"/>
      <c r="DI315" s="16" t="n"/>
      <c r="DJ315" s="16" t="n"/>
      <c r="DK315" s="16" t="n">
        <v>0.9365560000000001</v>
      </c>
      <c r="DL315" s="16" t="n">
        <v>0.928295</v>
      </c>
      <c r="DM315" s="16" t="n"/>
      <c r="DN315" s="16" t="n"/>
      <c r="DO315" s="16" t="n"/>
      <c r="DP315" s="16" t="n"/>
      <c r="DQ315" s="16" t="n">
        <v>0.9365560000000001</v>
      </c>
      <c r="DR315" s="16" t="n">
        <v>0.923316</v>
      </c>
      <c r="DS315" s="16" t="n"/>
      <c r="DT315" s="16" t="n"/>
      <c r="DU315" s="16" t="n"/>
      <c r="DV315" s="16" t="n"/>
      <c r="DW315" s="16" t="n">
        <v>0.9365560000000001</v>
      </c>
      <c r="DX315" s="16" t="n">
        <v>0.916179</v>
      </c>
      <c r="DY315" s="16" t="n"/>
      <c r="DZ315" s="16" t="n"/>
    </row>
    <row r="316">
      <c r="BS316" s="16" t="n"/>
      <c r="BT316" s="16" t="n"/>
      <c r="BU316" s="16" t="n">
        <v>0.939577</v>
      </c>
      <c r="BV316" s="16" t="n">
        <v>493.264932</v>
      </c>
      <c r="BW316" s="16" t="n"/>
      <c r="BX316" s="16" t="n"/>
      <c r="BY316" s="16" t="n"/>
      <c r="BZ316" s="16" t="n"/>
      <c r="CA316" s="16" t="n">
        <v>0.939577</v>
      </c>
      <c r="CB316" s="16" t="n">
        <v>302.026638</v>
      </c>
      <c r="CC316" s="16" t="n"/>
      <c r="CD316" s="16" t="n"/>
      <c r="CE316" s="16" t="n"/>
      <c r="CF316" s="16" t="n"/>
      <c r="CG316" s="16" t="n">
        <v>0.939577</v>
      </c>
      <c r="CH316" s="16" t="n">
        <v>4771.508027</v>
      </c>
      <c r="CI316" s="16" t="n"/>
      <c r="CJ316" s="16" t="n"/>
      <c r="CK316" s="16" t="n"/>
      <c r="CL316" s="16" t="n"/>
      <c r="CM316" s="16" t="n">
        <v>0.939577</v>
      </c>
      <c r="CN316" s="16" t="n">
        <v>1399.190997</v>
      </c>
      <c r="CO316" s="16" t="n"/>
      <c r="CP316" s="16" t="n"/>
      <c r="CQ316" s="16" t="n"/>
      <c r="CR316" s="16" t="n"/>
      <c r="CS316" s="16" t="n">
        <v>0.939577</v>
      </c>
      <c r="CT316" s="16" t="n">
        <v>0.830568</v>
      </c>
      <c r="CU316" s="16" t="n"/>
      <c r="CV316" s="16" t="n"/>
      <c r="CW316" s="16" t="n"/>
      <c r="CX316" s="16" t="n"/>
      <c r="CY316" s="16" t="n">
        <v>0.939577</v>
      </c>
      <c r="CZ316" s="16" t="n">
        <v>0.908062</v>
      </c>
      <c r="DA316" s="16" t="n"/>
      <c r="DB316" s="16" t="n"/>
      <c r="DC316" s="16" t="n"/>
      <c r="DD316" s="16" t="n"/>
      <c r="DE316" s="16" t="n">
        <v>0.939577</v>
      </c>
      <c r="DF316" s="16" t="n">
        <v>0.884118</v>
      </c>
      <c r="DG316" s="16" t="n"/>
      <c r="DH316" s="16" t="n"/>
      <c r="DI316" s="16" t="n"/>
      <c r="DJ316" s="16" t="n"/>
      <c r="DK316" s="16" t="n">
        <v>0.939577</v>
      </c>
      <c r="DL316" s="16" t="n">
        <v>0.9286450000000001</v>
      </c>
      <c r="DM316" s="16" t="n"/>
      <c r="DN316" s="16" t="n"/>
      <c r="DO316" s="16" t="n"/>
      <c r="DP316" s="16" t="n"/>
      <c r="DQ316" s="16" t="n">
        <v>0.939577</v>
      </c>
      <c r="DR316" s="16" t="n">
        <v>0.925173</v>
      </c>
      <c r="DS316" s="16" t="n"/>
      <c r="DT316" s="16" t="n"/>
      <c r="DU316" s="16" t="n"/>
      <c r="DV316" s="16" t="n"/>
      <c r="DW316" s="16" t="n">
        <v>0.939577</v>
      </c>
      <c r="DX316" s="16" t="n">
        <v>0.916472</v>
      </c>
      <c r="DY316" s="16" t="n"/>
      <c r="DZ316" s="16" t="n"/>
    </row>
    <row r="317">
      <c r="BS317" s="16" t="n"/>
      <c r="BT317" s="16" t="n"/>
      <c r="BU317" s="16" t="n">
        <v>0.942598</v>
      </c>
      <c r="BV317" s="16" t="n">
        <v>493.338762</v>
      </c>
      <c r="BW317" s="16" t="n"/>
      <c r="BX317" s="16" t="n"/>
      <c r="BY317" s="16" t="n"/>
      <c r="BZ317" s="16" t="n"/>
      <c r="CA317" s="16" t="n">
        <v>0.942598</v>
      </c>
      <c r="CB317" s="16" t="n">
        <v>302.031706</v>
      </c>
      <c r="CC317" s="16" t="n"/>
      <c r="CD317" s="16" t="n"/>
      <c r="CE317" s="16" t="n"/>
      <c r="CF317" s="16" t="n"/>
      <c r="CG317" s="16" t="n">
        <v>0.942598</v>
      </c>
      <c r="CH317" s="16" t="n">
        <v>4771.928716</v>
      </c>
      <c r="CI317" s="16" t="n"/>
      <c r="CJ317" s="16" t="n"/>
      <c r="CK317" s="16" t="n"/>
      <c r="CL317" s="16" t="n"/>
      <c r="CM317" s="16" t="n">
        <v>0.942598</v>
      </c>
      <c r="CN317" s="16" t="n">
        <v>1408.841268</v>
      </c>
      <c r="CO317" s="16" t="n"/>
      <c r="CP317" s="16" t="n"/>
      <c r="CQ317" s="16" t="n"/>
      <c r="CR317" s="16" t="n"/>
      <c r="CS317" s="16" t="n">
        <v>0.942598</v>
      </c>
      <c r="CT317" s="16" t="n">
        <v>0.830811</v>
      </c>
      <c r="CU317" s="16" t="n"/>
      <c r="CV317" s="16" t="n"/>
      <c r="CW317" s="16" t="n"/>
      <c r="CX317" s="16" t="n"/>
      <c r="CY317" s="16" t="n">
        <v>0.942598</v>
      </c>
      <c r="CZ317" s="16" t="n">
        <v>0.908409</v>
      </c>
      <c r="DA317" s="16" t="n"/>
      <c r="DB317" s="16" t="n"/>
      <c r="DC317" s="16" t="n"/>
      <c r="DD317" s="16" t="n"/>
      <c r="DE317" s="16" t="n">
        <v>0.942598</v>
      </c>
      <c r="DF317" s="16" t="n">
        <v>0.885787</v>
      </c>
      <c r="DG317" s="16" t="n"/>
      <c r="DH317" s="16" t="n"/>
      <c r="DI317" s="16" t="n"/>
      <c r="DJ317" s="16" t="n"/>
      <c r="DK317" s="16" t="n">
        <v>0.942598</v>
      </c>
      <c r="DL317" s="16" t="n">
        <v>0.929767</v>
      </c>
      <c r="DM317" s="16" t="n"/>
      <c r="DN317" s="16" t="n"/>
      <c r="DO317" s="16" t="n"/>
      <c r="DP317" s="16" t="n"/>
      <c r="DQ317" s="16" t="n">
        <v>0.942598</v>
      </c>
      <c r="DR317" s="16" t="n">
        <v>0.926053</v>
      </c>
      <c r="DS317" s="16" t="n"/>
      <c r="DT317" s="16" t="n"/>
      <c r="DU317" s="16" t="n"/>
      <c r="DV317" s="16" t="n"/>
      <c r="DW317" s="16" t="n">
        <v>0.942598</v>
      </c>
      <c r="DX317" s="16" t="n">
        <v>0.916942</v>
      </c>
      <c r="DY317" s="16" t="n"/>
      <c r="DZ317" s="16" t="n"/>
    </row>
    <row r="318">
      <c r="BS318" s="16" t="n"/>
      <c r="BT318" s="16" t="n"/>
      <c r="BU318" s="16" t="n">
        <v>0.945619</v>
      </c>
      <c r="BV318" s="16" t="n">
        <v>493.650507</v>
      </c>
      <c r="BW318" s="16" t="n"/>
      <c r="BX318" s="16" t="n"/>
      <c r="BY318" s="16" t="n"/>
      <c r="BZ318" s="16" t="n"/>
      <c r="CA318" s="16" t="n">
        <v>0.945619</v>
      </c>
      <c r="CB318" s="16" t="n">
        <v>302.253105</v>
      </c>
      <c r="CC318" s="16" t="n"/>
      <c r="CD318" s="16" t="n"/>
      <c r="CE318" s="16" t="n"/>
      <c r="CF318" s="16" t="n"/>
      <c r="CG318" s="16" t="n">
        <v>0.945619</v>
      </c>
      <c r="CH318" s="16" t="n">
        <v>4801.644154</v>
      </c>
      <c r="CI318" s="16" t="n"/>
      <c r="CJ318" s="16" t="n"/>
      <c r="CK318" s="16" t="n"/>
      <c r="CL318" s="16" t="n"/>
      <c r="CM318" s="16" t="n">
        <v>0.945619</v>
      </c>
      <c r="CN318" s="16" t="n">
        <v>1410.701913</v>
      </c>
      <c r="CO318" s="16" t="n"/>
      <c r="CP318" s="16" t="n"/>
      <c r="CQ318" s="16" t="n"/>
      <c r="CR318" s="16" t="n"/>
      <c r="CS318" s="16" t="n">
        <v>0.945619</v>
      </c>
      <c r="CT318" s="16" t="n">
        <v>0.8318179999999999</v>
      </c>
      <c r="CU318" s="16" t="n"/>
      <c r="CV318" s="16" t="n"/>
      <c r="CW318" s="16" t="n"/>
      <c r="CX318" s="16" t="n"/>
      <c r="CY318" s="16" t="n">
        <v>0.945619</v>
      </c>
      <c r="CZ318" s="16" t="n">
        <v>0.909049</v>
      </c>
      <c r="DA318" s="16" t="n"/>
      <c r="DB318" s="16" t="n"/>
      <c r="DC318" s="16" t="n"/>
      <c r="DD318" s="16" t="n"/>
      <c r="DE318" s="16" t="n">
        <v>0.945619</v>
      </c>
      <c r="DF318" s="16" t="n">
        <v>0.886558</v>
      </c>
      <c r="DG318" s="16" t="n"/>
      <c r="DH318" s="16" t="n"/>
      <c r="DI318" s="16" t="n"/>
      <c r="DJ318" s="16" t="n"/>
      <c r="DK318" s="16" t="n">
        <v>0.945619</v>
      </c>
      <c r="DL318" s="16" t="n">
        <v>0.930864</v>
      </c>
      <c r="DM318" s="16" t="n"/>
      <c r="DN318" s="16" t="n"/>
      <c r="DO318" s="16" t="n"/>
      <c r="DP318" s="16" t="n"/>
      <c r="DQ318" s="16" t="n">
        <v>0.945619</v>
      </c>
      <c r="DR318" s="16" t="n">
        <v>0.927027</v>
      </c>
      <c r="DS318" s="16" t="n"/>
      <c r="DT318" s="16" t="n"/>
      <c r="DU318" s="16" t="n"/>
      <c r="DV318" s="16" t="n"/>
      <c r="DW318" s="16" t="n">
        <v>0.945619</v>
      </c>
      <c r="DX318" s="16" t="n">
        <v>0.917976</v>
      </c>
      <c r="DY318" s="16" t="n"/>
      <c r="DZ318" s="16" t="n"/>
    </row>
    <row r="319">
      <c r="BS319" s="16" t="n"/>
      <c r="BT319" s="16" t="n"/>
      <c r="BU319" s="16" t="n">
        <v>0.94864</v>
      </c>
      <c r="BV319" s="16" t="n">
        <v>493.69917</v>
      </c>
      <c r="BW319" s="16" t="n"/>
      <c r="BX319" s="16" t="n"/>
      <c r="BY319" s="16" t="n"/>
      <c r="BZ319" s="16" t="n"/>
      <c r="CA319" s="16" t="n">
        <v>0.94864</v>
      </c>
      <c r="CB319" s="16" t="n">
        <v>302.311515</v>
      </c>
      <c r="CC319" s="16" t="n"/>
      <c r="CD319" s="16" t="n"/>
      <c r="CE319" s="16" t="n"/>
      <c r="CF319" s="16" t="n"/>
      <c r="CG319" s="16" t="n">
        <v>0.94864</v>
      </c>
      <c r="CH319" s="16" t="n">
        <v>4817.775632</v>
      </c>
      <c r="CI319" s="16" t="n"/>
      <c r="CJ319" s="16" t="n"/>
      <c r="CK319" s="16" t="n"/>
      <c r="CL319" s="16" t="n"/>
      <c r="CM319" s="16" t="n">
        <v>0.94864</v>
      </c>
      <c r="CN319" s="16" t="n">
        <v>1413.279306</v>
      </c>
      <c r="CO319" s="16" t="n"/>
      <c r="CP319" s="16" t="n"/>
      <c r="CQ319" s="16" t="n"/>
      <c r="CR319" s="16" t="n"/>
      <c r="CS319" s="16" t="n">
        <v>0.94864</v>
      </c>
      <c r="CT319" s="16" t="n">
        <v>0.833659</v>
      </c>
      <c r="CU319" s="16" t="n"/>
      <c r="CV319" s="16" t="n"/>
      <c r="CW319" s="16" t="n"/>
      <c r="CX319" s="16" t="n"/>
      <c r="CY319" s="16" t="n">
        <v>0.94864</v>
      </c>
      <c r="CZ319" s="16" t="n">
        <v>0.910819</v>
      </c>
      <c r="DA319" s="16" t="n"/>
      <c r="DB319" s="16" t="n"/>
      <c r="DC319" s="16" t="n"/>
      <c r="DD319" s="16" t="n"/>
      <c r="DE319" s="16" t="n">
        <v>0.94864</v>
      </c>
      <c r="DF319" s="16" t="n">
        <v>0.887039</v>
      </c>
      <c r="DG319" s="16" t="n"/>
      <c r="DH319" s="16" t="n"/>
      <c r="DI319" s="16" t="n"/>
      <c r="DJ319" s="16" t="n"/>
      <c r="DK319" s="16" t="n">
        <v>0.94864</v>
      </c>
      <c r="DL319" s="16" t="n">
        <v>0.9312550000000001</v>
      </c>
      <c r="DM319" s="16" t="n"/>
      <c r="DN319" s="16" t="n"/>
      <c r="DO319" s="16" t="n"/>
      <c r="DP319" s="16" t="n"/>
      <c r="DQ319" s="16" t="n">
        <v>0.94864</v>
      </c>
      <c r="DR319" s="16" t="n">
        <v>0.928193</v>
      </c>
      <c r="DS319" s="16" t="n"/>
      <c r="DT319" s="16" t="n"/>
      <c r="DU319" s="16" t="n"/>
      <c r="DV319" s="16" t="n"/>
      <c r="DW319" s="16" t="n">
        <v>0.94864</v>
      </c>
      <c r="DX319" s="16" t="n">
        <v>0.91991</v>
      </c>
      <c r="DY319" s="16" t="n"/>
      <c r="DZ319" s="16" t="n"/>
    </row>
    <row r="320">
      <c r="BS320" s="16" t="n"/>
      <c r="BT320" s="16" t="n"/>
      <c r="BU320" s="16" t="n">
        <v>0.951662</v>
      </c>
      <c r="BV320" s="16" t="n">
        <v>494.321763</v>
      </c>
      <c r="BW320" s="16" t="n"/>
      <c r="BX320" s="16" t="n"/>
      <c r="BY320" s="16" t="n"/>
      <c r="BZ320" s="16" t="n"/>
      <c r="CA320" s="16" t="n">
        <v>0.951662</v>
      </c>
      <c r="CB320" s="16" t="n">
        <v>302.413799</v>
      </c>
      <c r="CC320" s="16" t="n"/>
      <c r="CD320" s="16" t="n"/>
      <c r="CE320" s="16" t="n"/>
      <c r="CF320" s="16" t="n"/>
      <c r="CG320" s="16" t="n">
        <v>0.951662</v>
      </c>
      <c r="CH320" s="16" t="n">
        <v>4820.222262</v>
      </c>
      <c r="CI320" s="16" t="n"/>
      <c r="CJ320" s="16" t="n"/>
      <c r="CK320" s="16" t="n"/>
      <c r="CL320" s="16" t="n"/>
      <c r="CM320" s="16" t="n">
        <v>0.951662</v>
      </c>
      <c r="CN320" s="16" t="n">
        <v>1420.202265</v>
      </c>
      <c r="CO320" s="16" t="n"/>
      <c r="CP320" s="16" t="n"/>
      <c r="CQ320" s="16" t="n"/>
      <c r="CR320" s="16" t="n"/>
      <c r="CS320" s="16" t="n">
        <v>0.951662</v>
      </c>
      <c r="CT320" s="16" t="n">
        <v>0.833684</v>
      </c>
      <c r="CU320" s="16" t="n"/>
      <c r="CV320" s="16" t="n"/>
      <c r="CW320" s="16" t="n"/>
      <c r="CX320" s="16" t="n"/>
      <c r="CY320" s="16" t="n">
        <v>0.951662</v>
      </c>
      <c r="CZ320" s="16" t="n">
        <v>0.911652</v>
      </c>
      <c r="DA320" s="16" t="n"/>
      <c r="DB320" s="16" t="n"/>
      <c r="DC320" s="16" t="n"/>
      <c r="DD320" s="16" t="n"/>
      <c r="DE320" s="16" t="n">
        <v>0.951662</v>
      </c>
      <c r="DF320" s="16" t="n">
        <v>0.887584</v>
      </c>
      <c r="DG320" s="16" t="n"/>
      <c r="DH320" s="16" t="n"/>
      <c r="DI320" s="16" t="n"/>
      <c r="DJ320" s="16" t="n"/>
      <c r="DK320" s="16" t="n">
        <v>0.951662</v>
      </c>
      <c r="DL320" s="16" t="n">
        <v>0.935396</v>
      </c>
      <c r="DM320" s="16" t="n"/>
      <c r="DN320" s="16" t="n"/>
      <c r="DO320" s="16" t="n"/>
      <c r="DP320" s="16" t="n"/>
      <c r="DQ320" s="16" t="n">
        <v>0.951662</v>
      </c>
      <c r="DR320" s="16" t="n">
        <v>0.929411</v>
      </c>
      <c r="DS320" s="16" t="n"/>
      <c r="DT320" s="16" t="n"/>
      <c r="DU320" s="16" t="n"/>
      <c r="DV320" s="16" t="n"/>
      <c r="DW320" s="16" t="n">
        <v>0.951662</v>
      </c>
      <c r="DX320" s="16" t="n">
        <v>0.920858</v>
      </c>
      <c r="DY320" s="16" t="n"/>
      <c r="DZ320" s="16" t="n"/>
    </row>
    <row r="321">
      <c r="BS321" s="16" t="n"/>
      <c r="BT321" s="16" t="n"/>
      <c r="BU321" s="16" t="n">
        <v>0.9546829999999999</v>
      </c>
      <c r="BV321" s="16" t="n">
        <v>494.419399</v>
      </c>
      <c r="BW321" s="16" t="n"/>
      <c r="BX321" s="16" t="n"/>
      <c r="BY321" s="16" t="n"/>
      <c r="BZ321" s="16" t="n"/>
      <c r="CA321" s="16" t="n">
        <v>0.9546829999999999</v>
      </c>
      <c r="CB321" s="16" t="n">
        <v>302.462343</v>
      </c>
      <c r="CC321" s="16" t="n"/>
      <c r="CD321" s="16" t="n"/>
      <c r="CE321" s="16" t="n"/>
      <c r="CF321" s="16" t="n"/>
      <c r="CG321" s="16" t="n">
        <v>0.9546829999999999</v>
      </c>
      <c r="CH321" s="16" t="n">
        <v>4824.709184</v>
      </c>
      <c r="CI321" s="16" t="n"/>
      <c r="CJ321" s="16" t="n"/>
      <c r="CK321" s="16" t="n"/>
      <c r="CL321" s="16" t="n"/>
      <c r="CM321" s="16" t="n">
        <v>0.9546829999999999</v>
      </c>
      <c r="CN321" s="16" t="n">
        <v>1430.554716</v>
      </c>
      <c r="CO321" s="16" t="n"/>
      <c r="CP321" s="16" t="n"/>
      <c r="CQ321" s="16" t="n"/>
      <c r="CR321" s="16" t="n"/>
      <c r="CS321" s="16" t="n">
        <v>0.9546829999999999</v>
      </c>
      <c r="CT321" s="16" t="n">
        <v>0.835758</v>
      </c>
      <c r="CU321" s="16" t="n"/>
      <c r="CV321" s="16" t="n"/>
      <c r="CW321" s="16" t="n"/>
      <c r="CX321" s="16" t="n"/>
      <c r="CY321" s="16" t="n">
        <v>0.9546829999999999</v>
      </c>
      <c r="CZ321" s="16" t="n">
        <v>0.912083</v>
      </c>
      <c r="DA321" s="16" t="n"/>
      <c r="DB321" s="16" t="n"/>
      <c r="DC321" s="16" t="n"/>
      <c r="DD321" s="16" t="n"/>
      <c r="DE321" s="16" t="n">
        <v>0.9546829999999999</v>
      </c>
      <c r="DF321" s="16" t="n">
        <v>0.888169</v>
      </c>
      <c r="DG321" s="16" t="n"/>
      <c r="DH321" s="16" t="n"/>
      <c r="DI321" s="16" t="n"/>
      <c r="DJ321" s="16" t="n"/>
      <c r="DK321" s="16" t="n">
        <v>0.9546829999999999</v>
      </c>
      <c r="DL321" s="16" t="n">
        <v>0.937016</v>
      </c>
      <c r="DM321" s="16" t="n"/>
      <c r="DN321" s="16" t="n"/>
      <c r="DO321" s="16" t="n"/>
      <c r="DP321" s="16" t="n"/>
      <c r="DQ321" s="16" t="n">
        <v>0.9546829999999999</v>
      </c>
      <c r="DR321" s="16" t="n">
        <v>0.929634</v>
      </c>
      <c r="DS321" s="16" t="n"/>
      <c r="DT321" s="16" t="n"/>
      <c r="DU321" s="16" t="n"/>
      <c r="DV321" s="16" t="n"/>
      <c r="DW321" s="16" t="n">
        <v>0.9546829999999999</v>
      </c>
      <c r="DX321" s="16" t="n">
        <v>0.920965</v>
      </c>
      <c r="DY321" s="16" t="n"/>
      <c r="DZ321" s="16" t="n"/>
    </row>
    <row r="322">
      <c r="BS322" s="16" t="n"/>
      <c r="BT322" s="16" t="n"/>
      <c r="BU322" s="16" t="n">
        <v>0.957704</v>
      </c>
      <c r="BV322" s="16" t="n">
        <v>494.595822</v>
      </c>
      <c r="BW322" s="16" t="n"/>
      <c r="BX322" s="16" t="n"/>
      <c r="BY322" s="16" t="n"/>
      <c r="BZ322" s="16" t="n"/>
      <c r="CA322" s="16" t="n">
        <v>0.957704</v>
      </c>
      <c r="CB322" s="16" t="n">
        <v>302.558442</v>
      </c>
      <c r="CC322" s="16" t="n"/>
      <c r="CD322" s="16" t="n"/>
      <c r="CE322" s="16" t="n"/>
      <c r="CF322" s="16" t="n"/>
      <c r="CG322" s="16" t="n">
        <v>0.957704</v>
      </c>
      <c r="CH322" s="16" t="n">
        <v>4840.223104</v>
      </c>
      <c r="CI322" s="16" t="n"/>
      <c r="CJ322" s="16" t="n"/>
      <c r="CK322" s="16" t="n"/>
      <c r="CL322" s="16" t="n"/>
      <c r="CM322" s="16" t="n">
        <v>0.957704</v>
      </c>
      <c r="CN322" s="16" t="n">
        <v>1431.580174</v>
      </c>
      <c r="CO322" s="16" t="n"/>
      <c r="CP322" s="16" t="n"/>
      <c r="CQ322" s="16" t="n"/>
      <c r="CR322" s="16" t="n"/>
      <c r="CS322" s="16" t="n">
        <v>0.957704</v>
      </c>
      <c r="CT322" s="16" t="n">
        <v>0.836751</v>
      </c>
      <c r="CU322" s="16" t="n"/>
      <c r="CV322" s="16" t="n"/>
      <c r="CW322" s="16" t="n"/>
      <c r="CX322" s="16" t="n"/>
      <c r="CY322" s="16" t="n">
        <v>0.957704</v>
      </c>
      <c r="CZ322" s="16" t="n">
        <v>0.912395</v>
      </c>
      <c r="DA322" s="16" t="n"/>
      <c r="DB322" s="16" t="n"/>
      <c r="DC322" s="16" t="n"/>
      <c r="DD322" s="16" t="n"/>
      <c r="DE322" s="16" t="n">
        <v>0.957704</v>
      </c>
      <c r="DF322" s="16" t="n">
        <v>0.889809</v>
      </c>
      <c r="DG322" s="16" t="n"/>
      <c r="DH322" s="16" t="n"/>
      <c r="DI322" s="16" t="n"/>
      <c r="DJ322" s="16" t="n"/>
      <c r="DK322" s="16" t="n">
        <v>0.957704</v>
      </c>
      <c r="DL322" s="16" t="n">
        <v>0.93745</v>
      </c>
      <c r="DM322" s="16" t="n"/>
      <c r="DN322" s="16" t="n"/>
      <c r="DO322" s="16" t="n"/>
      <c r="DP322" s="16" t="n"/>
      <c r="DQ322" s="16" t="n">
        <v>0.957704</v>
      </c>
      <c r="DR322" s="16" t="n">
        <v>0.93369</v>
      </c>
      <c r="DS322" s="16" t="n"/>
      <c r="DT322" s="16" t="n"/>
      <c r="DU322" s="16" t="n"/>
      <c r="DV322" s="16" t="n"/>
      <c r="DW322" s="16" t="n">
        <v>0.957704</v>
      </c>
      <c r="DX322" s="16" t="n">
        <v>0.923206</v>
      </c>
      <c r="DY322" s="16" t="n"/>
      <c r="DZ322" s="16" t="n"/>
    </row>
    <row r="323">
      <c r="BS323" s="16" t="n"/>
      <c r="BT323" s="16" t="n"/>
      <c r="BU323" s="16" t="n">
        <v>0.9607250000000001</v>
      </c>
      <c r="BV323" s="16" t="n">
        <v>494.6908</v>
      </c>
      <c r="BW323" s="16" t="n"/>
      <c r="BX323" s="16" t="n"/>
      <c r="BY323" s="16" t="n"/>
      <c r="BZ323" s="16" t="n"/>
      <c r="CA323" s="16" t="n">
        <v>0.9607250000000001</v>
      </c>
      <c r="CB323" s="16" t="n">
        <v>302.701482</v>
      </c>
      <c r="CC323" s="16" t="n"/>
      <c r="CD323" s="16" t="n"/>
      <c r="CE323" s="16" t="n"/>
      <c r="CF323" s="16" t="n"/>
      <c r="CG323" s="16" t="n">
        <v>0.9607250000000001</v>
      </c>
      <c r="CH323" s="16" t="n">
        <v>4863.554445</v>
      </c>
      <c r="CI323" s="16" t="n"/>
      <c r="CJ323" s="16" t="n"/>
      <c r="CK323" s="16" t="n"/>
      <c r="CL323" s="16" t="n"/>
      <c r="CM323" s="16" t="n">
        <v>0.9607250000000001</v>
      </c>
      <c r="CN323" s="16" t="n">
        <v>1438.266042</v>
      </c>
      <c r="CO323" s="16" t="n"/>
      <c r="CP323" s="16" t="n"/>
      <c r="CQ323" s="16" t="n"/>
      <c r="CR323" s="16" t="n"/>
      <c r="CS323" s="16" t="n">
        <v>0.9607250000000001</v>
      </c>
      <c r="CT323" s="16" t="n">
        <v>0.837458</v>
      </c>
      <c r="CU323" s="16" t="n"/>
      <c r="CV323" s="16" t="n"/>
      <c r="CW323" s="16" t="n"/>
      <c r="CX323" s="16" t="n"/>
      <c r="CY323" s="16" t="n">
        <v>0.9607250000000001</v>
      </c>
      <c r="CZ323" s="16" t="n">
        <v>0.913561</v>
      </c>
      <c r="DA323" s="16" t="n"/>
      <c r="DB323" s="16" t="n"/>
      <c r="DC323" s="16" t="n"/>
      <c r="DD323" s="16" t="n"/>
      <c r="DE323" s="16" t="n">
        <v>0.9607250000000001</v>
      </c>
      <c r="DF323" s="16" t="n">
        <v>0.890577</v>
      </c>
      <c r="DG323" s="16" t="n"/>
      <c r="DH323" s="16" t="n"/>
      <c r="DI323" s="16" t="n"/>
      <c r="DJ323" s="16" t="n"/>
      <c r="DK323" s="16" t="n">
        <v>0.9607250000000001</v>
      </c>
      <c r="DL323" s="16" t="n">
        <v>0.937751</v>
      </c>
      <c r="DM323" s="16" t="n"/>
      <c r="DN323" s="16" t="n"/>
      <c r="DO323" s="16" t="n"/>
      <c r="DP323" s="16" t="n"/>
      <c r="DQ323" s="16" t="n">
        <v>0.9607250000000001</v>
      </c>
      <c r="DR323" s="16" t="n">
        <v>0.933917</v>
      </c>
      <c r="DS323" s="16" t="n"/>
      <c r="DT323" s="16" t="n"/>
      <c r="DU323" s="16" t="n"/>
      <c r="DV323" s="16" t="n"/>
      <c r="DW323" s="16" t="n">
        <v>0.9607250000000001</v>
      </c>
      <c r="DX323" s="16" t="n">
        <v>0.9236799999999999</v>
      </c>
      <c r="DY323" s="16" t="n"/>
      <c r="DZ323" s="16" t="n"/>
    </row>
    <row r="324">
      <c r="BS324" s="16" t="n"/>
      <c r="BT324" s="16" t="n"/>
      <c r="BU324" s="16" t="n">
        <v>0.963746</v>
      </c>
      <c r="BV324" s="16" t="n">
        <v>495.408136</v>
      </c>
      <c r="BW324" s="16" t="n"/>
      <c r="BX324" s="16" t="n"/>
      <c r="BY324" s="16" t="n"/>
      <c r="BZ324" s="16" t="n"/>
      <c r="CA324" s="16" t="n">
        <v>0.963746</v>
      </c>
      <c r="CB324" s="16" t="n">
        <v>302.722989</v>
      </c>
      <c r="CC324" s="16" t="n"/>
      <c r="CD324" s="16" t="n"/>
      <c r="CE324" s="16" t="n"/>
      <c r="CF324" s="16" t="n"/>
      <c r="CG324" s="16" t="n">
        <v>0.963746</v>
      </c>
      <c r="CH324" s="16" t="n">
        <v>4866.228647</v>
      </c>
      <c r="CI324" s="16" t="n"/>
      <c r="CJ324" s="16" t="n"/>
      <c r="CK324" s="16" t="n"/>
      <c r="CL324" s="16" t="n"/>
      <c r="CM324" s="16" t="n">
        <v>0.963746</v>
      </c>
      <c r="CN324" s="16" t="n">
        <v>1444.120101</v>
      </c>
      <c r="CO324" s="16" t="n"/>
      <c r="CP324" s="16" t="n"/>
      <c r="CQ324" s="16" t="n"/>
      <c r="CR324" s="16" t="n"/>
      <c r="CS324" s="16" t="n">
        <v>0.963746</v>
      </c>
      <c r="CT324" s="16" t="n">
        <v>0.838358</v>
      </c>
      <c r="CU324" s="16" t="n"/>
      <c r="CV324" s="16" t="n"/>
      <c r="CW324" s="16" t="n"/>
      <c r="CX324" s="16" t="n"/>
      <c r="CY324" s="16" t="n">
        <v>0.963746</v>
      </c>
      <c r="CZ324" s="16" t="n">
        <v>0.913805</v>
      </c>
      <c r="DA324" s="16" t="n"/>
      <c r="DB324" s="16" t="n"/>
      <c r="DC324" s="16" t="n"/>
      <c r="DD324" s="16" t="n"/>
      <c r="DE324" s="16" t="n">
        <v>0.963746</v>
      </c>
      <c r="DF324" s="16" t="n">
        <v>0.891224</v>
      </c>
      <c r="DG324" s="16" t="n"/>
      <c r="DH324" s="16" t="n"/>
      <c r="DI324" s="16" t="n"/>
      <c r="DJ324" s="16" t="n"/>
      <c r="DK324" s="16" t="n">
        <v>0.963746</v>
      </c>
      <c r="DL324" s="16" t="n">
        <v>0.937972</v>
      </c>
      <c r="DM324" s="16" t="n"/>
      <c r="DN324" s="16" t="n"/>
      <c r="DO324" s="16" t="n"/>
      <c r="DP324" s="16" t="n"/>
      <c r="DQ324" s="16" t="n">
        <v>0.963746</v>
      </c>
      <c r="DR324" s="16" t="n">
        <v>0.934927</v>
      </c>
      <c r="DS324" s="16" t="n"/>
      <c r="DT324" s="16" t="n"/>
      <c r="DU324" s="16" t="n"/>
      <c r="DV324" s="16" t="n"/>
      <c r="DW324" s="16" t="n">
        <v>0.963746</v>
      </c>
      <c r="DX324" s="16" t="n">
        <v>0.927168</v>
      </c>
      <c r="DY324" s="16" t="n"/>
      <c r="DZ324" s="16" t="n"/>
    </row>
    <row r="325">
      <c r="BS325" s="16" t="n"/>
      <c r="BT325" s="16" t="n"/>
      <c r="BU325" s="16" t="n">
        <v>0.966767</v>
      </c>
      <c r="BV325" s="16" t="n">
        <v>495.703437</v>
      </c>
      <c r="BW325" s="16" t="n"/>
      <c r="BX325" s="16" t="n"/>
      <c r="BY325" s="16" t="n"/>
      <c r="BZ325" s="16" t="n"/>
      <c r="CA325" s="16" t="n">
        <v>0.966767</v>
      </c>
      <c r="CB325" s="16" t="n">
        <v>302.765444</v>
      </c>
      <c r="CC325" s="16" t="n"/>
      <c r="CD325" s="16" t="n"/>
      <c r="CE325" s="16" t="n"/>
      <c r="CF325" s="16" t="n"/>
      <c r="CG325" s="16" t="n">
        <v>0.966767</v>
      </c>
      <c r="CH325" s="16" t="n">
        <v>4870.94886</v>
      </c>
      <c r="CI325" s="16" t="n"/>
      <c r="CJ325" s="16" t="n"/>
      <c r="CK325" s="16" t="n"/>
      <c r="CL325" s="16" t="n"/>
      <c r="CM325" s="16" t="n">
        <v>0.966767</v>
      </c>
      <c r="CN325" s="16" t="n">
        <v>1445.711245</v>
      </c>
      <c r="CO325" s="16" t="n"/>
      <c r="CP325" s="16" t="n"/>
      <c r="CQ325" s="16" t="n"/>
      <c r="CR325" s="16" t="n"/>
      <c r="CS325" s="16" t="n">
        <v>0.966767</v>
      </c>
      <c r="CT325" s="16" t="n">
        <v>0.838361</v>
      </c>
      <c r="CU325" s="16" t="n"/>
      <c r="CV325" s="16" t="n"/>
      <c r="CW325" s="16" t="n"/>
      <c r="CX325" s="16" t="n"/>
      <c r="CY325" s="16" t="n">
        <v>0.966767</v>
      </c>
      <c r="CZ325" s="16" t="n">
        <v>0.914395</v>
      </c>
      <c r="DA325" s="16" t="n"/>
      <c r="DB325" s="16" t="n"/>
      <c r="DC325" s="16" t="n"/>
      <c r="DD325" s="16" t="n"/>
      <c r="DE325" s="16" t="n">
        <v>0.966767</v>
      </c>
      <c r="DF325" s="16" t="n">
        <v>0.892326</v>
      </c>
      <c r="DG325" s="16" t="n"/>
      <c r="DH325" s="16" t="n"/>
      <c r="DI325" s="16" t="n"/>
      <c r="DJ325" s="16" t="n"/>
      <c r="DK325" s="16" t="n">
        <v>0.966767</v>
      </c>
      <c r="DL325" s="16" t="n">
        <v>0.939207</v>
      </c>
      <c r="DM325" s="16" t="n"/>
      <c r="DN325" s="16" t="n"/>
      <c r="DO325" s="16" t="n"/>
      <c r="DP325" s="16" t="n"/>
      <c r="DQ325" s="16" t="n">
        <v>0.966767</v>
      </c>
      <c r="DR325" s="16" t="n">
        <v>0.936306</v>
      </c>
      <c r="DS325" s="16" t="n"/>
      <c r="DT325" s="16" t="n"/>
      <c r="DU325" s="16" t="n"/>
      <c r="DV325" s="16" t="n"/>
      <c r="DW325" s="16" t="n">
        <v>0.966767</v>
      </c>
      <c r="DX325" s="16" t="n">
        <v>0.928925</v>
      </c>
      <c r="DY325" s="16" t="n"/>
      <c r="DZ325" s="16" t="n"/>
    </row>
    <row r="326">
      <c r="BS326" s="16" t="n"/>
      <c r="BT326" s="16" t="n"/>
      <c r="BU326" s="16" t="n">
        <v>0.969789</v>
      </c>
      <c r="BV326" s="16" t="n">
        <v>496.158192</v>
      </c>
      <c r="BW326" s="16" t="n"/>
      <c r="BX326" s="16" t="n"/>
      <c r="BY326" s="16" t="n"/>
      <c r="BZ326" s="16" t="n"/>
      <c r="CA326" s="16" t="n">
        <v>0.969789</v>
      </c>
      <c r="CB326" s="16" t="n">
        <v>302.878399</v>
      </c>
      <c r="CC326" s="16" t="n"/>
      <c r="CD326" s="16" t="n"/>
      <c r="CE326" s="16" t="n"/>
      <c r="CF326" s="16" t="n"/>
      <c r="CG326" s="16" t="n">
        <v>0.969789</v>
      </c>
      <c r="CH326" s="16" t="n">
        <v>4875.263784</v>
      </c>
      <c r="CI326" s="16" t="n"/>
      <c r="CJ326" s="16" t="n"/>
      <c r="CK326" s="16" t="n"/>
      <c r="CL326" s="16" t="n"/>
      <c r="CM326" s="16" t="n">
        <v>0.969789</v>
      </c>
      <c r="CN326" s="16" t="n">
        <v>1448.885244</v>
      </c>
      <c r="CO326" s="16" t="n"/>
      <c r="CP326" s="16" t="n"/>
      <c r="CQ326" s="16" t="n"/>
      <c r="CR326" s="16" t="n"/>
      <c r="CS326" s="16" t="n">
        <v>0.969789</v>
      </c>
      <c r="CT326" s="16" t="n">
        <v>0.839919</v>
      </c>
      <c r="CU326" s="16" t="n"/>
      <c r="CV326" s="16" t="n"/>
      <c r="CW326" s="16" t="n"/>
      <c r="CX326" s="16" t="n"/>
      <c r="CY326" s="16" t="n">
        <v>0.969789</v>
      </c>
      <c r="CZ326" s="16" t="n">
        <v>0.914991</v>
      </c>
      <c r="DA326" s="16" t="n"/>
      <c r="DB326" s="16" t="n"/>
      <c r="DC326" s="16" t="n"/>
      <c r="DD326" s="16" t="n"/>
      <c r="DE326" s="16" t="n">
        <v>0.969789</v>
      </c>
      <c r="DF326" s="16" t="n">
        <v>0.892564</v>
      </c>
      <c r="DG326" s="16" t="n"/>
      <c r="DH326" s="16" t="n"/>
      <c r="DI326" s="16" t="n"/>
      <c r="DJ326" s="16" t="n"/>
      <c r="DK326" s="16" t="n">
        <v>0.969789</v>
      </c>
      <c r="DL326" s="16" t="n">
        <v>0.939575</v>
      </c>
      <c r="DM326" s="16" t="n"/>
      <c r="DN326" s="16" t="n"/>
      <c r="DO326" s="16" t="n"/>
      <c r="DP326" s="16" t="n"/>
      <c r="DQ326" s="16" t="n">
        <v>0.969789</v>
      </c>
      <c r="DR326" s="16" t="n">
        <v>0.93645</v>
      </c>
      <c r="DS326" s="16" t="n"/>
      <c r="DT326" s="16" t="n"/>
      <c r="DU326" s="16" t="n"/>
      <c r="DV326" s="16" t="n"/>
      <c r="DW326" s="16" t="n">
        <v>0.969789</v>
      </c>
      <c r="DX326" s="16" t="n">
        <v>0.929207</v>
      </c>
      <c r="DY326" s="16" t="n"/>
      <c r="DZ326" s="16" t="n"/>
    </row>
    <row r="327">
      <c r="BS327" s="16" t="n"/>
      <c r="BT327" s="16" t="n"/>
      <c r="BU327" s="16" t="n">
        <v>0.97281</v>
      </c>
      <c r="BV327" s="16" t="n">
        <v>496.944672</v>
      </c>
      <c r="BW327" s="16" t="n"/>
      <c r="BX327" s="16" t="n"/>
      <c r="BY327" s="16" t="n"/>
      <c r="BZ327" s="16" t="n"/>
      <c r="CA327" s="16" t="n">
        <v>0.97281</v>
      </c>
      <c r="CB327" s="16" t="n">
        <v>302.939092</v>
      </c>
      <c r="CC327" s="16" t="n"/>
      <c r="CD327" s="16" t="n"/>
      <c r="CE327" s="16" t="n"/>
      <c r="CF327" s="16" t="n"/>
      <c r="CG327" s="16" t="n">
        <v>0.97281</v>
      </c>
      <c r="CH327" s="16" t="n">
        <v>4880.511874</v>
      </c>
      <c r="CI327" s="16" t="n"/>
      <c r="CJ327" s="16" t="n"/>
      <c r="CK327" s="16" t="n"/>
      <c r="CL327" s="16" t="n"/>
      <c r="CM327" s="16" t="n">
        <v>0.97281</v>
      </c>
      <c r="CN327" s="16" t="n">
        <v>1459.893669</v>
      </c>
      <c r="CO327" s="16" t="n"/>
      <c r="CP327" s="16" t="n"/>
      <c r="CQ327" s="16" t="n"/>
      <c r="CR327" s="16" t="n"/>
      <c r="CS327" s="16" t="n">
        <v>0.97281</v>
      </c>
      <c r="CT327" s="16" t="n">
        <v>0.840844</v>
      </c>
      <c r="CU327" s="16" t="n"/>
      <c r="CV327" s="16" t="n"/>
      <c r="CW327" s="16" t="n"/>
      <c r="CX327" s="16" t="n"/>
      <c r="CY327" s="16" t="n">
        <v>0.97281</v>
      </c>
      <c r="CZ327" s="16" t="n">
        <v>0.915154</v>
      </c>
      <c r="DA327" s="16" t="n"/>
      <c r="DB327" s="16" t="n"/>
      <c r="DC327" s="16" t="n"/>
      <c r="DD327" s="16" t="n"/>
      <c r="DE327" s="16" t="n">
        <v>0.97281</v>
      </c>
      <c r="DF327" s="16" t="n">
        <v>0.892699</v>
      </c>
      <c r="DG327" s="16" t="n"/>
      <c r="DH327" s="16" t="n"/>
      <c r="DI327" s="16" t="n"/>
      <c r="DJ327" s="16" t="n"/>
      <c r="DK327" s="16" t="n">
        <v>0.97281</v>
      </c>
      <c r="DL327" s="16" t="n">
        <v>0.939886</v>
      </c>
      <c r="DM327" s="16" t="n"/>
      <c r="DN327" s="16" t="n"/>
      <c r="DO327" s="16" t="n"/>
      <c r="DP327" s="16" t="n"/>
      <c r="DQ327" s="16" t="n">
        <v>0.97281</v>
      </c>
      <c r="DR327" s="16" t="n">
        <v>0.937541</v>
      </c>
      <c r="DS327" s="16" t="n"/>
      <c r="DT327" s="16" t="n"/>
      <c r="DU327" s="16" t="n"/>
      <c r="DV327" s="16" t="n"/>
      <c r="DW327" s="16" t="n">
        <v>0.97281</v>
      </c>
      <c r="DX327" s="16" t="n">
        <v>0.931123</v>
      </c>
      <c r="DY327" s="16" t="n"/>
      <c r="DZ327" s="16" t="n"/>
    </row>
    <row r="328">
      <c r="BS328" s="16" t="n"/>
      <c r="BT328" s="16" t="n"/>
      <c r="BU328" s="16" t="n">
        <v>0.975831</v>
      </c>
      <c r="BV328" s="16" t="n">
        <v>497.154616</v>
      </c>
      <c r="BW328" s="16" t="n"/>
      <c r="BX328" s="16" t="n"/>
      <c r="BY328" s="16" t="n"/>
      <c r="BZ328" s="16" t="n"/>
      <c r="CA328" s="16" t="n">
        <v>0.975831</v>
      </c>
      <c r="CB328" s="16" t="n">
        <v>303.026376</v>
      </c>
      <c r="CC328" s="16" t="n"/>
      <c r="CD328" s="16" t="n"/>
      <c r="CE328" s="16" t="n"/>
      <c r="CF328" s="16" t="n"/>
      <c r="CG328" s="16" t="n">
        <v>0.975831</v>
      </c>
      <c r="CH328" s="16" t="n">
        <v>4887.596703</v>
      </c>
      <c r="CI328" s="16" t="n"/>
      <c r="CJ328" s="16" t="n"/>
      <c r="CK328" s="16" t="n"/>
      <c r="CL328" s="16" t="n"/>
      <c r="CM328" s="16" t="n">
        <v>0.975831</v>
      </c>
      <c r="CN328" s="16" t="n">
        <v>1471.103642</v>
      </c>
      <c r="CO328" s="16" t="n"/>
      <c r="CP328" s="16" t="n"/>
      <c r="CQ328" s="16" t="n"/>
      <c r="CR328" s="16" t="n"/>
      <c r="CS328" s="16" t="n">
        <v>0.975831</v>
      </c>
      <c r="CT328" s="16" t="n">
        <v>0.841279</v>
      </c>
      <c r="CU328" s="16" t="n"/>
      <c r="CV328" s="16" t="n"/>
      <c r="CW328" s="16" t="n"/>
      <c r="CX328" s="16" t="n"/>
      <c r="CY328" s="16" t="n">
        <v>0.975831</v>
      </c>
      <c r="CZ328" s="16" t="n">
        <v>0.91587</v>
      </c>
      <c r="DA328" s="16" t="n"/>
      <c r="DB328" s="16" t="n"/>
      <c r="DC328" s="16" t="n"/>
      <c r="DD328" s="16" t="n"/>
      <c r="DE328" s="16" t="n">
        <v>0.975831</v>
      </c>
      <c r="DF328" s="16" t="n">
        <v>0.893428</v>
      </c>
      <c r="DG328" s="16" t="n"/>
      <c r="DH328" s="16" t="n"/>
      <c r="DI328" s="16" t="n"/>
      <c r="DJ328" s="16" t="n"/>
      <c r="DK328" s="16" t="n">
        <v>0.975831</v>
      </c>
      <c r="DL328" s="16" t="n">
        <v>0.942028</v>
      </c>
      <c r="DM328" s="16" t="n"/>
      <c r="DN328" s="16" t="n"/>
      <c r="DO328" s="16" t="n"/>
      <c r="DP328" s="16" t="n"/>
      <c r="DQ328" s="16" t="n">
        <v>0.975831</v>
      </c>
      <c r="DR328" s="16" t="n">
        <v>0.939849</v>
      </c>
      <c r="DS328" s="16" t="n"/>
      <c r="DT328" s="16" t="n"/>
      <c r="DU328" s="16" t="n"/>
      <c r="DV328" s="16" t="n"/>
      <c r="DW328" s="16" t="n">
        <v>0.975831</v>
      </c>
      <c r="DX328" s="16" t="n">
        <v>0.933617</v>
      </c>
      <c r="DY328" s="16" t="n"/>
      <c r="DZ328" s="16" t="n"/>
    </row>
    <row r="329">
      <c r="BS329" s="16" t="n"/>
      <c r="BT329" s="16" t="n"/>
      <c r="BU329" s="16" t="n">
        <v>0.9788520000000001</v>
      </c>
      <c r="BV329" s="16" t="n">
        <v>497.618144</v>
      </c>
      <c r="BW329" s="16" t="n"/>
      <c r="BX329" s="16" t="n"/>
      <c r="BY329" s="16" t="n"/>
      <c r="BZ329" s="16" t="n"/>
      <c r="CA329" s="16" t="n">
        <v>0.9788520000000001</v>
      </c>
      <c r="CB329" s="16" t="n">
        <v>303.122505</v>
      </c>
      <c r="CC329" s="16" t="n"/>
      <c r="CD329" s="16" t="n"/>
      <c r="CE329" s="16" t="n"/>
      <c r="CF329" s="16" t="n"/>
      <c r="CG329" s="16" t="n">
        <v>0.9788520000000001</v>
      </c>
      <c r="CH329" s="16" t="n">
        <v>4897.460721</v>
      </c>
      <c r="CI329" s="16" t="n"/>
      <c r="CJ329" s="16" t="n"/>
      <c r="CK329" s="16" t="n"/>
      <c r="CL329" s="16" t="n"/>
      <c r="CM329" s="16" t="n">
        <v>0.9788520000000001</v>
      </c>
      <c r="CN329" s="16" t="n">
        <v>1472.987917</v>
      </c>
      <c r="CO329" s="16" t="n"/>
      <c r="CP329" s="16" t="n"/>
      <c r="CQ329" s="16" t="n"/>
      <c r="CR329" s="16" t="n"/>
      <c r="CS329" s="16" t="n">
        <v>0.9788520000000001</v>
      </c>
      <c r="CT329" s="16" t="n">
        <v>0.8417750000000001</v>
      </c>
      <c r="CU329" s="16" t="n"/>
      <c r="CV329" s="16" t="n"/>
      <c r="CW329" s="16" t="n"/>
      <c r="CX329" s="16" t="n"/>
      <c r="CY329" s="16" t="n">
        <v>0.9788520000000001</v>
      </c>
      <c r="CZ329" s="16" t="n">
        <v>0.916316</v>
      </c>
      <c r="DA329" s="16" t="n"/>
      <c r="DB329" s="16" t="n"/>
      <c r="DC329" s="16" t="n"/>
      <c r="DD329" s="16" t="n"/>
      <c r="DE329" s="16" t="n">
        <v>0.9788520000000001</v>
      </c>
      <c r="DF329" s="16" t="n">
        <v>0.89566</v>
      </c>
      <c r="DG329" s="16" t="n"/>
      <c r="DH329" s="16" t="n"/>
      <c r="DI329" s="16" t="n"/>
      <c r="DJ329" s="16" t="n"/>
      <c r="DK329" s="16" t="n">
        <v>0.9788520000000001</v>
      </c>
      <c r="DL329" s="16" t="n">
        <v>0.942354</v>
      </c>
      <c r="DM329" s="16" t="n"/>
      <c r="DN329" s="16" t="n"/>
      <c r="DO329" s="16" t="n"/>
      <c r="DP329" s="16" t="n"/>
      <c r="DQ329" s="16" t="n">
        <v>0.9788520000000001</v>
      </c>
      <c r="DR329" s="16" t="n">
        <v>0.940292</v>
      </c>
      <c r="DS329" s="16" t="n"/>
      <c r="DT329" s="16" t="n"/>
      <c r="DU329" s="16" t="n"/>
      <c r="DV329" s="16" t="n"/>
      <c r="DW329" s="16" t="n">
        <v>0.9788520000000001</v>
      </c>
      <c r="DX329" s="16" t="n">
        <v>0.935922</v>
      </c>
      <c r="DY329" s="16" t="n"/>
      <c r="DZ329" s="16" t="n"/>
    </row>
    <row r="330">
      <c r="BS330" s="16" t="n"/>
      <c r="BT330" s="16" t="n"/>
      <c r="BU330" s="16" t="n">
        <v>0.981873</v>
      </c>
      <c r="BV330" s="16" t="n">
        <v>497.643198</v>
      </c>
      <c r="BW330" s="16" t="n"/>
      <c r="BX330" s="16" t="n"/>
      <c r="BY330" s="16" t="n"/>
      <c r="BZ330" s="16" t="n"/>
      <c r="CA330" s="16" t="n">
        <v>0.981873</v>
      </c>
      <c r="CB330" s="16" t="n">
        <v>303.141759</v>
      </c>
      <c r="CC330" s="16" t="n"/>
      <c r="CD330" s="16" t="n"/>
      <c r="CE330" s="16" t="n"/>
      <c r="CF330" s="16" t="n"/>
      <c r="CG330" s="16" t="n">
        <v>0.981873</v>
      </c>
      <c r="CH330" s="16" t="n">
        <v>4928.023438</v>
      </c>
      <c r="CI330" s="16" t="n"/>
      <c r="CJ330" s="16" t="n"/>
      <c r="CK330" s="16" t="n"/>
      <c r="CL330" s="16" t="n"/>
      <c r="CM330" s="16" t="n">
        <v>0.981873</v>
      </c>
      <c r="CN330" s="16" t="n">
        <v>1477.966903</v>
      </c>
      <c r="CO330" s="16" t="n"/>
      <c r="CP330" s="16" t="n"/>
      <c r="CQ330" s="16" t="n"/>
      <c r="CR330" s="16" t="n"/>
      <c r="CS330" s="16" t="n">
        <v>0.981873</v>
      </c>
      <c r="CT330" s="16" t="n">
        <v>0.843336</v>
      </c>
      <c r="CU330" s="16" t="n"/>
      <c r="CV330" s="16" t="n"/>
      <c r="CW330" s="16" t="n"/>
      <c r="CX330" s="16" t="n"/>
      <c r="CY330" s="16" t="n">
        <v>0.981873</v>
      </c>
      <c r="CZ330" s="16" t="n">
        <v>0.91716</v>
      </c>
      <c r="DA330" s="16" t="n"/>
      <c r="DB330" s="16" t="n"/>
      <c r="DC330" s="16" t="n"/>
      <c r="DD330" s="16" t="n"/>
      <c r="DE330" s="16" t="n">
        <v>0.981873</v>
      </c>
      <c r="DF330" s="16" t="n">
        <v>0.89717</v>
      </c>
      <c r="DG330" s="16" t="n"/>
      <c r="DH330" s="16" t="n"/>
      <c r="DI330" s="16" t="n"/>
      <c r="DJ330" s="16" t="n"/>
      <c r="DK330" s="16" t="n">
        <v>0.981873</v>
      </c>
      <c r="DL330" s="16" t="n">
        <v>0.943345</v>
      </c>
      <c r="DM330" s="16" t="n"/>
      <c r="DN330" s="16" t="n"/>
      <c r="DO330" s="16" t="n"/>
      <c r="DP330" s="16" t="n"/>
      <c r="DQ330" s="16" t="n">
        <v>0.981873</v>
      </c>
      <c r="DR330" s="16" t="n">
        <v>0.94279</v>
      </c>
      <c r="DS330" s="16" t="n"/>
      <c r="DT330" s="16" t="n"/>
      <c r="DU330" s="16" t="n"/>
      <c r="DV330" s="16" t="n"/>
      <c r="DW330" s="16" t="n">
        <v>0.981873</v>
      </c>
      <c r="DX330" s="16" t="n">
        <v>0.937107</v>
      </c>
      <c r="DY330" s="16" t="n"/>
      <c r="DZ330" s="16" t="n"/>
    </row>
    <row r="331">
      <c r="BS331" s="16" t="n"/>
      <c r="BT331" s="16" t="n"/>
      <c r="BU331" s="16" t="n">
        <v>0.984894</v>
      </c>
      <c r="BV331" s="16" t="n">
        <v>498.561237</v>
      </c>
      <c r="BW331" s="16" t="n"/>
      <c r="BX331" s="16" t="n"/>
      <c r="BY331" s="16" t="n"/>
      <c r="BZ331" s="16" t="n"/>
      <c r="CA331" s="16" t="n">
        <v>0.984894</v>
      </c>
      <c r="CB331" s="16" t="n">
        <v>303.252067</v>
      </c>
      <c r="CC331" s="16" t="n"/>
      <c r="CD331" s="16" t="n"/>
      <c r="CE331" s="16" t="n"/>
      <c r="CF331" s="16" t="n"/>
      <c r="CG331" s="16" t="n">
        <v>0.984894</v>
      </c>
      <c r="CH331" s="16" t="n">
        <v>4960.171893</v>
      </c>
      <c r="CI331" s="16" t="n"/>
      <c r="CJ331" s="16" t="n"/>
      <c r="CK331" s="16" t="n"/>
      <c r="CL331" s="16" t="n"/>
      <c r="CM331" s="16" t="n">
        <v>0.984894</v>
      </c>
      <c r="CN331" s="16" t="n">
        <v>1483.107052</v>
      </c>
      <c r="CO331" s="16" t="n"/>
      <c r="CP331" s="16" t="n"/>
      <c r="CQ331" s="16" t="n"/>
      <c r="CR331" s="16" t="n"/>
      <c r="CS331" s="16" t="n">
        <v>0.984894</v>
      </c>
      <c r="CT331" s="16" t="n">
        <v>0.84401</v>
      </c>
      <c r="CU331" s="16" t="n"/>
      <c r="CV331" s="16" t="n"/>
      <c r="CW331" s="16" t="n"/>
      <c r="CX331" s="16" t="n"/>
      <c r="CY331" s="16" t="n">
        <v>0.984894</v>
      </c>
      <c r="CZ331" s="16" t="n">
        <v>0.91736</v>
      </c>
      <c r="DA331" s="16" t="n"/>
      <c r="DB331" s="16" t="n"/>
      <c r="DC331" s="16" t="n"/>
      <c r="DD331" s="16" t="n"/>
      <c r="DE331" s="16" t="n">
        <v>0.984894</v>
      </c>
      <c r="DF331" s="16" t="n">
        <v>0.897355</v>
      </c>
      <c r="DG331" s="16" t="n"/>
      <c r="DH331" s="16" t="n"/>
      <c r="DI331" s="16" t="n"/>
      <c r="DJ331" s="16" t="n"/>
      <c r="DK331" s="16" t="n">
        <v>0.984894</v>
      </c>
      <c r="DL331" s="16" t="n">
        <v>0.943369</v>
      </c>
      <c r="DM331" s="16" t="n"/>
      <c r="DN331" s="16" t="n"/>
      <c r="DO331" s="16" t="n"/>
      <c r="DP331" s="16" t="n"/>
      <c r="DQ331" s="16" t="n">
        <v>0.984894</v>
      </c>
      <c r="DR331" s="16" t="n">
        <v>0.9435170000000001</v>
      </c>
      <c r="DS331" s="16" t="n"/>
      <c r="DT331" s="16" t="n"/>
      <c r="DU331" s="16" t="n"/>
      <c r="DV331" s="16" t="n"/>
      <c r="DW331" s="16" t="n">
        <v>0.984894</v>
      </c>
      <c r="DX331" s="16" t="n">
        <v>0.937115</v>
      </c>
      <c r="DY331" s="16" t="n"/>
      <c r="DZ331" s="16" t="n"/>
    </row>
    <row r="332">
      <c r="BS332" s="16" t="n"/>
      <c r="BT332" s="16" t="n"/>
      <c r="BU332" s="16" t="n">
        <v>0.987915</v>
      </c>
      <c r="BV332" s="16" t="n">
        <v>498.731878</v>
      </c>
      <c r="BW332" s="16" t="n"/>
      <c r="BX332" s="16" t="n"/>
      <c r="BY332" s="16" t="n"/>
      <c r="BZ332" s="16" t="n"/>
      <c r="CA332" s="16" t="n">
        <v>0.987915</v>
      </c>
      <c r="CB332" s="16" t="n">
        <v>303.269638</v>
      </c>
      <c r="CC332" s="16" t="n"/>
      <c r="CD332" s="16" t="n"/>
      <c r="CE332" s="16" t="n"/>
      <c r="CF332" s="16" t="n"/>
      <c r="CG332" s="16" t="n">
        <v>0.987915</v>
      </c>
      <c r="CH332" s="16" t="n">
        <v>4975.893732</v>
      </c>
      <c r="CI332" s="16" t="n"/>
      <c r="CJ332" s="16" t="n"/>
      <c r="CK332" s="16" t="n"/>
      <c r="CL332" s="16" t="n"/>
      <c r="CM332" s="16" t="n">
        <v>0.987915</v>
      </c>
      <c r="CN332" s="16" t="n">
        <v>1484.624381</v>
      </c>
      <c r="CO332" s="16" t="n"/>
      <c r="CP332" s="16" t="n"/>
      <c r="CQ332" s="16" t="n"/>
      <c r="CR332" s="16" t="n"/>
      <c r="CS332" s="16" t="n">
        <v>0.987915</v>
      </c>
      <c r="CT332" s="16" t="n">
        <v>0.8448059999999999</v>
      </c>
      <c r="CU332" s="16" t="n"/>
      <c r="CV332" s="16" t="n"/>
      <c r="CW332" s="16" t="n"/>
      <c r="CX332" s="16" t="n"/>
      <c r="CY332" s="16" t="n">
        <v>0.987915</v>
      </c>
      <c r="CZ332" s="16" t="n">
        <v>0.917411</v>
      </c>
      <c r="DA332" s="16" t="n"/>
      <c r="DB332" s="16" t="n"/>
      <c r="DC332" s="16" t="n"/>
      <c r="DD332" s="16" t="n"/>
      <c r="DE332" s="16" t="n">
        <v>0.987915</v>
      </c>
      <c r="DF332" s="16" t="n">
        <v>0.8981170000000001</v>
      </c>
      <c r="DG332" s="16" t="n"/>
      <c r="DH332" s="16" t="n"/>
      <c r="DI332" s="16" t="n"/>
      <c r="DJ332" s="16" t="n"/>
      <c r="DK332" s="16" t="n">
        <v>0.987915</v>
      </c>
      <c r="DL332" s="16" t="n">
        <v>0.944757</v>
      </c>
      <c r="DM332" s="16" t="n"/>
      <c r="DN332" s="16" t="n"/>
      <c r="DO332" s="16" t="n"/>
      <c r="DP332" s="16" t="n"/>
      <c r="DQ332" s="16" t="n">
        <v>0.987915</v>
      </c>
      <c r="DR332" s="16" t="n">
        <v>0.944597</v>
      </c>
      <c r="DS332" s="16" t="n"/>
      <c r="DT332" s="16" t="n"/>
      <c r="DU332" s="16" t="n"/>
      <c r="DV332" s="16" t="n"/>
      <c r="DW332" s="16" t="n">
        <v>0.987915</v>
      </c>
      <c r="DX332" s="16" t="n">
        <v>0.937613</v>
      </c>
      <c r="DY332" s="16" t="n"/>
      <c r="DZ332" s="16" t="n"/>
    </row>
    <row r="333">
      <c r="BS333" s="16" t="n"/>
      <c r="BT333" s="16" t="n"/>
      <c r="BU333" s="16" t="n">
        <v>0.990937</v>
      </c>
      <c r="BV333" s="16" t="n">
        <v>499.102721</v>
      </c>
      <c r="BW333" s="16" t="n"/>
      <c r="BX333" s="16" t="n"/>
      <c r="BY333" s="16" t="n"/>
      <c r="BZ333" s="16" t="n"/>
      <c r="CA333" s="16" t="n">
        <v>0.990937</v>
      </c>
      <c r="CB333" s="16" t="n">
        <v>303.330816</v>
      </c>
      <c r="CC333" s="16" t="n"/>
      <c r="CD333" s="16" t="n"/>
      <c r="CE333" s="16" t="n"/>
      <c r="CF333" s="16" t="n"/>
      <c r="CG333" s="16" t="n">
        <v>0.990937</v>
      </c>
      <c r="CH333" s="16" t="n">
        <v>4977.044107</v>
      </c>
      <c r="CI333" s="16" t="n"/>
      <c r="CJ333" s="16" t="n"/>
      <c r="CK333" s="16" t="n"/>
      <c r="CL333" s="16" t="n"/>
      <c r="CM333" s="16" t="n">
        <v>0.990937</v>
      </c>
      <c r="CN333" s="16" t="n">
        <v>1485.335384</v>
      </c>
      <c r="CO333" s="16" t="n"/>
      <c r="CP333" s="16" t="n"/>
      <c r="CQ333" s="16" t="n"/>
      <c r="CR333" s="16" t="n"/>
      <c r="CS333" s="16" t="n">
        <v>0.990937</v>
      </c>
      <c r="CT333" s="16" t="n">
        <v>0.844966</v>
      </c>
      <c r="CU333" s="16" t="n"/>
      <c r="CV333" s="16" t="n"/>
      <c r="CW333" s="16" t="n"/>
      <c r="CX333" s="16" t="n"/>
      <c r="CY333" s="16" t="n">
        <v>0.990937</v>
      </c>
      <c r="CZ333" s="16" t="n">
        <v>0.917891</v>
      </c>
      <c r="DA333" s="16" t="n"/>
      <c r="DB333" s="16" t="n"/>
      <c r="DC333" s="16" t="n"/>
      <c r="DD333" s="16" t="n"/>
      <c r="DE333" s="16" t="n">
        <v>0.990937</v>
      </c>
      <c r="DF333" s="16" t="n">
        <v>0.8984529999999999</v>
      </c>
      <c r="DG333" s="16" t="n"/>
      <c r="DH333" s="16" t="n"/>
      <c r="DI333" s="16" t="n"/>
      <c r="DJ333" s="16" t="n"/>
      <c r="DK333" s="16" t="n">
        <v>0.990937</v>
      </c>
      <c r="DL333" s="16" t="n">
        <v>0.94629</v>
      </c>
      <c r="DM333" s="16" t="n"/>
      <c r="DN333" s="16" t="n"/>
      <c r="DO333" s="16" t="n"/>
      <c r="DP333" s="16" t="n"/>
      <c r="DQ333" s="16" t="n">
        <v>0.990937</v>
      </c>
      <c r="DR333" s="16" t="n">
        <v>0.947367</v>
      </c>
      <c r="DS333" s="16" t="n"/>
      <c r="DT333" s="16" t="n"/>
      <c r="DU333" s="16" t="n"/>
      <c r="DV333" s="16" t="n"/>
      <c r="DW333" s="16" t="n">
        <v>0.990937</v>
      </c>
      <c r="DX333" s="16" t="n">
        <v>0.93841</v>
      </c>
      <c r="DY333" s="16" t="n"/>
      <c r="DZ333" s="16" t="n"/>
    </row>
    <row r="334">
      <c r="BS334" s="16" t="n"/>
      <c r="BT334" s="16" t="n"/>
      <c r="BU334" s="16" t="n">
        <v>0.993958</v>
      </c>
      <c r="BV334" s="16" t="n">
        <v>499.350427</v>
      </c>
      <c r="BW334" s="16" t="n"/>
      <c r="BX334" s="16" t="n"/>
      <c r="BY334" s="16" t="n"/>
      <c r="BZ334" s="16" t="n"/>
      <c r="CA334" s="16" t="n">
        <v>0.993958</v>
      </c>
      <c r="CB334" s="16" t="n">
        <v>303.403619</v>
      </c>
      <c r="CC334" s="16" t="n"/>
      <c r="CD334" s="16" t="n"/>
      <c r="CE334" s="16" t="n"/>
      <c r="CF334" s="16" t="n"/>
      <c r="CG334" s="16" t="n">
        <v>0.993958</v>
      </c>
      <c r="CH334" s="16" t="n">
        <v>4983.501169</v>
      </c>
      <c r="CI334" s="16" t="n"/>
      <c r="CJ334" s="16" t="n"/>
      <c r="CK334" s="16" t="n"/>
      <c r="CL334" s="16" t="n"/>
      <c r="CM334" s="16" t="n">
        <v>0.993958</v>
      </c>
      <c r="CN334" s="16" t="n">
        <v>1489.61025</v>
      </c>
      <c r="CO334" s="16" t="n"/>
      <c r="CP334" s="16" t="n"/>
      <c r="CQ334" s="16" t="n"/>
      <c r="CR334" s="16" t="n"/>
      <c r="CS334" s="16" t="n">
        <v>0.993958</v>
      </c>
      <c r="CT334" s="16" t="n">
        <v>0.846563</v>
      </c>
      <c r="CU334" s="16" t="n"/>
      <c r="CV334" s="16" t="n"/>
      <c r="CW334" s="16" t="n"/>
      <c r="CX334" s="16" t="n"/>
      <c r="CY334" s="16" t="n">
        <v>0.993958</v>
      </c>
      <c r="CZ334" s="16" t="n">
        <v>0.918258</v>
      </c>
      <c r="DA334" s="16" t="n"/>
      <c r="DB334" s="16" t="n"/>
      <c r="DC334" s="16" t="n"/>
      <c r="DD334" s="16" t="n"/>
      <c r="DE334" s="16" t="n">
        <v>0.993958</v>
      </c>
      <c r="DF334" s="16" t="n">
        <v>0.898602</v>
      </c>
      <c r="DG334" s="16" t="n"/>
      <c r="DH334" s="16" t="n"/>
      <c r="DI334" s="16" t="n"/>
      <c r="DJ334" s="16" t="n"/>
      <c r="DK334" s="16" t="n">
        <v>0.993958</v>
      </c>
      <c r="DL334" s="16" t="n">
        <v>0.947006</v>
      </c>
      <c r="DM334" s="16" t="n"/>
      <c r="DN334" s="16" t="n"/>
      <c r="DO334" s="16" t="n"/>
      <c r="DP334" s="16" t="n"/>
      <c r="DQ334" s="16" t="n">
        <v>0.993958</v>
      </c>
      <c r="DR334" s="16" t="n">
        <v>0.947985</v>
      </c>
      <c r="DS334" s="16" t="n"/>
      <c r="DT334" s="16" t="n"/>
      <c r="DU334" s="16" t="n"/>
      <c r="DV334" s="16" t="n"/>
      <c r="DW334" s="16" t="n">
        <v>0.993958</v>
      </c>
      <c r="DX334" s="16" t="n">
        <v>0.942482</v>
      </c>
      <c r="DY334" s="16" t="n"/>
      <c r="DZ334" s="16" t="n"/>
    </row>
    <row r="335">
      <c r="BS335" s="16" t="n"/>
      <c r="BT335" s="16" t="n"/>
      <c r="BU335" s="16" t="n">
        <v>0.9969789999999999</v>
      </c>
      <c r="BV335" s="16" t="n">
        <v>499.532816</v>
      </c>
      <c r="BW335" s="16" t="n"/>
      <c r="BX335" s="16" t="n"/>
      <c r="BY335" s="16" t="n"/>
      <c r="BZ335" s="16" t="n"/>
      <c r="CA335" s="16" t="n">
        <v>0.9969789999999999</v>
      </c>
      <c r="CB335" s="16" t="n">
        <v>303.469995</v>
      </c>
      <c r="CC335" s="16" t="n"/>
      <c r="CD335" s="16" t="n"/>
      <c r="CE335" s="16" t="n"/>
      <c r="CF335" s="16" t="n"/>
      <c r="CG335" s="16" t="n">
        <v>0.9969789999999999</v>
      </c>
      <c r="CH335" s="16" t="n">
        <v>4986.563596</v>
      </c>
      <c r="CI335" s="16" t="n"/>
      <c r="CJ335" s="16" t="n"/>
      <c r="CK335" s="16" t="n"/>
      <c r="CL335" s="16" t="n"/>
      <c r="CM335" s="16" t="n">
        <v>0.9969789999999999</v>
      </c>
      <c r="CN335" s="16" t="n">
        <v>1497.185787</v>
      </c>
      <c r="CO335" s="16" t="n"/>
      <c r="CP335" s="16" t="n"/>
      <c r="CQ335" s="16" t="n"/>
      <c r="CR335" s="16" t="n"/>
      <c r="CS335" s="16" t="n">
        <v>0.9969789999999999</v>
      </c>
      <c r="CT335" s="16" t="n">
        <v>0.847086</v>
      </c>
      <c r="CU335" s="16" t="n"/>
      <c r="CV335" s="16" t="n"/>
      <c r="CW335" s="16" t="n"/>
      <c r="CX335" s="16" t="n"/>
      <c r="CY335" s="16" t="n">
        <v>0.9969789999999999</v>
      </c>
      <c r="CZ335" s="16" t="n">
        <v>0.918619</v>
      </c>
      <c r="DA335" s="16" t="n"/>
      <c r="DB335" s="16" t="n"/>
      <c r="DC335" s="16" t="n"/>
      <c r="DD335" s="16" t="n"/>
      <c r="DE335" s="16" t="n">
        <v>0.9969789999999999</v>
      </c>
      <c r="DF335" s="16" t="n">
        <v>0.898858</v>
      </c>
      <c r="DG335" s="16" t="n"/>
      <c r="DH335" s="16" t="n"/>
      <c r="DI335" s="16" t="n"/>
      <c r="DJ335" s="16" t="n"/>
      <c r="DK335" s="16" t="n">
        <v>0.9969789999999999</v>
      </c>
      <c r="DL335" s="16" t="n">
        <v>0.947832</v>
      </c>
      <c r="DM335" s="16" t="n"/>
      <c r="DN335" s="16" t="n"/>
      <c r="DO335" s="16" t="n"/>
      <c r="DP335" s="16" t="n"/>
      <c r="DQ335" s="16" t="n">
        <v>0.9969789999999999</v>
      </c>
      <c r="DR335" s="16" t="n">
        <v>0.949157</v>
      </c>
      <c r="DS335" s="16" t="n"/>
      <c r="DT335" s="16" t="n"/>
      <c r="DU335" s="16" t="n"/>
      <c r="DV335" s="16" t="n"/>
      <c r="DW335" s="16" t="n">
        <v>0.9969789999999999</v>
      </c>
      <c r="DX335" s="16" t="n">
        <v>0.947628</v>
      </c>
      <c r="DY335" s="16" t="n"/>
      <c r="DZ335" s="16" t="n"/>
    </row>
    <row r="336">
      <c r="BS336" s="16" t="n"/>
      <c r="BT336" s="16" t="n"/>
      <c r="BU336" s="16" t="n">
        <v>1</v>
      </c>
      <c r="BV336" s="16" t="n">
        <v>499.94095</v>
      </c>
      <c r="BW336" s="16" t="n"/>
      <c r="BX336" s="16" t="n"/>
      <c r="BY336" s="16" t="n"/>
      <c r="BZ336" s="16" t="n"/>
      <c r="CA336" s="16" t="n">
        <v>1</v>
      </c>
      <c r="CB336" s="16" t="n">
        <v>303.540387</v>
      </c>
      <c r="CC336" s="16" t="n"/>
      <c r="CD336" s="16" t="n"/>
      <c r="CE336" s="16" t="n"/>
      <c r="CF336" s="16" t="n"/>
      <c r="CG336" s="16" t="n">
        <v>1</v>
      </c>
      <c r="CH336" s="16" t="n">
        <v>4991.234241</v>
      </c>
      <c r="CI336" s="16" t="n"/>
      <c r="CJ336" s="16" t="n"/>
      <c r="CK336" s="16" t="n"/>
      <c r="CL336" s="16" t="n"/>
      <c r="CM336" s="16" t="n">
        <v>1</v>
      </c>
      <c r="CN336" s="16" t="n">
        <v>1497.996505</v>
      </c>
      <c r="CO336" s="16" t="n"/>
      <c r="CP336" s="16" t="n"/>
      <c r="CQ336" s="16" t="n"/>
      <c r="CR336" s="16" t="n"/>
      <c r="CS336" s="16" t="n">
        <v>1</v>
      </c>
      <c r="CT336" s="16" t="n">
        <v>0.848795</v>
      </c>
      <c r="CU336" s="16" t="n"/>
      <c r="CV336" s="16" t="n"/>
      <c r="CW336" s="16" t="n"/>
      <c r="CX336" s="16" t="n"/>
      <c r="CY336" s="16" t="n">
        <v>1</v>
      </c>
      <c r="CZ336" s="16" t="n">
        <v>0.919501</v>
      </c>
      <c r="DA336" s="16" t="n"/>
      <c r="DB336" s="16" t="n"/>
      <c r="DC336" s="16" t="n"/>
      <c r="DD336" s="16" t="n"/>
      <c r="DE336" s="16" t="n">
        <v>1</v>
      </c>
      <c r="DF336" s="16" t="n">
        <v>0.899194</v>
      </c>
      <c r="DG336" s="16" t="n"/>
      <c r="DH336" s="16" t="n"/>
      <c r="DI336" s="16" t="n"/>
      <c r="DJ336" s="16" t="n"/>
      <c r="DK336" s="16" t="n">
        <v>1</v>
      </c>
      <c r="DL336" s="16" t="n">
        <v>0.948339</v>
      </c>
      <c r="DM336" s="16" t="n"/>
      <c r="DN336" s="16" t="n"/>
      <c r="DO336" s="16" t="n"/>
      <c r="DP336" s="16" t="n"/>
      <c r="DQ336" s="16" t="n">
        <v>1</v>
      </c>
      <c r="DR336" s="16" t="n">
        <v>0.9499649999999999</v>
      </c>
      <c r="DS336" s="16" t="n"/>
      <c r="DT336" s="16" t="n"/>
      <c r="DU336" s="16" t="n"/>
      <c r="DV336" s="16" t="n"/>
      <c r="DW336" s="16" t="n">
        <v>1</v>
      </c>
      <c r="DX336" s="16" t="n">
        <v>0.9494089999999999</v>
      </c>
      <c r="DY336" s="16" t="n"/>
      <c r="DZ336" s="16" t="n"/>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46" customWidth="1" min="1" max="1"/>
    <col width="48" customWidth="1" min="2" max="2"/>
    <col width="10" customWidth="1" min="3" max="3"/>
    <col width="15" customWidth="1" min="4" max="4"/>
    <col width="11" customWidth="1" min="5" max="5"/>
    <col width="21" customWidth="1" min="6" max="6"/>
    <col width="10" customWidth="1" min="7" max="7"/>
  </cols>
  <sheetData>
    <row r="1">
      <c r="A1" s="19" t="inlineStr">
        <is>
          <t>Tabla 4.1-1 · Condiciones: qué quedó fijo y qué se barrió</t>
        </is>
      </c>
    </row>
    <row r="2">
      <c r="A2" s="20" t="inlineStr">
        <is>
          <t>Estudio 4.1 · Escenarios de conservación · Partes: 4.1a, 4.1b, 4.1c, 4.1d, 4.1e</t>
        </is>
      </c>
    </row>
    <row r="3">
      <c r="A3" s="20" t="inlineStr">
        <is>
          <t>Punto base: PP parcial según escenario S1 a S5</t>
        </is>
      </c>
    </row>
    <row r="4">
      <c r="A4" s="41" t="inlineStr">
        <is>
          <t>Parte 4.1a (conserva sus temperaturas):</t>
        </is>
      </c>
    </row>
    <row r="5">
      <c r="A5" s="21" t="inlineStr">
        <is>
          <t>Datos fijos: T_fuente = 623.15 K; T_sumidero = 300.03 K; m_b = 1 kg/s; piso de O2 = 300.03 K; motor de propiedades = teqp.</t>
        </is>
      </c>
    </row>
    <row r="6">
      <c r="A6" s="21" t="inlineStr">
        <is>
          <t>Datos barridos: P_alta [2000.1–4986.6] kPa (120 valores); P_baja [202.14–1989.7] kPa (120 valores); x_b [0.50124–0.84895] (120 valores); η_t [0.40062–0.94745] (120 valores); η_p [0.4043–0.94919] (120 valores); ε_HRVG [0.40441–0.94919] (120 valores); ε_reg [0.40384–0.9479] (120 valores); ε_cond [0.40087–0.94579] (120 valores).</t>
        </is>
      </c>
    </row>
    <row r="7">
      <c r="A7" s="41" t="inlineStr">
        <is>
          <t>Parte 4.1b (conserva sus presiones):</t>
        </is>
      </c>
    </row>
    <row r="8">
      <c r="A8" s="21" t="inlineStr">
        <is>
          <t>Datos fijos: P_alta = 3000 kPa; P_baja = 400 kPa; m_b = 1 kg/s; motor de propiedades = teqp.</t>
        </is>
      </c>
    </row>
    <row r="9">
      <c r="A9" s="21" t="inlineStr">
        <is>
          <t>Datos barridos: T_fuente [381.61–621.77] K (120 valores); T_sumidero [278.26–303.48] K (120 valores); x_b [0.50084–0.84732] (120 valores); η_t [0.40268–0.94858] (120 valores); η_p [0.40103–0.9471] (120 valores); ε_HRVG [0.40217–0.94755] (120 valores); ε_reg [0.40228–0.9466] (120 valores); ε_cond [0.40209–0.9474] (120 valores); piso de O2 [278.26–303.48] K (120 valores).</t>
        </is>
      </c>
    </row>
    <row r="10">
      <c r="A10" s="41" t="inlineStr">
        <is>
          <t>Parte 4.1c (conserva sus presiones y su clima):</t>
        </is>
      </c>
    </row>
    <row r="11">
      <c r="A11" s="21" t="inlineStr">
        <is>
          <t>Datos fijos: T_sumidero = 300.03 K; P_alta = 3000 kPa; P_baja = 400 kPa; m_b = 1 kg/s; piso de O2 = 300.03 K; motor de propiedades = teqp.</t>
        </is>
      </c>
    </row>
    <row r="12">
      <c r="A12" s="21" t="inlineStr">
        <is>
          <t>Datos barridos: T_fuente [380.23–622.4] K (120 valores); x_b [0.50023–0.84932] (120 valores); η_t [0.40006–0.94769] (120 valores); η_p [0.4036–0.94548] (120 valores); ε_HRVG [0.40016–0.94888] (120 valores); ε_reg [0.40216–0.9486] (120 valores); ε_cond [0.40424–0.94685] (120 valores).</t>
        </is>
      </c>
    </row>
    <row r="13">
      <c r="A13" s="41" t="inlineStr">
        <is>
          <t>Parte 4.1d (conserva su P_alta y sus temperaturas):</t>
        </is>
      </c>
    </row>
    <row r="14">
      <c r="A14" s="21" t="inlineStr">
        <is>
          <t>Datos fijos: T_fuente = 623.15 K; T_sumidero = 300.03 K; P_alta = 3000 kPa; m_b = 1 kg/s; piso de O2 = 300.03 K; motor de propiedades = teqp.</t>
        </is>
      </c>
    </row>
    <row r="15">
      <c r="A15" s="21" t="inlineStr">
        <is>
          <t>Datos barridos: P_baja [211.42–1985.6] kPa (120 valores); x_b [0.50226–0.84794] (120 valores); η_t [0.40325–0.94578] (120 valores); η_p [0.40037–0.94661] (120 valores); ε_HRVG [0.40425–0.94958] (120 valores); ε_reg [0.40094–0.9466] (120 valores); ε_cond [0.40217–0.94675] (120 valores).</t>
        </is>
      </c>
    </row>
    <row r="16">
      <c r="A16" s="41" t="inlineStr">
        <is>
          <t>Parte 4.1e (conserva su fuente y su x_b):</t>
        </is>
      </c>
    </row>
    <row r="17">
      <c r="A17" s="21" t="inlineStr">
        <is>
          <t>Datos fijos: T_fuente = 623.15 K; x_b = 0.5; m_b = 1 kg/s; motor de propiedades = teqp.</t>
        </is>
      </c>
    </row>
    <row r="18">
      <c r="A18" s="21" t="inlineStr">
        <is>
          <t>Datos barridos: T_sumidero [278.28–303.36] K (120 valores); P_alta [2023–4997.5] kPa (120 valores); P_baja [206.13–1999.3] kPa (120 valores); η_t [0.4033–0.94995] (120 valores); η_p [0.40348–0.9476] (120 valores); ε_HRVG [0.40414–0.94874] (120 valores); ε_reg [0.40265–0.94725] (120 valores); ε_cond [0.40127–0.94825] (120 valores); piso de O2 [278.28–303.36] K (119 valores).</t>
        </is>
      </c>
    </row>
    <row r="19">
      <c r="A19" s="20" t="inlineStr">
        <is>
          <t>Fuente: analisis_final/00_inventario/condiciones_por_subcaso.csv</t>
        </is>
      </c>
    </row>
    <row r="21">
      <c r="A21" s="22" t="inlineStr">
        <is>
          <t>Parte</t>
        </is>
      </c>
      <c r="B21" s="22" t="inlineStr">
        <is>
          <t>Variable</t>
        </is>
      </c>
      <c r="C21" s="22" t="inlineStr">
        <is>
          <t>Estado</t>
        </is>
      </c>
      <c r="D21" s="22" t="inlineStr">
        <is>
          <t>Valor o rango</t>
        </is>
      </c>
      <c r="E21" s="22" t="inlineStr">
        <is>
          <t>n valores</t>
        </is>
      </c>
      <c r="F21" s="22" t="inlineStr">
        <is>
          <t>¿Igual al profesor?</t>
        </is>
      </c>
      <c r="G21" s="22" t="inlineStr">
        <is>
          <t>Unidad</t>
        </is>
      </c>
    </row>
    <row r="22">
      <c r="A22" s="16" t="inlineStr">
        <is>
          <t>4.1a · conserva sus temperaturas</t>
        </is>
      </c>
      <c r="B22" s="16" t="inlineStr">
        <is>
          <t>Temperatura de la fuente, T_fuente [K]</t>
        </is>
      </c>
      <c r="C22" s="16" t="inlineStr">
        <is>
          <t>Fija</t>
        </is>
      </c>
      <c r="D22" s="16" t="inlineStr">
        <is>
          <t>623.15</t>
        </is>
      </c>
      <c r="E22" s="16" t="n"/>
      <c r="F22" s="16" t="inlineStr">
        <is>
          <t>sí</t>
        </is>
      </c>
      <c r="G22" s="16" t="inlineStr">
        <is>
          <t>K</t>
        </is>
      </c>
    </row>
    <row r="23">
      <c r="A23" s="16" t="inlineStr">
        <is>
          <t>4.1a · conserva sus temperaturas</t>
        </is>
      </c>
      <c r="B23" s="16" t="inlineStr">
        <is>
          <t>Temperatura del sumidero, T_sumidero [K]</t>
        </is>
      </c>
      <c r="C23" s="16" t="inlineStr">
        <is>
          <t>Fija</t>
        </is>
      </c>
      <c r="D23" s="16" t="inlineStr">
        <is>
          <t>300.032917</t>
        </is>
      </c>
      <c r="E23" s="16" t="n"/>
      <c r="F23" s="16" t="inlineStr">
        <is>
          <t>sí</t>
        </is>
      </c>
      <c r="G23" s="16" t="inlineStr">
        <is>
          <t>K</t>
        </is>
      </c>
    </row>
    <row r="24">
      <c r="A24" s="16" t="inlineStr">
        <is>
          <t>4.1a · conserva sus temperaturas</t>
        </is>
      </c>
      <c r="B24" s="16" t="inlineStr">
        <is>
          <t>Presión de alta, P_alta [kPa]</t>
        </is>
      </c>
      <c r="C24" s="16" t="inlineStr">
        <is>
          <t>Barrida</t>
        </is>
      </c>
      <c r="D24" s="16" t="inlineStr">
        <is>
          <t>2000 – 4987</t>
        </is>
      </c>
      <c r="E24" s="16" t="n">
        <v>120</v>
      </c>
      <c r="F24" s="16" t="n"/>
      <c r="G24" s="16" t="inlineStr">
        <is>
          <t>kPa</t>
        </is>
      </c>
    </row>
    <row r="25">
      <c r="A25" s="16" t="inlineStr">
        <is>
          <t>4.1a · conserva sus temperaturas</t>
        </is>
      </c>
      <c r="B25" s="16" t="inlineStr">
        <is>
          <t>Presión de baja, P_baja [kPa]</t>
        </is>
      </c>
      <c r="C25" s="16" t="inlineStr">
        <is>
          <t>Barrida</t>
        </is>
      </c>
      <c r="D25" s="16" t="inlineStr">
        <is>
          <t>202.1 – 1990</t>
        </is>
      </c>
      <c r="E25" s="16" t="n">
        <v>120</v>
      </c>
      <c r="F25" s="16" t="n"/>
      <c r="G25" s="16" t="inlineStr">
        <is>
          <t>kPa</t>
        </is>
      </c>
    </row>
    <row r="26">
      <c r="A26" s="16" t="inlineStr">
        <is>
          <t>4.1a · conserva sus temperaturas</t>
        </is>
      </c>
      <c r="B26" s="16" t="inlineStr">
        <is>
          <t>Fracción de amoníaco de la mezcla base, x_b [–]</t>
        </is>
      </c>
      <c r="C26" s="16" t="inlineStr">
        <is>
          <t>Barrida</t>
        </is>
      </c>
      <c r="D26" s="16" t="inlineStr">
        <is>
          <t>0.501 – 0.849</t>
        </is>
      </c>
      <c r="E26" s="16" t="n">
        <v>120</v>
      </c>
      <c r="F26" s="16" t="n"/>
      <c r="G26" s="16" t="inlineStr">
        <is>
          <t>–</t>
        </is>
      </c>
    </row>
    <row r="27">
      <c r="A27" s="16" t="inlineStr">
        <is>
          <t>4.1a · conserva sus temperaturas</t>
        </is>
      </c>
      <c r="B27" s="16" t="inlineStr">
        <is>
          <t>Flujo másico base, m_b [kg/s]</t>
        </is>
      </c>
      <c r="C27" s="16" t="inlineStr">
        <is>
          <t>Fija</t>
        </is>
      </c>
      <c r="D27" s="16" t="inlineStr">
        <is>
          <t>1.0</t>
        </is>
      </c>
      <c r="E27" s="16" t="n"/>
      <c r="F27" s="16" t="inlineStr">
        <is>
          <t>sí</t>
        </is>
      </c>
      <c r="G27" s="16" t="inlineStr">
        <is>
          <t>kg/s</t>
        </is>
      </c>
    </row>
    <row r="28">
      <c r="A28" s="16" t="inlineStr">
        <is>
          <t>4.1a · conserva sus temperaturas</t>
        </is>
      </c>
      <c r="B28" s="16" t="inlineStr">
        <is>
          <t>Eficiencia isentrópica de la turbina, η_t [–]</t>
        </is>
      </c>
      <c r="C28" s="16" t="inlineStr">
        <is>
          <t>Barrida</t>
        </is>
      </c>
      <c r="D28" s="16" t="inlineStr">
        <is>
          <t>0.401 – 0.947</t>
        </is>
      </c>
      <c r="E28" s="16" t="n">
        <v>120</v>
      </c>
      <c r="F28" s="16" t="n"/>
      <c r="G28" s="16" t="inlineStr">
        <is>
          <t>–</t>
        </is>
      </c>
    </row>
    <row r="29">
      <c r="A29" s="16" t="inlineStr">
        <is>
          <t>4.1a · conserva sus temperaturas</t>
        </is>
      </c>
      <c r="B29" s="16" t="inlineStr">
        <is>
          <t>Eficiencia isentrópica de la bomba, η_p [–]</t>
        </is>
      </c>
      <c r="C29" s="16" t="inlineStr">
        <is>
          <t>Barrida</t>
        </is>
      </c>
      <c r="D29" s="16" t="inlineStr">
        <is>
          <t>0.404 – 0.949</t>
        </is>
      </c>
      <c r="E29" s="16" t="n">
        <v>120</v>
      </c>
      <c r="F29" s="16" t="n"/>
      <c r="G29" s="16" t="inlineStr">
        <is>
          <t>–</t>
        </is>
      </c>
    </row>
    <row r="30">
      <c r="A30" s="16" t="inlineStr">
        <is>
          <t>4.1a · conserva sus temperaturas</t>
        </is>
      </c>
      <c r="B30" s="16" t="inlineStr">
        <is>
          <t>Efectividad del generador de vapor, ε_HRVG [–]</t>
        </is>
      </c>
      <c r="C30" s="16" t="inlineStr">
        <is>
          <t>Barrida</t>
        </is>
      </c>
      <c r="D30" s="16" t="inlineStr">
        <is>
          <t>0.404 – 0.949</t>
        </is>
      </c>
      <c r="E30" s="16" t="n">
        <v>120</v>
      </c>
      <c r="F30" s="16" t="n"/>
      <c r="G30" s="16" t="inlineStr">
        <is>
          <t>–</t>
        </is>
      </c>
    </row>
    <row r="31">
      <c r="A31" s="16" t="inlineStr">
        <is>
          <t>4.1a · conserva sus temperaturas</t>
        </is>
      </c>
      <c r="B31" s="16" t="inlineStr">
        <is>
          <t>Efectividad del regenerador, ε_reg [–]</t>
        </is>
      </c>
      <c r="C31" s="16" t="inlineStr">
        <is>
          <t>Barrida</t>
        </is>
      </c>
      <c r="D31" s="16" t="inlineStr">
        <is>
          <t>0.404 – 0.948</t>
        </is>
      </c>
      <c r="E31" s="16" t="n">
        <v>120</v>
      </c>
      <c r="F31" s="16" t="n"/>
      <c r="G31" s="16" t="inlineStr">
        <is>
          <t>–</t>
        </is>
      </c>
    </row>
    <row r="32">
      <c r="A32" s="16" t="inlineStr">
        <is>
          <t>4.1a · conserva sus temperaturas</t>
        </is>
      </c>
      <c r="B32" s="16" t="inlineStr">
        <is>
          <t>Efectividad del condensador, ε_cond [–]</t>
        </is>
      </c>
      <c r="C32" s="16" t="inlineStr">
        <is>
          <t>Barrida</t>
        </is>
      </c>
      <c r="D32" s="16" t="inlineStr">
        <is>
          <t>0.401 – 0.946</t>
        </is>
      </c>
      <c r="E32" s="16" t="n">
        <v>120</v>
      </c>
      <c r="F32" s="16" t="n"/>
      <c r="G32" s="16" t="inlineStr">
        <is>
          <t>–</t>
        </is>
      </c>
    </row>
    <row r="33">
      <c r="A33" s="16" t="inlineStr">
        <is>
          <t>4.1a · conserva sus temperaturas</t>
        </is>
      </c>
      <c r="B33" s="16" t="inlineStr">
        <is>
          <t>Piso de O2 (T de diseño de la bomba) [K]</t>
        </is>
      </c>
      <c r="C33" s="16" t="inlineStr">
        <is>
          <t>Fija</t>
        </is>
      </c>
      <c r="D33" s="16" t="inlineStr">
        <is>
          <t>300.032917</t>
        </is>
      </c>
      <c r="E33" s="16" t="n"/>
      <c r="F33" s="16" t="inlineStr">
        <is>
          <t>sí</t>
        </is>
      </c>
      <c r="G33" s="16" t="inlineStr">
        <is>
          <t>K</t>
        </is>
      </c>
    </row>
    <row r="34">
      <c r="A34" s="16" t="inlineStr">
        <is>
          <t>4.1a · conserva sus temperaturas</t>
        </is>
      </c>
      <c r="B34" s="16" t="inlineStr">
        <is>
          <t>motor de propiedades</t>
        </is>
      </c>
      <c r="C34" s="16" t="inlineStr">
        <is>
          <t>Fija</t>
        </is>
      </c>
      <c r="D34" s="16" t="inlineStr">
        <is>
          <t>teqp</t>
        </is>
      </c>
      <c r="E34" s="16" t="n"/>
      <c r="F34" s="16" t="n"/>
      <c r="G34" s="16" t="inlineStr">
        <is>
          <t>–</t>
        </is>
      </c>
    </row>
    <row r="35">
      <c r="A35" s="16" t="inlineStr">
        <is>
          <t>4.1b · conserva sus presiones</t>
        </is>
      </c>
      <c r="B35" s="16" t="inlineStr">
        <is>
          <t>Temperatura de la fuente, T_fuente [K]</t>
        </is>
      </c>
      <c r="C35" s="16" t="inlineStr">
        <is>
          <t>Barrida</t>
        </is>
      </c>
      <c r="D35" s="16" t="inlineStr">
        <is>
          <t>381.6 – 621.8</t>
        </is>
      </c>
      <c r="E35" s="16" t="n">
        <v>120</v>
      </c>
      <c r="F35" s="16" t="n"/>
      <c r="G35" s="16" t="inlineStr">
        <is>
          <t>K</t>
        </is>
      </c>
    </row>
    <row r="36">
      <c r="A36" s="16" t="inlineStr">
        <is>
          <t>4.1b · conserva sus presiones</t>
        </is>
      </c>
      <c r="B36" s="16" t="inlineStr">
        <is>
          <t>Temperatura del sumidero, T_sumidero [K]</t>
        </is>
      </c>
      <c r="C36" s="16" t="inlineStr">
        <is>
          <t>Barrida</t>
        </is>
      </c>
      <c r="D36" s="16" t="inlineStr">
        <is>
          <t>278.3 – 303.5</t>
        </is>
      </c>
      <c r="E36" s="16" t="n">
        <v>120</v>
      </c>
      <c r="F36" s="16" t="n"/>
      <c r="G36" s="16" t="inlineStr">
        <is>
          <t>K</t>
        </is>
      </c>
    </row>
    <row r="37">
      <c r="A37" s="16" t="inlineStr">
        <is>
          <t>4.1b · conserva sus presiones</t>
        </is>
      </c>
      <c r="B37" s="16" t="inlineStr">
        <is>
          <t>Presión de alta, P_alta [kPa]</t>
        </is>
      </c>
      <c r="C37" s="16" t="inlineStr">
        <is>
          <t>Fija</t>
        </is>
      </c>
      <c r="D37" s="16" t="inlineStr">
        <is>
          <t>3000.0</t>
        </is>
      </c>
      <c r="E37" s="16" t="n"/>
      <c r="F37" s="16" t="inlineStr">
        <is>
          <t>sí</t>
        </is>
      </c>
      <c r="G37" s="16" t="inlineStr">
        <is>
          <t>kPa</t>
        </is>
      </c>
    </row>
    <row r="38">
      <c r="A38" s="16" t="inlineStr">
        <is>
          <t>4.1b · conserva sus presiones</t>
        </is>
      </c>
      <c r="B38" s="16" t="inlineStr">
        <is>
          <t>Presión de baja, P_baja [kPa]</t>
        </is>
      </c>
      <c r="C38" s="16" t="inlineStr">
        <is>
          <t>Fija</t>
        </is>
      </c>
      <c r="D38" s="16" t="inlineStr">
        <is>
          <t>400.0</t>
        </is>
      </c>
      <c r="E38" s="16" t="n"/>
      <c r="F38" s="16" t="inlineStr">
        <is>
          <t>sí</t>
        </is>
      </c>
      <c r="G38" s="16" t="inlineStr">
        <is>
          <t>kPa</t>
        </is>
      </c>
    </row>
    <row r="39">
      <c r="A39" s="16" t="inlineStr">
        <is>
          <t>4.1b · conserva sus presiones</t>
        </is>
      </c>
      <c r="B39" s="16" t="inlineStr">
        <is>
          <t>Fracción de amoníaco de la mezcla base, x_b [–]</t>
        </is>
      </c>
      <c r="C39" s="16" t="inlineStr">
        <is>
          <t>Barrida</t>
        </is>
      </c>
      <c r="D39" s="16" t="inlineStr">
        <is>
          <t>0.501 – 0.847</t>
        </is>
      </c>
      <c r="E39" s="16" t="n">
        <v>120</v>
      </c>
      <c r="F39" s="16" t="n"/>
      <c r="G39" s="16" t="inlineStr">
        <is>
          <t>–</t>
        </is>
      </c>
    </row>
    <row r="40">
      <c r="A40" s="16" t="inlineStr">
        <is>
          <t>4.1b · conserva sus presiones</t>
        </is>
      </c>
      <c r="B40" s="16" t="inlineStr">
        <is>
          <t>Flujo másico base, m_b [kg/s]</t>
        </is>
      </c>
      <c r="C40" s="16" t="inlineStr">
        <is>
          <t>Fija</t>
        </is>
      </c>
      <c r="D40" s="16" t="inlineStr">
        <is>
          <t>1.0</t>
        </is>
      </c>
      <c r="E40" s="16" t="n"/>
      <c r="F40" s="16" t="inlineStr">
        <is>
          <t>sí</t>
        </is>
      </c>
      <c r="G40" s="16" t="inlineStr">
        <is>
          <t>kg/s</t>
        </is>
      </c>
    </row>
    <row r="41">
      <c r="A41" s="16" t="inlineStr">
        <is>
          <t>4.1b · conserva sus presiones</t>
        </is>
      </c>
      <c r="B41" s="16" t="inlineStr">
        <is>
          <t>Eficiencia isentrópica de la turbina, η_t [–]</t>
        </is>
      </c>
      <c r="C41" s="16" t="inlineStr">
        <is>
          <t>Barrida</t>
        </is>
      </c>
      <c r="D41" s="16" t="inlineStr">
        <is>
          <t>0.403 – 0.949</t>
        </is>
      </c>
      <c r="E41" s="16" t="n">
        <v>120</v>
      </c>
      <c r="F41" s="16" t="n"/>
      <c r="G41" s="16" t="inlineStr">
        <is>
          <t>–</t>
        </is>
      </c>
    </row>
    <row r="42">
      <c r="A42" s="16" t="inlineStr">
        <is>
          <t>4.1b · conserva sus presiones</t>
        </is>
      </c>
      <c r="B42" s="16" t="inlineStr">
        <is>
          <t>Eficiencia isentrópica de la bomba, η_p [–]</t>
        </is>
      </c>
      <c r="C42" s="16" t="inlineStr">
        <is>
          <t>Barrida</t>
        </is>
      </c>
      <c r="D42" s="16" t="inlineStr">
        <is>
          <t>0.401 – 0.947</t>
        </is>
      </c>
      <c r="E42" s="16" t="n">
        <v>120</v>
      </c>
      <c r="F42" s="16" t="n"/>
      <c r="G42" s="16" t="inlineStr">
        <is>
          <t>–</t>
        </is>
      </c>
    </row>
    <row r="43">
      <c r="A43" s="16" t="inlineStr">
        <is>
          <t>4.1b · conserva sus presiones</t>
        </is>
      </c>
      <c r="B43" s="16" t="inlineStr">
        <is>
          <t>Efectividad del generador de vapor, ε_HRVG [–]</t>
        </is>
      </c>
      <c r="C43" s="16" t="inlineStr">
        <is>
          <t>Barrida</t>
        </is>
      </c>
      <c r="D43" s="16" t="inlineStr">
        <is>
          <t>0.402 – 0.948</t>
        </is>
      </c>
      <c r="E43" s="16" t="n">
        <v>120</v>
      </c>
      <c r="F43" s="16" t="n"/>
      <c r="G43" s="16" t="inlineStr">
        <is>
          <t>–</t>
        </is>
      </c>
    </row>
    <row r="44">
      <c r="A44" s="16" t="inlineStr">
        <is>
          <t>4.1b · conserva sus presiones</t>
        </is>
      </c>
      <c r="B44" s="16" t="inlineStr">
        <is>
          <t>Efectividad del regenerador, ε_reg [–]</t>
        </is>
      </c>
      <c r="C44" s="16" t="inlineStr">
        <is>
          <t>Barrida</t>
        </is>
      </c>
      <c r="D44" s="16" t="inlineStr">
        <is>
          <t>0.402 – 0.947</t>
        </is>
      </c>
      <c r="E44" s="16" t="n">
        <v>120</v>
      </c>
      <c r="F44" s="16" t="n"/>
      <c r="G44" s="16" t="inlineStr">
        <is>
          <t>–</t>
        </is>
      </c>
    </row>
    <row r="45">
      <c r="A45" s="16" t="inlineStr">
        <is>
          <t>4.1b · conserva sus presiones</t>
        </is>
      </c>
      <c r="B45" s="16" t="inlineStr">
        <is>
          <t>Efectividad del condensador, ε_cond [–]</t>
        </is>
      </c>
      <c r="C45" s="16" t="inlineStr">
        <is>
          <t>Barrida</t>
        </is>
      </c>
      <c r="D45" s="16" t="inlineStr">
        <is>
          <t>0.402 – 0.947</t>
        </is>
      </c>
      <c r="E45" s="16" t="n">
        <v>120</v>
      </c>
      <c r="F45" s="16" t="n"/>
      <c r="G45" s="16" t="inlineStr">
        <is>
          <t>–</t>
        </is>
      </c>
    </row>
    <row r="46">
      <c r="A46" s="16" t="inlineStr">
        <is>
          <t>4.1b · conserva sus presiones</t>
        </is>
      </c>
      <c r="B46" s="16" t="inlineStr">
        <is>
          <t>Piso de O2 (T de diseño de la bomba) [K]</t>
        </is>
      </c>
      <c r="C46" s="16" t="inlineStr">
        <is>
          <t>Barrida</t>
        </is>
      </c>
      <c r="D46" s="16" t="inlineStr">
        <is>
          <t>278.3 – 303.5</t>
        </is>
      </c>
      <c r="E46" s="16" t="n">
        <v>120</v>
      </c>
      <c r="F46" s="16" t="n"/>
      <c r="G46" s="16" t="inlineStr">
        <is>
          <t>K</t>
        </is>
      </c>
    </row>
    <row r="47">
      <c r="A47" s="16" t="inlineStr">
        <is>
          <t>4.1b · conserva sus presiones</t>
        </is>
      </c>
      <c r="B47" s="16" t="inlineStr">
        <is>
          <t>motor de propiedades</t>
        </is>
      </c>
      <c r="C47" s="16" t="inlineStr">
        <is>
          <t>Fija</t>
        </is>
      </c>
      <c r="D47" s="16" t="inlineStr">
        <is>
          <t>teqp</t>
        </is>
      </c>
      <c r="E47" s="16" t="n"/>
      <c r="F47" s="16" t="n"/>
      <c r="G47" s="16" t="inlineStr">
        <is>
          <t>–</t>
        </is>
      </c>
    </row>
    <row r="48">
      <c r="A48" s="16" t="inlineStr">
        <is>
          <t>4.1c · conserva sus presiones y su clima</t>
        </is>
      </c>
      <c r="B48" s="16" t="inlineStr">
        <is>
          <t>Temperatura de la fuente, T_fuente [K]</t>
        </is>
      </c>
      <c r="C48" s="16" t="inlineStr">
        <is>
          <t>Barrida</t>
        </is>
      </c>
      <c r="D48" s="16" t="inlineStr">
        <is>
          <t>380.2 – 622.4</t>
        </is>
      </c>
      <c r="E48" s="16" t="n">
        <v>120</v>
      </c>
      <c r="F48" s="16" t="n"/>
      <c r="G48" s="16" t="inlineStr">
        <is>
          <t>K</t>
        </is>
      </c>
    </row>
    <row r="49">
      <c r="A49" s="16" t="inlineStr">
        <is>
          <t>4.1c · conserva sus presiones y su clima</t>
        </is>
      </c>
      <c r="B49" s="16" t="inlineStr">
        <is>
          <t>Temperatura del sumidero, T_sumidero [K]</t>
        </is>
      </c>
      <c r="C49" s="16" t="inlineStr">
        <is>
          <t>Fija</t>
        </is>
      </c>
      <c r="D49" s="16" t="inlineStr">
        <is>
          <t>300.032917</t>
        </is>
      </c>
      <c r="E49" s="16" t="n"/>
      <c r="F49" s="16" t="inlineStr">
        <is>
          <t>sí</t>
        </is>
      </c>
      <c r="G49" s="16" t="inlineStr">
        <is>
          <t>K</t>
        </is>
      </c>
    </row>
    <row r="50">
      <c r="A50" s="16" t="inlineStr">
        <is>
          <t>4.1c · conserva sus presiones y su clima</t>
        </is>
      </c>
      <c r="B50" s="16" t="inlineStr">
        <is>
          <t>Presión de alta, P_alta [kPa]</t>
        </is>
      </c>
      <c r="C50" s="16" t="inlineStr">
        <is>
          <t>Fija</t>
        </is>
      </c>
      <c r="D50" s="16" t="inlineStr">
        <is>
          <t>3000.0</t>
        </is>
      </c>
      <c r="E50" s="16" t="n"/>
      <c r="F50" s="16" t="inlineStr">
        <is>
          <t>sí</t>
        </is>
      </c>
      <c r="G50" s="16" t="inlineStr">
        <is>
          <t>kPa</t>
        </is>
      </c>
    </row>
    <row r="51">
      <c r="A51" s="16" t="inlineStr">
        <is>
          <t>4.1c · conserva sus presiones y su clima</t>
        </is>
      </c>
      <c r="B51" s="16" t="inlineStr">
        <is>
          <t>Presión de baja, P_baja [kPa]</t>
        </is>
      </c>
      <c r="C51" s="16" t="inlineStr">
        <is>
          <t>Fija</t>
        </is>
      </c>
      <c r="D51" s="16" t="inlineStr">
        <is>
          <t>400.0</t>
        </is>
      </c>
      <c r="E51" s="16" t="n"/>
      <c r="F51" s="16" t="inlineStr">
        <is>
          <t>sí</t>
        </is>
      </c>
      <c r="G51" s="16" t="inlineStr">
        <is>
          <t>kPa</t>
        </is>
      </c>
    </row>
    <row r="52">
      <c r="A52" s="16" t="inlineStr">
        <is>
          <t>4.1c · conserva sus presiones y su clima</t>
        </is>
      </c>
      <c r="B52" s="16" t="inlineStr">
        <is>
          <t>Fracción de amoníaco de la mezcla base, x_b [–]</t>
        </is>
      </c>
      <c r="C52" s="16" t="inlineStr">
        <is>
          <t>Barrida</t>
        </is>
      </c>
      <c r="D52" s="16" t="inlineStr">
        <is>
          <t>0.500 – 0.849</t>
        </is>
      </c>
      <c r="E52" s="16" t="n">
        <v>120</v>
      </c>
      <c r="F52" s="16" t="n"/>
      <c r="G52" s="16" t="inlineStr">
        <is>
          <t>–</t>
        </is>
      </c>
    </row>
    <row r="53">
      <c r="A53" s="16" t="inlineStr">
        <is>
          <t>4.1c · conserva sus presiones y su clima</t>
        </is>
      </c>
      <c r="B53" s="16" t="inlineStr">
        <is>
          <t>Flujo másico base, m_b [kg/s]</t>
        </is>
      </c>
      <c r="C53" s="16" t="inlineStr">
        <is>
          <t>Fija</t>
        </is>
      </c>
      <c r="D53" s="16" t="inlineStr">
        <is>
          <t>1.0</t>
        </is>
      </c>
      <c r="E53" s="16" t="n"/>
      <c r="F53" s="16" t="inlineStr">
        <is>
          <t>sí</t>
        </is>
      </c>
      <c r="G53" s="16" t="inlineStr">
        <is>
          <t>kg/s</t>
        </is>
      </c>
    </row>
    <row r="54">
      <c r="A54" s="16" t="inlineStr">
        <is>
          <t>4.1c · conserva sus presiones y su clima</t>
        </is>
      </c>
      <c r="B54" s="16" t="inlineStr">
        <is>
          <t>Eficiencia isentrópica de la turbina, η_t [–]</t>
        </is>
      </c>
      <c r="C54" s="16" t="inlineStr">
        <is>
          <t>Barrida</t>
        </is>
      </c>
      <c r="D54" s="16" t="inlineStr">
        <is>
          <t>0.400 – 0.948</t>
        </is>
      </c>
      <c r="E54" s="16" t="n">
        <v>120</v>
      </c>
      <c r="F54" s="16" t="n"/>
      <c r="G54" s="16" t="inlineStr">
        <is>
          <t>–</t>
        </is>
      </c>
    </row>
    <row r="55">
      <c r="A55" s="16" t="inlineStr">
        <is>
          <t>4.1c · conserva sus presiones y su clima</t>
        </is>
      </c>
      <c r="B55" s="16" t="inlineStr">
        <is>
          <t>Eficiencia isentrópica de la bomba, η_p [–]</t>
        </is>
      </c>
      <c r="C55" s="16" t="inlineStr">
        <is>
          <t>Barrida</t>
        </is>
      </c>
      <c r="D55" s="16" t="inlineStr">
        <is>
          <t>0.404 – 0.945</t>
        </is>
      </c>
      <c r="E55" s="16" t="n">
        <v>120</v>
      </c>
      <c r="F55" s="16" t="n"/>
      <c r="G55" s="16" t="inlineStr">
        <is>
          <t>–</t>
        </is>
      </c>
    </row>
    <row r="56">
      <c r="A56" s="16" t="inlineStr">
        <is>
          <t>4.1c · conserva sus presiones y su clima</t>
        </is>
      </c>
      <c r="B56" s="16" t="inlineStr">
        <is>
          <t>Efectividad del generador de vapor, ε_HRVG [–]</t>
        </is>
      </c>
      <c r="C56" s="16" t="inlineStr">
        <is>
          <t>Barrida</t>
        </is>
      </c>
      <c r="D56" s="16" t="inlineStr">
        <is>
          <t>0.400 – 0.949</t>
        </is>
      </c>
      <c r="E56" s="16" t="n">
        <v>120</v>
      </c>
      <c r="F56" s="16" t="n"/>
      <c r="G56" s="16" t="inlineStr">
        <is>
          <t>–</t>
        </is>
      </c>
    </row>
    <row r="57">
      <c r="A57" s="16" t="inlineStr">
        <is>
          <t>4.1c · conserva sus presiones y su clima</t>
        </is>
      </c>
      <c r="B57" s="16" t="inlineStr">
        <is>
          <t>Efectividad del regenerador, ε_reg [–]</t>
        </is>
      </c>
      <c r="C57" s="16" t="inlineStr">
        <is>
          <t>Barrida</t>
        </is>
      </c>
      <c r="D57" s="16" t="inlineStr">
        <is>
          <t>0.402 – 0.949</t>
        </is>
      </c>
      <c r="E57" s="16" t="n">
        <v>120</v>
      </c>
      <c r="F57" s="16" t="n"/>
      <c r="G57" s="16" t="inlineStr">
        <is>
          <t>–</t>
        </is>
      </c>
    </row>
    <row r="58">
      <c r="A58" s="16" t="inlineStr">
        <is>
          <t>4.1c · conserva sus presiones y su clima</t>
        </is>
      </c>
      <c r="B58" s="16" t="inlineStr">
        <is>
          <t>Efectividad del condensador, ε_cond [–]</t>
        </is>
      </c>
      <c r="C58" s="16" t="inlineStr">
        <is>
          <t>Barrida</t>
        </is>
      </c>
      <c r="D58" s="16" t="inlineStr">
        <is>
          <t>0.404 – 0.947</t>
        </is>
      </c>
      <c r="E58" s="16" t="n">
        <v>120</v>
      </c>
      <c r="F58" s="16" t="n"/>
      <c r="G58" s="16" t="inlineStr">
        <is>
          <t>–</t>
        </is>
      </c>
    </row>
    <row r="59">
      <c r="A59" s="16" t="inlineStr">
        <is>
          <t>4.1c · conserva sus presiones y su clima</t>
        </is>
      </c>
      <c r="B59" s="16" t="inlineStr">
        <is>
          <t>Piso de O2 (T de diseño de la bomba) [K]</t>
        </is>
      </c>
      <c r="C59" s="16" t="inlineStr">
        <is>
          <t>Fija</t>
        </is>
      </c>
      <c r="D59" s="16" t="inlineStr">
        <is>
          <t>300.032917</t>
        </is>
      </c>
      <c r="E59" s="16" t="n"/>
      <c r="F59" s="16" t="inlineStr">
        <is>
          <t>sí</t>
        </is>
      </c>
      <c r="G59" s="16" t="inlineStr">
        <is>
          <t>K</t>
        </is>
      </c>
    </row>
    <row r="60">
      <c r="A60" s="16" t="inlineStr">
        <is>
          <t>4.1c · conserva sus presiones y su clima</t>
        </is>
      </c>
      <c r="B60" s="16" t="inlineStr">
        <is>
          <t>motor de propiedades</t>
        </is>
      </c>
      <c r="C60" s="16" t="inlineStr">
        <is>
          <t>Fija</t>
        </is>
      </c>
      <c r="D60" s="16" t="inlineStr">
        <is>
          <t>teqp</t>
        </is>
      </c>
      <c r="E60" s="16" t="n"/>
      <c r="F60" s="16" t="n"/>
      <c r="G60" s="16" t="inlineStr">
        <is>
          <t>–</t>
        </is>
      </c>
    </row>
    <row r="61">
      <c r="A61" s="16" t="inlineStr">
        <is>
          <t>4.1d · conserva su P_alta y sus temperaturas</t>
        </is>
      </c>
      <c r="B61" s="16" t="inlineStr">
        <is>
          <t>Temperatura de la fuente, T_fuente [K]</t>
        </is>
      </c>
      <c r="C61" s="16" t="inlineStr">
        <is>
          <t>Fija</t>
        </is>
      </c>
      <c r="D61" s="16" t="inlineStr">
        <is>
          <t>623.15</t>
        </is>
      </c>
      <c r="E61" s="16" t="n"/>
      <c r="F61" s="16" t="inlineStr">
        <is>
          <t>sí</t>
        </is>
      </c>
      <c r="G61" s="16" t="inlineStr">
        <is>
          <t>K</t>
        </is>
      </c>
    </row>
    <row r="62">
      <c r="A62" s="16" t="inlineStr">
        <is>
          <t>4.1d · conserva su P_alta y sus temperaturas</t>
        </is>
      </c>
      <c r="B62" s="16" t="inlineStr">
        <is>
          <t>Temperatura del sumidero, T_sumidero [K]</t>
        </is>
      </c>
      <c r="C62" s="16" t="inlineStr">
        <is>
          <t>Fija</t>
        </is>
      </c>
      <c r="D62" s="16" t="inlineStr">
        <is>
          <t>300.032917</t>
        </is>
      </c>
      <c r="E62" s="16" t="n"/>
      <c r="F62" s="16" t="inlineStr">
        <is>
          <t>sí</t>
        </is>
      </c>
      <c r="G62" s="16" t="inlineStr">
        <is>
          <t>K</t>
        </is>
      </c>
    </row>
    <row r="63">
      <c r="A63" s="16" t="inlineStr">
        <is>
          <t>4.1d · conserva su P_alta y sus temperaturas</t>
        </is>
      </c>
      <c r="B63" s="16" t="inlineStr">
        <is>
          <t>Presión de alta, P_alta [kPa]</t>
        </is>
      </c>
      <c r="C63" s="16" t="inlineStr">
        <is>
          <t>Fija</t>
        </is>
      </c>
      <c r="D63" s="16" t="inlineStr">
        <is>
          <t>3000.0</t>
        </is>
      </c>
      <c r="E63" s="16" t="n"/>
      <c r="F63" s="16" t="inlineStr">
        <is>
          <t>sí</t>
        </is>
      </c>
      <c r="G63" s="16" t="inlineStr">
        <is>
          <t>kPa</t>
        </is>
      </c>
    </row>
    <row r="64">
      <c r="A64" s="16" t="inlineStr">
        <is>
          <t>4.1d · conserva su P_alta y sus temperaturas</t>
        </is>
      </c>
      <c r="B64" s="16" t="inlineStr">
        <is>
          <t>Presión de baja, P_baja [kPa]</t>
        </is>
      </c>
      <c r="C64" s="16" t="inlineStr">
        <is>
          <t>Barrida</t>
        </is>
      </c>
      <c r="D64" s="16" t="inlineStr">
        <is>
          <t>211.4 – 1986</t>
        </is>
      </c>
      <c r="E64" s="16" t="n">
        <v>120</v>
      </c>
      <c r="F64" s="16" t="n"/>
      <c r="G64" s="16" t="inlineStr">
        <is>
          <t>kPa</t>
        </is>
      </c>
    </row>
    <row r="65">
      <c r="A65" s="16" t="inlineStr">
        <is>
          <t>4.1d · conserva su P_alta y sus temperaturas</t>
        </is>
      </c>
      <c r="B65" s="16" t="inlineStr">
        <is>
          <t>Fracción de amoníaco de la mezcla base, x_b [–]</t>
        </is>
      </c>
      <c r="C65" s="16" t="inlineStr">
        <is>
          <t>Barrida</t>
        </is>
      </c>
      <c r="D65" s="16" t="inlineStr">
        <is>
          <t>0.502 – 0.848</t>
        </is>
      </c>
      <c r="E65" s="16" t="n">
        <v>120</v>
      </c>
      <c r="F65" s="16" t="n"/>
      <c r="G65" s="16" t="inlineStr">
        <is>
          <t>–</t>
        </is>
      </c>
    </row>
    <row r="66">
      <c r="A66" s="16" t="inlineStr">
        <is>
          <t>4.1d · conserva su P_alta y sus temperaturas</t>
        </is>
      </c>
      <c r="B66" s="16" t="inlineStr">
        <is>
          <t>Flujo másico base, m_b [kg/s]</t>
        </is>
      </c>
      <c r="C66" s="16" t="inlineStr">
        <is>
          <t>Fija</t>
        </is>
      </c>
      <c r="D66" s="16" t="inlineStr">
        <is>
          <t>1.0</t>
        </is>
      </c>
      <c r="E66" s="16" t="n"/>
      <c r="F66" s="16" t="inlineStr">
        <is>
          <t>sí</t>
        </is>
      </c>
      <c r="G66" s="16" t="inlineStr">
        <is>
          <t>kg/s</t>
        </is>
      </c>
    </row>
    <row r="67">
      <c r="A67" s="16" t="inlineStr">
        <is>
          <t>4.1d · conserva su P_alta y sus temperaturas</t>
        </is>
      </c>
      <c r="B67" s="16" t="inlineStr">
        <is>
          <t>Eficiencia isentrópica de la turbina, η_t [–]</t>
        </is>
      </c>
      <c r="C67" s="16" t="inlineStr">
        <is>
          <t>Barrida</t>
        </is>
      </c>
      <c r="D67" s="16" t="inlineStr">
        <is>
          <t>0.403 – 0.946</t>
        </is>
      </c>
      <c r="E67" s="16" t="n">
        <v>120</v>
      </c>
      <c r="F67" s="16" t="n"/>
      <c r="G67" s="16" t="inlineStr">
        <is>
          <t>–</t>
        </is>
      </c>
    </row>
    <row r="68">
      <c r="A68" s="16" t="inlineStr">
        <is>
          <t>4.1d · conserva su P_alta y sus temperaturas</t>
        </is>
      </c>
      <c r="B68" s="16" t="inlineStr">
        <is>
          <t>Eficiencia isentrópica de la bomba, η_p [–]</t>
        </is>
      </c>
      <c r="C68" s="16" t="inlineStr">
        <is>
          <t>Barrida</t>
        </is>
      </c>
      <c r="D68" s="16" t="inlineStr">
        <is>
          <t>0.400 – 0.947</t>
        </is>
      </c>
      <c r="E68" s="16" t="n">
        <v>120</v>
      </c>
      <c r="F68" s="16" t="n"/>
      <c r="G68" s="16" t="inlineStr">
        <is>
          <t>–</t>
        </is>
      </c>
    </row>
    <row r="69">
      <c r="A69" s="16" t="inlineStr">
        <is>
          <t>4.1d · conserva su P_alta y sus temperaturas</t>
        </is>
      </c>
      <c r="B69" s="16" t="inlineStr">
        <is>
          <t>Efectividad del generador de vapor, ε_HRVG [–]</t>
        </is>
      </c>
      <c r="C69" s="16" t="inlineStr">
        <is>
          <t>Barrida</t>
        </is>
      </c>
      <c r="D69" s="16" t="inlineStr">
        <is>
          <t>0.404 – 0.950</t>
        </is>
      </c>
      <c r="E69" s="16" t="n">
        <v>120</v>
      </c>
      <c r="F69" s="16" t="n"/>
      <c r="G69" s="16" t="inlineStr">
        <is>
          <t>–</t>
        </is>
      </c>
    </row>
    <row r="70">
      <c r="A70" s="16" t="inlineStr">
        <is>
          <t>4.1d · conserva su P_alta y sus temperaturas</t>
        </is>
      </c>
      <c r="B70" s="16" t="inlineStr">
        <is>
          <t>Efectividad del regenerador, ε_reg [–]</t>
        </is>
      </c>
      <c r="C70" s="16" t="inlineStr">
        <is>
          <t>Barrida</t>
        </is>
      </c>
      <c r="D70" s="16" t="inlineStr">
        <is>
          <t>0.401 – 0.947</t>
        </is>
      </c>
      <c r="E70" s="16" t="n">
        <v>120</v>
      </c>
      <c r="F70" s="16" t="n"/>
      <c r="G70" s="16" t="inlineStr">
        <is>
          <t>–</t>
        </is>
      </c>
    </row>
    <row r="71">
      <c r="A71" s="16" t="inlineStr">
        <is>
          <t>4.1d · conserva su P_alta y sus temperaturas</t>
        </is>
      </c>
      <c r="B71" s="16" t="inlineStr">
        <is>
          <t>Efectividad del condensador, ε_cond [–]</t>
        </is>
      </c>
      <c r="C71" s="16" t="inlineStr">
        <is>
          <t>Barrida</t>
        </is>
      </c>
      <c r="D71" s="16" t="inlineStr">
        <is>
          <t>0.402 – 0.947</t>
        </is>
      </c>
      <c r="E71" s="16" t="n">
        <v>120</v>
      </c>
      <c r="F71" s="16" t="n"/>
      <c r="G71" s="16" t="inlineStr">
        <is>
          <t>–</t>
        </is>
      </c>
    </row>
    <row r="72">
      <c r="A72" s="16" t="inlineStr">
        <is>
          <t>4.1d · conserva su P_alta y sus temperaturas</t>
        </is>
      </c>
      <c r="B72" s="16" t="inlineStr">
        <is>
          <t>Piso de O2 (T de diseño de la bomba) [K]</t>
        </is>
      </c>
      <c r="C72" s="16" t="inlineStr">
        <is>
          <t>Fija</t>
        </is>
      </c>
      <c r="D72" s="16" t="inlineStr">
        <is>
          <t>300.032917</t>
        </is>
      </c>
      <c r="E72" s="16" t="n"/>
      <c r="F72" s="16" t="inlineStr">
        <is>
          <t>sí</t>
        </is>
      </c>
      <c r="G72" s="16" t="inlineStr">
        <is>
          <t>K</t>
        </is>
      </c>
    </row>
    <row r="73">
      <c r="A73" s="16" t="inlineStr">
        <is>
          <t>4.1d · conserva su P_alta y sus temperaturas</t>
        </is>
      </c>
      <c r="B73" s="16" t="inlineStr">
        <is>
          <t>motor de propiedades</t>
        </is>
      </c>
      <c r="C73" s="16" t="inlineStr">
        <is>
          <t>Fija</t>
        </is>
      </c>
      <c r="D73" s="16" t="inlineStr">
        <is>
          <t>teqp</t>
        </is>
      </c>
      <c r="E73" s="16" t="n"/>
      <c r="F73" s="16" t="n"/>
      <c r="G73" s="16" t="inlineStr">
        <is>
          <t>–</t>
        </is>
      </c>
    </row>
    <row r="74">
      <c r="A74" s="16" t="inlineStr">
        <is>
          <t>4.1e · conserva su fuente y su x_b</t>
        </is>
      </c>
      <c r="B74" s="16" t="inlineStr">
        <is>
          <t>Temperatura de la fuente, T_fuente [K]</t>
        </is>
      </c>
      <c r="C74" s="16" t="inlineStr">
        <is>
          <t>Fija</t>
        </is>
      </c>
      <c r="D74" s="16" t="inlineStr">
        <is>
          <t>623.15</t>
        </is>
      </c>
      <c r="E74" s="16" t="n"/>
      <c r="F74" s="16" t="inlineStr">
        <is>
          <t>sí</t>
        </is>
      </c>
      <c r="G74" s="16" t="inlineStr">
        <is>
          <t>K</t>
        </is>
      </c>
    </row>
    <row r="75">
      <c r="A75" s="16" t="inlineStr">
        <is>
          <t>4.1e · conserva su fuente y su x_b</t>
        </is>
      </c>
      <c r="B75" s="16" t="inlineStr">
        <is>
          <t>Temperatura del sumidero, T_sumidero [K]</t>
        </is>
      </c>
      <c r="C75" s="16" t="inlineStr">
        <is>
          <t>Barrida</t>
        </is>
      </c>
      <c r="D75" s="16" t="inlineStr">
        <is>
          <t>278.3 – 303.4</t>
        </is>
      </c>
      <c r="E75" s="16" t="n">
        <v>120</v>
      </c>
      <c r="F75" s="16" t="n"/>
      <c r="G75" s="16" t="inlineStr">
        <is>
          <t>K</t>
        </is>
      </c>
    </row>
    <row r="76">
      <c r="A76" s="16" t="inlineStr">
        <is>
          <t>4.1e · conserva su fuente y su x_b</t>
        </is>
      </c>
      <c r="B76" s="16" t="inlineStr">
        <is>
          <t>Presión de alta, P_alta [kPa]</t>
        </is>
      </c>
      <c r="C76" s="16" t="inlineStr">
        <is>
          <t>Barrida</t>
        </is>
      </c>
      <c r="D76" s="16" t="inlineStr">
        <is>
          <t>2023 – 4997</t>
        </is>
      </c>
      <c r="E76" s="16" t="n">
        <v>120</v>
      </c>
      <c r="F76" s="16" t="n"/>
      <c r="G76" s="16" t="inlineStr">
        <is>
          <t>kPa</t>
        </is>
      </c>
    </row>
    <row r="77">
      <c r="A77" s="16" t="inlineStr">
        <is>
          <t>4.1e · conserva su fuente y su x_b</t>
        </is>
      </c>
      <c r="B77" s="16" t="inlineStr">
        <is>
          <t>Presión de baja, P_baja [kPa]</t>
        </is>
      </c>
      <c r="C77" s="16" t="inlineStr">
        <is>
          <t>Barrida</t>
        </is>
      </c>
      <c r="D77" s="16" t="inlineStr">
        <is>
          <t>206.1 – 1999</t>
        </is>
      </c>
      <c r="E77" s="16" t="n">
        <v>120</v>
      </c>
      <c r="F77" s="16" t="n"/>
      <c r="G77" s="16" t="inlineStr">
        <is>
          <t>kPa</t>
        </is>
      </c>
    </row>
    <row r="78">
      <c r="A78" s="16" t="inlineStr">
        <is>
          <t>4.1e · conserva su fuente y su x_b</t>
        </is>
      </c>
      <c r="B78" s="16" t="inlineStr">
        <is>
          <t>Fracción de amoníaco de la mezcla base, x_b [–]</t>
        </is>
      </c>
      <c r="C78" s="16" t="inlineStr">
        <is>
          <t>Fija</t>
        </is>
      </c>
      <c r="D78" s="16" t="inlineStr">
        <is>
          <t>0.5</t>
        </is>
      </c>
      <c r="E78" s="16" t="n"/>
      <c r="F78" s="16" t="inlineStr">
        <is>
          <t>sí</t>
        </is>
      </c>
      <c r="G78" s="16" t="inlineStr">
        <is>
          <t>–</t>
        </is>
      </c>
    </row>
    <row r="79">
      <c r="A79" s="16" t="inlineStr">
        <is>
          <t>4.1e · conserva su fuente y su x_b</t>
        </is>
      </c>
      <c r="B79" s="16" t="inlineStr">
        <is>
          <t>Flujo másico base, m_b [kg/s]</t>
        </is>
      </c>
      <c r="C79" s="16" t="inlineStr">
        <is>
          <t>Fija</t>
        </is>
      </c>
      <c r="D79" s="16" t="inlineStr">
        <is>
          <t>1.0</t>
        </is>
      </c>
      <c r="E79" s="16" t="n"/>
      <c r="F79" s="16" t="inlineStr">
        <is>
          <t>sí</t>
        </is>
      </c>
      <c r="G79" s="16" t="inlineStr">
        <is>
          <t>kg/s</t>
        </is>
      </c>
    </row>
    <row r="80">
      <c r="A80" s="16" t="inlineStr">
        <is>
          <t>4.1e · conserva su fuente y su x_b</t>
        </is>
      </c>
      <c r="B80" s="16" t="inlineStr">
        <is>
          <t>Eficiencia isentrópica de la turbina, η_t [–]</t>
        </is>
      </c>
      <c r="C80" s="16" t="inlineStr">
        <is>
          <t>Barrida</t>
        </is>
      </c>
      <c r="D80" s="16" t="inlineStr">
        <is>
          <t>0.403 – 0.950</t>
        </is>
      </c>
      <c r="E80" s="16" t="n">
        <v>120</v>
      </c>
      <c r="F80" s="16" t="n"/>
      <c r="G80" s="16" t="inlineStr">
        <is>
          <t>–</t>
        </is>
      </c>
    </row>
    <row r="81">
      <c r="A81" s="16" t="inlineStr">
        <is>
          <t>4.1e · conserva su fuente y su x_b</t>
        </is>
      </c>
      <c r="B81" s="16" t="inlineStr">
        <is>
          <t>Eficiencia isentrópica de la bomba, η_p [–]</t>
        </is>
      </c>
      <c r="C81" s="16" t="inlineStr">
        <is>
          <t>Barrida</t>
        </is>
      </c>
      <c r="D81" s="16" t="inlineStr">
        <is>
          <t>0.403 – 0.948</t>
        </is>
      </c>
      <c r="E81" s="16" t="n">
        <v>120</v>
      </c>
      <c r="F81" s="16" t="n"/>
      <c r="G81" s="16" t="inlineStr">
        <is>
          <t>–</t>
        </is>
      </c>
    </row>
    <row r="82">
      <c r="A82" s="16" t="inlineStr">
        <is>
          <t>4.1e · conserva su fuente y su x_b</t>
        </is>
      </c>
      <c r="B82" s="16" t="inlineStr">
        <is>
          <t>Efectividad del generador de vapor, ε_HRVG [–]</t>
        </is>
      </c>
      <c r="C82" s="16" t="inlineStr">
        <is>
          <t>Barrida</t>
        </is>
      </c>
      <c r="D82" s="16" t="inlineStr">
        <is>
          <t>0.404 – 0.949</t>
        </is>
      </c>
      <c r="E82" s="16" t="n">
        <v>120</v>
      </c>
      <c r="F82" s="16" t="n"/>
      <c r="G82" s="16" t="inlineStr">
        <is>
          <t>–</t>
        </is>
      </c>
    </row>
    <row r="83">
      <c r="A83" s="16" t="inlineStr">
        <is>
          <t>4.1e · conserva su fuente y su x_b</t>
        </is>
      </c>
      <c r="B83" s="16" t="inlineStr">
        <is>
          <t>Efectividad del regenerador, ε_reg [–]</t>
        </is>
      </c>
      <c r="C83" s="16" t="inlineStr">
        <is>
          <t>Barrida</t>
        </is>
      </c>
      <c r="D83" s="16" t="inlineStr">
        <is>
          <t>0.403 – 0.947</t>
        </is>
      </c>
      <c r="E83" s="16" t="n">
        <v>120</v>
      </c>
      <c r="F83" s="16" t="n"/>
      <c r="G83" s="16" t="inlineStr">
        <is>
          <t>–</t>
        </is>
      </c>
    </row>
    <row r="84">
      <c r="A84" s="16" t="inlineStr">
        <is>
          <t>4.1e · conserva su fuente y su x_b</t>
        </is>
      </c>
      <c r="B84" s="16" t="inlineStr">
        <is>
          <t>Efectividad del condensador, ε_cond [–]</t>
        </is>
      </c>
      <c r="C84" s="16" t="inlineStr">
        <is>
          <t>Barrida</t>
        </is>
      </c>
      <c r="D84" s="16" t="inlineStr">
        <is>
          <t>0.401 – 0.948</t>
        </is>
      </c>
      <c r="E84" s="16" t="n">
        <v>120</v>
      </c>
      <c r="F84" s="16" t="n"/>
      <c r="G84" s="16" t="inlineStr">
        <is>
          <t>–</t>
        </is>
      </c>
    </row>
    <row r="85">
      <c r="A85" s="16" t="inlineStr">
        <is>
          <t>4.1e · conserva su fuente y su x_b</t>
        </is>
      </c>
      <c r="B85" s="16" t="inlineStr">
        <is>
          <t>Piso de O2 (T de diseño de la bomba) [K]</t>
        </is>
      </c>
      <c r="C85" s="16" t="inlineStr">
        <is>
          <t>Barrida</t>
        </is>
      </c>
      <c r="D85" s="16" t="inlineStr">
        <is>
          <t>278.3 – 303.4</t>
        </is>
      </c>
      <c r="E85" s="16" t="n">
        <v>119</v>
      </c>
      <c r="F85" s="16" t="n"/>
      <c r="G85" s="16" t="inlineStr">
        <is>
          <t>K</t>
        </is>
      </c>
    </row>
    <row r="86">
      <c r="A86" s="16" t="inlineStr">
        <is>
          <t>4.1e · conserva su fuente y su x_b</t>
        </is>
      </c>
      <c r="B86" s="16" t="inlineStr">
        <is>
          <t>motor de propiedades</t>
        </is>
      </c>
      <c r="C86" s="16" t="inlineStr">
        <is>
          <t>Fija</t>
        </is>
      </c>
      <c r="D86" s="16" t="inlineStr">
        <is>
          <t>teqp</t>
        </is>
      </c>
      <c r="E86" s="16" t="n"/>
      <c r="F86" s="16" t="n"/>
      <c r="G86" s="16" t="inlineStr">
        <is>
          <t>–</t>
        </is>
      </c>
    </row>
    <row r="88">
      <c r="A88" s="23" t="inlineStr">
        <is>
          <t>Notas: Filtro: cada parte y cada variable. n = 65 filas en la tabla. † = fuera del rango confiable (IAPWS G4-01); ‡ = falso convergido. Fuente: analisis_final/00_inventario/condiciones_por_subcaso.csv.</t>
        </is>
      </c>
    </row>
  </sheetData>
  <autoFilter ref="A21:G86"/>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46"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4.1-2 · Corridas por parte y por clase</t>
        </is>
      </c>
    </row>
    <row r="2">
      <c r="A2" s="20" t="inlineStr">
        <is>
          <t>Estudio 4.1 · Escenarios de conservación · Partes: 4.1a, 4.1b, 4.1c, 4.1d, 4.1e</t>
        </is>
      </c>
    </row>
    <row r="3">
      <c r="A3" s="20" t="inlineStr">
        <is>
          <t>Punto base: PP parcial según escenario S1 a S5</t>
        </is>
      </c>
    </row>
    <row r="4">
      <c r="A4" s="41" t="inlineStr">
        <is>
          <t>Parte 4.1a (conserva sus temperaturas):</t>
        </is>
      </c>
    </row>
    <row r="5">
      <c r="A5" s="21" t="inlineStr">
        <is>
          <t>Datos fijos: T_fuente = 623.15 K; T_sumidero = 300.03 K; m_b = 1 kg/s; piso de O2 = 300.03 K; motor de propiedades = teqp.</t>
        </is>
      </c>
    </row>
    <row r="6">
      <c r="A6" s="21" t="inlineStr">
        <is>
          <t>Datos barridos: P_alta [2000.1–4986.6] kPa (120 valores); P_baja [202.14–1989.7] kPa (120 valores); x_b [0.50124–0.84895] (120 valores); η_t [0.40062–0.94745] (120 valores); η_p [0.4043–0.94919] (120 valores); ε_HRVG [0.40441–0.94919] (120 valores); ε_reg [0.40384–0.9479] (120 valores); ε_cond [0.40087–0.94579] (120 valores).</t>
        </is>
      </c>
    </row>
    <row r="7">
      <c r="A7" s="41" t="inlineStr">
        <is>
          <t>Parte 4.1b (conserva sus presiones):</t>
        </is>
      </c>
    </row>
    <row r="8">
      <c r="A8" s="21" t="inlineStr">
        <is>
          <t>Datos fijos: P_alta = 3000 kPa; P_baja = 400 kPa; m_b = 1 kg/s; motor de propiedades = teqp.</t>
        </is>
      </c>
    </row>
    <row r="9">
      <c r="A9" s="21" t="inlineStr">
        <is>
          <t>Datos barridos: T_fuente [381.61–621.77] K (120 valores); T_sumidero [278.26–303.48] K (120 valores); x_b [0.50084–0.84732] (120 valores); η_t [0.40268–0.94858] (120 valores); η_p [0.40103–0.9471] (120 valores); ε_HRVG [0.40217–0.94755] (120 valores); ε_reg [0.40228–0.9466] (120 valores); ε_cond [0.40209–0.9474] (120 valores); piso de O2 [278.26–303.48] K (120 valores).</t>
        </is>
      </c>
    </row>
    <row r="10">
      <c r="A10" s="41" t="inlineStr">
        <is>
          <t>Parte 4.1c (conserva sus presiones y su clima):</t>
        </is>
      </c>
    </row>
    <row r="11">
      <c r="A11" s="21" t="inlineStr">
        <is>
          <t>Datos fijos: T_sumidero = 300.03 K; P_alta = 3000 kPa; P_baja = 400 kPa; m_b = 1 kg/s; piso de O2 = 300.03 K; motor de propiedades = teqp.</t>
        </is>
      </c>
    </row>
    <row r="12">
      <c r="A12" s="21" t="inlineStr">
        <is>
          <t>Datos barridos: T_fuente [380.23–622.4] K (120 valores); x_b [0.50023–0.84932] (120 valores); η_t [0.40006–0.94769] (120 valores); η_p [0.4036–0.94548] (120 valores); ε_HRVG [0.40016–0.94888] (120 valores); ε_reg [0.40216–0.9486] (120 valores); ε_cond [0.40424–0.94685] (120 valores).</t>
        </is>
      </c>
    </row>
    <row r="13">
      <c r="A13" s="41" t="inlineStr">
        <is>
          <t>Parte 4.1d (conserva su P_alta y sus temperaturas):</t>
        </is>
      </c>
    </row>
    <row r="14">
      <c r="A14" s="21" t="inlineStr">
        <is>
          <t>Datos fijos: T_fuente = 623.15 K; T_sumidero = 300.03 K; P_alta = 3000 kPa; m_b = 1 kg/s; piso de O2 = 300.03 K; motor de propiedades = teqp.</t>
        </is>
      </c>
    </row>
    <row r="15">
      <c r="A15" s="21" t="inlineStr">
        <is>
          <t>Datos barridos: P_baja [211.42–1985.6] kPa (120 valores); x_b [0.50226–0.84794] (120 valores); η_t [0.40325–0.94578] (120 valores); η_p [0.40037–0.94661] (120 valores); ε_HRVG [0.40425–0.94958] (120 valores); ε_reg [0.40094–0.9466] (120 valores); ε_cond [0.40217–0.94675] (120 valores).</t>
        </is>
      </c>
    </row>
    <row r="16">
      <c r="A16" s="41" t="inlineStr">
        <is>
          <t>Parte 4.1e (conserva su fuente y su x_b):</t>
        </is>
      </c>
    </row>
    <row r="17">
      <c r="A17" s="21" t="inlineStr">
        <is>
          <t>Datos fijos: T_fuente = 623.15 K; x_b = 0.5; m_b = 1 kg/s; motor de propiedades = teqp.</t>
        </is>
      </c>
    </row>
    <row r="18">
      <c r="A18" s="21" t="inlineStr">
        <is>
          <t>Datos barridos: T_sumidero [278.28–303.36] K (120 valores); P_alta [2023–4997.5] kPa (120 valores); P_baja [206.13–1999.3] kPa (120 valores); η_t [0.4033–0.94995] (120 valores); η_p [0.40348–0.9476] (120 valores); ε_HRVG [0.40414–0.94874] (120 valores); ε_reg [0.40265–0.94725] (120 valores); ε_cond [0.40127–0.94825] (120 valores); piso de O2 [278.28–303.36] K (119 valores).</t>
        </is>
      </c>
    </row>
    <row r="19">
      <c r="A19" s="20" t="inlineStr">
        <is>
          <t>Fuente: analisis_final/00_inventario/conteo_por_subcaso.csv</t>
        </is>
      </c>
    </row>
    <row r="21">
      <c r="A21" s="22" t="inlineStr">
        <is>
          <t>Parte</t>
        </is>
      </c>
      <c r="B21" s="22" t="inlineStr">
        <is>
          <t>Corridas</t>
        </is>
      </c>
      <c r="C21" s="22" t="inlineStr">
        <is>
          <t>Omitidos</t>
        </is>
      </c>
      <c r="D21" s="22" t="inlineStr">
        <is>
          <t>Genuinos</t>
        </is>
      </c>
      <c r="E21" s="22" t="inlineStr">
        <is>
          <t>KALINA</t>
        </is>
      </c>
      <c r="F21" s="22" t="inlineStr">
        <is>
          <t>KALINA confiables</t>
        </is>
      </c>
      <c r="G21" s="22" t="inlineStr">
        <is>
          <t>Corregibles</t>
        </is>
      </c>
      <c r="H21" s="22" t="inlineStr">
        <is>
          <t>Inviables</t>
        </is>
      </c>
      <c r="I21" s="22" t="inlineStr">
        <is>
          <t>No convergidos</t>
        </is>
      </c>
      <c r="J21" s="22" t="inlineStr">
        <is>
          <t>Falsos convergidos</t>
        </is>
      </c>
      <c r="K21" s="22" t="inlineStr">
        <is>
          <t>Fuera de rango</t>
        </is>
      </c>
    </row>
    <row r="22">
      <c r="A22" s="16" t="inlineStr">
        <is>
          <t>4.1a · conserva sus temperaturas</t>
        </is>
      </c>
      <c r="B22" s="16" t="n">
        <v>120</v>
      </c>
      <c r="C22" s="16" t="n">
        <v>1</v>
      </c>
      <c r="D22" s="16" t="n">
        <v>59</v>
      </c>
      <c r="E22" s="16" t="n">
        <v>4</v>
      </c>
      <c r="F22" s="16" t="n">
        <v>2</v>
      </c>
      <c r="G22" s="16" t="n">
        <v>40</v>
      </c>
      <c r="H22" s="16" t="n">
        <v>15</v>
      </c>
      <c r="I22" s="16" t="n">
        <v>58</v>
      </c>
      <c r="J22" s="16" t="n">
        <v>2</v>
      </c>
      <c r="K22" s="16" t="n">
        <v>53</v>
      </c>
    </row>
    <row r="23">
      <c r="A23" s="16" t="inlineStr">
        <is>
          <t>4.1b · conserva sus presiones</t>
        </is>
      </c>
      <c r="B23" s="16" t="n">
        <v>120</v>
      </c>
      <c r="C23" s="16" t="n">
        <v>0</v>
      </c>
      <c r="D23" s="16" t="n">
        <v>95</v>
      </c>
      <c r="E23" s="16" t="n">
        <v>0</v>
      </c>
      <c r="F23" s="16" t="n">
        <v>0</v>
      </c>
      <c r="G23" s="16" t="n">
        <v>57</v>
      </c>
      <c r="H23" s="16" t="n">
        <v>38</v>
      </c>
      <c r="I23" s="16" t="n">
        <v>23</v>
      </c>
      <c r="J23" s="16" t="n">
        <v>2</v>
      </c>
      <c r="K23" s="16" t="n">
        <v>66</v>
      </c>
    </row>
    <row r="24">
      <c r="A24" s="16" t="inlineStr">
        <is>
          <t>4.1c · conserva sus presiones y su clima</t>
        </is>
      </c>
      <c r="B24" s="16" t="n">
        <v>120</v>
      </c>
      <c r="C24" s="16" t="n">
        <v>0</v>
      </c>
      <c r="D24" s="16" t="n">
        <v>84</v>
      </c>
      <c r="E24" s="16" t="n">
        <v>0</v>
      </c>
      <c r="F24" s="16" t="n">
        <v>0</v>
      </c>
      <c r="G24" s="16" t="n">
        <v>29</v>
      </c>
      <c r="H24" s="16" t="n">
        <v>55</v>
      </c>
      <c r="I24" s="16" t="n">
        <v>30</v>
      </c>
      <c r="J24" s="16" t="n">
        <v>6</v>
      </c>
      <c r="K24" s="16" t="n">
        <v>64</v>
      </c>
    </row>
    <row r="25">
      <c r="A25" s="16" t="inlineStr">
        <is>
          <t>4.1d · conserva su P_alta y sus temperaturas</t>
        </is>
      </c>
      <c r="B25" s="16" t="n">
        <v>120</v>
      </c>
      <c r="C25" s="16" t="n">
        <v>0</v>
      </c>
      <c r="D25" s="16" t="n">
        <v>62</v>
      </c>
      <c r="E25" s="16" t="n">
        <v>6</v>
      </c>
      <c r="F25" s="16" t="n">
        <v>0</v>
      </c>
      <c r="G25" s="16" t="n">
        <v>38</v>
      </c>
      <c r="H25" s="16" t="n">
        <v>18</v>
      </c>
      <c r="I25" s="16" t="n">
        <v>56</v>
      </c>
      <c r="J25" s="16" t="n">
        <v>2</v>
      </c>
      <c r="K25" s="16" t="n">
        <v>57</v>
      </c>
    </row>
    <row r="26">
      <c r="A26" s="16" t="inlineStr">
        <is>
          <t>4.1e · conserva su fuente y su x_b</t>
        </is>
      </c>
      <c r="B26" s="16" t="n">
        <v>120</v>
      </c>
      <c r="C26" s="16" t="n">
        <v>1</v>
      </c>
      <c r="D26" s="16" t="n">
        <v>82</v>
      </c>
      <c r="E26" s="16" t="n">
        <v>10</v>
      </c>
      <c r="F26" s="16" t="n">
        <v>0</v>
      </c>
      <c r="G26" s="16" t="n">
        <v>55</v>
      </c>
      <c r="H26" s="16" t="n">
        <v>17</v>
      </c>
      <c r="I26" s="16" t="n">
        <v>37</v>
      </c>
      <c r="J26" s="16" t="n">
        <v>0</v>
      </c>
      <c r="K26" s="16" t="n">
        <v>82</v>
      </c>
    </row>
    <row r="28">
      <c r="A28" s="23" t="inlineStr">
        <is>
          <t>Notas: Filtro: conteo por parte. n = 5 filas en la tabla. † = fuera del rango confiable (IAPWS G4-01); ‡ = falso convergido. Fuente: analisis_final/00_inventario/conteo_por_subcaso.csv.</t>
        </is>
      </c>
    </row>
  </sheetData>
  <autoFilter ref="A21:K26"/>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28"/>
  <sheetViews>
    <sheetView workbookViewId="0">
      <selection activeCell="A1" sqref="A1"/>
    </sheetView>
  </sheetViews>
  <sheetFormatPr baseColWidth="8" defaultRowHeight="15"/>
  <cols>
    <col width="11" customWidth="1" min="1" max="1"/>
    <col width="10" customWidth="1" min="2" max="2"/>
    <col width="10" customWidth="1" min="3" max="3"/>
    <col width="11" customWidth="1" min="4" max="4"/>
    <col width="10" customWidth="1" min="5" max="5"/>
    <col width="10" customWidth="1" min="6" max="6"/>
    <col width="20" customWidth="1" min="7" max="7"/>
    <col width="16" customWidth="1" min="8" max="8"/>
    <col width="10" customWidth="1" min="9" max="9"/>
    <col width="21" customWidth="1" min="10" max="10"/>
    <col width="19" customWidth="1" min="11" max="11"/>
    <col width="10" customWidth="1" min="12" max="12"/>
    <col width="28" customWidth="1" min="13" max="13"/>
    <col width="31" customWidth="1" min="14" max="14"/>
    <col width="19" customWidth="1" min="15" max="15"/>
    <col width="23" customWidth="1" min="16" max="16"/>
    <col width="30" customWidth="1" min="17" max="17"/>
    <col width="14" customWidth="1" min="18" max="18"/>
    <col width="18" customWidth="1" min="19" max="19"/>
  </cols>
  <sheetData>
    <row r="1">
      <c r="A1" s="19" t="inlineStr">
        <is>
          <t>Tabla 4.1-3 · Resumen por escenario de conservación</t>
        </is>
      </c>
    </row>
    <row r="2">
      <c r="A2" s="20" t="inlineStr">
        <is>
          <t>Estudio 4.1 · Escenarios de conservación · Partes: 4.1a, 4.1b, 4.1c, 4.1d, 4.1e</t>
        </is>
      </c>
    </row>
    <row r="3">
      <c r="A3" s="20" t="inlineStr">
        <is>
          <t>Punto base: PP parcial según escenario S1 a S5</t>
        </is>
      </c>
    </row>
    <row r="4">
      <c r="A4" s="41" t="inlineStr">
        <is>
          <t>Parte 4.1a (conserva sus temperaturas):</t>
        </is>
      </c>
    </row>
    <row r="5">
      <c r="A5" s="21" t="inlineStr">
        <is>
          <t>Datos fijos: T_fuente = 623.15 K; T_sumidero = 300.03 K; m_b = 1 kg/s; piso de O2 = 300.03 K; motor de propiedades = teqp.</t>
        </is>
      </c>
    </row>
    <row r="6">
      <c r="A6" s="21" t="inlineStr">
        <is>
          <t>Datos barridos: P_alta [2000.1–4986.6] kPa (120 valores); P_baja [202.14–1989.7] kPa (120 valores); x_b [0.50124–0.84895] (120 valores); η_t [0.40062–0.94745] (120 valores); η_p [0.4043–0.94919] (120 valores); ε_HRVG [0.40441–0.94919] (120 valores); ε_reg [0.40384–0.9479] (120 valores); ε_cond [0.40087–0.94579] (120 valores).</t>
        </is>
      </c>
    </row>
    <row r="7">
      <c r="A7" s="41" t="inlineStr">
        <is>
          <t>Parte 4.1b (conserva sus presiones):</t>
        </is>
      </c>
    </row>
    <row r="8">
      <c r="A8" s="21" t="inlineStr">
        <is>
          <t>Datos fijos: P_alta = 3000 kPa; P_baja = 400 kPa; m_b = 1 kg/s; motor de propiedades = teqp.</t>
        </is>
      </c>
    </row>
    <row r="9">
      <c r="A9" s="21" t="inlineStr">
        <is>
          <t>Datos barridos: T_fuente [381.61–621.77] K (120 valores); T_sumidero [278.26–303.48] K (120 valores); x_b [0.50084–0.84732] (120 valores); η_t [0.40268–0.94858] (120 valores); η_p [0.40103–0.9471] (120 valores); ε_HRVG [0.40217–0.94755] (120 valores); ε_reg [0.40228–0.9466] (120 valores); ε_cond [0.40209–0.9474] (120 valores); piso de O2 [278.26–303.48] K (120 valores).</t>
        </is>
      </c>
    </row>
    <row r="10">
      <c r="A10" s="41" t="inlineStr">
        <is>
          <t>Parte 4.1c (conserva sus presiones y su clima):</t>
        </is>
      </c>
    </row>
    <row r="11">
      <c r="A11" s="21" t="inlineStr">
        <is>
          <t>Datos fijos: T_sumidero = 300.03 K; P_alta = 3000 kPa; P_baja = 400 kPa; m_b = 1 kg/s; piso de O2 = 300.03 K; motor de propiedades = teqp.</t>
        </is>
      </c>
    </row>
    <row r="12">
      <c r="A12" s="21" t="inlineStr">
        <is>
          <t>Datos barridos: T_fuente [380.23–622.4] K (120 valores); x_b [0.50023–0.84932] (120 valores); η_t [0.40006–0.94769] (120 valores); η_p [0.4036–0.94548] (120 valores); ε_HRVG [0.40016–0.94888] (120 valores); ε_reg [0.40216–0.9486] (120 valores); ε_cond [0.40424–0.94685] (120 valores).</t>
        </is>
      </c>
    </row>
    <row r="13">
      <c r="A13" s="41" t="inlineStr">
        <is>
          <t>Parte 4.1d (conserva su P_alta y sus temperaturas):</t>
        </is>
      </c>
    </row>
    <row r="14">
      <c r="A14" s="21" t="inlineStr">
        <is>
          <t>Datos fijos: T_fuente = 623.15 K; T_sumidero = 300.03 K; P_alta = 3000 kPa; m_b = 1 kg/s; piso de O2 = 300.03 K; motor de propiedades = teqp.</t>
        </is>
      </c>
    </row>
    <row r="15">
      <c r="A15" s="21" t="inlineStr">
        <is>
          <t>Datos barridos: P_baja [211.42–1985.6] kPa (120 valores); x_b [0.50226–0.84794] (120 valores); η_t [0.40325–0.94578] (120 valores); η_p [0.40037–0.94661] (120 valores); ε_HRVG [0.40425–0.94958] (120 valores); ε_reg [0.40094–0.9466] (120 valores); ε_cond [0.40217–0.94675] (120 valores).</t>
        </is>
      </c>
    </row>
    <row r="16">
      <c r="A16" s="41" t="inlineStr">
        <is>
          <t>Parte 4.1e (conserva su fuente y su x_b):</t>
        </is>
      </c>
    </row>
    <row r="17">
      <c r="A17" s="21" t="inlineStr">
        <is>
          <t>Datos fijos: T_fuente = 623.15 K; x_b = 0.5; m_b = 1 kg/s; motor de propiedades = teqp.</t>
        </is>
      </c>
    </row>
    <row r="18">
      <c r="A18" s="21" t="inlineStr">
        <is>
          <t>Datos barridos: T_sumidero [278.28–303.36] K (120 valores); P_alta [2023–4997.5] kPa (120 valores); P_baja [206.13–1999.3] kPa (120 valores); η_t [0.4033–0.94995] (120 valores); η_p [0.40348–0.9476] (120 valores); ε_HRVG [0.40414–0.94874] (120 valores); ε_reg [0.40265–0.94725] (120 valores); ε_cond [0.40127–0.94825] (120 valores); piso de O2 [278.28–303.36] K (119 valores).</t>
        </is>
      </c>
    </row>
    <row r="19">
      <c r="A19" s="20" t="inlineStr">
        <is>
          <t>Fuente: resultados/2026-10-07_final_M5/m5_resumen.csv</t>
        </is>
      </c>
    </row>
    <row r="21">
      <c r="A21" s="22" t="inlineStr">
        <is>
          <t>Escenario</t>
        </is>
      </c>
      <c r="B21" s="22" t="inlineStr">
        <is>
          <t>N</t>
        </is>
      </c>
      <c r="C21" s="22" t="inlineStr">
        <is>
          <t>Omitidos</t>
        </is>
      </c>
      <c r="D21" s="22" t="inlineStr">
        <is>
          <t>Evaluados</t>
        </is>
      </c>
      <c r="E21" s="22" t="inlineStr">
        <is>
          <t>KALINA</t>
        </is>
      </c>
      <c r="F21" s="22" t="inlineStr">
        <is>
          <t>Genuinos</t>
        </is>
      </c>
      <c r="G21" s="22" t="inlineStr">
        <is>
          <t>Falsos convergidos</t>
        </is>
      </c>
      <c r="H21" s="22" t="inlineStr">
        <is>
          <t>Fuera de rango</t>
        </is>
      </c>
      <c r="I21" s="22" t="inlineStr">
        <is>
          <t>Factible</t>
        </is>
      </c>
      <c r="J21" s="22" t="inlineStr">
        <is>
          <t>Criterio bloqueante</t>
        </is>
      </c>
      <c r="K21" s="22" t="inlineStr">
        <is>
          <t>Veces que bloquea</t>
        </is>
      </c>
      <c r="L21" s="22" t="inlineStr">
        <is>
          <t>D mínimo</t>
        </is>
      </c>
      <c r="M21" s="22" t="inlineStr">
        <is>
          <t>Identificador del D mínimo</t>
        </is>
      </c>
      <c r="N21" s="22" t="inlineStr">
        <is>
          <t>Identificador del más cercano</t>
        </is>
      </c>
      <c r="O21" s="22" t="inlineStr">
        <is>
          <t>d del más cercano</t>
        </is>
      </c>
      <c r="P21" s="22" t="inlineStr">
        <is>
          <t>η del más cercano [%]</t>
        </is>
      </c>
      <c r="Q21" s="22" t="inlineStr">
        <is>
          <t>Identificador de la η máxima</t>
        </is>
      </c>
      <c r="R21" s="22" t="inlineStr">
        <is>
          <t>η máxima [%]</t>
        </is>
      </c>
      <c r="S21" s="22" t="inlineStr">
        <is>
          <t>Tiempo total [s]</t>
        </is>
      </c>
    </row>
    <row r="22">
      <c r="A22" s="16" t="n">
        <v>1</v>
      </c>
      <c r="B22" s="16" t="n">
        <v>120</v>
      </c>
      <c r="C22" s="16" t="n">
        <v>1</v>
      </c>
      <c r="D22" s="16" t="n">
        <v>119</v>
      </c>
      <c r="E22" s="16" t="n">
        <v>4</v>
      </c>
      <c r="F22" s="16" t="n">
        <v>59</v>
      </c>
      <c r="G22" s="16" t="n">
        <v>2</v>
      </c>
      <c r="H22" s="16" t="n">
        <v>53</v>
      </c>
      <c r="I22" s="16" t="inlineStr">
        <is>
          <t>sí</t>
        </is>
      </c>
      <c r="J22" s="16" t="inlineStr">
        <is>
          <t>O2</t>
        </is>
      </c>
      <c r="K22" s="16" t="n">
        <v>55</v>
      </c>
      <c r="L22" s="16" t="n">
        <v>0</v>
      </c>
      <c r="M22" s="16" t="n">
        <v>53</v>
      </c>
      <c r="N22" s="16" t="n">
        <v>79</v>
      </c>
      <c r="O22" s="16" t="n">
        <v>2.6099</v>
      </c>
      <c r="P22" s="29" t="n">
        <v>4.3535</v>
      </c>
      <c r="Q22" s="16" t="n">
        <v>53</v>
      </c>
      <c r="R22" s="29" t="n">
        <v>9.289099999999999</v>
      </c>
      <c r="S22" s="16" t="n">
        <v>11567</v>
      </c>
    </row>
    <row r="23">
      <c r="A23" s="16" t="n">
        <v>2</v>
      </c>
      <c r="B23" s="16" t="n">
        <v>120</v>
      </c>
      <c r="C23" s="16" t="n">
        <v>0</v>
      </c>
      <c r="D23" s="16" t="n">
        <v>120</v>
      </c>
      <c r="E23" s="16" t="n">
        <v>0</v>
      </c>
      <c r="F23" s="16" t="n">
        <v>95</v>
      </c>
      <c r="G23" s="16" t="n">
        <v>2</v>
      </c>
      <c r="H23" s="16" t="n">
        <v>66</v>
      </c>
      <c r="I23" s="16" t="inlineStr">
        <is>
          <t>no</t>
        </is>
      </c>
      <c r="J23" s="16" t="inlineStr">
        <is>
          <t>O2</t>
        </is>
      </c>
      <c r="K23" s="16" t="n">
        <v>95</v>
      </c>
      <c r="L23" s="16" t="n">
        <v>0.21967</v>
      </c>
      <c r="M23" s="16" t="n">
        <v>40</v>
      </c>
      <c r="N23" s="16" t="n"/>
      <c r="O23" s="16" t="n"/>
      <c r="P23" s="16" t="n"/>
      <c r="Q23" s="16" t="n"/>
      <c r="R23" s="16" t="n"/>
      <c r="S23" s="16" t="n">
        <v>14465</v>
      </c>
    </row>
    <row r="24">
      <c r="A24" s="16" t="n">
        <v>3</v>
      </c>
      <c r="B24" s="16" t="n">
        <v>120</v>
      </c>
      <c r="C24" s="16" t="n">
        <v>0</v>
      </c>
      <c r="D24" s="16" t="n">
        <v>120</v>
      </c>
      <c r="E24" s="16" t="n">
        <v>0</v>
      </c>
      <c r="F24" s="16" t="n">
        <v>84</v>
      </c>
      <c r="G24" s="16" t="n">
        <v>6</v>
      </c>
      <c r="H24" s="16" t="n">
        <v>64</v>
      </c>
      <c r="I24" s="16" t="inlineStr">
        <is>
          <t>no</t>
        </is>
      </c>
      <c r="J24" s="16" t="inlineStr">
        <is>
          <t>O2</t>
        </is>
      </c>
      <c r="K24" s="16" t="n">
        <v>84</v>
      </c>
      <c r="L24" s="16" t="n">
        <v>1.57</v>
      </c>
      <c r="M24" s="16" t="n">
        <v>106</v>
      </c>
      <c r="N24" s="16" t="n"/>
      <c r="O24" s="16" t="n"/>
      <c r="P24" s="16" t="n"/>
      <c r="Q24" s="16" t="n"/>
      <c r="R24" s="16" t="n"/>
      <c r="S24" s="16" t="n">
        <v>17054</v>
      </c>
    </row>
    <row r="25">
      <c r="A25" s="16" t="n">
        <v>4</v>
      </c>
      <c r="B25" s="16" t="n">
        <v>120</v>
      </c>
      <c r="C25" s="16" t="n">
        <v>0</v>
      </c>
      <c r="D25" s="16" t="n">
        <v>120</v>
      </c>
      <c r="E25" s="16" t="n">
        <v>6</v>
      </c>
      <c r="F25" s="16" t="n">
        <v>62</v>
      </c>
      <c r="G25" s="16" t="n">
        <v>2</v>
      </c>
      <c r="H25" s="16" t="n">
        <v>57</v>
      </c>
      <c r="I25" s="16" t="inlineStr">
        <is>
          <t>sí</t>
        </is>
      </c>
      <c r="J25" s="16" t="inlineStr">
        <is>
          <t>O2</t>
        </is>
      </c>
      <c r="K25" s="16" t="n">
        <v>56</v>
      </c>
      <c r="L25" s="16" t="n">
        <v>0</v>
      </c>
      <c r="M25" s="16" t="n">
        <v>23</v>
      </c>
      <c r="N25" s="16" t="n">
        <v>119</v>
      </c>
      <c r="O25" s="16" t="n">
        <v>2.0053</v>
      </c>
      <c r="P25" s="29" t="n">
        <v>3.7361</v>
      </c>
      <c r="Q25" s="16" t="n">
        <v>93</v>
      </c>
      <c r="R25" s="29" t="n">
        <v>6.7201</v>
      </c>
      <c r="S25" s="16" t="n">
        <v>9901.5</v>
      </c>
    </row>
    <row r="26">
      <c r="A26" s="16" t="n">
        <v>5</v>
      </c>
      <c r="B26" s="16" t="n">
        <v>120</v>
      </c>
      <c r="C26" s="16" t="n">
        <v>1</v>
      </c>
      <c r="D26" s="16" t="n">
        <v>119</v>
      </c>
      <c r="E26" s="16" t="n">
        <v>10</v>
      </c>
      <c r="F26" s="16" t="n">
        <v>82</v>
      </c>
      <c r="G26" s="16" t="n">
        <v>0</v>
      </c>
      <c r="H26" s="16" t="n">
        <v>82</v>
      </c>
      <c r="I26" s="16" t="inlineStr">
        <is>
          <t>sí</t>
        </is>
      </c>
      <c r="J26" s="16" t="inlineStr">
        <is>
          <t>O2</t>
        </is>
      </c>
      <c r="K26" s="16" t="n">
        <v>72</v>
      </c>
      <c r="L26" s="16" t="n">
        <v>0</v>
      </c>
      <c r="M26" s="16" t="n">
        <v>20</v>
      </c>
      <c r="N26" s="16" t="n">
        <v>103</v>
      </c>
      <c r="O26" s="16" t="n">
        <v>2.4028</v>
      </c>
      <c r="P26" s="29" t="n">
        <v>6.9198</v>
      </c>
      <c r="Q26" s="16" t="n">
        <v>24</v>
      </c>
      <c r="R26" s="29" t="n">
        <v>8.457700000000001</v>
      </c>
      <c r="S26" s="16" t="n">
        <v>10783</v>
      </c>
    </row>
    <row r="28">
      <c r="A28" s="23" t="inlineStr">
        <is>
          <t>Notas: Filtro: todos los puntos de los escenarios S1 a S5. n = 5 filas en la tabla. † = fuera del rango confiable (IAPWS G4-01); ‡ = falso convergido. Fuente: resultados/2026-10-07_final_M5/m5_resumen.csv.</t>
        </is>
      </c>
    </row>
  </sheetData>
  <autoFilter ref="A21:S26"/>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cols>
    <col width="11" customWidth="1" min="1" max="1"/>
    <col width="12" customWidth="1" min="2" max="2"/>
    <col width="11" customWidth="1" min="3" max="3"/>
    <col width="10" customWidth="1" min="4" max="4"/>
    <col width="10" customWidth="1" min="5" max="5"/>
    <col width="13" customWidth="1" min="6" max="6"/>
    <col width="10" customWidth="1" min="7" max="7"/>
    <col width="14" customWidth="1" min="8" max="8"/>
    <col width="10" customWidth="1" min="9" max="9"/>
    <col width="10" customWidth="1" min="10" max="10"/>
    <col width="12" customWidth="1" min="11" max="11"/>
  </cols>
  <sheetData>
    <row r="1">
      <c r="A1" s="19" t="inlineStr">
        <is>
          <t>Tabla 4.1-4 · Rangos por escenario (KALINA contra no KALINA)</t>
        </is>
      </c>
    </row>
    <row r="2">
      <c r="A2" s="20" t="inlineStr">
        <is>
          <t>Estudio 4.1 · Escenarios de conservación · Partes: 4.1a, 4.1b, 4.1c, 4.1d, 4.1e</t>
        </is>
      </c>
    </row>
    <row r="3">
      <c r="A3" s="20" t="inlineStr">
        <is>
          <t>Punto base: PP parcial según escenario S1 a S5</t>
        </is>
      </c>
    </row>
    <row r="4">
      <c r="A4" s="41" t="inlineStr">
        <is>
          <t>Parte 4.1a (conserva sus temperaturas):</t>
        </is>
      </c>
    </row>
    <row r="5">
      <c r="A5" s="21" t="inlineStr">
        <is>
          <t>Datos fijos: T_fuente = 623.15 K; T_sumidero = 300.03 K; m_b = 1 kg/s; piso de O2 = 300.03 K; motor de propiedades = teqp.</t>
        </is>
      </c>
    </row>
    <row r="6">
      <c r="A6" s="21" t="inlineStr">
        <is>
          <t>Datos barridos: P_alta [2000.1–4986.6] kPa (120 valores); P_baja [202.14–1989.7] kPa (120 valores); x_b [0.50124–0.84895] (120 valores); η_t [0.40062–0.94745] (120 valores); η_p [0.4043–0.94919] (120 valores); ε_HRVG [0.40441–0.94919] (120 valores); ε_reg [0.40384–0.9479] (120 valores); ε_cond [0.40087–0.94579] (120 valores).</t>
        </is>
      </c>
    </row>
    <row r="7">
      <c r="A7" s="41" t="inlineStr">
        <is>
          <t>Parte 4.1b (conserva sus presiones):</t>
        </is>
      </c>
    </row>
    <row r="8">
      <c r="A8" s="21" t="inlineStr">
        <is>
          <t>Datos fijos: P_alta = 3000 kPa; P_baja = 400 kPa; m_b = 1 kg/s; motor de propiedades = teqp.</t>
        </is>
      </c>
    </row>
    <row r="9">
      <c r="A9" s="21" t="inlineStr">
        <is>
          <t>Datos barridos: T_fuente [381.61–621.77] K (120 valores); T_sumidero [278.26–303.48] K (120 valores); x_b [0.50084–0.84732] (120 valores); η_t [0.40268–0.94858] (120 valores); η_p [0.40103–0.9471] (120 valores); ε_HRVG [0.40217–0.94755] (120 valores); ε_reg [0.40228–0.9466] (120 valores); ε_cond [0.40209–0.9474] (120 valores); piso de O2 [278.26–303.48] K (120 valores).</t>
        </is>
      </c>
    </row>
    <row r="10">
      <c r="A10" s="41" t="inlineStr">
        <is>
          <t>Parte 4.1c (conserva sus presiones y su clima):</t>
        </is>
      </c>
    </row>
    <row r="11">
      <c r="A11" s="21" t="inlineStr">
        <is>
          <t>Datos fijos: T_sumidero = 300.03 K; P_alta = 3000 kPa; P_baja = 400 kPa; m_b = 1 kg/s; piso de O2 = 300.03 K; motor de propiedades = teqp.</t>
        </is>
      </c>
    </row>
    <row r="12">
      <c r="A12" s="21" t="inlineStr">
        <is>
          <t>Datos barridos: T_fuente [380.23–622.4] K (120 valores); x_b [0.50023–0.84932] (120 valores); η_t [0.40006–0.94769] (120 valores); η_p [0.4036–0.94548] (120 valores); ε_HRVG [0.40016–0.94888] (120 valores); ε_reg [0.40216–0.9486] (120 valores); ε_cond [0.40424–0.94685] (120 valores).</t>
        </is>
      </c>
    </row>
    <row r="13">
      <c r="A13" s="41" t="inlineStr">
        <is>
          <t>Parte 4.1d (conserva su P_alta y sus temperaturas):</t>
        </is>
      </c>
    </row>
    <row r="14">
      <c r="A14" s="21" t="inlineStr">
        <is>
          <t>Datos fijos: T_fuente = 623.15 K; T_sumidero = 300.03 K; P_alta = 3000 kPa; m_b = 1 kg/s; piso de O2 = 300.03 K; motor de propiedades = teqp.</t>
        </is>
      </c>
    </row>
    <row r="15">
      <c r="A15" s="21" t="inlineStr">
        <is>
          <t>Datos barridos: P_baja [211.42–1985.6] kPa (120 valores); x_b [0.50226–0.84794] (120 valores); η_t [0.40325–0.94578] (120 valores); η_p [0.40037–0.94661] (120 valores); ε_HRVG [0.40425–0.94958] (120 valores); ε_reg [0.40094–0.9466] (120 valores); ε_cond [0.40217–0.94675] (120 valores).</t>
        </is>
      </c>
    </row>
    <row r="16">
      <c r="A16" s="41" t="inlineStr">
        <is>
          <t>Parte 4.1e (conserva su fuente y su x_b):</t>
        </is>
      </c>
    </row>
    <row r="17">
      <c r="A17" s="21" t="inlineStr">
        <is>
          <t>Datos fijos: T_fuente = 623.15 K; x_b = 0.5; m_b = 1 kg/s; motor de propiedades = teqp.</t>
        </is>
      </c>
    </row>
    <row r="18">
      <c r="A18" s="21" t="inlineStr">
        <is>
          <t>Datos barridos: T_sumidero [278.28–303.36] K (120 valores); P_alta [2023–4997.5] kPa (120 valores); P_baja [206.13–1999.3] kPa (120 valores); η_t [0.4033–0.94995] (120 valores); η_p [0.40348–0.9476] (120 valores); ε_HRVG [0.40414–0.94874] (120 valores); ε_reg [0.40265–0.94725] (120 valores); ε_cond [0.40127–0.94825] (120 valores); piso de O2 [278.28–303.36] K (119 valores).</t>
        </is>
      </c>
    </row>
    <row r="19">
      <c r="A19" s="20" t="inlineStr">
        <is>
          <t>Fuente: resultados/2026-10-07_final_M5/m5_rangos.csv</t>
        </is>
      </c>
    </row>
    <row r="21">
      <c r="A21" s="22" t="inlineStr">
        <is>
          <t>Escenario</t>
        </is>
      </c>
      <c r="B21" s="22" t="inlineStr">
        <is>
          <t>Variable</t>
        </is>
      </c>
      <c r="C21" s="22" t="inlineStr">
        <is>
          <t>Grupo</t>
        </is>
      </c>
      <c r="D21" s="22" t="inlineStr">
        <is>
          <t>N</t>
        </is>
      </c>
      <c r="E21" s="22" t="inlineStr">
        <is>
          <t>Mínimo</t>
        </is>
      </c>
      <c r="F21" s="22" t="inlineStr">
        <is>
          <t>Percentil 5</t>
        </is>
      </c>
      <c r="G21" s="22" t="inlineStr">
        <is>
          <t>Mediana</t>
        </is>
      </c>
      <c r="H21" s="22" t="inlineStr">
        <is>
          <t>Percentil 95</t>
        </is>
      </c>
      <c r="I21" s="22" t="inlineStr">
        <is>
          <t>Máximo</t>
        </is>
      </c>
      <c r="J21" s="22" t="inlineStr">
        <is>
          <t>KS</t>
        </is>
      </c>
      <c r="K21" s="22" t="inlineStr">
        <is>
          <t>Valor p</t>
        </is>
      </c>
    </row>
    <row r="22">
      <c r="A22" s="16" t="n">
        <v>1</v>
      </c>
      <c r="B22" s="16" t="inlineStr">
        <is>
          <t>P_alta</t>
        </is>
      </c>
      <c r="C22" s="42" t="inlineStr">
        <is>
          <t>KALINA</t>
        </is>
      </c>
      <c r="D22" s="16" t="n">
        <v>4</v>
      </c>
      <c r="E22" s="16" t="n">
        <v>2102.2</v>
      </c>
      <c r="F22" s="16" t="n">
        <v>2268</v>
      </c>
      <c r="G22" s="16" t="n">
        <v>3556.7</v>
      </c>
      <c r="H22" s="16" t="n">
        <v>4597.6</v>
      </c>
      <c r="I22" s="16" t="n">
        <v>4719.7</v>
      </c>
      <c r="J22" s="16" t="n"/>
      <c r="K22" s="16" t="n"/>
    </row>
    <row r="23">
      <c r="A23" s="16" t="n">
        <v>1</v>
      </c>
      <c r="B23" s="16" t="inlineStr">
        <is>
          <t>P_alta</t>
        </is>
      </c>
      <c r="C23" s="16" t="inlineStr">
        <is>
          <t>no_KALINA</t>
        </is>
      </c>
      <c r="D23" s="16" t="n">
        <v>115</v>
      </c>
      <c r="E23" s="16" t="n">
        <v>2044.2</v>
      </c>
      <c r="F23" s="16" t="n">
        <v>2201.4</v>
      </c>
      <c r="G23" s="16" t="n">
        <v>3522.1</v>
      </c>
      <c r="H23" s="16" t="n">
        <v>4850.2</v>
      </c>
      <c r="I23" s="16" t="n">
        <v>4986.6</v>
      </c>
      <c r="J23" s="16" t="n"/>
      <c r="K23" s="16" t="n"/>
    </row>
    <row r="24">
      <c r="A24" s="16" t="n">
        <v>1</v>
      </c>
      <c r="B24" s="16" t="inlineStr">
        <is>
          <t>P_baja</t>
        </is>
      </c>
      <c r="C24" s="42" t="inlineStr">
        <is>
          <t>KALINA</t>
        </is>
      </c>
      <c r="D24" s="16" t="n">
        <v>4</v>
      </c>
      <c r="E24" s="16" t="n">
        <v>1359.6</v>
      </c>
      <c r="F24" s="16" t="n">
        <v>1394.4</v>
      </c>
      <c r="G24" s="16" t="n">
        <v>1735.7</v>
      </c>
      <c r="H24" s="16" t="n">
        <v>1952.7</v>
      </c>
      <c r="I24" s="16" t="n">
        <v>1965.6</v>
      </c>
      <c r="J24" s="16" t="n"/>
      <c r="K24" s="16" t="n"/>
    </row>
    <row r="25">
      <c r="A25" s="16" t="n">
        <v>1</v>
      </c>
      <c r="B25" s="16" t="inlineStr">
        <is>
          <t>P_baja</t>
        </is>
      </c>
      <c r="C25" s="16" t="inlineStr">
        <is>
          <t>no_KALINA</t>
        </is>
      </c>
      <c r="D25" s="16" t="n">
        <v>115</v>
      </c>
      <c r="E25" s="16" t="n">
        <v>202.14</v>
      </c>
      <c r="F25" s="16" t="n">
        <v>294.48</v>
      </c>
      <c r="G25" s="16" t="n">
        <v>1059.9</v>
      </c>
      <c r="H25" s="16" t="n">
        <v>1885.4</v>
      </c>
      <c r="I25" s="16" t="n">
        <v>1989.7</v>
      </c>
      <c r="J25" s="16" t="n"/>
      <c r="K25" s="16" t="n"/>
    </row>
    <row r="26">
      <c r="A26" s="16" t="n">
        <v>1</v>
      </c>
      <c r="B26" s="16" t="inlineStr">
        <is>
          <t>x_b</t>
        </is>
      </c>
      <c r="C26" s="42" t="inlineStr">
        <is>
          <t>KALINA</t>
        </is>
      </c>
      <c r="D26" s="16" t="n">
        <v>4</v>
      </c>
      <c r="E26" s="16" t="n">
        <v>0.5769</v>
      </c>
      <c r="F26" s="16" t="n">
        <v>0.5805900000000001</v>
      </c>
      <c r="G26" s="16" t="n">
        <v>0.65748</v>
      </c>
      <c r="H26" s="16" t="n">
        <v>0.81207</v>
      </c>
      <c r="I26" s="16" t="n">
        <v>0.82948</v>
      </c>
      <c r="J26" s="16" t="n"/>
      <c r="K26" s="16" t="n"/>
    </row>
    <row r="27">
      <c r="A27" s="16" t="n">
        <v>1</v>
      </c>
      <c r="B27" s="16" t="inlineStr">
        <is>
          <t>x_b</t>
        </is>
      </c>
      <c r="C27" s="16" t="inlineStr">
        <is>
          <t>no_KALINA</t>
        </is>
      </c>
      <c r="D27" s="16" t="n">
        <v>115</v>
      </c>
      <c r="E27" s="16" t="n">
        <v>0.50124</v>
      </c>
      <c r="F27" s="16" t="n">
        <v>0.51781</v>
      </c>
      <c r="G27" s="16" t="n">
        <v>0.6769500000000001</v>
      </c>
      <c r="H27" s="16" t="n">
        <v>0.83196</v>
      </c>
      <c r="I27" s="16" t="n">
        <v>0.84895</v>
      </c>
      <c r="J27" s="16" t="n"/>
      <c r="K27" s="16" t="n"/>
    </row>
    <row r="28">
      <c r="A28" s="16" t="n">
        <v>1</v>
      </c>
      <c r="B28" s="16" t="inlineStr">
        <is>
          <t>η_t</t>
        </is>
      </c>
      <c r="C28" s="42" t="inlineStr">
        <is>
          <t>KALINA</t>
        </is>
      </c>
      <c r="D28" s="16" t="n">
        <v>4</v>
      </c>
      <c r="E28" s="16" t="n">
        <v>0.49247</v>
      </c>
      <c r="F28" s="16" t="n">
        <v>0.536</v>
      </c>
      <c r="G28" s="16" t="n">
        <v>0.80877</v>
      </c>
      <c r="H28" s="16" t="n">
        <v>0.83588</v>
      </c>
      <c r="I28" s="16" t="n">
        <v>0.83606</v>
      </c>
      <c r="J28" s="16" t="n"/>
      <c r="K28" s="16" t="n"/>
    </row>
    <row r="29">
      <c r="A29" s="16" t="n">
        <v>1</v>
      </c>
      <c r="B29" s="16" t="inlineStr">
        <is>
          <t>η_t</t>
        </is>
      </c>
      <c r="C29" s="16" t="inlineStr">
        <is>
          <t>no_KALINA</t>
        </is>
      </c>
      <c r="D29" s="16" t="n">
        <v>115</v>
      </c>
      <c r="E29" s="16" t="n">
        <v>0.40062</v>
      </c>
      <c r="F29" s="16" t="n">
        <v>0.42957</v>
      </c>
      <c r="G29" s="16" t="n">
        <v>0.66687</v>
      </c>
      <c r="H29" s="16" t="n">
        <v>0.92022</v>
      </c>
      <c r="I29" s="16" t="n">
        <v>0.94745</v>
      </c>
      <c r="J29" s="16" t="n"/>
      <c r="K29" s="16" t="n"/>
    </row>
    <row r="30">
      <c r="A30" s="16" t="n">
        <v>1</v>
      </c>
      <c r="B30" s="16" t="inlineStr">
        <is>
          <t>η_p</t>
        </is>
      </c>
      <c r="C30" s="42" t="inlineStr">
        <is>
          <t>KALINA</t>
        </is>
      </c>
      <c r="D30" s="16" t="n">
        <v>4</v>
      </c>
      <c r="E30" s="16" t="n">
        <v>0.77011</v>
      </c>
      <c r="F30" s="16" t="n">
        <v>0.77375</v>
      </c>
      <c r="G30" s="16" t="n">
        <v>0.81596</v>
      </c>
      <c r="H30" s="16" t="n">
        <v>0.86173</v>
      </c>
      <c r="I30" s="16" t="n">
        <v>0.866</v>
      </c>
      <c r="J30" s="16" t="n"/>
      <c r="K30" s="16" t="n"/>
    </row>
    <row r="31">
      <c r="A31" s="16" t="n">
        <v>1</v>
      </c>
      <c r="B31" s="16" t="inlineStr">
        <is>
          <t>η_p</t>
        </is>
      </c>
      <c r="C31" s="16" t="inlineStr">
        <is>
          <t>no_KALINA</t>
        </is>
      </c>
      <c r="D31" s="16" t="n">
        <v>115</v>
      </c>
      <c r="E31" s="16" t="n">
        <v>0.4043</v>
      </c>
      <c r="F31" s="16" t="n">
        <v>0.42908</v>
      </c>
      <c r="G31" s="16" t="n">
        <v>0.66334</v>
      </c>
      <c r="H31" s="16" t="n">
        <v>0.92266</v>
      </c>
      <c r="I31" s="16" t="n">
        <v>0.94919</v>
      </c>
      <c r="J31" s="16" t="n"/>
      <c r="K31" s="16" t="n"/>
    </row>
    <row r="32">
      <c r="A32" s="16" t="n">
        <v>1</v>
      </c>
      <c r="B32" s="16" t="inlineStr">
        <is>
          <t>ε_HRVG</t>
        </is>
      </c>
      <c r="C32" s="42" t="inlineStr">
        <is>
          <t>KALINA</t>
        </is>
      </c>
      <c r="D32" s="16" t="n">
        <v>4</v>
      </c>
      <c r="E32" s="16" t="n">
        <v>0.46522</v>
      </c>
      <c r="F32" s="16" t="n">
        <v>0.46989</v>
      </c>
      <c r="G32" s="16" t="n">
        <v>0.50848</v>
      </c>
      <c r="H32" s="16" t="n">
        <v>0.5569</v>
      </c>
      <c r="I32" s="16" t="n">
        <v>0.56331</v>
      </c>
      <c r="J32" s="16" t="n"/>
      <c r="K32" s="16" t="n"/>
    </row>
    <row r="33">
      <c r="A33" s="16" t="n">
        <v>1</v>
      </c>
      <c r="B33" s="16" t="inlineStr">
        <is>
          <t>ε_HRVG</t>
        </is>
      </c>
      <c r="C33" s="16" t="inlineStr">
        <is>
          <t>no_KALINA</t>
        </is>
      </c>
      <c r="D33" s="16" t="n">
        <v>115</v>
      </c>
      <c r="E33" s="16" t="n">
        <v>0.40441</v>
      </c>
      <c r="F33" s="16" t="n">
        <v>0.42873</v>
      </c>
      <c r="G33" s="16" t="n">
        <v>0.68027</v>
      </c>
      <c r="H33" s="16" t="n">
        <v>0.92012</v>
      </c>
      <c r="I33" s="16" t="n">
        <v>0.94919</v>
      </c>
      <c r="J33" s="16" t="n"/>
      <c r="K33" s="16" t="n"/>
    </row>
    <row r="34">
      <c r="A34" s="16" t="n">
        <v>1</v>
      </c>
      <c r="B34" s="16" t="inlineStr">
        <is>
          <t>ε_reg</t>
        </is>
      </c>
      <c r="C34" s="42" t="inlineStr">
        <is>
          <t>KALINA</t>
        </is>
      </c>
      <c r="D34" s="16" t="n">
        <v>4</v>
      </c>
      <c r="E34" s="16" t="n">
        <v>0.60719</v>
      </c>
      <c r="F34" s="16" t="n">
        <v>0.63059</v>
      </c>
      <c r="G34" s="16" t="n">
        <v>0.7869</v>
      </c>
      <c r="H34" s="16" t="n">
        <v>0.90076</v>
      </c>
      <c r="I34" s="16" t="n">
        <v>0.9166800000000001</v>
      </c>
      <c r="J34" s="16" t="n"/>
      <c r="K34" s="16" t="n"/>
    </row>
    <row r="35">
      <c r="A35" s="16" t="n">
        <v>1</v>
      </c>
      <c r="B35" s="16" t="inlineStr">
        <is>
          <t>ε_reg</t>
        </is>
      </c>
      <c r="C35" s="16" t="inlineStr">
        <is>
          <t>no_KALINA</t>
        </is>
      </c>
      <c r="D35" s="16" t="n">
        <v>115</v>
      </c>
      <c r="E35" s="16" t="n">
        <v>0.40384</v>
      </c>
      <c r="F35" s="16" t="n">
        <v>0.42826</v>
      </c>
      <c r="G35" s="16" t="n">
        <v>0.67469</v>
      </c>
      <c r="H35" s="16" t="n">
        <v>0.92104</v>
      </c>
      <c r="I35" s="16" t="n">
        <v>0.9479</v>
      </c>
      <c r="J35" s="16" t="n"/>
      <c r="K35" s="16" t="n"/>
    </row>
    <row r="36">
      <c r="A36" s="16" t="n">
        <v>1</v>
      </c>
      <c r="B36" s="16" t="inlineStr">
        <is>
          <t>ε_cond</t>
        </is>
      </c>
      <c r="C36" s="42" t="inlineStr">
        <is>
          <t>KALINA</t>
        </is>
      </c>
      <c r="D36" s="16" t="n">
        <v>4</v>
      </c>
      <c r="E36" s="16" t="n">
        <v>0.8545</v>
      </c>
      <c r="F36" s="16" t="n">
        <v>0.8607399999999999</v>
      </c>
      <c r="G36" s="16" t="n">
        <v>0.90663</v>
      </c>
      <c r="H36" s="16" t="n">
        <v>0.9415</v>
      </c>
      <c r="I36" s="16" t="n">
        <v>0.94579</v>
      </c>
      <c r="J36" s="16" t="n"/>
      <c r="K36" s="16" t="n"/>
    </row>
    <row r="37">
      <c r="A37" s="16" t="n">
        <v>1</v>
      </c>
      <c r="B37" s="16" t="inlineStr">
        <is>
          <t>ε_cond</t>
        </is>
      </c>
      <c r="C37" s="16" t="inlineStr">
        <is>
          <t>no_KALINA</t>
        </is>
      </c>
      <c r="D37" s="16" t="n">
        <v>115</v>
      </c>
      <c r="E37" s="16" t="n">
        <v>0.40087</v>
      </c>
      <c r="F37" s="16" t="n">
        <v>0.43022</v>
      </c>
      <c r="G37" s="16" t="n">
        <v>0.66216</v>
      </c>
      <c r="H37" s="16" t="n">
        <v>0.91273</v>
      </c>
      <c r="I37" s="16" t="n">
        <v>0.94455</v>
      </c>
      <c r="J37" s="16" t="n"/>
      <c r="K37" s="16" t="n"/>
    </row>
    <row r="38">
      <c r="A38" s="16" t="n">
        <v>1</v>
      </c>
      <c r="B38" s="16" t="inlineStr">
        <is>
          <t>dP</t>
        </is>
      </c>
      <c r="C38" s="42" t="inlineStr">
        <is>
          <t>KALINA</t>
        </is>
      </c>
      <c r="D38" s="16" t="n">
        <v>4</v>
      </c>
      <c r="E38" s="16" t="n">
        <v>510.23</v>
      </c>
      <c r="F38" s="16" t="n">
        <v>619.98</v>
      </c>
      <c r="G38" s="16" t="n">
        <v>1894.1</v>
      </c>
      <c r="H38" s="16" t="n">
        <v>2796.2</v>
      </c>
      <c r="I38" s="16" t="n">
        <v>2840.3</v>
      </c>
      <c r="J38" s="16" t="n"/>
      <c r="K38" s="16" t="n"/>
    </row>
    <row r="39">
      <c r="A39" s="16" t="n">
        <v>1</v>
      </c>
      <c r="B39" s="16" t="inlineStr">
        <is>
          <t>dP</t>
        </is>
      </c>
      <c r="C39" s="16" t="inlineStr">
        <is>
          <t>no_KALINA</t>
        </is>
      </c>
      <c r="D39" s="16" t="n">
        <v>115</v>
      </c>
      <c r="E39" s="16" t="n">
        <v>490.29</v>
      </c>
      <c r="F39" s="16" t="n">
        <v>864.4299999999999</v>
      </c>
      <c r="G39" s="16" t="n">
        <v>2475.5</v>
      </c>
      <c r="H39" s="16" t="n">
        <v>3950.6</v>
      </c>
      <c r="I39" s="16" t="n">
        <v>4288.6</v>
      </c>
      <c r="J39" s="16" t="n"/>
      <c r="K39" s="16" t="n"/>
    </row>
    <row r="40">
      <c r="A40" s="16" t="n">
        <v>1</v>
      </c>
      <c r="B40" s="16" t="inlineStr">
        <is>
          <t>rP</t>
        </is>
      </c>
      <c r="C40" s="42" t="inlineStr">
        <is>
          <t>KALINA</t>
        </is>
      </c>
      <c r="D40" s="16" t="n">
        <v>4</v>
      </c>
      <c r="E40" s="16" t="n">
        <v>1.3205</v>
      </c>
      <c r="F40" s="16" t="n">
        <v>1.3672</v>
      </c>
      <c r="G40" s="16" t="n">
        <v>2.0716</v>
      </c>
      <c r="H40" s="16" t="n">
        <v>2.8187</v>
      </c>
      <c r="I40" s="16" t="n">
        <v>2.873</v>
      </c>
      <c r="J40" s="16" t="n"/>
      <c r="K40" s="16" t="n"/>
    </row>
    <row r="41">
      <c r="A41" s="16" t="n">
        <v>1</v>
      </c>
      <c r="B41" s="16" t="inlineStr">
        <is>
          <t>rP</t>
        </is>
      </c>
      <c r="C41" s="16" t="inlineStr">
        <is>
          <t>no_KALINA</t>
        </is>
      </c>
      <c r="D41" s="16" t="n">
        <v>115</v>
      </c>
      <c r="E41" s="16" t="n">
        <v>1.2824</v>
      </c>
      <c r="F41" s="16" t="n">
        <v>1.5956</v>
      </c>
      <c r="G41" s="16" t="n">
        <v>3.4035</v>
      </c>
      <c r="H41" s="16" t="n">
        <v>12.012</v>
      </c>
      <c r="I41" s="16" t="n">
        <v>18.336</v>
      </c>
      <c r="J41" s="16" t="n"/>
      <c r="K41" s="16" t="n"/>
    </row>
    <row r="42">
      <c r="A42" s="16" t="n">
        <v>4</v>
      </c>
      <c r="B42" s="16" t="inlineStr">
        <is>
          <t>P_baja</t>
        </is>
      </c>
      <c r="C42" s="42" t="inlineStr">
        <is>
          <t>KALINA</t>
        </is>
      </c>
      <c r="D42" s="16" t="n">
        <v>6</v>
      </c>
      <c r="E42" s="16" t="n">
        <v>955.29</v>
      </c>
      <c r="F42" s="16" t="n">
        <v>992.72</v>
      </c>
      <c r="G42" s="16" t="n">
        <v>1733.1</v>
      </c>
      <c r="H42" s="16" t="n">
        <v>1927.6</v>
      </c>
      <c r="I42" s="16" t="n">
        <v>1932.7</v>
      </c>
      <c r="J42" s="16" t="n"/>
      <c r="K42" s="16" t="n"/>
    </row>
    <row r="43">
      <c r="A43" s="16" t="n">
        <v>4</v>
      </c>
      <c r="B43" s="16" t="inlineStr">
        <is>
          <t>P_baja</t>
        </is>
      </c>
      <c r="C43" s="16" t="inlineStr">
        <is>
          <t>no_KALINA</t>
        </is>
      </c>
      <c r="D43" s="16" t="n">
        <v>114</v>
      </c>
      <c r="E43" s="16" t="n">
        <v>211.42</v>
      </c>
      <c r="F43" s="16" t="n">
        <v>295.1</v>
      </c>
      <c r="G43" s="16" t="n">
        <v>1070.1</v>
      </c>
      <c r="H43" s="16" t="n">
        <v>1860.9</v>
      </c>
      <c r="I43" s="16" t="n">
        <v>1985.6</v>
      </c>
      <c r="J43" s="16" t="n"/>
      <c r="K43" s="16" t="n"/>
    </row>
    <row r="44">
      <c r="A44" s="16" t="n">
        <v>4</v>
      </c>
      <c r="B44" s="16" t="inlineStr">
        <is>
          <t>x_b</t>
        </is>
      </c>
      <c r="C44" s="42" t="inlineStr">
        <is>
          <t>KALINA</t>
        </is>
      </c>
      <c r="D44" s="16" t="n">
        <v>6</v>
      </c>
      <c r="E44" s="16" t="n">
        <v>0.52011</v>
      </c>
      <c r="F44" s="16" t="n">
        <v>0.52051</v>
      </c>
      <c r="G44" s="16" t="n">
        <v>0.55722</v>
      </c>
      <c r="H44" s="16" t="n">
        <v>0.6595800000000001</v>
      </c>
      <c r="I44" s="16" t="n">
        <v>0.6722900000000001</v>
      </c>
      <c r="J44" s="16" t="n"/>
      <c r="K44" s="16" t="n"/>
    </row>
    <row r="45">
      <c r="A45" s="16" t="n">
        <v>4</v>
      </c>
      <c r="B45" s="16" t="inlineStr">
        <is>
          <t>x_b</t>
        </is>
      </c>
      <c r="C45" s="16" t="inlineStr">
        <is>
          <t>no_KALINA</t>
        </is>
      </c>
      <c r="D45" s="16" t="n">
        <v>114</v>
      </c>
      <c r="E45" s="16" t="n">
        <v>0.50226</v>
      </c>
      <c r="F45" s="16" t="n">
        <v>0.52138</v>
      </c>
      <c r="G45" s="16" t="n">
        <v>0.68414</v>
      </c>
      <c r="H45" s="16" t="n">
        <v>0.83179</v>
      </c>
      <c r="I45" s="16" t="n">
        <v>0.84794</v>
      </c>
      <c r="J45" s="16" t="n"/>
      <c r="K45" s="16" t="n"/>
    </row>
    <row r="46">
      <c r="A46" s="16" t="n">
        <v>4</v>
      </c>
      <c r="B46" s="16" t="inlineStr">
        <is>
          <t>η_t</t>
        </is>
      </c>
      <c r="C46" s="42" t="inlineStr">
        <is>
          <t>KALINA</t>
        </is>
      </c>
      <c r="D46" s="16" t="n">
        <v>6</v>
      </c>
      <c r="E46" s="16" t="n">
        <v>0.44615</v>
      </c>
      <c r="F46" s="16" t="n">
        <v>0.44844</v>
      </c>
      <c r="G46" s="16" t="n">
        <v>0.59827</v>
      </c>
      <c r="H46" s="16" t="n">
        <v>0.916</v>
      </c>
      <c r="I46" s="16" t="n">
        <v>0.94345</v>
      </c>
      <c r="J46" s="16" t="n"/>
      <c r="K46" s="16" t="n"/>
    </row>
    <row r="47">
      <c r="A47" s="16" t="n">
        <v>4</v>
      </c>
      <c r="B47" s="16" t="inlineStr">
        <is>
          <t>η_t</t>
        </is>
      </c>
      <c r="C47" s="16" t="inlineStr">
        <is>
          <t>no_KALINA</t>
        </is>
      </c>
      <c r="D47" s="16" t="n">
        <v>114</v>
      </c>
      <c r="E47" s="16" t="n">
        <v>0.40325</v>
      </c>
      <c r="F47" s="16" t="n">
        <v>0.42736</v>
      </c>
      <c r="G47" s="16" t="n">
        <v>0.67432</v>
      </c>
      <c r="H47" s="16" t="n">
        <v>0.9170700000000001</v>
      </c>
      <c r="I47" s="16" t="n">
        <v>0.94578</v>
      </c>
      <c r="J47" s="16" t="n"/>
      <c r="K47" s="16" t="n"/>
    </row>
    <row r="48">
      <c r="A48" s="16" t="n">
        <v>4</v>
      </c>
      <c r="B48" s="16" t="inlineStr">
        <is>
          <t>η_p</t>
        </is>
      </c>
      <c r="C48" s="42" t="inlineStr">
        <is>
          <t>KALINA</t>
        </is>
      </c>
      <c r="D48" s="16" t="n">
        <v>6</v>
      </c>
      <c r="E48" s="16" t="n">
        <v>0.50984</v>
      </c>
      <c r="F48" s="16" t="n">
        <v>0.54304</v>
      </c>
      <c r="G48" s="16" t="n">
        <v>0.70277</v>
      </c>
      <c r="H48" s="16" t="n">
        <v>0.92287</v>
      </c>
      <c r="I48" s="16" t="n">
        <v>0.93587</v>
      </c>
      <c r="J48" s="16" t="n"/>
      <c r="K48" s="16" t="n"/>
    </row>
    <row r="49">
      <c r="A49" s="16" t="n">
        <v>4</v>
      </c>
      <c r="B49" s="16" t="inlineStr">
        <is>
          <t>η_p</t>
        </is>
      </c>
      <c r="C49" s="16" t="inlineStr">
        <is>
          <t>no_KALINA</t>
        </is>
      </c>
      <c r="D49" s="16" t="n">
        <v>114</v>
      </c>
      <c r="E49" s="16" t="n">
        <v>0.40037</v>
      </c>
      <c r="F49" s="16" t="n">
        <v>0.42865</v>
      </c>
      <c r="G49" s="16" t="n">
        <v>0.67521</v>
      </c>
      <c r="H49" s="16" t="n">
        <v>0.91691</v>
      </c>
      <c r="I49" s="16" t="n">
        <v>0.94661</v>
      </c>
      <c r="J49" s="16" t="n"/>
      <c r="K49" s="16" t="n"/>
    </row>
    <row r="50">
      <c r="A50" s="16" t="n">
        <v>4</v>
      </c>
      <c r="B50" s="16" t="inlineStr">
        <is>
          <t>ε_HRVG</t>
        </is>
      </c>
      <c r="C50" s="42" t="inlineStr">
        <is>
          <t>KALINA</t>
        </is>
      </c>
      <c r="D50" s="16" t="n">
        <v>6</v>
      </c>
      <c r="E50" s="16" t="n">
        <v>0.40425</v>
      </c>
      <c r="F50" s="16" t="n">
        <v>0.40496</v>
      </c>
      <c r="G50" s="16" t="n">
        <v>0.5999</v>
      </c>
      <c r="H50" s="16" t="n">
        <v>0.78792</v>
      </c>
      <c r="I50" s="16" t="n">
        <v>0.8026799999999999</v>
      </c>
      <c r="J50" s="16" t="n"/>
      <c r="K50" s="16" t="n"/>
    </row>
    <row r="51">
      <c r="A51" s="16" t="n">
        <v>4</v>
      </c>
      <c r="B51" s="16" t="inlineStr">
        <is>
          <t>ε_HRVG</t>
        </is>
      </c>
      <c r="C51" s="16" t="inlineStr">
        <is>
          <t>no_KALINA</t>
        </is>
      </c>
      <c r="D51" s="16" t="n">
        <v>114</v>
      </c>
      <c r="E51" s="16" t="n">
        <v>0.4096</v>
      </c>
      <c r="F51" s="16" t="n">
        <v>0.43822</v>
      </c>
      <c r="G51" s="16" t="n">
        <v>0.67965</v>
      </c>
      <c r="H51" s="16" t="n">
        <v>0.92034</v>
      </c>
      <c r="I51" s="16" t="n">
        <v>0.94958</v>
      </c>
      <c r="J51" s="16" t="n"/>
      <c r="K51" s="16" t="n"/>
    </row>
    <row r="52">
      <c r="A52" s="16" t="n">
        <v>4</v>
      </c>
      <c r="B52" s="16" t="inlineStr">
        <is>
          <t>ε_reg</t>
        </is>
      </c>
      <c r="C52" s="42" t="inlineStr">
        <is>
          <t>KALINA</t>
        </is>
      </c>
      <c r="D52" s="16" t="n">
        <v>6</v>
      </c>
      <c r="E52" s="16" t="n">
        <v>0.4828</v>
      </c>
      <c r="F52" s="16" t="n">
        <v>0.48943</v>
      </c>
      <c r="G52" s="16" t="n">
        <v>0.75652</v>
      </c>
      <c r="H52" s="16" t="n">
        <v>0.91</v>
      </c>
      <c r="I52" s="16" t="n">
        <v>0.92442</v>
      </c>
      <c r="J52" s="16" t="n"/>
      <c r="K52" s="16" t="n"/>
    </row>
    <row r="53">
      <c r="A53" s="16" t="n">
        <v>4</v>
      </c>
      <c r="B53" s="16" t="inlineStr">
        <is>
          <t>ε_reg</t>
        </is>
      </c>
      <c r="C53" s="16" t="inlineStr">
        <is>
          <t>no_KALINA</t>
        </is>
      </c>
      <c r="D53" s="16" t="n">
        <v>114</v>
      </c>
      <c r="E53" s="16" t="n">
        <v>0.40094</v>
      </c>
      <c r="F53" s="16" t="n">
        <v>0.42669</v>
      </c>
      <c r="G53" s="16" t="n">
        <v>0.6714599999999999</v>
      </c>
      <c r="H53" s="16" t="n">
        <v>0.91826</v>
      </c>
      <c r="I53" s="16" t="n">
        <v>0.9466</v>
      </c>
      <c r="J53" s="16" t="n"/>
      <c r="K53" s="16" t="n"/>
    </row>
    <row r="54">
      <c r="A54" s="16" t="n">
        <v>4</v>
      </c>
      <c r="B54" s="16" t="inlineStr">
        <is>
          <t>ε_cond</t>
        </is>
      </c>
      <c r="C54" s="42" t="inlineStr">
        <is>
          <t>KALINA</t>
        </is>
      </c>
      <c r="D54" s="16" t="n">
        <v>6</v>
      </c>
      <c r="E54" s="16" t="n">
        <v>0.8831599999999999</v>
      </c>
      <c r="F54" s="16" t="n">
        <v>0.88527</v>
      </c>
      <c r="G54" s="16" t="n">
        <v>0.90709</v>
      </c>
      <c r="H54" s="16" t="n">
        <v>0.93592</v>
      </c>
      <c r="I54" s="16" t="n">
        <v>0.93828</v>
      </c>
      <c r="J54" s="16" t="n"/>
      <c r="K54" s="16" t="n"/>
    </row>
    <row r="55">
      <c r="A55" s="16" t="n">
        <v>4</v>
      </c>
      <c r="B55" s="16" t="inlineStr">
        <is>
          <t>ε_cond</t>
        </is>
      </c>
      <c r="C55" s="16" t="inlineStr">
        <is>
          <t>no_KALINA</t>
        </is>
      </c>
      <c r="D55" s="16" t="n">
        <v>114</v>
      </c>
      <c r="E55" s="16" t="n">
        <v>0.40217</v>
      </c>
      <c r="F55" s="16" t="n">
        <v>0.42895</v>
      </c>
      <c r="G55" s="16" t="n">
        <v>0.662</v>
      </c>
      <c r="H55" s="16" t="n">
        <v>0.90937</v>
      </c>
      <c r="I55" s="16" t="n">
        <v>0.94675</v>
      </c>
      <c r="J55" s="16" t="n"/>
      <c r="K55" s="16" t="n"/>
    </row>
    <row r="56">
      <c r="A56" s="16" t="n">
        <v>4</v>
      </c>
      <c r="B56" s="16" t="inlineStr">
        <is>
          <t>dP</t>
        </is>
      </c>
      <c r="C56" s="42" t="inlineStr">
        <is>
          <t>KALINA</t>
        </is>
      </c>
      <c r="D56" s="16" t="n">
        <v>6</v>
      </c>
      <c r="E56" s="16" t="n">
        <v>1067.3</v>
      </c>
      <c r="F56" s="16" t="n">
        <v>1072.4</v>
      </c>
      <c r="G56" s="16" t="n">
        <v>1266.9</v>
      </c>
      <c r="H56" s="16" t="n">
        <v>2007.3</v>
      </c>
      <c r="I56" s="16" t="n">
        <v>2044.7</v>
      </c>
      <c r="J56" s="16" t="n"/>
      <c r="K56" s="16" t="n"/>
    </row>
    <row r="57">
      <c r="A57" s="16" t="n">
        <v>4</v>
      </c>
      <c r="B57" s="16" t="inlineStr">
        <is>
          <t>dP</t>
        </is>
      </c>
      <c r="C57" s="16" t="inlineStr">
        <is>
          <t>no_KALINA</t>
        </is>
      </c>
      <c r="D57" s="16" t="n">
        <v>114</v>
      </c>
      <c r="E57" s="16" t="n">
        <v>1014.4</v>
      </c>
      <c r="F57" s="16" t="n">
        <v>1139.1</v>
      </c>
      <c r="G57" s="16" t="n">
        <v>1929.9</v>
      </c>
      <c r="H57" s="16" t="n">
        <v>2704.9</v>
      </c>
      <c r="I57" s="16" t="n">
        <v>2788.6</v>
      </c>
      <c r="J57" s="16" t="n"/>
      <c r="K57" s="16" t="n"/>
    </row>
    <row r="58">
      <c r="A58" s="16" t="n">
        <v>4</v>
      </c>
      <c r="B58" s="16" t="inlineStr">
        <is>
          <t>rP</t>
        </is>
      </c>
      <c r="C58" s="42" t="inlineStr">
        <is>
          <t>KALINA</t>
        </is>
      </c>
      <c r="D58" s="16" t="n">
        <v>6</v>
      </c>
      <c r="E58" s="16" t="n">
        <v>1.5523</v>
      </c>
      <c r="F58" s="16" t="n">
        <v>1.5564</v>
      </c>
      <c r="G58" s="16" t="n">
        <v>1.7475</v>
      </c>
      <c r="H58" s="16" t="n">
        <v>3.034</v>
      </c>
      <c r="I58" s="16" t="n">
        <v>3.1404</v>
      </c>
      <c r="J58" s="16" t="n"/>
      <c r="K58" s="16" t="n"/>
    </row>
    <row r="59">
      <c r="A59" s="16" t="n">
        <v>4</v>
      </c>
      <c r="B59" s="16" t="inlineStr">
        <is>
          <t>rP</t>
        </is>
      </c>
      <c r="C59" s="16" t="inlineStr">
        <is>
          <t>no_KALINA</t>
        </is>
      </c>
      <c r="D59" s="16" t="n">
        <v>114</v>
      </c>
      <c r="E59" s="16" t="n">
        <v>1.5109</v>
      </c>
      <c r="F59" s="16" t="n">
        <v>1.6122</v>
      </c>
      <c r="G59" s="16" t="n">
        <v>2.8035</v>
      </c>
      <c r="H59" s="16" t="n">
        <v>10.186</v>
      </c>
      <c r="I59" s="16" t="n">
        <v>14.19</v>
      </c>
      <c r="J59" s="16" t="n"/>
      <c r="K59" s="16" t="n"/>
    </row>
    <row r="60">
      <c r="A60" s="16" t="n">
        <v>5</v>
      </c>
      <c r="B60" s="16" t="inlineStr">
        <is>
          <t>P_alta</t>
        </is>
      </c>
      <c r="C60" s="42" t="inlineStr">
        <is>
          <t>KALINA</t>
        </is>
      </c>
      <c r="D60" s="16" t="n">
        <v>10</v>
      </c>
      <c r="E60" s="16" t="n">
        <v>2523.4</v>
      </c>
      <c r="F60" s="16" t="n">
        <v>2549.4</v>
      </c>
      <c r="G60" s="16" t="n">
        <v>4070</v>
      </c>
      <c r="H60" s="16" t="n">
        <v>4783.6</v>
      </c>
      <c r="I60" s="16" t="n">
        <v>4808.3</v>
      </c>
      <c r="J60" s="16" t="n">
        <v>0.2789</v>
      </c>
      <c r="K60" s="16" t="n">
        <v>0.39528</v>
      </c>
    </row>
    <row r="61">
      <c r="A61" s="16" t="n">
        <v>5</v>
      </c>
      <c r="B61" s="16" t="inlineStr">
        <is>
          <t>P_alta</t>
        </is>
      </c>
      <c r="C61" s="16" t="inlineStr">
        <is>
          <t>no_KALINA</t>
        </is>
      </c>
      <c r="D61" s="16" t="n">
        <v>109</v>
      </c>
      <c r="E61" s="16" t="n">
        <v>2023</v>
      </c>
      <c r="F61" s="16" t="n">
        <v>2149</v>
      </c>
      <c r="G61" s="16" t="n">
        <v>3469.4</v>
      </c>
      <c r="H61" s="16" t="n">
        <v>4854.4</v>
      </c>
      <c r="I61" s="16" t="n">
        <v>4997.5</v>
      </c>
      <c r="J61" s="16" t="n">
        <v>0.2789</v>
      </c>
      <c r="K61" s="16" t="n">
        <v>0.39528</v>
      </c>
    </row>
    <row r="62">
      <c r="A62" s="16" t="n">
        <v>5</v>
      </c>
      <c r="B62" s="16" t="inlineStr">
        <is>
          <t>P_baja</t>
        </is>
      </c>
      <c r="C62" s="42" t="inlineStr">
        <is>
          <t>KALINA</t>
        </is>
      </c>
      <c r="D62" s="16" t="n">
        <v>10</v>
      </c>
      <c r="E62" s="16" t="n">
        <v>654.55</v>
      </c>
      <c r="F62" s="16" t="n">
        <v>888.73</v>
      </c>
      <c r="G62" s="16" t="n">
        <v>1437.2</v>
      </c>
      <c r="H62" s="16" t="n">
        <v>1771.6</v>
      </c>
      <c r="I62" s="16" t="n">
        <v>1810.6</v>
      </c>
      <c r="J62" s="16" t="n">
        <v>0.47798</v>
      </c>
      <c r="K62" s="16" t="n">
        <v>0.019927</v>
      </c>
    </row>
    <row r="63">
      <c r="A63" s="16" t="n">
        <v>5</v>
      </c>
      <c r="B63" s="16" t="inlineStr">
        <is>
          <t>P_baja</t>
        </is>
      </c>
      <c r="C63" s="16" t="inlineStr">
        <is>
          <t>no_KALINA</t>
        </is>
      </c>
      <c r="D63" s="16" t="n">
        <v>109</v>
      </c>
      <c r="E63" s="16" t="n">
        <v>206.13</v>
      </c>
      <c r="F63" s="16" t="n">
        <v>291.53</v>
      </c>
      <c r="G63" s="16" t="n">
        <v>1034.3</v>
      </c>
      <c r="H63" s="16" t="n">
        <v>1896.5</v>
      </c>
      <c r="I63" s="16" t="n">
        <v>1999.3</v>
      </c>
      <c r="J63" s="16" t="n">
        <v>0.47798</v>
      </c>
      <c r="K63" s="16" t="n">
        <v>0.019927</v>
      </c>
    </row>
    <row r="64">
      <c r="A64" s="16" t="n">
        <v>5</v>
      </c>
      <c r="B64" s="16" t="inlineStr">
        <is>
          <t>T_sumidero</t>
        </is>
      </c>
      <c r="C64" s="42" t="inlineStr">
        <is>
          <t>KALINA</t>
        </is>
      </c>
      <c r="D64" s="16" t="n">
        <v>10</v>
      </c>
      <c r="E64" s="16" t="n">
        <v>278.77</v>
      </c>
      <c r="F64" s="16" t="n">
        <v>279.6</v>
      </c>
      <c r="G64" s="16" t="n">
        <v>288.75</v>
      </c>
      <c r="H64" s="16" t="n">
        <v>302.41</v>
      </c>
      <c r="I64" s="16" t="n">
        <v>302.58</v>
      </c>
      <c r="J64" s="16" t="n">
        <v>0.28899</v>
      </c>
      <c r="K64" s="16" t="n">
        <v>0.3515</v>
      </c>
    </row>
    <row r="65">
      <c r="A65" s="16" t="n">
        <v>5</v>
      </c>
      <c r="B65" s="16" t="inlineStr">
        <is>
          <t>T_sumidero</t>
        </is>
      </c>
      <c r="C65" s="16" t="inlineStr">
        <is>
          <t>no_KALINA</t>
        </is>
      </c>
      <c r="D65" s="16" t="n">
        <v>109</v>
      </c>
      <c r="E65" s="16" t="n">
        <v>278.28</v>
      </c>
      <c r="F65" s="16" t="n">
        <v>279.67</v>
      </c>
      <c r="G65" s="16" t="n">
        <v>290.76</v>
      </c>
      <c r="H65" s="16" t="n">
        <v>301.91</v>
      </c>
      <c r="I65" s="16" t="n">
        <v>303.36</v>
      </c>
      <c r="J65" s="16" t="n">
        <v>0.28899</v>
      </c>
      <c r="K65" s="16" t="n">
        <v>0.3515</v>
      </c>
    </row>
    <row r="66">
      <c r="A66" s="16" t="n">
        <v>5</v>
      </c>
      <c r="B66" s="16" t="inlineStr">
        <is>
          <t>η_t</t>
        </is>
      </c>
      <c r="C66" s="42" t="inlineStr">
        <is>
          <t>KALINA</t>
        </is>
      </c>
      <c r="D66" s="16" t="n">
        <v>10</v>
      </c>
      <c r="E66" s="16" t="n">
        <v>0.41031</v>
      </c>
      <c r="F66" s="16" t="n">
        <v>0.46129</v>
      </c>
      <c r="G66" s="16" t="n">
        <v>0.69879</v>
      </c>
      <c r="H66" s="16" t="n">
        <v>0.91048</v>
      </c>
      <c r="I66" s="16" t="n">
        <v>0.92249</v>
      </c>
      <c r="J66" s="16" t="n">
        <v>0.22477</v>
      </c>
      <c r="K66" s="16" t="n">
        <v>0.65891</v>
      </c>
    </row>
    <row r="67">
      <c r="A67" s="16" t="n">
        <v>5</v>
      </c>
      <c r="B67" s="16" t="inlineStr">
        <is>
          <t>η_t</t>
        </is>
      </c>
      <c r="C67" s="16" t="inlineStr">
        <is>
          <t>no_KALINA</t>
        </is>
      </c>
      <c r="D67" s="16" t="n">
        <v>109</v>
      </c>
      <c r="E67" s="16" t="n">
        <v>0.4033</v>
      </c>
      <c r="F67" s="16" t="n">
        <v>0.4331</v>
      </c>
      <c r="G67" s="16" t="n">
        <v>0.67513</v>
      </c>
      <c r="H67" s="16" t="n">
        <v>0.92218</v>
      </c>
      <c r="I67" s="16" t="n">
        <v>0.94995</v>
      </c>
      <c r="J67" s="16" t="n">
        <v>0.22477</v>
      </c>
      <c r="K67" s="16" t="n">
        <v>0.65891</v>
      </c>
    </row>
    <row r="68">
      <c r="A68" s="16" t="n">
        <v>5</v>
      </c>
      <c r="B68" s="16" t="inlineStr">
        <is>
          <t>η_p</t>
        </is>
      </c>
      <c r="C68" s="42" t="inlineStr">
        <is>
          <t>KALINA</t>
        </is>
      </c>
      <c r="D68" s="16" t="n">
        <v>10</v>
      </c>
      <c r="E68" s="16" t="n">
        <v>0.43383</v>
      </c>
      <c r="F68" s="16" t="n">
        <v>0.44507</v>
      </c>
      <c r="G68" s="16" t="n">
        <v>0.6677999999999999</v>
      </c>
      <c r="H68" s="16" t="n">
        <v>0.90767</v>
      </c>
      <c r="I68" s="16" t="n">
        <v>0.91129</v>
      </c>
      <c r="J68" s="16" t="n">
        <v>0.19908</v>
      </c>
      <c r="K68" s="16" t="n">
        <v>0.78652</v>
      </c>
    </row>
    <row r="69">
      <c r="A69" s="16" t="n">
        <v>5</v>
      </c>
      <c r="B69" s="16" t="inlineStr">
        <is>
          <t>η_p</t>
        </is>
      </c>
      <c r="C69" s="16" t="inlineStr">
        <is>
          <t>no_KALINA</t>
        </is>
      </c>
      <c r="D69" s="16" t="n">
        <v>109</v>
      </c>
      <c r="E69" s="16" t="n">
        <v>0.40348</v>
      </c>
      <c r="F69" s="16" t="n">
        <v>0.42701</v>
      </c>
      <c r="G69" s="16" t="n">
        <v>0.67418</v>
      </c>
      <c r="H69" s="16" t="n">
        <v>0.9235</v>
      </c>
      <c r="I69" s="16" t="n">
        <v>0.9476</v>
      </c>
      <c r="J69" s="16" t="n">
        <v>0.19908</v>
      </c>
      <c r="K69" s="16" t="n">
        <v>0.78652</v>
      </c>
    </row>
    <row r="70">
      <c r="A70" s="16" t="n">
        <v>5</v>
      </c>
      <c r="B70" s="16" t="inlineStr">
        <is>
          <t>ε_HRVG</t>
        </is>
      </c>
      <c r="C70" s="42" t="inlineStr">
        <is>
          <t>KALINA</t>
        </is>
      </c>
      <c r="D70" s="16" t="n">
        <v>10</v>
      </c>
      <c r="E70" s="16" t="n">
        <v>0.4073</v>
      </c>
      <c r="F70" s="16" t="n">
        <v>0.43722</v>
      </c>
      <c r="G70" s="16" t="n">
        <v>0.57352</v>
      </c>
      <c r="H70" s="16" t="n">
        <v>0.80419</v>
      </c>
      <c r="I70" s="16" t="n">
        <v>0.80777</v>
      </c>
      <c r="J70" s="16" t="n">
        <v>0.3789</v>
      </c>
      <c r="K70" s="16" t="n">
        <v>0.10774</v>
      </c>
    </row>
    <row r="71">
      <c r="A71" s="16" t="n">
        <v>5</v>
      </c>
      <c r="B71" s="16" t="inlineStr">
        <is>
          <t>ε_HRVG</t>
        </is>
      </c>
      <c r="C71" s="16" t="inlineStr">
        <is>
          <t>no_KALINA</t>
        </is>
      </c>
      <c r="D71" s="16" t="n">
        <v>109</v>
      </c>
      <c r="E71" s="16" t="n">
        <v>0.40414</v>
      </c>
      <c r="F71" s="16" t="n">
        <v>0.43099</v>
      </c>
      <c r="G71" s="16" t="n">
        <v>0.68698</v>
      </c>
      <c r="H71" s="16" t="n">
        <v>0.92198</v>
      </c>
      <c r="I71" s="16" t="n">
        <v>0.94874</v>
      </c>
      <c r="J71" s="16" t="n">
        <v>0.3789</v>
      </c>
      <c r="K71" s="16" t="n">
        <v>0.10774</v>
      </c>
    </row>
    <row r="72">
      <c r="A72" s="16" t="n">
        <v>5</v>
      </c>
      <c r="B72" s="16" t="inlineStr">
        <is>
          <t>ε_reg</t>
        </is>
      </c>
      <c r="C72" s="42" t="inlineStr">
        <is>
          <t>KALINA</t>
        </is>
      </c>
      <c r="D72" s="16" t="n">
        <v>10</v>
      </c>
      <c r="E72" s="16" t="n">
        <v>0.41011</v>
      </c>
      <c r="F72" s="16" t="n">
        <v>0.41439</v>
      </c>
      <c r="G72" s="16" t="n">
        <v>0.54784</v>
      </c>
      <c r="H72" s="16" t="n">
        <v>0.84648</v>
      </c>
      <c r="I72" s="16" t="n">
        <v>0.94014</v>
      </c>
      <c r="J72" s="16" t="n">
        <v>0.36239</v>
      </c>
      <c r="K72" s="16" t="n">
        <v>0.135</v>
      </c>
    </row>
    <row r="73">
      <c r="A73" s="16" t="n">
        <v>5</v>
      </c>
      <c r="B73" s="16" t="inlineStr">
        <is>
          <t>ε_reg</t>
        </is>
      </c>
      <c r="C73" s="16" t="inlineStr">
        <is>
          <t>no_KALINA</t>
        </is>
      </c>
      <c r="D73" s="16" t="n">
        <v>109</v>
      </c>
      <c r="E73" s="16" t="n">
        <v>0.40265</v>
      </c>
      <c r="F73" s="16" t="n">
        <v>0.43989</v>
      </c>
      <c r="G73" s="16" t="n">
        <v>0.68493</v>
      </c>
      <c r="H73" s="16" t="n">
        <v>0.92048</v>
      </c>
      <c r="I73" s="16" t="n">
        <v>0.94725</v>
      </c>
      <c r="J73" s="16" t="n">
        <v>0.36239</v>
      </c>
      <c r="K73" s="16" t="n">
        <v>0.135</v>
      </c>
    </row>
    <row r="74">
      <c r="A74" s="16" t="n">
        <v>5</v>
      </c>
      <c r="B74" s="16" t="inlineStr">
        <is>
          <t>ε_cond</t>
        </is>
      </c>
      <c r="C74" s="42" t="inlineStr">
        <is>
          <t>KALINA</t>
        </is>
      </c>
      <c r="D74" s="16" t="n">
        <v>10</v>
      </c>
      <c r="E74" s="16" t="n">
        <v>0.81281</v>
      </c>
      <c r="F74" s="16" t="n">
        <v>0.83772</v>
      </c>
      <c r="G74" s="16" t="n">
        <v>0.89461</v>
      </c>
      <c r="H74" s="16" t="n">
        <v>0.93486</v>
      </c>
      <c r="I74" s="16" t="n">
        <v>0.93931</v>
      </c>
      <c r="J74" s="16" t="n">
        <v>0.81743</v>
      </c>
      <c r="K74" s="16" t="n">
        <v>4.5877e-07</v>
      </c>
    </row>
    <row r="75">
      <c r="A75" s="16" t="n">
        <v>5</v>
      </c>
      <c r="B75" s="16" t="inlineStr">
        <is>
          <t>ε_cond</t>
        </is>
      </c>
      <c r="C75" s="16" t="inlineStr">
        <is>
          <t>no_KALINA</t>
        </is>
      </c>
      <c r="D75" s="16" t="n">
        <v>109</v>
      </c>
      <c r="E75" s="16" t="n">
        <v>0.40127</v>
      </c>
      <c r="F75" s="16" t="n">
        <v>0.4264</v>
      </c>
      <c r="G75" s="16" t="n">
        <v>0.6501400000000001</v>
      </c>
      <c r="H75" s="16" t="n">
        <v>0.9051</v>
      </c>
      <c r="I75" s="16" t="n">
        <v>0.94825</v>
      </c>
      <c r="J75" s="16" t="n">
        <v>0.81743</v>
      </c>
      <c r="K75" s="16" t="n">
        <v>4.5877e-07</v>
      </c>
    </row>
    <row r="76">
      <c r="A76" s="16" t="n">
        <v>5</v>
      </c>
      <c r="B76" s="16" t="inlineStr">
        <is>
          <t>dP</t>
        </is>
      </c>
      <c r="C76" s="42" t="inlineStr">
        <is>
          <t>KALINA</t>
        </is>
      </c>
      <c r="D76" s="16" t="n">
        <v>10</v>
      </c>
      <c r="E76" s="16" t="n">
        <v>1128.7</v>
      </c>
      <c r="F76" s="16" t="n">
        <v>1163.1</v>
      </c>
      <c r="G76" s="16" t="n">
        <v>2602</v>
      </c>
      <c r="H76" s="16" t="n">
        <v>3433.4</v>
      </c>
      <c r="I76" s="16" t="n">
        <v>3566.1</v>
      </c>
      <c r="J76" s="16" t="n">
        <v>0.13394</v>
      </c>
      <c r="K76" s="16" t="n">
        <v>0.98754</v>
      </c>
    </row>
    <row r="77">
      <c r="A77" s="16" t="n">
        <v>5</v>
      </c>
      <c r="B77" s="16" t="inlineStr">
        <is>
          <t>dP</t>
        </is>
      </c>
      <c r="C77" s="16" t="inlineStr">
        <is>
          <t>no_KALINA</t>
        </is>
      </c>
      <c r="D77" s="16" t="n">
        <v>109</v>
      </c>
      <c r="E77" s="16" t="n">
        <v>304.79</v>
      </c>
      <c r="F77" s="16" t="n">
        <v>686.4400000000001</v>
      </c>
      <c r="G77" s="16" t="n">
        <v>2450.5</v>
      </c>
      <c r="H77" s="16" t="n">
        <v>3970.8</v>
      </c>
      <c r="I77" s="16" t="n">
        <v>4654.2</v>
      </c>
      <c r="J77" s="16" t="n">
        <v>0.13394</v>
      </c>
      <c r="K77" s="16" t="n">
        <v>0.98754</v>
      </c>
    </row>
    <row r="78">
      <c r="A78" s="16" t="n">
        <v>5</v>
      </c>
      <c r="B78" s="16" t="inlineStr">
        <is>
          <t>rP</t>
        </is>
      </c>
      <c r="C78" s="42" t="inlineStr">
        <is>
          <t>KALINA</t>
        </is>
      </c>
      <c r="D78" s="16" t="n">
        <v>10</v>
      </c>
      <c r="E78" s="16" t="n">
        <v>1.777</v>
      </c>
      <c r="F78" s="16" t="n">
        <v>1.8387</v>
      </c>
      <c r="G78" s="16" t="n">
        <v>2.6974</v>
      </c>
      <c r="H78" s="16" t="n">
        <v>4.7953</v>
      </c>
      <c r="I78" s="16" t="n">
        <v>5.5519</v>
      </c>
      <c r="J78" s="16" t="n">
        <v>0.33119</v>
      </c>
      <c r="K78" s="16" t="n">
        <v>0.21597</v>
      </c>
    </row>
    <row r="79">
      <c r="A79" s="16" t="n">
        <v>5</v>
      </c>
      <c r="B79" s="16" t="inlineStr">
        <is>
          <t>rP</t>
        </is>
      </c>
      <c r="C79" s="16" t="inlineStr">
        <is>
          <t>no_KALINA</t>
        </is>
      </c>
      <c r="D79" s="16" t="n">
        <v>109</v>
      </c>
      <c r="E79" s="16" t="n">
        <v>1.1574</v>
      </c>
      <c r="F79" s="16" t="n">
        <v>1.3905</v>
      </c>
      <c r="G79" s="16" t="n">
        <v>3.2917</v>
      </c>
      <c r="H79" s="16" t="n">
        <v>11.112</v>
      </c>
      <c r="I79" s="16" t="n">
        <v>16.473</v>
      </c>
      <c r="J79" s="16" t="n">
        <v>0.33119</v>
      </c>
      <c r="K79" s="16" t="n">
        <v>0.21597</v>
      </c>
    </row>
    <row r="81">
      <c r="A81" s="23" t="inlineStr">
        <is>
          <t>Notas: Filtro: puntos genuinos de los escenarios. n = 58 filas en la tabla. † = fuera del rango confiable (IAPWS G4-01); ‡ = falso convergido. Fuente: resultados/2026-10-07_final_M5/m5_rangos.csv.</t>
        </is>
      </c>
    </row>
  </sheetData>
  <autoFilter ref="A21:K79"/>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632"/>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4.1 · Escenarios de conservación</t>
        </is>
      </c>
    </row>
    <row r="2">
      <c r="A2" t="inlineStr">
        <is>
          <t>Cada fila es un punto calculado (n = 598);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5">
      <c r="A5" t="inlineStr">
        <is>
          <t>2 puntos omitidos (el modelo no los evaluó) no se muestran ni en la tabla ni en los gráficos.</t>
        </is>
      </c>
    </row>
    <row r="6">
      <c r="A6" s="33" t="inlineStr">
        <is>
          <t>Parte 4.1a · conserva sus temperaturas · 119 puntos</t>
        </is>
      </c>
      <c r="B6" s="31" t="n"/>
      <c r="C6" s="31" t="n"/>
      <c r="D6" s="31" t="n"/>
      <c r="E6" s="31" t="n"/>
      <c r="F6" s="31" t="n"/>
      <c r="G6" s="31" t="n"/>
      <c r="H6" s="31" t="n"/>
      <c r="I6" s="31" t="n"/>
      <c r="J6" s="31" t="n"/>
      <c r="K6" s="31" t="n"/>
      <c r="T6" s="24" t="inlineStr">
        <is>
          <t>Figura 4.1-1 · Parte 4.1a (conserva sus temperaturas, T_fuente y T_sumidero): 4 KALINA de 119 evaluados, 2 confiables</t>
        </is>
      </c>
    </row>
    <row r="7"/>
    <row r="8">
      <c r="A8" s="34" t="inlineStr">
        <is>
          <t>Barrido de la parte 4.1a · 119 puntos</t>
        </is>
      </c>
    </row>
    <row r="9">
      <c r="A9" s="25" t="inlineStr">
        <is>
          <t>Fijos en este barrido: T_fuente = 623.15, T_sumidero = 300.03.</t>
        </is>
      </c>
    </row>
    <row r="10">
      <c r="A10" s="22" t="inlineStr">
        <is>
          <t>id_punto</t>
        </is>
      </c>
      <c r="B10" s="22" t="inlineStr">
        <is>
          <t>P_alta [kPa]</t>
        </is>
      </c>
      <c r="C10" s="22" t="inlineStr">
        <is>
          <t>P_baja [kPa]</t>
        </is>
      </c>
      <c r="D10" s="22" t="inlineStr">
        <is>
          <t>x_b [–]</t>
        </is>
      </c>
      <c r="E10" s="22" t="inlineStr">
        <is>
          <t>η_t [–]</t>
        </is>
      </c>
      <c r="F10" s="22" t="inlineStr">
        <is>
          <t>η_p [–]</t>
        </is>
      </c>
      <c r="G10" s="22" t="inlineStr">
        <is>
          <t>ε_HRVG [–]</t>
        </is>
      </c>
      <c r="H10" s="22" t="inlineStr">
        <is>
          <t>ε_reg [–]</t>
        </is>
      </c>
      <c r="I10" s="22" t="inlineStr">
        <is>
          <t>ε_cond [–]</t>
        </is>
      </c>
      <c r="J10" s="22" t="inlineStr">
        <is>
          <t>Clase</t>
        </is>
      </c>
      <c r="K10" s="22" t="inlineStr">
        <is>
          <t>η [%]</t>
        </is>
      </c>
      <c r="L10" s="22" t="inlineStr">
        <is>
          <t>W_net [kW] (m_b = 1 kg/s)</t>
        </is>
      </c>
      <c r="M10" s="22" t="inlineStr">
        <is>
          <t>ΔP [kPa]</t>
        </is>
      </c>
      <c r="N10" s="22" t="inlineStr">
        <is>
          <t>r_P [–]</t>
        </is>
      </c>
      <c r="O10" s="22" t="inlineStr">
        <is>
          <t>Fuera de rango</t>
        </is>
      </c>
      <c r="P10" s="22" t="inlineStr">
        <is>
          <t>Criterios que falla</t>
        </is>
      </c>
    </row>
    <row r="11">
      <c r="A11" s="16" t="inlineStr">
        <is>
          <t>KF-M05-1-0000</t>
        </is>
      </c>
      <c r="B11" s="36" t="n">
        <v>2511.331779608655</v>
      </c>
      <c r="C11" s="35" t="n">
        <v>1714.135668597998</v>
      </c>
      <c r="D11" s="37" t="n">
        <v>0.6218616420096099</v>
      </c>
      <c r="E11" s="37" t="n">
        <v>0.6668667765927312</v>
      </c>
      <c r="F11" s="37" t="n">
        <v>0.6704513783454906</v>
      </c>
      <c r="G11" s="37" t="n">
        <v>0.9421880200713476</v>
      </c>
      <c r="H11" s="37" t="n">
        <v>0.4290720236540025</v>
      </c>
      <c r="I11" s="37" t="n">
        <v>0.6329462962916017</v>
      </c>
      <c r="J11" s="32" t="inlineStr">
        <is>
          <t>No convergió</t>
        </is>
      </c>
      <c r="K11" s="29" t="inlineStr">
        <is>
          <t>—</t>
        </is>
      </c>
      <c r="L11" s="35" t="inlineStr">
        <is>
          <t>—</t>
        </is>
      </c>
      <c r="M11" s="36" t="n">
        <v>797.1961110106565</v>
      </c>
      <c r="N11" s="29" t="n">
        <v>1.465071770930878</v>
      </c>
      <c r="O11" s="16" t="inlineStr">
        <is>
          <t>no</t>
        </is>
      </c>
      <c r="P11" s="16" t="n"/>
    </row>
    <row r="12">
      <c r="A12" s="16" t="inlineStr">
        <is>
          <t>KF-M05-1-0001</t>
        </is>
      </c>
      <c r="B12" s="36" t="n">
        <v>3259.923027450308</v>
      </c>
      <c r="C12" s="35" t="n">
        <v>257.704076581696</v>
      </c>
      <c r="D12" s="37" t="n">
        <v>0.6056617104907273</v>
      </c>
      <c r="E12" s="37" t="n">
        <v>0.5240260681171944</v>
      </c>
      <c r="F12" s="37" t="n">
        <v>0.5751584240998819</v>
      </c>
      <c r="G12" s="37" t="n">
        <v>0.5162015898569525</v>
      </c>
      <c r="H12" s="37" t="n">
        <v>0.7724392166463976</v>
      </c>
      <c r="I12" s="37" t="n">
        <v>0.5121982825337271</v>
      </c>
      <c r="J12" s="32" t="inlineStr">
        <is>
          <t>No convergió</t>
        </is>
      </c>
      <c r="K12" s="29" t="inlineStr">
        <is>
          <t>—</t>
        </is>
      </c>
      <c r="L12" s="35" t="inlineStr">
        <is>
          <t>—</t>
        </is>
      </c>
      <c r="M12" s="36" t="n">
        <v>3002.218950868612</v>
      </c>
      <c r="N12" s="29" t="n">
        <v>12.64986984564392</v>
      </c>
      <c r="O12" s="16" t="inlineStr">
        <is>
          <t>no</t>
        </is>
      </c>
      <c r="P12" s="16" t="n"/>
    </row>
    <row r="13">
      <c r="A13" s="16" t="inlineStr">
        <is>
          <t>KF-M05-1-0002</t>
        </is>
      </c>
      <c r="B13" s="36" t="n">
        <v>3051.570071415058</v>
      </c>
      <c r="C13" s="35" t="n">
        <v>1373.168624973108</v>
      </c>
      <c r="D13" s="37" t="n">
        <v>0.5672286803004667</v>
      </c>
      <c r="E13" s="37" t="n">
        <v>0.9292702390972474</v>
      </c>
      <c r="F13" s="37" t="n">
        <v>0.9436724953922764</v>
      </c>
      <c r="G13" s="37" t="n">
        <v>0.7204043302117227</v>
      </c>
      <c r="H13" s="37" t="n">
        <v>0.8477452774740641</v>
      </c>
      <c r="I13" s="37" t="n">
        <v>0.5042921329590483</v>
      </c>
      <c r="J13" s="32" t="inlineStr">
        <is>
          <t>No convergió</t>
        </is>
      </c>
      <c r="K13" s="29" t="inlineStr">
        <is>
          <t>—</t>
        </is>
      </c>
      <c r="L13" s="35" t="inlineStr">
        <is>
          <t>—</t>
        </is>
      </c>
      <c r="M13" s="36" t="n">
        <v>1678.40144644195</v>
      </c>
      <c r="N13" s="29" t="n">
        <v>2.222283568032164</v>
      </c>
      <c r="O13" s="16" t="inlineStr">
        <is>
          <t>no</t>
        </is>
      </c>
      <c r="P13" s="16" t="n"/>
    </row>
    <row r="14">
      <c r="A14" s="16" t="inlineStr">
        <is>
          <t>KF-M05-1-0003</t>
        </is>
      </c>
      <c r="B14" s="36" t="n">
        <v>4414.509892698457</v>
      </c>
      <c r="C14" s="35" t="n">
        <v>858.8242190895983</v>
      </c>
      <c r="D14" s="37" t="n">
        <v>0.6914942698173017</v>
      </c>
      <c r="E14" s="37" t="n">
        <v>0.8031515789109853</v>
      </c>
      <c r="F14" s="37" t="n">
        <v>0.637619748499308</v>
      </c>
      <c r="G14" s="37" t="n">
        <v>0.7505136565913033</v>
      </c>
      <c r="H14" s="37" t="n">
        <v>0.5787827855823959</v>
      </c>
      <c r="I14" s="37" t="n">
        <v>0.494854061128124</v>
      </c>
      <c r="J14" s="32" t="inlineStr">
        <is>
          <t>No convergió</t>
        </is>
      </c>
      <c r="K14" s="29" t="inlineStr">
        <is>
          <t>—</t>
        </is>
      </c>
      <c r="L14" s="35" t="inlineStr">
        <is>
          <t>—</t>
        </is>
      </c>
      <c r="M14" s="36" t="n">
        <v>3555.68567360886</v>
      </c>
      <c r="N14" s="29" t="n">
        <v>5.140178623954137</v>
      </c>
      <c r="O14" s="16" t="inlineStr">
        <is>
          <t>no</t>
        </is>
      </c>
      <c r="P14" s="16" t="n"/>
    </row>
    <row r="15">
      <c r="A15" s="16" t="inlineStr">
        <is>
          <t>KF-M05-1-0004</t>
        </is>
      </c>
      <c r="B15" s="36" t="n">
        <v>3425.093264752036</v>
      </c>
      <c r="C15" s="35" t="n">
        <v>1815.579122830634</v>
      </c>
      <c r="D15" s="37" t="n">
        <v>0.5826742668060542</v>
      </c>
      <c r="E15" s="37" t="n">
        <v>0.4591316704786408</v>
      </c>
      <c r="F15" s="37" t="n">
        <v>0.8994840993832623</v>
      </c>
      <c r="G15" s="37" t="n">
        <v>0.8655286709689356</v>
      </c>
      <c r="H15" s="37" t="n">
        <v>0.8342961791034811</v>
      </c>
      <c r="I15" s="37" t="n">
        <v>0.8133923545941983</v>
      </c>
      <c r="J15" s="32" t="inlineStr">
        <is>
          <t>No convergió</t>
        </is>
      </c>
      <c r="K15" s="29" t="inlineStr">
        <is>
          <t>—</t>
        </is>
      </c>
      <c r="L15" s="35" t="inlineStr">
        <is>
          <t>—</t>
        </is>
      </c>
      <c r="M15" s="36" t="n">
        <v>1609.514141921402</v>
      </c>
      <c r="N15" s="29" t="n">
        <v>1.886501789804698</v>
      </c>
      <c r="O15" s="16" t="inlineStr">
        <is>
          <t>no</t>
        </is>
      </c>
      <c r="P15" s="16" t="n"/>
    </row>
    <row r="16">
      <c r="A16" s="16" t="inlineStr">
        <is>
          <t>KF-M05-1-0005</t>
        </is>
      </c>
      <c r="B16" s="36" t="n">
        <v>4621.859088498904</v>
      </c>
      <c r="C16" s="35" t="n">
        <v>680.4407400432583</v>
      </c>
      <c r="D16" s="37" t="n">
        <v>0.7450250873712763</v>
      </c>
      <c r="E16" s="37" t="n">
        <v>0.4669321913688635</v>
      </c>
      <c r="F16" s="37" t="n">
        <v>0.7402574310378607</v>
      </c>
      <c r="G16" s="37" t="n">
        <v>0.5782495934569621</v>
      </c>
      <c r="H16" s="37" t="n">
        <v>0.7834567125225439</v>
      </c>
      <c r="I16" s="37" t="n">
        <v>0.6420927694509965</v>
      </c>
      <c r="J16" s="32" t="inlineStr">
        <is>
          <t>No convergió</t>
        </is>
      </c>
      <c r="K16" s="29" t="inlineStr">
        <is>
          <t>—</t>
        </is>
      </c>
      <c r="L16" s="35" t="inlineStr">
        <is>
          <t>—</t>
        </is>
      </c>
      <c r="M16" s="36" t="n">
        <v>3941.418348455646</v>
      </c>
      <c r="N16" s="29" t="n">
        <v>6.792449094398837</v>
      </c>
      <c r="O16" s="16" t="inlineStr">
        <is>
          <t>no</t>
        </is>
      </c>
      <c r="P16" s="16" t="n"/>
    </row>
    <row r="17">
      <c r="A17" s="16" t="inlineStr">
        <is>
          <t>KF-M05-1-0006</t>
        </is>
      </c>
      <c r="B17" s="36" t="n">
        <v>3882.966114501743</v>
      </c>
      <c r="C17" s="35" t="n">
        <v>641.705417603971</v>
      </c>
      <c r="D17" s="37" t="n">
        <v>0.639425589446207</v>
      </c>
      <c r="E17" s="37" t="n">
        <v>0.4157082393151421</v>
      </c>
      <c r="F17" s="37" t="n">
        <v>0.924397181671508</v>
      </c>
      <c r="G17" s="37" t="n">
        <v>0.5432377821884421</v>
      </c>
      <c r="H17" s="37" t="n">
        <v>0.6189639261512576</v>
      </c>
      <c r="I17" s="37" t="n">
        <v>0.6125485086842548</v>
      </c>
      <c r="J17" s="39" t="inlineStr">
        <is>
          <t>Corregible</t>
        </is>
      </c>
      <c r="K17" s="29" t="n">
        <v>0.25562414469775</v>
      </c>
      <c r="L17" s="35" t="n">
        <v>2.499819100641133</v>
      </c>
      <c r="M17" s="36" t="n">
        <v>3241.260696897772</v>
      </c>
      <c r="N17" s="29" t="n">
        <v>6.051010335864296</v>
      </c>
      <c r="O17" s="16" t="inlineStr">
        <is>
          <t>sí</t>
        </is>
      </c>
      <c r="P17" s="16" t="inlineStr">
        <is>
          <t>O2</t>
        </is>
      </c>
    </row>
    <row r="18">
      <c r="A18" s="16" t="inlineStr">
        <is>
          <t>KF-M05-1-0007</t>
        </is>
      </c>
      <c r="B18" s="36" t="n">
        <v>3787.564501720889</v>
      </c>
      <c r="C18" s="35" t="n">
        <v>934.0840816916374</v>
      </c>
      <c r="D18" s="37" t="n">
        <v>0.8305581910838759</v>
      </c>
      <c r="E18" s="37" t="n">
        <v>0.502685068450049</v>
      </c>
      <c r="F18" s="37" t="n">
        <v>0.507911695971641</v>
      </c>
      <c r="G18" s="37" t="n">
        <v>0.6802659143689957</v>
      </c>
      <c r="H18" s="37" t="n">
        <v>0.8166099019072999</v>
      </c>
      <c r="I18" s="37" t="n">
        <v>0.9445468324840104</v>
      </c>
      <c r="J18" s="39" t="inlineStr">
        <is>
          <t>Corregible</t>
        </is>
      </c>
      <c r="K18" s="29" t="n">
        <v>6.65963513466785</v>
      </c>
      <c r="L18" s="35" t="n">
        <v>96.83378722489212</v>
      </c>
      <c r="M18" s="36" t="n">
        <v>2853.480420029251</v>
      </c>
      <c r="N18" s="29" t="n">
        <v>4.054843215892904</v>
      </c>
      <c r="O18" s="16" t="inlineStr">
        <is>
          <t>sí</t>
        </is>
      </c>
      <c r="P18" s="16" t="inlineStr">
        <is>
          <t>O2</t>
        </is>
      </c>
    </row>
    <row r="19">
      <c r="A19" s="16" t="inlineStr">
        <is>
          <t>KF-M05-1-0008</t>
        </is>
      </c>
      <c r="B19" s="36" t="n">
        <v>2172.751910283414</v>
      </c>
      <c r="C19" s="35" t="n">
        <v>397.6384352498569</v>
      </c>
      <c r="D19" s="37" t="n">
        <v>0.7999359609633213</v>
      </c>
      <c r="E19" s="37" t="n">
        <v>0.7869785039934351</v>
      </c>
      <c r="F19" s="37" t="n">
        <v>0.639919824080436</v>
      </c>
      <c r="G19" s="37" t="n">
        <v>0.5922028449002759</v>
      </c>
      <c r="H19" s="37" t="n">
        <v>0.6322387854941781</v>
      </c>
      <c r="I19" s="37" t="n">
        <v>0.6787463568178609</v>
      </c>
      <c r="J19" s="32" t="inlineStr">
        <is>
          <t>No convergió</t>
        </is>
      </c>
      <c r="K19" s="29" t="inlineStr">
        <is>
          <t>—</t>
        </is>
      </c>
      <c r="L19" s="35" t="inlineStr">
        <is>
          <t>—</t>
        </is>
      </c>
      <c r="M19" s="36" t="n">
        <v>1775.113475033557</v>
      </c>
      <c r="N19" s="29" t="n">
        <v>5.46413957422944</v>
      </c>
      <c r="O19" s="16" t="inlineStr">
        <is>
          <t>no</t>
        </is>
      </c>
      <c r="P19" s="16" t="n"/>
    </row>
    <row r="20">
      <c r="A20" s="16" t="inlineStr">
        <is>
          <t>KF-M05-1-0009</t>
        </is>
      </c>
      <c r="B20" s="36" t="n">
        <v>3497.260311374532</v>
      </c>
      <c r="C20" s="35" t="n">
        <v>955.7426006565868</v>
      </c>
      <c r="D20" s="37" t="n">
        <v>0.5222379464797274</v>
      </c>
      <c r="E20" s="37" t="n">
        <v>0.947453889067729</v>
      </c>
      <c r="F20" s="37" t="n">
        <v>0.7117250369501817</v>
      </c>
      <c r="G20" s="37" t="n">
        <v>0.7064805611173914</v>
      </c>
      <c r="H20" s="37" t="n">
        <v>0.4386171452418393</v>
      </c>
      <c r="I20" s="37" t="n">
        <v>0.6059612125283188</v>
      </c>
      <c r="J20" s="39" t="inlineStr">
        <is>
          <t>Corregible</t>
        </is>
      </c>
      <c r="K20" s="29" t="n">
        <v>8.824231530548781</v>
      </c>
      <c r="L20" s="35" t="n">
        <v>114.3967437950733</v>
      </c>
      <c r="M20" s="36" t="n">
        <v>2541.517710717945</v>
      </c>
      <c r="N20" s="29" t="n">
        <v>3.659207310600098</v>
      </c>
      <c r="O20" s="16" t="inlineStr">
        <is>
          <t>sí</t>
        </is>
      </c>
      <c r="P20" s="16" t="inlineStr">
        <is>
          <t>O2</t>
        </is>
      </c>
    </row>
    <row r="21">
      <c r="A21" s="16" t="inlineStr">
        <is>
          <t>KF-M05-1-0010</t>
        </is>
      </c>
      <c r="B21" s="36" t="n">
        <v>4399.537383166675</v>
      </c>
      <c r="C21" s="35" t="n">
        <v>1043.788124922488</v>
      </c>
      <c r="D21" s="37" t="n">
        <v>0.7856526074230619</v>
      </c>
      <c r="E21" s="37" t="n">
        <v>0.7293151465618384</v>
      </c>
      <c r="F21" s="37" t="n">
        <v>0.5234383132196376</v>
      </c>
      <c r="G21" s="37" t="n">
        <v>0.7629246160322338</v>
      </c>
      <c r="H21" s="37" t="n">
        <v>0.4056766301615097</v>
      </c>
      <c r="I21" s="37" t="n">
        <v>0.7556178176450774</v>
      </c>
      <c r="J21" s="32" t="inlineStr">
        <is>
          <t>No convergió</t>
        </is>
      </c>
      <c r="K21" s="29" t="inlineStr">
        <is>
          <t>—</t>
        </is>
      </c>
      <c r="L21" s="35" t="inlineStr">
        <is>
          <t>—</t>
        </is>
      </c>
      <c r="M21" s="36" t="n">
        <v>3355.749258244186</v>
      </c>
      <c r="N21" s="29" t="n">
        <v>4.214971676836603</v>
      </c>
      <c r="O21" s="16" t="inlineStr">
        <is>
          <t>no</t>
        </is>
      </c>
      <c r="P21" s="16" t="n"/>
    </row>
    <row r="22">
      <c r="A22" s="16" t="inlineStr">
        <is>
          <t>KF-M05-1-0011</t>
        </is>
      </c>
      <c r="B22" s="36" t="n">
        <v>3836.438192286669</v>
      </c>
      <c r="C22" s="35" t="n">
        <v>662.985062927439</v>
      </c>
      <c r="D22" s="37" t="n">
        <v>0.8183264234415529</v>
      </c>
      <c r="E22" s="37" t="n">
        <v>0.5120753092237196</v>
      </c>
      <c r="F22" s="37" t="n">
        <v>0.4380075204633505</v>
      </c>
      <c r="G22" s="37" t="n">
        <v>0.9047729343250516</v>
      </c>
      <c r="H22" s="37" t="n">
        <v>0.55431859625403</v>
      </c>
      <c r="I22" s="37" t="n">
        <v>0.8901026323467736</v>
      </c>
      <c r="J22" s="32" t="inlineStr">
        <is>
          <t>No convergió</t>
        </is>
      </c>
      <c r="K22" s="29" t="inlineStr">
        <is>
          <t>—</t>
        </is>
      </c>
      <c r="L22" s="35" t="inlineStr">
        <is>
          <t>—</t>
        </is>
      </c>
      <c r="M22" s="36" t="n">
        <v>3173.45312935923</v>
      </c>
      <c r="N22" s="29" t="n">
        <v>5.78661331425283</v>
      </c>
      <c r="O22" s="16" t="inlineStr">
        <is>
          <t>no</t>
        </is>
      </c>
      <c r="P22" s="16" t="n"/>
    </row>
    <row r="23">
      <c r="A23" s="16" t="inlineStr">
        <is>
          <t>KF-M05-1-0012</t>
        </is>
      </c>
      <c r="B23" s="36" t="n">
        <v>3943.330238123379</v>
      </c>
      <c r="C23" s="35" t="n">
        <v>1253.143857069151</v>
      </c>
      <c r="D23" s="37" t="n">
        <v>0.5083136480459718</v>
      </c>
      <c r="E23" s="37" t="n">
        <v>0.4856789045471474</v>
      </c>
      <c r="F23" s="37" t="n">
        <v>0.489422583108638</v>
      </c>
      <c r="G23" s="37" t="n">
        <v>0.4044100957985153</v>
      </c>
      <c r="H23" s="37" t="n">
        <v>0.8859174269778339</v>
      </c>
      <c r="I23" s="37" t="n">
        <v>0.7353476143733471</v>
      </c>
      <c r="J23" s="39" t="inlineStr">
        <is>
          <t>Corregible</t>
        </is>
      </c>
      <c r="K23" s="29" t="n">
        <v>4.26971993633286</v>
      </c>
      <c r="L23" s="35" t="n">
        <v>38.11864574942074</v>
      </c>
      <c r="M23" s="36" t="n">
        <v>2690.186381054228</v>
      </c>
      <c r="N23" s="29" t="n">
        <v>3.146749845102403</v>
      </c>
      <c r="O23" s="16" t="inlineStr">
        <is>
          <t>sí</t>
        </is>
      </c>
      <c r="P23" s="16" t="inlineStr">
        <is>
          <t>O2</t>
        </is>
      </c>
    </row>
    <row r="24">
      <c r="A24" s="16" t="inlineStr">
        <is>
          <t>KF-M05-1-0013</t>
        </is>
      </c>
      <c r="B24" s="36" t="n">
        <v>4062.578691697691</v>
      </c>
      <c r="C24" s="35" t="n">
        <v>244.3631874754892</v>
      </c>
      <c r="D24" s="37" t="n">
        <v>0.5050061339770994</v>
      </c>
      <c r="E24" s="37" t="n">
        <v>0.7305658765599213</v>
      </c>
      <c r="F24" s="37" t="n">
        <v>0.7561017770889933</v>
      </c>
      <c r="G24" s="37" t="n">
        <v>0.8433873027364294</v>
      </c>
      <c r="H24" s="37" t="n">
        <v>0.6937320205569741</v>
      </c>
      <c r="I24" s="37" t="n">
        <v>0.8064093709387365</v>
      </c>
      <c r="J24" s="32" t="inlineStr">
        <is>
          <t>No convergió</t>
        </is>
      </c>
      <c r="K24" s="29" t="inlineStr">
        <is>
          <t>—</t>
        </is>
      </c>
      <c r="L24" s="35" t="inlineStr">
        <is>
          <t>—</t>
        </is>
      </c>
      <c r="M24" s="36" t="n">
        <v>3818.215504222202</v>
      </c>
      <c r="N24" s="29" t="n">
        <v>16.62516655502862</v>
      </c>
      <c r="O24" s="16" t="inlineStr">
        <is>
          <t>no</t>
        </is>
      </c>
      <c r="P24" s="16" t="n"/>
    </row>
    <row r="25">
      <c r="A25" s="16" t="inlineStr">
        <is>
          <t>KF-M05-1-0014</t>
        </is>
      </c>
      <c r="B25" s="36" t="n">
        <v>4196.49343117344</v>
      </c>
      <c r="C25" s="35" t="n">
        <v>1838.682028887409</v>
      </c>
      <c r="D25" s="37" t="n">
        <v>0.7632268347158149</v>
      </c>
      <c r="E25" s="37" t="n">
        <v>0.6172351994099612</v>
      </c>
      <c r="F25" s="37" t="n">
        <v>0.5856989504614846</v>
      </c>
      <c r="G25" s="37" t="n">
        <v>0.8082202755562595</v>
      </c>
      <c r="H25" s="37" t="n">
        <v>0.5586661743189427</v>
      </c>
      <c r="I25" s="37" t="n">
        <v>0.4651671400104106</v>
      </c>
      <c r="J25" s="32" t="inlineStr">
        <is>
          <t>No convergió</t>
        </is>
      </c>
      <c r="K25" s="29" t="inlineStr">
        <is>
          <t>—</t>
        </is>
      </c>
      <c r="L25" s="35" t="inlineStr">
        <is>
          <t>—</t>
        </is>
      </c>
      <c r="M25" s="36" t="n">
        <v>2357.811402286031</v>
      </c>
      <c r="N25" s="29" t="n">
        <v>2.282337764356542</v>
      </c>
      <c r="O25" s="16" t="inlineStr">
        <is>
          <t>no</t>
        </is>
      </c>
      <c r="P25" s="16" t="n"/>
    </row>
    <row r="26">
      <c r="A26" s="16" t="inlineStr">
        <is>
          <t>KF-M05-1-0015</t>
        </is>
      </c>
      <c r="B26" s="36" t="n">
        <v>2135.608310660421</v>
      </c>
      <c r="C26" s="35" t="n">
        <v>1348.736493880329</v>
      </c>
      <c r="D26" s="37" t="n">
        <v>0.7882450647681407</v>
      </c>
      <c r="E26" s="37" t="n">
        <v>0.5582281011580974</v>
      </c>
      <c r="F26" s="37" t="n">
        <v>0.4308762407771938</v>
      </c>
      <c r="G26" s="37" t="n">
        <v>0.6409601840558231</v>
      </c>
      <c r="H26" s="37" t="n">
        <v>0.7184037637110705</v>
      </c>
      <c r="I26" s="37" t="n">
        <v>0.4318279207722777</v>
      </c>
      <c r="J26" s="32" t="inlineStr">
        <is>
          <t>No convergió</t>
        </is>
      </c>
      <c r="K26" s="29" t="inlineStr">
        <is>
          <t>—</t>
        </is>
      </c>
      <c r="L26" s="35" t="inlineStr">
        <is>
          <t>—</t>
        </is>
      </c>
      <c r="M26" s="36" t="n">
        <v>786.8718167800916</v>
      </c>
      <c r="N26" s="29" t="n">
        <v>1.583414047406883</v>
      </c>
      <c r="O26" s="16" t="inlineStr">
        <is>
          <t>no</t>
        </is>
      </c>
      <c r="P26" s="16" t="n"/>
      <c r="T26" s="25" t="inlineStr">
        <is>
          <t>Estudio 4.1 · parte(s) 4.1a. Punto base: PP = datos del enunciado del profesor (T_fuente 623.15 K, P_alta 3000 kPa, P_baja 400 kPa, x_b 0.50)</t>
        </is>
      </c>
    </row>
    <row r="27">
      <c r="A27" s="16" t="inlineStr">
        <is>
          <t>KF-M05-1-0016</t>
        </is>
      </c>
      <c r="B27" s="36" t="n">
        <v>4513.997343380708</v>
      </c>
      <c r="C27" s="35" t="n">
        <v>343.5264130373769</v>
      </c>
      <c r="D27" s="37" t="n">
        <v>0.6086853939995635</v>
      </c>
      <c r="E27" s="37" t="n">
        <v>0.8962986766637198</v>
      </c>
      <c r="F27" s="37" t="n">
        <v>0.5458942641594926</v>
      </c>
      <c r="G27" s="37" t="n">
        <v>0.6058302119230919</v>
      </c>
      <c r="H27" s="37" t="n">
        <v>0.6641512952676514</v>
      </c>
      <c r="I27" s="37" t="n">
        <v>0.7330832346341305</v>
      </c>
      <c r="J27" s="39" t="inlineStr">
        <is>
          <t>Corregible</t>
        </is>
      </c>
      <c r="K27" s="29" t="n">
        <v>7.74711579972919</v>
      </c>
      <c r="L27" s="35" t="n">
        <v>78.01486985151303</v>
      </c>
      <c r="M27" s="36" t="n">
        <v>4170.470930343331</v>
      </c>
      <c r="N27" s="29" t="n">
        <v>13.14017546269308</v>
      </c>
      <c r="O27" s="16" t="inlineStr">
        <is>
          <t>sí</t>
        </is>
      </c>
      <c r="P27" s="16" t="inlineStr">
        <is>
          <t>O1,O2</t>
        </is>
      </c>
      <c r="T27" s="25" t="inlineStr">
        <is>
          <t>Datos fijos: T_fuente = 623.15 K; T_sumidero = 300.03 K; m_b = 1 kg/s; piso de O2 = 300.03 K; motor de propiedades = teqp.</t>
        </is>
      </c>
    </row>
    <row r="28">
      <c r="A28" s="16" t="inlineStr">
        <is>
          <t>KF-M05-1-0017</t>
        </is>
      </c>
      <c r="B28" s="36" t="n">
        <v>4215.066671871465</v>
      </c>
      <c r="C28" s="35" t="n">
        <v>1569.905076069427</v>
      </c>
      <c r="D28" s="37" t="n">
        <v>0.7235243170448915</v>
      </c>
      <c r="E28" s="37" t="n">
        <v>0.6521404463298974</v>
      </c>
      <c r="F28" s="37" t="n">
        <v>0.4105019550675929</v>
      </c>
      <c r="G28" s="37" t="n">
        <v>0.6298317031740036</v>
      </c>
      <c r="H28" s="37" t="n">
        <v>0.9316501248909896</v>
      </c>
      <c r="I28" s="37" t="n">
        <v>0.4609733064203115</v>
      </c>
      <c r="J28" s="32" t="inlineStr">
        <is>
          <t>No convergió</t>
        </is>
      </c>
      <c r="K28" s="29" t="inlineStr">
        <is>
          <t>—</t>
        </is>
      </c>
      <c r="L28" s="35" t="inlineStr">
        <is>
          <t>—</t>
        </is>
      </c>
      <c r="M28" s="36" t="n">
        <v>2645.161595802038</v>
      </c>
      <c r="N28" s="29" t="n">
        <v>2.684918175068733</v>
      </c>
      <c r="O28" s="16" t="inlineStr">
        <is>
          <t>no</t>
        </is>
      </c>
      <c r="P28" s="16" t="n"/>
      <c r="T28" s="25" t="inlineStr">
        <is>
          <t>Datos barridos: P_alta [2000.1–4986.6] kPa (120 valores); P_baja [202.14–1989.7] kPa (120 valores); x_b [0.50124–0.84895] (120 valores); η_t [0.40062–0.94745] (120 valores); η_p [0.4043–0.94919] (120 valores); ε_HRVG [0.40441–0.94919] (120 valores); ε_reg [0.40384–0.9479] (120 valores); ε_cond [0.40087–0.94579] (120 valores).</t>
        </is>
      </c>
    </row>
    <row r="29">
      <c r="A29" s="16" t="inlineStr">
        <is>
          <t>KF-M05-1-0018</t>
        </is>
      </c>
      <c r="B29" s="36" t="n">
        <v>2448.346429314513</v>
      </c>
      <c r="C29" s="35" t="n">
        <v>331.1025433688829</v>
      </c>
      <c r="D29" s="37" t="n">
        <v>0.7604560419232536</v>
      </c>
      <c r="E29" s="37" t="n">
        <v>0.6731507530804549</v>
      </c>
      <c r="F29" s="37" t="n">
        <v>0.4043022342166728</v>
      </c>
      <c r="G29" s="37" t="n">
        <v>0.8456228388654592</v>
      </c>
      <c r="H29" s="37" t="n">
        <v>0.5450547995616101</v>
      </c>
      <c r="I29" s="37" t="n">
        <v>0.7039028985162603</v>
      </c>
      <c r="J29" s="32" t="inlineStr">
        <is>
          <t>No convergió</t>
        </is>
      </c>
      <c r="K29" s="29" t="inlineStr">
        <is>
          <t>—</t>
        </is>
      </c>
      <c r="L29" s="35" t="inlineStr">
        <is>
          <t>—</t>
        </is>
      </c>
      <c r="M29" s="36" t="n">
        <v>2117.24388594563</v>
      </c>
      <c r="N29" s="29" t="n">
        <v>7.394526192409216</v>
      </c>
      <c r="O29" s="16" t="inlineStr">
        <is>
          <t>no</t>
        </is>
      </c>
      <c r="P29" s="16" t="n"/>
      <c r="T29" s="25" t="inlineStr">
        <is>
          <t>Filtro: todos los puntos evaluados (omitidos no se dibujan; marcador hueco = fuera del rango confiable).</t>
        </is>
      </c>
    </row>
    <row r="30">
      <c r="A30" s="16" t="inlineStr">
        <is>
          <t>KF-M05-1-0019</t>
        </is>
      </c>
      <c r="B30" s="36" t="n">
        <v>3522.052752797504</v>
      </c>
      <c r="C30" s="35" t="n">
        <v>1009.088868917098</v>
      </c>
      <c r="D30" s="37" t="n">
        <v>0.5548605660001596</v>
      </c>
      <c r="E30" s="37" t="n">
        <v>0.8905417758949012</v>
      </c>
      <c r="F30" s="37" t="n">
        <v>0.855004665938381</v>
      </c>
      <c r="G30" s="37" t="n">
        <v>0.6535398706184975</v>
      </c>
      <c r="H30" s="37" t="n">
        <v>0.7031391962751841</v>
      </c>
      <c r="I30" s="37" t="n">
        <v>0.7499480451911827</v>
      </c>
      <c r="J30" s="39" t="inlineStr">
        <is>
          <t>Corregible</t>
        </is>
      </c>
      <c r="K30" s="29" t="n">
        <v>9.65223154387202</v>
      </c>
      <c r="L30" s="35" t="n">
        <v>136.626804312606</v>
      </c>
      <c r="M30" s="36" t="n">
        <v>2512.963883880407</v>
      </c>
      <c r="N30" s="29" t="n">
        <v>3.490329604544335</v>
      </c>
      <c r="O30" s="16" t="inlineStr">
        <is>
          <t>sí</t>
        </is>
      </c>
      <c r="P30" s="16" t="inlineStr">
        <is>
          <t>O2</t>
        </is>
      </c>
      <c r="T30" s="25" t="inlineStr">
        <is>
          <t>n = 119. Fuente: todos_los_puntos.csv.</t>
        </is>
      </c>
    </row>
    <row r="31">
      <c r="A31" s="16" t="inlineStr">
        <is>
          <t>KF-M05-1-0020</t>
        </is>
      </c>
      <c r="B31" s="36" t="n">
        <v>4364.298375258311</v>
      </c>
      <c r="C31" s="35" t="n">
        <v>888.0286392221549</v>
      </c>
      <c r="D31" s="37" t="n">
        <v>0.7703579805688686</v>
      </c>
      <c r="E31" s="37" t="n">
        <v>0.9160986436535906</v>
      </c>
      <c r="F31" s="37" t="n">
        <v>0.4996333173548992</v>
      </c>
      <c r="G31" s="37" t="n">
        <v>0.6712904321348589</v>
      </c>
      <c r="H31" s="37" t="n">
        <v>0.5308988224475815</v>
      </c>
      <c r="I31" s="37" t="n">
        <v>0.7022344845122407</v>
      </c>
      <c r="J31" s="39" t="inlineStr">
        <is>
          <t>Corregible</t>
        </is>
      </c>
      <c r="K31" s="29" t="n">
        <v>9.35493300949271</v>
      </c>
      <c r="L31" s="35" t="n">
        <v>110.7681260834028</v>
      </c>
      <c r="M31" s="36" t="n">
        <v>3476.269736036156</v>
      </c>
      <c r="N31" s="29" t="n">
        <v>4.914591920234805</v>
      </c>
      <c r="O31" s="16" t="inlineStr">
        <is>
          <t>sí</t>
        </is>
      </c>
      <c r="P31" s="16" t="inlineStr">
        <is>
          <t>O2</t>
        </is>
      </c>
    </row>
    <row r="32">
      <c r="A32" s="16" t="inlineStr">
        <is>
          <t>KF-M05-1-0021</t>
        </is>
      </c>
      <c r="B32" s="36" t="n">
        <v>2074.429700505631</v>
      </c>
      <c r="C32" s="35" t="n">
        <v>453.8886190808785</v>
      </c>
      <c r="D32" s="37" t="n">
        <v>0.5269170065938968</v>
      </c>
      <c r="E32" s="37" t="n">
        <v>0.752248236414335</v>
      </c>
      <c r="F32" s="37" t="n">
        <v>0.4479872178187743</v>
      </c>
      <c r="G32" s="37" t="n">
        <v>0.8227385596018719</v>
      </c>
      <c r="H32" s="37" t="n">
        <v>0.691052950478672</v>
      </c>
      <c r="I32" s="37" t="n">
        <v>0.5442704624967296</v>
      </c>
      <c r="J32" s="32" t="inlineStr">
        <is>
          <t>No convergió</t>
        </is>
      </c>
      <c r="K32" s="29" t="inlineStr">
        <is>
          <t>—</t>
        </is>
      </c>
      <c r="L32" s="35" t="inlineStr">
        <is>
          <t>—</t>
        </is>
      </c>
      <c r="M32" s="36" t="n">
        <v>1620.541081424753</v>
      </c>
      <c r="N32" s="29" t="n">
        <v>4.570349670159913</v>
      </c>
      <c r="O32" s="16" t="inlineStr">
        <is>
          <t>no</t>
        </is>
      </c>
      <c r="P32" s="16" t="n"/>
    </row>
    <row r="33">
      <c r="A33" s="16" t="inlineStr">
        <is>
          <t>KF-M05-1-0022</t>
        </is>
      </c>
      <c r="B33" s="36" t="n">
        <v>3676.289740972258</v>
      </c>
      <c r="C33" s="35" t="n">
        <v>1059.918723065527</v>
      </c>
      <c r="D33" s="37" t="n">
        <v>0.8258335861824118</v>
      </c>
      <c r="E33" s="37" t="n">
        <v>0.8067556093312804</v>
      </c>
      <c r="F33" s="37" t="n">
        <v>0.8443518407674433</v>
      </c>
      <c r="G33" s="37" t="n">
        <v>0.463315823527699</v>
      </c>
      <c r="H33" s="37" t="n">
        <v>0.4201254101542638</v>
      </c>
      <c r="I33" s="37" t="n">
        <v>0.7682874459762845</v>
      </c>
      <c r="J33" s="32" t="inlineStr">
        <is>
          <t>No convergió</t>
        </is>
      </c>
      <c r="K33" s="29" t="inlineStr">
        <is>
          <t>—</t>
        </is>
      </c>
      <c r="L33" s="35" t="inlineStr">
        <is>
          <t>—</t>
        </is>
      </c>
      <c r="M33" s="36" t="n">
        <v>2616.371017906732</v>
      </c>
      <c r="N33" s="29" t="n">
        <v>3.46846381799879</v>
      </c>
      <c r="O33" s="16" t="inlineStr">
        <is>
          <t>no</t>
        </is>
      </c>
      <c r="P33" s="16" t="n"/>
    </row>
    <row r="34">
      <c r="A34" s="16" t="inlineStr">
        <is>
          <t>KF-M05-1-0023</t>
        </is>
      </c>
      <c r="B34" s="36" t="n">
        <v>2528.234127841405</v>
      </c>
      <c r="C34" s="35" t="n">
        <v>1954.272502093258</v>
      </c>
      <c r="D34" s="37" t="n">
        <v>0.803848485567732</v>
      </c>
      <c r="E34" s="37" t="n">
        <v>0.6032925572754514</v>
      </c>
      <c r="F34" s="37" t="n">
        <v>0.8018077606155423</v>
      </c>
      <c r="G34" s="37" t="n">
        <v>0.761311765416237</v>
      </c>
      <c r="H34" s="37" t="n">
        <v>0.4117181185302878</v>
      </c>
      <c r="I34" s="37" t="n">
        <v>0.6967619986059013</v>
      </c>
      <c r="J34" s="32" t="inlineStr">
        <is>
          <t>No convergió</t>
        </is>
      </c>
      <c r="K34" s="29" t="inlineStr">
        <is>
          <t>—</t>
        </is>
      </c>
      <c r="L34" s="35" t="inlineStr">
        <is>
          <t>—</t>
        </is>
      </c>
      <c r="M34" s="36" t="n">
        <v>573.9616257481466</v>
      </c>
      <c r="N34" s="29" t="n">
        <v>1.293695799911919</v>
      </c>
      <c r="O34" s="16" t="inlineStr">
        <is>
          <t>no</t>
        </is>
      </c>
      <c r="P34" s="16" t="n"/>
    </row>
    <row r="35">
      <c r="A35" s="16" t="inlineStr">
        <is>
          <t>KF-M05-1-0024</t>
        </is>
      </c>
      <c r="B35" s="36" t="n">
        <v>4153.593753081795</v>
      </c>
      <c r="C35" s="35" t="n">
        <v>1563.280704818092</v>
      </c>
      <c r="D35" s="37" t="n">
        <v>0.8098121347487821</v>
      </c>
      <c r="E35" s="37" t="n">
        <v>0.5780865673142087</v>
      </c>
      <c r="F35" s="37" t="n">
        <v>0.6036290880684836</v>
      </c>
      <c r="G35" s="37" t="n">
        <v>0.5948967226815219</v>
      </c>
      <c r="H35" s="37" t="n">
        <v>0.8672658808862014</v>
      </c>
      <c r="I35" s="37" t="n">
        <v>0.763435710257544</v>
      </c>
      <c r="J35" s="39" t="inlineStr">
        <is>
          <t>Corregible</t>
        </is>
      </c>
      <c r="K35" s="29" t="n">
        <v>4.48931249858517</v>
      </c>
      <c r="L35" s="35" t="n">
        <v>50.49413251586449</v>
      </c>
      <c r="M35" s="36" t="n">
        <v>2590.313048263703</v>
      </c>
      <c r="N35" s="29" t="n">
        <v>2.656972442812258</v>
      </c>
      <c r="O35" s="16" t="inlineStr">
        <is>
          <t>sí</t>
        </is>
      </c>
      <c r="P35" s="16" t="inlineStr">
        <is>
          <t>O2</t>
        </is>
      </c>
    </row>
    <row r="36">
      <c r="A36" s="16" t="inlineStr">
        <is>
          <t>KF-M05-1-0025</t>
        </is>
      </c>
      <c r="B36" s="36" t="n">
        <v>3767.537199663917</v>
      </c>
      <c r="C36" s="35" t="n">
        <v>1927.876396524999</v>
      </c>
      <c r="D36" s="37" t="n">
        <v>0.6270974838896575</v>
      </c>
      <c r="E36" s="37" t="n">
        <v>0.8541238798013295</v>
      </c>
      <c r="F36" s="37" t="n">
        <v>0.8292450754557856</v>
      </c>
      <c r="G36" s="37" t="n">
        <v>0.4061341203199839</v>
      </c>
      <c r="H36" s="37" t="n">
        <v>0.9123677576996216</v>
      </c>
      <c r="I36" s="37" t="n">
        <v>0.4583546818794503</v>
      </c>
      <c r="J36" s="39" t="inlineStr">
        <is>
          <t>Corregible</t>
        </is>
      </c>
      <c r="K36" s="29" t="n">
        <v>3.86740272813845</v>
      </c>
      <c r="L36" s="35" t="n">
        <v>26.4801970076275</v>
      </c>
      <c r="M36" s="36" t="n">
        <v>1839.660803138918</v>
      </c>
      <c r="N36" s="29" t="n">
        <v>1.954242090652135</v>
      </c>
      <c r="O36" s="16" t="inlineStr">
        <is>
          <t>sí</t>
        </is>
      </c>
      <c r="P36" s="16" t="inlineStr">
        <is>
          <t>O2</t>
        </is>
      </c>
    </row>
    <row r="37">
      <c r="A37" s="16" t="inlineStr">
        <is>
          <t>KF-M05-1-0026</t>
        </is>
      </c>
      <c r="B37" s="36" t="n">
        <v>3237.803511439649</v>
      </c>
      <c r="C37" s="35" t="n">
        <v>1880.50981899038</v>
      </c>
      <c r="D37" s="37" t="n">
        <v>0.7778731234172231</v>
      </c>
      <c r="E37" s="37" t="n">
        <v>0.9382066882399376</v>
      </c>
      <c r="F37" s="37" t="n">
        <v>0.928976601887453</v>
      </c>
      <c r="G37" s="37" t="n">
        <v>0.7115684348920417</v>
      </c>
      <c r="H37" s="37" t="n">
        <v>0.8355478395600078</v>
      </c>
      <c r="I37" s="37" t="n">
        <v>0.5248979078307903</v>
      </c>
      <c r="J37" s="32" t="inlineStr">
        <is>
          <t>No convergió</t>
        </is>
      </c>
      <c r="K37" s="29" t="inlineStr">
        <is>
          <t>—</t>
        </is>
      </c>
      <c r="L37" s="35" t="inlineStr">
        <is>
          <t>—</t>
        </is>
      </c>
      <c r="M37" s="36" t="n">
        <v>1357.293692449269</v>
      </c>
      <c r="N37" s="29" t="n">
        <v>1.721769000481997</v>
      </c>
      <c r="O37" s="16" t="inlineStr">
        <is>
          <t>no</t>
        </is>
      </c>
      <c r="P37" s="16" t="n"/>
    </row>
    <row r="38">
      <c r="A38" s="16" t="inlineStr">
        <is>
          <t>KF-M05-1-0027</t>
        </is>
      </c>
      <c r="B38" s="36" t="n">
        <v>2736.079877201298</v>
      </c>
      <c r="C38" s="35" t="n">
        <v>861.0357531599693</v>
      </c>
      <c r="D38" s="37" t="n">
        <v>0.6402194147065569</v>
      </c>
      <c r="E38" s="37" t="n">
        <v>0.8207136537468398</v>
      </c>
      <c r="F38" s="37" t="n">
        <v>0.8848908711547165</v>
      </c>
      <c r="G38" s="37" t="n">
        <v>0.9181549774042012</v>
      </c>
      <c r="H38" s="37" t="n">
        <v>0.4529718600226251</v>
      </c>
      <c r="I38" s="37" t="n">
        <v>0.8908174536848241</v>
      </c>
      <c r="J38" s="32" t="inlineStr">
        <is>
          <t>No convergió</t>
        </is>
      </c>
      <c r="K38" s="29" t="inlineStr">
        <is>
          <t>—</t>
        </is>
      </c>
      <c r="L38" s="35" t="inlineStr">
        <is>
          <t>—</t>
        </is>
      </c>
      <c r="M38" s="36" t="n">
        <v>1875.044124041329</v>
      </c>
      <c r="N38" s="29" t="n">
        <v>3.177661168145442</v>
      </c>
      <c r="O38" s="16" t="inlineStr">
        <is>
          <t>no</t>
        </is>
      </c>
      <c r="P38" s="16" t="n"/>
    </row>
    <row r="39">
      <c r="A39" s="16" t="inlineStr">
        <is>
          <t>KF-M05-1-0028</t>
        </is>
      </c>
      <c r="B39" s="36" t="n">
        <v>3010.748483926257</v>
      </c>
      <c r="C39" s="35" t="n">
        <v>1093.290578471443</v>
      </c>
      <c r="D39" s="37" t="n">
        <v>0.6736454080722493</v>
      </c>
      <c r="E39" s="37" t="n">
        <v>0.9190844043812696</v>
      </c>
      <c r="F39" s="37" t="n">
        <v>0.4421866980361144</v>
      </c>
      <c r="G39" s="37" t="n">
        <v>0.8540684516955395</v>
      </c>
      <c r="H39" s="37" t="n">
        <v>0.5874761212640267</v>
      </c>
      <c r="I39" s="37" t="n">
        <v>0.9189791116263112</v>
      </c>
      <c r="J39" s="32" t="inlineStr">
        <is>
          <t>No convergió</t>
        </is>
      </c>
      <c r="K39" s="29" t="inlineStr">
        <is>
          <t>—</t>
        </is>
      </c>
      <c r="L39" s="35" t="inlineStr">
        <is>
          <t>—</t>
        </is>
      </c>
      <c r="M39" s="36" t="n">
        <v>1917.457905454813</v>
      </c>
      <c r="N39" s="29" t="n">
        <v>2.753841058555228</v>
      </c>
      <c r="O39" s="16" t="inlineStr">
        <is>
          <t>no</t>
        </is>
      </c>
      <c r="P39" s="16" t="n"/>
    </row>
    <row r="40">
      <c r="A40" s="16" t="inlineStr">
        <is>
          <t>KF-M05-1-0029</t>
        </is>
      </c>
      <c r="B40" s="36" t="n">
        <v>3161.995030542941</v>
      </c>
      <c r="C40" s="35" t="n">
        <v>1610.452332695184</v>
      </c>
      <c r="D40" s="37" t="n">
        <v>0.5893123250080006</v>
      </c>
      <c r="E40" s="37" t="n">
        <v>0.4439398719353788</v>
      </c>
      <c r="F40" s="37" t="n">
        <v>0.824513792393055</v>
      </c>
      <c r="G40" s="37" t="n">
        <v>0.7305068502280943</v>
      </c>
      <c r="H40" s="37" t="n">
        <v>0.4341119060923316</v>
      </c>
      <c r="I40" s="37" t="n">
        <v>0.8596857887518859</v>
      </c>
      <c r="J40" s="39" t="inlineStr">
        <is>
          <t>Corregible</t>
        </is>
      </c>
      <c r="K40" s="29" t="n">
        <v>2.70067068907198</v>
      </c>
      <c r="L40" s="35" t="n">
        <v>46.05958391177318</v>
      </c>
      <c r="M40" s="36" t="n">
        <v>1551.542697847757</v>
      </c>
      <c r="N40" s="29" t="n">
        <v>1.963420441790513</v>
      </c>
      <c r="O40" s="16" t="inlineStr">
        <is>
          <t>sí</t>
        </is>
      </c>
      <c r="P40" s="16" t="inlineStr">
        <is>
          <t>O2</t>
        </is>
      </c>
    </row>
    <row r="41">
      <c r="A41" s="16" t="inlineStr">
        <is>
          <t>KF-M05-1-0030</t>
        </is>
      </c>
      <c r="B41" s="36" t="n">
        <v>4893.464399384582</v>
      </c>
      <c r="C41" s="35" t="n">
        <v>1786.411287857491</v>
      </c>
      <c r="D41" s="37" t="n">
        <v>0.5497432548954346</v>
      </c>
      <c r="E41" s="37" t="n">
        <v>0.5352602895373887</v>
      </c>
      <c r="F41" s="37" t="n">
        <v>0.7797400419660855</v>
      </c>
      <c r="G41" s="37" t="n">
        <v>0.9104402484830528</v>
      </c>
      <c r="H41" s="37" t="n">
        <v>0.8856975878376333</v>
      </c>
      <c r="I41" s="37" t="n">
        <v>0.5718349380903373</v>
      </c>
      <c r="J41" s="32" t="inlineStr">
        <is>
          <t>No convergió</t>
        </is>
      </c>
      <c r="K41" s="29" t="inlineStr">
        <is>
          <t>—</t>
        </is>
      </c>
      <c r="L41" s="35" t="inlineStr">
        <is>
          <t>—</t>
        </is>
      </c>
      <c r="M41" s="36" t="n">
        <v>3107.053111527091</v>
      </c>
      <c r="N41" s="29" t="n">
        <v>2.739270868162446</v>
      </c>
      <c r="O41" s="16" t="inlineStr">
        <is>
          <t>no</t>
        </is>
      </c>
      <c r="P41" s="16" t="n"/>
    </row>
    <row r="42">
      <c r="A42" s="16" t="inlineStr">
        <is>
          <t>KF-M05-1-0031</t>
        </is>
      </c>
      <c r="B42" s="36" t="n">
        <v>3588.108594008968</v>
      </c>
      <c r="C42" s="35" t="n">
        <v>490.2905799580651</v>
      </c>
      <c r="D42" s="37" t="n">
        <v>0.5179761075829842</v>
      </c>
      <c r="E42" s="37" t="n">
        <v>0.8791543958680035</v>
      </c>
      <c r="F42" s="37" t="n">
        <v>0.72402053070474</v>
      </c>
      <c r="G42" s="37" t="n">
        <v>0.4306846166380077</v>
      </c>
      <c r="H42" s="37" t="n">
        <v>0.7568993175102303</v>
      </c>
      <c r="I42" s="37" t="n">
        <v>0.9368264994891898</v>
      </c>
      <c r="J42" s="39" t="inlineStr">
        <is>
          <t>Corregible</t>
        </is>
      </c>
      <c r="K42" s="29" t="n">
        <v>13.62936539947485</v>
      </c>
      <c r="L42" s="35" t="n">
        <v>141.0800023678417</v>
      </c>
      <c r="M42" s="36" t="n">
        <v>3097.818014050903</v>
      </c>
      <c r="N42" s="29" t="n">
        <v>7.318330681196978</v>
      </c>
      <c r="O42" s="16" t="inlineStr">
        <is>
          <t>sí</t>
        </is>
      </c>
      <c r="P42" s="16" t="inlineStr">
        <is>
          <t>O2</t>
        </is>
      </c>
    </row>
    <row r="43">
      <c r="A43" s="16" t="inlineStr">
        <is>
          <t>KF-M05-1-0032</t>
        </is>
      </c>
      <c r="B43" s="36" t="n">
        <v>4918.112776586282</v>
      </c>
      <c r="C43" s="35" t="n">
        <v>1635.271569670692</v>
      </c>
      <c r="D43" s="37" t="n">
        <v>0.7910913389627248</v>
      </c>
      <c r="E43" s="37" t="n">
        <v>0.601064527783044</v>
      </c>
      <c r="F43" s="37" t="n">
        <v>0.4192847622869612</v>
      </c>
      <c r="G43" s="37" t="n">
        <v>0.8613410857291982</v>
      </c>
      <c r="H43" s="37" t="n">
        <v>0.4806411957204335</v>
      </c>
      <c r="I43" s="37" t="n">
        <v>0.6741453943683879</v>
      </c>
      <c r="J43" s="32" t="inlineStr">
        <is>
          <t>No convergió</t>
        </is>
      </c>
      <c r="K43" s="29" t="inlineStr">
        <is>
          <t>—</t>
        </is>
      </c>
      <c r="L43" s="35" t="inlineStr">
        <is>
          <t>—</t>
        </is>
      </c>
      <c r="M43" s="36" t="n">
        <v>3282.84120691559</v>
      </c>
      <c r="N43" s="29" t="n">
        <v>3.007520504729793</v>
      </c>
      <c r="O43" s="16" t="inlineStr">
        <is>
          <t>no</t>
        </is>
      </c>
      <c r="P43" s="16" t="n"/>
    </row>
    <row r="44">
      <c r="A44" s="16" t="inlineStr">
        <is>
          <t>KF-M05-1-0033</t>
        </is>
      </c>
      <c r="B44" s="36" t="n">
        <v>4963.568620197417</v>
      </c>
      <c r="C44" s="35" t="n">
        <v>700.606889505458</v>
      </c>
      <c r="D44" s="37" t="n">
        <v>0.6357422037862973</v>
      </c>
      <c r="E44" s="37" t="n">
        <v>0.5525498928339938</v>
      </c>
      <c r="F44" s="37" t="n">
        <v>0.5631792115145956</v>
      </c>
      <c r="G44" s="37" t="n">
        <v>0.8966577957443087</v>
      </c>
      <c r="H44" s="37" t="n">
        <v>0.8686891543129098</v>
      </c>
      <c r="I44" s="37" t="n">
        <v>0.7796438184417671</v>
      </c>
      <c r="J44" s="32" t="inlineStr">
        <is>
          <t>No convergió</t>
        </is>
      </c>
      <c r="K44" s="29" t="inlineStr">
        <is>
          <t>—</t>
        </is>
      </c>
      <c r="L44" s="35" t="inlineStr">
        <is>
          <t>—</t>
        </is>
      </c>
      <c r="M44" s="36" t="n">
        <v>4262.961730691959</v>
      </c>
      <c r="N44" s="29" t="n">
        <v>7.084670011882246</v>
      </c>
      <c r="O44" s="16" t="inlineStr">
        <is>
          <t>no</t>
        </is>
      </c>
      <c r="P44" s="16" t="n"/>
    </row>
    <row r="45">
      <c r="A45" s="16" t="inlineStr">
        <is>
          <t>KF-M05-1-0034</t>
        </is>
      </c>
      <c r="B45" s="36" t="n">
        <v>4755.814469643531</v>
      </c>
      <c r="C45" s="35" t="n">
        <v>608.8707001076673</v>
      </c>
      <c r="D45" s="37" t="n">
        <v>0.6243291812732416</v>
      </c>
      <c r="E45" s="37" t="n">
        <v>0.9120483996159194</v>
      </c>
      <c r="F45" s="37" t="n">
        <v>0.478805403676408</v>
      </c>
      <c r="G45" s="37" t="n">
        <v>0.4498073703501771</v>
      </c>
      <c r="H45" s="37" t="n">
        <v>0.7021792988093813</v>
      </c>
      <c r="I45" s="37" t="n">
        <v>0.6621595137536487</v>
      </c>
      <c r="J45" s="39" t="inlineStr">
        <is>
          <t>Corregible</t>
        </is>
      </c>
      <c r="K45" s="29" t="n">
        <v>10.09602686408507</v>
      </c>
      <c r="L45" s="35" t="n">
        <v>89.45333568077817</v>
      </c>
      <c r="M45" s="36" t="n">
        <v>4146.943769535864</v>
      </c>
      <c r="N45" s="29" t="n">
        <v>7.810877529174182</v>
      </c>
      <c r="O45" s="16" t="inlineStr">
        <is>
          <t>sí</t>
        </is>
      </c>
      <c r="P45" s="16" t="inlineStr">
        <is>
          <t>O1,O2</t>
        </is>
      </c>
    </row>
    <row r="46">
      <c r="A46" s="16" t="inlineStr">
        <is>
          <t>KF-M05-1-0035</t>
        </is>
      </c>
      <c r="B46" s="36" t="n">
        <v>2226.609075962048</v>
      </c>
      <c r="C46" s="35" t="n">
        <v>1736.317338473599</v>
      </c>
      <c r="D46" s="37" t="n">
        <v>0.7289269621438446</v>
      </c>
      <c r="E46" s="37" t="n">
        <v>0.4006157432213698</v>
      </c>
      <c r="F46" s="37" t="n">
        <v>0.8169063972279274</v>
      </c>
      <c r="G46" s="37" t="n">
        <v>0.5054018414710186</v>
      </c>
      <c r="H46" s="37" t="n">
        <v>0.5277933667658141</v>
      </c>
      <c r="I46" s="37" t="n">
        <v>0.5087440801718801</v>
      </c>
      <c r="J46" s="40" t="inlineStr">
        <is>
          <t>Inviable</t>
        </is>
      </c>
      <c r="K46" s="29" t="n">
        <v>-0.80203253957107</v>
      </c>
      <c r="L46" s="35" t="n">
        <v>-6.530982872905691</v>
      </c>
      <c r="M46" s="36" t="n">
        <v>490.2917374884489</v>
      </c>
      <c r="N46" s="29" t="n">
        <v>1.282374498384878</v>
      </c>
      <c r="O46" s="16" t="inlineStr">
        <is>
          <t>sí</t>
        </is>
      </c>
      <c r="P46" s="16" t="inlineStr">
        <is>
          <t>O2,O3</t>
        </is>
      </c>
    </row>
    <row r="47">
      <c r="A47" s="16" t="inlineStr">
        <is>
          <t>KF-M05-1-0036</t>
        </is>
      </c>
      <c r="B47" s="36" t="n">
        <v>3666.406637789724</v>
      </c>
      <c r="C47" s="35" t="n">
        <v>1028.405540952065</v>
      </c>
      <c r="D47" s="37" t="n">
        <v>0.7488010887278802</v>
      </c>
      <c r="E47" s="37" t="n">
        <v>0.9327567981714904</v>
      </c>
      <c r="F47" s="37" t="n">
        <v>0.7389571410734799</v>
      </c>
      <c r="G47" s="37" t="n">
        <v>0.5341396431592321</v>
      </c>
      <c r="H47" s="37" t="n">
        <v>0.7070912667735176</v>
      </c>
      <c r="I47" s="37" t="n">
        <v>0.9306080402074618</v>
      </c>
      <c r="J47" s="39" t="inlineStr">
        <is>
          <t>Corregible</t>
        </is>
      </c>
      <c r="K47" s="29" t="n">
        <v>11.6168243441882</v>
      </c>
      <c r="L47" s="35" t="n">
        <v>137.3833848057083</v>
      </c>
      <c r="M47" s="36" t="n">
        <v>2638.001096837659</v>
      </c>
      <c r="N47" s="29" t="n">
        <v>3.565136992937127</v>
      </c>
      <c r="O47" s="16" t="inlineStr">
        <is>
          <t>sí</t>
        </is>
      </c>
      <c r="P47" s="16" t="inlineStr">
        <is>
          <t>O2</t>
        </is>
      </c>
    </row>
    <row r="48">
      <c r="A48" s="16" t="inlineStr">
        <is>
          <t>KF-M05-1-0037</t>
        </is>
      </c>
      <c r="B48" s="36" t="n">
        <v>3323.336975455881</v>
      </c>
      <c r="C48" s="35" t="n">
        <v>1307.691395215046</v>
      </c>
      <c r="D48" s="37" t="n">
        <v>0.7769190214263271</v>
      </c>
      <c r="E48" s="37" t="n">
        <v>0.8421522164124545</v>
      </c>
      <c r="F48" s="37" t="n">
        <v>0.5283709638574012</v>
      </c>
      <c r="G48" s="37" t="n">
        <v>0.4178277161257538</v>
      </c>
      <c r="H48" s="37" t="n">
        <v>0.507673211995249</v>
      </c>
      <c r="I48" s="37" t="n">
        <v>0.6665199095381688</v>
      </c>
      <c r="J48" s="39" t="inlineStr">
        <is>
          <t>Corregible</t>
        </is>
      </c>
      <c r="K48" s="29" t="n">
        <v>5.10569633057578</v>
      </c>
      <c r="L48" s="35" t="n">
        <v>40.42961684281437</v>
      </c>
      <c r="M48" s="36" t="n">
        <v>2015.645580240835</v>
      </c>
      <c r="N48" s="29" t="n">
        <v>2.541377107485951</v>
      </c>
      <c r="O48" s="16" t="inlineStr">
        <is>
          <t>no</t>
        </is>
      </c>
      <c r="P48" s="16" t="inlineStr">
        <is>
          <t>O2</t>
        </is>
      </c>
    </row>
    <row r="49">
      <c r="A49" s="16" t="inlineStr">
        <is>
          <t>KF-M05-1-0038</t>
        </is>
      </c>
      <c r="B49" s="36" t="n">
        <v>3743.789463067232</v>
      </c>
      <c r="C49" s="35" t="n">
        <v>1177.689504751274</v>
      </c>
      <c r="D49" s="37" t="n">
        <v>0.5656517100429016</v>
      </c>
      <c r="E49" s="37" t="n">
        <v>0.6435229999907287</v>
      </c>
      <c r="F49" s="37" t="n">
        <v>0.8724024094058371</v>
      </c>
      <c r="G49" s="37" t="n">
        <v>0.9247035851080994</v>
      </c>
      <c r="H49" s="37" t="n">
        <v>0.4587653997094852</v>
      </c>
      <c r="I49" s="37" t="n">
        <v>0.586862991780664</v>
      </c>
      <c r="J49" s="32" t="inlineStr">
        <is>
          <t>No convergió</t>
        </is>
      </c>
      <c r="K49" s="29" t="inlineStr">
        <is>
          <t>—</t>
        </is>
      </c>
      <c r="L49" s="35" t="inlineStr">
        <is>
          <t>—</t>
        </is>
      </c>
      <c r="M49" s="36" t="n">
        <v>2566.099958315958</v>
      </c>
      <c r="N49" s="29" t="n">
        <v>3.178927423538443</v>
      </c>
      <c r="O49" s="16" t="inlineStr">
        <is>
          <t>no</t>
        </is>
      </c>
      <c r="P49" s="16" t="n"/>
    </row>
    <row r="50">
      <c r="A50" s="16" t="inlineStr">
        <is>
          <t>KF-M05-1-0039</t>
        </is>
      </c>
      <c r="B50" s="36" t="n">
        <v>4674.067663828345</v>
      </c>
      <c r="C50" s="35" t="n">
        <v>1126.886755993013</v>
      </c>
      <c r="D50" s="37" t="n">
        <v>0.6695106606453457</v>
      </c>
      <c r="E50" s="37" t="n">
        <v>0.8825472839276033</v>
      </c>
      <c r="F50" s="37" t="n">
        <v>0.6927180823206129</v>
      </c>
      <c r="G50" s="37" t="n">
        <v>0.9332464551672992</v>
      </c>
      <c r="H50" s="37" t="n">
        <v>0.4633850870770011</v>
      </c>
      <c r="I50" s="37" t="n">
        <v>0.5798058411106282</v>
      </c>
      <c r="J50" s="32" t="inlineStr">
        <is>
          <t>No convergió</t>
        </is>
      </c>
      <c r="K50" s="29" t="inlineStr">
        <is>
          <t>—</t>
        </is>
      </c>
      <c r="L50" s="35" t="inlineStr">
        <is>
          <t>—</t>
        </is>
      </c>
      <c r="M50" s="36" t="n">
        <v>3547.180907835332</v>
      </c>
      <c r="N50" s="29" t="n">
        <v>4.147770518173811</v>
      </c>
      <c r="O50" s="16" t="inlineStr">
        <is>
          <t>no</t>
        </is>
      </c>
      <c r="P50" s="16" t="n"/>
    </row>
    <row r="51">
      <c r="A51" s="16" t="inlineStr">
        <is>
          <t>KF-M05-1-0040</t>
        </is>
      </c>
      <c r="B51" s="36" t="n">
        <v>2820.748296422965</v>
      </c>
      <c r="C51" s="35" t="n">
        <v>314.6296897467016</v>
      </c>
      <c r="D51" s="37" t="n">
        <v>0.7365045619751721</v>
      </c>
      <c r="E51" s="37" t="n">
        <v>0.5663520695757286</v>
      </c>
      <c r="F51" s="37" t="n">
        <v>0.4728944986307805</v>
      </c>
      <c r="G51" s="37" t="n">
        <v>0.6968650740275768</v>
      </c>
      <c r="H51" s="37" t="n">
        <v>0.5884169213454287</v>
      </c>
      <c r="I51" s="37" t="n">
        <v>0.4162446529302034</v>
      </c>
      <c r="J51" s="32" t="inlineStr">
        <is>
          <t>No convergió</t>
        </is>
      </c>
      <c r="K51" s="29" t="inlineStr">
        <is>
          <t>—</t>
        </is>
      </c>
      <c r="L51" s="35" t="inlineStr">
        <is>
          <t>—</t>
        </is>
      </c>
      <c r="M51" s="36" t="n">
        <v>2506.118606676263</v>
      </c>
      <c r="N51" s="29" t="n">
        <v>8.965295991913095</v>
      </c>
      <c r="O51" s="16" t="inlineStr">
        <is>
          <t>no</t>
        </is>
      </c>
      <c r="P51" s="16" t="n"/>
    </row>
    <row r="52">
      <c r="A52" s="16" t="inlineStr">
        <is>
          <t>KF-M05-1-0041</t>
        </is>
      </c>
      <c r="B52" s="36" t="n">
        <v>3531.292265574615</v>
      </c>
      <c r="C52" s="35" t="n">
        <v>1662.020872077349</v>
      </c>
      <c r="D52" s="37" t="n">
        <v>0.6579298295961877</v>
      </c>
      <c r="E52" s="37" t="n">
        <v>0.5203347052376175</v>
      </c>
      <c r="F52" s="37" t="n">
        <v>0.7284581701977324</v>
      </c>
      <c r="G52" s="37" t="n">
        <v>0.9150992462780682</v>
      </c>
      <c r="H52" s="37" t="n">
        <v>0.8274557846561023</v>
      </c>
      <c r="I52" s="37" t="n">
        <v>0.6932650033706718</v>
      </c>
      <c r="J52" s="32" t="inlineStr">
        <is>
          <t>No convergió</t>
        </is>
      </c>
      <c r="K52" s="29" t="inlineStr">
        <is>
          <t>—</t>
        </is>
      </c>
      <c r="L52" s="35" t="inlineStr">
        <is>
          <t>—</t>
        </is>
      </c>
      <c r="M52" s="36" t="n">
        <v>1869.271393497266</v>
      </c>
      <c r="N52" s="29" t="n">
        <v>2.124697905364375</v>
      </c>
      <c r="O52" s="16" t="inlineStr">
        <is>
          <t>no</t>
        </is>
      </c>
      <c r="P52" s="16" t="n"/>
    </row>
    <row r="53">
      <c r="A53" s="16" t="inlineStr">
        <is>
          <t>KF-M05-1-0042</t>
        </is>
      </c>
      <c r="B53" s="36" t="n">
        <v>4229.871319647765</v>
      </c>
      <c r="C53" s="35" t="n">
        <v>804.467434407283</v>
      </c>
      <c r="D53" s="37" t="n">
        <v>0.7045694555909521</v>
      </c>
      <c r="E53" s="37" t="n">
        <v>0.7767739231650153</v>
      </c>
      <c r="F53" s="37" t="n">
        <v>0.4248922506184456</v>
      </c>
      <c r="G53" s="37" t="n">
        <v>0.6792441378510238</v>
      </c>
      <c r="H53" s="37" t="n">
        <v>0.8626831312497595</v>
      </c>
      <c r="I53" s="37" t="n">
        <v>0.7238056117768278</v>
      </c>
      <c r="J53" s="39" t="inlineStr">
        <is>
          <t>Corregible</t>
        </is>
      </c>
      <c r="K53" s="29" t="n">
        <v>5.37927059148832</v>
      </c>
      <c r="L53" s="35" t="n">
        <v>67.30949626279178</v>
      </c>
      <c r="M53" s="36" t="n">
        <v>3425.403885240482</v>
      </c>
      <c r="N53" s="29" t="n">
        <v>5.257977064993634</v>
      </c>
      <c r="O53" s="16" t="inlineStr">
        <is>
          <t>sí</t>
        </is>
      </c>
      <c r="P53" s="16" t="inlineStr">
        <is>
          <t>O2</t>
        </is>
      </c>
    </row>
    <row r="54">
      <c r="A54" s="16" t="inlineStr">
        <is>
          <t>KF-M05-1-0043</t>
        </is>
      </c>
      <c r="B54" s="36" t="n">
        <v>3818.851880522423</v>
      </c>
      <c r="C54" s="35" t="n">
        <v>1488.691075771345</v>
      </c>
      <c r="D54" s="37" t="n">
        <v>0.509005454370105</v>
      </c>
      <c r="E54" s="37" t="n">
        <v>0.8274487833226122</v>
      </c>
      <c r="F54" s="37" t="n">
        <v>0.870784780239039</v>
      </c>
      <c r="G54" s="37" t="n">
        <v>0.6079372965476301</v>
      </c>
      <c r="H54" s="37" t="n">
        <v>0.4673040207586453</v>
      </c>
      <c r="I54" s="37" t="n">
        <v>0.7852413933163904</v>
      </c>
      <c r="J54" s="39" t="inlineStr">
        <is>
          <t>Corregible</t>
        </is>
      </c>
      <c r="K54" s="29" t="n">
        <v>6.99125431098358</v>
      </c>
      <c r="L54" s="35" t="n">
        <v>97.5801745771513</v>
      </c>
      <c r="M54" s="36" t="n">
        <v>2330.160804751078</v>
      </c>
      <c r="N54" s="29" t="n">
        <v>2.565241333594841</v>
      </c>
      <c r="O54" s="16" t="inlineStr">
        <is>
          <t>sí</t>
        </is>
      </c>
      <c r="P54" s="16" t="inlineStr">
        <is>
          <t>O2</t>
        </is>
      </c>
    </row>
    <row r="55">
      <c r="A55" s="16" t="inlineStr">
        <is>
          <t>KF-M05-1-0044</t>
        </is>
      </c>
      <c r="B55" s="36" t="n">
        <v>4813.701246399209</v>
      </c>
      <c r="C55" s="35" t="n">
        <v>1414.34852623976</v>
      </c>
      <c r="D55" s="37" t="n">
        <v>0.8489501800850052</v>
      </c>
      <c r="E55" s="37" t="n">
        <v>0.7622353627455889</v>
      </c>
      <c r="F55" s="37" t="n">
        <v>0.6600715717426984</v>
      </c>
      <c r="G55" s="37" t="n">
        <v>0.7258126776514779</v>
      </c>
      <c r="H55" s="37" t="n">
        <v>0.8412011181804719</v>
      </c>
      <c r="I55" s="37" t="n">
        <v>0.7422757575562452</v>
      </c>
      <c r="J55" s="32" t="inlineStr">
        <is>
          <t>No convergió</t>
        </is>
      </c>
      <c r="K55" s="29" t="inlineStr">
        <is>
          <t>—</t>
        </is>
      </c>
      <c r="L55" s="35" t="inlineStr">
        <is>
          <t>—</t>
        </is>
      </c>
      <c r="M55" s="36" t="n">
        <v>3399.352720159449</v>
      </c>
      <c r="N55" s="29" t="n">
        <v>3.403475987066</v>
      </c>
      <c r="O55" s="16" t="inlineStr">
        <is>
          <t>no</t>
        </is>
      </c>
      <c r="P55" s="16" t="n"/>
    </row>
    <row r="56">
      <c r="A56" s="16" t="inlineStr">
        <is>
          <t>KF-M05-1-0045</t>
        </is>
      </c>
      <c r="B56" s="36" t="n">
        <v>3086.125039698073</v>
      </c>
      <c r="C56" s="35" t="n">
        <v>1223.093120281681</v>
      </c>
      <c r="D56" s="37" t="n">
        <v>0.6684652161142823</v>
      </c>
      <c r="E56" s="37" t="n">
        <v>0.8589658291779798</v>
      </c>
      <c r="F56" s="37" t="n">
        <v>0.8619092365189575</v>
      </c>
      <c r="G56" s="37" t="n">
        <v>0.9283648906646076</v>
      </c>
      <c r="H56" s="37" t="n">
        <v>0.6808684684490129</v>
      </c>
      <c r="I56" s="37" t="n">
        <v>0.5162485263981889</v>
      </c>
      <c r="J56" s="32" t="inlineStr">
        <is>
          <t>No convergió</t>
        </is>
      </c>
      <c r="K56" s="29" t="inlineStr">
        <is>
          <t>—</t>
        </is>
      </c>
      <c r="L56" s="35" t="inlineStr">
        <is>
          <t>—</t>
        </is>
      </c>
      <c r="M56" s="36" t="n">
        <v>1863.031919416392</v>
      </c>
      <c r="N56" s="29" t="n">
        <v>2.523213472893489</v>
      </c>
      <c r="O56" s="16" t="inlineStr">
        <is>
          <t>no</t>
        </is>
      </c>
      <c r="P56" s="16" t="n"/>
    </row>
    <row r="57">
      <c r="A57" s="16" t="inlineStr">
        <is>
          <t>KF-M05-1-0046</t>
        </is>
      </c>
      <c r="B57" s="36" t="n">
        <v>2484.33148377224</v>
      </c>
      <c r="C57" s="35" t="n">
        <v>376.998070641926</v>
      </c>
      <c r="D57" s="37" t="n">
        <v>0.8374452503045282</v>
      </c>
      <c r="E57" s="37" t="n">
        <v>0.4238607900456191</v>
      </c>
      <c r="F57" s="37" t="n">
        <v>0.7649781451119395</v>
      </c>
      <c r="G57" s="37" t="n">
        <v>0.5869958071969558</v>
      </c>
      <c r="H57" s="37" t="n">
        <v>0.4909143800518892</v>
      </c>
      <c r="I57" s="37" t="n">
        <v>0.6799943817522778</v>
      </c>
      <c r="J57" s="32" t="inlineStr">
        <is>
          <t>No convergió</t>
        </is>
      </c>
      <c r="K57" s="29" t="inlineStr">
        <is>
          <t>—</t>
        </is>
      </c>
      <c r="L57" s="35" t="inlineStr">
        <is>
          <t>—</t>
        </is>
      </c>
      <c r="M57" s="36" t="n">
        <v>2107.333413130314</v>
      </c>
      <c r="N57" s="29" t="n">
        <v>6.589772407965096</v>
      </c>
      <c r="O57" s="16" t="inlineStr">
        <is>
          <t>no</t>
        </is>
      </c>
      <c r="P57" s="16" t="n"/>
    </row>
    <row r="58">
      <c r="A58" s="16" t="inlineStr">
        <is>
          <t>KF-M05-1-0047</t>
        </is>
      </c>
      <c r="B58" s="36" t="n">
        <v>2774.908884424553</v>
      </c>
      <c r="C58" s="35" t="n">
        <v>745.8991327141955</v>
      </c>
      <c r="D58" s="37" t="n">
        <v>0.6979923896822635</v>
      </c>
      <c r="E58" s="37" t="n">
        <v>0.4505057570087982</v>
      </c>
      <c r="F58" s="37" t="n">
        <v>0.4325318924122749</v>
      </c>
      <c r="G58" s="37" t="n">
        <v>0.7865699107510093</v>
      </c>
      <c r="H58" s="37" t="n">
        <v>0.7610862100643691</v>
      </c>
      <c r="I58" s="37" t="n">
        <v>0.8492747045013506</v>
      </c>
      <c r="J58" s="38" t="inlineStr">
        <is>
          <t>Falso convergido</t>
        </is>
      </c>
      <c r="K58" s="29" t="inlineStr">
        <is>
          <t>—</t>
        </is>
      </c>
      <c r="L58" s="35" t="inlineStr">
        <is>
          <t>—</t>
        </is>
      </c>
      <c r="M58" s="36" t="n">
        <v>2029.009751710357</v>
      </c>
      <c r="N58" s="29" t="n">
        <v>3.720220017319431</v>
      </c>
      <c r="O58" s="16" t="inlineStr">
        <is>
          <t>sí</t>
        </is>
      </c>
      <c r="P58" s="16" t="inlineStr">
        <is>
          <t>N2,O2,O5,C1,C3,C3</t>
        </is>
      </c>
    </row>
    <row r="59">
      <c r="A59" s="16" t="inlineStr">
        <is>
          <t>KF-M05-1-0048</t>
        </is>
      </c>
      <c r="B59" s="36" t="n">
        <v>2559.665822655577</v>
      </c>
      <c r="C59" s="35" t="n">
        <v>1386.21691456681</v>
      </c>
      <c r="D59" s="37" t="n">
        <v>0.8154663480758158</v>
      </c>
      <c r="E59" s="37" t="n">
        <v>0.9429293101459654</v>
      </c>
      <c r="F59" s="37" t="n">
        <v>0.679218305377428</v>
      </c>
      <c r="G59" s="37" t="n">
        <v>0.8815008113532006</v>
      </c>
      <c r="H59" s="37" t="n">
        <v>0.496390839255959</v>
      </c>
      <c r="I59" s="37" t="n">
        <v>0.8687844752545106</v>
      </c>
      <c r="J59" s="32" t="inlineStr">
        <is>
          <t>No convergió</t>
        </is>
      </c>
      <c r="K59" s="29" t="inlineStr">
        <is>
          <t>—</t>
        </is>
      </c>
      <c r="L59" s="35" t="inlineStr">
        <is>
          <t>—</t>
        </is>
      </c>
      <c r="M59" s="36" t="n">
        <v>1173.448908088767</v>
      </c>
      <c r="N59" s="29" t="n">
        <v>1.846511751341216</v>
      </c>
      <c r="O59" s="16" t="inlineStr">
        <is>
          <t>no</t>
        </is>
      </c>
      <c r="P59" s="16" t="n"/>
    </row>
    <row r="60">
      <c r="A60" s="16" t="inlineStr">
        <is>
          <t>KF-M05-1-0049</t>
        </is>
      </c>
      <c r="B60" s="36" t="n">
        <v>3411.415486503021</v>
      </c>
      <c r="C60" s="35" t="n">
        <v>540.3276867392383</v>
      </c>
      <c r="D60" s="37" t="n">
        <v>0.7106851649880759</v>
      </c>
      <c r="E60" s="37" t="n">
        <v>0.6751533441002591</v>
      </c>
      <c r="F60" s="37" t="n">
        <v>0.9077999809159067</v>
      </c>
      <c r="G60" s="37" t="n">
        <v>0.6245343279110799</v>
      </c>
      <c r="H60" s="37" t="n">
        <v>0.4756540082181835</v>
      </c>
      <c r="I60" s="37" t="n">
        <v>0.5963304376244752</v>
      </c>
      <c r="J60" s="39" t="inlineStr">
        <is>
          <t>Corregible</t>
        </is>
      </c>
      <c r="K60" s="29" t="n">
        <v>2.78423427582944</v>
      </c>
      <c r="L60" s="35" t="n">
        <v>23.889287343142</v>
      </c>
      <c r="M60" s="36" t="n">
        <v>2871.087799763782</v>
      </c>
      <c r="N60" s="29" t="n">
        <v>6.313604818383788</v>
      </c>
      <c r="O60" s="16" t="inlineStr">
        <is>
          <t>sí</t>
        </is>
      </c>
      <c r="P60" s="16" t="inlineStr">
        <is>
          <t>O2</t>
        </is>
      </c>
    </row>
    <row r="61">
      <c r="A61" s="16" t="inlineStr">
        <is>
          <t>KF-M05-1-0050</t>
        </is>
      </c>
      <c r="B61" s="36" t="n">
        <v>4729.652181066411</v>
      </c>
      <c r="C61" s="35" t="n">
        <v>621.4954666869867</v>
      </c>
      <c r="D61" s="37" t="n">
        <v>0.7194756084562409</v>
      </c>
      <c r="E61" s="37" t="n">
        <v>0.7723099100258705</v>
      </c>
      <c r="F61" s="37" t="n">
        <v>0.6953953282445956</v>
      </c>
      <c r="G61" s="37" t="n">
        <v>0.8909105246665088</v>
      </c>
      <c r="H61" s="37" t="n">
        <v>0.4722491915114775</v>
      </c>
      <c r="I61" s="37" t="n">
        <v>0.5540336083374007</v>
      </c>
      <c r="J61" s="32" t="inlineStr">
        <is>
          <t>No convergió</t>
        </is>
      </c>
      <c r="K61" s="29" t="inlineStr">
        <is>
          <t>—</t>
        </is>
      </c>
      <c r="L61" s="35" t="inlineStr">
        <is>
          <t>—</t>
        </is>
      </c>
      <c r="M61" s="36" t="n">
        <v>4108.156714379424</v>
      </c>
      <c r="N61" s="29" t="n">
        <v>7.610115334032643</v>
      </c>
      <c r="O61" s="16" t="inlineStr">
        <is>
          <t>no</t>
        </is>
      </c>
      <c r="P61" s="16" t="n"/>
    </row>
    <row r="62">
      <c r="A62" s="16" t="inlineStr">
        <is>
          <t>KF-M05-1-0051</t>
        </is>
      </c>
      <c r="B62" s="36" t="n">
        <v>3193.334792418263</v>
      </c>
      <c r="C62" s="35" t="n">
        <v>755.9473297317002</v>
      </c>
      <c r="D62" s="37" t="n">
        <v>0.8027146841032078</v>
      </c>
      <c r="E62" s="37" t="n">
        <v>0.7006642660726292</v>
      </c>
      <c r="F62" s="37" t="n">
        <v>0.6011610309315787</v>
      </c>
      <c r="G62" s="37" t="n">
        <v>0.4370761972727621</v>
      </c>
      <c r="H62" s="37" t="n">
        <v>0.4492226038757994</v>
      </c>
      <c r="I62" s="37" t="n">
        <v>0.7094726204767944</v>
      </c>
      <c r="J62" s="40" t="inlineStr">
        <is>
          <t>Inviable</t>
        </is>
      </c>
      <c r="K62" s="29" t="n">
        <v>-1.5364366836532</v>
      </c>
      <c r="L62" s="35" t="n">
        <v>-10.51272148722362</v>
      </c>
      <c r="M62" s="36" t="n">
        <v>2437.387462686563</v>
      </c>
      <c r="N62" s="29" t="n">
        <v>4.224282124988307</v>
      </c>
      <c r="O62" s="16" t="inlineStr">
        <is>
          <t>no</t>
        </is>
      </c>
      <c r="P62" s="16" t="inlineStr">
        <is>
          <t>O2,O3</t>
        </is>
      </c>
    </row>
    <row r="63">
      <c r="A63" s="16" t="inlineStr">
        <is>
          <t>KF-M05-1-0052</t>
        </is>
      </c>
      <c r="B63" s="36" t="n">
        <v>3905.950043184831</v>
      </c>
      <c r="C63" s="35" t="n">
        <v>1359.556702008076</v>
      </c>
      <c r="D63" s="37" t="n">
        <v>0.8294780327808849</v>
      </c>
      <c r="E63" s="37" t="n">
        <v>0.8360559074586479</v>
      </c>
      <c r="F63" s="37" t="n">
        <v>0.8375342727183488</v>
      </c>
      <c r="G63" s="37" t="n">
        <v>0.4963658855761367</v>
      </c>
      <c r="H63" s="37" t="n">
        <v>0.9166775946077288</v>
      </c>
      <c r="I63" s="37" t="n">
        <v>0.9457881775355844</v>
      </c>
      <c r="J63" s="42" t="inlineStr">
        <is>
          <t>KALINA</t>
        </is>
      </c>
      <c r="K63" s="29" t="n">
        <v>9.28909448226735</v>
      </c>
      <c r="L63" s="35" t="n">
        <v>96.71083465503172</v>
      </c>
      <c r="M63" s="36" t="n">
        <v>2546.393341176755</v>
      </c>
      <c r="N63" s="29" t="n">
        <v>2.872958544072278</v>
      </c>
      <c r="O63" s="16" t="inlineStr">
        <is>
          <t>no</t>
        </is>
      </c>
      <c r="P63" s="16" t="n"/>
    </row>
    <row r="64">
      <c r="A64" s="16" t="inlineStr">
        <is>
          <t>KF-M05-1-0053</t>
        </is>
      </c>
      <c r="B64" s="36" t="n">
        <v>3358.368575245903</v>
      </c>
      <c r="C64" s="35" t="n">
        <v>829.1801804267894</v>
      </c>
      <c r="D64" s="37" t="n">
        <v>0.7417869591007675</v>
      </c>
      <c r="E64" s="37" t="n">
        <v>0.6634108260923464</v>
      </c>
      <c r="F64" s="37" t="n">
        <v>0.556752400027369</v>
      </c>
      <c r="G64" s="37" t="n">
        <v>0.5658844664377047</v>
      </c>
      <c r="H64" s="37" t="n">
        <v>0.5619637508716072</v>
      </c>
      <c r="I64" s="37" t="n">
        <v>0.9338527716970412</v>
      </c>
      <c r="J64" s="39" t="inlineStr">
        <is>
          <t>Corregible</t>
        </is>
      </c>
      <c r="K64" s="29" t="n">
        <v>8.49151888400786</v>
      </c>
      <c r="L64" s="35" t="n">
        <v>108.1346211658091</v>
      </c>
      <c r="M64" s="36" t="n">
        <v>2529.188394819114</v>
      </c>
      <c r="N64" s="29" t="n">
        <v>4.050227748469951</v>
      </c>
      <c r="O64" s="16" t="inlineStr">
        <is>
          <t>sí</t>
        </is>
      </c>
      <c r="P64" s="16" t="inlineStr">
        <is>
          <t>O2</t>
        </is>
      </c>
    </row>
    <row r="65">
      <c r="A65" s="16" t="inlineStr">
        <is>
          <t>KF-M05-1-0054</t>
        </is>
      </c>
      <c r="B65" s="36" t="n">
        <v>4003.360745790174</v>
      </c>
      <c r="C65" s="35" t="n">
        <v>1169.543677446062</v>
      </c>
      <c r="D65" s="37" t="n">
        <v>0.5012386051961493</v>
      </c>
      <c r="E65" s="37" t="n">
        <v>0.4712385002841217</v>
      </c>
      <c r="F65" s="37" t="n">
        <v>0.792513155035139</v>
      </c>
      <c r="G65" s="37" t="n">
        <v>0.6992936814174471</v>
      </c>
      <c r="H65" s="37" t="n">
        <v>0.7236178563269526</v>
      </c>
      <c r="I65" s="37" t="n">
        <v>0.4857635261336927</v>
      </c>
      <c r="J65" s="40" t="inlineStr">
        <is>
          <t>Inviable</t>
        </is>
      </c>
      <c r="K65" s="29" t="n">
        <v>-2.18706766354961</v>
      </c>
      <c r="L65" s="35" t="n">
        <v>-22.55995643044517</v>
      </c>
      <c r="M65" s="36" t="n">
        <v>2833.817068344112</v>
      </c>
      <c r="N65" s="29" t="n">
        <v>3.42301089133527</v>
      </c>
      <c r="O65" s="16" t="inlineStr">
        <is>
          <t>sí</t>
        </is>
      </c>
      <c r="P65" s="16" t="inlineStr">
        <is>
          <t>O2,O3</t>
        </is>
      </c>
    </row>
    <row r="66">
      <c r="A66" s="16" t="inlineStr">
        <is>
          <t>KF-M05-1-0055</t>
        </is>
      </c>
      <c r="B66" s="36" t="n">
        <v>4699.562107322032</v>
      </c>
      <c r="C66" s="35" t="n">
        <v>1861.469562576173</v>
      </c>
      <c r="D66" s="37" t="n">
        <v>0.773365592070355</v>
      </c>
      <c r="E66" s="37" t="n">
        <v>0.7559675965753541</v>
      </c>
      <c r="F66" s="37" t="n">
        <v>0.9140665948407352</v>
      </c>
      <c r="G66" s="37" t="n">
        <v>0.7225856674273696</v>
      </c>
      <c r="H66" s="37" t="n">
        <v>0.8955220123522093</v>
      </c>
      <c r="I66" s="37" t="n">
        <v>0.8305039827687908</v>
      </c>
      <c r="J66" s="39" t="inlineStr">
        <is>
          <t>Corregible</t>
        </is>
      </c>
      <c r="K66" s="29" t="n">
        <v>7.35380003421252</v>
      </c>
      <c r="L66" s="35" t="n">
        <v>108.3303591227128</v>
      </c>
      <c r="M66" s="36" t="n">
        <v>2838.092544745859</v>
      </c>
      <c r="N66" s="29" t="n">
        <v>2.524651598825012</v>
      </c>
      <c r="O66" s="16" t="inlineStr">
        <is>
          <t>sí</t>
        </is>
      </c>
      <c r="P66" s="16" t="inlineStr">
        <is>
          <t>O2</t>
        </is>
      </c>
    </row>
    <row r="67">
      <c r="A67" s="16" t="inlineStr">
        <is>
          <t>KF-M05-1-0056</t>
        </is>
      </c>
      <c r="B67" s="36" t="n">
        <v>3333.094120047501</v>
      </c>
      <c r="C67" s="35" t="n">
        <v>1430.770294831217</v>
      </c>
      <c r="D67" s="37" t="n">
        <v>0.8422009927792273</v>
      </c>
      <c r="E67" s="37" t="n">
        <v>0.7899548561771994</v>
      </c>
      <c r="F67" s="37" t="n">
        <v>0.7095574241061871</v>
      </c>
      <c r="G67" s="37" t="n">
        <v>0.9491866307925864</v>
      </c>
      <c r="H67" s="37" t="n">
        <v>0.5419583814907151</v>
      </c>
      <c r="I67" s="37" t="n">
        <v>0.9100588185054054</v>
      </c>
      <c r="J67" s="32" t="inlineStr">
        <is>
          <t>No convergió</t>
        </is>
      </c>
      <c r="K67" s="29" t="inlineStr">
        <is>
          <t>—</t>
        </is>
      </c>
      <c r="L67" s="35" t="inlineStr">
        <is>
          <t>—</t>
        </is>
      </c>
      <c r="M67" s="36" t="n">
        <v>1902.323825216284</v>
      </c>
      <c r="N67" s="29" t="n">
        <v>2.329580179354153</v>
      </c>
      <c r="O67" s="16" t="inlineStr">
        <is>
          <t>no</t>
        </is>
      </c>
      <c r="P67" s="16" t="n"/>
    </row>
    <row r="68">
      <c r="A68" s="16" t="inlineStr">
        <is>
          <t>KF-M05-1-0057</t>
        </is>
      </c>
      <c r="B68" s="36" t="n">
        <v>3965.722733524921</v>
      </c>
      <c r="C68" s="35" t="n">
        <v>1280.186665465208</v>
      </c>
      <c r="D68" s="37" t="n">
        <v>0.6625478436463771</v>
      </c>
      <c r="E68" s="37" t="n">
        <v>0.6351605009374444</v>
      </c>
      <c r="F68" s="37" t="n">
        <v>0.4055793066393175</v>
      </c>
      <c r="G68" s="37" t="n">
        <v>0.736056342816599</v>
      </c>
      <c r="H68" s="37" t="n">
        <v>0.6218136518223746</v>
      </c>
      <c r="I68" s="37" t="n">
        <v>0.643273717425672</v>
      </c>
      <c r="J68" s="32" t="inlineStr">
        <is>
          <t>No convergió</t>
        </is>
      </c>
      <c r="K68" s="29" t="inlineStr">
        <is>
          <t>—</t>
        </is>
      </c>
      <c r="L68" s="35" t="inlineStr">
        <is>
          <t>—</t>
        </is>
      </c>
      <c r="M68" s="36" t="n">
        <v>2685.536068059713</v>
      </c>
      <c r="N68" s="29" t="n">
        <v>3.097769130475839</v>
      </c>
      <c r="O68" s="16" t="inlineStr">
        <is>
          <t>no</t>
        </is>
      </c>
      <c r="P68" s="16" t="n"/>
    </row>
    <row r="69">
      <c r="A69" s="16" t="inlineStr">
        <is>
          <t>KF-M05-1-0058</t>
        </is>
      </c>
      <c r="B69" s="36" t="n">
        <v>4027.732771239005</v>
      </c>
      <c r="C69" s="35" t="n">
        <v>1267.927605355789</v>
      </c>
      <c r="D69" s="37" t="n">
        <v>0.5976866457962702</v>
      </c>
      <c r="E69" s="37" t="n">
        <v>0.6227750029189195</v>
      </c>
      <c r="F69" s="37" t="n">
        <v>0.5914358271232539</v>
      </c>
      <c r="G69" s="37" t="n">
        <v>0.8202125428249225</v>
      </c>
      <c r="H69" s="37" t="n">
        <v>0.5749160580571383</v>
      </c>
      <c r="I69" s="37" t="n">
        <v>0.836370026043681</v>
      </c>
      <c r="J69" s="38" t="inlineStr">
        <is>
          <t>Falso convergido</t>
        </is>
      </c>
      <c r="K69" s="29" t="inlineStr">
        <is>
          <t>—</t>
        </is>
      </c>
      <c r="L69" s="35" t="inlineStr">
        <is>
          <t>—</t>
        </is>
      </c>
      <c r="M69" s="36" t="n">
        <v>2759.805165883216</v>
      </c>
      <c r="N69" s="29" t="n">
        <v>3.1766267681417</v>
      </c>
      <c r="O69" s="16" t="inlineStr">
        <is>
          <t>sí</t>
        </is>
      </c>
      <c r="P69" s="16" t="inlineStr">
        <is>
          <t>N2,O2,O5,C1,C3,C3</t>
        </is>
      </c>
    </row>
    <row r="70">
      <c r="A70" s="16" t="inlineStr">
        <is>
          <t>KF-M05-1-0059</t>
        </is>
      </c>
      <c r="B70" s="36" t="n">
        <v>3038.112423476788</v>
      </c>
      <c r="C70" s="35" t="n">
        <v>424.8752452304865</v>
      </c>
      <c r="D70" s="37" t="n">
        <v>0.8074088894122828</v>
      </c>
      <c r="E70" s="37" t="n">
        <v>0.7971230543872195</v>
      </c>
      <c r="F70" s="37" t="n">
        <v>0.5470464137222356</v>
      </c>
      <c r="G70" s="37" t="n">
        <v>0.4523938588398257</v>
      </c>
      <c r="H70" s="37" t="n">
        <v>0.6035040422023892</v>
      </c>
      <c r="I70" s="37" t="n">
        <v>0.878946818835004</v>
      </c>
      <c r="J70" s="40" t="inlineStr">
        <is>
          <t>Inviable</t>
        </is>
      </c>
      <c r="K70" s="29" t="n">
        <v>-18.34969469933676</v>
      </c>
      <c r="L70" s="35" t="n">
        <v>-95.2702206257802</v>
      </c>
      <c r="M70" s="36" t="n">
        <v>2613.237178246301</v>
      </c>
      <c r="N70" s="29" t="n">
        <v>7.150598811254988</v>
      </c>
      <c r="O70" s="16" t="inlineStr">
        <is>
          <t>sí</t>
        </is>
      </c>
      <c r="P70" s="16" t="inlineStr">
        <is>
          <t>O2,O3</t>
        </is>
      </c>
    </row>
    <row r="71">
      <c r="A71" s="16" t="inlineStr">
        <is>
          <t>KF-M05-1-0060</t>
        </is>
      </c>
      <c r="B71" s="36" t="n">
        <v>3615.621328897025</v>
      </c>
      <c r="C71" s="35" t="n">
        <v>899.1577565068505</v>
      </c>
      <c r="D71" s="37" t="n">
        <v>0.6317543284333571</v>
      </c>
      <c r="E71" s="37" t="n">
        <v>0.5384195942690386</v>
      </c>
      <c r="F71" s="37" t="n">
        <v>0.6461865794150791</v>
      </c>
      <c r="G71" s="37" t="n">
        <v>0.8878634546946846</v>
      </c>
      <c r="H71" s="37" t="n">
        <v>0.947902641553844</v>
      </c>
      <c r="I71" s="37" t="n">
        <v>0.4064020825012467</v>
      </c>
      <c r="J71" s="32" t="inlineStr">
        <is>
          <t>No convergió</t>
        </is>
      </c>
      <c r="K71" s="29" t="inlineStr">
        <is>
          <t>—</t>
        </is>
      </c>
      <c r="L71" s="35" t="inlineStr">
        <is>
          <t>—</t>
        </is>
      </c>
      <c r="M71" s="36" t="n">
        <v>2716.463572390174</v>
      </c>
      <c r="N71" s="29" t="n">
        <v>4.021120101263874</v>
      </c>
      <c r="O71" s="16" t="inlineStr">
        <is>
          <t>no</t>
        </is>
      </c>
      <c r="P71" s="16" t="n"/>
    </row>
    <row r="72">
      <c r="A72" s="16" t="inlineStr">
        <is>
          <t>KF-M05-1-0061</t>
        </is>
      </c>
      <c r="B72" s="36" t="n">
        <v>4798.244292664054</v>
      </c>
      <c r="C72" s="35" t="n">
        <v>1194.619977855655</v>
      </c>
      <c r="D72" s="37" t="n">
        <v>0.6937692841858456</v>
      </c>
      <c r="E72" s="37" t="n">
        <v>0.5817895678876022</v>
      </c>
      <c r="F72" s="37" t="n">
        <v>0.9099058398668464</v>
      </c>
      <c r="G72" s="37" t="n">
        <v>0.7399681893583159</v>
      </c>
      <c r="H72" s="37" t="n">
        <v>0.9433654363184372</v>
      </c>
      <c r="I72" s="37" t="n">
        <v>0.4485643253025808</v>
      </c>
      <c r="J72" s="32" t="inlineStr">
        <is>
          <t>No convergió</t>
        </is>
      </c>
      <c r="K72" s="29" t="inlineStr">
        <is>
          <t>—</t>
        </is>
      </c>
      <c r="L72" s="35" t="inlineStr">
        <is>
          <t>—</t>
        </is>
      </c>
      <c r="M72" s="36" t="n">
        <v>3603.6243148084</v>
      </c>
      <c r="N72" s="29" t="n">
        <v>4.016544492481126</v>
      </c>
      <c r="O72" s="16" t="inlineStr">
        <is>
          <t>no</t>
        </is>
      </c>
      <c r="P72" s="16" t="n"/>
    </row>
    <row r="73">
      <c r="A73" s="16" t="inlineStr">
        <is>
          <t>KF-M05-1-0062</t>
        </is>
      </c>
      <c r="B73" s="36" t="n">
        <v>2955.020022444088</v>
      </c>
      <c r="C73" s="35" t="n">
        <v>1023.011635302588</v>
      </c>
      <c r="D73" s="37" t="n">
        <v>0.5864582595759726</v>
      </c>
      <c r="E73" s="37" t="n">
        <v>0.4087118270223854</v>
      </c>
      <c r="F73" s="37" t="n">
        <v>0.7343580345316059</v>
      </c>
      <c r="G73" s="37" t="n">
        <v>0.7536057939967149</v>
      </c>
      <c r="H73" s="37" t="n">
        <v>0.6765176869453302</v>
      </c>
      <c r="I73" s="37" t="n">
        <v>0.5632685695919042</v>
      </c>
      <c r="J73" s="32" t="inlineStr">
        <is>
          <t>No convergió</t>
        </is>
      </c>
      <c r="K73" s="29" t="inlineStr">
        <is>
          <t>—</t>
        </is>
      </c>
      <c r="L73" s="35" t="inlineStr">
        <is>
          <t>—</t>
        </is>
      </c>
      <c r="M73" s="36" t="n">
        <v>1932.0083871415</v>
      </c>
      <c r="N73" s="29" t="n">
        <v>2.888549768615336</v>
      </c>
      <c r="O73" s="16" t="inlineStr">
        <is>
          <t>no</t>
        </is>
      </c>
      <c r="P73" s="16" t="n"/>
    </row>
    <row r="74">
      <c r="A74" s="16" t="inlineStr">
        <is>
          <t>KF-M05-1-0063</t>
        </is>
      </c>
      <c r="B74" s="36" t="n">
        <v>4334.291301744825</v>
      </c>
      <c r="C74" s="35" t="n">
        <v>1915.573506901466</v>
      </c>
      <c r="D74" s="37" t="n">
        <v>0.6028444035155367</v>
      </c>
      <c r="E74" s="37" t="n">
        <v>0.7069512712459316</v>
      </c>
      <c r="F74" s="37" t="n">
        <v>0.7846224701747266</v>
      </c>
      <c r="G74" s="37" t="n">
        <v>0.8753741296929392</v>
      </c>
      <c r="H74" s="37" t="n">
        <v>0.6364359165358353</v>
      </c>
      <c r="I74" s="37" t="n">
        <v>0.445368515565161</v>
      </c>
      <c r="J74" s="32" t="inlineStr">
        <is>
          <t>No convergió</t>
        </is>
      </c>
      <c r="K74" s="29" t="inlineStr">
        <is>
          <t>—</t>
        </is>
      </c>
      <c r="L74" s="35" t="inlineStr">
        <is>
          <t>—</t>
        </is>
      </c>
      <c r="M74" s="36" t="n">
        <v>2418.717794843359</v>
      </c>
      <c r="N74" s="29" t="n">
        <v>2.262659869814004</v>
      </c>
      <c r="O74" s="16" t="inlineStr">
        <is>
          <t>no</t>
        </is>
      </c>
      <c r="P74" s="16" t="n"/>
    </row>
    <row r="75">
      <c r="A75" s="16" t="inlineStr">
        <is>
          <t>KF-M05-1-0064</t>
        </is>
      </c>
      <c r="B75" s="36" t="n">
        <v>2633.296027164602</v>
      </c>
      <c r="C75" s="35" t="n">
        <v>1420.672726862932</v>
      </c>
      <c r="D75" s="37" t="n">
        <v>0.8212771837698196</v>
      </c>
      <c r="E75" s="37" t="n">
        <v>0.5604471023740811</v>
      </c>
      <c r="F75" s="37" t="n">
        <v>0.9013627400710816</v>
      </c>
      <c r="G75" s="37" t="n">
        <v>0.7162075415729166</v>
      </c>
      <c r="H75" s="37" t="n">
        <v>0.8054445696346064</v>
      </c>
      <c r="I75" s="37" t="n">
        <v>0.5333072321247334</v>
      </c>
      <c r="J75" s="32" t="inlineStr">
        <is>
          <t>No convergió</t>
        </is>
      </c>
      <c r="K75" s="29" t="inlineStr">
        <is>
          <t>—</t>
        </is>
      </c>
      <c r="L75" s="35" t="inlineStr">
        <is>
          <t>—</t>
        </is>
      </c>
      <c r="M75" s="36" t="n">
        <v>1212.62330030167</v>
      </c>
      <c r="N75" s="29" t="n">
        <v>1.853555697503486</v>
      </c>
      <c r="O75" s="16" t="inlineStr">
        <is>
          <t>no</t>
        </is>
      </c>
      <c r="P75" s="16" t="n"/>
    </row>
    <row r="76">
      <c r="A76" s="16" t="inlineStr">
        <is>
          <t>KF-M05-1-0065</t>
        </is>
      </c>
      <c r="B76" s="36" t="n">
        <v>4453.241143696563</v>
      </c>
      <c r="C76" s="35" t="n">
        <v>481.3108455204109</v>
      </c>
      <c r="D76" s="37" t="n">
        <v>0.5751278597937636</v>
      </c>
      <c r="E76" s="37" t="n">
        <v>0.6942884567982076</v>
      </c>
      <c r="F76" s="37" t="n">
        <v>0.4926085949801182</v>
      </c>
      <c r="G76" s="37" t="n">
        <v>0.6344123295336518</v>
      </c>
      <c r="H76" s="37" t="n">
        <v>0.6666565752475557</v>
      </c>
      <c r="I76" s="37" t="n">
        <v>0.8481522240742627</v>
      </c>
      <c r="J76" s="39" t="inlineStr">
        <is>
          <t>Corregible</t>
        </is>
      </c>
      <c r="K76" s="29" t="n">
        <v>11.14567593269761</v>
      </c>
      <c r="L76" s="35" t="n">
        <v>160.7769139281463</v>
      </c>
      <c r="M76" s="36" t="n">
        <v>3971.930298176152</v>
      </c>
      <c r="N76" s="29" t="n">
        <v>9.252318299375856</v>
      </c>
      <c r="O76" s="16" t="inlineStr">
        <is>
          <t>sí</t>
        </is>
      </c>
      <c r="P76" s="16" t="inlineStr">
        <is>
          <t>O2</t>
        </is>
      </c>
    </row>
    <row r="77">
      <c r="A77" s="16" t="inlineStr">
        <is>
          <t>KF-M05-1-0066</t>
        </is>
      </c>
      <c r="B77" s="36" t="n">
        <v>2085.115845804514</v>
      </c>
      <c r="C77" s="35" t="n">
        <v>976.778556369838</v>
      </c>
      <c r="D77" s="37" t="n">
        <v>0.7681125025200903</v>
      </c>
      <c r="E77" s="37" t="n">
        <v>0.8227936166192316</v>
      </c>
      <c r="F77" s="37" t="n">
        <v>0.6668944378632984</v>
      </c>
      <c r="G77" s="37" t="n">
        <v>0.541556225551709</v>
      </c>
      <c r="H77" s="37" t="n">
        <v>0.7894284421823146</v>
      </c>
      <c r="I77" s="37" t="n">
        <v>0.923563645545984</v>
      </c>
      <c r="J77" s="39" t="inlineStr">
        <is>
          <t>Corregible</t>
        </is>
      </c>
      <c r="K77" s="29" t="n">
        <v>6.43137822041964</v>
      </c>
      <c r="L77" s="35" t="n">
        <v>77.25697882891296</v>
      </c>
      <c r="M77" s="36" t="n">
        <v>1108.337289434676</v>
      </c>
      <c r="N77" s="29" t="n">
        <v>2.134686344419528</v>
      </c>
      <c r="O77" s="16" t="inlineStr">
        <is>
          <t>no</t>
        </is>
      </c>
      <c r="P77" s="16" t="inlineStr">
        <is>
          <t>O2</t>
        </is>
      </c>
    </row>
    <row r="78">
      <c r="A78" s="16" t="inlineStr">
        <is>
          <t>KF-M05-1-0067</t>
        </is>
      </c>
      <c r="B78" s="36" t="n">
        <v>2350.886432513078</v>
      </c>
      <c r="C78" s="35" t="n">
        <v>990.1500007552672</v>
      </c>
      <c r="D78" s="37" t="n">
        <v>0.6137744388845994</v>
      </c>
      <c r="E78" s="37" t="n">
        <v>0.5006242045601598</v>
      </c>
      <c r="F78" s="37" t="n">
        <v>0.7490701863573133</v>
      </c>
      <c r="G78" s="37" t="n">
        <v>0.5539172116182317</v>
      </c>
      <c r="H78" s="37" t="n">
        <v>0.533466054488751</v>
      </c>
      <c r="I78" s="37" t="n">
        <v>0.4366773022916197</v>
      </c>
      <c r="J78" s="40" t="inlineStr">
        <is>
          <t>Inviable</t>
        </is>
      </c>
      <c r="K78" s="29" t="n">
        <v>-4.333072611165751</v>
      </c>
      <c r="L78" s="35" t="n">
        <v>-34.33671139679436</v>
      </c>
      <c r="M78" s="36" t="n">
        <v>1360.736431757811</v>
      </c>
      <c r="N78" s="29" t="n">
        <v>2.374273019966538</v>
      </c>
      <c r="O78" s="16" t="inlineStr">
        <is>
          <t>sí</t>
        </is>
      </c>
      <c r="P78" s="16" t="inlineStr">
        <is>
          <t>O2,O3</t>
        </is>
      </c>
    </row>
    <row r="79">
      <c r="A79" s="16" t="inlineStr">
        <is>
          <t>KF-M05-1-0068</t>
        </is>
      </c>
      <c r="B79" s="36" t="n">
        <v>4278.935289795758</v>
      </c>
      <c r="C79" s="35" t="n">
        <v>1072.42320454563</v>
      </c>
      <c r="D79" s="37" t="n">
        <v>0.5339423670819896</v>
      </c>
      <c r="E79" s="37" t="n">
        <v>0.7250067029439208</v>
      </c>
      <c r="F79" s="37" t="n">
        <v>0.4583570364746759</v>
      </c>
      <c r="G79" s="37" t="n">
        <v>0.7790500120316848</v>
      </c>
      <c r="H79" s="37" t="n">
        <v>0.7285196549326886</v>
      </c>
      <c r="I79" s="37" t="n">
        <v>0.6609482192978093</v>
      </c>
      <c r="J79" s="39" t="inlineStr">
        <is>
          <t>Corregible</t>
        </is>
      </c>
      <c r="K79" s="29" t="n">
        <v>3.24489588256186</v>
      </c>
      <c r="L79" s="35" t="n">
        <v>46.38975276441994</v>
      </c>
      <c r="M79" s="36" t="n">
        <v>3206.512085250128</v>
      </c>
      <c r="N79" s="29" t="n">
        <v>3.989968952237173</v>
      </c>
      <c r="O79" s="16" t="inlineStr">
        <is>
          <t>sí</t>
        </is>
      </c>
      <c r="P79" s="16" t="inlineStr">
        <is>
          <t>O2</t>
        </is>
      </c>
    </row>
    <row r="80">
      <c r="A80" s="16" t="inlineStr">
        <is>
          <t>KF-M05-1-0069</t>
        </is>
      </c>
      <c r="B80" s="36" t="n">
        <v>2401.477527370052</v>
      </c>
      <c r="C80" s="35" t="n">
        <v>553.8337034751592</v>
      </c>
      <c r="D80" s="37" t="n">
        <v>0.7950608094386378</v>
      </c>
      <c r="E80" s="37" t="n">
        <v>0.4320203457119146</v>
      </c>
      <c r="F80" s="37" t="n">
        <v>0.9219165647899618</v>
      </c>
      <c r="G80" s="37" t="n">
        <v>0.6603655008088192</v>
      </c>
      <c r="H80" s="37" t="n">
        <v>0.6113515344001941</v>
      </c>
      <c r="I80" s="37" t="n">
        <v>0.6528966412660765</v>
      </c>
      <c r="J80" s="32" t="inlineStr">
        <is>
          <t>No convergió</t>
        </is>
      </c>
      <c r="K80" s="29" t="inlineStr">
        <is>
          <t>—</t>
        </is>
      </c>
      <c r="L80" s="35" t="inlineStr">
        <is>
          <t>—</t>
        </is>
      </c>
      <c r="M80" s="36" t="n">
        <v>1847.643823894893</v>
      </c>
      <c r="N80" s="29" t="n">
        <v>4.336098565871705</v>
      </c>
      <c r="O80" s="16" t="inlineStr">
        <is>
          <t>no</t>
        </is>
      </c>
      <c r="P80" s="16" t="n"/>
    </row>
    <row r="81">
      <c r="A81" s="16" t="inlineStr">
        <is>
          <t>KF-M05-1-0070</t>
        </is>
      </c>
      <c r="B81" s="36" t="n">
        <v>2917.989850525363</v>
      </c>
      <c r="C81" s="35" t="n">
        <v>1215.632736319139</v>
      </c>
      <c r="D81" s="37" t="n">
        <v>0.6983426123679317</v>
      </c>
      <c r="E81" s="37" t="n">
        <v>0.4911875376548847</v>
      </c>
      <c r="F81" s="37" t="n">
        <v>0.6817413507043202</v>
      </c>
      <c r="G81" s="37" t="n">
        <v>0.4431913933080387</v>
      </c>
      <c r="H81" s="37" t="n">
        <v>0.7978039931560619</v>
      </c>
      <c r="I81" s="37" t="n">
        <v>0.6241059477805146</v>
      </c>
      <c r="J81" s="39" t="inlineStr">
        <is>
          <t>Corregible</t>
        </is>
      </c>
      <c r="K81" s="29" t="n">
        <v>0.37412780910518</v>
      </c>
      <c r="L81" s="35" t="n">
        <v>3.102482296850937</v>
      </c>
      <c r="M81" s="36" t="n">
        <v>1702.357114206224</v>
      </c>
      <c r="N81" s="29" t="n">
        <v>2.400387685643328</v>
      </c>
      <c r="O81" s="16" t="inlineStr">
        <is>
          <t>sí</t>
        </is>
      </c>
      <c r="P81" s="16" t="inlineStr">
        <is>
          <t>O2</t>
        </is>
      </c>
    </row>
    <row r="82">
      <c r="A82" s="16" t="inlineStr">
        <is>
          <t>KF-M05-1-0071</t>
        </is>
      </c>
      <c r="B82" s="36" t="n">
        <v>4588.461852477803</v>
      </c>
      <c r="C82" s="35" t="n">
        <v>914.8692098994744</v>
      </c>
      <c r="D82" s="37" t="n">
        <v>0.7030047649940753</v>
      </c>
      <c r="E82" s="37" t="n">
        <v>0.475554771217101</v>
      </c>
      <c r="F82" s="37" t="n">
        <v>0.4641733708082466</v>
      </c>
      <c r="G82" s="37" t="n">
        <v>0.6895599390617124</v>
      </c>
      <c r="H82" s="37" t="n">
        <v>0.6845367073359325</v>
      </c>
      <c r="I82" s="37" t="n">
        <v>0.6261976400049314</v>
      </c>
      <c r="J82" s="40" t="inlineStr">
        <is>
          <t>Inviable</t>
        </is>
      </c>
      <c r="K82" s="29" t="n">
        <v>-7.79382927099613</v>
      </c>
      <c r="L82" s="35" t="n">
        <v>-83.27662456195327</v>
      </c>
      <c r="M82" s="36" t="n">
        <v>3673.592642578329</v>
      </c>
      <c r="N82" s="29" t="n">
        <v>5.015429312548383</v>
      </c>
      <c r="O82" s="16" t="inlineStr">
        <is>
          <t>sí</t>
        </is>
      </c>
      <c r="P82" s="16" t="inlineStr">
        <is>
          <t>O2,O3</t>
        </is>
      </c>
    </row>
    <row r="83">
      <c r="A83" s="16" t="inlineStr">
        <is>
          <t>KF-M05-1-0072</t>
        </is>
      </c>
      <c r="B83" s="36" t="n">
        <v>4556.625464582912</v>
      </c>
      <c r="C83" s="35" t="n">
        <v>267.9908360610061</v>
      </c>
      <c r="D83" s="37" t="n">
        <v>0.5174070425207128</v>
      </c>
      <c r="E83" s="37" t="n">
        <v>0.6287718474923625</v>
      </c>
      <c r="F83" s="37" t="n">
        <v>0.5685952179634647</v>
      </c>
      <c r="G83" s="37" t="n">
        <v>0.4118733350802426</v>
      </c>
      <c r="H83" s="37" t="n">
        <v>0.8536458414778629</v>
      </c>
      <c r="I83" s="37" t="n">
        <v>0.6495196478065393</v>
      </c>
      <c r="J83" s="40" t="inlineStr">
        <is>
          <t>Inviable</t>
        </is>
      </c>
      <c r="K83" s="29" t="n">
        <v>-3.49325499012176</v>
      </c>
      <c r="L83" s="35" t="n">
        <v>-26.13541004511936</v>
      </c>
      <c r="M83" s="36" t="n">
        <v>4288.634628521906</v>
      </c>
      <c r="N83" s="29" t="n">
        <v>17.00291521739061</v>
      </c>
      <c r="O83" s="16" t="inlineStr">
        <is>
          <t>sí</t>
        </is>
      </c>
      <c r="P83" s="16" t="inlineStr">
        <is>
          <t>O2,O3</t>
        </is>
      </c>
    </row>
    <row r="84">
      <c r="A84" s="16" t="inlineStr">
        <is>
          <t>KF-M05-1-0073</t>
        </is>
      </c>
      <c r="B84" s="36" t="n">
        <v>4872.595337838322</v>
      </c>
      <c r="C84" s="35" t="n">
        <v>1335.256319448823</v>
      </c>
      <c r="D84" s="37" t="n">
        <v>0.682065098395267</v>
      </c>
      <c r="E84" s="37" t="n">
        <v>0.6932862095964083</v>
      </c>
      <c r="F84" s="37" t="n">
        <v>0.7745417433222841</v>
      </c>
      <c r="G84" s="37" t="n">
        <v>0.7841105098415475</v>
      </c>
      <c r="H84" s="37" t="n">
        <v>0.9385810377815657</v>
      </c>
      <c r="I84" s="37" t="n">
        <v>0.4785655680214272</v>
      </c>
      <c r="J84" s="32" t="inlineStr">
        <is>
          <t>No convergió</t>
        </is>
      </c>
      <c r="K84" s="29" t="inlineStr">
        <is>
          <t>—</t>
        </is>
      </c>
      <c r="L84" s="35" t="inlineStr">
        <is>
          <t>—</t>
        </is>
      </c>
      <c r="M84" s="36" t="n">
        <v>3537.339018389499</v>
      </c>
      <c r="N84" s="29" t="n">
        <v>3.649183506466884</v>
      </c>
      <c r="O84" s="16" t="inlineStr">
        <is>
          <t>no</t>
        </is>
      </c>
      <c r="P84" s="16" t="n"/>
    </row>
    <row r="85">
      <c r="A85" s="16" t="inlineStr">
        <is>
          <t>KF-M05-1-0074</t>
        </is>
      </c>
      <c r="B85" s="36" t="n">
        <v>2196.639062724997</v>
      </c>
      <c r="C85" s="35" t="n">
        <v>677.4680470484612</v>
      </c>
      <c r="D85" s="37" t="n">
        <v>0.6440925265019433</v>
      </c>
      <c r="E85" s="37" t="n">
        <v>0.4625334344439011</v>
      </c>
      <c r="F85" s="37" t="n">
        <v>0.7062397285387005</v>
      </c>
      <c r="G85" s="37" t="n">
        <v>0.7923899586039053</v>
      </c>
      <c r="H85" s="37" t="n">
        <v>0.5227576845739943</v>
      </c>
      <c r="I85" s="37" t="n">
        <v>0.599523226153412</v>
      </c>
      <c r="J85" s="32" t="inlineStr">
        <is>
          <t>No convergió</t>
        </is>
      </c>
      <c r="K85" s="29" t="inlineStr">
        <is>
          <t>—</t>
        </is>
      </c>
      <c r="L85" s="35" t="inlineStr">
        <is>
          <t>—</t>
        </is>
      </c>
      <c r="M85" s="36" t="n">
        <v>1519.171015676535</v>
      </c>
      <c r="N85" s="29" t="n">
        <v>3.242424601861503</v>
      </c>
      <c r="O85" s="16" t="inlineStr">
        <is>
          <t>no</t>
        </is>
      </c>
      <c r="P85" s="16" t="n"/>
    </row>
    <row r="86">
      <c r="A86" s="16" t="inlineStr">
        <is>
          <t>KF-M05-1-0075</t>
        </is>
      </c>
      <c r="B86" s="36" t="n">
        <v>2776.727436590294</v>
      </c>
      <c r="C86" s="35" t="n">
        <v>439.7575008401029</v>
      </c>
      <c r="D86" s="37" t="n">
        <v>0.7587711150600011</v>
      </c>
      <c r="E86" s="37" t="n">
        <v>0.6114334692134644</v>
      </c>
      <c r="F86" s="37" t="n">
        <v>0.8777001581276508</v>
      </c>
      <c r="G86" s="37" t="n">
        <v>0.4793482842548526</v>
      </c>
      <c r="H86" s="37" t="n">
        <v>0.8018030452447571</v>
      </c>
      <c r="I86" s="37" t="n">
        <v>0.489726016894033</v>
      </c>
      <c r="J86" s="32" t="inlineStr">
        <is>
          <t>No convergió</t>
        </is>
      </c>
      <c r="K86" s="29" t="inlineStr">
        <is>
          <t>—</t>
        </is>
      </c>
      <c r="L86" s="35" t="inlineStr">
        <is>
          <t>—</t>
        </is>
      </c>
      <c r="M86" s="36" t="n">
        <v>2336.969935750192</v>
      </c>
      <c r="N86" s="29" t="n">
        <v>6.314224160555979</v>
      </c>
      <c r="O86" s="16" t="inlineStr">
        <is>
          <t>no</t>
        </is>
      </c>
      <c r="P86" s="16" t="n"/>
    </row>
    <row r="87">
      <c r="A87" s="16" t="inlineStr">
        <is>
          <t>KF-M05-1-0076</t>
        </is>
      </c>
      <c r="B87" s="36" t="n">
        <v>2884.795440604961</v>
      </c>
      <c r="C87" s="35" t="n">
        <v>726.3167684116191</v>
      </c>
      <c r="D87" s="37" t="n">
        <v>0.5905297210408029</v>
      </c>
      <c r="E87" s="37" t="n">
        <v>0.7161635358020378</v>
      </c>
      <c r="F87" s="37" t="n">
        <v>0.7441730078549156</v>
      </c>
      <c r="G87" s="37" t="n">
        <v>0.8529547582781856</v>
      </c>
      <c r="H87" s="37" t="n">
        <v>0.8806454880826193</v>
      </c>
      <c r="I87" s="37" t="n">
        <v>0.9041195349422566</v>
      </c>
      <c r="J87" s="32" t="inlineStr">
        <is>
          <t>No convergió</t>
        </is>
      </c>
      <c r="K87" s="29" t="inlineStr">
        <is>
          <t>—</t>
        </is>
      </c>
      <c r="L87" s="35" t="inlineStr">
        <is>
          <t>—</t>
        </is>
      </c>
      <c r="M87" s="36" t="n">
        <v>2158.478672193342</v>
      </c>
      <c r="N87" s="29" t="n">
        <v>3.97181445626502</v>
      </c>
      <c r="O87" s="16" t="inlineStr">
        <is>
          <t>no</t>
        </is>
      </c>
      <c r="P87" s="16" t="n"/>
    </row>
    <row r="88">
      <c r="A88" s="16" t="inlineStr">
        <is>
          <t>KF-M05-1-0077</t>
        </is>
      </c>
      <c r="B88" s="36" t="n">
        <v>4324.351818981038</v>
      </c>
      <c r="C88" s="35" t="n">
        <v>572.2184244159414</v>
      </c>
      <c r="D88" s="37" t="n">
        <v>0.6491532110508386</v>
      </c>
      <c r="E88" s="37" t="n">
        <v>0.6883092815839181</v>
      </c>
      <c r="F88" s="37" t="n">
        <v>0.5030646027550773</v>
      </c>
      <c r="G88" s="37" t="n">
        <v>0.5824633382215267</v>
      </c>
      <c r="H88" s="37" t="n">
        <v>0.5181649681773355</v>
      </c>
      <c r="I88" s="37" t="n">
        <v>0.575803348440357</v>
      </c>
      <c r="J88" s="40" t="inlineStr">
        <is>
          <t>Inviable</t>
        </is>
      </c>
      <c r="K88" s="29" t="n">
        <v>-6.9754150693807</v>
      </c>
      <c r="L88" s="35" t="n">
        <v>-60.43916035825129</v>
      </c>
      <c r="M88" s="36" t="n">
        <v>3752.133394565097</v>
      </c>
      <c r="N88" s="29" t="n">
        <v>7.557169840161768</v>
      </c>
      <c r="O88" s="16" t="inlineStr">
        <is>
          <t>sí</t>
        </is>
      </c>
      <c r="P88" s="16" t="inlineStr">
        <is>
          <t>O2,O3</t>
        </is>
      </c>
    </row>
    <row r="89">
      <c r="A89" s="16" t="inlineStr">
        <is>
          <t>KF-M05-1-0078</t>
        </is>
      </c>
      <c r="B89" s="36" t="n">
        <v>4119.294534537789</v>
      </c>
      <c r="C89" s="35" t="n">
        <v>457.1430307827322</v>
      </c>
      <c r="D89" s="37" t="n">
        <v>0.7267749171700898</v>
      </c>
      <c r="E89" s="37" t="n">
        <v>0.5952656430215557</v>
      </c>
      <c r="F89" s="37" t="n">
        <v>0.759595638555373</v>
      </c>
      <c r="G89" s="37" t="n">
        <v>0.4208646964469634</v>
      </c>
      <c r="H89" s="37" t="n">
        <v>0.5049750687248263</v>
      </c>
      <c r="I89" s="37" t="n">
        <v>0.8722238330305316</v>
      </c>
      <c r="J89" s="40" t="inlineStr">
        <is>
          <t>Inviable</t>
        </is>
      </c>
      <c r="K89" s="29" t="n">
        <v>-1.73756252000351</v>
      </c>
      <c r="L89" s="35" t="n">
        <v>-11.96859435329333</v>
      </c>
      <c r="M89" s="36" t="n">
        <v>3662.151503755057</v>
      </c>
      <c r="N89" s="29" t="n">
        <v>9.010953371605876</v>
      </c>
      <c r="O89" s="16" t="inlineStr">
        <is>
          <t>sí</t>
        </is>
      </c>
      <c r="P89" s="16" t="inlineStr">
        <is>
          <t>O2,O3</t>
        </is>
      </c>
    </row>
    <row r="90">
      <c r="A90" s="16" t="inlineStr">
        <is>
          <t>KF-M05-1-0079</t>
        </is>
      </c>
      <c r="B90" s="36" t="n">
        <v>2342.952330760533</v>
      </c>
      <c r="C90" s="35" t="n">
        <v>1136.04966559192</v>
      </c>
      <c r="D90" s="37" t="n">
        <v>0.5358526257232634</v>
      </c>
      <c r="E90" s="37" t="n">
        <v>0.5441201135429841</v>
      </c>
      <c r="F90" s="37" t="n">
        <v>0.652971263826341</v>
      </c>
      <c r="G90" s="37" t="n">
        <v>0.8060136085230126</v>
      </c>
      <c r="H90" s="37" t="n">
        <v>0.7403470511786079</v>
      </c>
      <c r="I90" s="37" t="n">
        <v>0.7926002856794523</v>
      </c>
      <c r="J90" s="40" t="inlineStr">
        <is>
          <t>Inviable</t>
        </is>
      </c>
      <c r="K90" s="29" t="n">
        <v>2.66185679131375</v>
      </c>
      <c r="L90" s="35" t="n">
        <v>47.74649228936084</v>
      </c>
      <c r="M90" s="36" t="n">
        <v>1206.902665168612</v>
      </c>
      <c r="N90" s="29" t="n">
        <v>2.062367871513588</v>
      </c>
      <c r="O90" s="16" t="inlineStr">
        <is>
          <t>sí</t>
        </is>
      </c>
      <c r="P90" s="16" t="inlineStr">
        <is>
          <t>O2,O5</t>
        </is>
      </c>
    </row>
    <row r="91">
      <c r="A91" s="16" t="inlineStr">
        <is>
          <t>KF-M05-1-0080</t>
        </is>
      </c>
      <c r="B91" s="36" t="n">
        <v>2611.522347354427</v>
      </c>
      <c r="C91" s="35" t="n">
        <v>222.4785914079228</v>
      </c>
      <c r="D91" s="37" t="n">
        <v>0.5436602762011973</v>
      </c>
      <c r="E91" s="37" t="n">
        <v>0.4192047621815565</v>
      </c>
      <c r="F91" s="37" t="n">
        <v>0.6853013899577306</v>
      </c>
      <c r="G91" s="37" t="n">
        <v>0.8688660090927141</v>
      </c>
      <c r="H91" s="37" t="n">
        <v>0.6429911593242585</v>
      </c>
      <c r="I91" s="37" t="n">
        <v>0.5579674722904079</v>
      </c>
      <c r="J91" s="32" t="inlineStr">
        <is>
          <t>No convergió</t>
        </is>
      </c>
      <c r="K91" s="29" t="inlineStr">
        <is>
          <t>—</t>
        </is>
      </c>
      <c r="L91" s="35" t="inlineStr">
        <is>
          <t>—</t>
        </is>
      </c>
      <c r="M91" s="36" t="n">
        <v>2389.043755946504</v>
      </c>
      <c r="N91" s="29" t="n">
        <v>11.73830853039744</v>
      </c>
      <c r="O91" s="16" t="inlineStr">
        <is>
          <t>no</t>
        </is>
      </c>
      <c r="P91" s="16" t="n"/>
    </row>
    <row r="92">
      <c r="A92" s="16" t="inlineStr">
        <is>
          <t>KF-M05-1-0081</t>
        </is>
      </c>
      <c r="B92" s="36" t="n">
        <v>2270.238421742054</v>
      </c>
      <c r="C92" s="35" t="n">
        <v>796.8053579109284</v>
      </c>
      <c r="D92" s="37" t="n">
        <v>0.8449389773402722</v>
      </c>
      <c r="E92" s="37" t="n">
        <v>0.7178098303491141</v>
      </c>
      <c r="F92" s="37" t="n">
        <v>0.6475176360256689</v>
      </c>
      <c r="G92" s="37" t="n">
        <v>0.903317136406918</v>
      </c>
      <c r="H92" s="37" t="n">
        <v>0.5145783014742497</v>
      </c>
      <c r="I92" s="37" t="n">
        <v>0.8825688109721517</v>
      </c>
      <c r="J92" s="32" t="inlineStr">
        <is>
          <t>No convergió</t>
        </is>
      </c>
      <c r="K92" s="29" t="inlineStr">
        <is>
          <t>—</t>
        </is>
      </c>
      <c r="L92" s="35" t="inlineStr">
        <is>
          <t>—</t>
        </is>
      </c>
      <c r="M92" s="36" t="n">
        <v>1473.433063831125</v>
      </c>
      <c r="N92" s="29" t="n">
        <v>2.84917564773182</v>
      </c>
      <c r="O92" s="16" t="inlineStr">
        <is>
          <t>no</t>
        </is>
      </c>
      <c r="P92" s="16" t="n"/>
    </row>
    <row r="93">
      <c r="A93" s="16" t="inlineStr">
        <is>
          <t>KF-M05-1-0082</t>
        </is>
      </c>
      <c r="B93" s="36" t="n">
        <v>2281.490390449984</v>
      </c>
      <c r="C93" s="35" t="n">
        <v>1492.154812682336</v>
      </c>
      <c r="D93" s="37" t="n">
        <v>0.5797489683662098</v>
      </c>
      <c r="E93" s="37" t="n">
        <v>0.8134807447046092</v>
      </c>
      <c r="F93" s="37" t="n">
        <v>0.5529592630294182</v>
      </c>
      <c r="G93" s="37" t="n">
        <v>0.6256452322542261</v>
      </c>
      <c r="H93" s="37" t="n">
        <v>0.8582601457896351</v>
      </c>
      <c r="I93" s="37" t="n">
        <v>0.8409780379150557</v>
      </c>
      <c r="J93" s="39" t="inlineStr">
        <is>
          <t>Corregible</t>
        </is>
      </c>
      <c r="K93" s="29" t="n">
        <v>3.22372760548532</v>
      </c>
      <c r="L93" s="35" t="n">
        <v>46.69629574181838</v>
      </c>
      <c r="M93" s="36" t="n">
        <v>789.3355777676481</v>
      </c>
      <c r="N93" s="29" t="n">
        <v>1.528990404386203</v>
      </c>
      <c r="O93" s="16" t="inlineStr">
        <is>
          <t>sí</t>
        </is>
      </c>
      <c r="P93" s="16" t="inlineStr">
        <is>
          <t>O2</t>
        </is>
      </c>
    </row>
    <row r="94">
      <c r="A94" s="16" t="inlineStr">
        <is>
          <t>KF-M05-1-0083</t>
        </is>
      </c>
      <c r="B94" s="36" t="n">
        <v>3207.519237731461</v>
      </c>
      <c r="C94" s="35" t="n">
        <v>1965.621084777645</v>
      </c>
      <c r="D94" s="37" t="n">
        <v>0.7134192505506198</v>
      </c>
      <c r="E94" s="37" t="n">
        <v>0.8348616003705871</v>
      </c>
      <c r="F94" s="37" t="n">
        <v>0.8660001979059155</v>
      </c>
      <c r="G94" s="37" t="n">
        <v>0.4652155556182947</v>
      </c>
      <c r="H94" s="37" t="n">
        <v>0.7632151669442804</v>
      </c>
      <c r="I94" s="37" t="n">
        <v>0.8545028562640584</v>
      </c>
      <c r="J94" s="42" t="inlineStr">
        <is>
          <t>KALINA</t>
        </is>
      </c>
      <c r="K94" s="29" t="n">
        <v>4.35349504855395</v>
      </c>
      <c r="L94" s="35" t="n">
        <v>44.23419793897039</v>
      </c>
      <c r="M94" s="36" t="n">
        <v>1241.898152953815</v>
      </c>
      <c r="N94" s="29" t="n">
        <v>1.631809539779281</v>
      </c>
      <c r="O94" s="16" t="inlineStr">
        <is>
          <t>no</t>
        </is>
      </c>
      <c r="P94" s="16" t="n"/>
    </row>
    <row r="95">
      <c r="A95" s="16" t="inlineStr">
        <is>
          <t>KF-M05-1-0084</t>
        </is>
      </c>
      <c r="B95" s="36" t="n">
        <v>4644.311816525058</v>
      </c>
      <c r="C95" s="35" t="n">
        <v>1686.266109972614</v>
      </c>
      <c r="D95" s="37" t="n">
        <v>0.6535006779102488</v>
      </c>
      <c r="E95" s="37" t="n">
        <v>0.6809787011823376</v>
      </c>
      <c r="F95" s="37" t="n">
        <v>0.4164434913525261</v>
      </c>
      <c r="G95" s="37" t="n">
        <v>0.4553412149364964</v>
      </c>
      <c r="H95" s="37" t="n">
        <v>0.8257661012146036</v>
      </c>
      <c r="I95" s="37" t="n">
        <v>0.5495064178048078</v>
      </c>
      <c r="J95" s="40" t="inlineStr">
        <is>
          <t>Inviable</t>
        </is>
      </c>
      <c r="K95" s="29" t="n">
        <v>-3.0902458856195</v>
      </c>
      <c r="L95" s="35" t="n">
        <v>-23.90524833695619</v>
      </c>
      <c r="M95" s="36" t="n">
        <v>2958.045706552444</v>
      </c>
      <c r="N95" s="29" t="n">
        <v>2.754198633927646</v>
      </c>
      <c r="O95" s="16" t="inlineStr">
        <is>
          <t>sí</t>
        </is>
      </c>
      <c r="P95" s="16" t="inlineStr">
        <is>
          <t>O2,O3</t>
        </is>
      </c>
    </row>
    <row r="96">
      <c r="A96" s="16" t="inlineStr">
        <is>
          <t>KF-M05-1-0085</t>
        </is>
      </c>
      <c r="B96" s="36" t="n">
        <v>4094.956664720589</v>
      </c>
      <c r="C96" s="35" t="n">
        <v>780.6953518429564</v>
      </c>
      <c r="D96" s="37" t="n">
        <v>0.8396516940828779</v>
      </c>
      <c r="E96" s="37" t="n">
        <v>0.5054184010315571</v>
      </c>
      <c r="F96" s="37" t="n">
        <v>0.5248073471034798</v>
      </c>
      <c r="G96" s="37" t="n">
        <v>0.6488119298315449</v>
      </c>
      <c r="H96" s="37" t="n">
        <v>0.9007822521166554</v>
      </c>
      <c r="I96" s="37" t="n">
        <v>0.4264629861976683</v>
      </c>
      <c r="J96" s="32" t="inlineStr">
        <is>
          <t>No convergió</t>
        </is>
      </c>
      <c r="K96" s="29" t="inlineStr">
        <is>
          <t>—</t>
        </is>
      </c>
      <c r="L96" s="35" t="inlineStr">
        <is>
          <t>—</t>
        </is>
      </c>
      <c r="M96" s="36" t="n">
        <v>3314.261312877632</v>
      </c>
      <c r="N96" s="29" t="n">
        <v>5.245268407265123</v>
      </c>
      <c r="O96" s="16" t="inlineStr">
        <is>
          <t>no</t>
        </is>
      </c>
      <c r="P96" s="16" t="n"/>
    </row>
    <row r="97">
      <c r="A97" s="16" t="inlineStr">
        <is>
          <t>KF-M05-1-0086</t>
        </is>
      </c>
      <c r="B97" s="36" t="n">
        <v>3112.668834181619</v>
      </c>
      <c r="C97" s="35" t="n">
        <v>1896.926686810778</v>
      </c>
      <c r="D97" s="37" t="n">
        <v>0.5255405839017229</v>
      </c>
      <c r="E97" s="37" t="n">
        <v>0.4114403480215759</v>
      </c>
      <c r="F97" s="37" t="n">
        <v>0.6214672865399731</v>
      </c>
      <c r="G97" s="37" t="n">
        <v>0.8365218700544215</v>
      </c>
      <c r="H97" s="37" t="n">
        <v>0.8934175971962353</v>
      </c>
      <c r="I97" s="37" t="n">
        <v>0.6375524466957645</v>
      </c>
      <c r="J97" s="32" t="inlineStr">
        <is>
          <t>No convergió</t>
        </is>
      </c>
      <c r="K97" s="29" t="inlineStr">
        <is>
          <t>—</t>
        </is>
      </c>
      <c r="L97" s="35" t="inlineStr">
        <is>
          <t>—</t>
        </is>
      </c>
      <c r="M97" s="36" t="n">
        <v>1215.74214737084</v>
      </c>
      <c r="N97" s="29" t="n">
        <v>1.640900966718337</v>
      </c>
      <c r="O97" s="16" t="inlineStr">
        <is>
          <t>no</t>
        </is>
      </c>
      <c r="P97" s="16" t="n"/>
    </row>
    <row r="98">
      <c r="A98" s="16" t="inlineStr">
        <is>
          <t>KF-M05-1-0087</t>
        </is>
      </c>
      <c r="B98" s="36" t="n">
        <v>4131.499397817609</v>
      </c>
      <c r="C98" s="35" t="n">
        <v>1523.765601358319</v>
      </c>
      <c r="D98" s="37" t="n">
        <v>0.5453450222228122</v>
      </c>
      <c r="E98" s="37" t="n">
        <v>0.658007416282094</v>
      </c>
      <c r="F98" s="37" t="n">
        <v>0.5955770523706755</v>
      </c>
      <c r="G98" s="37" t="n">
        <v>0.5490956102672787</v>
      </c>
      <c r="H98" s="37" t="n">
        <v>0.4452094252624215</v>
      </c>
      <c r="I98" s="37" t="n">
        <v>0.4716620813444664</v>
      </c>
      <c r="J98" s="40" t="inlineStr">
        <is>
          <t>Inviable</t>
        </is>
      </c>
      <c r="K98" s="29" t="n">
        <v>-1.94758803768349</v>
      </c>
      <c r="L98" s="35" t="n">
        <v>-16.68332519454491</v>
      </c>
      <c r="M98" s="36" t="n">
        <v>2607.73379645929</v>
      </c>
      <c r="N98" s="29" t="n">
        <v>2.711374632774684</v>
      </c>
      <c r="O98" s="16" t="inlineStr">
        <is>
          <t>sí</t>
        </is>
      </c>
      <c r="P98" s="16" t="inlineStr">
        <is>
          <t>O2,O3</t>
        </is>
      </c>
    </row>
    <row r="99">
      <c r="A99" s="16" t="inlineStr">
        <is>
          <t>KF-M05-1-0088</t>
        </is>
      </c>
      <c r="B99" s="36" t="n">
        <v>2979.38800363302</v>
      </c>
      <c r="C99" s="35" t="n">
        <v>508.0000997500565</v>
      </c>
      <c r="D99" s="37" t="n">
        <v>0.5629347561392343</v>
      </c>
      <c r="E99" s="37" t="n">
        <v>0.434179039113295</v>
      </c>
      <c r="F99" s="37" t="n">
        <v>0.6307356310712511</v>
      </c>
      <c r="G99" s="37" t="n">
        <v>0.832223571589072</v>
      </c>
      <c r="H99" s="37" t="n">
        <v>0.42635357788655</v>
      </c>
      <c r="I99" s="37" t="n">
        <v>0.800405646276575</v>
      </c>
      <c r="J99" s="32" t="inlineStr">
        <is>
          <t>No convergió</t>
        </is>
      </c>
      <c r="K99" s="29" t="inlineStr">
        <is>
          <t>—</t>
        </is>
      </c>
      <c r="L99" s="35" t="inlineStr">
        <is>
          <t>—</t>
        </is>
      </c>
      <c r="M99" s="36" t="n">
        <v>2471.387903882963</v>
      </c>
      <c r="N99" s="29" t="n">
        <v>5.86493586339633</v>
      </c>
      <c r="O99" s="16" t="inlineStr">
        <is>
          <t>no</t>
        </is>
      </c>
      <c r="P99" s="16" t="n"/>
    </row>
    <row r="100">
      <c r="A100" s="16" t="inlineStr">
        <is>
          <t>KF-M05-1-0089</t>
        </is>
      </c>
      <c r="B100" s="36" t="n">
        <v>2576.266807298248</v>
      </c>
      <c r="C100" s="35" t="n">
        <v>301.3241683973388</v>
      </c>
      <c r="D100" s="37" t="n">
        <v>0.5123063615326811</v>
      </c>
      <c r="E100" s="37" t="n">
        <v>0.63899405137342</v>
      </c>
      <c r="F100" s="37" t="n">
        <v>0.4604910274844138</v>
      </c>
      <c r="G100" s="37" t="n">
        <v>0.5588527146580801</v>
      </c>
      <c r="H100" s="37" t="n">
        <v>0.7932694537915501</v>
      </c>
      <c r="I100" s="37" t="n">
        <v>0.9066534480074536</v>
      </c>
      <c r="J100" s="39" t="inlineStr">
        <is>
          <t>Corregible</t>
        </is>
      </c>
      <c r="K100" s="29" t="n">
        <v>8.60631884160073</v>
      </c>
      <c r="L100" s="35" t="n">
        <v>112.9534619136703</v>
      </c>
      <c r="M100" s="36" t="n">
        <v>2274.942638900909</v>
      </c>
      <c r="N100" s="29" t="n">
        <v>8.54981802820766</v>
      </c>
      <c r="O100" s="16" t="inlineStr">
        <is>
          <t>sí</t>
        </is>
      </c>
      <c r="P100" s="16" t="inlineStr">
        <is>
          <t>O2</t>
        </is>
      </c>
    </row>
    <row r="101">
      <c r="A101" s="16" t="inlineStr">
        <is>
          <t>KF-M05-1-0090</t>
        </is>
      </c>
      <c r="B101" s="36" t="n">
        <v>4933.020325681136</v>
      </c>
      <c r="C101" s="35" t="n">
        <v>1753.39886313524</v>
      </c>
      <c r="D101" s="37" t="n">
        <v>0.6799054235622057</v>
      </c>
      <c r="E101" s="37" t="n">
        <v>0.4494262277127545</v>
      </c>
      <c r="F101" s="37" t="n">
        <v>0.5815992424640174</v>
      </c>
      <c r="G101" s="37" t="n">
        <v>0.5300299082796892</v>
      </c>
      <c r="H101" s="37" t="n">
        <v>0.6484999902536464</v>
      </c>
      <c r="I101" s="37" t="n">
        <v>0.4202512142848119</v>
      </c>
      <c r="J101" s="40" t="inlineStr">
        <is>
          <t>Inviable</t>
        </is>
      </c>
      <c r="K101" s="29" t="n">
        <v>-13.26765750126487</v>
      </c>
      <c r="L101" s="35" t="n">
        <v>-88.82049420895994</v>
      </c>
      <c r="M101" s="36" t="n">
        <v>3179.621462545897</v>
      </c>
      <c r="N101" s="29" t="n">
        <v>2.813404542113389</v>
      </c>
      <c r="O101" s="16" t="inlineStr">
        <is>
          <t>sí</t>
        </is>
      </c>
      <c r="P101" s="16" t="inlineStr">
        <is>
          <t>O2,O3</t>
        </is>
      </c>
    </row>
    <row r="102">
      <c r="A102" s="16" t="inlineStr">
        <is>
          <t>KF-M05-1-0091</t>
        </is>
      </c>
      <c r="B102" s="36" t="n">
        <v>4258.441424632758</v>
      </c>
      <c r="C102" s="35" t="n">
        <v>1153.145911880854</v>
      </c>
      <c r="D102" s="37" t="n">
        <v>0.7449835480626072</v>
      </c>
      <c r="E102" s="37" t="n">
        <v>0.5870502393945385</v>
      </c>
      <c r="F102" s="37" t="n">
        <v>0.9374661455347651</v>
      </c>
      <c r="G102" s="37" t="n">
        <v>0.7703280661702963</v>
      </c>
      <c r="H102" s="37" t="n">
        <v>0.4038396383266814</v>
      </c>
      <c r="I102" s="37" t="n">
        <v>0.6089316511158323</v>
      </c>
      <c r="J102" s="32" t="inlineStr">
        <is>
          <t>No convergió</t>
        </is>
      </c>
      <c r="K102" s="29" t="inlineStr">
        <is>
          <t>—</t>
        </is>
      </c>
      <c r="L102" s="35" t="inlineStr">
        <is>
          <t>—</t>
        </is>
      </c>
      <c r="M102" s="36" t="n">
        <v>3105.295512751904</v>
      </c>
      <c r="N102" s="29" t="n">
        <v>3.692890362579502</v>
      </c>
      <c r="O102" s="16" t="inlineStr">
        <is>
          <t>no</t>
        </is>
      </c>
      <c r="P102" s="16" t="n"/>
    </row>
    <row r="103">
      <c r="A103" s="16" t="inlineStr">
        <is>
          <t>KF-M05-1-0092</t>
        </is>
      </c>
      <c r="B103" s="36" t="n">
        <v>3471.482575099711</v>
      </c>
      <c r="C103" s="35" t="n">
        <v>1793.187018980638</v>
      </c>
      <c r="D103" s="37" t="n">
        <v>0.611984547485204</v>
      </c>
      <c r="E103" s="37" t="n">
        <v>0.5740087591027586</v>
      </c>
      <c r="F103" s="37" t="n">
        <v>0.8122674959279597</v>
      </c>
      <c r="G103" s="37" t="n">
        <v>0.6007164859389579</v>
      </c>
      <c r="H103" s="37" t="n">
        <v>0.8750960305072406</v>
      </c>
      <c r="I103" s="37" t="n">
        <v>0.8173354673690686</v>
      </c>
      <c r="J103" s="39" t="inlineStr">
        <is>
          <t>Corregible</t>
        </is>
      </c>
      <c r="K103" s="29" t="n">
        <v>3.6534683939687</v>
      </c>
      <c r="L103" s="35" t="n">
        <v>48.60400034554105</v>
      </c>
      <c r="M103" s="36" t="n">
        <v>1678.295556119073</v>
      </c>
      <c r="N103" s="29" t="n">
        <v>1.935928901087586</v>
      </c>
      <c r="O103" s="16" t="inlineStr">
        <is>
          <t>sí</t>
        </is>
      </c>
      <c r="P103" s="16" t="inlineStr">
        <is>
          <t>O2</t>
        </is>
      </c>
    </row>
    <row r="104">
      <c r="A104" s="16" t="inlineStr">
        <is>
          <t>KF-M05-1-0093</t>
        </is>
      </c>
      <c r="B104" s="36" t="n">
        <v>3706.437618025257</v>
      </c>
      <c r="C104" s="35" t="n">
        <v>202.1395101625765</v>
      </c>
      <c r="D104" s="37" t="n">
        <v>0.6283544721215975</v>
      </c>
      <c r="E104" s="37" t="n">
        <v>0.7395157489478708</v>
      </c>
      <c r="F104" s="37" t="n">
        <v>0.8353732386443711</v>
      </c>
      <c r="G104" s="37" t="n">
        <v>0.5095016020378866</v>
      </c>
      <c r="H104" s="37" t="n">
        <v>0.6746905579264901</v>
      </c>
      <c r="I104" s="37" t="n">
        <v>0.5916867913165579</v>
      </c>
      <c r="J104" s="40" t="inlineStr">
        <is>
          <t>Inviable</t>
        </is>
      </c>
      <c r="K104" s="29" t="n">
        <v>-2.69003222002194</v>
      </c>
      <c r="L104" s="35" t="n">
        <v>-16.92920582853719</v>
      </c>
      <c r="M104" s="36" t="n">
        <v>3504.29810786268</v>
      </c>
      <c r="N104" s="29" t="n">
        <v>18.33603739835052</v>
      </c>
      <c r="O104" s="16" t="inlineStr">
        <is>
          <t>sí</t>
        </is>
      </c>
      <c r="P104" s="16" t="inlineStr">
        <is>
          <t>O1,O2,O3</t>
        </is>
      </c>
    </row>
    <row r="105">
      <c r="A105" s="16" t="inlineStr">
        <is>
          <t>KF-M05-1-0094</t>
        </is>
      </c>
      <c r="B105" s="36" t="n">
        <v>2670.214036666073</v>
      </c>
      <c r="C105" s="35" t="n">
        <v>597.2150896436053</v>
      </c>
      <c r="D105" s="37" t="n">
        <v>0.5937532377974236</v>
      </c>
      <c r="E105" s="37" t="n">
        <v>0.5305878177843149</v>
      </c>
      <c r="F105" s="37" t="n">
        <v>0.8877042287632374</v>
      </c>
      <c r="G105" s="37" t="n">
        <v>0.8139645332546346</v>
      </c>
      <c r="H105" s="37" t="n">
        <v>0.7490921137302406</v>
      </c>
      <c r="I105" s="37" t="n">
        <v>0.569164976590536</v>
      </c>
      <c r="J105" s="32" t="inlineStr">
        <is>
          <t>No convergió</t>
        </is>
      </c>
      <c r="K105" s="29" t="inlineStr">
        <is>
          <t>—</t>
        </is>
      </c>
      <c r="L105" s="35" t="inlineStr">
        <is>
          <t>—</t>
        </is>
      </c>
      <c r="M105" s="36" t="n">
        <v>2072.998947022468</v>
      </c>
      <c r="N105" s="29" t="n">
        <v>4.471109459507383</v>
      </c>
      <c r="O105" s="16" t="inlineStr">
        <is>
          <t>no</t>
        </is>
      </c>
      <c r="P105" s="16" t="n"/>
    </row>
    <row r="106">
      <c r="A106" s="16" t="inlineStr">
        <is>
          <t>KF-M05-1-0095</t>
        </is>
      </c>
      <c r="B106" s="36" t="n">
        <v>4440.000662172815</v>
      </c>
      <c r="C106" s="35" t="n">
        <v>1682.847116423292</v>
      </c>
      <c r="D106" s="37" t="n">
        <v>0.6851007586644009</v>
      </c>
      <c r="E106" s="37" t="n">
        <v>0.8754109893765631</v>
      </c>
      <c r="F106" s="37" t="n">
        <v>0.7201830836743639</v>
      </c>
      <c r="G106" s="37" t="n">
        <v>0.877096202230318</v>
      </c>
      <c r="H106" s="37" t="n">
        <v>0.9198351382970442</v>
      </c>
      <c r="I106" s="37" t="n">
        <v>0.5223466344404638</v>
      </c>
      <c r="J106" s="32" t="inlineStr">
        <is>
          <t>No convergió</t>
        </is>
      </c>
      <c r="K106" s="29" t="inlineStr">
        <is>
          <t>—</t>
        </is>
      </c>
      <c r="L106" s="35" t="inlineStr">
        <is>
          <t>—</t>
        </is>
      </c>
      <c r="M106" s="36" t="n">
        <v>2757.153545749524</v>
      </c>
      <c r="N106" s="29" t="n">
        <v>2.638386231786494</v>
      </c>
      <c r="O106" s="16" t="inlineStr">
        <is>
          <t>no</t>
        </is>
      </c>
      <c r="P106" s="16" t="n"/>
    </row>
    <row r="107">
      <c r="A107" s="16" t="inlineStr">
        <is>
          <t>KF-M05-1-0096</t>
        </is>
      </c>
      <c r="B107" s="36" t="n">
        <v>2317.51830359603</v>
      </c>
      <c r="C107" s="35" t="n">
        <v>1447.740268610238</v>
      </c>
      <c r="D107" s="37" t="n">
        <v>0.7531383089716652</v>
      </c>
      <c r="E107" s="37" t="n">
        <v>0.4376905896012592</v>
      </c>
      <c r="F107" s="37" t="n">
        <v>0.4769570781601544</v>
      </c>
      <c r="G107" s="37" t="n">
        <v>0.6851201052431188</v>
      </c>
      <c r="H107" s="37" t="n">
        <v>0.7440184925969934</v>
      </c>
      <c r="I107" s="37" t="n">
        <v>0.4968026049867431</v>
      </c>
      <c r="J107" s="32" t="inlineStr">
        <is>
          <t>No convergió</t>
        </is>
      </c>
      <c r="K107" s="29" t="inlineStr">
        <is>
          <t>—</t>
        </is>
      </c>
      <c r="L107" s="35" t="inlineStr">
        <is>
          <t>—</t>
        </is>
      </c>
      <c r="M107" s="36" t="n">
        <v>869.7780349857919</v>
      </c>
      <c r="N107" s="29" t="n">
        <v>1.600783202515143</v>
      </c>
      <c r="O107" s="16" t="inlineStr">
        <is>
          <t>no</t>
        </is>
      </c>
      <c r="P107" s="16" t="n"/>
    </row>
    <row r="108">
      <c r="A108" s="16" t="inlineStr">
        <is>
          <t>KF-M05-1-0097</t>
        </is>
      </c>
      <c r="B108" s="36" t="n">
        <v>2044.195679055776</v>
      </c>
      <c r="C108" s="35" t="n">
        <v>576.2626501481217</v>
      </c>
      <c r="D108" s="37" t="n">
        <v>0.5399233588788213</v>
      </c>
      <c r="E108" s="37" t="n">
        <v>0.8683187261625578</v>
      </c>
      <c r="F108" s="37" t="n">
        <v>0.7893070359016368</v>
      </c>
      <c r="G108" s="37" t="n">
        <v>0.5241335976184256</v>
      </c>
      <c r="H108" s="37" t="n">
        <v>0.5986884644387582</v>
      </c>
      <c r="I108" s="37" t="n">
        <v>0.7462711617373613</v>
      </c>
      <c r="J108" s="39" t="inlineStr">
        <is>
          <t>Corregible</t>
        </is>
      </c>
      <c r="K108" s="29" t="n">
        <v>8.52406542177669</v>
      </c>
      <c r="L108" s="35" t="n">
        <v>100.4017428162248</v>
      </c>
      <c r="M108" s="36" t="n">
        <v>1467.933028907654</v>
      </c>
      <c r="N108" s="29" t="n">
        <v>3.547333283755834</v>
      </c>
      <c r="O108" s="16" t="inlineStr">
        <is>
          <t>sí</t>
        </is>
      </c>
      <c r="P108" s="16" t="inlineStr">
        <is>
          <t>O2</t>
        </is>
      </c>
    </row>
    <row r="109">
      <c r="A109" s="16" t="inlineStr">
        <is>
          <t>KF-M05-1-0098</t>
        </is>
      </c>
      <c r="B109" s="36" t="n">
        <v>2682.819081315295</v>
      </c>
      <c r="C109" s="35" t="n">
        <v>948.7328008385192</v>
      </c>
      <c r="D109" s="37" t="n">
        <v>0.7162749764572729</v>
      </c>
      <c r="E109" s="37" t="n">
        <v>0.7090641403510173</v>
      </c>
      <c r="F109" s="37" t="n">
        <v>0.5331834599965501</v>
      </c>
      <c r="G109" s="37" t="n">
        <v>0.6622583550180883</v>
      </c>
      <c r="H109" s="37" t="n">
        <v>0.9238436733909092</v>
      </c>
      <c r="I109" s="37" t="n">
        <v>0.4543223867828895</v>
      </c>
      <c r="J109" s="32" t="inlineStr">
        <is>
          <t>No convergió</t>
        </is>
      </c>
      <c r="K109" s="29" t="inlineStr">
        <is>
          <t>—</t>
        </is>
      </c>
      <c r="L109" s="35" t="inlineStr">
        <is>
          <t>—</t>
        </is>
      </c>
      <c r="M109" s="36" t="n">
        <v>1734.086280476776</v>
      </c>
      <c r="N109" s="29" t="n">
        <v>2.82779206004487</v>
      </c>
      <c r="O109" s="16" t="inlineStr">
        <is>
          <t>no</t>
        </is>
      </c>
      <c r="P109" s="16" t="n"/>
    </row>
    <row r="110">
      <c r="A110" s="16" t="inlineStr">
        <is>
          <t>KF-M05-1-0099</t>
        </is>
      </c>
      <c r="B110" s="36" t="n">
        <v>2859.118089123749</v>
      </c>
      <c r="C110" s="35" t="n">
        <v>383.602133105727</v>
      </c>
      <c r="D110" s="37" t="n">
        <v>0.6564121343047944</v>
      </c>
      <c r="E110" s="37" t="n">
        <v>0.7444647795316395</v>
      </c>
      <c r="F110" s="37" t="n">
        <v>0.5709309314425083</v>
      </c>
      <c r="G110" s="37" t="n">
        <v>0.6473981346295885</v>
      </c>
      <c r="H110" s="37" t="n">
        <v>0.5480211227901363</v>
      </c>
      <c r="I110" s="37" t="n">
        <v>0.8236305505059662</v>
      </c>
      <c r="J110" s="39" t="inlineStr">
        <is>
          <t>Corregible</t>
        </is>
      </c>
      <c r="K110" s="29" t="n">
        <v>3.14451217981891</v>
      </c>
      <c r="L110" s="35" t="n">
        <v>35.05990704855225</v>
      </c>
      <c r="M110" s="36" t="n">
        <v>2475.515956018022</v>
      </c>
      <c r="N110" s="29" t="n">
        <v>7.453342519176579</v>
      </c>
      <c r="O110" s="16" t="inlineStr">
        <is>
          <t>sí</t>
        </is>
      </c>
      <c r="P110" s="16" t="inlineStr">
        <is>
          <t>O2</t>
        </is>
      </c>
    </row>
    <row r="111">
      <c r="A111" s="16" t="inlineStr">
        <is>
          <t>KF-M05-1-0100</t>
        </is>
      </c>
      <c r="B111" s="36" t="n">
        <v>2102.198701653375</v>
      </c>
      <c r="C111" s="35" t="n">
        <v>1591.964795813887</v>
      </c>
      <c r="D111" s="37" t="n">
        <v>0.5768982555275285</v>
      </c>
      <c r="E111" s="37" t="n">
        <v>0.4924665129512027</v>
      </c>
      <c r="F111" s="37" t="n">
        <v>0.7943819210199086</v>
      </c>
      <c r="G111" s="37" t="n">
        <v>0.5633098318033914</v>
      </c>
      <c r="H111" s="37" t="n">
        <v>0.6071876519812986</v>
      </c>
      <c r="I111" s="37" t="n">
        <v>0.8960556392387324</v>
      </c>
      <c r="J111" s="42" t="inlineStr">
        <is>
          <t>KALINA</t>
        </is>
      </c>
      <c r="K111" s="29" t="n">
        <v>1.24897816465116</v>
      </c>
      <c r="L111" s="35" t="n">
        <v>17.04264049277882</v>
      </c>
      <c r="M111" s="36" t="n">
        <v>510.2339058394878</v>
      </c>
      <c r="N111" s="29" t="n">
        <v>1.320505771975085</v>
      </c>
      <c r="O111" s="16" t="inlineStr">
        <is>
          <t>sí</t>
        </is>
      </c>
      <c r="P111" s="16" t="n"/>
    </row>
    <row r="112">
      <c r="A112" s="16" t="inlineStr">
        <is>
          <t>KF-M05-1-0101</t>
        </is>
      </c>
      <c r="B112" s="36" t="n">
        <v>3979.868505329629</v>
      </c>
      <c r="C112" s="35" t="n">
        <v>278.5002588878004</v>
      </c>
      <c r="D112" s="37" t="n">
        <v>0.619003377487865</v>
      </c>
      <c r="E112" s="37" t="n">
        <v>0.7588258465532643</v>
      </c>
      <c r="F112" s="37" t="n">
        <v>0.5118347702312425</v>
      </c>
      <c r="G112" s="37" t="n">
        <v>0.8002977753146655</v>
      </c>
      <c r="H112" s="37" t="n">
        <v>0.4830410593797299</v>
      </c>
      <c r="I112" s="37" t="n">
        <v>0.716744212474673</v>
      </c>
      <c r="J112" s="32" t="inlineStr">
        <is>
          <t>No convergió</t>
        </is>
      </c>
      <c r="K112" s="29" t="inlineStr">
        <is>
          <t>—</t>
        </is>
      </c>
      <c r="L112" s="35" t="inlineStr">
        <is>
          <t>—</t>
        </is>
      </c>
      <c r="M112" s="36" t="n">
        <v>3701.368246441829</v>
      </c>
      <c r="N112" s="29" t="n">
        <v>14.2903583688696</v>
      </c>
      <c r="O112" s="16" t="inlineStr">
        <is>
          <t>no</t>
        </is>
      </c>
      <c r="P112" s="16" t="n"/>
    </row>
    <row r="113">
      <c r="A113" s="16" t="inlineStr">
        <is>
          <t>KF-M05-1-0102</t>
        </is>
      </c>
      <c r="B113" s="36" t="n">
        <v>4538.003152335392</v>
      </c>
      <c r="C113" s="35" t="n">
        <v>1240.397483364132</v>
      </c>
      <c r="D113" s="37" t="n">
        <v>0.7919845888243671</v>
      </c>
      <c r="E113" s="37" t="n">
        <v>0.516736139679625</v>
      </c>
      <c r="F113" s="37" t="n">
        <v>0.628973071103302</v>
      </c>
      <c r="G113" s="37" t="n">
        <v>0.5733052844988666</v>
      </c>
      <c r="H113" s="37" t="n">
        <v>0.4172210665927395</v>
      </c>
      <c r="I113" s="37" t="n">
        <v>0.728305536082448</v>
      </c>
      <c r="J113" s="39" t="inlineStr">
        <is>
          <t>Corregible</t>
        </is>
      </c>
      <c r="K113" s="29" t="n">
        <v>3.53573500210549</v>
      </c>
      <c r="L113" s="35" t="n">
        <v>37.6577427817802</v>
      </c>
      <c r="M113" s="36" t="n">
        <v>3297.60566897126</v>
      </c>
      <c r="N113" s="29" t="n">
        <v>3.658507223045704</v>
      </c>
      <c r="O113" s="16" t="inlineStr">
        <is>
          <t>sí</t>
        </is>
      </c>
      <c r="P113" s="16" t="inlineStr">
        <is>
          <t>O2</t>
        </is>
      </c>
    </row>
    <row r="114">
      <c r="A114" s="16" t="inlineStr">
        <is>
          <t>KF-M05-1-0103</t>
        </is>
      </c>
      <c r="B114" s="36" t="n">
        <v>4986.580958455284</v>
      </c>
      <c r="C114" s="35" t="n">
        <v>1979.582914798991</v>
      </c>
      <c r="D114" s="37" t="n">
        <v>0.8140516054799771</v>
      </c>
      <c r="E114" s="37" t="n">
        <v>0.9228853107643452</v>
      </c>
      <c r="F114" s="37" t="n">
        <v>0.4826836930036748</v>
      </c>
      <c r="G114" s="37" t="n">
        <v>0.4707558153879304</v>
      </c>
      <c r="H114" s="37" t="n">
        <v>0.7321498938997694</v>
      </c>
      <c r="I114" s="37" t="n">
        <v>0.538702799939858</v>
      </c>
      <c r="J114" s="39" t="inlineStr">
        <is>
          <t>Corregible</t>
        </is>
      </c>
      <c r="K114" s="29" t="n">
        <v>2.75838295704803</v>
      </c>
      <c r="L114" s="35" t="n">
        <v>20.02671068775652</v>
      </c>
      <c r="M114" s="36" t="n">
        <v>3006.998043656294</v>
      </c>
      <c r="N114" s="29" t="n">
        <v>2.519005857838305</v>
      </c>
      <c r="O114" s="16" t="inlineStr">
        <is>
          <t>sí</t>
        </is>
      </c>
      <c r="P114" s="16" t="inlineStr">
        <is>
          <t>O2</t>
        </is>
      </c>
    </row>
    <row r="115">
      <c r="A115" s="16" t="inlineStr">
        <is>
          <t>KF-M05-1-0104</t>
        </is>
      </c>
      <c r="B115" s="36" t="n">
        <v>3573.873734031946</v>
      </c>
      <c r="C115" s="35" t="n">
        <v>1471.521552777993</v>
      </c>
      <c r="D115" s="37" t="n">
        <v>0.5291990303507591</v>
      </c>
      <c r="E115" s="37" t="n">
        <v>0.8631915590470596</v>
      </c>
      <c r="F115" s="37" t="n">
        <v>0.8450413447658953</v>
      </c>
      <c r="G115" s="37" t="n">
        <v>0.4839677500970735</v>
      </c>
      <c r="H115" s="37" t="n">
        <v>0.7777883297256516</v>
      </c>
      <c r="I115" s="37" t="n">
        <v>0.812100530365553</v>
      </c>
      <c r="J115" s="39" t="inlineStr">
        <is>
          <t>Corregible</t>
        </is>
      </c>
      <c r="K115" s="29" t="n">
        <v>7.065510829112339</v>
      </c>
      <c r="L115" s="35" t="n">
        <v>78.57322051222899</v>
      </c>
      <c r="M115" s="36" t="n">
        <v>2102.352181253953</v>
      </c>
      <c r="N115" s="29" t="n">
        <v>2.428692754982117</v>
      </c>
      <c r="O115" s="16" t="inlineStr">
        <is>
          <t>sí</t>
        </is>
      </c>
      <c r="P115" s="16" t="inlineStr">
        <is>
          <t>O2</t>
        </is>
      </c>
    </row>
    <row r="116">
      <c r="A116" s="16" t="inlineStr">
        <is>
          <t>KF-M05-1-0105</t>
        </is>
      </c>
      <c r="B116" s="36" t="n">
        <v>3855.385770241006</v>
      </c>
      <c r="C116" s="35" t="n">
        <v>1607.42579674106</v>
      </c>
      <c r="D116" s="37" t="n">
        <v>0.7088781235431887</v>
      </c>
      <c r="E116" s="37" t="n">
        <v>0.5909268508296872</v>
      </c>
      <c r="F116" s="37" t="n">
        <v>0.9491900967856988</v>
      </c>
      <c r="G116" s="37" t="n">
        <v>0.8307597590228122</v>
      </c>
      <c r="H116" s="37" t="n">
        <v>0.6554426144775466</v>
      </c>
      <c r="I116" s="37" t="n">
        <v>0.4344788397709594</v>
      </c>
      <c r="J116" s="32" t="inlineStr">
        <is>
          <t>No convergió</t>
        </is>
      </c>
      <c r="K116" s="29" t="inlineStr">
        <is>
          <t>—</t>
        </is>
      </c>
      <c r="L116" s="35" t="inlineStr">
        <is>
          <t>—</t>
        </is>
      </c>
      <c r="M116" s="36" t="n">
        <v>2247.959973499946</v>
      </c>
      <c r="N116" s="29" t="n">
        <v>2.398484445165384</v>
      </c>
      <c r="O116" s="16" t="inlineStr">
        <is>
          <t>no</t>
        </is>
      </c>
      <c r="P116" s="16" t="n"/>
    </row>
    <row r="117">
      <c r="A117" s="16" t="inlineStr">
        <is>
          <t>KF-M05-1-0106</t>
        </is>
      </c>
      <c r="B117" s="36" t="n">
        <v>2460.910170068099</v>
      </c>
      <c r="C117" s="35" t="n">
        <v>843.6007644314973</v>
      </c>
      <c r="D117" s="37" t="n">
        <v>0.6644964331998737</v>
      </c>
      <c r="E117" s="37" t="n">
        <v>0.9074010949872534</v>
      </c>
      <c r="F117" s="37" t="n">
        <v>0.4530009930914048</v>
      </c>
      <c r="G117" s="37" t="n">
        <v>0.9398186565450316</v>
      </c>
      <c r="H117" s="37" t="n">
        <v>0.5697934625052368</v>
      </c>
      <c r="I117" s="37" t="n">
        <v>0.4772807230705119</v>
      </c>
      <c r="J117" s="32" t="inlineStr">
        <is>
          <t>No convergió</t>
        </is>
      </c>
      <c r="K117" s="29" t="inlineStr">
        <is>
          <t>—</t>
        </is>
      </c>
      <c r="L117" s="35" t="inlineStr">
        <is>
          <t>—</t>
        </is>
      </c>
      <c r="M117" s="36" t="n">
        <v>1617.309405636602</v>
      </c>
      <c r="N117" s="29" t="n">
        <v>2.917150237205519</v>
      </c>
      <c r="O117" s="16" t="inlineStr">
        <is>
          <t>no</t>
        </is>
      </c>
      <c r="P117" s="16" t="n"/>
    </row>
    <row r="118">
      <c r="A118" s="16" t="inlineStr">
        <is>
          <t>KF-M05-1-0107</t>
        </is>
      </c>
      <c r="B118" s="36" t="n">
        <v>4484.321700982626</v>
      </c>
      <c r="C118" s="35" t="n">
        <v>1543.290566990481</v>
      </c>
      <c r="D118" s="37" t="n">
        <v>0.7801070052020058</v>
      </c>
      <c r="E118" s="37" t="n">
        <v>0.8860437009198241</v>
      </c>
      <c r="F118" s="37" t="n">
        <v>0.8204244227802791</v>
      </c>
      <c r="G118" s="37" t="n">
        <v>0.4241629936737692</v>
      </c>
      <c r="H118" s="37" t="n">
        <v>0.7368799227915461</v>
      </c>
      <c r="I118" s="37" t="n">
        <v>0.4133407479077991</v>
      </c>
      <c r="J118" s="39" t="inlineStr">
        <is>
          <t>Corregible</t>
        </is>
      </c>
      <c r="K118" s="29" t="n">
        <v>5.49539790765795</v>
      </c>
      <c r="L118" s="35" t="n">
        <v>32.81073727961814</v>
      </c>
      <c r="M118" s="36" t="n">
        <v>2941.031133992145</v>
      </c>
      <c r="N118" s="29" t="n">
        <v>2.905688531309663</v>
      </c>
      <c r="O118" s="16" t="inlineStr">
        <is>
          <t>sí</t>
        </is>
      </c>
      <c r="P118" s="16" t="inlineStr">
        <is>
          <t>O2</t>
        </is>
      </c>
    </row>
    <row r="119">
      <c r="A119" s="16" t="inlineStr">
        <is>
          <t>KF-M05-1-0108</t>
        </is>
      </c>
      <c r="B119" s="36" t="n">
        <v>4719.67738905344</v>
      </c>
      <c r="C119" s="35" t="n">
        <v>1879.350696110967</v>
      </c>
      <c r="D119" s="37" t="n">
        <v>0.6015343145944214</v>
      </c>
      <c r="E119" s="37" t="n">
        <v>0.7826696121312737</v>
      </c>
      <c r="F119" s="37" t="n">
        <v>0.770108913683618</v>
      </c>
      <c r="G119" s="37" t="n">
        <v>0.5205883637420657</v>
      </c>
      <c r="H119" s="37" t="n">
        <v>0.810574888504293</v>
      </c>
      <c r="I119" s="37" t="n">
        <v>0.9172133247726282</v>
      </c>
      <c r="J119" s="42" t="inlineStr">
        <is>
          <t>KALINA</t>
        </is>
      </c>
      <c r="K119" s="29" t="n">
        <v>6.321347346193649</v>
      </c>
      <c r="L119" s="35" t="n">
        <v>75.36761581277759</v>
      </c>
      <c r="M119" s="36" t="n">
        <v>2840.326692942473</v>
      </c>
      <c r="N119" s="29" t="n">
        <v>2.511334046817393</v>
      </c>
      <c r="O119" s="16" t="inlineStr">
        <is>
          <t>sí</t>
        </is>
      </c>
      <c r="P119" s="16" t="n"/>
    </row>
    <row r="120">
      <c r="A120" s="16" t="inlineStr">
        <is>
          <t>KF-M05-1-0110</t>
        </is>
      </c>
      <c r="B120" s="36" t="n">
        <v>2841.657147853647</v>
      </c>
      <c r="C120" s="35" t="n">
        <v>1989.716921792282</v>
      </c>
      <c r="D120" s="37" t="n">
        <v>0.5564741973405101</v>
      </c>
      <c r="E120" s="37" t="n">
        <v>0.7380590654656141</v>
      </c>
      <c r="F120" s="37" t="n">
        <v>0.617125702736429</v>
      </c>
      <c r="G120" s="37" t="n">
        <v>0.433082888609395</v>
      </c>
      <c r="H120" s="37" t="n">
        <v>0.7161858409614931</v>
      </c>
      <c r="I120" s="37" t="n">
        <v>0.400867731502618</v>
      </c>
      <c r="J120" s="40" t="inlineStr">
        <is>
          <t>Inviable</t>
        </is>
      </c>
      <c r="K120" s="29" t="n">
        <v>-0.8432372974773999</v>
      </c>
      <c r="L120" s="35" t="n">
        <v>-5.755743455593525</v>
      </c>
      <c r="M120" s="36" t="n">
        <v>851.9402260613647</v>
      </c>
      <c r="N120" s="29" t="n">
        <v>1.428171573921159</v>
      </c>
      <c r="O120" s="16" t="inlineStr">
        <is>
          <t>sí</t>
        </is>
      </c>
      <c r="P120" s="16" t="inlineStr">
        <is>
          <t>O2,O3</t>
        </is>
      </c>
    </row>
    <row r="121">
      <c r="A121" s="16" t="inlineStr">
        <is>
          <t>KF-M05-1-0111</t>
        </is>
      </c>
      <c r="B121" s="36" t="n">
        <v>3136.906464086939</v>
      </c>
      <c r="C121" s="35" t="n">
        <v>1720.241460276859</v>
      </c>
      <c r="D121" s="37" t="n">
        <v>0.7346334113104154</v>
      </c>
      <c r="E121" s="37" t="n">
        <v>0.6064358543004604</v>
      </c>
      <c r="F121" s="37" t="n">
        <v>0.8530842518847758</v>
      </c>
      <c r="G121" s="37" t="n">
        <v>0.4740988958219854</v>
      </c>
      <c r="H121" s="37" t="n">
        <v>0.6394948179659936</v>
      </c>
      <c r="I121" s="37" t="n">
        <v>0.8332524162251944</v>
      </c>
      <c r="J121" s="39" t="inlineStr">
        <is>
          <t>Corregible</t>
        </is>
      </c>
      <c r="K121" s="29" t="n">
        <v>3.82957257249061</v>
      </c>
      <c r="L121" s="35" t="n">
        <v>39.09500826039459</v>
      </c>
      <c r="M121" s="36" t="n">
        <v>1416.66500381008</v>
      </c>
      <c r="N121" s="29" t="n">
        <v>1.823526834181801</v>
      </c>
      <c r="O121" s="16" t="inlineStr">
        <is>
          <t>no</t>
        </is>
      </c>
      <c r="P121" s="16" t="inlineStr">
        <is>
          <t>O2</t>
        </is>
      </c>
    </row>
    <row r="122">
      <c r="A122" s="16" t="inlineStr">
        <is>
          <t>KF-M05-1-0112</t>
        </is>
      </c>
      <c r="B122" s="36" t="n">
        <v>3625.874049218253</v>
      </c>
      <c r="C122" s="35" t="n">
        <v>1517.034702042947</v>
      </c>
      <c r="D122" s="37" t="n">
        <v>0.6872312699823124</v>
      </c>
      <c r="E122" s="37" t="n">
        <v>0.5502001580134841</v>
      </c>
      <c r="F122" s="37" t="n">
        <v>0.6129574272680738</v>
      </c>
      <c r="G122" s="37" t="n">
        <v>0.5108402458100145</v>
      </c>
      <c r="H122" s="37" t="n">
        <v>0.7706059795586067</v>
      </c>
      <c r="I122" s="37" t="n">
        <v>0.7974278774623235</v>
      </c>
      <c r="J122" s="39" t="inlineStr">
        <is>
          <t>Corregible</t>
        </is>
      </c>
      <c r="K122" s="29" t="n">
        <v>4.31338791564694</v>
      </c>
      <c r="L122" s="35" t="n">
        <v>46.85926561384324</v>
      </c>
      <c r="M122" s="36" t="n">
        <v>2108.839347175306</v>
      </c>
      <c r="N122" s="29" t="n">
        <v>2.390106201483324</v>
      </c>
      <c r="O122" s="16" t="inlineStr">
        <is>
          <t>sí</t>
        </is>
      </c>
      <c r="P122" s="16" t="inlineStr">
        <is>
          <t>O2</t>
        </is>
      </c>
    </row>
    <row r="123">
      <c r="A123" s="16" t="inlineStr">
        <is>
          <t>KF-M05-1-0113</t>
        </is>
      </c>
      <c r="B123" s="36" t="n">
        <v>2944.813164884155</v>
      </c>
      <c r="C123" s="35" t="n">
        <v>524.9876255653581</v>
      </c>
      <c r="D123" s="37" t="n">
        <v>0.5705873630900677</v>
      </c>
      <c r="E123" s="37" t="n">
        <v>0.6316135140183883</v>
      </c>
      <c r="F123" s="37" t="n">
        <v>0.5191496873094731</v>
      </c>
      <c r="G123" s="37" t="n">
        <v>0.668334089771544</v>
      </c>
      <c r="H123" s="37" t="n">
        <v>0.5657685368207872</v>
      </c>
      <c r="I123" s="37" t="n">
        <v>0.8651101791987376</v>
      </c>
      <c r="J123" s="39" t="inlineStr">
        <is>
          <t>Corregible</t>
        </is>
      </c>
      <c r="K123" s="29" t="n">
        <v>8.01778920615541</v>
      </c>
      <c r="L123" s="35" t="n">
        <v>126.0946611813861</v>
      </c>
      <c r="M123" s="36" t="n">
        <v>2419.825539318797</v>
      </c>
      <c r="N123" s="29" t="n">
        <v>5.609300146289909</v>
      </c>
      <c r="O123" s="16" t="inlineStr">
        <is>
          <t>sí</t>
        </is>
      </c>
      <c r="P123" s="16" t="inlineStr">
        <is>
          <t>O2</t>
        </is>
      </c>
    </row>
    <row r="124">
      <c r="A124" s="16" t="inlineStr">
        <is>
          <t>KF-M05-1-0114</t>
        </is>
      </c>
      <c r="B124" s="36" t="n">
        <v>2398.19249006572</v>
      </c>
      <c r="C124" s="35" t="n">
        <v>724.9278843978069</v>
      </c>
      <c r="D124" s="37" t="n">
        <v>0.7310475141159732</v>
      </c>
      <c r="E124" s="37" t="n">
        <v>0.6495292656446916</v>
      </c>
      <c r="F124" s="37" t="n">
        <v>0.6104715279326428</v>
      </c>
      <c r="G124" s="37" t="n">
        <v>0.4945431997057694</v>
      </c>
      <c r="H124" s="37" t="n">
        <v>0.6263788827592641</v>
      </c>
      <c r="I124" s="37" t="n">
        <v>0.7153580207503639</v>
      </c>
      <c r="J124" s="39" t="inlineStr">
        <is>
          <t>Corregible</t>
        </is>
      </c>
      <c r="K124" s="29" t="n">
        <v>2.78884759898089</v>
      </c>
      <c r="L124" s="35" t="n">
        <v>26.17809402766218</v>
      </c>
      <c r="M124" s="36" t="n">
        <v>1673.264605667913</v>
      </c>
      <c r="N124" s="29" t="n">
        <v>3.308180774502671</v>
      </c>
      <c r="O124" s="16" t="inlineStr">
        <is>
          <t>no</t>
        </is>
      </c>
      <c r="P124" s="16" t="inlineStr">
        <is>
          <t>O2</t>
        </is>
      </c>
    </row>
    <row r="125">
      <c r="A125" s="16" t="inlineStr">
        <is>
          <t>KF-M05-1-0115</t>
        </is>
      </c>
      <c r="B125" s="36" t="n">
        <v>3297.328361192079</v>
      </c>
      <c r="C125" s="35" t="n">
        <v>359.4088057948487</v>
      </c>
      <c r="D125" s="37" t="n">
        <v>0.7560751034753432</v>
      </c>
      <c r="E125" s="37" t="n">
        <v>0.4818948768176785</v>
      </c>
      <c r="F125" s="37" t="n">
        <v>0.5413341200942952</v>
      </c>
      <c r="G125" s="37" t="n">
        <v>0.7737987262394036</v>
      </c>
      <c r="H125" s="37" t="n">
        <v>0.8193685452313657</v>
      </c>
      <c r="I125" s="37" t="n">
        <v>0.6160137380695233</v>
      </c>
      <c r="J125" s="32" t="inlineStr">
        <is>
          <t>No convergió</t>
        </is>
      </c>
      <c r="K125" s="29" t="inlineStr">
        <is>
          <t>—</t>
        </is>
      </c>
      <c r="L125" s="35" t="inlineStr">
        <is>
          <t>—</t>
        </is>
      </c>
      <c r="M125" s="36" t="n">
        <v>2937.91955539723</v>
      </c>
      <c r="N125" s="29" t="n">
        <v>9.174311558393484</v>
      </c>
      <c r="O125" s="16" t="inlineStr">
        <is>
          <t>no</t>
        </is>
      </c>
      <c r="P125" s="16" t="n"/>
    </row>
    <row r="126">
      <c r="A126" s="16" t="inlineStr">
        <is>
          <t>KF-M05-1-0116</t>
        </is>
      </c>
      <c r="B126" s="36" t="n">
        <v>3376.253966692884</v>
      </c>
      <c r="C126" s="35" t="n">
        <v>1761.009657813463</v>
      </c>
      <c r="D126" s="37" t="n">
        <v>0.5606829444150494</v>
      </c>
      <c r="E126" s="37" t="n">
        <v>0.8484578338432576</v>
      </c>
      <c r="F126" s="37" t="n">
        <v>0.8904298543088356</v>
      </c>
      <c r="G126" s="37" t="n">
        <v>0.7453499732555359</v>
      </c>
      <c r="H126" s="37" t="n">
        <v>0.5929526660572924</v>
      </c>
      <c r="I126" s="37" t="n">
        <v>0.7836792462284997</v>
      </c>
      <c r="J126" s="39" t="inlineStr">
        <is>
          <t>Corregible</t>
        </is>
      </c>
      <c r="K126" s="29" t="n">
        <v>5.13441073763447</v>
      </c>
      <c r="L126" s="35" t="n">
        <v>84.33642228644116</v>
      </c>
      <c r="M126" s="36" t="n">
        <v>1615.244308879421</v>
      </c>
      <c r="N126" s="29" t="n">
        <v>1.917226263758809</v>
      </c>
      <c r="O126" s="16" t="inlineStr">
        <is>
          <t>sí</t>
        </is>
      </c>
      <c r="P126" s="16" t="inlineStr">
        <is>
          <t>O2</t>
        </is>
      </c>
    </row>
    <row r="127">
      <c r="A127" s="16" t="inlineStr">
        <is>
          <t>KF-M05-1-0117</t>
        </is>
      </c>
      <c r="B127" s="36" t="n">
        <v>2722.778835331379</v>
      </c>
      <c r="C127" s="35" t="n">
        <v>1645.570825960443</v>
      </c>
      <c r="D127" s="37" t="n">
        <v>0.6480221326658244</v>
      </c>
      <c r="E127" s="37" t="n">
        <v>0.7668058963900293</v>
      </c>
      <c r="F127" s="37" t="n">
        <v>0.9353066700933244</v>
      </c>
      <c r="G127" s="37" t="n">
        <v>0.6182288611478733</v>
      </c>
      <c r="H127" s="37" t="n">
        <v>0.6611605886518027</v>
      </c>
      <c r="I127" s="37" t="n">
        <v>0.531809817196217</v>
      </c>
      <c r="J127" s="39" t="inlineStr">
        <is>
          <t>Corregible</t>
        </is>
      </c>
      <c r="K127" s="29" t="n">
        <v>2.67466203166041</v>
      </c>
      <c r="L127" s="35" t="n">
        <v>27.08664386276658</v>
      </c>
      <c r="M127" s="36" t="n">
        <v>1077.208009370936</v>
      </c>
      <c r="N127" s="29" t="n">
        <v>1.654610541446747</v>
      </c>
      <c r="O127" s="16" t="inlineStr">
        <is>
          <t>sí</t>
        </is>
      </c>
      <c r="P127" s="16" t="inlineStr">
        <is>
          <t>O2</t>
        </is>
      </c>
    </row>
    <row r="128">
      <c r="A128" s="16" t="inlineStr">
        <is>
          <t>KF-M05-1-0118</t>
        </is>
      </c>
      <c r="B128" s="36" t="n">
        <v>4840.66004535904</v>
      </c>
      <c r="C128" s="35" t="n">
        <v>1104.278735767966</v>
      </c>
      <c r="D128" s="37" t="n">
        <v>0.6769467934042011</v>
      </c>
      <c r="E128" s="37" t="n">
        <v>0.8505723397164103</v>
      </c>
      <c r="F128" s="37" t="n">
        <v>0.7005190396097165</v>
      </c>
      <c r="G128" s="37" t="n">
        <v>0.4887651784264071</v>
      </c>
      <c r="H128" s="37" t="n">
        <v>0.9320897289787252</v>
      </c>
      <c r="I128" s="37" t="n">
        <v>0.7603829818895929</v>
      </c>
      <c r="J128" s="39" t="inlineStr">
        <is>
          <t>Corregible</t>
        </is>
      </c>
      <c r="K128" s="29" t="n">
        <v>11.8444545050466</v>
      </c>
      <c r="L128" s="35" t="n">
        <v>119.0304621142313</v>
      </c>
      <c r="M128" s="36" t="n">
        <v>3736.381309591074</v>
      </c>
      <c r="N128" s="29" t="n">
        <v>4.383549088258611</v>
      </c>
      <c r="O128" s="16" t="inlineStr">
        <is>
          <t>sí</t>
        </is>
      </c>
      <c r="P128" s="16" t="inlineStr">
        <is>
          <t>O2</t>
        </is>
      </c>
    </row>
    <row r="129">
      <c r="A129" s="16" t="inlineStr">
        <is>
          <t>KF-M05-1-0119</t>
        </is>
      </c>
      <c r="B129" s="36" t="n">
        <v>2203.371521121568</v>
      </c>
      <c r="C129" s="35" t="n">
        <v>1311.578702812739</v>
      </c>
      <c r="D129" s="37" t="n">
        <v>0.8352198166854101</v>
      </c>
      <c r="E129" s="37" t="n">
        <v>0.8094345475202585</v>
      </c>
      <c r="F129" s="37" t="n">
        <v>0.6633417581488859</v>
      </c>
      <c r="G129" s="37" t="n">
        <v>0.6135391341687975</v>
      </c>
      <c r="H129" s="37" t="n">
        <v>0.9043986640880992</v>
      </c>
      <c r="I129" s="37" t="n">
        <v>0.6872738907406954</v>
      </c>
      <c r="J129" s="39" t="inlineStr">
        <is>
          <t>Corregible</t>
        </is>
      </c>
      <c r="K129" s="29" t="n">
        <v>3.14407353839403</v>
      </c>
      <c r="L129" s="35" t="n">
        <v>33.69774136727635</v>
      </c>
      <c r="M129" s="36" t="n">
        <v>891.7928183088293</v>
      </c>
      <c r="N129" s="29" t="n">
        <v>1.679938471398125</v>
      </c>
      <c r="O129" s="16" t="inlineStr">
        <is>
          <t>no</t>
        </is>
      </c>
      <c r="P129" s="16" t="inlineStr">
        <is>
          <t>O2</t>
        </is>
      </c>
    </row>
    <row r="130"/>
    <row r="131">
      <c r="A131" s="33" t="inlineStr">
        <is>
          <t>Parte 4.1b · conserva sus presiones · 120 puntos</t>
        </is>
      </c>
      <c r="B131" s="31" t="n"/>
      <c r="C131" s="31" t="n"/>
      <c r="D131" s="31" t="n"/>
      <c r="E131" s="31" t="n"/>
      <c r="F131" s="31" t="n"/>
      <c r="G131" s="31" t="n"/>
      <c r="H131" s="31" t="n"/>
      <c r="I131" s="31" t="n"/>
      <c r="J131" s="31" t="n"/>
      <c r="K131" s="31" t="n"/>
      <c r="T131" s="24" t="inlineStr">
        <is>
          <t>Figura 4.1-2 · Parte 4.1b (conserva sus presiones, P_alta y P_baja): 0 KALINA de 120 evaluados, 0 confiables</t>
        </is>
      </c>
    </row>
    <row r="132"/>
    <row r="133">
      <c r="A133" s="34" t="inlineStr">
        <is>
          <t>Barrido de la parte 4.1b · 120 puntos</t>
        </is>
      </c>
    </row>
    <row r="134">
      <c r="A134" s="25" t="inlineStr">
        <is>
          <t>Fijos en este barrido: P_alta = 3000, P_baja = 400.</t>
        </is>
      </c>
    </row>
    <row r="135">
      <c r="A135" s="22" t="inlineStr">
        <is>
          <t>id_punto</t>
        </is>
      </c>
      <c r="B135" s="22" t="inlineStr">
        <is>
          <t>T_fuente [K]</t>
        </is>
      </c>
      <c r="C135" s="22" t="inlineStr">
        <is>
          <t>T_sumidero [K]</t>
        </is>
      </c>
      <c r="D135" s="22" t="inlineStr">
        <is>
          <t>x_b [–]</t>
        </is>
      </c>
      <c r="E135" s="22" t="inlineStr">
        <is>
          <t>η_t [–]</t>
        </is>
      </c>
      <c r="F135" s="22" t="inlineStr">
        <is>
          <t>η_p [–]</t>
        </is>
      </c>
      <c r="G135" s="22" t="inlineStr">
        <is>
          <t>ε_HRVG [–]</t>
        </is>
      </c>
      <c r="H135" s="22" t="inlineStr">
        <is>
          <t>ε_reg [–]</t>
        </is>
      </c>
      <c r="I135" s="22" t="inlineStr">
        <is>
          <t>ε_cond [–]</t>
        </is>
      </c>
      <c r="J135" s="22" t="inlineStr">
        <is>
          <t>Clase</t>
        </is>
      </c>
      <c r="K135" s="22" t="inlineStr">
        <is>
          <t>η [%]</t>
        </is>
      </c>
      <c r="L135" s="22" t="inlineStr">
        <is>
          <t>W_net [kW] (m_b = 1 kg/s)</t>
        </is>
      </c>
      <c r="M135" s="22" t="inlineStr">
        <is>
          <t>ΔP [kPa]</t>
        </is>
      </c>
      <c r="N135" s="22" t="inlineStr">
        <is>
          <t>r_P [–]</t>
        </is>
      </c>
      <c r="O135" s="22" t="inlineStr">
        <is>
          <t>Fuera de rango</t>
        </is>
      </c>
      <c r="P135" s="22" t="inlineStr">
        <is>
          <t>Criterios que falla</t>
        </is>
      </c>
    </row>
    <row r="136">
      <c r="A136" s="16" t="inlineStr">
        <is>
          <t>KF-M05-2-0000</t>
        </is>
      </c>
      <c r="B136" s="35" t="n">
        <v>581.6667809300933</v>
      </c>
      <c r="C136" s="35" t="n">
        <v>284.8356535378286</v>
      </c>
      <c r="D136" s="37" t="n">
        <v>0.6206993642015358</v>
      </c>
      <c r="E136" s="37" t="n">
        <v>0.4311243814394104</v>
      </c>
      <c r="F136" s="37" t="n">
        <v>0.6477191628737694</v>
      </c>
      <c r="G136" s="37" t="n">
        <v>0.4852205044575571</v>
      </c>
      <c r="H136" s="37" t="n">
        <v>0.9044732165918444</v>
      </c>
      <c r="I136" s="37" t="n">
        <v>0.5175450706252451</v>
      </c>
      <c r="J136" s="40" t="inlineStr">
        <is>
          <t>Inviable</t>
        </is>
      </c>
      <c r="K136" s="29" t="n">
        <v>-11.09488217828777</v>
      </c>
      <c r="L136" s="35" t="n">
        <v>-82.88560485605458</v>
      </c>
      <c r="M136" s="36" t="n">
        <v>2600</v>
      </c>
      <c r="N136" s="29" t="n">
        <v>7.5</v>
      </c>
      <c r="O136" s="16" t="inlineStr">
        <is>
          <t>sí</t>
        </is>
      </c>
      <c r="P136" s="16" t="inlineStr">
        <is>
          <t>O2,O3</t>
        </is>
      </c>
    </row>
    <row r="137">
      <c r="A137" s="16" t="inlineStr">
        <is>
          <t>KF-M05-2-0001</t>
        </is>
      </c>
      <c r="B137" s="35" t="n">
        <v>497.1989046450539</v>
      </c>
      <c r="C137" s="35" t="n">
        <v>287.2606120332136</v>
      </c>
      <c r="D137" s="37" t="n">
        <v>0.8304656597219227</v>
      </c>
      <c r="E137" s="37" t="n">
        <v>0.4369826009478247</v>
      </c>
      <c r="F137" s="37" t="n">
        <v>0.7681032184306988</v>
      </c>
      <c r="G137" s="37" t="n">
        <v>0.5898676200875356</v>
      </c>
      <c r="H137" s="37" t="n">
        <v>0.8476375273963781</v>
      </c>
      <c r="I137" s="37" t="n">
        <v>0.461642777549568</v>
      </c>
      <c r="J137" s="32" t="inlineStr">
        <is>
          <t>No convergió</t>
        </is>
      </c>
      <c r="K137" s="29" t="inlineStr">
        <is>
          <t>—</t>
        </is>
      </c>
      <c r="L137" s="35" t="inlineStr">
        <is>
          <t>—</t>
        </is>
      </c>
      <c r="M137" s="36" t="n">
        <v>2600</v>
      </c>
      <c r="N137" s="29" t="n">
        <v>7.5</v>
      </c>
      <c r="O137" s="16" t="inlineStr">
        <is>
          <t>no</t>
        </is>
      </c>
      <c r="P137" s="16" t="n"/>
    </row>
    <row r="138">
      <c r="A138" s="16" t="inlineStr">
        <is>
          <t>KF-M05-2-0002</t>
        </is>
      </c>
      <c r="B138" s="35" t="n">
        <v>565.632316340897</v>
      </c>
      <c r="C138" s="35" t="n">
        <v>278.5388506793413</v>
      </c>
      <c r="D138" s="37" t="n">
        <v>0.7031868969271766</v>
      </c>
      <c r="E138" s="37" t="n">
        <v>0.7163048833904226</v>
      </c>
      <c r="F138" s="37" t="n">
        <v>0.6165888480935622</v>
      </c>
      <c r="G138" s="37" t="n">
        <v>0.7648600331452731</v>
      </c>
      <c r="H138" s="37" t="n">
        <v>0.8178309502354584</v>
      </c>
      <c r="I138" s="37" t="n">
        <v>0.5827115763296835</v>
      </c>
      <c r="J138" s="32" t="inlineStr">
        <is>
          <t>No convergió</t>
        </is>
      </c>
      <c r="K138" s="29" t="inlineStr">
        <is>
          <t>—</t>
        </is>
      </c>
      <c r="L138" s="35" t="inlineStr">
        <is>
          <t>—</t>
        </is>
      </c>
      <c r="M138" s="36" t="n">
        <v>2600</v>
      </c>
      <c r="N138" s="29" t="n">
        <v>7.5</v>
      </c>
      <c r="O138" s="16" t="inlineStr">
        <is>
          <t>no</t>
        </is>
      </c>
      <c r="P138" s="16" t="n"/>
    </row>
    <row r="139">
      <c r="A139" s="16" t="inlineStr">
        <is>
          <t>KF-M05-2-0003</t>
        </is>
      </c>
      <c r="B139" s="35" t="n">
        <v>605.2276533063961</v>
      </c>
      <c r="C139" s="35" t="n">
        <v>300.9673715020901</v>
      </c>
      <c r="D139" s="37" t="n">
        <v>0.5653180034964805</v>
      </c>
      <c r="E139" s="37" t="n">
        <v>0.8384924059835843</v>
      </c>
      <c r="F139" s="37" t="n">
        <v>0.6947494507196424</v>
      </c>
      <c r="G139" s="37" t="n">
        <v>0.8630053357279532</v>
      </c>
      <c r="H139" s="37" t="n">
        <v>0.6568670449340245</v>
      </c>
      <c r="I139" s="37" t="n">
        <v>0.7754105424504261</v>
      </c>
      <c r="J139" s="32" t="inlineStr">
        <is>
          <t>No convergió</t>
        </is>
      </c>
      <c r="K139" s="29" t="inlineStr">
        <is>
          <t>—</t>
        </is>
      </c>
      <c r="L139" s="35" t="inlineStr">
        <is>
          <t>—</t>
        </is>
      </c>
      <c r="M139" s="36" t="n">
        <v>2600</v>
      </c>
      <c r="N139" s="29" t="n">
        <v>7.5</v>
      </c>
      <c r="O139" s="16" t="inlineStr">
        <is>
          <t>no</t>
        </is>
      </c>
      <c r="P139" s="16" t="n"/>
    </row>
    <row r="140">
      <c r="A140" s="16" t="inlineStr">
        <is>
          <t>KF-M05-2-0004</t>
        </is>
      </c>
      <c r="B140" s="35" t="n">
        <v>396.9568326799408</v>
      </c>
      <c r="C140" s="35" t="n">
        <v>294.9902379616167</v>
      </c>
      <c r="D140" s="37" t="n">
        <v>0.6487265564028224</v>
      </c>
      <c r="E140" s="37" t="n">
        <v>0.4142432928861104</v>
      </c>
      <c r="F140" s="37" t="n">
        <v>0.7234245846510423</v>
      </c>
      <c r="G140" s="37" t="n">
        <v>0.5128259976256109</v>
      </c>
      <c r="H140" s="37" t="n">
        <v>0.5258795762134478</v>
      </c>
      <c r="I140" s="37" t="n">
        <v>0.5452995260959054</v>
      </c>
      <c r="J140" s="40" t="inlineStr">
        <is>
          <t>Inviable</t>
        </is>
      </c>
      <c r="K140" s="29" t="n">
        <v>-35.96822866889958</v>
      </c>
      <c r="L140" s="35" t="n">
        <v>-67.4677396994793</v>
      </c>
      <c r="M140" s="36" t="n">
        <v>2600</v>
      </c>
      <c r="N140" s="29" t="n">
        <v>7.5</v>
      </c>
      <c r="O140" s="16" t="inlineStr">
        <is>
          <t>no</t>
        </is>
      </c>
      <c r="P140" s="16" t="inlineStr">
        <is>
          <t>O2,O3</t>
        </is>
      </c>
    </row>
    <row r="141">
      <c r="A141" s="16" t="inlineStr">
        <is>
          <t>KF-M05-2-0005</t>
        </is>
      </c>
      <c r="B141" s="35" t="n">
        <v>413.4209285049968</v>
      </c>
      <c r="C141" s="35" t="n">
        <v>296.8753155180362</v>
      </c>
      <c r="D141" s="37" t="n">
        <v>0.5467197687180206</v>
      </c>
      <c r="E141" s="37" t="n">
        <v>0.6930730896087789</v>
      </c>
      <c r="F141" s="37" t="n">
        <v>0.7892300937589449</v>
      </c>
      <c r="G141" s="37" t="n">
        <v>0.8328683582488272</v>
      </c>
      <c r="H141" s="37" t="n">
        <v>0.726214962497062</v>
      </c>
      <c r="I141" s="37" t="n">
        <v>0.9416846745237536</v>
      </c>
      <c r="J141" s="39" t="inlineStr">
        <is>
          <t>Corregible</t>
        </is>
      </c>
      <c r="K141" s="29" t="n">
        <v>9.88931559906287</v>
      </c>
      <c r="L141" s="35" t="n">
        <v>55.45063222297999</v>
      </c>
      <c r="M141" s="36" t="n">
        <v>2600</v>
      </c>
      <c r="N141" s="29" t="n">
        <v>7.5</v>
      </c>
      <c r="O141" s="16" t="inlineStr">
        <is>
          <t>no</t>
        </is>
      </c>
      <c r="P141" s="16" t="inlineStr">
        <is>
          <t>O2</t>
        </is>
      </c>
    </row>
    <row r="142">
      <c r="A142" s="16" t="inlineStr">
        <is>
          <t>KF-M05-2-0006</t>
        </is>
      </c>
      <c r="B142" s="35" t="n">
        <v>479.2601393884606</v>
      </c>
      <c r="C142" s="35" t="n">
        <v>299.08260078437</v>
      </c>
      <c r="D142" s="37" t="n">
        <v>0.5639452059464861</v>
      </c>
      <c r="E142" s="37" t="n">
        <v>0.9485839349565068</v>
      </c>
      <c r="F142" s="37" t="n">
        <v>0.7743448641363317</v>
      </c>
      <c r="G142" s="37" t="n">
        <v>0.7172369132968522</v>
      </c>
      <c r="H142" s="37" t="n">
        <v>0.8575854800745755</v>
      </c>
      <c r="I142" s="37" t="n">
        <v>0.5843232124758622</v>
      </c>
      <c r="J142" s="39" t="inlineStr">
        <is>
          <t>Corregible</t>
        </is>
      </c>
      <c r="K142" s="29" t="n">
        <v>12.40127926908302</v>
      </c>
      <c r="L142" s="35" t="n">
        <v>124.523468547553</v>
      </c>
      <c r="M142" s="36" t="n">
        <v>2600</v>
      </c>
      <c r="N142" s="29" t="n">
        <v>7.5</v>
      </c>
      <c r="O142" s="16" t="inlineStr">
        <is>
          <t>sí</t>
        </is>
      </c>
      <c r="P142" s="16" t="inlineStr">
        <is>
          <t>O1,O2</t>
        </is>
      </c>
    </row>
    <row r="143">
      <c r="A143" s="16" t="inlineStr">
        <is>
          <t>KF-M05-2-0007</t>
        </is>
      </c>
      <c r="B143" s="35" t="n">
        <v>480.1585243481287</v>
      </c>
      <c r="C143" s="35" t="n">
        <v>299.5536046315701</v>
      </c>
      <c r="D143" s="37" t="n">
        <v>0.7178088209003098</v>
      </c>
      <c r="E143" s="37" t="n">
        <v>0.599100879350511</v>
      </c>
      <c r="F143" s="37" t="n">
        <v>0.6628795196364636</v>
      </c>
      <c r="G143" s="37" t="n">
        <v>0.5509157823695161</v>
      </c>
      <c r="H143" s="37" t="n">
        <v>0.918312933519429</v>
      </c>
      <c r="I143" s="37" t="n">
        <v>0.8502830514797551</v>
      </c>
      <c r="J143" s="40" t="inlineStr">
        <is>
          <t>Inviable</t>
        </is>
      </c>
      <c r="K143" s="29" t="n">
        <v>-6.802390870800689</v>
      </c>
      <c r="L143" s="35" t="n">
        <v>-44.5006763639696</v>
      </c>
      <c r="M143" s="36" t="n">
        <v>2600</v>
      </c>
      <c r="N143" s="29" t="n">
        <v>7.5</v>
      </c>
      <c r="O143" s="16" t="inlineStr">
        <is>
          <t>sí</t>
        </is>
      </c>
      <c r="P143" s="16" t="inlineStr">
        <is>
          <t>O2,O3</t>
        </is>
      </c>
    </row>
    <row r="144">
      <c r="A144" s="16" t="inlineStr">
        <is>
          <t>KF-M05-2-0008</t>
        </is>
      </c>
      <c r="B144" s="35" t="n">
        <v>592.5678517504807</v>
      </c>
      <c r="C144" s="35" t="n">
        <v>297.3325608271709</v>
      </c>
      <c r="D144" s="37" t="n">
        <v>0.6610279190920496</v>
      </c>
      <c r="E144" s="37" t="n">
        <v>0.8403578332937347</v>
      </c>
      <c r="F144" s="37" t="n">
        <v>0.8180541851835023</v>
      </c>
      <c r="G144" s="37" t="n">
        <v>0.9198361471831732</v>
      </c>
      <c r="H144" s="37" t="n">
        <v>0.9257843959585064</v>
      </c>
      <c r="I144" s="37" t="n">
        <v>0.8543308322301824</v>
      </c>
      <c r="J144" s="32" t="inlineStr">
        <is>
          <t>No convergió</t>
        </is>
      </c>
      <c r="K144" s="29" t="inlineStr">
        <is>
          <t>—</t>
        </is>
      </c>
      <c r="L144" s="35" t="inlineStr">
        <is>
          <t>—</t>
        </is>
      </c>
      <c r="M144" s="36" t="n">
        <v>2600</v>
      </c>
      <c r="N144" s="29" t="n">
        <v>7.5</v>
      </c>
      <c r="O144" s="16" t="inlineStr">
        <is>
          <t>no</t>
        </is>
      </c>
      <c r="P144" s="16" t="n"/>
    </row>
    <row r="145">
      <c r="A145" s="16" t="inlineStr">
        <is>
          <t>KF-M05-2-0009</t>
        </is>
      </c>
      <c r="B145" s="35" t="n">
        <v>545.0414799696507</v>
      </c>
      <c r="C145" s="35" t="n">
        <v>292.8484941087182</v>
      </c>
      <c r="D145" s="37" t="n">
        <v>0.586849401121429</v>
      </c>
      <c r="E145" s="37" t="n">
        <v>0.6156689894189815</v>
      </c>
      <c r="F145" s="37" t="n">
        <v>0.5157627671152974</v>
      </c>
      <c r="G145" s="37" t="n">
        <v>0.7964571510477073</v>
      </c>
      <c r="H145" s="37" t="n">
        <v>0.7872426536750095</v>
      </c>
      <c r="I145" s="37" t="n">
        <v>0.8916641414151101</v>
      </c>
      <c r="J145" s="39" t="inlineStr">
        <is>
          <t>Corregible</t>
        </is>
      </c>
      <c r="K145" s="29" t="n">
        <v>9.30157220353664</v>
      </c>
      <c r="L145" s="35" t="n">
        <v>162.7650119638825</v>
      </c>
      <c r="M145" s="36" t="n">
        <v>2600</v>
      </c>
      <c r="N145" s="29" t="n">
        <v>7.5</v>
      </c>
      <c r="O145" s="16" t="inlineStr">
        <is>
          <t>sí</t>
        </is>
      </c>
      <c r="P145" s="16" t="inlineStr">
        <is>
          <t>O2</t>
        </is>
      </c>
    </row>
    <row r="146">
      <c r="A146" s="16" t="inlineStr">
        <is>
          <t>KF-M05-2-0010</t>
        </is>
      </c>
      <c r="B146" s="35" t="n">
        <v>531.4086372341891</v>
      </c>
      <c r="C146" s="35" t="n">
        <v>279.8718674156071</v>
      </c>
      <c r="D146" s="37" t="n">
        <v>0.5962243375256118</v>
      </c>
      <c r="E146" s="37" t="n">
        <v>0.7589474575901014</v>
      </c>
      <c r="F146" s="37" t="n">
        <v>0.7116314918043332</v>
      </c>
      <c r="G146" s="37" t="n">
        <v>0.8442299755935084</v>
      </c>
      <c r="H146" s="37" t="n">
        <v>0.5006562327495322</v>
      </c>
      <c r="I146" s="37" t="n">
        <v>0.9028220596050628</v>
      </c>
      <c r="J146" s="39" t="inlineStr">
        <is>
          <t>Corregible</t>
        </is>
      </c>
      <c r="K146" s="29" t="n">
        <v>12.21066434699563</v>
      </c>
      <c r="L146" s="35" t="n">
        <v>233.2159897855165</v>
      </c>
      <c r="M146" s="36" t="n">
        <v>2600</v>
      </c>
      <c r="N146" s="29" t="n">
        <v>7.5</v>
      </c>
      <c r="O146" s="16" t="inlineStr">
        <is>
          <t>sí</t>
        </is>
      </c>
      <c r="P146" s="16" t="inlineStr">
        <is>
          <t>O2</t>
        </is>
      </c>
    </row>
    <row r="147">
      <c r="A147" s="16" t="inlineStr">
        <is>
          <t>KF-M05-2-0011</t>
        </is>
      </c>
      <c r="B147" s="35" t="n">
        <v>520.06747828813</v>
      </c>
      <c r="C147" s="35" t="n">
        <v>288.9648121494184</v>
      </c>
      <c r="D147" s="37" t="n">
        <v>0.6229603082849318</v>
      </c>
      <c r="E147" s="37" t="n">
        <v>0.7651034857302516</v>
      </c>
      <c r="F147" s="37" t="n">
        <v>0.9243108562419544</v>
      </c>
      <c r="G147" s="37" t="n">
        <v>0.7570237458674148</v>
      </c>
      <c r="H147" s="37" t="n">
        <v>0.4851417011168977</v>
      </c>
      <c r="I147" s="37" t="n">
        <v>0.6950175403825523</v>
      </c>
      <c r="J147" s="39" t="inlineStr">
        <is>
          <t>Corregible</t>
        </is>
      </c>
      <c r="K147" s="29" t="n">
        <v>11.11441998992885</v>
      </c>
      <c r="L147" s="35" t="n">
        <v>147.1007701286043</v>
      </c>
      <c r="M147" s="36" t="n">
        <v>2600</v>
      </c>
      <c r="N147" s="29" t="n">
        <v>7.5</v>
      </c>
      <c r="O147" s="16" t="inlineStr">
        <is>
          <t>sí</t>
        </is>
      </c>
      <c r="P147" s="16" t="inlineStr">
        <is>
          <t>O2</t>
        </is>
      </c>
    </row>
    <row r="148">
      <c r="A148" s="16" t="inlineStr">
        <is>
          <t>KF-M05-2-0012</t>
        </is>
      </c>
      <c r="B148" s="35" t="n">
        <v>612.1600571092998</v>
      </c>
      <c r="C148" s="35" t="n">
        <v>290.6890069491756</v>
      </c>
      <c r="D148" s="37" t="n">
        <v>0.6261454003729228</v>
      </c>
      <c r="E148" s="37" t="n">
        <v>0.8847187985591037</v>
      </c>
      <c r="F148" s="37" t="n">
        <v>0.8651881642874429</v>
      </c>
      <c r="G148" s="37" t="n">
        <v>0.4681738112318153</v>
      </c>
      <c r="H148" s="37" t="n">
        <v>0.928189425422996</v>
      </c>
      <c r="I148" s="37" t="n">
        <v>0.7496704143825634</v>
      </c>
      <c r="J148" s="39" t="inlineStr">
        <is>
          <t>Corregible</t>
        </is>
      </c>
      <c r="K148" s="29" t="n">
        <v>14.53321943761875</v>
      </c>
      <c r="L148" s="35" t="n">
        <v>144.0378071088067</v>
      </c>
      <c r="M148" s="36" t="n">
        <v>2600</v>
      </c>
      <c r="N148" s="29" t="n">
        <v>7.5</v>
      </c>
      <c r="O148" s="16" t="inlineStr">
        <is>
          <t>sí</t>
        </is>
      </c>
      <c r="P148" s="16" t="inlineStr">
        <is>
          <t>O2</t>
        </is>
      </c>
    </row>
    <row r="149">
      <c r="A149" s="16" t="inlineStr">
        <is>
          <t>KF-M05-2-0013</t>
        </is>
      </c>
      <c r="B149" s="35" t="n">
        <v>438.1549755980534</v>
      </c>
      <c r="C149" s="35" t="n">
        <v>301.4155817580192</v>
      </c>
      <c r="D149" s="37" t="n">
        <v>0.6052894525508414</v>
      </c>
      <c r="E149" s="37" t="n">
        <v>0.6245931219487668</v>
      </c>
      <c r="F149" s="37" t="n">
        <v>0.4669072043232916</v>
      </c>
      <c r="G149" s="37" t="n">
        <v>0.5544016719420063</v>
      </c>
      <c r="H149" s="37" t="n">
        <v>0.4756457216250705</v>
      </c>
      <c r="I149" s="37" t="n">
        <v>0.7393311849061908</v>
      </c>
      <c r="J149" s="40" t="inlineStr">
        <is>
          <t>Inviable</t>
        </is>
      </c>
      <c r="K149" s="29" t="n">
        <v>-11.3237368493455</v>
      </c>
      <c r="L149" s="35" t="n">
        <v>-54.10830663260866</v>
      </c>
      <c r="M149" s="36" t="n">
        <v>2600</v>
      </c>
      <c r="N149" s="29" t="n">
        <v>7.5</v>
      </c>
      <c r="O149" s="16" t="inlineStr">
        <is>
          <t>no</t>
        </is>
      </c>
      <c r="P149" s="16" t="inlineStr">
        <is>
          <t>O2,O3</t>
        </is>
      </c>
    </row>
    <row r="150">
      <c r="A150" s="16" t="inlineStr">
        <is>
          <t>KF-M05-2-0014</t>
        </is>
      </c>
      <c r="B150" s="35" t="n">
        <v>473.7371693257702</v>
      </c>
      <c r="C150" s="35" t="n">
        <v>279.193899637173</v>
      </c>
      <c r="D150" s="37" t="n">
        <v>0.710262797960474</v>
      </c>
      <c r="E150" s="37" t="n">
        <v>0.7301297933266231</v>
      </c>
      <c r="F150" s="37" t="n">
        <v>0.594140057094159</v>
      </c>
      <c r="G150" s="37" t="n">
        <v>0.7515510202598708</v>
      </c>
      <c r="H150" s="37" t="n">
        <v>0.4368264310987232</v>
      </c>
      <c r="I150" s="37" t="n">
        <v>0.6436637301548235</v>
      </c>
      <c r="J150" s="39" t="inlineStr">
        <is>
          <t>Corregible</t>
        </is>
      </c>
      <c r="K150" s="29" t="n">
        <v>5.33933487033424</v>
      </c>
      <c r="L150" s="35" t="n">
        <v>57.22850841014889</v>
      </c>
      <c r="M150" s="36" t="n">
        <v>2600</v>
      </c>
      <c r="N150" s="29" t="n">
        <v>7.5</v>
      </c>
      <c r="O150" s="16" t="inlineStr">
        <is>
          <t>sí</t>
        </is>
      </c>
      <c r="P150" s="16" t="inlineStr">
        <is>
          <t>O2</t>
        </is>
      </c>
    </row>
    <row r="151">
      <c r="A151" s="16" t="inlineStr">
        <is>
          <t>KF-M05-2-0015</t>
        </is>
      </c>
      <c r="B151" s="35" t="n">
        <v>492.0221683392841</v>
      </c>
      <c r="C151" s="35" t="n">
        <v>284.2492732167756</v>
      </c>
      <c r="D151" s="37" t="n">
        <v>0.6342746706494182</v>
      </c>
      <c r="E151" s="37" t="n">
        <v>0.5723732239694571</v>
      </c>
      <c r="F151" s="37" t="n">
        <v>0.4934112186505744</v>
      </c>
      <c r="G151" s="37" t="n">
        <v>0.6448030860739415</v>
      </c>
      <c r="H151" s="37" t="n">
        <v>0.6264138206782564</v>
      </c>
      <c r="I151" s="37" t="n">
        <v>0.9372150739933284</v>
      </c>
      <c r="J151" s="39" t="inlineStr">
        <is>
          <t>Corregible</t>
        </is>
      </c>
      <c r="K151" s="29" t="n">
        <v>9.02742664811058</v>
      </c>
      <c r="L151" s="35" t="n">
        <v>121.4209009639531</v>
      </c>
      <c r="M151" s="36" t="n">
        <v>2600</v>
      </c>
      <c r="N151" s="29" t="n">
        <v>7.5</v>
      </c>
      <c r="O151" s="16" t="inlineStr">
        <is>
          <t>sí</t>
        </is>
      </c>
      <c r="P151" s="16" t="inlineStr">
        <is>
          <t>O2</t>
        </is>
      </c>
      <c r="T151" s="25" t="inlineStr">
        <is>
          <t>Estudio 4.1 · parte(s) 4.1b. Punto base: PP = datos del enunciado del profesor (T_fuente 623.15 K, P_alta 3000 kPa, P_baja 400 kPa, x_b 0.50)</t>
        </is>
      </c>
    </row>
    <row r="152">
      <c r="A152" s="16" t="inlineStr">
        <is>
          <t>KF-M05-2-0016</t>
        </is>
      </c>
      <c r="B152" s="35" t="n">
        <v>385.1452257523793</v>
      </c>
      <c r="C152" s="35" t="n">
        <v>291.8900840271729</v>
      </c>
      <c r="D152" s="37" t="n">
        <v>0.658296632405728</v>
      </c>
      <c r="E152" s="37" t="n">
        <v>0.857474460939855</v>
      </c>
      <c r="F152" s="37" t="n">
        <v>0.8732160032857956</v>
      </c>
      <c r="G152" s="37" t="n">
        <v>0.902010089729684</v>
      </c>
      <c r="H152" s="37" t="n">
        <v>0.564752746633372</v>
      </c>
      <c r="I152" s="37" t="n">
        <v>0.7552982844300933</v>
      </c>
      <c r="J152" s="39" t="inlineStr">
        <is>
          <t>Corregible</t>
        </is>
      </c>
      <c r="K152" s="29" t="n">
        <v>7.303174807212829</v>
      </c>
      <c r="L152" s="35" t="n">
        <v>27.62202695799961</v>
      </c>
      <c r="M152" s="36" t="n">
        <v>2600</v>
      </c>
      <c r="N152" s="29" t="n">
        <v>7.5</v>
      </c>
      <c r="O152" s="16" t="inlineStr">
        <is>
          <t>no</t>
        </is>
      </c>
      <c r="P152" s="16" t="inlineStr">
        <is>
          <t>O2</t>
        </is>
      </c>
      <c r="T152" s="25" t="inlineStr">
        <is>
          <t>Datos fijos: P_alta = 3000 kPa; P_baja = 400 kPa; m_b = 1 kg/s; motor de propiedades = teqp.</t>
        </is>
      </c>
    </row>
    <row r="153">
      <c r="A153" s="16" t="inlineStr">
        <is>
          <t>KF-M05-2-0017</t>
        </is>
      </c>
      <c r="B153" s="35" t="n">
        <v>387.1169344595215</v>
      </c>
      <c r="C153" s="35" t="n">
        <v>288.1375308365737</v>
      </c>
      <c r="D153" s="37" t="n">
        <v>0.693188615141872</v>
      </c>
      <c r="E153" s="37" t="n">
        <v>0.4026755734716554</v>
      </c>
      <c r="F153" s="37" t="n">
        <v>0.4850258564647046</v>
      </c>
      <c r="G153" s="37" t="n">
        <v>0.7789965729460884</v>
      </c>
      <c r="H153" s="37" t="n">
        <v>0.5758435375810858</v>
      </c>
      <c r="I153" s="37" t="n">
        <v>0.7629460184364791</v>
      </c>
      <c r="J153" s="40" t="inlineStr">
        <is>
          <t>Inviable</t>
        </is>
      </c>
      <c r="K153" s="29" t="n">
        <v>-15.32988944279511</v>
      </c>
      <c r="L153" s="35" t="n">
        <v>-56.02605866944219</v>
      </c>
      <c r="M153" s="36" t="n">
        <v>2600</v>
      </c>
      <c r="N153" s="29" t="n">
        <v>7.5</v>
      </c>
      <c r="O153" s="16" t="inlineStr">
        <is>
          <t>no</t>
        </is>
      </c>
      <c r="P153" s="16" t="inlineStr">
        <is>
          <t>O2,O3</t>
        </is>
      </c>
      <c r="T153" s="25" t="inlineStr">
        <is>
          <t>Datos barridos: T_fuente [381.61–621.77] K (120 valores); T_sumidero [278.26–303.48] K (120 valores); x_b [0.50084–0.84732] (120 valores); η_t [0.40268–0.94858] (120 valores); η_p [0.40103–0.9471] (120 valores); ε_HRVG [0.40217–0.94755] (120 valores); ε_reg [0.40228–0.9466] (120 valores); ε_cond [0.40209–0.9474] (120 valores); piso de O2 [278.26–303.48] K (120 valores).</t>
        </is>
      </c>
    </row>
    <row r="154">
      <c r="A154" s="16" t="inlineStr">
        <is>
          <t>KF-M05-2-0018</t>
        </is>
      </c>
      <c r="B154" s="35" t="n">
        <v>580.478446621471</v>
      </c>
      <c r="C154" s="35" t="n">
        <v>297.0836599319316</v>
      </c>
      <c r="D154" s="37" t="n">
        <v>0.5730001521468852</v>
      </c>
      <c r="E154" s="37" t="n">
        <v>0.8490913506498294</v>
      </c>
      <c r="F154" s="37" t="n">
        <v>0.7148612525340294</v>
      </c>
      <c r="G154" s="37" t="n">
        <v>0.4961422926823817</v>
      </c>
      <c r="H154" s="37" t="n">
        <v>0.4613313649081638</v>
      </c>
      <c r="I154" s="37" t="n">
        <v>0.9288275679020376</v>
      </c>
      <c r="J154" s="39" t="inlineStr">
        <is>
          <t>Corregible</t>
        </is>
      </c>
      <c r="K154" s="29" t="n">
        <v>13.11866415958384</v>
      </c>
      <c r="L154" s="35" t="n">
        <v>150.4926450110074</v>
      </c>
      <c r="M154" s="36" t="n">
        <v>2600</v>
      </c>
      <c r="N154" s="29" t="n">
        <v>7.5</v>
      </c>
      <c r="O154" s="16" t="inlineStr">
        <is>
          <t>sí</t>
        </is>
      </c>
      <c r="P154" s="16" t="inlineStr">
        <is>
          <t>O2</t>
        </is>
      </c>
      <c r="T154" s="25" t="inlineStr">
        <is>
          <t>Filtro: todos los puntos evaluados (omitidos no se dibujan; marcador hueco = fuera del rango confiable).</t>
        </is>
      </c>
    </row>
    <row r="155">
      <c r="A155" s="16" t="inlineStr">
        <is>
          <t>KF-M05-2-0019</t>
        </is>
      </c>
      <c r="B155" s="35" t="n">
        <v>381.6092851157166</v>
      </c>
      <c r="C155" s="35" t="n">
        <v>292.1099160180864</v>
      </c>
      <c r="D155" s="37" t="n">
        <v>0.8280857294522489</v>
      </c>
      <c r="E155" s="37" t="n">
        <v>0.7904709064057016</v>
      </c>
      <c r="F155" s="37" t="n">
        <v>0.9108237128678998</v>
      </c>
      <c r="G155" s="37" t="n">
        <v>0.5592128879270416</v>
      </c>
      <c r="H155" s="37" t="n">
        <v>0.8589579293948728</v>
      </c>
      <c r="I155" s="37" t="n">
        <v>0.8717842985953077</v>
      </c>
      <c r="J155" s="40" t="inlineStr">
        <is>
          <t>Inviable</t>
        </is>
      </c>
      <c r="K155" s="29" t="n">
        <v>-53.35038721220121</v>
      </c>
      <c r="L155" s="35" t="n">
        <v>-48.76449577863713</v>
      </c>
      <c r="M155" s="36" t="n">
        <v>2600</v>
      </c>
      <c r="N155" s="29" t="n">
        <v>7.5</v>
      </c>
      <c r="O155" s="16" t="inlineStr">
        <is>
          <t>no</t>
        </is>
      </c>
      <c r="P155" s="16" t="inlineStr">
        <is>
          <t>O2,O3</t>
        </is>
      </c>
      <c r="T155" s="25" t="inlineStr">
        <is>
          <t>n = 120. Fuente: todos_los_puntos.csv.</t>
        </is>
      </c>
    </row>
    <row r="156">
      <c r="A156" s="16" t="inlineStr">
        <is>
          <t>KF-M05-2-0020</t>
        </is>
      </c>
      <c r="B156" s="35" t="n">
        <v>553.4411316567061</v>
      </c>
      <c r="C156" s="35" t="n">
        <v>298.1346786251853</v>
      </c>
      <c r="D156" s="37" t="n">
        <v>0.6434625504812456</v>
      </c>
      <c r="E156" s="37" t="n">
        <v>0.930921708132335</v>
      </c>
      <c r="F156" s="37" t="n">
        <v>0.6671597750601477</v>
      </c>
      <c r="G156" s="37" t="n">
        <v>0.928287787532095</v>
      </c>
      <c r="H156" s="37" t="n">
        <v>0.4817168985688762</v>
      </c>
      <c r="I156" s="37" t="n">
        <v>0.6611472387809112</v>
      </c>
      <c r="J156" s="32" t="inlineStr">
        <is>
          <t>No convergió</t>
        </is>
      </c>
      <c r="K156" s="29" t="inlineStr">
        <is>
          <t>—</t>
        </is>
      </c>
      <c r="L156" s="35" t="inlineStr">
        <is>
          <t>—</t>
        </is>
      </c>
      <c r="M156" s="36" t="n">
        <v>2600</v>
      </c>
      <c r="N156" s="29" t="n">
        <v>7.5</v>
      </c>
      <c r="O156" s="16" t="inlineStr">
        <is>
          <t>no</t>
        </is>
      </c>
      <c r="P156" s="16" t="n"/>
    </row>
    <row r="157">
      <c r="A157" s="16" t="inlineStr">
        <is>
          <t>KF-M05-2-0021</t>
        </is>
      </c>
      <c r="B157" s="35" t="n">
        <v>481.7445653297842</v>
      </c>
      <c r="C157" s="35" t="n">
        <v>296.7170439313891</v>
      </c>
      <c r="D157" s="37" t="n">
        <v>0.510276150259235</v>
      </c>
      <c r="E157" s="37" t="n">
        <v>0.9390343103620952</v>
      </c>
      <c r="F157" s="37" t="n">
        <v>0.8411975372910446</v>
      </c>
      <c r="G157" s="37" t="n">
        <v>0.7683797490272216</v>
      </c>
      <c r="H157" s="37" t="n">
        <v>0.7401498230380614</v>
      </c>
      <c r="I157" s="37" t="n">
        <v>0.4099294910115931</v>
      </c>
      <c r="J157" s="39" t="inlineStr">
        <is>
          <t>Corregible</t>
        </is>
      </c>
      <c r="K157" s="29" t="n">
        <v>10.94440928467221</v>
      </c>
      <c r="L157" s="35" t="n">
        <v>91.07837785702144</v>
      </c>
      <c r="M157" s="36" t="n">
        <v>2600</v>
      </c>
      <c r="N157" s="29" t="n">
        <v>7.5</v>
      </c>
      <c r="O157" s="16" t="inlineStr">
        <is>
          <t>sí</t>
        </is>
      </c>
      <c r="P157" s="16" t="inlineStr">
        <is>
          <t>O1,O2</t>
        </is>
      </c>
    </row>
    <row r="158">
      <c r="A158" s="16" t="inlineStr">
        <is>
          <t>KF-M05-2-0022</t>
        </is>
      </c>
      <c r="B158" s="35" t="n">
        <v>597.4914533630786</v>
      </c>
      <c r="C158" s="35" t="n">
        <v>289.8664644074867</v>
      </c>
      <c r="D158" s="37" t="n">
        <v>0.785751161347557</v>
      </c>
      <c r="E158" s="37" t="n">
        <v>0.5199350368948588</v>
      </c>
      <c r="F158" s="37" t="n">
        <v>0.7359791896887078</v>
      </c>
      <c r="G158" s="37" t="n">
        <v>0.8621659181681649</v>
      </c>
      <c r="H158" s="37" t="n">
        <v>0.7539257467861609</v>
      </c>
      <c r="I158" s="37" t="n">
        <v>0.4729664081867962</v>
      </c>
      <c r="J158" s="32" t="inlineStr">
        <is>
          <t>No convergió</t>
        </is>
      </c>
      <c r="K158" s="29" t="inlineStr">
        <is>
          <t>—</t>
        </is>
      </c>
      <c r="L158" s="35" t="inlineStr">
        <is>
          <t>—</t>
        </is>
      </c>
      <c r="M158" s="36" t="n">
        <v>2600</v>
      </c>
      <c r="N158" s="29" t="n">
        <v>7.5</v>
      </c>
      <c r="O158" s="16" t="inlineStr">
        <is>
          <t>no</t>
        </is>
      </c>
      <c r="P158" s="16" t="n"/>
    </row>
    <row r="159">
      <c r="A159" s="16" t="inlineStr">
        <is>
          <t>KF-M05-2-0023</t>
        </is>
      </c>
      <c r="B159" s="35" t="n">
        <v>432.9542778106157</v>
      </c>
      <c r="C159" s="35" t="n">
        <v>292.587597440644</v>
      </c>
      <c r="D159" s="37" t="n">
        <v>0.5202835062581552</v>
      </c>
      <c r="E159" s="37" t="n">
        <v>0.8020399299204084</v>
      </c>
      <c r="F159" s="37" t="n">
        <v>0.5910677972977382</v>
      </c>
      <c r="G159" s="37" t="n">
        <v>0.9475507614177018</v>
      </c>
      <c r="H159" s="37" t="n">
        <v>0.7748173914646728</v>
      </c>
      <c r="I159" s="37" t="n">
        <v>0.5729319287944419</v>
      </c>
      <c r="J159" s="39" t="inlineStr">
        <is>
          <t>Corregible</t>
        </is>
      </c>
      <c r="K159" s="29" t="n">
        <v>6.28819598947969</v>
      </c>
      <c r="L159" s="35" t="n">
        <v>38.20212324102238</v>
      </c>
      <c r="M159" s="36" t="n">
        <v>2600</v>
      </c>
      <c r="N159" s="29" t="n">
        <v>7.5</v>
      </c>
      <c r="O159" s="16" t="inlineStr">
        <is>
          <t>sí</t>
        </is>
      </c>
      <c r="P159" s="16" t="inlineStr">
        <is>
          <t>O2</t>
        </is>
      </c>
    </row>
    <row r="160">
      <c r="A160" s="16" t="inlineStr">
        <is>
          <t>KF-M05-2-0024</t>
        </is>
      </c>
      <c r="B160" s="35" t="n">
        <v>435.4917432016901</v>
      </c>
      <c r="C160" s="35" t="n">
        <v>279.3362073138771</v>
      </c>
      <c r="D160" s="37" t="n">
        <v>0.5548135933439685</v>
      </c>
      <c r="E160" s="37" t="n">
        <v>0.6569226197673017</v>
      </c>
      <c r="F160" s="37" t="n">
        <v>0.5552273636281854</v>
      </c>
      <c r="G160" s="37" t="n">
        <v>0.760909944844665</v>
      </c>
      <c r="H160" s="37" t="n">
        <v>0.8258724362864788</v>
      </c>
      <c r="I160" s="37" t="n">
        <v>0.6491521921333787</v>
      </c>
      <c r="J160" s="39" t="inlineStr">
        <is>
          <t>Corregible</t>
        </is>
      </c>
      <c r="K160" s="29" t="n">
        <v>7.24667126204722</v>
      </c>
      <c r="L160" s="35" t="n">
        <v>49.27717316240117</v>
      </c>
      <c r="M160" s="36" t="n">
        <v>2600</v>
      </c>
      <c r="N160" s="29" t="n">
        <v>7.5</v>
      </c>
      <c r="O160" s="16" t="inlineStr">
        <is>
          <t>sí</t>
        </is>
      </c>
      <c r="P160" s="16" t="inlineStr">
        <is>
          <t>O2</t>
        </is>
      </c>
    </row>
    <row r="161">
      <c r="A161" s="16" t="inlineStr">
        <is>
          <t>KF-M05-2-0025</t>
        </is>
      </c>
      <c r="B161" s="35" t="n">
        <v>405.4893759724959</v>
      </c>
      <c r="C161" s="35" t="n">
        <v>293.8616270379974</v>
      </c>
      <c r="D161" s="37" t="n">
        <v>0.7624489429117546</v>
      </c>
      <c r="E161" s="37" t="n">
        <v>0.6624230355953621</v>
      </c>
      <c r="F161" s="37" t="n">
        <v>0.6745314417760686</v>
      </c>
      <c r="G161" s="37" t="n">
        <v>0.7866010373071156</v>
      </c>
      <c r="H161" s="37" t="n">
        <v>0.4431974807777925</v>
      </c>
      <c r="I161" s="37" t="n">
        <v>0.5488378480606902</v>
      </c>
      <c r="J161" s="40" t="inlineStr">
        <is>
          <t>Inviable</t>
        </is>
      </c>
      <c r="K161" s="29" t="n">
        <v>-71.02206373282802</v>
      </c>
      <c r="L161" s="35" t="n">
        <v>-117.9172022283764</v>
      </c>
      <c r="M161" s="36" t="n">
        <v>2600</v>
      </c>
      <c r="N161" s="29" t="n">
        <v>7.5</v>
      </c>
      <c r="O161" s="16" t="inlineStr">
        <is>
          <t>no</t>
        </is>
      </c>
      <c r="P161" s="16" t="inlineStr">
        <is>
          <t>O2,O3</t>
        </is>
      </c>
    </row>
    <row r="162">
      <c r="A162" s="16" t="inlineStr">
        <is>
          <t>KF-M05-2-0026</t>
        </is>
      </c>
      <c r="B162" s="35" t="n">
        <v>542.9014919960931</v>
      </c>
      <c r="C162" s="35" t="n">
        <v>298.272043013744</v>
      </c>
      <c r="D162" s="37" t="n">
        <v>0.5418528378632304</v>
      </c>
      <c r="E162" s="37" t="n">
        <v>0.6133923218542554</v>
      </c>
      <c r="F162" s="37" t="n">
        <v>0.4361858354999067</v>
      </c>
      <c r="G162" s="37" t="n">
        <v>0.408384396713441</v>
      </c>
      <c r="H162" s="37" t="n">
        <v>0.7222052540757724</v>
      </c>
      <c r="I162" s="37" t="n">
        <v>0.6063146668031706</v>
      </c>
      <c r="J162" s="40" t="inlineStr">
        <is>
          <t>Inviable</t>
        </is>
      </c>
      <c r="K162" s="29" t="n">
        <v>-4.75193491830822</v>
      </c>
      <c r="L162" s="35" t="n">
        <v>-34.38576658834158</v>
      </c>
      <c r="M162" s="36" t="n">
        <v>2600</v>
      </c>
      <c r="N162" s="29" t="n">
        <v>7.5</v>
      </c>
      <c r="O162" s="16" t="inlineStr">
        <is>
          <t>sí</t>
        </is>
      </c>
      <c r="P162" s="16" t="inlineStr">
        <is>
          <t>O2,O3</t>
        </is>
      </c>
    </row>
    <row r="163">
      <c r="A163" s="16" t="inlineStr">
        <is>
          <t>KF-M05-2-0027</t>
        </is>
      </c>
      <c r="B163" s="35" t="n">
        <v>486.7111911759393</v>
      </c>
      <c r="C163" s="35" t="n">
        <v>294.2320983372865</v>
      </c>
      <c r="D163" s="37" t="n">
        <v>0.6164214389587741</v>
      </c>
      <c r="E163" s="37" t="n">
        <v>0.4272851985033796</v>
      </c>
      <c r="F163" s="37" t="n">
        <v>0.813700186119833</v>
      </c>
      <c r="G163" s="37" t="n">
        <v>0.6740866449052365</v>
      </c>
      <c r="H163" s="37" t="n">
        <v>0.4293573403903908</v>
      </c>
      <c r="I163" s="37" t="n">
        <v>0.4020921118206159</v>
      </c>
      <c r="J163" s="40" t="inlineStr">
        <is>
          <t>Inviable</t>
        </is>
      </c>
      <c r="K163" s="29" t="n">
        <v>-22.35561661794386</v>
      </c>
      <c r="L163" s="35" t="n">
        <v>-127.1392721962758</v>
      </c>
      <c r="M163" s="36" t="n">
        <v>2600</v>
      </c>
      <c r="N163" s="29" t="n">
        <v>7.5</v>
      </c>
      <c r="O163" s="16" t="inlineStr">
        <is>
          <t>sí</t>
        </is>
      </c>
      <c r="P163" s="16" t="inlineStr">
        <is>
          <t>O2,O3</t>
        </is>
      </c>
    </row>
    <row r="164">
      <c r="A164" s="16" t="inlineStr">
        <is>
          <t>KF-M05-2-0028</t>
        </is>
      </c>
      <c r="B164" s="35" t="n">
        <v>563.5212635239043</v>
      </c>
      <c r="C164" s="35" t="n">
        <v>294.5058339614647</v>
      </c>
      <c r="D164" s="37" t="n">
        <v>0.6385615971432461</v>
      </c>
      <c r="E164" s="37" t="n">
        <v>0.5024547220031996</v>
      </c>
      <c r="F164" s="37" t="n">
        <v>0.5289817024052167</v>
      </c>
      <c r="G164" s="37" t="n">
        <v>0.6153360492660188</v>
      </c>
      <c r="H164" s="37" t="n">
        <v>0.4724659259588634</v>
      </c>
      <c r="I164" s="37" t="n">
        <v>0.5368019117462053</v>
      </c>
      <c r="J164" s="40" t="inlineStr">
        <is>
          <t>Inviable</t>
        </is>
      </c>
      <c r="K164" s="29" t="n">
        <v>-24.76656627397377</v>
      </c>
      <c r="L164" s="35" t="n">
        <v>-174.3544119246924</v>
      </c>
      <c r="M164" s="36" t="n">
        <v>2600</v>
      </c>
      <c r="N164" s="29" t="n">
        <v>7.5</v>
      </c>
      <c r="O164" s="16" t="inlineStr">
        <is>
          <t>sí</t>
        </is>
      </c>
      <c r="P164" s="16" t="inlineStr">
        <is>
          <t>O2,O3</t>
        </is>
      </c>
    </row>
    <row r="165">
      <c r="A165" s="16" t="inlineStr">
        <is>
          <t>KF-M05-2-0029</t>
        </is>
      </c>
      <c r="B165" s="35" t="n">
        <v>526.0281651855414</v>
      </c>
      <c r="C165" s="35" t="n">
        <v>297.6264415025157</v>
      </c>
      <c r="D165" s="37" t="n">
        <v>0.7136464605186427</v>
      </c>
      <c r="E165" s="37" t="n">
        <v>0.9265282700052364</v>
      </c>
      <c r="F165" s="37" t="n">
        <v>0.4475512809700286</v>
      </c>
      <c r="G165" s="37" t="n">
        <v>0.6343457399151529</v>
      </c>
      <c r="H165" s="37" t="n">
        <v>0.4054290676217217</v>
      </c>
      <c r="I165" s="37" t="n">
        <v>0.8735102188089663</v>
      </c>
      <c r="J165" s="39" t="inlineStr">
        <is>
          <t>Corregible</t>
        </is>
      </c>
      <c r="K165" s="29" t="n">
        <v>0.1530125459603599</v>
      </c>
      <c r="L165" s="35" t="n">
        <v>1.291373370668452</v>
      </c>
      <c r="M165" s="36" t="n">
        <v>2600</v>
      </c>
      <c r="N165" s="29" t="n">
        <v>7.5</v>
      </c>
      <c r="O165" s="16" t="inlineStr">
        <is>
          <t>sí</t>
        </is>
      </c>
      <c r="P165" s="16" t="inlineStr">
        <is>
          <t>O1,O2</t>
        </is>
      </c>
    </row>
    <row r="166">
      <c r="A166" s="16" t="inlineStr">
        <is>
          <t>KF-M05-2-0030</t>
        </is>
      </c>
      <c r="B166" s="35" t="n">
        <v>411.1325486820402</v>
      </c>
      <c r="C166" s="35" t="n">
        <v>283.6634316588716</v>
      </c>
      <c r="D166" s="37" t="n">
        <v>0.7828972570119513</v>
      </c>
      <c r="E166" s="37" t="n">
        <v>0.605483518584345</v>
      </c>
      <c r="F166" s="37" t="n">
        <v>0.4202786529010811</v>
      </c>
      <c r="G166" s="37" t="n">
        <v>0.8971295630543502</v>
      </c>
      <c r="H166" s="37" t="n">
        <v>0.7049619639728182</v>
      </c>
      <c r="I166" s="37" t="n">
        <v>0.9473958119671976</v>
      </c>
      <c r="J166" s="40" t="inlineStr">
        <is>
          <t>Inviable</t>
        </is>
      </c>
      <c r="K166" s="29" t="n">
        <v>-5.26101115746288</v>
      </c>
      <c r="L166" s="35" t="n">
        <v>-37.15411543751244</v>
      </c>
      <c r="M166" s="36" t="n">
        <v>2600</v>
      </c>
      <c r="N166" s="29" t="n">
        <v>7.5</v>
      </c>
      <c r="O166" s="16" t="inlineStr">
        <is>
          <t>no</t>
        </is>
      </c>
      <c r="P166" s="16" t="inlineStr">
        <is>
          <t>O2,O3</t>
        </is>
      </c>
    </row>
    <row r="167">
      <c r="A167" s="16" t="inlineStr">
        <is>
          <t>KF-M05-2-0031</t>
        </is>
      </c>
      <c r="B167" s="35" t="n">
        <v>523.2492948542856</v>
      </c>
      <c r="C167" s="35" t="n">
        <v>299.8653708872739</v>
      </c>
      <c r="D167" s="37" t="n">
        <v>0.7797620110576686</v>
      </c>
      <c r="E167" s="37" t="n">
        <v>0.8090613536881437</v>
      </c>
      <c r="F167" s="37" t="n">
        <v>0.9190576848256664</v>
      </c>
      <c r="G167" s="37" t="n">
        <v>0.8726592136000166</v>
      </c>
      <c r="H167" s="37" t="n">
        <v>0.6085779572646428</v>
      </c>
      <c r="I167" s="37" t="n">
        <v>0.6233347502504811</v>
      </c>
      <c r="J167" s="32" t="inlineStr">
        <is>
          <t>No convergió</t>
        </is>
      </c>
      <c r="K167" s="29" t="inlineStr">
        <is>
          <t>—</t>
        </is>
      </c>
      <c r="L167" s="35" t="inlineStr">
        <is>
          <t>—</t>
        </is>
      </c>
      <c r="M167" s="36" t="n">
        <v>2600</v>
      </c>
      <c r="N167" s="29" t="n">
        <v>7.5</v>
      </c>
      <c r="O167" s="16" t="inlineStr">
        <is>
          <t>no</t>
        </is>
      </c>
      <c r="P167" s="16" t="n"/>
    </row>
    <row r="168">
      <c r="A168" s="16" t="inlineStr">
        <is>
          <t>KF-M05-2-0032</t>
        </is>
      </c>
      <c r="B168" s="35" t="n">
        <v>523.9819856373858</v>
      </c>
      <c r="C168" s="35" t="n">
        <v>303.073838864628</v>
      </c>
      <c r="D168" s="37" t="n">
        <v>0.8028303783147472</v>
      </c>
      <c r="E168" s="37" t="n">
        <v>0.4839732643483121</v>
      </c>
      <c r="F168" s="37" t="n">
        <v>0.5136666783976473</v>
      </c>
      <c r="G168" s="37" t="n">
        <v>0.4152747966848498</v>
      </c>
      <c r="H168" s="37" t="n">
        <v>0.8811402937192701</v>
      </c>
      <c r="I168" s="37" t="n">
        <v>0.898134992690655</v>
      </c>
      <c r="J168" s="40" t="inlineStr">
        <is>
          <t>Inviable</t>
        </is>
      </c>
      <c r="K168" s="29" t="n">
        <v>-72.14981958608585</v>
      </c>
      <c r="L168" s="35" t="n">
        <v>-243.5921139847217</v>
      </c>
      <c r="M168" s="36" t="n">
        <v>2600</v>
      </c>
      <c r="N168" s="29" t="n">
        <v>7.5</v>
      </c>
      <c r="O168" s="16" t="inlineStr">
        <is>
          <t>sí</t>
        </is>
      </c>
      <c r="P168" s="16" t="inlineStr">
        <is>
          <t>O2,O3</t>
        </is>
      </c>
    </row>
    <row r="169">
      <c r="A169" s="16" t="inlineStr">
        <is>
          <t>KF-M05-2-0033</t>
        </is>
      </c>
      <c r="B169" s="35" t="n">
        <v>599.9527840156856</v>
      </c>
      <c r="C169" s="35" t="n">
        <v>282.3730069434163</v>
      </c>
      <c r="D169" s="37" t="n">
        <v>0.5270755204081925</v>
      </c>
      <c r="E169" s="37" t="n">
        <v>0.5616517482834534</v>
      </c>
      <c r="F169" s="37" t="n">
        <v>0.7994756942068988</v>
      </c>
      <c r="G169" s="37" t="n">
        <v>0.935520779583734</v>
      </c>
      <c r="H169" s="37" t="n">
        <v>0.917400519267259</v>
      </c>
      <c r="I169" s="37" t="n">
        <v>0.4084239204529282</v>
      </c>
      <c r="J169" s="32" t="inlineStr">
        <is>
          <t>No convergió</t>
        </is>
      </c>
      <c r="K169" s="29" t="inlineStr">
        <is>
          <t>—</t>
        </is>
      </c>
      <c r="L169" s="35" t="inlineStr">
        <is>
          <t>—</t>
        </is>
      </c>
      <c r="M169" s="36" t="n">
        <v>2600</v>
      </c>
      <c r="N169" s="29" t="n">
        <v>7.5</v>
      </c>
      <c r="O169" s="16" t="inlineStr">
        <is>
          <t>no</t>
        </is>
      </c>
      <c r="P169" s="16" t="n"/>
    </row>
    <row r="170">
      <c r="A170" s="16" t="inlineStr">
        <is>
          <t>KF-M05-2-0034</t>
        </is>
      </c>
      <c r="B170" s="35" t="n">
        <v>465.0466161985507</v>
      </c>
      <c r="C170" s="35" t="n">
        <v>280.4071905012313</v>
      </c>
      <c r="D170" s="37" t="n">
        <v>0.5999081214373181</v>
      </c>
      <c r="E170" s="37" t="n">
        <v>0.7486780211473403</v>
      </c>
      <c r="F170" s="37" t="n">
        <v>0.7840870885193525</v>
      </c>
      <c r="G170" s="37" t="n">
        <v>0.6972570929044539</v>
      </c>
      <c r="H170" s="37" t="n">
        <v>0.6822798940326197</v>
      </c>
      <c r="I170" s="37" t="n">
        <v>0.6666901655241541</v>
      </c>
      <c r="J170" s="39" t="inlineStr">
        <is>
          <t>Corregible</t>
        </is>
      </c>
      <c r="K170" s="29" t="n">
        <v>9.775113209292147</v>
      </c>
      <c r="L170" s="35" t="n">
        <v>111.304877283075</v>
      </c>
      <c r="M170" s="36" t="n">
        <v>2600</v>
      </c>
      <c r="N170" s="29" t="n">
        <v>7.5</v>
      </c>
      <c r="O170" s="16" t="inlineStr">
        <is>
          <t>sí</t>
        </is>
      </c>
      <c r="P170" s="16" t="inlineStr">
        <is>
          <t>O2</t>
        </is>
      </c>
    </row>
    <row r="171">
      <c r="A171" s="16" t="inlineStr">
        <is>
          <t>KF-M05-2-0035</t>
        </is>
      </c>
      <c r="B171" s="35" t="n">
        <v>593.774762345382</v>
      </c>
      <c r="C171" s="35" t="n">
        <v>291.6753241316979</v>
      </c>
      <c r="D171" s="37" t="n">
        <v>0.6729567443563693</v>
      </c>
      <c r="E171" s="37" t="n">
        <v>0.5116876433255469</v>
      </c>
      <c r="F171" s="37" t="n">
        <v>0.4565068698830595</v>
      </c>
      <c r="G171" s="37" t="n">
        <v>0.65909666460572</v>
      </c>
      <c r="H171" s="37" t="n">
        <v>0.5875344439617148</v>
      </c>
      <c r="I171" s="37" t="n">
        <v>0.4652971795815063</v>
      </c>
      <c r="J171" s="32" t="inlineStr">
        <is>
          <t>No convergió</t>
        </is>
      </c>
      <c r="K171" s="29" t="inlineStr">
        <is>
          <t>—</t>
        </is>
      </c>
      <c r="L171" s="35" t="inlineStr">
        <is>
          <t>—</t>
        </is>
      </c>
      <c r="M171" s="36" t="n">
        <v>2600</v>
      </c>
      <c r="N171" s="29" t="n">
        <v>7.5</v>
      </c>
      <c r="O171" s="16" t="inlineStr">
        <is>
          <t>no</t>
        </is>
      </c>
      <c r="P171" s="16" t="n"/>
    </row>
    <row r="172">
      <c r="A172" s="16" t="inlineStr">
        <is>
          <t>KF-M05-2-0036</t>
        </is>
      </c>
      <c r="B172" s="35" t="n">
        <v>394.8340123475605</v>
      </c>
      <c r="C172" s="35" t="n">
        <v>286.0970552430602</v>
      </c>
      <c r="D172" s="37" t="n">
        <v>0.8335190713880336</v>
      </c>
      <c r="E172" s="37" t="n">
        <v>0.7414552196825719</v>
      </c>
      <c r="F172" s="37" t="n">
        <v>0.526965379828873</v>
      </c>
      <c r="G172" s="37" t="n">
        <v>0.8545424742224403</v>
      </c>
      <c r="H172" s="37" t="n">
        <v>0.8848468230590762</v>
      </c>
      <c r="I172" s="37" t="n">
        <v>0.7929178088199577</v>
      </c>
      <c r="J172" s="40" t="inlineStr">
        <is>
          <t>Inviable</t>
        </is>
      </c>
      <c r="K172" s="29" t="n">
        <v>-69.83820742356029</v>
      </c>
      <c r="L172" s="35" t="n">
        <v>-139.8590139727917</v>
      </c>
      <c r="M172" s="36" t="n">
        <v>2600</v>
      </c>
      <c r="N172" s="29" t="n">
        <v>7.5</v>
      </c>
      <c r="O172" s="16" t="inlineStr">
        <is>
          <t>no</t>
        </is>
      </c>
      <c r="P172" s="16" t="inlineStr">
        <is>
          <t>O2,O3</t>
        </is>
      </c>
    </row>
    <row r="173">
      <c r="A173" s="16" t="inlineStr">
        <is>
          <t>KF-M05-2-0037</t>
        </is>
      </c>
      <c r="B173" s="35" t="n">
        <v>393.4366302288373</v>
      </c>
      <c r="C173" s="35" t="n">
        <v>301.955554672043</v>
      </c>
      <c r="D173" s="37" t="n">
        <v>0.7198618384811306</v>
      </c>
      <c r="E173" s="37" t="n">
        <v>0.7785682163804841</v>
      </c>
      <c r="F173" s="37" t="n">
        <v>0.8241558754453981</v>
      </c>
      <c r="G173" s="37" t="n">
        <v>0.4503012769766843</v>
      </c>
      <c r="H173" s="37" t="n">
        <v>0.8974407559516473</v>
      </c>
      <c r="I173" s="37" t="n">
        <v>0.5407683047768254</v>
      </c>
      <c r="J173" s="40" t="inlineStr">
        <is>
          <t>Inviable</t>
        </is>
      </c>
      <c r="K173" s="29" t="n">
        <v>-94.85572609681482</v>
      </c>
      <c r="L173" s="35" t="n">
        <v>-64.2354311776121</v>
      </c>
      <c r="M173" s="36" t="n">
        <v>2600</v>
      </c>
      <c r="N173" s="29" t="n">
        <v>7.5</v>
      </c>
      <c r="O173" s="16" t="inlineStr">
        <is>
          <t>no</t>
        </is>
      </c>
      <c r="P173" s="16" t="inlineStr">
        <is>
          <t>O2,O3</t>
        </is>
      </c>
    </row>
    <row r="174">
      <c r="A174" s="16" t="inlineStr">
        <is>
          <t>KF-M05-2-0038</t>
        </is>
      </c>
      <c r="B174" s="35" t="n">
        <v>399.0462214346294</v>
      </c>
      <c r="C174" s="35" t="n">
        <v>284.9936592659172</v>
      </c>
      <c r="D174" s="37" t="n">
        <v>0.8139784989729243</v>
      </c>
      <c r="E174" s="37" t="n">
        <v>0.8875509897392295</v>
      </c>
      <c r="F174" s="37" t="n">
        <v>0.9470970806795058</v>
      </c>
      <c r="G174" s="37" t="n">
        <v>0.7048297315688576</v>
      </c>
      <c r="H174" s="37" t="n">
        <v>0.5521945022979988</v>
      </c>
      <c r="I174" s="37" t="n">
        <v>0.78217533477419</v>
      </c>
      <c r="J174" s="39" t="inlineStr">
        <is>
          <t>Corregible</t>
        </is>
      </c>
      <c r="K174" s="29" t="n">
        <v>8.710959597664999</v>
      </c>
      <c r="L174" s="35" t="n">
        <v>31.62068619575393</v>
      </c>
      <c r="M174" s="36" t="n">
        <v>2600</v>
      </c>
      <c r="N174" s="29" t="n">
        <v>7.5</v>
      </c>
      <c r="O174" s="16" t="inlineStr">
        <is>
          <t>no</t>
        </is>
      </c>
      <c r="P174" s="16" t="inlineStr">
        <is>
          <t>O2</t>
        </is>
      </c>
    </row>
    <row r="175">
      <c r="A175" s="16" t="inlineStr">
        <is>
          <t>KF-M05-2-0039</t>
        </is>
      </c>
      <c r="B175" s="35" t="n">
        <v>439.7530337308098</v>
      </c>
      <c r="C175" s="35" t="n">
        <v>294.4182695829593</v>
      </c>
      <c r="D175" s="37" t="n">
        <v>0.840222735391804</v>
      </c>
      <c r="E175" s="37" t="n">
        <v>0.6974919367560674</v>
      </c>
      <c r="F175" s="37" t="n">
        <v>0.4285794275774423</v>
      </c>
      <c r="G175" s="37" t="n">
        <v>0.477853691649101</v>
      </c>
      <c r="H175" s="37" t="n">
        <v>0.5143325011056097</v>
      </c>
      <c r="I175" s="37" t="n">
        <v>0.8251139266681977</v>
      </c>
      <c r="J175" s="40" t="inlineStr">
        <is>
          <t>Inviable</t>
        </is>
      </c>
      <c r="K175" s="29" t="n">
        <v>-143.9299828300187</v>
      </c>
      <c r="L175" s="35" t="n">
        <v>-280.4024350283078</v>
      </c>
      <c r="M175" s="36" t="n">
        <v>2600</v>
      </c>
      <c r="N175" s="29" t="n">
        <v>7.5</v>
      </c>
      <c r="O175" s="16" t="inlineStr">
        <is>
          <t>no</t>
        </is>
      </c>
      <c r="P175" s="16" t="inlineStr">
        <is>
          <t>O2,O3</t>
        </is>
      </c>
    </row>
    <row r="176">
      <c r="A176" s="16" t="inlineStr">
        <is>
          <t>KF-M05-2-0040</t>
        </is>
      </c>
      <c r="B176" s="35" t="n">
        <v>391.1583467854279</v>
      </c>
      <c r="C176" s="35" t="n">
        <v>278.9689863642537</v>
      </c>
      <c r="D176" s="37" t="n">
        <v>0.7070395025211916</v>
      </c>
      <c r="E176" s="37" t="n">
        <v>0.7258210146054918</v>
      </c>
      <c r="F176" s="37" t="n">
        <v>0.4442240194579601</v>
      </c>
      <c r="G176" s="37" t="n">
        <v>0.498763574317744</v>
      </c>
      <c r="H176" s="37" t="n">
        <v>0.5222797516795304</v>
      </c>
      <c r="I176" s="37" t="n">
        <v>0.9234495166426124</v>
      </c>
      <c r="J176" s="39" t="inlineStr">
        <is>
          <t>Corregible</t>
        </is>
      </c>
      <c r="K176" s="29" t="n">
        <v>7.033725083775611</v>
      </c>
      <c r="L176" s="35" t="n">
        <v>30.02694811850776</v>
      </c>
      <c r="M176" s="36" t="n">
        <v>2600</v>
      </c>
      <c r="N176" s="29" t="n">
        <v>7.5</v>
      </c>
      <c r="O176" s="16" t="inlineStr">
        <is>
          <t>no</t>
        </is>
      </c>
      <c r="P176" s="16" t="inlineStr">
        <is>
          <t>O2</t>
        </is>
      </c>
    </row>
    <row r="177">
      <c r="A177" s="16" t="inlineStr">
        <is>
          <t>KF-M05-2-0041</t>
        </is>
      </c>
      <c r="B177" s="35" t="n">
        <v>619.4998833711434</v>
      </c>
      <c r="C177" s="35" t="n">
        <v>288.0572063395336</v>
      </c>
      <c r="D177" s="37" t="n">
        <v>0.5355129496544464</v>
      </c>
      <c r="E177" s="37" t="n">
        <v>0.6778975749088634</v>
      </c>
      <c r="F177" s="37" t="n">
        <v>0.6894666580529361</v>
      </c>
      <c r="G177" s="37" t="n">
        <v>0.6317162222093903</v>
      </c>
      <c r="H177" s="37" t="n">
        <v>0.558417777190975</v>
      </c>
      <c r="I177" s="37" t="n">
        <v>0.6018146027728906</v>
      </c>
      <c r="J177" s="39" t="inlineStr">
        <is>
          <t>Corregible</t>
        </is>
      </c>
      <c r="K177" s="29" t="n">
        <v>4.67893650855087</v>
      </c>
      <c r="L177" s="35" t="n">
        <v>54.40506856729306</v>
      </c>
      <c r="M177" s="36" t="n">
        <v>2600</v>
      </c>
      <c r="N177" s="29" t="n">
        <v>7.5</v>
      </c>
      <c r="O177" s="16" t="inlineStr">
        <is>
          <t>sí</t>
        </is>
      </c>
      <c r="P177" s="16" t="inlineStr">
        <is>
          <t>O2</t>
        </is>
      </c>
    </row>
    <row r="178">
      <c r="A178" s="16" t="inlineStr">
        <is>
          <t>KF-M05-2-0042</t>
        </is>
      </c>
      <c r="B178" s="35" t="n">
        <v>512.389703939753</v>
      </c>
      <c r="C178" s="35" t="n">
        <v>281.450721960494</v>
      </c>
      <c r="D178" s="37" t="n">
        <v>0.5051951118776499</v>
      </c>
      <c r="E178" s="37" t="n">
        <v>0.4327083939002689</v>
      </c>
      <c r="F178" s="37" t="n">
        <v>0.5853408730897249</v>
      </c>
      <c r="G178" s="37" t="n">
        <v>0.6669119404912309</v>
      </c>
      <c r="H178" s="37" t="n">
        <v>0.93945406048707</v>
      </c>
      <c r="I178" s="37" t="n">
        <v>0.4970563745537245</v>
      </c>
      <c r="J178" s="40" t="inlineStr">
        <is>
          <t>Inviable</t>
        </is>
      </c>
      <c r="K178" s="29" t="n">
        <v>-12.78574052308127</v>
      </c>
      <c r="L178" s="35" t="n">
        <v>-109.6887964251551</v>
      </c>
      <c r="M178" s="36" t="n">
        <v>2600</v>
      </c>
      <c r="N178" s="29" t="n">
        <v>7.5</v>
      </c>
      <c r="O178" s="16" t="inlineStr">
        <is>
          <t>sí</t>
        </is>
      </c>
      <c r="P178" s="16" t="inlineStr">
        <is>
          <t>O2,O3</t>
        </is>
      </c>
    </row>
    <row r="179">
      <c r="A179" s="16" t="inlineStr">
        <is>
          <t>KF-M05-2-0043</t>
        </is>
      </c>
      <c r="B179" s="35" t="n">
        <v>575.4662650745547</v>
      </c>
      <c r="C179" s="35" t="n">
        <v>292.2053914736077</v>
      </c>
      <c r="D179" s="37" t="n">
        <v>0.6710074648973734</v>
      </c>
      <c r="E179" s="37" t="n">
        <v>0.7019455881353909</v>
      </c>
      <c r="F179" s="37" t="n">
        <v>0.8689609937693217</v>
      </c>
      <c r="G179" s="37" t="n">
        <v>0.6013068264609468</v>
      </c>
      <c r="H179" s="37" t="n">
        <v>0.7987674598858379</v>
      </c>
      <c r="I179" s="37" t="n">
        <v>0.6177204112197781</v>
      </c>
      <c r="J179" s="39" t="inlineStr">
        <is>
          <t>Corregible</t>
        </is>
      </c>
      <c r="K179" s="29" t="n">
        <v>5.07476456521316</v>
      </c>
      <c r="L179" s="35" t="n">
        <v>45.12529647832497</v>
      </c>
      <c r="M179" s="36" t="n">
        <v>2600</v>
      </c>
      <c r="N179" s="29" t="n">
        <v>7.5</v>
      </c>
      <c r="O179" s="16" t="inlineStr">
        <is>
          <t>sí</t>
        </is>
      </c>
      <c r="P179" s="16" t="inlineStr">
        <is>
          <t>O2</t>
        </is>
      </c>
    </row>
    <row r="180">
      <c r="A180" s="16" t="inlineStr">
        <is>
          <t>KF-M05-2-0044</t>
        </is>
      </c>
      <c r="B180" s="35" t="n">
        <v>518.0648900131556</v>
      </c>
      <c r="C180" s="35" t="n">
        <v>289.1763338139441</v>
      </c>
      <c r="D180" s="37" t="n">
        <v>0.8103126607505368</v>
      </c>
      <c r="E180" s="37" t="n">
        <v>0.8775230873650472</v>
      </c>
      <c r="F180" s="37" t="n">
        <v>0.8627698461220829</v>
      </c>
      <c r="G180" s="37" t="n">
        <v>0.5016858963674162</v>
      </c>
      <c r="H180" s="37" t="n">
        <v>0.6442030399307261</v>
      </c>
      <c r="I180" s="37" t="n">
        <v>0.4534120060065346</v>
      </c>
      <c r="J180" s="32" t="inlineStr">
        <is>
          <t>No convergió</t>
        </is>
      </c>
      <c r="K180" s="29" t="inlineStr">
        <is>
          <t>—</t>
        </is>
      </c>
      <c r="L180" s="35" t="inlineStr">
        <is>
          <t>—</t>
        </is>
      </c>
      <c r="M180" s="36" t="n">
        <v>2600</v>
      </c>
      <c r="N180" s="29" t="n">
        <v>7.5</v>
      </c>
      <c r="O180" s="16" t="inlineStr">
        <is>
          <t>no</t>
        </is>
      </c>
      <c r="P180" s="16" t="n"/>
    </row>
    <row r="181">
      <c r="A181" s="16" t="inlineStr">
        <is>
          <t>KF-M05-2-0045</t>
        </is>
      </c>
      <c r="B181" s="35" t="n">
        <v>548.8695892001465</v>
      </c>
      <c r="C181" s="35" t="n">
        <v>291.2364852846515</v>
      </c>
      <c r="D181" s="37" t="n">
        <v>0.8470381900572979</v>
      </c>
      <c r="E181" s="37" t="n">
        <v>0.7142270913301298</v>
      </c>
      <c r="F181" s="37" t="n">
        <v>0.6460128509632947</v>
      </c>
      <c r="G181" s="37" t="n">
        <v>0.5875200361409658</v>
      </c>
      <c r="H181" s="37" t="n">
        <v>0.8670976811019917</v>
      </c>
      <c r="I181" s="37" t="n">
        <v>0.6654301069636446</v>
      </c>
      <c r="J181" s="32" t="inlineStr">
        <is>
          <t>No convergió</t>
        </is>
      </c>
      <c r="K181" s="29" t="inlineStr">
        <is>
          <t>—</t>
        </is>
      </c>
      <c r="L181" s="35" t="inlineStr">
        <is>
          <t>—</t>
        </is>
      </c>
      <c r="M181" s="36" t="n">
        <v>2600</v>
      </c>
      <c r="N181" s="29" t="n">
        <v>7.5</v>
      </c>
      <c r="O181" s="16" t="inlineStr">
        <is>
          <t>no</t>
        </is>
      </c>
      <c r="P181" s="16" t="n"/>
    </row>
    <row r="182">
      <c r="A182" s="16" t="inlineStr">
        <is>
          <t>KF-M05-2-0046</t>
        </is>
      </c>
      <c r="B182" s="35" t="n">
        <v>495.2474540700351</v>
      </c>
      <c r="C182" s="35" t="n">
        <v>278.5823987593267</v>
      </c>
      <c r="D182" s="37" t="n">
        <v>0.8244583404753234</v>
      </c>
      <c r="E182" s="37" t="n">
        <v>0.5191616768159122</v>
      </c>
      <c r="F182" s="37" t="n">
        <v>0.6031163681846836</v>
      </c>
      <c r="G182" s="37" t="n">
        <v>0.4365857583703624</v>
      </c>
      <c r="H182" s="37" t="n">
        <v>0.9419616783174602</v>
      </c>
      <c r="I182" s="37" t="n">
        <v>0.7593052186726928</v>
      </c>
      <c r="J182" s="40" t="inlineStr">
        <is>
          <t>Inviable</t>
        </is>
      </c>
      <c r="K182" s="29" t="n">
        <v>-4.53868250427903</v>
      </c>
      <c r="L182" s="35" t="n">
        <v>-27.63184521075623</v>
      </c>
      <c r="M182" s="36" t="n">
        <v>2600</v>
      </c>
      <c r="N182" s="29" t="n">
        <v>7.5</v>
      </c>
      <c r="O182" s="16" t="inlineStr">
        <is>
          <t>no</t>
        </is>
      </c>
      <c r="P182" s="16" t="inlineStr">
        <is>
          <t>O2,O3</t>
        </is>
      </c>
    </row>
    <row r="183">
      <c r="A183" s="16" t="inlineStr">
        <is>
          <t>KF-M05-2-0047</t>
        </is>
      </c>
      <c r="B183" s="35" t="n">
        <v>420.4574351758528</v>
      </c>
      <c r="C183" s="35" t="n">
        <v>297.8675087047729</v>
      </c>
      <c r="D183" s="37" t="n">
        <v>0.7634111124245543</v>
      </c>
      <c r="E183" s="37" t="n">
        <v>0.7861563287243245</v>
      </c>
      <c r="F183" s="37" t="n">
        <v>0.8506018928013692</v>
      </c>
      <c r="G183" s="37" t="n">
        <v>0.7389917769713875</v>
      </c>
      <c r="H183" s="37" t="n">
        <v>0.6686700408523059</v>
      </c>
      <c r="I183" s="37" t="n">
        <v>0.448228979378235</v>
      </c>
      <c r="J183" s="40" t="inlineStr">
        <is>
          <t>Inviable</t>
        </is>
      </c>
      <c r="K183" s="29" t="n">
        <v>-26.04026724697985</v>
      </c>
      <c r="L183" s="35" t="n">
        <v>-52.75741503542957</v>
      </c>
      <c r="M183" s="36" t="n">
        <v>2600</v>
      </c>
      <c r="N183" s="29" t="n">
        <v>7.5</v>
      </c>
      <c r="O183" s="16" t="inlineStr">
        <is>
          <t>no</t>
        </is>
      </c>
      <c r="P183" s="16" t="inlineStr">
        <is>
          <t>O2,O3</t>
        </is>
      </c>
    </row>
    <row r="184">
      <c r="A184" s="16" t="inlineStr">
        <is>
          <t>KF-M05-2-0048</t>
        </is>
      </c>
      <c r="B184" s="35" t="n">
        <v>425.8921247946818</v>
      </c>
      <c r="C184" s="35" t="n">
        <v>293.1273738097779</v>
      </c>
      <c r="D184" s="37" t="n">
        <v>0.7291431856765423</v>
      </c>
      <c r="E184" s="37" t="n">
        <v>0.5506074904829745</v>
      </c>
      <c r="F184" s="37" t="n">
        <v>0.4797894783517225</v>
      </c>
      <c r="G184" s="37" t="n">
        <v>0.8797529446704145</v>
      </c>
      <c r="H184" s="37" t="n">
        <v>0.8877729231586554</v>
      </c>
      <c r="I184" s="37" t="n">
        <v>0.4348180927994255</v>
      </c>
      <c r="J184" s="40" t="inlineStr">
        <is>
          <t>Inviable</t>
        </is>
      </c>
      <c r="K184" s="29" t="n">
        <v>-240.6475134228213</v>
      </c>
      <c r="L184" s="35" t="n">
        <v>-279.2800875559175</v>
      </c>
      <c r="M184" s="36" t="n">
        <v>2600</v>
      </c>
      <c r="N184" s="29" t="n">
        <v>7.5</v>
      </c>
      <c r="O184" s="16" t="inlineStr">
        <is>
          <t>sí</t>
        </is>
      </c>
      <c r="P184" s="16" t="inlineStr">
        <is>
          <t>O2,O3</t>
        </is>
      </c>
    </row>
    <row r="185">
      <c r="A185" s="16" t="inlineStr">
        <is>
          <t>KF-M05-2-0049</t>
        </is>
      </c>
      <c r="B185" s="35" t="n">
        <v>566.4431006350046</v>
      </c>
      <c r="C185" s="35" t="n">
        <v>299.3844791562962</v>
      </c>
      <c r="D185" s="37" t="n">
        <v>0.5464024529536566</v>
      </c>
      <c r="E185" s="37" t="n">
        <v>0.6436181546731927</v>
      </c>
      <c r="F185" s="37" t="n">
        <v>0.6986289801001928</v>
      </c>
      <c r="G185" s="37" t="n">
        <v>0.7442393187695648</v>
      </c>
      <c r="H185" s="37" t="n">
        <v>0.7821148719198321</v>
      </c>
      <c r="I185" s="37" t="n">
        <v>0.7041446938829864</v>
      </c>
      <c r="J185" s="39" t="inlineStr">
        <is>
          <t>Corregible</t>
        </is>
      </c>
      <c r="K185" s="29" t="n">
        <v>6.1689694492702</v>
      </c>
      <c r="L185" s="35" t="n">
        <v>84.1365809945577</v>
      </c>
      <c r="M185" s="36" t="n">
        <v>2600</v>
      </c>
      <c r="N185" s="29" t="n">
        <v>7.5</v>
      </c>
      <c r="O185" s="16" t="inlineStr">
        <is>
          <t>sí</t>
        </is>
      </c>
      <c r="P185" s="16" t="inlineStr">
        <is>
          <t>O2</t>
        </is>
      </c>
    </row>
    <row r="186">
      <c r="A186" s="16" t="inlineStr">
        <is>
          <t>KF-M05-2-0050</t>
        </is>
      </c>
      <c r="B186" s="35" t="n">
        <v>415.0206847446809</v>
      </c>
      <c r="C186" s="35" t="n">
        <v>299.1662311613478</v>
      </c>
      <c r="D186" s="37" t="n">
        <v>0.7667197775961496</v>
      </c>
      <c r="E186" s="37" t="n">
        <v>0.5967476927538113</v>
      </c>
      <c r="F186" s="37" t="n">
        <v>0.6205909670209724</v>
      </c>
      <c r="G186" s="37" t="n">
        <v>0.9170460133816321</v>
      </c>
      <c r="H186" s="37" t="n">
        <v>0.7682985091447635</v>
      </c>
      <c r="I186" s="37" t="n">
        <v>0.6775562633296344</v>
      </c>
      <c r="J186" s="40" t="inlineStr">
        <is>
          <t>Inviable</t>
        </is>
      </c>
      <c r="K186" s="29" t="n">
        <v>-68.80361493256211</v>
      </c>
      <c r="L186" s="35" t="n">
        <v>-153.9740373671771</v>
      </c>
      <c r="M186" s="36" t="n">
        <v>2600</v>
      </c>
      <c r="N186" s="29" t="n">
        <v>7.5</v>
      </c>
      <c r="O186" s="16" t="inlineStr">
        <is>
          <t>no</t>
        </is>
      </c>
      <c r="P186" s="16" t="inlineStr">
        <is>
          <t>O2,O3</t>
        </is>
      </c>
    </row>
    <row r="187">
      <c r="A187" s="16" t="inlineStr">
        <is>
          <t>KF-M05-2-0051</t>
        </is>
      </c>
      <c r="B187" s="35" t="n">
        <v>554.810872548677</v>
      </c>
      <c r="C187" s="35" t="n">
        <v>300.6800890250971</v>
      </c>
      <c r="D187" s="37" t="n">
        <v>0.7524655074163449</v>
      </c>
      <c r="E187" s="37" t="n">
        <v>0.7986118774259657</v>
      </c>
      <c r="F187" s="37" t="n">
        <v>0.6367446053201002</v>
      </c>
      <c r="G187" s="37" t="n">
        <v>0.8823381868014029</v>
      </c>
      <c r="H187" s="37" t="n">
        <v>0.5332507023205755</v>
      </c>
      <c r="I187" s="37" t="n">
        <v>0.736332026573264</v>
      </c>
      <c r="J187" s="32" t="inlineStr">
        <is>
          <t>No convergió</t>
        </is>
      </c>
      <c r="K187" s="29" t="inlineStr">
        <is>
          <t>—</t>
        </is>
      </c>
      <c r="L187" s="35" t="inlineStr">
        <is>
          <t>—</t>
        </is>
      </c>
      <c r="M187" s="36" t="n">
        <v>2600</v>
      </c>
      <c r="N187" s="29" t="n">
        <v>7.5</v>
      </c>
      <c r="O187" s="16" t="inlineStr">
        <is>
          <t>no</t>
        </is>
      </c>
      <c r="P187" s="16" t="n"/>
    </row>
    <row r="188">
      <c r="A188" s="16" t="inlineStr">
        <is>
          <t>KF-M05-2-0052</t>
        </is>
      </c>
      <c r="B188" s="35" t="n">
        <v>621.7738417497867</v>
      </c>
      <c r="C188" s="35" t="n">
        <v>290.4361523334052</v>
      </c>
      <c r="D188" s="37" t="n">
        <v>0.6137377198285355</v>
      </c>
      <c r="E188" s="37" t="n">
        <v>0.583488404254933</v>
      </c>
      <c r="F188" s="37" t="n">
        <v>0.8448735604887079</v>
      </c>
      <c r="G188" s="37" t="n">
        <v>0.721438176373554</v>
      </c>
      <c r="H188" s="37" t="n">
        <v>0.9326656694786556</v>
      </c>
      <c r="I188" s="37" t="n">
        <v>0.6306901402692517</v>
      </c>
      <c r="J188" s="39" t="inlineStr">
        <is>
          <t>Corregible</t>
        </is>
      </c>
      <c r="K188" s="29" t="n">
        <v>4.44758821751849</v>
      </c>
      <c r="L188" s="35" t="n">
        <v>57.0182731499859</v>
      </c>
      <c r="M188" s="36" t="n">
        <v>2600</v>
      </c>
      <c r="N188" s="29" t="n">
        <v>7.5</v>
      </c>
      <c r="O188" s="16" t="inlineStr">
        <is>
          <t>sí</t>
        </is>
      </c>
      <c r="P188" s="16" t="inlineStr">
        <is>
          <t>O2</t>
        </is>
      </c>
    </row>
    <row r="189">
      <c r="A189" s="16" t="inlineStr">
        <is>
          <t>KF-M05-2-0053</t>
        </is>
      </c>
      <c r="B189" s="35" t="n">
        <v>502.2192735380241</v>
      </c>
      <c r="C189" s="35" t="n">
        <v>289.6555377927746</v>
      </c>
      <c r="D189" s="37" t="n">
        <v>0.5063285766798503</v>
      </c>
      <c r="E189" s="37" t="n">
        <v>0.8704721746866141</v>
      </c>
      <c r="F189" s="37" t="n">
        <v>0.6828946038261068</v>
      </c>
      <c r="G189" s="37" t="n">
        <v>0.8141670595277271</v>
      </c>
      <c r="H189" s="37" t="n">
        <v>0.797752572691779</v>
      </c>
      <c r="I189" s="37" t="n">
        <v>0.4268063168717544</v>
      </c>
      <c r="J189" s="39" t="inlineStr">
        <is>
          <t>Corregible</t>
        </is>
      </c>
      <c r="K189" s="29" t="n">
        <v>3.95367952417207</v>
      </c>
      <c r="L189" s="35" t="n">
        <v>34.51509186491421</v>
      </c>
      <c r="M189" s="36" t="n">
        <v>2600</v>
      </c>
      <c r="N189" s="29" t="n">
        <v>7.5</v>
      </c>
      <c r="O189" s="16" t="inlineStr">
        <is>
          <t>sí</t>
        </is>
      </c>
      <c r="P189" s="16" t="inlineStr">
        <is>
          <t>O1,O2</t>
        </is>
      </c>
    </row>
    <row r="190">
      <c r="A190" s="16" t="inlineStr">
        <is>
          <t>KF-M05-2-0054</t>
        </is>
      </c>
      <c r="B190" s="35" t="n">
        <v>489.4141679495017</v>
      </c>
      <c r="C190" s="35" t="n">
        <v>280.9654918689756</v>
      </c>
      <c r="D190" s="37" t="n">
        <v>0.5908528946087365</v>
      </c>
      <c r="E190" s="37" t="n">
        <v>0.4118285937979145</v>
      </c>
      <c r="F190" s="37" t="n">
        <v>0.565366005716792</v>
      </c>
      <c r="G190" s="37" t="n">
        <v>0.488193597343202</v>
      </c>
      <c r="H190" s="37" t="n">
        <v>0.5699113557102671</v>
      </c>
      <c r="I190" s="37" t="n">
        <v>0.5523461429246034</v>
      </c>
      <c r="J190" s="40" t="inlineStr">
        <is>
          <t>Inviable</t>
        </is>
      </c>
      <c r="K190" s="29" t="n">
        <v>-9.992168370512749</v>
      </c>
      <c r="L190" s="35" t="n">
        <v>-73.25827664621048</v>
      </c>
      <c r="M190" s="36" t="n">
        <v>2600</v>
      </c>
      <c r="N190" s="29" t="n">
        <v>7.5</v>
      </c>
      <c r="O190" s="16" t="inlineStr">
        <is>
          <t>sí</t>
        </is>
      </c>
      <c r="P190" s="16" t="inlineStr">
        <is>
          <t>O2,O3</t>
        </is>
      </c>
    </row>
    <row r="191">
      <c r="A191" s="16" t="inlineStr">
        <is>
          <t>KF-M05-2-0055</t>
        </is>
      </c>
      <c r="B191" s="35" t="n">
        <v>510.8444477059914</v>
      </c>
      <c r="C191" s="35" t="n">
        <v>281.1337428768068</v>
      </c>
      <c r="D191" s="37" t="n">
        <v>0.7313970166443975</v>
      </c>
      <c r="E191" s="37" t="n">
        <v>0.8653853487879313</v>
      </c>
      <c r="F191" s="37" t="n">
        <v>0.4527691405371999</v>
      </c>
      <c r="G191" s="37" t="n">
        <v>0.4693326132912527</v>
      </c>
      <c r="H191" s="37" t="n">
        <v>0.6141397393462281</v>
      </c>
      <c r="I191" s="37" t="n">
        <v>0.510411350468826</v>
      </c>
      <c r="J191" s="40" t="inlineStr">
        <is>
          <t>Inviable</t>
        </is>
      </c>
      <c r="K191" s="29" t="n">
        <v>-6.05465670478321</v>
      </c>
      <c r="L191" s="35" t="n">
        <v>-37.30229783778918</v>
      </c>
      <c r="M191" s="36" t="n">
        <v>2600</v>
      </c>
      <c r="N191" s="29" t="n">
        <v>7.5</v>
      </c>
      <c r="O191" s="16" t="inlineStr">
        <is>
          <t>sí</t>
        </is>
      </c>
      <c r="P191" s="16" t="inlineStr">
        <is>
          <t>O2,O3</t>
        </is>
      </c>
    </row>
    <row r="192">
      <c r="A192" s="16" t="inlineStr">
        <is>
          <t>KF-M05-2-0056</t>
        </is>
      </c>
      <c r="B192" s="35" t="n">
        <v>531.9871489560807</v>
      </c>
      <c r="C192" s="35" t="n">
        <v>302.1241415012385</v>
      </c>
      <c r="D192" s="37" t="n">
        <v>0.6023347032038878</v>
      </c>
      <c r="E192" s="37" t="n">
        <v>0.463242905922096</v>
      </c>
      <c r="F192" s="37" t="n">
        <v>0.4010331250497644</v>
      </c>
      <c r="G192" s="37" t="n">
        <v>0.580363135766835</v>
      </c>
      <c r="H192" s="37" t="n">
        <v>0.6620544294297005</v>
      </c>
      <c r="I192" s="37" t="n">
        <v>0.4594105827690198</v>
      </c>
      <c r="J192" s="32" t="inlineStr">
        <is>
          <t>No convergió</t>
        </is>
      </c>
      <c r="K192" s="29" t="inlineStr">
        <is>
          <t>—</t>
        </is>
      </c>
      <c r="L192" s="35" t="inlineStr">
        <is>
          <t>—</t>
        </is>
      </c>
      <c r="M192" s="36" t="n">
        <v>2600</v>
      </c>
      <c r="N192" s="29" t="n">
        <v>7.5</v>
      </c>
      <c r="O192" s="16" t="inlineStr">
        <is>
          <t>no</t>
        </is>
      </c>
      <c r="P192" s="16" t="n"/>
    </row>
    <row r="193">
      <c r="A193" s="16" t="inlineStr">
        <is>
          <t>KF-M05-2-0057</t>
        </is>
      </c>
      <c r="B193" s="35" t="n">
        <v>541.3681171659661</v>
      </c>
      <c r="C193" s="35" t="n">
        <v>281.558340798768</v>
      </c>
      <c r="D193" s="37" t="n">
        <v>0.5728017960070007</v>
      </c>
      <c r="E193" s="37" t="n">
        <v>0.5820065045339732</v>
      </c>
      <c r="F193" s="37" t="n">
        <v>0.8879272425786228</v>
      </c>
      <c r="G193" s="37" t="n">
        <v>0.8180161375042876</v>
      </c>
      <c r="H193" s="37" t="n">
        <v>0.5994099598914684</v>
      </c>
      <c r="I193" s="37" t="n">
        <v>0.8069324251655375</v>
      </c>
      <c r="J193" s="39" t="inlineStr">
        <is>
          <t>Corregible</t>
        </is>
      </c>
      <c r="K193" s="29" t="n">
        <v>8.739497231505521</v>
      </c>
      <c r="L193" s="35" t="n">
        <v>149.7113095974929</v>
      </c>
      <c r="M193" s="36" t="n">
        <v>2600</v>
      </c>
      <c r="N193" s="29" t="n">
        <v>7.5</v>
      </c>
      <c r="O193" s="16" t="inlineStr">
        <is>
          <t>sí</t>
        </is>
      </c>
      <c r="P193" s="16" t="inlineStr">
        <is>
          <t>O2</t>
        </is>
      </c>
    </row>
    <row r="194">
      <c r="A194" s="16" t="inlineStr">
        <is>
          <t>KF-M05-2-0058</t>
        </is>
      </c>
      <c r="B194" s="35" t="n">
        <v>466.5795601423641</v>
      </c>
      <c r="C194" s="35" t="n">
        <v>287.104900114108</v>
      </c>
      <c r="D194" s="37" t="n">
        <v>0.5843009863275697</v>
      </c>
      <c r="E194" s="37" t="n">
        <v>0.832104530553432</v>
      </c>
      <c r="F194" s="37" t="n">
        <v>0.5816772456553996</v>
      </c>
      <c r="G194" s="37" t="n">
        <v>0.6172260172784224</v>
      </c>
      <c r="H194" s="37" t="n">
        <v>0.5676521069416653</v>
      </c>
      <c r="I194" s="37" t="n">
        <v>0.5245493673321923</v>
      </c>
      <c r="J194" s="39" t="inlineStr">
        <is>
          <t>Corregible</t>
        </is>
      </c>
      <c r="K194" s="29" t="n">
        <v>2.73819251890867</v>
      </c>
      <c r="L194" s="35" t="n">
        <v>22.48349737126097</v>
      </c>
      <c r="M194" s="36" t="n">
        <v>2600</v>
      </c>
      <c r="N194" s="29" t="n">
        <v>7.5</v>
      </c>
      <c r="O194" s="16" t="inlineStr">
        <is>
          <t>sí</t>
        </is>
      </c>
      <c r="P194" s="16" t="inlineStr">
        <is>
          <t>O2</t>
        </is>
      </c>
    </row>
    <row r="195">
      <c r="A195" s="16" t="inlineStr">
        <is>
          <t>KF-M05-2-0059</t>
        </is>
      </c>
      <c r="B195" s="35" t="n">
        <v>503.8365226895149</v>
      </c>
      <c r="C195" s="35" t="n">
        <v>297.5031289787381</v>
      </c>
      <c r="D195" s="37" t="n">
        <v>0.6979307073817103</v>
      </c>
      <c r="E195" s="37" t="n">
        <v>0.569524642222563</v>
      </c>
      <c r="F195" s="37" t="n">
        <v>0.7051598593415387</v>
      </c>
      <c r="G195" s="37" t="n">
        <v>0.4442908370191851</v>
      </c>
      <c r="H195" s="37" t="n">
        <v>0.6510043653305124</v>
      </c>
      <c r="I195" s="37" t="n">
        <v>0.6824607634503894</v>
      </c>
      <c r="J195" s="40" t="inlineStr">
        <is>
          <t>Inviable</t>
        </is>
      </c>
      <c r="K195" s="29" t="n">
        <v>-11.82773847819034</v>
      </c>
      <c r="L195" s="35" t="n">
        <v>-64.5017856618208</v>
      </c>
      <c r="M195" s="36" t="n">
        <v>2600</v>
      </c>
      <c r="N195" s="29" t="n">
        <v>7.5</v>
      </c>
      <c r="O195" s="16" t="inlineStr">
        <is>
          <t>sí</t>
        </is>
      </c>
      <c r="P195" s="16" t="inlineStr">
        <is>
          <t>O2,O3</t>
        </is>
      </c>
    </row>
    <row r="196">
      <c r="A196" s="16" t="inlineStr">
        <is>
          <t>KF-M05-2-0060</t>
        </is>
      </c>
      <c r="B196" s="35" t="n">
        <v>618.85711179238</v>
      </c>
      <c r="C196" s="35" t="n">
        <v>301.5274979851906</v>
      </c>
      <c r="D196" s="37" t="n">
        <v>0.5223750242534617</v>
      </c>
      <c r="E196" s="37" t="n">
        <v>0.9106228940341492</v>
      </c>
      <c r="F196" s="37" t="n">
        <v>0.4734380517857935</v>
      </c>
      <c r="G196" s="37" t="n">
        <v>0.7721215625297606</v>
      </c>
      <c r="H196" s="37" t="n">
        <v>0.8747173598594619</v>
      </c>
      <c r="I196" s="37" t="n">
        <v>0.598200270088872</v>
      </c>
      <c r="J196" s="32" t="inlineStr">
        <is>
          <t>No convergió</t>
        </is>
      </c>
      <c r="K196" s="29" t="inlineStr">
        <is>
          <t>—</t>
        </is>
      </c>
      <c r="L196" s="35" t="inlineStr">
        <is>
          <t>—</t>
        </is>
      </c>
      <c r="M196" s="36" t="n">
        <v>2600</v>
      </c>
      <c r="N196" s="29" t="n">
        <v>7.5</v>
      </c>
      <c r="O196" s="16" t="inlineStr">
        <is>
          <t>no</t>
        </is>
      </c>
      <c r="P196" s="16" t="n"/>
    </row>
    <row r="197">
      <c r="A197" s="16" t="inlineStr">
        <is>
          <t>KF-M05-2-0061</t>
        </is>
      </c>
      <c r="B197" s="35" t="n">
        <v>516.515372530245</v>
      </c>
      <c r="C197" s="35" t="n">
        <v>281.9378846767186</v>
      </c>
      <c r="D197" s="37" t="n">
        <v>0.6901936412212248</v>
      </c>
      <c r="E197" s="37" t="n">
        <v>0.4580259411662696</v>
      </c>
      <c r="F197" s="37" t="n">
        <v>0.942829475931754</v>
      </c>
      <c r="G197" s="37" t="n">
        <v>0.5657078444265498</v>
      </c>
      <c r="H197" s="37" t="n">
        <v>0.7482071637800414</v>
      </c>
      <c r="I197" s="37" t="n">
        <v>0.9196196892713606</v>
      </c>
      <c r="J197" s="39" t="inlineStr">
        <is>
          <t>Corregible</t>
        </is>
      </c>
      <c r="K197" s="29" t="n">
        <v>7.80537728035681</v>
      </c>
      <c r="L197" s="35" t="n">
        <v>90.72074143151129</v>
      </c>
      <c r="M197" s="36" t="n">
        <v>2600</v>
      </c>
      <c r="N197" s="29" t="n">
        <v>7.5</v>
      </c>
      <c r="O197" s="16" t="inlineStr">
        <is>
          <t>sí</t>
        </is>
      </c>
      <c r="P197" s="16" t="inlineStr">
        <is>
          <t>O2</t>
        </is>
      </c>
    </row>
    <row r="198">
      <c r="A198" s="16" t="inlineStr">
        <is>
          <t>KF-M05-2-0062</t>
        </is>
      </c>
      <c r="B198" s="35" t="n">
        <v>603.5456211981797</v>
      </c>
      <c r="C198" s="35" t="n">
        <v>303.4790817235993</v>
      </c>
      <c r="D198" s="37" t="n">
        <v>0.5008427402618544</v>
      </c>
      <c r="E198" s="37" t="n">
        <v>0.5447908121101769</v>
      </c>
      <c r="F198" s="37" t="n">
        <v>0.5197339782784116</v>
      </c>
      <c r="G198" s="37" t="n">
        <v>0.7023731078237938</v>
      </c>
      <c r="H198" s="37" t="n">
        <v>0.9099897581684117</v>
      </c>
      <c r="I198" s="37" t="n">
        <v>0.4945086465151052</v>
      </c>
      <c r="J198" s="40" t="inlineStr">
        <is>
          <t>Inviable</t>
        </is>
      </c>
      <c r="K198" s="29" t="n">
        <v>-16.00017380282747</v>
      </c>
      <c r="L198" s="35" t="n">
        <v>-143.1916711740755</v>
      </c>
      <c r="M198" s="36" t="n">
        <v>2600</v>
      </c>
      <c r="N198" s="29" t="n">
        <v>7.5</v>
      </c>
      <c r="O198" s="16" t="inlineStr">
        <is>
          <t>sí</t>
        </is>
      </c>
      <c r="P198" s="16" t="inlineStr">
        <is>
          <t>O2,O3</t>
        </is>
      </c>
    </row>
    <row r="199">
      <c r="A199" s="16" t="inlineStr">
        <is>
          <t>KF-M05-2-0063</t>
        </is>
      </c>
      <c r="B199" s="35" t="n">
        <v>607.8443151303683</v>
      </c>
      <c r="C199" s="35" t="n">
        <v>291.3580129079606</v>
      </c>
      <c r="D199" s="37" t="n">
        <v>0.6691273260536921</v>
      </c>
      <c r="E199" s="37" t="n">
        <v>0.6239198593467</v>
      </c>
      <c r="F199" s="37" t="n">
        <v>0.8850011315525339</v>
      </c>
      <c r="G199" s="37" t="n">
        <v>0.6653851781535995</v>
      </c>
      <c r="H199" s="37" t="n">
        <v>0.8348627314380784</v>
      </c>
      <c r="I199" s="37" t="n">
        <v>0.5568688684751861</v>
      </c>
      <c r="J199" s="39" t="inlineStr">
        <is>
          <t>Corregible</t>
        </is>
      </c>
      <c r="K199" s="29" t="n">
        <v>1.09781341814395</v>
      </c>
      <c r="L199" s="35" t="n">
        <v>10.10330583906986</v>
      </c>
      <c r="M199" s="36" t="n">
        <v>2600</v>
      </c>
      <c r="N199" s="29" t="n">
        <v>7.5</v>
      </c>
      <c r="O199" s="16" t="inlineStr">
        <is>
          <t>sí</t>
        </is>
      </c>
      <c r="P199" s="16" t="inlineStr">
        <is>
          <t>O2</t>
        </is>
      </c>
    </row>
    <row r="200">
      <c r="A200" s="16" t="inlineStr">
        <is>
          <t>KF-M05-2-0064</t>
        </is>
      </c>
      <c r="B200" s="35" t="n">
        <v>404.2553776240437</v>
      </c>
      <c r="C200" s="35" t="n">
        <v>285.3747856531434</v>
      </c>
      <c r="D200" s="37" t="n">
        <v>0.6660172931968384</v>
      </c>
      <c r="E200" s="37" t="n">
        <v>0.5310893804793499</v>
      </c>
      <c r="F200" s="37" t="n">
        <v>0.938684996215319</v>
      </c>
      <c r="G200" s="37" t="n">
        <v>0.8226425490530536</v>
      </c>
      <c r="H200" s="37" t="n">
        <v>0.5951435806903305</v>
      </c>
      <c r="I200" s="37" t="n">
        <v>0.8420824010027044</v>
      </c>
      <c r="J200" s="39" t="inlineStr">
        <is>
          <t>Corregible</t>
        </is>
      </c>
      <c r="K200" s="29" t="n">
        <v>8.0016841692219</v>
      </c>
      <c r="L200" s="35" t="n">
        <v>56.19853173975163</v>
      </c>
      <c r="M200" s="36" t="n">
        <v>2600</v>
      </c>
      <c r="N200" s="29" t="n">
        <v>7.5</v>
      </c>
      <c r="O200" s="16" t="inlineStr">
        <is>
          <t>no</t>
        </is>
      </c>
      <c r="P200" s="16" t="inlineStr">
        <is>
          <t>O2</t>
        </is>
      </c>
    </row>
    <row r="201">
      <c r="A201" s="16" t="inlineStr">
        <is>
          <t>KF-M05-2-0065</t>
        </is>
      </c>
      <c r="B201" s="35" t="n">
        <v>507.7174393153383</v>
      </c>
      <c r="C201" s="35" t="n">
        <v>302.8315715066802</v>
      </c>
      <c r="D201" s="37" t="n">
        <v>0.6983391949351367</v>
      </c>
      <c r="E201" s="37" t="n">
        <v>0.7746546903765814</v>
      </c>
      <c r="F201" s="37" t="n">
        <v>0.8337066354108589</v>
      </c>
      <c r="G201" s="37" t="n">
        <v>0.8265165709343841</v>
      </c>
      <c r="H201" s="37" t="n">
        <v>0.5070223546907455</v>
      </c>
      <c r="I201" s="37" t="n">
        <v>0.7856968013620591</v>
      </c>
      <c r="J201" s="39" t="inlineStr">
        <is>
          <t>Corregible</t>
        </is>
      </c>
      <c r="K201" s="29" t="n">
        <v>7.05050160292376</v>
      </c>
      <c r="L201" s="35" t="n">
        <v>70.48369858839351</v>
      </c>
      <c r="M201" s="36" t="n">
        <v>2600</v>
      </c>
      <c r="N201" s="29" t="n">
        <v>7.5</v>
      </c>
      <c r="O201" s="16" t="inlineStr">
        <is>
          <t>sí</t>
        </is>
      </c>
      <c r="P201" s="16" t="inlineStr">
        <is>
          <t>O2</t>
        </is>
      </c>
    </row>
    <row r="202">
      <c r="A202" s="16" t="inlineStr">
        <is>
          <t>KF-M05-2-0066</t>
        </is>
      </c>
      <c r="B202" s="35" t="n">
        <v>408.7927811242594</v>
      </c>
      <c r="C202" s="35" t="n">
        <v>283.0206814009819</v>
      </c>
      <c r="D202" s="37" t="n">
        <v>0.7414542420703202</v>
      </c>
      <c r="E202" s="37" t="n">
        <v>0.482338426961823</v>
      </c>
      <c r="F202" s="37" t="n">
        <v>0.7594359071768295</v>
      </c>
      <c r="G202" s="37" t="n">
        <v>0.9118776181929114</v>
      </c>
      <c r="H202" s="37" t="n">
        <v>0.712767066039159</v>
      </c>
      <c r="I202" s="37" t="n">
        <v>0.568788033100635</v>
      </c>
      <c r="J202" s="40" t="inlineStr">
        <is>
          <t>Inviable</t>
        </is>
      </c>
      <c r="K202" s="29" t="n">
        <v>-8.78576239557807</v>
      </c>
      <c r="L202" s="35" t="n">
        <v>-44.23560204315274</v>
      </c>
      <c r="M202" s="36" t="n">
        <v>2600</v>
      </c>
      <c r="N202" s="29" t="n">
        <v>7.5</v>
      </c>
      <c r="O202" s="16" t="inlineStr">
        <is>
          <t>no</t>
        </is>
      </c>
      <c r="P202" s="16" t="inlineStr">
        <is>
          <t>O2,O3</t>
        </is>
      </c>
    </row>
    <row r="203">
      <c r="A203" s="16" t="inlineStr">
        <is>
          <t>KF-M05-2-0067</t>
        </is>
      </c>
      <c r="B203" s="35" t="n">
        <v>451.6477843006101</v>
      </c>
      <c r="C203" s="35" t="n">
        <v>282.5380678861192</v>
      </c>
      <c r="D203" s="37" t="n">
        <v>0.7577827024916524</v>
      </c>
      <c r="E203" s="37" t="n">
        <v>0.8756255582248392</v>
      </c>
      <c r="F203" s="37" t="n">
        <v>0.8087155948302762</v>
      </c>
      <c r="G203" s="37" t="n">
        <v>0.7135570547731678</v>
      </c>
      <c r="H203" s="37" t="n">
        <v>0.5826692514535332</v>
      </c>
      <c r="I203" s="37" t="n">
        <v>0.9175554021498432</v>
      </c>
      <c r="J203" s="39" t="inlineStr">
        <is>
          <t>Corregible</t>
        </is>
      </c>
      <c r="K203" s="29" t="n">
        <v>15.17404664217226</v>
      </c>
      <c r="L203" s="35" t="n">
        <v>175.3747594200093</v>
      </c>
      <c r="M203" s="36" t="n">
        <v>2600</v>
      </c>
      <c r="N203" s="29" t="n">
        <v>7.5</v>
      </c>
      <c r="O203" s="16" t="inlineStr">
        <is>
          <t>sí</t>
        </is>
      </c>
      <c r="P203" s="16" t="inlineStr">
        <is>
          <t>O2</t>
        </is>
      </c>
    </row>
    <row r="204">
      <c r="A204" s="16" t="inlineStr">
        <is>
          <t>KF-M05-2-0068</t>
        </is>
      </c>
      <c r="B204" s="35" t="n">
        <v>461.6022966770157</v>
      </c>
      <c r="C204" s="35" t="n">
        <v>295.5252159195516</v>
      </c>
      <c r="D204" s="37" t="n">
        <v>0.5500034818284494</v>
      </c>
      <c r="E204" s="37" t="n">
        <v>0.935369899650659</v>
      </c>
      <c r="F204" s="37" t="n">
        <v>0.7450691037919628</v>
      </c>
      <c r="G204" s="37" t="n">
        <v>0.676671205788719</v>
      </c>
      <c r="H204" s="37" t="n">
        <v>0.5495628918722567</v>
      </c>
      <c r="I204" s="37" t="n">
        <v>0.4845948186740978</v>
      </c>
      <c r="J204" s="39" t="inlineStr">
        <is>
          <t>Corregible</t>
        </is>
      </c>
      <c r="K204" s="29" t="n">
        <v>9.400367103390847</v>
      </c>
      <c r="L204" s="35" t="n">
        <v>71.21792010254737</v>
      </c>
      <c r="M204" s="36" t="n">
        <v>2600</v>
      </c>
      <c r="N204" s="29" t="n">
        <v>7.5</v>
      </c>
      <c r="O204" s="16" t="inlineStr">
        <is>
          <t>sí</t>
        </is>
      </c>
      <c r="P204" s="16" t="inlineStr">
        <is>
          <t>O1,O2</t>
        </is>
      </c>
    </row>
    <row r="205">
      <c r="A205" s="16" t="inlineStr">
        <is>
          <t>KF-M05-2-0069</t>
        </is>
      </c>
      <c r="B205" s="35" t="n">
        <v>550.5910086033705</v>
      </c>
      <c r="C205" s="35" t="n">
        <v>280.1929882515302</v>
      </c>
      <c r="D205" s="37" t="n">
        <v>0.8188878346398092</v>
      </c>
      <c r="E205" s="37" t="n">
        <v>0.5058846954255986</v>
      </c>
      <c r="F205" s="37" t="n">
        <v>0.9068081350090692</v>
      </c>
      <c r="G205" s="37" t="n">
        <v>0.5441480743974308</v>
      </c>
      <c r="H205" s="37" t="n">
        <v>0.6939212302997488</v>
      </c>
      <c r="I205" s="37" t="n">
        <v>0.9102420208238464</v>
      </c>
      <c r="J205" s="39" t="inlineStr">
        <is>
          <t>Corregible</t>
        </is>
      </c>
      <c r="K205" s="29" t="n">
        <v>4.68053105202337</v>
      </c>
      <c r="L205" s="35" t="n">
        <v>41.47236520627018</v>
      </c>
      <c r="M205" s="36" t="n">
        <v>2600</v>
      </c>
      <c r="N205" s="29" t="n">
        <v>7.5</v>
      </c>
      <c r="O205" s="16" t="inlineStr">
        <is>
          <t>no</t>
        </is>
      </c>
      <c r="P205" s="16" t="inlineStr">
        <is>
          <t>O2</t>
        </is>
      </c>
    </row>
    <row r="206">
      <c r="A206" s="16" t="inlineStr">
        <is>
          <t>KF-M05-2-0070</t>
        </is>
      </c>
      <c r="B206" s="35" t="n">
        <v>455.5270730084492</v>
      </c>
      <c r="C206" s="35" t="n">
        <v>296.087297868987</v>
      </c>
      <c r="D206" s="37" t="n">
        <v>0.5777112722144814</v>
      </c>
      <c r="E206" s="37" t="n">
        <v>0.6870157115947346</v>
      </c>
      <c r="F206" s="37" t="n">
        <v>0.7550691443018174</v>
      </c>
      <c r="G206" s="37" t="n">
        <v>0.4185906717702936</v>
      </c>
      <c r="H206" s="37" t="n">
        <v>0.4146947209755087</v>
      </c>
      <c r="I206" s="37" t="n">
        <v>0.9351120758519712</v>
      </c>
      <c r="J206" s="39" t="inlineStr">
        <is>
          <t>Corregible</t>
        </is>
      </c>
      <c r="K206" s="29" t="n">
        <v>9.04618108440458</v>
      </c>
      <c r="L206" s="35" t="n">
        <v>63.56008854474325</v>
      </c>
      <c r="M206" s="36" t="n">
        <v>2600</v>
      </c>
      <c r="N206" s="29" t="n">
        <v>7.5</v>
      </c>
      <c r="O206" s="16" t="inlineStr">
        <is>
          <t>no</t>
        </is>
      </c>
      <c r="P206" s="16" t="inlineStr">
        <is>
          <t>O2</t>
        </is>
      </c>
    </row>
    <row r="207">
      <c r="A207" s="16" t="inlineStr">
        <is>
          <t>KF-M05-2-0071</t>
        </is>
      </c>
      <c r="B207" s="35" t="n">
        <v>460.4262103026266</v>
      </c>
      <c r="C207" s="35" t="n">
        <v>279.8038395711266</v>
      </c>
      <c r="D207" s="37" t="n">
        <v>0.6536687903224782</v>
      </c>
      <c r="E207" s="37" t="n">
        <v>0.7681221728026375</v>
      </c>
      <c r="F207" s="37" t="n">
        <v>0.6066167015999853</v>
      </c>
      <c r="G207" s="37" t="n">
        <v>0.8889346365304083</v>
      </c>
      <c r="H207" s="37" t="n">
        <v>0.5397923764523163</v>
      </c>
      <c r="I207" s="37" t="n">
        <v>0.797247251513105</v>
      </c>
      <c r="J207" s="39" t="inlineStr">
        <is>
          <t>Corregible</t>
        </is>
      </c>
      <c r="K207" s="29" t="n">
        <v>11.36250212316087</v>
      </c>
      <c r="L207" s="35" t="n">
        <v>178.4413067336734</v>
      </c>
      <c r="M207" s="36" t="n">
        <v>2600</v>
      </c>
      <c r="N207" s="29" t="n">
        <v>7.5</v>
      </c>
      <c r="O207" s="16" t="inlineStr">
        <is>
          <t>sí</t>
        </is>
      </c>
      <c r="P207" s="16" t="inlineStr">
        <is>
          <t>O2</t>
        </is>
      </c>
    </row>
    <row r="208">
      <c r="A208" s="16" t="inlineStr">
        <is>
          <t>KF-M05-2-0072</t>
        </is>
      </c>
      <c r="B208" s="35" t="n">
        <v>448.8250369437661</v>
      </c>
      <c r="C208" s="35" t="n">
        <v>293.2170514681027</v>
      </c>
      <c r="D208" s="37" t="n">
        <v>0.5556274575318395</v>
      </c>
      <c r="E208" s="37" t="n">
        <v>0.4482632857411632</v>
      </c>
      <c r="F208" s="37" t="n">
        <v>0.8980296699191967</v>
      </c>
      <c r="G208" s="37" t="n">
        <v>0.5064290982656161</v>
      </c>
      <c r="H208" s="37" t="n">
        <v>0.8948999887832323</v>
      </c>
      <c r="I208" s="37" t="n">
        <v>0.7018062106357852</v>
      </c>
      <c r="J208" s="39" t="inlineStr">
        <is>
          <t>Corregible</t>
        </is>
      </c>
      <c r="K208" s="29" t="n">
        <v>5.63753356850689</v>
      </c>
      <c r="L208" s="35" t="n">
        <v>34.46841732751392</v>
      </c>
      <c r="M208" s="36" t="n">
        <v>2600</v>
      </c>
      <c r="N208" s="29" t="n">
        <v>7.5</v>
      </c>
      <c r="O208" s="16" t="inlineStr">
        <is>
          <t>no</t>
        </is>
      </c>
      <c r="P208" s="16" t="inlineStr">
        <is>
          <t>O2</t>
        </is>
      </c>
    </row>
    <row r="209">
      <c r="A209" s="16" t="inlineStr">
        <is>
          <t>KF-M05-2-0073</t>
        </is>
      </c>
      <c r="B209" s="35" t="n">
        <v>573.9677296551336</v>
      </c>
      <c r="C209" s="35" t="n">
        <v>287.5494173219096</v>
      </c>
      <c r="D209" s="37" t="n">
        <v>0.8473154028117293</v>
      </c>
      <c r="E209" s="37" t="n">
        <v>0.708247099252332</v>
      </c>
      <c r="F209" s="37" t="n">
        <v>0.4384461202785724</v>
      </c>
      <c r="G209" s="37" t="n">
        <v>0.6396440532693297</v>
      </c>
      <c r="H209" s="37" t="n">
        <v>0.8269904089720981</v>
      </c>
      <c r="I209" s="37" t="n">
        <v>0.4177815647847824</v>
      </c>
      <c r="J209" s="32" t="inlineStr">
        <is>
          <t>No convergió</t>
        </is>
      </c>
      <c r="K209" s="29" t="inlineStr">
        <is>
          <t>—</t>
        </is>
      </c>
      <c r="L209" s="35" t="inlineStr">
        <is>
          <t>—</t>
        </is>
      </c>
      <c r="M209" s="36" t="n">
        <v>2600</v>
      </c>
      <c r="N209" s="29" t="n">
        <v>7.5</v>
      </c>
      <c r="O209" s="16" t="inlineStr">
        <is>
          <t>no</t>
        </is>
      </c>
      <c r="P209" s="16" t="n"/>
    </row>
    <row r="210">
      <c r="A210" s="16" t="inlineStr">
        <is>
          <t>KF-M05-2-0074</t>
        </is>
      </c>
      <c r="B210" s="35" t="n">
        <v>446.0015583146773</v>
      </c>
      <c r="C210" s="35" t="n">
        <v>301.7391000805882</v>
      </c>
      <c r="D210" s="37" t="n">
        <v>0.6767239778371865</v>
      </c>
      <c r="E210" s="37" t="n">
        <v>0.5594102804146939</v>
      </c>
      <c r="F210" s="37" t="n">
        <v>0.4256699128145728</v>
      </c>
      <c r="G210" s="37" t="n">
        <v>0.5272420426371704</v>
      </c>
      <c r="H210" s="37" t="n">
        <v>0.4948103675146788</v>
      </c>
      <c r="I210" s="37" t="n">
        <v>0.4381440767242641</v>
      </c>
      <c r="J210" s="40" t="inlineStr">
        <is>
          <t>Inviable</t>
        </is>
      </c>
      <c r="K210" s="29" t="n">
        <v>-264.4615343966897</v>
      </c>
      <c r="L210" s="35" t="n">
        <v>-348.771300177277</v>
      </c>
      <c r="M210" s="36" t="n">
        <v>2600</v>
      </c>
      <c r="N210" s="29" t="n">
        <v>7.5</v>
      </c>
      <c r="O210" s="16" t="inlineStr">
        <is>
          <t>sí</t>
        </is>
      </c>
      <c r="P210" s="16" t="inlineStr">
        <is>
          <t>O2,O3</t>
        </is>
      </c>
    </row>
    <row r="211">
      <c r="A211" s="16" t="inlineStr">
        <is>
          <t>KF-M05-2-0075</t>
        </is>
      </c>
      <c r="B211" s="35" t="n">
        <v>616.8528631737344</v>
      </c>
      <c r="C211" s="35" t="n">
        <v>280.6920843008381</v>
      </c>
      <c r="D211" s="37" t="n">
        <v>0.5257444634416085</v>
      </c>
      <c r="E211" s="37" t="n">
        <v>0.7240544931617049</v>
      </c>
      <c r="F211" s="37" t="n">
        <v>0.5361777623682784</v>
      </c>
      <c r="G211" s="37" t="n">
        <v>0.6824308653025586</v>
      </c>
      <c r="H211" s="37" t="n">
        <v>0.9466019838565212</v>
      </c>
      <c r="I211" s="37" t="n">
        <v>0.7132239624259255</v>
      </c>
      <c r="J211" s="39" t="inlineStr">
        <is>
          <t>Corregible</t>
        </is>
      </c>
      <c r="K211" s="29" t="n">
        <v>8.03734348335901</v>
      </c>
      <c r="L211" s="35" t="n">
        <v>115.3190956204732</v>
      </c>
      <c r="M211" s="36" t="n">
        <v>2600</v>
      </c>
      <c r="N211" s="29" t="n">
        <v>7.5</v>
      </c>
      <c r="O211" s="16" t="inlineStr">
        <is>
          <t>sí</t>
        </is>
      </c>
      <c r="P211" s="16" t="inlineStr">
        <is>
          <t>O2</t>
        </is>
      </c>
    </row>
    <row r="212">
      <c r="A212" s="16" t="inlineStr">
        <is>
          <t>KF-M05-2-0076</t>
        </is>
      </c>
      <c r="B212" s="35" t="n">
        <v>588.2492143140951</v>
      </c>
      <c r="C212" s="35" t="n">
        <v>285.9302023202306</v>
      </c>
      <c r="D212" s="37" t="n">
        <v>0.5170013687902661</v>
      </c>
      <c r="E212" s="37" t="n">
        <v>0.8275050228242389</v>
      </c>
      <c r="F212" s="37" t="n">
        <v>0.4095762389591851</v>
      </c>
      <c r="G212" s="37" t="n">
        <v>0.848456475697934</v>
      </c>
      <c r="H212" s="37" t="n">
        <v>0.8521694253383967</v>
      </c>
      <c r="I212" s="37" t="n">
        <v>0.8181318256071521</v>
      </c>
      <c r="J212" s="39" t="inlineStr">
        <is>
          <t>Corregible</t>
        </is>
      </c>
      <c r="K212" s="29" t="n">
        <v>11.54094047699871</v>
      </c>
      <c r="L212" s="35" t="n">
        <v>219.9544978776856</v>
      </c>
      <c r="M212" s="36" t="n">
        <v>2600</v>
      </c>
      <c r="N212" s="29" t="n">
        <v>7.5</v>
      </c>
      <c r="O212" s="16" t="inlineStr">
        <is>
          <t>sí</t>
        </is>
      </c>
      <c r="P212" s="16" t="inlineStr">
        <is>
          <t>O2</t>
        </is>
      </c>
    </row>
    <row r="213">
      <c r="A213" s="16" t="inlineStr">
        <is>
          <t>KF-M05-2-0077</t>
        </is>
      </c>
      <c r="B213" s="35" t="n">
        <v>536.7162212979348</v>
      </c>
      <c r="C213" s="35" t="n">
        <v>295.1252353295533</v>
      </c>
      <c r="D213" s="37" t="n">
        <v>0.6172873369342078</v>
      </c>
      <c r="E213" s="37" t="n">
        <v>0.4530610496316343</v>
      </c>
      <c r="F213" s="37" t="n">
        <v>0.6423967184360755</v>
      </c>
      <c r="G213" s="37" t="n">
        <v>0.6499546956474194</v>
      </c>
      <c r="H213" s="37" t="n">
        <v>0.4899161494651884</v>
      </c>
      <c r="I213" s="37" t="n">
        <v>0.7786336021047</v>
      </c>
      <c r="J213" s="39" t="inlineStr">
        <is>
          <t>Corregible</t>
        </is>
      </c>
      <c r="K213" s="29" t="n">
        <v>0.8088461759759901</v>
      </c>
      <c r="L213" s="35" t="n">
        <v>9.337338457202604</v>
      </c>
      <c r="M213" s="36" t="n">
        <v>2600</v>
      </c>
      <c r="N213" s="29" t="n">
        <v>7.5</v>
      </c>
      <c r="O213" s="16" t="inlineStr">
        <is>
          <t>sí</t>
        </is>
      </c>
      <c r="P213" s="16" t="inlineStr">
        <is>
          <t>O2</t>
        </is>
      </c>
    </row>
    <row r="214">
      <c r="A214" s="16" t="inlineStr">
        <is>
          <t>KF-M05-2-0078</t>
        </is>
      </c>
      <c r="B214" s="35" t="n">
        <v>546.2861976782274</v>
      </c>
      <c r="C214" s="35" t="n">
        <v>288.7432464027671</v>
      </c>
      <c r="D214" s="37" t="n">
        <v>0.5312296163773282</v>
      </c>
      <c r="E214" s="37" t="n">
        <v>0.8590090460132723</v>
      </c>
      <c r="F214" s="37" t="n">
        <v>0.6579412692980868</v>
      </c>
      <c r="G214" s="37" t="n">
        <v>0.9232147995429236</v>
      </c>
      <c r="H214" s="37" t="n">
        <v>0.4350480519644281</v>
      </c>
      <c r="I214" s="37" t="n">
        <v>0.6891067012655829</v>
      </c>
      <c r="J214" s="32" t="inlineStr">
        <is>
          <t>No convergió</t>
        </is>
      </c>
      <c r="K214" s="29" t="inlineStr">
        <is>
          <t>—</t>
        </is>
      </c>
      <c r="L214" s="35" t="inlineStr">
        <is>
          <t>—</t>
        </is>
      </c>
      <c r="M214" s="36" t="n">
        <v>2600</v>
      </c>
      <c r="N214" s="29" t="n">
        <v>7.5</v>
      </c>
      <c r="O214" s="16" t="inlineStr">
        <is>
          <t>no</t>
        </is>
      </c>
      <c r="P214" s="16" t="n"/>
    </row>
    <row r="215">
      <c r="A215" s="16" t="inlineStr">
        <is>
          <t>KF-M05-2-0079</t>
        </is>
      </c>
      <c r="B215" s="35" t="n">
        <v>614.6072529895794</v>
      </c>
      <c r="C215" s="35" t="n">
        <v>290.4109232742853</v>
      </c>
      <c r="D215" s="37" t="n">
        <v>0.7472589216365357</v>
      </c>
      <c r="E215" s="37" t="n">
        <v>0.5778311933966611</v>
      </c>
      <c r="F215" s="37" t="n">
        <v>0.4997381366759192</v>
      </c>
      <c r="G215" s="37" t="n">
        <v>0.4544122269430939</v>
      </c>
      <c r="H215" s="37" t="n">
        <v>0.7528593269012833</v>
      </c>
      <c r="I215" s="37" t="n">
        <v>0.8162202140875536</v>
      </c>
      <c r="J215" s="40" t="inlineStr">
        <is>
          <t>Inviable</t>
        </is>
      </c>
      <c r="K215" s="29" t="n">
        <v>-13.35937612822395</v>
      </c>
      <c r="L215" s="35" t="n">
        <v>-92.55309936480629</v>
      </c>
      <c r="M215" s="36" t="n">
        <v>2600</v>
      </c>
      <c r="N215" s="29" t="n">
        <v>7.5</v>
      </c>
      <c r="O215" s="16" t="inlineStr">
        <is>
          <t>sí</t>
        </is>
      </c>
      <c r="P215" s="16" t="inlineStr">
        <is>
          <t>O2,O3</t>
        </is>
      </c>
    </row>
    <row r="216">
      <c r="A216" s="16" t="inlineStr">
        <is>
          <t>KF-M05-2-0080</t>
        </is>
      </c>
      <c r="B216" s="35" t="n">
        <v>534.0815165655772</v>
      </c>
      <c r="C216" s="35" t="n">
        <v>284.6910741280724</v>
      </c>
      <c r="D216" s="37" t="n">
        <v>0.7230740046515534</v>
      </c>
      <c r="E216" s="37" t="n">
        <v>0.7362059681802976</v>
      </c>
      <c r="F216" s="37" t="n">
        <v>0.9140115540700062</v>
      </c>
      <c r="G216" s="37" t="n">
        <v>0.4779677683626253</v>
      </c>
      <c r="H216" s="37" t="n">
        <v>0.4105927268086276</v>
      </c>
      <c r="I216" s="37" t="n">
        <v>0.7294479521093657</v>
      </c>
      <c r="J216" s="39" t="inlineStr">
        <is>
          <t>Corregible</t>
        </is>
      </c>
      <c r="K216" s="29" t="n">
        <v>9.661179440691251</v>
      </c>
      <c r="L216" s="35" t="n">
        <v>79.24043967605621</v>
      </c>
      <c r="M216" s="36" t="n">
        <v>2600</v>
      </c>
      <c r="N216" s="29" t="n">
        <v>7.5</v>
      </c>
      <c r="O216" s="16" t="inlineStr">
        <is>
          <t>no</t>
        </is>
      </c>
      <c r="P216" s="16" t="inlineStr">
        <is>
          <t>O2</t>
        </is>
      </c>
    </row>
    <row r="217">
      <c r="A217" s="16" t="inlineStr">
        <is>
          <t>KF-M05-2-0081</t>
        </is>
      </c>
      <c r="B217" s="35" t="n">
        <v>559.7262847950566</v>
      </c>
      <c r="C217" s="35" t="n">
        <v>283.9114073758596</v>
      </c>
      <c r="D217" s="37" t="n">
        <v>0.6832653300745395</v>
      </c>
      <c r="E217" s="37" t="n">
        <v>0.6417359744109429</v>
      </c>
      <c r="F217" s="37" t="n">
        <v>0.6314085025434377</v>
      </c>
      <c r="G217" s="37" t="n">
        <v>0.5964401579074263</v>
      </c>
      <c r="H217" s="37" t="n">
        <v>0.8415536631290722</v>
      </c>
      <c r="I217" s="37" t="n">
        <v>0.7089066144148638</v>
      </c>
      <c r="J217" s="39" t="inlineStr">
        <is>
          <t>Corregible</t>
        </is>
      </c>
      <c r="K217" s="29" t="n">
        <v>6.512796767876609</v>
      </c>
      <c r="L217" s="35" t="n">
        <v>71.22597204515853</v>
      </c>
      <c r="M217" s="36" t="n">
        <v>2600</v>
      </c>
      <c r="N217" s="29" t="n">
        <v>7.5</v>
      </c>
      <c r="O217" s="16" t="inlineStr">
        <is>
          <t>sí</t>
        </is>
      </c>
      <c r="P217" s="16" t="inlineStr">
        <is>
          <t>O2</t>
        </is>
      </c>
    </row>
    <row r="218">
      <c r="A218" s="16" t="inlineStr">
        <is>
          <t>KF-M05-2-0082</t>
        </is>
      </c>
      <c r="B218" s="35" t="n">
        <v>417.5552146990862</v>
      </c>
      <c r="C218" s="35" t="n">
        <v>298.7407976812951</v>
      </c>
      <c r="D218" s="37" t="n">
        <v>0.7372167889557993</v>
      </c>
      <c r="E218" s="37" t="n">
        <v>0.4438036657316855</v>
      </c>
      <c r="F218" s="37" t="n">
        <v>0.4905853081611906</v>
      </c>
      <c r="G218" s="37" t="n">
        <v>0.5288479461868102</v>
      </c>
      <c r="H218" s="37" t="n">
        <v>0.5886268067224089</v>
      </c>
      <c r="I218" s="37" t="n">
        <v>0.429701328219903</v>
      </c>
      <c r="J218" s="32" t="inlineStr">
        <is>
          <t>No convergió</t>
        </is>
      </c>
      <c r="K218" s="29" t="inlineStr">
        <is>
          <t>—</t>
        </is>
      </c>
      <c r="L218" s="35" t="inlineStr">
        <is>
          <t>—</t>
        </is>
      </c>
      <c r="M218" s="36" t="n">
        <v>2600</v>
      </c>
      <c r="N218" s="29" t="n">
        <v>7.5</v>
      </c>
      <c r="O218" s="16" t="inlineStr">
        <is>
          <t>no</t>
        </is>
      </c>
      <c r="P218" s="16" t="n"/>
    </row>
    <row r="219">
      <c r="A219" s="16" t="inlineStr">
        <is>
          <t>KF-M05-2-0083</t>
        </is>
      </c>
      <c r="B219" s="35" t="n">
        <v>490.2966597882918</v>
      </c>
      <c r="C219" s="35" t="n">
        <v>287.7104178605098</v>
      </c>
      <c r="D219" s="37" t="n">
        <v>0.6881115439076471</v>
      </c>
      <c r="E219" s="37" t="n">
        <v>0.825841891739874</v>
      </c>
      <c r="F219" s="37" t="n">
        <v>0.8550411541238198</v>
      </c>
      <c r="G219" s="37" t="n">
        <v>0.4624665256323404</v>
      </c>
      <c r="H219" s="37" t="n">
        <v>0.5319707356503782</v>
      </c>
      <c r="I219" s="37" t="n">
        <v>0.482092233996396</v>
      </c>
      <c r="J219" s="39" t="inlineStr">
        <is>
          <t>Corregible</t>
        </is>
      </c>
      <c r="K219" s="29" t="n">
        <v>5.87540917635538</v>
      </c>
      <c r="L219" s="35" t="n">
        <v>34.14894557446539</v>
      </c>
      <c r="M219" s="36" t="n">
        <v>2600</v>
      </c>
      <c r="N219" s="29" t="n">
        <v>7.5</v>
      </c>
      <c r="O219" s="16" t="inlineStr">
        <is>
          <t>sí</t>
        </is>
      </c>
      <c r="P219" s="16" t="inlineStr">
        <is>
          <t>O2</t>
        </is>
      </c>
    </row>
    <row r="220">
      <c r="A220" s="16" t="inlineStr">
        <is>
          <t>KF-M05-2-0084</t>
        </is>
      </c>
      <c r="B220" s="35" t="n">
        <v>382.3457749796415</v>
      </c>
      <c r="C220" s="35" t="n">
        <v>301.1743286996049</v>
      </c>
      <c r="D220" s="37" t="n">
        <v>0.6506023328228557</v>
      </c>
      <c r="E220" s="37" t="n">
        <v>0.500113209516711</v>
      </c>
      <c r="F220" s="37" t="n">
        <v>0.6852442354396698</v>
      </c>
      <c r="G220" s="37" t="n">
        <v>0.5374522591718339</v>
      </c>
      <c r="H220" s="37" t="n">
        <v>0.4193590779173111</v>
      </c>
      <c r="I220" s="37" t="n">
        <v>0.4435847384136862</v>
      </c>
      <c r="J220" s="40" t="inlineStr">
        <is>
          <t>Inviable</t>
        </is>
      </c>
      <c r="K220" s="29" t="n">
        <v>-399.1999985622958</v>
      </c>
      <c r="L220" s="35" t="n">
        <v>-101.3020839369271</v>
      </c>
      <c r="M220" s="36" t="n">
        <v>2600</v>
      </c>
      <c r="N220" s="29" t="n">
        <v>7.5</v>
      </c>
      <c r="O220" s="16" t="inlineStr">
        <is>
          <t>no</t>
        </is>
      </c>
      <c r="P220" s="16" t="inlineStr">
        <is>
          <t>O2,O3</t>
        </is>
      </c>
    </row>
    <row r="221">
      <c r="A221" s="16" t="inlineStr">
        <is>
          <t>KF-M05-2-0085</t>
        </is>
      </c>
      <c r="B221" s="35" t="n">
        <v>458.0588965603059</v>
      </c>
      <c r="C221" s="35" t="n">
        <v>285.709038213821</v>
      </c>
      <c r="D221" s="37" t="n">
        <v>0.6574687939591497</v>
      </c>
      <c r="E221" s="37" t="n">
        <v>0.7069934652556386</v>
      </c>
      <c r="F221" s="37" t="n">
        <v>0.406320833113804</v>
      </c>
      <c r="G221" s="37" t="n">
        <v>0.7815053950258015</v>
      </c>
      <c r="H221" s="37" t="n">
        <v>0.637680062209995</v>
      </c>
      <c r="I221" s="37" t="n">
        <v>0.8815891332302126</v>
      </c>
      <c r="J221" s="39" t="inlineStr">
        <is>
          <t>Corregible</t>
        </is>
      </c>
      <c r="K221" s="29" t="n">
        <v>10.78802324345157</v>
      </c>
      <c r="L221" s="35" t="n">
        <v>158.9788398424616</v>
      </c>
      <c r="M221" s="36" t="n">
        <v>2600</v>
      </c>
      <c r="N221" s="29" t="n">
        <v>7.5</v>
      </c>
      <c r="O221" s="16" t="inlineStr">
        <is>
          <t>sí</t>
        </is>
      </c>
      <c r="P221" s="16" t="inlineStr">
        <is>
          <t>O2</t>
        </is>
      </c>
    </row>
    <row r="222">
      <c r="A222" s="16" t="inlineStr">
        <is>
          <t>KF-M05-2-0086</t>
        </is>
      </c>
      <c r="B222" s="35" t="n">
        <v>601.0490941952096</v>
      </c>
      <c r="C222" s="35" t="n">
        <v>300.0035098916467</v>
      </c>
      <c r="D222" s="37" t="n">
        <v>0.6090702651265796</v>
      </c>
      <c r="E222" s="37" t="n">
        <v>0.9187041251203192</v>
      </c>
      <c r="F222" s="37" t="n">
        <v>0.7983944087917987</v>
      </c>
      <c r="G222" s="37" t="n">
        <v>0.870917871512066</v>
      </c>
      <c r="H222" s="37" t="n">
        <v>0.7628162437910984</v>
      </c>
      <c r="I222" s="37" t="n">
        <v>0.5225297293851356</v>
      </c>
      <c r="J222" s="32" t="inlineStr">
        <is>
          <t>No convergió</t>
        </is>
      </c>
      <c r="K222" s="29" t="inlineStr">
        <is>
          <t>—</t>
        </is>
      </c>
      <c r="L222" s="35" t="inlineStr">
        <is>
          <t>—</t>
        </is>
      </c>
      <c r="M222" s="36" t="n">
        <v>2600</v>
      </c>
      <c r="N222" s="29" t="n">
        <v>7.5</v>
      </c>
      <c r="O222" s="16" t="inlineStr">
        <is>
          <t>no</t>
        </is>
      </c>
      <c r="P222" s="16" t="n"/>
    </row>
    <row r="223">
      <c r="A223" s="16" t="inlineStr">
        <is>
          <t>KF-M05-2-0087</t>
        </is>
      </c>
      <c r="B223" s="35" t="n">
        <v>429.9252106510909</v>
      </c>
      <c r="C223" s="35" t="n">
        <v>288.4615662327658</v>
      </c>
      <c r="D223" s="37" t="n">
        <v>0.7968203810475396</v>
      </c>
      <c r="E223" s="37" t="n">
        <v>0.813454505405946</v>
      </c>
      <c r="F223" s="37" t="n">
        <v>0.7628241018668991</v>
      </c>
      <c r="G223" s="37" t="n">
        <v>0.5604714366334961</v>
      </c>
      <c r="H223" s="37" t="n">
        <v>0.7103944796646124</v>
      </c>
      <c r="I223" s="37" t="n">
        <v>0.5622302588562718</v>
      </c>
      <c r="J223" s="32" t="inlineStr">
        <is>
          <t>No convergió</t>
        </is>
      </c>
      <c r="K223" s="29" t="inlineStr">
        <is>
          <t>—</t>
        </is>
      </c>
      <c r="L223" s="35" t="inlineStr">
        <is>
          <t>—</t>
        </is>
      </c>
      <c r="M223" s="36" t="n">
        <v>2600</v>
      </c>
      <c r="N223" s="29" t="n">
        <v>7.5</v>
      </c>
      <c r="O223" s="16" t="inlineStr">
        <is>
          <t>no</t>
        </is>
      </c>
      <c r="P223" s="16" t="n"/>
    </row>
    <row r="224">
      <c r="A224" s="16" t="inlineStr">
        <is>
          <t>KF-M05-2-0088</t>
        </is>
      </c>
      <c r="B224" s="35" t="n">
        <v>572.1096669099655</v>
      </c>
      <c r="C224" s="35" t="n">
        <v>300.3817966756178</v>
      </c>
      <c r="D224" s="37" t="n">
        <v>0.6850631160996954</v>
      </c>
      <c r="E224" s="37" t="n">
        <v>0.9003945288371137</v>
      </c>
      <c r="F224" s="37" t="n">
        <v>0.8295877252077485</v>
      </c>
      <c r="G224" s="37" t="n">
        <v>0.4557515211691098</v>
      </c>
      <c r="H224" s="37" t="n">
        <v>0.6394804216883192</v>
      </c>
      <c r="I224" s="37" t="n">
        <v>0.6247433465553618</v>
      </c>
      <c r="J224" s="39" t="inlineStr">
        <is>
          <t>Corregible</t>
        </is>
      </c>
      <c r="K224" s="29" t="n">
        <v>8.068620258417369</v>
      </c>
      <c r="L224" s="35" t="n">
        <v>50.21862952494703</v>
      </c>
      <c r="M224" s="36" t="n">
        <v>2600</v>
      </c>
      <c r="N224" s="29" t="n">
        <v>7.5</v>
      </c>
      <c r="O224" s="16" t="inlineStr">
        <is>
          <t>sí</t>
        </is>
      </c>
      <c r="P224" s="16" t="inlineStr">
        <is>
          <t>O2</t>
        </is>
      </c>
    </row>
    <row r="225">
      <c r="A225" s="16" t="inlineStr">
        <is>
          <t>KF-M05-2-0089</t>
        </is>
      </c>
      <c r="B225" s="35" t="n">
        <v>561.0248394093602</v>
      </c>
      <c r="C225" s="35" t="n">
        <v>286.3200204676161</v>
      </c>
      <c r="D225" s="37" t="n">
        <v>0.7077302829647686</v>
      </c>
      <c r="E225" s="37" t="n">
        <v>0.9081312922581768</v>
      </c>
      <c r="F225" s="37" t="n">
        <v>0.5569757880440774</v>
      </c>
      <c r="G225" s="37" t="n">
        <v>0.516230800332235</v>
      </c>
      <c r="H225" s="37" t="n">
        <v>0.8719483281487141</v>
      </c>
      <c r="I225" s="37" t="n">
        <v>0.5026175646880159</v>
      </c>
      <c r="J225" s="40" t="inlineStr">
        <is>
          <t>Inviable</t>
        </is>
      </c>
      <c r="K225" s="29" t="n">
        <v>-3.66913777046543</v>
      </c>
      <c r="L225" s="35" t="n">
        <v>-23.194349500062</v>
      </c>
      <c r="M225" s="36" t="n">
        <v>2600</v>
      </c>
      <c r="N225" s="29" t="n">
        <v>7.5</v>
      </c>
      <c r="O225" s="16" t="inlineStr">
        <is>
          <t>sí</t>
        </is>
      </c>
      <c r="P225" s="16" t="inlineStr">
        <is>
          <t>O1,O2,O3</t>
        </is>
      </c>
    </row>
    <row r="226">
      <c r="A226" s="16" t="inlineStr">
        <is>
          <t>KF-M05-2-0090</t>
        </is>
      </c>
      <c r="B226" s="35" t="n">
        <v>388.9948146717909</v>
      </c>
      <c r="C226" s="35" t="n">
        <v>283.6480271795284</v>
      </c>
      <c r="D226" s="37" t="n">
        <v>0.7479171357475493</v>
      </c>
      <c r="E226" s="37" t="n">
        <v>0.4752401616182125</v>
      </c>
      <c r="F226" s="37" t="n">
        <v>0.5068426955610437</v>
      </c>
      <c r="G226" s="37" t="n">
        <v>0.5409924341546947</v>
      </c>
      <c r="H226" s="37" t="n">
        <v>0.4022783413016499</v>
      </c>
      <c r="I226" s="37" t="n">
        <v>0.907948058675118</v>
      </c>
      <c r="J226" s="40" t="inlineStr">
        <is>
          <t>Inviable</t>
        </is>
      </c>
      <c r="K226" s="29" t="n">
        <v>-6.50956188408121</v>
      </c>
      <c r="L226" s="35" t="n">
        <v>-25.57974460846098</v>
      </c>
      <c r="M226" s="36" t="n">
        <v>2600</v>
      </c>
      <c r="N226" s="29" t="n">
        <v>7.5</v>
      </c>
      <c r="O226" s="16" t="inlineStr">
        <is>
          <t>no</t>
        </is>
      </c>
      <c r="P226" s="16" t="inlineStr">
        <is>
          <t>O2,O3</t>
        </is>
      </c>
    </row>
    <row r="227">
      <c r="A227" s="16" t="inlineStr">
        <is>
          <t>KF-M05-2-0091</t>
        </is>
      </c>
      <c r="B227" s="35" t="n">
        <v>505.7267408941933</v>
      </c>
      <c r="C227" s="35" t="n">
        <v>302.5852538189709</v>
      </c>
      <c r="D227" s="37" t="n">
        <v>0.6422464652590527</v>
      </c>
      <c r="E227" s="37" t="n">
        <v>0.7441335444828701</v>
      </c>
      <c r="F227" s="37" t="n">
        <v>0.8060662267846124</v>
      </c>
      <c r="G227" s="37" t="n">
        <v>0.6916451848302403</v>
      </c>
      <c r="H227" s="37" t="n">
        <v>0.5151516843398223</v>
      </c>
      <c r="I227" s="37" t="n">
        <v>0.7204018215199162</v>
      </c>
      <c r="J227" s="39" t="inlineStr">
        <is>
          <t>Corregible</t>
        </is>
      </c>
      <c r="K227" s="29" t="n">
        <v>5.79155697361844</v>
      </c>
      <c r="L227" s="35" t="n">
        <v>54.27849946670185</v>
      </c>
      <c r="M227" s="36" t="n">
        <v>2600</v>
      </c>
      <c r="N227" s="29" t="n">
        <v>7.5</v>
      </c>
      <c r="O227" s="16" t="inlineStr">
        <is>
          <t>sí</t>
        </is>
      </c>
      <c r="P227" s="16" t="inlineStr">
        <is>
          <t>O2</t>
        </is>
      </c>
    </row>
    <row r="228">
      <c r="A228" s="16" t="inlineStr">
        <is>
          <t>KF-M05-2-0092</t>
        </is>
      </c>
      <c r="B228" s="35" t="n">
        <v>609.6662355429212</v>
      </c>
      <c r="C228" s="35" t="n">
        <v>283.2618725752798</v>
      </c>
      <c r="D228" s="37" t="n">
        <v>0.598315921188236</v>
      </c>
      <c r="E228" s="37" t="n">
        <v>0.8940571793427261</v>
      </c>
      <c r="F228" s="37" t="n">
        <v>0.8778336240736988</v>
      </c>
      <c r="G228" s="37" t="n">
        <v>0.5220618755231357</v>
      </c>
      <c r="H228" s="37" t="n">
        <v>0.7187183545698919</v>
      </c>
      <c r="I228" s="37" t="n">
        <v>0.5305130062838842</v>
      </c>
      <c r="J228" s="39" t="inlineStr">
        <is>
          <t>Corregible</t>
        </is>
      </c>
      <c r="K228" s="29" t="n">
        <v>12.17711385412913</v>
      </c>
      <c r="L228" s="35" t="n">
        <v>112.9201077031207</v>
      </c>
      <c r="M228" s="36" t="n">
        <v>2600</v>
      </c>
      <c r="N228" s="29" t="n">
        <v>7.5</v>
      </c>
      <c r="O228" s="16" t="inlineStr">
        <is>
          <t>sí</t>
        </is>
      </c>
      <c r="P228" s="16" t="inlineStr">
        <is>
          <t>O1,O2</t>
        </is>
      </c>
    </row>
    <row r="229">
      <c r="A229" s="16" t="inlineStr">
        <is>
          <t>KF-M05-2-0093</t>
        </is>
      </c>
      <c r="B229" s="35" t="n">
        <v>426.704005403172</v>
      </c>
      <c r="C229" s="35" t="n">
        <v>288.7121450966264</v>
      </c>
      <c r="D229" s="37" t="n">
        <v>0.7683894748369918</v>
      </c>
      <c r="E229" s="37" t="n">
        <v>0.5920826015688411</v>
      </c>
      <c r="F229" s="37" t="n">
        <v>0.7934280395965139</v>
      </c>
      <c r="G229" s="37" t="n">
        <v>0.9078089746247676</v>
      </c>
      <c r="H229" s="37" t="n">
        <v>0.4477254324346733</v>
      </c>
      <c r="I229" s="37" t="n">
        <v>0.6152604795498016</v>
      </c>
      <c r="J229" s="40" t="inlineStr">
        <is>
          <t>Inviable</t>
        </is>
      </c>
      <c r="K229" s="29" t="n">
        <v>-11.99197057492845</v>
      </c>
      <c r="L229" s="35" t="n">
        <v>-60.21382788410224</v>
      </c>
      <c r="M229" s="36" t="n">
        <v>2600</v>
      </c>
      <c r="N229" s="29" t="n">
        <v>7.5</v>
      </c>
      <c r="O229" s="16" t="inlineStr">
        <is>
          <t>sí</t>
        </is>
      </c>
      <c r="P229" s="16" t="inlineStr">
        <is>
          <t>O2,O3</t>
        </is>
      </c>
    </row>
    <row r="230">
      <c r="A230" s="16" t="inlineStr">
        <is>
          <t>KF-M05-2-0094</t>
        </is>
      </c>
      <c r="B230" s="35" t="n">
        <v>569.3173211840481</v>
      </c>
      <c r="C230" s="35" t="n">
        <v>290.0960732509564</v>
      </c>
      <c r="D230" s="37" t="n">
        <v>0.803497391566063</v>
      </c>
      <c r="E230" s="37" t="n">
        <v>0.4914607088721316</v>
      </c>
      <c r="F230" s="37" t="n">
        <v>0.7274999189532472</v>
      </c>
      <c r="G230" s="37" t="n">
        <v>0.7303546530776023</v>
      </c>
      <c r="H230" s="37" t="n">
        <v>0.8091120239010274</v>
      </c>
      <c r="I230" s="37" t="n">
        <v>0.8459069087220226</v>
      </c>
      <c r="J230" s="38" t="inlineStr">
        <is>
          <t>Falso convergido</t>
        </is>
      </c>
      <c r="K230" s="29" t="inlineStr">
        <is>
          <t>—</t>
        </is>
      </c>
      <c r="L230" s="35" t="inlineStr">
        <is>
          <t>—</t>
        </is>
      </c>
      <c r="M230" s="36" t="n">
        <v>2600</v>
      </c>
      <c r="N230" s="29" t="n">
        <v>7.5</v>
      </c>
      <c r="O230" s="16" t="inlineStr">
        <is>
          <t>sí</t>
        </is>
      </c>
      <c r="P230" s="16" t="inlineStr">
        <is>
          <t>N2,O2,O3,O5,C1,C3,C3</t>
        </is>
      </c>
    </row>
    <row r="231">
      <c r="A231" s="16" t="inlineStr">
        <is>
          <t>KF-M05-2-0095</t>
        </is>
      </c>
      <c r="B231" s="35" t="n">
        <v>529.0807896055873</v>
      </c>
      <c r="C231" s="35" t="n">
        <v>286.9971835817601</v>
      </c>
      <c r="D231" s="37" t="n">
        <v>0.5896750621959038</v>
      </c>
      <c r="E231" s="37" t="n">
        <v>0.6093160887071845</v>
      </c>
      <c r="F231" s="37" t="n">
        <v>0.5020124563867863</v>
      </c>
      <c r="G231" s="37" t="n">
        <v>0.4274423058606235</v>
      </c>
      <c r="H231" s="37" t="n">
        <v>0.5033799262320081</v>
      </c>
      <c r="I231" s="37" t="n">
        <v>0.6548017803010078</v>
      </c>
      <c r="J231" s="39" t="inlineStr">
        <is>
          <t>Corregible</t>
        </is>
      </c>
      <c r="K231" s="29" t="n">
        <v>1.75911508589376</v>
      </c>
      <c r="L231" s="35" t="n">
        <v>14.10149060576143</v>
      </c>
      <c r="M231" s="36" t="n">
        <v>2600</v>
      </c>
      <c r="N231" s="29" t="n">
        <v>7.5</v>
      </c>
      <c r="O231" s="16" t="inlineStr">
        <is>
          <t>sí</t>
        </is>
      </c>
      <c r="P231" s="16" t="inlineStr">
        <is>
          <t>O2</t>
        </is>
      </c>
    </row>
    <row r="232">
      <c r="A232" s="16" t="inlineStr">
        <is>
          <t>KF-M05-2-0096</t>
        </is>
      </c>
      <c r="B232" s="35" t="n">
        <v>582.6783463560204</v>
      </c>
      <c r="C232" s="35" t="n">
        <v>292.4744434270277</v>
      </c>
      <c r="D232" s="37" t="n">
        <v>0.5121260230906227</v>
      </c>
      <c r="E232" s="37" t="n">
        <v>0.9145035404582872</v>
      </c>
      <c r="F232" s="37" t="n">
        <v>0.6004555737874334</v>
      </c>
      <c r="G232" s="37" t="n">
        <v>0.7079539208159844</v>
      </c>
      <c r="H232" s="37" t="n">
        <v>0.6540065489834845</v>
      </c>
      <c r="I232" s="37" t="n">
        <v>0.8620552015600882</v>
      </c>
      <c r="J232" s="39" t="inlineStr">
        <is>
          <t>Corregible</t>
        </is>
      </c>
      <c r="K232" s="29" t="n">
        <v>14.38877543045756</v>
      </c>
      <c r="L232" s="35" t="n">
        <v>238.2593754390307</v>
      </c>
      <c r="M232" s="36" t="n">
        <v>2600</v>
      </c>
      <c r="N232" s="29" t="n">
        <v>7.5</v>
      </c>
      <c r="O232" s="16" t="inlineStr">
        <is>
          <t>sí</t>
        </is>
      </c>
      <c r="P232" s="16" t="inlineStr">
        <is>
          <t>O1,O2</t>
        </is>
      </c>
    </row>
    <row r="233">
      <c r="A233" s="16" t="inlineStr">
        <is>
          <t>KF-M05-2-0097</t>
        </is>
      </c>
      <c r="B233" s="35" t="n">
        <v>468.3292247390956</v>
      </c>
      <c r="C233" s="35" t="n">
        <v>289.5443236022469</v>
      </c>
      <c r="D233" s="37" t="n">
        <v>0.6325748329484358</v>
      </c>
      <c r="E233" s="37" t="n">
        <v>0.6675729894754865</v>
      </c>
      <c r="F233" s="37" t="n">
        <v>0.9319801458024932</v>
      </c>
      <c r="G233" s="37" t="n">
        <v>0.7432996180744333</v>
      </c>
      <c r="H233" s="37" t="n">
        <v>0.4569368724020387</v>
      </c>
      <c r="I233" s="37" t="n">
        <v>0.7990882598831339</v>
      </c>
      <c r="J233" s="39" t="inlineStr">
        <is>
          <t>Corregible</t>
        </is>
      </c>
      <c r="K233" s="29" t="n">
        <v>10.13310053628267</v>
      </c>
      <c r="L233" s="35" t="n">
        <v>135.3221851072059</v>
      </c>
      <c r="M233" s="36" t="n">
        <v>2600</v>
      </c>
      <c r="N233" s="29" t="n">
        <v>7.5</v>
      </c>
      <c r="O233" s="16" t="inlineStr">
        <is>
          <t>sí</t>
        </is>
      </c>
      <c r="P233" s="16" t="inlineStr">
        <is>
          <t>O2</t>
        </is>
      </c>
    </row>
    <row r="234">
      <c r="A234" s="16" t="inlineStr">
        <is>
          <t>KF-M05-2-0098</t>
        </is>
      </c>
      <c r="B234" s="35" t="n">
        <v>423.2946973235567</v>
      </c>
      <c r="C234" s="35" t="n">
        <v>300.2130588543264</v>
      </c>
      <c r="D234" s="37" t="n">
        <v>0.7862118932523414</v>
      </c>
      <c r="E234" s="37" t="n">
        <v>0.6323765168047039</v>
      </c>
      <c r="F234" s="37" t="n">
        <v>0.5632658449524439</v>
      </c>
      <c r="G234" s="37" t="n">
        <v>0.5710738078793657</v>
      </c>
      <c r="H234" s="37" t="n">
        <v>0.4543642474674115</v>
      </c>
      <c r="I234" s="37" t="n">
        <v>0.5743140273941544</v>
      </c>
      <c r="J234" s="40" t="inlineStr">
        <is>
          <t>Inviable</t>
        </is>
      </c>
      <c r="K234" s="29" t="n">
        <v>-200.3356077684727</v>
      </c>
      <c r="L234" s="35" t="n">
        <v>-222.2317204157377</v>
      </c>
      <c r="M234" s="36" t="n">
        <v>2600</v>
      </c>
      <c r="N234" s="29" t="n">
        <v>7.5</v>
      </c>
      <c r="O234" s="16" t="inlineStr">
        <is>
          <t>no</t>
        </is>
      </c>
      <c r="P234" s="16" t="inlineStr">
        <is>
          <t>O2,O3</t>
        </is>
      </c>
    </row>
    <row r="235">
      <c r="A235" s="16" t="inlineStr">
        <is>
          <t>KF-M05-2-0099</t>
        </is>
      </c>
      <c r="B235" s="35" t="n">
        <v>441.4067122552734</v>
      </c>
      <c r="C235" s="35" t="n">
        <v>280.5603953190972</v>
      </c>
      <c r="D235" s="37" t="n">
        <v>0.7907812759349582</v>
      </c>
      <c r="E235" s="37" t="n">
        <v>0.4952746430708302</v>
      </c>
      <c r="F235" s="37" t="n">
        <v>0.5725241346728988</v>
      </c>
      <c r="G235" s="37" t="n">
        <v>0.8500662187389986</v>
      </c>
      <c r="H235" s="37" t="n">
        <v>0.6889647925595965</v>
      </c>
      <c r="I235" s="37" t="n">
        <v>0.5060610536956077</v>
      </c>
      <c r="J235" s="40" t="inlineStr">
        <is>
          <t>Inviable</t>
        </is>
      </c>
      <c r="K235" s="29" t="n">
        <v>-34.82261975013137</v>
      </c>
      <c r="L235" s="35" t="n">
        <v>-187.7033985792576</v>
      </c>
      <c r="M235" s="36" t="n">
        <v>2600</v>
      </c>
      <c r="N235" s="29" t="n">
        <v>7.5</v>
      </c>
      <c r="O235" s="16" t="inlineStr">
        <is>
          <t>sí</t>
        </is>
      </c>
      <c r="P235" s="16" t="inlineStr">
        <is>
          <t>O2,O3</t>
        </is>
      </c>
    </row>
    <row r="236">
      <c r="A236" s="16" t="inlineStr">
        <is>
          <t>KF-M05-2-0100</t>
        </is>
      </c>
      <c r="B236" s="35" t="n">
        <v>401.157355855191</v>
      </c>
      <c r="C236" s="35" t="n">
        <v>286.6377310766257</v>
      </c>
      <c r="D236" s="37" t="n">
        <v>0.7769429170613829</v>
      </c>
      <c r="E236" s="37" t="n">
        <v>0.4661660698743446</v>
      </c>
      <c r="F236" s="37" t="n">
        <v>0.5409089501000965</v>
      </c>
      <c r="G236" s="37" t="n">
        <v>0.9418549027805484</v>
      </c>
      <c r="H236" s="37" t="n">
        <v>0.6208048141635573</v>
      </c>
      <c r="I236" s="37" t="n">
        <v>0.8399264697609403</v>
      </c>
      <c r="J236" s="40" t="inlineStr">
        <is>
          <t>Inviable</t>
        </is>
      </c>
      <c r="K236" s="29" t="n">
        <v>-24.26652967559998</v>
      </c>
      <c r="L236" s="35" t="n">
        <v>-108.0193737978552</v>
      </c>
      <c r="M236" s="36" t="n">
        <v>2600</v>
      </c>
      <c r="N236" s="29" t="n">
        <v>7.5</v>
      </c>
      <c r="O236" s="16" t="inlineStr">
        <is>
          <t>no</t>
        </is>
      </c>
      <c r="P236" s="16" t="inlineStr">
        <is>
          <t>O2,O3</t>
        </is>
      </c>
    </row>
    <row r="237">
      <c r="A237" s="16" t="inlineStr">
        <is>
          <t>KF-M05-2-0101</t>
        </is>
      </c>
      <c r="B237" s="35" t="n">
        <v>578.2386804758994</v>
      </c>
      <c r="C237" s="35" t="n">
        <v>302.4672606390852</v>
      </c>
      <c r="D237" s="37" t="n">
        <v>0.5401790049881244</v>
      </c>
      <c r="E237" s="37" t="n">
        <v>0.4730385366443105</v>
      </c>
      <c r="F237" s="37" t="n">
        <v>0.6286747112260381</v>
      </c>
      <c r="G237" s="37" t="n">
        <v>0.7929133897589908</v>
      </c>
      <c r="H237" s="37" t="n">
        <v>0.6732502892542023</v>
      </c>
      <c r="I237" s="37" t="n">
        <v>0.8314810280477807</v>
      </c>
      <c r="J237" s="39" t="inlineStr">
        <is>
          <t>Corregible</t>
        </is>
      </c>
      <c r="K237" s="29" t="n">
        <v>4.53443919243682</v>
      </c>
      <c r="L237" s="35" t="n">
        <v>74.60916958640715</v>
      </c>
      <c r="M237" s="36" t="n">
        <v>2600</v>
      </c>
      <c r="N237" s="29" t="n">
        <v>7.5</v>
      </c>
      <c r="O237" s="16" t="inlineStr">
        <is>
          <t>sí</t>
        </is>
      </c>
      <c r="P237" s="16" t="inlineStr">
        <is>
          <t>O2</t>
        </is>
      </c>
    </row>
    <row r="238">
      <c r="A238" s="16" t="inlineStr">
        <is>
          <t>KF-M05-2-0102</t>
        </is>
      </c>
      <c r="B238" s="35" t="n">
        <v>450.6645102052124</v>
      </c>
      <c r="C238" s="35" t="n">
        <v>282.6816614429482</v>
      </c>
      <c r="D238" s="37" t="n">
        <v>0.7722396676765345</v>
      </c>
      <c r="E238" s="37" t="n">
        <v>0.8521648863188998</v>
      </c>
      <c r="F238" s="37" t="n">
        <v>0.7516216626437311</v>
      </c>
      <c r="G238" s="37" t="n">
        <v>0.4390018641076937</v>
      </c>
      <c r="H238" s="37" t="n">
        <v>0.5440679283965961</v>
      </c>
      <c r="I238" s="37" t="n">
        <v>0.6341055674287853</v>
      </c>
      <c r="J238" s="39" t="inlineStr">
        <is>
          <t>Corregible</t>
        </is>
      </c>
      <c r="K238" s="29" t="n">
        <v>6.401652688147711</v>
      </c>
      <c r="L238" s="35" t="n">
        <v>34.5999607356722</v>
      </c>
      <c r="M238" s="36" t="n">
        <v>2600</v>
      </c>
      <c r="N238" s="29" t="n">
        <v>7.5</v>
      </c>
      <c r="O238" s="16" t="inlineStr">
        <is>
          <t>no</t>
        </is>
      </c>
      <c r="P238" s="16" t="inlineStr">
        <is>
          <t>O2</t>
        </is>
      </c>
    </row>
    <row r="239">
      <c r="A239" s="16" t="inlineStr">
        <is>
          <t>KF-M05-2-0103</t>
        </is>
      </c>
      <c r="B239" s="35" t="n">
        <v>453.6292391211101</v>
      </c>
      <c r="C239" s="35" t="n">
        <v>284.4857998175382</v>
      </c>
      <c r="D239" s="37" t="n">
        <v>0.800164889480432</v>
      </c>
      <c r="E239" s="37" t="n">
        <v>0.6475525092926908</v>
      </c>
      <c r="F239" s="37" t="n">
        <v>0.4640356438575482</v>
      </c>
      <c r="G239" s="37" t="n">
        <v>0.6228445094183621</v>
      </c>
      <c r="H239" s="37" t="n">
        <v>0.8140947691647624</v>
      </c>
      <c r="I239" s="37" t="n">
        <v>0.8089967590455442</v>
      </c>
      <c r="J239" s="40" t="inlineStr">
        <is>
          <t>Inviable</t>
        </is>
      </c>
      <c r="K239" s="29" t="n">
        <v>-16.8980999209519</v>
      </c>
      <c r="L239" s="35" t="n">
        <v>-103.5764159100999</v>
      </c>
      <c r="M239" s="36" t="n">
        <v>2600</v>
      </c>
      <c r="N239" s="29" t="n">
        <v>7.5</v>
      </c>
      <c r="O239" s="16" t="inlineStr">
        <is>
          <t>no</t>
        </is>
      </c>
      <c r="P239" s="16" t="inlineStr">
        <is>
          <t>O2,O3</t>
        </is>
      </c>
    </row>
    <row r="240">
      <c r="A240" s="16" t="inlineStr">
        <is>
          <t>KF-M05-2-0104</t>
        </is>
      </c>
      <c r="B240" s="35" t="n">
        <v>471.6864310558455</v>
      </c>
      <c r="C240" s="35" t="n">
        <v>285.3154709020974</v>
      </c>
      <c r="D240" s="37" t="n">
        <v>0.7346421923186013</v>
      </c>
      <c r="E240" s="37" t="n">
        <v>0.8967095297442632</v>
      </c>
      <c r="F240" s="37" t="n">
        <v>0.7181766255170758</v>
      </c>
      <c r="G240" s="37" t="n">
        <v>0.8085760997254183</v>
      </c>
      <c r="H240" s="37" t="n">
        <v>0.7796784519190811</v>
      </c>
      <c r="I240" s="37" t="n">
        <v>0.6395612721706593</v>
      </c>
      <c r="J240" s="39" t="inlineStr">
        <is>
          <t>Corregible</t>
        </is>
      </c>
      <c r="K240" s="29" t="n">
        <v>9.446349078387881</v>
      </c>
      <c r="L240" s="35" t="n">
        <v>88.221527310949</v>
      </c>
      <c r="M240" s="36" t="n">
        <v>2600</v>
      </c>
      <c r="N240" s="29" t="n">
        <v>7.5</v>
      </c>
      <c r="O240" s="16" t="inlineStr">
        <is>
          <t>sí</t>
        </is>
      </c>
      <c r="P240" s="16" t="inlineStr">
        <is>
          <t>O2</t>
        </is>
      </c>
    </row>
    <row r="241">
      <c r="A241" s="16" t="inlineStr">
        <is>
          <t>KF-M05-2-0105</t>
        </is>
      </c>
      <c r="B241" s="35" t="n">
        <v>557.1989021359673</v>
      </c>
      <c r="C241" s="35" t="n">
        <v>295.7500217673687</v>
      </c>
      <c r="D241" s="37" t="n">
        <v>0.8370871483660848</v>
      </c>
      <c r="E241" s="37" t="n">
        <v>0.5247262750748456</v>
      </c>
      <c r="F241" s="37" t="n">
        <v>0.575052064019389</v>
      </c>
      <c r="G241" s="37" t="n">
        <v>0.6024081395366405</v>
      </c>
      <c r="H241" s="37" t="n">
        <v>0.6995152909771165</v>
      </c>
      <c r="I241" s="37" t="n">
        <v>0.7226323301956221</v>
      </c>
      <c r="J241" s="32" t="inlineStr">
        <is>
          <t>No convergió</t>
        </is>
      </c>
      <c r="K241" s="29" t="inlineStr">
        <is>
          <t>—</t>
        </is>
      </c>
      <c r="L241" s="35" t="inlineStr">
        <is>
          <t>—</t>
        </is>
      </c>
      <c r="M241" s="36" t="n">
        <v>2600</v>
      </c>
      <c r="N241" s="29" t="n">
        <v>7.5</v>
      </c>
      <c r="O241" s="16" t="inlineStr">
        <is>
          <t>no</t>
        </is>
      </c>
      <c r="P241" s="16" t="n"/>
    </row>
    <row r="242">
      <c r="A242" s="16" t="inlineStr">
        <is>
          <t>KF-M05-2-0106</t>
        </is>
      </c>
      <c r="B242" s="35" t="n">
        <v>538.4876203313397</v>
      </c>
      <c r="C242" s="35" t="n">
        <v>282.8235854952027</v>
      </c>
      <c r="D242" s="37" t="n">
        <v>0.6297012180869952</v>
      </c>
      <c r="E242" s="37" t="n">
        <v>0.5376082420400276</v>
      </c>
      <c r="F242" s="37" t="n">
        <v>0.7311121673030443</v>
      </c>
      <c r="G242" s="37" t="n">
        <v>0.5787465201301072</v>
      </c>
      <c r="H242" s="37" t="n">
        <v>0.6305903449609727</v>
      </c>
      <c r="I242" s="37" t="n">
        <v>0.8661478979222853</v>
      </c>
      <c r="J242" s="39" t="inlineStr">
        <is>
          <t>Corregible</t>
        </is>
      </c>
      <c r="K242" s="29" t="n">
        <v>8.49328747907483</v>
      </c>
      <c r="L242" s="35" t="n">
        <v>105.1029908522131</v>
      </c>
      <c r="M242" s="36" t="n">
        <v>2600</v>
      </c>
      <c r="N242" s="29" t="n">
        <v>7.5</v>
      </c>
      <c r="O242" s="16" t="inlineStr">
        <is>
          <t>sí</t>
        </is>
      </c>
      <c r="P242" s="16" t="inlineStr">
        <is>
          <t>O2</t>
        </is>
      </c>
    </row>
    <row r="243">
      <c r="A243" s="16" t="inlineStr">
        <is>
          <t>KF-M05-2-0107</t>
        </is>
      </c>
      <c r="B243" s="35" t="n">
        <v>443.6800164851119</v>
      </c>
      <c r="C243" s="35" t="n">
        <v>295.4872837830396</v>
      </c>
      <c r="D243" s="37" t="n">
        <v>0.5345122567016389</v>
      </c>
      <c r="E243" s="37" t="n">
        <v>0.6733179176941222</v>
      </c>
      <c r="F243" s="37" t="n">
        <v>0.4702207646028807</v>
      </c>
      <c r="G243" s="37" t="n">
        <v>0.93647678226109</v>
      </c>
      <c r="H243" s="37" t="n">
        <v>0.8382807732751358</v>
      </c>
      <c r="I243" s="37" t="n">
        <v>0.6722263527013366</v>
      </c>
      <c r="J243" s="39" t="inlineStr">
        <is>
          <t>Corregible</t>
        </is>
      </c>
      <c r="K243" s="29" t="n">
        <v>4.15375262159662</v>
      </c>
      <c r="L243" s="35" t="n">
        <v>34.51987857513767</v>
      </c>
      <c r="M243" s="36" t="n">
        <v>2600</v>
      </c>
      <c r="N243" s="29" t="n">
        <v>7.5</v>
      </c>
      <c r="O243" s="16" t="inlineStr">
        <is>
          <t>sí</t>
        </is>
      </c>
      <c r="P243" s="16" t="inlineStr">
        <is>
          <t>O2</t>
        </is>
      </c>
    </row>
    <row r="244">
      <c r="A244" s="16" t="inlineStr">
        <is>
          <t>KF-M05-2-0108</t>
        </is>
      </c>
      <c r="B244" s="35" t="n">
        <v>432.5132080232692</v>
      </c>
      <c r="C244" s="35" t="n">
        <v>290.9836372825862</v>
      </c>
      <c r="D244" s="37" t="n">
        <v>0.8416716168592842</v>
      </c>
      <c r="E244" s="37" t="n">
        <v>0.5360702325769335</v>
      </c>
      <c r="F244" s="37" t="n">
        <v>0.8904223697970948</v>
      </c>
      <c r="G244" s="37" t="n">
        <v>0.8949085160856651</v>
      </c>
      <c r="H244" s="37" t="n">
        <v>0.9038944944019646</v>
      </c>
      <c r="I244" s="37" t="n">
        <v>0.490814653166817</v>
      </c>
      <c r="J244" s="40" t="inlineStr">
        <is>
          <t>Inviable</t>
        </is>
      </c>
      <c r="K244" s="29" t="n">
        <v>-48.85655510095849</v>
      </c>
      <c r="L244" s="35" t="n">
        <v>-131.5407828343255</v>
      </c>
      <c r="M244" s="36" t="n">
        <v>2600</v>
      </c>
      <c r="N244" s="29" t="n">
        <v>7.5</v>
      </c>
      <c r="O244" s="16" t="inlineStr">
        <is>
          <t>sí</t>
        </is>
      </c>
      <c r="P244" s="16" t="inlineStr">
        <is>
          <t>O2,O3</t>
        </is>
      </c>
    </row>
    <row r="245">
      <c r="A245" s="16" t="inlineStr">
        <is>
          <t>KF-M05-2-0109</t>
        </is>
      </c>
      <c r="B245" s="35" t="n">
        <v>470.2105550905022</v>
      </c>
      <c r="C245" s="35" t="n">
        <v>298.6521241761744</v>
      </c>
      <c r="D245" s="37" t="n">
        <v>0.8091376537267888</v>
      </c>
      <c r="E245" s="37" t="n">
        <v>0.552422743186294</v>
      </c>
      <c r="F245" s="37" t="n">
        <v>0.9303619356527908</v>
      </c>
      <c r="G245" s="37" t="n">
        <v>0.6106762145125798</v>
      </c>
      <c r="H245" s="37" t="n">
        <v>0.4676690734619155</v>
      </c>
      <c r="I245" s="37" t="n">
        <v>0.5885318586629754</v>
      </c>
      <c r="J245" s="32" t="inlineStr">
        <is>
          <t>No convergió</t>
        </is>
      </c>
      <c r="K245" s="29" t="inlineStr">
        <is>
          <t>—</t>
        </is>
      </c>
      <c r="L245" s="35" t="inlineStr">
        <is>
          <t>—</t>
        </is>
      </c>
      <c r="M245" s="36" t="n">
        <v>2600</v>
      </c>
      <c r="N245" s="29" t="n">
        <v>7.5</v>
      </c>
      <c r="O245" s="16" t="inlineStr">
        <is>
          <t>no</t>
        </is>
      </c>
      <c r="P245" s="16" t="n"/>
    </row>
    <row r="246">
      <c r="A246" s="16" t="inlineStr">
        <is>
          <t>KF-M05-2-0110</t>
        </is>
      </c>
      <c r="B246" s="35" t="n">
        <v>499.6019048252984</v>
      </c>
      <c r="C246" s="35" t="n">
        <v>279.5416858036347</v>
      </c>
      <c r="D246" s="37" t="n">
        <v>0.7435749789224603</v>
      </c>
      <c r="E246" s="37" t="n">
        <v>0.8208687873428522</v>
      </c>
      <c r="F246" s="37" t="n">
        <v>0.5450748254852591</v>
      </c>
      <c r="G246" s="37" t="n">
        <v>0.8063641075524149</v>
      </c>
      <c r="H246" s="37" t="n">
        <v>0.6869851099004637</v>
      </c>
      <c r="I246" s="37" t="n">
        <v>0.8274853450052049</v>
      </c>
      <c r="J246" s="39" t="inlineStr">
        <is>
          <t>Corregible</t>
        </is>
      </c>
      <c r="K246" s="29" t="n">
        <v>13.3489485816531</v>
      </c>
      <c r="L246" s="35" t="n">
        <v>197.292326033605</v>
      </c>
      <c r="M246" s="36" t="n">
        <v>2600</v>
      </c>
      <c r="N246" s="29" t="n">
        <v>7.5</v>
      </c>
      <c r="O246" s="16" t="inlineStr">
        <is>
          <t>sí</t>
        </is>
      </c>
      <c r="P246" s="16" t="inlineStr">
        <is>
          <t>O2</t>
        </is>
      </c>
    </row>
    <row r="247">
      <c r="A247" s="16" t="inlineStr">
        <is>
          <t>KF-M05-2-0111</t>
        </is>
      </c>
      <c r="B247" s="35" t="n">
        <v>585.2136552848589</v>
      </c>
      <c r="C247" s="35" t="n">
        <v>293.6315905580965</v>
      </c>
      <c r="D247" s="37" t="n">
        <v>0.8236019573164047</v>
      </c>
      <c r="E247" s="37" t="n">
        <v>0.7554765978754823</v>
      </c>
      <c r="F247" s="37" t="n">
        <v>0.6524606099903953</v>
      </c>
      <c r="G247" s="37" t="n">
        <v>0.6285091342764528</v>
      </c>
      <c r="H247" s="37" t="n">
        <v>0.7578424140829921</v>
      </c>
      <c r="I247" s="37" t="n">
        <v>0.8789817569559063</v>
      </c>
      <c r="J247" s="38" t="inlineStr">
        <is>
          <t>Falso convergido</t>
        </is>
      </c>
      <c r="K247" s="29" t="inlineStr">
        <is>
          <t>—</t>
        </is>
      </c>
      <c r="L247" s="35" t="inlineStr">
        <is>
          <t>—</t>
        </is>
      </c>
      <c r="M247" s="36" t="n">
        <v>2600</v>
      </c>
      <c r="N247" s="29" t="n">
        <v>7.5</v>
      </c>
      <c r="O247" s="16" t="inlineStr">
        <is>
          <t>sí</t>
        </is>
      </c>
      <c r="P247" s="16" t="inlineStr">
        <is>
          <t>N2,O2,O3,O5,C1,C3,C3</t>
        </is>
      </c>
    </row>
    <row r="248">
      <c r="A248" s="16" t="inlineStr">
        <is>
          <t>KF-M05-2-0112</t>
        </is>
      </c>
      <c r="B248" s="35" t="n">
        <v>420.758728821611</v>
      </c>
      <c r="C248" s="35" t="n">
        <v>294.8596478944462</v>
      </c>
      <c r="D248" s="37" t="n">
        <v>0.8159745793639803</v>
      </c>
      <c r="E248" s="37" t="n">
        <v>0.9425562255186828</v>
      </c>
      <c r="F248" s="37" t="n">
        <v>0.546870337783206</v>
      </c>
      <c r="G248" s="37" t="n">
        <v>0.688279056806441</v>
      </c>
      <c r="H248" s="37" t="n">
        <v>0.8038786771002449</v>
      </c>
      <c r="I248" s="37" t="n">
        <v>0.6857243877418174</v>
      </c>
      <c r="J248" s="40" t="inlineStr">
        <is>
          <t>Inviable</t>
        </is>
      </c>
      <c r="K248" s="29" t="n">
        <v>-54.14707989474136</v>
      </c>
      <c r="L248" s="35" t="n">
        <v>-115.0330133310606</v>
      </c>
      <c r="M248" s="36" t="n">
        <v>2600</v>
      </c>
      <c r="N248" s="29" t="n">
        <v>7.5</v>
      </c>
      <c r="O248" s="16" t="inlineStr">
        <is>
          <t>no</t>
        </is>
      </c>
      <c r="P248" s="16" t="inlineStr">
        <is>
          <t>O2,O3</t>
        </is>
      </c>
    </row>
    <row r="249">
      <c r="A249" s="16" t="inlineStr">
        <is>
          <t>KF-M05-2-0113</t>
        </is>
      </c>
      <c r="B249" s="35" t="n">
        <v>596.043162431642</v>
      </c>
      <c r="C249" s="35" t="n">
        <v>286.5701561862081</v>
      </c>
      <c r="D249" s="37" t="n">
        <v>0.581175081142571</v>
      </c>
      <c r="E249" s="37" t="n">
        <v>0.41848948504952</v>
      </c>
      <c r="F249" s="37" t="n">
        <v>0.7429126416789139</v>
      </c>
      <c r="G249" s="37" t="n">
        <v>0.8391448705881186</v>
      </c>
      <c r="H249" s="37" t="n">
        <v>0.7325574084588656</v>
      </c>
      <c r="I249" s="37" t="n">
        <v>0.7479482534664148</v>
      </c>
      <c r="J249" s="32" t="inlineStr">
        <is>
          <t>No convergió</t>
        </is>
      </c>
      <c r="K249" s="29" t="inlineStr">
        <is>
          <t>—</t>
        </is>
      </c>
      <c r="L249" s="35" t="inlineStr">
        <is>
          <t>—</t>
        </is>
      </c>
      <c r="M249" s="36" t="n">
        <v>2600</v>
      </c>
      <c r="N249" s="29" t="n">
        <v>7.5</v>
      </c>
      <c r="O249" s="16" t="inlineStr">
        <is>
          <t>no</t>
        </is>
      </c>
      <c r="P249" s="16" t="n"/>
    </row>
    <row r="250">
      <c r="A250" s="16" t="inlineStr">
        <is>
          <t>KF-M05-2-0114</t>
        </is>
      </c>
      <c r="B250" s="35" t="n">
        <v>498.1335671906564</v>
      </c>
      <c r="C250" s="35" t="n">
        <v>293.3947320702543</v>
      </c>
      <c r="D250" s="37" t="n">
        <v>0.5594172445217528</v>
      </c>
      <c r="E250" s="37" t="n">
        <v>0.4070344969529577</v>
      </c>
      <c r="F250" s="37" t="n">
        <v>0.7800876844803195</v>
      </c>
      <c r="G250" s="37" t="n">
        <v>0.4021680809506312</v>
      </c>
      <c r="H250" s="37" t="n">
        <v>0.6058928208565425</v>
      </c>
      <c r="I250" s="37" t="n">
        <v>0.4216956725334166</v>
      </c>
      <c r="J250" s="40" t="inlineStr">
        <is>
          <t>Inviable</t>
        </is>
      </c>
      <c r="K250" s="29" t="n">
        <v>-15.7882929301706</v>
      </c>
      <c r="L250" s="35" t="n">
        <v>-83.90606117398154</v>
      </c>
      <c r="M250" s="36" t="n">
        <v>2600</v>
      </c>
      <c r="N250" s="29" t="n">
        <v>7.5</v>
      </c>
      <c r="O250" s="16" t="inlineStr">
        <is>
          <t>sí</t>
        </is>
      </c>
      <c r="P250" s="16" t="inlineStr">
        <is>
          <t>O2,O3</t>
        </is>
      </c>
    </row>
    <row r="251">
      <c r="A251" s="16" t="inlineStr">
        <is>
          <t>KF-M05-2-0115</t>
        </is>
      </c>
      <c r="B251" s="35" t="n">
        <v>589.4698749127668</v>
      </c>
      <c r="C251" s="35" t="n">
        <v>296.5466859587798</v>
      </c>
      <c r="D251" s="37" t="n">
        <v>0.5675134821243422</v>
      </c>
      <c r="E251" s="37" t="n">
        <v>0.6365424567271857</v>
      </c>
      <c r="F251" s="37" t="n">
        <v>0.8371673574729388</v>
      </c>
      <c r="G251" s="37" t="n">
        <v>0.4282760875138969</v>
      </c>
      <c r="H251" s="37" t="n">
        <v>0.4245403483389002</v>
      </c>
      <c r="I251" s="37" t="n">
        <v>0.7678992029010272</v>
      </c>
      <c r="J251" s="39" t="inlineStr">
        <is>
          <t>Corregible</t>
        </is>
      </c>
      <c r="K251" s="29" t="n">
        <v>8.42818740025878</v>
      </c>
      <c r="L251" s="35" t="n">
        <v>79.53155631557533</v>
      </c>
      <c r="M251" s="36" t="n">
        <v>2600</v>
      </c>
      <c r="N251" s="29" t="n">
        <v>7.5</v>
      </c>
      <c r="O251" s="16" t="inlineStr">
        <is>
          <t>sí</t>
        </is>
      </c>
      <c r="P251" s="16" t="inlineStr">
        <is>
          <t>O2</t>
        </is>
      </c>
    </row>
    <row r="252">
      <c r="A252" s="16" t="inlineStr">
        <is>
          <t>KF-M05-2-0116</t>
        </is>
      </c>
      <c r="B252" s="35" t="n">
        <v>407.5531881146055</v>
      </c>
      <c r="C252" s="35" t="n">
        <v>278.2624790972999</v>
      </c>
      <c r="D252" s="37" t="n">
        <v>0.7931958339697167</v>
      </c>
      <c r="E252" s="37" t="n">
        <v>0.7805049883315993</v>
      </c>
      <c r="F252" s="37" t="n">
        <v>0.6775067384846383</v>
      </c>
      <c r="G252" s="37" t="n">
        <v>0.729734907995514</v>
      </c>
      <c r="H252" s="37" t="n">
        <v>0.790785824767527</v>
      </c>
      <c r="I252" s="37" t="n">
        <v>0.8902900163167979</v>
      </c>
      <c r="J252" s="39" t="inlineStr">
        <is>
          <t>Corregible</t>
        </is>
      </c>
      <c r="K252" s="29" t="n">
        <v>13.69492057212931</v>
      </c>
      <c r="L252" s="35" t="n">
        <v>115.5861682010424</v>
      </c>
      <c r="M252" s="36" t="n">
        <v>2600</v>
      </c>
      <c r="N252" s="29" t="n">
        <v>7.5</v>
      </c>
      <c r="O252" s="16" t="inlineStr">
        <is>
          <t>no</t>
        </is>
      </c>
      <c r="P252" s="16" t="inlineStr">
        <is>
          <t>O2</t>
        </is>
      </c>
    </row>
    <row r="253">
      <c r="A253" s="16" t="inlineStr">
        <is>
          <t>KF-M05-2-0117</t>
        </is>
      </c>
      <c r="B253" s="35" t="n">
        <v>483.5505131964024</v>
      </c>
      <c r="C253" s="35" t="n">
        <v>282.0044174171126</v>
      </c>
      <c r="D253" s="37" t="n">
        <v>0.6789865389891734</v>
      </c>
      <c r="E253" s="37" t="n">
        <v>0.680764345637157</v>
      </c>
      <c r="F253" s="37" t="n">
        <v>0.6125997196267058</v>
      </c>
      <c r="G253" s="37" t="n">
        <v>0.4123693727814032</v>
      </c>
      <c r="H253" s="37" t="n">
        <v>0.6763741081357293</v>
      </c>
      <c r="I253" s="37" t="n">
        <v>0.5953141697337749</v>
      </c>
      <c r="J253" s="39" t="inlineStr">
        <is>
          <t>Corregible</t>
        </is>
      </c>
      <c r="K253" s="29" t="n">
        <v>3.22169419328448</v>
      </c>
      <c r="L253" s="35" t="n">
        <v>21.4825269006293</v>
      </c>
      <c r="M253" s="36" t="n">
        <v>2600</v>
      </c>
      <c r="N253" s="29" t="n">
        <v>7.5</v>
      </c>
      <c r="O253" s="16" t="inlineStr">
        <is>
          <t>no</t>
        </is>
      </c>
      <c r="P253" s="16" t="inlineStr">
        <is>
          <t>O2</t>
        </is>
      </c>
    </row>
    <row r="254">
      <c r="A254" s="16" t="inlineStr">
        <is>
          <t>KF-M05-2-0118</t>
        </is>
      </c>
      <c r="B254" s="35" t="n">
        <v>513.7383921994337</v>
      </c>
      <c r="C254" s="35" t="n">
        <v>296.239188885013</v>
      </c>
      <c r="D254" s="37" t="n">
        <v>0.7251505621585277</v>
      </c>
      <c r="E254" s="37" t="n">
        <v>0.653238548845737</v>
      </c>
      <c r="F254" s="37" t="n">
        <v>0.899974531861452</v>
      </c>
      <c r="G254" s="37" t="n">
        <v>0.6564791348257553</v>
      </c>
      <c r="H254" s="37" t="n">
        <v>0.6198297736046652</v>
      </c>
      <c r="I254" s="37" t="n">
        <v>0.7318822601807853</v>
      </c>
      <c r="J254" s="39" t="inlineStr">
        <is>
          <t>Corregible</t>
        </is>
      </c>
      <c r="K254" s="29" t="n">
        <v>2.36206496209674</v>
      </c>
      <c r="L254" s="35" t="n">
        <v>18.67937349494929</v>
      </c>
      <c r="M254" s="36" t="n">
        <v>2600</v>
      </c>
      <c r="N254" s="29" t="n">
        <v>7.5</v>
      </c>
      <c r="O254" s="16" t="inlineStr">
        <is>
          <t>sí</t>
        </is>
      </c>
      <c r="P254" s="16" t="inlineStr">
        <is>
          <t>O2</t>
        </is>
      </c>
    </row>
    <row r="255">
      <c r="A255" s="16" t="inlineStr">
        <is>
          <t>KF-M05-2-0119</t>
        </is>
      </c>
      <c r="B255" s="35" t="n">
        <v>475.6980483654508</v>
      </c>
      <c r="C255" s="35" t="n">
        <v>303.3227243254336</v>
      </c>
      <c r="D255" s="37" t="n">
        <v>0.7540834288796086</v>
      </c>
      <c r="E255" s="37" t="n">
        <v>0.8045691529104889</v>
      </c>
      <c r="F255" s="37" t="n">
        <v>0.4164114598272252</v>
      </c>
      <c r="G255" s="37" t="n">
        <v>0.8025559596566451</v>
      </c>
      <c r="H255" s="37" t="n">
        <v>0.7360386417525711</v>
      </c>
      <c r="I255" s="37" t="n">
        <v>0.475485351107904</v>
      </c>
      <c r="J255" s="32" t="inlineStr">
        <is>
          <t>No convergió</t>
        </is>
      </c>
      <c r="K255" s="29" t="inlineStr">
        <is>
          <t>—</t>
        </is>
      </c>
      <c r="L255" s="35" t="inlineStr">
        <is>
          <t>—</t>
        </is>
      </c>
      <c r="M255" s="36" t="n">
        <v>2600</v>
      </c>
      <c r="N255" s="29" t="n">
        <v>7.5</v>
      </c>
      <c r="O255" s="16" t="inlineStr">
        <is>
          <t>no</t>
        </is>
      </c>
      <c r="P255" s="16" t="n"/>
    </row>
    <row r="256"/>
    <row r="257">
      <c r="A257" s="33" t="inlineStr">
        <is>
          <t>Parte 4.1c · conserva sus presiones y su clima · 120 puntos</t>
        </is>
      </c>
      <c r="B257" s="31" t="n"/>
      <c r="C257" s="31" t="n"/>
      <c r="D257" s="31" t="n"/>
      <c r="E257" s="31" t="n"/>
      <c r="F257" s="31" t="n"/>
      <c r="G257" s="31" t="n"/>
      <c r="H257" s="31" t="n"/>
      <c r="I257" s="31" t="n"/>
      <c r="J257" s="31" t="n"/>
      <c r="K257" s="31" t="n"/>
      <c r="T257" s="24" t="inlineStr">
        <is>
          <t>Figura 4.1-3 · Parte 4.1c (conserva sus presiones y su clima): 0 KALINA de 120 evaluados, 0 confiables</t>
        </is>
      </c>
    </row>
    <row r="258"/>
    <row r="259">
      <c r="A259" s="34" t="inlineStr">
        <is>
          <t>Barrido de la parte 4.1c · 120 puntos</t>
        </is>
      </c>
    </row>
    <row r="260">
      <c r="A260" s="25" t="inlineStr">
        <is>
          <t>Fijos en este barrido: T_sumidero = 300.03, P_alta = 3000, P_baja = 400.</t>
        </is>
      </c>
    </row>
    <row r="261">
      <c r="A261" s="22" t="inlineStr">
        <is>
          <t>id_punto</t>
        </is>
      </c>
      <c r="B261" s="22" t="inlineStr">
        <is>
          <t>T_fuente [K]</t>
        </is>
      </c>
      <c r="C261" s="22" t="inlineStr">
        <is>
          <t>x_b [–]</t>
        </is>
      </c>
      <c r="D261" s="22" t="inlineStr">
        <is>
          <t>η_t [–]</t>
        </is>
      </c>
      <c r="E261" s="22" t="inlineStr">
        <is>
          <t>η_p [–]</t>
        </is>
      </c>
      <c r="F261" s="22" t="inlineStr">
        <is>
          <t>ε_HRVG [–]</t>
        </is>
      </c>
      <c r="G261" s="22" t="inlineStr">
        <is>
          <t>ε_reg [–]</t>
        </is>
      </c>
      <c r="H261" s="22" t="inlineStr">
        <is>
          <t>ε_cond [–]</t>
        </is>
      </c>
      <c r="I261" s="22" t="inlineStr">
        <is>
          <t>Clase</t>
        </is>
      </c>
      <c r="J261" s="22" t="inlineStr">
        <is>
          <t>η [%]</t>
        </is>
      </c>
      <c r="K261" s="22" t="inlineStr">
        <is>
          <t>W_net [kW] (m_b = 1 kg/s)</t>
        </is>
      </c>
      <c r="L261" s="22" t="inlineStr">
        <is>
          <t>ΔP [kPa]</t>
        </is>
      </c>
      <c r="M261" s="22" t="inlineStr">
        <is>
          <t>r_P [–]</t>
        </is>
      </c>
      <c r="N261" s="22" t="inlineStr">
        <is>
          <t>Fuera de rango</t>
        </is>
      </c>
      <c r="O261" s="22" t="inlineStr">
        <is>
          <t>Criterios que falla</t>
        </is>
      </c>
    </row>
    <row r="262">
      <c r="A262" s="16" t="inlineStr">
        <is>
          <t>KF-M05-3-0000</t>
        </is>
      </c>
      <c r="B262" s="35" t="n">
        <v>405.825722431219</v>
      </c>
      <c r="C262" s="37" t="n">
        <v>0.5865111548345461</v>
      </c>
      <c r="D262" s="37" t="n">
        <v>0.4712459643537001</v>
      </c>
      <c r="E262" s="37" t="n">
        <v>0.6183583267502128</v>
      </c>
      <c r="F262" s="37" t="n">
        <v>0.8427195404490937</v>
      </c>
      <c r="G262" s="37" t="n">
        <v>0.4320320504400753</v>
      </c>
      <c r="H262" s="37" t="n">
        <v>0.4432245237636992</v>
      </c>
      <c r="I262" s="40" t="inlineStr">
        <is>
          <t>Inviable</t>
        </is>
      </c>
      <c r="J262" s="29" t="n">
        <v>-42.98716924407808</v>
      </c>
      <c r="K262" s="35" t="n">
        <v>-86.76205752892764</v>
      </c>
      <c r="L262" s="36" t="n">
        <v>2600</v>
      </c>
      <c r="M262" s="29" t="n">
        <v>7.5</v>
      </c>
      <c r="N262" s="16" t="inlineStr">
        <is>
          <t>no</t>
        </is>
      </c>
      <c r="O262" s="16" t="inlineStr">
        <is>
          <t>O2,O3</t>
        </is>
      </c>
    </row>
    <row r="263">
      <c r="A263" s="16" t="inlineStr">
        <is>
          <t>KF-M05-3-0001</t>
        </is>
      </c>
      <c r="B263" s="35" t="n">
        <v>518.457465398208</v>
      </c>
      <c r="C263" s="37" t="n">
        <v>0.6556333557715541</v>
      </c>
      <c r="D263" s="37" t="n">
        <v>0.7613521503713105</v>
      </c>
      <c r="E263" s="37" t="n">
        <v>0.8658449499372758</v>
      </c>
      <c r="F263" s="37" t="n">
        <v>0.7850232349183957</v>
      </c>
      <c r="G263" s="37" t="n">
        <v>0.7706797677395725</v>
      </c>
      <c r="H263" s="37" t="n">
        <v>0.7990911381897311</v>
      </c>
      <c r="I263" s="39" t="inlineStr">
        <is>
          <t>Corregible</t>
        </is>
      </c>
      <c r="J263" s="29" t="n">
        <v>9.30296546212603</v>
      </c>
      <c r="K263" s="35" t="n">
        <v>109.0508751126582</v>
      </c>
      <c r="L263" s="36" t="n">
        <v>2600</v>
      </c>
      <c r="M263" s="29" t="n">
        <v>7.5</v>
      </c>
      <c r="N263" s="16" t="inlineStr">
        <is>
          <t>sí</t>
        </is>
      </c>
      <c r="O263" s="16" t="inlineStr">
        <is>
          <t>O2</t>
        </is>
      </c>
    </row>
    <row r="264">
      <c r="A264" s="16" t="inlineStr">
        <is>
          <t>KF-M05-3-0002</t>
        </is>
      </c>
      <c r="B264" s="35" t="n">
        <v>572.752729741876</v>
      </c>
      <c r="C264" s="37" t="n">
        <v>0.8178269277406292</v>
      </c>
      <c r="D264" s="37" t="n">
        <v>0.6611143028897876</v>
      </c>
      <c r="E264" s="37" t="n">
        <v>0.8019980409980675</v>
      </c>
      <c r="F264" s="37" t="n">
        <v>0.4516189104844705</v>
      </c>
      <c r="G264" s="37" t="n">
        <v>0.6791100529862072</v>
      </c>
      <c r="H264" s="37" t="n">
        <v>0.916303688596892</v>
      </c>
      <c r="I264" s="40" t="inlineStr">
        <is>
          <t>Inviable</t>
        </is>
      </c>
      <c r="J264" s="29" t="n">
        <v>-10.1216825423867</v>
      </c>
      <c r="K264" s="35" t="n">
        <v>-49.19301520735854</v>
      </c>
      <c r="L264" s="36" t="n">
        <v>2600</v>
      </c>
      <c r="M264" s="29" t="n">
        <v>7.5</v>
      </c>
      <c r="N264" s="16" t="inlineStr">
        <is>
          <t>sí</t>
        </is>
      </c>
      <c r="O264" s="16" t="inlineStr">
        <is>
          <t>O2,O3</t>
        </is>
      </c>
    </row>
    <row r="265">
      <c r="A265" s="16" t="inlineStr">
        <is>
          <t>KF-M05-3-0003</t>
        </is>
      </c>
      <c r="B265" s="35" t="n">
        <v>475.2812184964724</v>
      </c>
      <c r="C265" s="37" t="n">
        <v>0.6904630118646692</v>
      </c>
      <c r="D265" s="37" t="n">
        <v>0.5821920625769744</v>
      </c>
      <c r="E265" s="37" t="n">
        <v>0.6279655156898465</v>
      </c>
      <c r="F265" s="37" t="n">
        <v>0.7255876135257904</v>
      </c>
      <c r="G265" s="37" t="n">
        <v>0.5104026481698551</v>
      </c>
      <c r="H265" s="37" t="n">
        <v>0.7381525183939386</v>
      </c>
      <c r="I265" s="40" t="inlineStr">
        <is>
          <t>Inviable</t>
        </is>
      </c>
      <c r="J265" s="29" t="n">
        <v>-8.55685332669275</v>
      </c>
      <c r="K265" s="35" t="n">
        <v>-67.59552905268583</v>
      </c>
      <c r="L265" s="36" t="n">
        <v>2600</v>
      </c>
      <c r="M265" s="29" t="n">
        <v>7.5</v>
      </c>
      <c r="N265" s="16" t="inlineStr">
        <is>
          <t>sí</t>
        </is>
      </c>
      <c r="O265" s="16" t="inlineStr">
        <is>
          <t>O2,O3</t>
        </is>
      </c>
    </row>
    <row r="266">
      <c r="A266" s="16" t="inlineStr">
        <is>
          <t>KF-M05-3-0004</t>
        </is>
      </c>
      <c r="B266" s="35" t="n">
        <v>543.2952337068776</v>
      </c>
      <c r="C266" s="37" t="n">
        <v>0.8418107283277434</v>
      </c>
      <c r="D266" s="37" t="n">
        <v>0.492766732987198</v>
      </c>
      <c r="E266" s="37" t="n">
        <v>0.4852828794261784</v>
      </c>
      <c r="F266" s="37" t="n">
        <v>0.5767089397524583</v>
      </c>
      <c r="G266" s="37" t="n">
        <v>0.8035810418224558</v>
      </c>
      <c r="H266" s="37" t="n">
        <v>0.8469473221989651</v>
      </c>
      <c r="I266" s="32" t="inlineStr">
        <is>
          <t>No convergió</t>
        </is>
      </c>
      <c r="J266" s="29" t="inlineStr">
        <is>
          <t>—</t>
        </is>
      </c>
      <c r="K266" s="35" t="inlineStr">
        <is>
          <t>—</t>
        </is>
      </c>
      <c r="L266" s="36" t="n">
        <v>2600</v>
      </c>
      <c r="M266" s="29" t="n">
        <v>7.5</v>
      </c>
      <c r="N266" s="16" t="inlineStr">
        <is>
          <t>no</t>
        </is>
      </c>
      <c r="O266" s="16" t="n"/>
    </row>
    <row r="267">
      <c r="A267" s="16" t="inlineStr">
        <is>
          <t>KF-M05-3-0005</t>
        </is>
      </c>
      <c r="B267" s="35" t="n">
        <v>507.0948543044822</v>
      </c>
      <c r="C267" s="37" t="n">
        <v>0.7379692506304664</v>
      </c>
      <c r="D267" s="37" t="n">
        <v>0.931810134368766</v>
      </c>
      <c r="E267" s="37" t="n">
        <v>0.9103950450784613</v>
      </c>
      <c r="F267" s="37" t="n">
        <v>0.6980033583410504</v>
      </c>
      <c r="G267" s="37" t="n">
        <v>0.5027405943218124</v>
      </c>
      <c r="H267" s="37" t="n">
        <v>0.6699698035893451</v>
      </c>
      <c r="I267" s="39" t="inlineStr">
        <is>
          <t>Corregible</t>
        </is>
      </c>
      <c r="J267" s="29" t="n">
        <v>12.14238993160939</v>
      </c>
      <c r="K267" s="35" t="n">
        <v>86.08730272575633</v>
      </c>
      <c r="L267" s="36" t="n">
        <v>2600</v>
      </c>
      <c r="M267" s="29" t="n">
        <v>7.5</v>
      </c>
      <c r="N267" s="16" t="inlineStr">
        <is>
          <t>sí</t>
        </is>
      </c>
      <c r="O267" s="16" t="inlineStr">
        <is>
          <t>O1,O2</t>
        </is>
      </c>
    </row>
    <row r="268">
      <c r="A268" s="16" t="inlineStr">
        <is>
          <t>KF-M05-3-0006</t>
        </is>
      </c>
      <c r="B268" s="35" t="n">
        <v>512.4578247441073</v>
      </c>
      <c r="C268" s="37" t="n">
        <v>0.5942900470569354</v>
      </c>
      <c r="D268" s="37" t="n">
        <v>0.4161133788163209</v>
      </c>
      <c r="E268" s="37" t="n">
        <v>0.6084509275637171</v>
      </c>
      <c r="F268" s="37" t="n">
        <v>0.9136988117636244</v>
      </c>
      <c r="G268" s="37" t="n">
        <v>0.5245606554345401</v>
      </c>
      <c r="H268" s="37" t="n">
        <v>0.7495924491484312</v>
      </c>
      <c r="I268" s="38" t="inlineStr">
        <is>
          <t>Falso convergido</t>
        </is>
      </c>
      <c r="J268" s="29" t="inlineStr">
        <is>
          <t>—</t>
        </is>
      </c>
      <c r="K268" s="35" t="inlineStr">
        <is>
          <t>—</t>
        </is>
      </c>
      <c r="L268" s="36" t="n">
        <v>2600</v>
      </c>
      <c r="M268" s="29" t="n">
        <v>7.5</v>
      </c>
      <c r="N268" s="16" t="inlineStr">
        <is>
          <t>sí</t>
        </is>
      </c>
      <c r="O268" s="16" t="inlineStr">
        <is>
          <t>N2,O2,O3,O5,C1,C3,C3</t>
        </is>
      </c>
    </row>
    <row r="269">
      <c r="A269" s="16" t="inlineStr">
        <is>
          <t>KF-M05-3-0007</t>
        </is>
      </c>
      <c r="B269" s="35" t="n">
        <v>590.4618899207727</v>
      </c>
      <c r="C269" s="37" t="n">
        <v>0.5263980705431835</v>
      </c>
      <c r="D269" s="37" t="n">
        <v>0.4674690455902059</v>
      </c>
      <c r="E269" s="37" t="n">
        <v>0.8178875330122113</v>
      </c>
      <c r="F269" s="37" t="n">
        <v>0.7511039636021966</v>
      </c>
      <c r="G269" s="37" t="n">
        <v>0.4667092331467534</v>
      </c>
      <c r="H269" s="37" t="n">
        <v>0.7769532613812415</v>
      </c>
      <c r="I269" s="39" t="inlineStr">
        <is>
          <t>Corregible</t>
        </is>
      </c>
      <c r="J269" s="29" t="n">
        <v>5.18963629408673</v>
      </c>
      <c r="K269" s="35" t="n">
        <v>82.26496337682738</v>
      </c>
      <c r="L269" s="36" t="n">
        <v>2600</v>
      </c>
      <c r="M269" s="29" t="n">
        <v>7.5</v>
      </c>
      <c r="N269" s="16" t="inlineStr">
        <is>
          <t>sí</t>
        </is>
      </c>
      <c r="O269" s="16" t="inlineStr">
        <is>
          <t>O2</t>
        </is>
      </c>
    </row>
    <row r="270">
      <c r="A270" s="16" t="inlineStr">
        <is>
          <t>KF-M05-3-0008</t>
        </is>
      </c>
      <c r="B270" s="35" t="n">
        <v>568.2447371101306</v>
      </c>
      <c r="C270" s="37" t="n">
        <v>0.7932394989156977</v>
      </c>
      <c r="D270" s="37" t="n">
        <v>0.5489582732686098</v>
      </c>
      <c r="E270" s="37" t="n">
        <v>0.9087417107705692</v>
      </c>
      <c r="F270" s="37" t="n">
        <v>0.4938006812732478</v>
      </c>
      <c r="G270" s="37" t="n">
        <v>0.6554296409560706</v>
      </c>
      <c r="H270" s="37" t="n">
        <v>0.946851053844498</v>
      </c>
      <c r="I270" s="40" t="inlineStr">
        <is>
          <t>Inviable</t>
        </is>
      </c>
      <c r="J270" s="29" t="n">
        <v>-5.445864314047711</v>
      </c>
      <c r="K270" s="35" t="n">
        <v>-32.99011468093212</v>
      </c>
      <c r="L270" s="36" t="n">
        <v>2600</v>
      </c>
      <c r="M270" s="29" t="n">
        <v>7.5</v>
      </c>
      <c r="N270" s="16" t="inlineStr">
        <is>
          <t>sí</t>
        </is>
      </c>
      <c r="O270" s="16" t="inlineStr">
        <is>
          <t>O2,O3</t>
        </is>
      </c>
    </row>
    <row r="271">
      <c r="A271" s="16" t="inlineStr">
        <is>
          <t>KF-M05-3-0009</t>
        </is>
      </c>
      <c r="B271" s="35" t="n">
        <v>491.4082682154102</v>
      </c>
      <c r="C271" s="37" t="n">
        <v>0.6595986617202141</v>
      </c>
      <c r="D271" s="37" t="n">
        <v>0.6177617170012435</v>
      </c>
      <c r="E271" s="37" t="n">
        <v>0.6539841874080994</v>
      </c>
      <c r="F271" s="37" t="n">
        <v>0.4769752007547694</v>
      </c>
      <c r="G271" s="37" t="n">
        <v>0.4585751050010646</v>
      </c>
      <c r="H271" s="37" t="n">
        <v>0.532372045850974</v>
      </c>
      <c r="I271" s="40" t="inlineStr">
        <is>
          <t>Inviable</t>
        </is>
      </c>
      <c r="J271" s="29" t="n">
        <v>-20.69400705273402</v>
      </c>
      <c r="K271" s="35" t="n">
        <v>-101.2537546614108</v>
      </c>
      <c r="L271" s="36" t="n">
        <v>2600</v>
      </c>
      <c r="M271" s="29" t="n">
        <v>7.5</v>
      </c>
      <c r="N271" s="16" t="inlineStr">
        <is>
          <t>sí</t>
        </is>
      </c>
      <c r="O271" s="16" t="inlineStr">
        <is>
          <t>O2,O3</t>
        </is>
      </c>
    </row>
    <row r="272">
      <c r="A272" s="16" t="inlineStr">
        <is>
          <t>KF-M05-3-0010</t>
        </is>
      </c>
      <c r="B272" s="35" t="n">
        <v>609.1063808251395</v>
      </c>
      <c r="C272" s="37" t="n">
        <v>0.6116980690018408</v>
      </c>
      <c r="D272" s="37" t="n">
        <v>0.7641887427603294</v>
      </c>
      <c r="E272" s="37" t="n">
        <v>0.4378109757169539</v>
      </c>
      <c r="F272" s="37" t="n">
        <v>0.5389517691857563</v>
      </c>
      <c r="G272" s="37" t="n">
        <v>0.8358000762192723</v>
      </c>
      <c r="H272" s="37" t="n">
        <v>0.4975210361061862</v>
      </c>
      <c r="I272" s="40" t="inlineStr">
        <is>
          <t>Inviable</t>
        </is>
      </c>
      <c r="J272" s="29" t="n">
        <v>-30.10908133336867</v>
      </c>
      <c r="K272" s="35" t="n">
        <v>-180.3689617529068</v>
      </c>
      <c r="L272" s="36" t="n">
        <v>2600</v>
      </c>
      <c r="M272" s="29" t="n">
        <v>7.5</v>
      </c>
      <c r="N272" s="16" t="inlineStr">
        <is>
          <t>sí</t>
        </is>
      </c>
      <c r="O272" s="16" t="inlineStr">
        <is>
          <t>O2,O3</t>
        </is>
      </c>
    </row>
    <row r="273">
      <c r="A273" s="16" t="inlineStr">
        <is>
          <t>KF-M05-3-0011</t>
        </is>
      </c>
      <c r="B273" s="35" t="n">
        <v>532.6751081064658</v>
      </c>
      <c r="C273" s="37" t="n">
        <v>0.6147245107538609</v>
      </c>
      <c r="D273" s="37" t="n">
        <v>0.447207008096016</v>
      </c>
      <c r="E273" s="37" t="n">
        <v>0.4063995791549714</v>
      </c>
      <c r="F273" s="37" t="n">
        <v>0.6937516652254687</v>
      </c>
      <c r="G273" s="37" t="n">
        <v>0.4196071358199563</v>
      </c>
      <c r="H273" s="37" t="n">
        <v>0.8610034670233442</v>
      </c>
      <c r="I273" s="40" t="inlineStr">
        <is>
          <t>Inviable</t>
        </is>
      </c>
      <c r="J273" s="29" t="n">
        <v>-4.00171893846923</v>
      </c>
      <c r="K273" s="35" t="n">
        <v>-47.82596735897582</v>
      </c>
      <c r="L273" s="36" t="n">
        <v>2600</v>
      </c>
      <c r="M273" s="29" t="n">
        <v>7.5</v>
      </c>
      <c r="N273" s="16" t="inlineStr">
        <is>
          <t>sí</t>
        </is>
      </c>
      <c r="O273" s="16" t="inlineStr">
        <is>
          <t>O2,O3</t>
        </is>
      </c>
    </row>
    <row r="274">
      <c r="A274" s="16" t="inlineStr">
        <is>
          <t>KF-M05-3-0012</t>
        </is>
      </c>
      <c r="B274" s="35" t="n">
        <v>551.0090842931465</v>
      </c>
      <c r="C274" s="37" t="n">
        <v>0.6390020178394764</v>
      </c>
      <c r="D274" s="37" t="n">
        <v>0.640669458466725</v>
      </c>
      <c r="E274" s="37" t="n">
        <v>0.8139127047632136</v>
      </c>
      <c r="F274" s="37" t="n">
        <v>0.8116307509041087</v>
      </c>
      <c r="G274" s="37" t="n">
        <v>0.7428661607207983</v>
      </c>
      <c r="H274" s="37" t="n">
        <v>0.787609982773286</v>
      </c>
      <c r="I274" s="39" t="inlineStr">
        <is>
          <t>Corregible</t>
        </is>
      </c>
      <c r="J274" s="29" t="n">
        <v>5.78741041076415</v>
      </c>
      <c r="K274" s="35" t="n">
        <v>74.81818211914</v>
      </c>
      <c r="L274" s="36" t="n">
        <v>2600</v>
      </c>
      <c r="M274" s="29" t="n">
        <v>7.5</v>
      </c>
      <c r="N274" s="16" t="inlineStr">
        <is>
          <t>sí</t>
        </is>
      </c>
      <c r="O274" s="16" t="inlineStr">
        <is>
          <t>O2</t>
        </is>
      </c>
    </row>
    <row r="275">
      <c r="A275" s="16" t="inlineStr">
        <is>
          <t>KF-M05-3-0013</t>
        </is>
      </c>
      <c r="B275" s="35" t="n">
        <v>412.946154199088</v>
      </c>
      <c r="C275" s="37" t="n">
        <v>0.7267798833634042</v>
      </c>
      <c r="D275" s="37" t="n">
        <v>0.4086064574119308</v>
      </c>
      <c r="E275" s="37" t="n">
        <v>0.8781478458327829</v>
      </c>
      <c r="F275" s="37" t="n">
        <v>0.7965983861233046</v>
      </c>
      <c r="G275" s="37" t="n">
        <v>0.4118815940135686</v>
      </c>
      <c r="H275" s="37" t="n">
        <v>0.6331095621837177</v>
      </c>
      <c r="I275" s="40" t="inlineStr">
        <is>
          <t>Inviable</t>
        </is>
      </c>
      <c r="J275" s="29" t="n">
        <v>-39.77031042259333</v>
      </c>
      <c r="K275" s="35" t="n">
        <v>-102.4858765127163</v>
      </c>
      <c r="L275" s="36" t="n">
        <v>2600</v>
      </c>
      <c r="M275" s="29" t="n">
        <v>7.5</v>
      </c>
      <c r="N275" s="16" t="inlineStr">
        <is>
          <t>no</t>
        </is>
      </c>
      <c r="O275" s="16" t="inlineStr">
        <is>
          <t>O2,O3</t>
        </is>
      </c>
    </row>
    <row r="276">
      <c r="A276" s="16" t="inlineStr">
        <is>
          <t>KF-M05-3-0014</t>
        </is>
      </c>
      <c r="B276" s="35" t="n">
        <v>390.6056340373186</v>
      </c>
      <c r="C276" s="37" t="n">
        <v>0.6359438418492387</v>
      </c>
      <c r="D276" s="37" t="n">
        <v>0.5691025866150687</v>
      </c>
      <c r="E276" s="37" t="n">
        <v>0.5068573124528579</v>
      </c>
      <c r="F276" s="37" t="n">
        <v>0.4469782717290895</v>
      </c>
      <c r="G276" s="37" t="n">
        <v>0.438209100832393</v>
      </c>
      <c r="H276" s="37" t="n">
        <v>0.6410822185241565</v>
      </c>
      <c r="I276" s="40" t="inlineStr">
        <is>
          <t>Inviable</t>
        </is>
      </c>
      <c r="J276" s="29" t="n">
        <v>-91.1982271503674</v>
      </c>
      <c r="K276" s="35" t="n">
        <v>-97.87739840707832</v>
      </c>
      <c r="L276" s="36" t="n">
        <v>2600</v>
      </c>
      <c r="M276" s="29" t="n">
        <v>7.5</v>
      </c>
      <c r="N276" s="16" t="inlineStr">
        <is>
          <t>no</t>
        </is>
      </c>
      <c r="O276" s="16" t="inlineStr">
        <is>
          <t>O2,O3</t>
        </is>
      </c>
    </row>
    <row r="277">
      <c r="A277" s="16" t="inlineStr">
        <is>
          <t>KF-M05-3-0015</t>
        </is>
      </c>
      <c r="B277" s="35" t="n">
        <v>553.8082039052807</v>
      </c>
      <c r="C277" s="37" t="n">
        <v>0.5447004326707359</v>
      </c>
      <c r="D277" s="37" t="n">
        <v>0.5890490280331356</v>
      </c>
      <c r="E277" s="37" t="n">
        <v>0.945013231971606</v>
      </c>
      <c r="F277" s="37" t="n">
        <v>0.4228429427927286</v>
      </c>
      <c r="G277" s="37" t="n">
        <v>0.6910833145852511</v>
      </c>
      <c r="H277" s="37" t="n">
        <v>0.4792143232393099</v>
      </c>
      <c r="I277" s="39" t="inlineStr">
        <is>
          <t>Corregible</t>
        </is>
      </c>
      <c r="J277" s="29" t="n">
        <v>0.75488205661574</v>
      </c>
      <c r="K277" s="35" t="n">
        <v>5.037876387032668</v>
      </c>
      <c r="L277" s="36" t="n">
        <v>2600</v>
      </c>
      <c r="M277" s="29" t="n">
        <v>7.5</v>
      </c>
      <c r="N277" s="16" t="inlineStr">
        <is>
          <t>sí</t>
        </is>
      </c>
      <c r="O277" s="16" t="inlineStr">
        <is>
          <t>O2</t>
        </is>
      </c>
      <c r="T277" s="25" t="inlineStr">
        <is>
          <t>Estudio 4.1 · parte(s) 4.1c. Punto base: PP = datos del enunciado del profesor (T_fuente 623.15 K, P_alta 3000 kPa, P_baja 400 kPa, x_b 0.50)</t>
        </is>
      </c>
    </row>
    <row r="278">
      <c r="A278" s="16" t="inlineStr">
        <is>
          <t>KF-M05-3-0016</t>
        </is>
      </c>
      <c r="B278" s="35" t="n">
        <v>600.7840314827683</v>
      </c>
      <c r="C278" s="37" t="n">
        <v>0.5544017235231474</v>
      </c>
      <c r="D278" s="37" t="n">
        <v>0.4215242054116107</v>
      </c>
      <c r="E278" s="37" t="n">
        <v>0.5873813618163921</v>
      </c>
      <c r="F278" s="37" t="n">
        <v>0.8664484790311255</v>
      </c>
      <c r="G278" s="37" t="n">
        <v>0.5976329682575994</v>
      </c>
      <c r="H278" s="37" t="n">
        <v>0.7028215589297018</v>
      </c>
      <c r="I278" s="32" t="inlineStr">
        <is>
          <t>No convergió</t>
        </is>
      </c>
      <c r="J278" s="29" t="inlineStr">
        <is>
          <t>—</t>
        </is>
      </c>
      <c r="K278" s="35" t="inlineStr">
        <is>
          <t>—</t>
        </is>
      </c>
      <c r="L278" s="36" t="n">
        <v>2600</v>
      </c>
      <c r="M278" s="29" t="n">
        <v>7.5</v>
      </c>
      <c r="N278" s="16" t="inlineStr">
        <is>
          <t>no</t>
        </is>
      </c>
      <c r="O278" s="16" t="n"/>
      <c r="T278" s="25" t="inlineStr">
        <is>
          <t>Datos fijos: T_sumidero = 300.03 K; P_alta = 3000 kPa; P_baja = 400 kPa; m_b = 1 kg/s; piso de O2 = 300.03 K; motor de propiedades = teqp.</t>
        </is>
      </c>
    </row>
    <row r="279">
      <c r="A279" s="16" t="inlineStr">
        <is>
          <t>KF-M05-3-0017</t>
        </is>
      </c>
      <c r="B279" s="35" t="n">
        <v>556.5731043585099</v>
      </c>
      <c r="C279" s="37" t="n">
        <v>0.7786092011571454</v>
      </c>
      <c r="D279" s="37" t="n">
        <v>0.8541923114824975</v>
      </c>
      <c r="E279" s="37" t="n">
        <v>0.7612365928421247</v>
      </c>
      <c r="F279" s="37" t="n">
        <v>0.9248847044199332</v>
      </c>
      <c r="G279" s="37" t="n">
        <v>0.911992332795586</v>
      </c>
      <c r="H279" s="37" t="n">
        <v>0.5847588182307909</v>
      </c>
      <c r="I279" s="32" t="inlineStr">
        <is>
          <t>No convergió</t>
        </is>
      </c>
      <c r="J279" s="29" t="inlineStr">
        <is>
          <t>—</t>
        </is>
      </c>
      <c r="K279" s="35" t="inlineStr">
        <is>
          <t>—</t>
        </is>
      </c>
      <c r="L279" s="36" t="n">
        <v>2600</v>
      </c>
      <c r="M279" s="29" t="n">
        <v>7.5</v>
      </c>
      <c r="N279" s="16" t="inlineStr">
        <is>
          <t>no</t>
        </is>
      </c>
      <c r="O279" s="16" t="n"/>
      <c r="T279" s="25" t="inlineStr">
        <is>
          <t>Datos barridos: T_fuente [380.23–622.4] K (120 valores); x_b [0.50023–0.84932] (120 valores); η_t [0.40006–0.94769] (120 valores); η_p [0.4036–0.94548] (120 valores); ε_HRVG [0.40016–0.94888] (120 valores); ε_reg [0.40216–0.9486] (120 valores); ε_cond [0.40424–0.94685] (120 valores).</t>
        </is>
      </c>
    </row>
    <row r="280">
      <c r="A280" s="16" t="inlineStr">
        <is>
          <t>KF-M05-3-0018</t>
        </is>
      </c>
      <c r="B280" s="35" t="n">
        <v>425.0056405326238</v>
      </c>
      <c r="C280" s="37" t="n">
        <v>0.8122892861893598</v>
      </c>
      <c r="D280" s="37" t="n">
        <v>0.8157696589247451</v>
      </c>
      <c r="E280" s="37" t="n">
        <v>0.7712348221321236</v>
      </c>
      <c r="F280" s="37" t="n">
        <v>0.6814177677499869</v>
      </c>
      <c r="G280" s="37" t="n">
        <v>0.913488757543204</v>
      </c>
      <c r="H280" s="37" t="n">
        <v>0.7674178544991119</v>
      </c>
      <c r="I280" s="40" t="inlineStr">
        <is>
          <t>Inviable</t>
        </is>
      </c>
      <c r="J280" s="29" t="n">
        <v>-14.67267600697272</v>
      </c>
      <c r="K280" s="35" t="n">
        <v>-44.90275516688453</v>
      </c>
      <c r="L280" s="36" t="n">
        <v>2600</v>
      </c>
      <c r="M280" s="29" t="n">
        <v>7.5</v>
      </c>
      <c r="N280" s="16" t="inlineStr">
        <is>
          <t>no</t>
        </is>
      </c>
      <c r="O280" s="16" t="inlineStr">
        <is>
          <t>O2,O3</t>
        </is>
      </c>
      <c r="T280" s="25" t="inlineStr">
        <is>
          <t>Filtro: todos los puntos evaluados (omitidos no se dibujan; marcador hueco = fuera del rango confiable).</t>
        </is>
      </c>
    </row>
    <row r="281">
      <c r="A281" s="16" t="inlineStr">
        <is>
          <t>KF-M05-3-0019</t>
        </is>
      </c>
      <c r="B281" s="35" t="n">
        <v>594.1732460353177</v>
      </c>
      <c r="C281" s="37" t="n">
        <v>0.720992218261994</v>
      </c>
      <c r="D281" s="37" t="n">
        <v>0.678816341494245</v>
      </c>
      <c r="E281" s="37" t="n">
        <v>0.5388240200756643</v>
      </c>
      <c r="F281" s="37" t="n">
        <v>0.6502414583060714</v>
      </c>
      <c r="G281" s="37" t="n">
        <v>0.904097134053554</v>
      </c>
      <c r="H281" s="37" t="n">
        <v>0.547140416581843</v>
      </c>
      <c r="I281" s="32" t="inlineStr">
        <is>
          <t>No convergió</t>
        </is>
      </c>
      <c r="J281" s="29" t="inlineStr">
        <is>
          <t>—</t>
        </is>
      </c>
      <c r="K281" s="35" t="inlineStr">
        <is>
          <t>—</t>
        </is>
      </c>
      <c r="L281" s="36" t="n">
        <v>2600</v>
      </c>
      <c r="M281" s="29" t="n">
        <v>7.5</v>
      </c>
      <c r="N281" s="16" t="inlineStr">
        <is>
          <t>no</t>
        </is>
      </c>
      <c r="O281" s="16" t="n"/>
      <c r="T281" s="25" t="inlineStr">
        <is>
          <t>n = 120. Fuente: todos_los_puntos.csv.</t>
        </is>
      </c>
    </row>
    <row r="282">
      <c r="A282" s="16" t="inlineStr">
        <is>
          <t>KF-M05-3-0020</t>
        </is>
      </c>
      <c r="B282" s="35" t="n">
        <v>537.161358263692</v>
      </c>
      <c r="C282" s="37" t="n">
        <v>0.7424700445137763</v>
      </c>
      <c r="D282" s="37" t="n">
        <v>0.8387917005403409</v>
      </c>
      <c r="E282" s="37" t="n">
        <v>0.7377774863410652</v>
      </c>
      <c r="F282" s="37" t="n">
        <v>0.8621776424608001</v>
      </c>
      <c r="G282" s="37" t="n">
        <v>0.7243817567209222</v>
      </c>
      <c r="H282" s="37" t="n">
        <v>0.4954552647771493</v>
      </c>
      <c r="I282" s="32" t="inlineStr">
        <is>
          <t>No convergió</t>
        </is>
      </c>
      <c r="J282" s="29" t="inlineStr">
        <is>
          <t>—</t>
        </is>
      </c>
      <c r="K282" s="35" t="inlineStr">
        <is>
          <t>—</t>
        </is>
      </c>
      <c r="L282" s="36" t="n">
        <v>2600</v>
      </c>
      <c r="M282" s="29" t="n">
        <v>7.5</v>
      </c>
      <c r="N282" s="16" t="inlineStr">
        <is>
          <t>no</t>
        </is>
      </c>
      <c r="O282" s="16" t="n"/>
    </row>
    <row r="283">
      <c r="A283" s="16" t="inlineStr">
        <is>
          <t>KF-M05-3-0021</t>
        </is>
      </c>
      <c r="B283" s="35" t="n">
        <v>439.6326463287218</v>
      </c>
      <c r="C283" s="37" t="n">
        <v>0.8395456462828537</v>
      </c>
      <c r="D283" s="37" t="n">
        <v>0.8191317189025469</v>
      </c>
      <c r="E283" s="37" t="n">
        <v>0.6045257010314066</v>
      </c>
      <c r="F283" s="37" t="n">
        <v>0.9035894275906746</v>
      </c>
      <c r="G283" s="37" t="n">
        <v>0.5889026319615671</v>
      </c>
      <c r="H283" s="37" t="n">
        <v>0.6537626443852611</v>
      </c>
      <c r="I283" s="38" t="inlineStr">
        <is>
          <t>Falso convergido</t>
        </is>
      </c>
      <c r="J283" s="29" t="inlineStr">
        <is>
          <t>—</t>
        </is>
      </c>
      <c r="K283" s="35" t="inlineStr">
        <is>
          <t>—</t>
        </is>
      </c>
      <c r="L283" s="36" t="n">
        <v>2600</v>
      </c>
      <c r="M283" s="29" t="n">
        <v>7.5</v>
      </c>
      <c r="N283" s="16" t="inlineStr">
        <is>
          <t>sí</t>
        </is>
      </c>
      <c r="O283" s="16" t="inlineStr">
        <is>
          <t>N2,O2,O3,O5,C1,C3,C3</t>
        </is>
      </c>
    </row>
    <row r="284">
      <c r="A284" s="16" t="inlineStr">
        <is>
          <t>KF-M05-3-0022</t>
        </is>
      </c>
      <c r="B284" s="35" t="n">
        <v>399.9921037351105</v>
      </c>
      <c r="C284" s="37" t="n">
        <v>0.6669622479905059</v>
      </c>
      <c r="D284" s="37" t="n">
        <v>0.4617267703033866</v>
      </c>
      <c r="E284" s="37" t="n">
        <v>0.8088517708969274</v>
      </c>
      <c r="F284" s="37" t="n">
        <v>0.9406636549578944</v>
      </c>
      <c r="G284" s="37" t="n">
        <v>0.4333662600531253</v>
      </c>
      <c r="H284" s="37" t="n">
        <v>0.8377966254905889</v>
      </c>
      <c r="I284" s="40" t="inlineStr">
        <is>
          <t>Inviable</t>
        </is>
      </c>
      <c r="J284" s="29" t="n">
        <v>-11.75270900418736</v>
      </c>
      <c r="K284" s="35" t="n">
        <v>-43.32466390593312</v>
      </c>
      <c r="L284" s="36" t="n">
        <v>2600</v>
      </c>
      <c r="M284" s="29" t="n">
        <v>7.5</v>
      </c>
      <c r="N284" s="16" t="inlineStr">
        <is>
          <t>no</t>
        </is>
      </c>
      <c r="O284" s="16" t="inlineStr">
        <is>
          <t>O2,O3</t>
        </is>
      </c>
    </row>
    <row r="285">
      <c r="A285" s="16" t="inlineStr">
        <is>
          <t>KF-M05-3-0023</t>
        </is>
      </c>
      <c r="B285" s="35" t="n">
        <v>443.5165061523125</v>
      </c>
      <c r="C285" s="37" t="n">
        <v>0.6536534475117483</v>
      </c>
      <c r="D285" s="37" t="n">
        <v>0.8329548806634326</v>
      </c>
      <c r="E285" s="37" t="n">
        <v>0.6808843306030921</v>
      </c>
      <c r="F285" s="37" t="n">
        <v>0.6699992517740425</v>
      </c>
      <c r="G285" s="37" t="n">
        <v>0.5728182792709542</v>
      </c>
      <c r="H285" s="37" t="n">
        <v>0.8553408998520861</v>
      </c>
      <c r="I285" s="39" t="inlineStr">
        <is>
          <t>Corregible</t>
        </is>
      </c>
      <c r="J285" s="29" t="n">
        <v>7.18444042585885</v>
      </c>
      <c r="K285" s="35" t="n">
        <v>51.54043425873152</v>
      </c>
      <c r="L285" s="36" t="n">
        <v>2600</v>
      </c>
      <c r="M285" s="29" t="n">
        <v>7.5</v>
      </c>
      <c r="N285" s="16" t="inlineStr">
        <is>
          <t>sí</t>
        </is>
      </c>
      <c r="O285" s="16" t="inlineStr">
        <is>
          <t>O2</t>
        </is>
      </c>
    </row>
    <row r="286">
      <c r="A286" s="16" t="inlineStr">
        <is>
          <t>KF-M05-3-0024</t>
        </is>
      </c>
      <c r="B286" s="35" t="n">
        <v>511.6530648390957</v>
      </c>
      <c r="C286" s="37" t="n">
        <v>0.5423293022789694</v>
      </c>
      <c r="D286" s="37" t="n">
        <v>0.5706195694791188</v>
      </c>
      <c r="E286" s="37" t="n">
        <v>0.7304526825257913</v>
      </c>
      <c r="F286" s="37" t="n">
        <v>0.6183777699462301</v>
      </c>
      <c r="G286" s="37" t="n">
        <v>0.7615327771024378</v>
      </c>
      <c r="H286" s="37" t="n">
        <v>0.4759875207492746</v>
      </c>
      <c r="I286" s="40" t="inlineStr">
        <is>
          <t>Inviable</t>
        </is>
      </c>
      <c r="J286" s="29" t="n">
        <v>-6.04997499648693</v>
      </c>
      <c r="K286" s="35" t="n">
        <v>-46.40988623270053</v>
      </c>
      <c r="L286" s="36" t="n">
        <v>2600</v>
      </c>
      <c r="M286" s="29" t="n">
        <v>7.5</v>
      </c>
      <c r="N286" s="16" t="inlineStr">
        <is>
          <t>sí</t>
        </is>
      </c>
      <c r="O286" s="16" t="inlineStr">
        <is>
          <t>O2,O3</t>
        </is>
      </c>
    </row>
    <row r="287">
      <c r="A287" s="16" t="inlineStr">
        <is>
          <t>KF-M05-3-0025</t>
        </is>
      </c>
      <c r="B287" s="35" t="n">
        <v>474.9757901500179</v>
      </c>
      <c r="C287" s="37" t="n">
        <v>0.5299342588061428</v>
      </c>
      <c r="D287" s="37" t="n">
        <v>0.5082319389005318</v>
      </c>
      <c r="E287" s="37" t="n">
        <v>0.8587316218990477</v>
      </c>
      <c r="F287" s="37" t="n">
        <v>0.4280287693744812</v>
      </c>
      <c r="G287" s="37" t="n">
        <v>0.5432903570112302</v>
      </c>
      <c r="H287" s="37" t="n">
        <v>0.6883759470879197</v>
      </c>
      <c r="I287" s="39" t="inlineStr">
        <is>
          <t>Corregible</t>
        </is>
      </c>
      <c r="J287" s="29" t="n">
        <v>4.79638899877783</v>
      </c>
      <c r="K287" s="35" t="n">
        <v>37.93284751091994</v>
      </c>
      <c r="L287" s="36" t="n">
        <v>2600</v>
      </c>
      <c r="M287" s="29" t="n">
        <v>7.5</v>
      </c>
      <c r="N287" s="16" t="inlineStr">
        <is>
          <t>sí</t>
        </is>
      </c>
      <c r="O287" s="16" t="inlineStr">
        <is>
          <t>O2</t>
        </is>
      </c>
    </row>
    <row r="288">
      <c r="A288" s="16" t="inlineStr">
        <is>
          <t>KF-M05-3-0026</t>
        </is>
      </c>
      <c r="B288" s="35" t="n">
        <v>606.7187849964051</v>
      </c>
      <c r="C288" s="37" t="n">
        <v>0.6746481715597001</v>
      </c>
      <c r="D288" s="37" t="n">
        <v>0.6704320823770689</v>
      </c>
      <c r="E288" s="37" t="n">
        <v>0.7939885686966349</v>
      </c>
      <c r="F288" s="37" t="n">
        <v>0.8344156488044318</v>
      </c>
      <c r="G288" s="37" t="n">
        <v>0.7446782107384683</v>
      </c>
      <c r="H288" s="37" t="n">
        <v>0.6803185635167723</v>
      </c>
      <c r="I288" s="32" t="inlineStr">
        <is>
          <t>No convergió</t>
        </is>
      </c>
      <c r="J288" s="29" t="inlineStr">
        <is>
          <t>—</t>
        </is>
      </c>
      <c r="K288" s="35" t="inlineStr">
        <is>
          <t>—</t>
        </is>
      </c>
      <c r="L288" s="36" t="n">
        <v>2600</v>
      </c>
      <c r="M288" s="29" t="n">
        <v>7.5</v>
      </c>
      <c r="N288" s="16" t="inlineStr">
        <is>
          <t>no</t>
        </is>
      </c>
      <c r="O288" s="16" t="n"/>
    </row>
    <row r="289">
      <c r="A289" s="16" t="inlineStr">
        <is>
          <t>KF-M05-3-0027</t>
        </is>
      </c>
      <c r="B289" s="35" t="n">
        <v>408.9186276777468</v>
      </c>
      <c r="C289" s="37" t="n">
        <v>0.8466827357352771</v>
      </c>
      <c r="D289" s="37" t="n">
        <v>0.6250116325890799</v>
      </c>
      <c r="E289" s="37" t="n">
        <v>0.6141980196669246</v>
      </c>
      <c r="F289" s="37" t="n">
        <v>0.8691276706472848</v>
      </c>
      <c r="G289" s="37" t="n">
        <v>0.8567046978616031</v>
      </c>
      <c r="H289" s="37" t="n">
        <v>0.6440692610401211</v>
      </c>
      <c r="I289" s="40" t="inlineStr">
        <is>
          <t>Inviable</t>
        </is>
      </c>
      <c r="J289" s="29" t="n">
        <v>-806.6481315320914</v>
      </c>
      <c r="K289" s="35" t="n">
        <v>-224.9880631897685</v>
      </c>
      <c r="L289" s="36" t="n">
        <v>2600</v>
      </c>
      <c r="M289" s="29" t="n">
        <v>7.5</v>
      </c>
      <c r="N289" s="16" t="inlineStr">
        <is>
          <t>no</t>
        </is>
      </c>
      <c r="O289" s="16" t="inlineStr">
        <is>
          <t>O2,O3</t>
        </is>
      </c>
    </row>
    <row r="290">
      <c r="A290" s="16" t="inlineStr">
        <is>
          <t>KF-M05-3-0028</t>
        </is>
      </c>
      <c r="B290" s="35" t="n">
        <v>500.5143031331014</v>
      </c>
      <c r="C290" s="37" t="n">
        <v>0.5060084448898136</v>
      </c>
      <c r="D290" s="37" t="n">
        <v>0.9162115301012635</v>
      </c>
      <c r="E290" s="37" t="n">
        <v>0.925640142070329</v>
      </c>
      <c r="F290" s="37" t="n">
        <v>0.948883523629542</v>
      </c>
      <c r="G290" s="37" t="n">
        <v>0.78827908660193</v>
      </c>
      <c r="H290" s="37" t="n">
        <v>0.6116071135001339</v>
      </c>
      <c r="I290" s="38" t="inlineStr">
        <is>
          <t>Falso convergido</t>
        </is>
      </c>
      <c r="J290" s="29" t="inlineStr">
        <is>
          <t>—</t>
        </is>
      </c>
      <c r="K290" s="35" t="inlineStr">
        <is>
          <t>—</t>
        </is>
      </c>
      <c r="L290" s="36" t="n">
        <v>2600</v>
      </c>
      <c r="M290" s="29" t="n">
        <v>7.5</v>
      </c>
      <c r="N290" s="16" t="inlineStr">
        <is>
          <t>sí</t>
        </is>
      </c>
      <c r="O290" s="16" t="inlineStr">
        <is>
          <t>N2,O1,O2,O5,C1,C3,C3</t>
        </is>
      </c>
    </row>
    <row r="291">
      <c r="A291" s="16" t="inlineStr">
        <is>
          <t>KF-M05-3-0029</t>
        </is>
      </c>
      <c r="B291" s="35" t="n">
        <v>388.4410862758752</v>
      </c>
      <c r="C291" s="37" t="n">
        <v>0.6511492262677256</v>
      </c>
      <c r="D291" s="37" t="n">
        <v>0.947690869162384</v>
      </c>
      <c r="E291" s="37" t="n">
        <v>0.5610630693618993</v>
      </c>
      <c r="F291" s="37" t="n">
        <v>0.5886053160603589</v>
      </c>
      <c r="G291" s="37" t="n">
        <v>0.4960137037471166</v>
      </c>
      <c r="H291" s="37" t="n">
        <v>0.4121251072748962</v>
      </c>
      <c r="I291" s="40" t="inlineStr">
        <is>
          <t>Inviable</t>
        </is>
      </c>
      <c r="J291" s="29" t="n">
        <v>-178.7022260443007</v>
      </c>
      <c r="K291" s="35" t="n">
        <v>-88.16019673246498</v>
      </c>
      <c r="L291" s="36" t="n">
        <v>2600</v>
      </c>
      <c r="M291" s="29" t="n">
        <v>7.5</v>
      </c>
      <c r="N291" s="16" t="inlineStr">
        <is>
          <t>no</t>
        </is>
      </c>
      <c r="O291" s="16" t="inlineStr">
        <is>
          <t>O2,O3</t>
        </is>
      </c>
    </row>
    <row r="292">
      <c r="A292" s="16" t="inlineStr">
        <is>
          <t>KF-M05-3-0030</t>
        </is>
      </c>
      <c r="B292" s="35" t="n">
        <v>455.4337530671798</v>
      </c>
      <c r="C292" s="37" t="n">
        <v>0.5982496109527291</v>
      </c>
      <c r="D292" s="37" t="n">
        <v>0.4418500793851255</v>
      </c>
      <c r="E292" s="37" t="n">
        <v>0.6752244461389387</v>
      </c>
      <c r="F292" s="37" t="n">
        <v>0.6621984421116143</v>
      </c>
      <c r="G292" s="37" t="n">
        <v>0.8648683596643336</v>
      </c>
      <c r="H292" s="37" t="n">
        <v>0.8983792217482138</v>
      </c>
      <c r="I292" s="39" t="inlineStr">
        <is>
          <t>Corregible</t>
        </is>
      </c>
      <c r="J292" s="29" t="n">
        <v>3.50586064010159</v>
      </c>
      <c r="K292" s="35" t="n">
        <v>33.94154966777704</v>
      </c>
      <c r="L292" s="36" t="n">
        <v>2600</v>
      </c>
      <c r="M292" s="29" t="n">
        <v>7.5</v>
      </c>
      <c r="N292" s="16" t="inlineStr">
        <is>
          <t>sí</t>
        </is>
      </c>
      <c r="O292" s="16" t="inlineStr">
        <is>
          <t>O2</t>
        </is>
      </c>
    </row>
    <row r="293">
      <c r="A293" s="16" t="inlineStr">
        <is>
          <t>KF-M05-3-0031</t>
        </is>
      </c>
      <c r="B293" s="35" t="n">
        <v>469.9326625469366</v>
      </c>
      <c r="C293" s="37" t="n">
        <v>0.5884072933795949</v>
      </c>
      <c r="D293" s="37" t="n">
        <v>0.7884941185224705</v>
      </c>
      <c r="E293" s="37" t="n">
        <v>0.8933341616486685</v>
      </c>
      <c r="F293" s="37" t="n">
        <v>0.6397846042283359</v>
      </c>
      <c r="G293" s="37" t="n">
        <v>0.5360683799713772</v>
      </c>
      <c r="H293" s="37" t="n">
        <v>0.7578814721447729</v>
      </c>
      <c r="I293" s="39" t="inlineStr">
        <is>
          <t>Corregible</t>
        </is>
      </c>
      <c r="J293" s="29" t="n">
        <v>10.78882309038106</v>
      </c>
      <c r="K293" s="35" t="n">
        <v>112.6430884618784</v>
      </c>
      <c r="L293" s="36" t="n">
        <v>2600</v>
      </c>
      <c r="M293" s="29" t="n">
        <v>7.5</v>
      </c>
      <c r="N293" s="16" t="inlineStr">
        <is>
          <t>sí</t>
        </is>
      </c>
      <c r="O293" s="16" t="inlineStr">
        <is>
          <t>O2</t>
        </is>
      </c>
    </row>
    <row r="294">
      <c r="A294" s="16" t="inlineStr">
        <is>
          <t>KF-M05-3-0032</t>
        </is>
      </c>
      <c r="B294" s="35" t="n">
        <v>461.5044062582205</v>
      </c>
      <c r="C294" s="37" t="n">
        <v>0.5660666384587838</v>
      </c>
      <c r="D294" s="37" t="n">
        <v>0.6096056807509492</v>
      </c>
      <c r="E294" s="37" t="n">
        <v>0.524578523929693</v>
      </c>
      <c r="F294" s="37" t="n">
        <v>0.5621775726240521</v>
      </c>
      <c r="G294" s="37" t="n">
        <v>0.4021592121223348</v>
      </c>
      <c r="H294" s="37" t="n">
        <v>0.7805147787956347</v>
      </c>
      <c r="I294" s="39" t="inlineStr">
        <is>
          <t>Corregible</t>
        </is>
      </c>
      <c r="J294" s="29" t="n">
        <v>3.70033104261004</v>
      </c>
      <c r="K294" s="35" t="n">
        <v>32.96902162882051</v>
      </c>
      <c r="L294" s="36" t="n">
        <v>2600</v>
      </c>
      <c r="M294" s="29" t="n">
        <v>7.5</v>
      </c>
      <c r="N294" s="16" t="inlineStr">
        <is>
          <t>sí</t>
        </is>
      </c>
      <c r="O294" s="16" t="inlineStr">
        <is>
          <t>O2</t>
        </is>
      </c>
    </row>
    <row r="295">
      <c r="A295" s="16" t="inlineStr">
        <is>
          <t>KF-M05-3-0033</t>
        </is>
      </c>
      <c r="B295" s="35" t="n">
        <v>386.8532239200022</v>
      </c>
      <c r="C295" s="37" t="n">
        <v>0.7397002607788755</v>
      </c>
      <c r="D295" s="37" t="n">
        <v>0.9074794279912228</v>
      </c>
      <c r="E295" s="37" t="n">
        <v>0.9346253373038194</v>
      </c>
      <c r="F295" s="37" t="n">
        <v>0.7607186012052944</v>
      </c>
      <c r="G295" s="37" t="n">
        <v>0.8990308857253644</v>
      </c>
      <c r="H295" s="37" t="n">
        <v>0.7022080786761189</v>
      </c>
      <c r="I295" s="40" t="inlineStr">
        <is>
          <t>Inviable</t>
        </is>
      </c>
      <c r="J295" s="29" t="n">
        <v>-15.45430710333179</v>
      </c>
      <c r="K295" s="35" t="n">
        <v>-18.33286587583737</v>
      </c>
      <c r="L295" s="36" t="n">
        <v>2600</v>
      </c>
      <c r="M295" s="29" t="n">
        <v>7.5</v>
      </c>
      <c r="N295" s="16" t="inlineStr">
        <is>
          <t>no</t>
        </is>
      </c>
      <c r="O295" s="16" t="inlineStr">
        <is>
          <t>O2,O3</t>
        </is>
      </c>
    </row>
    <row r="296">
      <c r="A296" s="16" t="inlineStr">
        <is>
          <t>KF-M05-3-0034</t>
        </is>
      </c>
      <c r="B296" s="35" t="n">
        <v>560.1879232999236</v>
      </c>
      <c r="C296" s="37" t="n">
        <v>0.6017476361067381</v>
      </c>
      <c r="D296" s="37" t="n">
        <v>0.8307089166677921</v>
      </c>
      <c r="E296" s="37" t="n">
        <v>0.9161150365220322</v>
      </c>
      <c r="F296" s="37" t="n">
        <v>0.5070393926228</v>
      </c>
      <c r="G296" s="37" t="n">
        <v>0.6669262856925675</v>
      </c>
      <c r="H296" s="37" t="n">
        <v>0.7651724897085012</v>
      </c>
      <c r="I296" s="39" t="inlineStr">
        <is>
          <t>Corregible</t>
        </is>
      </c>
      <c r="J296" s="29" t="n">
        <v>11.88371993264062</v>
      </c>
      <c r="K296" s="35" t="n">
        <v>111.5910603741757</v>
      </c>
      <c r="L296" s="36" t="n">
        <v>2600</v>
      </c>
      <c r="M296" s="29" t="n">
        <v>7.5</v>
      </c>
      <c r="N296" s="16" t="inlineStr">
        <is>
          <t>sí</t>
        </is>
      </c>
      <c r="O296" s="16" t="inlineStr">
        <is>
          <t>O2</t>
        </is>
      </c>
    </row>
    <row r="297">
      <c r="A297" s="16" t="inlineStr">
        <is>
          <t>KF-M05-3-0035</t>
        </is>
      </c>
      <c r="B297" s="35" t="n">
        <v>447.9633984988485</v>
      </c>
      <c r="C297" s="37" t="n">
        <v>0.6258461161006301</v>
      </c>
      <c r="D297" s="37" t="n">
        <v>0.6508894802430508</v>
      </c>
      <c r="E297" s="37" t="n">
        <v>0.6923882640612424</v>
      </c>
      <c r="F297" s="37" t="n">
        <v>0.8491461053119628</v>
      </c>
      <c r="G297" s="37" t="n">
        <v>0.9219442931035564</v>
      </c>
      <c r="H297" s="37" t="n">
        <v>0.5814954087248995</v>
      </c>
      <c r="I297" s="40" t="inlineStr">
        <is>
          <t>Inviable</t>
        </is>
      </c>
      <c r="J297" s="29" t="n">
        <v>-5.50267990904535</v>
      </c>
      <c r="K297" s="35" t="n">
        <v>-35.356870838221</v>
      </c>
      <c r="L297" s="36" t="n">
        <v>2600</v>
      </c>
      <c r="M297" s="29" t="n">
        <v>7.5</v>
      </c>
      <c r="N297" s="16" t="inlineStr">
        <is>
          <t>sí</t>
        </is>
      </c>
      <c r="O297" s="16" t="inlineStr">
        <is>
          <t>O2,O3</t>
        </is>
      </c>
    </row>
    <row r="298">
      <c r="A298" s="16" t="inlineStr">
        <is>
          <t>KF-M05-3-0036</t>
        </is>
      </c>
      <c r="B298" s="35" t="n">
        <v>437.2572530651493</v>
      </c>
      <c r="C298" s="37" t="n">
        <v>0.5804952425152379</v>
      </c>
      <c r="D298" s="37" t="n">
        <v>0.5274755600067678</v>
      </c>
      <c r="E298" s="37" t="n">
        <v>0.4434151919791364</v>
      </c>
      <c r="F298" s="37" t="n">
        <v>0.6140432517291806</v>
      </c>
      <c r="G298" s="37" t="n">
        <v>0.7793330497907975</v>
      </c>
      <c r="H298" s="37" t="n">
        <v>0.7262960714416669</v>
      </c>
      <c r="I298" s="40" t="inlineStr">
        <is>
          <t>Inviable</t>
        </is>
      </c>
      <c r="J298" s="29" t="n">
        <v>-6.66514360758493</v>
      </c>
      <c r="K298" s="35" t="n">
        <v>-35.36546992597592</v>
      </c>
      <c r="L298" s="36" t="n">
        <v>2600</v>
      </c>
      <c r="M298" s="29" t="n">
        <v>7.5</v>
      </c>
      <c r="N298" s="16" t="inlineStr">
        <is>
          <t>no</t>
        </is>
      </c>
      <c r="O298" s="16" t="inlineStr">
        <is>
          <t>O2,O3</t>
        </is>
      </c>
    </row>
    <row r="299">
      <c r="A299" s="16" t="inlineStr">
        <is>
          <t>KF-M05-3-0037</t>
        </is>
      </c>
      <c r="B299" s="35" t="n">
        <v>486.3554068589664</v>
      </c>
      <c r="C299" s="37" t="n">
        <v>0.8350838540911976</v>
      </c>
      <c r="D299" s="37" t="n">
        <v>0.8867068347787023</v>
      </c>
      <c r="E299" s="37" t="n">
        <v>0.46209017712355</v>
      </c>
      <c r="F299" s="37" t="n">
        <v>0.7562161689673756</v>
      </c>
      <c r="G299" s="37" t="n">
        <v>0.8442760472953063</v>
      </c>
      <c r="H299" s="37" t="n">
        <v>0.825126637493099</v>
      </c>
      <c r="I299" s="38" t="inlineStr">
        <is>
          <t>Falso convergido</t>
        </is>
      </c>
      <c r="J299" s="29" t="inlineStr">
        <is>
          <t>—</t>
        </is>
      </c>
      <c r="K299" s="35" t="inlineStr">
        <is>
          <t>—</t>
        </is>
      </c>
      <c r="L299" s="36" t="n">
        <v>2600</v>
      </c>
      <c r="M299" s="29" t="n">
        <v>7.5</v>
      </c>
      <c r="N299" s="16" t="inlineStr">
        <is>
          <t>sí</t>
        </is>
      </c>
      <c r="O299" s="16" t="inlineStr">
        <is>
          <t>N2,O1,O2,O3,O5,C1,C3,C3</t>
        </is>
      </c>
    </row>
    <row r="300">
      <c r="A300" s="16" t="inlineStr">
        <is>
          <t>KF-M05-3-0038</t>
        </is>
      </c>
      <c r="B300" s="35" t="n">
        <v>622.4010394842219</v>
      </c>
      <c r="C300" s="37" t="n">
        <v>0.6419150260040939</v>
      </c>
      <c r="D300" s="37" t="n">
        <v>0.6440480630958084</v>
      </c>
      <c r="E300" s="37" t="n">
        <v>0.6468079619826472</v>
      </c>
      <c r="F300" s="37" t="n">
        <v>0.6203850333336878</v>
      </c>
      <c r="G300" s="37" t="n">
        <v>0.9065884909582212</v>
      </c>
      <c r="H300" s="37" t="n">
        <v>0.9302914113912673</v>
      </c>
      <c r="I300" s="39" t="inlineStr">
        <is>
          <t>Corregible</t>
        </is>
      </c>
      <c r="J300" s="29" t="n">
        <v>6.526600311918849</v>
      </c>
      <c r="K300" s="35" t="n">
        <v>81.01105272802349</v>
      </c>
      <c r="L300" s="36" t="n">
        <v>2600</v>
      </c>
      <c r="M300" s="29" t="n">
        <v>7.5</v>
      </c>
      <c r="N300" s="16" t="inlineStr">
        <is>
          <t>sí</t>
        </is>
      </c>
      <c r="O300" s="16" t="inlineStr">
        <is>
          <t>O2</t>
        </is>
      </c>
    </row>
    <row r="301">
      <c r="A301" s="16" t="inlineStr">
        <is>
          <t>KF-M05-3-0039</t>
        </is>
      </c>
      <c r="B301" s="35" t="n">
        <v>400.6631603758277</v>
      </c>
      <c r="C301" s="37" t="n">
        <v>0.7301801204772986</v>
      </c>
      <c r="D301" s="37" t="n">
        <v>0.7523962615976039</v>
      </c>
      <c r="E301" s="37" t="n">
        <v>0.4931788602493788</v>
      </c>
      <c r="F301" s="37" t="n">
        <v>0.5872838730103334</v>
      </c>
      <c r="G301" s="37" t="n">
        <v>0.5164696041728722</v>
      </c>
      <c r="H301" s="37" t="n">
        <v>0.74612732560698</v>
      </c>
      <c r="I301" s="40" t="inlineStr">
        <is>
          <t>Inviable</t>
        </is>
      </c>
      <c r="J301" s="29" t="n">
        <v>-141.2247411344582</v>
      </c>
      <c r="K301" s="35" t="n">
        <v>-154.2570526852488</v>
      </c>
      <c r="L301" s="36" t="n">
        <v>2600</v>
      </c>
      <c r="M301" s="29" t="n">
        <v>7.5</v>
      </c>
      <c r="N301" s="16" t="inlineStr">
        <is>
          <t>no</t>
        </is>
      </c>
      <c r="O301" s="16" t="inlineStr">
        <is>
          <t>O2,O3</t>
        </is>
      </c>
    </row>
    <row r="302">
      <c r="A302" s="16" t="inlineStr">
        <is>
          <t>KF-M05-3-0040</t>
        </is>
      </c>
      <c r="B302" s="35" t="n">
        <v>580.5216256422342</v>
      </c>
      <c r="C302" s="37" t="n">
        <v>0.7858663737509292</v>
      </c>
      <c r="D302" s="37" t="n">
        <v>0.4795092294247324</v>
      </c>
      <c r="E302" s="37" t="n">
        <v>0.4714548788924426</v>
      </c>
      <c r="F302" s="37" t="n">
        <v>0.5677070560476284</v>
      </c>
      <c r="G302" s="37" t="n">
        <v>0.878841381030367</v>
      </c>
      <c r="H302" s="37" t="n">
        <v>0.5936550177608475</v>
      </c>
      <c r="I302" s="32" t="inlineStr">
        <is>
          <t>No convergió</t>
        </is>
      </c>
      <c r="J302" s="29" t="inlineStr">
        <is>
          <t>—</t>
        </is>
      </c>
      <c r="K302" s="35" t="inlineStr">
        <is>
          <t>—</t>
        </is>
      </c>
      <c r="L302" s="36" t="n">
        <v>2600</v>
      </c>
      <c r="M302" s="29" t="n">
        <v>7.5</v>
      </c>
      <c r="N302" s="16" t="inlineStr">
        <is>
          <t>no</t>
        </is>
      </c>
      <c r="O302" s="16" t="n"/>
    </row>
    <row r="303">
      <c r="A303" s="16" t="inlineStr">
        <is>
          <t>KF-M05-3-0041</t>
        </is>
      </c>
      <c r="B303" s="35" t="n">
        <v>603.558795625764</v>
      </c>
      <c r="C303" s="37" t="n">
        <v>0.7072519127096381</v>
      </c>
      <c r="D303" s="37" t="n">
        <v>0.7393334562799538</v>
      </c>
      <c r="E303" s="37" t="n">
        <v>0.7233157057487429</v>
      </c>
      <c r="F303" s="37" t="n">
        <v>0.7413185376609448</v>
      </c>
      <c r="G303" s="37" t="n">
        <v>0.9259083370528738</v>
      </c>
      <c r="H303" s="37" t="n">
        <v>0.6202717891407262</v>
      </c>
      <c r="I303" s="32" t="inlineStr">
        <is>
          <t>No convergió</t>
        </is>
      </c>
      <c r="J303" s="29" t="inlineStr">
        <is>
          <t>—</t>
        </is>
      </c>
      <c r="K303" s="35" t="inlineStr">
        <is>
          <t>—</t>
        </is>
      </c>
      <c r="L303" s="36" t="n">
        <v>2600</v>
      </c>
      <c r="M303" s="29" t="n">
        <v>7.5</v>
      </c>
      <c r="N303" s="16" t="inlineStr">
        <is>
          <t>no</t>
        </is>
      </c>
      <c r="O303" s="16" t="n"/>
    </row>
    <row r="304">
      <c r="A304" s="16" t="inlineStr">
        <is>
          <t>KF-M05-3-0042</t>
        </is>
      </c>
      <c r="B304" s="35" t="n">
        <v>504.2386608542011</v>
      </c>
      <c r="C304" s="37" t="n">
        <v>0.7835818371488941</v>
      </c>
      <c r="D304" s="37" t="n">
        <v>0.7144210974168925</v>
      </c>
      <c r="E304" s="37" t="n">
        <v>0.5290888187848881</v>
      </c>
      <c r="F304" s="37" t="n">
        <v>0.4246832191887698</v>
      </c>
      <c r="G304" s="37" t="n">
        <v>0.6254594891074998</v>
      </c>
      <c r="H304" s="37" t="n">
        <v>0.5710598327568374</v>
      </c>
      <c r="I304" s="40" t="inlineStr">
        <is>
          <t>Inviable</t>
        </is>
      </c>
      <c r="J304" s="29" t="n">
        <v>-96.7274045071006</v>
      </c>
      <c r="K304" s="35" t="n">
        <v>-224.7117008556044</v>
      </c>
      <c r="L304" s="36" t="n">
        <v>2600</v>
      </c>
      <c r="M304" s="29" t="n">
        <v>7.5</v>
      </c>
      <c r="N304" s="16" t="inlineStr">
        <is>
          <t>sí</t>
        </is>
      </c>
      <c r="O304" s="16" t="inlineStr">
        <is>
          <t>O2,O3</t>
        </is>
      </c>
    </row>
    <row r="305">
      <c r="A305" s="16" t="inlineStr">
        <is>
          <t>KF-M05-3-0043</t>
        </is>
      </c>
      <c r="B305" s="35" t="n">
        <v>598.2844996976714</v>
      </c>
      <c r="C305" s="37" t="n">
        <v>0.6473094900047327</v>
      </c>
      <c r="D305" s="37" t="n">
        <v>0.8477362406247916</v>
      </c>
      <c r="E305" s="37" t="n">
        <v>0.688094419269641</v>
      </c>
      <c r="F305" s="37" t="n">
        <v>0.9308618145755252</v>
      </c>
      <c r="G305" s="37" t="n">
        <v>0.5472318266028763</v>
      </c>
      <c r="H305" s="37" t="n">
        <v>0.5977329829185719</v>
      </c>
      <c r="I305" s="32" t="inlineStr">
        <is>
          <t>No convergió</t>
        </is>
      </c>
      <c r="J305" s="29" t="inlineStr">
        <is>
          <t>—</t>
        </is>
      </c>
      <c r="K305" s="35" t="inlineStr">
        <is>
          <t>—</t>
        </is>
      </c>
      <c r="L305" s="36" t="n">
        <v>2600</v>
      </c>
      <c r="M305" s="29" t="n">
        <v>7.5</v>
      </c>
      <c r="N305" s="16" t="inlineStr">
        <is>
          <t>no</t>
        </is>
      </c>
      <c r="O305" s="16" t="n"/>
    </row>
    <row r="306">
      <c r="A306" s="16" t="inlineStr">
        <is>
          <t>KF-M05-3-0044</t>
        </is>
      </c>
      <c r="B306" s="35" t="n">
        <v>522.4346026969514</v>
      </c>
      <c r="C306" s="37" t="n">
        <v>0.7750031506868397</v>
      </c>
      <c r="D306" s="37" t="n">
        <v>0.7727314076870302</v>
      </c>
      <c r="E306" s="37" t="n">
        <v>0.7130250700581549</v>
      </c>
      <c r="F306" s="37" t="n">
        <v>0.4436594752654966</v>
      </c>
      <c r="G306" s="37" t="n">
        <v>0.6435726976760021</v>
      </c>
      <c r="H306" s="37" t="n">
        <v>0.8863774470351146</v>
      </c>
      <c r="I306" s="40" t="inlineStr">
        <is>
          <t>Inviable</t>
        </is>
      </c>
      <c r="J306" s="29" t="n">
        <v>-5.76176576847549</v>
      </c>
      <c r="K306" s="35" t="n">
        <v>-28.21640096756465</v>
      </c>
      <c r="L306" s="36" t="n">
        <v>2600</v>
      </c>
      <c r="M306" s="29" t="n">
        <v>7.5</v>
      </c>
      <c r="N306" s="16" t="inlineStr">
        <is>
          <t>sí</t>
        </is>
      </c>
      <c r="O306" s="16" t="inlineStr">
        <is>
          <t>O2,O3</t>
        </is>
      </c>
    </row>
    <row r="307">
      <c r="A307" s="16" t="inlineStr">
        <is>
          <t>KF-M05-3-0045</t>
        </is>
      </c>
      <c r="B307" s="35" t="n">
        <v>612.8475057954793</v>
      </c>
      <c r="C307" s="37" t="n">
        <v>0.7227319123229173</v>
      </c>
      <c r="D307" s="37" t="n">
        <v>0.4318472714308826</v>
      </c>
      <c r="E307" s="37" t="n">
        <v>0.7025626894007684</v>
      </c>
      <c r="F307" s="37" t="n">
        <v>0.5111352084824232</v>
      </c>
      <c r="G307" s="37" t="n">
        <v>0.6599493790081302</v>
      </c>
      <c r="H307" s="37" t="n">
        <v>0.7928597151575177</v>
      </c>
      <c r="I307" s="40" t="inlineStr">
        <is>
          <t>Inviable</t>
        </is>
      </c>
      <c r="J307" s="29" t="n">
        <v>-13.57054174256446</v>
      </c>
      <c r="K307" s="35" t="n">
        <v>-98.71033310388135</v>
      </c>
      <c r="L307" s="36" t="n">
        <v>2600</v>
      </c>
      <c r="M307" s="29" t="n">
        <v>7.5</v>
      </c>
      <c r="N307" s="16" t="inlineStr">
        <is>
          <t>sí</t>
        </is>
      </c>
      <c r="O307" s="16" t="inlineStr">
        <is>
          <t>O2,O3</t>
        </is>
      </c>
    </row>
    <row r="308">
      <c r="A308" s="16" t="inlineStr">
        <is>
          <t>KF-M05-3-0046</t>
        </is>
      </c>
      <c r="B308" s="35" t="n">
        <v>457.2216577442974</v>
      </c>
      <c r="C308" s="37" t="n">
        <v>0.5171261458375973</v>
      </c>
      <c r="D308" s="37" t="n">
        <v>0.5979595765990878</v>
      </c>
      <c r="E308" s="37" t="n">
        <v>0.7418764831194306</v>
      </c>
      <c r="F308" s="37" t="n">
        <v>0.6452608350029825</v>
      </c>
      <c r="G308" s="37" t="n">
        <v>0.927407507430675</v>
      </c>
      <c r="H308" s="37" t="n">
        <v>0.5590027346830229</v>
      </c>
      <c r="I308" s="39" t="inlineStr">
        <is>
          <t>Corregible</t>
        </is>
      </c>
      <c r="J308" s="29" t="n">
        <v>2.12138377333399</v>
      </c>
      <c r="K308" s="35" t="n">
        <v>14.37979530040354</v>
      </c>
      <c r="L308" s="36" t="n">
        <v>2600</v>
      </c>
      <c r="M308" s="29" t="n">
        <v>7.5</v>
      </c>
      <c r="N308" s="16" t="inlineStr">
        <is>
          <t>sí</t>
        </is>
      </c>
      <c r="O308" s="16" t="inlineStr">
        <is>
          <t>O2</t>
        </is>
      </c>
    </row>
    <row r="309">
      <c r="A309" s="16" t="inlineStr">
        <is>
          <t>KF-M05-3-0047</t>
        </is>
      </c>
      <c r="B309" s="35" t="n">
        <v>446.6610990777016</v>
      </c>
      <c r="C309" s="37" t="n">
        <v>0.7178881530983336</v>
      </c>
      <c r="D309" s="37" t="n">
        <v>0.7904055601669546</v>
      </c>
      <c r="E309" s="37" t="n">
        <v>0.667493105271997</v>
      </c>
      <c r="F309" s="37" t="n">
        <v>0.6552678974579018</v>
      </c>
      <c r="G309" s="37" t="n">
        <v>0.5072799437902676</v>
      </c>
      <c r="H309" s="37" t="n">
        <v>0.905181915356378</v>
      </c>
      <c r="I309" s="39" t="inlineStr">
        <is>
          <t>Corregible</t>
        </is>
      </c>
      <c r="J309" s="29" t="n">
        <v>2.79535855766095</v>
      </c>
      <c r="K309" s="35" t="n">
        <v>20.35967594120516</v>
      </c>
      <c r="L309" s="36" t="n">
        <v>2600</v>
      </c>
      <c r="M309" s="29" t="n">
        <v>7.5</v>
      </c>
      <c r="N309" s="16" t="inlineStr">
        <is>
          <t>sí</t>
        </is>
      </c>
      <c r="O309" s="16" t="inlineStr">
        <is>
          <t>O2</t>
        </is>
      </c>
    </row>
    <row r="310">
      <c r="A310" s="16" t="inlineStr">
        <is>
          <t>KF-M05-3-0048</t>
        </is>
      </c>
      <c r="B310" s="35" t="n">
        <v>407.8461758439716</v>
      </c>
      <c r="C310" s="37" t="n">
        <v>0.5677903011123041</v>
      </c>
      <c r="D310" s="37" t="n">
        <v>0.7372934298882851</v>
      </c>
      <c r="E310" s="37" t="n">
        <v>0.6379959830194732</v>
      </c>
      <c r="F310" s="37" t="n">
        <v>0.9052441833331754</v>
      </c>
      <c r="G310" s="37" t="n">
        <v>0.4610382266178185</v>
      </c>
      <c r="H310" s="37" t="n">
        <v>0.8804920718700158</v>
      </c>
      <c r="I310" s="39" t="inlineStr">
        <is>
          <t>Corregible</t>
        </is>
      </c>
      <c r="J310" s="29" t="n">
        <v>8.146138647950121</v>
      </c>
      <c r="K310" s="35" t="n">
        <v>45.27345243734023</v>
      </c>
      <c r="L310" s="36" t="n">
        <v>2600</v>
      </c>
      <c r="M310" s="29" t="n">
        <v>7.5</v>
      </c>
      <c r="N310" s="16" t="inlineStr">
        <is>
          <t>no</t>
        </is>
      </c>
      <c r="O310" s="16" t="inlineStr">
        <is>
          <t>O2</t>
        </is>
      </c>
    </row>
    <row r="311">
      <c r="A311" s="16" t="inlineStr">
        <is>
          <t>KF-M05-3-0049</t>
        </is>
      </c>
      <c r="B311" s="35" t="n">
        <v>460.4129991595481</v>
      </c>
      <c r="C311" s="37" t="n">
        <v>0.8037495719304026</v>
      </c>
      <c r="D311" s="37" t="n">
        <v>0.8646315304427623</v>
      </c>
      <c r="E311" s="37" t="n">
        <v>0.5017476322671229</v>
      </c>
      <c r="F311" s="37" t="n">
        <v>0.8237142799530845</v>
      </c>
      <c r="G311" s="37" t="n">
        <v>0.8719976028703209</v>
      </c>
      <c r="H311" s="37" t="n">
        <v>0.7144965999421928</v>
      </c>
      <c r="I311" s="40" t="inlineStr">
        <is>
          <t>Inviable</t>
        </is>
      </c>
      <c r="J311" s="29" t="n">
        <v>-41.11044295454364</v>
      </c>
      <c r="K311" s="35" t="n">
        <v>-159.0083848581627</v>
      </c>
      <c r="L311" s="36" t="n">
        <v>2600</v>
      </c>
      <c r="M311" s="29" t="n">
        <v>7.5</v>
      </c>
      <c r="N311" s="16" t="inlineStr">
        <is>
          <t>sí</t>
        </is>
      </c>
      <c r="O311" s="16" t="inlineStr">
        <is>
          <t>O2,O3</t>
        </is>
      </c>
    </row>
    <row r="312">
      <c r="A312" s="16" t="inlineStr">
        <is>
          <t>KF-M05-3-0050</t>
        </is>
      </c>
      <c r="B312" s="35" t="n">
        <v>421.6696840792605</v>
      </c>
      <c r="C312" s="37" t="n">
        <v>0.6304329766147577</v>
      </c>
      <c r="D312" s="37" t="n">
        <v>0.664632547960032</v>
      </c>
      <c r="E312" s="37" t="n">
        <v>0.5921434919721225</v>
      </c>
      <c r="F312" s="37" t="n">
        <v>0.8303362436603657</v>
      </c>
      <c r="G312" s="37" t="n">
        <v>0.8478182930490407</v>
      </c>
      <c r="H312" s="37" t="n">
        <v>0.6628464970628869</v>
      </c>
      <c r="I312" s="40" t="inlineStr">
        <is>
          <t>Inviable</t>
        </is>
      </c>
      <c r="J312" s="29" t="n">
        <v>-10.74089686163738</v>
      </c>
      <c r="K312" s="35" t="n">
        <v>-44.35708275105155</v>
      </c>
      <c r="L312" s="36" t="n">
        <v>2600</v>
      </c>
      <c r="M312" s="29" t="n">
        <v>7.5</v>
      </c>
      <c r="N312" s="16" t="inlineStr">
        <is>
          <t>no</t>
        </is>
      </c>
      <c r="O312" s="16" t="inlineStr">
        <is>
          <t>O2,O3</t>
        </is>
      </c>
    </row>
    <row r="313">
      <c r="A313" s="16" t="inlineStr">
        <is>
          <t>KF-M05-3-0051</t>
        </is>
      </c>
      <c r="B313" s="35" t="n">
        <v>619.5316222735474</v>
      </c>
      <c r="C313" s="37" t="n">
        <v>0.8493157733340828</v>
      </c>
      <c r="D313" s="37" t="n">
        <v>0.9249037216498672</v>
      </c>
      <c r="E313" s="37" t="n">
        <v>0.5720748075156588</v>
      </c>
      <c r="F313" s="37" t="n">
        <v>0.6353147039331123</v>
      </c>
      <c r="G313" s="37" t="n">
        <v>0.7536580256335307</v>
      </c>
      <c r="H313" s="37" t="n">
        <v>0.5523867165470938</v>
      </c>
      <c r="I313" s="32" t="inlineStr">
        <is>
          <t>No convergió</t>
        </is>
      </c>
      <c r="J313" s="29" t="inlineStr">
        <is>
          <t>—</t>
        </is>
      </c>
      <c r="K313" s="35" t="inlineStr">
        <is>
          <t>—</t>
        </is>
      </c>
      <c r="L313" s="36" t="n">
        <v>2600</v>
      </c>
      <c r="M313" s="29" t="n">
        <v>7.5</v>
      </c>
      <c r="N313" s="16" t="inlineStr">
        <is>
          <t>no</t>
        </is>
      </c>
      <c r="O313" s="16" t="n"/>
    </row>
    <row r="314">
      <c r="A314" s="16" t="inlineStr">
        <is>
          <t>KF-M05-3-0052</t>
        </is>
      </c>
      <c r="B314" s="35" t="n">
        <v>613.9605993541704</v>
      </c>
      <c r="C314" s="37" t="n">
        <v>0.6211555501566646</v>
      </c>
      <c r="D314" s="37" t="n">
        <v>0.703915701258794</v>
      </c>
      <c r="E314" s="37" t="n">
        <v>0.6580709842905884</v>
      </c>
      <c r="F314" s="37" t="n">
        <v>0.4815049380228555</v>
      </c>
      <c r="G314" s="37" t="n">
        <v>0.8930288234752819</v>
      </c>
      <c r="H314" s="37" t="n">
        <v>0.4685219575973313</v>
      </c>
      <c r="I314" s="40" t="inlineStr">
        <is>
          <t>Inviable</t>
        </is>
      </c>
      <c r="J314" s="29" t="n">
        <v>-12.68325980305997</v>
      </c>
      <c r="K314" s="35" t="n">
        <v>-75.76889612610103</v>
      </c>
      <c r="L314" s="36" t="n">
        <v>2600</v>
      </c>
      <c r="M314" s="29" t="n">
        <v>7.5</v>
      </c>
      <c r="N314" s="16" t="inlineStr">
        <is>
          <t>sí</t>
        </is>
      </c>
      <c r="O314" s="16" t="inlineStr">
        <is>
          <t>O2,O3</t>
        </is>
      </c>
    </row>
    <row r="315">
      <c r="A315" s="16" t="inlineStr">
        <is>
          <t>KF-M05-3-0053</t>
        </is>
      </c>
      <c r="B315" s="35" t="n">
        <v>468.4137153284205</v>
      </c>
      <c r="C315" s="37" t="n">
        <v>0.8001416588611223</v>
      </c>
      <c r="D315" s="37" t="n">
        <v>0.6982504837109273</v>
      </c>
      <c r="E315" s="37" t="n">
        <v>0.4144836470419439</v>
      </c>
      <c r="F315" s="37" t="n">
        <v>0.5324441172302381</v>
      </c>
      <c r="G315" s="37" t="n">
        <v>0.7905210455559829</v>
      </c>
      <c r="H315" s="37" t="n">
        <v>0.5672075515160215</v>
      </c>
      <c r="I315" s="32" t="inlineStr">
        <is>
          <t>No convergió</t>
        </is>
      </c>
      <c r="J315" s="29" t="inlineStr">
        <is>
          <t>—</t>
        </is>
      </c>
      <c r="K315" s="35" t="inlineStr">
        <is>
          <t>—</t>
        </is>
      </c>
      <c r="L315" s="36" t="n">
        <v>2600</v>
      </c>
      <c r="M315" s="29" t="n">
        <v>7.5</v>
      </c>
      <c r="N315" s="16" t="inlineStr">
        <is>
          <t>no</t>
        </is>
      </c>
      <c r="O315" s="16" t="n"/>
    </row>
    <row r="316">
      <c r="A316" s="16" t="inlineStr">
        <is>
          <t>KF-M05-3-0054</t>
        </is>
      </c>
      <c r="B316" s="35" t="n">
        <v>592.0976694474074</v>
      </c>
      <c r="C316" s="37" t="n">
        <v>0.6693921805306169</v>
      </c>
      <c r="D316" s="37" t="n">
        <v>0.7827382145406142</v>
      </c>
      <c r="E316" s="37" t="n">
        <v>0.4303836640983479</v>
      </c>
      <c r="F316" s="37" t="n">
        <v>0.6249280169225095</v>
      </c>
      <c r="G316" s="37" t="n">
        <v>0.7157473976503734</v>
      </c>
      <c r="H316" s="37" t="n">
        <v>0.8041993584554495</v>
      </c>
      <c r="I316" s="40" t="inlineStr">
        <is>
          <t>Inviable</t>
        </is>
      </c>
      <c r="J316" s="29" t="n">
        <v>-4.32862534130945</v>
      </c>
      <c r="K316" s="35" t="n">
        <v>-40.82232089947547</v>
      </c>
      <c r="L316" s="36" t="n">
        <v>2600</v>
      </c>
      <c r="M316" s="29" t="n">
        <v>7.5</v>
      </c>
      <c r="N316" s="16" t="inlineStr">
        <is>
          <t>sí</t>
        </is>
      </c>
      <c r="O316" s="16" t="inlineStr">
        <is>
          <t>O2,O3</t>
        </is>
      </c>
    </row>
    <row r="317">
      <c r="A317" s="16" t="inlineStr">
        <is>
          <t>KF-M05-3-0055</t>
        </is>
      </c>
      <c r="B317" s="35" t="n">
        <v>472.9886584414233</v>
      </c>
      <c r="C317" s="37" t="n">
        <v>0.6818114639954054</v>
      </c>
      <c r="D317" s="37" t="n">
        <v>0.8738077376042421</v>
      </c>
      <c r="E317" s="37" t="n">
        <v>0.9303652609670988</v>
      </c>
      <c r="F317" s="37" t="n">
        <v>0.5330150069881984</v>
      </c>
      <c r="G317" s="37" t="n">
        <v>0.8517983147297115</v>
      </c>
      <c r="H317" s="37" t="n">
        <v>0.6374522835513681</v>
      </c>
      <c r="I317" s="39" t="inlineStr">
        <is>
          <t>Corregible</t>
        </is>
      </c>
      <c r="J317" s="29" t="n">
        <v>10.27689772529562</v>
      </c>
      <c r="K317" s="35" t="n">
        <v>63.57360374004526</v>
      </c>
      <c r="L317" s="36" t="n">
        <v>2600</v>
      </c>
      <c r="M317" s="29" t="n">
        <v>7.5</v>
      </c>
      <c r="N317" s="16" t="inlineStr">
        <is>
          <t>sí</t>
        </is>
      </c>
      <c r="O317" s="16" t="inlineStr">
        <is>
          <t>O2</t>
        </is>
      </c>
    </row>
    <row r="318">
      <c r="A318" s="16" t="inlineStr">
        <is>
          <t>KF-M05-3-0056</t>
        </is>
      </c>
      <c r="B318" s="35" t="n">
        <v>615.5396472523812</v>
      </c>
      <c r="C318" s="37" t="n">
        <v>0.810369944242711</v>
      </c>
      <c r="D318" s="37" t="n">
        <v>0.7240474640513425</v>
      </c>
      <c r="E318" s="37" t="n">
        <v>0.6957686851426981</v>
      </c>
      <c r="F318" s="37" t="n">
        <v>0.7117403161464805</v>
      </c>
      <c r="G318" s="37" t="n">
        <v>0.4054538300873365</v>
      </c>
      <c r="H318" s="37" t="n">
        <v>0.8294856231527955</v>
      </c>
      <c r="I318" s="32" t="inlineStr">
        <is>
          <t>No convergió</t>
        </is>
      </c>
      <c r="J318" s="29" t="inlineStr">
        <is>
          <t>—</t>
        </is>
      </c>
      <c r="K318" s="35" t="inlineStr">
        <is>
          <t>—</t>
        </is>
      </c>
      <c r="L318" s="36" t="n">
        <v>2600</v>
      </c>
      <c r="M318" s="29" t="n">
        <v>7.5</v>
      </c>
      <c r="N318" s="16" t="inlineStr">
        <is>
          <t>no</t>
        </is>
      </c>
      <c r="O318" s="16" t="n"/>
    </row>
    <row r="319">
      <c r="A319" s="16" t="inlineStr">
        <is>
          <t>KF-M05-3-0057</t>
        </is>
      </c>
      <c r="B319" s="35" t="n">
        <v>442.2130491398488</v>
      </c>
      <c r="C319" s="37" t="n">
        <v>0.8360047058947926</v>
      </c>
      <c r="D319" s="37" t="n">
        <v>0.8250425599461559</v>
      </c>
      <c r="E319" s="37" t="n">
        <v>0.7191857863761707</v>
      </c>
      <c r="F319" s="37" t="n">
        <v>0.8845727988923936</v>
      </c>
      <c r="G319" s="37" t="n">
        <v>0.4740293894161046</v>
      </c>
      <c r="H319" s="37" t="n">
        <v>0.6938384715868848</v>
      </c>
      <c r="I319" s="40" t="inlineStr">
        <is>
          <t>Inviable</t>
        </is>
      </c>
      <c r="J319" s="29" t="n">
        <v>-18.52150321741409</v>
      </c>
      <c r="K319" s="35" t="n">
        <v>-68.29787744844742</v>
      </c>
      <c r="L319" s="36" t="n">
        <v>2600</v>
      </c>
      <c r="M319" s="29" t="n">
        <v>7.5</v>
      </c>
      <c r="N319" s="16" t="inlineStr">
        <is>
          <t>sí</t>
        </is>
      </c>
      <c r="O319" s="16" t="inlineStr">
        <is>
          <t>O2,O3</t>
        </is>
      </c>
    </row>
    <row r="320">
      <c r="A320" s="16" t="inlineStr">
        <is>
          <t>KF-M05-3-0058</t>
        </is>
      </c>
      <c r="B320" s="35" t="n">
        <v>429.7796200077704</v>
      </c>
      <c r="C320" s="37" t="n">
        <v>0.7024082212451934</v>
      </c>
      <c r="D320" s="37" t="n">
        <v>0.901995453010582</v>
      </c>
      <c r="E320" s="37" t="n">
        <v>0.4116210422663966</v>
      </c>
      <c r="F320" s="37" t="n">
        <v>0.8953845373471325</v>
      </c>
      <c r="G320" s="37" t="n">
        <v>0.8095130817681322</v>
      </c>
      <c r="H320" s="37" t="n">
        <v>0.5608119853965264</v>
      </c>
      <c r="I320" s="40" t="inlineStr">
        <is>
          <t>Inviable</t>
        </is>
      </c>
      <c r="J320" s="29" t="n">
        <v>-80.77161901158756</v>
      </c>
      <c r="K320" s="35" t="n">
        <v>-190.4669582155827</v>
      </c>
      <c r="L320" s="36" t="n">
        <v>2600</v>
      </c>
      <c r="M320" s="29" t="n">
        <v>7.5</v>
      </c>
      <c r="N320" s="16" t="inlineStr">
        <is>
          <t>sí</t>
        </is>
      </c>
      <c r="O320" s="16" t="inlineStr">
        <is>
          <t>O2,O3</t>
        </is>
      </c>
    </row>
    <row r="321">
      <c r="A321" s="16" t="inlineStr">
        <is>
          <t>KF-M05-3-0059</t>
        </is>
      </c>
      <c r="B321" s="35" t="n">
        <v>566.3083206757484</v>
      </c>
      <c r="C321" s="37" t="n">
        <v>0.6996069632647509</v>
      </c>
      <c r="D321" s="37" t="n">
        <v>0.7685314364495507</v>
      </c>
      <c r="E321" s="37" t="n">
        <v>0.8450617546800101</v>
      </c>
      <c r="F321" s="37" t="n">
        <v>0.9088210683289324</v>
      </c>
      <c r="G321" s="37" t="n">
        <v>0.5806945504878274</v>
      </c>
      <c r="H321" s="37" t="n">
        <v>0.5045549908894973</v>
      </c>
      <c r="I321" s="32" t="inlineStr">
        <is>
          <t>No convergió</t>
        </is>
      </c>
      <c r="J321" s="29" t="inlineStr">
        <is>
          <t>—</t>
        </is>
      </c>
      <c r="K321" s="35" t="inlineStr">
        <is>
          <t>—</t>
        </is>
      </c>
      <c r="L321" s="36" t="n">
        <v>2600</v>
      </c>
      <c r="M321" s="29" t="n">
        <v>7.5</v>
      </c>
      <c r="N321" s="16" t="inlineStr">
        <is>
          <t>no</t>
        </is>
      </c>
      <c r="O321" s="16" t="n"/>
    </row>
    <row r="322">
      <c r="A322" s="16" t="inlineStr">
        <is>
          <t>KF-M05-3-0060</t>
        </is>
      </c>
      <c r="B322" s="35" t="n">
        <v>515.1489350238182</v>
      </c>
      <c r="C322" s="37" t="n">
        <v>0.8022618525749885</v>
      </c>
      <c r="D322" s="37" t="n">
        <v>0.5957202724273793</v>
      </c>
      <c r="E322" s="37" t="n">
        <v>0.663971207938419</v>
      </c>
      <c r="F322" s="37" t="n">
        <v>0.8784175704188236</v>
      </c>
      <c r="G322" s="37" t="n">
        <v>0.6324714589661862</v>
      </c>
      <c r="H322" s="37" t="n">
        <v>0.8813367926534196</v>
      </c>
      <c r="I322" s="32" t="inlineStr">
        <is>
          <t>No convergió</t>
        </is>
      </c>
      <c r="J322" s="29" t="inlineStr">
        <is>
          <t>—</t>
        </is>
      </c>
      <c r="K322" s="35" t="inlineStr">
        <is>
          <t>—</t>
        </is>
      </c>
      <c r="L322" s="36" t="n">
        <v>2600</v>
      </c>
      <c r="M322" s="29" t="n">
        <v>7.5</v>
      </c>
      <c r="N322" s="16" t="inlineStr">
        <is>
          <t>no</t>
        </is>
      </c>
      <c r="O322" s="16" t="n"/>
    </row>
    <row r="323">
      <c r="A323" s="16" t="inlineStr">
        <is>
          <t>KF-M05-3-0061</t>
        </is>
      </c>
      <c r="B323" s="35" t="n">
        <v>494.3066263771658</v>
      </c>
      <c r="C323" s="37" t="n">
        <v>0.7726411599410641</v>
      </c>
      <c r="D323" s="37" t="n">
        <v>0.5422816306163348</v>
      </c>
      <c r="E323" s="37" t="n">
        <v>0.82466256915118</v>
      </c>
      <c r="F323" s="37" t="n">
        <v>0.5510179780419949</v>
      </c>
      <c r="G323" s="37" t="n">
        <v>0.6938324186423681</v>
      </c>
      <c r="H323" s="37" t="n">
        <v>0.753288797747387</v>
      </c>
      <c r="I323" s="40" t="inlineStr">
        <is>
          <t>Inviable</t>
        </is>
      </c>
      <c r="J323" s="29" t="n">
        <v>-15.32834587073187</v>
      </c>
      <c r="K323" s="35" t="n">
        <v>-77.60992439532347</v>
      </c>
      <c r="L323" s="36" t="n">
        <v>2600</v>
      </c>
      <c r="M323" s="29" t="n">
        <v>7.5</v>
      </c>
      <c r="N323" s="16" t="inlineStr">
        <is>
          <t>sí</t>
        </is>
      </c>
      <c r="O323" s="16" t="inlineStr">
        <is>
          <t>O2,O3</t>
        </is>
      </c>
    </row>
    <row r="324">
      <c r="A324" s="16" t="inlineStr">
        <is>
          <t>KF-M05-3-0062</t>
        </is>
      </c>
      <c r="B324" s="35" t="n">
        <v>492.3375157051751</v>
      </c>
      <c r="C324" s="37" t="n">
        <v>0.5919910271539436</v>
      </c>
      <c r="D324" s="37" t="n">
        <v>0.6963279907132629</v>
      </c>
      <c r="E324" s="37" t="n">
        <v>0.7102427390462478</v>
      </c>
      <c r="F324" s="37" t="n">
        <v>0.516075632363171</v>
      </c>
      <c r="G324" s="37" t="n">
        <v>0.7652277488060402</v>
      </c>
      <c r="H324" s="37" t="n">
        <v>0.5415619146161846</v>
      </c>
      <c r="I324" s="40" t="inlineStr">
        <is>
          <t>Inviable</t>
        </is>
      </c>
      <c r="J324" s="29" t="n">
        <v>-1.78963997224996</v>
      </c>
      <c r="K324" s="35" t="n">
        <v>-12.03003581418284</v>
      </c>
      <c r="L324" s="36" t="n">
        <v>2600</v>
      </c>
      <c r="M324" s="29" t="n">
        <v>7.5</v>
      </c>
      <c r="N324" s="16" t="inlineStr">
        <is>
          <t>sí</t>
        </is>
      </c>
      <c r="O324" s="16" t="inlineStr">
        <is>
          <t>O2,O3</t>
        </is>
      </c>
    </row>
    <row r="325">
      <c r="A325" s="16" t="inlineStr">
        <is>
          <t>KF-M05-3-0063</t>
        </is>
      </c>
      <c r="B325" s="35" t="n">
        <v>540.4337578894177</v>
      </c>
      <c r="C325" s="37" t="n">
        <v>0.754714731810987</v>
      </c>
      <c r="D325" s="37" t="n">
        <v>0.8078832322461418</v>
      </c>
      <c r="E325" s="37" t="n">
        <v>0.9454838102476408</v>
      </c>
      <c r="F325" s="37" t="n">
        <v>0.8158845993818153</v>
      </c>
      <c r="G325" s="37" t="n">
        <v>0.4898624691009416</v>
      </c>
      <c r="H325" s="37" t="n">
        <v>0.6086988494967287</v>
      </c>
      <c r="I325" s="32" t="inlineStr">
        <is>
          <t>No convergió</t>
        </is>
      </c>
      <c r="J325" s="29" t="inlineStr">
        <is>
          <t>—</t>
        </is>
      </c>
      <c r="K325" s="35" t="inlineStr">
        <is>
          <t>—</t>
        </is>
      </c>
      <c r="L325" s="36" t="n">
        <v>2600</v>
      </c>
      <c r="M325" s="29" t="n">
        <v>7.5</v>
      </c>
      <c r="N325" s="16" t="inlineStr">
        <is>
          <t>no</t>
        </is>
      </c>
      <c r="O325" s="16" t="n"/>
    </row>
    <row r="326">
      <c r="A326" s="16" t="inlineStr">
        <is>
          <t>KF-M05-3-0064</t>
        </is>
      </c>
      <c r="B326" s="35" t="n">
        <v>380.2337970549131</v>
      </c>
      <c r="C326" s="37" t="n">
        <v>0.60358352499557</v>
      </c>
      <c r="D326" s="37" t="n">
        <v>0.6545085320968721</v>
      </c>
      <c r="E326" s="37" t="n">
        <v>0.8691702708814154</v>
      </c>
      <c r="F326" s="37" t="n">
        <v>0.7330112643956375</v>
      </c>
      <c r="G326" s="37" t="n">
        <v>0.4487670111010681</v>
      </c>
      <c r="H326" s="37" t="n">
        <v>0.7096917253044497</v>
      </c>
      <c r="I326" s="40" t="inlineStr">
        <is>
          <t>Inviable</t>
        </is>
      </c>
      <c r="J326" s="29" t="n">
        <v>-12.32748376818338</v>
      </c>
      <c r="K326" s="35" t="n">
        <v>-20.18527203844018</v>
      </c>
      <c r="L326" s="36" t="n">
        <v>2600</v>
      </c>
      <c r="M326" s="29" t="n">
        <v>7.5</v>
      </c>
      <c r="N326" s="16" t="inlineStr">
        <is>
          <t>no</t>
        </is>
      </c>
      <c r="O326" s="16" t="inlineStr">
        <is>
          <t>O2,O3</t>
        </is>
      </c>
    </row>
    <row r="327">
      <c r="A327" s="16" t="inlineStr">
        <is>
          <t>KF-M05-3-0065</t>
        </is>
      </c>
      <c r="B327" s="35" t="n">
        <v>420.1042877202298</v>
      </c>
      <c r="C327" s="37" t="n">
        <v>0.6657031536611425</v>
      </c>
      <c r="D327" s="37" t="n">
        <v>0.440754010391768</v>
      </c>
      <c r="E327" s="37" t="n">
        <v>0.620497781913502</v>
      </c>
      <c r="F327" s="37" t="n">
        <v>0.9217041222619236</v>
      </c>
      <c r="G327" s="37" t="n">
        <v>0.720561096786734</v>
      </c>
      <c r="H327" s="37" t="n">
        <v>0.4834256155346164</v>
      </c>
      <c r="I327" s="40" t="inlineStr">
        <is>
          <t>Inviable</t>
        </is>
      </c>
      <c r="J327" s="29" t="n">
        <v>-77.44167499184567</v>
      </c>
      <c r="K327" s="35" t="n">
        <v>-162.1125076157332</v>
      </c>
      <c r="L327" s="36" t="n">
        <v>2600</v>
      </c>
      <c r="M327" s="29" t="n">
        <v>7.5</v>
      </c>
      <c r="N327" s="16" t="inlineStr">
        <is>
          <t>no</t>
        </is>
      </c>
      <c r="O327" s="16" t="inlineStr">
        <is>
          <t>O2,O3</t>
        </is>
      </c>
    </row>
    <row r="328">
      <c r="A328" s="16" t="inlineStr">
        <is>
          <t>KF-M05-3-0066</t>
        </is>
      </c>
      <c r="B328" s="35" t="n">
        <v>547.0816326220898</v>
      </c>
      <c r="C328" s="37" t="n">
        <v>0.7575480876365567</v>
      </c>
      <c r="D328" s="37" t="n">
        <v>0.4876279631213912</v>
      </c>
      <c r="E328" s="37" t="n">
        <v>0.5469929217384387</v>
      </c>
      <c r="F328" s="37" t="n">
        <v>0.5223922685998752</v>
      </c>
      <c r="G328" s="37" t="n">
        <v>0.9342063880847166</v>
      </c>
      <c r="H328" s="37" t="n">
        <v>0.4140022148283826</v>
      </c>
      <c r="I328" s="32" t="inlineStr">
        <is>
          <t>No convergió</t>
        </is>
      </c>
      <c r="J328" s="29" t="inlineStr">
        <is>
          <t>—</t>
        </is>
      </c>
      <c r="K328" s="35" t="inlineStr">
        <is>
          <t>—</t>
        </is>
      </c>
      <c r="L328" s="36" t="n">
        <v>2600</v>
      </c>
      <c r="M328" s="29" t="n">
        <v>7.5</v>
      </c>
      <c r="N328" s="16" t="inlineStr">
        <is>
          <t>no</t>
        </is>
      </c>
      <c r="O328" s="16" t="n"/>
    </row>
    <row r="329">
      <c r="A329" s="16" t="inlineStr">
        <is>
          <t>KF-M05-3-0067</t>
        </is>
      </c>
      <c r="B329" s="35" t="n">
        <v>485.2816217382006</v>
      </c>
      <c r="C329" s="37" t="n">
        <v>0.7494458929826661</v>
      </c>
      <c r="D329" s="37" t="n">
        <v>0.4000601579123294</v>
      </c>
      <c r="E329" s="37" t="n">
        <v>0.8492845620485896</v>
      </c>
      <c r="F329" s="37" t="n">
        <v>0.7636105154742642</v>
      </c>
      <c r="G329" s="37" t="n">
        <v>0.7108869108702071</v>
      </c>
      <c r="H329" s="37" t="n">
        <v>0.6042173399568149</v>
      </c>
      <c r="I329" s="40" t="inlineStr">
        <is>
          <t>Inviable</t>
        </is>
      </c>
      <c r="J329" s="29" t="n">
        <v>-25.87793339399555</v>
      </c>
      <c r="K329" s="35" t="n">
        <v>-140.3055424763303</v>
      </c>
      <c r="L329" s="36" t="n">
        <v>2600</v>
      </c>
      <c r="M329" s="29" t="n">
        <v>7.5</v>
      </c>
      <c r="N329" s="16" t="inlineStr">
        <is>
          <t>sí</t>
        </is>
      </c>
      <c r="O329" s="16" t="inlineStr">
        <is>
          <t>O2,O3</t>
        </is>
      </c>
    </row>
    <row r="330">
      <c r="A330" s="16" t="inlineStr">
        <is>
          <t>KF-M05-3-0068</t>
        </is>
      </c>
      <c r="B330" s="35" t="n">
        <v>415.6335495770105</v>
      </c>
      <c r="C330" s="37" t="n">
        <v>0.7817785699580694</v>
      </c>
      <c r="D330" s="37" t="n">
        <v>0.7312296952097648</v>
      </c>
      <c r="E330" s="37" t="n">
        <v>0.64049214226532</v>
      </c>
      <c r="F330" s="37" t="n">
        <v>0.4886392600902223</v>
      </c>
      <c r="G330" s="37" t="n">
        <v>0.6044226714815777</v>
      </c>
      <c r="H330" s="37" t="n">
        <v>0.9099128567210512</v>
      </c>
      <c r="I330" s="40" t="inlineStr">
        <is>
          <t>Inviable</t>
        </is>
      </c>
      <c r="J330" s="29" t="n">
        <v>-50.61733697096543</v>
      </c>
      <c r="K330" s="35" t="n">
        <v>-102.9954852439228</v>
      </c>
      <c r="L330" s="36" t="n">
        <v>2600</v>
      </c>
      <c r="M330" s="29" t="n">
        <v>7.5</v>
      </c>
      <c r="N330" s="16" t="inlineStr">
        <is>
          <t>no</t>
        </is>
      </c>
      <c r="O330" s="16" t="inlineStr">
        <is>
          <t>O2,O3</t>
        </is>
      </c>
    </row>
    <row r="331">
      <c r="A331" s="16" t="inlineStr">
        <is>
          <t>KF-M05-3-0069</t>
        </is>
      </c>
      <c r="B331" s="35" t="n">
        <v>535.1898946923789</v>
      </c>
      <c r="C331" s="37" t="n">
        <v>0.7055447905638182</v>
      </c>
      <c r="D331" s="37" t="n">
        <v>0.6912976055258395</v>
      </c>
      <c r="E331" s="37" t="n">
        <v>0.5115910431834576</v>
      </c>
      <c r="F331" s="37" t="n">
        <v>0.4580482365706154</v>
      </c>
      <c r="G331" s="37" t="n">
        <v>0.416380025540768</v>
      </c>
      <c r="H331" s="37" t="n">
        <v>0.5353311010793006</v>
      </c>
      <c r="I331" s="40" t="inlineStr">
        <is>
          <t>Inviable</t>
        </is>
      </c>
      <c r="J331" s="29" t="n">
        <v>-51.21539770446248</v>
      </c>
      <c r="K331" s="35" t="n">
        <v>-196.2958404604153</v>
      </c>
      <c r="L331" s="36" t="n">
        <v>2600</v>
      </c>
      <c r="M331" s="29" t="n">
        <v>7.5</v>
      </c>
      <c r="N331" s="16" t="inlineStr">
        <is>
          <t>sí</t>
        </is>
      </c>
      <c r="O331" s="16" t="inlineStr">
        <is>
          <t>O2,O3</t>
        </is>
      </c>
    </row>
    <row r="332">
      <c r="A332" s="16" t="inlineStr">
        <is>
          <t>KF-M05-3-0070</t>
        </is>
      </c>
      <c r="B332" s="35" t="n">
        <v>432.517879240047</v>
      </c>
      <c r="C332" s="37" t="n">
        <v>0.7890035537394238</v>
      </c>
      <c r="D332" s="37" t="n">
        <v>0.5166989259020975</v>
      </c>
      <c r="E332" s="37" t="n">
        <v>0.8760759521460304</v>
      </c>
      <c r="F332" s="37" t="n">
        <v>0.7195445664175724</v>
      </c>
      <c r="G332" s="37" t="n">
        <v>0.6369982350142867</v>
      </c>
      <c r="H332" s="37" t="n">
        <v>0.4563326169588417</v>
      </c>
      <c r="I332" s="32" t="inlineStr">
        <is>
          <t>No convergió</t>
        </is>
      </c>
      <c r="J332" s="29" t="inlineStr">
        <is>
          <t>—</t>
        </is>
      </c>
      <c r="K332" s="35" t="inlineStr">
        <is>
          <t>—</t>
        </is>
      </c>
      <c r="L332" s="36" t="n">
        <v>2600</v>
      </c>
      <c r="M332" s="29" t="n">
        <v>7.5</v>
      </c>
      <c r="N332" s="16" t="inlineStr">
        <is>
          <t>no</t>
        </is>
      </c>
      <c r="O332" s="16" t="n"/>
    </row>
    <row r="333">
      <c r="A333" s="16" t="inlineStr">
        <is>
          <t>KF-M05-3-0071</t>
        </is>
      </c>
      <c r="B333" s="35" t="n">
        <v>453.3181047714405</v>
      </c>
      <c r="C333" s="37" t="n">
        <v>0.6085493185879369</v>
      </c>
      <c r="D333" s="37" t="n">
        <v>0.7959645081207292</v>
      </c>
      <c r="E333" s="37" t="n">
        <v>0.6741188175299311</v>
      </c>
      <c r="F333" s="37" t="n">
        <v>0.8501642755119465</v>
      </c>
      <c r="G333" s="37" t="n">
        <v>0.7376607227991403</v>
      </c>
      <c r="H333" s="37" t="n">
        <v>0.5175107734982606</v>
      </c>
      <c r="I333" s="40" t="inlineStr">
        <is>
          <t>Inviable</t>
        </is>
      </c>
      <c r="J333" s="29" t="n">
        <v>-1.6313529301719</v>
      </c>
      <c r="K333" s="35" t="n">
        <v>-10.77225807125163</v>
      </c>
      <c r="L333" s="36" t="n">
        <v>2600</v>
      </c>
      <c r="M333" s="29" t="n">
        <v>7.5</v>
      </c>
      <c r="N333" s="16" t="inlineStr">
        <is>
          <t>sí</t>
        </is>
      </c>
      <c r="O333" s="16" t="inlineStr">
        <is>
          <t>O2,O3</t>
        </is>
      </c>
    </row>
    <row r="334">
      <c r="A334" s="16" t="inlineStr">
        <is>
          <t>KF-M05-3-0072</t>
        </is>
      </c>
      <c r="B334" s="35" t="n">
        <v>509.0492040943981</v>
      </c>
      <c r="C334" s="37" t="n">
        <v>0.8218557201600225</v>
      </c>
      <c r="D334" s="37" t="n">
        <v>0.5854774432742957</v>
      </c>
      <c r="E334" s="37" t="n">
        <v>0.9197203818126912</v>
      </c>
      <c r="F334" s="37" t="n">
        <v>0.6566685673004489</v>
      </c>
      <c r="G334" s="37" t="n">
        <v>0.9485961496306804</v>
      </c>
      <c r="H334" s="37" t="n">
        <v>0.4615370628626813</v>
      </c>
      <c r="I334" s="32" t="inlineStr">
        <is>
          <t>No convergió</t>
        </is>
      </c>
      <c r="J334" s="29" t="inlineStr">
        <is>
          <t>—</t>
        </is>
      </c>
      <c r="K334" s="35" t="inlineStr">
        <is>
          <t>—</t>
        </is>
      </c>
      <c r="L334" s="36" t="n">
        <v>2600</v>
      </c>
      <c r="M334" s="29" t="n">
        <v>7.5</v>
      </c>
      <c r="N334" s="16" t="inlineStr">
        <is>
          <t>no</t>
        </is>
      </c>
      <c r="O334" s="16" t="n"/>
    </row>
    <row r="335">
      <c r="A335" s="16" t="inlineStr">
        <is>
          <t>KF-M05-3-0073</t>
        </is>
      </c>
      <c r="B335" s="35" t="n">
        <v>562.6106941712335</v>
      </c>
      <c r="C335" s="37" t="n">
        <v>0.558586893828444</v>
      </c>
      <c r="D335" s="37" t="n">
        <v>0.8608829584116677</v>
      </c>
      <c r="E335" s="37" t="n">
        <v>0.6981732936754486</v>
      </c>
      <c r="F335" s="37" t="n">
        <v>0.8054603736867805</v>
      </c>
      <c r="G335" s="37" t="n">
        <v>0.5226840427470758</v>
      </c>
      <c r="H335" s="37" t="n">
        <v>0.9376300373416572</v>
      </c>
      <c r="I335" s="39" t="inlineStr">
        <is>
          <t>Corregible</t>
        </is>
      </c>
      <c r="J335" s="29" t="n">
        <v>13.77385839237712</v>
      </c>
      <c r="K335" s="35" t="n">
        <v>253.2818871441672</v>
      </c>
      <c r="L335" s="36" t="n">
        <v>2600</v>
      </c>
      <c r="M335" s="29" t="n">
        <v>7.5</v>
      </c>
      <c r="N335" s="16" t="inlineStr">
        <is>
          <t>sí</t>
        </is>
      </c>
      <c r="O335" s="16" t="inlineStr">
        <is>
          <t>O1,O2</t>
        </is>
      </c>
    </row>
    <row r="336">
      <c r="A336" s="16" t="inlineStr">
        <is>
          <t>KF-M05-3-0074</t>
        </is>
      </c>
      <c r="B336" s="35" t="n">
        <v>435.9304429726209</v>
      </c>
      <c r="C336" s="37" t="n">
        <v>0.6606920541427571</v>
      </c>
      <c r="D336" s="37" t="n">
        <v>0.6059483623849855</v>
      </c>
      <c r="E336" s="37" t="n">
        <v>0.4652135131176761</v>
      </c>
      <c r="F336" s="37" t="n">
        <v>0.8206321256425667</v>
      </c>
      <c r="G336" s="37" t="n">
        <v>0.6133814398556512</v>
      </c>
      <c r="H336" s="37" t="n">
        <v>0.6789156063569662</v>
      </c>
      <c r="I336" s="40" t="inlineStr">
        <is>
          <t>Inviable</t>
        </is>
      </c>
      <c r="J336" s="29" t="n">
        <v>-28.14015531093642</v>
      </c>
      <c r="K336" s="35" t="n">
        <v>-135.1157098052279</v>
      </c>
      <c r="L336" s="36" t="n">
        <v>2600</v>
      </c>
      <c r="M336" s="29" t="n">
        <v>7.5</v>
      </c>
      <c r="N336" s="16" t="inlineStr">
        <is>
          <t>sí</t>
        </is>
      </c>
      <c r="O336" s="16" t="inlineStr">
        <is>
          <t>O2,O3</t>
        </is>
      </c>
    </row>
    <row r="337">
      <c r="A337" s="16" t="inlineStr">
        <is>
          <t>KF-M05-3-0075</t>
        </is>
      </c>
      <c r="B337" s="35" t="n">
        <v>452.6725558924558</v>
      </c>
      <c r="C337" s="37" t="n">
        <v>0.5828114910438006</v>
      </c>
      <c r="D337" s="37" t="n">
        <v>0.5025644420195268</v>
      </c>
      <c r="E337" s="37" t="n">
        <v>0.4336974825575401</v>
      </c>
      <c r="F337" s="37" t="n">
        <v>0.4723373623369631</v>
      </c>
      <c r="G337" s="37" t="n">
        <v>0.5006140408251072</v>
      </c>
      <c r="H337" s="37" t="n">
        <v>0.9408947817850272</v>
      </c>
      <c r="I337" s="39" t="inlineStr">
        <is>
          <t>Corregible</t>
        </is>
      </c>
      <c r="J337" s="29" t="n">
        <v>3.13985410282539</v>
      </c>
      <c r="K337" s="35" t="n">
        <v>21.80206608317361</v>
      </c>
      <c r="L337" s="36" t="n">
        <v>2600</v>
      </c>
      <c r="M337" s="29" t="n">
        <v>7.5</v>
      </c>
      <c r="N337" s="16" t="inlineStr">
        <is>
          <t>no</t>
        </is>
      </c>
      <c r="O337" s="16" t="inlineStr">
        <is>
          <t>O2</t>
        </is>
      </c>
    </row>
    <row r="338">
      <c r="A338" s="16" t="inlineStr">
        <is>
          <t>KF-M05-3-0076</t>
        </is>
      </c>
      <c r="B338" s="35" t="n">
        <v>416.4854580038079</v>
      </c>
      <c r="C338" s="37" t="n">
        <v>0.6074964525275104</v>
      </c>
      <c r="D338" s="37" t="n">
        <v>0.5566147893259838</v>
      </c>
      <c r="E338" s="37" t="n">
        <v>0.5164799169714164</v>
      </c>
      <c r="F338" s="37" t="n">
        <v>0.6017228493584312</v>
      </c>
      <c r="G338" s="37" t="n">
        <v>0.6096693713327976</v>
      </c>
      <c r="H338" s="37" t="n">
        <v>0.7750097250154961</v>
      </c>
      <c r="I338" s="40" t="inlineStr">
        <is>
          <t>Inviable</t>
        </is>
      </c>
      <c r="J338" s="29" t="n">
        <v>-10.08422327243637</v>
      </c>
      <c r="K338" s="35" t="n">
        <v>-37.96858868137974</v>
      </c>
      <c r="L338" s="36" t="n">
        <v>2600</v>
      </c>
      <c r="M338" s="29" t="n">
        <v>7.5</v>
      </c>
      <c r="N338" s="16" t="inlineStr">
        <is>
          <t>no</t>
        </is>
      </c>
      <c r="O338" s="16" t="inlineStr">
        <is>
          <t>O2,O3</t>
        </is>
      </c>
    </row>
    <row r="339">
      <c r="A339" s="16" t="inlineStr">
        <is>
          <t>KF-M05-3-0077</t>
        </is>
      </c>
      <c r="B339" s="35" t="n">
        <v>562.0125844298768</v>
      </c>
      <c r="C339" s="37" t="n">
        <v>0.7673641671488616</v>
      </c>
      <c r="D339" s="37" t="n">
        <v>0.9446603013073122</v>
      </c>
      <c r="E339" s="37" t="n">
        <v>0.5201623064688261</v>
      </c>
      <c r="F339" s="37" t="n">
        <v>0.4342917804099843</v>
      </c>
      <c r="G339" s="37" t="n">
        <v>0.4530269509947853</v>
      </c>
      <c r="H339" s="37" t="n">
        <v>0.8533746881925984</v>
      </c>
      <c r="I339" s="40" t="inlineStr">
        <is>
          <t>Inviable</t>
        </is>
      </c>
      <c r="J339" s="29" t="n">
        <v>-11.29749947639896</v>
      </c>
      <c r="K339" s="35" t="n">
        <v>-55.74528356854086</v>
      </c>
      <c r="L339" s="36" t="n">
        <v>2600</v>
      </c>
      <c r="M339" s="29" t="n">
        <v>7.5</v>
      </c>
      <c r="N339" s="16" t="inlineStr">
        <is>
          <t>sí</t>
        </is>
      </c>
      <c r="O339" s="16" t="inlineStr">
        <is>
          <t>O1,O2,O3</t>
        </is>
      </c>
    </row>
    <row r="340">
      <c r="A340" s="16" t="inlineStr">
        <is>
          <t>KF-M05-3-0078</t>
        </is>
      </c>
      <c r="B340" s="35" t="n">
        <v>382.6479444517377</v>
      </c>
      <c r="C340" s="37" t="n">
        <v>0.55659909918657</v>
      </c>
      <c r="D340" s="37" t="n">
        <v>0.7280144528237091</v>
      </c>
      <c r="E340" s="37" t="n">
        <v>0.4489944038001453</v>
      </c>
      <c r="F340" s="37" t="n">
        <v>0.6085117421539336</v>
      </c>
      <c r="G340" s="37" t="n">
        <v>0.8271789108950041</v>
      </c>
      <c r="H340" s="37" t="n">
        <v>0.7174278997130001</v>
      </c>
      <c r="I340" s="40" t="inlineStr">
        <is>
          <t>Inviable</t>
        </is>
      </c>
      <c r="J340" s="29" t="n">
        <v>-9.842236237881149</v>
      </c>
      <c r="K340" s="35" t="n">
        <v>-10.0322232250738</v>
      </c>
      <c r="L340" s="36" t="n">
        <v>2600</v>
      </c>
      <c r="M340" s="29" t="n">
        <v>7.5</v>
      </c>
      <c r="N340" s="16" t="inlineStr">
        <is>
          <t>no</t>
        </is>
      </c>
      <c r="O340" s="16" t="inlineStr">
        <is>
          <t>O2,O3</t>
        </is>
      </c>
    </row>
    <row r="341">
      <c r="A341" s="16" t="inlineStr">
        <is>
          <t>KF-M05-3-0079</t>
        </is>
      </c>
      <c r="B341" s="35" t="n">
        <v>489.2880641575446</v>
      </c>
      <c r="C341" s="37" t="n">
        <v>0.7314409464981318</v>
      </c>
      <c r="D341" s="37" t="n">
        <v>0.8839952309915771</v>
      </c>
      <c r="E341" s="37" t="n">
        <v>0.5006258872326647</v>
      </c>
      <c r="F341" s="37" t="n">
        <v>0.5979567876977723</v>
      </c>
      <c r="G341" s="37" t="n">
        <v>0.6731080519119779</v>
      </c>
      <c r="H341" s="37" t="n">
        <v>0.4470695728281453</v>
      </c>
      <c r="I341" s="32" t="inlineStr">
        <is>
          <t>No convergió</t>
        </is>
      </c>
      <c r="J341" s="29" t="inlineStr">
        <is>
          <t>—</t>
        </is>
      </c>
      <c r="K341" s="35" t="inlineStr">
        <is>
          <t>—</t>
        </is>
      </c>
      <c r="L341" s="36" t="n">
        <v>2600</v>
      </c>
      <c r="M341" s="29" t="n">
        <v>7.5</v>
      </c>
      <c r="N341" s="16" t="inlineStr">
        <is>
          <t>no</t>
        </is>
      </c>
      <c r="O341" s="16" t="n"/>
    </row>
    <row r="342">
      <c r="A342" s="16" t="inlineStr">
        <is>
          <t>KF-M05-3-0080</t>
        </is>
      </c>
      <c r="B342" s="35" t="n">
        <v>495.9706958631986</v>
      </c>
      <c r="C342" s="37" t="n">
        <v>0.8287494210297977</v>
      </c>
      <c r="D342" s="37" t="n">
        <v>0.4360110379903541</v>
      </c>
      <c r="E342" s="37" t="n">
        <v>0.8281242600079441</v>
      </c>
      <c r="F342" s="37" t="n">
        <v>0.4599424906830408</v>
      </c>
      <c r="G342" s="37" t="n">
        <v>0.5285718467105711</v>
      </c>
      <c r="H342" s="37" t="n">
        <v>0.7417030922112166</v>
      </c>
      <c r="I342" s="40" t="inlineStr">
        <is>
          <t>Inviable</t>
        </is>
      </c>
      <c r="J342" s="29" t="n">
        <v>-48.13689521990719</v>
      </c>
      <c r="K342" s="35" t="n">
        <v>-151.2316377499329</v>
      </c>
      <c r="L342" s="36" t="n">
        <v>2600</v>
      </c>
      <c r="M342" s="29" t="n">
        <v>7.5</v>
      </c>
      <c r="N342" s="16" t="inlineStr">
        <is>
          <t>sí</t>
        </is>
      </c>
      <c r="O342" s="16" t="inlineStr">
        <is>
          <t>O2,O3</t>
        </is>
      </c>
    </row>
    <row r="343">
      <c r="A343" s="16" t="inlineStr">
        <is>
          <t>KF-M05-3-0081</t>
        </is>
      </c>
      <c r="B343" s="35" t="n">
        <v>571.9557724086422</v>
      </c>
      <c r="C343" s="37" t="n">
        <v>0.8296401997146317</v>
      </c>
      <c r="D343" s="37" t="n">
        <v>0.9089063124461207</v>
      </c>
      <c r="E343" s="37" t="n">
        <v>0.8841789041818509</v>
      </c>
      <c r="F343" s="37" t="n">
        <v>0.6328761856601069</v>
      </c>
      <c r="G343" s="37" t="n">
        <v>0.5527482000067367</v>
      </c>
      <c r="H343" s="37" t="n">
        <v>0.835300370975252</v>
      </c>
      <c r="I343" s="38" t="inlineStr">
        <is>
          <t>Falso convergido</t>
        </is>
      </c>
      <c r="J343" s="29" t="inlineStr">
        <is>
          <t>—</t>
        </is>
      </c>
      <c r="K343" s="35" t="inlineStr">
        <is>
          <t>—</t>
        </is>
      </c>
      <c r="L343" s="36" t="n">
        <v>2600</v>
      </c>
      <c r="M343" s="29" t="n">
        <v>7.5</v>
      </c>
      <c r="N343" s="16" t="inlineStr">
        <is>
          <t>sí</t>
        </is>
      </c>
      <c r="O343" s="16" t="inlineStr">
        <is>
          <t>N2,O1,O2,O5,C1,C3,C3</t>
        </is>
      </c>
    </row>
    <row r="344">
      <c r="A344" s="16" t="inlineStr">
        <is>
          <t>KF-M05-3-0082</t>
        </is>
      </c>
      <c r="B344" s="35" t="n">
        <v>466.224819993625</v>
      </c>
      <c r="C344" s="37" t="n">
        <v>0.6322034543963728</v>
      </c>
      <c r="D344" s="37" t="n">
        <v>0.5749542235290689</v>
      </c>
      <c r="E344" s="37" t="n">
        <v>0.7662517596607309</v>
      </c>
      <c r="F344" s="37" t="n">
        <v>0.4001563374943792</v>
      </c>
      <c r="G344" s="37" t="n">
        <v>0.6645051011379408</v>
      </c>
      <c r="H344" s="37" t="n">
        <v>0.4515971396370731</v>
      </c>
      <c r="I344" s="40" t="inlineStr">
        <is>
          <t>Inviable</t>
        </is>
      </c>
      <c r="J344" s="29" t="n">
        <v>-20.06912548433712</v>
      </c>
      <c r="K344" s="35" t="n">
        <v>-82.27332977204739</v>
      </c>
      <c r="L344" s="36" t="n">
        <v>2600</v>
      </c>
      <c r="M344" s="29" t="n">
        <v>7.5</v>
      </c>
      <c r="N344" s="16" t="inlineStr">
        <is>
          <t>sí</t>
        </is>
      </c>
      <c r="O344" s="16" t="inlineStr">
        <is>
          <t>O2,O3</t>
        </is>
      </c>
    </row>
    <row r="345">
      <c r="A345" s="16" t="inlineStr">
        <is>
          <t>KF-M05-3-0083</t>
        </is>
      </c>
      <c r="B345" s="35" t="n">
        <v>524.4470118142148</v>
      </c>
      <c r="C345" s="37" t="n">
        <v>0.6980396015539084</v>
      </c>
      <c r="D345" s="37" t="n">
        <v>0.8707872737253868</v>
      </c>
      <c r="E345" s="37" t="n">
        <v>0.5959297522785982</v>
      </c>
      <c r="F345" s="37" t="n">
        <v>0.7671646730976972</v>
      </c>
      <c r="G345" s="37" t="n">
        <v>0.7756028906847041</v>
      </c>
      <c r="H345" s="37" t="n">
        <v>0.8996206996081721</v>
      </c>
      <c r="I345" s="39" t="inlineStr">
        <is>
          <t>Corregible</t>
        </is>
      </c>
      <c r="J345" s="29" t="n">
        <v>7.6873539717062</v>
      </c>
      <c r="K345" s="35" t="n">
        <v>84.22185523849606</v>
      </c>
      <c r="L345" s="36" t="n">
        <v>2600</v>
      </c>
      <c r="M345" s="29" t="n">
        <v>7.5</v>
      </c>
      <c r="N345" s="16" t="inlineStr">
        <is>
          <t>sí</t>
        </is>
      </c>
      <c r="O345" s="16" t="inlineStr">
        <is>
          <t>O2</t>
        </is>
      </c>
    </row>
    <row r="346">
      <c r="A346" s="16" t="inlineStr">
        <is>
          <t>KF-M05-3-0084</t>
        </is>
      </c>
      <c r="B346" s="35" t="n">
        <v>586.0927389496096</v>
      </c>
      <c r="C346" s="37" t="n">
        <v>0.5522716290513601</v>
      </c>
      <c r="D346" s="37" t="n">
        <v>0.7787480419628917</v>
      </c>
      <c r="E346" s="37" t="n">
        <v>0.7748984181564211</v>
      </c>
      <c r="F346" s="37" t="n">
        <v>0.8925577329015586</v>
      </c>
      <c r="G346" s="37" t="n">
        <v>0.6809881143484817</v>
      </c>
      <c r="H346" s="37" t="n">
        <v>0.869051739545998</v>
      </c>
      <c r="I346" s="32" t="inlineStr">
        <is>
          <t>No convergió</t>
        </is>
      </c>
      <c r="J346" s="29" t="inlineStr">
        <is>
          <t>—</t>
        </is>
      </c>
      <c r="K346" s="35" t="inlineStr">
        <is>
          <t>—</t>
        </is>
      </c>
      <c r="L346" s="36" t="n">
        <v>2600</v>
      </c>
      <c r="M346" s="29" t="n">
        <v>7.5</v>
      </c>
      <c r="N346" s="16" t="inlineStr">
        <is>
          <t>no</t>
        </is>
      </c>
      <c r="O346" s="16" t="n"/>
    </row>
    <row r="347">
      <c r="A347" s="16" t="inlineStr">
        <is>
          <t>KF-M05-3-0085</t>
        </is>
      </c>
      <c r="B347" s="35" t="n">
        <v>384.3926833282338</v>
      </c>
      <c r="C347" s="37" t="n">
        <v>0.8089417646218888</v>
      </c>
      <c r="D347" s="37" t="n">
        <v>0.5367708144199604</v>
      </c>
      <c r="E347" s="37" t="n">
        <v>0.7445459063629375</v>
      </c>
      <c r="F347" s="37" t="n">
        <v>0.8372510111421223</v>
      </c>
      <c r="G347" s="37" t="n">
        <v>0.9411898848690764</v>
      </c>
      <c r="H347" s="37" t="n">
        <v>0.5089979875461599</v>
      </c>
      <c r="I347" s="32" t="inlineStr">
        <is>
          <t>No convergió</t>
        </is>
      </c>
      <c r="J347" s="29" t="inlineStr">
        <is>
          <t>—</t>
        </is>
      </c>
      <c r="K347" s="35" t="inlineStr">
        <is>
          <t>—</t>
        </is>
      </c>
      <c r="L347" s="36" t="n">
        <v>2600</v>
      </c>
      <c r="M347" s="29" t="n">
        <v>7.5</v>
      </c>
      <c r="N347" s="16" t="inlineStr">
        <is>
          <t>no</t>
        </is>
      </c>
      <c r="O347" s="16" t="n"/>
    </row>
    <row r="348">
      <c r="A348" s="16" t="inlineStr">
        <is>
          <t>KF-M05-3-0086</t>
        </is>
      </c>
      <c r="B348" s="35" t="n">
        <v>554.8450180676246</v>
      </c>
      <c r="C348" s="37" t="n">
        <v>0.5701318978032778</v>
      </c>
      <c r="D348" s="37" t="n">
        <v>0.7462178564230697</v>
      </c>
      <c r="E348" s="37" t="n">
        <v>0.4775447893676248</v>
      </c>
      <c r="F348" s="37" t="n">
        <v>0.4849314278820277</v>
      </c>
      <c r="G348" s="37" t="n">
        <v>0.5581226016507761</v>
      </c>
      <c r="H348" s="37" t="n">
        <v>0.5118536271048915</v>
      </c>
      <c r="I348" s="40" t="inlineStr">
        <is>
          <t>Inviable</t>
        </is>
      </c>
      <c r="J348" s="29" t="n">
        <v>-14.27304619496729</v>
      </c>
      <c r="K348" s="35" t="n">
        <v>-93.06612345677374</v>
      </c>
      <c r="L348" s="36" t="n">
        <v>2600</v>
      </c>
      <c r="M348" s="29" t="n">
        <v>7.5</v>
      </c>
      <c r="N348" s="16" t="inlineStr">
        <is>
          <t>sí</t>
        </is>
      </c>
      <c r="O348" s="16" t="inlineStr">
        <is>
          <t>O2,O3</t>
        </is>
      </c>
    </row>
    <row r="349">
      <c r="A349" s="16" t="inlineStr">
        <is>
          <t>KF-M05-3-0087</t>
        </is>
      </c>
      <c r="B349" s="35" t="n">
        <v>520.3408834566507</v>
      </c>
      <c r="C349" s="37" t="n">
        <v>0.6786199720083875</v>
      </c>
      <c r="D349" s="37" t="n">
        <v>0.4989247963050486</v>
      </c>
      <c r="E349" s="37" t="n">
        <v>0.8543109673363155</v>
      </c>
      <c r="F349" s="37" t="n">
        <v>0.5444696149701957</v>
      </c>
      <c r="G349" s="37" t="n">
        <v>0.7016645387542055</v>
      </c>
      <c r="H349" s="37" t="n">
        <v>0.8175981498037708</v>
      </c>
      <c r="I349" s="40" t="inlineStr">
        <is>
          <t>Inviable</t>
        </is>
      </c>
      <c r="J349" s="29" t="n">
        <v>-1.09594121655416</v>
      </c>
      <c r="K349" s="35" t="n">
        <v>-8.725686779144468</v>
      </c>
      <c r="L349" s="36" t="n">
        <v>2600</v>
      </c>
      <c r="M349" s="29" t="n">
        <v>7.5</v>
      </c>
      <c r="N349" s="16" t="inlineStr">
        <is>
          <t>sí</t>
        </is>
      </c>
      <c r="O349" s="16" t="inlineStr">
        <is>
          <t>O2,O3</t>
        </is>
      </c>
    </row>
    <row r="350">
      <c r="A350" s="16" t="inlineStr">
        <is>
          <t>KF-M05-3-0088</t>
        </is>
      </c>
      <c r="B350" s="35" t="n">
        <v>464.5706340872061</v>
      </c>
      <c r="C350" s="37" t="n">
        <v>0.7458735135076435</v>
      </c>
      <c r="D350" s="37" t="n">
        <v>0.8523441822299649</v>
      </c>
      <c r="E350" s="37" t="n">
        <v>0.7792180923785212</v>
      </c>
      <c r="F350" s="37" t="n">
        <v>0.52741462256029</v>
      </c>
      <c r="G350" s="37" t="n">
        <v>0.7306164339591954</v>
      </c>
      <c r="H350" s="37" t="n">
        <v>0.4213182007378839</v>
      </c>
      <c r="I350" s="32" t="inlineStr">
        <is>
          <t>No convergió</t>
        </is>
      </c>
      <c r="J350" s="29" t="inlineStr">
        <is>
          <t>—</t>
        </is>
      </c>
      <c r="K350" s="35" t="inlineStr">
        <is>
          <t>—</t>
        </is>
      </c>
      <c r="L350" s="36" t="n">
        <v>2600</v>
      </c>
      <c r="M350" s="29" t="n">
        <v>7.5</v>
      </c>
      <c r="N350" s="16" t="inlineStr">
        <is>
          <t>no</t>
        </is>
      </c>
      <c r="O350" s="16" t="n"/>
    </row>
    <row r="351">
      <c r="A351" s="16" t="inlineStr">
        <is>
          <t>KF-M05-3-0089</t>
        </is>
      </c>
      <c r="B351" s="35" t="n">
        <v>581.8965059315847</v>
      </c>
      <c r="C351" s="37" t="n">
        <v>0.6843408899105394</v>
      </c>
      <c r="D351" s="37" t="n">
        <v>0.4774641617922427</v>
      </c>
      <c r="E351" s="37" t="n">
        <v>0.8336501004949477</v>
      </c>
      <c r="F351" s="37" t="n">
        <v>0.7094710671780162</v>
      </c>
      <c r="G351" s="37" t="n">
        <v>0.8215258484524948</v>
      </c>
      <c r="H351" s="37" t="n">
        <v>0.8126807576506156</v>
      </c>
      <c r="I351" s="40" t="inlineStr">
        <is>
          <t>Inviable</t>
        </is>
      </c>
      <c r="J351" s="29" t="n">
        <v>-0.6455213935867999</v>
      </c>
      <c r="K351" s="35" t="n">
        <v>-7.02693687444733</v>
      </c>
      <c r="L351" s="36" t="n">
        <v>2600</v>
      </c>
      <c r="M351" s="29" t="n">
        <v>7.5</v>
      </c>
      <c r="N351" s="16" t="inlineStr">
        <is>
          <t>sí</t>
        </is>
      </c>
      <c r="O351" s="16" t="inlineStr">
        <is>
          <t>O2,O3</t>
        </is>
      </c>
    </row>
    <row r="352">
      <c r="A352" s="16" t="inlineStr">
        <is>
          <t>KF-M05-3-0090</t>
        </is>
      </c>
      <c r="B352" s="35" t="n">
        <v>602.1123434434148</v>
      </c>
      <c r="C352" s="37" t="n">
        <v>0.7519826772803814</v>
      </c>
      <c r="D352" s="37" t="n">
        <v>0.8445758913884025</v>
      </c>
      <c r="E352" s="37" t="n">
        <v>0.5374751397866633</v>
      </c>
      <c r="F352" s="37" t="n">
        <v>0.9317687007402532</v>
      </c>
      <c r="G352" s="37" t="n">
        <v>0.8218651059649138</v>
      </c>
      <c r="H352" s="37" t="n">
        <v>0.5200798672156094</v>
      </c>
      <c r="I352" s="32" t="inlineStr">
        <is>
          <t>No convergió</t>
        </is>
      </c>
      <c r="J352" s="29" t="inlineStr">
        <is>
          <t>—</t>
        </is>
      </c>
      <c r="K352" s="35" t="inlineStr">
        <is>
          <t>—</t>
        </is>
      </c>
      <c r="L352" s="36" t="n">
        <v>2600</v>
      </c>
      <c r="M352" s="29" t="n">
        <v>7.5</v>
      </c>
      <c r="N352" s="16" t="inlineStr">
        <is>
          <t>no</t>
        </is>
      </c>
      <c r="O352" s="16" t="n"/>
    </row>
    <row r="353">
      <c r="A353" s="16" t="inlineStr">
        <is>
          <t>KF-M05-3-0091</t>
        </is>
      </c>
      <c r="B353" s="35" t="n">
        <v>568.556149350877</v>
      </c>
      <c r="C353" s="37" t="n">
        <v>0.6889031824797878</v>
      </c>
      <c r="D353" s="37" t="n">
        <v>0.531190595355563</v>
      </c>
      <c r="E353" s="37" t="n">
        <v>0.5435261819731687</v>
      </c>
      <c r="F353" s="37" t="n">
        <v>0.6918070597234174</v>
      </c>
      <c r="G353" s="37" t="n">
        <v>0.5383901587603603</v>
      </c>
      <c r="H353" s="37" t="n">
        <v>0.6160313539716816</v>
      </c>
      <c r="I353" s="32" t="inlineStr">
        <is>
          <t>No convergió</t>
        </is>
      </c>
      <c r="J353" s="29" t="inlineStr">
        <is>
          <t>—</t>
        </is>
      </c>
      <c r="K353" s="35" t="inlineStr">
        <is>
          <t>—</t>
        </is>
      </c>
      <c r="L353" s="36" t="n">
        <v>2600</v>
      </c>
      <c r="M353" s="29" t="n">
        <v>7.5</v>
      </c>
      <c r="N353" s="16" t="inlineStr">
        <is>
          <t>no</t>
        </is>
      </c>
      <c r="O353" s="16" t="n"/>
    </row>
    <row r="354">
      <c r="A354" s="16" t="inlineStr">
        <is>
          <t>KF-M05-3-0092</t>
        </is>
      </c>
      <c r="B354" s="35" t="n">
        <v>450.1717110940913</v>
      </c>
      <c r="C354" s="37" t="n">
        <v>0.7119811496815095</v>
      </c>
      <c r="D354" s="37" t="n">
        <v>0.8921869972109033</v>
      </c>
      <c r="E354" s="37" t="n">
        <v>0.4558440673950237</v>
      </c>
      <c r="F354" s="37" t="n">
        <v>0.7219892655254081</v>
      </c>
      <c r="G354" s="37" t="n">
        <v>0.4845047500135991</v>
      </c>
      <c r="H354" s="37" t="n">
        <v>0.6609916823566808</v>
      </c>
      <c r="I354" s="40" t="inlineStr">
        <is>
          <t>Inviable</t>
        </is>
      </c>
      <c r="J354" s="29" t="n">
        <v>-21.56778013898659</v>
      </c>
      <c r="K354" s="35" t="n">
        <v>-117.0615126972712</v>
      </c>
      <c r="L354" s="36" t="n">
        <v>2600</v>
      </c>
      <c r="M354" s="29" t="n">
        <v>7.5</v>
      </c>
      <c r="N354" s="16" t="inlineStr">
        <is>
          <t>sí</t>
        </is>
      </c>
      <c r="O354" s="16" t="inlineStr">
        <is>
          <t>O2,O3</t>
        </is>
      </c>
    </row>
    <row r="355">
      <c r="A355" s="16" t="inlineStr">
        <is>
          <t>KF-M05-3-0093</t>
        </is>
      </c>
      <c r="B355" s="35" t="n">
        <v>516.5946882251067</v>
      </c>
      <c r="C355" s="37" t="n">
        <v>0.5051627818746256</v>
      </c>
      <c r="D355" s="37" t="n">
        <v>0.6382885324838607</v>
      </c>
      <c r="E355" s="37" t="n">
        <v>0.5558872327713519</v>
      </c>
      <c r="F355" s="37" t="n">
        <v>0.8738933726765421</v>
      </c>
      <c r="G355" s="37" t="n">
        <v>0.7053954437967802</v>
      </c>
      <c r="H355" s="37" t="n">
        <v>0.9209386419684588</v>
      </c>
      <c r="I355" s="39" t="inlineStr">
        <is>
          <t>Corregible</t>
        </is>
      </c>
      <c r="J355" s="29" t="n">
        <v>9.80004512145371</v>
      </c>
      <c r="K355" s="35" t="n">
        <v>192.8925104400597</v>
      </c>
      <c r="L355" s="36" t="n">
        <v>2600</v>
      </c>
      <c r="M355" s="29" t="n">
        <v>7.5</v>
      </c>
      <c r="N355" s="16" t="inlineStr">
        <is>
          <t>sí</t>
        </is>
      </c>
      <c r="O355" s="16" t="inlineStr">
        <is>
          <t>O2</t>
        </is>
      </c>
    </row>
    <row r="356">
      <c r="A356" s="16" t="inlineStr">
        <is>
          <t>KF-M05-3-0094</t>
        </is>
      </c>
      <c r="B356" s="35" t="n">
        <v>544.3157080229103</v>
      </c>
      <c r="C356" s="37" t="n">
        <v>0.7635097457642304</v>
      </c>
      <c r="D356" s="37" t="n">
        <v>0.5237076513650174</v>
      </c>
      <c r="E356" s="37" t="n">
        <v>0.9386261688848474</v>
      </c>
      <c r="F356" s="37" t="n">
        <v>0.4055575524332229</v>
      </c>
      <c r="G356" s="37" t="n">
        <v>0.5621344269565784</v>
      </c>
      <c r="H356" s="37" t="n">
        <v>0.734359555165266</v>
      </c>
      <c r="I356" s="40" t="inlineStr">
        <is>
          <t>Inviable</t>
        </is>
      </c>
      <c r="J356" s="29" t="n">
        <v>-12.70530549565775</v>
      </c>
      <c r="K356" s="35" t="n">
        <v>-58.24505392276785</v>
      </c>
      <c r="L356" s="36" t="n">
        <v>2600</v>
      </c>
      <c r="M356" s="29" t="n">
        <v>7.5</v>
      </c>
      <c r="N356" s="16" t="inlineStr">
        <is>
          <t>sí</t>
        </is>
      </c>
      <c r="O356" s="16" t="inlineStr">
        <is>
          <t>O2,O3</t>
        </is>
      </c>
    </row>
    <row r="357">
      <c r="A357" s="16" t="inlineStr">
        <is>
          <t>KF-M05-3-0095</t>
        </is>
      </c>
      <c r="B357" s="35" t="n">
        <v>423.9356102567582</v>
      </c>
      <c r="C357" s="37" t="n">
        <v>0.5107849740845904</v>
      </c>
      <c r="D357" s="37" t="n">
        <v>0.5388744775567773</v>
      </c>
      <c r="E357" s="37" t="n">
        <v>0.5769076588269844</v>
      </c>
      <c r="F357" s="37" t="n">
        <v>0.5725216710747273</v>
      </c>
      <c r="G357" s="37" t="n">
        <v>0.7279738552956405</v>
      </c>
      <c r="H357" s="37" t="n">
        <v>0.6727304248433337</v>
      </c>
      <c r="I357" s="39" t="inlineStr">
        <is>
          <t>Corregible</t>
        </is>
      </c>
      <c r="J357" s="29" t="n">
        <v>4.018674200193121</v>
      </c>
      <c r="K357" s="35" t="n">
        <v>15.12505430295958</v>
      </c>
      <c r="L357" s="36" t="n">
        <v>2600</v>
      </c>
      <c r="M357" s="29" t="n">
        <v>7.5</v>
      </c>
      <c r="N357" s="16" t="inlineStr">
        <is>
          <t>no</t>
        </is>
      </c>
      <c r="O357" s="16" t="inlineStr">
        <is>
          <t>O2</t>
        </is>
      </c>
    </row>
    <row r="358">
      <c r="A358" s="16" t="inlineStr">
        <is>
          <t>KF-M05-3-0096</t>
        </is>
      </c>
      <c r="B358" s="35" t="n">
        <v>587.8584889473103</v>
      </c>
      <c r="C358" s="37" t="n">
        <v>0.5351916306868674</v>
      </c>
      <c r="D358" s="37" t="n">
        <v>0.8094342636012986</v>
      </c>
      <c r="E358" s="37" t="n">
        <v>0.7514003458444511</v>
      </c>
      <c r="F358" s="37" t="n">
        <v>0.4643702606094073</v>
      </c>
      <c r="G358" s="37" t="n">
        <v>0.862336201330641</v>
      </c>
      <c r="H358" s="37" t="n">
        <v>0.649465284570256</v>
      </c>
      <c r="I358" s="39" t="inlineStr">
        <is>
          <t>Corregible</t>
        </is>
      </c>
      <c r="J358" s="29" t="n">
        <v>10.2183036487207</v>
      </c>
      <c r="K358" s="35" t="n">
        <v>93.98938782343345</v>
      </c>
      <c r="L358" s="36" t="n">
        <v>2600</v>
      </c>
      <c r="M358" s="29" t="n">
        <v>7.5</v>
      </c>
      <c r="N358" s="16" t="inlineStr">
        <is>
          <t>sí</t>
        </is>
      </c>
      <c r="O358" s="16" t="inlineStr">
        <is>
          <t>O2</t>
        </is>
      </c>
    </row>
    <row r="359">
      <c r="A359" s="16" t="inlineStr">
        <is>
          <t>KF-M05-3-0097</t>
        </is>
      </c>
      <c r="B359" s="35" t="n">
        <v>584.273277267787</v>
      </c>
      <c r="C359" s="37" t="n">
        <v>0.5785893102880175</v>
      </c>
      <c r="D359" s="37" t="n">
        <v>0.6232000129249233</v>
      </c>
      <c r="E359" s="37" t="n">
        <v>0.8997430048936386</v>
      </c>
      <c r="F359" s="37" t="n">
        <v>0.7054705904514282</v>
      </c>
      <c r="G359" s="37" t="n">
        <v>0.5874064473495121</v>
      </c>
      <c r="H359" s="37" t="n">
        <v>0.5903897024928715</v>
      </c>
      <c r="I359" s="39" t="inlineStr">
        <is>
          <t>Corregible</t>
        </is>
      </c>
      <c r="J359" s="29" t="n">
        <v>3.83164845081174</v>
      </c>
      <c r="K359" s="35" t="n">
        <v>41.1198539855169</v>
      </c>
      <c r="L359" s="36" t="n">
        <v>2600</v>
      </c>
      <c r="M359" s="29" t="n">
        <v>7.5</v>
      </c>
      <c r="N359" s="16" t="inlineStr">
        <is>
          <t>sí</t>
        </is>
      </c>
      <c r="O359" s="16" t="inlineStr">
        <is>
          <t>O2</t>
        </is>
      </c>
    </row>
    <row r="360">
      <c r="A360" s="16" t="inlineStr">
        <is>
          <t>KF-M05-3-0098</t>
        </is>
      </c>
      <c r="B360" s="35" t="n">
        <v>577.4354676945809</v>
      </c>
      <c r="C360" s="37" t="n">
        <v>0.5199660044508752</v>
      </c>
      <c r="D360" s="37" t="n">
        <v>0.4104755844866483</v>
      </c>
      <c r="E360" s="37" t="n">
        <v>0.7844880197264744</v>
      </c>
      <c r="F360" s="37" t="n">
        <v>0.5965613164900485</v>
      </c>
      <c r="G360" s="37" t="n">
        <v>0.6175541966549505</v>
      </c>
      <c r="H360" s="37" t="n">
        <v>0.6258748331229683</v>
      </c>
      <c r="I360" s="40" t="inlineStr">
        <is>
          <t>Inviable</t>
        </is>
      </c>
      <c r="J360" s="29" t="n">
        <v>-0.79910298807216</v>
      </c>
      <c r="K360" s="35" t="n">
        <v>-8.564138637682262</v>
      </c>
      <c r="L360" s="36" t="n">
        <v>2600</v>
      </c>
      <c r="M360" s="29" t="n">
        <v>7.5</v>
      </c>
      <c r="N360" s="16" t="inlineStr">
        <is>
          <t>sí</t>
        </is>
      </c>
      <c r="O360" s="16" t="inlineStr">
        <is>
          <t>O2,O3</t>
        </is>
      </c>
    </row>
    <row r="361">
      <c r="A361" s="16" t="inlineStr">
        <is>
          <t>KF-M05-3-0099</t>
        </is>
      </c>
      <c r="B361" s="35" t="n">
        <v>530.0976876685875</v>
      </c>
      <c r="C361" s="37" t="n">
        <v>0.8205257446052927</v>
      </c>
      <c r="D361" s="37" t="n">
        <v>0.4574773686764416</v>
      </c>
      <c r="E361" s="37" t="n">
        <v>0.6496567490455938</v>
      </c>
      <c r="F361" s="37" t="n">
        <v>0.58253702987108</v>
      </c>
      <c r="G361" s="37" t="n">
        <v>0.5657782347715427</v>
      </c>
      <c r="H361" s="37" t="n">
        <v>0.8113052126162794</v>
      </c>
      <c r="I361" s="40" t="inlineStr">
        <is>
          <t>Inviable</t>
        </is>
      </c>
      <c r="J361" s="29" t="n">
        <v>-43.49320973456157</v>
      </c>
      <c r="K361" s="35" t="n">
        <v>-193.6182932180217</v>
      </c>
      <c r="L361" s="36" t="n">
        <v>2600</v>
      </c>
      <c r="M361" s="29" t="n">
        <v>7.5</v>
      </c>
      <c r="N361" s="16" t="inlineStr">
        <is>
          <t>sí</t>
        </is>
      </c>
      <c r="O361" s="16" t="inlineStr">
        <is>
          <t>O2,O3</t>
        </is>
      </c>
    </row>
    <row r="362">
      <c r="A362" s="16" t="inlineStr">
        <is>
          <t>KF-M05-3-0100</t>
        </is>
      </c>
      <c r="B362" s="35" t="n">
        <v>433.5303906599333</v>
      </c>
      <c r="C362" s="37" t="n">
        <v>0.6234923522563102</v>
      </c>
      <c r="D362" s="37" t="n">
        <v>0.5636486150860984</v>
      </c>
      <c r="E362" s="37" t="n">
        <v>0.4901374485016563</v>
      </c>
      <c r="F362" s="37" t="n">
        <v>0.5579616964599987</v>
      </c>
      <c r="G362" s="37" t="n">
        <v>0.5964786605163348</v>
      </c>
      <c r="H362" s="37" t="n">
        <v>0.8654256659909125</v>
      </c>
      <c r="I362" s="40" t="inlineStr">
        <is>
          <t>Inviable</t>
        </is>
      </c>
      <c r="J362" s="29" t="n">
        <v>-6.268876564370671</v>
      </c>
      <c r="K362" s="35" t="n">
        <v>-31.87086937823166</v>
      </c>
      <c r="L362" s="36" t="n">
        <v>2600</v>
      </c>
      <c r="M362" s="29" t="n">
        <v>7.5</v>
      </c>
      <c r="N362" s="16" t="inlineStr">
        <is>
          <t>no</t>
        </is>
      </c>
      <c r="O362" s="16" t="inlineStr">
        <is>
          <t>O2,O3</t>
        </is>
      </c>
    </row>
    <row r="363">
      <c r="A363" s="16" t="inlineStr">
        <is>
          <t>KF-M05-3-0101</t>
        </is>
      </c>
      <c r="B363" s="35" t="n">
        <v>607.0267391474401</v>
      </c>
      <c r="C363" s="37" t="n">
        <v>0.7691799747928377</v>
      </c>
      <c r="D363" s="37" t="n">
        <v>0.6131488429424535</v>
      </c>
      <c r="E363" s="37" t="n">
        <v>0.4036024370207849</v>
      </c>
      <c r="F363" s="37" t="n">
        <v>0.7439211793282419</v>
      </c>
      <c r="G363" s="37" t="n">
        <v>0.9368023357544388</v>
      </c>
      <c r="H363" s="37" t="n">
        <v>0.5441490594576188</v>
      </c>
      <c r="I363" s="32" t="inlineStr">
        <is>
          <t>No convergió</t>
        </is>
      </c>
      <c r="J363" s="29" t="inlineStr">
        <is>
          <t>—</t>
        </is>
      </c>
      <c r="K363" s="35" t="inlineStr">
        <is>
          <t>—</t>
        </is>
      </c>
      <c r="L363" s="36" t="n">
        <v>2600</v>
      </c>
      <c r="M363" s="29" t="n">
        <v>7.5</v>
      </c>
      <c r="N363" s="16" t="inlineStr">
        <is>
          <t>no</t>
        </is>
      </c>
      <c r="O363" s="16" t="n"/>
    </row>
    <row r="364">
      <c r="A364" s="16" t="inlineStr">
        <is>
          <t>KF-M05-3-0102</t>
        </is>
      </c>
      <c r="B364" s="35" t="n">
        <v>398.1850703270961</v>
      </c>
      <c r="C364" s="37" t="n">
        <v>0.5238861831522966</v>
      </c>
      <c r="D364" s="37" t="n">
        <v>0.9190685331535901</v>
      </c>
      <c r="E364" s="37" t="n">
        <v>0.7260518217827805</v>
      </c>
      <c r="F364" s="37" t="n">
        <v>0.783179377158534</v>
      </c>
      <c r="G364" s="37" t="n">
        <v>0.8025654044793009</v>
      </c>
      <c r="H364" s="37" t="n">
        <v>0.8403759566584658</v>
      </c>
      <c r="I364" s="39" t="inlineStr">
        <is>
          <t>Corregible</t>
        </is>
      </c>
      <c r="J364" s="29" t="n">
        <v>11.12868489907746</v>
      </c>
      <c r="K364" s="35" t="n">
        <v>30.20536698459206</v>
      </c>
      <c r="L364" s="36" t="n">
        <v>2600</v>
      </c>
      <c r="M364" s="29" t="n">
        <v>7.5</v>
      </c>
      <c r="N364" s="16" t="inlineStr">
        <is>
          <t>no</t>
        </is>
      </c>
      <c r="O364" s="16" t="inlineStr">
        <is>
          <t>O2</t>
        </is>
      </c>
    </row>
    <row r="365">
      <c r="A365" s="16" t="inlineStr">
        <is>
          <t>KF-M05-3-0103</t>
        </is>
      </c>
      <c r="B365" s="35" t="n">
        <v>412.108925155677</v>
      </c>
      <c r="C365" s="37" t="n">
        <v>0.5633159091307038</v>
      </c>
      <c r="D365" s="37" t="n">
        <v>0.8807382947863471</v>
      </c>
      <c r="E365" s="37" t="n">
        <v>0.7850836216238811</v>
      </c>
      <c r="F365" s="37" t="n">
        <v>0.6883125377442227</v>
      </c>
      <c r="G365" s="37" t="n">
        <v>0.5746681955650894</v>
      </c>
      <c r="H365" s="37" t="n">
        <v>0.7974075918004929</v>
      </c>
      <c r="I365" s="39" t="inlineStr">
        <is>
          <t>Corregible</t>
        </is>
      </c>
      <c r="J365" s="29" t="n">
        <v>10.43027657170336</v>
      </c>
      <c r="K365" s="35" t="n">
        <v>45.63428746257354</v>
      </c>
      <c r="L365" s="36" t="n">
        <v>2600</v>
      </c>
      <c r="M365" s="29" t="n">
        <v>7.5</v>
      </c>
      <c r="N365" s="16" t="inlineStr">
        <is>
          <t>no</t>
        </is>
      </c>
      <c r="O365" s="16" t="inlineStr">
        <is>
          <t>O2</t>
        </is>
      </c>
    </row>
    <row r="366">
      <c r="A366" s="16" t="inlineStr">
        <is>
          <t>KF-M05-3-0104</t>
        </is>
      </c>
      <c r="B366" s="35" t="n">
        <v>574.7326451137696</v>
      </c>
      <c r="C366" s="37" t="n">
        <v>0.5208047054218315</v>
      </c>
      <c r="D366" s="37" t="n">
        <v>0.7532286083481653</v>
      </c>
      <c r="E366" s="37" t="n">
        <v>0.569248508220914</v>
      </c>
      <c r="F366" s="37" t="n">
        <v>0.441235520603863</v>
      </c>
      <c r="G366" s="37" t="n">
        <v>0.6500387460067951</v>
      </c>
      <c r="H366" s="37" t="n">
        <v>0.7236998406024135</v>
      </c>
      <c r="I366" s="39" t="inlineStr">
        <is>
          <t>Corregible</t>
        </is>
      </c>
      <c r="J366" s="29" t="n">
        <v>8.881724622013449</v>
      </c>
      <c r="K366" s="35" t="n">
        <v>82.98014281203749</v>
      </c>
      <c r="L366" s="36" t="n">
        <v>2600</v>
      </c>
      <c r="M366" s="29" t="n">
        <v>7.5</v>
      </c>
      <c r="N366" s="16" t="inlineStr">
        <is>
          <t>sí</t>
        </is>
      </c>
      <c r="O366" s="16" t="inlineStr">
        <is>
          <t>O2</t>
        </is>
      </c>
    </row>
    <row r="367">
      <c r="A367" s="16" t="inlineStr">
        <is>
          <t>KF-M05-3-0105</t>
        </is>
      </c>
      <c r="B367" s="35" t="n">
        <v>538.6410604580078</v>
      </c>
      <c r="C367" s="37" t="n">
        <v>0.7603520714636853</v>
      </c>
      <c r="D367" s="37" t="n">
        <v>0.6827852127917149</v>
      </c>
      <c r="E367" s="37" t="n">
        <v>0.4507644711846562</v>
      </c>
      <c r="F367" s="37" t="n">
        <v>0.94429037452828</v>
      </c>
      <c r="G367" s="37" t="n">
        <v>0.6873957162075285</v>
      </c>
      <c r="H367" s="37" t="n">
        <v>0.4072720592518252</v>
      </c>
      <c r="I367" s="32" t="inlineStr">
        <is>
          <t>No convergió</t>
        </is>
      </c>
      <c r="J367" s="29" t="inlineStr">
        <is>
          <t>—</t>
        </is>
      </c>
      <c r="K367" s="35" t="inlineStr">
        <is>
          <t>—</t>
        </is>
      </c>
      <c r="L367" s="36" t="n">
        <v>2600</v>
      </c>
      <c r="M367" s="29" t="n">
        <v>7.5</v>
      </c>
      <c r="N367" s="16" t="inlineStr">
        <is>
          <t>no</t>
        </is>
      </c>
      <c r="O367" s="16" t="n"/>
    </row>
    <row r="368">
      <c r="A368" s="16" t="inlineStr">
        <is>
          <t>KF-M05-3-0106</t>
        </is>
      </c>
      <c r="B368" s="35" t="n">
        <v>393.391808158521</v>
      </c>
      <c r="C368" s="37" t="n">
        <v>0.6938644255669242</v>
      </c>
      <c r="D368" s="37" t="n">
        <v>0.5120895591942336</v>
      </c>
      <c r="E368" s="37" t="n">
        <v>0.8962192850675224</v>
      </c>
      <c r="F368" s="37" t="n">
        <v>0.7754842982323739</v>
      </c>
      <c r="G368" s="37" t="n">
        <v>0.4820602046441834</v>
      </c>
      <c r="H368" s="37" t="n">
        <v>0.8732936983354466</v>
      </c>
      <c r="I368" s="40" t="inlineStr">
        <is>
          <t>Inviable</t>
        </is>
      </c>
      <c r="J368" s="29" t="n">
        <v>-18.42406203426757</v>
      </c>
      <c r="K368" s="35" t="n">
        <v>-46.18336020599216</v>
      </c>
      <c r="L368" s="36" t="n">
        <v>2600</v>
      </c>
      <c r="M368" s="29" t="n">
        <v>7.5</v>
      </c>
      <c r="N368" s="16" t="inlineStr">
        <is>
          <t>no</t>
        </is>
      </c>
      <c r="O368" s="16" t="inlineStr">
        <is>
          <t>O2,O3</t>
        </is>
      </c>
    </row>
    <row r="369">
      <c r="A369" s="16" t="inlineStr">
        <is>
          <t>KF-M05-3-0107</t>
        </is>
      </c>
      <c r="B369" s="35" t="n">
        <v>526.0791871154097</v>
      </c>
      <c r="C369" s="37" t="n">
        <v>0.6445612049334356</v>
      </c>
      <c r="D369" s="37" t="n">
        <v>0.6293477348761222</v>
      </c>
      <c r="E369" s="37" t="n">
        <v>0.8381542035799397</v>
      </c>
      <c r="F369" s="37" t="n">
        <v>0.888306515014144</v>
      </c>
      <c r="G369" s="37" t="n">
        <v>0.7513507727115326</v>
      </c>
      <c r="H369" s="37" t="n">
        <v>0.8938399963579369</v>
      </c>
      <c r="I369" s="38" t="inlineStr">
        <is>
          <t>Falso convergido</t>
        </is>
      </c>
      <c r="J369" s="29" t="inlineStr">
        <is>
          <t>—</t>
        </is>
      </c>
      <c r="K369" s="35" t="inlineStr">
        <is>
          <t>—</t>
        </is>
      </c>
      <c r="L369" s="36" t="n">
        <v>2600</v>
      </c>
      <c r="M369" s="29" t="n">
        <v>7.5</v>
      </c>
      <c r="N369" s="16" t="inlineStr">
        <is>
          <t>sí</t>
        </is>
      </c>
      <c r="O369" s="16" t="inlineStr">
        <is>
          <t>N2,O2,O5,C1,C3,C3</t>
        </is>
      </c>
    </row>
    <row r="370">
      <c r="A370" s="16" t="inlineStr">
        <is>
          <t>KF-M05-3-0108</t>
        </is>
      </c>
      <c r="B370" s="35" t="n">
        <v>479.6386267756259</v>
      </c>
      <c r="C370" s="37" t="n">
        <v>0.6184322178385444</v>
      </c>
      <c r="D370" s="37" t="n">
        <v>0.7078342554908323</v>
      </c>
      <c r="E370" s="37" t="n">
        <v>0.6329283483430231</v>
      </c>
      <c r="F370" s="37" t="n">
        <v>0.6740457298597666</v>
      </c>
      <c r="G370" s="37" t="n">
        <v>0.8334052463119792</v>
      </c>
      <c r="H370" s="37" t="n">
        <v>0.427678385224088</v>
      </c>
      <c r="I370" s="40" t="inlineStr">
        <is>
          <t>Inviable</t>
        </is>
      </c>
      <c r="J370" s="29" t="n">
        <v>-19.88770188603364</v>
      </c>
      <c r="K370" s="35" t="n">
        <v>-104.7736083829567</v>
      </c>
      <c r="L370" s="36" t="n">
        <v>2600</v>
      </c>
      <c r="M370" s="29" t="n">
        <v>7.5</v>
      </c>
      <c r="N370" s="16" t="inlineStr">
        <is>
          <t>sí</t>
        </is>
      </c>
      <c r="O370" s="16" t="inlineStr">
        <is>
          <t>O2,O3</t>
        </is>
      </c>
    </row>
    <row r="371">
      <c r="A371" s="16" t="inlineStr">
        <is>
          <t>KF-M05-3-0109</t>
        </is>
      </c>
      <c r="B371" s="35" t="n">
        <v>481.8336133259558</v>
      </c>
      <c r="C371" s="37" t="n">
        <v>0.5002346812426254</v>
      </c>
      <c r="D371" s="37" t="n">
        <v>0.4505074774487236</v>
      </c>
      <c r="E371" s="37" t="n">
        <v>0.599709376052627</v>
      </c>
      <c r="F371" s="37" t="n">
        <v>0.7373039447347439</v>
      </c>
      <c r="G371" s="37" t="n">
        <v>0.8868430898819351</v>
      </c>
      <c r="H371" s="37" t="n">
        <v>0.5762538785040965</v>
      </c>
      <c r="I371" s="40" t="inlineStr">
        <is>
          <t>Inviable</t>
        </is>
      </c>
      <c r="J371" s="29" t="n">
        <v>-6.186700341673769</v>
      </c>
      <c r="K371" s="35" t="n">
        <v>-61.82081233280786</v>
      </c>
      <c r="L371" s="36" t="n">
        <v>2600</v>
      </c>
      <c r="M371" s="29" t="n">
        <v>7.5</v>
      </c>
      <c r="N371" s="16" t="inlineStr">
        <is>
          <t>sí</t>
        </is>
      </c>
      <c r="O371" s="16" t="inlineStr">
        <is>
          <t>O2,O3</t>
        </is>
      </c>
    </row>
    <row r="372">
      <c r="A372" s="16" t="inlineStr">
        <is>
          <t>KF-M05-3-0110</t>
        </is>
      </c>
      <c r="B372" s="35" t="n">
        <v>427.8966608009917</v>
      </c>
      <c r="C372" s="37" t="n">
        <v>0.8246437707548926</v>
      </c>
      <c r="D372" s="37" t="n">
        <v>0.9367133651588544</v>
      </c>
      <c r="E372" s="37" t="n">
        <v>0.840002132955602</v>
      </c>
      <c r="F372" s="37" t="n">
        <v>0.5016010371702181</v>
      </c>
      <c r="G372" s="37" t="n">
        <v>0.7974644794851975</v>
      </c>
      <c r="H372" s="37" t="n">
        <v>0.935938930629493</v>
      </c>
      <c r="I372" s="39" t="inlineStr">
        <is>
          <t>Corregible</t>
        </is>
      </c>
      <c r="J372" s="29" t="n">
        <v>3.02195593447022</v>
      </c>
      <c r="K372" s="35" t="n">
        <v>9.240616918531686</v>
      </c>
      <c r="L372" s="36" t="n">
        <v>2600</v>
      </c>
      <c r="M372" s="29" t="n">
        <v>7.5</v>
      </c>
      <c r="N372" s="16" t="inlineStr">
        <is>
          <t>no</t>
        </is>
      </c>
      <c r="O372" s="16" t="inlineStr">
        <is>
          <t>O2</t>
        </is>
      </c>
    </row>
    <row r="373">
      <c r="A373" s="16" t="inlineStr">
        <is>
          <t>KF-M05-3-0111</t>
        </is>
      </c>
      <c r="B373" s="35" t="n">
        <v>528.1253283501076</v>
      </c>
      <c r="C373" s="37" t="n">
        <v>0.5331534119735771</v>
      </c>
      <c r="D373" s="37" t="n">
        <v>0.7167317787286633</v>
      </c>
      <c r="E373" s="37" t="n">
        <v>0.7531683313196632</v>
      </c>
      <c r="F373" s="37" t="n">
        <v>0.5523285129749921</v>
      </c>
      <c r="G373" s="37" t="n">
        <v>0.4412779929667575</v>
      </c>
      <c r="H373" s="37" t="n">
        <v>0.9251772523621818</v>
      </c>
      <c r="I373" s="39" t="inlineStr">
        <is>
          <t>Corregible</t>
        </is>
      </c>
      <c r="J373" s="29" t="n">
        <v>10.71146108705386</v>
      </c>
      <c r="K373" s="35" t="n">
        <v>132.9292781643931</v>
      </c>
      <c r="L373" s="36" t="n">
        <v>2600</v>
      </c>
      <c r="M373" s="29" t="n">
        <v>7.5</v>
      </c>
      <c r="N373" s="16" t="inlineStr">
        <is>
          <t>sí</t>
        </is>
      </c>
      <c r="O373" s="16" t="inlineStr">
        <is>
          <t>O2</t>
        </is>
      </c>
    </row>
    <row r="374">
      <c r="A374" s="16" t="inlineStr">
        <is>
          <t>KF-M05-3-0112</t>
        </is>
      </c>
      <c r="B374" s="35" t="n">
        <v>549.5591948967428</v>
      </c>
      <c r="C374" s="37" t="n">
        <v>0.6767949848886354</v>
      </c>
      <c r="D374" s="37" t="n">
        <v>0.5555382181926882</v>
      </c>
      <c r="E374" s="37" t="n">
        <v>0.4790885359643591</v>
      </c>
      <c r="F374" s="37" t="n">
        <v>0.7932443807789986</v>
      </c>
      <c r="G374" s="37" t="n">
        <v>0.4690612196017169</v>
      </c>
      <c r="H374" s="37" t="n">
        <v>0.489934685135728</v>
      </c>
      <c r="I374" s="32" t="inlineStr">
        <is>
          <t>No convergió</t>
        </is>
      </c>
      <c r="J374" s="29" t="inlineStr">
        <is>
          <t>—</t>
        </is>
      </c>
      <c r="K374" s="35" t="inlineStr">
        <is>
          <t>—</t>
        </is>
      </c>
      <c r="L374" s="36" t="n">
        <v>2600</v>
      </c>
      <c r="M374" s="29" t="n">
        <v>7.5</v>
      </c>
      <c r="N374" s="16" t="inlineStr">
        <is>
          <t>no</t>
        </is>
      </c>
      <c r="O374" s="16" t="n"/>
    </row>
    <row r="375">
      <c r="A375" s="16" t="inlineStr">
        <is>
          <t>KF-M05-3-0113</t>
        </is>
      </c>
      <c r="B375" s="35" t="n">
        <v>501.5838575720338</v>
      </c>
      <c r="C375" s="37" t="n">
        <v>0.733799491050845</v>
      </c>
      <c r="D375" s="37" t="n">
        <v>0.928756247597206</v>
      </c>
      <c r="E375" s="37" t="n">
        <v>0.8884116001800599</v>
      </c>
      <c r="F375" s="37" t="n">
        <v>0.4120208430150799</v>
      </c>
      <c r="G375" s="37" t="n">
        <v>0.8138040273324144</v>
      </c>
      <c r="H375" s="37" t="n">
        <v>0.5270141239415749</v>
      </c>
      <c r="I375" s="39" t="inlineStr">
        <is>
          <t>Corregible</t>
        </is>
      </c>
      <c r="J375" s="29" t="n">
        <v>6.87167066917617</v>
      </c>
      <c r="K375" s="35" t="n">
        <v>27.39479899546296</v>
      </c>
      <c r="L375" s="36" t="n">
        <v>2600</v>
      </c>
      <c r="M375" s="29" t="n">
        <v>7.5</v>
      </c>
      <c r="N375" s="16" t="inlineStr">
        <is>
          <t>sí</t>
        </is>
      </c>
      <c r="O375" s="16" t="inlineStr">
        <is>
          <t>O2</t>
        </is>
      </c>
    </row>
    <row r="376">
      <c r="A376" s="16" t="inlineStr">
        <is>
          <t>KF-M05-3-0114</t>
        </is>
      </c>
      <c r="B376" s="35" t="n">
        <v>594.8844137508315</v>
      </c>
      <c r="C376" s="37" t="n">
        <v>0.5750145884290436</v>
      </c>
      <c r="D376" s="37" t="n">
        <v>0.8007776816412739</v>
      </c>
      <c r="E376" s="37" t="n">
        <v>0.5795917948073963</v>
      </c>
      <c r="F376" s="37" t="n">
        <v>0.8545070254865198</v>
      </c>
      <c r="G376" s="37" t="n">
        <v>0.8839348255497395</v>
      </c>
      <c r="H376" s="37" t="n">
        <v>0.4377924319375321</v>
      </c>
      <c r="I376" s="32" t="inlineStr">
        <is>
          <t>No convergió</t>
        </is>
      </c>
      <c r="J376" s="29" t="inlineStr">
        <is>
          <t>—</t>
        </is>
      </c>
      <c r="K376" s="35" t="inlineStr">
        <is>
          <t>—</t>
        </is>
      </c>
      <c r="L376" s="36" t="n">
        <v>2600</v>
      </c>
      <c r="M376" s="29" t="n">
        <v>7.5</v>
      </c>
      <c r="N376" s="16" t="inlineStr">
        <is>
          <t>no</t>
        </is>
      </c>
      <c r="O376" s="16" t="n"/>
    </row>
    <row r="377">
      <c r="A377" s="16" t="inlineStr">
        <is>
          <t>KF-M05-3-0115</t>
        </is>
      </c>
      <c r="B377" s="35" t="n">
        <v>477.4454846923756</v>
      </c>
      <c r="C377" s="37" t="n">
        <v>0.5122525888040736</v>
      </c>
      <c r="D377" s="37" t="n">
        <v>0.4847254722143514</v>
      </c>
      <c r="E377" s="37" t="n">
        <v>0.7954562644918877</v>
      </c>
      <c r="F377" s="37" t="n">
        <v>0.4965344964062146</v>
      </c>
      <c r="G377" s="37" t="n">
        <v>0.6416082712307486</v>
      </c>
      <c r="H377" s="37" t="n">
        <v>0.4691565883523769</v>
      </c>
      <c r="I377" s="40" t="inlineStr">
        <is>
          <t>Inviable</t>
        </is>
      </c>
      <c r="J377" s="29" t="n">
        <v>-6.44974542468793</v>
      </c>
      <c r="K377" s="35" t="n">
        <v>-42.94776054944963</v>
      </c>
      <c r="L377" s="36" t="n">
        <v>2600</v>
      </c>
      <c r="M377" s="29" t="n">
        <v>7.5</v>
      </c>
      <c r="N377" s="16" t="inlineStr">
        <is>
          <t>sí</t>
        </is>
      </c>
      <c r="O377" s="16" t="inlineStr">
        <is>
          <t>O2,O3</t>
        </is>
      </c>
    </row>
    <row r="378">
      <c r="A378" s="16" t="inlineStr">
        <is>
          <t>KF-M05-3-0116</t>
        </is>
      </c>
      <c r="B378" s="35" t="n">
        <v>402.758110472168</v>
      </c>
      <c r="C378" s="37" t="n">
        <v>0.5486033714940894</v>
      </c>
      <c r="D378" s="37" t="n">
        <v>0.6658938826028031</v>
      </c>
      <c r="E378" s="37" t="n">
        <v>0.4256695837902948</v>
      </c>
      <c r="F378" s="37" t="n">
        <v>0.6787594833492727</v>
      </c>
      <c r="G378" s="37" t="n">
        <v>0.7828791867327348</v>
      </c>
      <c r="H378" s="37" t="n">
        <v>0.4334897210219952</v>
      </c>
      <c r="I378" s="40" t="inlineStr">
        <is>
          <t>Inviable</t>
        </is>
      </c>
      <c r="J378" s="29" t="n">
        <v>-37.41273747653079</v>
      </c>
      <c r="K378" s="35" t="n">
        <v>-68.09087484061079</v>
      </c>
      <c r="L378" s="36" t="n">
        <v>2600</v>
      </c>
      <c r="M378" s="29" t="n">
        <v>7.5</v>
      </c>
      <c r="N378" s="16" t="inlineStr">
        <is>
          <t>no</t>
        </is>
      </c>
      <c r="O378" s="16" t="inlineStr">
        <is>
          <t>O2,O3</t>
        </is>
      </c>
    </row>
    <row r="379">
      <c r="A379" s="16" t="inlineStr">
        <is>
          <t>KF-M05-3-0117</t>
        </is>
      </c>
      <c r="B379" s="35" t="n">
        <v>395.1331527093238</v>
      </c>
      <c r="C379" s="37" t="n">
        <v>0.5396409652587254</v>
      </c>
      <c r="D379" s="37" t="n">
        <v>0.4239263333677598</v>
      </c>
      <c r="E379" s="37" t="n">
        <v>0.8037981456893669</v>
      </c>
      <c r="F379" s="37" t="n">
        <v>0.4154989956145369</v>
      </c>
      <c r="G379" s="37" t="n">
        <v>0.4229772129993928</v>
      </c>
      <c r="H379" s="37" t="n">
        <v>0.6894660774163419</v>
      </c>
      <c r="I379" s="40" t="inlineStr">
        <is>
          <t>Inviable</t>
        </is>
      </c>
      <c r="J379" s="29" t="n">
        <v>-3.58672415573613</v>
      </c>
      <c r="K379" s="35" t="n">
        <v>-6.498330013330722</v>
      </c>
      <c r="L379" s="36" t="n">
        <v>2600</v>
      </c>
      <c r="M379" s="29" t="n">
        <v>7.5</v>
      </c>
      <c r="N379" s="16" t="inlineStr">
        <is>
          <t>no</t>
        </is>
      </c>
      <c r="O379" s="16" t="inlineStr">
        <is>
          <t>O2,O3</t>
        </is>
      </c>
    </row>
    <row r="380">
      <c r="A380" s="16" t="inlineStr">
        <is>
          <t>KF-M05-3-0118</t>
        </is>
      </c>
      <c r="B380" s="35" t="n">
        <v>617.2336963279967</v>
      </c>
      <c r="C380" s="37" t="n">
        <v>0.7952326773607161</v>
      </c>
      <c r="D380" s="37" t="n">
        <v>0.8986040420347448</v>
      </c>
      <c r="E380" s="37" t="n">
        <v>0.5541591917063452</v>
      </c>
      <c r="F380" s="37" t="n">
        <v>0.8030484089855119</v>
      </c>
      <c r="G380" s="37" t="n">
        <v>0.6203273643069473</v>
      </c>
      <c r="H380" s="37" t="n">
        <v>0.4231226004293428</v>
      </c>
      <c r="I380" s="32" t="inlineStr">
        <is>
          <t>No convergió</t>
        </is>
      </c>
      <c r="J380" s="29" t="inlineStr">
        <is>
          <t>—</t>
        </is>
      </c>
      <c r="K380" s="35" t="inlineStr">
        <is>
          <t>—</t>
        </is>
      </c>
      <c r="L380" s="36" t="n">
        <v>2600</v>
      </c>
      <c r="M380" s="29" t="n">
        <v>7.5</v>
      </c>
      <c r="N380" s="16" t="inlineStr">
        <is>
          <t>no</t>
        </is>
      </c>
      <c r="O380" s="16" t="n"/>
    </row>
    <row r="381">
      <c r="A381" s="16" t="inlineStr">
        <is>
          <t>KF-M05-3-0119</t>
        </is>
      </c>
      <c r="B381" s="35" t="n">
        <v>499.1973762759537</v>
      </c>
      <c r="C381" s="37" t="n">
        <v>0.7155132549253247</v>
      </c>
      <c r="D381" s="37" t="n">
        <v>0.6852286009590516</v>
      </c>
      <c r="E381" s="37" t="n">
        <v>0.4199918717464791</v>
      </c>
      <c r="F381" s="37" t="n">
        <v>0.7759136752124256</v>
      </c>
      <c r="G381" s="37" t="n">
        <v>0.876138660041847</v>
      </c>
      <c r="H381" s="37" t="n">
        <v>0.4042365750728552</v>
      </c>
      <c r="I381" s="32" t="inlineStr">
        <is>
          <t>No convergió</t>
        </is>
      </c>
      <c r="J381" s="29" t="inlineStr">
        <is>
          <t>—</t>
        </is>
      </c>
      <c r="K381" s="35" t="inlineStr">
        <is>
          <t>—</t>
        </is>
      </c>
      <c r="L381" s="36" t="n">
        <v>2600</v>
      </c>
      <c r="M381" s="29" t="n">
        <v>7.5</v>
      </c>
      <c r="N381" s="16" t="inlineStr">
        <is>
          <t>no</t>
        </is>
      </c>
      <c r="O381" s="16" t="n"/>
    </row>
    <row r="382"/>
    <row r="383">
      <c r="A383" s="33" t="inlineStr">
        <is>
          <t>Parte 4.1d · conserva su P_alta y sus temperaturas · 120 puntos</t>
        </is>
      </c>
      <c r="B383" s="31" t="n"/>
      <c r="C383" s="31" t="n"/>
      <c r="D383" s="31" t="n"/>
      <c r="E383" s="31" t="n"/>
      <c r="F383" s="31" t="n"/>
      <c r="G383" s="31" t="n"/>
      <c r="H383" s="31" t="n"/>
      <c r="I383" s="31" t="n"/>
      <c r="J383" s="31" t="n"/>
      <c r="K383" s="31" t="n"/>
      <c r="T383" s="24" t="inlineStr">
        <is>
          <t>Figura 4.1-4 · Parte 4.1d (conserva su P_alta y sus temperaturas): 6 KALINA de 120 evaluados, 0 confiables</t>
        </is>
      </c>
    </row>
    <row r="384"/>
    <row r="385">
      <c r="A385" s="34" t="inlineStr">
        <is>
          <t>Barrido de la parte 4.1d · 120 puntos</t>
        </is>
      </c>
    </row>
    <row r="386">
      <c r="A386" s="25" t="inlineStr">
        <is>
          <t>Fijos en este barrido: T_fuente = 623.15, T_sumidero = 300.03, P_alta = 3000.</t>
        </is>
      </c>
    </row>
    <row r="387">
      <c r="A387" s="22" t="inlineStr">
        <is>
          <t>id_punto</t>
        </is>
      </c>
      <c r="B387" s="22" t="inlineStr">
        <is>
          <t>P_baja [kPa]</t>
        </is>
      </c>
      <c r="C387" s="22" t="inlineStr">
        <is>
          <t>x_b [–]</t>
        </is>
      </c>
      <c r="D387" s="22" t="inlineStr">
        <is>
          <t>η_t [–]</t>
        </is>
      </c>
      <c r="E387" s="22" t="inlineStr">
        <is>
          <t>η_p [–]</t>
        </is>
      </c>
      <c r="F387" s="22" t="inlineStr">
        <is>
          <t>ε_HRVG [–]</t>
        </is>
      </c>
      <c r="G387" s="22" t="inlineStr">
        <is>
          <t>ε_reg [–]</t>
        </is>
      </c>
      <c r="H387" s="22" t="inlineStr">
        <is>
          <t>ε_cond [–]</t>
        </is>
      </c>
      <c r="I387" s="22" t="inlineStr">
        <is>
          <t>Clase</t>
        </is>
      </c>
      <c r="J387" s="22" t="inlineStr">
        <is>
          <t>η [%]</t>
        </is>
      </c>
      <c r="K387" s="22" t="inlineStr">
        <is>
          <t>W_net [kW] (m_b = 1 kg/s)</t>
        </is>
      </c>
      <c r="L387" s="22" t="inlineStr">
        <is>
          <t>ΔP [kPa]</t>
        </is>
      </c>
      <c r="M387" s="22" t="inlineStr">
        <is>
          <t>r_P [–]</t>
        </is>
      </c>
      <c r="N387" s="22" t="inlineStr">
        <is>
          <t>Fuera de rango</t>
        </is>
      </c>
      <c r="O387" s="22" t="inlineStr">
        <is>
          <t>Criterios que falla</t>
        </is>
      </c>
    </row>
    <row r="388">
      <c r="A388" s="16" t="inlineStr">
        <is>
          <t>KF-M05-4-0000</t>
        </is>
      </c>
      <c r="B388" s="35" t="n">
        <v>277.7324959896301</v>
      </c>
      <c r="C388" s="37" t="n">
        <v>0.8334271101397417</v>
      </c>
      <c r="D388" s="37" t="n">
        <v>0.4245459066808721</v>
      </c>
      <c r="E388" s="37" t="n">
        <v>0.4364062228979181</v>
      </c>
      <c r="F388" s="37" t="n">
        <v>0.5527604375851557</v>
      </c>
      <c r="G388" s="37" t="n">
        <v>0.6480582858946049</v>
      </c>
      <c r="H388" s="37" t="n">
        <v>0.712713098129072</v>
      </c>
      <c r="I388" s="32" t="inlineStr">
        <is>
          <t>No convergió</t>
        </is>
      </c>
      <c r="J388" s="29" t="inlineStr">
        <is>
          <t>—</t>
        </is>
      </c>
      <c r="K388" s="35" t="inlineStr">
        <is>
          <t>—</t>
        </is>
      </c>
      <c r="L388" s="36" t="n">
        <v>2722.26750401037</v>
      </c>
      <c r="M388" s="29" t="n">
        <v>10.80176084296601</v>
      </c>
      <c r="N388" s="16" t="inlineStr">
        <is>
          <t>no</t>
        </is>
      </c>
      <c r="O388" s="16" t="n"/>
    </row>
    <row r="389">
      <c r="A389" s="16" t="inlineStr">
        <is>
          <t>KF-M05-4-0001</t>
        </is>
      </c>
      <c r="B389" s="35" t="n">
        <v>658.4872904346749</v>
      </c>
      <c r="C389" s="37" t="n">
        <v>0.7808146252415522</v>
      </c>
      <c r="D389" s="37" t="n">
        <v>0.7819920172620565</v>
      </c>
      <c r="E389" s="37" t="n">
        <v>0.7768127186337077</v>
      </c>
      <c r="F389" s="37" t="n">
        <v>0.7150358518800801</v>
      </c>
      <c r="G389" s="37" t="n">
        <v>0.7153083103342315</v>
      </c>
      <c r="H389" s="37" t="n">
        <v>0.5892223864605614</v>
      </c>
      <c r="I389" s="32" t="inlineStr">
        <is>
          <t>No convergió</t>
        </is>
      </c>
      <c r="J389" s="29" t="inlineStr">
        <is>
          <t>—</t>
        </is>
      </c>
      <c r="K389" s="35" t="inlineStr">
        <is>
          <t>—</t>
        </is>
      </c>
      <c r="L389" s="36" t="n">
        <v>2341.512709565325</v>
      </c>
      <c r="M389" s="29" t="n">
        <v>4.555896588405929</v>
      </c>
      <c r="N389" s="16" t="inlineStr">
        <is>
          <t>no</t>
        </is>
      </c>
      <c r="O389" s="16" t="n"/>
    </row>
    <row r="390">
      <c r="A390" s="16" t="inlineStr">
        <is>
          <t>KF-M05-4-0002</t>
        </is>
      </c>
      <c r="B390" s="35" t="n">
        <v>1689.37007363071</v>
      </c>
      <c r="C390" s="37" t="n">
        <v>0.7993133351345607</v>
      </c>
      <c r="D390" s="37" t="n">
        <v>0.6765681834504499</v>
      </c>
      <c r="E390" s="37" t="n">
        <v>0.6008918285518871</v>
      </c>
      <c r="F390" s="37" t="n">
        <v>0.9180594973735176</v>
      </c>
      <c r="G390" s="37" t="n">
        <v>0.5209932279504212</v>
      </c>
      <c r="H390" s="37" t="n">
        <v>0.7960189280856018</v>
      </c>
      <c r="I390" s="32" t="inlineStr">
        <is>
          <t>No convergió</t>
        </is>
      </c>
      <c r="J390" s="29" t="inlineStr">
        <is>
          <t>—</t>
        </is>
      </c>
      <c r="K390" s="35" t="inlineStr">
        <is>
          <t>—</t>
        </is>
      </c>
      <c r="L390" s="36" t="n">
        <v>1310.62992636929</v>
      </c>
      <c r="M390" s="29" t="n">
        <v>1.775809839908286</v>
      </c>
      <c r="N390" s="16" t="inlineStr">
        <is>
          <t>no</t>
        </is>
      </c>
      <c r="O390" s="16" t="n"/>
    </row>
    <row r="391">
      <c r="A391" s="16" t="inlineStr">
        <is>
          <t>KF-M05-4-0003</t>
        </is>
      </c>
      <c r="B391" s="35" t="n">
        <v>1603.622769789041</v>
      </c>
      <c r="C391" s="37" t="n">
        <v>0.7245158630741031</v>
      </c>
      <c r="D391" s="37" t="n">
        <v>0.9210305907685316</v>
      </c>
      <c r="E391" s="37" t="n">
        <v>0.4058401800878103</v>
      </c>
      <c r="F391" s="37" t="n">
        <v>0.4988090879683595</v>
      </c>
      <c r="G391" s="37" t="n">
        <v>0.784421726640081</v>
      </c>
      <c r="H391" s="37" t="n">
        <v>0.5377870515071276</v>
      </c>
      <c r="I391" s="40" t="inlineStr">
        <is>
          <t>Inviable</t>
        </is>
      </c>
      <c r="J391" s="29" t="n">
        <v>-1.07618475724716</v>
      </c>
      <c r="K391" s="35" t="n">
        <v>-8.661584891657355</v>
      </c>
      <c r="L391" s="36" t="n">
        <v>1396.377230210959</v>
      </c>
      <c r="M391" s="29" t="n">
        <v>1.870764157579687</v>
      </c>
      <c r="N391" s="16" t="inlineStr">
        <is>
          <t>sí</t>
        </is>
      </c>
      <c r="O391" s="16" t="inlineStr">
        <is>
          <t>O2,O3</t>
        </is>
      </c>
    </row>
    <row r="392">
      <c r="A392" s="16" t="inlineStr">
        <is>
          <t>KF-M05-4-0004</t>
        </is>
      </c>
      <c r="B392" s="35" t="n">
        <v>1644.868193236873</v>
      </c>
      <c r="C392" s="37" t="n">
        <v>0.7795895099119212</v>
      </c>
      <c r="D392" s="37" t="n">
        <v>0.9228440747516504</v>
      </c>
      <c r="E392" s="37" t="n">
        <v>0.8211281668472667</v>
      </c>
      <c r="F392" s="37" t="n">
        <v>0.7598714687464418</v>
      </c>
      <c r="G392" s="37" t="n">
        <v>0.8837945090890933</v>
      </c>
      <c r="H392" s="37" t="n">
        <v>0.5147751627895488</v>
      </c>
      <c r="I392" s="32" t="inlineStr">
        <is>
          <t>No convergió</t>
        </is>
      </c>
      <c r="J392" s="29" t="inlineStr">
        <is>
          <t>—</t>
        </is>
      </c>
      <c r="K392" s="35" t="inlineStr">
        <is>
          <t>—</t>
        </is>
      </c>
      <c r="L392" s="36" t="n">
        <v>1355.131806763127</v>
      </c>
      <c r="M392" s="29" t="n">
        <v>1.823854344278136</v>
      </c>
      <c r="N392" s="16" t="inlineStr">
        <is>
          <t>no</t>
        </is>
      </c>
      <c r="O392" s="16" t="n"/>
    </row>
    <row r="393">
      <c r="A393" s="16" t="inlineStr">
        <is>
          <t>KF-M05-4-0005</t>
        </is>
      </c>
      <c r="B393" s="35" t="n">
        <v>311.9501833670746</v>
      </c>
      <c r="C393" s="37" t="n">
        <v>0.6018927301104326</v>
      </c>
      <c r="D393" s="37" t="n">
        <v>0.5948079442183686</v>
      </c>
      <c r="E393" s="37" t="n">
        <v>0.5942214946774189</v>
      </c>
      <c r="F393" s="37" t="n">
        <v>0.6851122655106562</v>
      </c>
      <c r="G393" s="37" t="n">
        <v>0.9220606529295076</v>
      </c>
      <c r="H393" s="37" t="n">
        <v>0.5943376900820583</v>
      </c>
      <c r="I393" s="32" t="inlineStr">
        <is>
          <t>No convergió</t>
        </is>
      </c>
      <c r="J393" s="29" t="inlineStr">
        <is>
          <t>—</t>
        </is>
      </c>
      <c r="K393" s="35" t="inlineStr">
        <is>
          <t>—</t>
        </is>
      </c>
      <c r="L393" s="36" t="n">
        <v>2688.049816632925</v>
      </c>
      <c r="M393" s="29" t="n">
        <v>9.616920136475358</v>
      </c>
      <c r="N393" s="16" t="inlineStr">
        <is>
          <t>no</t>
        </is>
      </c>
      <c r="O393" s="16" t="n"/>
    </row>
    <row r="394">
      <c r="A394" s="16" t="inlineStr">
        <is>
          <t>KF-M05-4-0006</t>
        </is>
      </c>
      <c r="B394" s="35" t="n">
        <v>717.4976560746846</v>
      </c>
      <c r="C394" s="37" t="n">
        <v>0.7074490701713816</v>
      </c>
      <c r="D394" s="37" t="n">
        <v>0.7798099649437619</v>
      </c>
      <c r="E394" s="37" t="n">
        <v>0.7470849694726065</v>
      </c>
      <c r="F394" s="37" t="n">
        <v>0.4902354049657393</v>
      </c>
      <c r="G394" s="37" t="n">
        <v>0.675556650756834</v>
      </c>
      <c r="H394" s="37" t="n">
        <v>0.9343864763335442</v>
      </c>
      <c r="I394" s="39" t="inlineStr">
        <is>
          <t>Corregible</t>
        </is>
      </c>
      <c r="J394" s="29" t="n">
        <v>10.33978113967165</v>
      </c>
      <c r="K394" s="35" t="n">
        <v>115.7001312324382</v>
      </c>
      <c r="L394" s="36" t="n">
        <v>2282.502343925315</v>
      </c>
      <c r="M394" s="29" t="n">
        <v>4.181198328106773</v>
      </c>
      <c r="N394" s="16" t="inlineStr">
        <is>
          <t>no</t>
        </is>
      </c>
      <c r="O394" s="16" t="inlineStr">
        <is>
          <t>O2</t>
        </is>
      </c>
    </row>
    <row r="395">
      <c r="A395" s="16" t="inlineStr">
        <is>
          <t>KF-M05-4-0007</t>
        </is>
      </c>
      <c r="B395" s="35" t="n">
        <v>1985.568583075025</v>
      </c>
      <c r="C395" s="37" t="n">
        <v>0.6674852823014815</v>
      </c>
      <c r="D395" s="37" t="n">
        <v>0.4743474509657058</v>
      </c>
      <c r="E395" s="37" t="n">
        <v>0.8552952880093545</v>
      </c>
      <c r="F395" s="37" t="n">
        <v>0.6317868821974737</v>
      </c>
      <c r="G395" s="37" t="n">
        <v>0.691147485178345</v>
      </c>
      <c r="H395" s="37" t="n">
        <v>0.7167816782310718</v>
      </c>
      <c r="I395" s="39" t="inlineStr">
        <is>
          <t>Corregible</t>
        </is>
      </c>
      <c r="J395" s="29" t="n">
        <v>1.29995498475212</v>
      </c>
      <c r="K395" s="35" t="n">
        <v>16.32677203002255</v>
      </c>
      <c r="L395" s="36" t="n">
        <v>1014.431416924975</v>
      </c>
      <c r="M395" s="29" t="n">
        <v>1.510902230007053</v>
      </c>
      <c r="N395" s="16" t="inlineStr">
        <is>
          <t>sí</t>
        </is>
      </c>
      <c r="O395" s="16" t="inlineStr">
        <is>
          <t>O2</t>
        </is>
      </c>
    </row>
    <row r="396">
      <c r="A396" s="16" t="inlineStr">
        <is>
          <t>KF-M05-4-0008</t>
        </is>
      </c>
      <c r="B396" s="35" t="n">
        <v>1294.931970627575</v>
      </c>
      <c r="C396" s="37" t="n">
        <v>0.5983379434213126</v>
      </c>
      <c r="D396" s="37" t="n">
        <v>0.493105345905525</v>
      </c>
      <c r="E396" s="37" t="n">
        <v>0.7815915775723846</v>
      </c>
      <c r="F396" s="37" t="n">
        <v>0.6446449772991598</v>
      </c>
      <c r="G396" s="37" t="n">
        <v>0.9280429920221404</v>
      </c>
      <c r="H396" s="37" t="n">
        <v>0.7544012196599233</v>
      </c>
      <c r="I396" s="39" t="inlineStr">
        <is>
          <t>Corregible</t>
        </is>
      </c>
      <c r="J396" s="29" t="n">
        <v>2.86171348981818</v>
      </c>
      <c r="K396" s="35" t="n">
        <v>38.94440527530641</v>
      </c>
      <c r="L396" s="36" t="n">
        <v>1705.068029372425</v>
      </c>
      <c r="M396" s="29" t="n">
        <v>2.316724019522108</v>
      </c>
      <c r="N396" s="16" t="inlineStr">
        <is>
          <t>sí</t>
        </is>
      </c>
      <c r="O396" s="16" t="inlineStr">
        <is>
          <t>O2</t>
        </is>
      </c>
    </row>
    <row r="397">
      <c r="A397" s="16" t="inlineStr">
        <is>
          <t>KF-M05-4-0009</t>
        </is>
      </c>
      <c r="B397" s="35" t="n">
        <v>1389.441794104605</v>
      </c>
      <c r="C397" s="37" t="n">
        <v>0.6959044203101007</v>
      </c>
      <c r="D397" s="37" t="n">
        <v>0.8066649976247875</v>
      </c>
      <c r="E397" s="37" t="n">
        <v>0.7344945144718321</v>
      </c>
      <c r="F397" s="37" t="n">
        <v>0.6757841274273484</v>
      </c>
      <c r="G397" s="37" t="n">
        <v>0.6535175221413434</v>
      </c>
      <c r="H397" s="37" t="n">
        <v>0.8271955238492686</v>
      </c>
      <c r="I397" s="39" t="inlineStr">
        <is>
          <t>Corregible</t>
        </is>
      </c>
      <c r="J397" s="29" t="n">
        <v>5.87407414706278</v>
      </c>
      <c r="K397" s="35" t="n">
        <v>85.58148872256584</v>
      </c>
      <c r="L397" s="36" t="n">
        <v>1610.558205895395</v>
      </c>
      <c r="M397" s="29" t="n">
        <v>2.15914046398272</v>
      </c>
      <c r="N397" s="16" t="inlineStr">
        <is>
          <t>sí</t>
        </is>
      </c>
      <c r="O397" s="16" t="inlineStr">
        <is>
          <t>O2</t>
        </is>
      </c>
    </row>
    <row r="398">
      <c r="A398" s="16" t="inlineStr">
        <is>
          <t>KF-M05-4-0010</t>
        </is>
      </c>
      <c r="B398" s="35" t="n">
        <v>634.7301069114964</v>
      </c>
      <c r="C398" s="37" t="n">
        <v>0.5380878143173161</v>
      </c>
      <c r="D398" s="37" t="n">
        <v>0.9280605296438692</v>
      </c>
      <c r="E398" s="37" t="n">
        <v>0.9052158084196076</v>
      </c>
      <c r="F398" s="37" t="n">
        <v>0.7981058433448969</v>
      </c>
      <c r="G398" s="37" t="n">
        <v>0.8298866774703295</v>
      </c>
      <c r="H398" s="37" t="n">
        <v>0.7612750238127561</v>
      </c>
      <c r="I398" s="39" t="inlineStr">
        <is>
          <t>Corregible</t>
        </is>
      </c>
      <c r="J398" s="29" t="n">
        <v>12.00780361105616</v>
      </c>
      <c r="K398" s="35" t="n">
        <v>207.6251387331309</v>
      </c>
      <c r="L398" s="36" t="n">
        <v>2365.269893088504</v>
      </c>
      <c r="M398" s="29" t="n">
        <v>4.726418311237134</v>
      </c>
      <c r="N398" s="16" t="inlineStr">
        <is>
          <t>sí</t>
        </is>
      </c>
      <c r="O398" s="16" t="inlineStr">
        <is>
          <t>O2</t>
        </is>
      </c>
    </row>
    <row r="399">
      <c r="A399" s="16" t="inlineStr">
        <is>
          <t>KF-M05-4-0011</t>
        </is>
      </c>
      <c r="B399" s="35" t="n">
        <v>1735.891137527924</v>
      </c>
      <c r="C399" s="37" t="n">
        <v>0.8029467208125257</v>
      </c>
      <c r="D399" s="37" t="n">
        <v>0.5982527768711979</v>
      </c>
      <c r="E399" s="37" t="n">
        <v>0.4555901915858109</v>
      </c>
      <c r="F399" s="37" t="n">
        <v>0.8343585195586927</v>
      </c>
      <c r="G399" s="37" t="n">
        <v>0.8566908264547745</v>
      </c>
      <c r="H399" s="37" t="n">
        <v>0.6768463356636216</v>
      </c>
      <c r="I399" s="32" t="inlineStr">
        <is>
          <t>No convergió</t>
        </is>
      </c>
      <c r="J399" s="29" t="inlineStr">
        <is>
          <t>—</t>
        </is>
      </c>
      <c r="K399" s="35" t="inlineStr">
        <is>
          <t>—</t>
        </is>
      </c>
      <c r="L399" s="36" t="n">
        <v>1264.108862472076</v>
      </c>
      <c r="M399" s="29" t="n">
        <v>1.728218973611611</v>
      </c>
      <c r="N399" s="16" t="inlineStr">
        <is>
          <t>no</t>
        </is>
      </c>
      <c r="O399" s="16" t="n"/>
    </row>
    <row r="400">
      <c r="A400" s="16" t="inlineStr">
        <is>
          <t>KF-M05-4-0012</t>
        </is>
      </c>
      <c r="B400" s="35" t="n">
        <v>1138.318127629254</v>
      </c>
      <c r="C400" s="37" t="n">
        <v>0.6456181897663748</v>
      </c>
      <c r="D400" s="37" t="n">
        <v>0.8411171097658343</v>
      </c>
      <c r="E400" s="37" t="n">
        <v>0.5814004432539954</v>
      </c>
      <c r="F400" s="37" t="n">
        <v>0.7857332970793147</v>
      </c>
      <c r="G400" s="37" t="n">
        <v>0.4937653962304343</v>
      </c>
      <c r="H400" s="37" t="n">
        <v>0.6815823851800844</v>
      </c>
      <c r="I400" s="32" t="inlineStr">
        <is>
          <t>No convergió</t>
        </is>
      </c>
      <c r="J400" s="29" t="inlineStr">
        <is>
          <t>—</t>
        </is>
      </c>
      <c r="K400" s="35" t="inlineStr">
        <is>
          <t>—</t>
        </is>
      </c>
      <c r="L400" s="36" t="n">
        <v>1861.681872370746</v>
      </c>
      <c r="M400" s="29" t="n">
        <v>2.635467122225334</v>
      </c>
      <c r="N400" s="16" t="inlineStr">
        <is>
          <t>no</t>
        </is>
      </c>
      <c r="O400" s="16" t="n"/>
    </row>
    <row r="401">
      <c r="A401" s="16" t="inlineStr">
        <is>
          <t>KF-M05-4-0013</t>
        </is>
      </c>
      <c r="B401" s="35" t="n">
        <v>437.2853716932784</v>
      </c>
      <c r="C401" s="37" t="n">
        <v>0.7298851594154684</v>
      </c>
      <c r="D401" s="37" t="n">
        <v>0.5924434185499144</v>
      </c>
      <c r="E401" s="37" t="n">
        <v>0.6692511585898829</v>
      </c>
      <c r="F401" s="37" t="n">
        <v>0.5192941760589942</v>
      </c>
      <c r="G401" s="37" t="n">
        <v>0.6743756556368615</v>
      </c>
      <c r="H401" s="37" t="n">
        <v>0.6411219790315156</v>
      </c>
      <c r="I401" s="40" t="inlineStr">
        <is>
          <t>Inviable</t>
        </is>
      </c>
      <c r="J401" s="29" t="n">
        <v>-15.64826240641829</v>
      </c>
      <c r="K401" s="35" t="n">
        <v>-99.2353711045308</v>
      </c>
      <c r="L401" s="36" t="n">
        <v>2562.714628306721</v>
      </c>
      <c r="M401" s="29" t="n">
        <v>6.86050847844109</v>
      </c>
      <c r="N401" s="16" t="inlineStr">
        <is>
          <t>sí</t>
        </is>
      </c>
      <c r="O401" s="16" t="inlineStr">
        <is>
          <t>O2,O3</t>
        </is>
      </c>
    </row>
    <row r="402">
      <c r="A402" s="16" t="inlineStr">
        <is>
          <t>KF-M05-4-0014</t>
        </is>
      </c>
      <c r="B402" s="35" t="n">
        <v>1660.614434685504</v>
      </c>
      <c r="C402" s="37" t="n">
        <v>0.8242204246947057</v>
      </c>
      <c r="D402" s="37" t="n">
        <v>0.914937195529518</v>
      </c>
      <c r="E402" s="37" t="n">
        <v>0.4942126003760404</v>
      </c>
      <c r="F402" s="37" t="n">
        <v>0.5480687813948359</v>
      </c>
      <c r="G402" s="37" t="n">
        <v>0.4064070189614086</v>
      </c>
      <c r="H402" s="37" t="n">
        <v>0.9053333813577866</v>
      </c>
      <c r="I402" s="32" t="inlineStr">
        <is>
          <t>No convergió</t>
        </is>
      </c>
      <c r="J402" s="29" t="inlineStr">
        <is>
          <t>—</t>
        </is>
      </c>
      <c r="K402" s="35" t="inlineStr">
        <is>
          <t>—</t>
        </is>
      </c>
      <c r="L402" s="36" t="n">
        <v>1339.385565314496</v>
      </c>
      <c r="M402" s="29" t="n">
        <v>1.806560232970729</v>
      </c>
      <c r="N402" s="16" t="inlineStr">
        <is>
          <t>no</t>
        </is>
      </c>
      <c r="O402" s="16" t="n"/>
    </row>
    <row r="403">
      <c r="A403" s="16" t="inlineStr">
        <is>
          <t>KF-M05-4-0015</t>
        </is>
      </c>
      <c r="B403" s="35" t="n">
        <v>1705.63498112856</v>
      </c>
      <c r="C403" s="37" t="n">
        <v>0.754073311067033</v>
      </c>
      <c r="D403" s="37" t="n">
        <v>0.824713559608435</v>
      </c>
      <c r="E403" s="37" t="n">
        <v>0.5725492996808392</v>
      </c>
      <c r="F403" s="37" t="n">
        <v>0.8434858184801913</v>
      </c>
      <c r="G403" s="37" t="n">
        <v>0.4009418555084996</v>
      </c>
      <c r="H403" s="37" t="n">
        <v>0.6638963361030692</v>
      </c>
      <c r="I403" s="32" t="inlineStr">
        <is>
          <t>No convergió</t>
        </is>
      </c>
      <c r="J403" s="29" t="inlineStr">
        <is>
          <t>—</t>
        </is>
      </c>
      <c r="K403" s="35" t="inlineStr">
        <is>
          <t>—</t>
        </is>
      </c>
      <c r="L403" s="36" t="n">
        <v>1294.36501887144</v>
      </c>
      <c r="M403" s="29" t="n">
        <v>1.75887574609604</v>
      </c>
      <c r="N403" s="16" t="inlineStr">
        <is>
          <t>no</t>
        </is>
      </c>
      <c r="O403" s="16" t="n"/>
      <c r="T403" s="25" t="inlineStr">
        <is>
          <t>Estudio 4.1 · parte(s) 4.1d. Punto base: PP = datos del enunciado del profesor (T_fuente 623.15 K, P_alta 3000 kPa, P_baja 400 kPa, x_b 0.50)</t>
        </is>
      </c>
    </row>
    <row r="404">
      <c r="A404" s="16" t="inlineStr">
        <is>
          <t>KF-M05-4-0016</t>
        </is>
      </c>
      <c r="B404" s="35" t="n">
        <v>1870.145025266477</v>
      </c>
      <c r="C404" s="37" t="n">
        <v>0.5908219338012439</v>
      </c>
      <c r="D404" s="37" t="n">
        <v>0.7722423689384923</v>
      </c>
      <c r="E404" s="37" t="n">
        <v>0.5770970424460873</v>
      </c>
      <c r="F404" s="37" t="n">
        <v>0.4260273001304476</v>
      </c>
      <c r="G404" s="37" t="n">
        <v>0.7003651737922857</v>
      </c>
      <c r="H404" s="37" t="n">
        <v>0.4454416846726108</v>
      </c>
      <c r="I404" s="40" t="inlineStr">
        <is>
          <t>Inviable</t>
        </is>
      </c>
      <c r="J404" s="29" t="n">
        <v>-0.5366891897381</v>
      </c>
      <c r="K404" s="35" t="n">
        <v>-3.789283116971746</v>
      </c>
      <c r="L404" s="36" t="n">
        <v>1129.854974733523</v>
      </c>
      <c r="M404" s="29" t="n">
        <v>1.60415366694491</v>
      </c>
      <c r="N404" s="16" t="inlineStr">
        <is>
          <t>sí</t>
        </is>
      </c>
      <c r="O404" s="16" t="inlineStr">
        <is>
          <t>O2,O3</t>
        </is>
      </c>
      <c r="T404" s="25" t="inlineStr">
        <is>
          <t>Datos fijos: T_fuente = 623.15 K; T_sumidero = 300.03 K; P_alta = 3000 kPa; m_b = 1 kg/s; piso de O2 = 300.03 K; motor de propiedades = teqp.</t>
        </is>
      </c>
    </row>
    <row r="405">
      <c r="A405" s="16" t="inlineStr">
        <is>
          <t>KF-M05-4-0017</t>
        </is>
      </c>
      <c r="B405" s="35" t="n">
        <v>1465.485047228687</v>
      </c>
      <c r="C405" s="37" t="n">
        <v>0.6133114015984311</v>
      </c>
      <c r="D405" s="37" t="n">
        <v>0.5481276477604758</v>
      </c>
      <c r="E405" s="37" t="n">
        <v>0.9089901767901152</v>
      </c>
      <c r="F405" s="37" t="n">
        <v>0.8393310377223441</v>
      </c>
      <c r="G405" s="37" t="n">
        <v>0.7708159960667471</v>
      </c>
      <c r="H405" s="37" t="n">
        <v>0.404870143175765</v>
      </c>
      <c r="I405" s="32" t="inlineStr">
        <is>
          <t>No convergió</t>
        </is>
      </c>
      <c r="J405" s="29" t="inlineStr">
        <is>
          <t>—</t>
        </is>
      </c>
      <c r="K405" s="35" t="inlineStr">
        <is>
          <t>—</t>
        </is>
      </c>
      <c r="L405" s="36" t="n">
        <v>1534.514952771313</v>
      </c>
      <c r="M405" s="29" t="n">
        <v>2.047103793841612</v>
      </c>
      <c r="N405" s="16" t="inlineStr">
        <is>
          <t>no</t>
        </is>
      </c>
      <c r="O405" s="16" t="n"/>
      <c r="T405" s="25" t="inlineStr">
        <is>
          <t>Datos barridos: P_baja [211.42–1985.6] kPa (120 valores); x_b [0.50226–0.84794] (120 valores); η_t [0.40325–0.94578] (120 valores); η_p [0.40037–0.94661] (120 valores); ε_HRVG [0.40425–0.94958] (120 valores); ε_reg [0.40094–0.9466] (120 valores); ε_cond [0.40217–0.94675] (120 valores).</t>
        </is>
      </c>
    </row>
    <row r="406">
      <c r="A406" s="16" t="inlineStr">
        <is>
          <t>KF-M05-4-0018</t>
        </is>
      </c>
      <c r="B406" s="35" t="n">
        <v>1977.78454007679</v>
      </c>
      <c r="C406" s="37" t="n">
        <v>0.5418117246702819</v>
      </c>
      <c r="D406" s="37" t="n">
        <v>0.5059651540151665</v>
      </c>
      <c r="E406" s="37" t="n">
        <v>0.9015468900081344</v>
      </c>
      <c r="F406" s="37" t="n">
        <v>0.8700563978160546</v>
      </c>
      <c r="G406" s="37" t="n">
        <v>0.8976757433974513</v>
      </c>
      <c r="H406" s="37" t="n">
        <v>0.695591952432127</v>
      </c>
      <c r="I406" s="32" t="inlineStr">
        <is>
          <t>No convergió</t>
        </is>
      </c>
      <c r="J406" s="29" t="inlineStr">
        <is>
          <t>—</t>
        </is>
      </c>
      <c r="K406" s="35" t="inlineStr">
        <is>
          <t>—</t>
        </is>
      </c>
      <c r="L406" s="36" t="n">
        <v>1022.21545992321</v>
      </c>
      <c r="M406" s="29" t="n">
        <v>1.516848746266124</v>
      </c>
      <c r="N406" s="16" t="inlineStr">
        <is>
          <t>no</t>
        </is>
      </c>
      <c r="O406" s="16" t="n"/>
      <c r="T406" s="25" t="inlineStr">
        <is>
          <t>Filtro: todos los puntos evaluados (omitidos no se dibujan; marcador hueco = fuera del rango confiable).</t>
        </is>
      </c>
    </row>
    <row r="407">
      <c r="A407" s="16" t="inlineStr">
        <is>
          <t>KF-M05-4-0019</t>
        </is>
      </c>
      <c r="B407" s="35" t="n">
        <v>1838.875486340434</v>
      </c>
      <c r="C407" s="37" t="n">
        <v>0.6761676545405224</v>
      </c>
      <c r="D407" s="37" t="n">
        <v>0.6720647913048867</v>
      </c>
      <c r="E407" s="37" t="n">
        <v>0.7558620231832552</v>
      </c>
      <c r="F407" s="37" t="n">
        <v>0.8578229207360397</v>
      </c>
      <c r="G407" s="37" t="n">
        <v>0.8782425309575499</v>
      </c>
      <c r="H407" s="37" t="n">
        <v>0.5363377605147029</v>
      </c>
      <c r="I407" s="32" t="inlineStr">
        <is>
          <t>No convergió</t>
        </is>
      </c>
      <c r="J407" s="29" t="inlineStr">
        <is>
          <t>—</t>
        </is>
      </c>
      <c r="K407" s="35" t="inlineStr">
        <is>
          <t>—</t>
        </is>
      </c>
      <c r="L407" s="36" t="n">
        <v>1161.124513659566</v>
      </c>
      <c r="M407" s="29" t="n">
        <v>1.631431830096518</v>
      </c>
      <c r="N407" s="16" t="inlineStr">
        <is>
          <t>no</t>
        </is>
      </c>
      <c r="O407" s="16" t="n"/>
      <c r="T407" s="25" t="inlineStr">
        <is>
          <t>n = 120. Fuente: todos_los_puntos.csv.</t>
        </is>
      </c>
    </row>
    <row r="408">
      <c r="A408" s="16" t="inlineStr">
        <is>
          <t>KF-M05-4-0020</t>
        </is>
      </c>
      <c r="B408" s="35" t="n">
        <v>613.7354778810571</v>
      </c>
      <c r="C408" s="37" t="n">
        <v>0.70625141138347</v>
      </c>
      <c r="D408" s="37" t="n">
        <v>0.6105928828991656</v>
      </c>
      <c r="E408" s="37" t="n">
        <v>0.9230696890239442</v>
      </c>
      <c r="F408" s="37" t="n">
        <v>0.5166289794390028</v>
      </c>
      <c r="G408" s="37" t="n">
        <v>0.8257941003109228</v>
      </c>
      <c r="H408" s="37" t="n">
        <v>0.7212822678429447</v>
      </c>
      <c r="I408" s="39" t="inlineStr">
        <is>
          <t>Corregible</t>
        </is>
      </c>
      <c r="J408" s="29" t="n">
        <v>4.87895767118368</v>
      </c>
      <c r="K408" s="35" t="n">
        <v>45.13256741474427</v>
      </c>
      <c r="L408" s="36" t="n">
        <v>2386.264522118943</v>
      </c>
      <c r="M408" s="29" t="n">
        <v>4.888099365475177</v>
      </c>
      <c r="N408" s="16" t="inlineStr">
        <is>
          <t>sí</t>
        </is>
      </c>
      <c r="O408" s="16" t="inlineStr">
        <is>
          <t>O2</t>
        </is>
      </c>
    </row>
    <row r="409">
      <c r="A409" s="16" t="inlineStr">
        <is>
          <t>KF-M05-4-0021</t>
        </is>
      </c>
      <c r="B409" s="35" t="n">
        <v>393.8492497318071</v>
      </c>
      <c r="C409" s="37" t="n">
        <v>0.6531644423108921</v>
      </c>
      <c r="D409" s="37" t="n">
        <v>0.5228742452832313</v>
      </c>
      <c r="E409" s="37" t="n">
        <v>0.8667046734974475</v>
      </c>
      <c r="F409" s="37" t="n">
        <v>0.8870418167149781</v>
      </c>
      <c r="G409" s="37" t="n">
        <v>0.6228022707516609</v>
      </c>
      <c r="H409" s="37" t="n">
        <v>0.4580499685917563</v>
      </c>
      <c r="I409" s="32" t="inlineStr">
        <is>
          <t>No convergió</t>
        </is>
      </c>
      <c r="J409" s="29" t="inlineStr">
        <is>
          <t>—</t>
        </is>
      </c>
      <c r="K409" s="35" t="inlineStr">
        <is>
          <t>—</t>
        </is>
      </c>
      <c r="L409" s="36" t="n">
        <v>2606.150750268193</v>
      </c>
      <c r="M409" s="29" t="n">
        <v>7.617127624447322</v>
      </c>
      <c r="N409" s="16" t="inlineStr">
        <is>
          <t>no</t>
        </is>
      </c>
      <c r="O409" s="16" t="n"/>
    </row>
    <row r="410">
      <c r="A410" s="16" t="inlineStr">
        <is>
          <t>KF-M05-4-0022</t>
        </is>
      </c>
      <c r="B410" s="35" t="n">
        <v>784.4058810947986</v>
      </c>
      <c r="C410" s="37" t="n">
        <v>0.7952625181166705</v>
      </c>
      <c r="D410" s="37" t="n">
        <v>0.7485657451914667</v>
      </c>
      <c r="E410" s="37" t="n">
        <v>0.7008530001819389</v>
      </c>
      <c r="F410" s="37" t="n">
        <v>0.9385304818062288</v>
      </c>
      <c r="G410" s="37" t="n">
        <v>0.8382385337584858</v>
      </c>
      <c r="H410" s="37" t="n">
        <v>0.8607036365524761</v>
      </c>
      <c r="I410" s="32" t="inlineStr">
        <is>
          <t>No convergió</t>
        </is>
      </c>
      <c r="J410" s="29" t="inlineStr">
        <is>
          <t>—</t>
        </is>
      </c>
      <c r="K410" s="35" t="inlineStr">
        <is>
          <t>—</t>
        </is>
      </c>
      <c r="L410" s="36" t="n">
        <v>2215.594118905201</v>
      </c>
      <c r="M410" s="29" t="n">
        <v>3.824550621437064</v>
      </c>
      <c r="N410" s="16" t="inlineStr">
        <is>
          <t>no</t>
        </is>
      </c>
      <c r="O410" s="16" t="n"/>
    </row>
    <row r="411">
      <c r="A411" s="16" t="inlineStr">
        <is>
          <t>KF-M05-4-0023</t>
        </is>
      </c>
      <c r="B411" s="35" t="n">
        <v>857.4331502762775</v>
      </c>
      <c r="C411" s="37" t="n">
        <v>0.665306361983786</v>
      </c>
      <c r="D411" s="37" t="n">
        <v>0.7155018686029728</v>
      </c>
      <c r="E411" s="37" t="n">
        <v>0.8950582855081279</v>
      </c>
      <c r="F411" s="37" t="n">
        <v>0.7737886791510455</v>
      </c>
      <c r="G411" s="37" t="n">
        <v>0.8682110066006609</v>
      </c>
      <c r="H411" s="37" t="n">
        <v>0.8074954358273252</v>
      </c>
      <c r="I411" s="39" t="inlineStr">
        <is>
          <t>Corregible</t>
        </is>
      </c>
      <c r="J411" s="29" t="n">
        <v>7.55516905724779</v>
      </c>
      <c r="K411" s="35" t="n">
        <v>124.4675281346185</v>
      </c>
      <c r="L411" s="36" t="n">
        <v>2142.566849723722</v>
      </c>
      <c r="M411" s="29" t="n">
        <v>3.498815037689359</v>
      </c>
      <c r="N411" s="16" t="inlineStr">
        <is>
          <t>sí</t>
        </is>
      </c>
      <c r="O411" s="16" t="inlineStr">
        <is>
          <t>O2</t>
        </is>
      </c>
    </row>
    <row r="412">
      <c r="A412" s="16" t="inlineStr">
        <is>
          <t>KF-M05-4-0024</t>
        </is>
      </c>
      <c r="B412" s="35" t="n">
        <v>534.6202301174767</v>
      </c>
      <c r="C412" s="37" t="n">
        <v>0.5494509453307975</v>
      </c>
      <c r="D412" s="37" t="n">
        <v>0.5424515807076006</v>
      </c>
      <c r="E412" s="37" t="n">
        <v>0.4163692281200668</v>
      </c>
      <c r="F412" s="37" t="n">
        <v>0.4292915223539957</v>
      </c>
      <c r="G412" s="37" t="n">
        <v>0.4455348306980559</v>
      </c>
      <c r="H412" s="37" t="n">
        <v>0.8760133476384657</v>
      </c>
      <c r="I412" s="39" t="inlineStr">
        <is>
          <t>Corregible</t>
        </is>
      </c>
      <c r="J412" s="29" t="n">
        <v>6.32633547541714</v>
      </c>
      <c r="K412" s="35" t="n">
        <v>65.84450299867635</v>
      </c>
      <c r="L412" s="36" t="n">
        <v>2465.379769882524</v>
      </c>
      <c r="M412" s="29" t="n">
        <v>5.611459931736561</v>
      </c>
      <c r="N412" s="16" t="inlineStr">
        <is>
          <t>sí</t>
        </is>
      </c>
      <c r="O412" s="16" t="inlineStr">
        <is>
          <t>O2</t>
        </is>
      </c>
    </row>
    <row r="413">
      <c r="A413" s="16" t="inlineStr">
        <is>
          <t>KF-M05-4-0025</t>
        </is>
      </c>
      <c r="B413" s="35" t="n">
        <v>1148.958789217814</v>
      </c>
      <c r="C413" s="37" t="n">
        <v>0.760000652222367</v>
      </c>
      <c r="D413" s="37" t="n">
        <v>0.7989701316277475</v>
      </c>
      <c r="E413" s="37" t="n">
        <v>0.8519497851830971</v>
      </c>
      <c r="F413" s="37" t="n">
        <v>0.8176075382046561</v>
      </c>
      <c r="G413" s="37" t="n">
        <v>0.6387612054826345</v>
      </c>
      <c r="H413" s="37" t="n">
        <v>0.877963936309893</v>
      </c>
      <c r="I413" s="32" t="inlineStr">
        <is>
          <t>No convergió</t>
        </is>
      </c>
      <c r="J413" s="29" t="inlineStr">
        <is>
          <t>—</t>
        </is>
      </c>
      <c r="K413" s="35" t="inlineStr">
        <is>
          <t>—</t>
        </is>
      </c>
      <c r="L413" s="36" t="n">
        <v>1851.041210782186</v>
      </c>
      <c r="M413" s="29" t="n">
        <v>2.611059707408944</v>
      </c>
      <c r="N413" s="16" t="inlineStr">
        <is>
          <t>no</t>
        </is>
      </c>
      <c r="O413" s="16" t="n"/>
    </row>
    <row r="414">
      <c r="A414" s="16" t="inlineStr">
        <is>
          <t>KF-M05-4-0026</t>
        </is>
      </c>
      <c r="B414" s="35" t="n">
        <v>1912.454775916088</v>
      </c>
      <c r="C414" s="37" t="n">
        <v>0.5701486289728103</v>
      </c>
      <c r="D414" s="37" t="n">
        <v>0.8336554469031279</v>
      </c>
      <c r="E414" s="37" t="n">
        <v>0.5098426675126411</v>
      </c>
      <c r="F414" s="37" t="n">
        <v>0.6104842105459497</v>
      </c>
      <c r="G414" s="37" t="n">
        <v>0.5093125678294237</v>
      </c>
      <c r="H414" s="37" t="n">
        <v>0.911266002146186</v>
      </c>
      <c r="I414" s="42" t="inlineStr">
        <is>
          <t>KALINA</t>
        </is>
      </c>
      <c r="J414" s="29" t="n">
        <v>3.25503410212597</v>
      </c>
      <c r="K414" s="35" t="n">
        <v>48.44252869422144</v>
      </c>
      <c r="L414" s="36" t="n">
        <v>1087.545224083912</v>
      </c>
      <c r="M414" s="29" t="n">
        <v>1.56866454453176</v>
      </c>
      <c r="N414" s="16" t="inlineStr">
        <is>
          <t>sí</t>
        </is>
      </c>
      <c r="O414" s="16" t="n"/>
    </row>
    <row r="415">
      <c r="A415" s="16" t="inlineStr">
        <is>
          <t>KF-M05-4-0027</t>
        </is>
      </c>
      <c r="B415" s="35" t="n">
        <v>940.5262161009974</v>
      </c>
      <c r="C415" s="37" t="n">
        <v>0.8405847594786373</v>
      </c>
      <c r="D415" s="37" t="n">
        <v>0.5686280488306179</v>
      </c>
      <c r="E415" s="37" t="n">
        <v>0.8041591743037557</v>
      </c>
      <c r="F415" s="37" t="n">
        <v>0.7931826152909416</v>
      </c>
      <c r="G415" s="37" t="n">
        <v>0.7104933269708599</v>
      </c>
      <c r="H415" s="37" t="n">
        <v>0.4160096638629039</v>
      </c>
      <c r="I415" s="32" t="inlineStr">
        <is>
          <t>No convergió</t>
        </is>
      </c>
      <c r="J415" s="29" t="inlineStr">
        <is>
          <t>—</t>
        </is>
      </c>
      <c r="K415" s="35" t="inlineStr">
        <is>
          <t>—</t>
        </is>
      </c>
      <c r="L415" s="36" t="n">
        <v>2059.473783899003</v>
      </c>
      <c r="M415" s="29" t="n">
        <v>3.189703751626045</v>
      </c>
      <c r="N415" s="16" t="inlineStr">
        <is>
          <t>no</t>
        </is>
      </c>
      <c r="O415" s="16" t="n"/>
    </row>
    <row r="416">
      <c r="A416" s="16" t="inlineStr">
        <is>
          <t>KF-M05-4-0028</t>
        </is>
      </c>
      <c r="B416" s="35" t="n">
        <v>1855.910961908544</v>
      </c>
      <c r="C416" s="37" t="n">
        <v>0.5130454273206624</v>
      </c>
      <c r="D416" s="37" t="n">
        <v>0.4784261955457656</v>
      </c>
      <c r="E416" s="37" t="n">
        <v>0.44693281330219</v>
      </c>
      <c r="F416" s="37" t="n">
        <v>0.6717790541537876</v>
      </c>
      <c r="G416" s="37" t="n">
        <v>0.7590528766417766</v>
      </c>
      <c r="H416" s="37" t="n">
        <v>0.5470954484665154</v>
      </c>
      <c r="I416" s="40" t="inlineStr">
        <is>
          <t>Inviable</t>
        </is>
      </c>
      <c r="J416" s="29" t="n">
        <v>-2.48722516645727</v>
      </c>
      <c r="K416" s="35" t="n">
        <v>-28.12711586853032</v>
      </c>
      <c r="L416" s="36" t="n">
        <v>1144.089038091456</v>
      </c>
      <c r="M416" s="29" t="n">
        <v>1.616456856806816</v>
      </c>
      <c r="N416" s="16" t="inlineStr">
        <is>
          <t>sí</t>
        </is>
      </c>
      <c r="O416" s="16" t="inlineStr">
        <is>
          <t>O2,O3</t>
        </is>
      </c>
    </row>
    <row r="417">
      <c r="A417" s="16" t="inlineStr">
        <is>
          <t>KF-M05-4-0029</t>
        </is>
      </c>
      <c r="B417" s="35" t="n">
        <v>697.4151106908666</v>
      </c>
      <c r="C417" s="37" t="n">
        <v>0.8182918773981813</v>
      </c>
      <c r="D417" s="37" t="n">
        <v>0.8768414224295299</v>
      </c>
      <c r="E417" s="37" t="n">
        <v>0.4206265457254067</v>
      </c>
      <c r="F417" s="37" t="n">
        <v>0.9412724776170992</v>
      </c>
      <c r="G417" s="37" t="n">
        <v>0.4246228934691227</v>
      </c>
      <c r="H417" s="37" t="n">
        <v>0.4769953071995351</v>
      </c>
      <c r="I417" s="32" t="inlineStr">
        <is>
          <t>No convergió</t>
        </is>
      </c>
      <c r="J417" s="29" t="inlineStr">
        <is>
          <t>—</t>
        </is>
      </c>
      <c r="K417" s="35" t="inlineStr">
        <is>
          <t>—</t>
        </is>
      </c>
      <c r="L417" s="36" t="n">
        <v>2302.584889309133</v>
      </c>
      <c r="M417" s="29" t="n">
        <v>4.301598795340366</v>
      </c>
      <c r="N417" s="16" t="inlineStr">
        <is>
          <t>no</t>
        </is>
      </c>
      <c r="O417" s="16" t="n"/>
    </row>
    <row r="418">
      <c r="A418" s="16" t="inlineStr">
        <is>
          <t>KF-M05-4-0030</t>
        </is>
      </c>
      <c r="B418" s="35" t="n">
        <v>1542.557353209985</v>
      </c>
      <c r="C418" s="37" t="n">
        <v>0.559546954847096</v>
      </c>
      <c r="D418" s="37" t="n">
        <v>0.8890274914769645</v>
      </c>
      <c r="E418" s="37" t="n">
        <v>0.6493108598804691</v>
      </c>
      <c r="F418" s="37" t="n">
        <v>0.8118904237264808</v>
      </c>
      <c r="G418" s="37" t="n">
        <v>0.7032631896836161</v>
      </c>
      <c r="H418" s="37" t="n">
        <v>0.7512053763267434</v>
      </c>
      <c r="I418" s="32" t="inlineStr">
        <is>
          <t>No convergió</t>
        </is>
      </c>
      <c r="J418" s="29" t="inlineStr">
        <is>
          <t>—</t>
        </is>
      </c>
      <c r="K418" s="35" t="inlineStr">
        <is>
          <t>—</t>
        </is>
      </c>
      <c r="L418" s="36" t="n">
        <v>1457.442646790015</v>
      </c>
      <c r="M418" s="29" t="n">
        <v>1.944822339187032</v>
      </c>
      <c r="N418" s="16" t="inlineStr">
        <is>
          <t>no</t>
        </is>
      </c>
      <c r="O418" s="16" t="n"/>
    </row>
    <row r="419">
      <c r="A419" s="16" t="inlineStr">
        <is>
          <t>KF-M05-4-0031</t>
        </is>
      </c>
      <c r="B419" s="35" t="n">
        <v>1516.723891032618</v>
      </c>
      <c r="C419" s="37" t="n">
        <v>0.6261886973051616</v>
      </c>
      <c r="D419" s="37" t="n">
        <v>0.5416680077049963</v>
      </c>
      <c r="E419" s="37" t="n">
        <v>0.4295871687110013</v>
      </c>
      <c r="F419" s="37" t="n">
        <v>0.582463015261897</v>
      </c>
      <c r="G419" s="37" t="n">
        <v>0.6874859544621718</v>
      </c>
      <c r="H419" s="37" t="n">
        <v>0.6691628268493972</v>
      </c>
      <c r="I419" s="40" t="inlineStr">
        <is>
          <t>Inviable</t>
        </is>
      </c>
      <c r="J419" s="29" t="n">
        <v>-0.37407117175449</v>
      </c>
      <c r="K419" s="35" t="n">
        <v>-4.199523238402058</v>
      </c>
      <c r="L419" s="36" t="n">
        <v>1483.276108967382</v>
      </c>
      <c r="M419" s="29" t="n">
        <v>1.977947349373877</v>
      </c>
      <c r="N419" s="16" t="inlineStr">
        <is>
          <t>sí</t>
        </is>
      </c>
      <c r="O419" s="16" t="inlineStr">
        <is>
          <t>O2,O3</t>
        </is>
      </c>
    </row>
    <row r="420">
      <c r="A420" s="16" t="inlineStr">
        <is>
          <t>KF-M05-4-0032</t>
        </is>
      </c>
      <c r="B420" s="35" t="n">
        <v>743.8490696558478</v>
      </c>
      <c r="C420" s="37" t="n">
        <v>0.7207390787426582</v>
      </c>
      <c r="D420" s="37" t="n">
        <v>0.4228167637137723</v>
      </c>
      <c r="E420" s="37" t="n">
        <v>0.6060029266560072</v>
      </c>
      <c r="F420" s="37" t="n">
        <v>0.4418339097235199</v>
      </c>
      <c r="G420" s="37" t="n">
        <v>0.8329976944744291</v>
      </c>
      <c r="H420" s="37" t="n">
        <v>0.5534784544771948</v>
      </c>
      <c r="I420" s="40" t="inlineStr">
        <is>
          <t>Inviable</t>
        </is>
      </c>
      <c r="J420" s="29" t="n">
        <v>-8.42670923620371</v>
      </c>
      <c r="K420" s="35" t="n">
        <v>-60.77853330094464</v>
      </c>
      <c r="L420" s="36" t="n">
        <v>2256.150930344152</v>
      </c>
      <c r="M420" s="29" t="n">
        <v>4.03307622793424</v>
      </c>
      <c r="N420" s="16" t="inlineStr">
        <is>
          <t>sí</t>
        </is>
      </c>
      <c r="O420" s="16" t="inlineStr">
        <is>
          <t>O2,O3</t>
        </is>
      </c>
    </row>
    <row r="421">
      <c r="A421" s="16" t="inlineStr">
        <is>
          <t>KF-M05-4-0033</t>
        </is>
      </c>
      <c r="B421" s="35" t="n">
        <v>1532.097235550491</v>
      </c>
      <c r="C421" s="37" t="n">
        <v>0.5022607795824025</v>
      </c>
      <c r="D421" s="37" t="n">
        <v>0.7170759753436055</v>
      </c>
      <c r="E421" s="37" t="n">
        <v>0.5258109748746738</v>
      </c>
      <c r="F421" s="37" t="n">
        <v>0.7112462027003268</v>
      </c>
      <c r="G421" s="37" t="n">
        <v>0.7624688718809951</v>
      </c>
      <c r="H421" s="37" t="n">
        <v>0.4619141583589686</v>
      </c>
      <c r="I421" s="32" t="inlineStr">
        <is>
          <t>No convergió</t>
        </is>
      </c>
      <c r="J421" s="29" t="inlineStr">
        <is>
          <t>—</t>
        </is>
      </c>
      <c r="K421" s="35" t="inlineStr">
        <is>
          <t>—</t>
        </is>
      </c>
      <c r="L421" s="36" t="n">
        <v>1467.902764449509</v>
      </c>
      <c r="M421" s="29" t="n">
        <v>1.9581002630829</v>
      </c>
      <c r="N421" s="16" t="inlineStr">
        <is>
          <t>no</t>
        </is>
      </c>
      <c r="O421" s="16" t="n"/>
    </row>
    <row r="422">
      <c r="A422" s="16" t="inlineStr">
        <is>
          <t>KF-M05-4-0034</t>
        </is>
      </c>
      <c r="B422" s="35" t="n">
        <v>926.4880197481914</v>
      </c>
      <c r="C422" s="37" t="n">
        <v>0.64680685769368</v>
      </c>
      <c r="D422" s="37" t="n">
        <v>0.4325659880022738</v>
      </c>
      <c r="E422" s="37" t="n">
        <v>0.8903217330033174</v>
      </c>
      <c r="F422" s="37" t="n">
        <v>0.7828866349612504</v>
      </c>
      <c r="G422" s="37" t="n">
        <v>0.4344344251411684</v>
      </c>
      <c r="H422" s="37" t="n">
        <v>0.5876238217720176</v>
      </c>
      <c r="I422" s="32" t="inlineStr">
        <is>
          <t>No convergió</t>
        </is>
      </c>
      <c r="J422" s="29" t="inlineStr">
        <is>
          <t>—</t>
        </is>
      </c>
      <c r="K422" s="35" t="inlineStr">
        <is>
          <t>—</t>
        </is>
      </c>
      <c r="L422" s="36" t="n">
        <v>2073.511980251808</v>
      </c>
      <c r="M422" s="29" t="n">
        <v>3.238034314588725</v>
      </c>
      <c r="N422" s="16" t="inlineStr">
        <is>
          <t>no</t>
        </is>
      </c>
      <c r="O422" s="16" t="n"/>
    </row>
    <row r="423">
      <c r="A423" s="16" t="inlineStr">
        <is>
          <t>KF-M05-4-0035</t>
        </is>
      </c>
      <c r="B423" s="35" t="n">
        <v>248.9591573277199</v>
      </c>
      <c r="C423" s="37" t="n">
        <v>0.5945834948104383</v>
      </c>
      <c r="D423" s="37" t="n">
        <v>0.6409010399078503</v>
      </c>
      <c r="E423" s="37" t="n">
        <v>0.587484691634777</v>
      </c>
      <c r="F423" s="37" t="n">
        <v>0.4095972704842587</v>
      </c>
      <c r="G423" s="37" t="n">
        <v>0.5646701627547295</v>
      </c>
      <c r="H423" s="37" t="n">
        <v>0.4240364898171956</v>
      </c>
      <c r="I423" s="40" t="inlineStr">
        <is>
          <t>Inviable</t>
        </is>
      </c>
      <c r="J423" s="29" t="n">
        <v>-62.11422885597077</v>
      </c>
      <c r="K423" s="35" t="n">
        <v>-232.5240853818369</v>
      </c>
      <c r="L423" s="36" t="n">
        <v>2751.04084267228</v>
      </c>
      <c r="M423" s="29" t="n">
        <v>12.05016932175313</v>
      </c>
      <c r="N423" s="16" t="inlineStr">
        <is>
          <t>sí</t>
        </is>
      </c>
      <c r="O423" s="16" t="inlineStr">
        <is>
          <t>O2,O3</t>
        </is>
      </c>
    </row>
    <row r="424">
      <c r="A424" s="16" t="inlineStr">
        <is>
          <t>KF-M05-4-0036</t>
        </is>
      </c>
      <c r="B424" s="35" t="n">
        <v>1244.77913727849</v>
      </c>
      <c r="C424" s="37" t="n">
        <v>0.6710814657872408</v>
      </c>
      <c r="D424" s="37" t="n">
        <v>0.7643961038031566</v>
      </c>
      <c r="E424" s="37" t="n">
        <v>0.6131963543281634</v>
      </c>
      <c r="F424" s="37" t="n">
        <v>0.6951773026456074</v>
      </c>
      <c r="G424" s="37" t="n">
        <v>0.4997450394575842</v>
      </c>
      <c r="H424" s="37" t="n">
        <v>0.5561580868554112</v>
      </c>
      <c r="I424" s="32" t="inlineStr">
        <is>
          <t>No convergió</t>
        </is>
      </c>
      <c r="J424" s="29" t="inlineStr">
        <is>
          <t>—</t>
        </is>
      </c>
      <c r="K424" s="35" t="inlineStr">
        <is>
          <t>—</t>
        </is>
      </c>
      <c r="L424" s="36" t="n">
        <v>1755.22086272151</v>
      </c>
      <c r="M424" s="29" t="n">
        <v>2.410066099403802</v>
      </c>
      <c r="N424" s="16" t="inlineStr">
        <is>
          <t>no</t>
        </is>
      </c>
      <c r="O424" s="16" t="n"/>
    </row>
    <row r="425">
      <c r="A425" s="16" t="inlineStr">
        <is>
          <t>KF-M05-4-0037</t>
        </is>
      </c>
      <c r="B425" s="35" t="n">
        <v>761.7787907277252</v>
      </c>
      <c r="C425" s="37" t="n">
        <v>0.5268018498386063</v>
      </c>
      <c r="D425" s="37" t="n">
        <v>0.7469418746011856</v>
      </c>
      <c r="E425" s="37" t="n">
        <v>0.5671744722316945</v>
      </c>
      <c r="F425" s="37" t="n">
        <v>0.5085530480535072</v>
      </c>
      <c r="G425" s="37" t="n">
        <v>0.8730299476598752</v>
      </c>
      <c r="H425" s="37" t="n">
        <v>0.4987715306690976</v>
      </c>
      <c r="I425" s="40" t="inlineStr">
        <is>
          <t>Inviable</t>
        </is>
      </c>
      <c r="J425" s="29" t="n">
        <v>-0.8092635957546199</v>
      </c>
      <c r="K425" s="35" t="n">
        <v>-6.848136568177722</v>
      </c>
      <c r="L425" s="36" t="n">
        <v>2238.221209272275</v>
      </c>
      <c r="M425" s="29" t="n">
        <v>3.938151122761121</v>
      </c>
      <c r="N425" s="16" t="inlineStr">
        <is>
          <t>sí</t>
        </is>
      </c>
      <c r="O425" s="16" t="inlineStr">
        <is>
          <t>O2,O3</t>
        </is>
      </c>
    </row>
    <row r="426">
      <c r="A426" s="16" t="inlineStr">
        <is>
          <t>KF-M05-4-0038</t>
        </is>
      </c>
      <c r="B426" s="35" t="n">
        <v>1443.808752355641</v>
      </c>
      <c r="C426" s="37" t="n">
        <v>0.7179743088959619</v>
      </c>
      <c r="D426" s="37" t="n">
        <v>0.8948121486977875</v>
      </c>
      <c r="E426" s="37" t="n">
        <v>0.5151300866481447</v>
      </c>
      <c r="F426" s="37" t="n">
        <v>0.8066543362875732</v>
      </c>
      <c r="G426" s="37" t="n">
        <v>0.4278052308777658</v>
      </c>
      <c r="H426" s="37" t="n">
        <v>0.9467498828761068</v>
      </c>
      <c r="I426" s="38" t="inlineStr">
        <is>
          <t>Falso convergido</t>
        </is>
      </c>
      <c r="J426" s="29" t="inlineStr">
        <is>
          <t>—</t>
        </is>
      </c>
      <c r="K426" s="35" t="inlineStr">
        <is>
          <t>—</t>
        </is>
      </c>
      <c r="L426" s="36" t="n">
        <v>1556.191247644359</v>
      </c>
      <c r="M426" s="29" t="n">
        <v>2.077837521836158</v>
      </c>
      <c r="N426" s="16" t="inlineStr">
        <is>
          <t>sí</t>
        </is>
      </c>
      <c r="O426" s="16" t="inlineStr">
        <is>
          <t>N2,O5,C1,C3,C3</t>
        </is>
      </c>
    </row>
    <row r="427">
      <c r="A427" s="16" t="inlineStr">
        <is>
          <t>KF-M05-4-0039</t>
        </is>
      </c>
      <c r="B427" s="35" t="n">
        <v>550.6035543014788</v>
      </c>
      <c r="C427" s="37" t="n">
        <v>0.6153197539983232</v>
      </c>
      <c r="D427" s="37" t="n">
        <v>0.7242879164876534</v>
      </c>
      <c r="E427" s="37" t="n">
        <v>0.6370253806910162</v>
      </c>
      <c r="F427" s="37" t="n">
        <v>0.6288992477412657</v>
      </c>
      <c r="G427" s="37" t="n">
        <v>0.7425798364056229</v>
      </c>
      <c r="H427" s="37" t="n">
        <v>0.598399069662008</v>
      </c>
      <c r="I427" s="39" t="inlineStr">
        <is>
          <t>Corregible</t>
        </is>
      </c>
      <c r="J427" s="29" t="n">
        <v>3.14285975417043</v>
      </c>
      <c r="K427" s="35" t="n">
        <v>33.9280069420017</v>
      </c>
      <c r="L427" s="36" t="n">
        <v>2449.396445698521</v>
      </c>
      <c r="M427" s="29" t="n">
        <v>5.448566353346446</v>
      </c>
      <c r="N427" s="16" t="inlineStr">
        <is>
          <t>sí</t>
        </is>
      </c>
      <c r="O427" s="16" t="inlineStr">
        <is>
          <t>O2</t>
        </is>
      </c>
    </row>
    <row r="428">
      <c r="A428" s="16" t="inlineStr">
        <is>
          <t>KF-M05-4-0040</t>
        </is>
      </c>
      <c r="B428" s="35" t="n">
        <v>1265.430422948261</v>
      </c>
      <c r="C428" s="37" t="n">
        <v>0.8164712982669472</v>
      </c>
      <c r="D428" s="37" t="n">
        <v>0.6164091107699821</v>
      </c>
      <c r="E428" s="37" t="n">
        <v>0.7258572688583633</v>
      </c>
      <c r="F428" s="37" t="n">
        <v>0.4139177722857825</v>
      </c>
      <c r="G428" s="37" t="n">
        <v>0.889455454199875</v>
      </c>
      <c r="H428" s="37" t="n">
        <v>0.6114940687567718</v>
      </c>
      <c r="I428" s="39" t="inlineStr">
        <is>
          <t>Corregible</t>
        </is>
      </c>
      <c r="J428" s="29" t="n">
        <v>2.4320884166753</v>
      </c>
      <c r="K428" s="35" t="n">
        <v>17.61144570019944</v>
      </c>
      <c r="L428" s="36" t="n">
        <v>1734.569577051739</v>
      </c>
      <c r="M428" s="29" t="n">
        <v>2.370734846891428</v>
      </c>
      <c r="N428" s="16" t="inlineStr">
        <is>
          <t>no</t>
        </is>
      </c>
      <c r="O428" s="16" t="inlineStr">
        <is>
          <t>O2</t>
        </is>
      </c>
    </row>
    <row r="429">
      <c r="A429" s="16" t="inlineStr">
        <is>
          <t>KF-M05-4-0041</t>
        </is>
      </c>
      <c r="B429" s="35" t="n">
        <v>1721.464243854768</v>
      </c>
      <c r="C429" s="37" t="n">
        <v>0.5809742205718562</v>
      </c>
      <c r="D429" s="37" t="n">
        <v>0.5008090162623741</v>
      </c>
      <c r="E429" s="37" t="n">
        <v>0.5472081580507304</v>
      </c>
      <c r="F429" s="37" t="n">
        <v>0.828506295895953</v>
      </c>
      <c r="G429" s="37" t="n">
        <v>0.5834488361334198</v>
      </c>
      <c r="H429" s="37" t="n">
        <v>0.9201760843858946</v>
      </c>
      <c r="I429" s="38" t="inlineStr">
        <is>
          <t>Falso convergido</t>
        </is>
      </c>
      <c r="J429" s="29" t="inlineStr">
        <is>
          <t>—</t>
        </is>
      </c>
      <c r="K429" s="35" t="inlineStr">
        <is>
          <t>—</t>
        </is>
      </c>
      <c r="L429" s="36" t="n">
        <v>1278.535756145232</v>
      </c>
      <c r="M429" s="29" t="n">
        <v>1.742702475935419</v>
      </c>
      <c r="N429" s="16" t="inlineStr">
        <is>
          <t>sí</t>
        </is>
      </c>
      <c r="O429" s="16" t="inlineStr">
        <is>
          <t>N2,O5,C1,C3,C3</t>
        </is>
      </c>
    </row>
    <row r="430">
      <c r="A430" s="16" t="inlineStr">
        <is>
          <t>KF-M05-4-0042</t>
        </is>
      </c>
      <c r="B430" s="35" t="n">
        <v>242.2328870566766</v>
      </c>
      <c r="C430" s="37" t="n">
        <v>0.7872124260728028</v>
      </c>
      <c r="D430" s="37" t="n">
        <v>0.7604317990759032</v>
      </c>
      <c r="E430" s="37" t="n">
        <v>0.6848809098622112</v>
      </c>
      <c r="F430" s="37" t="n">
        <v>0.5407991289478562</v>
      </c>
      <c r="G430" s="37" t="n">
        <v>0.5019096973607163</v>
      </c>
      <c r="H430" s="37" t="n">
        <v>0.8968436744744032</v>
      </c>
      <c r="I430" s="32" t="inlineStr">
        <is>
          <t>No convergió</t>
        </is>
      </c>
      <c r="J430" s="29" t="inlineStr">
        <is>
          <t>—</t>
        </is>
      </c>
      <c r="K430" s="35" t="inlineStr">
        <is>
          <t>—</t>
        </is>
      </c>
      <c r="L430" s="36" t="n">
        <v>2757.767112943324</v>
      </c>
      <c r="M430" s="29" t="n">
        <v>12.38477580997527</v>
      </c>
      <c r="N430" s="16" t="inlineStr">
        <is>
          <t>no</t>
        </is>
      </c>
      <c r="O430" s="16" t="n"/>
    </row>
    <row r="431">
      <c r="A431" s="16" t="inlineStr">
        <is>
          <t>KF-M05-4-0043</t>
        </is>
      </c>
      <c r="B431" s="35" t="n">
        <v>1932.666673272733</v>
      </c>
      <c r="C431" s="37" t="n">
        <v>0.6214552490063988</v>
      </c>
      <c r="D431" s="37" t="n">
        <v>0.4461466253262187</v>
      </c>
      <c r="E431" s="37" t="n">
        <v>0.6639821706084419</v>
      </c>
      <c r="F431" s="37" t="n">
        <v>0.58931327976778</v>
      </c>
      <c r="G431" s="37" t="n">
        <v>0.696053037158646</v>
      </c>
      <c r="H431" s="37" t="n">
        <v>0.8831553622210655</v>
      </c>
      <c r="I431" s="42" t="inlineStr">
        <is>
          <t>KALINA</t>
        </is>
      </c>
      <c r="J431" s="29" t="n">
        <v>1.79876471052546</v>
      </c>
      <c r="K431" s="35" t="n">
        <v>24.61055967005507</v>
      </c>
      <c r="L431" s="36" t="n">
        <v>1067.333326727267</v>
      </c>
      <c r="M431" s="29" t="n">
        <v>1.55225939448724</v>
      </c>
      <c r="N431" s="16" t="inlineStr">
        <is>
          <t>sí</t>
        </is>
      </c>
      <c r="O431" s="16" t="n"/>
    </row>
    <row r="432">
      <c r="A432" s="16" t="inlineStr">
        <is>
          <t>KF-M05-4-0044</t>
        </is>
      </c>
      <c r="B432" s="35" t="n">
        <v>916.06004469777</v>
      </c>
      <c r="C432" s="37" t="n">
        <v>0.740625950701035</v>
      </c>
      <c r="D432" s="37" t="n">
        <v>0.4530198172160027</v>
      </c>
      <c r="E432" s="37" t="n">
        <v>0.4688228816952374</v>
      </c>
      <c r="F432" s="37" t="n">
        <v>0.7629635557064463</v>
      </c>
      <c r="G432" s="37" t="n">
        <v>0.6189381330103821</v>
      </c>
      <c r="H432" s="37" t="n">
        <v>0.9231181896863504</v>
      </c>
      <c r="I432" s="39" t="inlineStr">
        <is>
          <t>Corregible</t>
        </is>
      </c>
      <c r="J432" s="29" t="n">
        <v>4.57394813260063</v>
      </c>
      <c r="K432" s="35" t="n">
        <v>78.8546191166874</v>
      </c>
      <c r="L432" s="36" t="n">
        <v>2083.93995530223</v>
      </c>
      <c r="M432" s="29" t="n">
        <v>3.27489449776163</v>
      </c>
      <c r="N432" s="16" t="inlineStr">
        <is>
          <t>sí</t>
        </is>
      </c>
      <c r="O432" s="16" t="inlineStr">
        <is>
          <t>O2</t>
        </is>
      </c>
    </row>
    <row r="433">
      <c r="A433" s="16" t="inlineStr">
        <is>
          <t>KF-M05-4-0045</t>
        </is>
      </c>
      <c r="B433" s="35" t="n">
        <v>640.6983780778833</v>
      </c>
      <c r="C433" s="37" t="n">
        <v>0.5847003517216997</v>
      </c>
      <c r="D433" s="37" t="n">
        <v>0.6606138111574704</v>
      </c>
      <c r="E433" s="37" t="n">
        <v>0.4859226106667939</v>
      </c>
      <c r="F433" s="37" t="n">
        <v>0.5307777968761197</v>
      </c>
      <c r="G433" s="37" t="n">
        <v>0.7328919449510178</v>
      </c>
      <c r="H433" s="37" t="n">
        <v>0.9421710176196836</v>
      </c>
      <c r="I433" s="39" t="inlineStr">
        <is>
          <t>Corregible</t>
        </is>
      </c>
      <c r="J433" s="29" t="n">
        <v>8.38695120502541</v>
      </c>
      <c r="K433" s="35" t="n">
        <v>107.2760663139331</v>
      </c>
      <c r="L433" s="36" t="n">
        <v>2359.301621922117</v>
      </c>
      <c r="M433" s="29" t="n">
        <v>4.682390501752324</v>
      </c>
      <c r="N433" s="16" t="inlineStr">
        <is>
          <t>sí</t>
        </is>
      </c>
      <c r="O433" s="16" t="inlineStr">
        <is>
          <t>O2</t>
        </is>
      </c>
    </row>
    <row r="434">
      <c r="A434" s="16" t="inlineStr">
        <is>
          <t>KF-M05-4-0046</t>
        </is>
      </c>
      <c r="B434" s="35" t="n">
        <v>1632.870834697738</v>
      </c>
      <c r="C434" s="37" t="n">
        <v>0.814341071631254</v>
      </c>
      <c r="D434" s="37" t="n">
        <v>0.8205964175682513</v>
      </c>
      <c r="E434" s="37" t="n">
        <v>0.4910051897452685</v>
      </c>
      <c r="F434" s="37" t="n">
        <v>0.452351834820366</v>
      </c>
      <c r="G434" s="37" t="n">
        <v>0.7535822660600322</v>
      </c>
      <c r="H434" s="37" t="n">
        <v>0.8169735106498839</v>
      </c>
      <c r="I434" s="39" t="inlineStr">
        <is>
          <t>Corregible</t>
        </is>
      </c>
      <c r="J434" s="29" t="n">
        <v>5.28741905406627</v>
      </c>
      <c r="K434" s="35" t="n">
        <v>48.8138459983051</v>
      </c>
      <c r="L434" s="36" t="n">
        <v>1367.129165302262</v>
      </c>
      <c r="M434" s="29" t="n">
        <v>1.837254935449522</v>
      </c>
      <c r="N434" s="16" t="inlineStr">
        <is>
          <t>no</t>
        </is>
      </c>
      <c r="O434" s="16" t="inlineStr">
        <is>
          <t>O2</t>
        </is>
      </c>
    </row>
    <row r="435">
      <c r="A435" s="16" t="inlineStr">
        <is>
          <t>KF-M05-4-0047</t>
        </is>
      </c>
      <c r="B435" s="35" t="n">
        <v>326.7689904314831</v>
      </c>
      <c r="C435" s="37" t="n">
        <v>0.6907457649188267</v>
      </c>
      <c r="D435" s="37" t="n">
        <v>0.8599520033225619</v>
      </c>
      <c r="E435" s="37" t="n">
        <v>0.4669572447269902</v>
      </c>
      <c r="F435" s="37" t="n">
        <v>0.5653428336329571</v>
      </c>
      <c r="G435" s="37" t="n">
        <v>0.7873224494915232</v>
      </c>
      <c r="H435" s="37" t="n">
        <v>0.7083302326528843</v>
      </c>
      <c r="I435" s="40" t="inlineStr">
        <is>
          <t>Inviable</t>
        </is>
      </c>
      <c r="J435" s="29" t="n">
        <v>-15.66292757172173</v>
      </c>
      <c r="K435" s="35" t="n">
        <v>-107.2434162403941</v>
      </c>
      <c r="L435" s="36" t="n">
        <v>2673.231009568517</v>
      </c>
      <c r="M435" s="29" t="n">
        <v>9.180797712899992</v>
      </c>
      <c r="N435" s="16" t="inlineStr">
        <is>
          <t>sí</t>
        </is>
      </c>
      <c r="O435" s="16" t="inlineStr">
        <is>
          <t>O1,O2,O3</t>
        </is>
      </c>
    </row>
    <row r="436">
      <c r="A436" s="16" t="inlineStr">
        <is>
          <t>KF-M05-4-0048</t>
        </is>
      </c>
      <c r="B436" s="35" t="n">
        <v>1371.673223420608</v>
      </c>
      <c r="C436" s="37" t="n">
        <v>0.6025717162682989</v>
      </c>
      <c r="D436" s="37" t="n">
        <v>0.4288773858789257</v>
      </c>
      <c r="E436" s="37" t="n">
        <v>0.8616643459926591</v>
      </c>
      <c r="F436" s="37" t="n">
        <v>0.4813921477530946</v>
      </c>
      <c r="G436" s="37" t="n">
        <v>0.9345448209022504</v>
      </c>
      <c r="H436" s="37" t="n">
        <v>0.8236628594104443</v>
      </c>
      <c r="I436" s="39" t="inlineStr">
        <is>
          <t>Corregible</t>
        </is>
      </c>
      <c r="J436" s="29" t="n">
        <v>3.1773879303726</v>
      </c>
      <c r="K436" s="35" t="n">
        <v>34.30692112998344</v>
      </c>
      <c r="L436" s="36" t="n">
        <v>1628.326776579392</v>
      </c>
      <c r="M436" s="29" t="n">
        <v>2.18710983693241</v>
      </c>
      <c r="N436" s="16" t="inlineStr">
        <is>
          <t>sí</t>
        </is>
      </c>
      <c r="O436" s="16" t="inlineStr">
        <is>
          <t>O2</t>
        </is>
      </c>
    </row>
    <row r="437">
      <c r="A437" s="16" t="inlineStr">
        <is>
          <t>KF-M05-4-0049</t>
        </is>
      </c>
      <c r="B437" s="35" t="n">
        <v>1453.252767575627</v>
      </c>
      <c r="C437" s="37" t="n">
        <v>0.6253165412340627</v>
      </c>
      <c r="D437" s="37" t="n">
        <v>0.909730406111796</v>
      </c>
      <c r="E437" s="37" t="n">
        <v>0.7040650225585721</v>
      </c>
      <c r="F437" s="37" t="n">
        <v>0.5599861977199292</v>
      </c>
      <c r="G437" s="37" t="n">
        <v>0.9452227617177592</v>
      </c>
      <c r="H437" s="37" t="n">
        <v>0.5272748120039548</v>
      </c>
      <c r="I437" s="39" t="inlineStr">
        <is>
          <t>Corregible</t>
        </is>
      </c>
      <c r="J437" s="29" t="n">
        <v>3.96398092760893</v>
      </c>
      <c r="K437" s="35" t="n">
        <v>37.20322618222028</v>
      </c>
      <c r="L437" s="36" t="n">
        <v>1546.747232424373</v>
      </c>
      <c r="M437" s="29" t="n">
        <v>2.064334620194612</v>
      </c>
      <c r="N437" s="16" t="inlineStr">
        <is>
          <t>sí</t>
        </is>
      </c>
      <c r="O437" s="16" t="inlineStr">
        <is>
          <t>O2</t>
        </is>
      </c>
    </row>
    <row r="438">
      <c r="A438" s="16" t="inlineStr">
        <is>
          <t>KF-M05-4-0050</t>
        </is>
      </c>
      <c r="B438" s="35" t="n">
        <v>1564.577449935607</v>
      </c>
      <c r="C438" s="37" t="n">
        <v>0.521719676357039</v>
      </c>
      <c r="D438" s="37" t="n">
        <v>0.5123417698728765</v>
      </c>
      <c r="E438" s="37" t="n">
        <v>0.8838800792292261</v>
      </c>
      <c r="F438" s="37" t="n">
        <v>0.4070827849472962</v>
      </c>
      <c r="G438" s="37" t="n">
        <v>0.924417695287324</v>
      </c>
      <c r="H438" s="37" t="n">
        <v>0.9029052329643732</v>
      </c>
      <c r="I438" s="42" t="inlineStr">
        <is>
          <t>KALINA</t>
        </is>
      </c>
      <c r="J438" s="29" t="n">
        <v>2.91726153128542</v>
      </c>
      <c r="K438" s="35" t="n">
        <v>28.00022647387419</v>
      </c>
      <c r="L438" s="36" t="n">
        <v>1435.422550064393</v>
      </c>
      <c r="M438" s="29" t="n">
        <v>1.917450619094293</v>
      </c>
      <c r="N438" s="16" t="inlineStr">
        <is>
          <t>sí</t>
        </is>
      </c>
      <c r="O438" s="16" t="n"/>
    </row>
    <row r="439">
      <c r="A439" s="16" t="inlineStr">
        <is>
          <t>KF-M05-4-0051</t>
        </is>
      </c>
      <c r="B439" s="35" t="n">
        <v>1354.960781701227</v>
      </c>
      <c r="C439" s="37" t="n">
        <v>0.7568139001921868</v>
      </c>
      <c r="D439" s="37" t="n">
        <v>0.7873551632266478</v>
      </c>
      <c r="E439" s="37" t="n">
        <v>0.7165326019485233</v>
      </c>
      <c r="F439" s="37" t="n">
        <v>0.4467880267917289</v>
      </c>
      <c r="G439" s="37" t="n">
        <v>0.8082409218130427</v>
      </c>
      <c r="H439" s="37" t="n">
        <v>0.4700136276289168</v>
      </c>
      <c r="I439" s="32" t="inlineStr">
        <is>
          <t>No convergió</t>
        </is>
      </c>
      <c r="J439" s="29" t="inlineStr">
        <is>
          <t>—</t>
        </is>
      </c>
      <c r="K439" s="35" t="inlineStr">
        <is>
          <t>—</t>
        </is>
      </c>
      <c r="L439" s="36" t="n">
        <v>1645.039218298773</v>
      </c>
      <c r="M439" s="29" t="n">
        <v>2.214086223391158</v>
      </c>
      <c r="N439" s="16" t="inlineStr">
        <is>
          <t>no</t>
        </is>
      </c>
      <c r="O439" s="16" t="n"/>
    </row>
    <row r="440">
      <c r="A440" s="16" t="inlineStr">
        <is>
          <t>KF-M05-4-0052</t>
        </is>
      </c>
      <c r="B440" s="35" t="n">
        <v>1401.104002216343</v>
      </c>
      <c r="C440" s="37" t="n">
        <v>0.5111822677912201</v>
      </c>
      <c r="D440" s="37" t="n">
        <v>0.5744780886248817</v>
      </c>
      <c r="E440" s="37" t="n">
        <v>0.9271830226660528</v>
      </c>
      <c r="F440" s="37" t="n">
        <v>0.5926527252340993</v>
      </c>
      <c r="G440" s="37" t="n">
        <v>0.853138076166986</v>
      </c>
      <c r="H440" s="37" t="n">
        <v>0.6170959754783599</v>
      </c>
      <c r="I440" s="39" t="inlineStr">
        <is>
          <t>Corregible</t>
        </is>
      </c>
      <c r="J440" s="29" t="n">
        <v>2.74931619075478</v>
      </c>
      <c r="K440" s="35" t="n">
        <v>31.74137032625941</v>
      </c>
      <c r="L440" s="36" t="n">
        <v>1598.895997783657</v>
      </c>
      <c r="M440" s="29" t="n">
        <v>2.141168675026576</v>
      </c>
      <c r="N440" s="16" t="inlineStr">
        <is>
          <t>sí</t>
        </is>
      </c>
      <c r="O440" s="16" t="inlineStr">
        <is>
          <t>O2</t>
        </is>
      </c>
    </row>
    <row r="441">
      <c r="A441" s="16" t="inlineStr">
        <is>
          <t>KF-M05-4-0053</t>
        </is>
      </c>
      <c r="B441" s="35" t="n">
        <v>984.7820692121492</v>
      </c>
      <c r="C441" s="37" t="n">
        <v>0.8280226635481311</v>
      </c>
      <c r="D441" s="37" t="n">
        <v>0.7072918935915462</v>
      </c>
      <c r="E441" s="37" t="n">
        <v>0.5613087105806672</v>
      </c>
      <c r="F441" s="37" t="n">
        <v>0.905584274438302</v>
      </c>
      <c r="G441" s="37" t="n">
        <v>0.9465971623676864</v>
      </c>
      <c r="H441" s="37" t="n">
        <v>0.6023092041453213</v>
      </c>
      <c r="I441" s="32" t="inlineStr">
        <is>
          <t>No convergió</t>
        </is>
      </c>
      <c r="J441" s="29" t="inlineStr">
        <is>
          <t>—</t>
        </is>
      </c>
      <c r="K441" s="35" t="inlineStr">
        <is>
          <t>—</t>
        </is>
      </c>
      <c r="L441" s="36" t="n">
        <v>2015.217930787851</v>
      </c>
      <c r="M441" s="29" t="n">
        <v>3.046359284750256</v>
      </c>
      <c r="N441" s="16" t="inlineStr">
        <is>
          <t>no</t>
        </is>
      </c>
      <c r="O441" s="16" t="n"/>
    </row>
    <row r="442">
      <c r="A442" s="16" t="inlineStr">
        <is>
          <t>KF-M05-4-0054</t>
        </is>
      </c>
      <c r="B442" s="35" t="n">
        <v>1363.683993216255</v>
      </c>
      <c r="C442" s="37" t="n">
        <v>0.7100977427976486</v>
      </c>
      <c r="D442" s="37" t="n">
        <v>0.8953994472576268</v>
      </c>
      <c r="E442" s="37" t="n">
        <v>0.45046369188258</v>
      </c>
      <c r="F442" s="37" t="n">
        <v>0.4559800169121598</v>
      </c>
      <c r="G442" s="37" t="n">
        <v>0.7474388613712801</v>
      </c>
      <c r="H442" s="37" t="n">
        <v>0.8209427626923982</v>
      </c>
      <c r="I442" s="39" t="inlineStr">
        <is>
          <t>Corregible</t>
        </is>
      </c>
      <c r="J442" s="29" t="n">
        <v>6.92166681389349</v>
      </c>
      <c r="K442" s="35" t="n">
        <v>68.30623096087545</v>
      </c>
      <c r="L442" s="36" t="n">
        <v>1636.316006783745</v>
      </c>
      <c r="M442" s="29" t="n">
        <v>2.199923160294993</v>
      </c>
      <c r="N442" s="16" t="inlineStr">
        <is>
          <t>no</t>
        </is>
      </c>
      <c r="O442" s="16" t="inlineStr">
        <is>
          <t>O2</t>
        </is>
      </c>
    </row>
    <row r="443">
      <c r="A443" s="16" t="inlineStr">
        <is>
          <t>KF-M05-4-0055</t>
        </is>
      </c>
      <c r="B443" s="35" t="n">
        <v>1219.800534846232</v>
      </c>
      <c r="C443" s="37" t="n">
        <v>0.8040297487932886</v>
      </c>
      <c r="D443" s="37" t="n">
        <v>0.5845452585551831</v>
      </c>
      <c r="E443" s="37" t="n">
        <v>0.6960090666236722</v>
      </c>
      <c r="F443" s="37" t="n">
        <v>0.6897565421322206</v>
      </c>
      <c r="G443" s="37" t="n">
        <v>0.6251684812718127</v>
      </c>
      <c r="H443" s="37" t="n">
        <v>0.7482173569652222</v>
      </c>
      <c r="I443" s="39" t="inlineStr">
        <is>
          <t>Corregible</t>
        </is>
      </c>
      <c r="J443" s="29" t="n">
        <v>3.41670532556971</v>
      </c>
      <c r="K443" s="35" t="n">
        <v>43.58133814885801</v>
      </c>
      <c r="L443" s="36" t="n">
        <v>1780.199465153768</v>
      </c>
      <c r="M443" s="29" t="n">
        <v>2.459418498597544</v>
      </c>
      <c r="N443" s="16" t="inlineStr">
        <is>
          <t>sí</t>
        </is>
      </c>
      <c r="O443" s="16" t="inlineStr">
        <is>
          <t>O2</t>
        </is>
      </c>
    </row>
    <row r="444">
      <c r="A444" s="16" t="inlineStr">
        <is>
          <t>KF-M05-4-0056</t>
        </is>
      </c>
      <c r="B444" s="35" t="n">
        <v>1038.578019270526</v>
      </c>
      <c r="C444" s="37" t="n">
        <v>0.6510051219726256</v>
      </c>
      <c r="D444" s="37" t="n">
        <v>0.5338701111491132</v>
      </c>
      <c r="E444" s="37" t="n">
        <v>0.8418492448163398</v>
      </c>
      <c r="F444" s="37" t="n">
        <v>0.6495132813264938</v>
      </c>
      <c r="G444" s="37" t="n">
        <v>0.8488341845880623</v>
      </c>
      <c r="H444" s="37" t="n">
        <v>0.8456750820788137</v>
      </c>
      <c r="I444" s="39" t="inlineStr">
        <is>
          <t>Corregible</t>
        </is>
      </c>
      <c r="J444" s="29" t="n">
        <v>4.99248177010712</v>
      </c>
      <c r="K444" s="35" t="n">
        <v>72.20522741317488</v>
      </c>
      <c r="L444" s="36" t="n">
        <v>1961.421980729474</v>
      </c>
      <c r="M444" s="29" t="n">
        <v>2.888564888083355</v>
      </c>
      <c r="N444" s="16" t="inlineStr">
        <is>
          <t>sí</t>
        </is>
      </c>
      <c r="O444" s="16" t="inlineStr">
        <is>
          <t>O2</t>
        </is>
      </c>
    </row>
    <row r="445">
      <c r="A445" s="16" t="inlineStr">
        <is>
          <t>KF-M05-4-0057</t>
        </is>
      </c>
      <c r="B445" s="35" t="n">
        <v>304.455000558565</v>
      </c>
      <c r="C445" s="37" t="n">
        <v>0.5321454740416424</v>
      </c>
      <c r="D445" s="37" t="n">
        <v>0.6019671347722052</v>
      </c>
      <c r="E445" s="37" t="n">
        <v>0.831896338997995</v>
      </c>
      <c r="F445" s="37" t="n">
        <v>0.6357410605627769</v>
      </c>
      <c r="G445" s="37" t="n">
        <v>0.7780006712070457</v>
      </c>
      <c r="H445" s="37" t="n">
        <v>0.8582709626403511</v>
      </c>
      <c r="I445" s="39" t="inlineStr">
        <is>
          <t>Corregible</t>
        </is>
      </c>
      <c r="J445" s="29" t="n">
        <v>8.90154092720487</v>
      </c>
      <c r="K445" s="35" t="n">
        <v>125.3441879005171</v>
      </c>
      <c r="L445" s="36" t="n">
        <v>2695.544999441435</v>
      </c>
      <c r="M445" s="29" t="n">
        <v>9.85367293851664</v>
      </c>
      <c r="N445" s="16" t="inlineStr">
        <is>
          <t>sí</t>
        </is>
      </c>
      <c r="O445" s="16" t="inlineStr">
        <is>
          <t>O2</t>
        </is>
      </c>
    </row>
    <row r="446">
      <c r="A446" s="16" t="inlineStr">
        <is>
          <t>KF-M05-4-0058</t>
        </is>
      </c>
      <c r="B446" s="35" t="n">
        <v>379.9587698226662</v>
      </c>
      <c r="C446" s="37" t="n">
        <v>0.7839077685401803</v>
      </c>
      <c r="D446" s="37" t="n">
        <v>0.862970928381891</v>
      </c>
      <c r="E446" s="37" t="n">
        <v>0.6773895765383925</v>
      </c>
      <c r="F446" s="37" t="n">
        <v>0.5993807531054032</v>
      </c>
      <c r="G446" s="37" t="n">
        <v>0.6685451664238944</v>
      </c>
      <c r="H446" s="37" t="n">
        <v>0.6516669437081936</v>
      </c>
      <c r="I446" s="32" t="inlineStr">
        <is>
          <t>No convergió</t>
        </is>
      </c>
      <c r="J446" s="29" t="inlineStr">
        <is>
          <t>—</t>
        </is>
      </c>
      <c r="K446" s="35" t="inlineStr">
        <is>
          <t>—</t>
        </is>
      </c>
      <c r="L446" s="36" t="n">
        <v>2620.041230177334</v>
      </c>
      <c r="M446" s="29" t="n">
        <v>7.895593517686551</v>
      </c>
      <c r="N446" s="16" t="inlineStr">
        <is>
          <t>no</t>
        </is>
      </c>
      <c r="O446" s="16" t="n"/>
    </row>
    <row r="447">
      <c r="A447" s="16" t="inlineStr">
        <is>
          <t>KF-M05-4-0059</t>
        </is>
      </c>
      <c r="B447" s="35" t="n">
        <v>403.1456792546187</v>
      </c>
      <c r="C447" s="37" t="n">
        <v>0.6057817625943478</v>
      </c>
      <c r="D447" s="37" t="n">
        <v>0.792935115540957</v>
      </c>
      <c r="E447" s="37" t="n">
        <v>0.6172205988530234</v>
      </c>
      <c r="F447" s="37" t="n">
        <v>0.5839166391763891</v>
      </c>
      <c r="G447" s="37" t="n">
        <v>0.7971815048567616</v>
      </c>
      <c r="H447" s="37" t="n">
        <v>0.6351343596008088</v>
      </c>
      <c r="I447" s="39" t="inlineStr">
        <is>
          <t>Corregible</t>
        </is>
      </c>
      <c r="J447" s="29" t="n">
        <v>2.95379382764262</v>
      </c>
      <c r="K447" s="35" t="n">
        <v>28.17999599076282</v>
      </c>
      <c r="L447" s="36" t="n">
        <v>2596.854320745381</v>
      </c>
      <c r="M447" s="29" t="n">
        <v>7.441478736785023</v>
      </c>
      <c r="N447" s="16" t="inlineStr">
        <is>
          <t>sí</t>
        </is>
      </c>
      <c r="O447" s="16" t="inlineStr">
        <is>
          <t>O2</t>
        </is>
      </c>
    </row>
    <row r="448">
      <c r="A448" s="16" t="inlineStr">
        <is>
          <t>KF-M05-4-0060</t>
        </is>
      </c>
      <c r="B448" s="35" t="n">
        <v>1880.028816148849</v>
      </c>
      <c r="C448" s="37" t="n">
        <v>0.7257493775946512</v>
      </c>
      <c r="D448" s="37" t="n">
        <v>0.6491883668292989</v>
      </c>
      <c r="E448" s="37" t="n">
        <v>0.55797500192525</v>
      </c>
      <c r="F448" s="37" t="n">
        <v>0.8467546536187596</v>
      </c>
      <c r="G448" s="37" t="n">
        <v>0.5751965009418367</v>
      </c>
      <c r="H448" s="37" t="n">
        <v>0.8873105686666813</v>
      </c>
      <c r="I448" s="32" t="inlineStr">
        <is>
          <t>No convergió</t>
        </is>
      </c>
      <c r="J448" s="29" t="inlineStr">
        <is>
          <t>—</t>
        </is>
      </c>
      <c r="K448" s="35" t="inlineStr">
        <is>
          <t>—</t>
        </is>
      </c>
      <c r="L448" s="36" t="n">
        <v>1119.971183851151</v>
      </c>
      <c r="M448" s="29" t="n">
        <v>1.595720222068383</v>
      </c>
      <c r="N448" s="16" t="inlineStr">
        <is>
          <t>no</t>
        </is>
      </c>
      <c r="O448" s="16" t="n"/>
    </row>
    <row r="449">
      <c r="A449" s="16" t="inlineStr">
        <is>
          <t>KF-M05-4-0061</t>
        </is>
      </c>
      <c r="B449" s="35" t="n">
        <v>410.2380346719654</v>
      </c>
      <c r="C449" s="37" t="n">
        <v>0.5303674414489903</v>
      </c>
      <c r="D449" s="37" t="n">
        <v>0.6366680328283923</v>
      </c>
      <c r="E449" s="37" t="n">
        <v>0.8702382451324437</v>
      </c>
      <c r="F449" s="37" t="n">
        <v>0.9245688431214142</v>
      </c>
      <c r="G449" s="37" t="n">
        <v>0.6366704428623283</v>
      </c>
      <c r="H449" s="37" t="n">
        <v>0.7293983739184251</v>
      </c>
      <c r="I449" s="32" t="inlineStr">
        <is>
          <t>No convergió</t>
        </is>
      </c>
      <c r="J449" s="29" t="inlineStr">
        <is>
          <t>—</t>
        </is>
      </c>
      <c r="K449" s="35" t="inlineStr">
        <is>
          <t>—</t>
        </is>
      </c>
      <c r="L449" s="36" t="n">
        <v>2589.761965328034</v>
      </c>
      <c r="M449" s="29" t="n">
        <v>7.31282754510771</v>
      </c>
      <c r="N449" s="16" t="inlineStr">
        <is>
          <t>no</t>
        </is>
      </c>
      <c r="O449" s="16" t="n"/>
    </row>
    <row r="450">
      <c r="A450" s="16" t="inlineStr">
        <is>
          <t>KF-M05-4-0062</t>
        </is>
      </c>
      <c r="B450" s="35" t="n">
        <v>868.6065121977246</v>
      </c>
      <c r="C450" s="37" t="n">
        <v>0.5691225270379997</v>
      </c>
      <c r="D450" s="37" t="n">
        <v>0.9457812816888618</v>
      </c>
      <c r="E450" s="37" t="n">
        <v>0.7969470969324761</v>
      </c>
      <c r="F450" s="37" t="n">
        <v>0.8951446362976814</v>
      </c>
      <c r="G450" s="37" t="n">
        <v>0.5263551524047542</v>
      </c>
      <c r="H450" s="37" t="n">
        <v>0.9168757271130078</v>
      </c>
      <c r="I450" s="32" t="inlineStr">
        <is>
          <t>No convergió</t>
        </is>
      </c>
      <c r="J450" s="29" t="inlineStr">
        <is>
          <t>—</t>
        </is>
      </c>
      <c r="K450" s="35" t="inlineStr">
        <is>
          <t>—</t>
        </is>
      </c>
      <c r="L450" s="36" t="n">
        <v>2131.393487802276</v>
      </c>
      <c r="M450" s="29" t="n">
        <v>3.453807861064133</v>
      </c>
      <c r="N450" s="16" t="inlineStr">
        <is>
          <t>no</t>
        </is>
      </c>
      <c r="O450" s="16" t="n"/>
    </row>
    <row r="451">
      <c r="A451" s="16" t="inlineStr">
        <is>
          <t>KF-M05-4-0063</t>
        </is>
      </c>
      <c r="B451" s="35" t="n">
        <v>1336.594633410128</v>
      </c>
      <c r="C451" s="37" t="n">
        <v>0.5157031757789838</v>
      </c>
      <c r="D451" s="37" t="n">
        <v>0.6826566291344771</v>
      </c>
      <c r="E451" s="37" t="n">
        <v>0.6822244139504881</v>
      </c>
      <c r="F451" s="37" t="n">
        <v>0.4857149535639266</v>
      </c>
      <c r="G451" s="37" t="n">
        <v>0.6071577184081198</v>
      </c>
      <c r="H451" s="37" t="n">
        <v>0.4221538271303219</v>
      </c>
      <c r="I451" s="40" t="inlineStr">
        <is>
          <t>Inviable</t>
        </is>
      </c>
      <c r="J451" s="29" t="n">
        <v>-1.08979739075062</v>
      </c>
      <c r="K451" s="35" t="n">
        <v>-8.268290181446915</v>
      </c>
      <c r="L451" s="36" t="n">
        <v>1663.405366589872</v>
      </c>
      <c r="M451" s="29" t="n">
        <v>2.244509984561238</v>
      </c>
      <c r="N451" s="16" t="inlineStr">
        <is>
          <t>sí</t>
        </is>
      </c>
      <c r="O451" s="16" t="inlineStr">
        <is>
          <t>O2,O3</t>
        </is>
      </c>
    </row>
    <row r="452">
      <c r="A452" s="16" t="inlineStr">
        <is>
          <t>KF-M05-4-0064</t>
        </is>
      </c>
      <c r="B452" s="35" t="n">
        <v>1200.703591873409</v>
      </c>
      <c r="C452" s="37" t="n">
        <v>0.7682489443718665</v>
      </c>
      <c r="D452" s="37" t="n">
        <v>0.4661651397965987</v>
      </c>
      <c r="E452" s="37" t="n">
        <v>0.4621472389216491</v>
      </c>
      <c r="F452" s="37" t="n">
        <v>0.4598625581474887</v>
      </c>
      <c r="G452" s="37" t="n">
        <v>0.5883357438860644</v>
      </c>
      <c r="H452" s="37" t="n">
        <v>0.5040091329275447</v>
      </c>
      <c r="I452" s="40" t="inlineStr">
        <is>
          <t>Inviable</t>
        </is>
      </c>
      <c r="J452" s="29" t="n">
        <v>-12.21279670111355</v>
      </c>
      <c r="K452" s="35" t="n">
        <v>-82.26467213656636</v>
      </c>
      <c r="L452" s="36" t="n">
        <v>1799.296408126591</v>
      </c>
      <c r="M452" s="29" t="n">
        <v>2.498535042540534</v>
      </c>
      <c r="N452" s="16" t="inlineStr">
        <is>
          <t>sí</t>
        </is>
      </c>
      <c r="O452" s="16" t="inlineStr">
        <is>
          <t>O2,O3</t>
        </is>
      </c>
    </row>
    <row r="453">
      <c r="A453" s="16" t="inlineStr">
        <is>
          <t>KF-M05-4-0065</t>
        </is>
      </c>
      <c r="B453" s="35" t="n">
        <v>215.7497448598479</v>
      </c>
      <c r="C453" s="37" t="n">
        <v>0.6314461469136681</v>
      </c>
      <c r="D453" s="37" t="n">
        <v>0.7678289889136587</v>
      </c>
      <c r="E453" s="37" t="n">
        <v>0.7493415022447107</v>
      </c>
      <c r="F453" s="37" t="n">
        <v>0.7372986764374955</v>
      </c>
      <c r="G453" s="37" t="n">
        <v>0.7255235818822026</v>
      </c>
      <c r="H453" s="37" t="n">
        <v>0.4944151872418549</v>
      </c>
      <c r="I453" s="32" t="inlineStr">
        <is>
          <t>No convergió</t>
        </is>
      </c>
      <c r="J453" s="29" t="inlineStr">
        <is>
          <t>—</t>
        </is>
      </c>
      <c r="K453" s="35" t="inlineStr">
        <is>
          <t>—</t>
        </is>
      </c>
      <c r="L453" s="36" t="n">
        <v>2784.250255140152</v>
      </c>
      <c r="M453" s="29" t="n">
        <v>13.90499906244995</v>
      </c>
      <c r="N453" s="16" t="inlineStr">
        <is>
          <t>no</t>
        </is>
      </c>
      <c r="O453" s="16" t="n"/>
    </row>
    <row r="454">
      <c r="A454" s="16" t="inlineStr">
        <is>
          <t>KF-M05-4-0066</t>
        </is>
      </c>
      <c r="B454" s="35" t="n">
        <v>597.1431285749516</v>
      </c>
      <c r="C454" s="37" t="n">
        <v>0.7359268957232388</v>
      </c>
      <c r="D454" s="37" t="n">
        <v>0.4843444872344086</v>
      </c>
      <c r="E454" s="37" t="n">
        <v>0.8029657618052888</v>
      </c>
      <c r="F454" s="37" t="n">
        <v>0.7288361105242651</v>
      </c>
      <c r="G454" s="37" t="n">
        <v>0.5661222298804156</v>
      </c>
      <c r="H454" s="37" t="n">
        <v>0.628658299769683</v>
      </c>
      <c r="I454" s="32" t="inlineStr">
        <is>
          <t>No convergió</t>
        </is>
      </c>
      <c r="J454" s="29" t="inlineStr">
        <is>
          <t>—</t>
        </is>
      </c>
      <c r="K454" s="35" t="inlineStr">
        <is>
          <t>—</t>
        </is>
      </c>
      <c r="L454" s="36" t="n">
        <v>2402.856871425049</v>
      </c>
      <c r="M454" s="29" t="n">
        <v>5.023921161345909</v>
      </c>
      <c r="N454" s="16" t="inlineStr">
        <is>
          <t>no</t>
        </is>
      </c>
      <c r="O454" s="16" t="n"/>
    </row>
    <row r="455">
      <c r="A455" s="16" t="inlineStr">
        <is>
          <t>KF-M05-4-0067</t>
        </is>
      </c>
      <c r="B455" s="35" t="n">
        <v>211.4165689488047</v>
      </c>
      <c r="C455" s="37" t="n">
        <v>0.5073179231893835</v>
      </c>
      <c r="D455" s="37" t="n">
        <v>0.4098948319714917</v>
      </c>
      <c r="E455" s="37" t="n">
        <v>0.6925733392280566</v>
      </c>
      <c r="F455" s="37" t="n">
        <v>0.6979294134488367</v>
      </c>
      <c r="G455" s="37" t="n">
        <v>0.9375050358161384</v>
      </c>
      <c r="H455" s="37" t="n">
        <v>0.5796211784022741</v>
      </c>
      <c r="I455" s="32" t="inlineStr">
        <is>
          <t>No convergió</t>
        </is>
      </c>
      <c r="J455" s="29" t="inlineStr">
        <is>
          <t>—</t>
        </is>
      </c>
      <c r="K455" s="35" t="inlineStr">
        <is>
          <t>—</t>
        </is>
      </c>
      <c r="L455" s="36" t="n">
        <v>2788.583431051195</v>
      </c>
      <c r="M455" s="29" t="n">
        <v>14.18999473369782</v>
      </c>
      <c r="N455" s="16" t="inlineStr">
        <is>
          <t>no</t>
        </is>
      </c>
      <c r="O455" s="16" t="n"/>
    </row>
    <row r="456">
      <c r="A456" s="16" t="inlineStr">
        <is>
          <t>KF-M05-4-0068</t>
        </is>
      </c>
      <c r="B456" s="35" t="n">
        <v>580.1788294625379</v>
      </c>
      <c r="C456" s="37" t="n">
        <v>0.7034438483267513</v>
      </c>
      <c r="D456" s="37" t="n">
        <v>0.5798938861612671</v>
      </c>
      <c r="E456" s="37" t="n">
        <v>0.8924190597023132</v>
      </c>
      <c r="F456" s="37" t="n">
        <v>0.4956504805124441</v>
      </c>
      <c r="G456" s="37" t="n">
        <v>0.9130854286619686</v>
      </c>
      <c r="H456" s="37" t="n">
        <v>0.5727319765442961</v>
      </c>
      <c r="I456" s="40" t="inlineStr">
        <is>
          <t>Inviable</t>
        </is>
      </c>
      <c r="J456" s="29" t="n">
        <v>-0.95373816068192</v>
      </c>
      <c r="K456" s="35" t="n">
        <v>-7.050690106140109</v>
      </c>
      <c r="L456" s="36" t="n">
        <v>2419.821170537462</v>
      </c>
      <c r="M456" s="29" t="n">
        <v>5.170819491602476</v>
      </c>
      <c r="N456" s="16" t="inlineStr">
        <is>
          <t>sí</t>
        </is>
      </c>
      <c r="O456" s="16" t="inlineStr">
        <is>
          <t>O2,O3</t>
        </is>
      </c>
    </row>
    <row r="457">
      <c r="A457" s="16" t="inlineStr">
        <is>
          <t>KF-M05-4-0069</t>
        </is>
      </c>
      <c r="B457" s="35" t="n">
        <v>1901.57029174301</v>
      </c>
      <c r="C457" s="37" t="n">
        <v>0.6722889314028215</v>
      </c>
      <c r="D457" s="37" t="n">
        <v>0.9434500605232008</v>
      </c>
      <c r="E457" s="37" t="n">
        <v>0.9358703516624142</v>
      </c>
      <c r="F457" s="37" t="n">
        <v>0.7436214536700365</v>
      </c>
      <c r="G457" s="37" t="n">
        <v>0.8667316247236431</v>
      </c>
      <c r="H457" s="37" t="n">
        <v>0.9288542148159102</v>
      </c>
      <c r="I457" s="42" t="inlineStr">
        <is>
          <t>KALINA</t>
        </is>
      </c>
      <c r="J457" s="29" t="n">
        <v>4.14837841737031</v>
      </c>
      <c r="K457" s="35" t="n">
        <v>72.62794633518936</v>
      </c>
      <c r="L457" s="36" t="n">
        <v>1098.42970825699</v>
      </c>
      <c r="M457" s="29" t="n">
        <v>1.577643494445925</v>
      </c>
      <c r="N457" s="16" t="inlineStr">
        <is>
          <t>sí</t>
        </is>
      </c>
      <c r="O457" s="16" t="n"/>
    </row>
    <row r="458">
      <c r="A458" s="16" t="inlineStr">
        <is>
          <t>KF-M05-4-0070</t>
        </is>
      </c>
      <c r="B458" s="35" t="n">
        <v>1322.913885252509</v>
      </c>
      <c r="C458" s="37" t="n">
        <v>0.6421787030771609</v>
      </c>
      <c r="D458" s="37" t="n">
        <v>0.4032508501220294</v>
      </c>
      <c r="E458" s="37" t="n">
        <v>0.9214456960378912</v>
      </c>
      <c r="F458" s="37" t="n">
        <v>0.8821503544220968</v>
      </c>
      <c r="G458" s="37" t="n">
        <v>0.7497791177240232</v>
      </c>
      <c r="H458" s="37" t="n">
        <v>0.6878095525822612</v>
      </c>
      <c r="I458" s="32" t="inlineStr">
        <is>
          <t>No convergió</t>
        </is>
      </c>
      <c r="J458" s="29" t="inlineStr">
        <is>
          <t>—</t>
        </is>
      </c>
      <c r="K458" s="35" t="inlineStr">
        <is>
          <t>—</t>
        </is>
      </c>
      <c r="L458" s="36" t="n">
        <v>1677.086114747491</v>
      </c>
      <c r="M458" s="29" t="n">
        <v>2.267721303286026</v>
      </c>
      <c r="N458" s="16" t="inlineStr">
        <is>
          <t>no</t>
        </is>
      </c>
      <c r="O458" s="16" t="n"/>
    </row>
    <row r="459">
      <c r="A459" s="16" t="inlineStr">
        <is>
          <t>KF-M05-4-0071</t>
        </is>
      </c>
      <c r="B459" s="35" t="n">
        <v>1061.882493709157</v>
      </c>
      <c r="C459" s="37" t="n">
        <v>0.7708181964303351</v>
      </c>
      <c r="D459" s="37" t="n">
        <v>0.8563919389119397</v>
      </c>
      <c r="E459" s="37" t="n">
        <v>0.760130580814561</v>
      </c>
      <c r="F459" s="37" t="n">
        <v>0.6663353194314899</v>
      </c>
      <c r="G459" s="37" t="n">
        <v>0.4672100471060484</v>
      </c>
      <c r="H459" s="37" t="n">
        <v>0.7647303583750417</v>
      </c>
      <c r="I459" s="32" t="inlineStr">
        <is>
          <t>No convergió</t>
        </is>
      </c>
      <c r="J459" s="29" t="inlineStr">
        <is>
          <t>—</t>
        </is>
      </c>
      <c r="K459" s="35" t="inlineStr">
        <is>
          <t>—</t>
        </is>
      </c>
      <c r="L459" s="36" t="n">
        <v>1938.117506290843</v>
      </c>
      <c r="M459" s="29" t="n">
        <v>2.825171351606896</v>
      </c>
      <c r="N459" s="16" t="inlineStr">
        <is>
          <t>no</t>
        </is>
      </c>
      <c r="O459" s="16" t="n"/>
    </row>
    <row r="460">
      <c r="A460" s="16" t="inlineStr">
        <is>
          <t>KF-M05-4-0072</t>
        </is>
      </c>
      <c r="B460" s="35" t="n">
        <v>1781.454783781435</v>
      </c>
      <c r="C460" s="37" t="n">
        <v>0.5378588155782071</v>
      </c>
      <c r="D460" s="37" t="n">
        <v>0.5173684410544725</v>
      </c>
      <c r="E460" s="37" t="n">
        <v>0.875060887508885</v>
      </c>
      <c r="F460" s="37" t="n">
        <v>0.8630305609947136</v>
      </c>
      <c r="G460" s="37" t="n">
        <v>0.9162147576588222</v>
      </c>
      <c r="H460" s="37" t="n">
        <v>0.8022658450485505</v>
      </c>
      <c r="I460" s="32" t="inlineStr">
        <is>
          <t>No convergió</t>
        </is>
      </c>
      <c r="J460" s="29" t="inlineStr">
        <is>
          <t>—</t>
        </is>
      </c>
      <c r="K460" s="35" t="inlineStr">
        <is>
          <t>—</t>
        </is>
      </c>
      <c r="L460" s="36" t="n">
        <v>1218.545216218565</v>
      </c>
      <c r="M460" s="29" t="n">
        <v>1.684016921064929</v>
      </c>
      <c r="N460" s="16" t="inlineStr">
        <is>
          <t>no</t>
        </is>
      </c>
      <c r="O460" s="16" t="n"/>
    </row>
    <row r="461">
      <c r="A461" s="16" t="inlineStr">
        <is>
          <t>KF-M05-4-0073</t>
        </is>
      </c>
      <c r="B461" s="35" t="n">
        <v>1168.272222193562</v>
      </c>
      <c r="C461" s="37" t="n">
        <v>0.7889295709195945</v>
      </c>
      <c r="D461" s="37" t="n">
        <v>0.6465052752193606</v>
      </c>
      <c r="E461" s="37" t="n">
        <v>0.6560539953722622</v>
      </c>
      <c r="F461" s="37" t="n">
        <v>0.7232139551056194</v>
      </c>
      <c r="G461" s="37" t="n">
        <v>0.9064123950180164</v>
      </c>
      <c r="H461" s="37" t="n">
        <v>0.7867443441859421</v>
      </c>
      <c r="I461" s="39" t="inlineStr">
        <is>
          <t>Corregible</t>
        </is>
      </c>
      <c r="J461" s="29" t="n">
        <v>4.63639018477323</v>
      </c>
      <c r="K461" s="35" t="n">
        <v>64.82640548172778</v>
      </c>
      <c r="L461" s="36" t="n">
        <v>1831.727777806438</v>
      </c>
      <c r="M461" s="29" t="n">
        <v>2.567894659317641</v>
      </c>
      <c r="N461" s="16" t="inlineStr">
        <is>
          <t>sí</t>
        </is>
      </c>
      <c r="O461" s="16" t="inlineStr">
        <is>
          <t>O2</t>
        </is>
      </c>
    </row>
    <row r="462">
      <c r="A462" s="16" t="inlineStr">
        <is>
          <t>KF-M05-4-0074</t>
        </is>
      </c>
      <c r="B462" s="35" t="n">
        <v>812.5008930628838</v>
      </c>
      <c r="C462" s="37" t="n">
        <v>0.5768901093721096</v>
      </c>
      <c r="D462" s="37" t="n">
        <v>0.4145547243043938</v>
      </c>
      <c r="E462" s="37" t="n">
        <v>0.6284491953729225</v>
      </c>
      <c r="F462" s="37" t="n">
        <v>0.4201027312344704</v>
      </c>
      <c r="G462" s="37" t="n">
        <v>0.4577118385755683</v>
      </c>
      <c r="H462" s="37" t="n">
        <v>0.5130675525093435</v>
      </c>
      <c r="I462" s="40" t="inlineStr">
        <is>
          <t>Inviable</t>
        </is>
      </c>
      <c r="J462" s="29" t="n">
        <v>-7.149541963823699</v>
      </c>
      <c r="K462" s="35" t="n">
        <v>-52.63310055073649</v>
      </c>
      <c r="L462" s="36" t="n">
        <v>2187.499106937116</v>
      </c>
      <c r="M462" s="29" t="n">
        <v>3.692303633896208</v>
      </c>
      <c r="N462" s="16" t="inlineStr">
        <is>
          <t>sí</t>
        </is>
      </c>
      <c r="O462" s="16" t="inlineStr">
        <is>
          <t>O2,O3</t>
        </is>
      </c>
    </row>
    <row r="463">
      <c r="A463" s="16" t="inlineStr">
        <is>
          <t>KF-M05-4-0075</t>
        </is>
      </c>
      <c r="B463" s="35" t="n">
        <v>693.3659915521961</v>
      </c>
      <c r="C463" s="37" t="n">
        <v>0.7312529213806354</v>
      </c>
      <c r="D463" s="37" t="n">
        <v>0.6134811296116592</v>
      </c>
      <c r="E463" s="37" t="n">
        <v>0.8446980077189363</v>
      </c>
      <c r="F463" s="37" t="n">
        <v>0.6835172283752379</v>
      </c>
      <c r="G463" s="37" t="n">
        <v>0.5720648839987217</v>
      </c>
      <c r="H463" s="37" t="n">
        <v>0.6931808912559901</v>
      </c>
      <c r="I463" s="39" t="inlineStr">
        <is>
          <t>Corregible</t>
        </is>
      </c>
      <c r="J463" s="29" t="n">
        <v>3.94249424168686</v>
      </c>
      <c r="K463" s="35" t="n">
        <v>45.55297000482128</v>
      </c>
      <c r="L463" s="36" t="n">
        <v>2306.634008447804</v>
      </c>
      <c r="M463" s="29" t="n">
        <v>4.326719274598518</v>
      </c>
      <c r="N463" s="16" t="inlineStr">
        <is>
          <t>sí</t>
        </is>
      </c>
      <c r="O463" s="16" t="inlineStr">
        <is>
          <t>O2</t>
        </is>
      </c>
    </row>
    <row r="464">
      <c r="A464" s="16" t="inlineStr">
        <is>
          <t>KF-M05-4-0076</t>
        </is>
      </c>
      <c r="B464" s="35" t="n">
        <v>264.9889017189072</v>
      </c>
      <c r="C464" s="37" t="n">
        <v>0.6291314290547494</v>
      </c>
      <c r="D464" s="37" t="n">
        <v>0.8081222066140288</v>
      </c>
      <c r="E464" s="37" t="n">
        <v>0.8276859294388415</v>
      </c>
      <c r="F464" s="37" t="n">
        <v>0.9107852113804052</v>
      </c>
      <c r="G464" s="37" t="n">
        <v>0.4617381679387068</v>
      </c>
      <c r="H464" s="37" t="n">
        <v>0.7317830909664182</v>
      </c>
      <c r="I464" s="32" t="inlineStr">
        <is>
          <t>No convergió</t>
        </is>
      </c>
      <c r="J464" s="29" t="inlineStr">
        <is>
          <t>—</t>
        </is>
      </c>
      <c r="K464" s="35" t="inlineStr">
        <is>
          <t>—</t>
        </is>
      </c>
      <c r="L464" s="36" t="n">
        <v>2735.011098281093</v>
      </c>
      <c r="M464" s="29" t="n">
        <v>11.32122885350993</v>
      </c>
      <c r="N464" s="16" t="inlineStr">
        <is>
          <t>no</t>
        </is>
      </c>
      <c r="O464" s="16" t="n"/>
    </row>
    <row r="465">
      <c r="A465" s="16" t="inlineStr">
        <is>
          <t>KF-M05-4-0077</t>
        </is>
      </c>
      <c r="B465" s="35" t="n">
        <v>824.4186494617467</v>
      </c>
      <c r="C465" s="37" t="n">
        <v>0.7487108372248217</v>
      </c>
      <c r="D465" s="37" t="n">
        <v>0.6285907788523271</v>
      </c>
      <c r="E465" s="37" t="n">
        <v>0.7659185163928715</v>
      </c>
      <c r="F465" s="37" t="n">
        <v>0.8237519140706275</v>
      </c>
      <c r="G465" s="37" t="n">
        <v>0.5936147630740582</v>
      </c>
      <c r="H465" s="37" t="n">
        <v>0.4546982747139649</v>
      </c>
      <c r="I465" s="32" t="inlineStr">
        <is>
          <t>No convergió</t>
        </is>
      </c>
      <c r="J465" s="29" t="inlineStr">
        <is>
          <t>—</t>
        </is>
      </c>
      <c r="K465" s="35" t="inlineStr">
        <is>
          <t>—</t>
        </is>
      </c>
      <c r="L465" s="36" t="n">
        <v>2175.581350538253</v>
      </c>
      <c r="M465" s="29" t="n">
        <v>3.638927869910106</v>
      </c>
      <c r="N465" s="16" t="inlineStr">
        <is>
          <t>no</t>
        </is>
      </c>
      <c r="O465" s="16" t="n"/>
    </row>
    <row r="466">
      <c r="A466" s="16" t="inlineStr">
        <is>
          <t>KF-M05-4-0078</t>
        </is>
      </c>
      <c r="B466" s="35" t="n">
        <v>1297.39077862042</v>
      </c>
      <c r="C466" s="37" t="n">
        <v>0.698634318426141</v>
      </c>
      <c r="D466" s="37" t="n">
        <v>0.7259557493548039</v>
      </c>
      <c r="E466" s="37" t="n">
        <v>0.914473311919884</v>
      </c>
      <c r="F466" s="37" t="n">
        <v>0.9359354767741572</v>
      </c>
      <c r="G466" s="37" t="n">
        <v>0.5467388599922274</v>
      </c>
      <c r="H466" s="37" t="n">
        <v>0.4393307447589374</v>
      </c>
      <c r="I466" s="32" t="inlineStr">
        <is>
          <t>No convergió</t>
        </is>
      </c>
      <c r="J466" s="29" t="inlineStr">
        <is>
          <t>—</t>
        </is>
      </c>
      <c r="K466" s="35" t="inlineStr">
        <is>
          <t>—</t>
        </is>
      </c>
      <c r="L466" s="36" t="n">
        <v>1702.60922137958</v>
      </c>
      <c r="M466" s="29" t="n">
        <v>2.312333376679344</v>
      </c>
      <c r="N466" s="16" t="inlineStr">
        <is>
          <t>no</t>
        </is>
      </c>
      <c r="O466" s="16" t="n"/>
    </row>
    <row r="467">
      <c r="A467" s="16" t="inlineStr">
        <is>
          <t>KF-M05-4-0079</t>
        </is>
      </c>
      <c r="B467" s="35" t="n">
        <v>1417.030968481151</v>
      </c>
      <c r="C467" s="37" t="n">
        <v>0.6085103354562726</v>
      </c>
      <c r="D467" s="37" t="n">
        <v>0.8264174659144032</v>
      </c>
      <c r="E467" s="37" t="n">
        <v>0.6439811361454926</v>
      </c>
      <c r="F467" s="37" t="n">
        <v>0.7446387187111863</v>
      </c>
      <c r="G467" s="37" t="n">
        <v>0.7936313423247887</v>
      </c>
      <c r="H467" s="37" t="n">
        <v>0.7420260880369884</v>
      </c>
      <c r="I467" s="39" t="inlineStr">
        <is>
          <t>Corregible</t>
        </is>
      </c>
      <c r="J467" s="29" t="n">
        <v>4.83119545873404</v>
      </c>
      <c r="K467" s="35" t="n">
        <v>73.87271741208563</v>
      </c>
      <c r="L467" s="36" t="n">
        <v>1582.969031518849</v>
      </c>
      <c r="M467" s="29" t="n">
        <v>2.117102636942056</v>
      </c>
      <c r="N467" s="16" t="inlineStr">
        <is>
          <t>sí</t>
        </is>
      </c>
      <c r="O467" s="16" t="inlineStr">
        <is>
          <t>O2</t>
        </is>
      </c>
    </row>
    <row r="468">
      <c r="A468" s="16" t="inlineStr">
        <is>
          <t>KF-M05-4-0080</t>
        </is>
      </c>
      <c r="B468" s="35" t="n">
        <v>474.5501690374976</v>
      </c>
      <c r="C468" s="37" t="n">
        <v>0.7523824571799971</v>
      </c>
      <c r="D468" s="37" t="n">
        <v>0.6949263165635424</v>
      </c>
      <c r="E468" s="37" t="n">
        <v>0.4976268519233164</v>
      </c>
      <c r="F468" s="37" t="n">
        <v>0.8772822162754563</v>
      </c>
      <c r="G468" s="37" t="n">
        <v>0.4728691269811755</v>
      </c>
      <c r="H468" s="37" t="n">
        <v>0.5655468648959754</v>
      </c>
      <c r="I468" s="32" t="inlineStr">
        <is>
          <t>No convergió</t>
        </is>
      </c>
      <c r="J468" s="29" t="inlineStr">
        <is>
          <t>—</t>
        </is>
      </c>
      <c r="K468" s="35" t="inlineStr">
        <is>
          <t>—</t>
        </is>
      </c>
      <c r="L468" s="36" t="n">
        <v>2525.449830962502</v>
      </c>
      <c r="M468" s="29" t="n">
        <v>6.321776275171759</v>
      </c>
      <c r="N468" s="16" t="inlineStr">
        <is>
          <t>no</t>
        </is>
      </c>
      <c r="O468" s="16" t="n"/>
    </row>
    <row r="469">
      <c r="A469" s="16" t="inlineStr">
        <is>
          <t>KF-M05-4-0081</t>
        </is>
      </c>
      <c r="B469" s="35" t="n">
        <v>1012.846611599754</v>
      </c>
      <c r="C469" s="37" t="n">
        <v>0.6345041438868506</v>
      </c>
      <c r="D469" s="37" t="n">
        <v>0.5008453083584724</v>
      </c>
      <c r="E469" s="37" t="n">
        <v>0.4269051770967203</v>
      </c>
      <c r="F469" s="37" t="n">
        <v>0.9313668037031616</v>
      </c>
      <c r="G469" s="37" t="n">
        <v>0.6624396707005078</v>
      </c>
      <c r="H469" s="37" t="n">
        <v>0.6069257853748313</v>
      </c>
      <c r="I469" s="32" t="inlineStr">
        <is>
          <t>No convergió</t>
        </is>
      </c>
      <c r="J469" s="29" t="inlineStr">
        <is>
          <t>—</t>
        </is>
      </c>
      <c r="K469" s="35" t="inlineStr">
        <is>
          <t>—</t>
        </is>
      </c>
      <c r="L469" s="36" t="n">
        <v>1987.153388400247</v>
      </c>
      <c r="M469" s="29" t="n">
        <v>2.961948991725027</v>
      </c>
      <c r="N469" s="16" t="inlineStr">
        <is>
          <t>no</t>
        </is>
      </c>
      <c r="O469" s="16" t="n"/>
    </row>
    <row r="470">
      <c r="A470" s="16" t="inlineStr">
        <is>
          <t>KF-M05-4-0082</t>
        </is>
      </c>
      <c r="B470" s="35" t="n">
        <v>1944.788545631179</v>
      </c>
      <c r="C470" s="37" t="n">
        <v>0.6938153720871321</v>
      </c>
      <c r="D470" s="37" t="n">
        <v>0.6313259806648687</v>
      </c>
      <c r="E470" s="37" t="n">
        <v>0.7366977206796701</v>
      </c>
      <c r="F470" s="37" t="n">
        <v>0.9165258509812508</v>
      </c>
      <c r="G470" s="37" t="n">
        <v>0.900387119760733</v>
      </c>
      <c r="H470" s="37" t="n">
        <v>0.7729103307128076</v>
      </c>
      <c r="I470" s="32" t="inlineStr">
        <is>
          <t>No convergió</t>
        </is>
      </c>
      <c r="J470" s="29" t="inlineStr">
        <is>
          <t>—</t>
        </is>
      </c>
      <c r="K470" s="35" t="inlineStr">
        <is>
          <t>—</t>
        </is>
      </c>
      <c r="L470" s="36" t="n">
        <v>1055.211454368821</v>
      </c>
      <c r="M470" s="29" t="n">
        <v>1.54258415740841</v>
      </c>
      <c r="N470" s="16" t="inlineStr">
        <is>
          <t>no</t>
        </is>
      </c>
      <c r="O470" s="16" t="n"/>
    </row>
    <row r="471">
      <c r="A471" s="16" t="inlineStr">
        <is>
          <t>KF-M05-4-0083</t>
        </is>
      </c>
      <c r="B471" s="35" t="n">
        <v>998.5759661858584</v>
      </c>
      <c r="C471" s="37" t="n">
        <v>0.7943290478947429</v>
      </c>
      <c r="D471" s="37" t="n">
        <v>0.4597465440637298</v>
      </c>
      <c r="E471" s="37" t="n">
        <v>0.4765336608354859</v>
      </c>
      <c r="F471" s="37" t="n">
        <v>0.4722465513188638</v>
      </c>
      <c r="G471" s="37" t="n">
        <v>0.5345517543939944</v>
      </c>
      <c r="H471" s="37" t="n">
        <v>0.4350281173347018</v>
      </c>
      <c r="I471" s="32" t="inlineStr">
        <is>
          <t>No convergió</t>
        </is>
      </c>
      <c r="J471" s="29" t="inlineStr">
        <is>
          <t>—</t>
        </is>
      </c>
      <c r="K471" s="35" t="inlineStr">
        <is>
          <t>—</t>
        </is>
      </c>
      <c r="L471" s="36" t="n">
        <v>2001.424033814142</v>
      </c>
      <c r="M471" s="29" t="n">
        <v>3.004278193734967</v>
      </c>
      <c r="N471" s="16" t="inlineStr">
        <is>
          <t>no</t>
        </is>
      </c>
      <c r="O471" s="16" t="n"/>
    </row>
    <row r="472">
      <c r="A472" s="16" t="inlineStr">
        <is>
          <t>KF-M05-4-0084</t>
        </is>
      </c>
      <c r="B472" s="35" t="n">
        <v>1746.689665610918</v>
      </c>
      <c r="C472" s="37" t="n">
        <v>0.583520866253423</v>
      </c>
      <c r="D472" s="37" t="n">
        <v>0.7946372205651651</v>
      </c>
      <c r="E472" s="37" t="n">
        <v>0.7243706431484664</v>
      </c>
      <c r="F472" s="37" t="n">
        <v>0.7166180481035453</v>
      </c>
      <c r="G472" s="37" t="n">
        <v>0.7712850396603985</v>
      </c>
      <c r="H472" s="37" t="n">
        <v>0.4676991867848812</v>
      </c>
      <c r="I472" s="32" t="inlineStr">
        <is>
          <t>No convergió</t>
        </is>
      </c>
      <c r="J472" s="29" t="inlineStr">
        <is>
          <t>—</t>
        </is>
      </c>
      <c r="K472" s="35" t="inlineStr">
        <is>
          <t>—</t>
        </is>
      </c>
      <c r="L472" s="36" t="n">
        <v>1253.310334389082</v>
      </c>
      <c r="M472" s="29" t="n">
        <v>1.717534636555331</v>
      </c>
      <c r="N472" s="16" t="inlineStr">
        <is>
          <t>no</t>
        </is>
      </c>
      <c r="O472" s="16" t="n"/>
    </row>
    <row r="473">
      <c r="A473" s="16" t="inlineStr">
        <is>
          <t>KF-M05-4-0085</t>
        </is>
      </c>
      <c r="B473" s="35" t="n">
        <v>358.8222479218133</v>
      </c>
      <c r="C473" s="37" t="n">
        <v>0.7379615981750619</v>
      </c>
      <c r="D473" s="37" t="n">
        <v>0.6654773982816009</v>
      </c>
      <c r="E473" s="37" t="n">
        <v>0.5342725937531332</v>
      </c>
      <c r="F473" s="37" t="n">
        <v>0.7317143069824582</v>
      </c>
      <c r="G473" s="37" t="n">
        <v>0.5795827077317648</v>
      </c>
      <c r="H473" s="37" t="n">
        <v>0.7674631759357724</v>
      </c>
      <c r="I473" s="32" t="inlineStr">
        <is>
          <t>No convergió</t>
        </is>
      </c>
      <c r="J473" s="29" t="inlineStr">
        <is>
          <t>—</t>
        </is>
      </c>
      <c r="K473" s="35" t="inlineStr">
        <is>
          <t>—</t>
        </is>
      </c>
      <c r="L473" s="36" t="n">
        <v>2641.177752078187</v>
      </c>
      <c r="M473" s="29" t="n">
        <v>8.3606855967685</v>
      </c>
      <c r="N473" s="16" t="inlineStr">
        <is>
          <t>no</t>
        </is>
      </c>
      <c r="O473" s="16" t="n"/>
    </row>
    <row r="474">
      <c r="A474" s="16" t="inlineStr">
        <is>
          <t>KF-M05-4-0086</t>
        </is>
      </c>
      <c r="B474" s="35" t="n">
        <v>1584.006376056364</v>
      </c>
      <c r="C474" s="37" t="n">
        <v>0.772676439907986</v>
      </c>
      <c r="D474" s="37" t="n">
        <v>0.5735785258672418</v>
      </c>
      <c r="E474" s="37" t="n">
        <v>0.8116920441864655</v>
      </c>
      <c r="F474" s="37" t="n">
        <v>0.8535859977879208</v>
      </c>
      <c r="G474" s="37" t="n">
        <v>0.4541116863087923</v>
      </c>
      <c r="H474" s="37" t="n">
        <v>0.8678353725457411</v>
      </c>
      <c r="I474" s="32" t="inlineStr">
        <is>
          <t>No convergió</t>
        </is>
      </c>
      <c r="J474" s="29" t="inlineStr">
        <is>
          <t>—</t>
        </is>
      </c>
      <c r="K474" s="35" t="inlineStr">
        <is>
          <t>—</t>
        </is>
      </c>
      <c r="L474" s="36" t="n">
        <v>1415.993623943636</v>
      </c>
      <c r="M474" s="29" t="n">
        <v>1.89393177031836</v>
      </c>
      <c r="N474" s="16" t="inlineStr">
        <is>
          <t>no</t>
        </is>
      </c>
      <c r="O474" s="16" t="n"/>
    </row>
    <row r="475">
      <c r="A475" s="16" t="inlineStr">
        <is>
          <t>KF-M05-4-0087</t>
        </is>
      </c>
      <c r="B475" s="35" t="n">
        <v>1495.349823108638</v>
      </c>
      <c r="C475" s="37" t="n">
        <v>0.5885681218568491</v>
      </c>
      <c r="D475" s="37" t="n">
        <v>0.9038072967017284</v>
      </c>
      <c r="E475" s="37" t="n">
        <v>0.5525833375657212</v>
      </c>
      <c r="F475" s="37" t="n">
        <v>0.7548914302223503</v>
      </c>
      <c r="G475" s="37" t="n">
        <v>0.800729712749928</v>
      </c>
      <c r="H475" s="37" t="n">
        <v>0.4482226178578365</v>
      </c>
      <c r="I475" s="32" t="inlineStr">
        <is>
          <t>No convergió</t>
        </is>
      </c>
      <c r="J475" s="29" t="inlineStr">
        <is>
          <t>—</t>
        </is>
      </c>
      <c r="K475" s="35" t="inlineStr">
        <is>
          <t>—</t>
        </is>
      </c>
      <c r="L475" s="36" t="n">
        <v>1504.650176891362</v>
      </c>
      <c r="M475" s="29" t="n">
        <v>2.006219517091586</v>
      </c>
      <c r="N475" s="16" t="inlineStr">
        <is>
          <t>no</t>
        </is>
      </c>
      <c r="O475" s="16" t="n"/>
    </row>
    <row r="476">
      <c r="A476" s="16" t="inlineStr">
        <is>
          <t>KF-M05-4-0088</t>
        </is>
      </c>
      <c r="B476" s="35" t="n">
        <v>574.1498330490839</v>
      </c>
      <c r="C476" s="37" t="n">
        <v>0.5047244696672515</v>
      </c>
      <c r="D476" s="37" t="n">
        <v>0.689917842549014</v>
      </c>
      <c r="E476" s="37" t="n">
        <v>0.5396728105613655</v>
      </c>
      <c r="F476" s="37" t="n">
        <v>0.4406477658259286</v>
      </c>
      <c r="G476" s="37" t="n">
        <v>0.5565256318646057</v>
      </c>
      <c r="H476" s="37" t="n">
        <v>0.6450756116279691</v>
      </c>
      <c r="I476" s="39" t="inlineStr">
        <is>
          <t>Corregible</t>
        </is>
      </c>
      <c r="J476" s="29" t="n">
        <v>3.91460808076634</v>
      </c>
      <c r="K476" s="35" t="n">
        <v>36.21559326117521</v>
      </c>
      <c r="L476" s="36" t="n">
        <v>2425.850166950916</v>
      </c>
      <c r="M476" s="29" t="n">
        <v>5.225116907320482</v>
      </c>
      <c r="N476" s="16" t="inlineStr">
        <is>
          <t>sí</t>
        </is>
      </c>
      <c r="O476" s="16" t="inlineStr">
        <is>
          <t>O2</t>
        </is>
      </c>
    </row>
    <row r="477">
      <c r="A477" s="16" t="inlineStr">
        <is>
          <t>KF-M05-4-0089</t>
        </is>
      </c>
      <c r="B477" s="35" t="n">
        <v>875.8003192750004</v>
      </c>
      <c r="C477" s="37" t="n">
        <v>0.8445193529279069</v>
      </c>
      <c r="D477" s="37" t="n">
        <v>0.5632351211610772</v>
      </c>
      <c r="E477" s="37" t="n">
        <v>0.5885095180030774</v>
      </c>
      <c r="F477" s="37" t="n">
        <v>0.6238920313680393</v>
      </c>
      <c r="G477" s="37" t="n">
        <v>0.7376902593335393</v>
      </c>
      <c r="H477" s="37" t="n">
        <v>0.5626169384462252</v>
      </c>
      <c r="I477" s="32" t="inlineStr">
        <is>
          <t>No convergió</t>
        </is>
      </c>
      <c r="J477" s="29" t="inlineStr">
        <is>
          <t>—</t>
        </is>
      </c>
      <c r="K477" s="35" t="inlineStr">
        <is>
          <t>—</t>
        </is>
      </c>
      <c r="L477" s="36" t="n">
        <v>2124.199680725</v>
      </c>
      <c r="M477" s="29" t="n">
        <v>3.425438349329949</v>
      </c>
      <c r="N477" s="16" t="inlineStr">
        <is>
          <t>no</t>
        </is>
      </c>
      <c r="O477" s="16" t="n"/>
    </row>
    <row r="478">
      <c r="A478" s="16" t="inlineStr">
        <is>
          <t>KF-M05-4-0090</t>
        </is>
      </c>
      <c r="B478" s="35" t="n">
        <v>1623.284938184243</v>
      </c>
      <c r="C478" s="37" t="n">
        <v>0.56499620980944</v>
      </c>
      <c r="D478" s="37" t="n">
        <v>0.872638238628004</v>
      </c>
      <c r="E478" s="37" t="n">
        <v>0.5101457899996159</v>
      </c>
      <c r="F478" s="37" t="n">
        <v>0.6183128253076146</v>
      </c>
      <c r="G478" s="37" t="n">
        <v>0.552182602627912</v>
      </c>
      <c r="H478" s="37" t="n">
        <v>0.5782988890053962</v>
      </c>
      <c r="I478" s="39" t="inlineStr">
        <is>
          <t>Corregible</t>
        </is>
      </c>
      <c r="J478" s="29" t="n">
        <v>1.93322210479957</v>
      </c>
      <c r="K478" s="35" t="n">
        <v>21.37531848834165</v>
      </c>
      <c r="L478" s="36" t="n">
        <v>1376.715061815757</v>
      </c>
      <c r="M478" s="29" t="n">
        <v>1.848104377384114</v>
      </c>
      <c r="N478" s="16" t="inlineStr">
        <is>
          <t>sí</t>
        </is>
      </c>
      <c r="O478" s="16" t="inlineStr">
        <is>
          <t>O2</t>
        </is>
      </c>
    </row>
    <row r="479">
      <c r="A479" s="16" t="inlineStr">
        <is>
          <t>KF-M05-4-0091</t>
        </is>
      </c>
      <c r="B479" s="35" t="n">
        <v>508.9121396980824</v>
      </c>
      <c r="C479" s="37" t="n">
        <v>0.5615029682245881</v>
      </c>
      <c r="D479" s="37" t="n">
        <v>0.5513842732775237</v>
      </c>
      <c r="E479" s="37" t="n">
        <v>0.7121568574040192</v>
      </c>
      <c r="F479" s="37" t="n">
        <v>0.9495782915772266</v>
      </c>
      <c r="G479" s="37" t="n">
        <v>0.8610112684119324</v>
      </c>
      <c r="H479" s="37" t="n">
        <v>0.8326289433121379</v>
      </c>
      <c r="I479" s="32" t="inlineStr">
        <is>
          <t>No convergió</t>
        </is>
      </c>
      <c r="J479" s="29" t="inlineStr">
        <is>
          <t>—</t>
        </is>
      </c>
      <c r="K479" s="35" t="inlineStr">
        <is>
          <t>—</t>
        </is>
      </c>
      <c r="L479" s="36" t="n">
        <v>2491.087860301918</v>
      </c>
      <c r="M479" s="29" t="n">
        <v>5.894927171082581</v>
      </c>
      <c r="N479" s="16" t="inlineStr">
        <is>
          <t>no</t>
        </is>
      </c>
      <c r="O479" s="16" t="n"/>
    </row>
    <row r="480">
      <c r="A480" s="16" t="inlineStr">
        <is>
          <t>KF-M05-4-0092</t>
        </is>
      </c>
      <c r="B480" s="35" t="n">
        <v>667.3937332506657</v>
      </c>
      <c r="C480" s="37" t="n">
        <v>0.7155809603229007</v>
      </c>
      <c r="D480" s="37" t="n">
        <v>0.4444983437349527</v>
      </c>
      <c r="E480" s="37" t="n">
        <v>0.9419801829793976</v>
      </c>
      <c r="F480" s="37" t="n">
        <v>0.4767551257726903</v>
      </c>
      <c r="G480" s="37" t="n">
        <v>0.5310546336085677</v>
      </c>
      <c r="H480" s="37" t="n">
        <v>0.7935747862382123</v>
      </c>
      <c r="I480" s="39" t="inlineStr">
        <is>
          <t>Corregible</t>
        </is>
      </c>
      <c r="J480" s="29" t="n">
        <v>3.16267721924362</v>
      </c>
      <c r="K480" s="35" t="n">
        <v>29.99853577776305</v>
      </c>
      <c r="L480" s="36" t="n">
        <v>2332.606266749334</v>
      </c>
      <c r="M480" s="29" t="n">
        <v>4.495097647063511</v>
      </c>
      <c r="N480" s="16" t="inlineStr">
        <is>
          <t>sí</t>
        </is>
      </c>
      <c r="O480" s="16" t="inlineStr">
        <is>
          <t>O2</t>
        </is>
      </c>
    </row>
    <row r="481">
      <c r="A481" s="16" t="inlineStr">
        <is>
          <t>KF-M05-4-0093</t>
        </is>
      </c>
      <c r="B481" s="35" t="n">
        <v>788.2846212475242</v>
      </c>
      <c r="C481" s="37" t="n">
        <v>0.5743698239653026</v>
      </c>
      <c r="D481" s="37" t="n">
        <v>0.9398884219280946</v>
      </c>
      <c r="E481" s="37" t="n">
        <v>0.9466129346111156</v>
      </c>
      <c r="F481" s="37" t="n">
        <v>0.6143903854306959</v>
      </c>
      <c r="G481" s="37" t="n">
        <v>0.7246450078733486</v>
      </c>
      <c r="H481" s="37" t="n">
        <v>0.6601016489720446</v>
      </c>
      <c r="I481" s="39" t="inlineStr">
        <is>
          <t>Corregible</t>
        </is>
      </c>
      <c r="J481" s="29" t="n">
        <v>10.69084876071657</v>
      </c>
      <c r="K481" s="35" t="n">
        <v>130.9089196314521</v>
      </c>
      <c r="L481" s="36" t="n">
        <v>2211.715378752476</v>
      </c>
      <c r="M481" s="29" t="n">
        <v>3.805731989610881</v>
      </c>
      <c r="N481" s="16" t="inlineStr">
        <is>
          <t>sí</t>
        </is>
      </c>
      <c r="O481" s="16" t="inlineStr">
        <is>
          <t>O2</t>
        </is>
      </c>
    </row>
    <row r="482">
      <c r="A482" s="16" t="inlineStr">
        <is>
          <t>KF-M05-4-0094</t>
        </is>
      </c>
      <c r="B482" s="35" t="n">
        <v>491.5238671483665</v>
      </c>
      <c r="C482" s="37" t="n">
        <v>0.6868489215394493</v>
      </c>
      <c r="D482" s="37" t="n">
        <v>0.5586701060832564</v>
      </c>
      <c r="E482" s="37" t="n">
        <v>0.8248569970394304</v>
      </c>
      <c r="F482" s="37" t="n">
        <v>0.5747907041649543</v>
      </c>
      <c r="G482" s="37" t="n">
        <v>0.4183252333836917</v>
      </c>
      <c r="H482" s="37" t="n">
        <v>0.7806487977233878</v>
      </c>
      <c r="I482" s="39" t="inlineStr">
        <is>
          <t>Corregible</t>
        </is>
      </c>
      <c r="J482" s="29" t="n">
        <v>2.18300095261109</v>
      </c>
      <c r="K482" s="35" t="n">
        <v>21.99759641424535</v>
      </c>
      <c r="L482" s="36" t="n">
        <v>2508.476132851633</v>
      </c>
      <c r="M482" s="29" t="n">
        <v>6.103467604543504</v>
      </c>
      <c r="N482" s="16" t="inlineStr">
        <is>
          <t>sí</t>
        </is>
      </c>
      <c r="O482" s="16" t="inlineStr">
        <is>
          <t>O2</t>
        </is>
      </c>
    </row>
    <row r="483">
      <c r="A483" s="16" t="inlineStr">
        <is>
          <t>KF-M05-4-0095</t>
        </is>
      </c>
      <c r="B483" s="35" t="n">
        <v>955.2858388867096</v>
      </c>
      <c r="C483" s="37" t="n">
        <v>0.5442986828505293</v>
      </c>
      <c r="D483" s="37" t="n">
        <v>0.6841893026601418</v>
      </c>
      <c r="E483" s="37" t="n">
        <v>0.6426228769604696</v>
      </c>
      <c r="F483" s="37" t="n">
        <v>0.4042501998338983</v>
      </c>
      <c r="G483" s="37" t="n">
        <v>0.8169858465652224</v>
      </c>
      <c r="H483" s="37" t="n">
        <v>0.8915969849456308</v>
      </c>
      <c r="I483" s="42" t="inlineStr">
        <is>
          <t>KALINA</t>
        </is>
      </c>
      <c r="J483" s="29" t="n">
        <v>6.72007674251906</v>
      </c>
      <c r="K483" s="35" t="n">
        <v>64.20223460434978</v>
      </c>
      <c r="L483" s="36" t="n">
        <v>2044.71416111329</v>
      </c>
      <c r="M483" s="29" t="n">
        <v>3.140421304157718</v>
      </c>
      <c r="N483" s="16" t="inlineStr">
        <is>
          <t>sí</t>
        </is>
      </c>
      <c r="O483" s="16" t="n"/>
    </row>
    <row r="484">
      <c r="A484" s="16" t="inlineStr">
        <is>
          <t>KF-M05-4-0096</t>
        </is>
      </c>
      <c r="B484" s="35" t="n">
        <v>1820.487842189958</v>
      </c>
      <c r="C484" s="37" t="n">
        <v>0.6172459641667749</v>
      </c>
      <c r="D484" s="37" t="n">
        <v>0.8698799992430251</v>
      </c>
      <c r="E484" s="37" t="n">
        <v>0.6209401941707593</v>
      </c>
      <c r="F484" s="37" t="n">
        <v>0.8168477463612444</v>
      </c>
      <c r="G484" s="37" t="n">
        <v>0.8433047162417991</v>
      </c>
      <c r="H484" s="37" t="n">
        <v>0.7368600235159956</v>
      </c>
      <c r="I484" s="32" t="inlineStr">
        <is>
          <t>No convergió</t>
        </is>
      </c>
      <c r="J484" s="29" t="inlineStr">
        <is>
          <t>—</t>
        </is>
      </c>
      <c r="K484" s="35" t="inlineStr">
        <is>
          <t>—</t>
        </is>
      </c>
      <c r="L484" s="36" t="n">
        <v>1179.512157810042</v>
      </c>
      <c r="M484" s="29" t="n">
        <v>1.647909934070829</v>
      </c>
      <c r="N484" s="16" t="inlineStr">
        <is>
          <t>no</t>
        </is>
      </c>
      <c r="O484" s="16" t="n"/>
    </row>
    <row r="485">
      <c r="A485" s="16" t="inlineStr">
        <is>
          <t>KF-M05-4-0097</t>
        </is>
      </c>
      <c r="B485" s="35" t="n">
        <v>893.066406969515</v>
      </c>
      <c r="C485" s="37" t="n">
        <v>0.6613504306669395</v>
      </c>
      <c r="D485" s="37" t="n">
        <v>0.8471740805937258</v>
      </c>
      <c r="E485" s="37" t="n">
        <v>0.4395289423649786</v>
      </c>
      <c r="F485" s="37" t="n">
        <v>0.9019098331746476</v>
      </c>
      <c r="G485" s="37" t="n">
        <v>0.6474450129488035</v>
      </c>
      <c r="H485" s="37" t="n">
        <v>0.4315911205385694</v>
      </c>
      <c r="I485" s="32" t="inlineStr">
        <is>
          <t>No convergió</t>
        </is>
      </c>
      <c r="J485" s="29" t="inlineStr">
        <is>
          <t>—</t>
        </is>
      </c>
      <c r="K485" s="35" t="inlineStr">
        <is>
          <t>—</t>
        </is>
      </c>
      <c r="L485" s="36" t="n">
        <v>2106.933593030485</v>
      </c>
      <c r="M485" s="29" t="n">
        <v>3.359212681820654</v>
      </c>
      <c r="N485" s="16" t="inlineStr">
        <is>
          <t>no</t>
        </is>
      </c>
      <c r="O485" s="16" t="n"/>
    </row>
    <row r="486">
      <c r="A486" s="16" t="inlineStr">
        <is>
          <t>KF-M05-4-0098</t>
        </is>
      </c>
      <c r="B486" s="35" t="n">
        <v>1250.802765850564</v>
      </c>
      <c r="C486" s="37" t="n">
        <v>0.8309115464628688</v>
      </c>
      <c r="D486" s="37" t="n">
        <v>0.7423294998335458</v>
      </c>
      <c r="E486" s="37" t="n">
        <v>0.4108496177070945</v>
      </c>
      <c r="F486" s="37" t="n">
        <v>0.4682367345944238</v>
      </c>
      <c r="G486" s="37" t="n">
        <v>0.8934152497542788</v>
      </c>
      <c r="H486" s="37" t="n">
        <v>0.836383569993036</v>
      </c>
      <c r="I486" s="39" t="inlineStr">
        <is>
          <t>Corregible</t>
        </is>
      </c>
      <c r="J486" s="29" t="n">
        <v>6.24507827563496</v>
      </c>
      <c r="K486" s="35" t="n">
        <v>59.11308166546184</v>
      </c>
      <c r="L486" s="36" t="n">
        <v>1749.197234149436</v>
      </c>
      <c r="M486" s="29" t="n">
        <v>2.398459678780736</v>
      </c>
      <c r="N486" s="16" t="inlineStr">
        <is>
          <t>no</t>
        </is>
      </c>
      <c r="O486" s="16" t="inlineStr">
        <is>
          <t>O2</t>
        </is>
      </c>
    </row>
    <row r="487">
      <c r="A487" s="16" t="inlineStr">
        <is>
          <t>KF-M05-4-0099</t>
        </is>
      </c>
      <c r="B487" s="35" t="n">
        <v>732.82340294424</v>
      </c>
      <c r="C487" s="37" t="n">
        <v>0.7465876683982298</v>
      </c>
      <c r="D487" s="37" t="n">
        <v>0.668671502113328</v>
      </c>
      <c r="E487" s="37" t="n">
        <v>0.5037086181886181</v>
      </c>
      <c r="F487" s="37" t="n">
        <v>0.7029855834370611</v>
      </c>
      <c r="G487" s="37" t="n">
        <v>0.8068719399224087</v>
      </c>
      <c r="H487" s="37" t="n">
        <v>0.8432270092747542</v>
      </c>
      <c r="I487" s="39" t="inlineStr">
        <is>
          <t>Corregible</t>
        </is>
      </c>
      <c r="J487" s="29" t="n">
        <v>5.27211189291571</v>
      </c>
      <c r="K487" s="35" t="n">
        <v>72.66953840226802</v>
      </c>
      <c r="L487" s="36" t="n">
        <v>2267.17659705576</v>
      </c>
      <c r="M487" s="29" t="n">
        <v>4.093755723339348</v>
      </c>
      <c r="N487" s="16" t="inlineStr">
        <is>
          <t>sí</t>
        </is>
      </c>
      <c r="O487" s="16" t="inlineStr">
        <is>
          <t>O2</t>
        </is>
      </c>
    </row>
    <row r="488">
      <c r="A488" s="16" t="inlineStr">
        <is>
          <t>KF-M05-4-0100</t>
        </is>
      </c>
      <c r="B488" s="35" t="n">
        <v>1187.251324131363</v>
      </c>
      <c r="C488" s="37" t="n">
        <v>0.5512207905854647</v>
      </c>
      <c r="D488" s="37" t="n">
        <v>0.7331948430163482</v>
      </c>
      <c r="E488" s="37" t="n">
        <v>0.5297795494790801</v>
      </c>
      <c r="F488" s="37" t="n">
        <v>0.5636946923855077</v>
      </c>
      <c r="G488" s="37" t="n">
        <v>0.6306124662446735</v>
      </c>
      <c r="H488" s="37" t="n">
        <v>0.4834062832671372</v>
      </c>
      <c r="I488" s="40" t="inlineStr">
        <is>
          <t>Inviable</t>
        </is>
      </c>
      <c r="J488" s="29" t="n">
        <v>-2.1991572144227</v>
      </c>
      <c r="K488" s="35" t="n">
        <v>-19.46476959190347</v>
      </c>
      <c r="L488" s="36" t="n">
        <v>1812.748675868637</v>
      </c>
      <c r="M488" s="29" t="n">
        <v>2.526844939250678</v>
      </c>
      <c r="N488" s="16" t="inlineStr">
        <is>
          <t>sí</t>
        </is>
      </c>
      <c r="O488" s="16" t="inlineStr">
        <is>
          <t>O2,O3</t>
        </is>
      </c>
    </row>
    <row r="489">
      <c r="A489" s="16" t="inlineStr">
        <is>
          <t>KF-M05-4-0101</t>
        </is>
      </c>
      <c r="B489" s="35" t="n">
        <v>969.1109883984024</v>
      </c>
      <c r="C489" s="37" t="n">
        <v>0.8479413415898844</v>
      </c>
      <c r="D489" s="37" t="n">
        <v>0.4720417491297297</v>
      </c>
      <c r="E489" s="37" t="n">
        <v>0.608148754013681</v>
      </c>
      <c r="F489" s="37" t="n">
        <v>0.8592016470776687</v>
      </c>
      <c r="G489" s="37" t="n">
        <v>0.4399816093834959</v>
      </c>
      <c r="H489" s="37" t="n">
        <v>0.6325527168310874</v>
      </c>
      <c r="I489" s="32" t="inlineStr">
        <is>
          <t>No convergió</t>
        </is>
      </c>
      <c r="J489" s="29" t="inlineStr">
        <is>
          <t>—</t>
        </is>
      </c>
      <c r="K489" s="35" t="inlineStr">
        <is>
          <t>—</t>
        </is>
      </c>
      <c r="L489" s="36" t="n">
        <v>2030.889011601598</v>
      </c>
      <c r="M489" s="29" t="n">
        <v>3.09562066255996</v>
      </c>
      <c r="N489" s="16" t="inlineStr">
        <is>
          <t>no</t>
        </is>
      </c>
      <c r="O489" s="16" t="n"/>
    </row>
    <row r="490">
      <c r="A490" s="16" t="inlineStr">
        <is>
          <t>KF-M05-4-0102</t>
        </is>
      </c>
      <c r="B490" s="35" t="n">
        <v>1481.028943463043</v>
      </c>
      <c r="C490" s="37" t="n">
        <v>0.5567691950281214</v>
      </c>
      <c r="D490" s="37" t="n">
        <v>0.5303535896503924</v>
      </c>
      <c r="E490" s="37" t="n">
        <v>0.6306918136618075</v>
      </c>
      <c r="F490" s="37" t="n">
        <v>0.6593520863694775</v>
      </c>
      <c r="G490" s="37" t="n">
        <v>0.6125658276407157</v>
      </c>
      <c r="H490" s="37" t="n">
        <v>0.7012523578159353</v>
      </c>
      <c r="I490" s="39" t="inlineStr">
        <is>
          <t>Corregible</t>
        </is>
      </c>
      <c r="J490" s="29" t="n">
        <v>1.79713518882915</v>
      </c>
      <c r="K490" s="35" t="n">
        <v>24.22883908861974</v>
      </c>
      <c r="L490" s="36" t="n">
        <v>1518.971056536957</v>
      </c>
      <c r="M490" s="29" t="n">
        <v>2.025618751909868</v>
      </c>
      <c r="N490" s="16" t="inlineStr">
        <is>
          <t>sí</t>
        </is>
      </c>
      <c r="O490" s="16" t="inlineStr">
        <is>
          <t>O2</t>
        </is>
      </c>
    </row>
    <row r="491">
      <c r="A491" s="16" t="inlineStr">
        <is>
          <t>KF-M05-4-0103</t>
        </is>
      </c>
      <c r="B491" s="35" t="n">
        <v>836.3743523065269</v>
      </c>
      <c r="C491" s="37" t="n">
        <v>0.6550402161790907</v>
      </c>
      <c r="D491" s="37" t="n">
        <v>0.6991260600242284</v>
      </c>
      <c r="E491" s="37" t="n">
        <v>0.8795935625446594</v>
      </c>
      <c r="F491" s="37" t="n">
        <v>0.6614169721740595</v>
      </c>
      <c r="G491" s="37" t="n">
        <v>0.5458008071416698</v>
      </c>
      <c r="H491" s="37" t="n">
        <v>0.810430459904169</v>
      </c>
      <c r="I491" s="39" t="inlineStr">
        <is>
          <t>Corregible</t>
        </is>
      </c>
      <c r="J491" s="29" t="n">
        <v>7.56926425393831</v>
      </c>
      <c r="K491" s="35" t="n">
        <v>108.9833702256906</v>
      </c>
      <c r="L491" s="36" t="n">
        <v>2163.625647693473</v>
      </c>
      <c r="M491" s="29" t="n">
        <v>3.586910564302569</v>
      </c>
      <c r="N491" s="16" t="inlineStr">
        <is>
          <t>sí</t>
        </is>
      </c>
      <c r="O491" s="16" t="inlineStr">
        <is>
          <t>O2</t>
        </is>
      </c>
    </row>
    <row r="492">
      <c r="A492" s="16" t="inlineStr">
        <is>
          <t>KF-M05-4-0104</t>
        </is>
      </c>
      <c r="B492" s="35" t="n">
        <v>1116.146418431082</v>
      </c>
      <c r="C492" s="37" t="n">
        <v>0.6374472717011478</v>
      </c>
      <c r="D492" s="37" t="n">
        <v>0.408856758606152</v>
      </c>
      <c r="E492" s="37" t="n">
        <v>0.6730305598507214</v>
      </c>
      <c r="F492" s="37" t="n">
        <v>0.6543582466306272</v>
      </c>
      <c r="G492" s="37" t="n">
        <v>0.44983481412352</v>
      </c>
      <c r="H492" s="37" t="n">
        <v>0.509642767230632</v>
      </c>
      <c r="I492" s="40" t="inlineStr">
        <is>
          <t>Inviable</t>
        </is>
      </c>
      <c r="J492" s="29" t="n">
        <v>-5.52445303146656</v>
      </c>
      <c r="K492" s="35" t="n">
        <v>-53.05932882191021</v>
      </c>
      <c r="L492" s="36" t="n">
        <v>1883.853581568918</v>
      </c>
      <c r="M492" s="29" t="n">
        <v>2.687819402956978</v>
      </c>
      <c r="N492" s="16" t="inlineStr">
        <is>
          <t>sí</t>
        </is>
      </c>
      <c r="O492" s="16" t="inlineStr">
        <is>
          <t>O2,O3</t>
        </is>
      </c>
    </row>
    <row r="493">
      <c r="A493" s="16" t="inlineStr">
        <is>
          <t>KF-M05-4-0105</t>
        </is>
      </c>
      <c r="B493" s="35" t="n">
        <v>518.4935035506634</v>
      </c>
      <c r="C493" s="37" t="n">
        <v>0.7423169522309858</v>
      </c>
      <c r="D493" s="37" t="n">
        <v>0.7560666769686066</v>
      </c>
      <c r="E493" s="37" t="n">
        <v>0.6575098234772451</v>
      </c>
      <c r="F493" s="37" t="n">
        <v>0.5713129927269166</v>
      </c>
      <c r="G493" s="37" t="n">
        <v>0.6595920550998206</v>
      </c>
      <c r="H493" s="37" t="n">
        <v>0.6238344928494192</v>
      </c>
      <c r="I493" s="40" t="inlineStr">
        <is>
          <t>Inviable</t>
        </is>
      </c>
      <c r="J493" s="29" t="n">
        <v>-5.03899174590812</v>
      </c>
      <c r="K493" s="35" t="n">
        <v>-35.83292835042343</v>
      </c>
      <c r="L493" s="36" t="n">
        <v>2481.506496449337</v>
      </c>
      <c r="M493" s="29" t="n">
        <v>5.785993420276021</v>
      </c>
      <c r="N493" s="16" t="inlineStr">
        <is>
          <t>sí</t>
        </is>
      </c>
      <c r="O493" s="16" t="inlineStr">
        <is>
          <t>O2,O3</t>
        </is>
      </c>
    </row>
    <row r="494">
      <c r="A494" s="16" t="inlineStr">
        <is>
          <t>KF-M05-4-0106</t>
        </is>
      </c>
      <c r="B494" s="35" t="n">
        <v>340.4805605327427</v>
      </c>
      <c r="C494" s="37" t="n">
        <v>0.6850874400579046</v>
      </c>
      <c r="D494" s="37" t="n">
        <v>0.4399632055401686</v>
      </c>
      <c r="E494" s="37" t="n">
        <v>0.5206010847555508</v>
      </c>
      <c r="F494" s="37" t="n">
        <v>0.5373741182776102</v>
      </c>
      <c r="G494" s="37" t="n">
        <v>0.6027516936753968</v>
      </c>
      <c r="H494" s="37" t="n">
        <v>0.8672497730692061</v>
      </c>
      <c r="I494" s="40" t="inlineStr">
        <is>
          <t>Inviable</t>
        </is>
      </c>
      <c r="J494" s="29" t="n">
        <v>-16.07706778768398</v>
      </c>
      <c r="K494" s="35" t="n">
        <v>-134.5268244908904</v>
      </c>
      <c r="L494" s="36" t="n">
        <v>2659.519439467257</v>
      </c>
      <c r="M494" s="29" t="n">
        <v>8.811075719876527</v>
      </c>
      <c r="N494" s="16" t="inlineStr">
        <is>
          <t>sí</t>
        </is>
      </c>
      <c r="O494" s="16" t="inlineStr">
        <is>
          <t>O2,O3</t>
        </is>
      </c>
    </row>
    <row r="495">
      <c r="A495" s="16" t="inlineStr">
        <is>
          <t>KF-M05-4-0107</t>
        </is>
      </c>
      <c r="B495" s="35" t="n">
        <v>1231.21085181728</v>
      </c>
      <c r="C495" s="37" t="n">
        <v>0.841766588618144</v>
      </c>
      <c r="D495" s="37" t="n">
        <v>0.6220793925292364</v>
      </c>
      <c r="E495" s="37" t="n">
        <v>0.7691055830068274</v>
      </c>
      <c r="F495" s="37" t="n">
        <v>0.7515600360105199</v>
      </c>
      <c r="G495" s="37" t="n">
        <v>0.5379060929639372</v>
      </c>
      <c r="H495" s="37" t="n">
        <v>0.652581379039012</v>
      </c>
      <c r="I495" s="32" t="inlineStr">
        <is>
          <t>No convergió</t>
        </is>
      </c>
      <c r="J495" s="29" t="inlineStr">
        <is>
          <t>—</t>
        </is>
      </c>
      <c r="K495" s="35" t="inlineStr">
        <is>
          <t>—</t>
        </is>
      </c>
      <c r="L495" s="36" t="n">
        <v>1768.78914818272</v>
      </c>
      <c r="M495" s="29" t="n">
        <v>2.436625697029854</v>
      </c>
      <c r="N495" s="16" t="inlineStr">
        <is>
          <t>no</t>
        </is>
      </c>
      <c r="O495" s="16" t="n"/>
    </row>
    <row r="496">
      <c r="A496" s="16" t="inlineStr">
        <is>
          <t>KF-M05-4-0108</t>
        </is>
      </c>
      <c r="B496" s="35" t="n">
        <v>1774.563414524257</v>
      </c>
      <c r="C496" s="37" t="n">
        <v>0.6831851835164369</v>
      </c>
      <c r="D496" s="37" t="n">
        <v>0.9046691121915148</v>
      </c>
      <c r="E496" s="37" t="n">
        <v>0.9404647784557124</v>
      </c>
      <c r="F496" s="37" t="n">
        <v>0.7679973771941926</v>
      </c>
      <c r="G496" s="37" t="n">
        <v>0.4114125248489351</v>
      </c>
      <c r="H496" s="37" t="n">
        <v>0.7760700653682583</v>
      </c>
      <c r="I496" s="39" t="inlineStr">
        <is>
          <t>Corregible</t>
        </is>
      </c>
      <c r="J496" s="29" t="n">
        <v>4.6144076354146</v>
      </c>
      <c r="K496" s="35" t="n">
        <v>72.82076163892349</v>
      </c>
      <c r="L496" s="36" t="n">
        <v>1225.436585475743</v>
      </c>
      <c r="M496" s="29" t="n">
        <v>1.69055666055432</v>
      </c>
      <c r="N496" s="16" t="inlineStr">
        <is>
          <t>sí</t>
        </is>
      </c>
      <c r="O496" s="16" t="inlineStr">
        <is>
          <t>O2</t>
        </is>
      </c>
    </row>
    <row r="497">
      <c r="A497" s="16" t="inlineStr">
        <is>
          <t>KF-M05-4-0109</t>
        </is>
      </c>
      <c r="B497" s="35" t="n">
        <v>442.8481545128487</v>
      </c>
      <c r="C497" s="37" t="n">
        <v>0.5244297991410477</v>
      </c>
      <c r="D497" s="37" t="n">
        <v>0.933024040317234</v>
      </c>
      <c r="E497" s="37" t="n">
        <v>0.708467580774729</v>
      </c>
      <c r="F497" s="37" t="n">
        <v>0.893320609986811</v>
      </c>
      <c r="G497" s="37" t="n">
        <v>0.4781977228833377</v>
      </c>
      <c r="H497" s="37" t="n">
        <v>0.488941264779215</v>
      </c>
      <c r="I497" s="32" t="inlineStr">
        <is>
          <t>No convergió</t>
        </is>
      </c>
      <c r="J497" s="29" t="inlineStr">
        <is>
          <t>—</t>
        </is>
      </c>
      <c r="K497" s="35" t="inlineStr">
        <is>
          <t>—</t>
        </is>
      </c>
      <c r="L497" s="36" t="n">
        <v>2557.151845487151</v>
      </c>
      <c r="M497" s="29" t="n">
        <v>6.774331041980122</v>
      </c>
      <c r="N497" s="16" t="inlineStr">
        <is>
          <t>no</t>
        </is>
      </c>
      <c r="O497" s="16" t="n"/>
    </row>
    <row r="498">
      <c r="A498" s="16" t="inlineStr">
        <is>
          <t>KF-M05-4-0110</t>
        </is>
      </c>
      <c r="B498" s="35" t="n">
        <v>1092.779970317365</v>
      </c>
      <c r="C498" s="37" t="n">
        <v>0.7653172929536274</v>
      </c>
      <c r="D498" s="37" t="n">
        <v>0.7372393047178903</v>
      </c>
      <c r="E498" s="37" t="n">
        <v>0.7908388597237379</v>
      </c>
      <c r="F498" s="37" t="n">
        <v>0.4337094745487673</v>
      </c>
      <c r="G498" s="37" t="n">
        <v>0.5130916583999143</v>
      </c>
      <c r="H498" s="37" t="n">
        <v>0.40216648025934</v>
      </c>
      <c r="I498" s="40" t="inlineStr">
        <is>
          <t>Inviable</t>
        </is>
      </c>
      <c r="J498" s="29" t="n">
        <v>-0.60359429313949</v>
      </c>
      <c r="K498" s="35" t="n">
        <v>-3.572668927241494</v>
      </c>
      <c r="L498" s="36" t="n">
        <v>1907.220029682635</v>
      </c>
      <c r="M498" s="29" t="n">
        <v>2.745291899089932</v>
      </c>
      <c r="N498" s="16" t="inlineStr">
        <is>
          <t>sí</t>
        </is>
      </c>
      <c r="O498" s="16" t="inlineStr">
        <is>
          <t>O2,O3</t>
        </is>
      </c>
    </row>
    <row r="499">
      <c r="A499" s="16" t="inlineStr">
        <is>
          <t>KF-M05-4-0111</t>
        </is>
      </c>
      <c r="B499" s="35" t="n">
        <v>1569.858243825333</v>
      </c>
      <c r="C499" s="37" t="n">
        <v>0.8098826014551939</v>
      </c>
      <c r="D499" s="37" t="n">
        <v>0.7049875848988321</v>
      </c>
      <c r="E499" s="37" t="n">
        <v>0.7872893411706769</v>
      </c>
      <c r="F499" s="37" t="n">
        <v>0.5041598161894829</v>
      </c>
      <c r="G499" s="37" t="n">
        <v>0.4767525876685652</v>
      </c>
      <c r="H499" s="37" t="n">
        <v>0.4819680559983731</v>
      </c>
      <c r="I499" s="39" t="inlineStr">
        <is>
          <t>Corregible</t>
        </is>
      </c>
      <c r="J499" s="29" t="n">
        <v>1.04415030313812</v>
      </c>
      <c r="K499" s="35" t="n">
        <v>7.642399995739268</v>
      </c>
      <c r="L499" s="36" t="n">
        <v>1430.141756174667</v>
      </c>
      <c r="M499" s="29" t="n">
        <v>1.911000570783886</v>
      </c>
      <c r="N499" s="16" t="inlineStr">
        <is>
          <t>sí</t>
        </is>
      </c>
      <c r="O499" s="16" t="inlineStr">
        <is>
          <t>O2</t>
        </is>
      </c>
    </row>
    <row r="500">
      <c r="A500" s="16" t="inlineStr">
        <is>
          <t>KF-M05-4-0112</t>
        </is>
      </c>
      <c r="B500" s="35" t="n">
        <v>1801.301886600328</v>
      </c>
      <c r="C500" s="37" t="n">
        <v>0.8076091525380407</v>
      </c>
      <c r="D500" s="37" t="n">
        <v>0.8393459029470506</v>
      </c>
      <c r="E500" s="37" t="n">
        <v>0.4788417571073514</v>
      </c>
      <c r="F500" s="37" t="n">
        <v>0.8726004343101506</v>
      </c>
      <c r="G500" s="37" t="n">
        <v>0.4875064050952192</v>
      </c>
      <c r="H500" s="37" t="n">
        <v>0.5422058761397872</v>
      </c>
      <c r="I500" s="32" t="inlineStr">
        <is>
          <t>No convergió</t>
        </is>
      </c>
      <c r="J500" s="29" t="inlineStr">
        <is>
          <t>—</t>
        </is>
      </c>
      <c r="K500" s="35" t="inlineStr">
        <is>
          <t>—</t>
        </is>
      </c>
      <c r="L500" s="36" t="n">
        <v>1198.698113399672</v>
      </c>
      <c r="M500" s="29" t="n">
        <v>1.665462087347293</v>
      </c>
      <c r="N500" s="16" t="inlineStr">
        <is>
          <t>no</t>
        </is>
      </c>
      <c r="O500" s="16" t="n"/>
    </row>
    <row r="501">
      <c r="A501" s="16" t="inlineStr">
        <is>
          <t>KF-M05-4-0113</t>
        </is>
      </c>
      <c r="B501" s="35" t="n">
        <v>1078.400243366366</v>
      </c>
      <c r="C501" s="37" t="n">
        <v>0.552588461194808</v>
      </c>
      <c r="D501" s="37" t="n">
        <v>0.8525483246186483</v>
      </c>
      <c r="E501" s="37" t="n">
        <v>0.4454200249819117</v>
      </c>
      <c r="F501" s="37" t="n">
        <v>0.7768330176153515</v>
      </c>
      <c r="G501" s="37" t="n">
        <v>0.4198614456449754</v>
      </c>
      <c r="H501" s="37" t="n">
        <v>0.52130039552218</v>
      </c>
      <c r="I501" s="32" t="inlineStr">
        <is>
          <t>No convergió</t>
        </is>
      </c>
      <c r="J501" s="29" t="inlineStr">
        <is>
          <t>—</t>
        </is>
      </c>
      <c r="K501" s="35" t="inlineStr">
        <is>
          <t>—</t>
        </is>
      </c>
      <c r="L501" s="36" t="n">
        <v>1921.599756633634</v>
      </c>
      <c r="M501" s="29" t="n">
        <v>2.781898481991353</v>
      </c>
      <c r="N501" s="16" t="inlineStr">
        <is>
          <t>no</t>
        </is>
      </c>
      <c r="O501" s="16" t="n"/>
    </row>
    <row r="502">
      <c r="A502" s="16" t="inlineStr">
        <is>
          <t>KF-M05-4-0114</t>
        </is>
      </c>
      <c r="B502" s="35" t="n">
        <v>1677.964427433408</v>
      </c>
      <c r="C502" s="37" t="n">
        <v>0.6599773086541001</v>
      </c>
      <c r="D502" s="37" t="n">
        <v>0.4884774906051257</v>
      </c>
      <c r="E502" s="37" t="n">
        <v>0.7715090730738807</v>
      </c>
      <c r="F502" s="37" t="n">
        <v>0.6419259043210028</v>
      </c>
      <c r="G502" s="37" t="n">
        <v>0.515057901781378</v>
      </c>
      <c r="H502" s="37" t="n">
        <v>0.412077640834481</v>
      </c>
      <c r="I502" s="32" t="inlineStr">
        <is>
          <t>No convergió</t>
        </is>
      </c>
      <c r="J502" s="29" t="inlineStr">
        <is>
          <t>—</t>
        </is>
      </c>
      <c r="K502" s="35" t="inlineStr">
        <is>
          <t>—</t>
        </is>
      </c>
      <c r="L502" s="36" t="n">
        <v>1322.035572566592</v>
      </c>
      <c r="M502" s="29" t="n">
        <v>1.787880571812097</v>
      </c>
      <c r="N502" s="16" t="inlineStr">
        <is>
          <t>no</t>
        </is>
      </c>
      <c r="O502" s="16" t="n"/>
    </row>
    <row r="503">
      <c r="A503" s="16" t="inlineStr">
        <is>
          <t>KF-M05-4-0115</t>
        </is>
      </c>
      <c r="B503" s="35" t="n">
        <v>1812.737713808277</v>
      </c>
      <c r="C503" s="37" t="n">
        <v>0.8380332648046387</v>
      </c>
      <c r="D503" s="37" t="n">
        <v>0.8829651787036186</v>
      </c>
      <c r="E503" s="37" t="n">
        <v>0.4003748065918531</v>
      </c>
      <c r="F503" s="37" t="n">
        <v>0.5100965732455374</v>
      </c>
      <c r="G503" s="37" t="n">
        <v>0.8195504526416268</v>
      </c>
      <c r="H503" s="37" t="n">
        <v>0.6738002819107509</v>
      </c>
      <c r="I503" s="39" t="inlineStr">
        <is>
          <t>Corregible</t>
        </is>
      </c>
      <c r="J503" s="29" t="n">
        <v>2.26373098488837</v>
      </c>
      <c r="K503" s="35" t="n">
        <v>20.28819780646839</v>
      </c>
      <c r="L503" s="36" t="n">
        <v>1187.262286191723</v>
      </c>
      <c r="M503" s="29" t="n">
        <v>1.6549553623494</v>
      </c>
      <c r="N503" s="16" t="inlineStr">
        <is>
          <t>no</t>
        </is>
      </c>
      <c r="O503" s="16" t="inlineStr">
        <is>
          <t>O2</t>
        </is>
      </c>
    </row>
    <row r="504">
      <c r="A504" s="16" t="inlineStr">
        <is>
          <t>KF-M05-4-0116</t>
        </is>
      </c>
      <c r="B504" s="35" t="n">
        <v>1967.420637620742</v>
      </c>
      <c r="C504" s="37" t="n">
        <v>0.8208441997574155</v>
      </c>
      <c r="D504" s="37" t="n">
        <v>0.6531860937120413</v>
      </c>
      <c r="E504" s="37" t="n">
        <v>0.8383233650312771</v>
      </c>
      <c r="F504" s="37" t="n">
        <v>0.5274957010917739</v>
      </c>
      <c r="G504" s="37" t="n">
        <v>0.5990155007862484</v>
      </c>
      <c r="H504" s="37" t="n">
        <v>0.7028499037071654</v>
      </c>
      <c r="I504" s="39" t="inlineStr">
        <is>
          <t>Corregible</t>
        </is>
      </c>
      <c r="J504" s="29" t="n">
        <v>2.51618409927005</v>
      </c>
      <c r="K504" s="35" t="n">
        <v>24.47404450699366</v>
      </c>
      <c r="L504" s="36" t="n">
        <v>1032.579362379258</v>
      </c>
      <c r="M504" s="29" t="n">
        <v>1.524839143513299</v>
      </c>
      <c r="N504" s="16" t="inlineStr">
        <is>
          <t>no</t>
        </is>
      </c>
      <c r="O504" s="16" t="inlineStr">
        <is>
          <t>O2</t>
        </is>
      </c>
    </row>
    <row r="505">
      <c r="A505" s="16" t="inlineStr">
        <is>
          <t>KF-M05-4-0117</t>
        </is>
      </c>
      <c r="B505" s="35" t="n">
        <v>461.3153552063314</v>
      </c>
      <c r="C505" s="37" t="n">
        <v>0.7758428759835099</v>
      </c>
      <c r="D505" s="37" t="n">
        <v>0.8143564133971544</v>
      </c>
      <c r="E505" s="37" t="n">
        <v>0.8140594133197598</v>
      </c>
      <c r="F505" s="37" t="n">
        <v>0.5458386701860828</v>
      </c>
      <c r="G505" s="37" t="n">
        <v>0.7198228637755583</v>
      </c>
      <c r="H505" s="37" t="n">
        <v>0.5295563959968693</v>
      </c>
      <c r="I505" s="32" t="inlineStr">
        <is>
          <t>No convergió</t>
        </is>
      </c>
      <c r="J505" s="29" t="inlineStr">
        <is>
          <t>—</t>
        </is>
      </c>
      <c r="K505" s="35" t="inlineStr">
        <is>
          <t>—</t>
        </is>
      </c>
      <c r="L505" s="36" t="n">
        <v>2538.684644793669</v>
      </c>
      <c r="M505" s="29" t="n">
        <v>6.503143600451359</v>
      </c>
      <c r="N505" s="16" t="inlineStr">
        <is>
          <t>no</t>
        </is>
      </c>
      <c r="O505" s="16" t="n"/>
    </row>
    <row r="506">
      <c r="A506" s="16" t="inlineStr">
        <is>
          <t>KF-M05-4-0118</t>
        </is>
      </c>
      <c r="B506" s="35" t="n">
        <v>1105.022250940919</v>
      </c>
      <c r="C506" s="37" t="n">
        <v>0.5201064770535626</v>
      </c>
      <c r="D506" s="37" t="n">
        <v>0.4553386422590642</v>
      </c>
      <c r="E506" s="37" t="n">
        <v>0.7415645321997866</v>
      </c>
      <c r="F506" s="37" t="n">
        <v>0.8026814487199451</v>
      </c>
      <c r="G506" s="37" t="n">
        <v>0.4828044546530698</v>
      </c>
      <c r="H506" s="37" t="n">
        <v>0.9382817120445428</v>
      </c>
      <c r="I506" s="42" t="inlineStr">
        <is>
          <t>KALINA</t>
        </is>
      </c>
      <c r="J506" s="29" t="n">
        <v>3.7361006984214</v>
      </c>
      <c r="K506" s="35" t="n">
        <v>76.99406646148795</v>
      </c>
      <c r="L506" s="36" t="n">
        <v>1894.977749059081</v>
      </c>
      <c r="M506" s="29" t="n">
        <v>2.71487745830052</v>
      </c>
      <c r="N506" s="16" t="inlineStr">
        <is>
          <t>sí</t>
        </is>
      </c>
      <c r="O506" s="16" t="n"/>
    </row>
    <row r="507">
      <c r="A507" s="16" t="inlineStr">
        <is>
          <t>KF-M05-4-0119</t>
        </is>
      </c>
      <c r="B507" s="35" t="n">
        <v>1046.365715679649</v>
      </c>
      <c r="C507" s="37" t="n">
        <v>0.6789178270246243</v>
      </c>
      <c r="D507" s="37" t="n">
        <v>0.5262836367487054</v>
      </c>
      <c r="E507" s="37" t="n">
        <v>0.5439414367925711</v>
      </c>
      <c r="F507" s="37" t="n">
        <v>0.6038853400117644</v>
      </c>
      <c r="G507" s="37" t="n">
        <v>0.6796331680460839</v>
      </c>
      <c r="H507" s="37" t="n">
        <v>0.8502386995557611</v>
      </c>
      <c r="I507" s="39" t="inlineStr">
        <is>
          <t>Corregible</t>
        </is>
      </c>
      <c r="J507" s="29" t="n">
        <v>4.53327738323397</v>
      </c>
      <c r="K507" s="35" t="n">
        <v>60.51702453091279</v>
      </c>
      <c r="L507" s="36" t="n">
        <v>1953.634284320351</v>
      </c>
      <c r="M507" s="29" t="n">
        <v>2.867066413822056</v>
      </c>
      <c r="N507" s="16" t="inlineStr">
        <is>
          <t>sí</t>
        </is>
      </c>
      <c r="O507" s="16" t="inlineStr">
        <is>
          <t>O2</t>
        </is>
      </c>
    </row>
    <row r="508"/>
    <row r="509">
      <c r="A509" s="33" t="inlineStr">
        <is>
          <t>Parte 4.1e · conserva su fuente y su x_b · 119 puntos</t>
        </is>
      </c>
      <c r="B509" s="31" t="n"/>
      <c r="C509" s="31" t="n"/>
      <c r="D509" s="31" t="n"/>
      <c r="E509" s="31" t="n"/>
      <c r="F509" s="31" t="n"/>
      <c r="G509" s="31" t="n"/>
      <c r="H509" s="31" t="n"/>
      <c r="I509" s="31" t="n"/>
      <c r="J509" s="31" t="n"/>
      <c r="K509" s="31" t="n"/>
      <c r="T509" s="24" t="inlineStr">
        <is>
          <t>Figura 4.1-5 · Parte 4.1e (conserva su fuente y su composición, T_fuente y x_b): 10 KALINA de 119 evaluados, 0 confiables</t>
        </is>
      </c>
    </row>
    <row r="510"/>
    <row r="511">
      <c r="A511" s="34" t="inlineStr">
        <is>
          <t>Barrido de la parte 4.1e · 119 puntos</t>
        </is>
      </c>
    </row>
    <row r="512">
      <c r="A512" s="25" t="inlineStr">
        <is>
          <t>Fijos en este barrido: T_fuente = 623.15, x_b = 0.5.</t>
        </is>
      </c>
    </row>
    <row r="513">
      <c r="A513" s="22" t="inlineStr">
        <is>
          <t>id_punto</t>
        </is>
      </c>
      <c r="B513" s="22" t="inlineStr">
        <is>
          <t>T_sumidero [K]</t>
        </is>
      </c>
      <c r="C513" s="22" t="inlineStr">
        <is>
          <t>P_alta [kPa]</t>
        </is>
      </c>
      <c r="D513" s="22" t="inlineStr">
        <is>
          <t>P_baja [kPa]</t>
        </is>
      </c>
      <c r="E513" s="22" t="inlineStr">
        <is>
          <t>η_t [–]</t>
        </is>
      </c>
      <c r="F513" s="22" t="inlineStr">
        <is>
          <t>η_p [–]</t>
        </is>
      </c>
      <c r="G513" s="22" t="inlineStr">
        <is>
          <t>ε_HRVG [–]</t>
        </is>
      </c>
      <c r="H513" s="22" t="inlineStr">
        <is>
          <t>ε_reg [–]</t>
        </is>
      </c>
      <c r="I513" s="22" t="inlineStr">
        <is>
          <t>ε_cond [–]</t>
        </is>
      </c>
      <c r="J513" s="22" t="inlineStr">
        <is>
          <t>Clase</t>
        </is>
      </c>
      <c r="K513" s="22" t="inlineStr">
        <is>
          <t>η [%]</t>
        </is>
      </c>
      <c r="L513" s="22" t="inlineStr">
        <is>
          <t>W_net [kW] (m_b = 1 kg/s)</t>
        </is>
      </c>
      <c r="M513" s="22" t="inlineStr">
        <is>
          <t>ΔP [kPa]</t>
        </is>
      </c>
      <c r="N513" s="22" t="inlineStr">
        <is>
          <t>r_P [–]</t>
        </is>
      </c>
      <c r="O513" s="22" t="inlineStr">
        <is>
          <t>Fuera de rango</t>
        </is>
      </c>
      <c r="P513" s="22" t="inlineStr">
        <is>
          <t>Criterios que falla</t>
        </is>
      </c>
    </row>
    <row r="514">
      <c r="A514" s="16" t="inlineStr">
        <is>
          <t>KF-M05-5-0000</t>
        </is>
      </c>
      <c r="B514" s="35" t="n">
        <v>298.6943248147541</v>
      </c>
      <c r="C514" s="36" t="n">
        <v>3696.521691421201</v>
      </c>
      <c r="D514" s="35" t="n">
        <v>1623.333334050623</v>
      </c>
      <c r="E514" s="37" t="n">
        <v>0.9355408628192456</v>
      </c>
      <c r="F514" s="37" t="n">
        <v>0.7278045531880982</v>
      </c>
      <c r="G514" s="37" t="n">
        <v>0.9231664350593018</v>
      </c>
      <c r="H514" s="37" t="n">
        <v>0.4930278563642847</v>
      </c>
      <c r="I514" s="37" t="n">
        <v>0.522803413741783</v>
      </c>
      <c r="J514" s="32" t="inlineStr">
        <is>
          <t>No convergió</t>
        </is>
      </c>
      <c r="K514" s="29" t="inlineStr">
        <is>
          <t>—</t>
        </is>
      </c>
      <c r="L514" s="35" t="inlineStr">
        <is>
          <t>—</t>
        </is>
      </c>
      <c r="M514" s="36" t="n">
        <v>2073.188357370578</v>
      </c>
      <c r="N514" s="29" t="n">
        <v>2.277118084058223</v>
      </c>
      <c r="O514" s="16" t="inlineStr">
        <is>
          <t>no</t>
        </is>
      </c>
      <c r="P514" s="16" t="n"/>
    </row>
    <row r="515">
      <c r="A515" s="16" t="inlineStr">
        <is>
          <t>KF-M05-5-0001</t>
        </is>
      </c>
      <c r="B515" s="35" t="n">
        <v>285.792877700477</v>
      </c>
      <c r="C515" s="36" t="n">
        <v>4259.735485157707</v>
      </c>
      <c r="D515" s="35" t="n">
        <v>1333.812203890947</v>
      </c>
      <c r="E515" s="37" t="n">
        <v>0.8186779006805416</v>
      </c>
      <c r="F515" s="37" t="n">
        <v>0.6263645177406469</v>
      </c>
      <c r="G515" s="37" t="n">
        <v>0.7861177588270256</v>
      </c>
      <c r="H515" s="37" t="n">
        <v>0.4026455857810592</v>
      </c>
      <c r="I515" s="37" t="n">
        <v>0.4183602424632275</v>
      </c>
      <c r="J515" s="32" t="inlineStr">
        <is>
          <t>No convergió</t>
        </is>
      </c>
      <c r="K515" s="29" t="inlineStr">
        <is>
          <t>—</t>
        </is>
      </c>
      <c r="L515" s="35" t="inlineStr">
        <is>
          <t>—</t>
        </is>
      </c>
      <c r="M515" s="36" t="n">
        <v>2925.923281266761</v>
      </c>
      <c r="N515" s="29" t="n">
        <v>3.193654603497678</v>
      </c>
      <c r="O515" s="16" t="inlineStr">
        <is>
          <t>no</t>
        </is>
      </c>
      <c r="P515" s="16" t="n"/>
    </row>
    <row r="516">
      <c r="A516" s="16" t="inlineStr">
        <is>
          <t>KF-M05-5-0002</t>
        </is>
      </c>
      <c r="B516" s="35" t="n">
        <v>293.9570831222392</v>
      </c>
      <c r="C516" s="36" t="n">
        <v>2398.900733607323</v>
      </c>
      <c r="D516" s="35" t="n">
        <v>1999.256496404628</v>
      </c>
      <c r="E516" s="37" t="n">
        <v>0.629199434919313</v>
      </c>
      <c r="F516" s="37" t="n">
        <v>0.7837551148376365</v>
      </c>
      <c r="G516" s="37" t="n">
        <v>0.7477809644897682</v>
      </c>
      <c r="H516" s="37" t="n">
        <v>0.7451043816170759</v>
      </c>
      <c r="I516" s="37" t="n">
        <v>0.4467366980401533</v>
      </c>
      <c r="J516" s="32" t="inlineStr">
        <is>
          <t>No convergió</t>
        </is>
      </c>
      <c r="K516" s="29" t="inlineStr">
        <is>
          <t>—</t>
        </is>
      </c>
      <c r="L516" s="35" t="inlineStr">
        <is>
          <t>—</t>
        </is>
      </c>
      <c r="M516" s="36" t="n">
        <v>399.6442372026947</v>
      </c>
      <c r="N516" s="29" t="n">
        <v>1.199896430458721</v>
      </c>
      <c r="O516" s="16" t="inlineStr">
        <is>
          <t>no</t>
        </is>
      </c>
      <c r="P516" s="16" t="n"/>
    </row>
    <row r="517">
      <c r="A517" s="16" t="inlineStr">
        <is>
          <t>KF-M05-5-0003</t>
        </is>
      </c>
      <c r="B517" s="35" t="n">
        <v>288.1800670076448</v>
      </c>
      <c r="C517" s="36" t="n">
        <v>3850.822822006674</v>
      </c>
      <c r="D517" s="35" t="n">
        <v>417.9409333174801</v>
      </c>
      <c r="E517" s="37" t="n">
        <v>0.5908102157691023</v>
      </c>
      <c r="F517" s="37" t="n">
        <v>0.415756968673867</v>
      </c>
      <c r="G517" s="37" t="n">
        <v>0.5754733237181612</v>
      </c>
      <c r="H517" s="37" t="n">
        <v>0.4080309947787325</v>
      </c>
      <c r="I517" s="37" t="n">
        <v>0.8601501381429537</v>
      </c>
      <c r="J517" s="39" t="inlineStr">
        <is>
          <t>Corregible</t>
        </is>
      </c>
      <c r="K517" s="29" t="n">
        <v>8.832147764746789</v>
      </c>
      <c r="L517" s="35" t="n">
        <v>125.0943519928301</v>
      </c>
      <c r="M517" s="36" t="n">
        <v>3432.881888689194</v>
      </c>
      <c r="N517" s="29" t="n">
        <v>9.213796771328637</v>
      </c>
      <c r="O517" s="16" t="inlineStr">
        <is>
          <t>sí</t>
        </is>
      </c>
      <c r="P517" s="16" t="inlineStr">
        <is>
          <t>O2</t>
        </is>
      </c>
    </row>
    <row r="518">
      <c r="A518" s="16" t="inlineStr">
        <is>
          <t>KF-M05-5-0004</t>
        </is>
      </c>
      <c r="B518" s="35" t="n">
        <v>287.5165510717587</v>
      </c>
      <c r="C518" s="36" t="n">
        <v>4954.935104723754</v>
      </c>
      <c r="D518" s="35" t="n">
        <v>300.7846846856282</v>
      </c>
      <c r="E518" s="37" t="n">
        <v>0.6912457286366118</v>
      </c>
      <c r="F518" s="37" t="n">
        <v>0.5696386578303997</v>
      </c>
      <c r="G518" s="37" t="n">
        <v>0.7811454511270564</v>
      </c>
      <c r="H518" s="37" t="n">
        <v>0.752470523057218</v>
      </c>
      <c r="I518" s="37" t="n">
        <v>0.698212965819426</v>
      </c>
      <c r="J518" s="39" t="inlineStr">
        <is>
          <t>Corregible</t>
        </is>
      </c>
      <c r="K518" s="29" t="n">
        <v>9.614410701999471</v>
      </c>
      <c r="L518" s="35" t="n">
        <v>148.8526141072059</v>
      </c>
      <c r="M518" s="36" t="n">
        <v>4654.150420038126</v>
      </c>
      <c r="N518" s="29" t="n">
        <v>16.47336236518331</v>
      </c>
      <c r="O518" s="16" t="inlineStr">
        <is>
          <t>sí</t>
        </is>
      </c>
      <c r="P518" s="16" t="inlineStr">
        <is>
          <t>O1,O2</t>
        </is>
      </c>
    </row>
    <row r="519">
      <c r="A519" s="16" t="inlineStr">
        <is>
          <t>KF-M05-5-0005</t>
        </is>
      </c>
      <c r="B519" s="35" t="n">
        <v>298.5758950875044</v>
      </c>
      <c r="C519" s="36" t="n">
        <v>4134.748966412524</v>
      </c>
      <c r="D519" s="35" t="n">
        <v>689.6020841936819</v>
      </c>
      <c r="E519" s="37" t="n">
        <v>0.863713522818377</v>
      </c>
      <c r="F519" s="37" t="n">
        <v>0.4247653728395726</v>
      </c>
      <c r="G519" s="37" t="n">
        <v>0.4650537438552097</v>
      </c>
      <c r="H519" s="37" t="n">
        <v>0.8285818361694091</v>
      </c>
      <c r="I519" s="37" t="n">
        <v>0.5246730399762811</v>
      </c>
      <c r="J519" s="40" t="inlineStr">
        <is>
          <t>Inviable</t>
        </is>
      </c>
      <c r="K519" s="29" t="n">
        <v>-0.90871104821699</v>
      </c>
      <c r="L519" s="35" t="n">
        <v>-7.341222281706479</v>
      </c>
      <c r="M519" s="36" t="n">
        <v>3445.146882218842</v>
      </c>
      <c r="N519" s="29" t="n">
        <v>5.995847549166103</v>
      </c>
      <c r="O519" s="16" t="inlineStr">
        <is>
          <t>sí</t>
        </is>
      </c>
      <c r="P519" s="16" t="inlineStr">
        <is>
          <t>O2,O3</t>
        </is>
      </c>
    </row>
    <row r="520">
      <c r="A520" s="16" t="inlineStr">
        <is>
          <t>KF-M05-5-0006</t>
        </is>
      </c>
      <c r="B520" s="35" t="n">
        <v>296.5111437182537</v>
      </c>
      <c r="C520" s="36" t="n">
        <v>3898.314040768245</v>
      </c>
      <c r="D520" s="35" t="n">
        <v>482.2514475058168</v>
      </c>
      <c r="E520" s="37" t="n">
        <v>0.5077257037324319</v>
      </c>
      <c r="F520" s="37" t="n">
        <v>0.4303872197848844</v>
      </c>
      <c r="G520" s="37" t="n">
        <v>0.868521875659808</v>
      </c>
      <c r="H520" s="37" t="n">
        <v>0.882412516270382</v>
      </c>
      <c r="I520" s="37" t="n">
        <v>0.6915636678318666</v>
      </c>
      <c r="J520" s="32" t="inlineStr">
        <is>
          <t>No convergió</t>
        </is>
      </c>
      <c r="K520" s="29" t="inlineStr">
        <is>
          <t>—</t>
        </is>
      </c>
      <c r="L520" s="35" t="inlineStr">
        <is>
          <t>—</t>
        </is>
      </c>
      <c r="M520" s="36" t="n">
        <v>3416.062593262428</v>
      </c>
      <c r="N520" s="29" t="n">
        <v>8.08357146656615</v>
      </c>
      <c r="O520" s="16" t="inlineStr">
        <is>
          <t>no</t>
        </is>
      </c>
      <c r="P520" s="16" t="n"/>
    </row>
    <row r="521">
      <c r="A521" s="16" t="inlineStr">
        <is>
          <t>KF-M05-5-0007</t>
        </is>
      </c>
      <c r="B521" s="35" t="n">
        <v>292.2812481810901</v>
      </c>
      <c r="C521" s="36" t="n">
        <v>4547.99780172768</v>
      </c>
      <c r="D521" s="35" t="n">
        <v>437.4191915998528</v>
      </c>
      <c r="E521" s="37" t="n">
        <v>0.4318978508326516</v>
      </c>
      <c r="F521" s="37" t="n">
        <v>0.6903608354697245</v>
      </c>
      <c r="G521" s="37" t="n">
        <v>0.439861565695864</v>
      </c>
      <c r="H521" s="37" t="n">
        <v>0.4434074638215983</v>
      </c>
      <c r="I521" s="37" t="n">
        <v>0.6050351454045397</v>
      </c>
      <c r="J521" s="40" t="inlineStr">
        <is>
          <t>Inviable</t>
        </is>
      </c>
      <c r="K521" s="29" t="n">
        <v>-0.82735321786688</v>
      </c>
      <c r="L521" s="35" t="n">
        <v>-7.314528308568512</v>
      </c>
      <c r="M521" s="36" t="n">
        <v>4110.578610127827</v>
      </c>
      <c r="N521" s="29" t="n">
        <v>10.3973439873396</v>
      </c>
      <c r="O521" s="16" t="inlineStr">
        <is>
          <t>sí</t>
        </is>
      </c>
      <c r="P521" s="16" t="inlineStr">
        <is>
          <t>O2,O3</t>
        </is>
      </c>
    </row>
    <row r="522">
      <c r="A522" s="16" t="inlineStr">
        <is>
          <t>KF-M05-5-0008</t>
        </is>
      </c>
      <c r="B522" s="35" t="n">
        <v>288.4512331567851</v>
      </c>
      <c r="C522" s="36" t="n">
        <v>3375.557229316533</v>
      </c>
      <c r="D522" s="35" t="n">
        <v>1918.091984588147</v>
      </c>
      <c r="E522" s="37" t="n">
        <v>0.5793841313850052</v>
      </c>
      <c r="F522" s="37" t="n">
        <v>0.704336991975093</v>
      </c>
      <c r="G522" s="37" t="n">
        <v>0.7307089167314562</v>
      </c>
      <c r="H522" s="37" t="n">
        <v>0.5644857761265566</v>
      </c>
      <c r="I522" s="37" t="n">
        <v>0.4966791928987666</v>
      </c>
      <c r="J522" s="39" t="inlineStr">
        <is>
          <t>Corregible</t>
        </is>
      </c>
      <c r="K522" s="29" t="n">
        <v>0.07176526076065</v>
      </c>
      <c r="L522" s="35" t="n">
        <v>0.8206004830075173</v>
      </c>
      <c r="M522" s="36" t="n">
        <v>1457.465244728386</v>
      </c>
      <c r="N522" s="29" t="n">
        <v>1.759851590246509</v>
      </c>
      <c r="O522" s="16" t="inlineStr">
        <is>
          <t>sí</t>
        </is>
      </c>
      <c r="P522" s="16" t="inlineStr">
        <is>
          <t>O2</t>
        </is>
      </c>
    </row>
    <row r="523">
      <c r="A523" s="16" t="inlineStr">
        <is>
          <t>KF-M05-5-0009</t>
        </is>
      </c>
      <c r="B523" s="35" t="n">
        <v>287.0565630639811</v>
      </c>
      <c r="C523" s="36" t="n">
        <v>3703.524601932885</v>
      </c>
      <c r="D523" s="35" t="n">
        <v>1293.753795569448</v>
      </c>
      <c r="E523" s="37" t="n">
        <v>0.5549298864569936</v>
      </c>
      <c r="F523" s="37" t="n">
        <v>0.8812925181925719</v>
      </c>
      <c r="G523" s="37" t="n">
        <v>0.8322074522927603</v>
      </c>
      <c r="H523" s="37" t="n">
        <v>0.454963979620583</v>
      </c>
      <c r="I523" s="37" t="n">
        <v>0.6386781011346671</v>
      </c>
      <c r="J523" s="32" t="inlineStr">
        <is>
          <t>No convergió</t>
        </is>
      </c>
      <c r="K523" s="29" t="inlineStr">
        <is>
          <t>—</t>
        </is>
      </c>
      <c r="L523" s="35" t="inlineStr">
        <is>
          <t>—</t>
        </is>
      </c>
      <c r="M523" s="36" t="n">
        <v>2409.770806363436</v>
      </c>
      <c r="N523" s="29" t="n">
        <v>2.862619313362301</v>
      </c>
      <c r="O523" s="16" t="inlineStr">
        <is>
          <t>no</t>
        </is>
      </c>
      <c r="P523" s="16" t="n"/>
    </row>
    <row r="524">
      <c r="A524" s="16" t="inlineStr">
        <is>
          <t>KF-M05-5-0010</t>
        </is>
      </c>
      <c r="B524" s="35" t="n">
        <v>279.5885310255268</v>
      </c>
      <c r="C524" s="36" t="n">
        <v>2763.248023348929</v>
      </c>
      <c r="D524" s="35" t="n">
        <v>843.0111301360287</v>
      </c>
      <c r="E524" s="37" t="n">
        <v>0.8702025335686145</v>
      </c>
      <c r="F524" s="37" t="n">
        <v>0.6741806314844514</v>
      </c>
      <c r="G524" s="37" t="n">
        <v>0.7732113506418172</v>
      </c>
      <c r="H524" s="37" t="n">
        <v>0.9075927016586464</v>
      </c>
      <c r="I524" s="37" t="n">
        <v>0.5775232383043223</v>
      </c>
      <c r="J524" s="32" t="inlineStr">
        <is>
          <t>No convergió</t>
        </is>
      </c>
      <c r="K524" s="29" t="inlineStr">
        <is>
          <t>—</t>
        </is>
      </c>
      <c r="L524" s="35" t="inlineStr">
        <is>
          <t>—</t>
        </is>
      </c>
      <c r="M524" s="36" t="n">
        <v>1920.2368932129</v>
      </c>
      <c r="N524" s="29" t="n">
        <v>3.27783100906752</v>
      </c>
      <c r="O524" s="16" t="inlineStr">
        <is>
          <t>no</t>
        </is>
      </c>
      <c r="P524" s="16" t="n"/>
    </row>
    <row r="525">
      <c r="A525" s="16" t="inlineStr">
        <is>
          <t>KF-M05-5-0011</t>
        </is>
      </c>
      <c r="B525" s="35" t="n">
        <v>279.7888537453707</v>
      </c>
      <c r="C525" s="36" t="n">
        <v>2660.445962270247</v>
      </c>
      <c r="D525" s="35" t="n">
        <v>1765.702530021576</v>
      </c>
      <c r="E525" s="37" t="n">
        <v>0.7668590544199648</v>
      </c>
      <c r="F525" s="37" t="n">
        <v>0.9392781168986486</v>
      </c>
      <c r="G525" s="37" t="n">
        <v>0.73684570100004</v>
      </c>
      <c r="H525" s="37" t="n">
        <v>0.7905951507320177</v>
      </c>
      <c r="I525" s="37" t="n">
        <v>0.804793479060717</v>
      </c>
      <c r="J525" s="39" t="inlineStr">
        <is>
          <t>Corregible</t>
        </is>
      </c>
      <c r="K525" s="29" t="n">
        <v>2.95235280546904</v>
      </c>
      <c r="L525" s="35" t="n">
        <v>51.83566285384067</v>
      </c>
      <c r="M525" s="36" t="n">
        <v>894.7434322486711</v>
      </c>
      <c r="N525" s="29" t="n">
        <v>1.506735091010906</v>
      </c>
      <c r="O525" s="16" t="inlineStr">
        <is>
          <t>sí</t>
        </is>
      </c>
      <c r="P525" s="16" t="inlineStr">
        <is>
          <t>O2</t>
        </is>
      </c>
    </row>
    <row r="526">
      <c r="A526" s="16" t="inlineStr">
        <is>
          <t>KF-M05-5-0012</t>
        </is>
      </c>
      <c r="B526" s="35" t="n">
        <v>289.2615354455962</v>
      </c>
      <c r="C526" s="36" t="n">
        <v>4216.081291031909</v>
      </c>
      <c r="D526" s="35" t="n">
        <v>1470.474804198533</v>
      </c>
      <c r="E526" s="37" t="n">
        <v>0.4932180991785515</v>
      </c>
      <c r="F526" s="37" t="n">
        <v>0.6854359085462887</v>
      </c>
      <c r="G526" s="37" t="n">
        <v>0.5653232519617851</v>
      </c>
      <c r="H526" s="37" t="n">
        <v>0.8990288653476706</v>
      </c>
      <c r="I526" s="37" t="n">
        <v>0.7561424961635145</v>
      </c>
      <c r="J526" s="39" t="inlineStr">
        <is>
          <t>Corregible</t>
        </is>
      </c>
      <c r="K526" s="29" t="n">
        <v>4.46499388814618</v>
      </c>
      <c r="L526" s="35" t="n">
        <v>56.35258070133409</v>
      </c>
      <c r="M526" s="36" t="n">
        <v>2745.606486833376</v>
      </c>
      <c r="N526" s="29" t="n">
        <v>2.867156430694398</v>
      </c>
      <c r="O526" s="16" t="inlineStr">
        <is>
          <t>sí</t>
        </is>
      </c>
      <c r="P526" s="16" t="inlineStr">
        <is>
          <t>O2</t>
        </is>
      </c>
    </row>
    <row r="527">
      <c r="A527" s="16" t="inlineStr">
        <is>
          <t>KF-M05-5-0013</t>
        </is>
      </c>
      <c r="B527" s="35" t="n">
        <v>284.5461184651663</v>
      </c>
      <c r="C527" s="36" t="n">
        <v>2307.164343100957</v>
      </c>
      <c r="D527" s="35" t="n">
        <v>1892.756759088737</v>
      </c>
      <c r="E527" s="37" t="n">
        <v>0.5580830428479771</v>
      </c>
      <c r="F527" s="37" t="n">
        <v>0.8698448429430261</v>
      </c>
      <c r="G527" s="37" t="n">
        <v>0.8755515243266738</v>
      </c>
      <c r="H527" s="37" t="n">
        <v>0.6849335070515086</v>
      </c>
      <c r="I527" s="37" t="n">
        <v>0.8917592003612709</v>
      </c>
      <c r="J527" s="32" t="inlineStr">
        <is>
          <t>No convergió</t>
        </is>
      </c>
      <c r="K527" s="29" t="inlineStr">
        <is>
          <t>—</t>
        </is>
      </c>
      <c r="L527" s="35" t="inlineStr">
        <is>
          <t>—</t>
        </is>
      </c>
      <c r="M527" s="36" t="n">
        <v>414.4075840122202</v>
      </c>
      <c r="N527" s="29" t="n">
        <v>1.21894391977326</v>
      </c>
      <c r="O527" s="16" t="inlineStr">
        <is>
          <t>no</t>
        </is>
      </c>
      <c r="P527" s="16" t="n"/>
    </row>
    <row r="528">
      <c r="A528" s="16" t="inlineStr">
        <is>
          <t>KF-M05-5-0014</t>
        </is>
      </c>
      <c r="B528" s="35" t="n">
        <v>292.4847328811815</v>
      </c>
      <c r="C528" s="36" t="n">
        <v>2642.853838582022</v>
      </c>
      <c r="D528" s="35" t="n">
        <v>331.0852826081823</v>
      </c>
      <c r="E528" s="37" t="n">
        <v>0.7043031078389959</v>
      </c>
      <c r="F528" s="37" t="n">
        <v>0.7495530285448186</v>
      </c>
      <c r="G528" s="37" t="n">
        <v>0.7072738393339362</v>
      </c>
      <c r="H528" s="37" t="n">
        <v>0.8080295601152049</v>
      </c>
      <c r="I528" s="37" t="n">
        <v>0.5299119340721221</v>
      </c>
      <c r="J528" s="39" t="inlineStr">
        <is>
          <t>Corregible</t>
        </is>
      </c>
      <c r="K528" s="29" t="n">
        <v>3.99828246476803</v>
      </c>
      <c r="L528" s="35" t="n">
        <v>45.37087067416468</v>
      </c>
      <c r="M528" s="36" t="n">
        <v>2311.76855597384</v>
      </c>
      <c r="N528" s="29" t="n">
        <v>7.982396009156546</v>
      </c>
      <c r="O528" s="16" t="inlineStr">
        <is>
          <t>sí</t>
        </is>
      </c>
      <c r="P528" s="16" t="inlineStr">
        <is>
          <t>O2</t>
        </is>
      </c>
    </row>
    <row r="529">
      <c r="A529" s="16" t="inlineStr">
        <is>
          <t>KF-M05-5-0015</t>
        </is>
      </c>
      <c r="B529" s="35" t="n">
        <v>299.1130218017803</v>
      </c>
      <c r="C529" s="36" t="n">
        <v>3280.664679706368</v>
      </c>
      <c r="D529" s="35" t="n">
        <v>1504.007862640998</v>
      </c>
      <c r="E529" s="37" t="n">
        <v>0.8070718378874751</v>
      </c>
      <c r="F529" s="37" t="n">
        <v>0.5082434458791854</v>
      </c>
      <c r="G529" s="37" t="n">
        <v>0.6119318841433707</v>
      </c>
      <c r="H529" s="37" t="n">
        <v>0.5776447873949926</v>
      </c>
      <c r="I529" s="37" t="n">
        <v>0.4346664615251403</v>
      </c>
      <c r="J529" s="40" t="inlineStr">
        <is>
          <t>Inviable</t>
        </is>
      </c>
      <c r="K529" s="29" t="n">
        <v>-2.31393568752788</v>
      </c>
      <c r="L529" s="35" t="n">
        <v>-20.30632933290784</v>
      </c>
      <c r="M529" s="36" t="n">
        <v>1776.65681706537</v>
      </c>
      <c r="N529" s="29" t="n">
        <v>2.181281601776741</v>
      </c>
      <c r="O529" s="16" t="inlineStr">
        <is>
          <t>sí</t>
        </is>
      </c>
      <c r="P529" s="16" t="inlineStr">
        <is>
          <t>O2,O3</t>
        </is>
      </c>
      <c r="T529" s="25" t="inlineStr">
        <is>
          <t>Estudio 4.1 · parte(s) 4.1e. Punto base: PP = datos del enunciado del profesor (T_fuente 623.15 K, P_alta 3000 kPa, P_baja 400 kPa, x_b 0.50)</t>
        </is>
      </c>
    </row>
    <row r="530">
      <c r="A530" s="16" t="inlineStr">
        <is>
          <t>KF-M05-5-0016</t>
        </is>
      </c>
      <c r="B530" s="35" t="n">
        <v>280.9988915470071</v>
      </c>
      <c r="C530" s="36" t="n">
        <v>2982.605830223879</v>
      </c>
      <c r="D530" s="35" t="n">
        <v>1019.504314790406</v>
      </c>
      <c r="E530" s="37" t="n">
        <v>0.7518264994374739</v>
      </c>
      <c r="F530" s="37" t="n">
        <v>0.7560595291051884</v>
      </c>
      <c r="G530" s="37" t="n">
        <v>0.4882040800931189</v>
      </c>
      <c r="H530" s="37" t="n">
        <v>0.4269641422716769</v>
      </c>
      <c r="I530" s="37" t="n">
        <v>0.7459407834575279</v>
      </c>
      <c r="J530" s="39" t="inlineStr">
        <is>
          <t>Corregible</t>
        </is>
      </c>
      <c r="K530" s="29" t="n">
        <v>6.723793001102731</v>
      </c>
      <c r="L530" s="35" t="n">
        <v>77.96512005440721</v>
      </c>
      <c r="M530" s="36" t="n">
        <v>1963.101515433473</v>
      </c>
      <c r="N530" s="29" t="n">
        <v>2.92554507808734</v>
      </c>
      <c r="O530" s="16" t="inlineStr">
        <is>
          <t>sí</t>
        </is>
      </c>
      <c r="P530" s="16" t="inlineStr">
        <is>
          <t>O2</t>
        </is>
      </c>
      <c r="T530" s="25" t="inlineStr">
        <is>
          <t>Datos fijos: T_fuente = 623.15 K; x_b = 0.5; m_b = 1 kg/s; motor de propiedades = teqp.</t>
        </is>
      </c>
    </row>
    <row r="531">
      <c r="A531" s="16" t="inlineStr">
        <is>
          <t>KF-M05-5-0017</t>
        </is>
      </c>
      <c r="B531" s="35" t="n">
        <v>291.6933145208963</v>
      </c>
      <c r="C531" s="36" t="n">
        <v>3744.982058753154</v>
      </c>
      <c r="D531" s="35" t="n">
        <v>1439.657166970303</v>
      </c>
      <c r="E531" s="37" t="n">
        <v>0.844900441884578</v>
      </c>
      <c r="F531" s="37" t="n">
        <v>0.4034848591479167</v>
      </c>
      <c r="G531" s="37" t="n">
        <v>0.7643781366336979</v>
      </c>
      <c r="H531" s="37" t="n">
        <v>0.7015482565320739</v>
      </c>
      <c r="I531" s="37" t="n">
        <v>0.8235170698532301</v>
      </c>
      <c r="J531" s="39" t="inlineStr">
        <is>
          <t>Corregible</t>
        </is>
      </c>
      <c r="K531" s="29" t="n">
        <v>6.967798179320581</v>
      </c>
      <c r="L531" s="35" t="n">
        <v>125.7779733554939</v>
      </c>
      <c r="M531" s="36" t="n">
        <v>2305.324891782851</v>
      </c>
      <c r="N531" s="29" t="n">
        <v>2.601301299137981</v>
      </c>
      <c r="O531" s="16" t="inlineStr">
        <is>
          <t>sí</t>
        </is>
      </c>
      <c r="P531" s="16" t="inlineStr">
        <is>
          <t>O2</t>
        </is>
      </c>
      <c r="T531" s="25" t="inlineStr">
        <is>
          <t>Datos barridos: T_sumidero [278.28–303.36] K (120 valores); P_alta [2023–4997.5] kPa (120 valores); P_baja [206.13–1999.3] kPa (120 valores); η_t [0.4033–0.94995] (120 valores); η_p [0.40348–0.9476] (120 valores); ε_HRVG [0.40414–0.94874] (120 valores); ε_reg [0.40265–0.94725] (120 valores); ε_cond [0.40127–0.94825] (120 valores); piso de O2 [278.28–303.36] K (119 valores).</t>
        </is>
      </c>
    </row>
    <row r="532">
      <c r="A532" s="16" t="inlineStr">
        <is>
          <t>KF-M05-5-0018</t>
        </is>
      </c>
      <c r="B532" s="35" t="n">
        <v>301.9779568290831</v>
      </c>
      <c r="C532" s="36" t="n">
        <v>2881.616193020881</v>
      </c>
      <c r="D532" s="35" t="n">
        <v>1063.701320865642</v>
      </c>
      <c r="E532" s="37" t="n">
        <v>0.5186821955126681</v>
      </c>
      <c r="F532" s="37" t="n">
        <v>0.5852186110460345</v>
      </c>
      <c r="G532" s="37" t="n">
        <v>0.421311402434515</v>
      </c>
      <c r="H532" s="37" t="n">
        <v>0.5123404532973912</v>
      </c>
      <c r="I532" s="37" t="n">
        <v>0.45977484014</v>
      </c>
      <c r="J532" s="40" t="inlineStr">
        <is>
          <t>Inviable</t>
        </is>
      </c>
      <c r="K532" s="29" t="n">
        <v>-5.39614064252119</v>
      </c>
      <c r="L532" s="35" t="n">
        <v>-38.84709379382564</v>
      </c>
      <c r="M532" s="36" t="n">
        <v>1817.91487215524</v>
      </c>
      <c r="N532" s="29" t="n">
        <v>2.709046361506647</v>
      </c>
      <c r="O532" s="16" t="inlineStr">
        <is>
          <t>sí</t>
        </is>
      </c>
      <c r="P532" s="16" t="inlineStr">
        <is>
          <t>O2,O3</t>
        </is>
      </c>
      <c r="T532" s="25" t="inlineStr">
        <is>
          <t>Filtro: todos los puntos evaluados (omitidos no se dibujan; marcador hueco = fuera del rango confiable).</t>
        </is>
      </c>
    </row>
    <row r="533">
      <c r="A533" s="16" t="inlineStr">
        <is>
          <t>KF-M05-5-0019</t>
        </is>
      </c>
      <c r="B533" s="35" t="n">
        <v>282.4501203048488</v>
      </c>
      <c r="C533" s="36" t="n">
        <v>4356.297293742958</v>
      </c>
      <c r="D533" s="35" t="n">
        <v>1545.006974155254</v>
      </c>
      <c r="E533" s="37" t="n">
        <v>0.6751304858357094</v>
      </c>
      <c r="F533" s="37" t="n">
        <v>0.5293675592151138</v>
      </c>
      <c r="G533" s="37" t="n">
        <v>0.5050708171632724</v>
      </c>
      <c r="H533" s="37" t="n">
        <v>0.8610344303841374</v>
      </c>
      <c r="I533" s="37" t="n">
        <v>0.6559358439436841</v>
      </c>
      <c r="J533" s="39" t="inlineStr">
        <is>
          <t>Corregible</t>
        </is>
      </c>
      <c r="K533" s="29" t="n">
        <v>5.34929592584567</v>
      </c>
      <c r="L533" s="35" t="n">
        <v>57.44874842101301</v>
      </c>
      <c r="M533" s="36" t="n">
        <v>2811.290319587704</v>
      </c>
      <c r="N533" s="29" t="n">
        <v>2.819597171155038</v>
      </c>
      <c r="O533" s="16" t="inlineStr">
        <is>
          <t>sí</t>
        </is>
      </c>
      <c r="P533" s="16" t="inlineStr">
        <is>
          <t>O2</t>
        </is>
      </c>
      <c r="T533" s="25" t="inlineStr">
        <is>
          <t>n = 119. Fuente: todos_los_puntos.csv.</t>
        </is>
      </c>
    </row>
    <row r="534">
      <c r="A534" s="16" t="inlineStr">
        <is>
          <t>KF-M05-5-0020</t>
        </is>
      </c>
      <c r="B534" s="35" t="n">
        <v>298.3026963488799</v>
      </c>
      <c r="C534" s="36" t="n">
        <v>2497.560737700327</v>
      </c>
      <c r="D534" s="35" t="n">
        <v>285.3529383591147</v>
      </c>
      <c r="E534" s="37" t="n">
        <v>0.8897697445157767</v>
      </c>
      <c r="F534" s="37" t="n">
        <v>0.4620226780524413</v>
      </c>
      <c r="G534" s="37" t="n">
        <v>0.6775568722680217</v>
      </c>
      <c r="H534" s="37" t="n">
        <v>0.5341923871711481</v>
      </c>
      <c r="I534" s="37" t="n">
        <v>0.7829484641785702</v>
      </c>
      <c r="J534" s="39" t="inlineStr">
        <is>
          <t>Corregible</t>
        </is>
      </c>
      <c r="K534" s="29" t="n">
        <v>10.7898466789631</v>
      </c>
      <c r="L534" s="35" t="n">
        <v>158.5027802398976</v>
      </c>
      <c r="M534" s="36" t="n">
        <v>2212.207799341212</v>
      </c>
      <c r="N534" s="29" t="n">
        <v>8.75253204702299</v>
      </c>
      <c r="O534" s="16" t="inlineStr">
        <is>
          <t>sí</t>
        </is>
      </c>
      <c r="P534" s="16" t="inlineStr">
        <is>
          <t>O1,O2</t>
        </is>
      </c>
    </row>
    <row r="535">
      <c r="A535" s="16" t="inlineStr">
        <is>
          <t>KF-M05-5-0021</t>
        </is>
      </c>
      <c r="B535" s="35" t="n">
        <v>293.4424369633516</v>
      </c>
      <c r="C535" s="36" t="n">
        <v>2581.218399638949</v>
      </c>
      <c r="D535" s="35" t="n">
        <v>1452.540849569594</v>
      </c>
      <c r="E535" s="37" t="n">
        <v>0.5734685136587898</v>
      </c>
      <c r="F535" s="37" t="n">
        <v>0.9112917164702874</v>
      </c>
      <c r="G535" s="37" t="n">
        <v>0.8077650226677853</v>
      </c>
      <c r="H535" s="37" t="n">
        <v>0.419609244498067</v>
      </c>
      <c r="I535" s="37" t="n">
        <v>0.92288818260965</v>
      </c>
      <c r="J535" s="42" t="inlineStr">
        <is>
          <t>KALINA</t>
        </is>
      </c>
      <c r="K535" s="29" t="n">
        <v>2.7867717048603</v>
      </c>
      <c r="L535" s="35" t="n">
        <v>58.35464896854353</v>
      </c>
      <c r="M535" s="36" t="n">
        <v>1128.677550069355</v>
      </c>
      <c r="N535" s="29" t="n">
        <v>1.777036701173531</v>
      </c>
      <c r="O535" s="16" t="inlineStr">
        <is>
          <t>sí</t>
        </is>
      </c>
      <c r="P535" s="16" t="n"/>
    </row>
    <row r="536">
      <c r="A536" s="16" t="inlineStr">
        <is>
          <t>KF-M05-5-0022</t>
        </is>
      </c>
      <c r="B536" s="35" t="n">
        <v>290.7578637775401</v>
      </c>
      <c r="C536" s="36" t="n">
        <v>3550.099941914199</v>
      </c>
      <c r="D536" s="35" t="n">
        <v>1652.537268730338</v>
      </c>
      <c r="E536" s="37" t="n">
        <v>0.775803879065428</v>
      </c>
      <c r="F536" s="37" t="n">
        <v>0.7139188498031652</v>
      </c>
      <c r="G536" s="37" t="n">
        <v>0.424503468719197</v>
      </c>
      <c r="H536" s="37" t="n">
        <v>0.8220290523376983</v>
      </c>
      <c r="I536" s="37" t="n">
        <v>0.5928445608293489</v>
      </c>
      <c r="J536" s="39" t="inlineStr">
        <is>
          <t>Corregible</t>
        </is>
      </c>
      <c r="K536" s="29" t="n">
        <v>4.60113512876378</v>
      </c>
      <c r="L536" s="35" t="n">
        <v>40.54248769576103</v>
      </c>
      <c r="M536" s="36" t="n">
        <v>1897.562673183861</v>
      </c>
      <c r="N536" s="29" t="n">
        <v>2.148272241171165</v>
      </c>
      <c r="O536" s="16" t="inlineStr">
        <is>
          <t>sí</t>
        </is>
      </c>
      <c r="P536" s="16" t="inlineStr">
        <is>
          <t>O2</t>
        </is>
      </c>
    </row>
    <row r="537">
      <c r="A537" s="16" t="inlineStr">
        <is>
          <t>KF-M05-5-0023</t>
        </is>
      </c>
      <c r="B537" s="35" t="n">
        <v>285.4695993360365</v>
      </c>
      <c r="C537" s="36" t="n">
        <v>2023.003329493351</v>
      </c>
      <c r="D537" s="35" t="n">
        <v>398.0012403077027</v>
      </c>
      <c r="E537" s="37" t="n">
        <v>0.7220646670601147</v>
      </c>
      <c r="F537" s="37" t="n">
        <v>0.8123837721693512</v>
      </c>
      <c r="G537" s="37" t="n">
        <v>0.7514306033100664</v>
      </c>
      <c r="H537" s="37" t="n">
        <v>0.9427522306838936</v>
      </c>
      <c r="I537" s="37" t="n">
        <v>0.5031617055088782</v>
      </c>
      <c r="J537" s="32" t="inlineStr">
        <is>
          <t>No convergió</t>
        </is>
      </c>
      <c r="K537" s="29" t="inlineStr">
        <is>
          <t>—</t>
        </is>
      </c>
      <c r="L537" s="35" t="inlineStr">
        <is>
          <t>—</t>
        </is>
      </c>
      <c r="M537" s="36" t="n">
        <v>1625.002089185648</v>
      </c>
      <c r="N537" s="29" t="n">
        <v>5.082907098302827</v>
      </c>
      <c r="O537" s="16" t="inlineStr">
        <is>
          <t>no</t>
        </is>
      </c>
      <c r="P537" s="16" t="n"/>
    </row>
    <row r="538">
      <c r="A538" s="16" t="inlineStr">
        <is>
          <t>KF-M05-5-0024</t>
        </is>
      </c>
      <c r="B538" s="35" t="n">
        <v>299.0758366185503</v>
      </c>
      <c r="C538" s="36" t="n">
        <v>4414.941703170448</v>
      </c>
      <c r="D538" s="35" t="n">
        <v>633.3388339605656</v>
      </c>
      <c r="E538" s="37" t="n">
        <v>0.7318674696848304</v>
      </c>
      <c r="F538" s="37" t="n">
        <v>0.8957650689484737</v>
      </c>
      <c r="G538" s="37" t="n">
        <v>0.904996453516172</v>
      </c>
      <c r="H538" s="37" t="n">
        <v>0.6470416100267411</v>
      </c>
      <c r="I538" s="37" t="n">
        <v>0.4670075290017143</v>
      </c>
      <c r="J538" s="32" t="inlineStr">
        <is>
          <t>No convergió</t>
        </is>
      </c>
      <c r="K538" s="29" t="inlineStr">
        <is>
          <t>—</t>
        </is>
      </c>
      <c r="L538" s="35" t="inlineStr">
        <is>
          <t>—</t>
        </is>
      </c>
      <c r="M538" s="36" t="n">
        <v>3781.602869209883</v>
      </c>
      <c r="N538" s="29" t="n">
        <v>6.970900040286084</v>
      </c>
      <c r="O538" s="16" t="inlineStr">
        <is>
          <t>no</t>
        </is>
      </c>
      <c r="P538" s="16" t="n"/>
    </row>
    <row r="539">
      <c r="A539" s="16" t="inlineStr">
        <is>
          <t>KF-M05-5-0025</t>
        </is>
      </c>
      <c r="B539" s="35" t="n">
        <v>282.9661089882925</v>
      </c>
      <c r="C539" s="36" t="n">
        <v>2448.353776692386</v>
      </c>
      <c r="D539" s="35" t="n">
        <v>1180.898565539892</v>
      </c>
      <c r="E539" s="37" t="n">
        <v>0.9110845003441688</v>
      </c>
      <c r="F539" s="37" t="n">
        <v>0.4831633532883052</v>
      </c>
      <c r="G539" s="37" t="n">
        <v>0.5217582867644803</v>
      </c>
      <c r="H539" s="37" t="n">
        <v>0.7619363955437577</v>
      </c>
      <c r="I539" s="37" t="n">
        <v>0.4793066344772811</v>
      </c>
      <c r="J539" s="39" t="inlineStr">
        <is>
          <t>Corregible</t>
        </is>
      </c>
      <c r="K539" s="29" t="n">
        <v>0.68143894000049</v>
      </c>
      <c r="L539" s="35" t="n">
        <v>6.150275926147288</v>
      </c>
      <c r="M539" s="36" t="n">
        <v>1267.455211152494</v>
      </c>
      <c r="N539" s="29" t="n">
        <v>2.073297273905171</v>
      </c>
      <c r="O539" s="16" t="inlineStr">
        <is>
          <t>sí</t>
        </is>
      </c>
      <c r="P539" s="16" t="inlineStr">
        <is>
          <t>O2</t>
        </is>
      </c>
    </row>
    <row r="540">
      <c r="A540" s="16" t="inlineStr">
        <is>
          <t>KF-M05-5-0026</t>
        </is>
      </c>
      <c r="B540" s="35" t="n">
        <v>302.58136184317</v>
      </c>
      <c r="C540" s="36" t="n">
        <v>4808.3419580395</v>
      </c>
      <c r="D540" s="35" t="n">
        <v>1242.274389807265</v>
      </c>
      <c r="E540" s="37" t="n">
        <v>0.9224916747106672</v>
      </c>
      <c r="F540" s="37" t="n">
        <v>0.5760658994683791</v>
      </c>
      <c r="G540" s="37" t="n">
        <v>0.4073021552349206</v>
      </c>
      <c r="H540" s="37" t="n">
        <v>0.4101145100609968</v>
      </c>
      <c r="I540" s="37" t="n">
        <v>0.8784157959492287</v>
      </c>
      <c r="J540" s="42" t="inlineStr">
        <is>
          <t>KALINA</t>
        </is>
      </c>
      <c r="K540" s="29" t="n">
        <v>8.457650032385521</v>
      </c>
      <c r="L540" s="35" t="n">
        <v>83.2699300980196</v>
      </c>
      <c r="M540" s="36" t="n">
        <v>3566.067568232236</v>
      </c>
      <c r="N540" s="29" t="n">
        <v>3.8705957375371</v>
      </c>
      <c r="O540" s="16" t="inlineStr">
        <is>
          <t>sí</t>
        </is>
      </c>
      <c r="P540" s="16" t="n"/>
    </row>
    <row r="541">
      <c r="A541" s="16" t="inlineStr">
        <is>
          <t>KF-M05-5-0027</t>
        </is>
      </c>
      <c r="B541" s="35" t="n">
        <v>287.9479460832194</v>
      </c>
      <c r="C541" s="36" t="n">
        <v>4726.106434645086</v>
      </c>
      <c r="D541" s="35" t="n">
        <v>308.3387227645604</v>
      </c>
      <c r="E541" s="37" t="n">
        <v>0.800498273287114</v>
      </c>
      <c r="F541" s="37" t="n">
        <v>0.9057803655751464</v>
      </c>
      <c r="G541" s="37" t="n">
        <v>0.5395786491899937</v>
      </c>
      <c r="H541" s="37" t="n">
        <v>0.486130820490501</v>
      </c>
      <c r="I541" s="37" t="n">
        <v>0.9120834756427624</v>
      </c>
      <c r="J541" s="39" t="inlineStr">
        <is>
          <t>Corregible</t>
        </is>
      </c>
      <c r="K541" s="29" t="n">
        <v>14.98162184258235</v>
      </c>
      <c r="L541" s="35" t="n">
        <v>201.6083581312895</v>
      </c>
      <c r="M541" s="36" t="n">
        <v>4417.767711880525</v>
      </c>
      <c r="N541" s="29" t="n">
        <v>15.3276448454832</v>
      </c>
      <c r="O541" s="16" t="inlineStr">
        <is>
          <t>sí</t>
        </is>
      </c>
      <c r="P541" s="16" t="inlineStr">
        <is>
          <t>O1,O2</t>
        </is>
      </c>
    </row>
    <row r="542">
      <c r="A542" s="16" t="inlineStr">
        <is>
          <t>KF-M05-5-0028</t>
        </is>
      </c>
      <c r="B542" s="35" t="n">
        <v>287.2908203030757</v>
      </c>
      <c r="C542" s="36" t="n">
        <v>2241.170492303871</v>
      </c>
      <c r="D542" s="35" t="n">
        <v>1936.380869402984</v>
      </c>
      <c r="E542" s="37" t="n">
        <v>0.8925915570113148</v>
      </c>
      <c r="F542" s="37" t="n">
        <v>0.801756183126513</v>
      </c>
      <c r="G542" s="37" t="n">
        <v>0.7768775248833931</v>
      </c>
      <c r="H542" s="37" t="n">
        <v>0.8066427815191872</v>
      </c>
      <c r="I542" s="37" t="n">
        <v>0.8302889692881493</v>
      </c>
      <c r="J542" s="39" t="inlineStr">
        <is>
          <t>Corregible</t>
        </is>
      </c>
      <c r="K542" s="29" t="n">
        <v>1.24030469120303</v>
      </c>
      <c r="L542" s="35" t="n">
        <v>23.22471425341656</v>
      </c>
      <c r="M542" s="36" t="n">
        <v>304.7896229008875</v>
      </c>
      <c r="N542" s="29" t="n">
        <v>1.157401690812438</v>
      </c>
      <c r="O542" s="16" t="inlineStr">
        <is>
          <t>sí</t>
        </is>
      </c>
      <c r="P542" s="16" t="inlineStr">
        <is>
          <t>O2</t>
        </is>
      </c>
    </row>
    <row r="543">
      <c r="A543" s="16" t="inlineStr">
        <is>
          <t>KF-M05-5-0029</t>
        </is>
      </c>
      <c r="B543" s="35" t="n">
        <v>299.8913616016123</v>
      </c>
      <c r="C543" s="36" t="n">
        <v>3039.543245538026</v>
      </c>
      <c r="D543" s="35" t="n">
        <v>1394.9557496091</v>
      </c>
      <c r="E543" s="37" t="n">
        <v>0.5834364123417253</v>
      </c>
      <c r="F543" s="37" t="n">
        <v>0.8550869621206723</v>
      </c>
      <c r="G543" s="37" t="n">
        <v>0.8797139279465205</v>
      </c>
      <c r="H543" s="37" t="n">
        <v>0.800117890541121</v>
      </c>
      <c r="I543" s="37" t="n">
        <v>0.4251133485130509</v>
      </c>
      <c r="J543" s="32" t="inlineStr">
        <is>
          <t>No convergió</t>
        </is>
      </c>
      <c r="K543" s="29" t="inlineStr">
        <is>
          <t>—</t>
        </is>
      </c>
      <c r="L543" s="35" t="inlineStr">
        <is>
          <t>—</t>
        </is>
      </c>
      <c r="M543" s="36" t="n">
        <v>1644.587495928926</v>
      </c>
      <c r="N543" s="29" t="n">
        <v>2.178953164922815</v>
      </c>
      <c r="O543" s="16" t="inlineStr">
        <is>
          <t>no</t>
        </is>
      </c>
      <c r="P543" s="16" t="n"/>
    </row>
    <row r="544">
      <c r="A544" s="16" t="inlineStr">
        <is>
          <t>KF-M05-5-0030</t>
        </is>
      </c>
      <c r="B544" s="35" t="n">
        <v>280.6127202613607</v>
      </c>
      <c r="C544" s="36" t="n">
        <v>4753.345145162022</v>
      </c>
      <c r="D544" s="35" t="n">
        <v>1482.120404178754</v>
      </c>
      <c r="E544" s="37" t="n">
        <v>0.8747121332331614</v>
      </c>
      <c r="F544" s="37" t="n">
        <v>0.8903733332931976</v>
      </c>
      <c r="G544" s="37" t="n">
        <v>0.4737936044076769</v>
      </c>
      <c r="H544" s="37" t="n">
        <v>0.7242331377999762</v>
      </c>
      <c r="I544" s="37" t="n">
        <v>0.899132234658375</v>
      </c>
      <c r="J544" s="42" t="inlineStr">
        <is>
          <t>KALINA</t>
        </is>
      </c>
      <c r="K544" s="29" t="n">
        <v>7.71779422031508</v>
      </c>
      <c r="L544" s="35" t="n">
        <v>88.05676219827613</v>
      </c>
      <c r="M544" s="36" t="n">
        <v>3271.224740983268</v>
      </c>
      <c r="N544" s="29" t="n">
        <v>3.207124827213928</v>
      </c>
      <c r="O544" s="16" t="inlineStr">
        <is>
          <t>sí</t>
        </is>
      </c>
      <c r="P544" s="16" t="n"/>
    </row>
    <row r="545">
      <c r="A545" s="16" t="inlineStr">
        <is>
          <t>KF-M05-5-0031</t>
        </is>
      </c>
      <c r="B545" s="35" t="n">
        <v>290.5647453374261</v>
      </c>
      <c r="C545" s="36" t="n">
        <v>4390.619788250367</v>
      </c>
      <c r="D545" s="35" t="n">
        <v>1508.955169217455</v>
      </c>
      <c r="E545" s="37" t="n">
        <v>0.9440885728981846</v>
      </c>
      <c r="F545" s="37" t="n">
        <v>0.8525285707713151</v>
      </c>
      <c r="G545" s="37" t="n">
        <v>0.6291397698760113</v>
      </c>
      <c r="H545" s="37" t="n">
        <v>0.9023234712557164</v>
      </c>
      <c r="I545" s="37" t="n">
        <v>0.6773595872609253</v>
      </c>
      <c r="J545" s="32" t="inlineStr">
        <is>
          <t>No convergió</t>
        </is>
      </c>
      <c r="K545" s="29" t="inlineStr">
        <is>
          <t>—</t>
        </is>
      </c>
      <c r="L545" s="35" t="inlineStr">
        <is>
          <t>—</t>
        </is>
      </c>
      <c r="M545" s="36" t="n">
        <v>2881.664619032911</v>
      </c>
      <c r="N545" s="29" t="n">
        <v>2.909708570419189</v>
      </c>
      <c r="O545" s="16" t="inlineStr">
        <is>
          <t>no</t>
        </is>
      </c>
      <c r="P545" s="16" t="n"/>
    </row>
    <row r="546">
      <c r="A546" s="16" t="inlineStr">
        <is>
          <t>KF-M05-5-0032</t>
        </is>
      </c>
      <c r="B546" s="35" t="n">
        <v>286.0725324301919</v>
      </c>
      <c r="C546" s="36" t="n">
        <v>3112.088176010633</v>
      </c>
      <c r="D546" s="35" t="n">
        <v>463.0112186721726</v>
      </c>
      <c r="E546" s="37" t="n">
        <v>0.4175146120924258</v>
      </c>
      <c r="F546" s="37" t="n">
        <v>0.8651376457783322</v>
      </c>
      <c r="G546" s="37" t="n">
        <v>0.7043687000642778</v>
      </c>
      <c r="H546" s="37" t="n">
        <v>0.4462210932454874</v>
      </c>
      <c r="I546" s="37" t="n">
        <v>0.5191220141867544</v>
      </c>
      <c r="J546" s="40" t="inlineStr">
        <is>
          <t>Inviable</t>
        </is>
      </c>
      <c r="K546" s="29" t="n">
        <v>-2.94205125328646</v>
      </c>
      <c r="L546" s="35" t="n">
        <v>-32.59042412919234</v>
      </c>
      <c r="M546" s="36" t="n">
        <v>2649.07695733846</v>
      </c>
      <c r="N546" s="29" t="n">
        <v>6.721409871958406</v>
      </c>
      <c r="O546" s="16" t="inlineStr">
        <is>
          <t>sí</t>
        </is>
      </c>
      <c r="P546" s="16" t="inlineStr">
        <is>
          <t>O2,O3</t>
        </is>
      </c>
    </row>
    <row r="547">
      <c r="A547" s="16" t="inlineStr">
        <is>
          <t>KF-M05-5-0033</t>
        </is>
      </c>
      <c r="B547" s="35" t="n">
        <v>288.652859855827</v>
      </c>
      <c r="C547" s="36" t="n">
        <v>4277.63890933803</v>
      </c>
      <c r="D547" s="35" t="n">
        <v>1607.875625516594</v>
      </c>
      <c r="E547" s="37" t="n">
        <v>0.8290707018487652</v>
      </c>
      <c r="F547" s="37" t="n">
        <v>0.9223209525094404</v>
      </c>
      <c r="G547" s="37" t="n">
        <v>0.9134739062266812</v>
      </c>
      <c r="H547" s="37" t="n">
        <v>0.6571669551601864</v>
      </c>
      <c r="I547" s="37" t="n">
        <v>0.4690992033122526</v>
      </c>
      <c r="J547" s="32" t="inlineStr">
        <is>
          <t>No convergió</t>
        </is>
      </c>
      <c r="K547" s="29" t="inlineStr">
        <is>
          <t>—</t>
        </is>
      </c>
      <c r="L547" s="35" t="inlineStr">
        <is>
          <t>—</t>
        </is>
      </c>
      <c r="M547" s="36" t="n">
        <v>2669.763283821436</v>
      </c>
      <c r="N547" s="29" t="n">
        <v>2.660428979364414</v>
      </c>
      <c r="O547" s="16" t="inlineStr">
        <is>
          <t>no</t>
        </is>
      </c>
      <c r="P547" s="16" t="n"/>
    </row>
    <row r="548">
      <c r="A548" s="16" t="inlineStr">
        <is>
          <t>KF-M05-5-0034</t>
        </is>
      </c>
      <c r="B548" s="35" t="n">
        <v>278.7675794594728</v>
      </c>
      <c r="C548" s="36" t="n">
        <v>2523.41862017394</v>
      </c>
      <c r="D548" s="35" t="n">
        <v>1318.317116914638</v>
      </c>
      <c r="E548" s="37" t="n">
        <v>0.6078964004777367</v>
      </c>
      <c r="F548" s="37" t="n">
        <v>0.7750130405266873</v>
      </c>
      <c r="G548" s="37" t="n">
        <v>0.5560768076427551</v>
      </c>
      <c r="H548" s="37" t="n">
        <v>0.4626857192754696</v>
      </c>
      <c r="I548" s="37" t="n">
        <v>0.8900836898525522</v>
      </c>
      <c r="J548" s="42" t="inlineStr">
        <is>
          <t>KALINA</t>
        </is>
      </c>
      <c r="K548" s="29" t="n">
        <v>3.11068924757264</v>
      </c>
      <c r="L548" s="35" t="n">
        <v>44.44173195144404</v>
      </c>
      <c r="M548" s="36" t="n">
        <v>1205.101503259302</v>
      </c>
      <c r="N548" s="29" t="n">
        <v>1.914121107734456</v>
      </c>
      <c r="O548" s="16" t="inlineStr">
        <is>
          <t>sí</t>
        </is>
      </c>
      <c r="P548" s="16" t="n"/>
    </row>
    <row r="549">
      <c r="A549" s="16" t="inlineStr">
        <is>
          <t>KF-M05-5-0035</t>
        </is>
      </c>
      <c r="B549" s="35" t="n">
        <v>294.086709541707</v>
      </c>
      <c r="C549" s="36" t="n">
        <v>2932.411036467366</v>
      </c>
      <c r="D549" s="35" t="n">
        <v>1174.954452581969</v>
      </c>
      <c r="E549" s="37" t="n">
        <v>0.8438027508533359</v>
      </c>
      <c r="F549" s="37" t="n">
        <v>0.4338275151339823</v>
      </c>
      <c r="G549" s="37" t="n">
        <v>0.4973966800072619</v>
      </c>
      <c r="H549" s="37" t="n">
        <v>0.4343252336413878</v>
      </c>
      <c r="I549" s="37" t="n">
        <v>0.872161022603921</v>
      </c>
      <c r="J549" s="42" t="inlineStr">
        <is>
          <t>KALINA</t>
        </is>
      </c>
      <c r="K549" s="29" t="n">
        <v>6.01916206321789</v>
      </c>
      <c r="L549" s="35" t="n">
        <v>74.52127419302374</v>
      </c>
      <c r="M549" s="36" t="n">
        <v>1757.456583885396</v>
      </c>
      <c r="N549" s="29" t="n">
        <v>2.495765712469428</v>
      </c>
      <c r="O549" s="16" t="inlineStr">
        <is>
          <t>sí</t>
        </is>
      </c>
      <c r="P549" s="16" t="n"/>
    </row>
    <row r="550">
      <c r="A550" s="16" t="inlineStr">
        <is>
          <t>KF-M05-5-0036</t>
        </is>
      </c>
      <c r="B550" s="35" t="n">
        <v>295.1065231135662</v>
      </c>
      <c r="C550" s="36" t="n">
        <v>3541.38959080714</v>
      </c>
      <c r="D550" s="35" t="n">
        <v>1708.007145358487</v>
      </c>
      <c r="E550" s="37" t="n">
        <v>0.8559371714710768</v>
      </c>
      <c r="F550" s="37" t="n">
        <v>0.4462791636810688</v>
      </c>
      <c r="G550" s="37" t="n">
        <v>0.6869762293597141</v>
      </c>
      <c r="H550" s="37" t="n">
        <v>0.92238509643556</v>
      </c>
      <c r="I550" s="37" t="n">
        <v>0.5089521523109599</v>
      </c>
      <c r="J550" s="40" t="inlineStr">
        <is>
          <t>Inviable</t>
        </is>
      </c>
      <c r="K550" s="29" t="n">
        <v>-0.11675278449752</v>
      </c>
      <c r="L550" s="35" t="n">
        <v>-1.267873807797116</v>
      </c>
      <c r="M550" s="36" t="n">
        <v>1833.382445448654</v>
      </c>
      <c r="N550" s="29" t="n">
        <v>2.073404435356652</v>
      </c>
      <c r="O550" s="16" t="inlineStr">
        <is>
          <t>sí</t>
        </is>
      </c>
      <c r="P550" s="16" t="inlineStr">
        <is>
          <t>O2,O3</t>
        </is>
      </c>
    </row>
    <row r="551">
      <c r="A551" s="16" t="inlineStr">
        <is>
          <t>KF-M05-5-0037</t>
        </is>
      </c>
      <c r="B551" s="35" t="n">
        <v>289.4454913558614</v>
      </c>
      <c r="C551" s="36" t="n">
        <v>2693.879925950606</v>
      </c>
      <c r="D551" s="35" t="n">
        <v>1080.964267381771</v>
      </c>
      <c r="E551" s="37" t="n">
        <v>0.5435589948899233</v>
      </c>
      <c r="F551" s="37" t="n">
        <v>0.5105422772478606</v>
      </c>
      <c r="G551" s="37" t="n">
        <v>0.6473340418084523</v>
      </c>
      <c r="H551" s="37" t="n">
        <v>0.8718494085081223</v>
      </c>
      <c r="I551" s="37" t="n">
        <v>0.5144319658149737</v>
      </c>
      <c r="J551" s="40" t="inlineStr">
        <is>
          <t>Inviable</t>
        </is>
      </c>
      <c r="K551" s="29" t="n">
        <v>-3.7693685399961</v>
      </c>
      <c r="L551" s="35" t="n">
        <v>-39.63267434003888</v>
      </c>
      <c r="M551" s="36" t="n">
        <v>1612.915658568835</v>
      </c>
      <c r="N551" s="29" t="n">
        <v>2.492108210455019</v>
      </c>
      <c r="O551" s="16" t="inlineStr">
        <is>
          <t>sí</t>
        </is>
      </c>
      <c r="P551" s="16" t="inlineStr">
        <is>
          <t>O2,O3</t>
        </is>
      </c>
    </row>
    <row r="552">
      <c r="A552" s="16" t="inlineStr">
        <is>
          <t>KF-M05-5-0038</t>
        </is>
      </c>
      <c r="B552" s="35" t="n">
        <v>284.3131228100066</v>
      </c>
      <c r="C552" s="36" t="n">
        <v>3266.690846925424</v>
      </c>
      <c r="D552" s="35" t="n">
        <v>1873.264629785208</v>
      </c>
      <c r="E552" s="37" t="n">
        <v>0.7803406592305189</v>
      </c>
      <c r="F552" s="37" t="n">
        <v>0.7628678521190528</v>
      </c>
      <c r="G552" s="37" t="n">
        <v>0.7275047256342363</v>
      </c>
      <c r="H552" s="37" t="n">
        <v>0.6272376090569047</v>
      </c>
      <c r="I552" s="37" t="n">
        <v>0.4012661929469449</v>
      </c>
      <c r="J552" s="32" t="inlineStr">
        <is>
          <t>No convergió</t>
        </is>
      </c>
      <c r="K552" s="29" t="inlineStr">
        <is>
          <t>—</t>
        </is>
      </c>
      <c r="L552" s="35" t="inlineStr">
        <is>
          <t>—</t>
        </is>
      </c>
      <c r="M552" s="36" t="n">
        <v>1393.426217140216</v>
      </c>
      <c r="N552" s="29" t="n">
        <v>1.74384910438414</v>
      </c>
      <c r="O552" s="16" t="inlineStr">
        <is>
          <t>no</t>
        </is>
      </c>
      <c r="P552" s="16" t="n"/>
    </row>
    <row r="553">
      <c r="A553" s="16" t="inlineStr">
        <is>
          <t>KF-M05-5-0039</t>
        </is>
      </c>
      <c r="B553" s="35" t="n">
        <v>289.7982377552319</v>
      </c>
      <c r="C553" s="36" t="n">
        <v>4349.561378963209</v>
      </c>
      <c r="D553" s="35" t="n">
        <v>511.9976364599426</v>
      </c>
      <c r="E553" s="37" t="n">
        <v>0.4414372700523283</v>
      </c>
      <c r="F553" s="37" t="n">
        <v>0.4058026869960179</v>
      </c>
      <c r="G553" s="37" t="n">
        <v>0.8417416746194011</v>
      </c>
      <c r="H553" s="37" t="n">
        <v>0.6914485090455644</v>
      </c>
      <c r="I553" s="37" t="n">
        <v>0.5448603109209526</v>
      </c>
      <c r="J553" s="32" t="inlineStr">
        <is>
          <t>No convergió</t>
        </is>
      </c>
      <c r="K553" s="29" t="inlineStr">
        <is>
          <t>—</t>
        </is>
      </c>
      <c r="L553" s="35" t="inlineStr">
        <is>
          <t>—</t>
        </is>
      </c>
      <c r="M553" s="36" t="n">
        <v>3837.563742503266</v>
      </c>
      <c r="N553" s="29" t="n">
        <v>8.495276284939468</v>
      </c>
      <c r="O553" s="16" t="inlineStr">
        <is>
          <t>no</t>
        </is>
      </c>
      <c r="P553" s="16" t="n"/>
    </row>
    <row r="554">
      <c r="A554" s="16" t="inlineStr">
        <is>
          <t>KF-M05-5-0040</t>
        </is>
      </c>
      <c r="B554" s="35" t="n">
        <v>285.2515048679393</v>
      </c>
      <c r="C554" s="36" t="n">
        <v>2956.501267095994</v>
      </c>
      <c r="D554" s="35" t="n">
        <v>990.1207232407186</v>
      </c>
      <c r="E554" s="37" t="n">
        <v>0.7971452209069008</v>
      </c>
      <c r="F554" s="37" t="n">
        <v>0.6390970543339372</v>
      </c>
      <c r="G554" s="37" t="n">
        <v>0.4137417658394673</v>
      </c>
      <c r="H554" s="37" t="n">
        <v>0.8502436510085487</v>
      </c>
      <c r="I554" s="37" t="n">
        <v>0.7604874447946488</v>
      </c>
      <c r="J554" s="39" t="inlineStr">
        <is>
          <t>Corregible</t>
        </is>
      </c>
      <c r="K554" s="29" t="n">
        <v>7.74069206068929</v>
      </c>
      <c r="L554" s="35" t="n">
        <v>74.64030168580021</v>
      </c>
      <c r="M554" s="36" t="n">
        <v>1966.380543855275</v>
      </c>
      <c r="N554" s="29" t="n">
        <v>2.986000795356758</v>
      </c>
      <c r="O554" s="16" t="inlineStr">
        <is>
          <t>sí</t>
        </is>
      </c>
      <c r="P554" s="16" t="inlineStr">
        <is>
          <t>O2</t>
        </is>
      </c>
    </row>
    <row r="555">
      <c r="A555" s="16" t="inlineStr">
        <is>
          <t>KF-M05-5-0041</t>
        </is>
      </c>
      <c r="B555" s="35" t="n">
        <v>279.8781412179223</v>
      </c>
      <c r="C555" s="36" t="n">
        <v>4997.473506554956</v>
      </c>
      <c r="D555" s="35" t="n">
        <v>490.8133089762333</v>
      </c>
      <c r="E555" s="37" t="n">
        <v>0.6438663309469856</v>
      </c>
      <c r="F555" s="37" t="n">
        <v>0.8330489025294745</v>
      </c>
      <c r="G555" s="37" t="n">
        <v>0.6809713889580715</v>
      </c>
      <c r="H555" s="37" t="n">
        <v>0.8203612588508935</v>
      </c>
      <c r="I555" s="37" t="n">
        <v>0.4162140930415819</v>
      </c>
      <c r="J555" s="32" t="inlineStr">
        <is>
          <t>No convergió</t>
        </is>
      </c>
      <c r="K555" s="29" t="inlineStr">
        <is>
          <t>—</t>
        </is>
      </c>
      <c r="L555" s="35" t="inlineStr">
        <is>
          <t>—</t>
        </is>
      </c>
      <c r="M555" s="36" t="n">
        <v>4506.660197578723</v>
      </c>
      <c r="N555" s="29" t="n">
        <v>10.1820252531028</v>
      </c>
      <c r="O555" s="16" t="inlineStr">
        <is>
          <t>no</t>
        </is>
      </c>
      <c r="P555" s="16" t="n"/>
    </row>
    <row r="556">
      <c r="A556" s="16" t="inlineStr">
        <is>
          <t>KF-M05-5-0042</t>
        </is>
      </c>
      <c r="B556" s="35" t="n">
        <v>293.048285943396</v>
      </c>
      <c r="C556" s="36" t="n">
        <v>2402.88674772668</v>
      </c>
      <c r="D556" s="35" t="n">
        <v>729.9780860451657</v>
      </c>
      <c r="E556" s="37" t="n">
        <v>0.4584706114212786</v>
      </c>
      <c r="F556" s="37" t="n">
        <v>0.4979251587649494</v>
      </c>
      <c r="G556" s="37" t="n">
        <v>0.456536940573651</v>
      </c>
      <c r="H556" s="37" t="n">
        <v>0.6707984474983413</v>
      </c>
      <c r="I556" s="37" t="n">
        <v>0.650138071789236</v>
      </c>
      <c r="J556" s="40" t="inlineStr">
        <is>
          <t>Inviable</t>
        </is>
      </c>
      <c r="K556" s="29" t="n">
        <v>-0.29851878299881</v>
      </c>
      <c r="L556" s="35" t="n">
        <v>-2.894673677590525</v>
      </c>
      <c r="M556" s="36" t="n">
        <v>1672.908661681514</v>
      </c>
      <c r="N556" s="29" t="n">
        <v>3.291724496477565</v>
      </c>
      <c r="O556" s="16" t="inlineStr">
        <is>
          <t>sí</t>
        </is>
      </c>
      <c r="P556" s="16" t="inlineStr">
        <is>
          <t>O2,O3</t>
        </is>
      </c>
    </row>
    <row r="557">
      <c r="A557" s="16" t="inlineStr">
        <is>
          <t>KF-M05-5-0043</t>
        </is>
      </c>
      <c r="B557" s="35" t="n">
        <v>293.6265130778764</v>
      </c>
      <c r="C557" s="36" t="n">
        <v>4048.841684997317</v>
      </c>
      <c r="D557" s="35" t="n">
        <v>1110.417205846181</v>
      </c>
      <c r="E557" s="37" t="n">
        <v>0.4247821523197056</v>
      </c>
      <c r="F557" s="37" t="n">
        <v>0.5493972845341409</v>
      </c>
      <c r="G557" s="37" t="n">
        <v>0.8110658630932899</v>
      </c>
      <c r="H557" s="37" t="n">
        <v>0.5595615388292161</v>
      </c>
      <c r="I557" s="37" t="n">
        <v>0.7170330681711736</v>
      </c>
      <c r="J557" s="32" t="inlineStr">
        <is>
          <t>No convergió</t>
        </is>
      </c>
      <c r="K557" s="29" t="inlineStr">
        <is>
          <t>—</t>
        </is>
      </c>
      <c r="L557" s="35" t="inlineStr">
        <is>
          <t>—</t>
        </is>
      </c>
      <c r="M557" s="36" t="n">
        <v>2938.424479151136</v>
      </c>
      <c r="N557" s="29" t="n">
        <v>3.646234643772421</v>
      </c>
      <c r="O557" s="16" t="inlineStr">
        <is>
          <t>no</t>
        </is>
      </c>
      <c r="P557" s="16" t="n"/>
    </row>
    <row r="558">
      <c r="A558" s="16" t="inlineStr">
        <is>
          <t>KF-M05-5-0044</t>
        </is>
      </c>
      <c r="B558" s="35" t="n">
        <v>297.1561648797883</v>
      </c>
      <c r="C558" s="36" t="n">
        <v>3015.763396301076</v>
      </c>
      <c r="D558" s="35" t="n">
        <v>268.3560550221556</v>
      </c>
      <c r="E558" s="37" t="n">
        <v>0.6249376090973019</v>
      </c>
      <c r="F558" s="37" t="n">
        <v>0.6052890348029776</v>
      </c>
      <c r="G558" s="37" t="n">
        <v>0.4536502867603407</v>
      </c>
      <c r="H558" s="37" t="n">
        <v>0.8902363800953579</v>
      </c>
      <c r="I558" s="37" t="n">
        <v>0.9349653638949704</v>
      </c>
      <c r="J558" s="39" t="inlineStr">
        <is>
          <t>Corregible</t>
        </is>
      </c>
      <c r="K558" s="29" t="n">
        <v>11.03529971513441</v>
      </c>
      <c r="L558" s="35" t="n">
        <v>118.5471055029785</v>
      </c>
      <c r="M558" s="36" t="n">
        <v>2747.407341278921</v>
      </c>
      <c r="N558" s="29" t="n">
        <v>11.23791820554261</v>
      </c>
      <c r="O558" s="16" t="inlineStr">
        <is>
          <t>sí</t>
        </is>
      </c>
      <c r="P558" s="16" t="inlineStr">
        <is>
          <t>O2</t>
        </is>
      </c>
    </row>
    <row r="559">
      <c r="A559" s="16" t="inlineStr">
        <is>
          <t>KF-M05-5-0045</t>
        </is>
      </c>
      <c r="B559" s="35" t="n">
        <v>303.0084019609208</v>
      </c>
      <c r="C559" s="36" t="n">
        <v>4689.462116621972</v>
      </c>
      <c r="D559" s="35" t="n">
        <v>1898.977479582325</v>
      </c>
      <c r="E559" s="37" t="n">
        <v>0.6883307456934709</v>
      </c>
      <c r="F559" s="37" t="n">
        <v>0.5246292282476724</v>
      </c>
      <c r="G559" s="37" t="n">
        <v>0.5240318153353074</v>
      </c>
      <c r="H559" s="37" t="n">
        <v>0.753486712546904</v>
      </c>
      <c r="I559" s="37" t="n">
        <v>0.54153200788578</v>
      </c>
      <c r="J559" s="39" t="inlineStr">
        <is>
          <t>Corregible</t>
        </is>
      </c>
      <c r="K559" s="29" t="n">
        <v>0.9845186451588001</v>
      </c>
      <c r="L559" s="35" t="n">
        <v>9.222194578600025</v>
      </c>
      <c r="M559" s="36" t="n">
        <v>2790.484637039647</v>
      </c>
      <c r="N559" s="29" t="n">
        <v>2.469466945786744</v>
      </c>
      <c r="O559" s="16" t="inlineStr">
        <is>
          <t>sí</t>
        </is>
      </c>
      <c r="P559" s="16" t="inlineStr">
        <is>
          <t>O2</t>
        </is>
      </c>
    </row>
    <row r="560">
      <c r="A560" s="16" t="inlineStr">
        <is>
          <t>KF-M05-5-0046</t>
        </is>
      </c>
      <c r="B560" s="35" t="n">
        <v>289.6963109950477</v>
      </c>
      <c r="C560" s="36" t="n">
        <v>2801.462315630319</v>
      </c>
      <c r="D560" s="35" t="n">
        <v>1137.71559452292</v>
      </c>
      <c r="E560" s="37" t="n">
        <v>0.6573209375188411</v>
      </c>
      <c r="F560" s="37" t="n">
        <v>0.6947409666403035</v>
      </c>
      <c r="G560" s="37" t="n">
        <v>0.9312938028100484</v>
      </c>
      <c r="H560" s="37" t="n">
        <v>0.8538481733964094</v>
      </c>
      <c r="I560" s="37" t="n">
        <v>0.6632834446711762</v>
      </c>
      <c r="J560" s="32" t="inlineStr">
        <is>
          <t>No convergió</t>
        </is>
      </c>
      <c r="K560" s="29" t="inlineStr">
        <is>
          <t>—</t>
        </is>
      </c>
      <c r="L560" s="35" t="inlineStr">
        <is>
          <t>—</t>
        </is>
      </c>
      <c r="M560" s="36" t="n">
        <v>1663.746721107398</v>
      </c>
      <c r="N560" s="29" t="n">
        <v>2.46235731418014</v>
      </c>
      <c r="O560" s="16" t="inlineStr">
        <is>
          <t>no</t>
        </is>
      </c>
      <c r="P560" s="16" t="n"/>
    </row>
    <row r="561">
      <c r="A561" s="16" t="inlineStr">
        <is>
          <t>KF-M05-5-0047</t>
        </is>
      </c>
      <c r="B561" s="35" t="n">
        <v>284.0673291406394</v>
      </c>
      <c r="C561" s="36" t="n">
        <v>4163.604261077337</v>
      </c>
      <c r="D561" s="35" t="n">
        <v>1723.922022770217</v>
      </c>
      <c r="E561" s="37" t="n">
        <v>0.895804280839949</v>
      </c>
      <c r="F561" s="37" t="n">
        <v>0.4720208924841144</v>
      </c>
      <c r="G561" s="37" t="n">
        <v>0.7236156253278285</v>
      </c>
      <c r="H561" s="37" t="n">
        <v>0.6782778557752815</v>
      </c>
      <c r="I561" s="37" t="n">
        <v>0.929425777871337</v>
      </c>
      <c r="J561" s="42" t="inlineStr">
        <is>
          <t>KALINA</t>
        </is>
      </c>
      <c r="K561" s="29" t="n">
        <v>6.182073472884301</v>
      </c>
      <c r="L561" s="35" t="n">
        <v>114.6195503393071</v>
      </c>
      <c r="M561" s="36" t="n">
        <v>2439.682238307119</v>
      </c>
      <c r="N561" s="29" t="n">
        <v>2.41519291828915</v>
      </c>
      <c r="O561" s="16" t="inlineStr">
        <is>
          <t>sí</t>
        </is>
      </c>
      <c r="P561" s="16" t="n"/>
    </row>
    <row r="562">
      <c r="A562" s="16" t="inlineStr">
        <is>
          <t>KF-M05-5-0048</t>
        </is>
      </c>
      <c r="B562" s="35" t="n">
        <v>287.7882845761089</v>
      </c>
      <c r="C562" s="36" t="n">
        <v>2858.055223514763</v>
      </c>
      <c r="D562" s="35" t="n">
        <v>602.0603352086875</v>
      </c>
      <c r="E562" s="37" t="n">
        <v>0.9265239010720066</v>
      </c>
      <c r="F562" s="37" t="n">
        <v>0.8801106255721651</v>
      </c>
      <c r="G562" s="37" t="n">
        <v>0.8845546400253118</v>
      </c>
      <c r="H562" s="37" t="n">
        <v>0.4317371279321191</v>
      </c>
      <c r="I562" s="37" t="n">
        <v>0.9000745275521693</v>
      </c>
      <c r="J562" s="32" t="inlineStr">
        <is>
          <t>No convergió</t>
        </is>
      </c>
      <c r="K562" s="29" t="inlineStr">
        <is>
          <t>—</t>
        </is>
      </c>
      <c r="L562" s="35" t="inlineStr">
        <is>
          <t>—</t>
        </is>
      </c>
      <c r="M562" s="36" t="n">
        <v>2255.994888306076</v>
      </c>
      <c r="N562" s="29" t="n">
        <v>4.747124260434957</v>
      </c>
      <c r="O562" s="16" t="inlineStr">
        <is>
          <t>no</t>
        </is>
      </c>
      <c r="P562" s="16" t="n"/>
    </row>
    <row r="563">
      <c r="A563" s="16" t="inlineStr">
        <is>
          <t>KF-M05-5-0049</t>
        </is>
      </c>
      <c r="B563" s="35" t="n">
        <v>284.8861320277855</v>
      </c>
      <c r="C563" s="36" t="n">
        <v>3138.174180328562</v>
      </c>
      <c r="D563" s="35" t="n">
        <v>705.595930134916</v>
      </c>
      <c r="E563" s="37" t="n">
        <v>0.5326635084857522</v>
      </c>
      <c r="F563" s="37" t="n">
        <v>0.8241309123820826</v>
      </c>
      <c r="G563" s="37" t="n">
        <v>0.9319788840029736</v>
      </c>
      <c r="H563" s="37" t="n">
        <v>0.4666059301430827</v>
      </c>
      <c r="I563" s="37" t="n">
        <v>0.7898385467972748</v>
      </c>
      <c r="J563" s="32" t="inlineStr">
        <is>
          <t>No convergió</t>
        </is>
      </c>
      <c r="K563" s="29" t="inlineStr">
        <is>
          <t>—</t>
        </is>
      </c>
      <c r="L563" s="35" t="inlineStr">
        <is>
          <t>—</t>
        </is>
      </c>
      <c r="M563" s="36" t="n">
        <v>2432.578250193646</v>
      </c>
      <c r="N563" s="29" t="n">
        <v>4.447551419023231</v>
      </c>
      <c r="O563" s="16" t="inlineStr">
        <is>
          <t>no</t>
        </is>
      </c>
      <c r="P563" s="16" t="n"/>
    </row>
    <row r="564">
      <c r="A564" s="16" t="inlineStr">
        <is>
          <t>KF-M05-5-0050</t>
        </is>
      </c>
      <c r="B564" s="35" t="n">
        <v>303.3580790917477</v>
      </c>
      <c r="C564" s="36" t="n">
        <v>4444.194259509013</v>
      </c>
      <c r="D564" s="35" t="n">
        <v>929.5999537686112</v>
      </c>
      <c r="E564" s="37" t="n">
        <v>0.8308463243372639</v>
      </c>
      <c r="F564" s="37" t="n">
        <v>0.7372491615622546</v>
      </c>
      <c r="G564" s="37" t="n">
        <v>0.599998388755437</v>
      </c>
      <c r="H564" s="37" t="n">
        <v>0.8419914898963954</v>
      </c>
      <c r="I564" s="37" t="n">
        <v>0.4905224774050116</v>
      </c>
      <c r="J564" s="39" t="inlineStr">
        <is>
          <t>Corregible</t>
        </is>
      </c>
      <c r="K564" s="29" t="n">
        <v>6.27654511660406</v>
      </c>
      <c r="L564" s="35" t="n">
        <v>60.2656905854584</v>
      </c>
      <c r="M564" s="36" t="n">
        <v>3514.594305740402</v>
      </c>
      <c r="N564" s="29" t="n">
        <v>4.780759983358635</v>
      </c>
      <c r="O564" s="16" t="inlineStr">
        <is>
          <t>sí</t>
        </is>
      </c>
      <c r="P564" s="16" t="inlineStr">
        <is>
          <t>O2</t>
        </is>
      </c>
    </row>
    <row r="565">
      <c r="A565" s="16" t="inlineStr">
        <is>
          <t>KF-M05-5-0051</t>
        </is>
      </c>
      <c r="B565" s="35" t="n">
        <v>279.2174817575262</v>
      </c>
      <c r="C565" s="36" t="n">
        <v>3592.848794240752</v>
      </c>
      <c r="D565" s="35" t="n">
        <v>887.8096856778587</v>
      </c>
      <c r="E565" s="37" t="n">
        <v>0.6735222579112203</v>
      </c>
      <c r="F565" s="37" t="n">
        <v>0.6232145465786262</v>
      </c>
      <c r="G565" s="37" t="n">
        <v>0.8597087728680608</v>
      </c>
      <c r="H565" s="37" t="n">
        <v>0.9346407556146216</v>
      </c>
      <c r="I565" s="37" t="n">
        <v>0.8388927318418533</v>
      </c>
      <c r="J565" s="32" t="inlineStr">
        <is>
          <t>No convergió</t>
        </is>
      </c>
      <c r="K565" s="29" t="inlineStr">
        <is>
          <t>—</t>
        </is>
      </c>
      <c r="L565" s="35" t="inlineStr">
        <is>
          <t>—</t>
        </is>
      </c>
      <c r="M565" s="36" t="n">
        <v>2705.039108562893</v>
      </c>
      <c r="N565" s="29" t="n">
        <v>4.046868210834563</v>
      </c>
      <c r="O565" s="16" t="inlineStr">
        <is>
          <t>no</t>
        </is>
      </c>
      <c r="P565" s="16" t="n"/>
    </row>
    <row r="566">
      <c r="A566" s="16" t="inlineStr">
        <is>
          <t>KF-M05-5-0052</t>
        </is>
      </c>
      <c r="B566" s="35" t="n">
        <v>296.6732567406046</v>
      </c>
      <c r="C566" s="36" t="n">
        <v>2556.312813189159</v>
      </c>
      <c r="D566" s="35" t="n">
        <v>573.5904750382401</v>
      </c>
      <c r="E566" s="37" t="n">
        <v>0.6943157377855331</v>
      </c>
      <c r="F566" s="37" t="n">
        <v>0.8466425256346684</v>
      </c>
      <c r="G566" s="37" t="n">
        <v>0.8169622066480948</v>
      </c>
      <c r="H566" s="37" t="n">
        <v>0.5723653903221173</v>
      </c>
      <c r="I566" s="37" t="n">
        <v>0.8464557056210633</v>
      </c>
      <c r="J566" s="39" t="inlineStr">
        <is>
          <t>Corregible</t>
        </is>
      </c>
      <c r="K566" s="29" t="n">
        <v>8.36523138326775</v>
      </c>
      <c r="L566" s="35" t="n">
        <v>164.6904718912091</v>
      </c>
      <c r="M566" s="36" t="n">
        <v>1982.722338150918</v>
      </c>
      <c r="N566" s="29" t="n">
        <v>4.456686302224133</v>
      </c>
      <c r="O566" s="16" t="inlineStr">
        <is>
          <t>sí</t>
        </is>
      </c>
      <c r="P566" s="16" t="inlineStr">
        <is>
          <t>O2</t>
        </is>
      </c>
    </row>
    <row r="567">
      <c r="A567" s="16" t="inlineStr">
        <is>
          <t>KF-M05-5-0053</t>
        </is>
      </c>
      <c r="B567" s="35" t="n">
        <v>302.204421424404</v>
      </c>
      <c r="C567" s="36" t="n">
        <v>3976.493599186267</v>
      </c>
      <c r="D567" s="35" t="n">
        <v>1810.585321724594</v>
      </c>
      <c r="E567" s="37" t="n">
        <v>0.5962113823911759</v>
      </c>
      <c r="F567" s="37" t="n">
        <v>0.9032400681577272</v>
      </c>
      <c r="G567" s="37" t="n">
        <v>0.5363949776602055</v>
      </c>
      <c r="H567" s="37" t="n">
        <v>0.6072109479619994</v>
      </c>
      <c r="I567" s="37" t="n">
        <v>0.8128090615508282</v>
      </c>
      <c r="J567" s="42" t="inlineStr">
        <is>
          <t>KALINA</t>
        </is>
      </c>
      <c r="K567" s="29" t="n">
        <v>4.12765925209862</v>
      </c>
      <c r="L567" s="35" t="n">
        <v>51.36821183333726</v>
      </c>
      <c r="M567" s="36" t="n">
        <v>2165.908277461673</v>
      </c>
      <c r="N567" s="29" t="n">
        <v>2.196247562306885</v>
      </c>
      <c r="O567" s="16" t="inlineStr">
        <is>
          <t>sí</t>
        </is>
      </c>
      <c r="P567" s="16" t="n"/>
    </row>
    <row r="568">
      <c r="A568" s="16" t="inlineStr">
        <is>
          <t>KF-M05-5-0054</t>
        </is>
      </c>
      <c r="B568" s="35" t="n">
        <v>280.2050537109457</v>
      </c>
      <c r="C568" s="36" t="n">
        <v>4597.210086874074</v>
      </c>
      <c r="D568" s="35" t="n">
        <v>1965.782617444158</v>
      </c>
      <c r="E568" s="37" t="n">
        <v>0.44638050980958</v>
      </c>
      <c r="F568" s="37" t="n">
        <v>0.8766014178592545</v>
      </c>
      <c r="G568" s="37" t="n">
        <v>0.9122298135214738</v>
      </c>
      <c r="H568" s="37" t="n">
        <v>0.9176228542493235</v>
      </c>
      <c r="I568" s="37" t="n">
        <v>0.6841790726845411</v>
      </c>
      <c r="J568" s="32" t="inlineStr">
        <is>
          <t>No convergió</t>
        </is>
      </c>
      <c r="K568" s="29" t="inlineStr">
        <is>
          <t>—</t>
        </is>
      </c>
      <c r="L568" s="35" t="inlineStr">
        <is>
          <t>—</t>
        </is>
      </c>
      <c r="M568" s="36" t="n">
        <v>2631.427469429917</v>
      </c>
      <c r="N568" s="29" t="n">
        <v>2.338615697421929</v>
      </c>
      <c r="O568" s="16" t="inlineStr">
        <is>
          <t>no</t>
        </is>
      </c>
      <c r="P568" s="16" t="n"/>
    </row>
    <row r="569">
      <c r="A569" s="16" t="inlineStr">
        <is>
          <t>KF-M05-5-0055</t>
        </is>
      </c>
      <c r="B569" s="35" t="n">
        <v>295.7249569139911</v>
      </c>
      <c r="C569" s="36" t="n">
        <v>2533.586739828048</v>
      </c>
      <c r="D569" s="35" t="n">
        <v>1555.389057277024</v>
      </c>
      <c r="E569" s="37" t="n">
        <v>0.5340037860706393</v>
      </c>
      <c r="F569" s="37" t="n">
        <v>0.7803598322806764</v>
      </c>
      <c r="G569" s="37" t="n">
        <v>0.5074247743121583</v>
      </c>
      <c r="H569" s="37" t="n">
        <v>0.6048061005436942</v>
      </c>
      <c r="I569" s="37" t="n">
        <v>0.7382347568673848</v>
      </c>
      <c r="J569" s="39" t="inlineStr">
        <is>
          <t>Corregible</t>
        </is>
      </c>
      <c r="K569" s="29" t="n">
        <v>2.16394469247402</v>
      </c>
      <c r="L569" s="35" t="n">
        <v>25.10029067527477</v>
      </c>
      <c r="M569" s="36" t="n">
        <v>978.1976825510242</v>
      </c>
      <c r="N569" s="29" t="n">
        <v>1.628908682348279</v>
      </c>
      <c r="O569" s="16" t="inlineStr">
        <is>
          <t>sí</t>
        </is>
      </c>
      <c r="P569" s="16" t="inlineStr">
        <is>
          <t>O2</t>
        </is>
      </c>
    </row>
    <row r="570">
      <c r="A570" s="16" t="inlineStr">
        <is>
          <t>KF-M05-5-0056</t>
        </is>
      </c>
      <c r="B570" s="35" t="n">
        <v>283.1146924308542</v>
      </c>
      <c r="C570" s="36" t="n">
        <v>2717.240948695531</v>
      </c>
      <c r="D570" s="35" t="n">
        <v>1629.451746926305</v>
      </c>
      <c r="E570" s="37" t="n">
        <v>0.7277717549081979</v>
      </c>
      <c r="F570" s="37" t="n">
        <v>0.4518820901253076</v>
      </c>
      <c r="G570" s="37" t="n">
        <v>0.8543597602882871</v>
      </c>
      <c r="H570" s="37" t="n">
        <v>0.8806003699165275</v>
      </c>
      <c r="I570" s="37" t="n">
        <v>0.9210018685442384</v>
      </c>
      <c r="J570" s="32" t="inlineStr">
        <is>
          <t>No convergió</t>
        </is>
      </c>
      <c r="K570" s="29" t="inlineStr">
        <is>
          <t>—</t>
        </is>
      </c>
      <c r="L570" s="35" t="inlineStr">
        <is>
          <t>—</t>
        </is>
      </c>
      <c r="M570" s="36" t="n">
        <v>1087.789201769225</v>
      </c>
      <c r="N570" s="29" t="n">
        <v>1.667579880055462</v>
      </c>
      <c r="O570" s="16" t="inlineStr">
        <is>
          <t>no</t>
        </is>
      </c>
      <c r="P570" s="16" t="n"/>
    </row>
    <row r="571">
      <c r="A571" s="16" t="inlineStr">
        <is>
          <t>KF-M05-5-0057</t>
        </is>
      </c>
      <c r="B571" s="35" t="n">
        <v>294.7606031920507</v>
      </c>
      <c r="C571" s="36" t="n">
        <v>2053.932495928782</v>
      </c>
      <c r="D571" s="35" t="n">
        <v>1698.269053717214</v>
      </c>
      <c r="E571" s="37" t="n">
        <v>0.7152731113984605</v>
      </c>
      <c r="F571" s="37" t="n">
        <v>0.5193723054191712</v>
      </c>
      <c r="G571" s="37" t="n">
        <v>0.4333760854618198</v>
      </c>
      <c r="H571" s="37" t="n">
        <v>0.5066173810670457</v>
      </c>
      <c r="I571" s="37" t="n">
        <v>0.6340601631920377</v>
      </c>
      <c r="J571" s="39" t="inlineStr">
        <is>
          <t>Corregible</t>
        </is>
      </c>
      <c r="K571" s="29" t="n">
        <v>0.7320471183812201</v>
      </c>
      <c r="L571" s="35" t="n">
        <v>6.899598451612848</v>
      </c>
      <c r="M571" s="36" t="n">
        <v>355.6634422115678</v>
      </c>
      <c r="N571" s="29" t="n">
        <v>1.209427028911045</v>
      </c>
      <c r="O571" s="16" t="inlineStr">
        <is>
          <t>sí</t>
        </is>
      </c>
      <c r="P571" s="16" t="inlineStr">
        <is>
          <t>O2</t>
        </is>
      </c>
    </row>
    <row r="572">
      <c r="A572" s="16" t="inlineStr">
        <is>
          <t>KF-M05-5-0058</t>
        </is>
      </c>
      <c r="B572" s="35" t="n">
        <v>296.3135626024662</v>
      </c>
      <c r="C572" s="36" t="n">
        <v>2221.580847465176</v>
      </c>
      <c r="D572" s="35" t="n">
        <v>1007.013731465906</v>
      </c>
      <c r="E572" s="37" t="n">
        <v>0.5023535091538297</v>
      </c>
      <c r="F572" s="37" t="n">
        <v>0.8212608856796981</v>
      </c>
      <c r="G572" s="37" t="n">
        <v>0.7200392253562287</v>
      </c>
      <c r="H572" s="37" t="n">
        <v>0.8131631400702164</v>
      </c>
      <c r="I572" s="37" t="n">
        <v>0.6228391552764485</v>
      </c>
      <c r="J572" s="39" t="inlineStr">
        <is>
          <t>Corregible</t>
        </is>
      </c>
      <c r="K572" s="29" t="n">
        <v>1.391798913384</v>
      </c>
      <c r="L572" s="35" t="n">
        <v>18.95878598127464</v>
      </c>
      <c r="M572" s="36" t="n">
        <v>1214.56711599927</v>
      </c>
      <c r="N572" s="29" t="n">
        <v>2.20610779977273</v>
      </c>
      <c r="O572" s="16" t="inlineStr">
        <is>
          <t>sí</t>
        </is>
      </c>
      <c r="P572" s="16" t="inlineStr">
        <is>
          <t>O2</t>
        </is>
      </c>
    </row>
    <row r="573">
      <c r="A573" s="16" t="inlineStr">
        <is>
          <t>KF-M05-5-0059</t>
        </is>
      </c>
      <c r="B573" s="35" t="n">
        <v>290.0258448347344</v>
      </c>
      <c r="C573" s="36" t="n">
        <v>3914.4647998364</v>
      </c>
      <c r="D573" s="35" t="n">
        <v>583.3889723668001</v>
      </c>
      <c r="E573" s="37" t="n">
        <v>0.915659532869728</v>
      </c>
      <c r="F573" s="37" t="n">
        <v>0.6182237718104395</v>
      </c>
      <c r="G573" s="37" t="n">
        <v>0.8867938612742033</v>
      </c>
      <c r="H573" s="37" t="n">
        <v>0.4975847980875102</v>
      </c>
      <c r="I573" s="37" t="n">
        <v>0.6802131916668005</v>
      </c>
      <c r="J573" s="32" t="inlineStr">
        <is>
          <t>No convergió</t>
        </is>
      </c>
      <c r="K573" s="29" t="inlineStr">
        <is>
          <t>—</t>
        </is>
      </c>
      <c r="L573" s="35" t="inlineStr">
        <is>
          <t>—</t>
        </is>
      </c>
      <c r="M573" s="36" t="n">
        <v>3331.0758274696</v>
      </c>
      <c r="N573" s="29" t="n">
        <v>6.709871089875896</v>
      </c>
      <c r="O573" s="16" t="inlineStr">
        <is>
          <t>no</t>
        </is>
      </c>
      <c r="P573" s="16" t="n"/>
    </row>
    <row r="574">
      <c r="A574" s="16" t="inlineStr">
        <is>
          <t>KF-M05-5-0060</t>
        </is>
      </c>
      <c r="B574" s="35" t="n">
        <v>299.5966719754293</v>
      </c>
      <c r="C574" s="36" t="n">
        <v>4229.702644350538</v>
      </c>
      <c r="D574" s="35" t="n">
        <v>788.2892307169246</v>
      </c>
      <c r="E574" s="37" t="n">
        <v>0.6837405785918482</v>
      </c>
      <c r="F574" s="37" t="n">
        <v>0.6121256448735308</v>
      </c>
      <c r="G574" s="37" t="n">
        <v>0.6044102764453938</v>
      </c>
      <c r="H574" s="37" t="n">
        <v>0.834485160060516</v>
      </c>
      <c r="I574" s="37" t="n">
        <v>0.9084555460761156</v>
      </c>
      <c r="J574" s="39" t="inlineStr">
        <is>
          <t>Corregible</t>
        </is>
      </c>
      <c r="K574" s="29" t="n">
        <v>9.20203798117711</v>
      </c>
      <c r="L574" s="35" t="n">
        <v>133.7975881386227</v>
      </c>
      <c r="M574" s="36" t="n">
        <v>3441.413413633614</v>
      </c>
      <c r="N574" s="29" t="n">
        <v>5.365673511109311</v>
      </c>
      <c r="O574" s="16" t="inlineStr">
        <is>
          <t>sí</t>
        </is>
      </c>
      <c r="P574" s="16" t="inlineStr">
        <is>
          <t>O2</t>
        </is>
      </c>
    </row>
    <row r="575">
      <c r="A575" s="16" t="inlineStr">
        <is>
          <t>KF-M05-5-0061</t>
        </is>
      </c>
      <c r="B575" s="35" t="n">
        <v>282.2279959089475</v>
      </c>
      <c r="C575" s="36" t="n">
        <v>4654.55954516022</v>
      </c>
      <c r="D575" s="35" t="n">
        <v>1363.193773342409</v>
      </c>
      <c r="E575" s="37" t="n">
        <v>0.9067142988223024</v>
      </c>
      <c r="F575" s="37" t="n">
        <v>0.5830451942664714</v>
      </c>
      <c r="G575" s="37" t="n">
        <v>0.6217751366776599</v>
      </c>
      <c r="H575" s="37" t="n">
        <v>0.7818635388016477</v>
      </c>
      <c r="I575" s="37" t="n">
        <v>0.7627513118513001</v>
      </c>
      <c r="J575" s="39" t="inlineStr">
        <is>
          <t>Corregible</t>
        </is>
      </c>
      <c r="K575" s="29" t="n">
        <v>9.755004864486621</v>
      </c>
      <c r="L575" s="35" t="n">
        <v>137.8577341043493</v>
      </c>
      <c r="M575" s="36" t="n">
        <v>3291.365771817811</v>
      </c>
      <c r="N575" s="29" t="n">
        <v>3.414451882176461</v>
      </c>
      <c r="O575" s="16" t="inlineStr">
        <is>
          <t>sí</t>
        </is>
      </c>
      <c r="P575" s="16" t="inlineStr">
        <is>
          <t>O2</t>
        </is>
      </c>
    </row>
    <row r="576">
      <c r="A576" s="16" t="inlineStr">
        <is>
          <t>KF-M05-5-0062</t>
        </is>
      </c>
      <c r="B576" s="35" t="n">
        <v>285.6763984887064</v>
      </c>
      <c r="C576" s="36" t="n">
        <v>4873.243396133115</v>
      </c>
      <c r="D576" s="35" t="n">
        <v>1850.891366576983</v>
      </c>
      <c r="E576" s="37" t="n">
        <v>0.8099225629941593</v>
      </c>
      <c r="F576" s="37" t="n">
        <v>0.787159208060606</v>
      </c>
      <c r="G576" s="37" t="n">
        <v>0.8279370701645101</v>
      </c>
      <c r="H576" s="37" t="n">
        <v>0.6198214854925661</v>
      </c>
      <c r="I576" s="37" t="n">
        <v>0.7290392447900157</v>
      </c>
      <c r="J576" s="32" t="inlineStr">
        <is>
          <t>No convergió</t>
        </is>
      </c>
      <c r="K576" s="29" t="inlineStr">
        <is>
          <t>—</t>
        </is>
      </c>
      <c r="L576" s="35" t="inlineStr">
        <is>
          <t>—</t>
        </is>
      </c>
      <c r="M576" s="36" t="n">
        <v>3022.352029556132</v>
      </c>
      <c r="N576" s="29" t="n">
        <v>2.632917028050996</v>
      </c>
      <c r="O576" s="16" t="inlineStr">
        <is>
          <t>no</t>
        </is>
      </c>
      <c r="P576" s="16" t="n"/>
    </row>
    <row r="577">
      <c r="A577" s="16" t="inlineStr">
        <is>
          <t>KF-M05-5-0063</t>
        </is>
      </c>
      <c r="B577" s="35" t="n">
        <v>300.3451283362824</v>
      </c>
      <c r="C577" s="36" t="n">
        <v>4642.224557439691</v>
      </c>
      <c r="D577" s="35" t="n">
        <v>380.0306949122293</v>
      </c>
      <c r="E577" s="37" t="n">
        <v>0.8806589975326629</v>
      </c>
      <c r="F577" s="37" t="n">
        <v>0.9476034708418593</v>
      </c>
      <c r="G577" s="37" t="n">
        <v>0.6515949535496112</v>
      </c>
      <c r="H577" s="37" t="n">
        <v>0.5256491983139306</v>
      </c>
      <c r="I577" s="37" t="n">
        <v>0.9422393966231412</v>
      </c>
      <c r="J577" s="39" t="inlineStr">
        <is>
          <t>Corregible</t>
        </is>
      </c>
      <c r="K577" s="29" t="n">
        <v>16.24418236501899</v>
      </c>
      <c r="L577" s="35" t="n">
        <v>265.7538728698513</v>
      </c>
      <c r="M577" s="36" t="n">
        <v>4262.193862527462</v>
      </c>
      <c r="N577" s="29" t="n">
        <v>12.21539370263722</v>
      </c>
      <c r="O577" s="16" t="inlineStr">
        <is>
          <t>sí</t>
        </is>
      </c>
      <c r="P577" s="16" t="inlineStr">
        <is>
          <t>O1,O2</t>
        </is>
      </c>
    </row>
    <row r="578">
      <c r="A578" s="16" t="inlineStr">
        <is>
          <t>KF-M05-5-0064</t>
        </is>
      </c>
      <c r="B578" s="35" t="n">
        <v>278.4965027536825</v>
      </c>
      <c r="C578" s="36" t="n">
        <v>3085.144476148409</v>
      </c>
      <c r="D578" s="35" t="n">
        <v>1782.9854213851</v>
      </c>
      <c r="E578" s="37" t="n">
        <v>0.5376495495030026</v>
      </c>
      <c r="F578" s="37" t="n">
        <v>0.8038263548920455</v>
      </c>
      <c r="G578" s="37" t="n">
        <v>0.4865959558220447</v>
      </c>
      <c r="H578" s="37" t="n">
        <v>0.5180972723881891</v>
      </c>
      <c r="I578" s="37" t="n">
        <v>0.5521397521854122</v>
      </c>
      <c r="J578" s="39" t="inlineStr">
        <is>
          <t>Corregible</t>
        </is>
      </c>
      <c r="K578" s="29" t="n">
        <v>1.37750358241658</v>
      </c>
      <c r="L578" s="35" t="n">
        <v>13.35395559315776</v>
      </c>
      <c r="M578" s="36" t="n">
        <v>1302.159054763309</v>
      </c>
      <c r="N578" s="29" t="n">
        <v>1.730325127252996</v>
      </c>
      <c r="O578" s="16" t="inlineStr">
        <is>
          <t>sí</t>
        </is>
      </c>
      <c r="P578" s="16" t="inlineStr">
        <is>
          <t>O2</t>
        </is>
      </c>
    </row>
    <row r="579">
      <c r="A579" s="16" t="inlineStr">
        <is>
          <t>KF-M05-5-0065</t>
        </is>
      </c>
      <c r="B579" s="35" t="n">
        <v>292.5949248235392</v>
      </c>
      <c r="C579" s="36" t="n">
        <v>2037.930113333558</v>
      </c>
      <c r="D579" s="35" t="n">
        <v>941.2850065620332</v>
      </c>
      <c r="E579" s="37" t="n">
        <v>0.6133582197832532</v>
      </c>
      <c r="F579" s="37" t="n">
        <v>0.7447685447864727</v>
      </c>
      <c r="G579" s="37" t="n">
        <v>0.6523927124927249</v>
      </c>
      <c r="H579" s="37" t="n">
        <v>0.7118676664553114</v>
      </c>
      <c r="I579" s="37" t="n">
        <v>0.6123906474574898</v>
      </c>
      <c r="J579" s="39" t="inlineStr">
        <is>
          <t>Corregible</t>
        </is>
      </c>
      <c r="K579" s="29" t="n">
        <v>2.06199063976608</v>
      </c>
      <c r="L579" s="35" t="n">
        <v>26.00023745661592</v>
      </c>
      <c r="M579" s="36" t="n">
        <v>1096.645106771525</v>
      </c>
      <c r="N579" s="29" t="n">
        <v>2.165051072869983</v>
      </c>
      <c r="O579" s="16" t="inlineStr">
        <is>
          <t>sí</t>
        </is>
      </c>
      <c r="P579" s="16" t="inlineStr">
        <is>
          <t>O2</t>
        </is>
      </c>
    </row>
    <row r="580">
      <c r="A580" s="16" t="inlineStr">
        <is>
          <t>KF-M05-5-0066</t>
        </is>
      </c>
      <c r="B580" s="35" t="n">
        <v>281.6673503731482</v>
      </c>
      <c r="C580" s="36" t="n">
        <v>4623.762886223372</v>
      </c>
      <c r="D580" s="35" t="n">
        <v>1594.898411800404</v>
      </c>
      <c r="E580" s="37" t="n">
        <v>0.5235882964213918</v>
      </c>
      <c r="F580" s="37" t="n">
        <v>0.6797199106587513</v>
      </c>
      <c r="G580" s="37" t="n">
        <v>0.5909625552418875</v>
      </c>
      <c r="H580" s="37" t="n">
        <v>0.7319995103164187</v>
      </c>
      <c r="I580" s="37" t="n">
        <v>0.9163037039560472</v>
      </c>
      <c r="J580" s="42" t="inlineStr">
        <is>
          <t>KALINA</t>
        </is>
      </c>
      <c r="K580" s="29" t="n">
        <v>4.16381139617208</v>
      </c>
      <c r="L580" s="35" t="n">
        <v>60.66961000959023</v>
      </c>
      <c r="M580" s="36" t="n">
        <v>3028.864474422969</v>
      </c>
      <c r="N580" s="29" t="n">
        <v>2.899095548664965</v>
      </c>
      <c r="O580" s="16" t="inlineStr">
        <is>
          <t>sí</t>
        </is>
      </c>
      <c r="P580" s="16" t="n"/>
    </row>
    <row r="581">
      <c r="A581" s="16" t="inlineStr">
        <is>
          <t>KF-M05-5-0067</t>
        </is>
      </c>
      <c r="B581" s="35" t="n">
        <v>288.7857113580475</v>
      </c>
      <c r="C581" s="36" t="n">
        <v>3954.235085225578</v>
      </c>
      <c r="D581" s="35" t="n">
        <v>442.2624203117194</v>
      </c>
      <c r="E581" s="37" t="n">
        <v>0.6489754306250159</v>
      </c>
      <c r="F581" s="37" t="n">
        <v>0.6016327761069307</v>
      </c>
      <c r="G581" s="37" t="n">
        <v>0.6909221343544656</v>
      </c>
      <c r="H581" s="37" t="n">
        <v>0.5224104784620106</v>
      </c>
      <c r="I581" s="37" t="n">
        <v>0.9482512639468262</v>
      </c>
      <c r="J581" s="39" t="inlineStr">
        <is>
          <t>Corregible</t>
        </is>
      </c>
      <c r="K581" s="29" t="n">
        <v>10.33909339276847</v>
      </c>
      <c r="L581" s="35" t="n">
        <v>185.0975190559492</v>
      </c>
      <c r="M581" s="36" t="n">
        <v>3511.972664913858</v>
      </c>
      <c r="N581" s="29" t="n">
        <v>8.940924898024386</v>
      </c>
      <c r="O581" s="16" t="inlineStr">
        <is>
          <t>sí</t>
        </is>
      </c>
      <c r="P581" s="16" t="inlineStr">
        <is>
          <t>O2</t>
        </is>
      </c>
    </row>
    <row r="582">
      <c r="A582" s="16" t="inlineStr">
        <is>
          <t>KF-M05-5-0068</t>
        </is>
      </c>
      <c r="B582" s="35" t="n">
        <v>300.9119610030603</v>
      </c>
      <c r="C582" s="36" t="n">
        <v>3418.411068120858</v>
      </c>
      <c r="D582" s="35" t="n">
        <v>666.5971493891202</v>
      </c>
      <c r="E582" s="37" t="n">
        <v>0.4832325749888811</v>
      </c>
      <c r="F582" s="37" t="n">
        <v>0.9361202022598252</v>
      </c>
      <c r="G582" s="37" t="n">
        <v>0.5305736276672779</v>
      </c>
      <c r="H582" s="37" t="n">
        <v>0.7348631022573592</v>
      </c>
      <c r="I582" s="37" t="n">
        <v>0.4081342059373591</v>
      </c>
      <c r="J582" s="40" t="inlineStr">
        <is>
          <t>Inviable</t>
        </is>
      </c>
      <c r="K582" s="29" t="n">
        <v>-4.47803209422263</v>
      </c>
      <c r="L582" s="35" t="n">
        <v>-33.69905452529089</v>
      </c>
      <c r="M582" s="36" t="n">
        <v>2751.813918731737</v>
      </c>
      <c r="N582" s="29" t="n">
        <v>5.128151344861798</v>
      </c>
      <c r="O582" s="16" t="inlineStr">
        <is>
          <t>sí</t>
        </is>
      </c>
      <c r="P582" s="16" t="inlineStr">
        <is>
          <t>O2,O3</t>
        </is>
      </c>
    </row>
    <row r="583">
      <c r="A583" s="16" t="inlineStr">
        <is>
          <t>KF-M05-5-0069</t>
        </is>
      </c>
      <c r="B583" s="35" t="n">
        <v>294.4369151726077</v>
      </c>
      <c r="C583" s="36" t="n">
        <v>3172.496828651316</v>
      </c>
      <c r="D583" s="35" t="n">
        <v>1085.807565682524</v>
      </c>
      <c r="E583" s="37" t="n">
        <v>0.4655946021504165</v>
      </c>
      <c r="F583" s="37" t="n">
        <v>0.8396265304560063</v>
      </c>
      <c r="G583" s="37" t="n">
        <v>0.663056112774899</v>
      </c>
      <c r="H583" s="37" t="n">
        <v>0.502081266744443</v>
      </c>
      <c r="I583" s="37" t="n">
        <v>0.413548100610644</v>
      </c>
      <c r="J583" s="40" t="inlineStr">
        <is>
          <t>Inviable</t>
        </is>
      </c>
      <c r="K583" s="29" t="n">
        <v>-3.94358842903595</v>
      </c>
      <c r="L583" s="35" t="n">
        <v>-34.83659601618085</v>
      </c>
      <c r="M583" s="36" t="n">
        <v>2086.689262968792</v>
      </c>
      <c r="N583" s="29" t="n">
        <v>2.921785525280556</v>
      </c>
      <c r="O583" s="16" t="inlineStr">
        <is>
          <t>sí</t>
        </is>
      </c>
      <c r="P583" s="16" t="inlineStr">
        <is>
          <t>O2,O3</t>
        </is>
      </c>
    </row>
    <row r="584">
      <c r="A584" s="16" t="inlineStr">
        <is>
          <t>KF-M05-5-0070</t>
        </is>
      </c>
      <c r="B584" s="35" t="n">
        <v>282.7658049182305</v>
      </c>
      <c r="C584" s="36" t="n">
        <v>3609.833779423224</v>
      </c>
      <c r="D584" s="35" t="n">
        <v>640.3360215528666</v>
      </c>
      <c r="E584" s="37" t="n">
        <v>0.8836086277030428</v>
      </c>
      <c r="F584" s="37" t="n">
        <v>0.4936167390082641</v>
      </c>
      <c r="G584" s="37" t="n">
        <v>0.9421053916736168</v>
      </c>
      <c r="H584" s="37" t="n">
        <v>0.6815599753281072</v>
      </c>
      <c r="I584" s="37" t="n">
        <v>0.8333173708308528</v>
      </c>
      <c r="J584" s="32" t="inlineStr">
        <is>
          <t>No convergió</t>
        </is>
      </c>
      <c r="K584" s="29" t="inlineStr">
        <is>
          <t>—</t>
        </is>
      </c>
      <c r="L584" s="35" t="inlineStr">
        <is>
          <t>—</t>
        </is>
      </c>
      <c r="M584" s="36" t="n">
        <v>2969.497757870357</v>
      </c>
      <c r="N584" s="29" t="n">
        <v>5.63740545263889</v>
      </c>
      <c r="O584" s="16" t="inlineStr">
        <is>
          <t>no</t>
        </is>
      </c>
      <c r="P584" s="16" t="n"/>
    </row>
    <row r="585">
      <c r="A585" s="16" t="inlineStr">
        <is>
          <t>KF-M05-5-0071</t>
        </is>
      </c>
      <c r="B585" s="35" t="n">
        <v>279.0404739051577</v>
      </c>
      <c r="C585" s="36" t="n">
        <v>4711.298436297966</v>
      </c>
      <c r="D585" s="35" t="n">
        <v>1675.810926994474</v>
      </c>
      <c r="E585" s="37" t="n">
        <v>0.6023902205015723</v>
      </c>
      <c r="F585" s="37" t="n">
        <v>0.7249903820831026</v>
      </c>
      <c r="G585" s="37" t="n">
        <v>0.7711917626597316</v>
      </c>
      <c r="H585" s="37" t="n">
        <v>0.5916138975885428</v>
      </c>
      <c r="I585" s="37" t="n">
        <v>0.6462026296508809</v>
      </c>
      <c r="J585" s="39" t="inlineStr">
        <is>
          <t>Corregible</t>
        </is>
      </c>
      <c r="K585" s="29" t="n">
        <v>4.07728977785866</v>
      </c>
      <c r="L585" s="35" t="n">
        <v>61.53605854575126</v>
      </c>
      <c r="M585" s="36" t="n">
        <v>3035.487509303493</v>
      </c>
      <c r="N585" s="29" t="n">
        <v>2.811354407831417</v>
      </c>
      <c r="O585" s="16" t="inlineStr">
        <is>
          <t>sí</t>
        </is>
      </c>
      <c r="P585" s="16" t="inlineStr">
        <is>
          <t>O2</t>
        </is>
      </c>
    </row>
    <row r="586">
      <c r="A586" s="16" t="inlineStr">
        <is>
          <t>KF-M05-5-0072</t>
        </is>
      </c>
      <c r="B586" s="35" t="n">
        <v>284.9754595880655</v>
      </c>
      <c r="C586" s="36" t="n">
        <v>2143.916760886475</v>
      </c>
      <c r="D586" s="35" t="n">
        <v>1207.774752618301</v>
      </c>
      <c r="E586" s="37" t="n">
        <v>0.4349011469168574</v>
      </c>
      <c r="F586" s="37" t="n">
        <v>0.7687971896640919</v>
      </c>
      <c r="G586" s="37" t="n">
        <v>0.7405487907074428</v>
      </c>
      <c r="H586" s="37" t="n">
        <v>0.4375398144077742</v>
      </c>
      <c r="I586" s="37" t="n">
        <v>0.5471439443251185</v>
      </c>
      <c r="J586" s="40" t="inlineStr">
        <is>
          <t>Inviable</t>
        </is>
      </c>
      <c r="K586" s="29" t="n">
        <v>-0.40348516632615</v>
      </c>
      <c r="L586" s="35" t="n">
        <v>-5.119363620380611</v>
      </c>
      <c r="M586" s="36" t="n">
        <v>936.142008268174</v>
      </c>
      <c r="N586" s="29" t="n">
        <v>1.775096520471833</v>
      </c>
      <c r="O586" s="16" t="inlineStr">
        <is>
          <t>sí</t>
        </is>
      </c>
      <c r="P586" s="16" t="inlineStr">
        <is>
          <t>O2,O3</t>
        </is>
      </c>
    </row>
    <row r="587">
      <c r="A587" s="16" t="inlineStr">
        <is>
          <t>KF-M05-5-0073</t>
        </is>
      </c>
      <c r="B587" s="35" t="n">
        <v>291.8559619294758</v>
      </c>
      <c r="C587" s="36" t="n">
        <v>3225.403855702319</v>
      </c>
      <c r="D587" s="35" t="n">
        <v>767.5282724125042</v>
      </c>
      <c r="E587" s="37" t="n">
        <v>0.8143188078660597</v>
      </c>
      <c r="F587" s="37" t="n">
        <v>0.5947302194281284</v>
      </c>
      <c r="G587" s="37" t="n">
        <v>0.6707833209608332</v>
      </c>
      <c r="H587" s="37" t="n">
        <v>0.6537697931976036</v>
      </c>
      <c r="I587" s="37" t="n">
        <v>0.6578723736542278</v>
      </c>
      <c r="J587" s="39" t="inlineStr">
        <is>
          <t>Corregible</t>
        </is>
      </c>
      <c r="K587" s="29" t="n">
        <v>7.0664678852726</v>
      </c>
      <c r="L587" s="35" t="n">
        <v>95.12773902626979</v>
      </c>
      <c r="M587" s="36" t="n">
        <v>2457.875583289815</v>
      </c>
      <c r="N587" s="29" t="n">
        <v>4.202325792591575</v>
      </c>
      <c r="O587" s="16" t="inlineStr">
        <is>
          <t>sí</t>
        </is>
      </c>
      <c r="P587" s="16" t="inlineStr">
        <is>
          <t>O2</t>
        </is>
      </c>
    </row>
    <row r="588">
      <c r="A588" s="16" t="inlineStr">
        <is>
          <t>KF-M05-5-0074</t>
        </is>
      </c>
      <c r="B588" s="35" t="n">
        <v>286.5802395126872</v>
      </c>
      <c r="C588" s="36" t="n">
        <v>4115.160922667759</v>
      </c>
      <c r="D588" s="35" t="n">
        <v>1120.85803084535</v>
      </c>
      <c r="E588" s="37" t="n">
        <v>0.7360411129592908</v>
      </c>
      <c r="F588" s="37" t="n">
        <v>0.5908866811252603</v>
      </c>
      <c r="G588" s="37" t="n">
        <v>0.8954980276654385</v>
      </c>
      <c r="H588" s="37" t="n">
        <v>0.6626386325276118</v>
      </c>
      <c r="I588" s="37" t="n">
        <v>0.8211967730266905</v>
      </c>
      <c r="J588" s="32" t="inlineStr">
        <is>
          <t>No convergió</t>
        </is>
      </c>
      <c r="K588" s="29" t="inlineStr">
        <is>
          <t>—</t>
        </is>
      </c>
      <c r="L588" s="35" t="inlineStr">
        <is>
          <t>—</t>
        </is>
      </c>
      <c r="M588" s="36" t="n">
        <v>2994.30289182241</v>
      </c>
      <c r="N588" s="29" t="n">
        <v>3.671438138837361</v>
      </c>
      <c r="O588" s="16" t="inlineStr">
        <is>
          <t>no</t>
        </is>
      </c>
      <c r="P588" s="16" t="n"/>
    </row>
    <row r="589">
      <c r="A589" s="16" t="inlineStr">
        <is>
          <t>KF-M05-5-0075</t>
        </is>
      </c>
      <c r="B589" s="35" t="n">
        <v>293.1990989307968</v>
      </c>
      <c r="C589" s="36" t="n">
        <v>2741.505040033135</v>
      </c>
      <c r="D589" s="35" t="n">
        <v>1411.710802718265</v>
      </c>
      <c r="E589" s="37" t="n">
        <v>0.4032988745833107</v>
      </c>
      <c r="F589" s="37" t="n">
        <v>0.4424034127503111</v>
      </c>
      <c r="G589" s="37" t="n">
        <v>0.5189656627119993</v>
      </c>
      <c r="H589" s="37" t="n">
        <v>0.8672602882879186</v>
      </c>
      <c r="I589" s="37" t="n">
        <v>0.7327703980328381</v>
      </c>
      <c r="J589" s="39" t="inlineStr">
        <is>
          <t>Corregible</t>
        </is>
      </c>
      <c r="K589" s="29" t="n">
        <v>1.47962089925331</v>
      </c>
      <c r="L589" s="35" t="n">
        <v>17.21615475925168</v>
      </c>
      <c r="M589" s="36" t="n">
        <v>1329.79423731487</v>
      </c>
      <c r="N589" s="29" t="n">
        <v>1.941973550641064</v>
      </c>
      <c r="O589" s="16" t="inlineStr">
        <is>
          <t>sí</t>
        </is>
      </c>
      <c r="P589" s="16" t="inlineStr">
        <is>
          <t>O2</t>
        </is>
      </c>
    </row>
    <row r="590">
      <c r="A590" s="16" t="inlineStr">
        <is>
          <t>KF-M05-5-0076</t>
        </is>
      </c>
      <c r="B590" s="35" t="n">
        <v>301.4950399963674</v>
      </c>
      <c r="C590" s="36" t="n">
        <v>3668.556329404948</v>
      </c>
      <c r="D590" s="35" t="n">
        <v>554.015145120859</v>
      </c>
      <c r="E590" s="37" t="n">
        <v>0.9388354352882849</v>
      </c>
      <c r="F590" s="37" t="n">
        <v>0.4193441842726694</v>
      </c>
      <c r="G590" s="37" t="n">
        <v>0.8212034063067515</v>
      </c>
      <c r="H590" s="37" t="n">
        <v>0.545502967539059</v>
      </c>
      <c r="I590" s="37" t="n">
        <v>0.4543540742930995</v>
      </c>
      <c r="J590" s="32" t="inlineStr">
        <is>
          <t>No convergió</t>
        </is>
      </c>
      <c r="K590" s="29" t="inlineStr">
        <is>
          <t>—</t>
        </is>
      </c>
      <c r="L590" s="35" t="inlineStr">
        <is>
          <t>—</t>
        </is>
      </c>
      <c r="M590" s="36" t="n">
        <v>3114.541184284089</v>
      </c>
      <c r="N590" s="29" t="n">
        <v>6.621761808704072</v>
      </c>
      <c r="O590" s="16" t="inlineStr">
        <is>
          <t>no</t>
        </is>
      </c>
      <c r="P590" s="16" t="n"/>
    </row>
    <row r="591">
      <c r="A591" s="16" t="inlineStr">
        <is>
          <t>KF-M05-5-0077</t>
        </is>
      </c>
      <c r="B591" s="35" t="n">
        <v>283.669352272076</v>
      </c>
      <c r="C591" s="36" t="n">
        <v>2775.610115467278</v>
      </c>
      <c r="D591" s="35" t="n">
        <v>614.2007766081051</v>
      </c>
      <c r="E591" s="37" t="n">
        <v>0.6236859246715674</v>
      </c>
      <c r="F591" s="37" t="n">
        <v>0.4898050027806833</v>
      </c>
      <c r="G591" s="37" t="n">
        <v>0.8515185250695225</v>
      </c>
      <c r="H591" s="37" t="n">
        <v>0.9472498167419372</v>
      </c>
      <c r="I591" s="37" t="n">
        <v>0.7394500525917174</v>
      </c>
      <c r="J591" s="32" t="inlineStr">
        <is>
          <t>No convergió</t>
        </is>
      </c>
      <c r="K591" s="29" t="inlineStr">
        <is>
          <t>—</t>
        </is>
      </c>
      <c r="L591" s="35" t="inlineStr">
        <is>
          <t>—</t>
        </is>
      </c>
      <c r="M591" s="36" t="n">
        <v>2161.409338859173</v>
      </c>
      <c r="N591" s="29" t="n">
        <v>4.519059924989764</v>
      </c>
      <c r="O591" s="16" t="inlineStr">
        <is>
          <t>no</t>
        </is>
      </c>
      <c r="P591" s="16" t="n"/>
    </row>
    <row r="592">
      <c r="A592" s="16" t="inlineStr">
        <is>
          <t>KF-M05-5-0078</t>
        </is>
      </c>
      <c r="B592" s="35" t="n">
        <v>291.0159900725381</v>
      </c>
      <c r="C592" s="36" t="n">
        <v>2469.131631958141</v>
      </c>
      <c r="D592" s="35" t="n">
        <v>206.1261602277809</v>
      </c>
      <c r="E592" s="37" t="n">
        <v>0.6654483538293876</v>
      </c>
      <c r="F592" s="37" t="n">
        <v>0.8407467384372262</v>
      </c>
      <c r="G592" s="37" t="n">
        <v>0.5522575168791184</v>
      </c>
      <c r="H592" s="37" t="n">
        <v>0.5971232939638551</v>
      </c>
      <c r="I592" s="37" t="n">
        <v>0.445311481157921</v>
      </c>
      <c r="J592" s="40" t="inlineStr">
        <is>
          <t>Inviable</t>
        </is>
      </c>
      <c r="K592" s="29" t="n">
        <v>-1.18668599761256</v>
      </c>
      <c r="L592" s="35" t="n">
        <v>-9.355764018709465</v>
      </c>
      <c r="M592" s="36" t="n">
        <v>2263.00547173036</v>
      </c>
      <c r="N592" s="29" t="n">
        <v>11.97873976417944</v>
      </c>
      <c r="O592" s="16" t="inlineStr">
        <is>
          <t>sí</t>
        </is>
      </c>
      <c r="P592" s="16" t="inlineStr">
        <is>
          <t>O2,O3</t>
        </is>
      </c>
    </row>
    <row r="593">
      <c r="A593" s="16" t="inlineStr">
        <is>
          <t>KF-M05-5-0079</t>
        </is>
      </c>
      <c r="B593" s="35" t="n">
        <v>280.4115459512898</v>
      </c>
      <c r="C593" s="36" t="n">
        <v>2251.293058118749</v>
      </c>
      <c r="D593" s="35" t="n">
        <v>223.2731954599453</v>
      </c>
      <c r="E593" s="37" t="n">
        <v>0.7112236574564967</v>
      </c>
      <c r="F593" s="37" t="n">
        <v>0.7075653589882964</v>
      </c>
      <c r="G593" s="37" t="n">
        <v>0.6062942542896818</v>
      </c>
      <c r="H593" s="37" t="n">
        <v>0.9282734043883124</v>
      </c>
      <c r="I593" s="37" t="n">
        <v>0.844403629397769</v>
      </c>
      <c r="J593" s="39" t="inlineStr">
        <is>
          <t>Corregible</t>
        </is>
      </c>
      <c r="K593" s="29" t="n">
        <v>12.25303964648969</v>
      </c>
      <c r="L593" s="35" t="n">
        <v>182.0588826137148</v>
      </c>
      <c r="M593" s="36" t="n">
        <v>2028.019862658804</v>
      </c>
      <c r="N593" s="29" t="n">
        <v>10.08313180398148</v>
      </c>
      <c r="O593" s="16" t="inlineStr">
        <is>
          <t>sí</t>
        </is>
      </c>
      <c r="P593" s="16" t="inlineStr">
        <is>
          <t>O2</t>
        </is>
      </c>
    </row>
    <row r="594">
      <c r="A594" s="16" t="inlineStr">
        <is>
          <t>KF-M05-5-0080</t>
        </is>
      </c>
      <c r="B594" s="35" t="n">
        <v>281.1658667242498</v>
      </c>
      <c r="C594" s="36" t="n">
        <v>2101.253170065189</v>
      </c>
      <c r="D594" s="35" t="n">
        <v>906.738368677016</v>
      </c>
      <c r="E594" s="37" t="n">
        <v>0.8588581312006351</v>
      </c>
      <c r="F594" s="37" t="n">
        <v>0.63184847896546</v>
      </c>
      <c r="G594" s="37" t="n">
        <v>0.4041405485436614</v>
      </c>
      <c r="H594" s="37" t="n">
        <v>0.7942333765699628</v>
      </c>
      <c r="I594" s="37" t="n">
        <v>0.5582141811899808</v>
      </c>
      <c r="J594" s="39" t="inlineStr">
        <is>
          <t>Corregible</t>
        </is>
      </c>
      <c r="K594" s="29" t="n">
        <v>4.3210349308872</v>
      </c>
      <c r="L594" s="35" t="n">
        <v>36.34928279231818</v>
      </c>
      <c r="M594" s="36" t="n">
        <v>1194.514801388174</v>
      </c>
      <c r="N594" s="29" t="n">
        <v>2.31737537822629</v>
      </c>
      <c r="O594" s="16" t="inlineStr">
        <is>
          <t>sí</t>
        </is>
      </c>
      <c r="P594" s="16" t="inlineStr">
        <is>
          <t>O2</t>
        </is>
      </c>
    </row>
    <row r="595">
      <c r="A595" s="16" t="inlineStr">
        <is>
          <t>KF-M05-5-0081</t>
        </is>
      </c>
      <c r="B595" s="35" t="n">
        <v>290.3915815954688</v>
      </c>
      <c r="C595" s="36" t="n">
        <v>3437.304229085579</v>
      </c>
      <c r="D595" s="35" t="n">
        <v>850.4135945532663</v>
      </c>
      <c r="E595" s="37" t="n">
        <v>0.7853765030342357</v>
      </c>
      <c r="F595" s="37" t="n">
        <v>0.437330867125423</v>
      </c>
      <c r="G595" s="37" t="n">
        <v>0.4634803083345818</v>
      </c>
      <c r="H595" s="37" t="n">
        <v>0.845607746515979</v>
      </c>
      <c r="I595" s="37" t="n">
        <v>0.7211904462638243</v>
      </c>
      <c r="J595" s="39" t="inlineStr">
        <is>
          <t>Corregible</t>
        </is>
      </c>
      <c r="K595" s="29" t="n">
        <v>8.28106276787245</v>
      </c>
      <c r="L595" s="35" t="n">
        <v>85.94034502573216</v>
      </c>
      <c r="M595" s="36" t="n">
        <v>2586.890634532313</v>
      </c>
      <c r="N595" s="29" t="n">
        <v>4.041920603222766</v>
      </c>
      <c r="O595" s="16" t="inlineStr">
        <is>
          <t>sí</t>
        </is>
      </c>
      <c r="P595" s="16" t="inlineStr">
        <is>
          <t>O2</t>
        </is>
      </c>
    </row>
    <row r="596">
      <c r="A596" s="16" t="inlineStr">
        <is>
          <t>KF-M05-5-0082</t>
        </is>
      </c>
      <c r="B596" s="35" t="n">
        <v>295.9812109658663</v>
      </c>
      <c r="C596" s="36" t="n">
        <v>3215.82194942213</v>
      </c>
      <c r="D596" s="35" t="n">
        <v>253.2073328472934</v>
      </c>
      <c r="E596" s="37" t="n">
        <v>0.7569324409556373</v>
      </c>
      <c r="F596" s="37" t="n">
        <v>0.7899161612449521</v>
      </c>
      <c r="G596" s="37" t="n">
        <v>0.4943790014541251</v>
      </c>
      <c r="H596" s="37" t="n">
        <v>0.6510237198248047</v>
      </c>
      <c r="I596" s="37" t="n">
        <v>0.7791150432271102</v>
      </c>
      <c r="J596" s="39" t="inlineStr">
        <is>
          <t>Corregible</t>
        </is>
      </c>
      <c r="K596" s="29" t="n">
        <v>12.55649153369841</v>
      </c>
      <c r="L596" s="35" t="n">
        <v>139.317117975242</v>
      </c>
      <c r="M596" s="36" t="n">
        <v>2962.614616574837</v>
      </c>
      <c r="N596" s="29" t="n">
        <v>12.70035078866202</v>
      </c>
      <c r="O596" s="16" t="inlineStr">
        <is>
          <t>sí</t>
        </is>
      </c>
      <c r="P596" s="16" t="inlineStr">
        <is>
          <t>O2</t>
        </is>
      </c>
    </row>
    <row r="597">
      <c r="A597" s="16" t="inlineStr">
        <is>
          <t>KF-M05-5-0083</t>
        </is>
      </c>
      <c r="B597" s="35" t="n">
        <v>300.092561303306</v>
      </c>
      <c r="C597" s="36" t="n">
        <v>2363.516210743458</v>
      </c>
      <c r="D597" s="35" t="n">
        <v>531.2335115650523</v>
      </c>
      <c r="E597" s="37" t="n">
        <v>0.5484332946089112</v>
      </c>
      <c r="F597" s="37" t="n">
        <v>0.9242835141317352</v>
      </c>
      <c r="G597" s="37" t="n">
        <v>0.9041133698755736</v>
      </c>
      <c r="H597" s="37" t="n">
        <v>0.5658472198785538</v>
      </c>
      <c r="I597" s="37" t="n">
        <v>0.6737061520661621</v>
      </c>
      <c r="J597" s="32" t="inlineStr">
        <is>
          <t>No convergió</t>
        </is>
      </c>
      <c r="K597" s="29" t="inlineStr">
        <is>
          <t>—</t>
        </is>
      </c>
      <c r="L597" s="35" t="inlineStr">
        <is>
          <t>—</t>
        </is>
      </c>
      <c r="M597" s="36" t="n">
        <v>1832.282699178406</v>
      </c>
      <c r="N597" s="29" t="n">
        <v>4.449109778071735</v>
      </c>
      <c r="O597" s="16" t="inlineStr">
        <is>
          <t>no</t>
        </is>
      </c>
      <c r="P597" s="16" t="n"/>
    </row>
    <row r="598">
      <c r="A598" s="16" t="inlineStr">
        <is>
          <t>KF-M05-5-0084</t>
        </is>
      </c>
      <c r="B598" s="35" t="n">
        <v>295.4669350152149</v>
      </c>
      <c r="C598" s="36" t="n">
        <v>3175.444603241543</v>
      </c>
      <c r="D598" s="35" t="n">
        <v>1831.310600185678</v>
      </c>
      <c r="E598" s="37" t="n">
        <v>0.5668248574995749</v>
      </c>
      <c r="F598" s="37" t="n">
        <v>0.4802088486360409</v>
      </c>
      <c r="G598" s="37" t="n">
        <v>0.6386617801868243</v>
      </c>
      <c r="H598" s="37" t="n">
        <v>0.530042859878274</v>
      </c>
      <c r="I598" s="37" t="n">
        <v>0.5686094030010287</v>
      </c>
      <c r="J598" s="40" t="inlineStr">
        <is>
          <t>Inviable</t>
        </is>
      </c>
      <c r="K598" s="29" t="n">
        <v>-0.7520542515776201</v>
      </c>
      <c r="L598" s="35" t="n">
        <v>-8.647644018400946</v>
      </c>
      <c r="M598" s="36" t="n">
        <v>1344.134003055865</v>
      </c>
      <c r="N598" s="29" t="n">
        <v>1.73397380156025</v>
      </c>
      <c r="O598" s="16" t="inlineStr">
        <is>
          <t>sí</t>
        </is>
      </c>
      <c r="P598" s="16" t="inlineStr">
        <is>
          <t>O2,O3</t>
        </is>
      </c>
    </row>
    <row r="599">
      <c r="A599" s="16" t="inlineStr">
        <is>
          <t>KF-M05-5-0085</t>
        </is>
      </c>
      <c r="B599" s="35" t="n">
        <v>297.8115192503112</v>
      </c>
      <c r="C599" s="36" t="n">
        <v>4008.190899044529</v>
      </c>
      <c r="D599" s="35" t="n">
        <v>366.9110403881865</v>
      </c>
      <c r="E599" s="37" t="n">
        <v>0.7444111144082912</v>
      </c>
      <c r="F599" s="37" t="n">
        <v>0.6673012750156166</v>
      </c>
      <c r="G599" s="37" t="n">
        <v>0.6990168924948628</v>
      </c>
      <c r="H599" s="37" t="n">
        <v>0.6361240416965845</v>
      </c>
      <c r="I599" s="37" t="n">
        <v>0.8840752789107373</v>
      </c>
      <c r="J599" s="39" t="inlineStr">
        <is>
          <t>Corregible</t>
        </is>
      </c>
      <c r="K599" s="29" t="n">
        <v>13.41845538633667</v>
      </c>
      <c r="L599" s="35" t="n">
        <v>229.1782084789232</v>
      </c>
      <c r="M599" s="36" t="n">
        <v>3641.279858656343</v>
      </c>
      <c r="N599" s="29" t="n">
        <v>10.92414906568067</v>
      </c>
      <c r="O599" s="16" t="inlineStr">
        <is>
          <t>sí</t>
        </is>
      </c>
      <c r="P599" s="16" t="inlineStr">
        <is>
          <t>O2</t>
        </is>
      </c>
    </row>
    <row r="600">
      <c r="A600" s="16" t="inlineStr">
        <is>
          <t>KF-M05-5-0086</t>
        </is>
      </c>
      <c r="B600" s="35" t="n">
        <v>297.8987683831615</v>
      </c>
      <c r="C600" s="36" t="n">
        <v>4305.579001091715</v>
      </c>
      <c r="D600" s="35" t="n">
        <v>772.3960756385934</v>
      </c>
      <c r="E600" s="37" t="n">
        <v>0.5764944096928861</v>
      </c>
      <c r="F600" s="37" t="n">
        <v>0.4767304241761963</v>
      </c>
      <c r="G600" s="37" t="n">
        <v>0.948736195558128</v>
      </c>
      <c r="H600" s="37" t="n">
        <v>0.8380199500950043</v>
      </c>
      <c r="I600" s="37" t="n">
        <v>0.8672656224330522</v>
      </c>
      <c r="J600" s="32" t="inlineStr">
        <is>
          <t>No convergió</t>
        </is>
      </c>
      <c r="K600" s="29" t="inlineStr">
        <is>
          <t>—</t>
        </is>
      </c>
      <c r="L600" s="35" t="inlineStr">
        <is>
          <t>—</t>
        </is>
      </c>
      <c r="M600" s="36" t="n">
        <v>3533.182925453122</v>
      </c>
      <c r="N600" s="29" t="n">
        <v>5.574314962089876</v>
      </c>
      <c r="O600" s="16" t="inlineStr">
        <is>
          <t>no</t>
        </is>
      </c>
      <c r="P600" s="16" t="n"/>
    </row>
    <row r="601">
      <c r="A601" s="16" t="inlineStr">
        <is>
          <t>KF-M05-5-0087</t>
        </is>
      </c>
      <c r="B601" s="35" t="n">
        <v>302.7354752707693</v>
      </c>
      <c r="C601" s="36" t="n">
        <v>4070.499094943948</v>
      </c>
      <c r="D601" s="35" t="n">
        <v>1191.521270757587</v>
      </c>
      <c r="E601" s="37" t="n">
        <v>0.4804267546782602</v>
      </c>
      <c r="F601" s="37" t="n">
        <v>0.657848342974575</v>
      </c>
      <c r="G601" s="37" t="n">
        <v>0.7923560464583499</v>
      </c>
      <c r="H601" s="37" t="n">
        <v>0.7632989643815795</v>
      </c>
      <c r="I601" s="37" t="n">
        <v>0.7513227650208778</v>
      </c>
      <c r="J601" s="39" t="inlineStr">
        <is>
          <t>Corregible</t>
        </is>
      </c>
      <c r="K601" s="29" t="n">
        <v>3.568755914962</v>
      </c>
      <c r="L601" s="35" t="n">
        <v>59.92223521365845</v>
      </c>
      <c r="M601" s="36" t="n">
        <v>2878.977824186361</v>
      </c>
      <c r="N601" s="29" t="n">
        <v>3.416220251238874</v>
      </c>
      <c r="O601" s="16" t="inlineStr">
        <is>
          <t>sí</t>
        </is>
      </c>
      <c r="P601" s="16" t="inlineStr">
        <is>
          <t>O2</t>
        </is>
      </c>
    </row>
    <row r="602">
      <c r="A602" s="16" t="inlineStr">
        <is>
          <t>KF-M05-5-0088</t>
        </is>
      </c>
      <c r="B602" s="35" t="n">
        <v>280.7324657079102</v>
      </c>
      <c r="C602" s="36" t="n">
        <v>4901.746927936991</v>
      </c>
      <c r="D602" s="35" t="n">
        <v>960.8701258622416</v>
      </c>
      <c r="E602" s="37" t="n">
        <v>0.4730992164253182</v>
      </c>
      <c r="F602" s="37" t="n">
        <v>0.4096026090895288</v>
      </c>
      <c r="G602" s="37" t="n">
        <v>0.6330266802060752</v>
      </c>
      <c r="H602" s="37" t="n">
        <v>0.7435828395015879</v>
      </c>
      <c r="I602" s="37" t="n">
        <v>0.590370381040903</v>
      </c>
      <c r="J602" s="40" t="inlineStr">
        <is>
          <t>Inviable</t>
        </is>
      </c>
      <c r="K602" s="29" t="n">
        <v>-4.9078403729717</v>
      </c>
      <c r="L602" s="35" t="n">
        <v>-55.16651721456997</v>
      </c>
      <c r="M602" s="36" t="n">
        <v>3940.876802074749</v>
      </c>
      <c r="N602" s="29" t="n">
        <v>5.101362604585488</v>
      </c>
      <c r="O602" s="16" t="inlineStr">
        <is>
          <t>sí</t>
        </is>
      </c>
      <c r="P602" s="16" t="inlineStr">
        <is>
          <t>O2,O3</t>
        </is>
      </c>
    </row>
    <row r="603">
      <c r="A603" s="16" t="inlineStr">
        <is>
          <t>KF-M05-5-0089</t>
        </is>
      </c>
      <c r="B603" s="35" t="n">
        <v>301.1124323778039</v>
      </c>
      <c r="C603" s="36" t="n">
        <v>3314.400824788548</v>
      </c>
      <c r="D603" s="35" t="n">
        <v>1272.290929718981</v>
      </c>
      <c r="E603" s="37" t="n">
        <v>0.6378079798058101</v>
      </c>
      <c r="F603" s="37" t="n">
        <v>0.7326047265819353</v>
      </c>
      <c r="G603" s="37" t="n">
        <v>0.4468146685369958</v>
      </c>
      <c r="H603" s="37" t="n">
        <v>0.470704641318767</v>
      </c>
      <c r="I603" s="37" t="n">
        <v>0.5356308234119558</v>
      </c>
      <c r="J603" s="39" t="inlineStr">
        <is>
          <t>Corregible</t>
        </is>
      </c>
      <c r="K603" s="29" t="n">
        <v>1.98987615187753</v>
      </c>
      <c r="L603" s="35" t="n">
        <v>16.97747341285215</v>
      </c>
      <c r="M603" s="36" t="n">
        <v>2042.109895069566</v>
      </c>
      <c r="N603" s="29" t="n">
        <v>2.605065199608567</v>
      </c>
      <c r="O603" s="16" t="inlineStr">
        <is>
          <t>sí</t>
        </is>
      </c>
      <c r="P603" s="16" t="inlineStr">
        <is>
          <t>O2</t>
        </is>
      </c>
    </row>
    <row r="604">
      <c r="A604" s="16" t="inlineStr">
        <is>
          <t>KF-M05-5-0090</t>
        </is>
      </c>
      <c r="B604" s="35" t="n">
        <v>301.8029592550915</v>
      </c>
      <c r="C604" s="36" t="n">
        <v>3761.347154945349</v>
      </c>
      <c r="D604" s="35" t="n">
        <v>1533.906206495339</v>
      </c>
      <c r="E604" s="37" t="n">
        <v>0.7660602720665552</v>
      </c>
      <c r="F604" s="37" t="n">
        <v>0.5034942332396917</v>
      </c>
      <c r="G604" s="37" t="n">
        <v>0.46908564719442</v>
      </c>
      <c r="H604" s="37" t="n">
        <v>0.7114981793352628</v>
      </c>
      <c r="I604" s="37" t="n">
        <v>0.6253383863783928</v>
      </c>
      <c r="J604" s="39" t="inlineStr">
        <is>
          <t>Corregible</t>
        </is>
      </c>
      <c r="K604" s="29" t="n">
        <v>3.82421796941316</v>
      </c>
      <c r="L604" s="35" t="n">
        <v>36.71379720146987</v>
      </c>
      <c r="M604" s="36" t="n">
        <v>2227.44094845001</v>
      </c>
      <c r="N604" s="29" t="n">
        <v>2.452136342507705</v>
      </c>
      <c r="O604" s="16" t="inlineStr">
        <is>
          <t>sí</t>
        </is>
      </c>
      <c r="P604" s="16" t="inlineStr">
        <is>
          <t>O2</t>
        </is>
      </c>
    </row>
    <row r="605">
      <c r="A605" s="16" t="inlineStr">
        <is>
          <t>KF-M05-5-0091</t>
        </is>
      </c>
      <c r="B605" s="35" t="n">
        <v>283.6526231984533</v>
      </c>
      <c r="C605" s="36" t="n">
        <v>4513.291469633039</v>
      </c>
      <c r="D605" s="35" t="n">
        <v>820.7067047694444</v>
      </c>
      <c r="E605" s="37" t="n">
        <v>0.8506683725122195</v>
      </c>
      <c r="F605" s="37" t="n">
        <v>0.6486799114804176</v>
      </c>
      <c r="G605" s="37" t="n">
        <v>0.8940432063505441</v>
      </c>
      <c r="H605" s="37" t="n">
        <v>0.6427925236206167</v>
      </c>
      <c r="I605" s="37" t="n">
        <v>0.7156010692061066</v>
      </c>
      <c r="J605" s="32" t="inlineStr">
        <is>
          <t>No convergió</t>
        </is>
      </c>
      <c r="K605" s="29" t="inlineStr">
        <is>
          <t>—</t>
        </is>
      </c>
      <c r="L605" s="35" t="inlineStr">
        <is>
          <t>—</t>
        </is>
      </c>
      <c r="M605" s="36" t="n">
        <v>3692.584764863595</v>
      </c>
      <c r="N605" s="29" t="n">
        <v>5.49927451963601</v>
      </c>
      <c r="O605" s="16" t="inlineStr">
        <is>
          <t>no</t>
        </is>
      </c>
      <c r="P605" s="16" t="n"/>
    </row>
    <row r="606">
      <c r="A606" s="16" t="inlineStr">
        <is>
          <t>KF-M05-5-0092</t>
        </is>
      </c>
      <c r="B606" s="35" t="n">
        <v>278.2806227251887</v>
      </c>
      <c r="C606" s="36" t="n">
        <v>4786.747361690149</v>
      </c>
      <c r="D606" s="35" t="n">
        <v>1034.26491436048</v>
      </c>
      <c r="E606" s="37" t="n">
        <v>0.4389186803668382</v>
      </c>
      <c r="F606" s="37" t="n">
        <v>0.6087270727663771</v>
      </c>
      <c r="G606" s="37" t="n">
        <v>0.6704093115586154</v>
      </c>
      <c r="H606" s="37" t="n">
        <v>0.725609877714638</v>
      </c>
      <c r="I606" s="37" t="n">
        <v>0.5840127145312425</v>
      </c>
      <c r="J606" s="40" t="inlineStr">
        <is>
          <t>Inviable</t>
        </is>
      </c>
      <c r="K606" s="29" t="n">
        <v>-0.8647151670275099</v>
      </c>
      <c r="L606" s="35" t="n">
        <v>-10.43890016948423</v>
      </c>
      <c r="M606" s="36" t="n">
        <v>3752.482447329669</v>
      </c>
      <c r="N606" s="29" t="n">
        <v>4.62816372790713</v>
      </c>
      <c r="O606" s="16" t="inlineStr">
        <is>
          <t>sí</t>
        </is>
      </c>
      <c r="P606" s="16" t="inlineStr">
        <is>
          <t>O2,O3</t>
        </is>
      </c>
    </row>
    <row r="607">
      <c r="A607" s="16" t="inlineStr">
        <is>
          <t>KF-M05-5-0093</t>
        </is>
      </c>
      <c r="B607" s="35" t="n">
        <v>300.677775235457</v>
      </c>
      <c r="C607" s="36" t="n">
        <v>3788.411838826103</v>
      </c>
      <c r="D607" s="35" t="n">
        <v>353.2544252426521</v>
      </c>
      <c r="E607" s="37" t="n">
        <v>0.6545721800299429</v>
      </c>
      <c r="F607" s="37" t="n">
        <v>0.5621365269773915</v>
      </c>
      <c r="G607" s="37" t="n">
        <v>0.417312422325714</v>
      </c>
      <c r="H607" s="37" t="n">
        <v>0.7686006374120121</v>
      </c>
      <c r="I607" s="37" t="n">
        <v>0.7888178301930422</v>
      </c>
      <c r="J607" s="39" t="inlineStr">
        <is>
          <t>Corregible</t>
        </is>
      </c>
      <c r="K607" s="29" t="n">
        <v>10.17823036478066</v>
      </c>
      <c r="L607" s="35" t="n">
        <v>96.81979479147913</v>
      </c>
      <c r="M607" s="36" t="n">
        <v>3435.157413583451</v>
      </c>
      <c r="N607" s="29" t="n">
        <v>10.7243153039734</v>
      </c>
      <c r="O607" s="16" t="inlineStr">
        <is>
          <t>sí</t>
        </is>
      </c>
      <c r="P607" s="16" t="inlineStr">
        <is>
          <t>O2</t>
        </is>
      </c>
    </row>
    <row r="608">
      <c r="A608" s="16" t="inlineStr">
        <is>
          <t>KF-M05-5-0094</t>
        </is>
      </c>
      <c r="B608" s="35" t="n">
        <v>291.2904652308292</v>
      </c>
      <c r="C608" s="36" t="n">
        <v>3845.309923918609</v>
      </c>
      <c r="D608" s="35" t="n">
        <v>872.7964993701084</v>
      </c>
      <c r="E608" s="37" t="n">
        <v>0.5980431481814447</v>
      </c>
      <c r="F608" s="37" t="n">
        <v>0.5543807628616214</v>
      </c>
      <c r="G608" s="37" t="n">
        <v>0.5501402965778752</v>
      </c>
      <c r="H608" s="37" t="n">
        <v>0.6938750409349419</v>
      </c>
      <c r="I608" s="37" t="n">
        <v>0.5704152693157915</v>
      </c>
      <c r="J608" s="39" t="inlineStr">
        <is>
          <t>Corregible</t>
        </is>
      </c>
      <c r="K608" s="29" t="n">
        <v>0.2090435543694699</v>
      </c>
      <c r="L608" s="35" t="n">
        <v>2.119032692159422</v>
      </c>
      <c r="M608" s="36" t="n">
        <v>2972.513424548501</v>
      </c>
      <c r="N608" s="29" t="n">
        <v>4.405734815267643</v>
      </c>
      <c r="O608" s="16" t="inlineStr">
        <is>
          <t>sí</t>
        </is>
      </c>
      <c r="P608" s="16" t="inlineStr">
        <is>
          <t>O2</t>
        </is>
      </c>
    </row>
    <row r="609">
      <c r="A609" s="16" t="inlineStr">
        <is>
          <t>KF-M05-5-0095</t>
        </is>
      </c>
      <c r="B609" s="35" t="n">
        <v>281.9704027662923</v>
      </c>
      <c r="C609" s="36" t="n">
        <v>3069.19437271592</v>
      </c>
      <c r="D609" s="35" t="n">
        <v>1353.066689539028</v>
      </c>
      <c r="E609" s="37" t="n">
        <v>0.4536402252655053</v>
      </c>
      <c r="F609" s="37" t="n">
        <v>0.5433130449434425</v>
      </c>
      <c r="G609" s="37" t="n">
        <v>0.5452033042127022</v>
      </c>
      <c r="H609" s="37" t="n">
        <v>0.6311442554143591</v>
      </c>
      <c r="I609" s="37" t="n">
        <v>0.6958001222138458</v>
      </c>
      <c r="J609" s="39" t="inlineStr">
        <is>
          <t>Corregible</t>
        </is>
      </c>
      <c r="K609" s="29" t="n">
        <v>2.11143760702919</v>
      </c>
      <c r="L609" s="35" t="n">
        <v>25.50521629131839</v>
      </c>
      <c r="M609" s="36" t="n">
        <v>1716.127683176892</v>
      </c>
      <c r="N609" s="29" t="n">
        <v>2.268324537470917</v>
      </c>
      <c r="O609" s="16" t="inlineStr">
        <is>
          <t>sí</t>
        </is>
      </c>
      <c r="P609" s="16" t="inlineStr">
        <is>
          <t>O2</t>
        </is>
      </c>
    </row>
    <row r="610">
      <c r="A610" s="16" t="inlineStr">
        <is>
          <t>KF-M05-5-0096</t>
        </is>
      </c>
      <c r="B610" s="35" t="n">
        <v>281.8867148012328</v>
      </c>
      <c r="C610" s="36" t="n">
        <v>3634.003878795266</v>
      </c>
      <c r="D610" s="35" t="n">
        <v>654.5530203123838</v>
      </c>
      <c r="E610" s="37" t="n">
        <v>0.410314210337539</v>
      </c>
      <c r="F610" s="37" t="n">
        <v>0.4588147815310036</v>
      </c>
      <c r="G610" s="37" t="n">
        <v>0.7998184169835948</v>
      </c>
      <c r="H610" s="37" t="n">
        <v>0.9401385208836972</v>
      </c>
      <c r="I610" s="37" t="n">
        <v>0.9393051122707698</v>
      </c>
      <c r="J610" s="42" t="inlineStr">
        <is>
          <t>KALINA</t>
        </is>
      </c>
      <c r="K610" s="29" t="n">
        <v>5.20839053853468</v>
      </c>
      <c r="L610" s="35" t="n">
        <v>109.3555300296915</v>
      </c>
      <c r="M610" s="36" t="n">
        <v>2979.450858482882</v>
      </c>
      <c r="N610" s="29" t="n">
        <v>5.551886197180706</v>
      </c>
      <c r="O610" s="16" t="inlineStr">
        <is>
          <t>sí</t>
        </is>
      </c>
      <c r="P610" s="16" t="n"/>
    </row>
    <row r="611">
      <c r="A611" s="16" t="inlineStr">
        <is>
          <t>KF-M05-5-0097</t>
        </is>
      </c>
      <c r="B611" s="35" t="n">
        <v>286.3657928328495</v>
      </c>
      <c r="C611" s="36" t="n">
        <v>4096.793341717359</v>
      </c>
      <c r="D611" s="35" t="n">
        <v>1308.688046656212</v>
      </c>
      <c r="E611" s="37" t="n">
        <v>0.4618198465194502</v>
      </c>
      <c r="F611" s="37" t="n">
        <v>0.6380505168872938</v>
      </c>
      <c r="G611" s="37" t="n">
        <v>0.8478497443309168</v>
      </c>
      <c r="H611" s="37" t="n">
        <v>0.6232998489508861</v>
      </c>
      <c r="I611" s="37" t="n">
        <v>0.6668828799023478</v>
      </c>
      <c r="J611" s="32" t="inlineStr">
        <is>
          <t>No convergió</t>
        </is>
      </c>
      <c r="K611" s="29" t="inlineStr">
        <is>
          <t>—</t>
        </is>
      </c>
      <c r="L611" s="35" t="inlineStr">
        <is>
          <t>—</t>
        </is>
      </c>
      <c r="M611" s="36" t="n">
        <v>2788.105295061147</v>
      </c>
      <c r="N611" s="29" t="n">
        <v>3.130458287737056</v>
      </c>
      <c r="O611" s="16" t="inlineStr">
        <is>
          <t>no</t>
        </is>
      </c>
      <c r="P611" s="16" t="n"/>
    </row>
    <row r="612">
      <c r="A612" s="16" t="inlineStr">
        <is>
          <t>KF-M05-5-0098</t>
        </is>
      </c>
      <c r="B612" s="35" t="n">
        <v>298.2097219400337</v>
      </c>
      <c r="C612" s="36" t="n">
        <v>3503.407589856434</v>
      </c>
      <c r="D612" s="35" t="n">
        <v>1052.863846776903</v>
      </c>
      <c r="E612" s="37" t="n">
        <v>0.526412552307311</v>
      </c>
      <c r="F612" s="37" t="n">
        <v>0.8285948168697717</v>
      </c>
      <c r="G612" s="37" t="n">
        <v>0.8384180036743828</v>
      </c>
      <c r="H612" s="37" t="n">
        <v>0.6139561825924018</v>
      </c>
      <c r="I612" s="37" t="n">
        <v>0.6164690613170926</v>
      </c>
      <c r="J612" s="32" t="inlineStr">
        <is>
          <t>No convergió</t>
        </is>
      </c>
      <c r="K612" s="29" t="inlineStr">
        <is>
          <t>—</t>
        </is>
      </c>
      <c r="L612" s="35" t="inlineStr">
        <is>
          <t>—</t>
        </is>
      </c>
      <c r="M612" s="36" t="n">
        <v>2450.543743079531</v>
      </c>
      <c r="N612" s="29" t="n">
        <v>3.32750298206297</v>
      </c>
      <c r="O612" s="16" t="inlineStr">
        <is>
          <t>no</t>
        </is>
      </c>
      <c r="P612" s="16" t="n"/>
    </row>
    <row r="613">
      <c r="A613" s="16" t="inlineStr">
        <is>
          <t>KF-M05-5-0099</t>
        </is>
      </c>
      <c r="B613" s="35" t="n">
        <v>283.3453539741016</v>
      </c>
      <c r="C613" s="36" t="n">
        <v>2923.845989055693</v>
      </c>
      <c r="D613" s="35" t="n">
        <v>809.1007295238458</v>
      </c>
      <c r="E613" s="37" t="n">
        <v>0.5607016531475758</v>
      </c>
      <c r="F613" s="37" t="n">
        <v>0.6451360657213607</v>
      </c>
      <c r="G613" s="37" t="n">
        <v>0.695131786617708</v>
      </c>
      <c r="H613" s="37" t="n">
        <v>0.5861682555315733</v>
      </c>
      <c r="I613" s="37" t="n">
        <v>0.7695812195811753</v>
      </c>
      <c r="J613" s="39" t="inlineStr">
        <is>
          <t>Corregible</t>
        </is>
      </c>
      <c r="K613" s="29" t="n">
        <v>5.22903160333413</v>
      </c>
      <c r="L613" s="35" t="n">
        <v>83.62900648172679</v>
      </c>
      <c r="M613" s="36" t="n">
        <v>2114.745259531848</v>
      </c>
      <c r="N613" s="29" t="n">
        <v>3.613698371989321</v>
      </c>
      <c r="O613" s="16" t="inlineStr">
        <is>
          <t>sí</t>
        </is>
      </c>
      <c r="P613" s="16" t="inlineStr">
        <is>
          <t>O2</t>
        </is>
      </c>
    </row>
    <row r="614">
      <c r="A614" s="16" t="inlineStr">
        <is>
          <t>KF-M05-5-0100</t>
        </is>
      </c>
      <c r="B614" s="35" t="n">
        <v>284.1668246856444</v>
      </c>
      <c r="C614" s="36" t="n">
        <v>3802.571323382816</v>
      </c>
      <c r="D614" s="35" t="n">
        <v>723.8343620244974</v>
      </c>
      <c r="E614" s="37" t="n">
        <v>0.4887291774701255</v>
      </c>
      <c r="F614" s="37" t="n">
        <v>0.9308533079205484</v>
      </c>
      <c r="G614" s="37" t="n">
        <v>0.58047058138861</v>
      </c>
      <c r="H614" s="37" t="n">
        <v>0.5395191192843882</v>
      </c>
      <c r="I614" s="37" t="n">
        <v>0.4404985140877177</v>
      </c>
      <c r="J614" s="40" t="inlineStr">
        <is>
          <t>Inviable</t>
        </is>
      </c>
      <c r="K614" s="29" t="n">
        <v>-1.80745076446631</v>
      </c>
      <c r="L614" s="35" t="n">
        <v>-15.84957612680954</v>
      </c>
      <c r="M614" s="36" t="n">
        <v>3078.736961358319</v>
      </c>
      <c r="N614" s="29" t="n">
        <v>5.253372211768695</v>
      </c>
      <c r="O614" s="16" t="inlineStr">
        <is>
          <t>sí</t>
        </is>
      </c>
      <c r="P614" s="16" t="inlineStr">
        <is>
          <t>O2,O3</t>
        </is>
      </c>
    </row>
    <row r="615">
      <c r="A615" s="16" t="inlineStr">
        <is>
          <t>KF-M05-5-0101</t>
        </is>
      </c>
      <c r="B615" s="35" t="n">
        <v>288.9553414617371</v>
      </c>
      <c r="C615" s="36" t="n">
        <v>3363.033421545289</v>
      </c>
      <c r="D615" s="35" t="n">
        <v>968.3509404493616</v>
      </c>
      <c r="E615" s="37" t="n">
        <v>0.4740847114993929</v>
      </c>
      <c r="F615" s="37" t="n">
        <v>0.6640325073128396</v>
      </c>
      <c r="G615" s="37" t="n">
        <v>0.9202034131303004</v>
      </c>
      <c r="H615" s="37" t="n">
        <v>0.457149177001884</v>
      </c>
      <c r="I615" s="37" t="n">
        <v>0.4857028493744426</v>
      </c>
      <c r="J615" s="32" t="inlineStr">
        <is>
          <t>No convergió</t>
        </is>
      </c>
      <c r="K615" s="29" t="inlineStr">
        <is>
          <t>—</t>
        </is>
      </c>
      <c r="L615" s="35" t="inlineStr">
        <is>
          <t>—</t>
        </is>
      </c>
      <c r="M615" s="36" t="n">
        <v>2394.682481095927</v>
      </c>
      <c r="N615" s="29" t="n">
        <v>3.472948990977051</v>
      </c>
      <c r="O615" s="16" t="inlineStr">
        <is>
          <t>no</t>
        </is>
      </c>
      <c r="P615" s="16" t="n"/>
    </row>
    <row r="616">
      <c r="A616" s="16" t="inlineStr">
        <is>
          <t>KF-M05-5-0102</t>
        </is>
      </c>
      <c r="B616" s="35" t="n">
        <v>286.9985146432459</v>
      </c>
      <c r="C616" s="36" t="n">
        <v>4569.979239924716</v>
      </c>
      <c r="D616" s="35" t="n">
        <v>1798.626992036524</v>
      </c>
      <c r="E616" s="37" t="n">
        <v>0.7399846233090982</v>
      </c>
      <c r="F616" s="37" t="n">
        <v>0.4643883722713667</v>
      </c>
      <c r="G616" s="37" t="n">
        <v>0.9369453882938904</v>
      </c>
      <c r="H616" s="37" t="n">
        <v>0.7191703587912046</v>
      </c>
      <c r="I616" s="37" t="n">
        <v>0.4737188309689818</v>
      </c>
      <c r="J616" s="32" t="inlineStr">
        <is>
          <t>No convergió</t>
        </is>
      </c>
      <c r="K616" s="29" t="inlineStr">
        <is>
          <t>—</t>
        </is>
      </c>
      <c r="L616" s="35" t="inlineStr">
        <is>
          <t>—</t>
        </is>
      </c>
      <c r="M616" s="36" t="n">
        <v>2771.352247888192</v>
      </c>
      <c r="N616" s="29" t="n">
        <v>2.540815444313045</v>
      </c>
      <c r="O616" s="16" t="inlineStr">
        <is>
          <t>no</t>
        </is>
      </c>
      <c r="P616" s="16" t="n"/>
    </row>
    <row r="617">
      <c r="A617" s="16" t="inlineStr">
        <is>
          <t>KF-M05-5-0103</t>
        </is>
      </c>
      <c r="B617" s="35" t="n">
        <v>300.5819823949162</v>
      </c>
      <c r="C617" s="36" t="n">
        <v>3479.489155037617</v>
      </c>
      <c r="D617" s="35" t="n">
        <v>521.3504864564843</v>
      </c>
      <c r="E617" s="37" t="n">
        <v>0.4195189967439587</v>
      </c>
      <c r="F617" s="37" t="n">
        <v>0.9410653186619974</v>
      </c>
      <c r="G617" s="37" t="n">
        <v>0.4787059191058698</v>
      </c>
      <c r="H617" s="37" t="n">
        <v>0.4774210858776203</v>
      </c>
      <c r="I617" s="37" t="n">
        <v>0.5828262538302718</v>
      </c>
      <c r="J617" s="39" t="inlineStr">
        <is>
          <t>Corregible</t>
        </is>
      </c>
      <c r="K617" s="29" t="n">
        <v>0.6021124661446899</v>
      </c>
      <c r="L617" s="35" t="n">
        <v>5.592899570789626</v>
      </c>
      <c r="M617" s="36" t="n">
        <v>2958.138668581133</v>
      </c>
      <c r="N617" s="29" t="n">
        <v>6.673992343782038</v>
      </c>
      <c r="O617" s="16" t="inlineStr">
        <is>
          <t>sí</t>
        </is>
      </c>
      <c r="P617" s="16" t="inlineStr">
        <is>
          <t>O2</t>
        </is>
      </c>
    </row>
    <row r="618">
      <c r="A618" s="16" t="inlineStr">
        <is>
          <t>KF-M05-5-0104</t>
        </is>
      </c>
      <c r="B618" s="35" t="n">
        <v>297.6075891015674</v>
      </c>
      <c r="C618" s="36" t="n">
        <v>4186.254584862701</v>
      </c>
      <c r="D618" s="35" t="n">
        <v>1421.886942617437</v>
      </c>
      <c r="E618" s="37" t="n">
        <v>0.7896863153645872</v>
      </c>
      <c r="F618" s="37" t="n">
        <v>0.655886581762575</v>
      </c>
      <c r="G618" s="37" t="n">
        <v>0.594822808476226</v>
      </c>
      <c r="H618" s="37" t="n">
        <v>0.4884710725683974</v>
      </c>
      <c r="I618" s="37" t="n">
        <v>0.8681560575291885</v>
      </c>
      <c r="J618" s="42" t="inlineStr">
        <is>
          <t>KALINA</t>
        </is>
      </c>
      <c r="K618" s="29" t="n">
        <v>6.91984300271013</v>
      </c>
      <c r="L618" s="35" t="n">
        <v>99.74513258833036</v>
      </c>
      <c r="M618" s="36" t="n">
        <v>2764.367642245265</v>
      </c>
      <c r="N618" s="29" t="n">
        <v>2.944154320143459</v>
      </c>
      <c r="O618" s="16" t="inlineStr">
        <is>
          <t>sí</t>
        </is>
      </c>
      <c r="P618" s="16" t="n"/>
    </row>
    <row r="619">
      <c r="A619" s="16" t="inlineStr">
        <is>
          <t>KF-M05-5-0105</t>
        </is>
      </c>
      <c r="B619" s="35" t="n">
        <v>295.5768800957231</v>
      </c>
      <c r="C619" s="36" t="n">
        <v>4826.011446144825</v>
      </c>
      <c r="D619" s="35" t="n">
        <v>1837.459855400399</v>
      </c>
      <c r="E619" s="37" t="n">
        <v>0.6193693486838527</v>
      </c>
      <c r="F619" s="37" t="n">
        <v>0.9177152852739568</v>
      </c>
      <c r="G619" s="37" t="n">
        <v>0.7534960075975077</v>
      </c>
      <c r="H619" s="37" t="n">
        <v>0.6660135486110856</v>
      </c>
      <c r="I619" s="37" t="n">
        <v>0.6295912766540228</v>
      </c>
      <c r="J619" s="39" t="inlineStr">
        <is>
          <t>Corregible</t>
        </is>
      </c>
      <c r="K619" s="29" t="n">
        <v>4.380048140829349</v>
      </c>
      <c r="L619" s="35" t="n">
        <v>62.01125933345409</v>
      </c>
      <c r="M619" s="36" t="n">
        <v>2988.551590744426</v>
      </c>
      <c r="N619" s="29" t="n">
        <v>2.626458168302781</v>
      </c>
      <c r="O619" s="16" t="inlineStr">
        <is>
          <t>sí</t>
        </is>
      </c>
      <c r="P619" s="16" t="inlineStr">
        <is>
          <t>O2</t>
        </is>
      </c>
    </row>
    <row r="620">
      <c r="A620" s="16" t="inlineStr">
        <is>
          <t>KF-M05-5-0106</t>
        </is>
      </c>
      <c r="B620" s="35" t="n">
        <v>302.4611713250135</v>
      </c>
      <c r="C620" s="36" t="n">
        <v>2156.504743363041</v>
      </c>
      <c r="D620" s="35" t="n">
        <v>1735.81065581174</v>
      </c>
      <c r="E620" s="37" t="n">
        <v>0.903302874712568</v>
      </c>
      <c r="F620" s="37" t="n">
        <v>0.5575310280001806</v>
      </c>
      <c r="G620" s="37" t="n">
        <v>0.865017941841442</v>
      </c>
      <c r="H620" s="37" t="n">
        <v>0.7740009110666652</v>
      </c>
      <c r="I620" s="37" t="n">
        <v>0.4959599813423894</v>
      </c>
      <c r="J620" s="32" t="inlineStr">
        <is>
          <t>No convergió</t>
        </is>
      </c>
      <c r="K620" s="29" t="inlineStr">
        <is>
          <t>—</t>
        </is>
      </c>
      <c r="L620" s="35" t="inlineStr">
        <is>
          <t>—</t>
        </is>
      </c>
      <c r="M620" s="36" t="n">
        <v>420.694087551301</v>
      </c>
      <c r="N620" s="29" t="n">
        <v>1.242361738097849</v>
      </c>
      <c r="O620" s="16" t="inlineStr">
        <is>
          <t>no</t>
        </is>
      </c>
      <c r="P620" s="16" t="n"/>
    </row>
    <row r="621">
      <c r="A621" s="16" t="inlineStr">
        <is>
          <t>KF-M05-5-0107</t>
        </is>
      </c>
      <c r="B621" s="35" t="n">
        <v>303.2720447648547</v>
      </c>
      <c r="C621" s="36" t="n">
        <v>2097.808080703369</v>
      </c>
      <c r="D621" s="35" t="n">
        <v>240.565599861495</v>
      </c>
      <c r="E621" s="37" t="n">
        <v>0.7807544302213747</v>
      </c>
      <c r="F621" s="37" t="n">
        <v>0.7205137646297837</v>
      </c>
      <c r="G621" s="37" t="n">
        <v>0.5608239287711412</v>
      </c>
      <c r="H621" s="37" t="n">
        <v>0.8746301452157408</v>
      </c>
      <c r="I621" s="37" t="n">
        <v>0.8004317628307277</v>
      </c>
      <c r="J621" s="39" t="inlineStr">
        <is>
          <t>Corregible</t>
        </is>
      </c>
      <c r="K621" s="29" t="n">
        <v>9.48157394117761</v>
      </c>
      <c r="L621" s="35" t="n">
        <v>110.7098299914712</v>
      </c>
      <c r="M621" s="36" t="n">
        <v>1857.242480841874</v>
      </c>
      <c r="N621" s="29" t="n">
        <v>8.720316129617769</v>
      </c>
      <c r="O621" s="16" t="inlineStr">
        <is>
          <t>sí</t>
        </is>
      </c>
      <c r="P621" s="16" t="inlineStr">
        <is>
          <t>O2</t>
        </is>
      </c>
    </row>
    <row r="622">
      <c r="A622" s="16" t="inlineStr">
        <is>
          <t>KF-M05-5-0108</t>
        </is>
      </c>
      <c r="B622" s="35" t="n">
        <v>301.2574968865299</v>
      </c>
      <c r="C622" s="36" t="n">
        <v>2341.315308483828</v>
      </c>
      <c r="D622" s="35" t="n">
        <v>1258.007650790563</v>
      </c>
      <c r="E622" s="37" t="n">
        <v>0.497155006371295</v>
      </c>
      <c r="F622" s="37" t="n">
        <v>0.6787802731884753</v>
      </c>
      <c r="G622" s="37" t="n">
        <v>0.6163768757869479</v>
      </c>
      <c r="H622" s="37" t="n">
        <v>0.7029835948965528</v>
      </c>
      <c r="I622" s="37" t="n">
        <v>0.4575294615525725</v>
      </c>
      <c r="J622" s="40" t="inlineStr">
        <is>
          <t>Inviable</t>
        </is>
      </c>
      <c r="K622" s="29" t="n">
        <v>-2.50380073083568</v>
      </c>
      <c r="L622" s="35" t="n">
        <v>-23.4446665006464</v>
      </c>
      <c r="M622" s="36" t="n">
        <v>1083.307657693264</v>
      </c>
      <c r="N622" s="29" t="n">
        <v>1.861129625890977</v>
      </c>
      <c r="O622" s="16" t="inlineStr">
        <is>
          <t>sí</t>
        </is>
      </c>
      <c r="P622" s="16" t="inlineStr">
        <is>
          <t>O2,O3</t>
        </is>
      </c>
    </row>
    <row r="623">
      <c r="A623" s="16" t="inlineStr">
        <is>
          <t>KF-M05-5-0109</t>
        </is>
      </c>
      <c r="B623" s="35" t="n">
        <v>286.6944056692471</v>
      </c>
      <c r="C623" s="36" t="n">
        <v>4483.987463966094</v>
      </c>
      <c r="D623" s="35" t="n">
        <v>1660.221978615952</v>
      </c>
      <c r="E623" s="37" t="n">
        <v>0.8363730633282102</v>
      </c>
      <c r="F623" s="37" t="n">
        <v>0.8910503460504133</v>
      </c>
      <c r="G623" s="37" t="n">
        <v>0.5103106067315604</v>
      </c>
      <c r="H623" s="37" t="n">
        <v>0.4146685657061709</v>
      </c>
      <c r="I623" s="37" t="n">
        <v>0.5985099581714421</v>
      </c>
      <c r="J623" s="39" t="inlineStr">
        <is>
          <t>Corregible</t>
        </is>
      </c>
      <c r="K623" s="29" t="n">
        <v>6.91042329933562</v>
      </c>
      <c r="L623" s="35" t="n">
        <v>72.34455841477197</v>
      </c>
      <c r="M623" s="36" t="n">
        <v>2823.765485350142</v>
      </c>
      <c r="N623" s="29" t="n">
        <v>2.700836106087561</v>
      </c>
      <c r="O623" s="16" t="inlineStr">
        <is>
          <t>sí</t>
        </is>
      </c>
      <c r="P623" s="16" t="inlineStr">
        <is>
          <t>O2</t>
        </is>
      </c>
    </row>
    <row r="624">
      <c r="A624" s="16" t="inlineStr">
        <is>
          <t>KF-M05-5-0110</t>
        </is>
      </c>
      <c r="B624" s="35" t="n">
        <v>294.5156290309659</v>
      </c>
      <c r="C624" s="36" t="n">
        <v>3345.546793461149</v>
      </c>
      <c r="D624" s="35" t="n">
        <v>1233.887343762725</v>
      </c>
      <c r="E624" s="37" t="n">
        <v>0.4070295725764841</v>
      </c>
      <c r="F624" s="37" t="n">
        <v>0.5394218694916112</v>
      </c>
      <c r="G624" s="37" t="n">
        <v>0.8257194019385299</v>
      </c>
      <c r="H624" s="37" t="n">
        <v>0.7765506200426867</v>
      </c>
      <c r="I624" s="37" t="n">
        <v>0.8510544228854715</v>
      </c>
      <c r="J624" s="39" t="inlineStr">
        <is>
          <t>Corregible</t>
        </is>
      </c>
      <c r="K624" s="29" t="n">
        <v>3.27712140063837</v>
      </c>
      <c r="L624" s="35" t="n">
        <v>65.1548695341174</v>
      </c>
      <c r="M624" s="36" t="n">
        <v>2111.659449698423</v>
      </c>
      <c r="N624" s="29" t="n">
        <v>2.711387559304193</v>
      </c>
      <c r="O624" s="16" t="inlineStr">
        <is>
          <t>sí</t>
        </is>
      </c>
      <c r="P624" s="16" t="inlineStr">
        <is>
          <t>O2</t>
        </is>
      </c>
    </row>
    <row r="625">
      <c r="A625" s="16" t="inlineStr">
        <is>
          <t>KF-M05-5-0111</t>
        </is>
      </c>
      <c r="B625" s="35" t="n">
        <v>281.5314940941184</v>
      </c>
      <c r="C625" s="36" t="n">
        <v>2842.222597328956</v>
      </c>
      <c r="D625" s="35" t="n">
        <v>348.3356244134676</v>
      </c>
      <c r="E625" s="37" t="n">
        <v>0.9499456170741892</v>
      </c>
      <c r="F625" s="37" t="n">
        <v>0.5370185836049917</v>
      </c>
      <c r="G625" s="37" t="n">
        <v>0.7952841292394163</v>
      </c>
      <c r="H625" s="37" t="n">
        <v>0.5524294283130384</v>
      </c>
      <c r="I625" s="37" t="n">
        <v>0.8553613276488168</v>
      </c>
      <c r="J625" s="39" t="inlineStr">
        <is>
          <t>Corregible</t>
        </is>
      </c>
      <c r="K625" s="29" t="n">
        <v>15.31453075238547</v>
      </c>
      <c r="L625" s="35" t="n">
        <v>304.3041348634619</v>
      </c>
      <c r="M625" s="36" t="n">
        <v>2493.886972915488</v>
      </c>
      <c r="N625" s="29" t="n">
        <v>8.159437043267481</v>
      </c>
      <c r="O625" s="16" t="inlineStr">
        <is>
          <t>sí</t>
        </is>
      </c>
      <c r="P625" s="16" t="inlineStr">
        <is>
          <t>O1,O2</t>
        </is>
      </c>
    </row>
    <row r="626">
      <c r="A626" s="16" t="inlineStr">
        <is>
          <t>KF-M05-5-0113</t>
        </is>
      </c>
      <c r="B626" s="35" t="n">
        <v>291.0749233341306</v>
      </c>
      <c r="C626" s="36" t="n">
        <v>2296.829804719318</v>
      </c>
      <c r="D626" s="35" t="n">
        <v>1749.264719203607</v>
      </c>
      <c r="E626" s="37" t="n">
        <v>0.7002308599045635</v>
      </c>
      <c r="F626" s="37" t="n">
        <v>0.7973248481666888</v>
      </c>
      <c r="G626" s="37" t="n">
        <v>0.7579102847540813</v>
      </c>
      <c r="H626" s="37" t="n">
        <v>0.7874785669143678</v>
      </c>
      <c r="I626" s="37" t="n">
        <v>0.428331961016022</v>
      </c>
      <c r="J626" s="32" t="inlineStr">
        <is>
          <t>No convergió</t>
        </is>
      </c>
      <c r="K626" s="29" t="inlineStr">
        <is>
          <t>—</t>
        </is>
      </c>
      <c r="L626" s="35" t="inlineStr">
        <is>
          <t>—</t>
        </is>
      </c>
      <c r="M626" s="36" t="n">
        <v>547.5650855157114</v>
      </c>
      <c r="N626" s="29" t="n">
        <v>1.313025855666376</v>
      </c>
      <c r="O626" s="16" t="inlineStr">
        <is>
          <t>no</t>
        </is>
      </c>
      <c r="P626" s="16" t="n"/>
    </row>
    <row r="627">
      <c r="A627" s="16" t="inlineStr">
        <is>
          <t>KF-M05-5-0114</t>
        </is>
      </c>
      <c r="B627" s="35" t="n">
        <v>296.810984573016</v>
      </c>
      <c r="C627" s="36" t="n">
        <v>4890.436241295985</v>
      </c>
      <c r="D627" s="35" t="n">
        <v>899.6389921019817</v>
      </c>
      <c r="E627" s="37" t="n">
        <v>0.6688130022762306</v>
      </c>
      <c r="F627" s="37" t="n">
        <v>0.8138867224356992</v>
      </c>
      <c r="G627" s="37" t="n">
        <v>0.6382600653723445</v>
      </c>
      <c r="H627" s="37" t="n">
        <v>0.5809341964252914</v>
      </c>
      <c r="I627" s="37" t="n">
        <v>0.7720234107278759</v>
      </c>
      <c r="J627" s="39" t="inlineStr">
        <is>
          <t>Corregible</t>
        </is>
      </c>
      <c r="K627" s="29" t="n">
        <v>9.137257373834473</v>
      </c>
      <c r="L627" s="35" t="n">
        <v>130.9696960234796</v>
      </c>
      <c r="M627" s="36" t="n">
        <v>3990.797249194004</v>
      </c>
      <c r="N627" s="29" t="n">
        <v>5.435998533000016</v>
      </c>
      <c r="O627" s="16" t="inlineStr">
        <is>
          <t>sí</t>
        </is>
      </c>
      <c r="P627" s="16" t="inlineStr">
        <is>
          <t>O2</t>
        </is>
      </c>
    </row>
    <row r="628">
      <c r="A628" s="16" t="inlineStr">
        <is>
          <t>KF-M05-5-0115</t>
        </is>
      </c>
      <c r="B628" s="35" t="n">
        <v>299.33172109497</v>
      </c>
      <c r="C628" s="36" t="n">
        <v>3936.153236752837</v>
      </c>
      <c r="D628" s="35" t="n">
        <v>1577.851469488883</v>
      </c>
      <c r="E628" s="37" t="n">
        <v>0.7179105765584366</v>
      </c>
      <c r="F628" s="37" t="n">
        <v>0.7575413518538482</v>
      </c>
      <c r="G628" s="37" t="n">
        <v>0.4294007802877608</v>
      </c>
      <c r="H628" s="37" t="n">
        <v>0.9246142603381468</v>
      </c>
      <c r="I628" s="37" t="n">
        <v>0.708343181491603</v>
      </c>
      <c r="J628" s="39" t="inlineStr">
        <is>
          <t>Corregible</t>
        </is>
      </c>
      <c r="K628" s="29" t="n">
        <v>6.11610992543457</v>
      </c>
      <c r="L628" s="35" t="n">
        <v>57.38939142341798</v>
      </c>
      <c r="M628" s="36" t="n">
        <v>2358.301767263953</v>
      </c>
      <c r="N628" s="29" t="n">
        <v>2.494628495055928</v>
      </c>
      <c r="O628" s="16" t="inlineStr">
        <is>
          <t>sí</t>
        </is>
      </c>
      <c r="P628" s="16" t="inlineStr">
        <is>
          <t>O2</t>
        </is>
      </c>
    </row>
    <row r="629">
      <c r="A629" s="16" t="inlineStr">
        <is>
          <t>KF-M05-5-0116</t>
        </is>
      </c>
      <c r="B629" s="35" t="n">
        <v>278.9057384225816</v>
      </c>
      <c r="C629" s="36" t="n">
        <v>4927.06901207824</v>
      </c>
      <c r="D629" s="35" t="n">
        <v>1950.31158710057</v>
      </c>
      <c r="E629" s="37" t="n">
        <v>0.8239520863417704</v>
      </c>
      <c r="F629" s="37" t="n">
        <v>0.7394209684855928</v>
      </c>
      <c r="G629" s="37" t="n">
        <v>0.6582133542797153</v>
      </c>
      <c r="H629" s="37" t="n">
        <v>0.893638363393519</v>
      </c>
      <c r="I629" s="37" t="n">
        <v>0.7030575858623664</v>
      </c>
      <c r="J629" s="39" t="inlineStr">
        <is>
          <t>Corregible</t>
        </is>
      </c>
      <c r="K629" s="29" t="n">
        <v>7.05982145600116</v>
      </c>
      <c r="L629" s="35" t="n">
        <v>100.1276245692363</v>
      </c>
      <c r="M629" s="36" t="n">
        <v>2976.757424977671</v>
      </c>
      <c r="N629" s="29" t="n">
        <v>2.526298384661226</v>
      </c>
      <c r="O629" s="16" t="inlineStr">
        <is>
          <t>sí</t>
        </is>
      </c>
      <c r="P629" s="16" t="inlineStr">
        <is>
          <t>O2</t>
        </is>
      </c>
    </row>
    <row r="630">
      <c r="A630" s="16" t="inlineStr">
        <is>
          <t>KF-M05-5-0117</t>
        </is>
      </c>
      <c r="B630" s="35" t="n">
        <v>294.978379313271</v>
      </c>
      <c r="C630" s="36" t="n">
        <v>2615.397367368532</v>
      </c>
      <c r="D630" s="35" t="n">
        <v>1382.20115223934</v>
      </c>
      <c r="E630" s="37" t="n">
        <v>0.9278889267092074</v>
      </c>
      <c r="F630" s="37" t="n">
        <v>0.5181272952655399</v>
      </c>
      <c r="G630" s="37" t="n">
        <v>0.5725396342510303</v>
      </c>
      <c r="H630" s="37" t="n">
        <v>0.5951813143680351</v>
      </c>
      <c r="I630" s="37" t="n">
        <v>0.6105842156342887</v>
      </c>
      <c r="J630" s="39" t="inlineStr">
        <is>
          <t>Corregible</t>
        </is>
      </c>
      <c r="K630" s="29" t="n">
        <v>3.40121870377784</v>
      </c>
      <c r="L630" s="35" t="n">
        <v>38.64235944826346</v>
      </c>
      <c r="M630" s="36" t="n">
        <v>1233.196215129191</v>
      </c>
      <c r="N630" s="29" t="n">
        <v>1.892197357187308</v>
      </c>
      <c r="O630" s="16" t="inlineStr">
        <is>
          <t>sí</t>
        </is>
      </c>
      <c r="P630" s="16" t="inlineStr">
        <is>
          <t>O2</t>
        </is>
      </c>
    </row>
    <row r="631">
      <c r="A631" s="16" t="inlineStr">
        <is>
          <t>KF-M05-5-0118</t>
        </is>
      </c>
      <c r="B631" s="35" t="n">
        <v>292.7993013666695</v>
      </c>
      <c r="C631" s="36" t="n">
        <v>4452.322800832719</v>
      </c>
      <c r="D631" s="35" t="n">
        <v>1147.987597075097</v>
      </c>
      <c r="E631" s="37" t="n">
        <v>0.6389095372640892</v>
      </c>
      <c r="F631" s="37" t="n">
        <v>0.7019926685073672</v>
      </c>
      <c r="G631" s="37" t="n">
        <v>0.7154373552486781</v>
      </c>
      <c r="H631" s="37" t="n">
        <v>0.9110384503065684</v>
      </c>
      <c r="I631" s="37" t="n">
        <v>0.561003241224474</v>
      </c>
      <c r="J631" s="39" t="inlineStr">
        <is>
          <t>Corregible</t>
        </is>
      </c>
      <c r="K631" s="29" t="n">
        <v>3.02937271814263</v>
      </c>
      <c r="L631" s="35" t="n">
        <v>36.85190760989099</v>
      </c>
      <c r="M631" s="36" t="n">
        <v>3304.335203757622</v>
      </c>
      <c r="N631" s="29" t="n">
        <v>3.878371867585139</v>
      </c>
      <c r="O631" s="16" t="inlineStr">
        <is>
          <t>sí</t>
        </is>
      </c>
      <c r="P631" s="16" t="inlineStr">
        <is>
          <t>O2</t>
        </is>
      </c>
    </row>
    <row r="632">
      <c r="A632" s="16" t="inlineStr">
        <is>
          <t>KF-M05-5-0119</t>
        </is>
      </c>
      <c r="B632" s="35" t="n">
        <v>297.3446496650867</v>
      </c>
      <c r="C632" s="36" t="n">
        <v>3469.365505883858</v>
      </c>
      <c r="D632" s="35" t="n">
        <v>750.2141281444486</v>
      </c>
      <c r="E632" s="37" t="n">
        <v>0.7577701052260662</v>
      </c>
      <c r="F632" s="37" t="n">
        <v>0.5671784555659551</v>
      </c>
      <c r="G632" s="37" t="n">
        <v>0.5861402207517382</v>
      </c>
      <c r="H632" s="37" t="n">
        <v>0.4822456957013029</v>
      </c>
      <c r="I632" s="37" t="n">
        <v>0.7945587973903037</v>
      </c>
      <c r="J632" s="39" t="inlineStr">
        <is>
          <t>Corregible</t>
        </is>
      </c>
      <c r="K632" s="29" t="n">
        <v>8.952316850753581</v>
      </c>
      <c r="L632" s="35" t="n">
        <v>122.4259062127758</v>
      </c>
      <c r="M632" s="36" t="n">
        <v>2719.151377739409</v>
      </c>
      <c r="N632" s="29" t="n">
        <v>4.624500360270281</v>
      </c>
      <c r="O632" s="16" t="inlineStr">
        <is>
          <t>sí</t>
        </is>
      </c>
      <c r="P632" s="16" t="inlineStr">
        <is>
          <t>O2</t>
        </is>
      </c>
    </row>
  </sheetData>
  <pageMargins left="0.75" right="0.75" top="1" bottom="1" header="0.5" footer="0.5"/>
  <drawing xmlns:r="http://schemas.openxmlformats.org/officeDocument/2006/relationships" r:id="rId1"/>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0" customWidth="1" min="1" max="1"/>
    <col width="48" customWidth="1" min="2" max="2"/>
    <col width="10" customWidth="1" min="3" max="3"/>
    <col width="15" customWidth="1" min="4" max="4"/>
    <col width="11" customWidth="1" min="5" max="5"/>
    <col width="21" customWidth="1" min="6" max="6"/>
    <col width="10" customWidth="1" min="7" max="7"/>
  </cols>
  <sheetData>
    <row r="1">
      <c r="A1" s="19" t="inlineStr">
        <is>
          <t>Tabla 4.2-1 · Condiciones: qué quedó fijo y qué se barrió</t>
        </is>
      </c>
    </row>
    <row r="2">
      <c r="A2" s="20" t="inlineStr">
        <is>
          <t>Estudio 4.2 · Mapa con las presiones del profesor</t>
        </is>
      </c>
    </row>
    <row r="3">
      <c r="A3" s="20" t="inlineStr">
        <is>
          <t>Punto base: PP = punto del profesor con P_alta y P_baja fijas</t>
        </is>
      </c>
    </row>
    <row r="4">
      <c r="A4" s="21" t="inlineStr">
        <is>
          <t>Datos fijos: P_alta = 3000 kPa; P_baja = 400 kPa; x_b = 0.5; m_b = 1 kg/s; η_t = 0.85; η_p = 0.75; ε_HRVG = 0.85; ε_reg = 0.75; motor de propiedades = teqp.</t>
        </is>
      </c>
    </row>
    <row r="5">
      <c r="A5" s="21" t="inlineStr">
        <is>
          <t>Datos barridos: T_fuente [385–410] K (11 valores); T_sumidero [278.15–300.03] K (3 valores); ε_cond [0.85–0.95] (5 valores); piso de O2 [278.15–300.03] K (3 valores).</t>
        </is>
      </c>
    </row>
    <row r="6">
      <c r="A6" s="20" t="inlineStr">
        <is>
          <t>Fuente: analisis_final/00_inventario/condiciones_por_subcaso.csv</t>
        </is>
      </c>
    </row>
    <row r="8">
      <c r="A8" s="22" t="inlineStr">
        <is>
          <t>Parte</t>
        </is>
      </c>
      <c r="B8" s="22" t="inlineStr">
        <is>
          <t>Variable</t>
        </is>
      </c>
      <c r="C8" s="22" t="inlineStr">
        <is>
          <t>Estado</t>
        </is>
      </c>
      <c r="D8" s="22" t="inlineStr">
        <is>
          <t>Valor o rango</t>
        </is>
      </c>
      <c r="E8" s="22" t="inlineStr">
        <is>
          <t>n valores</t>
        </is>
      </c>
      <c r="F8" s="22" t="inlineStr">
        <is>
          <t>¿Igual al profesor?</t>
        </is>
      </c>
      <c r="G8" s="22" t="inlineStr">
        <is>
          <t>Unidad</t>
        </is>
      </c>
    </row>
    <row r="9">
      <c r="A9" s="16" t="n">
        <v>4.2</v>
      </c>
      <c r="B9" s="16" t="inlineStr">
        <is>
          <t>Temperatura de la fuente, T_fuente [K]</t>
        </is>
      </c>
      <c r="C9" s="16" t="inlineStr">
        <is>
          <t>Barrida</t>
        </is>
      </c>
      <c r="D9" s="16" t="inlineStr">
        <is>
          <t>385.0 – 410.0</t>
        </is>
      </c>
      <c r="E9" s="16" t="n">
        <v>11</v>
      </c>
      <c r="F9" s="16" t="n"/>
      <c r="G9" s="16" t="inlineStr">
        <is>
          <t>K</t>
        </is>
      </c>
    </row>
    <row r="10">
      <c r="A10" s="16" t="n">
        <v>4.2</v>
      </c>
      <c r="B10" s="16" t="inlineStr">
        <is>
          <t>Temperatura del sumidero, T_sumidero [K]</t>
        </is>
      </c>
      <c r="C10" s="16" t="inlineStr">
        <is>
          <t>Barrida</t>
        </is>
      </c>
      <c r="D10" s="16" t="inlineStr">
        <is>
          <t>278.1 – 300.0</t>
        </is>
      </c>
      <c r="E10" s="16" t="n">
        <v>3</v>
      </c>
      <c r="F10" s="16" t="n"/>
      <c r="G10" s="16" t="inlineStr">
        <is>
          <t>K</t>
        </is>
      </c>
    </row>
    <row r="11">
      <c r="A11" s="16" t="n">
        <v>4.2</v>
      </c>
      <c r="B11" s="16" t="inlineStr">
        <is>
          <t>Presión de alta, P_alta [kPa]</t>
        </is>
      </c>
      <c r="C11" s="16" t="inlineStr">
        <is>
          <t>Fija</t>
        </is>
      </c>
      <c r="D11" s="16" t="inlineStr">
        <is>
          <t>3000.0</t>
        </is>
      </c>
      <c r="E11" s="16" t="n"/>
      <c r="F11" s="16" t="inlineStr">
        <is>
          <t>sí</t>
        </is>
      </c>
      <c r="G11" s="16" t="inlineStr">
        <is>
          <t>kPa</t>
        </is>
      </c>
    </row>
    <row r="12">
      <c r="A12" s="16" t="n">
        <v>4.2</v>
      </c>
      <c r="B12" s="16" t="inlineStr">
        <is>
          <t>Presión de baja, P_baja [kPa]</t>
        </is>
      </c>
      <c r="C12" s="16" t="inlineStr">
        <is>
          <t>Fija</t>
        </is>
      </c>
      <c r="D12" s="16" t="inlineStr">
        <is>
          <t>400.0</t>
        </is>
      </c>
      <c r="E12" s="16" t="n"/>
      <c r="F12" s="16" t="inlineStr">
        <is>
          <t>sí</t>
        </is>
      </c>
      <c r="G12" s="16" t="inlineStr">
        <is>
          <t>kPa</t>
        </is>
      </c>
    </row>
    <row r="13">
      <c r="A13" s="16" t="n">
        <v>4.2</v>
      </c>
      <c r="B13" s="16" t="inlineStr">
        <is>
          <t>Fracción de amoníaco de la mezcla base, x_b [–]</t>
        </is>
      </c>
      <c r="C13" s="16" t="inlineStr">
        <is>
          <t>Fija</t>
        </is>
      </c>
      <c r="D13" s="16" t="inlineStr">
        <is>
          <t>0.5</t>
        </is>
      </c>
      <c r="E13" s="16" t="n"/>
      <c r="F13" s="16" t="inlineStr">
        <is>
          <t>sí</t>
        </is>
      </c>
      <c r="G13" s="16" t="inlineStr">
        <is>
          <t>–</t>
        </is>
      </c>
    </row>
    <row r="14">
      <c r="A14" s="16" t="n">
        <v>4.2</v>
      </c>
      <c r="B14" s="16" t="inlineStr">
        <is>
          <t>Flujo másico base, m_b [kg/s]</t>
        </is>
      </c>
      <c r="C14" s="16" t="inlineStr">
        <is>
          <t>Fija</t>
        </is>
      </c>
      <c r="D14" s="16" t="inlineStr">
        <is>
          <t>1.0</t>
        </is>
      </c>
      <c r="E14" s="16" t="n"/>
      <c r="F14" s="16" t="inlineStr">
        <is>
          <t>sí</t>
        </is>
      </c>
      <c r="G14" s="16" t="inlineStr">
        <is>
          <t>kg/s</t>
        </is>
      </c>
    </row>
    <row r="15">
      <c r="A15" s="16" t="n">
        <v>4.2</v>
      </c>
      <c r="B15" s="16" t="inlineStr">
        <is>
          <t>Eficiencia isentrópica de la turbina, η_t [–]</t>
        </is>
      </c>
      <c r="C15" s="16" t="inlineStr">
        <is>
          <t>Fija</t>
        </is>
      </c>
      <c r="D15" s="16" t="inlineStr">
        <is>
          <t>0.85</t>
        </is>
      </c>
      <c r="E15" s="16" t="n"/>
      <c r="F15" s="16" t="inlineStr">
        <is>
          <t>sí</t>
        </is>
      </c>
      <c r="G15" s="16" t="inlineStr">
        <is>
          <t>–</t>
        </is>
      </c>
    </row>
    <row r="16">
      <c r="A16" s="16" t="n">
        <v>4.2</v>
      </c>
      <c r="B16" s="16" t="inlineStr">
        <is>
          <t>Eficiencia isentrópica de la bomba, η_p [–]</t>
        </is>
      </c>
      <c r="C16" s="16" t="inlineStr">
        <is>
          <t>Fija</t>
        </is>
      </c>
      <c r="D16" s="16" t="inlineStr">
        <is>
          <t>0.75</t>
        </is>
      </c>
      <c r="E16" s="16" t="n"/>
      <c r="F16" s="16" t="inlineStr">
        <is>
          <t>sí</t>
        </is>
      </c>
      <c r="G16" s="16" t="inlineStr">
        <is>
          <t>–</t>
        </is>
      </c>
    </row>
    <row r="17">
      <c r="A17" s="16" t="n">
        <v>4.2</v>
      </c>
      <c r="B17" s="16" t="inlineStr">
        <is>
          <t>Efectividad del generador de vapor, ε_HRVG [–]</t>
        </is>
      </c>
      <c r="C17" s="16" t="inlineStr">
        <is>
          <t>Fija</t>
        </is>
      </c>
      <c r="D17" s="16" t="inlineStr">
        <is>
          <t>0.85</t>
        </is>
      </c>
      <c r="E17" s="16" t="n"/>
      <c r="F17" s="16" t="inlineStr">
        <is>
          <t>sí</t>
        </is>
      </c>
      <c r="G17" s="16" t="inlineStr">
        <is>
          <t>–</t>
        </is>
      </c>
    </row>
    <row r="18">
      <c r="A18" s="16" t="n">
        <v>4.2</v>
      </c>
      <c r="B18" s="16" t="inlineStr">
        <is>
          <t>Efectividad del regenerador, ε_reg [–]</t>
        </is>
      </c>
      <c r="C18" s="16" t="inlineStr">
        <is>
          <t>Fija</t>
        </is>
      </c>
      <c r="D18" s="16" t="inlineStr">
        <is>
          <t>0.75</t>
        </is>
      </c>
      <c r="E18" s="16" t="n"/>
      <c r="F18" s="16" t="inlineStr">
        <is>
          <t>sí</t>
        </is>
      </c>
      <c r="G18" s="16" t="inlineStr">
        <is>
          <t>–</t>
        </is>
      </c>
    </row>
    <row r="19">
      <c r="A19" s="16" t="n">
        <v>4.2</v>
      </c>
      <c r="B19" s="16" t="inlineStr">
        <is>
          <t>Efectividad del condensador, ε_cond [–]</t>
        </is>
      </c>
      <c r="C19" s="16" t="inlineStr">
        <is>
          <t>Barrida</t>
        </is>
      </c>
      <c r="D19" s="16" t="inlineStr">
        <is>
          <t>0.850 – 0.950</t>
        </is>
      </c>
      <c r="E19" s="16" t="n">
        <v>5</v>
      </c>
      <c r="F19" s="16" t="n"/>
      <c r="G19" s="16" t="inlineStr">
        <is>
          <t>–</t>
        </is>
      </c>
    </row>
    <row r="20">
      <c r="A20" s="16" t="n">
        <v>4.2</v>
      </c>
      <c r="B20" s="16" t="inlineStr">
        <is>
          <t>Piso de O2 (T de diseño de la bomba) [K]</t>
        </is>
      </c>
      <c r="C20" s="16" t="inlineStr">
        <is>
          <t>Barrida</t>
        </is>
      </c>
      <c r="D20" s="16" t="inlineStr">
        <is>
          <t>278.1 – 300.0</t>
        </is>
      </c>
      <c r="E20" s="16" t="n">
        <v>3</v>
      </c>
      <c r="F20" s="16" t="n"/>
      <c r="G20" s="16" t="inlineStr">
        <is>
          <t>K</t>
        </is>
      </c>
    </row>
    <row r="21">
      <c r="A21" s="16" t="n">
        <v>4.2</v>
      </c>
      <c r="B21" s="16" t="inlineStr">
        <is>
          <t>motor de propiedades</t>
        </is>
      </c>
      <c r="C21" s="16" t="inlineStr">
        <is>
          <t>Fija</t>
        </is>
      </c>
      <c r="D21" s="16" t="inlineStr">
        <is>
          <t>teqp</t>
        </is>
      </c>
      <c r="E21" s="16" t="n"/>
      <c r="F21" s="16" t="n"/>
      <c r="G21" s="16" t="inlineStr">
        <is>
          <t>–</t>
        </is>
      </c>
    </row>
    <row r="23">
      <c r="A23" s="23" t="inlineStr">
        <is>
          <t>Notas: Filtro: cada parte y cada variable. n = 13 filas en la tabla. † = fuera del rango confiable (IAPWS G4-01); ‡ = falso convergido. Fuente: analisis_final/00_inventario/condiciones_por_subcaso.csv.</t>
        </is>
      </c>
    </row>
  </sheetData>
  <autoFilter ref="A8:G2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4.2-2 · Corridas por parte y por clase</t>
        </is>
      </c>
    </row>
    <row r="2">
      <c r="A2" s="20" t="inlineStr">
        <is>
          <t>Estudio 4.2 · Mapa con las presiones del profesor</t>
        </is>
      </c>
    </row>
    <row r="3">
      <c r="A3" s="20" t="inlineStr">
        <is>
          <t>Punto base: PP = punto del profesor con P_alta y P_baja fijas</t>
        </is>
      </c>
    </row>
    <row r="4">
      <c r="A4" s="21" t="inlineStr">
        <is>
          <t>Datos fijos: P_alta = 3000 kPa; P_baja = 400 kPa; x_b = 0.5; m_b = 1 kg/s; η_t = 0.85; η_p = 0.75; ε_HRVG = 0.85; ε_reg = 0.75; motor de propiedades = teqp.</t>
        </is>
      </c>
    </row>
    <row r="5">
      <c r="A5" s="21" t="inlineStr">
        <is>
          <t>Datos barridos: T_fuente [385–410] K (11 valores); T_sumidero [278.15–300.03] K (3 valores); ε_cond [0.85–0.95] (5 valores); piso de O2 [278.15–300.03] K (3 valores).</t>
        </is>
      </c>
    </row>
    <row r="6">
      <c r="A6" s="20" t="inlineStr">
        <is>
          <t>Fuente: analisis_final/00_inventario/conteo_por_subcaso.csv</t>
        </is>
      </c>
    </row>
    <row r="8">
      <c r="A8" s="22" t="inlineStr">
        <is>
          <t>Parte</t>
        </is>
      </c>
      <c r="B8" s="22" t="inlineStr">
        <is>
          <t>Corridas</t>
        </is>
      </c>
      <c r="C8" s="22" t="inlineStr">
        <is>
          <t>Omitidos</t>
        </is>
      </c>
      <c r="D8" s="22" t="inlineStr">
        <is>
          <t>Genuinos</t>
        </is>
      </c>
      <c r="E8" s="22" t="inlineStr">
        <is>
          <t>KALINA</t>
        </is>
      </c>
      <c r="F8" s="22" t="inlineStr">
        <is>
          <t>KALINA confiables</t>
        </is>
      </c>
      <c r="G8" s="22" t="inlineStr">
        <is>
          <t>Corregibles</t>
        </is>
      </c>
      <c r="H8" s="22" t="inlineStr">
        <is>
          <t>Inviables</t>
        </is>
      </c>
      <c r="I8" s="22" t="inlineStr">
        <is>
          <t>No convergidos</t>
        </is>
      </c>
      <c r="J8" s="22" t="inlineStr">
        <is>
          <t>Falsos convergidos</t>
        </is>
      </c>
      <c r="K8" s="22" t="inlineStr">
        <is>
          <t>Fuera de rango</t>
        </is>
      </c>
    </row>
    <row r="9">
      <c r="A9" s="16" t="n">
        <v>4.2</v>
      </c>
      <c r="B9" s="16" t="n">
        <v>165</v>
      </c>
      <c r="C9" s="16" t="n">
        <v>0</v>
      </c>
      <c r="D9" s="16" t="n">
        <v>149</v>
      </c>
      <c r="E9" s="16" t="n">
        <v>104</v>
      </c>
      <c r="F9" s="16" t="n">
        <v>104</v>
      </c>
      <c r="G9" s="16" t="n">
        <v>30</v>
      </c>
      <c r="H9" s="16" t="n">
        <v>15</v>
      </c>
      <c r="I9" s="16" t="n">
        <v>1</v>
      </c>
      <c r="J9" s="16" t="n">
        <v>15</v>
      </c>
      <c r="K9" s="16" t="n">
        <v>0</v>
      </c>
    </row>
    <row r="11">
      <c r="A11" s="23" t="inlineStr">
        <is>
          <t>Notas: Filtro: conteo por parte. n = 1 filas en la tabla. † = fuera del rango confiable (IAPWS G4-01); ‡ = falso convergido. Fuente: analisis_final/00_inventario/conteo_por_subcaso.csv.</t>
        </is>
      </c>
    </row>
  </sheetData>
  <autoFilter ref="A8:K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2" customWidth="1" min="1" max="1"/>
    <col width="41" customWidth="1" min="2" max="2"/>
    <col width="10" customWidth="1" min="3" max="3"/>
    <col width="21" customWidth="1" min="4" max="4"/>
    <col width="21" customWidth="1" min="5" max="5"/>
    <col width="26" customWidth="1" min="6" max="6"/>
    <col width="26" customWidth="1" min="7" max="7"/>
  </cols>
  <sheetData>
    <row r="1">
      <c r="A1" s="19" t="inlineStr">
        <is>
          <t>Tabla 4.2-3 · Frontera KALINA con las presiones del profesor</t>
        </is>
      </c>
    </row>
    <row r="2">
      <c r="A2" s="20" t="inlineStr">
        <is>
          <t>Estudio 4.2 · Mapa con las presiones del profesor</t>
        </is>
      </c>
    </row>
    <row r="3">
      <c r="A3" s="20" t="inlineStr">
        <is>
          <t>Punto base: PP = punto del profesor con P_alta y P_baja fijas</t>
        </is>
      </c>
    </row>
    <row r="4">
      <c r="A4" s="21" t="inlineStr">
        <is>
          <t>Datos fijos: P_alta = 3000 kPa; P_baja = 400 kPa; x_b = 0.5; m_b = 1 kg/s; η_t = 0.85; η_p = 0.75; ε_HRVG = 0.85; ε_reg = 0.75; motor de propiedades = teqp.</t>
        </is>
      </c>
    </row>
    <row r="5">
      <c r="A5" s="21" t="inlineStr">
        <is>
          <t>Datos barridos: T_fuente [385–410] K (11 valores); T_sumidero [278.15–300.03] K (3 valores); ε_cond [0.85–0.95] (5 valores); piso de O2 [278.15–300.03] K (3 valores).</t>
        </is>
      </c>
    </row>
    <row r="6">
      <c r="A6" s="20" t="inlineStr">
        <is>
          <t>Fuente: resultados/2026-10-07_final_M5c/m5c_frontera.csv</t>
        </is>
      </c>
    </row>
    <row r="8">
      <c r="A8" s="22" t="inlineStr">
        <is>
          <t>Temperatura del sumidero, T_sumidero [K]</t>
        </is>
      </c>
      <c r="B8" s="22" t="inlineStr">
        <is>
          <t>Efectividad del condensador, ε_cond [–]</t>
        </is>
      </c>
      <c r="C8" s="22" t="inlineStr">
        <is>
          <t>KALINA</t>
        </is>
      </c>
      <c r="D8" s="22" t="inlineStr">
        <is>
          <t>T_fuente mínima [K]</t>
        </is>
      </c>
      <c r="E8" s="22" t="inlineStr">
        <is>
          <t>T_fuente máxima [K]</t>
        </is>
      </c>
      <c r="F8" s="22" t="inlineStr">
        <is>
          <t>η en T_fuente mínima [%]</t>
        </is>
      </c>
      <c r="G8" s="22" t="inlineStr">
        <is>
          <t>η en T_fuente máxima [%]</t>
        </is>
      </c>
    </row>
    <row r="9">
      <c r="A9" s="35" t="n">
        <v>278.15</v>
      </c>
      <c r="B9" s="37" t="n">
        <v>0.85</v>
      </c>
      <c r="C9" s="16" t="n">
        <v>8</v>
      </c>
      <c r="D9" s="35" t="n">
        <v>390</v>
      </c>
      <c r="E9" s="35" t="n">
        <v>407.5</v>
      </c>
      <c r="F9" s="29" t="n">
        <v>1.9249</v>
      </c>
      <c r="G9" s="29" t="n">
        <v>9.827299999999999</v>
      </c>
    </row>
    <row r="10">
      <c r="A10" s="35" t="n">
        <v>278.15</v>
      </c>
      <c r="B10" s="37" t="n">
        <v>0.875</v>
      </c>
      <c r="C10" s="16" t="n">
        <v>9</v>
      </c>
      <c r="D10" s="35" t="n">
        <v>390</v>
      </c>
      <c r="E10" s="35" t="n">
        <v>410</v>
      </c>
      <c r="F10" s="29" t="n">
        <v>1.8934</v>
      </c>
      <c r="G10" s="29" t="n">
        <v>10.133</v>
      </c>
    </row>
    <row r="11">
      <c r="A11" s="35" t="n">
        <v>278.15</v>
      </c>
      <c r="B11" s="37" t="n">
        <v>0.9</v>
      </c>
      <c r="C11" s="16" t="n">
        <v>9</v>
      </c>
      <c r="D11" s="35" t="n">
        <v>390</v>
      </c>
      <c r="E11" s="35" t="n">
        <v>410</v>
      </c>
      <c r="F11" s="29" t="n">
        <v>1.8637</v>
      </c>
      <c r="G11" s="29" t="n">
        <v>10.016</v>
      </c>
    </row>
    <row r="12">
      <c r="A12" s="35" t="n">
        <v>278.15</v>
      </c>
      <c r="B12" s="37" t="n">
        <v>0.925</v>
      </c>
      <c r="C12" s="16" t="n">
        <v>9</v>
      </c>
      <c r="D12" s="35" t="n">
        <v>390</v>
      </c>
      <c r="E12" s="35" t="n">
        <v>410</v>
      </c>
      <c r="F12" s="29" t="n">
        <v>1.8356</v>
      </c>
      <c r="G12" s="29" t="n">
        <v>9.905200000000001</v>
      </c>
    </row>
    <row r="13">
      <c r="A13" s="35" t="n">
        <v>278.15</v>
      </c>
      <c r="B13" s="37" t="n">
        <v>0.95</v>
      </c>
      <c r="C13" s="16" t="n">
        <v>9</v>
      </c>
      <c r="D13" s="35" t="n">
        <v>390</v>
      </c>
      <c r="E13" s="35" t="n">
        <v>410</v>
      </c>
      <c r="F13" s="29" t="n">
        <v>1.809</v>
      </c>
      <c r="G13" s="29" t="n">
        <v>9.7997</v>
      </c>
    </row>
    <row r="14">
      <c r="A14" s="35" t="n">
        <v>290.65</v>
      </c>
      <c r="B14" s="37" t="n">
        <v>0.85</v>
      </c>
      <c r="C14" s="16" t="n">
        <v>8</v>
      </c>
      <c r="D14" s="35" t="n">
        <v>390</v>
      </c>
      <c r="E14" s="35" t="n">
        <v>407.5</v>
      </c>
      <c r="F14" s="29" t="n">
        <v>2.2714</v>
      </c>
      <c r="G14" s="29" t="n">
        <v>10.402</v>
      </c>
    </row>
    <row r="15">
      <c r="A15" s="35" t="n">
        <v>290.65</v>
      </c>
      <c r="B15" s="37" t="n">
        <v>0.875</v>
      </c>
      <c r="C15" s="16" t="n">
        <v>9</v>
      </c>
      <c r="D15" s="35" t="n">
        <v>390</v>
      </c>
      <c r="E15" s="35" t="n">
        <v>410</v>
      </c>
      <c r="F15" s="29" t="n">
        <v>2.2374</v>
      </c>
      <c r="G15" s="29" t="n">
        <v>10.699</v>
      </c>
    </row>
    <row r="16">
      <c r="A16" s="35" t="n">
        <v>290.65</v>
      </c>
      <c r="B16" s="37" t="n">
        <v>0.9</v>
      </c>
      <c r="C16" s="16" t="n">
        <v>9</v>
      </c>
      <c r="D16" s="35" t="n">
        <v>390</v>
      </c>
      <c r="E16" s="35" t="n">
        <v>410</v>
      </c>
      <c r="F16" s="29" t="n">
        <v>2.2053</v>
      </c>
      <c r="G16" s="29" t="n">
        <v>10.577</v>
      </c>
    </row>
    <row r="17">
      <c r="A17" s="35" t="n">
        <v>290.65</v>
      </c>
      <c r="B17" s="37" t="n">
        <v>0.925</v>
      </c>
      <c r="C17" s="16" t="n">
        <v>9</v>
      </c>
      <c r="D17" s="35" t="n">
        <v>390</v>
      </c>
      <c r="E17" s="35" t="n">
        <v>410</v>
      </c>
      <c r="F17" s="29" t="n">
        <v>2.1749</v>
      </c>
      <c r="G17" s="29" t="n">
        <v>10.462</v>
      </c>
    </row>
    <row r="18">
      <c r="A18" s="35" t="n">
        <v>290.65</v>
      </c>
      <c r="B18" s="37" t="n">
        <v>0.95</v>
      </c>
      <c r="C18" s="16" t="n">
        <v>9</v>
      </c>
      <c r="D18" s="35" t="n">
        <v>390</v>
      </c>
      <c r="E18" s="35" t="n">
        <v>410</v>
      </c>
      <c r="F18" s="29" t="n">
        <v>2.1461</v>
      </c>
      <c r="G18" s="29" t="n">
        <v>10.352</v>
      </c>
    </row>
    <row r="19">
      <c r="A19" s="35" t="n">
        <v>300.03</v>
      </c>
      <c r="B19" s="37" t="n">
        <v>0.85</v>
      </c>
      <c r="C19" s="16" t="n">
        <v>0</v>
      </c>
      <c r="D19" s="16" t="n"/>
      <c r="E19" s="16" t="n"/>
      <c r="F19" s="16" t="n"/>
      <c r="G19" s="16" t="n"/>
    </row>
    <row r="20">
      <c r="A20" s="35" t="n">
        <v>300.03</v>
      </c>
      <c r="B20" s="37" t="n">
        <v>0.875</v>
      </c>
      <c r="C20" s="16" t="n">
        <v>1</v>
      </c>
      <c r="D20" s="35" t="n">
        <v>390</v>
      </c>
      <c r="E20" s="35" t="n">
        <v>390</v>
      </c>
      <c r="F20" s="29" t="n">
        <v>2.5393</v>
      </c>
      <c r="G20" s="29" t="n">
        <v>2.5393</v>
      </c>
    </row>
    <row r="21">
      <c r="A21" s="35" t="n">
        <v>300.03</v>
      </c>
      <c r="B21" s="37" t="n">
        <v>0.9</v>
      </c>
      <c r="C21" s="16" t="n">
        <v>2</v>
      </c>
      <c r="D21" s="35" t="n">
        <v>390</v>
      </c>
      <c r="E21" s="35" t="n">
        <v>392.5</v>
      </c>
      <c r="F21" s="29" t="n">
        <v>2.5051</v>
      </c>
      <c r="G21" s="29" t="n">
        <v>5.0307</v>
      </c>
    </row>
    <row r="22">
      <c r="A22" s="35" t="n">
        <v>300.03</v>
      </c>
      <c r="B22" s="37" t="n">
        <v>0.925</v>
      </c>
      <c r="C22" s="16" t="n">
        <v>4</v>
      </c>
      <c r="D22" s="35" t="n">
        <v>390</v>
      </c>
      <c r="E22" s="35" t="n">
        <v>397.5</v>
      </c>
      <c r="F22" s="29" t="n">
        <v>2.4728</v>
      </c>
      <c r="G22" s="29" t="n">
        <v>7.8536</v>
      </c>
    </row>
    <row r="23">
      <c r="A23" s="35" t="n">
        <v>300.03</v>
      </c>
      <c r="B23" s="37" t="n">
        <v>0.95</v>
      </c>
      <c r="C23" s="16" t="n">
        <v>9</v>
      </c>
      <c r="D23" s="35" t="n">
        <v>390</v>
      </c>
      <c r="E23" s="35" t="n">
        <v>410</v>
      </c>
      <c r="F23" s="29" t="n">
        <v>2.4421</v>
      </c>
      <c r="G23" s="29" t="n">
        <v>10.807</v>
      </c>
    </row>
    <row r="25">
      <c r="A25" s="23" t="inlineStr">
        <is>
          <t>Notas: Filtro: todos los puntos del barrido. n = 15 filas en la tabla. † = fuera del rango confiable (IAPWS G4-01); ‡ = falso convergido. Fuente: resultados/2026-10-07_final_M5c/m5c_frontera.csv.</t>
        </is>
      </c>
    </row>
  </sheetData>
  <autoFilter ref="A8:G2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175"/>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4.2 · Mapa con las presiones del profesor</t>
        </is>
      </c>
    </row>
    <row r="2">
      <c r="A2" t="inlineStr">
        <is>
          <t>Cada fila es un punto calculado (n = 165);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6">
      <c r="A6" s="33" t="inlineStr">
        <is>
          <t>Parte 4.2 · presiones del profesor, malla T_fuente × ε_cond × clima · 165 puntos</t>
        </is>
      </c>
      <c r="B6" s="31" t="n"/>
      <c r="C6" s="31" t="n"/>
      <c r="D6" s="31" t="n"/>
      <c r="E6" s="31" t="n"/>
      <c r="F6" s="31" t="n"/>
      <c r="G6" s="31" t="n"/>
      <c r="H6" s="31" t="n"/>
      <c r="I6" s="31" t="n"/>
      <c r="J6" s="31" t="n"/>
      <c r="K6" s="31" t="n"/>
      <c r="N6" s="24" t="inlineStr">
        <is>
          <t>Figura 4.2-1 · Con las presiones del profesor hay KALINA desde T_fuente ≈ 390 K; con su clima (300 K) hace falta ε_cond ≥ 0.875</t>
        </is>
      </c>
    </row>
    <row r="7"/>
    <row r="8">
      <c r="A8" s="34" t="inlineStr">
        <is>
          <t>Barrido de la parte 4.2 · 165 puntos</t>
        </is>
      </c>
    </row>
    <row r="9">
      <c r="A9" s="25" t="inlineStr">
        <is>
          <t>Fijos en este barrido: P_alta = 3000, P_baja = 400, x_b = 0.5, η_t = 0.85, η_p = 0.75, ε_HRVG = 0.85, ε_reg = 0.75.</t>
        </is>
      </c>
    </row>
    <row r="10">
      <c r="A10" s="22" t="inlineStr">
        <is>
          <t>id_punto</t>
        </is>
      </c>
      <c r="B10" s="22" t="inlineStr">
        <is>
          <t>T_fuente [K]</t>
        </is>
      </c>
      <c r="C10" s="22" t="inlineStr">
        <is>
          <t>T_sumidero [K]</t>
        </is>
      </c>
      <c r="D10" s="22" t="inlineStr">
        <is>
          <t>ε_cond [–]</t>
        </is>
      </c>
      <c r="E10" s="22" t="inlineStr">
        <is>
          <t>Clase</t>
        </is>
      </c>
      <c r="F10" s="22" t="inlineStr">
        <is>
          <t>η [%]</t>
        </is>
      </c>
      <c r="G10" s="22" t="inlineStr">
        <is>
          <t>W_net [kW] (m_b = 1 kg/s)</t>
        </is>
      </c>
      <c r="H10" s="22" t="inlineStr">
        <is>
          <t>ΔP [kPa]</t>
        </is>
      </c>
      <c r="I10" s="22" t="inlineStr">
        <is>
          <t>r_P [–]</t>
        </is>
      </c>
      <c r="J10" s="22" t="inlineStr">
        <is>
          <t>Fuera de rango</t>
        </is>
      </c>
      <c r="K10" s="22" t="inlineStr">
        <is>
          <t>Criterios que falla</t>
        </is>
      </c>
    </row>
    <row r="11">
      <c r="A11" s="16" t="inlineStr">
        <is>
          <t>KF-M05c-0000</t>
        </is>
      </c>
      <c r="B11" s="35" t="n">
        <v>400</v>
      </c>
      <c r="C11" s="35" t="n">
        <v>278.15</v>
      </c>
      <c r="D11" s="37" t="n">
        <v>0.85</v>
      </c>
      <c r="E11" s="42" t="inlineStr">
        <is>
          <t>KALINA</t>
        </is>
      </c>
      <c r="F11" s="29" t="n">
        <v>7.98825020763136</v>
      </c>
      <c r="G11" s="35" t="n">
        <v>24.26678482119516</v>
      </c>
      <c r="H11" s="36" t="n">
        <v>2600</v>
      </c>
      <c r="I11" s="29" t="n">
        <v>7.5</v>
      </c>
      <c r="J11" s="16" t="inlineStr">
        <is>
          <t>no</t>
        </is>
      </c>
      <c r="K11" s="16" t="n"/>
    </row>
    <row r="12">
      <c r="A12" s="16" t="inlineStr">
        <is>
          <t>KF-M05c-0001</t>
        </is>
      </c>
      <c r="B12" s="35" t="n">
        <v>397.5</v>
      </c>
      <c r="C12" s="35" t="n">
        <v>278.15</v>
      </c>
      <c r="D12" s="37" t="n">
        <v>0.85</v>
      </c>
      <c r="E12" s="42" t="inlineStr">
        <is>
          <t>KALINA</t>
        </is>
      </c>
      <c r="F12" s="29" t="n">
        <v>7.07027253857441</v>
      </c>
      <c r="G12" s="35" t="n">
        <v>19.21153877713304</v>
      </c>
      <c r="H12" s="36" t="n">
        <v>2600</v>
      </c>
      <c r="I12" s="29" t="n">
        <v>7.5</v>
      </c>
      <c r="J12" s="16" t="inlineStr">
        <is>
          <t>no</t>
        </is>
      </c>
      <c r="K12" s="16" t="n"/>
    </row>
    <row r="13">
      <c r="A13" s="16" t="inlineStr">
        <is>
          <t>KF-M05c-0002</t>
        </is>
      </c>
      <c r="B13" s="35" t="n">
        <v>395</v>
      </c>
      <c r="C13" s="35" t="n">
        <v>278.15</v>
      </c>
      <c r="D13" s="37" t="n">
        <v>0.85</v>
      </c>
      <c r="E13" s="42" t="inlineStr">
        <is>
          <t>KALINA</t>
        </is>
      </c>
      <c r="F13" s="29" t="n">
        <v>5.88054377308624</v>
      </c>
      <c r="G13" s="35" t="n">
        <v>14.04704782003044</v>
      </c>
      <c r="H13" s="36" t="n">
        <v>2600</v>
      </c>
      <c r="I13" s="29" t="n">
        <v>7.5</v>
      </c>
      <c r="J13" s="16" t="inlineStr">
        <is>
          <t>no</t>
        </is>
      </c>
      <c r="K13" s="16" t="n"/>
    </row>
    <row r="14">
      <c r="A14" s="16" t="inlineStr">
        <is>
          <t>KF-M05c-0003</t>
        </is>
      </c>
      <c r="B14" s="35" t="n">
        <v>392.5</v>
      </c>
      <c r="C14" s="35" t="n">
        <v>278.15</v>
      </c>
      <c r="D14" s="37" t="n">
        <v>0.85</v>
      </c>
      <c r="E14" s="42" t="inlineStr">
        <is>
          <t>KALINA</t>
        </is>
      </c>
      <c r="F14" s="29" t="n">
        <v>4.26525717612299</v>
      </c>
      <c r="G14" s="35" t="n">
        <v>8.744400174842223</v>
      </c>
      <c r="H14" s="36" t="n">
        <v>2600</v>
      </c>
      <c r="I14" s="29" t="n">
        <v>7.5</v>
      </c>
      <c r="J14" s="16" t="inlineStr">
        <is>
          <t>no</t>
        </is>
      </c>
      <c r="K14" s="16" t="n"/>
    </row>
    <row r="15">
      <c r="A15" s="16" t="inlineStr">
        <is>
          <t>KF-M05c-0004</t>
        </is>
      </c>
      <c r="B15" s="35" t="n">
        <v>387.5</v>
      </c>
      <c r="C15" s="35" t="n">
        <v>278.15</v>
      </c>
      <c r="D15" s="37" t="n">
        <v>0.85</v>
      </c>
      <c r="E15" s="40" t="inlineStr">
        <is>
          <t>Inviable</t>
        </is>
      </c>
      <c r="F15" s="29" t="n">
        <v>-1.81248785746133</v>
      </c>
      <c r="G15" s="35" t="n">
        <v>-2.414741533998651</v>
      </c>
      <c r="H15" s="36" t="n">
        <v>2600</v>
      </c>
      <c r="I15" s="29" t="n">
        <v>7.5</v>
      </c>
      <c r="J15" s="16" t="inlineStr">
        <is>
          <t>no</t>
        </is>
      </c>
      <c r="K15" s="16" t="inlineStr">
        <is>
          <t>O3</t>
        </is>
      </c>
    </row>
    <row r="16">
      <c r="A16" s="16" t="inlineStr">
        <is>
          <t>KF-M05c-0005</t>
        </is>
      </c>
      <c r="B16" s="35" t="n">
        <v>390</v>
      </c>
      <c r="C16" s="35" t="n">
        <v>278.15</v>
      </c>
      <c r="D16" s="37" t="n">
        <v>0.85</v>
      </c>
      <c r="E16" s="42" t="inlineStr">
        <is>
          <t>KALINA</t>
        </is>
      </c>
      <c r="F16" s="29" t="n">
        <v>1.92486772162567</v>
      </c>
      <c r="G16" s="35" t="n">
        <v>3.270273060813778</v>
      </c>
      <c r="H16" s="36" t="n">
        <v>2600</v>
      </c>
      <c r="I16" s="29" t="n">
        <v>7.5</v>
      </c>
      <c r="J16" s="16" t="inlineStr">
        <is>
          <t>no</t>
        </is>
      </c>
      <c r="K16" s="16" t="n"/>
    </row>
    <row r="17">
      <c r="A17" s="16" t="inlineStr">
        <is>
          <t>KF-M05c-0006</t>
        </is>
      </c>
      <c r="B17" s="35" t="n">
        <v>410</v>
      </c>
      <c r="C17" s="35" t="n">
        <v>278.15</v>
      </c>
      <c r="D17" s="37" t="n">
        <v>0.85</v>
      </c>
      <c r="E17" s="32" t="inlineStr">
        <is>
          <t>No convergió</t>
        </is>
      </c>
      <c r="F17" s="29" t="inlineStr">
        <is>
          <t>—</t>
        </is>
      </c>
      <c r="G17" s="35" t="inlineStr">
        <is>
          <t>—</t>
        </is>
      </c>
      <c r="H17" s="36" t="n">
        <v>2600</v>
      </c>
      <c r="I17" s="29" t="n">
        <v>7.5</v>
      </c>
      <c r="J17" s="16" t="inlineStr">
        <is>
          <t>no</t>
        </is>
      </c>
      <c r="K17" s="16" t="n"/>
    </row>
    <row r="18">
      <c r="A18" s="16" t="inlineStr">
        <is>
          <t>KF-M05c-0007</t>
        </is>
      </c>
      <c r="B18" s="35" t="n">
        <v>385</v>
      </c>
      <c r="C18" s="35" t="n">
        <v>278.15</v>
      </c>
      <c r="D18" s="37" t="n">
        <v>0.85</v>
      </c>
      <c r="E18" s="38" t="inlineStr">
        <is>
          <t>Falso convergido</t>
        </is>
      </c>
      <c r="F18" s="29" t="inlineStr">
        <is>
          <t>—</t>
        </is>
      </c>
      <c r="G18" s="35" t="inlineStr">
        <is>
          <t>—</t>
        </is>
      </c>
      <c r="H18" s="36" t="n">
        <v>2600</v>
      </c>
      <c r="I18" s="29" t="n">
        <v>7.5</v>
      </c>
      <c r="J18" s="16" t="inlineStr">
        <is>
          <t>no</t>
        </is>
      </c>
      <c r="K18" s="16" t="inlineStr">
        <is>
          <t>N2,O3,O5,C1,C3,C3</t>
        </is>
      </c>
    </row>
    <row r="19">
      <c r="A19" s="16" t="inlineStr">
        <is>
          <t>KF-M05c-0008</t>
        </is>
      </c>
      <c r="B19" s="35" t="n">
        <v>405</v>
      </c>
      <c r="C19" s="35" t="n">
        <v>278.15</v>
      </c>
      <c r="D19" s="37" t="n">
        <v>0.85</v>
      </c>
      <c r="E19" s="42" t="inlineStr">
        <is>
          <t>KALINA</t>
        </is>
      </c>
      <c r="F19" s="29" t="n">
        <v>9.323139013613909</v>
      </c>
      <c r="G19" s="35" t="n">
        <v>34.14971102261887</v>
      </c>
      <c r="H19" s="36" t="n">
        <v>2600</v>
      </c>
      <c r="I19" s="29" t="n">
        <v>7.5</v>
      </c>
      <c r="J19" s="16" t="inlineStr">
        <is>
          <t>no</t>
        </is>
      </c>
      <c r="K19" s="16" t="n"/>
    </row>
    <row r="20">
      <c r="A20" s="16" t="inlineStr">
        <is>
          <t>KF-M05c-0009</t>
        </is>
      </c>
      <c r="B20" s="35" t="n">
        <v>402.5</v>
      </c>
      <c r="C20" s="35" t="n">
        <v>278.15</v>
      </c>
      <c r="D20" s="37" t="n">
        <v>0.85</v>
      </c>
      <c r="E20" s="42" t="inlineStr">
        <is>
          <t>KALINA</t>
        </is>
      </c>
      <c r="F20" s="29" t="n">
        <v>8.72152401017583</v>
      </c>
      <c r="G20" s="35" t="n">
        <v>29.23839937149199</v>
      </c>
      <c r="H20" s="36" t="n">
        <v>2600</v>
      </c>
      <c r="I20" s="29" t="n">
        <v>7.5</v>
      </c>
      <c r="J20" s="16" t="inlineStr">
        <is>
          <t>no</t>
        </is>
      </c>
      <c r="K20" s="16" t="n"/>
    </row>
    <row r="21">
      <c r="A21" s="16" t="inlineStr">
        <is>
          <t>KF-M05c-0010</t>
        </is>
      </c>
      <c r="B21" s="35" t="n">
        <v>407.5</v>
      </c>
      <c r="C21" s="35" t="n">
        <v>278.15</v>
      </c>
      <c r="D21" s="37" t="n">
        <v>0.85</v>
      </c>
      <c r="E21" s="42" t="inlineStr">
        <is>
          <t>KALINA</t>
        </is>
      </c>
      <c r="F21" s="29" t="n">
        <v>9.827276404536139</v>
      </c>
      <c r="G21" s="35" t="n">
        <v>39.02245760550685</v>
      </c>
      <c r="H21" s="36" t="n">
        <v>2600</v>
      </c>
      <c r="I21" s="29" t="n">
        <v>7.5</v>
      </c>
      <c r="J21" s="16" t="inlineStr">
        <is>
          <t>no</t>
        </is>
      </c>
      <c r="K21" s="16" t="n"/>
    </row>
    <row r="22">
      <c r="A22" s="16" t="inlineStr">
        <is>
          <t>KF-M05c-0011</t>
        </is>
      </c>
      <c r="B22" s="35" t="n">
        <v>387.5</v>
      </c>
      <c r="C22" s="35" t="n">
        <v>278.15</v>
      </c>
      <c r="D22" s="37" t="n">
        <v>0.875</v>
      </c>
      <c r="E22" s="40" t="inlineStr">
        <is>
          <t>Inviable</t>
        </is>
      </c>
      <c r="F22" s="29" t="n">
        <v>-1.81606668289421</v>
      </c>
      <c r="G22" s="35" t="n">
        <v>-2.436855418914279</v>
      </c>
      <c r="H22" s="36" t="n">
        <v>2600</v>
      </c>
      <c r="I22" s="29" t="n">
        <v>7.5</v>
      </c>
      <c r="J22" s="16" t="inlineStr">
        <is>
          <t>no</t>
        </is>
      </c>
      <c r="K22" s="16" t="inlineStr">
        <is>
          <t>O3</t>
        </is>
      </c>
    </row>
    <row r="23">
      <c r="A23" s="16" t="inlineStr">
        <is>
          <t>KF-M05c-0012</t>
        </is>
      </c>
      <c r="B23" s="35" t="n">
        <v>390</v>
      </c>
      <c r="C23" s="35" t="n">
        <v>278.15</v>
      </c>
      <c r="D23" s="37" t="n">
        <v>0.875</v>
      </c>
      <c r="E23" s="42" t="inlineStr">
        <is>
          <t>KALINA</t>
        </is>
      </c>
      <c r="F23" s="29" t="n">
        <v>1.89343193015721</v>
      </c>
      <c r="G23" s="35" t="n">
        <v>3.240752150170694</v>
      </c>
      <c r="H23" s="36" t="n">
        <v>2600</v>
      </c>
      <c r="I23" s="29" t="n">
        <v>7.5</v>
      </c>
      <c r="J23" s="16" t="inlineStr">
        <is>
          <t>no</t>
        </is>
      </c>
      <c r="K23" s="16" t="n"/>
    </row>
    <row r="24">
      <c r="A24" s="16" t="inlineStr">
        <is>
          <t>KF-M05c-0013</t>
        </is>
      </c>
      <c r="B24" s="35" t="n">
        <v>385</v>
      </c>
      <c r="C24" s="35" t="n">
        <v>278.15</v>
      </c>
      <c r="D24" s="37" t="n">
        <v>0.875</v>
      </c>
      <c r="E24" s="38" t="inlineStr">
        <is>
          <t>Falso convergido</t>
        </is>
      </c>
      <c r="F24" s="29" t="inlineStr">
        <is>
          <t>—</t>
        </is>
      </c>
      <c r="G24" s="35" t="inlineStr">
        <is>
          <t>—</t>
        </is>
      </c>
      <c r="H24" s="36" t="n">
        <v>2600</v>
      </c>
      <c r="I24" s="29" t="n">
        <v>7.5</v>
      </c>
      <c r="J24" s="16" t="inlineStr">
        <is>
          <t>no</t>
        </is>
      </c>
      <c r="K24" s="16" t="inlineStr">
        <is>
          <t>N2,O3,O5,C1,C3,C3</t>
        </is>
      </c>
      <c r="N24" s="25" t="inlineStr">
        <is>
          <t>Estudio 4.2. Punto base: PP con P_alta = 3000 kPa y P_baja = 400 kPa conservadas</t>
        </is>
      </c>
    </row>
    <row r="25">
      <c r="A25" s="16" t="inlineStr">
        <is>
          <t>KF-M05c-0014</t>
        </is>
      </c>
      <c r="B25" s="35" t="n">
        <v>392.5</v>
      </c>
      <c r="C25" s="35" t="n">
        <v>278.15</v>
      </c>
      <c r="D25" s="37" t="n">
        <v>0.875</v>
      </c>
      <c r="E25" s="42" t="inlineStr">
        <is>
          <t>KALINA</t>
        </is>
      </c>
      <c r="F25" s="29" t="n">
        <v>4.21446600829496</v>
      </c>
      <c r="G25" s="35" t="n">
        <v>8.707018162371359</v>
      </c>
      <c r="H25" s="36" t="n">
        <v>2600</v>
      </c>
      <c r="I25" s="29" t="n">
        <v>7.5</v>
      </c>
      <c r="J25" s="16" t="inlineStr">
        <is>
          <t>no</t>
        </is>
      </c>
      <c r="K25" s="16" t="n"/>
      <c r="N25" s="25" t="inlineStr">
        <is>
          <t>Datos fijos: P_alta = 3000 kPa; P_baja = 400 kPa; x_b = 0.5; m_b = 1 kg/s; η_t = 0.85; η_p = 0.75; ε_HRVG = 0.85; ε_reg = 0.75; motor de propiedades = teqp.</t>
        </is>
      </c>
    </row>
    <row r="26">
      <c r="A26" s="16" t="inlineStr">
        <is>
          <t>KF-M05c-0015</t>
        </is>
      </c>
      <c r="B26" s="35" t="n">
        <v>400</v>
      </c>
      <c r="C26" s="35" t="n">
        <v>278.15</v>
      </c>
      <c r="D26" s="37" t="n">
        <v>0.875</v>
      </c>
      <c r="E26" s="42" t="inlineStr">
        <is>
          <t>KALINA</t>
        </is>
      </c>
      <c r="F26" s="29" t="n">
        <v>7.898965194204501</v>
      </c>
      <c r="G26" s="35" t="n">
        <v>24.2035194958123</v>
      </c>
      <c r="H26" s="36" t="n">
        <v>2600</v>
      </c>
      <c r="I26" s="29" t="n">
        <v>7.5</v>
      </c>
      <c r="J26" s="16" t="inlineStr">
        <is>
          <t>no</t>
        </is>
      </c>
      <c r="K26" s="16" t="n"/>
      <c r="N26" s="25" t="inlineStr">
        <is>
          <t>Datos barridos: T_fuente [385–410] K (11 valores); T_sumidero [278.15–300.03] K (3 valores); ε_cond [0.85–0.95] (5 valores); piso de O2 [278.15–300.03] K (3 valores).</t>
        </is>
      </c>
    </row>
    <row r="27">
      <c r="A27" s="16" t="inlineStr">
        <is>
          <t>KF-M05c-0016</t>
        </is>
      </c>
      <c r="B27" s="35" t="n">
        <v>395</v>
      </c>
      <c r="C27" s="35" t="n">
        <v>278.15</v>
      </c>
      <c r="D27" s="37" t="n">
        <v>0.875</v>
      </c>
      <c r="E27" s="42" t="inlineStr">
        <is>
          <t>KALINA</t>
        </is>
      </c>
      <c r="F27" s="29" t="n">
        <v>5.81467000740549</v>
      </c>
      <c r="G27" s="35" t="n">
        <v>14.0013830732883</v>
      </c>
      <c r="H27" s="36" t="n">
        <v>2600</v>
      </c>
      <c r="I27" s="29" t="n">
        <v>7.5</v>
      </c>
      <c r="J27" s="16" t="inlineStr">
        <is>
          <t>no</t>
        </is>
      </c>
      <c r="K27" s="16" t="n"/>
      <c r="N27" s="25" t="inlineStr">
        <is>
          <t>Filtro: todos los puntos de la malla (cuadrado verde = KALINA).</t>
        </is>
      </c>
    </row>
    <row r="28">
      <c r="A28" s="16" t="inlineStr">
        <is>
          <t>KF-M05c-0017</t>
        </is>
      </c>
      <c r="B28" s="35" t="n">
        <v>397.5</v>
      </c>
      <c r="C28" s="35" t="n">
        <v>278.15</v>
      </c>
      <c r="D28" s="37" t="n">
        <v>0.875</v>
      </c>
      <c r="E28" s="42" t="inlineStr">
        <is>
          <t>KALINA</t>
        </is>
      </c>
      <c r="F28" s="29" t="n">
        <v>6.991871498777701</v>
      </c>
      <c r="G28" s="35" t="n">
        <v>19.15724642505967</v>
      </c>
      <c r="H28" s="36" t="n">
        <v>2600</v>
      </c>
      <c r="I28" s="29" t="n">
        <v>7.5</v>
      </c>
      <c r="J28" s="16" t="inlineStr">
        <is>
          <t>no</t>
        </is>
      </c>
      <c r="K28" s="16" t="n"/>
      <c r="N28" s="25" t="inlineStr">
        <is>
          <t>n = 165. Fuente: todos_los_puntos.csv.</t>
        </is>
      </c>
    </row>
    <row r="29">
      <c r="A29" s="16" t="inlineStr">
        <is>
          <t>KF-M05c-0018</t>
        </is>
      </c>
      <c r="B29" s="35" t="n">
        <v>405</v>
      </c>
      <c r="C29" s="35" t="n">
        <v>278.15</v>
      </c>
      <c r="D29" s="37" t="n">
        <v>0.875</v>
      </c>
      <c r="E29" s="42" t="inlineStr">
        <is>
          <t>KALINA</t>
        </is>
      </c>
      <c r="F29" s="29" t="n">
        <v>9.21526413633638</v>
      </c>
      <c r="G29" s="35" t="n">
        <v>34.06751966191126</v>
      </c>
      <c r="H29" s="36" t="n">
        <v>2600</v>
      </c>
      <c r="I29" s="29" t="n">
        <v>7.5</v>
      </c>
      <c r="J29" s="16" t="inlineStr">
        <is>
          <t>no</t>
        </is>
      </c>
      <c r="K29" s="16" t="n"/>
    </row>
    <row r="30">
      <c r="A30" s="16" t="inlineStr">
        <is>
          <t>KF-M05c-0019</t>
        </is>
      </c>
      <c r="B30" s="35" t="n">
        <v>402.5</v>
      </c>
      <c r="C30" s="35" t="n">
        <v>278.15</v>
      </c>
      <c r="D30" s="37" t="n">
        <v>0.875</v>
      </c>
      <c r="E30" s="42" t="inlineStr">
        <is>
          <t>KALINA</t>
        </is>
      </c>
      <c r="F30" s="29" t="n">
        <v>8.62253961204479</v>
      </c>
      <c r="G30" s="35" t="n">
        <v>29.1658544481487</v>
      </c>
      <c r="H30" s="36" t="n">
        <v>2600</v>
      </c>
      <c r="I30" s="29" t="n">
        <v>7.5</v>
      </c>
      <c r="J30" s="16" t="inlineStr">
        <is>
          <t>no</t>
        </is>
      </c>
      <c r="K30" s="16" t="n"/>
    </row>
    <row r="31">
      <c r="A31" s="16" t="inlineStr">
        <is>
          <t>KF-M05c-0020</t>
        </is>
      </c>
      <c r="B31" s="35" t="n">
        <v>407.5</v>
      </c>
      <c r="C31" s="35" t="n">
        <v>278.15</v>
      </c>
      <c r="D31" s="37" t="n">
        <v>0.875</v>
      </c>
      <c r="E31" s="42" t="inlineStr">
        <is>
          <t>KALINA</t>
        </is>
      </c>
      <c r="F31" s="29" t="n">
        <v>9.711259112807371</v>
      </c>
      <c r="G31" s="35" t="n">
        <v>38.93035788313709</v>
      </c>
      <c r="H31" s="36" t="n">
        <v>2600</v>
      </c>
      <c r="I31" s="29" t="n">
        <v>7.5</v>
      </c>
      <c r="J31" s="16" t="inlineStr">
        <is>
          <t>no</t>
        </is>
      </c>
      <c r="K31" s="16" t="n"/>
    </row>
    <row r="32">
      <c r="A32" s="16" t="inlineStr">
        <is>
          <t>KF-M05c-0021</t>
        </is>
      </c>
      <c r="B32" s="35" t="n">
        <v>410</v>
      </c>
      <c r="C32" s="35" t="n">
        <v>278.15</v>
      </c>
      <c r="D32" s="37" t="n">
        <v>0.875</v>
      </c>
      <c r="E32" s="42" t="inlineStr">
        <is>
          <t>KALINA</t>
        </is>
      </c>
      <c r="F32" s="29" t="n">
        <v>10.13331419447346</v>
      </c>
      <c r="G32" s="35" t="n">
        <v>43.77497493510791</v>
      </c>
      <c r="H32" s="36" t="n">
        <v>2600</v>
      </c>
      <c r="I32" s="29" t="n">
        <v>7.5</v>
      </c>
      <c r="J32" s="16" t="inlineStr">
        <is>
          <t>no</t>
        </is>
      </c>
      <c r="K32" s="16" t="n"/>
    </row>
    <row r="33">
      <c r="A33" s="16" t="inlineStr">
        <is>
          <t>KF-M05c-0022</t>
        </is>
      </c>
      <c r="B33" s="35" t="n">
        <v>387.5</v>
      </c>
      <c r="C33" s="35" t="n">
        <v>278.15</v>
      </c>
      <c r="D33" s="37" t="n">
        <v>0.9</v>
      </c>
      <c r="E33" s="40" t="inlineStr">
        <is>
          <t>Inviable</t>
        </is>
      </c>
      <c r="F33" s="29" t="n">
        <v>-1.81945351155729</v>
      </c>
      <c r="G33" s="35" t="n">
        <v>-2.458033650297739</v>
      </c>
      <c r="H33" s="36" t="n">
        <v>2600</v>
      </c>
      <c r="I33" s="29" t="n">
        <v>7.5</v>
      </c>
      <c r="J33" s="16" t="inlineStr">
        <is>
          <t>no</t>
        </is>
      </c>
      <c r="K33" s="16" t="inlineStr">
        <is>
          <t>O3</t>
        </is>
      </c>
    </row>
    <row r="34">
      <c r="A34" s="16" t="inlineStr">
        <is>
          <t>KF-M05c-0023</t>
        </is>
      </c>
      <c r="B34" s="35" t="n">
        <v>390</v>
      </c>
      <c r="C34" s="35" t="n">
        <v>278.15</v>
      </c>
      <c r="D34" s="37" t="n">
        <v>0.9</v>
      </c>
      <c r="E34" s="42" t="inlineStr">
        <is>
          <t>KALINA</t>
        </is>
      </c>
      <c r="F34" s="29" t="n">
        <v>1.86370829399791</v>
      </c>
      <c r="G34" s="35" t="n">
        <v>3.212422774523369</v>
      </c>
      <c r="H34" s="36" t="n">
        <v>2600</v>
      </c>
      <c r="I34" s="29" t="n">
        <v>7.5</v>
      </c>
      <c r="J34" s="16" t="inlineStr">
        <is>
          <t>no</t>
        </is>
      </c>
      <c r="K34" s="16" t="n"/>
    </row>
    <row r="35">
      <c r="A35" s="16" t="inlineStr">
        <is>
          <t>KF-M05c-0024</t>
        </is>
      </c>
      <c r="B35" s="35" t="n">
        <v>385</v>
      </c>
      <c r="C35" s="35" t="n">
        <v>278.15</v>
      </c>
      <c r="D35" s="37" t="n">
        <v>0.9</v>
      </c>
      <c r="E35" s="38" t="inlineStr">
        <is>
          <t>Falso convergido</t>
        </is>
      </c>
      <c r="F35" s="29" t="inlineStr">
        <is>
          <t>—</t>
        </is>
      </c>
      <c r="G35" s="35" t="inlineStr">
        <is>
          <t>—</t>
        </is>
      </c>
      <c r="H35" s="36" t="n">
        <v>2600</v>
      </c>
      <c r="I35" s="29" t="n">
        <v>7.5</v>
      </c>
      <c r="J35" s="16" t="inlineStr">
        <is>
          <t>no</t>
        </is>
      </c>
      <c r="K35" s="16" t="inlineStr">
        <is>
          <t>N2,O3,O5,C1,C3,C3</t>
        </is>
      </c>
    </row>
    <row r="36">
      <c r="A36" s="16" t="inlineStr">
        <is>
          <t>KF-M05c-0025</t>
        </is>
      </c>
      <c r="B36" s="35" t="n">
        <v>392.5</v>
      </c>
      <c r="C36" s="35" t="n">
        <v>278.15</v>
      </c>
      <c r="D36" s="37" t="n">
        <v>0.9</v>
      </c>
      <c r="E36" s="42" t="inlineStr">
        <is>
          <t>KALINA</t>
        </is>
      </c>
      <c r="F36" s="29" t="n">
        <v>4.16644225801248</v>
      </c>
      <c r="G36" s="35" t="n">
        <v>8.671118353084804</v>
      </c>
      <c r="H36" s="36" t="n">
        <v>2600</v>
      </c>
      <c r="I36" s="29" t="n">
        <v>7.5</v>
      </c>
      <c r="J36" s="16" t="inlineStr">
        <is>
          <t>no</t>
        </is>
      </c>
      <c r="K36" s="16" t="n"/>
    </row>
    <row r="37">
      <c r="A37" s="16" t="inlineStr">
        <is>
          <t>KF-M05c-0026</t>
        </is>
      </c>
      <c r="B37" s="35" t="n">
        <v>395</v>
      </c>
      <c r="C37" s="35" t="n">
        <v>278.15</v>
      </c>
      <c r="D37" s="37" t="n">
        <v>0.9</v>
      </c>
      <c r="E37" s="42" t="inlineStr">
        <is>
          <t>KALINA</t>
        </is>
      </c>
      <c r="F37" s="29" t="n">
        <v>5.75239759016037</v>
      </c>
      <c r="G37" s="35" t="n">
        <v>13.95750773978707</v>
      </c>
      <c r="H37" s="36" t="n">
        <v>2600</v>
      </c>
      <c r="I37" s="29" t="n">
        <v>7.5</v>
      </c>
      <c r="J37" s="16" t="inlineStr">
        <is>
          <t>no</t>
        </is>
      </c>
      <c r="K37" s="16" t="n"/>
    </row>
    <row r="38">
      <c r="A38" s="16" t="inlineStr">
        <is>
          <t>KF-M05c-0027</t>
        </is>
      </c>
      <c r="B38" s="35" t="n">
        <v>397.5</v>
      </c>
      <c r="C38" s="35" t="n">
        <v>278.15</v>
      </c>
      <c r="D38" s="37" t="n">
        <v>0.9</v>
      </c>
      <c r="E38" s="42" t="inlineStr">
        <is>
          <t>KALINA</t>
        </is>
      </c>
      <c r="F38" s="29" t="n">
        <v>6.91773681041121</v>
      </c>
      <c r="G38" s="35" t="n">
        <v>19.10503160912173</v>
      </c>
      <c r="H38" s="36" t="n">
        <v>2600</v>
      </c>
      <c r="I38" s="29" t="n">
        <v>7.5</v>
      </c>
      <c r="J38" s="16" t="inlineStr">
        <is>
          <t>no</t>
        </is>
      </c>
      <c r="K38" s="16" t="n"/>
    </row>
    <row r="39">
      <c r="A39" s="16" t="inlineStr">
        <is>
          <t>KF-M05c-0028</t>
        </is>
      </c>
      <c r="B39" s="35" t="n">
        <v>400</v>
      </c>
      <c r="C39" s="35" t="n">
        <v>278.15</v>
      </c>
      <c r="D39" s="37" t="n">
        <v>0.9</v>
      </c>
      <c r="E39" s="42" t="inlineStr">
        <is>
          <t>KALINA</t>
        </is>
      </c>
      <c r="F39" s="29" t="n">
        <v>7.814530062252089</v>
      </c>
      <c r="G39" s="35" t="n">
        <v>24.1426288521708</v>
      </c>
      <c r="H39" s="36" t="n">
        <v>2600</v>
      </c>
      <c r="I39" s="29" t="n">
        <v>7.5</v>
      </c>
      <c r="J39" s="16" t="inlineStr">
        <is>
          <t>no</t>
        </is>
      </c>
      <c r="K39" s="16" t="n"/>
    </row>
    <row r="40">
      <c r="A40" s="16" t="inlineStr">
        <is>
          <t>KF-M05c-0029</t>
        </is>
      </c>
      <c r="B40" s="35" t="n">
        <v>402.5</v>
      </c>
      <c r="C40" s="35" t="n">
        <v>278.15</v>
      </c>
      <c r="D40" s="37" t="n">
        <v>0.9</v>
      </c>
      <c r="E40" s="42" t="inlineStr">
        <is>
          <t>KALINA</t>
        </is>
      </c>
      <c r="F40" s="29" t="n">
        <v>8.528892955363169</v>
      </c>
      <c r="G40" s="35" t="n">
        <v>29.09595635059733</v>
      </c>
      <c r="H40" s="36" t="n">
        <v>2600</v>
      </c>
      <c r="I40" s="29" t="n">
        <v>7.5</v>
      </c>
      <c r="J40" s="16" t="inlineStr">
        <is>
          <t>no</t>
        </is>
      </c>
      <c r="K40" s="16" t="n"/>
    </row>
    <row r="41">
      <c r="A41" s="16" t="inlineStr">
        <is>
          <t>KF-M05c-0030</t>
        </is>
      </c>
      <c r="B41" s="35" t="n">
        <v>405</v>
      </c>
      <c r="C41" s="35" t="n">
        <v>278.15</v>
      </c>
      <c r="D41" s="37" t="n">
        <v>0.9</v>
      </c>
      <c r="E41" s="42" t="inlineStr">
        <is>
          <t>KALINA</t>
        </is>
      </c>
      <c r="F41" s="29" t="n">
        <v>9.11326920797196</v>
      </c>
      <c r="G41" s="35" t="n">
        <v>33.98833194340354</v>
      </c>
      <c r="H41" s="36" t="n">
        <v>2600</v>
      </c>
      <c r="I41" s="29" t="n">
        <v>7.5</v>
      </c>
      <c r="J41" s="16" t="inlineStr">
        <is>
          <t>no</t>
        </is>
      </c>
      <c r="K41" s="16" t="n"/>
    </row>
    <row r="42">
      <c r="A42" s="16" t="inlineStr">
        <is>
          <t>KF-M05c-0031</t>
        </is>
      </c>
      <c r="B42" s="35" t="n">
        <v>407.5</v>
      </c>
      <c r="C42" s="35" t="n">
        <v>278.15</v>
      </c>
      <c r="D42" s="37" t="n">
        <v>0.9</v>
      </c>
      <c r="E42" s="42" t="inlineStr">
        <is>
          <t>KALINA</t>
        </is>
      </c>
      <c r="F42" s="29" t="n">
        <v>9.601452783450929</v>
      </c>
      <c r="G42" s="35" t="n">
        <v>38.84147026117755</v>
      </c>
      <c r="H42" s="36" t="n">
        <v>2600</v>
      </c>
      <c r="I42" s="29" t="n">
        <v>7.5</v>
      </c>
      <c r="J42" s="16" t="inlineStr">
        <is>
          <t>no</t>
        </is>
      </c>
      <c r="K42" s="16" t="n"/>
    </row>
    <row r="43">
      <c r="A43" s="16" t="inlineStr">
        <is>
          <t>KF-M05c-0032</t>
        </is>
      </c>
      <c r="B43" s="35" t="n">
        <v>410</v>
      </c>
      <c r="C43" s="35" t="n">
        <v>278.15</v>
      </c>
      <c r="D43" s="37" t="n">
        <v>0.9</v>
      </c>
      <c r="E43" s="42" t="inlineStr">
        <is>
          <t>KALINA</t>
        </is>
      </c>
      <c r="F43" s="29" t="n">
        <v>10.01622606824301</v>
      </c>
      <c r="G43" s="35" t="n">
        <v>43.67605955269838</v>
      </c>
      <c r="H43" s="36" t="n">
        <v>2600</v>
      </c>
      <c r="I43" s="29" t="n">
        <v>7.5</v>
      </c>
      <c r="J43" s="16" t="inlineStr">
        <is>
          <t>no</t>
        </is>
      </c>
      <c r="K43" s="16" t="n"/>
    </row>
    <row r="44">
      <c r="A44" s="16" t="inlineStr">
        <is>
          <t>KF-M05c-0033</t>
        </is>
      </c>
      <c r="B44" s="35" t="n">
        <v>387.5</v>
      </c>
      <c r="C44" s="35" t="n">
        <v>278.15</v>
      </c>
      <c r="D44" s="37" t="n">
        <v>0.925</v>
      </c>
      <c r="E44" s="40" t="inlineStr">
        <is>
          <t>Inviable</t>
        </is>
      </c>
      <c r="F44" s="29" t="n">
        <v>-1.82266210003632</v>
      </c>
      <c r="G44" s="35" t="n">
        <v>-2.478331470535835</v>
      </c>
      <c r="H44" s="36" t="n">
        <v>2600</v>
      </c>
      <c r="I44" s="29" t="n">
        <v>7.5</v>
      </c>
      <c r="J44" s="16" t="inlineStr">
        <is>
          <t>no</t>
        </is>
      </c>
      <c r="K44" s="16" t="inlineStr">
        <is>
          <t>O3</t>
        </is>
      </c>
    </row>
    <row r="45">
      <c r="A45" s="16" t="inlineStr">
        <is>
          <t>KF-M05c-0034</t>
        </is>
      </c>
      <c r="B45" s="35" t="n">
        <v>390</v>
      </c>
      <c r="C45" s="35" t="n">
        <v>278.15</v>
      </c>
      <c r="D45" s="37" t="n">
        <v>0.925</v>
      </c>
      <c r="E45" s="42" t="inlineStr">
        <is>
          <t>KALINA</t>
        </is>
      </c>
      <c r="F45" s="29" t="n">
        <v>1.8356071110783</v>
      </c>
      <c r="G45" s="35" t="n">
        <v>3.185262981441481</v>
      </c>
      <c r="H45" s="36" t="n">
        <v>2600</v>
      </c>
      <c r="I45" s="29" t="n">
        <v>7.5</v>
      </c>
      <c r="J45" s="16" t="inlineStr">
        <is>
          <t>no</t>
        </is>
      </c>
      <c r="K45" s="16" t="n"/>
    </row>
    <row r="46">
      <c r="A46" s="16" t="inlineStr">
        <is>
          <t>KF-M05c-0035</t>
        </is>
      </c>
      <c r="B46" s="35" t="n">
        <v>385</v>
      </c>
      <c r="C46" s="35" t="n">
        <v>278.15</v>
      </c>
      <c r="D46" s="37" t="n">
        <v>0.925</v>
      </c>
      <c r="E46" s="38" t="inlineStr">
        <is>
          <t>Falso convergido</t>
        </is>
      </c>
      <c r="F46" s="29" t="inlineStr">
        <is>
          <t>—</t>
        </is>
      </c>
      <c r="G46" s="35" t="inlineStr">
        <is>
          <t>—</t>
        </is>
      </c>
      <c r="H46" s="36" t="n">
        <v>2600</v>
      </c>
      <c r="I46" s="29" t="n">
        <v>7.5</v>
      </c>
      <c r="J46" s="16" t="inlineStr">
        <is>
          <t>no</t>
        </is>
      </c>
      <c r="K46" s="16" t="inlineStr">
        <is>
          <t>N2,O3,O5,C1,C3,C3</t>
        </is>
      </c>
    </row>
    <row r="47">
      <c r="A47" s="16" t="inlineStr">
        <is>
          <t>KF-M05c-0036</t>
        </is>
      </c>
      <c r="B47" s="35" t="n">
        <v>392.5</v>
      </c>
      <c r="C47" s="35" t="n">
        <v>278.15</v>
      </c>
      <c r="D47" s="37" t="n">
        <v>0.925</v>
      </c>
      <c r="E47" s="42" t="inlineStr">
        <is>
          <t>KALINA</t>
        </is>
      </c>
      <c r="F47" s="29" t="n">
        <v>4.12098837156902</v>
      </c>
      <c r="G47" s="35" t="n">
        <v>8.636633830864431</v>
      </c>
      <c r="H47" s="36" t="n">
        <v>2600</v>
      </c>
      <c r="I47" s="29" t="n">
        <v>7.5</v>
      </c>
      <c r="J47" s="16" t="inlineStr">
        <is>
          <t>no</t>
        </is>
      </c>
      <c r="K47" s="16" t="n"/>
    </row>
    <row r="48">
      <c r="A48" s="16" t="inlineStr">
        <is>
          <t>KF-M05c-0037</t>
        </is>
      </c>
      <c r="B48" s="35" t="n">
        <v>395</v>
      </c>
      <c r="C48" s="35" t="n">
        <v>278.15</v>
      </c>
      <c r="D48" s="37" t="n">
        <v>0.925</v>
      </c>
      <c r="E48" s="42" t="inlineStr">
        <is>
          <t>KALINA</t>
        </is>
      </c>
      <c r="F48" s="29" t="n">
        <v>5.69342604971783</v>
      </c>
      <c r="G48" s="35" t="n">
        <v>13.91530922471041</v>
      </c>
      <c r="H48" s="36" t="n">
        <v>2600</v>
      </c>
      <c r="I48" s="29" t="n">
        <v>7.5</v>
      </c>
      <c r="J48" s="16" t="inlineStr">
        <is>
          <t>no</t>
        </is>
      </c>
      <c r="K48" s="16" t="n"/>
    </row>
    <row r="49">
      <c r="A49" s="16" t="inlineStr">
        <is>
          <t>KF-M05c-0038</t>
        </is>
      </c>
      <c r="B49" s="35" t="n">
        <v>397.5</v>
      </c>
      <c r="C49" s="35" t="n">
        <v>278.15</v>
      </c>
      <c r="D49" s="37" t="n">
        <v>0.925</v>
      </c>
      <c r="E49" s="42" t="inlineStr">
        <is>
          <t>KALINA</t>
        </is>
      </c>
      <c r="F49" s="29" t="n">
        <v>6.84750615344273</v>
      </c>
      <c r="G49" s="35" t="n">
        <v>19.05475941090097</v>
      </c>
      <c r="H49" s="36" t="n">
        <v>2600</v>
      </c>
      <c r="I49" s="29" t="n">
        <v>7.5</v>
      </c>
      <c r="J49" s="16" t="inlineStr">
        <is>
          <t>no</t>
        </is>
      </c>
      <c r="K49" s="16" t="n"/>
    </row>
    <row r="50">
      <c r="A50" s="16" t="inlineStr">
        <is>
          <t>KF-M05c-0039</t>
        </is>
      </c>
      <c r="B50" s="35" t="n">
        <v>400</v>
      </c>
      <c r="C50" s="35" t="n">
        <v>278.15</v>
      </c>
      <c r="D50" s="37" t="n">
        <v>0.925</v>
      </c>
      <c r="E50" s="42" t="inlineStr">
        <is>
          <t>KALINA</t>
        </is>
      </c>
      <c r="F50" s="29" t="n">
        <v>7.734515166662111</v>
      </c>
      <c r="G50" s="35" t="n">
        <v>24.08394533640426</v>
      </c>
      <c r="H50" s="36" t="n">
        <v>2600</v>
      </c>
      <c r="I50" s="29" t="n">
        <v>7.5</v>
      </c>
      <c r="J50" s="16" t="inlineStr">
        <is>
          <t>no</t>
        </is>
      </c>
      <c r="K50" s="16" t="n"/>
    </row>
    <row r="51">
      <c r="A51" s="16" t="inlineStr">
        <is>
          <t>KF-M05c-0040</t>
        </is>
      </c>
      <c r="B51" s="35" t="n">
        <v>402.5</v>
      </c>
      <c r="C51" s="35" t="n">
        <v>278.15</v>
      </c>
      <c r="D51" s="37" t="n">
        <v>0.925</v>
      </c>
      <c r="E51" s="42" t="inlineStr">
        <is>
          <t>KALINA</t>
        </is>
      </c>
      <c r="F51" s="29" t="n">
        <v>8.440130003478171</v>
      </c>
      <c r="G51" s="35" t="n">
        <v>29.02853514702821</v>
      </c>
      <c r="H51" s="36" t="n">
        <v>2600</v>
      </c>
      <c r="I51" s="29" t="n">
        <v>7.5</v>
      </c>
      <c r="J51" s="16" t="inlineStr">
        <is>
          <t>no</t>
        </is>
      </c>
      <c r="K51" s="16" t="n"/>
    </row>
    <row r="52">
      <c r="A52" s="16" t="inlineStr">
        <is>
          <t>KF-M05c-0041</t>
        </is>
      </c>
      <c r="B52" s="35" t="n">
        <v>405</v>
      </c>
      <c r="C52" s="35" t="n">
        <v>278.15</v>
      </c>
      <c r="D52" s="37" t="n">
        <v>0.925</v>
      </c>
      <c r="E52" s="42" t="inlineStr">
        <is>
          <t>KALINA</t>
        </is>
      </c>
      <c r="F52" s="29" t="n">
        <v>9.016519789676011</v>
      </c>
      <c r="G52" s="35" t="n">
        <v>33.91184142319838</v>
      </c>
      <c r="H52" s="36" t="n">
        <v>2600</v>
      </c>
      <c r="I52" s="29" t="n">
        <v>7.5</v>
      </c>
      <c r="J52" s="16" t="inlineStr">
        <is>
          <t>no</t>
        </is>
      </c>
      <c r="K52" s="16" t="n"/>
    </row>
    <row r="53">
      <c r="A53" s="16" t="inlineStr">
        <is>
          <t>KF-M05c-0042</t>
        </is>
      </c>
      <c r="B53" s="35" t="n">
        <v>407.5</v>
      </c>
      <c r="C53" s="35" t="n">
        <v>278.15</v>
      </c>
      <c r="D53" s="37" t="n">
        <v>0.925</v>
      </c>
      <c r="E53" s="42" t="inlineStr">
        <is>
          <t>KALINA</t>
        </is>
      </c>
      <c r="F53" s="29" t="n">
        <v>9.49731359298422</v>
      </c>
      <c r="G53" s="35" t="n">
        <v>38.75557834983832</v>
      </c>
      <c r="H53" s="36" t="n">
        <v>2600</v>
      </c>
      <c r="I53" s="29" t="n">
        <v>7.5</v>
      </c>
      <c r="J53" s="16" t="inlineStr">
        <is>
          <t>no</t>
        </is>
      </c>
      <c r="K53" s="16" t="n"/>
    </row>
    <row r="54">
      <c r="A54" s="16" t="inlineStr">
        <is>
          <t>KF-M05c-0043</t>
        </is>
      </c>
      <c r="B54" s="35" t="n">
        <v>410</v>
      </c>
      <c r="C54" s="35" t="n">
        <v>278.15</v>
      </c>
      <c r="D54" s="37" t="n">
        <v>0.925</v>
      </c>
      <c r="E54" s="42" t="inlineStr">
        <is>
          <t>KALINA</t>
        </is>
      </c>
      <c r="F54" s="29" t="n">
        <v>9.90516291348484</v>
      </c>
      <c r="G54" s="35" t="n">
        <v>43.58040685064078</v>
      </c>
      <c r="H54" s="36" t="n">
        <v>2600</v>
      </c>
      <c r="I54" s="29" t="n">
        <v>7.5</v>
      </c>
      <c r="J54" s="16" t="inlineStr">
        <is>
          <t>no</t>
        </is>
      </c>
      <c r="K54" s="16" t="n"/>
    </row>
    <row r="55">
      <c r="A55" s="16" t="inlineStr">
        <is>
          <t>KF-M05c-0044</t>
        </is>
      </c>
      <c r="B55" s="35" t="n">
        <v>387.5</v>
      </c>
      <c r="C55" s="35" t="n">
        <v>278.15</v>
      </c>
      <c r="D55" s="37" t="n">
        <v>0.95</v>
      </c>
      <c r="E55" s="40" t="inlineStr">
        <is>
          <t>Inviable</t>
        </is>
      </c>
      <c r="F55" s="29" t="n">
        <v>-1.82571029349902</v>
      </c>
      <c r="G55" s="35" t="n">
        <v>-2.497810902963832</v>
      </c>
      <c r="H55" s="36" t="n">
        <v>2600</v>
      </c>
      <c r="I55" s="29" t="n">
        <v>7.5</v>
      </c>
      <c r="J55" s="16" t="inlineStr">
        <is>
          <t>no</t>
        </is>
      </c>
      <c r="K55" s="16" t="inlineStr">
        <is>
          <t>O3</t>
        </is>
      </c>
    </row>
    <row r="56">
      <c r="A56" s="16" t="inlineStr">
        <is>
          <t>KF-M05c-0045</t>
        </is>
      </c>
      <c r="B56" s="35" t="n">
        <v>385</v>
      </c>
      <c r="C56" s="35" t="n">
        <v>278.15</v>
      </c>
      <c r="D56" s="37" t="n">
        <v>0.95</v>
      </c>
      <c r="E56" s="38" t="inlineStr">
        <is>
          <t>Falso convergido</t>
        </is>
      </c>
      <c r="F56" s="29" t="inlineStr">
        <is>
          <t>—</t>
        </is>
      </c>
      <c r="G56" s="35" t="inlineStr">
        <is>
          <t>—</t>
        </is>
      </c>
      <c r="H56" s="36" t="n">
        <v>2600</v>
      </c>
      <c r="I56" s="29" t="n">
        <v>7.5</v>
      </c>
      <c r="J56" s="16" t="inlineStr">
        <is>
          <t>no</t>
        </is>
      </c>
      <c r="K56" s="16" t="inlineStr">
        <is>
          <t>N2,O3,O5,C1,C3,C3</t>
        </is>
      </c>
    </row>
    <row r="57">
      <c r="A57" s="16" t="inlineStr">
        <is>
          <t>KF-M05c-0046</t>
        </is>
      </c>
      <c r="B57" s="35" t="n">
        <v>390</v>
      </c>
      <c r="C57" s="35" t="n">
        <v>278.15</v>
      </c>
      <c r="D57" s="37" t="n">
        <v>0.95</v>
      </c>
      <c r="E57" s="42" t="inlineStr">
        <is>
          <t>KALINA</t>
        </is>
      </c>
      <c r="F57" s="29" t="n">
        <v>1.80895792289542</v>
      </c>
      <c r="G57" s="35" t="n">
        <v>3.159159704465148</v>
      </c>
      <c r="H57" s="36" t="n">
        <v>2600</v>
      </c>
      <c r="I57" s="29" t="n">
        <v>7.5</v>
      </c>
      <c r="J57" s="16" t="inlineStr">
        <is>
          <t>no</t>
        </is>
      </c>
      <c r="K57" s="16" t="n"/>
    </row>
    <row r="58">
      <c r="A58" s="16" t="inlineStr">
        <is>
          <t>KF-M05c-0047</t>
        </is>
      </c>
      <c r="B58" s="35" t="n">
        <v>392.5</v>
      </c>
      <c r="C58" s="35" t="n">
        <v>278.15</v>
      </c>
      <c r="D58" s="37" t="n">
        <v>0.95</v>
      </c>
      <c r="E58" s="42" t="inlineStr">
        <is>
          <t>KALINA</t>
        </is>
      </c>
      <c r="F58" s="29" t="n">
        <v>4.07789446719596</v>
      </c>
      <c r="G58" s="35" t="n">
        <v>8.603476877844047</v>
      </c>
      <c r="H58" s="36" t="n">
        <v>2600</v>
      </c>
      <c r="I58" s="29" t="n">
        <v>7.5</v>
      </c>
      <c r="J58" s="16" t="inlineStr">
        <is>
          <t>no</t>
        </is>
      </c>
      <c r="K58" s="16" t="n"/>
    </row>
    <row r="59">
      <c r="A59" s="16" t="inlineStr">
        <is>
          <t>KF-M05c-0048</t>
        </is>
      </c>
      <c r="B59" s="35" t="n">
        <v>395</v>
      </c>
      <c r="C59" s="35" t="n">
        <v>278.15</v>
      </c>
      <c r="D59" s="37" t="n">
        <v>0.95</v>
      </c>
      <c r="E59" s="42" t="inlineStr">
        <is>
          <t>KALINA</t>
        </is>
      </c>
      <c r="F59" s="29" t="n">
        <v>5.63749826675085</v>
      </c>
      <c r="G59" s="35" t="n">
        <v>13.87469447900486</v>
      </c>
      <c r="H59" s="36" t="n">
        <v>2600</v>
      </c>
      <c r="I59" s="29" t="n">
        <v>7.5</v>
      </c>
      <c r="J59" s="16" t="inlineStr">
        <is>
          <t>no</t>
        </is>
      </c>
      <c r="K59" s="16" t="n"/>
    </row>
    <row r="60">
      <c r="A60" s="16" t="inlineStr">
        <is>
          <t>KF-M05c-0049</t>
        </is>
      </c>
      <c r="B60" s="35" t="n">
        <v>397.5</v>
      </c>
      <c r="C60" s="35" t="n">
        <v>278.15</v>
      </c>
      <c r="D60" s="37" t="n">
        <v>0.95</v>
      </c>
      <c r="E60" s="42" t="inlineStr">
        <is>
          <t>KALINA</t>
        </is>
      </c>
      <c r="F60" s="29" t="n">
        <v>6.780878528653909</v>
      </c>
      <c r="G60" s="35" t="n">
        <v>19.00632386121715</v>
      </c>
      <c r="H60" s="36" t="n">
        <v>2600</v>
      </c>
      <c r="I60" s="29" t="n">
        <v>7.5</v>
      </c>
      <c r="J60" s="16" t="inlineStr">
        <is>
          <t>no</t>
        </is>
      </c>
      <c r="K60" s="16" t="n"/>
    </row>
    <row r="61">
      <c r="A61" s="16" t="inlineStr">
        <is>
          <t>KF-M05c-0050</t>
        </is>
      </c>
      <c r="B61" s="35" t="n">
        <v>400</v>
      </c>
      <c r="C61" s="35" t="n">
        <v>278.15</v>
      </c>
      <c r="D61" s="37" t="n">
        <v>0.95</v>
      </c>
      <c r="E61" s="42" t="inlineStr">
        <is>
          <t>KALINA</t>
        </is>
      </c>
      <c r="F61" s="29" t="n">
        <v>7.658583891659799</v>
      </c>
      <c r="G61" s="35" t="n">
        <v>24.02735386677956</v>
      </c>
      <c r="H61" s="36" t="n">
        <v>2600</v>
      </c>
      <c r="I61" s="29" t="n">
        <v>7.5</v>
      </c>
      <c r="J61" s="16" t="inlineStr">
        <is>
          <t>no</t>
        </is>
      </c>
      <c r="K61" s="16" t="n"/>
    </row>
    <row r="62">
      <c r="A62" s="16" t="inlineStr">
        <is>
          <t>KF-M05c-0051</t>
        </is>
      </c>
      <c r="B62" s="35" t="n">
        <v>407.5</v>
      </c>
      <c r="C62" s="35" t="n">
        <v>278.15</v>
      </c>
      <c r="D62" s="37" t="n">
        <v>0.95</v>
      </c>
      <c r="E62" s="42" t="inlineStr">
        <is>
          <t>KALINA</t>
        </is>
      </c>
      <c r="F62" s="29" t="n">
        <v>9.398431413531121</v>
      </c>
      <c r="G62" s="35" t="n">
        <v>38.67255086958784</v>
      </c>
      <c r="H62" s="36" t="n">
        <v>2600</v>
      </c>
      <c r="I62" s="29" t="n">
        <v>7.5</v>
      </c>
      <c r="J62" s="16" t="inlineStr">
        <is>
          <t>no</t>
        </is>
      </c>
      <c r="K62" s="16" t="n"/>
    </row>
    <row r="63">
      <c r="A63" s="16" t="inlineStr">
        <is>
          <t>KF-M05c-0052</t>
        </is>
      </c>
      <c r="B63" s="35" t="n">
        <v>402.5</v>
      </c>
      <c r="C63" s="35" t="n">
        <v>278.15</v>
      </c>
      <c r="D63" s="37" t="n">
        <v>0.95</v>
      </c>
      <c r="E63" s="42" t="inlineStr">
        <is>
          <t>KALINA</t>
        </is>
      </c>
      <c r="F63" s="29" t="n">
        <v>8.355875326318619</v>
      </c>
      <c r="G63" s="35" t="n">
        <v>28.96346024520299</v>
      </c>
      <c r="H63" s="36" t="n">
        <v>2600</v>
      </c>
      <c r="I63" s="29" t="n">
        <v>7.5</v>
      </c>
      <c r="J63" s="16" t="inlineStr">
        <is>
          <t>no</t>
        </is>
      </c>
      <c r="K63" s="16" t="n"/>
    </row>
    <row r="64">
      <c r="A64" s="16" t="inlineStr">
        <is>
          <t>KF-M05c-0053</t>
        </is>
      </c>
      <c r="B64" s="35" t="n">
        <v>405</v>
      </c>
      <c r="C64" s="35" t="n">
        <v>278.15</v>
      </c>
      <c r="D64" s="37" t="n">
        <v>0.95</v>
      </c>
      <c r="E64" s="42" t="inlineStr">
        <is>
          <t>KALINA</t>
        </is>
      </c>
      <c r="F64" s="29" t="n">
        <v>8.92467645211101</v>
      </c>
      <c r="G64" s="35" t="n">
        <v>33.83796311182466</v>
      </c>
      <c r="H64" s="36" t="n">
        <v>2600</v>
      </c>
      <c r="I64" s="29" t="n">
        <v>7.5</v>
      </c>
      <c r="J64" s="16" t="inlineStr">
        <is>
          <t>no</t>
        </is>
      </c>
      <c r="K64" s="16" t="n"/>
    </row>
    <row r="65">
      <c r="A65" s="16" t="inlineStr">
        <is>
          <t>KF-M05c-0054</t>
        </is>
      </c>
      <c r="B65" s="35" t="n">
        <v>410</v>
      </c>
      <c r="C65" s="35" t="n">
        <v>278.15</v>
      </c>
      <c r="D65" s="37" t="n">
        <v>0.95</v>
      </c>
      <c r="E65" s="42" t="inlineStr">
        <is>
          <t>KALINA</t>
        </is>
      </c>
      <c r="F65" s="29" t="n">
        <v>9.79968354680746</v>
      </c>
      <c r="G65" s="35" t="n">
        <v>43.48787117504922</v>
      </c>
      <c r="H65" s="36" t="n">
        <v>2600</v>
      </c>
      <c r="I65" s="29" t="n">
        <v>7.5</v>
      </c>
      <c r="J65" s="16" t="inlineStr">
        <is>
          <t>no</t>
        </is>
      </c>
      <c r="K65" s="16" t="n"/>
    </row>
    <row r="66">
      <c r="A66" s="16" t="inlineStr">
        <is>
          <t>KF-M05c-0055</t>
        </is>
      </c>
      <c r="B66" s="35" t="n">
        <v>387.5</v>
      </c>
      <c r="C66" s="35" t="n">
        <v>290.65</v>
      </c>
      <c r="D66" s="37" t="n">
        <v>0.85</v>
      </c>
      <c r="E66" s="40" t="inlineStr">
        <is>
          <t>Inviable</t>
        </is>
      </c>
      <c r="F66" s="29" t="n">
        <v>-1.76406653769385</v>
      </c>
      <c r="G66" s="35" t="n">
        <v>-2.140123190572439</v>
      </c>
      <c r="H66" s="36" t="n">
        <v>2600</v>
      </c>
      <c r="I66" s="29" t="n">
        <v>7.5</v>
      </c>
      <c r="J66" s="16" t="inlineStr">
        <is>
          <t>no</t>
        </is>
      </c>
      <c r="K66" s="16" t="inlineStr">
        <is>
          <t>O3</t>
        </is>
      </c>
    </row>
    <row r="67">
      <c r="A67" s="16" t="inlineStr">
        <is>
          <t>KF-M05c-0056</t>
        </is>
      </c>
      <c r="B67" s="35" t="n">
        <v>385</v>
      </c>
      <c r="C67" s="35" t="n">
        <v>290.65</v>
      </c>
      <c r="D67" s="37" t="n">
        <v>0.85</v>
      </c>
      <c r="E67" s="38" t="inlineStr">
        <is>
          <t>Falso convergido</t>
        </is>
      </c>
      <c r="F67" s="29" t="inlineStr">
        <is>
          <t>—</t>
        </is>
      </c>
      <c r="G67" s="35" t="inlineStr">
        <is>
          <t>—</t>
        </is>
      </c>
      <c r="H67" s="36" t="n">
        <v>2600</v>
      </c>
      <c r="I67" s="29" t="n">
        <v>7.5</v>
      </c>
      <c r="J67" s="16" t="inlineStr">
        <is>
          <t>no</t>
        </is>
      </c>
      <c r="K67" s="16" t="inlineStr">
        <is>
          <t>N2,O3,O5,C1,C3,C3</t>
        </is>
      </c>
    </row>
    <row r="68">
      <c r="A68" s="16" t="inlineStr">
        <is>
          <t>KF-M05c-0057</t>
        </is>
      </c>
      <c r="B68" s="35" t="n">
        <v>390</v>
      </c>
      <c r="C68" s="35" t="n">
        <v>290.65</v>
      </c>
      <c r="D68" s="37" t="n">
        <v>0.85</v>
      </c>
      <c r="E68" s="42" t="inlineStr">
        <is>
          <t>KALINA</t>
        </is>
      </c>
      <c r="F68" s="29" t="n">
        <v>2.27141248330231</v>
      </c>
      <c r="G68" s="35" t="n">
        <v>3.568446523280935</v>
      </c>
      <c r="H68" s="36" t="n">
        <v>2600</v>
      </c>
      <c r="I68" s="29" t="n">
        <v>7.5</v>
      </c>
      <c r="J68" s="16" t="inlineStr">
        <is>
          <t>no</t>
        </is>
      </c>
      <c r="K68" s="16" t="n"/>
    </row>
    <row r="69">
      <c r="A69" s="16" t="inlineStr">
        <is>
          <t>KF-M05c-0058</t>
        </is>
      </c>
      <c r="B69" s="35" t="n">
        <v>392.5</v>
      </c>
      <c r="C69" s="35" t="n">
        <v>290.65</v>
      </c>
      <c r="D69" s="37" t="n">
        <v>0.85</v>
      </c>
      <c r="E69" s="42" t="inlineStr">
        <is>
          <t>KALINA</t>
        </is>
      </c>
      <c r="F69" s="29" t="n">
        <v>4.73618031019524</v>
      </c>
      <c r="G69" s="35" t="n">
        <v>9.064689082524692</v>
      </c>
      <c r="H69" s="36" t="n">
        <v>2600</v>
      </c>
      <c r="I69" s="29" t="n">
        <v>7.5</v>
      </c>
      <c r="J69" s="16" t="inlineStr">
        <is>
          <t>no</t>
        </is>
      </c>
      <c r="K69" s="16" t="n"/>
    </row>
    <row r="70">
      <c r="A70" s="16" t="inlineStr">
        <is>
          <t>KF-M05c-0059</t>
        </is>
      </c>
      <c r="B70" s="35" t="n">
        <v>397.5</v>
      </c>
      <c r="C70" s="35" t="n">
        <v>290.65</v>
      </c>
      <c r="D70" s="37" t="n">
        <v>0.85</v>
      </c>
      <c r="E70" s="42" t="inlineStr">
        <is>
          <t>KALINA</t>
        </is>
      </c>
      <c r="F70" s="29" t="n">
        <v>7.628253005686581</v>
      </c>
      <c r="G70" s="35" t="n">
        <v>19.57236228189984</v>
      </c>
      <c r="H70" s="36" t="n">
        <v>2600</v>
      </c>
      <c r="I70" s="29" t="n">
        <v>7.5</v>
      </c>
      <c r="J70" s="16" t="inlineStr">
        <is>
          <t>no</t>
        </is>
      </c>
      <c r="K70" s="16" t="n"/>
    </row>
    <row r="71">
      <c r="A71" s="16" t="inlineStr">
        <is>
          <t>KF-M05c-0060</t>
        </is>
      </c>
      <c r="B71" s="35" t="n">
        <v>395</v>
      </c>
      <c r="C71" s="35" t="n">
        <v>290.65</v>
      </c>
      <c r="D71" s="37" t="n">
        <v>0.85</v>
      </c>
      <c r="E71" s="42" t="inlineStr">
        <is>
          <t>KALINA</t>
        </is>
      </c>
      <c r="F71" s="29" t="n">
        <v>6.40985176791654</v>
      </c>
      <c r="G71" s="35" t="n">
        <v>14.38816515089936</v>
      </c>
      <c r="H71" s="36" t="n">
        <v>2600</v>
      </c>
      <c r="I71" s="29" t="n">
        <v>7.5</v>
      </c>
      <c r="J71" s="16" t="inlineStr">
        <is>
          <t>no</t>
        </is>
      </c>
      <c r="K71" s="16" t="n"/>
    </row>
    <row r="72">
      <c r="A72" s="16" t="inlineStr">
        <is>
          <t>KF-M05c-0061</t>
        </is>
      </c>
      <c r="B72" s="35" t="n">
        <v>400</v>
      </c>
      <c r="C72" s="35" t="n">
        <v>290.65</v>
      </c>
      <c r="D72" s="37" t="n">
        <v>0.85</v>
      </c>
      <c r="E72" s="42" t="inlineStr">
        <is>
          <t>KALINA</t>
        </is>
      </c>
      <c r="F72" s="29" t="n">
        <v>8.55985448101222</v>
      </c>
      <c r="G72" s="35" t="n">
        <v>24.64629010461304</v>
      </c>
      <c r="H72" s="36" t="n">
        <v>2600</v>
      </c>
      <c r="I72" s="29" t="n">
        <v>7.5</v>
      </c>
      <c r="J72" s="16" t="inlineStr">
        <is>
          <t>no</t>
        </is>
      </c>
      <c r="K72" s="16" t="n"/>
    </row>
    <row r="73">
      <c r="A73" s="16" t="inlineStr">
        <is>
          <t>KF-M05c-0062</t>
        </is>
      </c>
      <c r="B73" s="35" t="n">
        <v>402.5</v>
      </c>
      <c r="C73" s="35" t="n">
        <v>290.65</v>
      </c>
      <c r="D73" s="37" t="n">
        <v>0.85</v>
      </c>
      <c r="E73" s="42" t="inlineStr">
        <is>
          <t>KALINA</t>
        </is>
      </c>
      <c r="F73" s="29" t="n">
        <v>9.29849366073328</v>
      </c>
      <c r="G73" s="35" t="n">
        <v>29.63569572559188</v>
      </c>
      <c r="H73" s="36" t="n">
        <v>2600</v>
      </c>
      <c r="I73" s="29" t="n">
        <v>7.5</v>
      </c>
      <c r="J73" s="16" t="inlineStr">
        <is>
          <t>no</t>
        </is>
      </c>
      <c r="K73" s="16" t="n"/>
    </row>
    <row r="74">
      <c r="A74" s="16" t="inlineStr">
        <is>
          <t>KF-M05c-0063</t>
        </is>
      </c>
      <c r="B74" s="35" t="n">
        <v>407.5</v>
      </c>
      <c r="C74" s="35" t="n">
        <v>290.65</v>
      </c>
      <c r="D74" s="37" t="n">
        <v>0.85</v>
      </c>
      <c r="E74" s="42" t="inlineStr">
        <is>
          <t>KALINA</t>
        </is>
      </c>
      <c r="F74" s="29" t="n">
        <v>10.40226606249655</v>
      </c>
      <c r="G74" s="35" t="n">
        <v>39.45308371024852</v>
      </c>
      <c r="H74" s="36" t="n">
        <v>2600</v>
      </c>
      <c r="I74" s="29" t="n">
        <v>7.5</v>
      </c>
      <c r="J74" s="16" t="inlineStr">
        <is>
          <t>no</t>
        </is>
      </c>
      <c r="K74" s="16" t="n"/>
    </row>
    <row r="75">
      <c r="A75" s="16" t="inlineStr">
        <is>
          <t>KF-M05c-0064</t>
        </is>
      </c>
      <c r="B75" s="35" t="n">
        <v>405</v>
      </c>
      <c r="C75" s="35" t="n">
        <v>290.65</v>
      </c>
      <c r="D75" s="37" t="n">
        <v>0.85</v>
      </c>
      <c r="E75" s="42" t="inlineStr">
        <is>
          <t>KALINA</t>
        </is>
      </c>
      <c r="F75" s="29" t="n">
        <v>9.90061964697048</v>
      </c>
      <c r="G75" s="35" t="n">
        <v>34.56401035899594</v>
      </c>
      <c r="H75" s="36" t="n">
        <v>2600</v>
      </c>
      <c r="I75" s="29" t="n">
        <v>7.5</v>
      </c>
      <c r="J75" s="16" t="inlineStr">
        <is>
          <t>no</t>
        </is>
      </c>
      <c r="K75" s="16" t="n"/>
    </row>
    <row r="76">
      <c r="A76" s="16" t="inlineStr">
        <is>
          <t>KF-M05c-0065</t>
        </is>
      </c>
      <c r="B76" s="35" t="n">
        <v>410</v>
      </c>
      <c r="C76" s="35" t="n">
        <v>290.65</v>
      </c>
      <c r="D76" s="37" t="n">
        <v>0.85</v>
      </c>
      <c r="E76" s="39" t="inlineStr">
        <is>
          <t>Corregible</t>
        </is>
      </c>
      <c r="F76" s="29" t="n">
        <v>10.82754455641104</v>
      </c>
      <c r="G76" s="35" t="n">
        <v>44.3237413924102</v>
      </c>
      <c r="H76" s="36" t="n">
        <v>2600</v>
      </c>
      <c r="I76" s="29" t="n">
        <v>7.5</v>
      </c>
      <c r="J76" s="16" t="inlineStr">
        <is>
          <t>no</t>
        </is>
      </c>
      <c r="K76" s="16" t="inlineStr">
        <is>
          <t>O2</t>
        </is>
      </c>
    </row>
    <row r="77">
      <c r="A77" s="16" t="inlineStr">
        <is>
          <t>KF-M05c-0066</t>
        </is>
      </c>
      <c r="B77" s="35" t="n">
        <v>387.5</v>
      </c>
      <c r="C77" s="35" t="n">
        <v>290.65</v>
      </c>
      <c r="D77" s="37" t="n">
        <v>0.875</v>
      </c>
      <c r="E77" s="40" t="inlineStr">
        <is>
          <t>Inviable</t>
        </is>
      </c>
      <c r="F77" s="29" t="n">
        <v>-1.76789561798991</v>
      </c>
      <c r="G77" s="35" t="n">
        <v>-2.160273675726499</v>
      </c>
      <c r="H77" s="36" t="n">
        <v>2600</v>
      </c>
      <c r="I77" s="29" t="n">
        <v>7.5</v>
      </c>
      <c r="J77" s="16" t="inlineStr">
        <is>
          <t>no</t>
        </is>
      </c>
      <c r="K77" s="16" t="inlineStr">
        <is>
          <t>O3</t>
        </is>
      </c>
    </row>
    <row r="78">
      <c r="A78" s="16" t="inlineStr">
        <is>
          <t>KF-M05c-0067</t>
        </is>
      </c>
      <c r="B78" s="35" t="n">
        <v>390</v>
      </c>
      <c r="C78" s="35" t="n">
        <v>290.65</v>
      </c>
      <c r="D78" s="37" t="n">
        <v>0.875</v>
      </c>
      <c r="E78" s="42" t="inlineStr">
        <is>
          <t>KALINA</t>
        </is>
      </c>
      <c r="F78" s="29" t="n">
        <v>2.23738658714685</v>
      </c>
      <c r="G78" s="35" t="n">
        <v>3.541215686237193</v>
      </c>
      <c r="H78" s="36" t="n">
        <v>2600</v>
      </c>
      <c r="I78" s="29" t="n">
        <v>7.5</v>
      </c>
      <c r="J78" s="16" t="inlineStr">
        <is>
          <t>no</t>
        </is>
      </c>
      <c r="K78" s="16" t="n"/>
    </row>
    <row r="79">
      <c r="A79" s="16" t="inlineStr">
        <is>
          <t>KF-M05c-0068</t>
        </is>
      </c>
      <c r="B79" s="35" t="n">
        <v>385</v>
      </c>
      <c r="C79" s="35" t="n">
        <v>290.65</v>
      </c>
      <c r="D79" s="37" t="n">
        <v>0.875</v>
      </c>
      <c r="E79" s="38" t="inlineStr">
        <is>
          <t>Falso convergido</t>
        </is>
      </c>
      <c r="F79" s="29" t="inlineStr">
        <is>
          <t>—</t>
        </is>
      </c>
      <c r="G79" s="35" t="inlineStr">
        <is>
          <t>—</t>
        </is>
      </c>
      <c r="H79" s="36" t="n">
        <v>2600</v>
      </c>
      <c r="I79" s="29" t="n">
        <v>7.5</v>
      </c>
      <c r="J79" s="16" t="inlineStr">
        <is>
          <t>no</t>
        </is>
      </c>
      <c r="K79" s="16" t="inlineStr">
        <is>
          <t>N2,O3,O5,C1,C3,C3</t>
        </is>
      </c>
    </row>
    <row r="80">
      <c r="A80" s="16" t="inlineStr">
        <is>
          <t>KF-M05c-0069</t>
        </is>
      </c>
      <c r="B80" s="35" t="n">
        <v>397.5</v>
      </c>
      <c r="C80" s="35" t="n">
        <v>290.65</v>
      </c>
      <c r="D80" s="37" t="n">
        <v>0.875</v>
      </c>
      <c r="E80" s="42" t="inlineStr">
        <is>
          <t>KALINA</t>
        </is>
      </c>
      <c r="F80" s="29" t="n">
        <v>7.545509760297329</v>
      </c>
      <c r="G80" s="35" t="n">
        <v>19.52152805877805</v>
      </c>
      <c r="H80" s="36" t="n">
        <v>2600</v>
      </c>
      <c r="I80" s="29" t="n">
        <v>7.5</v>
      </c>
      <c r="J80" s="16" t="inlineStr">
        <is>
          <t>no</t>
        </is>
      </c>
      <c r="K80" s="16" t="n"/>
    </row>
    <row r="81">
      <c r="A81" s="16" t="inlineStr">
        <is>
          <t>KF-M05c-0070</t>
        </is>
      </c>
      <c r="B81" s="35" t="n">
        <v>392.5</v>
      </c>
      <c r="C81" s="35" t="n">
        <v>290.65</v>
      </c>
      <c r="D81" s="37" t="n">
        <v>0.875</v>
      </c>
      <c r="E81" s="42" t="inlineStr">
        <is>
          <t>KALINA</t>
        </is>
      </c>
      <c r="F81" s="29" t="n">
        <v>4.681778922892111</v>
      </c>
      <c r="G81" s="35" t="n">
        <v>9.029950386524956</v>
      </c>
      <c r="H81" s="36" t="n">
        <v>2600</v>
      </c>
      <c r="I81" s="29" t="n">
        <v>7.5</v>
      </c>
      <c r="J81" s="16" t="inlineStr">
        <is>
          <t>no</t>
        </is>
      </c>
      <c r="K81" s="16" t="n"/>
    </row>
    <row r="82">
      <c r="A82" s="16" t="inlineStr">
        <is>
          <t>KF-M05c-0071</t>
        </is>
      </c>
      <c r="B82" s="35" t="n">
        <v>395</v>
      </c>
      <c r="C82" s="35" t="n">
        <v>290.65</v>
      </c>
      <c r="D82" s="37" t="n">
        <v>0.875</v>
      </c>
      <c r="E82" s="42" t="inlineStr">
        <is>
          <t>KALINA</t>
        </is>
      </c>
      <c r="F82" s="29" t="n">
        <v>6.33993699441527</v>
      </c>
      <c r="G82" s="35" t="n">
        <v>14.34557910050073</v>
      </c>
      <c r="H82" s="36" t="n">
        <v>2600</v>
      </c>
      <c r="I82" s="29" t="n">
        <v>7.5</v>
      </c>
      <c r="J82" s="16" t="inlineStr">
        <is>
          <t>no</t>
        </is>
      </c>
      <c r="K82" s="16" t="n"/>
    </row>
    <row r="83">
      <c r="A83" s="16" t="inlineStr">
        <is>
          <t>KF-M05c-0072</t>
        </is>
      </c>
      <c r="B83" s="35" t="n">
        <v>400</v>
      </c>
      <c r="C83" s="35" t="n">
        <v>290.65</v>
      </c>
      <c r="D83" s="37" t="n">
        <v>0.875</v>
      </c>
      <c r="E83" s="42" t="inlineStr">
        <is>
          <t>KALINA</t>
        </is>
      </c>
      <c r="F83" s="29" t="n">
        <v>8.466046765515079</v>
      </c>
      <c r="G83" s="35" t="n">
        <v>24.58687504077966</v>
      </c>
      <c r="H83" s="36" t="n">
        <v>2600</v>
      </c>
      <c r="I83" s="29" t="n">
        <v>7.5</v>
      </c>
      <c r="J83" s="16" t="inlineStr">
        <is>
          <t>no</t>
        </is>
      </c>
      <c r="K83" s="16" t="n"/>
    </row>
    <row r="84">
      <c r="A84" s="16" t="inlineStr">
        <is>
          <t>KF-M05c-0073</t>
        </is>
      </c>
      <c r="B84" s="35" t="n">
        <v>405</v>
      </c>
      <c r="C84" s="35" t="n">
        <v>290.65</v>
      </c>
      <c r="D84" s="37" t="n">
        <v>0.875</v>
      </c>
      <c r="E84" s="42" t="inlineStr">
        <is>
          <t>KALINA</t>
        </is>
      </c>
      <c r="F84" s="29" t="n">
        <v>9.788023104352121</v>
      </c>
      <c r="G84" s="35" t="n">
        <v>34.48646360817479</v>
      </c>
      <c r="H84" s="36" t="n">
        <v>2600</v>
      </c>
      <c r="I84" s="29" t="n">
        <v>7.5</v>
      </c>
      <c r="J84" s="16" t="inlineStr">
        <is>
          <t>no</t>
        </is>
      </c>
      <c r="K84" s="16" t="n"/>
    </row>
    <row r="85">
      <c r="A85" s="16" t="inlineStr">
        <is>
          <t>KF-M05c-0074</t>
        </is>
      </c>
      <c r="B85" s="35" t="n">
        <v>402.5</v>
      </c>
      <c r="C85" s="35" t="n">
        <v>290.65</v>
      </c>
      <c r="D85" s="37" t="n">
        <v>0.875</v>
      </c>
      <c r="E85" s="42" t="inlineStr">
        <is>
          <t>KALINA</t>
        </is>
      </c>
      <c r="F85" s="29" t="n">
        <v>9.19484398219911</v>
      </c>
      <c r="G85" s="35" t="n">
        <v>29.56737709669721</v>
      </c>
      <c r="H85" s="36" t="n">
        <v>2600</v>
      </c>
      <c r="I85" s="29" t="n">
        <v>7.5</v>
      </c>
      <c r="J85" s="16" t="inlineStr">
        <is>
          <t>no</t>
        </is>
      </c>
      <c r="K85" s="16" t="n"/>
    </row>
    <row r="86">
      <c r="A86" s="16" t="inlineStr">
        <is>
          <t>KF-M05c-0075</t>
        </is>
      </c>
      <c r="B86" s="35" t="n">
        <v>407.5</v>
      </c>
      <c r="C86" s="35" t="n">
        <v>290.65</v>
      </c>
      <c r="D86" s="37" t="n">
        <v>0.875</v>
      </c>
      <c r="E86" s="42" t="inlineStr">
        <is>
          <t>KALINA</t>
        </is>
      </c>
      <c r="F86" s="29" t="n">
        <v>10.28140421693242</v>
      </c>
      <c r="G86" s="35" t="n">
        <v>39.365971038546</v>
      </c>
      <c r="H86" s="36" t="n">
        <v>2600</v>
      </c>
      <c r="I86" s="29" t="n">
        <v>7.5</v>
      </c>
      <c r="J86" s="16" t="inlineStr">
        <is>
          <t>no</t>
        </is>
      </c>
      <c r="K86" s="16" t="n"/>
    </row>
    <row r="87">
      <c r="A87" s="16" t="inlineStr">
        <is>
          <t>KF-M05c-0076</t>
        </is>
      </c>
      <c r="B87" s="35" t="n">
        <v>410</v>
      </c>
      <c r="C87" s="35" t="n">
        <v>290.65</v>
      </c>
      <c r="D87" s="37" t="n">
        <v>0.875</v>
      </c>
      <c r="E87" s="42" t="inlineStr">
        <is>
          <t>KALINA</t>
        </is>
      </c>
      <c r="F87" s="29" t="n">
        <v>10.69895603715694</v>
      </c>
      <c r="G87" s="35" t="n">
        <v>44.22672240341669</v>
      </c>
      <c r="H87" s="36" t="n">
        <v>2600</v>
      </c>
      <c r="I87" s="29" t="n">
        <v>7.5</v>
      </c>
      <c r="J87" s="16" t="inlineStr">
        <is>
          <t>no</t>
        </is>
      </c>
      <c r="K87" s="16" t="n"/>
    </row>
    <row r="88">
      <c r="A88" s="16" t="inlineStr">
        <is>
          <t>KF-M05c-0077</t>
        </is>
      </c>
      <c r="B88" s="35" t="n">
        <v>387.5</v>
      </c>
      <c r="C88" s="35" t="n">
        <v>290.65</v>
      </c>
      <c r="D88" s="37" t="n">
        <v>0.9</v>
      </c>
      <c r="E88" s="40" t="inlineStr">
        <is>
          <t>Inviable</t>
        </is>
      </c>
      <c r="F88" s="29" t="n">
        <v>-1.77151115386042</v>
      </c>
      <c r="G88" s="35" t="n">
        <v>-2.179547686356617</v>
      </c>
      <c r="H88" s="36" t="n">
        <v>2600</v>
      </c>
      <c r="I88" s="29" t="n">
        <v>7.5</v>
      </c>
      <c r="J88" s="16" t="inlineStr">
        <is>
          <t>no</t>
        </is>
      </c>
      <c r="K88" s="16" t="inlineStr">
        <is>
          <t>O3</t>
        </is>
      </c>
    </row>
    <row r="89">
      <c r="A89" s="16" t="inlineStr">
        <is>
          <t>KF-M05c-0078</t>
        </is>
      </c>
      <c r="B89" s="35" t="n">
        <v>385</v>
      </c>
      <c r="C89" s="35" t="n">
        <v>290.65</v>
      </c>
      <c r="D89" s="37" t="n">
        <v>0.9</v>
      </c>
      <c r="E89" s="38" t="inlineStr">
        <is>
          <t>Falso convergido</t>
        </is>
      </c>
      <c r="F89" s="29" t="inlineStr">
        <is>
          <t>—</t>
        </is>
      </c>
      <c r="G89" s="35" t="inlineStr">
        <is>
          <t>—</t>
        </is>
      </c>
      <c r="H89" s="36" t="n">
        <v>2600</v>
      </c>
      <c r="I89" s="29" t="n">
        <v>7.5</v>
      </c>
      <c r="J89" s="16" t="inlineStr">
        <is>
          <t>no</t>
        </is>
      </c>
      <c r="K89" s="16" t="inlineStr">
        <is>
          <t>N2,O3,O5,C1,C3,C3</t>
        </is>
      </c>
    </row>
    <row r="90">
      <c r="A90" s="16" t="inlineStr">
        <is>
          <t>KF-M05c-0079</t>
        </is>
      </c>
      <c r="B90" s="35" t="n">
        <v>390</v>
      </c>
      <c r="C90" s="35" t="n">
        <v>290.65</v>
      </c>
      <c r="D90" s="37" t="n">
        <v>0.9</v>
      </c>
      <c r="E90" s="42" t="inlineStr">
        <is>
          <t>KALINA</t>
        </is>
      </c>
      <c r="F90" s="29" t="n">
        <v>2.20530299862499</v>
      </c>
      <c r="G90" s="35" t="n">
        <v>3.5151600721926</v>
      </c>
      <c r="H90" s="36" t="n">
        <v>2600</v>
      </c>
      <c r="I90" s="29" t="n">
        <v>7.5</v>
      </c>
      <c r="J90" s="16" t="inlineStr">
        <is>
          <t>no</t>
        </is>
      </c>
      <c r="K90" s="16" t="n"/>
    </row>
    <row r="91">
      <c r="A91" s="16" t="inlineStr">
        <is>
          <t>KF-M05c-0080</t>
        </is>
      </c>
      <c r="B91" s="35" t="n">
        <v>392.5</v>
      </c>
      <c r="C91" s="35" t="n">
        <v>290.65</v>
      </c>
      <c r="D91" s="37" t="n">
        <v>0.9</v>
      </c>
      <c r="E91" s="42" t="inlineStr">
        <is>
          <t>KALINA</t>
        </is>
      </c>
      <c r="F91" s="29" t="n">
        <v>4.63045909916048</v>
      </c>
      <c r="G91" s="35" t="n">
        <v>8.996672292615012</v>
      </c>
      <c r="H91" s="36" t="n">
        <v>2600</v>
      </c>
      <c r="I91" s="29" t="n">
        <v>7.5</v>
      </c>
      <c r="J91" s="16" t="inlineStr">
        <is>
          <t>no</t>
        </is>
      </c>
      <c r="K91" s="16" t="n"/>
    </row>
    <row r="92">
      <c r="A92" s="16" t="inlineStr">
        <is>
          <t>KF-M05c-0081</t>
        </is>
      </c>
      <c r="B92" s="35" t="n">
        <v>395</v>
      </c>
      <c r="C92" s="35" t="n">
        <v>290.65</v>
      </c>
      <c r="D92" s="37" t="n">
        <v>0.9</v>
      </c>
      <c r="E92" s="42" t="inlineStr">
        <is>
          <t>KALINA</t>
        </is>
      </c>
      <c r="F92" s="29" t="n">
        <v>6.27380398348366</v>
      </c>
      <c r="G92" s="35" t="n">
        <v>14.30463372446134</v>
      </c>
      <c r="H92" s="36" t="n">
        <v>2600</v>
      </c>
      <c r="I92" s="29" t="n">
        <v>7.5</v>
      </c>
      <c r="J92" s="16" t="inlineStr">
        <is>
          <t>no</t>
        </is>
      </c>
      <c r="K92" s="16" t="n"/>
    </row>
    <row r="93">
      <c r="A93" s="16" t="inlineStr">
        <is>
          <t>KF-M05c-0082</t>
        </is>
      </c>
      <c r="B93" s="35" t="n">
        <v>397.5</v>
      </c>
      <c r="C93" s="35" t="n">
        <v>290.65</v>
      </c>
      <c r="D93" s="37" t="n">
        <v>0.9</v>
      </c>
      <c r="E93" s="42" t="inlineStr">
        <is>
          <t>KALINA</t>
        </is>
      </c>
      <c r="F93" s="29" t="n">
        <v>7.467221310375349</v>
      </c>
      <c r="G93" s="35" t="n">
        <v>19.47260613992835</v>
      </c>
      <c r="H93" s="36" t="n">
        <v>2600</v>
      </c>
      <c r="I93" s="29" t="n">
        <v>7.5</v>
      </c>
      <c r="J93" s="16" t="inlineStr">
        <is>
          <t>no</t>
        </is>
      </c>
      <c r="K93" s="16" t="n"/>
    </row>
    <row r="94">
      <c r="A94" s="16" t="inlineStr">
        <is>
          <t>KF-M05c-0083</t>
        </is>
      </c>
      <c r="B94" s="35" t="n">
        <v>400</v>
      </c>
      <c r="C94" s="35" t="n">
        <v>290.65</v>
      </c>
      <c r="D94" s="37" t="n">
        <v>0.9</v>
      </c>
      <c r="E94" s="42" t="inlineStr">
        <is>
          <t>KALINA</t>
        </is>
      </c>
      <c r="F94" s="29" t="n">
        <v>8.3772690579772</v>
      </c>
      <c r="G94" s="35" t="n">
        <v>24.52964397207233</v>
      </c>
      <c r="H94" s="36" t="n">
        <v>2600</v>
      </c>
      <c r="I94" s="29" t="n">
        <v>7.5</v>
      </c>
      <c r="J94" s="16" t="inlineStr">
        <is>
          <t>no</t>
        </is>
      </c>
      <c r="K94" s="16" t="n"/>
    </row>
    <row r="95">
      <c r="A95" s="16" t="inlineStr">
        <is>
          <t>KF-M05c-0084</t>
        </is>
      </c>
      <c r="B95" s="35" t="n">
        <v>402.5</v>
      </c>
      <c r="C95" s="35" t="n">
        <v>290.65</v>
      </c>
      <c r="D95" s="37" t="n">
        <v>0.9</v>
      </c>
      <c r="E95" s="42" t="inlineStr">
        <is>
          <t>KALINA</t>
        </is>
      </c>
      <c r="F95" s="29" t="n">
        <v>9.096733295576231</v>
      </c>
      <c r="G95" s="35" t="n">
        <v>29.50151486396636</v>
      </c>
      <c r="H95" s="36" t="n">
        <v>2600</v>
      </c>
      <c r="I95" s="29" t="n">
        <v>7.5</v>
      </c>
      <c r="J95" s="16" t="inlineStr">
        <is>
          <t>no</t>
        </is>
      </c>
      <c r="K95" s="16" t="n"/>
    </row>
    <row r="96">
      <c r="A96" s="16" t="inlineStr">
        <is>
          <t>KF-M05c-0085</t>
        </is>
      </c>
      <c r="B96" s="35" t="n">
        <v>407.5</v>
      </c>
      <c r="C96" s="35" t="n">
        <v>290.65</v>
      </c>
      <c r="D96" s="37" t="n">
        <v>0.9</v>
      </c>
      <c r="E96" s="42" t="inlineStr">
        <is>
          <t>KALINA</t>
        </is>
      </c>
      <c r="F96" s="29" t="n">
        <v>10.16696927791761</v>
      </c>
      <c r="G96" s="35" t="n">
        <v>39.28186354301658</v>
      </c>
      <c r="H96" s="36" t="n">
        <v>2600</v>
      </c>
      <c r="I96" s="29" t="n">
        <v>7.5</v>
      </c>
      <c r="J96" s="16" t="inlineStr">
        <is>
          <t>no</t>
        </is>
      </c>
      <c r="K96" s="16" t="n"/>
    </row>
    <row r="97">
      <c r="A97" s="16" t="inlineStr">
        <is>
          <t>KF-M05c-0086</t>
        </is>
      </c>
      <c r="B97" s="35" t="n">
        <v>405</v>
      </c>
      <c r="C97" s="35" t="n">
        <v>290.65</v>
      </c>
      <c r="D97" s="37" t="n">
        <v>0.9</v>
      </c>
      <c r="E97" s="42" t="inlineStr">
        <is>
          <t>KALINA</t>
        </is>
      </c>
      <c r="F97" s="29" t="n">
        <v>9.681427202052401</v>
      </c>
      <c r="G97" s="35" t="n">
        <v>34.41164681133652</v>
      </c>
      <c r="H97" s="36" t="n">
        <v>2600</v>
      </c>
      <c r="I97" s="29" t="n">
        <v>7.5</v>
      </c>
      <c r="J97" s="16" t="inlineStr">
        <is>
          <t>no</t>
        </is>
      </c>
      <c r="K97" s="16" t="n"/>
    </row>
    <row r="98">
      <c r="A98" s="16" t="inlineStr">
        <is>
          <t>KF-M05c-0087</t>
        </is>
      </c>
      <c r="B98" s="35" t="n">
        <v>410</v>
      </c>
      <c r="C98" s="35" t="n">
        <v>290.65</v>
      </c>
      <c r="D98" s="37" t="n">
        <v>0.9</v>
      </c>
      <c r="E98" s="42" t="inlineStr">
        <is>
          <t>KALINA</t>
        </is>
      </c>
      <c r="F98" s="29" t="n">
        <v>10.57718772500044</v>
      </c>
      <c r="G98" s="35" t="n">
        <v>44.13296432211532</v>
      </c>
      <c r="H98" s="36" t="n">
        <v>2600</v>
      </c>
      <c r="I98" s="29" t="n">
        <v>7.5</v>
      </c>
      <c r="J98" s="16" t="inlineStr">
        <is>
          <t>no</t>
        </is>
      </c>
      <c r="K98" s="16" t="n"/>
    </row>
    <row r="99">
      <c r="A99" s="16" t="inlineStr">
        <is>
          <t>KF-M05c-0088</t>
        </is>
      </c>
      <c r="B99" s="35" t="n">
        <v>385</v>
      </c>
      <c r="C99" s="35" t="n">
        <v>290.65</v>
      </c>
      <c r="D99" s="37" t="n">
        <v>0.925</v>
      </c>
      <c r="E99" s="38" t="inlineStr">
        <is>
          <t>Falso convergido</t>
        </is>
      </c>
      <c r="F99" s="29" t="inlineStr">
        <is>
          <t>—</t>
        </is>
      </c>
      <c r="G99" s="35" t="inlineStr">
        <is>
          <t>—</t>
        </is>
      </c>
      <c r="H99" s="36" t="n">
        <v>2600</v>
      </c>
      <c r="I99" s="29" t="n">
        <v>7.5</v>
      </c>
      <c r="J99" s="16" t="inlineStr">
        <is>
          <t>no</t>
        </is>
      </c>
      <c r="K99" s="16" t="inlineStr">
        <is>
          <t>N2,O3,O5,C1,C3,C3</t>
        </is>
      </c>
    </row>
    <row r="100">
      <c r="A100" s="16" t="inlineStr">
        <is>
          <t>KF-M05c-0089</t>
        </is>
      </c>
      <c r="B100" s="35" t="n">
        <v>390</v>
      </c>
      <c r="C100" s="35" t="n">
        <v>290.65</v>
      </c>
      <c r="D100" s="37" t="n">
        <v>0.925</v>
      </c>
      <c r="E100" s="42" t="inlineStr">
        <is>
          <t>KALINA</t>
        </is>
      </c>
      <c r="F100" s="29" t="n">
        <v>2.1749310151656</v>
      </c>
      <c r="G100" s="35" t="n">
        <v>3.490143381923621</v>
      </c>
      <c r="H100" s="36" t="n">
        <v>2600</v>
      </c>
      <c r="I100" s="29" t="n">
        <v>7.5</v>
      </c>
      <c r="J100" s="16" t="inlineStr">
        <is>
          <t>no</t>
        </is>
      </c>
      <c r="K100" s="16" t="n"/>
    </row>
    <row r="101">
      <c r="A101" s="16" t="inlineStr">
        <is>
          <t>KF-M05c-0090</t>
        </is>
      </c>
      <c r="B101" s="35" t="n">
        <v>387.5</v>
      </c>
      <c r="C101" s="35" t="n">
        <v>290.65</v>
      </c>
      <c r="D101" s="37" t="n">
        <v>0.925</v>
      </c>
      <c r="E101" s="40" t="inlineStr">
        <is>
          <t>Inviable</t>
        </is>
      </c>
      <c r="F101" s="29" t="n">
        <v>-1.77494262001425</v>
      </c>
      <c r="G101" s="35" t="n">
        <v>-2.198042398606083</v>
      </c>
      <c r="H101" s="36" t="n">
        <v>2600</v>
      </c>
      <c r="I101" s="29" t="n">
        <v>7.5</v>
      </c>
      <c r="J101" s="16" t="inlineStr">
        <is>
          <t>no</t>
        </is>
      </c>
      <c r="K101" s="16" t="inlineStr">
        <is>
          <t>O3</t>
        </is>
      </c>
    </row>
    <row r="102">
      <c r="A102" s="16" t="inlineStr">
        <is>
          <t>KF-M05c-0091</t>
        </is>
      </c>
      <c r="B102" s="35" t="n">
        <v>397.5</v>
      </c>
      <c r="C102" s="35" t="n">
        <v>290.65</v>
      </c>
      <c r="D102" s="37" t="n">
        <v>0.925</v>
      </c>
      <c r="E102" s="42" t="inlineStr">
        <is>
          <t>KALINA</t>
        </is>
      </c>
      <c r="F102" s="29" t="n">
        <v>7.393136541840501</v>
      </c>
      <c r="G102" s="35" t="n">
        <v>19.4255617952382</v>
      </c>
      <c r="H102" s="36" t="n">
        <v>2600</v>
      </c>
      <c r="I102" s="29" t="n">
        <v>7.5</v>
      </c>
      <c r="J102" s="16" t="inlineStr">
        <is>
          <t>no</t>
        </is>
      </c>
      <c r="K102" s="16" t="n"/>
    </row>
    <row r="103">
      <c r="A103" s="16" t="inlineStr">
        <is>
          <t>KF-M05c-0092</t>
        </is>
      </c>
      <c r="B103" s="35" t="n">
        <v>395</v>
      </c>
      <c r="C103" s="35" t="n">
        <v>290.65</v>
      </c>
      <c r="D103" s="37" t="n">
        <v>0.925</v>
      </c>
      <c r="E103" s="42" t="inlineStr">
        <is>
          <t>KALINA</t>
        </is>
      </c>
      <c r="F103" s="29" t="n">
        <v>6.21123884715877</v>
      </c>
      <c r="G103" s="35" t="n">
        <v>14.26529636173647</v>
      </c>
      <c r="H103" s="36" t="n">
        <v>2600</v>
      </c>
      <c r="I103" s="29" t="n">
        <v>7.5</v>
      </c>
      <c r="J103" s="16" t="inlineStr">
        <is>
          <t>no</t>
        </is>
      </c>
      <c r="K103" s="16" t="n"/>
    </row>
    <row r="104">
      <c r="A104" s="16" t="inlineStr">
        <is>
          <t>KF-M05c-0093</t>
        </is>
      </c>
      <c r="B104" s="35" t="n">
        <v>392.5</v>
      </c>
      <c r="C104" s="35" t="n">
        <v>290.65</v>
      </c>
      <c r="D104" s="37" t="n">
        <v>0.925</v>
      </c>
      <c r="E104" s="42" t="inlineStr">
        <is>
          <t>KALINA</t>
        </is>
      </c>
      <c r="F104" s="29" t="n">
        <v>4.58186236764943</v>
      </c>
      <c r="G104" s="35" t="n">
        <v>8.964688435325639</v>
      </c>
      <c r="H104" s="36" t="n">
        <v>2600</v>
      </c>
      <c r="I104" s="29" t="n">
        <v>7.5</v>
      </c>
      <c r="J104" s="16" t="inlineStr">
        <is>
          <t>no</t>
        </is>
      </c>
      <c r="K104" s="16" t="n"/>
    </row>
    <row r="105">
      <c r="A105" s="16" t="inlineStr">
        <is>
          <t>KF-M05c-0094</t>
        </is>
      </c>
      <c r="B105" s="35" t="n">
        <v>400</v>
      </c>
      <c r="C105" s="35" t="n">
        <v>290.65</v>
      </c>
      <c r="D105" s="37" t="n">
        <v>0.925</v>
      </c>
      <c r="E105" s="42" t="inlineStr">
        <is>
          <t>KALINA</t>
        </is>
      </c>
      <c r="F105" s="29" t="n">
        <v>8.2932359636886</v>
      </c>
      <c r="G105" s="35" t="n">
        <v>24.47455924568436</v>
      </c>
      <c r="H105" s="36" t="n">
        <v>2600</v>
      </c>
      <c r="I105" s="29" t="n">
        <v>7.5</v>
      </c>
      <c r="J105" s="16" t="inlineStr">
        <is>
          <t>no</t>
        </is>
      </c>
      <c r="K105" s="16" t="n"/>
    </row>
    <row r="106">
      <c r="A106" s="16" t="inlineStr">
        <is>
          <t>KF-M05c-0095</t>
        </is>
      </c>
      <c r="B106" s="35" t="n">
        <v>405</v>
      </c>
      <c r="C106" s="35" t="n">
        <v>290.65</v>
      </c>
      <c r="D106" s="37" t="n">
        <v>0.925</v>
      </c>
      <c r="E106" s="42" t="inlineStr">
        <is>
          <t>KALINA</t>
        </is>
      </c>
      <c r="F106" s="29" t="n">
        <v>9.580477601744491</v>
      </c>
      <c r="G106" s="35" t="n">
        <v>34.33950977176666</v>
      </c>
      <c r="H106" s="36" t="n">
        <v>2600</v>
      </c>
      <c r="I106" s="29" t="n">
        <v>7.5</v>
      </c>
      <c r="J106" s="16" t="inlineStr">
        <is>
          <t>no</t>
        </is>
      </c>
      <c r="K106" s="16" t="n"/>
    </row>
    <row r="107">
      <c r="A107" s="16" t="inlineStr">
        <is>
          <t>KF-M05c-0096</t>
        </is>
      </c>
      <c r="B107" s="35" t="n">
        <v>402.5</v>
      </c>
      <c r="C107" s="35" t="n">
        <v>290.65</v>
      </c>
      <c r="D107" s="37" t="n">
        <v>0.925</v>
      </c>
      <c r="E107" s="42" t="inlineStr">
        <is>
          <t>KALINA</t>
        </is>
      </c>
      <c r="F107" s="29" t="n">
        <v>9.00384023465679</v>
      </c>
      <c r="G107" s="35" t="n">
        <v>29.43806485485739</v>
      </c>
      <c r="H107" s="36" t="n">
        <v>2600</v>
      </c>
      <c r="I107" s="29" t="n">
        <v>7.5</v>
      </c>
      <c r="J107" s="16" t="inlineStr">
        <is>
          <t>no</t>
        </is>
      </c>
      <c r="K107" s="16" t="n"/>
    </row>
    <row r="108">
      <c r="A108" s="16" t="inlineStr">
        <is>
          <t>KF-M05c-0097</t>
        </is>
      </c>
      <c r="B108" s="35" t="n">
        <v>407.5</v>
      </c>
      <c r="C108" s="35" t="n">
        <v>290.65</v>
      </c>
      <c r="D108" s="37" t="n">
        <v>0.925</v>
      </c>
      <c r="E108" s="42" t="inlineStr">
        <is>
          <t>KALINA</t>
        </is>
      </c>
      <c r="F108" s="29" t="n">
        <v>10.05856722080557</v>
      </c>
      <c r="G108" s="35" t="n">
        <v>39.20069799468739</v>
      </c>
      <c r="H108" s="36" t="n">
        <v>2600</v>
      </c>
      <c r="I108" s="29" t="n">
        <v>7.5</v>
      </c>
      <c r="J108" s="16" t="inlineStr">
        <is>
          <t>no</t>
        </is>
      </c>
      <c r="K108" s="16" t="n"/>
    </row>
    <row r="109">
      <c r="A109" s="16" t="inlineStr">
        <is>
          <t>KF-M05c-0098</t>
        </is>
      </c>
      <c r="B109" s="35" t="n">
        <v>410</v>
      </c>
      <c r="C109" s="35" t="n">
        <v>290.65</v>
      </c>
      <c r="D109" s="37" t="n">
        <v>0.925</v>
      </c>
      <c r="E109" s="42" t="inlineStr">
        <is>
          <t>KALINA</t>
        </is>
      </c>
      <c r="F109" s="29" t="n">
        <v>10.46179830280646</v>
      </c>
      <c r="G109" s="35" t="n">
        <v>44.04239935176489</v>
      </c>
      <c r="H109" s="36" t="n">
        <v>2600</v>
      </c>
      <c r="I109" s="29" t="n">
        <v>7.5</v>
      </c>
      <c r="J109" s="16" t="inlineStr">
        <is>
          <t>no</t>
        </is>
      </c>
      <c r="K109" s="16" t="n"/>
    </row>
    <row r="110">
      <c r="A110" s="16" t="inlineStr">
        <is>
          <t>KF-M05c-0099</t>
        </is>
      </c>
      <c r="B110" s="35" t="n">
        <v>387.5</v>
      </c>
      <c r="C110" s="35" t="n">
        <v>290.65</v>
      </c>
      <c r="D110" s="37" t="n">
        <v>0.95</v>
      </c>
      <c r="E110" s="40" t="inlineStr">
        <is>
          <t>Inviable</t>
        </is>
      </c>
      <c r="F110" s="29" t="n">
        <v>-1.7781982732741</v>
      </c>
      <c r="G110" s="35" t="n">
        <v>-2.21578481942835</v>
      </c>
      <c r="H110" s="36" t="n">
        <v>2600</v>
      </c>
      <c r="I110" s="29" t="n">
        <v>7.5</v>
      </c>
      <c r="J110" s="16" t="inlineStr">
        <is>
          <t>no</t>
        </is>
      </c>
      <c r="K110" s="16" t="inlineStr">
        <is>
          <t>O3</t>
        </is>
      </c>
    </row>
    <row r="111">
      <c r="A111" s="16" t="inlineStr">
        <is>
          <t>KF-M05c-0100</t>
        </is>
      </c>
      <c r="B111" s="35" t="n">
        <v>390</v>
      </c>
      <c r="C111" s="35" t="n">
        <v>290.65</v>
      </c>
      <c r="D111" s="37" t="n">
        <v>0.95</v>
      </c>
      <c r="E111" s="42" t="inlineStr">
        <is>
          <t>KALINA</t>
        </is>
      </c>
      <c r="F111" s="29" t="n">
        <v>2.14614183450767</v>
      </c>
      <c r="G111" s="35" t="n">
        <v>3.466109107623113</v>
      </c>
      <c r="H111" s="36" t="n">
        <v>2600</v>
      </c>
      <c r="I111" s="29" t="n">
        <v>7.5</v>
      </c>
      <c r="J111" s="16" t="inlineStr">
        <is>
          <t>no</t>
        </is>
      </c>
      <c r="K111" s="16" t="n"/>
    </row>
    <row r="112">
      <c r="A112" s="16" t="inlineStr">
        <is>
          <t>KF-M05c-0101</t>
        </is>
      </c>
      <c r="B112" s="35" t="n">
        <v>385</v>
      </c>
      <c r="C112" s="35" t="n">
        <v>290.65</v>
      </c>
      <c r="D112" s="37" t="n">
        <v>0.95</v>
      </c>
      <c r="E112" s="38" t="inlineStr">
        <is>
          <t>Falso convergido</t>
        </is>
      </c>
      <c r="F112" s="29" t="inlineStr">
        <is>
          <t>—</t>
        </is>
      </c>
      <c r="G112" s="35" t="inlineStr">
        <is>
          <t>—</t>
        </is>
      </c>
      <c r="H112" s="36" t="n">
        <v>2600</v>
      </c>
      <c r="I112" s="29" t="n">
        <v>7.5</v>
      </c>
      <c r="J112" s="16" t="inlineStr">
        <is>
          <t>no</t>
        </is>
      </c>
      <c r="K112" s="16" t="inlineStr">
        <is>
          <t>N2,O3,O5,C1,C3,C3</t>
        </is>
      </c>
    </row>
    <row r="113">
      <c r="A113" s="16" t="inlineStr">
        <is>
          <t>KF-M05c-0102</t>
        </is>
      </c>
      <c r="B113" s="35" t="n">
        <v>392.5</v>
      </c>
      <c r="C113" s="35" t="n">
        <v>290.65</v>
      </c>
      <c r="D113" s="37" t="n">
        <v>0.95</v>
      </c>
      <c r="E113" s="42" t="inlineStr">
        <is>
          <t>KALINA</t>
        </is>
      </c>
      <c r="F113" s="29" t="n">
        <v>4.535783472351349</v>
      </c>
      <c r="G113" s="35" t="n">
        <v>8.933929435528203</v>
      </c>
      <c r="H113" s="36" t="n">
        <v>2600</v>
      </c>
      <c r="I113" s="29" t="n">
        <v>7.5</v>
      </c>
      <c r="J113" s="16" t="inlineStr">
        <is>
          <t>no</t>
        </is>
      </c>
      <c r="K113" s="16" t="n"/>
    </row>
    <row r="114">
      <c r="A114" s="16" t="inlineStr">
        <is>
          <t>KF-M05c-0103</t>
        </is>
      </c>
      <c r="B114" s="35" t="n">
        <v>395</v>
      </c>
      <c r="C114" s="35" t="n">
        <v>290.65</v>
      </c>
      <c r="D114" s="37" t="n">
        <v>0.95</v>
      </c>
      <c r="E114" s="42" t="inlineStr">
        <is>
          <t>KALINA</t>
        </is>
      </c>
      <c r="F114" s="29" t="n">
        <v>6.15189984360015</v>
      </c>
      <c r="G114" s="35" t="n">
        <v>14.22743111163047</v>
      </c>
      <c r="H114" s="36" t="n">
        <v>2600</v>
      </c>
      <c r="I114" s="29" t="n">
        <v>7.5</v>
      </c>
      <c r="J114" s="16" t="inlineStr">
        <is>
          <t>no</t>
        </is>
      </c>
      <c r="K114" s="16" t="n"/>
    </row>
    <row r="115">
      <c r="A115" s="16" t="inlineStr">
        <is>
          <t>KF-M05c-0104</t>
        </is>
      </c>
      <c r="B115" s="35" t="n">
        <v>397.5</v>
      </c>
      <c r="C115" s="35" t="n">
        <v>290.65</v>
      </c>
      <c r="D115" s="37" t="n">
        <v>0.95</v>
      </c>
      <c r="E115" s="42" t="inlineStr">
        <is>
          <t>KALINA</t>
        </is>
      </c>
      <c r="F115" s="29" t="n">
        <v>7.322852946347489</v>
      </c>
      <c r="G115" s="35" t="n">
        <v>19.38023692865441</v>
      </c>
      <c r="H115" s="36" t="n">
        <v>2600</v>
      </c>
      <c r="I115" s="29" t="n">
        <v>7.5</v>
      </c>
      <c r="J115" s="16" t="inlineStr">
        <is>
          <t>no</t>
        </is>
      </c>
      <c r="K115" s="16" t="n"/>
    </row>
    <row r="116">
      <c r="A116" s="16" t="inlineStr">
        <is>
          <t>KF-M05c-0105</t>
        </is>
      </c>
      <c r="B116" s="35" t="n">
        <v>400</v>
      </c>
      <c r="C116" s="35" t="n">
        <v>290.65</v>
      </c>
      <c r="D116" s="37" t="n">
        <v>0.95</v>
      </c>
      <c r="E116" s="42" t="inlineStr">
        <is>
          <t>KALINA</t>
        </is>
      </c>
      <c r="F116" s="29" t="n">
        <v>8.21349522156642</v>
      </c>
      <c r="G116" s="35" t="n">
        <v>24.42144211059545</v>
      </c>
      <c r="H116" s="36" t="n">
        <v>2600</v>
      </c>
      <c r="I116" s="29" t="n">
        <v>7.5</v>
      </c>
      <c r="J116" s="16" t="inlineStr">
        <is>
          <t>no</t>
        </is>
      </c>
      <c r="K116" s="16" t="n"/>
    </row>
    <row r="117">
      <c r="A117" s="16" t="inlineStr">
        <is>
          <t>KF-M05c-0106</t>
        </is>
      </c>
      <c r="B117" s="35" t="n">
        <v>405</v>
      </c>
      <c r="C117" s="35" t="n">
        <v>290.65</v>
      </c>
      <c r="D117" s="37" t="n">
        <v>0.95</v>
      </c>
      <c r="E117" s="42" t="inlineStr">
        <is>
          <t>KALINA</t>
        </is>
      </c>
      <c r="F117" s="29" t="n">
        <v>9.484627232880239</v>
      </c>
      <c r="G117" s="35" t="n">
        <v>34.26982312744046</v>
      </c>
      <c r="H117" s="36" t="n">
        <v>2600</v>
      </c>
      <c r="I117" s="29" t="n">
        <v>7.5</v>
      </c>
      <c r="J117" s="16" t="inlineStr">
        <is>
          <t>no</t>
        </is>
      </c>
      <c r="K117" s="16" t="n"/>
    </row>
    <row r="118">
      <c r="A118" s="16" t="inlineStr">
        <is>
          <t>KF-M05c-0107</t>
        </is>
      </c>
      <c r="B118" s="35" t="n">
        <v>402.5</v>
      </c>
      <c r="C118" s="35" t="n">
        <v>290.65</v>
      </c>
      <c r="D118" s="37" t="n">
        <v>0.95</v>
      </c>
      <c r="E118" s="42" t="inlineStr">
        <is>
          <t>KALINA</t>
        </is>
      </c>
      <c r="F118" s="29" t="n">
        <v>8.91566660535954</v>
      </c>
      <c r="G118" s="35" t="n">
        <v>29.37682598009791</v>
      </c>
      <c r="H118" s="36" t="n">
        <v>2600</v>
      </c>
      <c r="I118" s="29" t="n">
        <v>7.5</v>
      </c>
      <c r="J118" s="16" t="inlineStr">
        <is>
          <t>no</t>
        </is>
      </c>
      <c r="K118" s="16" t="n"/>
    </row>
    <row r="119">
      <c r="A119" s="16" t="inlineStr">
        <is>
          <t>KF-M05c-0108</t>
        </is>
      </c>
      <c r="B119" s="35" t="n">
        <v>407.5</v>
      </c>
      <c r="C119" s="35" t="n">
        <v>290.65</v>
      </c>
      <c r="D119" s="37" t="n">
        <v>0.95</v>
      </c>
      <c r="E119" s="42" t="inlineStr">
        <is>
          <t>KALINA</t>
        </is>
      </c>
      <c r="F119" s="29" t="n">
        <v>9.95561654417159</v>
      </c>
      <c r="G119" s="35" t="n">
        <v>39.1222255442791</v>
      </c>
      <c r="H119" s="36" t="n">
        <v>2600</v>
      </c>
      <c r="I119" s="29" t="n">
        <v>7.5</v>
      </c>
      <c r="J119" s="16" t="inlineStr">
        <is>
          <t>no</t>
        </is>
      </c>
      <c r="K119" s="16" t="n"/>
    </row>
    <row r="120">
      <c r="A120" s="16" t="inlineStr">
        <is>
          <t>KF-M05c-0109</t>
        </is>
      </c>
      <c r="B120" s="35" t="n">
        <v>410</v>
      </c>
      <c r="C120" s="35" t="n">
        <v>290.65</v>
      </c>
      <c r="D120" s="37" t="n">
        <v>0.95</v>
      </c>
      <c r="E120" s="42" t="inlineStr">
        <is>
          <t>KALINA</t>
        </is>
      </c>
      <c r="F120" s="29" t="n">
        <v>10.35220928666172</v>
      </c>
      <c r="G120" s="35" t="n">
        <v>43.95478936246403</v>
      </c>
      <c r="H120" s="36" t="n">
        <v>2600</v>
      </c>
      <c r="I120" s="29" t="n">
        <v>7.5</v>
      </c>
      <c r="J120" s="16" t="inlineStr">
        <is>
          <t>no</t>
        </is>
      </c>
      <c r="K120" s="16" t="n"/>
    </row>
    <row r="121">
      <c r="A121" s="16" t="inlineStr">
        <is>
          <t>KF-M05c-0110</t>
        </is>
      </c>
      <c r="B121" s="35" t="n">
        <v>385</v>
      </c>
      <c r="C121" s="35" t="n">
        <v>300.032917</v>
      </c>
      <c r="D121" s="37" t="n">
        <v>0.85</v>
      </c>
      <c r="E121" s="38" t="inlineStr">
        <is>
          <t>Falso convergido</t>
        </is>
      </c>
      <c r="F121" s="29" t="inlineStr">
        <is>
          <t>—</t>
        </is>
      </c>
      <c r="G121" s="35" t="inlineStr">
        <is>
          <t>—</t>
        </is>
      </c>
      <c r="H121" s="36" t="n">
        <v>2600</v>
      </c>
      <c r="I121" s="29" t="n">
        <v>7.5</v>
      </c>
      <c r="J121" s="16" t="inlineStr">
        <is>
          <t>no</t>
        </is>
      </c>
      <c r="K121" s="16" t="inlineStr">
        <is>
          <t>N2,O3,O5,C1,C3,C3</t>
        </is>
      </c>
    </row>
    <row r="122">
      <c r="A122" s="16" t="inlineStr">
        <is>
          <t>KF-M05c-0111</t>
        </is>
      </c>
      <c r="B122" s="35" t="n">
        <v>390</v>
      </c>
      <c r="C122" s="35" t="n">
        <v>300.032917</v>
      </c>
      <c r="D122" s="37" t="n">
        <v>0.85</v>
      </c>
      <c r="E122" s="39" t="inlineStr">
        <is>
          <t>Corregible</t>
        </is>
      </c>
      <c r="F122" s="29" t="n">
        <v>2.57059544313027</v>
      </c>
      <c r="G122" s="35" t="n">
        <v>3.78723165168511</v>
      </c>
      <c r="H122" s="36" t="n">
        <v>2600</v>
      </c>
      <c r="I122" s="29" t="n">
        <v>7.5</v>
      </c>
      <c r="J122" s="16" t="inlineStr">
        <is>
          <t>no</t>
        </is>
      </c>
      <c r="K122" s="16" t="inlineStr">
        <is>
          <t>O2</t>
        </is>
      </c>
    </row>
    <row r="123">
      <c r="A123" s="16" t="inlineStr">
        <is>
          <t>KF-M05c-0112</t>
        </is>
      </c>
      <c r="B123" s="35" t="n">
        <v>387.5</v>
      </c>
      <c r="C123" s="35" t="n">
        <v>300.032917</v>
      </c>
      <c r="D123" s="37" t="n">
        <v>0.85</v>
      </c>
      <c r="E123" s="40" t="inlineStr">
        <is>
          <t>Inviable</t>
        </is>
      </c>
      <c r="F123" s="29" t="n">
        <v>-1.72143998139851</v>
      </c>
      <c r="G123" s="35" t="n">
        <v>-1.931646151698401</v>
      </c>
      <c r="H123" s="36" t="n">
        <v>2600</v>
      </c>
      <c r="I123" s="29" t="n">
        <v>7.5</v>
      </c>
      <c r="J123" s="16" t="inlineStr">
        <is>
          <t>no</t>
        </is>
      </c>
      <c r="K123" s="16" t="inlineStr">
        <is>
          <t>O3</t>
        </is>
      </c>
    </row>
    <row r="124">
      <c r="A124" s="16" t="inlineStr">
        <is>
          <t>KF-M05c-0113</t>
        </is>
      </c>
      <c r="B124" s="35" t="n">
        <v>392.5</v>
      </c>
      <c r="C124" s="35" t="n">
        <v>300.032917</v>
      </c>
      <c r="D124" s="37" t="n">
        <v>0.85</v>
      </c>
      <c r="E124" s="39" t="inlineStr">
        <is>
          <t>Corregible</t>
        </is>
      </c>
      <c r="F124" s="29" t="n">
        <v>5.12419261224582</v>
      </c>
      <c r="G124" s="35" t="n">
        <v>9.274117509264082</v>
      </c>
      <c r="H124" s="36" t="n">
        <v>2600</v>
      </c>
      <c r="I124" s="29" t="n">
        <v>7.5</v>
      </c>
      <c r="J124" s="16" t="inlineStr">
        <is>
          <t>no</t>
        </is>
      </c>
      <c r="K124" s="16" t="inlineStr">
        <is>
          <t>O2</t>
        </is>
      </c>
    </row>
    <row r="125">
      <c r="A125" s="16" t="inlineStr">
        <is>
          <t>KF-M05c-0114</t>
        </is>
      </c>
      <c r="B125" s="35" t="n">
        <v>395</v>
      </c>
      <c r="C125" s="35" t="n">
        <v>300.032917</v>
      </c>
      <c r="D125" s="37" t="n">
        <v>0.85</v>
      </c>
      <c r="E125" s="39" t="inlineStr">
        <is>
          <t>Corregible</t>
        </is>
      </c>
      <c r="F125" s="29" t="n">
        <v>6.82585316938624</v>
      </c>
      <c r="G125" s="35" t="n">
        <v>14.57052191913538</v>
      </c>
      <c r="H125" s="36" t="n">
        <v>2600</v>
      </c>
      <c r="I125" s="29" t="n">
        <v>7.5</v>
      </c>
      <c r="J125" s="16" t="inlineStr">
        <is>
          <t>no</t>
        </is>
      </c>
      <c r="K125" s="16" t="inlineStr">
        <is>
          <t>O2</t>
        </is>
      </c>
    </row>
    <row r="126">
      <c r="A126" s="16" t="inlineStr">
        <is>
          <t>KF-M05c-0115</t>
        </is>
      </c>
      <c r="B126" s="35" t="n">
        <v>397.5</v>
      </c>
      <c r="C126" s="35" t="n">
        <v>300.032917</v>
      </c>
      <c r="D126" s="37" t="n">
        <v>0.85</v>
      </c>
      <c r="E126" s="39" t="inlineStr">
        <is>
          <t>Corregible</t>
        </is>
      </c>
      <c r="F126" s="29" t="n">
        <v>8.04584730801931</v>
      </c>
      <c r="G126" s="35" t="n">
        <v>19.71145173153341</v>
      </c>
      <c r="H126" s="36" t="n">
        <v>2600</v>
      </c>
      <c r="I126" s="29" t="n">
        <v>7.5</v>
      </c>
      <c r="J126" s="16" t="inlineStr">
        <is>
          <t>no</t>
        </is>
      </c>
      <c r="K126" s="16" t="inlineStr">
        <is>
          <t>O2</t>
        </is>
      </c>
    </row>
    <row r="127">
      <c r="A127" s="16" t="inlineStr">
        <is>
          <t>KF-M05c-0116</t>
        </is>
      </c>
      <c r="B127" s="35" t="n">
        <v>400</v>
      </c>
      <c r="C127" s="35" t="n">
        <v>300.032917</v>
      </c>
      <c r="D127" s="37" t="n">
        <v>0.85</v>
      </c>
      <c r="E127" s="39" t="inlineStr">
        <is>
          <t>Corregible</t>
        </is>
      </c>
      <c r="F127" s="29" t="n">
        <v>8.966163738086539</v>
      </c>
      <c r="G127" s="35" t="n">
        <v>24.72694734919684</v>
      </c>
      <c r="H127" s="36" t="n">
        <v>2600</v>
      </c>
      <c r="I127" s="29" t="n">
        <v>7.5</v>
      </c>
      <c r="J127" s="16" t="inlineStr">
        <is>
          <t>no</t>
        </is>
      </c>
      <c r="K127" s="16" t="inlineStr">
        <is>
          <t>O2</t>
        </is>
      </c>
    </row>
    <row r="128">
      <c r="A128" s="16" t="inlineStr">
        <is>
          <t>KF-M05c-0117</t>
        </is>
      </c>
      <c r="B128" s="35" t="n">
        <v>407.5</v>
      </c>
      <c r="C128" s="35" t="n">
        <v>300.032917</v>
      </c>
      <c r="D128" s="37" t="n">
        <v>0.85</v>
      </c>
      <c r="E128" s="39" t="inlineStr">
        <is>
          <t>Corregible</t>
        </is>
      </c>
      <c r="F128" s="29" t="n">
        <v>10.74402461100542</v>
      </c>
      <c r="G128" s="35" t="n">
        <v>39.27206021588064</v>
      </c>
      <c r="H128" s="36" t="n">
        <v>2600</v>
      </c>
      <c r="I128" s="29" t="n">
        <v>7.5</v>
      </c>
      <c r="J128" s="16" t="inlineStr">
        <is>
          <t>no</t>
        </is>
      </c>
      <c r="K128" s="16" t="inlineStr">
        <is>
          <t>O2</t>
        </is>
      </c>
    </row>
    <row r="129">
      <c r="A129" s="16" t="inlineStr">
        <is>
          <t>KF-M05c-0118</t>
        </is>
      </c>
      <c r="B129" s="35" t="n">
        <v>402.5</v>
      </c>
      <c r="C129" s="35" t="n">
        <v>300.032917</v>
      </c>
      <c r="D129" s="37" t="n">
        <v>0.85</v>
      </c>
      <c r="E129" s="39" t="inlineStr">
        <is>
          <t>Corregible</t>
        </is>
      </c>
      <c r="F129" s="29" t="n">
        <v>9.686678225135273</v>
      </c>
      <c r="G129" s="35" t="n">
        <v>29.64339411042131</v>
      </c>
      <c r="H129" s="36" t="n">
        <v>2600</v>
      </c>
      <c r="I129" s="29" t="n">
        <v>7.5</v>
      </c>
      <c r="J129" s="16" t="inlineStr">
        <is>
          <t>no</t>
        </is>
      </c>
      <c r="K129" s="16" t="inlineStr">
        <is>
          <t>O2</t>
        </is>
      </c>
    </row>
    <row r="130">
      <c r="A130" s="16" t="inlineStr">
        <is>
          <t>KF-M05c-0119</t>
        </is>
      </c>
      <c r="B130" s="35" t="n">
        <v>405</v>
      </c>
      <c r="C130" s="35" t="n">
        <v>300.032917</v>
      </c>
      <c r="D130" s="37" t="n">
        <v>0.85</v>
      </c>
      <c r="E130" s="39" t="inlineStr">
        <is>
          <t>Corregible</t>
        </is>
      </c>
      <c r="F130" s="29" t="n">
        <v>10.26677825002931</v>
      </c>
      <c r="G130" s="35" t="n">
        <v>34.48448766706491</v>
      </c>
      <c r="H130" s="36" t="n">
        <v>2600</v>
      </c>
      <c r="I130" s="29" t="n">
        <v>7.5</v>
      </c>
      <c r="J130" s="16" t="inlineStr">
        <is>
          <t>no</t>
        </is>
      </c>
      <c r="K130" s="16" t="inlineStr">
        <is>
          <t>O2</t>
        </is>
      </c>
    </row>
    <row r="131">
      <c r="A131" s="16" t="inlineStr">
        <is>
          <t>KF-M05c-0120</t>
        </is>
      </c>
      <c r="B131" s="35" t="n">
        <v>410</v>
      </c>
      <c r="C131" s="35" t="n">
        <v>300.032917</v>
      </c>
      <c r="D131" s="37" t="n">
        <v>0.85</v>
      </c>
      <c r="E131" s="39" t="inlineStr">
        <is>
          <t>Corregible</t>
        </is>
      </c>
      <c r="F131" s="29" t="n">
        <v>11.14335337860045</v>
      </c>
      <c r="G131" s="35" t="n">
        <v>44.02665454489584</v>
      </c>
      <c r="H131" s="36" t="n">
        <v>2600</v>
      </c>
      <c r="I131" s="29" t="n">
        <v>7.5</v>
      </c>
      <c r="J131" s="16" t="inlineStr">
        <is>
          <t>no</t>
        </is>
      </c>
      <c r="K131" s="16" t="inlineStr">
        <is>
          <t>O2</t>
        </is>
      </c>
    </row>
    <row r="132">
      <c r="A132" s="16" t="inlineStr">
        <is>
          <t>KF-M05c-0121</t>
        </is>
      </c>
      <c r="B132" s="35" t="n">
        <v>385</v>
      </c>
      <c r="C132" s="35" t="n">
        <v>300.032917</v>
      </c>
      <c r="D132" s="37" t="n">
        <v>0.875</v>
      </c>
      <c r="E132" s="38" t="inlineStr">
        <is>
          <t>Falso convergido</t>
        </is>
      </c>
      <c r="F132" s="29" t="inlineStr">
        <is>
          <t>—</t>
        </is>
      </c>
      <c r="G132" s="35" t="inlineStr">
        <is>
          <t>—</t>
        </is>
      </c>
      <c r="H132" s="36" t="n">
        <v>2600</v>
      </c>
      <c r="I132" s="29" t="n">
        <v>7.5</v>
      </c>
      <c r="J132" s="16" t="inlineStr">
        <is>
          <t>no</t>
        </is>
      </c>
      <c r="K132" s="16" t="inlineStr">
        <is>
          <t>N2,O3,O5,C1,C3,C3</t>
        </is>
      </c>
    </row>
    <row r="133">
      <c r="A133" s="16" t="inlineStr">
        <is>
          <t>KF-M05c-0122</t>
        </is>
      </c>
      <c r="B133" s="35" t="n">
        <v>390</v>
      </c>
      <c r="C133" s="35" t="n">
        <v>300.032917</v>
      </c>
      <c r="D133" s="37" t="n">
        <v>0.875</v>
      </c>
      <c r="E133" s="42" t="inlineStr">
        <is>
          <t>KALINA</t>
        </is>
      </c>
      <c r="F133" s="29" t="n">
        <v>2.53932312022593</v>
      </c>
      <c r="G133" s="35" t="n">
        <v>3.769197404130745</v>
      </c>
      <c r="H133" s="36" t="n">
        <v>2600</v>
      </c>
      <c r="I133" s="29" t="n">
        <v>7.5</v>
      </c>
      <c r="J133" s="16" t="inlineStr">
        <is>
          <t>no</t>
        </is>
      </c>
      <c r="K133" s="16" t="n"/>
    </row>
    <row r="134">
      <c r="A134" s="16" t="inlineStr">
        <is>
          <t>KF-M05c-0123</t>
        </is>
      </c>
      <c r="B134" s="35" t="n">
        <v>387.5</v>
      </c>
      <c r="C134" s="35" t="n">
        <v>300.032917</v>
      </c>
      <c r="D134" s="37" t="n">
        <v>0.875</v>
      </c>
      <c r="E134" s="40" t="inlineStr">
        <is>
          <t>Inviable</t>
        </is>
      </c>
      <c r="F134" s="29" t="n">
        <v>-1.72548853069321</v>
      </c>
      <c r="G134" s="35" t="n">
        <v>-1.950261848976155</v>
      </c>
      <c r="H134" s="36" t="n">
        <v>2600</v>
      </c>
      <c r="I134" s="29" t="n">
        <v>7.5</v>
      </c>
      <c r="J134" s="16" t="inlineStr">
        <is>
          <t>no</t>
        </is>
      </c>
      <c r="K134" s="16" t="inlineStr">
        <is>
          <t>O3</t>
        </is>
      </c>
    </row>
    <row r="135">
      <c r="A135" s="16" t="inlineStr">
        <is>
          <t>KF-M05c-0124</t>
        </is>
      </c>
      <c r="B135" s="35" t="n">
        <v>392.5</v>
      </c>
      <c r="C135" s="35" t="n">
        <v>300.032917</v>
      </c>
      <c r="D135" s="37" t="n">
        <v>0.875</v>
      </c>
      <c r="E135" s="39" t="inlineStr">
        <is>
          <t>Corregible</t>
        </is>
      </c>
      <c r="F135" s="29" t="n">
        <v>5.08200249901325</v>
      </c>
      <c r="G135" s="35" t="n">
        <v>9.269354906916281</v>
      </c>
      <c r="H135" s="36" t="n">
        <v>2600</v>
      </c>
      <c r="I135" s="29" t="n">
        <v>7.5</v>
      </c>
      <c r="J135" s="16" t="inlineStr">
        <is>
          <t>no</t>
        </is>
      </c>
      <c r="K135" s="16" t="inlineStr">
        <is>
          <t>O2</t>
        </is>
      </c>
    </row>
    <row r="136">
      <c r="A136" s="16" t="inlineStr">
        <is>
          <t>KF-M05c-0125</t>
        </is>
      </c>
      <c r="B136" s="35" t="n">
        <v>395</v>
      </c>
      <c r="C136" s="35" t="n">
        <v>300.032917</v>
      </c>
      <c r="D136" s="37" t="n">
        <v>0.875</v>
      </c>
      <c r="E136" s="39" t="inlineStr">
        <is>
          <t>Corregible</t>
        </is>
      </c>
      <c r="F136" s="29" t="n">
        <v>6.77706696276616</v>
      </c>
      <c r="G136" s="35" t="n">
        <v>14.58370200772919</v>
      </c>
      <c r="H136" s="36" t="n">
        <v>2600</v>
      </c>
      <c r="I136" s="29" t="n">
        <v>7.5</v>
      </c>
      <c r="J136" s="16" t="inlineStr">
        <is>
          <t>no</t>
        </is>
      </c>
      <c r="K136" s="16" t="inlineStr">
        <is>
          <t>O2</t>
        </is>
      </c>
    </row>
    <row r="137">
      <c r="A137" s="16" t="inlineStr">
        <is>
          <t>KF-M05c-0126</t>
        </is>
      </c>
      <c r="B137" s="35" t="n">
        <v>397.5</v>
      </c>
      <c r="C137" s="35" t="n">
        <v>300.032917</v>
      </c>
      <c r="D137" s="37" t="n">
        <v>0.875</v>
      </c>
      <c r="E137" s="39" t="inlineStr">
        <is>
          <t>Corregible</t>
        </is>
      </c>
      <c r="F137" s="29" t="n">
        <v>7.99284313433802</v>
      </c>
      <c r="G137" s="35" t="n">
        <v>19.74692597964181</v>
      </c>
      <c r="H137" s="36" t="n">
        <v>2600</v>
      </c>
      <c r="I137" s="29" t="n">
        <v>7.5</v>
      </c>
      <c r="J137" s="16" t="inlineStr">
        <is>
          <t>no</t>
        </is>
      </c>
      <c r="K137" s="16" t="inlineStr">
        <is>
          <t>O2</t>
        </is>
      </c>
    </row>
    <row r="138">
      <c r="A138" s="16" t="inlineStr">
        <is>
          <t>KF-M05c-0127</t>
        </is>
      </c>
      <c r="B138" s="35" t="n">
        <v>400</v>
      </c>
      <c r="C138" s="35" t="n">
        <v>300.032917</v>
      </c>
      <c r="D138" s="37" t="n">
        <v>0.875</v>
      </c>
      <c r="E138" s="39" t="inlineStr">
        <is>
          <t>Corregible</t>
        </is>
      </c>
      <c r="F138" s="29" t="n">
        <v>8.910386927927071</v>
      </c>
      <c r="G138" s="35" t="n">
        <v>24.78880952369359</v>
      </c>
      <c r="H138" s="36" t="n">
        <v>2600</v>
      </c>
      <c r="I138" s="29" t="n">
        <v>7.5</v>
      </c>
      <c r="J138" s="16" t="inlineStr">
        <is>
          <t>no</t>
        </is>
      </c>
      <c r="K138" s="16" t="inlineStr">
        <is>
          <t>O2</t>
        </is>
      </c>
    </row>
    <row r="139">
      <c r="A139" s="16" t="inlineStr">
        <is>
          <t>KF-M05c-0128</t>
        </is>
      </c>
      <c r="B139" s="35" t="n">
        <v>405</v>
      </c>
      <c r="C139" s="35" t="n">
        <v>300.032917</v>
      </c>
      <c r="D139" s="37" t="n">
        <v>0.875</v>
      </c>
      <c r="E139" s="39" t="inlineStr">
        <is>
          <t>Corregible</t>
        </is>
      </c>
      <c r="F139" s="29" t="n">
        <v>10.208105210542</v>
      </c>
      <c r="G139" s="35" t="n">
        <v>34.61102392754908</v>
      </c>
      <c r="H139" s="36" t="n">
        <v>2600</v>
      </c>
      <c r="I139" s="29" t="n">
        <v>7.5</v>
      </c>
      <c r="J139" s="16" t="inlineStr">
        <is>
          <t>no</t>
        </is>
      </c>
      <c r="K139" s="16" t="inlineStr">
        <is>
          <t>O2</t>
        </is>
      </c>
    </row>
    <row r="140">
      <c r="A140" s="16" t="inlineStr">
        <is>
          <t>KF-M05c-0129</t>
        </is>
      </c>
      <c r="B140" s="35" t="n">
        <v>402.5</v>
      </c>
      <c r="C140" s="35" t="n">
        <v>300.032917</v>
      </c>
      <c r="D140" s="37" t="n">
        <v>0.875</v>
      </c>
      <c r="E140" s="39" t="inlineStr">
        <is>
          <t>Corregible</t>
        </is>
      </c>
      <c r="F140" s="29" t="n">
        <v>9.62909858136285</v>
      </c>
      <c r="G140" s="35" t="n">
        <v>29.7356117431819</v>
      </c>
      <c r="H140" s="36" t="n">
        <v>2600</v>
      </c>
      <c r="I140" s="29" t="n">
        <v>7.5</v>
      </c>
      <c r="J140" s="16" t="inlineStr">
        <is>
          <t>no</t>
        </is>
      </c>
      <c r="K140" s="16" t="inlineStr">
        <is>
          <t>O2</t>
        </is>
      </c>
    </row>
    <row r="141">
      <c r="A141" s="16" t="inlineStr">
        <is>
          <t>KF-M05c-0130</t>
        </is>
      </c>
      <c r="B141" s="35" t="n">
        <v>407.5</v>
      </c>
      <c r="C141" s="35" t="n">
        <v>300.032917</v>
      </c>
      <c r="D141" s="37" t="n">
        <v>0.875</v>
      </c>
      <c r="E141" s="39" t="inlineStr">
        <is>
          <t>Corregible</t>
        </is>
      </c>
      <c r="F141" s="29" t="n">
        <v>10.68480950202294</v>
      </c>
      <c r="G141" s="35" t="n">
        <v>39.436945976789</v>
      </c>
      <c r="H141" s="36" t="n">
        <v>2600</v>
      </c>
      <c r="I141" s="29" t="n">
        <v>7.5</v>
      </c>
      <c r="J141" s="16" t="inlineStr">
        <is>
          <t>no</t>
        </is>
      </c>
      <c r="K141" s="16" t="inlineStr">
        <is>
          <t>O2</t>
        </is>
      </c>
    </row>
    <row r="142">
      <c r="A142" s="16" t="inlineStr">
        <is>
          <t>KF-M05c-0131</t>
        </is>
      </c>
      <c r="B142" s="35" t="n">
        <v>410</v>
      </c>
      <c r="C142" s="35" t="n">
        <v>300.032917</v>
      </c>
      <c r="D142" s="37" t="n">
        <v>0.875</v>
      </c>
      <c r="E142" s="39" t="inlineStr">
        <is>
          <t>Corregible</t>
        </is>
      </c>
      <c r="F142" s="29" t="n">
        <v>11.08404683595824</v>
      </c>
      <c r="G142" s="35" t="n">
        <v>44.23405649817641</v>
      </c>
      <c r="H142" s="36" t="n">
        <v>2600</v>
      </c>
      <c r="I142" s="29" t="n">
        <v>7.5</v>
      </c>
      <c r="J142" s="16" t="inlineStr">
        <is>
          <t>no</t>
        </is>
      </c>
      <c r="K142" s="16" t="inlineStr">
        <is>
          <t>O2</t>
        </is>
      </c>
    </row>
    <row r="143">
      <c r="A143" s="16" t="inlineStr">
        <is>
          <t>KF-M05c-0132</t>
        </is>
      </c>
      <c r="B143" s="35" t="n">
        <v>390</v>
      </c>
      <c r="C143" s="35" t="n">
        <v>300.032917</v>
      </c>
      <c r="D143" s="37" t="n">
        <v>0.9</v>
      </c>
      <c r="E143" s="42" t="inlineStr">
        <is>
          <t>KALINA</t>
        </is>
      </c>
      <c r="F143" s="29" t="n">
        <v>2.50513099243128</v>
      </c>
      <c r="G143" s="35" t="n">
        <v>3.744850416839959</v>
      </c>
      <c r="H143" s="36" t="n">
        <v>2600</v>
      </c>
      <c r="I143" s="29" t="n">
        <v>7.5</v>
      </c>
      <c r="J143" s="16" t="inlineStr">
        <is>
          <t>no</t>
        </is>
      </c>
      <c r="K143" s="16" t="n"/>
    </row>
    <row r="144">
      <c r="A144" s="16" t="inlineStr">
        <is>
          <t>KF-M05c-0133</t>
        </is>
      </c>
      <c r="B144" s="35" t="n">
        <v>387.5</v>
      </c>
      <c r="C144" s="35" t="n">
        <v>300.032917</v>
      </c>
      <c r="D144" s="37" t="n">
        <v>0.9</v>
      </c>
      <c r="E144" s="40" t="inlineStr">
        <is>
          <t>Inviable</t>
        </is>
      </c>
      <c r="F144" s="29" t="n">
        <v>-1.729320529611</v>
      </c>
      <c r="G144" s="35" t="n">
        <v>-1.968098306121616</v>
      </c>
      <c r="H144" s="36" t="n">
        <v>2600</v>
      </c>
      <c r="I144" s="29" t="n">
        <v>7.5</v>
      </c>
      <c r="J144" s="16" t="inlineStr">
        <is>
          <t>no</t>
        </is>
      </c>
      <c r="K144" s="16" t="inlineStr">
        <is>
          <t>O3</t>
        </is>
      </c>
    </row>
    <row r="145">
      <c r="A145" s="16" t="inlineStr">
        <is>
          <t>KF-M05c-0134</t>
        </is>
      </c>
      <c r="B145" s="35" t="n">
        <v>385</v>
      </c>
      <c r="C145" s="35" t="n">
        <v>300.032917</v>
      </c>
      <c r="D145" s="37" t="n">
        <v>0.9</v>
      </c>
      <c r="E145" s="38" t="inlineStr">
        <is>
          <t>Falso convergido</t>
        </is>
      </c>
      <c r="F145" s="29" t="inlineStr">
        <is>
          <t>—</t>
        </is>
      </c>
      <c r="G145" s="35" t="inlineStr">
        <is>
          <t>—</t>
        </is>
      </c>
      <c r="H145" s="36" t="n">
        <v>2600</v>
      </c>
      <c r="I145" s="29" t="n">
        <v>7.5</v>
      </c>
      <c r="J145" s="16" t="inlineStr">
        <is>
          <t>no</t>
        </is>
      </c>
      <c r="K145" s="16" t="inlineStr">
        <is>
          <t>N2,O3,O5,C1,C3,C3</t>
        </is>
      </c>
    </row>
    <row r="146">
      <c r="A146" s="16" t="inlineStr">
        <is>
          <t>KF-M05c-0135</t>
        </is>
      </c>
      <c r="B146" s="35" t="n">
        <v>395</v>
      </c>
      <c r="C146" s="35" t="n">
        <v>300.032917</v>
      </c>
      <c r="D146" s="37" t="n">
        <v>0.9</v>
      </c>
      <c r="E146" s="39" t="inlineStr">
        <is>
          <t>Corregible</t>
        </is>
      </c>
      <c r="F146" s="29" t="n">
        <v>6.71762419483181</v>
      </c>
      <c r="G146" s="35" t="n">
        <v>14.56682777841254</v>
      </c>
      <c r="H146" s="36" t="n">
        <v>2600</v>
      </c>
      <c r="I146" s="29" t="n">
        <v>7.5</v>
      </c>
      <c r="J146" s="16" t="inlineStr">
        <is>
          <t>no</t>
        </is>
      </c>
      <c r="K146" s="16" t="inlineStr">
        <is>
          <t>O2</t>
        </is>
      </c>
    </row>
    <row r="147">
      <c r="A147" s="16" t="inlineStr">
        <is>
          <t>KF-M05c-0136</t>
        </is>
      </c>
      <c r="B147" s="35" t="n">
        <v>397.5</v>
      </c>
      <c r="C147" s="35" t="n">
        <v>300.032917</v>
      </c>
      <c r="D147" s="37" t="n">
        <v>0.9</v>
      </c>
      <c r="E147" s="39" t="inlineStr">
        <is>
          <t>Corregible</t>
        </is>
      </c>
      <c r="F147" s="29" t="n">
        <v>7.92796249264113</v>
      </c>
      <c r="G147" s="35" t="n">
        <v>19.74322714303093</v>
      </c>
      <c r="H147" s="36" t="n">
        <v>2600</v>
      </c>
      <c r="I147" s="29" t="n">
        <v>7.5</v>
      </c>
      <c r="J147" s="16" t="inlineStr">
        <is>
          <t>no</t>
        </is>
      </c>
      <c r="K147" s="16" t="inlineStr">
        <is>
          <t>O2</t>
        </is>
      </c>
    </row>
    <row r="148">
      <c r="A148" s="16" t="inlineStr">
        <is>
          <t>KF-M05c-0137</t>
        </is>
      </c>
      <c r="B148" s="35" t="n">
        <v>392.5</v>
      </c>
      <c r="C148" s="35" t="n">
        <v>300.032917</v>
      </c>
      <c r="D148" s="37" t="n">
        <v>0.9</v>
      </c>
      <c r="E148" s="42" t="inlineStr">
        <is>
          <t>KALINA</t>
        </is>
      </c>
      <c r="F148" s="29" t="n">
        <v>5.03069679744179</v>
      </c>
      <c r="G148" s="35" t="n">
        <v>9.243526126449924</v>
      </c>
      <c r="H148" s="36" t="n">
        <v>2600</v>
      </c>
      <c r="I148" s="29" t="n">
        <v>7.5</v>
      </c>
      <c r="J148" s="16" t="inlineStr">
        <is>
          <t>no</t>
        </is>
      </c>
      <c r="K148" s="16" t="n"/>
    </row>
    <row r="149">
      <c r="A149" s="16" t="inlineStr">
        <is>
          <t>KF-M05c-0138</t>
        </is>
      </c>
      <c r="B149" s="35" t="n">
        <v>400</v>
      </c>
      <c r="C149" s="35" t="n">
        <v>300.032917</v>
      </c>
      <c r="D149" s="37" t="n">
        <v>0.9</v>
      </c>
      <c r="E149" s="39" t="inlineStr">
        <is>
          <t>Corregible</t>
        </is>
      </c>
      <c r="F149" s="29" t="n">
        <v>8.841484218058419</v>
      </c>
      <c r="G149" s="35" t="n">
        <v>24.80149985170236</v>
      </c>
      <c r="H149" s="36" t="n">
        <v>2600</v>
      </c>
      <c r="I149" s="29" t="n">
        <v>7.5</v>
      </c>
      <c r="J149" s="16" t="inlineStr">
        <is>
          <t>no</t>
        </is>
      </c>
      <c r="K149" s="16" t="inlineStr">
        <is>
          <t>O2</t>
        </is>
      </c>
    </row>
    <row r="150">
      <c r="A150" s="16" t="inlineStr">
        <is>
          <t>KF-M05c-0139</t>
        </is>
      </c>
      <c r="B150" s="35" t="n">
        <v>402.5</v>
      </c>
      <c r="C150" s="35" t="n">
        <v>300.032917</v>
      </c>
      <c r="D150" s="37" t="n">
        <v>0.9</v>
      </c>
      <c r="E150" s="39" t="inlineStr">
        <is>
          <t>Corregible</t>
        </is>
      </c>
      <c r="F150" s="29" t="n">
        <v>9.55713650366355</v>
      </c>
      <c r="G150" s="35" t="n">
        <v>29.76782087944019</v>
      </c>
      <c r="H150" s="36" t="n">
        <v>2600</v>
      </c>
      <c r="I150" s="29" t="n">
        <v>7.5</v>
      </c>
      <c r="J150" s="16" t="inlineStr">
        <is>
          <t>no</t>
        </is>
      </c>
      <c r="K150" s="16" t="inlineStr">
        <is>
          <t>O2</t>
        </is>
      </c>
    </row>
    <row r="151">
      <c r="A151" s="16" t="inlineStr">
        <is>
          <t>KF-M05c-0140</t>
        </is>
      </c>
      <c r="B151" s="35" t="n">
        <v>405</v>
      </c>
      <c r="C151" s="35" t="n">
        <v>300.032917</v>
      </c>
      <c r="D151" s="37" t="n">
        <v>0.9</v>
      </c>
      <c r="E151" s="39" t="inlineStr">
        <is>
          <t>Corregible</t>
        </is>
      </c>
      <c r="F151" s="29" t="n">
        <v>10.13378009899356</v>
      </c>
      <c r="G151" s="35" t="n">
        <v>34.6658397539171</v>
      </c>
      <c r="H151" s="36" t="n">
        <v>2600</v>
      </c>
      <c r="I151" s="29" t="n">
        <v>7.5</v>
      </c>
      <c r="J151" s="16" t="inlineStr">
        <is>
          <t>no</t>
        </is>
      </c>
      <c r="K151" s="16" t="inlineStr">
        <is>
          <t>O2</t>
        </is>
      </c>
    </row>
    <row r="152">
      <c r="A152" s="16" t="inlineStr">
        <is>
          <t>KF-M05c-0141</t>
        </is>
      </c>
      <c r="B152" s="35" t="n">
        <v>407.5</v>
      </c>
      <c r="C152" s="35" t="n">
        <v>300.032917</v>
      </c>
      <c r="D152" s="37" t="n">
        <v>0.9</v>
      </c>
      <c r="E152" s="39" t="inlineStr">
        <is>
          <t>Corregible</t>
        </is>
      </c>
      <c r="F152" s="29" t="n">
        <v>10.60865951374593</v>
      </c>
      <c r="G152" s="35" t="n">
        <v>39.51749460812051</v>
      </c>
      <c r="H152" s="36" t="n">
        <v>2600</v>
      </c>
      <c r="I152" s="29" t="n">
        <v>7.5</v>
      </c>
      <c r="J152" s="16" t="inlineStr">
        <is>
          <t>no</t>
        </is>
      </c>
      <c r="K152" s="16" t="inlineStr">
        <is>
          <t>O2</t>
        </is>
      </c>
    </row>
    <row r="153">
      <c r="A153" s="16" t="inlineStr">
        <is>
          <t>KF-M05c-0142</t>
        </is>
      </c>
      <c r="B153" s="35" t="n">
        <v>410</v>
      </c>
      <c r="C153" s="35" t="n">
        <v>300.032917</v>
      </c>
      <c r="D153" s="37" t="n">
        <v>0.9</v>
      </c>
      <c r="E153" s="39" t="inlineStr">
        <is>
          <t>Corregible</t>
        </is>
      </c>
      <c r="F153" s="29" t="n">
        <v>11.00651104717289</v>
      </c>
      <c r="G153" s="35" t="n">
        <v>44.34356958702261</v>
      </c>
      <c r="H153" s="36" t="n">
        <v>2600</v>
      </c>
      <c r="I153" s="29" t="n">
        <v>7.5</v>
      </c>
      <c r="J153" s="16" t="inlineStr">
        <is>
          <t>no</t>
        </is>
      </c>
      <c r="K153" s="16" t="inlineStr">
        <is>
          <t>O2</t>
        </is>
      </c>
    </row>
    <row r="154">
      <c r="A154" s="16" t="inlineStr">
        <is>
          <t>KF-M05c-0143</t>
        </is>
      </c>
      <c r="B154" s="35" t="n">
        <v>387.5</v>
      </c>
      <c r="C154" s="35" t="n">
        <v>300.032917</v>
      </c>
      <c r="D154" s="37" t="n">
        <v>0.925</v>
      </c>
      <c r="E154" s="40" t="inlineStr">
        <is>
          <t>Inviable</t>
        </is>
      </c>
      <c r="F154" s="29" t="n">
        <v>-1.73295061259835</v>
      </c>
      <c r="G154" s="35" t="n">
        <v>-1.985195986767009</v>
      </c>
      <c r="H154" s="36" t="n">
        <v>2600</v>
      </c>
      <c r="I154" s="29" t="n">
        <v>7.5</v>
      </c>
      <c r="J154" s="16" t="inlineStr">
        <is>
          <t>no</t>
        </is>
      </c>
      <c r="K154" s="16" t="inlineStr">
        <is>
          <t>O3</t>
        </is>
      </c>
    </row>
    <row r="155">
      <c r="A155" s="16" t="inlineStr">
        <is>
          <t>KF-M05c-0144</t>
        </is>
      </c>
      <c r="B155" s="35" t="n">
        <v>385</v>
      </c>
      <c r="C155" s="35" t="n">
        <v>300.032917</v>
      </c>
      <c r="D155" s="37" t="n">
        <v>0.925</v>
      </c>
      <c r="E155" s="38" t="inlineStr">
        <is>
          <t>Falso convergido</t>
        </is>
      </c>
      <c r="F155" s="29" t="inlineStr">
        <is>
          <t>—</t>
        </is>
      </c>
      <c r="G155" s="35" t="inlineStr">
        <is>
          <t>—</t>
        </is>
      </c>
      <c r="H155" s="36" t="n">
        <v>2600</v>
      </c>
      <c r="I155" s="29" t="n">
        <v>7.5</v>
      </c>
      <c r="J155" s="16" t="inlineStr">
        <is>
          <t>no</t>
        </is>
      </c>
      <c r="K155" s="16" t="inlineStr">
        <is>
          <t>N2,O3,O5,C1,C3,C3</t>
        </is>
      </c>
    </row>
    <row r="156">
      <c r="A156" s="16" t="inlineStr">
        <is>
          <t>KF-M05c-0145</t>
        </is>
      </c>
      <c r="B156" s="35" t="n">
        <v>390</v>
      </c>
      <c r="C156" s="35" t="n">
        <v>300.032917</v>
      </c>
      <c r="D156" s="37" t="n">
        <v>0.925</v>
      </c>
      <c r="E156" s="42" t="inlineStr">
        <is>
          <t>KALINA</t>
        </is>
      </c>
      <c r="F156" s="29" t="n">
        <v>2.47276958810384</v>
      </c>
      <c r="G156" s="35" t="n">
        <v>3.721478139534681</v>
      </c>
      <c r="H156" s="36" t="n">
        <v>2600</v>
      </c>
      <c r="I156" s="29" t="n">
        <v>7.5</v>
      </c>
      <c r="J156" s="16" t="inlineStr">
        <is>
          <t>no</t>
        </is>
      </c>
      <c r="K156" s="16" t="n"/>
    </row>
    <row r="157">
      <c r="A157" s="16" t="inlineStr">
        <is>
          <t>KF-M05c-0146</t>
        </is>
      </c>
      <c r="B157" s="35" t="n">
        <v>392.5</v>
      </c>
      <c r="C157" s="35" t="n">
        <v>300.032917</v>
      </c>
      <c r="D157" s="37" t="n">
        <v>0.925</v>
      </c>
      <c r="E157" s="42" t="inlineStr">
        <is>
          <t>KALINA</t>
        </is>
      </c>
      <c r="F157" s="29" t="n">
        <v>4.97936822145177</v>
      </c>
      <c r="G157" s="35" t="n">
        <v>9.21343113669958</v>
      </c>
      <c r="H157" s="36" t="n">
        <v>2600</v>
      </c>
      <c r="I157" s="29" t="n">
        <v>7.5</v>
      </c>
      <c r="J157" s="16" t="inlineStr">
        <is>
          <t>no</t>
        </is>
      </c>
      <c r="K157" s="16" t="n"/>
    </row>
    <row r="158">
      <c r="A158" s="16" t="inlineStr">
        <is>
          <t>KF-M05c-0147</t>
        </is>
      </c>
      <c r="B158" s="35" t="n">
        <v>400</v>
      </c>
      <c r="C158" s="35" t="n">
        <v>300.032917</v>
      </c>
      <c r="D158" s="37" t="n">
        <v>0.925</v>
      </c>
      <c r="E158" s="39" t="inlineStr">
        <is>
          <t>Corregible</t>
        </is>
      </c>
      <c r="F158" s="29" t="n">
        <v>8.761314683736229</v>
      </c>
      <c r="G158" s="35" t="n">
        <v>24.7703499573587</v>
      </c>
      <c r="H158" s="36" t="n">
        <v>2600</v>
      </c>
      <c r="I158" s="29" t="n">
        <v>7.5</v>
      </c>
      <c r="J158" s="16" t="inlineStr">
        <is>
          <t>no</t>
        </is>
      </c>
      <c r="K158" s="16" t="inlineStr">
        <is>
          <t>O2</t>
        </is>
      </c>
    </row>
    <row r="159">
      <c r="A159" s="16" t="inlineStr">
        <is>
          <t>KF-M05c-0148</t>
        </is>
      </c>
      <c r="B159" s="35" t="n">
        <v>395</v>
      </c>
      <c r="C159" s="35" t="n">
        <v>300.032917</v>
      </c>
      <c r="D159" s="37" t="n">
        <v>0.925</v>
      </c>
      <c r="E159" s="42" t="inlineStr">
        <is>
          <t>KALINA</t>
        </is>
      </c>
      <c r="F159" s="29" t="n">
        <v>6.65232534043693</v>
      </c>
      <c r="G159" s="35" t="n">
        <v>14.53053450803232</v>
      </c>
      <c r="H159" s="36" t="n">
        <v>2600</v>
      </c>
      <c r="I159" s="29" t="n">
        <v>7.5</v>
      </c>
      <c r="J159" s="16" t="inlineStr">
        <is>
          <t>no</t>
        </is>
      </c>
      <c r="K159" s="16" t="n"/>
    </row>
    <row r="160">
      <c r="A160" s="16" t="inlineStr">
        <is>
          <t>KF-M05c-0149</t>
        </is>
      </c>
      <c r="B160" s="35" t="n">
        <v>397.5</v>
      </c>
      <c r="C160" s="35" t="n">
        <v>300.032917</v>
      </c>
      <c r="D160" s="37" t="n">
        <v>0.925</v>
      </c>
      <c r="E160" s="42" t="inlineStr">
        <is>
          <t>KALINA</t>
        </is>
      </c>
      <c r="F160" s="29" t="n">
        <v>7.85359576768476</v>
      </c>
      <c r="G160" s="35" t="n">
        <v>19.70645040516087</v>
      </c>
      <c r="H160" s="36" t="n">
        <v>2600</v>
      </c>
      <c r="I160" s="29" t="n">
        <v>7.5</v>
      </c>
      <c r="J160" s="16" t="inlineStr">
        <is>
          <t>no</t>
        </is>
      </c>
      <c r="K160" s="16" t="n"/>
    </row>
    <row r="161">
      <c r="A161" s="16" t="inlineStr">
        <is>
          <t>KF-M05c-0150</t>
        </is>
      </c>
      <c r="B161" s="35" t="n">
        <v>402.5</v>
      </c>
      <c r="C161" s="35" t="n">
        <v>300.032917</v>
      </c>
      <c r="D161" s="37" t="n">
        <v>0.925</v>
      </c>
      <c r="E161" s="39" t="inlineStr">
        <is>
          <t>Corregible</t>
        </is>
      </c>
      <c r="F161" s="29" t="n">
        <v>9.472789993629711</v>
      </c>
      <c r="G161" s="35" t="n">
        <v>29.74635977964905</v>
      </c>
      <c r="H161" s="36" t="n">
        <v>2600</v>
      </c>
      <c r="I161" s="29" t="n">
        <v>7.5</v>
      </c>
      <c r="J161" s="16" t="inlineStr">
        <is>
          <t>no</t>
        </is>
      </c>
      <c r="K161" s="16" t="inlineStr">
        <is>
          <t>O2</t>
        </is>
      </c>
    </row>
    <row r="162">
      <c r="A162" s="16" t="inlineStr">
        <is>
          <t>KF-M05c-0151</t>
        </is>
      </c>
      <c r="B162" s="35" t="n">
        <v>405</v>
      </c>
      <c r="C162" s="35" t="n">
        <v>300.032917</v>
      </c>
      <c r="D162" s="37" t="n">
        <v>0.925</v>
      </c>
      <c r="E162" s="39" t="inlineStr">
        <is>
          <t>Corregible</t>
        </is>
      </c>
      <c r="F162" s="29" t="n">
        <v>10.04594616129781</v>
      </c>
      <c r="G162" s="35" t="n">
        <v>34.6563472373629</v>
      </c>
      <c r="H162" s="36" t="n">
        <v>2600</v>
      </c>
      <c r="I162" s="29" t="n">
        <v>7.5</v>
      </c>
      <c r="J162" s="16" t="inlineStr">
        <is>
          <t>no</t>
        </is>
      </c>
      <c r="K162" s="16" t="inlineStr">
        <is>
          <t>O2</t>
        </is>
      </c>
    </row>
    <row r="163">
      <c r="A163" s="16" t="inlineStr">
        <is>
          <t>KF-M05c-0152</t>
        </is>
      </c>
      <c r="B163" s="35" t="n">
        <v>407.5</v>
      </c>
      <c r="C163" s="35" t="n">
        <v>300.032917</v>
      </c>
      <c r="D163" s="37" t="n">
        <v>0.925</v>
      </c>
      <c r="E163" s="39" t="inlineStr">
        <is>
          <t>Corregible</t>
        </is>
      </c>
      <c r="F163" s="29" t="n">
        <v>10.51787054707193</v>
      </c>
      <c r="G163" s="35" t="n">
        <v>39.5222695169974</v>
      </c>
      <c r="H163" s="36" t="n">
        <v>2600</v>
      </c>
      <c r="I163" s="29" t="n">
        <v>7.5</v>
      </c>
      <c r="J163" s="16" t="inlineStr">
        <is>
          <t>no</t>
        </is>
      </c>
      <c r="K163" s="16" t="inlineStr">
        <is>
          <t>O2</t>
        </is>
      </c>
    </row>
    <row r="164">
      <c r="A164" s="16" t="inlineStr">
        <is>
          <t>KF-M05c-0153</t>
        </is>
      </c>
      <c r="B164" s="35" t="n">
        <v>410</v>
      </c>
      <c r="C164" s="35" t="n">
        <v>300.032917</v>
      </c>
      <c r="D164" s="37" t="n">
        <v>0.925</v>
      </c>
      <c r="E164" s="39" t="inlineStr">
        <is>
          <t>Corregible</t>
        </is>
      </c>
      <c r="F164" s="29" t="n">
        <v>10.91319668505189</v>
      </c>
      <c r="G164" s="35" t="n">
        <v>44.36497406671455</v>
      </c>
      <c r="H164" s="36" t="n">
        <v>2600</v>
      </c>
      <c r="I164" s="29" t="n">
        <v>7.5</v>
      </c>
      <c r="J164" s="16" t="inlineStr">
        <is>
          <t>no</t>
        </is>
      </c>
      <c r="K164" s="16" t="inlineStr">
        <is>
          <t>O2</t>
        </is>
      </c>
    </row>
    <row r="165">
      <c r="A165" s="16" t="inlineStr">
        <is>
          <t>KF-M05c-0154</t>
        </is>
      </c>
      <c r="B165" s="35" t="n">
        <v>387.5</v>
      </c>
      <c r="C165" s="35" t="n">
        <v>300.032917</v>
      </c>
      <c r="D165" s="37" t="n">
        <v>0.95</v>
      </c>
      <c r="E165" s="40" t="inlineStr">
        <is>
          <t>Inviable</t>
        </is>
      </c>
      <c r="F165" s="29" t="n">
        <v>-1.73640133275227</v>
      </c>
      <c r="G165" s="35" t="n">
        <v>-2.001621448853644</v>
      </c>
      <c r="H165" s="36" t="n">
        <v>2600</v>
      </c>
      <c r="I165" s="29" t="n">
        <v>7.5</v>
      </c>
      <c r="J165" s="16" t="inlineStr">
        <is>
          <t>no</t>
        </is>
      </c>
      <c r="K165" s="16" t="inlineStr">
        <is>
          <t>O3</t>
        </is>
      </c>
    </row>
    <row r="166">
      <c r="A166" s="16" t="inlineStr">
        <is>
          <t>KF-M05c-0155</t>
        </is>
      </c>
      <c r="B166" s="35" t="n">
        <v>390</v>
      </c>
      <c r="C166" s="35" t="n">
        <v>300.032917</v>
      </c>
      <c r="D166" s="37" t="n">
        <v>0.95</v>
      </c>
      <c r="E166" s="42" t="inlineStr">
        <is>
          <t>KALINA</t>
        </is>
      </c>
      <c r="F166" s="29" t="n">
        <v>2.4420791897284</v>
      </c>
      <c r="G166" s="35" t="n">
        <v>3.699010057356048</v>
      </c>
      <c r="H166" s="36" t="n">
        <v>2600</v>
      </c>
      <c r="I166" s="29" t="n">
        <v>7.5</v>
      </c>
      <c r="J166" s="16" t="inlineStr">
        <is>
          <t>no</t>
        </is>
      </c>
      <c r="K166" s="16" t="n"/>
    </row>
    <row r="167">
      <c r="A167" s="16" t="inlineStr">
        <is>
          <t>KF-M05c-0156</t>
        </is>
      </c>
      <c r="B167" s="35" t="n">
        <v>385</v>
      </c>
      <c r="C167" s="35" t="n">
        <v>300.032917</v>
      </c>
      <c r="D167" s="37" t="n">
        <v>0.95</v>
      </c>
      <c r="E167" s="38" t="inlineStr">
        <is>
          <t>Falso convergido</t>
        </is>
      </c>
      <c r="F167" s="29" t="inlineStr">
        <is>
          <t>—</t>
        </is>
      </c>
      <c r="G167" s="35" t="inlineStr">
        <is>
          <t>—</t>
        </is>
      </c>
      <c r="H167" s="36" t="n">
        <v>2600</v>
      </c>
      <c r="I167" s="29" t="n">
        <v>7.5</v>
      </c>
      <c r="J167" s="16" t="inlineStr">
        <is>
          <t>no</t>
        </is>
      </c>
      <c r="K167" s="16" t="inlineStr">
        <is>
          <t>N2,O3,O5,C1,C3,C3</t>
        </is>
      </c>
    </row>
    <row r="168">
      <c r="A168" s="16" t="inlineStr">
        <is>
          <t>KF-M05c-0157</t>
        </is>
      </c>
      <c r="B168" s="35" t="n">
        <v>392.5</v>
      </c>
      <c r="C168" s="35" t="n">
        <v>300.032917</v>
      </c>
      <c r="D168" s="37" t="n">
        <v>0.95</v>
      </c>
      <c r="E168" s="42" t="inlineStr">
        <is>
          <t>KALINA</t>
        </is>
      </c>
      <c r="F168" s="29" t="n">
        <v>4.93071799283961</v>
      </c>
      <c r="G168" s="35" t="n">
        <v>9.1845009038874</v>
      </c>
      <c r="H168" s="36" t="n">
        <v>2600</v>
      </c>
      <c r="I168" s="29" t="n">
        <v>7.5</v>
      </c>
      <c r="J168" s="16" t="inlineStr">
        <is>
          <t>no</t>
        </is>
      </c>
      <c r="K168" s="16" t="n"/>
    </row>
    <row r="169">
      <c r="A169" s="16" t="inlineStr">
        <is>
          <t>KF-M05c-0158</t>
        </is>
      </c>
      <c r="B169" s="35" t="n">
        <v>395</v>
      </c>
      <c r="C169" s="35" t="n">
        <v>300.032917</v>
      </c>
      <c r="D169" s="37" t="n">
        <v>0.95</v>
      </c>
      <c r="E169" s="42" t="inlineStr">
        <is>
          <t>KALINA</t>
        </is>
      </c>
      <c r="F169" s="29" t="n">
        <v>6.590047575921409</v>
      </c>
      <c r="G169" s="35" t="n">
        <v>14.49473499955584</v>
      </c>
      <c r="H169" s="36" t="n">
        <v>2600</v>
      </c>
      <c r="I169" s="29" t="n">
        <v>7.5</v>
      </c>
      <c r="J169" s="16" t="inlineStr">
        <is>
          <t>no</t>
        </is>
      </c>
      <c r="K169" s="16" t="n"/>
    </row>
    <row r="170">
      <c r="A170" s="16" t="inlineStr">
        <is>
          <t>KF-M05c-0159</t>
        </is>
      </c>
      <c r="B170" s="35" t="n">
        <v>397.5</v>
      </c>
      <c r="C170" s="35" t="n">
        <v>300.032917</v>
      </c>
      <c r="D170" s="37" t="n">
        <v>0.95</v>
      </c>
      <c r="E170" s="42" t="inlineStr">
        <is>
          <t>KALINA</t>
        </is>
      </c>
      <c r="F170" s="29" t="n">
        <v>7.78017930624588</v>
      </c>
      <c r="G170" s="35" t="n">
        <v>19.66344790150421</v>
      </c>
      <c r="H170" s="36" t="n">
        <v>2600</v>
      </c>
      <c r="I170" s="29" t="n">
        <v>7.5</v>
      </c>
      <c r="J170" s="16" t="inlineStr">
        <is>
          <t>no</t>
        </is>
      </c>
      <c r="K170" s="16" t="n"/>
    </row>
    <row r="171">
      <c r="A171" s="16" t="inlineStr">
        <is>
          <t>KF-M05c-0160</t>
        </is>
      </c>
      <c r="B171" s="35" t="n">
        <v>400</v>
      </c>
      <c r="C171" s="35" t="n">
        <v>300.032917</v>
      </c>
      <c r="D171" s="37" t="n">
        <v>0.95</v>
      </c>
      <c r="E171" s="42" t="inlineStr">
        <is>
          <t>KALINA</t>
        </is>
      </c>
      <c r="F171" s="29" t="n">
        <v>8.678328382407271</v>
      </c>
      <c r="G171" s="35" t="n">
        <v>24.71982148139507</v>
      </c>
      <c r="H171" s="36" t="n">
        <v>2600</v>
      </c>
      <c r="I171" s="29" t="n">
        <v>7.5</v>
      </c>
      <c r="J171" s="16" t="inlineStr">
        <is>
          <t>no</t>
        </is>
      </c>
      <c r="K171" s="16" t="n"/>
    </row>
    <row r="172">
      <c r="A172" s="16" t="inlineStr">
        <is>
          <t>KF-M05c-0161</t>
        </is>
      </c>
      <c r="B172" s="35" t="n">
        <v>402.5</v>
      </c>
      <c r="C172" s="35" t="n">
        <v>300.032917</v>
      </c>
      <c r="D172" s="37" t="n">
        <v>0.95</v>
      </c>
      <c r="E172" s="42" t="inlineStr">
        <is>
          <t>KALINA</t>
        </is>
      </c>
      <c r="F172" s="29" t="n">
        <v>9.381829068196421</v>
      </c>
      <c r="G172" s="35" t="n">
        <v>29.68971006541539</v>
      </c>
      <c r="H172" s="36" t="n">
        <v>2600</v>
      </c>
      <c r="I172" s="29" t="n">
        <v>7.5</v>
      </c>
      <c r="J172" s="16" t="inlineStr">
        <is>
          <t>no</t>
        </is>
      </c>
      <c r="K172" s="16" t="n"/>
    </row>
    <row r="173">
      <c r="A173" s="16" t="inlineStr">
        <is>
          <t>KF-M05c-0162</t>
        </is>
      </c>
      <c r="B173" s="35" t="n">
        <v>405</v>
      </c>
      <c r="C173" s="35" t="n">
        <v>300.032917</v>
      </c>
      <c r="D173" s="37" t="n">
        <v>0.95</v>
      </c>
      <c r="E173" s="42" t="inlineStr">
        <is>
          <t>KALINA</t>
        </is>
      </c>
      <c r="F173" s="29" t="n">
        <v>9.948632653544861</v>
      </c>
      <c r="G173" s="35" t="n">
        <v>34.59662588089954</v>
      </c>
      <c r="H173" s="36" t="n">
        <v>2600</v>
      </c>
      <c r="I173" s="29" t="n">
        <v>7.5</v>
      </c>
      <c r="J173" s="16" t="inlineStr">
        <is>
          <t>no</t>
        </is>
      </c>
      <c r="K173" s="16" t="n"/>
    </row>
    <row r="174">
      <c r="A174" s="16" t="inlineStr">
        <is>
          <t>KF-M05c-0163</t>
        </is>
      </c>
      <c r="B174" s="35" t="n">
        <v>407.5</v>
      </c>
      <c r="C174" s="35" t="n">
        <v>300.032917</v>
      </c>
      <c r="D174" s="37" t="n">
        <v>0.95</v>
      </c>
      <c r="E174" s="42" t="inlineStr">
        <is>
          <t>KALINA</t>
        </is>
      </c>
      <c r="F174" s="29" t="n">
        <v>10.41540869428664</v>
      </c>
      <c r="G174" s="35" t="n">
        <v>39.46245238457458</v>
      </c>
      <c r="H174" s="36" t="n">
        <v>2600</v>
      </c>
      <c r="I174" s="29" t="n">
        <v>7.5</v>
      </c>
      <c r="J174" s="16" t="inlineStr">
        <is>
          <t>no</t>
        </is>
      </c>
      <c r="K174" s="16" t="n"/>
    </row>
    <row r="175">
      <c r="A175" s="16" t="inlineStr">
        <is>
          <t>KF-M05c-0164</t>
        </is>
      </c>
      <c r="B175" s="35" t="n">
        <v>410</v>
      </c>
      <c r="C175" s="35" t="n">
        <v>300.032917</v>
      </c>
      <c r="D175" s="37" t="n">
        <v>0.95</v>
      </c>
      <c r="E175" s="42" t="inlineStr">
        <is>
          <t>KALINA</t>
        </is>
      </c>
      <c r="F175" s="29" t="n">
        <v>10.80651724015787</v>
      </c>
      <c r="G175" s="35" t="n">
        <v>44.30802720897731</v>
      </c>
      <c r="H175" s="36" t="n">
        <v>2600</v>
      </c>
      <c r="I175" s="29" t="n">
        <v>7.5</v>
      </c>
      <c r="J175" s="16" t="inlineStr">
        <is>
          <t>no</t>
        </is>
      </c>
      <c r="K175" s="16" t="n"/>
    </row>
  </sheetData>
  <pageMargins left="0.75" right="0.75" top="1" bottom="1" header="0.5" footer="0.5"/>
  <drawing xmlns:r="http://schemas.openxmlformats.org/officeDocument/2006/relationships" r:id="rId1"/>
</worksheet>
</file>

<file path=xl/worksheets/sheet64.xml><?xml version="1.0" encoding="utf-8"?>
<worksheet xmlns="http://schemas.openxmlformats.org/spreadsheetml/2006/main">
  <sheetPr>
    <outlinePr summaryBelow="1" summaryRight="1"/>
    <pageSetUpPr/>
  </sheetPr>
  <dimension ref="A1:G289"/>
  <sheetViews>
    <sheetView workbookViewId="0">
      <selection activeCell="A1" sqref="A1"/>
    </sheetView>
  </sheetViews>
  <sheetFormatPr baseColWidth="8" defaultRowHeight="15"/>
  <cols>
    <col width="48" customWidth="1" min="1" max="1"/>
    <col width="48" customWidth="1" min="2" max="2"/>
    <col width="10" customWidth="1" min="3" max="3"/>
    <col width="15" customWidth="1" min="4" max="4"/>
    <col width="11" customWidth="1" min="5" max="5"/>
    <col width="21" customWidth="1" min="6" max="6"/>
    <col width="10" customWidth="1" min="7" max="7"/>
  </cols>
  <sheetData>
    <row r="1">
      <c r="A1" s="19" t="inlineStr">
        <is>
          <t>Tabla 4.3-1 · Condiciones: qué quedó fijo y qué se barrió</t>
        </is>
      </c>
    </row>
    <row r="2">
      <c r="A2" s="20" t="inlineStr">
        <is>
          <t>Estudio 4.3 · Escalera de conservación · Partes: 4.3 T_fuente, 4.3 eficiencias, 4.3 P_alta, 4.3 P_baja, 4.3 T_sumidero, 4.3 x_b, 4.3 x_b+T_fuente, 4.3 x_b+eficiencias, 4.3 x_b+P_alta, 4.3 x_b+P_baja, 4.3 x_b+T_sumidero, 4.3 x_b+P_alta+T_fuente, 4.3 x_b+P_alta+eficiencias, 4.3 x_b+P_alta+P_baja, 4.3 x_b+P_alta+T_sumidero, 4.3 x_b+P_alta+eficiencias+T_fuente, 4.3 x_b+P_alta+eficiencias+P_baja, 4.3 x_b+P_alta+eficiencias+T_sumidero, 6.2e, 6.1d</t>
        </is>
      </c>
    </row>
    <row r="3">
      <c r="A3" s="20" t="inlineStr">
        <is>
          <t>Punto base: PP parcial según el conjunto de datos conservado</t>
        </is>
      </c>
    </row>
    <row r="4">
      <c r="A4" s="41" t="inlineStr">
        <is>
          <t>Parte 4.3 T_fuente: Datos fijos: T_fuente = 623.15 K; m_b = 1 kg/s; motor de propiedades = teqp.</t>
        </is>
      </c>
    </row>
    <row r="5">
      <c r="A5" s="41" t="inlineStr">
        <is>
          <t>Parte 4.3 eficiencias: Datos fijos: m_b = 1 kg/s; η_t = 0.85; η_p = 0.75; ε_HRVG = 0.85; ε_reg = 0.75; ε_cond = 0.8; motor de propiedades = teqp.</t>
        </is>
      </c>
    </row>
    <row r="6">
      <c r="A6" s="41" t="inlineStr">
        <is>
          <t>Parte 4.3 P_alta: Datos fijos: P_alta = 3000 kPa; m_b = 1 kg/s; motor de propiedades = teqp.</t>
        </is>
      </c>
    </row>
    <row r="7">
      <c r="A7" s="41" t="inlineStr">
        <is>
          <t>Parte 4.3 P_baja: Datos fijos: P_baja = 400 kPa; m_b = 1 kg/s; motor de propiedades = teqp.</t>
        </is>
      </c>
    </row>
    <row r="8">
      <c r="A8" s="41" t="inlineStr">
        <is>
          <t>Parte 4.3 T_sumidero: Datos fijos: T_sumidero = 300.03 K; m_b = 1 kg/s; piso de O2 = 300.03 K; motor de propiedades = teqp.</t>
        </is>
      </c>
    </row>
    <row r="9">
      <c r="A9" s="41" t="inlineStr">
        <is>
          <t>Parte 4.3 x_b: Datos fijos: x_b = 0.5; m_b = 1 kg/s; motor de propiedades = teqp.</t>
        </is>
      </c>
    </row>
    <row r="10">
      <c r="A10" s="41" t="inlineStr">
        <is>
          <t>Parte 4.3 x_b+T_fuente: Datos fijos: T_fuente = 623.15 K; x_b = 0.5; m_b = 1 kg/s; motor de propiedades = teqp.</t>
        </is>
      </c>
    </row>
    <row r="11">
      <c r="A11" s="41" t="inlineStr">
        <is>
          <t>Parte 4.3 x_b+eficiencias: Datos fijos: x_b = 0.5; m_b = 1 kg/s; η_t = 0.85; η_p = 0.75; ε_HRVG = 0.85; ε_reg = 0.75; ε_cond = 0.8; motor de propiedades = teqp.</t>
        </is>
      </c>
    </row>
    <row r="12">
      <c r="A12" s="41" t="inlineStr">
        <is>
          <t>Parte 4.3 x_b+P_alta: Datos fijos: P_alta = 3000 kPa; x_b = 0.5; m_b = 1 kg/s; motor de propiedades = teqp.</t>
        </is>
      </c>
    </row>
    <row r="13">
      <c r="A13" s="41" t="inlineStr">
        <is>
          <t>Parte 4.3 x_b+P_baja: Datos fijos: P_baja = 400 kPa; x_b = 0.5; m_b = 1 kg/s; motor de propiedades = teqp.</t>
        </is>
      </c>
    </row>
    <row r="14">
      <c r="A14" s="41" t="inlineStr">
        <is>
          <t>Parte 4.3 x_b+T_sumidero: Datos fijos: T_sumidero = 300.03 K; x_b = 0.5; m_b = 1 kg/s; piso de O2 = 300.03 K; motor de propiedades = teqp.</t>
        </is>
      </c>
    </row>
    <row r="15">
      <c r="A15" s="41" t="inlineStr">
        <is>
          <t>Parte 4.3 x_b+P_alta+T_fuente: Datos fijos: T_fuente = 623.15 K; P_alta = 3000 kPa; x_b = 0.5; m_b = 1 kg/s; motor de propiedades = teqp.</t>
        </is>
      </c>
    </row>
    <row r="16">
      <c r="A16" s="41" t="inlineStr">
        <is>
          <t>Parte 4.3 x_b+P_alta+eficiencias: Datos fijos: P_alta = 3000 kPa; x_b = 0.5; m_b = 1 kg/s; η_t = 0.85; η_p = 0.75; ε_HRVG = 0.85; ε_reg = 0.75; ε_cond = 0.8; motor de propiedades = teqp.</t>
        </is>
      </c>
    </row>
    <row r="17">
      <c r="A17" s="41" t="inlineStr">
        <is>
          <t>Parte 4.3 x_b+P_alta+P_baja: Datos fijos: P_alta = 3000 kPa; P_baja = 400 kPa; x_b = 0.5; m_b = 1 kg/s; motor de propiedades = teqp.</t>
        </is>
      </c>
    </row>
    <row r="18">
      <c r="A18" s="41" t="inlineStr">
        <is>
          <t>Parte 4.3 x_b+P_alta+T_sumidero: Datos fijos: T_sumidero = 300.03 K; P_alta = 3000 kPa; x_b = 0.5; m_b = 1 kg/s; piso de O2 = 300.03 K; motor de propiedades = teqp.</t>
        </is>
      </c>
    </row>
    <row r="19">
      <c r="A19" s="41" t="inlineStr">
        <is>
          <t>Parte 4.3 x_b+P_alta+eficiencias+T_fuente: Datos fijos: T_fuente = 623.15 K; P_alta = 3000 kPa; x_b = 0.5; m_b = 1 kg/s; η_t = 0.85; η_p = 0.75; ε_HRVG = 0.85; ε_reg = 0.75; ε_cond = 0.8; motor de propiedades = teqp.</t>
        </is>
      </c>
    </row>
    <row r="20">
      <c r="A20" s="41" t="inlineStr">
        <is>
          <t>Parte 4.3 x_b+P_alta+eficiencias+P_baja: Datos fijos: P_alta = 3000 kPa; P_baja = 400 kPa; x_b = 0.5; m_b = 1 kg/s; η_t = 0.85; η_p = 0.75; ε_HRVG = 0.85; ε_reg = 0.75; ε_cond = 0.8; motor de propiedades = teqp.</t>
        </is>
      </c>
    </row>
    <row r="21">
      <c r="A21" s="41" t="inlineStr">
        <is>
          <t>Parte 4.3 x_b+P_alta+eficiencias+T_sumidero: Datos fijos: T_sumidero = 300.03 K; P_alta = 3000 kPa; x_b = 0.5; m_b = 1 kg/s; η_t = 0.85; η_p = 0.75; ε_HRVG = 0.85; ε_reg = 0.75; ε_cond = 0.8; piso de O2 = 300.03 K; motor de propiedades = teqp.</t>
        </is>
      </c>
    </row>
    <row r="22">
      <c r="A22" s="41" t="inlineStr">
        <is>
          <t>Parte 6.2e: Datos fijos: T_fuente = 394.15 K; T_sumidero = 278.15 K; P_alta = 3300 kPa; x_b = 0.82; m_b = 1 kg/s; η_t = 0.9; η_p = 0.8; ε_HRVG = 0.85; ε_reg = 0.75; ε_cond = 0.95; motor de propiedades = teqp.</t>
        </is>
      </c>
    </row>
    <row r="23">
      <c r="A23" s="41" t="inlineStr">
        <is>
          <t>Parte 6.1: Datos fijos: m_b = 1 kg/s; motor de propiedades = real.</t>
        </is>
      </c>
    </row>
    <row r="24">
      <c r="A24" s="21" t="inlineStr">
        <is>
          <t>Datos barridos en cada parte: las variables que no están fijas, dentro de la caja del estudio (rangos exactos en su tabla de condiciones).</t>
        </is>
      </c>
    </row>
    <row r="25">
      <c r="A25" s="20" t="inlineStr">
        <is>
          <t>Fuente: analisis_final/00_inventario/condiciones_por_subcaso.csv</t>
        </is>
      </c>
    </row>
    <row r="27">
      <c r="A27" s="22" t="inlineStr">
        <is>
          <t>Parte</t>
        </is>
      </c>
      <c r="B27" s="22" t="inlineStr">
        <is>
          <t>Variable</t>
        </is>
      </c>
      <c r="C27" s="22" t="inlineStr">
        <is>
          <t>Estado</t>
        </is>
      </c>
      <c r="D27" s="22" t="inlineStr">
        <is>
          <t>Valor o rango</t>
        </is>
      </c>
      <c r="E27" s="22" t="inlineStr">
        <is>
          <t>n valores</t>
        </is>
      </c>
      <c r="F27" s="22" t="inlineStr">
        <is>
          <t>¿Igual al profesor?</t>
        </is>
      </c>
      <c r="G27" s="22" t="inlineStr">
        <is>
          <t>Unidad</t>
        </is>
      </c>
    </row>
    <row r="28">
      <c r="A28" s="16" t="inlineStr">
        <is>
          <t>4.3 T_fuente · ronda 0</t>
        </is>
      </c>
      <c r="B28" s="16" t="inlineStr">
        <is>
          <t>Temperatura de la fuente, T_fuente [K]</t>
        </is>
      </c>
      <c r="C28" s="16" t="inlineStr">
        <is>
          <t>Fija</t>
        </is>
      </c>
      <c r="D28" s="16" t="inlineStr">
        <is>
          <t>623.15</t>
        </is>
      </c>
      <c r="E28" s="16" t="n"/>
      <c r="F28" s="16" t="inlineStr">
        <is>
          <t>sí</t>
        </is>
      </c>
      <c r="G28" s="16" t="inlineStr">
        <is>
          <t>K</t>
        </is>
      </c>
    </row>
    <row r="29">
      <c r="A29" s="16" t="inlineStr">
        <is>
          <t>4.3 T_fuente · ronda 0</t>
        </is>
      </c>
      <c r="B29" s="16" t="inlineStr">
        <is>
          <t>Temperatura del sumidero, T_sumidero [K]</t>
        </is>
      </c>
      <c r="C29" s="16" t="inlineStr">
        <is>
          <t>Barrida</t>
        </is>
      </c>
      <c r="D29" s="16" t="inlineStr">
        <is>
          <t>278.3 – 303.4</t>
        </is>
      </c>
      <c r="E29" s="16" t="n">
        <v>100</v>
      </c>
      <c r="F29" s="16" t="n"/>
      <c r="G29" s="16" t="inlineStr">
        <is>
          <t>K</t>
        </is>
      </c>
    </row>
    <row r="30">
      <c r="A30" s="16" t="inlineStr">
        <is>
          <t>4.3 T_fuente · ronda 0</t>
        </is>
      </c>
      <c r="B30" s="16" t="inlineStr">
        <is>
          <t>Presión de alta, P_alta [kPa]</t>
        </is>
      </c>
      <c r="C30" s="16" t="inlineStr">
        <is>
          <t>Barrida</t>
        </is>
      </c>
      <c r="D30" s="16" t="inlineStr">
        <is>
          <t>2029 – 4975</t>
        </is>
      </c>
      <c r="E30" s="16" t="n">
        <v>100</v>
      </c>
      <c r="F30" s="16" t="n"/>
      <c r="G30" s="16" t="inlineStr">
        <is>
          <t>kPa</t>
        </is>
      </c>
    </row>
    <row r="31">
      <c r="A31" s="16" t="inlineStr">
        <is>
          <t>4.3 T_fuente · ronda 0</t>
        </is>
      </c>
      <c r="B31" s="16" t="inlineStr">
        <is>
          <t>Presión de baja, P_baja [kPa]</t>
        </is>
      </c>
      <c r="C31" s="16" t="inlineStr">
        <is>
          <t>Barrida</t>
        </is>
      </c>
      <c r="D31" s="16" t="inlineStr">
        <is>
          <t>310.8 – 1987</t>
        </is>
      </c>
      <c r="E31" s="16" t="n">
        <v>100</v>
      </c>
      <c r="F31" s="16" t="n"/>
      <c r="G31" s="16" t="inlineStr">
        <is>
          <t>kPa</t>
        </is>
      </c>
    </row>
    <row r="32">
      <c r="A32" s="16" t="inlineStr">
        <is>
          <t>4.3 T_fuente · ronda 0</t>
        </is>
      </c>
      <c r="B32" s="16" t="inlineStr">
        <is>
          <t>Fracción de amoníaco de la mezcla base, x_b [–]</t>
        </is>
      </c>
      <c r="C32" s="16" t="inlineStr">
        <is>
          <t>Barrida</t>
        </is>
      </c>
      <c r="D32" s="16" t="inlineStr">
        <is>
          <t>0.503 – 0.850</t>
        </is>
      </c>
      <c r="E32" s="16" t="n">
        <v>100</v>
      </c>
      <c r="F32" s="16" t="n"/>
      <c r="G32" s="16" t="inlineStr">
        <is>
          <t>–</t>
        </is>
      </c>
    </row>
    <row r="33">
      <c r="A33" s="16" t="inlineStr">
        <is>
          <t>4.3 T_fuente · ronda 0</t>
        </is>
      </c>
      <c r="B33" s="16" t="inlineStr">
        <is>
          <t>Flujo másico base, m_b [kg/s]</t>
        </is>
      </c>
      <c r="C33" s="16" t="inlineStr">
        <is>
          <t>Fija</t>
        </is>
      </c>
      <c r="D33" s="16" t="inlineStr">
        <is>
          <t>1.0</t>
        </is>
      </c>
      <c r="E33" s="16" t="n"/>
      <c r="F33" s="16" t="inlineStr">
        <is>
          <t>sí</t>
        </is>
      </c>
      <c r="G33" s="16" t="inlineStr">
        <is>
          <t>kg/s</t>
        </is>
      </c>
    </row>
    <row r="34">
      <c r="A34" s="16" t="inlineStr">
        <is>
          <t>4.3 T_fuente · ronda 0</t>
        </is>
      </c>
      <c r="B34" s="16" t="inlineStr">
        <is>
          <t>Eficiencia isentrópica de la turbina, η_t [–]</t>
        </is>
      </c>
      <c r="C34" s="16" t="inlineStr">
        <is>
          <t>Barrida</t>
        </is>
      </c>
      <c r="D34" s="16" t="inlineStr">
        <is>
          <t>0.402 – 0.949</t>
        </is>
      </c>
      <c r="E34" s="16" t="n">
        <v>100</v>
      </c>
      <c r="F34" s="16" t="n"/>
      <c r="G34" s="16" t="inlineStr">
        <is>
          <t>–</t>
        </is>
      </c>
    </row>
    <row r="35">
      <c r="A35" s="16" t="inlineStr">
        <is>
          <t>4.3 T_fuente · ronda 0</t>
        </is>
      </c>
      <c r="B35" s="16" t="inlineStr">
        <is>
          <t>Eficiencia isentrópica de la bomba, η_p [–]</t>
        </is>
      </c>
      <c r="C35" s="16" t="inlineStr">
        <is>
          <t>Barrida</t>
        </is>
      </c>
      <c r="D35" s="16" t="inlineStr">
        <is>
          <t>0.400 – 0.950</t>
        </is>
      </c>
      <c r="E35" s="16" t="n">
        <v>100</v>
      </c>
      <c r="F35" s="16" t="n"/>
      <c r="G35" s="16" t="inlineStr">
        <is>
          <t>–</t>
        </is>
      </c>
    </row>
    <row r="36">
      <c r="A36" s="16" t="inlineStr">
        <is>
          <t>4.3 T_fuente · ronda 0</t>
        </is>
      </c>
      <c r="B36" s="16" t="inlineStr">
        <is>
          <t>Efectividad del generador de vapor, ε_HRVG [–]</t>
        </is>
      </c>
      <c r="C36" s="16" t="inlineStr">
        <is>
          <t>Barrida</t>
        </is>
      </c>
      <c r="D36" s="16" t="inlineStr">
        <is>
          <t>0.403 – 0.945</t>
        </is>
      </c>
      <c r="E36" s="16" t="n">
        <v>100</v>
      </c>
      <c r="F36" s="16" t="n"/>
      <c r="G36" s="16" t="inlineStr">
        <is>
          <t>–</t>
        </is>
      </c>
    </row>
    <row r="37">
      <c r="A37" s="16" t="inlineStr">
        <is>
          <t>4.3 T_fuente · ronda 0</t>
        </is>
      </c>
      <c r="B37" s="16" t="inlineStr">
        <is>
          <t>Efectividad del regenerador, ε_reg [–]</t>
        </is>
      </c>
      <c r="C37" s="16" t="inlineStr">
        <is>
          <t>Barrida</t>
        </is>
      </c>
      <c r="D37" s="16" t="inlineStr">
        <is>
          <t>0.401 – 0.948</t>
        </is>
      </c>
      <c r="E37" s="16" t="n">
        <v>100</v>
      </c>
      <c r="F37" s="16" t="n"/>
      <c r="G37" s="16" t="inlineStr">
        <is>
          <t>–</t>
        </is>
      </c>
    </row>
    <row r="38">
      <c r="A38" s="16" t="inlineStr">
        <is>
          <t>4.3 T_fuente · ronda 0</t>
        </is>
      </c>
      <c r="B38" s="16" t="inlineStr">
        <is>
          <t>Efectividad del condensador, ε_cond [–]</t>
        </is>
      </c>
      <c r="C38" s="16" t="inlineStr">
        <is>
          <t>Barrida</t>
        </is>
      </c>
      <c r="D38" s="16" t="inlineStr">
        <is>
          <t>0.401 – 0.949</t>
        </is>
      </c>
      <c r="E38" s="16" t="n">
        <v>100</v>
      </c>
      <c r="F38" s="16" t="n"/>
      <c r="G38" s="16" t="inlineStr">
        <is>
          <t>–</t>
        </is>
      </c>
    </row>
    <row r="39">
      <c r="A39" s="16" t="inlineStr">
        <is>
          <t>4.3 T_fuente · ronda 0</t>
        </is>
      </c>
      <c r="B39" s="16" t="inlineStr">
        <is>
          <t>Piso de O2 (T de diseño de la bomba) [K]</t>
        </is>
      </c>
      <c r="C39" s="16" t="inlineStr">
        <is>
          <t>Barrida</t>
        </is>
      </c>
      <c r="D39" s="16" t="inlineStr">
        <is>
          <t>278.3 – 303.4</t>
        </is>
      </c>
      <c r="E39" s="16" t="n">
        <v>100</v>
      </c>
      <c r="F39" s="16" t="n"/>
      <c r="G39" s="16" t="inlineStr">
        <is>
          <t>K</t>
        </is>
      </c>
    </row>
    <row r="40">
      <c r="A40" s="16" t="inlineStr">
        <is>
          <t>4.3 T_fuente · ronda 0</t>
        </is>
      </c>
      <c r="B40" s="16" t="inlineStr">
        <is>
          <t>motor de propiedades</t>
        </is>
      </c>
      <c r="C40" s="16" t="inlineStr">
        <is>
          <t>Fija</t>
        </is>
      </c>
      <c r="D40" s="16" t="inlineStr">
        <is>
          <t>teqp</t>
        </is>
      </c>
      <c r="E40" s="16" t="n"/>
      <c r="F40" s="16" t="n"/>
      <c r="G40" s="16" t="inlineStr">
        <is>
          <t>–</t>
        </is>
      </c>
    </row>
    <row r="41">
      <c r="A41" s="16" t="inlineStr">
        <is>
          <t>4.3 eficiencias · ronda 0</t>
        </is>
      </c>
      <c r="B41" s="16" t="inlineStr">
        <is>
          <t>Temperatura de la fuente, T_fuente [K]</t>
        </is>
      </c>
      <c r="C41" s="16" t="inlineStr">
        <is>
          <t>Barrida</t>
        </is>
      </c>
      <c r="D41" s="16" t="inlineStr">
        <is>
          <t>380.4 – 519.6</t>
        </is>
      </c>
      <c r="E41" s="16" t="n">
        <v>100</v>
      </c>
      <c r="F41" s="16" t="n"/>
      <c r="G41" s="16" t="inlineStr">
        <is>
          <t>K</t>
        </is>
      </c>
    </row>
    <row r="42">
      <c r="A42" s="16" t="inlineStr">
        <is>
          <t>4.3 eficiencias · ronda 0</t>
        </is>
      </c>
      <c r="B42" s="16" t="inlineStr">
        <is>
          <t>Temperatura del sumidero, T_sumidero [K]</t>
        </is>
      </c>
      <c r="C42" s="16" t="inlineStr">
        <is>
          <t>Barrida</t>
        </is>
      </c>
      <c r="D42" s="16" t="inlineStr">
        <is>
          <t>278.2 – 303.5</t>
        </is>
      </c>
      <c r="E42" s="16" t="n">
        <v>100</v>
      </c>
      <c r="F42" s="16" t="n"/>
      <c r="G42" s="16" t="inlineStr">
        <is>
          <t>K</t>
        </is>
      </c>
    </row>
    <row r="43">
      <c r="A43" s="16" t="inlineStr">
        <is>
          <t>4.3 eficiencias · ronda 0</t>
        </is>
      </c>
      <c r="B43" s="16" t="inlineStr">
        <is>
          <t>Presión de alta, P_alta [kPa]</t>
        </is>
      </c>
      <c r="C43" s="16" t="inlineStr">
        <is>
          <t>Barrida</t>
        </is>
      </c>
      <c r="D43" s="16" t="inlineStr">
        <is>
          <t>2000 – 5000</t>
        </is>
      </c>
      <c r="E43" s="16" t="n">
        <v>100</v>
      </c>
      <c r="F43" s="16" t="n"/>
      <c r="G43" s="16" t="inlineStr">
        <is>
          <t>kPa</t>
        </is>
      </c>
    </row>
    <row r="44">
      <c r="A44" s="16" t="inlineStr">
        <is>
          <t>4.3 eficiencias · ronda 0</t>
        </is>
      </c>
      <c r="B44" s="16" t="inlineStr">
        <is>
          <t>Presión de baja, P_baja [kPa]</t>
        </is>
      </c>
      <c r="C44" s="16" t="inlineStr">
        <is>
          <t>Barrida</t>
        </is>
      </c>
      <c r="D44" s="16" t="inlineStr">
        <is>
          <t>310.7 – 1987</t>
        </is>
      </c>
      <c r="E44" s="16" t="n">
        <v>100</v>
      </c>
      <c r="F44" s="16" t="n"/>
      <c r="G44" s="16" t="inlineStr">
        <is>
          <t>kPa</t>
        </is>
      </c>
    </row>
    <row r="45">
      <c r="A45" s="16" t="inlineStr">
        <is>
          <t>4.3 eficiencias · ronda 0</t>
        </is>
      </c>
      <c r="B45" s="16" t="inlineStr">
        <is>
          <t>Fracción de amoníaco de la mezcla base, x_b [–]</t>
        </is>
      </c>
      <c r="C45" s="16" t="inlineStr">
        <is>
          <t>Barrida</t>
        </is>
      </c>
      <c r="D45" s="16" t="inlineStr">
        <is>
          <t>0.502 – 0.848</t>
        </is>
      </c>
      <c r="E45" s="16" t="n">
        <v>100</v>
      </c>
      <c r="F45" s="16" t="n"/>
      <c r="G45" s="16" t="inlineStr">
        <is>
          <t>–</t>
        </is>
      </c>
    </row>
    <row r="46">
      <c r="A46" s="16" t="inlineStr">
        <is>
          <t>4.3 eficiencias · ronda 0</t>
        </is>
      </c>
      <c r="B46" s="16" t="inlineStr">
        <is>
          <t>Flujo másico base, m_b [kg/s]</t>
        </is>
      </c>
      <c r="C46" s="16" t="inlineStr">
        <is>
          <t>Fija</t>
        </is>
      </c>
      <c r="D46" s="16" t="inlineStr">
        <is>
          <t>1.0</t>
        </is>
      </c>
      <c r="E46" s="16" t="n"/>
      <c r="F46" s="16" t="inlineStr">
        <is>
          <t>sí</t>
        </is>
      </c>
      <c r="G46" s="16" t="inlineStr">
        <is>
          <t>kg/s</t>
        </is>
      </c>
    </row>
    <row r="47">
      <c r="A47" s="16" t="inlineStr">
        <is>
          <t>4.3 eficiencias · ronda 0</t>
        </is>
      </c>
      <c r="B47" s="16" t="inlineStr">
        <is>
          <t>Eficiencia isentrópica de la turbina, η_t [–]</t>
        </is>
      </c>
      <c r="C47" s="16" t="inlineStr">
        <is>
          <t>Fija</t>
        </is>
      </c>
      <c r="D47" s="16" t="inlineStr">
        <is>
          <t>0.85</t>
        </is>
      </c>
      <c r="E47" s="16" t="n"/>
      <c r="F47" s="16" t="inlineStr">
        <is>
          <t>sí</t>
        </is>
      </c>
      <c r="G47" s="16" t="inlineStr">
        <is>
          <t>–</t>
        </is>
      </c>
    </row>
    <row r="48">
      <c r="A48" s="16" t="inlineStr">
        <is>
          <t>4.3 eficiencias · ronda 0</t>
        </is>
      </c>
      <c r="B48" s="16" t="inlineStr">
        <is>
          <t>Eficiencia isentrópica de la bomba, η_p [–]</t>
        </is>
      </c>
      <c r="C48" s="16" t="inlineStr">
        <is>
          <t>Fija</t>
        </is>
      </c>
      <c r="D48" s="16" t="inlineStr">
        <is>
          <t>0.75</t>
        </is>
      </c>
      <c r="E48" s="16" t="n"/>
      <c r="F48" s="16" t="inlineStr">
        <is>
          <t>sí</t>
        </is>
      </c>
      <c r="G48" s="16" t="inlineStr">
        <is>
          <t>–</t>
        </is>
      </c>
    </row>
    <row r="49">
      <c r="A49" s="16" t="inlineStr">
        <is>
          <t>4.3 eficiencias · ronda 0</t>
        </is>
      </c>
      <c r="B49" s="16" t="inlineStr">
        <is>
          <t>Efectividad del generador de vapor, ε_HRVG [–]</t>
        </is>
      </c>
      <c r="C49" s="16" t="inlineStr">
        <is>
          <t>Fija</t>
        </is>
      </c>
      <c r="D49" s="16" t="inlineStr">
        <is>
          <t>0.85</t>
        </is>
      </c>
      <c r="E49" s="16" t="n"/>
      <c r="F49" s="16" t="inlineStr">
        <is>
          <t>sí</t>
        </is>
      </c>
      <c r="G49" s="16" t="inlineStr">
        <is>
          <t>–</t>
        </is>
      </c>
    </row>
    <row r="50">
      <c r="A50" s="16" t="inlineStr">
        <is>
          <t>4.3 eficiencias · ronda 0</t>
        </is>
      </c>
      <c r="B50" s="16" t="inlineStr">
        <is>
          <t>Efectividad del regenerador, ε_reg [–]</t>
        </is>
      </c>
      <c r="C50" s="16" t="inlineStr">
        <is>
          <t>Fija</t>
        </is>
      </c>
      <c r="D50" s="16" t="inlineStr">
        <is>
          <t>0.75</t>
        </is>
      </c>
      <c r="E50" s="16" t="n"/>
      <c r="F50" s="16" t="inlineStr">
        <is>
          <t>sí</t>
        </is>
      </c>
      <c r="G50" s="16" t="inlineStr">
        <is>
          <t>–</t>
        </is>
      </c>
    </row>
    <row r="51">
      <c r="A51" s="16" t="inlineStr">
        <is>
          <t>4.3 eficiencias · ronda 0</t>
        </is>
      </c>
      <c r="B51" s="16" t="inlineStr">
        <is>
          <t>Efectividad del condensador, ε_cond [–]</t>
        </is>
      </c>
      <c r="C51" s="16" t="inlineStr">
        <is>
          <t>Fija</t>
        </is>
      </c>
      <c r="D51" s="16" t="inlineStr">
        <is>
          <t>0.8</t>
        </is>
      </c>
      <c r="E51" s="16" t="n"/>
      <c r="F51" s="16" t="inlineStr">
        <is>
          <t>sí</t>
        </is>
      </c>
      <c r="G51" s="16" t="inlineStr">
        <is>
          <t>–</t>
        </is>
      </c>
    </row>
    <row r="52">
      <c r="A52" s="16" t="inlineStr">
        <is>
          <t>4.3 eficiencias · ronda 0</t>
        </is>
      </c>
      <c r="B52" s="16" t="inlineStr">
        <is>
          <t>Piso de O2 (T de diseño de la bomba) [K]</t>
        </is>
      </c>
      <c r="C52" s="16" t="inlineStr">
        <is>
          <t>Barrida</t>
        </is>
      </c>
      <c r="D52" s="16" t="inlineStr">
        <is>
          <t>278.2 – 303.5</t>
        </is>
      </c>
      <c r="E52" s="16" t="n">
        <v>99</v>
      </c>
      <c r="F52" s="16" t="n"/>
      <c r="G52" s="16" t="inlineStr">
        <is>
          <t>K</t>
        </is>
      </c>
    </row>
    <row r="53">
      <c r="A53" s="16" t="inlineStr">
        <is>
          <t>4.3 eficiencias · ronda 0</t>
        </is>
      </c>
      <c r="B53" s="16" t="inlineStr">
        <is>
          <t>motor de propiedades</t>
        </is>
      </c>
      <c r="C53" s="16" t="inlineStr">
        <is>
          <t>Fija</t>
        </is>
      </c>
      <c r="D53" s="16" t="inlineStr">
        <is>
          <t>teqp</t>
        </is>
      </c>
      <c r="E53" s="16" t="n"/>
      <c r="F53" s="16" t="n"/>
      <c r="G53" s="16" t="inlineStr">
        <is>
          <t>–</t>
        </is>
      </c>
    </row>
    <row r="54">
      <c r="A54" s="16" t="inlineStr">
        <is>
          <t>4.3 P_alta · ronda 0</t>
        </is>
      </c>
      <c r="B54" s="16" t="inlineStr">
        <is>
          <t>Temperatura de la fuente, T_fuente [K]</t>
        </is>
      </c>
      <c r="C54" s="16" t="inlineStr">
        <is>
          <t>Barrida</t>
        </is>
      </c>
      <c r="D54" s="16" t="inlineStr">
        <is>
          <t>380.8 – 519.2</t>
        </is>
      </c>
      <c r="E54" s="16" t="n">
        <v>100</v>
      </c>
      <c r="F54" s="16" t="n"/>
      <c r="G54" s="16" t="inlineStr">
        <is>
          <t>K</t>
        </is>
      </c>
    </row>
    <row r="55">
      <c r="A55" s="16" t="inlineStr">
        <is>
          <t>4.3 P_alta · ronda 0</t>
        </is>
      </c>
      <c r="B55" s="16" t="inlineStr">
        <is>
          <t>Temperatura del sumidero, T_sumidero [K]</t>
        </is>
      </c>
      <c r="C55" s="16" t="inlineStr">
        <is>
          <t>Barrida</t>
        </is>
      </c>
      <c r="D55" s="16" t="inlineStr">
        <is>
          <t>278.2 – 303.4</t>
        </is>
      </c>
      <c r="E55" s="16" t="n">
        <v>100</v>
      </c>
      <c r="F55" s="16" t="n"/>
      <c r="G55" s="16" t="inlineStr">
        <is>
          <t>K</t>
        </is>
      </c>
    </row>
    <row r="56">
      <c r="A56" s="16" t="inlineStr">
        <is>
          <t>4.3 P_alta · ronda 0</t>
        </is>
      </c>
      <c r="B56" s="16" t="inlineStr">
        <is>
          <t>Presión de alta, P_alta [kPa]</t>
        </is>
      </c>
      <c r="C56" s="16" t="inlineStr">
        <is>
          <t>Fija</t>
        </is>
      </c>
      <c r="D56" s="16" t="inlineStr">
        <is>
          <t>3000.0</t>
        </is>
      </c>
      <c r="E56" s="16" t="n"/>
      <c r="F56" s="16" t="inlineStr">
        <is>
          <t>sí</t>
        </is>
      </c>
      <c r="G56" s="16" t="inlineStr">
        <is>
          <t>kPa</t>
        </is>
      </c>
    </row>
    <row r="57">
      <c r="A57" s="16" t="inlineStr">
        <is>
          <t>4.3 P_alta · ronda 0</t>
        </is>
      </c>
      <c r="B57" s="16" t="inlineStr">
        <is>
          <t>Presión de baja, P_baja [kPa]</t>
        </is>
      </c>
      <c r="C57" s="16" t="inlineStr">
        <is>
          <t>Barrida</t>
        </is>
      </c>
      <c r="D57" s="16" t="inlineStr">
        <is>
          <t>302.7 – 1996</t>
        </is>
      </c>
      <c r="E57" s="16" t="n">
        <v>100</v>
      </c>
      <c r="F57" s="16" t="n"/>
      <c r="G57" s="16" t="inlineStr">
        <is>
          <t>kPa</t>
        </is>
      </c>
    </row>
    <row r="58">
      <c r="A58" s="16" t="inlineStr">
        <is>
          <t>4.3 P_alta · ronda 0</t>
        </is>
      </c>
      <c r="B58" s="16" t="inlineStr">
        <is>
          <t>Fracción de amoníaco de la mezcla base, x_b [–]</t>
        </is>
      </c>
      <c r="C58" s="16" t="inlineStr">
        <is>
          <t>Barrida</t>
        </is>
      </c>
      <c r="D58" s="16" t="inlineStr">
        <is>
          <t>0.500 – 0.847</t>
        </is>
      </c>
      <c r="E58" s="16" t="n">
        <v>100</v>
      </c>
      <c r="F58" s="16" t="n"/>
      <c r="G58" s="16" t="inlineStr">
        <is>
          <t>–</t>
        </is>
      </c>
    </row>
    <row r="59">
      <c r="A59" s="16" t="inlineStr">
        <is>
          <t>4.3 P_alta · ronda 0</t>
        </is>
      </c>
      <c r="B59" s="16" t="inlineStr">
        <is>
          <t>Flujo másico base, m_b [kg/s]</t>
        </is>
      </c>
      <c r="C59" s="16" t="inlineStr">
        <is>
          <t>Fija</t>
        </is>
      </c>
      <c r="D59" s="16" t="inlineStr">
        <is>
          <t>1.0</t>
        </is>
      </c>
      <c r="E59" s="16" t="n"/>
      <c r="F59" s="16" t="inlineStr">
        <is>
          <t>sí</t>
        </is>
      </c>
      <c r="G59" s="16" t="inlineStr">
        <is>
          <t>kg/s</t>
        </is>
      </c>
    </row>
    <row r="60">
      <c r="A60" s="16" t="inlineStr">
        <is>
          <t>4.3 P_alta · ronda 0</t>
        </is>
      </c>
      <c r="B60" s="16" t="inlineStr">
        <is>
          <t>Eficiencia isentrópica de la turbina, η_t [–]</t>
        </is>
      </c>
      <c r="C60" s="16" t="inlineStr">
        <is>
          <t>Barrida</t>
        </is>
      </c>
      <c r="D60" s="16" t="inlineStr">
        <is>
          <t>0.400 – 0.946</t>
        </is>
      </c>
      <c r="E60" s="16" t="n">
        <v>100</v>
      </c>
      <c r="F60" s="16" t="n"/>
      <c r="G60" s="16" t="inlineStr">
        <is>
          <t>–</t>
        </is>
      </c>
    </row>
    <row r="61">
      <c r="A61" s="16" t="inlineStr">
        <is>
          <t>4.3 P_alta · ronda 0</t>
        </is>
      </c>
      <c r="B61" s="16" t="inlineStr">
        <is>
          <t>Eficiencia isentrópica de la bomba, η_p [–]</t>
        </is>
      </c>
      <c r="C61" s="16" t="inlineStr">
        <is>
          <t>Barrida</t>
        </is>
      </c>
      <c r="D61" s="16" t="inlineStr">
        <is>
          <t>0.401 – 0.945</t>
        </is>
      </c>
      <c r="E61" s="16" t="n">
        <v>100</v>
      </c>
      <c r="F61" s="16" t="n"/>
      <c r="G61" s="16" t="inlineStr">
        <is>
          <t>–</t>
        </is>
      </c>
    </row>
    <row r="62">
      <c r="A62" s="16" t="inlineStr">
        <is>
          <t>4.3 P_alta · ronda 0</t>
        </is>
      </c>
      <c r="B62" s="16" t="inlineStr">
        <is>
          <t>Efectividad del generador de vapor, ε_HRVG [–]</t>
        </is>
      </c>
      <c r="C62" s="16" t="inlineStr">
        <is>
          <t>Barrida</t>
        </is>
      </c>
      <c r="D62" s="16" t="inlineStr">
        <is>
          <t>0.404 – 0.949</t>
        </is>
      </c>
      <c r="E62" s="16" t="n">
        <v>100</v>
      </c>
      <c r="F62" s="16" t="n"/>
      <c r="G62" s="16" t="inlineStr">
        <is>
          <t>–</t>
        </is>
      </c>
    </row>
    <row r="63">
      <c r="A63" s="16" t="inlineStr">
        <is>
          <t>4.3 P_alta · ronda 0</t>
        </is>
      </c>
      <c r="B63" s="16" t="inlineStr">
        <is>
          <t>Efectividad del regenerador, ε_reg [–]</t>
        </is>
      </c>
      <c r="C63" s="16" t="inlineStr">
        <is>
          <t>Barrida</t>
        </is>
      </c>
      <c r="D63" s="16" t="inlineStr">
        <is>
          <t>0.400 – 0.948</t>
        </is>
      </c>
      <c r="E63" s="16" t="n">
        <v>100</v>
      </c>
      <c r="F63" s="16" t="n"/>
      <c r="G63" s="16" t="inlineStr">
        <is>
          <t>–</t>
        </is>
      </c>
    </row>
    <row r="64">
      <c r="A64" s="16" t="inlineStr">
        <is>
          <t>4.3 P_alta · ronda 0</t>
        </is>
      </c>
      <c r="B64" s="16" t="inlineStr">
        <is>
          <t>Efectividad del condensador, ε_cond [–]</t>
        </is>
      </c>
      <c r="C64" s="16" t="inlineStr">
        <is>
          <t>Barrida</t>
        </is>
      </c>
      <c r="D64" s="16" t="inlineStr">
        <is>
          <t>0.402 – 0.945</t>
        </is>
      </c>
      <c r="E64" s="16" t="n">
        <v>100</v>
      </c>
      <c r="F64" s="16" t="n"/>
      <c r="G64" s="16" t="inlineStr">
        <is>
          <t>–</t>
        </is>
      </c>
    </row>
    <row r="65">
      <c r="A65" s="16" t="inlineStr">
        <is>
          <t>4.3 P_alta · ronda 0</t>
        </is>
      </c>
      <c r="B65" s="16" t="inlineStr">
        <is>
          <t>Piso de O2 (T de diseño de la bomba) [K]</t>
        </is>
      </c>
      <c r="C65" s="16" t="inlineStr">
        <is>
          <t>Barrida</t>
        </is>
      </c>
      <c r="D65" s="16" t="inlineStr">
        <is>
          <t>278.2 – 303.4</t>
        </is>
      </c>
      <c r="E65" s="16" t="n">
        <v>100</v>
      </c>
      <c r="F65" s="16" t="n"/>
      <c r="G65" s="16" t="inlineStr">
        <is>
          <t>K</t>
        </is>
      </c>
    </row>
    <row r="66">
      <c r="A66" s="16" t="inlineStr">
        <is>
          <t>4.3 P_alta · ronda 0</t>
        </is>
      </c>
      <c r="B66" s="16" t="inlineStr">
        <is>
          <t>motor de propiedades</t>
        </is>
      </c>
      <c r="C66" s="16" t="inlineStr">
        <is>
          <t>Fija</t>
        </is>
      </c>
      <c r="D66" s="16" t="inlineStr">
        <is>
          <t>teqp</t>
        </is>
      </c>
      <c r="E66" s="16" t="n"/>
      <c r="F66" s="16" t="n"/>
      <c r="G66" s="16" t="inlineStr">
        <is>
          <t>–</t>
        </is>
      </c>
    </row>
    <row r="67">
      <c r="A67" s="16" t="inlineStr">
        <is>
          <t>4.3 P_baja · ronda 0</t>
        </is>
      </c>
      <c r="B67" s="16" t="inlineStr">
        <is>
          <t>Temperatura de la fuente, T_fuente [K]</t>
        </is>
      </c>
      <c r="C67" s="16" t="inlineStr">
        <is>
          <t>Barrida</t>
        </is>
      </c>
      <c r="D67" s="16" t="inlineStr">
        <is>
          <t>380.2 – 519.3</t>
        </is>
      </c>
      <c r="E67" s="16" t="n">
        <v>100</v>
      </c>
      <c r="F67" s="16" t="n"/>
      <c r="G67" s="16" t="inlineStr">
        <is>
          <t>K</t>
        </is>
      </c>
    </row>
    <row r="68">
      <c r="A68" s="16" t="inlineStr">
        <is>
          <t>4.3 P_baja · ronda 0</t>
        </is>
      </c>
      <c r="B68" s="16" t="inlineStr">
        <is>
          <t>Temperatura del sumidero, T_sumidero [K]</t>
        </is>
      </c>
      <c r="C68" s="16" t="inlineStr">
        <is>
          <t>Barrida</t>
        </is>
      </c>
      <c r="D68" s="16" t="inlineStr">
        <is>
          <t>278.2 – 303.4</t>
        </is>
      </c>
      <c r="E68" s="16" t="n">
        <v>100</v>
      </c>
      <c r="F68" s="16" t="n"/>
      <c r="G68" s="16" t="inlineStr">
        <is>
          <t>K</t>
        </is>
      </c>
    </row>
    <row r="69">
      <c r="A69" s="16" t="inlineStr">
        <is>
          <t>4.3 P_baja · ronda 0</t>
        </is>
      </c>
      <c r="B69" s="16" t="inlineStr">
        <is>
          <t>Presión de alta, P_alta [kPa]</t>
        </is>
      </c>
      <c r="C69" s="16" t="inlineStr">
        <is>
          <t>Barrida</t>
        </is>
      </c>
      <c r="D69" s="16" t="inlineStr">
        <is>
          <t>2022 – 4978</t>
        </is>
      </c>
      <c r="E69" s="16" t="n">
        <v>100</v>
      </c>
      <c r="F69" s="16" t="n"/>
      <c r="G69" s="16" t="inlineStr">
        <is>
          <t>kPa</t>
        </is>
      </c>
    </row>
    <row r="70">
      <c r="A70" s="16" t="inlineStr">
        <is>
          <t>4.3 P_baja · ronda 0</t>
        </is>
      </c>
      <c r="B70" s="16" t="inlineStr">
        <is>
          <t>Presión de baja, P_baja [kPa]</t>
        </is>
      </c>
      <c r="C70" s="16" t="inlineStr">
        <is>
          <t>Fija</t>
        </is>
      </c>
      <c r="D70" s="16" t="inlineStr">
        <is>
          <t>400.0</t>
        </is>
      </c>
      <c r="E70" s="16" t="n"/>
      <c r="F70" s="16" t="inlineStr">
        <is>
          <t>sí</t>
        </is>
      </c>
      <c r="G70" s="16" t="inlineStr">
        <is>
          <t>kPa</t>
        </is>
      </c>
    </row>
    <row r="71">
      <c r="A71" s="16" t="inlineStr">
        <is>
          <t>4.3 P_baja · ronda 0</t>
        </is>
      </c>
      <c r="B71" s="16" t="inlineStr">
        <is>
          <t>Fracción de amoníaco de la mezcla base, x_b [–]</t>
        </is>
      </c>
      <c r="C71" s="16" t="inlineStr">
        <is>
          <t>Barrida</t>
        </is>
      </c>
      <c r="D71" s="16" t="inlineStr">
        <is>
          <t>0.502 – 0.847</t>
        </is>
      </c>
      <c r="E71" s="16" t="n">
        <v>100</v>
      </c>
      <c r="F71" s="16" t="n"/>
      <c r="G71" s="16" t="inlineStr">
        <is>
          <t>–</t>
        </is>
      </c>
    </row>
    <row r="72">
      <c r="A72" s="16" t="inlineStr">
        <is>
          <t>4.3 P_baja · ronda 0</t>
        </is>
      </c>
      <c r="B72" s="16" t="inlineStr">
        <is>
          <t>Flujo másico base, m_b [kg/s]</t>
        </is>
      </c>
      <c r="C72" s="16" t="inlineStr">
        <is>
          <t>Fija</t>
        </is>
      </c>
      <c r="D72" s="16" t="inlineStr">
        <is>
          <t>1.0</t>
        </is>
      </c>
      <c r="E72" s="16" t="n"/>
      <c r="F72" s="16" t="inlineStr">
        <is>
          <t>sí</t>
        </is>
      </c>
      <c r="G72" s="16" t="inlineStr">
        <is>
          <t>kg/s</t>
        </is>
      </c>
    </row>
    <row r="73">
      <c r="A73" s="16" t="inlineStr">
        <is>
          <t>4.3 P_baja · ronda 0</t>
        </is>
      </c>
      <c r="B73" s="16" t="inlineStr">
        <is>
          <t>Eficiencia isentrópica de la turbina, η_t [–]</t>
        </is>
      </c>
      <c r="C73" s="16" t="inlineStr">
        <is>
          <t>Barrida</t>
        </is>
      </c>
      <c r="D73" s="16" t="inlineStr">
        <is>
          <t>0.405 – 0.947</t>
        </is>
      </c>
      <c r="E73" s="16" t="n">
        <v>100</v>
      </c>
      <c r="F73" s="16" t="n"/>
      <c r="G73" s="16" t="inlineStr">
        <is>
          <t>–</t>
        </is>
      </c>
    </row>
    <row r="74">
      <c r="A74" s="16" t="inlineStr">
        <is>
          <t>4.3 P_baja · ronda 0</t>
        </is>
      </c>
      <c r="B74" s="16" t="inlineStr">
        <is>
          <t>Eficiencia isentrópica de la bomba, η_p [–]</t>
        </is>
      </c>
      <c r="C74" s="16" t="inlineStr">
        <is>
          <t>Barrida</t>
        </is>
      </c>
      <c r="D74" s="16" t="inlineStr">
        <is>
          <t>0.405 – 0.950</t>
        </is>
      </c>
      <c r="E74" s="16" t="n">
        <v>100</v>
      </c>
      <c r="F74" s="16" t="n"/>
      <c r="G74" s="16" t="inlineStr">
        <is>
          <t>–</t>
        </is>
      </c>
    </row>
    <row r="75">
      <c r="A75" s="16" t="inlineStr">
        <is>
          <t>4.3 P_baja · ronda 0</t>
        </is>
      </c>
      <c r="B75" s="16" t="inlineStr">
        <is>
          <t>Efectividad del generador de vapor, ε_HRVG [–]</t>
        </is>
      </c>
      <c r="C75" s="16" t="inlineStr">
        <is>
          <t>Barrida</t>
        </is>
      </c>
      <c r="D75" s="16" t="inlineStr">
        <is>
          <t>0.401 – 0.948</t>
        </is>
      </c>
      <c r="E75" s="16" t="n">
        <v>100</v>
      </c>
      <c r="F75" s="16" t="n"/>
      <c r="G75" s="16" t="inlineStr">
        <is>
          <t>–</t>
        </is>
      </c>
    </row>
    <row r="76">
      <c r="A76" s="16" t="inlineStr">
        <is>
          <t>4.3 P_baja · ronda 0</t>
        </is>
      </c>
      <c r="B76" s="16" t="inlineStr">
        <is>
          <t>Efectividad del regenerador, ε_reg [–]</t>
        </is>
      </c>
      <c r="C76" s="16" t="inlineStr">
        <is>
          <t>Barrida</t>
        </is>
      </c>
      <c r="D76" s="16" t="inlineStr">
        <is>
          <t>0.401 – 0.946</t>
        </is>
      </c>
      <c r="E76" s="16" t="n">
        <v>100</v>
      </c>
      <c r="F76" s="16" t="n"/>
      <c r="G76" s="16" t="inlineStr">
        <is>
          <t>–</t>
        </is>
      </c>
    </row>
    <row r="77">
      <c r="A77" s="16" t="inlineStr">
        <is>
          <t>4.3 P_baja · ronda 0</t>
        </is>
      </c>
      <c r="B77" s="16" t="inlineStr">
        <is>
          <t>Efectividad del condensador, ε_cond [–]</t>
        </is>
      </c>
      <c r="C77" s="16" t="inlineStr">
        <is>
          <t>Barrida</t>
        </is>
      </c>
      <c r="D77" s="16" t="inlineStr">
        <is>
          <t>0.402 – 0.945</t>
        </is>
      </c>
      <c r="E77" s="16" t="n">
        <v>100</v>
      </c>
      <c r="F77" s="16" t="n"/>
      <c r="G77" s="16" t="inlineStr">
        <is>
          <t>–</t>
        </is>
      </c>
    </row>
    <row r="78">
      <c r="A78" s="16" t="inlineStr">
        <is>
          <t>4.3 P_baja · ronda 0</t>
        </is>
      </c>
      <c r="B78" s="16" t="inlineStr">
        <is>
          <t>Piso de O2 (T de diseño de la bomba) [K]</t>
        </is>
      </c>
      <c r="C78" s="16" t="inlineStr">
        <is>
          <t>Barrida</t>
        </is>
      </c>
      <c r="D78" s="16" t="inlineStr">
        <is>
          <t>278.2 – 303.4</t>
        </is>
      </c>
      <c r="E78" s="16" t="n">
        <v>100</v>
      </c>
      <c r="F78" s="16" t="n"/>
      <c r="G78" s="16" t="inlineStr">
        <is>
          <t>K</t>
        </is>
      </c>
    </row>
    <row r="79">
      <c r="A79" s="16" t="inlineStr">
        <is>
          <t>4.3 P_baja · ronda 0</t>
        </is>
      </c>
      <c r="B79" s="16" t="inlineStr">
        <is>
          <t>motor de propiedades</t>
        </is>
      </c>
      <c r="C79" s="16" t="inlineStr">
        <is>
          <t>Fija</t>
        </is>
      </c>
      <c r="D79" s="16" t="inlineStr">
        <is>
          <t>teqp</t>
        </is>
      </c>
      <c r="E79" s="16" t="n"/>
      <c r="F79" s="16" t="n"/>
      <c r="G79" s="16" t="inlineStr">
        <is>
          <t>–</t>
        </is>
      </c>
    </row>
    <row r="80">
      <c r="A80" s="16" t="inlineStr">
        <is>
          <t>4.3 T_sumidero · ronda 0</t>
        </is>
      </c>
      <c r="B80" s="16" t="inlineStr">
        <is>
          <t>Temperatura de la fuente, T_fuente [K]</t>
        </is>
      </c>
      <c r="C80" s="16" t="inlineStr">
        <is>
          <t>Barrida</t>
        </is>
      </c>
      <c r="D80" s="16" t="inlineStr">
        <is>
          <t>380.2 – 519.1</t>
        </is>
      </c>
      <c r="E80" s="16" t="n">
        <v>100</v>
      </c>
      <c r="F80" s="16" t="n"/>
      <c r="G80" s="16" t="inlineStr">
        <is>
          <t>K</t>
        </is>
      </c>
    </row>
    <row r="81">
      <c r="A81" s="16" t="inlineStr">
        <is>
          <t>4.3 T_sumidero · ronda 0</t>
        </is>
      </c>
      <c r="B81" s="16" t="inlineStr">
        <is>
          <t>Temperatura del sumidero, T_sumidero [K]</t>
        </is>
      </c>
      <c r="C81" s="16" t="inlineStr">
        <is>
          <t>Fija</t>
        </is>
      </c>
      <c r="D81" s="16" t="inlineStr">
        <is>
          <t>300.032917</t>
        </is>
      </c>
      <c r="E81" s="16" t="n"/>
      <c r="F81" s="16" t="inlineStr">
        <is>
          <t>sí</t>
        </is>
      </c>
      <c r="G81" s="16" t="inlineStr">
        <is>
          <t>K</t>
        </is>
      </c>
    </row>
    <row r="82">
      <c r="A82" s="16" t="inlineStr">
        <is>
          <t>4.3 T_sumidero · ronda 0</t>
        </is>
      </c>
      <c r="B82" s="16" t="inlineStr">
        <is>
          <t>Presión de alta, P_alta [kPa]</t>
        </is>
      </c>
      <c r="C82" s="16" t="inlineStr">
        <is>
          <t>Barrida</t>
        </is>
      </c>
      <c r="D82" s="16" t="inlineStr">
        <is>
          <t>2007 – 4983</t>
        </is>
      </c>
      <c r="E82" s="16" t="n">
        <v>100</v>
      </c>
      <c r="F82" s="16" t="n"/>
      <c r="G82" s="16" t="inlineStr">
        <is>
          <t>kPa</t>
        </is>
      </c>
    </row>
    <row r="83">
      <c r="A83" s="16" t="inlineStr">
        <is>
          <t>4.3 T_sumidero · ronda 0</t>
        </is>
      </c>
      <c r="B83" s="16" t="inlineStr">
        <is>
          <t>Presión de baja, P_baja [kPa]</t>
        </is>
      </c>
      <c r="C83" s="16" t="inlineStr">
        <is>
          <t>Barrida</t>
        </is>
      </c>
      <c r="D83" s="16" t="inlineStr">
        <is>
          <t>306.3 – 1991</t>
        </is>
      </c>
      <c r="E83" s="16" t="n">
        <v>100</v>
      </c>
      <c r="F83" s="16" t="n"/>
      <c r="G83" s="16" t="inlineStr">
        <is>
          <t>kPa</t>
        </is>
      </c>
    </row>
    <row r="84">
      <c r="A84" s="16" t="inlineStr">
        <is>
          <t>4.3 T_sumidero · ronda 0</t>
        </is>
      </c>
      <c r="B84" s="16" t="inlineStr">
        <is>
          <t>Fracción de amoníaco de la mezcla base, x_b [–]</t>
        </is>
      </c>
      <c r="C84" s="16" t="inlineStr">
        <is>
          <t>Barrida</t>
        </is>
      </c>
      <c r="D84" s="16" t="inlineStr">
        <is>
          <t>0.503 – 0.847</t>
        </is>
      </c>
      <c r="E84" s="16" t="n">
        <v>100</v>
      </c>
      <c r="F84" s="16" t="n"/>
      <c r="G84" s="16" t="inlineStr">
        <is>
          <t>–</t>
        </is>
      </c>
    </row>
    <row r="85">
      <c r="A85" s="16" t="inlineStr">
        <is>
          <t>4.3 T_sumidero · ronda 0</t>
        </is>
      </c>
      <c r="B85" s="16" t="inlineStr">
        <is>
          <t>Flujo másico base, m_b [kg/s]</t>
        </is>
      </c>
      <c r="C85" s="16" t="inlineStr">
        <is>
          <t>Fija</t>
        </is>
      </c>
      <c r="D85" s="16" t="inlineStr">
        <is>
          <t>1.0</t>
        </is>
      </c>
      <c r="E85" s="16" t="n"/>
      <c r="F85" s="16" t="inlineStr">
        <is>
          <t>sí</t>
        </is>
      </c>
      <c r="G85" s="16" t="inlineStr">
        <is>
          <t>kg/s</t>
        </is>
      </c>
    </row>
    <row r="86">
      <c r="A86" s="16" t="inlineStr">
        <is>
          <t>4.3 T_sumidero · ronda 0</t>
        </is>
      </c>
      <c r="B86" s="16" t="inlineStr">
        <is>
          <t>Eficiencia isentrópica de la turbina, η_t [–]</t>
        </is>
      </c>
      <c r="C86" s="16" t="inlineStr">
        <is>
          <t>Barrida</t>
        </is>
      </c>
      <c r="D86" s="16" t="inlineStr">
        <is>
          <t>0.405 – 0.945</t>
        </is>
      </c>
      <c r="E86" s="16" t="n">
        <v>100</v>
      </c>
      <c r="F86" s="16" t="n"/>
      <c r="G86" s="16" t="inlineStr">
        <is>
          <t>–</t>
        </is>
      </c>
    </row>
    <row r="87">
      <c r="A87" s="16" t="inlineStr">
        <is>
          <t>4.3 T_sumidero · ronda 0</t>
        </is>
      </c>
      <c r="B87" s="16" t="inlineStr">
        <is>
          <t>Eficiencia isentrópica de la bomba, η_p [–]</t>
        </is>
      </c>
      <c r="C87" s="16" t="inlineStr">
        <is>
          <t>Barrida</t>
        </is>
      </c>
      <c r="D87" s="16" t="inlineStr">
        <is>
          <t>0.400 – 0.945</t>
        </is>
      </c>
      <c r="E87" s="16" t="n">
        <v>100</v>
      </c>
      <c r="F87" s="16" t="n"/>
      <c r="G87" s="16" t="inlineStr">
        <is>
          <t>–</t>
        </is>
      </c>
    </row>
    <row r="88">
      <c r="A88" s="16" t="inlineStr">
        <is>
          <t>4.3 T_sumidero · ronda 0</t>
        </is>
      </c>
      <c r="B88" s="16" t="inlineStr">
        <is>
          <t>Efectividad del generador de vapor, ε_HRVG [–]</t>
        </is>
      </c>
      <c r="C88" s="16" t="inlineStr">
        <is>
          <t>Barrida</t>
        </is>
      </c>
      <c r="D88" s="16" t="inlineStr">
        <is>
          <t>0.404 – 0.948</t>
        </is>
      </c>
      <c r="E88" s="16" t="n">
        <v>100</v>
      </c>
      <c r="F88" s="16" t="n"/>
      <c r="G88" s="16" t="inlineStr">
        <is>
          <t>–</t>
        </is>
      </c>
    </row>
    <row r="89">
      <c r="A89" s="16" t="inlineStr">
        <is>
          <t>4.3 T_sumidero · ronda 0</t>
        </is>
      </c>
      <c r="B89" s="16" t="inlineStr">
        <is>
          <t>Efectividad del regenerador, ε_reg [–]</t>
        </is>
      </c>
      <c r="C89" s="16" t="inlineStr">
        <is>
          <t>Barrida</t>
        </is>
      </c>
      <c r="D89" s="16" t="inlineStr">
        <is>
          <t>0.403 – 0.948</t>
        </is>
      </c>
      <c r="E89" s="16" t="n">
        <v>100</v>
      </c>
      <c r="F89" s="16" t="n"/>
      <c r="G89" s="16" t="inlineStr">
        <is>
          <t>–</t>
        </is>
      </c>
    </row>
    <row r="90">
      <c r="A90" s="16" t="inlineStr">
        <is>
          <t>4.3 T_sumidero · ronda 0</t>
        </is>
      </c>
      <c r="B90" s="16" t="inlineStr">
        <is>
          <t>Efectividad del condensador, ε_cond [–]</t>
        </is>
      </c>
      <c r="C90" s="16" t="inlineStr">
        <is>
          <t>Barrida</t>
        </is>
      </c>
      <c r="D90" s="16" t="inlineStr">
        <is>
          <t>0.400 – 0.946</t>
        </is>
      </c>
      <c r="E90" s="16" t="n">
        <v>100</v>
      </c>
      <c r="F90" s="16" t="n"/>
      <c r="G90" s="16" t="inlineStr">
        <is>
          <t>–</t>
        </is>
      </c>
    </row>
    <row r="91">
      <c r="A91" s="16" t="inlineStr">
        <is>
          <t>4.3 T_sumidero · ronda 0</t>
        </is>
      </c>
      <c r="B91" s="16" t="inlineStr">
        <is>
          <t>Piso de O2 (T de diseño de la bomba) [K]</t>
        </is>
      </c>
      <c r="C91" s="16" t="inlineStr">
        <is>
          <t>Fija</t>
        </is>
      </c>
      <c r="D91" s="16" t="inlineStr">
        <is>
          <t>300.032917</t>
        </is>
      </c>
      <c r="E91" s="16" t="n"/>
      <c r="F91" s="16" t="inlineStr">
        <is>
          <t>sí</t>
        </is>
      </c>
      <c r="G91" s="16" t="inlineStr">
        <is>
          <t>K</t>
        </is>
      </c>
    </row>
    <row r="92">
      <c r="A92" s="16" t="inlineStr">
        <is>
          <t>4.3 T_sumidero · ronda 0</t>
        </is>
      </c>
      <c r="B92" s="16" t="inlineStr">
        <is>
          <t>motor de propiedades</t>
        </is>
      </c>
      <c r="C92" s="16" t="inlineStr">
        <is>
          <t>Fija</t>
        </is>
      </c>
      <c r="D92" s="16" t="inlineStr">
        <is>
          <t>teqp</t>
        </is>
      </c>
      <c r="E92" s="16" t="n"/>
      <c r="F92" s="16" t="n"/>
      <c r="G92" s="16" t="inlineStr">
        <is>
          <t>–</t>
        </is>
      </c>
    </row>
    <row r="93">
      <c r="A93" s="16" t="inlineStr">
        <is>
          <t>4.3 x_b · ronda 0</t>
        </is>
      </c>
      <c r="B93" s="16" t="inlineStr">
        <is>
          <t>Temperatura de la fuente, T_fuente [K]</t>
        </is>
      </c>
      <c r="C93" s="16" t="inlineStr">
        <is>
          <t>Barrida</t>
        </is>
      </c>
      <c r="D93" s="16" t="inlineStr">
        <is>
          <t>381.0 – 519.6</t>
        </is>
      </c>
      <c r="E93" s="16" t="n">
        <v>100</v>
      </c>
      <c r="F93" s="16" t="n"/>
      <c r="G93" s="16" t="inlineStr">
        <is>
          <t>K</t>
        </is>
      </c>
    </row>
    <row r="94">
      <c r="A94" s="16" t="inlineStr">
        <is>
          <t>4.3 x_b · ronda 0</t>
        </is>
      </c>
      <c r="B94" s="16" t="inlineStr">
        <is>
          <t>Temperatura del sumidero, T_sumidero [K]</t>
        </is>
      </c>
      <c r="C94" s="16" t="inlineStr">
        <is>
          <t>Barrida</t>
        </is>
      </c>
      <c r="D94" s="16" t="inlineStr">
        <is>
          <t>278.2 – 303.4</t>
        </is>
      </c>
      <c r="E94" s="16" t="n">
        <v>100</v>
      </c>
      <c r="F94" s="16" t="n"/>
      <c r="G94" s="16" t="inlineStr">
        <is>
          <t>K</t>
        </is>
      </c>
    </row>
    <row r="95">
      <c r="A95" s="16" t="inlineStr">
        <is>
          <t>4.3 x_b · ronda 0</t>
        </is>
      </c>
      <c r="B95" s="16" t="inlineStr">
        <is>
          <t>Presión de alta, P_alta [kPa]</t>
        </is>
      </c>
      <c r="C95" s="16" t="inlineStr">
        <is>
          <t>Barrida</t>
        </is>
      </c>
      <c r="D95" s="16" t="inlineStr">
        <is>
          <t>2022 – 4977</t>
        </is>
      </c>
      <c r="E95" s="16" t="n">
        <v>100</v>
      </c>
      <c r="F95" s="16" t="n"/>
      <c r="G95" s="16" t="inlineStr">
        <is>
          <t>kPa</t>
        </is>
      </c>
    </row>
    <row r="96">
      <c r="A96" s="16" t="inlineStr">
        <is>
          <t>4.3 x_b · ronda 0</t>
        </is>
      </c>
      <c r="B96" s="16" t="inlineStr">
        <is>
          <t>Presión de baja, P_baja [kPa]</t>
        </is>
      </c>
      <c r="C96" s="16" t="inlineStr">
        <is>
          <t>Barrida</t>
        </is>
      </c>
      <c r="D96" s="16" t="inlineStr">
        <is>
          <t>316.8 – 1999</t>
        </is>
      </c>
      <c r="E96" s="16" t="n">
        <v>100</v>
      </c>
      <c r="F96" s="16" t="n"/>
      <c r="G96" s="16" t="inlineStr">
        <is>
          <t>kPa</t>
        </is>
      </c>
    </row>
    <row r="97">
      <c r="A97" s="16" t="inlineStr">
        <is>
          <t>4.3 x_b · ronda 0</t>
        </is>
      </c>
      <c r="B97" s="16" t="inlineStr">
        <is>
          <t>Fracción de amoníaco de la mezcla base, x_b [–]</t>
        </is>
      </c>
      <c r="C97" s="16" t="inlineStr">
        <is>
          <t>Fija</t>
        </is>
      </c>
      <c r="D97" s="16" t="inlineStr">
        <is>
          <t>0.5</t>
        </is>
      </c>
      <c r="E97" s="16" t="n"/>
      <c r="F97" s="16" t="inlineStr">
        <is>
          <t>sí</t>
        </is>
      </c>
      <c r="G97" s="16" t="inlineStr">
        <is>
          <t>–</t>
        </is>
      </c>
    </row>
    <row r="98">
      <c r="A98" s="16" t="inlineStr">
        <is>
          <t>4.3 x_b · ronda 0</t>
        </is>
      </c>
      <c r="B98" s="16" t="inlineStr">
        <is>
          <t>Flujo másico base, m_b [kg/s]</t>
        </is>
      </c>
      <c r="C98" s="16" t="inlineStr">
        <is>
          <t>Fija</t>
        </is>
      </c>
      <c r="D98" s="16" t="inlineStr">
        <is>
          <t>1.0</t>
        </is>
      </c>
      <c r="E98" s="16" t="n"/>
      <c r="F98" s="16" t="inlineStr">
        <is>
          <t>sí</t>
        </is>
      </c>
      <c r="G98" s="16" t="inlineStr">
        <is>
          <t>kg/s</t>
        </is>
      </c>
    </row>
    <row r="99">
      <c r="A99" s="16" t="inlineStr">
        <is>
          <t>4.3 x_b · ronda 0</t>
        </is>
      </c>
      <c r="B99" s="16" t="inlineStr">
        <is>
          <t>Eficiencia isentrópica de la turbina, η_t [–]</t>
        </is>
      </c>
      <c r="C99" s="16" t="inlineStr">
        <is>
          <t>Barrida</t>
        </is>
      </c>
      <c r="D99" s="16" t="inlineStr">
        <is>
          <t>0.402 – 0.950</t>
        </is>
      </c>
      <c r="E99" s="16" t="n">
        <v>100</v>
      </c>
      <c r="F99" s="16" t="n"/>
      <c r="G99" s="16" t="inlineStr">
        <is>
          <t>–</t>
        </is>
      </c>
    </row>
    <row r="100">
      <c r="A100" s="16" t="inlineStr">
        <is>
          <t>4.3 x_b · ronda 0</t>
        </is>
      </c>
      <c r="B100" s="16" t="inlineStr">
        <is>
          <t>Eficiencia isentrópica de la bomba, η_p [–]</t>
        </is>
      </c>
      <c r="C100" s="16" t="inlineStr">
        <is>
          <t>Barrida</t>
        </is>
      </c>
      <c r="D100" s="16" t="inlineStr">
        <is>
          <t>0.402 – 0.946</t>
        </is>
      </c>
      <c r="E100" s="16" t="n">
        <v>100</v>
      </c>
      <c r="F100" s="16" t="n"/>
      <c r="G100" s="16" t="inlineStr">
        <is>
          <t>–</t>
        </is>
      </c>
    </row>
    <row r="101">
      <c r="A101" s="16" t="inlineStr">
        <is>
          <t>4.3 x_b · ronda 0</t>
        </is>
      </c>
      <c r="B101" s="16" t="inlineStr">
        <is>
          <t>Efectividad del generador de vapor, ε_HRVG [–]</t>
        </is>
      </c>
      <c r="C101" s="16" t="inlineStr">
        <is>
          <t>Barrida</t>
        </is>
      </c>
      <c r="D101" s="16" t="inlineStr">
        <is>
          <t>0.402 – 0.950</t>
        </is>
      </c>
      <c r="E101" s="16" t="n">
        <v>100</v>
      </c>
      <c r="F101" s="16" t="n"/>
      <c r="G101" s="16" t="inlineStr">
        <is>
          <t>–</t>
        </is>
      </c>
    </row>
    <row r="102">
      <c r="A102" s="16" t="inlineStr">
        <is>
          <t>4.3 x_b · ronda 0</t>
        </is>
      </c>
      <c r="B102" s="16" t="inlineStr">
        <is>
          <t>Efectividad del regenerador, ε_reg [–]</t>
        </is>
      </c>
      <c r="C102" s="16" t="inlineStr">
        <is>
          <t>Barrida</t>
        </is>
      </c>
      <c r="D102" s="16" t="inlineStr">
        <is>
          <t>0.402 – 0.945</t>
        </is>
      </c>
      <c r="E102" s="16" t="n">
        <v>100</v>
      </c>
      <c r="F102" s="16" t="n"/>
      <c r="G102" s="16" t="inlineStr">
        <is>
          <t>–</t>
        </is>
      </c>
    </row>
    <row r="103">
      <c r="A103" s="16" t="inlineStr">
        <is>
          <t>4.3 x_b · ronda 0</t>
        </is>
      </c>
      <c r="B103" s="16" t="inlineStr">
        <is>
          <t>Efectividad del condensador, ε_cond [–]</t>
        </is>
      </c>
      <c r="C103" s="16" t="inlineStr">
        <is>
          <t>Barrida</t>
        </is>
      </c>
      <c r="D103" s="16" t="inlineStr">
        <is>
          <t>0.404 – 0.948</t>
        </is>
      </c>
      <c r="E103" s="16" t="n">
        <v>100</v>
      </c>
      <c r="F103" s="16" t="n"/>
      <c r="G103" s="16" t="inlineStr">
        <is>
          <t>–</t>
        </is>
      </c>
    </row>
    <row r="104">
      <c r="A104" s="16" t="inlineStr">
        <is>
          <t>4.3 x_b · ronda 0</t>
        </is>
      </c>
      <c r="B104" s="16" t="inlineStr">
        <is>
          <t>Piso de O2 (T de diseño de la bomba) [K]</t>
        </is>
      </c>
      <c r="C104" s="16" t="inlineStr">
        <is>
          <t>Barrida</t>
        </is>
      </c>
      <c r="D104" s="16" t="inlineStr">
        <is>
          <t>278.2 – 303.4</t>
        </is>
      </c>
      <c r="E104" s="16" t="n">
        <v>99</v>
      </c>
      <c r="F104" s="16" t="n"/>
      <c r="G104" s="16" t="inlineStr">
        <is>
          <t>K</t>
        </is>
      </c>
    </row>
    <row r="105">
      <c r="A105" s="16" t="inlineStr">
        <is>
          <t>4.3 x_b · ronda 0</t>
        </is>
      </c>
      <c r="B105" s="16" t="inlineStr">
        <is>
          <t>motor de propiedades</t>
        </is>
      </c>
      <c r="C105" s="16" t="inlineStr">
        <is>
          <t>Fija</t>
        </is>
      </c>
      <c r="D105" s="16" t="inlineStr">
        <is>
          <t>teqp</t>
        </is>
      </c>
      <c r="E105" s="16" t="n"/>
      <c r="F105" s="16" t="n"/>
      <c r="G105" s="16" t="inlineStr">
        <is>
          <t>–</t>
        </is>
      </c>
    </row>
    <row r="106">
      <c r="A106" s="16" t="inlineStr">
        <is>
          <t>4.3 x_b+T_fuente · ronda 1</t>
        </is>
      </c>
      <c r="B106" s="16" t="inlineStr">
        <is>
          <t>Temperatura de la fuente, T_fuente [K]</t>
        </is>
      </c>
      <c r="C106" s="16" t="inlineStr">
        <is>
          <t>Fija</t>
        </is>
      </c>
      <c r="D106" s="16" t="inlineStr">
        <is>
          <t>623.15</t>
        </is>
      </c>
      <c r="E106" s="16" t="n"/>
      <c r="F106" s="16" t="inlineStr">
        <is>
          <t>sí</t>
        </is>
      </c>
      <c r="G106" s="16" t="inlineStr">
        <is>
          <t>K</t>
        </is>
      </c>
    </row>
    <row r="107">
      <c r="A107" s="16" t="inlineStr">
        <is>
          <t>4.3 x_b+T_fuente · ronda 1</t>
        </is>
      </c>
      <c r="B107" s="16" t="inlineStr">
        <is>
          <t>Temperatura del sumidero, T_sumidero [K]</t>
        </is>
      </c>
      <c r="C107" s="16" t="inlineStr">
        <is>
          <t>Barrida</t>
        </is>
      </c>
      <c r="D107" s="16" t="inlineStr">
        <is>
          <t>278.8 – 302.9</t>
        </is>
      </c>
      <c r="E107" s="16" t="n">
        <v>30</v>
      </c>
      <c r="F107" s="16" t="n"/>
      <c r="G107" s="16" t="inlineStr">
        <is>
          <t>K</t>
        </is>
      </c>
    </row>
    <row r="108">
      <c r="A108" s="16" t="inlineStr">
        <is>
          <t>4.3 x_b+T_fuente · ronda 1</t>
        </is>
      </c>
      <c r="B108" s="16" t="inlineStr">
        <is>
          <t>Presión de alta, P_alta [kPa]</t>
        </is>
      </c>
      <c r="C108" s="16" t="inlineStr">
        <is>
          <t>Barrida</t>
        </is>
      </c>
      <c r="D108" s="16" t="inlineStr">
        <is>
          <t>2053 – 4944</t>
        </is>
      </c>
      <c r="E108" s="16" t="n">
        <v>30</v>
      </c>
      <c r="F108" s="16" t="n"/>
      <c r="G108" s="16" t="inlineStr">
        <is>
          <t>kPa</t>
        </is>
      </c>
    </row>
    <row r="109">
      <c r="A109" s="16" t="inlineStr">
        <is>
          <t>4.3 x_b+T_fuente · ronda 1</t>
        </is>
      </c>
      <c r="B109" s="16" t="inlineStr">
        <is>
          <t>Presión de baja, P_baja [kPa]</t>
        </is>
      </c>
      <c r="C109" s="16" t="inlineStr">
        <is>
          <t>Barrida</t>
        </is>
      </c>
      <c r="D109" s="16" t="inlineStr">
        <is>
          <t>340.4 – 1957</t>
        </is>
      </c>
      <c r="E109" s="16" t="n">
        <v>30</v>
      </c>
      <c r="F109" s="16" t="n"/>
      <c r="G109" s="16" t="inlineStr">
        <is>
          <t>kPa</t>
        </is>
      </c>
    </row>
    <row r="110">
      <c r="A110" s="16" t="inlineStr">
        <is>
          <t>4.3 x_b+T_fuente · ronda 1</t>
        </is>
      </c>
      <c r="B110" s="16" t="inlineStr">
        <is>
          <t>Fracción de amoníaco de la mezcla base, x_b [–]</t>
        </is>
      </c>
      <c r="C110" s="16" t="inlineStr">
        <is>
          <t>Fija</t>
        </is>
      </c>
      <c r="D110" s="16" t="inlineStr">
        <is>
          <t>0.5</t>
        </is>
      </c>
      <c r="E110" s="16" t="n"/>
      <c r="F110" s="16" t="inlineStr">
        <is>
          <t>sí</t>
        </is>
      </c>
      <c r="G110" s="16" t="inlineStr">
        <is>
          <t>–</t>
        </is>
      </c>
    </row>
    <row r="111">
      <c r="A111" s="16" t="inlineStr">
        <is>
          <t>4.3 x_b+T_fuente · ronda 1</t>
        </is>
      </c>
      <c r="B111" s="16" t="inlineStr">
        <is>
          <t>Flujo másico base, m_b [kg/s]</t>
        </is>
      </c>
      <c r="C111" s="16" t="inlineStr">
        <is>
          <t>Fija</t>
        </is>
      </c>
      <c r="D111" s="16" t="inlineStr">
        <is>
          <t>1.0</t>
        </is>
      </c>
      <c r="E111" s="16" t="n"/>
      <c r="F111" s="16" t="inlineStr">
        <is>
          <t>sí</t>
        </is>
      </c>
      <c r="G111" s="16" t="inlineStr">
        <is>
          <t>kg/s</t>
        </is>
      </c>
    </row>
    <row r="112">
      <c r="A112" s="16" t="inlineStr">
        <is>
          <t>4.3 x_b+T_fuente · ronda 1</t>
        </is>
      </c>
      <c r="B112" s="16" t="inlineStr">
        <is>
          <t>Eficiencia isentrópica de la turbina, η_t [–]</t>
        </is>
      </c>
      <c r="C112" s="16" t="inlineStr">
        <is>
          <t>Barrida</t>
        </is>
      </c>
      <c r="D112" s="16" t="inlineStr">
        <is>
          <t>0.405 – 0.947</t>
        </is>
      </c>
      <c r="E112" s="16" t="n">
        <v>30</v>
      </c>
      <c r="F112" s="16" t="n"/>
      <c r="G112" s="16" t="inlineStr">
        <is>
          <t>–</t>
        </is>
      </c>
    </row>
    <row r="113">
      <c r="A113" s="16" t="inlineStr">
        <is>
          <t>4.3 x_b+T_fuente · ronda 1</t>
        </is>
      </c>
      <c r="B113" s="16" t="inlineStr">
        <is>
          <t>Eficiencia isentrópica de la bomba, η_p [–]</t>
        </is>
      </c>
      <c r="C113" s="16" t="inlineStr">
        <is>
          <t>Barrida</t>
        </is>
      </c>
      <c r="D113" s="16" t="inlineStr">
        <is>
          <t>0.410 – 0.940</t>
        </is>
      </c>
      <c r="E113" s="16" t="n">
        <v>30</v>
      </c>
      <c r="F113" s="16" t="n"/>
      <c r="G113" s="16" t="inlineStr">
        <is>
          <t>–</t>
        </is>
      </c>
    </row>
    <row r="114">
      <c r="A114" s="16" t="inlineStr">
        <is>
          <t>4.3 x_b+T_fuente · ronda 1</t>
        </is>
      </c>
      <c r="B114" s="16" t="inlineStr">
        <is>
          <t>Efectividad del generador de vapor, ε_HRVG [–]</t>
        </is>
      </c>
      <c r="C114" s="16" t="inlineStr">
        <is>
          <t>Barrida</t>
        </is>
      </c>
      <c r="D114" s="16" t="inlineStr">
        <is>
          <t>0.414 – 0.935</t>
        </is>
      </c>
      <c r="E114" s="16" t="n">
        <v>30</v>
      </c>
      <c r="F114" s="16" t="n"/>
      <c r="G114" s="16" t="inlineStr">
        <is>
          <t>–</t>
        </is>
      </c>
    </row>
    <row r="115">
      <c r="A115" s="16" t="inlineStr">
        <is>
          <t>4.3 x_b+T_fuente · ronda 1</t>
        </is>
      </c>
      <c r="B115" s="16" t="inlineStr">
        <is>
          <t>Efectividad del regenerador, ε_reg [–]</t>
        </is>
      </c>
      <c r="C115" s="16" t="inlineStr">
        <is>
          <t>Barrida</t>
        </is>
      </c>
      <c r="D115" s="16" t="inlineStr">
        <is>
          <t>0.401 – 0.939</t>
        </is>
      </c>
      <c r="E115" s="16" t="n">
        <v>30</v>
      </c>
      <c r="F115" s="16" t="n"/>
      <c r="G115" s="16" t="inlineStr">
        <is>
          <t>–</t>
        </is>
      </c>
    </row>
    <row r="116">
      <c r="A116" s="16" t="inlineStr">
        <is>
          <t>4.3 x_b+T_fuente · ronda 1</t>
        </is>
      </c>
      <c r="B116" s="16" t="inlineStr">
        <is>
          <t>Efectividad del condensador, ε_cond [–]</t>
        </is>
      </c>
      <c r="C116" s="16" t="inlineStr">
        <is>
          <t>Barrida</t>
        </is>
      </c>
      <c r="D116" s="16" t="inlineStr">
        <is>
          <t>0.406 – 0.944</t>
        </is>
      </c>
      <c r="E116" s="16" t="n">
        <v>30</v>
      </c>
      <c r="F116" s="16" t="n"/>
      <c r="G116" s="16" t="inlineStr">
        <is>
          <t>–</t>
        </is>
      </c>
    </row>
    <row r="117">
      <c r="A117" s="16" t="inlineStr">
        <is>
          <t>4.3 x_b+T_fuente · ronda 1</t>
        </is>
      </c>
      <c r="B117" s="16" t="inlineStr">
        <is>
          <t>Piso de O2 (T de diseño de la bomba) [K]</t>
        </is>
      </c>
      <c r="C117" s="16" t="inlineStr">
        <is>
          <t>Barrida</t>
        </is>
      </c>
      <c r="D117" s="16" t="inlineStr">
        <is>
          <t>278.8 – 302.9</t>
        </is>
      </c>
      <c r="E117" s="16" t="n">
        <v>29</v>
      </c>
      <c r="F117" s="16" t="n"/>
      <c r="G117" s="16" t="inlineStr">
        <is>
          <t>K</t>
        </is>
      </c>
    </row>
    <row r="118">
      <c r="A118" s="16" t="inlineStr">
        <is>
          <t>4.3 x_b+T_fuente · ronda 1</t>
        </is>
      </c>
      <c r="B118" s="16" t="inlineStr">
        <is>
          <t>motor de propiedades</t>
        </is>
      </c>
      <c r="C118" s="16" t="inlineStr">
        <is>
          <t>Fija</t>
        </is>
      </c>
      <c r="D118" s="16" t="inlineStr">
        <is>
          <t>teqp</t>
        </is>
      </c>
      <c r="E118" s="16" t="n"/>
      <c r="F118" s="16" t="n"/>
      <c r="G118" s="16" t="inlineStr">
        <is>
          <t>–</t>
        </is>
      </c>
    </row>
    <row r="119">
      <c r="A119" s="16" t="inlineStr">
        <is>
          <t>4.3 x_b+eficiencias · ronda 1</t>
        </is>
      </c>
      <c r="B119" s="16" t="inlineStr">
        <is>
          <t>Temperatura de la fuente, T_fuente [K]</t>
        </is>
      </c>
      <c r="C119" s="16" t="inlineStr">
        <is>
          <t>Barrida</t>
        </is>
      </c>
      <c r="D119" s="16" t="inlineStr">
        <is>
          <t>384.0 – 517.0</t>
        </is>
      </c>
      <c r="E119" s="16" t="n">
        <v>30</v>
      </c>
      <c r="F119" s="16" t="n"/>
      <c r="G119" s="16" t="inlineStr">
        <is>
          <t>K</t>
        </is>
      </c>
    </row>
    <row r="120">
      <c r="A120" s="16" t="inlineStr">
        <is>
          <t>4.3 x_b+eficiencias · ronda 1</t>
        </is>
      </c>
      <c r="B120" s="16" t="inlineStr">
        <is>
          <t>Temperatura del sumidero, T_sumidero [K]</t>
        </is>
      </c>
      <c r="C120" s="16" t="inlineStr">
        <is>
          <t>Barrida</t>
        </is>
      </c>
      <c r="D120" s="16" t="inlineStr">
        <is>
          <t>278.5 – 303.5</t>
        </is>
      </c>
      <c r="E120" s="16" t="n">
        <v>30</v>
      </c>
      <c r="F120" s="16" t="n"/>
      <c r="G120" s="16" t="inlineStr">
        <is>
          <t>K</t>
        </is>
      </c>
    </row>
    <row r="121">
      <c r="A121" s="16" t="inlineStr">
        <is>
          <t>4.3 x_b+eficiencias · ronda 1</t>
        </is>
      </c>
      <c r="B121" s="16" t="inlineStr">
        <is>
          <t>Presión de alta, P_alta [kPa]</t>
        </is>
      </c>
      <c r="C121" s="16" t="inlineStr">
        <is>
          <t>Barrida</t>
        </is>
      </c>
      <c r="D121" s="16" t="inlineStr">
        <is>
          <t>2058 – 4961</t>
        </is>
      </c>
      <c r="E121" s="16" t="n">
        <v>30</v>
      </c>
      <c r="F121" s="16" t="n"/>
      <c r="G121" s="16" t="inlineStr">
        <is>
          <t>kPa</t>
        </is>
      </c>
    </row>
    <row r="122">
      <c r="A122" s="16" t="inlineStr">
        <is>
          <t>4.3 x_b+eficiencias · ronda 1</t>
        </is>
      </c>
      <c r="B122" s="16" t="inlineStr">
        <is>
          <t>Presión de baja, P_baja [kPa]</t>
        </is>
      </c>
      <c r="C122" s="16" t="inlineStr">
        <is>
          <t>Barrida</t>
        </is>
      </c>
      <c r="D122" s="16" t="inlineStr">
        <is>
          <t>330.1 – 1944</t>
        </is>
      </c>
      <c r="E122" s="16" t="n">
        <v>30</v>
      </c>
      <c r="F122" s="16" t="n"/>
      <c r="G122" s="16" t="inlineStr">
        <is>
          <t>kPa</t>
        </is>
      </c>
    </row>
    <row r="123">
      <c r="A123" s="16" t="inlineStr">
        <is>
          <t>4.3 x_b+eficiencias · ronda 1</t>
        </is>
      </c>
      <c r="B123" s="16" t="inlineStr">
        <is>
          <t>Fracción de amoníaco de la mezcla base, x_b [–]</t>
        </is>
      </c>
      <c r="C123" s="16" t="inlineStr">
        <is>
          <t>Fija</t>
        </is>
      </c>
      <c r="D123" s="16" t="inlineStr">
        <is>
          <t>0.5</t>
        </is>
      </c>
      <c r="E123" s="16" t="n"/>
      <c r="F123" s="16" t="inlineStr">
        <is>
          <t>sí</t>
        </is>
      </c>
      <c r="G123" s="16" t="inlineStr">
        <is>
          <t>–</t>
        </is>
      </c>
    </row>
    <row r="124">
      <c r="A124" s="16" t="inlineStr">
        <is>
          <t>4.3 x_b+eficiencias · ronda 1</t>
        </is>
      </c>
      <c r="B124" s="16" t="inlineStr">
        <is>
          <t>Flujo másico base, m_b [kg/s]</t>
        </is>
      </c>
      <c r="C124" s="16" t="inlineStr">
        <is>
          <t>Fija</t>
        </is>
      </c>
      <c r="D124" s="16" t="inlineStr">
        <is>
          <t>1.0</t>
        </is>
      </c>
      <c r="E124" s="16" t="n"/>
      <c r="F124" s="16" t="inlineStr">
        <is>
          <t>sí</t>
        </is>
      </c>
      <c r="G124" s="16" t="inlineStr">
        <is>
          <t>kg/s</t>
        </is>
      </c>
    </row>
    <row r="125">
      <c r="A125" s="16" t="inlineStr">
        <is>
          <t>4.3 x_b+eficiencias · ronda 1</t>
        </is>
      </c>
      <c r="B125" s="16" t="inlineStr">
        <is>
          <t>Eficiencia isentrópica de la turbina, η_t [–]</t>
        </is>
      </c>
      <c r="C125" s="16" t="inlineStr">
        <is>
          <t>Fija</t>
        </is>
      </c>
      <c r="D125" s="16" t="inlineStr">
        <is>
          <t>0.85</t>
        </is>
      </c>
      <c r="E125" s="16" t="n"/>
      <c r="F125" s="16" t="inlineStr">
        <is>
          <t>sí</t>
        </is>
      </c>
      <c r="G125" s="16" t="inlineStr">
        <is>
          <t>–</t>
        </is>
      </c>
    </row>
    <row r="126">
      <c r="A126" s="16" t="inlineStr">
        <is>
          <t>4.3 x_b+eficiencias · ronda 1</t>
        </is>
      </c>
      <c r="B126" s="16" t="inlineStr">
        <is>
          <t>Eficiencia isentrópica de la bomba, η_p [–]</t>
        </is>
      </c>
      <c r="C126" s="16" t="inlineStr">
        <is>
          <t>Fija</t>
        </is>
      </c>
      <c r="D126" s="16" t="inlineStr">
        <is>
          <t>0.75</t>
        </is>
      </c>
      <c r="E126" s="16" t="n"/>
      <c r="F126" s="16" t="inlineStr">
        <is>
          <t>sí</t>
        </is>
      </c>
      <c r="G126" s="16" t="inlineStr">
        <is>
          <t>–</t>
        </is>
      </c>
    </row>
    <row r="127">
      <c r="A127" s="16" t="inlineStr">
        <is>
          <t>4.3 x_b+eficiencias · ronda 1</t>
        </is>
      </c>
      <c r="B127" s="16" t="inlineStr">
        <is>
          <t>Efectividad del generador de vapor, ε_HRVG [–]</t>
        </is>
      </c>
      <c r="C127" s="16" t="inlineStr">
        <is>
          <t>Fija</t>
        </is>
      </c>
      <c r="D127" s="16" t="inlineStr">
        <is>
          <t>0.85</t>
        </is>
      </c>
      <c r="E127" s="16" t="n"/>
      <c r="F127" s="16" t="inlineStr">
        <is>
          <t>sí</t>
        </is>
      </c>
      <c r="G127" s="16" t="inlineStr">
        <is>
          <t>–</t>
        </is>
      </c>
    </row>
    <row r="128">
      <c r="A128" s="16" t="inlineStr">
        <is>
          <t>4.3 x_b+eficiencias · ronda 1</t>
        </is>
      </c>
      <c r="B128" s="16" t="inlineStr">
        <is>
          <t>Efectividad del regenerador, ε_reg [–]</t>
        </is>
      </c>
      <c r="C128" s="16" t="inlineStr">
        <is>
          <t>Fija</t>
        </is>
      </c>
      <c r="D128" s="16" t="inlineStr">
        <is>
          <t>0.75</t>
        </is>
      </c>
      <c r="E128" s="16" t="n"/>
      <c r="F128" s="16" t="inlineStr">
        <is>
          <t>sí</t>
        </is>
      </c>
      <c r="G128" s="16" t="inlineStr">
        <is>
          <t>–</t>
        </is>
      </c>
    </row>
    <row r="129">
      <c r="A129" s="16" t="inlineStr">
        <is>
          <t>4.3 x_b+eficiencias · ronda 1</t>
        </is>
      </c>
      <c r="B129" s="16" t="inlineStr">
        <is>
          <t>Efectividad del condensador, ε_cond [–]</t>
        </is>
      </c>
      <c r="C129" s="16" t="inlineStr">
        <is>
          <t>Fija</t>
        </is>
      </c>
      <c r="D129" s="16" t="inlineStr">
        <is>
          <t>0.8</t>
        </is>
      </c>
      <c r="E129" s="16" t="n"/>
      <c r="F129" s="16" t="inlineStr">
        <is>
          <t>sí</t>
        </is>
      </c>
      <c r="G129" s="16" t="inlineStr">
        <is>
          <t>–</t>
        </is>
      </c>
    </row>
    <row r="130">
      <c r="A130" s="16" t="inlineStr">
        <is>
          <t>4.3 x_b+eficiencias · ronda 1</t>
        </is>
      </c>
      <c r="B130" s="16" t="inlineStr">
        <is>
          <t>Piso de O2 (T de diseño de la bomba) [K]</t>
        </is>
      </c>
      <c r="C130" s="16" t="inlineStr">
        <is>
          <t>Barrida</t>
        </is>
      </c>
      <c r="D130" s="16" t="inlineStr">
        <is>
          <t>278.5 – 303.5</t>
        </is>
      </c>
      <c r="E130" s="16" t="n">
        <v>30</v>
      </c>
      <c r="F130" s="16" t="n"/>
      <c r="G130" s="16" t="inlineStr">
        <is>
          <t>K</t>
        </is>
      </c>
    </row>
    <row r="131">
      <c r="A131" s="16" t="inlineStr">
        <is>
          <t>4.3 x_b+eficiencias · ronda 1</t>
        </is>
      </c>
      <c r="B131" s="16" t="inlineStr">
        <is>
          <t>motor de propiedades</t>
        </is>
      </c>
      <c r="C131" s="16" t="inlineStr">
        <is>
          <t>Fija</t>
        </is>
      </c>
      <c r="D131" s="16" t="inlineStr">
        <is>
          <t>teqp</t>
        </is>
      </c>
      <c r="E131" s="16" t="n"/>
      <c r="F131" s="16" t="n"/>
      <c r="G131" s="16" t="inlineStr">
        <is>
          <t>–</t>
        </is>
      </c>
    </row>
    <row r="132">
      <c r="A132" s="16" t="inlineStr">
        <is>
          <t>4.3 x_b+P_alta · ronda 1</t>
        </is>
      </c>
      <c r="B132" s="16" t="inlineStr">
        <is>
          <t>Temperatura de la fuente, T_fuente [K]</t>
        </is>
      </c>
      <c r="C132" s="16" t="inlineStr">
        <is>
          <t>Barrida</t>
        </is>
      </c>
      <c r="D132" s="16" t="inlineStr">
        <is>
          <t>382.6 – 518.1</t>
        </is>
      </c>
      <c r="E132" s="16" t="n">
        <v>30</v>
      </c>
      <c r="F132" s="16" t="n"/>
      <c r="G132" s="16" t="inlineStr">
        <is>
          <t>K</t>
        </is>
      </c>
    </row>
    <row r="133">
      <c r="A133" s="16" t="inlineStr">
        <is>
          <t>4.3 x_b+P_alta · ronda 1</t>
        </is>
      </c>
      <c r="B133" s="16" t="inlineStr">
        <is>
          <t>Temperatura del sumidero, T_sumidero [K]</t>
        </is>
      </c>
      <c r="C133" s="16" t="inlineStr">
        <is>
          <t>Barrida</t>
        </is>
      </c>
      <c r="D133" s="16" t="inlineStr">
        <is>
          <t>278.4 – 302.7</t>
        </is>
      </c>
      <c r="E133" s="16" t="n">
        <v>30</v>
      </c>
      <c r="F133" s="16" t="n"/>
      <c r="G133" s="16" t="inlineStr">
        <is>
          <t>K</t>
        </is>
      </c>
    </row>
    <row r="134">
      <c r="A134" s="16" t="inlineStr">
        <is>
          <t>4.3 x_b+P_alta · ronda 1</t>
        </is>
      </c>
      <c r="B134" s="16" t="inlineStr">
        <is>
          <t>Presión de alta, P_alta [kPa]</t>
        </is>
      </c>
      <c r="C134" s="16" t="inlineStr">
        <is>
          <t>Fija</t>
        </is>
      </c>
      <c r="D134" s="16" t="inlineStr">
        <is>
          <t>3000.0</t>
        </is>
      </c>
      <c r="E134" s="16" t="n"/>
      <c r="F134" s="16" t="inlineStr">
        <is>
          <t>sí</t>
        </is>
      </c>
      <c r="G134" s="16" t="inlineStr">
        <is>
          <t>kPa</t>
        </is>
      </c>
    </row>
    <row r="135">
      <c r="A135" s="16" t="inlineStr">
        <is>
          <t>4.3 x_b+P_alta · ronda 1</t>
        </is>
      </c>
      <c r="B135" s="16" t="inlineStr">
        <is>
          <t>Presión de baja, P_baja [kPa]</t>
        </is>
      </c>
      <c r="C135" s="16" t="inlineStr">
        <is>
          <t>Barrida</t>
        </is>
      </c>
      <c r="D135" s="16" t="inlineStr">
        <is>
          <t>342.1 – 1990</t>
        </is>
      </c>
      <c r="E135" s="16" t="n">
        <v>30</v>
      </c>
      <c r="F135" s="16" t="n"/>
      <c r="G135" s="16" t="inlineStr">
        <is>
          <t>kPa</t>
        </is>
      </c>
    </row>
    <row r="136">
      <c r="A136" s="16" t="inlineStr">
        <is>
          <t>4.3 x_b+P_alta · ronda 1</t>
        </is>
      </c>
      <c r="B136" s="16" t="inlineStr">
        <is>
          <t>Fracción de amoníaco de la mezcla base, x_b [–]</t>
        </is>
      </c>
      <c r="C136" s="16" t="inlineStr">
        <is>
          <t>Fija</t>
        </is>
      </c>
      <c r="D136" s="16" t="inlineStr">
        <is>
          <t>0.5</t>
        </is>
      </c>
      <c r="E136" s="16" t="n"/>
      <c r="F136" s="16" t="inlineStr">
        <is>
          <t>sí</t>
        </is>
      </c>
      <c r="G136" s="16" t="inlineStr">
        <is>
          <t>–</t>
        </is>
      </c>
    </row>
    <row r="137">
      <c r="A137" s="16" t="inlineStr">
        <is>
          <t>4.3 x_b+P_alta · ronda 1</t>
        </is>
      </c>
      <c r="B137" s="16" t="inlineStr">
        <is>
          <t>Flujo másico base, m_b [kg/s]</t>
        </is>
      </c>
      <c r="C137" s="16" t="inlineStr">
        <is>
          <t>Fija</t>
        </is>
      </c>
      <c r="D137" s="16" t="inlineStr">
        <is>
          <t>1.0</t>
        </is>
      </c>
      <c r="E137" s="16" t="n"/>
      <c r="F137" s="16" t="inlineStr">
        <is>
          <t>sí</t>
        </is>
      </c>
      <c r="G137" s="16" t="inlineStr">
        <is>
          <t>kg/s</t>
        </is>
      </c>
    </row>
    <row r="138">
      <c r="A138" s="16" t="inlineStr">
        <is>
          <t>4.3 x_b+P_alta · ronda 1</t>
        </is>
      </c>
      <c r="B138" s="16" t="inlineStr">
        <is>
          <t>Eficiencia isentrópica de la turbina, η_t [–]</t>
        </is>
      </c>
      <c r="C138" s="16" t="inlineStr">
        <is>
          <t>Barrida</t>
        </is>
      </c>
      <c r="D138" s="16" t="inlineStr">
        <is>
          <t>0.411 – 0.936</t>
        </is>
      </c>
      <c r="E138" s="16" t="n">
        <v>30</v>
      </c>
      <c r="F138" s="16" t="n"/>
      <c r="G138" s="16" t="inlineStr">
        <is>
          <t>–</t>
        </is>
      </c>
    </row>
    <row r="139">
      <c r="A139" s="16" t="inlineStr">
        <is>
          <t>4.3 x_b+P_alta · ronda 1</t>
        </is>
      </c>
      <c r="B139" s="16" t="inlineStr">
        <is>
          <t>Eficiencia isentrópica de la bomba, η_p [–]</t>
        </is>
      </c>
      <c r="C139" s="16" t="inlineStr">
        <is>
          <t>Barrida</t>
        </is>
      </c>
      <c r="D139" s="16" t="inlineStr">
        <is>
          <t>0.416 – 0.947</t>
        </is>
      </c>
      <c r="E139" s="16" t="n">
        <v>30</v>
      </c>
      <c r="F139" s="16" t="n"/>
      <c r="G139" s="16" t="inlineStr">
        <is>
          <t>–</t>
        </is>
      </c>
    </row>
    <row r="140">
      <c r="A140" s="16" t="inlineStr">
        <is>
          <t>4.3 x_b+P_alta · ronda 1</t>
        </is>
      </c>
      <c r="B140" s="16" t="inlineStr">
        <is>
          <t>Efectividad del generador de vapor, ε_HRVG [–]</t>
        </is>
      </c>
      <c r="C140" s="16" t="inlineStr">
        <is>
          <t>Barrida</t>
        </is>
      </c>
      <c r="D140" s="16" t="inlineStr">
        <is>
          <t>0.403 – 0.946</t>
        </is>
      </c>
      <c r="E140" s="16" t="n">
        <v>30</v>
      </c>
      <c r="F140" s="16" t="n"/>
      <c r="G140" s="16" t="inlineStr">
        <is>
          <t>–</t>
        </is>
      </c>
    </row>
    <row r="141">
      <c r="A141" s="16" t="inlineStr">
        <is>
          <t>4.3 x_b+P_alta · ronda 1</t>
        </is>
      </c>
      <c r="B141" s="16" t="inlineStr">
        <is>
          <t>Efectividad del regenerador, ε_reg [–]</t>
        </is>
      </c>
      <c r="C141" s="16" t="inlineStr">
        <is>
          <t>Barrida</t>
        </is>
      </c>
      <c r="D141" s="16" t="inlineStr">
        <is>
          <t>0.416 – 0.934</t>
        </is>
      </c>
      <c r="E141" s="16" t="n">
        <v>30</v>
      </c>
      <c r="F141" s="16" t="n"/>
      <c r="G141" s="16" t="inlineStr">
        <is>
          <t>–</t>
        </is>
      </c>
    </row>
    <row r="142">
      <c r="A142" s="16" t="inlineStr">
        <is>
          <t>4.3 x_b+P_alta · ronda 1</t>
        </is>
      </c>
      <c r="B142" s="16" t="inlineStr">
        <is>
          <t>Efectividad del condensador, ε_cond [–]</t>
        </is>
      </c>
      <c r="C142" s="16" t="inlineStr">
        <is>
          <t>Barrida</t>
        </is>
      </c>
      <c r="D142" s="16" t="inlineStr">
        <is>
          <t>0.414 – 0.946</t>
        </is>
      </c>
      <c r="E142" s="16" t="n">
        <v>30</v>
      </c>
      <c r="F142" s="16" t="n"/>
      <c r="G142" s="16" t="inlineStr">
        <is>
          <t>–</t>
        </is>
      </c>
    </row>
    <row r="143">
      <c r="A143" s="16" t="inlineStr">
        <is>
          <t>4.3 x_b+P_alta · ronda 1</t>
        </is>
      </c>
      <c r="B143" s="16" t="inlineStr">
        <is>
          <t>Piso de O2 (T de diseño de la bomba) [K]</t>
        </is>
      </c>
      <c r="C143" s="16" t="inlineStr">
        <is>
          <t>Barrida</t>
        </is>
      </c>
      <c r="D143" s="16" t="inlineStr">
        <is>
          <t>278.4 – 302.7</t>
        </is>
      </c>
      <c r="E143" s="16" t="n">
        <v>30</v>
      </c>
      <c r="F143" s="16" t="n"/>
      <c r="G143" s="16" t="inlineStr">
        <is>
          <t>K</t>
        </is>
      </c>
    </row>
    <row r="144">
      <c r="A144" s="16" t="inlineStr">
        <is>
          <t>4.3 x_b+P_alta · ronda 1</t>
        </is>
      </c>
      <c r="B144" s="16" t="inlineStr">
        <is>
          <t>motor de propiedades</t>
        </is>
      </c>
      <c r="C144" s="16" t="inlineStr">
        <is>
          <t>Fija</t>
        </is>
      </c>
      <c r="D144" s="16" t="inlineStr">
        <is>
          <t>teqp</t>
        </is>
      </c>
      <c r="E144" s="16" t="n"/>
      <c r="F144" s="16" t="n"/>
      <c r="G144" s="16" t="inlineStr">
        <is>
          <t>–</t>
        </is>
      </c>
    </row>
    <row r="145">
      <c r="A145" s="16" t="inlineStr">
        <is>
          <t>4.3 x_b+P_baja · ronda 1</t>
        </is>
      </c>
      <c r="B145" s="16" t="inlineStr">
        <is>
          <t>Temperatura de la fuente, T_fuente [K]</t>
        </is>
      </c>
      <c r="C145" s="16" t="inlineStr">
        <is>
          <t>Barrida</t>
        </is>
      </c>
      <c r="D145" s="16" t="inlineStr">
        <is>
          <t>384.0 – 516.5</t>
        </is>
      </c>
      <c r="E145" s="16" t="n">
        <v>30</v>
      </c>
      <c r="F145" s="16" t="n"/>
      <c r="G145" s="16" t="inlineStr">
        <is>
          <t>K</t>
        </is>
      </c>
    </row>
    <row r="146">
      <c r="A146" s="16" t="inlineStr">
        <is>
          <t>4.3 x_b+P_baja · ronda 1</t>
        </is>
      </c>
      <c r="B146" s="16" t="inlineStr">
        <is>
          <t>Temperatura del sumidero, T_sumidero [K]</t>
        </is>
      </c>
      <c r="C146" s="16" t="inlineStr">
        <is>
          <t>Barrida</t>
        </is>
      </c>
      <c r="D146" s="16" t="inlineStr">
        <is>
          <t>278.7 – 303.4</t>
        </is>
      </c>
      <c r="E146" s="16" t="n">
        <v>30</v>
      </c>
      <c r="F146" s="16" t="n"/>
      <c r="G146" s="16" t="inlineStr">
        <is>
          <t>K</t>
        </is>
      </c>
    </row>
    <row r="147">
      <c r="A147" s="16" t="inlineStr">
        <is>
          <t>4.3 x_b+P_baja · ronda 1</t>
        </is>
      </c>
      <c r="B147" s="16" t="inlineStr">
        <is>
          <t>Presión de alta, P_alta [kPa]</t>
        </is>
      </c>
      <c r="C147" s="16" t="inlineStr">
        <is>
          <t>Barrida</t>
        </is>
      </c>
      <c r="D147" s="16" t="inlineStr">
        <is>
          <t>2075 – 4987</t>
        </is>
      </c>
      <c r="E147" s="16" t="n">
        <v>30</v>
      </c>
      <c r="F147" s="16" t="n"/>
      <c r="G147" s="16" t="inlineStr">
        <is>
          <t>kPa</t>
        </is>
      </c>
    </row>
    <row r="148">
      <c r="A148" s="16" t="inlineStr">
        <is>
          <t>4.3 x_b+P_baja · ronda 1</t>
        </is>
      </c>
      <c r="B148" s="16" t="inlineStr">
        <is>
          <t>Presión de baja, P_baja [kPa]</t>
        </is>
      </c>
      <c r="C148" s="16" t="inlineStr">
        <is>
          <t>Fija</t>
        </is>
      </c>
      <c r="D148" s="16" t="inlineStr">
        <is>
          <t>400.0</t>
        </is>
      </c>
      <c r="E148" s="16" t="n"/>
      <c r="F148" s="16" t="inlineStr">
        <is>
          <t>sí</t>
        </is>
      </c>
      <c r="G148" s="16" t="inlineStr">
        <is>
          <t>kPa</t>
        </is>
      </c>
    </row>
    <row r="149">
      <c r="A149" s="16" t="inlineStr">
        <is>
          <t>4.3 x_b+P_baja · ronda 1</t>
        </is>
      </c>
      <c r="B149" s="16" t="inlineStr">
        <is>
          <t>Fracción de amoníaco de la mezcla base, x_b [–]</t>
        </is>
      </c>
      <c r="C149" s="16" t="inlineStr">
        <is>
          <t>Fija</t>
        </is>
      </c>
      <c r="D149" s="16" t="inlineStr">
        <is>
          <t>0.5</t>
        </is>
      </c>
      <c r="E149" s="16" t="n"/>
      <c r="F149" s="16" t="inlineStr">
        <is>
          <t>sí</t>
        </is>
      </c>
      <c r="G149" s="16" t="inlineStr">
        <is>
          <t>–</t>
        </is>
      </c>
    </row>
    <row r="150">
      <c r="A150" s="16" t="inlineStr">
        <is>
          <t>4.3 x_b+P_baja · ronda 1</t>
        </is>
      </c>
      <c r="B150" s="16" t="inlineStr">
        <is>
          <t>Flujo másico base, m_b [kg/s]</t>
        </is>
      </c>
      <c r="C150" s="16" t="inlineStr">
        <is>
          <t>Fija</t>
        </is>
      </c>
      <c r="D150" s="16" t="inlineStr">
        <is>
          <t>1.0</t>
        </is>
      </c>
      <c r="E150" s="16" t="n"/>
      <c r="F150" s="16" t="inlineStr">
        <is>
          <t>sí</t>
        </is>
      </c>
      <c r="G150" s="16" t="inlineStr">
        <is>
          <t>kg/s</t>
        </is>
      </c>
    </row>
    <row r="151">
      <c r="A151" s="16" t="inlineStr">
        <is>
          <t>4.3 x_b+P_baja · ronda 1</t>
        </is>
      </c>
      <c r="B151" s="16" t="inlineStr">
        <is>
          <t>Eficiencia isentrópica de la turbina, η_t [–]</t>
        </is>
      </c>
      <c r="C151" s="16" t="inlineStr">
        <is>
          <t>Barrida</t>
        </is>
      </c>
      <c r="D151" s="16" t="inlineStr">
        <is>
          <t>0.403 – 0.948</t>
        </is>
      </c>
      <c r="E151" s="16" t="n">
        <v>30</v>
      </c>
      <c r="F151" s="16" t="n"/>
      <c r="G151" s="16" t="inlineStr">
        <is>
          <t>–</t>
        </is>
      </c>
    </row>
    <row r="152">
      <c r="A152" s="16" t="inlineStr">
        <is>
          <t>4.3 x_b+P_baja · ronda 1</t>
        </is>
      </c>
      <c r="B152" s="16" t="inlineStr">
        <is>
          <t>Eficiencia isentrópica de la bomba, η_p [–]</t>
        </is>
      </c>
      <c r="C152" s="16" t="inlineStr">
        <is>
          <t>Barrida</t>
        </is>
      </c>
      <c r="D152" s="16" t="inlineStr">
        <is>
          <t>0.418 – 0.948</t>
        </is>
      </c>
      <c r="E152" s="16" t="n">
        <v>30</v>
      </c>
      <c r="F152" s="16" t="n"/>
      <c r="G152" s="16" t="inlineStr">
        <is>
          <t>–</t>
        </is>
      </c>
    </row>
    <row r="153">
      <c r="A153" s="16" t="inlineStr">
        <is>
          <t>4.3 x_b+P_baja · ronda 1</t>
        </is>
      </c>
      <c r="B153" s="16" t="inlineStr">
        <is>
          <t>Efectividad del generador de vapor, ε_HRVG [–]</t>
        </is>
      </c>
      <c r="C153" s="16" t="inlineStr">
        <is>
          <t>Barrida</t>
        </is>
      </c>
      <c r="D153" s="16" t="inlineStr">
        <is>
          <t>0.404 – 0.943</t>
        </is>
      </c>
      <c r="E153" s="16" t="n">
        <v>30</v>
      </c>
      <c r="F153" s="16" t="n"/>
      <c r="G153" s="16" t="inlineStr">
        <is>
          <t>–</t>
        </is>
      </c>
    </row>
    <row r="154">
      <c r="A154" s="16" t="inlineStr">
        <is>
          <t>4.3 x_b+P_baja · ronda 1</t>
        </is>
      </c>
      <c r="B154" s="16" t="inlineStr">
        <is>
          <t>Efectividad del regenerador, ε_reg [–]</t>
        </is>
      </c>
      <c r="C154" s="16" t="inlineStr">
        <is>
          <t>Barrida</t>
        </is>
      </c>
      <c r="D154" s="16" t="inlineStr">
        <is>
          <t>0.404 – 0.941</t>
        </is>
      </c>
      <c r="E154" s="16" t="n">
        <v>30</v>
      </c>
      <c r="F154" s="16" t="n"/>
      <c r="G154" s="16" t="inlineStr">
        <is>
          <t>–</t>
        </is>
      </c>
    </row>
    <row r="155">
      <c r="A155" s="16" t="inlineStr">
        <is>
          <t>4.3 x_b+P_baja · ronda 1</t>
        </is>
      </c>
      <c r="B155" s="16" t="inlineStr">
        <is>
          <t>Efectividad del condensador, ε_cond [–]</t>
        </is>
      </c>
      <c r="C155" s="16" t="inlineStr">
        <is>
          <t>Barrida</t>
        </is>
      </c>
      <c r="D155" s="16" t="inlineStr">
        <is>
          <t>0.417 – 0.943</t>
        </is>
      </c>
      <c r="E155" s="16" t="n">
        <v>30</v>
      </c>
      <c r="F155" s="16" t="n"/>
      <c r="G155" s="16" t="inlineStr">
        <is>
          <t>–</t>
        </is>
      </c>
    </row>
    <row r="156">
      <c r="A156" s="16" t="inlineStr">
        <is>
          <t>4.3 x_b+P_baja · ronda 1</t>
        </is>
      </c>
      <c r="B156" s="16" t="inlineStr">
        <is>
          <t>Piso de O2 (T de diseño de la bomba) [K]</t>
        </is>
      </c>
      <c r="C156" s="16" t="inlineStr">
        <is>
          <t>Barrida</t>
        </is>
      </c>
      <c r="D156" s="16" t="inlineStr">
        <is>
          <t>278.7 – 303.4</t>
        </is>
      </c>
      <c r="E156" s="16" t="n">
        <v>30</v>
      </c>
      <c r="F156" s="16" t="n"/>
      <c r="G156" s="16" t="inlineStr">
        <is>
          <t>K</t>
        </is>
      </c>
    </row>
    <row r="157">
      <c r="A157" s="16" t="inlineStr">
        <is>
          <t>4.3 x_b+P_baja · ronda 1</t>
        </is>
      </c>
      <c r="B157" s="16" t="inlineStr">
        <is>
          <t>motor de propiedades</t>
        </is>
      </c>
      <c r="C157" s="16" t="inlineStr">
        <is>
          <t>Fija</t>
        </is>
      </c>
      <c r="D157" s="16" t="inlineStr">
        <is>
          <t>teqp</t>
        </is>
      </c>
      <c r="E157" s="16" t="n"/>
      <c r="F157" s="16" t="n"/>
      <c r="G157" s="16" t="inlineStr">
        <is>
          <t>–</t>
        </is>
      </c>
    </row>
    <row r="158">
      <c r="A158" s="16" t="inlineStr">
        <is>
          <t>4.3 x_b+T_sumidero · ronda 1</t>
        </is>
      </c>
      <c r="B158" s="16" t="inlineStr">
        <is>
          <t>Temperatura de la fuente, T_fuente [K]</t>
        </is>
      </c>
      <c r="C158" s="16" t="inlineStr">
        <is>
          <t>Barrida</t>
        </is>
      </c>
      <c r="D158" s="16" t="inlineStr">
        <is>
          <t>383.8 – 519.8</t>
        </is>
      </c>
      <c r="E158" s="16" t="n">
        <v>30</v>
      </c>
      <c r="F158" s="16" t="n"/>
      <c r="G158" s="16" t="inlineStr">
        <is>
          <t>K</t>
        </is>
      </c>
    </row>
    <row r="159">
      <c r="A159" s="16" t="inlineStr">
        <is>
          <t>4.3 x_b+T_sumidero · ronda 1</t>
        </is>
      </c>
      <c r="B159" s="16" t="inlineStr">
        <is>
          <t>Temperatura del sumidero, T_sumidero [K]</t>
        </is>
      </c>
      <c r="C159" s="16" t="inlineStr">
        <is>
          <t>Fija</t>
        </is>
      </c>
      <c r="D159" s="16" t="inlineStr">
        <is>
          <t>300.032917</t>
        </is>
      </c>
      <c r="E159" s="16" t="n"/>
      <c r="F159" s="16" t="inlineStr">
        <is>
          <t>sí</t>
        </is>
      </c>
      <c r="G159" s="16" t="inlineStr">
        <is>
          <t>K</t>
        </is>
      </c>
    </row>
    <row r="160">
      <c r="A160" s="16" t="inlineStr">
        <is>
          <t>4.3 x_b+T_sumidero · ronda 1</t>
        </is>
      </c>
      <c r="B160" s="16" t="inlineStr">
        <is>
          <t>Presión de alta, P_alta [kPa]</t>
        </is>
      </c>
      <c r="C160" s="16" t="inlineStr">
        <is>
          <t>Barrida</t>
        </is>
      </c>
      <c r="D160" s="16" t="inlineStr">
        <is>
          <t>2083 – 4924</t>
        </is>
      </c>
      <c r="E160" s="16" t="n">
        <v>30</v>
      </c>
      <c r="F160" s="16" t="n"/>
      <c r="G160" s="16" t="inlineStr">
        <is>
          <t>kPa</t>
        </is>
      </c>
    </row>
    <row r="161">
      <c r="A161" s="16" t="inlineStr">
        <is>
          <t>4.3 x_b+T_sumidero · ronda 1</t>
        </is>
      </c>
      <c r="B161" s="16" t="inlineStr">
        <is>
          <t>Presión de baja, P_baja [kPa]</t>
        </is>
      </c>
      <c r="C161" s="16" t="inlineStr">
        <is>
          <t>Barrida</t>
        </is>
      </c>
      <c r="D161" s="16" t="inlineStr">
        <is>
          <t>312.4 – 1973</t>
        </is>
      </c>
      <c r="E161" s="16" t="n">
        <v>30</v>
      </c>
      <c r="F161" s="16" t="n"/>
      <c r="G161" s="16" t="inlineStr">
        <is>
          <t>kPa</t>
        </is>
      </c>
    </row>
    <row r="162">
      <c r="A162" s="16" t="inlineStr">
        <is>
          <t>4.3 x_b+T_sumidero · ronda 1</t>
        </is>
      </c>
      <c r="B162" s="16" t="inlineStr">
        <is>
          <t>Fracción de amoníaco de la mezcla base, x_b [–]</t>
        </is>
      </c>
      <c r="C162" s="16" t="inlineStr">
        <is>
          <t>Fija</t>
        </is>
      </c>
      <c r="D162" s="16" t="inlineStr">
        <is>
          <t>0.5</t>
        </is>
      </c>
      <c r="E162" s="16" t="n"/>
      <c r="F162" s="16" t="inlineStr">
        <is>
          <t>sí</t>
        </is>
      </c>
      <c r="G162" s="16" t="inlineStr">
        <is>
          <t>–</t>
        </is>
      </c>
    </row>
    <row r="163">
      <c r="A163" s="16" t="inlineStr">
        <is>
          <t>4.3 x_b+T_sumidero · ronda 1</t>
        </is>
      </c>
      <c r="B163" s="16" t="inlineStr">
        <is>
          <t>Flujo másico base, m_b [kg/s]</t>
        </is>
      </c>
      <c r="C163" s="16" t="inlineStr">
        <is>
          <t>Fija</t>
        </is>
      </c>
      <c r="D163" s="16" t="inlineStr">
        <is>
          <t>1.0</t>
        </is>
      </c>
      <c r="E163" s="16" t="n"/>
      <c r="F163" s="16" t="inlineStr">
        <is>
          <t>sí</t>
        </is>
      </c>
      <c r="G163" s="16" t="inlineStr">
        <is>
          <t>kg/s</t>
        </is>
      </c>
    </row>
    <row r="164">
      <c r="A164" s="16" t="inlineStr">
        <is>
          <t>4.3 x_b+T_sumidero · ronda 1</t>
        </is>
      </c>
      <c r="B164" s="16" t="inlineStr">
        <is>
          <t>Eficiencia isentrópica de la turbina, η_t [–]</t>
        </is>
      </c>
      <c r="C164" s="16" t="inlineStr">
        <is>
          <t>Barrida</t>
        </is>
      </c>
      <c r="D164" s="16" t="inlineStr">
        <is>
          <t>0.402 – 0.933</t>
        </is>
      </c>
      <c r="E164" s="16" t="n">
        <v>30</v>
      </c>
      <c r="F164" s="16" t="n"/>
      <c r="G164" s="16" t="inlineStr">
        <is>
          <t>–</t>
        </is>
      </c>
    </row>
    <row r="165">
      <c r="A165" s="16" t="inlineStr">
        <is>
          <t>4.3 x_b+T_sumidero · ronda 1</t>
        </is>
      </c>
      <c r="B165" s="16" t="inlineStr">
        <is>
          <t>Eficiencia isentrópica de la bomba, η_p [–]</t>
        </is>
      </c>
      <c r="C165" s="16" t="inlineStr">
        <is>
          <t>Barrida</t>
        </is>
      </c>
      <c r="D165" s="16" t="inlineStr">
        <is>
          <t>0.414 – 0.941</t>
        </is>
      </c>
      <c r="E165" s="16" t="n">
        <v>30</v>
      </c>
      <c r="F165" s="16" t="n"/>
      <c r="G165" s="16" t="inlineStr">
        <is>
          <t>–</t>
        </is>
      </c>
    </row>
    <row r="166">
      <c r="A166" s="16" t="inlineStr">
        <is>
          <t>4.3 x_b+T_sumidero · ronda 1</t>
        </is>
      </c>
      <c r="B166" s="16" t="inlineStr">
        <is>
          <t>Efectividad del generador de vapor, ε_HRVG [–]</t>
        </is>
      </c>
      <c r="C166" s="16" t="inlineStr">
        <is>
          <t>Barrida</t>
        </is>
      </c>
      <c r="D166" s="16" t="inlineStr">
        <is>
          <t>0.417 – 0.950</t>
        </is>
      </c>
      <c r="E166" s="16" t="n">
        <v>30</v>
      </c>
      <c r="F166" s="16" t="n"/>
      <c r="G166" s="16" t="inlineStr">
        <is>
          <t>–</t>
        </is>
      </c>
    </row>
    <row r="167">
      <c r="A167" s="16" t="inlineStr">
        <is>
          <t>4.3 x_b+T_sumidero · ronda 1</t>
        </is>
      </c>
      <c r="B167" s="16" t="inlineStr">
        <is>
          <t>Efectividad del regenerador, ε_reg [–]</t>
        </is>
      </c>
      <c r="C167" s="16" t="inlineStr">
        <is>
          <t>Barrida</t>
        </is>
      </c>
      <c r="D167" s="16" t="inlineStr">
        <is>
          <t>0.412 – 0.932</t>
        </is>
      </c>
      <c r="E167" s="16" t="n">
        <v>30</v>
      </c>
      <c r="F167" s="16" t="n"/>
      <c r="G167" s="16" t="inlineStr">
        <is>
          <t>–</t>
        </is>
      </c>
    </row>
    <row r="168">
      <c r="A168" s="16" t="inlineStr">
        <is>
          <t>4.3 x_b+T_sumidero · ronda 1</t>
        </is>
      </c>
      <c r="B168" s="16" t="inlineStr">
        <is>
          <t>Efectividad del condensador, ε_cond [–]</t>
        </is>
      </c>
      <c r="C168" s="16" t="inlineStr">
        <is>
          <t>Barrida</t>
        </is>
      </c>
      <c r="D168" s="16" t="inlineStr">
        <is>
          <t>0.415 – 0.936</t>
        </is>
      </c>
      <c r="E168" s="16" t="n">
        <v>30</v>
      </c>
      <c r="F168" s="16" t="n"/>
      <c r="G168" s="16" t="inlineStr">
        <is>
          <t>–</t>
        </is>
      </c>
    </row>
    <row r="169">
      <c r="A169" s="16" t="inlineStr">
        <is>
          <t>4.3 x_b+T_sumidero · ronda 1</t>
        </is>
      </c>
      <c r="B169" s="16" t="inlineStr">
        <is>
          <t>Piso de O2 (T de diseño de la bomba) [K]</t>
        </is>
      </c>
      <c r="C169" s="16" t="inlineStr">
        <is>
          <t>Fija</t>
        </is>
      </c>
      <c r="D169" s="16" t="inlineStr">
        <is>
          <t>300.032917</t>
        </is>
      </c>
      <c r="E169" s="16" t="n"/>
      <c r="F169" s="16" t="inlineStr">
        <is>
          <t>sí</t>
        </is>
      </c>
      <c r="G169" s="16" t="inlineStr">
        <is>
          <t>K</t>
        </is>
      </c>
    </row>
    <row r="170">
      <c r="A170" s="16" t="inlineStr">
        <is>
          <t>4.3 x_b+T_sumidero · ronda 1</t>
        </is>
      </c>
      <c r="B170" s="16" t="inlineStr">
        <is>
          <t>motor de propiedades</t>
        </is>
      </c>
      <c r="C170" s="16" t="inlineStr">
        <is>
          <t>Fija</t>
        </is>
      </c>
      <c r="D170" s="16" t="inlineStr">
        <is>
          <t>teqp</t>
        </is>
      </c>
      <c r="E170" s="16" t="n"/>
      <c r="F170" s="16" t="n"/>
      <c r="G170" s="16" t="inlineStr">
        <is>
          <t>–</t>
        </is>
      </c>
    </row>
    <row r="171">
      <c r="A171" s="16" t="inlineStr">
        <is>
          <t>4.3 x_b+P_alta+T_fuente · ronda 2</t>
        </is>
      </c>
      <c r="B171" s="16" t="inlineStr">
        <is>
          <t>Temperatura de la fuente, T_fuente [K]</t>
        </is>
      </c>
      <c r="C171" s="16" t="inlineStr">
        <is>
          <t>Fija</t>
        </is>
      </c>
      <c r="D171" s="16" t="inlineStr">
        <is>
          <t>623.15</t>
        </is>
      </c>
      <c r="E171" s="16" t="n"/>
      <c r="F171" s="16" t="inlineStr">
        <is>
          <t>sí</t>
        </is>
      </c>
      <c r="G171" s="16" t="inlineStr">
        <is>
          <t>K</t>
        </is>
      </c>
    </row>
    <row r="172">
      <c r="A172" s="16" t="inlineStr">
        <is>
          <t>4.3 x_b+P_alta+T_fuente · ronda 2</t>
        </is>
      </c>
      <c r="B172" s="16" t="inlineStr">
        <is>
          <t>Temperatura del sumidero, T_sumidero [K]</t>
        </is>
      </c>
      <c r="C172" s="16" t="inlineStr">
        <is>
          <t>Barrida</t>
        </is>
      </c>
      <c r="D172" s="16" t="inlineStr">
        <is>
          <t>278.6 – 303.1</t>
        </is>
      </c>
      <c r="E172" s="16" t="n">
        <v>30</v>
      </c>
      <c r="F172" s="16" t="n"/>
      <c r="G172" s="16" t="inlineStr">
        <is>
          <t>K</t>
        </is>
      </c>
    </row>
    <row r="173">
      <c r="A173" s="16" t="inlineStr">
        <is>
          <t>4.3 x_b+P_alta+T_fuente · ronda 2</t>
        </is>
      </c>
      <c r="B173" s="16" t="inlineStr">
        <is>
          <t>Presión de alta, P_alta [kPa]</t>
        </is>
      </c>
      <c r="C173" s="16" t="inlineStr">
        <is>
          <t>Fija</t>
        </is>
      </c>
      <c r="D173" s="16" t="inlineStr">
        <is>
          <t>3000.0</t>
        </is>
      </c>
      <c r="E173" s="16" t="n"/>
      <c r="F173" s="16" t="inlineStr">
        <is>
          <t>sí</t>
        </is>
      </c>
      <c r="G173" s="16" t="inlineStr">
        <is>
          <t>kPa</t>
        </is>
      </c>
    </row>
    <row r="174">
      <c r="A174" s="16" t="inlineStr">
        <is>
          <t>4.3 x_b+P_alta+T_fuente · ronda 2</t>
        </is>
      </c>
      <c r="B174" s="16" t="inlineStr">
        <is>
          <t>Presión de baja, P_baja [kPa]</t>
        </is>
      </c>
      <c r="C174" s="16" t="inlineStr">
        <is>
          <t>Barrida</t>
        </is>
      </c>
      <c r="D174" s="16" t="inlineStr">
        <is>
          <t>311.2 – 1975</t>
        </is>
      </c>
      <c r="E174" s="16" t="n">
        <v>30</v>
      </c>
      <c r="F174" s="16" t="n"/>
      <c r="G174" s="16" t="inlineStr">
        <is>
          <t>kPa</t>
        </is>
      </c>
    </row>
    <row r="175">
      <c r="A175" s="16" t="inlineStr">
        <is>
          <t>4.3 x_b+P_alta+T_fuente · ronda 2</t>
        </is>
      </c>
      <c r="B175" s="16" t="inlineStr">
        <is>
          <t>Fracción de amoníaco de la mezcla base, x_b [–]</t>
        </is>
      </c>
      <c r="C175" s="16" t="inlineStr">
        <is>
          <t>Fija</t>
        </is>
      </c>
      <c r="D175" s="16" t="inlineStr">
        <is>
          <t>0.5</t>
        </is>
      </c>
      <c r="E175" s="16" t="n"/>
      <c r="F175" s="16" t="inlineStr">
        <is>
          <t>sí</t>
        </is>
      </c>
      <c r="G175" s="16" t="inlineStr">
        <is>
          <t>–</t>
        </is>
      </c>
    </row>
    <row r="176">
      <c r="A176" s="16" t="inlineStr">
        <is>
          <t>4.3 x_b+P_alta+T_fuente · ronda 2</t>
        </is>
      </c>
      <c r="B176" s="16" t="inlineStr">
        <is>
          <t>Flujo másico base, m_b [kg/s]</t>
        </is>
      </c>
      <c r="C176" s="16" t="inlineStr">
        <is>
          <t>Fija</t>
        </is>
      </c>
      <c r="D176" s="16" t="inlineStr">
        <is>
          <t>1.0</t>
        </is>
      </c>
      <c r="E176" s="16" t="n"/>
      <c r="F176" s="16" t="inlineStr">
        <is>
          <t>sí</t>
        </is>
      </c>
      <c r="G176" s="16" t="inlineStr">
        <is>
          <t>kg/s</t>
        </is>
      </c>
    </row>
    <row r="177">
      <c r="A177" s="16" t="inlineStr">
        <is>
          <t>4.3 x_b+P_alta+T_fuente · ronda 2</t>
        </is>
      </c>
      <c r="B177" s="16" t="inlineStr">
        <is>
          <t>Eficiencia isentrópica de la turbina, η_t [–]</t>
        </is>
      </c>
      <c r="C177" s="16" t="inlineStr">
        <is>
          <t>Barrida</t>
        </is>
      </c>
      <c r="D177" s="16" t="inlineStr">
        <is>
          <t>0.405 – 0.943</t>
        </is>
      </c>
      <c r="E177" s="16" t="n">
        <v>30</v>
      </c>
      <c r="F177" s="16" t="n"/>
      <c r="G177" s="16" t="inlineStr">
        <is>
          <t>–</t>
        </is>
      </c>
    </row>
    <row r="178">
      <c r="A178" s="16" t="inlineStr">
        <is>
          <t>4.3 x_b+P_alta+T_fuente · ronda 2</t>
        </is>
      </c>
      <c r="B178" s="16" t="inlineStr">
        <is>
          <t>Eficiencia isentrópica de la bomba, η_p [–]</t>
        </is>
      </c>
      <c r="C178" s="16" t="inlineStr">
        <is>
          <t>Barrida</t>
        </is>
      </c>
      <c r="D178" s="16" t="inlineStr">
        <is>
          <t>0.408 – 0.939</t>
        </is>
      </c>
      <c r="E178" s="16" t="n">
        <v>30</v>
      </c>
      <c r="F178" s="16" t="n"/>
      <c r="G178" s="16" t="inlineStr">
        <is>
          <t>–</t>
        </is>
      </c>
    </row>
    <row r="179">
      <c r="A179" s="16" t="inlineStr">
        <is>
          <t>4.3 x_b+P_alta+T_fuente · ronda 2</t>
        </is>
      </c>
      <c r="B179" s="16" t="inlineStr">
        <is>
          <t>Efectividad del generador de vapor, ε_HRVG [–]</t>
        </is>
      </c>
      <c r="C179" s="16" t="inlineStr">
        <is>
          <t>Barrida</t>
        </is>
      </c>
      <c r="D179" s="16" t="inlineStr">
        <is>
          <t>0.410 – 0.934</t>
        </is>
      </c>
      <c r="E179" s="16" t="n">
        <v>30</v>
      </c>
      <c r="F179" s="16" t="n"/>
      <c r="G179" s="16" t="inlineStr">
        <is>
          <t>–</t>
        </is>
      </c>
    </row>
    <row r="180">
      <c r="A180" s="16" t="inlineStr">
        <is>
          <t>4.3 x_b+P_alta+T_fuente · ronda 2</t>
        </is>
      </c>
      <c r="B180" s="16" t="inlineStr">
        <is>
          <t>Efectividad del regenerador, ε_reg [–]</t>
        </is>
      </c>
      <c r="C180" s="16" t="inlineStr">
        <is>
          <t>Barrida</t>
        </is>
      </c>
      <c r="D180" s="16" t="inlineStr">
        <is>
          <t>0.410 – 0.946</t>
        </is>
      </c>
      <c r="E180" s="16" t="n">
        <v>30</v>
      </c>
      <c r="F180" s="16" t="n"/>
      <c r="G180" s="16" t="inlineStr">
        <is>
          <t>–</t>
        </is>
      </c>
    </row>
    <row r="181">
      <c r="A181" s="16" t="inlineStr">
        <is>
          <t>4.3 x_b+P_alta+T_fuente · ronda 2</t>
        </is>
      </c>
      <c r="B181" s="16" t="inlineStr">
        <is>
          <t>Efectividad del condensador, ε_cond [–]</t>
        </is>
      </c>
      <c r="C181" s="16" t="inlineStr">
        <is>
          <t>Barrida</t>
        </is>
      </c>
      <c r="D181" s="16" t="inlineStr">
        <is>
          <t>0.410 – 0.946</t>
        </is>
      </c>
      <c r="E181" s="16" t="n">
        <v>30</v>
      </c>
      <c r="F181" s="16" t="n"/>
      <c r="G181" s="16" t="inlineStr">
        <is>
          <t>–</t>
        </is>
      </c>
    </row>
    <row r="182">
      <c r="A182" s="16" t="inlineStr">
        <is>
          <t>4.3 x_b+P_alta+T_fuente · ronda 2</t>
        </is>
      </c>
      <c r="B182" s="16" t="inlineStr">
        <is>
          <t>Piso de O2 (T de diseño de la bomba) [K]</t>
        </is>
      </c>
      <c r="C182" s="16" t="inlineStr">
        <is>
          <t>Barrida</t>
        </is>
      </c>
      <c r="D182" s="16" t="inlineStr">
        <is>
          <t>278.6 – 303.1</t>
        </is>
      </c>
      <c r="E182" s="16" t="n">
        <v>30</v>
      </c>
      <c r="F182" s="16" t="n"/>
      <c r="G182" s="16" t="inlineStr">
        <is>
          <t>K</t>
        </is>
      </c>
    </row>
    <row r="183">
      <c r="A183" s="16" t="inlineStr">
        <is>
          <t>4.3 x_b+P_alta+T_fuente · ronda 2</t>
        </is>
      </c>
      <c r="B183" s="16" t="inlineStr">
        <is>
          <t>motor de propiedades</t>
        </is>
      </c>
      <c r="C183" s="16" t="inlineStr">
        <is>
          <t>Fija</t>
        </is>
      </c>
      <c r="D183" s="16" t="inlineStr">
        <is>
          <t>teqp</t>
        </is>
      </c>
      <c r="E183" s="16" t="n"/>
      <c r="F183" s="16" t="n"/>
      <c r="G183" s="16" t="inlineStr">
        <is>
          <t>–</t>
        </is>
      </c>
    </row>
    <row r="184">
      <c r="A184" s="16" t="inlineStr">
        <is>
          <t>4.3 x_b+P_alta+eficiencias · ronda 2</t>
        </is>
      </c>
      <c r="B184" s="16" t="inlineStr">
        <is>
          <t>Temperatura de la fuente, T_fuente [K]</t>
        </is>
      </c>
      <c r="C184" s="16" t="inlineStr">
        <is>
          <t>Barrida</t>
        </is>
      </c>
      <c r="D184" s="16" t="inlineStr">
        <is>
          <t>381.7 – 516.7</t>
        </is>
      </c>
      <c r="E184" s="16" t="n">
        <v>30</v>
      </c>
      <c r="F184" s="16" t="n"/>
      <c r="G184" s="16" t="inlineStr">
        <is>
          <t>K</t>
        </is>
      </c>
    </row>
    <row r="185">
      <c r="A185" s="16" t="inlineStr">
        <is>
          <t>4.3 x_b+P_alta+eficiencias · ronda 2</t>
        </is>
      </c>
      <c r="B185" s="16" t="inlineStr">
        <is>
          <t>Temperatura del sumidero, T_sumidero [K]</t>
        </is>
      </c>
      <c r="C185" s="16" t="inlineStr">
        <is>
          <t>Barrida</t>
        </is>
      </c>
      <c r="D185" s="16" t="inlineStr">
        <is>
          <t>278.4 – 303.2</t>
        </is>
      </c>
      <c r="E185" s="16" t="n">
        <v>30</v>
      </c>
      <c r="F185" s="16" t="n"/>
      <c r="G185" s="16" t="inlineStr">
        <is>
          <t>K</t>
        </is>
      </c>
    </row>
    <row r="186">
      <c r="A186" s="16" t="inlineStr">
        <is>
          <t>4.3 x_b+P_alta+eficiencias · ronda 2</t>
        </is>
      </c>
      <c r="B186" s="16" t="inlineStr">
        <is>
          <t>Presión de alta, P_alta [kPa]</t>
        </is>
      </c>
      <c r="C186" s="16" t="inlineStr">
        <is>
          <t>Fija</t>
        </is>
      </c>
      <c r="D186" s="16" t="inlineStr">
        <is>
          <t>3000.0</t>
        </is>
      </c>
      <c r="E186" s="16" t="n"/>
      <c r="F186" s="16" t="inlineStr">
        <is>
          <t>sí</t>
        </is>
      </c>
      <c r="G186" s="16" t="inlineStr">
        <is>
          <t>kPa</t>
        </is>
      </c>
    </row>
    <row r="187">
      <c r="A187" s="16" t="inlineStr">
        <is>
          <t>4.3 x_b+P_alta+eficiencias · ronda 2</t>
        </is>
      </c>
      <c r="B187" s="16" t="inlineStr">
        <is>
          <t>Presión de baja, P_baja [kPa]</t>
        </is>
      </c>
      <c r="C187" s="16" t="inlineStr">
        <is>
          <t>Barrida</t>
        </is>
      </c>
      <c r="D187" s="16" t="inlineStr">
        <is>
          <t>306.7 – 1963</t>
        </is>
      </c>
      <c r="E187" s="16" t="n">
        <v>30</v>
      </c>
      <c r="F187" s="16" t="n"/>
      <c r="G187" s="16" t="inlineStr">
        <is>
          <t>kPa</t>
        </is>
      </c>
    </row>
    <row r="188">
      <c r="A188" s="16" t="inlineStr">
        <is>
          <t>4.3 x_b+P_alta+eficiencias · ronda 2</t>
        </is>
      </c>
      <c r="B188" s="16" t="inlineStr">
        <is>
          <t>Fracción de amoníaco de la mezcla base, x_b [–]</t>
        </is>
      </c>
      <c r="C188" s="16" t="inlineStr">
        <is>
          <t>Fija</t>
        </is>
      </c>
      <c r="D188" s="16" t="inlineStr">
        <is>
          <t>0.5</t>
        </is>
      </c>
      <c r="E188" s="16" t="n"/>
      <c r="F188" s="16" t="inlineStr">
        <is>
          <t>sí</t>
        </is>
      </c>
      <c r="G188" s="16" t="inlineStr">
        <is>
          <t>–</t>
        </is>
      </c>
    </row>
    <row r="189">
      <c r="A189" s="16" t="inlineStr">
        <is>
          <t>4.3 x_b+P_alta+eficiencias · ronda 2</t>
        </is>
      </c>
      <c r="B189" s="16" t="inlineStr">
        <is>
          <t>Flujo másico base, m_b [kg/s]</t>
        </is>
      </c>
      <c r="C189" s="16" t="inlineStr">
        <is>
          <t>Fija</t>
        </is>
      </c>
      <c r="D189" s="16" t="inlineStr">
        <is>
          <t>1.0</t>
        </is>
      </c>
      <c r="E189" s="16" t="n"/>
      <c r="F189" s="16" t="inlineStr">
        <is>
          <t>sí</t>
        </is>
      </c>
      <c r="G189" s="16" t="inlineStr">
        <is>
          <t>kg/s</t>
        </is>
      </c>
    </row>
    <row r="190">
      <c r="A190" s="16" t="inlineStr">
        <is>
          <t>4.3 x_b+P_alta+eficiencias · ronda 2</t>
        </is>
      </c>
      <c r="B190" s="16" t="inlineStr">
        <is>
          <t>Eficiencia isentrópica de la turbina, η_t [–]</t>
        </is>
      </c>
      <c r="C190" s="16" t="inlineStr">
        <is>
          <t>Fija</t>
        </is>
      </c>
      <c r="D190" s="16" t="inlineStr">
        <is>
          <t>0.85</t>
        </is>
      </c>
      <c r="E190" s="16" t="n"/>
      <c r="F190" s="16" t="inlineStr">
        <is>
          <t>sí</t>
        </is>
      </c>
      <c r="G190" s="16" t="inlineStr">
        <is>
          <t>–</t>
        </is>
      </c>
    </row>
    <row r="191">
      <c r="A191" s="16" t="inlineStr">
        <is>
          <t>4.3 x_b+P_alta+eficiencias · ronda 2</t>
        </is>
      </c>
      <c r="B191" s="16" t="inlineStr">
        <is>
          <t>Eficiencia isentrópica de la bomba, η_p [–]</t>
        </is>
      </c>
      <c r="C191" s="16" t="inlineStr">
        <is>
          <t>Fija</t>
        </is>
      </c>
      <c r="D191" s="16" t="inlineStr">
        <is>
          <t>0.75</t>
        </is>
      </c>
      <c r="E191" s="16" t="n"/>
      <c r="F191" s="16" t="inlineStr">
        <is>
          <t>sí</t>
        </is>
      </c>
      <c r="G191" s="16" t="inlineStr">
        <is>
          <t>–</t>
        </is>
      </c>
    </row>
    <row r="192">
      <c r="A192" s="16" t="inlineStr">
        <is>
          <t>4.3 x_b+P_alta+eficiencias · ronda 2</t>
        </is>
      </c>
      <c r="B192" s="16" t="inlineStr">
        <is>
          <t>Efectividad del generador de vapor, ε_HRVG [–]</t>
        </is>
      </c>
      <c r="C192" s="16" t="inlineStr">
        <is>
          <t>Fija</t>
        </is>
      </c>
      <c r="D192" s="16" t="inlineStr">
        <is>
          <t>0.85</t>
        </is>
      </c>
      <c r="E192" s="16" t="n"/>
      <c r="F192" s="16" t="inlineStr">
        <is>
          <t>sí</t>
        </is>
      </c>
      <c r="G192" s="16" t="inlineStr">
        <is>
          <t>–</t>
        </is>
      </c>
    </row>
    <row r="193">
      <c r="A193" s="16" t="inlineStr">
        <is>
          <t>4.3 x_b+P_alta+eficiencias · ronda 2</t>
        </is>
      </c>
      <c r="B193" s="16" t="inlineStr">
        <is>
          <t>Efectividad del regenerador, ε_reg [–]</t>
        </is>
      </c>
      <c r="C193" s="16" t="inlineStr">
        <is>
          <t>Fija</t>
        </is>
      </c>
      <c r="D193" s="16" t="inlineStr">
        <is>
          <t>0.75</t>
        </is>
      </c>
      <c r="E193" s="16" t="n"/>
      <c r="F193" s="16" t="inlineStr">
        <is>
          <t>sí</t>
        </is>
      </c>
      <c r="G193" s="16" t="inlineStr">
        <is>
          <t>–</t>
        </is>
      </c>
    </row>
    <row r="194">
      <c r="A194" s="16" t="inlineStr">
        <is>
          <t>4.3 x_b+P_alta+eficiencias · ronda 2</t>
        </is>
      </c>
      <c r="B194" s="16" t="inlineStr">
        <is>
          <t>Efectividad del condensador, ε_cond [–]</t>
        </is>
      </c>
      <c r="C194" s="16" t="inlineStr">
        <is>
          <t>Fija</t>
        </is>
      </c>
      <c r="D194" s="16" t="inlineStr">
        <is>
          <t>0.8</t>
        </is>
      </c>
      <c r="E194" s="16" t="n"/>
      <c r="F194" s="16" t="inlineStr">
        <is>
          <t>sí</t>
        </is>
      </c>
      <c r="G194" s="16" t="inlineStr">
        <is>
          <t>–</t>
        </is>
      </c>
    </row>
    <row r="195">
      <c r="A195" s="16" t="inlineStr">
        <is>
          <t>4.3 x_b+P_alta+eficiencias · ronda 2</t>
        </is>
      </c>
      <c r="B195" s="16" t="inlineStr">
        <is>
          <t>Piso de O2 (T de diseño de la bomba) [K]</t>
        </is>
      </c>
      <c r="C195" s="16" t="inlineStr">
        <is>
          <t>Barrida</t>
        </is>
      </c>
      <c r="D195" s="16" t="inlineStr">
        <is>
          <t>278.4 – 303.2</t>
        </is>
      </c>
      <c r="E195" s="16" t="n">
        <v>30</v>
      </c>
      <c r="F195" s="16" t="n"/>
      <c r="G195" s="16" t="inlineStr">
        <is>
          <t>K</t>
        </is>
      </c>
    </row>
    <row r="196">
      <c r="A196" s="16" t="inlineStr">
        <is>
          <t>4.3 x_b+P_alta+eficiencias · ronda 2</t>
        </is>
      </c>
      <c r="B196" s="16" t="inlineStr">
        <is>
          <t>motor de propiedades</t>
        </is>
      </c>
      <c r="C196" s="16" t="inlineStr">
        <is>
          <t>Fija</t>
        </is>
      </c>
      <c r="D196" s="16" t="inlineStr">
        <is>
          <t>teqp</t>
        </is>
      </c>
      <c r="E196" s="16" t="n"/>
      <c r="F196" s="16" t="n"/>
      <c r="G196" s="16" t="inlineStr">
        <is>
          <t>–</t>
        </is>
      </c>
    </row>
    <row r="197">
      <c r="A197" s="16" t="inlineStr">
        <is>
          <t>4.3 x_b+P_alta+P_baja · ronda 2</t>
        </is>
      </c>
      <c r="B197" s="16" t="inlineStr">
        <is>
          <t>Temperatura de la fuente, T_fuente [K]</t>
        </is>
      </c>
      <c r="C197" s="16" t="inlineStr">
        <is>
          <t>Barrida</t>
        </is>
      </c>
      <c r="D197" s="16" t="inlineStr">
        <is>
          <t>380.1 – 515.8</t>
        </is>
      </c>
      <c r="E197" s="16" t="n">
        <v>30</v>
      </c>
      <c r="F197" s="16" t="n"/>
      <c r="G197" s="16" t="inlineStr">
        <is>
          <t>K</t>
        </is>
      </c>
    </row>
    <row r="198">
      <c r="A198" s="16" t="inlineStr">
        <is>
          <t>4.3 x_b+P_alta+P_baja · ronda 2</t>
        </is>
      </c>
      <c r="B198" s="16" t="inlineStr">
        <is>
          <t>Temperatura del sumidero, T_sumidero [K]</t>
        </is>
      </c>
      <c r="C198" s="16" t="inlineStr">
        <is>
          <t>Barrida</t>
        </is>
      </c>
      <c r="D198" s="16" t="inlineStr">
        <is>
          <t>278.2 – 303.2</t>
        </is>
      </c>
      <c r="E198" s="16" t="n">
        <v>30</v>
      </c>
      <c r="F198" s="16" t="n"/>
      <c r="G198" s="16" t="inlineStr">
        <is>
          <t>K</t>
        </is>
      </c>
    </row>
    <row r="199">
      <c r="A199" s="16" t="inlineStr">
        <is>
          <t>4.3 x_b+P_alta+P_baja · ronda 2</t>
        </is>
      </c>
      <c r="B199" s="16" t="inlineStr">
        <is>
          <t>Presión de alta, P_alta [kPa]</t>
        </is>
      </c>
      <c r="C199" s="16" t="inlineStr">
        <is>
          <t>Fija</t>
        </is>
      </c>
      <c r="D199" s="16" t="inlineStr">
        <is>
          <t>3000.0</t>
        </is>
      </c>
      <c r="E199" s="16" t="n"/>
      <c r="F199" s="16" t="inlineStr">
        <is>
          <t>sí</t>
        </is>
      </c>
      <c r="G199" s="16" t="inlineStr">
        <is>
          <t>kPa</t>
        </is>
      </c>
    </row>
    <row r="200">
      <c r="A200" s="16" t="inlineStr">
        <is>
          <t>4.3 x_b+P_alta+P_baja · ronda 2</t>
        </is>
      </c>
      <c r="B200" s="16" t="inlineStr">
        <is>
          <t>Presión de baja, P_baja [kPa]</t>
        </is>
      </c>
      <c r="C200" s="16" t="inlineStr">
        <is>
          <t>Fija</t>
        </is>
      </c>
      <c r="D200" s="16" t="inlineStr">
        <is>
          <t>400.0</t>
        </is>
      </c>
      <c r="E200" s="16" t="n"/>
      <c r="F200" s="16" t="inlineStr">
        <is>
          <t>sí</t>
        </is>
      </c>
      <c r="G200" s="16" t="inlineStr">
        <is>
          <t>kPa</t>
        </is>
      </c>
    </row>
    <row r="201">
      <c r="A201" s="16" t="inlineStr">
        <is>
          <t>4.3 x_b+P_alta+P_baja · ronda 2</t>
        </is>
      </c>
      <c r="B201" s="16" t="inlineStr">
        <is>
          <t>Fracción de amoníaco de la mezcla base, x_b [–]</t>
        </is>
      </c>
      <c r="C201" s="16" t="inlineStr">
        <is>
          <t>Fija</t>
        </is>
      </c>
      <c r="D201" s="16" t="inlineStr">
        <is>
          <t>0.5</t>
        </is>
      </c>
      <c r="E201" s="16" t="n"/>
      <c r="F201" s="16" t="inlineStr">
        <is>
          <t>sí</t>
        </is>
      </c>
      <c r="G201" s="16" t="inlineStr">
        <is>
          <t>–</t>
        </is>
      </c>
    </row>
    <row r="202">
      <c r="A202" s="16" t="inlineStr">
        <is>
          <t>4.3 x_b+P_alta+P_baja · ronda 2</t>
        </is>
      </c>
      <c r="B202" s="16" t="inlineStr">
        <is>
          <t>Flujo másico base, m_b [kg/s]</t>
        </is>
      </c>
      <c r="C202" s="16" t="inlineStr">
        <is>
          <t>Fija</t>
        </is>
      </c>
      <c r="D202" s="16" t="inlineStr">
        <is>
          <t>1.0</t>
        </is>
      </c>
      <c r="E202" s="16" t="n"/>
      <c r="F202" s="16" t="inlineStr">
        <is>
          <t>sí</t>
        </is>
      </c>
      <c r="G202" s="16" t="inlineStr">
        <is>
          <t>kg/s</t>
        </is>
      </c>
    </row>
    <row r="203">
      <c r="A203" s="16" t="inlineStr">
        <is>
          <t>4.3 x_b+P_alta+P_baja · ronda 2</t>
        </is>
      </c>
      <c r="B203" s="16" t="inlineStr">
        <is>
          <t>Eficiencia isentrópica de la turbina, η_t [–]</t>
        </is>
      </c>
      <c r="C203" s="16" t="inlineStr">
        <is>
          <t>Barrida</t>
        </is>
      </c>
      <c r="D203" s="16" t="inlineStr">
        <is>
          <t>0.408 – 0.950</t>
        </is>
      </c>
      <c r="E203" s="16" t="n">
        <v>30</v>
      </c>
      <c r="F203" s="16" t="n"/>
      <c r="G203" s="16" t="inlineStr">
        <is>
          <t>–</t>
        </is>
      </c>
    </row>
    <row r="204">
      <c r="A204" s="16" t="inlineStr">
        <is>
          <t>4.3 x_b+P_alta+P_baja · ronda 2</t>
        </is>
      </c>
      <c r="B204" s="16" t="inlineStr">
        <is>
          <t>Eficiencia isentrópica de la bomba, η_p [–]</t>
        </is>
      </c>
      <c r="C204" s="16" t="inlineStr">
        <is>
          <t>Barrida</t>
        </is>
      </c>
      <c r="D204" s="16" t="inlineStr">
        <is>
          <t>0.411 – 0.942</t>
        </is>
      </c>
      <c r="E204" s="16" t="n">
        <v>30</v>
      </c>
      <c r="F204" s="16" t="n"/>
      <c r="G204" s="16" t="inlineStr">
        <is>
          <t>–</t>
        </is>
      </c>
    </row>
    <row r="205">
      <c r="A205" s="16" t="inlineStr">
        <is>
          <t>4.3 x_b+P_alta+P_baja · ronda 2</t>
        </is>
      </c>
      <c r="B205" s="16" t="inlineStr">
        <is>
          <t>Efectividad del generador de vapor, ε_HRVG [–]</t>
        </is>
      </c>
      <c r="C205" s="16" t="inlineStr">
        <is>
          <t>Barrida</t>
        </is>
      </c>
      <c r="D205" s="16" t="inlineStr">
        <is>
          <t>0.411 – 0.937</t>
        </is>
      </c>
      <c r="E205" s="16" t="n">
        <v>30</v>
      </c>
      <c r="F205" s="16" t="n"/>
      <c r="G205" s="16" t="inlineStr">
        <is>
          <t>–</t>
        </is>
      </c>
    </row>
    <row r="206">
      <c r="A206" s="16" t="inlineStr">
        <is>
          <t>4.3 x_b+P_alta+P_baja · ronda 2</t>
        </is>
      </c>
      <c r="B206" s="16" t="inlineStr">
        <is>
          <t>Efectividad del regenerador, ε_reg [–]</t>
        </is>
      </c>
      <c r="C206" s="16" t="inlineStr">
        <is>
          <t>Barrida</t>
        </is>
      </c>
      <c r="D206" s="16" t="inlineStr">
        <is>
          <t>0.411 – 0.940</t>
        </is>
      </c>
      <c r="E206" s="16" t="n">
        <v>30</v>
      </c>
      <c r="F206" s="16" t="n"/>
      <c r="G206" s="16" t="inlineStr">
        <is>
          <t>–</t>
        </is>
      </c>
    </row>
    <row r="207">
      <c r="A207" s="16" t="inlineStr">
        <is>
          <t>4.3 x_b+P_alta+P_baja · ronda 2</t>
        </is>
      </c>
      <c r="B207" s="16" t="inlineStr">
        <is>
          <t>Efectividad del condensador, ε_cond [–]</t>
        </is>
      </c>
      <c r="C207" s="16" t="inlineStr">
        <is>
          <t>Barrida</t>
        </is>
      </c>
      <c r="D207" s="16" t="inlineStr">
        <is>
          <t>0.413 – 0.948</t>
        </is>
      </c>
      <c r="E207" s="16" t="n">
        <v>30</v>
      </c>
      <c r="F207" s="16" t="n"/>
      <c r="G207" s="16" t="inlineStr">
        <is>
          <t>–</t>
        </is>
      </c>
    </row>
    <row r="208">
      <c r="A208" s="16" t="inlineStr">
        <is>
          <t>4.3 x_b+P_alta+P_baja · ronda 2</t>
        </is>
      </c>
      <c r="B208" s="16" t="inlineStr">
        <is>
          <t>Piso de O2 (T de diseño de la bomba) [K]</t>
        </is>
      </c>
      <c r="C208" s="16" t="inlineStr">
        <is>
          <t>Barrida</t>
        </is>
      </c>
      <c r="D208" s="16" t="inlineStr">
        <is>
          <t>278.2 – 303.2</t>
        </is>
      </c>
      <c r="E208" s="16" t="n">
        <v>30</v>
      </c>
      <c r="F208" s="16" t="n"/>
      <c r="G208" s="16" t="inlineStr">
        <is>
          <t>K</t>
        </is>
      </c>
    </row>
    <row r="209">
      <c r="A209" s="16" t="inlineStr">
        <is>
          <t>4.3 x_b+P_alta+P_baja · ronda 2</t>
        </is>
      </c>
      <c r="B209" s="16" t="inlineStr">
        <is>
          <t>motor de propiedades</t>
        </is>
      </c>
      <c r="C209" s="16" t="inlineStr">
        <is>
          <t>Fija</t>
        </is>
      </c>
      <c r="D209" s="16" t="inlineStr">
        <is>
          <t>teqp</t>
        </is>
      </c>
      <c r="E209" s="16" t="n"/>
      <c r="F209" s="16" t="n"/>
      <c r="G209" s="16" t="inlineStr">
        <is>
          <t>–</t>
        </is>
      </c>
    </row>
    <row r="210">
      <c r="A210" s="16" t="inlineStr">
        <is>
          <t>4.3 x_b+P_alta+T_sumidero · ronda 2</t>
        </is>
      </c>
      <c r="B210" s="16" t="inlineStr">
        <is>
          <t>Temperatura de la fuente, T_fuente [K]</t>
        </is>
      </c>
      <c r="C210" s="16" t="inlineStr">
        <is>
          <t>Barrida</t>
        </is>
      </c>
      <c r="D210" s="16" t="inlineStr">
        <is>
          <t>383.9 – 517.8</t>
        </is>
      </c>
      <c r="E210" s="16" t="n">
        <v>30</v>
      </c>
      <c r="F210" s="16" t="n"/>
      <c r="G210" s="16" t="inlineStr">
        <is>
          <t>K</t>
        </is>
      </c>
    </row>
    <row r="211">
      <c r="A211" s="16" t="inlineStr">
        <is>
          <t>4.3 x_b+P_alta+T_sumidero · ronda 2</t>
        </is>
      </c>
      <c r="B211" s="16" t="inlineStr">
        <is>
          <t>Temperatura del sumidero, T_sumidero [K]</t>
        </is>
      </c>
      <c r="C211" s="16" t="inlineStr">
        <is>
          <t>Fija</t>
        </is>
      </c>
      <c r="D211" s="16" t="inlineStr">
        <is>
          <t>300.032917</t>
        </is>
      </c>
      <c r="E211" s="16" t="n"/>
      <c r="F211" s="16" t="inlineStr">
        <is>
          <t>sí</t>
        </is>
      </c>
      <c r="G211" s="16" t="inlineStr">
        <is>
          <t>K</t>
        </is>
      </c>
    </row>
    <row r="212">
      <c r="A212" s="16" t="inlineStr">
        <is>
          <t>4.3 x_b+P_alta+T_sumidero · ronda 2</t>
        </is>
      </c>
      <c r="B212" s="16" t="inlineStr">
        <is>
          <t>Presión de alta, P_alta [kPa]</t>
        </is>
      </c>
      <c r="C212" s="16" t="inlineStr">
        <is>
          <t>Fija</t>
        </is>
      </c>
      <c r="D212" s="16" t="inlineStr">
        <is>
          <t>3000.0</t>
        </is>
      </c>
      <c r="E212" s="16" t="n"/>
      <c r="F212" s="16" t="inlineStr">
        <is>
          <t>sí</t>
        </is>
      </c>
      <c r="G212" s="16" t="inlineStr">
        <is>
          <t>kPa</t>
        </is>
      </c>
    </row>
    <row r="213">
      <c r="A213" s="16" t="inlineStr">
        <is>
          <t>4.3 x_b+P_alta+T_sumidero · ronda 2</t>
        </is>
      </c>
      <c r="B213" s="16" t="inlineStr">
        <is>
          <t>Presión de baja, P_baja [kPa]</t>
        </is>
      </c>
      <c r="C213" s="16" t="inlineStr">
        <is>
          <t>Barrida</t>
        </is>
      </c>
      <c r="D213" s="16" t="inlineStr">
        <is>
          <t>338.1 – 1945</t>
        </is>
      </c>
      <c r="E213" s="16" t="n">
        <v>30</v>
      </c>
      <c r="F213" s="16" t="n"/>
      <c r="G213" s="16" t="inlineStr">
        <is>
          <t>kPa</t>
        </is>
      </c>
    </row>
    <row r="214">
      <c r="A214" s="16" t="inlineStr">
        <is>
          <t>4.3 x_b+P_alta+T_sumidero · ronda 2</t>
        </is>
      </c>
      <c r="B214" s="16" t="inlineStr">
        <is>
          <t>Fracción de amoníaco de la mezcla base, x_b [–]</t>
        </is>
      </c>
      <c r="C214" s="16" t="inlineStr">
        <is>
          <t>Fija</t>
        </is>
      </c>
      <c r="D214" s="16" t="inlineStr">
        <is>
          <t>0.5</t>
        </is>
      </c>
      <c r="E214" s="16" t="n"/>
      <c r="F214" s="16" t="inlineStr">
        <is>
          <t>sí</t>
        </is>
      </c>
      <c r="G214" s="16" t="inlineStr">
        <is>
          <t>–</t>
        </is>
      </c>
    </row>
    <row r="215">
      <c r="A215" s="16" t="inlineStr">
        <is>
          <t>4.3 x_b+P_alta+T_sumidero · ronda 2</t>
        </is>
      </c>
      <c r="B215" s="16" t="inlineStr">
        <is>
          <t>Flujo másico base, m_b [kg/s]</t>
        </is>
      </c>
      <c r="C215" s="16" t="inlineStr">
        <is>
          <t>Fija</t>
        </is>
      </c>
      <c r="D215" s="16" t="inlineStr">
        <is>
          <t>1.0</t>
        </is>
      </c>
      <c r="E215" s="16" t="n"/>
      <c r="F215" s="16" t="inlineStr">
        <is>
          <t>sí</t>
        </is>
      </c>
      <c r="G215" s="16" t="inlineStr">
        <is>
          <t>kg/s</t>
        </is>
      </c>
    </row>
    <row r="216">
      <c r="A216" s="16" t="inlineStr">
        <is>
          <t>4.3 x_b+P_alta+T_sumidero · ronda 2</t>
        </is>
      </c>
      <c r="B216" s="16" t="inlineStr">
        <is>
          <t>Eficiencia isentrópica de la turbina, η_t [–]</t>
        </is>
      </c>
      <c r="C216" s="16" t="inlineStr">
        <is>
          <t>Barrida</t>
        </is>
      </c>
      <c r="D216" s="16" t="inlineStr">
        <is>
          <t>0.408 – 0.935</t>
        </is>
      </c>
      <c r="E216" s="16" t="n">
        <v>30</v>
      </c>
      <c r="F216" s="16" t="n"/>
      <c r="G216" s="16" t="inlineStr">
        <is>
          <t>–</t>
        </is>
      </c>
    </row>
    <row r="217">
      <c r="A217" s="16" t="inlineStr">
        <is>
          <t>4.3 x_b+P_alta+T_sumidero · ronda 2</t>
        </is>
      </c>
      <c r="B217" s="16" t="inlineStr">
        <is>
          <t>Eficiencia isentrópica de la bomba, η_p [–]</t>
        </is>
      </c>
      <c r="C217" s="16" t="inlineStr">
        <is>
          <t>Barrida</t>
        </is>
      </c>
      <c r="D217" s="16" t="inlineStr">
        <is>
          <t>0.416 – 0.942</t>
        </is>
      </c>
      <c r="E217" s="16" t="n">
        <v>30</v>
      </c>
      <c r="F217" s="16" t="n"/>
      <c r="G217" s="16" t="inlineStr">
        <is>
          <t>–</t>
        </is>
      </c>
    </row>
    <row r="218">
      <c r="A218" s="16" t="inlineStr">
        <is>
          <t>4.3 x_b+P_alta+T_sumidero · ronda 2</t>
        </is>
      </c>
      <c r="B218" s="16" t="inlineStr">
        <is>
          <t>Efectividad del generador de vapor, ε_HRVG [–]</t>
        </is>
      </c>
      <c r="C218" s="16" t="inlineStr">
        <is>
          <t>Barrida</t>
        </is>
      </c>
      <c r="D218" s="16" t="inlineStr">
        <is>
          <t>0.409 – 0.948</t>
        </is>
      </c>
      <c r="E218" s="16" t="n">
        <v>30</v>
      </c>
      <c r="F218" s="16" t="n"/>
      <c r="G218" s="16" t="inlineStr">
        <is>
          <t>–</t>
        </is>
      </c>
    </row>
    <row r="219">
      <c r="A219" s="16" t="inlineStr">
        <is>
          <t>4.3 x_b+P_alta+T_sumidero · ronda 2</t>
        </is>
      </c>
      <c r="B219" s="16" t="inlineStr">
        <is>
          <t>Efectividad del regenerador, ε_reg [–]</t>
        </is>
      </c>
      <c r="C219" s="16" t="inlineStr">
        <is>
          <t>Barrida</t>
        </is>
      </c>
      <c r="D219" s="16" t="inlineStr">
        <is>
          <t>0.408 – 0.937</t>
        </is>
      </c>
      <c r="E219" s="16" t="n">
        <v>30</v>
      </c>
      <c r="F219" s="16" t="n"/>
      <c r="G219" s="16" t="inlineStr">
        <is>
          <t>–</t>
        </is>
      </c>
    </row>
    <row r="220">
      <c r="A220" s="16" t="inlineStr">
        <is>
          <t>4.3 x_b+P_alta+T_sumidero · ronda 2</t>
        </is>
      </c>
      <c r="B220" s="16" t="inlineStr">
        <is>
          <t>Efectividad del condensador, ε_cond [–]</t>
        </is>
      </c>
      <c r="C220" s="16" t="inlineStr">
        <is>
          <t>Barrida</t>
        </is>
      </c>
      <c r="D220" s="16" t="inlineStr">
        <is>
          <t>0.416 – 0.938</t>
        </is>
      </c>
      <c r="E220" s="16" t="n">
        <v>30</v>
      </c>
      <c r="F220" s="16" t="n"/>
      <c r="G220" s="16" t="inlineStr">
        <is>
          <t>–</t>
        </is>
      </c>
    </row>
    <row r="221">
      <c r="A221" s="16" t="inlineStr">
        <is>
          <t>4.3 x_b+P_alta+T_sumidero · ronda 2</t>
        </is>
      </c>
      <c r="B221" s="16" t="inlineStr">
        <is>
          <t>Piso de O2 (T de diseño de la bomba) [K]</t>
        </is>
      </c>
      <c r="C221" s="16" t="inlineStr">
        <is>
          <t>Fija</t>
        </is>
      </c>
      <c r="D221" s="16" t="inlineStr">
        <is>
          <t>300.032917</t>
        </is>
      </c>
      <c r="E221" s="16" t="n"/>
      <c r="F221" s="16" t="inlineStr">
        <is>
          <t>sí</t>
        </is>
      </c>
      <c r="G221" s="16" t="inlineStr">
        <is>
          <t>K</t>
        </is>
      </c>
    </row>
    <row r="222">
      <c r="A222" s="16" t="inlineStr">
        <is>
          <t>4.3 x_b+P_alta+T_sumidero · ronda 2</t>
        </is>
      </c>
      <c r="B222" s="16" t="inlineStr">
        <is>
          <t>motor de propiedades</t>
        </is>
      </c>
      <c r="C222" s="16" t="inlineStr">
        <is>
          <t>Fija</t>
        </is>
      </c>
      <c r="D222" s="16" t="inlineStr">
        <is>
          <t>teqp</t>
        </is>
      </c>
      <c r="E222" s="16" t="n"/>
      <c r="F222" s="16" t="n"/>
      <c r="G222" s="16" t="inlineStr">
        <is>
          <t>–</t>
        </is>
      </c>
    </row>
    <row r="223">
      <c r="A223" s="16" t="inlineStr">
        <is>
          <t>4.3 x_b+P_alta+eficiencias+T_fuente · ronda 3</t>
        </is>
      </c>
      <c r="B223" s="16" t="inlineStr">
        <is>
          <t>Temperatura de la fuente, T_fuente [K]</t>
        </is>
      </c>
      <c r="C223" s="16" t="inlineStr">
        <is>
          <t>Fija</t>
        </is>
      </c>
      <c r="D223" s="16" t="inlineStr">
        <is>
          <t>623.15</t>
        </is>
      </c>
      <c r="E223" s="16" t="n"/>
      <c r="F223" s="16" t="inlineStr">
        <is>
          <t>sí</t>
        </is>
      </c>
      <c r="G223" s="16" t="inlineStr">
        <is>
          <t>K</t>
        </is>
      </c>
    </row>
    <row r="224">
      <c r="A224" s="16" t="inlineStr">
        <is>
          <t>4.3 x_b+P_alta+eficiencias+T_fuente · ronda 3</t>
        </is>
      </c>
      <c r="B224" s="16" t="inlineStr">
        <is>
          <t>Temperatura del sumidero, T_sumidero [K]</t>
        </is>
      </c>
      <c r="C224" s="16" t="inlineStr">
        <is>
          <t>Barrida</t>
        </is>
      </c>
      <c r="D224" s="16" t="inlineStr">
        <is>
          <t>278.7 – 303.4</t>
        </is>
      </c>
      <c r="E224" s="16" t="n">
        <v>30</v>
      </c>
      <c r="F224" s="16" t="n"/>
      <c r="G224" s="16" t="inlineStr">
        <is>
          <t>K</t>
        </is>
      </c>
    </row>
    <row r="225">
      <c r="A225" s="16" t="inlineStr">
        <is>
          <t>4.3 x_b+P_alta+eficiencias+T_fuente · ronda 3</t>
        </is>
      </c>
      <c r="B225" s="16" t="inlineStr">
        <is>
          <t>Presión de alta, P_alta [kPa]</t>
        </is>
      </c>
      <c r="C225" s="16" t="inlineStr">
        <is>
          <t>Fija</t>
        </is>
      </c>
      <c r="D225" s="16" t="inlineStr">
        <is>
          <t>3000.0</t>
        </is>
      </c>
      <c r="E225" s="16" t="n"/>
      <c r="F225" s="16" t="inlineStr">
        <is>
          <t>sí</t>
        </is>
      </c>
      <c r="G225" s="16" t="inlineStr">
        <is>
          <t>kPa</t>
        </is>
      </c>
    </row>
    <row r="226">
      <c r="A226" s="16" t="inlineStr">
        <is>
          <t>4.3 x_b+P_alta+eficiencias+T_fuente · ronda 3</t>
        </is>
      </c>
      <c r="B226" s="16" t="inlineStr">
        <is>
          <t>Presión de baja, P_baja [kPa]</t>
        </is>
      </c>
      <c r="C226" s="16" t="inlineStr">
        <is>
          <t>Barrida</t>
        </is>
      </c>
      <c r="D226" s="16" t="inlineStr">
        <is>
          <t>317.0 – 1948</t>
        </is>
      </c>
      <c r="E226" s="16" t="n">
        <v>30</v>
      </c>
      <c r="F226" s="16" t="n"/>
      <c r="G226" s="16" t="inlineStr">
        <is>
          <t>kPa</t>
        </is>
      </c>
    </row>
    <row r="227">
      <c r="A227" s="16" t="inlineStr">
        <is>
          <t>4.3 x_b+P_alta+eficiencias+T_fuente · ronda 3</t>
        </is>
      </c>
      <c r="B227" s="16" t="inlineStr">
        <is>
          <t>Fracción de amoníaco de la mezcla base, x_b [–]</t>
        </is>
      </c>
      <c r="C227" s="16" t="inlineStr">
        <is>
          <t>Fija</t>
        </is>
      </c>
      <c r="D227" s="16" t="inlineStr">
        <is>
          <t>0.5</t>
        </is>
      </c>
      <c r="E227" s="16" t="n"/>
      <c r="F227" s="16" t="inlineStr">
        <is>
          <t>sí</t>
        </is>
      </c>
      <c r="G227" s="16" t="inlineStr">
        <is>
          <t>–</t>
        </is>
      </c>
    </row>
    <row r="228">
      <c r="A228" s="16" t="inlineStr">
        <is>
          <t>4.3 x_b+P_alta+eficiencias+T_fuente · ronda 3</t>
        </is>
      </c>
      <c r="B228" s="16" t="inlineStr">
        <is>
          <t>Flujo másico base, m_b [kg/s]</t>
        </is>
      </c>
      <c r="C228" s="16" t="inlineStr">
        <is>
          <t>Fija</t>
        </is>
      </c>
      <c r="D228" s="16" t="inlineStr">
        <is>
          <t>1.0</t>
        </is>
      </c>
      <c r="E228" s="16" t="n"/>
      <c r="F228" s="16" t="inlineStr">
        <is>
          <t>sí</t>
        </is>
      </c>
      <c r="G228" s="16" t="inlineStr">
        <is>
          <t>kg/s</t>
        </is>
      </c>
    </row>
    <row r="229">
      <c r="A229" s="16" t="inlineStr">
        <is>
          <t>4.3 x_b+P_alta+eficiencias+T_fuente · ronda 3</t>
        </is>
      </c>
      <c r="B229" s="16" t="inlineStr">
        <is>
          <t>Eficiencia isentrópica de la turbina, η_t [–]</t>
        </is>
      </c>
      <c r="C229" s="16" t="inlineStr">
        <is>
          <t>Fija</t>
        </is>
      </c>
      <c r="D229" s="16" t="inlineStr">
        <is>
          <t>0.85</t>
        </is>
      </c>
      <c r="E229" s="16" t="n"/>
      <c r="F229" s="16" t="inlineStr">
        <is>
          <t>sí</t>
        </is>
      </c>
      <c r="G229" s="16" t="inlineStr">
        <is>
          <t>–</t>
        </is>
      </c>
    </row>
    <row r="230">
      <c r="A230" s="16" t="inlineStr">
        <is>
          <t>4.3 x_b+P_alta+eficiencias+T_fuente · ronda 3</t>
        </is>
      </c>
      <c r="B230" s="16" t="inlineStr">
        <is>
          <t>Eficiencia isentrópica de la bomba, η_p [–]</t>
        </is>
      </c>
      <c r="C230" s="16" t="inlineStr">
        <is>
          <t>Fija</t>
        </is>
      </c>
      <c r="D230" s="16" t="inlineStr">
        <is>
          <t>0.75</t>
        </is>
      </c>
      <c r="E230" s="16" t="n"/>
      <c r="F230" s="16" t="inlineStr">
        <is>
          <t>sí</t>
        </is>
      </c>
      <c r="G230" s="16" t="inlineStr">
        <is>
          <t>–</t>
        </is>
      </c>
    </row>
    <row r="231">
      <c r="A231" s="16" t="inlineStr">
        <is>
          <t>4.3 x_b+P_alta+eficiencias+T_fuente · ronda 3</t>
        </is>
      </c>
      <c r="B231" s="16" t="inlineStr">
        <is>
          <t>Efectividad del generador de vapor, ε_HRVG [–]</t>
        </is>
      </c>
      <c r="C231" s="16" t="inlineStr">
        <is>
          <t>Fija</t>
        </is>
      </c>
      <c r="D231" s="16" t="inlineStr">
        <is>
          <t>0.85</t>
        </is>
      </c>
      <c r="E231" s="16" t="n"/>
      <c r="F231" s="16" t="inlineStr">
        <is>
          <t>sí</t>
        </is>
      </c>
      <c r="G231" s="16" t="inlineStr">
        <is>
          <t>–</t>
        </is>
      </c>
    </row>
    <row r="232">
      <c r="A232" s="16" t="inlineStr">
        <is>
          <t>4.3 x_b+P_alta+eficiencias+T_fuente · ronda 3</t>
        </is>
      </c>
      <c r="B232" s="16" t="inlineStr">
        <is>
          <t>Efectividad del regenerador, ε_reg [–]</t>
        </is>
      </c>
      <c r="C232" s="16" t="inlineStr">
        <is>
          <t>Fija</t>
        </is>
      </c>
      <c r="D232" s="16" t="inlineStr">
        <is>
          <t>0.75</t>
        </is>
      </c>
      <c r="E232" s="16" t="n"/>
      <c r="F232" s="16" t="inlineStr">
        <is>
          <t>sí</t>
        </is>
      </c>
      <c r="G232" s="16" t="inlineStr">
        <is>
          <t>–</t>
        </is>
      </c>
    </row>
    <row r="233">
      <c r="A233" s="16" t="inlineStr">
        <is>
          <t>4.3 x_b+P_alta+eficiencias+T_fuente · ronda 3</t>
        </is>
      </c>
      <c r="B233" s="16" t="inlineStr">
        <is>
          <t>Efectividad del condensador, ε_cond [–]</t>
        </is>
      </c>
      <c r="C233" s="16" t="inlineStr">
        <is>
          <t>Fija</t>
        </is>
      </c>
      <c r="D233" s="16" t="inlineStr">
        <is>
          <t>0.8</t>
        </is>
      </c>
      <c r="E233" s="16" t="n"/>
      <c r="F233" s="16" t="inlineStr">
        <is>
          <t>sí</t>
        </is>
      </c>
      <c r="G233" s="16" t="inlineStr">
        <is>
          <t>–</t>
        </is>
      </c>
    </row>
    <row r="234">
      <c r="A234" s="16" t="inlineStr">
        <is>
          <t>4.3 x_b+P_alta+eficiencias+T_fuente · ronda 3</t>
        </is>
      </c>
      <c r="B234" s="16" t="inlineStr">
        <is>
          <t>Piso de O2 (T de diseño de la bomba) [K]</t>
        </is>
      </c>
      <c r="C234" s="16" t="inlineStr">
        <is>
          <t>Barrida</t>
        </is>
      </c>
      <c r="D234" s="16" t="inlineStr">
        <is>
          <t>278.7 – 303.4</t>
        </is>
      </c>
      <c r="E234" s="16" t="n">
        <v>30</v>
      </c>
      <c r="F234" s="16" t="n"/>
      <c r="G234" s="16" t="inlineStr">
        <is>
          <t>K</t>
        </is>
      </c>
    </row>
    <row r="235">
      <c r="A235" s="16" t="inlineStr">
        <is>
          <t>4.3 x_b+P_alta+eficiencias+T_fuente · ronda 3</t>
        </is>
      </c>
      <c r="B235" s="16" t="inlineStr">
        <is>
          <t>motor de propiedades</t>
        </is>
      </c>
      <c r="C235" s="16" t="inlineStr">
        <is>
          <t>Fija</t>
        </is>
      </c>
      <c r="D235" s="16" t="inlineStr">
        <is>
          <t>teqp</t>
        </is>
      </c>
      <c r="E235" s="16" t="n"/>
      <c r="F235" s="16" t="n"/>
      <c r="G235" s="16" t="inlineStr">
        <is>
          <t>–</t>
        </is>
      </c>
    </row>
    <row r="236">
      <c r="A236" s="16" t="inlineStr">
        <is>
          <t>4.3 x_b+P_alta+eficiencias+P_baja · ronda 3</t>
        </is>
      </c>
      <c r="B236" s="16" t="inlineStr">
        <is>
          <t>Temperatura de la fuente, T_fuente [K]</t>
        </is>
      </c>
      <c r="C236" s="16" t="inlineStr">
        <is>
          <t>Barrida</t>
        </is>
      </c>
      <c r="D236" s="16" t="inlineStr">
        <is>
          <t>384.2 – 519.8</t>
        </is>
      </c>
      <c r="E236" s="16" t="n">
        <v>30</v>
      </c>
      <c r="F236" s="16" t="n"/>
      <c r="G236" s="16" t="inlineStr">
        <is>
          <t>K</t>
        </is>
      </c>
    </row>
    <row r="237">
      <c r="A237" s="16" t="inlineStr">
        <is>
          <t>4.3 x_b+P_alta+eficiencias+P_baja · ronda 3</t>
        </is>
      </c>
      <c r="B237" s="16" t="inlineStr">
        <is>
          <t>Temperatura del sumidero, T_sumidero [K]</t>
        </is>
      </c>
      <c r="C237" s="16" t="inlineStr">
        <is>
          <t>Barrida</t>
        </is>
      </c>
      <c r="D237" s="16" t="inlineStr">
        <is>
          <t>278.2 – 303.4</t>
        </is>
      </c>
      <c r="E237" s="16" t="n">
        <v>30</v>
      </c>
      <c r="F237" s="16" t="n"/>
      <c r="G237" s="16" t="inlineStr">
        <is>
          <t>K</t>
        </is>
      </c>
    </row>
    <row r="238">
      <c r="A238" s="16" t="inlineStr">
        <is>
          <t>4.3 x_b+P_alta+eficiencias+P_baja · ronda 3</t>
        </is>
      </c>
      <c r="B238" s="16" t="inlineStr">
        <is>
          <t>Presión de alta, P_alta [kPa]</t>
        </is>
      </c>
      <c r="C238" s="16" t="inlineStr">
        <is>
          <t>Fija</t>
        </is>
      </c>
      <c r="D238" s="16" t="inlineStr">
        <is>
          <t>3000.0</t>
        </is>
      </c>
      <c r="E238" s="16" t="n"/>
      <c r="F238" s="16" t="inlineStr">
        <is>
          <t>sí</t>
        </is>
      </c>
      <c r="G238" s="16" t="inlineStr">
        <is>
          <t>kPa</t>
        </is>
      </c>
    </row>
    <row r="239">
      <c r="A239" s="16" t="inlineStr">
        <is>
          <t>4.3 x_b+P_alta+eficiencias+P_baja · ronda 3</t>
        </is>
      </c>
      <c r="B239" s="16" t="inlineStr">
        <is>
          <t>Presión de baja, P_baja [kPa]</t>
        </is>
      </c>
      <c r="C239" s="16" t="inlineStr">
        <is>
          <t>Fija</t>
        </is>
      </c>
      <c r="D239" s="16" t="inlineStr">
        <is>
          <t>400.0</t>
        </is>
      </c>
      <c r="E239" s="16" t="n"/>
      <c r="F239" s="16" t="inlineStr">
        <is>
          <t>sí</t>
        </is>
      </c>
      <c r="G239" s="16" t="inlineStr">
        <is>
          <t>kPa</t>
        </is>
      </c>
    </row>
    <row r="240">
      <c r="A240" s="16" t="inlineStr">
        <is>
          <t>4.3 x_b+P_alta+eficiencias+P_baja · ronda 3</t>
        </is>
      </c>
      <c r="B240" s="16" t="inlineStr">
        <is>
          <t>Fracción de amoníaco de la mezcla base, x_b [–]</t>
        </is>
      </c>
      <c r="C240" s="16" t="inlineStr">
        <is>
          <t>Fija</t>
        </is>
      </c>
      <c r="D240" s="16" t="inlineStr">
        <is>
          <t>0.5</t>
        </is>
      </c>
      <c r="E240" s="16" t="n"/>
      <c r="F240" s="16" t="inlineStr">
        <is>
          <t>sí</t>
        </is>
      </c>
      <c r="G240" s="16" t="inlineStr">
        <is>
          <t>–</t>
        </is>
      </c>
    </row>
    <row r="241">
      <c r="A241" s="16" t="inlineStr">
        <is>
          <t>4.3 x_b+P_alta+eficiencias+P_baja · ronda 3</t>
        </is>
      </c>
      <c r="B241" s="16" t="inlineStr">
        <is>
          <t>Flujo másico base, m_b [kg/s]</t>
        </is>
      </c>
      <c r="C241" s="16" t="inlineStr">
        <is>
          <t>Fija</t>
        </is>
      </c>
      <c r="D241" s="16" t="inlineStr">
        <is>
          <t>1.0</t>
        </is>
      </c>
      <c r="E241" s="16" t="n"/>
      <c r="F241" s="16" t="inlineStr">
        <is>
          <t>sí</t>
        </is>
      </c>
      <c r="G241" s="16" t="inlineStr">
        <is>
          <t>kg/s</t>
        </is>
      </c>
    </row>
    <row r="242">
      <c r="A242" s="16" t="inlineStr">
        <is>
          <t>4.3 x_b+P_alta+eficiencias+P_baja · ronda 3</t>
        </is>
      </c>
      <c r="B242" s="16" t="inlineStr">
        <is>
          <t>Eficiencia isentrópica de la turbina, η_t [–]</t>
        </is>
      </c>
      <c r="C242" s="16" t="inlineStr">
        <is>
          <t>Fija</t>
        </is>
      </c>
      <c r="D242" s="16" t="inlineStr">
        <is>
          <t>0.85</t>
        </is>
      </c>
      <c r="E242" s="16" t="n"/>
      <c r="F242" s="16" t="inlineStr">
        <is>
          <t>sí</t>
        </is>
      </c>
      <c r="G242" s="16" t="inlineStr">
        <is>
          <t>–</t>
        </is>
      </c>
    </row>
    <row r="243">
      <c r="A243" s="16" t="inlineStr">
        <is>
          <t>4.3 x_b+P_alta+eficiencias+P_baja · ronda 3</t>
        </is>
      </c>
      <c r="B243" s="16" t="inlineStr">
        <is>
          <t>Eficiencia isentrópica de la bomba, η_p [–]</t>
        </is>
      </c>
      <c r="C243" s="16" t="inlineStr">
        <is>
          <t>Fija</t>
        </is>
      </c>
      <c r="D243" s="16" t="inlineStr">
        <is>
          <t>0.75</t>
        </is>
      </c>
      <c r="E243" s="16" t="n"/>
      <c r="F243" s="16" t="inlineStr">
        <is>
          <t>sí</t>
        </is>
      </c>
      <c r="G243" s="16" t="inlineStr">
        <is>
          <t>–</t>
        </is>
      </c>
    </row>
    <row r="244">
      <c r="A244" s="16" t="inlineStr">
        <is>
          <t>4.3 x_b+P_alta+eficiencias+P_baja · ronda 3</t>
        </is>
      </c>
      <c r="B244" s="16" t="inlineStr">
        <is>
          <t>Efectividad del generador de vapor, ε_HRVG [–]</t>
        </is>
      </c>
      <c r="C244" s="16" t="inlineStr">
        <is>
          <t>Fija</t>
        </is>
      </c>
      <c r="D244" s="16" t="inlineStr">
        <is>
          <t>0.85</t>
        </is>
      </c>
      <c r="E244" s="16" t="n"/>
      <c r="F244" s="16" t="inlineStr">
        <is>
          <t>sí</t>
        </is>
      </c>
      <c r="G244" s="16" t="inlineStr">
        <is>
          <t>–</t>
        </is>
      </c>
    </row>
    <row r="245">
      <c r="A245" s="16" t="inlineStr">
        <is>
          <t>4.3 x_b+P_alta+eficiencias+P_baja · ronda 3</t>
        </is>
      </c>
      <c r="B245" s="16" t="inlineStr">
        <is>
          <t>Efectividad del regenerador, ε_reg [–]</t>
        </is>
      </c>
      <c r="C245" s="16" t="inlineStr">
        <is>
          <t>Fija</t>
        </is>
      </c>
      <c r="D245" s="16" t="inlineStr">
        <is>
          <t>0.75</t>
        </is>
      </c>
      <c r="E245" s="16" t="n"/>
      <c r="F245" s="16" t="inlineStr">
        <is>
          <t>sí</t>
        </is>
      </c>
      <c r="G245" s="16" t="inlineStr">
        <is>
          <t>–</t>
        </is>
      </c>
    </row>
    <row r="246">
      <c r="A246" s="16" t="inlineStr">
        <is>
          <t>4.3 x_b+P_alta+eficiencias+P_baja · ronda 3</t>
        </is>
      </c>
      <c r="B246" s="16" t="inlineStr">
        <is>
          <t>Efectividad del condensador, ε_cond [–]</t>
        </is>
      </c>
      <c r="C246" s="16" t="inlineStr">
        <is>
          <t>Fija</t>
        </is>
      </c>
      <c r="D246" s="16" t="inlineStr">
        <is>
          <t>0.8</t>
        </is>
      </c>
      <c r="E246" s="16" t="n"/>
      <c r="F246" s="16" t="inlineStr">
        <is>
          <t>sí</t>
        </is>
      </c>
      <c r="G246" s="16" t="inlineStr">
        <is>
          <t>–</t>
        </is>
      </c>
    </row>
    <row r="247">
      <c r="A247" s="16" t="inlineStr">
        <is>
          <t>4.3 x_b+P_alta+eficiencias+P_baja · ronda 3</t>
        </is>
      </c>
      <c r="B247" s="16" t="inlineStr">
        <is>
          <t>Piso de O2 (T de diseño de la bomba) [K]</t>
        </is>
      </c>
      <c r="C247" s="16" t="inlineStr">
        <is>
          <t>Barrida</t>
        </is>
      </c>
      <c r="D247" s="16" t="inlineStr">
        <is>
          <t>278.2 – 303.4</t>
        </is>
      </c>
      <c r="E247" s="16" t="n">
        <v>30</v>
      </c>
      <c r="F247" s="16" t="n"/>
      <c r="G247" s="16" t="inlineStr">
        <is>
          <t>K</t>
        </is>
      </c>
    </row>
    <row r="248">
      <c r="A248" s="16" t="inlineStr">
        <is>
          <t>4.3 x_b+P_alta+eficiencias+P_baja · ronda 3</t>
        </is>
      </c>
      <c r="B248" s="16" t="inlineStr">
        <is>
          <t>motor de propiedades</t>
        </is>
      </c>
      <c r="C248" s="16" t="inlineStr">
        <is>
          <t>Fija</t>
        </is>
      </c>
      <c r="D248" s="16" t="inlineStr">
        <is>
          <t>teqp</t>
        </is>
      </c>
      <c r="E248" s="16" t="n"/>
      <c r="F248" s="16" t="n"/>
      <c r="G248" s="16" t="inlineStr">
        <is>
          <t>–</t>
        </is>
      </c>
    </row>
    <row r="249">
      <c r="A249" s="16" t="inlineStr">
        <is>
          <t>4.3 x_b+P_alta+eficiencias+T_sumidero · ronda 3</t>
        </is>
      </c>
      <c r="B249" s="16" t="inlineStr">
        <is>
          <t>Temperatura de la fuente, T_fuente [K]</t>
        </is>
      </c>
      <c r="C249" s="16" t="inlineStr">
        <is>
          <t>Barrida</t>
        </is>
      </c>
      <c r="D249" s="16" t="inlineStr">
        <is>
          <t>381.6 – 516.0</t>
        </is>
      </c>
      <c r="E249" s="16" t="n">
        <v>30</v>
      </c>
      <c r="F249" s="16" t="n"/>
      <c r="G249" s="16" t="inlineStr">
        <is>
          <t>K</t>
        </is>
      </c>
    </row>
    <row r="250">
      <c r="A250" s="16" t="inlineStr">
        <is>
          <t>4.3 x_b+P_alta+eficiencias+T_sumidero · ronda 3</t>
        </is>
      </c>
      <c r="B250" s="16" t="inlineStr">
        <is>
          <t>Temperatura del sumidero, T_sumidero [K]</t>
        </is>
      </c>
      <c r="C250" s="16" t="inlineStr">
        <is>
          <t>Fija</t>
        </is>
      </c>
      <c r="D250" s="16" t="inlineStr">
        <is>
          <t>300.032917</t>
        </is>
      </c>
      <c r="E250" s="16" t="n"/>
      <c r="F250" s="16" t="inlineStr">
        <is>
          <t>sí</t>
        </is>
      </c>
      <c r="G250" s="16" t="inlineStr">
        <is>
          <t>K</t>
        </is>
      </c>
    </row>
    <row r="251">
      <c r="A251" s="16" t="inlineStr">
        <is>
          <t>4.3 x_b+P_alta+eficiencias+T_sumidero · ronda 3</t>
        </is>
      </c>
      <c r="B251" s="16" t="inlineStr">
        <is>
          <t>Presión de alta, P_alta [kPa]</t>
        </is>
      </c>
      <c r="C251" s="16" t="inlineStr">
        <is>
          <t>Fija</t>
        </is>
      </c>
      <c r="D251" s="16" t="inlineStr">
        <is>
          <t>3000.0</t>
        </is>
      </c>
      <c r="E251" s="16" t="n"/>
      <c r="F251" s="16" t="inlineStr">
        <is>
          <t>sí</t>
        </is>
      </c>
      <c r="G251" s="16" t="inlineStr">
        <is>
          <t>kPa</t>
        </is>
      </c>
    </row>
    <row r="252">
      <c r="A252" s="16" t="inlineStr">
        <is>
          <t>4.3 x_b+P_alta+eficiencias+T_sumidero · ronda 3</t>
        </is>
      </c>
      <c r="B252" s="16" t="inlineStr">
        <is>
          <t>Presión de baja, P_baja [kPa]</t>
        </is>
      </c>
      <c r="C252" s="16" t="inlineStr">
        <is>
          <t>Barrida</t>
        </is>
      </c>
      <c r="D252" s="16" t="inlineStr">
        <is>
          <t>333.6 – 1956</t>
        </is>
      </c>
      <c r="E252" s="16" t="n">
        <v>30</v>
      </c>
      <c r="F252" s="16" t="n"/>
      <c r="G252" s="16" t="inlineStr">
        <is>
          <t>kPa</t>
        </is>
      </c>
    </row>
    <row r="253">
      <c r="A253" s="16" t="inlineStr">
        <is>
          <t>4.3 x_b+P_alta+eficiencias+T_sumidero · ronda 3</t>
        </is>
      </c>
      <c r="B253" s="16" t="inlineStr">
        <is>
          <t>Fracción de amoníaco de la mezcla base, x_b [–]</t>
        </is>
      </c>
      <c r="C253" s="16" t="inlineStr">
        <is>
          <t>Fija</t>
        </is>
      </c>
      <c r="D253" s="16" t="inlineStr">
        <is>
          <t>0.5</t>
        </is>
      </c>
      <c r="E253" s="16" t="n"/>
      <c r="F253" s="16" t="inlineStr">
        <is>
          <t>sí</t>
        </is>
      </c>
      <c r="G253" s="16" t="inlineStr">
        <is>
          <t>–</t>
        </is>
      </c>
    </row>
    <row r="254">
      <c r="A254" s="16" t="inlineStr">
        <is>
          <t>4.3 x_b+P_alta+eficiencias+T_sumidero · ronda 3</t>
        </is>
      </c>
      <c r="B254" s="16" t="inlineStr">
        <is>
          <t>Flujo másico base, m_b [kg/s]</t>
        </is>
      </c>
      <c r="C254" s="16" t="inlineStr">
        <is>
          <t>Fija</t>
        </is>
      </c>
      <c r="D254" s="16" t="inlineStr">
        <is>
          <t>1.0</t>
        </is>
      </c>
      <c r="E254" s="16" t="n"/>
      <c r="F254" s="16" t="inlineStr">
        <is>
          <t>sí</t>
        </is>
      </c>
      <c r="G254" s="16" t="inlineStr">
        <is>
          <t>kg/s</t>
        </is>
      </c>
    </row>
    <row r="255">
      <c r="A255" s="16" t="inlineStr">
        <is>
          <t>4.3 x_b+P_alta+eficiencias+T_sumidero · ronda 3</t>
        </is>
      </c>
      <c r="B255" s="16" t="inlineStr">
        <is>
          <t>Eficiencia isentrópica de la turbina, η_t [–]</t>
        </is>
      </c>
      <c r="C255" s="16" t="inlineStr">
        <is>
          <t>Fija</t>
        </is>
      </c>
      <c r="D255" s="16" t="inlineStr">
        <is>
          <t>0.85</t>
        </is>
      </c>
      <c r="E255" s="16" t="n"/>
      <c r="F255" s="16" t="inlineStr">
        <is>
          <t>sí</t>
        </is>
      </c>
      <c r="G255" s="16" t="inlineStr">
        <is>
          <t>–</t>
        </is>
      </c>
    </row>
    <row r="256">
      <c r="A256" s="16" t="inlineStr">
        <is>
          <t>4.3 x_b+P_alta+eficiencias+T_sumidero · ronda 3</t>
        </is>
      </c>
      <c r="B256" s="16" t="inlineStr">
        <is>
          <t>Eficiencia isentrópica de la bomba, η_p [–]</t>
        </is>
      </c>
      <c r="C256" s="16" t="inlineStr">
        <is>
          <t>Fija</t>
        </is>
      </c>
      <c r="D256" s="16" t="inlineStr">
        <is>
          <t>0.75</t>
        </is>
      </c>
      <c r="E256" s="16" t="n"/>
      <c r="F256" s="16" t="inlineStr">
        <is>
          <t>sí</t>
        </is>
      </c>
      <c r="G256" s="16" t="inlineStr">
        <is>
          <t>–</t>
        </is>
      </c>
    </row>
    <row r="257">
      <c r="A257" s="16" t="inlineStr">
        <is>
          <t>4.3 x_b+P_alta+eficiencias+T_sumidero · ronda 3</t>
        </is>
      </c>
      <c r="B257" s="16" t="inlineStr">
        <is>
          <t>Efectividad del generador de vapor, ε_HRVG [–]</t>
        </is>
      </c>
      <c r="C257" s="16" t="inlineStr">
        <is>
          <t>Fija</t>
        </is>
      </c>
      <c r="D257" s="16" t="inlineStr">
        <is>
          <t>0.85</t>
        </is>
      </c>
      <c r="E257" s="16" t="n"/>
      <c r="F257" s="16" t="inlineStr">
        <is>
          <t>sí</t>
        </is>
      </c>
      <c r="G257" s="16" t="inlineStr">
        <is>
          <t>–</t>
        </is>
      </c>
    </row>
    <row r="258">
      <c r="A258" s="16" t="inlineStr">
        <is>
          <t>4.3 x_b+P_alta+eficiencias+T_sumidero · ronda 3</t>
        </is>
      </c>
      <c r="B258" s="16" t="inlineStr">
        <is>
          <t>Efectividad del regenerador, ε_reg [–]</t>
        </is>
      </c>
      <c r="C258" s="16" t="inlineStr">
        <is>
          <t>Fija</t>
        </is>
      </c>
      <c r="D258" s="16" t="inlineStr">
        <is>
          <t>0.75</t>
        </is>
      </c>
      <c r="E258" s="16" t="n"/>
      <c r="F258" s="16" t="inlineStr">
        <is>
          <t>sí</t>
        </is>
      </c>
      <c r="G258" s="16" t="inlineStr">
        <is>
          <t>–</t>
        </is>
      </c>
    </row>
    <row r="259">
      <c r="A259" s="16" t="inlineStr">
        <is>
          <t>4.3 x_b+P_alta+eficiencias+T_sumidero · ronda 3</t>
        </is>
      </c>
      <c r="B259" s="16" t="inlineStr">
        <is>
          <t>Efectividad del condensador, ε_cond [–]</t>
        </is>
      </c>
      <c r="C259" s="16" t="inlineStr">
        <is>
          <t>Fija</t>
        </is>
      </c>
      <c r="D259" s="16" t="inlineStr">
        <is>
          <t>0.8</t>
        </is>
      </c>
      <c r="E259" s="16" t="n"/>
      <c r="F259" s="16" t="inlineStr">
        <is>
          <t>sí</t>
        </is>
      </c>
      <c r="G259" s="16" t="inlineStr">
        <is>
          <t>–</t>
        </is>
      </c>
    </row>
    <row r="260">
      <c r="A260" s="16" t="inlineStr">
        <is>
          <t>4.3 x_b+P_alta+eficiencias+T_sumidero · ronda 3</t>
        </is>
      </c>
      <c r="B260" s="16" t="inlineStr">
        <is>
          <t>Piso de O2 (T de diseño de la bomba) [K]</t>
        </is>
      </c>
      <c r="C260" s="16" t="inlineStr">
        <is>
          <t>Fija</t>
        </is>
      </c>
      <c r="D260" s="16" t="inlineStr">
        <is>
          <t>300.032917</t>
        </is>
      </c>
      <c r="E260" s="16" t="n"/>
      <c r="F260" s="16" t="inlineStr">
        <is>
          <t>sí</t>
        </is>
      </c>
      <c r="G260" s="16" t="inlineStr">
        <is>
          <t>K</t>
        </is>
      </c>
    </row>
    <row r="261">
      <c r="A261" s="16" t="inlineStr">
        <is>
          <t>4.3 x_b+P_alta+eficiencias+T_sumidero · ronda 3</t>
        </is>
      </c>
      <c r="B261" s="16" t="inlineStr">
        <is>
          <t>motor de propiedades</t>
        </is>
      </c>
      <c r="C261" s="16" t="inlineStr">
        <is>
          <t>Fija</t>
        </is>
      </c>
      <c r="D261" s="16" t="inlineStr">
        <is>
          <t>teqp</t>
        </is>
      </c>
      <c r="E261" s="16" t="n"/>
      <c r="F261" s="16" t="n"/>
      <c r="G261" s="16" t="inlineStr">
        <is>
          <t>–</t>
        </is>
      </c>
    </row>
    <row r="262">
      <c r="A262" s="16" t="inlineStr">
        <is>
          <t>6.2e · P_baja mínima con su piso de diseño</t>
        </is>
      </c>
      <c r="B262" s="16" t="inlineStr">
        <is>
          <t>Temperatura de la fuente, T_fuente [K]</t>
        </is>
      </c>
      <c r="C262" s="16" t="inlineStr">
        <is>
          <t>Fija</t>
        </is>
      </c>
      <c r="D262" s="16" t="inlineStr">
        <is>
          <t>394.15</t>
        </is>
      </c>
      <c r="E262" s="16" t="n"/>
      <c r="F262" s="16" t="inlineStr">
        <is>
          <t>no</t>
        </is>
      </c>
      <c r="G262" s="16" t="inlineStr">
        <is>
          <t>K</t>
        </is>
      </c>
    </row>
    <row r="263">
      <c r="A263" s="16" t="inlineStr">
        <is>
          <t>6.2e · P_baja mínima con su piso de diseño</t>
        </is>
      </c>
      <c r="B263" s="16" t="inlineStr">
        <is>
          <t>Temperatura del sumidero, T_sumidero [K]</t>
        </is>
      </c>
      <c r="C263" s="16" t="inlineStr">
        <is>
          <t>Fija</t>
        </is>
      </c>
      <c r="D263" s="16" t="inlineStr">
        <is>
          <t>278.15</t>
        </is>
      </c>
      <c r="E263" s="16" t="n"/>
      <c r="F263" s="16" t="inlineStr">
        <is>
          <t>no</t>
        </is>
      </c>
      <c r="G263" s="16" t="inlineStr">
        <is>
          <t>K</t>
        </is>
      </c>
    </row>
    <row r="264">
      <c r="A264" s="16" t="inlineStr">
        <is>
          <t>6.2e · P_baja mínima con su piso de diseño</t>
        </is>
      </c>
      <c r="B264" s="16" t="inlineStr">
        <is>
          <t>Presión de alta, P_alta [kPa]</t>
        </is>
      </c>
      <c r="C264" s="16" t="inlineStr">
        <is>
          <t>Fija</t>
        </is>
      </c>
      <c r="D264" s="16" t="inlineStr">
        <is>
          <t>3300.0</t>
        </is>
      </c>
      <c r="E264" s="16" t="n"/>
      <c r="F264" s="16" t="inlineStr">
        <is>
          <t>no</t>
        </is>
      </c>
      <c r="G264" s="16" t="inlineStr">
        <is>
          <t>kPa</t>
        </is>
      </c>
    </row>
    <row r="265">
      <c r="A265" s="16" t="inlineStr">
        <is>
          <t>6.2e · P_baja mínima con su piso de diseño</t>
        </is>
      </c>
      <c r="B265" s="16" t="inlineStr">
        <is>
          <t>Presión de baja, P_baja [kPa]</t>
        </is>
      </c>
      <c r="C265" s="16" t="inlineStr">
        <is>
          <t>Barrida</t>
        </is>
      </c>
      <c r="D265" s="16" t="inlineStr">
        <is>
          <t>500.0 – 1000</t>
        </is>
      </c>
      <c r="E265" s="16" t="n">
        <v>12</v>
      </c>
      <c r="F265" s="16" t="n"/>
      <c r="G265" s="16" t="inlineStr">
        <is>
          <t>kPa</t>
        </is>
      </c>
    </row>
    <row r="266">
      <c r="A266" s="16" t="inlineStr">
        <is>
          <t>6.2e · P_baja mínima con su piso de diseño</t>
        </is>
      </c>
      <c r="B266" s="16" t="inlineStr">
        <is>
          <t>Fracción de amoníaco de la mezcla base, x_b [–]</t>
        </is>
      </c>
      <c r="C266" s="16" t="inlineStr">
        <is>
          <t>Fija</t>
        </is>
      </c>
      <c r="D266" s="16" t="inlineStr">
        <is>
          <t>0.82</t>
        </is>
      </c>
      <c r="E266" s="16" t="n"/>
      <c r="F266" s="16" t="inlineStr">
        <is>
          <t>no</t>
        </is>
      </c>
      <c r="G266" s="16" t="inlineStr">
        <is>
          <t>–</t>
        </is>
      </c>
    </row>
    <row r="267">
      <c r="A267" s="16" t="inlineStr">
        <is>
          <t>6.2e · P_baja mínima con su piso de diseño</t>
        </is>
      </c>
      <c r="B267" s="16" t="inlineStr">
        <is>
          <t>Flujo másico base, m_b [kg/s]</t>
        </is>
      </c>
      <c r="C267" s="16" t="inlineStr">
        <is>
          <t>Fija</t>
        </is>
      </c>
      <c r="D267" s="16" t="inlineStr">
        <is>
          <t>1.0</t>
        </is>
      </c>
      <c r="E267" s="16" t="n"/>
      <c r="F267" s="16" t="inlineStr">
        <is>
          <t>sí</t>
        </is>
      </c>
      <c r="G267" s="16" t="inlineStr">
        <is>
          <t>kg/s</t>
        </is>
      </c>
    </row>
    <row r="268">
      <c r="A268" s="16" t="inlineStr">
        <is>
          <t>6.2e · P_baja mínima con su piso de diseño</t>
        </is>
      </c>
      <c r="B268" s="16" t="inlineStr">
        <is>
          <t>Eficiencia isentrópica de la turbina, η_t [–]</t>
        </is>
      </c>
      <c r="C268" s="16" t="inlineStr">
        <is>
          <t>Fija</t>
        </is>
      </c>
      <c r="D268" s="16" t="inlineStr">
        <is>
          <t>0.9</t>
        </is>
      </c>
      <c r="E268" s="16" t="n"/>
      <c r="F268" s="16" t="inlineStr">
        <is>
          <t>no</t>
        </is>
      </c>
      <c r="G268" s="16" t="inlineStr">
        <is>
          <t>–</t>
        </is>
      </c>
    </row>
    <row r="269">
      <c r="A269" s="16" t="inlineStr">
        <is>
          <t>6.2e · P_baja mínima con su piso de diseño</t>
        </is>
      </c>
      <c r="B269" s="16" t="inlineStr">
        <is>
          <t>Eficiencia isentrópica de la bomba, η_p [–]</t>
        </is>
      </c>
      <c r="C269" s="16" t="inlineStr">
        <is>
          <t>Fija</t>
        </is>
      </c>
      <c r="D269" s="16" t="inlineStr">
        <is>
          <t>0.8</t>
        </is>
      </c>
      <c r="E269" s="16" t="n"/>
      <c r="F269" s="16" t="inlineStr">
        <is>
          <t>no</t>
        </is>
      </c>
      <c r="G269" s="16" t="inlineStr">
        <is>
          <t>–</t>
        </is>
      </c>
    </row>
    <row r="270">
      <c r="A270" s="16" t="inlineStr">
        <is>
          <t>6.2e · P_baja mínima con su piso de diseño</t>
        </is>
      </c>
      <c r="B270" s="16" t="inlineStr">
        <is>
          <t>Efectividad del generador de vapor, ε_HRVG [–]</t>
        </is>
      </c>
      <c r="C270" s="16" t="inlineStr">
        <is>
          <t>Fija</t>
        </is>
      </c>
      <c r="D270" s="16" t="inlineStr">
        <is>
          <t>0.85</t>
        </is>
      </c>
      <c r="E270" s="16" t="n"/>
      <c r="F270" s="16" t="inlineStr">
        <is>
          <t>sí</t>
        </is>
      </c>
      <c r="G270" s="16" t="inlineStr">
        <is>
          <t>–</t>
        </is>
      </c>
    </row>
    <row r="271">
      <c r="A271" s="16" t="inlineStr">
        <is>
          <t>6.2e · P_baja mínima con su piso de diseño</t>
        </is>
      </c>
      <c r="B271" s="16" t="inlineStr">
        <is>
          <t>Efectividad del regenerador, ε_reg [–]</t>
        </is>
      </c>
      <c r="C271" s="16" t="inlineStr">
        <is>
          <t>Fija</t>
        </is>
      </c>
      <c r="D271" s="16" t="inlineStr">
        <is>
          <t>0.75</t>
        </is>
      </c>
      <c r="E271" s="16" t="n"/>
      <c r="F271" s="16" t="inlineStr">
        <is>
          <t>sí</t>
        </is>
      </c>
      <c r="G271" s="16" t="inlineStr">
        <is>
          <t>–</t>
        </is>
      </c>
    </row>
    <row r="272">
      <c r="A272" s="16" t="inlineStr">
        <is>
          <t>6.2e · P_baja mínima con su piso de diseño</t>
        </is>
      </c>
      <c r="B272" s="16" t="inlineStr">
        <is>
          <t>Efectividad del condensador, ε_cond [–]</t>
        </is>
      </c>
      <c r="C272" s="16" t="inlineStr">
        <is>
          <t>Fija</t>
        </is>
      </c>
      <c r="D272" s="16" t="inlineStr">
        <is>
          <t>0.95</t>
        </is>
      </c>
      <c r="E272" s="16" t="n"/>
      <c r="F272" s="16" t="inlineStr">
        <is>
          <t>no</t>
        </is>
      </c>
      <c r="G272" s="16" t="inlineStr">
        <is>
          <t>–</t>
        </is>
      </c>
    </row>
    <row r="273">
      <c r="A273" s="16" t="inlineStr">
        <is>
          <t>6.2e · P_baja mínima con su piso de diseño</t>
        </is>
      </c>
      <c r="B273" s="16" t="inlineStr">
        <is>
          <t>Piso de O2 (T de diseño de la bomba) [K]</t>
        </is>
      </c>
      <c r="C273" s="16" t="inlineStr">
        <is>
          <t>Barrida</t>
        </is>
      </c>
      <c r="D273" s="16" t="inlineStr">
        <is>
          <t>278.1 – 283.1</t>
        </is>
      </c>
      <c r="E273" s="16" t="n">
        <v>2</v>
      </c>
      <c r="F273" s="16" t="n"/>
      <c r="G273" s="16" t="inlineStr">
        <is>
          <t>K</t>
        </is>
      </c>
    </row>
    <row r="274">
      <c r="A274" s="16" t="inlineStr">
        <is>
          <t>6.2e · P_baja mínima con su piso de diseño</t>
        </is>
      </c>
      <c r="B274" s="16" t="inlineStr">
        <is>
          <t>motor de propiedades</t>
        </is>
      </c>
      <c r="C274" s="16" t="inlineStr">
        <is>
          <t>Fija</t>
        </is>
      </c>
      <c r="D274" s="16" t="inlineStr">
        <is>
          <t>teqp</t>
        </is>
      </c>
      <c r="E274" s="16" t="n"/>
      <c r="F274" s="16" t="n"/>
      <c r="G274" s="16" t="inlineStr">
        <is>
          <t>–</t>
        </is>
      </c>
    </row>
    <row r="275">
      <c r="A275" s="16" t="inlineStr">
        <is>
          <t>6.1d · motor real con 1500 s</t>
        </is>
      </c>
      <c r="B275" s="16" t="inlineStr">
        <is>
          <t>Temperatura de la fuente, T_fuente [K]</t>
        </is>
      </c>
      <c r="C275" s="16" t="inlineStr">
        <is>
          <t>Barrida</t>
        </is>
      </c>
      <c r="D275" s="16" t="inlineStr">
        <is>
          <t>394.1 – 415.0</t>
        </is>
      </c>
      <c r="E275" s="16" t="n">
        <v>3</v>
      </c>
      <c r="F275" s="16" t="n"/>
      <c r="G275" s="16" t="inlineStr">
        <is>
          <t>K</t>
        </is>
      </c>
    </row>
    <row r="276">
      <c r="A276" s="16" t="inlineStr">
        <is>
          <t>6.1d · motor real con 1500 s</t>
        </is>
      </c>
      <c r="B276" s="16" t="inlineStr">
        <is>
          <t>Temperatura del sumidero, T_sumidero [K]</t>
        </is>
      </c>
      <c r="C276" s="16" t="inlineStr">
        <is>
          <t>Barrida</t>
        </is>
      </c>
      <c r="D276" s="16" t="inlineStr">
        <is>
          <t>278.1 – 300.0</t>
        </is>
      </c>
      <c r="E276" s="16" t="n">
        <v>2</v>
      </c>
      <c r="F276" s="16" t="n"/>
      <c r="G276" s="16" t="inlineStr">
        <is>
          <t>K</t>
        </is>
      </c>
    </row>
    <row r="277">
      <c r="A277" s="16" t="inlineStr">
        <is>
          <t>6.1d · motor real con 1500 s</t>
        </is>
      </c>
      <c r="B277" s="16" t="inlineStr">
        <is>
          <t>Presión de alta, P_alta [kPa]</t>
        </is>
      </c>
      <c r="C277" s="16" t="inlineStr">
        <is>
          <t>Barrida</t>
        </is>
      </c>
      <c r="D277" s="16" t="inlineStr">
        <is>
          <t>3000 – 3300</t>
        </is>
      </c>
      <c r="E277" s="16" t="n">
        <v>2</v>
      </c>
      <c r="F277" s="16" t="n"/>
      <c r="G277" s="16" t="inlineStr">
        <is>
          <t>kPa</t>
        </is>
      </c>
    </row>
    <row r="278">
      <c r="A278" s="16" t="inlineStr">
        <is>
          <t>6.1d · motor real con 1500 s</t>
        </is>
      </c>
      <c r="B278" s="16" t="inlineStr">
        <is>
          <t>Presión de baja, P_baja [kPa]</t>
        </is>
      </c>
      <c r="C278" s="16" t="inlineStr">
        <is>
          <t>Barrida</t>
        </is>
      </c>
      <c r="D278" s="16" t="inlineStr">
        <is>
          <t>400.0 – 690.0</t>
        </is>
      </c>
      <c r="E278" s="16" t="n">
        <v>3</v>
      </c>
      <c r="F278" s="16" t="n"/>
      <c r="G278" s="16" t="inlineStr">
        <is>
          <t>kPa</t>
        </is>
      </c>
    </row>
    <row r="279">
      <c r="A279" s="16" t="inlineStr">
        <is>
          <t>6.1d · motor real con 1500 s</t>
        </is>
      </c>
      <c r="B279" s="16" t="inlineStr">
        <is>
          <t>Fracción de amoníaco de la mezcla base, x_b [–]</t>
        </is>
      </c>
      <c r="C279" s="16" t="inlineStr">
        <is>
          <t>Barrida</t>
        </is>
      </c>
      <c r="D279" s="16" t="inlineStr">
        <is>
          <t>0.500 – 0.820</t>
        </is>
      </c>
      <c r="E279" s="16" t="n">
        <v>2</v>
      </c>
      <c r="F279" s="16" t="n"/>
      <c r="G279" s="16" t="inlineStr">
        <is>
          <t>–</t>
        </is>
      </c>
    </row>
    <row r="280">
      <c r="A280" s="16" t="inlineStr">
        <is>
          <t>6.1d · motor real con 1500 s</t>
        </is>
      </c>
      <c r="B280" s="16" t="inlineStr">
        <is>
          <t>Flujo másico base, m_b [kg/s]</t>
        </is>
      </c>
      <c r="C280" s="16" t="inlineStr">
        <is>
          <t>Fija</t>
        </is>
      </c>
      <c r="D280" s="16" t="inlineStr">
        <is>
          <t>1.0</t>
        </is>
      </c>
      <c r="E280" s="16" t="n"/>
      <c r="F280" s="16" t="inlineStr">
        <is>
          <t>sí</t>
        </is>
      </c>
      <c r="G280" s="16" t="inlineStr">
        <is>
          <t>kg/s</t>
        </is>
      </c>
    </row>
    <row r="281">
      <c r="A281" s="16" t="inlineStr">
        <is>
          <t>6.1d · motor real con 1500 s</t>
        </is>
      </c>
      <c r="B281" s="16" t="inlineStr">
        <is>
          <t>Eficiencia isentrópica de la turbina, η_t [–]</t>
        </is>
      </c>
      <c r="C281" s="16" t="inlineStr">
        <is>
          <t>Barrida</t>
        </is>
      </c>
      <c r="D281" s="16" t="inlineStr">
        <is>
          <t>0.850 – 0.950</t>
        </is>
      </c>
      <c r="E281" s="16" t="n">
        <v>3</v>
      </c>
      <c r="F281" s="16" t="n"/>
      <c r="G281" s="16" t="inlineStr">
        <is>
          <t>–</t>
        </is>
      </c>
    </row>
    <row r="282">
      <c r="A282" s="16" t="inlineStr">
        <is>
          <t>6.1d · motor real con 1500 s</t>
        </is>
      </c>
      <c r="B282" s="16" t="inlineStr">
        <is>
          <t>Eficiencia isentrópica de la bomba, η_p [–]</t>
        </is>
      </c>
      <c r="C282" s="16" t="inlineStr">
        <is>
          <t>Barrida</t>
        </is>
      </c>
      <c r="D282" s="16" t="inlineStr">
        <is>
          <t>0.750 – 0.805</t>
        </is>
      </c>
      <c r="E282" s="16" t="n">
        <v>3</v>
      </c>
      <c r="F282" s="16" t="n"/>
      <c r="G282" s="16" t="inlineStr">
        <is>
          <t>–</t>
        </is>
      </c>
    </row>
    <row r="283">
      <c r="A283" s="16" t="inlineStr">
        <is>
          <t>6.1d · motor real con 1500 s</t>
        </is>
      </c>
      <c r="B283" s="16" t="inlineStr">
        <is>
          <t>Efectividad del generador de vapor, ε_HRVG [–]</t>
        </is>
      </c>
      <c r="C283" s="16" t="inlineStr">
        <is>
          <t>Barrida</t>
        </is>
      </c>
      <c r="D283" s="16" t="inlineStr">
        <is>
          <t>0.850 – 0.950</t>
        </is>
      </c>
      <c r="E283" s="16" t="n">
        <v>2</v>
      </c>
      <c r="F283" s="16" t="n"/>
      <c r="G283" s="16" t="inlineStr">
        <is>
          <t>–</t>
        </is>
      </c>
    </row>
    <row r="284">
      <c r="A284" s="16" t="inlineStr">
        <is>
          <t>6.1d · motor real con 1500 s</t>
        </is>
      </c>
      <c r="B284" s="16" t="inlineStr">
        <is>
          <t>Efectividad del regenerador, ε_reg [–]</t>
        </is>
      </c>
      <c r="C284" s="16" t="inlineStr">
        <is>
          <t>Barrida</t>
        </is>
      </c>
      <c r="D284" s="16" t="inlineStr">
        <is>
          <t>0.750 – 0.950</t>
        </is>
      </c>
      <c r="E284" s="16" t="n">
        <v>2</v>
      </c>
      <c r="F284" s="16" t="n"/>
      <c r="G284" s="16" t="inlineStr">
        <is>
          <t>–</t>
        </is>
      </c>
    </row>
    <row r="285">
      <c r="A285" s="16" t="inlineStr">
        <is>
          <t>6.1d · motor real con 1500 s</t>
        </is>
      </c>
      <c r="B285" s="16" t="inlineStr">
        <is>
          <t>Efectividad del condensador, ε_cond [–]</t>
        </is>
      </c>
      <c r="C285" s="16" t="inlineStr">
        <is>
          <t>Barrida</t>
        </is>
      </c>
      <c r="D285" s="16" t="inlineStr">
        <is>
          <t>0.800 – 0.950</t>
        </is>
      </c>
      <c r="E285" s="16" t="n">
        <v>2</v>
      </c>
      <c r="F285" s="16" t="n"/>
      <c r="G285" s="16" t="inlineStr">
        <is>
          <t>–</t>
        </is>
      </c>
    </row>
    <row r="286">
      <c r="A286" s="16" t="inlineStr">
        <is>
          <t>6.1d · motor real con 1500 s</t>
        </is>
      </c>
      <c r="B286" s="16" t="inlineStr">
        <is>
          <t>Piso de O2 (T de diseño de la bomba) [K]</t>
        </is>
      </c>
      <c r="C286" s="16" t="inlineStr">
        <is>
          <t>Barrida</t>
        </is>
      </c>
      <c r="D286" s="16" t="inlineStr">
        <is>
          <t>283.1 – 300.0</t>
        </is>
      </c>
      <c r="E286" s="16" t="n">
        <v>2</v>
      </c>
      <c r="F286" s="16" t="n"/>
      <c r="G286" s="16" t="inlineStr">
        <is>
          <t>K</t>
        </is>
      </c>
    </row>
    <row r="287">
      <c r="A287" s="16" t="inlineStr">
        <is>
          <t>6.1d · motor real con 1500 s</t>
        </is>
      </c>
      <c r="B287" s="16" t="inlineStr">
        <is>
          <t>motor de propiedades</t>
        </is>
      </c>
      <c r="C287" s="16" t="inlineStr">
        <is>
          <t>Fija</t>
        </is>
      </c>
      <c r="D287" s="16" t="inlineStr">
        <is>
          <t>real</t>
        </is>
      </c>
      <c r="E287" s="16" t="n"/>
      <c r="F287" s="16" t="n"/>
      <c r="G287" s="16" t="inlineStr">
        <is>
          <t>–</t>
        </is>
      </c>
    </row>
    <row r="289">
      <c r="A289" s="23" t="inlineStr">
        <is>
          <t>Notas: Filtro: cada parte y cada variable. n = 260 filas en la tabla. † = fuera del rango confiable (IAPWS G4-01); ‡ = falso convergido. Fuente: analisis_final/00_inventario/condiciones_por_subcaso.csv.</t>
        </is>
      </c>
    </row>
  </sheetData>
  <autoFilter ref="A27:G287"/>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48"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4.3-2 · Corridas por parte y por clase</t>
        </is>
      </c>
    </row>
    <row r="2">
      <c r="A2" s="20" t="inlineStr">
        <is>
          <t>Estudio 4.3 · Escalera de conservación · Partes: 4.3 T_fuente, 4.3 eficiencias, 4.3 P_alta, 4.3 P_baja, 4.3 T_sumidero, 4.3 x_b, 4.3 x_b+T_fuente, 4.3 x_b+eficiencias, 4.3 x_b+P_alta, 4.3 x_b+P_baja, 4.3 x_b+T_sumidero, 4.3 x_b+P_alta+T_fuente, 4.3 x_b+P_alta+eficiencias, 4.3 x_b+P_alta+P_baja, 4.3 x_b+P_alta+T_sumidero, 4.3 x_b+P_alta+eficiencias+T_fuente, 4.3 x_b+P_alta+eficiencias+P_baja, 4.3 x_b+P_alta+eficiencias+T_sumidero, 6.2e, 6.1d</t>
        </is>
      </c>
    </row>
    <row r="3">
      <c r="A3" s="20" t="inlineStr">
        <is>
          <t>Punto base: PP parcial según el conjunto de datos conservado</t>
        </is>
      </c>
    </row>
    <row r="4">
      <c r="A4" s="41" t="inlineStr">
        <is>
          <t>Parte 4.3 T_fuente: Datos fijos: T_fuente = 623.15 K; m_b = 1 kg/s; motor de propiedades = teqp.</t>
        </is>
      </c>
    </row>
    <row r="5">
      <c r="A5" s="41" t="inlineStr">
        <is>
          <t>Parte 4.3 eficiencias: Datos fijos: m_b = 1 kg/s; η_t = 0.85; η_p = 0.75; ε_HRVG = 0.85; ε_reg = 0.75; ε_cond = 0.8; motor de propiedades = teqp.</t>
        </is>
      </c>
    </row>
    <row r="6">
      <c r="A6" s="41" t="inlineStr">
        <is>
          <t>Parte 4.3 P_alta: Datos fijos: P_alta = 3000 kPa; m_b = 1 kg/s; motor de propiedades = teqp.</t>
        </is>
      </c>
    </row>
    <row r="7">
      <c r="A7" s="41" t="inlineStr">
        <is>
          <t>Parte 4.3 P_baja: Datos fijos: P_baja = 400 kPa; m_b = 1 kg/s; motor de propiedades = teqp.</t>
        </is>
      </c>
    </row>
    <row r="8">
      <c r="A8" s="41" t="inlineStr">
        <is>
          <t>Parte 4.3 T_sumidero: Datos fijos: T_sumidero = 300.03 K; m_b = 1 kg/s; piso de O2 = 300.03 K; motor de propiedades = teqp.</t>
        </is>
      </c>
    </row>
    <row r="9">
      <c r="A9" s="41" t="inlineStr">
        <is>
          <t>Parte 4.3 x_b: Datos fijos: x_b = 0.5; m_b = 1 kg/s; motor de propiedades = teqp.</t>
        </is>
      </c>
    </row>
    <row r="10">
      <c r="A10" s="41" t="inlineStr">
        <is>
          <t>Parte 4.3 x_b+T_fuente: Datos fijos: T_fuente = 623.15 K; x_b = 0.5; m_b = 1 kg/s; motor de propiedades = teqp.</t>
        </is>
      </c>
    </row>
    <row r="11">
      <c r="A11" s="41" t="inlineStr">
        <is>
          <t>Parte 4.3 x_b+eficiencias: Datos fijos: x_b = 0.5; m_b = 1 kg/s; η_t = 0.85; η_p = 0.75; ε_HRVG = 0.85; ε_reg = 0.75; ε_cond = 0.8; motor de propiedades = teqp.</t>
        </is>
      </c>
    </row>
    <row r="12">
      <c r="A12" s="41" t="inlineStr">
        <is>
          <t>Parte 4.3 x_b+P_alta: Datos fijos: P_alta = 3000 kPa; x_b = 0.5; m_b = 1 kg/s; motor de propiedades = teqp.</t>
        </is>
      </c>
    </row>
    <row r="13">
      <c r="A13" s="41" t="inlineStr">
        <is>
          <t>Parte 4.3 x_b+P_baja: Datos fijos: P_baja = 400 kPa; x_b = 0.5; m_b = 1 kg/s; motor de propiedades = teqp.</t>
        </is>
      </c>
    </row>
    <row r="14">
      <c r="A14" s="41" t="inlineStr">
        <is>
          <t>Parte 4.3 x_b+T_sumidero: Datos fijos: T_sumidero = 300.03 K; x_b = 0.5; m_b = 1 kg/s; piso de O2 = 300.03 K; motor de propiedades = teqp.</t>
        </is>
      </c>
    </row>
    <row r="15">
      <c r="A15" s="41" t="inlineStr">
        <is>
          <t>Parte 4.3 x_b+P_alta+T_fuente: Datos fijos: T_fuente = 623.15 K; P_alta = 3000 kPa; x_b = 0.5; m_b = 1 kg/s; motor de propiedades = teqp.</t>
        </is>
      </c>
    </row>
    <row r="16">
      <c r="A16" s="41" t="inlineStr">
        <is>
          <t>Parte 4.3 x_b+P_alta+eficiencias: Datos fijos: P_alta = 3000 kPa; x_b = 0.5; m_b = 1 kg/s; η_t = 0.85; η_p = 0.75; ε_HRVG = 0.85; ε_reg = 0.75; ε_cond = 0.8; motor de propiedades = teqp.</t>
        </is>
      </c>
    </row>
    <row r="17">
      <c r="A17" s="41" t="inlineStr">
        <is>
          <t>Parte 4.3 x_b+P_alta+P_baja: Datos fijos: P_alta = 3000 kPa; P_baja = 400 kPa; x_b = 0.5; m_b = 1 kg/s; motor de propiedades = teqp.</t>
        </is>
      </c>
    </row>
    <row r="18">
      <c r="A18" s="41" t="inlineStr">
        <is>
          <t>Parte 4.3 x_b+P_alta+T_sumidero: Datos fijos: T_sumidero = 300.03 K; P_alta = 3000 kPa; x_b = 0.5; m_b = 1 kg/s; piso de O2 = 300.03 K; motor de propiedades = teqp.</t>
        </is>
      </c>
    </row>
    <row r="19">
      <c r="A19" s="41" t="inlineStr">
        <is>
          <t>Parte 4.3 x_b+P_alta+eficiencias+T_fuente: Datos fijos: T_fuente = 623.15 K; P_alta = 3000 kPa; x_b = 0.5; m_b = 1 kg/s; η_t = 0.85; η_p = 0.75; ε_HRVG = 0.85; ε_reg = 0.75; ε_cond = 0.8; motor de propiedades = teqp.</t>
        </is>
      </c>
    </row>
    <row r="20">
      <c r="A20" s="41" t="inlineStr">
        <is>
          <t>Parte 4.3 x_b+P_alta+eficiencias+P_baja: Datos fijos: P_alta = 3000 kPa; P_baja = 400 kPa; x_b = 0.5; m_b = 1 kg/s; η_t = 0.85; η_p = 0.75; ε_HRVG = 0.85; ε_reg = 0.75; ε_cond = 0.8; motor de propiedades = teqp.</t>
        </is>
      </c>
    </row>
    <row r="21">
      <c r="A21" s="41" t="inlineStr">
        <is>
          <t>Parte 4.3 x_b+P_alta+eficiencias+T_sumidero: Datos fijos: T_sumidero = 300.03 K; P_alta = 3000 kPa; x_b = 0.5; m_b = 1 kg/s; η_t = 0.85; η_p = 0.75; ε_HRVG = 0.85; ε_reg = 0.75; ε_cond = 0.8; piso de O2 = 300.03 K; motor de propiedades = teqp.</t>
        </is>
      </c>
    </row>
    <row r="22">
      <c r="A22" s="41" t="inlineStr">
        <is>
          <t>Parte 6.2e: Datos fijos: T_fuente = 394.15 K; T_sumidero = 278.15 K; P_alta = 3300 kPa; x_b = 0.82; m_b = 1 kg/s; η_t = 0.9; η_p = 0.8; ε_HRVG = 0.85; ε_reg = 0.75; ε_cond = 0.95; motor de propiedades = teqp.</t>
        </is>
      </c>
    </row>
    <row r="23">
      <c r="A23" s="41" t="inlineStr">
        <is>
          <t>Parte 6.1: Datos fijos: m_b = 1 kg/s; motor de propiedades = real.</t>
        </is>
      </c>
    </row>
    <row r="24">
      <c r="A24" s="21" t="inlineStr">
        <is>
          <t>Datos barridos en cada parte: las variables que no están fijas, dentro de la caja del estudio (rangos exactos en su tabla de condiciones).</t>
        </is>
      </c>
    </row>
    <row r="25">
      <c r="A25" s="20" t="inlineStr">
        <is>
          <t>Fuente: analisis_final/00_inventario/conteo_por_subcaso.csv</t>
        </is>
      </c>
    </row>
    <row r="27">
      <c r="A27" s="22" t="inlineStr">
        <is>
          <t>Parte</t>
        </is>
      </c>
      <c r="B27" s="22" t="inlineStr">
        <is>
          <t>Corridas</t>
        </is>
      </c>
      <c r="C27" s="22" t="inlineStr">
        <is>
          <t>Omitidos</t>
        </is>
      </c>
      <c r="D27" s="22" t="inlineStr">
        <is>
          <t>Genuinos</t>
        </is>
      </c>
      <c r="E27" s="22" t="inlineStr">
        <is>
          <t>KALINA</t>
        </is>
      </c>
      <c r="F27" s="22" t="inlineStr">
        <is>
          <t>KALINA confiables</t>
        </is>
      </c>
      <c r="G27" s="22" t="inlineStr">
        <is>
          <t>Corregibles</t>
        </is>
      </c>
      <c r="H27" s="22" t="inlineStr">
        <is>
          <t>Inviables</t>
        </is>
      </c>
      <c r="I27" s="22" t="inlineStr">
        <is>
          <t>No convergidos</t>
        </is>
      </c>
      <c r="J27" s="22" t="inlineStr">
        <is>
          <t>Falsos convergidos</t>
        </is>
      </c>
      <c r="K27" s="22" t="inlineStr">
        <is>
          <t>Fuera de rango</t>
        </is>
      </c>
    </row>
    <row r="28">
      <c r="A28" s="16" t="inlineStr">
        <is>
          <t>4.3 T_fuente · ronda 0</t>
        </is>
      </c>
      <c r="B28" s="16" t="n">
        <v>100</v>
      </c>
      <c r="C28" s="16" t="n">
        <v>0</v>
      </c>
      <c r="D28" s="16" t="n">
        <v>60</v>
      </c>
      <c r="E28" s="16" t="n">
        <v>7</v>
      </c>
      <c r="F28" s="16" t="n">
        <v>0</v>
      </c>
      <c r="G28" s="16" t="n">
        <v>44</v>
      </c>
      <c r="H28" s="16" t="n">
        <v>9</v>
      </c>
      <c r="I28" s="16" t="n">
        <v>38</v>
      </c>
      <c r="J28" s="16" t="n">
        <v>2</v>
      </c>
      <c r="K28" s="16" t="n">
        <v>53</v>
      </c>
    </row>
    <row r="29">
      <c r="A29" s="16" t="inlineStr">
        <is>
          <t>4.3 eficiencias · ronda 0</t>
        </is>
      </c>
      <c r="B29" s="16" t="n">
        <v>100</v>
      </c>
      <c r="C29" s="16" t="n">
        <v>1</v>
      </c>
      <c r="D29" s="16" t="n">
        <v>88</v>
      </c>
      <c r="E29" s="16" t="n">
        <v>13</v>
      </c>
      <c r="F29" s="16" t="n">
        <v>11</v>
      </c>
      <c r="G29" s="16" t="n">
        <v>72</v>
      </c>
      <c r="H29" s="16" t="n">
        <v>3</v>
      </c>
      <c r="I29" s="16" t="n">
        <v>7</v>
      </c>
      <c r="J29" s="16" t="n">
        <v>4</v>
      </c>
      <c r="K29" s="16" t="n">
        <v>55</v>
      </c>
    </row>
    <row r="30">
      <c r="A30" s="16" t="inlineStr">
        <is>
          <t>4.3 P_alta · ronda 0</t>
        </is>
      </c>
      <c r="B30" s="16" t="n">
        <v>100</v>
      </c>
      <c r="C30" s="16" t="n">
        <v>0</v>
      </c>
      <c r="D30" s="16" t="n">
        <v>88</v>
      </c>
      <c r="E30" s="16" t="n">
        <v>19</v>
      </c>
      <c r="F30" s="16" t="n">
        <v>12</v>
      </c>
      <c r="G30" s="16" t="n">
        <v>51</v>
      </c>
      <c r="H30" s="16" t="n">
        <v>18</v>
      </c>
      <c r="I30" s="16" t="n">
        <v>11</v>
      </c>
      <c r="J30" s="16" t="n">
        <v>1</v>
      </c>
      <c r="K30" s="16" t="n">
        <v>39</v>
      </c>
    </row>
    <row r="31">
      <c r="A31" s="16" t="inlineStr">
        <is>
          <t>4.3 P_baja · ronda 0</t>
        </is>
      </c>
      <c r="B31" s="16" t="n">
        <v>100</v>
      </c>
      <c r="C31" s="16" t="n">
        <v>0</v>
      </c>
      <c r="D31" s="16" t="n">
        <v>85</v>
      </c>
      <c r="E31" s="16" t="n">
        <v>1</v>
      </c>
      <c r="F31" s="16" t="n">
        <v>1</v>
      </c>
      <c r="G31" s="16" t="n">
        <v>44</v>
      </c>
      <c r="H31" s="16" t="n">
        <v>40</v>
      </c>
      <c r="I31" s="16" t="n">
        <v>14</v>
      </c>
      <c r="J31" s="16" t="n">
        <v>1</v>
      </c>
      <c r="K31" s="16" t="n">
        <v>45</v>
      </c>
    </row>
    <row r="32">
      <c r="A32" s="16" t="inlineStr">
        <is>
          <t>4.3 T_sumidero · ronda 0</t>
        </is>
      </c>
      <c r="B32" s="16" t="n">
        <v>100</v>
      </c>
      <c r="C32" s="16" t="n">
        <v>1</v>
      </c>
      <c r="D32" s="16" t="n">
        <v>87</v>
      </c>
      <c r="E32" s="16" t="n">
        <v>17</v>
      </c>
      <c r="F32" s="16" t="n">
        <v>13</v>
      </c>
      <c r="G32" s="16" t="n">
        <v>39</v>
      </c>
      <c r="H32" s="16" t="n">
        <v>31</v>
      </c>
      <c r="I32" s="16" t="n">
        <v>12</v>
      </c>
      <c r="J32" s="16" t="n">
        <v>0</v>
      </c>
      <c r="K32" s="16" t="n">
        <v>43</v>
      </c>
    </row>
    <row r="33">
      <c r="A33" s="16" t="inlineStr">
        <is>
          <t>4.3 x_b · ronda 0</t>
        </is>
      </c>
      <c r="B33" s="16" t="n">
        <v>100</v>
      </c>
      <c r="C33" s="16" t="n">
        <v>1</v>
      </c>
      <c r="D33" s="16" t="n">
        <v>85</v>
      </c>
      <c r="E33" s="16" t="n">
        <v>29</v>
      </c>
      <c r="F33" s="16" t="n">
        <v>15</v>
      </c>
      <c r="G33" s="16" t="n">
        <v>37</v>
      </c>
      <c r="H33" s="16" t="n">
        <v>19</v>
      </c>
      <c r="I33" s="16" t="n">
        <v>9</v>
      </c>
      <c r="J33" s="16" t="n">
        <v>5</v>
      </c>
      <c r="K33" s="16" t="n">
        <v>58</v>
      </c>
    </row>
    <row r="34">
      <c r="A34" s="16" t="inlineStr">
        <is>
          <t>4.3 x_b+T_fuente · ronda 1</t>
        </is>
      </c>
      <c r="B34" s="16" t="n">
        <v>30</v>
      </c>
      <c r="C34" s="16" t="n">
        <v>1</v>
      </c>
      <c r="D34" s="16" t="n">
        <v>20</v>
      </c>
      <c r="E34" s="16" t="n">
        <v>2</v>
      </c>
      <c r="F34" s="16" t="n">
        <v>0</v>
      </c>
      <c r="G34" s="16" t="n">
        <v>15</v>
      </c>
      <c r="H34" s="16" t="n">
        <v>3</v>
      </c>
      <c r="I34" s="16" t="n">
        <v>9</v>
      </c>
      <c r="J34" s="16" t="n">
        <v>0</v>
      </c>
      <c r="K34" s="16" t="n">
        <v>20</v>
      </c>
    </row>
    <row r="35">
      <c r="A35" s="16" t="inlineStr">
        <is>
          <t>4.3 x_b+eficiencias · ronda 1</t>
        </is>
      </c>
      <c r="B35" s="16" t="n">
        <v>30</v>
      </c>
      <c r="C35" s="16" t="n">
        <v>0</v>
      </c>
      <c r="D35" s="16" t="n">
        <v>26</v>
      </c>
      <c r="E35" s="16" t="n">
        <v>11</v>
      </c>
      <c r="F35" s="16" t="n">
        <v>6</v>
      </c>
      <c r="G35" s="16" t="n">
        <v>15</v>
      </c>
      <c r="H35" s="16" t="n">
        <v>0</v>
      </c>
      <c r="I35" s="16" t="n">
        <v>1</v>
      </c>
      <c r="J35" s="16" t="n">
        <v>3</v>
      </c>
      <c r="K35" s="16" t="n">
        <v>20</v>
      </c>
    </row>
    <row r="36">
      <c r="A36" s="16" t="inlineStr">
        <is>
          <t>4.3 x_b+P_alta · ronda 1</t>
        </is>
      </c>
      <c r="B36" s="16" t="n">
        <v>30</v>
      </c>
      <c r="C36" s="16" t="n">
        <v>0</v>
      </c>
      <c r="D36" s="16" t="n">
        <v>28</v>
      </c>
      <c r="E36" s="16" t="n">
        <v>11</v>
      </c>
      <c r="F36" s="16" t="n">
        <v>7</v>
      </c>
      <c r="G36" s="16" t="n">
        <v>15</v>
      </c>
      <c r="H36" s="16" t="n">
        <v>2</v>
      </c>
      <c r="I36" s="16" t="n">
        <v>1</v>
      </c>
      <c r="J36" s="16" t="n">
        <v>1</v>
      </c>
      <c r="K36" s="16" t="n">
        <v>19</v>
      </c>
    </row>
    <row r="37">
      <c r="A37" s="16" t="inlineStr">
        <is>
          <t>4.3 x_b+P_baja · ronda 1</t>
        </is>
      </c>
      <c r="B37" s="16" t="n">
        <v>30</v>
      </c>
      <c r="C37" s="16" t="n">
        <v>0</v>
      </c>
      <c r="D37" s="16" t="n">
        <v>27</v>
      </c>
      <c r="E37" s="16" t="n">
        <v>4</v>
      </c>
      <c r="F37" s="16" t="n">
        <v>3</v>
      </c>
      <c r="G37" s="16" t="n">
        <v>20</v>
      </c>
      <c r="H37" s="16" t="n">
        <v>3</v>
      </c>
      <c r="I37" s="16" t="n">
        <v>1</v>
      </c>
      <c r="J37" s="16" t="n">
        <v>2</v>
      </c>
      <c r="K37" s="16" t="n">
        <v>19</v>
      </c>
    </row>
    <row r="38">
      <c r="A38" s="16" t="inlineStr">
        <is>
          <t>4.3 x_b+T_sumidero · ronda 1</t>
        </is>
      </c>
      <c r="B38" s="16" t="n">
        <v>30</v>
      </c>
      <c r="C38" s="16" t="n">
        <v>0</v>
      </c>
      <c r="D38" s="16" t="n">
        <v>26</v>
      </c>
      <c r="E38" s="16" t="n">
        <v>9</v>
      </c>
      <c r="F38" s="16" t="n">
        <v>5</v>
      </c>
      <c r="G38" s="16" t="n">
        <v>12</v>
      </c>
      <c r="H38" s="16" t="n">
        <v>5</v>
      </c>
      <c r="I38" s="16" t="n">
        <v>2</v>
      </c>
      <c r="J38" s="16" t="n">
        <v>2</v>
      </c>
      <c r="K38" s="16" t="n">
        <v>18</v>
      </c>
    </row>
    <row r="39">
      <c r="A39" s="16" t="inlineStr">
        <is>
          <t>4.3 x_b+P_alta+T_fuente · ronda 2</t>
        </is>
      </c>
      <c r="B39" s="16" t="n">
        <v>30</v>
      </c>
      <c r="C39" s="16" t="n">
        <v>0</v>
      </c>
      <c r="D39" s="16" t="n">
        <v>19</v>
      </c>
      <c r="E39" s="16" t="n">
        <v>3</v>
      </c>
      <c r="F39" s="16" t="n">
        <v>0</v>
      </c>
      <c r="G39" s="16" t="n">
        <v>13</v>
      </c>
      <c r="H39" s="16" t="n">
        <v>3</v>
      </c>
      <c r="I39" s="16" t="n">
        <v>11</v>
      </c>
      <c r="J39" s="16" t="n">
        <v>0</v>
      </c>
      <c r="K39" s="16" t="n">
        <v>19</v>
      </c>
    </row>
    <row r="40">
      <c r="A40" s="16" t="inlineStr">
        <is>
          <t>4.3 x_b+P_alta+eficiencias · ronda 2</t>
        </is>
      </c>
      <c r="B40" s="16" t="n">
        <v>30</v>
      </c>
      <c r="C40" s="16" t="n">
        <v>0</v>
      </c>
      <c r="D40" s="16" t="n">
        <v>28</v>
      </c>
      <c r="E40" s="16" t="n">
        <v>13</v>
      </c>
      <c r="F40" s="16" t="n">
        <v>7</v>
      </c>
      <c r="G40" s="16" t="n">
        <v>14</v>
      </c>
      <c r="H40" s="16" t="n">
        <v>1</v>
      </c>
      <c r="I40" s="16" t="n">
        <v>1</v>
      </c>
      <c r="J40" s="16" t="n">
        <v>1</v>
      </c>
      <c r="K40" s="16" t="n">
        <v>20</v>
      </c>
    </row>
    <row r="41">
      <c r="A41" s="16" t="inlineStr">
        <is>
          <t>4.3 x_b+P_alta+P_baja · ronda 2</t>
        </is>
      </c>
      <c r="B41" s="16" t="n">
        <v>30</v>
      </c>
      <c r="C41" s="16" t="n">
        <v>0</v>
      </c>
      <c r="D41" s="16" t="n">
        <v>28</v>
      </c>
      <c r="E41" s="16" t="n">
        <v>2</v>
      </c>
      <c r="F41" s="16" t="n">
        <v>2</v>
      </c>
      <c r="G41" s="16" t="n">
        <v>20</v>
      </c>
      <c r="H41" s="16" t="n">
        <v>6</v>
      </c>
      <c r="I41" s="16" t="n">
        <v>0</v>
      </c>
      <c r="J41" s="16" t="n">
        <v>2</v>
      </c>
      <c r="K41" s="16" t="n">
        <v>19</v>
      </c>
    </row>
    <row r="42">
      <c r="A42" s="16" t="inlineStr">
        <is>
          <t>4.3 x_b+P_alta+T_sumidero · ronda 2</t>
        </is>
      </c>
      <c r="B42" s="16" t="n">
        <v>30</v>
      </c>
      <c r="C42" s="16" t="n">
        <v>0</v>
      </c>
      <c r="D42" s="16" t="n">
        <v>27</v>
      </c>
      <c r="E42" s="16" t="n">
        <v>8</v>
      </c>
      <c r="F42" s="16" t="n">
        <v>6</v>
      </c>
      <c r="G42" s="16" t="n">
        <v>15</v>
      </c>
      <c r="H42" s="16" t="n">
        <v>4</v>
      </c>
      <c r="I42" s="16" t="n">
        <v>0</v>
      </c>
      <c r="J42" s="16" t="n">
        <v>3</v>
      </c>
      <c r="K42" s="16" t="n">
        <v>16</v>
      </c>
    </row>
    <row r="43">
      <c r="A43" s="16" t="inlineStr">
        <is>
          <t>4.3 x_b+P_alta+eficiencias+T_fuente · ronda 3</t>
        </is>
      </c>
      <c r="B43" s="16" t="n">
        <v>30</v>
      </c>
      <c r="C43" s="16" t="n">
        <v>0</v>
      </c>
      <c r="D43" s="16" t="n">
        <v>0</v>
      </c>
      <c r="E43" s="16" t="n">
        <v>0</v>
      </c>
      <c r="F43" s="16" t="n">
        <v>0</v>
      </c>
      <c r="G43" s="16" t="n">
        <v>0</v>
      </c>
      <c r="H43" s="16" t="n">
        <v>0</v>
      </c>
      <c r="I43" s="16" t="n">
        <v>30</v>
      </c>
      <c r="J43" s="16" t="n">
        <v>0</v>
      </c>
      <c r="K43" s="16" t="n">
        <v>0</v>
      </c>
    </row>
    <row r="44">
      <c r="A44" s="16" t="inlineStr">
        <is>
          <t>4.3 x_b+P_alta+eficiencias+P_baja · ronda 3</t>
        </is>
      </c>
      <c r="B44" s="16" t="n">
        <v>30</v>
      </c>
      <c r="C44" s="16" t="n">
        <v>0</v>
      </c>
      <c r="D44" s="16" t="n">
        <v>28</v>
      </c>
      <c r="E44" s="16" t="n">
        <v>5</v>
      </c>
      <c r="F44" s="16" t="n">
        <v>5</v>
      </c>
      <c r="G44" s="16" t="n">
        <v>22</v>
      </c>
      <c r="H44" s="16" t="n">
        <v>1</v>
      </c>
      <c r="I44" s="16" t="n">
        <v>1</v>
      </c>
      <c r="J44" s="16" t="n">
        <v>1</v>
      </c>
      <c r="K44" s="16" t="n">
        <v>19</v>
      </c>
    </row>
    <row r="45">
      <c r="A45" s="16" t="inlineStr">
        <is>
          <t>4.3 x_b+P_alta+eficiencias+T_sumidero · ronda 3</t>
        </is>
      </c>
      <c r="B45" s="16" t="n">
        <v>30</v>
      </c>
      <c r="C45" s="16" t="n">
        <v>0</v>
      </c>
      <c r="D45" s="16" t="n">
        <v>29</v>
      </c>
      <c r="E45" s="16" t="n">
        <v>6</v>
      </c>
      <c r="F45" s="16" t="n">
        <v>4</v>
      </c>
      <c r="G45" s="16" t="n">
        <v>21</v>
      </c>
      <c r="H45" s="16" t="n">
        <v>2</v>
      </c>
      <c r="I45" s="16" t="n">
        <v>0</v>
      </c>
      <c r="J45" s="16" t="n">
        <v>1</v>
      </c>
      <c r="K45" s="16" t="n">
        <v>20</v>
      </c>
    </row>
    <row r="46">
      <c r="A46" s="16" t="inlineStr">
        <is>
          <t>6.2e · P_baja mínima con su piso de diseño</t>
        </is>
      </c>
      <c r="B46" s="16" t="n">
        <v>24</v>
      </c>
      <c r="C46" s="16" t="n">
        <v>0</v>
      </c>
      <c r="D46" s="16" t="n">
        <v>24</v>
      </c>
      <c r="E46" s="16" t="n">
        <v>18</v>
      </c>
      <c r="F46" s="16" t="n">
        <v>18</v>
      </c>
      <c r="G46" s="16" t="n">
        <v>6</v>
      </c>
      <c r="H46" s="16" t="n">
        <v>0</v>
      </c>
      <c r="I46" s="16" t="n">
        <v>0</v>
      </c>
      <c r="J46" s="16" t="n">
        <v>0</v>
      </c>
      <c r="K46" s="16" t="n">
        <v>0</v>
      </c>
    </row>
    <row r="47">
      <c r="A47" s="16" t="inlineStr">
        <is>
          <t>6.1d · motor real con 1500 s</t>
        </is>
      </c>
      <c r="B47" s="16" t="n">
        <v>3</v>
      </c>
      <c r="C47" s="16" t="n">
        <v>0</v>
      </c>
      <c r="D47" s="16" t="n">
        <v>3</v>
      </c>
      <c r="E47" s="16" t="n">
        <v>3</v>
      </c>
      <c r="F47" s="16" t="n">
        <v>3</v>
      </c>
      <c r="G47" s="16" t="n">
        <v>0</v>
      </c>
      <c r="H47" s="16" t="n">
        <v>0</v>
      </c>
      <c r="I47" s="16" t="n">
        <v>0</v>
      </c>
      <c r="J47" s="16" t="n">
        <v>0</v>
      </c>
      <c r="K47" s="16" t="n">
        <v>0</v>
      </c>
    </row>
    <row r="49">
      <c r="A49" s="23" t="inlineStr">
        <is>
          <t>Notas: Filtro: conteo por parte. n = 20 filas en la tabla. † = fuera del rango confiable (IAPWS G4-01); ‡ = falso convergido. Fuente: analisis_final/00_inventario/conteo_por_subcaso.csv.</t>
        </is>
      </c>
    </row>
  </sheetData>
  <autoFilter ref="A27:K4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cols>
    <col width="10" customWidth="1" min="1" max="1"/>
    <col width="35" customWidth="1" min="2" max="2"/>
    <col width="32" customWidth="1" min="3" max="3"/>
    <col width="11" customWidth="1" min="4" max="4"/>
    <col width="10" customWidth="1" min="5" max="5"/>
    <col width="10" customWidth="1" min="6" max="6"/>
    <col width="19" customWidth="1" min="7" max="7"/>
    <col width="10" customWidth="1" min="8" max="8"/>
    <col width="19" customWidth="1" min="9" max="9"/>
    <col width="10" customWidth="1" min="10" max="10"/>
    <col width="21" customWidth="1" min="11" max="11"/>
  </cols>
  <sheetData>
    <row r="1">
      <c r="A1" s="19" t="inlineStr">
        <is>
          <t>Tabla 4.3-3 · Escalera de conservación de datos del profesor</t>
        </is>
      </c>
    </row>
    <row r="2">
      <c r="A2" s="20" t="inlineStr">
        <is>
          <t>Estudio 4.3 · Escalera de conservación · Partes: 4.3 T_fuente, 4.3 eficiencias, 4.3 P_alta, 4.3 P_baja, 4.3 T_sumidero, 4.3 x_b, 4.3 x_b+T_fuente, 4.3 x_b+eficiencias, 4.3 x_b+P_alta, 4.3 x_b+P_baja, 4.3 x_b+T_sumidero, 4.3 x_b+P_alta+T_fuente, 4.3 x_b+P_alta+eficiencias, 4.3 x_b+P_alta+P_baja, 4.3 x_b+P_alta+T_sumidero, 4.3 x_b+P_alta+eficiencias+T_fuente, 4.3 x_b+P_alta+eficiencias+P_baja, 4.3 x_b+P_alta+eficiencias+T_sumidero</t>
        </is>
      </c>
    </row>
    <row r="3">
      <c r="A3" s="20" t="inlineStr">
        <is>
          <t>Punto base: PP parcial según el conjunto de datos conservado</t>
        </is>
      </c>
    </row>
    <row r="4">
      <c r="A4" s="41" t="inlineStr">
        <is>
          <t>Parte 4.3 T_fuente: Datos fijos: T_fuente = 623.15 K; m_b = 1 kg/s; motor de propiedades = teqp.</t>
        </is>
      </c>
    </row>
    <row r="5">
      <c r="A5" s="41" t="inlineStr">
        <is>
          <t>Parte 4.3 eficiencias: Datos fijos: m_b = 1 kg/s; η_t = 0.85; η_p = 0.75; ε_HRVG = 0.85; ε_reg = 0.75; ε_cond = 0.8; motor de propiedades = teqp.</t>
        </is>
      </c>
    </row>
    <row r="6">
      <c r="A6" s="41" t="inlineStr">
        <is>
          <t>Parte 4.3 P_alta: Datos fijos: P_alta = 3000 kPa; m_b = 1 kg/s; motor de propiedades = teqp.</t>
        </is>
      </c>
    </row>
    <row r="7">
      <c r="A7" s="41" t="inlineStr">
        <is>
          <t>Parte 4.3 P_baja: Datos fijos: P_baja = 400 kPa; m_b = 1 kg/s; motor de propiedades = teqp.</t>
        </is>
      </c>
    </row>
    <row r="8">
      <c r="A8" s="41" t="inlineStr">
        <is>
          <t>Parte 4.3 T_sumidero: Datos fijos: T_sumidero = 300.03 K; m_b = 1 kg/s; piso de O2 = 300.03 K; motor de propiedades = teqp.</t>
        </is>
      </c>
    </row>
    <row r="9">
      <c r="A9" s="41" t="inlineStr">
        <is>
          <t>Parte 4.3 x_b: Datos fijos: x_b = 0.5; m_b = 1 kg/s; motor de propiedades = teqp.</t>
        </is>
      </c>
    </row>
    <row r="10">
      <c r="A10" s="41" t="inlineStr">
        <is>
          <t>Parte 4.3 x_b+T_fuente: Datos fijos: T_fuente = 623.15 K; x_b = 0.5; m_b = 1 kg/s; motor de propiedades = teqp.</t>
        </is>
      </c>
    </row>
    <row r="11">
      <c r="A11" s="41" t="inlineStr">
        <is>
          <t>Parte 4.3 x_b+eficiencias: Datos fijos: x_b = 0.5; m_b = 1 kg/s; η_t = 0.85; η_p = 0.75; ε_HRVG = 0.85; ε_reg = 0.75; ε_cond = 0.8; motor de propiedades = teqp.</t>
        </is>
      </c>
    </row>
    <row r="12">
      <c r="A12" s="41" t="inlineStr">
        <is>
          <t>Parte 4.3 x_b+P_alta: Datos fijos: P_alta = 3000 kPa; x_b = 0.5; m_b = 1 kg/s; motor de propiedades = teqp.</t>
        </is>
      </c>
    </row>
    <row r="13">
      <c r="A13" s="41" t="inlineStr">
        <is>
          <t>Parte 4.3 x_b+P_baja: Datos fijos: P_baja = 400 kPa; x_b = 0.5; m_b = 1 kg/s; motor de propiedades = teqp.</t>
        </is>
      </c>
    </row>
    <row r="14">
      <c r="A14" s="41" t="inlineStr">
        <is>
          <t>Parte 4.3 x_b+T_sumidero: Datos fijos: T_sumidero = 300.03 K; x_b = 0.5; m_b = 1 kg/s; piso de O2 = 300.03 K; motor de propiedades = teqp.</t>
        </is>
      </c>
    </row>
    <row r="15">
      <c r="A15" s="41" t="inlineStr">
        <is>
          <t>Parte 4.3 x_b+P_alta+T_fuente: Datos fijos: T_fuente = 623.15 K; P_alta = 3000 kPa; x_b = 0.5; m_b = 1 kg/s; motor de propiedades = teqp.</t>
        </is>
      </c>
    </row>
    <row r="16">
      <c r="A16" s="41" t="inlineStr">
        <is>
          <t>Parte 4.3 x_b+P_alta+eficiencias: Datos fijos: P_alta = 3000 kPa; x_b = 0.5; m_b = 1 kg/s; η_t = 0.85; η_p = 0.75; ε_HRVG = 0.85; ε_reg = 0.75; ε_cond = 0.8; motor de propiedades = teqp.</t>
        </is>
      </c>
    </row>
    <row r="17">
      <c r="A17" s="41" t="inlineStr">
        <is>
          <t>Parte 4.3 x_b+P_alta+P_baja: Datos fijos: P_alta = 3000 kPa; P_baja = 400 kPa; x_b = 0.5; m_b = 1 kg/s; motor de propiedades = teqp.</t>
        </is>
      </c>
    </row>
    <row r="18">
      <c r="A18" s="41" t="inlineStr">
        <is>
          <t>Parte 4.3 x_b+P_alta+T_sumidero: Datos fijos: T_sumidero = 300.03 K; P_alta = 3000 kPa; x_b = 0.5; m_b = 1 kg/s; piso de O2 = 300.03 K; motor de propiedades = teqp.</t>
        </is>
      </c>
    </row>
    <row r="19">
      <c r="A19" s="41" t="inlineStr">
        <is>
          <t>Parte 4.3 x_b+P_alta+eficiencias+T_fuente: Datos fijos: T_fuente = 623.15 K; P_alta = 3000 kPa; x_b = 0.5; m_b = 1 kg/s; η_t = 0.85; η_p = 0.75; ε_HRVG = 0.85; ε_reg = 0.75; ε_cond = 0.8; motor de propiedades = teqp.</t>
        </is>
      </c>
    </row>
    <row r="20">
      <c r="A20" s="41" t="inlineStr">
        <is>
          <t>Parte 4.3 x_b+P_alta+eficiencias+P_baja: Datos fijos: P_alta = 3000 kPa; P_baja = 400 kPa; x_b = 0.5; m_b = 1 kg/s; η_t = 0.85; η_p = 0.75; ε_HRVG = 0.85; ε_reg = 0.75; ε_cond = 0.8; motor de propiedades = teqp.</t>
        </is>
      </c>
    </row>
    <row r="21">
      <c r="A21" s="41" t="inlineStr">
        <is>
          <t>Parte 4.3 x_b+P_alta+eficiencias+T_sumidero: Datos fijos: T_sumidero = 300.03 K; P_alta = 3000 kPa; x_b = 0.5; m_b = 1 kg/s; η_t = 0.85; η_p = 0.75; ε_HRVG = 0.85; ε_reg = 0.75; ε_cond = 0.8; piso de O2 = 300.03 K; motor de propiedades = teqp.</t>
        </is>
      </c>
    </row>
    <row r="22">
      <c r="A22" s="21" t="inlineStr">
        <is>
          <t>Datos barridos en cada parte: las variables que no están fijas, dentro de la caja del estudio (rangos exactos en su tabla de condiciones).</t>
        </is>
      </c>
    </row>
    <row r="23">
      <c r="A23" s="20" t="inlineStr">
        <is>
          <t>Fuente: resultados/2026-10-08_final_M9/m9_escalera.csv</t>
        </is>
      </c>
    </row>
    <row r="25">
      <c r="A25" s="22" t="inlineStr">
        <is>
          <t>Ronda</t>
        </is>
      </c>
      <c r="B25" s="22" t="inlineStr">
        <is>
          <t>Datos conservados</t>
        </is>
      </c>
      <c r="C25" s="22" t="inlineStr">
        <is>
          <t>Datos del profesor conservados</t>
        </is>
      </c>
      <c r="D25" s="22" t="inlineStr">
        <is>
          <t>Evaluadas</t>
        </is>
      </c>
      <c r="E25" s="22" t="inlineStr">
        <is>
          <t>Genuinos</t>
        </is>
      </c>
      <c r="F25" s="22" t="inlineStr">
        <is>
          <t>KALINA</t>
        </is>
      </c>
      <c r="G25" s="22" t="inlineStr">
        <is>
          <t>KALINA confiables</t>
        </is>
      </c>
      <c r="H25" s="22" t="inlineStr">
        <is>
          <t>D mínimo</t>
        </is>
      </c>
      <c r="I25" s="22" t="inlineStr">
        <is>
          <t>Criterio más roto</t>
        </is>
      </c>
      <c r="J25" s="22" t="inlineStr">
        <is>
          <t>Elegido</t>
        </is>
      </c>
      <c r="K25" s="22" t="inlineStr">
        <is>
          <t>KALINA por búsqueda</t>
        </is>
      </c>
    </row>
    <row r="26">
      <c r="A26" s="16" t="n">
        <v>0</v>
      </c>
      <c r="B26" s="16" t="inlineStr">
        <is>
          <t>T_fuente</t>
        </is>
      </c>
      <c r="C26" s="16" t="n">
        <v>1</v>
      </c>
      <c r="D26" s="16" t="n">
        <v>100</v>
      </c>
      <c r="E26" s="16" t="n">
        <v>60</v>
      </c>
      <c r="F26" s="16" t="n">
        <v>7</v>
      </c>
      <c r="G26" s="16" t="n">
        <v>0</v>
      </c>
      <c r="H26" s="16" t="n">
        <v>0</v>
      </c>
      <c r="I26" s="16" t="inlineStr">
        <is>
          <t>O2:53</t>
        </is>
      </c>
      <c r="J26" s="16" t="inlineStr">
        <is>
          <t>no</t>
        </is>
      </c>
      <c r="K26" s="16" t="inlineStr">
        <is>
          <t>no</t>
        </is>
      </c>
    </row>
    <row r="27">
      <c r="A27" s="16" t="n">
        <v>0</v>
      </c>
      <c r="B27" s="16" t="inlineStr">
        <is>
          <t>eficiencias</t>
        </is>
      </c>
      <c r="C27" s="16" t="n">
        <v>5</v>
      </c>
      <c r="D27" s="16" t="n">
        <v>100</v>
      </c>
      <c r="E27" s="16" t="n">
        <v>88</v>
      </c>
      <c r="F27" s="16" t="n">
        <v>13</v>
      </c>
      <c r="G27" s="16" t="n">
        <v>11</v>
      </c>
      <c r="H27" s="16" t="n">
        <v>0</v>
      </c>
      <c r="I27" s="16" t="inlineStr">
        <is>
          <t>O2:75</t>
        </is>
      </c>
      <c r="J27" s="16" t="inlineStr">
        <is>
          <t>no</t>
        </is>
      </c>
      <c r="K27" s="16" t="inlineStr">
        <is>
          <t>no</t>
        </is>
      </c>
    </row>
    <row r="28">
      <c r="A28" s="16" t="n">
        <v>0</v>
      </c>
      <c r="B28" s="16" t="inlineStr">
        <is>
          <t>P_alta</t>
        </is>
      </c>
      <c r="C28" s="16" t="n">
        <v>1</v>
      </c>
      <c r="D28" s="16" t="n">
        <v>100</v>
      </c>
      <c r="E28" s="16" t="n">
        <v>88</v>
      </c>
      <c r="F28" s="16" t="n">
        <v>19</v>
      </c>
      <c r="G28" s="16" t="n">
        <v>12</v>
      </c>
      <c r="H28" s="16" t="n">
        <v>0</v>
      </c>
      <c r="I28" s="16" t="inlineStr">
        <is>
          <t>O2:69</t>
        </is>
      </c>
      <c r="J28" s="16" t="inlineStr">
        <is>
          <t>no</t>
        </is>
      </c>
      <c r="K28" s="16" t="inlineStr">
        <is>
          <t>no</t>
        </is>
      </c>
    </row>
    <row r="29">
      <c r="A29" s="16" t="n">
        <v>0</v>
      </c>
      <c r="B29" s="16" t="inlineStr">
        <is>
          <t>P_baja</t>
        </is>
      </c>
      <c r="C29" s="16" t="n">
        <v>1</v>
      </c>
      <c r="D29" s="16" t="n">
        <v>100</v>
      </c>
      <c r="E29" s="16" t="n">
        <v>85</v>
      </c>
      <c r="F29" s="16" t="n">
        <v>1</v>
      </c>
      <c r="G29" s="16" t="n">
        <v>1</v>
      </c>
      <c r="H29" s="16" t="n">
        <v>0</v>
      </c>
      <c r="I29" s="16" t="inlineStr">
        <is>
          <t>O2:84</t>
        </is>
      </c>
      <c r="J29" s="16" t="inlineStr">
        <is>
          <t>no</t>
        </is>
      </c>
      <c r="K29" s="16" t="inlineStr">
        <is>
          <t>no</t>
        </is>
      </c>
    </row>
    <row r="30">
      <c r="A30" s="16" t="n">
        <v>0</v>
      </c>
      <c r="B30" s="16" t="inlineStr">
        <is>
          <t>T_sumidero</t>
        </is>
      </c>
      <c r="C30" s="16" t="n">
        <v>1</v>
      </c>
      <c r="D30" s="16" t="n">
        <v>100</v>
      </c>
      <c r="E30" s="16" t="n">
        <v>87</v>
      </c>
      <c r="F30" s="16" t="n">
        <v>17</v>
      </c>
      <c r="G30" s="16" t="n">
        <v>13</v>
      </c>
      <c r="H30" s="16" t="n">
        <v>0</v>
      </c>
      <c r="I30" s="16" t="inlineStr">
        <is>
          <t>O2:68</t>
        </is>
      </c>
      <c r="J30" s="16" t="inlineStr">
        <is>
          <t>no</t>
        </is>
      </c>
      <c r="K30" s="16" t="inlineStr">
        <is>
          <t>no</t>
        </is>
      </c>
    </row>
    <row r="31">
      <c r="A31" s="16" t="n">
        <v>0</v>
      </c>
      <c r="B31" s="16" t="inlineStr">
        <is>
          <t>x_b</t>
        </is>
      </c>
      <c r="C31" s="16" t="n">
        <v>1</v>
      </c>
      <c r="D31" s="16" t="n">
        <v>100</v>
      </c>
      <c r="E31" s="16" t="n">
        <v>85</v>
      </c>
      <c r="F31" s="16" t="n">
        <v>29</v>
      </c>
      <c r="G31" s="16" t="n">
        <v>15</v>
      </c>
      <c r="H31" s="16" t="n">
        <v>0</v>
      </c>
      <c r="I31" s="16" t="inlineStr">
        <is>
          <t>O2:51</t>
        </is>
      </c>
      <c r="J31" s="16" t="inlineStr">
        <is>
          <t>sí</t>
        </is>
      </c>
      <c r="K31" s="16" t="inlineStr">
        <is>
          <t>no</t>
        </is>
      </c>
    </row>
    <row r="32">
      <c r="A32" s="16" t="n">
        <v>1</v>
      </c>
      <c r="B32" s="16" t="inlineStr">
        <is>
          <t>x_b+T_fuente</t>
        </is>
      </c>
      <c r="C32" s="16" t="n">
        <v>2</v>
      </c>
      <c r="D32" s="16" t="n">
        <v>30</v>
      </c>
      <c r="E32" s="16" t="n">
        <v>20</v>
      </c>
      <c r="F32" s="16" t="n">
        <v>2</v>
      </c>
      <c r="G32" s="16" t="n">
        <v>0</v>
      </c>
      <c r="H32" s="16" t="n">
        <v>0</v>
      </c>
      <c r="I32" s="16" t="inlineStr">
        <is>
          <t>O2:18</t>
        </is>
      </c>
      <c r="J32" s="16" t="inlineStr">
        <is>
          <t>no</t>
        </is>
      </c>
      <c r="K32" s="16" t="inlineStr">
        <is>
          <t>no</t>
        </is>
      </c>
    </row>
    <row r="33">
      <c r="A33" s="16" t="n">
        <v>1</v>
      </c>
      <c r="B33" s="16" t="inlineStr">
        <is>
          <t>x_b+eficiencias</t>
        </is>
      </c>
      <c r="C33" s="16" t="n">
        <v>6</v>
      </c>
      <c r="D33" s="16" t="n">
        <v>30</v>
      </c>
      <c r="E33" s="16" t="n">
        <v>26</v>
      </c>
      <c r="F33" s="16" t="n">
        <v>11</v>
      </c>
      <c r="G33" s="16" t="n">
        <v>6</v>
      </c>
      <c r="H33" s="16" t="n">
        <v>0</v>
      </c>
      <c r="I33" s="16" t="inlineStr">
        <is>
          <t>O2:15</t>
        </is>
      </c>
      <c r="J33" s="16" t="inlineStr">
        <is>
          <t>no</t>
        </is>
      </c>
      <c r="K33" s="16" t="inlineStr">
        <is>
          <t>no</t>
        </is>
      </c>
    </row>
    <row r="34">
      <c r="A34" s="16" t="n">
        <v>1</v>
      </c>
      <c r="B34" s="16" t="inlineStr">
        <is>
          <t>x_b+P_alta</t>
        </is>
      </c>
      <c r="C34" s="16" t="n">
        <v>2</v>
      </c>
      <c r="D34" s="16" t="n">
        <v>30</v>
      </c>
      <c r="E34" s="16" t="n">
        <v>28</v>
      </c>
      <c r="F34" s="16" t="n">
        <v>11</v>
      </c>
      <c r="G34" s="16" t="n">
        <v>7</v>
      </c>
      <c r="H34" s="16" t="n">
        <v>0</v>
      </c>
      <c r="I34" s="16" t="inlineStr">
        <is>
          <t>O2:17</t>
        </is>
      </c>
      <c r="J34" s="16" t="inlineStr">
        <is>
          <t>sí</t>
        </is>
      </c>
      <c r="K34" s="16" t="inlineStr">
        <is>
          <t>no</t>
        </is>
      </c>
    </row>
    <row r="35">
      <c r="A35" s="16" t="n">
        <v>1</v>
      </c>
      <c r="B35" s="16" t="inlineStr">
        <is>
          <t>x_b+P_baja</t>
        </is>
      </c>
      <c r="C35" s="16" t="n">
        <v>2</v>
      </c>
      <c r="D35" s="16" t="n">
        <v>30</v>
      </c>
      <c r="E35" s="16" t="n">
        <v>27</v>
      </c>
      <c r="F35" s="16" t="n">
        <v>4</v>
      </c>
      <c r="G35" s="16" t="n">
        <v>3</v>
      </c>
      <c r="H35" s="16" t="n">
        <v>0</v>
      </c>
      <c r="I35" s="16" t="inlineStr">
        <is>
          <t>O2:23</t>
        </is>
      </c>
      <c r="J35" s="16" t="inlineStr">
        <is>
          <t>no</t>
        </is>
      </c>
      <c r="K35" s="16" t="inlineStr">
        <is>
          <t>no</t>
        </is>
      </c>
    </row>
    <row r="36">
      <c r="A36" s="16" t="n">
        <v>1</v>
      </c>
      <c r="B36" s="16" t="inlineStr">
        <is>
          <t>x_b+T_sumidero</t>
        </is>
      </c>
      <c r="C36" s="16" t="n">
        <v>2</v>
      </c>
      <c r="D36" s="16" t="n">
        <v>30</v>
      </c>
      <c r="E36" s="16" t="n">
        <v>26</v>
      </c>
      <c r="F36" s="16" t="n">
        <v>9</v>
      </c>
      <c r="G36" s="16" t="n">
        <v>5</v>
      </c>
      <c r="H36" s="16" t="n">
        <v>0</v>
      </c>
      <c r="I36" s="16" t="inlineStr">
        <is>
          <t>O2:16</t>
        </is>
      </c>
      <c r="J36" s="16" t="inlineStr">
        <is>
          <t>no</t>
        </is>
      </c>
      <c r="K36" s="16" t="inlineStr">
        <is>
          <t>no</t>
        </is>
      </c>
    </row>
    <row r="37">
      <c r="A37" s="16" t="n">
        <v>2</v>
      </c>
      <c r="B37" s="16" t="inlineStr">
        <is>
          <t>x_b+P_alta+T_fuente</t>
        </is>
      </c>
      <c r="C37" s="16" t="n">
        <v>3</v>
      </c>
      <c r="D37" s="16" t="n">
        <v>30</v>
      </c>
      <c r="E37" s="16" t="n">
        <v>19</v>
      </c>
      <c r="F37" s="16" t="n">
        <v>3</v>
      </c>
      <c r="G37" s="16" t="n">
        <v>0</v>
      </c>
      <c r="H37" s="16" t="n">
        <v>0</v>
      </c>
      <c r="I37" s="16" t="inlineStr">
        <is>
          <t>O2:16</t>
        </is>
      </c>
      <c r="J37" s="16" t="inlineStr">
        <is>
          <t>no</t>
        </is>
      </c>
      <c r="K37" s="16" t="inlineStr">
        <is>
          <t>no</t>
        </is>
      </c>
    </row>
    <row r="38">
      <c r="A38" s="16" t="n">
        <v>2</v>
      </c>
      <c r="B38" s="16" t="inlineStr">
        <is>
          <t>x_b+P_alta+eficiencias</t>
        </is>
      </c>
      <c r="C38" s="16" t="n">
        <v>7</v>
      </c>
      <c r="D38" s="16" t="n">
        <v>30</v>
      </c>
      <c r="E38" s="16" t="n">
        <v>28</v>
      </c>
      <c r="F38" s="16" t="n">
        <v>13</v>
      </c>
      <c r="G38" s="16" t="n">
        <v>7</v>
      </c>
      <c r="H38" s="16" t="n">
        <v>0</v>
      </c>
      <c r="I38" s="16" t="inlineStr">
        <is>
          <t>O2:14</t>
        </is>
      </c>
      <c r="J38" s="16" t="inlineStr">
        <is>
          <t>sí</t>
        </is>
      </c>
      <c r="K38" s="16" t="inlineStr">
        <is>
          <t>no</t>
        </is>
      </c>
    </row>
    <row r="39">
      <c r="A39" s="16" t="n">
        <v>2</v>
      </c>
      <c r="B39" s="16" t="inlineStr">
        <is>
          <t>x_b+P_alta+P_baja</t>
        </is>
      </c>
      <c r="C39" s="16" t="n">
        <v>3</v>
      </c>
      <c r="D39" s="16" t="n">
        <v>30</v>
      </c>
      <c r="E39" s="16" t="n">
        <v>28</v>
      </c>
      <c r="F39" s="16" t="n">
        <v>2</v>
      </c>
      <c r="G39" s="16" t="n">
        <v>2</v>
      </c>
      <c r="H39" s="16" t="n">
        <v>0</v>
      </c>
      <c r="I39" s="16" t="inlineStr">
        <is>
          <t>O2:26</t>
        </is>
      </c>
      <c r="J39" s="16" t="inlineStr">
        <is>
          <t>no</t>
        </is>
      </c>
      <c r="K39" s="16" t="inlineStr">
        <is>
          <t>no</t>
        </is>
      </c>
    </row>
    <row r="40">
      <c r="A40" s="16" t="n">
        <v>2</v>
      </c>
      <c r="B40" s="16" t="inlineStr">
        <is>
          <t>x_b+P_alta+T_sumidero</t>
        </is>
      </c>
      <c r="C40" s="16" t="n">
        <v>3</v>
      </c>
      <c r="D40" s="16" t="n">
        <v>30</v>
      </c>
      <c r="E40" s="16" t="n">
        <v>27</v>
      </c>
      <c r="F40" s="16" t="n">
        <v>8</v>
      </c>
      <c r="G40" s="16" t="n">
        <v>6</v>
      </c>
      <c r="H40" s="16" t="n">
        <v>0</v>
      </c>
      <c r="I40" s="16" t="inlineStr">
        <is>
          <t>O2:19</t>
        </is>
      </c>
      <c r="J40" s="16" t="inlineStr">
        <is>
          <t>no</t>
        </is>
      </c>
      <c r="K40" s="16" t="inlineStr">
        <is>
          <t>no</t>
        </is>
      </c>
    </row>
    <row r="41">
      <c r="A41" s="16" t="n">
        <v>3</v>
      </c>
      <c r="B41" s="16" t="inlineStr">
        <is>
          <t>x_b+P_alta+eficiencias+T_fuente</t>
        </is>
      </c>
      <c r="C41" s="16" t="n">
        <v>8</v>
      </c>
      <c r="D41" s="16" t="n">
        <v>30</v>
      </c>
      <c r="E41" s="16" t="n">
        <v>0</v>
      </c>
      <c r="F41" s="16" t="n">
        <v>0</v>
      </c>
      <c r="G41" s="16" t="n">
        <v>0</v>
      </c>
      <c r="H41" s="16" t="n"/>
      <c r="I41" s="16" t="n"/>
      <c r="J41" s="16" t="inlineStr">
        <is>
          <t>no</t>
        </is>
      </c>
      <c r="K41" s="16" t="inlineStr">
        <is>
          <t>no</t>
        </is>
      </c>
    </row>
    <row r="42">
      <c r="A42" s="16" t="n">
        <v>3</v>
      </c>
      <c r="B42" s="16" t="inlineStr">
        <is>
          <t>x_b+P_alta+eficiencias+P_baja</t>
        </is>
      </c>
      <c r="C42" s="16" t="n">
        <v>8</v>
      </c>
      <c r="D42" s="16" t="n">
        <v>30</v>
      </c>
      <c r="E42" s="16" t="n">
        <v>28</v>
      </c>
      <c r="F42" s="16" t="n">
        <v>5</v>
      </c>
      <c r="G42" s="16" t="n">
        <v>5</v>
      </c>
      <c r="H42" s="16" t="n">
        <v>0</v>
      </c>
      <c r="I42" s="16" t="inlineStr">
        <is>
          <t>O2:22</t>
        </is>
      </c>
      <c r="J42" s="16" t="inlineStr">
        <is>
          <t>sí</t>
        </is>
      </c>
      <c r="K42" s="16" t="inlineStr">
        <is>
          <t>no</t>
        </is>
      </c>
    </row>
    <row r="43">
      <c r="A43" s="16" t="n">
        <v>3</v>
      </c>
      <c r="B43" s="16" t="inlineStr">
        <is>
          <t>x_b+P_alta+eficiencias+T_sumidero</t>
        </is>
      </c>
      <c r="C43" s="16" t="n">
        <v>8</v>
      </c>
      <c r="D43" s="16" t="n">
        <v>30</v>
      </c>
      <c r="E43" s="16" t="n">
        <v>29</v>
      </c>
      <c r="F43" s="16" t="n">
        <v>6</v>
      </c>
      <c r="G43" s="16" t="n">
        <v>4</v>
      </c>
      <c r="H43" s="16" t="n">
        <v>0</v>
      </c>
      <c r="I43" s="16" t="inlineStr">
        <is>
          <t>O2:21</t>
        </is>
      </c>
      <c r="J43" s="16" t="inlineStr">
        <is>
          <t>no</t>
        </is>
      </c>
      <c r="K43" s="16" t="inlineStr">
        <is>
          <t>no</t>
        </is>
      </c>
    </row>
    <row r="45">
      <c r="A45" s="23" t="inlineStr">
        <is>
          <t>Notas: Filtro: todas las rondas de la escalera. n = 18 filas en la tabla. † = fuera del rango confiable (IAPWS G4-01); ‡ = falso convergido. Fuente: resultados/2026-10-08_final_M9/m9_escalera.csv.</t>
        </is>
      </c>
    </row>
    <row r="48">
      <c r="A48" s="24" t="inlineStr">
        <is>
          <t>Figura 4.3-1 · Se conservan 8 de los 10 datos de diseño del profesor y sigue habiendo KALINA</t>
        </is>
      </c>
    </row>
    <row r="68">
      <c r="A68" s="25" t="inlineStr">
        <is>
          <t>Estudio 4.3 (escalera de conservación; figura de síntesis: una barra por conjunto conservado). Punto base: PP = datos del enunciado del profesor (T_fuente 623.15 K, P_alta 3000 kPa, P_baja 400 kPa, x_b 0.50).</t>
        </is>
      </c>
    </row>
    <row r="69">
      <c r="A69" s="25" t="inlineStr">
        <is>
          <t>Datos fijos: los 10 datos de diseño del profesor; cada barra conserva el subconjunto que indica su etiqueta.</t>
        </is>
      </c>
    </row>
    <row r="70">
      <c r="A70" s="25" t="inlineStr">
        <is>
          <t>Datos barridos: 100 puntos (ronda 0) o 30 (rondas 1–3) por conjunto.</t>
        </is>
      </c>
    </row>
    <row r="71">
      <c r="A71" s="25" t="inlineStr">
        <is>
          <t>Filtro: KALINA confiables por conjunto conservado; el elegido de cada ronda se resalta con borde negro.</t>
        </is>
      </c>
    </row>
    <row r="72">
      <c r="A72" s="25" t="inlineStr">
        <is>
          <t>n = 18 conjuntos. Fuente: resultados/2026-10-08_final_M9/m9_escalera.csv.</t>
        </is>
      </c>
    </row>
  </sheetData>
  <autoFilter ref="A25:K43"/>
  <pageMargins left="0.75" right="0.75" top="1" bottom="1" header="0.5" footer="0.5"/>
  <drawing xmlns:r="http://schemas.openxmlformats.org/officeDocument/2006/relationships" r:id="rId1"/>
</worksheet>
</file>

<file path=xl/worksheets/sheet67.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cols>
    <col width="15" customWidth="1" min="1" max="1"/>
    <col width="26" customWidth="1" min="2" max="2"/>
    <col width="16" customWidth="1" min="3" max="3"/>
    <col width="16" customWidth="1" min="4" max="4"/>
    <col width="25" customWidth="1" min="5" max="5"/>
    <col width="25" customWidth="1" min="6" max="6"/>
    <col width="12" customWidth="1" min="7" max="7"/>
    <col width="19" customWidth="1" min="8" max="8"/>
    <col width="42" customWidth="1" min="9" max="9"/>
    <col width="40" customWidth="1" min="10" max="10"/>
    <col width="42" customWidth="1" min="11" max="11"/>
    <col width="31" customWidth="1" min="12" max="12"/>
    <col width="31" customWidth="1" min="13" max="13"/>
    <col width="48" customWidth="1" min="14" max="14"/>
    <col width="47" customWidth="1" min="15" max="15"/>
    <col width="45" customWidth="1" min="16" max="16"/>
    <col width="48" customWidth="1" min="17" max="17"/>
    <col width="40" customWidth="1" min="18" max="18"/>
    <col width="41" customWidth="1" min="19" max="19"/>
    <col width="16" customWidth="1" min="20" max="20"/>
    <col width="14" customWidth="1" min="21" max="21"/>
    <col width="12" customWidth="1" min="22" max="22"/>
    <col width="48" customWidth="1" min="23" max="23"/>
  </cols>
  <sheetData>
    <row r="1">
      <c r="A1" s="19" t="inlineStr">
        <is>
          <t>Tabla 4.3-4 · Verificación teqp contra el motor real</t>
        </is>
      </c>
    </row>
    <row r="2">
      <c r="A2" s="20" t="inlineStr">
        <is>
          <t>Estudio 4.3 · Escalera de conservación · Partes: 6.1d</t>
        </is>
      </c>
    </row>
    <row r="3">
      <c r="A3" s="20" t="inlineStr">
        <is>
          <t>Punto base: PP parcial según el conjunto de datos conservado</t>
        </is>
      </c>
    </row>
    <row r="4">
      <c r="A4" s="21" t="inlineStr">
        <is>
          <t>Puntos de control: cada punto conserva los datos de su caso de origen (ver la columna de origen); no hay datos fijos ni barridos comunes.</t>
        </is>
      </c>
    </row>
    <row r="5">
      <c r="A5" s="20" t="inlineStr">
        <is>
          <t>Fuente: resultados/2026-10-08_final_M9/m9_motor_real.csv</t>
        </is>
      </c>
    </row>
    <row r="7">
      <c r="A7" s="22" t="inlineStr">
        <is>
          <t>Identificador</t>
        </is>
      </c>
      <c r="B7" s="22" t="inlineStr">
        <is>
          <t>Origen</t>
        </is>
      </c>
      <c r="C7" s="22" t="inlineStr">
        <is>
          <t>Clase con teqp</t>
        </is>
      </c>
      <c r="D7" s="22" t="inlineStr">
        <is>
          <t>η con teqp [%]</t>
        </is>
      </c>
      <c r="E7" s="22" t="inlineStr">
        <is>
          <t>Clase con el motor real</t>
        </is>
      </c>
      <c r="F7" s="22" t="inlineStr">
        <is>
          <t>η con el motor real [%]</t>
        </is>
      </c>
      <c r="G7" s="22" t="inlineStr">
        <is>
          <t>Δη [pp]</t>
        </is>
      </c>
      <c r="H7" s="22" t="inlineStr">
        <is>
          <t>Coincide la clase</t>
        </is>
      </c>
      <c r="I7" s="22" t="inlineStr">
        <is>
          <t>Piso de O2 (T de diseño de la bomba) [K]</t>
        </is>
      </c>
      <c r="J7" s="22" t="inlineStr">
        <is>
          <t>Temperatura de la fuente, T_fuente [K]</t>
        </is>
      </c>
      <c r="K7" s="22" t="inlineStr">
        <is>
          <t>Temperatura del sumidero, T_sumidero [K]</t>
        </is>
      </c>
      <c r="L7" s="22" t="inlineStr">
        <is>
          <t>Presión de alta, P_alta [kPa]</t>
        </is>
      </c>
      <c r="M7" s="22" t="inlineStr">
        <is>
          <t>Presión de baja, P_baja [kPa]</t>
        </is>
      </c>
      <c r="N7" s="22" t="inlineStr">
        <is>
          <t>Fracción de amoníaco de la mezcla base, x_b [–]</t>
        </is>
      </c>
      <c r="O7" s="22" t="inlineStr">
        <is>
          <t>Eficiencia isentrópica de la turbina, η_t [–]</t>
        </is>
      </c>
      <c r="P7" s="22" t="inlineStr">
        <is>
          <t>Eficiencia isentrópica de la bomba, η_p [–]</t>
        </is>
      </c>
      <c r="Q7" s="22" t="inlineStr">
        <is>
          <t>Efectividad del generador de vapor, ε_HRVG [–]</t>
        </is>
      </c>
      <c r="R7" s="22" t="inlineStr">
        <is>
          <t>Efectividad del regenerador, ε_reg [–]</t>
        </is>
      </c>
      <c r="S7" s="22" t="inlineStr">
        <is>
          <t>Efectividad del condensador, ε_cond [–]</t>
        </is>
      </c>
      <c r="T7" s="22" t="inlineStr">
        <is>
          <t>Fuera de rango</t>
        </is>
      </c>
      <c r="U7" s="22" t="inlineStr">
        <is>
          <t>B verificado</t>
        </is>
      </c>
      <c r="V7" s="22" t="inlineStr">
        <is>
          <t>Tiempo [s]</t>
        </is>
      </c>
      <c r="W7" s="22" t="inlineStr">
        <is>
          <t>Mensaje</t>
        </is>
      </c>
    </row>
    <row r="8">
      <c r="A8" s="16" t="inlineStr">
        <is>
          <t>A*</t>
        </is>
      </c>
      <c r="B8" s="16" t="inlineStr">
        <is>
          <t>Ancla A*</t>
        </is>
      </c>
      <c r="C8" s="42" t="inlineStr">
        <is>
          <t>KALINA</t>
        </is>
      </c>
      <c r="D8" s="29" t="n">
        <v>8.4819</v>
      </c>
      <c r="E8" s="42" t="inlineStr">
        <is>
          <t>KALINA</t>
        </is>
      </c>
      <c r="F8" s="29" t="n">
        <v>8.481999999999999</v>
      </c>
      <c r="G8" s="16" t="n">
        <v>0.00014463</v>
      </c>
      <c r="H8" s="16" t="inlineStr">
        <is>
          <t>sí</t>
        </is>
      </c>
      <c r="I8" s="35" t="n">
        <v>300.03</v>
      </c>
      <c r="J8" s="35" t="n">
        <v>403</v>
      </c>
      <c r="K8" s="35" t="n">
        <v>300.03</v>
      </c>
      <c r="L8" s="36" t="n">
        <v>3000</v>
      </c>
      <c r="M8" s="35" t="n">
        <v>563.64</v>
      </c>
      <c r="N8" s="37" t="n">
        <v>0.5</v>
      </c>
      <c r="O8" s="37" t="n">
        <v>0.85</v>
      </c>
      <c r="P8" s="37" t="n">
        <v>0.75</v>
      </c>
      <c r="Q8" s="37" t="n">
        <v>0.85</v>
      </c>
      <c r="R8" s="37" t="n">
        <v>0.75</v>
      </c>
      <c r="S8" s="37" t="n">
        <v>0.8</v>
      </c>
      <c r="T8" s="16" t="inlineStr">
        <is>
          <t>no</t>
        </is>
      </c>
      <c r="U8" s="16" t="n"/>
      <c r="V8" s="16" t="n">
        <v>990.08</v>
      </c>
      <c r="W8" s="16" t="inlineStr">
        <is>
          <t>KALINA: régimen Kalina genuino y admisible, sin fallas.</t>
        </is>
      </c>
    </row>
    <row r="9">
      <c r="A9" s="16" t="inlineStr">
        <is>
          <t>A4</t>
        </is>
      </c>
      <c r="B9" s="16" t="inlineStr">
        <is>
          <t>Óptimo A4 de estudio 5.1</t>
        </is>
      </c>
      <c r="C9" s="42" t="inlineStr">
        <is>
          <t>KALINA</t>
        </is>
      </c>
      <c r="D9" s="29" t="n">
        <v>15.6</v>
      </c>
      <c r="E9" s="42" t="inlineStr">
        <is>
          <t>KALINA</t>
        </is>
      </c>
      <c r="F9" s="29" t="n">
        <v>15.6</v>
      </c>
      <c r="G9" s="16" t="n">
        <v>0.00027837</v>
      </c>
      <c r="H9" s="16" t="inlineStr">
        <is>
          <t>sí</t>
        </is>
      </c>
      <c r="I9" s="35" t="n">
        <v>300.03</v>
      </c>
      <c r="J9" s="35" t="n">
        <v>415</v>
      </c>
      <c r="K9" s="35" t="n">
        <v>300.03</v>
      </c>
      <c r="L9" s="36" t="n">
        <v>3000</v>
      </c>
      <c r="M9" s="35" t="n">
        <v>400</v>
      </c>
      <c r="N9" s="37" t="n">
        <v>0.5</v>
      </c>
      <c r="O9" s="37" t="n">
        <v>0.95</v>
      </c>
      <c r="P9" s="37" t="n">
        <v>0.805</v>
      </c>
      <c r="Q9" s="37" t="n">
        <v>0.95</v>
      </c>
      <c r="R9" s="37" t="n">
        <v>0.95</v>
      </c>
      <c r="S9" s="37" t="n">
        <v>0.95</v>
      </c>
      <c r="T9" s="16" t="inlineStr">
        <is>
          <t>no</t>
        </is>
      </c>
      <c r="U9" s="16" t="n"/>
      <c r="V9" s="16" t="n">
        <v>810.7</v>
      </c>
      <c r="W9" s="16" t="inlineStr">
        <is>
          <t>KALINA: régimen Kalina genuino y admisible, sin fallas.</t>
        </is>
      </c>
    </row>
    <row r="10">
      <c r="A10" s="16" t="inlineStr">
        <is>
          <t>HUS</t>
        </is>
      </c>
      <c r="B10" s="16" t="inlineStr">
        <is>
          <t>Base de Húsavík</t>
        </is>
      </c>
      <c r="C10" s="42" t="inlineStr">
        <is>
          <t>KALINA</t>
        </is>
      </c>
      <c r="D10" s="29" t="n">
        <v>12.732</v>
      </c>
      <c r="E10" s="42" t="inlineStr">
        <is>
          <t>KALINA</t>
        </is>
      </c>
      <c r="F10" s="29" t="n">
        <v>12.73</v>
      </c>
      <c r="G10" s="16" t="n">
        <v>-0.0022903</v>
      </c>
      <c r="H10" s="16" t="inlineStr">
        <is>
          <t>sí</t>
        </is>
      </c>
      <c r="I10" s="35" t="n">
        <v>283.15</v>
      </c>
      <c r="J10" s="35" t="n">
        <v>394.15</v>
      </c>
      <c r="K10" s="35" t="n">
        <v>278.15</v>
      </c>
      <c r="L10" s="36" t="n">
        <v>3300</v>
      </c>
      <c r="M10" s="35" t="n">
        <v>690</v>
      </c>
      <c r="N10" s="37" t="n">
        <v>0.82</v>
      </c>
      <c r="O10" s="37" t="n">
        <v>0.9</v>
      </c>
      <c r="P10" s="37" t="n">
        <v>0.8</v>
      </c>
      <c r="Q10" s="37" t="n">
        <v>0.85</v>
      </c>
      <c r="R10" s="37" t="n">
        <v>0.75</v>
      </c>
      <c r="S10" s="37" t="n">
        <v>0.95</v>
      </c>
      <c r="T10" s="16" t="inlineStr">
        <is>
          <t>no</t>
        </is>
      </c>
      <c r="U10" s="16" t="n"/>
      <c r="V10" s="16" t="n">
        <v>800.85</v>
      </c>
      <c r="W10" s="16" t="inlineStr">
        <is>
          <t>KALINA: régimen Kalina genuino y admisible, sin fallas.</t>
        </is>
      </c>
    </row>
    <row r="12">
      <c r="A12" s="23" t="inlineStr">
        <is>
          <t>Notas: Filtro: puntos emparejados teqp y motor real. n = 3 filas en la tabla. † = fuera del rango confiable (IAPWS G4-01); ‡ = falso convergido. Fuente: resultados/2026-10-08_final_M9/m9_motor_real.csv.</t>
        </is>
      </c>
    </row>
    <row r="15">
      <c r="A15" s="24" t="inlineStr">
        <is>
          <t>Figura 6.1-1 · teqp y el motor real coinciden en los 5 puntos que el motor real resolvió</t>
        </is>
      </c>
    </row>
    <row r="36">
      <c r="A36" s="25" t="inlineStr">
        <is>
          <t>Estudio 6.1 · partes 6.1a y 6.1d (puntos de control, cada uno con sus propios datos, no comparables entre sí).</t>
        </is>
      </c>
    </row>
    <row r="37">
      <c r="A37" s="25" t="inlineStr">
        <is>
          <t>Puntos: P03 = estudio 4.2, presiones del profesor, techo; P08 = estudio 5.1, óptimo A4; A* = Ancla A*; A4 = Óptimo A4 de estudio 5.1; HUS = Base de Húsavík.</t>
        </is>
      </c>
    </row>
    <row r="38">
      <c r="A38" s="25" t="inlineStr">
        <is>
          <t>Sin η real (motor real cortado por el límite de 300 s, no por la física): P01, P02, P04, P05, P06, P07, P09, P10, P11, P12.</t>
        </is>
      </c>
    </row>
    <row r="39">
      <c r="A39" s="25" t="inlineStr">
        <is>
          <t>Hay 5 corridas con η real sobre 4 diseños distintos: un mismo diseño (el óptimo A4 de 5.1d) se corrió con los dos presupuestos de tiempo (300 s y 1500 s).</t>
        </is>
      </c>
    </row>
    <row r="40">
      <c r="A40" s="25" t="inlineStr">
        <is>
          <t>Filtro: pares con η de ambos motores. Marcas: recta 1:1 y banda ±0.7 pp (incertidumbre del modelo de propiedades).</t>
        </is>
      </c>
    </row>
    <row r="41">
      <c r="A41" s="25" t="inlineStr">
        <is>
          <t>n = 5. Fuente: m6_comparacion.csv y m9_motor_real.csv.</t>
        </is>
      </c>
    </row>
  </sheetData>
  <autoFilter ref="A7:W10"/>
  <pageMargins left="0.75" right="0.75" top="1" bottom="1" header="0.5" footer="0.5"/>
  <drawing xmlns:r="http://schemas.openxmlformats.org/officeDocument/2006/relationships" r:id="rId1"/>
</worksheet>
</file>

<file path=xl/worksheets/sheet68.xml><?xml version="1.0" encoding="utf-8"?>
<worksheet xmlns="http://schemas.openxmlformats.org/spreadsheetml/2006/main">
  <sheetPr>
    <outlinePr summaryBelow="1" summaryRight="1"/>
    <pageSetUpPr/>
  </sheetPr>
  <dimension ref="A1:Q1107"/>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4.3 · Escalera de conservación</t>
        </is>
      </c>
    </row>
    <row r="2">
      <c r="A2" t="inlineStr">
        <is>
          <t>Cada fila es un punto calculado (n = 983);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5">
      <c r="A5" t="inlineStr">
        <is>
          <t>4 puntos omitidos (el modelo no los evaluó) no se muestran ni en la tabla ni en los gráficos.</t>
        </is>
      </c>
    </row>
    <row r="6">
      <c r="A6" s="33" t="inlineStr">
        <is>
          <t>Parte 4.3 P_alta · ronda 0 · 100 puntos</t>
        </is>
      </c>
      <c r="B6" s="31" t="n"/>
      <c r="C6" s="31" t="n"/>
      <c r="D6" s="31" t="n"/>
      <c r="E6" s="31" t="n"/>
      <c r="F6" s="31" t="n"/>
      <c r="G6" s="31" t="n"/>
      <c r="H6" s="31" t="n"/>
      <c r="I6" s="31" t="n"/>
      <c r="J6" s="31" t="n"/>
      <c r="K6" s="31" t="n"/>
    </row>
    <row r="8">
      <c r="A8" s="34" t="inlineStr">
        <is>
          <t>Barrido de la parte 4.3 P_alta · 100 puntos</t>
        </is>
      </c>
    </row>
    <row r="9">
      <c r="A9" s="25" t="inlineStr">
        <is>
          <t>Fijos en este barrido: P_alta = 3000.</t>
        </is>
      </c>
    </row>
    <row r="10">
      <c r="A10" s="22" t="inlineStr">
        <is>
          <t>id_punto</t>
        </is>
      </c>
      <c r="B10" s="22" t="inlineStr">
        <is>
          <t>T_fuente [K]</t>
        </is>
      </c>
      <c r="C10" s="22" t="inlineStr">
        <is>
          <t>T_sumidero [K]</t>
        </is>
      </c>
      <c r="D10" s="22" t="inlineStr">
        <is>
          <t>P_baja [kPa]</t>
        </is>
      </c>
      <c r="E10" s="22" t="inlineStr">
        <is>
          <t>x_b [–]</t>
        </is>
      </c>
      <c r="F10" s="22" t="inlineStr">
        <is>
          <t>η_t [–]</t>
        </is>
      </c>
      <c r="G10" s="22" t="inlineStr">
        <is>
          <t>η_p [–]</t>
        </is>
      </c>
      <c r="H10" s="22" t="inlineStr">
        <is>
          <t>ε_HRVG [–]</t>
        </is>
      </c>
      <c r="I10" s="22" t="inlineStr">
        <is>
          <t>ε_reg [–]</t>
        </is>
      </c>
      <c r="J10" s="22" t="inlineStr">
        <is>
          <t>ε_cond [–]</t>
        </is>
      </c>
      <c r="K10" s="22" t="inlineStr">
        <is>
          <t>Clase</t>
        </is>
      </c>
      <c r="L10" s="22" t="inlineStr">
        <is>
          <t>η [%]</t>
        </is>
      </c>
      <c r="M10" s="22" t="inlineStr">
        <is>
          <t>W_net [kW] (m_b = 1 kg/s)</t>
        </is>
      </c>
      <c r="N10" s="22" t="inlineStr">
        <is>
          <t>ΔP [kPa]</t>
        </is>
      </c>
      <c r="O10" s="22" t="inlineStr">
        <is>
          <t>r_P [–]</t>
        </is>
      </c>
      <c r="P10" s="22" t="inlineStr">
        <is>
          <t>Fuera de rango</t>
        </is>
      </c>
      <c r="Q10" s="22" t="inlineStr">
        <is>
          <t>Criterios que falla</t>
        </is>
      </c>
    </row>
    <row r="11">
      <c r="A11" s="16" t="inlineStr">
        <is>
          <t>KF-M09-R0-P_alta-0000</t>
        </is>
      </c>
      <c r="B11" s="35" t="n">
        <v>425.6047918469772</v>
      </c>
      <c r="C11" s="35" t="n">
        <v>284.4941243042819</v>
      </c>
      <c r="D11" s="35" t="n">
        <v>396.5498275778263</v>
      </c>
      <c r="E11" s="37" t="n">
        <v>0.7774597738852369</v>
      </c>
      <c r="F11" s="37" t="n">
        <v>0.7880709055620314</v>
      </c>
      <c r="G11" s="37" t="n">
        <v>0.7513060719680973</v>
      </c>
      <c r="H11" s="37" t="n">
        <v>0.4663444618085531</v>
      </c>
      <c r="I11" s="37" t="n">
        <v>0.9400019151961976</v>
      </c>
      <c r="J11" s="37" t="n">
        <v>0.8637482648349415</v>
      </c>
      <c r="K11" s="39" t="inlineStr">
        <is>
          <t>Corregible</t>
        </is>
      </c>
      <c r="L11" s="29" t="n">
        <v>4.61852665067247</v>
      </c>
      <c r="M11" s="35" t="n">
        <v>21.5205926883745</v>
      </c>
      <c r="N11" s="36" t="n">
        <v>2603.450172422174</v>
      </c>
      <c r="O11" s="29" t="n">
        <v>7.565253573111753</v>
      </c>
      <c r="P11" s="16" t="inlineStr">
        <is>
          <t>no</t>
        </is>
      </c>
      <c r="Q11" s="16" t="inlineStr">
        <is>
          <t>O2</t>
        </is>
      </c>
    </row>
    <row r="12">
      <c r="A12" s="16" t="inlineStr">
        <is>
          <t>KF-M09-R0-P_alta-0001</t>
        </is>
      </c>
      <c r="B12" s="35" t="n">
        <v>441.5728698750323</v>
      </c>
      <c r="C12" s="35" t="n">
        <v>280.9874549163374</v>
      </c>
      <c r="D12" s="35" t="n">
        <v>968.31953666971</v>
      </c>
      <c r="E12" s="37" t="n">
        <v>0.644222036393987</v>
      </c>
      <c r="F12" s="37" t="n">
        <v>0.8124750558967775</v>
      </c>
      <c r="G12" s="37" t="n">
        <v>0.8219372647373324</v>
      </c>
      <c r="H12" s="37" t="n">
        <v>0.4512264150866301</v>
      </c>
      <c r="I12" s="37" t="n">
        <v>0.7314098930868616</v>
      </c>
      <c r="J12" s="37" t="n">
        <v>0.9135739727589918</v>
      </c>
      <c r="K12" s="32" t="inlineStr">
        <is>
          <t>No convergió</t>
        </is>
      </c>
      <c r="L12" s="29" t="inlineStr">
        <is>
          <t>—</t>
        </is>
      </c>
      <c r="M12" s="35" t="inlineStr">
        <is>
          <t>—</t>
        </is>
      </c>
      <c r="N12" s="36" t="n">
        <v>2031.68046333029</v>
      </c>
      <c r="O12" s="29" t="n">
        <v>3.098150854538927</v>
      </c>
      <c r="P12" s="16" t="inlineStr">
        <is>
          <t>no</t>
        </is>
      </c>
      <c r="Q12" s="16" t="n"/>
    </row>
    <row r="13">
      <c r="A13" s="16" t="inlineStr">
        <is>
          <t>KF-M09-R0-P_alta-0002</t>
        </is>
      </c>
      <c r="B13" s="35" t="n">
        <v>389.8585951793531</v>
      </c>
      <c r="C13" s="35" t="n">
        <v>292.95599991348</v>
      </c>
      <c r="D13" s="35" t="n">
        <v>1279.569153355726</v>
      </c>
      <c r="E13" s="37" t="n">
        <v>0.8441975219076163</v>
      </c>
      <c r="F13" s="37" t="n">
        <v>0.8500701942622644</v>
      </c>
      <c r="G13" s="37" t="n">
        <v>0.9171713968482212</v>
      </c>
      <c r="H13" s="37" t="n">
        <v>0.8421918735405056</v>
      </c>
      <c r="I13" s="37" t="n">
        <v>0.8532227137027221</v>
      </c>
      <c r="J13" s="37" t="n">
        <v>0.4882084804608425</v>
      </c>
      <c r="K13" s="39" t="inlineStr">
        <is>
          <t>Corregible</t>
        </is>
      </c>
      <c r="L13" s="29" t="n">
        <v>6.441798585103101</v>
      </c>
      <c r="M13" s="35" t="n">
        <v>34.02509757525702</v>
      </c>
      <c r="N13" s="36" t="n">
        <v>1720.430846644274</v>
      </c>
      <c r="O13" s="29" t="n">
        <v>2.344539169401177</v>
      </c>
      <c r="P13" s="16" t="inlineStr">
        <is>
          <t>no</t>
        </is>
      </c>
      <c r="Q13" s="16" t="inlineStr">
        <is>
          <t>O2</t>
        </is>
      </c>
    </row>
    <row r="14">
      <c r="A14" s="16" t="inlineStr">
        <is>
          <t>KF-M09-R0-P_alta-0003</t>
        </is>
      </c>
      <c r="B14" s="35" t="n">
        <v>508.4291329379154</v>
      </c>
      <c r="C14" s="35" t="n">
        <v>301.9738132708861</v>
      </c>
      <c r="D14" s="35" t="n">
        <v>1324.843033417355</v>
      </c>
      <c r="E14" s="37" t="n">
        <v>0.5466359117552704</v>
      </c>
      <c r="F14" s="37" t="n">
        <v>0.6962259329767659</v>
      </c>
      <c r="G14" s="37" t="n">
        <v>0.5104128897019807</v>
      </c>
      <c r="H14" s="37" t="n">
        <v>0.91635380021672</v>
      </c>
      <c r="I14" s="37" t="n">
        <v>0.4633457624957303</v>
      </c>
      <c r="J14" s="37" t="n">
        <v>0.551553410906912</v>
      </c>
      <c r="K14" s="32" t="inlineStr">
        <is>
          <t>No convergió</t>
        </is>
      </c>
      <c r="L14" s="29" t="inlineStr">
        <is>
          <t>—</t>
        </is>
      </c>
      <c r="M14" s="35" t="inlineStr">
        <is>
          <t>—</t>
        </is>
      </c>
      <c r="N14" s="36" t="n">
        <v>1675.156966582645</v>
      </c>
      <c r="O14" s="29" t="n">
        <v>2.264419198598702</v>
      </c>
      <c r="P14" s="16" t="inlineStr">
        <is>
          <t>no</t>
        </is>
      </c>
      <c r="Q14" s="16" t="n"/>
    </row>
    <row r="15">
      <c r="A15" s="16" t="inlineStr">
        <is>
          <t>KF-M09-R0-P_alta-0004</t>
        </is>
      </c>
      <c r="B15" s="35" t="n">
        <v>467.3929355047112</v>
      </c>
      <c r="C15" s="35" t="n">
        <v>293.9542005553358</v>
      </c>
      <c r="D15" s="35" t="n">
        <v>1835.731613707424</v>
      </c>
      <c r="E15" s="37" t="n">
        <v>0.7435008918598891</v>
      </c>
      <c r="F15" s="37" t="n">
        <v>0.5183769822140141</v>
      </c>
      <c r="G15" s="37" t="n">
        <v>0.4006380138772861</v>
      </c>
      <c r="H15" s="37" t="n">
        <v>0.6876286578383553</v>
      </c>
      <c r="I15" s="37" t="n">
        <v>0.7694197640133327</v>
      </c>
      <c r="J15" s="37" t="n">
        <v>0.5414979971497449</v>
      </c>
      <c r="K15" s="40" t="inlineStr">
        <is>
          <t>Inviable</t>
        </is>
      </c>
      <c r="L15" s="29" t="n">
        <v>-4.47834092176959</v>
      </c>
      <c r="M15" s="35" t="n">
        <v>-36.6881230405595</v>
      </c>
      <c r="N15" s="36" t="n">
        <v>1164.268386292576</v>
      </c>
      <c r="O15" s="29" t="n">
        <v>1.63422581906798</v>
      </c>
      <c r="P15" s="16" t="inlineStr">
        <is>
          <t>sí</t>
        </is>
      </c>
      <c r="Q15" s="16" t="inlineStr">
        <is>
          <t>O2,O3</t>
        </is>
      </c>
    </row>
    <row r="16">
      <c r="A16" s="16" t="inlineStr">
        <is>
          <t>KF-M09-R0-P_alta-0005</t>
        </is>
      </c>
      <c r="B16" s="35" t="n">
        <v>491.0976587679755</v>
      </c>
      <c r="C16" s="35" t="n">
        <v>282.9615666798701</v>
      </c>
      <c r="D16" s="35" t="n">
        <v>1682.60235031585</v>
      </c>
      <c r="E16" s="37" t="n">
        <v>0.7349263274104254</v>
      </c>
      <c r="F16" s="37" t="n">
        <v>0.6707557177548864</v>
      </c>
      <c r="G16" s="37" t="n">
        <v>0.7716120064927141</v>
      </c>
      <c r="H16" s="37" t="n">
        <v>0.5885361504554985</v>
      </c>
      <c r="I16" s="37" t="n">
        <v>0.4898904207144678</v>
      </c>
      <c r="J16" s="37" t="n">
        <v>0.7421752623604494</v>
      </c>
      <c r="K16" s="39" t="inlineStr">
        <is>
          <t>Corregible</t>
        </is>
      </c>
      <c r="L16" s="29" t="n">
        <v>3.81824363072021</v>
      </c>
      <c r="M16" s="35" t="n">
        <v>39.54178004908141</v>
      </c>
      <c r="N16" s="36" t="n">
        <v>1317.39764968415</v>
      </c>
      <c r="O16" s="29" t="n">
        <v>1.782952460179825</v>
      </c>
      <c r="P16" s="16" t="inlineStr">
        <is>
          <t>no</t>
        </is>
      </c>
      <c r="Q16" s="16" t="inlineStr">
        <is>
          <t>O2</t>
        </is>
      </c>
    </row>
    <row r="17">
      <c r="A17" s="16" t="inlineStr">
        <is>
          <t>KF-M09-R0-P_alta-0006</t>
        </is>
      </c>
      <c r="B17" s="35" t="n">
        <v>426.5563783056512</v>
      </c>
      <c r="C17" s="35" t="n">
        <v>281.7931224278457</v>
      </c>
      <c r="D17" s="35" t="n">
        <v>489.3621284415361</v>
      </c>
      <c r="E17" s="37" t="n">
        <v>0.521757809007576</v>
      </c>
      <c r="F17" s="37" t="n">
        <v>0.5465164509353048</v>
      </c>
      <c r="G17" s="37" t="n">
        <v>0.623732760156537</v>
      </c>
      <c r="H17" s="37" t="n">
        <v>0.7879382085507428</v>
      </c>
      <c r="I17" s="37" t="n">
        <v>0.509530021607133</v>
      </c>
      <c r="J17" s="37" t="n">
        <v>0.8485499801307262</v>
      </c>
      <c r="K17" s="42" t="inlineStr">
        <is>
          <t>KALINA</t>
        </is>
      </c>
      <c r="L17" s="29" t="n">
        <v>6.11111085457071</v>
      </c>
      <c r="M17" s="35" t="n">
        <v>42.39597096927328</v>
      </c>
      <c r="N17" s="36" t="n">
        <v>2510.637871558464</v>
      </c>
      <c r="O17" s="29" t="n">
        <v>6.13042944200454</v>
      </c>
      <c r="P17" s="16" t="inlineStr">
        <is>
          <t>no</t>
        </is>
      </c>
      <c r="Q17" s="16" t="n"/>
    </row>
    <row r="18">
      <c r="A18" s="16" t="inlineStr">
        <is>
          <t>KF-M09-R0-P_alta-0007</t>
        </is>
      </c>
      <c r="B18" s="35" t="n">
        <v>396.048683780927</v>
      </c>
      <c r="C18" s="35" t="n">
        <v>289.3094011821885</v>
      </c>
      <c r="D18" s="35" t="n">
        <v>631.5603749190398</v>
      </c>
      <c r="E18" s="37" t="n">
        <v>0.6413145959354836</v>
      </c>
      <c r="F18" s="37" t="n">
        <v>0.9126347186127872</v>
      </c>
      <c r="G18" s="37" t="n">
        <v>0.8724727835154091</v>
      </c>
      <c r="H18" s="37" t="n">
        <v>0.5672052280984698</v>
      </c>
      <c r="I18" s="37" t="n">
        <v>0.751901039200882</v>
      </c>
      <c r="J18" s="37" t="n">
        <v>0.5983227355697961</v>
      </c>
      <c r="K18" s="39" t="inlineStr">
        <is>
          <t>Corregible</t>
        </is>
      </c>
      <c r="L18" s="29" t="n">
        <v>10.49253552261129</v>
      </c>
      <c r="M18" s="35" t="n">
        <v>35.67380608890015</v>
      </c>
      <c r="N18" s="36" t="n">
        <v>2368.43962508096</v>
      </c>
      <c r="O18" s="29" t="n">
        <v>4.750139684404001</v>
      </c>
      <c r="P18" s="16" t="inlineStr">
        <is>
          <t>no</t>
        </is>
      </c>
      <c r="Q18" s="16" t="inlineStr">
        <is>
          <t>O2</t>
        </is>
      </c>
    </row>
    <row r="19">
      <c r="A19" s="16" t="inlineStr">
        <is>
          <t>KF-M09-R0-P_alta-0008</t>
        </is>
      </c>
      <c r="B19" s="35" t="n">
        <v>431.9802767025749</v>
      </c>
      <c r="C19" s="35" t="n">
        <v>300.6973594111799</v>
      </c>
      <c r="D19" s="35" t="n">
        <v>769.9077926686181</v>
      </c>
      <c r="E19" s="37" t="n">
        <v>0.6519099290522201</v>
      </c>
      <c r="F19" s="37" t="n">
        <v>0.9025661597471384</v>
      </c>
      <c r="G19" s="37" t="n">
        <v>0.5271096722978336</v>
      </c>
      <c r="H19" s="37" t="n">
        <v>0.6731562715301218</v>
      </c>
      <c r="I19" s="37" t="n">
        <v>0.4750591596170072</v>
      </c>
      <c r="J19" s="37" t="n">
        <v>0.8936829821762297</v>
      </c>
      <c r="K19" s="39" t="inlineStr">
        <is>
          <t>Corregible</t>
        </is>
      </c>
      <c r="L19" s="29" t="n">
        <v>10.25072351379759</v>
      </c>
      <c r="M19" s="35" t="n">
        <v>86.46713297934942</v>
      </c>
      <c r="N19" s="36" t="n">
        <v>2230.092207331382</v>
      </c>
      <c r="O19" s="29" t="n">
        <v>3.896570509569128</v>
      </c>
      <c r="P19" s="16" t="inlineStr">
        <is>
          <t>no</t>
        </is>
      </c>
      <c r="Q19" s="16" t="inlineStr">
        <is>
          <t>O2</t>
        </is>
      </c>
    </row>
    <row r="20">
      <c r="A20" s="16" t="inlineStr">
        <is>
          <t>KF-M09-R0-P_alta-0009</t>
        </is>
      </c>
      <c r="B20" s="35" t="n">
        <v>413.8931321085811</v>
      </c>
      <c r="C20" s="35" t="n">
        <v>295.504271227699</v>
      </c>
      <c r="D20" s="35" t="n">
        <v>699.4973435513092</v>
      </c>
      <c r="E20" s="37" t="n">
        <v>0.5039388842056579</v>
      </c>
      <c r="F20" s="37" t="n">
        <v>0.5422719579325143</v>
      </c>
      <c r="G20" s="37" t="n">
        <v>0.4095019633671279</v>
      </c>
      <c r="H20" s="37" t="n">
        <v>0.8052824859588872</v>
      </c>
      <c r="I20" s="37" t="n">
        <v>0.7251679809082009</v>
      </c>
      <c r="J20" s="37" t="n">
        <v>0.4582637716002531</v>
      </c>
      <c r="K20" s="40" t="inlineStr">
        <is>
          <t>Inviable</t>
        </is>
      </c>
      <c r="L20" s="29" t="n">
        <v>-7.48631126167467</v>
      </c>
      <c r="M20" s="35" t="n">
        <v>-22.88480545022702</v>
      </c>
      <c r="N20" s="36" t="n">
        <v>2300.502656448691</v>
      </c>
      <c r="O20" s="29" t="n">
        <v>4.288793985648561</v>
      </c>
      <c r="P20" s="16" t="inlineStr">
        <is>
          <t>no</t>
        </is>
      </c>
      <c r="Q20" s="16" t="inlineStr">
        <is>
          <t>O2,O3</t>
        </is>
      </c>
    </row>
    <row r="21">
      <c r="A21" s="16" t="inlineStr">
        <is>
          <t>KF-M09-R0-P_alta-0010</t>
        </is>
      </c>
      <c r="B21" s="35" t="n">
        <v>449.8967310878599</v>
      </c>
      <c r="C21" s="35" t="n">
        <v>299.2939081921139</v>
      </c>
      <c r="D21" s="35" t="n">
        <v>853.8307349784558</v>
      </c>
      <c r="E21" s="37" t="n">
        <v>0.724559972315113</v>
      </c>
      <c r="F21" s="37" t="n">
        <v>0.793018475476521</v>
      </c>
      <c r="G21" s="37" t="n">
        <v>0.9303988622161012</v>
      </c>
      <c r="H21" s="37" t="n">
        <v>0.8806600837602385</v>
      </c>
      <c r="I21" s="37" t="n">
        <v>0.7237709592464772</v>
      </c>
      <c r="J21" s="37" t="n">
        <v>0.7974033322454375</v>
      </c>
      <c r="K21" s="39" t="inlineStr">
        <is>
          <t>Corregible</t>
        </is>
      </c>
      <c r="L21" s="29" t="n">
        <v>9.06340254467451</v>
      </c>
      <c r="M21" s="35" t="n">
        <v>127.3349545337489</v>
      </c>
      <c r="N21" s="36" t="n">
        <v>2146.169265021544</v>
      </c>
      <c r="O21" s="29" t="n">
        <v>3.513576962154797</v>
      </c>
      <c r="P21" s="16" t="inlineStr">
        <is>
          <t>sí</t>
        </is>
      </c>
      <c r="Q21" s="16" t="inlineStr">
        <is>
          <t>O2</t>
        </is>
      </c>
    </row>
    <row r="22">
      <c r="A22" s="16" t="inlineStr">
        <is>
          <t>KF-M09-R0-P_alta-0011</t>
        </is>
      </c>
      <c r="B22" s="35" t="n">
        <v>506.2984890548546</v>
      </c>
      <c r="C22" s="35" t="n">
        <v>290.6541415284175</v>
      </c>
      <c r="D22" s="35" t="n">
        <v>331.6107644065266</v>
      </c>
      <c r="E22" s="37" t="n">
        <v>0.6007770991591607</v>
      </c>
      <c r="F22" s="37" t="n">
        <v>0.6795300285753074</v>
      </c>
      <c r="G22" s="37" t="n">
        <v>0.8940046362875353</v>
      </c>
      <c r="H22" s="37" t="n">
        <v>0.4099977291834547</v>
      </c>
      <c r="I22" s="37" t="n">
        <v>0.5484321022598974</v>
      </c>
      <c r="J22" s="37" t="n">
        <v>0.6736013903078595</v>
      </c>
      <c r="K22" s="39" t="inlineStr">
        <is>
          <t>Corregible</t>
        </is>
      </c>
      <c r="L22" s="29" t="n">
        <v>7.382134133029459</v>
      </c>
      <c r="M22" s="35" t="n">
        <v>53.62870062013084</v>
      </c>
      <c r="N22" s="36" t="n">
        <v>2668.389235593474</v>
      </c>
      <c r="O22" s="29" t="n">
        <v>9.046750956257425</v>
      </c>
      <c r="P22" s="16" t="inlineStr">
        <is>
          <t>sí</t>
        </is>
      </c>
      <c r="Q22" s="16" t="inlineStr">
        <is>
          <t>O2</t>
        </is>
      </c>
    </row>
    <row r="23">
      <c r="A23" s="16" t="inlineStr">
        <is>
          <t>KF-M09-R0-P_alta-0012</t>
        </is>
      </c>
      <c r="B23" s="35" t="n">
        <v>412.2389483234746</v>
      </c>
      <c r="C23" s="35" t="n">
        <v>284.2113999705664</v>
      </c>
      <c r="D23" s="35" t="n">
        <v>1976.343340407803</v>
      </c>
      <c r="E23" s="37" t="n">
        <v>0.5748100347599511</v>
      </c>
      <c r="F23" s="37" t="n">
        <v>0.7473870865671594</v>
      </c>
      <c r="G23" s="37" t="n">
        <v>0.7594246346354216</v>
      </c>
      <c r="H23" s="37" t="n">
        <v>0.4195551204512485</v>
      </c>
      <c r="I23" s="37" t="n">
        <v>0.7371825376738033</v>
      </c>
      <c r="J23" s="37" t="n">
        <v>0.5561884227536902</v>
      </c>
      <c r="K23" s="42" t="inlineStr">
        <is>
          <t>KALINA</t>
        </is>
      </c>
      <c r="L23" s="29" t="n">
        <v>2.1919191690348</v>
      </c>
      <c r="M23" s="35" t="n">
        <v>6.18548332851392</v>
      </c>
      <c r="N23" s="36" t="n">
        <v>1023.656659592197</v>
      </c>
      <c r="O23" s="29" t="n">
        <v>1.517954870827744</v>
      </c>
      <c r="P23" s="16" t="inlineStr">
        <is>
          <t>no</t>
        </is>
      </c>
      <c r="Q23" s="16" t="n"/>
    </row>
    <row r="24">
      <c r="A24" s="16" t="inlineStr">
        <is>
          <t>KF-M09-R0-P_alta-0013</t>
        </is>
      </c>
      <c r="B24" s="35" t="n">
        <v>495.0876940462326</v>
      </c>
      <c r="C24" s="35" t="n">
        <v>291.2506551353119</v>
      </c>
      <c r="D24" s="35" t="n">
        <v>1717.216386859179</v>
      </c>
      <c r="E24" s="37" t="n">
        <v>0.5729736819181173</v>
      </c>
      <c r="F24" s="37" t="n">
        <v>0.858253177312571</v>
      </c>
      <c r="G24" s="37" t="n">
        <v>0.8237882121481381</v>
      </c>
      <c r="H24" s="37" t="n">
        <v>0.5861972452668129</v>
      </c>
      <c r="I24" s="37" t="n">
        <v>0.7019791952800964</v>
      </c>
      <c r="J24" s="37" t="n">
        <v>0.4773441718109179</v>
      </c>
      <c r="K24" s="39" t="inlineStr">
        <is>
          <t>Corregible</t>
        </is>
      </c>
      <c r="L24" s="29" t="n">
        <v>3.22803076970573</v>
      </c>
      <c r="M24" s="35" t="n">
        <v>26.56974757888512</v>
      </c>
      <c r="N24" s="36" t="n">
        <v>1282.783613140821</v>
      </c>
      <c r="O24" s="29" t="n">
        <v>1.747013377555205</v>
      </c>
      <c r="P24" s="16" t="inlineStr">
        <is>
          <t>sí</t>
        </is>
      </c>
      <c r="Q24" s="16" t="inlineStr">
        <is>
          <t>O2</t>
        </is>
      </c>
    </row>
    <row r="25">
      <c r="A25" s="16" t="inlineStr">
        <is>
          <t>KF-M09-R0-P_alta-0014</t>
        </is>
      </c>
      <c r="B25" s="35" t="n">
        <v>451.0449886663092</v>
      </c>
      <c r="C25" s="35" t="n">
        <v>283.3082358966559</v>
      </c>
      <c r="D25" s="35" t="n">
        <v>350.2283670709343</v>
      </c>
      <c r="E25" s="37" t="n">
        <v>0.5422812070858041</v>
      </c>
      <c r="F25" s="37" t="n">
        <v>0.5846430737440802</v>
      </c>
      <c r="G25" s="37" t="n">
        <v>0.6826498268247948</v>
      </c>
      <c r="H25" s="37" t="n">
        <v>0.4766417968376671</v>
      </c>
      <c r="I25" s="37" t="n">
        <v>0.531216017166159</v>
      </c>
      <c r="J25" s="37" t="n">
        <v>0.7474000845025657</v>
      </c>
      <c r="K25" s="39" t="inlineStr">
        <is>
          <t>Corregible</t>
        </is>
      </c>
      <c r="L25" s="29" t="n">
        <v>7.57215245252199</v>
      </c>
      <c r="M25" s="35" t="n">
        <v>49.34956089639773</v>
      </c>
      <c r="N25" s="36" t="n">
        <v>2649.771632929066</v>
      </c>
      <c r="O25" s="29" t="n">
        <v>8.565839555173406</v>
      </c>
      <c r="P25" s="16" t="inlineStr">
        <is>
          <t>no</t>
        </is>
      </c>
      <c r="Q25" s="16" t="inlineStr">
        <is>
          <t>O2</t>
        </is>
      </c>
    </row>
    <row r="26">
      <c r="A26" s="16" t="inlineStr">
        <is>
          <t>KF-M09-R0-P_alta-0015</t>
        </is>
      </c>
      <c r="B26" s="35" t="n">
        <v>480.180863332904</v>
      </c>
      <c r="C26" s="35" t="n">
        <v>287.4422848340988</v>
      </c>
      <c r="D26" s="35" t="n">
        <v>886.3774235664346</v>
      </c>
      <c r="E26" s="37" t="n">
        <v>0.5254042801461014</v>
      </c>
      <c r="F26" s="37" t="n">
        <v>0.4297018628478422</v>
      </c>
      <c r="G26" s="37" t="n">
        <v>0.440477749565864</v>
      </c>
      <c r="H26" s="37" t="n">
        <v>0.7445344278199063</v>
      </c>
      <c r="I26" s="37" t="n">
        <v>0.7073875048832476</v>
      </c>
      <c r="J26" s="37" t="n">
        <v>0.50639103714906</v>
      </c>
      <c r="K26" s="40" t="inlineStr">
        <is>
          <t>Inviable</t>
        </is>
      </c>
      <c r="L26" s="29" t="n">
        <v>-11.8022648785933</v>
      </c>
      <c r="M26" s="35" t="n">
        <v>-105.805453607</v>
      </c>
      <c r="N26" s="36" t="n">
        <v>2113.622576433565</v>
      </c>
      <c r="O26" s="29" t="n">
        <v>3.384562738442929</v>
      </c>
      <c r="P26" s="16" t="inlineStr">
        <is>
          <t>sí</t>
        </is>
      </c>
      <c r="Q26" s="16" t="inlineStr">
        <is>
          <t>O2,O3</t>
        </is>
      </c>
    </row>
    <row r="27">
      <c r="A27" s="16" t="inlineStr">
        <is>
          <t>KF-M09-R0-P_alta-0016</t>
        </is>
      </c>
      <c r="B27" s="35" t="n">
        <v>398.2713419069489</v>
      </c>
      <c r="C27" s="35" t="n">
        <v>296.3403964029224</v>
      </c>
      <c r="D27" s="35" t="n">
        <v>1047.416439501432</v>
      </c>
      <c r="E27" s="37" t="n">
        <v>0.7062333971441798</v>
      </c>
      <c r="F27" s="37" t="n">
        <v>0.8446750813953083</v>
      </c>
      <c r="G27" s="37" t="n">
        <v>0.7550192025754233</v>
      </c>
      <c r="H27" s="37" t="n">
        <v>0.5616673526997996</v>
      </c>
      <c r="I27" s="37" t="n">
        <v>0.7985999486618205</v>
      </c>
      <c r="J27" s="37" t="n">
        <v>0.6921114346549186</v>
      </c>
      <c r="K27" s="39" t="inlineStr">
        <is>
          <t>Corregible</t>
        </is>
      </c>
      <c r="L27" s="29" t="n">
        <v>8.10360175258065</v>
      </c>
      <c r="M27" s="35" t="n">
        <v>35.16063048164013</v>
      </c>
      <c r="N27" s="36" t="n">
        <v>1952.583560498568</v>
      </c>
      <c r="O27" s="29" t="n">
        <v>2.864190294194726</v>
      </c>
      <c r="P27" s="16" t="inlineStr">
        <is>
          <t>no</t>
        </is>
      </c>
      <c r="Q27" s="16" t="inlineStr">
        <is>
          <t>O2</t>
        </is>
      </c>
    </row>
    <row r="28">
      <c r="A28" s="16" t="inlineStr">
        <is>
          <t>KF-M09-R0-P_alta-0017</t>
        </is>
      </c>
      <c r="B28" s="35" t="n">
        <v>515.726553321927</v>
      </c>
      <c r="C28" s="35" t="n">
        <v>300.7875711299088</v>
      </c>
      <c r="D28" s="35" t="n">
        <v>681.5874873737557</v>
      </c>
      <c r="E28" s="37" t="n">
        <v>0.8391518584192501</v>
      </c>
      <c r="F28" s="37" t="n">
        <v>0.6425387214115336</v>
      </c>
      <c r="G28" s="37" t="n">
        <v>0.7438543313614896</v>
      </c>
      <c r="H28" s="37" t="n">
        <v>0.8968449665211031</v>
      </c>
      <c r="I28" s="37" t="n">
        <v>0.4831581848181998</v>
      </c>
      <c r="J28" s="37" t="n">
        <v>0.7213562680097613</v>
      </c>
      <c r="K28" s="32" t="inlineStr">
        <is>
          <t>No convergió</t>
        </is>
      </c>
      <c r="L28" s="29" t="inlineStr">
        <is>
          <t>—</t>
        </is>
      </c>
      <c r="M28" s="35" t="inlineStr">
        <is>
          <t>—</t>
        </is>
      </c>
      <c r="N28" s="36" t="n">
        <v>2318.412512626244</v>
      </c>
      <c r="O28" s="29" t="n">
        <v>4.401489252039215</v>
      </c>
      <c r="P28" s="16" t="inlineStr">
        <is>
          <t>no</t>
        </is>
      </c>
      <c r="Q28" s="16" t="n"/>
    </row>
    <row r="29">
      <c r="A29" s="16" t="inlineStr">
        <is>
          <t>KF-M09-R0-P_alta-0018</t>
        </is>
      </c>
      <c r="B29" s="35" t="n">
        <v>493.1604273591192</v>
      </c>
      <c r="C29" s="35" t="n">
        <v>279.0838226093308</v>
      </c>
      <c r="D29" s="35" t="n">
        <v>1317.225112636481</v>
      </c>
      <c r="E29" s="37" t="n">
        <v>0.7905445089334795</v>
      </c>
      <c r="F29" s="37" t="n">
        <v>0.7055464149812547</v>
      </c>
      <c r="G29" s="37" t="n">
        <v>0.813353207920793</v>
      </c>
      <c r="H29" s="37" t="n">
        <v>0.9384945229927902</v>
      </c>
      <c r="I29" s="37" t="n">
        <v>0.8707030085563876</v>
      </c>
      <c r="J29" s="37" t="n">
        <v>0.5469312328945435</v>
      </c>
      <c r="K29" s="32" t="inlineStr">
        <is>
          <t>No convergió</t>
        </is>
      </c>
      <c r="L29" s="29" t="inlineStr">
        <is>
          <t>—</t>
        </is>
      </c>
      <c r="M29" s="35" t="inlineStr">
        <is>
          <t>—</t>
        </is>
      </c>
      <c r="N29" s="36" t="n">
        <v>1682.774887363519</v>
      </c>
      <c r="O29" s="29" t="n">
        <v>2.277515036131808</v>
      </c>
      <c r="P29" s="16" t="inlineStr">
        <is>
          <t>no</t>
        </is>
      </c>
      <c r="Q29" s="16" t="n"/>
    </row>
    <row r="30">
      <c r="A30" s="16" t="inlineStr">
        <is>
          <t>KF-M09-R0-P_alta-0019</t>
        </is>
      </c>
      <c r="B30" s="35" t="n">
        <v>384.5694869936626</v>
      </c>
      <c r="C30" s="35" t="n">
        <v>302.8243425135364</v>
      </c>
      <c r="D30" s="35" t="n">
        <v>810.8164882192822</v>
      </c>
      <c r="E30" s="37" t="n">
        <v>0.638625290503456</v>
      </c>
      <c r="F30" s="37" t="n">
        <v>0.7416290458455874</v>
      </c>
      <c r="G30" s="37" t="n">
        <v>0.9450134465791614</v>
      </c>
      <c r="H30" s="37" t="n">
        <v>0.8195567235718716</v>
      </c>
      <c r="I30" s="37" t="n">
        <v>0.7870262792370323</v>
      </c>
      <c r="J30" s="37" t="n">
        <v>0.8992455464454304</v>
      </c>
      <c r="K30" s="39" t="inlineStr">
        <is>
          <t>Corregible</t>
        </is>
      </c>
      <c r="L30" s="29" t="n">
        <v>7.80199203858648</v>
      </c>
      <c r="M30" s="35" t="n">
        <v>29.76440550730458</v>
      </c>
      <c r="N30" s="36" t="n">
        <v>2189.183511780718</v>
      </c>
      <c r="O30" s="29" t="n">
        <v>3.699974092274085</v>
      </c>
      <c r="P30" s="16" t="inlineStr">
        <is>
          <t>no</t>
        </is>
      </c>
      <c r="Q30" s="16" t="inlineStr">
        <is>
          <t>O2</t>
        </is>
      </c>
    </row>
    <row r="31">
      <c r="A31" s="16" t="inlineStr">
        <is>
          <t>KF-M09-R0-P_alta-0020</t>
        </is>
      </c>
      <c r="B31" s="35" t="n">
        <v>476.9358411541235</v>
      </c>
      <c r="C31" s="35" t="n">
        <v>285.591501037468</v>
      </c>
      <c r="D31" s="35" t="n">
        <v>1512.759760634953</v>
      </c>
      <c r="E31" s="37" t="n">
        <v>0.73132743337443</v>
      </c>
      <c r="F31" s="37" t="n">
        <v>0.5095780582349959</v>
      </c>
      <c r="G31" s="37" t="n">
        <v>0.7768243769291108</v>
      </c>
      <c r="H31" s="37" t="n">
        <v>0.8609490943398777</v>
      </c>
      <c r="I31" s="37" t="n">
        <v>0.4430456081969371</v>
      </c>
      <c r="J31" s="37" t="n">
        <v>0.6764501800579736</v>
      </c>
      <c r="K31" s="39" t="inlineStr">
        <is>
          <t>Corregible</t>
        </is>
      </c>
      <c r="L31" s="29" t="n">
        <v>1.74304826077079</v>
      </c>
      <c r="M31" s="35" t="n">
        <v>22.04492421362641</v>
      </c>
      <c r="N31" s="36" t="n">
        <v>1487.240239365047</v>
      </c>
      <c r="O31" s="29" t="n">
        <v>1.983130486456624</v>
      </c>
      <c r="P31" s="16" t="inlineStr">
        <is>
          <t>sí</t>
        </is>
      </c>
      <c r="Q31" s="16" t="inlineStr">
        <is>
          <t>O2</t>
        </is>
      </c>
    </row>
    <row r="32">
      <c r="A32" s="16" t="inlineStr">
        <is>
          <t>KF-M09-R0-P_alta-0021</t>
        </is>
      </c>
      <c r="B32" s="35" t="n">
        <v>434.3082040064433</v>
      </c>
      <c r="C32" s="35" t="n">
        <v>279.4657666050517</v>
      </c>
      <c r="D32" s="35" t="n">
        <v>619.3500639882202</v>
      </c>
      <c r="E32" s="37" t="n">
        <v>0.8211039951413839</v>
      </c>
      <c r="F32" s="37" t="n">
        <v>0.9417115966354846</v>
      </c>
      <c r="G32" s="37" t="n">
        <v>0.6627987600452931</v>
      </c>
      <c r="H32" s="37" t="n">
        <v>0.6544558292040189</v>
      </c>
      <c r="I32" s="37" t="n">
        <v>0.8230016092459956</v>
      </c>
      <c r="J32" s="37" t="n">
        <v>0.4850046024532015</v>
      </c>
      <c r="K32" s="39" t="inlineStr">
        <is>
          <t>Corregible</t>
        </is>
      </c>
      <c r="L32" s="29" t="n">
        <v>8.05756327909581</v>
      </c>
      <c r="M32" s="35" t="n">
        <v>54.42787793578589</v>
      </c>
      <c r="N32" s="36" t="n">
        <v>2380.64993601178</v>
      </c>
      <c r="O32" s="29" t="n">
        <v>4.843787341656041</v>
      </c>
      <c r="P32" s="16" t="inlineStr">
        <is>
          <t>no</t>
        </is>
      </c>
      <c r="Q32" s="16" t="inlineStr">
        <is>
          <t>O2</t>
        </is>
      </c>
    </row>
    <row r="33">
      <c r="A33" s="16" t="inlineStr">
        <is>
          <t>KF-M09-R0-P_alta-0022</t>
        </is>
      </c>
      <c r="B33" s="35" t="n">
        <v>464.6806915493977</v>
      </c>
      <c r="C33" s="35" t="n">
        <v>287.6759711810224</v>
      </c>
      <c r="D33" s="35" t="n">
        <v>443.073679680217</v>
      </c>
      <c r="E33" s="37" t="n">
        <v>0.7859391753096819</v>
      </c>
      <c r="F33" s="37" t="n">
        <v>0.8531730318565629</v>
      </c>
      <c r="G33" s="37" t="n">
        <v>0.8777685084717769</v>
      </c>
      <c r="H33" s="37" t="n">
        <v>0.7144158276203394</v>
      </c>
      <c r="I33" s="37" t="n">
        <v>0.4969464515920923</v>
      </c>
      <c r="J33" s="37" t="n">
        <v>0.6379516910201639</v>
      </c>
      <c r="K33" s="39" t="inlineStr">
        <is>
          <t>Corregible</t>
        </is>
      </c>
      <c r="L33" s="29" t="n">
        <v>9.040890603307361</v>
      </c>
      <c r="M33" s="35" t="n">
        <v>64.34442297185134</v>
      </c>
      <c r="N33" s="36" t="n">
        <v>2556.926320319783</v>
      </c>
      <c r="O33" s="29" t="n">
        <v>6.770882897321306</v>
      </c>
      <c r="P33" s="16" t="inlineStr">
        <is>
          <t>sí</t>
        </is>
      </c>
      <c r="Q33" s="16" t="inlineStr">
        <is>
          <t>O2</t>
        </is>
      </c>
    </row>
    <row r="34">
      <c r="A34" s="16" t="inlineStr">
        <is>
          <t>KF-M09-R0-P_alta-0023</t>
        </is>
      </c>
      <c r="B34" s="35" t="n">
        <v>494.5341573890886</v>
      </c>
      <c r="C34" s="35" t="n">
        <v>279.8579488945581</v>
      </c>
      <c r="D34" s="35" t="n">
        <v>1400.349394132309</v>
      </c>
      <c r="E34" s="37" t="n">
        <v>0.7003981162530311</v>
      </c>
      <c r="F34" s="37" t="n">
        <v>0.5797508342004413</v>
      </c>
      <c r="G34" s="37" t="n">
        <v>0.5978801164565268</v>
      </c>
      <c r="H34" s="37" t="n">
        <v>0.9277035119872088</v>
      </c>
      <c r="I34" s="37" t="n">
        <v>0.9122006916682238</v>
      </c>
      <c r="J34" s="37" t="n">
        <v>0.523597233369315</v>
      </c>
      <c r="K34" s="32" t="inlineStr">
        <is>
          <t>No convergió</t>
        </is>
      </c>
      <c r="L34" s="29" t="inlineStr">
        <is>
          <t>—</t>
        </is>
      </c>
      <c r="M34" s="35" t="inlineStr">
        <is>
          <t>—</t>
        </is>
      </c>
      <c r="N34" s="36" t="n">
        <v>1599.650605867691</v>
      </c>
      <c r="O34" s="29" t="n">
        <v>2.142322489351933</v>
      </c>
      <c r="P34" s="16" t="inlineStr">
        <is>
          <t>no</t>
        </is>
      </c>
      <c r="Q34" s="16" t="n"/>
    </row>
    <row r="35">
      <c r="A35" s="16" t="inlineStr">
        <is>
          <t>KF-M09-R0-P_alta-0024</t>
        </is>
      </c>
      <c r="B35" s="35" t="n">
        <v>387.5211747323866</v>
      </c>
      <c r="C35" s="35" t="n">
        <v>303.2449399335306</v>
      </c>
      <c r="D35" s="35" t="n">
        <v>653.7102002905563</v>
      </c>
      <c r="E35" s="37" t="n">
        <v>0.670712935498883</v>
      </c>
      <c r="F35" s="37" t="n">
        <v>0.4339911704123265</v>
      </c>
      <c r="G35" s="37" t="n">
        <v>0.5454731698496086</v>
      </c>
      <c r="H35" s="37" t="n">
        <v>0.949495443240392</v>
      </c>
      <c r="I35" s="37" t="n">
        <v>0.5104626462571941</v>
      </c>
      <c r="J35" s="37" t="n">
        <v>0.5127969900307623</v>
      </c>
      <c r="K35" s="40" t="inlineStr">
        <is>
          <t>Inviable</t>
        </is>
      </c>
      <c r="L35" s="29" t="n">
        <v>-25.01004227429445</v>
      </c>
      <c r="M35" s="35" t="n">
        <v>-64.03368959370975</v>
      </c>
      <c r="N35" s="36" t="n">
        <v>2346.289799709444</v>
      </c>
      <c r="O35" s="29" t="n">
        <v>4.58918951955558</v>
      </c>
      <c r="P35" s="16" t="inlineStr">
        <is>
          <t>no</t>
        </is>
      </c>
      <c r="Q35" s="16" t="inlineStr">
        <is>
          <t>O2,O3</t>
        </is>
      </c>
    </row>
    <row r="36">
      <c r="A36" s="16" t="inlineStr">
        <is>
          <t>KF-M09-R0-P_alta-0025</t>
        </is>
      </c>
      <c r="B36" s="35" t="n">
        <v>444.3710020810133</v>
      </c>
      <c r="C36" s="35" t="n">
        <v>296.5748811520344</v>
      </c>
      <c r="D36" s="35" t="n">
        <v>665.7204132508791</v>
      </c>
      <c r="E36" s="37" t="n">
        <v>0.5942763729895406</v>
      </c>
      <c r="F36" s="37" t="n">
        <v>0.835385540586651</v>
      </c>
      <c r="G36" s="37" t="n">
        <v>0.8407075402365705</v>
      </c>
      <c r="H36" s="37" t="n">
        <v>0.6972097069154359</v>
      </c>
      <c r="I36" s="37" t="n">
        <v>0.716251854870488</v>
      </c>
      <c r="J36" s="37" t="n">
        <v>0.7525269731405191</v>
      </c>
      <c r="K36" s="39" t="inlineStr">
        <is>
          <t>Corregible</t>
        </is>
      </c>
      <c r="L36" s="29" t="n">
        <v>10.78728811658905</v>
      </c>
      <c r="M36" s="35" t="n">
        <v>92.3616916673178</v>
      </c>
      <c r="N36" s="36" t="n">
        <v>2334.279586749121</v>
      </c>
      <c r="O36" s="29" t="n">
        <v>4.506396289322495</v>
      </c>
      <c r="P36" s="16" t="inlineStr">
        <is>
          <t>sí</t>
        </is>
      </c>
      <c r="Q36" s="16" t="inlineStr">
        <is>
          <t>O2</t>
        </is>
      </c>
    </row>
    <row r="37">
      <c r="A37" s="16" t="inlineStr">
        <is>
          <t>KF-M09-R0-P_alta-0026</t>
        </is>
      </c>
      <c r="B37" s="35" t="n">
        <v>501.6888168865265</v>
      </c>
      <c r="C37" s="35" t="n">
        <v>299.9264483861398</v>
      </c>
      <c r="D37" s="35" t="n">
        <v>1370.303242442703</v>
      </c>
      <c r="E37" s="37" t="n">
        <v>0.5004175207131287</v>
      </c>
      <c r="F37" s="37" t="n">
        <v>0.7559852035450878</v>
      </c>
      <c r="G37" s="37" t="n">
        <v>0.5158662770533189</v>
      </c>
      <c r="H37" s="37" t="n">
        <v>0.8470998594513283</v>
      </c>
      <c r="I37" s="37" t="n">
        <v>0.5728702227467484</v>
      </c>
      <c r="J37" s="37" t="n">
        <v>0.7286942445069289</v>
      </c>
      <c r="K37" s="39" t="inlineStr">
        <is>
          <t>Corregible</t>
        </is>
      </c>
      <c r="L37" s="29" t="n">
        <v>3.98452819813219</v>
      </c>
      <c r="M37" s="35" t="n">
        <v>61.13516275913354</v>
      </c>
      <c r="N37" s="36" t="n">
        <v>1629.696757557297</v>
      </c>
      <c r="O37" s="29" t="n">
        <v>2.189296432410245</v>
      </c>
      <c r="P37" s="16" t="inlineStr">
        <is>
          <t>sí</t>
        </is>
      </c>
      <c r="Q37" s="16" t="inlineStr">
        <is>
          <t>O2</t>
        </is>
      </c>
    </row>
    <row r="38">
      <c r="A38" s="16" t="inlineStr">
        <is>
          <t>KF-M09-R0-P_alta-0027</t>
        </is>
      </c>
      <c r="B38" s="35" t="n">
        <v>489.8000775090104</v>
      </c>
      <c r="C38" s="35" t="n">
        <v>287.9442976298023</v>
      </c>
      <c r="D38" s="35" t="n">
        <v>1352.397765336264</v>
      </c>
      <c r="E38" s="37" t="n">
        <v>0.6753288247334339</v>
      </c>
      <c r="F38" s="37" t="n">
        <v>0.7296041953056753</v>
      </c>
      <c r="G38" s="37" t="n">
        <v>0.8798437877806347</v>
      </c>
      <c r="H38" s="37" t="n">
        <v>0.9193789405743368</v>
      </c>
      <c r="I38" s="37" t="n">
        <v>0.4513357887937966</v>
      </c>
      <c r="J38" s="37" t="n">
        <v>0.6260791856027286</v>
      </c>
      <c r="K38" s="39" t="inlineStr">
        <is>
          <t>Corregible</t>
        </is>
      </c>
      <c r="L38" s="29" t="n">
        <v>4.16685470655212</v>
      </c>
      <c r="M38" s="35" t="n">
        <v>54.38912742854308</v>
      </c>
      <c r="N38" s="36" t="n">
        <v>1647.602234663736</v>
      </c>
      <c r="O38" s="29" t="n">
        <v>2.218282281214856</v>
      </c>
      <c r="P38" s="16" t="inlineStr">
        <is>
          <t>sí</t>
        </is>
      </c>
      <c r="Q38" s="16" t="inlineStr">
        <is>
          <t>O2</t>
        </is>
      </c>
    </row>
    <row r="39">
      <c r="A39" s="16" t="inlineStr">
        <is>
          <t>KF-M09-R0-P_alta-0028</t>
        </is>
      </c>
      <c r="B39" s="35" t="n">
        <v>395.3925722401434</v>
      </c>
      <c r="C39" s="35" t="n">
        <v>278.180008467975</v>
      </c>
      <c r="D39" s="35" t="n">
        <v>1668.368806595899</v>
      </c>
      <c r="E39" s="37" t="n">
        <v>0.7975882021382479</v>
      </c>
      <c r="F39" s="37" t="n">
        <v>0.4522113012630736</v>
      </c>
      <c r="G39" s="37" t="n">
        <v>0.7984855566001658</v>
      </c>
      <c r="H39" s="37" t="n">
        <v>0.5495406311242292</v>
      </c>
      <c r="I39" s="37" t="n">
        <v>0.5193302495214227</v>
      </c>
      <c r="J39" s="37" t="n">
        <v>0.6611093666780334</v>
      </c>
      <c r="K39" s="39" t="inlineStr">
        <is>
          <t>Corregible</t>
        </is>
      </c>
      <c r="L39" s="29" t="n">
        <v>2.43519128526109</v>
      </c>
      <c r="M39" s="35" t="n">
        <v>12.8954734003087</v>
      </c>
      <c r="N39" s="36" t="n">
        <v>1331.631193404101</v>
      </c>
      <c r="O39" s="29" t="n">
        <v>1.798163564398648</v>
      </c>
      <c r="P39" s="16" t="inlineStr">
        <is>
          <t>no</t>
        </is>
      </c>
      <c r="Q39" s="16" t="inlineStr">
        <is>
          <t>O2</t>
        </is>
      </c>
    </row>
    <row r="40">
      <c r="A40" s="16" t="inlineStr">
        <is>
          <t>KF-M09-R0-P_alta-0029</t>
        </is>
      </c>
      <c r="B40" s="35" t="n">
        <v>403.3580219508895</v>
      </c>
      <c r="C40" s="35" t="n">
        <v>288.10845964486</v>
      </c>
      <c r="D40" s="35" t="n">
        <v>1125.352586481744</v>
      </c>
      <c r="E40" s="37" t="n">
        <v>0.5386004320212608</v>
      </c>
      <c r="F40" s="37" t="n">
        <v>0.5952744481605291</v>
      </c>
      <c r="G40" s="37" t="n">
        <v>0.4506909329239785</v>
      </c>
      <c r="H40" s="37" t="n">
        <v>0.516028722630036</v>
      </c>
      <c r="I40" s="37" t="n">
        <v>0.653201326742939</v>
      </c>
      <c r="J40" s="37" t="n">
        <v>0.8828465450398501</v>
      </c>
      <c r="K40" s="42" t="inlineStr">
        <is>
          <t>KALINA</t>
        </is>
      </c>
      <c r="L40" s="29" t="n">
        <v>1.07193746809772</v>
      </c>
      <c r="M40" s="35" t="n">
        <v>2.996994249534577</v>
      </c>
      <c r="N40" s="36" t="n">
        <v>1874.647413518256</v>
      </c>
      <c r="O40" s="29" t="n">
        <v>2.665831167971166</v>
      </c>
      <c r="P40" s="16" t="inlineStr">
        <is>
          <t>no</t>
        </is>
      </c>
      <c r="Q40" s="16" t="n"/>
    </row>
    <row r="41">
      <c r="A41" s="16" t="inlineStr">
        <is>
          <t>KF-M09-R0-P_alta-0030</t>
        </is>
      </c>
      <c r="B41" s="35" t="n">
        <v>517.4018246384321</v>
      </c>
      <c r="C41" s="35" t="n">
        <v>301.6128868528384</v>
      </c>
      <c r="D41" s="35" t="n">
        <v>1482.149423304512</v>
      </c>
      <c r="E41" s="37" t="n">
        <v>0.6321380453178445</v>
      </c>
      <c r="F41" s="37" t="n">
        <v>0.5744304568292193</v>
      </c>
      <c r="G41" s="37" t="n">
        <v>0.9441790972895188</v>
      </c>
      <c r="H41" s="37" t="n">
        <v>0.8770958036867474</v>
      </c>
      <c r="I41" s="37" t="n">
        <v>0.5775788835944096</v>
      </c>
      <c r="J41" s="37" t="n">
        <v>0.6345856836687795</v>
      </c>
      <c r="K41" s="39" t="inlineStr">
        <is>
          <t>Corregible</t>
        </is>
      </c>
      <c r="L41" s="29" t="n">
        <v>2.34831221792312</v>
      </c>
      <c r="M41" s="35" t="n">
        <v>30.98385816939353</v>
      </c>
      <c r="N41" s="36" t="n">
        <v>1517.850576695488</v>
      </c>
      <c r="O41" s="29" t="n">
        <v>2.024087418467821</v>
      </c>
      <c r="P41" s="16" t="inlineStr">
        <is>
          <t>sí</t>
        </is>
      </c>
      <c r="Q41" s="16" t="inlineStr">
        <is>
          <t>O2</t>
        </is>
      </c>
    </row>
    <row r="42">
      <c r="A42" s="16" t="inlineStr">
        <is>
          <t>KF-M09-R0-P_alta-0031</t>
        </is>
      </c>
      <c r="B42" s="35" t="n">
        <v>419.2222620450907</v>
      </c>
      <c r="C42" s="35" t="n">
        <v>289.8827803235136</v>
      </c>
      <c r="D42" s="35" t="n">
        <v>466.0614388021448</v>
      </c>
      <c r="E42" s="37" t="n">
        <v>0.6894720721241221</v>
      </c>
      <c r="F42" s="37" t="n">
        <v>0.4138111135333353</v>
      </c>
      <c r="G42" s="37" t="n">
        <v>0.937029898126352</v>
      </c>
      <c r="H42" s="37" t="n">
        <v>0.6258759503914624</v>
      </c>
      <c r="I42" s="37" t="n">
        <v>0.8762786047301303</v>
      </c>
      <c r="J42" s="37" t="n">
        <v>0.918675935721336</v>
      </c>
      <c r="K42" s="39" t="inlineStr">
        <is>
          <t>Corregible</t>
        </is>
      </c>
      <c r="L42" s="29" t="n">
        <v>6.09892291600671</v>
      </c>
      <c r="M42" s="35" t="n">
        <v>39.8306254705581</v>
      </c>
      <c r="N42" s="36" t="n">
        <v>2533.938561197855</v>
      </c>
      <c r="O42" s="29" t="n">
        <v>6.436919578050691</v>
      </c>
      <c r="P42" s="16" t="inlineStr">
        <is>
          <t>no</t>
        </is>
      </c>
      <c r="Q42" s="16" t="inlineStr">
        <is>
          <t>O2</t>
        </is>
      </c>
    </row>
    <row r="43">
      <c r="A43" s="16" t="inlineStr">
        <is>
          <t>KF-M09-R0-P_alta-0032</t>
        </is>
      </c>
      <c r="B43" s="35" t="n">
        <v>471.9191035778756</v>
      </c>
      <c r="C43" s="35" t="n">
        <v>283.8661695344004</v>
      </c>
      <c r="D43" s="35" t="n">
        <v>1379.764659689915</v>
      </c>
      <c r="E43" s="37" t="n">
        <v>0.511908122020282</v>
      </c>
      <c r="F43" s="37" t="n">
        <v>0.8826940473491011</v>
      </c>
      <c r="G43" s="37" t="n">
        <v>0.5213897042264934</v>
      </c>
      <c r="H43" s="37" t="n">
        <v>0.8110553497225157</v>
      </c>
      <c r="I43" s="37" t="n">
        <v>0.4467517927505231</v>
      </c>
      <c r="J43" s="37" t="n">
        <v>0.8431237806592032</v>
      </c>
      <c r="K43" s="42" t="inlineStr">
        <is>
          <t>KALINA</t>
        </is>
      </c>
      <c r="L43" s="29" t="n">
        <v>5.91000597045615</v>
      </c>
      <c r="M43" s="35" t="n">
        <v>98.23258200456659</v>
      </c>
      <c r="N43" s="36" t="n">
        <v>1620.235340310085</v>
      </c>
      <c r="O43" s="29" t="n">
        <v>2.174283838139623</v>
      </c>
      <c r="P43" s="16" t="inlineStr">
        <is>
          <t>sí</t>
        </is>
      </c>
      <c r="Q43" s="16" t="n"/>
    </row>
    <row r="44">
      <c r="A44" s="16" t="inlineStr">
        <is>
          <t>KF-M09-R0-P_alta-0033</t>
        </is>
      </c>
      <c r="B44" s="35" t="n">
        <v>485.8307458957319</v>
      </c>
      <c r="C44" s="35" t="n">
        <v>290.9555917099965</v>
      </c>
      <c r="D44" s="35" t="n">
        <v>1548.671522489014</v>
      </c>
      <c r="E44" s="37" t="n">
        <v>0.5818949179025921</v>
      </c>
      <c r="F44" s="37" t="n">
        <v>0.6164424039870744</v>
      </c>
      <c r="G44" s="37" t="n">
        <v>0.7003486936723882</v>
      </c>
      <c r="H44" s="37" t="n">
        <v>0.7359114003595484</v>
      </c>
      <c r="I44" s="37" t="n">
        <v>0.6007869393898279</v>
      </c>
      <c r="J44" s="37" t="n">
        <v>0.5719962791834612</v>
      </c>
      <c r="K44" s="39" t="inlineStr">
        <is>
          <t>Corregible</t>
        </is>
      </c>
      <c r="L44" s="29" t="n">
        <v>1.28643487109611</v>
      </c>
      <c r="M44" s="35" t="n">
        <v>13.76032423005046</v>
      </c>
      <c r="N44" s="36" t="n">
        <v>1451.328477510986</v>
      </c>
      <c r="O44" s="29" t="n">
        <v>1.937144162874784</v>
      </c>
      <c r="P44" s="16" t="inlineStr">
        <is>
          <t>sí</t>
        </is>
      </c>
      <c r="Q44" s="16" t="inlineStr">
        <is>
          <t>O2</t>
        </is>
      </c>
    </row>
    <row r="45">
      <c r="A45" s="16" t="inlineStr">
        <is>
          <t>KF-M09-R0-P_alta-0034</t>
        </is>
      </c>
      <c r="B45" s="35" t="n">
        <v>488.9417361252898</v>
      </c>
      <c r="C45" s="35" t="n">
        <v>298.082099276283</v>
      </c>
      <c r="D45" s="35" t="n">
        <v>1143.874309299714</v>
      </c>
      <c r="E45" s="37" t="n">
        <v>0.5355454220765976</v>
      </c>
      <c r="F45" s="37" t="n">
        <v>0.9374589547374274</v>
      </c>
      <c r="G45" s="37" t="n">
        <v>0.6652916368328596</v>
      </c>
      <c r="H45" s="37" t="n">
        <v>0.6607124093692838</v>
      </c>
      <c r="I45" s="37" t="n">
        <v>0.6503859727225041</v>
      </c>
      <c r="J45" s="37" t="n">
        <v>0.6847574493617934</v>
      </c>
      <c r="K45" s="39" t="inlineStr">
        <is>
          <t>Corregible</t>
        </is>
      </c>
      <c r="L45" s="29" t="n">
        <v>7.199098659563739</v>
      </c>
      <c r="M45" s="35" t="n">
        <v>83.74524405455482</v>
      </c>
      <c r="N45" s="36" t="n">
        <v>1856.125690700286</v>
      </c>
      <c r="O45" s="29" t="n">
        <v>2.622665773337121</v>
      </c>
      <c r="P45" s="16" t="inlineStr">
        <is>
          <t>sí</t>
        </is>
      </c>
      <c r="Q45" s="16" t="inlineStr">
        <is>
          <t>O2</t>
        </is>
      </c>
    </row>
    <row r="46">
      <c r="A46" s="16" t="inlineStr">
        <is>
          <t>KF-M09-R0-P_alta-0035</t>
        </is>
      </c>
      <c r="B46" s="35" t="n">
        <v>460.8730875481204</v>
      </c>
      <c r="C46" s="35" t="n">
        <v>298.4333421517014</v>
      </c>
      <c r="D46" s="35" t="n">
        <v>1463.177714606448</v>
      </c>
      <c r="E46" s="37" t="n">
        <v>0.5285082759003883</v>
      </c>
      <c r="F46" s="37" t="n">
        <v>0.8783682127798608</v>
      </c>
      <c r="G46" s="37" t="n">
        <v>0.807613515254223</v>
      </c>
      <c r="H46" s="37" t="n">
        <v>0.5219209506773637</v>
      </c>
      <c r="I46" s="37" t="n">
        <v>0.5831528630547109</v>
      </c>
      <c r="J46" s="37" t="n">
        <v>0.7889972151911909</v>
      </c>
      <c r="K46" s="42" t="inlineStr">
        <is>
          <t>KALINA</t>
        </is>
      </c>
      <c r="L46" s="29" t="n">
        <v>5.5170740024461</v>
      </c>
      <c r="M46" s="35" t="n">
        <v>45.61144922574373</v>
      </c>
      <c r="N46" s="36" t="n">
        <v>1536.822285393552</v>
      </c>
      <c r="O46" s="29" t="n">
        <v>2.050331938527994</v>
      </c>
      <c r="P46" s="16" t="inlineStr">
        <is>
          <t>sí</t>
        </is>
      </c>
      <c r="Q46" s="16" t="n"/>
    </row>
    <row r="47">
      <c r="A47" s="16" t="inlineStr">
        <is>
          <t>KF-M09-R0-P_alta-0036</t>
        </is>
      </c>
      <c r="B47" s="35" t="n">
        <v>487.5267794734092</v>
      </c>
      <c r="C47" s="35" t="n">
        <v>295.8898825579351</v>
      </c>
      <c r="D47" s="35" t="n">
        <v>1880.773939492396</v>
      </c>
      <c r="E47" s="37" t="n">
        <v>0.8263356985519463</v>
      </c>
      <c r="F47" s="37" t="n">
        <v>0.4179543102662198</v>
      </c>
      <c r="G47" s="37" t="n">
        <v>0.7332108799484067</v>
      </c>
      <c r="H47" s="37" t="n">
        <v>0.6212078505586647</v>
      </c>
      <c r="I47" s="37" t="n">
        <v>0.7747021775261751</v>
      </c>
      <c r="J47" s="37" t="n">
        <v>0.7738608283582666</v>
      </c>
      <c r="K47" s="32" t="inlineStr">
        <is>
          <t>No convergió</t>
        </is>
      </c>
      <c r="L47" s="29" t="inlineStr">
        <is>
          <t>—</t>
        </is>
      </c>
      <c r="M47" s="35" t="inlineStr">
        <is>
          <t>—</t>
        </is>
      </c>
      <c r="N47" s="36" t="n">
        <v>1119.226060507604</v>
      </c>
      <c r="O47" s="29" t="n">
        <v>1.595088031052617</v>
      </c>
      <c r="P47" s="16" t="inlineStr">
        <is>
          <t>no</t>
        </is>
      </c>
      <c r="Q47" s="16" t="n"/>
    </row>
    <row r="48">
      <c r="A48" s="16" t="inlineStr">
        <is>
          <t>KF-M09-R0-P_alta-0037</t>
        </is>
      </c>
      <c r="B48" s="35" t="n">
        <v>386.6616014954907</v>
      </c>
      <c r="C48" s="35" t="n">
        <v>293.5495020747284</v>
      </c>
      <c r="D48" s="35" t="n">
        <v>749.4040603587387</v>
      </c>
      <c r="E48" s="37" t="n">
        <v>0.8128296215515061</v>
      </c>
      <c r="F48" s="37" t="n">
        <v>0.8952206632466335</v>
      </c>
      <c r="G48" s="37" t="n">
        <v>0.8392365733889646</v>
      </c>
      <c r="H48" s="37" t="n">
        <v>0.4261071328001527</v>
      </c>
      <c r="I48" s="37" t="n">
        <v>0.6614333562513437</v>
      </c>
      <c r="J48" s="37" t="n">
        <v>0.7829703339412214</v>
      </c>
      <c r="K48" s="39" t="inlineStr">
        <is>
          <t>Corregible</t>
        </is>
      </c>
      <c r="L48" s="29" t="n">
        <v>10.05825160720757</v>
      </c>
      <c r="M48" s="35" t="n">
        <v>39.99877777002565</v>
      </c>
      <c r="N48" s="36" t="n">
        <v>2250.595939641261</v>
      </c>
      <c r="O48" s="29" t="n">
        <v>4.003180872230535</v>
      </c>
      <c r="P48" s="16" t="inlineStr">
        <is>
          <t>no</t>
        </is>
      </c>
      <c r="Q48" s="16" t="inlineStr">
        <is>
          <t>O2</t>
        </is>
      </c>
    </row>
    <row r="49">
      <c r="A49" s="16" t="inlineStr">
        <is>
          <t>KF-M09-R0-P_alta-0038</t>
        </is>
      </c>
      <c r="B49" s="35" t="n">
        <v>483.5963396254479</v>
      </c>
      <c r="C49" s="35" t="n">
        <v>298.9908219367367</v>
      </c>
      <c r="D49" s="35" t="n">
        <v>835.7355145133843</v>
      </c>
      <c r="E49" s="37" t="n">
        <v>0.8397158051243269</v>
      </c>
      <c r="F49" s="37" t="n">
        <v>0.7751456321500747</v>
      </c>
      <c r="G49" s="37" t="n">
        <v>0.5983891061756513</v>
      </c>
      <c r="H49" s="37" t="n">
        <v>0.7315163531547002</v>
      </c>
      <c r="I49" s="37" t="n">
        <v>0.6744786070658595</v>
      </c>
      <c r="J49" s="37" t="n">
        <v>0.4207525157198082</v>
      </c>
      <c r="K49" s="32" t="inlineStr">
        <is>
          <t>No convergió</t>
        </is>
      </c>
      <c r="L49" s="29" t="inlineStr">
        <is>
          <t>—</t>
        </is>
      </c>
      <c r="M49" s="35" t="inlineStr">
        <is>
          <t>—</t>
        </is>
      </c>
      <c r="N49" s="36" t="n">
        <v>2164.264485486616</v>
      </c>
      <c r="O49" s="29" t="n">
        <v>3.58965240545842</v>
      </c>
      <c r="P49" s="16" t="inlineStr">
        <is>
          <t>no</t>
        </is>
      </c>
      <c r="Q49" s="16" t="n"/>
    </row>
    <row r="50">
      <c r="A50" s="16" t="inlineStr">
        <is>
          <t>KF-M09-R0-P_alta-0039</t>
        </is>
      </c>
      <c r="B50" s="35" t="n">
        <v>519.2254446513787</v>
      </c>
      <c r="C50" s="35" t="n">
        <v>280.8197766285914</v>
      </c>
      <c r="D50" s="35" t="n">
        <v>1006.755202959311</v>
      </c>
      <c r="E50" s="37" t="n">
        <v>0.6349086721415717</v>
      </c>
      <c r="F50" s="37" t="n">
        <v>0.930301234344789</v>
      </c>
      <c r="G50" s="37" t="n">
        <v>0.6899862795572478</v>
      </c>
      <c r="H50" s="37" t="n">
        <v>0.6039048008126592</v>
      </c>
      <c r="I50" s="37" t="n">
        <v>0.6410865621205865</v>
      </c>
      <c r="J50" s="37" t="n">
        <v>0.6863737063498581</v>
      </c>
      <c r="K50" s="39" t="inlineStr">
        <is>
          <t>Corregible</t>
        </is>
      </c>
      <c r="L50" s="29" t="n">
        <v>8.55690018694386</v>
      </c>
      <c r="M50" s="35" t="n">
        <v>94.7019377890866</v>
      </c>
      <c r="N50" s="36" t="n">
        <v>1993.244797040689</v>
      </c>
      <c r="O50" s="29" t="n">
        <v>2.979870370852455</v>
      </c>
      <c r="P50" s="16" t="inlineStr">
        <is>
          <t>sí</t>
        </is>
      </c>
      <c r="Q50" s="16" t="inlineStr">
        <is>
          <t>O2</t>
        </is>
      </c>
    </row>
    <row r="51">
      <c r="A51" s="16" t="inlineStr">
        <is>
          <t>KF-M09-R0-P_alta-0040</t>
        </is>
      </c>
      <c r="B51" s="35" t="n">
        <v>392.8912339510018</v>
      </c>
      <c r="C51" s="35" t="n">
        <v>297.0484817854583</v>
      </c>
      <c r="D51" s="35" t="n">
        <v>375.4674434655407</v>
      </c>
      <c r="E51" s="37" t="n">
        <v>0.6187461045945203</v>
      </c>
      <c r="F51" s="37" t="n">
        <v>0.9458100984945764</v>
      </c>
      <c r="G51" s="37" t="n">
        <v>0.8618001668714739</v>
      </c>
      <c r="H51" s="37" t="n">
        <v>0.8346171796213827</v>
      </c>
      <c r="I51" s="37" t="n">
        <v>0.4003605617266463</v>
      </c>
      <c r="J51" s="37" t="n">
        <v>0.500275606797594</v>
      </c>
      <c r="K51" s="40" t="inlineStr">
        <is>
          <t>Inviable</t>
        </is>
      </c>
      <c r="L51" s="29" t="n">
        <v>-1.84475334436471</v>
      </c>
      <c r="M51" s="35" t="n">
        <v>-3.968478988864902</v>
      </c>
      <c r="N51" s="36" t="n">
        <v>2624.532556534459</v>
      </c>
      <c r="O51" s="29" t="n">
        <v>7.990040287674985</v>
      </c>
      <c r="P51" s="16" t="inlineStr">
        <is>
          <t>no</t>
        </is>
      </c>
      <c r="Q51" s="16" t="inlineStr">
        <is>
          <t>O2,O3</t>
        </is>
      </c>
    </row>
    <row r="52">
      <c r="A52" s="16" t="inlineStr">
        <is>
          <t>KF-M09-R0-P_alta-0041</t>
        </is>
      </c>
      <c r="B52" s="35" t="n">
        <v>415.19626599348</v>
      </c>
      <c r="C52" s="35" t="n">
        <v>290.2692474890564</v>
      </c>
      <c r="D52" s="35" t="n">
        <v>1081.508132910307</v>
      </c>
      <c r="E52" s="37" t="n">
        <v>0.5960261067537663</v>
      </c>
      <c r="F52" s="37" t="n">
        <v>0.6285766867059789</v>
      </c>
      <c r="G52" s="37" t="n">
        <v>0.8623350697769865</v>
      </c>
      <c r="H52" s="37" t="n">
        <v>0.8240028926632772</v>
      </c>
      <c r="I52" s="37" t="n">
        <v>0.6348109595130537</v>
      </c>
      <c r="J52" s="37" t="n">
        <v>0.4414867490600269</v>
      </c>
      <c r="K52" s="39" t="inlineStr">
        <is>
          <t>Corregible</t>
        </is>
      </c>
      <c r="L52" s="29" t="n">
        <v>1.78039722062658</v>
      </c>
      <c r="M52" s="35" t="n">
        <v>7.427074115745491</v>
      </c>
      <c r="N52" s="36" t="n">
        <v>1918.491867089693</v>
      </c>
      <c r="O52" s="29" t="n">
        <v>2.773904244184541</v>
      </c>
      <c r="P52" s="16" t="inlineStr">
        <is>
          <t>no</t>
        </is>
      </c>
      <c r="Q52" s="16" t="inlineStr">
        <is>
          <t>O2</t>
        </is>
      </c>
    </row>
    <row r="53">
      <c r="A53" s="16" t="inlineStr">
        <is>
          <t>KF-M09-R0-P_alta-0042</t>
        </is>
      </c>
      <c r="B53" s="35" t="n">
        <v>441.975246045287</v>
      </c>
      <c r="C53" s="35" t="n">
        <v>281.637749675797</v>
      </c>
      <c r="D53" s="35" t="n">
        <v>1258.690948473032</v>
      </c>
      <c r="E53" s="37" t="n">
        <v>0.587945433552879</v>
      </c>
      <c r="F53" s="37" t="n">
        <v>0.6016178058281141</v>
      </c>
      <c r="G53" s="37" t="n">
        <v>0.5006612315209705</v>
      </c>
      <c r="H53" s="37" t="n">
        <v>0.8662513655837134</v>
      </c>
      <c r="I53" s="37" t="n">
        <v>0.4296117028975123</v>
      </c>
      <c r="J53" s="37" t="n">
        <v>0.8876879549613725</v>
      </c>
      <c r="K53" s="42" t="inlineStr">
        <is>
          <t>KALINA</t>
        </is>
      </c>
      <c r="L53" s="29" t="n">
        <v>4.06675585946452</v>
      </c>
      <c r="M53" s="35" t="n">
        <v>48.1365973633674</v>
      </c>
      <c r="N53" s="36" t="n">
        <v>1741.309051526968</v>
      </c>
      <c r="O53" s="29" t="n">
        <v>2.383428595907056</v>
      </c>
      <c r="P53" s="16" t="inlineStr">
        <is>
          <t>sí</t>
        </is>
      </c>
      <c r="Q53" s="16" t="n"/>
    </row>
    <row r="54">
      <c r="A54" s="16" t="inlineStr">
        <is>
          <t>KF-M09-R0-P_alta-0043</t>
        </is>
      </c>
      <c r="B54" s="35" t="n">
        <v>504.6304505598125</v>
      </c>
      <c r="C54" s="35" t="n">
        <v>289.3344637547915</v>
      </c>
      <c r="D54" s="35" t="n">
        <v>1249.730318873912</v>
      </c>
      <c r="E54" s="37" t="n">
        <v>0.7147823812743839</v>
      </c>
      <c r="F54" s="37" t="n">
        <v>0.5296841308459603</v>
      </c>
      <c r="G54" s="37" t="n">
        <v>0.6256843149898517</v>
      </c>
      <c r="H54" s="37" t="n">
        <v>0.4829793367091522</v>
      </c>
      <c r="I54" s="37" t="n">
        <v>0.5595564302590961</v>
      </c>
      <c r="J54" s="37" t="n">
        <v>0.7146760202945918</v>
      </c>
      <c r="K54" s="39" t="inlineStr">
        <is>
          <t>Corregible</t>
        </is>
      </c>
      <c r="L54" s="29" t="n">
        <v>3.1812658208557</v>
      </c>
      <c r="M54" s="35" t="n">
        <v>27.44278642879395</v>
      </c>
      <c r="N54" s="36" t="n">
        <v>1750.269681126088</v>
      </c>
      <c r="O54" s="29" t="n">
        <v>2.400517899496265</v>
      </c>
      <c r="P54" s="16" t="inlineStr">
        <is>
          <t>no</t>
        </is>
      </c>
      <c r="Q54" s="16" t="inlineStr">
        <is>
          <t>O2</t>
        </is>
      </c>
    </row>
    <row r="55">
      <c r="A55" s="16" t="inlineStr">
        <is>
          <t>KF-M09-R0-P_alta-0044</t>
        </is>
      </c>
      <c r="B55" s="35" t="n">
        <v>401.8067300794218</v>
      </c>
      <c r="C55" s="35" t="n">
        <v>300.4261668811427</v>
      </c>
      <c r="D55" s="35" t="n">
        <v>1782.366810095572</v>
      </c>
      <c r="E55" s="37" t="n">
        <v>0.6499174679904276</v>
      </c>
      <c r="F55" s="37" t="n">
        <v>0.570484882268311</v>
      </c>
      <c r="G55" s="37" t="n">
        <v>0.8528689349614829</v>
      </c>
      <c r="H55" s="37" t="n">
        <v>0.7960651140582693</v>
      </c>
      <c r="I55" s="37" t="n">
        <v>0.892367491846071</v>
      </c>
      <c r="J55" s="37" t="n">
        <v>0.5347569037264838</v>
      </c>
      <c r="K55" s="39" t="inlineStr">
        <is>
          <t>Corregible</t>
        </is>
      </c>
      <c r="L55" s="29" t="n">
        <v>1.97002038429894</v>
      </c>
      <c r="M55" s="35" t="n">
        <v>8.379578545170698</v>
      </c>
      <c r="N55" s="36" t="n">
        <v>1217.633189904428</v>
      </c>
      <c r="O55" s="29" t="n">
        <v>1.683155219794032</v>
      </c>
      <c r="P55" s="16" t="inlineStr">
        <is>
          <t>no</t>
        </is>
      </c>
      <c r="Q55" s="16" t="inlineStr">
        <is>
          <t>O2</t>
        </is>
      </c>
    </row>
    <row r="56">
      <c r="A56" s="16" t="inlineStr">
        <is>
          <t>KF-M09-R0-P_alta-0045</t>
        </is>
      </c>
      <c r="B56" s="35" t="n">
        <v>512.2081784991755</v>
      </c>
      <c r="C56" s="35" t="n">
        <v>286.6521099243468</v>
      </c>
      <c r="D56" s="35" t="n">
        <v>1948.768661429666</v>
      </c>
      <c r="E56" s="37" t="n">
        <v>0.5151158161495015</v>
      </c>
      <c r="F56" s="37" t="n">
        <v>0.6500570226907615</v>
      </c>
      <c r="G56" s="37" t="n">
        <v>0.7027502723098555</v>
      </c>
      <c r="H56" s="37" t="n">
        <v>0.9070704526968004</v>
      </c>
      <c r="I56" s="37" t="n">
        <v>0.4237011293259625</v>
      </c>
      <c r="J56" s="37" t="n">
        <v>0.8139165948412237</v>
      </c>
      <c r="K56" s="39" t="inlineStr">
        <is>
          <t>Corregible</t>
        </is>
      </c>
      <c r="L56" s="29" t="n">
        <v>2.5845362853522</v>
      </c>
      <c r="M56" s="35" t="n">
        <v>48.40965272086471</v>
      </c>
      <c r="N56" s="36" t="n">
        <v>1051.231338570334</v>
      </c>
      <c r="O56" s="29" t="n">
        <v>1.539433622562016</v>
      </c>
      <c r="P56" s="16" t="inlineStr">
        <is>
          <t>sí</t>
        </is>
      </c>
      <c r="Q56" s="16" t="inlineStr">
        <is>
          <t>O2</t>
        </is>
      </c>
    </row>
    <row r="57">
      <c r="A57" s="16" t="inlineStr">
        <is>
          <t>KF-M09-R0-P_alta-0046</t>
        </is>
      </c>
      <c r="B57" s="35" t="n">
        <v>481.2086017456488</v>
      </c>
      <c r="C57" s="35" t="n">
        <v>292.5137468642806</v>
      </c>
      <c r="D57" s="35" t="n">
        <v>1166.416411764251</v>
      </c>
      <c r="E57" s="37" t="n">
        <v>0.8157486737580988</v>
      </c>
      <c r="F57" s="37" t="n">
        <v>0.8693780270702864</v>
      </c>
      <c r="G57" s="37" t="n">
        <v>0.795483437263915</v>
      </c>
      <c r="H57" s="37" t="n">
        <v>0.8727673140613113</v>
      </c>
      <c r="I57" s="37" t="n">
        <v>0.6187297744047456</v>
      </c>
      <c r="J57" s="37" t="n">
        <v>0.465845064976389</v>
      </c>
      <c r="K57" s="38" t="inlineStr">
        <is>
          <t>Falso convergido</t>
        </is>
      </c>
      <c r="L57" s="29" t="inlineStr">
        <is>
          <t>—</t>
        </is>
      </c>
      <c r="M57" s="35" t="inlineStr">
        <is>
          <t>—</t>
        </is>
      </c>
      <c r="N57" s="36" t="n">
        <v>1833.583588235749</v>
      </c>
      <c r="O57" s="29" t="n">
        <v>2.571980272004558</v>
      </c>
      <c r="P57" s="16" t="inlineStr">
        <is>
          <t>sí</t>
        </is>
      </c>
      <c r="Q57" s="16" t="inlineStr">
        <is>
          <t>N2,O2,O5,C1,C3,C3</t>
        </is>
      </c>
    </row>
    <row r="58">
      <c r="A58" s="16" t="inlineStr">
        <is>
          <t>KF-M09-R0-P_alta-0047</t>
        </is>
      </c>
      <c r="B58" s="35" t="n">
        <v>380.8283417440259</v>
      </c>
      <c r="C58" s="35" t="n">
        <v>295.1449244440468</v>
      </c>
      <c r="D58" s="35" t="n">
        <v>572.032658302028</v>
      </c>
      <c r="E58" s="37" t="n">
        <v>0.6658992531135814</v>
      </c>
      <c r="F58" s="37" t="n">
        <v>0.4625260401951587</v>
      </c>
      <c r="G58" s="37" t="n">
        <v>0.9250700023102998</v>
      </c>
      <c r="H58" s="37" t="n">
        <v>0.6831055843425116</v>
      </c>
      <c r="I58" s="37" t="n">
        <v>0.8027358011302039</v>
      </c>
      <c r="J58" s="37" t="n">
        <v>0.8692726824000175</v>
      </c>
      <c r="K58" s="39" t="inlineStr">
        <is>
          <t>Corregible</t>
        </is>
      </c>
      <c r="L58" s="29" t="n">
        <v>5.23648910429773</v>
      </c>
      <c r="M58" s="35" t="n">
        <v>17.47958584831227</v>
      </c>
      <c r="N58" s="36" t="n">
        <v>2427.967341697972</v>
      </c>
      <c r="O58" s="29" t="n">
        <v>5.244455812898758</v>
      </c>
      <c r="P58" s="16" t="inlineStr">
        <is>
          <t>no</t>
        </is>
      </c>
      <c r="Q58" s="16" t="inlineStr">
        <is>
          <t>O2</t>
        </is>
      </c>
    </row>
    <row r="59">
      <c r="A59" s="16" t="inlineStr">
        <is>
          <t>KF-M09-R0-P_alta-0048</t>
        </is>
      </c>
      <c r="B59" s="35" t="n">
        <v>408.7992912143595</v>
      </c>
      <c r="C59" s="35" t="n">
        <v>296.1629605794007</v>
      </c>
      <c r="D59" s="35" t="n">
        <v>1030.523209976136</v>
      </c>
      <c r="E59" s="37" t="n">
        <v>0.6289132406980547</v>
      </c>
      <c r="F59" s="37" t="n">
        <v>0.5561250577790922</v>
      </c>
      <c r="G59" s="37" t="n">
        <v>0.605398904136264</v>
      </c>
      <c r="H59" s="37" t="n">
        <v>0.6186369711304455</v>
      </c>
      <c r="I59" s="37" t="n">
        <v>0.9348726633935206</v>
      </c>
      <c r="J59" s="37" t="n">
        <v>0.8094028716427759</v>
      </c>
      <c r="K59" s="42" t="inlineStr">
        <is>
          <t>KALINA</t>
        </is>
      </c>
      <c r="L59" s="29" t="n">
        <v>5.17461170813494</v>
      </c>
      <c r="M59" s="35" t="n">
        <v>23.44044644986858</v>
      </c>
      <c r="N59" s="36" t="n">
        <v>1969.476790023864</v>
      </c>
      <c r="O59" s="29" t="n">
        <v>2.911142583648817</v>
      </c>
      <c r="P59" s="16" t="inlineStr">
        <is>
          <t>no</t>
        </is>
      </c>
      <c r="Q59" s="16" t="n"/>
    </row>
    <row r="60">
      <c r="A60" s="16" t="inlineStr">
        <is>
          <t>KF-M09-R0-P_alta-0049</t>
        </is>
      </c>
      <c r="B60" s="35" t="n">
        <v>470.2666920003288</v>
      </c>
      <c r="C60" s="35" t="n">
        <v>291.8378622332694</v>
      </c>
      <c r="D60" s="35" t="n">
        <v>1428.841370833079</v>
      </c>
      <c r="E60" s="37" t="n">
        <v>0.6152193090149478</v>
      </c>
      <c r="F60" s="37" t="n">
        <v>0.4976033326291182</v>
      </c>
      <c r="G60" s="37" t="n">
        <v>0.9073466758564986</v>
      </c>
      <c r="H60" s="37" t="n">
        <v>0.5423899597236196</v>
      </c>
      <c r="I60" s="37" t="n">
        <v>0.4134091069724371</v>
      </c>
      <c r="J60" s="37" t="n">
        <v>0.9008876992167492</v>
      </c>
      <c r="K60" s="42" t="inlineStr">
        <is>
          <t>KALINA</t>
        </is>
      </c>
      <c r="L60" s="29" t="n">
        <v>3.06270713432508</v>
      </c>
      <c r="M60" s="35" t="n">
        <v>33.47135340329437</v>
      </c>
      <c r="N60" s="36" t="n">
        <v>1571.158629166921</v>
      </c>
      <c r="O60" s="29" t="n">
        <v>2.099603259843228</v>
      </c>
      <c r="P60" s="16" t="inlineStr">
        <is>
          <t>sí</t>
        </is>
      </c>
      <c r="Q60" s="16" t="n"/>
    </row>
    <row r="61">
      <c r="A61" s="16" t="inlineStr">
        <is>
          <t>KF-M09-R0-P_alta-0050</t>
        </is>
      </c>
      <c r="B61" s="35" t="n">
        <v>410.6168740474375</v>
      </c>
      <c r="C61" s="35" t="n">
        <v>298.7102615738488</v>
      </c>
      <c r="D61" s="35" t="n">
        <v>1416.678603909753</v>
      </c>
      <c r="E61" s="37" t="n">
        <v>0.8081749404672978</v>
      </c>
      <c r="F61" s="37" t="n">
        <v>0.5873698770372027</v>
      </c>
      <c r="G61" s="37" t="n">
        <v>0.4288947866963906</v>
      </c>
      <c r="H61" s="37" t="n">
        <v>0.7532098026936529</v>
      </c>
      <c r="I61" s="37" t="n">
        <v>0.9477584117249944</v>
      </c>
      <c r="J61" s="37" t="n">
        <v>0.5761282982586431</v>
      </c>
      <c r="K61" s="40" t="inlineStr">
        <is>
          <t>Inviable</t>
        </is>
      </c>
      <c r="L61" s="29" t="n">
        <v>-3.15650987349383</v>
      </c>
      <c r="M61" s="35" t="n">
        <v>-19.05967436819088</v>
      </c>
      <c r="N61" s="36" t="n">
        <v>1583.321396090247</v>
      </c>
      <c r="O61" s="29" t="n">
        <v>2.117629215067266</v>
      </c>
      <c r="P61" s="16" t="inlineStr">
        <is>
          <t>no</t>
        </is>
      </c>
      <c r="Q61" s="16" t="inlineStr">
        <is>
          <t>O2,O3</t>
        </is>
      </c>
    </row>
    <row r="62">
      <c r="A62" s="16" t="inlineStr">
        <is>
          <t>KF-M09-R0-P_alta-0051</t>
        </is>
      </c>
      <c r="B62" s="35" t="n">
        <v>404.7788129782398</v>
      </c>
      <c r="C62" s="35" t="n">
        <v>290.3622063015936</v>
      </c>
      <c r="D62" s="35" t="n">
        <v>1092.312868622275</v>
      </c>
      <c r="E62" s="37" t="n">
        <v>0.5841104495364113</v>
      </c>
      <c r="F62" s="37" t="n">
        <v>0.634126182885705</v>
      </c>
      <c r="G62" s="37" t="n">
        <v>0.5527508725356095</v>
      </c>
      <c r="H62" s="37" t="n">
        <v>0.7220331481376394</v>
      </c>
      <c r="I62" s="37" t="n">
        <v>0.664338619448378</v>
      </c>
      <c r="J62" s="37" t="n">
        <v>0.8608063302632327</v>
      </c>
      <c r="K62" s="42" t="inlineStr">
        <is>
          <t>KALINA</t>
        </is>
      </c>
      <c r="L62" s="29" t="n">
        <v>4.12573886078955</v>
      </c>
      <c r="M62" s="35" t="n">
        <v>19.62109456237725</v>
      </c>
      <c r="N62" s="36" t="n">
        <v>1907.687131377725</v>
      </c>
      <c r="O62" s="29" t="n">
        <v>2.746465858068554</v>
      </c>
      <c r="P62" s="16" t="inlineStr">
        <is>
          <t>no</t>
        </is>
      </c>
      <c r="Q62" s="16" t="n"/>
    </row>
    <row r="63">
      <c r="A63" s="16" t="inlineStr">
        <is>
          <t>KF-M09-R0-P_alta-0052</t>
        </is>
      </c>
      <c r="B63" s="35" t="n">
        <v>499.8395481029666</v>
      </c>
      <c r="C63" s="35" t="n">
        <v>280.1860307204453</v>
      </c>
      <c r="D63" s="35" t="n">
        <v>1190.998801588401</v>
      </c>
      <c r="E63" s="37" t="n">
        <v>0.6807283159780451</v>
      </c>
      <c r="F63" s="37" t="n">
        <v>0.4087858941589326</v>
      </c>
      <c r="G63" s="37" t="n">
        <v>0.6114826117456972</v>
      </c>
      <c r="H63" s="37" t="n">
        <v>0.535504531434794</v>
      </c>
      <c r="I63" s="37" t="n">
        <v>0.78427804870211</v>
      </c>
      <c r="J63" s="37" t="n">
        <v>0.4361557211391657</v>
      </c>
      <c r="K63" s="40" t="inlineStr">
        <is>
          <t>Inviable</t>
        </is>
      </c>
      <c r="L63" s="29" t="n">
        <v>-8.983004465991289</v>
      </c>
      <c r="M63" s="35" t="n">
        <v>-58.37036189552937</v>
      </c>
      <c r="N63" s="36" t="n">
        <v>1809.001198411599</v>
      </c>
      <c r="O63" s="29" t="n">
        <v>2.518894222226745</v>
      </c>
      <c r="P63" s="16" t="inlineStr">
        <is>
          <t>sí</t>
        </is>
      </c>
      <c r="Q63" s="16" t="inlineStr">
        <is>
          <t>O2,O3</t>
        </is>
      </c>
    </row>
    <row r="64">
      <c r="A64" s="16" t="inlineStr">
        <is>
          <t>KF-M09-R0-P_alta-0053</t>
        </is>
      </c>
      <c r="B64" s="35" t="n">
        <v>459.6128567682546</v>
      </c>
      <c r="C64" s="35" t="n">
        <v>302.4119297302169</v>
      </c>
      <c r="D64" s="35" t="n">
        <v>478.3296106122788</v>
      </c>
      <c r="E64" s="37" t="n">
        <v>0.7953320446510831</v>
      </c>
      <c r="F64" s="37" t="n">
        <v>0.4709008635691386</v>
      </c>
      <c r="G64" s="37" t="n">
        <v>0.7205769374606268</v>
      </c>
      <c r="H64" s="37" t="n">
        <v>0.903677355533991</v>
      </c>
      <c r="I64" s="37" t="n">
        <v>0.8786376092627237</v>
      </c>
      <c r="J64" s="37" t="n">
        <v>0.7787206740502854</v>
      </c>
      <c r="K64" s="40" t="inlineStr">
        <is>
          <t>Inviable</t>
        </is>
      </c>
      <c r="L64" s="29" t="n">
        <v>-18.25414498340487</v>
      </c>
      <c r="M64" s="35" t="n">
        <v>-118.0767311269881</v>
      </c>
      <c r="N64" s="36" t="n">
        <v>2521.670389387721</v>
      </c>
      <c r="O64" s="29" t="n">
        <v>6.271825815173545</v>
      </c>
      <c r="P64" s="16" t="inlineStr">
        <is>
          <t>sí</t>
        </is>
      </c>
      <c r="Q64" s="16" t="inlineStr">
        <is>
          <t>O2,O3</t>
        </is>
      </c>
    </row>
    <row r="65">
      <c r="A65" s="16" t="inlineStr">
        <is>
          <t>KF-M09-R0-P_alta-0054</t>
        </is>
      </c>
      <c r="B65" s="35" t="n">
        <v>446.5580009305186</v>
      </c>
      <c r="C65" s="35" t="n">
        <v>292.365551937241</v>
      </c>
      <c r="D65" s="35" t="n">
        <v>1910.938778141979</v>
      </c>
      <c r="E65" s="37" t="n">
        <v>0.7292815078272602</v>
      </c>
      <c r="F65" s="37" t="n">
        <v>0.8023737983657899</v>
      </c>
      <c r="G65" s="37" t="n">
        <v>0.7290880070736681</v>
      </c>
      <c r="H65" s="37" t="n">
        <v>0.7685152961386041</v>
      </c>
      <c r="I65" s="37" t="n">
        <v>0.808506042979366</v>
      </c>
      <c r="J65" s="37" t="n">
        <v>0.5275454140827289</v>
      </c>
      <c r="K65" s="39" t="inlineStr">
        <is>
          <t>Corregible</t>
        </is>
      </c>
      <c r="L65" s="29" t="n">
        <v>1.95716589210497</v>
      </c>
      <c r="M65" s="35" t="n">
        <v>17.10730936886772</v>
      </c>
      <c r="N65" s="36" t="n">
        <v>1089.061221858021</v>
      </c>
      <c r="O65" s="29" t="n">
        <v>1.569909007193273</v>
      </c>
      <c r="P65" s="16" t="inlineStr">
        <is>
          <t>sí</t>
        </is>
      </c>
      <c r="Q65" s="16" t="inlineStr">
        <is>
          <t>O2</t>
        </is>
      </c>
    </row>
    <row r="66">
      <c r="A66" s="16" t="inlineStr">
        <is>
          <t>KF-M09-R0-P_alta-0055</t>
        </is>
      </c>
      <c r="B66" s="35" t="n">
        <v>407.7667500192025</v>
      </c>
      <c r="C66" s="35" t="n">
        <v>286.8780300961769</v>
      </c>
      <c r="D66" s="35" t="n">
        <v>1798.984795601752</v>
      </c>
      <c r="E66" s="37" t="n">
        <v>0.6569521128302318</v>
      </c>
      <c r="F66" s="37" t="n">
        <v>0.4571232774813645</v>
      </c>
      <c r="G66" s="37" t="n">
        <v>0.6727542062906819</v>
      </c>
      <c r="H66" s="37" t="n">
        <v>0.4641810630112123</v>
      </c>
      <c r="I66" s="37" t="n">
        <v>0.5510235810266908</v>
      </c>
      <c r="J66" s="37" t="n">
        <v>0.7071857418400606</v>
      </c>
      <c r="K66" s="42" t="inlineStr">
        <is>
          <t>KALINA</t>
        </is>
      </c>
      <c r="L66" s="29" t="n">
        <v>1.44995768483794</v>
      </c>
      <c r="M66" s="35" t="n">
        <v>5.818368601647046</v>
      </c>
      <c r="N66" s="36" t="n">
        <v>1201.015204398248</v>
      </c>
      <c r="O66" s="29" t="n">
        <v>1.667607201202895</v>
      </c>
      <c r="P66" s="16" t="inlineStr">
        <is>
          <t>no</t>
        </is>
      </c>
      <c r="Q66" s="16" t="n"/>
    </row>
    <row r="67">
      <c r="A67" s="16" t="inlineStr">
        <is>
          <t>KF-M09-R0-P_alta-0056</t>
        </is>
      </c>
      <c r="B67" s="35" t="n">
        <v>513.8069922494652</v>
      </c>
      <c r="C67" s="35" t="n">
        <v>283.1217820058687</v>
      </c>
      <c r="D67" s="35" t="n">
        <v>1287.861912073163</v>
      </c>
      <c r="E67" s="37" t="n">
        <v>0.5548240359718916</v>
      </c>
      <c r="F67" s="37" t="n">
        <v>0.7001764300500499</v>
      </c>
      <c r="G67" s="37" t="n">
        <v>0.9122446884430886</v>
      </c>
      <c r="H67" s="37" t="n">
        <v>0.4396194897175426</v>
      </c>
      <c r="I67" s="37" t="n">
        <v>0.433200959097284</v>
      </c>
      <c r="J67" s="37" t="n">
        <v>0.516777363374591</v>
      </c>
      <c r="K67" s="39" t="inlineStr">
        <is>
          <t>Corregible</t>
        </is>
      </c>
      <c r="L67" s="29" t="n">
        <v>3.706159327853769</v>
      </c>
      <c r="M67" s="35" t="n">
        <v>27.90465953259447</v>
      </c>
      <c r="N67" s="36" t="n">
        <v>1712.138087926837</v>
      </c>
      <c r="O67" s="29" t="n">
        <v>2.329442288708334</v>
      </c>
      <c r="P67" s="16" t="inlineStr">
        <is>
          <t>sí</t>
        </is>
      </c>
      <c r="Q67" s="16" t="inlineStr">
        <is>
          <t>O2</t>
        </is>
      </c>
    </row>
    <row r="68">
      <c r="A68" s="16" t="inlineStr">
        <is>
          <t>KF-M09-R0-P_alta-0057</t>
        </is>
      </c>
      <c r="B68" s="35" t="n">
        <v>475.4714631699624</v>
      </c>
      <c r="C68" s="35" t="n">
        <v>293.3603332982901</v>
      </c>
      <c r="D68" s="35" t="n">
        <v>1177.60585380992</v>
      </c>
      <c r="E68" s="37" t="n">
        <v>0.7570061162156682</v>
      </c>
      <c r="F68" s="37" t="n">
        <v>0.6858909093760477</v>
      </c>
      <c r="G68" s="37" t="n">
        <v>0.469342129265367</v>
      </c>
      <c r="H68" s="37" t="n">
        <v>0.4805730650106621</v>
      </c>
      <c r="I68" s="37" t="n">
        <v>0.5541366731936564</v>
      </c>
      <c r="J68" s="37" t="n">
        <v>0.8379577091905867</v>
      </c>
      <c r="K68" s="39" t="inlineStr">
        <is>
          <t>Corregible</t>
        </is>
      </c>
      <c r="L68" s="29" t="n">
        <v>6.038667652372251</v>
      </c>
      <c r="M68" s="35" t="n">
        <v>52.05149422370346</v>
      </c>
      <c r="N68" s="36" t="n">
        <v>1822.39414619008</v>
      </c>
      <c r="O68" s="29" t="n">
        <v>2.547541684082216</v>
      </c>
      <c r="P68" s="16" t="inlineStr">
        <is>
          <t>no</t>
        </is>
      </c>
      <c r="Q68" s="16" t="inlineStr">
        <is>
          <t>O2</t>
        </is>
      </c>
    </row>
    <row r="69">
      <c r="A69" s="16" t="inlineStr">
        <is>
          <t>KF-M09-R0-P_alta-0058</t>
        </is>
      </c>
      <c r="B69" s="35" t="n">
        <v>444.865630827098</v>
      </c>
      <c r="C69" s="35" t="n">
        <v>288.8875027359679</v>
      </c>
      <c r="D69" s="35" t="n">
        <v>1609.762366350216</v>
      </c>
      <c r="E69" s="37" t="n">
        <v>0.7180965279351152</v>
      </c>
      <c r="F69" s="37" t="n">
        <v>0.6389422536564862</v>
      </c>
      <c r="G69" s="37" t="n">
        <v>0.6500858015264481</v>
      </c>
      <c r="H69" s="37" t="n">
        <v>0.446139709159702</v>
      </c>
      <c r="I69" s="37" t="n">
        <v>0.4087348242379982</v>
      </c>
      <c r="J69" s="37" t="n">
        <v>0.6562275851301168</v>
      </c>
      <c r="K69" s="39" t="inlineStr">
        <is>
          <t>Corregible</t>
        </is>
      </c>
      <c r="L69" s="29" t="n">
        <v>3.05594161195202</v>
      </c>
      <c r="M69" s="35" t="n">
        <v>20.85038053085349</v>
      </c>
      <c r="N69" s="36" t="n">
        <v>1390.237633649784</v>
      </c>
      <c r="O69" s="29" t="n">
        <v>1.863629106202702</v>
      </c>
      <c r="P69" s="16" t="inlineStr">
        <is>
          <t>no</t>
        </is>
      </c>
      <c r="Q69" s="16" t="inlineStr">
        <is>
          <t>O2</t>
        </is>
      </c>
    </row>
    <row r="70">
      <c r="A70" s="16" t="inlineStr">
        <is>
          <t>KF-M09-R0-P_alta-0059</t>
        </is>
      </c>
      <c r="B70" s="35" t="n">
        <v>417.4739308511936</v>
      </c>
      <c r="C70" s="35" t="n">
        <v>286.2426751236092</v>
      </c>
      <c r="D70" s="35" t="n">
        <v>516.6987265068802</v>
      </c>
      <c r="E70" s="37" t="n">
        <v>0.5514824673659133</v>
      </c>
      <c r="F70" s="37" t="n">
        <v>0.8332348352454695</v>
      </c>
      <c r="G70" s="37" t="n">
        <v>0.4780804253065162</v>
      </c>
      <c r="H70" s="37" t="n">
        <v>0.6932349412688279</v>
      </c>
      <c r="I70" s="37" t="n">
        <v>0.5693714630987133</v>
      </c>
      <c r="J70" s="37" t="n">
        <v>0.6454535048026404</v>
      </c>
      <c r="K70" s="39" t="inlineStr">
        <is>
          <t>Corregible</t>
        </is>
      </c>
      <c r="L70" s="29" t="n">
        <v>8.157407185629181</v>
      </c>
      <c r="M70" s="35" t="n">
        <v>39.22789923124425</v>
      </c>
      <c r="N70" s="36" t="n">
        <v>2483.30127349312</v>
      </c>
      <c r="O70" s="29" t="n">
        <v>5.806091337366694</v>
      </c>
      <c r="P70" s="16" t="inlineStr">
        <is>
          <t>no</t>
        </is>
      </c>
      <c r="Q70" s="16" t="inlineStr">
        <is>
          <t>O2</t>
        </is>
      </c>
    </row>
    <row r="71">
      <c r="A71" s="16" t="inlineStr">
        <is>
          <t>KF-M09-R0-P_alta-0060</t>
        </is>
      </c>
      <c r="B71" s="35" t="n">
        <v>406.4912780205618</v>
      </c>
      <c r="C71" s="35" t="n">
        <v>297.52914301381</v>
      </c>
      <c r="D71" s="35" t="n">
        <v>1207.358520444027</v>
      </c>
      <c r="E71" s="37" t="n">
        <v>0.6616358859042568</v>
      </c>
      <c r="F71" s="37" t="n">
        <v>0.8904558111229268</v>
      </c>
      <c r="G71" s="37" t="n">
        <v>0.7638766188274873</v>
      </c>
      <c r="H71" s="37" t="n">
        <v>0.5985675718892947</v>
      </c>
      <c r="I71" s="37" t="n">
        <v>0.4666468992257646</v>
      </c>
      <c r="J71" s="37" t="n">
        <v>0.736867974303861</v>
      </c>
      <c r="K71" s="39" t="inlineStr">
        <is>
          <t>Corregible</t>
        </is>
      </c>
      <c r="L71" s="29" t="n">
        <v>6.89460217938887</v>
      </c>
      <c r="M71" s="35" t="n">
        <v>34.49081232983585</v>
      </c>
      <c r="N71" s="36" t="n">
        <v>1792.641479555973</v>
      </c>
      <c r="O71" s="29" t="n">
        <v>2.484763182767533</v>
      </c>
      <c r="P71" s="16" t="inlineStr">
        <is>
          <t>no</t>
        </is>
      </c>
      <c r="Q71" s="16" t="inlineStr">
        <is>
          <t>O2</t>
        </is>
      </c>
    </row>
    <row r="72">
      <c r="A72" s="16" t="inlineStr">
        <is>
          <t>KF-M09-R0-P_alta-0061</t>
        </is>
      </c>
      <c r="B72" s="35" t="n">
        <v>509.1812018679144</v>
      </c>
      <c r="C72" s="35" t="n">
        <v>284.976085344398</v>
      </c>
      <c r="D72" s="35" t="n">
        <v>1929.225042620832</v>
      </c>
      <c r="E72" s="37" t="n">
        <v>0.7500923707448428</v>
      </c>
      <c r="F72" s="37" t="n">
        <v>0.4728377156888699</v>
      </c>
      <c r="G72" s="37" t="n">
        <v>0.636137929656758</v>
      </c>
      <c r="H72" s="37" t="n">
        <v>0.7478111876014814</v>
      </c>
      <c r="I72" s="37" t="n">
        <v>0.6140204903158009</v>
      </c>
      <c r="J72" s="37" t="n">
        <v>0.5596958528764757</v>
      </c>
      <c r="K72" s="40" t="inlineStr">
        <is>
          <t>Inviable</t>
        </is>
      </c>
      <c r="L72" s="29" t="n">
        <v>-0.921734125505</v>
      </c>
      <c r="M72" s="35" t="n">
        <v>-9.139042380736008</v>
      </c>
      <c r="N72" s="36" t="n">
        <v>1070.774957379168</v>
      </c>
      <c r="O72" s="29" t="n">
        <v>1.555028539296033</v>
      </c>
      <c r="P72" s="16" t="inlineStr">
        <is>
          <t>sí</t>
        </is>
      </c>
      <c r="Q72" s="16" t="inlineStr">
        <is>
          <t>O2,O3</t>
        </is>
      </c>
    </row>
    <row r="73">
      <c r="A73" s="16" t="inlineStr">
        <is>
          <t>KF-M09-R0-P_alta-0062</t>
        </is>
      </c>
      <c r="B73" s="35" t="n">
        <v>472.4107030235399</v>
      </c>
      <c r="C73" s="35" t="n">
        <v>281.3937658421876</v>
      </c>
      <c r="D73" s="35" t="n">
        <v>1642.036477455628</v>
      </c>
      <c r="E73" s="37" t="n">
        <v>0.7681693636007016</v>
      </c>
      <c r="F73" s="37" t="n">
        <v>0.5004014110588167</v>
      </c>
      <c r="G73" s="37" t="n">
        <v>0.5621073726736386</v>
      </c>
      <c r="H73" s="37" t="n">
        <v>0.4927773189911142</v>
      </c>
      <c r="I73" s="37" t="n">
        <v>0.9233307582375267</v>
      </c>
      <c r="J73" s="37" t="n">
        <v>0.6500907339535629</v>
      </c>
      <c r="K73" s="39" t="inlineStr">
        <is>
          <t>Corregible</t>
        </is>
      </c>
      <c r="L73" s="29" t="n">
        <v>1.57178850869586</v>
      </c>
      <c r="M73" s="35" t="n">
        <v>12.08387313141434</v>
      </c>
      <c r="N73" s="36" t="n">
        <v>1357.963522544372</v>
      </c>
      <c r="O73" s="29" t="n">
        <v>1.826999607614422</v>
      </c>
      <c r="P73" s="16" t="inlineStr">
        <is>
          <t>no</t>
        </is>
      </c>
      <c r="Q73" s="16" t="inlineStr">
        <is>
          <t>O2</t>
        </is>
      </c>
    </row>
    <row r="74">
      <c r="A74" s="16" t="inlineStr">
        <is>
          <t>KF-M09-R0-P_alta-0063</t>
        </is>
      </c>
      <c r="B74" s="35" t="n">
        <v>502.7775545824757</v>
      </c>
      <c r="C74" s="35" t="n">
        <v>285.2017725167254</v>
      </c>
      <c r="D74" s="35" t="n">
        <v>1734.064689024997</v>
      </c>
      <c r="E74" s="37" t="n">
        <v>0.7822487441464996</v>
      </c>
      <c r="F74" s="37" t="n">
        <v>0.6206195440573364</v>
      </c>
      <c r="G74" s="37" t="n">
        <v>0.832496490649312</v>
      </c>
      <c r="H74" s="37" t="n">
        <v>0.6315646646781981</v>
      </c>
      <c r="I74" s="37" t="n">
        <v>0.6462447717781598</v>
      </c>
      <c r="J74" s="37" t="n">
        <v>0.7634416577242544</v>
      </c>
      <c r="K74" s="39" t="inlineStr">
        <is>
          <t>Corregible</t>
        </is>
      </c>
      <c r="L74" s="29" t="n">
        <v>3.5048211086587</v>
      </c>
      <c r="M74" s="35" t="n">
        <v>38.18422572480432</v>
      </c>
      <c r="N74" s="36" t="n">
        <v>1265.935310975003</v>
      </c>
      <c r="O74" s="29" t="n">
        <v>1.730039264963519</v>
      </c>
      <c r="P74" s="16" t="inlineStr">
        <is>
          <t>no</t>
        </is>
      </c>
      <c r="Q74" s="16" t="inlineStr">
        <is>
          <t>O2</t>
        </is>
      </c>
    </row>
    <row r="75">
      <c r="A75" s="16" t="inlineStr">
        <is>
          <t>KF-M09-R0-P_alta-0064</t>
        </is>
      </c>
      <c r="B75" s="35" t="n">
        <v>456.9039274510153</v>
      </c>
      <c r="C75" s="35" t="n">
        <v>294.664000822842</v>
      </c>
      <c r="D75" s="35" t="n">
        <v>1533.88130783315</v>
      </c>
      <c r="E75" s="37" t="n">
        <v>0.5675617061087495</v>
      </c>
      <c r="F75" s="37" t="n">
        <v>0.7714212049679945</v>
      </c>
      <c r="G75" s="37" t="n">
        <v>0.588911579876251</v>
      </c>
      <c r="H75" s="37" t="n">
        <v>0.6491522223079796</v>
      </c>
      <c r="I75" s="37" t="n">
        <v>0.8352386595305477</v>
      </c>
      <c r="J75" s="37" t="n">
        <v>0.9274429523774106</v>
      </c>
      <c r="K75" s="42" t="inlineStr">
        <is>
          <t>KALINA</t>
        </is>
      </c>
      <c r="L75" s="29" t="n">
        <v>4.46489436909319</v>
      </c>
      <c r="M75" s="35" t="n">
        <v>46.887402557222</v>
      </c>
      <c r="N75" s="36" t="n">
        <v>1466.11869216685</v>
      </c>
      <c r="O75" s="29" t="n">
        <v>1.955822777603292</v>
      </c>
      <c r="P75" s="16" t="inlineStr">
        <is>
          <t>sí</t>
        </is>
      </c>
      <c r="Q75" s="16" t="n"/>
    </row>
    <row r="76">
      <c r="A76" s="16" t="inlineStr">
        <is>
          <t>KF-M09-R0-P_alta-0065</t>
        </is>
      </c>
      <c r="B76" s="35" t="n">
        <v>388.4445322180645</v>
      </c>
      <c r="C76" s="35" t="n">
        <v>301.1704998461383</v>
      </c>
      <c r="D76" s="35" t="n">
        <v>592.4591079289827</v>
      </c>
      <c r="E76" s="37" t="n">
        <v>0.7621555152404844</v>
      </c>
      <c r="F76" s="37" t="n">
        <v>0.8142558000647655</v>
      </c>
      <c r="G76" s="37" t="n">
        <v>0.5784804159357346</v>
      </c>
      <c r="H76" s="37" t="n">
        <v>0.8920911767978423</v>
      </c>
      <c r="I76" s="37" t="n">
        <v>0.5400372648156042</v>
      </c>
      <c r="J76" s="37" t="n">
        <v>0.9373310211775008</v>
      </c>
      <c r="K76" s="40" t="inlineStr">
        <is>
          <t>Inviable</t>
        </is>
      </c>
      <c r="L76" s="29" t="n">
        <v>-9.20679631860987</v>
      </c>
      <c r="M76" s="35" t="n">
        <v>-30.82176800192822</v>
      </c>
      <c r="N76" s="36" t="n">
        <v>2407.540892071017</v>
      </c>
      <c r="O76" s="29" t="n">
        <v>5.063640612238856</v>
      </c>
      <c r="P76" s="16" t="inlineStr">
        <is>
          <t>no</t>
        </is>
      </c>
      <c r="Q76" s="16" t="inlineStr">
        <is>
          <t>O2,O3</t>
        </is>
      </c>
    </row>
    <row r="77">
      <c r="A77" s="16" t="inlineStr">
        <is>
          <t>KF-M09-R0-P_alta-0066</t>
        </is>
      </c>
      <c r="B77" s="35" t="n">
        <v>391.3670423682252</v>
      </c>
      <c r="C77" s="35" t="n">
        <v>282.0082026230891</v>
      </c>
      <c r="D77" s="35" t="n">
        <v>352.9670100833578</v>
      </c>
      <c r="E77" s="37" t="n">
        <v>0.6575091445646517</v>
      </c>
      <c r="F77" s="37" t="n">
        <v>0.8227862125160643</v>
      </c>
      <c r="G77" s="37" t="n">
        <v>0.4766401644437942</v>
      </c>
      <c r="H77" s="37" t="n">
        <v>0.8139276048406094</v>
      </c>
      <c r="I77" s="37" t="n">
        <v>0.9013109424497976</v>
      </c>
      <c r="J77" s="37" t="n">
        <v>0.6654690045540002</v>
      </c>
      <c r="K77" s="39" t="inlineStr">
        <is>
          <t>Corregible</t>
        </is>
      </c>
      <c r="L77" s="29" t="n">
        <v>9.84247046373531</v>
      </c>
      <c r="M77" s="35" t="n">
        <v>43.94842949942995</v>
      </c>
      <c r="N77" s="36" t="n">
        <v>2647.032989916642</v>
      </c>
      <c r="O77" s="29" t="n">
        <v>8.499377886028245</v>
      </c>
      <c r="P77" s="16" t="inlineStr">
        <is>
          <t>no</t>
        </is>
      </c>
      <c r="Q77" s="16" t="inlineStr">
        <is>
          <t>O2</t>
        </is>
      </c>
    </row>
    <row r="78">
      <c r="A78" s="16" t="inlineStr">
        <is>
          <t>KF-M09-R0-P_alta-0067</t>
        </is>
      </c>
      <c r="B78" s="35" t="n">
        <v>466.0846911558333</v>
      </c>
      <c r="C78" s="35" t="n">
        <v>278.8794063062427</v>
      </c>
      <c r="D78" s="35" t="n">
        <v>1827.003218437072</v>
      </c>
      <c r="E78" s="37" t="n">
        <v>0.5663747619471395</v>
      </c>
      <c r="F78" s="37" t="n">
        <v>0.5144340235705508</v>
      </c>
      <c r="G78" s="37" t="n">
        <v>0.6149024470548893</v>
      </c>
      <c r="H78" s="37" t="n">
        <v>0.613871144000889</v>
      </c>
      <c r="I78" s="37" t="n">
        <v>0.621564281354944</v>
      </c>
      <c r="J78" s="37" t="n">
        <v>0.9451658863536048</v>
      </c>
      <c r="K78" s="42" t="inlineStr">
        <is>
          <t>KALINA</t>
        </is>
      </c>
      <c r="L78" s="29" t="n">
        <v>1.95751783929127</v>
      </c>
      <c r="M78" s="35" t="n">
        <v>25.13194035692005</v>
      </c>
      <c r="N78" s="36" t="n">
        <v>1172.996781562928</v>
      </c>
      <c r="O78" s="29" t="n">
        <v>1.642033232194511</v>
      </c>
      <c r="P78" s="16" t="inlineStr">
        <is>
          <t>sí</t>
        </is>
      </c>
      <c r="Q78" s="16" t="n"/>
    </row>
    <row r="79">
      <c r="A79" s="16" t="inlineStr">
        <is>
          <t>KF-M09-R0-P_alta-0068</t>
        </is>
      </c>
      <c r="B79" s="35" t="n">
        <v>451.8993168234729</v>
      </c>
      <c r="C79" s="35" t="n">
        <v>280.5290181548478</v>
      </c>
      <c r="D79" s="35" t="n">
        <v>808.6670641300472</v>
      </c>
      <c r="E79" s="37" t="n">
        <v>0.7530181850501871</v>
      </c>
      <c r="F79" s="37" t="n">
        <v>0.5233697162668204</v>
      </c>
      <c r="G79" s="37" t="n">
        <v>0.7158756552999136</v>
      </c>
      <c r="H79" s="37" t="n">
        <v>0.7108671414294039</v>
      </c>
      <c r="I79" s="37" t="n">
        <v>0.6917934504008335</v>
      </c>
      <c r="J79" s="37" t="n">
        <v>0.928665065521196</v>
      </c>
      <c r="K79" s="42" t="inlineStr">
        <is>
          <t>KALINA</t>
        </is>
      </c>
      <c r="L79" s="29" t="n">
        <v>6.31292400868158</v>
      </c>
      <c r="M79" s="35" t="n">
        <v>82.43496971579569</v>
      </c>
      <c r="N79" s="36" t="n">
        <v>2191.332935869953</v>
      </c>
      <c r="O79" s="29" t="n">
        <v>3.709808564081138</v>
      </c>
      <c r="P79" s="16" t="inlineStr">
        <is>
          <t>no</t>
        </is>
      </c>
      <c r="Q79" s="16" t="n"/>
    </row>
    <row r="80">
      <c r="A80" s="16" t="inlineStr">
        <is>
          <t>KF-M09-R0-P_alta-0069</t>
        </is>
      </c>
      <c r="B80" s="35" t="n">
        <v>428.4609097364745</v>
      </c>
      <c r="C80" s="35" t="n">
        <v>297.2328547431524</v>
      </c>
      <c r="D80" s="35" t="n">
        <v>1113.435898165091</v>
      </c>
      <c r="E80" s="37" t="n">
        <v>0.7893725616728846</v>
      </c>
      <c r="F80" s="37" t="n">
        <v>0.8646403261354703</v>
      </c>
      <c r="G80" s="37" t="n">
        <v>0.4617043611240922</v>
      </c>
      <c r="H80" s="37" t="n">
        <v>0.8317402394774277</v>
      </c>
      <c r="I80" s="37" t="n">
        <v>0.8278661063137136</v>
      </c>
      <c r="J80" s="37" t="n">
        <v>0.8524355215333386</v>
      </c>
      <c r="K80" s="39" t="inlineStr">
        <is>
          <t>Corregible</t>
        </is>
      </c>
      <c r="L80" s="29" t="n">
        <v>8.50620143778608</v>
      </c>
      <c r="M80" s="35" t="n">
        <v>97.6808280694577</v>
      </c>
      <c r="N80" s="36" t="n">
        <v>1886.564101834909</v>
      </c>
      <c r="O80" s="29" t="n">
        <v>2.694362562715923</v>
      </c>
      <c r="P80" s="16" t="inlineStr">
        <is>
          <t>no</t>
        </is>
      </c>
      <c r="Q80" s="16" t="inlineStr">
        <is>
          <t>O2</t>
        </is>
      </c>
    </row>
    <row r="81">
      <c r="A81" s="16" t="inlineStr">
        <is>
          <t>KF-M09-R0-P_alta-0070</t>
        </is>
      </c>
      <c r="B81" s="35" t="n">
        <v>503.4455202178239</v>
      </c>
      <c r="C81" s="35" t="n">
        <v>289.6720125093207</v>
      </c>
      <c r="D81" s="35" t="n">
        <v>302.7128976840879</v>
      </c>
      <c r="E81" s="37" t="n">
        <v>0.7726971523874808</v>
      </c>
      <c r="F81" s="37" t="n">
        <v>0.6898980124819433</v>
      </c>
      <c r="G81" s="37" t="n">
        <v>0.483876219575277</v>
      </c>
      <c r="H81" s="37" t="n">
        <v>0.5966061509272282</v>
      </c>
      <c r="I81" s="37" t="n">
        <v>0.8432655603302812</v>
      </c>
      <c r="J81" s="37" t="n">
        <v>0.6247897434858548</v>
      </c>
      <c r="K81" s="32" t="inlineStr">
        <is>
          <t>No convergió</t>
        </is>
      </c>
      <c r="L81" s="29" t="inlineStr">
        <is>
          <t>—</t>
        </is>
      </c>
      <c r="M81" s="35" t="inlineStr">
        <is>
          <t>—</t>
        </is>
      </c>
      <c r="N81" s="36" t="n">
        <v>2697.287102315912</v>
      </c>
      <c r="O81" s="29" t="n">
        <v>9.910380505593157</v>
      </c>
      <c r="P81" s="16" t="inlineStr">
        <is>
          <t>no</t>
        </is>
      </c>
      <c r="Q81" s="16" t="n"/>
    </row>
    <row r="82">
      <c r="A82" s="16" t="inlineStr">
        <is>
          <t>KF-M09-R0-P_alta-0071</t>
        </is>
      </c>
      <c r="B82" s="35" t="n">
        <v>435.686517731558</v>
      </c>
      <c r="C82" s="35" t="n">
        <v>299.6972360726903</v>
      </c>
      <c r="D82" s="35" t="n">
        <v>1604.740661641766</v>
      </c>
      <c r="E82" s="37" t="n">
        <v>0.5782333624068989</v>
      </c>
      <c r="F82" s="37" t="n">
        <v>0.7365346590895695</v>
      </c>
      <c r="G82" s="37" t="n">
        <v>0.5815271631921701</v>
      </c>
      <c r="H82" s="37" t="n">
        <v>0.5041474523525635</v>
      </c>
      <c r="I82" s="37" t="n">
        <v>0.757100239800678</v>
      </c>
      <c r="J82" s="37" t="n">
        <v>0.8233830158782669</v>
      </c>
      <c r="K82" s="42" t="inlineStr">
        <is>
          <t>KALINA</t>
        </is>
      </c>
      <c r="L82" s="29" t="n">
        <v>3.80101412239432</v>
      </c>
      <c r="M82" s="35" t="n">
        <v>20.48706136153293</v>
      </c>
      <c r="N82" s="36" t="n">
        <v>1395.259338358234</v>
      </c>
      <c r="O82" s="29" t="n">
        <v>1.869460948868076</v>
      </c>
      <c r="P82" s="16" t="inlineStr">
        <is>
          <t>no</t>
        </is>
      </c>
      <c r="Q82" s="16" t="n"/>
    </row>
    <row r="83">
      <c r="A83" s="16" t="inlineStr">
        <is>
          <t>KF-M09-R0-P_alta-0072</t>
        </is>
      </c>
      <c r="B83" s="35" t="n">
        <v>411.6179874421903</v>
      </c>
      <c r="C83" s="35" t="n">
        <v>279.2655094402799</v>
      </c>
      <c r="D83" s="35" t="n">
        <v>1745.552887815286</v>
      </c>
      <c r="E83" s="37" t="n">
        <v>0.61969515700013</v>
      </c>
      <c r="F83" s="37" t="n">
        <v>0.88685599909163</v>
      </c>
      <c r="G83" s="37" t="n">
        <v>0.7861282330049112</v>
      </c>
      <c r="H83" s="37" t="n">
        <v>0.9332172956334932</v>
      </c>
      <c r="I83" s="37" t="n">
        <v>0.887965659490159</v>
      </c>
      <c r="J83" s="37" t="n">
        <v>0.4962320282191946</v>
      </c>
      <c r="K83" s="39" t="inlineStr">
        <is>
          <t>Corregible</t>
        </is>
      </c>
      <c r="L83" s="29" t="n">
        <v>4.37603097021325</v>
      </c>
      <c r="M83" s="35" t="n">
        <v>22.61392899715648</v>
      </c>
      <c r="N83" s="36" t="n">
        <v>1254.447112184714</v>
      </c>
      <c r="O83" s="29" t="n">
        <v>1.718653167681884</v>
      </c>
      <c r="P83" s="16" t="inlineStr">
        <is>
          <t>no</t>
        </is>
      </c>
      <c r="Q83" s="16" t="inlineStr">
        <is>
          <t>O2</t>
        </is>
      </c>
    </row>
    <row r="84">
      <c r="A84" s="16" t="inlineStr">
        <is>
          <t>KF-M09-R0-P_alta-0073</t>
        </is>
      </c>
      <c r="B84" s="35" t="n">
        <v>497.9605335833927</v>
      </c>
      <c r="C84" s="35" t="n">
        <v>297.8184708170457</v>
      </c>
      <c r="D84" s="35" t="n">
        <v>913.062285544219</v>
      </c>
      <c r="E84" s="37" t="n">
        <v>0.6246662628272139</v>
      </c>
      <c r="F84" s="37" t="n">
        <v>0.7613283964473164</v>
      </c>
      <c r="G84" s="37" t="n">
        <v>0.895748844997945</v>
      </c>
      <c r="H84" s="37" t="n">
        <v>0.76299028006043</v>
      </c>
      <c r="I84" s="37" t="n">
        <v>0.7632785572680654</v>
      </c>
      <c r="J84" s="37" t="n">
        <v>0.4662943474785403</v>
      </c>
      <c r="K84" s="39" t="inlineStr">
        <is>
          <t>Corregible</t>
        </is>
      </c>
      <c r="L84" s="29" t="n">
        <v>4.31947722468436</v>
      </c>
      <c r="M84" s="35" t="n">
        <v>38.46051047702801</v>
      </c>
      <c r="N84" s="36" t="n">
        <v>2086.937714455781</v>
      </c>
      <c r="O84" s="29" t="n">
        <v>3.285646606476456</v>
      </c>
      <c r="P84" s="16" t="inlineStr">
        <is>
          <t>sí</t>
        </is>
      </c>
      <c r="Q84" s="16" t="inlineStr">
        <is>
          <t>O2</t>
        </is>
      </c>
    </row>
    <row r="85">
      <c r="A85" s="16" t="inlineStr">
        <is>
          <t>KF-M09-R0-P_alta-0074</t>
        </is>
      </c>
      <c r="B85" s="35" t="n">
        <v>382.2782688285234</v>
      </c>
      <c r="C85" s="35" t="n">
        <v>282.2409101512029</v>
      </c>
      <c r="D85" s="35" t="n">
        <v>1996.125013530389</v>
      </c>
      <c r="E85" s="37" t="n">
        <v>0.7124642616279941</v>
      </c>
      <c r="F85" s="37" t="n">
        <v>0.7222677845559635</v>
      </c>
      <c r="G85" s="37" t="n">
        <v>0.8019770257949377</v>
      </c>
      <c r="H85" s="37" t="n">
        <v>0.5266611279330284</v>
      </c>
      <c r="I85" s="37" t="n">
        <v>0.7910882288848231</v>
      </c>
      <c r="J85" s="37" t="n">
        <v>0.5864939498926719</v>
      </c>
      <c r="K85" s="42" t="inlineStr">
        <is>
          <t>KALINA</t>
        </is>
      </c>
      <c r="L85" s="29" t="n">
        <v>2.6110739461809</v>
      </c>
      <c r="M85" s="35" t="n">
        <v>8.197879807499529</v>
      </c>
      <c r="N85" s="36" t="n">
        <v>1003.874986469611</v>
      </c>
      <c r="O85" s="29" t="n">
        <v>1.502911881603115</v>
      </c>
      <c r="P85" s="16" t="inlineStr">
        <is>
          <t>no</t>
        </is>
      </c>
      <c r="Q85" s="16" t="n"/>
    </row>
    <row r="86">
      <c r="A86" s="16" t="inlineStr">
        <is>
          <t>KF-M09-R0-P_alta-0075</t>
        </is>
      </c>
      <c r="B86" s="35" t="n">
        <v>431.0170964750289</v>
      </c>
      <c r="C86" s="35" t="n">
        <v>301.3485208734762</v>
      </c>
      <c r="D86" s="35" t="n">
        <v>734.9604658067892</v>
      </c>
      <c r="E86" s="37" t="n">
        <v>0.5188229956529101</v>
      </c>
      <c r="F86" s="37" t="n">
        <v>0.7120028293791223</v>
      </c>
      <c r="G86" s="37" t="n">
        <v>0.8851243492221554</v>
      </c>
      <c r="H86" s="37" t="n">
        <v>0.9407608121148004</v>
      </c>
      <c r="I86" s="37" t="n">
        <v>0.6781088967124711</v>
      </c>
      <c r="J86" s="37" t="n">
        <v>0.9094347308379742</v>
      </c>
      <c r="K86" s="42" t="inlineStr">
        <is>
          <t>KALINA</t>
        </is>
      </c>
      <c r="L86" s="29" t="n">
        <v>7.86790863775481</v>
      </c>
      <c r="M86" s="35" t="n">
        <v>64.45809499965381</v>
      </c>
      <c r="N86" s="36" t="n">
        <v>2265.039534193211</v>
      </c>
      <c r="O86" s="29" t="n">
        <v>4.081852207801144</v>
      </c>
      <c r="P86" s="16" t="inlineStr">
        <is>
          <t>sí</t>
        </is>
      </c>
      <c r="Q86" s="16" t="n"/>
    </row>
    <row r="87">
      <c r="A87" s="16" t="inlineStr">
        <is>
          <t>KF-M09-R0-P_alta-0076</t>
        </is>
      </c>
      <c r="B87" s="35" t="n">
        <v>457.6375423021771</v>
      </c>
      <c r="C87" s="35" t="n">
        <v>285.4372784635027</v>
      </c>
      <c r="D87" s="35" t="n">
        <v>425.2422184044962</v>
      </c>
      <c r="E87" s="37" t="n">
        <v>0.7656080518721055</v>
      </c>
      <c r="F87" s="37" t="n">
        <v>0.4255982997051346</v>
      </c>
      <c r="G87" s="37" t="n">
        <v>0.5551602839916433</v>
      </c>
      <c r="H87" s="37" t="n">
        <v>0.4358685810795547</v>
      </c>
      <c r="I87" s="37" t="n">
        <v>0.4194938889795191</v>
      </c>
      <c r="J87" s="37" t="n">
        <v>0.4254058025359936</v>
      </c>
      <c r="K87" s="40" t="inlineStr">
        <is>
          <t>Inviable</t>
        </is>
      </c>
      <c r="L87" s="29" t="n">
        <v>-92.55414623758888</v>
      </c>
      <c r="M87" s="35" t="n">
        <v>-251.0148098248711</v>
      </c>
      <c r="N87" s="36" t="n">
        <v>2574.757781595504</v>
      </c>
      <c r="O87" s="29" t="n">
        <v>7.054802816277191</v>
      </c>
      <c r="P87" s="16" t="inlineStr">
        <is>
          <t>sí</t>
        </is>
      </c>
      <c r="Q87" s="16" t="inlineStr">
        <is>
          <t>O2,O3</t>
        </is>
      </c>
    </row>
    <row r="88">
      <c r="A88" s="16" t="inlineStr">
        <is>
          <t>KF-M09-R0-P_alta-0077</t>
        </is>
      </c>
      <c r="B88" s="35" t="n">
        <v>447.9106399515287</v>
      </c>
      <c r="C88" s="35" t="n">
        <v>287.2909527175991</v>
      </c>
      <c r="D88" s="35" t="n">
        <v>417.1743379976031</v>
      </c>
      <c r="E88" s="37" t="n">
        <v>0.8222674976339192</v>
      </c>
      <c r="F88" s="37" t="n">
        <v>0.9231862837793072</v>
      </c>
      <c r="G88" s="37" t="n">
        <v>0.8506281103273825</v>
      </c>
      <c r="H88" s="37" t="n">
        <v>0.4966366718208655</v>
      </c>
      <c r="I88" s="37" t="n">
        <v>0.5952298959567527</v>
      </c>
      <c r="J88" s="37" t="n">
        <v>0.4543017769482241</v>
      </c>
      <c r="K88" s="32" t="inlineStr">
        <is>
          <t>No convergió</t>
        </is>
      </c>
      <c r="L88" s="29" t="inlineStr">
        <is>
          <t>—</t>
        </is>
      </c>
      <c r="M88" s="35" t="inlineStr">
        <is>
          <t>—</t>
        </is>
      </c>
      <c r="N88" s="36" t="n">
        <v>2582.825662002397</v>
      </c>
      <c r="O88" s="29" t="n">
        <v>7.191238114980209</v>
      </c>
      <c r="P88" s="16" t="inlineStr">
        <is>
          <t>no</t>
        </is>
      </c>
      <c r="Q88" s="16" t="n"/>
    </row>
    <row r="89">
      <c r="A89" s="16" t="inlineStr">
        <is>
          <t>KF-M09-R0-P_alta-0078</t>
        </is>
      </c>
      <c r="B89" s="35" t="n">
        <v>463.7434569189272</v>
      </c>
      <c r="C89" s="35" t="n">
        <v>292.7705991344142</v>
      </c>
      <c r="D89" s="35" t="n">
        <v>1450.84996318791</v>
      </c>
      <c r="E89" s="37" t="n">
        <v>0.5606043832385703</v>
      </c>
      <c r="F89" s="37" t="n">
        <v>0.5634336308626093</v>
      </c>
      <c r="G89" s="37" t="n">
        <v>0.4182349594936082</v>
      </c>
      <c r="H89" s="37" t="n">
        <v>0.6760875399205647</v>
      </c>
      <c r="I89" s="37" t="n">
        <v>0.9302106126031155</v>
      </c>
      <c r="J89" s="37" t="n">
        <v>0.7325504820530289</v>
      </c>
      <c r="K89" s="39" t="inlineStr">
        <is>
          <t>Corregible</t>
        </is>
      </c>
      <c r="L89" s="29" t="n">
        <v>2.67860320555842</v>
      </c>
      <c r="M89" s="35" t="n">
        <v>29.84862358861615</v>
      </c>
      <c r="N89" s="36" t="n">
        <v>1549.15003681209</v>
      </c>
      <c r="O89" s="29" t="n">
        <v>2.067753438410812</v>
      </c>
      <c r="P89" s="16" t="inlineStr">
        <is>
          <t>sí</t>
        </is>
      </c>
      <c r="Q89" s="16" t="inlineStr">
        <is>
          <t>O2</t>
        </is>
      </c>
    </row>
    <row r="90">
      <c r="A90" s="16" t="inlineStr">
        <is>
          <t>KF-M09-R0-P_alta-0079</t>
        </is>
      </c>
      <c r="B90" s="35" t="n">
        <v>419.0908816268112</v>
      </c>
      <c r="C90" s="35" t="n">
        <v>295.2271566601246</v>
      </c>
      <c r="D90" s="35" t="n">
        <v>930.3616644320319</v>
      </c>
      <c r="E90" s="37" t="n">
        <v>0.7089054624123905</v>
      </c>
      <c r="F90" s="37" t="n">
        <v>0.4835117881726941</v>
      </c>
      <c r="G90" s="37" t="n">
        <v>0.6770755912722999</v>
      </c>
      <c r="H90" s="37" t="n">
        <v>0.7060104661197846</v>
      </c>
      <c r="I90" s="37" t="n">
        <v>0.525601391419303</v>
      </c>
      <c r="J90" s="37" t="n">
        <v>0.5673372625123932</v>
      </c>
      <c r="K90" s="40" t="inlineStr">
        <is>
          <t>Inviable</t>
        </is>
      </c>
      <c r="L90" s="29" t="n">
        <v>-1.36706017269081</v>
      </c>
      <c r="M90" s="35" t="n">
        <v>-7.849607192803894</v>
      </c>
      <c r="N90" s="36" t="n">
        <v>2069.638335567968</v>
      </c>
      <c r="O90" s="29" t="n">
        <v>3.224552466735012</v>
      </c>
      <c r="P90" s="16" t="inlineStr">
        <is>
          <t>no</t>
        </is>
      </c>
      <c r="Q90" s="16" t="inlineStr">
        <is>
          <t>O2,O3</t>
        </is>
      </c>
    </row>
    <row r="91">
      <c r="A91" s="16" t="inlineStr">
        <is>
          <t>KF-M09-R0-P_alta-0080</t>
        </is>
      </c>
      <c r="B91" s="35" t="n">
        <v>437.9799830441789</v>
      </c>
      <c r="C91" s="35" t="n">
        <v>291.4061203689588</v>
      </c>
      <c r="D91" s="35" t="n">
        <v>1570.295423895149</v>
      </c>
      <c r="E91" s="37" t="n">
        <v>0.6950857110346486</v>
      </c>
      <c r="F91" s="37" t="n">
        <v>0.4493399186588942</v>
      </c>
      <c r="G91" s="37" t="n">
        <v>0.6959349174881381</v>
      </c>
      <c r="H91" s="37" t="n">
        <v>0.7636029346298177</v>
      </c>
      <c r="I91" s="37" t="n">
        <v>0.504057734146855</v>
      </c>
      <c r="J91" s="37" t="n">
        <v>0.4015968526330312</v>
      </c>
      <c r="K91" s="40" t="inlineStr">
        <is>
          <t>Inviable</t>
        </is>
      </c>
      <c r="L91" s="29" t="n">
        <v>-5.546027039624081</v>
      </c>
      <c r="M91" s="35" t="n">
        <v>-30.88382414008836</v>
      </c>
      <c r="N91" s="36" t="n">
        <v>1429.704576104851</v>
      </c>
      <c r="O91" s="29" t="n">
        <v>1.910468536269717</v>
      </c>
      <c r="P91" s="16" t="inlineStr">
        <is>
          <t>sí</t>
        </is>
      </c>
      <c r="Q91" s="16" t="inlineStr">
        <is>
          <t>O2,O3</t>
        </is>
      </c>
    </row>
    <row r="92">
      <c r="A92" s="16" t="inlineStr">
        <is>
          <t>KF-M09-R0-P_alta-0081</t>
        </is>
      </c>
      <c r="B92" s="35" t="n">
        <v>453.6559663386892</v>
      </c>
      <c r="C92" s="35" t="n">
        <v>302.7030237139577</v>
      </c>
      <c r="D92" s="35" t="n">
        <v>571.3266652407717</v>
      </c>
      <c r="E92" s="37" t="n">
        <v>0.8473150217400045</v>
      </c>
      <c r="F92" s="37" t="n">
        <v>0.73027889422976</v>
      </c>
      <c r="G92" s="37" t="n">
        <v>0.4365236002183267</v>
      </c>
      <c r="H92" s="37" t="n">
        <v>0.8537365781674746</v>
      </c>
      <c r="I92" s="37" t="n">
        <v>0.7443862405101829</v>
      </c>
      <c r="J92" s="37" t="n">
        <v>0.4138443638629713</v>
      </c>
      <c r="K92" s="32" t="inlineStr">
        <is>
          <t>No convergió</t>
        </is>
      </c>
      <c r="L92" s="29" t="inlineStr">
        <is>
          <t>—</t>
        </is>
      </c>
      <c r="M92" s="35" t="inlineStr">
        <is>
          <t>—</t>
        </is>
      </c>
      <c r="N92" s="36" t="n">
        <v>2428.673334759228</v>
      </c>
      <c r="O92" s="29" t="n">
        <v>5.250936430099448</v>
      </c>
      <c r="P92" s="16" t="inlineStr">
        <is>
          <t>no</t>
        </is>
      </c>
      <c r="Q92" s="16" t="n"/>
    </row>
    <row r="93">
      <c r="A93" s="16" t="inlineStr">
        <is>
          <t>KF-M09-R0-P_alta-0082</t>
        </is>
      </c>
      <c r="B93" s="35" t="n">
        <v>437.0069427831788</v>
      </c>
      <c r="C93" s="35" t="n">
        <v>280.007492842453</v>
      </c>
      <c r="D93" s="35" t="n">
        <v>911.5330932478632</v>
      </c>
      <c r="E93" s="37" t="n">
        <v>0.672328566079394</v>
      </c>
      <c r="F93" s="37" t="n">
        <v>0.6086997276830475</v>
      </c>
      <c r="G93" s="37" t="n">
        <v>0.574610645666336</v>
      </c>
      <c r="H93" s="37" t="n">
        <v>0.8849741385370717</v>
      </c>
      <c r="I93" s="37" t="n">
        <v>0.7104952710350836</v>
      </c>
      <c r="J93" s="37" t="n">
        <v>0.6119266996081929</v>
      </c>
      <c r="K93" s="39" t="inlineStr">
        <is>
          <t>Corregible</t>
        </is>
      </c>
      <c r="L93" s="29" t="n">
        <v>1.75155342265862</v>
      </c>
      <c r="M93" s="35" t="n">
        <v>15.53098590820885</v>
      </c>
      <c r="N93" s="36" t="n">
        <v>2088.466906752137</v>
      </c>
      <c r="O93" s="29" t="n">
        <v>3.291158623008153</v>
      </c>
      <c r="P93" s="16" t="inlineStr">
        <is>
          <t>sí</t>
        </is>
      </c>
      <c r="Q93" s="16" t="inlineStr">
        <is>
          <t>O2</t>
        </is>
      </c>
    </row>
    <row r="94">
      <c r="A94" s="16" t="inlineStr">
        <is>
          <t>KF-M09-R0-P_alta-0083</t>
        </is>
      </c>
      <c r="B94" s="35" t="n">
        <v>478.2193037659636</v>
      </c>
      <c r="C94" s="35" t="n">
        <v>284.567022380979</v>
      </c>
      <c r="D94" s="35" t="n">
        <v>1585.856122892919</v>
      </c>
      <c r="E94" s="37" t="n">
        <v>0.6086275060238273</v>
      </c>
      <c r="F94" s="37" t="n">
        <v>0.7839609685700037</v>
      </c>
      <c r="G94" s="37" t="n">
        <v>0.6560165518850027</v>
      </c>
      <c r="H94" s="37" t="n">
        <v>0.7260073624127475</v>
      </c>
      <c r="I94" s="37" t="n">
        <v>0.5886179584266393</v>
      </c>
      <c r="J94" s="37" t="n">
        <v>0.7614500989556756</v>
      </c>
      <c r="K94" s="39" t="inlineStr">
        <is>
          <t>Corregible</t>
        </is>
      </c>
      <c r="L94" s="29" t="n">
        <v>4.53962584461187</v>
      </c>
      <c r="M94" s="35" t="n">
        <v>60.46782252861506</v>
      </c>
      <c r="N94" s="36" t="n">
        <v>1414.143877107081</v>
      </c>
      <c r="O94" s="29" t="n">
        <v>1.891722683220089</v>
      </c>
      <c r="P94" s="16" t="inlineStr">
        <is>
          <t>sí</t>
        </is>
      </c>
      <c r="Q94" s="16" t="inlineStr">
        <is>
          <t>O2</t>
        </is>
      </c>
    </row>
    <row r="95">
      <c r="A95" s="16" t="inlineStr">
        <is>
          <t>KF-M09-R0-P_alta-0084</t>
        </is>
      </c>
      <c r="B95" s="35" t="n">
        <v>383.2534360903644</v>
      </c>
      <c r="C95" s="35" t="n">
        <v>300.0563476924409</v>
      </c>
      <c r="D95" s="35" t="n">
        <v>530.2266785338497</v>
      </c>
      <c r="E95" s="37" t="n">
        <v>0.7222482241666988</v>
      </c>
      <c r="F95" s="37" t="n">
        <v>0.7999917794273793</v>
      </c>
      <c r="G95" s="37" t="n">
        <v>0.7121031052022782</v>
      </c>
      <c r="H95" s="37" t="n">
        <v>0.4158616671980477</v>
      </c>
      <c r="I95" s="37" t="n">
        <v>0.6275095388620057</v>
      </c>
      <c r="J95" s="37" t="n">
        <v>0.4080220298234772</v>
      </c>
      <c r="K95" s="40" t="inlineStr">
        <is>
          <t>Inviable</t>
        </is>
      </c>
      <c r="L95" s="29" t="n">
        <v>-92.66641455316346</v>
      </c>
      <c r="M95" s="35" t="n">
        <v>-62.17041709699785</v>
      </c>
      <c r="N95" s="36" t="n">
        <v>2469.77332146615</v>
      </c>
      <c r="O95" s="29" t="n">
        <v>5.657957476405027</v>
      </c>
      <c r="P95" s="16" t="inlineStr">
        <is>
          <t>no</t>
        </is>
      </c>
      <c r="Q95" s="16" t="inlineStr">
        <is>
          <t>O2,O3</t>
        </is>
      </c>
    </row>
    <row r="96">
      <c r="A96" s="16" t="inlineStr">
        <is>
          <t>KF-M09-R0-P_alta-0085</t>
        </is>
      </c>
      <c r="B96" s="35" t="n">
        <v>397.785610999577</v>
      </c>
      <c r="C96" s="35" t="n">
        <v>293.6665049337105</v>
      </c>
      <c r="D96" s="35" t="n">
        <v>1491.847296799245</v>
      </c>
      <c r="E96" s="37" t="n">
        <v>0.8308054665552647</v>
      </c>
      <c r="F96" s="37" t="n">
        <v>0.7184341564887473</v>
      </c>
      <c r="G96" s="37" t="n">
        <v>0.4460582144443424</v>
      </c>
      <c r="H96" s="37" t="n">
        <v>0.5709497679102237</v>
      </c>
      <c r="I96" s="37" t="n">
        <v>0.8291158878946449</v>
      </c>
      <c r="J96" s="37" t="n">
        <v>0.5899605431699523</v>
      </c>
      <c r="K96" s="39" t="inlineStr">
        <is>
          <t>Corregible</t>
        </is>
      </c>
      <c r="L96" s="29" t="n">
        <v>0.91669117378378</v>
      </c>
      <c r="M96" s="35" t="n">
        <v>4.58398644922714</v>
      </c>
      <c r="N96" s="36" t="n">
        <v>1508.152703200755</v>
      </c>
      <c r="O96" s="29" t="n">
        <v>2.010929675199663</v>
      </c>
      <c r="P96" s="16" t="inlineStr">
        <is>
          <t>no</t>
        </is>
      </c>
      <c r="Q96" s="16" t="inlineStr">
        <is>
          <t>O2</t>
        </is>
      </c>
    </row>
    <row r="97">
      <c r="A97" s="16" t="inlineStr">
        <is>
          <t>KF-M09-R0-P_alta-0086</t>
        </is>
      </c>
      <c r="B97" s="35" t="n">
        <v>468.8860075902202</v>
      </c>
      <c r="C97" s="35" t="n">
        <v>286.2911192589536</v>
      </c>
      <c r="D97" s="35" t="n">
        <v>784.8172996930143</v>
      </c>
      <c r="E97" s="37" t="n">
        <v>0.7413807515443528</v>
      </c>
      <c r="F97" s="37" t="n">
        <v>0.5351871656614685</v>
      </c>
      <c r="G97" s="37" t="n">
        <v>0.4565066316684855</v>
      </c>
      <c r="H97" s="37" t="n">
        <v>0.5449513694585207</v>
      </c>
      <c r="I97" s="37" t="n">
        <v>0.8162099900798971</v>
      </c>
      <c r="J97" s="37" t="n">
        <v>0.6060997763112079</v>
      </c>
      <c r="K97" s="40" t="inlineStr">
        <is>
          <t>Inviable</t>
        </is>
      </c>
      <c r="L97" s="29" t="n">
        <v>-4.21334913267582</v>
      </c>
      <c r="M97" s="35" t="n">
        <v>-31.70924112314549</v>
      </c>
      <c r="N97" s="36" t="n">
        <v>2215.182700306986</v>
      </c>
      <c r="O97" s="29" t="n">
        <v>3.822545707355669</v>
      </c>
      <c r="P97" s="16" t="inlineStr">
        <is>
          <t>no</t>
        </is>
      </c>
      <c r="Q97" s="16" t="inlineStr">
        <is>
          <t>O2,O3</t>
        </is>
      </c>
    </row>
    <row r="98">
      <c r="A98" s="16" t="inlineStr">
        <is>
          <t>KF-M09-R0-P_alta-0087</t>
        </is>
      </c>
      <c r="B98" s="35" t="n">
        <v>429.0791350480217</v>
      </c>
      <c r="C98" s="35" t="n">
        <v>296.8910937521894</v>
      </c>
      <c r="D98" s="35" t="n">
        <v>947.760217516384</v>
      </c>
      <c r="E98" s="37" t="n">
        <v>0.7752229257281491</v>
      </c>
      <c r="F98" s="37" t="n">
        <v>0.6595443233213778</v>
      </c>
      <c r="G98" s="37" t="n">
        <v>0.4900676212374042</v>
      </c>
      <c r="H98" s="37" t="n">
        <v>0.4566288483806807</v>
      </c>
      <c r="I98" s="37" t="n">
        <v>0.4566610969296748</v>
      </c>
      <c r="J98" s="37" t="n">
        <v>0.8764847319841731</v>
      </c>
      <c r="K98" s="39" t="inlineStr">
        <is>
          <t>Corregible</t>
        </is>
      </c>
      <c r="L98" s="29" t="n">
        <v>6.307071441027939</v>
      </c>
      <c r="M98" s="35" t="n">
        <v>42.40077329241559</v>
      </c>
      <c r="N98" s="36" t="n">
        <v>2052.239782483616</v>
      </c>
      <c r="O98" s="29" t="n">
        <v>3.165357592093845</v>
      </c>
      <c r="P98" s="16" t="inlineStr">
        <is>
          <t>no</t>
        </is>
      </c>
      <c r="Q98" s="16" t="inlineStr">
        <is>
          <t>O2</t>
        </is>
      </c>
    </row>
    <row r="99">
      <c r="A99" s="16" t="inlineStr">
        <is>
          <t>KF-M09-R0-P_alta-0088</t>
        </is>
      </c>
      <c r="B99" s="35" t="n">
        <v>423.0335406563749</v>
      </c>
      <c r="C99" s="35" t="n">
        <v>278.6143227970445</v>
      </c>
      <c r="D99" s="35" t="n">
        <v>1643.063335728936</v>
      </c>
      <c r="E99" s="37" t="n">
        <v>0.6863421079255588</v>
      </c>
      <c r="F99" s="37" t="n">
        <v>0.4419880380375326</v>
      </c>
      <c r="G99" s="37" t="n">
        <v>0.4154948413101287</v>
      </c>
      <c r="H99" s="37" t="n">
        <v>0.5563186009434981</v>
      </c>
      <c r="I99" s="37" t="n">
        <v>0.9174198844485985</v>
      </c>
      <c r="J99" s="37" t="n">
        <v>0.4470800892343342</v>
      </c>
      <c r="K99" s="40" t="inlineStr">
        <is>
          <t>Inviable</t>
        </is>
      </c>
      <c r="L99" s="29" t="n">
        <v>-5.56148141587682</v>
      </c>
      <c r="M99" s="35" t="n">
        <v>-24.05257457558186</v>
      </c>
      <c r="N99" s="36" t="n">
        <v>1356.936664271064</v>
      </c>
      <c r="O99" s="29" t="n">
        <v>1.8258577954751</v>
      </c>
      <c r="P99" s="16" t="inlineStr">
        <is>
          <t>no</t>
        </is>
      </c>
      <c r="Q99" s="16" t="inlineStr">
        <is>
          <t>O2,O3</t>
        </is>
      </c>
    </row>
    <row r="100">
      <c r="A100" s="16" t="inlineStr">
        <is>
          <t>KF-M09-R0-P_alta-0089</t>
        </is>
      </c>
      <c r="B100" s="35" t="n">
        <v>420.6424613735078</v>
      </c>
      <c r="C100" s="35" t="n">
        <v>294.5934053352298</v>
      </c>
      <c r="D100" s="35" t="n">
        <v>723.4670017510906</v>
      </c>
      <c r="E100" s="37" t="n">
        <v>0.6967633952699048</v>
      </c>
      <c r="F100" s="37" t="n">
        <v>0.9078337347739704</v>
      </c>
      <c r="G100" s="37" t="n">
        <v>0.5345604746266159</v>
      </c>
      <c r="H100" s="37" t="n">
        <v>0.5074202900589162</v>
      </c>
      <c r="I100" s="37" t="n">
        <v>0.86667149631916</v>
      </c>
      <c r="J100" s="37" t="n">
        <v>0.8031729887261508</v>
      </c>
      <c r="K100" s="39" t="inlineStr">
        <is>
          <t>Corregible</t>
        </is>
      </c>
      <c r="L100" s="29" t="n">
        <v>11.48405136141087</v>
      </c>
      <c r="M100" s="35" t="n">
        <v>62.92779424047899</v>
      </c>
      <c r="N100" s="36" t="n">
        <v>2276.532998248909</v>
      </c>
      <c r="O100" s="29" t="n">
        <v>4.14669914832156</v>
      </c>
      <c r="P100" s="16" t="inlineStr">
        <is>
          <t>no</t>
        </is>
      </c>
      <c r="Q100" s="16" t="inlineStr">
        <is>
          <t>O2</t>
        </is>
      </c>
    </row>
    <row r="101">
      <c r="A101" s="16" t="inlineStr">
        <is>
          <t>KF-M09-R0-P_alta-0090</t>
        </is>
      </c>
      <c r="B101" s="35" t="n">
        <v>424.6008788817287</v>
      </c>
      <c r="C101" s="35" t="n">
        <v>283.5008723233192</v>
      </c>
      <c r="D101" s="35" t="n">
        <v>1854.535804674304</v>
      </c>
      <c r="E101" s="37" t="n">
        <v>0.833768006382946</v>
      </c>
      <c r="F101" s="37" t="n">
        <v>0.6641999167333528</v>
      </c>
      <c r="G101" s="37" t="n">
        <v>0.6376503975771787</v>
      </c>
      <c r="H101" s="37" t="n">
        <v>0.7958925987554877</v>
      </c>
      <c r="I101" s="37" t="n">
        <v>0.8596876319363459</v>
      </c>
      <c r="J101" s="37" t="n">
        <v>0.7081121468708897</v>
      </c>
      <c r="K101" s="39" t="inlineStr">
        <is>
          <t>Corregible</t>
        </is>
      </c>
      <c r="L101" s="29" t="n">
        <v>2.89694358916097</v>
      </c>
      <c r="M101" s="35" t="n">
        <v>28.86507489993958</v>
      </c>
      <c r="N101" s="36" t="n">
        <v>1145.464195325696</v>
      </c>
      <c r="O101" s="29" t="n">
        <v>1.617655476070393</v>
      </c>
      <c r="P101" s="16" t="inlineStr">
        <is>
          <t>no</t>
        </is>
      </c>
      <c r="Q101" s="16" t="inlineStr">
        <is>
          <t>O2</t>
        </is>
      </c>
    </row>
    <row r="102">
      <c r="A102" s="16" t="inlineStr">
        <is>
          <t>KF-M09-R0-P_alta-0091</t>
        </is>
      </c>
      <c r="B102" s="35" t="n">
        <v>461.2858498989104</v>
      </c>
      <c r="C102" s="35" t="n">
        <v>291.9689631826736</v>
      </c>
      <c r="D102" s="35" t="n">
        <v>1706.808804813705</v>
      </c>
      <c r="E102" s="37" t="n">
        <v>0.8026309830456487</v>
      </c>
      <c r="F102" s="37" t="n">
        <v>0.5532150835364608</v>
      </c>
      <c r="G102" s="37" t="n">
        <v>0.6431101085288217</v>
      </c>
      <c r="H102" s="37" t="n">
        <v>0.4281205211721808</v>
      </c>
      <c r="I102" s="37" t="n">
        <v>0.8460076861142631</v>
      </c>
      <c r="J102" s="37" t="n">
        <v>0.8236470513677447</v>
      </c>
      <c r="K102" s="42" t="inlineStr">
        <is>
          <t>KALINA</t>
        </is>
      </c>
      <c r="L102" s="29" t="n">
        <v>3.2156647151467</v>
      </c>
      <c r="M102" s="35" t="n">
        <v>23.10685780060565</v>
      </c>
      <c r="N102" s="36" t="n">
        <v>1293.191195186295</v>
      </c>
      <c r="O102" s="29" t="n">
        <v>1.757666114411358</v>
      </c>
      <c r="P102" s="16" t="inlineStr">
        <is>
          <t>no</t>
        </is>
      </c>
      <c r="Q102" s="16" t="n"/>
    </row>
    <row r="103">
      <c r="A103" s="16" t="inlineStr">
        <is>
          <t>KF-M09-R0-P_alta-0092</t>
        </is>
      </c>
      <c r="B103" s="35" t="n">
        <v>474.5378082828941</v>
      </c>
      <c r="C103" s="35" t="n">
        <v>298.8098116428163</v>
      </c>
      <c r="D103" s="35" t="n">
        <v>1891.749251062399</v>
      </c>
      <c r="E103" s="37" t="n">
        <v>0.5582946855854011</v>
      </c>
      <c r="F103" s="37" t="n">
        <v>0.657316550295979</v>
      </c>
      <c r="G103" s="37" t="n">
        <v>0.4259773628157243</v>
      </c>
      <c r="H103" s="37" t="n">
        <v>0.6387345779787024</v>
      </c>
      <c r="I103" s="37" t="n">
        <v>0.6906183032747646</v>
      </c>
      <c r="J103" s="37" t="n">
        <v>0.6166034437453791</v>
      </c>
      <c r="K103" s="39" t="inlineStr">
        <is>
          <t>Corregible</t>
        </is>
      </c>
      <c r="L103" s="29" t="n">
        <v>0.32503878694432</v>
      </c>
      <c r="M103" s="35" t="n">
        <v>3.251704874605586</v>
      </c>
      <c r="N103" s="36" t="n">
        <v>1108.250748937601</v>
      </c>
      <c r="O103" s="29" t="n">
        <v>1.58583385103243</v>
      </c>
      <c r="P103" s="16" t="inlineStr">
        <is>
          <t>sí</t>
        </is>
      </c>
      <c r="Q103" s="16" t="inlineStr">
        <is>
          <t>O2</t>
        </is>
      </c>
    </row>
    <row r="104">
      <c r="A104" s="16" t="inlineStr">
        <is>
          <t>KF-M09-R0-P_alta-0093</t>
        </is>
      </c>
      <c r="B104" s="35" t="n">
        <v>454.8716555480336</v>
      </c>
      <c r="C104" s="35" t="n">
        <v>288.700647756618</v>
      </c>
      <c r="D104" s="35" t="n">
        <v>1051.821651361846</v>
      </c>
      <c r="E104" s="37" t="n">
        <v>0.7470368207783045</v>
      </c>
      <c r="F104" s="37" t="n">
        <v>0.922449234956548</v>
      </c>
      <c r="G104" s="37" t="n">
        <v>0.5381960421795758</v>
      </c>
      <c r="H104" s="37" t="n">
        <v>0.5761392297637784</v>
      </c>
      <c r="I104" s="37" t="n">
        <v>0.8977113631112001</v>
      </c>
      <c r="J104" s="37" t="n">
        <v>0.429898908060124</v>
      </c>
      <c r="K104" s="32" t="inlineStr">
        <is>
          <t>No convergió</t>
        </is>
      </c>
      <c r="L104" s="29" t="inlineStr">
        <is>
          <t>—</t>
        </is>
      </c>
      <c r="M104" s="35" t="inlineStr">
        <is>
          <t>—</t>
        </is>
      </c>
      <c r="N104" s="36" t="n">
        <v>1948.178348638154</v>
      </c>
      <c r="O104" s="29" t="n">
        <v>2.852194567506526</v>
      </c>
      <c r="P104" s="16" t="inlineStr">
        <is>
          <t>no</t>
        </is>
      </c>
      <c r="Q104" s="16" t="n"/>
    </row>
    <row r="105">
      <c r="A105" s="16" t="inlineStr">
        <is>
          <t>KF-M09-R0-P_alta-0094</t>
        </is>
      </c>
      <c r="B105" s="35" t="n">
        <v>516.5739108614227</v>
      </c>
      <c r="C105" s="35" t="n">
        <v>285.872972715341</v>
      </c>
      <c r="D105" s="35" t="n">
        <v>1226.229261134544</v>
      </c>
      <c r="E105" s="37" t="n">
        <v>0.5315380555988277</v>
      </c>
      <c r="F105" s="37" t="n">
        <v>0.8247864394669134</v>
      </c>
      <c r="G105" s="37" t="n">
        <v>0.90234149201167</v>
      </c>
      <c r="H105" s="37" t="n">
        <v>0.5149150710152895</v>
      </c>
      <c r="I105" s="37" t="n">
        <v>0.603906370710877</v>
      </c>
      <c r="J105" s="37" t="n">
        <v>0.6998774386397439</v>
      </c>
      <c r="K105" s="39" t="inlineStr">
        <is>
          <t>Corregible</t>
        </is>
      </c>
      <c r="L105" s="29" t="n">
        <v>6.61735715787054</v>
      </c>
      <c r="M105" s="35" t="n">
        <v>67.61865810844529</v>
      </c>
      <c r="N105" s="36" t="n">
        <v>1773.770738865456</v>
      </c>
      <c r="O105" s="29" t="n">
        <v>2.446524557099795</v>
      </c>
      <c r="P105" s="16" t="inlineStr">
        <is>
          <t>sí</t>
        </is>
      </c>
      <c r="Q105" s="16" t="inlineStr">
        <is>
          <t>O2</t>
        </is>
      </c>
    </row>
    <row r="106">
      <c r="A106" s="16" t="inlineStr">
        <is>
          <t>KF-M09-R0-P_alta-0095</t>
        </is>
      </c>
      <c r="B106" s="35" t="n">
        <v>439.0839868203174</v>
      </c>
      <c r="C106" s="35" t="n">
        <v>288.5539228834992</v>
      </c>
      <c r="D106" s="35" t="n">
        <v>1765.044531111668</v>
      </c>
      <c r="E106" s="37" t="n">
        <v>0.6827591151294015</v>
      </c>
      <c r="F106" s="37" t="n">
        <v>0.6140968950583918</v>
      </c>
      <c r="G106" s="37" t="n">
        <v>0.5099362968566137</v>
      </c>
      <c r="H106" s="37" t="n">
        <v>0.6440745935306418</v>
      </c>
      <c r="I106" s="37" t="n">
        <v>0.9083080384900892</v>
      </c>
      <c r="J106" s="37" t="n">
        <v>0.8333522737449313</v>
      </c>
      <c r="K106" s="42" t="inlineStr">
        <is>
          <t>KALINA</t>
        </is>
      </c>
      <c r="L106" s="29" t="n">
        <v>3.182341782303201</v>
      </c>
      <c r="M106" s="35" t="n">
        <v>28.24736671410415</v>
      </c>
      <c r="N106" s="36" t="n">
        <v>1234.955468888332</v>
      </c>
      <c r="O106" s="29" t="n">
        <v>1.699673830954581</v>
      </c>
      <c r="P106" s="16" t="inlineStr">
        <is>
          <t>no</t>
        </is>
      </c>
      <c r="Q106" s="16" t="n"/>
    </row>
    <row r="107">
      <c r="A107" s="16" t="inlineStr">
        <is>
          <t>KF-M09-R0-P_alta-0096</t>
        </is>
      </c>
      <c r="B107" s="35" t="n">
        <v>400.2390084839644</v>
      </c>
      <c r="C107" s="35" t="n">
        <v>302.154501227809</v>
      </c>
      <c r="D107" s="35" t="n">
        <v>863.5942385494048</v>
      </c>
      <c r="E107" s="37" t="n">
        <v>0.6038801547550456</v>
      </c>
      <c r="F107" s="37" t="n">
        <v>0.481993492908917</v>
      </c>
      <c r="G107" s="37" t="n">
        <v>0.7817963364982889</v>
      </c>
      <c r="H107" s="37" t="n">
        <v>0.4041972770729972</v>
      </c>
      <c r="I107" s="37" t="n">
        <v>0.4814146186395973</v>
      </c>
      <c r="J107" s="37" t="n">
        <v>0.9443153502232872</v>
      </c>
      <c r="K107" s="42" t="inlineStr">
        <is>
          <t>KALINA</t>
        </is>
      </c>
      <c r="L107" s="29" t="n">
        <v>1.42511964438875</v>
      </c>
      <c r="M107" s="35" t="n">
        <v>4.026062827788012</v>
      </c>
      <c r="N107" s="36" t="n">
        <v>2136.405761450595</v>
      </c>
      <c r="O107" s="29" t="n">
        <v>3.473853652658863</v>
      </c>
      <c r="P107" s="16" t="inlineStr">
        <is>
          <t>no</t>
        </is>
      </c>
      <c r="Q107" s="16" t="n"/>
    </row>
    <row r="108">
      <c r="A108" s="16" t="inlineStr">
        <is>
          <t>KF-M09-R0-P_alta-0097</t>
        </is>
      </c>
      <c r="B108" s="35" t="n">
        <v>511.0673477293499</v>
      </c>
      <c r="C108" s="35" t="n">
        <v>282.7084733639734</v>
      </c>
      <c r="D108" s="35" t="n">
        <v>539.0734201981877</v>
      </c>
      <c r="E108" s="37" t="n">
        <v>0.6072605357273906</v>
      </c>
      <c r="F108" s="37" t="n">
        <v>0.4000053032029426</v>
      </c>
      <c r="G108" s="37" t="n">
        <v>0.496820882427327</v>
      </c>
      <c r="H108" s="37" t="n">
        <v>0.6673271912395873</v>
      </c>
      <c r="I108" s="37" t="n">
        <v>0.6831766343244222</v>
      </c>
      <c r="J108" s="37" t="n">
        <v>0.5938201752095505</v>
      </c>
      <c r="K108" s="40" t="inlineStr">
        <is>
          <t>Inviable</t>
        </is>
      </c>
      <c r="L108" s="29" t="n">
        <v>-8.81064485365896</v>
      </c>
      <c r="M108" s="35" t="n">
        <v>-85.67741442153513</v>
      </c>
      <c r="N108" s="36" t="n">
        <v>2460.926579801812</v>
      </c>
      <c r="O108" s="29" t="n">
        <v>5.565104654755682</v>
      </c>
      <c r="P108" s="16" t="inlineStr">
        <is>
          <t>sí</t>
        </is>
      </c>
      <c r="Q108" s="16" t="inlineStr">
        <is>
          <t>O2,O3</t>
        </is>
      </c>
    </row>
    <row r="109">
      <c r="A109" s="16" t="inlineStr">
        <is>
          <t>KF-M09-R0-P_alta-0098</t>
        </is>
      </c>
      <c r="B109" s="35" t="n">
        <v>496.789433152591</v>
      </c>
      <c r="C109" s="35" t="n">
        <v>294.2979738856496</v>
      </c>
      <c r="D109" s="35" t="n">
        <v>986.8856060548997</v>
      </c>
      <c r="E109" s="37" t="n">
        <v>0.8056908247169074</v>
      </c>
      <c r="F109" s="37" t="n">
        <v>0.4925064042232993</v>
      </c>
      <c r="G109" s="37" t="n">
        <v>0.5692874365306699</v>
      </c>
      <c r="H109" s="37" t="n">
        <v>0.7754676751962432</v>
      </c>
      <c r="I109" s="37" t="n">
        <v>0.7598340957492047</v>
      </c>
      <c r="J109" s="37" t="n">
        <v>0.4733879023892914</v>
      </c>
      <c r="K109" s="40" t="inlineStr">
        <is>
          <t>Inviable</t>
        </is>
      </c>
      <c r="L109" s="29" t="n">
        <v>-12.33674921965744</v>
      </c>
      <c r="M109" s="35" t="n">
        <v>-88.36498476601896</v>
      </c>
      <c r="N109" s="36" t="n">
        <v>2013.1143939451</v>
      </c>
      <c r="O109" s="29" t="n">
        <v>3.039866000267829</v>
      </c>
      <c r="P109" s="16" t="inlineStr">
        <is>
          <t>sí</t>
        </is>
      </c>
      <c r="Q109" s="16" t="inlineStr">
        <is>
          <t>O2,O3</t>
        </is>
      </c>
    </row>
    <row r="110">
      <c r="A110" s="16" t="inlineStr">
        <is>
          <t>KF-M09-R0-P_alta-0099</t>
        </is>
      </c>
      <c r="B110" s="35" t="n">
        <v>484.9039814337377</v>
      </c>
      <c r="C110" s="35" t="n">
        <v>303.3806011378185</v>
      </c>
      <c r="D110" s="35" t="n">
        <v>1953.870610436472</v>
      </c>
      <c r="E110" s="37" t="n">
        <v>0.5084460350101958</v>
      </c>
      <c r="F110" s="37" t="n">
        <v>0.7667065365803433</v>
      </c>
      <c r="G110" s="37" t="n">
        <v>0.7387254979869277</v>
      </c>
      <c r="H110" s="37" t="n">
        <v>0.7826383460462749</v>
      </c>
      <c r="I110" s="37" t="n">
        <v>0.5352842880253227</v>
      </c>
      <c r="J110" s="37" t="n">
        <v>0.7922449849354301</v>
      </c>
      <c r="K110" s="39" t="inlineStr">
        <is>
          <t>Corregible</t>
        </is>
      </c>
      <c r="L110" s="29" t="n">
        <v>3.03119480929534</v>
      </c>
      <c r="M110" s="35" t="n">
        <v>45.51939821520686</v>
      </c>
      <c r="N110" s="36" t="n">
        <v>1046.129389563528</v>
      </c>
      <c r="O110" s="29" t="n">
        <v>1.535413851856769</v>
      </c>
      <c r="P110" s="16" t="inlineStr">
        <is>
          <t>sí</t>
        </is>
      </c>
      <c r="Q110" s="16" t="inlineStr">
        <is>
          <t>O2</t>
        </is>
      </c>
    </row>
    <row r="112">
      <c r="A112" s="33" t="inlineStr">
        <is>
          <t>Parte 4.3 P_baja · ronda 0 · 100 puntos</t>
        </is>
      </c>
      <c r="B112" s="31" t="n"/>
      <c r="C112" s="31" t="n"/>
      <c r="D112" s="31" t="n"/>
      <c r="E112" s="31" t="n"/>
      <c r="F112" s="31" t="n"/>
      <c r="G112" s="31" t="n"/>
      <c r="H112" s="31" t="n"/>
      <c r="I112" s="31" t="n"/>
      <c r="J112" s="31" t="n"/>
      <c r="K112" s="31" t="n"/>
    </row>
    <row r="114">
      <c r="A114" s="34" t="inlineStr">
        <is>
          <t>Barrido de la parte 4.3 P_baja · 100 puntos</t>
        </is>
      </c>
    </row>
    <row r="115">
      <c r="A115" s="25" t="inlineStr">
        <is>
          <t>Fijos en este barrido: P_baja = 400.</t>
        </is>
      </c>
    </row>
    <row r="116">
      <c r="A116" s="22" t="inlineStr">
        <is>
          <t>id_punto</t>
        </is>
      </c>
      <c r="B116" s="22" t="inlineStr">
        <is>
          <t>T_fuente [K]</t>
        </is>
      </c>
      <c r="C116" s="22" t="inlineStr">
        <is>
          <t>T_sumidero [K]</t>
        </is>
      </c>
      <c r="D116" s="22" t="inlineStr">
        <is>
          <t>P_alta [kPa]</t>
        </is>
      </c>
      <c r="E116" s="22" t="inlineStr">
        <is>
          <t>x_b [–]</t>
        </is>
      </c>
      <c r="F116" s="22" t="inlineStr">
        <is>
          <t>η_t [–]</t>
        </is>
      </c>
      <c r="G116" s="22" t="inlineStr">
        <is>
          <t>η_p [–]</t>
        </is>
      </c>
      <c r="H116" s="22" t="inlineStr">
        <is>
          <t>ε_HRVG [–]</t>
        </is>
      </c>
      <c r="I116" s="22" t="inlineStr">
        <is>
          <t>ε_reg [–]</t>
        </is>
      </c>
      <c r="J116" s="22" t="inlineStr">
        <is>
          <t>ε_cond [–]</t>
        </is>
      </c>
      <c r="K116" s="22" t="inlineStr">
        <is>
          <t>Clase</t>
        </is>
      </c>
      <c r="L116" s="22" t="inlineStr">
        <is>
          <t>η [%]</t>
        </is>
      </c>
      <c r="M116" s="22" t="inlineStr">
        <is>
          <t>W_net [kW] (m_b = 1 kg/s)</t>
        </is>
      </c>
      <c r="N116" s="22" t="inlineStr">
        <is>
          <t>ΔP [kPa]</t>
        </is>
      </c>
      <c r="O116" s="22" t="inlineStr">
        <is>
          <t>r_P [–]</t>
        </is>
      </c>
      <c r="P116" s="22" t="inlineStr">
        <is>
          <t>Fuera de rango</t>
        </is>
      </c>
      <c r="Q116" s="22" t="inlineStr">
        <is>
          <t>Criterios que falla</t>
        </is>
      </c>
    </row>
    <row r="117">
      <c r="A117" s="16" t="inlineStr">
        <is>
          <t>KF-M09-R0-P_baja-0000</t>
        </is>
      </c>
      <c r="B117" s="35" t="n">
        <v>480.6444445113914</v>
      </c>
      <c r="C117" s="35" t="n">
        <v>295.1831897777049</v>
      </c>
      <c r="D117" s="36" t="n">
        <v>2265.358374816879</v>
      </c>
      <c r="E117" s="37" t="n">
        <v>0.6488234769800023</v>
      </c>
      <c r="F117" s="37" t="n">
        <v>0.8902997220711623</v>
      </c>
      <c r="G117" s="37" t="n">
        <v>0.5776334276371416</v>
      </c>
      <c r="H117" s="37" t="n">
        <v>0.7893640964901394</v>
      </c>
      <c r="I117" s="37" t="n">
        <v>0.7521810208414682</v>
      </c>
      <c r="J117" s="37" t="n">
        <v>0.8539116755497427</v>
      </c>
      <c r="K117" s="39" t="inlineStr">
        <is>
          <t>Corregible</t>
        </is>
      </c>
      <c r="L117" s="29" t="n">
        <v>9.463156060635701</v>
      </c>
      <c r="M117" s="35" t="n">
        <v>121.8804117899479</v>
      </c>
      <c r="N117" s="36" t="n">
        <v>1865.35837481688</v>
      </c>
      <c r="O117" s="29" t="n">
        <v>5.663395937042199</v>
      </c>
      <c r="P117" s="16" t="inlineStr">
        <is>
          <t>sí</t>
        </is>
      </c>
      <c r="Q117" s="16" t="inlineStr">
        <is>
          <t>O2</t>
        </is>
      </c>
    </row>
    <row r="118">
      <c r="A118" s="16" t="inlineStr">
        <is>
          <t>KF-M09-R0-P_baja-0001</t>
        </is>
      </c>
      <c r="B118" s="35" t="n">
        <v>478.5406006804856</v>
      </c>
      <c r="C118" s="35" t="n">
        <v>293.0423552302586</v>
      </c>
      <c r="D118" s="36" t="n">
        <v>4863.136522228948</v>
      </c>
      <c r="E118" s="37" t="n">
        <v>0.5394978108393231</v>
      </c>
      <c r="F118" s="37" t="n">
        <v>0.838637193734479</v>
      </c>
      <c r="G118" s="37" t="n">
        <v>0.6661801657715445</v>
      </c>
      <c r="H118" s="37" t="n">
        <v>0.4120857230392261</v>
      </c>
      <c r="I118" s="37" t="n">
        <v>0.7889543843847303</v>
      </c>
      <c r="J118" s="37" t="n">
        <v>0.6763828231244375</v>
      </c>
      <c r="K118" s="39" t="inlineStr">
        <is>
          <t>Corregible</t>
        </is>
      </c>
      <c r="L118" s="29" t="n">
        <v>13.81807982263716</v>
      </c>
      <c r="M118" s="35" t="n">
        <v>77.27641734853901</v>
      </c>
      <c r="N118" s="36" t="n">
        <v>4463.136522228948</v>
      </c>
      <c r="O118" s="29" t="n">
        <v>12.15784130557237</v>
      </c>
      <c r="P118" s="16" t="inlineStr">
        <is>
          <t>sí</t>
        </is>
      </c>
      <c r="Q118" s="16" t="inlineStr">
        <is>
          <t>O1,O2</t>
        </is>
      </c>
    </row>
    <row r="119">
      <c r="A119" s="16" t="inlineStr">
        <is>
          <t>KF-M09-R0-P_baja-0002</t>
        </is>
      </c>
      <c r="B119" s="35" t="n">
        <v>463.6197441685871</v>
      </c>
      <c r="C119" s="35" t="n">
        <v>288.0253887229966</v>
      </c>
      <c r="D119" s="36" t="n">
        <v>2428.86504331177</v>
      </c>
      <c r="E119" s="37" t="n">
        <v>0.6056898421397534</v>
      </c>
      <c r="F119" s="37" t="n">
        <v>0.9220595163800896</v>
      </c>
      <c r="G119" s="37" t="n">
        <v>0.8665537035866127</v>
      </c>
      <c r="H119" s="37" t="n">
        <v>0.6296899133669077</v>
      </c>
      <c r="I119" s="37" t="n">
        <v>0.6307774209991819</v>
      </c>
      <c r="J119" s="37" t="n">
        <v>0.4074330025636694</v>
      </c>
      <c r="K119" s="39" t="inlineStr">
        <is>
          <t>Corregible</t>
        </is>
      </c>
      <c r="L119" s="29" t="n">
        <v>9.285627567159111</v>
      </c>
      <c r="M119" s="35" t="n">
        <v>66.2233698200084</v>
      </c>
      <c r="N119" s="36" t="n">
        <v>2028.86504331177</v>
      </c>
      <c r="O119" s="29" t="n">
        <v>6.072162608279425</v>
      </c>
      <c r="P119" s="16" t="inlineStr">
        <is>
          <t>sí</t>
        </is>
      </c>
      <c r="Q119" s="16" t="inlineStr">
        <is>
          <t>O2</t>
        </is>
      </c>
    </row>
    <row r="120">
      <c r="A120" s="16" t="inlineStr">
        <is>
          <t>KF-M09-R0-P_baja-0003</t>
        </is>
      </c>
      <c r="B120" s="35" t="n">
        <v>393.1451871688316</v>
      </c>
      <c r="C120" s="35" t="n">
        <v>284.6492199858867</v>
      </c>
      <c r="D120" s="36" t="n">
        <v>3773.242508729036</v>
      </c>
      <c r="E120" s="37" t="n">
        <v>0.5222176696105955</v>
      </c>
      <c r="F120" s="37" t="n">
        <v>0.5396374212887763</v>
      </c>
      <c r="G120" s="37" t="n">
        <v>0.6103413105924308</v>
      </c>
      <c r="H120" s="37" t="n">
        <v>0.7001747029372711</v>
      </c>
      <c r="I120" s="37" t="n">
        <v>0.449532290955873</v>
      </c>
      <c r="J120" s="37" t="n">
        <v>0.7787347721126641</v>
      </c>
      <c r="K120" s="38" t="inlineStr">
        <is>
          <t>Falso convergido</t>
        </is>
      </c>
      <c r="L120" s="29" t="inlineStr">
        <is>
          <t>—</t>
        </is>
      </c>
      <c r="M120" s="35" t="inlineStr">
        <is>
          <t>—</t>
        </is>
      </c>
      <c r="N120" s="36" t="n">
        <v>3373.242508729036</v>
      </c>
      <c r="O120" s="29" t="n">
        <v>9.43310627182259</v>
      </c>
      <c r="P120" s="16" t="inlineStr">
        <is>
          <t>no</t>
        </is>
      </c>
      <c r="Q120" s="16" t="inlineStr">
        <is>
          <t>N2,S6,O3,O5,C1,C3,C3</t>
        </is>
      </c>
    </row>
    <row r="121">
      <c r="A121" s="16" t="inlineStr">
        <is>
          <t>KF-M09-R0-P_baja-0004</t>
        </is>
      </c>
      <c r="B121" s="35" t="n">
        <v>509.5623316562742</v>
      </c>
      <c r="C121" s="35" t="n">
        <v>279.9310659830374</v>
      </c>
      <c r="D121" s="36" t="n">
        <v>4584.770225558914</v>
      </c>
      <c r="E121" s="37" t="n">
        <v>0.786659308516421</v>
      </c>
      <c r="F121" s="37" t="n">
        <v>0.4333555589833113</v>
      </c>
      <c r="G121" s="37" t="n">
        <v>0.872758161393611</v>
      </c>
      <c r="H121" s="37" t="n">
        <v>0.8452273820150302</v>
      </c>
      <c r="I121" s="37" t="n">
        <v>0.5357352307353499</v>
      </c>
      <c r="J121" s="37" t="n">
        <v>0.7520393219031756</v>
      </c>
      <c r="K121" s="39" t="inlineStr">
        <is>
          <t>Corregible</t>
        </is>
      </c>
      <c r="L121" s="29" t="n">
        <v>2.74004848143609</v>
      </c>
      <c r="M121" s="35" t="n">
        <v>32.59732273918962</v>
      </c>
      <c r="N121" s="36" t="n">
        <v>4184.770225558914</v>
      </c>
      <c r="O121" s="29" t="n">
        <v>11.46192556389728</v>
      </c>
      <c r="P121" s="16" t="inlineStr">
        <is>
          <t>sí</t>
        </is>
      </c>
      <c r="Q121" s="16" t="inlineStr">
        <is>
          <t>O2</t>
        </is>
      </c>
    </row>
    <row r="122">
      <c r="A122" s="16" t="inlineStr">
        <is>
          <t>KF-M09-R0-P_baja-0005</t>
        </is>
      </c>
      <c r="B122" s="35" t="n">
        <v>420.0594476286429</v>
      </c>
      <c r="C122" s="35" t="n">
        <v>295.427661449856</v>
      </c>
      <c r="D122" s="36" t="n">
        <v>4146.183969176294</v>
      </c>
      <c r="E122" s="37" t="n">
        <v>0.8348353514114081</v>
      </c>
      <c r="F122" s="37" t="n">
        <v>0.7417609576620063</v>
      </c>
      <c r="G122" s="37" t="n">
        <v>0.7212043903701115</v>
      </c>
      <c r="H122" s="37" t="n">
        <v>0.7528507000777476</v>
      </c>
      <c r="I122" s="37" t="n">
        <v>0.5698829313518678</v>
      </c>
      <c r="J122" s="37" t="n">
        <v>0.6975150314785199</v>
      </c>
      <c r="K122" s="40" t="inlineStr">
        <is>
          <t>Inviable</t>
        </is>
      </c>
      <c r="L122" s="29" t="n">
        <v>-100.285596627046</v>
      </c>
      <c r="M122" s="35" t="n">
        <v>-129.6976716423311</v>
      </c>
      <c r="N122" s="36" t="n">
        <v>3746.183969176294</v>
      </c>
      <c r="O122" s="29" t="n">
        <v>10.36545992294074</v>
      </c>
      <c r="P122" s="16" t="inlineStr">
        <is>
          <t>no</t>
        </is>
      </c>
      <c r="Q122" s="16" t="inlineStr">
        <is>
          <t>O2,O3</t>
        </is>
      </c>
    </row>
    <row r="123">
      <c r="A123" s="16" t="inlineStr">
        <is>
          <t>KF-M09-R0-P_baja-0006</t>
        </is>
      </c>
      <c r="B123" s="35" t="n">
        <v>501.1122699572014</v>
      </c>
      <c r="C123" s="35" t="n">
        <v>289.377153197231</v>
      </c>
      <c r="D123" s="36" t="n">
        <v>4727.976848921893</v>
      </c>
      <c r="E123" s="37" t="n">
        <v>0.6918586710846906</v>
      </c>
      <c r="F123" s="37" t="n">
        <v>0.5911005848050159</v>
      </c>
      <c r="G123" s="37" t="n">
        <v>0.6447708444789183</v>
      </c>
      <c r="H123" s="37" t="n">
        <v>0.7829646637418612</v>
      </c>
      <c r="I123" s="37" t="n">
        <v>0.7587262507917696</v>
      </c>
      <c r="J123" s="37" t="n">
        <v>0.6928950195244584</v>
      </c>
      <c r="K123" s="40" t="inlineStr">
        <is>
          <t>Inviable</t>
        </is>
      </c>
      <c r="L123" s="29" t="n">
        <v>-1.08382753048681</v>
      </c>
      <c r="M123" s="35" t="n">
        <v>-10.60402316462867</v>
      </c>
      <c r="N123" s="36" t="n">
        <v>4327.976848921893</v>
      </c>
      <c r="O123" s="29" t="n">
        <v>11.81994212230473</v>
      </c>
      <c r="P123" s="16" t="inlineStr">
        <is>
          <t>sí</t>
        </is>
      </c>
      <c r="Q123" s="16" t="inlineStr">
        <is>
          <t>O2,O3</t>
        </is>
      </c>
    </row>
    <row r="124">
      <c r="A124" s="16" t="inlineStr">
        <is>
          <t>KF-M09-R0-P_baja-0007</t>
        </is>
      </c>
      <c r="B124" s="35" t="n">
        <v>397.7758964307367</v>
      </c>
      <c r="C124" s="35" t="n">
        <v>291.2235627223315</v>
      </c>
      <c r="D124" s="36" t="n">
        <v>3462.048224466078</v>
      </c>
      <c r="E124" s="37" t="n">
        <v>0.6168648552977535</v>
      </c>
      <c r="F124" s="37" t="n">
        <v>0.56852076420435</v>
      </c>
      <c r="G124" s="37" t="n">
        <v>0.5182516046359404</v>
      </c>
      <c r="H124" s="37" t="n">
        <v>0.8134562273820525</v>
      </c>
      <c r="I124" s="37" t="n">
        <v>0.8587184474074872</v>
      </c>
      <c r="J124" s="37" t="n">
        <v>0.5605644926262516</v>
      </c>
      <c r="K124" s="40" t="inlineStr">
        <is>
          <t>Inviable</t>
        </is>
      </c>
      <c r="L124" s="29" t="n">
        <v>-6.52008459668271</v>
      </c>
      <c r="M124" s="35" t="n">
        <v>-20.24726478926305</v>
      </c>
      <c r="N124" s="36" t="n">
        <v>3062.048224466078</v>
      </c>
      <c r="O124" s="29" t="n">
        <v>8.655120561165194</v>
      </c>
      <c r="P124" s="16" t="inlineStr">
        <is>
          <t>no</t>
        </is>
      </c>
      <c r="Q124" s="16" t="inlineStr">
        <is>
          <t>O2,O3</t>
        </is>
      </c>
    </row>
    <row r="125">
      <c r="A125" s="16" t="inlineStr">
        <is>
          <t>KF-M09-R0-P_baja-0008</t>
        </is>
      </c>
      <c r="B125" s="35" t="n">
        <v>436.9776483918631</v>
      </c>
      <c r="C125" s="35" t="n">
        <v>291.9918425347154</v>
      </c>
      <c r="D125" s="36" t="n">
        <v>2850.154830986882</v>
      </c>
      <c r="E125" s="37" t="n">
        <v>0.7249692392535295</v>
      </c>
      <c r="F125" s="37" t="n">
        <v>0.851387902354142</v>
      </c>
      <c r="G125" s="37" t="n">
        <v>0.8888346384172047</v>
      </c>
      <c r="H125" s="37" t="n">
        <v>0.4643709953962174</v>
      </c>
      <c r="I125" s="37" t="n">
        <v>0.6702754124252347</v>
      </c>
      <c r="J125" s="37" t="n">
        <v>0.4270430583754644</v>
      </c>
      <c r="K125" s="40" t="inlineStr">
        <is>
          <t>Inviable</t>
        </is>
      </c>
      <c r="L125" s="29" t="n">
        <v>-0.18899816281741</v>
      </c>
      <c r="M125" s="35" t="n">
        <v>-0.6212295729145296</v>
      </c>
      <c r="N125" s="36" t="n">
        <v>2450.154830986882</v>
      </c>
      <c r="O125" s="29" t="n">
        <v>7.125387077467206</v>
      </c>
      <c r="P125" s="16" t="inlineStr">
        <is>
          <t>no</t>
        </is>
      </c>
      <c r="Q125" s="16" t="inlineStr">
        <is>
          <t>O2,O3</t>
        </is>
      </c>
    </row>
    <row r="126">
      <c r="A126" s="16" t="inlineStr">
        <is>
          <t>KF-M09-R0-P_baja-0009</t>
        </is>
      </c>
      <c r="B126" s="35" t="n">
        <v>430.5095509743632</v>
      </c>
      <c r="C126" s="35" t="n">
        <v>302.229932616744</v>
      </c>
      <c r="D126" s="36" t="n">
        <v>4460.278300896834</v>
      </c>
      <c r="E126" s="37" t="n">
        <v>0.5710493272053807</v>
      </c>
      <c r="F126" s="37" t="n">
        <v>0.5484567755446995</v>
      </c>
      <c r="G126" s="37" t="n">
        <v>0.4389137213616004</v>
      </c>
      <c r="H126" s="37" t="n">
        <v>0.9144145651367644</v>
      </c>
      <c r="I126" s="37" t="n">
        <v>0.8722707477165439</v>
      </c>
      <c r="J126" s="37" t="n">
        <v>0.4813791526317992</v>
      </c>
      <c r="K126" s="40" t="inlineStr">
        <is>
          <t>Inviable</t>
        </is>
      </c>
      <c r="L126" s="29" t="n">
        <v>-74.43309184446939</v>
      </c>
      <c r="M126" s="35" t="n">
        <v>-147.5844075203068</v>
      </c>
      <c r="N126" s="36" t="n">
        <v>4060.278300896834</v>
      </c>
      <c r="O126" s="29" t="n">
        <v>11.15069575224209</v>
      </c>
      <c r="P126" s="16" t="inlineStr">
        <is>
          <t>sí</t>
        </is>
      </c>
      <c r="Q126" s="16" t="inlineStr">
        <is>
          <t>O2,O3</t>
        </is>
      </c>
    </row>
    <row r="127">
      <c r="A127" s="16" t="inlineStr">
        <is>
          <t>KF-M09-R0-P_baja-0010</t>
        </is>
      </c>
      <c r="B127" s="35" t="n">
        <v>514.9849738871338</v>
      </c>
      <c r="C127" s="35" t="n">
        <v>286.6285628416987</v>
      </c>
      <c r="D127" s="36" t="n">
        <v>4032.278483595841</v>
      </c>
      <c r="E127" s="37" t="n">
        <v>0.5071469142843368</v>
      </c>
      <c r="F127" s="37" t="n">
        <v>0.8821337402783783</v>
      </c>
      <c r="G127" s="37" t="n">
        <v>0.743714841200048</v>
      </c>
      <c r="H127" s="37" t="n">
        <v>0.5167141808784211</v>
      </c>
      <c r="I127" s="37" t="n">
        <v>0.4622521748728604</v>
      </c>
      <c r="J127" s="37" t="n">
        <v>0.5355378840270201</v>
      </c>
      <c r="K127" s="39" t="inlineStr">
        <is>
          <t>Corregible</t>
        </is>
      </c>
      <c r="L127" s="29" t="n">
        <v>10.88783783184802</v>
      </c>
      <c r="M127" s="35" t="n">
        <v>92.9423435817713</v>
      </c>
      <c r="N127" s="36" t="n">
        <v>3632.278483595841</v>
      </c>
      <c r="O127" s="29" t="n">
        <v>10.0806962089896</v>
      </c>
      <c r="P127" s="16" t="inlineStr">
        <is>
          <t>sí</t>
        </is>
      </c>
      <c r="Q127" s="16" t="inlineStr">
        <is>
          <t>O1,O2</t>
        </is>
      </c>
    </row>
    <row r="128">
      <c r="A128" s="16" t="inlineStr">
        <is>
          <t>KF-M09-R0-P_baja-0011</t>
        </is>
      </c>
      <c r="B128" s="35" t="n">
        <v>422.3725614464174</v>
      </c>
      <c r="C128" s="35" t="n">
        <v>301.7825574961789</v>
      </c>
      <c r="D128" s="36" t="n">
        <v>2150.738938935887</v>
      </c>
      <c r="E128" s="37" t="n">
        <v>0.5957054769278024</v>
      </c>
      <c r="F128" s="37" t="n">
        <v>0.428746229535401</v>
      </c>
      <c r="G128" s="37" t="n">
        <v>0.8616362163016991</v>
      </c>
      <c r="H128" s="37" t="n">
        <v>0.6532084405187</v>
      </c>
      <c r="I128" s="37" t="n">
        <v>0.47598620546497</v>
      </c>
      <c r="J128" s="37" t="n">
        <v>0.7223921350550224</v>
      </c>
      <c r="K128" s="40" t="inlineStr">
        <is>
          <t>Inviable</t>
        </is>
      </c>
      <c r="L128" s="29" t="n">
        <v>-2.52833157688885</v>
      </c>
      <c r="M128" s="35" t="n">
        <v>-13.78992082706502</v>
      </c>
      <c r="N128" s="36" t="n">
        <v>1750.738938935887</v>
      </c>
      <c r="O128" s="29" t="n">
        <v>5.376847347339717</v>
      </c>
      <c r="P128" s="16" t="inlineStr">
        <is>
          <t>no</t>
        </is>
      </c>
      <c r="Q128" s="16" t="inlineStr">
        <is>
          <t>O2,O3</t>
        </is>
      </c>
    </row>
    <row r="129">
      <c r="A129" s="16" t="inlineStr">
        <is>
          <t>KF-M09-R0-P_baja-0012</t>
        </is>
      </c>
      <c r="B129" s="35" t="n">
        <v>423.7526484496057</v>
      </c>
      <c r="C129" s="35" t="n">
        <v>288.7334514290289</v>
      </c>
      <c r="D129" s="36" t="n">
        <v>2399.465869978575</v>
      </c>
      <c r="E129" s="37" t="n">
        <v>0.8010996437290872</v>
      </c>
      <c r="F129" s="37" t="n">
        <v>0.6982410710581366</v>
      </c>
      <c r="G129" s="37" t="n">
        <v>0.8065849805959269</v>
      </c>
      <c r="H129" s="37" t="n">
        <v>0.617741316460965</v>
      </c>
      <c r="I129" s="37" t="n">
        <v>0.7456230127324208</v>
      </c>
      <c r="J129" s="37" t="n">
        <v>0.791955562464594</v>
      </c>
      <c r="K129" s="32" t="inlineStr">
        <is>
          <t>No convergió</t>
        </is>
      </c>
      <c r="L129" s="29" t="inlineStr">
        <is>
          <t>—</t>
        </is>
      </c>
      <c r="M129" s="35" t="inlineStr">
        <is>
          <t>—</t>
        </is>
      </c>
      <c r="N129" s="36" t="n">
        <v>1999.465869978576</v>
      </c>
      <c r="O129" s="29" t="n">
        <v>5.998664674946439</v>
      </c>
      <c r="P129" s="16" t="inlineStr">
        <is>
          <t>no</t>
        </is>
      </c>
      <c r="Q129" s="16" t="n"/>
    </row>
    <row r="130">
      <c r="A130" s="16" t="inlineStr">
        <is>
          <t>KF-M09-R0-P_baja-0013</t>
        </is>
      </c>
      <c r="B130" s="35" t="n">
        <v>441.0255011627768</v>
      </c>
      <c r="C130" s="35" t="n">
        <v>292.3285920866292</v>
      </c>
      <c r="D130" s="36" t="n">
        <v>3722.837931473714</v>
      </c>
      <c r="E130" s="37" t="n">
        <v>0.6321162449029663</v>
      </c>
      <c r="F130" s="37" t="n">
        <v>0.6735278859651868</v>
      </c>
      <c r="G130" s="37" t="n">
        <v>0.4369278444880447</v>
      </c>
      <c r="H130" s="37" t="n">
        <v>0.6955646036230002</v>
      </c>
      <c r="I130" s="37" t="n">
        <v>0.7394773110858187</v>
      </c>
      <c r="J130" s="37" t="n">
        <v>0.402163729406795</v>
      </c>
      <c r="K130" s="40" t="inlineStr">
        <is>
          <t>Inviable</t>
        </is>
      </c>
      <c r="L130" s="29" t="n">
        <v>-82.80934587121726</v>
      </c>
      <c r="M130" s="35" t="n">
        <v>-196.1348381855229</v>
      </c>
      <c r="N130" s="36" t="n">
        <v>3322.837931473713</v>
      </c>
      <c r="O130" s="29" t="n">
        <v>9.307094828684283</v>
      </c>
      <c r="P130" s="16" t="inlineStr">
        <is>
          <t>sí</t>
        </is>
      </c>
      <c r="Q130" s="16" t="inlineStr">
        <is>
          <t>O2,O3</t>
        </is>
      </c>
    </row>
    <row r="131">
      <c r="A131" s="16" t="inlineStr">
        <is>
          <t>KF-M09-R0-P_baja-0014</t>
        </is>
      </c>
      <c r="B131" s="35" t="n">
        <v>444.1092856316153</v>
      </c>
      <c r="C131" s="35" t="n">
        <v>282.0625459802299</v>
      </c>
      <c r="D131" s="36" t="n">
        <v>3599.126996268655</v>
      </c>
      <c r="E131" s="37" t="n">
        <v>0.7087176734510947</v>
      </c>
      <c r="F131" s="37" t="n">
        <v>0.8095263157883748</v>
      </c>
      <c r="G131" s="37" t="n">
        <v>0.8276917993249686</v>
      </c>
      <c r="H131" s="37" t="n">
        <v>0.904271434926226</v>
      </c>
      <c r="I131" s="37" t="n">
        <v>0.6818448961117427</v>
      </c>
      <c r="J131" s="37" t="n">
        <v>0.9108569707260123</v>
      </c>
      <c r="K131" s="39" t="inlineStr">
        <is>
          <t>Corregible</t>
        </is>
      </c>
      <c r="L131" s="29" t="n">
        <v>15.28312163851354</v>
      </c>
      <c r="M131" s="35" t="n">
        <v>210.6262423138608</v>
      </c>
      <c r="N131" s="36" t="n">
        <v>3199.126996268655</v>
      </c>
      <c r="O131" s="29" t="n">
        <v>8.997817490671636</v>
      </c>
      <c r="P131" s="16" t="inlineStr">
        <is>
          <t>sí</t>
        </is>
      </c>
      <c r="Q131" s="16" t="inlineStr">
        <is>
          <t>O2</t>
        </is>
      </c>
    </row>
    <row r="132">
      <c r="A132" s="16" t="inlineStr">
        <is>
          <t>KF-M09-R0-P_baja-0015</t>
        </is>
      </c>
      <c r="B132" s="35" t="n">
        <v>391.8691847652085</v>
      </c>
      <c r="C132" s="35" t="n">
        <v>281.2707897259057</v>
      </c>
      <c r="D132" s="36" t="n">
        <v>2235.513518177474</v>
      </c>
      <c r="E132" s="37" t="n">
        <v>0.6092625887940883</v>
      </c>
      <c r="F132" s="37" t="n">
        <v>0.7876996514175725</v>
      </c>
      <c r="G132" s="37" t="n">
        <v>0.4633138115316314</v>
      </c>
      <c r="H132" s="37" t="n">
        <v>0.9211618291920084</v>
      </c>
      <c r="I132" s="37" t="n">
        <v>0.7749202084618103</v>
      </c>
      <c r="J132" s="37" t="n">
        <v>0.5776110404335251</v>
      </c>
      <c r="K132" s="39" t="inlineStr">
        <is>
          <t>Corregible</t>
        </is>
      </c>
      <c r="L132" s="29" t="n">
        <v>2.70433629297412</v>
      </c>
      <c r="M132" s="35" t="n">
        <v>12.9127106065412</v>
      </c>
      <c r="N132" s="36" t="n">
        <v>1835.513518177474</v>
      </c>
      <c r="O132" s="29" t="n">
        <v>5.588783795443686</v>
      </c>
      <c r="P132" s="16" t="inlineStr">
        <is>
          <t>no</t>
        </is>
      </c>
      <c r="Q132" s="16" t="inlineStr">
        <is>
          <t>O2</t>
        </is>
      </c>
    </row>
    <row r="133">
      <c r="A133" s="16" t="inlineStr">
        <is>
          <t>KF-M09-R0-P_baja-0016</t>
        </is>
      </c>
      <c r="B133" s="35" t="n">
        <v>415.8121232807932</v>
      </c>
      <c r="C133" s="35" t="n">
        <v>284.1375481948997</v>
      </c>
      <c r="D133" s="36" t="n">
        <v>4336.828916082919</v>
      </c>
      <c r="E133" s="37" t="n">
        <v>0.7989396666169717</v>
      </c>
      <c r="F133" s="37" t="n">
        <v>0.7995736829214179</v>
      </c>
      <c r="G133" s="37" t="n">
        <v>0.5513085439568693</v>
      </c>
      <c r="H133" s="37" t="n">
        <v>0.8842298081679999</v>
      </c>
      <c r="I133" s="37" t="n">
        <v>0.7203680479205689</v>
      </c>
      <c r="J133" s="37" t="n">
        <v>0.7107649781755176</v>
      </c>
      <c r="K133" s="40" t="inlineStr">
        <is>
          <t>Inviable</t>
        </is>
      </c>
      <c r="L133" s="29" t="n">
        <v>-21.14138795499613</v>
      </c>
      <c r="M133" s="35" t="n">
        <v>-74.89342589897856</v>
      </c>
      <c r="N133" s="36" t="n">
        <v>3936.828916082919</v>
      </c>
      <c r="O133" s="29" t="n">
        <v>10.8420722902073</v>
      </c>
      <c r="P133" s="16" t="inlineStr">
        <is>
          <t>no</t>
        </is>
      </c>
      <c r="Q133" s="16" t="inlineStr">
        <is>
          <t>O2,O3</t>
        </is>
      </c>
    </row>
    <row r="134">
      <c r="A134" s="16" t="inlineStr">
        <is>
          <t>KF-M09-R0-P_baja-0017</t>
        </is>
      </c>
      <c r="B134" s="35" t="n">
        <v>457.3355573383387</v>
      </c>
      <c r="C134" s="35" t="n">
        <v>303.234751126908</v>
      </c>
      <c r="D134" s="36" t="n">
        <v>2466.907748164555</v>
      </c>
      <c r="E134" s="37" t="n">
        <v>0.8107974882254414</v>
      </c>
      <c r="F134" s="37" t="n">
        <v>0.7115409612224444</v>
      </c>
      <c r="G134" s="37" t="n">
        <v>0.8344128969996669</v>
      </c>
      <c r="H134" s="37" t="n">
        <v>0.5873805302614936</v>
      </c>
      <c r="I134" s="37" t="n">
        <v>0.5966818309775</v>
      </c>
      <c r="J134" s="37" t="n">
        <v>0.8262537639604375</v>
      </c>
      <c r="K134" s="40" t="inlineStr">
        <is>
          <t>Inviable</t>
        </is>
      </c>
      <c r="L134" s="29" t="n">
        <v>-8.672699855323749</v>
      </c>
      <c r="M134" s="35" t="n">
        <v>-37.57730379956331</v>
      </c>
      <c r="N134" s="36" t="n">
        <v>2066.907748164555</v>
      </c>
      <c r="O134" s="29" t="n">
        <v>6.167269370411387</v>
      </c>
      <c r="P134" s="16" t="inlineStr">
        <is>
          <t>no</t>
        </is>
      </c>
      <c r="Q134" s="16" t="inlineStr">
        <is>
          <t>O2,O3</t>
        </is>
      </c>
    </row>
    <row r="135">
      <c r="A135" s="16" t="inlineStr">
        <is>
          <t>KF-M09-R0-P_baja-0018</t>
        </is>
      </c>
      <c r="B135" s="35" t="n">
        <v>435.9910030599853</v>
      </c>
      <c r="C135" s="35" t="n">
        <v>283.1008118945463</v>
      </c>
      <c r="D135" s="36" t="n">
        <v>2970.386340707471</v>
      </c>
      <c r="E135" s="37" t="n">
        <v>0.8222767308760606</v>
      </c>
      <c r="F135" s="37" t="n">
        <v>0.8129134729952185</v>
      </c>
      <c r="G135" s="37" t="n">
        <v>0.454463362294072</v>
      </c>
      <c r="H135" s="37" t="n">
        <v>0.5027960773983421</v>
      </c>
      <c r="I135" s="37" t="n">
        <v>0.538652739774045</v>
      </c>
      <c r="J135" s="37" t="n">
        <v>0.7347236934189321</v>
      </c>
      <c r="K135" s="40" t="inlineStr">
        <is>
          <t>Inviable</t>
        </is>
      </c>
      <c r="L135" s="29" t="n">
        <v>-27.86093398518425</v>
      </c>
      <c r="M135" s="35" t="n">
        <v>-114.2418443308551</v>
      </c>
      <c r="N135" s="36" t="n">
        <v>2570.386340707471</v>
      </c>
      <c r="O135" s="29" t="n">
        <v>7.425965851768678</v>
      </c>
      <c r="P135" s="16" t="inlineStr">
        <is>
          <t>no</t>
        </is>
      </c>
      <c r="Q135" s="16" t="inlineStr">
        <is>
          <t>O2,O3</t>
        </is>
      </c>
    </row>
    <row r="136">
      <c r="A136" s="16" t="inlineStr">
        <is>
          <t>KF-M09-R0-P_baja-0019</t>
        </is>
      </c>
      <c r="B136" s="35" t="n">
        <v>390.0895230731772</v>
      </c>
      <c r="C136" s="35" t="n">
        <v>280.5329335646045</v>
      </c>
      <c r="D136" s="36" t="n">
        <v>3759.404590764645</v>
      </c>
      <c r="E136" s="37" t="n">
        <v>0.6671555361940295</v>
      </c>
      <c r="F136" s="37" t="n">
        <v>0.7695173779539353</v>
      </c>
      <c r="G136" s="37" t="n">
        <v>0.7986098684135777</v>
      </c>
      <c r="H136" s="37" t="n">
        <v>0.8766074197518156</v>
      </c>
      <c r="I136" s="37" t="n">
        <v>0.4012530298600718</v>
      </c>
      <c r="J136" s="37" t="n">
        <v>0.7724713378230247</v>
      </c>
      <c r="K136" s="39" t="inlineStr">
        <is>
          <t>Corregible</t>
        </is>
      </c>
      <c r="L136" s="29" t="n">
        <v>8.928428066282629</v>
      </c>
      <c r="M136" s="35" t="n">
        <v>44.32820888687625</v>
      </c>
      <c r="N136" s="36" t="n">
        <v>3359.404590764645</v>
      </c>
      <c r="O136" s="29" t="n">
        <v>9.398511476911612</v>
      </c>
      <c r="P136" s="16" t="inlineStr">
        <is>
          <t>no</t>
        </is>
      </c>
      <c r="Q136" s="16" t="inlineStr">
        <is>
          <t>O2</t>
        </is>
      </c>
    </row>
    <row r="137">
      <c r="A137" s="16" t="inlineStr">
        <is>
          <t>KF-M09-R0-P_baja-0020</t>
        </is>
      </c>
      <c r="B137" s="35" t="n">
        <v>483.4337215280166</v>
      </c>
      <c r="C137" s="35" t="n">
        <v>300.2592413759941</v>
      </c>
      <c r="D137" s="36" t="n">
        <v>4946.677445529121</v>
      </c>
      <c r="E137" s="37" t="n">
        <v>0.6970132816910302</v>
      </c>
      <c r="F137" s="37" t="n">
        <v>0.9465979279445368</v>
      </c>
      <c r="G137" s="37" t="n">
        <v>0.5284364386901758</v>
      </c>
      <c r="H137" s="37" t="n">
        <v>0.6114943790279923</v>
      </c>
      <c r="I137" s="37" t="n">
        <v>0.4593569845886012</v>
      </c>
      <c r="J137" s="37" t="n">
        <v>0.943000170771315</v>
      </c>
      <c r="K137" s="39" t="inlineStr">
        <is>
          <t>Corregible</t>
        </is>
      </c>
      <c r="L137" s="29" t="n">
        <v>7.79446661905166</v>
      </c>
      <c r="M137" s="35" t="n">
        <v>60.93796340125454</v>
      </c>
      <c r="N137" s="36" t="n">
        <v>4546.677445529121</v>
      </c>
      <c r="O137" s="29" t="n">
        <v>12.3666936138228</v>
      </c>
      <c r="P137" s="16" t="inlineStr">
        <is>
          <t>sí</t>
        </is>
      </c>
      <c r="Q137" s="16" t="inlineStr">
        <is>
          <t>O1,O2</t>
        </is>
      </c>
    </row>
    <row r="138">
      <c r="A138" s="16" t="inlineStr">
        <is>
          <t>KF-M09-R0-P_baja-0021</t>
        </is>
      </c>
      <c r="B138" s="35" t="n">
        <v>513.3468271591757</v>
      </c>
      <c r="C138" s="35" t="n">
        <v>285.9853096296725</v>
      </c>
      <c r="D138" s="36" t="n">
        <v>2526.6366896237</v>
      </c>
      <c r="E138" s="37" t="n">
        <v>0.758884199128127</v>
      </c>
      <c r="F138" s="37" t="n">
        <v>0.8690310933976804</v>
      </c>
      <c r="G138" s="37" t="n">
        <v>0.90096581913158</v>
      </c>
      <c r="H138" s="37" t="n">
        <v>0.7630219872211237</v>
      </c>
      <c r="I138" s="37" t="n">
        <v>0.5255969985344573</v>
      </c>
      <c r="J138" s="37" t="n">
        <v>0.6561059091801759</v>
      </c>
      <c r="K138" s="39" t="inlineStr">
        <is>
          <t>Corregible</t>
        </is>
      </c>
      <c r="L138" s="29" t="n">
        <v>10.62618890215057</v>
      </c>
      <c r="M138" s="35" t="n">
        <v>97.87273352770136</v>
      </c>
      <c r="N138" s="36" t="n">
        <v>2126.6366896237</v>
      </c>
      <c r="O138" s="29" t="n">
        <v>6.31659172405925</v>
      </c>
      <c r="P138" s="16" t="inlineStr">
        <is>
          <t>sí</t>
        </is>
      </c>
      <c r="Q138" s="16" t="inlineStr">
        <is>
          <t>O2</t>
        </is>
      </c>
    </row>
    <row r="139">
      <c r="A139" s="16" t="inlineStr">
        <is>
          <t>KF-M09-R0-P_baja-0022</t>
        </is>
      </c>
      <c r="B139" s="35" t="n">
        <v>401.7916221389685</v>
      </c>
      <c r="C139" s="35" t="n">
        <v>291.0958569748613</v>
      </c>
      <c r="D139" s="36" t="n">
        <v>3569.097971124022</v>
      </c>
      <c r="E139" s="37" t="n">
        <v>0.5781678741255301</v>
      </c>
      <c r="F139" s="37" t="n">
        <v>0.9416672762626636</v>
      </c>
      <c r="G139" s="37" t="n">
        <v>0.7763306620666195</v>
      </c>
      <c r="H139" s="37" t="n">
        <v>0.7189900096528006</v>
      </c>
      <c r="I139" s="37" t="n">
        <v>0.9412790793620548</v>
      </c>
      <c r="J139" s="37" t="n">
        <v>0.5077625862819047</v>
      </c>
      <c r="K139" s="39" t="inlineStr">
        <is>
          <t>Corregible</t>
        </is>
      </c>
      <c r="L139" s="29" t="n">
        <v>12.28015937392833</v>
      </c>
      <c r="M139" s="35" t="n">
        <v>30.32616456038976</v>
      </c>
      <c r="N139" s="36" t="n">
        <v>3169.097971124022</v>
      </c>
      <c r="O139" s="29" t="n">
        <v>8.922744927810056</v>
      </c>
      <c r="P139" s="16" t="inlineStr">
        <is>
          <t>no</t>
        </is>
      </c>
      <c r="Q139" s="16" t="inlineStr">
        <is>
          <t>O2</t>
        </is>
      </c>
    </row>
    <row r="140">
      <c r="A140" s="16" t="inlineStr">
        <is>
          <t>KF-M09-R0-P_baja-0023</t>
        </is>
      </c>
      <c r="B140" s="35" t="n">
        <v>412.8645710566837</v>
      </c>
      <c r="C140" s="35" t="n">
        <v>281.6132643136328</v>
      </c>
      <c r="D140" s="36" t="n">
        <v>3967.206690253421</v>
      </c>
      <c r="E140" s="37" t="n">
        <v>0.7344669090602599</v>
      </c>
      <c r="F140" s="37" t="n">
        <v>0.5545523252892124</v>
      </c>
      <c r="G140" s="37" t="n">
        <v>0.5030797653599716</v>
      </c>
      <c r="H140" s="37" t="n">
        <v>0.5864586815900501</v>
      </c>
      <c r="I140" s="37" t="n">
        <v>0.5566593987223393</v>
      </c>
      <c r="J140" s="37" t="n">
        <v>0.4634374468464632</v>
      </c>
      <c r="K140" s="40" t="inlineStr">
        <is>
          <t>Inviable</t>
        </is>
      </c>
      <c r="L140" s="29" t="n">
        <v>-36.45614027938598</v>
      </c>
      <c r="M140" s="35" t="n">
        <v>-107.751101482317</v>
      </c>
      <c r="N140" s="36" t="n">
        <v>3567.206690253421</v>
      </c>
      <c r="O140" s="29" t="n">
        <v>9.918016725633551</v>
      </c>
      <c r="P140" s="16" t="inlineStr">
        <is>
          <t>no</t>
        </is>
      </c>
      <c r="Q140" s="16" t="inlineStr">
        <is>
          <t>O2,O3</t>
        </is>
      </c>
    </row>
    <row r="141">
      <c r="A141" s="16" t="inlineStr">
        <is>
          <t>KF-M09-R0-P_baja-0024</t>
        </is>
      </c>
      <c r="B141" s="35" t="n">
        <v>490.4881864516277</v>
      </c>
      <c r="C141" s="35" t="n">
        <v>278.2008210025438</v>
      </c>
      <c r="D141" s="36" t="n">
        <v>2617.423527942186</v>
      </c>
      <c r="E141" s="37" t="n">
        <v>0.5184402912095422</v>
      </c>
      <c r="F141" s="37" t="n">
        <v>0.7518605266032214</v>
      </c>
      <c r="G141" s="37" t="n">
        <v>0.8547167239720798</v>
      </c>
      <c r="H141" s="37" t="n">
        <v>0.7763026768206724</v>
      </c>
      <c r="I141" s="37" t="n">
        <v>0.4467940466106538</v>
      </c>
      <c r="J141" s="37" t="n">
        <v>0.7802359319356449</v>
      </c>
      <c r="K141" s="39" t="inlineStr">
        <is>
          <t>Corregible</t>
        </is>
      </c>
      <c r="L141" s="29" t="n">
        <v>10.81513770274963</v>
      </c>
      <c r="M141" s="35" t="n">
        <v>169.6479744050646</v>
      </c>
      <c r="N141" s="36" t="n">
        <v>2217.423527942186</v>
      </c>
      <c r="O141" s="29" t="n">
        <v>6.543558819855466</v>
      </c>
      <c r="P141" s="16" t="inlineStr">
        <is>
          <t>sí</t>
        </is>
      </c>
      <c r="Q141" s="16" t="inlineStr">
        <is>
          <t>O2</t>
        </is>
      </c>
    </row>
    <row r="142">
      <c r="A142" s="16" t="inlineStr">
        <is>
          <t>KF-M09-R0-P_baja-0025</t>
        </is>
      </c>
      <c r="B142" s="35" t="n">
        <v>506.57042710373</v>
      </c>
      <c r="C142" s="35" t="n">
        <v>287.0823987300899</v>
      </c>
      <c r="D142" s="36" t="n">
        <v>2575.431332105853</v>
      </c>
      <c r="E142" s="37" t="n">
        <v>0.7026499567476933</v>
      </c>
      <c r="F142" s="37" t="n">
        <v>0.5629090348020571</v>
      </c>
      <c r="G142" s="37" t="n">
        <v>0.4251995140183658</v>
      </c>
      <c r="H142" s="37" t="n">
        <v>0.5466504415233366</v>
      </c>
      <c r="I142" s="37" t="n">
        <v>0.7724330179946493</v>
      </c>
      <c r="J142" s="37" t="n">
        <v>0.4661236948100704</v>
      </c>
      <c r="K142" s="32" t="inlineStr">
        <is>
          <t>No convergió</t>
        </is>
      </c>
      <c r="L142" s="29" t="inlineStr">
        <is>
          <t>—</t>
        </is>
      </c>
      <c r="M142" s="35" t="inlineStr">
        <is>
          <t>—</t>
        </is>
      </c>
      <c r="N142" s="36" t="n">
        <v>2175.431332105853</v>
      </c>
      <c r="O142" s="29" t="n">
        <v>6.438578330264632</v>
      </c>
      <c r="P142" s="16" t="inlineStr">
        <is>
          <t>no</t>
        </is>
      </c>
      <c r="Q142" s="16" t="n"/>
    </row>
    <row r="143">
      <c r="A143" s="16" t="inlineStr">
        <is>
          <t>KF-M09-R0-P_baja-0026</t>
        </is>
      </c>
      <c r="B143" s="35" t="n">
        <v>407.3451089323821</v>
      </c>
      <c r="C143" s="35" t="n">
        <v>282.6096972122351</v>
      </c>
      <c r="D143" s="36" t="n">
        <v>4978.350170574788</v>
      </c>
      <c r="E143" s="37" t="n">
        <v>0.5299333726454537</v>
      </c>
      <c r="F143" s="37" t="n">
        <v>0.5316378308723249</v>
      </c>
      <c r="G143" s="37" t="n">
        <v>0.8751628073646273</v>
      </c>
      <c r="H143" s="37" t="n">
        <v>0.5416429894595697</v>
      </c>
      <c r="I143" s="37" t="n">
        <v>0.5733014004130026</v>
      </c>
      <c r="J143" s="37" t="n">
        <v>0.8077960239459662</v>
      </c>
      <c r="K143" s="32" t="inlineStr">
        <is>
          <t>No convergió</t>
        </is>
      </c>
      <c r="L143" s="29" t="inlineStr">
        <is>
          <t>—</t>
        </is>
      </c>
      <c r="M143" s="35" t="inlineStr">
        <is>
          <t>—</t>
        </is>
      </c>
      <c r="N143" s="36" t="n">
        <v>4578.350170574788</v>
      </c>
      <c r="O143" s="29" t="n">
        <v>12.44587542643697</v>
      </c>
      <c r="P143" s="16" t="inlineStr">
        <is>
          <t>no</t>
        </is>
      </c>
      <c r="Q143" s="16" t="n"/>
    </row>
    <row r="144">
      <c r="A144" s="16" t="inlineStr">
        <is>
          <t>KF-M09-R0-P_baja-0027</t>
        </is>
      </c>
      <c r="B144" s="35" t="n">
        <v>496.8010019004818</v>
      </c>
      <c r="C144" s="35" t="n">
        <v>288.264627957413</v>
      </c>
      <c r="D144" s="36" t="n">
        <v>2194.537317821811</v>
      </c>
      <c r="E144" s="37" t="n">
        <v>0.6029270073218121</v>
      </c>
      <c r="F144" s="37" t="n">
        <v>0.9229653118945848</v>
      </c>
      <c r="G144" s="37" t="n">
        <v>0.9499464170241052</v>
      </c>
      <c r="H144" s="37" t="n">
        <v>0.4197871746974986</v>
      </c>
      <c r="I144" s="37" t="n">
        <v>0.5478909057855408</v>
      </c>
      <c r="J144" s="37" t="n">
        <v>0.8887422113481581</v>
      </c>
      <c r="K144" s="39" t="inlineStr">
        <is>
          <t>Corregible</t>
        </is>
      </c>
      <c r="L144" s="29" t="n">
        <v>12.72120684774655</v>
      </c>
      <c r="M144" s="35" t="n">
        <v>113.8235381626329</v>
      </c>
      <c r="N144" s="36" t="n">
        <v>1794.537317821811</v>
      </c>
      <c r="O144" s="29" t="n">
        <v>5.486343294554527</v>
      </c>
      <c r="P144" s="16" t="inlineStr">
        <is>
          <t>no</t>
        </is>
      </c>
      <c r="Q144" s="16" t="inlineStr">
        <is>
          <t>O2</t>
        </is>
      </c>
    </row>
    <row r="145">
      <c r="A145" s="16" t="inlineStr">
        <is>
          <t>KF-M09-R0-P_baja-0028</t>
        </is>
      </c>
      <c r="B145" s="35" t="n">
        <v>432.2083811568599</v>
      </c>
      <c r="C145" s="35" t="n">
        <v>294.3208736796544</v>
      </c>
      <c r="D145" s="36" t="n">
        <v>2128.953465360065</v>
      </c>
      <c r="E145" s="37" t="n">
        <v>0.8411774661372389</v>
      </c>
      <c r="F145" s="37" t="n">
        <v>0.4806057099775709</v>
      </c>
      <c r="G145" s="37" t="n">
        <v>0.7384359532981117</v>
      </c>
      <c r="H145" s="37" t="n">
        <v>0.8626025690926653</v>
      </c>
      <c r="I145" s="37" t="n">
        <v>0.8426246057652923</v>
      </c>
      <c r="J145" s="37" t="n">
        <v>0.7250349964172826</v>
      </c>
      <c r="K145" s="40" t="inlineStr">
        <is>
          <t>Inviable</t>
        </is>
      </c>
      <c r="L145" s="29" t="n">
        <v>-29.81324526602283</v>
      </c>
      <c r="M145" s="35" t="n">
        <v>-132.7159557539427</v>
      </c>
      <c r="N145" s="36" t="n">
        <v>1728.953465360065</v>
      </c>
      <c r="O145" s="29" t="n">
        <v>5.322383663400163</v>
      </c>
      <c r="P145" s="16" t="inlineStr">
        <is>
          <t>no</t>
        </is>
      </c>
      <c r="Q145" s="16" t="inlineStr">
        <is>
          <t>O2,O3</t>
        </is>
      </c>
    </row>
    <row r="146">
      <c r="A146" s="16" t="inlineStr">
        <is>
          <t>KF-M09-R0-P_baja-0029</t>
        </is>
      </c>
      <c r="B146" s="35" t="n">
        <v>406.0581936953308</v>
      </c>
      <c r="C146" s="35" t="n">
        <v>293.6376322533743</v>
      </c>
      <c r="D146" s="36" t="n">
        <v>4513.141360580828</v>
      </c>
      <c r="E146" s="37" t="n">
        <v>0.6222786068243517</v>
      </c>
      <c r="F146" s="37" t="n">
        <v>0.4690496095353672</v>
      </c>
      <c r="G146" s="37" t="n">
        <v>0.4985473402855147</v>
      </c>
      <c r="H146" s="37" t="n">
        <v>0.896975680573284</v>
      </c>
      <c r="I146" s="37" t="n">
        <v>0.4815156486320247</v>
      </c>
      <c r="J146" s="37" t="n">
        <v>0.5707921691713063</v>
      </c>
      <c r="K146" s="40" t="inlineStr">
        <is>
          <t>Inviable</t>
        </is>
      </c>
      <c r="L146" s="29" t="n">
        <v>-29.54543938766081</v>
      </c>
      <c r="M146" s="35" t="n">
        <v>-75.47731557863749</v>
      </c>
      <c r="N146" s="36" t="n">
        <v>4113.141360580828</v>
      </c>
      <c r="O146" s="29" t="n">
        <v>11.28285340145207</v>
      </c>
      <c r="P146" s="16" t="inlineStr">
        <is>
          <t>no</t>
        </is>
      </c>
      <c r="Q146" s="16" t="inlineStr">
        <is>
          <t>O2,O3</t>
        </is>
      </c>
    </row>
    <row r="147">
      <c r="A147" s="16" t="inlineStr">
        <is>
          <t>KF-M09-R0-P_baja-0030</t>
        </is>
      </c>
      <c r="B147" s="35" t="n">
        <v>428.660114034136</v>
      </c>
      <c r="C147" s="35" t="n">
        <v>302.3728342530103</v>
      </c>
      <c r="D147" s="36" t="n">
        <v>3270.059974663898</v>
      </c>
      <c r="E147" s="37" t="n">
        <v>0.6752915417260061</v>
      </c>
      <c r="F147" s="37" t="n">
        <v>0.4526656861470832</v>
      </c>
      <c r="G147" s="37" t="n">
        <v>0.8839035033719058</v>
      </c>
      <c r="H147" s="37" t="n">
        <v>0.8718991333686456</v>
      </c>
      <c r="I147" s="37" t="n">
        <v>0.862170744820986</v>
      </c>
      <c r="J147" s="37" t="n">
        <v>0.895224724062794</v>
      </c>
      <c r="K147" s="40" t="inlineStr">
        <is>
          <t>Inviable</t>
        </is>
      </c>
      <c r="L147" s="29" t="n">
        <v>-3.97201194838982</v>
      </c>
      <c r="M147" s="35" t="n">
        <v>-23.10019079012841</v>
      </c>
      <c r="N147" s="36" t="n">
        <v>2870.059974663898</v>
      </c>
      <c r="O147" s="29" t="n">
        <v>8.175149936659745</v>
      </c>
      <c r="P147" s="16" t="inlineStr">
        <is>
          <t>sí</t>
        </is>
      </c>
      <c r="Q147" s="16" t="inlineStr">
        <is>
          <t>O2,O3</t>
        </is>
      </c>
    </row>
    <row r="148">
      <c r="A148" s="16" t="inlineStr">
        <is>
          <t>KF-M09-R0-P_baja-0031</t>
        </is>
      </c>
      <c r="B148" s="35" t="n">
        <v>498.5476378877798</v>
      </c>
      <c r="C148" s="35" t="n">
        <v>293.8795470303742</v>
      </c>
      <c r="D148" s="36" t="n">
        <v>4678.893243760839</v>
      </c>
      <c r="E148" s="37" t="n">
        <v>0.8289893722691262</v>
      </c>
      <c r="F148" s="37" t="n">
        <v>0.935103476280576</v>
      </c>
      <c r="G148" s="37" t="n">
        <v>0.7070633010240031</v>
      </c>
      <c r="H148" s="37" t="n">
        <v>0.8365930181607788</v>
      </c>
      <c r="I148" s="37" t="n">
        <v>0.8468760160087143</v>
      </c>
      <c r="J148" s="37" t="n">
        <v>0.8646902803696654</v>
      </c>
      <c r="K148" s="32" t="inlineStr">
        <is>
          <t>No convergió</t>
        </is>
      </c>
      <c r="L148" s="29" t="inlineStr">
        <is>
          <t>—</t>
        </is>
      </c>
      <c r="M148" s="35" t="inlineStr">
        <is>
          <t>—</t>
        </is>
      </c>
      <c r="N148" s="36" t="n">
        <v>4278.893243760839</v>
      </c>
      <c r="O148" s="29" t="n">
        <v>11.6972331094021</v>
      </c>
      <c r="P148" s="16" t="inlineStr">
        <is>
          <t>no</t>
        </is>
      </c>
      <c r="Q148" s="16" t="n"/>
    </row>
    <row r="149">
      <c r="A149" s="16" t="inlineStr">
        <is>
          <t>KF-M09-R0-P_baja-0032</t>
        </is>
      </c>
      <c r="B149" s="35" t="n">
        <v>410.8237305408341</v>
      </c>
      <c r="C149" s="35" t="n">
        <v>284.8200528736953</v>
      </c>
      <c r="D149" s="36" t="n">
        <v>4810.241446481437</v>
      </c>
      <c r="E149" s="37" t="n">
        <v>0.704926458446241</v>
      </c>
      <c r="F149" s="37" t="n">
        <v>0.6950742650882809</v>
      </c>
      <c r="G149" s="37" t="n">
        <v>0.9344164652007244</v>
      </c>
      <c r="H149" s="37" t="n">
        <v>0.7079901190073608</v>
      </c>
      <c r="I149" s="37" t="n">
        <v>0.8357923812102583</v>
      </c>
      <c r="J149" s="37" t="n">
        <v>0.4200849337535786</v>
      </c>
      <c r="K149" s="40" t="inlineStr">
        <is>
          <t>Inviable</t>
        </is>
      </c>
      <c r="L149" s="29" t="n">
        <v>-7.096469725663599</v>
      </c>
      <c r="M149" s="35" t="n">
        <v>-19.16283623187466</v>
      </c>
      <c r="N149" s="36" t="n">
        <v>4410.241446481437</v>
      </c>
      <c r="O149" s="29" t="n">
        <v>12.02560361620359</v>
      </c>
      <c r="P149" s="16" t="inlineStr">
        <is>
          <t>no</t>
        </is>
      </c>
      <c r="Q149" s="16" t="inlineStr">
        <is>
          <t>O2,O3</t>
        </is>
      </c>
    </row>
    <row r="150">
      <c r="A150" s="16" t="inlineStr">
        <is>
          <t>KF-M09-R0-P_baja-0033</t>
        </is>
      </c>
      <c r="B150" s="35" t="n">
        <v>472.0233316222987</v>
      </c>
      <c r="C150" s="35" t="n">
        <v>298.8165896270337</v>
      </c>
      <c r="D150" s="36" t="n">
        <v>3059.658875643135</v>
      </c>
      <c r="E150" s="37" t="n">
        <v>0.566914102625639</v>
      </c>
      <c r="F150" s="37" t="n">
        <v>0.4053008501701428</v>
      </c>
      <c r="G150" s="37" t="n">
        <v>0.4162192902097469</v>
      </c>
      <c r="H150" s="37" t="n">
        <v>0.4768183589779684</v>
      </c>
      <c r="I150" s="37" t="n">
        <v>0.4280805600543667</v>
      </c>
      <c r="J150" s="37" t="n">
        <v>0.8447210626894177</v>
      </c>
      <c r="K150" s="39" t="inlineStr">
        <is>
          <t>Corregible</t>
        </is>
      </c>
      <c r="L150" s="29" t="n">
        <v>1.47319225768131</v>
      </c>
      <c r="M150" s="35" t="n">
        <v>13.2860025507217</v>
      </c>
      <c r="N150" s="36" t="n">
        <v>2659.658875643135</v>
      </c>
      <c r="O150" s="29" t="n">
        <v>7.649147189107837</v>
      </c>
      <c r="P150" s="16" t="inlineStr">
        <is>
          <t>sí</t>
        </is>
      </c>
      <c r="Q150" s="16" t="inlineStr">
        <is>
          <t>O2</t>
        </is>
      </c>
    </row>
    <row r="151">
      <c r="A151" s="16" t="inlineStr">
        <is>
          <t>KF-M09-R0-P_baja-0034</t>
        </is>
      </c>
      <c r="B151" s="35" t="n">
        <v>499.8747081420206</v>
      </c>
      <c r="C151" s="35" t="n">
        <v>283.2969741987489</v>
      </c>
      <c r="D151" s="36" t="n">
        <v>4569.570205304485</v>
      </c>
      <c r="E151" s="37" t="n">
        <v>0.5829858193040683</v>
      </c>
      <c r="F151" s="37" t="n">
        <v>0.6295342849255781</v>
      </c>
      <c r="G151" s="37" t="n">
        <v>0.7904677238512134</v>
      </c>
      <c r="H151" s="37" t="n">
        <v>0.7992881655068598</v>
      </c>
      <c r="I151" s="37" t="n">
        <v>0.9363315047131104</v>
      </c>
      <c r="J151" s="37" t="n">
        <v>0.4976535837091333</v>
      </c>
      <c r="K151" s="39" t="inlineStr">
        <is>
          <t>Corregible</t>
        </is>
      </c>
      <c r="L151" s="29" t="n">
        <v>1.14225084702902</v>
      </c>
      <c r="M151" s="35" t="n">
        <v>10.66221564335874</v>
      </c>
      <c r="N151" s="36" t="n">
        <v>4169.570205304485</v>
      </c>
      <c r="O151" s="29" t="n">
        <v>11.42392551326121</v>
      </c>
      <c r="P151" s="16" t="inlineStr">
        <is>
          <t>sí</t>
        </is>
      </c>
      <c r="Q151" s="16" t="inlineStr">
        <is>
          <t>O2</t>
        </is>
      </c>
    </row>
    <row r="152">
      <c r="A152" s="16" t="inlineStr">
        <is>
          <t>KF-M09-R0-P_baja-0035</t>
        </is>
      </c>
      <c r="B152" s="35" t="n">
        <v>487.2677344794857</v>
      </c>
      <c r="C152" s="35" t="n">
        <v>287.7043181679097</v>
      </c>
      <c r="D152" s="36" t="n">
        <v>2748.828052789065</v>
      </c>
      <c r="E152" s="37" t="n">
        <v>0.5316073465731022</v>
      </c>
      <c r="F152" s="37" t="n">
        <v>0.8736003461922237</v>
      </c>
      <c r="G152" s="37" t="n">
        <v>0.4444190439747031</v>
      </c>
      <c r="H152" s="37" t="n">
        <v>0.4941350844998696</v>
      </c>
      <c r="I152" s="37" t="n">
        <v>0.6548252982165608</v>
      </c>
      <c r="J152" s="37" t="n">
        <v>0.6826208158520208</v>
      </c>
      <c r="K152" s="39" t="inlineStr">
        <is>
          <t>Corregible</t>
        </is>
      </c>
      <c r="L152" s="29" t="n">
        <v>8.875562777752009</v>
      </c>
      <c r="M152" s="35" t="n">
        <v>81.4446656135201</v>
      </c>
      <c r="N152" s="36" t="n">
        <v>2348.828052789065</v>
      </c>
      <c r="O152" s="29" t="n">
        <v>6.872070131972662</v>
      </c>
      <c r="P152" s="16" t="inlineStr">
        <is>
          <t>sí</t>
        </is>
      </c>
      <c r="Q152" s="16" t="inlineStr">
        <is>
          <t>O2</t>
        </is>
      </c>
    </row>
    <row r="153">
      <c r="A153" s="16" t="inlineStr">
        <is>
          <t>KF-M09-R0-P_baja-0036</t>
        </is>
      </c>
      <c r="B153" s="35" t="n">
        <v>387.7618386203309</v>
      </c>
      <c r="C153" s="35" t="n">
        <v>301.1610795855757</v>
      </c>
      <c r="D153" s="36" t="n">
        <v>3858.676571114248</v>
      </c>
      <c r="E153" s="37" t="n">
        <v>0.7106141780959612</v>
      </c>
      <c r="F153" s="37" t="n">
        <v>0.9044250709809372</v>
      </c>
      <c r="G153" s="37" t="n">
        <v>0.4693387503933942</v>
      </c>
      <c r="H153" s="37" t="n">
        <v>0.557933426930338</v>
      </c>
      <c r="I153" s="37" t="n">
        <v>0.8813109334456043</v>
      </c>
      <c r="J153" s="37" t="n">
        <v>0.7187451706994096</v>
      </c>
      <c r="K153" s="32" t="inlineStr">
        <is>
          <t>No convergió</t>
        </is>
      </c>
      <c r="L153" s="29" t="inlineStr">
        <is>
          <t>—</t>
        </is>
      </c>
      <c r="M153" s="35" t="inlineStr">
        <is>
          <t>—</t>
        </is>
      </c>
      <c r="N153" s="36" t="n">
        <v>3458.676571114248</v>
      </c>
      <c r="O153" s="29" t="n">
        <v>9.646691427785621</v>
      </c>
      <c r="P153" s="16" t="inlineStr">
        <is>
          <t>no</t>
        </is>
      </c>
      <c r="Q153" s="16" t="n"/>
    </row>
    <row r="154">
      <c r="A154" s="16" t="inlineStr">
        <is>
          <t>KF-M09-R0-P_baja-0037</t>
        </is>
      </c>
      <c r="B154" s="35" t="n">
        <v>447.5724571187836</v>
      </c>
      <c r="C154" s="35" t="n">
        <v>285.104520440726</v>
      </c>
      <c r="D154" s="36" t="n">
        <v>2797.66296829824</v>
      </c>
      <c r="E154" s="37" t="n">
        <v>0.6246206010669092</v>
      </c>
      <c r="F154" s="37" t="n">
        <v>0.8051719863235933</v>
      </c>
      <c r="G154" s="37" t="n">
        <v>0.5955303642545765</v>
      </c>
      <c r="H154" s="37" t="n">
        <v>0.5931441360080469</v>
      </c>
      <c r="I154" s="37" t="n">
        <v>0.7684087910766226</v>
      </c>
      <c r="J154" s="37" t="n">
        <v>0.4504414225428634</v>
      </c>
      <c r="K154" s="40" t="inlineStr">
        <is>
          <t>Inviable</t>
        </is>
      </c>
      <c r="L154" s="29" t="n">
        <v>-2.94273414303046</v>
      </c>
      <c r="M154" s="35" t="n">
        <v>-16.61434867618181</v>
      </c>
      <c r="N154" s="36" t="n">
        <v>2397.66296829824</v>
      </c>
      <c r="O154" s="29" t="n">
        <v>6.9941574207456</v>
      </c>
      <c r="P154" s="16" t="inlineStr">
        <is>
          <t>sí</t>
        </is>
      </c>
      <c r="Q154" s="16" t="inlineStr">
        <is>
          <t>O2,O3</t>
        </is>
      </c>
    </row>
    <row r="155">
      <c r="A155" s="16" t="inlineStr">
        <is>
          <t>KF-M09-R0-P_baja-0038</t>
        </is>
      </c>
      <c r="B155" s="35" t="n">
        <v>414.2378071028213</v>
      </c>
      <c r="C155" s="35" t="n">
        <v>299.8870951346445</v>
      </c>
      <c r="D155" s="36" t="n">
        <v>3868.287808380001</v>
      </c>
      <c r="E155" s="37" t="n">
        <v>0.5055246963270761</v>
      </c>
      <c r="F155" s="37" t="n">
        <v>0.8469584091801858</v>
      </c>
      <c r="G155" s="37" t="n">
        <v>0.5729269800869181</v>
      </c>
      <c r="H155" s="37" t="n">
        <v>0.932996894832165</v>
      </c>
      <c r="I155" s="37" t="n">
        <v>0.7805550738972069</v>
      </c>
      <c r="J155" s="37" t="n">
        <v>0.6203381784023688</v>
      </c>
      <c r="K155" s="39" t="inlineStr">
        <is>
          <t>Corregible</t>
        </is>
      </c>
      <c r="L155" s="29" t="n">
        <v>8.28463823946838</v>
      </c>
      <c r="M155" s="35" t="n">
        <v>23.4743464537247</v>
      </c>
      <c r="N155" s="36" t="n">
        <v>3468.287808380001</v>
      </c>
      <c r="O155" s="29" t="n">
        <v>9.670719520950003</v>
      </c>
      <c r="P155" s="16" t="inlineStr">
        <is>
          <t>no</t>
        </is>
      </c>
      <c r="Q155" s="16" t="inlineStr">
        <is>
          <t>O2</t>
        </is>
      </c>
    </row>
    <row r="156">
      <c r="A156" s="16" t="inlineStr">
        <is>
          <t>KF-M09-R0-P_baja-0039</t>
        </is>
      </c>
      <c r="B156" s="35" t="n">
        <v>460.7722725456436</v>
      </c>
      <c r="C156" s="35" t="n">
        <v>291.6418156934516</v>
      </c>
      <c r="D156" s="36" t="n">
        <v>2762.210451547164</v>
      </c>
      <c r="E156" s="37" t="n">
        <v>0.6630851990987985</v>
      </c>
      <c r="F156" s="37" t="n">
        <v>0.777779035711948</v>
      </c>
      <c r="G156" s="37" t="n">
        <v>0.6519738465950593</v>
      </c>
      <c r="H156" s="37" t="n">
        <v>0.5219396818054084</v>
      </c>
      <c r="I156" s="37" t="n">
        <v>0.701222737091983</v>
      </c>
      <c r="J156" s="37" t="n">
        <v>0.7610199830484907</v>
      </c>
      <c r="K156" s="39" t="inlineStr">
        <is>
          <t>Corregible</t>
        </is>
      </c>
      <c r="L156" s="29" t="n">
        <v>7.03237182177391</v>
      </c>
      <c r="M156" s="35" t="n">
        <v>56.42990173687136</v>
      </c>
      <c r="N156" s="36" t="n">
        <v>2362.210451547164</v>
      </c>
      <c r="O156" s="29" t="n">
        <v>6.90552612886791</v>
      </c>
      <c r="P156" s="16" t="inlineStr">
        <is>
          <t>sí</t>
        </is>
      </c>
      <c r="Q156" s="16" t="inlineStr">
        <is>
          <t>O2</t>
        </is>
      </c>
    </row>
    <row r="157">
      <c r="A157" s="16" t="inlineStr">
        <is>
          <t>KF-M09-R0-P_baja-0040</t>
        </is>
      </c>
      <c r="B157" s="35" t="n">
        <v>494.1526684199741</v>
      </c>
      <c r="C157" s="35" t="n">
        <v>301.6781561064189</v>
      </c>
      <c r="D157" s="36" t="n">
        <v>3366.712110044311</v>
      </c>
      <c r="E157" s="37" t="n">
        <v>0.7372751673035868</v>
      </c>
      <c r="F157" s="37" t="n">
        <v>0.6534251309167622</v>
      </c>
      <c r="G157" s="37" t="n">
        <v>0.943346841763573</v>
      </c>
      <c r="H157" s="37" t="n">
        <v>0.5358803441124089</v>
      </c>
      <c r="I157" s="37" t="n">
        <v>0.6252836561144294</v>
      </c>
      <c r="J157" s="37" t="n">
        <v>0.7669584366739646</v>
      </c>
      <c r="K157" s="40" t="inlineStr">
        <is>
          <t>Inviable</t>
        </is>
      </c>
      <c r="L157" s="29" t="n">
        <v>-0.4116995389044199</v>
      </c>
      <c r="M157" s="35" t="n">
        <v>-2.387549863507587</v>
      </c>
      <c r="N157" s="36" t="n">
        <v>2966.712110044311</v>
      </c>
      <c r="O157" s="29" t="n">
        <v>8.416780275110778</v>
      </c>
      <c r="P157" s="16" t="inlineStr">
        <is>
          <t>sí</t>
        </is>
      </c>
      <c r="Q157" s="16" t="inlineStr">
        <is>
          <t>O2,O3</t>
        </is>
      </c>
    </row>
    <row r="158">
      <c r="A158" s="16" t="inlineStr">
        <is>
          <t>KF-M09-R0-P_baja-0041</t>
        </is>
      </c>
      <c r="B158" s="35" t="n">
        <v>454.3306018666777</v>
      </c>
      <c r="C158" s="35" t="n">
        <v>297.4547199378178</v>
      </c>
      <c r="D158" s="36" t="n">
        <v>2377.449057498394</v>
      </c>
      <c r="E158" s="37" t="n">
        <v>0.6737260423223337</v>
      </c>
      <c r="F158" s="37" t="n">
        <v>0.8423897878756745</v>
      </c>
      <c r="G158" s="37" t="n">
        <v>0.728626972886014</v>
      </c>
      <c r="H158" s="37" t="n">
        <v>0.4333285918209788</v>
      </c>
      <c r="I158" s="37" t="n">
        <v>0.7320479512990178</v>
      </c>
      <c r="J158" s="37" t="n">
        <v>0.6400361472482936</v>
      </c>
      <c r="K158" s="39" t="inlineStr">
        <is>
          <t>Corregible</t>
        </is>
      </c>
      <c r="L158" s="29" t="n">
        <v>2.43938154029871</v>
      </c>
      <c r="M158" s="35" t="n">
        <v>13.10637219525748</v>
      </c>
      <c r="N158" s="36" t="n">
        <v>1977.449057498394</v>
      </c>
      <c r="O158" s="29" t="n">
        <v>5.943622643745985</v>
      </c>
      <c r="P158" s="16" t="inlineStr">
        <is>
          <t>no</t>
        </is>
      </c>
      <c r="Q158" s="16" t="inlineStr">
        <is>
          <t>O2</t>
        </is>
      </c>
    </row>
    <row r="159">
      <c r="A159" s="16" t="inlineStr">
        <is>
          <t>KF-M09-R0-P_baja-0042</t>
        </is>
      </c>
      <c r="B159" s="35" t="n">
        <v>382.5336586213046</v>
      </c>
      <c r="C159" s="35" t="n">
        <v>288.5126495953591</v>
      </c>
      <c r="D159" s="36" t="n">
        <v>3492.767126503163</v>
      </c>
      <c r="E159" s="37" t="n">
        <v>0.682733814807345</v>
      </c>
      <c r="F159" s="37" t="n">
        <v>0.8568708738609938</v>
      </c>
      <c r="G159" s="37" t="n">
        <v>0.6954267347329655</v>
      </c>
      <c r="H159" s="37" t="n">
        <v>0.8061968847485482</v>
      </c>
      <c r="I159" s="37" t="n">
        <v>0.5762377149593441</v>
      </c>
      <c r="J159" s="37" t="n">
        <v>0.8052267094934644</v>
      </c>
      <c r="K159" s="39" t="inlineStr">
        <is>
          <t>Corregible</t>
        </is>
      </c>
      <c r="L159" s="29" t="n">
        <v>4.57835500457713</v>
      </c>
      <c r="M159" s="35" t="n">
        <v>14.37737615486254</v>
      </c>
      <c r="N159" s="36" t="n">
        <v>3092.767126503163</v>
      </c>
      <c r="O159" s="29" t="n">
        <v>8.731917816257909</v>
      </c>
      <c r="P159" s="16" t="inlineStr">
        <is>
          <t>no</t>
        </is>
      </c>
      <c r="Q159" s="16" t="inlineStr">
        <is>
          <t>O2</t>
        </is>
      </c>
    </row>
    <row r="160">
      <c r="A160" s="16" t="inlineStr">
        <is>
          <t>KF-M09-R0-P_baja-0043</t>
        </is>
      </c>
      <c r="B160" s="35" t="n">
        <v>409.3630013034181</v>
      </c>
      <c r="C160" s="35" t="n">
        <v>302.688176540033</v>
      </c>
      <c r="D160" s="36" t="n">
        <v>3182.255527701505</v>
      </c>
      <c r="E160" s="37" t="n">
        <v>0.6857047241882447</v>
      </c>
      <c r="F160" s="37" t="n">
        <v>0.8208290513250708</v>
      </c>
      <c r="G160" s="37" t="n">
        <v>0.6725222542020273</v>
      </c>
      <c r="H160" s="37" t="n">
        <v>0.6042851250226093</v>
      </c>
      <c r="I160" s="37" t="n">
        <v>0.913189159968364</v>
      </c>
      <c r="J160" s="37" t="n">
        <v>0.6140525633720582</v>
      </c>
      <c r="K160" s="40" t="inlineStr">
        <is>
          <t>Inviable</t>
        </is>
      </c>
      <c r="L160" s="29" t="n">
        <v>-40.36066764883698</v>
      </c>
      <c r="M160" s="35" t="n">
        <v>-66.08194802102244</v>
      </c>
      <c r="N160" s="36" t="n">
        <v>2782.255527701505</v>
      </c>
      <c r="O160" s="29" t="n">
        <v>7.955638819253763</v>
      </c>
      <c r="P160" s="16" t="inlineStr">
        <is>
          <t>no</t>
        </is>
      </c>
      <c r="Q160" s="16" t="inlineStr">
        <is>
          <t>O2,O3</t>
        </is>
      </c>
    </row>
    <row r="161">
      <c r="A161" s="16" t="inlineStr">
        <is>
          <t>KF-M09-R0-P_baja-0044</t>
        </is>
      </c>
      <c r="B161" s="35" t="n">
        <v>466.3818978640167</v>
      </c>
      <c r="C161" s="35" t="n">
        <v>295.7522243582155</v>
      </c>
      <c r="D161" s="36" t="n">
        <v>4239.466764022976</v>
      </c>
      <c r="E161" s="37" t="n">
        <v>0.5166544497701425</v>
      </c>
      <c r="F161" s="37" t="n">
        <v>0.8963888189016149</v>
      </c>
      <c r="G161" s="37" t="n">
        <v>0.6249831741806881</v>
      </c>
      <c r="H161" s="37" t="n">
        <v>0.4798129704251605</v>
      </c>
      <c r="I161" s="37" t="n">
        <v>0.9016788853426396</v>
      </c>
      <c r="J161" s="37" t="n">
        <v>0.4739710307616019</v>
      </c>
      <c r="K161" s="39" t="inlineStr">
        <is>
          <t>Corregible</t>
        </is>
      </c>
      <c r="L161" s="29" t="n">
        <v>5.61420244832317</v>
      </c>
      <c r="M161" s="35" t="n">
        <v>25.47327710062599</v>
      </c>
      <c r="N161" s="36" t="n">
        <v>3839.466764022976</v>
      </c>
      <c r="O161" s="29" t="n">
        <v>10.59866691005744</v>
      </c>
      <c r="P161" s="16" t="inlineStr">
        <is>
          <t>sí</t>
        </is>
      </c>
      <c r="Q161" s="16" t="inlineStr">
        <is>
          <t>O1,O2</t>
        </is>
      </c>
    </row>
    <row r="162">
      <c r="A162" s="16" t="inlineStr">
        <is>
          <t>KF-M09-R0-P_baja-0045</t>
        </is>
      </c>
      <c r="B162" s="35" t="n">
        <v>448.629987510176</v>
      </c>
      <c r="C162" s="35" t="n">
        <v>297.0586898065044</v>
      </c>
      <c r="D162" s="36" t="n">
        <v>2939.666268217716</v>
      </c>
      <c r="E162" s="37" t="n">
        <v>0.5273140782153604</v>
      </c>
      <c r="F162" s="37" t="n">
        <v>0.6009436149697592</v>
      </c>
      <c r="G162" s="37" t="n">
        <v>0.432328681286408</v>
      </c>
      <c r="H162" s="37" t="n">
        <v>0.4536327506865981</v>
      </c>
      <c r="I162" s="37" t="n">
        <v>0.8219655680303741</v>
      </c>
      <c r="J162" s="37" t="n">
        <v>0.8230845535185429</v>
      </c>
      <c r="K162" s="39" t="inlineStr">
        <is>
          <t>Corregible</t>
        </is>
      </c>
      <c r="L162" s="29" t="n">
        <v>7.987025666902629</v>
      </c>
      <c r="M162" s="35" t="n">
        <v>44.11886903470106</v>
      </c>
      <c r="N162" s="36" t="n">
        <v>2539.666268217716</v>
      </c>
      <c r="O162" s="29" t="n">
        <v>7.34916567054429</v>
      </c>
      <c r="P162" s="16" t="inlineStr">
        <is>
          <t>no</t>
        </is>
      </c>
      <c r="Q162" s="16" t="inlineStr">
        <is>
          <t>O2</t>
        </is>
      </c>
    </row>
    <row r="163">
      <c r="A163" s="16" t="inlineStr">
        <is>
          <t>KF-M09-R0-P_baja-0046</t>
        </is>
      </c>
      <c r="B163" s="35" t="n">
        <v>380.1741231052362</v>
      </c>
      <c r="C163" s="35" t="n">
        <v>282.4374465461065</v>
      </c>
      <c r="D163" s="36" t="n">
        <v>3016.968207865947</v>
      </c>
      <c r="E163" s="37" t="n">
        <v>0.6273564387611211</v>
      </c>
      <c r="F163" s="37" t="n">
        <v>0.9124044568436523</v>
      </c>
      <c r="G163" s="37" t="n">
        <v>0.5826395971363827</v>
      </c>
      <c r="H163" s="37" t="n">
        <v>0.9251586830353694</v>
      </c>
      <c r="I163" s="37" t="n">
        <v>0.7976656667496858</v>
      </c>
      <c r="J163" s="37" t="n">
        <v>0.4424335106210723</v>
      </c>
      <c r="K163" s="40" t="inlineStr">
        <is>
          <t>Inviable</t>
        </is>
      </c>
      <c r="L163" s="29" t="n">
        <v>-0.34476651430317</v>
      </c>
      <c r="M163" s="35" t="n">
        <v>-0.8618017771426238</v>
      </c>
      <c r="N163" s="36" t="n">
        <v>2616.968207865947</v>
      </c>
      <c r="O163" s="29" t="n">
        <v>7.542420519664867</v>
      </c>
      <c r="P163" s="16" t="inlineStr">
        <is>
          <t>no</t>
        </is>
      </c>
      <c r="Q163" s="16" t="inlineStr">
        <is>
          <t>O2,O3</t>
        </is>
      </c>
    </row>
    <row r="164">
      <c r="A164" s="16" t="inlineStr">
        <is>
          <t>KF-M09-R0-P_baja-0047</t>
        </is>
      </c>
      <c r="B164" s="35" t="n">
        <v>441.8202197720118</v>
      </c>
      <c r="C164" s="35" t="n">
        <v>294.1226893096115</v>
      </c>
      <c r="D164" s="36" t="n">
        <v>4894.258720133168</v>
      </c>
      <c r="E164" s="37" t="n">
        <v>0.6147540123406425</v>
      </c>
      <c r="F164" s="37" t="n">
        <v>0.4937467665030054</v>
      </c>
      <c r="G164" s="37" t="n">
        <v>0.7810513025541836</v>
      </c>
      <c r="H164" s="37" t="n">
        <v>0.4289408572804548</v>
      </c>
      <c r="I164" s="37" t="n">
        <v>0.4058721958304453</v>
      </c>
      <c r="J164" s="37" t="n">
        <v>0.5183983196722838</v>
      </c>
      <c r="K164" s="40" t="inlineStr">
        <is>
          <t>Inviable</t>
        </is>
      </c>
      <c r="L164" s="29" t="n">
        <v>-14.8773670232913</v>
      </c>
      <c r="M164" s="35" t="n">
        <v>-44.81489454149997</v>
      </c>
      <c r="N164" s="36" t="n">
        <v>4494.258720133168</v>
      </c>
      <c r="O164" s="29" t="n">
        <v>12.23564680033292</v>
      </c>
      <c r="P164" s="16" t="inlineStr">
        <is>
          <t>no</t>
        </is>
      </c>
      <c r="Q164" s="16" t="inlineStr">
        <is>
          <t>O2,O3</t>
        </is>
      </c>
    </row>
    <row r="165">
      <c r="A165" s="16" t="inlineStr">
        <is>
          <t>KF-M09-R0-P_baja-0048</t>
        </is>
      </c>
      <c r="B165" s="35" t="n">
        <v>446.9369494966269</v>
      </c>
      <c r="C165" s="35" t="n">
        <v>286.3622453800158</v>
      </c>
      <c r="D165" s="36" t="n">
        <v>4637.343978994388</v>
      </c>
      <c r="E165" s="37" t="n">
        <v>0.6393935902720292</v>
      </c>
      <c r="F165" s="37" t="n">
        <v>0.4832957680842596</v>
      </c>
      <c r="G165" s="37" t="n">
        <v>0.5684069863317383</v>
      </c>
      <c r="H165" s="37" t="n">
        <v>0.9427930087130167</v>
      </c>
      <c r="I165" s="37" t="n">
        <v>0.7151323072063119</v>
      </c>
      <c r="J165" s="37" t="n">
        <v>0.7435038190694392</v>
      </c>
      <c r="K165" s="39" t="inlineStr">
        <is>
          <t>Corregible</t>
        </is>
      </c>
      <c r="L165" s="29" t="n">
        <v>5.478736713551839</v>
      </c>
      <c r="M165" s="35" t="n">
        <v>50.38947293986833</v>
      </c>
      <c r="N165" s="36" t="n">
        <v>4237.343978994388</v>
      </c>
      <c r="O165" s="29" t="n">
        <v>11.59335994748597</v>
      </c>
      <c r="P165" s="16" t="inlineStr">
        <is>
          <t>sí</t>
        </is>
      </c>
      <c r="Q165" s="16" t="inlineStr">
        <is>
          <t>O2</t>
        </is>
      </c>
    </row>
    <row r="166">
      <c r="A166" s="16" t="inlineStr">
        <is>
          <t>KF-M09-R0-P_baja-0049</t>
        </is>
      </c>
      <c r="B166" s="35" t="n">
        <v>488.7889534792589</v>
      </c>
      <c r="C166" s="35" t="n">
        <v>283.9473584333426</v>
      </c>
      <c r="D166" s="36" t="n">
        <v>2508.342964634014</v>
      </c>
      <c r="E166" s="37" t="n">
        <v>0.8378817876372266</v>
      </c>
      <c r="F166" s="37" t="n">
        <v>0.6753746608035681</v>
      </c>
      <c r="G166" s="37" t="n">
        <v>0.8979271161716992</v>
      </c>
      <c r="H166" s="37" t="n">
        <v>0.8458062561567298</v>
      </c>
      <c r="I166" s="37" t="n">
        <v>0.6907477864423386</v>
      </c>
      <c r="J166" s="37" t="n">
        <v>0.5144050348708321</v>
      </c>
      <c r="K166" s="32" t="inlineStr">
        <is>
          <t>No convergió</t>
        </is>
      </c>
      <c r="L166" s="29" t="inlineStr">
        <is>
          <t>—</t>
        </is>
      </c>
      <c r="M166" s="35" t="inlineStr">
        <is>
          <t>—</t>
        </is>
      </c>
      <c r="N166" s="36" t="n">
        <v>2108.342964634014</v>
      </c>
      <c r="O166" s="29" t="n">
        <v>6.270857411585036</v>
      </c>
      <c r="P166" s="16" t="inlineStr">
        <is>
          <t>no</t>
        </is>
      </c>
      <c r="Q166" s="16" t="n"/>
    </row>
    <row r="167">
      <c r="A167" s="16" t="inlineStr">
        <is>
          <t>KF-M09-R0-P_baja-0050</t>
        </is>
      </c>
      <c r="B167" s="35" t="n">
        <v>477.911986612304</v>
      </c>
      <c r="C167" s="35" t="n">
        <v>283.5823748471547</v>
      </c>
      <c r="D167" s="36" t="n">
        <v>3929.470435792604</v>
      </c>
      <c r="E167" s="37" t="n">
        <v>0.6930100926864473</v>
      </c>
      <c r="F167" s="37" t="n">
        <v>0.5770345817571184</v>
      </c>
      <c r="G167" s="37" t="n">
        <v>0.4562060512628724</v>
      </c>
      <c r="H167" s="37" t="n">
        <v>0.8527757284954079</v>
      </c>
      <c r="I167" s="37" t="n">
        <v>0.5919886943102178</v>
      </c>
      <c r="J167" s="37" t="n">
        <v>0.924050773848237</v>
      </c>
      <c r="K167" s="39" t="inlineStr">
        <is>
          <t>Corregible</t>
        </is>
      </c>
      <c r="L167" s="29" t="n">
        <v>10.29742137331164</v>
      </c>
      <c r="M167" s="35" t="n">
        <v>171.9820670058033</v>
      </c>
      <c r="N167" s="36" t="n">
        <v>3529.470435792604</v>
      </c>
      <c r="O167" s="29" t="n">
        <v>9.823676089481509</v>
      </c>
      <c r="P167" s="16" t="inlineStr">
        <is>
          <t>sí</t>
        </is>
      </c>
      <c r="Q167" s="16" t="inlineStr">
        <is>
          <t>O2</t>
        </is>
      </c>
    </row>
    <row r="168">
      <c r="A168" s="16" t="inlineStr">
        <is>
          <t>KF-M09-R0-P_baja-0051</t>
        </is>
      </c>
      <c r="B168" s="35" t="n">
        <v>470.3193724083222</v>
      </c>
      <c r="C168" s="35" t="n">
        <v>286.8672111036716</v>
      </c>
      <c r="D168" s="36" t="n">
        <v>2543.991158250607</v>
      </c>
      <c r="E168" s="37" t="n">
        <v>0.5765039188453482</v>
      </c>
      <c r="F168" s="37" t="n">
        <v>0.717202242253086</v>
      </c>
      <c r="G168" s="37" t="n">
        <v>0.6760030999352482</v>
      </c>
      <c r="H168" s="37" t="n">
        <v>0.9090043835588832</v>
      </c>
      <c r="I168" s="37" t="n">
        <v>0.8084636732246219</v>
      </c>
      <c r="J168" s="37" t="n">
        <v>0.8925571585867629</v>
      </c>
      <c r="K168" s="39" t="inlineStr">
        <is>
          <t>Corregible</t>
        </is>
      </c>
      <c r="L168" s="29" t="n">
        <v>10.56834391114248</v>
      </c>
      <c r="M168" s="35" t="n">
        <v>198.4398179847007</v>
      </c>
      <c r="N168" s="36" t="n">
        <v>2143.991158250607</v>
      </c>
      <c r="O168" s="29" t="n">
        <v>6.359977895626518</v>
      </c>
      <c r="P168" s="16" t="inlineStr">
        <is>
          <t>sí</t>
        </is>
      </c>
      <c r="Q168" s="16" t="inlineStr">
        <is>
          <t>O2</t>
        </is>
      </c>
    </row>
    <row r="169">
      <c r="A169" s="16" t="inlineStr">
        <is>
          <t>KF-M09-R0-P_baja-0052</t>
        </is>
      </c>
      <c r="B169" s="35" t="n">
        <v>485.8380480778657</v>
      </c>
      <c r="C169" s="35" t="n">
        <v>278.8603775975355</v>
      </c>
      <c r="D169" s="36" t="n">
        <v>3138.072665225484</v>
      </c>
      <c r="E169" s="37" t="n">
        <v>0.5381094121623704</v>
      </c>
      <c r="F169" s="37" t="n">
        <v>0.7559536263961912</v>
      </c>
      <c r="G169" s="37" t="n">
        <v>0.563399033434022</v>
      </c>
      <c r="H169" s="37" t="n">
        <v>0.7911566117714959</v>
      </c>
      <c r="I169" s="37" t="n">
        <v>0.9224217014311054</v>
      </c>
      <c r="J169" s="37" t="n">
        <v>0.5911757762257686</v>
      </c>
      <c r="K169" s="39" t="inlineStr">
        <is>
          <t>Corregible</t>
        </is>
      </c>
      <c r="L169" s="29" t="n">
        <v>4.59858064156714</v>
      </c>
      <c r="M169" s="35" t="n">
        <v>52.79842325628255</v>
      </c>
      <c r="N169" s="36" t="n">
        <v>2738.072665225484</v>
      </c>
      <c r="O169" s="29" t="n">
        <v>7.84518166306371</v>
      </c>
      <c r="P169" s="16" t="inlineStr">
        <is>
          <t>sí</t>
        </is>
      </c>
      <c r="Q169" s="16" t="inlineStr">
        <is>
          <t>O2</t>
        </is>
      </c>
    </row>
    <row r="170">
      <c r="A170" s="16" t="inlineStr">
        <is>
          <t>KF-M09-R0-P_baja-0053</t>
        </is>
      </c>
      <c r="B170" s="35" t="n">
        <v>482.1102536616116</v>
      </c>
      <c r="C170" s="35" t="n">
        <v>289.5806875189542</v>
      </c>
      <c r="D170" s="36" t="n">
        <v>4837.357759803681</v>
      </c>
      <c r="E170" s="37" t="n">
        <v>0.7749574268855867</v>
      </c>
      <c r="F170" s="37" t="n">
        <v>0.6095849445245956</v>
      </c>
      <c r="G170" s="37" t="n">
        <v>0.7657914394436736</v>
      </c>
      <c r="H170" s="37" t="n">
        <v>0.7608685261725274</v>
      </c>
      <c r="I170" s="37" t="n">
        <v>0.5111526335290441</v>
      </c>
      <c r="J170" s="37" t="n">
        <v>0.5996017577050122</v>
      </c>
      <c r="K170" s="40" t="inlineStr">
        <is>
          <t>Inviable</t>
        </is>
      </c>
      <c r="L170" s="29" t="n">
        <v>-17.48833082277616</v>
      </c>
      <c r="M170" s="35" t="n">
        <v>-94.5574321977152</v>
      </c>
      <c r="N170" s="36" t="n">
        <v>4437.357759803681</v>
      </c>
      <c r="O170" s="29" t="n">
        <v>12.0933943995092</v>
      </c>
      <c r="P170" s="16" t="inlineStr">
        <is>
          <t>sí</t>
        </is>
      </c>
      <c r="Q170" s="16" t="inlineStr">
        <is>
          <t>O2,O3</t>
        </is>
      </c>
    </row>
    <row r="171">
      <c r="A171" s="16" t="inlineStr">
        <is>
          <t>KF-M09-R0-P_baja-0054</t>
        </is>
      </c>
      <c r="B171" s="35" t="n">
        <v>503.5412350533302</v>
      </c>
      <c r="C171" s="35" t="n">
        <v>300.641924616352</v>
      </c>
      <c r="D171" s="36" t="n">
        <v>2036.666838602367</v>
      </c>
      <c r="E171" s="37" t="n">
        <v>0.7907362531762626</v>
      </c>
      <c r="F171" s="37" t="n">
        <v>0.8842411997463735</v>
      </c>
      <c r="G171" s="37" t="n">
        <v>0.5393687769489878</v>
      </c>
      <c r="H171" s="37" t="n">
        <v>0.6527278349691419</v>
      </c>
      <c r="I171" s="37" t="n">
        <v>0.9004627509934814</v>
      </c>
      <c r="J171" s="37" t="n">
        <v>0.6618957183573947</v>
      </c>
      <c r="K171" s="32" t="inlineStr">
        <is>
          <t>No convergió</t>
        </is>
      </c>
      <c r="L171" s="29" t="inlineStr">
        <is>
          <t>—</t>
        </is>
      </c>
      <c r="M171" s="35" t="inlineStr">
        <is>
          <t>—</t>
        </is>
      </c>
      <c r="N171" s="36" t="n">
        <v>1636.666838602367</v>
      </c>
      <c r="O171" s="29" t="n">
        <v>5.091667096505918</v>
      </c>
      <c r="P171" s="16" t="inlineStr">
        <is>
          <t>no</t>
        </is>
      </c>
      <c r="Q171" s="16" t="n"/>
    </row>
    <row r="172">
      <c r="A172" s="16" t="inlineStr">
        <is>
          <t>KF-M09-R0-P_baja-0055</t>
        </is>
      </c>
      <c r="B172" s="35" t="n">
        <v>455.79239309095</v>
      </c>
      <c r="C172" s="35" t="n">
        <v>280.3570015035872</v>
      </c>
      <c r="D172" s="36" t="n">
        <v>4070.061389824458</v>
      </c>
      <c r="E172" s="37" t="n">
        <v>0.552006059103881</v>
      </c>
      <c r="F172" s="37" t="n">
        <v>0.7072907970391954</v>
      </c>
      <c r="G172" s="37" t="n">
        <v>0.5456241650102313</v>
      </c>
      <c r="H172" s="37" t="n">
        <v>0.7514139442595333</v>
      </c>
      <c r="I172" s="37" t="n">
        <v>0.5012790379767167</v>
      </c>
      <c r="J172" s="37" t="n">
        <v>0.6711872759477693</v>
      </c>
      <c r="K172" s="39" t="inlineStr">
        <is>
          <t>Corregible</t>
        </is>
      </c>
      <c r="L172" s="29" t="n">
        <v>8.606481490013069</v>
      </c>
      <c r="M172" s="35" t="n">
        <v>68.82854686289383</v>
      </c>
      <c r="N172" s="36" t="n">
        <v>3670.061389824458</v>
      </c>
      <c r="O172" s="29" t="n">
        <v>10.17515347456114</v>
      </c>
      <c r="P172" s="16" t="inlineStr">
        <is>
          <t>sí</t>
        </is>
      </c>
      <c r="Q172" s="16" t="inlineStr">
        <is>
          <t>O2</t>
        </is>
      </c>
    </row>
    <row r="173">
      <c r="A173" s="16" t="inlineStr">
        <is>
          <t>KF-M09-R0-P_baja-0056</t>
        </is>
      </c>
      <c r="B173" s="35" t="n">
        <v>394.381186932848</v>
      </c>
      <c r="C173" s="35" t="n">
        <v>303.0308111029317</v>
      </c>
      <c r="D173" s="36" t="n">
        <v>4765.082102270693</v>
      </c>
      <c r="E173" s="37" t="n">
        <v>0.7490278980727345</v>
      </c>
      <c r="F173" s="37" t="n">
        <v>0.505861003791786</v>
      </c>
      <c r="G173" s="37" t="n">
        <v>0.8912705167500192</v>
      </c>
      <c r="H173" s="37" t="n">
        <v>0.5649593313283169</v>
      </c>
      <c r="I173" s="37" t="n">
        <v>0.4246065612253588</v>
      </c>
      <c r="J173" s="37" t="n">
        <v>0.7998925741544127</v>
      </c>
      <c r="K173" s="32" t="inlineStr">
        <is>
          <t>No convergió</t>
        </is>
      </c>
      <c r="L173" s="29" t="inlineStr">
        <is>
          <t>—</t>
        </is>
      </c>
      <c r="M173" s="35" t="inlineStr">
        <is>
          <t>—</t>
        </is>
      </c>
      <c r="N173" s="36" t="n">
        <v>4365.082102270693</v>
      </c>
      <c r="O173" s="29" t="n">
        <v>11.91270525567673</v>
      </c>
      <c r="P173" s="16" t="inlineStr">
        <is>
          <t>no</t>
        </is>
      </c>
      <c r="Q173" s="16" t="n"/>
    </row>
    <row r="174">
      <c r="A174" s="16" t="inlineStr">
        <is>
          <t>KF-M09-R0-P_baja-0057</t>
        </is>
      </c>
      <c r="B174" s="35" t="n">
        <v>517.9453059959426</v>
      </c>
      <c r="C174" s="35" t="n">
        <v>293.297803304419</v>
      </c>
      <c r="D174" s="36" t="n">
        <v>2870.978869474199</v>
      </c>
      <c r="E174" s="37" t="n">
        <v>0.5458764891902892</v>
      </c>
      <c r="F174" s="37" t="n">
        <v>0.6854151469864536</v>
      </c>
      <c r="G174" s="37" t="n">
        <v>0.7617167268658269</v>
      </c>
      <c r="H174" s="37" t="n">
        <v>0.4560677026224946</v>
      </c>
      <c r="I174" s="37" t="n">
        <v>0.5073446249333828</v>
      </c>
      <c r="J174" s="37" t="n">
        <v>0.5508045024060789</v>
      </c>
      <c r="K174" s="39" t="inlineStr">
        <is>
          <t>Corregible</t>
        </is>
      </c>
      <c r="L174" s="29" t="n">
        <v>3.93973374274653</v>
      </c>
      <c r="M174" s="35" t="n">
        <v>30.31398449965039</v>
      </c>
      <c r="N174" s="36" t="n">
        <v>2470.978869474199</v>
      </c>
      <c r="O174" s="29" t="n">
        <v>7.177447173685497</v>
      </c>
      <c r="P174" s="16" t="inlineStr">
        <is>
          <t>sí</t>
        </is>
      </c>
      <c r="Q174" s="16" t="inlineStr">
        <is>
          <t>O2</t>
        </is>
      </c>
    </row>
    <row r="175">
      <c r="A175" s="16" t="inlineStr">
        <is>
          <t>KF-M09-R0-P_baja-0058</t>
        </is>
      </c>
      <c r="B175" s="35" t="n">
        <v>484.9822111396999</v>
      </c>
      <c r="C175" s="35" t="n">
        <v>279.8788938154524</v>
      </c>
      <c r="D175" s="36" t="n">
        <v>2021.508121351221</v>
      </c>
      <c r="E175" s="37" t="n">
        <v>0.8321495560111842</v>
      </c>
      <c r="F175" s="37" t="n">
        <v>0.7632961074169256</v>
      </c>
      <c r="G175" s="37" t="n">
        <v>0.6087033076346875</v>
      </c>
      <c r="H175" s="37" t="n">
        <v>0.4457135225804997</v>
      </c>
      <c r="I175" s="37" t="n">
        <v>0.8890518365472075</v>
      </c>
      <c r="J175" s="37" t="n">
        <v>0.5011673353298788</v>
      </c>
      <c r="K175" s="32" t="inlineStr">
        <is>
          <t>No convergió</t>
        </is>
      </c>
      <c r="L175" s="29" t="inlineStr">
        <is>
          <t>—</t>
        </is>
      </c>
      <c r="M175" s="35" t="inlineStr">
        <is>
          <t>—</t>
        </is>
      </c>
      <c r="N175" s="36" t="n">
        <v>1621.508121351221</v>
      </c>
      <c r="O175" s="29" t="n">
        <v>5.053770303378052</v>
      </c>
      <c r="P175" s="16" t="inlineStr">
        <is>
          <t>no</t>
        </is>
      </c>
      <c r="Q175" s="16" t="n"/>
    </row>
    <row r="176">
      <c r="A176" s="16" t="inlineStr">
        <is>
          <t>KF-M09-R0-P_baja-0059</t>
        </is>
      </c>
      <c r="B176" s="35" t="n">
        <v>426.1506069068979</v>
      </c>
      <c r="C176" s="35" t="n">
        <v>300.0015688670522</v>
      </c>
      <c r="D176" s="36" t="n">
        <v>3309.936725219627</v>
      </c>
      <c r="E176" s="37" t="n">
        <v>0.7605268987870835</v>
      </c>
      <c r="F176" s="37" t="n">
        <v>0.4640644447472568</v>
      </c>
      <c r="G176" s="37" t="n">
        <v>0.7340504349865887</v>
      </c>
      <c r="H176" s="37" t="n">
        <v>0.7690856214426774</v>
      </c>
      <c r="I176" s="37" t="n">
        <v>0.600952530000779</v>
      </c>
      <c r="J176" s="37" t="n">
        <v>0.4118790899866573</v>
      </c>
      <c r="K176" s="40" t="inlineStr">
        <is>
          <t>Inviable</t>
        </is>
      </c>
      <c r="L176" s="29" t="n">
        <v>-275.9145335654297</v>
      </c>
      <c r="M176" s="35" t="n">
        <v>-210.9643637236944</v>
      </c>
      <c r="N176" s="36" t="n">
        <v>2909.936725219627</v>
      </c>
      <c r="O176" s="29" t="n">
        <v>8.274841813049068</v>
      </c>
      <c r="P176" s="16" t="inlineStr">
        <is>
          <t>sí</t>
        </is>
      </c>
      <c r="Q176" s="16" t="inlineStr">
        <is>
          <t>O2,O3</t>
        </is>
      </c>
    </row>
    <row r="177">
      <c r="A177" s="16" t="inlineStr">
        <is>
          <t>KF-M09-R0-P_baja-0060</t>
        </is>
      </c>
      <c r="B177" s="35" t="n">
        <v>419.1016301834545</v>
      </c>
      <c r="C177" s="35" t="n">
        <v>285.2770938073702</v>
      </c>
      <c r="D177" s="36" t="n">
        <v>3636.733644068622</v>
      </c>
      <c r="E177" s="37" t="n">
        <v>0.5925317753773581</v>
      </c>
      <c r="F177" s="37" t="n">
        <v>0.4465910496727273</v>
      </c>
      <c r="G177" s="37" t="n">
        <v>0.4075244841974122</v>
      </c>
      <c r="H177" s="37" t="n">
        <v>0.8617857825910793</v>
      </c>
      <c r="I177" s="37" t="n">
        <v>0.7288470937480188</v>
      </c>
      <c r="J177" s="37" t="n">
        <v>0.63323178475265</v>
      </c>
      <c r="K177" s="40" t="inlineStr">
        <is>
          <t>Inviable</t>
        </is>
      </c>
      <c r="L177" s="29" t="n">
        <v>-2.88520458405588</v>
      </c>
      <c r="M177" s="35" t="n">
        <v>-14.78561207701846</v>
      </c>
      <c r="N177" s="36" t="n">
        <v>3236.733644068622</v>
      </c>
      <c r="O177" s="29" t="n">
        <v>9.091834110171556</v>
      </c>
      <c r="P177" s="16" t="inlineStr">
        <is>
          <t>no</t>
        </is>
      </c>
      <c r="Q177" s="16" t="inlineStr">
        <is>
          <t>O2,O3</t>
        </is>
      </c>
    </row>
    <row r="178">
      <c r="A178" s="16" t="inlineStr">
        <is>
          <t>KF-M09-R0-P_baja-0061</t>
        </is>
      </c>
      <c r="B178" s="35" t="n">
        <v>383.6658406237578</v>
      </c>
      <c r="C178" s="35" t="n">
        <v>289.2396912067367</v>
      </c>
      <c r="D178" s="36" t="n">
        <v>3433.421605436529</v>
      </c>
      <c r="E178" s="37" t="n">
        <v>0.7208433681470345</v>
      </c>
      <c r="F178" s="37" t="n">
        <v>0.4149586494999728</v>
      </c>
      <c r="G178" s="37" t="n">
        <v>0.6983840953003734</v>
      </c>
      <c r="H178" s="37" t="n">
        <v>0.5317587952543991</v>
      </c>
      <c r="I178" s="37" t="n">
        <v>0.6362123459455024</v>
      </c>
      <c r="J178" s="37" t="n">
        <v>0.9368244776394056</v>
      </c>
      <c r="K178" s="40" t="inlineStr">
        <is>
          <t>Inviable</t>
        </is>
      </c>
      <c r="L178" s="29" t="n">
        <v>-23.93494478322833</v>
      </c>
      <c r="M178" s="35" t="n">
        <v>-52.20873328429398</v>
      </c>
      <c r="N178" s="36" t="n">
        <v>3033.421605436529</v>
      </c>
      <c r="O178" s="29" t="n">
        <v>8.583554013591321</v>
      </c>
      <c r="P178" s="16" t="inlineStr">
        <is>
          <t>no</t>
        </is>
      </c>
      <c r="Q178" s="16" t="inlineStr">
        <is>
          <t>O2,O3</t>
        </is>
      </c>
    </row>
    <row r="179">
      <c r="A179" s="16" t="inlineStr">
        <is>
          <t>KF-M09-R0-P_baja-0062</t>
        </is>
      </c>
      <c r="B179" s="35" t="n">
        <v>384.2226159193298</v>
      </c>
      <c r="C179" s="35" t="n">
        <v>278.6161454128517</v>
      </c>
      <c r="D179" s="36" t="n">
        <v>2832.577281343034</v>
      </c>
      <c r="E179" s="37" t="n">
        <v>0.8058889078249911</v>
      </c>
      <c r="F179" s="37" t="n">
        <v>0.5951762633137541</v>
      </c>
      <c r="G179" s="37" t="n">
        <v>0.4169399851529998</v>
      </c>
      <c r="H179" s="37" t="n">
        <v>0.6825237518371244</v>
      </c>
      <c r="I179" s="37" t="n">
        <v>0.9459468483850734</v>
      </c>
      <c r="J179" s="37" t="n">
        <v>0.4591616873950245</v>
      </c>
      <c r="K179" s="40" t="inlineStr">
        <is>
          <t>Inviable</t>
        </is>
      </c>
      <c r="L179" s="29" t="n">
        <v>-80.97852187017274</v>
      </c>
      <c r="M179" s="35" t="n">
        <v>-165.3064366508682</v>
      </c>
      <c r="N179" s="36" t="n">
        <v>2432.577281343034</v>
      </c>
      <c r="O179" s="29" t="n">
        <v>7.081443203357586</v>
      </c>
      <c r="P179" s="16" t="inlineStr">
        <is>
          <t>no</t>
        </is>
      </c>
      <c r="Q179" s="16" t="inlineStr">
        <is>
          <t>O2,O3</t>
        </is>
      </c>
    </row>
    <row r="180">
      <c r="A180" s="16" t="inlineStr">
        <is>
          <t>KF-M09-R0-P_baja-0063</t>
        </is>
      </c>
      <c r="B180" s="35" t="n">
        <v>517.1603526902738</v>
      </c>
      <c r="C180" s="35" t="n">
        <v>297.3241530387248</v>
      </c>
      <c r="D180" s="36" t="n">
        <v>3801.831214775442</v>
      </c>
      <c r="E180" s="37" t="n">
        <v>0.6567115754430741</v>
      </c>
      <c r="F180" s="37" t="n">
        <v>0.6389856559855525</v>
      </c>
      <c r="G180" s="37" t="n">
        <v>0.600130673231307</v>
      </c>
      <c r="H180" s="37" t="n">
        <v>0.4011382983229966</v>
      </c>
      <c r="I180" s="37" t="n">
        <v>0.8903682646018868</v>
      </c>
      <c r="J180" s="37" t="n">
        <v>0.4874884584997231</v>
      </c>
      <c r="K180" s="40" t="inlineStr">
        <is>
          <t>Inviable</t>
        </is>
      </c>
      <c r="L180" s="29" t="n">
        <v>-32.82280843675787</v>
      </c>
      <c r="M180" s="35" t="n">
        <v>-135.2565536916156</v>
      </c>
      <c r="N180" s="36" t="n">
        <v>3401.831214775442</v>
      </c>
      <c r="O180" s="29" t="n">
        <v>9.504578036938604</v>
      </c>
      <c r="P180" s="16" t="inlineStr">
        <is>
          <t>sí</t>
        </is>
      </c>
      <c r="Q180" s="16" t="inlineStr">
        <is>
          <t>O2,O3</t>
        </is>
      </c>
    </row>
    <row r="181">
      <c r="A181" s="16" t="inlineStr">
        <is>
          <t>KF-M09-R0-P_baja-0064</t>
        </is>
      </c>
      <c r="B181" s="35" t="n">
        <v>461.4589769110414</v>
      </c>
      <c r="C181" s="35" t="n">
        <v>278.9745515056785</v>
      </c>
      <c r="D181" s="36" t="n">
        <v>2708.443870728522</v>
      </c>
      <c r="E181" s="37" t="n">
        <v>0.7956269448343976</v>
      </c>
      <c r="F181" s="37" t="n">
        <v>0.4731585488489314</v>
      </c>
      <c r="G181" s="37" t="n">
        <v>0.5220477772893289</v>
      </c>
      <c r="H181" s="37" t="n">
        <v>0.7085727331901421</v>
      </c>
      <c r="I181" s="37" t="n">
        <v>0.612335402986907</v>
      </c>
      <c r="J181" s="37" t="n">
        <v>0.8146479446432948</v>
      </c>
      <c r="K181" s="39" t="inlineStr">
        <is>
          <t>Corregible</t>
        </is>
      </c>
      <c r="L181" s="29" t="n">
        <v>1.34021280665896</v>
      </c>
      <c r="M181" s="35" t="n">
        <v>14.15750798231849</v>
      </c>
      <c r="N181" s="36" t="n">
        <v>2308.443870728522</v>
      </c>
      <c r="O181" s="29" t="n">
        <v>6.771109676821304</v>
      </c>
      <c r="P181" s="16" t="inlineStr">
        <is>
          <t>no</t>
        </is>
      </c>
      <c r="Q181" s="16" t="inlineStr">
        <is>
          <t>O2</t>
        </is>
      </c>
    </row>
    <row r="182">
      <c r="A182" s="16" t="inlineStr">
        <is>
          <t>KF-M09-R0-P_baja-0065</t>
        </is>
      </c>
      <c r="B182" s="35" t="n">
        <v>495.9590644933638</v>
      </c>
      <c r="C182" s="35" t="n">
        <v>292.4547874963621</v>
      </c>
      <c r="D182" s="36" t="n">
        <v>2109.440094638068</v>
      </c>
      <c r="E182" s="37" t="n">
        <v>0.5423803120354258</v>
      </c>
      <c r="F182" s="37" t="n">
        <v>0.8306663590331341</v>
      </c>
      <c r="G182" s="37" t="n">
        <v>0.4819361276320286</v>
      </c>
      <c r="H182" s="37" t="n">
        <v>0.8916634314731091</v>
      </c>
      <c r="I182" s="37" t="n">
        <v>0.7044565412360511</v>
      </c>
      <c r="J182" s="37" t="n">
        <v>0.5969382380327621</v>
      </c>
      <c r="K182" s="39" t="inlineStr">
        <is>
          <t>Corregible</t>
        </is>
      </c>
      <c r="L182" s="29" t="n">
        <v>1.91205074744708</v>
      </c>
      <c r="M182" s="35" t="n">
        <v>23.56191904095093</v>
      </c>
      <c r="N182" s="36" t="n">
        <v>1709.440094638068</v>
      </c>
      <c r="O182" s="29" t="n">
        <v>5.273600236595169</v>
      </c>
      <c r="P182" s="16" t="inlineStr">
        <is>
          <t>sí</t>
        </is>
      </c>
      <c r="Q182" s="16" t="inlineStr">
        <is>
          <t>O2</t>
        </is>
      </c>
    </row>
    <row r="183">
      <c r="A183" s="16" t="inlineStr">
        <is>
          <t>KF-M09-R0-P_baja-0066</t>
        </is>
      </c>
      <c r="B183" s="35" t="n">
        <v>445.5903487276541</v>
      </c>
      <c r="C183" s="35" t="n">
        <v>300.8127711160128</v>
      </c>
      <c r="D183" s="36" t="n">
        <v>3982.337466454122</v>
      </c>
      <c r="E183" s="37" t="n">
        <v>0.5901784284741397</v>
      </c>
      <c r="F183" s="37" t="n">
        <v>0.7927462587501863</v>
      </c>
      <c r="G183" s="37" t="n">
        <v>0.7508131278691006</v>
      </c>
      <c r="H183" s="37" t="n">
        <v>0.8835380245952651</v>
      </c>
      <c r="I183" s="37" t="n">
        <v>0.7913960861246714</v>
      </c>
      <c r="J183" s="37" t="n">
        <v>0.5662090202549421</v>
      </c>
      <c r="K183" s="39" t="inlineStr">
        <is>
          <t>Corregible</t>
        </is>
      </c>
      <c r="L183" s="29" t="n">
        <v>3.4827115750642</v>
      </c>
      <c r="M183" s="35" t="n">
        <v>18.23737314591398</v>
      </c>
      <c r="N183" s="36" t="n">
        <v>3582.337466454122</v>
      </c>
      <c r="O183" s="29" t="n">
        <v>9.955843666135308</v>
      </c>
      <c r="P183" s="16" t="inlineStr">
        <is>
          <t>sí</t>
        </is>
      </c>
      <c r="Q183" s="16" t="inlineStr">
        <is>
          <t>O2</t>
        </is>
      </c>
    </row>
    <row r="184">
      <c r="A184" s="16" t="inlineStr">
        <is>
          <t>KF-M09-R0-P_baja-0067</t>
        </is>
      </c>
      <c r="B184" s="35" t="n">
        <v>433.2122061562321</v>
      </c>
      <c r="C184" s="35" t="n">
        <v>285.7410799012608</v>
      </c>
      <c r="D184" s="36" t="n">
        <v>3501.503804078227</v>
      </c>
      <c r="E184" s="37" t="n">
        <v>0.7524056193579705</v>
      </c>
      <c r="F184" s="37" t="n">
        <v>0.4893650408663336</v>
      </c>
      <c r="G184" s="37" t="n">
        <v>0.7141297574407621</v>
      </c>
      <c r="H184" s="37" t="n">
        <v>0.6012181747585521</v>
      </c>
      <c r="I184" s="37" t="n">
        <v>0.5204686582523937</v>
      </c>
      <c r="J184" s="37" t="n">
        <v>0.6145800518839555</v>
      </c>
      <c r="K184" s="40" t="inlineStr">
        <is>
          <t>Inviable</t>
        </is>
      </c>
      <c r="L184" s="29" t="n">
        <v>-18.90154058860491</v>
      </c>
      <c r="M184" s="35" t="n">
        <v>-83.32099796465398</v>
      </c>
      <c r="N184" s="36" t="n">
        <v>3101.503804078227</v>
      </c>
      <c r="O184" s="29" t="n">
        <v>8.753759510195568</v>
      </c>
      <c r="P184" s="16" t="inlineStr">
        <is>
          <t>no</t>
        </is>
      </c>
      <c r="Q184" s="16" t="inlineStr">
        <is>
          <t>O2,O3</t>
        </is>
      </c>
    </row>
    <row r="185">
      <c r="A185" s="16" t="inlineStr">
        <is>
          <t>KF-M09-R0-P_baja-0068</t>
        </is>
      </c>
      <c r="B185" s="35" t="n">
        <v>519.3204535529295</v>
      </c>
      <c r="C185" s="35" t="n">
        <v>299.5940694635852</v>
      </c>
      <c r="D185" s="36" t="n">
        <v>4378.326200045492</v>
      </c>
      <c r="E185" s="37" t="n">
        <v>0.7885094357051001</v>
      </c>
      <c r="F185" s="37" t="n">
        <v>0.9309808449970234</v>
      </c>
      <c r="G185" s="37" t="n">
        <v>0.5102844727861247</v>
      </c>
      <c r="H185" s="37" t="n">
        <v>0.94753350500198</v>
      </c>
      <c r="I185" s="37" t="n">
        <v>0.4917645798366635</v>
      </c>
      <c r="J185" s="37" t="n">
        <v>0.905468388947796</v>
      </c>
      <c r="K185" s="32" t="inlineStr">
        <is>
          <t>No convergió</t>
        </is>
      </c>
      <c r="L185" s="29" t="inlineStr">
        <is>
          <t>—</t>
        </is>
      </c>
      <c r="M185" s="35" t="inlineStr">
        <is>
          <t>—</t>
        </is>
      </c>
      <c r="N185" s="36" t="n">
        <v>3978.326200045493</v>
      </c>
      <c r="O185" s="29" t="n">
        <v>10.94581550011373</v>
      </c>
      <c r="P185" s="16" t="inlineStr">
        <is>
          <t>no</t>
        </is>
      </c>
      <c r="Q185" s="16" t="n"/>
    </row>
    <row r="186">
      <c r="A186" s="16" t="inlineStr">
        <is>
          <t>KF-M09-R0-P_baja-0069</t>
        </is>
      </c>
      <c r="B186" s="35" t="n">
        <v>469.2391544466771</v>
      </c>
      <c r="C186" s="35" t="n">
        <v>279.5726564573799</v>
      </c>
      <c r="D186" s="36" t="n">
        <v>3238.745826256804</v>
      </c>
      <c r="E186" s="37" t="n">
        <v>0.5019743324019631</v>
      </c>
      <c r="F186" s="37" t="n">
        <v>0.5167130211272033</v>
      </c>
      <c r="G186" s="37" t="n">
        <v>0.7954440875681017</v>
      </c>
      <c r="H186" s="37" t="n">
        <v>0.7341035610468708</v>
      </c>
      <c r="I186" s="37" t="n">
        <v>0.6962248891517194</v>
      </c>
      <c r="J186" s="37" t="n">
        <v>0.7884808288728686</v>
      </c>
      <c r="K186" s="39" t="inlineStr">
        <is>
          <t>Corregible</t>
        </is>
      </c>
      <c r="L186" s="29" t="n">
        <v>7.89479427732645</v>
      </c>
      <c r="M186" s="35" t="n">
        <v>97.30288690639824</v>
      </c>
      <c r="N186" s="36" t="n">
        <v>2838.745826256804</v>
      </c>
      <c r="O186" s="29" t="n">
        <v>8.096864565642012</v>
      </c>
      <c r="P186" s="16" t="inlineStr">
        <is>
          <t>sí</t>
        </is>
      </c>
      <c r="Q186" s="16" t="inlineStr">
        <is>
          <t>O2</t>
        </is>
      </c>
    </row>
    <row r="187">
      <c r="A187" s="16" t="inlineStr">
        <is>
          <t>KF-M09-R0-P_baja-0070</t>
        </is>
      </c>
      <c r="B187" s="35" t="n">
        <v>490.7472369273342</v>
      </c>
      <c r="C187" s="35" t="n">
        <v>289.8364524922718</v>
      </c>
      <c r="D187" s="36" t="n">
        <v>2337.789555996227</v>
      </c>
      <c r="E187" s="37" t="n">
        <v>0.7483627715401147</v>
      </c>
      <c r="F187" s="37" t="n">
        <v>0.5512069303988275</v>
      </c>
      <c r="G187" s="37" t="n">
        <v>0.753984984669531</v>
      </c>
      <c r="H187" s="37" t="n">
        <v>0.8280883406696625</v>
      </c>
      <c r="I187" s="37" t="n">
        <v>0.9064518036410828</v>
      </c>
      <c r="J187" s="37" t="n">
        <v>0.7472970405505075</v>
      </c>
      <c r="K187" s="40" t="inlineStr">
        <is>
          <t>Inviable</t>
        </is>
      </c>
      <c r="L187" s="29" t="n">
        <v>-2.14709330489118</v>
      </c>
      <c r="M187" s="35" t="n">
        <v>-20.63373079703828</v>
      </c>
      <c r="N187" s="36" t="n">
        <v>1937.789555996227</v>
      </c>
      <c r="O187" s="29" t="n">
        <v>5.844473889990566</v>
      </c>
      <c r="P187" s="16" t="inlineStr">
        <is>
          <t>sí</t>
        </is>
      </c>
      <c r="Q187" s="16" t="inlineStr">
        <is>
          <t>O2,O3</t>
        </is>
      </c>
    </row>
    <row r="188">
      <c r="A188" s="16" t="inlineStr">
        <is>
          <t>KF-M09-R0-P_baja-0071</t>
        </is>
      </c>
      <c r="B188" s="35" t="n">
        <v>502.5272407998486</v>
      </c>
      <c r="C188" s="35" t="n">
        <v>290.6021987731476</v>
      </c>
      <c r="D188" s="36" t="n">
        <v>2678.40155321621</v>
      </c>
      <c r="E188" s="37" t="n">
        <v>0.7802648800894454</v>
      </c>
      <c r="F188" s="37" t="n">
        <v>0.9104231096058808</v>
      </c>
      <c r="G188" s="37" t="n">
        <v>0.6617660033368199</v>
      </c>
      <c r="H188" s="37" t="n">
        <v>0.677822230083427</v>
      </c>
      <c r="I188" s="37" t="n">
        <v>0.4131997800903245</v>
      </c>
      <c r="J188" s="37" t="n">
        <v>0.9118400631100608</v>
      </c>
      <c r="K188" s="39" t="inlineStr">
        <is>
          <t>Corregible</t>
        </is>
      </c>
      <c r="L188" s="29" t="n">
        <v>8.12796106476492</v>
      </c>
      <c r="M188" s="35" t="n">
        <v>69.02029751176417</v>
      </c>
      <c r="N188" s="36" t="n">
        <v>2278.40155321621</v>
      </c>
      <c r="O188" s="29" t="n">
        <v>6.696003883040525</v>
      </c>
      <c r="P188" s="16" t="inlineStr">
        <is>
          <t>sí</t>
        </is>
      </c>
      <c r="Q188" s="16" t="inlineStr">
        <is>
          <t>O2</t>
        </is>
      </c>
    </row>
    <row r="189">
      <c r="A189" s="16" t="inlineStr">
        <is>
          <t>KF-M09-R0-P_baja-0072</t>
        </is>
      </c>
      <c r="B189" s="35" t="n">
        <v>439.566017732414</v>
      </c>
      <c r="C189" s="35" t="n">
        <v>298.2774531590396</v>
      </c>
      <c r="D189" s="36" t="n">
        <v>3166.285068073262</v>
      </c>
      <c r="E189" s="37" t="n">
        <v>0.5632541594961453</v>
      </c>
      <c r="F189" s="37" t="n">
        <v>0.7827548017449502</v>
      </c>
      <c r="G189" s="37" t="n">
        <v>0.6847284637897656</v>
      </c>
      <c r="H189" s="37" t="n">
        <v>0.8329380518725322</v>
      </c>
      <c r="I189" s="37" t="n">
        <v>0.8290978127131394</v>
      </c>
      <c r="J189" s="37" t="n">
        <v>0.6461472200680819</v>
      </c>
      <c r="K189" s="39" t="inlineStr">
        <is>
          <t>Corregible</t>
        </is>
      </c>
      <c r="L189" s="29" t="n">
        <v>8.152187883258421</v>
      </c>
      <c r="M189" s="35" t="n">
        <v>55.49952256058739</v>
      </c>
      <c r="N189" s="36" t="n">
        <v>2766.285068073262</v>
      </c>
      <c r="O189" s="29" t="n">
        <v>7.915712670183154</v>
      </c>
      <c r="P189" s="16" t="inlineStr">
        <is>
          <t>sí</t>
        </is>
      </c>
      <c r="Q189" s="16" t="inlineStr">
        <is>
          <t>O2</t>
        </is>
      </c>
    </row>
    <row r="190">
      <c r="A190" s="16" t="inlineStr">
        <is>
          <t>KF-M09-R0-P_baja-0073</t>
        </is>
      </c>
      <c r="B190" s="35" t="n">
        <v>437.5025249612047</v>
      </c>
      <c r="C190" s="35" t="n">
        <v>282.9666627384342</v>
      </c>
      <c r="D190" s="36" t="n">
        <v>3324.942165385844</v>
      </c>
      <c r="E190" s="37" t="n">
        <v>0.5842445699111787</v>
      </c>
      <c r="F190" s="37" t="n">
        <v>0.5359857128161554</v>
      </c>
      <c r="G190" s="37" t="n">
        <v>0.5551034396543604</v>
      </c>
      <c r="H190" s="37" t="n">
        <v>0.8122190597103819</v>
      </c>
      <c r="I190" s="37" t="n">
        <v>0.6150231309074345</v>
      </c>
      <c r="J190" s="37" t="n">
        <v>0.8391320162472903</v>
      </c>
      <c r="K190" s="39" t="inlineStr">
        <is>
          <t>Corregible</t>
        </is>
      </c>
      <c r="L190" s="29" t="n">
        <v>7.965840718143941</v>
      </c>
      <c r="M190" s="35" t="n">
        <v>70.72129121577619</v>
      </c>
      <c r="N190" s="36" t="n">
        <v>2924.942165385844</v>
      </c>
      <c r="O190" s="29" t="n">
        <v>8.312355413464608</v>
      </c>
      <c r="P190" s="16" t="inlineStr">
        <is>
          <t>sí</t>
        </is>
      </c>
      <c r="Q190" s="16" t="inlineStr">
        <is>
          <t>O2</t>
        </is>
      </c>
    </row>
    <row r="191">
      <c r="A191" s="16" t="inlineStr">
        <is>
          <t>KF-M09-R0-P_baja-0074</t>
        </is>
      </c>
      <c r="B191" s="35" t="n">
        <v>505.7372079746496</v>
      </c>
      <c r="C191" s="35" t="n">
        <v>294.5071302847037</v>
      </c>
      <c r="D191" s="36" t="n">
        <v>2315.00337289045</v>
      </c>
      <c r="E191" s="37" t="n">
        <v>0.7172508139608476</v>
      </c>
      <c r="F191" s="37" t="n">
        <v>0.7210514318539287</v>
      </c>
      <c r="G191" s="37" t="n">
        <v>0.8223312836012344</v>
      </c>
      <c r="H191" s="37" t="n">
        <v>0.7373019977897965</v>
      </c>
      <c r="I191" s="37" t="n">
        <v>0.4832007148090017</v>
      </c>
      <c r="J191" s="37" t="n">
        <v>0.8833898702836753</v>
      </c>
      <c r="K191" s="39" t="inlineStr">
        <is>
          <t>Corregible</t>
        </is>
      </c>
      <c r="L191" s="29" t="n">
        <v>6.831123910584711</v>
      </c>
      <c r="M191" s="35" t="n">
        <v>74.53780377232843</v>
      </c>
      <c r="N191" s="36" t="n">
        <v>1915.00337289045</v>
      </c>
      <c r="O191" s="29" t="n">
        <v>5.787508432226124</v>
      </c>
      <c r="P191" s="16" t="inlineStr">
        <is>
          <t>sí</t>
        </is>
      </c>
      <c r="Q191" s="16" t="inlineStr">
        <is>
          <t>O2</t>
        </is>
      </c>
    </row>
    <row r="192">
      <c r="A192" s="16" t="inlineStr">
        <is>
          <t>KF-M09-R0-P_baja-0075</t>
        </is>
      </c>
      <c r="B192" s="35" t="n">
        <v>395.6019404010781</v>
      </c>
      <c r="C192" s="35" t="n">
        <v>280.7713506590472</v>
      </c>
      <c r="D192" s="36" t="n">
        <v>3657.201478148193</v>
      </c>
      <c r="E192" s="37" t="n">
        <v>0.5998129045683009</v>
      </c>
      <c r="F192" s="37" t="n">
        <v>0.6893903346928847</v>
      </c>
      <c r="G192" s="37" t="n">
        <v>0.8115098008876684</v>
      </c>
      <c r="H192" s="37" t="n">
        <v>0.6370577992777819</v>
      </c>
      <c r="I192" s="37" t="n">
        <v>0.9233351842010916</v>
      </c>
      <c r="J192" s="37" t="n">
        <v>0.9310121056139122</v>
      </c>
      <c r="K192" s="42" t="inlineStr">
        <is>
          <t>KALINA</t>
        </is>
      </c>
      <c r="L192" s="29" t="n">
        <v>9.15293402174988</v>
      </c>
      <c r="M192" s="35" t="n">
        <v>20.44949909022403</v>
      </c>
      <c r="N192" s="36" t="n">
        <v>3257.201478148193</v>
      </c>
      <c r="O192" s="29" t="n">
        <v>9.143003695370483</v>
      </c>
      <c r="P192" s="16" t="inlineStr">
        <is>
          <t>no</t>
        </is>
      </c>
      <c r="Q192" s="16" t="n"/>
    </row>
    <row r="193">
      <c r="A193" s="16" t="inlineStr">
        <is>
          <t>KF-M09-R0-P_baja-0076</t>
        </is>
      </c>
      <c r="B193" s="35" t="n">
        <v>389.2290515149247</v>
      </c>
      <c r="C193" s="35" t="n">
        <v>286.1613247011535</v>
      </c>
      <c r="D193" s="36" t="n">
        <v>2902.467023130105</v>
      </c>
      <c r="E193" s="37" t="n">
        <v>0.8138297538341923</v>
      </c>
      <c r="F193" s="37" t="n">
        <v>0.6661199535306935</v>
      </c>
      <c r="G193" s="37" t="n">
        <v>0.4901402169580823</v>
      </c>
      <c r="H193" s="37" t="n">
        <v>0.4439360438506883</v>
      </c>
      <c r="I193" s="37" t="n">
        <v>0.6595166638542646</v>
      </c>
      <c r="J193" s="37" t="n">
        <v>0.6679473824793944</v>
      </c>
      <c r="K193" s="40" t="inlineStr">
        <is>
          <t>Inviable</t>
        </is>
      </c>
      <c r="L193" s="29" t="n">
        <v>-218.1490808276986</v>
      </c>
      <c r="M193" s="35" t="n">
        <v>-183.7591653847257</v>
      </c>
      <c r="N193" s="36" t="n">
        <v>2502.467023130105</v>
      </c>
      <c r="O193" s="29" t="n">
        <v>7.256167557825262</v>
      </c>
      <c r="P193" s="16" t="inlineStr">
        <is>
          <t>no</t>
        </is>
      </c>
      <c r="Q193" s="16" t="inlineStr">
        <is>
          <t>O2,O3</t>
        </is>
      </c>
    </row>
    <row r="194">
      <c r="A194" s="16" t="inlineStr">
        <is>
          <t>KF-M09-R0-P_baja-0077</t>
        </is>
      </c>
      <c r="B194" s="35" t="n">
        <v>453.1609483995065</v>
      </c>
      <c r="C194" s="35" t="n">
        <v>292.7816587200919</v>
      </c>
      <c r="D194" s="36" t="n">
        <v>4287.956857770339</v>
      </c>
      <c r="E194" s="37" t="n">
        <v>0.5617828387432158</v>
      </c>
      <c r="F194" s="37" t="n">
        <v>0.7599963740879766</v>
      </c>
      <c r="G194" s="37" t="n">
        <v>0.8395989423816244</v>
      </c>
      <c r="H194" s="37" t="n">
        <v>0.7286044530850553</v>
      </c>
      <c r="I194" s="37" t="n">
        <v>0.4707723264798664</v>
      </c>
      <c r="J194" s="37" t="n">
        <v>0.6506930798876299</v>
      </c>
      <c r="K194" s="39" t="inlineStr">
        <is>
          <t>Corregible</t>
        </is>
      </c>
      <c r="L194" s="29" t="n">
        <v>10.76273298561987</v>
      </c>
      <c r="M194" s="35" t="n">
        <v>76.04620902145503</v>
      </c>
      <c r="N194" s="36" t="n">
        <v>3887.956857770339</v>
      </c>
      <c r="O194" s="29" t="n">
        <v>10.71989214442585</v>
      </c>
      <c r="P194" s="16" t="inlineStr">
        <is>
          <t>sí</t>
        </is>
      </c>
      <c r="Q194" s="16" t="inlineStr">
        <is>
          <t>O2</t>
        </is>
      </c>
    </row>
    <row r="195">
      <c r="A195" s="16" t="inlineStr">
        <is>
          <t>KF-M09-R0-P_baja-0078</t>
        </is>
      </c>
      <c r="B195" s="35" t="n">
        <v>400.9489400659396</v>
      </c>
      <c r="C195" s="35" t="n">
        <v>279.3019803893213</v>
      </c>
      <c r="D195" s="36" t="n">
        <v>3037.280989746257</v>
      </c>
      <c r="E195" s="37" t="n">
        <v>0.634701216934429</v>
      </c>
      <c r="F195" s="37" t="n">
        <v>0.6611616287145883</v>
      </c>
      <c r="G195" s="37" t="n">
        <v>0.6358695757669721</v>
      </c>
      <c r="H195" s="37" t="n">
        <v>0.4251256718983224</v>
      </c>
      <c r="I195" s="37" t="n">
        <v>0.648677602244395</v>
      </c>
      <c r="J195" s="37" t="n">
        <v>0.6058455695825204</v>
      </c>
      <c r="K195" s="39" t="inlineStr">
        <is>
          <t>Corregible</t>
        </is>
      </c>
      <c r="L195" s="29" t="n">
        <v>4.67304181280373</v>
      </c>
      <c r="M195" s="35" t="n">
        <v>13.79324610324883</v>
      </c>
      <c r="N195" s="36" t="n">
        <v>2637.280989746257</v>
      </c>
      <c r="O195" s="29" t="n">
        <v>7.593202474365642</v>
      </c>
      <c r="P195" s="16" t="inlineStr">
        <is>
          <t>no</t>
        </is>
      </c>
      <c r="Q195" s="16" t="inlineStr">
        <is>
          <t>O2</t>
        </is>
      </c>
    </row>
    <row r="196">
      <c r="A196" s="16" t="inlineStr">
        <is>
          <t>KF-M09-R0-P_baja-0079</t>
        </is>
      </c>
      <c r="B196" s="35" t="n">
        <v>472.6236337262688</v>
      </c>
      <c r="C196" s="35" t="n">
        <v>290.4185220597938</v>
      </c>
      <c r="D196" s="36" t="n">
        <v>4205.236136171618</v>
      </c>
      <c r="E196" s="37" t="n">
        <v>0.6810941420981863</v>
      </c>
      <c r="F196" s="37" t="n">
        <v>0.8659834346697538</v>
      </c>
      <c r="G196" s="37" t="n">
        <v>0.6561239401140051</v>
      </c>
      <c r="H196" s="37" t="n">
        <v>0.6747187469196625</v>
      </c>
      <c r="I196" s="37" t="n">
        <v>0.8154506045417427</v>
      </c>
      <c r="J196" s="37" t="n">
        <v>0.5276932892556391</v>
      </c>
      <c r="K196" s="39" t="inlineStr">
        <is>
          <t>Corregible</t>
        </is>
      </c>
      <c r="L196" s="29" t="n">
        <v>1.69573687781878</v>
      </c>
      <c r="M196" s="35" t="n">
        <v>11.35754392319598</v>
      </c>
      <c r="N196" s="36" t="n">
        <v>3805.236136171618</v>
      </c>
      <c r="O196" s="29" t="n">
        <v>10.51309034042905</v>
      </c>
      <c r="P196" s="16" t="inlineStr">
        <is>
          <t>sí</t>
        </is>
      </c>
      <c r="Q196" s="16" t="inlineStr">
        <is>
          <t>O1,O2</t>
        </is>
      </c>
    </row>
    <row r="197">
      <c r="A197" s="16" t="inlineStr">
        <is>
          <t>KF-M09-R0-P_baja-0080</t>
        </is>
      </c>
      <c r="B197" s="35" t="n">
        <v>410.1443222994502</v>
      </c>
      <c r="C197" s="35" t="n">
        <v>295.0106335340959</v>
      </c>
      <c r="D197" s="36" t="n">
        <v>4939.89935096189</v>
      </c>
      <c r="E197" s="37" t="n">
        <v>0.6446467571911494</v>
      </c>
      <c r="F197" s="37" t="n">
        <v>0.6434158937765011</v>
      </c>
      <c r="G197" s="37" t="n">
        <v>0.910351847620653</v>
      </c>
      <c r="H197" s="37" t="n">
        <v>0.51535102834474</v>
      </c>
      <c r="I197" s="37" t="n">
        <v>0.5532212830473278</v>
      </c>
      <c r="J197" s="37" t="n">
        <v>0.4342273802401775</v>
      </c>
      <c r="K197" s="40" t="inlineStr">
        <is>
          <t>Inviable</t>
        </is>
      </c>
      <c r="L197" s="29" t="n">
        <v>-43.39575302474253</v>
      </c>
      <c r="M197" s="35" t="n">
        <v>-56.7407322845156</v>
      </c>
      <c r="N197" s="36" t="n">
        <v>4539.89935096189</v>
      </c>
      <c r="O197" s="29" t="n">
        <v>12.34974837740473</v>
      </c>
      <c r="P197" s="16" t="inlineStr">
        <is>
          <t>no</t>
        </is>
      </c>
      <c r="Q197" s="16" t="inlineStr">
        <is>
          <t>O2,O3</t>
        </is>
      </c>
    </row>
    <row r="198">
      <c r="A198" s="16" t="inlineStr">
        <is>
          <t>KF-M09-R0-P_baja-0081</t>
        </is>
      </c>
      <c r="B198" s="35" t="n">
        <v>508.0026078565663</v>
      </c>
      <c r="C198" s="35" t="n">
        <v>290.2259273587503</v>
      </c>
      <c r="D198" s="36" t="n">
        <v>4651.257267488381</v>
      </c>
      <c r="E198" s="37" t="n">
        <v>0.6427203952305451</v>
      </c>
      <c r="F198" s="37" t="n">
        <v>0.6168207648944146</v>
      </c>
      <c r="G198" s="37" t="n">
        <v>0.8445813962316506</v>
      </c>
      <c r="H198" s="37" t="n">
        <v>0.4080844195718328</v>
      </c>
      <c r="I198" s="37" t="n">
        <v>0.9313971352655094</v>
      </c>
      <c r="J198" s="37" t="n">
        <v>0.8323941338041154</v>
      </c>
      <c r="K198" s="39" t="inlineStr">
        <is>
          <t>Corregible</t>
        </is>
      </c>
      <c r="L198" s="29" t="n">
        <v>11.61598122010069</v>
      </c>
      <c r="M198" s="35" t="n">
        <v>85.27128057556119</v>
      </c>
      <c r="N198" s="36" t="n">
        <v>4251.257267488381</v>
      </c>
      <c r="O198" s="29" t="n">
        <v>11.62814316872095</v>
      </c>
      <c r="P198" s="16" t="inlineStr">
        <is>
          <t>sí</t>
        </is>
      </c>
      <c r="Q198" s="16" t="inlineStr">
        <is>
          <t>O2</t>
        </is>
      </c>
    </row>
    <row r="199">
      <c r="A199" s="16" t="inlineStr">
        <is>
          <t>KF-M09-R0-P_baja-0082</t>
        </is>
      </c>
      <c r="B199" s="35" t="n">
        <v>474.1756210009061</v>
      </c>
      <c r="C199" s="35" t="n">
        <v>299.1509031134603</v>
      </c>
      <c r="D199" s="36" t="n">
        <v>3692.944217257623</v>
      </c>
      <c r="E199" s="37" t="n">
        <v>0.5123837296905731</v>
      </c>
      <c r="F199" s="37" t="n">
        <v>0.4209681832620941</v>
      </c>
      <c r="G199" s="37" t="n">
        <v>0.4046920497690398</v>
      </c>
      <c r="H199" s="37" t="n">
        <v>0.5489451595412315</v>
      </c>
      <c r="I199" s="37" t="n">
        <v>0.4176517778177335</v>
      </c>
      <c r="J199" s="37" t="n">
        <v>0.8602569154339457</v>
      </c>
      <c r="K199" s="39" t="inlineStr">
        <is>
          <t>Corregible</t>
        </is>
      </c>
      <c r="L199" s="29" t="n">
        <v>4.76245831577298</v>
      </c>
      <c r="M199" s="35" t="n">
        <v>45.60530412426897</v>
      </c>
      <c r="N199" s="36" t="n">
        <v>3292.944217257623</v>
      </c>
      <c r="O199" s="29" t="n">
        <v>9.232360543144058</v>
      </c>
      <c r="P199" s="16" t="inlineStr">
        <is>
          <t>sí</t>
        </is>
      </c>
      <c r="Q199" s="16" t="inlineStr">
        <is>
          <t>O2</t>
        </is>
      </c>
    </row>
    <row r="200">
      <c r="A200" s="16" t="inlineStr">
        <is>
          <t>KF-M09-R0-P_baja-0083</t>
        </is>
      </c>
      <c r="B200" s="35" t="n">
        <v>421.2878878211433</v>
      </c>
      <c r="C200" s="35" t="n">
        <v>298.6072748689439</v>
      </c>
      <c r="D200" s="36" t="n">
        <v>2659.951857474573</v>
      </c>
      <c r="E200" s="37" t="n">
        <v>0.7696475429820872</v>
      </c>
      <c r="F200" s="37" t="n">
        <v>0.8243152574374909</v>
      </c>
      <c r="G200" s="37" t="n">
        <v>0.4867227619975024</v>
      </c>
      <c r="H200" s="37" t="n">
        <v>0.4707911194976435</v>
      </c>
      <c r="I200" s="37" t="n">
        <v>0.8732703081005087</v>
      </c>
      <c r="J200" s="37" t="n">
        <v>0.6898682703186063</v>
      </c>
      <c r="K200" s="40" t="inlineStr">
        <is>
          <t>Inviable</t>
        </is>
      </c>
      <c r="L200" s="29" t="n">
        <v>-85.64713650749114</v>
      </c>
      <c r="M200" s="35" t="n">
        <v>-159.2583772323698</v>
      </c>
      <c r="N200" s="36" t="n">
        <v>2259.951857474573</v>
      </c>
      <c r="O200" s="29" t="n">
        <v>6.649879643686432</v>
      </c>
      <c r="P200" s="16" t="inlineStr">
        <is>
          <t>no</t>
        </is>
      </c>
      <c r="Q200" s="16" t="inlineStr">
        <is>
          <t>O2,O3</t>
        </is>
      </c>
    </row>
    <row r="201">
      <c r="A201" s="16" t="inlineStr">
        <is>
          <t>KF-M09-R0-P_baja-0084</t>
        </is>
      </c>
      <c r="B201" s="35" t="n">
        <v>459.6204271361721</v>
      </c>
      <c r="C201" s="35" t="n">
        <v>281.9377842567118</v>
      </c>
      <c r="D201" s="36" t="n">
        <v>4064.44307867158</v>
      </c>
      <c r="E201" s="37" t="n">
        <v>0.778207882796671</v>
      </c>
      <c r="F201" s="37" t="n">
        <v>0.6086606202647525</v>
      </c>
      <c r="G201" s="37" t="n">
        <v>0.6294196931971001</v>
      </c>
      <c r="H201" s="37" t="n">
        <v>0.6899598187410633</v>
      </c>
      <c r="I201" s="37" t="n">
        <v>0.4342594558828174</v>
      </c>
      <c r="J201" s="37" t="n">
        <v>0.8677225181518615</v>
      </c>
      <c r="K201" s="32" t="inlineStr">
        <is>
          <t>No convergió</t>
        </is>
      </c>
      <c r="L201" s="29" t="inlineStr">
        <is>
          <t>—</t>
        </is>
      </c>
      <c r="M201" s="35" t="inlineStr">
        <is>
          <t>—</t>
        </is>
      </c>
      <c r="N201" s="36" t="n">
        <v>3664.44307867158</v>
      </c>
      <c r="O201" s="29" t="n">
        <v>10.16110769667895</v>
      </c>
      <c r="P201" s="16" t="inlineStr">
        <is>
          <t>no</t>
        </is>
      </c>
      <c r="Q201" s="16" t="n"/>
    </row>
    <row r="202">
      <c r="A202" s="16" t="inlineStr">
        <is>
          <t>KF-M09-R0-P_baja-0085</t>
        </is>
      </c>
      <c r="B202" s="35" t="n">
        <v>429.6167491632314</v>
      </c>
      <c r="C202" s="35" t="n">
        <v>281.1563540170793</v>
      </c>
      <c r="D202" s="36" t="n">
        <v>2070.80465455432</v>
      </c>
      <c r="E202" s="37" t="n">
        <v>0.7425623714062228</v>
      </c>
      <c r="F202" s="37" t="n">
        <v>0.4420957389296709</v>
      </c>
      <c r="G202" s="37" t="n">
        <v>0.7698770524050468</v>
      </c>
      <c r="H202" s="37" t="n">
        <v>0.6630777378372044</v>
      </c>
      <c r="I202" s="37" t="n">
        <v>0.5607821003803138</v>
      </c>
      <c r="J202" s="37" t="n">
        <v>0.7401662250604366</v>
      </c>
      <c r="K202" s="39" t="inlineStr">
        <is>
          <t>Corregible</t>
        </is>
      </c>
      <c r="L202" s="29" t="n">
        <v>2.23605643562667</v>
      </c>
      <c r="M202" s="35" t="n">
        <v>21.92834143665873</v>
      </c>
      <c r="N202" s="36" t="n">
        <v>1670.80465455432</v>
      </c>
      <c r="O202" s="29" t="n">
        <v>5.177011636385799</v>
      </c>
      <c r="P202" s="16" t="inlineStr">
        <is>
          <t>no</t>
        </is>
      </c>
      <c r="Q202" s="16" t="inlineStr">
        <is>
          <t>O2</t>
        </is>
      </c>
    </row>
    <row r="203">
      <c r="A203" s="16" t="inlineStr">
        <is>
          <t>KF-M09-R0-P_baja-0086</t>
        </is>
      </c>
      <c r="B203" s="35" t="n">
        <v>416.6295865040372</v>
      </c>
      <c r="C203" s="35" t="n">
        <v>303.3802561148677</v>
      </c>
      <c r="D203" s="36" t="n">
        <v>4125.872100476126</v>
      </c>
      <c r="E203" s="37" t="n">
        <v>0.730846217845567</v>
      </c>
      <c r="F203" s="37" t="n">
        <v>0.6481952091170091</v>
      </c>
      <c r="G203" s="37" t="n">
        <v>0.4717162583333028</v>
      </c>
      <c r="H203" s="37" t="n">
        <v>0.4830095319848274</v>
      </c>
      <c r="I203" s="37" t="n">
        <v>0.7474876141082758</v>
      </c>
      <c r="J203" s="37" t="n">
        <v>0.5398285117007109</v>
      </c>
      <c r="K203" s="32" t="inlineStr">
        <is>
          <t>No convergió</t>
        </is>
      </c>
      <c r="L203" s="29" t="inlineStr">
        <is>
          <t>—</t>
        </is>
      </c>
      <c r="M203" s="35" t="inlineStr">
        <is>
          <t>—</t>
        </is>
      </c>
      <c r="N203" s="36" t="n">
        <v>3725.872100476126</v>
      </c>
      <c r="O203" s="29" t="n">
        <v>10.31468025119032</v>
      </c>
      <c r="P203" s="16" t="inlineStr">
        <is>
          <t>no</t>
        </is>
      </c>
      <c r="Q203" s="16" t="n"/>
    </row>
    <row r="204">
      <c r="A204" s="16" t="inlineStr">
        <is>
          <t>KF-M09-R0-P_baja-0087</t>
        </is>
      </c>
      <c r="B204" s="35" t="n">
        <v>512.6610360456054</v>
      </c>
      <c r="C204" s="35" t="n">
        <v>295.9600204503582</v>
      </c>
      <c r="D204" s="36" t="n">
        <v>4435.445399157908</v>
      </c>
      <c r="E204" s="37" t="n">
        <v>0.5528599852735943</v>
      </c>
      <c r="F204" s="37" t="n">
        <v>0.5150725994089824</v>
      </c>
      <c r="G204" s="37" t="n">
        <v>0.8478426886821004</v>
      </c>
      <c r="H204" s="37" t="n">
        <v>0.5724750129641506</v>
      </c>
      <c r="I204" s="37" t="n">
        <v>0.6410239695046581</v>
      </c>
      <c r="J204" s="37" t="n">
        <v>0.5560646976663319</v>
      </c>
      <c r="K204" s="39" t="inlineStr">
        <is>
          <t>Corregible</t>
        </is>
      </c>
      <c r="L204" s="29" t="n">
        <v>0.5621948830384199</v>
      </c>
      <c r="M204" s="35" t="n">
        <v>4.812260960317587</v>
      </c>
      <c r="N204" s="36" t="n">
        <v>4035.445399157909</v>
      </c>
      <c r="O204" s="29" t="n">
        <v>11.08861349789477</v>
      </c>
      <c r="P204" s="16" t="inlineStr">
        <is>
          <t>sí</t>
        </is>
      </c>
      <c r="Q204" s="16" t="inlineStr">
        <is>
          <t>O2</t>
        </is>
      </c>
    </row>
    <row r="205">
      <c r="A205" s="16" t="inlineStr">
        <is>
          <t>KF-M09-R0-P_baja-0088</t>
        </is>
      </c>
      <c r="B205" s="35" t="n">
        <v>464.9331979299806</v>
      </c>
      <c r="C205" s="35" t="n">
        <v>291.6002752488058</v>
      </c>
      <c r="D205" s="36" t="n">
        <v>3548.201459047691</v>
      </c>
      <c r="E205" s="37" t="n">
        <v>0.7154074279182145</v>
      </c>
      <c r="F205" s="37" t="n">
        <v>0.730341983777091</v>
      </c>
      <c r="G205" s="37" t="n">
        <v>0.9306632788656328</v>
      </c>
      <c r="H205" s="37" t="n">
        <v>0.6441581439412496</v>
      </c>
      <c r="I205" s="37" t="n">
        <v>0.826901906637888</v>
      </c>
      <c r="J205" s="37" t="n">
        <v>0.5849974634974104</v>
      </c>
      <c r="K205" s="39" t="inlineStr">
        <is>
          <t>Corregible</t>
        </is>
      </c>
      <c r="L205" s="29" t="n">
        <v>4.64876308431748</v>
      </c>
      <c r="M205" s="35" t="n">
        <v>30.52591419045046</v>
      </c>
      <c r="N205" s="36" t="n">
        <v>3148.201459047691</v>
      </c>
      <c r="O205" s="29" t="n">
        <v>8.870503647619227</v>
      </c>
      <c r="P205" s="16" t="inlineStr">
        <is>
          <t>sí</t>
        </is>
      </c>
      <c r="Q205" s="16" t="inlineStr">
        <is>
          <t>O2</t>
        </is>
      </c>
    </row>
    <row r="206">
      <c r="A206" s="16" t="inlineStr">
        <is>
          <t>KF-M09-R0-P_baja-0089</t>
        </is>
      </c>
      <c r="B206" s="35" t="n">
        <v>467.6402782894542</v>
      </c>
      <c r="C206" s="35" t="n">
        <v>296.9299276933019</v>
      </c>
      <c r="D206" s="36" t="n">
        <v>4363.975087909659</v>
      </c>
      <c r="E206" s="37" t="n">
        <v>0.7680129648085222</v>
      </c>
      <c r="F206" s="37" t="n">
        <v>0.5749220340370977</v>
      </c>
      <c r="G206" s="37" t="n">
        <v>0.912481547970918</v>
      </c>
      <c r="H206" s="37" t="n">
        <v>0.81826604672564</v>
      </c>
      <c r="I206" s="37" t="n">
        <v>0.5823344659526685</v>
      </c>
      <c r="J206" s="37" t="n">
        <v>0.6290044305494455</v>
      </c>
      <c r="K206" s="32" t="inlineStr">
        <is>
          <t>No convergió</t>
        </is>
      </c>
      <c r="L206" s="29" t="inlineStr">
        <is>
          <t>—</t>
        </is>
      </c>
      <c r="M206" s="35" t="inlineStr">
        <is>
          <t>—</t>
        </is>
      </c>
      <c r="N206" s="36" t="n">
        <v>3963.975087909659</v>
      </c>
      <c r="O206" s="29" t="n">
        <v>10.90993771977415</v>
      </c>
      <c r="P206" s="16" t="inlineStr">
        <is>
          <t>no</t>
        </is>
      </c>
      <c r="Q206" s="16" t="n"/>
    </row>
    <row r="207">
      <c r="A207" s="16" t="inlineStr">
        <is>
          <t>KF-M09-R0-P_baja-0090</t>
        </is>
      </c>
      <c r="B207" s="35" t="n">
        <v>450.8132887047786</v>
      </c>
      <c r="C207" s="35" t="n">
        <v>296.3139454876193</v>
      </c>
      <c r="D207" s="36" t="n">
        <v>4749.645114959597</v>
      </c>
      <c r="E207" s="37" t="n">
        <v>0.6703847212523796</v>
      </c>
      <c r="F207" s="37" t="n">
        <v>0.582762873580511</v>
      </c>
      <c r="G207" s="37" t="n">
        <v>0.6884760086697943</v>
      </c>
      <c r="H207" s="37" t="n">
        <v>0.5070252122930601</v>
      </c>
      <c r="I207" s="37" t="n">
        <v>0.498590897914744</v>
      </c>
      <c r="J207" s="37" t="n">
        <v>0.9446235784375048</v>
      </c>
      <c r="K207" s="40" t="inlineStr">
        <is>
          <t>Inviable</t>
        </is>
      </c>
      <c r="L207" s="29" t="n">
        <v>-0.7871101368905</v>
      </c>
      <c r="M207" s="35" t="n">
        <v>-4.074388116643334</v>
      </c>
      <c r="N207" s="36" t="n">
        <v>4349.645114959597</v>
      </c>
      <c r="O207" s="29" t="n">
        <v>11.87411278739899</v>
      </c>
      <c r="P207" s="16" t="inlineStr">
        <is>
          <t>no</t>
        </is>
      </c>
      <c r="Q207" s="16" t="inlineStr">
        <is>
          <t>O2,O3</t>
        </is>
      </c>
    </row>
    <row r="208">
      <c r="A208" s="16" t="inlineStr">
        <is>
          <t>KF-M09-R0-P_baja-0091</t>
        </is>
      </c>
      <c r="B208" s="35" t="n">
        <v>426.3177520050708</v>
      </c>
      <c r="C208" s="35" t="n">
        <v>296.5704195629002</v>
      </c>
      <c r="D208" s="36" t="n">
        <v>3086.701880898723</v>
      </c>
      <c r="E208" s="37" t="n">
        <v>0.6576710005484081</v>
      </c>
      <c r="F208" s="37" t="n">
        <v>0.4999016537992714</v>
      </c>
      <c r="G208" s="37" t="n">
        <v>0.5078390087754076</v>
      </c>
      <c r="H208" s="37" t="n">
        <v>0.6337440957563605</v>
      </c>
      <c r="I208" s="37" t="n">
        <v>0.6775790124022607</v>
      </c>
      <c r="J208" s="37" t="n">
        <v>0.8768434192493311</v>
      </c>
      <c r="K208" s="40" t="inlineStr">
        <is>
          <t>Inviable</t>
        </is>
      </c>
      <c r="L208" s="29" t="n">
        <v>-9.052808063468619</v>
      </c>
      <c r="M208" s="35" t="n">
        <v>-45.96992489556986</v>
      </c>
      <c r="N208" s="36" t="n">
        <v>2686.701880898723</v>
      </c>
      <c r="O208" s="29" t="n">
        <v>7.716754702246808</v>
      </c>
      <c r="P208" s="16" t="inlineStr">
        <is>
          <t>no</t>
        </is>
      </c>
      <c r="Q208" s="16" t="inlineStr">
        <is>
          <t>O2,O3</t>
        </is>
      </c>
    </row>
    <row r="209">
      <c r="A209" s="16" t="inlineStr">
        <is>
          <t>KF-M09-R0-P_baja-0092</t>
        </is>
      </c>
      <c r="B209" s="35" t="n">
        <v>403.9244000610032</v>
      </c>
      <c r="C209" s="35" t="n">
        <v>288.9591396839559</v>
      </c>
      <c r="D209" s="36" t="n">
        <v>3901.007902164763</v>
      </c>
      <c r="E209" s="37" t="n">
        <v>0.8439106640708257</v>
      </c>
      <c r="F209" s="37" t="n">
        <v>0.7376305737976381</v>
      </c>
      <c r="G209" s="37" t="n">
        <v>0.5917076013586189</v>
      </c>
      <c r="H209" s="37" t="n">
        <v>0.6684634496550814</v>
      </c>
      <c r="I209" s="37" t="n">
        <v>0.4405372336002167</v>
      </c>
      <c r="J209" s="37" t="n">
        <v>0.8480215302097304</v>
      </c>
      <c r="K209" s="40" t="inlineStr">
        <is>
          <t>Inviable</t>
        </is>
      </c>
      <c r="L209" s="29" t="n">
        <v>-142.3458346746455</v>
      </c>
      <c r="M209" s="35" t="n">
        <v>-160.5694861785241</v>
      </c>
      <c r="N209" s="36" t="n">
        <v>3501.007902164763</v>
      </c>
      <c r="O209" s="29" t="n">
        <v>9.752519755411909</v>
      </c>
      <c r="P209" s="16" t="inlineStr">
        <is>
          <t>no</t>
        </is>
      </c>
      <c r="Q209" s="16" t="inlineStr">
        <is>
          <t>O2,O3</t>
        </is>
      </c>
    </row>
    <row r="210">
      <c r="A210" s="16" t="inlineStr">
        <is>
          <t>KF-M09-R0-P_baja-0093</t>
        </is>
      </c>
      <c r="B210" s="35" t="n">
        <v>493.3690174151934</v>
      </c>
      <c r="C210" s="35" t="n">
        <v>301.3297073104652</v>
      </c>
      <c r="D210" s="36" t="n">
        <v>2271.518449423984</v>
      </c>
      <c r="E210" s="37" t="n">
        <v>0.8156027018626641</v>
      </c>
      <c r="F210" s="37" t="n">
        <v>0.6359053030531443</v>
      </c>
      <c r="G210" s="37" t="n">
        <v>0.6413915045963261</v>
      </c>
      <c r="H210" s="37" t="n">
        <v>0.5767496697684156</v>
      </c>
      <c r="I210" s="37" t="n">
        <v>0.8557167438181977</v>
      </c>
      <c r="J210" s="37" t="n">
        <v>0.9212368693079612</v>
      </c>
      <c r="K210" s="40" t="inlineStr">
        <is>
          <t>Inviable</t>
        </is>
      </c>
      <c r="L210" s="29" t="n">
        <v>-19.75151332720092</v>
      </c>
      <c r="M210" s="35" t="n">
        <v>-96.91655674985712</v>
      </c>
      <c r="N210" s="36" t="n">
        <v>1871.518449423984</v>
      </c>
      <c r="O210" s="29" t="n">
        <v>5.67879612355996</v>
      </c>
      <c r="P210" s="16" t="inlineStr">
        <is>
          <t>no</t>
        </is>
      </c>
      <c r="Q210" s="16" t="inlineStr">
        <is>
          <t>O2,O3</t>
        </is>
      </c>
    </row>
    <row r="211">
      <c r="A211" s="16" t="inlineStr">
        <is>
          <t>KF-M09-R0-P_baja-0094</t>
        </is>
      </c>
      <c r="B211" s="35" t="n">
        <v>386.7617195202048</v>
      </c>
      <c r="C211" s="35" t="n">
        <v>284.3747258224643</v>
      </c>
      <c r="D211" s="36" t="n">
        <v>3389.083384084056</v>
      </c>
      <c r="E211" s="37" t="n">
        <v>0.6510009893859257</v>
      </c>
      <c r="F211" s="37" t="n">
        <v>0.4105177777547411</v>
      </c>
      <c r="G211" s="37" t="n">
        <v>0.6183740532825481</v>
      </c>
      <c r="H211" s="37" t="n">
        <v>0.5687775411340199</v>
      </c>
      <c r="I211" s="37" t="n">
        <v>0.5269053162656497</v>
      </c>
      <c r="J211" s="37" t="n">
        <v>0.4491165175557404</v>
      </c>
      <c r="K211" s="40" t="inlineStr">
        <is>
          <t>Inviable</t>
        </is>
      </c>
      <c r="L211" s="29" t="n">
        <v>-16.6354917818681</v>
      </c>
      <c r="M211" s="35" t="n">
        <v>-35.80609229379542</v>
      </c>
      <c r="N211" s="36" t="n">
        <v>2989.083384084056</v>
      </c>
      <c r="O211" s="29" t="n">
        <v>8.472708460210139</v>
      </c>
      <c r="P211" s="16" t="inlineStr">
        <is>
          <t>no</t>
        </is>
      </c>
      <c r="Q211" s="16" t="inlineStr">
        <is>
          <t>O2,O3</t>
        </is>
      </c>
    </row>
    <row r="212">
      <c r="A212" s="16" t="inlineStr">
        <is>
          <t>KF-M09-R0-P_baja-0095</t>
        </is>
      </c>
      <c r="B212" s="35" t="n">
        <v>398.8980918280317</v>
      </c>
      <c r="C212" s="35" t="n">
        <v>297.7220929444379</v>
      </c>
      <c r="D212" s="36" t="n">
        <v>4170.123773467227</v>
      </c>
      <c r="E212" s="37" t="n">
        <v>0.7404602047732327</v>
      </c>
      <c r="F212" s="37" t="n">
        <v>0.6206691030348397</v>
      </c>
      <c r="G212" s="37" t="n">
        <v>0.92628897141237</v>
      </c>
      <c r="H212" s="37" t="n">
        <v>0.7458897289516047</v>
      </c>
      <c r="I212" s="37" t="n">
        <v>0.6088655945715785</v>
      </c>
      <c r="J212" s="37" t="n">
        <v>0.707934740489027</v>
      </c>
      <c r="K212" s="40" t="inlineStr">
        <is>
          <t>Inviable</t>
        </is>
      </c>
      <c r="L212" s="29" t="n">
        <v>-62.89771455338516</v>
      </c>
      <c r="M212" s="35" t="n">
        <v>-73.54571846412453</v>
      </c>
      <c r="N212" s="36" t="n">
        <v>3770.123773467227</v>
      </c>
      <c r="O212" s="29" t="n">
        <v>10.42530943366807</v>
      </c>
      <c r="P212" s="16" t="inlineStr">
        <is>
          <t>no</t>
        </is>
      </c>
      <c r="Q212" s="16" t="inlineStr">
        <is>
          <t>O2,O3</t>
        </is>
      </c>
    </row>
    <row r="213">
      <c r="A213" s="16" t="inlineStr">
        <is>
          <t>KF-M09-R0-P_baja-0096</t>
        </is>
      </c>
      <c r="B213" s="35" t="n">
        <v>403.696152084521</v>
      </c>
      <c r="C213" s="35" t="n">
        <v>287.3747548371591</v>
      </c>
      <c r="D213" s="36" t="n">
        <v>3216.01174777335</v>
      </c>
      <c r="E213" s="37" t="n">
        <v>0.8199676094299576</v>
      </c>
      <c r="F213" s="37" t="n">
        <v>0.5258632823262359</v>
      </c>
      <c r="G213" s="37" t="n">
        <v>0.5328607440512241</v>
      </c>
      <c r="H213" s="37" t="n">
        <v>0.9357653074625658</v>
      </c>
      <c r="I213" s="37" t="n">
        <v>0.6455893678664419</v>
      </c>
      <c r="J213" s="37" t="n">
        <v>0.5459361386232064</v>
      </c>
      <c r="K213" s="40" t="inlineStr">
        <is>
          <t>Inviable</t>
        </is>
      </c>
      <c r="L213" s="29" t="n">
        <v>-427.6562404608033</v>
      </c>
      <c r="M213" s="35" t="n">
        <v>-256.5309292373388</v>
      </c>
      <c r="N213" s="36" t="n">
        <v>2816.01174777335</v>
      </c>
      <c r="O213" s="29" t="n">
        <v>8.040029369433375</v>
      </c>
      <c r="P213" s="16" t="inlineStr">
        <is>
          <t>no</t>
        </is>
      </c>
      <c r="Q213" s="16" t="inlineStr">
        <is>
          <t>O2,O3</t>
        </is>
      </c>
    </row>
    <row r="214">
      <c r="A214" s="16" t="inlineStr">
        <is>
          <t>KF-M09-R0-P_baja-0097</t>
        </is>
      </c>
      <c r="B214" s="35" t="n">
        <v>451.9032979821013</v>
      </c>
      <c r="C214" s="35" t="n">
        <v>294.7484255045634</v>
      </c>
      <c r="D214" s="36" t="n">
        <v>4531.018126349993</v>
      </c>
      <c r="E214" s="37" t="n">
        <v>0.556730339268815</v>
      </c>
      <c r="F214" s="37" t="n">
        <v>0.4227604152604962</v>
      </c>
      <c r="G214" s="37" t="n">
        <v>0.8128727280778725</v>
      </c>
      <c r="H214" s="37" t="n">
        <v>0.720102278847405</v>
      </c>
      <c r="I214" s="37" t="n">
        <v>0.6657119498057306</v>
      </c>
      <c r="J214" s="37" t="n">
        <v>0.5255202945614528</v>
      </c>
      <c r="K214" s="40" t="inlineStr">
        <is>
          <t>Inviable</t>
        </is>
      </c>
      <c r="L214" s="29" t="n">
        <v>-4.41337254702757</v>
      </c>
      <c r="M214" s="35" t="n">
        <v>-22.53892778885627</v>
      </c>
      <c r="N214" s="36" t="n">
        <v>4131.018126349993</v>
      </c>
      <c r="O214" s="29" t="n">
        <v>11.32754531587498</v>
      </c>
      <c r="P214" s="16" t="inlineStr">
        <is>
          <t>sí</t>
        </is>
      </c>
      <c r="Q214" s="16" t="inlineStr">
        <is>
          <t>O2,O3</t>
        </is>
      </c>
    </row>
    <row r="215">
      <c r="A215" s="16" t="inlineStr">
        <is>
          <t>KF-M09-R0-P_baja-0098</t>
        </is>
      </c>
      <c r="B215" s="35" t="n">
        <v>475.4369872809846</v>
      </c>
      <c r="C215" s="35" t="n">
        <v>299.2821538076311</v>
      </c>
      <c r="D215" s="36" t="n">
        <v>4274.743606324566</v>
      </c>
      <c r="E215" s="37" t="n">
        <v>0.763233250600942</v>
      </c>
      <c r="F215" s="37" t="n">
        <v>0.4555803138758634</v>
      </c>
      <c r="G215" s="37" t="n">
        <v>0.7110353538630869</v>
      </c>
      <c r="H215" s="37" t="n">
        <v>0.4884551826572128</v>
      </c>
      <c r="I215" s="37" t="n">
        <v>0.7117809152702088</v>
      </c>
      <c r="J215" s="37" t="n">
        <v>0.4911372975946395</v>
      </c>
      <c r="K215" s="40" t="inlineStr">
        <is>
          <t>Inviable</t>
        </is>
      </c>
      <c r="L215" s="29" t="n">
        <v>-120.2453387042651</v>
      </c>
      <c r="M215" s="35" t="n">
        <v>-251.7705555406292</v>
      </c>
      <c r="N215" s="36" t="n">
        <v>3874.743606324566</v>
      </c>
      <c r="O215" s="29" t="n">
        <v>10.68685901581142</v>
      </c>
      <c r="P215" s="16" t="inlineStr">
        <is>
          <t>sí</t>
        </is>
      </c>
      <c r="Q215" s="16" t="inlineStr">
        <is>
          <t>O2,O3</t>
        </is>
      </c>
    </row>
    <row r="216">
      <c r="A216" s="16" t="inlineStr">
        <is>
          <t>KF-M09-R0-P_baja-0099</t>
        </is>
      </c>
      <c r="B216" s="35" t="n">
        <v>510.3500375068445</v>
      </c>
      <c r="C216" s="35" t="n">
        <v>298.049241276653</v>
      </c>
      <c r="D216" s="36" t="n">
        <v>4410.778114554048</v>
      </c>
      <c r="E216" s="37" t="n">
        <v>0.8466095237746563</v>
      </c>
      <c r="F216" s="37" t="n">
        <v>0.7258045432847671</v>
      </c>
      <c r="G216" s="37" t="n">
        <v>0.9224317987368116</v>
      </c>
      <c r="H216" s="37" t="n">
        <v>0.6224097291745899</v>
      </c>
      <c r="I216" s="37" t="n">
        <v>0.805267320652433</v>
      </c>
      <c r="J216" s="37" t="n">
        <v>0.4318817082408617</v>
      </c>
      <c r="K216" s="32" t="inlineStr">
        <is>
          <t>No convergió</t>
        </is>
      </c>
      <c r="L216" s="29" t="inlineStr">
        <is>
          <t>—</t>
        </is>
      </c>
      <c r="M216" s="35" t="inlineStr">
        <is>
          <t>—</t>
        </is>
      </c>
      <c r="N216" s="36" t="n">
        <v>4010.778114554048</v>
      </c>
      <c r="O216" s="29" t="n">
        <v>11.02694528638512</v>
      </c>
      <c r="P216" s="16" t="inlineStr">
        <is>
          <t>no</t>
        </is>
      </c>
      <c r="Q216" s="16" t="n"/>
    </row>
    <row r="218">
      <c r="A218" s="33" t="inlineStr">
        <is>
          <t>Parte 4.3 T_fuente · ronda 0 · 100 puntos</t>
        </is>
      </c>
      <c r="B218" s="31" t="n"/>
      <c r="C218" s="31" t="n"/>
      <c r="D218" s="31" t="n"/>
      <c r="E218" s="31" t="n"/>
      <c r="F218" s="31" t="n"/>
      <c r="G218" s="31" t="n"/>
      <c r="H218" s="31" t="n"/>
      <c r="I218" s="31" t="n"/>
      <c r="J218" s="31" t="n"/>
      <c r="K218" s="31" t="n"/>
    </row>
    <row r="220">
      <c r="A220" s="34" t="inlineStr">
        <is>
          <t>Barrido de la parte 4.3 T_fuente · 100 puntos</t>
        </is>
      </c>
    </row>
    <row r="221">
      <c r="A221" s="25" t="inlineStr">
        <is>
          <t>Fijos en este barrido: T_fuente = 623.15.</t>
        </is>
      </c>
    </row>
    <row r="222">
      <c r="A222" s="22" t="inlineStr">
        <is>
          <t>id_punto</t>
        </is>
      </c>
      <c r="B222" s="22" t="inlineStr">
        <is>
          <t>T_sumidero [K]</t>
        </is>
      </c>
      <c r="C222" s="22" t="inlineStr">
        <is>
          <t>P_alta [kPa]</t>
        </is>
      </c>
      <c r="D222" s="22" t="inlineStr">
        <is>
          <t>P_baja [kPa]</t>
        </is>
      </c>
      <c r="E222" s="22" t="inlineStr">
        <is>
          <t>x_b [–]</t>
        </is>
      </c>
      <c r="F222" s="22" t="inlineStr">
        <is>
          <t>η_t [–]</t>
        </is>
      </c>
      <c r="G222" s="22" t="inlineStr">
        <is>
          <t>η_p [–]</t>
        </is>
      </c>
      <c r="H222" s="22" t="inlineStr">
        <is>
          <t>ε_HRVG [–]</t>
        </is>
      </c>
      <c r="I222" s="22" t="inlineStr">
        <is>
          <t>ε_reg [–]</t>
        </is>
      </c>
      <c r="J222" s="22" t="inlineStr">
        <is>
          <t>ε_cond [–]</t>
        </is>
      </c>
      <c r="K222" s="22" t="inlineStr">
        <is>
          <t>Clase</t>
        </is>
      </c>
      <c r="L222" s="22" t="inlineStr">
        <is>
          <t>η [%]</t>
        </is>
      </c>
      <c r="M222" s="22" t="inlineStr">
        <is>
          <t>W_net [kW] (m_b = 1 kg/s)</t>
        </is>
      </c>
      <c r="N222" s="22" t="inlineStr">
        <is>
          <t>ΔP [kPa]</t>
        </is>
      </c>
      <c r="O222" s="22" t="inlineStr">
        <is>
          <t>r_P [–]</t>
        </is>
      </c>
      <c r="P222" s="22" t="inlineStr">
        <is>
          <t>Fuera de rango</t>
        </is>
      </c>
      <c r="Q222" s="22" t="inlineStr">
        <is>
          <t>Criterios que falla</t>
        </is>
      </c>
    </row>
    <row r="223">
      <c r="A223" s="16" t="inlineStr">
        <is>
          <t>KF-M09-R0-T_fuente-0000</t>
        </is>
      </c>
      <c r="B223" s="35" t="n">
        <v>279.6847344398564</v>
      </c>
      <c r="C223" s="36" t="n">
        <v>2249.075357139776</v>
      </c>
      <c r="D223" s="35" t="n">
        <v>624.1718289701137</v>
      </c>
      <c r="E223" s="37" t="n">
        <v>0.8440970031652609</v>
      </c>
      <c r="F223" s="37" t="n">
        <v>0.5013411441050427</v>
      </c>
      <c r="G223" s="37" t="n">
        <v>0.7666650328756537</v>
      </c>
      <c r="H223" s="37" t="n">
        <v>0.8534713330594816</v>
      </c>
      <c r="I223" s="37" t="n">
        <v>0.510852050924209</v>
      </c>
      <c r="J223" s="37" t="n">
        <v>0.5968923303692698</v>
      </c>
      <c r="K223" s="32" t="inlineStr">
        <is>
          <t>No convergió</t>
        </is>
      </c>
      <c r="L223" s="29" t="inlineStr">
        <is>
          <t>—</t>
        </is>
      </c>
      <c r="M223" s="35" t="inlineStr">
        <is>
          <t>—</t>
        </is>
      </c>
      <c r="N223" s="36" t="n">
        <v>1624.903528169662</v>
      </c>
      <c r="O223" s="29" t="n">
        <v>3.60329520294237</v>
      </c>
      <c r="P223" s="16" t="inlineStr">
        <is>
          <t>no</t>
        </is>
      </c>
      <c r="Q223" s="16" t="n"/>
    </row>
    <row r="224">
      <c r="A224" s="16" t="inlineStr">
        <is>
          <t>KF-M09-R0-T_fuente-0001</t>
        </is>
      </c>
      <c r="B224" s="35" t="n">
        <v>298.1745553321329</v>
      </c>
      <c r="C224" s="36" t="n">
        <v>4856.479208932916</v>
      </c>
      <c r="D224" s="35" t="n">
        <v>562.678672169802</v>
      </c>
      <c r="E224" s="37" t="n">
        <v>0.7255459655772305</v>
      </c>
      <c r="F224" s="37" t="n">
        <v>0.530773156400409</v>
      </c>
      <c r="G224" s="37" t="n">
        <v>0.5488027873027779</v>
      </c>
      <c r="H224" s="37" t="n">
        <v>0.5114153205383569</v>
      </c>
      <c r="I224" s="37" t="n">
        <v>0.4247485812572488</v>
      </c>
      <c r="J224" s="37" t="n">
        <v>0.5181911844100114</v>
      </c>
      <c r="K224" s="32" t="inlineStr">
        <is>
          <t>No convergió</t>
        </is>
      </c>
      <c r="L224" s="29" t="inlineStr">
        <is>
          <t>—</t>
        </is>
      </c>
      <c r="M224" s="35" t="inlineStr">
        <is>
          <t>—</t>
        </is>
      </c>
      <c r="N224" s="36" t="n">
        <v>4293.800536763114</v>
      </c>
      <c r="O224" s="29" t="n">
        <v>8.630999270339066</v>
      </c>
      <c r="P224" s="16" t="inlineStr">
        <is>
          <t>no</t>
        </is>
      </c>
      <c r="Q224" s="16" t="n"/>
    </row>
    <row r="225">
      <c r="A225" s="16" t="inlineStr">
        <is>
          <t>KF-M09-R0-T_fuente-0002</t>
        </is>
      </c>
      <c r="B225" s="35" t="n">
        <v>289.5830415377092</v>
      </c>
      <c r="C225" s="36" t="n">
        <v>4047.67246024877</v>
      </c>
      <c r="D225" s="35" t="n">
        <v>1806.29903202974</v>
      </c>
      <c r="E225" s="37" t="n">
        <v>0.7560709074525318</v>
      </c>
      <c r="F225" s="37" t="n">
        <v>0.4212538915956202</v>
      </c>
      <c r="G225" s="37" t="n">
        <v>0.7870271830917577</v>
      </c>
      <c r="H225" s="37" t="n">
        <v>0.6230809864042148</v>
      </c>
      <c r="I225" s="37" t="n">
        <v>0.4769557920738938</v>
      </c>
      <c r="J225" s="37" t="n">
        <v>0.4005919514633325</v>
      </c>
      <c r="K225" s="32" t="inlineStr">
        <is>
          <t>No convergió</t>
        </is>
      </c>
      <c r="L225" s="29" t="inlineStr">
        <is>
          <t>—</t>
        </is>
      </c>
      <c r="M225" s="35" t="inlineStr">
        <is>
          <t>—</t>
        </is>
      </c>
      <c r="N225" s="36" t="n">
        <v>2241.37342821903</v>
      </c>
      <c r="O225" s="29" t="n">
        <v>2.240865099562389</v>
      </c>
      <c r="P225" s="16" t="inlineStr">
        <is>
          <t>no</t>
        </is>
      </c>
      <c r="Q225" s="16" t="n"/>
    </row>
    <row r="226">
      <c r="A226" s="16" t="inlineStr">
        <is>
          <t>KF-M09-R0-T_fuente-0003</t>
        </is>
      </c>
      <c r="B226" s="35" t="n">
        <v>293.2698827174552</v>
      </c>
      <c r="C226" s="36" t="n">
        <v>4417.572942369412</v>
      </c>
      <c r="D226" s="35" t="n">
        <v>1513.504865631809</v>
      </c>
      <c r="E226" s="37" t="n">
        <v>0.7127677094628225</v>
      </c>
      <c r="F226" s="37" t="n">
        <v>0.7467629954485233</v>
      </c>
      <c r="G226" s="37" t="n">
        <v>0.6892646053490685</v>
      </c>
      <c r="H226" s="37" t="n">
        <v>0.4498678599102133</v>
      </c>
      <c r="I226" s="37" t="n">
        <v>0.4145540847502942</v>
      </c>
      <c r="J226" s="37" t="n">
        <v>0.8501216412327188</v>
      </c>
      <c r="K226" s="39" t="inlineStr">
        <is>
          <t>Corregible</t>
        </is>
      </c>
      <c r="L226" s="29" t="n">
        <v>7.262250711395519</v>
      </c>
      <c r="M226" s="35" t="n">
        <v>72.75187799896447</v>
      </c>
      <c r="N226" s="36" t="n">
        <v>2904.068076737603</v>
      </c>
      <c r="O226" s="29" t="n">
        <v>2.918770228416351</v>
      </c>
      <c r="P226" s="16" t="inlineStr">
        <is>
          <t>sí</t>
        </is>
      </c>
      <c r="Q226" s="16" t="inlineStr">
        <is>
          <t>O2</t>
        </is>
      </c>
    </row>
    <row r="227">
      <c r="A227" s="16" t="inlineStr">
        <is>
          <t>KF-M09-R0-T_fuente-0004</t>
        </is>
      </c>
      <c r="B227" s="35" t="n">
        <v>300.6022649902078</v>
      </c>
      <c r="C227" s="36" t="n">
        <v>4960.132111892552</v>
      </c>
      <c r="D227" s="35" t="n">
        <v>373.2525081237647</v>
      </c>
      <c r="E227" s="37" t="n">
        <v>0.531567710919528</v>
      </c>
      <c r="F227" s="37" t="n">
        <v>0.5707404539208294</v>
      </c>
      <c r="G227" s="37" t="n">
        <v>0.4269926509405113</v>
      </c>
      <c r="H227" s="37" t="n">
        <v>0.7003755039481474</v>
      </c>
      <c r="I227" s="37" t="n">
        <v>0.4981039940301303</v>
      </c>
      <c r="J227" s="37" t="n">
        <v>0.645652434205533</v>
      </c>
      <c r="K227" s="40" t="inlineStr">
        <is>
          <t>Inviable</t>
        </is>
      </c>
      <c r="L227" s="29" t="n">
        <v>-8.007150345254201</v>
      </c>
      <c r="M227" s="35" t="n">
        <v>-90.38909202028596</v>
      </c>
      <c r="N227" s="36" t="n">
        <v>4586.879603768787</v>
      </c>
      <c r="O227" s="29" t="n">
        <v>13.28894516161657</v>
      </c>
      <c r="P227" s="16" t="inlineStr">
        <is>
          <t>sí</t>
        </is>
      </c>
      <c r="Q227" s="16" t="inlineStr">
        <is>
          <t>O2,O3</t>
        </is>
      </c>
    </row>
    <row r="228">
      <c r="A228" s="16" t="inlineStr">
        <is>
          <t>KF-M09-R0-T_fuente-0005</t>
        </is>
      </c>
      <c r="B228" s="35" t="n">
        <v>294.7291327824228</v>
      </c>
      <c r="C228" s="36" t="n">
        <v>3544.819422652637</v>
      </c>
      <c r="D228" s="35" t="n">
        <v>443.9229786139323</v>
      </c>
      <c r="E228" s="37" t="n">
        <v>0.5630637224616247</v>
      </c>
      <c r="F228" s="37" t="n">
        <v>0.7736877075305346</v>
      </c>
      <c r="G228" s="37" t="n">
        <v>0.933076112510734</v>
      </c>
      <c r="H228" s="37" t="n">
        <v>0.8424420298985926</v>
      </c>
      <c r="I228" s="37" t="n">
        <v>0.4009579549964744</v>
      </c>
      <c r="J228" s="37" t="n">
        <v>0.9235216094285044</v>
      </c>
      <c r="K228" s="38" t="inlineStr">
        <is>
          <t>Falso convergido</t>
        </is>
      </c>
      <c r="L228" s="29" t="inlineStr">
        <is>
          <t>—</t>
        </is>
      </c>
      <c r="M228" s="35" t="inlineStr">
        <is>
          <t>—</t>
        </is>
      </c>
      <c r="N228" s="36" t="n">
        <v>3100.896444038704</v>
      </c>
      <c r="O228" s="29" t="n">
        <v>7.985212736048676</v>
      </c>
      <c r="P228" s="16" t="inlineStr">
        <is>
          <t>sí</t>
        </is>
      </c>
      <c r="Q228" s="16" t="inlineStr">
        <is>
          <t>N2,O2,O5,C1,C3,C3</t>
        </is>
      </c>
    </row>
    <row r="229">
      <c r="A229" s="16" t="inlineStr">
        <is>
          <t>KF-M09-R0-T_fuente-0006</t>
        </is>
      </c>
      <c r="B229" s="35" t="n">
        <v>285.1516024366614</v>
      </c>
      <c r="C229" s="36" t="n">
        <v>3818.497439003998</v>
      </c>
      <c r="D229" s="35" t="n">
        <v>1463.898791773516</v>
      </c>
      <c r="E229" s="37" t="n">
        <v>0.740456001745964</v>
      </c>
      <c r="F229" s="37" t="n">
        <v>0.8698676786747479</v>
      </c>
      <c r="G229" s="37" t="n">
        <v>0.9341566557809536</v>
      </c>
      <c r="H229" s="37" t="n">
        <v>0.5027252051262986</v>
      </c>
      <c r="I229" s="37" t="n">
        <v>0.9414210552206131</v>
      </c>
      <c r="J229" s="37" t="n">
        <v>0.5009554235637564</v>
      </c>
      <c r="K229" s="39" t="inlineStr">
        <is>
          <t>Corregible</t>
        </is>
      </c>
      <c r="L229" s="29" t="n">
        <v>7.24355044505168</v>
      </c>
      <c r="M229" s="35" t="n">
        <v>58.94179900874195</v>
      </c>
      <c r="N229" s="36" t="n">
        <v>2354.598647230483</v>
      </c>
      <c r="O229" s="29" t="n">
        <v>2.608443603111307</v>
      </c>
      <c r="P229" s="16" t="inlineStr">
        <is>
          <t>sí</t>
        </is>
      </c>
      <c r="Q229" s="16" t="inlineStr">
        <is>
          <t>O2</t>
        </is>
      </c>
    </row>
    <row r="230">
      <c r="A230" s="16" t="inlineStr">
        <is>
          <t>KF-M09-R0-T_fuente-0007</t>
        </is>
      </c>
      <c r="B230" s="35" t="n">
        <v>287.7327703059365</v>
      </c>
      <c r="C230" s="36" t="n">
        <v>4262.200880270647</v>
      </c>
      <c r="D230" s="35" t="n">
        <v>1372.352633531222</v>
      </c>
      <c r="E230" s="37" t="n">
        <v>0.5113886939745081</v>
      </c>
      <c r="F230" s="37" t="n">
        <v>0.8366353443342869</v>
      </c>
      <c r="G230" s="37" t="n">
        <v>0.8030728639231957</v>
      </c>
      <c r="H230" s="37" t="n">
        <v>0.5768884907665177</v>
      </c>
      <c r="I230" s="37" t="n">
        <v>0.7733378777417389</v>
      </c>
      <c r="J230" s="37" t="n">
        <v>0.7031954993632152</v>
      </c>
      <c r="K230" s="39" t="inlineStr">
        <is>
          <t>Corregible</t>
        </is>
      </c>
      <c r="L230" s="29" t="n">
        <v>8.44032237417704</v>
      </c>
      <c r="M230" s="35" t="n">
        <v>105.7518144171733</v>
      </c>
      <c r="N230" s="36" t="n">
        <v>2889.848246739424</v>
      </c>
      <c r="O230" s="29" t="n">
        <v>3.105762160636155</v>
      </c>
      <c r="P230" s="16" t="inlineStr">
        <is>
          <t>sí</t>
        </is>
      </c>
      <c r="Q230" s="16" t="inlineStr">
        <is>
          <t>O2</t>
        </is>
      </c>
    </row>
    <row r="231">
      <c r="A231" s="16" t="inlineStr">
        <is>
          <t>KF-M09-R0-T_fuente-0008</t>
        </is>
      </c>
      <c r="B231" s="35" t="n">
        <v>284.6063741202602</v>
      </c>
      <c r="C231" s="36" t="n">
        <v>3341.497864455678</v>
      </c>
      <c r="D231" s="35" t="n">
        <v>1645.154359544677</v>
      </c>
      <c r="E231" s="37" t="n">
        <v>0.6374991186613175</v>
      </c>
      <c r="F231" s="37" t="n">
        <v>0.4484850520894443</v>
      </c>
      <c r="G231" s="37" t="n">
        <v>0.4002036646531887</v>
      </c>
      <c r="H231" s="37" t="n">
        <v>0.8818478687633485</v>
      </c>
      <c r="I231" s="37" t="n">
        <v>0.5560934623806894</v>
      </c>
      <c r="J231" s="37" t="n">
        <v>0.7652637032887298</v>
      </c>
      <c r="K231" s="32" t="inlineStr">
        <is>
          <t>No convergió</t>
        </is>
      </c>
      <c r="L231" s="29" t="inlineStr">
        <is>
          <t>—</t>
        </is>
      </c>
      <c r="M231" s="35" t="inlineStr">
        <is>
          <t>—</t>
        </is>
      </c>
      <c r="N231" s="36" t="n">
        <v>1696.343504911001</v>
      </c>
      <c r="O231" s="29" t="n">
        <v>2.031115101795367</v>
      </c>
      <c r="P231" s="16" t="inlineStr">
        <is>
          <t>no</t>
        </is>
      </c>
      <c r="Q231" s="16" t="n"/>
    </row>
    <row r="232">
      <c r="A232" s="16" t="inlineStr">
        <is>
          <t>KF-M09-R0-T_fuente-0009</t>
        </is>
      </c>
      <c r="B232" s="35" t="n">
        <v>278.9754622953334</v>
      </c>
      <c r="C232" s="36" t="n">
        <v>4122.704863295952</v>
      </c>
      <c r="D232" s="35" t="n">
        <v>1583.425191175243</v>
      </c>
      <c r="E232" s="37" t="n">
        <v>0.7515600013042953</v>
      </c>
      <c r="F232" s="37" t="n">
        <v>0.6103273105075951</v>
      </c>
      <c r="G232" s="37" t="n">
        <v>0.5446044972590762</v>
      </c>
      <c r="H232" s="37" t="n">
        <v>0.8714796445591806</v>
      </c>
      <c r="I232" s="37" t="n">
        <v>0.560241436783493</v>
      </c>
      <c r="J232" s="37" t="n">
        <v>0.6804516079054392</v>
      </c>
      <c r="K232" s="32" t="inlineStr">
        <is>
          <t>No convergió</t>
        </is>
      </c>
      <c r="L232" s="29" t="inlineStr">
        <is>
          <t>—</t>
        </is>
      </c>
      <c r="M232" s="35" t="inlineStr">
        <is>
          <t>—</t>
        </is>
      </c>
      <c r="N232" s="36" t="n">
        <v>2539.279672120709</v>
      </c>
      <c r="O232" s="29" t="n">
        <v>2.603662545141154</v>
      </c>
      <c r="P232" s="16" t="inlineStr">
        <is>
          <t>no</t>
        </is>
      </c>
      <c r="Q232" s="16" t="n"/>
    </row>
    <row r="233">
      <c r="A233" s="16" t="inlineStr">
        <is>
          <t>KF-M09-R0-T_fuente-0010</t>
        </is>
      </c>
      <c r="B233" s="35" t="n">
        <v>288.8417745793021</v>
      </c>
      <c r="C233" s="36" t="n">
        <v>4734.734599502155</v>
      </c>
      <c r="D233" s="35" t="n">
        <v>1620.202019799479</v>
      </c>
      <c r="E233" s="37" t="n">
        <v>0.5503828356756744</v>
      </c>
      <c r="F233" s="37" t="n">
        <v>0.8504284950408978</v>
      </c>
      <c r="G233" s="37" t="n">
        <v>0.8486700413402772</v>
      </c>
      <c r="H233" s="37" t="n">
        <v>0.4075210484590628</v>
      </c>
      <c r="I233" s="37" t="n">
        <v>0.7826691864780502</v>
      </c>
      <c r="J233" s="37" t="n">
        <v>0.6928167160022001</v>
      </c>
      <c r="K233" s="39" t="inlineStr">
        <is>
          <t>Corregible</t>
        </is>
      </c>
      <c r="L233" s="29" t="n">
        <v>8.56461527393343</v>
      </c>
      <c r="M233" s="35" t="n">
        <v>75.71329984249043</v>
      </c>
      <c r="N233" s="36" t="n">
        <v>3114.532579702676</v>
      </c>
      <c r="O233" s="29" t="n">
        <v>2.922311256029752</v>
      </c>
      <c r="P233" s="16" t="inlineStr">
        <is>
          <t>sí</t>
        </is>
      </c>
      <c r="Q233" s="16" t="inlineStr">
        <is>
          <t>O2</t>
        </is>
      </c>
    </row>
    <row r="234">
      <c r="A234" s="16" t="inlineStr">
        <is>
          <t>KF-M09-R0-T_fuente-0011</t>
        </is>
      </c>
      <c r="B234" s="35" t="n">
        <v>295.2694422804968</v>
      </c>
      <c r="C234" s="36" t="n">
        <v>2066.316847956331</v>
      </c>
      <c r="D234" s="35" t="n">
        <v>855.9134288300592</v>
      </c>
      <c r="E234" s="37" t="n">
        <v>0.6537064700144911</v>
      </c>
      <c r="F234" s="37" t="n">
        <v>0.6920458248101582</v>
      </c>
      <c r="G234" s="37" t="n">
        <v>0.5100117463385203</v>
      </c>
      <c r="H234" s="37" t="n">
        <v>0.7772886451879499</v>
      </c>
      <c r="I234" s="37" t="n">
        <v>0.7997820063304075</v>
      </c>
      <c r="J234" s="37" t="n">
        <v>0.6722748659500848</v>
      </c>
      <c r="K234" s="32" t="inlineStr">
        <is>
          <t>No convergió</t>
        </is>
      </c>
      <c r="L234" s="29" t="inlineStr">
        <is>
          <t>—</t>
        </is>
      </c>
      <c r="M234" s="35" t="inlineStr">
        <is>
          <t>—</t>
        </is>
      </c>
      <c r="N234" s="36" t="n">
        <v>1210.403419126272</v>
      </c>
      <c r="O234" s="29" t="n">
        <v>2.414165706899543</v>
      </c>
      <c r="P234" s="16" t="inlineStr">
        <is>
          <t>no</t>
        </is>
      </c>
      <c r="Q234" s="16" t="n"/>
    </row>
    <row r="235">
      <c r="A235" s="16" t="inlineStr">
        <is>
          <t>KF-M09-R0-T_fuente-0012</t>
        </is>
      </c>
      <c r="B235" s="35" t="n">
        <v>298.3068889822364</v>
      </c>
      <c r="C235" s="36" t="n">
        <v>4901.061223519155</v>
      </c>
      <c r="D235" s="35" t="n">
        <v>351.5925808025371</v>
      </c>
      <c r="E235" s="37" t="n">
        <v>0.5040704848455015</v>
      </c>
      <c r="F235" s="37" t="n">
        <v>0.7954886167193804</v>
      </c>
      <c r="G235" s="37" t="n">
        <v>0.4969444939343614</v>
      </c>
      <c r="H235" s="37" t="n">
        <v>0.588152647430722</v>
      </c>
      <c r="I235" s="37" t="n">
        <v>0.5819293999524817</v>
      </c>
      <c r="J235" s="37" t="n">
        <v>0.6211650222202028</v>
      </c>
      <c r="K235" s="39" t="inlineStr">
        <is>
          <t>Corregible</t>
        </is>
      </c>
      <c r="L235" s="29" t="n">
        <v>6.07158688670072</v>
      </c>
      <c r="M235" s="35" t="n">
        <v>65.79281117298893</v>
      </c>
      <c r="N235" s="36" t="n">
        <v>4549.468642716618</v>
      </c>
      <c r="O235" s="29" t="n">
        <v>13.93960365242095</v>
      </c>
      <c r="P235" s="16" t="inlineStr">
        <is>
          <t>sí</t>
        </is>
      </c>
      <c r="Q235" s="16" t="inlineStr">
        <is>
          <t>O1,O2</t>
        </is>
      </c>
    </row>
    <row r="236">
      <c r="A236" s="16" t="inlineStr">
        <is>
          <t>KF-M09-R0-T_fuente-0013</t>
        </is>
      </c>
      <c r="B236" s="35" t="n">
        <v>303.3762154679023</v>
      </c>
      <c r="C236" s="36" t="n">
        <v>3979.769764537454</v>
      </c>
      <c r="D236" s="35" t="n">
        <v>1913.689364019559</v>
      </c>
      <c r="E236" s="37" t="n">
        <v>0.6678647595541882</v>
      </c>
      <c r="F236" s="37" t="n">
        <v>0.4423864715260754</v>
      </c>
      <c r="G236" s="37" t="n">
        <v>0.5554377205634725</v>
      </c>
      <c r="H236" s="37" t="n">
        <v>0.5701249512021356</v>
      </c>
      <c r="I236" s="37" t="n">
        <v>0.4334955618683224</v>
      </c>
      <c r="J236" s="37" t="n">
        <v>0.8401557519919477</v>
      </c>
      <c r="K236" s="39" t="inlineStr">
        <is>
          <t>Corregible</t>
        </is>
      </c>
      <c r="L236" s="29" t="n">
        <v>2.75217654098346</v>
      </c>
      <c r="M236" s="35" t="n">
        <v>34.60276609781585</v>
      </c>
      <c r="N236" s="36" t="n">
        <v>2066.080400517895</v>
      </c>
      <c r="O236" s="29" t="n">
        <v>2.079632065351636</v>
      </c>
      <c r="P236" s="16" t="inlineStr">
        <is>
          <t>sí</t>
        </is>
      </c>
      <c r="Q236" s="16" t="inlineStr">
        <is>
          <t>O2</t>
        </is>
      </c>
    </row>
    <row r="237">
      <c r="A237" s="16" t="inlineStr">
        <is>
          <t>KF-M09-R0-T_fuente-0014</t>
        </is>
      </c>
      <c r="B237" s="35" t="n">
        <v>294.4151173017103</v>
      </c>
      <c r="C237" s="36" t="n">
        <v>3396.178542909995</v>
      </c>
      <c r="D237" s="35" t="n">
        <v>349.5343076942009</v>
      </c>
      <c r="E237" s="37" t="n">
        <v>0.6934559588868736</v>
      </c>
      <c r="F237" s="37" t="n">
        <v>0.866469353127826</v>
      </c>
      <c r="G237" s="37" t="n">
        <v>0.7753592039429549</v>
      </c>
      <c r="H237" s="37" t="n">
        <v>0.7934121076756206</v>
      </c>
      <c r="I237" s="37" t="n">
        <v>0.8782032959600464</v>
      </c>
      <c r="J237" s="37" t="n">
        <v>0.4468579413161118</v>
      </c>
      <c r="K237" s="32" t="inlineStr">
        <is>
          <t>No convergió</t>
        </is>
      </c>
      <c r="L237" s="29" t="inlineStr">
        <is>
          <t>—</t>
        </is>
      </c>
      <c r="M237" s="35" t="inlineStr">
        <is>
          <t>—</t>
        </is>
      </c>
      <c r="N237" s="36" t="n">
        <v>3046.644235215794</v>
      </c>
      <c r="O237" s="29" t="n">
        <v>9.716295276746422</v>
      </c>
      <c r="P237" s="16" t="inlineStr">
        <is>
          <t>no</t>
        </is>
      </c>
      <c r="Q237" s="16" t="n"/>
    </row>
    <row r="238">
      <c r="A238" s="16" t="inlineStr">
        <is>
          <t>KF-M09-R0-T_fuente-0015</t>
        </is>
      </c>
      <c r="B238" s="35" t="n">
        <v>299.6003919183179</v>
      </c>
      <c r="C238" s="36" t="n">
        <v>4070.858707796533</v>
      </c>
      <c r="D238" s="35" t="n">
        <v>1489.72064604664</v>
      </c>
      <c r="E238" s="37" t="n">
        <v>0.673939501935077</v>
      </c>
      <c r="F238" s="37" t="n">
        <v>0.526370751218858</v>
      </c>
      <c r="G238" s="37" t="n">
        <v>0.9135976378897964</v>
      </c>
      <c r="H238" s="37" t="n">
        <v>0.468093081482445</v>
      </c>
      <c r="I238" s="37" t="n">
        <v>0.5788180207414526</v>
      </c>
      <c r="J238" s="37" t="n">
        <v>0.6045185178007326</v>
      </c>
      <c r="K238" s="39" t="inlineStr">
        <is>
          <t>Corregible</t>
        </is>
      </c>
      <c r="L238" s="29" t="n">
        <v>2.65200357672258</v>
      </c>
      <c r="M238" s="35" t="n">
        <v>23.09252768406493</v>
      </c>
      <c r="N238" s="36" t="n">
        <v>2581.138061749893</v>
      </c>
      <c r="O238" s="29" t="n">
        <v>2.732632268069596</v>
      </c>
      <c r="P238" s="16" t="inlineStr">
        <is>
          <t>sí</t>
        </is>
      </c>
      <c r="Q238" s="16" t="inlineStr">
        <is>
          <t>O2</t>
        </is>
      </c>
    </row>
    <row r="239">
      <c r="A239" s="16" t="inlineStr">
        <is>
          <t>KF-M09-R0-T_fuente-0016</t>
        </is>
      </c>
      <c r="B239" s="35" t="n">
        <v>291.5597314839689</v>
      </c>
      <c r="C239" s="36" t="n">
        <v>2028.570774216978</v>
      </c>
      <c r="D239" s="35" t="n">
        <v>1430.271108807394</v>
      </c>
      <c r="E239" s="37" t="n">
        <v>0.6021777830734449</v>
      </c>
      <c r="F239" s="37" t="n">
        <v>0.7159884554414797</v>
      </c>
      <c r="G239" s="37" t="n">
        <v>0.8000554655124499</v>
      </c>
      <c r="H239" s="37" t="n">
        <v>0.7142495152738474</v>
      </c>
      <c r="I239" s="37" t="n">
        <v>0.9221411583143692</v>
      </c>
      <c r="J239" s="37" t="n">
        <v>0.5756734516560595</v>
      </c>
      <c r="K239" s="39" t="inlineStr">
        <is>
          <t>Corregible</t>
        </is>
      </c>
      <c r="L239" s="29" t="n">
        <v>1.35035475684443</v>
      </c>
      <c r="M239" s="35" t="n">
        <v>16.73862735649781</v>
      </c>
      <c r="N239" s="36" t="n">
        <v>598.2996654095843</v>
      </c>
      <c r="O239" s="29" t="n">
        <v>1.418312068058527</v>
      </c>
      <c r="P239" s="16" t="inlineStr">
        <is>
          <t>sí</t>
        </is>
      </c>
      <c r="Q239" s="16" t="inlineStr">
        <is>
          <t>O2</t>
        </is>
      </c>
    </row>
    <row r="240">
      <c r="A240" s="16" t="inlineStr">
        <is>
          <t>KF-M09-R0-T_fuente-0017</t>
        </is>
      </c>
      <c r="B240" s="35" t="n">
        <v>296.4939213855312</v>
      </c>
      <c r="C240" s="36" t="n">
        <v>2387.598308131757</v>
      </c>
      <c r="D240" s="35" t="n">
        <v>544.7244239030637</v>
      </c>
      <c r="E240" s="37" t="n">
        <v>0.5072266955028534</v>
      </c>
      <c r="F240" s="37" t="n">
        <v>0.4954224942563772</v>
      </c>
      <c r="G240" s="37" t="n">
        <v>0.5625707862251065</v>
      </c>
      <c r="H240" s="37" t="n">
        <v>0.888923002599888</v>
      </c>
      <c r="I240" s="37" t="n">
        <v>0.5035612760561292</v>
      </c>
      <c r="J240" s="37" t="n">
        <v>0.7206463048909271</v>
      </c>
      <c r="K240" s="32" t="inlineStr">
        <is>
          <t>No convergió</t>
        </is>
      </c>
      <c r="L240" s="29" t="inlineStr">
        <is>
          <t>—</t>
        </is>
      </c>
      <c r="M240" s="35" t="inlineStr">
        <is>
          <t>—</t>
        </is>
      </c>
      <c r="N240" s="36" t="n">
        <v>1842.873884228693</v>
      </c>
      <c r="O240" s="29" t="n">
        <v>4.383130631492745</v>
      </c>
      <c r="P240" s="16" t="inlineStr">
        <is>
          <t>no</t>
        </is>
      </c>
      <c r="Q240" s="16" t="n"/>
    </row>
    <row r="241">
      <c r="A241" s="16" t="inlineStr">
        <is>
          <t>KF-M09-R0-T_fuente-0018</t>
        </is>
      </c>
      <c r="B241" s="35" t="n">
        <v>300.3079685414979</v>
      </c>
      <c r="C241" s="36" t="n">
        <v>2107.512844541744</v>
      </c>
      <c r="D241" s="35" t="n">
        <v>1176.368631250904</v>
      </c>
      <c r="E241" s="37" t="n">
        <v>0.7089155647951947</v>
      </c>
      <c r="F241" s="37" t="n">
        <v>0.8970122450973028</v>
      </c>
      <c r="G241" s="37" t="n">
        <v>0.7310352221237749</v>
      </c>
      <c r="H241" s="37" t="n">
        <v>0.7376253362661542</v>
      </c>
      <c r="I241" s="37" t="n">
        <v>0.6783227097306657</v>
      </c>
      <c r="J241" s="37" t="n">
        <v>0.7838627760200549</v>
      </c>
      <c r="K241" s="39" t="inlineStr">
        <is>
          <t>Corregible</t>
        </is>
      </c>
      <c r="L241" s="29" t="n">
        <v>4.55121628807822</v>
      </c>
      <c r="M241" s="35" t="n">
        <v>68.77030999002061</v>
      </c>
      <c r="N241" s="36" t="n">
        <v>931.14421329084</v>
      </c>
      <c r="O241" s="29" t="n">
        <v>1.791541178976098</v>
      </c>
      <c r="P241" s="16" t="inlineStr">
        <is>
          <t>sí</t>
        </is>
      </c>
      <c r="Q241" s="16" t="inlineStr">
        <is>
          <t>O2</t>
        </is>
      </c>
    </row>
    <row r="242">
      <c r="A242" s="16" t="inlineStr">
        <is>
          <t>KF-M09-R0-T_fuente-0019</t>
        </is>
      </c>
      <c r="B242" s="35" t="n">
        <v>283.8043653393291</v>
      </c>
      <c r="C242" s="36" t="n">
        <v>4921.212902723632</v>
      </c>
      <c r="D242" s="35" t="n">
        <v>320.6466163593556</v>
      </c>
      <c r="E242" s="37" t="n">
        <v>0.553082520408853</v>
      </c>
      <c r="F242" s="37" t="n">
        <v>0.8872840711224597</v>
      </c>
      <c r="G242" s="37" t="n">
        <v>0.7707869249063902</v>
      </c>
      <c r="H242" s="37" t="n">
        <v>0.6650293809074916</v>
      </c>
      <c r="I242" s="37" t="n">
        <v>0.6301060497588021</v>
      </c>
      <c r="J242" s="37" t="n">
        <v>0.8360917300721773</v>
      </c>
      <c r="K242" s="39" t="inlineStr">
        <is>
          <t>Corregible</t>
        </is>
      </c>
      <c r="L242" s="29" t="n">
        <v>18.50892491092784</v>
      </c>
      <c r="M242" s="35" t="n">
        <v>290.1053043197749</v>
      </c>
      <c r="N242" s="36" t="n">
        <v>4600.566286364276</v>
      </c>
      <c r="O242" s="29" t="n">
        <v>15.34777743361035</v>
      </c>
      <c r="P242" s="16" t="inlineStr">
        <is>
          <t>sí</t>
        </is>
      </c>
      <c r="Q242" s="16" t="inlineStr">
        <is>
          <t>O1,O2</t>
        </is>
      </c>
    </row>
    <row r="243">
      <c r="A243" s="16" t="inlineStr">
        <is>
          <t>KF-M09-R0-T_fuente-0020</t>
        </is>
      </c>
      <c r="B243" s="35" t="n">
        <v>280.7041844554679</v>
      </c>
      <c r="C243" s="36" t="n">
        <v>4726.033652839031</v>
      </c>
      <c r="D243" s="35" t="n">
        <v>754.6477954238487</v>
      </c>
      <c r="E243" s="37" t="n">
        <v>0.7307116786187656</v>
      </c>
      <c r="F243" s="37" t="n">
        <v>0.5394826305600545</v>
      </c>
      <c r="G243" s="37" t="n">
        <v>0.406672786829766</v>
      </c>
      <c r="H243" s="37" t="n">
        <v>0.7999507478234953</v>
      </c>
      <c r="I243" s="37" t="n">
        <v>0.787877883345986</v>
      </c>
      <c r="J243" s="37" t="n">
        <v>0.9368411724345144</v>
      </c>
      <c r="K243" s="39" t="inlineStr">
        <is>
          <t>Corregible</t>
        </is>
      </c>
      <c r="L243" s="29" t="n">
        <v>8.221322315927621</v>
      </c>
      <c r="M243" s="35" t="n">
        <v>155.7901925266139</v>
      </c>
      <c r="N243" s="36" t="n">
        <v>3971.385857415182</v>
      </c>
      <c r="O243" s="29" t="n">
        <v>6.262568686342811</v>
      </c>
      <c r="P243" s="16" t="inlineStr">
        <is>
          <t>sí</t>
        </is>
      </c>
      <c r="Q243" s="16" t="inlineStr">
        <is>
          <t>O2</t>
        </is>
      </c>
    </row>
    <row r="244">
      <c r="A244" s="16" t="inlineStr">
        <is>
          <t>KF-M09-R0-T_fuente-0021</t>
        </is>
      </c>
      <c r="B244" s="35" t="n">
        <v>288.137645631521</v>
      </c>
      <c r="C244" s="36" t="n">
        <v>2474.000076784601</v>
      </c>
      <c r="D244" s="35" t="n">
        <v>1223.655609521988</v>
      </c>
      <c r="E244" s="37" t="n">
        <v>0.5244162242947152</v>
      </c>
      <c r="F244" s="37" t="n">
        <v>0.6622619912287859</v>
      </c>
      <c r="G244" s="37" t="n">
        <v>0.8678750319656894</v>
      </c>
      <c r="H244" s="37" t="n">
        <v>0.8895807634511941</v>
      </c>
      <c r="I244" s="37" t="n">
        <v>0.6818761826922977</v>
      </c>
      <c r="J244" s="37" t="n">
        <v>0.8008339240062837</v>
      </c>
      <c r="K244" s="32" t="inlineStr">
        <is>
          <t>No convergió</t>
        </is>
      </c>
      <c r="L244" s="29" t="inlineStr">
        <is>
          <t>—</t>
        </is>
      </c>
      <c r="M244" s="35" t="inlineStr">
        <is>
          <t>—</t>
        </is>
      </c>
      <c r="N244" s="36" t="n">
        <v>1250.344467262613</v>
      </c>
      <c r="O244" s="29" t="n">
        <v>2.021810759116326</v>
      </c>
      <c r="P244" s="16" t="inlineStr">
        <is>
          <t>no</t>
        </is>
      </c>
      <c r="Q244" s="16" t="n"/>
    </row>
    <row r="245">
      <c r="A245" s="16" t="inlineStr">
        <is>
          <t>KF-M09-R0-T_fuente-0022</t>
        </is>
      </c>
      <c r="B245" s="35" t="n">
        <v>281.2647486617786</v>
      </c>
      <c r="C245" s="36" t="n">
        <v>2864.874245178099</v>
      </c>
      <c r="D245" s="35" t="n">
        <v>1829.618849296471</v>
      </c>
      <c r="E245" s="37" t="n">
        <v>0.613179253187304</v>
      </c>
      <c r="F245" s="37" t="n">
        <v>0.830943563344142</v>
      </c>
      <c r="G245" s="37" t="n">
        <v>0.6033450471125361</v>
      </c>
      <c r="H245" s="37" t="n">
        <v>0.6704220442738305</v>
      </c>
      <c r="I245" s="37" t="n">
        <v>0.6546750276264494</v>
      </c>
      <c r="J245" s="37" t="n">
        <v>0.9105991018017978</v>
      </c>
      <c r="K245" s="42" t="inlineStr">
        <is>
          <t>KALINA</t>
        </is>
      </c>
      <c r="L245" s="29" t="n">
        <v>3.28919941242133</v>
      </c>
      <c r="M245" s="35" t="n">
        <v>54.21712199305324</v>
      </c>
      <c r="N245" s="36" t="n">
        <v>1035.255395881628</v>
      </c>
      <c r="O245" s="29" t="n">
        <v>1.565831181876874</v>
      </c>
      <c r="P245" s="16" t="inlineStr">
        <is>
          <t>sí</t>
        </is>
      </c>
      <c r="Q245" s="16" t="n"/>
    </row>
    <row r="246">
      <c r="A246" s="16" t="inlineStr">
        <is>
          <t>KF-M09-R0-T_fuente-0023</t>
        </is>
      </c>
      <c r="B246" s="35" t="n">
        <v>289.0755837166557</v>
      </c>
      <c r="C246" s="36" t="n">
        <v>2814.023854074508</v>
      </c>
      <c r="D246" s="35" t="n">
        <v>1986.555070035975</v>
      </c>
      <c r="E246" s="37" t="n">
        <v>0.6223402075097862</v>
      </c>
      <c r="F246" s="37" t="n">
        <v>0.8769479159044902</v>
      </c>
      <c r="G246" s="37" t="n">
        <v>0.5302813567572858</v>
      </c>
      <c r="H246" s="37" t="n">
        <v>0.7325609137012421</v>
      </c>
      <c r="I246" s="37" t="n">
        <v>0.7012808697576073</v>
      </c>
      <c r="J246" s="37" t="n">
        <v>0.4370183145533303</v>
      </c>
      <c r="K246" s="32" t="inlineStr">
        <is>
          <t>No convergió</t>
        </is>
      </c>
      <c r="L246" s="29" t="inlineStr">
        <is>
          <t>—</t>
        </is>
      </c>
      <c r="M246" s="35" t="inlineStr">
        <is>
          <t>—</t>
        </is>
      </c>
      <c r="N246" s="36" t="n">
        <v>827.4687840385332</v>
      </c>
      <c r="O246" s="29" t="n">
        <v>1.416534530816479</v>
      </c>
      <c r="P246" s="16" t="inlineStr">
        <is>
          <t>no</t>
        </is>
      </c>
      <c r="Q246" s="16" t="n"/>
    </row>
    <row r="247">
      <c r="A247" s="16" t="inlineStr">
        <is>
          <t>KF-M09-R0-T_fuente-0024</t>
        </is>
      </c>
      <c r="B247" s="35" t="n">
        <v>281.9919142373245</v>
      </c>
      <c r="C247" s="36" t="n">
        <v>4025.23753845948</v>
      </c>
      <c r="D247" s="35" t="n">
        <v>482.3688918381482</v>
      </c>
      <c r="E247" s="37" t="n">
        <v>0.5887761482478178</v>
      </c>
      <c r="F247" s="37" t="n">
        <v>0.6697623974352465</v>
      </c>
      <c r="G247" s="37" t="n">
        <v>0.7519633989368226</v>
      </c>
      <c r="H247" s="37" t="n">
        <v>0.696080222301214</v>
      </c>
      <c r="I247" s="37" t="n">
        <v>0.8148343834812972</v>
      </c>
      <c r="J247" s="37" t="n">
        <v>0.4685554756652202</v>
      </c>
      <c r="K247" s="32" t="inlineStr">
        <is>
          <t>No convergió</t>
        </is>
      </c>
      <c r="L247" s="29" t="inlineStr">
        <is>
          <t>—</t>
        </is>
      </c>
      <c r="M247" s="35" t="inlineStr">
        <is>
          <t>—</t>
        </is>
      </c>
      <c r="N247" s="36" t="n">
        <v>3542.868646621332</v>
      </c>
      <c r="O247" s="29" t="n">
        <v>8.344728705702044</v>
      </c>
      <c r="P247" s="16" t="inlineStr">
        <is>
          <t>no</t>
        </is>
      </c>
      <c r="Q247" s="16" t="n"/>
    </row>
    <row r="248">
      <c r="A248" s="16" t="inlineStr">
        <is>
          <t>KF-M09-R0-T_fuente-0025</t>
        </is>
      </c>
      <c r="B248" s="35" t="n">
        <v>284.882735659789</v>
      </c>
      <c r="C248" s="36" t="n">
        <v>3450.612725839125</v>
      </c>
      <c r="D248" s="35" t="n">
        <v>523.4048598302581</v>
      </c>
      <c r="E248" s="37" t="n">
        <v>0.8079384376213234</v>
      </c>
      <c r="F248" s="37" t="n">
        <v>0.646459111150636</v>
      </c>
      <c r="G248" s="37" t="n">
        <v>0.7236622940954462</v>
      </c>
      <c r="H248" s="37" t="n">
        <v>0.8238209357214668</v>
      </c>
      <c r="I248" s="37" t="n">
        <v>0.5361273090808822</v>
      </c>
      <c r="J248" s="37" t="n">
        <v>0.7950515705363804</v>
      </c>
      <c r="K248" s="32" t="inlineStr">
        <is>
          <t>No convergió</t>
        </is>
      </c>
      <c r="L248" s="29" t="inlineStr">
        <is>
          <t>—</t>
        </is>
      </c>
      <c r="M248" s="35" t="inlineStr">
        <is>
          <t>—</t>
        </is>
      </c>
      <c r="N248" s="36" t="n">
        <v>2927.207866008866</v>
      </c>
      <c r="O248" s="29" t="n">
        <v>6.592626455471142</v>
      </c>
      <c r="P248" s="16" t="inlineStr">
        <is>
          <t>no</t>
        </is>
      </c>
      <c r="Q248" s="16" t="n"/>
    </row>
    <row r="249">
      <c r="A249" s="16" t="inlineStr">
        <is>
          <t>KF-M09-R0-T_fuente-0026</t>
        </is>
      </c>
      <c r="B249" s="35" t="n">
        <v>283.6527514169962</v>
      </c>
      <c r="C249" s="36" t="n">
        <v>4249.352520245335</v>
      </c>
      <c r="D249" s="35" t="n">
        <v>791.5706727882837</v>
      </c>
      <c r="E249" s="37" t="n">
        <v>0.8113359697662171</v>
      </c>
      <c r="F249" s="37" t="n">
        <v>0.5939402233437997</v>
      </c>
      <c r="G249" s="37" t="n">
        <v>0.4539039738862838</v>
      </c>
      <c r="H249" s="37" t="n">
        <v>0.495728808468469</v>
      </c>
      <c r="I249" s="37" t="n">
        <v>0.540010534184739</v>
      </c>
      <c r="J249" s="37" t="n">
        <v>0.7716876954219505</v>
      </c>
      <c r="K249" s="39" t="inlineStr">
        <is>
          <t>Corregible</t>
        </is>
      </c>
      <c r="L249" s="29" t="n">
        <v>7.11594232920435</v>
      </c>
      <c r="M249" s="35" t="n">
        <v>70.75197091694487</v>
      </c>
      <c r="N249" s="36" t="n">
        <v>3457.781847457052</v>
      </c>
      <c r="O249" s="29" t="n">
        <v>5.36825411340357</v>
      </c>
      <c r="P249" s="16" t="inlineStr">
        <is>
          <t>no</t>
        </is>
      </c>
      <c r="Q249" s="16" t="inlineStr">
        <is>
          <t>O2</t>
        </is>
      </c>
    </row>
    <row r="250">
      <c r="A250" s="16" t="inlineStr">
        <is>
          <t>KF-M09-R0-T_fuente-0027</t>
        </is>
      </c>
      <c r="B250" s="35" t="n">
        <v>301.9084375670755</v>
      </c>
      <c r="C250" s="36" t="n">
        <v>2192.954405603475</v>
      </c>
      <c r="D250" s="35" t="n">
        <v>843.5311414560701</v>
      </c>
      <c r="E250" s="37" t="n">
        <v>0.6108236224613054</v>
      </c>
      <c r="F250" s="37" t="n">
        <v>0.8248981718532284</v>
      </c>
      <c r="G250" s="37" t="n">
        <v>0.6589136253768082</v>
      </c>
      <c r="H250" s="37" t="n">
        <v>0.657404506223223</v>
      </c>
      <c r="I250" s="37" t="n">
        <v>0.6082085114853448</v>
      </c>
      <c r="J250" s="37" t="n">
        <v>0.7002358728391436</v>
      </c>
      <c r="K250" s="39" t="inlineStr">
        <is>
          <t>Corregible</t>
        </is>
      </c>
      <c r="L250" s="29" t="n">
        <v>5.13277799327803</v>
      </c>
      <c r="M250" s="35" t="n">
        <v>67.26982130820603</v>
      </c>
      <c r="N250" s="36" t="n">
        <v>1349.423264147405</v>
      </c>
      <c r="O250" s="29" t="n">
        <v>2.599731412189576</v>
      </c>
      <c r="P250" s="16" t="inlineStr">
        <is>
          <t>sí</t>
        </is>
      </c>
      <c r="Q250" s="16" t="inlineStr">
        <is>
          <t>O2</t>
        </is>
      </c>
    </row>
    <row r="251">
      <c r="A251" s="16" t="inlineStr">
        <is>
          <t>KF-M09-R0-T_fuente-0028</t>
        </is>
      </c>
      <c r="B251" s="35" t="n">
        <v>295.0092055344845</v>
      </c>
      <c r="C251" s="36" t="n">
        <v>4163.899388535547</v>
      </c>
      <c r="D251" s="35" t="n">
        <v>1017.136905360568</v>
      </c>
      <c r="E251" s="37" t="n">
        <v>0.700589621635938</v>
      </c>
      <c r="F251" s="37" t="n">
        <v>0.9153321390245877</v>
      </c>
      <c r="G251" s="37" t="n">
        <v>0.6177576687244397</v>
      </c>
      <c r="H251" s="37" t="n">
        <v>0.5425512208516037</v>
      </c>
      <c r="I251" s="37" t="n">
        <v>0.6323736244257724</v>
      </c>
      <c r="J251" s="37" t="n">
        <v>0.8523692217907995</v>
      </c>
      <c r="K251" s="39" t="inlineStr">
        <is>
          <t>Corregible</t>
        </is>
      </c>
      <c r="L251" s="29" t="n">
        <v>12.0570519760277</v>
      </c>
      <c r="M251" s="35" t="n">
        <v>144.0675602746947</v>
      </c>
      <c r="N251" s="36" t="n">
        <v>3146.762483174979</v>
      </c>
      <c r="O251" s="29" t="n">
        <v>4.093745263386617</v>
      </c>
      <c r="P251" s="16" t="inlineStr">
        <is>
          <t>sí</t>
        </is>
      </c>
      <c r="Q251" s="16" t="inlineStr">
        <is>
          <t>O2</t>
        </is>
      </c>
    </row>
    <row r="252">
      <c r="A252" s="16" t="inlineStr">
        <is>
          <t>KF-M09-R0-T_fuente-0029</t>
        </is>
      </c>
      <c r="B252" s="35" t="n">
        <v>295.9879524455969</v>
      </c>
      <c r="C252" s="36" t="n">
        <v>4549.474841378047</v>
      </c>
      <c r="D252" s="35" t="n">
        <v>1307.350895662798</v>
      </c>
      <c r="E252" s="37" t="n">
        <v>0.8356421919017251</v>
      </c>
      <c r="F252" s="37" t="n">
        <v>0.7869212447685388</v>
      </c>
      <c r="G252" s="37" t="n">
        <v>0.644336976933351</v>
      </c>
      <c r="H252" s="37" t="n">
        <v>0.7216054176728283</v>
      </c>
      <c r="I252" s="37" t="n">
        <v>0.4801453173998634</v>
      </c>
      <c r="J252" s="37" t="n">
        <v>0.8304941108097124</v>
      </c>
      <c r="K252" s="39" t="inlineStr">
        <is>
          <t>Corregible</t>
        </is>
      </c>
      <c r="L252" s="29" t="n">
        <v>9.892410189105959</v>
      </c>
      <c r="M252" s="35" t="n">
        <v>141.1525863205492</v>
      </c>
      <c r="N252" s="36" t="n">
        <v>3242.12394571525</v>
      </c>
      <c r="O252" s="29" t="n">
        <v>3.479918709254844</v>
      </c>
      <c r="P252" s="16" t="inlineStr">
        <is>
          <t>sí</t>
        </is>
      </c>
      <c r="Q252" s="16" t="inlineStr">
        <is>
          <t>O2</t>
        </is>
      </c>
    </row>
    <row r="253">
      <c r="A253" s="16" t="inlineStr">
        <is>
          <t>KF-M09-R0-T_fuente-0030</t>
        </is>
      </c>
      <c r="B253" s="35" t="n">
        <v>288.6455134540557</v>
      </c>
      <c r="C253" s="36" t="n">
        <v>2226.354286417979</v>
      </c>
      <c r="D253" s="35" t="n">
        <v>1189.939730375967</v>
      </c>
      <c r="E253" s="37" t="n">
        <v>0.5997476223030549</v>
      </c>
      <c r="F253" s="37" t="n">
        <v>0.5193584557946476</v>
      </c>
      <c r="G253" s="37" t="n">
        <v>0.9014509690669285</v>
      </c>
      <c r="H253" s="37" t="n">
        <v>0.7508161876708916</v>
      </c>
      <c r="I253" s="37" t="n">
        <v>0.5195013705839492</v>
      </c>
      <c r="J253" s="37" t="n">
        <v>0.7106920718171272</v>
      </c>
      <c r="K253" s="39" t="inlineStr">
        <is>
          <t>Corregible</t>
        </is>
      </c>
      <c r="L253" s="29" t="n">
        <v>2.07658166195206</v>
      </c>
      <c r="M253" s="35" t="n">
        <v>31.83340084901517</v>
      </c>
      <c r="N253" s="36" t="n">
        <v>1036.414556042012</v>
      </c>
      <c r="O253" s="29" t="n">
        <v>1.870980714052258</v>
      </c>
      <c r="P253" s="16" t="inlineStr">
        <is>
          <t>sí</t>
        </is>
      </c>
      <c r="Q253" s="16" t="inlineStr">
        <is>
          <t>O2</t>
        </is>
      </c>
    </row>
    <row r="254">
      <c r="A254" s="16" t="inlineStr">
        <is>
          <t>KF-M09-R0-T_fuente-0031</t>
        </is>
      </c>
      <c r="B254" s="35" t="n">
        <v>301.5654840821386</v>
      </c>
      <c r="C254" s="36" t="n">
        <v>4508.938387101847</v>
      </c>
      <c r="D254" s="35" t="n">
        <v>1038.942186258574</v>
      </c>
      <c r="E254" s="37" t="n">
        <v>0.5853342061773568</v>
      </c>
      <c r="F254" s="37" t="n">
        <v>0.5792818596565812</v>
      </c>
      <c r="G254" s="37" t="n">
        <v>0.7274870505344779</v>
      </c>
      <c r="H254" s="37" t="n">
        <v>0.4878615323720212</v>
      </c>
      <c r="I254" s="37" t="n">
        <v>0.4469289071419767</v>
      </c>
      <c r="J254" s="37" t="n">
        <v>0.7284219657321904</v>
      </c>
      <c r="K254" s="39" t="inlineStr">
        <is>
          <t>Corregible</t>
        </is>
      </c>
      <c r="L254" s="29" t="n">
        <v>5.95779470155915</v>
      </c>
      <c r="M254" s="35" t="n">
        <v>62.46830248884493</v>
      </c>
      <c r="N254" s="36" t="n">
        <v>3469.996200843273</v>
      </c>
      <c r="O254" s="29" t="n">
        <v>4.339931948802063</v>
      </c>
      <c r="P254" s="16" t="inlineStr">
        <is>
          <t>sí</t>
        </is>
      </c>
      <c r="Q254" s="16" t="inlineStr">
        <is>
          <t>O2</t>
        </is>
      </c>
    </row>
    <row r="255">
      <c r="A255" s="16" t="inlineStr">
        <is>
          <t>KF-M09-R0-T_fuente-0032</t>
        </is>
      </c>
      <c r="B255" s="35" t="n">
        <v>282.2900616228061</v>
      </c>
      <c r="C255" s="36" t="n">
        <v>3481.046392676308</v>
      </c>
      <c r="D255" s="35" t="n">
        <v>1342.589117384439</v>
      </c>
      <c r="E255" s="37" t="n">
        <v>0.7713556347898225</v>
      </c>
      <c r="F255" s="37" t="n">
        <v>0.8175413327540578</v>
      </c>
      <c r="G255" s="37" t="n">
        <v>0.9073566154978076</v>
      </c>
      <c r="H255" s="37" t="n">
        <v>0.810034083694643</v>
      </c>
      <c r="I255" s="37" t="n">
        <v>0.8562316764824707</v>
      </c>
      <c r="J255" s="37" t="n">
        <v>0.8690566956268773</v>
      </c>
      <c r="K255" s="32" t="inlineStr">
        <is>
          <t>No convergió</t>
        </is>
      </c>
      <c r="L255" s="29" t="inlineStr">
        <is>
          <t>—</t>
        </is>
      </c>
      <c r="M255" s="35" t="inlineStr">
        <is>
          <t>—</t>
        </is>
      </c>
      <c r="N255" s="36" t="n">
        <v>2138.457275291869</v>
      </c>
      <c r="O255" s="29" t="n">
        <v>2.592786093378962</v>
      </c>
      <c r="P255" s="16" t="inlineStr">
        <is>
          <t>no</t>
        </is>
      </c>
      <c r="Q255" s="16" t="n"/>
    </row>
    <row r="256">
      <c r="A256" s="16" t="inlineStr">
        <is>
          <t>KF-M09-R0-T_fuente-0033</t>
        </is>
      </c>
      <c r="B256" s="35" t="n">
        <v>279.6379234995512</v>
      </c>
      <c r="C256" s="36" t="n">
        <v>2889.43384974427</v>
      </c>
      <c r="D256" s="35" t="n">
        <v>1964.424638149777</v>
      </c>
      <c r="E256" s="37" t="n">
        <v>0.6233242901500469</v>
      </c>
      <c r="F256" s="37" t="n">
        <v>0.9389244299789212</v>
      </c>
      <c r="G256" s="37" t="n">
        <v>0.5206990013267315</v>
      </c>
      <c r="H256" s="37" t="n">
        <v>0.5361367120018374</v>
      </c>
      <c r="I256" s="37" t="n">
        <v>0.7382646232693899</v>
      </c>
      <c r="J256" s="37" t="n">
        <v>0.690945430193727</v>
      </c>
      <c r="K256" s="39" t="inlineStr">
        <is>
          <t>Corregible</t>
        </is>
      </c>
      <c r="L256" s="29" t="n">
        <v>3.16724153688312</v>
      </c>
      <c r="M256" s="35" t="n">
        <v>35.89648987901568</v>
      </c>
      <c r="N256" s="36" t="n">
        <v>925.0092115944936</v>
      </c>
      <c r="O256" s="29" t="n">
        <v>1.470880477484607</v>
      </c>
      <c r="P256" s="16" t="inlineStr">
        <is>
          <t>sí</t>
        </is>
      </c>
      <c r="Q256" s="16" t="inlineStr">
        <is>
          <t>O2</t>
        </is>
      </c>
    </row>
    <row r="257">
      <c r="A257" s="16" t="inlineStr">
        <is>
          <t>KF-M09-R0-T_fuente-0034</t>
        </is>
      </c>
      <c r="B257" s="35" t="n">
        <v>279.9964459775994</v>
      </c>
      <c r="C257" s="36" t="n">
        <v>4974.749998445156</v>
      </c>
      <c r="D257" s="35" t="n">
        <v>467.2952551833043</v>
      </c>
      <c r="E257" s="37" t="n">
        <v>0.8251058510768159</v>
      </c>
      <c r="F257" s="37" t="n">
        <v>0.9491087045435136</v>
      </c>
      <c r="G257" s="37" t="n">
        <v>0.5952879246489098</v>
      </c>
      <c r="H257" s="37" t="n">
        <v>0.8337807480475391</v>
      </c>
      <c r="I257" s="37" t="n">
        <v>0.5979173476113899</v>
      </c>
      <c r="J257" s="37" t="n">
        <v>0.8789852175265902</v>
      </c>
      <c r="K257" s="32" t="inlineStr">
        <is>
          <t>No convergió</t>
        </is>
      </c>
      <c r="L257" s="29" t="inlineStr">
        <is>
          <t>—</t>
        </is>
      </c>
      <c r="M257" s="35" t="inlineStr">
        <is>
          <t>—</t>
        </is>
      </c>
      <c r="N257" s="36" t="n">
        <v>4507.454743261852</v>
      </c>
      <c r="O257" s="29" t="n">
        <v>10.6458388850829</v>
      </c>
      <c r="P257" s="16" t="inlineStr">
        <is>
          <t>no</t>
        </is>
      </c>
      <c r="Q257" s="16" t="n"/>
    </row>
    <row r="258">
      <c r="A258" s="16" t="inlineStr">
        <is>
          <t>KF-M09-R0-T_fuente-0035</t>
        </is>
      </c>
      <c r="B258" s="35" t="n">
        <v>299.3611094876705</v>
      </c>
      <c r="C258" s="36" t="n">
        <v>2276.182196859629</v>
      </c>
      <c r="D258" s="35" t="n">
        <v>884.523059889723</v>
      </c>
      <c r="E258" s="37" t="n">
        <v>0.6446805496800175</v>
      </c>
      <c r="F258" s="37" t="n">
        <v>0.7607667910994498</v>
      </c>
      <c r="G258" s="37" t="n">
        <v>0.8552964966835681</v>
      </c>
      <c r="H258" s="37" t="n">
        <v>0.6482500726803226</v>
      </c>
      <c r="I258" s="37" t="n">
        <v>0.4299090477076699</v>
      </c>
      <c r="J258" s="37" t="n">
        <v>0.6542943285894771</v>
      </c>
      <c r="K258" s="39" t="inlineStr">
        <is>
          <t>Corregible</t>
        </is>
      </c>
      <c r="L258" s="29" t="n">
        <v>4.98549449236844</v>
      </c>
      <c r="M258" s="35" t="n">
        <v>61.04047619922675</v>
      </c>
      <c r="N258" s="36" t="n">
        <v>1391.659136969906</v>
      </c>
      <c r="O258" s="29" t="n">
        <v>2.57334409929732</v>
      </c>
      <c r="P258" s="16" t="inlineStr">
        <is>
          <t>sí</t>
        </is>
      </c>
      <c r="Q258" s="16" t="inlineStr">
        <is>
          <t>O2</t>
        </is>
      </c>
    </row>
    <row r="259">
      <c r="A259" s="16" t="inlineStr">
        <is>
          <t>KF-M09-R0-T_fuente-0036</t>
        </is>
      </c>
      <c r="B259" s="35" t="n">
        <v>297.477600576733</v>
      </c>
      <c r="C259" s="36" t="n">
        <v>3931.787367719807</v>
      </c>
      <c r="D259" s="35" t="n">
        <v>694.176542226721</v>
      </c>
      <c r="E259" s="37" t="n">
        <v>0.849887882493227</v>
      </c>
      <c r="F259" s="37" t="n">
        <v>0.4615230756408994</v>
      </c>
      <c r="G259" s="37" t="n">
        <v>0.6985436479168714</v>
      </c>
      <c r="H259" s="37" t="n">
        <v>0.5850944072078416</v>
      </c>
      <c r="I259" s="37" t="n">
        <v>0.7593751958548085</v>
      </c>
      <c r="J259" s="37" t="n">
        <v>0.5420425310185043</v>
      </c>
      <c r="K259" s="32" t="inlineStr">
        <is>
          <t>No convergió</t>
        </is>
      </c>
      <c r="L259" s="29" t="inlineStr">
        <is>
          <t>—</t>
        </is>
      </c>
      <c r="M259" s="35" t="inlineStr">
        <is>
          <t>—</t>
        </is>
      </c>
      <c r="N259" s="36" t="n">
        <v>3237.610825493086</v>
      </c>
      <c r="O259" s="29" t="n">
        <v>5.663958846992656</v>
      </c>
      <c r="P259" s="16" t="inlineStr">
        <is>
          <t>no</t>
        </is>
      </c>
      <c r="Q259" s="16" t="n"/>
    </row>
    <row r="260">
      <c r="A260" s="16" t="inlineStr">
        <is>
          <t>KF-M09-R0-T_fuente-0037</t>
        </is>
      </c>
      <c r="B260" s="35" t="n">
        <v>295.4860816354862</v>
      </c>
      <c r="C260" s="36" t="n">
        <v>2579.394207427144</v>
      </c>
      <c r="D260" s="35" t="n">
        <v>1064.351318221146</v>
      </c>
      <c r="E260" s="37" t="n">
        <v>0.5931662130144881</v>
      </c>
      <c r="F260" s="37" t="n">
        <v>0.925374775253882</v>
      </c>
      <c r="G260" s="37" t="n">
        <v>0.6400683831564468</v>
      </c>
      <c r="H260" s="37" t="n">
        <v>0.9431758548997404</v>
      </c>
      <c r="I260" s="37" t="n">
        <v>0.6450985787043371</v>
      </c>
      <c r="J260" s="37" t="n">
        <v>0.4982289885795694</v>
      </c>
      <c r="K260" s="32" t="inlineStr">
        <is>
          <t>No convergió</t>
        </is>
      </c>
      <c r="L260" s="29" t="inlineStr">
        <is>
          <t>—</t>
        </is>
      </c>
      <c r="M260" s="35" t="inlineStr">
        <is>
          <t>—</t>
        </is>
      </c>
      <c r="N260" s="36" t="n">
        <v>1515.042889205998</v>
      </c>
      <c r="O260" s="29" t="n">
        <v>2.423442488649418</v>
      </c>
      <c r="P260" s="16" t="inlineStr">
        <is>
          <t>no</t>
        </is>
      </c>
      <c r="Q260" s="16" t="n"/>
    </row>
    <row r="261">
      <c r="A261" s="16" t="inlineStr">
        <is>
          <t>KF-M09-R0-T_fuente-0038</t>
        </is>
      </c>
      <c r="B261" s="35" t="n">
        <v>286.0321983500322</v>
      </c>
      <c r="C261" s="36" t="n">
        <v>3586.316408192994</v>
      </c>
      <c r="D261" s="35" t="n">
        <v>1099.728089331754</v>
      </c>
      <c r="E261" s="37" t="n">
        <v>0.6898500085703881</v>
      </c>
      <c r="F261" s="37" t="n">
        <v>0.4934940121790946</v>
      </c>
      <c r="G261" s="37" t="n">
        <v>0.7427396418216203</v>
      </c>
      <c r="H261" s="37" t="n">
        <v>0.8399029100444348</v>
      </c>
      <c r="I261" s="37" t="n">
        <v>0.6378540139809523</v>
      </c>
      <c r="J261" s="37" t="n">
        <v>0.4736662624072315</v>
      </c>
      <c r="K261" s="32" t="inlineStr">
        <is>
          <t>No convergió</t>
        </is>
      </c>
      <c r="L261" s="29" t="inlineStr">
        <is>
          <t>—</t>
        </is>
      </c>
      <c r="M261" s="35" t="inlineStr">
        <is>
          <t>—</t>
        </is>
      </c>
      <c r="N261" s="36" t="n">
        <v>2486.58831886124</v>
      </c>
      <c r="O261" s="29" t="n">
        <v>3.261093758523715</v>
      </c>
      <c r="P261" s="16" t="inlineStr">
        <is>
          <t>no</t>
        </is>
      </c>
      <c r="Q261" s="16" t="n"/>
    </row>
    <row r="262">
      <c r="A262" s="16" t="inlineStr">
        <is>
          <t>KF-M09-R0-T_fuente-0039</t>
        </is>
      </c>
      <c r="B262" s="35" t="n">
        <v>290.7735632066289</v>
      </c>
      <c r="C262" s="36" t="n">
        <v>4555.278087988015</v>
      </c>
      <c r="D262" s="35" t="n">
        <v>643.3759493198947</v>
      </c>
      <c r="E262" s="37" t="n">
        <v>0.8213199473466197</v>
      </c>
      <c r="F262" s="37" t="n">
        <v>0.6209672764912418</v>
      </c>
      <c r="G262" s="37" t="n">
        <v>0.5684770898906361</v>
      </c>
      <c r="H262" s="37" t="n">
        <v>0.4338599896635232</v>
      </c>
      <c r="I262" s="37" t="n">
        <v>0.5680594666512684</v>
      </c>
      <c r="J262" s="37" t="n">
        <v>0.65060133262917</v>
      </c>
      <c r="K262" s="39" t="inlineStr">
        <is>
          <t>Corregible</t>
        </is>
      </c>
      <c r="L262" s="29" t="n">
        <v>1.87418434584009</v>
      </c>
      <c r="M262" s="35" t="n">
        <v>14.03297451616771</v>
      </c>
      <c r="N262" s="36" t="n">
        <v>3911.90213866812</v>
      </c>
      <c r="O262" s="29" t="n">
        <v>7.080274127131029</v>
      </c>
      <c r="P262" s="16" t="inlineStr">
        <is>
          <t>no</t>
        </is>
      </c>
      <c r="Q262" s="16" t="inlineStr">
        <is>
          <t>O2</t>
        </is>
      </c>
    </row>
    <row r="263">
      <c r="A263" s="16" t="inlineStr">
        <is>
          <t>KF-M09-R0-T_fuente-0040</t>
        </is>
      </c>
      <c r="B263" s="35" t="n">
        <v>292.863478266587</v>
      </c>
      <c r="C263" s="36" t="n">
        <v>2482.593746672627</v>
      </c>
      <c r="D263" s="35" t="n">
        <v>389.1407727612736</v>
      </c>
      <c r="E263" s="37" t="n">
        <v>0.7799548983884574</v>
      </c>
      <c r="F263" s="37" t="n">
        <v>0.8614179731371727</v>
      </c>
      <c r="G263" s="37" t="n">
        <v>0.4380823883562309</v>
      </c>
      <c r="H263" s="37" t="n">
        <v>0.6073007219478084</v>
      </c>
      <c r="I263" s="37" t="n">
        <v>0.722713836963598</v>
      </c>
      <c r="J263" s="37" t="n">
        <v>0.4066842959562227</v>
      </c>
      <c r="K263" s="32" t="inlineStr">
        <is>
          <t>No convergió</t>
        </is>
      </c>
      <c r="L263" s="29" t="inlineStr">
        <is>
          <t>—</t>
        </is>
      </c>
      <c r="M263" s="35" t="inlineStr">
        <is>
          <t>—</t>
        </is>
      </c>
      <c r="N263" s="36" t="n">
        <v>2093.452973911353</v>
      </c>
      <c r="O263" s="29" t="n">
        <v>6.379680363629295</v>
      </c>
      <c r="P263" s="16" t="inlineStr">
        <is>
          <t>no</t>
        </is>
      </c>
      <c r="Q263" s="16" t="n"/>
    </row>
    <row r="264">
      <c r="A264" s="16" t="inlineStr">
        <is>
          <t>KF-M09-R0-T_fuente-0041</t>
        </is>
      </c>
      <c r="B264" s="35" t="n">
        <v>285.680814751052</v>
      </c>
      <c r="C264" s="36" t="n">
        <v>2166.452486443416</v>
      </c>
      <c r="D264" s="35" t="n">
        <v>1858.54671532044</v>
      </c>
      <c r="E264" s="37" t="n">
        <v>0.7422250854361767</v>
      </c>
      <c r="F264" s="37" t="n">
        <v>0.4131985652759836</v>
      </c>
      <c r="G264" s="37" t="n">
        <v>0.8143273667521804</v>
      </c>
      <c r="H264" s="37" t="n">
        <v>0.6400737409203716</v>
      </c>
      <c r="I264" s="37" t="n">
        <v>0.4845611876870754</v>
      </c>
      <c r="J264" s="37" t="n">
        <v>0.4900164968154071</v>
      </c>
      <c r="K264" s="40" t="inlineStr">
        <is>
          <t>Inviable</t>
        </is>
      </c>
      <c r="L264" s="29" t="n">
        <v>-0.51238948384747</v>
      </c>
      <c r="M264" s="35" t="n">
        <v>-4.86383010587495</v>
      </c>
      <c r="N264" s="36" t="n">
        <v>307.9057711229761</v>
      </c>
      <c r="O264" s="29" t="n">
        <v>1.165670181214621</v>
      </c>
      <c r="P264" s="16" t="inlineStr">
        <is>
          <t>sí</t>
        </is>
      </c>
      <c r="Q264" s="16" t="inlineStr">
        <is>
          <t>O2,O3</t>
        </is>
      </c>
    </row>
    <row r="265">
      <c r="A265" s="16" t="inlineStr">
        <is>
          <t>KF-M09-R0-T_fuente-0042</t>
        </is>
      </c>
      <c r="B265" s="35" t="n">
        <v>281.5557878184736</v>
      </c>
      <c r="C265" s="36" t="n">
        <v>2680.201092388168</v>
      </c>
      <c r="D265" s="35" t="n">
        <v>426.1941149884676</v>
      </c>
      <c r="E265" s="37" t="n">
        <v>0.8380883617741067</v>
      </c>
      <c r="F265" s="37" t="n">
        <v>0.6035762756286368</v>
      </c>
      <c r="G265" s="37" t="n">
        <v>0.4842620568171454</v>
      </c>
      <c r="H265" s="37" t="n">
        <v>0.7295017684268954</v>
      </c>
      <c r="I265" s="37" t="n">
        <v>0.8683417856078313</v>
      </c>
      <c r="J265" s="37" t="n">
        <v>0.8958547761202315</v>
      </c>
      <c r="K265" s="32" t="inlineStr">
        <is>
          <t>No convergió</t>
        </is>
      </c>
      <c r="L265" s="29" t="inlineStr">
        <is>
          <t>—</t>
        </is>
      </c>
      <c r="M265" s="35" t="inlineStr">
        <is>
          <t>—</t>
        </is>
      </c>
      <c r="N265" s="36" t="n">
        <v>2254.0069773997</v>
      </c>
      <c r="O265" s="29" t="n">
        <v>6.288686300749816</v>
      </c>
      <c r="P265" s="16" t="inlineStr">
        <is>
          <t>no</t>
        </is>
      </c>
      <c r="Q265" s="16" t="n"/>
    </row>
    <row r="266">
      <c r="A266" s="16" t="inlineStr">
        <is>
          <t>KF-M09-R0-T_fuente-0043</t>
        </is>
      </c>
      <c r="B266" s="35" t="n">
        <v>281.8181068301165</v>
      </c>
      <c r="C266" s="36" t="n">
        <v>4386.788076282404</v>
      </c>
      <c r="D266" s="35" t="n">
        <v>1404.487690816309</v>
      </c>
      <c r="E266" s="37" t="n">
        <v>0.6352867895171674</v>
      </c>
      <c r="F266" s="37" t="n">
        <v>0.5113058241616835</v>
      </c>
      <c r="G266" s="37" t="n">
        <v>0.6919008427846906</v>
      </c>
      <c r="H266" s="37" t="n">
        <v>0.9245984318879168</v>
      </c>
      <c r="I266" s="37" t="n">
        <v>0.5924909555692828</v>
      </c>
      <c r="J266" s="37" t="n">
        <v>0.8141584501387367</v>
      </c>
      <c r="K266" s="32" t="inlineStr">
        <is>
          <t>No convergió</t>
        </is>
      </c>
      <c r="L266" s="29" t="inlineStr">
        <is>
          <t>—</t>
        </is>
      </c>
      <c r="M266" s="35" t="inlineStr">
        <is>
          <t>—</t>
        </is>
      </c>
      <c r="N266" s="36" t="n">
        <v>2982.300385466095</v>
      </c>
      <c r="O266" s="29" t="n">
        <v>3.12340799066223</v>
      </c>
      <c r="P266" s="16" t="inlineStr">
        <is>
          <t>no</t>
        </is>
      </c>
      <c r="Q266" s="16" t="n"/>
    </row>
    <row r="267">
      <c r="A267" s="16" t="inlineStr">
        <is>
          <t>KF-M09-R0-T_fuente-0044</t>
        </is>
      </c>
      <c r="B267" s="35" t="n">
        <v>296.3026187928128</v>
      </c>
      <c r="C267" s="36" t="n">
        <v>4652.102728542832</v>
      </c>
      <c r="D267" s="35" t="n">
        <v>1364.729223973262</v>
      </c>
      <c r="E267" s="37" t="n">
        <v>0.569576630939753</v>
      </c>
      <c r="F267" s="37" t="n">
        <v>0.544753192523186</v>
      </c>
      <c r="G267" s="37" t="n">
        <v>0.6855681917531362</v>
      </c>
      <c r="H267" s="37" t="n">
        <v>0.4385209518630054</v>
      </c>
      <c r="I267" s="37" t="n">
        <v>0.8427644934637336</v>
      </c>
      <c r="J267" s="37" t="n">
        <v>0.6592597261307123</v>
      </c>
      <c r="K267" s="39" t="inlineStr">
        <is>
          <t>Corregible</t>
        </is>
      </c>
      <c r="L267" s="29" t="n">
        <v>4.49732036300761</v>
      </c>
      <c r="M267" s="35" t="n">
        <v>40.64973846868433</v>
      </c>
      <c r="N267" s="36" t="n">
        <v>3287.37350456957</v>
      </c>
      <c r="O267" s="29" t="n">
        <v>3.40881007515816</v>
      </c>
      <c r="P267" s="16" t="inlineStr">
        <is>
          <t>sí</t>
        </is>
      </c>
      <c r="Q267" s="16" t="inlineStr">
        <is>
          <t>O2</t>
        </is>
      </c>
    </row>
    <row r="268">
      <c r="A268" s="16" t="inlineStr">
        <is>
          <t>KF-M09-R0-T_fuente-0045</t>
        </is>
      </c>
      <c r="B268" s="35" t="n">
        <v>299.0594920688197</v>
      </c>
      <c r="C268" s="36" t="n">
        <v>2391.344425207032</v>
      </c>
      <c r="D268" s="35" t="n">
        <v>928.9284241434644</v>
      </c>
      <c r="E268" s="37" t="n">
        <v>0.647118417794676</v>
      </c>
      <c r="F268" s="37" t="n">
        <v>0.6148482725864496</v>
      </c>
      <c r="G268" s="37" t="n">
        <v>0.6537258116482649</v>
      </c>
      <c r="H268" s="37" t="n">
        <v>0.8631988033743867</v>
      </c>
      <c r="I268" s="37" t="n">
        <v>0.8638281683231021</v>
      </c>
      <c r="J268" s="37" t="n">
        <v>0.610502059971733</v>
      </c>
      <c r="K268" s="32" t="inlineStr">
        <is>
          <t>No convergió</t>
        </is>
      </c>
      <c r="L268" s="29" t="inlineStr">
        <is>
          <t>—</t>
        </is>
      </c>
      <c r="M268" s="35" t="inlineStr">
        <is>
          <t>—</t>
        </is>
      </c>
      <c r="N268" s="36" t="n">
        <v>1462.416001063568</v>
      </c>
      <c r="O268" s="29" t="n">
        <v>2.574304287665667</v>
      </c>
      <c r="P268" s="16" t="inlineStr">
        <is>
          <t>no</t>
        </is>
      </c>
      <c r="Q268" s="16" t="n"/>
    </row>
    <row r="269">
      <c r="A269" s="16" t="inlineStr">
        <is>
          <t>KF-M09-R0-T_fuente-0046</t>
        </is>
      </c>
      <c r="B269" s="35" t="n">
        <v>289.5760686655613</v>
      </c>
      <c r="C269" s="36" t="n">
        <v>4296.759143251759</v>
      </c>
      <c r="D269" s="35" t="n">
        <v>1671.484029027493</v>
      </c>
      <c r="E269" s="37" t="n">
        <v>0.5311971185076466</v>
      </c>
      <c r="F269" s="37" t="n">
        <v>0.7130172173223901</v>
      </c>
      <c r="G269" s="37" t="n">
        <v>0.6140161283563735</v>
      </c>
      <c r="H269" s="37" t="n">
        <v>0.6913166038086072</v>
      </c>
      <c r="I269" s="37" t="n">
        <v>0.5988447143759881</v>
      </c>
      <c r="J269" s="37" t="n">
        <v>0.4512180977148738</v>
      </c>
      <c r="K269" s="40" t="inlineStr">
        <is>
          <t>Inviable</t>
        </is>
      </c>
      <c r="L269" s="29" t="n">
        <v>-0.72058745794156</v>
      </c>
      <c r="M269" s="35" t="n">
        <v>-7.013881063979497</v>
      </c>
      <c r="N269" s="36" t="n">
        <v>2625.275114224266</v>
      </c>
      <c r="O269" s="29" t="n">
        <v>2.570625305795898</v>
      </c>
      <c r="P269" s="16" t="inlineStr">
        <is>
          <t>sí</t>
        </is>
      </c>
      <c r="Q269" s="16" t="inlineStr">
        <is>
          <t>O2,O3</t>
        </is>
      </c>
    </row>
    <row r="270">
      <c r="A270" s="16" t="inlineStr">
        <is>
          <t>KF-M09-R0-T_fuente-0047</t>
        </is>
      </c>
      <c r="B270" s="35" t="n">
        <v>290.1107962950724</v>
      </c>
      <c r="C270" s="36" t="n">
        <v>3718.50489443081</v>
      </c>
      <c r="D270" s="35" t="n">
        <v>508.9177783129735</v>
      </c>
      <c r="E270" s="37" t="n">
        <v>0.7605637331153796</v>
      </c>
      <c r="F270" s="37" t="n">
        <v>0.8065972313045736</v>
      </c>
      <c r="G270" s="37" t="n">
        <v>0.4997091604251668</v>
      </c>
      <c r="H270" s="37" t="n">
        <v>0.4484552160579584</v>
      </c>
      <c r="I270" s="37" t="n">
        <v>0.7649582109737163</v>
      </c>
      <c r="J270" s="37" t="n">
        <v>0.8925675159955613</v>
      </c>
      <c r="K270" s="39" t="inlineStr">
        <is>
          <t>Corregible</t>
        </is>
      </c>
      <c r="L270" s="29" t="n">
        <v>8.871526159086059</v>
      </c>
      <c r="M270" s="35" t="n">
        <v>76.29953708609236</v>
      </c>
      <c r="N270" s="36" t="n">
        <v>3209.587116117836</v>
      </c>
      <c r="O270" s="29" t="n">
        <v>7.306690889749206</v>
      </c>
      <c r="P270" s="16" t="inlineStr">
        <is>
          <t>no</t>
        </is>
      </c>
      <c r="Q270" s="16" t="inlineStr">
        <is>
          <t>O2</t>
        </is>
      </c>
    </row>
    <row r="271">
      <c r="A271" s="16" t="inlineStr">
        <is>
          <t>KF-M09-R0-T_fuente-0048</t>
        </is>
      </c>
      <c r="B271" s="35" t="n">
        <v>278.4311171565388</v>
      </c>
      <c r="C271" s="36" t="n">
        <v>3511.115525293447</v>
      </c>
      <c r="D271" s="35" t="n">
        <v>1241.100319129622</v>
      </c>
      <c r="E271" s="37" t="n">
        <v>0.8301128722433482</v>
      </c>
      <c r="F271" s="37" t="n">
        <v>0.8419627930405986</v>
      </c>
      <c r="G271" s="37" t="n">
        <v>0.736433887453432</v>
      </c>
      <c r="H271" s="37" t="n">
        <v>0.5300666096239369</v>
      </c>
      <c r="I271" s="37" t="n">
        <v>0.6129735245913281</v>
      </c>
      <c r="J271" s="37" t="n">
        <v>0.7320004714332725</v>
      </c>
      <c r="K271" s="39" t="inlineStr">
        <is>
          <t>Corregible</t>
        </is>
      </c>
      <c r="L271" s="29" t="n">
        <v>9.058336856096529</v>
      </c>
      <c r="M271" s="35" t="n">
        <v>94.55091827901413</v>
      </c>
      <c r="N271" s="36" t="n">
        <v>2270.015206163825</v>
      </c>
      <c r="O271" s="29" t="n">
        <v>2.829034423064023</v>
      </c>
      <c r="P271" s="16" t="inlineStr">
        <is>
          <t>no</t>
        </is>
      </c>
      <c r="Q271" s="16" t="inlineStr">
        <is>
          <t>O2</t>
        </is>
      </c>
    </row>
    <row r="272">
      <c r="A272" s="16" t="inlineStr">
        <is>
          <t>KF-M09-R0-T_fuente-0049</t>
        </is>
      </c>
      <c r="B272" s="35" t="n">
        <v>287.2387243920826</v>
      </c>
      <c r="C272" s="36" t="n">
        <v>3705.459528615119</v>
      </c>
      <c r="D272" s="35" t="n">
        <v>598.7695797664916</v>
      </c>
      <c r="E272" s="37" t="n">
        <v>0.7628374806401125</v>
      </c>
      <c r="F272" s="37" t="n">
        <v>0.7538486599580068</v>
      </c>
      <c r="G272" s="37" t="n">
        <v>0.9254624185455176</v>
      </c>
      <c r="H272" s="37" t="n">
        <v>0.5183229686446399</v>
      </c>
      <c r="I272" s="37" t="n">
        <v>0.7416991359495032</v>
      </c>
      <c r="J272" s="37" t="n">
        <v>0.5524676872154738</v>
      </c>
      <c r="K272" s="39" t="inlineStr">
        <is>
          <t>Corregible</t>
        </is>
      </c>
      <c r="L272" s="29" t="n">
        <v>9.10108705545932</v>
      </c>
      <c r="M272" s="35" t="n">
        <v>78.06171393282349</v>
      </c>
      <c r="N272" s="36" t="n">
        <v>3106.689948848628</v>
      </c>
      <c r="O272" s="29" t="n">
        <v>6.188456551283344</v>
      </c>
      <c r="P272" s="16" t="inlineStr">
        <is>
          <t>sí</t>
        </is>
      </c>
      <c r="Q272" s="16" t="inlineStr">
        <is>
          <t>O2</t>
        </is>
      </c>
    </row>
    <row r="273">
      <c r="A273" s="16" t="inlineStr">
        <is>
          <t>KF-M09-R0-T_fuente-0050</t>
        </is>
      </c>
      <c r="B273" s="35" t="n">
        <v>278.6959892219265</v>
      </c>
      <c r="C273" s="36" t="n">
        <v>3907.423523040895</v>
      </c>
      <c r="D273" s="35" t="n">
        <v>930.3575484768286</v>
      </c>
      <c r="E273" s="37" t="n">
        <v>0.6828478379711724</v>
      </c>
      <c r="F273" s="37" t="n">
        <v>0.7303936268523206</v>
      </c>
      <c r="G273" s="37" t="n">
        <v>0.4178153715095241</v>
      </c>
      <c r="H273" s="37" t="n">
        <v>0.4585133963789332</v>
      </c>
      <c r="I273" s="37" t="n">
        <v>0.5050631861097197</v>
      </c>
      <c r="J273" s="37" t="n">
        <v>0.4877833867560584</v>
      </c>
      <c r="K273" s="40" t="inlineStr">
        <is>
          <t>Inviable</t>
        </is>
      </c>
      <c r="L273" s="29" t="n">
        <v>-10.30500403193281</v>
      </c>
      <c r="M273" s="35" t="n">
        <v>-72.6288802496513</v>
      </c>
      <c r="N273" s="36" t="n">
        <v>2977.065974564066</v>
      </c>
      <c r="O273" s="29" t="n">
        <v>4.199915967187117</v>
      </c>
      <c r="P273" s="16" t="inlineStr">
        <is>
          <t>sí</t>
        </is>
      </c>
      <c r="Q273" s="16" t="inlineStr">
        <is>
          <t>O2,O3</t>
        </is>
      </c>
    </row>
    <row r="274">
      <c r="A274" s="16" t="inlineStr">
        <is>
          <t>KF-M09-R0-T_fuente-0051</t>
        </is>
      </c>
      <c r="B274" s="35" t="n">
        <v>299.7786154645738</v>
      </c>
      <c r="C274" s="36" t="n">
        <v>2611.202307665564</v>
      </c>
      <c r="D274" s="35" t="n">
        <v>1505.223808681337</v>
      </c>
      <c r="E274" s="37" t="n">
        <v>0.6302323694654699</v>
      </c>
      <c r="F274" s="37" t="n">
        <v>0.7006311293995235</v>
      </c>
      <c r="G274" s="37" t="n">
        <v>0.7818953711181049</v>
      </c>
      <c r="H274" s="37" t="n">
        <v>0.8133494133118597</v>
      </c>
      <c r="I274" s="37" t="n">
        <v>0.5263485965360498</v>
      </c>
      <c r="J274" s="37" t="n">
        <v>0.8090436271256327</v>
      </c>
      <c r="K274" s="32" t="inlineStr">
        <is>
          <t>No convergió</t>
        </is>
      </c>
      <c r="L274" s="29" t="inlineStr">
        <is>
          <t>—</t>
        </is>
      </c>
      <c r="M274" s="35" t="inlineStr">
        <is>
          <t>—</t>
        </is>
      </c>
      <c r="N274" s="36" t="n">
        <v>1105.978498984227</v>
      </c>
      <c r="O274" s="29" t="n">
        <v>1.734760168292268</v>
      </c>
      <c r="P274" s="16" t="inlineStr">
        <is>
          <t>no</t>
        </is>
      </c>
      <c r="Q274" s="16" t="n"/>
    </row>
    <row r="275">
      <c r="A275" s="16" t="inlineStr">
        <is>
          <t>KF-M09-R0-T_fuente-0052</t>
        </is>
      </c>
      <c r="B275" s="35" t="n">
        <v>280.3624695603555</v>
      </c>
      <c r="C275" s="36" t="n">
        <v>3273.705587787349</v>
      </c>
      <c r="D275" s="35" t="n">
        <v>813.4598554704487</v>
      </c>
      <c r="E275" s="37" t="n">
        <v>0.6802766966443941</v>
      </c>
      <c r="F275" s="37" t="n">
        <v>0.591318910198645</v>
      </c>
      <c r="G275" s="37" t="n">
        <v>0.5711386180344636</v>
      </c>
      <c r="H275" s="37" t="n">
        <v>0.6278765797624857</v>
      </c>
      <c r="I275" s="37" t="n">
        <v>0.470740762491225</v>
      </c>
      <c r="J275" s="37" t="n">
        <v>0.7904295706670758</v>
      </c>
      <c r="K275" s="39" t="inlineStr">
        <is>
          <t>Corregible</t>
        </is>
      </c>
      <c r="L275" s="29" t="n">
        <v>6.26442927964377</v>
      </c>
      <c r="M275" s="35" t="n">
        <v>86.1609067063347</v>
      </c>
      <c r="N275" s="36" t="n">
        <v>2460.2457323169</v>
      </c>
      <c r="O275" s="29" t="n">
        <v>4.024421814760687</v>
      </c>
      <c r="P275" s="16" t="inlineStr">
        <is>
          <t>sí</t>
        </is>
      </c>
      <c r="Q275" s="16" t="inlineStr">
        <is>
          <t>O2</t>
        </is>
      </c>
    </row>
    <row r="276">
      <c r="A276" s="16" t="inlineStr">
        <is>
          <t>KF-M09-R0-T_fuente-0053</t>
        </is>
      </c>
      <c r="B276" s="35" t="n">
        <v>293.9239373028586</v>
      </c>
      <c r="C276" s="36" t="n">
        <v>2797.289610968453</v>
      </c>
      <c r="D276" s="35" t="n">
        <v>1412.658312310471</v>
      </c>
      <c r="E276" s="37" t="n">
        <v>0.7174489395016264</v>
      </c>
      <c r="F276" s="37" t="n">
        <v>0.5502904249886158</v>
      </c>
      <c r="G276" s="37" t="n">
        <v>0.8288381625822283</v>
      </c>
      <c r="H276" s="37" t="n">
        <v>0.9452306508297112</v>
      </c>
      <c r="I276" s="37" t="n">
        <v>0.4435611814568952</v>
      </c>
      <c r="J276" s="37" t="n">
        <v>0.73880725657522</v>
      </c>
      <c r="K276" s="32" t="inlineStr">
        <is>
          <t>No convergió</t>
        </is>
      </c>
      <c r="L276" s="29" t="inlineStr">
        <is>
          <t>—</t>
        </is>
      </c>
      <c r="M276" s="35" t="inlineStr">
        <is>
          <t>—</t>
        </is>
      </c>
      <c r="N276" s="36" t="n">
        <v>1384.631298657983</v>
      </c>
      <c r="O276" s="29" t="n">
        <v>1.980160090088134</v>
      </c>
      <c r="P276" s="16" t="inlineStr">
        <is>
          <t>no</t>
        </is>
      </c>
      <c r="Q276" s="16" t="n"/>
    </row>
    <row r="277">
      <c r="A277" s="16" t="inlineStr">
        <is>
          <t>KF-M09-R0-T_fuente-0054</t>
        </is>
      </c>
      <c r="B277" s="35" t="n">
        <v>284.0922709211751</v>
      </c>
      <c r="C277" s="36" t="n">
        <v>3667.359245436355</v>
      </c>
      <c r="D277" s="35" t="n">
        <v>1288.964926104858</v>
      </c>
      <c r="E277" s="37" t="n">
        <v>0.5595317810469005</v>
      </c>
      <c r="F277" s="37" t="n">
        <v>0.907450133496748</v>
      </c>
      <c r="G277" s="37" t="n">
        <v>0.6479740117559027</v>
      </c>
      <c r="H277" s="37" t="n">
        <v>0.7728914871065152</v>
      </c>
      <c r="I277" s="37" t="n">
        <v>0.4067397500597173</v>
      </c>
      <c r="J277" s="37" t="n">
        <v>0.940935762920202</v>
      </c>
      <c r="K277" s="42" t="inlineStr">
        <is>
          <t>KALINA</t>
        </is>
      </c>
      <c r="L277" s="29" t="n">
        <v>7.686619831311919</v>
      </c>
      <c r="M277" s="35" t="n">
        <v>153.6511301177157</v>
      </c>
      <c r="N277" s="36" t="n">
        <v>2378.394319331497</v>
      </c>
      <c r="O277" s="29" t="n">
        <v>2.845197081132999</v>
      </c>
      <c r="P277" s="16" t="inlineStr">
        <is>
          <t>sí</t>
        </is>
      </c>
      <c r="Q277" s="16" t="n"/>
    </row>
    <row r="278">
      <c r="A278" s="16" t="inlineStr">
        <is>
          <t>KF-M09-R0-T_fuente-0055</t>
        </is>
      </c>
      <c r="B278" s="35" t="n">
        <v>292.2333601693343</v>
      </c>
      <c r="C278" s="36" t="n">
        <v>4802.001829474736</v>
      </c>
      <c r="D278" s="35" t="n">
        <v>588.7707004272337</v>
      </c>
      <c r="E278" s="37" t="n">
        <v>0.77599334713748</v>
      </c>
      <c r="F278" s="37" t="n">
        <v>0.7675013578630407</v>
      </c>
      <c r="G278" s="37" t="n">
        <v>0.4654622137843195</v>
      </c>
      <c r="H278" s="37" t="n">
        <v>0.6633352777256942</v>
      </c>
      <c r="I278" s="37" t="n">
        <v>0.4177426421702234</v>
      </c>
      <c r="J278" s="37" t="n">
        <v>0.5612863869660645</v>
      </c>
      <c r="K278" s="32" t="inlineStr">
        <is>
          <t>No convergió</t>
        </is>
      </c>
      <c r="L278" s="29" t="inlineStr">
        <is>
          <t>—</t>
        </is>
      </c>
      <c r="M278" s="35" t="inlineStr">
        <is>
          <t>—</t>
        </is>
      </c>
      <c r="N278" s="36" t="n">
        <v>4213.231129047503</v>
      </c>
      <c r="O278" s="29" t="n">
        <v>8.155979613099339</v>
      </c>
      <c r="P278" s="16" t="inlineStr">
        <is>
          <t>no</t>
        </is>
      </c>
      <c r="Q278" s="16" t="n"/>
    </row>
    <row r="279">
      <c r="A279" s="16" t="inlineStr">
        <is>
          <t>KF-M09-R0-T_fuente-0056</t>
        </is>
      </c>
      <c r="B279" s="35" t="n">
        <v>285.366761871793</v>
      </c>
      <c r="C279" s="36" t="n">
        <v>2355.653282241308</v>
      </c>
      <c r="D279" s="35" t="n">
        <v>1896.660037064872</v>
      </c>
      <c r="E279" s="37" t="n">
        <v>0.6164539979615323</v>
      </c>
      <c r="F279" s="37" t="n">
        <v>0.8074819884607896</v>
      </c>
      <c r="G279" s="37" t="n">
        <v>0.9177922800193616</v>
      </c>
      <c r="H279" s="37" t="n">
        <v>0.9104438795807908</v>
      </c>
      <c r="I279" s="37" t="n">
        <v>0.8085829245503553</v>
      </c>
      <c r="J279" s="37" t="n">
        <v>0.5450054469464628</v>
      </c>
      <c r="K279" s="32" t="inlineStr">
        <is>
          <t>No convergió</t>
        </is>
      </c>
      <c r="L279" s="29" t="inlineStr">
        <is>
          <t>—</t>
        </is>
      </c>
      <c r="M279" s="35" t="inlineStr">
        <is>
          <t>—</t>
        </is>
      </c>
      <c r="N279" s="36" t="n">
        <v>458.993245176436</v>
      </c>
      <c r="O279" s="29" t="n">
        <v>1.242000799408807</v>
      </c>
      <c r="P279" s="16" t="inlineStr">
        <is>
          <t>no</t>
        </is>
      </c>
      <c r="Q279" s="16" t="n"/>
    </row>
    <row r="280">
      <c r="A280" s="16" t="inlineStr">
        <is>
          <t>KF-M09-R0-T_fuente-0057</t>
        </is>
      </c>
      <c r="B280" s="35" t="n">
        <v>285.9174045686001</v>
      </c>
      <c r="C280" s="36" t="n">
        <v>4149.903660489212</v>
      </c>
      <c r="D280" s="35" t="n">
        <v>1094.998009589537</v>
      </c>
      <c r="E280" s="37" t="n">
        <v>0.5266973102712065</v>
      </c>
      <c r="F280" s="37" t="n">
        <v>0.4865092934154237</v>
      </c>
      <c r="G280" s="37" t="n">
        <v>0.4566863809177687</v>
      </c>
      <c r="H280" s="37" t="n">
        <v>0.7679675742177028</v>
      </c>
      <c r="I280" s="37" t="n">
        <v>0.7095254366641184</v>
      </c>
      <c r="J280" s="37" t="n">
        <v>0.8050126947864794</v>
      </c>
      <c r="K280" s="39" t="inlineStr">
        <is>
          <t>Corregible</t>
        </is>
      </c>
      <c r="L280" s="29" t="n">
        <v>4.75016940304579</v>
      </c>
      <c r="M280" s="35" t="n">
        <v>83.80539354898968</v>
      </c>
      <c r="N280" s="36" t="n">
        <v>3054.905650899675</v>
      </c>
      <c r="O280" s="29" t="n">
        <v>3.789873245563993</v>
      </c>
      <c r="P280" s="16" t="inlineStr">
        <is>
          <t>sí</t>
        </is>
      </c>
      <c r="Q280" s="16" t="inlineStr">
        <is>
          <t>O2</t>
        </is>
      </c>
    </row>
    <row r="281">
      <c r="A281" s="16" t="inlineStr">
        <is>
          <t>KF-M09-R0-T_fuente-0058</t>
        </is>
      </c>
      <c r="B281" s="35" t="n">
        <v>300.9659259071043</v>
      </c>
      <c r="C281" s="36" t="n">
        <v>3619.001163880559</v>
      </c>
      <c r="D281" s="35" t="n">
        <v>1782.109645469663</v>
      </c>
      <c r="E281" s="37" t="n">
        <v>0.6052529490382075</v>
      </c>
      <c r="F281" s="37" t="n">
        <v>0.5844159428893959</v>
      </c>
      <c r="G281" s="37" t="n">
        <v>0.8216356039030361</v>
      </c>
      <c r="H281" s="37" t="n">
        <v>0.8962149179187393</v>
      </c>
      <c r="I281" s="37" t="n">
        <v>0.4603799865398789</v>
      </c>
      <c r="J281" s="37" t="n">
        <v>0.4321674527629422</v>
      </c>
      <c r="K281" s="32" t="inlineStr">
        <is>
          <t>No convergió</t>
        </is>
      </c>
      <c r="L281" s="29" t="inlineStr">
        <is>
          <t>—</t>
        </is>
      </c>
      <c r="M281" s="35" t="inlineStr">
        <is>
          <t>—</t>
        </is>
      </c>
      <c r="N281" s="36" t="n">
        <v>1836.891518410896</v>
      </c>
      <c r="O281" s="29" t="n">
        <v>2.030739900364994</v>
      </c>
      <c r="P281" s="16" t="inlineStr">
        <is>
          <t>no</t>
        </is>
      </c>
      <c r="Q281" s="16" t="n"/>
    </row>
    <row r="282">
      <c r="A282" s="16" t="inlineStr">
        <is>
          <t>KF-M09-R0-T_fuente-0059</t>
        </is>
      </c>
      <c r="B282" s="35" t="n">
        <v>301.3085800163951</v>
      </c>
      <c r="C282" s="36" t="n">
        <v>3858.869269033584</v>
      </c>
      <c r="D282" s="35" t="n">
        <v>1065.534345890562</v>
      </c>
      <c r="E282" s="37" t="n">
        <v>0.8416204737325068</v>
      </c>
      <c r="F282" s="37" t="n">
        <v>0.8785110533062579</v>
      </c>
      <c r="G282" s="37" t="n">
        <v>0.7175856284518978</v>
      </c>
      <c r="H282" s="37" t="n">
        <v>0.4804479624930307</v>
      </c>
      <c r="I282" s="37" t="n">
        <v>0.7523198851212609</v>
      </c>
      <c r="J282" s="37" t="n">
        <v>0.8254268256288946</v>
      </c>
      <c r="K282" s="39" t="inlineStr">
        <is>
          <t>Corregible</t>
        </is>
      </c>
      <c r="L282" s="29" t="n">
        <v>11.81965366538607</v>
      </c>
      <c r="M282" s="35" t="n">
        <v>112.8983424980789</v>
      </c>
      <c r="N282" s="36" t="n">
        <v>2793.334923143022</v>
      </c>
      <c r="O282" s="29" t="n">
        <v>3.621534382177408</v>
      </c>
      <c r="P282" s="16" t="inlineStr">
        <is>
          <t>no</t>
        </is>
      </c>
      <c r="Q282" s="16" t="inlineStr">
        <is>
          <t>O2</t>
        </is>
      </c>
    </row>
    <row r="283">
      <c r="A283" s="16" t="inlineStr">
        <is>
          <t>KF-M09-R0-T_fuente-0060</t>
        </is>
      </c>
      <c r="B283" s="35" t="n">
        <v>279.3348980683191</v>
      </c>
      <c r="C283" s="36" t="n">
        <v>2518.668185550502</v>
      </c>
      <c r="D283" s="35" t="n">
        <v>1279.042284917747</v>
      </c>
      <c r="E283" s="37" t="n">
        <v>0.7979332197762417</v>
      </c>
      <c r="F283" s="37" t="n">
        <v>0.6693477293885526</v>
      </c>
      <c r="G283" s="37" t="n">
        <v>0.4454877098020939</v>
      </c>
      <c r="H283" s="37" t="n">
        <v>0.5079103758181263</v>
      </c>
      <c r="I283" s="37" t="n">
        <v>0.7513474965369971</v>
      </c>
      <c r="J283" s="37" t="n">
        <v>0.7434467980403848</v>
      </c>
      <c r="K283" s="39" t="inlineStr">
        <is>
          <t>Corregible</t>
        </is>
      </c>
      <c r="L283" s="29" t="n">
        <v>3.46014319681487</v>
      </c>
      <c r="M283" s="35" t="n">
        <v>35.45296376645842</v>
      </c>
      <c r="N283" s="36" t="n">
        <v>1239.625900632755</v>
      </c>
      <c r="O283" s="29" t="n">
        <v>1.969182891957692</v>
      </c>
      <c r="P283" s="16" t="inlineStr">
        <is>
          <t>no</t>
        </is>
      </c>
      <c r="Q283" s="16" t="inlineStr">
        <is>
          <t>O2</t>
        </is>
      </c>
    </row>
    <row r="284">
      <c r="A284" s="16" t="inlineStr">
        <is>
          <t>KF-M09-R0-T_fuente-0061</t>
        </is>
      </c>
      <c r="B284" s="35" t="n">
        <v>291.2745449692729</v>
      </c>
      <c r="C284" s="36" t="n">
        <v>4832.258942768976</v>
      </c>
      <c r="D284" s="35" t="n">
        <v>1150.388410260034</v>
      </c>
      <c r="E284" s="37" t="n">
        <v>0.6266655568409081</v>
      </c>
      <c r="F284" s="37" t="n">
        <v>0.5681608318313542</v>
      </c>
      <c r="G284" s="37" t="n">
        <v>0.7038403241066464</v>
      </c>
      <c r="H284" s="37" t="n">
        <v>0.67604777165628</v>
      </c>
      <c r="I284" s="37" t="n">
        <v>0.8985855214964543</v>
      </c>
      <c r="J284" s="37" t="n">
        <v>0.5338313453207832</v>
      </c>
      <c r="K284" s="40" t="inlineStr">
        <is>
          <t>Inviable</t>
        </is>
      </c>
      <c r="L284" s="29" t="n">
        <v>-0.51720536834127</v>
      </c>
      <c r="M284" s="35" t="n">
        <v>-5.366458500496236</v>
      </c>
      <c r="N284" s="36" t="n">
        <v>3681.870532508942</v>
      </c>
      <c r="O284" s="29" t="n">
        <v>4.200545571974852</v>
      </c>
      <c r="P284" s="16" t="inlineStr">
        <is>
          <t>sí</t>
        </is>
      </c>
      <c r="Q284" s="16" t="inlineStr">
        <is>
          <t>O2,O3</t>
        </is>
      </c>
    </row>
    <row r="285">
      <c r="A285" s="16" t="inlineStr">
        <is>
          <t>KF-M09-R0-T_fuente-0062</t>
        </is>
      </c>
      <c r="B285" s="35" t="n">
        <v>290.4921338413641</v>
      </c>
      <c r="C285" s="36" t="n">
        <v>2443.412744532542</v>
      </c>
      <c r="D285" s="35" t="n">
        <v>905.2120402576884</v>
      </c>
      <c r="E285" s="37" t="n">
        <v>0.548166650741112</v>
      </c>
      <c r="F285" s="37" t="n">
        <v>0.7392724410176146</v>
      </c>
      <c r="G285" s="37" t="n">
        <v>0.489772892069117</v>
      </c>
      <c r="H285" s="37" t="n">
        <v>0.5589072165110619</v>
      </c>
      <c r="I285" s="37" t="n">
        <v>0.6640541589981547</v>
      </c>
      <c r="J285" s="37" t="n">
        <v>0.9490467024898904</v>
      </c>
      <c r="K285" s="42" t="inlineStr">
        <is>
          <t>KALINA</t>
        </is>
      </c>
      <c r="L285" s="29" t="n">
        <v>5.90788925884678</v>
      </c>
      <c r="M285" s="35" t="n">
        <v>83.35720557413985</v>
      </c>
      <c r="N285" s="36" t="n">
        <v>1538.200704274853</v>
      </c>
      <c r="O285" s="29" t="n">
        <v>2.699271149593824</v>
      </c>
      <c r="P285" s="16" t="inlineStr">
        <is>
          <t>sí</t>
        </is>
      </c>
      <c r="Q285" s="16" t="n"/>
    </row>
    <row r="286">
      <c r="A286" s="16" t="inlineStr">
        <is>
          <t>KF-M09-R0-T_fuente-0063</t>
        </is>
      </c>
      <c r="B286" s="35" t="n">
        <v>289.9689430629871</v>
      </c>
      <c r="C286" s="36" t="n">
        <v>4316.387593801805</v>
      </c>
      <c r="D286" s="35" t="n">
        <v>1567.805281105953</v>
      </c>
      <c r="E286" s="37" t="n">
        <v>0.6695901971293379</v>
      </c>
      <c r="F286" s="37" t="n">
        <v>0.5614788716364493</v>
      </c>
      <c r="G286" s="37" t="n">
        <v>0.4150206616078221</v>
      </c>
      <c r="H286" s="37" t="n">
        <v>0.6826045246985444</v>
      </c>
      <c r="I286" s="37" t="n">
        <v>0.7067506698698072</v>
      </c>
      <c r="J286" s="37" t="n">
        <v>0.8574587137963314</v>
      </c>
      <c r="K286" s="39" t="inlineStr">
        <is>
          <t>Corregible</t>
        </is>
      </c>
      <c r="L286" s="29" t="n">
        <v>5.01737247879741</v>
      </c>
      <c r="M286" s="35" t="n">
        <v>76.86276380519269</v>
      </c>
      <c r="N286" s="36" t="n">
        <v>2748.582312695852</v>
      </c>
      <c r="O286" s="29" t="n">
        <v>2.753140103442541</v>
      </c>
      <c r="P286" s="16" t="inlineStr">
        <is>
          <t>sí</t>
        </is>
      </c>
      <c r="Q286" s="16" t="inlineStr">
        <is>
          <t>O2</t>
        </is>
      </c>
    </row>
    <row r="287">
      <c r="A287" s="16" t="inlineStr">
        <is>
          <t>KF-M09-R0-T_fuente-0064</t>
        </is>
      </c>
      <c r="B287" s="35" t="n">
        <v>294.3442427842768</v>
      </c>
      <c r="C287" s="36" t="n">
        <v>3224.871221842738</v>
      </c>
      <c r="D287" s="35" t="n">
        <v>1596.654993748086</v>
      </c>
      <c r="E287" s="37" t="n">
        <v>0.6578127642961049</v>
      </c>
      <c r="F287" s="37" t="n">
        <v>0.4101477708375209</v>
      </c>
      <c r="G287" s="37" t="n">
        <v>0.6071033104060761</v>
      </c>
      <c r="H287" s="37" t="n">
        <v>0.8192581907285825</v>
      </c>
      <c r="I287" s="37" t="n">
        <v>0.4911529035068354</v>
      </c>
      <c r="J287" s="37" t="n">
        <v>0.9139451202042592</v>
      </c>
      <c r="K287" s="38" t="inlineStr">
        <is>
          <t>Falso convergido</t>
        </is>
      </c>
      <c r="L287" s="29" t="inlineStr">
        <is>
          <t>—</t>
        </is>
      </c>
      <c r="M287" s="35" t="inlineStr">
        <is>
          <t>—</t>
        </is>
      </c>
      <c r="N287" s="36" t="n">
        <v>1628.216228094651</v>
      </c>
      <c r="O287" s="29" t="n">
        <v>2.019767097131282</v>
      </c>
      <c r="P287" s="16" t="inlineStr">
        <is>
          <t>sí</t>
        </is>
      </c>
      <c r="Q287" s="16" t="inlineStr">
        <is>
          <t>N2,O2,O5,C1,C3,C3</t>
        </is>
      </c>
    </row>
    <row r="288">
      <c r="A288" s="16" t="inlineStr">
        <is>
          <t>KF-M09-R0-T_fuente-0065</t>
        </is>
      </c>
      <c r="B288" s="35" t="n">
        <v>291.7878050175779</v>
      </c>
      <c r="C288" s="36" t="n">
        <v>3074.402458899837</v>
      </c>
      <c r="D288" s="35" t="n">
        <v>957.66952073673</v>
      </c>
      <c r="E288" s="37" t="n">
        <v>0.5151114774129232</v>
      </c>
      <c r="F288" s="37" t="n">
        <v>0.7964400419199822</v>
      </c>
      <c r="G288" s="37" t="n">
        <v>0.48072156383649</v>
      </c>
      <c r="H288" s="37" t="n">
        <v>0.4027508517427795</v>
      </c>
      <c r="I288" s="37" t="n">
        <v>0.6951967018157261</v>
      </c>
      <c r="J288" s="37" t="n">
        <v>0.5912662202233303</v>
      </c>
      <c r="K288" s="39" t="inlineStr">
        <is>
          <t>Corregible</t>
        </is>
      </c>
      <c r="L288" s="29" t="n">
        <v>3.68492043992955</v>
      </c>
      <c r="M288" s="35" t="n">
        <v>30.62555368631679</v>
      </c>
      <c r="N288" s="36" t="n">
        <v>2116.732938163107</v>
      </c>
      <c r="O288" s="29" t="n">
        <v>3.210295819516858</v>
      </c>
      <c r="P288" s="16" t="inlineStr">
        <is>
          <t>sí</t>
        </is>
      </c>
      <c r="Q288" s="16" t="inlineStr">
        <is>
          <t>O2</t>
        </is>
      </c>
    </row>
    <row r="289">
      <c r="A289" s="16" t="inlineStr">
        <is>
          <t>KF-M09-R0-T_fuente-0066</t>
        </is>
      </c>
      <c r="B289" s="35" t="n">
        <v>297.8685035350298</v>
      </c>
      <c r="C289" s="36" t="n">
        <v>3243.711540412276</v>
      </c>
      <c r="D289" s="35" t="n">
        <v>762.5680587846564</v>
      </c>
      <c r="E289" s="37" t="n">
        <v>0.7800388263154479</v>
      </c>
      <c r="F289" s="37" t="n">
        <v>0.4758137136183181</v>
      </c>
      <c r="G289" s="37" t="n">
        <v>0.8893061123541876</v>
      </c>
      <c r="H289" s="37" t="n">
        <v>0.4133230886121954</v>
      </c>
      <c r="I289" s="37" t="n">
        <v>0.9482531418314936</v>
      </c>
      <c r="J289" s="37" t="n">
        <v>0.5828204792469909</v>
      </c>
      <c r="K289" s="39" t="inlineStr">
        <is>
          <t>Corregible</t>
        </is>
      </c>
      <c r="L289" s="29" t="n">
        <v>0.67749164916406</v>
      </c>
      <c r="M289" s="35" t="n">
        <v>4.812911258453198</v>
      </c>
      <c r="N289" s="36" t="n">
        <v>2481.14348162762</v>
      </c>
      <c r="O289" s="29" t="n">
        <v>4.253668250387966</v>
      </c>
      <c r="P289" s="16" t="inlineStr">
        <is>
          <t>no</t>
        </is>
      </c>
      <c r="Q289" s="16" t="inlineStr">
        <is>
          <t>O2</t>
        </is>
      </c>
    </row>
    <row r="290">
      <c r="A290" s="16" t="inlineStr">
        <is>
          <t>KF-M09-R0-T_fuente-0067</t>
        </is>
      </c>
      <c r="B290" s="35" t="n">
        <v>283.4085108210341</v>
      </c>
      <c r="C290" s="36" t="n">
        <v>3011.345353683277</v>
      </c>
      <c r="D290" s="35" t="n">
        <v>1704.561754940399</v>
      </c>
      <c r="E290" s="37" t="n">
        <v>0.6549051513086162</v>
      </c>
      <c r="F290" s="37" t="n">
        <v>0.7043687549111105</v>
      </c>
      <c r="G290" s="37" t="n">
        <v>0.6270087114356424</v>
      </c>
      <c r="H290" s="37" t="n">
        <v>0.7120872674618679</v>
      </c>
      <c r="I290" s="37" t="n">
        <v>0.904041256175879</v>
      </c>
      <c r="J290" s="37" t="n">
        <v>0.6839188539136815</v>
      </c>
      <c r="K290" s="39" t="inlineStr">
        <is>
          <t>Corregible</t>
        </is>
      </c>
      <c r="L290" s="29" t="n">
        <v>2.61901335040088</v>
      </c>
      <c r="M290" s="35" t="n">
        <v>36.31663639729656</v>
      </c>
      <c r="N290" s="36" t="n">
        <v>1306.783598742878</v>
      </c>
      <c r="O290" s="29" t="n">
        <v>1.766639046637867</v>
      </c>
      <c r="P290" s="16" t="inlineStr">
        <is>
          <t>sí</t>
        </is>
      </c>
      <c r="Q290" s="16" t="inlineStr">
        <is>
          <t>O2</t>
        </is>
      </c>
    </row>
    <row r="291">
      <c r="A291" s="16" t="inlineStr">
        <is>
          <t>KF-M09-R0-T_fuente-0068</t>
        </is>
      </c>
      <c r="B291" s="35" t="n">
        <v>286.2808319630778</v>
      </c>
      <c r="C291" s="36" t="n">
        <v>4679.33421183829</v>
      </c>
      <c r="D291" s="35" t="n">
        <v>739.9524041874658</v>
      </c>
      <c r="E291" s="37" t="n">
        <v>0.5387309398513489</v>
      </c>
      <c r="F291" s="37" t="n">
        <v>0.818257583693947</v>
      </c>
      <c r="G291" s="37" t="n">
        <v>0.6678901337401048</v>
      </c>
      <c r="H291" s="37" t="n">
        <v>0.4228108552159268</v>
      </c>
      <c r="I291" s="37" t="n">
        <v>0.913029523157704</v>
      </c>
      <c r="J291" s="37" t="n">
        <v>0.8738577594515083</v>
      </c>
      <c r="K291" s="42" t="inlineStr">
        <is>
          <t>KALINA</t>
        </is>
      </c>
      <c r="L291" s="29" t="n">
        <v>12.30456993263531</v>
      </c>
      <c r="M291" s="35" t="n">
        <v>119.0026229935704</v>
      </c>
      <c r="N291" s="36" t="n">
        <v>3939.381807650824</v>
      </c>
      <c r="O291" s="29" t="n">
        <v>6.323831350986175</v>
      </c>
      <c r="P291" s="16" t="inlineStr">
        <is>
          <t>sí</t>
        </is>
      </c>
      <c r="Q291" s="16" t="n"/>
    </row>
    <row r="292">
      <c r="A292" s="16" t="inlineStr">
        <is>
          <t>KF-M09-R0-T_fuente-0069</t>
        </is>
      </c>
      <c r="B292" s="35" t="n">
        <v>298.8432863969443</v>
      </c>
      <c r="C292" s="36" t="n">
        <v>3171.684397041922</v>
      </c>
      <c r="D292" s="35" t="n">
        <v>1731.504055981887</v>
      </c>
      <c r="E292" s="37" t="n">
        <v>0.7896310397415053</v>
      </c>
      <c r="F292" s="37" t="n">
        <v>0.6807348383026156</v>
      </c>
      <c r="G292" s="37" t="n">
        <v>0.8999649182884946</v>
      </c>
      <c r="H292" s="37" t="n">
        <v>0.6336538373429291</v>
      </c>
      <c r="I292" s="37" t="n">
        <v>0.6714471618163571</v>
      </c>
      <c r="J292" s="37" t="n">
        <v>0.9178138648840076</v>
      </c>
      <c r="K292" s="42" t="inlineStr">
        <is>
          <t>KALINA</t>
        </is>
      </c>
      <c r="L292" s="29" t="n">
        <v>4.32281181940795</v>
      </c>
      <c r="M292" s="35" t="n">
        <v>59.63363840644767</v>
      </c>
      <c r="N292" s="36" t="n">
        <v>1440.180341060035</v>
      </c>
      <c r="O292" s="29" t="n">
        <v>1.831751064102099</v>
      </c>
      <c r="P292" s="16" t="inlineStr">
        <is>
          <t>sí</t>
        </is>
      </c>
      <c r="Q292" s="16" t="n"/>
    </row>
    <row r="293">
      <c r="A293" s="16" t="inlineStr">
        <is>
          <t>KF-M09-R0-T_fuente-0070</t>
        </is>
      </c>
      <c r="B293" s="35" t="n">
        <v>287.9662993161377</v>
      </c>
      <c r="C293" s="36" t="n">
        <v>2962.33477192018</v>
      </c>
      <c r="D293" s="35" t="n">
        <v>1123.376047576045</v>
      </c>
      <c r="E293" s="37" t="n">
        <v>0.5705856496619738</v>
      </c>
      <c r="F293" s="37" t="n">
        <v>0.63372462565442</v>
      </c>
      <c r="G293" s="37" t="n">
        <v>0.8615102700878489</v>
      </c>
      <c r="H293" s="37" t="n">
        <v>0.4290493849485837</v>
      </c>
      <c r="I293" s="37" t="n">
        <v>0.8269598307588084</v>
      </c>
      <c r="J293" s="37" t="n">
        <v>0.7508648827804538</v>
      </c>
      <c r="K293" s="39" t="inlineStr">
        <is>
          <t>Corregible</t>
        </is>
      </c>
      <c r="L293" s="29" t="n">
        <v>5.677927435281291</v>
      </c>
      <c r="M293" s="35" t="n">
        <v>55.10649173236066</v>
      </c>
      <c r="N293" s="36" t="n">
        <v>1838.958724344136</v>
      </c>
      <c r="O293" s="29" t="n">
        <v>2.636992998303759</v>
      </c>
      <c r="P293" s="16" t="inlineStr">
        <is>
          <t>sí</t>
        </is>
      </c>
      <c r="Q293" s="16" t="inlineStr">
        <is>
          <t>O2</t>
        </is>
      </c>
    </row>
    <row r="294">
      <c r="A294" s="16" t="inlineStr">
        <is>
          <t>KF-M09-R0-T_fuente-0071</t>
        </is>
      </c>
      <c r="B294" s="35" t="n">
        <v>302.2251263463804</v>
      </c>
      <c r="C294" s="36" t="n">
        <v>3137.768653048317</v>
      </c>
      <c r="D294" s="35" t="n">
        <v>1265.166286110094</v>
      </c>
      <c r="E294" s="37" t="n">
        <v>0.5832983658665413</v>
      </c>
      <c r="F294" s="37" t="n">
        <v>0.904685764011103</v>
      </c>
      <c r="G294" s="37" t="n">
        <v>0.8667946723317126</v>
      </c>
      <c r="H294" s="37" t="n">
        <v>0.5539311922815399</v>
      </c>
      <c r="I294" s="37" t="n">
        <v>0.8939642569050643</v>
      </c>
      <c r="J294" s="37" t="n">
        <v>0.6018443264023746</v>
      </c>
      <c r="K294" s="39" t="inlineStr">
        <is>
          <t>Corregible</t>
        </is>
      </c>
      <c r="L294" s="29" t="n">
        <v>6.84583554020209</v>
      </c>
      <c r="M294" s="35" t="n">
        <v>71.41163367367832</v>
      </c>
      <c r="N294" s="36" t="n">
        <v>1872.602366938223</v>
      </c>
      <c r="O294" s="29" t="n">
        <v>2.480123512218907</v>
      </c>
      <c r="P294" s="16" t="inlineStr">
        <is>
          <t>sí</t>
        </is>
      </c>
      <c r="Q294" s="16" t="inlineStr">
        <is>
          <t>O2</t>
        </is>
      </c>
    </row>
    <row r="295">
      <c r="A295" s="16" t="inlineStr">
        <is>
          <t>KF-M09-R0-T_fuente-0072</t>
        </is>
      </c>
      <c r="B295" s="35" t="n">
        <v>303.0826165650049</v>
      </c>
      <c r="C295" s="36" t="n">
        <v>2562.012774157251</v>
      </c>
      <c r="D295" s="35" t="n">
        <v>500.7775878936037</v>
      </c>
      <c r="E295" s="37" t="n">
        <v>0.6611123859747821</v>
      </c>
      <c r="F295" s="37" t="n">
        <v>0.6004761617879971</v>
      </c>
      <c r="G295" s="37" t="n">
        <v>0.9399734346045364</v>
      </c>
      <c r="H295" s="37" t="n">
        <v>0.9045052702492982</v>
      </c>
      <c r="I295" s="37" t="n">
        <v>0.5494018254029317</v>
      </c>
      <c r="J295" s="37" t="n">
        <v>0.6653765060259831</v>
      </c>
      <c r="K295" s="32" t="inlineStr">
        <is>
          <t>No convergió</t>
        </is>
      </c>
      <c r="L295" s="29" t="inlineStr">
        <is>
          <t>—</t>
        </is>
      </c>
      <c r="M295" s="35" t="inlineStr">
        <is>
          <t>—</t>
        </is>
      </c>
      <c r="N295" s="36" t="n">
        <v>2061.235186263648</v>
      </c>
      <c r="O295" s="29" t="n">
        <v>5.11606916142897</v>
      </c>
      <c r="P295" s="16" t="inlineStr">
        <is>
          <t>no</t>
        </is>
      </c>
      <c r="Q295" s="16" t="n"/>
    </row>
    <row r="296">
      <c r="A296" s="16" t="inlineStr">
        <is>
          <t>KF-M09-R0-T_fuente-0073</t>
        </is>
      </c>
      <c r="B296" s="35" t="n">
        <v>302.765402349473</v>
      </c>
      <c r="C296" s="36" t="n">
        <v>3420.289519525253</v>
      </c>
      <c r="D296" s="35" t="n">
        <v>711.3653571767264</v>
      </c>
      <c r="E296" s="37" t="n">
        <v>0.7667448043210493</v>
      </c>
      <c r="F296" s="37" t="n">
        <v>0.7221732595579611</v>
      </c>
      <c r="G296" s="37" t="n">
        <v>0.7568760621232906</v>
      </c>
      <c r="H296" s="37" t="n">
        <v>0.4744456347769032</v>
      </c>
      <c r="I296" s="37" t="n">
        <v>0.6618993793582262</v>
      </c>
      <c r="J296" s="37" t="n">
        <v>0.6398603225256401</v>
      </c>
      <c r="K296" s="39" t="inlineStr">
        <is>
          <t>Corregible</t>
        </is>
      </c>
      <c r="L296" s="29" t="n">
        <v>0.55104949821383</v>
      </c>
      <c r="M296" s="35" t="n">
        <v>3.767488716539162</v>
      </c>
      <c r="N296" s="36" t="n">
        <v>2708.924162348527</v>
      </c>
      <c r="O296" s="29" t="n">
        <v>4.80806309306336</v>
      </c>
      <c r="P296" s="16" t="inlineStr">
        <is>
          <t>sí</t>
        </is>
      </c>
      <c r="Q296" s="16" t="inlineStr">
        <is>
          <t>O2</t>
        </is>
      </c>
    </row>
    <row r="297">
      <c r="A297" s="16" t="inlineStr">
        <is>
          <t>KF-M09-R0-T_fuente-0074</t>
        </is>
      </c>
      <c r="B297" s="35" t="n">
        <v>278.3440730777328</v>
      </c>
      <c r="C297" s="36" t="n">
        <v>2033.36837504094</v>
      </c>
      <c r="D297" s="35" t="n">
        <v>1203.633974024935</v>
      </c>
      <c r="E297" s="37" t="n">
        <v>0.8131810142770168</v>
      </c>
      <c r="F297" s="37" t="n">
        <v>0.4248810270606699</v>
      </c>
      <c r="G297" s="37" t="n">
        <v>0.8824159535874744</v>
      </c>
      <c r="H297" s="37" t="n">
        <v>0.7629411543229681</v>
      </c>
      <c r="I297" s="37" t="n">
        <v>0.6913921583067664</v>
      </c>
      <c r="J297" s="37" t="n">
        <v>0.5230849997365649</v>
      </c>
      <c r="K297" s="32" t="inlineStr">
        <is>
          <t>No convergió</t>
        </is>
      </c>
      <c r="L297" s="29" t="inlineStr">
        <is>
          <t>—</t>
        </is>
      </c>
      <c r="M297" s="35" t="inlineStr">
        <is>
          <t>—</t>
        </is>
      </c>
      <c r="N297" s="36" t="n">
        <v>829.734401016005</v>
      </c>
      <c r="O297" s="29" t="n">
        <v>1.689357744066815</v>
      </c>
      <c r="P297" s="16" t="inlineStr">
        <is>
          <t>no</t>
        </is>
      </c>
      <c r="Q297" s="16" t="n"/>
    </row>
    <row r="298">
      <c r="A298" s="16" t="inlineStr">
        <is>
          <t>KF-M09-R0-T_fuente-0075</t>
        </is>
      </c>
      <c r="B298" s="35" t="n">
        <v>286.5408676418317</v>
      </c>
      <c r="C298" s="36" t="n">
        <v>3153.174307293635</v>
      </c>
      <c r="D298" s="35" t="n">
        <v>877.5738364660639</v>
      </c>
      <c r="E298" s="37" t="n">
        <v>0.7450005628970592</v>
      </c>
      <c r="F298" s="37" t="n">
        <v>0.4022881939418549</v>
      </c>
      <c r="G298" s="37" t="n">
        <v>0.7097112346732524</v>
      </c>
      <c r="H298" s="37" t="n">
        <v>0.9211909209856336</v>
      </c>
      <c r="I298" s="37" t="n">
        <v>0.9252340095619798</v>
      </c>
      <c r="J298" s="37" t="n">
        <v>0.7565376704101414</v>
      </c>
      <c r="K298" s="32" t="inlineStr">
        <is>
          <t>No convergió</t>
        </is>
      </c>
      <c r="L298" s="29" t="inlineStr">
        <is>
          <t>—</t>
        </is>
      </c>
      <c r="M298" s="35" t="inlineStr">
        <is>
          <t>—</t>
        </is>
      </c>
      <c r="N298" s="36" t="n">
        <v>2275.600470827572</v>
      </c>
      <c r="O298" s="29" t="n">
        <v>3.593058699187381</v>
      </c>
      <c r="P298" s="16" t="inlineStr">
        <is>
          <t>no</t>
        </is>
      </c>
      <c r="Q298" s="16" t="n"/>
    </row>
    <row r="299">
      <c r="A299" s="16" t="inlineStr">
        <is>
          <t>KF-M09-R0-T_fuente-0076</t>
        </is>
      </c>
      <c r="B299" s="35" t="n">
        <v>282.5236888510315</v>
      </c>
      <c r="C299" s="36" t="n">
        <v>3645.014823623834</v>
      </c>
      <c r="D299" s="35" t="n">
        <v>1009.620705087861</v>
      </c>
      <c r="E299" s="37" t="n">
        <v>0.5962119473968071</v>
      </c>
      <c r="F299" s="37" t="n">
        <v>0.6302281894889116</v>
      </c>
      <c r="G299" s="37" t="n">
        <v>0.8748643957548867</v>
      </c>
      <c r="H299" s="37" t="n">
        <v>0.7871879372978365</v>
      </c>
      <c r="I299" s="37" t="n">
        <v>0.4503673102470221</v>
      </c>
      <c r="J299" s="37" t="n">
        <v>0.7177699583361901</v>
      </c>
      <c r="K299" s="39" t="inlineStr">
        <is>
          <t>Corregible</t>
        </is>
      </c>
      <c r="L299" s="29" t="n">
        <v>6.07430575857414</v>
      </c>
      <c r="M299" s="35" t="n">
        <v>98.1385131303508</v>
      </c>
      <c r="N299" s="36" t="n">
        <v>2635.394118535973</v>
      </c>
      <c r="O299" s="29" t="n">
        <v>3.610281371266678</v>
      </c>
      <c r="P299" s="16" t="inlineStr">
        <is>
          <t>sí</t>
        </is>
      </c>
      <c r="Q299" s="16" t="inlineStr">
        <is>
          <t>O2</t>
        </is>
      </c>
    </row>
    <row r="300">
      <c r="A300" s="16" t="inlineStr">
        <is>
          <t>KF-M09-R0-T_fuente-0077</t>
        </is>
      </c>
      <c r="B300" s="35" t="n">
        <v>293.0619122223355</v>
      </c>
      <c r="C300" s="36" t="n">
        <v>2143.828810243298</v>
      </c>
      <c r="D300" s="35" t="n">
        <v>984.3283511097192</v>
      </c>
      <c r="E300" s="37" t="n">
        <v>0.7542108867631218</v>
      </c>
      <c r="F300" s="37" t="n">
        <v>0.8539620254838702</v>
      </c>
      <c r="G300" s="37" t="n">
        <v>0.468615607540661</v>
      </c>
      <c r="H300" s="37" t="n">
        <v>0.8588779847068548</v>
      </c>
      <c r="I300" s="37" t="n">
        <v>0.8204097773870563</v>
      </c>
      <c r="J300" s="37" t="n">
        <v>0.5763093669531475</v>
      </c>
      <c r="K300" s="32" t="inlineStr">
        <is>
          <t>No convergió</t>
        </is>
      </c>
      <c r="L300" s="29" t="inlineStr">
        <is>
          <t>—</t>
        </is>
      </c>
      <c r="M300" s="35" t="inlineStr">
        <is>
          <t>—</t>
        </is>
      </c>
      <c r="N300" s="36" t="n">
        <v>1159.500459133579</v>
      </c>
      <c r="O300" s="29" t="n">
        <v>2.177961051133368</v>
      </c>
      <c r="P300" s="16" t="inlineStr">
        <is>
          <t>no</t>
        </is>
      </c>
      <c r="Q300" s="16" t="n"/>
    </row>
    <row r="301">
      <c r="A301" s="16" t="inlineStr">
        <is>
          <t>KF-M09-R0-T_fuente-0078</t>
        </is>
      </c>
      <c r="B301" s="35" t="n">
        <v>302.3403353461571</v>
      </c>
      <c r="C301" s="36" t="n">
        <v>4485.724043556331</v>
      </c>
      <c r="D301" s="35" t="n">
        <v>1916.257875981152</v>
      </c>
      <c r="E301" s="37" t="n">
        <v>0.6963244686900598</v>
      </c>
      <c r="F301" s="37" t="n">
        <v>0.4673471074207401</v>
      </c>
      <c r="G301" s="37" t="n">
        <v>0.5231753570958358</v>
      </c>
      <c r="H301" s="37" t="n">
        <v>0.8024449501443831</v>
      </c>
      <c r="I301" s="37" t="n">
        <v>0.6250732905501585</v>
      </c>
      <c r="J301" s="37" t="n">
        <v>0.4811014458144793</v>
      </c>
      <c r="K301" s="32" t="inlineStr">
        <is>
          <t>No convergió</t>
        </is>
      </c>
      <c r="L301" s="29" t="inlineStr">
        <is>
          <t>—</t>
        </is>
      </c>
      <c r="M301" s="35" t="inlineStr">
        <is>
          <t>—</t>
        </is>
      </c>
      <c r="N301" s="36" t="n">
        <v>2569.466167575179</v>
      </c>
      <c r="O301" s="29" t="n">
        <v>2.340877029016554</v>
      </c>
      <c r="P301" s="16" t="inlineStr">
        <is>
          <t>no</t>
        </is>
      </c>
      <c r="Q301" s="16" t="n"/>
    </row>
    <row r="302">
      <c r="A302" s="16" t="inlineStr">
        <is>
          <t>KF-M09-R0-T_fuente-0079</t>
        </is>
      </c>
      <c r="B302" s="35" t="n">
        <v>298.6897123418713</v>
      </c>
      <c r="C302" s="36" t="n">
        <v>4437.477885379416</v>
      </c>
      <c r="D302" s="35" t="n">
        <v>1139.110604868654</v>
      </c>
      <c r="E302" s="37" t="n">
        <v>0.5033969051317454</v>
      </c>
      <c r="F302" s="37" t="n">
        <v>0.919141077625619</v>
      </c>
      <c r="G302" s="37" t="n">
        <v>0.430438892458963</v>
      </c>
      <c r="H302" s="37" t="n">
        <v>0.7425364751832575</v>
      </c>
      <c r="I302" s="37" t="n">
        <v>0.7923230877452216</v>
      </c>
      <c r="J302" s="37" t="n">
        <v>0.9310643988780224</v>
      </c>
      <c r="K302" s="42" t="inlineStr">
        <is>
          <t>KALINA</t>
        </is>
      </c>
      <c r="L302" s="29" t="n">
        <v>9.95755315577501</v>
      </c>
      <c r="M302" s="35" t="n">
        <v>184.9077698686641</v>
      </c>
      <c r="N302" s="36" t="n">
        <v>3298.367280510763</v>
      </c>
      <c r="O302" s="29" t="n">
        <v>3.895563667314891</v>
      </c>
      <c r="P302" s="16" t="inlineStr">
        <is>
          <t>sí</t>
        </is>
      </c>
      <c r="Q302" s="16" t="n"/>
    </row>
    <row r="303">
      <c r="A303" s="16" t="inlineStr">
        <is>
          <t>KF-M09-R0-T_fuente-0080</t>
        </is>
      </c>
      <c r="B303" s="35" t="n">
        <v>300.0422463754022</v>
      </c>
      <c r="C303" s="36" t="n">
        <v>3752.588320619171</v>
      </c>
      <c r="D303" s="35" t="n">
        <v>687.8047476046906</v>
      </c>
      <c r="E303" s="37" t="n">
        <v>0.5736731740461947</v>
      </c>
      <c r="F303" s="37" t="n">
        <v>0.6909494395186377</v>
      </c>
      <c r="G303" s="37" t="n">
        <v>0.5321058668354703</v>
      </c>
      <c r="H303" s="37" t="n">
        <v>0.9329991218826093</v>
      </c>
      <c r="I303" s="37" t="n">
        <v>0.6191136475158168</v>
      </c>
      <c r="J303" s="37" t="n">
        <v>0.5693707695497212</v>
      </c>
      <c r="K303" s="32" t="inlineStr">
        <is>
          <t>No convergió</t>
        </is>
      </c>
      <c r="L303" s="29" t="inlineStr">
        <is>
          <t>—</t>
        </is>
      </c>
      <c r="M303" s="35" t="inlineStr">
        <is>
          <t>—</t>
        </is>
      </c>
      <c r="N303" s="36" t="n">
        <v>3064.783573014481</v>
      </c>
      <c r="O303" s="29" t="n">
        <v>5.455891855483289</v>
      </c>
      <c r="P303" s="16" t="inlineStr">
        <is>
          <t>no</t>
        </is>
      </c>
      <c r="Q303" s="16" t="n"/>
    </row>
    <row r="304">
      <c r="A304" s="16" t="inlineStr">
        <is>
          <t>KF-M09-R0-T_fuente-0081</t>
        </is>
      </c>
      <c r="B304" s="35" t="n">
        <v>286.9473117269732</v>
      </c>
      <c r="C304" s="36" t="n">
        <v>4005.286462291199</v>
      </c>
      <c r="D304" s="35" t="n">
        <v>1442.996800539866</v>
      </c>
      <c r="E304" s="37" t="n">
        <v>0.6434635433675823</v>
      </c>
      <c r="F304" s="37" t="n">
        <v>0.9292308935007734</v>
      </c>
      <c r="G304" s="37" t="n">
        <v>0.7603016860964233</v>
      </c>
      <c r="H304" s="37" t="n">
        <v>0.6108690890815452</v>
      </c>
      <c r="I304" s="37" t="n">
        <v>0.7277918704183708</v>
      </c>
      <c r="J304" s="37" t="n">
        <v>0.5277199621621351</v>
      </c>
      <c r="K304" s="39" t="inlineStr">
        <is>
          <t>Corregible</t>
        </is>
      </c>
      <c r="L304" s="29" t="n">
        <v>6.81750191471079</v>
      </c>
      <c r="M304" s="35" t="n">
        <v>69.05516020617841</v>
      </c>
      <c r="N304" s="36" t="n">
        <v>2562.289661751333</v>
      </c>
      <c r="O304" s="29" t="n">
        <v>2.775672448333016</v>
      </c>
      <c r="P304" s="16" t="inlineStr">
        <is>
          <t>sí</t>
        </is>
      </c>
      <c r="Q304" s="16" t="inlineStr">
        <is>
          <t>O2</t>
        </is>
      </c>
    </row>
    <row r="305">
      <c r="A305" s="16" t="inlineStr">
        <is>
          <t>KF-M09-R0-T_fuente-0082</t>
        </is>
      </c>
      <c r="B305" s="35" t="n">
        <v>295.7413448557623</v>
      </c>
      <c r="C305" s="36" t="n">
        <v>3889.622365633172</v>
      </c>
      <c r="D305" s="35" t="n">
        <v>411.4455445696302</v>
      </c>
      <c r="E305" s="37" t="n">
        <v>0.7855759049571331</v>
      </c>
      <c r="F305" s="37" t="n">
        <v>0.8896448019534173</v>
      </c>
      <c r="G305" s="37" t="n">
        <v>0.5907099473164688</v>
      </c>
      <c r="H305" s="37" t="n">
        <v>0.8463662149708884</v>
      </c>
      <c r="I305" s="37" t="n">
        <v>0.8029042485499447</v>
      </c>
      <c r="J305" s="37" t="n">
        <v>0.76154668854492</v>
      </c>
      <c r="K305" s="32" t="inlineStr">
        <is>
          <t>No convergió</t>
        </is>
      </c>
      <c r="L305" s="29" t="inlineStr">
        <is>
          <t>—</t>
        </is>
      </c>
      <c r="M305" s="35" t="inlineStr">
        <is>
          <t>—</t>
        </is>
      </c>
      <c r="N305" s="36" t="n">
        <v>3478.176821063542</v>
      </c>
      <c r="O305" s="29" t="n">
        <v>9.453553251382743</v>
      </c>
      <c r="P305" s="16" t="inlineStr">
        <is>
          <t>no</t>
        </is>
      </c>
      <c r="Q305" s="16" t="n"/>
    </row>
    <row r="306">
      <c r="A306" s="16" t="inlineStr">
        <is>
          <t>KF-M09-R0-T_fuente-0083</t>
        </is>
      </c>
      <c r="B306" s="35" t="n">
        <v>293.5523607676136</v>
      </c>
      <c r="C306" s="36" t="n">
        <v>2951.481828266029</v>
      </c>
      <c r="D306" s="35" t="n">
        <v>670.038792391374</v>
      </c>
      <c r="E306" s="37" t="n">
        <v>0.7317288950372678</v>
      </c>
      <c r="F306" s="37" t="n">
        <v>0.6483889222402788</v>
      </c>
      <c r="G306" s="37" t="n">
        <v>0.8400657239601953</v>
      </c>
      <c r="H306" s="37" t="n">
        <v>0.6459733755975349</v>
      </c>
      <c r="I306" s="37" t="n">
        <v>0.8366763106275261</v>
      </c>
      <c r="J306" s="37" t="n">
        <v>0.6312693768873846</v>
      </c>
      <c r="K306" s="39" t="inlineStr">
        <is>
          <t>Corregible</t>
        </is>
      </c>
      <c r="L306" s="29" t="n">
        <v>4.930397285051679</v>
      </c>
      <c r="M306" s="35" t="n">
        <v>54.94464074599409</v>
      </c>
      <c r="N306" s="36" t="n">
        <v>2281.443035874655</v>
      </c>
      <c r="O306" s="29" t="n">
        <v>4.404941716482065</v>
      </c>
      <c r="P306" s="16" t="inlineStr">
        <is>
          <t>sí</t>
        </is>
      </c>
      <c r="Q306" s="16" t="inlineStr">
        <is>
          <t>O2</t>
        </is>
      </c>
    </row>
    <row r="307">
      <c r="A307" s="16" t="inlineStr">
        <is>
          <t>KF-M09-R0-T_fuente-0084</t>
        </is>
      </c>
      <c r="B307" s="35" t="n">
        <v>297.3123045827651</v>
      </c>
      <c r="C307" s="36" t="n">
        <v>4603.106499807399</v>
      </c>
      <c r="D307" s="35" t="n">
        <v>1865.422601354645</v>
      </c>
      <c r="E307" s="37" t="n">
        <v>0.5580869368173405</v>
      </c>
      <c r="F307" s="37" t="n">
        <v>0.9424742217962884</v>
      </c>
      <c r="G307" s="37" t="n">
        <v>0.8901820212077867</v>
      </c>
      <c r="H307" s="37" t="n">
        <v>0.5644821858238993</v>
      </c>
      <c r="I307" s="37" t="n">
        <v>0.9299000224483982</v>
      </c>
      <c r="J307" s="37" t="n">
        <v>0.6153281850269566</v>
      </c>
      <c r="K307" s="39" t="inlineStr">
        <is>
          <t>Corregible</t>
        </is>
      </c>
      <c r="L307" s="29" t="n">
        <v>7.90387941186419</v>
      </c>
      <c r="M307" s="35" t="n">
        <v>86.05625811716099</v>
      </c>
      <c r="N307" s="36" t="n">
        <v>2737.683898452754</v>
      </c>
      <c r="O307" s="29" t="n">
        <v>2.467594472407852</v>
      </c>
      <c r="P307" s="16" t="inlineStr">
        <is>
          <t>sí</t>
        </is>
      </c>
      <c r="Q307" s="16" t="inlineStr">
        <is>
          <t>O2</t>
        </is>
      </c>
    </row>
    <row r="308">
      <c r="A308" s="16" t="inlineStr">
        <is>
          <t>KF-M09-R0-T_fuente-0085</t>
        </is>
      </c>
      <c r="B308" s="35" t="n">
        <v>281.1865861934955</v>
      </c>
      <c r="C308" s="36" t="n">
        <v>2733.635833148527</v>
      </c>
      <c r="D308" s="35" t="n">
        <v>794.3154405060158</v>
      </c>
      <c r="E308" s="37" t="n">
        <v>0.7144128182516937</v>
      </c>
      <c r="F308" s="37" t="n">
        <v>0.5335882904664272</v>
      </c>
      <c r="G308" s="37" t="n">
        <v>0.7936609958449007</v>
      </c>
      <c r="H308" s="37" t="n">
        <v>0.5968874474000644</v>
      </c>
      <c r="I308" s="37" t="n">
        <v>0.9101015458551328</v>
      </c>
      <c r="J308" s="37" t="n">
        <v>0.7776793064486212</v>
      </c>
      <c r="K308" s="39" t="inlineStr">
        <is>
          <t>Corregible</t>
        </is>
      </c>
      <c r="L308" s="29" t="n">
        <v>5.29700709458941</v>
      </c>
      <c r="M308" s="35" t="n">
        <v>67.05588553067433</v>
      </c>
      <c r="N308" s="36" t="n">
        <v>1939.320392642512</v>
      </c>
      <c r="O308" s="29" t="n">
        <v>3.44149904905169</v>
      </c>
      <c r="P308" s="16" t="inlineStr">
        <is>
          <t>sí</t>
        </is>
      </c>
      <c r="Q308" s="16" t="inlineStr">
        <is>
          <t>O2</t>
        </is>
      </c>
    </row>
    <row r="309">
      <c r="A309" s="16" t="inlineStr">
        <is>
          <t>KF-M09-R0-T_fuente-0086</t>
        </is>
      </c>
      <c r="B309" s="35" t="n">
        <v>284.4349178164562</v>
      </c>
      <c r="C309" s="36" t="n">
        <v>3356.686636381773</v>
      </c>
      <c r="D309" s="35" t="n">
        <v>1968.985128897558</v>
      </c>
      <c r="E309" s="37" t="n">
        <v>0.6784438496356272</v>
      </c>
      <c r="F309" s="37" t="n">
        <v>0.4788572807729083</v>
      </c>
      <c r="G309" s="37" t="n">
        <v>0.8341310188809155</v>
      </c>
      <c r="H309" s="37" t="n">
        <v>0.9385252201631002</v>
      </c>
      <c r="I309" s="37" t="n">
        <v>0.730063011151229</v>
      </c>
      <c r="J309" s="37" t="n">
        <v>0.4438427726290578</v>
      </c>
      <c r="K309" s="32" t="inlineStr">
        <is>
          <t>No convergió</t>
        </is>
      </c>
      <c r="L309" s="29" t="inlineStr">
        <is>
          <t>—</t>
        </is>
      </c>
      <c r="M309" s="35" t="inlineStr">
        <is>
          <t>—</t>
        </is>
      </c>
      <c r="N309" s="36" t="n">
        <v>1387.701507484215</v>
      </c>
      <c r="O309" s="29" t="n">
        <v>1.704780085495716</v>
      </c>
      <c r="P309" s="16" t="inlineStr">
        <is>
          <t>no</t>
        </is>
      </c>
      <c r="Q309" s="16" t="n"/>
    </row>
    <row r="310">
      <c r="A310" s="16" t="inlineStr">
        <is>
          <t>KF-M09-R0-T_fuente-0087</t>
        </is>
      </c>
      <c r="B310" s="35" t="n">
        <v>283.1925650825169</v>
      </c>
      <c r="C310" s="36" t="n">
        <v>3303.462549562756</v>
      </c>
      <c r="D310" s="35" t="n">
        <v>1547.340801233267</v>
      </c>
      <c r="E310" s="37" t="n">
        <v>0.7919712413039488</v>
      </c>
      <c r="F310" s="37" t="n">
        <v>0.6757913196705019</v>
      </c>
      <c r="G310" s="37" t="n">
        <v>0.5421141423028973</v>
      </c>
      <c r="H310" s="37" t="n">
        <v>0.5994735266047911</v>
      </c>
      <c r="I310" s="37" t="n">
        <v>0.5753098981511009</v>
      </c>
      <c r="J310" s="37" t="n">
        <v>0.4187518327695214</v>
      </c>
      <c r="K310" s="32" t="inlineStr">
        <is>
          <t>No convergió</t>
        </is>
      </c>
      <c r="L310" s="29" t="inlineStr">
        <is>
          <t>—</t>
        </is>
      </c>
      <c r="M310" s="35" t="inlineStr">
        <is>
          <t>—</t>
        </is>
      </c>
      <c r="N310" s="36" t="n">
        <v>1756.121748329489</v>
      </c>
      <c r="O310" s="29" t="n">
        <v>2.134928870827822</v>
      </c>
      <c r="P310" s="16" t="inlineStr">
        <is>
          <t>no</t>
        </is>
      </c>
      <c r="Q310" s="16" t="n"/>
    </row>
    <row r="311">
      <c r="A311" s="16" t="inlineStr">
        <is>
          <t>KF-M09-R0-T_fuente-0088</t>
        </is>
      </c>
      <c r="B311" s="35" t="n">
        <v>280.5408566920161</v>
      </c>
      <c r="C311" s="36" t="n">
        <v>4218.977684325973</v>
      </c>
      <c r="D311" s="35" t="n">
        <v>1721.07184235145</v>
      </c>
      <c r="E311" s="37" t="n">
        <v>0.688410075312745</v>
      </c>
      <c r="F311" s="37" t="n">
        <v>0.5564982564170502</v>
      </c>
      <c r="G311" s="37" t="n">
        <v>0.8090875873705838</v>
      </c>
      <c r="H311" s="37" t="n">
        <v>0.5213761749629919</v>
      </c>
      <c r="I311" s="37" t="n">
        <v>0.71845954168932</v>
      </c>
      <c r="J311" s="37" t="n">
        <v>0.4628242468824464</v>
      </c>
      <c r="K311" s="40" t="inlineStr">
        <is>
          <t>Inviable</t>
        </is>
      </c>
      <c r="L311" s="29" t="n">
        <v>-0.44593848347285</v>
      </c>
      <c r="M311" s="35" t="n">
        <v>-3.566523049955165</v>
      </c>
      <c r="N311" s="36" t="n">
        <v>2497.905841974524</v>
      </c>
      <c r="O311" s="29" t="n">
        <v>2.451366398837662</v>
      </c>
      <c r="P311" s="16" t="inlineStr">
        <is>
          <t>sí</t>
        </is>
      </c>
      <c r="Q311" s="16" t="inlineStr">
        <is>
          <t>O2,O3</t>
        </is>
      </c>
    </row>
    <row r="312">
      <c r="A312" s="16" t="inlineStr">
        <is>
          <t>KF-M09-R0-T_fuente-0089</t>
        </is>
      </c>
      <c r="B312" s="35" t="n">
        <v>297.0236211784525</v>
      </c>
      <c r="C312" s="36" t="n">
        <v>2701.630832627948</v>
      </c>
      <c r="D312" s="35" t="n">
        <v>1688.839436878042</v>
      </c>
      <c r="E312" s="37" t="n">
        <v>0.7232551819813612</v>
      </c>
      <c r="F312" s="37" t="n">
        <v>0.6400289616074785</v>
      </c>
      <c r="G312" s="37" t="n">
        <v>0.4725794624867983</v>
      </c>
      <c r="H312" s="37" t="n">
        <v>0.4167577510715159</v>
      </c>
      <c r="I312" s="37" t="n">
        <v>0.4612732644347293</v>
      </c>
      <c r="J312" s="37" t="n">
        <v>0.6268712502441208</v>
      </c>
      <c r="K312" s="39" t="inlineStr">
        <is>
          <t>Corregible</t>
        </is>
      </c>
      <c r="L312" s="29" t="n">
        <v>0.2821847595047</v>
      </c>
      <c r="M312" s="35" t="n">
        <v>2.254841750699548</v>
      </c>
      <c r="N312" s="36" t="n">
        <v>1012.791395749906</v>
      </c>
      <c r="O312" s="29" t="n">
        <v>1.599696675500505</v>
      </c>
      <c r="P312" s="16" t="inlineStr">
        <is>
          <t>no</t>
        </is>
      </c>
      <c r="Q312" s="16" t="inlineStr">
        <is>
          <t>O2</t>
        </is>
      </c>
    </row>
    <row r="313">
      <c r="A313" s="16" t="inlineStr">
        <is>
          <t>KF-M09-R0-T_fuente-0090</t>
        </is>
      </c>
      <c r="B313" s="35" t="n">
        <v>290.8687457477053</v>
      </c>
      <c r="C313" s="36" t="n">
        <v>4771.007239830573</v>
      </c>
      <c r="D313" s="35" t="n">
        <v>1323.993703260858</v>
      </c>
      <c r="E313" s="37" t="n">
        <v>0.5774542719028098</v>
      </c>
      <c r="F313" s="37" t="n">
        <v>0.6568518201656446</v>
      </c>
      <c r="G313" s="37" t="n">
        <v>0.4419190139429327</v>
      </c>
      <c r="H313" s="37" t="n">
        <v>0.4622885694552388</v>
      </c>
      <c r="I313" s="37" t="n">
        <v>0.9382370969608936</v>
      </c>
      <c r="J313" s="37" t="n">
        <v>0.5101768328729852</v>
      </c>
      <c r="K313" s="40" t="inlineStr">
        <is>
          <t>Inviable</t>
        </is>
      </c>
      <c r="L313" s="29" t="n">
        <v>-4.57013846851362</v>
      </c>
      <c r="M313" s="35" t="n">
        <v>-35.4813172506844</v>
      </c>
      <c r="N313" s="36" t="n">
        <v>3447.013536569715</v>
      </c>
      <c r="O313" s="29" t="n">
        <v>3.603496926065496</v>
      </c>
      <c r="P313" s="16" t="inlineStr">
        <is>
          <t>sí</t>
        </is>
      </c>
      <c r="Q313" s="16" t="inlineStr">
        <is>
          <t>O2,O3</t>
        </is>
      </c>
    </row>
    <row r="314">
      <c r="A314" s="16" t="inlineStr">
        <is>
          <t>KF-M09-R0-T_fuente-0091</t>
        </is>
      </c>
      <c r="B314" s="35" t="n">
        <v>292.5316375401303</v>
      </c>
      <c r="C314" s="36" t="n">
        <v>3030.438489078445</v>
      </c>
      <c r="D314" s="35" t="n">
        <v>1749.006160823474</v>
      </c>
      <c r="E314" s="37" t="n">
        <v>0.8010918158610952</v>
      </c>
      <c r="F314" s="37" t="n">
        <v>0.4361619145826345</v>
      </c>
      <c r="G314" s="37" t="n">
        <v>0.5073128173966395</v>
      </c>
      <c r="H314" s="37" t="n">
        <v>0.7840425448114228</v>
      </c>
      <c r="I314" s="37" t="n">
        <v>0.8490897905823109</v>
      </c>
      <c r="J314" s="37" t="n">
        <v>0.5576369290628981</v>
      </c>
      <c r="K314" s="32" t="inlineStr">
        <is>
          <t>No convergió</t>
        </is>
      </c>
      <c r="L314" s="29" t="inlineStr">
        <is>
          <t>—</t>
        </is>
      </c>
      <c r="M314" s="35" t="inlineStr">
        <is>
          <t>—</t>
        </is>
      </c>
      <c r="N314" s="36" t="n">
        <v>1281.432328254971</v>
      </c>
      <c r="O314" s="29" t="n">
        <v>1.732663130043889</v>
      </c>
      <c r="P314" s="16" t="inlineStr">
        <is>
          <t>no</t>
        </is>
      </c>
      <c r="Q314" s="16" t="n"/>
    </row>
    <row r="315">
      <c r="A315" s="16" t="inlineStr">
        <is>
          <t>KF-M09-R0-T_fuente-0092</t>
        </is>
      </c>
      <c r="B315" s="35" t="n">
        <v>302.8741859165165</v>
      </c>
      <c r="C315" s="36" t="n">
        <v>2649.62471045098</v>
      </c>
      <c r="D315" s="35" t="n">
        <v>1638.196712351293</v>
      </c>
      <c r="E315" s="37" t="n">
        <v>0.5192832416822388</v>
      </c>
      <c r="F315" s="37" t="n">
        <v>0.4573815140759153</v>
      </c>
      <c r="G315" s="37" t="n">
        <v>0.5819266809145424</v>
      </c>
      <c r="H315" s="37" t="n">
        <v>0.6190938890153965</v>
      </c>
      <c r="I315" s="37" t="n">
        <v>0.5478658276297727</v>
      </c>
      <c r="J315" s="37" t="n">
        <v>0.4152661236918919</v>
      </c>
      <c r="K315" s="40" t="inlineStr">
        <is>
          <t>Inviable</t>
        </is>
      </c>
      <c r="L315" s="29" t="n">
        <v>-4.64777913870808</v>
      </c>
      <c r="M315" s="35" t="n">
        <v>-39.51419261247218</v>
      </c>
      <c r="N315" s="36" t="n">
        <v>1011.427998099687</v>
      </c>
      <c r="O315" s="29" t="n">
        <v>1.617403264500507</v>
      </c>
      <c r="P315" s="16" t="inlineStr">
        <is>
          <t>sí</t>
        </is>
      </c>
      <c r="Q315" s="16" t="inlineStr">
        <is>
          <t>O2,O3</t>
        </is>
      </c>
    </row>
    <row r="316">
      <c r="A316" s="16" t="inlineStr">
        <is>
          <t>KF-M09-R0-T_fuente-0093</t>
        </is>
      </c>
      <c r="B316" s="35" t="n">
        <v>301.2407405396475</v>
      </c>
      <c r="C316" s="36" t="n">
        <v>4364.983211788286</v>
      </c>
      <c r="D316" s="35" t="n">
        <v>310.7610038109258</v>
      </c>
      <c r="E316" s="37" t="n">
        <v>0.8266231293331089</v>
      </c>
      <c r="F316" s="37" t="n">
        <v>0.7412721387133079</v>
      </c>
      <c r="G316" s="37" t="n">
        <v>0.8379369279301631</v>
      </c>
      <c r="H316" s="37" t="n">
        <v>0.8751716232416038</v>
      </c>
      <c r="I316" s="37" t="n">
        <v>0.8855265781945584</v>
      </c>
      <c r="J316" s="37" t="n">
        <v>0.4557775499347909</v>
      </c>
      <c r="K316" s="32" t="inlineStr">
        <is>
          <t>No convergió</t>
        </is>
      </c>
      <c r="L316" s="29" t="inlineStr">
        <is>
          <t>—</t>
        </is>
      </c>
      <c r="M316" s="35" t="inlineStr">
        <is>
          <t>—</t>
        </is>
      </c>
      <c r="N316" s="36" t="n">
        <v>4054.22220797736</v>
      </c>
      <c r="O316" s="29" t="n">
        <v>14.04610989879555</v>
      </c>
      <c r="P316" s="16" t="inlineStr">
        <is>
          <t>no</t>
        </is>
      </c>
      <c r="Q316" s="16" t="n"/>
    </row>
    <row r="317">
      <c r="A317" s="16" t="inlineStr">
        <is>
          <t>KF-M09-R0-T_fuente-0094</t>
        </is>
      </c>
      <c r="B317" s="35" t="n">
        <v>291.930991295124</v>
      </c>
      <c r="C317" s="36" t="n">
        <v>2771.459942454632</v>
      </c>
      <c r="D317" s="35" t="n">
        <v>1846.417232010296</v>
      </c>
      <c r="E317" s="37" t="n">
        <v>0.8176745651890991</v>
      </c>
      <c r="F317" s="37" t="n">
        <v>0.7747382303955705</v>
      </c>
      <c r="G317" s="37" t="n">
        <v>0.6316344273998077</v>
      </c>
      <c r="H317" s="37" t="n">
        <v>0.9166877011942712</v>
      </c>
      <c r="I317" s="37" t="n">
        <v>0.8803377782292201</v>
      </c>
      <c r="J317" s="37" t="n">
        <v>0.4240674706224195</v>
      </c>
      <c r="K317" s="32" t="inlineStr">
        <is>
          <t>No convergió</t>
        </is>
      </c>
      <c r="L317" s="29" t="inlineStr">
        <is>
          <t>—</t>
        </is>
      </c>
      <c r="M317" s="35" t="inlineStr">
        <is>
          <t>—</t>
        </is>
      </c>
      <c r="N317" s="36" t="n">
        <v>925.042710444336</v>
      </c>
      <c r="O317" s="29" t="n">
        <v>1.500993326106035</v>
      </c>
      <c r="P317" s="16" t="inlineStr">
        <is>
          <t>no</t>
        </is>
      </c>
      <c r="Q317" s="16" t="n"/>
    </row>
    <row r="318">
      <c r="A318" s="16" t="inlineStr">
        <is>
          <t>KF-M09-R0-T_fuente-0095</t>
        </is>
      </c>
      <c r="B318" s="35" t="n">
        <v>287.4501929995748</v>
      </c>
      <c r="C318" s="36" t="n">
        <v>2308.085894579523</v>
      </c>
      <c r="D318" s="35" t="n">
        <v>1935.692557992732</v>
      </c>
      <c r="E318" s="37" t="n">
        <v>0.5352797601568945</v>
      </c>
      <c r="F318" s="37" t="n">
        <v>0.452079439821191</v>
      </c>
      <c r="G318" s="37" t="n">
        <v>0.6696298904480331</v>
      </c>
      <c r="H318" s="37" t="n">
        <v>0.5718346007636531</v>
      </c>
      <c r="I318" s="37" t="n">
        <v>0.8344958241561286</v>
      </c>
      <c r="J318" s="37" t="n">
        <v>0.5062084139531672</v>
      </c>
      <c r="K318" s="40" t="inlineStr">
        <is>
          <t>Inviable</t>
        </is>
      </c>
      <c r="L318" s="29" t="n">
        <v>-0.37658253431477</v>
      </c>
      <c r="M318" s="35" t="n">
        <v>-3.758652491677936</v>
      </c>
      <c r="N318" s="36" t="n">
        <v>372.3933365867911</v>
      </c>
      <c r="O318" s="29" t="n">
        <v>1.192382480910581</v>
      </c>
      <c r="P318" s="16" t="inlineStr">
        <is>
          <t>sí</t>
        </is>
      </c>
      <c r="Q318" s="16" t="inlineStr">
        <is>
          <t>O2,O3</t>
        </is>
      </c>
    </row>
    <row r="319">
      <c r="A319" s="16" t="inlineStr">
        <is>
          <t>KF-M09-R0-T_fuente-0096</t>
        </is>
      </c>
      <c r="B319" s="35" t="n">
        <v>296.9247784517756</v>
      </c>
      <c r="C319" s="36" t="n">
        <v>3788.940717216946</v>
      </c>
      <c r="D319" s="35" t="n">
        <v>965.4574239798276</v>
      </c>
      <c r="E319" s="37" t="n">
        <v>0.5444081776042038</v>
      </c>
      <c r="F319" s="37" t="n">
        <v>0.7245068437565136</v>
      </c>
      <c r="G319" s="37" t="n">
        <v>0.9498902193027984</v>
      </c>
      <c r="H319" s="37" t="n">
        <v>0.4931733932823575</v>
      </c>
      <c r="I319" s="37" t="n">
        <v>0.6519775838001804</v>
      </c>
      <c r="J319" s="37" t="n">
        <v>0.9028513710885208</v>
      </c>
      <c r="K319" s="42" t="inlineStr">
        <is>
          <t>KALINA</t>
        </is>
      </c>
      <c r="L319" s="29" t="n">
        <v>8.111642374092281</v>
      </c>
      <c r="M319" s="35" t="n">
        <v>95.97152800750138</v>
      </c>
      <c r="N319" s="36" t="n">
        <v>2823.483293237118</v>
      </c>
      <c r="O319" s="29" t="n">
        <v>3.924503166175987</v>
      </c>
      <c r="P319" s="16" t="inlineStr">
        <is>
          <t>sí</t>
        </is>
      </c>
      <c r="Q319" s="16" t="n"/>
    </row>
    <row r="320">
      <c r="A320" s="16" t="inlineStr">
        <is>
          <t>KF-M09-R0-T_fuente-0097</t>
        </is>
      </c>
      <c r="B320" s="35" t="n">
        <v>282.9596629034883</v>
      </c>
      <c r="C320" s="36" t="n">
        <v>2926.779928024977</v>
      </c>
      <c r="D320" s="35" t="n">
        <v>1536.351482015166</v>
      </c>
      <c r="E320" s="37" t="n">
        <v>0.7366638572486636</v>
      </c>
      <c r="F320" s="37" t="n">
        <v>0.7802772336573368</v>
      </c>
      <c r="G320" s="37" t="n">
        <v>0.6224289733268602</v>
      </c>
      <c r="H320" s="37" t="n">
        <v>0.7525473429359429</v>
      </c>
      <c r="I320" s="37" t="n">
        <v>0.7792352150300363</v>
      </c>
      <c r="J320" s="37" t="n">
        <v>0.8863992838492134</v>
      </c>
      <c r="K320" s="39" t="inlineStr">
        <is>
          <t>Corregible</t>
        </is>
      </c>
      <c r="L320" s="29" t="n">
        <v>4.956200055083429</v>
      </c>
      <c r="M320" s="35" t="n">
        <v>84.96381285239724</v>
      </c>
      <c r="N320" s="36" t="n">
        <v>1390.428446009811</v>
      </c>
      <c r="O320" s="29" t="n">
        <v>1.905019757709378</v>
      </c>
      <c r="P320" s="16" t="inlineStr">
        <is>
          <t>sí</t>
        </is>
      </c>
      <c r="Q320" s="16" t="inlineStr">
        <is>
          <t>O2</t>
        </is>
      </c>
    </row>
    <row r="321">
      <c r="A321" s="16" t="inlineStr">
        <is>
          <t>KF-M09-R0-T_fuente-0098</t>
        </is>
      </c>
      <c r="B321" s="35" t="n">
        <v>288.4890689612205</v>
      </c>
      <c r="C321" s="36" t="n">
        <v>3093.549445566448</v>
      </c>
      <c r="D321" s="35" t="n">
        <v>1764.545055331969</v>
      </c>
      <c r="E321" s="37" t="n">
        <v>0.7960045780393018</v>
      </c>
      <c r="F321" s="37" t="n">
        <v>0.5056715300898147</v>
      </c>
      <c r="G321" s="37" t="n">
        <v>0.5770624768232668</v>
      </c>
      <c r="H321" s="37" t="n">
        <v>0.5438897674439686</v>
      </c>
      <c r="I321" s="37" t="n">
        <v>0.8584183491725397</v>
      </c>
      <c r="J321" s="37" t="n">
        <v>0.8201587962347465</v>
      </c>
      <c r="K321" s="39" t="inlineStr">
        <is>
          <t>Corregible</t>
        </is>
      </c>
      <c r="L321" s="29" t="n">
        <v>2.95814228955137</v>
      </c>
      <c r="M321" s="35" t="n">
        <v>33.3629430018655</v>
      </c>
      <c r="N321" s="36" t="n">
        <v>1329.00439023448</v>
      </c>
      <c r="O321" s="29" t="n">
        <v>1.753171128285217</v>
      </c>
      <c r="P321" s="16" t="inlineStr">
        <is>
          <t>no</t>
        </is>
      </c>
      <c r="Q321" s="16" t="inlineStr">
        <is>
          <t>O2</t>
        </is>
      </c>
    </row>
    <row r="322">
      <c r="A322" s="16" t="inlineStr">
        <is>
          <t>KF-M09-R0-T_fuente-0099</t>
        </is>
      </c>
      <c r="B322" s="35" t="n">
        <v>293.8851075971544</v>
      </c>
      <c r="C322" s="36" t="n">
        <v>4626.755913366793</v>
      </c>
      <c r="D322" s="35" t="n">
        <v>607.3993534189208</v>
      </c>
      <c r="E322" s="37" t="n">
        <v>0.705997884356564</v>
      </c>
      <c r="F322" s="37" t="n">
        <v>0.4279108968995906</v>
      </c>
      <c r="G322" s="37" t="n">
        <v>0.6777781083470875</v>
      </c>
      <c r="H322" s="37" t="n">
        <v>0.7053651711278284</v>
      </c>
      <c r="I322" s="37" t="n">
        <v>0.5312323604832704</v>
      </c>
      <c r="J322" s="37" t="n">
        <v>0.8674452898848017</v>
      </c>
      <c r="K322" s="39" t="inlineStr">
        <is>
          <t>Corregible</t>
        </is>
      </c>
      <c r="L322" s="29" t="n">
        <v>6.51077204459493</v>
      </c>
      <c r="M322" s="35" t="n">
        <v>100.882420017722</v>
      </c>
      <c r="N322" s="36" t="n">
        <v>4019.356559947872</v>
      </c>
      <c r="O322" s="29" t="n">
        <v>7.617321104021227</v>
      </c>
      <c r="P322" s="16" t="inlineStr">
        <is>
          <t>sí</t>
        </is>
      </c>
      <c r="Q322" s="16" t="inlineStr">
        <is>
          <t>O2</t>
        </is>
      </c>
    </row>
    <row r="324">
      <c r="A324" s="33" t="inlineStr">
        <is>
          <t>Parte 4.3 T_sumidero · ronda 0 · 99 puntos</t>
        </is>
      </c>
      <c r="B324" s="31" t="n"/>
      <c r="C324" s="31" t="n"/>
      <c r="D324" s="31" t="n"/>
      <c r="E324" s="31" t="n"/>
      <c r="F324" s="31" t="n"/>
      <c r="G324" s="31" t="n"/>
      <c r="H324" s="31" t="n"/>
      <c r="I324" s="31" t="n"/>
      <c r="J324" s="31" t="n"/>
      <c r="K324" s="31" t="n"/>
    </row>
    <row r="326">
      <c r="A326" s="34" t="inlineStr">
        <is>
          <t>Barrido de la parte 4.3 T_sumidero · 99 puntos</t>
        </is>
      </c>
    </row>
    <row r="327">
      <c r="A327" s="25" t="inlineStr">
        <is>
          <t>Fijos en este barrido: T_sumidero = 300.03.</t>
        </is>
      </c>
    </row>
    <row r="328">
      <c r="A328" s="22" t="inlineStr">
        <is>
          <t>id_punto</t>
        </is>
      </c>
      <c r="B328" s="22" t="inlineStr">
        <is>
          <t>T_fuente [K]</t>
        </is>
      </c>
      <c r="C328" s="22" t="inlineStr">
        <is>
          <t>P_alta [kPa]</t>
        </is>
      </c>
      <c r="D328" s="22" t="inlineStr">
        <is>
          <t>P_baja [kPa]</t>
        </is>
      </c>
      <c r="E328" s="22" t="inlineStr">
        <is>
          <t>x_b [–]</t>
        </is>
      </c>
      <c r="F328" s="22" t="inlineStr">
        <is>
          <t>η_t [–]</t>
        </is>
      </c>
      <c r="G328" s="22" t="inlineStr">
        <is>
          <t>η_p [–]</t>
        </is>
      </c>
      <c r="H328" s="22" t="inlineStr">
        <is>
          <t>ε_HRVG [–]</t>
        </is>
      </c>
      <c r="I328" s="22" t="inlineStr">
        <is>
          <t>ε_reg [–]</t>
        </is>
      </c>
      <c r="J328" s="22" t="inlineStr">
        <is>
          <t>ε_cond [–]</t>
        </is>
      </c>
      <c r="K328" s="22" t="inlineStr">
        <is>
          <t>Clase</t>
        </is>
      </c>
      <c r="L328" s="22" t="inlineStr">
        <is>
          <t>η [%]</t>
        </is>
      </c>
      <c r="M328" s="22" t="inlineStr">
        <is>
          <t>W_net [kW] (m_b = 1 kg/s)</t>
        </is>
      </c>
      <c r="N328" s="22" t="inlineStr">
        <is>
          <t>ΔP [kPa]</t>
        </is>
      </c>
      <c r="O328" s="22" t="inlineStr">
        <is>
          <t>r_P [–]</t>
        </is>
      </c>
      <c r="P328" s="22" t="inlineStr">
        <is>
          <t>Fuera de rango</t>
        </is>
      </c>
      <c r="Q328" s="22" t="inlineStr">
        <is>
          <t>Criterios que falla</t>
        </is>
      </c>
    </row>
    <row r="329">
      <c r="A329" s="16" t="inlineStr">
        <is>
          <t>KF-M09-R0-T_sumidero-0000</t>
        </is>
      </c>
      <c r="B329" s="35" t="n">
        <v>498.4966401652067</v>
      </c>
      <c r="C329" s="36" t="n">
        <v>3636.158732739473</v>
      </c>
      <c r="D329" s="35" t="n">
        <v>1770.449039388726</v>
      </c>
      <c r="E329" s="37" t="n">
        <v>0.7836503594319724</v>
      </c>
      <c r="F329" s="37" t="n">
        <v>0.8914701727789931</v>
      </c>
      <c r="G329" s="37" t="n">
        <v>0.4877063350776823</v>
      </c>
      <c r="H329" s="37" t="n">
        <v>0.7384946637545926</v>
      </c>
      <c r="I329" s="37" t="n">
        <v>0.7380201448124946</v>
      </c>
      <c r="J329" s="37" t="n">
        <v>0.6471723585817484</v>
      </c>
      <c r="K329" s="32" t="inlineStr">
        <is>
          <t>No convergió</t>
        </is>
      </c>
      <c r="L329" s="29" t="inlineStr">
        <is>
          <t>—</t>
        </is>
      </c>
      <c r="M329" s="35" t="inlineStr">
        <is>
          <t>—</t>
        </is>
      </c>
      <c r="N329" s="36" t="n">
        <v>1865.709693350747</v>
      </c>
      <c r="O329" s="29" t="n">
        <v>2.053805928237794</v>
      </c>
      <c r="P329" s="16" t="inlineStr">
        <is>
          <t>no</t>
        </is>
      </c>
      <c r="Q329" s="16" t="n"/>
    </row>
    <row r="330">
      <c r="A330" s="16" t="inlineStr">
        <is>
          <t>KF-M09-R0-T_sumidero-0001</t>
        </is>
      </c>
      <c r="B330" s="35" t="n">
        <v>446.5453795592554</v>
      </c>
      <c r="C330" s="36" t="n">
        <v>2444.550005002938</v>
      </c>
      <c r="D330" s="35" t="n">
        <v>993.9572066768744</v>
      </c>
      <c r="E330" s="37" t="n">
        <v>0.595133890460797</v>
      </c>
      <c r="F330" s="37" t="n">
        <v>0.8064619621317284</v>
      </c>
      <c r="G330" s="37" t="n">
        <v>0.4240293193654755</v>
      </c>
      <c r="H330" s="37" t="n">
        <v>0.8571996198393284</v>
      </c>
      <c r="I330" s="37" t="n">
        <v>0.6182051327507377</v>
      </c>
      <c r="J330" s="37" t="n">
        <v>0.4472779047749205</v>
      </c>
      <c r="K330" s="40" t="inlineStr">
        <is>
          <t>Inviable</t>
        </is>
      </c>
      <c r="L330" s="29" t="n">
        <v>-7.89087512637054</v>
      </c>
      <c r="M330" s="35" t="n">
        <v>-54.26453733553848</v>
      </c>
      <c r="N330" s="36" t="n">
        <v>1450.592798326064</v>
      </c>
      <c r="O330" s="29" t="n">
        <v>2.459411721733848</v>
      </c>
      <c r="P330" s="16" t="inlineStr">
        <is>
          <t>sí</t>
        </is>
      </c>
      <c r="Q330" s="16" t="inlineStr">
        <is>
          <t>O2,O3</t>
        </is>
      </c>
    </row>
    <row r="331">
      <c r="A331" s="16" t="inlineStr">
        <is>
          <t>KF-M09-R0-T_sumidero-0002</t>
        </is>
      </c>
      <c r="B331" s="35" t="n">
        <v>450.8971402215312</v>
      </c>
      <c r="C331" s="36" t="n">
        <v>4122.944577582486</v>
      </c>
      <c r="D331" s="35" t="n">
        <v>1291.406312803748</v>
      </c>
      <c r="E331" s="37" t="n">
        <v>0.8286164671489755</v>
      </c>
      <c r="F331" s="37" t="n">
        <v>0.5332527515733577</v>
      </c>
      <c r="G331" s="37" t="n">
        <v>0.5353892687090499</v>
      </c>
      <c r="H331" s="37" t="n">
        <v>0.4150043109700116</v>
      </c>
      <c r="I331" s="37" t="n">
        <v>0.4875524928906431</v>
      </c>
      <c r="J331" s="37" t="n">
        <v>0.6910014321923071</v>
      </c>
      <c r="K331" s="39" t="inlineStr">
        <is>
          <t>Corregible</t>
        </is>
      </c>
      <c r="L331" s="29" t="n">
        <v>2.67043673520068</v>
      </c>
      <c r="M331" s="35" t="n">
        <v>16.15064917543383</v>
      </c>
      <c r="N331" s="36" t="n">
        <v>2831.538264778738</v>
      </c>
      <c r="O331" s="29" t="n">
        <v>3.19260060656761</v>
      </c>
      <c r="P331" s="16" t="inlineStr">
        <is>
          <t>no</t>
        </is>
      </c>
      <c r="Q331" s="16" t="inlineStr">
        <is>
          <t>O2</t>
        </is>
      </c>
    </row>
    <row r="332">
      <c r="A332" s="16" t="inlineStr">
        <is>
          <t>KF-M09-R0-T_sumidero-0003</t>
        </is>
      </c>
      <c r="B332" s="35" t="n">
        <v>415.4339111403488</v>
      </c>
      <c r="C332" s="36" t="n">
        <v>4852.082411524938</v>
      </c>
      <c r="D332" s="35" t="n">
        <v>1140.108412976797</v>
      </c>
      <c r="E332" s="37" t="n">
        <v>0.5749074985255835</v>
      </c>
      <c r="F332" s="37" t="n">
        <v>0.4799660524807098</v>
      </c>
      <c r="G332" s="37" t="n">
        <v>0.8109448851321647</v>
      </c>
      <c r="H332" s="37" t="n">
        <v>0.8175820939787068</v>
      </c>
      <c r="I332" s="37" t="n">
        <v>0.8010685842643128</v>
      </c>
      <c r="J332" s="37" t="n">
        <v>0.7492184939336</v>
      </c>
      <c r="K332" s="42" t="inlineStr">
        <is>
          <t>KALINA</t>
        </is>
      </c>
      <c r="L332" s="29" t="n">
        <v>3.18603751925599</v>
      </c>
      <c r="M332" s="35" t="n">
        <v>9.119637878471249</v>
      </c>
      <c r="N332" s="36" t="n">
        <v>3711.973998548141</v>
      </c>
      <c r="O332" s="29" t="n">
        <v>4.255807918175308</v>
      </c>
      <c r="P332" s="16" t="inlineStr">
        <is>
          <t>no</t>
        </is>
      </c>
      <c r="Q332" s="16" t="n"/>
    </row>
    <row r="333">
      <c r="A333" s="16" t="inlineStr">
        <is>
          <t>KF-M09-R0-T_sumidero-0004</t>
        </is>
      </c>
      <c r="B333" s="35" t="n">
        <v>491.017799240875</v>
      </c>
      <c r="C333" s="36" t="n">
        <v>3440.476736531368</v>
      </c>
      <c r="D333" s="35" t="n">
        <v>1623.679582653203</v>
      </c>
      <c r="E333" s="37" t="n">
        <v>0.6441832361183268</v>
      </c>
      <c r="F333" s="37" t="n">
        <v>0.9373091412619068</v>
      </c>
      <c r="G333" s="37" t="n">
        <v>0.793304075194345</v>
      </c>
      <c r="H333" s="37" t="n">
        <v>0.8549238781833992</v>
      </c>
      <c r="I333" s="37" t="n">
        <v>0.4299920894875663</v>
      </c>
      <c r="J333" s="37" t="n">
        <v>0.6062459809526621</v>
      </c>
      <c r="K333" s="39" t="inlineStr">
        <is>
          <t>Corregible</t>
        </is>
      </c>
      <c r="L333" s="29" t="n">
        <v>5.70201121289253</v>
      </c>
      <c r="M333" s="35" t="n">
        <v>68.30515713030846</v>
      </c>
      <c r="N333" s="36" t="n">
        <v>1816.797153878165</v>
      </c>
      <c r="O333" s="29" t="n">
        <v>2.118938227275972</v>
      </c>
      <c r="P333" s="16" t="inlineStr">
        <is>
          <t>sí</t>
        </is>
      </c>
      <c r="Q333" s="16" t="inlineStr">
        <is>
          <t>O2</t>
        </is>
      </c>
    </row>
    <row r="334">
      <c r="A334" s="16" t="inlineStr">
        <is>
          <t>KF-M09-R0-T_sumidero-0005</t>
        </is>
      </c>
      <c r="B334" s="35" t="n">
        <v>424.1067684793671</v>
      </c>
      <c r="C334" s="36" t="n">
        <v>3031.929216630214</v>
      </c>
      <c r="D334" s="35" t="n">
        <v>1364.643778895836</v>
      </c>
      <c r="E334" s="37" t="n">
        <v>0.5131222726701941</v>
      </c>
      <c r="F334" s="37" t="n">
        <v>0.6911873105187439</v>
      </c>
      <c r="G334" s="37" t="n">
        <v>0.4002281343324572</v>
      </c>
      <c r="H334" s="37" t="n">
        <v>0.9225865681310224</v>
      </c>
      <c r="I334" s="37" t="n">
        <v>0.8772048521265148</v>
      </c>
      <c r="J334" s="37" t="n">
        <v>0.9300595703807918</v>
      </c>
      <c r="K334" s="42" t="inlineStr">
        <is>
          <t>KALINA</t>
        </is>
      </c>
      <c r="L334" s="29" t="n">
        <v>4.13284137447851</v>
      </c>
      <c r="M334" s="35" t="n">
        <v>25.74826702235501</v>
      </c>
      <c r="N334" s="36" t="n">
        <v>1667.285437734378</v>
      </c>
      <c r="O334" s="29" t="n">
        <v>2.221773376700121</v>
      </c>
      <c r="P334" s="16" t="inlineStr">
        <is>
          <t>sí</t>
        </is>
      </c>
      <c r="Q334" s="16" t="n"/>
    </row>
    <row r="335">
      <c r="A335" s="16" t="inlineStr">
        <is>
          <t>KF-M09-R0-T_sumidero-0006</t>
        </is>
      </c>
      <c r="B335" s="35" t="n">
        <v>418.4142941828251</v>
      </c>
      <c r="C335" s="36" t="n">
        <v>4819.237671002307</v>
      </c>
      <c r="D335" s="35" t="n">
        <v>1285.732391221921</v>
      </c>
      <c r="E335" s="37" t="n">
        <v>0.6940470738432265</v>
      </c>
      <c r="F335" s="37" t="n">
        <v>0.8180569585039887</v>
      </c>
      <c r="G335" s="37" t="n">
        <v>0.5377968797720447</v>
      </c>
      <c r="H335" s="37" t="n">
        <v>0.7783528076694433</v>
      </c>
      <c r="I335" s="37" t="n">
        <v>0.4356175774167352</v>
      </c>
      <c r="J335" s="37" t="n">
        <v>0.8991583633680753</v>
      </c>
      <c r="K335" s="42" t="inlineStr">
        <is>
          <t>KALINA</t>
        </is>
      </c>
      <c r="L335" s="29" t="n">
        <v>7.36580553653169</v>
      </c>
      <c r="M335" s="35" t="n">
        <v>48.6123246804562</v>
      </c>
      <c r="N335" s="36" t="n">
        <v>3533.505279780386</v>
      </c>
      <c r="O335" s="29" t="n">
        <v>3.748243183344124</v>
      </c>
      <c r="P335" s="16" t="inlineStr">
        <is>
          <t>no</t>
        </is>
      </c>
      <c r="Q335" s="16" t="n"/>
    </row>
    <row r="336">
      <c r="A336" s="16" t="inlineStr">
        <is>
          <t>KF-M09-R0-T_sumidero-0007</t>
        </is>
      </c>
      <c r="B336" s="35" t="n">
        <v>430.9562950430061</v>
      </c>
      <c r="C336" s="36" t="n">
        <v>3235.728764195993</v>
      </c>
      <c r="D336" s="35" t="n">
        <v>607.1460675815364</v>
      </c>
      <c r="E336" s="37" t="n">
        <v>0.5658203451079268</v>
      </c>
      <c r="F336" s="37" t="n">
        <v>0.8760243993310066</v>
      </c>
      <c r="G336" s="37" t="n">
        <v>0.5257033408996902</v>
      </c>
      <c r="H336" s="37" t="n">
        <v>0.7284597026197749</v>
      </c>
      <c r="I336" s="37" t="n">
        <v>0.8796263501611716</v>
      </c>
      <c r="J336" s="37" t="n">
        <v>0.5482480100491371</v>
      </c>
      <c r="K336" s="39" t="inlineStr">
        <is>
          <t>Corregible</t>
        </is>
      </c>
      <c r="L336" s="29" t="n">
        <v>5.08657330342372</v>
      </c>
      <c r="M336" s="35" t="n">
        <v>24.74417327174189</v>
      </c>
      <c r="N336" s="36" t="n">
        <v>2628.582696614456</v>
      </c>
      <c r="O336" s="29" t="n">
        <v>5.329407430875689</v>
      </c>
      <c r="P336" s="16" t="inlineStr">
        <is>
          <t>no</t>
        </is>
      </c>
      <c r="Q336" s="16" t="inlineStr">
        <is>
          <t>O2</t>
        </is>
      </c>
    </row>
    <row r="337">
      <c r="A337" s="16" t="inlineStr">
        <is>
          <t>KF-M09-R0-T_sumidero-0008</t>
        </is>
      </c>
      <c r="B337" s="35" t="n">
        <v>460.0082981068089</v>
      </c>
      <c r="C337" s="36" t="n">
        <v>3674.153241560003</v>
      </c>
      <c r="D337" s="35" t="n">
        <v>1184.192901782665</v>
      </c>
      <c r="E337" s="37" t="n">
        <v>0.6283217460570073</v>
      </c>
      <c r="F337" s="37" t="n">
        <v>0.645888715954378</v>
      </c>
      <c r="G337" s="37" t="n">
        <v>0.8806586683575839</v>
      </c>
      <c r="H337" s="37" t="n">
        <v>0.7146825245071902</v>
      </c>
      <c r="I337" s="37" t="n">
        <v>0.7200112318877727</v>
      </c>
      <c r="J337" s="37" t="n">
        <v>0.7591591324396376</v>
      </c>
      <c r="K337" s="39" t="inlineStr">
        <is>
          <t>Corregible</t>
        </is>
      </c>
      <c r="L337" s="29" t="n">
        <v>6.52998978409559</v>
      </c>
      <c r="M337" s="35" t="n">
        <v>67.87389128387755</v>
      </c>
      <c r="N337" s="36" t="n">
        <v>2489.960339777338</v>
      </c>
      <c r="O337" s="29" t="n">
        <v>3.102664469639188</v>
      </c>
      <c r="P337" s="16" t="inlineStr">
        <is>
          <t>sí</t>
        </is>
      </c>
      <c r="Q337" s="16" t="inlineStr">
        <is>
          <t>O2</t>
        </is>
      </c>
    </row>
    <row r="338">
      <c r="A338" s="16" t="inlineStr">
        <is>
          <t>KF-M09-R0-T_sumidero-0009</t>
        </is>
      </c>
      <c r="B338" s="35" t="n">
        <v>489.8736083579299</v>
      </c>
      <c r="C338" s="36" t="n">
        <v>2713.441148043448</v>
      </c>
      <c r="D338" s="35" t="n">
        <v>1579.784048217501</v>
      </c>
      <c r="E338" s="37" t="n">
        <v>0.7752205469740013</v>
      </c>
      <c r="F338" s="37" t="n">
        <v>0.6322563835438817</v>
      </c>
      <c r="G338" s="37" t="n">
        <v>0.8619417876716041</v>
      </c>
      <c r="H338" s="37" t="n">
        <v>0.6021167240258112</v>
      </c>
      <c r="I338" s="37" t="n">
        <v>0.8888573828108079</v>
      </c>
      <c r="J338" s="37" t="n">
        <v>0.4365153654834508</v>
      </c>
      <c r="K338" s="39" t="inlineStr">
        <is>
          <t>Corregible</t>
        </is>
      </c>
      <c r="L338" s="29" t="n">
        <v>0.01122944495906</v>
      </c>
      <c r="M338" s="35" t="n">
        <v>0.073531479200561</v>
      </c>
      <c r="N338" s="36" t="n">
        <v>1133.657099825947</v>
      </c>
      <c r="O338" s="29" t="n">
        <v>1.717602574291767</v>
      </c>
      <c r="P338" s="16" t="inlineStr">
        <is>
          <t>sí</t>
        </is>
      </c>
      <c r="Q338" s="16" t="inlineStr">
        <is>
          <t>O2</t>
        </is>
      </c>
    </row>
    <row r="339">
      <c r="A339" s="16" t="inlineStr">
        <is>
          <t>KF-M09-R0-T_sumidero-0010</t>
        </is>
      </c>
      <c r="B339" s="35" t="n">
        <v>432.6002388328473</v>
      </c>
      <c r="C339" s="36" t="n">
        <v>4884.784844622301</v>
      </c>
      <c r="D339" s="35" t="n">
        <v>363.7250798058286</v>
      </c>
      <c r="E339" s="37" t="n">
        <v>0.5404900154788931</v>
      </c>
      <c r="F339" s="37" t="n">
        <v>0.4054753973501306</v>
      </c>
      <c r="G339" s="37" t="n">
        <v>0.4763032145448135</v>
      </c>
      <c r="H339" s="37" t="n">
        <v>0.5562337861251234</v>
      </c>
      <c r="I339" s="37" t="n">
        <v>0.726910635722062</v>
      </c>
      <c r="J339" s="37" t="n">
        <v>0.8695507550508397</v>
      </c>
      <c r="K339" s="40" t="inlineStr">
        <is>
          <t>Inviable</t>
        </is>
      </c>
      <c r="L339" s="29" t="n">
        <v>-2.26647828238322</v>
      </c>
      <c r="M339" s="35" t="n">
        <v>-6.472475827787505</v>
      </c>
      <c r="N339" s="36" t="n">
        <v>4521.059764816472</v>
      </c>
      <c r="O339" s="29" t="n">
        <v>13.4298818416096</v>
      </c>
      <c r="P339" s="16" t="inlineStr">
        <is>
          <t>no</t>
        </is>
      </c>
      <c r="Q339" s="16" t="inlineStr">
        <is>
          <t>O2,O3</t>
        </is>
      </c>
    </row>
    <row r="340">
      <c r="A340" s="16" t="inlineStr">
        <is>
          <t>KF-M09-R0-T_sumidero-0011</t>
        </is>
      </c>
      <c r="B340" s="35" t="n">
        <v>417.7112321858924</v>
      </c>
      <c r="C340" s="36" t="n">
        <v>2403.802702095108</v>
      </c>
      <c r="D340" s="35" t="n">
        <v>1346.311421669999</v>
      </c>
      <c r="E340" s="37" t="n">
        <v>0.8179855984848314</v>
      </c>
      <c r="F340" s="37" t="n">
        <v>0.7928917800947933</v>
      </c>
      <c r="G340" s="37" t="n">
        <v>0.4794669106005601</v>
      </c>
      <c r="H340" s="37" t="n">
        <v>0.831410155315041</v>
      </c>
      <c r="I340" s="37" t="n">
        <v>0.5668789309760923</v>
      </c>
      <c r="J340" s="37" t="n">
        <v>0.776160810620425</v>
      </c>
      <c r="K340" s="39" t="inlineStr">
        <is>
          <t>Corregible</t>
        </is>
      </c>
      <c r="L340" s="29" t="n">
        <v>3.59008684962885</v>
      </c>
      <c r="M340" s="35" t="n">
        <v>37.94024717357219</v>
      </c>
      <c r="N340" s="36" t="n">
        <v>1057.491280425109</v>
      </c>
      <c r="O340" s="29" t="n">
        <v>1.785473006767906</v>
      </c>
      <c r="P340" s="16" t="inlineStr">
        <is>
          <t>no</t>
        </is>
      </c>
      <c r="Q340" s="16" t="inlineStr">
        <is>
          <t>O2</t>
        </is>
      </c>
    </row>
    <row r="341">
      <c r="A341" s="16" t="inlineStr">
        <is>
          <t>KF-M09-R0-T_sumidero-0012</t>
        </is>
      </c>
      <c r="B341" s="35" t="n">
        <v>387.1449380428829</v>
      </c>
      <c r="C341" s="36" t="n">
        <v>2650.058539234817</v>
      </c>
      <c r="D341" s="35" t="n">
        <v>705.8263429431672</v>
      </c>
      <c r="E341" s="37" t="n">
        <v>0.7594220068816739</v>
      </c>
      <c r="F341" s="37" t="n">
        <v>0.8853363559886437</v>
      </c>
      <c r="G341" s="37" t="n">
        <v>0.5771604306499489</v>
      </c>
      <c r="H341" s="37" t="n">
        <v>0.6954125198224297</v>
      </c>
      <c r="I341" s="37" t="n">
        <v>0.7702087023135631</v>
      </c>
      <c r="J341" s="37" t="n">
        <v>0.909557539501382</v>
      </c>
      <c r="K341" s="39" t="inlineStr">
        <is>
          <t>Corregible</t>
        </is>
      </c>
      <c r="L341" s="29" t="n">
        <v>5.83474234485126</v>
      </c>
      <c r="M341" s="35" t="n">
        <v>28.00718482655021</v>
      </c>
      <c r="N341" s="36" t="n">
        <v>1944.23219629165</v>
      </c>
      <c r="O341" s="29" t="n">
        <v>3.75454751119738</v>
      </c>
      <c r="P341" s="16" t="inlineStr">
        <is>
          <t>no</t>
        </is>
      </c>
      <c r="Q341" s="16" t="inlineStr">
        <is>
          <t>O2</t>
        </is>
      </c>
    </row>
    <row r="342">
      <c r="A342" s="16" t="inlineStr">
        <is>
          <t>KF-M09-R0-T_sumidero-0013</t>
        </is>
      </c>
      <c r="B342" s="35" t="n">
        <v>388.6704794719919</v>
      </c>
      <c r="C342" s="36" t="n">
        <v>2245.428531454291</v>
      </c>
      <c r="D342" s="35" t="n">
        <v>1724.029291450374</v>
      </c>
      <c r="E342" s="37" t="n">
        <v>0.5791963163831432</v>
      </c>
      <c r="F342" s="37" t="n">
        <v>0.5424716754751844</v>
      </c>
      <c r="G342" s="37" t="n">
        <v>0.6940330684764136</v>
      </c>
      <c r="H342" s="37" t="n">
        <v>0.4227646259470379</v>
      </c>
      <c r="I342" s="37" t="n">
        <v>0.8339955663781697</v>
      </c>
      <c r="J342" s="37" t="n">
        <v>0.5607844216520823</v>
      </c>
      <c r="K342" s="42" t="inlineStr">
        <is>
          <t>KALINA</t>
        </is>
      </c>
      <c r="L342" s="29" t="n">
        <v>1.06149116995047</v>
      </c>
      <c r="M342" s="35" t="n">
        <v>2.32436496167394</v>
      </c>
      <c r="N342" s="36" t="n">
        <v>521.3992400039167</v>
      </c>
      <c r="O342" s="29" t="n">
        <v>1.302430615645329</v>
      </c>
      <c r="P342" s="16" t="inlineStr">
        <is>
          <t>no</t>
        </is>
      </c>
      <c r="Q342" s="16" t="n"/>
    </row>
    <row r="343">
      <c r="A343" s="16" t="inlineStr">
        <is>
          <t>KF-M09-R0-T_sumidero-0014</t>
        </is>
      </c>
      <c r="B343" s="35" t="n">
        <v>506.5863321124243</v>
      </c>
      <c r="C343" s="36" t="n">
        <v>2195.491936081489</v>
      </c>
      <c r="D343" s="35" t="n">
        <v>1268.525697477961</v>
      </c>
      <c r="E343" s="37" t="n">
        <v>0.5698455952154374</v>
      </c>
      <c r="F343" s="37" t="n">
        <v>0.6690886765978822</v>
      </c>
      <c r="G343" s="37" t="n">
        <v>0.9155822630506044</v>
      </c>
      <c r="H343" s="37" t="n">
        <v>0.4999636720687808</v>
      </c>
      <c r="I343" s="37" t="n">
        <v>0.940644949830942</v>
      </c>
      <c r="J343" s="37" t="n">
        <v>0.6530371951158942</v>
      </c>
      <c r="K343" s="39" t="inlineStr">
        <is>
          <t>Corregible</t>
        </is>
      </c>
      <c r="L343" s="29" t="n">
        <v>2.93602723453763</v>
      </c>
      <c r="M343" s="35" t="n">
        <v>26.35325057072509</v>
      </c>
      <c r="N343" s="36" t="n">
        <v>926.966238603528</v>
      </c>
      <c r="O343" s="29" t="n">
        <v>1.730742972291764</v>
      </c>
      <c r="P343" s="16" t="inlineStr">
        <is>
          <t>sí</t>
        </is>
      </c>
      <c r="Q343" s="16" t="inlineStr">
        <is>
          <t>O2</t>
        </is>
      </c>
    </row>
    <row r="344">
      <c r="A344" s="16" t="inlineStr">
        <is>
          <t>KF-M09-R0-T_sumidero-0015</t>
        </is>
      </c>
      <c r="B344" s="35" t="n">
        <v>511.8491935290475</v>
      </c>
      <c r="C344" s="36" t="n">
        <v>3218.394021491596</v>
      </c>
      <c r="D344" s="35" t="n">
        <v>844.5672407159849</v>
      </c>
      <c r="E344" s="37" t="n">
        <v>0.7517213081458636</v>
      </c>
      <c r="F344" s="37" t="n">
        <v>0.5237225145985385</v>
      </c>
      <c r="G344" s="37" t="n">
        <v>0.5979002478189555</v>
      </c>
      <c r="H344" s="37" t="n">
        <v>0.4552981291469136</v>
      </c>
      <c r="I344" s="37" t="n">
        <v>0.7130469245863866</v>
      </c>
      <c r="J344" s="37" t="n">
        <v>0.5163261389453585</v>
      </c>
      <c r="K344" s="40" t="inlineStr">
        <is>
          <t>Inviable</t>
        </is>
      </c>
      <c r="L344" s="29" t="n">
        <v>-7.70850346725937</v>
      </c>
      <c r="M344" s="35" t="n">
        <v>-46.30612525125326</v>
      </c>
      <c r="N344" s="36" t="n">
        <v>2373.826780775611</v>
      </c>
      <c r="O344" s="29" t="n">
        <v>3.810701938620294</v>
      </c>
      <c r="P344" s="16" t="inlineStr">
        <is>
          <t>no</t>
        </is>
      </c>
      <c r="Q344" s="16" t="inlineStr">
        <is>
          <t>O2,O3</t>
        </is>
      </c>
    </row>
    <row r="345">
      <c r="A345" s="16" t="inlineStr">
        <is>
          <t>KF-M09-R0-T_sumidero-0016</t>
        </is>
      </c>
      <c r="B345" s="35" t="n">
        <v>433.6280547801183</v>
      </c>
      <c r="C345" s="36" t="n">
        <v>4076.541298420954</v>
      </c>
      <c r="D345" s="35" t="n">
        <v>1503.014775329492</v>
      </c>
      <c r="E345" s="37" t="n">
        <v>0.584454855990543</v>
      </c>
      <c r="F345" s="37" t="n">
        <v>0.5029714340088043</v>
      </c>
      <c r="G345" s="37" t="n">
        <v>0.7791438028845686</v>
      </c>
      <c r="H345" s="37" t="n">
        <v>0.6472297910612728</v>
      </c>
      <c r="I345" s="37" t="n">
        <v>0.8537421282959121</v>
      </c>
      <c r="J345" s="37" t="n">
        <v>0.8851647746281974</v>
      </c>
      <c r="K345" s="42" t="inlineStr">
        <is>
          <t>KALINA</t>
        </is>
      </c>
      <c r="L345" s="29" t="n">
        <v>3.80690681522854</v>
      </c>
      <c r="M345" s="35" t="n">
        <v>19.4370390459797</v>
      </c>
      <c r="N345" s="36" t="n">
        <v>2573.526523091462</v>
      </c>
      <c r="O345" s="29" t="n">
        <v>2.712242996764481</v>
      </c>
      <c r="P345" s="16" t="inlineStr">
        <is>
          <t>no</t>
        </is>
      </c>
      <c r="Q345" s="16" t="n"/>
    </row>
    <row r="346">
      <c r="A346" s="16" t="inlineStr">
        <is>
          <t>KF-M09-R0-T_sumidero-0017</t>
        </is>
      </c>
      <c r="B346" s="35" t="n">
        <v>473.7478951026416</v>
      </c>
      <c r="C346" s="36" t="n">
        <v>2828.943739821478</v>
      </c>
      <c r="D346" s="35" t="n">
        <v>1990.699241671288</v>
      </c>
      <c r="E346" s="37" t="n">
        <v>0.6416814565764984</v>
      </c>
      <c r="F346" s="37" t="n">
        <v>0.5613952420381328</v>
      </c>
      <c r="G346" s="37" t="n">
        <v>0.4895416390756408</v>
      </c>
      <c r="H346" s="37" t="n">
        <v>0.5763205251877761</v>
      </c>
      <c r="I346" s="37" t="n">
        <v>0.6868155433068825</v>
      </c>
      <c r="J346" s="37" t="n">
        <v>0.6928924096821354</v>
      </c>
      <c r="K346" s="39" t="inlineStr">
        <is>
          <t>Corregible</t>
        </is>
      </c>
      <c r="L346" s="29" t="n">
        <v>0.90151710493268</v>
      </c>
      <c r="M346" s="35" t="n">
        <v>8.644695663336346</v>
      </c>
      <c r="N346" s="36" t="n">
        <v>838.2444981501906</v>
      </c>
      <c r="O346" s="29" t="n">
        <v>1.421080432746056</v>
      </c>
      <c r="P346" s="16" t="inlineStr">
        <is>
          <t>sí</t>
        </is>
      </c>
      <c r="Q346" s="16" t="inlineStr">
        <is>
          <t>O2</t>
        </is>
      </c>
    </row>
    <row r="347">
      <c r="A347" s="16" t="inlineStr">
        <is>
          <t>KF-M09-R0-T_sumidero-0018</t>
        </is>
      </c>
      <c r="B347" s="35" t="n">
        <v>429.4301785484388</v>
      </c>
      <c r="C347" s="36" t="n">
        <v>3085.054711954882</v>
      </c>
      <c r="D347" s="35" t="n">
        <v>760.1131491978633</v>
      </c>
      <c r="E347" s="37" t="n">
        <v>0.8470616641257585</v>
      </c>
      <c r="F347" s="37" t="n">
        <v>0.943573452090124</v>
      </c>
      <c r="G347" s="37" t="n">
        <v>0.4141946484266403</v>
      </c>
      <c r="H347" s="37" t="n">
        <v>0.432581978574253</v>
      </c>
      <c r="I347" s="37" t="n">
        <v>0.5540814362634013</v>
      </c>
      <c r="J347" s="37" t="n">
        <v>0.7157620546576057</v>
      </c>
      <c r="K347" s="40" t="inlineStr">
        <is>
          <t>Inviable</t>
        </is>
      </c>
      <c r="L347" s="29" t="n">
        <v>-25.39657927032075</v>
      </c>
      <c r="M347" s="35" t="n">
        <v>-86.32904531403852</v>
      </c>
      <c r="N347" s="36" t="n">
        <v>2324.941562757019</v>
      </c>
      <c r="O347" s="29" t="n">
        <v>4.058678257586383</v>
      </c>
      <c r="P347" s="16" t="inlineStr">
        <is>
          <t>no</t>
        </is>
      </c>
      <c r="Q347" s="16" t="inlineStr">
        <is>
          <t>O2,O3</t>
        </is>
      </c>
    </row>
    <row r="348">
      <c r="A348" s="16" t="inlineStr">
        <is>
          <t>KF-M09-R0-T_sumidero-0019</t>
        </is>
      </c>
      <c r="B348" s="35" t="n">
        <v>423.2877945690417</v>
      </c>
      <c r="C348" s="36" t="n">
        <v>4152.327090375511</v>
      </c>
      <c r="D348" s="35" t="n">
        <v>591.7252702843858</v>
      </c>
      <c r="E348" s="37" t="n">
        <v>0.7324162885207175</v>
      </c>
      <c r="F348" s="37" t="n">
        <v>0.5298150000122863</v>
      </c>
      <c r="G348" s="37" t="n">
        <v>0.4959610141433682</v>
      </c>
      <c r="H348" s="37" t="n">
        <v>0.4660508534974296</v>
      </c>
      <c r="I348" s="37" t="n">
        <v>0.8230881334007797</v>
      </c>
      <c r="J348" s="37" t="n">
        <v>0.5874722706075426</v>
      </c>
      <c r="K348" s="40" t="inlineStr">
        <is>
          <t>Inviable</t>
        </is>
      </c>
      <c r="L348" s="29" t="n">
        <v>-68.08135078859216</v>
      </c>
      <c r="M348" s="35" t="n">
        <v>-139.666008120531</v>
      </c>
      <c r="N348" s="36" t="n">
        <v>3560.601820091125</v>
      </c>
      <c r="O348" s="29" t="n">
        <v>7.01732256318863</v>
      </c>
      <c r="P348" s="16" t="inlineStr">
        <is>
          <t>no</t>
        </is>
      </c>
      <c r="Q348" s="16" t="inlineStr">
        <is>
          <t>O2,O3</t>
        </is>
      </c>
    </row>
    <row r="349">
      <c r="A349" s="16" t="inlineStr">
        <is>
          <t>KF-M09-R0-T_sumidero-0020</t>
        </is>
      </c>
      <c r="B349" s="35" t="n">
        <v>476.9227091067802</v>
      </c>
      <c r="C349" s="36" t="n">
        <v>3117.364505904794</v>
      </c>
      <c r="D349" s="35" t="n">
        <v>1132.647361768229</v>
      </c>
      <c r="E349" s="37" t="n">
        <v>0.5315410150527403</v>
      </c>
      <c r="F349" s="37" t="n">
        <v>0.4559567064049287</v>
      </c>
      <c r="G349" s="37" t="n">
        <v>0.6698526862417896</v>
      </c>
      <c r="H349" s="37" t="n">
        <v>0.4525378495038002</v>
      </c>
      <c r="I349" s="37" t="n">
        <v>0.6633075884621706</v>
      </c>
      <c r="J349" s="37" t="n">
        <v>0.5038693443505472</v>
      </c>
      <c r="K349" s="40" t="inlineStr">
        <is>
          <t>Inviable</t>
        </is>
      </c>
      <c r="L349" s="29" t="n">
        <v>-2.50749603468429</v>
      </c>
      <c r="M349" s="35" t="n">
        <v>-17.00694166577544</v>
      </c>
      <c r="N349" s="36" t="n">
        <v>1984.717144136565</v>
      </c>
      <c r="O349" s="29" t="n">
        <v>2.752281611319988</v>
      </c>
      <c r="P349" s="16" t="inlineStr">
        <is>
          <t>sí</t>
        </is>
      </c>
      <c r="Q349" s="16" t="inlineStr">
        <is>
          <t>O2,O3</t>
        </is>
      </c>
    </row>
    <row r="350">
      <c r="A350" s="16" t="inlineStr">
        <is>
          <t>KF-M09-R0-T_sumidero-0021</t>
        </is>
      </c>
      <c r="B350" s="35" t="n">
        <v>438.327989994258</v>
      </c>
      <c r="C350" s="36" t="n">
        <v>4849.390904620956</v>
      </c>
      <c r="D350" s="35" t="n">
        <v>457.3228409566794</v>
      </c>
      <c r="E350" s="37" t="n">
        <v>0.7290207534792655</v>
      </c>
      <c r="F350" s="37" t="n">
        <v>0.9000899203690261</v>
      </c>
      <c r="G350" s="37" t="n">
        <v>0.6415777242044697</v>
      </c>
      <c r="H350" s="37" t="n">
        <v>0.4467741125468227</v>
      </c>
      <c r="I350" s="37" t="n">
        <v>0.6556781871627531</v>
      </c>
      <c r="J350" s="37" t="n">
        <v>0.6755252920171935</v>
      </c>
      <c r="K350" s="40" t="inlineStr">
        <is>
          <t>Inviable</t>
        </is>
      </c>
      <c r="L350" s="29" t="n">
        <v>-27.42347158165396</v>
      </c>
      <c r="M350" s="35" t="n">
        <v>-61.3029078334159</v>
      </c>
      <c r="N350" s="36" t="n">
        <v>4392.068063664276</v>
      </c>
      <c r="O350" s="29" t="n">
        <v>10.60386770640289</v>
      </c>
      <c r="P350" s="16" t="inlineStr">
        <is>
          <t>no</t>
        </is>
      </c>
      <c r="Q350" s="16" t="inlineStr">
        <is>
          <t>O2,O3</t>
        </is>
      </c>
    </row>
    <row r="351">
      <c r="A351" s="16" t="inlineStr">
        <is>
          <t>KF-M09-R0-T_sumidero-0022</t>
        </is>
      </c>
      <c r="B351" s="35" t="n">
        <v>394.346812443377</v>
      </c>
      <c r="C351" s="36" t="n">
        <v>4925.396593378801</v>
      </c>
      <c r="D351" s="35" t="n">
        <v>817.0599436876031</v>
      </c>
      <c r="E351" s="37" t="n">
        <v>0.5478242058845739</v>
      </c>
      <c r="F351" s="37" t="n">
        <v>0.5593495887395037</v>
      </c>
      <c r="G351" s="37" t="n">
        <v>0.9449888894511466</v>
      </c>
      <c r="H351" s="37" t="n">
        <v>0.7569733113534769</v>
      </c>
      <c r="I351" s="37" t="n">
        <v>0.9483618322094696</v>
      </c>
      <c r="J351" s="37" t="n">
        <v>0.7086500966156595</v>
      </c>
      <c r="K351" s="32" t="inlineStr">
        <is>
          <t>No convergió</t>
        </is>
      </c>
      <c r="L351" s="29" t="inlineStr">
        <is>
          <t>—</t>
        </is>
      </c>
      <c r="M351" s="35" t="inlineStr">
        <is>
          <t>—</t>
        </is>
      </c>
      <c r="N351" s="36" t="n">
        <v>4108.336649691199</v>
      </c>
      <c r="O351" s="29" t="n">
        <v>6.028194909603831</v>
      </c>
      <c r="P351" s="16" t="inlineStr">
        <is>
          <t>no</t>
        </is>
      </c>
      <c r="Q351" s="16" t="n"/>
    </row>
    <row r="352">
      <c r="A352" s="16" t="inlineStr">
        <is>
          <t>KF-M09-R0-T_sumidero-0023</t>
        </is>
      </c>
      <c r="B352" s="35" t="n">
        <v>513.5617048709745</v>
      </c>
      <c r="C352" s="36" t="n">
        <v>2463.723761950739</v>
      </c>
      <c r="D352" s="35" t="n">
        <v>306.3404451549019</v>
      </c>
      <c r="E352" s="37" t="n">
        <v>0.7702562542553106</v>
      </c>
      <c r="F352" s="37" t="n">
        <v>0.8577746927116683</v>
      </c>
      <c r="G352" s="37" t="n">
        <v>0.7063638739327711</v>
      </c>
      <c r="H352" s="37" t="n">
        <v>0.9338003667201086</v>
      </c>
      <c r="I352" s="37" t="n">
        <v>0.4960663674334908</v>
      </c>
      <c r="J352" s="37" t="n">
        <v>0.8142299384184534</v>
      </c>
      <c r="K352" s="32" t="inlineStr">
        <is>
          <t>No convergió</t>
        </is>
      </c>
      <c r="L352" s="29" t="inlineStr">
        <is>
          <t>—</t>
        </is>
      </c>
      <c r="M352" s="35" t="inlineStr">
        <is>
          <t>—</t>
        </is>
      </c>
      <c r="N352" s="36" t="n">
        <v>2157.383316795837</v>
      </c>
      <c r="O352" s="29" t="n">
        <v>8.042437101979631</v>
      </c>
      <c r="P352" s="16" t="inlineStr">
        <is>
          <t>no</t>
        </is>
      </c>
      <c r="Q352" s="16" t="n"/>
    </row>
    <row r="353">
      <c r="A353" s="16" t="inlineStr">
        <is>
          <t>KF-M09-R0-T_sumidero-0024</t>
        </is>
      </c>
      <c r="B353" s="35" t="n">
        <v>386.8543899749547</v>
      </c>
      <c r="C353" s="36" t="n">
        <v>2381.021492644335</v>
      </c>
      <c r="D353" s="35" t="n">
        <v>1699.937055969538</v>
      </c>
      <c r="E353" s="37" t="n">
        <v>0.6888572535600664</v>
      </c>
      <c r="F353" s="37" t="n">
        <v>0.7691487751933046</v>
      </c>
      <c r="G353" s="37" t="n">
        <v>0.7088896094017856</v>
      </c>
      <c r="H353" s="37" t="n">
        <v>0.4036630520888638</v>
      </c>
      <c r="I353" s="37" t="n">
        <v>0.927772733426236</v>
      </c>
      <c r="J353" s="37" t="n">
        <v>0.5485551534364532</v>
      </c>
      <c r="K353" s="39" t="inlineStr">
        <is>
          <t>Corregible</t>
        </is>
      </c>
      <c r="L353" s="29" t="n">
        <v>2.28162900445636</v>
      </c>
      <c r="M353" s="35" t="n">
        <v>6.407056188866996</v>
      </c>
      <c r="N353" s="36" t="n">
        <v>681.084436674797</v>
      </c>
      <c r="O353" s="29" t="n">
        <v>1.400652738454689</v>
      </c>
      <c r="P353" s="16" t="inlineStr">
        <is>
          <t>no</t>
        </is>
      </c>
      <c r="Q353" s="16" t="inlineStr">
        <is>
          <t>O2</t>
        </is>
      </c>
    </row>
    <row r="354">
      <c r="A354" s="16" t="inlineStr">
        <is>
          <t>KF-M09-R0-T_sumidero-0025</t>
        </is>
      </c>
      <c r="B354" s="35" t="n">
        <v>459.2723716285606</v>
      </c>
      <c r="C354" s="36" t="n">
        <v>4287.381925946356</v>
      </c>
      <c r="D354" s="35" t="n">
        <v>798.4520131065303</v>
      </c>
      <c r="E354" s="37" t="n">
        <v>0.7024496055338701</v>
      </c>
      <c r="F354" s="37" t="n">
        <v>0.5828876132563252</v>
      </c>
      <c r="G354" s="37" t="n">
        <v>0.5302088410059834</v>
      </c>
      <c r="H354" s="37" t="n">
        <v>0.9439247109314016</v>
      </c>
      <c r="I354" s="37" t="n">
        <v>0.4728369183434486</v>
      </c>
      <c r="J354" s="37" t="n">
        <v>0.5787339664394244</v>
      </c>
      <c r="K354" s="40" t="inlineStr">
        <is>
          <t>Inviable</t>
        </is>
      </c>
      <c r="L354" s="29" t="n">
        <v>-5.66112762986355</v>
      </c>
      <c r="M354" s="35" t="n">
        <v>-50.1907623846671</v>
      </c>
      <c r="N354" s="36" t="n">
        <v>3488.929912839826</v>
      </c>
      <c r="O354" s="29" t="n">
        <v>5.369617529380979</v>
      </c>
      <c r="P354" s="16" t="inlineStr">
        <is>
          <t>sí</t>
        </is>
      </c>
      <c r="Q354" s="16" t="inlineStr">
        <is>
          <t>O2,O3</t>
        </is>
      </c>
    </row>
    <row r="355">
      <c r="A355" s="16" t="inlineStr">
        <is>
          <t>KF-M09-R0-T_sumidero-0026</t>
        </is>
      </c>
      <c r="B355" s="35" t="n">
        <v>458.3541450184395</v>
      </c>
      <c r="C355" s="36" t="n">
        <v>4624.241781461732</v>
      </c>
      <c r="D355" s="35" t="n">
        <v>1754.246164229103</v>
      </c>
      <c r="E355" s="37" t="n">
        <v>0.7124710236112867</v>
      </c>
      <c r="F355" s="37" t="n">
        <v>0.4522057657822125</v>
      </c>
      <c r="G355" s="37" t="n">
        <v>0.8172160856281105</v>
      </c>
      <c r="H355" s="37" t="n">
        <v>0.8098841322506412</v>
      </c>
      <c r="I355" s="37" t="n">
        <v>0.5201808354107382</v>
      </c>
      <c r="J355" s="37" t="n">
        <v>0.4740178464743073</v>
      </c>
      <c r="K355" s="32" t="inlineStr">
        <is>
          <t>No convergió</t>
        </is>
      </c>
      <c r="L355" s="29" t="inlineStr">
        <is>
          <t>—</t>
        </is>
      </c>
      <c r="M355" s="35" t="inlineStr">
        <is>
          <t>—</t>
        </is>
      </c>
      <c r="N355" s="36" t="n">
        <v>2869.995617232629</v>
      </c>
      <c r="O355" s="29" t="n">
        <v>2.636027870976613</v>
      </c>
      <c r="P355" s="16" t="inlineStr">
        <is>
          <t>no</t>
        </is>
      </c>
      <c r="Q355" s="16" t="n"/>
    </row>
    <row r="356">
      <c r="A356" s="16" t="inlineStr">
        <is>
          <t>KF-M09-R0-T_sumidero-0027</t>
        </is>
      </c>
      <c r="B356" s="35" t="n">
        <v>514.752899781424</v>
      </c>
      <c r="C356" s="36" t="n">
        <v>4021.371061876487</v>
      </c>
      <c r="D356" s="35" t="n">
        <v>1175.322466519521</v>
      </c>
      <c r="E356" s="37" t="n">
        <v>0.5421446430347499</v>
      </c>
      <c r="F356" s="37" t="n">
        <v>0.6794223975778357</v>
      </c>
      <c r="G356" s="37" t="n">
        <v>0.4382473175022128</v>
      </c>
      <c r="H356" s="37" t="n">
        <v>0.6896893671806253</v>
      </c>
      <c r="I356" s="37" t="n">
        <v>0.7952447839751215</v>
      </c>
      <c r="J356" s="37" t="n">
        <v>0.8561160362792517</v>
      </c>
      <c r="K356" s="39" t="inlineStr">
        <is>
          <t>Corregible</t>
        </is>
      </c>
      <c r="L356" s="29" t="n">
        <v>7.04850551161513</v>
      </c>
      <c r="M356" s="35" t="n">
        <v>98.31866344531284</v>
      </c>
      <c r="N356" s="36" t="n">
        <v>2846.048595356966</v>
      </c>
      <c r="O356" s="29" t="n">
        <v>3.421504460631099</v>
      </c>
      <c r="P356" s="16" t="inlineStr">
        <is>
          <t>sí</t>
        </is>
      </c>
      <c r="Q356" s="16" t="inlineStr">
        <is>
          <t>O2</t>
        </is>
      </c>
    </row>
    <row r="357">
      <c r="A357" s="16" t="inlineStr">
        <is>
          <t>KF-M09-R0-T_sumidero-0028</t>
        </is>
      </c>
      <c r="B357" s="35" t="n">
        <v>494.6691403644853</v>
      </c>
      <c r="C357" s="36" t="n">
        <v>3896.677264534047</v>
      </c>
      <c r="D357" s="35" t="n">
        <v>1238.918362388021</v>
      </c>
      <c r="E357" s="37" t="n">
        <v>0.7377846782047767</v>
      </c>
      <c r="F357" s="37" t="n">
        <v>0.8691311135428077</v>
      </c>
      <c r="G357" s="37" t="n">
        <v>0.5563579477629396</v>
      </c>
      <c r="H357" s="37" t="n">
        <v>0.4382829378864024</v>
      </c>
      <c r="I357" s="37" t="n">
        <v>0.5449197970792657</v>
      </c>
      <c r="J357" s="37" t="n">
        <v>0.7662311788898498</v>
      </c>
      <c r="K357" s="39" t="inlineStr">
        <is>
          <t>Corregible</t>
        </is>
      </c>
      <c r="L357" s="29" t="n">
        <v>9.12509638636223</v>
      </c>
      <c r="M357" s="35" t="n">
        <v>70.31781794901772</v>
      </c>
      <c r="N357" s="36" t="n">
        <v>2657.758902146026</v>
      </c>
      <c r="O357" s="29" t="n">
        <v>3.145225208401288</v>
      </c>
      <c r="P357" s="16" t="inlineStr">
        <is>
          <t>no</t>
        </is>
      </c>
      <c r="Q357" s="16" t="inlineStr">
        <is>
          <t>O2</t>
        </is>
      </c>
    </row>
    <row r="358">
      <c r="A358" s="16" t="inlineStr">
        <is>
          <t>KF-M09-R0-T_sumidero-0029</t>
        </is>
      </c>
      <c r="B358" s="35" t="n">
        <v>466.9760996382341</v>
      </c>
      <c r="C358" s="36" t="n">
        <v>2661.405579469723</v>
      </c>
      <c r="D358" s="35" t="n">
        <v>644.6252243556416</v>
      </c>
      <c r="E358" s="37" t="n">
        <v>0.77937713488745</v>
      </c>
      <c r="F358" s="37" t="n">
        <v>0.5051107683547684</v>
      </c>
      <c r="G358" s="37" t="n">
        <v>0.7268200621600536</v>
      </c>
      <c r="H358" s="37" t="n">
        <v>0.5312594516332083</v>
      </c>
      <c r="I358" s="37" t="n">
        <v>0.5422277470252609</v>
      </c>
      <c r="J358" s="37" t="n">
        <v>0.5835255976929783</v>
      </c>
      <c r="K358" s="40" t="inlineStr">
        <is>
          <t>Inviable</t>
        </is>
      </c>
      <c r="L358" s="29" t="n">
        <v>-14.91336796911298</v>
      </c>
      <c r="M358" s="35" t="n">
        <v>-74.0080266672292</v>
      </c>
      <c r="N358" s="36" t="n">
        <v>2016.780355114081</v>
      </c>
      <c r="O358" s="29" t="n">
        <v>4.128609118779096</v>
      </c>
      <c r="P358" s="16" t="inlineStr">
        <is>
          <t>no</t>
        </is>
      </c>
      <c r="Q358" s="16" t="inlineStr">
        <is>
          <t>O2,O3</t>
        </is>
      </c>
    </row>
    <row r="359">
      <c r="A359" s="16" t="inlineStr">
        <is>
          <t>KF-M09-R0-T_sumidero-0030</t>
        </is>
      </c>
      <c r="B359" s="35" t="n">
        <v>517.7477737865996</v>
      </c>
      <c r="C359" s="36" t="n">
        <v>3855.725565587139</v>
      </c>
      <c r="D359" s="35" t="n">
        <v>788.4077916345898</v>
      </c>
      <c r="E359" s="37" t="n">
        <v>0.8188678006489831</v>
      </c>
      <c r="F359" s="37" t="n">
        <v>0.8296518855141195</v>
      </c>
      <c r="G359" s="37" t="n">
        <v>0.6610772031702017</v>
      </c>
      <c r="H359" s="37" t="n">
        <v>0.4933153914179585</v>
      </c>
      <c r="I359" s="37" t="n">
        <v>0.891473646599475</v>
      </c>
      <c r="J359" s="37" t="n">
        <v>0.540045299421048</v>
      </c>
      <c r="K359" s="40" t="inlineStr">
        <is>
          <t>Inviable</t>
        </is>
      </c>
      <c r="L359" s="29" t="n">
        <v>-2.05536322957141</v>
      </c>
      <c r="M359" s="35" t="n">
        <v>-10.49713231922448</v>
      </c>
      <c r="N359" s="36" t="n">
        <v>3067.317773952549</v>
      </c>
      <c r="O359" s="29" t="n">
        <v>4.890521892982743</v>
      </c>
      <c r="P359" s="16" t="inlineStr">
        <is>
          <t>sí</t>
        </is>
      </c>
      <c r="Q359" s="16" t="inlineStr">
        <is>
          <t>O2,O3</t>
        </is>
      </c>
    </row>
    <row r="360">
      <c r="A360" s="16" t="inlineStr">
        <is>
          <t>KF-M09-R0-T_sumidero-0031</t>
        </is>
      </c>
      <c r="B360" s="35" t="n">
        <v>435.362656082087</v>
      </c>
      <c r="C360" s="36" t="n">
        <v>3878.218830763285</v>
      </c>
      <c r="D360" s="35" t="n">
        <v>672.3065143160121</v>
      </c>
      <c r="E360" s="37" t="n">
        <v>0.836092119723415</v>
      </c>
      <c r="F360" s="37" t="n">
        <v>0.5481528620076542</v>
      </c>
      <c r="G360" s="37" t="n">
        <v>0.5118387696362744</v>
      </c>
      <c r="H360" s="37" t="n">
        <v>0.561010604770284</v>
      </c>
      <c r="I360" s="37" t="n">
        <v>0.5877190116575959</v>
      </c>
      <c r="J360" s="37" t="n">
        <v>0.4667803789665717</v>
      </c>
      <c r="K360" s="40" t="inlineStr">
        <is>
          <t>Inviable</t>
        </is>
      </c>
      <c r="L360" s="29" t="n">
        <v>-225.0990213313289</v>
      </c>
      <c r="M360" s="35" t="n">
        <v>-268.8926216196322</v>
      </c>
      <c r="N360" s="36" t="n">
        <v>3205.912316447273</v>
      </c>
      <c r="O360" s="29" t="n">
        <v>5.768527819054213</v>
      </c>
      <c r="P360" s="16" t="inlineStr">
        <is>
          <t>sí</t>
        </is>
      </c>
      <c r="Q360" s="16" t="inlineStr">
        <is>
          <t>O2,O3</t>
        </is>
      </c>
    </row>
    <row r="361">
      <c r="A361" s="16" t="inlineStr">
        <is>
          <t>KF-M09-R0-T_sumidero-0032</t>
        </is>
      </c>
      <c r="B361" s="35" t="n">
        <v>421.7315530747336</v>
      </c>
      <c r="C361" s="36" t="n">
        <v>4650.545032108495</v>
      </c>
      <c r="D361" s="35" t="n">
        <v>1537.733621007257</v>
      </c>
      <c r="E361" s="37" t="n">
        <v>0.8445227981616314</v>
      </c>
      <c r="F361" s="37" t="n">
        <v>0.4764586953952771</v>
      </c>
      <c r="G361" s="37" t="n">
        <v>0.9018026806954926</v>
      </c>
      <c r="H361" s="37" t="n">
        <v>0.6841255609643495</v>
      </c>
      <c r="I361" s="37" t="n">
        <v>0.5136920049290633</v>
      </c>
      <c r="J361" s="37" t="n">
        <v>0.4543457592534028</v>
      </c>
      <c r="K361" s="40" t="inlineStr">
        <is>
          <t>Inviable</t>
        </is>
      </c>
      <c r="L361" s="29" t="n">
        <v>-2.27723010874865</v>
      </c>
      <c r="M361" s="35" t="n">
        <v>-10.89006751210873</v>
      </c>
      <c r="N361" s="36" t="n">
        <v>3112.811411101238</v>
      </c>
      <c r="O361" s="29" t="n">
        <v>3.024285200360165</v>
      </c>
      <c r="P361" s="16" t="inlineStr">
        <is>
          <t>no</t>
        </is>
      </c>
      <c r="Q361" s="16" t="inlineStr">
        <is>
          <t>O2,O3</t>
        </is>
      </c>
    </row>
    <row r="362">
      <c r="A362" s="16" t="inlineStr">
        <is>
          <t>KF-M09-R0-T_sumidero-0033</t>
        </is>
      </c>
      <c r="B362" s="35" t="n">
        <v>519.0528289028786</v>
      </c>
      <c r="C362" s="36" t="n">
        <v>4710.1332259643</v>
      </c>
      <c r="D362" s="35" t="n">
        <v>1096.170084194367</v>
      </c>
      <c r="E362" s="37" t="n">
        <v>0.6605298714658844</v>
      </c>
      <c r="F362" s="37" t="n">
        <v>0.6081103487457922</v>
      </c>
      <c r="G362" s="37" t="n">
        <v>0.8528305380311205</v>
      </c>
      <c r="H362" s="37" t="n">
        <v>0.6172499109542544</v>
      </c>
      <c r="I362" s="37" t="n">
        <v>0.6828883510562236</v>
      </c>
      <c r="J362" s="37" t="n">
        <v>0.5718147639722144</v>
      </c>
      <c r="K362" s="39" t="inlineStr">
        <is>
          <t>Corregible</t>
        </is>
      </c>
      <c r="L362" s="29" t="n">
        <v>3.71677480009093</v>
      </c>
      <c r="M362" s="35" t="n">
        <v>33.18843562695331</v>
      </c>
      <c r="N362" s="36" t="n">
        <v>3613.963141769933</v>
      </c>
      <c r="O362" s="29" t="n">
        <v>4.296899991962492</v>
      </c>
      <c r="P362" s="16" t="inlineStr">
        <is>
          <t>sí</t>
        </is>
      </c>
      <c r="Q362" s="16" t="inlineStr">
        <is>
          <t>O2</t>
        </is>
      </c>
    </row>
    <row r="363">
      <c r="A363" s="16" t="inlineStr">
        <is>
          <t>KF-M09-R0-T_sumidero-0034</t>
        </is>
      </c>
      <c r="B363" s="35" t="n">
        <v>481.7526956254048</v>
      </c>
      <c r="C363" s="36" t="n">
        <v>4197.663751293883</v>
      </c>
      <c r="D363" s="35" t="n">
        <v>1820.497180816962</v>
      </c>
      <c r="E363" s="37" t="n">
        <v>0.5296603015097024</v>
      </c>
      <c r="F363" s="37" t="n">
        <v>0.945276304183836</v>
      </c>
      <c r="G363" s="37" t="n">
        <v>0.8235533837051405</v>
      </c>
      <c r="H363" s="37" t="n">
        <v>0.6657990309400981</v>
      </c>
      <c r="I363" s="37" t="n">
        <v>0.6957856057737297</v>
      </c>
      <c r="J363" s="37" t="n">
        <v>0.6590371503905921</v>
      </c>
      <c r="K363" s="39" t="inlineStr">
        <is>
          <t>Corregible</t>
        </is>
      </c>
      <c r="L363" s="29" t="n">
        <v>7.248388166508129</v>
      </c>
      <c r="M363" s="35" t="n">
        <v>75.19112967295258</v>
      </c>
      <c r="N363" s="36" t="n">
        <v>2377.166570476921</v>
      </c>
      <c r="O363" s="29" t="n">
        <v>2.30577877050606</v>
      </c>
      <c r="P363" s="16" t="inlineStr">
        <is>
          <t>sí</t>
        </is>
      </c>
      <c r="Q363" s="16" t="inlineStr">
        <is>
          <t>O2</t>
        </is>
      </c>
    </row>
    <row r="364">
      <c r="A364" s="16" t="inlineStr">
        <is>
          <t>KF-M09-R0-T_sumidero-0035</t>
        </is>
      </c>
      <c r="B364" s="35" t="n">
        <v>382.4087929501357</v>
      </c>
      <c r="C364" s="36" t="n">
        <v>2925.587166923866</v>
      </c>
      <c r="D364" s="35" t="n">
        <v>1453.312877529689</v>
      </c>
      <c r="E364" s="37" t="n">
        <v>0.6363484887741104</v>
      </c>
      <c r="F364" s="37" t="n">
        <v>0.469680302094956</v>
      </c>
      <c r="G364" s="37" t="n">
        <v>0.6171958007941997</v>
      </c>
      <c r="H364" s="37" t="n">
        <v>0.928965473687502</v>
      </c>
      <c r="I364" s="37" t="n">
        <v>0.5734976073541296</v>
      </c>
      <c r="J364" s="37" t="n">
        <v>0.7565048935558639</v>
      </c>
      <c r="K364" s="42" t="inlineStr">
        <is>
          <t>KALINA</t>
        </is>
      </c>
      <c r="L364" s="29" t="n">
        <v>2.24971568643051</v>
      </c>
      <c r="M364" s="35" t="n">
        <v>9.43799203798392</v>
      </c>
      <c r="N364" s="36" t="n">
        <v>1472.274289394178</v>
      </c>
      <c r="O364" s="29" t="n">
        <v>2.013047026664154</v>
      </c>
      <c r="P364" s="16" t="inlineStr">
        <is>
          <t>no</t>
        </is>
      </c>
      <c r="Q364" s="16" t="n"/>
    </row>
    <row r="365">
      <c r="A365" s="16" t="inlineStr">
        <is>
          <t>KF-M09-R0-T_sumidero-0036</t>
        </is>
      </c>
      <c r="B365" s="35" t="n">
        <v>452.2538340953389</v>
      </c>
      <c r="C365" s="36" t="n">
        <v>4163.510184172101</v>
      </c>
      <c r="D365" s="35" t="n">
        <v>1510.943457621157</v>
      </c>
      <c r="E365" s="37" t="n">
        <v>0.5352113900861207</v>
      </c>
      <c r="F365" s="37" t="n">
        <v>0.762724438667388</v>
      </c>
      <c r="G365" s="37" t="n">
        <v>0.8858605033898233</v>
      </c>
      <c r="H365" s="37" t="n">
        <v>0.8636637004216676</v>
      </c>
      <c r="I365" s="37" t="n">
        <v>0.7468567304327152</v>
      </c>
      <c r="J365" s="37" t="n">
        <v>0.9389211318243263</v>
      </c>
      <c r="K365" s="42" t="inlineStr">
        <is>
          <t>KALINA</t>
        </is>
      </c>
      <c r="L365" s="29" t="n">
        <v>6.12057124647951</v>
      </c>
      <c r="M365" s="35" t="n">
        <v>54.38349387228317</v>
      </c>
      <c r="N365" s="36" t="n">
        <v>2652.566726550944</v>
      </c>
      <c r="O365" s="29" t="n">
        <v>2.755569815118805</v>
      </c>
      <c r="P365" s="16" t="inlineStr">
        <is>
          <t>sí</t>
        </is>
      </c>
      <c r="Q365" s="16" t="n"/>
    </row>
    <row r="366">
      <c r="A366" s="16" t="inlineStr">
        <is>
          <t>KF-M09-R0-T_sumidero-0037</t>
        </is>
      </c>
      <c r="B366" s="35" t="n">
        <v>400.2686586446141</v>
      </c>
      <c r="C366" s="36" t="n">
        <v>4425.198586955896</v>
      </c>
      <c r="D366" s="35" t="n">
        <v>1955.314475832506</v>
      </c>
      <c r="E366" s="37" t="n">
        <v>0.6613749971916674</v>
      </c>
      <c r="F366" s="37" t="n">
        <v>0.6483968381211634</v>
      </c>
      <c r="G366" s="37" t="n">
        <v>0.4659159521988055</v>
      </c>
      <c r="H366" s="37" t="n">
        <v>0.6036254817347784</v>
      </c>
      <c r="I366" s="37" t="n">
        <v>0.6285643653206989</v>
      </c>
      <c r="J366" s="37" t="n">
        <v>0.5984252634987819</v>
      </c>
      <c r="K366" s="42" t="inlineStr">
        <is>
          <t>KALINA</t>
        </is>
      </c>
      <c r="L366" s="29" t="n">
        <v>1.61537438747512</v>
      </c>
      <c r="M366" s="35" t="n">
        <v>4.350636590953799</v>
      </c>
      <c r="N366" s="36" t="n">
        <v>2469.88411112339</v>
      </c>
      <c r="O366" s="29" t="n">
        <v>2.263164642644911</v>
      </c>
      <c r="P366" s="16" t="inlineStr">
        <is>
          <t>no</t>
        </is>
      </c>
      <c r="Q366" s="16" t="n"/>
    </row>
    <row r="367">
      <c r="A367" s="16" t="inlineStr">
        <is>
          <t>KF-M09-R0-T_sumidero-0038</t>
        </is>
      </c>
      <c r="B367" s="35" t="n">
        <v>476.5332583597325</v>
      </c>
      <c r="C367" s="36" t="n">
        <v>3485.777498340456</v>
      </c>
      <c r="D367" s="35" t="n">
        <v>1848.571704838857</v>
      </c>
      <c r="E367" s="37" t="n">
        <v>0.8397032177315444</v>
      </c>
      <c r="F367" s="37" t="n">
        <v>0.9240167119353214</v>
      </c>
      <c r="G367" s="37" t="n">
        <v>0.7214899879236095</v>
      </c>
      <c r="H367" s="37" t="n">
        <v>0.6595034562222621</v>
      </c>
      <c r="I367" s="37" t="n">
        <v>0.8028350289655871</v>
      </c>
      <c r="J367" s="37" t="n">
        <v>0.7001958297835802</v>
      </c>
      <c r="K367" s="39" t="inlineStr">
        <is>
          <t>Corregible</t>
        </is>
      </c>
      <c r="L367" s="29" t="n">
        <v>6.153593825420519</v>
      </c>
      <c r="M367" s="35" t="n">
        <v>57.47677691061638</v>
      </c>
      <c r="N367" s="36" t="n">
        <v>1637.205793501599</v>
      </c>
      <c r="O367" s="29" t="n">
        <v>1.885659879579471</v>
      </c>
      <c r="P367" s="16" t="inlineStr">
        <is>
          <t>no</t>
        </is>
      </c>
      <c r="Q367" s="16" t="inlineStr">
        <is>
          <t>O2</t>
        </is>
      </c>
    </row>
    <row r="368">
      <c r="A368" s="16" t="inlineStr">
        <is>
          <t>KF-M09-R0-T_sumidero-0039</t>
        </is>
      </c>
      <c r="B368" s="35" t="n">
        <v>468.6920492900293</v>
      </c>
      <c r="C368" s="36" t="n">
        <v>2554.558804559506</v>
      </c>
      <c r="D368" s="35" t="n">
        <v>541.6840419893497</v>
      </c>
      <c r="E368" s="37" t="n">
        <v>0.5583693683726737</v>
      </c>
      <c r="F368" s="37" t="n">
        <v>0.6917307071644875</v>
      </c>
      <c r="G368" s="37" t="n">
        <v>0.7484061222506647</v>
      </c>
      <c r="H368" s="37" t="n">
        <v>0.9210911105188681</v>
      </c>
      <c r="I368" s="37" t="n">
        <v>0.596803954529282</v>
      </c>
      <c r="J368" s="37" t="n">
        <v>0.9206715789283978</v>
      </c>
      <c r="K368" s="39" t="inlineStr">
        <is>
          <t>Corregible</t>
        </is>
      </c>
      <c r="L368" s="29" t="n">
        <v>8.78507062703048</v>
      </c>
      <c r="M368" s="35" t="n">
        <v>169.1312219728324</v>
      </c>
      <c r="N368" s="36" t="n">
        <v>2012.874762570157</v>
      </c>
      <c r="O368" s="29" t="n">
        <v>4.715957286055203</v>
      </c>
      <c r="P368" s="16" t="inlineStr">
        <is>
          <t>sí</t>
        </is>
      </c>
      <c r="Q368" s="16" t="inlineStr">
        <is>
          <t>O2</t>
        </is>
      </c>
    </row>
    <row r="369">
      <c r="A369" s="16" t="inlineStr">
        <is>
          <t>KF-M09-R0-T_sumidero-0040</t>
        </is>
      </c>
      <c r="B369" s="35" t="n">
        <v>515.8052750664983</v>
      </c>
      <c r="C369" s="36" t="n">
        <v>2788.209235361944</v>
      </c>
      <c r="D369" s="35" t="n">
        <v>868.9209875121974</v>
      </c>
      <c r="E369" s="37" t="n">
        <v>0.697571804684461</v>
      </c>
      <c r="F369" s="37" t="n">
        <v>0.4161013070006885</v>
      </c>
      <c r="G369" s="37" t="n">
        <v>0.9437577588484668</v>
      </c>
      <c r="H369" s="37" t="n">
        <v>0.4624887342242757</v>
      </c>
      <c r="I369" s="37" t="n">
        <v>0.8083993199749172</v>
      </c>
      <c r="J369" s="37" t="n">
        <v>0.7997630707921279</v>
      </c>
      <c r="K369" s="39" t="inlineStr">
        <is>
          <t>Corregible</t>
        </is>
      </c>
      <c r="L369" s="29" t="n">
        <v>4.016966447297761</v>
      </c>
      <c r="M369" s="35" t="n">
        <v>35.02015499730147</v>
      </c>
      <c r="N369" s="36" t="n">
        <v>1919.288247849747</v>
      </c>
      <c r="O369" s="29" t="n">
        <v>3.208817919503648</v>
      </c>
      <c r="P369" s="16" t="inlineStr">
        <is>
          <t>no</t>
        </is>
      </c>
      <c r="Q369" s="16" t="inlineStr">
        <is>
          <t>O2</t>
        </is>
      </c>
    </row>
    <row r="370">
      <c r="A370" s="16" t="inlineStr">
        <is>
          <t>KF-M09-R0-T_sumidero-0041</t>
        </is>
      </c>
      <c r="B370" s="35" t="n">
        <v>390.2291116891928</v>
      </c>
      <c r="C370" s="36" t="n">
        <v>4375.803808732258</v>
      </c>
      <c r="D370" s="35" t="n">
        <v>404.6540389194018</v>
      </c>
      <c r="E370" s="37" t="n">
        <v>0.7807033304046589</v>
      </c>
      <c r="F370" s="37" t="n">
        <v>0.8284497474074084</v>
      </c>
      <c r="G370" s="37" t="n">
        <v>0.844599084078862</v>
      </c>
      <c r="H370" s="37" t="n">
        <v>0.5052013024368126</v>
      </c>
      <c r="I370" s="37" t="n">
        <v>0.4029380910019863</v>
      </c>
      <c r="J370" s="37" t="n">
        <v>0.6095444929579699</v>
      </c>
      <c r="K370" s="32" t="inlineStr">
        <is>
          <t>No convergió</t>
        </is>
      </c>
      <c r="L370" s="29" t="inlineStr">
        <is>
          <t>—</t>
        </is>
      </c>
      <c r="M370" s="35" t="inlineStr">
        <is>
          <t>—</t>
        </is>
      </c>
      <c r="N370" s="36" t="n">
        <v>3971.149769812856</v>
      </c>
      <c r="O370" s="29" t="n">
        <v>10.81369117287823</v>
      </c>
      <c r="P370" s="16" t="inlineStr">
        <is>
          <t>no</t>
        </is>
      </c>
      <c r="Q370" s="16" t="n"/>
    </row>
    <row r="371">
      <c r="A371" s="16" t="inlineStr">
        <is>
          <t>KF-M09-R0-T_sumidero-0042</t>
        </is>
      </c>
      <c r="B371" s="35" t="n">
        <v>444.3182377340675</v>
      </c>
      <c r="C371" s="36" t="n">
        <v>2743.677821718397</v>
      </c>
      <c r="D371" s="35" t="n">
        <v>486.3362687144723</v>
      </c>
      <c r="E371" s="37" t="n">
        <v>0.8130323386740539</v>
      </c>
      <c r="F371" s="37" t="n">
        <v>0.8537731953084498</v>
      </c>
      <c r="G371" s="37" t="n">
        <v>0.6525890866836805</v>
      </c>
      <c r="H371" s="37" t="n">
        <v>0.8356943586284334</v>
      </c>
      <c r="I371" s="37" t="n">
        <v>0.6329936561785774</v>
      </c>
      <c r="J371" s="37" t="n">
        <v>0.6272874544783956</v>
      </c>
      <c r="K371" s="40" t="inlineStr">
        <is>
          <t>Inviable</t>
        </is>
      </c>
      <c r="L371" s="29" t="n">
        <v>-14.04251582133805</v>
      </c>
      <c r="M371" s="35" t="n">
        <v>-61.52378778654293</v>
      </c>
      <c r="N371" s="36" t="n">
        <v>2257.341553003925</v>
      </c>
      <c r="O371" s="29" t="n">
        <v>5.641524184430522</v>
      </c>
      <c r="P371" s="16" t="inlineStr">
        <is>
          <t>sí</t>
        </is>
      </c>
      <c r="Q371" s="16" t="inlineStr">
        <is>
          <t>O2,O3</t>
        </is>
      </c>
    </row>
    <row r="372">
      <c r="A372" s="16" t="inlineStr">
        <is>
          <t>KF-M09-R0-T_sumidero-0043</t>
        </is>
      </c>
      <c r="B372" s="35" t="n">
        <v>448.6548734791799</v>
      </c>
      <c r="C372" s="36" t="n">
        <v>3399.5669676025</v>
      </c>
      <c r="D372" s="35" t="n">
        <v>1226.406528194719</v>
      </c>
      <c r="E372" s="37" t="n">
        <v>0.7589443330132205</v>
      </c>
      <c r="F372" s="37" t="n">
        <v>0.920619934637777</v>
      </c>
      <c r="G372" s="37" t="n">
        <v>0.7688450408502902</v>
      </c>
      <c r="H372" s="37" t="n">
        <v>0.6721879774306232</v>
      </c>
      <c r="I372" s="37" t="n">
        <v>0.8583597669531697</v>
      </c>
      <c r="J372" s="37" t="n">
        <v>0.457310437251999</v>
      </c>
      <c r="K372" s="39" t="inlineStr">
        <is>
          <t>Corregible</t>
        </is>
      </c>
      <c r="L372" s="29" t="n">
        <v>5.62042898279453</v>
      </c>
      <c r="M372" s="35" t="n">
        <v>38.15912753536782</v>
      </c>
      <c r="N372" s="36" t="n">
        <v>2173.16043940778</v>
      </c>
      <c r="O372" s="29" t="n">
        <v>2.771973965767037</v>
      </c>
      <c r="P372" s="16" t="inlineStr">
        <is>
          <t>sí</t>
        </is>
      </c>
      <c r="Q372" s="16" t="inlineStr">
        <is>
          <t>O2</t>
        </is>
      </c>
    </row>
    <row r="373">
      <c r="A373" s="16" t="inlineStr">
        <is>
          <t>KF-M09-R0-T_sumidero-0044</t>
        </is>
      </c>
      <c r="B373" s="35" t="n">
        <v>505.2286760219144</v>
      </c>
      <c r="C373" s="36" t="n">
        <v>2007.345612663573</v>
      </c>
      <c r="D373" s="35" t="n">
        <v>1457.055131111071</v>
      </c>
      <c r="E373" s="37" t="n">
        <v>0.8074414238091934</v>
      </c>
      <c r="F373" s="37" t="n">
        <v>0.5158104120234333</v>
      </c>
      <c r="G373" s="37" t="n">
        <v>0.685090953769073</v>
      </c>
      <c r="H373" s="37" t="n">
        <v>0.905649236986208</v>
      </c>
      <c r="I373" s="37" t="n">
        <v>0.762241206635569</v>
      </c>
      <c r="J373" s="37" t="n">
        <v>0.5236278245039692</v>
      </c>
      <c r="K373" s="32" t="inlineStr">
        <is>
          <t>No convergió</t>
        </is>
      </c>
      <c r="L373" s="29" t="inlineStr">
        <is>
          <t>—</t>
        </is>
      </c>
      <c r="M373" s="35" t="inlineStr">
        <is>
          <t>—</t>
        </is>
      </c>
      <c r="N373" s="36" t="n">
        <v>550.2904815525019</v>
      </c>
      <c r="O373" s="29" t="n">
        <v>1.377673067959261</v>
      </c>
      <c r="P373" s="16" t="inlineStr">
        <is>
          <t>no</t>
        </is>
      </c>
      <c r="Q373" s="16" t="n"/>
    </row>
    <row r="374">
      <c r="A374" s="16" t="inlineStr">
        <is>
          <t>KF-M09-R0-T_sumidero-0045</t>
        </is>
      </c>
      <c r="B374" s="35" t="n">
        <v>397.1723144211648</v>
      </c>
      <c r="C374" s="36" t="n">
        <v>4246.322420517488</v>
      </c>
      <c r="D374" s="35" t="n">
        <v>1840.933810780212</v>
      </c>
      <c r="E374" s="37" t="n">
        <v>0.6762188571721341</v>
      </c>
      <c r="F374" s="37" t="n">
        <v>0.7797139426040733</v>
      </c>
      <c r="G374" s="37" t="n">
        <v>0.8695285618286199</v>
      </c>
      <c r="H374" s="37" t="n">
        <v>0.4392834672183764</v>
      </c>
      <c r="I374" s="37" t="n">
        <v>0.788743200136931</v>
      </c>
      <c r="J374" s="37" t="n">
        <v>0.7300768615446918</v>
      </c>
      <c r="K374" s="42" t="inlineStr">
        <is>
          <t>KALINA</t>
        </is>
      </c>
      <c r="L374" s="29" t="n">
        <v>3.130364370431709</v>
      </c>
      <c r="M374" s="35" t="n">
        <v>6.457522344882262</v>
      </c>
      <c r="N374" s="36" t="n">
        <v>2405.388609737276</v>
      </c>
      <c r="O374" s="29" t="n">
        <v>2.306613304428278</v>
      </c>
      <c r="P374" s="16" t="inlineStr">
        <is>
          <t>no</t>
        </is>
      </c>
      <c r="Q374" s="16" t="n"/>
    </row>
    <row r="375">
      <c r="A375" s="16" t="inlineStr">
        <is>
          <t>KF-M09-R0-T_sumidero-0046</t>
        </is>
      </c>
      <c r="B375" s="35" t="n">
        <v>474.4549652115811</v>
      </c>
      <c r="C375" s="36" t="n">
        <v>3002.00503465358</v>
      </c>
      <c r="D375" s="35" t="n">
        <v>1793.844578056632</v>
      </c>
      <c r="E375" s="37" t="n">
        <v>0.7907483694252488</v>
      </c>
      <c r="F375" s="37" t="n">
        <v>0.4657999656236518</v>
      </c>
      <c r="G375" s="37" t="n">
        <v>0.7541061393652976</v>
      </c>
      <c r="H375" s="37" t="n">
        <v>0.891790839291721</v>
      </c>
      <c r="I375" s="37" t="n">
        <v>0.5007198549174307</v>
      </c>
      <c r="J375" s="37" t="n">
        <v>0.942950305300686</v>
      </c>
      <c r="K375" s="42" t="inlineStr">
        <is>
          <t>KALINA</t>
        </is>
      </c>
      <c r="L375" s="29" t="n">
        <v>2.39336629392258</v>
      </c>
      <c r="M375" s="35" t="n">
        <v>39.0499420090211</v>
      </c>
      <c r="N375" s="36" t="n">
        <v>1208.160456596948</v>
      </c>
      <c r="O375" s="29" t="n">
        <v>1.673503419067561</v>
      </c>
      <c r="P375" s="16" t="inlineStr">
        <is>
          <t>sí</t>
        </is>
      </c>
      <c r="Q375" s="16" t="n"/>
    </row>
    <row r="376">
      <c r="A376" s="16" t="inlineStr">
        <is>
          <t>KF-M09-R0-T_sumidero-0047</t>
        </is>
      </c>
      <c r="B376" s="35" t="n">
        <v>484.8852369243025</v>
      </c>
      <c r="C376" s="36" t="n">
        <v>2115.353141841665</v>
      </c>
      <c r="D376" s="35" t="n">
        <v>1567.932817147789</v>
      </c>
      <c r="E376" s="37" t="n">
        <v>0.7223271452937994</v>
      </c>
      <c r="F376" s="37" t="n">
        <v>0.7172186556078464</v>
      </c>
      <c r="G376" s="37" t="n">
        <v>0.7640298294923447</v>
      </c>
      <c r="H376" s="37" t="n">
        <v>0.8801309670249798</v>
      </c>
      <c r="I376" s="37" t="n">
        <v>0.8669145430882389</v>
      </c>
      <c r="J376" s="37" t="n">
        <v>0.704385633896212</v>
      </c>
      <c r="K376" s="39" t="inlineStr">
        <is>
          <t>Corregible</t>
        </is>
      </c>
      <c r="L376" s="29" t="n">
        <v>1.54597395681929</v>
      </c>
      <c r="M376" s="35" t="n">
        <v>20.71083413826579</v>
      </c>
      <c r="N376" s="36" t="n">
        <v>547.4203246938753</v>
      </c>
      <c r="O376" s="29" t="n">
        <v>1.349135064147507</v>
      </c>
      <c r="P376" s="16" t="inlineStr">
        <is>
          <t>sí</t>
        </is>
      </c>
      <c r="Q376" s="16" t="inlineStr">
        <is>
          <t>O2</t>
        </is>
      </c>
    </row>
    <row r="377">
      <c r="A377" s="16" t="inlineStr">
        <is>
          <t>KF-M09-R0-T_sumidero-0048</t>
        </is>
      </c>
      <c r="B377" s="35" t="n">
        <v>510.3282596125327</v>
      </c>
      <c r="C377" s="36" t="n">
        <v>3711.944625251177</v>
      </c>
      <c r="D377" s="35" t="n">
        <v>954.7860476524116</v>
      </c>
      <c r="E377" s="37" t="n">
        <v>0.7172779853531847</v>
      </c>
      <c r="F377" s="37" t="n">
        <v>0.7550621352059175</v>
      </c>
      <c r="G377" s="37" t="n">
        <v>0.4083836911462342</v>
      </c>
      <c r="H377" s="37" t="n">
        <v>0.6547831726705284</v>
      </c>
      <c r="I377" s="37" t="n">
        <v>0.5861432293278622</v>
      </c>
      <c r="J377" s="37" t="n">
        <v>0.8816610473652065</v>
      </c>
      <c r="K377" s="39" t="inlineStr">
        <is>
          <t>Corregible</t>
        </is>
      </c>
      <c r="L377" s="29" t="n">
        <v>9.021814766715339</v>
      </c>
      <c r="M377" s="35" t="n">
        <v>112.1015946931016</v>
      </c>
      <c r="N377" s="36" t="n">
        <v>2757.158577598765</v>
      </c>
      <c r="O377" s="29" t="n">
        <v>3.887723992592846</v>
      </c>
      <c r="P377" s="16" t="inlineStr">
        <is>
          <t>sí</t>
        </is>
      </c>
      <c r="Q377" s="16" t="inlineStr">
        <is>
          <t>O2</t>
        </is>
      </c>
    </row>
    <row r="378">
      <c r="A378" s="16" t="inlineStr">
        <is>
          <t>KF-M09-R0-T_sumidero-0049</t>
        </is>
      </c>
      <c r="B378" s="35" t="n">
        <v>495.2491425488291</v>
      </c>
      <c r="C378" s="36" t="n">
        <v>4530.051731114983</v>
      </c>
      <c r="D378" s="35" t="n">
        <v>578.5936549675039</v>
      </c>
      <c r="E378" s="37" t="n">
        <v>0.7054712534208432</v>
      </c>
      <c r="F378" s="37" t="n">
        <v>0.443393371974108</v>
      </c>
      <c r="G378" s="37" t="n">
        <v>0.6216627249941931</v>
      </c>
      <c r="H378" s="37" t="n">
        <v>0.7023947251884168</v>
      </c>
      <c r="I378" s="37" t="n">
        <v>0.7020821705746154</v>
      </c>
      <c r="J378" s="37" t="n">
        <v>0.4917354168818897</v>
      </c>
      <c r="K378" s="40" t="inlineStr">
        <is>
          <t>Inviable</t>
        </is>
      </c>
      <c r="L378" s="29" t="n">
        <v>-36.75694405087526</v>
      </c>
      <c r="M378" s="35" t="n">
        <v>-192.9004318694288</v>
      </c>
      <c r="N378" s="36" t="n">
        <v>3951.45807614748</v>
      </c>
      <c r="O378" s="29" t="n">
        <v>7.829418266554287</v>
      </c>
      <c r="P378" s="16" t="inlineStr">
        <is>
          <t>sí</t>
        </is>
      </c>
      <c r="Q378" s="16" t="inlineStr">
        <is>
          <t>O2,O3</t>
        </is>
      </c>
    </row>
    <row r="379">
      <c r="A379" s="16" t="inlineStr">
        <is>
          <t>KF-M09-R0-T_sumidero-0050</t>
        </is>
      </c>
      <c r="B379" s="35" t="n">
        <v>487.3001348553231</v>
      </c>
      <c r="C379" s="36" t="n">
        <v>3058.337191580531</v>
      </c>
      <c r="D379" s="35" t="n">
        <v>1593.096838046561</v>
      </c>
      <c r="E379" s="37" t="n">
        <v>0.683536562855708</v>
      </c>
      <c r="F379" s="37" t="n">
        <v>0.5870964707285513</v>
      </c>
      <c r="G379" s="37" t="n">
        <v>0.9249402550214842</v>
      </c>
      <c r="H379" s="37" t="n">
        <v>0.5358209452390023</v>
      </c>
      <c r="I379" s="37" t="n">
        <v>0.4907595016994168</v>
      </c>
      <c r="J379" s="37" t="n">
        <v>0.9051566563777128</v>
      </c>
      <c r="K379" s="42" t="inlineStr">
        <is>
          <t>KALINA</t>
        </is>
      </c>
      <c r="L379" s="29" t="n">
        <v>3.58408222849292</v>
      </c>
      <c r="M379" s="35" t="n">
        <v>37.37871256110539</v>
      </c>
      <c r="N379" s="36" t="n">
        <v>1465.24035353397</v>
      </c>
      <c r="O379" s="29" t="n">
        <v>1.919743432125967</v>
      </c>
      <c r="P379" s="16" t="inlineStr">
        <is>
          <t>no</t>
        </is>
      </c>
      <c r="Q379" s="16" t="n"/>
    </row>
    <row r="380">
      <c r="A380" s="16" t="inlineStr">
        <is>
          <t>KF-M09-R0-T_sumidero-0051</t>
        </is>
      </c>
      <c r="B380" s="35" t="n">
        <v>426.8291978777472</v>
      </c>
      <c r="C380" s="36" t="n">
        <v>3187.275715191327</v>
      </c>
      <c r="D380" s="35" t="n">
        <v>744.2727963789196</v>
      </c>
      <c r="E380" s="37" t="n">
        <v>0.5706859624591054</v>
      </c>
      <c r="F380" s="37" t="n">
        <v>0.90813361706565</v>
      </c>
      <c r="G380" s="37" t="n">
        <v>0.4563045554519895</v>
      </c>
      <c r="H380" s="37" t="n">
        <v>0.4814353488235617</v>
      </c>
      <c r="I380" s="37" t="n">
        <v>0.8393098964628336</v>
      </c>
      <c r="J380" s="37" t="n">
        <v>0.4649039033257509</v>
      </c>
      <c r="K380" s="40" t="inlineStr">
        <is>
          <t>Inviable</t>
        </is>
      </c>
      <c r="L380" s="29" t="n">
        <v>-0.72381751016504</v>
      </c>
      <c r="M380" s="35" t="n">
        <v>-2.31362669389646</v>
      </c>
      <c r="N380" s="36" t="n">
        <v>2443.002918812407</v>
      </c>
      <c r="O380" s="29" t="n">
        <v>4.282402542049435</v>
      </c>
      <c r="P380" s="16" t="inlineStr">
        <is>
          <t>no</t>
        </is>
      </c>
      <c r="Q380" s="16" t="inlineStr">
        <is>
          <t>O2,O3</t>
        </is>
      </c>
    </row>
    <row r="381">
      <c r="A381" s="16" t="inlineStr">
        <is>
          <t>KF-M09-R0-T_sumidero-0052</t>
        </is>
      </c>
      <c r="B381" s="35" t="n">
        <v>410.6374158474644</v>
      </c>
      <c r="C381" s="36" t="n">
        <v>3989.620630201327</v>
      </c>
      <c r="D381" s="35" t="n">
        <v>1807.756988112083</v>
      </c>
      <c r="E381" s="37" t="n">
        <v>0.5025397381119595</v>
      </c>
      <c r="F381" s="37" t="n">
        <v>0.6727056359219379</v>
      </c>
      <c r="G381" s="37" t="n">
        <v>0.5080481551121405</v>
      </c>
      <c r="H381" s="37" t="n">
        <v>0.7911399304474469</v>
      </c>
      <c r="I381" s="37" t="n">
        <v>0.4814688393146246</v>
      </c>
      <c r="J381" s="37" t="n">
        <v>0.8108179321955085</v>
      </c>
      <c r="K381" s="40" t="inlineStr">
        <is>
          <t>Inviable</t>
        </is>
      </c>
      <c r="L381" s="29" t="n">
        <v>-0.37185864482078</v>
      </c>
      <c r="M381" s="35" t="n">
        <v>-1.095613579225457</v>
      </c>
      <c r="N381" s="36" t="n">
        <v>2181.863642089244</v>
      </c>
      <c r="O381" s="29" t="n">
        <v>2.206945212457929</v>
      </c>
      <c r="P381" s="16" t="inlineStr">
        <is>
          <t>no</t>
        </is>
      </c>
      <c r="Q381" s="16" t="inlineStr">
        <is>
          <t>O3</t>
        </is>
      </c>
    </row>
    <row r="382">
      <c r="A382" s="16" t="inlineStr">
        <is>
          <t>KF-M09-R0-T_sumidero-0053</t>
        </is>
      </c>
      <c r="B382" s="35" t="n">
        <v>406.2044773044362</v>
      </c>
      <c r="C382" s="36" t="n">
        <v>4756.58835602052</v>
      </c>
      <c r="D382" s="35" t="n">
        <v>1920.641335444949</v>
      </c>
      <c r="E382" s="37" t="n">
        <v>0.5036401750295657</v>
      </c>
      <c r="F382" s="37" t="n">
        <v>0.6991802790810293</v>
      </c>
      <c r="G382" s="37" t="n">
        <v>0.4438908882108985</v>
      </c>
      <c r="H382" s="37" t="n">
        <v>0.5233576706692565</v>
      </c>
      <c r="I382" s="37" t="n">
        <v>0.4672756623849994</v>
      </c>
      <c r="J382" s="37" t="n">
        <v>0.9131653176772404</v>
      </c>
      <c r="K382" s="32" t="inlineStr">
        <is>
          <t>No convergió</t>
        </is>
      </c>
      <c r="L382" s="29" t="inlineStr">
        <is>
          <t>—</t>
        </is>
      </c>
      <c r="M382" s="35" t="inlineStr">
        <is>
          <t>—</t>
        </is>
      </c>
      <c r="N382" s="36" t="n">
        <v>2835.947020575572</v>
      </c>
      <c r="O382" s="29" t="n">
        <v>2.476562525360091</v>
      </c>
      <c r="P382" s="16" t="inlineStr">
        <is>
          <t>no</t>
        </is>
      </c>
      <c r="Q382" s="16" t="n"/>
    </row>
    <row r="383">
      <c r="A383" s="16" t="inlineStr">
        <is>
          <t>KF-M09-R0-T_sumidero-0054</t>
        </is>
      </c>
      <c r="B383" s="35" t="n">
        <v>441.5522140924084</v>
      </c>
      <c r="C383" s="36" t="n">
        <v>4272.678444883267</v>
      </c>
      <c r="D383" s="35" t="n">
        <v>520.0675860606593</v>
      </c>
      <c r="E383" s="37" t="n">
        <v>0.8312889488759453</v>
      </c>
      <c r="F383" s="37" t="n">
        <v>0.7434839239580329</v>
      </c>
      <c r="G383" s="37" t="n">
        <v>0.4666586403843173</v>
      </c>
      <c r="H383" s="37" t="n">
        <v>0.8717065775062056</v>
      </c>
      <c r="I383" s="37" t="n">
        <v>0.7563345393434826</v>
      </c>
      <c r="J383" s="37" t="n">
        <v>0.7711685040831718</v>
      </c>
      <c r="K383" s="40" t="inlineStr">
        <is>
          <t>Inviable</t>
        </is>
      </c>
      <c r="L383" s="29" t="n">
        <v>-74.82981887272936</v>
      </c>
      <c r="M383" s="35" t="n">
        <v>-224.2731523199809</v>
      </c>
      <c r="N383" s="36" t="n">
        <v>3752.610858822608</v>
      </c>
      <c r="O383" s="29" t="n">
        <v>8.215621506518795</v>
      </c>
      <c r="P383" s="16" t="inlineStr">
        <is>
          <t>sí</t>
        </is>
      </c>
      <c r="Q383" s="16" t="inlineStr">
        <is>
          <t>O2,O3</t>
        </is>
      </c>
    </row>
    <row r="384">
      <c r="A384" s="16" t="inlineStr">
        <is>
          <t>KF-M09-R0-T_sumidero-0055</t>
        </is>
      </c>
      <c r="B384" s="35" t="n">
        <v>436.8361272352021</v>
      </c>
      <c r="C384" s="36" t="n">
        <v>3783.387098918007</v>
      </c>
      <c r="D384" s="35" t="n">
        <v>733.9726194314673</v>
      </c>
      <c r="E384" s="37" t="n">
        <v>0.5527025226316203</v>
      </c>
      <c r="F384" s="37" t="n">
        <v>0.4906738032804278</v>
      </c>
      <c r="G384" s="37" t="n">
        <v>0.8323196868552123</v>
      </c>
      <c r="H384" s="37" t="n">
        <v>0.788229316764002</v>
      </c>
      <c r="I384" s="37" t="n">
        <v>0.4409107636706464</v>
      </c>
      <c r="J384" s="37" t="n">
        <v>0.508817585624364</v>
      </c>
      <c r="K384" s="40" t="inlineStr">
        <is>
          <t>Inviable</t>
        </is>
      </c>
      <c r="L384" s="29" t="n">
        <v>-0.67840837335086</v>
      </c>
      <c r="M384" s="35" t="n">
        <v>-3.289735524097132</v>
      </c>
      <c r="N384" s="36" t="n">
        <v>3049.41447948654</v>
      </c>
      <c r="O384" s="29" t="n">
        <v>5.154670622248288</v>
      </c>
      <c r="P384" s="16" t="inlineStr">
        <is>
          <t>sí</t>
        </is>
      </c>
      <c r="Q384" s="16" t="inlineStr">
        <is>
          <t>O2,O3</t>
        </is>
      </c>
    </row>
    <row r="385">
      <c r="A385" s="16" t="inlineStr">
        <is>
          <t>KF-M09-R0-T_sumidero-0056</t>
        </is>
      </c>
      <c r="B385" s="35" t="n">
        <v>401.1973293253816</v>
      </c>
      <c r="C385" s="36" t="n">
        <v>2342.332034309009</v>
      </c>
      <c r="D385" s="35" t="n">
        <v>976.0019883036344</v>
      </c>
      <c r="E385" s="37" t="n">
        <v>0.6220398406900646</v>
      </c>
      <c r="F385" s="37" t="n">
        <v>0.4963390650221899</v>
      </c>
      <c r="G385" s="37" t="n">
        <v>0.8067205146572214</v>
      </c>
      <c r="H385" s="37" t="n">
        <v>0.5158603496888694</v>
      </c>
      <c r="I385" s="37" t="n">
        <v>0.5048422959188114</v>
      </c>
      <c r="J385" s="37" t="n">
        <v>0.482298834175151</v>
      </c>
      <c r="K385" s="40" t="inlineStr">
        <is>
          <t>Inviable</t>
        </is>
      </c>
      <c r="L385" s="29" t="n">
        <v>-0.7215554006349499</v>
      </c>
      <c r="M385" s="35" t="n">
        <v>-2.357085774242755</v>
      </c>
      <c r="N385" s="36" t="n">
        <v>1366.330046005374</v>
      </c>
      <c r="O385" s="29" t="n">
        <v>2.399925473902117</v>
      </c>
      <c r="P385" s="16" t="inlineStr">
        <is>
          <t>no</t>
        </is>
      </c>
      <c r="Q385" s="16" t="inlineStr">
        <is>
          <t>O2,O3</t>
        </is>
      </c>
    </row>
    <row r="386">
      <c r="A386" s="16" t="inlineStr">
        <is>
          <t>KF-M09-R0-T_sumidero-0057</t>
        </is>
      </c>
      <c r="B386" s="35" t="n">
        <v>414.2005012483788</v>
      </c>
      <c r="C386" s="36" t="n">
        <v>2495.544695598726</v>
      </c>
      <c r="D386" s="35" t="n">
        <v>1208.670280588396</v>
      </c>
      <c r="E386" s="37" t="n">
        <v>0.6723906983843807</v>
      </c>
      <c r="F386" s="37" t="n">
        <v>0.7997364946126012</v>
      </c>
      <c r="G386" s="37" t="n">
        <v>0.9194925914834896</v>
      </c>
      <c r="H386" s="37" t="n">
        <v>0.8876780659750925</v>
      </c>
      <c r="I386" s="37" t="n">
        <v>0.931952539565516</v>
      </c>
      <c r="J386" s="37" t="n">
        <v>0.4414899861727878</v>
      </c>
      <c r="K386" s="39" t="inlineStr">
        <is>
          <t>Corregible</t>
        </is>
      </c>
      <c r="L386" s="29" t="n">
        <v>3.86076255131546</v>
      </c>
      <c r="M386" s="35" t="n">
        <v>19.50240146534836</v>
      </c>
      <c r="N386" s="36" t="n">
        <v>1286.87441501033</v>
      </c>
      <c r="O386" s="29" t="n">
        <v>2.064702620456477</v>
      </c>
      <c r="P386" s="16" t="inlineStr">
        <is>
          <t>no</t>
        </is>
      </c>
      <c r="Q386" s="16" t="inlineStr">
        <is>
          <t>O2</t>
        </is>
      </c>
    </row>
    <row r="387">
      <c r="A387" s="16" t="inlineStr">
        <is>
          <t>KF-M09-R0-T_sumidero-0058</t>
        </is>
      </c>
      <c r="B387" s="35" t="n">
        <v>409.3381185529958</v>
      </c>
      <c r="C387" s="36" t="n">
        <v>4472.833389966878</v>
      </c>
      <c r="D387" s="35" t="n">
        <v>1645.30079558632</v>
      </c>
      <c r="E387" s="37" t="n">
        <v>0.5930770119054355</v>
      </c>
      <c r="F387" s="37" t="n">
        <v>0.6264539995036763</v>
      </c>
      <c r="G387" s="37" t="n">
        <v>0.6462400702731352</v>
      </c>
      <c r="H387" s="37" t="n">
        <v>0.6117821980180047</v>
      </c>
      <c r="I387" s="37" t="n">
        <v>0.4216710248482916</v>
      </c>
      <c r="J387" s="37" t="n">
        <v>0.7811087931561085</v>
      </c>
      <c r="K387" s="42" t="inlineStr">
        <is>
          <t>KALINA</t>
        </is>
      </c>
      <c r="L387" s="29" t="n">
        <v>0.43793866888586</v>
      </c>
      <c r="M387" s="35" t="n">
        <v>1.37427779155076</v>
      </c>
      <c r="N387" s="36" t="n">
        <v>2827.532594380557</v>
      </c>
      <c r="O387" s="29" t="n">
        <v>2.718550554382329</v>
      </c>
      <c r="P387" s="16" t="inlineStr">
        <is>
          <t>no</t>
        </is>
      </c>
      <c r="Q387" s="16" t="n"/>
    </row>
    <row r="388">
      <c r="A388" s="16" t="inlineStr">
        <is>
          <t>KF-M09-R0-T_sumidero-0059</t>
        </is>
      </c>
      <c r="B388" s="35" t="n">
        <v>440.0692884964717</v>
      </c>
      <c r="C388" s="36" t="n">
        <v>3759.109993190401</v>
      </c>
      <c r="D388" s="35" t="n">
        <v>1411.089153295084</v>
      </c>
      <c r="E388" s="37" t="n">
        <v>0.6681079345918005</v>
      </c>
      <c r="F388" s="37" t="n">
        <v>0.4210286875506667</v>
      </c>
      <c r="G388" s="37" t="n">
        <v>0.7182414782229981</v>
      </c>
      <c r="H388" s="37" t="n">
        <v>0.7799394815109271</v>
      </c>
      <c r="I388" s="37" t="n">
        <v>0.4588495653676612</v>
      </c>
      <c r="J388" s="37" t="n">
        <v>0.835463664236643</v>
      </c>
      <c r="K388" s="39" t="inlineStr">
        <is>
          <t>Corregible</t>
        </is>
      </c>
      <c r="L388" s="29" t="n">
        <v>3.55504718746849</v>
      </c>
      <c r="M388" s="35" t="n">
        <v>33.46526204480436</v>
      </c>
      <c r="N388" s="36" t="n">
        <v>2348.020839895317</v>
      </c>
      <c r="O388" s="29" t="n">
        <v>2.663977668889574</v>
      </c>
      <c r="P388" s="16" t="inlineStr">
        <is>
          <t>sí</t>
        </is>
      </c>
      <c r="Q388" s="16" t="inlineStr">
        <is>
          <t>O2</t>
        </is>
      </c>
    </row>
    <row r="389">
      <c r="A389" s="16" t="inlineStr">
        <is>
          <t>KF-M09-R0-T_sumidero-0060</t>
        </is>
      </c>
      <c r="B389" s="35" t="n">
        <v>392.2322060225696</v>
      </c>
      <c r="C389" s="36" t="n">
        <v>2764.591319773951</v>
      </c>
      <c r="D389" s="35" t="n">
        <v>1155.526325065522</v>
      </c>
      <c r="E389" s="37" t="n">
        <v>0.648375248201419</v>
      </c>
      <c r="F389" s="37" t="n">
        <v>0.8124144180091022</v>
      </c>
      <c r="G389" s="37" t="n">
        <v>0.6119932909312167</v>
      </c>
      <c r="H389" s="37" t="n">
        <v>0.5672648854865707</v>
      </c>
      <c r="I389" s="37" t="n">
        <v>0.5615753599259686</v>
      </c>
      <c r="J389" s="37" t="n">
        <v>0.4983312890059107</v>
      </c>
      <c r="K389" s="39" t="inlineStr">
        <is>
          <t>Corregible</t>
        </is>
      </c>
      <c r="L389" s="29" t="n">
        <v>2.39986704818902</v>
      </c>
      <c r="M389" s="35" t="n">
        <v>7.341486334720361</v>
      </c>
      <c r="N389" s="36" t="n">
        <v>1609.064994708428</v>
      </c>
      <c r="O389" s="29" t="n">
        <v>2.392495315601909</v>
      </c>
      <c r="P389" s="16" t="inlineStr">
        <is>
          <t>no</t>
        </is>
      </c>
      <c r="Q389" s="16" t="inlineStr">
        <is>
          <t>O2</t>
        </is>
      </c>
    </row>
    <row r="390">
      <c r="A390" s="16" t="inlineStr">
        <is>
          <t>KF-M09-R0-T_sumidero-0061</t>
        </is>
      </c>
      <c r="B390" s="35" t="n">
        <v>496.3734867934773</v>
      </c>
      <c r="C390" s="36" t="n">
        <v>4458.124048210619</v>
      </c>
      <c r="D390" s="35" t="n">
        <v>1548.150789449047</v>
      </c>
      <c r="E390" s="37" t="n">
        <v>0.6072053457697001</v>
      </c>
      <c r="F390" s="37" t="n">
        <v>0.6147377935700074</v>
      </c>
      <c r="G390" s="37" t="n">
        <v>0.6641719533542035</v>
      </c>
      <c r="H390" s="37" t="n">
        <v>0.8206310103050614</v>
      </c>
      <c r="I390" s="37" t="n">
        <v>0.7064137266523151</v>
      </c>
      <c r="J390" s="37" t="n">
        <v>0.4289764858683181</v>
      </c>
      <c r="K390" s="40" t="inlineStr">
        <is>
          <t>Inviable</t>
        </is>
      </c>
      <c r="L390" s="29" t="n">
        <v>-4.21247097869545</v>
      </c>
      <c r="M390" s="35" t="n">
        <v>-33.5774445508299</v>
      </c>
      <c r="N390" s="36" t="n">
        <v>2909.973258761572</v>
      </c>
      <c r="O390" s="29" t="n">
        <v>2.879644591853463</v>
      </c>
      <c r="P390" s="16" t="inlineStr">
        <is>
          <t>sí</t>
        </is>
      </c>
      <c r="Q390" s="16" t="inlineStr">
        <is>
          <t>O2,O3</t>
        </is>
      </c>
    </row>
    <row r="391">
      <c r="A391" s="16" t="inlineStr">
        <is>
          <t>KF-M09-R0-T_sumidero-0062</t>
        </is>
      </c>
      <c r="B391" s="35" t="n">
        <v>456.1693580369334</v>
      </c>
      <c r="C391" s="36" t="n">
        <v>2176.774072315784</v>
      </c>
      <c r="D391" s="35" t="n">
        <v>379.3436978835036</v>
      </c>
      <c r="E391" s="37" t="n">
        <v>0.6189583811589237</v>
      </c>
      <c r="F391" s="37" t="n">
        <v>0.7323271527523068</v>
      </c>
      <c r="G391" s="37" t="n">
        <v>0.5993261324086546</v>
      </c>
      <c r="H391" s="37" t="n">
        <v>0.8427916653508012</v>
      </c>
      <c r="I391" s="37" t="n">
        <v>0.9352247949988768</v>
      </c>
      <c r="J391" s="37" t="n">
        <v>0.636000651069506</v>
      </c>
      <c r="K391" s="40" t="inlineStr">
        <is>
          <t>Inviable</t>
        </is>
      </c>
      <c r="L391" s="29" t="n">
        <v>-1.59523303318037</v>
      </c>
      <c r="M391" s="35" t="n">
        <v>-14.96022813383161</v>
      </c>
      <c r="N391" s="36" t="n">
        <v>1797.43037443228</v>
      </c>
      <c r="O391" s="29" t="n">
        <v>5.738263438830796</v>
      </c>
      <c r="P391" s="16" t="inlineStr">
        <is>
          <t>sí</t>
        </is>
      </c>
      <c r="Q391" s="16" t="inlineStr">
        <is>
          <t>O2,O3</t>
        </is>
      </c>
    </row>
    <row r="392">
      <c r="A392" s="16" t="inlineStr">
        <is>
          <t>KF-M09-R0-T_sumidero-0063</t>
        </is>
      </c>
      <c r="B392" s="35" t="n">
        <v>411.3463644106573</v>
      </c>
      <c r="C392" s="36" t="n">
        <v>2593.581960556927</v>
      </c>
      <c r="D392" s="35" t="n">
        <v>918.3190357751024</v>
      </c>
      <c r="E392" s="37" t="n">
        <v>0.5505921878989168</v>
      </c>
      <c r="F392" s="37" t="n">
        <v>0.6387853424125267</v>
      </c>
      <c r="G392" s="37" t="n">
        <v>0.5199079458207616</v>
      </c>
      <c r="H392" s="37" t="n">
        <v>0.7076405666364389</v>
      </c>
      <c r="I392" s="37" t="n">
        <v>0.905961500691016</v>
      </c>
      <c r="J392" s="37" t="n">
        <v>0.6496681093502212</v>
      </c>
      <c r="K392" s="39" t="inlineStr">
        <is>
          <t>Corregible</t>
        </is>
      </c>
      <c r="L392" s="29" t="n">
        <v>4.98403676894889</v>
      </c>
      <c r="M392" s="35" t="n">
        <v>21.59149030243358</v>
      </c>
      <c r="N392" s="36" t="n">
        <v>1675.262924781824</v>
      </c>
      <c r="O392" s="29" t="n">
        <v>2.824271151439028</v>
      </c>
      <c r="P392" s="16" t="inlineStr">
        <is>
          <t>no</t>
        </is>
      </c>
      <c r="Q392" s="16" t="inlineStr">
        <is>
          <t>O2</t>
        </is>
      </c>
    </row>
    <row r="393">
      <c r="A393" s="16" t="inlineStr">
        <is>
          <t>KF-M09-R0-T_sumidero-0064</t>
        </is>
      </c>
      <c r="B393" s="35" t="n">
        <v>470.3556913460843</v>
      </c>
      <c r="C393" s="36" t="n">
        <v>3501.844850064972</v>
      </c>
      <c r="D393" s="35" t="n">
        <v>888.1944012295381</v>
      </c>
      <c r="E393" s="37" t="n">
        <v>0.7529417959050544</v>
      </c>
      <c r="F393" s="37" t="n">
        <v>0.4357439730216046</v>
      </c>
      <c r="G393" s="37" t="n">
        <v>0.7983441528958822</v>
      </c>
      <c r="H393" s="37" t="n">
        <v>0.5713316964428253</v>
      </c>
      <c r="I393" s="37" t="n">
        <v>0.7748283456332674</v>
      </c>
      <c r="J393" s="37" t="n">
        <v>0.4188484170138337</v>
      </c>
      <c r="K393" s="40" t="inlineStr">
        <is>
          <t>Inviable</t>
        </is>
      </c>
      <c r="L393" s="29" t="n">
        <v>-11.82342414621097</v>
      </c>
      <c r="M393" s="35" t="n">
        <v>-64.44695589374214</v>
      </c>
      <c r="N393" s="36" t="n">
        <v>2613.650448835434</v>
      </c>
      <c r="O393" s="29" t="n">
        <v>3.942655847883443</v>
      </c>
      <c r="P393" s="16" t="inlineStr">
        <is>
          <t>sí</t>
        </is>
      </c>
      <c r="Q393" s="16" t="inlineStr">
        <is>
          <t>O2,O3</t>
        </is>
      </c>
    </row>
    <row r="394">
      <c r="A394" s="16" t="inlineStr">
        <is>
          <t>KF-M09-R0-T_sumidero-0065</t>
        </is>
      </c>
      <c r="B394" s="35" t="n">
        <v>453.929990085683</v>
      </c>
      <c r="C394" s="36" t="n">
        <v>3935.283107365786</v>
      </c>
      <c r="D394" s="35" t="n">
        <v>1432.738228463194</v>
      </c>
      <c r="E394" s="37" t="n">
        <v>0.7466468285644028</v>
      </c>
      <c r="F394" s="37" t="n">
        <v>0.7792961973760489</v>
      </c>
      <c r="G394" s="37" t="n">
        <v>0.8776875029159158</v>
      </c>
      <c r="H394" s="37" t="n">
        <v>0.5379320461612138</v>
      </c>
      <c r="I394" s="37" t="n">
        <v>0.6728850976189258</v>
      </c>
      <c r="J394" s="37" t="n">
        <v>0.4225820516299173</v>
      </c>
      <c r="K394" s="39" t="inlineStr">
        <is>
          <t>Corregible</t>
        </is>
      </c>
      <c r="L394" s="29" t="n">
        <v>3.69578946289761</v>
      </c>
      <c r="M394" s="35" t="n">
        <v>20.50619333460574</v>
      </c>
      <c r="N394" s="36" t="n">
        <v>2502.544878902592</v>
      </c>
      <c r="O394" s="29" t="n">
        <v>2.7466867493212</v>
      </c>
      <c r="P394" s="16" t="inlineStr">
        <is>
          <t>sí</t>
        </is>
      </c>
      <c r="Q394" s="16" t="inlineStr">
        <is>
          <t>O2</t>
        </is>
      </c>
    </row>
    <row r="395">
      <c r="A395" s="16" t="inlineStr">
        <is>
          <t>KF-M09-R0-T_sumidero-0066</t>
        </is>
      </c>
      <c r="B395" s="35" t="n">
        <v>398.9122613245454</v>
      </c>
      <c r="C395" s="36" t="n">
        <v>3821.837162749318</v>
      </c>
      <c r="D395" s="35" t="n">
        <v>557.4672690384355</v>
      </c>
      <c r="E395" s="37" t="n">
        <v>0.7153817762284758</v>
      </c>
      <c r="F395" s="37" t="n">
        <v>0.7867538182846951</v>
      </c>
      <c r="G395" s="37" t="n">
        <v>0.567220700049987</v>
      </c>
      <c r="H395" s="37" t="n">
        <v>0.6750962872529358</v>
      </c>
      <c r="I395" s="37" t="n">
        <v>0.6474760592272626</v>
      </c>
      <c r="J395" s="37" t="n">
        <v>0.7369554243480676</v>
      </c>
      <c r="K395" s="40" t="inlineStr">
        <is>
          <t>Inviable</t>
        </is>
      </c>
      <c r="L395" s="29" t="n">
        <v>-18.84444304950669</v>
      </c>
      <c r="M395" s="35" t="n">
        <v>-46.46420184843176</v>
      </c>
      <c r="N395" s="36" t="n">
        <v>3264.369893710883</v>
      </c>
      <c r="O395" s="29" t="n">
        <v>6.855715797165153</v>
      </c>
      <c r="P395" s="16" t="inlineStr">
        <is>
          <t>no</t>
        </is>
      </c>
      <c r="Q395" s="16" t="inlineStr">
        <is>
          <t>O2,O3</t>
        </is>
      </c>
    </row>
    <row r="396">
      <c r="A396" s="16" t="inlineStr">
        <is>
          <t>KF-M09-R0-T_sumidero-0067</t>
        </is>
      </c>
      <c r="B396" s="35" t="n">
        <v>463.6542387376105</v>
      </c>
      <c r="C396" s="36" t="n">
        <v>3588.850044599738</v>
      </c>
      <c r="D396" s="35" t="n">
        <v>1906.47152298078</v>
      </c>
      <c r="E396" s="37" t="n">
        <v>0.6915833511629492</v>
      </c>
      <c r="F396" s="37" t="n">
        <v>0.5100870877803345</v>
      </c>
      <c r="G396" s="37" t="n">
        <v>0.7842534763270108</v>
      </c>
      <c r="H396" s="37" t="n">
        <v>0.8773374465490976</v>
      </c>
      <c r="I396" s="37" t="n">
        <v>0.9175208122052128</v>
      </c>
      <c r="J396" s="37" t="n">
        <v>0.6193432636768006</v>
      </c>
      <c r="K396" s="39" t="inlineStr">
        <is>
          <t>Corregible</t>
        </is>
      </c>
      <c r="L396" s="29" t="n">
        <v>0.95527403273863</v>
      </c>
      <c r="M396" s="35" t="n">
        <v>10.79761781995413</v>
      </c>
      <c r="N396" s="36" t="n">
        <v>1682.378521618958</v>
      </c>
      <c r="O396" s="29" t="n">
        <v>1.882456675245035</v>
      </c>
      <c r="P396" s="16" t="inlineStr">
        <is>
          <t>sí</t>
        </is>
      </c>
      <c r="Q396" s="16" t="inlineStr">
        <is>
          <t>O2</t>
        </is>
      </c>
    </row>
    <row r="397">
      <c r="A397" s="16" t="inlineStr">
        <is>
          <t>KF-M09-R0-T_sumidero-0068</t>
        </is>
      </c>
      <c r="B397" s="35" t="n">
        <v>393.8419833465968</v>
      </c>
      <c r="C397" s="36" t="n">
        <v>3433.368623997168</v>
      </c>
      <c r="D397" s="35" t="n">
        <v>1382.373048894998</v>
      </c>
      <c r="E397" s="37" t="n">
        <v>0.5159864965535395</v>
      </c>
      <c r="F397" s="37" t="n">
        <v>0.552883608280361</v>
      </c>
      <c r="G397" s="37" t="n">
        <v>0.4510371489365221</v>
      </c>
      <c r="H397" s="37" t="n">
        <v>0.9478279287630884</v>
      </c>
      <c r="I397" s="37" t="n">
        <v>0.7144291751378653</v>
      </c>
      <c r="J397" s="37" t="n">
        <v>0.8433377178514931</v>
      </c>
      <c r="K397" s="40" t="inlineStr">
        <is>
          <t>Inviable</t>
        </is>
      </c>
      <c r="L397" s="29" t="n">
        <v>-1.54963319239014</v>
      </c>
      <c r="M397" s="35" t="n">
        <v>-2.673190989384982</v>
      </c>
      <c r="N397" s="36" t="n">
        <v>2050.995575102171</v>
      </c>
      <c r="O397" s="29" t="n">
        <v>2.483677345085423</v>
      </c>
      <c r="P397" s="16" t="inlineStr">
        <is>
          <t>no</t>
        </is>
      </c>
      <c r="Q397" s="16" t="inlineStr">
        <is>
          <t>O3</t>
        </is>
      </c>
    </row>
    <row r="398">
      <c r="A398" s="16" t="inlineStr">
        <is>
          <t>KF-M09-R0-T_sumidero-0069</t>
        </is>
      </c>
      <c r="B398" s="35" t="n">
        <v>395.7203502738015</v>
      </c>
      <c r="C398" s="36" t="n">
        <v>4783.542202281548</v>
      </c>
      <c r="D398" s="35" t="n">
        <v>421.1379973628034</v>
      </c>
      <c r="E398" s="37" t="n">
        <v>0.6793815027446781</v>
      </c>
      <c r="F398" s="37" t="n">
        <v>0.6234483931148621</v>
      </c>
      <c r="G398" s="37" t="n">
        <v>0.500016458717413</v>
      </c>
      <c r="H398" s="37" t="n">
        <v>0.8483100983242118</v>
      </c>
      <c r="I398" s="37" t="n">
        <v>0.6098337794365356</v>
      </c>
      <c r="J398" s="37" t="n">
        <v>0.5690889869917459</v>
      </c>
      <c r="K398" s="32" t="inlineStr">
        <is>
          <t>No convergió</t>
        </is>
      </c>
      <c r="L398" s="29" t="inlineStr">
        <is>
          <t>—</t>
        </is>
      </c>
      <c r="M398" s="35" t="inlineStr">
        <is>
          <t>—</t>
        </is>
      </c>
      <c r="N398" s="36" t="n">
        <v>4362.404204918745</v>
      </c>
      <c r="O398" s="29" t="n">
        <v>11.35860984341578</v>
      </c>
      <c r="P398" s="16" t="inlineStr">
        <is>
          <t>no</t>
        </is>
      </c>
      <c r="Q398" s="16" t="n"/>
    </row>
    <row r="399">
      <c r="A399" s="16" t="inlineStr">
        <is>
          <t>KF-M09-R0-T_sumidero-0070</t>
        </is>
      </c>
      <c r="B399" s="35" t="n">
        <v>480.2417285998896</v>
      </c>
      <c r="C399" s="36" t="n">
        <v>3285.861117934201</v>
      </c>
      <c r="D399" s="35" t="n">
        <v>1305.479182674044</v>
      </c>
      <c r="E399" s="37" t="n">
        <v>0.6120923271733236</v>
      </c>
      <c r="F399" s="37" t="n">
        <v>0.6024429154872446</v>
      </c>
      <c r="G399" s="37" t="n">
        <v>0.4472429774458999</v>
      </c>
      <c r="H399" s="37" t="n">
        <v>0.4762058464832407</v>
      </c>
      <c r="I399" s="37" t="n">
        <v>0.4272892906201045</v>
      </c>
      <c r="J399" s="37" t="n">
        <v>0.825990127038285</v>
      </c>
      <c r="K399" s="39" t="inlineStr">
        <is>
          <t>Corregible</t>
        </is>
      </c>
      <c r="L399" s="29" t="n">
        <v>4.54157974055071</v>
      </c>
      <c r="M399" s="35" t="n">
        <v>41.85940550017654</v>
      </c>
      <c r="N399" s="36" t="n">
        <v>1980.381935260156</v>
      </c>
      <c r="O399" s="29" t="n">
        <v>2.516977031532355</v>
      </c>
      <c r="P399" s="16" t="inlineStr">
        <is>
          <t>sí</t>
        </is>
      </c>
      <c r="Q399" s="16" t="inlineStr">
        <is>
          <t>O2</t>
        </is>
      </c>
    </row>
    <row r="400">
      <c r="A400" s="16" t="inlineStr">
        <is>
          <t>KF-M09-R0-T_sumidero-0071</t>
        </is>
      </c>
      <c r="B400" s="35" t="n">
        <v>509.7858690313926</v>
      </c>
      <c r="C400" s="36" t="n">
        <v>2876.596593764835</v>
      </c>
      <c r="D400" s="35" t="n">
        <v>333.8443515337697</v>
      </c>
      <c r="E400" s="37" t="n">
        <v>0.5176317206655628</v>
      </c>
      <c r="F400" s="37" t="n">
        <v>0.4845683947515851</v>
      </c>
      <c r="G400" s="37" t="n">
        <v>0.4206397885393534</v>
      </c>
      <c r="H400" s="37" t="n">
        <v>0.6419108036008573</v>
      </c>
      <c r="I400" s="37" t="n">
        <v>0.4616424309718777</v>
      </c>
      <c r="J400" s="37" t="n">
        <v>0.8581458851744695</v>
      </c>
      <c r="K400" s="39" t="inlineStr">
        <is>
          <t>Corregible</t>
        </is>
      </c>
      <c r="L400" s="29" t="n">
        <v>4.35974867565488</v>
      </c>
      <c r="M400" s="35" t="n">
        <v>56.80828859591554</v>
      </c>
      <c r="N400" s="36" t="n">
        <v>2542.752242231065</v>
      </c>
      <c r="O400" s="29" t="n">
        <v>8.616580093534564</v>
      </c>
      <c r="P400" s="16" t="inlineStr">
        <is>
          <t>sí</t>
        </is>
      </c>
      <c r="Q400" s="16" t="inlineStr">
        <is>
          <t>O2</t>
        </is>
      </c>
    </row>
    <row r="401">
      <c r="A401" s="16" t="inlineStr">
        <is>
          <t>KF-M09-R0-T_sumidero-0072</t>
        </is>
      </c>
      <c r="B401" s="35" t="n">
        <v>407.6755497014954</v>
      </c>
      <c r="C401" s="36" t="n">
        <v>2221.640114127998</v>
      </c>
      <c r="D401" s="35" t="n">
        <v>528.8085837811293</v>
      </c>
      <c r="E401" s="37" t="n">
        <v>0.742505070720209</v>
      </c>
      <c r="F401" s="37" t="n">
        <v>0.5774707564731261</v>
      </c>
      <c r="G401" s="37" t="n">
        <v>0.8905134552125005</v>
      </c>
      <c r="H401" s="37" t="n">
        <v>0.7708496810049414</v>
      </c>
      <c r="I401" s="37" t="n">
        <v>0.9062994526289708</v>
      </c>
      <c r="J401" s="37" t="n">
        <v>0.5154515901896747</v>
      </c>
      <c r="K401" s="40" t="inlineStr">
        <is>
          <t>Inviable</t>
        </is>
      </c>
      <c r="L401" s="29" t="n">
        <v>-12.56419013041515</v>
      </c>
      <c r="M401" s="35" t="n">
        <v>-40.381544530174</v>
      </c>
      <c r="N401" s="36" t="n">
        <v>1692.831530346869</v>
      </c>
      <c r="O401" s="29" t="n">
        <v>4.201217949683514</v>
      </c>
      <c r="P401" s="16" t="inlineStr">
        <is>
          <t>no</t>
        </is>
      </c>
      <c r="Q401" s="16" t="inlineStr">
        <is>
          <t>O2,O3</t>
        </is>
      </c>
    </row>
    <row r="402">
      <c r="A402" s="16" t="inlineStr">
        <is>
          <t>KF-M09-R0-T_sumidero-0073</t>
        </is>
      </c>
      <c r="B402" s="35" t="n">
        <v>479.2943043221845</v>
      </c>
      <c r="C402" s="36" t="n">
        <v>3956.998735146946</v>
      </c>
      <c r="D402" s="35" t="n">
        <v>1402.728646335202</v>
      </c>
      <c r="E402" s="37" t="n">
        <v>0.7380344588919702</v>
      </c>
      <c r="F402" s="37" t="n">
        <v>0.8817429711975752</v>
      </c>
      <c r="G402" s="37" t="n">
        <v>0.7409902184668615</v>
      </c>
      <c r="H402" s="37" t="n">
        <v>0.4207504089013443</v>
      </c>
      <c r="I402" s="37" t="n">
        <v>0.7844499958288276</v>
      </c>
      <c r="J402" s="37" t="n">
        <v>0.6377901302364741</v>
      </c>
      <c r="K402" s="39" t="inlineStr">
        <is>
          <t>Corregible</t>
        </is>
      </c>
      <c r="L402" s="29" t="n">
        <v>8.31302435066447</v>
      </c>
      <c r="M402" s="35" t="n">
        <v>55.01565408875665</v>
      </c>
      <c r="N402" s="36" t="n">
        <v>2554.270088811744</v>
      </c>
      <c r="O402" s="29" t="n">
        <v>2.820929582842044</v>
      </c>
      <c r="P402" s="16" t="inlineStr">
        <is>
          <t>no</t>
        </is>
      </c>
      <c r="Q402" s="16" t="inlineStr">
        <is>
          <t>O2</t>
        </is>
      </c>
    </row>
    <row r="403">
      <c r="A403" s="16" t="inlineStr">
        <is>
          <t>KF-M09-R0-T_sumidero-0074</t>
        </is>
      </c>
      <c r="B403" s="35" t="n">
        <v>465.8683536386426</v>
      </c>
      <c r="C403" s="36" t="n">
        <v>2975.423467168941</v>
      </c>
      <c r="D403" s="35" t="n">
        <v>843.1057327487717</v>
      </c>
      <c r="E403" s="37" t="n">
        <v>0.62576025634734</v>
      </c>
      <c r="F403" s="37" t="n">
        <v>0.5969190596011327</v>
      </c>
      <c r="G403" s="37" t="n">
        <v>0.6280532541608604</v>
      </c>
      <c r="H403" s="37" t="n">
        <v>0.9115858551270136</v>
      </c>
      <c r="I403" s="37" t="n">
        <v>0.4081153950535582</v>
      </c>
      <c r="J403" s="37" t="n">
        <v>0.8184205196463653</v>
      </c>
      <c r="K403" s="39" t="inlineStr">
        <is>
          <t>Corregible</t>
        </is>
      </c>
      <c r="L403" s="29" t="n">
        <v>5.37376008244783</v>
      </c>
      <c r="M403" s="35" t="n">
        <v>86.88433470024724</v>
      </c>
      <c r="N403" s="36" t="n">
        <v>2132.317734420169</v>
      </c>
      <c r="O403" s="29" t="n">
        <v>3.529122566238743</v>
      </c>
      <c r="P403" s="16" t="inlineStr">
        <is>
          <t>sí</t>
        </is>
      </c>
      <c r="Q403" s="16" t="inlineStr">
        <is>
          <t>O2</t>
        </is>
      </c>
    </row>
    <row r="404">
      <c r="A404" s="16" t="inlineStr">
        <is>
          <t>KF-M09-R0-T_sumidero-0075</t>
        </is>
      </c>
      <c r="B404" s="35" t="n">
        <v>464.3007913357005</v>
      </c>
      <c r="C404" s="36" t="n">
        <v>4335.035747487424</v>
      </c>
      <c r="D404" s="35" t="n">
        <v>1671.773081919895</v>
      </c>
      <c r="E404" s="37" t="n">
        <v>0.6304438805086795</v>
      </c>
      <c r="F404" s="37" t="n">
        <v>0.9164839295542264</v>
      </c>
      <c r="G404" s="37" t="n">
        <v>0.9354520757101208</v>
      </c>
      <c r="H404" s="37" t="n">
        <v>0.7519482668469966</v>
      </c>
      <c r="I404" s="37" t="n">
        <v>0.8453196929534507</v>
      </c>
      <c r="J404" s="37" t="n">
        <v>0.4859151032142847</v>
      </c>
      <c r="K404" s="39" t="inlineStr">
        <is>
          <t>Corregible</t>
        </is>
      </c>
      <c r="L404" s="29" t="n">
        <v>7.59386234624874</v>
      </c>
      <c r="M404" s="35" t="n">
        <v>55.32079210788416</v>
      </c>
      <c r="N404" s="36" t="n">
        <v>2663.262665567529</v>
      </c>
      <c r="O404" s="29" t="n">
        <v>2.5930766527889</v>
      </c>
      <c r="P404" s="16" t="inlineStr">
        <is>
          <t>sí</t>
        </is>
      </c>
      <c r="Q404" s="16" t="inlineStr">
        <is>
          <t>O2</t>
        </is>
      </c>
    </row>
    <row r="405">
      <c r="A405" s="16" t="inlineStr">
        <is>
          <t>KF-M09-R0-T_sumidero-0076</t>
        </is>
      </c>
      <c r="B405" s="35" t="n">
        <v>472.0898626474099</v>
      </c>
      <c r="C405" s="36" t="n">
        <v>2521.721417963924</v>
      </c>
      <c r="D405" s="35" t="n">
        <v>911.9023887875624</v>
      </c>
      <c r="E405" s="37" t="n">
        <v>0.7680090550373347</v>
      </c>
      <c r="F405" s="37" t="n">
        <v>0.8173449558188275</v>
      </c>
      <c r="G405" s="37" t="n">
        <v>0.7437631901976067</v>
      </c>
      <c r="H405" s="37" t="n">
        <v>0.7644184763687722</v>
      </c>
      <c r="I405" s="37" t="n">
        <v>0.4111114491571954</v>
      </c>
      <c r="J405" s="37" t="n">
        <v>0.5569649748846704</v>
      </c>
      <c r="K405" s="39" t="inlineStr">
        <is>
          <t>Corregible</t>
        </is>
      </c>
      <c r="L405" s="29" t="n">
        <v>4.164002057670229</v>
      </c>
      <c r="M405" s="35" t="n">
        <v>37.75358151910578</v>
      </c>
      <c r="N405" s="36" t="n">
        <v>1609.819029176362</v>
      </c>
      <c r="O405" s="29" t="n">
        <v>2.765341388475501</v>
      </c>
      <c r="P405" s="16" t="inlineStr">
        <is>
          <t>sí</t>
        </is>
      </c>
      <c r="Q405" s="16" t="inlineStr">
        <is>
          <t>O2</t>
        </is>
      </c>
    </row>
    <row r="406">
      <c r="A406" s="16" t="inlineStr">
        <is>
          <t>KF-M09-R0-T_sumidero-0077</t>
        </is>
      </c>
      <c r="B406" s="35" t="n">
        <v>508.665034952753</v>
      </c>
      <c r="C406" s="36" t="n">
        <v>4356.89334638051</v>
      </c>
      <c r="D406" s="35" t="n">
        <v>687.9954060397788</v>
      </c>
      <c r="E406" s="37" t="n">
        <v>0.8080546583213262</v>
      </c>
      <c r="F406" s="37" t="n">
        <v>0.7516208953236201</v>
      </c>
      <c r="G406" s="37" t="n">
        <v>0.8958325675861045</v>
      </c>
      <c r="H406" s="37" t="n">
        <v>0.8986004257281781</v>
      </c>
      <c r="I406" s="37" t="n">
        <v>0.5325835053226949</v>
      </c>
      <c r="J406" s="37" t="n">
        <v>0.7240076213311379</v>
      </c>
      <c r="K406" s="32" t="inlineStr">
        <is>
          <t>No convergió</t>
        </is>
      </c>
      <c r="L406" s="29" t="inlineStr">
        <is>
          <t>—</t>
        </is>
      </c>
      <c r="M406" s="35" t="inlineStr">
        <is>
          <t>—</t>
        </is>
      </c>
      <c r="N406" s="36" t="n">
        <v>3668.897940340731</v>
      </c>
      <c r="O406" s="29" t="n">
        <v>6.332736102788164</v>
      </c>
      <c r="P406" s="16" t="inlineStr">
        <is>
          <t>no</t>
        </is>
      </c>
      <c r="Q406" s="16" t="n"/>
    </row>
    <row r="407">
      <c r="A407" s="16" t="inlineStr">
        <is>
          <t>KF-M09-R0-T_sumidero-0078</t>
        </is>
      </c>
      <c r="B407" s="35" t="n">
        <v>412.560018014262</v>
      </c>
      <c r="C407" s="36" t="n">
        <v>2035.57045200608</v>
      </c>
      <c r="D407" s="35" t="n">
        <v>499.2857977868781</v>
      </c>
      <c r="E407" s="37" t="n">
        <v>0.5820063433998048</v>
      </c>
      <c r="F407" s="37" t="n">
        <v>0.7116580410765536</v>
      </c>
      <c r="G407" s="37" t="n">
        <v>0.4322144673195037</v>
      </c>
      <c r="H407" s="37" t="n">
        <v>0.4849317304336552</v>
      </c>
      <c r="I407" s="37" t="n">
        <v>0.8972027121245995</v>
      </c>
      <c r="J407" s="37" t="n">
        <v>0.4004991886616215</v>
      </c>
      <c r="K407" s="40" t="inlineStr">
        <is>
          <t>Inviable</t>
        </is>
      </c>
      <c r="L407" s="29" t="n">
        <v>-22.66556401671862</v>
      </c>
      <c r="M407" s="35" t="n">
        <v>-60.23634286778368</v>
      </c>
      <c r="N407" s="36" t="n">
        <v>1536.284654219202</v>
      </c>
      <c r="O407" s="29" t="n">
        <v>4.076964458089734</v>
      </c>
      <c r="P407" s="16" t="inlineStr">
        <is>
          <t>no</t>
        </is>
      </c>
      <c r="Q407" s="16" t="inlineStr">
        <is>
          <t>O2,O3</t>
        </is>
      </c>
    </row>
    <row r="408">
      <c r="A408" s="16" t="inlineStr">
        <is>
          <t>KF-M09-R0-T_sumidero-0079</t>
        </is>
      </c>
      <c r="B408" s="35" t="n">
        <v>405.0024749091284</v>
      </c>
      <c r="C408" s="36" t="n">
        <v>4559.972369688541</v>
      </c>
      <c r="D408" s="35" t="n">
        <v>1111.227968025885</v>
      </c>
      <c r="E408" s="37" t="n">
        <v>0.6538052167265834</v>
      </c>
      <c r="F408" s="37" t="n">
        <v>0.8507946638254922</v>
      </c>
      <c r="G408" s="37" t="n">
        <v>0.5600245520908895</v>
      </c>
      <c r="H408" s="37" t="n">
        <v>0.8022097948695113</v>
      </c>
      <c r="I408" s="37" t="n">
        <v>0.4525957800432778</v>
      </c>
      <c r="J408" s="37" t="n">
        <v>0.7924906945005127</v>
      </c>
      <c r="K408" s="39" t="inlineStr">
        <is>
          <t>Corregible</t>
        </is>
      </c>
      <c r="L408" s="29" t="n">
        <v>6.58331615089424</v>
      </c>
      <c r="M408" s="35" t="n">
        <v>29.63873653125128</v>
      </c>
      <c r="N408" s="36" t="n">
        <v>3448.744401662656</v>
      </c>
      <c r="O408" s="29" t="n">
        <v>4.103543558023838</v>
      </c>
      <c r="P408" s="16" t="inlineStr">
        <is>
          <t>no</t>
        </is>
      </c>
      <c r="Q408" s="16" t="inlineStr">
        <is>
          <t>O2</t>
        </is>
      </c>
    </row>
    <row r="409">
      <c r="A409" s="16" t="inlineStr">
        <is>
          <t>KF-M09-R0-T_sumidero-0080</t>
        </is>
      </c>
      <c r="B409" s="35" t="n">
        <v>448.298011665018</v>
      </c>
      <c r="C409" s="36" t="n">
        <v>2603.392779053732</v>
      </c>
      <c r="D409" s="35" t="n">
        <v>1732.970468452583</v>
      </c>
      <c r="E409" s="37" t="n">
        <v>0.790387891348821</v>
      </c>
      <c r="F409" s="37" t="n">
        <v>0.9056458141940512</v>
      </c>
      <c r="G409" s="37" t="n">
        <v>0.5467947090697483</v>
      </c>
      <c r="H409" s="37" t="n">
        <v>0.652717325859751</v>
      </c>
      <c r="I409" s="37" t="n">
        <v>0.6088860840320081</v>
      </c>
      <c r="J409" s="37" t="n">
        <v>0.9259420599490792</v>
      </c>
      <c r="K409" s="42" t="inlineStr">
        <is>
          <t>KALINA</t>
        </is>
      </c>
      <c r="L409" s="29" t="n">
        <v>3.88631972070694</v>
      </c>
      <c r="M409" s="35" t="n">
        <v>43.83821465595518</v>
      </c>
      <c r="N409" s="36" t="n">
        <v>870.4223106011489</v>
      </c>
      <c r="O409" s="29" t="n">
        <v>1.502271865820294</v>
      </c>
      <c r="P409" s="16" t="inlineStr">
        <is>
          <t>no</t>
        </is>
      </c>
      <c r="Q409" s="16" t="n"/>
    </row>
    <row r="410">
      <c r="A410" s="16" t="inlineStr">
        <is>
          <t>KF-M09-R0-T_sumidero-0081</t>
        </is>
      </c>
      <c r="B410" s="35" t="n">
        <v>384.1350932021778</v>
      </c>
      <c r="C410" s="36" t="n">
        <v>3342.736222942512</v>
      </c>
      <c r="D410" s="35" t="n">
        <v>714.8067582435117</v>
      </c>
      <c r="E410" s="37" t="n">
        <v>0.8227963368225164</v>
      </c>
      <c r="F410" s="37" t="n">
        <v>0.8398047039608481</v>
      </c>
      <c r="G410" s="37" t="n">
        <v>0.9107672566356328</v>
      </c>
      <c r="H410" s="37" t="n">
        <v>0.6301557518355064</v>
      </c>
      <c r="I410" s="37" t="n">
        <v>0.6401264950960164</v>
      </c>
      <c r="J410" s="37" t="n">
        <v>0.5925815685138064</v>
      </c>
      <c r="K410" s="40" t="inlineStr">
        <is>
          <t>Inviable</t>
        </is>
      </c>
      <c r="L410" s="29" t="n">
        <v>-4.84078386710169</v>
      </c>
      <c r="M410" s="35" t="n">
        <v>-9.353570023516014</v>
      </c>
      <c r="N410" s="36" t="n">
        <v>2627.929464699</v>
      </c>
      <c r="O410" s="29" t="n">
        <v>4.676419443985935</v>
      </c>
      <c r="P410" s="16" t="inlineStr">
        <is>
          <t>no</t>
        </is>
      </c>
      <c r="Q410" s="16" t="inlineStr">
        <is>
          <t>O2,O3</t>
        </is>
      </c>
    </row>
    <row r="411">
      <c r="A411" s="16" t="inlineStr">
        <is>
          <t>KF-M09-R0-T_sumidero-0082</t>
        </is>
      </c>
      <c r="B411" s="35" t="n">
        <v>499.7116278405019</v>
      </c>
      <c r="C411" s="36" t="n">
        <v>2270.714923695136</v>
      </c>
      <c r="D411" s="35" t="n">
        <v>437.5462223756422</v>
      </c>
      <c r="E411" s="37" t="n">
        <v>0.8026894237520315</v>
      </c>
      <c r="F411" s="37" t="n">
        <v>0.7192853642222015</v>
      </c>
      <c r="G411" s="37" t="n">
        <v>0.7005914720896302</v>
      </c>
      <c r="H411" s="37" t="n">
        <v>0.6200060108035296</v>
      </c>
      <c r="I411" s="37" t="n">
        <v>0.8169567008407435</v>
      </c>
      <c r="J411" s="37" t="n">
        <v>0.8481049754319709</v>
      </c>
      <c r="K411" s="40" t="inlineStr">
        <is>
          <t>Inviable</t>
        </is>
      </c>
      <c r="L411" s="29" t="n">
        <v>-6.440870604691621</v>
      </c>
      <c r="M411" s="35" t="n">
        <v>-37.8815998870875</v>
      </c>
      <c r="N411" s="36" t="n">
        <v>1833.168701319494</v>
      </c>
      <c r="O411" s="29" t="n">
        <v>5.189657246647835</v>
      </c>
      <c r="P411" s="16" t="inlineStr">
        <is>
          <t>no</t>
        </is>
      </c>
      <c r="Q411" s="16" t="inlineStr">
        <is>
          <t>O2,O3</t>
        </is>
      </c>
    </row>
    <row r="412">
      <c r="A412" s="16" t="inlineStr">
        <is>
          <t>KF-M09-R0-T_sumidero-0083</t>
        </is>
      </c>
      <c r="B412" s="35" t="n">
        <v>492.0187117773429</v>
      </c>
      <c r="C412" s="36" t="n">
        <v>3552.125529511741</v>
      </c>
      <c r="D412" s="35" t="n">
        <v>631.2398365244177</v>
      </c>
      <c r="E412" s="37" t="n">
        <v>0.8346646218422829</v>
      </c>
      <c r="F412" s="37" t="n">
        <v>0.7064520644289868</v>
      </c>
      <c r="G412" s="37" t="n">
        <v>0.9319816045506608</v>
      </c>
      <c r="H412" s="37" t="n">
        <v>0.6353168752206789</v>
      </c>
      <c r="I412" s="37" t="n">
        <v>0.8469824970668189</v>
      </c>
      <c r="J412" s="37" t="n">
        <v>0.5265356380697261</v>
      </c>
      <c r="K412" s="32" t="inlineStr">
        <is>
          <t>No convergió</t>
        </is>
      </c>
      <c r="L412" s="29" t="inlineStr">
        <is>
          <t>—</t>
        </is>
      </c>
      <c r="M412" s="35" t="inlineStr">
        <is>
          <t>—</t>
        </is>
      </c>
      <c r="N412" s="36" t="n">
        <v>2920.885692987323</v>
      </c>
      <c r="O412" s="29" t="n">
        <v>5.627220153071466</v>
      </c>
      <c r="P412" s="16" t="inlineStr">
        <is>
          <t>no</t>
        </is>
      </c>
      <c r="Q412" s="16" t="n"/>
    </row>
    <row r="413">
      <c r="A413" s="16" t="inlineStr">
        <is>
          <t>KF-M09-R0-T_sumidero-0084</t>
        </is>
      </c>
      <c r="B413" s="35" t="n">
        <v>454.6265755126815</v>
      </c>
      <c r="C413" s="36" t="n">
        <v>4693.378853716527</v>
      </c>
      <c r="D413" s="35" t="n">
        <v>1866.456032087525</v>
      </c>
      <c r="E413" s="37" t="n">
        <v>0.6386302685545669</v>
      </c>
      <c r="F413" s="37" t="n">
        <v>0.567487750578196</v>
      </c>
      <c r="G413" s="37" t="n">
        <v>0.6786049374434879</v>
      </c>
      <c r="H413" s="37" t="n">
        <v>0.7995291955703878</v>
      </c>
      <c r="I413" s="37" t="n">
        <v>0.9145806458983324</v>
      </c>
      <c r="J413" s="37" t="n">
        <v>0.6689085844807071</v>
      </c>
      <c r="K413" s="39" t="inlineStr">
        <is>
          <t>Corregible</t>
        </is>
      </c>
      <c r="L413" s="29" t="n">
        <v>4.29017152025736</v>
      </c>
      <c r="M413" s="35" t="n">
        <v>34.38674644800894</v>
      </c>
      <c r="N413" s="36" t="n">
        <v>2826.922821629003</v>
      </c>
      <c r="O413" s="29" t="n">
        <v>2.514593846857057</v>
      </c>
      <c r="P413" s="16" t="inlineStr">
        <is>
          <t>sí</t>
        </is>
      </c>
      <c r="Q413" s="16" t="inlineStr">
        <is>
          <t>O2</t>
        </is>
      </c>
    </row>
    <row r="414">
      <c r="A414" s="16" t="inlineStr">
        <is>
          <t>KF-M09-R0-T_sumidero-0085</t>
        </is>
      </c>
      <c r="B414" s="35" t="n">
        <v>384.2177152779508</v>
      </c>
      <c r="C414" s="36" t="n">
        <v>2942.177081784665</v>
      </c>
      <c r="D414" s="35" t="n">
        <v>997.7980931354772</v>
      </c>
      <c r="E414" s="37" t="n">
        <v>0.7266295325156245</v>
      </c>
      <c r="F414" s="37" t="n">
        <v>0.8417677172736966</v>
      </c>
      <c r="G414" s="37" t="n">
        <v>0.6903991269054158</v>
      </c>
      <c r="H414" s="37" t="n">
        <v>0.7109804385255101</v>
      </c>
      <c r="I414" s="37" t="n">
        <v>0.6507077513887625</v>
      </c>
      <c r="J414" s="37" t="n">
        <v>0.8903514937308489</v>
      </c>
      <c r="K414" s="32" t="inlineStr">
        <is>
          <t>No convergió</t>
        </is>
      </c>
      <c r="L414" s="29" t="inlineStr">
        <is>
          <t>—</t>
        </is>
      </c>
      <c r="M414" s="35" t="inlineStr">
        <is>
          <t>—</t>
        </is>
      </c>
      <c r="N414" s="36" t="n">
        <v>1944.378988649188</v>
      </c>
      <c r="O414" s="29" t="n">
        <v>2.948669778010077</v>
      </c>
      <c r="P414" s="16" t="inlineStr">
        <is>
          <t>no</t>
        </is>
      </c>
      <c r="Q414" s="16" t="n"/>
    </row>
    <row r="415">
      <c r="A415" s="16" t="inlineStr">
        <is>
          <t>KF-M09-R0-T_sumidero-0086</t>
        </is>
      </c>
      <c r="B415" s="35" t="n">
        <v>428.4027622332069</v>
      </c>
      <c r="C415" s="36" t="n">
        <v>2323.848594187595</v>
      </c>
      <c r="D415" s="35" t="n">
        <v>933.9361342188364</v>
      </c>
      <c r="E415" s="37" t="n">
        <v>0.6116353772957475</v>
      </c>
      <c r="F415" s="37" t="n">
        <v>0.9283416285841316</v>
      </c>
      <c r="G415" s="37" t="n">
        <v>0.8195291661863371</v>
      </c>
      <c r="H415" s="37" t="n">
        <v>0.9077240674048118</v>
      </c>
      <c r="I415" s="37" t="n">
        <v>0.5267470809366789</v>
      </c>
      <c r="J415" s="37" t="n">
        <v>0.6715225650518397</v>
      </c>
      <c r="K415" s="39" t="inlineStr">
        <is>
          <t>Corregible</t>
        </is>
      </c>
      <c r="L415" s="29" t="n">
        <v>7.040916969875891</v>
      </c>
      <c r="M415" s="35" t="n">
        <v>63.71936868692508</v>
      </c>
      <c r="N415" s="36" t="n">
        <v>1389.912459968758</v>
      </c>
      <c r="O415" s="29" t="n">
        <v>2.488230735532371</v>
      </c>
      <c r="P415" s="16" t="inlineStr">
        <is>
          <t>sí</t>
        </is>
      </c>
      <c r="Q415" s="16" t="inlineStr">
        <is>
          <t>O2</t>
        </is>
      </c>
    </row>
    <row r="416">
      <c r="A416" s="16" t="inlineStr">
        <is>
          <t>KF-M09-R0-T_sumidero-0087</t>
        </is>
      </c>
      <c r="B416" s="35" t="n">
        <v>482.5108213057212</v>
      </c>
      <c r="C416" s="36" t="n">
        <v>4510.933423894261</v>
      </c>
      <c r="D416" s="35" t="n">
        <v>1320.412824154996</v>
      </c>
      <c r="E416" s="37" t="n">
        <v>0.7651299032368349</v>
      </c>
      <c r="F416" s="37" t="n">
        <v>0.6141382002750406</v>
      </c>
      <c r="G416" s="37" t="n">
        <v>0.7301036495814146</v>
      </c>
      <c r="H416" s="37" t="n">
        <v>0.5866859782909091</v>
      </c>
      <c r="I416" s="37" t="n">
        <v>0.7449470501621306</v>
      </c>
      <c r="J416" s="37" t="n">
        <v>0.9460929416603316</v>
      </c>
      <c r="K416" s="42" t="inlineStr">
        <is>
          <t>KALINA</t>
        </is>
      </c>
      <c r="L416" s="29" t="n">
        <v>7.11645463173956</v>
      </c>
      <c r="M416" s="35" t="n">
        <v>73.92315526532242</v>
      </c>
      <c r="N416" s="36" t="n">
        <v>3190.520599739265</v>
      </c>
      <c r="O416" s="29" t="n">
        <v>3.416305371603046</v>
      </c>
      <c r="P416" s="16" t="inlineStr">
        <is>
          <t>no</t>
        </is>
      </c>
      <c r="Q416" s="16" t="n"/>
    </row>
    <row r="417">
      <c r="A417" s="16" t="inlineStr">
        <is>
          <t>KF-M09-R0-T_sumidero-0089</t>
        </is>
      </c>
      <c r="B417" s="35" t="n">
        <v>441.6026842745604</v>
      </c>
      <c r="C417" s="36" t="n">
        <v>4940.004245973897</v>
      </c>
      <c r="D417" s="35" t="n">
        <v>343.3114724992547</v>
      </c>
      <c r="E417" s="37" t="n">
        <v>0.6562217298495441</v>
      </c>
      <c r="F417" s="37" t="n">
        <v>0.728391056634129</v>
      </c>
      <c r="G417" s="37" t="n">
        <v>0.8466324338851811</v>
      </c>
      <c r="H417" s="37" t="n">
        <v>0.745742662327691</v>
      </c>
      <c r="I417" s="37" t="n">
        <v>0.8283753374437182</v>
      </c>
      <c r="J417" s="37" t="n">
        <v>0.787679866989432</v>
      </c>
      <c r="K417" s="40" t="inlineStr">
        <is>
          <t>Inviable</t>
        </is>
      </c>
      <c r="L417" s="29" t="n">
        <v>-1.25024394739743</v>
      </c>
      <c r="M417" s="35" t="n">
        <v>-5.03567569627603</v>
      </c>
      <c r="N417" s="36" t="n">
        <v>4596.692773474642</v>
      </c>
      <c r="O417" s="29" t="n">
        <v>14.3892780803724</v>
      </c>
      <c r="P417" s="16" t="inlineStr">
        <is>
          <t>sí</t>
        </is>
      </c>
      <c r="Q417" s="16" t="inlineStr">
        <is>
          <t>O2,O3</t>
        </is>
      </c>
    </row>
    <row r="418">
      <c r="A418" s="16" t="inlineStr">
        <is>
          <t>KF-M09-R0-T_sumidero-0090</t>
        </is>
      </c>
      <c r="B418" s="35" t="n">
        <v>485.996025240685</v>
      </c>
      <c r="C418" s="36" t="n">
        <v>4982.754219215518</v>
      </c>
      <c r="D418" s="35" t="n">
        <v>395.9395431108224</v>
      </c>
      <c r="E418" s="37" t="n">
        <v>0.5210545220348993</v>
      </c>
      <c r="F418" s="37" t="n">
        <v>0.4488509013388183</v>
      </c>
      <c r="G418" s="37" t="n">
        <v>0.5517583806027153</v>
      </c>
      <c r="H418" s="37" t="n">
        <v>0.7603981925844612</v>
      </c>
      <c r="I418" s="37" t="n">
        <v>0.5261746088458126</v>
      </c>
      <c r="J418" s="37" t="n">
        <v>0.4076098500226803</v>
      </c>
      <c r="K418" s="40" t="inlineStr">
        <is>
          <t>Inviable</t>
        </is>
      </c>
      <c r="L418" s="29" t="n">
        <v>-48.8574184046145</v>
      </c>
      <c r="M418" s="35" t="n">
        <v>-224.167678842367</v>
      </c>
      <c r="N418" s="36" t="n">
        <v>4586.814676104696</v>
      </c>
      <c r="O418" s="29" t="n">
        <v>12.58463395716163</v>
      </c>
      <c r="P418" s="16" t="inlineStr">
        <is>
          <t>sí</t>
        </is>
      </c>
      <c r="Q418" s="16" t="inlineStr">
        <is>
          <t>O2,O3</t>
        </is>
      </c>
    </row>
    <row r="419">
      <c r="A419" s="16" t="inlineStr">
        <is>
          <t>KF-M09-R0-T_sumidero-0091</t>
        </is>
      </c>
      <c r="B419" s="35" t="n">
        <v>444.4997240988192</v>
      </c>
      <c r="C419" s="36" t="n">
        <v>3680.937496561593</v>
      </c>
      <c r="D419" s="35" t="n">
        <v>1080.075164173492</v>
      </c>
      <c r="E419" s="37" t="n">
        <v>0.7960900426570432</v>
      </c>
      <c r="F419" s="37" t="n">
        <v>0.6638221976993282</v>
      </c>
      <c r="G419" s="37" t="n">
        <v>0.636033536269869</v>
      </c>
      <c r="H419" s="37" t="n">
        <v>0.7320442612415181</v>
      </c>
      <c r="I419" s="37" t="n">
        <v>0.5512179248197371</v>
      </c>
      <c r="J419" s="37" t="n">
        <v>0.7412541383135482</v>
      </c>
      <c r="K419" s="39" t="inlineStr">
        <is>
          <t>Corregible</t>
        </is>
      </c>
      <c r="L419" s="29" t="n">
        <v>5.96640813595938</v>
      </c>
      <c r="M419" s="35" t="n">
        <v>60.87290025353221</v>
      </c>
      <c r="N419" s="36" t="n">
        <v>2600.862332388101</v>
      </c>
      <c r="O419" s="29" t="n">
        <v>3.40803827239039</v>
      </c>
      <c r="P419" s="16" t="inlineStr">
        <is>
          <t>sí</t>
        </is>
      </c>
      <c r="Q419" s="16" t="inlineStr">
        <is>
          <t>O2</t>
        </is>
      </c>
    </row>
    <row r="420">
      <c r="A420" s="16" t="inlineStr">
        <is>
          <t>KF-M09-R0-T_sumidero-0092</t>
        </is>
      </c>
      <c r="B420" s="35" t="n">
        <v>420.4644217486701</v>
      </c>
      <c r="C420" s="36" t="n">
        <v>3163.796494255878</v>
      </c>
      <c r="D420" s="35" t="n">
        <v>1031.981183157102</v>
      </c>
      <c r="E420" s="37" t="n">
        <v>0.5263634325724047</v>
      </c>
      <c r="F420" s="37" t="n">
        <v>0.4056827784820851</v>
      </c>
      <c r="G420" s="37" t="n">
        <v>0.6043163460289803</v>
      </c>
      <c r="H420" s="37" t="n">
        <v>0.4089270131540954</v>
      </c>
      <c r="I420" s="37" t="n">
        <v>0.4445480278128104</v>
      </c>
      <c r="J420" s="37" t="n">
        <v>0.8318240971394808</v>
      </c>
      <c r="K420" s="42" t="inlineStr">
        <is>
          <t>KALINA</t>
        </is>
      </c>
      <c r="L420" s="29" t="n">
        <v>0.37596148172193</v>
      </c>
      <c r="M420" s="35" t="n">
        <v>1.171273596457024</v>
      </c>
      <c r="N420" s="36" t="n">
        <v>2131.815311098777</v>
      </c>
      <c r="O420" s="29" t="n">
        <v>3.065750176352047</v>
      </c>
      <c r="P420" s="16" t="inlineStr">
        <is>
          <t>no</t>
        </is>
      </c>
      <c r="Q420" s="16" t="n"/>
    </row>
    <row r="421">
      <c r="A421" s="16" t="inlineStr">
        <is>
          <t>KF-M09-R0-T_sumidero-0093</t>
        </is>
      </c>
      <c r="B421" s="35" t="n">
        <v>488.5636827318336</v>
      </c>
      <c r="C421" s="36" t="n">
        <v>3372.833349609547</v>
      </c>
      <c r="D421" s="35" t="n">
        <v>1978.057842310073</v>
      </c>
      <c r="E421" s="37" t="n">
        <v>0.6677408642794624</v>
      </c>
      <c r="F421" s="37" t="n">
        <v>0.570796481096184</v>
      </c>
      <c r="G421" s="37" t="n">
        <v>0.8368622093839294</v>
      </c>
      <c r="H421" s="37" t="n">
        <v>0.5431960531441942</v>
      </c>
      <c r="I421" s="37" t="n">
        <v>0.8682570852112759</v>
      </c>
      <c r="J421" s="37" t="n">
        <v>0.6213807710252346</v>
      </c>
      <c r="K421" s="39" t="inlineStr">
        <is>
          <t>Corregible</t>
        </is>
      </c>
      <c r="L421" s="29" t="n">
        <v>2.02309487926931</v>
      </c>
      <c r="M421" s="35" t="n">
        <v>17.07956965982609</v>
      </c>
      <c r="N421" s="36" t="n">
        <v>1394.775507299474</v>
      </c>
      <c r="O421" s="29" t="n">
        <v>1.705123721594808</v>
      </c>
      <c r="P421" s="16" t="inlineStr">
        <is>
          <t>sí</t>
        </is>
      </c>
      <c r="Q421" s="16" t="inlineStr">
        <is>
          <t>O2</t>
        </is>
      </c>
    </row>
    <row r="422">
      <c r="A422" s="16" t="inlineStr">
        <is>
          <t>KF-M09-R0-T_sumidero-0094</t>
        </is>
      </c>
      <c r="B422" s="35" t="n">
        <v>503.499364272918</v>
      </c>
      <c r="C422" s="36" t="n">
        <v>2861.528522363256</v>
      </c>
      <c r="D422" s="35" t="n">
        <v>1489.373292129491</v>
      </c>
      <c r="E422" s="37" t="n">
        <v>0.5077887287745245</v>
      </c>
      <c r="F422" s="37" t="n">
        <v>0.7644997132611127</v>
      </c>
      <c r="G422" s="37" t="n">
        <v>0.5737964039915997</v>
      </c>
      <c r="H422" s="37" t="n">
        <v>0.7216762723801984</v>
      </c>
      <c r="I422" s="37" t="n">
        <v>0.576959326494934</v>
      </c>
      <c r="J422" s="37" t="n">
        <v>0.8628618926288791</v>
      </c>
      <c r="K422" s="42" t="inlineStr">
        <is>
          <t>KALINA</t>
        </is>
      </c>
      <c r="L422" s="29" t="n">
        <v>4.37910136385732</v>
      </c>
      <c r="M422" s="35" t="n">
        <v>66.72219293238892</v>
      </c>
      <c r="N422" s="36" t="n">
        <v>1372.155230233765</v>
      </c>
      <c r="O422" s="29" t="n">
        <v>1.921297056610886</v>
      </c>
      <c r="P422" s="16" t="inlineStr">
        <is>
          <t>sí</t>
        </is>
      </c>
      <c r="Q422" s="16" t="n"/>
    </row>
    <row r="423">
      <c r="A423" s="16" t="inlineStr">
        <is>
          <t>KF-M09-R0-T_sumidero-0095</t>
        </is>
      </c>
      <c r="B423" s="35" t="n">
        <v>461.4799923513174</v>
      </c>
      <c r="C423" s="36" t="n">
        <v>2140.283704412773</v>
      </c>
      <c r="D423" s="35" t="n">
        <v>1014.752791656395</v>
      </c>
      <c r="E423" s="37" t="n">
        <v>0.7080039992049141</v>
      </c>
      <c r="F423" s="37" t="n">
        <v>0.4305735117259051</v>
      </c>
      <c r="G423" s="37" t="n">
        <v>0.5904230556867909</v>
      </c>
      <c r="H423" s="37" t="n">
        <v>0.5141650185861449</v>
      </c>
      <c r="I423" s="37" t="n">
        <v>0.7630999998161442</v>
      </c>
      <c r="J423" s="37" t="n">
        <v>0.5371893201395891</v>
      </c>
      <c r="K423" s="40" t="inlineStr">
        <is>
          <t>Inviable</t>
        </is>
      </c>
      <c r="L423" s="29" t="n">
        <v>-4.445994242643899</v>
      </c>
      <c r="M423" s="35" t="n">
        <v>-30.2977554789931</v>
      </c>
      <c r="N423" s="36" t="n">
        <v>1125.530912756378</v>
      </c>
      <c r="O423" s="29" t="n">
        <v>2.109167594325272</v>
      </c>
      <c r="P423" s="16" t="inlineStr">
        <is>
          <t>no</t>
        </is>
      </c>
      <c r="Q423" s="16" t="inlineStr">
        <is>
          <t>O2,O3</t>
        </is>
      </c>
    </row>
    <row r="424">
      <c r="A424" s="16" t="inlineStr">
        <is>
          <t>KF-M09-R0-T_sumidero-0096</t>
        </is>
      </c>
      <c r="B424" s="35" t="n">
        <v>501.87613906425</v>
      </c>
      <c r="C424" s="36" t="n">
        <v>3308.080370751128</v>
      </c>
      <c r="D424" s="35" t="n">
        <v>1689.546936947769</v>
      </c>
      <c r="E424" s="37" t="n">
        <v>0.7995034293280915</v>
      </c>
      <c r="F424" s="37" t="n">
        <v>0.6555245496529177</v>
      </c>
      <c r="G424" s="37" t="n">
        <v>0.8637620325538016</v>
      </c>
      <c r="H424" s="37" t="n">
        <v>0.4936994873312071</v>
      </c>
      <c r="I424" s="37" t="n">
        <v>0.6671683189720201</v>
      </c>
      <c r="J424" s="37" t="n">
        <v>0.4142586131836852</v>
      </c>
      <c r="K424" s="39" t="inlineStr">
        <is>
          <t>Corregible</t>
        </is>
      </c>
      <c r="L424" s="29" t="n">
        <v>0.17751359342558</v>
      </c>
      <c r="M424" s="35" t="n">
        <v>0.984255374219572</v>
      </c>
      <c r="N424" s="36" t="n">
        <v>1618.533433803359</v>
      </c>
      <c r="O424" s="29" t="n">
        <v>1.9579689077637</v>
      </c>
      <c r="P424" s="16" t="inlineStr">
        <is>
          <t>no</t>
        </is>
      </c>
      <c r="Q424" s="16" t="inlineStr">
        <is>
          <t>O2</t>
        </is>
      </c>
    </row>
    <row r="425">
      <c r="A425" s="16" t="inlineStr">
        <is>
          <t>KF-M09-R0-T_sumidero-0097</t>
        </is>
      </c>
      <c r="B425" s="35" t="n">
        <v>380.1511720205765</v>
      </c>
      <c r="C425" s="36" t="n">
        <v>4045.936587590028</v>
      </c>
      <c r="D425" s="35" t="n">
        <v>1062.208580356526</v>
      </c>
      <c r="E425" s="37" t="n">
        <v>0.5610320203266257</v>
      </c>
      <c r="F425" s="37" t="n">
        <v>0.8663775734036326</v>
      </c>
      <c r="G425" s="37" t="n">
        <v>0.6552454332387144</v>
      </c>
      <c r="H425" s="37" t="n">
        <v>0.5499832303822965</v>
      </c>
      <c r="I425" s="37" t="n">
        <v>0.7305842543437404</v>
      </c>
      <c r="J425" s="37" t="n">
        <v>0.8737305679381704</v>
      </c>
      <c r="K425" s="32" t="inlineStr">
        <is>
          <t>No convergió</t>
        </is>
      </c>
      <c r="L425" s="29" t="inlineStr">
        <is>
          <t>—</t>
        </is>
      </c>
      <c r="M425" s="35" t="inlineStr">
        <is>
          <t>—</t>
        </is>
      </c>
      <c r="N425" s="36" t="n">
        <v>2983.728007233502</v>
      </c>
      <c r="O425" s="29" t="n">
        <v>3.808985035907002</v>
      </c>
      <c r="P425" s="16" t="inlineStr">
        <is>
          <t>no</t>
        </is>
      </c>
      <c r="Q425" s="16" t="n"/>
    </row>
    <row r="426">
      <c r="A426" s="16" t="inlineStr">
        <is>
          <t>KF-M09-R0-T_sumidero-0098</t>
        </is>
      </c>
      <c r="B426" s="35" t="n">
        <v>424.9624490610992</v>
      </c>
      <c r="C426" s="36" t="n">
        <v>4608.283404463262</v>
      </c>
      <c r="D426" s="35" t="n">
        <v>1642.780498256107</v>
      </c>
      <c r="E426" s="37" t="n">
        <v>0.603825369211761</v>
      </c>
      <c r="F426" s="37" t="n">
        <v>0.7374447856533746</v>
      </c>
      <c r="G426" s="37" t="n">
        <v>0.5865918403531368</v>
      </c>
      <c r="H426" s="37" t="n">
        <v>0.5979449702551931</v>
      </c>
      <c r="I426" s="37" t="n">
        <v>0.6015991926144164</v>
      </c>
      <c r="J426" s="37" t="n">
        <v>0.7249722637533568</v>
      </c>
      <c r="K426" s="42" t="inlineStr">
        <is>
          <t>KALINA</t>
        </is>
      </c>
      <c r="L426" s="29" t="n">
        <v>4.127566811490159</v>
      </c>
      <c r="M426" s="35" t="n">
        <v>16.23361808392979</v>
      </c>
      <c r="N426" s="36" t="n">
        <v>2965.502906207156</v>
      </c>
      <c r="O426" s="29" t="n">
        <v>2.805172942675656</v>
      </c>
      <c r="P426" s="16" t="inlineStr">
        <is>
          <t>no</t>
        </is>
      </c>
      <c r="Q426" s="16" t="n"/>
    </row>
    <row r="427">
      <c r="A427" s="16" t="inlineStr">
        <is>
          <t>KF-M09-R0-T_sumidero-0099</t>
        </is>
      </c>
      <c r="B427" s="35" t="n">
        <v>501.1200792817466</v>
      </c>
      <c r="C427" s="36" t="n">
        <v>3596.463738311157</v>
      </c>
      <c r="D427" s="35" t="n">
        <v>1888.746198997908</v>
      </c>
      <c r="E427" s="37" t="n">
        <v>0.5903117082046758</v>
      </c>
      <c r="F427" s="37" t="n">
        <v>0.6841213859703352</v>
      </c>
      <c r="G427" s="37" t="n">
        <v>0.7899374027547035</v>
      </c>
      <c r="H427" s="37" t="n">
        <v>0.8261026176656057</v>
      </c>
      <c r="I427" s="37" t="n">
        <v>0.6209852919042048</v>
      </c>
      <c r="J427" s="37" t="n">
        <v>0.6845522884229887</v>
      </c>
      <c r="K427" s="39" t="inlineStr">
        <is>
          <t>Corregible</t>
        </is>
      </c>
      <c r="L427" s="29" t="n">
        <v>3.32429572947353</v>
      </c>
      <c r="M427" s="35" t="n">
        <v>44.98673034995282</v>
      </c>
      <c r="N427" s="36" t="n">
        <v>1707.71753931325</v>
      </c>
      <c r="O427" s="29" t="n">
        <v>1.904154057447896</v>
      </c>
      <c r="P427" s="16" t="inlineStr">
        <is>
          <t>sí</t>
        </is>
      </c>
      <c r="Q427" s="16" t="inlineStr">
        <is>
          <t>O2</t>
        </is>
      </c>
    </row>
    <row r="429">
      <c r="A429" s="33" t="inlineStr">
        <is>
          <t>Parte 4.3 eficiencias · ronda 0 · 99 puntos</t>
        </is>
      </c>
      <c r="B429" s="31" t="n"/>
      <c r="C429" s="31" t="n"/>
      <c r="D429" s="31" t="n"/>
      <c r="E429" s="31" t="n"/>
      <c r="F429" s="31" t="n"/>
      <c r="G429" s="31" t="n"/>
      <c r="H429" s="31" t="n"/>
      <c r="I429" s="31" t="n"/>
      <c r="J429" s="31" t="n"/>
      <c r="K429" s="31" t="n"/>
    </row>
    <row r="431">
      <c r="A431" s="34" t="inlineStr">
        <is>
          <t>Barrido de la parte 4.3 eficiencias · 99 puntos</t>
        </is>
      </c>
    </row>
    <row r="432">
      <c r="A432" s="25" t="inlineStr">
        <is>
          <t>Fijos en este barrido: η_t = 0.85, η_p = 0.75, ε_HRVG = 0.85, ε_reg = 0.75, ε_cond = 0.8.</t>
        </is>
      </c>
    </row>
    <row r="433">
      <c r="A433" s="22" t="inlineStr">
        <is>
          <t>id_punto</t>
        </is>
      </c>
      <c r="B433" s="22" t="inlineStr">
        <is>
          <t>T_fuente [K]</t>
        </is>
      </c>
      <c r="C433" s="22" t="inlineStr">
        <is>
          <t>T_sumidero [K]</t>
        </is>
      </c>
      <c r="D433" s="22" t="inlineStr">
        <is>
          <t>P_alta [kPa]</t>
        </is>
      </c>
      <c r="E433" s="22" t="inlineStr">
        <is>
          <t>P_baja [kPa]</t>
        </is>
      </c>
      <c r="F433" s="22" t="inlineStr">
        <is>
          <t>x_b [–]</t>
        </is>
      </c>
      <c r="G433" s="22" t="inlineStr">
        <is>
          <t>Clase</t>
        </is>
      </c>
      <c r="H433" s="22" t="inlineStr">
        <is>
          <t>η [%]</t>
        </is>
      </c>
      <c r="I433" s="22" t="inlineStr">
        <is>
          <t>W_net [kW] (m_b = 1 kg/s)</t>
        </is>
      </c>
      <c r="J433" s="22" t="inlineStr">
        <is>
          <t>ΔP [kPa]</t>
        </is>
      </c>
      <c r="K433" s="22" t="inlineStr">
        <is>
          <t>r_P [–]</t>
        </is>
      </c>
      <c r="L433" s="22" t="inlineStr">
        <is>
          <t>Fuera de rango</t>
        </is>
      </c>
      <c r="M433" s="22" t="inlineStr">
        <is>
          <t>Criterios que falla</t>
        </is>
      </c>
    </row>
    <row r="434">
      <c r="A434" s="16" t="inlineStr">
        <is>
          <t>KF-M09-R0-eficiencias-0000</t>
        </is>
      </c>
      <c r="B434" s="35" t="n">
        <v>508.978937267675</v>
      </c>
      <c r="C434" s="35" t="n">
        <v>286.2701850215268</v>
      </c>
      <c r="D434" s="36" t="n">
        <v>2509.111800733155</v>
      </c>
      <c r="E434" s="35" t="n">
        <v>601.0472793382867</v>
      </c>
      <c r="F434" s="37" t="n">
        <v>0.6304180770972321</v>
      </c>
      <c r="G434" s="39" t="inlineStr">
        <is>
          <t>Corregible</t>
        </is>
      </c>
      <c r="H434" s="29" t="n">
        <v>9.965840640715449</v>
      </c>
      <c r="I434" s="35" t="n">
        <v>163.3635480445304</v>
      </c>
      <c r="J434" s="36" t="n">
        <v>1908.064521394868</v>
      </c>
      <c r="K434" s="29" t="n">
        <v>4.174566439258357</v>
      </c>
      <c r="L434" s="16" t="inlineStr">
        <is>
          <t>sí</t>
        </is>
      </c>
      <c r="M434" s="16" t="inlineStr">
        <is>
          <t>O2</t>
        </is>
      </c>
    </row>
    <row r="435">
      <c r="A435" s="16" t="inlineStr">
        <is>
          <t>KF-M09-R0-eficiencias-0001</t>
        </is>
      </c>
      <c r="B435" s="35" t="n">
        <v>463.855434366696</v>
      </c>
      <c r="C435" s="35" t="n">
        <v>300.1586116880605</v>
      </c>
      <c r="D435" s="36" t="n">
        <v>2082.367266100714</v>
      </c>
      <c r="E435" s="35" t="n">
        <v>1416.236445321354</v>
      </c>
      <c r="F435" s="37" t="n">
        <v>0.5369060091428255</v>
      </c>
      <c r="G435" s="39" t="inlineStr">
        <is>
          <t>Corregible</t>
        </is>
      </c>
      <c r="H435" s="29" t="n">
        <v>2.90030341147067</v>
      </c>
      <c r="I435" s="35" t="n">
        <v>46.19581831861044</v>
      </c>
      <c r="J435" s="36" t="n">
        <v>666.1308207793591</v>
      </c>
      <c r="K435" s="29" t="n">
        <v>1.470352830546038</v>
      </c>
      <c r="L435" s="16" t="inlineStr">
        <is>
          <t>sí</t>
        </is>
      </c>
      <c r="M435" s="16" t="inlineStr">
        <is>
          <t>O2</t>
        </is>
      </c>
    </row>
    <row r="436">
      <c r="A436" s="16" t="inlineStr">
        <is>
          <t>KF-M09-R0-eficiencias-0002</t>
        </is>
      </c>
      <c r="B436" s="35" t="n">
        <v>391.704010770346</v>
      </c>
      <c r="C436" s="35" t="n">
        <v>282.6814791696683</v>
      </c>
      <c r="D436" s="36" t="n">
        <v>3279.166945043987</v>
      </c>
      <c r="E436" s="35" t="n">
        <v>1881.086180424595</v>
      </c>
      <c r="F436" s="37" t="n">
        <v>0.653564549910219</v>
      </c>
      <c r="G436" s="42" t="inlineStr">
        <is>
          <t>KALINA</t>
        </is>
      </c>
      <c r="H436" s="29" t="n">
        <v>3.84837791036489</v>
      </c>
      <c r="I436" s="35" t="n">
        <v>18.56167806267417</v>
      </c>
      <c r="J436" s="36" t="n">
        <v>1398.080764619392</v>
      </c>
      <c r="K436" s="29" t="n">
        <v>1.743230575594266</v>
      </c>
      <c r="L436" s="16" t="inlineStr">
        <is>
          <t>no</t>
        </is>
      </c>
      <c r="M436" s="16" t="n"/>
    </row>
    <row r="437">
      <c r="A437" s="16" t="inlineStr">
        <is>
          <t>KF-M09-R0-eficiencias-0003</t>
        </is>
      </c>
      <c r="B437" s="35" t="n">
        <v>465.5042022106815</v>
      </c>
      <c r="C437" s="35" t="n">
        <v>301.1939397869653</v>
      </c>
      <c r="D437" s="36" t="n">
        <v>4267.683720770512</v>
      </c>
      <c r="E437" s="35" t="n">
        <v>1796.532134749605</v>
      </c>
      <c r="F437" s="37" t="n">
        <v>0.6902562162417341</v>
      </c>
      <c r="G437" s="39" t="inlineStr">
        <is>
          <t>Corregible</t>
        </is>
      </c>
      <c r="H437" s="29" t="n">
        <v>7.30457471537856</v>
      </c>
      <c r="I437" s="35" t="n">
        <v>99.31137657785148</v>
      </c>
      <c r="J437" s="36" t="n">
        <v>2471.151586020907</v>
      </c>
      <c r="K437" s="29" t="n">
        <v>2.375512042463592</v>
      </c>
      <c r="L437" s="16" t="inlineStr">
        <is>
          <t>sí</t>
        </is>
      </c>
      <c r="M437" s="16" t="inlineStr">
        <is>
          <t>O2</t>
        </is>
      </c>
    </row>
    <row r="438">
      <c r="A438" s="16" t="inlineStr">
        <is>
          <t>KF-M09-R0-eficiencias-0004</t>
        </is>
      </c>
      <c r="B438" s="35" t="n">
        <v>512.4985434437014</v>
      </c>
      <c r="C438" s="35" t="n">
        <v>302.6847119870698</v>
      </c>
      <c r="D438" s="36" t="n">
        <v>3079.66433015322</v>
      </c>
      <c r="E438" s="35" t="n">
        <v>409.3236881417207</v>
      </c>
      <c r="F438" s="37" t="n">
        <v>0.8476615688556338</v>
      </c>
      <c r="G438" s="32" t="inlineStr">
        <is>
          <t>No convergió</t>
        </is>
      </c>
      <c r="H438" s="29" t="inlineStr">
        <is>
          <t>—</t>
        </is>
      </c>
      <c r="I438" s="35" t="inlineStr">
        <is>
          <t>—</t>
        </is>
      </c>
      <c r="J438" s="36" t="n">
        <v>2670.3406420115</v>
      </c>
      <c r="K438" s="29" t="n">
        <v>7.523787211374251</v>
      </c>
      <c r="L438" s="16" t="inlineStr">
        <is>
          <t>no</t>
        </is>
      </c>
      <c r="M438" s="16" t="n"/>
    </row>
    <row r="439">
      <c r="A439" s="16" t="inlineStr">
        <is>
          <t>KF-M09-R0-eficiencias-0005</t>
        </is>
      </c>
      <c r="B439" s="35" t="n">
        <v>476.6264803659936</v>
      </c>
      <c r="C439" s="35" t="n">
        <v>284.8596969362342</v>
      </c>
      <c r="D439" s="36" t="n">
        <v>2627.07507803935</v>
      </c>
      <c r="E439" s="35" t="n">
        <v>327.0278707054507</v>
      </c>
      <c r="F439" s="37" t="n">
        <v>0.7211728739932921</v>
      </c>
      <c r="G439" s="39" t="inlineStr">
        <is>
          <t>Corregible</t>
        </is>
      </c>
      <c r="H439" s="29" t="n">
        <v>10.67343901926857</v>
      </c>
      <c r="I439" s="35" t="n">
        <v>121.558304729437</v>
      </c>
      <c r="J439" s="36" t="n">
        <v>2300.047207333899</v>
      </c>
      <c r="K439" s="29" t="n">
        <v>8.033184059732692</v>
      </c>
      <c r="L439" s="16" t="inlineStr">
        <is>
          <t>sí</t>
        </is>
      </c>
      <c r="M439" s="16" t="inlineStr">
        <is>
          <t>O2</t>
        </is>
      </c>
    </row>
    <row r="440">
      <c r="A440" s="16" t="inlineStr">
        <is>
          <t>KF-M09-R0-eficiencias-0006</t>
        </is>
      </c>
      <c r="B440" s="35" t="n">
        <v>416.5229907137012</v>
      </c>
      <c r="C440" s="35" t="n">
        <v>292.0637977466313</v>
      </c>
      <c r="D440" s="36" t="n">
        <v>2431.12757178197</v>
      </c>
      <c r="E440" s="35" t="n">
        <v>475.5762742747091</v>
      </c>
      <c r="F440" s="37" t="n">
        <v>0.8343047620051905</v>
      </c>
      <c r="G440" s="39" t="inlineStr">
        <is>
          <t>Corregible</t>
        </is>
      </c>
      <c r="H440" s="29" t="n">
        <v>2.22438041980561</v>
      </c>
      <c r="I440" s="35" t="n">
        <v>12.3343291869783</v>
      </c>
      <c r="J440" s="36" t="n">
        <v>1955.551297507261</v>
      </c>
      <c r="K440" s="29" t="n">
        <v>5.111961431401575</v>
      </c>
      <c r="L440" s="16" t="inlineStr">
        <is>
          <t>no</t>
        </is>
      </c>
      <c r="M440" s="16" t="inlineStr">
        <is>
          <t>O2</t>
        </is>
      </c>
    </row>
    <row r="441">
      <c r="A441" s="16" t="inlineStr">
        <is>
          <t>KF-M09-R0-eficiencias-0007</t>
        </is>
      </c>
      <c r="B441" s="35" t="n">
        <v>433.2327974805978</v>
      </c>
      <c r="C441" s="35" t="n">
        <v>296.7686074332432</v>
      </c>
      <c r="D441" s="36" t="n">
        <v>3372.529864140196</v>
      </c>
      <c r="E441" s="35" t="n">
        <v>1128.54482183143</v>
      </c>
      <c r="F441" s="37" t="n">
        <v>0.5981305412378762</v>
      </c>
      <c r="G441" s="39" t="inlineStr">
        <is>
          <t>Corregible</t>
        </is>
      </c>
      <c r="H441" s="29" t="n">
        <v>8.631645506130051</v>
      </c>
      <c r="I441" s="35" t="n">
        <v>69.7814217056619</v>
      </c>
      <c r="J441" s="36" t="n">
        <v>2243.985042308765</v>
      </c>
      <c r="K441" s="29" t="n">
        <v>2.98838805415559</v>
      </c>
      <c r="L441" s="16" t="inlineStr">
        <is>
          <t>sí</t>
        </is>
      </c>
      <c r="M441" s="16" t="inlineStr">
        <is>
          <t>O2</t>
        </is>
      </c>
    </row>
    <row r="442">
      <c r="A442" s="16" t="inlineStr">
        <is>
          <t>KF-M09-R0-eficiencias-0008</t>
        </is>
      </c>
      <c r="B442" s="35" t="n">
        <v>399.9360202579078</v>
      </c>
      <c r="C442" s="35" t="n">
        <v>298.6242221180181</v>
      </c>
      <c r="D442" s="36" t="n">
        <v>2106.640332925182</v>
      </c>
      <c r="E442" s="35" t="n">
        <v>1065.918773305108</v>
      </c>
      <c r="F442" s="37" t="n">
        <v>0.6558052278610278</v>
      </c>
      <c r="G442" s="39" t="inlineStr">
        <is>
          <t>Corregible</t>
        </is>
      </c>
      <c r="H442" s="29" t="n">
        <v>5.76214789114997</v>
      </c>
      <c r="I442" s="35" t="n">
        <v>42.4383986316116</v>
      </c>
      <c r="J442" s="36" t="n">
        <v>1040.721559620073</v>
      </c>
      <c r="K442" s="29" t="n">
        <v>1.976361037711245</v>
      </c>
      <c r="L442" s="16" t="inlineStr">
        <is>
          <t>no</t>
        </is>
      </c>
      <c r="M442" s="16" t="inlineStr">
        <is>
          <t>O2</t>
        </is>
      </c>
    </row>
    <row r="443">
      <c r="A443" s="16" t="inlineStr">
        <is>
          <t>KF-M09-R0-eficiencias-0009</t>
        </is>
      </c>
      <c r="B443" s="35" t="n">
        <v>482.8722833285536</v>
      </c>
      <c r="C443" s="35" t="n">
        <v>292.9022541501005</v>
      </c>
      <c r="D443" s="36" t="n">
        <v>3505.306108298808</v>
      </c>
      <c r="E443" s="35" t="n">
        <v>1375.670175023272</v>
      </c>
      <c r="F443" s="37" t="n">
        <v>0.8216605576239147</v>
      </c>
      <c r="G443" s="39" t="inlineStr">
        <is>
          <t>Corregible</t>
        </is>
      </c>
      <c r="H443" s="29" t="n">
        <v>8.17719929309771</v>
      </c>
      <c r="I443" s="35" t="n">
        <v>110.4420796451993</v>
      </c>
      <c r="J443" s="36" t="n">
        <v>2129.635933275536</v>
      </c>
      <c r="K443" s="29" t="n">
        <v>2.548071603165715</v>
      </c>
      <c r="L443" s="16" t="inlineStr">
        <is>
          <t>sí</t>
        </is>
      </c>
      <c r="M443" s="16" t="inlineStr">
        <is>
          <t>O2</t>
        </is>
      </c>
    </row>
    <row r="444">
      <c r="A444" s="16" t="inlineStr">
        <is>
          <t>KF-M09-R0-eficiencias-0010</t>
        </is>
      </c>
      <c r="B444" s="35" t="n">
        <v>397.8087266530084</v>
      </c>
      <c r="C444" s="35" t="n">
        <v>287.3385672840222</v>
      </c>
      <c r="D444" s="36" t="n">
        <v>4388.135034487104</v>
      </c>
      <c r="E444" s="35" t="n">
        <v>496.4306102170489</v>
      </c>
      <c r="F444" s="37" t="n">
        <v>0.595355217782039</v>
      </c>
      <c r="G444" s="42" t="inlineStr">
        <is>
          <t>KALINA</t>
        </is>
      </c>
      <c r="H444" s="29" t="n">
        <v>5.49720977864321</v>
      </c>
      <c r="I444" s="35" t="n">
        <v>12.0090539200942</v>
      </c>
      <c r="J444" s="36" t="n">
        <v>3891.704424270056</v>
      </c>
      <c r="K444" s="29" t="n">
        <v>8.839372400039007</v>
      </c>
      <c r="L444" s="16" t="inlineStr">
        <is>
          <t>no</t>
        </is>
      </c>
      <c r="M444" s="16" t="n"/>
    </row>
    <row r="445">
      <c r="A445" s="16" t="inlineStr">
        <is>
          <t>KF-M09-R0-eficiencias-0011</t>
        </is>
      </c>
      <c r="B445" s="35" t="n">
        <v>484.3549594795349</v>
      </c>
      <c r="C445" s="35" t="n">
        <v>290.7229966713222</v>
      </c>
      <c r="D445" s="36" t="n">
        <v>4489.945743225545</v>
      </c>
      <c r="E445" s="35" t="n">
        <v>987.9152541771372</v>
      </c>
      <c r="F445" s="37" t="n">
        <v>0.5305553621846357</v>
      </c>
      <c r="G445" s="39" t="inlineStr">
        <is>
          <t>Corregible</t>
        </is>
      </c>
      <c r="H445" s="29" t="n">
        <v>11.11489298369704</v>
      </c>
      <c r="I445" s="35" t="n">
        <v>164.1757485949877</v>
      </c>
      <c r="J445" s="36" t="n">
        <v>3502.030489048408</v>
      </c>
      <c r="K445" s="29" t="n">
        <v>4.544869333924142</v>
      </c>
      <c r="L445" s="16" t="inlineStr">
        <is>
          <t>sí</t>
        </is>
      </c>
      <c r="M445" s="16" t="inlineStr">
        <is>
          <t>O2</t>
        </is>
      </c>
    </row>
    <row r="446">
      <c r="A446" s="16" t="inlineStr">
        <is>
          <t>KF-M09-R0-eficiencias-0012</t>
        </is>
      </c>
      <c r="B446" s="35" t="n">
        <v>450.0968208045381</v>
      </c>
      <c r="C446" s="35" t="n">
        <v>288.6393061233603</v>
      </c>
      <c r="D446" s="36" t="n">
        <v>3543.780861703975</v>
      </c>
      <c r="E446" s="35" t="n">
        <v>1715.244346295611</v>
      </c>
      <c r="F446" s="37" t="n">
        <v>0.6481086237418502</v>
      </c>
      <c r="G446" s="39" t="inlineStr">
        <is>
          <t>Corregible</t>
        </is>
      </c>
      <c r="H446" s="29" t="n">
        <v>6.16063370177168</v>
      </c>
      <c r="I446" s="35" t="n">
        <v>71.42047231385796</v>
      </c>
      <c r="J446" s="36" t="n">
        <v>1828.536515408364</v>
      </c>
      <c r="K446" s="29" t="n">
        <v>2.066050163265327</v>
      </c>
      <c r="L446" s="16" t="inlineStr">
        <is>
          <t>sí</t>
        </is>
      </c>
      <c r="M446" s="16" t="inlineStr">
        <is>
          <t>O2</t>
        </is>
      </c>
    </row>
    <row r="447">
      <c r="A447" s="16" t="inlineStr">
        <is>
          <t>KF-M09-R0-eficiencias-0013</t>
        </is>
      </c>
      <c r="B447" s="35" t="n">
        <v>426.3171141906141</v>
      </c>
      <c r="C447" s="35" t="n">
        <v>301.8424385100301</v>
      </c>
      <c r="D447" s="36" t="n">
        <v>2546.427473513349</v>
      </c>
      <c r="E447" s="35" t="n">
        <v>1231.011936004369</v>
      </c>
      <c r="F447" s="37" t="n">
        <v>0.7258355692598987</v>
      </c>
      <c r="G447" s="39" t="inlineStr">
        <is>
          <t>Corregible</t>
        </is>
      </c>
      <c r="H447" s="29" t="n">
        <v>6.03486998850283</v>
      </c>
      <c r="I447" s="35" t="n">
        <v>64.53997043081046</v>
      </c>
      <c r="J447" s="36" t="n">
        <v>1315.41553750898</v>
      </c>
      <c r="K447" s="29" t="n">
        <v>2.068564405458625</v>
      </c>
      <c r="L447" s="16" t="inlineStr">
        <is>
          <t>no</t>
        </is>
      </c>
      <c r="M447" s="16" t="inlineStr">
        <is>
          <t>O2</t>
        </is>
      </c>
    </row>
    <row r="448">
      <c r="A448" s="16" t="inlineStr">
        <is>
          <t>KF-M09-R0-eficiencias-0014</t>
        </is>
      </c>
      <c r="B448" s="35" t="n">
        <v>385.3124249578205</v>
      </c>
      <c r="C448" s="35" t="n">
        <v>299.4301258189681</v>
      </c>
      <c r="D448" s="36" t="n">
        <v>4966.435209206375</v>
      </c>
      <c r="E448" s="35" t="n">
        <v>569.7505878608937</v>
      </c>
      <c r="F448" s="37" t="n">
        <v>0.7031776846518203</v>
      </c>
      <c r="G448" s="40" t="inlineStr">
        <is>
          <t>Inviable</t>
        </is>
      </c>
      <c r="H448" s="29" t="n">
        <v>-107.7598998125976</v>
      </c>
      <c r="I448" s="35" t="n">
        <v>-45.50330051782983</v>
      </c>
      <c r="J448" s="36" t="n">
        <v>4396.684621345481</v>
      </c>
      <c r="K448" s="29" t="n">
        <v>8.716858420195162</v>
      </c>
      <c r="L448" s="16" t="inlineStr">
        <is>
          <t>no</t>
        </is>
      </c>
      <c r="M448" s="16" t="inlineStr">
        <is>
          <t>O2,O3</t>
        </is>
      </c>
    </row>
    <row r="449">
      <c r="A449" s="16" t="inlineStr">
        <is>
          <t>KF-M09-R0-eficiencias-0015</t>
        </is>
      </c>
      <c r="B449" s="35" t="n">
        <v>432.7209685629487</v>
      </c>
      <c r="C449" s="35" t="n">
        <v>287.9314638073923</v>
      </c>
      <c r="D449" s="36" t="n">
        <v>3929.246794813761</v>
      </c>
      <c r="E449" s="35" t="n">
        <v>449.7758760806946</v>
      </c>
      <c r="F449" s="37" t="n">
        <v>0.6253250681867913</v>
      </c>
      <c r="G449" s="39" t="inlineStr">
        <is>
          <t>Corregible</t>
        </is>
      </c>
      <c r="H449" s="29" t="n">
        <v>14.98730902130744</v>
      </c>
      <c r="I449" s="35" t="n">
        <v>117.7399228917063</v>
      </c>
      <c r="J449" s="36" t="n">
        <v>3479.470918733067</v>
      </c>
      <c r="K449" s="29" t="n">
        <v>8.736010541634325</v>
      </c>
      <c r="L449" s="16" t="inlineStr">
        <is>
          <t>sí</t>
        </is>
      </c>
      <c r="M449" s="16" t="inlineStr">
        <is>
          <t>O2</t>
        </is>
      </c>
    </row>
    <row r="450">
      <c r="A450" s="16" t="inlineStr">
        <is>
          <t>KF-M09-R0-eficiencias-0016</t>
        </is>
      </c>
      <c r="B450" s="35" t="n">
        <v>471.7610321138739</v>
      </c>
      <c r="C450" s="35" t="n">
        <v>280.0147130470568</v>
      </c>
      <c r="D450" s="36" t="n">
        <v>2664.852531419473</v>
      </c>
      <c r="E450" s="35" t="n">
        <v>576.2161850110388</v>
      </c>
      <c r="F450" s="37" t="n">
        <v>0.6448889179647196</v>
      </c>
      <c r="G450" s="39" t="inlineStr">
        <is>
          <t>Corregible</t>
        </is>
      </c>
      <c r="H450" s="29" t="n">
        <v>10.93933956235689</v>
      </c>
      <c r="I450" s="35" t="n">
        <v>171.5174063062462</v>
      </c>
      <c r="J450" s="36" t="n">
        <v>2088.636346408434</v>
      </c>
      <c r="K450" s="29" t="n">
        <v>4.62474432468158</v>
      </c>
      <c r="L450" s="16" t="inlineStr">
        <is>
          <t>sí</t>
        </is>
      </c>
      <c r="M450" s="16" t="inlineStr">
        <is>
          <t>O2</t>
        </is>
      </c>
    </row>
    <row r="451">
      <c r="A451" s="16" t="inlineStr">
        <is>
          <t>KF-M09-R0-eficiencias-0017</t>
        </is>
      </c>
      <c r="B451" s="35" t="n">
        <v>380.4381400834103</v>
      </c>
      <c r="C451" s="35" t="n">
        <v>291.8615521908521</v>
      </c>
      <c r="D451" s="36" t="n">
        <v>4901.586234836488</v>
      </c>
      <c r="E451" s="35" t="n">
        <v>784.6980048773394</v>
      </c>
      <c r="F451" s="37" t="n">
        <v>0.6659515612934577</v>
      </c>
      <c r="G451" s="38" t="inlineStr">
        <is>
          <t>Falso convergido</t>
        </is>
      </c>
      <c r="H451" s="29" t="inlineStr">
        <is>
          <t>—</t>
        </is>
      </c>
      <c r="I451" s="35" t="inlineStr">
        <is>
          <t>—</t>
        </is>
      </c>
      <c r="J451" s="36" t="n">
        <v>4116.888229959149</v>
      </c>
      <c r="K451" s="29" t="n">
        <v>6.246461956536621</v>
      </c>
      <c r="L451" s="16" t="inlineStr">
        <is>
          <t>no</t>
        </is>
      </c>
      <c r="M451" s="16" t="inlineStr">
        <is>
          <t>N2,S6,O3,O5,C1,C3,C3</t>
        </is>
      </c>
    </row>
    <row r="452">
      <c r="A452" s="16" t="inlineStr">
        <is>
          <t>KF-M09-R0-eficiencias-0018</t>
        </is>
      </c>
      <c r="B452" s="35" t="n">
        <v>492.7972311016583</v>
      </c>
      <c r="C452" s="35" t="n">
        <v>286.8745453221677</v>
      </c>
      <c r="D452" s="36" t="n">
        <v>4620.02353918257</v>
      </c>
      <c r="E452" s="35" t="n">
        <v>1614.095084574314</v>
      </c>
      <c r="F452" s="37" t="n">
        <v>0.7988869513547054</v>
      </c>
      <c r="G452" s="32" t="inlineStr">
        <is>
          <t>No convergió</t>
        </is>
      </c>
      <c r="H452" s="29" t="inlineStr">
        <is>
          <t>—</t>
        </is>
      </c>
      <c r="I452" s="35" t="inlineStr">
        <is>
          <t>—</t>
        </is>
      </c>
      <c r="J452" s="36" t="n">
        <v>3005.928454608256</v>
      </c>
      <c r="K452" s="29" t="n">
        <v>2.862299491111461</v>
      </c>
      <c r="L452" s="16" t="inlineStr">
        <is>
          <t>no</t>
        </is>
      </c>
      <c r="M452" s="16" t="n"/>
    </row>
    <row r="453">
      <c r="A453" s="16" t="inlineStr">
        <is>
          <t>KF-M09-R0-eficiencias-0019</t>
        </is>
      </c>
      <c r="B453" s="35" t="n">
        <v>437.7635365225038</v>
      </c>
      <c r="C453" s="35" t="n">
        <v>291.549288128333</v>
      </c>
      <c r="D453" s="36" t="n">
        <v>2926.333175787184</v>
      </c>
      <c r="E453" s="35" t="n">
        <v>1359.493828179777</v>
      </c>
      <c r="F453" s="37" t="n">
        <v>0.8168569494032507</v>
      </c>
      <c r="G453" s="39" t="inlineStr">
        <is>
          <t>Corregible</t>
        </is>
      </c>
      <c r="H453" s="29" t="n">
        <v>6.74476805830197</v>
      </c>
      <c r="I453" s="35" t="n">
        <v>85.80924492697683</v>
      </c>
      <c r="J453" s="36" t="n">
        <v>1566.839347607407</v>
      </c>
      <c r="K453" s="29" t="n">
        <v>2.152516705210236</v>
      </c>
      <c r="L453" s="16" t="inlineStr">
        <is>
          <t>sí</t>
        </is>
      </c>
      <c r="M453" s="16" t="inlineStr">
        <is>
          <t>O2</t>
        </is>
      </c>
    </row>
    <row r="454">
      <c r="A454" s="16" t="inlineStr">
        <is>
          <t>KF-M09-R0-eficiencias-0020</t>
        </is>
      </c>
      <c r="B454" s="35" t="n">
        <v>468.5458849264851</v>
      </c>
      <c r="C454" s="35" t="n">
        <v>303.5276423827174</v>
      </c>
      <c r="D454" s="36" t="n">
        <v>4999.517443734224</v>
      </c>
      <c r="E454" s="35" t="n">
        <v>1260.654475916204</v>
      </c>
      <c r="F454" s="37" t="n">
        <v>0.5569909377463821</v>
      </c>
      <c r="G454" s="39" t="inlineStr">
        <is>
          <t>Corregible</t>
        </is>
      </c>
      <c r="H454" s="29" t="n">
        <v>10.32900017560144</v>
      </c>
      <c r="I454" s="35" t="n">
        <v>101.0962471909808</v>
      </c>
      <c r="J454" s="36" t="n">
        <v>3738.86296781802</v>
      </c>
      <c r="K454" s="29" t="n">
        <v>3.965811044378937</v>
      </c>
      <c r="L454" s="16" t="inlineStr">
        <is>
          <t>sí</t>
        </is>
      </c>
      <c r="M454" s="16" t="inlineStr">
        <is>
          <t>O2</t>
        </is>
      </c>
    </row>
    <row r="455">
      <c r="A455" s="16" t="inlineStr">
        <is>
          <t>KF-M09-R0-eficiencias-0021</t>
        </is>
      </c>
      <c r="B455" s="35" t="n">
        <v>443.9128272911108</v>
      </c>
      <c r="C455" s="35" t="n">
        <v>295.8528323289925</v>
      </c>
      <c r="D455" s="36" t="n">
        <v>3766.496186434566</v>
      </c>
      <c r="E455" s="35" t="n">
        <v>1979.09981313363</v>
      </c>
      <c r="F455" s="37" t="n">
        <v>0.5459197212148941</v>
      </c>
      <c r="G455" s="32" t="inlineStr">
        <is>
          <t>No convergió</t>
        </is>
      </c>
      <c r="H455" s="29" t="inlineStr">
        <is>
          <t>—</t>
        </is>
      </c>
      <c r="I455" s="35" t="inlineStr">
        <is>
          <t>—</t>
        </is>
      </c>
      <c r="J455" s="36" t="n">
        <v>1787.396373300937</v>
      </c>
      <c r="K455" s="29" t="n">
        <v>1.903136042679345</v>
      </c>
      <c r="L455" s="16" t="inlineStr">
        <is>
          <t>no</t>
        </is>
      </c>
      <c r="M455" s="16" t="n"/>
    </row>
    <row r="456">
      <c r="A456" s="16" t="inlineStr">
        <is>
          <t>KF-M09-R0-eficiencias-0022</t>
        </is>
      </c>
      <c r="B456" s="35" t="n">
        <v>500.5277813779614</v>
      </c>
      <c r="C456" s="35" t="n">
        <v>297.2705918178041</v>
      </c>
      <c r="D456" s="36" t="n">
        <v>4087.477238698253</v>
      </c>
      <c r="E456" s="35" t="n">
        <v>1571.230458428018</v>
      </c>
      <c r="F456" s="37" t="n">
        <v>0.6341405192048831</v>
      </c>
      <c r="G456" s="39" t="inlineStr">
        <is>
          <t>Corregible</t>
        </is>
      </c>
      <c r="H456" s="29" t="n">
        <v>7.63795200072532</v>
      </c>
      <c r="I456" s="35" t="n">
        <v>118.5259566815604</v>
      </c>
      <c r="J456" s="36" t="n">
        <v>2516.246780270234</v>
      </c>
      <c r="K456" s="29" t="n">
        <v>2.601449848921389</v>
      </c>
      <c r="L456" s="16" t="inlineStr">
        <is>
          <t>sí</t>
        </is>
      </c>
      <c r="M456" s="16" t="inlineStr">
        <is>
          <t>O2</t>
        </is>
      </c>
    </row>
    <row r="457">
      <c r="A457" s="16" t="inlineStr">
        <is>
          <t>KF-M09-R0-eficiencias-0023</t>
        </is>
      </c>
      <c r="B457" s="35" t="n">
        <v>401.0982216367089</v>
      </c>
      <c r="C457" s="35" t="n">
        <v>289.6336694362919</v>
      </c>
      <c r="D457" s="36" t="n">
        <v>3982.118372233416</v>
      </c>
      <c r="E457" s="35" t="n">
        <v>1927.1274621936</v>
      </c>
      <c r="F457" s="37" t="n">
        <v>0.6154884096281672</v>
      </c>
      <c r="G457" s="42" t="inlineStr">
        <is>
          <t>KALINA</t>
        </is>
      </c>
      <c r="H457" s="29" t="n">
        <v>4.13503296202404</v>
      </c>
      <c r="I457" s="35" t="n">
        <v>15.84967869568934</v>
      </c>
      <c r="J457" s="36" t="n">
        <v>2054.990910039816</v>
      </c>
      <c r="K457" s="29" t="n">
        <v>2.066349242774358</v>
      </c>
      <c r="L457" s="16" t="inlineStr">
        <is>
          <t>no</t>
        </is>
      </c>
      <c r="M457" s="16" t="n"/>
    </row>
    <row r="458">
      <c r="A458" s="16" t="inlineStr">
        <is>
          <t>KF-M09-R0-eficiencias-0024</t>
        </is>
      </c>
      <c r="B458" s="35" t="n">
        <v>390.4256886829598</v>
      </c>
      <c r="C458" s="35" t="n">
        <v>286.6904424862496</v>
      </c>
      <c r="D458" s="36" t="n">
        <v>3496.221707866234</v>
      </c>
      <c r="E458" s="35" t="n">
        <v>1833.657034911994</v>
      </c>
      <c r="F458" s="37" t="n">
        <v>0.5187823829851084</v>
      </c>
      <c r="G458" s="38" t="inlineStr">
        <is>
          <t>Falso convergido</t>
        </is>
      </c>
      <c r="H458" s="29" t="inlineStr">
        <is>
          <t>—</t>
        </is>
      </c>
      <c r="I458" s="35" t="inlineStr">
        <is>
          <t>—</t>
        </is>
      </c>
      <c r="J458" s="36" t="n">
        <v>1662.56467295424</v>
      </c>
      <c r="K458" s="29" t="n">
        <v>1.906693368116156</v>
      </c>
      <c r="L458" s="16" t="inlineStr">
        <is>
          <t>no</t>
        </is>
      </c>
      <c r="M458" s="16" t="inlineStr">
        <is>
          <t>N2,O3,O5,C1,C3,C3</t>
        </is>
      </c>
    </row>
    <row r="459">
      <c r="A459" s="16" t="inlineStr">
        <is>
          <t>KF-M09-R0-eficiencias-0025</t>
        </is>
      </c>
      <c r="B459" s="35" t="n">
        <v>449.1603363309051</v>
      </c>
      <c r="C459" s="35" t="n">
        <v>278.9206133271215</v>
      </c>
      <c r="D459" s="36" t="n">
        <v>4194.916865812369</v>
      </c>
      <c r="E459" s="35" t="n">
        <v>1905.31091306022</v>
      </c>
      <c r="F459" s="37" t="n">
        <v>0.7779547755394245</v>
      </c>
      <c r="G459" s="39" t="inlineStr">
        <is>
          <t>Corregible</t>
        </is>
      </c>
      <c r="H459" s="29" t="n">
        <v>7.198768230819049</v>
      </c>
      <c r="I459" s="35" t="n">
        <v>92.16391916800092</v>
      </c>
      <c r="J459" s="36" t="n">
        <v>2289.605952752149</v>
      </c>
      <c r="K459" s="29" t="n">
        <v>2.201696760910634</v>
      </c>
      <c r="L459" s="16" t="inlineStr">
        <is>
          <t>sí</t>
        </is>
      </c>
      <c r="M459" s="16" t="inlineStr">
        <is>
          <t>O2</t>
        </is>
      </c>
    </row>
    <row r="460">
      <c r="A460" s="16" t="inlineStr">
        <is>
          <t>KF-M09-R0-eficiencias-0026</t>
        </is>
      </c>
      <c r="B460" s="35" t="n">
        <v>457.8292868986901</v>
      </c>
      <c r="C460" s="35" t="n">
        <v>288.274508100654</v>
      </c>
      <c r="D460" s="36" t="n">
        <v>3777.023576123163</v>
      </c>
      <c r="E460" s="35" t="n">
        <v>1874.358392492706</v>
      </c>
      <c r="F460" s="37" t="n">
        <v>0.6781328843242342</v>
      </c>
      <c r="G460" s="39" t="inlineStr">
        <is>
          <t>Corregible</t>
        </is>
      </c>
      <c r="H460" s="29" t="n">
        <v>6.04595959114129</v>
      </c>
      <c r="I460" s="35" t="n">
        <v>79.95973172299156</v>
      </c>
      <c r="J460" s="36" t="n">
        <v>1902.665183630458</v>
      </c>
      <c r="K460" s="29" t="n">
        <v>2.015102123079091</v>
      </c>
      <c r="L460" s="16" t="inlineStr">
        <is>
          <t>sí</t>
        </is>
      </c>
      <c r="M460" s="16" t="inlineStr">
        <is>
          <t>O2</t>
        </is>
      </c>
    </row>
    <row r="461">
      <c r="A461" s="16" t="inlineStr">
        <is>
          <t>KF-M09-R0-eficiencias-0027</t>
        </is>
      </c>
      <c r="B461" s="35" t="n">
        <v>447.6400518037821</v>
      </c>
      <c r="C461" s="35" t="n">
        <v>287.1034504041866</v>
      </c>
      <c r="D461" s="36" t="n">
        <v>2700.095932721118</v>
      </c>
      <c r="E461" s="35" t="n">
        <v>1585.195865071417</v>
      </c>
      <c r="F461" s="37" t="n">
        <v>0.5838666182305684</v>
      </c>
      <c r="G461" s="39" t="inlineStr">
        <is>
          <t>Corregible</t>
        </is>
      </c>
      <c r="H461" s="29" t="n">
        <v>4.397798521082881</v>
      </c>
      <c r="I461" s="35" t="n">
        <v>53.8299446055854</v>
      </c>
      <c r="J461" s="36" t="n">
        <v>1114.900067649701</v>
      </c>
      <c r="K461" s="29" t="n">
        <v>1.703320070545019</v>
      </c>
      <c r="L461" s="16" t="inlineStr">
        <is>
          <t>sí</t>
        </is>
      </c>
      <c r="M461" s="16" t="inlineStr">
        <is>
          <t>O2</t>
        </is>
      </c>
    </row>
    <row r="462">
      <c r="A462" s="16" t="inlineStr">
        <is>
          <t>KF-M09-R0-eficiencias-0028</t>
        </is>
      </c>
      <c r="B462" s="35" t="n">
        <v>421.5903852902882</v>
      </c>
      <c r="C462" s="35" t="n">
        <v>282.0389977812264</v>
      </c>
      <c r="D462" s="36" t="n">
        <v>2976.880072997291</v>
      </c>
      <c r="E462" s="35" t="n">
        <v>1696.253973737439</v>
      </c>
      <c r="F462" s="37" t="n">
        <v>0.5725772985944421</v>
      </c>
      <c r="G462" s="42" t="inlineStr">
        <is>
          <t>KALINA</t>
        </is>
      </c>
      <c r="H462" s="29" t="n">
        <v>4.16141323005019</v>
      </c>
      <c r="I462" s="35" t="n">
        <v>29.40996394666554</v>
      </c>
      <c r="J462" s="36" t="n">
        <v>1280.626099259852</v>
      </c>
      <c r="K462" s="29" t="n">
        <v>1.754973087218882</v>
      </c>
      <c r="L462" s="16" t="inlineStr">
        <is>
          <t>no</t>
        </is>
      </c>
      <c r="M462" s="16" t="n"/>
    </row>
    <row r="463">
      <c r="A463" s="16" t="inlineStr">
        <is>
          <t>KF-M09-R0-eficiencias-0029</t>
        </is>
      </c>
      <c r="B463" s="35" t="n">
        <v>410.304482456303</v>
      </c>
      <c r="C463" s="35" t="n">
        <v>283.1994891746951</v>
      </c>
      <c r="D463" s="36" t="n">
        <v>4297.372863086161</v>
      </c>
      <c r="E463" s="35" t="n">
        <v>616.7807084926085</v>
      </c>
      <c r="F463" s="37" t="n">
        <v>0.8251699906333467</v>
      </c>
      <c r="G463" s="39" t="inlineStr">
        <is>
          <t>Corregible</t>
        </is>
      </c>
      <c r="H463" s="29" t="n">
        <v>15.38722271289562</v>
      </c>
      <c r="I463" s="35" t="n">
        <v>134.1476526639306</v>
      </c>
      <c r="J463" s="36" t="n">
        <v>3680.592154593552</v>
      </c>
      <c r="K463" s="29" t="n">
        <v>6.967424246437274</v>
      </c>
      <c r="L463" s="16" t="inlineStr">
        <is>
          <t>no</t>
        </is>
      </c>
      <c r="M463" s="16" t="inlineStr">
        <is>
          <t>O2</t>
        </is>
      </c>
    </row>
    <row r="464">
      <c r="A464" s="16" t="inlineStr">
        <is>
          <t>KF-M09-R0-eficiencias-0030</t>
        </is>
      </c>
      <c r="B464" s="35" t="n">
        <v>445.9447090649993</v>
      </c>
      <c r="C464" s="35" t="n">
        <v>299.7333329890835</v>
      </c>
      <c r="D464" s="36" t="n">
        <v>3095.387109155114</v>
      </c>
      <c r="E464" s="35" t="n">
        <v>1340.843494068004</v>
      </c>
      <c r="F464" s="37" t="n">
        <v>0.7348456848378769</v>
      </c>
      <c r="G464" s="39" t="inlineStr">
        <is>
          <t>Corregible</t>
        </is>
      </c>
      <c r="H464" s="29" t="n">
        <v>6.85228895083355</v>
      </c>
      <c r="I464" s="35" t="n">
        <v>89.61267930220478</v>
      </c>
      <c r="J464" s="36" t="n">
        <v>1754.543615087109</v>
      </c>
      <c r="K464" s="29" t="n">
        <v>2.308537217691212</v>
      </c>
      <c r="L464" s="16" t="inlineStr">
        <is>
          <t>sí</t>
        </is>
      </c>
      <c r="M464" s="16" t="inlineStr">
        <is>
          <t>O2</t>
        </is>
      </c>
    </row>
    <row r="465">
      <c r="A465" s="16" t="inlineStr">
        <is>
          <t>KF-M09-R0-eficiencias-0031</t>
        </is>
      </c>
      <c r="B465" s="35" t="n">
        <v>486.5999240478292</v>
      </c>
      <c r="C465" s="35" t="n">
        <v>280.8228812893423</v>
      </c>
      <c r="D465" s="36" t="n">
        <v>2812.895129703621</v>
      </c>
      <c r="E465" s="35" t="n">
        <v>1469.859362541699</v>
      </c>
      <c r="F465" s="37" t="n">
        <v>0.7188210470115854</v>
      </c>
      <c r="G465" s="39" t="inlineStr">
        <is>
          <t>Corregible</t>
        </is>
      </c>
      <c r="H465" s="29" t="n">
        <v>5.40120466217389</v>
      </c>
      <c r="I465" s="35" t="n">
        <v>82.18938681686636</v>
      </c>
      <c r="J465" s="36" t="n">
        <v>1343.035767161922</v>
      </c>
      <c r="K465" s="29" t="n">
        <v>1.913717190493333</v>
      </c>
      <c r="L465" s="16" t="inlineStr">
        <is>
          <t>sí</t>
        </is>
      </c>
      <c r="M465" s="16" t="inlineStr">
        <is>
          <t>O2</t>
        </is>
      </c>
    </row>
    <row r="466">
      <c r="A466" s="16" t="inlineStr">
        <is>
          <t>KF-M09-R0-eficiencias-0032</t>
        </is>
      </c>
      <c r="B466" s="35" t="n">
        <v>460.8762647657571</v>
      </c>
      <c r="C466" s="35" t="n">
        <v>297.9194947068083</v>
      </c>
      <c r="D466" s="36" t="n">
        <v>3958.66631322253</v>
      </c>
      <c r="E466" s="35" t="n">
        <v>1041.168318080701</v>
      </c>
      <c r="F466" s="37" t="n">
        <v>0.8464469023681686</v>
      </c>
      <c r="G466" s="39" t="inlineStr">
        <is>
          <t>Corregible</t>
        </is>
      </c>
      <c r="H466" s="29" t="n">
        <v>11.50547560673558</v>
      </c>
      <c r="I466" s="35" t="n">
        <v>143.5153150469997</v>
      </c>
      <c r="J466" s="36" t="n">
        <v>2917.497995141829</v>
      </c>
      <c r="K466" s="29" t="n">
        <v>3.802138659501251</v>
      </c>
      <c r="L466" s="16" t="inlineStr">
        <is>
          <t>sí</t>
        </is>
      </c>
      <c r="M466" s="16" t="inlineStr">
        <is>
          <t>O2</t>
        </is>
      </c>
    </row>
    <row r="467">
      <c r="A467" s="16" t="inlineStr">
        <is>
          <t>KF-M09-R0-eficiencias-0033</t>
        </is>
      </c>
      <c r="B467" s="35" t="n">
        <v>444.7918757980456</v>
      </c>
      <c r="C467" s="35" t="n">
        <v>284.1238929908239</v>
      </c>
      <c r="D467" s="36" t="n">
        <v>4860.404779553053</v>
      </c>
      <c r="E467" s="35" t="n">
        <v>957.5800940684758</v>
      </c>
      <c r="F467" s="37" t="n">
        <v>0.6976200906884394</v>
      </c>
      <c r="G467" s="32" t="inlineStr">
        <is>
          <t>No convergió</t>
        </is>
      </c>
      <c r="H467" s="29" t="inlineStr">
        <is>
          <t>—</t>
        </is>
      </c>
      <c r="I467" s="35" t="inlineStr">
        <is>
          <t>—</t>
        </is>
      </c>
      <c r="J467" s="36" t="n">
        <v>3902.824685484577</v>
      </c>
      <c r="K467" s="29" t="n">
        <v>5.075716182552026</v>
      </c>
      <c r="L467" s="16" t="inlineStr">
        <is>
          <t>no</t>
        </is>
      </c>
      <c r="M467" s="16" t="n"/>
    </row>
    <row r="468">
      <c r="A468" s="16" t="inlineStr">
        <is>
          <t>KF-M09-R0-eficiencias-0034</t>
        </is>
      </c>
      <c r="B468" s="35" t="n">
        <v>474.7756685550891</v>
      </c>
      <c r="C468" s="35" t="n">
        <v>297.6670446221913</v>
      </c>
      <c r="D468" s="36" t="n">
        <v>3463.226043991491</v>
      </c>
      <c r="E468" s="35" t="n">
        <v>1011.05225480979</v>
      </c>
      <c r="F468" s="37" t="n">
        <v>0.838447618074577</v>
      </c>
      <c r="G468" s="39" t="inlineStr">
        <is>
          <t>Corregible</t>
        </is>
      </c>
      <c r="H468" s="29" t="n">
        <v>10.34819147828597</v>
      </c>
      <c r="I468" s="35" t="n">
        <v>133.9556737184344</v>
      </c>
      <c r="J468" s="36" t="n">
        <v>2452.173789181701</v>
      </c>
      <c r="K468" s="29" t="n">
        <v>3.425368003994047</v>
      </c>
      <c r="L468" s="16" t="inlineStr">
        <is>
          <t>sí</t>
        </is>
      </c>
      <c r="M468" s="16" t="inlineStr">
        <is>
          <t>O2</t>
        </is>
      </c>
    </row>
    <row r="469">
      <c r="A469" s="16" t="inlineStr">
        <is>
          <t>KF-M09-R0-eficiencias-0035</t>
        </is>
      </c>
      <c r="B469" s="35" t="n">
        <v>517.3019659335196</v>
      </c>
      <c r="C469" s="35" t="n">
        <v>299.7806573851609</v>
      </c>
      <c r="D469" s="36" t="n">
        <v>2386.906949143377</v>
      </c>
      <c r="E469" s="35" t="n">
        <v>1442.478059880373</v>
      </c>
      <c r="F469" s="37" t="n">
        <v>0.7466857666122346</v>
      </c>
      <c r="G469" s="39" t="inlineStr">
        <is>
          <t>Corregible</t>
        </is>
      </c>
      <c r="H469" s="29" t="n">
        <v>3.96843785693444</v>
      </c>
      <c r="I469" s="35" t="n">
        <v>59.33696243100827</v>
      </c>
      <c r="J469" s="36" t="n">
        <v>944.4288892630038</v>
      </c>
      <c r="K469" s="29" t="n">
        <v>1.65472669257883</v>
      </c>
      <c r="L469" s="16" t="inlineStr">
        <is>
          <t>sí</t>
        </is>
      </c>
      <c r="M469" s="16" t="inlineStr">
        <is>
          <t>O2</t>
        </is>
      </c>
    </row>
    <row r="470">
      <c r="A470" s="16" t="inlineStr">
        <is>
          <t>KF-M09-R0-eficiencias-0036</t>
        </is>
      </c>
      <c r="B470" s="35" t="n">
        <v>434.9973955296717</v>
      </c>
      <c r="C470" s="35" t="n">
        <v>291.3348676255869</v>
      </c>
      <c r="D470" s="36" t="n">
        <v>4721.1741915917</v>
      </c>
      <c r="E470" s="35" t="n">
        <v>1597.900792178647</v>
      </c>
      <c r="F470" s="37" t="n">
        <v>0.7165544185194632</v>
      </c>
      <c r="G470" s="39" t="inlineStr">
        <is>
          <t>Corregible</t>
        </is>
      </c>
      <c r="H470" s="29" t="n">
        <v>9.16984886092385</v>
      </c>
      <c r="I470" s="35" t="n">
        <v>80.02799829661541</v>
      </c>
      <c r="J470" s="36" t="n">
        <v>3123.273399413053</v>
      </c>
      <c r="K470" s="29" t="n">
        <v>2.954610332944793</v>
      </c>
      <c r="L470" s="16" t="inlineStr">
        <is>
          <t>sí</t>
        </is>
      </c>
      <c r="M470" s="16" t="inlineStr">
        <is>
          <t>O2</t>
        </is>
      </c>
    </row>
    <row r="471">
      <c r="A471" s="16" t="inlineStr">
        <is>
          <t>KF-M09-R0-eficiencias-0037</t>
        </is>
      </c>
      <c r="B471" s="35" t="n">
        <v>454.0131746966833</v>
      </c>
      <c r="C471" s="35" t="n">
        <v>300.5640266250018</v>
      </c>
      <c r="D471" s="36" t="n">
        <v>3214.029769258531</v>
      </c>
      <c r="E471" s="35" t="n">
        <v>1289.468386599512</v>
      </c>
      <c r="F471" s="37" t="n">
        <v>0.5348704274223921</v>
      </c>
      <c r="G471" s="39" t="inlineStr">
        <is>
          <t>Corregible</t>
        </is>
      </c>
      <c r="H471" s="29" t="n">
        <v>7.14447646108069</v>
      </c>
      <c r="I471" s="35" t="n">
        <v>75.37038295234808</v>
      </c>
      <c r="J471" s="36" t="n">
        <v>1924.561382659018</v>
      </c>
      <c r="K471" s="29" t="n">
        <v>2.492523122442982</v>
      </c>
      <c r="L471" s="16" t="inlineStr">
        <is>
          <t>sí</t>
        </is>
      </c>
      <c r="M471" s="16" t="inlineStr">
        <is>
          <t>O2</t>
        </is>
      </c>
    </row>
    <row r="472">
      <c r="A472" s="16" t="inlineStr">
        <is>
          <t>KF-M09-R0-eficiencias-0038</t>
        </is>
      </c>
      <c r="B472" s="35" t="n">
        <v>430.5308259544826</v>
      </c>
      <c r="C472" s="35" t="n">
        <v>281.3844647989961</v>
      </c>
      <c r="D472" s="36" t="n">
        <v>2220.653844236773</v>
      </c>
      <c r="E472" s="35" t="n">
        <v>718.9592429775827</v>
      </c>
      <c r="F472" s="37" t="n">
        <v>0.7703801629760925</v>
      </c>
      <c r="G472" s="39" t="inlineStr">
        <is>
          <t>Corregible</t>
        </is>
      </c>
      <c r="H472" s="29" t="n">
        <v>8.836779921167819</v>
      </c>
      <c r="I472" s="35" t="n">
        <v>119.83271940131</v>
      </c>
      <c r="J472" s="36" t="n">
        <v>1501.69460125919</v>
      </c>
      <c r="K472" s="29" t="n">
        <v>3.088706162313033</v>
      </c>
      <c r="L472" s="16" t="inlineStr">
        <is>
          <t>no</t>
        </is>
      </c>
      <c r="M472" s="16" t="inlineStr">
        <is>
          <t>O2</t>
        </is>
      </c>
    </row>
    <row r="473">
      <c r="A473" s="16" t="inlineStr">
        <is>
          <t>KF-M09-R0-eficiencias-0040</t>
        </is>
      </c>
      <c r="B473" s="35" t="n">
        <v>406.9684442269485</v>
      </c>
      <c r="C473" s="35" t="n">
        <v>298.118017268524</v>
      </c>
      <c r="D473" s="36" t="n">
        <v>4312.606979702859</v>
      </c>
      <c r="E473" s="35" t="n">
        <v>369.9612536798941</v>
      </c>
      <c r="F473" s="37" t="n">
        <v>0.5044217271722121</v>
      </c>
      <c r="G473" s="40" t="inlineStr">
        <is>
          <t>Inviable</t>
        </is>
      </c>
      <c r="H473" s="29" t="n">
        <v>-4.818527751412669</v>
      </c>
      <c r="I473" s="35" t="n">
        <v>-6.014193396435196</v>
      </c>
      <c r="J473" s="36" t="n">
        <v>3942.645726022965</v>
      </c>
      <c r="K473" s="29" t="n">
        <v>11.65691524938529</v>
      </c>
      <c r="L473" s="16" t="inlineStr">
        <is>
          <t>no</t>
        </is>
      </c>
      <c r="M473" s="16" t="inlineStr">
        <is>
          <t>O2,O3</t>
        </is>
      </c>
    </row>
    <row r="474">
      <c r="A474" s="16" t="inlineStr">
        <is>
          <t>KF-M09-R0-eficiencias-0041</t>
        </is>
      </c>
      <c r="B474" s="35" t="n">
        <v>516.858967217751</v>
      </c>
      <c r="C474" s="35" t="n">
        <v>283.6657210175033</v>
      </c>
      <c r="D474" s="36" t="n">
        <v>2245.064742909967</v>
      </c>
      <c r="E474" s="35" t="n">
        <v>1477.62389661774</v>
      </c>
      <c r="F474" s="37" t="n">
        <v>0.5695192828823326</v>
      </c>
      <c r="G474" s="39" t="inlineStr">
        <is>
          <t>Corregible</t>
        </is>
      </c>
      <c r="H474" s="29" t="n">
        <v>3.22585608607003</v>
      </c>
      <c r="I474" s="35" t="n">
        <v>55.6907694866318</v>
      </c>
      <c r="J474" s="36" t="n">
        <v>767.4408462922263</v>
      </c>
      <c r="K474" s="29" t="n">
        <v>1.519374956001244</v>
      </c>
      <c r="L474" s="16" t="inlineStr">
        <is>
          <t>sí</t>
        </is>
      </c>
      <c r="M474" s="16" t="inlineStr">
        <is>
          <t>O2</t>
        </is>
      </c>
    </row>
    <row r="475">
      <c r="A475" s="16" t="inlineStr">
        <is>
          <t>KF-M09-R0-eficiencias-0042</t>
        </is>
      </c>
      <c r="B475" s="35" t="n">
        <v>494.6857438377646</v>
      </c>
      <c r="C475" s="35" t="n">
        <v>282.8430366419779</v>
      </c>
      <c r="D475" s="36" t="n">
        <v>3861.801147438082</v>
      </c>
      <c r="E475" s="35" t="n">
        <v>310.6754934665051</v>
      </c>
      <c r="F475" s="37" t="n">
        <v>0.5023979266718875</v>
      </c>
      <c r="G475" s="39" t="inlineStr">
        <is>
          <t>Corregible</t>
        </is>
      </c>
      <c r="H475" s="29" t="n">
        <v>16.28277293516136</v>
      </c>
      <c r="I475" s="35" t="n">
        <v>275.9076689355729</v>
      </c>
      <c r="J475" s="36" t="n">
        <v>3551.125653971577</v>
      </c>
      <c r="K475" s="29" t="n">
        <v>12.43033721246647</v>
      </c>
      <c r="L475" s="16" t="inlineStr">
        <is>
          <t>sí</t>
        </is>
      </c>
      <c r="M475" s="16" t="inlineStr">
        <is>
          <t>O1,O2</t>
        </is>
      </c>
    </row>
    <row r="476">
      <c r="A476" s="16" t="inlineStr">
        <is>
          <t>KF-M09-R0-eficiencias-0043</t>
        </is>
      </c>
      <c r="B476" s="35" t="n">
        <v>388.2471555804897</v>
      </c>
      <c r="C476" s="35" t="n">
        <v>297.1693607689705</v>
      </c>
      <c r="D476" s="36" t="n">
        <v>2000.100902831723</v>
      </c>
      <c r="E476" s="35" t="n">
        <v>639.3394184384281</v>
      </c>
      <c r="F476" s="37" t="n">
        <v>0.6637355863597478</v>
      </c>
      <c r="G476" s="39" t="inlineStr">
        <is>
          <t>Corregible</t>
        </is>
      </c>
      <c r="H476" s="29" t="n">
        <v>8.700286490778049</v>
      </c>
      <c r="I476" s="35" t="n">
        <v>57.00851553266141</v>
      </c>
      <c r="J476" s="36" t="n">
        <v>1360.761484393295</v>
      </c>
      <c r="K476" s="29" t="n">
        <v>3.128386652143119</v>
      </c>
      <c r="L476" s="16" t="inlineStr">
        <is>
          <t>no</t>
        </is>
      </c>
      <c r="M476" s="16" t="inlineStr">
        <is>
          <t>O2</t>
        </is>
      </c>
    </row>
    <row r="477">
      <c r="A477" s="16" t="inlineStr">
        <is>
          <t>KF-M09-R0-eficiencias-0044</t>
        </is>
      </c>
      <c r="B477" s="35" t="n">
        <v>411.0835261892049</v>
      </c>
      <c r="C477" s="35" t="n">
        <v>300.2887451199841</v>
      </c>
      <c r="D477" s="36" t="n">
        <v>3594.975984343618</v>
      </c>
      <c r="E477" s="35" t="n">
        <v>1945.984061674744</v>
      </c>
      <c r="F477" s="37" t="n">
        <v>0.6207366637240024</v>
      </c>
      <c r="G477" s="42" t="inlineStr">
        <is>
          <t>KALINA</t>
        </is>
      </c>
      <c r="H477" s="29" t="n">
        <v>4.652531638610831</v>
      </c>
      <c r="I477" s="35" t="n">
        <v>25.50725644965325</v>
      </c>
      <c r="J477" s="36" t="n">
        <v>1648.991922668874</v>
      </c>
      <c r="K477" s="29" t="n">
        <v>1.847382029043818</v>
      </c>
      <c r="L477" s="16" t="inlineStr">
        <is>
          <t>no</t>
        </is>
      </c>
      <c r="M477" s="16" t="n"/>
    </row>
    <row r="478">
      <c r="A478" s="16" t="inlineStr">
        <is>
          <t>KF-M09-R0-eficiencias-0045</t>
        </is>
      </c>
      <c r="B478" s="35" t="n">
        <v>389.4250079384718</v>
      </c>
      <c r="C478" s="35" t="n">
        <v>294.9599152897765</v>
      </c>
      <c r="D478" s="36" t="n">
        <v>3121.525929902887</v>
      </c>
      <c r="E478" s="35" t="n">
        <v>767.0087140537509</v>
      </c>
      <c r="F478" s="37" t="n">
        <v>0.5910749219893938</v>
      </c>
      <c r="G478" s="42" t="inlineStr">
        <is>
          <t>KALINA</t>
        </is>
      </c>
      <c r="H478" s="29" t="n">
        <v>8.10974603327297</v>
      </c>
      <c r="I478" s="35" t="n">
        <v>26.7771066409847</v>
      </c>
      <c r="J478" s="36" t="n">
        <v>2354.517215849136</v>
      </c>
      <c r="K478" s="29" t="n">
        <v>4.069739851331252</v>
      </c>
      <c r="L478" s="16" t="inlineStr">
        <is>
          <t>no</t>
        </is>
      </c>
      <c r="M478" s="16" t="n"/>
    </row>
    <row r="479">
      <c r="A479" s="16" t="inlineStr">
        <is>
          <t>KF-M09-R0-eficiencias-0046</t>
        </is>
      </c>
      <c r="B479" s="35" t="n">
        <v>455.2321986430908</v>
      </c>
      <c r="C479" s="35" t="n">
        <v>281.8034836702884</v>
      </c>
      <c r="D479" s="36" t="n">
        <v>2879.332160475833</v>
      </c>
      <c r="E479" s="35" t="n">
        <v>1111.960003246982</v>
      </c>
      <c r="F479" s="37" t="n">
        <v>0.6282279052589833</v>
      </c>
      <c r="G479" s="39" t="inlineStr">
        <is>
          <t>Corregible</t>
        </is>
      </c>
      <c r="H479" s="29" t="n">
        <v>7.477150724402961</v>
      </c>
      <c r="I479" s="35" t="n">
        <v>109.919634911702</v>
      </c>
      <c r="J479" s="36" t="n">
        <v>1767.372157228851</v>
      </c>
      <c r="K479" s="29" t="n">
        <v>2.589420619507925</v>
      </c>
      <c r="L479" s="16" t="inlineStr">
        <is>
          <t>sí</t>
        </is>
      </c>
      <c r="M479" s="16" t="inlineStr">
        <is>
          <t>O2</t>
        </is>
      </c>
    </row>
    <row r="480">
      <c r="A480" s="16" t="inlineStr">
        <is>
          <t>KF-M09-R0-eficiencias-0047</t>
        </is>
      </c>
      <c r="B480" s="35" t="n">
        <v>475.3974466414529</v>
      </c>
      <c r="C480" s="35" t="n">
        <v>278.1881636973086</v>
      </c>
      <c r="D480" s="36" t="n">
        <v>3168.453333617491</v>
      </c>
      <c r="E480" s="35" t="n">
        <v>1857.973125165069</v>
      </c>
      <c r="F480" s="37" t="n">
        <v>0.5427988948723649</v>
      </c>
      <c r="G480" s="39" t="inlineStr">
        <is>
          <t>Corregible</t>
        </is>
      </c>
      <c r="H480" s="29" t="n">
        <v>4.28156709872092</v>
      </c>
      <c r="I480" s="35" t="n">
        <v>70.58488651440776</v>
      </c>
      <c r="J480" s="36" t="n">
        <v>1310.480208452421</v>
      </c>
      <c r="K480" s="29" t="n">
        <v>1.705327860076552</v>
      </c>
      <c r="L480" s="16" t="inlineStr">
        <is>
          <t>sí</t>
        </is>
      </c>
      <c r="M480" s="16" t="inlineStr">
        <is>
          <t>O2</t>
        </is>
      </c>
    </row>
    <row r="481">
      <c r="A481" s="16" t="inlineStr">
        <is>
          <t>KF-M09-R0-eficiencias-0048</t>
        </is>
      </c>
      <c r="B481" s="35" t="n">
        <v>498.1351084456524</v>
      </c>
      <c r="C481" s="35" t="n">
        <v>287.5944684244004</v>
      </c>
      <c r="D481" s="36" t="n">
        <v>4661.683528669823</v>
      </c>
      <c r="E481" s="35" t="n">
        <v>922.9739783632576</v>
      </c>
      <c r="F481" s="37" t="n">
        <v>0.5514578409204067</v>
      </c>
      <c r="G481" s="39" t="inlineStr">
        <is>
          <t>Corregible</t>
        </is>
      </c>
      <c r="H481" s="29" t="n">
        <v>11.83797947256774</v>
      </c>
      <c r="I481" s="35" t="n">
        <v>192.8687526431057</v>
      </c>
      <c r="J481" s="36" t="n">
        <v>3738.709550306566</v>
      </c>
      <c r="K481" s="29" t="n">
        <v>5.050720429774794</v>
      </c>
      <c r="L481" s="16" t="inlineStr">
        <is>
          <t>sí</t>
        </is>
      </c>
      <c r="M481" s="16" t="inlineStr">
        <is>
          <t>O2</t>
        </is>
      </c>
    </row>
    <row r="482">
      <c r="A482" s="16" t="inlineStr">
        <is>
          <t>KF-M09-R0-eficiencias-0049</t>
        </is>
      </c>
      <c r="B482" s="35" t="n">
        <v>422.7657268304662</v>
      </c>
      <c r="C482" s="35" t="n">
        <v>285.9528524184102</v>
      </c>
      <c r="D482" s="36" t="n">
        <v>2147.988673205641</v>
      </c>
      <c r="E482" s="35" t="n">
        <v>754.8333463380402</v>
      </c>
      <c r="F482" s="37" t="n">
        <v>0.7097437910177582</v>
      </c>
      <c r="G482" s="39" t="inlineStr">
        <is>
          <t>Corregible</t>
        </is>
      </c>
      <c r="H482" s="29" t="n">
        <v>8.22814793047008</v>
      </c>
      <c r="I482" s="35" t="n">
        <v>93.85268543211281</v>
      </c>
      <c r="J482" s="36" t="n">
        <v>1393.155326867601</v>
      </c>
      <c r="K482" s="29" t="n">
        <v>2.845646239168266</v>
      </c>
      <c r="L482" s="16" t="inlineStr">
        <is>
          <t>no</t>
        </is>
      </c>
      <c r="M482" s="16" t="inlineStr">
        <is>
          <t>O2</t>
        </is>
      </c>
    </row>
    <row r="483">
      <c r="A483" s="16" t="inlineStr">
        <is>
          <t>KF-M09-R0-eficiencias-0050</t>
        </is>
      </c>
      <c r="B483" s="35" t="n">
        <v>429.9435968564149</v>
      </c>
      <c r="C483" s="35" t="n">
        <v>285.7033280977917</v>
      </c>
      <c r="D483" s="36" t="n">
        <v>4768.984710364333</v>
      </c>
      <c r="E483" s="35" t="n">
        <v>1093.785694089325</v>
      </c>
      <c r="F483" s="37" t="n">
        <v>0.8315847250890527</v>
      </c>
      <c r="G483" s="39" t="inlineStr">
        <is>
          <t>Corregible</t>
        </is>
      </c>
      <c r="H483" s="29" t="n">
        <v>12.96046165375798</v>
      </c>
      <c r="I483" s="35" t="n">
        <v>132.8468569025336</v>
      </c>
      <c r="J483" s="36" t="n">
        <v>3675.199016275009</v>
      </c>
      <c r="K483" s="29" t="n">
        <v>4.360072303135161</v>
      </c>
      <c r="L483" s="16" t="inlineStr">
        <is>
          <t>no</t>
        </is>
      </c>
      <c r="M483" s="16" t="inlineStr">
        <is>
          <t>O2</t>
        </is>
      </c>
    </row>
    <row r="484">
      <c r="A484" s="16" t="inlineStr">
        <is>
          <t>KF-M09-R0-eficiencias-0051</t>
        </is>
      </c>
      <c r="B484" s="35" t="n">
        <v>383.2432972915644</v>
      </c>
      <c r="C484" s="35" t="n">
        <v>283.9126622209592</v>
      </c>
      <c r="D484" s="36" t="n">
        <v>4822.496908583968</v>
      </c>
      <c r="E484" s="35" t="n">
        <v>728.8124152447865</v>
      </c>
      <c r="F484" s="37" t="n">
        <v>0.6387799661505406</v>
      </c>
      <c r="G484" s="38" t="inlineStr">
        <is>
          <t>Falso convergido</t>
        </is>
      </c>
      <c r="H484" s="29" t="inlineStr">
        <is>
          <t>—</t>
        </is>
      </c>
      <c r="I484" s="35" t="inlineStr">
        <is>
          <t>—</t>
        </is>
      </c>
      <c r="J484" s="36" t="n">
        <v>4093.684493339182</v>
      </c>
      <c r="K484" s="29" t="n">
        <v>6.616924750059636</v>
      </c>
      <c r="L484" s="16" t="inlineStr">
        <is>
          <t>no</t>
        </is>
      </c>
      <c r="M484" s="16" t="inlineStr">
        <is>
          <t>N2,S6,O3,O5,C1,C3,C3</t>
        </is>
      </c>
    </row>
    <row r="485">
      <c r="A485" s="16" t="inlineStr">
        <is>
          <t>KF-M09-R0-eficiencias-0052</t>
        </is>
      </c>
      <c r="B485" s="35" t="n">
        <v>419.0388653312343</v>
      </c>
      <c r="C485" s="35" t="n">
        <v>303.0351050546078</v>
      </c>
      <c r="D485" s="36" t="n">
        <v>3338.207511780574</v>
      </c>
      <c r="E485" s="35" t="n">
        <v>1955.01883809184</v>
      </c>
      <c r="F485" s="37" t="n">
        <v>0.6583346181652333</v>
      </c>
      <c r="G485" s="42" t="inlineStr">
        <is>
          <t>KALINA</t>
        </is>
      </c>
      <c r="H485" s="29" t="n">
        <v>4.655841391946</v>
      </c>
      <c r="I485" s="35" t="n">
        <v>34.15885380571261</v>
      </c>
      <c r="J485" s="36" t="n">
        <v>1383.188673688734</v>
      </c>
      <c r="K485" s="29" t="n">
        <v>1.707506570647048</v>
      </c>
      <c r="L485" s="16" t="inlineStr">
        <is>
          <t>no</t>
        </is>
      </c>
      <c r="M485" s="16" t="n"/>
    </row>
    <row r="486">
      <c r="A486" s="16" t="inlineStr">
        <is>
          <t>KF-M09-R0-eficiencias-0053</t>
        </is>
      </c>
      <c r="B486" s="35" t="n">
        <v>409.0353321469682</v>
      </c>
      <c r="C486" s="35" t="n">
        <v>298.9256259792485</v>
      </c>
      <c r="D486" s="36" t="n">
        <v>4939.865416587393</v>
      </c>
      <c r="E486" s="35" t="n">
        <v>1742.938832602282</v>
      </c>
      <c r="F486" s="37" t="n">
        <v>0.5125964939353778</v>
      </c>
      <c r="G486" s="38" t="inlineStr">
        <is>
          <t>Falso convergido</t>
        </is>
      </c>
      <c r="H486" s="29" t="inlineStr">
        <is>
          <t>—</t>
        </is>
      </c>
      <c r="I486" s="35" t="inlineStr">
        <is>
          <t>—</t>
        </is>
      </c>
      <c r="J486" s="36" t="n">
        <v>3196.926583985111</v>
      </c>
      <c r="K486" s="29" t="n">
        <v>2.83421616650308</v>
      </c>
      <c r="L486" s="16" t="inlineStr">
        <is>
          <t>no</t>
        </is>
      </c>
      <c r="M486" s="16" t="inlineStr">
        <is>
          <t>N2,O3,O5,C1,C3,C3</t>
        </is>
      </c>
    </row>
    <row r="487">
      <c r="A487" s="16" t="inlineStr">
        <is>
          <t>KF-M09-R0-eficiencias-0054</t>
        </is>
      </c>
      <c r="B487" s="35" t="n">
        <v>480.5193756184159</v>
      </c>
      <c r="C487" s="35" t="n">
        <v>301.5521616492296</v>
      </c>
      <c r="D487" s="36" t="n">
        <v>4179.537313920695</v>
      </c>
      <c r="E487" s="35" t="n">
        <v>1686.20494730681</v>
      </c>
      <c r="F487" s="37" t="n">
        <v>0.6405153393207561</v>
      </c>
      <c r="G487" s="39" t="inlineStr">
        <is>
          <t>Corregible</t>
        </is>
      </c>
      <c r="H487" s="29" t="n">
        <v>7.34521880400625</v>
      </c>
      <c r="I487" s="35" t="n">
        <v>108.6505597446826</v>
      </c>
      <c r="J487" s="36" t="n">
        <v>2493.332366613885</v>
      </c>
      <c r="K487" s="29" t="n">
        <v>2.478665076031364</v>
      </c>
      <c r="L487" s="16" t="inlineStr">
        <is>
          <t>sí</t>
        </is>
      </c>
      <c r="M487" s="16" t="inlineStr">
        <is>
          <t>O2</t>
        </is>
      </c>
    </row>
    <row r="488">
      <c r="A488" s="16" t="inlineStr">
        <is>
          <t>KF-M09-R0-eficiencias-0055</t>
        </is>
      </c>
      <c r="B488" s="35" t="n">
        <v>504.4312523670204</v>
      </c>
      <c r="C488" s="35" t="n">
        <v>278.8958222509965</v>
      </c>
      <c r="D488" s="36" t="n">
        <v>4564.66364257569</v>
      </c>
      <c r="E488" s="35" t="n">
        <v>689.0601781315515</v>
      </c>
      <c r="F488" s="37" t="n">
        <v>0.8401670374673726</v>
      </c>
      <c r="G488" s="39" t="inlineStr">
        <is>
          <t>Corregible</t>
        </is>
      </c>
      <c r="H488" s="29" t="n">
        <v>15.64491901196914</v>
      </c>
      <c r="I488" s="35" t="n">
        <v>221.2184789557081</v>
      </c>
      <c r="J488" s="36" t="n">
        <v>3875.603464444138</v>
      </c>
      <c r="K488" s="29" t="n">
        <v>6.62447749477148</v>
      </c>
      <c r="L488" s="16" t="inlineStr">
        <is>
          <t>sí</t>
        </is>
      </c>
      <c r="M488" s="16" t="inlineStr">
        <is>
          <t>O2</t>
        </is>
      </c>
    </row>
    <row r="489">
      <c r="A489" s="16" t="inlineStr">
        <is>
          <t>KF-M09-R0-eficiencias-0056</t>
        </is>
      </c>
      <c r="B489" s="35" t="n">
        <v>436.3192818314691</v>
      </c>
      <c r="C489" s="35" t="n">
        <v>285.4146455441216</v>
      </c>
      <c r="D489" s="36" t="n">
        <v>2274.944995682904</v>
      </c>
      <c r="E489" s="35" t="n">
        <v>1207.552303900164</v>
      </c>
      <c r="F489" s="37" t="n">
        <v>0.8261690644093634</v>
      </c>
      <c r="G489" s="39" t="inlineStr">
        <is>
          <t>Corregible</t>
        </is>
      </c>
      <c r="H489" s="29" t="n">
        <v>5.50247468234703</v>
      </c>
      <c r="I489" s="35" t="n">
        <v>71.21584037092315</v>
      </c>
      <c r="J489" s="36" t="n">
        <v>1067.39269178274</v>
      </c>
      <c r="K489" s="29" t="n">
        <v>1.883930814702821</v>
      </c>
      <c r="L489" s="16" t="inlineStr">
        <is>
          <t>no</t>
        </is>
      </c>
      <c r="M489" s="16" t="inlineStr">
        <is>
          <t>O2</t>
        </is>
      </c>
    </row>
    <row r="490">
      <c r="A490" s="16" t="inlineStr">
        <is>
          <t>KF-M09-R0-eficiencias-0057</t>
        </is>
      </c>
      <c r="B490" s="35" t="n">
        <v>481.9886138419722</v>
      </c>
      <c r="C490" s="35" t="n">
        <v>279.4413378472923</v>
      </c>
      <c r="D490" s="36" t="n">
        <v>3695.851940817448</v>
      </c>
      <c r="E490" s="35" t="n">
        <v>549.8990531603367</v>
      </c>
      <c r="F490" s="37" t="n">
        <v>0.5886010181318712</v>
      </c>
      <c r="G490" s="39" t="inlineStr">
        <is>
          <t>Corregible</t>
        </is>
      </c>
      <c r="H490" s="29" t="n">
        <v>13.40718171048913</v>
      </c>
      <c r="I490" s="35" t="n">
        <v>216.6014856553963</v>
      </c>
      <c r="J490" s="36" t="n">
        <v>3145.952887657111</v>
      </c>
      <c r="K490" s="29" t="n">
        <v>6.720964365326576</v>
      </c>
      <c r="L490" s="16" t="inlineStr">
        <is>
          <t>sí</t>
        </is>
      </c>
      <c r="M490" s="16" t="inlineStr">
        <is>
          <t>O2</t>
        </is>
      </c>
    </row>
    <row r="491">
      <c r="A491" s="16" t="inlineStr">
        <is>
          <t>KF-M09-R0-eficiencias-0058</t>
        </is>
      </c>
      <c r="B491" s="35" t="n">
        <v>495.1608411060871</v>
      </c>
      <c r="C491" s="35" t="n">
        <v>280.5879856910413</v>
      </c>
      <c r="D491" s="36" t="n">
        <v>4514.385483680662</v>
      </c>
      <c r="E491" s="35" t="n">
        <v>1243.030893886252</v>
      </c>
      <c r="F491" s="37" t="n">
        <v>0.6844512104113742</v>
      </c>
      <c r="G491" s="39" t="inlineStr">
        <is>
          <t>Corregible</t>
        </is>
      </c>
      <c r="H491" s="29" t="n">
        <v>10.35920903013013</v>
      </c>
      <c r="I491" s="35" t="n">
        <v>159.6405630325136</v>
      </c>
      <c r="J491" s="36" t="n">
        <v>3271.35458979441</v>
      </c>
      <c r="K491" s="29" t="n">
        <v>3.631756463885417</v>
      </c>
      <c r="L491" s="16" t="inlineStr">
        <is>
          <t>sí</t>
        </is>
      </c>
      <c r="M491" s="16" t="inlineStr">
        <is>
          <t>O2</t>
        </is>
      </c>
    </row>
    <row r="492">
      <c r="A492" s="16" t="inlineStr">
        <is>
          <t>KF-M09-R0-eficiencias-0059</t>
        </is>
      </c>
      <c r="B492" s="35" t="n">
        <v>393.0510034602703</v>
      </c>
      <c r="C492" s="35" t="n">
        <v>289.8842246689501</v>
      </c>
      <c r="D492" s="36" t="n">
        <v>3647.566953480786</v>
      </c>
      <c r="E492" s="35" t="n">
        <v>536.0697702892948</v>
      </c>
      <c r="F492" s="37" t="n">
        <v>0.6691547660086166</v>
      </c>
      <c r="G492" s="39" t="inlineStr">
        <is>
          <t>Corregible</t>
        </is>
      </c>
      <c r="H492" s="29" t="n">
        <v>12.2233349754771</v>
      </c>
      <c r="I492" s="35" t="n">
        <v>56.16541065561621</v>
      </c>
      <c r="J492" s="36" t="n">
        <v>3111.497183191492</v>
      </c>
      <c r="K492" s="29" t="n">
        <v>6.804276524513488</v>
      </c>
      <c r="L492" s="16" t="inlineStr">
        <is>
          <t>no</t>
        </is>
      </c>
      <c r="M492" s="16" t="inlineStr">
        <is>
          <t>O2</t>
        </is>
      </c>
    </row>
    <row r="493">
      <c r="A493" s="16" t="inlineStr">
        <is>
          <t>KF-M09-R0-eficiencias-0060</t>
        </is>
      </c>
      <c r="B493" s="35" t="n">
        <v>505.6690042997345</v>
      </c>
      <c r="C493" s="35" t="n">
        <v>294.4547350137127</v>
      </c>
      <c r="D493" s="36" t="n">
        <v>4358.911133634378</v>
      </c>
      <c r="E493" s="35" t="n">
        <v>464.161865852433</v>
      </c>
      <c r="F493" s="37" t="n">
        <v>0.574363975454981</v>
      </c>
      <c r="G493" s="39" t="inlineStr">
        <is>
          <t>Corregible</t>
        </is>
      </c>
      <c r="H493" s="29" t="n">
        <v>15.11828107771663</v>
      </c>
      <c r="I493" s="35" t="n">
        <v>243.7872148450514</v>
      </c>
      <c r="J493" s="36" t="n">
        <v>3894.749267781945</v>
      </c>
      <c r="K493" s="29" t="n">
        <v>9.390929014879839</v>
      </c>
      <c r="L493" s="16" t="inlineStr">
        <is>
          <t>sí</t>
        </is>
      </c>
      <c r="M493" s="16" t="inlineStr">
        <is>
          <t>O1,O2</t>
        </is>
      </c>
    </row>
    <row r="494">
      <c r="A494" s="16" t="inlineStr">
        <is>
          <t>KF-M09-R0-eficiencias-0061</t>
        </is>
      </c>
      <c r="B494" s="35" t="n">
        <v>467.2864555333728</v>
      </c>
      <c r="C494" s="35" t="n">
        <v>298.3658994702575</v>
      </c>
      <c r="D494" s="36" t="n">
        <v>2167.718912311749</v>
      </c>
      <c r="E494" s="35" t="n">
        <v>427.0662132762707</v>
      </c>
      <c r="F494" s="37" t="n">
        <v>0.700382013562829</v>
      </c>
      <c r="G494" s="39" t="inlineStr">
        <is>
          <t>Corregible</t>
        </is>
      </c>
      <c r="H494" s="29" t="n">
        <v>7.58179438093092</v>
      </c>
      <c r="I494" s="35" t="n">
        <v>81.92496432146561</v>
      </c>
      <c r="J494" s="36" t="n">
        <v>1740.652699035478</v>
      </c>
      <c r="K494" s="29" t="n">
        <v>5.075837996365786</v>
      </c>
      <c r="L494" s="16" t="inlineStr">
        <is>
          <t>sí</t>
        </is>
      </c>
      <c r="M494" s="16" t="inlineStr">
        <is>
          <t>O2</t>
        </is>
      </c>
    </row>
    <row r="495">
      <c r="A495" s="16" t="inlineStr">
        <is>
          <t>KF-M09-R0-eficiencias-0062</t>
        </is>
      </c>
      <c r="B495" s="35" t="n">
        <v>497.4067103013382</v>
      </c>
      <c r="C495" s="35" t="n">
        <v>294.2565337003439</v>
      </c>
      <c r="D495" s="36" t="n">
        <v>2465.560676700233</v>
      </c>
      <c r="E495" s="35" t="n">
        <v>1285.352935678214</v>
      </c>
      <c r="F495" s="37" t="n">
        <v>0.5140396485011149</v>
      </c>
      <c r="G495" s="39" t="inlineStr">
        <is>
          <t>Corregible</t>
        </is>
      </c>
      <c r="H495" s="29" t="n">
        <v>4.89307479928347</v>
      </c>
      <c r="I495" s="35" t="n">
        <v>82.86537205152851</v>
      </c>
      <c r="J495" s="36" t="n">
        <v>1180.207741022019</v>
      </c>
      <c r="K495" s="29" t="n">
        <v>1.918197413537072</v>
      </c>
      <c r="L495" s="16" t="inlineStr">
        <is>
          <t>sí</t>
        </is>
      </c>
      <c r="M495" s="16" t="inlineStr">
        <is>
          <t>O2</t>
        </is>
      </c>
    </row>
    <row r="496">
      <c r="A496" s="16" t="inlineStr">
        <is>
          <t>KF-M09-R0-eficiencias-0063</t>
        </is>
      </c>
      <c r="B496" s="35" t="n">
        <v>404.2125570762403</v>
      </c>
      <c r="C496" s="35" t="n">
        <v>290.9228458083854</v>
      </c>
      <c r="D496" s="36" t="n">
        <v>3719.696486678743</v>
      </c>
      <c r="E496" s="35" t="n">
        <v>798.0384416702468</v>
      </c>
      <c r="F496" s="37" t="n">
        <v>0.7328399629300155</v>
      </c>
      <c r="G496" s="39" t="inlineStr">
        <is>
          <t>Corregible</t>
        </is>
      </c>
      <c r="H496" s="29" t="n">
        <v>12.07137225497058</v>
      </c>
      <c r="I496" s="35" t="n">
        <v>83.68558653996359</v>
      </c>
      <c r="J496" s="36" t="n">
        <v>2921.658045008496</v>
      </c>
      <c r="K496" s="29" t="n">
        <v>4.661049258346052</v>
      </c>
      <c r="L496" s="16" t="inlineStr">
        <is>
          <t>no</t>
        </is>
      </c>
      <c r="M496" s="16" t="inlineStr">
        <is>
          <t>O2</t>
        </is>
      </c>
    </row>
    <row r="497">
      <c r="A497" s="16" t="inlineStr">
        <is>
          <t>KF-M09-R0-eficiencias-0064</t>
        </is>
      </c>
      <c r="B497" s="35" t="n">
        <v>419.2191487624165</v>
      </c>
      <c r="C497" s="35" t="n">
        <v>289.3889111900805</v>
      </c>
      <c r="D497" s="36" t="n">
        <v>4601.486844416853</v>
      </c>
      <c r="E497" s="35" t="n">
        <v>1400.152398038793</v>
      </c>
      <c r="F497" s="37" t="n">
        <v>0.5396595482739908</v>
      </c>
      <c r="G497" s="42" t="inlineStr">
        <is>
          <t>KALINA</t>
        </is>
      </c>
      <c r="H497" s="29" t="n">
        <v>5.00589900888847</v>
      </c>
      <c r="I497" s="35" t="n">
        <v>16.84946669631425</v>
      </c>
      <c r="J497" s="36" t="n">
        <v>3201.33444637806</v>
      </c>
      <c r="K497" s="29" t="n">
        <v>3.286418571908457</v>
      </c>
      <c r="L497" s="16" t="inlineStr">
        <is>
          <t>no</t>
        </is>
      </c>
      <c r="M497" s="16" t="n"/>
    </row>
    <row r="498">
      <c r="A498" s="16" t="inlineStr">
        <is>
          <t>KF-M09-R0-eficiencias-0065</t>
        </is>
      </c>
      <c r="B498" s="35" t="n">
        <v>439.0003876537606</v>
      </c>
      <c r="C498" s="35" t="n">
        <v>293.4201537920551</v>
      </c>
      <c r="D498" s="36" t="n">
        <v>3047.46461387508</v>
      </c>
      <c r="E498" s="35" t="n">
        <v>1054.208860396432</v>
      </c>
      <c r="F498" s="37" t="n">
        <v>0.7763197345472195</v>
      </c>
      <c r="G498" s="39" t="inlineStr">
        <is>
          <t>Corregible</t>
        </is>
      </c>
      <c r="H498" s="29" t="n">
        <v>8.773338556542621</v>
      </c>
      <c r="I498" s="35" t="n">
        <v>111.7029081755183</v>
      </c>
      <c r="J498" s="36" t="n">
        <v>1993.255753478648</v>
      </c>
      <c r="K498" s="29" t="n">
        <v>2.890759818437771</v>
      </c>
      <c r="L498" s="16" t="inlineStr">
        <is>
          <t>sí</t>
        </is>
      </c>
      <c r="M498" s="16" t="inlineStr">
        <is>
          <t>O2</t>
        </is>
      </c>
    </row>
    <row r="499">
      <c r="A499" s="16" t="inlineStr">
        <is>
          <t>KF-M09-R0-eficiencias-0066</t>
        </is>
      </c>
      <c r="B499" s="35" t="n">
        <v>424.88301922844</v>
      </c>
      <c r="C499" s="35" t="n">
        <v>294.6880992311173</v>
      </c>
      <c r="D499" s="36" t="n">
        <v>4126.154642901001</v>
      </c>
      <c r="E499" s="35" t="n">
        <v>354.2500659311622</v>
      </c>
      <c r="F499" s="37" t="n">
        <v>0.7120693143821106</v>
      </c>
      <c r="G499" s="40" t="inlineStr">
        <is>
          <t>Inviable</t>
        </is>
      </c>
      <c r="H499" s="29" t="n">
        <v>-0.0257379997476899</v>
      </c>
      <c r="I499" s="35" t="n">
        <v>-0.1010475084432585</v>
      </c>
      <c r="J499" s="36" t="n">
        <v>3771.904576969839</v>
      </c>
      <c r="K499" s="29" t="n">
        <v>11.64757621725551</v>
      </c>
      <c r="L499" s="16" t="inlineStr">
        <is>
          <t>no</t>
        </is>
      </c>
      <c r="M499" s="16" t="inlineStr">
        <is>
          <t>O2,O3</t>
        </is>
      </c>
    </row>
    <row r="500">
      <c r="A500" s="16" t="inlineStr">
        <is>
          <t>KF-M09-R0-eficiencias-0067</t>
        </is>
      </c>
      <c r="B500" s="35" t="n">
        <v>423.4809181006262</v>
      </c>
      <c r="C500" s="35" t="n">
        <v>295.4312431771145</v>
      </c>
      <c r="D500" s="36" t="n">
        <v>3306.248255809954</v>
      </c>
      <c r="E500" s="35" t="n">
        <v>647.9814851424135</v>
      </c>
      <c r="F500" s="37" t="n">
        <v>0.5621027301131036</v>
      </c>
      <c r="G500" s="39" t="inlineStr">
        <is>
          <t>Corregible</t>
        </is>
      </c>
      <c r="H500" s="29" t="n">
        <v>11.36957144139066</v>
      </c>
      <c r="I500" s="35" t="n">
        <v>71.48084429846841</v>
      </c>
      <c r="J500" s="36" t="n">
        <v>2658.26677066754</v>
      </c>
      <c r="K500" s="29" t="n">
        <v>5.102380749479757</v>
      </c>
      <c r="L500" s="16" t="inlineStr">
        <is>
          <t>no</t>
        </is>
      </c>
      <c r="M500" s="16" t="inlineStr">
        <is>
          <t>O2</t>
        </is>
      </c>
    </row>
    <row r="501">
      <c r="A501" s="16" t="inlineStr">
        <is>
          <t>KF-M09-R0-eficiencias-0068</t>
        </is>
      </c>
      <c r="B501" s="35" t="n">
        <v>386.5630698635727</v>
      </c>
      <c r="C501" s="35" t="n">
        <v>292.8456689078885</v>
      </c>
      <c r="D501" s="36" t="n">
        <v>3674.73187722162</v>
      </c>
      <c r="E501" s="35" t="n">
        <v>1815.096229581577</v>
      </c>
      <c r="F501" s="37" t="n">
        <v>0.6929960960469095</v>
      </c>
      <c r="G501" s="42" t="inlineStr">
        <is>
          <t>KALINA</t>
        </is>
      </c>
      <c r="H501" s="29" t="n">
        <v>4.85182347710703</v>
      </c>
      <c r="I501" s="35" t="n">
        <v>20.36842647952059</v>
      </c>
      <c r="J501" s="36" t="n">
        <v>1859.635647640042</v>
      </c>
      <c r="K501" s="29" t="n">
        <v>2.024538323275969</v>
      </c>
      <c r="L501" s="16" t="inlineStr">
        <is>
          <t>no</t>
        </is>
      </c>
      <c r="M501" s="16" t="n"/>
    </row>
    <row r="502">
      <c r="A502" s="16" t="inlineStr">
        <is>
          <t>KF-M09-R0-eficiencias-0069</t>
        </is>
      </c>
      <c r="B502" s="35" t="n">
        <v>403.3598760386761</v>
      </c>
      <c r="C502" s="35" t="n">
        <v>292.4102484355391</v>
      </c>
      <c r="D502" s="36" t="n">
        <v>3811.224562898081</v>
      </c>
      <c r="E502" s="35" t="n">
        <v>966.3912178635104</v>
      </c>
      <c r="F502" s="37" t="n">
        <v>0.5540636319641737</v>
      </c>
      <c r="G502" s="42" t="inlineStr">
        <is>
          <t>KALINA</t>
        </is>
      </c>
      <c r="H502" s="29" t="n">
        <v>6.10155591706971</v>
      </c>
      <c r="I502" s="35" t="n">
        <v>18.08115885097229</v>
      </c>
      <c r="J502" s="36" t="n">
        <v>2844.83334503457</v>
      </c>
      <c r="K502" s="29" t="n">
        <v>3.943769865090355</v>
      </c>
      <c r="L502" s="16" t="inlineStr">
        <is>
          <t>no</t>
        </is>
      </c>
      <c r="M502" s="16" t="n"/>
    </row>
    <row r="503">
      <c r="A503" s="16" t="inlineStr">
        <is>
          <t>KF-M09-R0-eficiencias-0070</t>
        </is>
      </c>
      <c r="B503" s="35" t="n">
        <v>458.739344533906</v>
      </c>
      <c r="C503" s="35" t="n">
        <v>282.3641886236271</v>
      </c>
      <c r="D503" s="36" t="n">
        <v>3857.791888854735</v>
      </c>
      <c r="E503" s="35" t="n">
        <v>1986.996607272141</v>
      </c>
      <c r="F503" s="37" t="n">
        <v>0.7286110094172432</v>
      </c>
      <c r="G503" s="39" t="inlineStr">
        <is>
          <t>Corregible</t>
        </is>
      </c>
      <c r="H503" s="29" t="n">
        <v>5.88366083179429</v>
      </c>
      <c r="I503" s="35" t="n">
        <v>83.32559219738644</v>
      </c>
      <c r="J503" s="36" t="n">
        <v>1870.795281582594</v>
      </c>
      <c r="K503" s="29" t="n">
        <v>1.941519112179525</v>
      </c>
      <c r="L503" s="16" t="inlineStr">
        <is>
          <t>sí</t>
        </is>
      </c>
      <c r="M503" s="16" t="inlineStr">
        <is>
          <t>O2</t>
        </is>
      </c>
    </row>
    <row r="504">
      <c r="A504" s="16" t="inlineStr">
        <is>
          <t>KF-M09-R0-eficiencias-0071</t>
        </is>
      </c>
      <c r="B504" s="35" t="n">
        <v>382.5684874075685</v>
      </c>
      <c r="C504" s="35" t="n">
        <v>296.0480652614235</v>
      </c>
      <c r="D504" s="36" t="n">
        <v>3576.171373039979</v>
      </c>
      <c r="E504" s="35" t="n">
        <v>832.2509646689811</v>
      </c>
      <c r="F504" s="37" t="n">
        <v>0.7565723880037221</v>
      </c>
      <c r="G504" s="39" t="inlineStr">
        <is>
          <t>Corregible</t>
        </is>
      </c>
      <c r="H504" s="29" t="n">
        <v>10.86644251092923</v>
      </c>
      <c r="I504" s="35" t="n">
        <v>56.68366705996819</v>
      </c>
      <c r="J504" s="36" t="n">
        <v>2743.920408370998</v>
      </c>
      <c r="K504" s="29" t="n">
        <v>4.296986756227267</v>
      </c>
      <c r="L504" s="16" t="inlineStr">
        <is>
          <t>no</t>
        </is>
      </c>
      <c r="M504" s="16" t="inlineStr">
        <is>
          <t>O2</t>
        </is>
      </c>
    </row>
    <row r="505">
      <c r="A505" s="16" t="inlineStr">
        <is>
          <t>KF-M09-R0-eficiencias-0072</t>
        </is>
      </c>
      <c r="B505" s="35" t="n">
        <v>470.9738132403889</v>
      </c>
      <c r="C505" s="35" t="n">
        <v>302.4368297567964</v>
      </c>
      <c r="D505" s="36" t="n">
        <v>2866.962602014089</v>
      </c>
      <c r="E505" s="35" t="n">
        <v>1671.976663773145</v>
      </c>
      <c r="F505" s="37" t="n">
        <v>0.7666278823093108</v>
      </c>
      <c r="G505" s="39" t="inlineStr">
        <is>
          <t>Corregible</t>
        </is>
      </c>
      <c r="H505" s="29" t="n">
        <v>4.51063181360324</v>
      </c>
      <c r="I505" s="35" t="n">
        <v>61.35284746697273</v>
      </c>
      <c r="J505" s="36" t="n">
        <v>1194.985938240944</v>
      </c>
      <c r="K505" s="29" t="n">
        <v>1.714714483839877</v>
      </c>
      <c r="L505" s="16" t="inlineStr">
        <is>
          <t>sí</t>
        </is>
      </c>
      <c r="M505" s="16" t="inlineStr">
        <is>
          <t>O2</t>
        </is>
      </c>
    </row>
    <row r="506">
      <c r="A506" s="16" t="inlineStr">
        <is>
          <t>KF-M09-R0-eficiencias-0073</t>
        </is>
      </c>
      <c r="B506" s="35" t="n">
        <v>490.1449659352846</v>
      </c>
      <c r="C506" s="35" t="n">
        <v>301.2836390359234</v>
      </c>
      <c r="D506" s="36" t="n">
        <v>4415.195586084021</v>
      </c>
      <c r="E506" s="35" t="n">
        <v>1653.695772292054</v>
      </c>
      <c r="F506" s="37" t="n">
        <v>0.8117632129226435</v>
      </c>
      <c r="G506" s="32" t="inlineStr">
        <is>
          <t>No convergió</t>
        </is>
      </c>
      <c r="H506" s="29" t="inlineStr">
        <is>
          <t>—</t>
        </is>
      </c>
      <c r="I506" s="35" t="inlineStr">
        <is>
          <t>—</t>
        </is>
      </c>
      <c r="J506" s="36" t="n">
        <v>2761.499813791967</v>
      </c>
      <c r="K506" s="29" t="n">
        <v>2.669895914388458</v>
      </c>
      <c r="L506" s="16" t="inlineStr">
        <is>
          <t>no</t>
        </is>
      </c>
      <c r="M506" s="16" t="n"/>
    </row>
    <row r="507">
      <c r="A507" s="16" t="inlineStr">
        <is>
          <t>KF-M09-R0-eficiencias-0074</t>
        </is>
      </c>
      <c r="B507" s="35" t="n">
        <v>515.4332146496098</v>
      </c>
      <c r="C507" s="35" t="n">
        <v>284.7342429732914</v>
      </c>
      <c r="D507" s="36" t="n">
        <v>2746.746322140576</v>
      </c>
      <c r="E507" s="35" t="n">
        <v>668.9987596728052</v>
      </c>
      <c r="F507" s="37" t="n">
        <v>0.5782191432116591</v>
      </c>
      <c r="G507" s="39" t="inlineStr">
        <is>
          <t>Corregible</t>
        </is>
      </c>
      <c r="H507" s="29" t="n">
        <v>9.962511872576719</v>
      </c>
      <c r="I507" s="35" t="n">
        <v>169.936193908112</v>
      </c>
      <c r="J507" s="36" t="n">
        <v>2077.747562467771</v>
      </c>
      <c r="K507" s="29" t="n">
        <v>4.105756972530051</v>
      </c>
      <c r="L507" s="16" t="inlineStr">
        <is>
          <t>sí</t>
        </is>
      </c>
      <c r="M507" s="16" t="inlineStr">
        <is>
          <t>O2</t>
        </is>
      </c>
    </row>
    <row r="508">
      <c r="A508" s="16" t="inlineStr">
        <is>
          <t>KF-M09-R0-eficiencias-0075</t>
        </is>
      </c>
      <c r="B508" s="35" t="n">
        <v>499.5069848830827</v>
      </c>
      <c r="C508" s="35" t="n">
        <v>279.850482753667</v>
      </c>
      <c r="D508" s="36" t="n">
        <v>3002.195995718115</v>
      </c>
      <c r="E508" s="35" t="n">
        <v>881.7656496854752</v>
      </c>
      <c r="F508" s="37" t="n">
        <v>0.674099501766268</v>
      </c>
      <c r="G508" s="39" t="inlineStr">
        <is>
          <t>Corregible</t>
        </is>
      </c>
      <c r="H508" s="29" t="n">
        <v>9.334723333530221</v>
      </c>
      <c r="I508" s="35" t="n">
        <v>148.9354766182296</v>
      </c>
      <c r="J508" s="36" t="n">
        <v>2120.43034603264</v>
      </c>
      <c r="K508" s="29" t="n">
        <v>3.404754989932977</v>
      </c>
      <c r="L508" s="16" t="inlineStr">
        <is>
          <t>sí</t>
        </is>
      </c>
      <c r="M508" s="16" t="inlineStr">
        <is>
          <t>O2</t>
        </is>
      </c>
    </row>
    <row r="509">
      <c r="A509" s="16" t="inlineStr">
        <is>
          <t>KF-M09-R0-eficiencias-0076</t>
        </is>
      </c>
      <c r="B509" s="35" t="n">
        <v>488.8960537960722</v>
      </c>
      <c r="C509" s="35" t="n">
        <v>288.9627609809575</v>
      </c>
      <c r="D509" s="36" t="n">
        <v>2598.507358818896</v>
      </c>
      <c r="E509" s="35" t="n">
        <v>1193.603765254746</v>
      </c>
      <c r="F509" s="37" t="n">
        <v>0.6075195719377092</v>
      </c>
      <c r="G509" s="39" t="inlineStr">
        <is>
          <t>Corregible</t>
        </is>
      </c>
      <c r="H509" s="29" t="n">
        <v>5.90678040503571</v>
      </c>
      <c r="I509" s="35" t="n">
        <v>95.14257064742507</v>
      </c>
      <c r="J509" s="36" t="n">
        <v>1404.90359356415</v>
      </c>
      <c r="K509" s="29" t="n">
        <v>2.177026777612676</v>
      </c>
      <c r="L509" s="16" t="inlineStr">
        <is>
          <t>sí</t>
        </is>
      </c>
      <c r="M509" s="16" t="inlineStr">
        <is>
          <t>O2</t>
        </is>
      </c>
    </row>
    <row r="510">
      <c r="A510" s="16" t="inlineStr">
        <is>
          <t>KF-M09-R0-eficiencias-0077</t>
        </is>
      </c>
      <c r="B510" s="35" t="n">
        <v>510.9160368736383</v>
      </c>
      <c r="C510" s="35" t="n">
        <v>293.6619651390672</v>
      </c>
      <c r="D510" s="36" t="n">
        <v>4060.745172470695</v>
      </c>
      <c r="E510" s="35" t="n">
        <v>907.3813669884838</v>
      </c>
      <c r="F510" s="37" t="n">
        <v>0.7852713880056792</v>
      </c>
      <c r="G510" s="39" t="inlineStr">
        <is>
          <t>Corregible</t>
        </is>
      </c>
      <c r="H510" s="29" t="n">
        <v>12.00647401089124</v>
      </c>
      <c r="I510" s="35" t="n">
        <v>172.5783235966878</v>
      </c>
      <c r="J510" s="36" t="n">
        <v>3153.363805482211</v>
      </c>
      <c r="K510" s="29" t="n">
        <v>4.475235353297962</v>
      </c>
      <c r="L510" s="16" t="inlineStr">
        <is>
          <t>sí</t>
        </is>
      </c>
      <c r="M510" s="16" t="inlineStr">
        <is>
          <t>O2</t>
        </is>
      </c>
    </row>
    <row r="511">
      <c r="A511" s="16" t="inlineStr">
        <is>
          <t>KF-M09-R0-eficiencias-0078</t>
        </is>
      </c>
      <c r="B511" s="35" t="n">
        <v>428.6024797135866</v>
      </c>
      <c r="C511" s="35" t="n">
        <v>285.0134498418187</v>
      </c>
      <c r="D511" s="36" t="n">
        <v>3187.225332776293</v>
      </c>
      <c r="E511" s="35" t="n">
        <v>398.7321062632564</v>
      </c>
      <c r="F511" s="37" t="n">
        <v>0.7614623920984434</v>
      </c>
      <c r="G511" s="39" t="inlineStr">
        <is>
          <t>Corregible</t>
        </is>
      </c>
      <c r="H511" s="29" t="n">
        <v>10.77280944698422</v>
      </c>
      <c r="I511" s="35" t="n">
        <v>84.02214780002507</v>
      </c>
      <c r="J511" s="36" t="n">
        <v>2788.493226513036</v>
      </c>
      <c r="K511" s="29" t="n">
        <v>7.993400287339738</v>
      </c>
      <c r="L511" s="16" t="inlineStr">
        <is>
          <t>sí</t>
        </is>
      </c>
      <c r="M511" s="16" t="inlineStr">
        <is>
          <t>O2</t>
        </is>
      </c>
    </row>
    <row r="512">
      <c r="A512" s="16" t="inlineStr">
        <is>
          <t>KF-M09-R0-eficiencias-0079</t>
        </is>
      </c>
      <c r="B512" s="35" t="n">
        <v>394.5348215097497</v>
      </c>
      <c r="C512" s="35" t="n">
        <v>293.3191455805261</v>
      </c>
      <c r="D512" s="36" t="n">
        <v>4430.568097367837</v>
      </c>
      <c r="E512" s="35" t="n">
        <v>1140.019197242107</v>
      </c>
      <c r="F512" s="37" t="n">
        <v>0.8061693919292768</v>
      </c>
      <c r="G512" s="39" t="inlineStr">
        <is>
          <t>Corregible</t>
        </is>
      </c>
      <c r="H512" s="29" t="n">
        <v>10.99532959131809</v>
      </c>
      <c r="I512" s="35" t="n">
        <v>71.14938771668474</v>
      </c>
      <c r="J512" s="36" t="n">
        <v>3290.54890012573</v>
      </c>
      <c r="K512" s="29" t="n">
        <v>3.88639779758631</v>
      </c>
      <c r="L512" s="16" t="inlineStr">
        <is>
          <t>no</t>
        </is>
      </c>
      <c r="M512" s="16" t="inlineStr">
        <is>
          <t>O2</t>
        </is>
      </c>
    </row>
    <row r="513">
      <c r="A513" s="16" t="inlineStr">
        <is>
          <t>KF-M09-R0-eficiencias-0080</t>
        </is>
      </c>
      <c r="B513" s="35" t="n">
        <v>464.2822588295004</v>
      </c>
      <c r="C513" s="35" t="n">
        <v>299.1650858675615</v>
      </c>
      <c r="D513" s="36" t="n">
        <v>4239.21605628039</v>
      </c>
      <c r="E513" s="35" t="n">
        <v>1757.324563164514</v>
      </c>
      <c r="F513" s="37" t="n">
        <v>0.6090315337359344</v>
      </c>
      <c r="G513" s="39" t="inlineStr">
        <is>
          <t>Corregible</t>
        </is>
      </c>
      <c r="H513" s="29" t="n">
        <v>7.240061593650079</v>
      </c>
      <c r="I513" s="35" t="n">
        <v>85.21641355068837</v>
      </c>
      <c r="J513" s="36" t="n">
        <v>2481.891493115876</v>
      </c>
      <c r="K513" s="29" t="n">
        <v>2.412312526177061</v>
      </c>
      <c r="L513" s="16" t="inlineStr">
        <is>
          <t>sí</t>
        </is>
      </c>
      <c r="M513" s="16" t="inlineStr">
        <is>
          <t>O2</t>
        </is>
      </c>
    </row>
    <row r="514">
      <c r="A514" s="16" t="inlineStr">
        <is>
          <t>KF-M09-R0-eficiencias-0081</t>
        </is>
      </c>
      <c r="B514" s="35" t="n">
        <v>398.9497001831903</v>
      </c>
      <c r="C514" s="35" t="n">
        <v>280.9653103606192</v>
      </c>
      <c r="D514" s="36" t="n">
        <v>4020.449262482321</v>
      </c>
      <c r="E514" s="35" t="n">
        <v>1542.466273107116</v>
      </c>
      <c r="F514" s="37" t="n">
        <v>0.6818157297298553</v>
      </c>
      <c r="G514" s="32" t="inlineStr">
        <is>
          <t>No convergió</t>
        </is>
      </c>
      <c r="H514" s="29" t="inlineStr">
        <is>
          <t>—</t>
        </is>
      </c>
      <c r="I514" s="35" t="inlineStr">
        <is>
          <t>—</t>
        </is>
      </c>
      <c r="J514" s="36" t="n">
        <v>2477.982989375204</v>
      </c>
      <c r="K514" s="29" t="n">
        <v>2.606507080627183</v>
      </c>
      <c r="L514" s="16" t="inlineStr">
        <is>
          <t>no</t>
        </is>
      </c>
      <c r="M514" s="16" t="n"/>
    </row>
    <row r="515">
      <c r="A515" s="16" t="inlineStr">
        <is>
          <t>KF-M09-R0-eficiencias-0082</t>
        </is>
      </c>
      <c r="B515" s="35" t="n">
        <v>451.7417673798069</v>
      </c>
      <c r="C515" s="35" t="n">
        <v>302.1307882871938</v>
      </c>
      <c r="D515" s="36" t="n">
        <v>2411.037946517878</v>
      </c>
      <c r="E515" s="35" t="n">
        <v>513.0329412565529</v>
      </c>
      <c r="F515" s="37" t="n">
        <v>0.7520562414209487</v>
      </c>
      <c r="G515" s="39" t="inlineStr">
        <is>
          <t>Corregible</t>
        </is>
      </c>
      <c r="H515" s="29" t="n">
        <v>5.729612749664549</v>
      </c>
      <c r="I515" s="35" t="n">
        <v>50.41488513738153</v>
      </c>
      <c r="J515" s="36" t="n">
        <v>1898.005005261325</v>
      </c>
      <c r="K515" s="29" t="n">
        <v>4.699577264205707</v>
      </c>
      <c r="L515" s="16" t="inlineStr">
        <is>
          <t>sí</t>
        </is>
      </c>
      <c r="M515" s="16" t="inlineStr">
        <is>
          <t>O2</t>
        </is>
      </c>
    </row>
    <row r="516">
      <c r="A516" s="16" t="inlineStr">
        <is>
          <t>KF-M09-R0-eficiencias-0083</t>
        </is>
      </c>
      <c r="B516" s="35" t="n">
        <v>506.0605708064441</v>
      </c>
      <c r="C516" s="35" t="n">
        <v>296.6040274685963</v>
      </c>
      <c r="D516" s="36" t="n">
        <v>2538.481310820331</v>
      </c>
      <c r="E516" s="35" t="n">
        <v>1627.851152782602</v>
      </c>
      <c r="F516" s="37" t="n">
        <v>0.6017841728252773</v>
      </c>
      <c r="G516" s="39" t="inlineStr">
        <is>
          <t>Corregible</t>
        </is>
      </c>
      <c r="H516" s="29" t="n">
        <v>3.44140759260635</v>
      </c>
      <c r="I516" s="35" t="n">
        <v>55.96107148227252</v>
      </c>
      <c r="J516" s="36" t="n">
        <v>910.6301580377284</v>
      </c>
      <c r="K516" s="29" t="n">
        <v>1.559406280163345</v>
      </c>
      <c r="L516" s="16" t="inlineStr">
        <is>
          <t>sí</t>
        </is>
      </c>
      <c r="M516" s="16" t="inlineStr">
        <is>
          <t>O2</t>
        </is>
      </c>
    </row>
    <row r="517">
      <c r="A517" s="16" t="inlineStr">
        <is>
          <t>KF-M09-R0-eficiencias-0084</t>
        </is>
      </c>
      <c r="B517" s="35" t="n">
        <v>490.8658971903137</v>
      </c>
      <c r="C517" s="35" t="n">
        <v>280.3613123521767</v>
      </c>
      <c r="D517" s="36" t="n">
        <v>4807.020900793638</v>
      </c>
      <c r="E517" s="35" t="n">
        <v>697.7507752576987</v>
      </c>
      <c r="F517" s="37" t="n">
        <v>0.56484198229899</v>
      </c>
      <c r="G517" s="39" t="inlineStr">
        <is>
          <t>Corregible</t>
        </is>
      </c>
      <c r="H517" s="29" t="n">
        <v>13.72769716211735</v>
      </c>
      <c r="I517" s="35" t="n">
        <v>222.0863036906572</v>
      </c>
      <c r="J517" s="36" t="n">
        <v>4109.27012553594</v>
      </c>
      <c r="K517" s="29" t="n">
        <v>6.889309293878279</v>
      </c>
      <c r="L517" s="16" t="inlineStr">
        <is>
          <t>sí</t>
        </is>
      </c>
      <c r="M517" s="16" t="inlineStr">
        <is>
          <t>O1,O2</t>
        </is>
      </c>
    </row>
    <row r="518">
      <c r="A518" s="16" t="inlineStr">
        <is>
          <t>KF-M09-R0-eficiencias-0085</t>
        </is>
      </c>
      <c r="B518" s="35" t="n">
        <v>478.1542967756303</v>
      </c>
      <c r="C518" s="35" t="n">
        <v>300.9335568148303</v>
      </c>
      <c r="D518" s="36" t="n">
        <v>2648.979055057025</v>
      </c>
      <c r="E518" s="35" t="n">
        <v>1025.944283185189</v>
      </c>
      <c r="F518" s="37" t="n">
        <v>0.8100780133347927</v>
      </c>
      <c r="G518" s="32" t="inlineStr">
        <is>
          <t>No convergió</t>
        </is>
      </c>
      <c r="H518" s="29" t="inlineStr">
        <is>
          <t>—</t>
        </is>
      </c>
      <c r="I518" s="35" t="inlineStr">
        <is>
          <t>—</t>
        </is>
      </c>
      <c r="J518" s="36" t="n">
        <v>1623.034771871836</v>
      </c>
      <c r="K518" s="29" t="n">
        <v>2.581991145594082</v>
      </c>
      <c r="L518" s="16" t="inlineStr">
        <is>
          <t>no</t>
        </is>
      </c>
      <c r="M518" s="16" t="n"/>
    </row>
    <row r="519">
      <c r="A519" s="16" t="inlineStr">
        <is>
          <t>KF-M09-R0-eficiencias-0086</t>
        </is>
      </c>
      <c r="B519" s="35" t="n">
        <v>508.6464778277505</v>
      </c>
      <c r="C519" s="35" t="n">
        <v>290.3899935376766</v>
      </c>
      <c r="D519" s="36" t="n">
        <v>2956.759902895842</v>
      </c>
      <c r="E519" s="35" t="n">
        <v>1529.701104430363</v>
      </c>
      <c r="F519" s="37" t="n">
        <v>0.7638168178068758</v>
      </c>
      <c r="G519" s="39" t="inlineStr">
        <is>
          <t>Corregible</t>
        </is>
      </c>
      <c r="H519" s="29" t="n">
        <v>5.51047711111871</v>
      </c>
      <c r="I519" s="35" t="n">
        <v>81.80826052303763</v>
      </c>
      <c r="J519" s="36" t="n">
        <v>1427.058798465479</v>
      </c>
      <c r="K519" s="29" t="n">
        <v>1.932900417168028</v>
      </c>
      <c r="L519" s="16" t="inlineStr">
        <is>
          <t>sí</t>
        </is>
      </c>
      <c r="M519" s="16" t="inlineStr">
        <is>
          <t>O2</t>
        </is>
      </c>
    </row>
    <row r="520">
      <c r="A520" s="16" t="inlineStr">
        <is>
          <t>KF-M09-R0-eficiencias-0087</t>
        </is>
      </c>
      <c r="B520" s="35" t="n">
        <v>413.3367972171556</v>
      </c>
      <c r="C520" s="35" t="n">
        <v>278.5160377491003</v>
      </c>
      <c r="D520" s="36" t="n">
        <v>2766.193422154848</v>
      </c>
      <c r="E520" s="35" t="n">
        <v>940.1074564637386</v>
      </c>
      <c r="F520" s="37" t="n">
        <v>0.6879126370898619</v>
      </c>
      <c r="G520" s="39" t="inlineStr">
        <is>
          <t>Corregible</t>
        </is>
      </c>
      <c r="H520" s="29" t="n">
        <v>8.923287067451891</v>
      </c>
      <c r="I520" s="35" t="n">
        <v>77.62694009497531</v>
      </c>
      <c r="J520" s="36" t="n">
        <v>1826.085965691109</v>
      </c>
      <c r="K520" s="29" t="n">
        <v>2.942422595561601</v>
      </c>
      <c r="L520" s="16" t="inlineStr">
        <is>
          <t>no</t>
        </is>
      </c>
      <c r="M520" s="16" t="inlineStr">
        <is>
          <t>O2</t>
        </is>
      </c>
    </row>
    <row r="521">
      <c r="A521" s="16" t="inlineStr">
        <is>
          <t>KF-M09-R0-eficiencias-0088</t>
        </is>
      </c>
      <c r="B521" s="35" t="n">
        <v>415.6113423670805</v>
      </c>
      <c r="C521" s="35" t="n">
        <v>296.2873421508769</v>
      </c>
      <c r="D521" s="36" t="n">
        <v>3413.131485178248</v>
      </c>
      <c r="E521" s="35" t="n">
        <v>861.2635988927672</v>
      </c>
      <c r="F521" s="37" t="n">
        <v>0.7499849294634318</v>
      </c>
      <c r="G521" s="39" t="inlineStr">
        <is>
          <t>Corregible</t>
        </is>
      </c>
      <c r="H521" s="29" t="n">
        <v>11.36479472066873</v>
      </c>
      <c r="I521" s="35" t="n">
        <v>97.39334903241036</v>
      </c>
      <c r="J521" s="36" t="n">
        <v>2551.867886285481</v>
      </c>
      <c r="K521" s="29" t="n">
        <v>3.962934796694229</v>
      </c>
      <c r="L521" s="16" t="inlineStr">
        <is>
          <t>no</t>
        </is>
      </c>
      <c r="M521" s="16" t="inlineStr">
        <is>
          <t>O2</t>
        </is>
      </c>
    </row>
    <row r="522">
      <c r="A522" s="16" t="inlineStr">
        <is>
          <t>KF-M09-R0-eficiencias-0089</t>
        </is>
      </c>
      <c r="B522" s="35" t="n">
        <v>406.5423913305272</v>
      </c>
      <c r="C522" s="35" t="n">
        <v>292.2531737660333</v>
      </c>
      <c r="D522" s="36" t="n">
        <v>4670.393760880702</v>
      </c>
      <c r="E522" s="35" t="n">
        <v>1507.437284689314</v>
      </c>
      <c r="F522" s="37" t="n">
        <v>0.7426662118167109</v>
      </c>
      <c r="G522" s="42" t="inlineStr">
        <is>
          <t>KALINA</t>
        </is>
      </c>
      <c r="H522" s="29" t="n">
        <v>8.8824493505668</v>
      </c>
      <c r="I522" s="35" t="n">
        <v>54.92482246800383</v>
      </c>
      <c r="J522" s="36" t="n">
        <v>3162.956476191388</v>
      </c>
      <c r="K522" s="29" t="n">
        <v>3.098234207364242</v>
      </c>
      <c r="L522" s="16" t="inlineStr">
        <is>
          <t>no</t>
        </is>
      </c>
      <c r="M522" s="16" t="n"/>
    </row>
    <row r="523">
      <c r="A523" s="16" t="inlineStr">
        <is>
          <t>KF-M09-R0-eficiencias-0090</t>
        </is>
      </c>
      <c r="B523" s="35" t="n">
        <v>442.3407879859537</v>
      </c>
      <c r="C523" s="35" t="n">
        <v>290.1805633753919</v>
      </c>
      <c r="D523" s="36" t="n">
        <v>2349.710094225991</v>
      </c>
      <c r="E523" s="35" t="n">
        <v>344.881277538507</v>
      </c>
      <c r="F523" s="37" t="n">
        <v>0.7819918629597615</v>
      </c>
      <c r="G523" s="39" t="inlineStr">
        <is>
          <t>Corregible</t>
        </is>
      </c>
      <c r="H523" s="29" t="n">
        <v>4.95114008013383</v>
      </c>
      <c r="I523" s="35" t="n">
        <v>37.45635957088382</v>
      </c>
      <c r="J523" s="36" t="n">
        <v>2004.828816687484</v>
      </c>
      <c r="K523" s="29" t="n">
        <v>6.813098440705116</v>
      </c>
      <c r="L523" s="16" t="inlineStr">
        <is>
          <t>sí</t>
        </is>
      </c>
      <c r="M523" s="16" t="inlineStr">
        <is>
          <t>O2</t>
        </is>
      </c>
    </row>
    <row r="524">
      <c r="A524" s="16" t="inlineStr">
        <is>
          <t>KF-M09-R0-eficiencias-0091</t>
        </is>
      </c>
      <c r="B524" s="35" t="n">
        <v>456.7618200476269</v>
      </c>
      <c r="C524" s="35" t="n">
        <v>294.0393536761522</v>
      </c>
      <c r="D524" s="36" t="n">
        <v>4525.330159991379</v>
      </c>
      <c r="E524" s="35" t="n">
        <v>1172.623008269752</v>
      </c>
      <c r="F524" s="37" t="n">
        <v>0.5279744682606902</v>
      </c>
      <c r="G524" s="42" t="inlineStr">
        <is>
          <t>KALINA</t>
        </is>
      </c>
      <c r="H524" s="29" t="n">
        <v>9.432868277707431</v>
      </c>
      <c r="I524" s="35" t="n">
        <v>76.45047057478982</v>
      </c>
      <c r="J524" s="36" t="n">
        <v>3352.707151721628</v>
      </c>
      <c r="K524" s="29" t="n">
        <v>3.859151771777588</v>
      </c>
      <c r="L524" s="16" t="inlineStr">
        <is>
          <t>sí</t>
        </is>
      </c>
      <c r="M524" s="16" t="n"/>
    </row>
    <row r="525">
      <c r="A525" s="16" t="inlineStr">
        <is>
          <t>KF-M09-R0-eficiencias-0092</t>
        </is>
      </c>
      <c r="B525" s="35" t="n">
        <v>440.2205093120067</v>
      </c>
      <c r="C525" s="35" t="n">
        <v>295.3555683439232</v>
      </c>
      <c r="D525" s="36" t="n">
        <v>2198.190706842527</v>
      </c>
      <c r="E525" s="35" t="n">
        <v>1312.083005406048</v>
      </c>
      <c r="F525" s="37" t="n">
        <v>0.8037732915586943</v>
      </c>
      <c r="G525" s="39" t="inlineStr">
        <is>
          <t>Corregible</t>
        </is>
      </c>
      <c r="H525" s="29" t="n">
        <v>4.33350624872251</v>
      </c>
      <c r="I525" s="35" t="n">
        <v>56.05137516800416</v>
      </c>
      <c r="J525" s="36" t="n">
        <v>886.1077014364787</v>
      </c>
      <c r="K525" s="29" t="n">
        <v>1.675344241016411</v>
      </c>
      <c r="L525" s="16" t="inlineStr">
        <is>
          <t>no</t>
        </is>
      </c>
      <c r="M525" s="16" t="inlineStr">
        <is>
          <t>O2</t>
        </is>
      </c>
    </row>
    <row r="526">
      <c r="A526" s="16" t="inlineStr">
        <is>
          <t>KF-M09-R0-eficiencias-0093</t>
        </is>
      </c>
      <c r="B526" s="35" t="n">
        <v>472.8558295218413</v>
      </c>
      <c r="C526" s="35" t="n">
        <v>303.2162577883784</v>
      </c>
      <c r="D526" s="36" t="n">
        <v>4756.587077487755</v>
      </c>
      <c r="E526" s="35" t="n">
        <v>1491.961529886994</v>
      </c>
      <c r="F526" s="37" t="n">
        <v>0.5858002299946841</v>
      </c>
      <c r="G526" s="39" t="inlineStr">
        <is>
          <t>Corregible</t>
        </is>
      </c>
      <c r="H526" s="29" t="n">
        <v>9.04307766243193</v>
      </c>
      <c r="I526" s="35" t="n">
        <v>107.1284778955721</v>
      </c>
      <c r="J526" s="36" t="n">
        <v>3264.625547600761</v>
      </c>
      <c r="K526" s="29" t="n">
        <v>3.188143247800789</v>
      </c>
      <c r="L526" s="16" t="inlineStr">
        <is>
          <t>sí</t>
        </is>
      </c>
      <c r="M526" s="16" t="inlineStr">
        <is>
          <t>O2</t>
        </is>
      </c>
    </row>
    <row r="527">
      <c r="A527" s="16" t="inlineStr">
        <is>
          <t>KF-M09-R0-eficiencias-0094</t>
        </is>
      </c>
      <c r="B527" s="35" t="n">
        <v>462.3375137573484</v>
      </c>
      <c r="C527" s="35" t="n">
        <v>288.5365131577111</v>
      </c>
      <c r="D527" s="36" t="n">
        <v>4133.258208888376</v>
      </c>
      <c r="E527" s="35" t="n">
        <v>1776.048017116953</v>
      </c>
      <c r="F527" s="37" t="n">
        <v>0.510292110273506</v>
      </c>
      <c r="G527" s="42" t="inlineStr">
        <is>
          <t>KALINA</t>
        </is>
      </c>
      <c r="H527" s="29" t="n">
        <v>6.07053345036216</v>
      </c>
      <c r="I527" s="35" t="n">
        <v>57.90498163412203</v>
      </c>
      <c r="J527" s="36" t="n">
        <v>2357.210191771423</v>
      </c>
      <c r="K527" s="29" t="n">
        <v>2.327222107202859</v>
      </c>
      <c r="L527" s="16" t="inlineStr">
        <is>
          <t>sí</t>
        </is>
      </c>
      <c r="M527" s="16" t="n"/>
    </row>
    <row r="528">
      <c r="A528" s="16" t="inlineStr">
        <is>
          <t>KF-M09-R0-eficiencias-0095</t>
        </is>
      </c>
      <c r="B528" s="35" t="n">
        <v>396.0419670183471</v>
      </c>
      <c r="C528" s="35" t="n">
        <v>284.3227591747493</v>
      </c>
      <c r="D528" s="36" t="n">
        <v>3233.564849521834</v>
      </c>
      <c r="E528" s="35" t="n">
        <v>811.2101097207544</v>
      </c>
      <c r="F528" s="37" t="n">
        <v>0.7964631869308139</v>
      </c>
      <c r="G528" s="39" t="inlineStr">
        <is>
          <t>Corregible</t>
        </is>
      </c>
      <c r="H528" s="29" t="n">
        <v>11.51658844130563</v>
      </c>
      <c r="I528" s="35" t="n">
        <v>92.37496490390892</v>
      </c>
      <c r="J528" s="36" t="n">
        <v>2422.35473980108</v>
      </c>
      <c r="K528" s="29" t="n">
        <v>3.986100284961851</v>
      </c>
      <c r="L528" s="16" t="inlineStr">
        <is>
          <t>no</t>
        </is>
      </c>
      <c r="M528" s="16" t="inlineStr">
        <is>
          <t>O2</t>
        </is>
      </c>
    </row>
    <row r="529">
      <c r="A529" s="16" t="inlineStr">
        <is>
          <t>KF-M09-R0-eficiencias-0096</t>
        </is>
      </c>
      <c r="B529" s="35" t="n">
        <v>414.7182835834032</v>
      </c>
      <c r="C529" s="35" t="n">
        <v>283.2472472244733</v>
      </c>
      <c r="D529" s="36" t="n">
        <v>2318.663393615674</v>
      </c>
      <c r="E529" s="35" t="n">
        <v>1160.025026413543</v>
      </c>
      <c r="F529" s="37" t="n">
        <v>0.7921537486765819</v>
      </c>
      <c r="G529" s="39" t="inlineStr">
        <is>
          <t>Corregible</t>
        </is>
      </c>
      <c r="H529" s="29" t="n">
        <v>6.16885789961075</v>
      </c>
      <c r="I529" s="35" t="n">
        <v>68.63068151268004</v>
      </c>
      <c r="J529" s="36" t="n">
        <v>1158.638367202131</v>
      </c>
      <c r="K529" s="29" t="n">
        <v>1.998804629917599</v>
      </c>
      <c r="L529" s="16" t="inlineStr">
        <is>
          <t>no</t>
        </is>
      </c>
      <c r="M529" s="16" t="inlineStr">
        <is>
          <t>O2</t>
        </is>
      </c>
    </row>
    <row r="530">
      <c r="A530" s="16" t="inlineStr">
        <is>
          <t>KF-M09-R0-eficiencias-0097</t>
        </is>
      </c>
      <c r="B530" s="35" t="n">
        <v>485.7781776878928</v>
      </c>
      <c r="C530" s="35" t="n">
        <v>281.5401727204214</v>
      </c>
      <c r="D530" s="36" t="n">
        <v>2799.952093916755</v>
      </c>
      <c r="E530" s="35" t="n">
        <v>1329.75500382394</v>
      </c>
      <c r="F530" s="37" t="n">
        <v>0.5228437499151023</v>
      </c>
      <c r="G530" s="39" t="inlineStr">
        <is>
          <t>Corregible</t>
        </is>
      </c>
      <c r="H530" s="29" t="n">
        <v>5.74577281019178</v>
      </c>
      <c r="I530" s="35" t="n">
        <v>97.3473483951301</v>
      </c>
      <c r="J530" s="36" t="n">
        <v>1470.197090092815</v>
      </c>
      <c r="K530" s="29" t="n">
        <v>2.105615008678298</v>
      </c>
      <c r="L530" s="16" t="inlineStr">
        <is>
          <t>sí</t>
        </is>
      </c>
      <c r="M530" s="16" t="inlineStr">
        <is>
          <t>O2</t>
        </is>
      </c>
    </row>
    <row r="531">
      <c r="A531" s="16" t="inlineStr">
        <is>
          <t>KF-M09-R0-eficiencias-0098</t>
        </is>
      </c>
      <c r="B531" s="35" t="n">
        <v>513.2827334723919</v>
      </c>
      <c r="C531" s="35" t="n">
        <v>279.3390452825528</v>
      </c>
      <c r="D531" s="36" t="n">
        <v>3398.462701711679</v>
      </c>
      <c r="E531" s="35" t="n">
        <v>1437.905391114698</v>
      </c>
      <c r="F531" s="37" t="n">
        <v>0.6163948820091469</v>
      </c>
      <c r="G531" s="39" t="inlineStr">
        <is>
          <t>Corregible</t>
        </is>
      </c>
      <c r="H531" s="29" t="n">
        <v>6.840043487919301</v>
      </c>
      <c r="I531" s="35" t="n">
        <v>114.4445727243141</v>
      </c>
      <c r="J531" s="36" t="n">
        <v>1960.557310596981</v>
      </c>
      <c r="K531" s="29" t="n">
        <v>2.363481438147409</v>
      </c>
      <c r="L531" s="16" t="inlineStr">
        <is>
          <t>sí</t>
        </is>
      </c>
      <c r="M531" s="16" t="inlineStr">
        <is>
          <t>O2</t>
        </is>
      </c>
    </row>
    <row r="532">
      <c r="A532" s="16" t="inlineStr">
        <is>
          <t>KF-M09-R0-eficiencias-0099</t>
        </is>
      </c>
      <c r="B532" s="35" t="n">
        <v>502.5757694513316</v>
      </c>
      <c r="C532" s="35" t="n">
        <v>289.0859772872166</v>
      </c>
      <c r="D532" s="36" t="n">
        <v>3907.578772269125</v>
      </c>
      <c r="E532" s="35" t="n">
        <v>854.3665220413187</v>
      </c>
      <c r="F532" s="37" t="n">
        <v>0.7879390399783659</v>
      </c>
      <c r="G532" s="39" t="inlineStr">
        <is>
          <t>Corregible</t>
        </is>
      </c>
      <c r="H532" s="29" t="n">
        <v>12.23523157850979</v>
      </c>
      <c r="I532" s="35" t="n">
        <v>175.6623576371884</v>
      </c>
      <c r="J532" s="36" t="n">
        <v>3053.212250227806</v>
      </c>
      <c r="K532" s="29" t="n">
        <v>4.573656237059518</v>
      </c>
      <c r="L532" s="16" t="inlineStr">
        <is>
          <t>sí</t>
        </is>
      </c>
      <c r="M532" s="16" t="inlineStr">
        <is>
          <t>O2</t>
        </is>
      </c>
    </row>
    <row r="534">
      <c r="A534" s="33" t="inlineStr">
        <is>
          <t>Parte 4.3 x_b · ronda 0 · 99 puntos</t>
        </is>
      </c>
      <c r="B534" s="31" t="n"/>
      <c r="C534" s="31" t="n"/>
      <c r="D534" s="31" t="n"/>
      <c r="E534" s="31" t="n"/>
      <c r="F534" s="31" t="n"/>
      <c r="G534" s="31" t="n"/>
      <c r="H534" s="31" t="n"/>
      <c r="I534" s="31" t="n"/>
      <c r="J534" s="31" t="n"/>
      <c r="K534" s="31" t="n"/>
    </row>
    <row r="536">
      <c r="A536" s="34" t="inlineStr">
        <is>
          <t>Barrido de la parte 4.3 x_b · 99 puntos</t>
        </is>
      </c>
    </row>
    <row r="537">
      <c r="A537" s="25" t="inlineStr">
        <is>
          <t>Fijos en este barrido: x_b = 0.5.</t>
        </is>
      </c>
    </row>
    <row r="538">
      <c r="A538" s="22" t="inlineStr">
        <is>
          <t>id_punto</t>
        </is>
      </c>
      <c r="B538" s="22" t="inlineStr">
        <is>
          <t>T_fuente [K]</t>
        </is>
      </c>
      <c r="C538" s="22" t="inlineStr">
        <is>
          <t>T_sumidero [K]</t>
        </is>
      </c>
      <c r="D538" s="22" t="inlineStr">
        <is>
          <t>P_alta [kPa]</t>
        </is>
      </c>
      <c r="E538" s="22" t="inlineStr">
        <is>
          <t>P_baja [kPa]</t>
        </is>
      </c>
      <c r="F538" s="22" t="inlineStr">
        <is>
          <t>η_t [–]</t>
        </is>
      </c>
      <c r="G538" s="22" t="inlineStr">
        <is>
          <t>η_p [–]</t>
        </is>
      </c>
      <c r="H538" s="22" t="inlineStr">
        <is>
          <t>ε_HRVG [–]</t>
        </is>
      </c>
      <c r="I538" s="22" t="inlineStr">
        <is>
          <t>ε_reg [–]</t>
        </is>
      </c>
      <c r="J538" s="22" t="inlineStr">
        <is>
          <t>ε_cond [–]</t>
        </is>
      </c>
      <c r="K538" s="22" t="inlineStr">
        <is>
          <t>Clase</t>
        </is>
      </c>
      <c r="L538" s="22" t="inlineStr">
        <is>
          <t>η [%]</t>
        </is>
      </c>
      <c r="M538" s="22" t="inlineStr">
        <is>
          <t>W_net [kW] (m_b = 1 kg/s)</t>
        </is>
      </c>
      <c r="N538" s="22" t="inlineStr">
        <is>
          <t>ΔP [kPa]</t>
        </is>
      </c>
      <c r="O538" s="22" t="inlineStr">
        <is>
          <t>r_P [–]</t>
        </is>
      </c>
      <c r="P538" s="22" t="inlineStr">
        <is>
          <t>Fuera de rango</t>
        </is>
      </c>
      <c r="Q538" s="22" t="inlineStr">
        <is>
          <t>Criterios que falla</t>
        </is>
      </c>
    </row>
    <row r="539">
      <c r="A539" s="16" t="inlineStr">
        <is>
          <t>KF-M09-R0-x_b-0000</t>
        </is>
      </c>
      <c r="B539" s="35" t="n">
        <v>440.5047796518691</v>
      </c>
      <c r="C539" s="35" t="n">
        <v>298.6029046205308</v>
      </c>
      <c r="D539" s="36" t="n">
        <v>3196.520995645525</v>
      </c>
      <c r="E539" s="35" t="n">
        <v>353.2079271184506</v>
      </c>
      <c r="F539" s="37" t="n">
        <v>0.8422219048240374</v>
      </c>
      <c r="G539" s="37" t="n">
        <v>0.7002630962275658</v>
      </c>
      <c r="H539" s="37" t="n">
        <v>0.644383047270397</v>
      </c>
      <c r="I539" s="37" t="n">
        <v>0.6049833121351639</v>
      </c>
      <c r="J539" s="37" t="n">
        <v>0.9415964417266766</v>
      </c>
      <c r="K539" s="39" t="inlineStr">
        <is>
          <t>Corregible</t>
        </is>
      </c>
      <c r="L539" s="29" t="n">
        <v>11.68107914535161</v>
      </c>
      <c r="M539" s="35" t="n">
        <v>74.16487442692784</v>
      </c>
      <c r="N539" s="36" t="n">
        <v>2843.313068527074</v>
      </c>
      <c r="O539" s="29" t="n">
        <v>9.049969579458365</v>
      </c>
      <c r="P539" s="16" t="inlineStr">
        <is>
          <t>no</t>
        </is>
      </c>
      <c r="Q539" s="16" t="inlineStr">
        <is>
          <t>O2</t>
        </is>
      </c>
    </row>
    <row r="540">
      <c r="A540" s="16" t="inlineStr">
        <is>
          <t>KF-M09-R0-x_b-0001</t>
        </is>
      </c>
      <c r="B540" s="35" t="n">
        <v>462.7596349411909</v>
      </c>
      <c r="C540" s="35" t="n">
        <v>294.2209929319906</v>
      </c>
      <c r="D540" s="36" t="n">
        <v>3681.472460525695</v>
      </c>
      <c r="E540" s="35" t="n">
        <v>1832.690745292293</v>
      </c>
      <c r="F540" s="37" t="n">
        <v>0.5389542993285883</v>
      </c>
      <c r="G540" s="37" t="n">
        <v>0.4150010052100949</v>
      </c>
      <c r="H540" s="37" t="n">
        <v>0.9175762827486488</v>
      </c>
      <c r="I540" s="37" t="n">
        <v>0.4296786078132785</v>
      </c>
      <c r="J540" s="37" t="n">
        <v>0.5393842226328328</v>
      </c>
      <c r="K540" s="40" t="inlineStr">
        <is>
          <t>Inviable</t>
        </is>
      </c>
      <c r="L540" s="29" t="n">
        <v>-1.75188630258684</v>
      </c>
      <c r="M540" s="35" t="n">
        <v>-13.92633911111992</v>
      </c>
      <c r="N540" s="36" t="n">
        <v>1848.781715233402</v>
      </c>
      <c r="O540" s="29" t="n">
        <v>2.008779970097215</v>
      </c>
      <c r="P540" s="16" t="inlineStr">
        <is>
          <t>sí</t>
        </is>
      </c>
      <c r="Q540" s="16" t="inlineStr">
        <is>
          <t>O2,O3</t>
        </is>
      </c>
    </row>
    <row r="541">
      <c r="A541" s="16" t="inlineStr">
        <is>
          <t>KF-M09-R0-x_b-0002</t>
        </is>
      </c>
      <c r="B541" s="35" t="n">
        <v>478.9073833876174</v>
      </c>
      <c r="C541" s="35" t="n">
        <v>299.1057894381797</v>
      </c>
      <c r="D541" s="36" t="n">
        <v>2930.254259837264</v>
      </c>
      <c r="E541" s="35" t="n">
        <v>1381.7818794498</v>
      </c>
      <c r="F541" s="37" t="n">
        <v>0.8905685459894275</v>
      </c>
      <c r="G541" s="37" t="n">
        <v>0.6943967433039278</v>
      </c>
      <c r="H541" s="37" t="n">
        <v>0.6708453249381463</v>
      </c>
      <c r="I541" s="37" t="n">
        <v>0.4899682039430168</v>
      </c>
      <c r="J541" s="37" t="n">
        <v>0.6463792520519436</v>
      </c>
      <c r="K541" s="39" t="inlineStr">
        <is>
          <t>Corregible</t>
        </is>
      </c>
      <c r="L541" s="29" t="n">
        <v>5.114900813211451</v>
      </c>
      <c r="M541" s="35" t="n">
        <v>58.21179615696597</v>
      </c>
      <c r="N541" s="36" t="n">
        <v>1548.472380387465</v>
      </c>
      <c r="O541" s="29" t="n">
        <v>2.120634452815402</v>
      </c>
      <c r="P541" s="16" t="inlineStr">
        <is>
          <t>sí</t>
        </is>
      </c>
      <c r="Q541" s="16" t="inlineStr">
        <is>
          <t>O2</t>
        </is>
      </c>
    </row>
    <row r="542">
      <c r="A542" s="16" t="inlineStr">
        <is>
          <t>KF-M09-R0-x_b-0003</t>
        </is>
      </c>
      <c r="B542" s="35" t="n">
        <v>387.8026274252721</v>
      </c>
      <c r="C542" s="35" t="n">
        <v>281.1901528198947</v>
      </c>
      <c r="D542" s="36" t="n">
        <v>2739.555769119961</v>
      </c>
      <c r="E542" s="35" t="n">
        <v>1998.763234628464</v>
      </c>
      <c r="F542" s="37" t="n">
        <v>0.9153162879172582</v>
      </c>
      <c r="G542" s="37" t="n">
        <v>0.9026231701417992</v>
      </c>
      <c r="H542" s="37" t="n">
        <v>0.8361353584794234</v>
      </c>
      <c r="I542" s="37" t="n">
        <v>0.7835055257330941</v>
      </c>
      <c r="J542" s="37" t="n">
        <v>0.6553615794106593</v>
      </c>
      <c r="K542" s="42" t="inlineStr">
        <is>
          <t>KALINA</t>
        </is>
      </c>
      <c r="L542" s="29" t="n">
        <v>0.90196193932785</v>
      </c>
      <c r="M542" s="35" t="n">
        <v>1.545617773798606</v>
      </c>
      <c r="N542" s="36" t="n">
        <v>740.7925344914966</v>
      </c>
      <c r="O542" s="29" t="n">
        <v>1.370625455610403</v>
      </c>
      <c r="P542" s="16" t="inlineStr">
        <is>
          <t>no</t>
        </is>
      </c>
      <c r="Q542" s="16" t="n"/>
    </row>
    <row r="543">
      <c r="A543" s="16" t="inlineStr">
        <is>
          <t>KF-M09-R0-x_b-0004</t>
        </is>
      </c>
      <c r="B543" s="35" t="n">
        <v>423.1295881734208</v>
      </c>
      <c r="C543" s="35" t="n">
        <v>288.6146987894248</v>
      </c>
      <c r="D543" s="36" t="n">
        <v>2486.00385462635</v>
      </c>
      <c r="E543" s="35" t="n">
        <v>472.3157449925876</v>
      </c>
      <c r="F543" s="37" t="n">
        <v>0.6778534354998844</v>
      </c>
      <c r="G543" s="37" t="n">
        <v>0.7196983715131807</v>
      </c>
      <c r="H543" s="37" t="n">
        <v>0.548642361279814</v>
      </c>
      <c r="I543" s="37" t="n">
        <v>0.7534024446523916</v>
      </c>
      <c r="J543" s="37" t="n">
        <v>0.5508108659858089</v>
      </c>
      <c r="K543" s="39" t="inlineStr">
        <is>
          <t>Corregible</t>
        </is>
      </c>
      <c r="L543" s="29" t="n">
        <v>5.965918246280911</v>
      </c>
      <c r="M543" s="35" t="n">
        <v>23.3622061183646</v>
      </c>
      <c r="N543" s="36" t="n">
        <v>2013.688109633763</v>
      </c>
      <c r="O543" s="29" t="n">
        <v>5.263436336777986</v>
      </c>
      <c r="P543" s="16" t="inlineStr">
        <is>
          <t>no</t>
        </is>
      </c>
      <c r="Q543" s="16" t="inlineStr">
        <is>
          <t>O2</t>
        </is>
      </c>
    </row>
    <row r="544">
      <c r="A544" s="16" t="inlineStr">
        <is>
          <t>KF-M09-R0-x_b-0005</t>
        </is>
      </c>
      <c r="B544" s="35" t="n">
        <v>405.3583559556568</v>
      </c>
      <c r="C544" s="35" t="n">
        <v>282.5458547891413</v>
      </c>
      <c r="D544" s="36" t="n">
        <v>2609.975039951776</v>
      </c>
      <c r="E544" s="35" t="n">
        <v>1737.227288078959</v>
      </c>
      <c r="F544" s="37" t="n">
        <v>0.6618300061025646</v>
      </c>
      <c r="G544" s="37" t="n">
        <v>0.8921232394586476</v>
      </c>
      <c r="H544" s="37" t="n">
        <v>0.8436653536570301</v>
      </c>
      <c r="I544" s="37" t="n">
        <v>0.6181747431934153</v>
      </c>
      <c r="J544" s="37" t="n">
        <v>0.8367979998619637</v>
      </c>
      <c r="K544" s="42" t="inlineStr">
        <is>
          <t>KALINA</t>
        </is>
      </c>
      <c r="L544" s="29" t="n">
        <v>1.61473653107008</v>
      </c>
      <c r="M544" s="35" t="n">
        <v>7.675316243617338</v>
      </c>
      <c r="N544" s="36" t="n">
        <v>872.7477518728176</v>
      </c>
      <c r="O544" s="29" t="n">
        <v>1.502379716149814</v>
      </c>
      <c r="P544" s="16" t="inlineStr">
        <is>
          <t>no</t>
        </is>
      </c>
      <c r="Q544" s="16" t="n"/>
    </row>
    <row r="545">
      <c r="A545" s="16" t="inlineStr">
        <is>
          <t>KF-M09-R0-x_b-0006</t>
        </is>
      </c>
      <c r="B545" s="35" t="n">
        <v>437.861482132012</v>
      </c>
      <c r="C545" s="35" t="n">
        <v>302.9719219929859</v>
      </c>
      <c r="D545" s="36" t="n">
        <v>4154.526287006396</v>
      </c>
      <c r="E545" s="35" t="n">
        <v>370.7475197747697</v>
      </c>
      <c r="F545" s="37" t="n">
        <v>0.6298561012107774</v>
      </c>
      <c r="G545" s="37" t="n">
        <v>0.945896528674685</v>
      </c>
      <c r="H545" s="37" t="n">
        <v>0.5222065087746302</v>
      </c>
      <c r="I545" s="37" t="n">
        <v>0.7179598710612726</v>
      </c>
      <c r="J545" s="37" t="n">
        <v>0.4374871650459798</v>
      </c>
      <c r="K545" s="40" t="inlineStr">
        <is>
          <t>Inviable</t>
        </is>
      </c>
      <c r="L545" s="29" t="n">
        <v>-1.67040425732722</v>
      </c>
      <c r="M545" s="35" t="n">
        <v>-4.410526479567452</v>
      </c>
      <c r="N545" s="36" t="n">
        <v>3783.778767231626</v>
      </c>
      <c r="O545" s="29" t="n">
        <v>11.2058100605239</v>
      </c>
      <c r="P545" s="16" t="inlineStr">
        <is>
          <t>sí</t>
        </is>
      </c>
      <c r="Q545" s="16" t="inlineStr">
        <is>
          <t>O2,O3</t>
        </is>
      </c>
    </row>
    <row r="546">
      <c r="A546" s="16" t="inlineStr">
        <is>
          <t>KF-M09-R0-x_b-0007</t>
        </is>
      </c>
      <c r="B546" s="35" t="n">
        <v>498.5330120052461</v>
      </c>
      <c r="C546" s="35" t="n">
        <v>284.6422552587071</v>
      </c>
      <c r="D546" s="36" t="n">
        <v>3370.173004873984</v>
      </c>
      <c r="E546" s="35" t="n">
        <v>1559.660938862371</v>
      </c>
      <c r="F546" s="37" t="n">
        <v>0.8288400058553758</v>
      </c>
      <c r="G546" s="37" t="n">
        <v>0.5843993826494051</v>
      </c>
      <c r="H546" s="37" t="n">
        <v>0.5340621698890929</v>
      </c>
      <c r="I546" s="37" t="n">
        <v>0.4795571617464577</v>
      </c>
      <c r="J546" s="37" t="n">
        <v>0.8772924408795046</v>
      </c>
      <c r="K546" s="42" t="inlineStr">
        <is>
          <t>KALINA</t>
        </is>
      </c>
      <c r="L546" s="29" t="n">
        <v>4.76758450890618</v>
      </c>
      <c r="M546" s="35" t="n">
        <v>55.12269896773428</v>
      </c>
      <c r="N546" s="36" t="n">
        <v>1810.512066011613</v>
      </c>
      <c r="O546" s="29" t="n">
        <v>2.160836961995224</v>
      </c>
      <c r="P546" s="16" t="inlineStr">
        <is>
          <t>sí</t>
        </is>
      </c>
      <c r="Q546" s="16" t="n"/>
    </row>
    <row r="547">
      <c r="A547" s="16" t="inlineStr">
        <is>
          <t>KF-M09-R0-x_b-0008</t>
        </is>
      </c>
      <c r="B547" s="35" t="n">
        <v>487.1536947398839</v>
      </c>
      <c r="C547" s="35" t="n">
        <v>286.446397183968</v>
      </c>
      <c r="D547" s="36" t="n">
        <v>2022.351969408076</v>
      </c>
      <c r="E547" s="35" t="n">
        <v>940.7890341411976</v>
      </c>
      <c r="F547" s="37" t="n">
        <v>0.6011741121828268</v>
      </c>
      <c r="G547" s="37" t="n">
        <v>0.7971148356631379</v>
      </c>
      <c r="H547" s="37" t="n">
        <v>0.6864152250644922</v>
      </c>
      <c r="I547" s="37" t="n">
        <v>0.8202870446990695</v>
      </c>
      <c r="J547" s="37" t="n">
        <v>0.8850138684415739</v>
      </c>
      <c r="K547" s="42" t="inlineStr">
        <is>
          <t>KALINA</t>
        </is>
      </c>
      <c r="L547" s="29" t="n">
        <v>3.93077075214972</v>
      </c>
      <c r="M547" s="35" t="n">
        <v>58.33388377400901</v>
      </c>
      <c r="N547" s="36" t="n">
        <v>1081.562935266878</v>
      </c>
      <c r="O547" s="29" t="n">
        <v>2.149633866910648</v>
      </c>
      <c r="P547" s="16" t="inlineStr">
        <is>
          <t>sí</t>
        </is>
      </c>
      <c r="Q547" s="16" t="n"/>
    </row>
    <row r="548">
      <c r="A548" s="16" t="inlineStr">
        <is>
          <t>KF-M09-R0-x_b-0009</t>
        </is>
      </c>
      <c r="B548" s="35" t="n">
        <v>483.5343092247237</v>
      </c>
      <c r="C548" s="35" t="n">
        <v>299.7522857773978</v>
      </c>
      <c r="D548" s="36" t="n">
        <v>2272.675887321004</v>
      </c>
      <c r="E548" s="35" t="n">
        <v>1111.358711995267</v>
      </c>
      <c r="F548" s="37" t="n">
        <v>0.487333793999239</v>
      </c>
      <c r="G548" s="37" t="n">
        <v>0.9238513620614059</v>
      </c>
      <c r="H548" s="37" t="n">
        <v>0.4984635160201552</v>
      </c>
      <c r="I548" s="37" t="n">
        <v>0.8865470129823305</v>
      </c>
      <c r="J548" s="37" t="n">
        <v>0.8280377623194779</v>
      </c>
      <c r="K548" s="39" t="inlineStr">
        <is>
          <t>Corregible</t>
        </is>
      </c>
      <c r="L548" s="29" t="n">
        <v>3.18881507849714</v>
      </c>
      <c r="M548" s="35" t="n">
        <v>32.0408561410699</v>
      </c>
      <c r="N548" s="36" t="n">
        <v>1161.317175325738</v>
      </c>
      <c r="O548" s="29" t="n">
        <v>2.044952599724331</v>
      </c>
      <c r="P548" s="16" t="inlineStr">
        <is>
          <t>sí</t>
        </is>
      </c>
      <c r="Q548" s="16" t="inlineStr">
        <is>
          <t>O2</t>
        </is>
      </c>
    </row>
    <row r="549">
      <c r="A549" s="16" t="inlineStr">
        <is>
          <t>KF-M09-R0-x_b-0010</t>
        </is>
      </c>
      <c r="B549" s="35" t="n">
        <v>514.8475437989575</v>
      </c>
      <c r="C549" s="35" t="n">
        <v>298.7367445574737</v>
      </c>
      <c r="D549" s="36" t="n">
        <v>4374.082882100893</v>
      </c>
      <c r="E549" s="35" t="n">
        <v>1219.513693321903</v>
      </c>
      <c r="F549" s="37" t="n">
        <v>0.4148231753868451</v>
      </c>
      <c r="G549" s="37" t="n">
        <v>0.4693009102295736</v>
      </c>
      <c r="H549" s="37" t="n">
        <v>0.4258075159387112</v>
      </c>
      <c r="I549" s="37" t="n">
        <v>0.50909231164285</v>
      </c>
      <c r="J549" s="37" t="n">
        <v>0.879588464823037</v>
      </c>
      <c r="K549" s="42" t="inlineStr">
        <is>
          <t>KALINA</t>
        </is>
      </c>
      <c r="L549" s="29" t="n">
        <v>3.0692161160082</v>
      </c>
      <c r="M549" s="35" t="n">
        <v>27.50295116620425</v>
      </c>
      <c r="N549" s="36" t="n">
        <v>3154.56918877899</v>
      </c>
      <c r="O549" s="29" t="n">
        <v>3.586743556922332</v>
      </c>
      <c r="P549" s="16" t="inlineStr">
        <is>
          <t>sí</t>
        </is>
      </c>
      <c r="Q549" s="16" t="n"/>
    </row>
    <row r="550">
      <c r="A550" s="16" t="inlineStr">
        <is>
          <t>KF-M09-R0-x_b-0011</t>
        </is>
      </c>
      <c r="B550" s="35" t="n">
        <v>518.2578850124695</v>
      </c>
      <c r="C550" s="35" t="n">
        <v>292.1107725386021</v>
      </c>
      <c r="D550" s="36" t="n">
        <v>2076.849298911099</v>
      </c>
      <c r="E550" s="35" t="n">
        <v>515.0459284832677</v>
      </c>
      <c r="F550" s="37" t="n">
        <v>0.4934735822569542</v>
      </c>
      <c r="G550" s="37" t="n">
        <v>0.6707979682736904</v>
      </c>
      <c r="H550" s="37" t="n">
        <v>0.7131437546425314</v>
      </c>
      <c r="I550" s="37" t="n">
        <v>0.4754117502598726</v>
      </c>
      <c r="J550" s="37" t="n">
        <v>0.6606612891292571</v>
      </c>
      <c r="K550" s="39" t="inlineStr">
        <is>
          <t>Corregible</t>
        </is>
      </c>
      <c r="L550" s="29" t="n">
        <v>1.35310316925803</v>
      </c>
      <c r="M550" s="35" t="n">
        <v>17.14906450493234</v>
      </c>
      <c r="N550" s="36" t="n">
        <v>1561.803370427831</v>
      </c>
      <c r="O550" s="29" t="n">
        <v>4.032357473491938</v>
      </c>
      <c r="P550" s="16" t="inlineStr">
        <is>
          <t>sí</t>
        </is>
      </c>
      <c r="Q550" s="16" t="inlineStr">
        <is>
          <t>O2</t>
        </is>
      </c>
    </row>
    <row r="551">
      <c r="A551" s="16" t="inlineStr">
        <is>
          <t>KF-M09-R0-x_b-0012</t>
        </is>
      </c>
      <c r="B551" s="35" t="n">
        <v>384.7399077216828</v>
      </c>
      <c r="C551" s="35" t="n">
        <v>291.527908873806</v>
      </c>
      <c r="D551" s="36" t="n">
        <v>2522.00879492392</v>
      </c>
      <c r="E551" s="35" t="n">
        <v>655.864379578923</v>
      </c>
      <c r="F551" s="37" t="n">
        <v>0.6583521540088269</v>
      </c>
      <c r="G551" s="37" t="n">
        <v>0.8279376682833209</v>
      </c>
      <c r="H551" s="37" t="n">
        <v>0.8017261279981672</v>
      </c>
      <c r="I551" s="37" t="n">
        <v>0.6681950992051612</v>
      </c>
      <c r="J551" s="37" t="n">
        <v>0.5335180038809257</v>
      </c>
      <c r="K551" s="39" t="inlineStr">
        <is>
          <t>Corregible</t>
        </is>
      </c>
      <c r="L551" s="29" t="n">
        <v>2.93988580970963</v>
      </c>
      <c r="M551" s="35" t="n">
        <v>5.210562219690905</v>
      </c>
      <c r="N551" s="36" t="n">
        <v>1866.144415344997</v>
      </c>
      <c r="O551" s="29" t="n">
        <v>3.845320577621697</v>
      </c>
      <c r="P551" s="16" t="inlineStr">
        <is>
          <t>no</t>
        </is>
      </c>
      <c r="Q551" s="16" t="inlineStr">
        <is>
          <t>O2</t>
        </is>
      </c>
    </row>
    <row r="552">
      <c r="A552" s="16" t="inlineStr">
        <is>
          <t>KF-M09-R0-x_b-0013</t>
        </is>
      </c>
      <c r="B552" s="35" t="n">
        <v>464.1350086895592</v>
      </c>
      <c r="C552" s="35" t="n">
        <v>300.3840754022411</v>
      </c>
      <c r="D552" s="36" t="n">
        <v>4229.510370783844</v>
      </c>
      <c r="E552" s="35" t="n">
        <v>1431.2943539989</v>
      </c>
      <c r="F552" s="37" t="n">
        <v>0.7224076606771319</v>
      </c>
      <c r="G552" s="37" t="n">
        <v>0.4540261149121088</v>
      </c>
      <c r="H552" s="37" t="n">
        <v>0.8971846062481944</v>
      </c>
      <c r="I552" s="37" t="n">
        <v>0.6850749174347953</v>
      </c>
      <c r="J552" s="37" t="n">
        <v>0.7195910825515819</v>
      </c>
      <c r="K552" s="39" t="inlineStr">
        <is>
          <t>Corregible</t>
        </is>
      </c>
      <c r="L552" s="29" t="n">
        <v>6.25552163285695</v>
      </c>
      <c r="M552" s="35" t="n">
        <v>57.05664939111563</v>
      </c>
      <c r="N552" s="36" t="n">
        <v>2798.216016784944</v>
      </c>
      <c r="O552" s="29" t="n">
        <v>2.95502484095392</v>
      </c>
      <c r="P552" s="16" t="inlineStr">
        <is>
          <t>sí</t>
        </is>
      </c>
      <c r="Q552" s="16" t="inlineStr">
        <is>
          <t>O2</t>
        </is>
      </c>
    </row>
    <row r="553">
      <c r="A553" s="16" t="inlineStr">
        <is>
          <t>KF-M09-R0-x_b-0014</t>
        </is>
      </c>
      <c r="B553" s="35" t="n">
        <v>427.8942616553764</v>
      </c>
      <c r="C553" s="35" t="n">
        <v>296.1615546865829</v>
      </c>
      <c r="D553" s="36" t="n">
        <v>3714.727554813297</v>
      </c>
      <c r="E553" s="35" t="n">
        <v>1485.803598736095</v>
      </c>
      <c r="F553" s="37" t="n">
        <v>0.6434224085562872</v>
      </c>
      <c r="G553" s="37" t="n">
        <v>0.4293505249174469</v>
      </c>
      <c r="H553" s="37" t="n">
        <v>0.8803716227815734</v>
      </c>
      <c r="I553" s="37" t="n">
        <v>0.8600711851511786</v>
      </c>
      <c r="J553" s="37" t="n">
        <v>0.9291831675274356</v>
      </c>
      <c r="K553" s="42" t="inlineStr">
        <is>
          <t>KALINA</t>
        </is>
      </c>
      <c r="L553" s="29" t="n">
        <v>3.59655631231556</v>
      </c>
      <c r="M553" s="35" t="n">
        <v>17.380971439786</v>
      </c>
      <c r="N553" s="36" t="n">
        <v>2228.923956077202</v>
      </c>
      <c r="O553" s="29" t="n">
        <v>2.500147097485325</v>
      </c>
      <c r="P553" s="16" t="inlineStr">
        <is>
          <t>sí</t>
        </is>
      </c>
      <c r="Q553" s="16" t="n"/>
    </row>
    <row r="554">
      <c r="A554" s="16" t="inlineStr">
        <is>
          <t>KF-M09-R0-x_b-0015</t>
        </is>
      </c>
      <c r="B554" s="35" t="n">
        <v>430.8139561724474</v>
      </c>
      <c r="C554" s="35" t="n">
        <v>294.5054624327608</v>
      </c>
      <c r="D554" s="36" t="n">
        <v>4177.772824608199</v>
      </c>
      <c r="E554" s="35" t="n">
        <v>1193.160026284514</v>
      </c>
      <c r="F554" s="37" t="n">
        <v>0.4577803621237003</v>
      </c>
      <c r="G554" s="37" t="n">
        <v>0.6269078485530164</v>
      </c>
      <c r="H554" s="37" t="n">
        <v>0.9234279272154244</v>
      </c>
      <c r="I554" s="37" t="n">
        <v>0.5954574457820265</v>
      </c>
      <c r="J554" s="37" t="n">
        <v>0.432568191979872</v>
      </c>
      <c r="K554" s="40" t="inlineStr">
        <is>
          <t>Inviable</t>
        </is>
      </c>
      <c r="L554" s="29" t="n">
        <v>-1.41072999034505</v>
      </c>
      <c r="M554" s="35" t="n">
        <v>-4.903249419913877</v>
      </c>
      <c r="N554" s="36" t="n">
        <v>2984.612798323685</v>
      </c>
      <c r="O554" s="29" t="n">
        <v>3.501435459263359</v>
      </c>
      <c r="P554" s="16" t="inlineStr">
        <is>
          <t>sí</t>
        </is>
      </c>
      <c r="Q554" s="16" t="inlineStr">
        <is>
          <t>O2,O3</t>
        </is>
      </c>
    </row>
    <row r="555">
      <c r="A555" s="16" t="inlineStr">
        <is>
          <t>KF-M09-R0-x_b-0016</t>
        </is>
      </c>
      <c r="B555" s="35" t="n">
        <v>516.4531618463512</v>
      </c>
      <c r="C555" s="35" t="n">
        <v>283.1343574292093</v>
      </c>
      <c r="D555" s="36" t="n">
        <v>2868.288792076371</v>
      </c>
      <c r="E555" s="35" t="n">
        <v>414.6014243836683</v>
      </c>
      <c r="F555" s="37" t="n">
        <v>0.537451033215797</v>
      </c>
      <c r="G555" s="37" t="n">
        <v>0.760764739737402</v>
      </c>
      <c r="H555" s="37" t="n">
        <v>0.6522427581242968</v>
      </c>
      <c r="I555" s="37" t="n">
        <v>0.905595436329786</v>
      </c>
      <c r="J555" s="37" t="n">
        <v>0.4239597243060478</v>
      </c>
      <c r="K555" s="40" t="inlineStr">
        <is>
          <t>Inviable</t>
        </is>
      </c>
      <c r="L555" s="29" t="n">
        <v>-7.10696804446125</v>
      </c>
      <c r="M555" s="35" t="n">
        <v>-54.9856547147366</v>
      </c>
      <c r="N555" s="36" t="n">
        <v>2453.687367692702</v>
      </c>
      <c r="O555" s="29" t="n">
        <v>6.91818364189237</v>
      </c>
      <c r="P555" s="16" t="inlineStr">
        <is>
          <t>sí</t>
        </is>
      </c>
      <c r="Q555" s="16" t="inlineStr">
        <is>
          <t>O2,O3</t>
        </is>
      </c>
    </row>
    <row r="556">
      <c r="A556" s="16" t="inlineStr">
        <is>
          <t>KF-M09-R0-x_b-0017</t>
        </is>
      </c>
      <c r="B556" s="35" t="n">
        <v>419.1621686875348</v>
      </c>
      <c r="C556" s="35" t="n">
        <v>285.7288681279673</v>
      </c>
      <c r="D556" s="36" t="n">
        <v>3883.610291614785</v>
      </c>
      <c r="E556" s="35" t="n">
        <v>1662.387940617714</v>
      </c>
      <c r="F556" s="37" t="n">
        <v>0.6163703989228705</v>
      </c>
      <c r="G556" s="37" t="n">
        <v>0.8785386705292193</v>
      </c>
      <c r="H556" s="37" t="n">
        <v>0.7723204099952343</v>
      </c>
      <c r="I556" s="37" t="n">
        <v>0.6002849695438961</v>
      </c>
      <c r="J556" s="37" t="n">
        <v>0.4933868697874243</v>
      </c>
      <c r="K556" s="42" t="inlineStr">
        <is>
          <t>KALINA</t>
        </is>
      </c>
      <c r="L556" s="29" t="n">
        <v>2.66776211792504</v>
      </c>
      <c r="M556" s="35" t="n">
        <v>7.978790231785885</v>
      </c>
      <c r="N556" s="36" t="n">
        <v>2221.222350997071</v>
      </c>
      <c r="O556" s="29" t="n">
        <v>2.336163657546567</v>
      </c>
      <c r="P556" s="16" t="inlineStr">
        <is>
          <t>no</t>
        </is>
      </c>
      <c r="Q556" s="16" t="n"/>
    </row>
    <row r="557">
      <c r="A557" s="16" t="inlineStr">
        <is>
          <t>KF-M09-R0-x_b-0018</t>
        </is>
      </c>
      <c r="B557" s="35" t="n">
        <v>482.1941777987144</v>
      </c>
      <c r="C557" s="35" t="n">
        <v>300.0348611299011</v>
      </c>
      <c r="D557" s="36" t="n">
        <v>4340.320109569118</v>
      </c>
      <c r="E557" s="35" t="n">
        <v>795.2065649345399</v>
      </c>
      <c r="F557" s="37" t="n">
        <v>0.6233151636762599</v>
      </c>
      <c r="G557" s="37" t="n">
        <v>0.4088691441126384</v>
      </c>
      <c r="H557" s="37" t="n">
        <v>0.7159047743497446</v>
      </c>
      <c r="I557" s="37" t="n">
        <v>0.4473823318427792</v>
      </c>
      <c r="J557" s="37" t="n">
        <v>0.4799449910554411</v>
      </c>
      <c r="K557" s="40" t="inlineStr">
        <is>
          <t>Inviable</t>
        </is>
      </c>
      <c r="L557" s="29" t="n">
        <v>-15.71587960335305</v>
      </c>
      <c r="M557" s="35" t="n">
        <v>-104.1856616675088</v>
      </c>
      <c r="N557" s="36" t="n">
        <v>3545.113544634578</v>
      </c>
      <c r="O557" s="29" t="n">
        <v>5.458103970666297</v>
      </c>
      <c r="P557" s="16" t="inlineStr">
        <is>
          <t>sí</t>
        </is>
      </c>
      <c r="Q557" s="16" t="inlineStr">
        <is>
          <t>O2,O3</t>
        </is>
      </c>
    </row>
    <row r="558">
      <c r="A558" s="16" t="inlineStr">
        <is>
          <t>KF-M09-R0-x_b-0019</t>
        </is>
      </c>
      <c r="B558" s="35" t="n">
        <v>457.4965032637831</v>
      </c>
      <c r="C558" s="35" t="n">
        <v>280.6813660580373</v>
      </c>
      <c r="D558" s="36" t="n">
        <v>2205.940300975474</v>
      </c>
      <c r="E558" s="35" t="n">
        <v>1787.007410191793</v>
      </c>
      <c r="F558" s="37" t="n">
        <v>0.9495608774593182</v>
      </c>
      <c r="G558" s="37" t="n">
        <v>0.8548050349420433</v>
      </c>
      <c r="H558" s="37" t="n">
        <v>0.8469374950215405</v>
      </c>
      <c r="I558" s="37" t="n">
        <v>0.8395590570122089</v>
      </c>
      <c r="J558" s="37" t="n">
        <v>0.5791045250508163</v>
      </c>
      <c r="K558" s="39" t="inlineStr">
        <is>
          <t>Corregible</t>
        </is>
      </c>
      <c r="L558" s="29" t="n">
        <v>1.74358890883168</v>
      </c>
      <c r="M558" s="35" t="n">
        <v>21.55520890845002</v>
      </c>
      <c r="N558" s="36" t="n">
        <v>418.9328907836805</v>
      </c>
      <c r="O558" s="29" t="n">
        <v>1.234432654500699</v>
      </c>
      <c r="P558" s="16" t="inlineStr">
        <is>
          <t>sí</t>
        </is>
      </c>
      <c r="Q558" s="16" t="inlineStr">
        <is>
          <t>O2</t>
        </is>
      </c>
    </row>
    <row r="559">
      <c r="A559" s="16" t="inlineStr">
        <is>
          <t>KF-M09-R0-x_b-0020</t>
        </is>
      </c>
      <c r="B559" s="35" t="n">
        <v>412.5550610743857</v>
      </c>
      <c r="C559" s="35" t="n">
        <v>289.3606418212123</v>
      </c>
      <c r="D559" s="36" t="n">
        <v>4511.608761924201</v>
      </c>
      <c r="E559" s="35" t="n">
        <v>1508.496370032229</v>
      </c>
      <c r="F559" s="37" t="n">
        <v>0.524234300295176</v>
      </c>
      <c r="G559" s="37" t="n">
        <v>0.915188452658913</v>
      </c>
      <c r="H559" s="37" t="n">
        <v>0.8634453221360969</v>
      </c>
      <c r="I559" s="37" t="n">
        <v>0.4426296820736859</v>
      </c>
      <c r="J559" s="37" t="n">
        <v>0.8564017153981535</v>
      </c>
      <c r="K559" s="40" t="inlineStr">
        <is>
          <t>Inviable</t>
        </is>
      </c>
      <c r="L559" s="29" t="n">
        <v>-1.14420219496602</v>
      </c>
      <c r="M559" s="35" t="n">
        <v>-3.478711641669211</v>
      </c>
      <c r="N559" s="36" t="n">
        <v>3003.112391891972</v>
      </c>
      <c r="O559" s="29" t="n">
        <v>2.990798553812769</v>
      </c>
      <c r="P559" s="16" t="inlineStr">
        <is>
          <t>no</t>
        </is>
      </c>
      <c r="Q559" s="16" t="inlineStr">
        <is>
          <t>O3</t>
        </is>
      </c>
    </row>
    <row r="560">
      <c r="A560" s="16" t="inlineStr">
        <is>
          <t>KF-M09-R0-x_b-0021</t>
        </is>
      </c>
      <c r="B560" s="35" t="n">
        <v>380.9623140967394</v>
      </c>
      <c r="C560" s="35" t="n">
        <v>294.7123939768234</v>
      </c>
      <c r="D560" s="36" t="n">
        <v>2566.094174646075</v>
      </c>
      <c r="E560" s="35" t="n">
        <v>634.0144723935314</v>
      </c>
      <c r="F560" s="37" t="n">
        <v>0.5588241542307346</v>
      </c>
      <c r="G560" s="37" t="n">
        <v>0.939229561274338</v>
      </c>
      <c r="H560" s="37" t="n">
        <v>0.4190094541082001</v>
      </c>
      <c r="I560" s="37" t="n">
        <v>0.4871697236388403</v>
      </c>
      <c r="J560" s="37" t="n">
        <v>0.7407817573425772</v>
      </c>
      <c r="K560" s="32" t="inlineStr">
        <is>
          <t>No convergió</t>
        </is>
      </c>
      <c r="L560" s="29" t="inlineStr">
        <is>
          <t>—</t>
        </is>
      </c>
      <c r="M560" s="35" t="inlineStr">
        <is>
          <t>—</t>
        </is>
      </c>
      <c r="N560" s="36" t="n">
        <v>1932.079702252544</v>
      </c>
      <c r="O560" s="29" t="n">
        <v>4.047374762532717</v>
      </c>
      <c r="P560" s="16" t="inlineStr">
        <is>
          <t>no</t>
        </is>
      </c>
      <c r="Q560" s="16" t="n"/>
    </row>
    <row r="561">
      <c r="A561" s="16" t="inlineStr">
        <is>
          <t>KF-M09-R0-x_b-0022</t>
        </is>
      </c>
      <c r="B561" s="35" t="n">
        <v>489.7218086473794</v>
      </c>
      <c r="C561" s="35" t="n">
        <v>293.3100851011477</v>
      </c>
      <c r="D561" s="36" t="n">
        <v>3460.320880252862</v>
      </c>
      <c r="E561" s="35" t="n">
        <v>1918.212289258206</v>
      </c>
      <c r="F561" s="37" t="n">
        <v>0.5880803705548122</v>
      </c>
      <c r="G561" s="37" t="n">
        <v>0.5714558727507155</v>
      </c>
      <c r="H561" s="37" t="n">
        <v>0.4300645751105515</v>
      </c>
      <c r="I561" s="37" t="n">
        <v>0.7220220886495325</v>
      </c>
      <c r="J561" s="37" t="n">
        <v>0.4039762184144703</v>
      </c>
      <c r="K561" s="40" t="inlineStr">
        <is>
          <t>Inviable</t>
        </is>
      </c>
      <c r="L561" s="29" t="n">
        <v>-2.68935911561921</v>
      </c>
      <c r="M561" s="35" t="n">
        <v>-16.06483113770656</v>
      </c>
      <c r="N561" s="36" t="n">
        <v>1542.108590994656</v>
      </c>
      <c r="O561" s="29" t="n">
        <v>1.803930096595829</v>
      </c>
      <c r="P561" s="16" t="inlineStr">
        <is>
          <t>sí</t>
        </is>
      </c>
      <c r="Q561" s="16" t="inlineStr">
        <is>
          <t>O2,O3</t>
        </is>
      </c>
    </row>
    <row r="562">
      <c r="A562" s="16" t="inlineStr">
        <is>
          <t>KF-M09-R0-x_b-0023</t>
        </is>
      </c>
      <c r="B562" s="35" t="n">
        <v>389.5765248158048</v>
      </c>
      <c r="C562" s="35" t="n">
        <v>284.3231753465597</v>
      </c>
      <c r="D562" s="36" t="n">
        <v>4440.206974500699</v>
      </c>
      <c r="E562" s="35" t="n">
        <v>971.2741840101939</v>
      </c>
      <c r="F562" s="37" t="n">
        <v>0.8965649652589016</v>
      </c>
      <c r="G562" s="37" t="n">
        <v>0.4017238255261008</v>
      </c>
      <c r="H562" s="37" t="n">
        <v>0.5866171109386619</v>
      </c>
      <c r="I562" s="37" t="n">
        <v>0.4160976640908251</v>
      </c>
      <c r="J562" s="37" t="n">
        <v>0.6948613444648873</v>
      </c>
      <c r="K562" s="32" t="inlineStr">
        <is>
          <t>No convergió</t>
        </is>
      </c>
      <c r="L562" s="29" t="inlineStr">
        <is>
          <t>—</t>
        </is>
      </c>
      <c r="M562" s="35" t="inlineStr">
        <is>
          <t>—</t>
        </is>
      </c>
      <c r="N562" s="36" t="n">
        <v>3468.932790490505</v>
      </c>
      <c r="O562" s="29" t="n">
        <v>4.571527842084699</v>
      </c>
      <c r="P562" s="16" t="inlineStr">
        <is>
          <t>no</t>
        </is>
      </c>
      <c r="Q562" s="16" t="n"/>
    </row>
    <row r="563">
      <c r="A563" s="16" t="inlineStr">
        <is>
          <t>KF-M09-R0-x_b-0024</t>
        </is>
      </c>
      <c r="B563" s="35" t="n">
        <v>485.3273131633943</v>
      </c>
      <c r="C563" s="35" t="n">
        <v>296.6773126709304</v>
      </c>
      <c r="D563" s="36" t="n">
        <v>2468.446516870588</v>
      </c>
      <c r="E563" s="35" t="n">
        <v>875.1349356033136</v>
      </c>
      <c r="F563" s="37" t="n">
        <v>0.9393653121281492</v>
      </c>
      <c r="G563" s="37" t="n">
        <v>0.625013237818011</v>
      </c>
      <c r="H563" s="37" t="n">
        <v>0.8537652632238729</v>
      </c>
      <c r="I563" s="37" t="n">
        <v>0.4217808802921609</v>
      </c>
      <c r="J563" s="37" t="n">
        <v>0.6714413816772722</v>
      </c>
      <c r="K563" s="39" t="inlineStr">
        <is>
          <t>Corregible</t>
        </is>
      </c>
      <c r="L563" s="29" t="n">
        <v>6.85120360536366</v>
      </c>
      <c r="M563" s="35" t="n">
        <v>98.09849938408962</v>
      </c>
      <c r="N563" s="36" t="n">
        <v>1593.311581267275</v>
      </c>
      <c r="O563" s="29" t="n">
        <v>2.820646755655862</v>
      </c>
      <c r="P563" s="16" t="inlineStr">
        <is>
          <t>sí</t>
        </is>
      </c>
      <c r="Q563" s="16" t="inlineStr">
        <is>
          <t>O2</t>
        </is>
      </c>
    </row>
    <row r="564">
      <c r="A564" s="16" t="inlineStr">
        <is>
          <t>KF-M09-R0-x_b-0025</t>
        </is>
      </c>
      <c r="B564" s="35" t="n">
        <v>476.9752263742706</v>
      </c>
      <c r="C564" s="35" t="n">
        <v>281.442601904268</v>
      </c>
      <c r="D564" s="36" t="n">
        <v>2823.603678942809</v>
      </c>
      <c r="E564" s="35" t="n">
        <v>1455.196008746562</v>
      </c>
      <c r="F564" s="37" t="n">
        <v>0.5010506663426747</v>
      </c>
      <c r="G564" s="37" t="n">
        <v>0.8951850439715394</v>
      </c>
      <c r="H564" s="37" t="n">
        <v>0.8573426636801563</v>
      </c>
      <c r="I564" s="37" t="n">
        <v>0.7756764504411262</v>
      </c>
      <c r="J564" s="37" t="n">
        <v>0.6087433971064979</v>
      </c>
      <c r="K564" s="39" t="inlineStr">
        <is>
          <t>Corregible</t>
        </is>
      </c>
      <c r="L564" s="29" t="n">
        <v>1.72659473688881</v>
      </c>
      <c r="M564" s="35" t="n">
        <v>22.88336600230481</v>
      </c>
      <c r="N564" s="36" t="n">
        <v>1368.407670196246</v>
      </c>
      <c r="O564" s="29" t="n">
        <v>1.940359691733163</v>
      </c>
      <c r="P564" s="16" t="inlineStr">
        <is>
          <t>sí</t>
        </is>
      </c>
      <c r="Q564" s="16" t="inlineStr">
        <is>
          <t>O2</t>
        </is>
      </c>
    </row>
    <row r="565">
      <c r="A565" s="16" t="inlineStr">
        <is>
          <t>KF-M09-R0-x_b-0026</t>
        </is>
      </c>
      <c r="B565" s="35" t="n">
        <v>432.2555898059589</v>
      </c>
      <c r="C565" s="35" t="n">
        <v>279.158145193976</v>
      </c>
      <c r="D565" s="36" t="n">
        <v>3765.229827522002</v>
      </c>
      <c r="E565" s="35" t="n">
        <v>831.850957668728</v>
      </c>
      <c r="F565" s="37" t="n">
        <v>0.4015449601271692</v>
      </c>
      <c r="G565" s="37" t="n">
        <v>0.4461850056763805</v>
      </c>
      <c r="H565" s="37" t="n">
        <v>0.6222759648001661</v>
      </c>
      <c r="I565" s="37" t="n">
        <v>0.7056991671834965</v>
      </c>
      <c r="J565" s="37" t="n">
        <v>0.4393183988774038</v>
      </c>
      <c r="K565" s="40" t="inlineStr">
        <is>
          <t>Inviable</t>
        </is>
      </c>
      <c r="L565" s="29" t="n">
        <v>-3.1698165190557</v>
      </c>
      <c r="M565" s="35" t="n">
        <v>-10.22906405676735</v>
      </c>
      <c r="N565" s="36" t="n">
        <v>2933.378869853274</v>
      </c>
      <c r="O565" s="29" t="n">
        <v>4.526327454228221</v>
      </c>
      <c r="P565" s="16" t="inlineStr">
        <is>
          <t>no</t>
        </is>
      </c>
      <c r="Q565" s="16" t="inlineStr">
        <is>
          <t>O2,O3</t>
        </is>
      </c>
    </row>
    <row r="566">
      <c r="A566" s="16" t="inlineStr">
        <is>
          <t>KF-M09-R0-x_b-0027</t>
        </is>
      </c>
      <c r="B566" s="35" t="n">
        <v>424.3620420823182</v>
      </c>
      <c r="C566" s="35" t="n">
        <v>299.5839048554639</v>
      </c>
      <c r="D566" s="36" t="n">
        <v>3240.370344284258</v>
      </c>
      <c r="E566" s="35" t="n">
        <v>557.043280699254</v>
      </c>
      <c r="F566" s="37" t="n">
        <v>0.4187357442710104</v>
      </c>
      <c r="G566" s="37" t="n">
        <v>0.7779819130379293</v>
      </c>
      <c r="H566" s="37" t="n">
        <v>0.6022136328300153</v>
      </c>
      <c r="I566" s="37" t="n">
        <v>0.5436194465823545</v>
      </c>
      <c r="J566" s="37" t="n">
        <v>0.896449858602681</v>
      </c>
      <c r="K566" s="42" t="inlineStr">
        <is>
          <t>KALINA</t>
        </is>
      </c>
      <c r="L566" s="29" t="n">
        <v>3.08582055988344</v>
      </c>
      <c r="M566" s="35" t="n">
        <v>13.20438304729456</v>
      </c>
      <c r="N566" s="36" t="n">
        <v>2683.327063585004</v>
      </c>
      <c r="O566" s="29" t="n">
        <v>5.817089006471159</v>
      </c>
      <c r="P566" s="16" t="inlineStr">
        <is>
          <t>no</t>
        </is>
      </c>
      <c r="Q566" s="16" t="n"/>
    </row>
    <row r="567">
      <c r="A567" s="16" t="inlineStr">
        <is>
          <t>KF-M09-R0-x_b-0028</t>
        </is>
      </c>
      <c r="B567" s="35" t="n">
        <v>382.7128430890358</v>
      </c>
      <c r="C567" s="35" t="n">
        <v>294.0217285522445</v>
      </c>
      <c r="D567" s="36" t="n">
        <v>2895.374923962102</v>
      </c>
      <c r="E567" s="35" t="n">
        <v>1862.645654277953</v>
      </c>
      <c r="F567" s="37" t="n">
        <v>0.7985504990569896</v>
      </c>
      <c r="G567" s="37" t="n">
        <v>0.7118966303351507</v>
      </c>
      <c r="H567" s="37" t="n">
        <v>0.5716699104494812</v>
      </c>
      <c r="I567" s="37" t="n">
        <v>0.9112025890161556</v>
      </c>
      <c r="J567" s="37" t="n">
        <v>0.7803404014045006</v>
      </c>
      <c r="K567" s="38" t="inlineStr">
        <is>
          <t>Falso convergido</t>
        </is>
      </c>
      <c r="L567" s="29" t="inlineStr">
        <is>
          <t>—</t>
        </is>
      </c>
      <c r="M567" s="35" t="inlineStr">
        <is>
          <t>—</t>
        </is>
      </c>
      <c r="N567" s="36" t="n">
        <v>1032.729269684149</v>
      </c>
      <c r="O567" s="29" t="n">
        <v>1.554442154530182</v>
      </c>
      <c r="P567" s="16" t="inlineStr">
        <is>
          <t>no</t>
        </is>
      </c>
      <c r="Q567" s="16" t="inlineStr">
        <is>
          <t>N2,S6,O3,O5,C1,C3,C3</t>
        </is>
      </c>
    </row>
    <row r="568">
      <c r="A568" s="16" t="inlineStr">
        <is>
          <t>KF-M09-R0-x_b-0029</t>
        </is>
      </c>
      <c r="B568" s="35" t="n">
        <v>403.951437223897</v>
      </c>
      <c r="C568" s="35" t="n">
        <v>285.3372649460987</v>
      </c>
      <c r="D568" s="36" t="n">
        <v>4102.820896746218</v>
      </c>
      <c r="E568" s="35" t="n">
        <v>622.0967407505634</v>
      </c>
      <c r="F568" s="37" t="n">
        <v>0.4411069305022536</v>
      </c>
      <c r="G568" s="37" t="n">
        <v>0.8635649888681022</v>
      </c>
      <c r="H568" s="37" t="n">
        <v>0.8319625942220132</v>
      </c>
      <c r="I568" s="37" t="n">
        <v>0.5247165952209017</v>
      </c>
      <c r="J568" s="37" t="n">
        <v>0.7652725492663749</v>
      </c>
      <c r="K568" s="38" t="inlineStr">
        <is>
          <t>Falso convergido</t>
        </is>
      </c>
      <c r="L568" s="29" t="inlineStr">
        <is>
          <t>—</t>
        </is>
      </c>
      <c r="M568" s="35" t="inlineStr">
        <is>
          <t>—</t>
        </is>
      </c>
      <c r="N568" s="36" t="n">
        <v>3480.724155995655</v>
      </c>
      <c r="O568" s="29" t="n">
        <v>6.595149320017558</v>
      </c>
      <c r="P568" s="16" t="inlineStr">
        <is>
          <t>no</t>
        </is>
      </c>
      <c r="Q568" s="16" t="inlineStr">
        <is>
          <t>N2,O3,O5,C1,C3,C3</t>
        </is>
      </c>
    </row>
    <row r="569">
      <c r="A569" s="16" t="inlineStr">
        <is>
          <t>KF-M09-R0-x_b-0030</t>
        </is>
      </c>
      <c r="B569" s="35" t="n">
        <v>496.849663146236</v>
      </c>
      <c r="C569" s="35" t="n">
        <v>295.3124856754376</v>
      </c>
      <c r="D569" s="36" t="n">
        <v>3121.726987190854</v>
      </c>
      <c r="E569" s="35" t="n">
        <v>1272.391375923408</v>
      </c>
      <c r="F569" s="37" t="n">
        <v>0.8788480244754213</v>
      </c>
      <c r="G569" s="37" t="n">
        <v>0.6673601037543699</v>
      </c>
      <c r="H569" s="37" t="n">
        <v>0.6789214437917324</v>
      </c>
      <c r="I569" s="37" t="n">
        <v>0.6717819041646896</v>
      </c>
      <c r="J569" s="37" t="n">
        <v>0.7062694106885005</v>
      </c>
      <c r="K569" s="39" t="inlineStr">
        <is>
          <t>Corregible</t>
        </is>
      </c>
      <c r="L569" s="29" t="n">
        <v>6.504284459516859</v>
      </c>
      <c r="M569" s="35" t="n">
        <v>81.62688847831571</v>
      </c>
      <c r="N569" s="36" t="n">
        <v>1849.335611267445</v>
      </c>
      <c r="O569" s="29" t="n">
        <v>2.453432997316045</v>
      </c>
      <c r="P569" s="16" t="inlineStr">
        <is>
          <t>sí</t>
        </is>
      </c>
      <c r="Q569" s="16" t="inlineStr">
        <is>
          <t>O2</t>
        </is>
      </c>
    </row>
    <row r="570">
      <c r="A570" s="16" t="inlineStr">
        <is>
          <t>KF-M09-R0-x_b-0031</t>
        </is>
      </c>
      <c r="B570" s="35" t="n">
        <v>472.0663324298781</v>
      </c>
      <c r="C570" s="35" t="n">
        <v>279.3928975527127</v>
      </c>
      <c r="D570" s="36" t="n">
        <v>3552.928860099447</v>
      </c>
      <c r="E570" s="35" t="n">
        <v>844.6524134694927</v>
      </c>
      <c r="F570" s="37" t="n">
        <v>0.51006740278772</v>
      </c>
      <c r="G570" s="37" t="n">
        <v>0.6819044210336775</v>
      </c>
      <c r="H570" s="37" t="n">
        <v>0.6951587494972333</v>
      </c>
      <c r="I570" s="37" t="n">
        <v>0.4990685214803612</v>
      </c>
      <c r="J570" s="37" t="n">
        <v>0.7291702269591963</v>
      </c>
      <c r="K570" s="39" t="inlineStr">
        <is>
          <t>Corregible</t>
        </is>
      </c>
      <c r="L570" s="29" t="n">
        <v>5.38381941853664</v>
      </c>
      <c r="M570" s="35" t="n">
        <v>59.08411042447064</v>
      </c>
      <c r="N570" s="36" t="n">
        <v>2708.276446629954</v>
      </c>
      <c r="O570" s="29" t="n">
        <v>4.206379811910373</v>
      </c>
      <c r="P570" s="16" t="inlineStr">
        <is>
          <t>sí</t>
        </is>
      </c>
      <c r="Q570" s="16" t="inlineStr">
        <is>
          <t>O2</t>
        </is>
      </c>
    </row>
    <row r="571">
      <c r="A571" s="16" t="inlineStr">
        <is>
          <t>KF-M09-R0-x_b-0032</t>
        </is>
      </c>
      <c r="B571" s="35" t="n">
        <v>470.432610409429</v>
      </c>
      <c r="C571" s="35" t="n">
        <v>289.6917122300939</v>
      </c>
      <c r="D571" s="36" t="n">
        <v>3796.653703349325</v>
      </c>
      <c r="E571" s="35" t="n">
        <v>789.9193878655325</v>
      </c>
      <c r="F571" s="37" t="n">
        <v>0.83383487497635</v>
      </c>
      <c r="G571" s="37" t="n">
        <v>0.7343052240946324</v>
      </c>
      <c r="H571" s="37" t="n">
        <v>0.6054781993295819</v>
      </c>
      <c r="I571" s="37" t="n">
        <v>0.5564317793327805</v>
      </c>
      <c r="J571" s="37" t="n">
        <v>0.6391410277383763</v>
      </c>
      <c r="K571" s="39" t="inlineStr">
        <is>
          <t>Corregible</t>
        </is>
      </c>
      <c r="L571" s="29" t="n">
        <v>9.68509939339906</v>
      </c>
      <c r="M571" s="35" t="n">
        <v>77.73000968558547</v>
      </c>
      <c r="N571" s="36" t="n">
        <v>3006.734315483793</v>
      </c>
      <c r="O571" s="29" t="n">
        <v>4.806381210123719</v>
      </c>
      <c r="P571" s="16" t="inlineStr">
        <is>
          <t>sí</t>
        </is>
      </c>
      <c r="Q571" s="16" t="inlineStr">
        <is>
          <t>O2</t>
        </is>
      </c>
    </row>
    <row r="572">
      <c r="A572" s="16" t="inlineStr">
        <is>
          <t>KF-M09-R0-x_b-0033</t>
        </is>
      </c>
      <c r="B572" s="35" t="n">
        <v>444.1014485174446</v>
      </c>
      <c r="C572" s="35" t="n">
        <v>298.1057263355543</v>
      </c>
      <c r="D572" s="36" t="n">
        <v>2104.863964500324</v>
      </c>
      <c r="E572" s="35" t="n">
        <v>674.9258577583076</v>
      </c>
      <c r="F572" s="37" t="n">
        <v>0.4960327769922661</v>
      </c>
      <c r="G572" s="37" t="n">
        <v>0.8033953703923317</v>
      </c>
      <c r="H572" s="37" t="n">
        <v>0.5609925117210989</v>
      </c>
      <c r="I572" s="37" t="n">
        <v>0.5192260122048865</v>
      </c>
      <c r="J572" s="37" t="n">
        <v>0.698605760922874</v>
      </c>
      <c r="K572" s="32" t="inlineStr">
        <is>
          <t>No convergió</t>
        </is>
      </c>
      <c r="L572" s="29" t="inlineStr">
        <is>
          <t>—</t>
        </is>
      </c>
      <c r="M572" s="35" t="inlineStr">
        <is>
          <t>—</t>
        </is>
      </c>
      <c r="N572" s="36" t="n">
        <v>1429.938106742016</v>
      </c>
      <c r="O572" s="29" t="n">
        <v>3.118659539125378</v>
      </c>
      <c r="P572" s="16" t="inlineStr">
        <is>
          <t>no</t>
        </is>
      </c>
      <c r="Q572" s="16" t="n"/>
    </row>
    <row r="573">
      <c r="A573" s="16" t="inlineStr">
        <is>
          <t>KF-M09-R0-x_b-0034</t>
        </is>
      </c>
      <c r="B573" s="35" t="n">
        <v>397.9342100501602</v>
      </c>
      <c r="C573" s="35" t="n">
        <v>280.3782128375594</v>
      </c>
      <c r="D573" s="36" t="n">
        <v>4935.274052914943</v>
      </c>
      <c r="E573" s="35" t="n">
        <v>1027.902038670843</v>
      </c>
      <c r="F573" s="37" t="n">
        <v>0.649302141858816</v>
      </c>
      <c r="G573" s="37" t="n">
        <v>0.5983499334471534</v>
      </c>
      <c r="H573" s="37" t="n">
        <v>0.5479157186042805</v>
      </c>
      <c r="I573" s="37" t="n">
        <v>0.8973252860399137</v>
      </c>
      <c r="J573" s="37" t="n">
        <v>0.5145127323033183</v>
      </c>
      <c r="K573" s="32" t="inlineStr">
        <is>
          <t>No convergió</t>
        </is>
      </c>
      <c r="L573" s="29" t="inlineStr">
        <is>
          <t>—</t>
        </is>
      </c>
      <c r="M573" s="35" t="inlineStr">
        <is>
          <t>—</t>
        </is>
      </c>
      <c r="N573" s="36" t="n">
        <v>3907.372014244101</v>
      </c>
      <c r="O573" s="29" t="n">
        <v>4.801307777632816</v>
      </c>
      <c r="P573" s="16" t="inlineStr">
        <is>
          <t>no</t>
        </is>
      </c>
      <c r="Q573" s="16" t="n"/>
    </row>
    <row r="574">
      <c r="A574" s="16" t="inlineStr">
        <is>
          <t>KF-M09-R0-x_b-0035</t>
        </is>
      </c>
      <c r="B574" s="35" t="n">
        <v>392.8502417805968</v>
      </c>
      <c r="C574" s="35" t="n">
        <v>290.5323637563608</v>
      </c>
      <c r="D574" s="36" t="n">
        <v>2308.137026417804</v>
      </c>
      <c r="E574" s="35" t="n">
        <v>1536.473901970503</v>
      </c>
      <c r="F574" s="37" t="n">
        <v>0.4518560669929938</v>
      </c>
      <c r="G574" s="37" t="n">
        <v>0.6624617782846177</v>
      </c>
      <c r="H574" s="37" t="n">
        <v>0.8223103181775588</v>
      </c>
      <c r="I574" s="37" t="n">
        <v>0.7999986136504876</v>
      </c>
      <c r="J574" s="37" t="n">
        <v>0.8077558937227503</v>
      </c>
      <c r="K574" s="42" t="inlineStr">
        <is>
          <t>KALINA</t>
        </is>
      </c>
      <c r="L574" s="29" t="n">
        <v>1.0279130498758</v>
      </c>
      <c r="M574" s="35" t="n">
        <v>3.295476391405914</v>
      </c>
      <c r="N574" s="36" t="n">
        <v>771.6631244473012</v>
      </c>
      <c r="O574" s="29" t="n">
        <v>1.50222989369208</v>
      </c>
      <c r="P574" s="16" t="inlineStr">
        <is>
          <t>no</t>
        </is>
      </c>
      <c r="Q574" s="16" t="n"/>
    </row>
    <row r="575">
      <c r="A575" s="16" t="inlineStr">
        <is>
          <t>KF-M09-R0-x_b-0036</t>
        </is>
      </c>
      <c r="B575" s="35" t="n">
        <v>474.7967980868063</v>
      </c>
      <c r="C575" s="35" t="n">
        <v>302.4617773373507</v>
      </c>
      <c r="D575" s="36" t="n">
        <v>2369.411685859839</v>
      </c>
      <c r="E575" s="35" t="n">
        <v>770.7413509224242</v>
      </c>
      <c r="F575" s="37" t="n">
        <v>0.6719611343123384</v>
      </c>
      <c r="G575" s="37" t="n">
        <v>0.9351280942679938</v>
      </c>
      <c r="H575" s="37" t="n">
        <v>0.6814442561166345</v>
      </c>
      <c r="I575" s="37" t="n">
        <v>0.6487945800476991</v>
      </c>
      <c r="J575" s="37" t="n">
        <v>0.7329139468426342</v>
      </c>
      <c r="K575" s="39" t="inlineStr">
        <is>
          <t>Corregible</t>
        </is>
      </c>
      <c r="L575" s="29" t="n">
        <v>5.804077842329311</v>
      </c>
      <c r="M575" s="35" t="n">
        <v>72.74855744042657</v>
      </c>
      <c r="N575" s="36" t="n">
        <v>1598.670334937415</v>
      </c>
      <c r="O575" s="29" t="n">
        <v>3.074198215814066</v>
      </c>
      <c r="P575" s="16" t="inlineStr">
        <is>
          <t>sí</t>
        </is>
      </c>
      <c r="Q575" s="16" t="inlineStr">
        <is>
          <t>O2</t>
        </is>
      </c>
    </row>
    <row r="576">
      <c r="A576" s="16" t="inlineStr">
        <is>
          <t>KF-M09-R0-x_b-0037</t>
        </is>
      </c>
      <c r="B576" s="35" t="n">
        <v>487.9371875568457</v>
      </c>
      <c r="C576" s="35" t="n">
        <v>286.9496937582578</v>
      </c>
      <c r="D576" s="36" t="n">
        <v>4617.949922563567</v>
      </c>
      <c r="E576" s="35" t="n">
        <v>1754.152742489788</v>
      </c>
      <c r="F576" s="37" t="n">
        <v>0.4815028567967654</v>
      </c>
      <c r="G576" s="37" t="n">
        <v>0.4272413071531803</v>
      </c>
      <c r="H576" s="37" t="n">
        <v>0.825801717621709</v>
      </c>
      <c r="I576" s="37" t="n">
        <v>0.7907642058683131</v>
      </c>
      <c r="J576" s="37" t="n">
        <v>0.9476932087842956</v>
      </c>
      <c r="K576" s="42" t="inlineStr">
        <is>
          <t>KALINA</t>
        </is>
      </c>
      <c r="L576" s="29" t="n">
        <v>3.29345298326445</v>
      </c>
      <c r="M576" s="35" t="n">
        <v>51.68161285555336</v>
      </c>
      <c r="N576" s="36" t="n">
        <v>2863.797180073779</v>
      </c>
      <c r="O576" s="29" t="n">
        <v>2.632581422760824</v>
      </c>
      <c r="P576" s="16" t="inlineStr">
        <is>
          <t>sí</t>
        </is>
      </c>
      <c r="Q576" s="16" t="n"/>
    </row>
    <row r="577">
      <c r="A577" s="16" t="inlineStr">
        <is>
          <t>KF-M09-R0-x_b-0038</t>
        </is>
      </c>
      <c r="B577" s="35" t="n">
        <v>394.2262171390485</v>
      </c>
      <c r="C577" s="35" t="n">
        <v>278.7313663292829</v>
      </c>
      <c r="D577" s="36" t="n">
        <v>3057.492396239742</v>
      </c>
      <c r="E577" s="35" t="n">
        <v>339.6265225931504</v>
      </c>
      <c r="F577" s="37" t="n">
        <v>0.7456102073549438</v>
      </c>
      <c r="G577" s="37" t="n">
        <v>0.5154244283850682</v>
      </c>
      <c r="H577" s="37" t="n">
        <v>0.8000062800752621</v>
      </c>
      <c r="I577" s="37" t="n">
        <v>0.5823405173326166</v>
      </c>
      <c r="J577" s="37" t="n">
        <v>0.7706600033681017</v>
      </c>
      <c r="K577" s="42" t="inlineStr">
        <is>
          <t>KALINA</t>
        </is>
      </c>
      <c r="L577" s="29" t="n">
        <v>1.41870794310145</v>
      </c>
      <c r="M577" s="35" t="n">
        <v>3.557840859676929</v>
      </c>
      <c r="N577" s="36" t="n">
        <v>2717.865873646592</v>
      </c>
      <c r="O577" s="29" t="n">
        <v>9.002513622595993</v>
      </c>
      <c r="P577" s="16" t="inlineStr">
        <is>
          <t>no</t>
        </is>
      </c>
      <c r="Q577" s="16" t="n"/>
    </row>
    <row r="578">
      <c r="A578" s="16" t="inlineStr">
        <is>
          <t>KF-M09-R0-x_b-0039</t>
        </is>
      </c>
      <c r="B578" s="35" t="n">
        <v>490.8082877754548</v>
      </c>
      <c r="C578" s="35" t="n">
        <v>284.1572373223972</v>
      </c>
      <c r="D578" s="36" t="n">
        <v>3484.970563642958</v>
      </c>
      <c r="E578" s="35" t="n">
        <v>1360.982945596113</v>
      </c>
      <c r="F578" s="37" t="n">
        <v>0.7333046020473089</v>
      </c>
      <c r="G578" s="37" t="n">
        <v>0.4399532959179101</v>
      </c>
      <c r="H578" s="37" t="n">
        <v>0.728304449005872</v>
      </c>
      <c r="I578" s="37" t="n">
        <v>0.5320720222980092</v>
      </c>
      <c r="J578" s="37" t="n">
        <v>0.85677868085689</v>
      </c>
      <c r="K578" s="42" t="inlineStr">
        <is>
          <t>KALINA</t>
        </is>
      </c>
      <c r="L578" s="29" t="n">
        <v>5.54535253623146</v>
      </c>
      <c r="M578" s="35" t="n">
        <v>84.94058759763695</v>
      </c>
      <c r="N578" s="36" t="n">
        <v>2123.987618046845</v>
      </c>
      <c r="O578" s="29" t="n">
        <v>2.560627651448294</v>
      </c>
      <c r="P578" s="16" t="inlineStr">
        <is>
          <t>sí</t>
        </is>
      </c>
      <c r="Q578" s="16" t="n"/>
    </row>
    <row r="579">
      <c r="A579" s="16" t="inlineStr">
        <is>
          <t>KF-M09-R0-x_b-0040</t>
        </is>
      </c>
      <c r="B579" s="35" t="n">
        <v>390.6424988791749</v>
      </c>
      <c r="C579" s="35" t="n">
        <v>292.1512360891099</v>
      </c>
      <c r="D579" s="36" t="n">
        <v>3504.589189302139</v>
      </c>
      <c r="E579" s="35" t="n">
        <v>1651.144874139498</v>
      </c>
      <c r="F579" s="37" t="n">
        <v>0.8046833564168645</v>
      </c>
      <c r="G579" s="37" t="n">
        <v>0.5571928688959835</v>
      </c>
      <c r="H579" s="37" t="n">
        <v>0.7957516606687185</v>
      </c>
      <c r="I579" s="37" t="n">
        <v>0.7128998559635185</v>
      </c>
      <c r="J579" s="37" t="n">
        <v>0.527768836666909</v>
      </c>
      <c r="K579" s="38" t="inlineStr">
        <is>
          <t>Falso convergido</t>
        </is>
      </c>
      <c r="L579" s="29" t="inlineStr">
        <is>
          <t>—</t>
        </is>
      </c>
      <c r="M579" s="35" t="inlineStr">
        <is>
          <t>—</t>
        </is>
      </c>
      <c r="N579" s="36" t="n">
        <v>1853.444315162641</v>
      </c>
      <c r="O579" s="29" t="n">
        <v>2.122520709231267</v>
      </c>
      <c r="P579" s="16" t="inlineStr">
        <is>
          <t>no</t>
        </is>
      </c>
      <c r="Q579" s="16" t="inlineStr">
        <is>
          <t>N2,S6,O3,O5,C1,C3,C3</t>
        </is>
      </c>
    </row>
    <row r="580">
      <c r="A580" s="16" t="inlineStr">
        <is>
          <t>KF-M09-R0-x_b-0041</t>
        </is>
      </c>
      <c r="B580" s="35" t="n">
        <v>504.8507787316368</v>
      </c>
      <c r="C580" s="35" t="n">
        <v>298.4564417105522</v>
      </c>
      <c r="D580" s="36" t="n">
        <v>2210.305283119559</v>
      </c>
      <c r="E580" s="35" t="n">
        <v>1575.470974502311</v>
      </c>
      <c r="F580" s="37" t="n">
        <v>0.5650492519540739</v>
      </c>
      <c r="G580" s="37" t="n">
        <v>0.6913417206905087</v>
      </c>
      <c r="H580" s="37" t="n">
        <v>0.4346701393118716</v>
      </c>
      <c r="I580" s="37" t="n">
        <v>0.7298453281418471</v>
      </c>
      <c r="J580" s="37" t="n">
        <v>0.8205207572932587</v>
      </c>
      <c r="K580" s="42" t="inlineStr">
        <is>
          <t>KALINA</t>
        </is>
      </c>
      <c r="L580" s="29" t="n">
        <v>1.69537397053133</v>
      </c>
      <c r="M580" s="35" t="n">
        <v>15.52435015916966</v>
      </c>
      <c r="N580" s="36" t="n">
        <v>634.8343086172479</v>
      </c>
      <c r="O580" s="29" t="n">
        <v>1.402948907908501</v>
      </c>
      <c r="P580" s="16" t="inlineStr">
        <is>
          <t>sí</t>
        </is>
      </c>
      <c r="Q580" s="16" t="n"/>
    </row>
    <row r="581">
      <c r="A581" s="16" t="inlineStr">
        <is>
          <t>KF-M09-R0-x_b-0042</t>
        </is>
      </c>
      <c r="B581" s="35" t="n">
        <v>382.9096203350088</v>
      </c>
      <c r="C581" s="35" t="n">
        <v>278.161071339338</v>
      </c>
      <c r="D581" s="36" t="n">
        <v>4867.440916891928</v>
      </c>
      <c r="E581" s="35" t="n">
        <v>1778.597759265412</v>
      </c>
      <c r="F581" s="37" t="n">
        <v>0.5478125821298691</v>
      </c>
      <c r="G581" s="37" t="n">
        <v>0.7458770130610299</v>
      </c>
      <c r="H581" s="37" t="n">
        <v>0.6393545586663426</v>
      </c>
      <c r="I581" s="37" t="n">
        <v>0.6603809128385298</v>
      </c>
      <c r="J581" s="37" t="n">
        <v>0.595711671086819</v>
      </c>
      <c r="K581" s="32" t="inlineStr">
        <is>
          <t>No convergió</t>
        </is>
      </c>
      <c r="L581" s="29" t="inlineStr">
        <is>
          <t>—</t>
        </is>
      </c>
      <c r="M581" s="35" t="inlineStr">
        <is>
          <t>—</t>
        </is>
      </c>
      <c r="N581" s="36" t="n">
        <v>3088.843157626517</v>
      </c>
      <c r="O581" s="29" t="n">
        <v>2.736673253710978</v>
      </c>
      <c r="P581" s="16" t="inlineStr">
        <is>
          <t>no</t>
        </is>
      </c>
      <c r="Q581" s="16" t="n"/>
    </row>
    <row r="582">
      <c r="A582" s="16" t="inlineStr">
        <is>
          <t>KF-M09-R0-x_b-0043</t>
        </is>
      </c>
      <c r="B582" s="35" t="n">
        <v>399.7788851582348</v>
      </c>
      <c r="C582" s="35" t="n">
        <v>289.1734114321687</v>
      </c>
      <c r="D582" s="36" t="n">
        <v>2993.647236064672</v>
      </c>
      <c r="E582" s="35" t="n">
        <v>1681.313631994919</v>
      </c>
      <c r="F582" s="37" t="n">
        <v>0.7032863774758399</v>
      </c>
      <c r="G582" s="37" t="n">
        <v>0.5156600830587963</v>
      </c>
      <c r="H582" s="37" t="n">
        <v>0.7363599295684615</v>
      </c>
      <c r="I582" s="37" t="n">
        <v>0.7509112122995933</v>
      </c>
      <c r="J582" s="37" t="n">
        <v>0.7570412670371196</v>
      </c>
      <c r="K582" s="42" t="inlineStr">
        <is>
          <t>KALINA</t>
        </is>
      </c>
      <c r="L582" s="29" t="n">
        <v>1.16946045952993</v>
      </c>
      <c r="M582" s="35" t="n">
        <v>2.830490297571304</v>
      </c>
      <c r="N582" s="36" t="n">
        <v>1312.333604069753</v>
      </c>
      <c r="O582" s="29" t="n">
        <v>1.780540631501713</v>
      </c>
      <c r="P582" s="16" t="inlineStr">
        <is>
          <t>no</t>
        </is>
      </c>
      <c r="Q582" s="16" t="n"/>
    </row>
    <row r="583">
      <c r="A583" s="16" t="inlineStr">
        <is>
          <t>KF-M09-R0-x_b-0044</t>
        </is>
      </c>
      <c r="B583" s="35" t="n">
        <v>511.5016346371716</v>
      </c>
      <c r="C583" s="35" t="n">
        <v>279.544650873588</v>
      </c>
      <c r="D583" s="36" t="n">
        <v>2977.9378243248</v>
      </c>
      <c r="E583" s="35" t="n">
        <v>399.6989613343251</v>
      </c>
      <c r="F583" s="37" t="n">
        <v>0.4270177261154533</v>
      </c>
      <c r="G583" s="37" t="n">
        <v>0.8374065022416617</v>
      </c>
      <c r="H583" s="37" t="n">
        <v>0.8742488597733165</v>
      </c>
      <c r="I583" s="37" t="n">
        <v>0.5722796613353867</v>
      </c>
      <c r="J583" s="37" t="n">
        <v>0.4736795252068469</v>
      </c>
      <c r="K583" s="40" t="inlineStr">
        <is>
          <t>Inviable</t>
        </is>
      </c>
      <c r="L583" s="29" t="n">
        <v>-6.00526021483187</v>
      </c>
      <c r="M583" s="35" t="n">
        <v>-60.26787906836779</v>
      </c>
      <c r="N583" s="36" t="n">
        <v>2578.238862990475</v>
      </c>
      <c r="O583" s="29" t="n">
        <v>7.450451745942685</v>
      </c>
      <c r="P583" s="16" t="inlineStr">
        <is>
          <t>sí</t>
        </is>
      </c>
      <c r="Q583" s="16" t="inlineStr">
        <is>
          <t>O2,O3</t>
        </is>
      </c>
    </row>
    <row r="584">
      <c r="A584" s="16" t="inlineStr">
        <is>
          <t>KF-M09-R0-x_b-0045</t>
        </is>
      </c>
      <c r="B584" s="35" t="n">
        <v>466.0094192064794</v>
      </c>
      <c r="C584" s="35" t="n">
        <v>301.3136100502595</v>
      </c>
      <c r="D584" s="36" t="n">
        <v>3933.021978496169</v>
      </c>
      <c r="E584" s="35" t="n">
        <v>436.9584792736406</v>
      </c>
      <c r="F584" s="37" t="n">
        <v>0.8594808362871367</v>
      </c>
      <c r="G584" s="37" t="n">
        <v>0.4195603422769615</v>
      </c>
      <c r="H584" s="37" t="n">
        <v>0.8863657213166689</v>
      </c>
      <c r="I584" s="37" t="n">
        <v>0.9287832269068932</v>
      </c>
      <c r="J584" s="37" t="n">
        <v>0.6694681135857139</v>
      </c>
      <c r="K584" s="39" t="inlineStr">
        <is>
          <t>Corregible</t>
        </is>
      </c>
      <c r="L584" s="29" t="n">
        <v>8.93086257051203</v>
      </c>
      <c r="M584" s="35" t="n">
        <v>79.8593893064108</v>
      </c>
      <c r="N584" s="36" t="n">
        <v>3496.063499222528</v>
      </c>
      <c r="O584" s="29" t="n">
        <v>9.000905498009928</v>
      </c>
      <c r="P584" s="16" t="inlineStr">
        <is>
          <t>sí</t>
        </is>
      </c>
      <c r="Q584" s="16" t="inlineStr">
        <is>
          <t>O1,O2</t>
        </is>
      </c>
    </row>
    <row r="585">
      <c r="A585" s="16" t="inlineStr">
        <is>
          <t>KF-M09-R0-x_b-0046</t>
        </is>
      </c>
      <c r="B585" s="35" t="n">
        <v>452.1424118306729</v>
      </c>
      <c r="C585" s="35" t="n">
        <v>282.9676888858309</v>
      </c>
      <c r="D585" s="36" t="n">
        <v>4650.560929237125</v>
      </c>
      <c r="E585" s="35" t="n">
        <v>1299.840651625487</v>
      </c>
      <c r="F585" s="37" t="n">
        <v>0.7699269503500699</v>
      </c>
      <c r="G585" s="37" t="n">
        <v>0.5795555994194941</v>
      </c>
      <c r="H585" s="37" t="n">
        <v>0.4095123680272921</v>
      </c>
      <c r="I585" s="37" t="n">
        <v>0.9414136009259652</v>
      </c>
      <c r="J585" s="37" t="n">
        <v>0.5637317230039652</v>
      </c>
      <c r="K585" s="42" t="inlineStr">
        <is>
          <t>KALINA</t>
        </is>
      </c>
      <c r="L585" s="29" t="n">
        <v>6.426891601867769</v>
      </c>
      <c r="M585" s="35" t="n">
        <v>17.66886691205245</v>
      </c>
      <c r="N585" s="36" t="n">
        <v>3350.720277611638</v>
      </c>
      <c r="O585" s="29" t="n">
        <v>3.577793111349048</v>
      </c>
      <c r="P585" s="16" t="inlineStr">
        <is>
          <t>sí</t>
        </is>
      </c>
      <c r="Q585" s="16" t="n"/>
    </row>
    <row r="586">
      <c r="A586" s="16" t="inlineStr">
        <is>
          <t>KF-M09-R0-x_b-0047</t>
        </is>
      </c>
      <c r="B586" s="35" t="n">
        <v>461.8506571375505</v>
      </c>
      <c r="C586" s="35" t="n">
        <v>283.8937642281128</v>
      </c>
      <c r="D586" s="36" t="n">
        <v>4270.138754104872</v>
      </c>
      <c r="E586" s="35" t="n">
        <v>1878.61083890706</v>
      </c>
      <c r="F586" s="37" t="n">
        <v>0.8115207598070741</v>
      </c>
      <c r="G586" s="37" t="n">
        <v>0.755170066979165</v>
      </c>
      <c r="H586" s="37" t="n">
        <v>0.7229685305066444</v>
      </c>
      <c r="I586" s="37" t="n">
        <v>0.4638015764083999</v>
      </c>
      <c r="J586" s="37" t="n">
        <v>0.6114247963521313</v>
      </c>
      <c r="K586" s="39" t="inlineStr">
        <is>
          <t>Corregible</t>
        </is>
      </c>
      <c r="L586" s="29" t="n">
        <v>5.535114995205221</v>
      </c>
      <c r="M586" s="35" t="n">
        <v>39.42403353265295</v>
      </c>
      <c r="N586" s="36" t="n">
        <v>2391.527915197812</v>
      </c>
      <c r="O586" s="29" t="n">
        <v>2.273029978145531</v>
      </c>
      <c r="P586" s="16" t="inlineStr">
        <is>
          <t>sí</t>
        </is>
      </c>
      <c r="Q586" s="16" t="inlineStr">
        <is>
          <t>O2</t>
        </is>
      </c>
    </row>
    <row r="587">
      <c r="A587" s="16" t="inlineStr">
        <is>
          <t>KF-M09-R0-x_b-0048</t>
        </is>
      </c>
      <c r="B587" s="35" t="n">
        <v>402.9170981790803</v>
      </c>
      <c r="C587" s="35" t="n">
        <v>292.5408846973374</v>
      </c>
      <c r="D587" s="36" t="n">
        <v>3846.933534288125</v>
      </c>
      <c r="E587" s="35" t="n">
        <v>1495.740809695129</v>
      </c>
      <c r="F587" s="37" t="n">
        <v>0.517570868068719</v>
      </c>
      <c r="G587" s="37" t="n">
        <v>0.5353367225982042</v>
      </c>
      <c r="H587" s="37" t="n">
        <v>0.5663044227756876</v>
      </c>
      <c r="I587" s="37" t="n">
        <v>0.4084448288908873</v>
      </c>
      <c r="J587" s="37" t="n">
        <v>0.7455959754250143</v>
      </c>
      <c r="K587" s="38" t="inlineStr">
        <is>
          <t>Falso convergido</t>
        </is>
      </c>
      <c r="L587" s="29" t="inlineStr">
        <is>
          <t>—</t>
        </is>
      </c>
      <c r="M587" s="35" t="inlineStr">
        <is>
          <t>—</t>
        </is>
      </c>
      <c r="N587" s="36" t="n">
        <v>2351.192724592996</v>
      </c>
      <c r="O587" s="29" t="n">
        <v>2.571925235544138</v>
      </c>
      <c r="P587" s="16" t="inlineStr">
        <is>
          <t>no</t>
        </is>
      </c>
      <c r="Q587" s="16" t="inlineStr">
        <is>
          <t>N2,S6,O3,O5,C1,C3,C3</t>
        </is>
      </c>
    </row>
    <row r="588">
      <c r="A588" s="16" t="inlineStr">
        <is>
          <t>KF-M09-R0-x_b-0049</t>
        </is>
      </c>
      <c r="B588" s="35" t="n">
        <v>453.7009053119208</v>
      </c>
      <c r="C588" s="35" t="n">
        <v>292.7302795409631</v>
      </c>
      <c r="D588" s="36" t="n">
        <v>4711.940487143275</v>
      </c>
      <c r="E588" s="35" t="n">
        <v>948.686198783448</v>
      </c>
      <c r="F588" s="37" t="n">
        <v>0.7289894891588147</v>
      </c>
      <c r="G588" s="37" t="n">
        <v>0.8294483652262351</v>
      </c>
      <c r="H588" s="37" t="n">
        <v>0.5282057675664855</v>
      </c>
      <c r="I588" s="37" t="n">
        <v>0.8556277045532088</v>
      </c>
      <c r="J588" s="37" t="n">
        <v>0.9172100779620712</v>
      </c>
      <c r="K588" s="42" t="inlineStr">
        <is>
          <t>KALINA</t>
        </is>
      </c>
      <c r="L588" s="29" t="n">
        <v>7.34205157652318</v>
      </c>
      <c r="M588" s="35" t="n">
        <v>29.56816807855117</v>
      </c>
      <c r="N588" s="36" t="n">
        <v>3763.254288359827</v>
      </c>
      <c r="O588" s="29" t="n">
        <v>4.966806192801848</v>
      </c>
      <c r="P588" s="16" t="inlineStr">
        <is>
          <t>sí</t>
        </is>
      </c>
      <c r="Q588" s="16" t="n"/>
    </row>
    <row r="589">
      <c r="A589" s="16" t="inlineStr">
        <is>
          <t>KF-M09-R0-x_b-0050</t>
        </is>
      </c>
      <c r="B589" s="35" t="n">
        <v>460.4697824475293</v>
      </c>
      <c r="C589" s="35" t="n">
        <v>281.9112251224366</v>
      </c>
      <c r="D589" s="36" t="n">
        <v>2036.174090582236</v>
      </c>
      <c r="E589" s="35" t="n">
        <v>1642.971277382422</v>
      </c>
      <c r="F589" s="37" t="n">
        <v>0.580794903189273</v>
      </c>
      <c r="G589" s="37" t="n">
        <v>0.5451654711268777</v>
      </c>
      <c r="H589" s="37" t="n">
        <v>0.5808361816258477</v>
      </c>
      <c r="I589" s="37" t="n">
        <v>0.4579856795806356</v>
      </c>
      <c r="J589" s="37" t="n">
        <v>0.7180459275617972</v>
      </c>
      <c r="K589" s="39" t="inlineStr">
        <is>
          <t>Corregible</t>
        </is>
      </c>
      <c r="L589" s="29" t="n">
        <v>0.98355907845983</v>
      </c>
      <c r="M589" s="35" t="n">
        <v>11.00903238657906</v>
      </c>
      <c r="N589" s="36" t="n">
        <v>393.2028131998143</v>
      </c>
      <c r="O589" s="29" t="n">
        <v>1.239324216200702</v>
      </c>
      <c r="P589" s="16" t="inlineStr">
        <is>
          <t>sí</t>
        </is>
      </c>
      <c r="Q589" s="16" t="inlineStr">
        <is>
          <t>O2</t>
        </is>
      </c>
    </row>
    <row r="590">
      <c r="A590" s="16" t="inlineStr">
        <is>
          <t>KF-M09-R0-x_b-0051</t>
        </is>
      </c>
      <c r="B590" s="35" t="n">
        <v>476.5435573940599</v>
      </c>
      <c r="C590" s="35" t="n">
        <v>283.5885615733871</v>
      </c>
      <c r="D590" s="36" t="n">
        <v>4062.889937894791</v>
      </c>
      <c r="E590" s="35" t="n">
        <v>1349.509401623143</v>
      </c>
      <c r="F590" s="37" t="n">
        <v>0.7662077992943185</v>
      </c>
      <c r="G590" s="37" t="n">
        <v>0.7719392340561994</v>
      </c>
      <c r="H590" s="37" t="n">
        <v>0.6626738789325844</v>
      </c>
      <c r="I590" s="37" t="n">
        <v>0.8688123461353052</v>
      </c>
      <c r="J590" s="37" t="n">
        <v>0.5263145372506715</v>
      </c>
      <c r="K590" s="39" t="inlineStr">
        <is>
          <t>Corregible</t>
        </is>
      </c>
      <c r="L590" s="29" t="n">
        <v>5.84180960662669</v>
      </c>
      <c r="M590" s="35" t="n">
        <v>46.00130476324401</v>
      </c>
      <c r="N590" s="36" t="n">
        <v>2713.380536271648</v>
      </c>
      <c r="O590" s="29" t="n">
        <v>3.010642188196754</v>
      </c>
      <c r="P590" s="16" t="inlineStr">
        <is>
          <t>sí</t>
        </is>
      </c>
      <c r="Q590" s="16" t="inlineStr">
        <is>
          <t>O2</t>
        </is>
      </c>
    </row>
    <row r="591">
      <c r="A591" s="16" t="inlineStr">
        <is>
          <t>KF-M09-R0-x_b-0052</t>
        </is>
      </c>
      <c r="B591" s="35" t="n">
        <v>420.4756878004298</v>
      </c>
      <c r="C591" s="35" t="n">
        <v>302.6201888648853</v>
      </c>
      <c r="D591" s="36" t="n">
        <v>3081.222751799617</v>
      </c>
      <c r="E591" s="35" t="n">
        <v>882.4535969613347</v>
      </c>
      <c r="F591" s="37" t="n">
        <v>0.9232580864490278</v>
      </c>
      <c r="G591" s="37" t="n">
        <v>0.607067052207912</v>
      </c>
      <c r="H591" s="37" t="n">
        <v>0.4605028370048714</v>
      </c>
      <c r="I591" s="37" t="n">
        <v>0.5696909132894515</v>
      </c>
      <c r="J591" s="37" t="n">
        <v>0.4106460625807087</v>
      </c>
      <c r="K591" s="39" t="inlineStr">
        <is>
          <t>Corregible</t>
        </is>
      </c>
      <c r="L591" s="29" t="n">
        <v>2.68142947898048</v>
      </c>
      <c r="M591" s="35" t="n">
        <v>6.335995312386466</v>
      </c>
      <c r="N591" s="36" t="n">
        <v>2198.769154838282</v>
      </c>
      <c r="O591" s="29" t="n">
        <v>3.491654136160343</v>
      </c>
      <c r="P591" s="16" t="inlineStr">
        <is>
          <t>no</t>
        </is>
      </c>
      <c r="Q591" s="16" t="inlineStr">
        <is>
          <t>O2</t>
        </is>
      </c>
    </row>
    <row r="592">
      <c r="A592" s="16" t="inlineStr">
        <is>
          <t>KF-M09-R0-x_b-0053</t>
        </is>
      </c>
      <c r="B592" s="35" t="n">
        <v>436.4474190450924</v>
      </c>
      <c r="C592" s="35" t="n">
        <v>280.9109960981276</v>
      </c>
      <c r="D592" s="36" t="n">
        <v>2440.772590953026</v>
      </c>
      <c r="E592" s="35" t="n">
        <v>1139.368635465998</v>
      </c>
      <c r="F592" s="37" t="n">
        <v>0.5935248628409348</v>
      </c>
      <c r="G592" s="37" t="n">
        <v>0.4637204009170128</v>
      </c>
      <c r="H592" s="37" t="n">
        <v>0.4015985535588921</v>
      </c>
      <c r="I592" s="37" t="n">
        <v>0.4695371437640281</v>
      </c>
      <c r="J592" s="37" t="n">
        <v>0.5841395773377952</v>
      </c>
      <c r="K592" s="39" t="inlineStr">
        <is>
          <t>Corregible</t>
        </is>
      </c>
      <c r="L592" s="29" t="n">
        <v>2.88854580318981</v>
      </c>
      <c r="M592" s="35" t="n">
        <v>12.48963296730459</v>
      </c>
      <c r="N592" s="36" t="n">
        <v>1301.403955487028</v>
      </c>
      <c r="O592" s="29" t="n">
        <v>2.142215008362731</v>
      </c>
      <c r="P592" s="16" t="inlineStr">
        <is>
          <t>no</t>
        </is>
      </c>
      <c r="Q592" s="16" t="inlineStr">
        <is>
          <t>O2</t>
        </is>
      </c>
    </row>
    <row r="593">
      <c r="A593" s="16" t="inlineStr">
        <is>
          <t>KF-M09-R0-x_b-0054</t>
        </is>
      </c>
      <c r="B593" s="35" t="n">
        <v>407.2917601503829</v>
      </c>
      <c r="C593" s="35" t="n">
        <v>285.9046267036617</v>
      </c>
      <c r="D593" s="36" t="n">
        <v>4295.192037109629</v>
      </c>
      <c r="E593" s="35" t="n">
        <v>1704.947611062481</v>
      </c>
      <c r="F593" s="37" t="n">
        <v>0.5828009928030787</v>
      </c>
      <c r="G593" s="37" t="n">
        <v>0.7499965639462689</v>
      </c>
      <c r="H593" s="37" t="n">
        <v>0.4578143816061097</v>
      </c>
      <c r="I593" s="37" t="n">
        <v>0.5311727337238434</v>
      </c>
      <c r="J593" s="37" t="n">
        <v>0.5985617302186587</v>
      </c>
      <c r="K593" s="32" t="inlineStr">
        <is>
          <t>No convergió</t>
        </is>
      </c>
      <c r="L593" s="29" t="inlineStr">
        <is>
          <t>—</t>
        </is>
      </c>
      <c r="M593" s="35" t="inlineStr">
        <is>
          <t>—</t>
        </is>
      </c>
      <c r="N593" s="36" t="n">
        <v>2590.244426047148</v>
      </c>
      <c r="O593" s="29" t="n">
        <v>2.519251623475382</v>
      </c>
      <c r="P593" s="16" t="inlineStr">
        <is>
          <t>no</t>
        </is>
      </c>
      <c r="Q593" s="16" t="n"/>
    </row>
    <row r="594">
      <c r="A594" s="16" t="inlineStr">
        <is>
          <t>KF-M09-R0-x_b-0055</t>
        </is>
      </c>
      <c r="B594" s="35" t="n">
        <v>441.679104817628</v>
      </c>
      <c r="C594" s="35" t="n">
        <v>281.563011688591</v>
      </c>
      <c r="D594" s="36" t="n">
        <v>4941.400035522052</v>
      </c>
      <c r="E594" s="35" t="n">
        <v>1467.377664649504</v>
      </c>
      <c r="F594" s="37" t="n">
        <v>0.5516611226778096</v>
      </c>
      <c r="G594" s="37" t="n">
        <v>0.5678544695972066</v>
      </c>
      <c r="H594" s="37" t="n">
        <v>0.4508733229502784</v>
      </c>
      <c r="I594" s="37" t="n">
        <v>0.5778386550080912</v>
      </c>
      <c r="J594" s="37" t="n">
        <v>0.6248704932956035</v>
      </c>
      <c r="K594" s="40" t="inlineStr">
        <is>
          <t>Inviable</t>
        </is>
      </c>
      <c r="L594" s="29" t="n">
        <v>-0.8399545959514501</v>
      </c>
      <c r="M594" s="35" t="n">
        <v>-2.330041565060078</v>
      </c>
      <c r="N594" s="36" t="n">
        <v>3474.022370872548</v>
      </c>
      <c r="O594" s="29" t="n">
        <v>3.367503918428763</v>
      </c>
      <c r="P594" s="16" t="inlineStr">
        <is>
          <t>no</t>
        </is>
      </c>
      <c r="Q594" s="16" t="inlineStr">
        <is>
          <t>O3</t>
        </is>
      </c>
    </row>
    <row r="595">
      <c r="A595" s="16" t="inlineStr">
        <is>
          <t>KF-M09-R0-x_b-0056</t>
        </is>
      </c>
      <c r="B595" s="35" t="n">
        <v>450.2254764114461</v>
      </c>
      <c r="C595" s="35" t="n">
        <v>295.4503784849309</v>
      </c>
      <c r="D595" s="36" t="n">
        <v>3048.181792987892</v>
      </c>
      <c r="E595" s="35" t="n">
        <v>669.8450942054069</v>
      </c>
      <c r="F595" s="37" t="n">
        <v>0.6928490527639199</v>
      </c>
      <c r="G595" s="37" t="n">
        <v>0.5511768019572421</v>
      </c>
      <c r="H595" s="37" t="n">
        <v>0.5014736248479461</v>
      </c>
      <c r="I595" s="37" t="n">
        <v>0.8248940487193384</v>
      </c>
      <c r="J595" s="37" t="n">
        <v>0.9367542795889192</v>
      </c>
      <c r="K595" s="42" t="inlineStr">
        <is>
          <t>KALINA</t>
        </is>
      </c>
      <c r="L595" s="29" t="n">
        <v>7.57214870253823</v>
      </c>
      <c r="M595" s="35" t="n">
        <v>44.31200854397528</v>
      </c>
      <c r="N595" s="36" t="n">
        <v>2378.336698782485</v>
      </c>
      <c r="O595" s="29" t="n">
        <v>4.550577169791397</v>
      </c>
      <c r="P595" s="16" t="inlineStr">
        <is>
          <t>no</t>
        </is>
      </c>
      <c r="Q595" s="16" t="n"/>
    </row>
    <row r="596">
      <c r="A596" s="16" t="inlineStr">
        <is>
          <t>KF-M09-R0-x_b-0057</t>
        </is>
      </c>
      <c r="B596" s="35" t="n">
        <v>447.3136126115365</v>
      </c>
      <c r="C596" s="35" t="n">
        <v>291.7288622364123</v>
      </c>
      <c r="D596" s="36" t="n">
        <v>4606.861885494716</v>
      </c>
      <c r="E596" s="35" t="n">
        <v>589.5449793053745</v>
      </c>
      <c r="F596" s="37" t="n">
        <v>0.6347863463811245</v>
      </c>
      <c r="G596" s="37" t="n">
        <v>0.7393693329841556</v>
      </c>
      <c r="H596" s="37" t="n">
        <v>0.747766195052823</v>
      </c>
      <c r="I596" s="37" t="n">
        <v>0.4531722987870829</v>
      </c>
      <c r="J596" s="37" t="n">
        <v>0.8171415921285242</v>
      </c>
      <c r="K596" s="39" t="inlineStr">
        <is>
          <t>Corregible</t>
        </is>
      </c>
      <c r="L596" s="29" t="n">
        <v>6.468674446666981</v>
      </c>
      <c r="M596" s="35" t="n">
        <v>39.80035992722299</v>
      </c>
      <c r="N596" s="36" t="n">
        <v>4017.316906189342</v>
      </c>
      <c r="O596" s="29" t="n">
        <v>7.814267014745348</v>
      </c>
      <c r="P596" s="16" t="inlineStr">
        <is>
          <t>sí</t>
        </is>
      </c>
      <c r="Q596" s="16" t="inlineStr">
        <is>
          <t>O2</t>
        </is>
      </c>
    </row>
    <row r="597">
      <c r="A597" s="16" t="inlineStr">
        <is>
          <t>KF-M09-R0-x_b-0058</t>
        </is>
      </c>
      <c r="B597" s="35" t="n">
        <v>444.6624022784288</v>
      </c>
      <c r="C597" s="35" t="n">
        <v>295.0228984542692</v>
      </c>
      <c r="D597" s="36" t="n">
        <v>2155.96274025893</v>
      </c>
      <c r="E597" s="35" t="n">
        <v>1400.432978374904</v>
      </c>
      <c r="F597" s="37" t="n">
        <v>0.7091986079399315</v>
      </c>
      <c r="G597" s="37" t="n">
        <v>0.4749067859576524</v>
      </c>
      <c r="H597" s="37" t="n">
        <v>0.8178263145413953</v>
      </c>
      <c r="I597" s="37" t="n">
        <v>0.7652087995622616</v>
      </c>
      <c r="J597" s="37" t="n">
        <v>0.5746900728276793</v>
      </c>
      <c r="K597" s="39" t="inlineStr">
        <is>
          <t>Corregible</t>
        </is>
      </c>
      <c r="L597" s="29" t="n">
        <v>0.6164742653256999</v>
      </c>
      <c r="M597" s="35" t="n">
        <v>5.276444336407955</v>
      </c>
      <c r="N597" s="36" t="n">
        <v>755.5297618840268</v>
      </c>
      <c r="O597" s="29" t="n">
        <v>1.539497265167778</v>
      </c>
      <c r="P597" s="16" t="inlineStr">
        <is>
          <t>sí</t>
        </is>
      </c>
      <c r="Q597" s="16" t="inlineStr">
        <is>
          <t>O2</t>
        </is>
      </c>
    </row>
    <row r="598">
      <c r="A598" s="16" t="inlineStr">
        <is>
          <t>KF-M09-R0-x_b-0059</t>
        </is>
      </c>
      <c r="B598" s="35" t="n">
        <v>456.6612947879313</v>
      </c>
      <c r="C598" s="35" t="n">
        <v>282.1391341170443</v>
      </c>
      <c r="D598" s="36" t="n">
        <v>3294.006562740586</v>
      </c>
      <c r="E598" s="35" t="n">
        <v>1001.571043316357</v>
      </c>
      <c r="F598" s="37" t="n">
        <v>0.9013840773529538</v>
      </c>
      <c r="G598" s="37" t="n">
        <v>0.5039231324331085</v>
      </c>
      <c r="H598" s="37" t="n">
        <v>0.4402819448560084</v>
      </c>
      <c r="I598" s="37" t="n">
        <v>0.9447975454448873</v>
      </c>
      <c r="J598" s="37" t="n">
        <v>0.5459117352489669</v>
      </c>
      <c r="K598" s="39" t="inlineStr">
        <is>
          <t>Corregible</t>
        </is>
      </c>
      <c r="L598" s="29" t="n">
        <v>9.03326455835834</v>
      </c>
      <c r="M598" s="35" t="n">
        <v>43.41705631868852</v>
      </c>
      <c r="N598" s="36" t="n">
        <v>2292.435519424229</v>
      </c>
      <c r="O598" s="29" t="n">
        <v>3.288839653184881</v>
      </c>
      <c r="P598" s="16" t="inlineStr">
        <is>
          <t>sí</t>
        </is>
      </c>
      <c r="Q598" s="16" t="inlineStr">
        <is>
          <t>O2</t>
        </is>
      </c>
    </row>
    <row r="599">
      <c r="A599" s="16" t="inlineStr">
        <is>
          <t>KF-M09-R0-x_b-0060</t>
        </is>
      </c>
      <c r="B599" s="35" t="n">
        <v>439.5874243697814</v>
      </c>
      <c r="C599" s="35" t="n">
        <v>290.675326900889</v>
      </c>
      <c r="D599" s="36" t="n">
        <v>3219.157230298875</v>
      </c>
      <c r="E599" s="35" t="n">
        <v>316.7837165229907</v>
      </c>
      <c r="F599" s="37" t="n">
        <v>0.434010007695209</v>
      </c>
      <c r="G599" s="37" t="n">
        <v>0.4779062294048609</v>
      </c>
      <c r="H599" s="37" t="n">
        <v>0.8933023291417546</v>
      </c>
      <c r="I599" s="37" t="n">
        <v>0.7358116634012986</v>
      </c>
      <c r="J599" s="37" t="n">
        <v>0.462825481793106</v>
      </c>
      <c r="K599" s="40" t="inlineStr">
        <is>
          <t>Inviable</t>
        </is>
      </c>
      <c r="L599" s="29" t="n">
        <v>-27.70751770781532</v>
      </c>
      <c r="M599" s="35" t="n">
        <v>-110.1024073628801</v>
      </c>
      <c r="N599" s="36" t="n">
        <v>2902.373513775884</v>
      </c>
      <c r="O599" s="29" t="n">
        <v>10.1620034818464</v>
      </c>
      <c r="P599" s="16" t="inlineStr">
        <is>
          <t>sí</t>
        </is>
      </c>
      <c r="Q599" s="16" t="inlineStr">
        <is>
          <t>O2,O3</t>
        </is>
      </c>
    </row>
    <row r="600">
      <c r="A600" s="16" t="inlineStr">
        <is>
          <t>KF-M09-R0-x_b-0061</t>
        </is>
      </c>
      <c r="B600" s="35" t="n">
        <v>513.8093147356628</v>
      </c>
      <c r="C600" s="35" t="n">
        <v>297.7732234382187</v>
      </c>
      <c r="D600" s="36" t="n">
        <v>4750.027427325755</v>
      </c>
      <c r="E600" s="35" t="n">
        <v>1040.17912341992</v>
      </c>
      <c r="F600" s="37" t="n">
        <v>0.4733319897222104</v>
      </c>
      <c r="G600" s="37" t="n">
        <v>0.6094658746709285</v>
      </c>
      <c r="H600" s="37" t="n">
        <v>0.907855353140836</v>
      </c>
      <c r="I600" s="37" t="n">
        <v>0.6793506546147823</v>
      </c>
      <c r="J600" s="37" t="n">
        <v>0.8495077581454964</v>
      </c>
      <c r="K600" s="39" t="inlineStr">
        <is>
          <t>Corregible</t>
        </is>
      </c>
      <c r="L600" s="29" t="n">
        <v>5.72763047705671</v>
      </c>
      <c r="M600" s="35" t="n">
        <v>106.7612584937858</v>
      </c>
      <c r="N600" s="36" t="n">
        <v>3709.848303905835</v>
      </c>
      <c r="O600" s="29" t="n">
        <v>4.566547549722523</v>
      </c>
      <c r="P600" s="16" t="inlineStr">
        <is>
          <t>sí</t>
        </is>
      </c>
      <c r="Q600" s="16" t="inlineStr">
        <is>
          <t>O2</t>
        </is>
      </c>
    </row>
    <row r="601">
      <c r="A601" s="16" t="inlineStr">
        <is>
          <t>KF-M09-R0-x_b-0062</t>
        </is>
      </c>
      <c r="B601" s="35" t="n">
        <v>408.1520460543376</v>
      </c>
      <c r="C601" s="35" t="n">
        <v>290.9049964622825</v>
      </c>
      <c r="D601" s="36" t="n">
        <v>2774.296346033062</v>
      </c>
      <c r="E601" s="35" t="n">
        <v>982.7878876899985</v>
      </c>
      <c r="F601" s="37" t="n">
        <v>0.5706194155132426</v>
      </c>
      <c r="G601" s="37" t="n">
        <v>0.4354140588245839</v>
      </c>
      <c r="H601" s="37" t="n">
        <v>0.6125269385339733</v>
      </c>
      <c r="I601" s="37" t="n">
        <v>0.5379658158499305</v>
      </c>
      <c r="J601" s="37" t="n">
        <v>0.793658210093132</v>
      </c>
      <c r="K601" s="42" t="inlineStr">
        <is>
          <t>KALINA</t>
        </is>
      </c>
      <c r="L601" s="29" t="n">
        <v>1.7379099482447</v>
      </c>
      <c r="M601" s="35" t="n">
        <v>6.104880694949447</v>
      </c>
      <c r="N601" s="36" t="n">
        <v>1791.508458343064</v>
      </c>
      <c r="O601" s="29" t="n">
        <v>2.822884144974485</v>
      </c>
      <c r="P601" s="16" t="inlineStr">
        <is>
          <t>no</t>
        </is>
      </c>
      <c r="Q601" s="16" t="n"/>
    </row>
    <row r="602">
      <c r="A602" s="16" t="inlineStr">
        <is>
          <t>KF-M09-R0-x_b-0063</t>
        </is>
      </c>
      <c r="B602" s="35" t="n">
        <v>435.852217826924</v>
      </c>
      <c r="C602" s="35" t="n">
        <v>303.1298814227509</v>
      </c>
      <c r="D602" s="36" t="n">
        <v>2913.364741932514</v>
      </c>
      <c r="E602" s="35" t="n">
        <v>1616.972874432996</v>
      </c>
      <c r="F602" s="37" t="n">
        <v>0.7018938371428725</v>
      </c>
      <c r="G602" s="37" t="n">
        <v>0.8575844678287066</v>
      </c>
      <c r="H602" s="37" t="n">
        <v>0.9440766527951112</v>
      </c>
      <c r="I602" s="37" t="n">
        <v>0.5920281131077435</v>
      </c>
      <c r="J602" s="37" t="n">
        <v>0.4477759223268083</v>
      </c>
      <c r="K602" s="39" t="inlineStr">
        <is>
          <t>Corregible</t>
        </is>
      </c>
      <c r="L602" s="29" t="n">
        <v>2.07302547799674</v>
      </c>
      <c r="M602" s="35" t="n">
        <v>10.40709454624913</v>
      </c>
      <c r="N602" s="36" t="n">
        <v>1296.391867499519</v>
      </c>
      <c r="O602" s="29" t="n">
        <v>1.801740021739145</v>
      </c>
      <c r="P602" s="16" t="inlineStr">
        <is>
          <t>sí</t>
        </is>
      </c>
      <c r="Q602" s="16" t="inlineStr">
        <is>
          <t>O2</t>
        </is>
      </c>
    </row>
    <row r="603">
      <c r="A603" s="16" t="inlineStr">
        <is>
          <t>KF-M09-R0-x_b-0064</t>
        </is>
      </c>
      <c r="B603" s="35" t="n">
        <v>506.7338143916081</v>
      </c>
      <c r="C603" s="35" t="n">
        <v>297.5969594673116</v>
      </c>
      <c r="D603" s="36" t="n">
        <v>2402.607245187027</v>
      </c>
      <c r="E603" s="35" t="n">
        <v>490.7379452913003</v>
      </c>
      <c r="F603" s="37" t="n">
        <v>0.4291353435078861</v>
      </c>
      <c r="G603" s="37" t="n">
        <v>0.5414109038184347</v>
      </c>
      <c r="H603" s="37" t="n">
        <v>0.7645923996402105</v>
      </c>
      <c r="I603" s="37" t="n">
        <v>0.7850300151751262</v>
      </c>
      <c r="J603" s="37" t="n">
        <v>0.8029851744206542</v>
      </c>
      <c r="K603" s="39" t="inlineStr">
        <is>
          <t>Corregible</t>
        </is>
      </c>
      <c r="L603" s="29" t="n">
        <v>3.30378495202287</v>
      </c>
      <c r="M603" s="35" t="n">
        <v>50.51664097433974</v>
      </c>
      <c r="N603" s="36" t="n">
        <v>1911.869299895726</v>
      </c>
      <c r="O603" s="29" t="n">
        <v>4.895906803703243</v>
      </c>
      <c r="P603" s="16" t="inlineStr">
        <is>
          <t>sí</t>
        </is>
      </c>
      <c r="Q603" s="16" t="inlineStr">
        <is>
          <t>O2</t>
        </is>
      </c>
    </row>
    <row r="604">
      <c r="A604" s="16" t="inlineStr">
        <is>
          <t>KF-M09-R0-x_b-0065</t>
        </is>
      </c>
      <c r="B604" s="35" t="n">
        <v>454.5066310057953</v>
      </c>
      <c r="C604" s="35" t="n">
        <v>287.9132549718845</v>
      </c>
      <c r="D604" s="36" t="n">
        <v>3331.139015266297</v>
      </c>
      <c r="E604" s="35" t="n">
        <v>1606.581248432317</v>
      </c>
      <c r="F604" s="37" t="n">
        <v>0.839552210545226</v>
      </c>
      <c r="G604" s="37" t="n">
        <v>0.5243754774603309</v>
      </c>
      <c r="H604" s="37" t="n">
        <v>0.4880468620370533</v>
      </c>
      <c r="I604" s="37" t="n">
        <v>0.8444208858110314</v>
      </c>
      <c r="J604" s="37" t="n">
        <v>0.4155295767194172</v>
      </c>
      <c r="K604" s="39" t="inlineStr">
        <is>
          <t>Corregible</t>
        </is>
      </c>
      <c r="L604" s="29" t="n">
        <v>1.93598009465374</v>
      </c>
      <c r="M604" s="35" t="n">
        <v>8.223681117727615</v>
      </c>
      <c r="N604" s="36" t="n">
        <v>1724.55776683398</v>
      </c>
      <c r="O604" s="29" t="n">
        <v>2.073433272370621</v>
      </c>
      <c r="P604" s="16" t="inlineStr">
        <is>
          <t>sí</t>
        </is>
      </c>
      <c r="Q604" s="16" t="inlineStr">
        <is>
          <t>O2</t>
        </is>
      </c>
    </row>
    <row r="605">
      <c r="A605" s="16" t="inlineStr">
        <is>
          <t>KF-M09-R0-x_b-0066</t>
        </is>
      </c>
      <c r="B605" s="35" t="n">
        <v>410.3077989518538</v>
      </c>
      <c r="C605" s="35" t="n">
        <v>300.8060859027628</v>
      </c>
      <c r="D605" s="36" t="n">
        <v>3643.202070305616</v>
      </c>
      <c r="E605" s="35" t="n">
        <v>1264.830520526532</v>
      </c>
      <c r="F605" s="37" t="n">
        <v>0.4702563835043206</v>
      </c>
      <c r="G605" s="37" t="n">
        <v>0.5314343158193305</v>
      </c>
      <c r="H605" s="37" t="n">
        <v>0.6555105798255527</v>
      </c>
      <c r="I605" s="37" t="n">
        <v>0.8749339390517608</v>
      </c>
      <c r="J605" s="37" t="n">
        <v>0.7471381333669289</v>
      </c>
      <c r="K605" s="42" t="inlineStr">
        <is>
          <t>KALINA</t>
        </is>
      </c>
      <c r="L605" s="29" t="n">
        <v>0.51604167193793</v>
      </c>
      <c r="M605" s="35" t="n">
        <v>0.9266265010114152</v>
      </c>
      <c r="N605" s="36" t="n">
        <v>2378.371549779084</v>
      </c>
      <c r="O605" s="29" t="n">
        <v>2.880387539026968</v>
      </c>
      <c r="P605" s="16" t="inlineStr">
        <is>
          <t>no</t>
        </is>
      </c>
      <c r="Q605" s="16" t="n"/>
    </row>
    <row r="606">
      <c r="A606" s="16" t="inlineStr">
        <is>
          <t>KF-M09-R0-x_b-0067</t>
        </is>
      </c>
      <c r="B606" s="35" t="n">
        <v>425.553806201758</v>
      </c>
      <c r="C606" s="35" t="n">
        <v>296.8260211594661</v>
      </c>
      <c r="D606" s="36" t="n">
        <v>4546.866898770275</v>
      </c>
      <c r="E606" s="35" t="n">
        <v>534.7317202815046</v>
      </c>
      <c r="F606" s="37" t="n">
        <v>0.9103877624722164</v>
      </c>
      <c r="G606" s="37" t="n">
        <v>0.8415801769850162</v>
      </c>
      <c r="H606" s="37" t="n">
        <v>0.7847359901810016</v>
      </c>
      <c r="I606" s="37" t="n">
        <v>0.4938051065364716</v>
      </c>
      <c r="J606" s="37" t="n">
        <v>0.6834037119083918</v>
      </c>
      <c r="K606" s="39" t="inlineStr">
        <is>
          <t>Corregible</t>
        </is>
      </c>
      <c r="L606" s="29" t="n">
        <v>6.13475821459988</v>
      </c>
      <c r="M606" s="35" t="n">
        <v>21.57906425467928</v>
      </c>
      <c r="N606" s="36" t="n">
        <v>4012.13517848877</v>
      </c>
      <c r="O606" s="29" t="n">
        <v>8.503080566039019</v>
      </c>
      <c r="P606" s="16" t="inlineStr">
        <is>
          <t>no</t>
        </is>
      </c>
      <c r="Q606" s="16" t="inlineStr">
        <is>
          <t>O2</t>
        </is>
      </c>
    </row>
    <row r="607">
      <c r="A607" s="16" t="inlineStr">
        <is>
          <t>KF-M09-R0-x_b-0068</t>
        </is>
      </c>
      <c r="B607" s="35" t="n">
        <v>385.8792230077751</v>
      </c>
      <c r="C607" s="35" t="n">
        <v>295.7092115301085</v>
      </c>
      <c r="D607" s="36" t="n">
        <v>4780.326282917396</v>
      </c>
      <c r="E607" s="35" t="n">
        <v>1118.445742127429</v>
      </c>
      <c r="F607" s="37" t="n">
        <v>0.8219297554162039</v>
      </c>
      <c r="G607" s="37" t="n">
        <v>0.6564571481630188</v>
      </c>
      <c r="H607" s="37" t="n">
        <v>0.5548554273457089</v>
      </c>
      <c r="I607" s="37" t="n">
        <v>0.6237983564865895</v>
      </c>
      <c r="J607" s="37" t="n">
        <v>0.8445032514777433</v>
      </c>
      <c r="K607" s="32" t="inlineStr">
        <is>
          <t>No convergió</t>
        </is>
      </c>
      <c r="L607" s="29" t="inlineStr">
        <is>
          <t>—</t>
        </is>
      </c>
      <c r="M607" s="35" t="inlineStr">
        <is>
          <t>—</t>
        </is>
      </c>
      <c r="N607" s="36" t="n">
        <v>3661.880540789968</v>
      </c>
      <c r="O607" s="29" t="n">
        <v>4.274079736603581</v>
      </c>
      <c r="P607" s="16" t="inlineStr">
        <is>
          <t>no</t>
        </is>
      </c>
      <c r="Q607" s="16" t="n"/>
    </row>
    <row r="608">
      <c r="A608" s="16" t="inlineStr">
        <is>
          <t>KF-M09-R0-x_b-0069</t>
        </is>
      </c>
      <c r="B608" s="35" t="n">
        <v>391.6766956845876</v>
      </c>
      <c r="C608" s="35" t="n">
        <v>291.1158331165724</v>
      </c>
      <c r="D608" s="36" t="n">
        <v>4977.250296854674</v>
      </c>
      <c r="E608" s="35" t="n">
        <v>1318.117509449084</v>
      </c>
      <c r="F608" s="37" t="n">
        <v>0.640482066195923</v>
      </c>
      <c r="G608" s="37" t="n">
        <v>0.7275126203228242</v>
      </c>
      <c r="H608" s="37" t="n">
        <v>0.634276512845493</v>
      </c>
      <c r="I608" s="37" t="n">
        <v>0.882881475486798</v>
      </c>
      <c r="J608" s="37" t="n">
        <v>0.5652592931127961</v>
      </c>
      <c r="K608" s="32" t="inlineStr">
        <is>
          <t>No convergió</t>
        </is>
      </c>
      <c r="L608" s="29" t="inlineStr">
        <is>
          <t>—</t>
        </is>
      </c>
      <c r="M608" s="35" t="inlineStr">
        <is>
          <t>—</t>
        </is>
      </c>
      <c r="N608" s="36" t="n">
        <v>3659.132787405591</v>
      </c>
      <c r="O608" s="29" t="n">
        <v>3.776029269905496</v>
      </c>
      <c r="P608" s="16" t="inlineStr">
        <is>
          <t>no</t>
        </is>
      </c>
      <c r="Q608" s="16" t="n"/>
    </row>
    <row r="609">
      <c r="A609" s="16" t="inlineStr">
        <is>
          <t>KF-M09-R0-x_b-0070</t>
        </is>
      </c>
      <c r="B609" s="35" t="n">
        <v>494.5112341463533</v>
      </c>
      <c r="C609" s="35" t="n">
        <v>302.0755820796608</v>
      </c>
      <c r="D609" s="36" t="n">
        <v>4833.438769911177</v>
      </c>
      <c r="E609" s="35" t="n">
        <v>746.2141902237529</v>
      </c>
      <c r="F609" s="37" t="n">
        <v>0.8860026710839475</v>
      </c>
      <c r="G609" s="37" t="n">
        <v>0.8495300663881318</v>
      </c>
      <c r="H609" s="37" t="n">
        <v>0.4469064600778821</v>
      </c>
      <c r="I609" s="37" t="n">
        <v>0.9168881923018618</v>
      </c>
      <c r="J609" s="37" t="n">
        <v>0.9163491905380304</v>
      </c>
      <c r="K609" s="39" t="inlineStr">
        <is>
          <t>Corregible</t>
        </is>
      </c>
      <c r="L609" s="29" t="n">
        <v>13.41530008387533</v>
      </c>
      <c r="M609" s="35" t="n">
        <v>112.4305473359408</v>
      </c>
      <c r="N609" s="36" t="n">
        <v>4087.224579687424</v>
      </c>
      <c r="O609" s="29" t="n">
        <v>6.477280696661459</v>
      </c>
      <c r="P609" s="16" t="inlineStr">
        <is>
          <t>sí</t>
        </is>
      </c>
      <c r="Q609" s="16" t="inlineStr">
        <is>
          <t>O1</t>
        </is>
      </c>
    </row>
    <row r="610">
      <c r="A610" s="16" t="inlineStr">
        <is>
          <t>KF-M09-R0-x_b-0071</t>
        </is>
      </c>
      <c r="B610" s="35" t="n">
        <v>507.497177287451</v>
      </c>
      <c r="C610" s="35" t="n">
        <v>288.0785332234335</v>
      </c>
      <c r="D610" s="36" t="n">
        <v>4072.325022676034</v>
      </c>
      <c r="E610" s="35" t="n">
        <v>713.3385522174634</v>
      </c>
      <c r="F610" s="37" t="n">
        <v>0.850762987071672</v>
      </c>
      <c r="G610" s="37" t="n">
        <v>0.8195026432548639</v>
      </c>
      <c r="H610" s="37" t="n">
        <v>0.5110449922189466</v>
      </c>
      <c r="I610" s="37" t="n">
        <v>0.8341676743270503</v>
      </c>
      <c r="J610" s="37" t="n">
        <v>0.904474242115086</v>
      </c>
      <c r="K610" s="42" t="inlineStr">
        <is>
          <t>KALINA</t>
        </is>
      </c>
      <c r="L610" s="29" t="n">
        <v>11.60134878704449</v>
      </c>
      <c r="M610" s="35" t="n">
        <v>122.1263006616717</v>
      </c>
      <c r="N610" s="36" t="n">
        <v>3358.986470458571</v>
      </c>
      <c r="O610" s="29" t="n">
        <v>5.708825087354278</v>
      </c>
      <c r="P610" s="16" t="inlineStr">
        <is>
          <t>sí</t>
        </is>
      </c>
      <c r="Q610" s="16" t="n"/>
    </row>
    <row r="611">
      <c r="A611" s="16" t="inlineStr">
        <is>
          <t>KF-M09-R0-x_b-0072</t>
        </is>
      </c>
      <c r="B611" s="35" t="n">
        <v>468.0351331031864</v>
      </c>
      <c r="C611" s="35" t="n">
        <v>301.122115709731</v>
      </c>
      <c r="D611" s="36" t="n">
        <v>4335.200169692097</v>
      </c>
      <c r="E611" s="35" t="n">
        <v>898.6852735364573</v>
      </c>
      <c r="F611" s="37" t="n">
        <v>0.7801289708523507</v>
      </c>
      <c r="G611" s="37" t="n">
        <v>0.8848172487018061</v>
      </c>
      <c r="H611" s="37" t="n">
        <v>0.7756782076225107</v>
      </c>
      <c r="I611" s="37" t="n">
        <v>0.9179904941721052</v>
      </c>
      <c r="J611" s="37" t="n">
        <v>0.5583802213509091</v>
      </c>
      <c r="K611" s="39" t="inlineStr">
        <is>
          <t>Corregible</t>
        </is>
      </c>
      <c r="L611" s="29" t="n">
        <v>8.87748718043588</v>
      </c>
      <c r="M611" s="35" t="n">
        <v>62.37476847347753</v>
      </c>
      <c r="N611" s="36" t="n">
        <v>3436.51489615564</v>
      </c>
      <c r="O611" s="29" t="n">
        <v>4.823935917668321</v>
      </c>
      <c r="P611" s="16" t="inlineStr">
        <is>
          <t>sí</t>
        </is>
      </c>
      <c r="Q611" s="16" t="inlineStr">
        <is>
          <t>O2</t>
        </is>
      </c>
    </row>
    <row r="612">
      <c r="A612" s="16" t="inlineStr">
        <is>
          <t>KF-M09-R0-x_b-0073</t>
        </is>
      </c>
      <c r="B612" s="35" t="n">
        <v>512.1345356170049</v>
      </c>
      <c r="C612" s="35" t="n">
        <v>290.118589820572</v>
      </c>
      <c r="D612" s="36" t="n">
        <v>4812.101792829846</v>
      </c>
      <c r="E612" s="35" t="n">
        <v>694.9040082940624</v>
      </c>
      <c r="F612" s="37" t="n">
        <v>0.8673434842078993</v>
      </c>
      <c r="G612" s="37" t="n">
        <v>0.808561371697429</v>
      </c>
      <c r="H612" s="37" t="n">
        <v>0.8075458061886165</v>
      </c>
      <c r="I612" s="37" t="n">
        <v>0.561776232915586</v>
      </c>
      <c r="J612" s="37" t="n">
        <v>0.5065869845266702</v>
      </c>
      <c r="K612" s="39" t="inlineStr">
        <is>
          <t>Corregible</t>
        </is>
      </c>
      <c r="L612" s="29" t="n">
        <v>10.60064936892318</v>
      </c>
      <c r="M612" s="35" t="n">
        <v>114.1182339080773</v>
      </c>
      <c r="N612" s="36" t="n">
        <v>4117.197784535783</v>
      </c>
      <c r="O612" s="29" t="n">
        <v>6.924843914259752</v>
      </c>
      <c r="P612" s="16" t="inlineStr">
        <is>
          <t>sí</t>
        </is>
      </c>
      <c r="Q612" s="16" t="inlineStr">
        <is>
          <t>O1,O2</t>
        </is>
      </c>
    </row>
    <row r="613">
      <c r="A613" s="16" t="inlineStr">
        <is>
          <t>KF-M09-R0-x_b-0074</t>
        </is>
      </c>
      <c r="B613" s="35" t="n">
        <v>401.6690706915568</v>
      </c>
      <c r="C613" s="35" t="n">
        <v>282.4497545986223</v>
      </c>
      <c r="D613" s="36" t="n">
        <v>4467.211265641747</v>
      </c>
      <c r="E613" s="35" t="n">
        <v>1178.860375509349</v>
      </c>
      <c r="F613" s="37" t="n">
        <v>0.7157325135669115</v>
      </c>
      <c r="G613" s="37" t="n">
        <v>0.7838196843233585</v>
      </c>
      <c r="H613" s="37" t="n">
        <v>0.4731624794445396</v>
      </c>
      <c r="I613" s="37" t="n">
        <v>0.6997094492189627</v>
      </c>
      <c r="J613" s="37" t="n">
        <v>0.6879573875675977</v>
      </c>
      <c r="K613" s="32" t="inlineStr">
        <is>
          <t>No convergió</t>
        </is>
      </c>
      <c r="L613" s="29" t="inlineStr">
        <is>
          <t>—</t>
        </is>
      </c>
      <c r="M613" s="35" t="inlineStr">
        <is>
          <t>—</t>
        </is>
      </c>
      <c r="N613" s="36" t="n">
        <v>3288.350890132398</v>
      </c>
      <c r="O613" s="29" t="n">
        <v>3.789432029820836</v>
      </c>
      <c r="P613" s="16" t="inlineStr">
        <is>
          <t>no</t>
        </is>
      </c>
      <c r="Q613" s="16" t="n"/>
    </row>
    <row r="614">
      <c r="A614" s="16" t="inlineStr">
        <is>
          <t>KF-M09-R0-x_b-0075</t>
        </is>
      </c>
      <c r="B614" s="35" t="n">
        <v>421.8729271736111</v>
      </c>
      <c r="C614" s="35" t="n">
        <v>287.4263031228155</v>
      </c>
      <c r="D614" s="36" t="n">
        <v>4572.470087394429</v>
      </c>
      <c r="E614" s="35" t="n">
        <v>1980.447283758768</v>
      </c>
      <c r="F614" s="37" t="n">
        <v>0.7936254070730601</v>
      </c>
      <c r="G614" s="37" t="n">
        <v>0.5930997992933692</v>
      </c>
      <c r="H614" s="37" t="n">
        <v>0.4687419560806413</v>
      </c>
      <c r="I614" s="37" t="n">
        <v>0.6260243046814817</v>
      </c>
      <c r="J614" s="37" t="n">
        <v>0.4536315606015513</v>
      </c>
      <c r="K614" s="40" t="inlineStr">
        <is>
          <t>Inviable</t>
        </is>
      </c>
      <c r="L614" s="29" t="n">
        <v>-3.04464769388018</v>
      </c>
      <c r="M614" s="35" t="n">
        <v>-4.811222281390003</v>
      </c>
      <c r="N614" s="36" t="n">
        <v>2592.022803635661</v>
      </c>
      <c r="O614" s="29" t="n">
        <v>2.308806765467728</v>
      </c>
      <c r="P614" s="16" t="inlineStr">
        <is>
          <t>no</t>
        </is>
      </c>
      <c r="Q614" s="16" t="inlineStr">
        <is>
          <t>O3</t>
        </is>
      </c>
    </row>
    <row r="615">
      <c r="A615" s="16" t="inlineStr">
        <is>
          <t>KF-M09-R0-x_b-0076</t>
        </is>
      </c>
      <c r="B615" s="35" t="n">
        <v>500.3150607616649</v>
      </c>
      <c r="C615" s="35" t="n">
        <v>293.8194488677223</v>
      </c>
      <c r="D615" s="36" t="n">
        <v>2136.799810798375</v>
      </c>
      <c r="E615" s="35" t="n">
        <v>1097.232491544368</v>
      </c>
      <c r="F615" s="37" t="n">
        <v>0.605097792808069</v>
      </c>
      <c r="G615" s="37" t="n">
        <v>0.6369864912009773</v>
      </c>
      <c r="H615" s="37" t="n">
        <v>0.61935504897793</v>
      </c>
      <c r="I615" s="37" t="n">
        <v>0.8165963610339699</v>
      </c>
      <c r="J615" s="37" t="n">
        <v>0.4869662204718022</v>
      </c>
      <c r="K615" s="40" t="inlineStr">
        <is>
          <t>Inviable</t>
        </is>
      </c>
      <c r="L615" s="29" t="n">
        <v>-0.83997231549536</v>
      </c>
      <c r="M615" s="35" t="n">
        <v>-7.445426692979304</v>
      </c>
      <c r="N615" s="36" t="n">
        <v>1039.567319254007</v>
      </c>
      <c r="O615" s="29" t="n">
        <v>1.947444891821244</v>
      </c>
      <c r="P615" s="16" t="inlineStr">
        <is>
          <t>sí</t>
        </is>
      </c>
      <c r="Q615" s="16" t="inlineStr">
        <is>
          <t>O2,O3</t>
        </is>
      </c>
    </row>
    <row r="616">
      <c r="A616" s="16" t="inlineStr">
        <is>
          <t>KF-M09-R0-x_b-0077</t>
        </is>
      </c>
      <c r="B616" s="35" t="n">
        <v>483.8321924707533</v>
      </c>
      <c r="C616" s="35" t="n">
        <v>292.9516158909041</v>
      </c>
      <c r="D616" s="36" t="n">
        <v>3900.115317560846</v>
      </c>
      <c r="E616" s="35" t="n">
        <v>1541.697996321424</v>
      </c>
      <c r="F616" s="37" t="n">
        <v>0.7794596302579009</v>
      </c>
      <c r="G616" s="37" t="n">
        <v>0.9288694586965808</v>
      </c>
      <c r="H616" s="37" t="n">
        <v>0.7566118437031237</v>
      </c>
      <c r="I616" s="37" t="n">
        <v>0.6868890276424412</v>
      </c>
      <c r="J616" s="37" t="n">
        <v>0.8915551819561394</v>
      </c>
      <c r="K616" s="42" t="inlineStr">
        <is>
          <t>KALINA</t>
        </is>
      </c>
      <c r="L616" s="29" t="n">
        <v>6.03006166368766</v>
      </c>
      <c r="M616" s="35" t="n">
        <v>93.08247669334024</v>
      </c>
      <c r="N616" s="36" t="n">
        <v>2358.417321239422</v>
      </c>
      <c r="O616" s="29" t="n">
        <v>2.529753120823102</v>
      </c>
      <c r="P616" s="16" t="inlineStr">
        <is>
          <t>sí</t>
        </is>
      </c>
      <c r="Q616" s="16" t="n"/>
    </row>
    <row r="617">
      <c r="A617" s="16" t="inlineStr">
        <is>
          <t>KF-M09-R0-x_b-0078</t>
        </is>
      </c>
      <c r="B617" s="35" t="n">
        <v>480.3869639851282</v>
      </c>
      <c r="C617" s="35" t="n">
        <v>283.469142701601</v>
      </c>
      <c r="D617" s="36" t="n">
        <v>2572.021055306666</v>
      </c>
      <c r="E617" s="35" t="n">
        <v>1914.507463321838</v>
      </c>
      <c r="F617" s="37" t="n">
        <v>0.4080716722919776</v>
      </c>
      <c r="G617" s="37" t="n">
        <v>0.5091177709057849</v>
      </c>
      <c r="H617" s="37" t="n">
        <v>0.7600316341179072</v>
      </c>
      <c r="I617" s="37" t="n">
        <v>0.733364710665696</v>
      </c>
      <c r="J617" s="37" t="n">
        <v>0.5876679365111319</v>
      </c>
      <c r="K617" s="40" t="inlineStr">
        <is>
          <t>Inviable</t>
        </is>
      </c>
      <c r="L617" s="29" t="n">
        <v>-0.51975838820186</v>
      </c>
      <c r="M617" s="35" t="n">
        <v>-6.149764572057588</v>
      </c>
      <c r="N617" s="36" t="n">
        <v>657.5135919848287</v>
      </c>
      <c r="O617" s="29" t="n">
        <v>1.343437466074948</v>
      </c>
      <c r="P617" s="16" t="inlineStr">
        <is>
          <t>sí</t>
        </is>
      </c>
      <c r="Q617" s="16" t="inlineStr">
        <is>
          <t>O2,O3</t>
        </is>
      </c>
    </row>
    <row r="618">
      <c r="A618" s="16" t="inlineStr">
        <is>
          <t>KF-M09-R0-x_b-0079</t>
        </is>
      </c>
      <c r="B618" s="35" t="n">
        <v>398.893069963871</v>
      </c>
      <c r="C618" s="35" t="n">
        <v>288.5631657526484</v>
      </c>
      <c r="D618" s="36" t="n">
        <v>2342.97323951095</v>
      </c>
      <c r="E618" s="35" t="n">
        <v>1816.875319271206</v>
      </c>
      <c r="F618" s="37" t="n">
        <v>0.8526971535745209</v>
      </c>
      <c r="G618" s="37" t="n">
        <v>0.7855681911312028</v>
      </c>
      <c r="H618" s="37" t="n">
        <v>0.4841946215720746</v>
      </c>
      <c r="I618" s="37" t="n">
        <v>0.7725436234107435</v>
      </c>
      <c r="J618" s="37" t="n">
        <v>0.6309621471830913</v>
      </c>
      <c r="K618" s="42" t="inlineStr">
        <is>
          <t>KALINA</t>
        </is>
      </c>
      <c r="L618" s="29" t="n">
        <v>1.2644967374874</v>
      </c>
      <c r="M618" s="35" t="n">
        <v>2.853758640867259</v>
      </c>
      <c r="N618" s="36" t="n">
        <v>526.0979202397441</v>
      </c>
      <c r="O618" s="29" t="n">
        <v>1.28956192792072</v>
      </c>
      <c r="P618" s="16" t="inlineStr">
        <is>
          <t>no</t>
        </is>
      </c>
      <c r="Q618" s="16" t="n"/>
    </row>
    <row r="619">
      <c r="A619" s="16" t="inlineStr">
        <is>
          <t>KF-M09-R0-x_b-0080</t>
        </is>
      </c>
      <c r="B619" s="35" t="n">
        <v>459.5248911254193</v>
      </c>
      <c r="C619" s="35" t="n">
        <v>290.0627291346923</v>
      </c>
      <c r="D619" s="36" t="n">
        <v>3822.52130262541</v>
      </c>
      <c r="E619" s="35" t="n">
        <v>427.1699217043548</v>
      </c>
      <c r="F619" s="37" t="n">
        <v>0.7498663109919008</v>
      </c>
      <c r="G619" s="37" t="n">
        <v>0.6509047885388273</v>
      </c>
      <c r="H619" s="37" t="n">
        <v>0.665641534221728</v>
      </c>
      <c r="I619" s="37" t="n">
        <v>0.6939996803162458</v>
      </c>
      <c r="J619" s="37" t="n">
        <v>0.6346632844882322</v>
      </c>
      <c r="K619" s="39" t="inlineStr">
        <is>
          <t>Corregible</t>
        </is>
      </c>
      <c r="L619" s="29" t="n">
        <v>9.74197960111861</v>
      </c>
      <c r="M619" s="35" t="n">
        <v>65.62969351186156</v>
      </c>
      <c r="N619" s="36" t="n">
        <v>3395.351380921055</v>
      </c>
      <c r="O619" s="29" t="n">
        <v>8.948479535670549</v>
      </c>
      <c r="P619" s="16" t="inlineStr">
        <is>
          <t>sí</t>
        </is>
      </c>
      <c r="Q619" s="16" t="inlineStr">
        <is>
          <t>O2</t>
        </is>
      </c>
    </row>
    <row r="620">
      <c r="A620" s="16" t="inlineStr">
        <is>
          <t>KF-M09-R0-x_b-0081</t>
        </is>
      </c>
      <c r="B620" s="35" t="n">
        <v>417.6877473173759</v>
      </c>
      <c r="C620" s="35" t="n">
        <v>301.7181864806601</v>
      </c>
      <c r="D620" s="36" t="n">
        <v>2718.760757600955</v>
      </c>
      <c r="E620" s="35" t="n">
        <v>1895.182987385153</v>
      </c>
      <c r="F620" s="37" t="n">
        <v>0.8764366867304728</v>
      </c>
      <c r="G620" s="37" t="n">
        <v>0.4595154969112299</v>
      </c>
      <c r="H620" s="37" t="n">
        <v>0.9496128333090595</v>
      </c>
      <c r="I620" s="37" t="n">
        <v>0.8120254351831514</v>
      </c>
      <c r="J620" s="37" t="n">
        <v>0.7778550743561942</v>
      </c>
      <c r="K620" s="42" t="inlineStr">
        <is>
          <t>KALINA</t>
        </is>
      </c>
      <c r="L620" s="29" t="n">
        <v>2.6343165889595</v>
      </c>
      <c r="M620" s="35" t="n">
        <v>14.63849765278594</v>
      </c>
      <c r="N620" s="36" t="n">
        <v>823.5777702158023</v>
      </c>
      <c r="O620" s="29" t="n">
        <v>1.434563720599941</v>
      </c>
      <c r="P620" s="16" t="inlineStr">
        <is>
          <t>no</t>
        </is>
      </c>
      <c r="Q620" s="16" t="n"/>
    </row>
    <row r="621">
      <c r="A621" s="16" t="inlineStr">
        <is>
          <t>KF-M09-R0-x_b-0082</t>
        </is>
      </c>
      <c r="B621" s="35" t="n">
        <v>473.3445894018272</v>
      </c>
      <c r="C621" s="35" t="n">
        <v>286.0982274905353</v>
      </c>
      <c r="D621" s="36" t="n">
        <v>3567.956515740324</v>
      </c>
      <c r="E621" s="35" t="n">
        <v>1241.405148383759</v>
      </c>
      <c r="F621" s="37" t="n">
        <v>0.6871175932708375</v>
      </c>
      <c r="G621" s="37" t="n">
        <v>0.9101320528592444</v>
      </c>
      <c r="H621" s="37" t="n">
        <v>0.913521028119205</v>
      </c>
      <c r="I621" s="37" t="n">
        <v>0.4330151208366876</v>
      </c>
      <c r="J621" s="37" t="n">
        <v>0.6528313636268082</v>
      </c>
      <c r="K621" s="39" t="inlineStr">
        <is>
          <t>Corregible</t>
        </is>
      </c>
      <c r="L621" s="29" t="n">
        <v>5.60084107618232</v>
      </c>
      <c r="M621" s="35" t="n">
        <v>70.99111958490306</v>
      </c>
      <c r="N621" s="36" t="n">
        <v>2326.551367356565</v>
      </c>
      <c r="O621" s="29" t="n">
        <v>2.874127371217693</v>
      </c>
      <c r="P621" s="16" t="inlineStr">
        <is>
          <t>sí</t>
        </is>
      </c>
      <c r="Q621" s="16" t="inlineStr">
        <is>
          <t>O2</t>
        </is>
      </c>
    </row>
    <row r="622">
      <c r="A622" s="16" t="inlineStr">
        <is>
          <t>KF-M09-R0-x_b-0083</t>
        </is>
      </c>
      <c r="B622" s="35" t="n">
        <v>415.3947275685357</v>
      </c>
      <c r="C622" s="35" t="n">
        <v>301.7816589732325</v>
      </c>
      <c r="D622" s="36" t="n">
        <v>3159.995641192314</v>
      </c>
      <c r="E622" s="35" t="n">
        <v>331.6669639228589</v>
      </c>
      <c r="F622" s="37" t="n">
        <v>0.6642886748667856</v>
      </c>
      <c r="G622" s="37" t="n">
        <v>0.4934297324433864</v>
      </c>
      <c r="H622" s="37" t="n">
        <v>0.9012475070350726</v>
      </c>
      <c r="I622" s="37" t="n">
        <v>0.553822725374961</v>
      </c>
      <c r="J622" s="37" t="n">
        <v>0.4700990106384844</v>
      </c>
      <c r="K622" s="40" t="inlineStr">
        <is>
          <t>Inviable</t>
        </is>
      </c>
      <c r="L622" s="29" t="n">
        <v>-21.70137873701549</v>
      </c>
      <c r="M622" s="35" t="n">
        <v>-55.73270882772157</v>
      </c>
      <c r="N622" s="36" t="n">
        <v>2828.328677269455</v>
      </c>
      <c r="O622" s="29" t="n">
        <v>9.52761650969641</v>
      </c>
      <c r="P622" s="16" t="inlineStr">
        <is>
          <t>no</t>
        </is>
      </c>
      <c r="Q622" s="16" t="inlineStr">
        <is>
          <t>O2,O3</t>
        </is>
      </c>
    </row>
    <row r="623">
      <c r="A623" s="16" t="inlineStr">
        <is>
          <t>KF-M09-R0-x_b-0084</t>
        </is>
      </c>
      <c r="B623" s="35" t="n">
        <v>502.3305554464566</v>
      </c>
      <c r="C623" s="35" t="n">
        <v>278.5873533665451</v>
      </c>
      <c r="D623" s="36" t="n">
        <v>4421.056021958826</v>
      </c>
      <c r="E623" s="35" t="n">
        <v>1158.224500517542</v>
      </c>
      <c r="F623" s="37" t="n">
        <v>0.6135540629519135</v>
      </c>
      <c r="G623" s="37" t="n">
        <v>0.6198488474495832</v>
      </c>
      <c r="H623" s="37" t="n">
        <v>0.9314645857960168</v>
      </c>
      <c r="I623" s="37" t="n">
        <v>0.6404448114496455</v>
      </c>
      <c r="J623" s="37" t="n">
        <v>0.831688834867819</v>
      </c>
      <c r="K623" s="39" t="inlineStr">
        <is>
          <t>Corregible</t>
        </is>
      </c>
      <c r="L623" s="29" t="n">
        <v>6.87472099394361</v>
      </c>
      <c r="M623" s="35" t="n">
        <v>132.7788212610761</v>
      </c>
      <c r="N623" s="36" t="n">
        <v>3262.831521441284</v>
      </c>
      <c r="O623" s="29" t="n">
        <v>3.817097652470065</v>
      </c>
      <c r="P623" s="16" t="inlineStr">
        <is>
          <t>sí</t>
        </is>
      </c>
      <c r="Q623" s="16" t="inlineStr">
        <is>
          <t>O2</t>
        </is>
      </c>
    </row>
    <row r="624">
      <c r="A624" s="16" t="inlineStr">
        <is>
          <t>KF-M09-R0-x_b-0085</t>
        </is>
      </c>
      <c r="B624" s="35" t="n">
        <v>446.3259565267153</v>
      </c>
      <c r="C624" s="35" t="n">
        <v>279.7212444335605</v>
      </c>
      <c r="D624" s="36" t="n">
        <v>3390.931037004873</v>
      </c>
      <c r="E624" s="35" t="n">
        <v>457.3075351691075</v>
      </c>
      <c r="F624" s="37" t="n">
        <v>0.8134749645235325</v>
      </c>
      <c r="G624" s="37" t="n">
        <v>0.6424766604017256</v>
      </c>
      <c r="H624" s="37" t="n">
        <v>0.8713516207804167</v>
      </c>
      <c r="I624" s="37" t="n">
        <v>0.5153146776164501</v>
      </c>
      <c r="J624" s="37" t="n">
        <v>0.8003065631856228</v>
      </c>
      <c r="K624" s="39" t="inlineStr">
        <is>
          <t>Corregible</t>
        </is>
      </c>
      <c r="L624" s="29" t="n">
        <v>11.41134200462695</v>
      </c>
      <c r="M624" s="35" t="n">
        <v>103.596830886311</v>
      </c>
      <c r="N624" s="36" t="n">
        <v>2933.623501835766</v>
      </c>
      <c r="O624" s="29" t="n">
        <v>7.414990517816293</v>
      </c>
      <c r="P624" s="16" t="inlineStr">
        <is>
          <t>sí</t>
        </is>
      </c>
      <c r="Q624" s="16" t="inlineStr">
        <is>
          <t>O2</t>
        </is>
      </c>
    </row>
    <row r="625">
      <c r="A625" s="16" t="inlineStr">
        <is>
          <t>KF-M09-R0-x_b-0086</t>
        </is>
      </c>
      <c r="B625" s="35" t="n">
        <v>396.691474784271</v>
      </c>
      <c r="C625" s="35" t="n">
        <v>289.0141048970468</v>
      </c>
      <c r="D625" s="36" t="n">
        <v>3289.235338270082</v>
      </c>
      <c r="E625" s="35" t="n">
        <v>1944.07141544841</v>
      </c>
      <c r="F625" s="37" t="n">
        <v>0.6809260771784172</v>
      </c>
      <c r="G625" s="37" t="n">
        <v>0.6765602409200147</v>
      </c>
      <c r="H625" s="37" t="n">
        <v>0.4141833728694566</v>
      </c>
      <c r="I625" s="37" t="n">
        <v>0.6131048261857747</v>
      </c>
      <c r="J625" s="37" t="n">
        <v>0.6187056394675743</v>
      </c>
      <c r="K625" s="38" t="inlineStr">
        <is>
          <t>Falso convergido</t>
        </is>
      </c>
      <c r="L625" s="29" t="inlineStr">
        <is>
          <t>—</t>
        </is>
      </c>
      <c r="M625" s="35" t="inlineStr">
        <is>
          <t>—</t>
        </is>
      </c>
      <c r="N625" s="36" t="n">
        <v>1345.163922821671</v>
      </c>
      <c r="O625" s="29" t="n">
        <v>1.691931331396795</v>
      </c>
      <c r="P625" s="16" t="inlineStr">
        <is>
          <t>no</t>
        </is>
      </c>
      <c r="Q625" s="16" t="inlineStr">
        <is>
          <t>N2,S6,O3,O5,C1,C3,C3</t>
        </is>
      </c>
    </row>
    <row r="626">
      <c r="A626" s="16" t="inlineStr">
        <is>
          <t>KF-M09-R0-x_b-0087</t>
        </is>
      </c>
      <c r="B626" s="35" t="n">
        <v>519.5895422483876</v>
      </c>
      <c r="C626" s="35" t="n">
        <v>287.6382930010503</v>
      </c>
      <c r="D626" s="36" t="n">
        <v>3412.385588129736</v>
      </c>
      <c r="E626" s="35" t="n">
        <v>923.7105207650436</v>
      </c>
      <c r="F626" s="37" t="n">
        <v>0.9336895826689148</v>
      </c>
      <c r="G626" s="37" t="n">
        <v>0.7646807749335245</v>
      </c>
      <c r="H626" s="37" t="n">
        <v>0.7412280338979109</v>
      </c>
      <c r="I626" s="37" t="n">
        <v>0.8625752810644917</v>
      </c>
      <c r="J626" s="37" t="n">
        <v>0.7887759389342327</v>
      </c>
      <c r="K626" s="39" t="inlineStr">
        <is>
          <t>Corregible</t>
        </is>
      </c>
      <c r="L626" s="29" t="n">
        <v>10.68825903507854</v>
      </c>
      <c r="M626" s="35" t="n">
        <v>162.3106798368425</v>
      </c>
      <c r="N626" s="36" t="n">
        <v>2488.675067364693</v>
      </c>
      <c r="O626" s="29" t="n">
        <v>3.694215353640771</v>
      </c>
      <c r="P626" s="16" t="inlineStr">
        <is>
          <t>sí</t>
        </is>
      </c>
      <c r="Q626" s="16" t="inlineStr">
        <is>
          <t>O2</t>
        </is>
      </c>
    </row>
    <row r="627">
      <c r="A627" s="16" t="inlineStr">
        <is>
          <t>KF-M09-R0-x_b-0089</t>
        </is>
      </c>
      <c r="B627" s="35" t="n">
        <v>509.5724432913302</v>
      </c>
      <c r="C627" s="35" t="n">
        <v>286.6379629370429</v>
      </c>
      <c r="D627" s="36" t="n">
        <v>3676.883827507017</v>
      </c>
      <c r="E627" s="35" t="n">
        <v>581.7623476027718</v>
      </c>
      <c r="F627" s="37" t="n">
        <v>0.91910519004608</v>
      </c>
      <c r="G627" s="37" t="n">
        <v>0.7952545325790991</v>
      </c>
      <c r="H627" s="37" t="n">
        <v>0.9374772496883996</v>
      </c>
      <c r="I627" s="37" t="n">
        <v>0.7578873875855729</v>
      </c>
      <c r="J627" s="37" t="n">
        <v>0.7588178424701488</v>
      </c>
      <c r="K627" s="39" t="inlineStr">
        <is>
          <t>Corregible</t>
        </is>
      </c>
      <c r="L627" s="29" t="n">
        <v>13.78863412221807</v>
      </c>
      <c r="M627" s="35" t="n">
        <v>249.7313231387029</v>
      </c>
      <c r="N627" s="36" t="n">
        <v>3095.121479904245</v>
      </c>
      <c r="O627" s="29" t="n">
        <v>6.320250601741587</v>
      </c>
      <c r="P627" s="16" t="inlineStr">
        <is>
          <t>sí</t>
        </is>
      </c>
      <c r="Q627" s="16" t="inlineStr">
        <is>
          <t>O1,O2</t>
        </is>
      </c>
    </row>
    <row r="628">
      <c r="A628" s="16" t="inlineStr">
        <is>
          <t>KF-M09-R0-x_b-0090</t>
        </is>
      </c>
      <c r="B628" s="35" t="n">
        <v>449.2172477118531</v>
      </c>
      <c r="C628" s="35" t="n">
        <v>303.4209104290609</v>
      </c>
      <c r="D628" s="36" t="n">
        <v>4897.146113588794</v>
      </c>
      <c r="E628" s="35" t="n">
        <v>825.8449303002042</v>
      </c>
      <c r="F628" s="37" t="n">
        <v>0.5286994230781499</v>
      </c>
      <c r="G628" s="37" t="n">
        <v>0.4937013087502395</v>
      </c>
      <c r="H628" s="37" t="n">
        <v>0.7899324575866153</v>
      </c>
      <c r="I628" s="37" t="n">
        <v>0.4024286595266871</v>
      </c>
      <c r="J628" s="37" t="n">
        <v>0.9103241211793724</v>
      </c>
      <c r="K628" s="42" t="inlineStr">
        <is>
          <t>KALINA</t>
        </is>
      </c>
      <c r="L628" s="29" t="n">
        <v>3.6995624170748</v>
      </c>
      <c r="M628" s="35" t="n">
        <v>24.37399377928955</v>
      </c>
      <c r="N628" s="36" t="n">
        <v>4071.30118328859</v>
      </c>
      <c r="O628" s="29" t="n">
        <v>5.92986156833175</v>
      </c>
      <c r="P628" s="16" t="inlineStr">
        <is>
          <t>sí</t>
        </is>
      </c>
      <c r="Q628" s="16" t="n"/>
    </row>
    <row r="629">
      <c r="A629" s="16" t="inlineStr">
        <is>
          <t>KF-M09-R0-x_b-0091</t>
        </is>
      </c>
      <c r="B629" s="35" t="n">
        <v>501.0518792576797</v>
      </c>
      <c r="C629" s="35" t="n">
        <v>285.2028241916966</v>
      </c>
      <c r="D629" s="36" t="n">
        <v>3977.46734184636</v>
      </c>
      <c r="E629" s="35" t="n">
        <v>1074.54304218749</v>
      </c>
      <c r="F629" s="37" t="n">
        <v>0.5636138471849484</v>
      </c>
      <c r="G629" s="37" t="n">
        <v>0.8687300341089281</v>
      </c>
      <c r="H629" s="37" t="n">
        <v>0.518056863316926</v>
      </c>
      <c r="I629" s="37" t="n">
        <v>0.6337586442329941</v>
      </c>
      <c r="J629" s="37" t="n">
        <v>0.8680955774363071</v>
      </c>
      <c r="K629" s="42" t="inlineStr">
        <is>
          <t>KALINA</t>
        </is>
      </c>
      <c r="L629" s="29" t="n">
        <v>5.53591046027942</v>
      </c>
      <c r="M629" s="35" t="n">
        <v>59.75698061861329</v>
      </c>
      <c r="N629" s="36" t="n">
        <v>2902.92429965887</v>
      </c>
      <c r="O629" s="29" t="n">
        <v>3.70154306127121</v>
      </c>
      <c r="P629" s="16" t="inlineStr">
        <is>
          <t>sí</t>
        </is>
      </c>
      <c r="Q629" s="16" t="n"/>
    </row>
    <row r="630">
      <c r="A630" s="16" t="inlineStr">
        <is>
          <t>KF-M09-R0-x_b-0092</t>
        </is>
      </c>
      <c r="B630" s="35" t="n">
        <v>429.0360699566577</v>
      </c>
      <c r="C630" s="35" t="n">
        <v>279.9946066397543</v>
      </c>
      <c r="D630" s="36" t="n">
        <v>2789.063293176551</v>
      </c>
      <c r="E630" s="35" t="n">
        <v>1811.461374951889</v>
      </c>
      <c r="F630" s="37" t="n">
        <v>0.7558806232365416</v>
      </c>
      <c r="G630" s="37" t="n">
        <v>0.714396241798037</v>
      </c>
      <c r="H630" s="37" t="n">
        <v>0.5972513535278046</v>
      </c>
      <c r="I630" s="37" t="n">
        <v>0.6421649204769007</v>
      </c>
      <c r="J630" s="37" t="n">
        <v>0.7125419821852668</v>
      </c>
      <c r="K630" s="42" t="inlineStr">
        <is>
          <t>KALINA</t>
        </is>
      </c>
      <c r="L630" s="29" t="n">
        <v>2.2782519094781</v>
      </c>
      <c r="M630" s="35" t="n">
        <v>11.32944470529796</v>
      </c>
      <c r="N630" s="36" t="n">
        <v>977.6019182246624</v>
      </c>
      <c r="O630" s="29" t="n">
        <v>1.539675828445764</v>
      </c>
      <c r="P630" s="16" t="inlineStr">
        <is>
          <t>no</t>
        </is>
      </c>
      <c r="Q630" s="16" t="n"/>
    </row>
    <row r="631">
      <c r="A631" s="16" t="inlineStr">
        <is>
          <t>KF-M09-R0-x_b-0093</t>
        </is>
      </c>
      <c r="B631" s="35" t="n">
        <v>433.4614594027236</v>
      </c>
      <c r="C631" s="35" t="n">
        <v>297.2426106881327</v>
      </c>
      <c r="D631" s="36" t="n">
        <v>2663.44206896164</v>
      </c>
      <c r="E631" s="35" t="n">
        <v>547.0106993999183</v>
      </c>
      <c r="F631" s="37" t="n">
        <v>0.4479207249508133</v>
      </c>
      <c r="G631" s="37" t="n">
        <v>0.5899060046356955</v>
      </c>
      <c r="H631" s="37" t="n">
        <v>0.7339747547881045</v>
      </c>
      <c r="I631" s="37" t="n">
        <v>0.8056859379809701</v>
      </c>
      <c r="J631" s="37" t="n">
        <v>0.5031989621937167</v>
      </c>
      <c r="K631" s="40" t="inlineStr">
        <is>
          <t>Inviable</t>
        </is>
      </c>
      <c r="L631" s="29" t="n">
        <v>-5.55678331819412</v>
      </c>
      <c r="M631" s="35" t="n">
        <v>-25.61183724187241</v>
      </c>
      <c r="N631" s="36" t="n">
        <v>2116.431369561721</v>
      </c>
      <c r="O631" s="29" t="n">
        <v>4.869085873244324</v>
      </c>
      <c r="P631" s="16" t="inlineStr">
        <is>
          <t>sí</t>
        </is>
      </c>
      <c r="Q631" s="16" t="inlineStr">
        <is>
          <t>O2,O3</t>
        </is>
      </c>
    </row>
    <row r="632">
      <c r="A632" s="16" t="inlineStr">
        <is>
          <t>KF-M09-R0-x_b-0094</t>
        </is>
      </c>
      <c r="B632" s="35" t="n">
        <v>495.0953773391186</v>
      </c>
      <c r="C632" s="35" t="n">
        <v>284.8859020526566</v>
      </c>
      <c r="D632" s="36" t="n">
        <v>3594.038197801452</v>
      </c>
      <c r="E632" s="35" t="n">
        <v>1053.305775333398</v>
      </c>
      <c r="F632" s="37" t="n">
        <v>0.5065008233437069</v>
      </c>
      <c r="G632" s="37" t="n">
        <v>0.7061389013604153</v>
      </c>
      <c r="H632" s="37" t="n">
        <v>0.4820998628355173</v>
      </c>
      <c r="I632" s="37" t="n">
        <v>0.6572096629520786</v>
      </c>
      <c r="J632" s="37" t="n">
        <v>0.4572614128124556</v>
      </c>
      <c r="K632" s="40" t="inlineStr">
        <is>
          <t>Inviable</t>
        </is>
      </c>
      <c r="L632" s="29" t="n">
        <v>-2.34825483382757</v>
      </c>
      <c r="M632" s="35" t="n">
        <v>-16.51285356528732</v>
      </c>
      <c r="N632" s="36" t="n">
        <v>2540.732422468054</v>
      </c>
      <c r="O632" s="29" t="n">
        <v>3.412150851127582</v>
      </c>
      <c r="P632" s="16" t="inlineStr">
        <is>
          <t>sí</t>
        </is>
      </c>
      <c r="Q632" s="16" t="inlineStr">
        <is>
          <t>O2,O3</t>
        </is>
      </c>
    </row>
    <row r="633">
      <c r="A633" s="16" t="inlineStr">
        <is>
          <t>KF-M09-R0-x_b-0095</t>
        </is>
      </c>
      <c r="B633" s="35" t="n">
        <v>468.5830255799965</v>
      </c>
      <c r="C633" s="35" t="n">
        <v>296.2787953594116</v>
      </c>
      <c r="D633" s="36" t="n">
        <v>4216.561362824399</v>
      </c>
      <c r="E633" s="35" t="n">
        <v>1323.803350799093</v>
      </c>
      <c r="F633" s="37" t="n">
        <v>0.7401924404126874</v>
      </c>
      <c r="G633" s="37" t="n">
        <v>0.8762920653644531</v>
      </c>
      <c r="H633" s="37" t="n">
        <v>0.5879821502002583</v>
      </c>
      <c r="I633" s="37" t="n">
        <v>0.8470696452606368</v>
      </c>
      <c r="J633" s="37" t="n">
        <v>0.8663710547264498</v>
      </c>
      <c r="K633" s="42" t="inlineStr">
        <is>
          <t>KALINA</t>
        </is>
      </c>
      <c r="L633" s="29" t="n">
        <v>6.840753179105261</v>
      </c>
      <c r="M633" s="35" t="n">
        <v>48.48642832821814</v>
      </c>
      <c r="N633" s="36" t="n">
        <v>2892.758012025306</v>
      </c>
      <c r="O633" s="29" t="n">
        <v>3.18518710522914</v>
      </c>
      <c r="P633" s="16" t="inlineStr">
        <is>
          <t>sí</t>
        </is>
      </c>
      <c r="Q633" s="16" t="n"/>
    </row>
    <row r="634">
      <c r="A634" s="16" t="inlineStr">
        <is>
          <t>KF-M09-R0-x_b-0096</t>
        </is>
      </c>
      <c r="B634" s="35" t="n">
        <v>412.1180193326625</v>
      </c>
      <c r="C634" s="35" t="n">
        <v>297.1343973276753</v>
      </c>
      <c r="D634" s="36" t="n">
        <v>2646.673502744052</v>
      </c>
      <c r="E634" s="35" t="n">
        <v>1712.264569366123</v>
      </c>
      <c r="F634" s="37" t="n">
        <v>0.9287101286134336</v>
      </c>
      <c r="G634" s="37" t="n">
        <v>0.6320487661948387</v>
      </c>
      <c r="H634" s="37" t="n">
        <v>0.5385714466577188</v>
      </c>
      <c r="I634" s="37" t="n">
        <v>0.7427215066051069</v>
      </c>
      <c r="J634" s="37" t="n">
        <v>0.5166761186414187</v>
      </c>
      <c r="K634" s="42" t="inlineStr">
        <is>
          <t>KALINA</t>
        </is>
      </c>
      <c r="L634" s="29" t="n">
        <v>3.2269455052205</v>
      </c>
      <c r="M634" s="35" t="n">
        <v>9.013386838174096</v>
      </c>
      <c r="N634" s="36" t="n">
        <v>934.4089333779297</v>
      </c>
      <c r="O634" s="29" t="n">
        <v>1.545715276771653</v>
      </c>
      <c r="P634" s="16" t="inlineStr">
        <is>
          <t>no</t>
        </is>
      </c>
      <c r="Q634" s="16" t="n"/>
    </row>
    <row r="635">
      <c r="A635" s="16" t="inlineStr">
        <is>
          <t>KF-M09-R0-x_b-0097</t>
        </is>
      </c>
      <c r="B635" s="35" t="n">
        <v>503.8013876643751</v>
      </c>
      <c r="C635" s="35" t="n">
        <v>300.6559907160477</v>
      </c>
      <c r="D635" s="36" t="n">
        <v>4005.607098773393</v>
      </c>
      <c r="E635" s="35" t="n">
        <v>1420.541367818788</v>
      </c>
      <c r="F635" s="37" t="n">
        <v>0.4615489744934614</v>
      </c>
      <c r="G635" s="37" t="n">
        <v>0.8138574819403992</v>
      </c>
      <c r="H635" s="37" t="n">
        <v>0.7017707167528617</v>
      </c>
      <c r="I635" s="37" t="n">
        <v>0.4267413433663037</v>
      </c>
      <c r="J635" s="37" t="n">
        <v>0.498351434690444</v>
      </c>
      <c r="K635" s="40" t="inlineStr">
        <is>
          <t>Inviable</t>
        </is>
      </c>
      <c r="L635" s="29" t="n">
        <v>-0.93621668393014</v>
      </c>
      <c r="M635" s="35" t="n">
        <v>-8.784078499412914</v>
      </c>
      <c r="N635" s="36" t="n">
        <v>2585.065730954605</v>
      </c>
      <c r="O635" s="29" t="n">
        <v>2.819775044583122</v>
      </c>
      <c r="P635" s="16" t="inlineStr">
        <is>
          <t>sí</t>
        </is>
      </c>
      <c r="Q635" s="16" t="inlineStr">
        <is>
          <t>O2,O3</t>
        </is>
      </c>
    </row>
    <row r="636">
      <c r="A636" s="16" t="inlineStr">
        <is>
          <t>KF-M09-R0-x_b-0098</t>
        </is>
      </c>
      <c r="B636" s="35" t="n">
        <v>427.4892505000896</v>
      </c>
      <c r="C636" s="35" t="n">
        <v>287.1879010916329</v>
      </c>
      <c r="D636" s="36" t="n">
        <v>4036.769224291656</v>
      </c>
      <c r="E636" s="35" t="n">
        <v>737.2519891883626</v>
      </c>
      <c r="F636" s="37" t="n">
        <v>0.7585363150282927</v>
      </c>
      <c r="G636" s="37" t="n">
        <v>0.9204508938878884</v>
      </c>
      <c r="H636" s="37" t="n">
        <v>0.5087074276902614</v>
      </c>
      <c r="I636" s="37" t="n">
        <v>0.8945177795241915</v>
      </c>
      <c r="J636" s="37" t="n">
        <v>0.922915316444979</v>
      </c>
      <c r="K636" s="42" t="inlineStr">
        <is>
          <t>KALINA</t>
        </is>
      </c>
      <c r="L636" s="29" t="n">
        <v>6.9986862416481</v>
      </c>
      <c r="M636" s="35" t="n">
        <v>16.35324378708146</v>
      </c>
      <c r="N636" s="36" t="n">
        <v>3299.517235103293</v>
      </c>
      <c r="O636" s="29" t="n">
        <v>5.475426697370756</v>
      </c>
      <c r="P636" s="16" t="inlineStr">
        <is>
          <t>no</t>
        </is>
      </c>
      <c r="Q636" s="16" t="n"/>
    </row>
    <row r="637">
      <c r="A637" s="16" t="inlineStr">
        <is>
          <t>KF-M09-R0-x_b-0099</t>
        </is>
      </c>
      <c r="B637" s="35" t="n">
        <v>414.8817490715333</v>
      </c>
      <c r="C637" s="35" t="n">
        <v>293.4710049385635</v>
      </c>
      <c r="D637" s="36" t="n">
        <v>4691.049872414564</v>
      </c>
      <c r="E637" s="35" t="n">
        <v>1206.051210110152</v>
      </c>
      <c r="F637" s="37" t="n">
        <v>0.8684922795258767</v>
      </c>
      <c r="G637" s="37" t="n">
        <v>0.563961340007423</v>
      </c>
      <c r="H637" s="37" t="n">
        <v>0.7040293301455678</v>
      </c>
      <c r="I637" s="37" t="n">
        <v>0.92734568967595</v>
      </c>
      <c r="J637" s="37" t="n">
        <v>0.4166149552921057</v>
      </c>
      <c r="K637" s="40" t="inlineStr">
        <is>
          <t>Inviable</t>
        </is>
      </c>
      <c r="L637" s="29" t="n">
        <v>-6.64376141821946</v>
      </c>
      <c r="M637" s="35" t="n">
        <v>-4.230296884379147</v>
      </c>
      <c r="N637" s="36" t="n">
        <v>3484.998662304411</v>
      </c>
      <c r="O637" s="29" t="n">
        <v>3.889594266885331</v>
      </c>
      <c r="P637" s="16" t="inlineStr">
        <is>
          <t>no</t>
        </is>
      </c>
      <c r="Q637" s="16" t="inlineStr">
        <is>
          <t>O3</t>
        </is>
      </c>
    </row>
    <row r="639">
      <c r="A639" s="33" t="inlineStr">
        <is>
          <t>Parte 4.3 x_b+P_alta · ronda 1 · 30 puntos</t>
        </is>
      </c>
      <c r="B639" s="31" t="n"/>
      <c r="C639" s="31" t="n"/>
      <c r="D639" s="31" t="n"/>
      <c r="E639" s="31" t="n"/>
      <c r="F639" s="31" t="n"/>
      <c r="G639" s="31" t="n"/>
      <c r="H639" s="31" t="n"/>
      <c r="I639" s="31" t="n"/>
      <c r="J639" s="31" t="n"/>
      <c r="K639" s="31" t="n"/>
    </row>
    <row r="641">
      <c r="A641" s="34" t="inlineStr">
        <is>
          <t>Barrido de la parte 4.3 x_b+P_alta · 30 puntos</t>
        </is>
      </c>
    </row>
    <row r="642">
      <c r="A642" s="25" t="inlineStr">
        <is>
          <t>Fijos en este barrido: P_alta = 3000, x_b = 0.5.</t>
        </is>
      </c>
    </row>
    <row r="643">
      <c r="A643" s="22" t="inlineStr">
        <is>
          <t>id_punto</t>
        </is>
      </c>
      <c r="B643" s="22" t="inlineStr">
        <is>
          <t>T_fuente [K]</t>
        </is>
      </c>
      <c r="C643" s="22" t="inlineStr">
        <is>
          <t>T_sumidero [K]</t>
        </is>
      </c>
      <c r="D643" s="22" t="inlineStr">
        <is>
          <t>P_baja [kPa]</t>
        </is>
      </c>
      <c r="E643" s="22" t="inlineStr">
        <is>
          <t>η_t [–]</t>
        </is>
      </c>
      <c r="F643" s="22" t="inlineStr">
        <is>
          <t>η_p [–]</t>
        </is>
      </c>
      <c r="G643" s="22" t="inlineStr">
        <is>
          <t>ε_HRVG [–]</t>
        </is>
      </c>
      <c r="H643" s="22" t="inlineStr">
        <is>
          <t>ε_reg [–]</t>
        </is>
      </c>
      <c r="I643" s="22" t="inlineStr">
        <is>
          <t>ε_cond [–]</t>
        </is>
      </c>
      <c r="J643" s="22" t="inlineStr">
        <is>
          <t>Clase</t>
        </is>
      </c>
      <c r="K643" s="22" t="inlineStr">
        <is>
          <t>η [%]</t>
        </is>
      </c>
      <c r="L643" s="22" t="inlineStr">
        <is>
          <t>W_net [kW] (m_b = 1 kg/s)</t>
        </is>
      </c>
      <c r="M643" s="22" t="inlineStr">
        <is>
          <t>ΔP [kPa]</t>
        </is>
      </c>
      <c r="N643" s="22" t="inlineStr">
        <is>
          <t>r_P [–]</t>
        </is>
      </c>
      <c r="O643" s="22" t="inlineStr">
        <is>
          <t>Fuera de rango</t>
        </is>
      </c>
      <c r="P643" s="22" t="inlineStr">
        <is>
          <t>Criterios que falla</t>
        </is>
      </c>
    </row>
    <row r="644">
      <c r="A644" s="16" t="inlineStr">
        <is>
          <t>KF-M09-R1-x_b+P_alta-0000</t>
        </is>
      </c>
      <c r="B644" s="35" t="n">
        <v>401.0366375390593</v>
      </c>
      <c r="C644" s="35" t="n">
        <v>285.7809757503699</v>
      </c>
      <c r="D644" s="35" t="n">
        <v>478.915945231107</v>
      </c>
      <c r="E644" s="37" t="n">
        <v>0.4790096088309233</v>
      </c>
      <c r="F644" s="37" t="n">
        <v>0.637180147034941</v>
      </c>
      <c r="G644" s="37" t="n">
        <v>0.7684697639268212</v>
      </c>
      <c r="H644" s="37" t="n">
        <v>0.686337042471594</v>
      </c>
      <c r="I644" s="37" t="n">
        <v>0.5623495091134472</v>
      </c>
      <c r="J644" s="39" t="inlineStr">
        <is>
          <t>Corregible</t>
        </is>
      </c>
      <c r="K644" s="29" t="n">
        <v>2.54080331746883</v>
      </c>
      <c r="L644" s="35" t="n">
        <v>6.440040641507654</v>
      </c>
      <c r="M644" s="36" t="n">
        <v>2521.084054768893</v>
      </c>
      <c r="N644" s="29" t="n">
        <v>6.264147247284305</v>
      </c>
      <c r="O644" s="16" t="inlineStr">
        <is>
          <t>no</t>
        </is>
      </c>
      <c r="P644" s="16" t="inlineStr">
        <is>
          <t>O2</t>
        </is>
      </c>
    </row>
    <row r="645">
      <c r="A645" s="16" t="inlineStr">
        <is>
          <t>KF-M09-R1-x_b+P_alta-0001</t>
        </is>
      </c>
      <c r="B645" s="35" t="n">
        <v>500.0790761799079</v>
      </c>
      <c r="C645" s="35" t="n">
        <v>284.6950606489954</v>
      </c>
      <c r="D645" s="35" t="n">
        <v>1657.487498922877</v>
      </c>
      <c r="E645" s="37" t="n">
        <v>0.7896691285167451</v>
      </c>
      <c r="F645" s="37" t="n">
        <v>0.6441040488992147</v>
      </c>
      <c r="G645" s="37" t="n">
        <v>0.4569927143042431</v>
      </c>
      <c r="H645" s="37" t="n">
        <v>0.8444623440867565</v>
      </c>
      <c r="I645" s="37" t="n">
        <v>0.6373300151181722</v>
      </c>
      <c r="J645" s="39" t="inlineStr">
        <is>
          <t>Corregible</t>
        </is>
      </c>
      <c r="K645" s="29" t="n">
        <v>4.160404518696851</v>
      </c>
      <c r="L645" s="35" t="n">
        <v>35.88246414503489</v>
      </c>
      <c r="M645" s="36" t="n">
        <v>1342.512501077123</v>
      </c>
      <c r="N645" s="29" t="n">
        <v>1.809968402144546</v>
      </c>
      <c r="O645" s="16" t="inlineStr">
        <is>
          <t>sí</t>
        </is>
      </c>
      <c r="P645" s="16" t="inlineStr">
        <is>
          <t>O2</t>
        </is>
      </c>
    </row>
    <row r="646">
      <c r="A646" s="16" t="inlineStr">
        <is>
          <t>KF-M09-R1-x_b+P_alta-0002</t>
        </is>
      </c>
      <c r="B646" s="35" t="n">
        <v>511.5070783344729</v>
      </c>
      <c r="C646" s="35" t="n">
        <v>297.657218064369</v>
      </c>
      <c r="D646" s="35" t="n">
        <v>841.9842259266852</v>
      </c>
      <c r="E646" s="37" t="n">
        <v>0.7562999994888562</v>
      </c>
      <c r="F646" s="37" t="n">
        <v>0.7769752526369507</v>
      </c>
      <c r="G646" s="37" t="n">
        <v>0.8614348549263264</v>
      </c>
      <c r="H646" s="37" t="n">
        <v>0.907078326766746</v>
      </c>
      <c r="I646" s="37" t="n">
        <v>0.5830586132867981</v>
      </c>
      <c r="J646" s="39" t="inlineStr">
        <is>
          <t>Corregible</t>
        </is>
      </c>
      <c r="K646" s="29" t="n">
        <v>5.55982897930899</v>
      </c>
      <c r="L646" s="35" t="n">
        <v>71.15270438506218</v>
      </c>
      <c r="M646" s="36" t="n">
        <v>2158.015774073315</v>
      </c>
      <c r="N646" s="29" t="n">
        <v>3.563012117831791</v>
      </c>
      <c r="O646" s="16" t="inlineStr">
        <is>
          <t>sí</t>
        </is>
      </c>
      <c r="P646" s="16" t="inlineStr">
        <is>
          <t>O2</t>
        </is>
      </c>
    </row>
    <row r="647">
      <c r="A647" s="16" t="inlineStr">
        <is>
          <t>KF-M09-R1-x_b+P_alta-0003</t>
        </is>
      </c>
      <c r="B647" s="35" t="n">
        <v>391.193979228884</v>
      </c>
      <c r="C647" s="35" t="n">
        <v>281.2290748016721</v>
      </c>
      <c r="D647" s="35" t="n">
        <v>631.2832934452117</v>
      </c>
      <c r="E647" s="37" t="n">
        <v>0.6788410701780067</v>
      </c>
      <c r="F647" s="37" t="n">
        <v>0.8070027524908305</v>
      </c>
      <c r="G647" s="37" t="n">
        <v>0.90362428171383</v>
      </c>
      <c r="H647" s="37" t="n">
        <v>0.7830424341452459</v>
      </c>
      <c r="I647" s="37" t="n">
        <v>0.9176245000297758</v>
      </c>
      <c r="J647" s="42" t="inlineStr">
        <is>
          <t>KALINA</t>
        </is>
      </c>
      <c r="K647" s="29" t="n">
        <v>2.26590364112084</v>
      </c>
      <c r="L647" s="35" t="n">
        <v>4.203642142012551</v>
      </c>
      <c r="M647" s="36" t="n">
        <v>2368.716706554788</v>
      </c>
      <c r="N647" s="29" t="n">
        <v>4.752224605260152</v>
      </c>
      <c r="O647" s="16" t="inlineStr">
        <is>
          <t>no</t>
        </is>
      </c>
      <c r="P647" s="16" t="n"/>
    </row>
    <row r="648">
      <c r="A648" s="16" t="inlineStr">
        <is>
          <t>KF-M09-R1-x_b+P_alta-0004</t>
        </is>
      </c>
      <c r="B648" s="35" t="n">
        <v>432.6853245083326</v>
      </c>
      <c r="C648" s="35" t="n">
        <v>280.0905889777963</v>
      </c>
      <c r="D648" s="35" t="n">
        <v>1386.584757242738</v>
      </c>
      <c r="E648" s="37" t="n">
        <v>0.4339825026199837</v>
      </c>
      <c r="F648" s="37" t="n">
        <v>0.7272892167307569</v>
      </c>
      <c r="G648" s="37" t="n">
        <v>0.4828279032026696</v>
      </c>
      <c r="H648" s="37" t="n">
        <v>0.7937355345012452</v>
      </c>
      <c r="I648" s="37" t="n">
        <v>0.745423166818816</v>
      </c>
      <c r="J648" s="42" t="inlineStr">
        <is>
          <t>KALINA</t>
        </is>
      </c>
      <c r="K648" s="29" t="n">
        <v>1.14403134098897</v>
      </c>
      <c r="L648" s="35" t="n">
        <v>4.492726401483361</v>
      </c>
      <c r="M648" s="36" t="n">
        <v>1613.415242757262</v>
      </c>
      <c r="N648" s="29" t="n">
        <v>2.163589340160916</v>
      </c>
      <c r="O648" s="16" t="inlineStr">
        <is>
          <t>no</t>
        </is>
      </c>
      <c r="P648" s="16" t="n"/>
    </row>
    <row r="649">
      <c r="A649" s="16" t="inlineStr">
        <is>
          <t>KF-M09-R1-x_b+P_alta-0005</t>
        </is>
      </c>
      <c r="B649" s="35" t="n">
        <v>396.0737903378121</v>
      </c>
      <c r="C649" s="35" t="n">
        <v>296.1335958263204</v>
      </c>
      <c r="D649" s="35" t="n">
        <v>1049.213514645438</v>
      </c>
      <c r="E649" s="37" t="n">
        <v>0.4109447043494325</v>
      </c>
      <c r="F649" s="37" t="n">
        <v>0.589364613772496</v>
      </c>
      <c r="G649" s="37" t="n">
        <v>0.8555312176841277</v>
      </c>
      <c r="H649" s="37" t="n">
        <v>0.7192843564504017</v>
      </c>
      <c r="I649" s="37" t="n">
        <v>0.7261030563887421</v>
      </c>
      <c r="J649" s="42" t="inlineStr">
        <is>
          <t>KALINA</t>
        </is>
      </c>
      <c r="K649" s="29" t="n">
        <v>0.70700667418499</v>
      </c>
      <c r="L649" s="35" t="n">
        <v>1.620370213967048</v>
      </c>
      <c r="M649" s="36" t="n">
        <v>1950.786485354562</v>
      </c>
      <c r="N649" s="29" t="n">
        <v>2.859284557551466</v>
      </c>
      <c r="O649" s="16" t="inlineStr">
        <is>
          <t>no</t>
        </is>
      </c>
      <c r="P649" s="16" t="n"/>
    </row>
    <row r="650">
      <c r="A650" s="16" t="inlineStr">
        <is>
          <t>KF-M09-R1-x_b+P_alta-0006</t>
        </is>
      </c>
      <c r="B650" s="35" t="n">
        <v>474.5776356479142</v>
      </c>
      <c r="C650" s="35" t="n">
        <v>279.6690204358145</v>
      </c>
      <c r="D650" s="35" t="n">
        <v>1549.237577932916</v>
      </c>
      <c r="E650" s="37" t="n">
        <v>0.8434080543480393</v>
      </c>
      <c r="F650" s="37" t="n">
        <v>0.8637331476328266</v>
      </c>
      <c r="G650" s="37" t="n">
        <v>0.8152055228874475</v>
      </c>
      <c r="H650" s="37" t="n">
        <v>0.4702480685513178</v>
      </c>
      <c r="I650" s="37" t="n">
        <v>0.893677918141353</v>
      </c>
      <c r="J650" s="42" t="inlineStr">
        <is>
          <t>KALINA</t>
        </is>
      </c>
      <c r="K650" s="29" t="n">
        <v>4.59219819608559</v>
      </c>
      <c r="L650" s="35" t="n">
        <v>81.13145054913605</v>
      </c>
      <c r="M650" s="36" t="n">
        <v>1450.762422067084</v>
      </c>
      <c r="N650" s="29" t="n">
        <v>1.936436375370378</v>
      </c>
      <c r="O650" s="16" t="inlineStr">
        <is>
          <t>sí</t>
        </is>
      </c>
      <c r="P650" s="16" t="n"/>
    </row>
    <row r="651">
      <c r="A651" s="16" t="inlineStr">
        <is>
          <t>KF-M09-R1-x_b+P_alta-0007</t>
        </is>
      </c>
      <c r="B651" s="35" t="n">
        <v>479.6430035578784</v>
      </c>
      <c r="C651" s="35" t="n">
        <v>302.7305352005258</v>
      </c>
      <c r="D651" s="35" t="n">
        <v>361.3791255021944</v>
      </c>
      <c r="E651" s="37" t="n">
        <v>0.8281244455495165</v>
      </c>
      <c r="F651" s="37" t="n">
        <v>0.4830795401056659</v>
      </c>
      <c r="G651" s="37" t="n">
        <v>0.5475401425445641</v>
      </c>
      <c r="H651" s="37" t="n">
        <v>0.6553952848278708</v>
      </c>
      <c r="I651" s="37" t="n">
        <v>0.7881796964676184</v>
      </c>
      <c r="J651" s="39" t="inlineStr">
        <is>
          <t>Corregible</t>
        </is>
      </c>
      <c r="K651" s="29" t="n">
        <v>11.14294633938281</v>
      </c>
      <c r="L651" s="35" t="n">
        <v>116.5155816544838</v>
      </c>
      <c r="M651" s="36" t="n">
        <v>2638.620874497806</v>
      </c>
      <c r="N651" s="29" t="n">
        <v>8.301530963724087</v>
      </c>
      <c r="O651" s="16" t="inlineStr">
        <is>
          <t>sí</t>
        </is>
      </c>
      <c r="P651" s="16" t="inlineStr">
        <is>
          <t>O2</t>
        </is>
      </c>
    </row>
    <row r="652">
      <c r="A652" s="16" t="inlineStr">
        <is>
          <t>KF-M09-R1-x_b+P_alta-0008</t>
        </is>
      </c>
      <c r="B652" s="35" t="n">
        <v>457.8241174087868</v>
      </c>
      <c r="C652" s="35" t="n">
        <v>293.2761436699817</v>
      </c>
      <c r="D652" s="35" t="n">
        <v>437.6129452403995</v>
      </c>
      <c r="E652" s="37" t="n">
        <v>0.8666432839078895</v>
      </c>
      <c r="F652" s="37" t="n">
        <v>0.5128674217954432</v>
      </c>
      <c r="G652" s="37" t="n">
        <v>0.5309957211082541</v>
      </c>
      <c r="H652" s="37" t="n">
        <v>0.8785644336617834</v>
      </c>
      <c r="I652" s="37" t="n">
        <v>0.4427065273953969</v>
      </c>
      <c r="J652" s="40" t="inlineStr">
        <is>
          <t>Inviable</t>
        </is>
      </c>
      <c r="K652" s="29" t="n">
        <v>-2.76820875707848</v>
      </c>
      <c r="L652" s="35" t="n">
        <v>-13.46061784981566</v>
      </c>
      <c r="M652" s="36" t="n">
        <v>2562.387054759601</v>
      </c>
      <c r="N652" s="29" t="n">
        <v>6.855373070264116</v>
      </c>
      <c r="O652" s="16" t="inlineStr">
        <is>
          <t>sí</t>
        </is>
      </c>
      <c r="P652" s="16" t="inlineStr">
        <is>
          <t>O2,O3</t>
        </is>
      </c>
    </row>
    <row r="653">
      <c r="A653" s="16" t="inlineStr">
        <is>
          <t>KF-M09-R1-x_b+P_alta-0009</t>
        </is>
      </c>
      <c r="B653" s="35" t="n">
        <v>508.4058325695981</v>
      </c>
      <c r="C653" s="35" t="n">
        <v>296.92540780514</v>
      </c>
      <c r="D653" s="35" t="n">
        <v>784.2264925460155</v>
      </c>
      <c r="E653" s="37" t="n">
        <v>0.6541540578922109</v>
      </c>
      <c r="F653" s="37" t="n">
        <v>0.9297090040752596</v>
      </c>
      <c r="G653" s="37" t="n">
        <v>0.7226022031773215</v>
      </c>
      <c r="H653" s="37" t="n">
        <v>0.4869323063156879</v>
      </c>
      <c r="I653" s="37" t="n">
        <v>0.4769924352116206</v>
      </c>
      <c r="J653" s="39" t="inlineStr">
        <is>
          <t>Corregible</t>
        </is>
      </c>
      <c r="K653" s="29" t="n">
        <v>3.33616966416998</v>
      </c>
      <c r="L653" s="35" t="n">
        <v>31.85893366276551</v>
      </c>
      <c r="M653" s="36" t="n">
        <v>2215.773507453985</v>
      </c>
      <c r="N653" s="29" t="n">
        <v>3.825425471486442</v>
      </c>
      <c r="O653" s="16" t="inlineStr">
        <is>
          <t>sí</t>
        </is>
      </c>
      <c r="P653" s="16" t="inlineStr">
        <is>
          <t>O2</t>
        </is>
      </c>
    </row>
    <row r="654">
      <c r="A654" s="16" t="inlineStr">
        <is>
          <t>KF-M09-R1-x_b+P_alta-0010</t>
        </is>
      </c>
      <c r="B654" s="35" t="n">
        <v>410.0080573216207</v>
      </c>
      <c r="C654" s="35" t="n">
        <v>301.1243965233699</v>
      </c>
      <c r="D654" s="35" t="n">
        <v>1852.30526542974</v>
      </c>
      <c r="E654" s="37" t="n">
        <v>0.8204303619042521</v>
      </c>
      <c r="F654" s="37" t="n">
        <v>0.9046113027538366</v>
      </c>
      <c r="G654" s="37" t="n">
        <v>0.4476880212184646</v>
      </c>
      <c r="H654" s="37" t="n">
        <v>0.9304746696451784</v>
      </c>
      <c r="I654" s="37" t="n">
        <v>0.5303603840883209</v>
      </c>
      <c r="J654" s="42" t="inlineStr">
        <is>
          <t>KALINA</t>
        </is>
      </c>
      <c r="K654" s="29" t="n">
        <v>2.94776844465024</v>
      </c>
      <c r="L654" s="35" t="n">
        <v>5.114021782148336</v>
      </c>
      <c r="M654" s="36" t="n">
        <v>1147.69473457026</v>
      </c>
      <c r="N654" s="29" t="n">
        <v>1.619603450894468</v>
      </c>
      <c r="O654" s="16" t="inlineStr">
        <is>
          <t>no</t>
        </is>
      </c>
      <c r="P654" s="16" t="n"/>
    </row>
    <row r="655">
      <c r="A655" s="16" t="inlineStr">
        <is>
          <t>KF-M09-R1-x_b+P_alta-0011</t>
        </is>
      </c>
      <c r="B655" s="35" t="n">
        <v>438.9327426483868</v>
      </c>
      <c r="C655" s="35" t="n">
        <v>292.3845179077722</v>
      </c>
      <c r="D655" s="35" t="n">
        <v>1014.680125357152</v>
      </c>
      <c r="E655" s="37" t="n">
        <v>0.5652129606067597</v>
      </c>
      <c r="F655" s="37" t="n">
        <v>0.4277993790827639</v>
      </c>
      <c r="G655" s="37" t="n">
        <v>0.6989405378603732</v>
      </c>
      <c r="H655" s="37" t="n">
        <v>0.5799045482500167</v>
      </c>
      <c r="I655" s="37" t="n">
        <v>0.7707218968953247</v>
      </c>
      <c r="J655" s="42" t="inlineStr">
        <is>
          <t>KALINA</t>
        </is>
      </c>
      <c r="K655" s="29" t="n">
        <v>4.158773219305701</v>
      </c>
      <c r="L655" s="35" t="n">
        <v>27.4672800604442</v>
      </c>
      <c r="M655" s="36" t="n">
        <v>1985.319874642848</v>
      </c>
      <c r="N655" s="29" t="n">
        <v>2.956596788514062</v>
      </c>
      <c r="O655" s="16" t="inlineStr">
        <is>
          <t>sí</t>
        </is>
      </c>
      <c r="P655" s="16" t="n"/>
    </row>
    <row r="656">
      <c r="A656" s="16" t="inlineStr">
        <is>
          <t>KF-M09-R1-x_b+P_alta-0012</t>
        </is>
      </c>
      <c r="B656" s="35" t="n">
        <v>464.7157546205303</v>
      </c>
      <c r="C656" s="35" t="n">
        <v>290.4853547744376</v>
      </c>
      <c r="D656" s="35" t="n">
        <v>342.0862449972955</v>
      </c>
      <c r="E656" s="37" t="n">
        <v>0.544042076316392</v>
      </c>
      <c r="F656" s="37" t="n">
        <v>0.7380387429292492</v>
      </c>
      <c r="G656" s="37" t="n">
        <v>0.7961985193103961</v>
      </c>
      <c r="H656" s="37" t="n">
        <v>0.8286488733229129</v>
      </c>
      <c r="I656" s="37" t="n">
        <v>0.6157831624391616</v>
      </c>
      <c r="J656" s="39" t="inlineStr">
        <is>
          <t>Corregible</t>
        </is>
      </c>
      <c r="K656" s="29" t="n">
        <v>2.97565099283642</v>
      </c>
      <c r="L656" s="35" t="n">
        <v>29.62654613974613</v>
      </c>
      <c r="M656" s="36" t="n">
        <v>2657.913755002704</v>
      </c>
      <c r="N656" s="29" t="n">
        <v>8.769718291431793</v>
      </c>
      <c r="O656" s="16" t="inlineStr">
        <is>
          <t>sí</t>
        </is>
      </c>
      <c r="P656" s="16" t="inlineStr">
        <is>
          <t>O2</t>
        </is>
      </c>
    </row>
    <row r="657">
      <c r="A657" s="16" t="inlineStr">
        <is>
          <t>KF-M09-R1-x_b+P_alta-0013</t>
        </is>
      </c>
      <c r="B657" s="35" t="n">
        <v>382.5996776303832</v>
      </c>
      <c r="C657" s="35" t="n">
        <v>291.596727812127</v>
      </c>
      <c r="D657" s="35" t="n">
        <v>1926.41261285158</v>
      </c>
      <c r="E657" s="37" t="n">
        <v>0.6106005902537209</v>
      </c>
      <c r="F657" s="37" t="n">
        <v>0.5553461166536279</v>
      </c>
      <c r="G657" s="37" t="n">
        <v>0.6154709192895539</v>
      </c>
      <c r="H657" s="37" t="n">
        <v>0.5020750743113098</v>
      </c>
      <c r="I657" s="37" t="n">
        <v>0.8329457962651297</v>
      </c>
      <c r="J657" s="32" t="inlineStr">
        <is>
          <t>No convergió</t>
        </is>
      </c>
      <c r="K657" s="29" t="inlineStr">
        <is>
          <t>—</t>
        </is>
      </c>
      <c r="L657" s="35" t="inlineStr">
        <is>
          <t>—</t>
        </is>
      </c>
      <c r="M657" s="36" t="n">
        <v>1073.58738714842</v>
      </c>
      <c r="N657" s="29" t="n">
        <v>1.557298773890001</v>
      </c>
      <c r="O657" s="16" t="inlineStr">
        <is>
          <t>no</t>
        </is>
      </c>
      <c r="P657" s="16" t="n"/>
    </row>
    <row r="658">
      <c r="A658" s="16" t="inlineStr">
        <is>
          <t>KF-M09-R1-x_b+P_alta-0014</t>
        </is>
      </c>
      <c r="B658" s="35" t="n">
        <v>441.8629870012242</v>
      </c>
      <c r="C658" s="35" t="n">
        <v>298.7420383698988</v>
      </c>
      <c r="D658" s="35" t="n">
        <v>1989.509694549336</v>
      </c>
      <c r="E658" s="37" t="n">
        <v>0.5955954174246026</v>
      </c>
      <c r="F658" s="37" t="n">
        <v>0.4416133354336731</v>
      </c>
      <c r="G658" s="37" t="n">
        <v>0.830896813017386</v>
      </c>
      <c r="H658" s="37" t="n">
        <v>0.4515248662572915</v>
      </c>
      <c r="I658" s="37" t="n">
        <v>0.6923111342762492</v>
      </c>
      <c r="J658" s="39" t="inlineStr">
        <is>
          <t>Corregible</t>
        </is>
      </c>
      <c r="K658" s="29" t="n">
        <v>1.97810191160109</v>
      </c>
      <c r="L658" s="35" t="n">
        <v>15.08139977351023</v>
      </c>
      <c r="M658" s="36" t="n">
        <v>1010.490305450664</v>
      </c>
      <c r="N658" s="29" t="n">
        <v>1.507909214124016</v>
      </c>
      <c r="O658" s="16" t="inlineStr">
        <is>
          <t>sí</t>
        </is>
      </c>
      <c r="P658" s="16" t="inlineStr">
        <is>
          <t>O2</t>
        </is>
      </c>
    </row>
    <row r="659">
      <c r="A659" s="16" t="inlineStr">
        <is>
          <t>KF-M09-R1-x_b+P_alta-0015</t>
        </is>
      </c>
      <c r="B659" s="35" t="n">
        <v>387.9026638521007</v>
      </c>
      <c r="C659" s="35" t="n">
        <v>285.0292910220718</v>
      </c>
      <c r="D659" s="35" t="n">
        <v>1752.468978263652</v>
      </c>
      <c r="E659" s="37" t="n">
        <v>0.4599709294584372</v>
      </c>
      <c r="F659" s="37" t="n">
        <v>0.7029344421776442</v>
      </c>
      <c r="G659" s="37" t="n">
        <v>0.4975519715716555</v>
      </c>
      <c r="H659" s="37" t="n">
        <v>0.7454961264281402</v>
      </c>
      <c r="I659" s="37" t="n">
        <v>0.6734956358640816</v>
      </c>
      <c r="J659" s="38" t="inlineStr">
        <is>
          <t>Falso convergido</t>
        </is>
      </c>
      <c r="K659" s="29" t="inlineStr">
        <is>
          <t>—</t>
        </is>
      </c>
      <c r="L659" s="35" t="inlineStr">
        <is>
          <t>—</t>
        </is>
      </c>
      <c r="M659" s="36" t="n">
        <v>1247.531021736348</v>
      </c>
      <c r="N659" s="29" t="n">
        <v>1.711870530782464</v>
      </c>
      <c r="O659" s="16" t="inlineStr">
        <is>
          <t>no</t>
        </is>
      </c>
      <c r="P659" s="16" t="inlineStr">
        <is>
          <t>N2,S6,O3,O5,C1,C3,C3</t>
        </is>
      </c>
    </row>
    <row r="660">
      <c r="A660" s="16" t="inlineStr">
        <is>
          <t>KF-M09-R1-x_b+P_alta-0016</t>
        </is>
      </c>
      <c r="B660" s="35" t="n">
        <v>518.0654368748512</v>
      </c>
      <c r="C660" s="35" t="n">
        <v>294.9597078683234</v>
      </c>
      <c r="D660" s="35" t="n">
        <v>1349.829733432559</v>
      </c>
      <c r="E660" s="37" t="n">
        <v>0.9156236415189246</v>
      </c>
      <c r="F660" s="37" t="n">
        <v>0.6601107331699121</v>
      </c>
      <c r="G660" s="37" t="n">
        <v>0.7644539611870946</v>
      </c>
      <c r="H660" s="37" t="n">
        <v>0.662314785638324</v>
      </c>
      <c r="I660" s="37" t="n">
        <v>0.4190727606499448</v>
      </c>
      <c r="J660" s="39" t="inlineStr">
        <is>
          <t>Corregible</t>
        </is>
      </c>
      <c r="K660" s="29" t="n">
        <v>2.42647494796822</v>
      </c>
      <c r="L660" s="35" t="n">
        <v>21.65489201999704</v>
      </c>
      <c r="M660" s="36" t="n">
        <v>1650.170266567441</v>
      </c>
      <c r="N660" s="29" t="n">
        <v>2.222502531760898</v>
      </c>
      <c r="O660" s="16" t="inlineStr">
        <is>
          <t>sí</t>
        </is>
      </c>
      <c r="P660" s="16" t="inlineStr">
        <is>
          <t>O2</t>
        </is>
      </c>
    </row>
    <row r="661">
      <c r="A661" s="16" t="inlineStr">
        <is>
          <t>KF-M09-R1-x_b+P_alta-0017</t>
        </is>
      </c>
      <c r="B661" s="35" t="n">
        <v>415.60651823296</v>
      </c>
      <c r="C661" s="35" t="n">
        <v>294.1113567187428</v>
      </c>
      <c r="D661" s="35" t="n">
        <v>545.161308938704</v>
      </c>
      <c r="E661" s="37" t="n">
        <v>0.7690983564538779</v>
      </c>
      <c r="F661" s="37" t="n">
        <v>0.8850992241866904</v>
      </c>
      <c r="G661" s="37" t="n">
        <v>0.7427261502415805</v>
      </c>
      <c r="H661" s="37" t="n">
        <v>0.4155390778269927</v>
      </c>
      <c r="I661" s="37" t="n">
        <v>0.8401102518914029</v>
      </c>
      <c r="J661" s="42" t="inlineStr">
        <is>
          <t>KALINA</t>
        </is>
      </c>
      <c r="K661" s="29" t="n">
        <v>6.53107001038999</v>
      </c>
      <c r="L661" s="35" t="n">
        <v>32.42970769268987</v>
      </c>
      <c r="M661" s="36" t="n">
        <v>2454.838691061296</v>
      </c>
      <c r="N661" s="29" t="n">
        <v>5.502958391967081</v>
      </c>
      <c r="O661" s="16" t="inlineStr">
        <is>
          <t>no</t>
        </is>
      </c>
      <c r="P661" s="16" t="n"/>
    </row>
    <row r="662">
      <c r="A662" s="16" t="inlineStr">
        <is>
          <t>KF-M09-R1-x_b+P_alta-0018</t>
        </is>
      </c>
      <c r="B662" s="35" t="n">
        <v>482.8290399532514</v>
      </c>
      <c r="C662" s="35" t="n">
        <v>300.5235971030337</v>
      </c>
      <c r="D662" s="35" t="n">
        <v>1821.930775620519</v>
      </c>
      <c r="E662" s="37" t="n">
        <v>0.6950157663970584</v>
      </c>
      <c r="F662" s="37" t="n">
        <v>0.9465149598945318</v>
      </c>
      <c r="G662" s="37" t="n">
        <v>0.6281995785544616</v>
      </c>
      <c r="H662" s="37" t="n">
        <v>0.7635726201139967</v>
      </c>
      <c r="I662" s="37" t="n">
        <v>0.9456917470249244</v>
      </c>
      <c r="J662" s="42" t="inlineStr">
        <is>
          <t>KALINA</t>
        </is>
      </c>
      <c r="K662" s="29" t="n">
        <v>2.8910498361254</v>
      </c>
      <c r="L662" s="35" t="n">
        <v>38.15323044013321</v>
      </c>
      <c r="M662" s="36" t="n">
        <v>1178.069224379481</v>
      </c>
      <c r="N662" s="29" t="n">
        <v>1.646604821732731</v>
      </c>
      <c r="O662" s="16" t="inlineStr">
        <is>
          <t>sí</t>
        </is>
      </c>
      <c r="P662" s="16" t="n"/>
    </row>
    <row r="663">
      <c r="A663" s="16" t="inlineStr">
        <is>
          <t>KF-M09-R1-x_b+P_alta-0019</t>
        </is>
      </c>
      <c r="B663" s="35" t="n">
        <v>463.1383657765828</v>
      </c>
      <c r="C663" s="35" t="n">
        <v>295.9162001086331</v>
      </c>
      <c r="D663" s="35" t="n">
        <v>732.3239737293018</v>
      </c>
      <c r="E663" s="37" t="n">
        <v>0.5160504559345073</v>
      </c>
      <c r="F663" s="37" t="n">
        <v>0.4164228952643153</v>
      </c>
      <c r="G663" s="37" t="n">
        <v>0.8830989301664949</v>
      </c>
      <c r="H663" s="37" t="n">
        <v>0.5174596231978867</v>
      </c>
      <c r="I663" s="37" t="n">
        <v>0.5924753570342687</v>
      </c>
      <c r="J663" s="40" t="inlineStr">
        <is>
          <t>Inviable</t>
        </is>
      </c>
      <c r="K663" s="29" t="n">
        <v>-5.23485352107936</v>
      </c>
      <c r="L663" s="35" t="n">
        <v>-49.83966033196218</v>
      </c>
      <c r="M663" s="36" t="n">
        <v>2267.676026270698</v>
      </c>
      <c r="N663" s="29" t="n">
        <v>4.096547576781815</v>
      </c>
      <c r="O663" s="16" t="inlineStr">
        <is>
          <t>sí</t>
        </is>
      </c>
      <c r="P663" s="16" t="inlineStr">
        <is>
          <t>O2,O3</t>
        </is>
      </c>
    </row>
    <row r="664">
      <c r="A664" s="16" t="inlineStr">
        <is>
          <t>KF-M09-R1-x_b+P_alta-0020</t>
        </is>
      </c>
      <c r="B664" s="35" t="n">
        <v>502.5527112335867</v>
      </c>
      <c r="C664" s="35" t="n">
        <v>287.6649712968514</v>
      </c>
      <c r="D664" s="35" t="n">
        <v>1526.818086185177</v>
      </c>
      <c r="E664" s="37" t="n">
        <v>0.9357656962713462</v>
      </c>
      <c r="F664" s="37" t="n">
        <v>0.6016743555104865</v>
      </c>
      <c r="G664" s="37" t="n">
        <v>0.6742343488074389</v>
      </c>
      <c r="H664" s="37" t="n">
        <v>0.546462818455115</v>
      </c>
      <c r="I664" s="37" t="n">
        <v>0.505326703596221</v>
      </c>
      <c r="J664" s="39" t="inlineStr">
        <is>
          <t>Corregible</t>
        </is>
      </c>
      <c r="K664" s="29" t="n">
        <v>3.23632130101429</v>
      </c>
      <c r="L664" s="35" t="n">
        <v>31.83779533938897</v>
      </c>
      <c r="M664" s="36" t="n">
        <v>1473.181913814823</v>
      </c>
      <c r="N664" s="29" t="n">
        <v>1.964870620242411</v>
      </c>
      <c r="O664" s="16" t="inlineStr">
        <is>
          <t>sí</t>
        </is>
      </c>
      <c r="P664" s="16" t="inlineStr">
        <is>
          <t>O2</t>
        </is>
      </c>
    </row>
    <row r="665">
      <c r="A665" s="16" t="inlineStr">
        <is>
          <t>KF-M09-R1-x_b+P_alta-0021</t>
        </is>
      </c>
      <c r="B665" s="35" t="n">
        <v>423.3797511890549</v>
      </c>
      <c r="C665" s="35" t="n">
        <v>283.3471904219768</v>
      </c>
      <c r="D665" s="35" t="n">
        <v>1711.453444732697</v>
      </c>
      <c r="E665" s="37" t="n">
        <v>0.4400643077838416</v>
      </c>
      <c r="F665" s="37" t="n">
        <v>0.7984932544379555</v>
      </c>
      <c r="G665" s="37" t="n">
        <v>0.5927407561667029</v>
      </c>
      <c r="H665" s="37" t="n">
        <v>0.874966443649806</v>
      </c>
      <c r="I665" s="37" t="n">
        <v>0.9044490150143816</v>
      </c>
      <c r="J665" s="42" t="inlineStr">
        <is>
          <t>KALINA</t>
        </is>
      </c>
      <c r="K665" s="29" t="n">
        <v>1.50746985972808</v>
      </c>
      <c r="L665" s="35" t="n">
        <v>5.83999756659883</v>
      </c>
      <c r="M665" s="36" t="n">
        <v>1288.546555267303</v>
      </c>
      <c r="N665" s="29" t="n">
        <v>1.752896059915059</v>
      </c>
      <c r="O665" s="16" t="inlineStr">
        <is>
          <t>no</t>
        </is>
      </c>
      <c r="P665" s="16" t="n"/>
    </row>
    <row r="666">
      <c r="A666" s="16" t="inlineStr">
        <is>
          <t>KF-M09-R1-x_b+P_alta-0022</t>
        </is>
      </c>
      <c r="B666" s="35" t="n">
        <v>430.0202217990279</v>
      </c>
      <c r="C666" s="35" t="n">
        <v>278.3930271119776</v>
      </c>
      <c r="D666" s="35" t="n">
        <v>688.3758130676698</v>
      </c>
      <c r="E666" s="37" t="n">
        <v>0.6632093253091541</v>
      </c>
      <c r="F666" s="37" t="n">
        <v>0.7536131560804632</v>
      </c>
      <c r="G666" s="37" t="n">
        <v>0.9149393748074686</v>
      </c>
      <c r="H666" s="37" t="n">
        <v>0.6334027242700497</v>
      </c>
      <c r="I666" s="37" t="n">
        <v>0.6973376920107274</v>
      </c>
      <c r="J666" s="39" t="inlineStr">
        <is>
          <t>Corregible</t>
        </is>
      </c>
      <c r="K666" s="29" t="n">
        <v>7.465493807150859</v>
      </c>
      <c r="L666" s="35" t="n">
        <v>51.45249963659433</v>
      </c>
      <c r="M666" s="36" t="n">
        <v>2311.62418693233</v>
      </c>
      <c r="N666" s="29" t="n">
        <v>4.358084556502408</v>
      </c>
      <c r="O666" s="16" t="inlineStr">
        <is>
          <t>sí</t>
        </is>
      </c>
      <c r="P666" s="16" t="inlineStr">
        <is>
          <t>O2</t>
        </is>
      </c>
    </row>
    <row r="667">
      <c r="A667" s="16" t="inlineStr">
        <is>
          <t>KF-M09-R1-x_b+P_alta-0023</t>
        </is>
      </c>
      <c r="B667" s="35" t="n">
        <v>491.1154279164176</v>
      </c>
      <c r="C667" s="35" t="n">
        <v>281.725609579042</v>
      </c>
      <c r="D667" s="35" t="n">
        <v>1174.035676282562</v>
      </c>
      <c r="E667" s="37" t="n">
        <v>0.7243114892742346</v>
      </c>
      <c r="F667" s="37" t="n">
        <v>0.8278929863717575</v>
      </c>
      <c r="G667" s="37" t="n">
        <v>0.4034558824331704</v>
      </c>
      <c r="H667" s="37" t="n">
        <v>0.5584178727554014</v>
      </c>
      <c r="I667" s="37" t="n">
        <v>0.5123130761186926</v>
      </c>
      <c r="J667" s="39" t="inlineStr">
        <is>
          <t>Corregible</t>
        </is>
      </c>
      <c r="K667" s="29" t="n">
        <v>4.20255585755759</v>
      </c>
      <c r="L667" s="35" t="n">
        <v>29.4606551217766</v>
      </c>
      <c r="M667" s="36" t="n">
        <v>1825.964323717438</v>
      </c>
      <c r="N667" s="29" t="n">
        <v>2.555288617377562</v>
      </c>
      <c r="O667" s="16" t="inlineStr">
        <is>
          <t>sí</t>
        </is>
      </c>
      <c r="P667" s="16" t="inlineStr">
        <is>
          <t>O2</t>
        </is>
      </c>
    </row>
    <row r="668">
      <c r="A668" s="16" t="inlineStr">
        <is>
          <t>KF-M09-R1-x_b+P_alta-0024</t>
        </is>
      </c>
      <c r="B668" s="35" t="n">
        <v>452.5178904670354</v>
      </c>
      <c r="C668" s="35" t="n">
        <v>289.7264255754332</v>
      </c>
      <c r="D668" s="35" t="n">
        <v>1481.814736505255</v>
      </c>
      <c r="E668" s="37" t="n">
        <v>0.5013002777071752</v>
      </c>
      <c r="F668" s="37" t="n">
        <v>0.5382545835836838</v>
      </c>
      <c r="G668" s="37" t="n">
        <v>0.6922311116248587</v>
      </c>
      <c r="H668" s="37" t="n">
        <v>0.6125722646323254</v>
      </c>
      <c r="I668" s="37" t="n">
        <v>0.813334559278152</v>
      </c>
      <c r="J668" s="42" t="inlineStr">
        <is>
          <t>KALINA</t>
        </is>
      </c>
      <c r="K668" s="29" t="n">
        <v>2.65191072136324</v>
      </c>
      <c r="L668" s="35" t="n">
        <v>23.12946791924203</v>
      </c>
      <c r="M668" s="36" t="n">
        <v>1518.185263494745</v>
      </c>
      <c r="N668" s="29" t="n">
        <v>2.024544584483798</v>
      </c>
      <c r="O668" s="16" t="inlineStr">
        <is>
          <t>sí</t>
        </is>
      </c>
      <c r="P668" s="16" t="n"/>
    </row>
    <row r="669">
      <c r="A669" s="16" t="inlineStr">
        <is>
          <t>KF-M09-R1-x_b+P_alta-0025</t>
        </is>
      </c>
      <c r="B669" s="35" t="n">
        <v>447.3496849470444</v>
      </c>
      <c r="C669" s="35" t="n">
        <v>282.6789081359222</v>
      </c>
      <c r="D669" s="35" t="n">
        <v>870.1208576505218</v>
      </c>
      <c r="E669" s="37" t="n">
        <v>0.6269074363418907</v>
      </c>
      <c r="F669" s="37" t="n">
        <v>0.5817762461734552</v>
      </c>
      <c r="G669" s="37" t="n">
        <v>0.9455628469458188</v>
      </c>
      <c r="H669" s="37" t="n">
        <v>0.6936999495533787</v>
      </c>
      <c r="I669" s="37" t="n">
        <v>0.6492823674795408</v>
      </c>
      <c r="J669" s="39" t="inlineStr">
        <is>
          <t>Corregible</t>
        </is>
      </c>
      <c r="K669" s="29" t="n">
        <v>4.86265640278726</v>
      </c>
      <c r="L669" s="35" t="n">
        <v>43.55746565778736</v>
      </c>
      <c r="M669" s="36" t="n">
        <v>2129.879142349478</v>
      </c>
      <c r="N669" s="29" t="n">
        <v>3.447796905019061</v>
      </c>
      <c r="O669" s="16" t="inlineStr">
        <is>
          <t>sí</t>
        </is>
      </c>
      <c r="P669" s="16" t="inlineStr">
        <is>
          <t>O2</t>
        </is>
      </c>
    </row>
    <row r="670">
      <c r="A670" s="16" t="inlineStr">
        <is>
          <t>KF-M09-R1-x_b+P_alta-0026</t>
        </is>
      </c>
      <c r="B670" s="35" t="n">
        <v>495.0420625336922</v>
      </c>
      <c r="C670" s="35" t="n">
        <v>287.1283510864522</v>
      </c>
      <c r="D670" s="35" t="n">
        <v>1098.71923086451</v>
      </c>
      <c r="E670" s="37" t="n">
        <v>0.5640774081789247</v>
      </c>
      <c r="F670" s="37" t="n">
        <v>0.8553434033258509</v>
      </c>
      <c r="G670" s="37" t="n">
        <v>0.4313905418802498</v>
      </c>
      <c r="H670" s="37" t="n">
        <v>0.4322335697172625</v>
      </c>
      <c r="I670" s="37" t="n">
        <v>0.7565065336822761</v>
      </c>
      <c r="J670" s="39" t="inlineStr">
        <is>
          <t>Corregible</t>
        </is>
      </c>
      <c r="K670" s="29" t="n">
        <v>4.49982045856668</v>
      </c>
      <c r="L670" s="35" t="n">
        <v>40.29147139766607</v>
      </c>
      <c r="M670" s="36" t="n">
        <v>1901.28076913549</v>
      </c>
      <c r="N670" s="29" t="n">
        <v>2.730451889550979</v>
      </c>
      <c r="O670" s="16" t="inlineStr">
        <is>
          <t>sí</t>
        </is>
      </c>
      <c r="P670" s="16" t="inlineStr">
        <is>
          <t>O2</t>
        </is>
      </c>
    </row>
    <row r="671">
      <c r="A671" s="16" t="inlineStr">
        <is>
          <t>KF-M09-R1-x_b+P_alta-0027</t>
        </is>
      </c>
      <c r="B671" s="35" t="n">
        <v>419.7386233112704</v>
      </c>
      <c r="C671" s="35" t="n">
        <v>288.6232866212662</v>
      </c>
      <c r="D671" s="35" t="n">
        <v>1253.176525495383</v>
      </c>
      <c r="E671" s="37" t="n">
        <v>0.901072125193094</v>
      </c>
      <c r="F671" s="37" t="n">
        <v>0.4945795869639091</v>
      </c>
      <c r="G671" s="37" t="n">
        <v>0.5245425616076799</v>
      </c>
      <c r="H671" s="37" t="n">
        <v>0.5865344857437325</v>
      </c>
      <c r="I671" s="37" t="n">
        <v>0.876124453796705</v>
      </c>
      <c r="J671" s="42" t="inlineStr">
        <is>
          <t>KALINA</t>
        </is>
      </c>
      <c r="K671" s="29" t="n">
        <v>2.92597726008629</v>
      </c>
      <c r="L671" s="35" t="n">
        <v>10.76401586455944</v>
      </c>
      <c r="M671" s="36" t="n">
        <v>1746.823474504617</v>
      </c>
      <c r="N671" s="29" t="n">
        <v>2.393916530485674</v>
      </c>
      <c r="O671" s="16" t="inlineStr">
        <is>
          <t>no</t>
        </is>
      </c>
      <c r="P671" s="16" t="n"/>
    </row>
    <row r="672">
      <c r="A672" s="16" t="inlineStr">
        <is>
          <t>KF-M09-R1-x_b+P_alta-0028</t>
        </is>
      </c>
      <c r="B672" s="35" t="n">
        <v>405.4716683993038</v>
      </c>
      <c r="C672" s="35" t="n">
        <v>299.709434503279</v>
      </c>
      <c r="D672" s="35" t="n">
        <v>978.6444086057649</v>
      </c>
      <c r="E672" s="37" t="n">
        <v>0.7461499644581484</v>
      </c>
      <c r="F672" s="37" t="n">
        <v>0.4704127414173016</v>
      </c>
      <c r="G672" s="37" t="n">
        <v>0.5831820174121631</v>
      </c>
      <c r="H672" s="37" t="n">
        <v>0.8128669887748641</v>
      </c>
      <c r="I672" s="37" t="n">
        <v>0.4141877563234686</v>
      </c>
      <c r="J672" s="39" t="inlineStr">
        <is>
          <t>Corregible</t>
        </is>
      </c>
      <c r="K672" s="29" t="n">
        <v>2.60043145036045</v>
      </c>
      <c r="L672" s="35" t="n">
        <v>4.856917393070489</v>
      </c>
      <c r="M672" s="36" t="n">
        <v>2021.355591394235</v>
      </c>
      <c r="N672" s="29" t="n">
        <v>3.065464814001215</v>
      </c>
      <c r="O672" s="16" t="inlineStr">
        <is>
          <t>no</t>
        </is>
      </c>
      <c r="P672" s="16" t="inlineStr">
        <is>
          <t>O2</t>
        </is>
      </c>
    </row>
    <row r="673">
      <c r="A673" s="16" t="inlineStr">
        <is>
          <t>KF-M09-R1-x_b+P_alta-0029</t>
        </is>
      </c>
      <c r="B673" s="35" t="n">
        <v>469.3527519209616</v>
      </c>
      <c r="C673" s="35" t="n">
        <v>302.1197236308829</v>
      </c>
      <c r="D673" s="35" t="n">
        <v>1316.324405318978</v>
      </c>
      <c r="E673" s="37" t="n">
        <v>0.8835824940800752</v>
      </c>
      <c r="F673" s="37" t="n">
        <v>0.6787281895693121</v>
      </c>
      <c r="G673" s="37" t="n">
        <v>0.6533865726908485</v>
      </c>
      <c r="H673" s="37" t="n">
        <v>0.9339985233369716</v>
      </c>
      <c r="I673" s="37" t="n">
        <v>0.4636821840421878</v>
      </c>
      <c r="J673" s="39" t="inlineStr">
        <is>
          <t>Corregible</t>
        </is>
      </c>
      <c r="K673" s="29" t="n">
        <v>3.32861132617061</v>
      </c>
      <c r="L673" s="35" t="n">
        <v>26.00843655305093</v>
      </c>
      <c r="M673" s="36" t="n">
        <v>1683.675594681022</v>
      </c>
      <c r="N673" s="29" t="n">
        <v>2.279073447151521</v>
      </c>
      <c r="O673" s="16" t="inlineStr">
        <is>
          <t>sí</t>
        </is>
      </c>
      <c r="P673" s="16" t="inlineStr">
        <is>
          <t>O2</t>
        </is>
      </c>
    </row>
    <row r="675">
      <c r="A675" s="33" t="inlineStr">
        <is>
          <t>Parte 4.3 x_b+P_alta+P_baja · ronda 2 · 30 puntos</t>
        </is>
      </c>
      <c r="B675" s="31" t="n"/>
      <c r="C675" s="31" t="n"/>
      <c r="D675" s="31" t="n"/>
      <c r="E675" s="31" t="n"/>
      <c r="F675" s="31" t="n"/>
      <c r="G675" s="31" t="n"/>
      <c r="H675" s="31" t="n"/>
      <c r="I675" s="31" t="n"/>
      <c r="J675" s="31" t="n"/>
      <c r="K675" s="31" t="n"/>
    </row>
    <row r="677">
      <c r="A677" s="34" t="inlineStr">
        <is>
          <t>Barrido de la parte 4.3 x_b+P_alta+P_baja · 30 puntos</t>
        </is>
      </c>
    </row>
    <row r="678">
      <c r="A678" s="25" t="inlineStr">
        <is>
          <t>Fijos en este barrido: P_alta = 3000, P_baja = 400, x_b = 0.5.</t>
        </is>
      </c>
    </row>
    <row r="679">
      <c r="A679" s="22" t="inlineStr">
        <is>
          <t>id_punto</t>
        </is>
      </c>
      <c r="B679" s="22" t="inlineStr">
        <is>
          <t>T_fuente [K]</t>
        </is>
      </c>
      <c r="C679" s="22" t="inlineStr">
        <is>
          <t>T_sumidero [K]</t>
        </is>
      </c>
      <c r="D679" s="22" t="inlineStr">
        <is>
          <t>η_t [–]</t>
        </is>
      </c>
      <c r="E679" s="22" t="inlineStr">
        <is>
          <t>η_p [–]</t>
        </is>
      </c>
      <c r="F679" s="22" t="inlineStr">
        <is>
          <t>ε_HRVG [–]</t>
        </is>
      </c>
      <c r="G679" s="22" t="inlineStr">
        <is>
          <t>ε_reg [–]</t>
        </is>
      </c>
      <c r="H679" s="22" t="inlineStr">
        <is>
          <t>ε_cond [–]</t>
        </is>
      </c>
      <c r="I679" s="22" t="inlineStr">
        <is>
          <t>Clase</t>
        </is>
      </c>
      <c r="J679" s="22" t="inlineStr">
        <is>
          <t>η [%]</t>
        </is>
      </c>
      <c r="K679" s="22" t="inlineStr">
        <is>
          <t>W_net [kW] (m_b = 1 kg/s)</t>
        </is>
      </c>
      <c r="L679" s="22" t="inlineStr">
        <is>
          <t>ΔP [kPa]</t>
        </is>
      </c>
      <c r="M679" s="22" t="inlineStr">
        <is>
          <t>r_P [–]</t>
        </is>
      </c>
      <c r="N679" s="22" t="inlineStr">
        <is>
          <t>Fuera de rango</t>
        </is>
      </c>
      <c r="O679" s="22" t="inlineStr">
        <is>
          <t>Criterios que falla</t>
        </is>
      </c>
    </row>
    <row r="680">
      <c r="A680" s="16" t="inlineStr">
        <is>
          <t>KF-M09-R2-x_b+P_alta+P_baja-0000</t>
        </is>
      </c>
      <c r="B680" s="35" t="n">
        <v>514.4207274005462</v>
      </c>
      <c r="C680" s="35" t="n">
        <v>303.1958530374001</v>
      </c>
      <c r="D680" s="37" t="n">
        <v>0.6705847679198984</v>
      </c>
      <c r="E680" s="37" t="n">
        <v>0.4111203173103241</v>
      </c>
      <c r="F680" s="37" t="n">
        <v>0.4111959148797098</v>
      </c>
      <c r="G680" s="37" t="n">
        <v>0.764276448388034</v>
      </c>
      <c r="H680" s="37" t="n">
        <v>0.5861276645508579</v>
      </c>
      <c r="I680" s="40" t="inlineStr">
        <is>
          <t>Inviable</t>
        </is>
      </c>
      <c r="J680" s="29" t="n">
        <v>-5.52661830955455</v>
      </c>
      <c r="K680" s="35" t="n">
        <v>-38.25757532452727</v>
      </c>
      <c r="L680" s="36" t="n">
        <v>2600</v>
      </c>
      <c r="M680" s="29" t="n">
        <v>7.5</v>
      </c>
      <c r="N680" s="16" t="inlineStr">
        <is>
          <t>sí</t>
        </is>
      </c>
      <c r="O680" s="16" t="inlineStr">
        <is>
          <t>O2,O3</t>
        </is>
      </c>
    </row>
    <row r="681">
      <c r="A681" s="16" t="inlineStr">
        <is>
          <t>KF-M09-R2-x_b+P_alta+P_baja-0001</t>
        </is>
      </c>
      <c r="B681" s="35" t="n">
        <v>439.5021957857394</v>
      </c>
      <c r="C681" s="35" t="n">
        <v>289.0264207612865</v>
      </c>
      <c r="D681" s="37" t="n">
        <v>0.8683475209129858</v>
      </c>
      <c r="E681" s="37" t="n">
        <v>0.7458102185898828</v>
      </c>
      <c r="F681" s="37" t="n">
        <v>0.9294383475369968</v>
      </c>
      <c r="G681" s="37" t="n">
        <v>0.6343460275676901</v>
      </c>
      <c r="H681" s="37" t="n">
        <v>0.8434596391904572</v>
      </c>
      <c r="I681" s="39" t="inlineStr">
        <is>
          <t>Corregible</t>
        </is>
      </c>
      <c r="J681" s="29" t="n">
        <v>13.05909567676146</v>
      </c>
      <c r="K681" s="35" t="n">
        <v>119.7065396742806</v>
      </c>
      <c r="L681" s="36" t="n">
        <v>2600</v>
      </c>
      <c r="M681" s="29" t="n">
        <v>7.5</v>
      </c>
      <c r="N681" s="16" t="inlineStr">
        <is>
          <t>sí</t>
        </is>
      </c>
      <c r="O681" s="16" t="inlineStr">
        <is>
          <t>O2</t>
        </is>
      </c>
    </row>
    <row r="682">
      <c r="A682" s="16" t="inlineStr">
        <is>
          <t>KF-M09-R2-x_b+P_alta+P_baja-0002</t>
        </is>
      </c>
      <c r="B682" s="35" t="n">
        <v>413.2214918143923</v>
      </c>
      <c r="C682" s="35" t="n">
        <v>284.1103697628732</v>
      </c>
      <c r="D682" s="37" t="n">
        <v>0.6205666057382921</v>
      </c>
      <c r="E682" s="37" t="n">
        <v>0.9421701664446096</v>
      </c>
      <c r="F682" s="37" t="n">
        <v>0.5452794703701159</v>
      </c>
      <c r="G682" s="37" t="n">
        <v>0.7167857828709329</v>
      </c>
      <c r="H682" s="37" t="n">
        <v>0.4130890454858085</v>
      </c>
      <c r="I682" s="39" t="inlineStr">
        <is>
          <t>Corregible</t>
        </is>
      </c>
      <c r="J682" s="29" t="n">
        <v>2.32711051481366</v>
      </c>
      <c r="K682" s="35" t="n">
        <v>5.592995072554992</v>
      </c>
      <c r="L682" s="36" t="n">
        <v>2600</v>
      </c>
      <c r="M682" s="29" t="n">
        <v>7.5</v>
      </c>
      <c r="N682" s="16" t="inlineStr">
        <is>
          <t>no</t>
        </is>
      </c>
      <c r="O682" s="16" t="inlineStr">
        <is>
          <t>O2</t>
        </is>
      </c>
    </row>
    <row r="683">
      <c r="A683" s="16" t="inlineStr">
        <is>
          <t>KF-M09-R2-x_b+P_alta+P_baja-0003</t>
        </is>
      </c>
      <c r="B683" s="35" t="n">
        <v>407.4113029721137</v>
      </c>
      <c r="C683" s="35" t="n">
        <v>300.2543484914048</v>
      </c>
      <c r="D683" s="37" t="n">
        <v>0.5850733567249571</v>
      </c>
      <c r="E683" s="37" t="n">
        <v>0.5301784743366316</v>
      </c>
      <c r="F683" s="37" t="n">
        <v>0.9018851780042358</v>
      </c>
      <c r="G683" s="37" t="n">
        <v>0.553945335208483</v>
      </c>
      <c r="H683" s="37" t="n">
        <v>0.4761428549832774</v>
      </c>
      <c r="I683" s="40" t="inlineStr">
        <is>
          <t>Inviable</t>
        </is>
      </c>
      <c r="J683" s="29" t="n">
        <v>-9.190762447162941</v>
      </c>
      <c r="K683" s="35" t="n">
        <v>-25.7777857768204</v>
      </c>
      <c r="L683" s="36" t="n">
        <v>2600</v>
      </c>
      <c r="M683" s="29" t="n">
        <v>7.5</v>
      </c>
      <c r="N683" s="16" t="inlineStr">
        <is>
          <t>no</t>
        </is>
      </c>
      <c r="O683" s="16" t="inlineStr">
        <is>
          <t>O2,O3</t>
        </is>
      </c>
    </row>
    <row r="684">
      <c r="A684" s="16" t="inlineStr">
        <is>
          <t>KF-M09-R2-x_b+P_alta+P_baja-0004</t>
        </is>
      </c>
      <c r="B684" s="35" t="n">
        <v>476.6756493442306</v>
      </c>
      <c r="C684" s="35" t="n">
        <v>283.4331579112712</v>
      </c>
      <c r="D684" s="37" t="n">
        <v>0.9499587631427246</v>
      </c>
      <c r="E684" s="37" t="n">
        <v>0.7075022041867973</v>
      </c>
      <c r="F684" s="37" t="n">
        <v>0.5935947013753337</v>
      </c>
      <c r="G684" s="37" t="n">
        <v>0.8422626596217037</v>
      </c>
      <c r="H684" s="37" t="n">
        <v>0.5446673571143421</v>
      </c>
      <c r="I684" s="39" t="inlineStr">
        <is>
          <t>Corregible</t>
        </is>
      </c>
      <c r="J684" s="29" t="n">
        <v>11.81526878035717</v>
      </c>
      <c r="K684" s="35" t="n">
        <v>109.1604289896814</v>
      </c>
      <c r="L684" s="36" t="n">
        <v>2600</v>
      </c>
      <c r="M684" s="29" t="n">
        <v>7.5</v>
      </c>
      <c r="N684" s="16" t="inlineStr">
        <is>
          <t>sí</t>
        </is>
      </c>
      <c r="O684" s="16" t="inlineStr">
        <is>
          <t>O1,O2</t>
        </is>
      </c>
    </row>
    <row r="685">
      <c r="A685" s="16" t="inlineStr">
        <is>
          <t>KF-M09-R2-x_b+P_alta+P_baja-0005</t>
        </is>
      </c>
      <c r="B685" s="35" t="n">
        <v>505.9168991405094</v>
      </c>
      <c r="C685" s="35" t="n">
        <v>293.0979057169047</v>
      </c>
      <c r="D685" s="37" t="n">
        <v>0.5729956432497766</v>
      </c>
      <c r="E685" s="37" t="n">
        <v>0.9175555761457008</v>
      </c>
      <c r="F685" s="37" t="n">
        <v>0.6260058224006484</v>
      </c>
      <c r="G685" s="37" t="n">
        <v>0.8229440439670079</v>
      </c>
      <c r="H685" s="37" t="n">
        <v>0.8045653769477008</v>
      </c>
      <c r="I685" s="39" t="inlineStr">
        <is>
          <t>Corregible</t>
        </is>
      </c>
      <c r="J685" s="29" t="n">
        <v>8.81459750843587</v>
      </c>
      <c r="K685" s="35" t="n">
        <v>112.0594542252009</v>
      </c>
      <c r="L685" s="36" t="n">
        <v>2600</v>
      </c>
      <c r="M685" s="29" t="n">
        <v>7.5</v>
      </c>
      <c r="N685" s="16" t="inlineStr">
        <is>
          <t>sí</t>
        </is>
      </c>
      <c r="O685" s="16" t="inlineStr">
        <is>
          <t>O2</t>
        </is>
      </c>
    </row>
    <row r="686">
      <c r="A686" s="16" t="inlineStr">
        <is>
          <t>KF-M09-R2-x_b+P_alta+P_baja-0006</t>
        </is>
      </c>
      <c r="B686" s="35" t="n">
        <v>426.2626591326695</v>
      </c>
      <c r="C686" s="35" t="n">
        <v>296.1855764361585</v>
      </c>
      <c r="D686" s="37" t="n">
        <v>0.8013003084063899</v>
      </c>
      <c r="E686" s="37" t="n">
        <v>0.7860399734322956</v>
      </c>
      <c r="F686" s="37" t="n">
        <v>0.4226531192892354</v>
      </c>
      <c r="G686" s="37" t="n">
        <v>0.7417051322407023</v>
      </c>
      <c r="H686" s="37" t="n">
        <v>0.9480630701458144</v>
      </c>
      <c r="I686" s="42" t="inlineStr">
        <is>
          <t>KALINA</t>
        </is>
      </c>
      <c r="J686" s="29" t="n">
        <v>8.32977845920677</v>
      </c>
      <c r="K686" s="35" t="n">
        <v>26.09002426571389</v>
      </c>
      <c r="L686" s="36" t="n">
        <v>2600</v>
      </c>
      <c r="M686" s="29" t="n">
        <v>7.5</v>
      </c>
      <c r="N686" s="16" t="inlineStr">
        <is>
          <t>no</t>
        </is>
      </c>
      <c r="O686" s="16" t="n"/>
    </row>
    <row r="687">
      <c r="A687" s="16" t="inlineStr">
        <is>
          <t>KF-M09-R2-x_b+P_alta+P_baja-0007</t>
        </is>
      </c>
      <c r="B687" s="35" t="n">
        <v>501.1473437422768</v>
      </c>
      <c r="C687" s="35" t="n">
        <v>278.2194930455406</v>
      </c>
      <c r="D687" s="37" t="n">
        <v>0.646075147634131</v>
      </c>
      <c r="E687" s="37" t="n">
        <v>0.8942818561994099</v>
      </c>
      <c r="F687" s="37" t="n">
        <v>0.800947330702144</v>
      </c>
      <c r="G687" s="37" t="n">
        <v>0.5293520621552836</v>
      </c>
      <c r="H687" s="37" t="n">
        <v>0.8387118882334872</v>
      </c>
      <c r="I687" s="39" t="inlineStr">
        <is>
          <t>Corregible</t>
        </is>
      </c>
      <c r="J687" s="29" t="n">
        <v>10.07835094604618</v>
      </c>
      <c r="K687" s="35" t="n">
        <v>173.7849061314514</v>
      </c>
      <c r="L687" s="36" t="n">
        <v>2600</v>
      </c>
      <c r="M687" s="29" t="n">
        <v>7.5</v>
      </c>
      <c r="N687" s="16" t="inlineStr">
        <is>
          <t>sí</t>
        </is>
      </c>
      <c r="O687" s="16" t="inlineStr">
        <is>
          <t>O2</t>
        </is>
      </c>
    </row>
    <row r="688">
      <c r="A688" s="16" t="inlineStr">
        <is>
          <t>KF-M09-R2-x_b+P_alta+P_baja-0008</t>
        </is>
      </c>
      <c r="B688" s="35" t="n">
        <v>468.935618700601</v>
      </c>
      <c r="C688" s="35" t="n">
        <v>301.7785938754341</v>
      </c>
      <c r="D688" s="37" t="n">
        <v>0.5480973314259576</v>
      </c>
      <c r="E688" s="37" t="n">
        <v>0.7594495743921257</v>
      </c>
      <c r="F688" s="37" t="n">
        <v>0.8664007847772897</v>
      </c>
      <c r="G688" s="37" t="n">
        <v>0.7774555803867036</v>
      </c>
      <c r="H688" s="37" t="n">
        <v>0.924420598685388</v>
      </c>
      <c r="I688" s="39" t="inlineStr">
        <is>
          <t>Corregible</t>
        </is>
      </c>
      <c r="J688" s="29" t="n">
        <v>8.5220377295433</v>
      </c>
      <c r="K688" s="35" t="n">
        <v>142.8929970305181</v>
      </c>
      <c r="L688" s="36" t="n">
        <v>2600</v>
      </c>
      <c r="M688" s="29" t="n">
        <v>7.5</v>
      </c>
      <c r="N688" s="16" t="inlineStr">
        <is>
          <t>sí</t>
        </is>
      </c>
      <c r="O688" s="16" t="inlineStr">
        <is>
          <t>O2</t>
        </is>
      </c>
    </row>
    <row r="689">
      <c r="A689" s="16" t="inlineStr">
        <is>
          <t>KF-M09-R2-x_b+P_alta+P_baja-0009</t>
        </is>
      </c>
      <c r="B689" s="35" t="n">
        <v>385.1832050605025</v>
      </c>
      <c r="C689" s="35" t="n">
        <v>290.6859407106934</v>
      </c>
      <c r="D689" s="37" t="n">
        <v>0.4661219467634975</v>
      </c>
      <c r="E689" s="37" t="n">
        <v>0.6319490196561079</v>
      </c>
      <c r="F689" s="37" t="n">
        <v>0.6403865590701072</v>
      </c>
      <c r="G689" s="37" t="n">
        <v>0.6833121836741674</v>
      </c>
      <c r="H689" s="37" t="n">
        <v>0.8943819715679577</v>
      </c>
      <c r="I689" s="38" t="inlineStr">
        <is>
          <t>Falso convergido</t>
        </is>
      </c>
      <c r="J689" s="29" t="inlineStr">
        <is>
          <t>—</t>
        </is>
      </c>
      <c r="K689" s="35" t="inlineStr">
        <is>
          <t>—</t>
        </is>
      </c>
      <c r="L689" s="36" t="n">
        <v>2600</v>
      </c>
      <c r="M689" s="29" t="n">
        <v>7.5</v>
      </c>
      <c r="N689" s="16" t="inlineStr">
        <is>
          <t>no</t>
        </is>
      </c>
      <c r="O689" s="16" t="inlineStr">
        <is>
          <t>N2,S6,O3,O5,C1,C3,C3</t>
        </is>
      </c>
    </row>
    <row r="690">
      <c r="A690" s="16" t="inlineStr">
        <is>
          <t>KF-M09-R2-x_b+P_alta+P_baja-0010</t>
        </is>
      </c>
      <c r="B690" s="35" t="n">
        <v>455.1668394129342</v>
      </c>
      <c r="C690" s="35" t="n">
        <v>281.6892908540069</v>
      </c>
      <c r="D690" s="37" t="n">
        <v>0.43300764708027</v>
      </c>
      <c r="E690" s="37" t="n">
        <v>0.6140790800335177</v>
      </c>
      <c r="F690" s="37" t="n">
        <v>0.4512586629383382</v>
      </c>
      <c r="G690" s="37" t="n">
        <v>0.8100065672591841</v>
      </c>
      <c r="H690" s="37" t="n">
        <v>0.4714449716361054</v>
      </c>
      <c r="I690" s="40" t="inlineStr">
        <is>
          <t>Inviable</t>
        </is>
      </c>
      <c r="J690" s="29" t="n">
        <v>-8.298115220209409</v>
      </c>
      <c r="K690" s="35" t="n">
        <v>-37.80154283790221</v>
      </c>
      <c r="L690" s="36" t="n">
        <v>2600</v>
      </c>
      <c r="M690" s="29" t="n">
        <v>7.5</v>
      </c>
      <c r="N690" s="16" t="inlineStr">
        <is>
          <t>sí</t>
        </is>
      </c>
      <c r="O690" s="16" t="inlineStr">
        <is>
          <t>O2,O3</t>
        </is>
      </c>
    </row>
    <row r="691">
      <c r="A691" s="16" t="inlineStr">
        <is>
          <t>KF-M09-R2-x_b+P_alta+P_baja-0011</t>
        </is>
      </c>
      <c r="B691" s="35" t="n">
        <v>390.9917906475985</v>
      </c>
      <c r="C691" s="35" t="n">
        <v>299.1445476270999</v>
      </c>
      <c r="D691" s="37" t="n">
        <v>0.7613287970331124</v>
      </c>
      <c r="E691" s="37" t="n">
        <v>0.7187788832612524</v>
      </c>
      <c r="F691" s="37" t="n">
        <v>0.7515190912356025</v>
      </c>
      <c r="G691" s="37" t="n">
        <v>0.7987252405034573</v>
      </c>
      <c r="H691" s="37" t="n">
        <v>0.6053413967220482</v>
      </c>
      <c r="I691" s="39" t="inlineStr">
        <is>
          <t>Corregible</t>
        </is>
      </c>
      <c r="J691" s="29" t="n">
        <v>1.7007165785166</v>
      </c>
      <c r="K691" s="35" t="n">
        <v>2.042065482457944</v>
      </c>
      <c r="L691" s="36" t="n">
        <v>2600</v>
      </c>
      <c r="M691" s="29" t="n">
        <v>7.5</v>
      </c>
      <c r="N691" s="16" t="inlineStr">
        <is>
          <t>no</t>
        </is>
      </c>
      <c r="O691" s="16" t="inlineStr">
        <is>
          <t>O2</t>
        </is>
      </c>
    </row>
    <row r="692">
      <c r="A692" s="16" t="inlineStr">
        <is>
          <t>KF-M09-R2-x_b+P_alta+P_baja-0012</t>
        </is>
      </c>
      <c r="B692" s="35" t="n">
        <v>485.8990188757693</v>
      </c>
      <c r="C692" s="35" t="n">
        <v>292.3410901653241</v>
      </c>
      <c r="D692" s="37" t="n">
        <v>0.8392240417693981</v>
      </c>
      <c r="E692" s="37" t="n">
        <v>0.5265755421441717</v>
      </c>
      <c r="F692" s="37" t="n">
        <v>0.8221123184483403</v>
      </c>
      <c r="G692" s="37" t="n">
        <v>0.6414559376479796</v>
      </c>
      <c r="H692" s="37" t="n">
        <v>0.4428971614299726</v>
      </c>
      <c r="I692" s="40" t="inlineStr">
        <is>
          <t>Inviable</t>
        </is>
      </c>
      <c r="J692" s="29" t="n">
        <v>-5.270998553979879</v>
      </c>
      <c r="K692" s="35" t="n">
        <v>-43.21792828094573</v>
      </c>
      <c r="L692" s="36" t="n">
        <v>2600</v>
      </c>
      <c r="M692" s="29" t="n">
        <v>7.5</v>
      </c>
      <c r="N692" s="16" t="inlineStr">
        <is>
          <t>sí</t>
        </is>
      </c>
      <c r="O692" s="16" t="inlineStr">
        <is>
          <t>O2,O3</t>
        </is>
      </c>
    </row>
    <row r="693">
      <c r="A693" s="16" t="inlineStr">
        <is>
          <t>KF-M09-R2-x_b+P_alta+P_baja-0013</t>
        </is>
      </c>
      <c r="B693" s="35" t="n">
        <v>508.0730806795713</v>
      </c>
      <c r="C693" s="35" t="n">
        <v>285.1290909994701</v>
      </c>
      <c r="D693" s="37" t="n">
        <v>0.8140642140174771</v>
      </c>
      <c r="E693" s="37" t="n">
        <v>0.451207466719767</v>
      </c>
      <c r="F693" s="37" t="n">
        <v>0.6602626451986802</v>
      </c>
      <c r="G693" s="37" t="n">
        <v>0.4631955699235975</v>
      </c>
      <c r="H693" s="37" t="n">
        <v>0.5210844886894661</v>
      </c>
      <c r="I693" s="40" t="inlineStr">
        <is>
          <t>Inviable</t>
        </is>
      </c>
      <c r="J693" s="29" t="n">
        <v>-3.07708460364718</v>
      </c>
      <c r="K693" s="35" t="n">
        <v>-27.84714673707751</v>
      </c>
      <c r="L693" s="36" t="n">
        <v>2600</v>
      </c>
      <c r="M693" s="29" t="n">
        <v>7.5</v>
      </c>
      <c r="N693" s="16" t="inlineStr">
        <is>
          <t>sí</t>
        </is>
      </c>
      <c r="O693" s="16" t="inlineStr">
        <is>
          <t>O2,O3</t>
        </is>
      </c>
    </row>
    <row r="694">
      <c r="A694" s="16" t="inlineStr">
        <is>
          <t>KF-M09-R2-x_b+P_alta+P_baja-0014</t>
        </is>
      </c>
      <c r="B694" s="35" t="n">
        <v>446.0335850896836</v>
      </c>
      <c r="C694" s="35" t="n">
        <v>291.5604564596701</v>
      </c>
      <c r="D694" s="37" t="n">
        <v>0.9282076988325236</v>
      </c>
      <c r="E694" s="37" t="n">
        <v>0.5876727264737269</v>
      </c>
      <c r="F694" s="37" t="n">
        <v>0.8843088261134278</v>
      </c>
      <c r="G694" s="37" t="n">
        <v>0.8695779573309337</v>
      </c>
      <c r="H694" s="37" t="n">
        <v>0.7704411349934123</v>
      </c>
      <c r="I694" s="39" t="inlineStr">
        <is>
          <t>Corregible</t>
        </is>
      </c>
      <c r="J694" s="29" t="n">
        <v>14.78471626456516</v>
      </c>
      <c r="K694" s="35" t="n">
        <v>131.6673675709009</v>
      </c>
      <c r="L694" s="36" t="n">
        <v>2600</v>
      </c>
      <c r="M694" s="29" t="n">
        <v>7.5</v>
      </c>
      <c r="N694" s="16" t="inlineStr">
        <is>
          <t>sí</t>
        </is>
      </c>
      <c r="O694" s="16" t="inlineStr">
        <is>
          <t>O1,O2</t>
        </is>
      </c>
    </row>
    <row r="695">
      <c r="A695" s="16" t="inlineStr">
        <is>
          <t>KF-M09-R2-x_b+P_alta+P_baja-0015</t>
        </is>
      </c>
      <c r="B695" s="35" t="n">
        <v>400.9754404426368</v>
      </c>
      <c r="C695" s="35" t="n">
        <v>298.4225528565477</v>
      </c>
      <c r="D695" s="37" t="n">
        <v>0.699865484864878</v>
      </c>
      <c r="E695" s="37" t="n">
        <v>0.489409156517043</v>
      </c>
      <c r="F695" s="37" t="n">
        <v>0.8518318789701063</v>
      </c>
      <c r="G695" s="37" t="n">
        <v>0.6027638546996021</v>
      </c>
      <c r="H695" s="37" t="n">
        <v>0.6861062466872722</v>
      </c>
      <c r="I695" s="39" t="inlineStr">
        <is>
          <t>Corregible</t>
        </is>
      </c>
      <c r="J695" s="29" t="n">
        <v>4.23135966933997</v>
      </c>
      <c r="K695" s="35" t="n">
        <v>12.66737505457905</v>
      </c>
      <c r="L695" s="36" t="n">
        <v>2600</v>
      </c>
      <c r="M695" s="29" t="n">
        <v>7.5</v>
      </c>
      <c r="N695" s="16" t="inlineStr">
        <is>
          <t>no</t>
        </is>
      </c>
      <c r="O695" s="16" t="inlineStr">
        <is>
          <t>O2</t>
        </is>
      </c>
    </row>
    <row r="696">
      <c r="A696" s="16" t="inlineStr">
        <is>
          <t>KF-M09-R2-x_b+P_alta+P_baja-0016</t>
        </is>
      </c>
      <c r="B696" s="35" t="n">
        <v>435.2159769602682</v>
      </c>
      <c r="C696" s="35" t="n">
        <v>295.6120362556742</v>
      </c>
      <c r="D696" s="37" t="n">
        <v>0.5052583006273383</v>
      </c>
      <c r="E696" s="37" t="n">
        <v>0.6546404501430436</v>
      </c>
      <c r="F696" s="37" t="n">
        <v>0.6940876428698831</v>
      </c>
      <c r="G696" s="37" t="n">
        <v>0.5822999841694974</v>
      </c>
      <c r="H696" s="37" t="n">
        <v>0.6342266097124544</v>
      </c>
      <c r="I696" s="39" t="inlineStr">
        <is>
          <t>Corregible</t>
        </is>
      </c>
      <c r="J696" s="29" t="n">
        <v>3.00056071429849</v>
      </c>
      <c r="K696" s="35" t="n">
        <v>16.18834743833985</v>
      </c>
      <c r="L696" s="36" t="n">
        <v>2600</v>
      </c>
      <c r="M696" s="29" t="n">
        <v>7.5</v>
      </c>
      <c r="N696" s="16" t="inlineStr">
        <is>
          <t>sí</t>
        </is>
      </c>
      <c r="O696" s="16" t="inlineStr">
        <is>
          <t>O2</t>
        </is>
      </c>
    </row>
    <row r="697">
      <c r="A697" s="16" t="inlineStr">
        <is>
          <t>KF-M09-R2-x_b+P_alta+P_baja-0017</t>
        </is>
      </c>
      <c r="B697" s="35" t="n">
        <v>380.0901523403963</v>
      </c>
      <c r="C697" s="35" t="n">
        <v>280.1469258523553</v>
      </c>
      <c r="D697" s="37" t="n">
        <v>0.5167445576959512</v>
      </c>
      <c r="E697" s="37" t="n">
        <v>0.4269982610573243</v>
      </c>
      <c r="F697" s="37" t="n">
        <v>0.7329169032450484</v>
      </c>
      <c r="G697" s="37" t="n">
        <v>0.4912123682701434</v>
      </c>
      <c r="H697" s="37" t="n">
        <v>0.7937504529266861</v>
      </c>
      <c r="I697" s="38" t="inlineStr">
        <is>
          <t>Falso convergido</t>
        </is>
      </c>
      <c r="J697" s="29" t="inlineStr">
        <is>
          <t>—</t>
        </is>
      </c>
      <c r="K697" s="35" t="inlineStr">
        <is>
          <t>—</t>
        </is>
      </c>
      <c r="L697" s="36" t="n">
        <v>2600</v>
      </c>
      <c r="M697" s="29" t="n">
        <v>7.5</v>
      </c>
      <c r="N697" s="16" t="inlineStr">
        <is>
          <t>no</t>
        </is>
      </c>
      <c r="O697" s="16" t="inlineStr">
        <is>
          <t>N2,S6,O3,O5,C1,C3,C3</t>
        </is>
      </c>
    </row>
    <row r="698">
      <c r="A698" s="16" t="inlineStr">
        <is>
          <t>KF-M09-R2-x_b+P_alta+P_baja-0018</t>
        </is>
      </c>
      <c r="B698" s="35" t="n">
        <v>419.7625571431697</v>
      </c>
      <c r="C698" s="35" t="n">
        <v>286.4026335543993</v>
      </c>
      <c r="D698" s="37" t="n">
        <v>0.4081424693999581</v>
      </c>
      <c r="E698" s="37" t="n">
        <v>0.805513049692724</v>
      </c>
      <c r="F698" s="37" t="n">
        <v>0.4860564909982169</v>
      </c>
      <c r="G698" s="37" t="n">
        <v>0.6683132888899872</v>
      </c>
      <c r="H698" s="37" t="n">
        <v>0.7156617181076568</v>
      </c>
      <c r="I698" s="39" t="inlineStr">
        <is>
          <t>Corregible</t>
        </is>
      </c>
      <c r="J698" s="29" t="n">
        <v>3.3553227296027</v>
      </c>
      <c r="K698" s="35" t="n">
        <v>10.49324881228425</v>
      </c>
      <c r="L698" s="36" t="n">
        <v>2600</v>
      </c>
      <c r="M698" s="29" t="n">
        <v>7.5</v>
      </c>
      <c r="N698" s="16" t="inlineStr">
        <is>
          <t>no</t>
        </is>
      </c>
      <c r="O698" s="16" t="inlineStr">
        <is>
          <t>O2</t>
        </is>
      </c>
    </row>
    <row r="699">
      <c r="A699" s="16" t="inlineStr">
        <is>
          <t>KF-M09-R2-x_b+P_alta+P_baja-0019</t>
        </is>
      </c>
      <c r="B699" s="35" t="n">
        <v>409.158102458818</v>
      </c>
      <c r="C699" s="35" t="n">
        <v>293.9457857448945</v>
      </c>
      <c r="D699" s="37" t="n">
        <v>0.8853311119050122</v>
      </c>
      <c r="E699" s="37" t="n">
        <v>0.6619710395740441</v>
      </c>
      <c r="F699" s="37" t="n">
        <v>0.5746387131075201</v>
      </c>
      <c r="G699" s="37" t="n">
        <v>0.9174656377760037</v>
      </c>
      <c r="H699" s="37" t="n">
        <v>0.5051645441881089</v>
      </c>
      <c r="I699" s="39" t="inlineStr">
        <is>
          <t>Corregible</t>
        </is>
      </c>
      <c r="J699" s="29" t="n">
        <v>10.03570351885444</v>
      </c>
      <c r="K699" s="35" t="n">
        <v>21.43276387749213</v>
      </c>
      <c r="L699" s="36" t="n">
        <v>2600</v>
      </c>
      <c r="M699" s="29" t="n">
        <v>7.5</v>
      </c>
      <c r="N699" s="16" t="inlineStr">
        <is>
          <t>no</t>
        </is>
      </c>
      <c r="O699" s="16" t="inlineStr">
        <is>
          <t>O2</t>
        </is>
      </c>
    </row>
    <row r="700">
      <c r="A700" s="16" t="inlineStr">
        <is>
          <t>KF-M09-R2-x_b+P_alta+P_baja-0020</t>
        </is>
      </c>
      <c r="B700" s="35" t="n">
        <v>430.6376396131223</v>
      </c>
      <c r="C700" s="35" t="n">
        <v>281.4524836268686</v>
      </c>
      <c r="D700" s="37" t="n">
        <v>0.8457212543649255</v>
      </c>
      <c r="E700" s="37" t="n">
        <v>0.6897082074472473</v>
      </c>
      <c r="F700" s="37" t="n">
        <v>0.4719322238064625</v>
      </c>
      <c r="G700" s="37" t="n">
        <v>0.5079802620664282</v>
      </c>
      <c r="H700" s="37" t="n">
        <v>0.6442903640198739</v>
      </c>
      <c r="I700" s="39" t="inlineStr">
        <is>
          <t>Corregible</t>
        </is>
      </c>
      <c r="J700" s="29" t="n">
        <v>8.138280025022681</v>
      </c>
      <c r="K700" s="35" t="n">
        <v>32.24105050390504</v>
      </c>
      <c r="L700" s="36" t="n">
        <v>2600</v>
      </c>
      <c r="M700" s="29" t="n">
        <v>7.5</v>
      </c>
      <c r="N700" s="16" t="inlineStr">
        <is>
          <t>no</t>
        </is>
      </c>
      <c r="O700" s="16" t="inlineStr">
        <is>
          <t>O2</t>
        </is>
      </c>
    </row>
    <row r="701">
      <c r="A701" s="16" t="inlineStr">
        <is>
          <t>KF-M09-R2-x_b+P_alta+P_baja-0021</t>
        </is>
      </c>
      <c r="B701" s="35" t="n">
        <v>515.816544452916</v>
      </c>
      <c r="C701" s="35" t="n">
        <v>287.1507762764241</v>
      </c>
      <c r="D701" s="37" t="n">
        <v>0.7330931085273338</v>
      </c>
      <c r="E701" s="37" t="n">
        <v>0.7799996551464776</v>
      </c>
      <c r="F701" s="37" t="n">
        <v>0.6842282719290433</v>
      </c>
      <c r="G701" s="37" t="n">
        <v>0.5158951455980295</v>
      </c>
      <c r="H701" s="37" t="n">
        <v>0.7431162566385192</v>
      </c>
      <c r="I701" s="39" t="inlineStr">
        <is>
          <t>Corregible</t>
        </is>
      </c>
      <c r="J701" s="29" t="n">
        <v>10.49787876594143</v>
      </c>
      <c r="K701" s="35" t="n">
        <v>143.6045013881323</v>
      </c>
      <c r="L701" s="36" t="n">
        <v>2600</v>
      </c>
      <c r="M701" s="29" t="n">
        <v>7.5</v>
      </c>
      <c r="N701" s="16" t="inlineStr">
        <is>
          <t>sí</t>
        </is>
      </c>
      <c r="O701" s="16" t="inlineStr">
        <is>
          <t>O2</t>
        </is>
      </c>
    </row>
    <row r="702">
      <c r="A702" s="16" t="inlineStr">
        <is>
          <t>KF-M09-R2-x_b+P_alta+P_baja-0022</t>
        </is>
      </c>
      <c r="B702" s="35" t="n">
        <v>479.85937224096</v>
      </c>
      <c r="C702" s="35" t="n">
        <v>289.1722061757553</v>
      </c>
      <c r="D702" s="37" t="n">
        <v>0.6058043586497369</v>
      </c>
      <c r="E702" s="37" t="n">
        <v>0.9113407150990324</v>
      </c>
      <c r="F702" s="37" t="n">
        <v>0.5137416232375051</v>
      </c>
      <c r="G702" s="37" t="n">
        <v>0.4106918885820433</v>
      </c>
      <c r="H702" s="37" t="n">
        <v>0.5581185080797036</v>
      </c>
      <c r="I702" s="39" t="inlineStr">
        <is>
          <t>Corregible</t>
        </is>
      </c>
      <c r="J702" s="29" t="n">
        <v>4.68079474527455</v>
      </c>
      <c r="K702" s="35" t="n">
        <v>39.49064805443558</v>
      </c>
      <c r="L702" s="36" t="n">
        <v>2600</v>
      </c>
      <c r="M702" s="29" t="n">
        <v>7.5</v>
      </c>
      <c r="N702" s="16" t="inlineStr">
        <is>
          <t>sí</t>
        </is>
      </c>
      <c r="O702" s="16" t="inlineStr">
        <is>
          <t>O2</t>
        </is>
      </c>
    </row>
    <row r="703">
      <c r="A703" s="16" t="inlineStr">
        <is>
          <t>KF-M09-R2-x_b+P_alta+P_baja-0023</t>
        </is>
      </c>
      <c r="B703" s="35" t="n">
        <v>441.3368808138242</v>
      </c>
      <c r="C703" s="35" t="n">
        <v>297.2625395372434</v>
      </c>
      <c r="D703" s="37" t="n">
        <v>0.4384270966992584</v>
      </c>
      <c r="E703" s="37" t="n">
        <v>0.5085210851070679</v>
      </c>
      <c r="F703" s="37" t="n">
        <v>0.9365414746288784</v>
      </c>
      <c r="G703" s="37" t="n">
        <v>0.9397790983778396</v>
      </c>
      <c r="H703" s="37" t="n">
        <v>0.8591725479313446</v>
      </c>
      <c r="I703" s="39" t="inlineStr">
        <is>
          <t>Corregible</t>
        </is>
      </c>
      <c r="J703" s="29" t="n">
        <v>6.45226940480662</v>
      </c>
      <c r="K703" s="35" t="n">
        <v>55.74008049377504</v>
      </c>
      <c r="L703" s="36" t="n">
        <v>2600</v>
      </c>
      <c r="M703" s="29" t="n">
        <v>7.5</v>
      </c>
      <c r="N703" s="16" t="inlineStr">
        <is>
          <t>sí</t>
        </is>
      </c>
      <c r="O703" s="16" t="inlineStr">
        <is>
          <t>O2</t>
        </is>
      </c>
    </row>
    <row r="704">
      <c r="A704" s="16" t="inlineStr">
        <is>
          <t>KF-M09-R2-x_b+P_alta+P_baja-0024</t>
        </is>
      </c>
      <c r="B704" s="35" t="n">
        <v>491.1386774271162</v>
      </c>
      <c r="C704" s="35" t="n">
        <v>287.6720089033171</v>
      </c>
      <c r="D704" s="37" t="n">
        <v>0.7236889719273967</v>
      </c>
      <c r="E704" s="37" t="n">
        <v>0.5568555475020557</v>
      </c>
      <c r="F704" s="37" t="n">
        <v>0.7694231899399754</v>
      </c>
      <c r="G704" s="37" t="n">
        <v>0.5896303385776107</v>
      </c>
      <c r="H704" s="37" t="n">
        <v>0.5773253115123167</v>
      </c>
      <c r="I704" s="39" t="inlineStr">
        <is>
          <t>Corregible</t>
        </is>
      </c>
      <c r="J704" s="29" t="n">
        <v>2.34360727742345</v>
      </c>
      <c r="K704" s="35" t="n">
        <v>25.97431634795296</v>
      </c>
      <c r="L704" s="36" t="n">
        <v>2600</v>
      </c>
      <c r="M704" s="29" t="n">
        <v>7.5</v>
      </c>
      <c r="N704" s="16" t="inlineStr">
        <is>
          <t>sí</t>
        </is>
      </c>
      <c r="O704" s="16" t="inlineStr">
        <is>
          <t>O2</t>
        </is>
      </c>
    </row>
    <row r="705">
      <c r="A705" s="16" t="inlineStr">
        <is>
          <t>KF-M09-R2-x_b+P_alta+P_baja-0025</t>
        </is>
      </c>
      <c r="B705" s="35" t="n">
        <v>465.0020860825367</v>
      </c>
      <c r="C705" s="35" t="n">
        <v>279.1142945006291</v>
      </c>
      <c r="D705" s="37" t="n">
        <v>0.5330920831503249</v>
      </c>
      <c r="E705" s="37" t="n">
        <v>0.4641631026770174</v>
      </c>
      <c r="F705" s="37" t="n">
        <v>0.5469913869817833</v>
      </c>
      <c r="G705" s="37" t="n">
        <v>0.8813363713092868</v>
      </c>
      <c r="H705" s="37" t="n">
        <v>0.6727144405472907</v>
      </c>
      <c r="I705" s="39" t="inlineStr">
        <is>
          <t>Corregible</t>
        </is>
      </c>
      <c r="J705" s="29" t="n">
        <v>4.52081741535803</v>
      </c>
      <c r="K705" s="35" t="n">
        <v>37.30229643910347</v>
      </c>
      <c r="L705" s="36" t="n">
        <v>2600</v>
      </c>
      <c r="M705" s="29" t="n">
        <v>7.5</v>
      </c>
      <c r="N705" s="16" t="inlineStr">
        <is>
          <t>sí</t>
        </is>
      </c>
      <c r="O705" s="16" t="inlineStr">
        <is>
          <t>O2</t>
        </is>
      </c>
    </row>
    <row r="706">
      <c r="A706" s="16" t="inlineStr">
        <is>
          <t>KF-M09-R2-x_b+P_alta+P_baja-0026</t>
        </is>
      </c>
      <c r="B706" s="35" t="n">
        <v>397.8745214917436</v>
      </c>
      <c r="C706" s="35" t="n">
        <v>295.0143405728146</v>
      </c>
      <c r="D706" s="37" t="n">
        <v>0.6759845708126748</v>
      </c>
      <c r="E706" s="37" t="n">
        <v>0.8421679142345534</v>
      </c>
      <c r="F706" s="37" t="n">
        <v>0.722645032940995</v>
      </c>
      <c r="G706" s="37" t="n">
        <v>0.7008102668000215</v>
      </c>
      <c r="H706" s="37" t="n">
        <v>0.8995205706234171</v>
      </c>
      <c r="I706" s="42" t="inlineStr">
        <is>
          <t>KALINA</t>
        </is>
      </c>
      <c r="J706" s="29" t="n">
        <v>4.35278262370873</v>
      </c>
      <c r="K706" s="35" t="n">
        <v>10.26612703065835</v>
      </c>
      <c r="L706" s="36" t="n">
        <v>2600</v>
      </c>
      <c r="M706" s="29" t="n">
        <v>7.5</v>
      </c>
      <c r="N706" s="16" t="inlineStr">
        <is>
          <t>no</t>
        </is>
      </c>
      <c r="O706" s="16" t="n"/>
    </row>
    <row r="707">
      <c r="A707" s="16" t="inlineStr">
        <is>
          <t>KF-M09-R2-x_b+P_alta+P_baja-0027</t>
        </is>
      </c>
      <c r="B707" s="35" t="n">
        <v>492.0979292534869</v>
      </c>
      <c r="C707" s="35" t="n">
        <v>299.8052846651099</v>
      </c>
      <c r="D707" s="37" t="n">
        <v>0.905377948256206</v>
      </c>
      <c r="E707" s="37" t="n">
        <v>0.8263622053216249</v>
      </c>
      <c r="F707" s="37" t="n">
        <v>0.602839487422051</v>
      </c>
      <c r="G707" s="37" t="n">
        <v>0.9088478184203675</v>
      </c>
      <c r="H707" s="37" t="n">
        <v>0.7044767508365382</v>
      </c>
      <c r="I707" s="39" t="inlineStr">
        <is>
          <t>Corregible</t>
        </is>
      </c>
      <c r="J707" s="29" t="n">
        <v>13.92954503875355</v>
      </c>
      <c r="K707" s="35" t="n">
        <v>154.4002411665575</v>
      </c>
      <c r="L707" s="36" t="n">
        <v>2600</v>
      </c>
      <c r="M707" s="29" t="n">
        <v>7.5</v>
      </c>
      <c r="N707" s="16" t="inlineStr">
        <is>
          <t>sí</t>
        </is>
      </c>
      <c r="O707" s="16" t="inlineStr">
        <is>
          <t>O1,O2</t>
        </is>
      </c>
    </row>
    <row r="708">
      <c r="A708" s="16" t="inlineStr">
        <is>
          <t>KF-M09-R2-x_b+P_alta+P_baja-0028</t>
        </is>
      </c>
      <c r="B708" s="35" t="n">
        <v>451.9559918215513</v>
      </c>
      <c r="C708" s="35" t="n">
        <v>302.0935723143835</v>
      </c>
      <c r="D708" s="37" t="n">
        <v>0.4866719811633389</v>
      </c>
      <c r="E708" s="37" t="n">
        <v>0.5746968705483665</v>
      </c>
      <c r="F708" s="37" t="n">
        <v>0.503550253123583</v>
      </c>
      <c r="G708" s="37" t="n">
        <v>0.4423165189816248</v>
      </c>
      <c r="H708" s="37" t="n">
        <v>0.4358443140749563</v>
      </c>
      <c r="I708" s="40" t="inlineStr">
        <is>
          <t>Inviable</t>
        </is>
      </c>
      <c r="J708" s="29" t="n">
        <v>-20.33216796667869</v>
      </c>
      <c r="K708" s="35" t="n">
        <v>-79.04640980008318</v>
      </c>
      <c r="L708" s="36" t="n">
        <v>2600</v>
      </c>
      <c r="M708" s="29" t="n">
        <v>7.5</v>
      </c>
      <c r="N708" s="16" t="inlineStr">
        <is>
          <t>sí</t>
        </is>
      </c>
      <c r="O708" s="16" t="inlineStr">
        <is>
          <t>O2,O3</t>
        </is>
      </c>
    </row>
    <row r="709">
      <c r="A709" s="16" t="inlineStr">
        <is>
          <t>KF-M09-R2-x_b+P_alta+P_baja-0029</t>
        </is>
      </c>
      <c r="B709" s="35" t="n">
        <v>459.6417853543426</v>
      </c>
      <c r="C709" s="35" t="n">
        <v>282.7368916207403</v>
      </c>
      <c r="D709" s="37" t="n">
        <v>0.7727247621441693</v>
      </c>
      <c r="E709" s="37" t="n">
        <v>0.8603147926425954</v>
      </c>
      <c r="F709" s="37" t="n">
        <v>0.8129046610453309</v>
      </c>
      <c r="G709" s="37" t="n">
        <v>0.422764953417843</v>
      </c>
      <c r="H709" s="37" t="n">
        <v>0.751066885078197</v>
      </c>
      <c r="I709" s="39" t="inlineStr">
        <is>
          <t>Corregible</t>
        </is>
      </c>
      <c r="J709" s="29" t="n">
        <v>11.48004859287361</v>
      </c>
      <c r="K709" s="35" t="n">
        <v>134.2374682747711</v>
      </c>
      <c r="L709" s="36" t="n">
        <v>2600</v>
      </c>
      <c r="M709" s="29" t="n">
        <v>7.5</v>
      </c>
      <c r="N709" s="16" t="inlineStr">
        <is>
          <t>sí</t>
        </is>
      </c>
      <c r="O709" s="16" t="inlineStr">
        <is>
          <t>O2</t>
        </is>
      </c>
    </row>
    <row r="711">
      <c r="A711" s="33" t="inlineStr">
        <is>
          <t>Parte 4.3 x_b+P_alta+T_fuente · ronda 2 · 30 puntos</t>
        </is>
      </c>
      <c r="B711" s="31" t="n"/>
      <c r="C711" s="31" t="n"/>
      <c r="D711" s="31" t="n"/>
      <c r="E711" s="31" t="n"/>
      <c r="F711" s="31" t="n"/>
      <c r="G711" s="31" t="n"/>
      <c r="H711" s="31" t="n"/>
      <c r="I711" s="31" t="n"/>
      <c r="J711" s="31" t="n"/>
      <c r="K711" s="31" t="n"/>
    </row>
    <row r="713">
      <c r="A713" s="34" t="inlineStr">
        <is>
          <t>Barrido de la parte 4.3 x_b+P_alta+T_fuente · 30 puntos</t>
        </is>
      </c>
    </row>
    <row r="714">
      <c r="A714" s="25" t="inlineStr">
        <is>
          <t>Fijos en este barrido: T_fuente = 623.15, P_alta = 3000, x_b = 0.5.</t>
        </is>
      </c>
    </row>
    <row r="715">
      <c r="A715" s="22" t="inlineStr">
        <is>
          <t>id_punto</t>
        </is>
      </c>
      <c r="B715" s="22" t="inlineStr">
        <is>
          <t>T_sumidero [K]</t>
        </is>
      </c>
      <c r="C715" s="22" t="inlineStr">
        <is>
          <t>P_baja [kPa]</t>
        </is>
      </c>
      <c r="D715" s="22" t="inlineStr">
        <is>
          <t>η_t [–]</t>
        </is>
      </c>
      <c r="E715" s="22" t="inlineStr">
        <is>
          <t>η_p [–]</t>
        </is>
      </c>
      <c r="F715" s="22" t="inlineStr">
        <is>
          <t>ε_HRVG [–]</t>
        </is>
      </c>
      <c r="G715" s="22" t="inlineStr">
        <is>
          <t>ε_reg [–]</t>
        </is>
      </c>
      <c r="H715" s="22" t="inlineStr">
        <is>
          <t>ε_cond [–]</t>
        </is>
      </c>
      <c r="I715" s="22" t="inlineStr">
        <is>
          <t>Clase</t>
        </is>
      </c>
      <c r="J715" s="22" t="inlineStr">
        <is>
          <t>η [%]</t>
        </is>
      </c>
      <c r="K715" s="22" t="inlineStr">
        <is>
          <t>W_net [kW] (m_b = 1 kg/s)</t>
        </is>
      </c>
      <c r="L715" s="22" t="inlineStr">
        <is>
          <t>ΔP [kPa]</t>
        </is>
      </c>
      <c r="M715" s="22" t="inlineStr">
        <is>
          <t>r_P [–]</t>
        </is>
      </c>
      <c r="N715" s="22" t="inlineStr">
        <is>
          <t>Fuera de rango</t>
        </is>
      </c>
      <c r="O715" s="22" t="inlineStr">
        <is>
          <t>Criterios que falla</t>
        </is>
      </c>
    </row>
    <row r="716">
      <c r="A716" s="16" t="inlineStr">
        <is>
          <t>KF-M09-R2-x_b+P_alta+T_fuente-0000</t>
        </is>
      </c>
      <c r="B716" s="35" t="n">
        <v>298.5124585089288</v>
      </c>
      <c r="C716" s="35" t="n">
        <v>1140.577524497842</v>
      </c>
      <c r="D716" s="37" t="n">
        <v>0.6311180898534987</v>
      </c>
      <c r="E716" s="37" t="n">
        <v>0.6530719080125136</v>
      </c>
      <c r="F716" s="37" t="n">
        <v>0.8814984170406606</v>
      </c>
      <c r="G716" s="37" t="n">
        <v>0.8411369205394685</v>
      </c>
      <c r="H716" s="37" t="n">
        <v>0.56647302202256</v>
      </c>
      <c r="I716" s="32" t="inlineStr">
        <is>
          <t>No convergió</t>
        </is>
      </c>
      <c r="J716" s="29" t="inlineStr">
        <is>
          <t>—</t>
        </is>
      </c>
      <c r="K716" s="35" t="inlineStr">
        <is>
          <t>—</t>
        </is>
      </c>
      <c r="L716" s="36" t="n">
        <v>1859.422475502158</v>
      </c>
      <c r="M716" s="29" t="n">
        <v>2.630246463361443</v>
      </c>
      <c r="N716" s="16" t="inlineStr">
        <is>
          <t>no</t>
        </is>
      </c>
      <c r="O716" s="16" t="n"/>
    </row>
    <row r="717">
      <c r="A717" s="16" t="inlineStr">
        <is>
          <t>KF-M09-R2-x_b+P_alta+T_fuente-0001</t>
        </is>
      </c>
      <c r="B717" s="35" t="n">
        <v>279.8341104015751</v>
      </c>
      <c r="C717" s="35" t="n">
        <v>703.2103849553478</v>
      </c>
      <c r="D717" s="37" t="n">
        <v>0.8709940549236067</v>
      </c>
      <c r="E717" s="37" t="n">
        <v>0.4889341944933115</v>
      </c>
      <c r="F717" s="37" t="n">
        <v>0.9339388349145784</v>
      </c>
      <c r="G717" s="37" t="n">
        <v>0.4099062617363282</v>
      </c>
      <c r="H717" s="37" t="n">
        <v>0.8889000621516793</v>
      </c>
      <c r="I717" s="32" t="inlineStr">
        <is>
          <t>No convergió</t>
        </is>
      </c>
      <c r="J717" s="29" t="inlineStr">
        <is>
          <t>—</t>
        </is>
      </c>
      <c r="K717" s="35" t="inlineStr">
        <is>
          <t>—</t>
        </is>
      </c>
      <c r="L717" s="36" t="n">
        <v>2296.789615044652</v>
      </c>
      <c r="M717" s="29" t="n">
        <v>4.266148601020011</v>
      </c>
      <c r="N717" s="16" t="inlineStr">
        <is>
          <t>no</t>
        </is>
      </c>
      <c r="O717" s="16" t="n"/>
    </row>
    <row r="718">
      <c r="A718" s="16" t="inlineStr">
        <is>
          <t>KF-M09-R2-x_b+P_alta+T_fuente-0002</t>
        </is>
      </c>
      <c r="B718" s="35" t="n">
        <v>291.6950722734227</v>
      </c>
      <c r="C718" s="35" t="n">
        <v>600.4409973342326</v>
      </c>
      <c r="D718" s="37" t="n">
        <v>0.7095628027471076</v>
      </c>
      <c r="E718" s="37" t="n">
        <v>0.8264108551487855</v>
      </c>
      <c r="F718" s="37" t="n">
        <v>0.7996767806616195</v>
      </c>
      <c r="G718" s="37" t="n">
        <v>0.6046433406450631</v>
      </c>
      <c r="H718" s="37" t="n">
        <v>0.5390004688983371</v>
      </c>
      <c r="I718" s="32" t="inlineStr">
        <is>
          <t>No convergió</t>
        </is>
      </c>
      <c r="J718" s="29" t="inlineStr">
        <is>
          <t>—</t>
        </is>
      </c>
      <c r="K718" s="35" t="inlineStr">
        <is>
          <t>—</t>
        </is>
      </c>
      <c r="L718" s="36" t="n">
        <v>2399.559002665768</v>
      </c>
      <c r="M718" s="29" t="n">
        <v>4.996327721323239</v>
      </c>
      <c r="N718" s="16" t="inlineStr">
        <is>
          <t>no</t>
        </is>
      </c>
      <c r="O718" s="16" t="n"/>
    </row>
    <row r="719">
      <c r="A719" s="16" t="inlineStr">
        <is>
          <t>KF-M09-R2-x_b+P_alta+T_fuente-0003</t>
        </is>
      </c>
      <c r="B719" s="35" t="n">
        <v>293.891425711753</v>
      </c>
      <c r="C719" s="35" t="n">
        <v>1048.034598468812</v>
      </c>
      <c r="D719" s="37" t="n">
        <v>0.4050288781728138</v>
      </c>
      <c r="E719" s="37" t="n">
        <v>0.7029288593804162</v>
      </c>
      <c r="F719" s="37" t="n">
        <v>0.6947553058035696</v>
      </c>
      <c r="G719" s="37" t="n">
        <v>0.6679460878386809</v>
      </c>
      <c r="H719" s="37" t="n">
        <v>0.6261620056760172</v>
      </c>
      <c r="I719" s="40" t="inlineStr">
        <is>
          <t>Inviable</t>
        </is>
      </c>
      <c r="J719" s="29" t="n">
        <v>-0.0082781153602564</v>
      </c>
      <c r="K719" s="35" t="n">
        <v>-0.1088815756947383</v>
      </c>
      <c r="L719" s="36" t="n">
        <v>1951.965401531188</v>
      </c>
      <c r="M719" s="29" t="n">
        <v>2.862500917797016</v>
      </c>
      <c r="N719" s="16" t="inlineStr">
        <is>
          <t>sí</t>
        </is>
      </c>
      <c r="O719" s="16" t="inlineStr">
        <is>
          <t>O2,O3</t>
        </is>
      </c>
    </row>
    <row r="720">
      <c r="A720" s="16" t="inlineStr">
        <is>
          <t>KF-M09-R2-x_b+P_alta+T_fuente-0004</t>
        </is>
      </c>
      <c r="B720" s="35" t="n">
        <v>297.1190205592019</v>
      </c>
      <c r="C720" s="35" t="n">
        <v>982.4723690496352</v>
      </c>
      <c r="D720" s="37" t="n">
        <v>0.7756705684538027</v>
      </c>
      <c r="E720" s="37" t="n">
        <v>0.8211604343960163</v>
      </c>
      <c r="F720" s="37" t="n">
        <v>0.9267657743790546</v>
      </c>
      <c r="G720" s="37" t="n">
        <v>0.7821793285082408</v>
      </c>
      <c r="H720" s="37" t="n">
        <v>0.9281875280302916</v>
      </c>
      <c r="I720" s="32" t="inlineStr">
        <is>
          <t>No convergió</t>
        </is>
      </c>
      <c r="J720" s="29" t="inlineStr">
        <is>
          <t>—</t>
        </is>
      </c>
      <c r="K720" s="35" t="inlineStr">
        <is>
          <t>—</t>
        </is>
      </c>
      <c r="L720" s="36" t="n">
        <v>2017.527630950365</v>
      </c>
      <c r="M720" s="29" t="n">
        <v>3.053520988994285</v>
      </c>
      <c r="N720" s="16" t="inlineStr">
        <is>
          <t>no</t>
        </is>
      </c>
      <c r="O720" s="16" t="n"/>
    </row>
    <row r="721">
      <c r="A721" s="16" t="inlineStr">
        <is>
          <t>KF-M09-R2-x_b+P_alta+T_fuente-0005</t>
        </is>
      </c>
      <c r="B721" s="35" t="n">
        <v>289.8575943795535</v>
      </c>
      <c r="C721" s="35" t="n">
        <v>1974.733538765139</v>
      </c>
      <c r="D721" s="37" t="n">
        <v>0.5473086868306356</v>
      </c>
      <c r="E721" s="37" t="n">
        <v>0.7989967404857494</v>
      </c>
      <c r="F721" s="37" t="n">
        <v>0.6489121531525138</v>
      </c>
      <c r="G721" s="37" t="n">
        <v>0.4684560493774625</v>
      </c>
      <c r="H721" s="37" t="n">
        <v>0.7078484234094813</v>
      </c>
      <c r="I721" s="39" t="inlineStr">
        <is>
          <t>Corregible</t>
        </is>
      </c>
      <c r="J721" s="29" t="n">
        <v>1.78003087428318</v>
      </c>
      <c r="K721" s="35" t="n">
        <v>25.09823549109621</v>
      </c>
      <c r="L721" s="36" t="n">
        <v>1025.266461234861</v>
      </c>
      <c r="M721" s="29" t="n">
        <v>1.51919230676357</v>
      </c>
      <c r="N721" s="16" t="inlineStr">
        <is>
          <t>sí</t>
        </is>
      </c>
      <c r="O721" s="16" t="inlineStr">
        <is>
          <t>O2</t>
        </is>
      </c>
    </row>
    <row r="722">
      <c r="A722" s="16" t="inlineStr">
        <is>
          <t>KF-M09-R2-x_b+P_alta+T_fuente-0006</t>
        </is>
      </c>
      <c r="B722" s="35" t="n">
        <v>284.0684403246783</v>
      </c>
      <c r="C722" s="35" t="n">
        <v>1292.696340970301</v>
      </c>
      <c r="D722" s="37" t="n">
        <v>0.4993220775288852</v>
      </c>
      <c r="E722" s="37" t="n">
        <v>0.5276052688115257</v>
      </c>
      <c r="F722" s="37" t="n">
        <v>0.5781174721136231</v>
      </c>
      <c r="G722" s="37" t="n">
        <v>0.5013732947681542</v>
      </c>
      <c r="H722" s="37" t="n">
        <v>0.7371901406387382</v>
      </c>
      <c r="I722" s="39" t="inlineStr">
        <is>
          <t>Corregible</t>
        </is>
      </c>
      <c r="J722" s="29" t="n">
        <v>2.95399382831127</v>
      </c>
      <c r="K722" s="35" t="n">
        <v>39.03488829743333</v>
      </c>
      <c r="L722" s="36" t="n">
        <v>1707.303659029699</v>
      </c>
      <c r="M722" s="29" t="n">
        <v>2.320730634812652</v>
      </c>
      <c r="N722" s="16" t="inlineStr">
        <is>
          <t>sí</t>
        </is>
      </c>
      <c r="O722" s="16" t="inlineStr">
        <is>
          <t>O2</t>
        </is>
      </c>
    </row>
    <row r="723">
      <c r="A723" s="16" t="inlineStr">
        <is>
          <t>KF-M09-R2-x_b+P_alta+T_fuente-0007</t>
        </is>
      </c>
      <c r="B723" s="35" t="n">
        <v>292.8257146550196</v>
      </c>
      <c r="C723" s="35" t="n">
        <v>399.0231998928173</v>
      </c>
      <c r="D723" s="37" t="n">
        <v>0.7944026582662227</v>
      </c>
      <c r="E723" s="37" t="n">
        <v>0.6730018511034969</v>
      </c>
      <c r="F723" s="37" t="n">
        <v>0.4748565752381944</v>
      </c>
      <c r="G723" s="37" t="n">
        <v>0.9183914113464494</v>
      </c>
      <c r="H723" s="37" t="n">
        <v>0.913030508487872</v>
      </c>
      <c r="I723" s="32" t="inlineStr">
        <is>
          <t>No convergió</t>
        </is>
      </c>
      <c r="J723" s="29" t="inlineStr">
        <is>
          <t>—</t>
        </is>
      </c>
      <c r="K723" s="35" t="inlineStr">
        <is>
          <t>—</t>
        </is>
      </c>
      <c r="L723" s="36" t="n">
        <v>2600.976800107182</v>
      </c>
      <c r="M723" s="29" t="n">
        <v>7.518359836735905</v>
      </c>
      <c r="N723" s="16" t="inlineStr">
        <is>
          <t>no</t>
        </is>
      </c>
      <c r="O723" s="16" t="n"/>
    </row>
    <row r="724">
      <c r="A724" s="16" t="inlineStr">
        <is>
          <t>KF-M09-R2-x_b+P_alta+T_fuente-0008</t>
        </is>
      </c>
      <c r="B724" s="35" t="n">
        <v>280.3106386064868</v>
      </c>
      <c r="C724" s="35" t="n">
        <v>1475.918512447287</v>
      </c>
      <c r="D724" s="37" t="n">
        <v>0.4403552798468607</v>
      </c>
      <c r="E724" s="37" t="n">
        <v>0.7625820111018182</v>
      </c>
      <c r="F724" s="37" t="n">
        <v>0.6580943409921782</v>
      </c>
      <c r="G724" s="37" t="n">
        <v>0.7156345642819939</v>
      </c>
      <c r="H724" s="37" t="n">
        <v>0.5986415952160927</v>
      </c>
      <c r="I724" s="39" t="inlineStr">
        <is>
          <t>Corregible</t>
        </is>
      </c>
      <c r="J724" s="29" t="n">
        <v>0.77122704643355</v>
      </c>
      <c r="K724" s="35" t="n">
        <v>9.747809292999854</v>
      </c>
      <c r="L724" s="36" t="n">
        <v>1524.081487552713</v>
      </c>
      <c r="M724" s="29" t="n">
        <v>2.032632543530852</v>
      </c>
      <c r="N724" s="16" t="inlineStr">
        <is>
          <t>sí</t>
        </is>
      </c>
      <c r="O724" s="16" t="inlineStr">
        <is>
          <t>O2</t>
        </is>
      </c>
    </row>
    <row r="725">
      <c r="A725" s="16" t="inlineStr">
        <is>
          <t>KF-M09-R2-x_b+P_alta+T_fuente-0009</t>
        </is>
      </c>
      <c r="B725" s="35" t="n">
        <v>294.5422602316461</v>
      </c>
      <c r="C725" s="35" t="n">
        <v>835.8929498511238</v>
      </c>
      <c r="D725" s="37" t="n">
        <v>0.5171683885317958</v>
      </c>
      <c r="E725" s="37" t="n">
        <v>0.4714045566985723</v>
      </c>
      <c r="F725" s="37" t="n">
        <v>0.5546868534528477</v>
      </c>
      <c r="G725" s="37" t="n">
        <v>0.4773093860289317</v>
      </c>
      <c r="H725" s="37" t="n">
        <v>0.552011203230666</v>
      </c>
      <c r="I725" s="40" t="inlineStr">
        <is>
          <t>Inviable</t>
        </is>
      </c>
      <c r="J725" s="29" t="n">
        <v>-5.35649535137402</v>
      </c>
      <c r="K725" s="35" t="n">
        <v>-52.30175187267869</v>
      </c>
      <c r="L725" s="36" t="n">
        <v>2164.107050148876</v>
      </c>
      <c r="M725" s="29" t="n">
        <v>3.588976316326526</v>
      </c>
      <c r="N725" s="16" t="inlineStr">
        <is>
          <t>sí</t>
        </is>
      </c>
      <c r="O725" s="16" t="inlineStr">
        <is>
          <t>O2,O3</t>
        </is>
      </c>
    </row>
    <row r="726">
      <c r="A726" s="16" t="inlineStr">
        <is>
          <t>KF-M09-R2-x_b+P_alta+T_fuente-0010</t>
        </is>
      </c>
      <c r="B726" s="35" t="n">
        <v>282.2612186015493</v>
      </c>
      <c r="C726" s="35" t="n">
        <v>311.1661409391682</v>
      </c>
      <c r="D726" s="37" t="n">
        <v>0.8274866159148471</v>
      </c>
      <c r="E726" s="37" t="n">
        <v>0.6170340451994893</v>
      </c>
      <c r="F726" s="37" t="n">
        <v>0.8606384624055397</v>
      </c>
      <c r="G726" s="37" t="n">
        <v>0.5819880384148691</v>
      </c>
      <c r="H726" s="37" t="n">
        <v>0.7748964603500613</v>
      </c>
      <c r="I726" s="32" t="inlineStr">
        <is>
          <t>No convergió</t>
        </is>
      </c>
      <c r="J726" s="29" t="inlineStr">
        <is>
          <t>—</t>
        </is>
      </c>
      <c r="K726" s="35" t="inlineStr">
        <is>
          <t>—</t>
        </is>
      </c>
      <c r="L726" s="36" t="n">
        <v>2688.833859060832</v>
      </c>
      <c r="M726" s="29" t="n">
        <v>9.641151800595454</v>
      </c>
      <c r="N726" s="16" t="inlineStr">
        <is>
          <t>no</t>
        </is>
      </c>
      <c r="O726" s="16" t="n"/>
    </row>
    <row r="727">
      <c r="A727" s="16" t="inlineStr">
        <is>
          <t>KF-M09-R2-x_b+P_alta+T_fuente-0011</t>
        </is>
      </c>
      <c r="B727" s="35" t="n">
        <v>285.5316268226995</v>
      </c>
      <c r="C727" s="35" t="n">
        <v>1815.694643058688</v>
      </c>
      <c r="D727" s="37" t="n">
        <v>0.6853157004362564</v>
      </c>
      <c r="E727" s="37" t="n">
        <v>0.770636033726113</v>
      </c>
      <c r="F727" s="37" t="n">
        <v>0.4457077580634314</v>
      </c>
      <c r="G727" s="37" t="n">
        <v>0.8904097744952528</v>
      </c>
      <c r="H727" s="37" t="n">
        <v>0.8123711934892608</v>
      </c>
      <c r="I727" s="42" t="inlineStr">
        <is>
          <t>KALINA</t>
        </is>
      </c>
      <c r="J727" s="29" t="n">
        <v>3.07784247910903</v>
      </c>
      <c r="K727" s="35" t="n">
        <v>32.30924658332599</v>
      </c>
      <c r="L727" s="36" t="n">
        <v>1184.305356941312</v>
      </c>
      <c r="M727" s="29" t="n">
        <v>1.652260203260969</v>
      </c>
      <c r="N727" s="16" t="inlineStr">
        <is>
          <t>sí</t>
        </is>
      </c>
      <c r="O727" s="16" t="n"/>
    </row>
    <row r="728">
      <c r="A728" s="16" t="inlineStr">
        <is>
          <t>KF-M09-R2-x_b+P_alta+T_fuente-0012</t>
        </is>
      </c>
      <c r="B728" s="35" t="n">
        <v>289.130480019032</v>
      </c>
      <c r="C728" s="35" t="n">
        <v>1230.69005868023</v>
      </c>
      <c r="D728" s="37" t="n">
        <v>0.4558416440637962</v>
      </c>
      <c r="E728" s="37" t="n">
        <v>0.4479816752045392</v>
      </c>
      <c r="F728" s="37" t="n">
        <v>0.8981971738319032</v>
      </c>
      <c r="G728" s="37" t="n">
        <v>0.7646510871393803</v>
      </c>
      <c r="H728" s="37" t="n">
        <v>0.410205388194882</v>
      </c>
      <c r="I728" s="32" t="inlineStr">
        <is>
          <t>No convergió</t>
        </is>
      </c>
      <c r="J728" s="29" t="inlineStr">
        <is>
          <t>—</t>
        </is>
      </c>
      <c r="K728" s="35" t="inlineStr">
        <is>
          <t>—</t>
        </is>
      </c>
      <c r="L728" s="36" t="n">
        <v>1769.30994131977</v>
      </c>
      <c r="M728" s="29" t="n">
        <v>2.437656807935173</v>
      </c>
      <c r="N728" s="16" t="inlineStr">
        <is>
          <t>no</t>
        </is>
      </c>
      <c r="O728" s="16" t="n"/>
    </row>
    <row r="729">
      <c r="A729" s="16" t="inlineStr">
        <is>
          <t>KF-M09-R2-x_b+P_alta+T_fuente-0013</t>
        </is>
      </c>
      <c r="B729" s="35" t="n">
        <v>298.3977312618284</v>
      </c>
      <c r="C729" s="35" t="n">
        <v>422.7708757810038</v>
      </c>
      <c r="D729" s="37" t="n">
        <v>0.8894184429641003</v>
      </c>
      <c r="E729" s="37" t="n">
        <v>0.5682946261243337</v>
      </c>
      <c r="F729" s="37" t="n">
        <v>0.6209151204565988</v>
      </c>
      <c r="G729" s="37" t="n">
        <v>0.6381976258190162</v>
      </c>
      <c r="H729" s="37" t="n">
        <v>0.8523547748662951</v>
      </c>
      <c r="I729" s="39" t="inlineStr">
        <is>
          <t>Corregible</t>
        </is>
      </c>
      <c r="J729" s="29" t="n">
        <v>13.43570048604713</v>
      </c>
      <c r="K729" s="35" t="n">
        <v>201.2469544469369</v>
      </c>
      <c r="L729" s="36" t="n">
        <v>2577.229124218996</v>
      </c>
      <c r="M729" s="29" t="n">
        <v>7.096042258014968</v>
      </c>
      <c r="N729" s="16" t="inlineStr">
        <is>
          <t>sí</t>
        </is>
      </c>
      <c r="O729" s="16" t="inlineStr">
        <is>
          <t>O1,O2</t>
        </is>
      </c>
    </row>
    <row r="730">
      <c r="A730" s="16" t="inlineStr">
        <is>
          <t>KF-M09-R2-x_b+P_alta+T_fuente-0014</t>
        </is>
      </c>
      <c r="B730" s="35" t="n">
        <v>295.0987938713042</v>
      </c>
      <c r="C730" s="35" t="n">
        <v>1905.45871520001</v>
      </c>
      <c r="D730" s="37" t="n">
        <v>0.5397454955544805</v>
      </c>
      <c r="E730" s="37" t="n">
        <v>0.8429241347406418</v>
      </c>
      <c r="F730" s="37" t="n">
        <v>0.7839630642774404</v>
      </c>
      <c r="G730" s="37" t="n">
        <v>0.5901179556326932</v>
      </c>
      <c r="H730" s="37" t="n">
        <v>0.8007187776346791</v>
      </c>
      <c r="I730" s="39" t="inlineStr">
        <is>
          <t>Corregible</t>
        </is>
      </c>
      <c r="J730" s="29" t="n">
        <v>2.18454062442933</v>
      </c>
      <c r="K730" s="35" t="n">
        <v>39.46306622705444</v>
      </c>
      <c r="L730" s="36" t="n">
        <v>1094.54128479999</v>
      </c>
      <c r="M730" s="29" t="n">
        <v>1.574424035571455</v>
      </c>
      <c r="N730" s="16" t="inlineStr">
        <is>
          <t>sí</t>
        </is>
      </c>
      <c r="O730" s="16" t="inlineStr">
        <is>
          <t>O2</t>
        </is>
      </c>
    </row>
    <row r="731">
      <c r="A731" s="16" t="inlineStr">
        <is>
          <t>KF-M09-R2-x_b+P_alta+T_fuente-0015</t>
        </is>
      </c>
      <c r="B731" s="35" t="n">
        <v>301.2924410768845</v>
      </c>
      <c r="C731" s="35" t="n">
        <v>1701.945703289876</v>
      </c>
      <c r="D731" s="37" t="n">
        <v>0.4292326665812323</v>
      </c>
      <c r="E731" s="37" t="n">
        <v>0.7201330239383612</v>
      </c>
      <c r="F731" s="37" t="n">
        <v>0.513328164080237</v>
      </c>
      <c r="G731" s="37" t="n">
        <v>0.4251267058229641</v>
      </c>
      <c r="H731" s="37" t="n">
        <v>0.4634362064710768</v>
      </c>
      <c r="I731" s="40" t="inlineStr">
        <is>
          <t>Inviable</t>
        </is>
      </c>
      <c r="J731" s="29" t="n">
        <v>-2.03628339407253</v>
      </c>
      <c r="K731" s="35" t="n">
        <v>-17.32578034282854</v>
      </c>
      <c r="L731" s="36" t="n">
        <v>1298.054296710124</v>
      </c>
      <c r="M731" s="29" t="n">
        <v>1.76268843018962</v>
      </c>
      <c r="N731" s="16" t="inlineStr">
        <is>
          <t>sí</t>
        </is>
      </c>
      <c r="O731" s="16" t="inlineStr">
        <is>
          <t>O2,O3</t>
        </is>
      </c>
    </row>
    <row r="732">
      <c r="A732" s="16" t="inlineStr">
        <is>
          <t>KF-M09-R2-x_b+P_alta+T_fuente-0016</t>
        </is>
      </c>
      <c r="B732" s="35" t="n">
        <v>290.03109043702</v>
      </c>
      <c r="C732" s="35" t="n">
        <v>507.6488705062842</v>
      </c>
      <c r="D732" s="37" t="n">
        <v>0.8565993989629384</v>
      </c>
      <c r="E732" s="37" t="n">
        <v>0.8810170126900031</v>
      </c>
      <c r="F732" s="37" t="n">
        <v>0.8213564490237628</v>
      </c>
      <c r="G732" s="37" t="n">
        <v>0.8953660724763436</v>
      </c>
      <c r="H732" s="37" t="n">
        <v>0.5075268289879843</v>
      </c>
      <c r="I732" s="32" t="inlineStr">
        <is>
          <t>No convergió</t>
        </is>
      </c>
      <c r="J732" s="29" t="inlineStr">
        <is>
          <t>—</t>
        </is>
      </c>
      <c r="K732" s="35" t="inlineStr">
        <is>
          <t>—</t>
        </is>
      </c>
      <c r="L732" s="36" t="n">
        <v>2492.351129493716</v>
      </c>
      <c r="M732" s="29" t="n">
        <v>5.909596522903843</v>
      </c>
      <c r="N732" s="16" t="inlineStr">
        <is>
          <t>no</t>
        </is>
      </c>
      <c r="O732" s="16" t="n"/>
    </row>
    <row r="733">
      <c r="A733" s="16" t="inlineStr">
        <is>
          <t>KF-M09-R2-x_b+P_alta+T_fuente-0017</t>
        </is>
      </c>
      <c r="B733" s="35" t="n">
        <v>288.2645411381921</v>
      </c>
      <c r="C733" s="35" t="n">
        <v>1569.145839222811</v>
      </c>
      <c r="D733" s="37" t="n">
        <v>0.61735390755188</v>
      </c>
      <c r="E733" s="37" t="n">
        <v>0.5351052044000404</v>
      </c>
      <c r="F733" s="37" t="n">
        <v>0.4703475180441441</v>
      </c>
      <c r="G733" s="37" t="n">
        <v>0.9464138917984696</v>
      </c>
      <c r="H733" s="37" t="n">
        <v>0.7160754127403335</v>
      </c>
      <c r="I733" s="39" t="inlineStr">
        <is>
          <t>Corregible</t>
        </is>
      </c>
      <c r="J733" s="29" t="n">
        <v>3.52299430753637</v>
      </c>
      <c r="K733" s="35" t="n">
        <v>37.15417900554777</v>
      </c>
      <c r="L733" s="36" t="n">
        <v>1430.854160777189</v>
      </c>
      <c r="M733" s="29" t="n">
        <v>1.911868180134157</v>
      </c>
      <c r="N733" s="16" t="inlineStr">
        <is>
          <t>sí</t>
        </is>
      </c>
      <c r="O733" s="16" t="inlineStr">
        <is>
          <t>O2</t>
        </is>
      </c>
    </row>
    <row r="734">
      <c r="A734" s="16" t="inlineStr">
        <is>
          <t>KF-M09-R2-x_b+P_alta+T_fuente-0018</t>
        </is>
      </c>
      <c r="B734" s="35" t="n">
        <v>302.045227387712</v>
      </c>
      <c r="C734" s="35" t="n">
        <v>935.2964635358516</v>
      </c>
      <c r="D734" s="37" t="n">
        <v>0.6445804087223888</v>
      </c>
      <c r="E734" s="37" t="n">
        <v>0.5486598139289991</v>
      </c>
      <c r="F734" s="37" t="n">
        <v>0.7132206363976792</v>
      </c>
      <c r="G734" s="37" t="n">
        <v>0.4530214172236048</v>
      </c>
      <c r="H734" s="37" t="n">
        <v>0.4839921037234778</v>
      </c>
      <c r="I734" s="32" t="inlineStr">
        <is>
          <t>No convergió</t>
        </is>
      </c>
      <c r="J734" s="29" t="inlineStr">
        <is>
          <t>—</t>
        </is>
      </c>
      <c r="K734" s="35" t="inlineStr">
        <is>
          <t>—</t>
        </is>
      </c>
      <c r="L734" s="36" t="n">
        <v>2064.703536464148</v>
      </c>
      <c r="M734" s="29" t="n">
        <v>3.207539124716261</v>
      </c>
      <c r="N734" s="16" t="inlineStr">
        <is>
          <t>no</t>
        </is>
      </c>
      <c r="O734" s="16" t="n"/>
    </row>
    <row r="735">
      <c r="A735" s="16" t="inlineStr">
        <is>
          <t>KF-M09-R2-x_b+P_alta+T_fuente-0019</t>
        </is>
      </c>
      <c r="B735" s="35" t="n">
        <v>299.5415633031322</v>
      </c>
      <c r="C735" s="35" t="n">
        <v>1192.44490158747</v>
      </c>
      <c r="D735" s="37" t="n">
        <v>0.7502394168066111</v>
      </c>
      <c r="E735" s="37" t="n">
        <v>0.7359970604980859</v>
      </c>
      <c r="F735" s="37" t="n">
        <v>0.8291701726500252</v>
      </c>
      <c r="G735" s="37" t="n">
        <v>0.5621931267283349</v>
      </c>
      <c r="H735" s="37" t="n">
        <v>0.748591294117495</v>
      </c>
      <c r="I735" s="32" t="inlineStr">
        <is>
          <t>No convergió</t>
        </is>
      </c>
      <c r="J735" s="29" t="inlineStr">
        <is>
          <t>—</t>
        </is>
      </c>
      <c r="K735" s="35" t="inlineStr">
        <is>
          <t>—</t>
        </is>
      </c>
      <c r="L735" s="36" t="n">
        <v>1807.55509841253</v>
      </c>
      <c r="M735" s="29" t="n">
        <v>2.515839512589789</v>
      </c>
      <c r="N735" s="16" t="inlineStr">
        <is>
          <t>no</t>
        </is>
      </c>
      <c r="O735" s="16" t="n"/>
    </row>
    <row r="736">
      <c r="A736" s="16" t="inlineStr">
        <is>
          <t>KF-M09-R2-x_b+P_alta+T_fuente-0020</t>
        </is>
      </c>
      <c r="B736" s="35" t="n">
        <v>281.3078531211632</v>
      </c>
      <c r="C736" s="35" t="n">
        <v>1830.205145779677</v>
      </c>
      <c r="D736" s="37" t="n">
        <v>0.6576500146997929</v>
      </c>
      <c r="E736" s="37" t="n">
        <v>0.6897349085470182</v>
      </c>
      <c r="F736" s="37" t="n">
        <v>0.4218937394535532</v>
      </c>
      <c r="G736" s="37" t="n">
        <v>0.7107290378551828</v>
      </c>
      <c r="H736" s="37" t="n">
        <v>0.9460980564672116</v>
      </c>
      <c r="I736" s="42" t="inlineStr">
        <is>
          <t>KALINA</t>
        </is>
      </c>
      <c r="J736" s="29" t="n">
        <v>2.42632357042309</v>
      </c>
      <c r="K736" s="35" t="n">
        <v>25.68008121605776</v>
      </c>
      <c r="L736" s="36" t="n">
        <v>1169.794854220323</v>
      </c>
      <c r="M736" s="29" t="n">
        <v>1.63916050991212</v>
      </c>
      <c r="N736" s="16" t="inlineStr">
        <is>
          <t>sí</t>
        </is>
      </c>
      <c r="O736" s="16" t="n"/>
    </row>
    <row r="737">
      <c r="A737" s="16" t="inlineStr">
        <is>
          <t>KF-M09-R2-x_b+P_alta+T_fuente-0021</t>
        </is>
      </c>
      <c r="B737" s="35" t="n">
        <v>292.3260151965185</v>
      </c>
      <c r="C737" s="35" t="n">
        <v>916.8744501144532</v>
      </c>
      <c r="D737" s="37" t="n">
        <v>0.913749680206096</v>
      </c>
      <c r="E737" s="37" t="n">
        <v>0.9389202455978716</v>
      </c>
      <c r="F737" s="37" t="n">
        <v>0.6907833096193943</v>
      </c>
      <c r="G737" s="37" t="n">
        <v>0.5329800310495979</v>
      </c>
      <c r="H737" s="37" t="n">
        <v>0.4378492477973664</v>
      </c>
      <c r="I737" s="39" t="inlineStr">
        <is>
          <t>Corregible</t>
        </is>
      </c>
      <c r="J737" s="29" t="n">
        <v>8.27387830448032</v>
      </c>
      <c r="K737" s="35" t="n">
        <v>83.85681201941125</v>
      </c>
      <c r="L737" s="36" t="n">
        <v>2083.125549885547</v>
      </c>
      <c r="M737" s="29" t="n">
        <v>3.271985602418642</v>
      </c>
      <c r="N737" s="16" t="inlineStr">
        <is>
          <t>sí</t>
        </is>
      </c>
      <c r="O737" s="16" t="inlineStr">
        <is>
          <t>O2</t>
        </is>
      </c>
    </row>
    <row r="738">
      <c r="A738" s="16" t="inlineStr">
        <is>
          <t>KF-M09-R2-x_b+P_alta+T_fuente-0022</t>
        </is>
      </c>
      <c r="B738" s="35" t="n">
        <v>303.078613737314</v>
      </c>
      <c r="C738" s="35" t="n">
        <v>545.0225146667292</v>
      </c>
      <c r="D738" s="37" t="n">
        <v>0.9028437462566063</v>
      </c>
      <c r="E738" s="37" t="n">
        <v>0.4076984229239016</v>
      </c>
      <c r="F738" s="37" t="n">
        <v>0.7570760008304964</v>
      </c>
      <c r="G738" s="37" t="n">
        <v>0.7346062414686341</v>
      </c>
      <c r="H738" s="37" t="n">
        <v>0.8749836074817792</v>
      </c>
      <c r="I738" s="39" t="inlineStr">
        <is>
          <t>Corregible</t>
        </is>
      </c>
      <c r="J738" s="29" t="n">
        <v>11.97916141314135</v>
      </c>
      <c r="K738" s="35" t="n">
        <v>220.2237101333046</v>
      </c>
      <c r="L738" s="36" t="n">
        <v>2454.977485333271</v>
      </c>
      <c r="M738" s="29" t="n">
        <v>5.504359763622687</v>
      </c>
      <c r="N738" s="16" t="inlineStr">
        <is>
          <t>sí</t>
        </is>
      </c>
      <c r="O738" s="16" t="inlineStr">
        <is>
          <t>O2</t>
        </is>
      </c>
    </row>
    <row r="739">
      <c r="A739" s="16" t="inlineStr">
        <is>
          <t>KF-M09-R2-x_b+P_alta+T_fuente-0023</t>
        </is>
      </c>
      <c r="B739" s="35" t="n">
        <v>285.9287357580789</v>
      </c>
      <c r="C739" s="35" t="n">
        <v>1400.378800273782</v>
      </c>
      <c r="D739" s="37" t="n">
        <v>0.5887975352417638</v>
      </c>
      <c r="E739" s="37" t="n">
        <v>0.4215749272174103</v>
      </c>
      <c r="F739" s="37" t="n">
        <v>0.6069099473210591</v>
      </c>
      <c r="G739" s="37" t="n">
        <v>0.8211816104047669</v>
      </c>
      <c r="H739" s="37" t="n">
        <v>0.8273980602471588</v>
      </c>
      <c r="I739" s="42" t="inlineStr">
        <is>
          <t>KALINA</t>
        </is>
      </c>
      <c r="J739" s="29" t="n">
        <v>3.8231087074842</v>
      </c>
      <c r="K739" s="35" t="n">
        <v>55.45096620755481</v>
      </c>
      <c r="L739" s="36" t="n">
        <v>1599.621199726218</v>
      </c>
      <c r="M739" s="29" t="n">
        <v>2.142277503353724</v>
      </c>
      <c r="N739" s="16" t="inlineStr">
        <is>
          <t>sí</t>
        </is>
      </c>
      <c r="O739" s="16" t="n"/>
    </row>
    <row r="740">
      <c r="A740" s="16" t="inlineStr">
        <is>
          <t>KF-M09-R2-x_b+P_alta+T_fuente-0024</t>
        </is>
      </c>
      <c r="B740" s="35" t="n">
        <v>287.2314789195482</v>
      </c>
      <c r="C740" s="35" t="n">
        <v>1541.091075198467</v>
      </c>
      <c r="D740" s="37" t="n">
        <v>0.7335663305016051</v>
      </c>
      <c r="E740" s="37" t="n">
        <v>0.6000820126796704</v>
      </c>
      <c r="F740" s="37" t="n">
        <v>0.8410071726641275</v>
      </c>
      <c r="G740" s="37" t="n">
        <v>0.8732002234255767</v>
      </c>
      <c r="H740" s="37" t="n">
        <v>0.4313822375835836</v>
      </c>
      <c r="I740" s="32" t="inlineStr">
        <is>
          <t>No convergió</t>
        </is>
      </c>
      <c r="J740" s="29" t="inlineStr">
        <is>
          <t>—</t>
        </is>
      </c>
      <c r="K740" s="35" t="inlineStr">
        <is>
          <t>—</t>
        </is>
      </c>
      <c r="L740" s="36" t="n">
        <v>1458.908924801533</v>
      </c>
      <c r="M740" s="29" t="n">
        <v>1.946672749119418</v>
      </c>
      <c r="N740" s="16" t="inlineStr">
        <is>
          <t>no</t>
        </is>
      </c>
      <c r="O740" s="16" t="n"/>
    </row>
    <row r="741">
      <c r="A741" s="16" t="inlineStr">
        <is>
          <t>KF-M09-R2-x_b+P_alta+T_fuente-0025</t>
        </is>
      </c>
      <c r="B741" s="35" t="n">
        <v>296.4302191407729</v>
      </c>
      <c r="C741" s="35" t="n">
        <v>651.3341518407349</v>
      </c>
      <c r="D741" s="37" t="n">
        <v>0.5702120596219586</v>
      </c>
      <c r="E741" s="37" t="n">
        <v>0.9093596588331484</v>
      </c>
      <c r="F741" s="37" t="n">
        <v>0.5448074416613077</v>
      </c>
      <c r="G741" s="37" t="n">
        <v>0.8265751851212897</v>
      </c>
      <c r="H741" s="37" t="n">
        <v>0.5243726527836166</v>
      </c>
      <c r="I741" s="39" t="inlineStr">
        <is>
          <t>Corregible</t>
        </is>
      </c>
      <c r="J741" s="29" t="n">
        <v>2.53008089840514</v>
      </c>
      <c r="K741" s="35" t="n">
        <v>24.3654611128585</v>
      </c>
      <c r="L741" s="36" t="n">
        <v>2348.665848159265</v>
      </c>
      <c r="M741" s="29" t="n">
        <v>4.60593075232076</v>
      </c>
      <c r="N741" s="16" t="inlineStr">
        <is>
          <t>sí</t>
        </is>
      </c>
      <c r="O741" s="16" t="inlineStr">
        <is>
          <t>O2</t>
        </is>
      </c>
    </row>
    <row r="742">
      <c r="A742" s="16" t="inlineStr">
        <is>
          <t>KF-M09-R2-x_b+P_alta+T_fuente-0026</t>
        </is>
      </c>
      <c r="B742" s="35" t="n">
        <v>282.4332008209312</v>
      </c>
      <c r="C742" s="35" t="n">
        <v>1637.133267781828</v>
      </c>
      <c r="D742" s="37" t="n">
        <v>0.7150306314452732</v>
      </c>
      <c r="E742" s="37" t="n">
        <v>0.6319120808890645</v>
      </c>
      <c r="F742" s="37" t="n">
        <v>0.7340136521407201</v>
      </c>
      <c r="G742" s="37" t="n">
        <v>0.6846413334901269</v>
      </c>
      <c r="H742" s="37" t="n">
        <v>0.6692324581420136</v>
      </c>
      <c r="I742" s="39" t="inlineStr">
        <is>
          <t>Corregible</t>
        </is>
      </c>
      <c r="J742" s="29" t="n">
        <v>2.9638166217489</v>
      </c>
      <c r="K742" s="35" t="n">
        <v>44.5878930306328</v>
      </c>
      <c r="L742" s="36" t="n">
        <v>1362.866732218172</v>
      </c>
      <c r="M742" s="29" t="n">
        <v>1.8324714664584</v>
      </c>
      <c r="N742" s="16" t="inlineStr">
        <is>
          <t>sí</t>
        </is>
      </c>
      <c r="O742" s="16" t="inlineStr">
        <is>
          <t>O2</t>
        </is>
      </c>
    </row>
    <row r="743">
      <c r="A743" s="16" t="inlineStr">
        <is>
          <t>KF-M09-R2-x_b+P_alta+T_fuente-0027</t>
        </is>
      </c>
      <c r="B743" s="35" t="n">
        <v>300.4282987282664</v>
      </c>
      <c r="C743" s="35" t="n">
        <v>1353.558019845526</v>
      </c>
      <c r="D743" s="37" t="n">
        <v>0.4892095123483372</v>
      </c>
      <c r="E743" s="37" t="n">
        <v>0.8764073057519822</v>
      </c>
      <c r="F743" s="37" t="n">
        <v>0.4097101644455598</v>
      </c>
      <c r="G743" s="37" t="n">
        <v>0.802740849622757</v>
      </c>
      <c r="H743" s="37" t="n">
        <v>0.6885105735571986</v>
      </c>
      <c r="I743" s="39" t="inlineStr">
        <is>
          <t>Corregible</t>
        </is>
      </c>
      <c r="J743" s="29" t="n">
        <v>3.06122264474106</v>
      </c>
      <c r="K743" s="35" t="n">
        <v>27.81648773169434</v>
      </c>
      <c r="L743" s="36" t="n">
        <v>1646.441980154474</v>
      </c>
      <c r="M743" s="29" t="n">
        <v>2.216380794923274</v>
      </c>
      <c r="N743" s="16" t="inlineStr">
        <is>
          <t>sí</t>
        </is>
      </c>
      <c r="O743" s="16" t="inlineStr">
        <is>
          <t>O2</t>
        </is>
      </c>
    </row>
    <row r="744">
      <c r="A744" s="16" t="inlineStr">
        <is>
          <t>KF-M09-R2-x_b+P_alta+T_fuente-0028</t>
        </is>
      </c>
      <c r="B744" s="35" t="n">
        <v>278.6035681835484</v>
      </c>
      <c r="C744" s="35" t="n">
        <v>794.7328802754308</v>
      </c>
      <c r="D744" s="37" t="n">
        <v>0.8167040321132031</v>
      </c>
      <c r="E744" s="37" t="n">
        <v>0.928313511666417</v>
      </c>
      <c r="F744" s="37" t="n">
        <v>0.5969665918523156</v>
      </c>
      <c r="G744" s="37" t="n">
        <v>0.6523569221728328</v>
      </c>
      <c r="H744" s="37" t="n">
        <v>0.618385253579259</v>
      </c>
      <c r="I744" s="39" t="inlineStr">
        <is>
          <t>Corregible</t>
        </is>
      </c>
      <c r="J744" s="29" t="n">
        <v>8.487679688741249</v>
      </c>
      <c r="K744" s="35" t="n">
        <v>103.9796351288541</v>
      </c>
      <c r="L744" s="36" t="n">
        <v>2205.267119724569</v>
      </c>
      <c r="M744" s="29" t="n">
        <v>3.77485325504626</v>
      </c>
      <c r="N744" s="16" t="inlineStr">
        <is>
          <t>sí</t>
        </is>
      </c>
      <c r="O744" s="16" t="inlineStr">
        <is>
          <t>O2</t>
        </is>
      </c>
    </row>
    <row r="745">
      <c r="A745" s="16" t="inlineStr">
        <is>
          <t>KF-M09-R2-x_b+P_alta+T_fuente-0029</t>
        </is>
      </c>
      <c r="B745" s="35" t="n">
        <v>284.6409554509154</v>
      </c>
      <c r="C745" s="35" t="n">
        <v>1737.290088710322</v>
      </c>
      <c r="D745" s="37" t="n">
        <v>0.9433418273026264</v>
      </c>
      <c r="E745" s="37" t="n">
        <v>0.5033273725100242</v>
      </c>
      <c r="F745" s="37" t="n">
        <v>0.4972271185829919</v>
      </c>
      <c r="G745" s="37" t="n">
        <v>0.510189374100438</v>
      </c>
      <c r="H745" s="37" t="n">
        <v>0.6543449480160415</v>
      </c>
      <c r="I745" s="39" t="inlineStr">
        <is>
          <t>Corregible</t>
        </is>
      </c>
      <c r="J745" s="29" t="n">
        <v>4.02870396015216</v>
      </c>
      <c r="K745" s="35" t="n">
        <v>43.74815889357529</v>
      </c>
      <c r="L745" s="36" t="n">
        <v>1262.709911289678</v>
      </c>
      <c r="M745" s="29" t="n">
        <v>1.72682732693597</v>
      </c>
      <c r="N745" s="16" t="inlineStr">
        <is>
          <t>sí</t>
        </is>
      </c>
      <c r="O745" s="16" t="inlineStr">
        <is>
          <t>O2</t>
        </is>
      </c>
    </row>
    <row r="747">
      <c r="A747" s="33" t="inlineStr">
        <is>
          <t>Parte 4.3 x_b+P_alta+T_sumidero · ronda 2 · 30 puntos</t>
        </is>
      </c>
      <c r="B747" s="31" t="n"/>
      <c r="C747" s="31" t="n"/>
      <c r="D747" s="31" t="n"/>
      <c r="E747" s="31" t="n"/>
      <c r="F747" s="31" t="n"/>
      <c r="G747" s="31" t="n"/>
      <c r="H747" s="31" t="n"/>
      <c r="I747" s="31" t="n"/>
      <c r="J747" s="31" t="n"/>
      <c r="K747" s="31" t="n"/>
    </row>
    <row r="749">
      <c r="A749" s="34" t="inlineStr">
        <is>
          <t>Barrido de la parte 4.3 x_b+P_alta+T_sumidero · 30 puntos</t>
        </is>
      </c>
    </row>
    <row r="750">
      <c r="A750" s="25" t="inlineStr">
        <is>
          <t>Fijos en este barrido: T_sumidero = 300.03, P_alta = 3000, x_b = 0.5.</t>
        </is>
      </c>
    </row>
    <row r="751">
      <c r="A751" s="22" t="inlineStr">
        <is>
          <t>id_punto</t>
        </is>
      </c>
      <c r="B751" s="22" t="inlineStr">
        <is>
          <t>T_fuente [K]</t>
        </is>
      </c>
      <c r="C751" s="22" t="inlineStr">
        <is>
          <t>P_baja [kPa]</t>
        </is>
      </c>
      <c r="D751" s="22" t="inlineStr">
        <is>
          <t>η_t [–]</t>
        </is>
      </c>
      <c r="E751" s="22" t="inlineStr">
        <is>
          <t>η_p [–]</t>
        </is>
      </c>
      <c r="F751" s="22" t="inlineStr">
        <is>
          <t>ε_HRVG [–]</t>
        </is>
      </c>
      <c r="G751" s="22" t="inlineStr">
        <is>
          <t>ε_reg [–]</t>
        </is>
      </c>
      <c r="H751" s="22" t="inlineStr">
        <is>
          <t>ε_cond [–]</t>
        </is>
      </c>
      <c r="I751" s="22" t="inlineStr">
        <is>
          <t>Clase</t>
        </is>
      </c>
      <c r="J751" s="22" t="inlineStr">
        <is>
          <t>η [%]</t>
        </is>
      </c>
      <c r="K751" s="22" t="inlineStr">
        <is>
          <t>W_net [kW] (m_b = 1 kg/s)</t>
        </is>
      </c>
      <c r="L751" s="22" t="inlineStr">
        <is>
          <t>ΔP [kPa]</t>
        </is>
      </c>
      <c r="M751" s="22" t="inlineStr">
        <is>
          <t>r_P [–]</t>
        </is>
      </c>
      <c r="N751" s="22" t="inlineStr">
        <is>
          <t>Fuera de rango</t>
        </is>
      </c>
      <c r="O751" s="22" t="inlineStr">
        <is>
          <t>Criterios que falla</t>
        </is>
      </c>
    </row>
    <row r="752">
      <c r="A752" s="16" t="inlineStr">
        <is>
          <t>KF-M09-R2-x_b+P_alta+T_sumidero-0000</t>
        </is>
      </c>
      <c r="B752" s="35" t="n">
        <v>444.2329372543539</v>
      </c>
      <c r="C752" s="35" t="n">
        <v>481.7254624306894</v>
      </c>
      <c r="D752" s="37" t="n">
        <v>0.6419820840160831</v>
      </c>
      <c r="E752" s="37" t="n">
        <v>0.6620723198499333</v>
      </c>
      <c r="F752" s="37" t="n">
        <v>0.8817880559420753</v>
      </c>
      <c r="G752" s="37" t="n">
        <v>0.4514576934999693</v>
      </c>
      <c r="H752" s="37" t="n">
        <v>0.5271192913974432</v>
      </c>
      <c r="I752" s="39" t="inlineStr">
        <is>
          <t>Corregible</t>
        </is>
      </c>
      <c r="J752" s="29" t="n">
        <v>0.04787674121331</v>
      </c>
      <c r="K752" s="35" t="n">
        <v>0.2923302350324093</v>
      </c>
      <c r="L752" s="36" t="n">
        <v>2518.274537569311</v>
      </c>
      <c r="M752" s="29" t="n">
        <v>6.227613514267246</v>
      </c>
      <c r="N752" s="16" t="inlineStr">
        <is>
          <t>sí</t>
        </is>
      </c>
      <c r="O752" s="16" t="inlineStr">
        <is>
          <t>O2</t>
        </is>
      </c>
    </row>
    <row r="753">
      <c r="A753" s="16" t="inlineStr">
        <is>
          <t>KF-M09-R2-x_b+P_alta+T_sumidero-0001</t>
        </is>
      </c>
      <c r="B753" s="35" t="n">
        <v>517.8192527317074</v>
      </c>
      <c r="C753" s="35" t="n">
        <v>655.9135453634219</v>
      </c>
      <c r="D753" s="37" t="n">
        <v>0.8634374077279534</v>
      </c>
      <c r="E753" s="37" t="n">
        <v>0.6860299022658274</v>
      </c>
      <c r="F753" s="37" t="n">
        <v>0.4316908282037268</v>
      </c>
      <c r="G753" s="37" t="n">
        <v>0.6247809721002292</v>
      </c>
      <c r="H753" s="37" t="n">
        <v>0.846361663151101</v>
      </c>
      <c r="I753" s="39" t="inlineStr">
        <is>
          <t>Corregible</t>
        </is>
      </c>
      <c r="J753" s="29" t="n">
        <v>10.40926682541897</v>
      </c>
      <c r="K753" s="35" t="n">
        <v>96.04563316210518</v>
      </c>
      <c r="L753" s="36" t="n">
        <v>2344.086454636578</v>
      </c>
      <c r="M753" s="29" t="n">
        <v>4.573773512083503</v>
      </c>
      <c r="N753" s="16" t="inlineStr">
        <is>
          <t>sí</t>
        </is>
      </c>
      <c r="O753" s="16" t="inlineStr">
        <is>
          <t>O2</t>
        </is>
      </c>
    </row>
    <row r="754">
      <c r="A754" s="16" t="inlineStr">
        <is>
          <t>KF-M09-R2-x_b+P_alta+T_sumidero-0002</t>
        </is>
      </c>
      <c r="B754" s="35" t="n">
        <v>386.8608990276125</v>
      </c>
      <c r="C754" s="35" t="n">
        <v>1592.226979178445</v>
      </c>
      <c r="D754" s="37" t="n">
        <v>0.5399799912907556</v>
      </c>
      <c r="E754" s="37" t="n">
        <v>0.9195190019134456</v>
      </c>
      <c r="F754" s="37" t="n">
        <v>0.5169334330027966</v>
      </c>
      <c r="G754" s="37" t="n">
        <v>0.5624244309201203</v>
      </c>
      <c r="H754" s="37" t="n">
        <v>0.6867035094653506</v>
      </c>
      <c r="I754" s="38" t="inlineStr">
        <is>
          <t>Falso convergido</t>
        </is>
      </c>
      <c r="J754" s="29" t="inlineStr">
        <is>
          <t>—</t>
        </is>
      </c>
      <c r="K754" s="35" t="inlineStr">
        <is>
          <t>—</t>
        </is>
      </c>
      <c r="L754" s="36" t="n">
        <v>1407.773020821555</v>
      </c>
      <c r="M754" s="29" t="n">
        <v>1.884153477632904</v>
      </c>
      <c r="N754" s="16" t="inlineStr">
        <is>
          <t>no</t>
        </is>
      </c>
      <c r="O754" s="16" t="inlineStr">
        <is>
          <t>N2,S6,O3,O5,C1,C3,C3</t>
        </is>
      </c>
    </row>
    <row r="755">
      <c r="A755" s="16" t="inlineStr">
        <is>
          <t>KF-M09-R2-x_b+P_alta+T_sumidero-0003</t>
        </is>
      </c>
      <c r="B755" s="35" t="n">
        <v>422.6204680105133</v>
      </c>
      <c r="C755" s="35" t="n">
        <v>929.3934025063515</v>
      </c>
      <c r="D755" s="37" t="n">
        <v>0.445471422597872</v>
      </c>
      <c r="E755" s="37" t="n">
        <v>0.5229808758548544</v>
      </c>
      <c r="F755" s="37" t="n">
        <v>0.7814108470590511</v>
      </c>
      <c r="G755" s="37" t="n">
        <v>0.7149852831936618</v>
      </c>
      <c r="H755" s="37" t="n">
        <v>0.6044676875462551</v>
      </c>
      <c r="I755" s="39" t="inlineStr">
        <is>
          <t>Corregible</t>
        </is>
      </c>
      <c r="J755" s="29" t="n">
        <v>2.29328304608951</v>
      </c>
      <c r="K755" s="35" t="n">
        <v>10.00576905056817</v>
      </c>
      <c r="L755" s="36" t="n">
        <v>2070.606597493648</v>
      </c>
      <c r="M755" s="29" t="n">
        <v>3.227911874465343</v>
      </c>
      <c r="N755" s="16" t="inlineStr">
        <is>
          <t>no</t>
        </is>
      </c>
      <c r="O755" s="16" t="inlineStr">
        <is>
          <t>O2</t>
        </is>
      </c>
    </row>
    <row r="756">
      <c r="A756" s="16" t="inlineStr">
        <is>
          <t>KF-M09-R2-x_b+P_alta+T_sumidero-0004</t>
        </is>
      </c>
      <c r="B756" s="35" t="n">
        <v>508.2964704768929</v>
      </c>
      <c r="C756" s="35" t="n">
        <v>338.0755338415958</v>
      </c>
      <c r="D756" s="37" t="n">
        <v>0.5188343160238513</v>
      </c>
      <c r="E756" s="37" t="n">
        <v>0.7551787092355788</v>
      </c>
      <c r="F756" s="37" t="n">
        <v>0.9293532527573696</v>
      </c>
      <c r="G756" s="37" t="n">
        <v>0.7088652474649959</v>
      </c>
      <c r="H756" s="37" t="n">
        <v>0.6275802942558816</v>
      </c>
      <c r="I756" s="38" t="inlineStr">
        <is>
          <t>Falso convergido</t>
        </is>
      </c>
      <c r="J756" s="29" t="inlineStr">
        <is>
          <t>—</t>
        </is>
      </c>
      <c r="K756" s="35" t="inlineStr">
        <is>
          <t>—</t>
        </is>
      </c>
      <c r="L756" s="36" t="n">
        <v>2661.924466158404</v>
      </c>
      <c r="M756" s="29" t="n">
        <v>8.873756600812291</v>
      </c>
      <c r="N756" s="16" t="inlineStr">
        <is>
          <t>sí</t>
        </is>
      </c>
      <c r="O756" s="16" t="inlineStr">
        <is>
          <t>N2,O2,O5,C1,C3,C3</t>
        </is>
      </c>
    </row>
    <row r="757">
      <c r="A757" s="16" t="inlineStr">
        <is>
          <t>KF-M09-R2-x_b+P_alta+T_sumidero-0005</t>
        </is>
      </c>
      <c r="B757" s="35" t="n">
        <v>495.4420974276027</v>
      </c>
      <c r="C757" s="35" t="n">
        <v>1686.688225135773</v>
      </c>
      <c r="D757" s="37" t="n">
        <v>0.5022573257005427</v>
      </c>
      <c r="E757" s="37" t="n">
        <v>0.899672226894017</v>
      </c>
      <c r="F757" s="37" t="n">
        <v>0.8593462591417784</v>
      </c>
      <c r="G757" s="37" t="n">
        <v>0.6910906810273644</v>
      </c>
      <c r="H757" s="37" t="n">
        <v>0.5825488261697395</v>
      </c>
      <c r="I757" s="39" t="inlineStr">
        <is>
          <t>Corregible</t>
        </is>
      </c>
      <c r="J757" s="29" t="n">
        <v>1.17528139289362</v>
      </c>
      <c r="K757" s="35" t="n">
        <v>14.76669785234048</v>
      </c>
      <c r="L757" s="36" t="n">
        <v>1313.311774864227</v>
      </c>
      <c r="M757" s="29" t="n">
        <v>1.77863339252191</v>
      </c>
      <c r="N757" s="16" t="inlineStr">
        <is>
          <t>sí</t>
        </is>
      </c>
      <c r="O757" s="16" t="inlineStr">
        <is>
          <t>O2</t>
        </is>
      </c>
    </row>
    <row r="758">
      <c r="A758" s="16" t="inlineStr">
        <is>
          <t>KF-M09-R2-x_b+P_alta+T_sumidero-0006</t>
        </is>
      </c>
      <c r="B758" s="35" t="n">
        <v>414.6675733434058</v>
      </c>
      <c r="C758" s="35" t="n">
        <v>1123.456931043106</v>
      </c>
      <c r="D758" s="37" t="n">
        <v>0.8148305316327085</v>
      </c>
      <c r="E758" s="37" t="n">
        <v>0.5444225179455864</v>
      </c>
      <c r="F758" s="37" t="n">
        <v>0.6731341583560769</v>
      </c>
      <c r="G758" s="37" t="n">
        <v>0.8502385706174254</v>
      </c>
      <c r="H758" s="37" t="n">
        <v>0.8062128363795674</v>
      </c>
      <c r="I758" s="42" t="inlineStr">
        <is>
          <t>KALINA</t>
        </is>
      </c>
      <c r="J758" s="29" t="n">
        <v>5.48238324143346</v>
      </c>
      <c r="K758" s="35" t="n">
        <v>18.23840409769809</v>
      </c>
      <c r="L758" s="36" t="n">
        <v>1876.543068956894</v>
      </c>
      <c r="M758" s="29" t="n">
        <v>2.670329335379652</v>
      </c>
      <c r="N758" s="16" t="inlineStr">
        <is>
          <t>no</t>
        </is>
      </c>
      <c r="O758" s="16" t="n"/>
    </row>
    <row r="759">
      <c r="A759" s="16" t="inlineStr">
        <is>
          <t>KF-M09-R2-x_b+P_alta+T_sumidero-0007</t>
        </is>
      </c>
      <c r="B759" s="35" t="n">
        <v>468.7380980391497</v>
      </c>
      <c r="C759" s="35" t="n">
        <v>1401.563797558622</v>
      </c>
      <c r="D759" s="37" t="n">
        <v>0.8433247418113093</v>
      </c>
      <c r="E759" s="37" t="n">
        <v>0.4552782765528459</v>
      </c>
      <c r="F759" s="37" t="n">
        <v>0.5966833438306367</v>
      </c>
      <c r="G759" s="37" t="n">
        <v>0.4287740191651217</v>
      </c>
      <c r="H759" s="37" t="n">
        <v>0.754556408357044</v>
      </c>
      <c r="I759" s="39" t="inlineStr">
        <is>
          <t>Corregible</t>
        </is>
      </c>
      <c r="J759" s="29" t="n">
        <v>5.31101831329724</v>
      </c>
      <c r="K759" s="35" t="n">
        <v>55.9159869328986</v>
      </c>
      <c r="L759" s="36" t="n">
        <v>1598.436202441378</v>
      </c>
      <c r="M759" s="29" t="n">
        <v>2.140466245793226</v>
      </c>
      <c r="N759" s="16" t="inlineStr">
        <is>
          <t>sí</t>
        </is>
      </c>
      <c r="O759" s="16" t="inlineStr">
        <is>
          <t>O2</t>
        </is>
      </c>
    </row>
    <row r="760">
      <c r="A760" s="16" t="inlineStr">
        <is>
          <t>KF-M09-R2-x_b+P_alta+T_sumidero-0008</t>
        </is>
      </c>
      <c r="B760" s="35" t="n">
        <v>487.3567738477225</v>
      </c>
      <c r="C760" s="35" t="n">
        <v>1327.362530348222</v>
      </c>
      <c r="D760" s="37" t="n">
        <v>0.5699618767548105</v>
      </c>
      <c r="E760" s="37" t="n">
        <v>0.8088271727676526</v>
      </c>
      <c r="F760" s="37" t="n">
        <v>0.7433168272614334</v>
      </c>
      <c r="G760" s="37" t="n">
        <v>0.49440341981748</v>
      </c>
      <c r="H760" s="37" t="n">
        <v>0.7041110455013317</v>
      </c>
      <c r="I760" s="39" t="inlineStr">
        <is>
          <t>Corregible</t>
        </is>
      </c>
      <c r="J760" s="29" t="n">
        <v>3.24350923791121</v>
      </c>
      <c r="K760" s="35" t="n">
        <v>42.90341685290005</v>
      </c>
      <c r="L760" s="36" t="n">
        <v>1672.637469651778</v>
      </c>
      <c r="M760" s="29" t="n">
        <v>2.260121053148137</v>
      </c>
      <c r="N760" s="16" t="inlineStr">
        <is>
          <t>sí</t>
        </is>
      </c>
      <c r="O760" s="16" t="inlineStr">
        <is>
          <t>O2</t>
        </is>
      </c>
    </row>
    <row r="761">
      <c r="A761" s="16" t="inlineStr">
        <is>
          <t>KF-M09-R2-x_b+P_alta+T_sumidero-0009</t>
        </is>
      </c>
      <c r="B761" s="35" t="n">
        <v>484.6214482646205</v>
      </c>
      <c r="C761" s="35" t="n">
        <v>1491.980870125904</v>
      </c>
      <c r="D761" s="37" t="n">
        <v>0.883020358640624</v>
      </c>
      <c r="E761" s="37" t="n">
        <v>0.7223304111795341</v>
      </c>
      <c r="F761" s="37" t="n">
        <v>0.5577887961122986</v>
      </c>
      <c r="G761" s="37" t="n">
        <v>0.5674750828426047</v>
      </c>
      <c r="H761" s="37" t="n">
        <v>0.8686492687113344</v>
      </c>
      <c r="I761" s="42" t="inlineStr">
        <is>
          <t>KALINA</t>
        </is>
      </c>
      <c r="J761" s="29" t="n">
        <v>5.16184216066637</v>
      </c>
      <c r="K761" s="35" t="n">
        <v>59.51681175855816</v>
      </c>
      <c r="L761" s="36" t="n">
        <v>1508.019129874096</v>
      </c>
      <c r="M761" s="29" t="n">
        <v>2.010749641680619</v>
      </c>
      <c r="N761" s="16" t="inlineStr">
        <is>
          <t>sí</t>
        </is>
      </c>
      <c r="O761" s="16" t="n"/>
    </row>
    <row r="762">
      <c r="A762" s="16" t="inlineStr">
        <is>
          <t>KF-M09-R2-x_b+P_alta+T_sumidero-0010</t>
        </is>
      </c>
      <c r="B762" s="35" t="n">
        <v>451.0718801921554</v>
      </c>
      <c r="C762" s="35" t="n">
        <v>1752.676154610713</v>
      </c>
      <c r="D762" s="37" t="n">
        <v>0.5502568510962581</v>
      </c>
      <c r="E762" s="37" t="n">
        <v>0.7791547472502118</v>
      </c>
      <c r="F762" s="37" t="n">
        <v>0.4086753831863391</v>
      </c>
      <c r="G762" s="37" t="n">
        <v>0.5452924509841358</v>
      </c>
      <c r="H762" s="37" t="n">
        <v>0.5889438822260797</v>
      </c>
      <c r="I762" s="39" t="inlineStr">
        <is>
          <t>Corregible</t>
        </is>
      </c>
      <c r="J762" s="29" t="n">
        <v>2.3679154671815</v>
      </c>
      <c r="K762" s="35" t="n">
        <v>10.94349795499398</v>
      </c>
      <c r="L762" s="36" t="n">
        <v>1247.323845389287</v>
      </c>
      <c r="M762" s="29" t="n">
        <v>1.711668177893554</v>
      </c>
      <c r="N762" s="16" t="inlineStr">
        <is>
          <t>no</t>
        </is>
      </c>
      <c r="O762" s="16" t="inlineStr">
        <is>
          <t>O2</t>
        </is>
      </c>
    </row>
    <row r="763">
      <c r="A763" s="16" t="inlineStr">
        <is>
          <t>KF-M09-R2-x_b+P_alta+T_sumidero-0011</t>
        </is>
      </c>
      <c r="B763" s="35" t="n">
        <v>456.6402071273047</v>
      </c>
      <c r="C763" s="35" t="n">
        <v>1206.983221728553</v>
      </c>
      <c r="D763" s="37" t="n">
        <v>0.7993912333352926</v>
      </c>
      <c r="E763" s="37" t="n">
        <v>0.5653099363219978</v>
      </c>
      <c r="F763" s="37" t="n">
        <v>0.5815671130900005</v>
      </c>
      <c r="G763" s="37" t="n">
        <v>0.8077566407448248</v>
      </c>
      <c r="H763" s="37" t="n">
        <v>0.7208144865429515</v>
      </c>
      <c r="I763" s="39" t="inlineStr">
        <is>
          <t>Corregible</t>
        </is>
      </c>
      <c r="J763" s="29" t="n">
        <v>6.48261105194676</v>
      </c>
      <c r="K763" s="35" t="n">
        <v>47.3753687420886</v>
      </c>
      <c r="L763" s="36" t="n">
        <v>1793.016778271447</v>
      </c>
      <c r="M763" s="29" t="n">
        <v>2.485535793698622</v>
      </c>
      <c r="N763" s="16" t="inlineStr">
        <is>
          <t>sí</t>
        </is>
      </c>
      <c r="O763" s="16" t="inlineStr">
        <is>
          <t>O2</t>
        </is>
      </c>
    </row>
    <row r="764">
      <c r="A764" s="16" t="inlineStr">
        <is>
          <t>KF-M09-R2-x_b+P_alta+T_sumidero-0012</t>
        </is>
      </c>
      <c r="B764" s="35" t="n">
        <v>393.0578460115888</v>
      </c>
      <c r="C764" s="35" t="n">
        <v>1944.951479132841</v>
      </c>
      <c r="D764" s="37" t="n">
        <v>0.7164079034523327</v>
      </c>
      <c r="E764" s="37" t="n">
        <v>0.9418284134866698</v>
      </c>
      <c r="F764" s="37" t="n">
        <v>0.8228480030531309</v>
      </c>
      <c r="G764" s="37" t="n">
        <v>0.4076539604577057</v>
      </c>
      <c r="H764" s="37" t="n">
        <v>0.9377886426866762</v>
      </c>
      <c r="I764" s="42" t="inlineStr">
        <is>
          <t>KALINA</t>
        </is>
      </c>
      <c r="J764" s="29" t="n">
        <v>0.2126119151354999</v>
      </c>
      <c r="K764" s="35" t="n">
        <v>0.6295705026872795</v>
      </c>
      <c r="L764" s="36" t="n">
        <v>1055.048520867159</v>
      </c>
      <c r="M764" s="29" t="n">
        <v>1.542454931234353</v>
      </c>
      <c r="N764" s="16" t="inlineStr">
        <is>
          <t>no</t>
        </is>
      </c>
      <c r="O764" s="16" t="n"/>
    </row>
    <row r="765">
      <c r="A765" s="16" t="inlineStr">
        <is>
          <t>KF-M09-R2-x_b+P_alta+T_sumidero-0013</t>
        </is>
      </c>
      <c r="B765" s="35" t="n">
        <v>407.7146789650689</v>
      </c>
      <c r="C765" s="35" t="n">
        <v>562.9887148701929</v>
      </c>
      <c r="D765" s="37" t="n">
        <v>0.4077974411835414</v>
      </c>
      <c r="E765" s="37" t="n">
        <v>0.8723802364566486</v>
      </c>
      <c r="F765" s="37" t="n">
        <v>0.4967070944078683</v>
      </c>
      <c r="G765" s="37" t="n">
        <v>0.5925789289923563</v>
      </c>
      <c r="H765" s="37" t="n">
        <v>0.5366163359122356</v>
      </c>
      <c r="I765" s="39" t="inlineStr">
        <is>
          <t>Corregible</t>
        </is>
      </c>
      <c r="J765" s="29" t="n">
        <v>0.45488237524518</v>
      </c>
      <c r="K765" s="35" t="n">
        <v>0.975597637350857</v>
      </c>
      <c r="L765" s="36" t="n">
        <v>2437.011285129807</v>
      </c>
      <c r="M765" s="29" t="n">
        <v>5.328703614763759</v>
      </c>
      <c r="N765" s="16" t="inlineStr">
        <is>
          <t>no</t>
        </is>
      </c>
      <c r="O765" s="16" t="inlineStr">
        <is>
          <t>O2</t>
        </is>
      </c>
    </row>
    <row r="766">
      <c r="A766" s="16" t="inlineStr">
        <is>
          <t>KF-M09-R2-x_b+P_alta+T_sumidero-0014</t>
        </is>
      </c>
      <c r="B766" s="35" t="n">
        <v>418.9089369925673</v>
      </c>
      <c r="C766" s="35" t="n">
        <v>376.4543585422156</v>
      </c>
      <c r="D766" s="37" t="n">
        <v>0.4363933082093584</v>
      </c>
      <c r="E766" s="37" t="n">
        <v>0.8448085694361674</v>
      </c>
      <c r="F766" s="37" t="n">
        <v>0.8025276058302071</v>
      </c>
      <c r="G766" s="37" t="n">
        <v>0.7758396490560736</v>
      </c>
      <c r="H766" s="37" t="n">
        <v>0.769959087057141</v>
      </c>
      <c r="I766" s="39" t="inlineStr">
        <is>
          <t>Corregible</t>
        </is>
      </c>
      <c r="J766" s="29" t="n">
        <v>5.553042806761511</v>
      </c>
      <c r="K766" s="35" t="n">
        <v>24.94078503879613</v>
      </c>
      <c r="L766" s="36" t="n">
        <v>2623.545641457784</v>
      </c>
      <c r="M766" s="29" t="n">
        <v>7.969093548597021</v>
      </c>
      <c r="N766" s="16" t="inlineStr">
        <is>
          <t>no</t>
        </is>
      </c>
      <c r="O766" s="16" t="inlineStr">
        <is>
          <t>O2</t>
        </is>
      </c>
    </row>
    <row r="767">
      <c r="A767" s="16" t="inlineStr">
        <is>
          <t>KF-M09-R2-x_b+P_alta+T_sumidero-0015</t>
        </is>
      </c>
      <c r="B767" s="35" t="n">
        <v>478.7605301350765</v>
      </c>
      <c r="C767" s="35" t="n">
        <v>1867.016033793606</v>
      </c>
      <c r="D767" s="37" t="n">
        <v>0.8951746544404704</v>
      </c>
      <c r="E767" s="37" t="n">
        <v>0.5537271201512025</v>
      </c>
      <c r="F767" s="37" t="n">
        <v>0.655004425883108</v>
      </c>
      <c r="G767" s="37" t="n">
        <v>0.6140408296183054</v>
      </c>
      <c r="H767" s="37" t="n">
        <v>0.5501481042595908</v>
      </c>
      <c r="I767" s="39" t="inlineStr">
        <is>
          <t>Corregible</t>
        </is>
      </c>
      <c r="J767" s="29" t="n">
        <v>2.12634438407666</v>
      </c>
      <c r="K767" s="35" t="n">
        <v>20.78667592492872</v>
      </c>
      <c r="L767" s="36" t="n">
        <v>1132.983966206394</v>
      </c>
      <c r="M767" s="29" t="n">
        <v>1.606842119027909</v>
      </c>
      <c r="N767" s="16" t="inlineStr">
        <is>
          <t>sí</t>
        </is>
      </c>
      <c r="O767" s="16" t="inlineStr">
        <is>
          <t>O2</t>
        </is>
      </c>
    </row>
    <row r="768">
      <c r="A768" s="16" t="inlineStr">
        <is>
          <t>KF-M09-R2-x_b+P_alta+T_sumidero-0016</t>
        </is>
      </c>
      <c r="B768" s="35" t="n">
        <v>511.7826663865458</v>
      </c>
      <c r="C768" s="35" t="n">
        <v>786.8918230945505</v>
      </c>
      <c r="D768" s="37" t="n">
        <v>0.7397241502787961</v>
      </c>
      <c r="E768" s="37" t="n">
        <v>0.7090507872082654</v>
      </c>
      <c r="F768" s="37" t="n">
        <v>0.8040539222170988</v>
      </c>
      <c r="G768" s="37" t="n">
        <v>0.647492226966512</v>
      </c>
      <c r="H768" s="37" t="n">
        <v>0.8320060132613714</v>
      </c>
      <c r="I768" s="39" t="inlineStr">
        <is>
          <t>Corregible</t>
        </is>
      </c>
      <c r="J768" s="29" t="n">
        <v>8.18351044642039</v>
      </c>
      <c r="K768" s="35" t="n">
        <v>136.6113826979514</v>
      </c>
      <c r="L768" s="36" t="n">
        <v>2213.108176905449</v>
      </c>
      <c r="M768" s="29" t="n">
        <v>3.812468133424141</v>
      </c>
      <c r="N768" s="16" t="inlineStr">
        <is>
          <t>sí</t>
        </is>
      </c>
      <c r="O768" s="16" t="inlineStr">
        <is>
          <t>O2</t>
        </is>
      </c>
    </row>
    <row r="769">
      <c r="A769" s="16" t="inlineStr">
        <is>
          <t>KF-M09-R2-x_b+P_alta+T_sumidero-0017</t>
        </is>
      </c>
      <c r="B769" s="35" t="n">
        <v>412.5342522232894</v>
      </c>
      <c r="C769" s="35" t="n">
        <v>1606.856949852444</v>
      </c>
      <c r="D769" s="37" t="n">
        <v>0.9353198405173936</v>
      </c>
      <c r="E769" s="37" t="n">
        <v>0.6307640127604028</v>
      </c>
      <c r="F769" s="37" t="n">
        <v>0.473697983371223</v>
      </c>
      <c r="G769" s="37" t="n">
        <v>0.7543614043205931</v>
      </c>
      <c r="H769" s="37" t="n">
        <v>0.478703450075281</v>
      </c>
      <c r="I769" s="42" t="inlineStr">
        <is>
          <t>KALINA</t>
        </is>
      </c>
      <c r="J769" s="29" t="n">
        <v>3.70831666278484</v>
      </c>
      <c r="K769" s="35" t="n">
        <v>7.873819215007682</v>
      </c>
      <c r="L769" s="36" t="n">
        <v>1393.143050147556</v>
      </c>
      <c r="M769" s="29" t="n">
        <v>1.86699880177603</v>
      </c>
      <c r="N769" s="16" t="inlineStr">
        <is>
          <t>no</t>
        </is>
      </c>
      <c r="O769" s="16" t="n"/>
    </row>
    <row r="770">
      <c r="A770" s="16" t="inlineStr">
        <is>
          <t>KF-M09-R2-x_b+P_alta+T_sumidero-0018</t>
        </is>
      </c>
      <c r="B770" s="35" t="n">
        <v>427.9805782050725</v>
      </c>
      <c r="C770" s="35" t="n">
        <v>1022.332192204083</v>
      </c>
      <c r="D770" s="37" t="n">
        <v>0.4738016124882181</v>
      </c>
      <c r="E770" s="37" t="n">
        <v>0.4473728189439269</v>
      </c>
      <c r="F770" s="37" t="n">
        <v>0.4588934459046828</v>
      </c>
      <c r="G770" s="37" t="n">
        <v>0.4785902948418561</v>
      </c>
      <c r="H770" s="37" t="n">
        <v>0.4661549102458147</v>
      </c>
      <c r="I770" s="40" t="inlineStr">
        <is>
          <t>Inviable</t>
        </is>
      </c>
      <c r="J770" s="29" t="n">
        <v>-2.5086312275704</v>
      </c>
      <c r="K770" s="35" t="n">
        <v>-7.468664102042867</v>
      </c>
      <c r="L770" s="36" t="n">
        <v>1977.667807795917</v>
      </c>
      <c r="M770" s="29" t="n">
        <v>2.934466920710178</v>
      </c>
      <c r="N770" s="16" t="inlineStr">
        <is>
          <t>no</t>
        </is>
      </c>
      <c r="O770" s="16" t="inlineStr">
        <is>
          <t>O2,O3</t>
        </is>
      </c>
    </row>
    <row r="771">
      <c r="A771" s="16" t="inlineStr">
        <is>
          <t>KF-M09-R2-x_b+P_alta+T_sumidero-0019</t>
        </is>
      </c>
      <c r="B771" s="35" t="n">
        <v>466.8205710717011</v>
      </c>
      <c r="C771" s="35" t="n">
        <v>858.9673160119066</v>
      </c>
      <c r="D771" s="37" t="n">
        <v>0.7101488587151814</v>
      </c>
      <c r="E771" s="37" t="n">
        <v>0.4192972961174165</v>
      </c>
      <c r="F771" s="37" t="n">
        <v>0.948227019329179</v>
      </c>
      <c r="G771" s="37" t="n">
        <v>0.4647843303462312</v>
      </c>
      <c r="H771" s="37" t="n">
        <v>0.7410877683899609</v>
      </c>
      <c r="I771" s="39" t="inlineStr">
        <is>
          <t>Corregible</t>
        </is>
      </c>
      <c r="J771" s="29" t="n">
        <v>4.62677446045847</v>
      </c>
      <c r="K771" s="35" t="n">
        <v>66.15221828889867</v>
      </c>
      <c r="L771" s="36" t="n">
        <v>2141.032683988094</v>
      </c>
      <c r="M771" s="29" t="n">
        <v>3.492565949923077</v>
      </c>
      <c r="N771" s="16" t="inlineStr">
        <is>
          <t>sí</t>
        </is>
      </c>
      <c r="O771" s="16" t="inlineStr">
        <is>
          <t>O2</t>
        </is>
      </c>
    </row>
    <row r="772">
      <c r="A772" s="16" t="inlineStr">
        <is>
          <t>KF-M09-R2-x_b+P_alta+T_sumidero-0020</t>
        </is>
      </c>
      <c r="B772" s="35" t="n">
        <v>401.3890153373899</v>
      </c>
      <c r="C772" s="35" t="n">
        <v>1174.169053044774</v>
      </c>
      <c r="D772" s="37" t="n">
        <v>0.9263812302874228</v>
      </c>
      <c r="E772" s="37" t="n">
        <v>0.6031319727791875</v>
      </c>
      <c r="F772" s="37" t="n">
        <v>0.5387380488425537</v>
      </c>
      <c r="G772" s="37" t="n">
        <v>0.5177318852967331</v>
      </c>
      <c r="H772" s="37" t="n">
        <v>0.4957768128274692</v>
      </c>
      <c r="I772" s="42" t="inlineStr">
        <is>
          <t>KALINA</t>
        </is>
      </c>
      <c r="J772" s="29" t="n">
        <v>2.06696136795586</v>
      </c>
      <c r="K772" s="35" t="n">
        <v>3.96729127225362</v>
      </c>
      <c r="L772" s="36" t="n">
        <v>1825.830946955226</v>
      </c>
      <c r="M772" s="29" t="n">
        <v>2.554998355833521</v>
      </c>
      <c r="N772" s="16" t="inlineStr">
        <is>
          <t>no</t>
        </is>
      </c>
      <c r="O772" s="16" t="n"/>
    </row>
    <row r="773">
      <c r="A773" s="16" t="inlineStr">
        <is>
          <t>KF-M09-R2-x_b+P_alta+T_sumidero-0021</t>
        </is>
      </c>
      <c r="B773" s="35" t="n">
        <v>432.4968023953895</v>
      </c>
      <c r="C773" s="35" t="n">
        <v>610.4746214802144</v>
      </c>
      <c r="D773" s="37" t="n">
        <v>0.4622606964042582</v>
      </c>
      <c r="E773" s="37" t="n">
        <v>0.8223176009600974</v>
      </c>
      <c r="F773" s="37" t="n">
        <v>0.6092984125276411</v>
      </c>
      <c r="G773" s="37" t="n">
        <v>0.7874310105796873</v>
      </c>
      <c r="H773" s="37" t="n">
        <v>0.4496209584456235</v>
      </c>
      <c r="I773" s="40" t="inlineStr">
        <is>
          <t>Inviable</t>
        </is>
      </c>
      <c r="J773" s="29" t="n">
        <v>-2.57996295293749</v>
      </c>
      <c r="K773" s="35" t="n">
        <v>-9.163772881362334</v>
      </c>
      <c r="L773" s="36" t="n">
        <v>2389.525378519786</v>
      </c>
      <c r="M773" s="29" t="n">
        <v>4.914209197961279</v>
      </c>
      <c r="N773" s="16" t="inlineStr">
        <is>
          <t>no</t>
        </is>
      </c>
      <c r="O773" s="16" t="inlineStr">
        <is>
          <t>O2,O3</t>
        </is>
      </c>
    </row>
    <row r="774">
      <c r="A774" s="16" t="inlineStr">
        <is>
          <t>KF-M09-R2-x_b+P_alta+T_sumidero-0022</t>
        </is>
      </c>
      <c r="B774" s="35" t="n">
        <v>505.3683736321009</v>
      </c>
      <c r="C774" s="35" t="n">
        <v>1930.013114453799</v>
      </c>
      <c r="D774" s="37" t="n">
        <v>0.6680342120721952</v>
      </c>
      <c r="E774" s="37" t="n">
        <v>0.6488175701025325</v>
      </c>
      <c r="F774" s="37" t="n">
        <v>0.6942451418792701</v>
      </c>
      <c r="G774" s="37" t="n">
        <v>0.7378658691517824</v>
      </c>
      <c r="H774" s="37" t="n">
        <v>0.6524268643340475</v>
      </c>
      <c r="I774" s="39" t="inlineStr">
        <is>
          <t>Corregible</t>
        </is>
      </c>
      <c r="J774" s="29" t="n">
        <v>1.90380147578207</v>
      </c>
      <c r="K774" s="35" t="n">
        <v>22.87124854416196</v>
      </c>
      <c r="L774" s="36" t="n">
        <v>1069.986885546201</v>
      </c>
      <c r="M774" s="29" t="n">
        <v>1.554393582889726</v>
      </c>
      <c r="N774" s="16" t="inlineStr">
        <is>
          <t>sí</t>
        </is>
      </c>
      <c r="O774" s="16" t="inlineStr">
        <is>
          <t>O2</t>
        </is>
      </c>
    </row>
    <row r="775">
      <c r="A775" s="16" t="inlineStr">
        <is>
          <t>KF-M09-R2-x_b+P_alta+T_sumidero-0023</t>
        </is>
      </c>
      <c r="B775" s="35" t="n">
        <v>500.7156810010106</v>
      </c>
      <c r="C775" s="35" t="n">
        <v>418.5256825780255</v>
      </c>
      <c r="D775" s="37" t="n">
        <v>0.5861530250274709</v>
      </c>
      <c r="E775" s="37" t="n">
        <v>0.7954728993258067</v>
      </c>
      <c r="F775" s="37" t="n">
        <v>0.6759826950680408</v>
      </c>
      <c r="G775" s="37" t="n">
        <v>0.927876204372175</v>
      </c>
      <c r="H775" s="37" t="n">
        <v>0.4159510664154849</v>
      </c>
      <c r="I775" s="40" t="inlineStr">
        <is>
          <t>Inviable</t>
        </is>
      </c>
      <c r="J775" s="29" t="n">
        <v>-5.68508620894663</v>
      </c>
      <c r="K775" s="35" t="n">
        <v>-41.88305124056643</v>
      </c>
      <c r="L775" s="36" t="n">
        <v>2581.474317421974</v>
      </c>
      <c r="M775" s="29" t="n">
        <v>7.168018893179182</v>
      </c>
      <c r="N775" s="16" t="inlineStr">
        <is>
          <t>sí</t>
        </is>
      </c>
      <c r="O775" s="16" t="inlineStr">
        <is>
          <t>O2,O3</t>
        </is>
      </c>
    </row>
    <row r="776">
      <c r="A776" s="16" t="inlineStr">
        <is>
          <t>KF-M09-R2-x_b+P_alta+T_sumidero-0024</t>
        </is>
      </c>
      <c r="B776" s="35" t="n">
        <v>446.1527734130886</v>
      </c>
      <c r="C776" s="35" t="n">
        <v>745.0900951815776</v>
      </c>
      <c r="D776" s="37" t="n">
        <v>0.6074944612847502</v>
      </c>
      <c r="E776" s="37" t="n">
        <v>0.4159167668522314</v>
      </c>
      <c r="F776" s="37" t="n">
        <v>0.8563534699732571</v>
      </c>
      <c r="G776" s="37" t="n">
        <v>0.9365816385072808</v>
      </c>
      <c r="H776" s="37" t="n">
        <v>0.4224669943568144</v>
      </c>
      <c r="I776" s="40" t="inlineStr">
        <is>
          <t>Inviable</t>
        </is>
      </c>
      <c r="J776" s="29" t="n">
        <v>-17.9328016397466</v>
      </c>
      <c r="K776" s="35" t="n">
        <v>-77.76506901015827</v>
      </c>
      <c r="L776" s="36" t="n">
        <v>2254.909904818423</v>
      </c>
      <c r="M776" s="29" t="n">
        <v>4.026358717423165</v>
      </c>
      <c r="N776" s="16" t="inlineStr">
        <is>
          <t>sí</t>
        </is>
      </c>
      <c r="O776" s="16" t="inlineStr">
        <is>
          <t>O2,O3</t>
        </is>
      </c>
    </row>
    <row r="777">
      <c r="A777" s="16" t="inlineStr">
        <is>
          <t>KF-M09-R2-x_b+P_alta+T_sumidero-0025</t>
        </is>
      </c>
      <c r="B777" s="35" t="n">
        <v>459.873221686048</v>
      </c>
      <c r="C777" s="35" t="n">
        <v>1043.647808884989</v>
      </c>
      <c r="D777" s="37" t="n">
        <v>0.6353624704696315</v>
      </c>
      <c r="E777" s="37" t="n">
        <v>0.7355618330380105</v>
      </c>
      <c r="F777" s="37" t="n">
        <v>0.7579897091025173</v>
      </c>
      <c r="G777" s="37" t="n">
        <v>0.6635519462212539</v>
      </c>
      <c r="H777" s="37" t="n">
        <v>0.901171345629716</v>
      </c>
      <c r="I777" s="42" t="inlineStr">
        <is>
          <t>KALINA</t>
        </is>
      </c>
      <c r="J777" s="29" t="n">
        <v>5.41642401029933</v>
      </c>
      <c r="K777" s="35" t="n">
        <v>62.1590876617185</v>
      </c>
      <c r="L777" s="36" t="n">
        <v>1956.35219111501</v>
      </c>
      <c r="M777" s="29" t="n">
        <v>2.874532935785238</v>
      </c>
      <c r="N777" s="16" t="inlineStr">
        <is>
          <t>sí</t>
        </is>
      </c>
      <c r="O777" s="16" t="n"/>
    </row>
    <row r="778">
      <c r="A778" s="16" t="inlineStr">
        <is>
          <t>KF-M09-R2-x_b+P_alta+T_sumidero-0026</t>
        </is>
      </c>
      <c r="B778" s="35" t="n">
        <v>383.949587066473</v>
      </c>
      <c r="C778" s="35" t="n">
        <v>1301.498025468956</v>
      </c>
      <c r="D778" s="37" t="n">
        <v>0.7496616398295045</v>
      </c>
      <c r="E778" s="37" t="n">
        <v>0.5032446673027295</v>
      </c>
      <c r="F778" s="37" t="n">
        <v>0.912827670501233</v>
      </c>
      <c r="G778" s="37" t="n">
        <v>0.8896483773427661</v>
      </c>
      <c r="H778" s="37" t="n">
        <v>0.9237330334808508</v>
      </c>
      <c r="I778" s="38" t="inlineStr">
        <is>
          <t>Falso convergido</t>
        </is>
      </c>
      <c r="J778" s="29" t="inlineStr">
        <is>
          <t>—</t>
        </is>
      </c>
      <c r="K778" s="35" t="inlineStr">
        <is>
          <t>—</t>
        </is>
      </c>
      <c r="L778" s="36" t="n">
        <v>1698.501974531044</v>
      </c>
      <c r="M778" s="29" t="n">
        <v>2.305036151644594</v>
      </c>
      <c r="N778" s="16" t="inlineStr">
        <is>
          <t>no</t>
        </is>
      </c>
      <c r="O778" s="16" t="inlineStr">
        <is>
          <t>N2,O3,O5,C1,C3,C3</t>
        </is>
      </c>
    </row>
    <row r="779">
      <c r="A779" s="16" t="inlineStr">
        <is>
          <t>KF-M09-R2-x_b+P_alta+T_sumidero-0027</t>
        </is>
      </c>
      <c r="B779" s="35" t="n">
        <v>398.1984240224133</v>
      </c>
      <c r="C779" s="35" t="n">
        <v>904.3150400629549</v>
      </c>
      <c r="D779" s="37" t="n">
        <v>0.8368704825622937</v>
      </c>
      <c r="E779" s="37" t="n">
        <v>0.888717018231967</v>
      </c>
      <c r="F779" s="37" t="n">
        <v>0.7285231000311043</v>
      </c>
      <c r="G779" s="37" t="n">
        <v>0.8277397993541002</v>
      </c>
      <c r="H779" s="37" t="n">
        <v>0.6738885234292943</v>
      </c>
      <c r="I779" s="42" t="inlineStr">
        <is>
          <t>KALINA</t>
        </is>
      </c>
      <c r="J779" s="29" t="n">
        <v>5.49773429065162</v>
      </c>
      <c r="K779" s="35" t="n">
        <v>10.36558364468891</v>
      </c>
      <c r="L779" s="36" t="n">
        <v>2095.684959937045</v>
      </c>
      <c r="M779" s="29" t="n">
        <v>3.3174279615997</v>
      </c>
      <c r="N779" s="16" t="inlineStr">
        <is>
          <t>no</t>
        </is>
      </c>
      <c r="O779" s="16" t="n"/>
    </row>
    <row r="780">
      <c r="A780" s="16" t="inlineStr">
        <is>
          <t>KF-M09-R2-x_b+P_alta+T_sumidero-0028</t>
        </is>
      </c>
      <c r="B780" s="35" t="n">
        <v>477.4986494011682</v>
      </c>
      <c r="C780" s="35" t="n">
        <v>1461.35727462698</v>
      </c>
      <c r="D780" s="37" t="n">
        <v>0.7781428019775326</v>
      </c>
      <c r="E780" s="37" t="n">
        <v>0.5976541409196332</v>
      </c>
      <c r="F780" s="37" t="n">
        <v>0.6224625841101686</v>
      </c>
      <c r="G780" s="37" t="n">
        <v>0.8656417526470623</v>
      </c>
      <c r="H780" s="37" t="n">
        <v>0.7952224280709401</v>
      </c>
      <c r="I780" s="39" t="inlineStr">
        <is>
          <t>Corregible</t>
        </is>
      </c>
      <c r="J780" s="29" t="n">
        <v>5.15384395705311</v>
      </c>
      <c r="K780" s="35" t="n">
        <v>61.43808324924345</v>
      </c>
      <c r="L780" s="36" t="n">
        <v>1538.64272537302</v>
      </c>
      <c r="M780" s="29" t="n">
        <v>2.052886075217826</v>
      </c>
      <c r="N780" s="16" t="inlineStr">
        <is>
          <t>sí</t>
        </is>
      </c>
      <c r="O780" s="16" t="inlineStr">
        <is>
          <t>O2</t>
        </is>
      </c>
    </row>
    <row r="781">
      <c r="A781" s="16" t="inlineStr">
        <is>
          <t>KF-M09-R2-x_b+P_alta+T_sumidero-0029</t>
        </is>
      </c>
      <c r="B781" s="35" t="n">
        <v>436.5928736533113</v>
      </c>
      <c r="C781" s="35" t="n">
        <v>1812.064522008883</v>
      </c>
      <c r="D781" s="37" t="n">
        <v>0.6810078110906018</v>
      </c>
      <c r="E781" s="37" t="n">
        <v>0.4827751181569849</v>
      </c>
      <c r="F781" s="37" t="n">
        <v>0.4509181476935702</v>
      </c>
      <c r="G781" s="37" t="n">
        <v>0.9118728758478564</v>
      </c>
      <c r="H781" s="37" t="n">
        <v>0.8807434352994332</v>
      </c>
      <c r="I781" s="42" t="inlineStr">
        <is>
          <t>KALINA</t>
        </is>
      </c>
      <c r="J781" s="29" t="n">
        <v>2.34485383079454</v>
      </c>
      <c r="K781" s="35" t="n">
        <v>8.872907693059402</v>
      </c>
      <c r="L781" s="36" t="n">
        <v>1187.935477991117</v>
      </c>
      <c r="M781" s="29" t="n">
        <v>1.655570187243749</v>
      </c>
      <c r="N781" s="16" t="inlineStr">
        <is>
          <t>no</t>
        </is>
      </c>
      <c r="O781" s="16" t="n"/>
    </row>
    <row r="783">
      <c r="A783" s="33" t="inlineStr">
        <is>
          <t>Parte 4.3 x_b+P_alta+eficiencias · ronda 2 · 30 puntos</t>
        </is>
      </c>
      <c r="B783" s="31" t="n"/>
      <c r="C783" s="31" t="n"/>
      <c r="D783" s="31" t="n"/>
      <c r="E783" s="31" t="n"/>
      <c r="F783" s="31" t="n"/>
      <c r="G783" s="31" t="n"/>
      <c r="H783" s="31" t="n"/>
      <c r="I783" s="31" t="n"/>
      <c r="J783" s="31" t="n"/>
      <c r="K783" s="31" t="n"/>
    </row>
    <row r="785">
      <c r="A785" s="34" t="inlineStr">
        <is>
          <t>Barrido de la parte 4.3 x_b+P_alta+eficiencias · 30 puntos</t>
        </is>
      </c>
    </row>
    <row r="786">
      <c r="A786" s="25" t="inlineStr">
        <is>
          <t>Fijos en este barrido: P_alta = 3000, x_b = 0.5, η_t = 0.85, η_p = 0.75, ε_HRVG = 0.85, ε_reg = 0.75, ε_cond = 0.8.</t>
        </is>
      </c>
    </row>
    <row r="787">
      <c r="A787" s="22" t="inlineStr">
        <is>
          <t>id_punto</t>
        </is>
      </c>
      <c r="B787" s="22" t="inlineStr">
        <is>
          <t>T_fuente [K]</t>
        </is>
      </c>
      <c r="C787" s="22" t="inlineStr">
        <is>
          <t>T_sumidero [K]</t>
        </is>
      </c>
      <c r="D787" s="22" t="inlineStr">
        <is>
          <t>P_baja [kPa]</t>
        </is>
      </c>
      <c r="E787" s="22" t="inlineStr">
        <is>
          <t>Clase</t>
        </is>
      </c>
      <c r="F787" s="22" t="inlineStr">
        <is>
          <t>η [%]</t>
        </is>
      </c>
      <c r="G787" s="22" t="inlineStr">
        <is>
          <t>W_net [kW] (m_b = 1 kg/s)</t>
        </is>
      </c>
      <c r="H787" s="22" t="inlineStr">
        <is>
          <t>ΔP [kPa]</t>
        </is>
      </c>
      <c r="I787" s="22" t="inlineStr">
        <is>
          <t>r_P [–]</t>
        </is>
      </c>
      <c r="J787" s="22" t="inlineStr">
        <is>
          <t>Fuera de rango</t>
        </is>
      </c>
      <c r="K787" s="22" t="inlineStr">
        <is>
          <t>Criterios que falla</t>
        </is>
      </c>
    </row>
    <row r="788">
      <c r="A788" s="16" t="inlineStr">
        <is>
          <t>KF-M09-R2-x_b+P_alta+eficiencias-0000</t>
        </is>
      </c>
      <c r="B788" s="35" t="n">
        <v>433.6578582413249</v>
      </c>
      <c r="C788" s="35" t="n">
        <v>288.8844805129172</v>
      </c>
      <c r="D788" s="35" t="n">
        <v>1343.409792866931</v>
      </c>
      <c r="E788" s="42" t="inlineStr">
        <is>
          <t>KALINA</t>
        </is>
      </c>
      <c r="F788" s="29" t="n">
        <v>5.58632243988607</v>
      </c>
      <c r="G788" s="35" t="n">
        <v>38.98713066192948</v>
      </c>
      <c r="H788" s="36" t="n">
        <v>1656.590207133069</v>
      </c>
      <c r="I788" s="29" t="n">
        <v>2.233123515943553</v>
      </c>
      <c r="J788" s="16" t="inlineStr">
        <is>
          <t>sí</t>
        </is>
      </c>
      <c r="K788" s="16" t="n"/>
    </row>
    <row r="789">
      <c r="A789" s="16" t="inlineStr">
        <is>
          <t>KF-M09-R2-x_b+P_alta+eficiencias-0001</t>
        </is>
      </c>
      <c r="B789" s="35" t="n">
        <v>411.2669845760941</v>
      </c>
      <c r="C789" s="35" t="n">
        <v>278.4061491741137</v>
      </c>
      <c r="D789" s="35" t="n">
        <v>1807.931266362591</v>
      </c>
      <c r="E789" s="42" t="inlineStr">
        <is>
          <t>KALINA</t>
        </is>
      </c>
      <c r="F789" s="29" t="n">
        <v>2.77037004633625</v>
      </c>
      <c r="G789" s="35" t="n">
        <v>11.94593429873966</v>
      </c>
      <c r="H789" s="36" t="n">
        <v>1192.068733637409</v>
      </c>
      <c r="I789" s="29" t="n">
        <v>1.659355118093484</v>
      </c>
      <c r="J789" s="16" t="inlineStr">
        <is>
          <t>no</t>
        </is>
      </c>
      <c r="K789" s="16" t="n"/>
    </row>
    <row r="790">
      <c r="A790" s="16" t="inlineStr">
        <is>
          <t>KF-M09-R2-x_b+P_alta+eficiencias-0002</t>
        </is>
      </c>
      <c r="B790" s="35" t="n">
        <v>466.7231743406385</v>
      </c>
      <c r="C790" s="35" t="n">
        <v>294.6153479134911</v>
      </c>
      <c r="D790" s="35" t="n">
        <v>755.1429941177939</v>
      </c>
      <c r="E790" s="39" t="inlineStr">
        <is>
          <t>Corregible</t>
        </is>
      </c>
      <c r="F790" s="29" t="n">
        <v>9.90717405122224</v>
      </c>
      <c r="G790" s="35" t="n">
        <v>141.1704249286071</v>
      </c>
      <c r="H790" s="36" t="n">
        <v>2244.857005882206</v>
      </c>
      <c r="I790" s="29" t="n">
        <v>3.972757508668661</v>
      </c>
      <c r="J790" s="16" t="inlineStr">
        <is>
          <t>sí</t>
        </is>
      </c>
      <c r="K790" s="16" t="inlineStr">
        <is>
          <t>O2</t>
        </is>
      </c>
    </row>
    <row r="791">
      <c r="A791" s="16" t="inlineStr">
        <is>
          <t>KF-M09-R2-x_b+P_alta+eficiencias-0003</t>
        </is>
      </c>
      <c r="B791" s="35" t="n">
        <v>387.8507793087217</v>
      </c>
      <c r="C791" s="35" t="n">
        <v>281.0255119469977</v>
      </c>
      <c r="D791" s="35" t="n">
        <v>1899.235386585173</v>
      </c>
      <c r="E791" s="40" t="inlineStr">
        <is>
          <t>Inviable</t>
        </is>
      </c>
      <c r="F791" s="29" t="n">
        <v>-0.81721103809782</v>
      </c>
      <c r="G791" s="35" t="n">
        <v>-1.094236683879392</v>
      </c>
      <c r="H791" s="36" t="n">
        <v>1100.764613414826</v>
      </c>
      <c r="I791" s="29" t="n">
        <v>1.579583037042081</v>
      </c>
      <c r="J791" s="16" t="inlineStr">
        <is>
          <t>no</t>
        </is>
      </c>
      <c r="K791" s="16" t="inlineStr">
        <is>
          <t>O3</t>
        </is>
      </c>
    </row>
    <row r="792">
      <c r="A792" s="16" t="inlineStr">
        <is>
          <t>KF-M09-R2-x_b+P_alta+eficiencias-0004</t>
        </is>
      </c>
      <c r="B792" s="35" t="n">
        <v>488.5003939469602</v>
      </c>
      <c r="C792" s="35" t="n">
        <v>289.4865086334434</v>
      </c>
      <c r="D792" s="35" t="n">
        <v>1022.88203346673</v>
      </c>
      <c r="E792" s="39" t="inlineStr">
        <is>
          <t>Corregible</t>
        </is>
      </c>
      <c r="F792" s="29" t="n">
        <v>7.96647509782952</v>
      </c>
      <c r="G792" s="35" t="n">
        <v>134.4668707444375</v>
      </c>
      <c r="H792" s="36" t="n">
        <v>1977.11796653327</v>
      </c>
      <c r="I792" s="29" t="n">
        <v>2.932889523763032</v>
      </c>
      <c r="J792" s="16" t="inlineStr">
        <is>
          <t>sí</t>
        </is>
      </c>
      <c r="K792" s="16" t="inlineStr">
        <is>
          <t>O2</t>
        </is>
      </c>
    </row>
    <row r="793">
      <c r="A793" s="16" t="inlineStr">
        <is>
          <t>KF-M09-R2-x_b+P_alta+eficiencias-0005</t>
        </is>
      </c>
      <c r="B793" s="35" t="n">
        <v>428.9337945361774</v>
      </c>
      <c r="C793" s="35" t="n">
        <v>298.6873470994251</v>
      </c>
      <c r="D793" s="35" t="n">
        <v>1451.024042359099</v>
      </c>
      <c r="E793" s="42" t="inlineStr">
        <is>
          <t>KALINA</t>
        </is>
      </c>
      <c r="F793" s="29" t="n">
        <v>5.09581588857544</v>
      </c>
      <c r="G793" s="35" t="n">
        <v>31.3226271619118</v>
      </c>
      <c r="H793" s="36" t="n">
        <v>1548.975957640901</v>
      </c>
      <c r="I793" s="29" t="n">
        <v>2.067505370291832</v>
      </c>
      <c r="J793" s="16" t="inlineStr">
        <is>
          <t>sí</t>
        </is>
      </c>
      <c r="K793" s="16" t="n"/>
    </row>
    <row r="794">
      <c r="A794" s="16" t="inlineStr">
        <is>
          <t>KF-M09-R2-x_b+P_alta+eficiencias-0006</t>
        </is>
      </c>
      <c r="B794" s="35" t="n">
        <v>403.7539833452549</v>
      </c>
      <c r="C794" s="35" t="n">
        <v>295.9350846388463</v>
      </c>
      <c r="D794" s="35" t="n">
        <v>673.2556872584075</v>
      </c>
      <c r="E794" s="42" t="inlineStr">
        <is>
          <t>KALINA</t>
        </is>
      </c>
      <c r="F794" s="29" t="n">
        <v>7.58426449683739</v>
      </c>
      <c r="G794" s="35" t="n">
        <v>24.26710948108418</v>
      </c>
      <c r="H794" s="36" t="n">
        <v>2326.744312741593</v>
      </c>
      <c r="I794" s="29" t="n">
        <v>4.455959387757161</v>
      </c>
      <c r="J794" s="16" t="inlineStr">
        <is>
          <t>no</t>
        </is>
      </c>
      <c r="K794" s="16" t="n"/>
    </row>
    <row r="795">
      <c r="A795" s="16" t="inlineStr">
        <is>
          <t>KF-M09-R2-x_b+P_alta+eficiencias-0007</t>
        </is>
      </c>
      <c r="B795" s="35" t="n">
        <v>500.3345203581561</v>
      </c>
      <c r="C795" s="35" t="n">
        <v>287.9540392477808</v>
      </c>
      <c r="D795" s="35" t="n">
        <v>466.0797595692292</v>
      </c>
      <c r="E795" s="39" t="inlineStr">
        <is>
          <t>Corregible</t>
        </is>
      </c>
      <c r="F795" s="29" t="n">
        <v>12.54046704806279</v>
      </c>
      <c r="G795" s="35" t="n">
        <v>215.7413250894854</v>
      </c>
      <c r="H795" s="36" t="n">
        <v>2533.920240430771</v>
      </c>
      <c r="I795" s="29" t="n">
        <v>6.436666554181044</v>
      </c>
      <c r="J795" s="16" t="inlineStr">
        <is>
          <t>sí</t>
        </is>
      </c>
      <c r="K795" s="16" t="inlineStr">
        <is>
          <t>O2</t>
        </is>
      </c>
    </row>
    <row r="796">
      <c r="A796" s="16" t="inlineStr">
        <is>
          <t>KF-M09-R2-x_b+P_alta+eficiencias-0008</t>
        </is>
      </c>
      <c r="B796" s="35" t="n">
        <v>391.3721975826188</v>
      </c>
      <c r="C796" s="35" t="n">
        <v>281.8111559866791</v>
      </c>
      <c r="D796" s="35" t="n">
        <v>1596.96982098254</v>
      </c>
      <c r="E796" s="42" t="inlineStr">
        <is>
          <t>KALINA</t>
        </is>
      </c>
      <c r="F796" s="29" t="n">
        <v>0.75489731921366</v>
      </c>
      <c r="G796" s="35" t="n">
        <v>1.376961874079939</v>
      </c>
      <c r="H796" s="36" t="n">
        <v>1403.03017901746</v>
      </c>
      <c r="I796" s="29" t="n">
        <v>1.878557728883219</v>
      </c>
      <c r="J796" s="16" t="inlineStr">
        <is>
          <t>no</t>
        </is>
      </c>
      <c r="K796" s="16" t="n"/>
    </row>
    <row r="797">
      <c r="A797" s="16" t="inlineStr">
        <is>
          <t>KF-M09-R2-x_b+P_alta+eficiencias-0009</t>
        </is>
      </c>
      <c r="B797" s="35" t="n">
        <v>424.9044572516293</v>
      </c>
      <c r="C797" s="35" t="n">
        <v>302.6964180316019</v>
      </c>
      <c r="D797" s="35" t="n">
        <v>1734.821217933898</v>
      </c>
      <c r="E797" s="42" t="inlineStr">
        <is>
          <t>KALINA</t>
        </is>
      </c>
      <c r="F797" s="29" t="n">
        <v>3.81470865359171</v>
      </c>
      <c r="G797" s="35" t="n">
        <v>21.19014649475416</v>
      </c>
      <c r="H797" s="36" t="n">
        <v>1265.178782066102</v>
      </c>
      <c r="I797" s="29" t="n">
        <v>1.729284821390921</v>
      </c>
      <c r="J797" s="16" t="inlineStr">
        <is>
          <t>no</t>
        </is>
      </c>
      <c r="K797" s="16" t="n"/>
    </row>
    <row r="798">
      <c r="A798" s="16" t="inlineStr">
        <is>
          <t>KF-M09-R2-x_b+P_alta+eficiencias-0010</t>
        </is>
      </c>
      <c r="B798" s="35" t="n">
        <v>469.2938948755532</v>
      </c>
      <c r="C798" s="35" t="n">
        <v>303.2347260797284</v>
      </c>
      <c r="D798" s="35" t="n">
        <v>575.9374080341994</v>
      </c>
      <c r="E798" s="39" t="inlineStr">
        <is>
          <t>Corregible</t>
        </is>
      </c>
      <c r="F798" s="29" t="n">
        <v>11.25611378838351</v>
      </c>
      <c r="G798" s="35" t="n">
        <v>168.2290615122595</v>
      </c>
      <c r="H798" s="36" t="n">
        <v>2424.0625919658</v>
      </c>
      <c r="I798" s="29" t="n">
        <v>5.208899366755248</v>
      </c>
      <c r="J798" s="16" t="inlineStr">
        <is>
          <t>sí</t>
        </is>
      </c>
      <c r="K798" s="16" t="inlineStr">
        <is>
          <t>O2</t>
        </is>
      </c>
    </row>
    <row r="799">
      <c r="A799" s="16" t="inlineStr">
        <is>
          <t>KF-M09-R2-x_b+P_alta+eficiencias-0011</t>
        </is>
      </c>
      <c r="B799" s="35" t="n">
        <v>441.2164437020428</v>
      </c>
      <c r="C799" s="35" t="n">
        <v>283.7460978610889</v>
      </c>
      <c r="D799" s="35" t="n">
        <v>1393.430634102887</v>
      </c>
      <c r="E799" s="42" t="inlineStr">
        <is>
          <t>KALINA</t>
        </is>
      </c>
      <c r="F799" s="29" t="n">
        <v>5.44340212878409</v>
      </c>
      <c r="G799" s="35" t="n">
        <v>44.89182841981935</v>
      </c>
      <c r="H799" s="36" t="n">
        <v>1606.569365897113</v>
      </c>
      <c r="I799" s="29" t="n">
        <v>2.152959700022275</v>
      </c>
      <c r="J799" s="16" t="inlineStr">
        <is>
          <t>sí</t>
        </is>
      </c>
      <c r="K799" s="16" t="n"/>
    </row>
    <row r="800">
      <c r="A800" s="16" t="inlineStr">
        <is>
          <t>KF-M09-R2-x_b+P_alta+eficiencias-0012</t>
        </is>
      </c>
      <c r="B800" s="35" t="n">
        <v>401.8337410724907</v>
      </c>
      <c r="C800" s="35" t="n">
        <v>280.3663082078442</v>
      </c>
      <c r="D800" s="35" t="n">
        <v>897.2362155049969</v>
      </c>
      <c r="E800" s="32" t="inlineStr">
        <is>
          <t>No convergió</t>
        </is>
      </c>
      <c r="F800" s="29" t="inlineStr">
        <is>
          <t>—</t>
        </is>
      </c>
      <c r="G800" s="35" t="inlineStr">
        <is>
          <t>—</t>
        </is>
      </c>
      <c r="H800" s="36" t="n">
        <v>2102.763784495003</v>
      </c>
      <c r="I800" s="29" t="n">
        <v>3.343601103207244</v>
      </c>
      <c r="J800" s="16" t="inlineStr">
        <is>
          <t>no</t>
        </is>
      </c>
      <c r="K800" s="16" t="n"/>
    </row>
    <row r="801">
      <c r="A801" s="16" t="inlineStr">
        <is>
          <t>KF-M09-R2-x_b+P_alta+eficiencias-0013</t>
        </is>
      </c>
      <c r="B801" s="35" t="n">
        <v>508.3992952257573</v>
      </c>
      <c r="C801" s="35" t="n">
        <v>292.165388367815</v>
      </c>
      <c r="D801" s="35" t="n">
        <v>604.3461133405503</v>
      </c>
      <c r="E801" s="39" t="inlineStr">
        <is>
          <t>Corregible</t>
        </is>
      </c>
      <c r="F801" s="29" t="n">
        <v>11.06541958110244</v>
      </c>
      <c r="G801" s="35" t="n">
        <v>190.8366580367915</v>
      </c>
      <c r="H801" s="36" t="n">
        <v>2395.65388665945</v>
      </c>
      <c r="I801" s="29" t="n">
        <v>4.964042845278453</v>
      </c>
      <c r="J801" s="16" t="inlineStr">
        <is>
          <t>sí</t>
        </is>
      </c>
      <c r="K801" s="16" t="inlineStr">
        <is>
          <t>O2</t>
        </is>
      </c>
    </row>
    <row r="802">
      <c r="A802" s="16" t="inlineStr">
        <is>
          <t>KF-M09-R2-x_b+P_alta+eficiencias-0014</t>
        </is>
      </c>
      <c r="B802" s="35" t="n">
        <v>485.9509311934093</v>
      </c>
      <c r="C802" s="35" t="n">
        <v>295.2742282818695</v>
      </c>
      <c r="D802" s="35" t="n">
        <v>750.8762941197338</v>
      </c>
      <c r="E802" s="39" t="inlineStr">
        <is>
          <t>Corregible</t>
        </is>
      </c>
      <c r="F802" s="29" t="n">
        <v>9.812031963206429</v>
      </c>
      <c r="G802" s="35" t="n">
        <v>163.1910692505388</v>
      </c>
      <c r="H802" s="36" t="n">
        <v>2249.123705880266</v>
      </c>
      <c r="I802" s="29" t="n">
        <v>3.995331885549744</v>
      </c>
      <c r="J802" s="16" t="inlineStr">
        <is>
          <t>sí</t>
        </is>
      </c>
      <c r="K802" s="16" t="inlineStr">
        <is>
          <t>O2</t>
        </is>
      </c>
    </row>
    <row r="803">
      <c r="A803" s="16" t="inlineStr">
        <is>
          <t>KF-M09-R2-x_b+P_alta+eficiencias-0015</t>
        </is>
      </c>
      <c r="B803" s="35" t="n">
        <v>381.6544409615065</v>
      </c>
      <c r="C803" s="35" t="n">
        <v>299.9805076078305</v>
      </c>
      <c r="D803" s="35" t="n">
        <v>402.3112034706015</v>
      </c>
      <c r="E803" s="38" t="inlineStr">
        <is>
          <t>Falso convergido</t>
        </is>
      </c>
      <c r="F803" s="29" t="inlineStr">
        <is>
          <t>—</t>
        </is>
      </c>
      <c r="G803" s="35" t="inlineStr">
        <is>
          <t>—</t>
        </is>
      </c>
      <c r="H803" s="36" t="n">
        <v>2597.688796529399</v>
      </c>
      <c r="I803" s="29" t="n">
        <v>7.456913886861771</v>
      </c>
      <c r="J803" s="16" t="inlineStr">
        <is>
          <t>no</t>
        </is>
      </c>
      <c r="K803" s="16" t="inlineStr">
        <is>
          <t>N2,O3,O5,C1,C3,C3</t>
        </is>
      </c>
    </row>
    <row r="804">
      <c r="A804" s="16" t="inlineStr">
        <is>
          <t>KF-M09-R2-x_b+P_alta+eficiencias-0016</t>
        </is>
      </c>
      <c r="B804" s="35" t="n">
        <v>495.7991696033615</v>
      </c>
      <c r="C804" s="35" t="n">
        <v>290.919418084502</v>
      </c>
      <c r="D804" s="35" t="n">
        <v>856.3425645062737</v>
      </c>
      <c r="E804" s="39" t="inlineStr">
        <is>
          <t>Corregible</t>
        </is>
      </c>
      <c r="F804" s="29" t="n">
        <v>9.05965606884809</v>
      </c>
      <c r="G804" s="35" t="n">
        <v>154.0843884621156</v>
      </c>
      <c r="H804" s="36" t="n">
        <v>2143.657435493727</v>
      </c>
      <c r="I804" s="29" t="n">
        <v>3.503270915570636</v>
      </c>
      <c r="J804" s="16" t="inlineStr">
        <is>
          <t>sí</t>
        </is>
      </c>
      <c r="K804" s="16" t="inlineStr">
        <is>
          <t>O2</t>
        </is>
      </c>
    </row>
    <row r="805">
      <c r="A805" s="16" t="inlineStr">
        <is>
          <t>KF-M09-R2-x_b+P_alta+eficiencias-0017</t>
        </is>
      </c>
      <c r="B805" s="35" t="n">
        <v>438.3289414204926</v>
      </c>
      <c r="C805" s="35" t="n">
        <v>296.9781357634239</v>
      </c>
      <c r="D805" s="35" t="n">
        <v>306.7258202143635</v>
      </c>
      <c r="E805" s="39" t="inlineStr">
        <is>
          <t>Corregible</t>
        </is>
      </c>
      <c r="F805" s="29" t="n">
        <v>14.30929697296526</v>
      </c>
      <c r="G805" s="35" t="n">
        <v>107.6006650649992</v>
      </c>
      <c r="H805" s="36" t="n">
        <v>2693.274179785637</v>
      </c>
      <c r="I805" s="29" t="n">
        <v>9.780722072577294</v>
      </c>
      <c r="J805" s="16" t="inlineStr">
        <is>
          <t>sí</t>
        </is>
      </c>
      <c r="K805" s="16" t="inlineStr">
        <is>
          <t>O2</t>
        </is>
      </c>
    </row>
    <row r="806">
      <c r="A806" s="16" t="inlineStr">
        <is>
          <t>KF-M09-R2-x_b+P_alta+eficiencias-0018</t>
        </is>
      </c>
      <c r="B806" s="35" t="n">
        <v>415.0985379550688</v>
      </c>
      <c r="C806" s="35" t="n">
        <v>290.5503771959918</v>
      </c>
      <c r="D806" s="35" t="n">
        <v>1252.466880698055</v>
      </c>
      <c r="E806" s="42" t="inlineStr">
        <is>
          <t>KALINA</t>
        </is>
      </c>
      <c r="F806" s="29" t="n">
        <v>5.294523869005769</v>
      </c>
      <c r="G806" s="35" t="n">
        <v>24.28251433002635</v>
      </c>
      <c r="H806" s="36" t="n">
        <v>1747.533119301945</v>
      </c>
      <c r="I806" s="29" t="n">
        <v>2.395272917977654</v>
      </c>
      <c r="J806" s="16" t="inlineStr">
        <is>
          <t>no</t>
        </is>
      </c>
      <c r="K806" s="16" t="n"/>
    </row>
    <row r="807">
      <c r="A807" s="16" t="inlineStr">
        <is>
          <t>KF-M09-R2-x_b+P_alta+eficiencias-0019</t>
        </is>
      </c>
      <c r="B807" s="35" t="n">
        <v>453.4259365605191</v>
      </c>
      <c r="C807" s="35" t="n">
        <v>286.8105128041016</v>
      </c>
      <c r="D807" s="35" t="n">
        <v>1284.253080450529</v>
      </c>
      <c r="E807" s="42" t="inlineStr">
        <is>
          <t>KALINA</t>
        </is>
      </c>
      <c r="F807" s="29" t="n">
        <v>6.32275145075894</v>
      </c>
      <c r="G807" s="35" t="n">
        <v>66.87860704127661</v>
      </c>
      <c r="H807" s="36" t="n">
        <v>1715.746919549471</v>
      </c>
      <c r="I807" s="29" t="n">
        <v>2.335988167493879</v>
      </c>
      <c r="J807" s="16" t="inlineStr">
        <is>
          <t>sí</t>
        </is>
      </c>
      <c r="K807" s="16" t="n"/>
    </row>
    <row r="808">
      <c r="A808" s="16" t="inlineStr">
        <is>
          <t>KF-M09-R2-x_b+P_alta+eficiencias-0020</t>
        </is>
      </c>
      <c r="B808" s="35" t="n">
        <v>462.0221652764215</v>
      </c>
      <c r="C808" s="35" t="n">
        <v>279.056875466785</v>
      </c>
      <c r="D808" s="35" t="n">
        <v>1641.92395500055</v>
      </c>
      <c r="E808" s="42" t="inlineStr">
        <is>
          <t>KALINA</t>
        </is>
      </c>
      <c r="F808" s="29" t="n">
        <v>4.58175355831032</v>
      </c>
      <c r="G808" s="35" t="n">
        <v>59.68596934779043</v>
      </c>
      <c r="H808" s="36" t="n">
        <v>1358.07604499945</v>
      </c>
      <c r="I808" s="29" t="n">
        <v>1.827124813462505</v>
      </c>
      <c r="J808" s="16" t="inlineStr">
        <is>
          <t>sí</t>
        </is>
      </c>
      <c r="K808" s="16" t="n"/>
    </row>
    <row r="809">
      <c r="A809" s="16" t="inlineStr">
        <is>
          <t>KF-M09-R2-x_b+P_alta+eficiencias-0021</t>
        </is>
      </c>
      <c r="B809" s="35" t="n">
        <v>458.2194074433148</v>
      </c>
      <c r="C809" s="35" t="n">
        <v>298.3153514048098</v>
      </c>
      <c r="D809" s="35" t="n">
        <v>1102.857082270741</v>
      </c>
      <c r="E809" s="39" t="inlineStr">
        <is>
          <t>Corregible</t>
        </is>
      </c>
      <c r="F809" s="29" t="n">
        <v>7.59252352355123</v>
      </c>
      <c r="G809" s="35" t="n">
        <v>87.31136767169434</v>
      </c>
      <c r="H809" s="36" t="n">
        <v>1897.142917729259</v>
      </c>
      <c r="I809" s="29" t="n">
        <v>2.720207403322934</v>
      </c>
      <c r="J809" s="16" t="inlineStr">
        <is>
          <t>sí</t>
        </is>
      </c>
      <c r="K809" s="16" t="inlineStr">
        <is>
          <t>O2</t>
        </is>
      </c>
    </row>
    <row r="810">
      <c r="A810" s="16" t="inlineStr">
        <is>
          <t>KF-M09-R2-x_b+P_alta+eficiencias-0022</t>
        </is>
      </c>
      <c r="B810" s="35" t="n">
        <v>417.4916292043406</v>
      </c>
      <c r="C810" s="35" t="n">
        <v>300.8558039161872</v>
      </c>
      <c r="D810" s="35" t="n">
        <v>1877.249155520586</v>
      </c>
      <c r="E810" s="42" t="inlineStr">
        <is>
          <t>KALINA</t>
        </is>
      </c>
      <c r="F810" s="29" t="n">
        <v>3.04973900568634</v>
      </c>
      <c r="G810" s="35" t="n">
        <v>14.31887144038499</v>
      </c>
      <c r="H810" s="36" t="n">
        <v>1122.750844479414</v>
      </c>
      <c r="I810" s="29" t="n">
        <v>1.598083020134885</v>
      </c>
      <c r="J810" s="16" t="inlineStr">
        <is>
          <t>no</t>
        </is>
      </c>
      <c r="K810" s="16" t="n"/>
    </row>
    <row r="811">
      <c r="A811" s="16" t="inlineStr">
        <is>
          <t>KF-M09-R2-x_b+P_alta+eficiencias-0023</t>
        </is>
      </c>
      <c r="B811" s="35" t="n">
        <v>475.8424066802378</v>
      </c>
      <c r="C811" s="35" t="n">
        <v>293.0709440980052</v>
      </c>
      <c r="D811" s="35" t="n">
        <v>1963.083857452022</v>
      </c>
      <c r="E811" s="39" t="inlineStr">
        <is>
          <t>Corregible</t>
        </is>
      </c>
      <c r="F811" s="29" t="n">
        <v>3.41159486359659</v>
      </c>
      <c r="G811" s="35" t="n">
        <v>55.9525648389899</v>
      </c>
      <c r="H811" s="36" t="n">
        <v>1036.916142547978</v>
      </c>
      <c r="I811" s="29" t="n">
        <v>1.528207767901387</v>
      </c>
      <c r="J811" s="16" t="inlineStr">
        <is>
          <t>sí</t>
        </is>
      </c>
      <c r="K811" s="16" t="inlineStr">
        <is>
          <t>O2</t>
        </is>
      </c>
    </row>
    <row r="812">
      <c r="A812" s="16" t="inlineStr">
        <is>
          <t>KF-M09-R2-x_b+P_alta+eficiencias-0024</t>
        </is>
      </c>
      <c r="B812" s="35" t="n">
        <v>505.5261716610652</v>
      </c>
      <c r="C812" s="35" t="n">
        <v>301.734300230497</v>
      </c>
      <c r="D812" s="35" t="n">
        <v>1037.372103291976</v>
      </c>
      <c r="E812" s="39" t="inlineStr">
        <is>
          <t>Corregible</t>
        </is>
      </c>
      <c r="F812" s="29" t="n">
        <v>7.742687374366559</v>
      </c>
      <c r="G812" s="35" t="n">
        <v>130.5228795755603</v>
      </c>
      <c r="H812" s="36" t="n">
        <v>1962.627896708024</v>
      </c>
      <c r="I812" s="29" t="n">
        <v>2.891922763760332</v>
      </c>
      <c r="J812" s="16" t="inlineStr">
        <is>
          <t>sí</t>
        </is>
      </c>
      <c r="K812" s="16" t="inlineStr">
        <is>
          <t>O2</t>
        </is>
      </c>
    </row>
    <row r="813">
      <c r="A813" s="16" t="inlineStr">
        <is>
          <t>KF-M09-R2-x_b+P_alta+eficiencias-0025</t>
        </is>
      </c>
      <c r="B813" s="35" t="n">
        <v>449.8468585631778</v>
      </c>
      <c r="C813" s="35" t="n">
        <v>282.7277572493809</v>
      </c>
      <c r="D813" s="35" t="n">
        <v>1168.972064652047</v>
      </c>
      <c r="E813" s="42" t="inlineStr">
        <is>
          <t>KALINA</t>
        </is>
      </c>
      <c r="F813" s="29" t="n">
        <v>6.84348617285111</v>
      </c>
      <c r="G813" s="35" t="n">
        <v>67.68790487075474</v>
      </c>
      <c r="H813" s="36" t="n">
        <v>1831.027935347953</v>
      </c>
      <c r="I813" s="29" t="n">
        <v>2.566357307172239</v>
      </c>
      <c r="J813" s="16" t="inlineStr">
        <is>
          <t>sí</t>
        </is>
      </c>
      <c r="K813" s="16" t="n"/>
    </row>
    <row r="814">
      <c r="A814" s="16" t="inlineStr">
        <is>
          <t>KF-M09-R2-x_b+P_alta+eficiencias-0026</t>
        </is>
      </c>
      <c r="B814" s="35" t="n">
        <v>481.6444653961746</v>
      </c>
      <c r="C814" s="35" t="n">
        <v>284.1947031563773</v>
      </c>
      <c r="D814" s="35" t="n">
        <v>1708.643273353171</v>
      </c>
      <c r="E814" s="39" t="inlineStr">
        <is>
          <t>Corregible</t>
        </is>
      </c>
      <c r="F814" s="29" t="n">
        <v>4.44359373079751</v>
      </c>
      <c r="G814" s="35" t="n">
        <v>74.77970267176437</v>
      </c>
      <c r="H814" s="36" t="n">
        <v>1291.356726646829</v>
      </c>
      <c r="I814" s="29" t="n">
        <v>1.75577901296657</v>
      </c>
      <c r="J814" s="16" t="inlineStr">
        <is>
          <t>sí</t>
        </is>
      </c>
      <c r="K814" s="16" t="inlineStr">
        <is>
          <t>O2</t>
        </is>
      </c>
    </row>
    <row r="815">
      <c r="A815" s="16" t="inlineStr">
        <is>
          <t>KF-M09-R2-x_b+P_alta+eficiencias-0027</t>
        </is>
      </c>
      <c r="B815" s="35" t="n">
        <v>512.8375741212046</v>
      </c>
      <c r="C815" s="35" t="n">
        <v>286.0429233825001</v>
      </c>
      <c r="D815" s="35" t="n">
        <v>927.7683686426742</v>
      </c>
      <c r="E815" s="39" t="inlineStr">
        <is>
          <t>Corregible</t>
        </is>
      </c>
      <c r="F815" s="29" t="n">
        <v>8.58261499148327</v>
      </c>
      <c r="G815" s="35" t="n">
        <v>150.649524303552</v>
      </c>
      <c r="H815" s="36" t="n">
        <v>2072.231631357326</v>
      </c>
      <c r="I815" s="29" t="n">
        <v>3.233565727606129</v>
      </c>
      <c r="J815" s="16" t="inlineStr">
        <is>
          <t>sí</t>
        </is>
      </c>
      <c r="K815" s="16" t="inlineStr">
        <is>
          <t>O2</t>
        </is>
      </c>
    </row>
    <row r="816">
      <c r="A816" s="16" t="inlineStr">
        <is>
          <t>KF-M09-R2-x_b+P_alta+eficiencias-0028</t>
        </is>
      </c>
      <c r="B816" s="35" t="n">
        <v>516.6508198238442</v>
      </c>
      <c r="C816" s="35" t="n">
        <v>293.8368171698099</v>
      </c>
      <c r="D816" s="35" t="n">
        <v>1535.216717011496</v>
      </c>
      <c r="E816" s="39" t="inlineStr">
        <is>
          <t>Corregible</t>
        </is>
      </c>
      <c r="F816" s="29" t="n">
        <v>5.18390399300014</v>
      </c>
      <c r="G816" s="35" t="n">
        <v>89.92763986170799</v>
      </c>
      <c r="H816" s="36" t="n">
        <v>1464.783282988504</v>
      </c>
      <c r="I816" s="29" t="n">
        <v>1.954121503991893</v>
      </c>
      <c r="J816" s="16" t="inlineStr">
        <is>
          <t>sí</t>
        </is>
      </c>
      <c r="K816" s="16" t="inlineStr">
        <is>
          <t>O2</t>
        </is>
      </c>
    </row>
    <row r="817">
      <c r="A817" s="16" t="inlineStr">
        <is>
          <t>KF-M09-R2-x_b+P_alta+eficiencias-0029</t>
        </is>
      </c>
      <c r="B817" s="35" t="n">
        <v>397.2229795035859</v>
      </c>
      <c r="C817" s="35" t="n">
        <v>285.1395924372515</v>
      </c>
      <c r="D817" s="35" t="n">
        <v>518.2145314450344</v>
      </c>
      <c r="E817" s="42" t="inlineStr">
        <is>
          <t>KALINA</t>
        </is>
      </c>
      <c r="F817" s="29" t="n">
        <v>6.47325423986524</v>
      </c>
      <c r="G817" s="35" t="n">
        <v>16.50727515995418</v>
      </c>
      <c r="H817" s="36" t="n">
        <v>2481.785468554965</v>
      </c>
      <c r="I817" s="29" t="n">
        <v>5.789108212837142</v>
      </c>
      <c r="J817" s="16" t="inlineStr">
        <is>
          <t>no</t>
        </is>
      </c>
      <c r="K817" s="16" t="n"/>
    </row>
    <row r="819">
      <c r="A819" s="33" t="inlineStr">
        <is>
          <t>Parte 4.3 x_b+P_alta+eficiencias+P_baja · ronda 3 · 30 puntos</t>
        </is>
      </c>
      <c r="B819" s="31" t="n"/>
      <c r="C819" s="31" t="n"/>
      <c r="D819" s="31" t="n"/>
      <c r="E819" s="31" t="n"/>
      <c r="F819" s="31" t="n"/>
      <c r="G819" s="31" t="n"/>
      <c r="H819" s="31" t="n"/>
      <c r="I819" s="31" t="n"/>
      <c r="J819" s="31" t="n"/>
      <c r="K819" s="31" t="n"/>
    </row>
    <row r="821">
      <c r="A821" s="34" t="inlineStr">
        <is>
          <t>Barrido de la parte 4.3 x_b+P_alta+eficiencias+P_baja · 30 puntos</t>
        </is>
      </c>
    </row>
    <row r="822">
      <c r="A822" s="25" t="inlineStr">
        <is>
          <t>Fijos en este barrido: P_alta = 3000, P_baja = 400, x_b = 0.5, η_t = 0.85, η_p = 0.75, ε_HRVG = 0.85, ε_reg = 0.75, ε_cond = 0.8.</t>
        </is>
      </c>
    </row>
    <row r="823">
      <c r="A823" s="22" t="inlineStr">
        <is>
          <t>id_punto</t>
        </is>
      </c>
      <c r="B823" s="22" t="inlineStr">
        <is>
          <t>T_fuente [K]</t>
        </is>
      </c>
      <c r="C823" s="22" t="inlineStr">
        <is>
          <t>T_sumidero [K]</t>
        </is>
      </c>
      <c r="D823" s="22" t="inlineStr">
        <is>
          <t>Clase</t>
        </is>
      </c>
      <c r="E823" s="22" t="inlineStr">
        <is>
          <t>η [%]</t>
        </is>
      </c>
      <c r="F823" s="22" t="inlineStr">
        <is>
          <t>W_net [kW] (m_b = 1 kg/s)</t>
        </is>
      </c>
      <c r="G823" s="22" t="inlineStr">
        <is>
          <t>ΔP [kPa]</t>
        </is>
      </c>
      <c r="H823" s="22" t="inlineStr">
        <is>
          <t>r_P [–]</t>
        </is>
      </c>
      <c r="I823" s="22" t="inlineStr">
        <is>
          <t>Fuera de rango</t>
        </is>
      </c>
      <c r="J823" s="22" t="inlineStr">
        <is>
          <t>Criterios que falla</t>
        </is>
      </c>
    </row>
    <row r="824">
      <c r="A824" s="16" t="inlineStr">
        <is>
          <t>KF-M09-R3-x_b+P_alta+eficiencias+P_baja-0000</t>
        </is>
      </c>
      <c r="B824" s="35" t="n">
        <v>384.2404884390779</v>
      </c>
      <c r="C824" s="35" t="n">
        <v>292.2971957934363</v>
      </c>
      <c r="D824" s="38" t="inlineStr">
        <is>
          <t>Falso convergido</t>
        </is>
      </c>
      <c r="E824" s="29" t="inlineStr">
        <is>
          <t>—</t>
        </is>
      </c>
      <c r="F824" s="35" t="inlineStr">
        <is>
          <t>—</t>
        </is>
      </c>
      <c r="G824" s="36" t="n">
        <v>2600</v>
      </c>
      <c r="H824" s="29" t="n">
        <v>7.5</v>
      </c>
      <c r="I824" s="16" t="inlineStr">
        <is>
          <t>no</t>
        </is>
      </c>
      <c r="J824" s="16" t="inlineStr">
        <is>
          <t>N2,O3,O5,C1,C3,C3</t>
        </is>
      </c>
    </row>
    <row r="825">
      <c r="A825" s="16" t="inlineStr">
        <is>
          <t>KF-M09-R3-x_b+P_alta+eficiencias+P_baja-0009</t>
        </is>
      </c>
      <c r="B825" s="35" t="n">
        <v>386.8561018543618</v>
      </c>
      <c r="C825" s="35" t="n">
        <v>294.1167780492842</v>
      </c>
      <c r="D825" s="40" t="inlineStr">
        <is>
          <t>Inviable</t>
        </is>
      </c>
      <c r="E825" s="29" t="n">
        <v>-3.30997560085503</v>
      </c>
      <c r="F825" s="35" t="n">
        <v>-3.537122214780564</v>
      </c>
      <c r="G825" s="36" t="n">
        <v>2600</v>
      </c>
      <c r="H825" s="29" t="n">
        <v>7.5</v>
      </c>
      <c r="I825" s="16" t="inlineStr">
        <is>
          <t>no</t>
        </is>
      </c>
      <c r="J825" s="16" t="inlineStr">
        <is>
          <t>O3</t>
        </is>
      </c>
    </row>
    <row r="826">
      <c r="A826" s="16" t="inlineStr">
        <is>
          <t>KF-M09-R3-x_b+P_alta+eficiencias+P_baja-0017</t>
        </is>
      </c>
      <c r="B826" s="35" t="n">
        <v>390.900480433468</v>
      </c>
      <c r="C826" s="35" t="n">
        <v>292.9356530804358</v>
      </c>
      <c r="D826" s="42" t="inlineStr">
        <is>
          <t>KALINA</t>
        </is>
      </c>
      <c r="E826" s="29" t="n">
        <v>3.45886052459067</v>
      </c>
      <c r="F826" s="35" t="n">
        <v>5.689497044278442</v>
      </c>
      <c r="G826" s="36" t="n">
        <v>2600</v>
      </c>
      <c r="H826" s="29" t="n">
        <v>7.5</v>
      </c>
      <c r="I826" s="16" t="inlineStr">
        <is>
          <t>no</t>
        </is>
      </c>
      <c r="J826" s="16" t="n"/>
    </row>
    <row r="827">
      <c r="A827" s="16" t="inlineStr">
        <is>
          <t>KF-M09-R3-x_b+P_alta+eficiencias+P_baja-0011</t>
        </is>
      </c>
      <c r="B827" s="35" t="n">
        <v>397.2277947321104</v>
      </c>
      <c r="C827" s="35" t="n">
        <v>279.8574589875436</v>
      </c>
      <c r="D827" s="42" t="inlineStr">
        <is>
          <t>KALINA</t>
        </is>
      </c>
      <c r="E827" s="29" t="n">
        <v>7.19719527885937</v>
      </c>
      <c r="F827" s="35" t="n">
        <v>18.81606396557443</v>
      </c>
      <c r="G827" s="36" t="n">
        <v>2600</v>
      </c>
      <c r="H827" s="29" t="n">
        <v>7.5</v>
      </c>
      <c r="I827" s="16" t="inlineStr">
        <is>
          <t>no</t>
        </is>
      </c>
      <c r="J827" s="16" t="n"/>
    </row>
    <row r="828">
      <c r="A828" s="16" t="inlineStr">
        <is>
          <t>KF-M09-R3-x_b+P_alta+eficiencias+P_baja-0012</t>
        </is>
      </c>
      <c r="B828" s="35" t="n">
        <v>399.3670691389523</v>
      </c>
      <c r="C828" s="35" t="n">
        <v>285.7384376903907</v>
      </c>
      <c r="D828" s="42" t="inlineStr">
        <is>
          <t>KALINA</t>
        </is>
      </c>
      <c r="E828" s="29" t="n">
        <v>8.307806859056049</v>
      </c>
      <c r="F828" s="35" t="n">
        <v>23.34737608850404</v>
      </c>
      <c r="G828" s="36" t="n">
        <v>2600</v>
      </c>
      <c r="H828" s="29" t="n">
        <v>7.5</v>
      </c>
      <c r="I828" s="16" t="inlineStr">
        <is>
          <t>no</t>
        </is>
      </c>
      <c r="J828" s="16" t="n"/>
    </row>
    <row r="829">
      <c r="A829" s="16" t="inlineStr">
        <is>
          <t>KF-M09-R3-x_b+P_alta+eficiencias+P_baja-0010</t>
        </is>
      </c>
      <c r="B829" s="35" t="n">
        <v>406.8801692295517</v>
      </c>
      <c r="C829" s="35" t="n">
        <v>284.3131119856872</v>
      </c>
      <c r="D829" s="42" t="inlineStr">
        <is>
          <t>KALINA</t>
        </is>
      </c>
      <c r="E829" s="29" t="n">
        <v>10.23967267226254</v>
      </c>
      <c r="F829" s="35" t="n">
        <v>38.21076539409637</v>
      </c>
      <c r="G829" s="36" t="n">
        <v>2600</v>
      </c>
      <c r="H829" s="29" t="n">
        <v>7.5</v>
      </c>
      <c r="I829" s="16" t="inlineStr">
        <is>
          <t>no</t>
        </is>
      </c>
      <c r="J829" s="16" t="n"/>
    </row>
    <row r="830">
      <c r="A830" s="16" t="inlineStr">
        <is>
          <t>KF-M09-R3-x_b+P_alta+eficiencias+P_baja-0025</t>
        </is>
      </c>
      <c r="B830" s="35" t="n">
        <v>409.2543787655303</v>
      </c>
      <c r="C830" s="35" t="n">
        <v>282.7053863780276</v>
      </c>
      <c r="D830" s="42" t="inlineStr">
        <is>
          <t>KALINA</t>
        </is>
      </c>
      <c r="E830" s="29" t="n">
        <v>10.60548360254214</v>
      </c>
      <c r="F830" s="35" t="n">
        <v>42.79594393912396</v>
      </c>
      <c r="G830" s="36" t="n">
        <v>2600</v>
      </c>
      <c r="H830" s="29" t="n">
        <v>7.5</v>
      </c>
      <c r="I830" s="16" t="inlineStr">
        <is>
          <t>no</t>
        </is>
      </c>
      <c r="J830" s="16" t="n"/>
    </row>
    <row r="831">
      <c r="A831" s="16" t="inlineStr">
        <is>
          <t>KF-M09-R3-x_b+P_alta+eficiencias+P_baja-0029</t>
        </is>
      </c>
      <c r="B831" s="35" t="n">
        <v>417.0700711832555</v>
      </c>
      <c r="C831" s="35" t="n">
        <v>302.0380631250022</v>
      </c>
      <c r="D831" s="39" t="inlineStr">
        <is>
          <t>Corregible</t>
        </is>
      </c>
      <c r="E831" s="29" t="n">
        <v>12.00451351168333</v>
      </c>
      <c r="F831" s="35" t="n">
        <v>55.79564865564673</v>
      </c>
      <c r="G831" s="36" t="n">
        <v>2600</v>
      </c>
      <c r="H831" s="29" t="n">
        <v>7.5</v>
      </c>
      <c r="I831" s="16" t="inlineStr">
        <is>
          <t>no</t>
        </is>
      </c>
      <c r="J831" s="16" t="inlineStr">
        <is>
          <t>O2</t>
        </is>
      </c>
    </row>
    <row r="832">
      <c r="A832" s="16" t="inlineStr">
        <is>
          <t>KF-M09-R3-x_b+P_alta+eficiencias+P_baja-0020</t>
        </is>
      </c>
      <c r="B832" s="35" t="n">
        <v>421.8582498029306</v>
      </c>
      <c r="C832" s="35" t="n">
        <v>300.3122353512006</v>
      </c>
      <c r="D832" s="39" t="inlineStr">
        <is>
          <t>Corregible</t>
        </is>
      </c>
      <c r="E832" s="29" t="n">
        <v>12.40431647245126</v>
      </c>
      <c r="F832" s="35" t="n">
        <v>65.09756878504029</v>
      </c>
      <c r="G832" s="36" t="n">
        <v>2600</v>
      </c>
      <c r="H832" s="29" t="n">
        <v>7.5</v>
      </c>
      <c r="I832" s="16" t="inlineStr">
        <is>
          <t>no</t>
        </is>
      </c>
      <c r="J832" s="16" t="inlineStr">
        <is>
          <t>O2</t>
        </is>
      </c>
    </row>
    <row r="833">
      <c r="A833" s="16" t="inlineStr">
        <is>
          <t>KF-M09-R3-x_b+P_alta+eficiencias+P_baja-0016</t>
        </is>
      </c>
      <c r="B833" s="35" t="n">
        <v>422.6088328668493</v>
      </c>
      <c r="C833" s="35" t="n">
        <v>295.8292784193837</v>
      </c>
      <c r="D833" s="39" t="inlineStr">
        <is>
          <t>Corregible</t>
        </is>
      </c>
      <c r="E833" s="29" t="n">
        <v>12.46435956477476</v>
      </c>
      <c r="F833" s="35" t="n">
        <v>67.56984899414341</v>
      </c>
      <c r="G833" s="36" t="n">
        <v>2600</v>
      </c>
      <c r="H833" s="29" t="n">
        <v>7.5</v>
      </c>
      <c r="I833" s="16" t="inlineStr">
        <is>
          <t>no</t>
        </is>
      </c>
      <c r="J833" s="16" t="inlineStr">
        <is>
          <t>O2</t>
        </is>
      </c>
    </row>
    <row r="834">
      <c r="A834" s="16" t="inlineStr">
        <is>
          <t>KF-M09-R3-x_b+P_alta+eficiencias+P_baja-0013</t>
        </is>
      </c>
      <c r="B834" s="35" t="n">
        <v>431.1042399609825</v>
      </c>
      <c r="C834" s="35" t="n">
        <v>283.8192032766289</v>
      </c>
      <c r="D834" s="39" t="inlineStr">
        <is>
          <t>Corregible</t>
        </is>
      </c>
      <c r="E834" s="29" t="n">
        <v>12.83660446166277</v>
      </c>
      <c r="F834" s="35" t="n">
        <v>86.70291605291064</v>
      </c>
      <c r="G834" s="36" t="n">
        <v>2600</v>
      </c>
      <c r="H834" s="29" t="n">
        <v>7.5</v>
      </c>
      <c r="I834" s="16" t="inlineStr">
        <is>
          <t>sí</t>
        </is>
      </c>
      <c r="J834" s="16" t="inlineStr">
        <is>
          <t>O2</t>
        </is>
      </c>
    </row>
    <row r="835">
      <c r="A835" s="16" t="inlineStr">
        <is>
          <t>KF-M09-R3-x_b+P_alta+eficiencias+P_baja-0002</t>
        </is>
      </c>
      <c r="B835" s="35" t="n">
        <v>434.5856511999648</v>
      </c>
      <c r="C835" s="35" t="n">
        <v>294.6509175460297</v>
      </c>
      <c r="D835" s="39" t="inlineStr">
        <is>
          <t>Corregible</t>
        </is>
      </c>
      <c r="E835" s="29" t="n">
        <v>13.07854169430145</v>
      </c>
      <c r="F835" s="35" t="n">
        <v>92.03091002723548</v>
      </c>
      <c r="G835" s="36" t="n">
        <v>2600</v>
      </c>
      <c r="H835" s="29" t="n">
        <v>7.5</v>
      </c>
      <c r="I835" s="16" t="inlineStr">
        <is>
          <t>sí</t>
        </is>
      </c>
      <c r="J835" s="16" t="inlineStr">
        <is>
          <t>O2</t>
        </is>
      </c>
    </row>
    <row r="836">
      <c r="A836" s="16" t="inlineStr">
        <is>
          <t>KF-M09-R3-x_b+P_alta+eficiencias+P_baja-0022</t>
        </is>
      </c>
      <c r="B836" s="35" t="n">
        <v>438.1950734716951</v>
      </c>
      <c r="C836" s="35" t="n">
        <v>286.858957139096</v>
      </c>
      <c r="D836" s="39" t="inlineStr">
        <is>
          <t>Corregible</t>
        </is>
      </c>
      <c r="E836" s="29" t="n">
        <v>13.18203517839293</v>
      </c>
      <c r="F836" s="35" t="n">
        <v>102.0906671033113</v>
      </c>
      <c r="G836" s="36" t="n">
        <v>2600</v>
      </c>
      <c r="H836" s="29" t="n">
        <v>7.5</v>
      </c>
      <c r="I836" s="16" t="inlineStr">
        <is>
          <t>sí</t>
        </is>
      </c>
      <c r="J836" s="16" t="inlineStr">
        <is>
          <t>O2</t>
        </is>
      </c>
    </row>
    <row r="837">
      <c r="A837" s="16" t="inlineStr">
        <is>
          <t>KF-M09-R3-x_b+P_alta+eficiencias+P_baja-0004</t>
        </is>
      </c>
      <c r="B837" s="35" t="n">
        <v>443.5754757476018</v>
      </c>
      <c r="C837" s="35" t="n">
        <v>278.2057929033543</v>
      </c>
      <c r="D837" s="39" t="inlineStr">
        <is>
          <t>Corregible</t>
        </is>
      </c>
      <c r="E837" s="29" t="n">
        <v>13.26250285739814</v>
      </c>
      <c r="F837" s="35" t="n">
        <v>117.1221255015237</v>
      </c>
      <c r="G837" s="36" t="n">
        <v>2600</v>
      </c>
      <c r="H837" s="29" t="n">
        <v>7.5</v>
      </c>
      <c r="I837" s="16" t="inlineStr">
        <is>
          <t>sí</t>
        </is>
      </c>
      <c r="J837" s="16" t="inlineStr">
        <is>
          <t>O2</t>
        </is>
      </c>
    </row>
    <row r="838">
      <c r="A838" s="16" t="inlineStr">
        <is>
          <t>KF-M09-R3-x_b+P_alta+eficiencias+P_baja-0021</t>
        </is>
      </c>
      <c r="B838" s="35" t="n">
        <v>447.346216628673</v>
      </c>
      <c r="C838" s="35" t="n">
        <v>298.7594401508788</v>
      </c>
      <c r="D838" s="39" t="inlineStr">
        <is>
          <t>Corregible</t>
        </is>
      </c>
      <c r="E838" s="29" t="n">
        <v>13.32319720269607</v>
      </c>
      <c r="F838" s="35" t="n">
        <v>120.6658140784371</v>
      </c>
      <c r="G838" s="36" t="n">
        <v>2600</v>
      </c>
      <c r="H838" s="29" t="n">
        <v>7.5</v>
      </c>
      <c r="I838" s="16" t="inlineStr">
        <is>
          <t>sí</t>
        </is>
      </c>
      <c r="J838" s="16" t="inlineStr">
        <is>
          <t>O2</t>
        </is>
      </c>
    </row>
    <row r="839">
      <c r="A839" s="16" t="inlineStr">
        <is>
          <t>KF-M09-R3-x_b+P_alta+eficiencias+P_baja-0008</t>
        </is>
      </c>
      <c r="B839" s="35" t="n">
        <v>454.3536001893185</v>
      </c>
      <c r="C839" s="35" t="n">
        <v>303.384376974051</v>
      </c>
      <c r="D839" s="39" t="inlineStr">
        <is>
          <t>Corregible</t>
        </is>
      </c>
      <c r="E839" s="29" t="n">
        <v>13.26230694747782</v>
      </c>
      <c r="F839" s="35" t="n">
        <v>137.9649777282832</v>
      </c>
      <c r="G839" s="36" t="n">
        <v>2600</v>
      </c>
      <c r="H839" s="29" t="n">
        <v>7.5</v>
      </c>
      <c r="I839" s="16" t="inlineStr">
        <is>
          <t>sí</t>
        </is>
      </c>
      <c r="J839" s="16" t="inlineStr">
        <is>
          <t>O2</t>
        </is>
      </c>
    </row>
    <row r="840">
      <c r="A840" s="16" t="inlineStr">
        <is>
          <t>KF-M09-R3-x_b+P_alta+eficiencias+P_baja-0024</t>
        </is>
      </c>
      <c r="B840" s="35" t="n">
        <v>455.157024896038</v>
      </c>
      <c r="C840" s="35" t="n">
        <v>297.7213974659105</v>
      </c>
      <c r="D840" s="39" t="inlineStr">
        <is>
          <t>Corregible</t>
        </is>
      </c>
      <c r="E840" s="29" t="n">
        <v>13.37300635071835</v>
      </c>
      <c r="F840" s="35" t="n">
        <v>143.706990574934</v>
      </c>
      <c r="G840" s="36" t="n">
        <v>2600</v>
      </c>
      <c r="H840" s="29" t="n">
        <v>7.5</v>
      </c>
      <c r="I840" s="16" t="inlineStr">
        <is>
          <t>sí</t>
        </is>
      </c>
      <c r="J840" s="16" t="inlineStr">
        <is>
          <t>O2</t>
        </is>
      </c>
    </row>
    <row r="841">
      <c r="A841" s="16" t="inlineStr">
        <is>
          <t>KF-M09-R3-x_b+P_alta+eficiencias+P_baja-0005</t>
        </is>
      </c>
      <c r="B841" s="35" t="n">
        <v>463.8453357191517</v>
      </c>
      <c r="C841" s="35" t="n">
        <v>299.8576823408128</v>
      </c>
      <c r="D841" s="39" t="inlineStr">
        <is>
          <t>Corregible</t>
        </is>
      </c>
      <c r="E841" s="29" t="n">
        <v>13.27028247771967</v>
      </c>
      <c r="F841" s="35" t="n">
        <v>173.5957903421881</v>
      </c>
      <c r="G841" s="36" t="n">
        <v>2600</v>
      </c>
      <c r="H841" s="29" t="n">
        <v>7.5</v>
      </c>
      <c r="I841" s="16" t="inlineStr">
        <is>
          <t>sí</t>
        </is>
      </c>
      <c r="J841" s="16" t="inlineStr">
        <is>
          <t>O2</t>
        </is>
      </c>
    </row>
    <row r="842">
      <c r="A842" s="16" t="inlineStr">
        <is>
          <t>KF-M09-R3-x_b+P_alta+eficiencias+P_baja-0001</t>
        </is>
      </c>
      <c r="B842" s="35" t="n">
        <v>466.0049954401134</v>
      </c>
      <c r="C842" s="35" t="n">
        <v>290.6463159357425</v>
      </c>
      <c r="D842" s="39" t="inlineStr">
        <is>
          <t>Corregible</t>
        </is>
      </c>
      <c r="E842" s="29" t="n">
        <v>13.40668597630729</v>
      </c>
      <c r="F842" s="35" t="n">
        <v>189.019684969959</v>
      </c>
      <c r="G842" s="36" t="n">
        <v>2600</v>
      </c>
      <c r="H842" s="29" t="n">
        <v>7.5</v>
      </c>
      <c r="I842" s="16" t="inlineStr">
        <is>
          <t>sí</t>
        </is>
      </c>
      <c r="J842" s="16" t="inlineStr">
        <is>
          <t>O2</t>
        </is>
      </c>
    </row>
    <row r="843">
      <c r="A843" s="16" t="inlineStr">
        <is>
          <t>KF-M09-R3-x_b+P_alta+eficiencias+P_baja-0006</t>
        </is>
      </c>
      <c r="B843" s="35" t="n">
        <v>468.70475792241</v>
      </c>
      <c r="C843" s="35" t="n">
        <v>301.7535370295663</v>
      </c>
      <c r="D843" s="39" t="inlineStr">
        <is>
          <t>Corregible</t>
        </is>
      </c>
      <c r="E843" s="29" t="n">
        <v>13.15273505395083</v>
      </c>
      <c r="F843" s="35" t="n">
        <v>193.7915511018017</v>
      </c>
      <c r="G843" s="36" t="n">
        <v>2600</v>
      </c>
      <c r="H843" s="29" t="n">
        <v>7.5</v>
      </c>
      <c r="I843" s="16" t="inlineStr">
        <is>
          <t>sí</t>
        </is>
      </c>
      <c r="J843" s="16" t="inlineStr">
        <is>
          <t>O2</t>
        </is>
      </c>
    </row>
    <row r="844">
      <c r="A844" s="16" t="inlineStr">
        <is>
          <t>KF-M09-R3-x_b+P_alta+eficiencias+P_baja-0019</t>
        </is>
      </c>
      <c r="B844" s="35" t="n">
        <v>476.2918869456088</v>
      </c>
      <c r="C844" s="35" t="n">
        <v>289.413242244652</v>
      </c>
      <c r="D844" s="39" t="inlineStr">
        <is>
          <t>Corregible</t>
        </is>
      </c>
      <c r="E844" s="29" t="n">
        <v>13.3321228098022</v>
      </c>
      <c r="F844" s="35" t="n">
        <v>221.0098941826659</v>
      </c>
      <c r="G844" s="36" t="n">
        <v>2600</v>
      </c>
      <c r="H844" s="29" t="n">
        <v>7.5</v>
      </c>
      <c r="I844" s="16" t="inlineStr">
        <is>
          <t>sí</t>
        </is>
      </c>
      <c r="J844" s="16" t="inlineStr">
        <is>
          <t>O2</t>
        </is>
      </c>
    </row>
    <row r="845">
      <c r="A845" s="16" t="inlineStr">
        <is>
          <t>KF-M09-R3-x_b+P_alta+eficiencias+P_baja-0023</t>
        </is>
      </c>
      <c r="B845" s="35" t="n">
        <v>482.4969425962064</v>
      </c>
      <c r="C845" s="35" t="n">
        <v>296.7909391725854</v>
      </c>
      <c r="D845" s="39" t="inlineStr">
        <is>
          <t>Corregible</t>
        </is>
      </c>
      <c r="E845" s="29" t="n">
        <v>13.19202892666781</v>
      </c>
      <c r="F845" s="35" t="n">
        <v>217.1592751087018</v>
      </c>
      <c r="G845" s="36" t="n">
        <v>2600</v>
      </c>
      <c r="H845" s="29" t="n">
        <v>7.5</v>
      </c>
      <c r="I845" s="16" t="inlineStr">
        <is>
          <t>sí</t>
        </is>
      </c>
      <c r="J845" s="16" t="inlineStr">
        <is>
          <t>O2</t>
        </is>
      </c>
    </row>
    <row r="846">
      <c r="A846" s="16" t="inlineStr">
        <is>
          <t>KF-M09-R3-x_b+P_alta+eficiencias+P_baja-0018</t>
        </is>
      </c>
      <c r="B846" s="35" t="n">
        <v>486.4233726973992</v>
      </c>
      <c r="C846" s="35" t="n">
        <v>296.5457566767763</v>
      </c>
      <c r="D846" s="39" t="inlineStr">
        <is>
          <t>Corregible</t>
        </is>
      </c>
      <c r="E846" s="29" t="n">
        <v>13.19301719463727</v>
      </c>
      <c r="F846" s="35" t="n">
        <v>218.5103209372189</v>
      </c>
      <c r="G846" s="36" t="n">
        <v>2600</v>
      </c>
      <c r="H846" s="29" t="n">
        <v>7.5</v>
      </c>
      <c r="I846" s="16" t="inlineStr">
        <is>
          <t>sí</t>
        </is>
      </c>
      <c r="J846" s="16" t="inlineStr">
        <is>
          <t>O2</t>
        </is>
      </c>
    </row>
    <row r="847">
      <c r="A847" s="16" t="inlineStr">
        <is>
          <t>KF-M09-R3-x_b+P_alta+eficiencias+P_baja-0028</t>
        </is>
      </c>
      <c r="B847" s="35" t="n">
        <v>491.7774765869307</v>
      </c>
      <c r="C847" s="35" t="n">
        <v>282.063665623517</v>
      </c>
      <c r="D847" s="39" t="inlineStr">
        <is>
          <t>Corregible</t>
        </is>
      </c>
      <c r="E847" s="29" t="n">
        <v>13.4189982816114</v>
      </c>
      <c r="F847" s="35" t="n">
        <v>230.8959656120418</v>
      </c>
      <c r="G847" s="36" t="n">
        <v>2600</v>
      </c>
      <c r="H847" s="29" t="n">
        <v>7.5</v>
      </c>
      <c r="I847" s="16" t="inlineStr">
        <is>
          <t>sí</t>
        </is>
      </c>
      <c r="J847" s="16" t="inlineStr">
        <is>
          <t>O2</t>
        </is>
      </c>
    </row>
    <row r="848">
      <c r="A848" s="16" t="inlineStr">
        <is>
          <t>KF-M09-R3-x_b+P_alta+eficiencias+P_baja-0003</t>
        </is>
      </c>
      <c r="B848" s="35" t="n">
        <v>492.0489990901762</v>
      </c>
      <c r="C848" s="35" t="n">
        <v>291.1177401389877</v>
      </c>
      <c r="D848" s="39" t="inlineStr">
        <is>
          <t>Corregible</t>
        </is>
      </c>
      <c r="E848" s="29" t="n">
        <v>13.28901523399435</v>
      </c>
      <c r="F848" s="35" t="n">
        <v>224.4643492817813</v>
      </c>
      <c r="G848" s="36" t="n">
        <v>2600</v>
      </c>
      <c r="H848" s="29" t="n">
        <v>7.5</v>
      </c>
      <c r="I848" s="16" t="inlineStr">
        <is>
          <t>sí</t>
        </is>
      </c>
      <c r="J848" s="16" t="inlineStr">
        <is>
          <t>O2</t>
        </is>
      </c>
    </row>
    <row r="849">
      <c r="A849" s="16" t="inlineStr">
        <is>
          <t>KF-M09-R3-x_b+P_alta+eficiencias+P_baja-0014</t>
        </is>
      </c>
      <c r="B849" s="35" t="n">
        <v>497.6901034666757</v>
      </c>
      <c r="C849" s="35" t="n">
        <v>288.7483487925129</v>
      </c>
      <c r="D849" s="32" t="inlineStr">
        <is>
          <t>No convergió</t>
        </is>
      </c>
      <c r="E849" s="29" t="inlineStr">
        <is>
          <t>—</t>
        </is>
      </c>
      <c r="F849" s="35" t="inlineStr">
        <is>
          <t>—</t>
        </is>
      </c>
      <c r="G849" s="36" t="n">
        <v>2600</v>
      </c>
      <c r="H849" s="29" t="n">
        <v>7.5</v>
      </c>
      <c r="I849" s="16" t="inlineStr">
        <is>
          <t>no</t>
        </is>
      </c>
      <c r="J849" s="16" t="n"/>
    </row>
    <row r="850">
      <c r="A850" s="16" t="inlineStr">
        <is>
          <t>KF-M09-R3-x_b+P_alta+eficiencias+P_baja-0015</t>
        </is>
      </c>
      <c r="B850" s="35" t="n">
        <v>504.4594903438974</v>
      </c>
      <c r="C850" s="35" t="n">
        <v>287.9272430931313</v>
      </c>
      <c r="D850" s="39" t="inlineStr">
        <is>
          <t>Corregible</t>
        </is>
      </c>
      <c r="E850" s="29" t="n">
        <v>13.32932254684711</v>
      </c>
      <c r="F850" s="35" t="n">
        <v>230.4523279269196</v>
      </c>
      <c r="G850" s="36" t="n">
        <v>2600</v>
      </c>
      <c r="H850" s="29" t="n">
        <v>7.5</v>
      </c>
      <c r="I850" s="16" t="inlineStr">
        <is>
          <t>sí</t>
        </is>
      </c>
      <c r="J850" s="16" t="inlineStr">
        <is>
          <t>O2</t>
        </is>
      </c>
    </row>
    <row r="851">
      <c r="A851" s="16" t="inlineStr">
        <is>
          <t>KF-M09-R3-x_b+P_alta+eficiencias+P_baja-0007</t>
        </is>
      </c>
      <c r="B851" s="35" t="n">
        <v>507.3164118572552</v>
      </c>
      <c r="C851" s="35" t="n">
        <v>279.1639869613874</v>
      </c>
      <c r="D851" s="39" t="inlineStr">
        <is>
          <t>Corregible</t>
        </is>
      </c>
      <c r="E851" s="29" t="n">
        <v>13.43933624376942</v>
      </c>
      <c r="F851" s="35" t="n">
        <v>237.421485079945</v>
      </c>
      <c r="G851" s="36" t="n">
        <v>2600</v>
      </c>
      <c r="H851" s="29" t="n">
        <v>7.5</v>
      </c>
      <c r="I851" s="16" t="inlineStr">
        <is>
          <t>sí</t>
        </is>
      </c>
      <c r="J851" s="16" t="inlineStr">
        <is>
          <t>O2</t>
        </is>
      </c>
    </row>
    <row r="852">
      <c r="A852" s="16" t="inlineStr">
        <is>
          <t>KF-M09-R3-x_b+P_alta+eficiencias+P_baja-0027</t>
        </is>
      </c>
      <c r="B852" s="35" t="n">
        <v>511.7984404240335</v>
      </c>
      <c r="C852" s="35" t="n">
        <v>280.8098707243166</v>
      </c>
      <c r="D852" s="39" t="inlineStr">
        <is>
          <t>Corregible</t>
        </is>
      </c>
      <c r="E852" s="29" t="n">
        <v>13.41818490135904</v>
      </c>
      <c r="F852" s="35" t="n">
        <v>237.6211777813655</v>
      </c>
      <c r="G852" s="36" t="n">
        <v>2600</v>
      </c>
      <c r="H852" s="29" t="n">
        <v>7.5</v>
      </c>
      <c r="I852" s="16" t="inlineStr">
        <is>
          <t>sí</t>
        </is>
      </c>
      <c r="J852" s="16" t="inlineStr">
        <is>
          <t>O2</t>
        </is>
      </c>
    </row>
    <row r="853">
      <c r="A853" s="16" t="inlineStr">
        <is>
          <t>KF-M09-R3-x_b+P_alta+eficiencias+P_baja-0026</t>
        </is>
      </c>
      <c r="B853" s="35" t="n">
        <v>519.8419553100487</v>
      </c>
      <c r="C853" s="35" t="n">
        <v>286.2409790572545</v>
      </c>
      <c r="D853" s="39" t="inlineStr">
        <is>
          <t>Corregible</t>
        </is>
      </c>
      <c r="E853" s="29" t="n">
        <v>13.34152029172605</v>
      </c>
      <c r="F853" s="35" t="n">
        <v>236.0231186270212</v>
      </c>
      <c r="G853" s="36" t="n">
        <v>2600</v>
      </c>
      <c r="H853" s="29" t="n">
        <v>7.5</v>
      </c>
      <c r="I853" s="16" t="inlineStr">
        <is>
          <t>sí</t>
        </is>
      </c>
      <c r="J853" s="16" t="inlineStr">
        <is>
          <t>O1,O2</t>
        </is>
      </c>
    </row>
    <row r="855">
      <c r="A855" s="33" t="inlineStr">
        <is>
          <t>Parte 4.3 x_b+P_alta+eficiencias+T_fuente · ronda 3 · 30 puntos</t>
        </is>
      </c>
      <c r="B855" s="31" t="n"/>
      <c r="C855" s="31" t="n"/>
      <c r="D855" s="31" t="n"/>
      <c r="E855" s="31" t="n"/>
      <c r="F855" s="31" t="n"/>
      <c r="G855" s="31" t="n"/>
      <c r="H855" s="31" t="n"/>
      <c r="I855" s="31" t="n"/>
      <c r="J855" s="31" t="n"/>
      <c r="K855" s="31" t="n"/>
    </row>
    <row r="857">
      <c r="A857" s="34" t="inlineStr">
        <is>
          <t>Barrido de la parte 4.3 x_b+P_alta+eficiencias+T_fuente · 30 puntos</t>
        </is>
      </c>
    </row>
    <row r="858">
      <c r="A858" s="25" t="inlineStr">
        <is>
          <t>Fijos en este barrido: T_fuente = 623.15, P_alta = 3000, x_b = 0.5, η_t = 0.85, η_p = 0.75, ε_HRVG = 0.85, ε_reg = 0.75, ε_cond = 0.8.</t>
        </is>
      </c>
    </row>
    <row r="859">
      <c r="A859" s="22" t="inlineStr">
        <is>
          <t>id_punto</t>
        </is>
      </c>
      <c r="B859" s="22" t="inlineStr">
        <is>
          <t>T_sumidero [K]</t>
        </is>
      </c>
      <c r="C859" s="22" t="inlineStr">
        <is>
          <t>P_baja [kPa]</t>
        </is>
      </c>
      <c r="D859" s="22" t="inlineStr">
        <is>
          <t>Clase</t>
        </is>
      </c>
      <c r="E859" s="22" t="inlineStr">
        <is>
          <t>η [%]</t>
        </is>
      </c>
      <c r="F859" s="22" t="inlineStr">
        <is>
          <t>W_net [kW] (m_b = 1 kg/s)</t>
        </is>
      </c>
      <c r="G859" s="22" t="inlineStr">
        <is>
          <t>ΔP [kPa]</t>
        </is>
      </c>
      <c r="H859" s="22" t="inlineStr">
        <is>
          <t>r_P [–]</t>
        </is>
      </c>
      <c r="I859" s="22" t="inlineStr">
        <is>
          <t>Fuera de rango</t>
        </is>
      </c>
    </row>
    <row r="860">
      <c r="A860" s="16" t="inlineStr">
        <is>
          <t>KF-M09-R3-x_b+P_alta+eficiencias+T_fuente-0001</t>
        </is>
      </c>
      <c r="B860" s="35" t="n">
        <v>278.6689533250798</v>
      </c>
      <c r="C860" s="35" t="n">
        <v>1827.147165757031</v>
      </c>
      <c r="D860" s="32" t="inlineStr">
        <is>
          <t>No convergió</t>
        </is>
      </c>
      <c r="E860" s="29" t="inlineStr">
        <is>
          <t>—</t>
        </is>
      </c>
      <c r="F860" s="35" t="inlineStr">
        <is>
          <t>—</t>
        </is>
      </c>
      <c r="G860" s="36" t="n">
        <v>1172.852834242969</v>
      </c>
      <c r="H860" s="29" t="n">
        <v>1.64190386862299</v>
      </c>
      <c r="I860" s="16" t="inlineStr">
        <is>
          <t>no</t>
        </is>
      </c>
    </row>
    <row r="861">
      <c r="A861" s="16" t="inlineStr">
        <is>
          <t>KF-M09-R3-x_b+P_alta+eficiencias+T_fuente-0012</t>
        </is>
      </c>
      <c r="B861" s="35" t="n">
        <v>279.5275508098845</v>
      </c>
      <c r="C861" s="35" t="n">
        <v>1208.48029957731</v>
      </c>
      <c r="D861" s="32" t="inlineStr">
        <is>
          <t>No convergió</t>
        </is>
      </c>
      <c r="E861" s="29" t="inlineStr">
        <is>
          <t>—</t>
        </is>
      </c>
      <c r="F861" s="35" t="inlineStr">
        <is>
          <t>—</t>
        </is>
      </c>
      <c r="G861" s="36" t="n">
        <v>1791.51970042269</v>
      </c>
      <c r="H861" s="29" t="n">
        <v>2.482456686343426</v>
      </c>
      <c r="I861" s="16" t="inlineStr">
        <is>
          <t>no</t>
        </is>
      </c>
    </row>
    <row r="862">
      <c r="A862" s="16" t="inlineStr">
        <is>
          <t>KF-M09-R3-x_b+P_alta+eficiencias+T_fuente-0023</t>
        </is>
      </c>
      <c r="B862" s="35" t="n">
        <v>280.628099726345</v>
      </c>
      <c r="C862" s="35" t="n">
        <v>1159.515589126964</v>
      </c>
      <c r="D862" s="32" t="inlineStr">
        <is>
          <t>No convergió</t>
        </is>
      </c>
      <c r="E862" s="29" t="inlineStr">
        <is>
          <t>—</t>
        </is>
      </c>
      <c r="F862" s="35" t="inlineStr">
        <is>
          <t>—</t>
        </is>
      </c>
      <c r="G862" s="36" t="n">
        <v>1840.484410873036</v>
      </c>
      <c r="H862" s="29" t="n">
        <v>2.587287336308084</v>
      </c>
      <c r="I862" s="16" t="inlineStr">
        <is>
          <t>no</t>
        </is>
      </c>
    </row>
    <row r="863">
      <c r="A863" s="16" t="inlineStr">
        <is>
          <t>KF-M09-R3-x_b+P_alta+eficiencias+T_fuente-0007</t>
        </is>
      </c>
      <c r="B863" s="35" t="n">
        <v>280.9495821120494</v>
      </c>
      <c r="C863" s="35" t="n">
        <v>1054.389547786611</v>
      </c>
      <c r="D863" s="32" t="inlineStr">
        <is>
          <t>No convergió</t>
        </is>
      </c>
      <c r="E863" s="29" t="inlineStr">
        <is>
          <t>—</t>
        </is>
      </c>
      <c r="F863" s="35" t="inlineStr">
        <is>
          <t>—</t>
        </is>
      </c>
      <c r="G863" s="36" t="n">
        <v>1945.610452213389</v>
      </c>
      <c r="H863" s="29" t="n">
        <v>2.845248235149561</v>
      </c>
      <c r="I863" s="16" t="inlineStr">
        <is>
          <t>no</t>
        </is>
      </c>
    </row>
    <row r="864">
      <c r="A864" s="16" t="inlineStr">
        <is>
          <t>KF-M09-R3-x_b+P_alta+eficiencias+T_fuente-0010</t>
        </is>
      </c>
      <c r="B864" s="35" t="n">
        <v>281.7904773818584</v>
      </c>
      <c r="C864" s="35" t="n">
        <v>1717.474070042474</v>
      </c>
      <c r="D864" s="32" t="inlineStr">
        <is>
          <t>No convergió</t>
        </is>
      </c>
      <c r="E864" s="29" t="inlineStr">
        <is>
          <t>—</t>
        </is>
      </c>
      <c r="F864" s="35" t="inlineStr">
        <is>
          <t>—</t>
        </is>
      </c>
      <c r="G864" s="36" t="n">
        <v>1282.525929957526</v>
      </c>
      <c r="H864" s="29" t="n">
        <v>1.746751262408176</v>
      </c>
      <c r="I864" s="16" t="inlineStr">
        <is>
          <t>no</t>
        </is>
      </c>
    </row>
    <row r="865">
      <c r="A865" s="16" t="inlineStr">
        <is>
          <t>KF-M09-R3-x_b+P_alta+eficiencias+T_fuente-0024</t>
        </is>
      </c>
      <c r="B865" s="35" t="n">
        <v>282.932586758356</v>
      </c>
      <c r="C865" s="35" t="n">
        <v>786.8542252963603</v>
      </c>
      <c r="D865" s="32" t="inlineStr">
        <is>
          <t>No convergió</t>
        </is>
      </c>
      <c r="E865" s="29" t="inlineStr">
        <is>
          <t>—</t>
        </is>
      </c>
      <c r="F865" s="35" t="inlineStr">
        <is>
          <t>—</t>
        </is>
      </c>
      <c r="G865" s="36" t="n">
        <v>2213.14577470364</v>
      </c>
      <c r="H865" s="29" t="n">
        <v>3.812650302373457</v>
      </c>
      <c r="I865" s="16" t="inlineStr">
        <is>
          <t>no</t>
        </is>
      </c>
    </row>
    <row r="866">
      <c r="A866" s="16" t="inlineStr">
        <is>
          <t>KF-M09-R3-x_b+P_alta+eficiencias+T_fuente-0020</t>
        </is>
      </c>
      <c r="B866" s="35" t="n">
        <v>283.5625501497726</v>
      </c>
      <c r="C866" s="35" t="n">
        <v>697.4867600196417</v>
      </c>
      <c r="D866" s="32" t="inlineStr">
        <is>
          <t>No convergió</t>
        </is>
      </c>
      <c r="E866" s="29" t="inlineStr">
        <is>
          <t>—</t>
        </is>
      </c>
      <c r="F866" s="35" t="inlineStr">
        <is>
          <t>—</t>
        </is>
      </c>
      <c r="G866" s="36" t="n">
        <v>2302.513239980358</v>
      </c>
      <c r="H866" s="29" t="n">
        <v>4.301156913595777</v>
      </c>
      <c r="I866" s="16" t="inlineStr">
        <is>
          <t>no</t>
        </is>
      </c>
    </row>
    <row r="867">
      <c r="A867" s="16" t="inlineStr">
        <is>
          <t>KF-M09-R3-x_b+P_alta+eficiencias+T_fuente-0018</t>
        </is>
      </c>
      <c r="B867" s="35" t="n">
        <v>284.8223796972962</v>
      </c>
      <c r="C867" s="35" t="n">
        <v>1352.135459859742</v>
      </c>
      <c r="D867" s="32" t="inlineStr">
        <is>
          <t>No convergió</t>
        </is>
      </c>
      <c r="E867" s="29" t="inlineStr">
        <is>
          <t>—</t>
        </is>
      </c>
      <c r="F867" s="35" t="inlineStr">
        <is>
          <t>—</t>
        </is>
      </c>
      <c r="G867" s="36" t="n">
        <v>1647.864540140258</v>
      </c>
      <c r="H867" s="29" t="n">
        <v>2.218712613535919</v>
      </c>
      <c r="I867" s="16" t="inlineStr">
        <is>
          <t>no</t>
        </is>
      </c>
    </row>
    <row r="868">
      <c r="A868" s="16" t="inlineStr">
        <is>
          <t>KF-M09-R3-x_b+P_alta+eficiencias+T_fuente-0008</t>
        </is>
      </c>
      <c r="B868" s="35" t="n">
        <v>285.6970446584283</v>
      </c>
      <c r="C868" s="35" t="n">
        <v>1433.576399765768</v>
      </c>
      <c r="D868" s="32" t="inlineStr">
        <is>
          <t>No convergió</t>
        </is>
      </c>
      <c r="E868" s="29" t="inlineStr">
        <is>
          <t>—</t>
        </is>
      </c>
      <c r="F868" s="35" t="inlineStr">
        <is>
          <t>—</t>
        </is>
      </c>
      <c r="G868" s="36" t="n">
        <v>1566.423600234232</v>
      </c>
      <c r="H868" s="29" t="n">
        <v>2.092668378532298</v>
      </c>
      <c r="I868" s="16" t="inlineStr">
        <is>
          <t>no</t>
        </is>
      </c>
    </row>
    <row r="869">
      <c r="A869" s="16" t="inlineStr">
        <is>
          <t>KF-M09-R3-x_b+P_alta+eficiencias+T_fuente-0004</t>
        </is>
      </c>
      <c r="B869" s="35" t="n">
        <v>285.9860381975033</v>
      </c>
      <c r="C869" s="35" t="n">
        <v>1264.300778110286</v>
      </c>
      <c r="D869" s="32" t="inlineStr">
        <is>
          <t>No convergió</t>
        </is>
      </c>
      <c r="E869" s="29" t="inlineStr">
        <is>
          <t>—</t>
        </is>
      </c>
      <c r="F869" s="35" t="inlineStr">
        <is>
          <t>—</t>
        </is>
      </c>
      <c r="G869" s="36" t="n">
        <v>1735.699221889714</v>
      </c>
      <c r="H869" s="29" t="n">
        <v>2.372853083649932</v>
      </c>
      <c r="I869" s="16" t="inlineStr">
        <is>
          <t>no</t>
        </is>
      </c>
    </row>
    <row r="870">
      <c r="A870" s="16" t="inlineStr">
        <is>
          <t>KF-M09-R3-x_b+P_alta+eficiencias+T_fuente-0017</t>
        </is>
      </c>
      <c r="B870" s="35" t="n">
        <v>287.1266311235565</v>
      </c>
      <c r="C870" s="35" t="n">
        <v>581.4118766609024</v>
      </c>
      <c r="D870" s="32" t="inlineStr">
        <is>
          <t>No convergió</t>
        </is>
      </c>
      <c r="E870" s="29" t="inlineStr">
        <is>
          <t>—</t>
        </is>
      </c>
      <c r="F870" s="35" t="inlineStr">
        <is>
          <t>—</t>
        </is>
      </c>
      <c r="G870" s="36" t="n">
        <v>2418.588123339097</v>
      </c>
      <c r="H870" s="29" t="n">
        <v>5.159853316429058</v>
      </c>
      <c r="I870" s="16" t="inlineStr">
        <is>
          <t>no</t>
        </is>
      </c>
    </row>
    <row r="871">
      <c r="A871" s="16" t="inlineStr">
        <is>
          <t>KF-M09-R3-x_b+P_alta+eficiencias+T_fuente-0003</t>
        </is>
      </c>
      <c r="B871" s="35" t="n">
        <v>288.1971784487695</v>
      </c>
      <c r="C871" s="35" t="n">
        <v>1940.703195426726</v>
      </c>
      <c r="D871" s="32" t="inlineStr">
        <is>
          <t>No convergió</t>
        </is>
      </c>
      <c r="E871" s="29" t="inlineStr">
        <is>
          <t>—</t>
        </is>
      </c>
      <c r="F871" s="35" t="inlineStr">
        <is>
          <t>—</t>
        </is>
      </c>
      <c r="G871" s="36" t="n">
        <v>1059.296804573274</v>
      </c>
      <c r="H871" s="29" t="n">
        <v>1.545831432168252</v>
      </c>
      <c r="I871" s="16" t="inlineStr">
        <is>
          <t>no</t>
        </is>
      </c>
    </row>
    <row r="872">
      <c r="A872" s="16" t="inlineStr">
        <is>
          <t>KF-M09-R3-x_b+P_alta+eficiencias+T_fuente-0028</t>
        </is>
      </c>
      <c r="B872" s="35" t="n">
        <v>288.9627082320602</v>
      </c>
      <c r="C872" s="35" t="n">
        <v>1948.291986368948</v>
      </c>
      <c r="D872" s="32" t="inlineStr">
        <is>
          <t>No convergió</t>
        </is>
      </c>
      <c r="E872" s="29" t="inlineStr">
        <is>
          <t>—</t>
        </is>
      </c>
      <c r="F872" s="35" t="inlineStr">
        <is>
          <t>—</t>
        </is>
      </c>
      <c r="G872" s="36" t="n">
        <v>1051.708013631052</v>
      </c>
      <c r="H872" s="29" t="n">
        <v>1.539810265088207</v>
      </c>
      <c r="I872" s="16" t="inlineStr">
        <is>
          <t>no</t>
        </is>
      </c>
    </row>
    <row r="873">
      <c r="A873" s="16" t="inlineStr">
        <is>
          <t>KF-M09-R3-x_b+P_alta+eficiencias+T_fuente-0015</t>
        </is>
      </c>
      <c r="B873" s="35" t="n">
        <v>289.9606126515912</v>
      </c>
      <c r="C873" s="35" t="n">
        <v>1121.734540222721</v>
      </c>
      <c r="D873" s="32" t="inlineStr">
        <is>
          <t>No convergió</t>
        </is>
      </c>
      <c r="E873" s="29" t="inlineStr">
        <is>
          <t>—</t>
        </is>
      </c>
      <c r="F873" s="35" t="inlineStr">
        <is>
          <t>—</t>
        </is>
      </c>
      <c r="G873" s="36" t="n">
        <v>1878.265459777279</v>
      </c>
      <c r="H873" s="29" t="n">
        <v>2.674429548549292</v>
      </c>
      <c r="I873" s="16" t="inlineStr">
        <is>
          <t>no</t>
        </is>
      </c>
    </row>
    <row r="874">
      <c r="A874" s="16" t="inlineStr">
        <is>
          <t>KF-M09-R3-x_b+P_alta+eficiencias+T_fuente-0021</t>
        </is>
      </c>
      <c r="B874" s="35" t="n">
        <v>290.3434747147342</v>
      </c>
      <c r="C874" s="35" t="n">
        <v>517.9647659474248</v>
      </c>
      <c r="D874" s="32" t="inlineStr">
        <is>
          <t>No convergió</t>
        </is>
      </c>
      <c r="E874" s="29" t="inlineStr">
        <is>
          <t>—</t>
        </is>
      </c>
      <c r="F874" s="35" t="inlineStr">
        <is>
          <t>—</t>
        </is>
      </c>
      <c r="G874" s="36" t="n">
        <v>2482.035234052575</v>
      </c>
      <c r="H874" s="29" t="n">
        <v>5.791899753089596</v>
      </c>
      <c r="I874" s="16" t="inlineStr">
        <is>
          <t>no</t>
        </is>
      </c>
    </row>
    <row r="875">
      <c r="A875" s="16" t="inlineStr">
        <is>
          <t>KF-M09-R3-x_b+P_alta+eficiencias+T_fuente-0026</t>
        </is>
      </c>
      <c r="B875" s="35" t="n">
        <v>291.6825932982761</v>
      </c>
      <c r="C875" s="35" t="n">
        <v>1523.574747288488</v>
      </c>
      <c r="D875" s="32" t="inlineStr">
        <is>
          <t>No convergió</t>
        </is>
      </c>
      <c r="E875" s="29" t="inlineStr">
        <is>
          <t>—</t>
        </is>
      </c>
      <c r="F875" s="35" t="inlineStr">
        <is>
          <t>—</t>
        </is>
      </c>
      <c r="G875" s="36" t="n">
        <v>1476.425252711512</v>
      </c>
      <c r="H875" s="29" t="n">
        <v>1.969053376172789</v>
      </c>
      <c r="I875" s="16" t="inlineStr">
        <is>
          <t>no</t>
        </is>
      </c>
    </row>
    <row r="876">
      <c r="A876" s="16" t="inlineStr">
        <is>
          <t>KF-M09-R3-x_b+P_alta+eficiencias+T_fuente-0029</t>
        </is>
      </c>
      <c r="B876" s="35" t="n">
        <v>291.8138899921617</v>
      </c>
      <c r="C876" s="35" t="n">
        <v>376.8459051191394</v>
      </c>
      <c r="D876" s="32" t="inlineStr">
        <is>
          <t>No convergió</t>
        </is>
      </c>
      <c r="E876" s="29" t="inlineStr">
        <is>
          <t>—</t>
        </is>
      </c>
      <c r="F876" s="35" t="inlineStr">
        <is>
          <t>—</t>
        </is>
      </c>
      <c r="G876" s="36" t="n">
        <v>2623.154094880861</v>
      </c>
      <c r="H876" s="29" t="n">
        <v>7.960813582547894</v>
      </c>
      <c r="I876" s="16" t="inlineStr">
        <is>
          <t>no</t>
        </is>
      </c>
    </row>
    <row r="877">
      <c r="A877" s="16" t="inlineStr">
        <is>
          <t>KF-M09-R3-x_b+P_alta+eficiencias+T_fuente-0019</t>
        </is>
      </c>
      <c r="B877" s="35" t="n">
        <v>292.8807866302279</v>
      </c>
      <c r="C877" s="35" t="n">
        <v>609.2330799830634</v>
      </c>
      <c r="D877" s="32" t="inlineStr">
        <is>
          <t>No convergió</t>
        </is>
      </c>
      <c r="E877" s="29" t="inlineStr">
        <is>
          <t>—</t>
        </is>
      </c>
      <c r="F877" s="35" t="inlineStr">
        <is>
          <t>—</t>
        </is>
      </c>
      <c r="G877" s="36" t="n">
        <v>2390.766920016937</v>
      </c>
      <c r="H877" s="29" t="n">
        <v>4.924223747146822</v>
      </c>
      <c r="I877" s="16" t="inlineStr">
        <is>
          <t>no</t>
        </is>
      </c>
    </row>
    <row r="878">
      <c r="A878" s="16" t="inlineStr">
        <is>
          <t>KF-M09-R3-x_b+P_alta+eficiencias+T_fuente-0025</t>
        </is>
      </c>
      <c r="B878" s="35" t="n">
        <v>293.8549438985649</v>
      </c>
      <c r="C878" s="35" t="n">
        <v>998.0320214887304</v>
      </c>
      <c r="D878" s="32" t="inlineStr">
        <is>
          <t>No convergió</t>
        </is>
      </c>
      <c r="E878" s="29" t="inlineStr">
        <is>
          <t>—</t>
        </is>
      </c>
      <c r="F878" s="35" t="inlineStr">
        <is>
          <t>—</t>
        </is>
      </c>
      <c r="G878" s="36" t="n">
        <v>2001.96797851127</v>
      </c>
      <c r="H878" s="29" t="n">
        <v>3.005915577262744</v>
      </c>
      <c r="I878" s="16" t="inlineStr">
        <is>
          <t>no</t>
        </is>
      </c>
    </row>
    <row r="879">
      <c r="A879" s="16" t="inlineStr">
        <is>
          <t>KF-M09-R3-x_b+P_alta+eficiencias+T_fuente-0016</t>
        </is>
      </c>
      <c r="B879" s="35" t="n">
        <v>294.748356667051</v>
      </c>
      <c r="C879" s="35" t="n">
        <v>817.9299159657726</v>
      </c>
      <c r="D879" s="32" t="inlineStr">
        <is>
          <t>No convergió</t>
        </is>
      </c>
      <c r="E879" s="29" t="inlineStr">
        <is>
          <t>—</t>
        </is>
      </c>
      <c r="F879" s="35" t="inlineStr">
        <is>
          <t>—</t>
        </is>
      </c>
      <c r="G879" s="36" t="n">
        <v>2182.070084034227</v>
      </c>
      <c r="H879" s="29" t="n">
        <v>3.667795909454838</v>
      </c>
      <c r="I879" s="16" t="inlineStr">
        <is>
          <t>no</t>
        </is>
      </c>
    </row>
    <row r="880">
      <c r="A880" s="16" t="inlineStr">
        <is>
          <t>KF-M09-R3-x_b+P_alta+eficiencias+T_fuente-0014</t>
        </is>
      </c>
      <c r="B880" s="35" t="n">
        <v>295.5321572673762</v>
      </c>
      <c r="C880" s="35" t="n">
        <v>1392.537862012769</v>
      </c>
      <c r="D880" s="32" t="inlineStr">
        <is>
          <t>No convergió</t>
        </is>
      </c>
      <c r="E880" s="29" t="inlineStr">
        <is>
          <t>—</t>
        </is>
      </c>
      <c r="F880" s="35" t="inlineStr">
        <is>
          <t>—</t>
        </is>
      </c>
      <c r="G880" s="36" t="n">
        <v>1607.462137987231</v>
      </c>
      <c r="H880" s="29" t="n">
        <v>2.154339987326312</v>
      </c>
      <c r="I880" s="16" t="inlineStr">
        <is>
          <t>no</t>
        </is>
      </c>
    </row>
    <row r="881">
      <c r="A881" s="16" t="inlineStr">
        <is>
          <t>KF-M09-R3-x_b+P_alta+eficiencias+T_fuente-0005</t>
        </is>
      </c>
      <c r="B881" s="35" t="n">
        <v>296.3294730998036</v>
      </c>
      <c r="C881" s="35" t="n">
        <v>317.0265213340965</v>
      </c>
      <c r="D881" s="32" t="inlineStr">
        <is>
          <t>No convergió</t>
        </is>
      </c>
      <c r="E881" s="29" t="inlineStr">
        <is>
          <t>—</t>
        </is>
      </c>
      <c r="F881" s="35" t="inlineStr">
        <is>
          <t>—</t>
        </is>
      </c>
      <c r="G881" s="36" t="n">
        <v>2682.973478665904</v>
      </c>
      <c r="H881" s="29" t="n">
        <v>9.46293069543689</v>
      </c>
      <c r="I881" s="16" t="inlineStr">
        <is>
          <t>no</t>
        </is>
      </c>
    </row>
    <row r="882">
      <c r="A882" s="16" t="inlineStr">
        <is>
          <t>KF-M09-R3-x_b+P_alta+eficiencias+T_fuente-0022</t>
        </is>
      </c>
      <c r="B882" s="35" t="n">
        <v>297.5649672006087</v>
      </c>
      <c r="C882" s="35" t="n">
        <v>879.4684061067735</v>
      </c>
      <c r="D882" s="32" t="inlineStr">
        <is>
          <t>No convergió</t>
        </is>
      </c>
      <c r="E882" s="29" t="inlineStr">
        <is>
          <t>—</t>
        </is>
      </c>
      <c r="F882" s="35" t="inlineStr">
        <is>
          <t>—</t>
        </is>
      </c>
      <c r="G882" s="36" t="n">
        <v>2120.531593893226</v>
      </c>
      <c r="H882" s="29" t="n">
        <v>3.411151531048609</v>
      </c>
      <c r="I882" s="16" t="inlineStr">
        <is>
          <t>no</t>
        </is>
      </c>
    </row>
    <row r="883">
      <c r="A883" s="16" t="inlineStr">
        <is>
          <t>KF-M09-R3-x_b+P_alta+eficiencias+T_fuente-0011</t>
        </is>
      </c>
      <c r="B883" s="35" t="n">
        <v>298.4209622395828</v>
      </c>
      <c r="C883" s="35" t="n">
        <v>1852.805994094304</v>
      </c>
      <c r="D883" s="32" t="inlineStr">
        <is>
          <t>No convergió</t>
        </is>
      </c>
      <c r="E883" s="29" t="inlineStr">
        <is>
          <t>—</t>
        </is>
      </c>
      <c r="F883" s="35" t="inlineStr">
        <is>
          <t>—</t>
        </is>
      </c>
      <c r="G883" s="36" t="n">
        <v>1147.194005905696</v>
      </c>
      <c r="H883" s="29" t="n">
        <v>1.619165746204568</v>
      </c>
      <c r="I883" s="16" t="inlineStr">
        <is>
          <t>no</t>
        </is>
      </c>
    </row>
    <row r="884">
      <c r="A884" s="16" t="inlineStr">
        <is>
          <t>KF-M09-R3-x_b+P_alta+eficiencias+T_fuente-0000</t>
        </is>
      </c>
      <c r="B884" s="35" t="n">
        <v>299.0121287190874</v>
      </c>
      <c r="C884" s="35" t="n">
        <v>1572.724430308208</v>
      </c>
      <c r="D884" s="32" t="inlineStr">
        <is>
          <t>No convergió</t>
        </is>
      </c>
      <c r="E884" s="29" t="inlineStr">
        <is>
          <t>—</t>
        </is>
      </c>
      <c r="F884" s="35" t="inlineStr">
        <is>
          <t>—</t>
        </is>
      </c>
      <c r="G884" s="36" t="n">
        <v>1427.275569691792</v>
      </c>
      <c r="H884" s="29" t="n">
        <v>1.907517898359402</v>
      </c>
      <c r="I884" s="16" t="inlineStr">
        <is>
          <t>no</t>
        </is>
      </c>
    </row>
    <row r="885">
      <c r="A885" s="16" t="inlineStr">
        <is>
          <t>KF-M09-R3-x_b+P_alta+eficiencias+T_fuente-0009</t>
        </is>
      </c>
      <c r="B885" s="35" t="n">
        <v>299.9193598150962</v>
      </c>
      <c r="C885" s="35" t="n">
        <v>1713.420922915609</v>
      </c>
      <c r="D885" s="32" t="inlineStr">
        <is>
          <t>No convergió</t>
        </is>
      </c>
      <c r="E885" s="29" t="inlineStr">
        <is>
          <t>—</t>
        </is>
      </c>
      <c r="F885" s="35" t="inlineStr">
        <is>
          <t>—</t>
        </is>
      </c>
      <c r="G885" s="36" t="n">
        <v>1286.579077084391</v>
      </c>
      <c r="H885" s="29" t="n">
        <v>1.750883253424447</v>
      </c>
      <c r="I885" s="16" t="inlineStr">
        <is>
          <t>no</t>
        </is>
      </c>
    </row>
    <row r="886">
      <c r="A886" s="16" t="inlineStr">
        <is>
          <t>KF-M09-R3-x_b+P_alta+eficiencias+T_fuente-0013</t>
        </is>
      </c>
      <c r="B886" s="35" t="n">
        <v>300.8267118048708</v>
      </c>
      <c r="C886" s="35" t="n">
        <v>1624.121247946135</v>
      </c>
      <c r="D886" s="32" t="inlineStr">
        <is>
          <t>No convergió</t>
        </is>
      </c>
      <c r="E886" s="29" t="inlineStr">
        <is>
          <t>—</t>
        </is>
      </c>
      <c r="F886" s="35" t="inlineStr">
        <is>
          <t>—</t>
        </is>
      </c>
      <c r="G886" s="36" t="n">
        <v>1375.878752053865</v>
      </c>
      <c r="H886" s="29" t="n">
        <v>1.84715273185041</v>
      </c>
      <c r="I886" s="16" t="inlineStr">
        <is>
          <t>no</t>
        </is>
      </c>
    </row>
    <row r="887">
      <c r="A887" s="16" t="inlineStr">
        <is>
          <t>KF-M09-R3-x_b+P_alta+eficiencias+T_fuente-0027</t>
        </is>
      </c>
      <c r="B887" s="35" t="n">
        <v>301.2126603972955</v>
      </c>
      <c r="C887" s="35" t="n">
        <v>959.0040039592956</v>
      </c>
      <c r="D887" s="32" t="inlineStr">
        <is>
          <t>No convergió</t>
        </is>
      </c>
      <c r="E887" s="29" t="inlineStr">
        <is>
          <t>—</t>
        </is>
      </c>
      <c r="F887" s="35" t="inlineStr">
        <is>
          <t>—</t>
        </is>
      </c>
      <c r="G887" s="36" t="n">
        <v>2040.995996040704</v>
      </c>
      <c r="H887" s="29" t="n">
        <v>3.12824554184795</v>
      </c>
      <c r="I887" s="16" t="inlineStr">
        <is>
          <t>no</t>
        </is>
      </c>
    </row>
    <row r="888">
      <c r="A888" s="16" t="inlineStr">
        <is>
          <t>KF-M09-R3-x_b+P_alta+eficiencias+T_fuente-0002</t>
        </is>
      </c>
      <c r="B888" s="35" t="n">
        <v>302.4750306826461</v>
      </c>
      <c r="C888" s="35" t="n">
        <v>433.8245731014561</v>
      </c>
      <c r="D888" s="32" t="inlineStr">
        <is>
          <t>No convergió</t>
        </is>
      </c>
      <c r="E888" s="29" t="inlineStr">
        <is>
          <t>—</t>
        </is>
      </c>
      <c r="F888" s="35" t="inlineStr">
        <is>
          <t>—</t>
        </is>
      </c>
      <c r="G888" s="36" t="n">
        <v>2566.175426898544</v>
      </c>
      <c r="H888" s="29" t="n">
        <v>6.915237600656631</v>
      </c>
      <c r="I888" s="16" t="inlineStr">
        <is>
          <t>no</t>
        </is>
      </c>
    </row>
    <row r="889">
      <c r="A889" s="16" t="inlineStr">
        <is>
          <t>KF-M09-R3-x_b+P_alta+eficiencias+T_fuente-0006</t>
        </is>
      </c>
      <c r="B889" s="35" t="n">
        <v>303.443498289289</v>
      </c>
      <c r="C889" s="35" t="n">
        <v>661.4677063418176</v>
      </c>
      <c r="D889" s="32" t="inlineStr">
        <is>
          <t>No convergió</t>
        </is>
      </c>
      <c r="E889" s="29" t="inlineStr">
        <is>
          <t>—</t>
        </is>
      </c>
      <c r="F889" s="35" t="inlineStr">
        <is>
          <t>—</t>
        </is>
      </c>
      <c r="G889" s="36" t="n">
        <v>2338.532293658182</v>
      </c>
      <c r="H889" s="29" t="n">
        <v>4.535368803703519</v>
      </c>
      <c r="I889" s="16" t="inlineStr">
        <is>
          <t>no</t>
        </is>
      </c>
    </row>
    <row r="891">
      <c r="A891" s="33" t="inlineStr">
        <is>
          <t>Parte 4.3 x_b+P_alta+eficiencias+T_sumidero · ronda 3 · 30 puntos</t>
        </is>
      </c>
      <c r="B891" s="31" t="n"/>
      <c r="C891" s="31" t="n"/>
      <c r="D891" s="31" t="n"/>
      <c r="E891" s="31" t="n"/>
      <c r="F891" s="31" t="n"/>
      <c r="G891" s="31" t="n"/>
      <c r="H891" s="31" t="n"/>
      <c r="I891" s="31" t="n"/>
      <c r="J891" s="31" t="n"/>
      <c r="K891" s="31" t="n"/>
    </row>
    <row r="893">
      <c r="A893" s="34" t="inlineStr">
        <is>
          <t>Barrido de la parte 4.3 x_b+P_alta+eficiencias+T_sumidero · 30 puntos</t>
        </is>
      </c>
    </row>
    <row r="894">
      <c r="A894" s="25" t="inlineStr">
        <is>
          <t>Fijos en este barrido: T_sumidero = 300.03, P_alta = 3000, x_b = 0.5, η_t = 0.85, η_p = 0.75, ε_HRVG = 0.85, ε_reg = 0.75, ε_cond = 0.8.</t>
        </is>
      </c>
    </row>
    <row r="895">
      <c r="A895" s="22" t="inlineStr">
        <is>
          <t>id_punto</t>
        </is>
      </c>
      <c r="B895" s="22" t="inlineStr">
        <is>
          <t>T_fuente [K]</t>
        </is>
      </c>
      <c r="C895" s="22" t="inlineStr">
        <is>
          <t>P_baja [kPa]</t>
        </is>
      </c>
      <c r="D895" s="22" t="inlineStr">
        <is>
          <t>Clase</t>
        </is>
      </c>
      <c r="E895" s="22" t="inlineStr">
        <is>
          <t>η [%]</t>
        </is>
      </c>
      <c r="F895" s="22" t="inlineStr">
        <is>
          <t>W_net [kW] (m_b = 1 kg/s)</t>
        </is>
      </c>
      <c r="G895" s="22" t="inlineStr">
        <is>
          <t>ΔP [kPa]</t>
        </is>
      </c>
      <c r="H895" s="22" t="inlineStr">
        <is>
          <t>r_P [–]</t>
        </is>
      </c>
      <c r="I895" s="22" t="inlineStr">
        <is>
          <t>Fuera de rango</t>
        </is>
      </c>
      <c r="J895" s="22" t="inlineStr">
        <is>
          <t>Criterios que falla</t>
        </is>
      </c>
    </row>
    <row r="896">
      <c r="A896" s="16" t="inlineStr">
        <is>
          <t>KF-M09-R3-x_b+P_alta+eficiencias+T_sumidero-0002</t>
        </is>
      </c>
      <c r="B896" s="35" t="n">
        <v>381.6198450359147</v>
      </c>
      <c r="C896" s="35" t="n">
        <v>1920.010247429293</v>
      </c>
      <c r="D896" s="38" t="inlineStr">
        <is>
          <t>Falso convergido</t>
        </is>
      </c>
      <c r="E896" s="29" t="inlineStr">
        <is>
          <t>—</t>
        </is>
      </c>
      <c r="F896" s="35" t="inlineStr">
        <is>
          <t>—</t>
        </is>
      </c>
      <c r="G896" s="36" t="n">
        <v>1079.989752570707</v>
      </c>
      <c r="H896" s="29" t="n">
        <v>1.562491660665202</v>
      </c>
      <c r="I896" s="16" t="inlineStr">
        <is>
          <t>no</t>
        </is>
      </c>
      <c r="J896" s="16" t="inlineStr">
        <is>
          <t>N2,S6,O3,O5,C1,C3,C3</t>
        </is>
      </c>
    </row>
    <row r="897">
      <c r="A897" s="16" t="inlineStr">
        <is>
          <t>KF-M09-R3-x_b+P_alta+eficiencias+T_sumidero-0018</t>
        </is>
      </c>
      <c r="B897" s="35" t="n">
        <v>388.4522970203506</v>
      </c>
      <c r="C897" s="35" t="n">
        <v>1582.857354154322</v>
      </c>
      <c r="D897" s="40" t="inlineStr">
        <is>
          <t>Inviable</t>
        </is>
      </c>
      <c r="E897" s="29" t="n">
        <v>-0.5911139074745499</v>
      </c>
      <c r="F897" s="35" t="n">
        <v>-0.7327669480404062</v>
      </c>
      <c r="G897" s="36" t="n">
        <v>1417.142645845678</v>
      </c>
      <c r="H897" s="29" t="n">
        <v>1.895306606199406</v>
      </c>
      <c r="I897" s="16" t="inlineStr">
        <is>
          <t>no</t>
        </is>
      </c>
      <c r="J897" s="16" t="inlineStr">
        <is>
          <t>O3</t>
        </is>
      </c>
    </row>
    <row r="898">
      <c r="A898" s="16" t="inlineStr">
        <is>
          <t>KF-M09-R3-x_b+P_alta+eficiencias+T_sumidero-0027</t>
        </is>
      </c>
      <c r="B898" s="35" t="n">
        <v>392.02733934532</v>
      </c>
      <c r="C898" s="35" t="n">
        <v>587.3937772068928</v>
      </c>
      <c r="D898" s="42" t="inlineStr">
        <is>
          <t>KALINA</t>
        </is>
      </c>
      <c r="E898" s="29" t="n">
        <v>3.79076464211799</v>
      </c>
      <c r="F898" s="35" t="n">
        <v>6.512279584032605</v>
      </c>
      <c r="G898" s="36" t="n">
        <v>2412.606222793107</v>
      </c>
      <c r="H898" s="29" t="n">
        <v>5.107306404002532</v>
      </c>
      <c r="I898" s="16" t="inlineStr">
        <is>
          <t>no</t>
        </is>
      </c>
      <c r="J898" s="16" t="n"/>
    </row>
    <row r="899">
      <c r="A899" s="16" t="inlineStr">
        <is>
          <t>KF-M09-R3-x_b+P_alta+eficiencias+T_sumidero-0005</t>
        </is>
      </c>
      <c r="B899" s="35" t="n">
        <v>396.9418833403822</v>
      </c>
      <c r="C899" s="35" t="n">
        <v>333.5864466869371</v>
      </c>
      <c r="D899" s="39" t="inlineStr">
        <is>
          <t>Corregible</t>
        </is>
      </c>
      <c r="E899" s="29" t="n">
        <v>8.071419677646901</v>
      </c>
      <c r="F899" s="35" t="n">
        <v>18.46483308639647</v>
      </c>
      <c r="G899" s="36" t="n">
        <v>2666.413553313063</v>
      </c>
      <c r="H899" s="29" t="n">
        <v>8.993171124891139</v>
      </c>
      <c r="I899" s="16" t="inlineStr">
        <is>
          <t>no</t>
        </is>
      </c>
      <c r="J899" s="16" t="inlineStr">
        <is>
          <t>O2</t>
        </is>
      </c>
    </row>
    <row r="900">
      <c r="A900" s="16" t="inlineStr">
        <is>
          <t>KF-M09-R3-x_b+P_alta+eficiencias+T_sumidero-0009</t>
        </is>
      </c>
      <c r="B900" s="35" t="n">
        <v>400.0528994467302</v>
      </c>
      <c r="C900" s="35" t="n">
        <v>1659.698122145435</v>
      </c>
      <c r="D900" s="42" t="inlineStr">
        <is>
          <t>KALINA</t>
        </is>
      </c>
      <c r="E900" s="29" t="n">
        <v>2.66180361698832</v>
      </c>
      <c r="F900" s="35" t="n">
        <v>7.199685017201446</v>
      </c>
      <c r="G900" s="36" t="n">
        <v>1340.301877854565</v>
      </c>
      <c r="H900" s="29" t="n">
        <v>1.807557627481076</v>
      </c>
      <c r="I900" s="16" t="inlineStr">
        <is>
          <t>no</t>
        </is>
      </c>
      <c r="J900" s="16" t="n"/>
    </row>
    <row r="901">
      <c r="A901" s="16" t="inlineStr">
        <is>
          <t>KF-M09-R3-x_b+P_alta+eficiencias+T_sumidero-0026</t>
        </is>
      </c>
      <c r="B901" s="35" t="n">
        <v>403.8490019168156</v>
      </c>
      <c r="C901" s="35" t="n">
        <v>1956.250528131986</v>
      </c>
      <c r="D901" s="40" t="inlineStr">
        <is>
          <t>Inviable</t>
        </is>
      </c>
      <c r="E901" s="29" t="n">
        <v>2.18836691995761</v>
      </c>
      <c r="F901" s="35" t="n">
        <v>6.884306819445349</v>
      </c>
      <c r="G901" s="36" t="n">
        <v>1043.749471868014</v>
      </c>
      <c r="H901" s="29" t="n">
        <v>1.533545911864716</v>
      </c>
      <c r="I901" s="16" t="inlineStr">
        <is>
          <t>no</t>
        </is>
      </c>
      <c r="J901" s="16" t="inlineStr">
        <is>
          <t>S3</t>
        </is>
      </c>
    </row>
    <row r="902">
      <c r="A902" s="16" t="inlineStr">
        <is>
          <t>KF-M09-R3-x_b+P_alta+eficiencias+T_sumidero-0023</t>
        </is>
      </c>
      <c r="B902" s="35" t="n">
        <v>412.3817798421072</v>
      </c>
      <c r="C902" s="35" t="n">
        <v>437.5980491037421</v>
      </c>
      <c r="D902" s="39" t="inlineStr">
        <is>
          <t>Corregible</t>
        </is>
      </c>
      <c r="E902" s="29" t="n">
        <v>11.16058376476849</v>
      </c>
      <c r="F902" s="35" t="n">
        <v>46.20117253426561</v>
      </c>
      <c r="G902" s="36" t="n">
        <v>2562.401950896258</v>
      </c>
      <c r="H902" s="29" t="n">
        <v>6.855606431848568</v>
      </c>
      <c r="I902" s="16" t="inlineStr">
        <is>
          <t>no</t>
        </is>
      </c>
      <c r="J902" s="16" t="inlineStr">
        <is>
          <t>O2</t>
        </is>
      </c>
    </row>
    <row r="903">
      <c r="A903" s="16" t="inlineStr">
        <is>
          <t>KF-M09-R3-x_b+P_alta+eficiencias+T_sumidero-0000</t>
        </is>
      </c>
      <c r="B903" s="35" t="n">
        <v>413.8938369950865</v>
      </c>
      <c r="C903" s="35" t="n">
        <v>801.509335702392</v>
      </c>
      <c r="D903" s="42" t="inlineStr">
        <is>
          <t>KALINA</t>
        </is>
      </c>
      <c r="E903" s="29" t="n">
        <v>8.1377226826243</v>
      </c>
      <c r="F903" s="35" t="n">
        <v>35.0601009246347</v>
      </c>
      <c r="G903" s="36" t="n">
        <v>2198.490664297608</v>
      </c>
      <c r="H903" s="29" t="n">
        <v>3.74293831196737</v>
      </c>
      <c r="I903" s="16" t="inlineStr">
        <is>
          <t>no</t>
        </is>
      </c>
      <c r="J903" s="16" t="n"/>
    </row>
    <row r="904">
      <c r="A904" s="16" t="inlineStr">
        <is>
          <t>KF-M09-R3-x_b+P_alta+eficiencias+T_sumidero-0017</t>
        </is>
      </c>
      <c r="B904" s="35" t="n">
        <v>417.4299271364909</v>
      </c>
      <c r="C904" s="35" t="n">
        <v>1020.616023891988</v>
      </c>
      <c r="D904" s="42" t="inlineStr">
        <is>
          <t>KALINA</t>
        </is>
      </c>
      <c r="E904" s="29" t="n">
        <v>6.9330499458197</v>
      </c>
      <c r="F904" s="35" t="n">
        <v>32.68619157683976</v>
      </c>
      <c r="G904" s="36" t="n">
        <v>1979.383976108012</v>
      </c>
      <c r="H904" s="29" t="n">
        <v>2.939401233933096</v>
      </c>
      <c r="I904" s="16" t="inlineStr">
        <is>
          <t>no</t>
        </is>
      </c>
      <c r="J904" s="16" t="n"/>
    </row>
    <row r="905">
      <c r="A905" s="16" t="inlineStr">
        <is>
          <t>KF-M09-R3-x_b+P_alta+eficiencias+T_sumidero-0004</t>
        </is>
      </c>
      <c r="B905" s="35" t="n">
        <v>426.4233676950571</v>
      </c>
      <c r="C905" s="35" t="n">
        <v>500.801256009008</v>
      </c>
      <c r="D905" s="39" t="inlineStr">
        <is>
          <t>Corregible</t>
        </is>
      </c>
      <c r="E905" s="29" t="n">
        <v>11.66218561598461</v>
      </c>
      <c r="F905" s="35" t="n">
        <v>67.91855936744797</v>
      </c>
      <c r="G905" s="36" t="n">
        <v>2499.198743990992</v>
      </c>
      <c r="H905" s="29" t="n">
        <v>5.990400311508082</v>
      </c>
      <c r="I905" s="16" t="inlineStr">
        <is>
          <t>no</t>
        </is>
      </c>
      <c r="J905" s="16" t="inlineStr">
        <is>
          <t>O2</t>
        </is>
      </c>
    </row>
    <row r="906">
      <c r="A906" s="16" t="inlineStr">
        <is>
          <t>KF-M09-R3-x_b+P_alta+eficiencias+T_sumidero-0029</t>
        </is>
      </c>
      <c r="B906" s="35" t="n">
        <v>431.240226539876</v>
      </c>
      <c r="C906" s="35" t="n">
        <v>688.0635129275997</v>
      </c>
      <c r="D906" s="39" t="inlineStr">
        <is>
          <t>Corregible</t>
        </is>
      </c>
      <c r="E906" s="29" t="n">
        <v>10.15434676208792</v>
      </c>
      <c r="F906" s="35" t="n">
        <v>65.57514888399072</v>
      </c>
      <c r="G906" s="36" t="n">
        <v>2311.9364870724</v>
      </c>
      <c r="H906" s="29" t="n">
        <v>4.360062615783072</v>
      </c>
      <c r="I906" s="16" t="inlineStr">
        <is>
          <t>sí</t>
        </is>
      </c>
      <c r="J906" s="16" t="inlineStr">
        <is>
          <t>O2</t>
        </is>
      </c>
    </row>
    <row r="907">
      <c r="A907" s="16" t="inlineStr">
        <is>
          <t>KF-M09-R3-x_b+P_alta+eficiencias+T_sumidero-0016</t>
        </is>
      </c>
      <c r="B907" s="35" t="n">
        <v>433.5568282427129</v>
      </c>
      <c r="C907" s="35" t="n">
        <v>717.2352426107402</v>
      </c>
      <c r="D907" s="39" t="inlineStr">
        <is>
          <t>Corregible</t>
        </is>
      </c>
      <c r="E907" s="29" t="n">
        <v>9.98865095586261</v>
      </c>
      <c r="F907" s="35" t="n">
        <v>67.72038187144783</v>
      </c>
      <c r="G907" s="36" t="n">
        <v>2282.76475738926</v>
      </c>
      <c r="H907" s="29" t="n">
        <v>4.182728095011036</v>
      </c>
      <c r="I907" s="16" t="inlineStr">
        <is>
          <t>sí</t>
        </is>
      </c>
      <c r="J907" s="16" t="inlineStr">
        <is>
          <t>O2</t>
        </is>
      </c>
    </row>
    <row r="908">
      <c r="A908" s="16" t="inlineStr">
        <is>
          <t>KF-M09-R3-x_b+P_alta+eficiencias+T_sumidero-0024</t>
        </is>
      </c>
      <c r="B908" s="35" t="n">
        <v>436.6116180623674</v>
      </c>
      <c r="C908" s="35" t="n">
        <v>826.5855503777681</v>
      </c>
      <c r="D908" s="39" t="inlineStr">
        <is>
          <t>Corregible</t>
        </is>
      </c>
      <c r="E908" s="29" t="n">
        <v>9.20467354242396</v>
      </c>
      <c r="F908" s="35" t="n">
        <v>66.47450472572642</v>
      </c>
      <c r="G908" s="36" t="n">
        <v>2173.414449622232</v>
      </c>
      <c r="H908" s="29" t="n">
        <v>3.62938839014175</v>
      </c>
      <c r="I908" s="16" t="inlineStr">
        <is>
          <t>sí</t>
        </is>
      </c>
      <c r="J908" s="16" t="inlineStr">
        <is>
          <t>O2</t>
        </is>
      </c>
    </row>
    <row r="909">
      <c r="A909" s="16" t="inlineStr">
        <is>
          <t>KF-M09-R3-x_b+P_alta+eficiencias+T_sumidero-0014</t>
        </is>
      </c>
      <c r="B909" s="35" t="n">
        <v>444.4183633242893</v>
      </c>
      <c r="C909" s="35" t="n">
        <v>1269.881171969826</v>
      </c>
      <c r="D909" s="42" t="inlineStr">
        <is>
          <t>KALINA</t>
        </is>
      </c>
      <c r="E909" s="29" t="n">
        <v>6.44841925286537</v>
      </c>
      <c r="F909" s="35" t="n">
        <v>54.63160725854056</v>
      </c>
      <c r="G909" s="36" t="n">
        <v>1730.118828030174</v>
      </c>
      <c r="H909" s="29" t="n">
        <v>2.362425765669423</v>
      </c>
      <c r="I909" s="16" t="inlineStr">
        <is>
          <t>sí</t>
        </is>
      </c>
      <c r="J909" s="16" t="n"/>
    </row>
    <row r="910">
      <c r="A910" s="16" t="inlineStr">
        <is>
          <t>KF-M09-R3-x_b+P_alta+eficiencias+T_sumidero-0021</t>
        </is>
      </c>
      <c r="B910" s="35" t="n">
        <v>445.5961841513932</v>
      </c>
      <c r="C910" s="35" t="n">
        <v>1751.010940889712</v>
      </c>
      <c r="D910" s="42" t="inlineStr">
        <is>
          <t>KALINA</t>
        </is>
      </c>
      <c r="E910" s="29" t="n">
        <v>4.10206145215813</v>
      </c>
      <c r="F910" s="35" t="n">
        <v>35.5341146521506</v>
      </c>
      <c r="G910" s="36" t="n">
        <v>1248.989059110288</v>
      </c>
      <c r="H910" s="29" t="n">
        <v>1.713295976594904</v>
      </c>
      <c r="I910" s="16" t="inlineStr">
        <is>
          <t>sí</t>
        </is>
      </c>
      <c r="J910" s="16" t="n"/>
    </row>
    <row r="911">
      <c r="A911" s="16" t="inlineStr">
        <is>
          <t>KF-M09-R3-x_b+P_alta+eficiencias+T_sumidero-0003</t>
        </is>
      </c>
      <c r="B911" s="35" t="n">
        <v>450.3494469470607</v>
      </c>
      <c r="C911" s="35" t="n">
        <v>390.7149296169532</v>
      </c>
      <c r="D911" s="39" t="inlineStr">
        <is>
          <t>Corregible</t>
        </is>
      </c>
      <c r="E911" s="29" t="n">
        <v>13.43290151030871</v>
      </c>
      <c r="F911" s="35" t="n">
        <v>129.2078256463056</v>
      </c>
      <c r="G911" s="36" t="n">
        <v>2609.285070383047</v>
      </c>
      <c r="H911" s="29" t="n">
        <v>7.678232318742266</v>
      </c>
      <c r="I911" s="16" t="inlineStr">
        <is>
          <t>sí</t>
        </is>
      </c>
      <c r="J911" s="16" t="inlineStr">
        <is>
          <t>O2</t>
        </is>
      </c>
    </row>
    <row r="912">
      <c r="A912" s="16" t="inlineStr">
        <is>
          <t>KF-M09-R3-x_b+P_alta+eficiencias+T_sumidero-0010</t>
        </is>
      </c>
      <c r="B912" s="35" t="n">
        <v>455.6470243979339</v>
      </c>
      <c r="C912" s="35" t="n">
        <v>1435.955357801197</v>
      </c>
      <c r="D912" s="39" t="inlineStr">
        <is>
          <t>Corregible</t>
        </is>
      </c>
      <c r="E912" s="29" t="n">
        <v>5.73495764745191</v>
      </c>
      <c r="F912" s="35" t="n">
        <v>61.86371088416786</v>
      </c>
      <c r="G912" s="36" t="n">
        <v>1564.044642198803</v>
      </c>
      <c r="H912" s="29" t="n">
        <v>2.089201439098874</v>
      </c>
      <c r="I912" s="16" t="inlineStr">
        <is>
          <t>sí</t>
        </is>
      </c>
      <c r="J912" s="16" t="inlineStr">
        <is>
          <t>O2</t>
        </is>
      </c>
    </row>
    <row r="913">
      <c r="A913" s="16" t="inlineStr">
        <is>
          <t>KF-M09-R3-x_b+P_alta+eficiencias+T_sumidero-0013</t>
        </is>
      </c>
      <c r="B913" s="35" t="n">
        <v>459.9856876142608</v>
      </c>
      <c r="C913" s="35" t="n">
        <v>1673.725717728535</v>
      </c>
      <c r="D913" s="39" t="inlineStr">
        <is>
          <t>Corregible</t>
        </is>
      </c>
      <c r="E913" s="29" t="n">
        <v>4.62857708774155</v>
      </c>
      <c r="F913" s="35" t="n">
        <v>55.10169113227285</v>
      </c>
      <c r="G913" s="36" t="n">
        <v>1326.274282271465</v>
      </c>
      <c r="H913" s="29" t="n">
        <v>1.792408378638881</v>
      </c>
      <c r="I913" s="16" t="inlineStr">
        <is>
          <t>sí</t>
        </is>
      </c>
      <c r="J913" s="16" t="inlineStr">
        <is>
          <t>O2</t>
        </is>
      </c>
    </row>
    <row r="914">
      <c r="A914" s="16" t="inlineStr">
        <is>
          <t>KF-M09-R3-x_b+P_alta+eficiencias+T_sumidero-0020</t>
        </is>
      </c>
      <c r="B914" s="35" t="n">
        <v>465.9714210178432</v>
      </c>
      <c r="C914" s="35" t="n">
        <v>1323.1349557925</v>
      </c>
      <c r="D914" s="39" t="inlineStr">
        <is>
          <t>Corregible</t>
        </is>
      </c>
      <c r="E914" s="29" t="n">
        <v>6.320011131474621</v>
      </c>
      <c r="F914" s="35" t="n">
        <v>87.2343879236612</v>
      </c>
      <c r="G914" s="36" t="n">
        <v>1676.8650442075</v>
      </c>
      <c r="H914" s="29" t="n">
        <v>2.267342410436985</v>
      </c>
      <c r="I914" s="16" t="inlineStr">
        <is>
          <t>sí</t>
        </is>
      </c>
      <c r="J914" s="16" t="inlineStr">
        <is>
          <t>O2</t>
        </is>
      </c>
    </row>
    <row r="915">
      <c r="A915" s="16" t="inlineStr">
        <is>
          <t>KF-M09-R3-x_b+P_alta+eficiencias+T_sumidero-0028</t>
        </is>
      </c>
      <c r="B915" s="35" t="n">
        <v>471.9730112433098</v>
      </c>
      <c r="C915" s="35" t="n">
        <v>550.6950675837863</v>
      </c>
      <c r="D915" s="39" t="inlineStr">
        <is>
          <t>Corregible</t>
        </is>
      </c>
      <c r="E915" s="29" t="n">
        <v>11.49408034578077</v>
      </c>
      <c r="F915" s="35" t="n">
        <v>185.2526305792628</v>
      </c>
      <c r="G915" s="36" t="n">
        <v>2449.304932416214</v>
      </c>
      <c r="H915" s="29" t="n">
        <v>5.447660922700312</v>
      </c>
      <c r="I915" s="16" t="inlineStr">
        <is>
          <t>sí</t>
        </is>
      </c>
      <c r="J915" s="16" t="inlineStr">
        <is>
          <t>O2</t>
        </is>
      </c>
    </row>
    <row r="916">
      <c r="A916" s="16" t="inlineStr">
        <is>
          <t>KF-M09-R3-x_b+P_alta+eficiencias+T_sumidero-0025</t>
        </is>
      </c>
      <c r="B916" s="35" t="n">
        <v>474.9940984443096</v>
      </c>
      <c r="C916" s="35" t="n">
        <v>1773.956199757897</v>
      </c>
      <c r="D916" s="39" t="inlineStr">
        <is>
          <t>Corregible</t>
        </is>
      </c>
      <c r="E916" s="29" t="n">
        <v>4.15272657884483</v>
      </c>
      <c r="F916" s="35" t="n">
        <v>67.18964999591913</v>
      </c>
      <c r="G916" s="36" t="n">
        <v>1226.043800242103</v>
      </c>
      <c r="H916" s="29" t="n">
        <v>1.691135328149268</v>
      </c>
      <c r="I916" s="16" t="inlineStr">
        <is>
          <t>sí</t>
        </is>
      </c>
      <c r="J916" s="16" t="inlineStr">
        <is>
          <t>O2</t>
        </is>
      </c>
    </row>
    <row r="917">
      <c r="A917" s="16" t="inlineStr">
        <is>
          <t>KF-M09-R3-x_b+P_alta+eficiencias+T_sumidero-0007</t>
        </is>
      </c>
      <c r="B917" s="35" t="n">
        <v>479.1464920330473</v>
      </c>
      <c r="C917" s="35" t="n">
        <v>1083.331735413817</v>
      </c>
      <c r="D917" s="39" t="inlineStr">
        <is>
          <t>Corregible</t>
        </is>
      </c>
      <c r="E917" s="29" t="n">
        <v>7.524598632770029</v>
      </c>
      <c r="F917" s="35" t="n">
        <v>122.7223151239271</v>
      </c>
      <c r="G917" s="36" t="n">
        <v>1916.668264586183</v>
      </c>
      <c r="H917" s="29" t="n">
        <v>2.769234853859463</v>
      </c>
      <c r="I917" s="16" t="inlineStr">
        <is>
          <t>sí</t>
        </is>
      </c>
      <c r="J917" s="16" t="inlineStr">
        <is>
          <t>O2</t>
        </is>
      </c>
    </row>
    <row r="918">
      <c r="A918" s="16" t="inlineStr">
        <is>
          <t>KF-M09-R3-x_b+P_alta+eficiencias+T_sumidero-0011</t>
        </is>
      </c>
      <c r="B918" s="35" t="n">
        <v>484.2386812489681</v>
      </c>
      <c r="C918" s="35" t="n">
        <v>1099.966423481563</v>
      </c>
      <c r="D918" s="39" t="inlineStr">
        <is>
          <t>Corregible</t>
        </is>
      </c>
      <c r="E918" s="29" t="n">
        <v>7.419779849527081</v>
      </c>
      <c r="F918" s="35" t="n">
        <v>121.90918253248</v>
      </c>
      <c r="G918" s="36" t="n">
        <v>1900.033576518437</v>
      </c>
      <c r="H918" s="29" t="n">
        <v>2.727355977380236</v>
      </c>
      <c r="I918" s="16" t="inlineStr">
        <is>
          <t>sí</t>
        </is>
      </c>
      <c r="J918" s="16" t="inlineStr">
        <is>
          <t>O2</t>
        </is>
      </c>
    </row>
    <row r="919">
      <c r="A919" s="16" t="inlineStr">
        <is>
          <t>KF-M09-R3-x_b+P_alta+eficiencias+T_sumidero-0012</t>
        </is>
      </c>
      <c r="B919" s="35" t="n">
        <v>488.9151160934373</v>
      </c>
      <c r="C919" s="35" t="n">
        <v>1221.414050101934</v>
      </c>
      <c r="D919" s="39" t="inlineStr">
        <is>
          <t>Corregible</t>
        </is>
      </c>
      <c r="E919" s="29" t="n">
        <v>6.731701291809291</v>
      </c>
      <c r="F919" s="35" t="n">
        <v>111.3196461994943</v>
      </c>
      <c r="G919" s="36" t="n">
        <v>1778.585949898066</v>
      </c>
      <c r="H919" s="29" t="n">
        <v>2.456169551799108</v>
      </c>
      <c r="I919" s="16" t="inlineStr">
        <is>
          <t>sí</t>
        </is>
      </c>
      <c r="J919" s="16" t="inlineStr">
        <is>
          <t>O2</t>
        </is>
      </c>
    </row>
    <row r="920">
      <c r="A920" s="16" t="inlineStr">
        <is>
          <t>KF-M09-R3-x_b+P_alta+eficiencias+T_sumidero-0022</t>
        </is>
      </c>
      <c r="B920" s="35" t="n">
        <v>495.9022381761652</v>
      </c>
      <c r="C920" s="35" t="n">
        <v>919.7000282623902</v>
      </c>
      <c r="D920" s="39" t="inlineStr">
        <is>
          <t>Corregible</t>
        </is>
      </c>
      <c r="E920" s="29" t="n">
        <v>8.524869869354241</v>
      </c>
      <c r="F920" s="35" t="n">
        <v>142.3738770728497</v>
      </c>
      <c r="G920" s="36" t="n">
        <v>2080.29997173761</v>
      </c>
      <c r="H920" s="29" t="n">
        <v>3.261933138860468</v>
      </c>
      <c r="I920" s="16" t="inlineStr">
        <is>
          <t>sí</t>
        </is>
      </c>
      <c r="J920" s="16" t="inlineStr">
        <is>
          <t>O2</t>
        </is>
      </c>
    </row>
    <row r="921">
      <c r="A921" s="16" t="inlineStr">
        <is>
          <t>KF-M09-R3-x_b+P_alta+eficiencias+T_sumidero-0001</t>
        </is>
      </c>
      <c r="B921" s="35" t="n">
        <v>497.4439985412329</v>
      </c>
      <c r="C921" s="35" t="n">
        <v>1173.227996790992</v>
      </c>
      <c r="D921" s="39" t="inlineStr">
        <is>
          <t>Corregible</t>
        </is>
      </c>
      <c r="E921" s="29" t="n">
        <v>6.98437485933241</v>
      </c>
      <c r="F921" s="35" t="n">
        <v>116.871626729785</v>
      </c>
      <c r="G921" s="36" t="n">
        <v>1826.772003209008</v>
      </c>
      <c r="H921" s="29" t="n">
        <v>2.557047741961142</v>
      </c>
      <c r="I921" s="16" t="inlineStr">
        <is>
          <t>sí</t>
        </is>
      </c>
      <c r="J921" s="16" t="inlineStr">
        <is>
          <t>O2</t>
        </is>
      </c>
    </row>
    <row r="922">
      <c r="A922" s="16" t="inlineStr">
        <is>
          <t>KF-M09-R3-x_b+P_alta+eficiencias+T_sumidero-0006</t>
        </is>
      </c>
      <c r="B922" s="35" t="n">
        <v>501.9930225301441</v>
      </c>
      <c r="C922" s="35" t="n">
        <v>1421.396432449997</v>
      </c>
      <c r="D922" s="39" t="inlineStr">
        <is>
          <t>Corregible</t>
        </is>
      </c>
      <c r="E922" s="29" t="n">
        <v>5.69410810581312</v>
      </c>
      <c r="F922" s="35" t="n">
        <v>95.81591909656264</v>
      </c>
      <c r="G922" s="36" t="n">
        <v>1578.603567550003</v>
      </c>
      <c r="H922" s="29" t="n">
        <v>2.110600485206675</v>
      </c>
      <c r="I922" s="16" t="inlineStr">
        <is>
          <t>sí</t>
        </is>
      </c>
      <c r="J922" s="16" t="inlineStr">
        <is>
          <t>O2</t>
        </is>
      </c>
    </row>
    <row r="923">
      <c r="A923" s="16" t="inlineStr">
        <is>
          <t>KF-M09-R3-x_b+P_alta+eficiencias+T_sumidero-0008</t>
        </is>
      </c>
      <c r="B923" s="35" t="n">
        <v>506.6084406623921</v>
      </c>
      <c r="C923" s="35" t="n">
        <v>934.295691383479</v>
      </c>
      <c r="D923" s="39" t="inlineStr">
        <is>
          <t>Corregible</t>
        </is>
      </c>
      <c r="E923" s="29" t="n">
        <v>8.413380365894881</v>
      </c>
      <c r="F923" s="35" t="n">
        <v>142.5271471007599</v>
      </c>
      <c r="G923" s="36" t="n">
        <v>2065.704308616521</v>
      </c>
      <c r="H923" s="29" t="n">
        <v>3.21097488479015</v>
      </c>
      <c r="I923" s="16" t="inlineStr">
        <is>
          <t>sí</t>
        </is>
      </c>
      <c r="J923" s="16" t="inlineStr">
        <is>
          <t>O2</t>
        </is>
      </c>
    </row>
    <row r="924">
      <c r="A924" s="16" t="inlineStr">
        <is>
          <t>KF-M09-R3-x_b+P_alta+eficiencias+T_sumidero-0015</t>
        </is>
      </c>
      <c r="B924" s="35" t="n">
        <v>511.7636181699425</v>
      </c>
      <c r="C924" s="35" t="n">
        <v>1541.785108758292</v>
      </c>
      <c r="D924" s="39" t="inlineStr">
        <is>
          <t>Corregible</t>
        </is>
      </c>
      <c r="E924" s="29" t="n">
        <v>5.11834342240105</v>
      </c>
      <c r="F924" s="35" t="n">
        <v>87.20676086655018</v>
      </c>
      <c r="G924" s="36" t="n">
        <v>1458.214891241708</v>
      </c>
      <c r="H924" s="29" t="n">
        <v>1.945796455652702</v>
      </c>
      <c r="I924" s="16" t="inlineStr">
        <is>
          <t>sí</t>
        </is>
      </c>
      <c r="J924" s="16" t="inlineStr">
        <is>
          <t>O2</t>
        </is>
      </c>
    </row>
    <row r="925">
      <c r="A925" s="16" t="inlineStr">
        <is>
          <t>KF-M09-R3-x_b+P_alta+eficiencias+T_sumidero-0019</t>
        </is>
      </c>
      <c r="B925" s="35" t="n">
        <v>516.0428539129589</v>
      </c>
      <c r="C925" s="35" t="n">
        <v>1858.040392461752</v>
      </c>
      <c r="D925" s="39" t="inlineStr">
        <is>
          <t>Corregible</t>
        </is>
      </c>
      <c r="E925" s="29" t="n">
        <v>3.77312284694514</v>
      </c>
      <c r="F925" s="35" t="n">
        <v>64.57189472096297</v>
      </c>
      <c r="G925" s="36" t="n">
        <v>1141.959607538248</v>
      </c>
      <c r="H925" s="29" t="n">
        <v>1.614604296102112</v>
      </c>
      <c r="I925" s="16" t="inlineStr">
        <is>
          <t>sí</t>
        </is>
      </c>
      <c r="J925" s="16" t="inlineStr">
        <is>
          <t>O2</t>
        </is>
      </c>
    </row>
    <row r="927">
      <c r="A927" s="33" t="inlineStr">
        <is>
          <t>Parte 4.3 x_b+P_baja · ronda 1 · 30 puntos</t>
        </is>
      </c>
      <c r="B927" s="31" t="n"/>
      <c r="C927" s="31" t="n"/>
      <c r="D927" s="31" t="n"/>
      <c r="E927" s="31" t="n"/>
      <c r="F927" s="31" t="n"/>
      <c r="G927" s="31" t="n"/>
      <c r="H927" s="31" t="n"/>
      <c r="I927" s="31" t="n"/>
      <c r="J927" s="31" t="n"/>
      <c r="K927" s="31" t="n"/>
    </row>
    <row r="929">
      <c r="A929" s="34" t="inlineStr">
        <is>
          <t>Barrido de la parte 4.3 x_b+P_baja · 30 puntos</t>
        </is>
      </c>
    </row>
    <row r="930">
      <c r="A930" s="25" t="inlineStr">
        <is>
          <t>Fijos en este barrido: P_baja = 400, x_b = 0.5.</t>
        </is>
      </c>
    </row>
    <row r="931">
      <c r="A931" s="22" t="inlineStr">
        <is>
          <t>id_punto</t>
        </is>
      </c>
      <c r="B931" s="22" t="inlineStr">
        <is>
          <t>T_fuente [K]</t>
        </is>
      </c>
      <c r="C931" s="22" t="inlineStr">
        <is>
          <t>T_sumidero [K]</t>
        </is>
      </c>
      <c r="D931" s="22" t="inlineStr">
        <is>
          <t>P_alta [kPa]</t>
        </is>
      </c>
      <c r="E931" s="22" t="inlineStr">
        <is>
          <t>η_t [–]</t>
        </is>
      </c>
      <c r="F931" s="22" t="inlineStr">
        <is>
          <t>η_p [–]</t>
        </is>
      </c>
      <c r="G931" s="22" t="inlineStr">
        <is>
          <t>ε_HRVG [–]</t>
        </is>
      </c>
      <c r="H931" s="22" t="inlineStr">
        <is>
          <t>ε_reg [–]</t>
        </is>
      </c>
      <c r="I931" s="22" t="inlineStr">
        <is>
          <t>ε_cond [–]</t>
        </is>
      </c>
      <c r="J931" s="22" t="inlineStr">
        <is>
          <t>Clase</t>
        </is>
      </c>
      <c r="K931" s="22" t="inlineStr">
        <is>
          <t>η [%]</t>
        </is>
      </c>
      <c r="L931" s="22" t="inlineStr">
        <is>
          <t>W_net [kW] (m_b = 1 kg/s)</t>
        </is>
      </c>
      <c r="M931" s="22" t="inlineStr">
        <is>
          <t>ΔP [kPa]</t>
        </is>
      </c>
      <c r="N931" s="22" t="inlineStr">
        <is>
          <t>r_P [–]</t>
        </is>
      </c>
      <c r="O931" s="22" t="inlineStr">
        <is>
          <t>Fuera de rango</t>
        </is>
      </c>
      <c r="P931" s="22" t="inlineStr">
        <is>
          <t>Criterios que falla</t>
        </is>
      </c>
    </row>
    <row r="932">
      <c r="A932" s="16" t="inlineStr">
        <is>
          <t>KF-M09-R1-x_b+P_baja-0000</t>
        </is>
      </c>
      <c r="B932" s="35" t="n">
        <v>403.9184690003144</v>
      </c>
      <c r="C932" s="35" t="n">
        <v>285.6855643887841</v>
      </c>
      <c r="D932" s="36" t="n">
        <v>2965.613071574074</v>
      </c>
      <c r="E932" s="37" t="n">
        <v>0.4937667802671133</v>
      </c>
      <c r="F932" s="37" t="n">
        <v>0.4894298876600072</v>
      </c>
      <c r="G932" s="37" t="n">
        <v>0.6139582940870112</v>
      </c>
      <c r="H932" s="37" t="n">
        <v>0.7791225238321465</v>
      </c>
      <c r="I932" s="37" t="n">
        <v>0.8464084859069536</v>
      </c>
      <c r="J932" s="42" t="inlineStr">
        <is>
          <t>KALINA</t>
        </is>
      </c>
      <c r="K932" s="29" t="n">
        <v>2.87846950043571</v>
      </c>
      <c r="L932" s="35" t="n">
        <v>7.08757858862808</v>
      </c>
      <c r="M932" s="36" t="n">
        <v>2565.613071574074</v>
      </c>
      <c r="N932" s="29" t="n">
        <v>7.414032678935185</v>
      </c>
      <c r="O932" s="16" t="inlineStr">
        <is>
          <t>no</t>
        </is>
      </c>
      <c r="P932" s="16" t="n"/>
    </row>
    <row r="933">
      <c r="A933" s="16" t="inlineStr">
        <is>
          <t>KF-M09-R1-x_b+P_baja-0001</t>
        </is>
      </c>
      <c r="B933" s="35" t="n">
        <v>398.0689189538514</v>
      </c>
      <c r="C933" s="35" t="n">
        <v>283.8125487810482</v>
      </c>
      <c r="D933" s="36" t="n">
        <v>2790.381293608908</v>
      </c>
      <c r="E933" s="37" t="n">
        <v>0.4843223795455368</v>
      </c>
      <c r="F933" s="37" t="n">
        <v>0.6557179196467695</v>
      </c>
      <c r="G933" s="37" t="n">
        <v>0.9426321520389606</v>
      </c>
      <c r="H933" s="37" t="n">
        <v>0.6036442128535885</v>
      </c>
      <c r="I933" s="37" t="n">
        <v>0.8015018481434845</v>
      </c>
      <c r="J933" s="42" t="inlineStr">
        <is>
          <t>KALINA</t>
        </is>
      </c>
      <c r="K933" s="29" t="n">
        <v>4.156007077208191</v>
      </c>
      <c r="L933" s="35" t="n">
        <v>16.15421554334613</v>
      </c>
      <c r="M933" s="36" t="n">
        <v>2390.381293608908</v>
      </c>
      <c r="N933" s="29" t="n">
        <v>6.97595323402227</v>
      </c>
      <c r="O933" s="16" t="inlineStr">
        <is>
          <t>no</t>
        </is>
      </c>
      <c r="P933" s="16" t="n"/>
    </row>
    <row r="934">
      <c r="A934" s="16" t="inlineStr">
        <is>
          <t>KF-M09-R1-x_b+P_baja-0002</t>
        </is>
      </c>
      <c r="B934" s="35" t="n">
        <v>460.2296085961242</v>
      </c>
      <c r="C934" s="35" t="n">
        <v>293.243534720072</v>
      </c>
      <c r="D934" s="36" t="n">
        <v>4986.771380456783</v>
      </c>
      <c r="E934" s="37" t="n">
        <v>0.8383791097460966</v>
      </c>
      <c r="F934" s="37" t="n">
        <v>0.6220624105034694</v>
      </c>
      <c r="G934" s="37" t="n">
        <v>0.5394854737459812</v>
      </c>
      <c r="H934" s="37" t="n">
        <v>0.4637747948834465</v>
      </c>
      <c r="I934" s="37" t="n">
        <v>0.8791532657786282</v>
      </c>
      <c r="J934" s="39" t="inlineStr">
        <is>
          <t>Corregible</t>
        </is>
      </c>
      <c r="K934" s="29" t="n">
        <v>7.85625148564042</v>
      </c>
      <c r="L934" s="35" t="n">
        <v>42.50427667032008</v>
      </c>
      <c r="M934" s="36" t="n">
        <v>4586.771380456783</v>
      </c>
      <c r="N934" s="29" t="n">
        <v>12.46692845114196</v>
      </c>
      <c r="O934" s="16" t="inlineStr">
        <is>
          <t>sí</t>
        </is>
      </c>
      <c r="P934" s="16" t="inlineStr">
        <is>
          <t>O1,O2</t>
        </is>
      </c>
    </row>
    <row r="935">
      <c r="A935" s="16" t="inlineStr">
        <is>
          <t>KF-M09-R1-x_b+P_baja-0003</t>
        </is>
      </c>
      <c r="B935" s="35" t="n">
        <v>434.6955987443896</v>
      </c>
      <c r="C935" s="35" t="n">
        <v>279.5609869999277</v>
      </c>
      <c r="D935" s="36" t="n">
        <v>4275.726839073553</v>
      </c>
      <c r="E935" s="37" t="n">
        <v>0.7239907991178957</v>
      </c>
      <c r="F935" s="37" t="n">
        <v>0.466950817717602</v>
      </c>
      <c r="G935" s="37" t="n">
        <v>0.8054632392034207</v>
      </c>
      <c r="H935" s="37" t="n">
        <v>0.5184524597826162</v>
      </c>
      <c r="I935" s="37" t="n">
        <v>0.91879585102782</v>
      </c>
      <c r="J935" s="42" t="inlineStr">
        <is>
          <t>KALINA</t>
        </is>
      </c>
      <c r="K935" s="29" t="n">
        <v>6.72419450413663</v>
      </c>
      <c r="L935" s="35" t="n">
        <v>39.49946656231923</v>
      </c>
      <c r="M935" s="36" t="n">
        <v>3875.726839073553</v>
      </c>
      <c r="N935" s="29" t="n">
        <v>10.68931709768388</v>
      </c>
      <c r="O935" s="16" t="inlineStr">
        <is>
          <t>sí</t>
        </is>
      </c>
      <c r="P935" s="16" t="n"/>
    </row>
    <row r="936">
      <c r="A936" s="16" t="inlineStr">
        <is>
          <t>KF-M09-R1-x_b+P_baja-0004</t>
        </is>
      </c>
      <c r="B936" s="35" t="n">
        <v>383.997814121058</v>
      </c>
      <c r="C936" s="35" t="n">
        <v>303.4422666746702</v>
      </c>
      <c r="D936" s="36" t="n">
        <v>2074.922038646782</v>
      </c>
      <c r="E936" s="37" t="n">
        <v>0.4389288057717071</v>
      </c>
      <c r="F936" s="37" t="n">
        <v>0.9174085527675429</v>
      </c>
      <c r="G936" s="37" t="n">
        <v>0.8490739764130761</v>
      </c>
      <c r="H936" s="37" t="n">
        <v>0.5029258147615636</v>
      </c>
      <c r="I936" s="37" t="n">
        <v>0.7067157056013247</v>
      </c>
      <c r="J936" s="39" t="inlineStr">
        <is>
          <t>Corregible</t>
        </is>
      </c>
      <c r="K936" s="29" t="n">
        <v>2.66040434469021</v>
      </c>
      <c r="L936" s="35" t="n">
        <v>8.067818080706294</v>
      </c>
      <c r="M936" s="36" t="n">
        <v>1674.922038646782</v>
      </c>
      <c r="N936" s="29" t="n">
        <v>5.187305096616955</v>
      </c>
      <c r="O936" s="16" t="inlineStr">
        <is>
          <t>no</t>
        </is>
      </c>
      <c r="P936" s="16" t="inlineStr">
        <is>
          <t>O2</t>
        </is>
      </c>
    </row>
    <row r="937">
      <c r="A937" s="16" t="inlineStr">
        <is>
          <t>KF-M09-R1-x_b+P_baja-0005</t>
        </is>
      </c>
      <c r="B937" s="35" t="n">
        <v>466.7593762371968</v>
      </c>
      <c r="C937" s="35" t="n">
        <v>290.0233728364221</v>
      </c>
      <c r="D937" s="36" t="n">
        <v>3329.43759296557</v>
      </c>
      <c r="E937" s="37" t="n">
        <v>0.5801914895606052</v>
      </c>
      <c r="F937" s="37" t="n">
        <v>0.5482605624703228</v>
      </c>
      <c r="G937" s="37" t="n">
        <v>0.7316288248906527</v>
      </c>
      <c r="H937" s="37" t="n">
        <v>0.7356613085434662</v>
      </c>
      <c r="I937" s="37" t="n">
        <v>0.417172715230463</v>
      </c>
      <c r="J937" s="40" t="inlineStr">
        <is>
          <t>Inviable</t>
        </is>
      </c>
      <c r="K937" s="29" t="n">
        <v>-20.84544147139799</v>
      </c>
      <c r="L937" s="35" t="n">
        <v>-112.65259443809</v>
      </c>
      <c r="M937" s="36" t="n">
        <v>2929.43759296557</v>
      </c>
      <c r="N937" s="29" t="n">
        <v>8.323593982413925</v>
      </c>
      <c r="O937" s="16" t="inlineStr">
        <is>
          <t>sí</t>
        </is>
      </c>
      <c r="P937" s="16" t="inlineStr">
        <is>
          <t>O2,O3</t>
        </is>
      </c>
    </row>
    <row r="938">
      <c r="A938" s="16" t="inlineStr">
        <is>
          <t>KF-M09-R1-x_b+P_baja-0006</t>
        </is>
      </c>
      <c r="B938" s="35" t="n">
        <v>449.3772261282447</v>
      </c>
      <c r="C938" s="35" t="n">
        <v>281.2817102178033</v>
      </c>
      <c r="D938" s="36" t="n">
        <v>3863.227589797437</v>
      </c>
      <c r="E938" s="37" t="n">
        <v>0.6636677129919688</v>
      </c>
      <c r="F938" s="37" t="n">
        <v>0.913150227428338</v>
      </c>
      <c r="G938" s="37" t="n">
        <v>0.8930744891071658</v>
      </c>
      <c r="H938" s="37" t="n">
        <v>0.8992272206072871</v>
      </c>
      <c r="I938" s="37" t="n">
        <v>0.858892649674073</v>
      </c>
      <c r="J938" s="39" t="inlineStr">
        <is>
          <t>Corregible</t>
        </is>
      </c>
      <c r="K938" s="29" t="n">
        <v>11.68113896672343</v>
      </c>
      <c r="L938" s="35" t="n">
        <v>92.96559128255626</v>
      </c>
      <c r="M938" s="36" t="n">
        <v>3463.227589797437</v>
      </c>
      <c r="N938" s="29" t="n">
        <v>9.658068974493592</v>
      </c>
      <c r="O938" s="16" t="inlineStr">
        <is>
          <t>sí</t>
        </is>
      </c>
      <c r="P938" s="16" t="inlineStr">
        <is>
          <t>O2</t>
        </is>
      </c>
    </row>
    <row r="939">
      <c r="A939" s="16" t="inlineStr">
        <is>
          <t>KF-M09-R1-x_b+P_baja-0007</t>
        </is>
      </c>
      <c r="B939" s="35" t="n">
        <v>450.3712604367698</v>
      </c>
      <c r="C939" s="35" t="n">
        <v>287.9177616719054</v>
      </c>
      <c r="D939" s="36" t="n">
        <v>3671.298710660467</v>
      </c>
      <c r="E939" s="37" t="n">
        <v>0.4555868494637916</v>
      </c>
      <c r="F939" s="37" t="n">
        <v>0.800872491594357</v>
      </c>
      <c r="G939" s="37" t="n">
        <v>0.8743329267059718</v>
      </c>
      <c r="H939" s="37" t="n">
        <v>0.4044756443082302</v>
      </c>
      <c r="I939" s="37" t="n">
        <v>0.6333460672616202</v>
      </c>
      <c r="J939" s="39" t="inlineStr">
        <is>
          <t>Corregible</t>
        </is>
      </c>
      <c r="K939" s="29" t="n">
        <v>3.21761142838765</v>
      </c>
      <c r="L939" s="35" t="n">
        <v>24.18149705457548</v>
      </c>
      <c r="M939" s="36" t="n">
        <v>3271.298710660467</v>
      </c>
      <c r="N939" s="29" t="n">
        <v>9.178246776651168</v>
      </c>
      <c r="O939" s="16" t="inlineStr">
        <is>
          <t>sí</t>
        </is>
      </c>
      <c r="P939" s="16" t="inlineStr">
        <is>
          <t>O2</t>
        </is>
      </c>
    </row>
    <row r="940">
      <c r="A940" s="16" t="inlineStr">
        <is>
          <t>KF-M09-R1-x_b+P_baja-0008</t>
        </is>
      </c>
      <c r="B940" s="35" t="n">
        <v>499.1225894221596</v>
      </c>
      <c r="C940" s="35" t="n">
        <v>299.7397248786236</v>
      </c>
      <c r="D940" s="36" t="n">
        <v>4883.145640595545</v>
      </c>
      <c r="E940" s="37" t="n">
        <v>0.9110674346552018</v>
      </c>
      <c r="F940" s="37" t="n">
        <v>0.5447463552819053</v>
      </c>
      <c r="G940" s="37" t="n">
        <v>0.7020366028380491</v>
      </c>
      <c r="H940" s="37" t="n">
        <v>0.5439259527077374</v>
      </c>
      <c r="I940" s="37" t="n">
        <v>0.4924866172330048</v>
      </c>
      <c r="J940" s="39" t="inlineStr">
        <is>
          <t>Corregible</t>
        </is>
      </c>
      <c r="K940" s="29" t="n">
        <v>3.81791186307412</v>
      </c>
      <c r="L940" s="35" t="n">
        <v>32.26191217587132</v>
      </c>
      <c r="M940" s="36" t="n">
        <v>4483.145640595545</v>
      </c>
      <c r="N940" s="29" t="n">
        <v>12.20786410148886</v>
      </c>
      <c r="O940" s="16" t="inlineStr">
        <is>
          <t>sí</t>
        </is>
      </c>
      <c r="P940" s="16" t="inlineStr">
        <is>
          <t>O1,O2</t>
        </is>
      </c>
    </row>
    <row r="941">
      <c r="A941" s="16" t="inlineStr">
        <is>
          <t>KF-M09-R1-x_b+P_baja-0009</t>
        </is>
      </c>
      <c r="B941" s="35" t="n">
        <v>471.8603644028375</v>
      </c>
      <c r="C941" s="35" t="n">
        <v>282.8753868259339</v>
      </c>
      <c r="D941" s="36" t="n">
        <v>2820.702965882814</v>
      </c>
      <c r="E941" s="37" t="n">
        <v>0.7940202555746816</v>
      </c>
      <c r="F941" s="37" t="n">
        <v>0.775246908211337</v>
      </c>
      <c r="G941" s="37" t="n">
        <v>0.6412603032264402</v>
      </c>
      <c r="H941" s="37" t="n">
        <v>0.4524933437649194</v>
      </c>
      <c r="I941" s="37" t="n">
        <v>0.7474396573365526</v>
      </c>
      <c r="J941" s="39" t="inlineStr">
        <is>
          <t>Corregible</t>
        </is>
      </c>
      <c r="K941" s="29" t="n">
        <v>11.39413181791606</v>
      </c>
      <c r="L941" s="35" t="n">
        <v>142.3808121749927</v>
      </c>
      <c r="M941" s="36" t="n">
        <v>2420.702965882814</v>
      </c>
      <c r="N941" s="29" t="n">
        <v>7.051757414707035</v>
      </c>
      <c r="O941" s="16" t="inlineStr">
        <is>
          <t>sí</t>
        </is>
      </c>
      <c r="P941" s="16" t="inlineStr">
        <is>
          <t>O2</t>
        </is>
      </c>
    </row>
    <row r="942">
      <c r="A942" s="16" t="inlineStr">
        <is>
          <t>KF-M09-R1-x_b+P_baja-0010</t>
        </is>
      </c>
      <c r="B942" s="35" t="n">
        <v>444.4421688599942</v>
      </c>
      <c r="C942" s="35" t="n">
        <v>284.2653793523641</v>
      </c>
      <c r="D942" s="36" t="n">
        <v>4378.131995754037</v>
      </c>
      <c r="E942" s="37" t="n">
        <v>0.4315644157481217</v>
      </c>
      <c r="F942" s="37" t="n">
        <v>0.8134910848247917</v>
      </c>
      <c r="G942" s="37" t="n">
        <v>0.4044289873577566</v>
      </c>
      <c r="H942" s="37" t="n">
        <v>0.6207082637818148</v>
      </c>
      <c r="I942" s="37" t="n">
        <v>0.5965727230908042</v>
      </c>
      <c r="J942" s="39" t="inlineStr">
        <is>
          <t>Corregible</t>
        </is>
      </c>
      <c r="K942" s="29" t="n">
        <v>1.55399031682519</v>
      </c>
      <c r="L942" s="35" t="n">
        <v>4.554122868847529</v>
      </c>
      <c r="M942" s="36" t="n">
        <v>3978.131995754037</v>
      </c>
      <c r="N942" s="29" t="n">
        <v>10.94532998938509</v>
      </c>
      <c r="O942" s="16" t="inlineStr">
        <is>
          <t>no</t>
        </is>
      </c>
      <c r="P942" s="16" t="inlineStr">
        <is>
          <t>O2</t>
        </is>
      </c>
    </row>
    <row r="943">
      <c r="A943" s="16" t="inlineStr">
        <is>
          <t>KF-M09-R1-x_b+P_baja-0011</t>
        </is>
      </c>
      <c r="B943" s="35" t="n">
        <v>399.7072067817463</v>
      </c>
      <c r="C943" s="35" t="n">
        <v>295.0813394712294</v>
      </c>
      <c r="D943" s="36" t="n">
        <v>3922.878776222038</v>
      </c>
      <c r="E943" s="37" t="n">
        <v>0.7828405159298111</v>
      </c>
      <c r="F943" s="37" t="n">
        <v>0.5021106721244217</v>
      </c>
      <c r="G943" s="37" t="n">
        <v>0.6827611168190275</v>
      </c>
      <c r="H943" s="37" t="n">
        <v>0.7088595817823748</v>
      </c>
      <c r="I943" s="37" t="n">
        <v>0.523162091050815</v>
      </c>
      <c r="J943" s="38" t="inlineStr">
        <is>
          <t>Falso convergido</t>
        </is>
      </c>
      <c r="K943" s="29" t="inlineStr">
        <is>
          <t>—</t>
        </is>
      </c>
      <c r="L943" s="35" t="inlineStr">
        <is>
          <t>—</t>
        </is>
      </c>
      <c r="M943" s="36" t="n">
        <v>3522.878776222038</v>
      </c>
      <c r="N943" s="29" t="n">
        <v>9.807196940555094</v>
      </c>
      <c r="O943" s="16" t="inlineStr">
        <is>
          <t>no</t>
        </is>
      </c>
      <c r="P943" s="16" t="inlineStr">
        <is>
          <t>N2,O3,O5,C1,C3,C3</t>
        </is>
      </c>
    </row>
    <row r="944">
      <c r="A944" s="16" t="inlineStr">
        <is>
          <t>KF-M09-R1-x_b+P_baja-0012</t>
        </is>
      </c>
      <c r="B944" s="35" t="n">
        <v>425.9312662334107</v>
      </c>
      <c r="C944" s="35" t="n">
        <v>280.0978904578969</v>
      </c>
      <c r="D944" s="36" t="n">
        <v>4514.617759531705</v>
      </c>
      <c r="E944" s="37" t="n">
        <v>0.948479172951699</v>
      </c>
      <c r="F944" s="37" t="n">
        <v>0.7203565482837576</v>
      </c>
      <c r="G944" s="37" t="n">
        <v>0.562936183062006</v>
      </c>
      <c r="H944" s="37" t="n">
        <v>0.9405239072245456</v>
      </c>
      <c r="I944" s="37" t="n">
        <v>0.4376847726988887</v>
      </c>
      <c r="J944" s="39" t="inlineStr">
        <is>
          <t>Corregible</t>
        </is>
      </c>
      <c r="K944" s="29" t="n">
        <v>12.77734100365593</v>
      </c>
      <c r="L944" s="35" t="n">
        <v>20.92097208267016</v>
      </c>
      <c r="M944" s="36" t="n">
        <v>4114.617759531705</v>
      </c>
      <c r="N944" s="29" t="n">
        <v>11.28654439882926</v>
      </c>
      <c r="O944" s="16" t="inlineStr">
        <is>
          <t>no</t>
        </is>
      </c>
      <c r="P944" s="16" t="inlineStr">
        <is>
          <t>O1,O2</t>
        </is>
      </c>
    </row>
    <row r="945">
      <c r="A945" s="16" t="inlineStr">
        <is>
          <t>KF-M09-R1-x_b+P_baja-0013</t>
        </is>
      </c>
      <c r="B945" s="35" t="n">
        <v>438.3676109197898</v>
      </c>
      <c r="C945" s="35" t="n">
        <v>291.4166889705182</v>
      </c>
      <c r="D945" s="36" t="n">
        <v>4734.879293373287</v>
      </c>
      <c r="E945" s="37" t="n">
        <v>0.6813341172464462</v>
      </c>
      <c r="F945" s="37" t="n">
        <v>0.6170070508074138</v>
      </c>
      <c r="G945" s="37" t="n">
        <v>0.659112143812972</v>
      </c>
      <c r="H945" s="37" t="n">
        <v>0.594013298516997</v>
      </c>
      <c r="I945" s="37" t="n">
        <v>0.4195176359238013</v>
      </c>
      <c r="J945" s="40" t="inlineStr">
        <is>
          <t>Inviable</t>
        </is>
      </c>
      <c r="K945" s="29" t="n">
        <v>-8.443903873228271</v>
      </c>
      <c r="L945" s="35" t="n">
        <v>-23.29471340827031</v>
      </c>
      <c r="M945" s="36" t="n">
        <v>4334.879293373287</v>
      </c>
      <c r="N945" s="29" t="n">
        <v>11.83719823343322</v>
      </c>
      <c r="O945" s="16" t="inlineStr">
        <is>
          <t>sí</t>
        </is>
      </c>
      <c r="P945" s="16" t="inlineStr">
        <is>
          <t>O2,O3</t>
        </is>
      </c>
    </row>
    <row r="946">
      <c r="A946" s="16" t="inlineStr">
        <is>
          <t>KF-M09-R1-x_b+P_baja-0014</t>
        </is>
      </c>
      <c r="B946" s="35" t="n">
        <v>389.2298105339211</v>
      </c>
      <c r="C946" s="35" t="n">
        <v>289.8971156698477</v>
      </c>
      <c r="D946" s="36" t="n">
        <v>3138.894388235572</v>
      </c>
      <c r="E946" s="37" t="n">
        <v>0.8913471967674271</v>
      </c>
      <c r="F946" s="37" t="n">
        <v>0.6956543613104613</v>
      </c>
      <c r="G946" s="37" t="n">
        <v>0.8338557414046732</v>
      </c>
      <c r="H946" s="37" t="n">
        <v>0.4327518886428734</v>
      </c>
      <c r="I946" s="37" t="n">
        <v>0.9117974773080908</v>
      </c>
      <c r="J946" s="38" t="inlineStr">
        <is>
          <t>Falso convergido</t>
        </is>
      </c>
      <c r="K946" s="29" t="inlineStr">
        <is>
          <t>—</t>
        </is>
      </c>
      <c r="L946" s="35" t="inlineStr">
        <is>
          <t>—</t>
        </is>
      </c>
      <c r="M946" s="36" t="n">
        <v>2738.894388235572</v>
      </c>
      <c r="N946" s="29" t="n">
        <v>7.84723597058893</v>
      </c>
      <c r="O946" s="16" t="inlineStr">
        <is>
          <t>no</t>
        </is>
      </c>
      <c r="P946" s="16" t="inlineStr">
        <is>
          <t>N2,O3,O5,C1,C3,C3</t>
        </is>
      </c>
    </row>
    <row r="947">
      <c r="A947" s="16" t="inlineStr">
        <is>
          <t>KF-M09-R1-x_b+P_baja-0015</t>
        </is>
      </c>
      <c r="B947" s="35" t="n">
        <v>503.1556816787925</v>
      </c>
      <c r="C947" s="35" t="n">
        <v>301.0003693944701</v>
      </c>
      <c r="D947" s="36" t="n">
        <v>3436.165303045843</v>
      </c>
      <c r="E947" s="37" t="n">
        <v>0.8486404485514374</v>
      </c>
      <c r="F947" s="37" t="n">
        <v>0.5660581488464537</v>
      </c>
      <c r="G947" s="37" t="n">
        <v>0.7547333633174427</v>
      </c>
      <c r="H947" s="37" t="n">
        <v>0.8261377604231461</v>
      </c>
      <c r="I947" s="37" t="n">
        <v>0.5531678697871738</v>
      </c>
      <c r="J947" s="39" t="inlineStr">
        <is>
          <t>Corregible</t>
        </is>
      </c>
      <c r="K947" s="29" t="n">
        <v>5.04276169317982</v>
      </c>
      <c r="L947" s="35" t="n">
        <v>51.99463670035254</v>
      </c>
      <c r="M947" s="36" t="n">
        <v>3036.165303045843</v>
      </c>
      <c r="N947" s="29" t="n">
        <v>8.590413257614607</v>
      </c>
      <c r="O947" s="16" t="inlineStr">
        <is>
          <t>sí</t>
        </is>
      </c>
      <c r="P947" s="16" t="inlineStr">
        <is>
          <t>O1,O2</t>
        </is>
      </c>
    </row>
    <row r="948">
      <c r="A948" s="16" t="inlineStr">
        <is>
          <t>KF-M09-R1-x_b+P_baja-0016</t>
        </is>
      </c>
      <c r="B948" s="35" t="n">
        <v>516.4884936792944</v>
      </c>
      <c r="C948" s="35" t="n">
        <v>278.738779104339</v>
      </c>
      <c r="D948" s="36" t="n">
        <v>3501.849161453783</v>
      </c>
      <c r="E948" s="37" t="n">
        <v>0.4030395002839141</v>
      </c>
      <c r="F948" s="37" t="n">
        <v>0.523278264115696</v>
      </c>
      <c r="G948" s="37" t="n">
        <v>0.5839165896463805</v>
      </c>
      <c r="H948" s="37" t="n">
        <v>0.6399471936334268</v>
      </c>
      <c r="I948" s="37" t="n">
        <v>0.4740553223683346</v>
      </c>
      <c r="J948" s="40" t="inlineStr">
        <is>
          <t>Inviable</t>
        </is>
      </c>
      <c r="K948" s="29" t="n">
        <v>-22.37165318773186</v>
      </c>
      <c r="L948" s="35" t="n">
        <v>-163.1900570568623</v>
      </c>
      <c r="M948" s="36" t="n">
        <v>3101.849161453783</v>
      </c>
      <c r="N948" s="29" t="n">
        <v>8.754622903634457</v>
      </c>
      <c r="O948" s="16" t="inlineStr">
        <is>
          <t>sí</t>
        </is>
      </c>
      <c r="P948" s="16" t="inlineStr">
        <is>
          <t>O2,O3</t>
        </is>
      </c>
    </row>
    <row r="949">
      <c r="A949" s="16" t="inlineStr">
        <is>
          <t>KF-M09-R1-x_b+P_baja-0017</t>
        </is>
      </c>
      <c r="B949" s="35" t="n">
        <v>492.8361952969545</v>
      </c>
      <c r="C949" s="35" t="n">
        <v>295.4716846184598</v>
      </c>
      <c r="D949" s="36" t="n">
        <v>4418.446191161034</v>
      </c>
      <c r="E949" s="37" t="n">
        <v>0.5435656972669846</v>
      </c>
      <c r="F949" s="37" t="n">
        <v>0.6728061944401869</v>
      </c>
      <c r="G949" s="37" t="n">
        <v>0.7853011774172692</v>
      </c>
      <c r="H949" s="37" t="n">
        <v>0.7281087802040225</v>
      </c>
      <c r="I949" s="37" t="n">
        <v>0.6754256766819036</v>
      </c>
      <c r="J949" s="39" t="inlineStr">
        <is>
          <t>Corregible</t>
        </is>
      </c>
      <c r="K949" s="29" t="n">
        <v>4.76012441545937</v>
      </c>
      <c r="L949" s="35" t="n">
        <v>60.33048400907637</v>
      </c>
      <c r="M949" s="36" t="n">
        <v>4018.446191161034</v>
      </c>
      <c r="N949" s="29" t="n">
        <v>11.04611547790258</v>
      </c>
      <c r="O949" s="16" t="inlineStr">
        <is>
          <t>sí</t>
        </is>
      </c>
      <c r="P949" s="16" t="inlineStr">
        <is>
          <t>O2</t>
        </is>
      </c>
    </row>
    <row r="950">
      <c r="A950" s="16" t="inlineStr">
        <is>
          <t>KF-M09-R1-x_b+P_baja-0018</t>
        </is>
      </c>
      <c r="B950" s="35" t="n">
        <v>479.2412230211003</v>
      </c>
      <c r="C950" s="35" t="n">
        <v>288.9096764570702</v>
      </c>
      <c r="D950" s="36" t="n">
        <v>2575.5381108432</v>
      </c>
      <c r="E950" s="37" t="n">
        <v>0.8678287714203873</v>
      </c>
      <c r="F950" s="37" t="n">
        <v>0.8739428489347072</v>
      </c>
      <c r="G950" s="37" t="n">
        <v>0.6367648606833398</v>
      </c>
      <c r="H950" s="37" t="n">
        <v>0.4748885710224386</v>
      </c>
      <c r="I950" s="37" t="n">
        <v>0.6681432315057145</v>
      </c>
      <c r="J950" s="39" t="inlineStr">
        <is>
          <t>Corregible</t>
        </is>
      </c>
      <c r="K950" s="29" t="n">
        <v>11.6886193302922</v>
      </c>
      <c r="L950" s="35" t="n">
        <v>134.7962777809209</v>
      </c>
      <c r="M950" s="36" t="n">
        <v>2175.5381108432</v>
      </c>
      <c r="N950" s="29" t="n">
        <v>6.438845277107999</v>
      </c>
      <c r="O950" s="16" t="inlineStr">
        <is>
          <t>sí</t>
        </is>
      </c>
      <c r="P950" s="16" t="inlineStr">
        <is>
          <t>O2</t>
        </is>
      </c>
    </row>
    <row r="951">
      <c r="A951" s="16" t="inlineStr">
        <is>
          <t>KF-M09-R1-x_b+P_baja-0019</t>
        </is>
      </c>
      <c r="B951" s="35" t="n">
        <v>427.1330725866992</v>
      </c>
      <c r="C951" s="35" t="n">
        <v>299.2394015007256</v>
      </c>
      <c r="D951" s="36" t="n">
        <v>4161.037717792</v>
      </c>
      <c r="E951" s="37" t="n">
        <v>0.6218869907322464</v>
      </c>
      <c r="F951" s="37" t="n">
        <v>0.8300074361986176</v>
      </c>
      <c r="G951" s="37" t="n">
        <v>0.7693516010793254</v>
      </c>
      <c r="H951" s="37" t="n">
        <v>0.5783299275968639</v>
      </c>
      <c r="I951" s="37" t="n">
        <v>0.5774105215485217</v>
      </c>
      <c r="J951" s="39" t="inlineStr">
        <is>
          <t>Corregible</t>
        </is>
      </c>
      <c r="K951" s="29" t="n">
        <v>3.6796145758826</v>
      </c>
      <c r="L951" s="35" t="n">
        <v>12.63641196004424</v>
      </c>
      <c r="M951" s="36" t="n">
        <v>3761.037717792</v>
      </c>
      <c r="N951" s="29" t="n">
        <v>10.40259429448</v>
      </c>
      <c r="O951" s="16" t="inlineStr">
        <is>
          <t>sí</t>
        </is>
      </c>
      <c r="P951" s="16" t="inlineStr">
        <is>
          <t>O2</t>
        </is>
      </c>
    </row>
    <row r="952">
      <c r="A952" s="16" t="inlineStr">
        <is>
          <t>KF-M09-R1-x_b+P_baja-0020</t>
        </is>
      </c>
      <c r="B952" s="35" t="n">
        <v>513.1367013648477</v>
      </c>
      <c r="C952" s="35" t="n">
        <v>301.0216689817203</v>
      </c>
      <c r="D952" s="36" t="n">
        <v>2447.915839875184</v>
      </c>
      <c r="E952" s="37" t="n">
        <v>0.7387376405755746</v>
      </c>
      <c r="F952" s="37" t="n">
        <v>0.4178364629239323</v>
      </c>
      <c r="G952" s="37" t="n">
        <v>0.4845297169131643</v>
      </c>
      <c r="H952" s="37" t="n">
        <v>0.8138714530536197</v>
      </c>
      <c r="I952" s="37" t="n">
        <v>0.8371249730848629</v>
      </c>
      <c r="J952" s="39" t="inlineStr">
        <is>
          <t>Corregible</t>
        </is>
      </c>
      <c r="K952" s="29" t="n">
        <v>9.623228535720701</v>
      </c>
      <c r="L952" s="35" t="n">
        <v>97.64702961180924</v>
      </c>
      <c r="M952" s="36" t="n">
        <v>2047.915839875184</v>
      </c>
      <c r="N952" s="29" t="n">
        <v>6.11978959968796</v>
      </c>
      <c r="O952" s="16" t="inlineStr">
        <is>
          <t>sí</t>
        </is>
      </c>
      <c r="P952" s="16" t="inlineStr">
        <is>
          <t>O2</t>
        </is>
      </c>
    </row>
    <row r="953">
      <c r="A953" s="16" t="inlineStr">
        <is>
          <t>KF-M09-R1-x_b+P_baja-0021</t>
        </is>
      </c>
      <c r="B953" s="35" t="n">
        <v>414.6080197092205</v>
      </c>
      <c r="C953" s="35" t="n">
        <v>296.9806225707474</v>
      </c>
      <c r="D953" s="36" t="n">
        <v>3234.741308356678</v>
      </c>
      <c r="E953" s="37" t="n">
        <v>0.8128892424168828</v>
      </c>
      <c r="F953" s="37" t="n">
        <v>0.5862087011137112</v>
      </c>
      <c r="G953" s="37" t="n">
        <v>0.7148490986428886</v>
      </c>
      <c r="H953" s="37" t="n">
        <v>0.9307587523404934</v>
      </c>
      <c r="I953" s="37" t="n">
        <v>0.5368005679229741</v>
      </c>
      <c r="J953" s="39" t="inlineStr">
        <is>
          <t>Corregible</t>
        </is>
      </c>
      <c r="K953" s="29" t="n">
        <v>8.57743977108176</v>
      </c>
      <c r="L953" s="35" t="n">
        <v>22.96328272165611</v>
      </c>
      <c r="M953" s="36" t="n">
        <v>2834.741308356678</v>
      </c>
      <c r="N953" s="29" t="n">
        <v>8.086853270891694</v>
      </c>
      <c r="O953" s="16" t="inlineStr">
        <is>
          <t>no</t>
        </is>
      </c>
      <c r="P953" s="16" t="inlineStr">
        <is>
          <t>O2</t>
        </is>
      </c>
    </row>
    <row r="954">
      <c r="A954" s="16" t="inlineStr">
        <is>
          <t>KF-M09-R1-x_b+P_baja-0022</t>
        </is>
      </c>
      <c r="B954" s="35" t="n">
        <v>455.4798300422836</v>
      </c>
      <c r="C954" s="35" t="n">
        <v>292.5016949228089</v>
      </c>
      <c r="D954" s="36" t="n">
        <v>2289.007133801658</v>
      </c>
      <c r="E954" s="37" t="n">
        <v>0.5918014408848513</v>
      </c>
      <c r="F954" s="37" t="n">
        <v>0.7336931234526579</v>
      </c>
      <c r="G954" s="37" t="n">
        <v>0.5265764830405615</v>
      </c>
      <c r="H954" s="37" t="n">
        <v>0.5560172662106335</v>
      </c>
      <c r="I954" s="37" t="n">
        <v>0.8166543965328908</v>
      </c>
      <c r="J954" s="39" t="inlineStr">
        <is>
          <t>Corregible</t>
        </is>
      </c>
      <c r="K954" s="29" t="n">
        <v>7.48165724924299</v>
      </c>
      <c r="L954" s="35" t="n">
        <v>70.94199996218002</v>
      </c>
      <c r="M954" s="36" t="n">
        <v>1889.007133801658</v>
      </c>
      <c r="N954" s="29" t="n">
        <v>5.722517834504146</v>
      </c>
      <c r="O954" s="16" t="inlineStr">
        <is>
          <t>sí</t>
        </is>
      </c>
      <c r="P954" s="16" t="inlineStr">
        <is>
          <t>O2</t>
        </is>
      </c>
    </row>
    <row r="955">
      <c r="A955" s="16" t="inlineStr">
        <is>
          <t>KF-M09-R1-x_b+P_baja-0023</t>
        </is>
      </c>
      <c r="B955" s="35" t="n">
        <v>506.9614798603085</v>
      </c>
      <c r="C955" s="35" t="n">
        <v>296.4669329920482</v>
      </c>
      <c r="D955" s="36" t="n">
        <v>4608.173177123055</v>
      </c>
      <c r="E955" s="37" t="n">
        <v>0.5622602183445691</v>
      </c>
      <c r="F955" s="37" t="n">
        <v>0.7542958560142283</v>
      </c>
      <c r="G955" s="37" t="n">
        <v>0.9232793293320164</v>
      </c>
      <c r="H955" s="37" t="n">
        <v>0.8477054108182855</v>
      </c>
      <c r="I955" s="37" t="n">
        <v>0.7648158703638794</v>
      </c>
      <c r="J955" s="39" t="inlineStr">
        <is>
          <t>Corregible</t>
        </is>
      </c>
      <c r="K955" s="29" t="n">
        <v>8.785612131327481</v>
      </c>
      <c r="L955" s="35" t="n">
        <v>148.2756108694016</v>
      </c>
      <c r="M955" s="36" t="n">
        <v>4208.173177123055</v>
      </c>
      <c r="N955" s="29" t="n">
        <v>11.52043294280764</v>
      </c>
      <c r="O955" s="16" t="inlineStr">
        <is>
          <t>sí</t>
        </is>
      </c>
      <c r="P955" s="16" t="inlineStr">
        <is>
          <t>O2</t>
        </is>
      </c>
    </row>
    <row r="956">
      <c r="A956" s="16" t="inlineStr">
        <is>
          <t>KF-M09-R1-x_b+P_baja-0024</t>
        </is>
      </c>
      <c r="B956" s="35" t="n">
        <v>417.6357705149704</v>
      </c>
      <c r="C956" s="35" t="n">
        <v>281.7744223887759</v>
      </c>
      <c r="D956" s="36" t="n">
        <v>2605.898845492677</v>
      </c>
      <c r="E956" s="37" t="n">
        <v>0.5114232328944276</v>
      </c>
      <c r="F956" s="37" t="n">
        <v>0.8772756790948866</v>
      </c>
      <c r="G956" s="37" t="n">
        <v>0.4223797156478298</v>
      </c>
      <c r="H956" s="37" t="n">
        <v>0.7487537244326929</v>
      </c>
      <c r="I956" s="37" t="n">
        <v>0.7702873261177372</v>
      </c>
      <c r="J956" s="42" t="inlineStr">
        <is>
          <t>KALINA</t>
        </is>
      </c>
      <c r="K956" s="29" t="n">
        <v>4.911653635633019</v>
      </c>
      <c r="L956" s="35" t="n">
        <v>14.65403610908412</v>
      </c>
      <c r="M956" s="36" t="n">
        <v>2205.898845492677</v>
      </c>
      <c r="N956" s="29" t="n">
        <v>6.514747113731692</v>
      </c>
      <c r="O956" s="16" t="inlineStr">
        <is>
          <t>no</t>
        </is>
      </c>
      <c r="P956" s="16" t="n"/>
    </row>
    <row r="957">
      <c r="A957" s="16" t="inlineStr">
        <is>
          <t>KF-M09-R1-x_b+P_baja-0025</t>
        </is>
      </c>
      <c r="B957" s="35" t="n">
        <v>485.9156616355591</v>
      </c>
      <c r="C957" s="35" t="n">
        <v>287.2388225533629</v>
      </c>
      <c r="D957" s="36" t="n">
        <v>3085.744239740331</v>
      </c>
      <c r="E957" s="37" t="n">
        <v>0.6184730789342744</v>
      </c>
      <c r="F957" s="37" t="n">
        <v>0.4530616733555073</v>
      </c>
      <c r="G957" s="37" t="n">
        <v>0.9097731586507825</v>
      </c>
      <c r="H957" s="37" t="n">
        <v>0.792447553632296</v>
      </c>
      <c r="I957" s="37" t="n">
        <v>0.6511499044074374</v>
      </c>
      <c r="J957" s="39" t="inlineStr">
        <is>
          <t>Corregible</t>
        </is>
      </c>
      <c r="K957" s="29" t="n">
        <v>0.10696644476335</v>
      </c>
      <c r="L957" s="35" t="n">
        <v>1.445452987107643</v>
      </c>
      <c r="M957" s="36" t="n">
        <v>2685.744239740331</v>
      </c>
      <c r="N957" s="29" t="n">
        <v>7.714360599350828</v>
      </c>
      <c r="O957" s="16" t="inlineStr">
        <is>
          <t>sí</t>
        </is>
      </c>
      <c r="P957" s="16" t="inlineStr">
        <is>
          <t>O2</t>
        </is>
      </c>
    </row>
    <row r="958">
      <c r="A958" s="16" t="inlineStr">
        <is>
          <t>KF-M09-R1-x_b+P_baja-0026</t>
        </is>
      </c>
      <c r="B958" s="35" t="n">
        <v>474.6947549098807</v>
      </c>
      <c r="C958" s="35" t="n">
        <v>293.4715811738176</v>
      </c>
      <c r="D958" s="36" t="n">
        <v>2318.224305203557</v>
      </c>
      <c r="E958" s="37" t="n">
        <v>0.7058031779812093</v>
      </c>
      <c r="F958" s="37" t="n">
        <v>0.9477736461567076</v>
      </c>
      <c r="G958" s="37" t="n">
        <v>0.4948833655831038</v>
      </c>
      <c r="H958" s="37" t="n">
        <v>0.8782612011393369</v>
      </c>
      <c r="I958" s="37" t="n">
        <v>0.4581310593542571</v>
      </c>
      <c r="J958" s="39" t="inlineStr">
        <is>
          <t>Corregible</t>
        </is>
      </c>
      <c r="K958" s="29" t="n">
        <v>5.03321714979278</v>
      </c>
      <c r="L958" s="35" t="n">
        <v>35.80723168874448</v>
      </c>
      <c r="M958" s="36" t="n">
        <v>1918.224305203557</v>
      </c>
      <c r="N958" s="29" t="n">
        <v>5.795560763008893</v>
      </c>
      <c r="O958" s="16" t="inlineStr">
        <is>
          <t>sí</t>
        </is>
      </c>
      <c r="P958" s="16" t="inlineStr">
        <is>
          <t>O2</t>
        </is>
      </c>
    </row>
    <row r="959">
      <c r="A959" s="16" t="inlineStr">
        <is>
          <t>KF-M09-R1-x_b+P_baja-0027</t>
        </is>
      </c>
      <c r="B959" s="35" t="n">
        <v>490.2162844453679</v>
      </c>
      <c r="C959" s="35" t="n">
        <v>298.1307497418962</v>
      </c>
      <c r="D959" s="36" t="n">
        <v>3773.490448413225</v>
      </c>
      <c r="E959" s="37" t="n">
        <v>0.9273233304323918</v>
      </c>
      <c r="F959" s="37" t="n">
        <v>0.8418841601729399</v>
      </c>
      <c r="G959" s="37" t="n">
        <v>0.4450059435213025</v>
      </c>
      <c r="H959" s="37" t="n">
        <v>0.8670586918888253</v>
      </c>
      <c r="I959" s="37" t="n">
        <v>0.9427294737208798</v>
      </c>
      <c r="J959" s="39" t="inlineStr">
        <is>
          <t>Corregible</t>
        </is>
      </c>
      <c r="K959" s="29" t="n">
        <v>16.21714940699124</v>
      </c>
      <c r="L959" s="35" t="n">
        <v>143.7955445325722</v>
      </c>
      <c r="M959" s="36" t="n">
        <v>3373.490448413225</v>
      </c>
      <c r="N959" s="29" t="n">
        <v>9.433726121033065</v>
      </c>
      <c r="O959" s="16" t="inlineStr">
        <is>
          <t>sí</t>
        </is>
      </c>
      <c r="P959" s="16" t="inlineStr">
        <is>
          <t>O1,O2</t>
        </is>
      </c>
    </row>
    <row r="960">
      <c r="A960" s="16" t="inlineStr">
        <is>
          <t>KF-M09-R1-x_b+P_baja-0028</t>
        </is>
      </c>
      <c r="B960" s="35" t="n">
        <v>392.9814110711241</v>
      </c>
      <c r="C960" s="35" t="n">
        <v>302.2002489355311</v>
      </c>
      <c r="D960" s="36" t="n">
        <v>4095.494538558138</v>
      </c>
      <c r="E960" s="37" t="n">
        <v>0.6503728163888254</v>
      </c>
      <c r="F960" s="37" t="n">
        <v>0.691276905979044</v>
      </c>
      <c r="G960" s="37" t="n">
        <v>0.4581291783713834</v>
      </c>
      <c r="H960" s="37" t="n">
        <v>0.6819807824398824</v>
      </c>
      <c r="I960" s="37" t="n">
        <v>0.7193887306962765</v>
      </c>
      <c r="J960" s="32" t="inlineStr">
        <is>
          <t>No convergió</t>
        </is>
      </c>
      <c r="K960" s="29" t="inlineStr">
        <is>
          <t>—</t>
        </is>
      </c>
      <c r="L960" s="35" t="inlineStr">
        <is>
          <t>—</t>
        </is>
      </c>
      <c r="M960" s="36" t="n">
        <v>3695.494538558138</v>
      </c>
      <c r="N960" s="29" t="n">
        <v>10.23873634639534</v>
      </c>
      <c r="O960" s="16" t="inlineStr">
        <is>
          <t>no</t>
        </is>
      </c>
      <c r="P960" s="16" t="n"/>
    </row>
    <row r="961">
      <c r="A961" s="16" t="inlineStr">
        <is>
          <t>KF-M09-R1-x_b+P_baja-0029</t>
        </is>
      </c>
      <c r="B961" s="35" t="n">
        <v>408.6039488965291</v>
      </c>
      <c r="C961" s="35" t="n">
        <v>286.3329109674743</v>
      </c>
      <c r="D961" s="36" t="n">
        <v>2174.857922824936</v>
      </c>
      <c r="E961" s="37" t="n">
        <v>0.7663602859714469</v>
      </c>
      <c r="F961" s="37" t="n">
        <v>0.4263714882172249</v>
      </c>
      <c r="G961" s="37" t="n">
        <v>0.5738683846809436</v>
      </c>
      <c r="H961" s="37" t="n">
        <v>0.6716543926972008</v>
      </c>
      <c r="I961" s="37" t="n">
        <v>0.6161994837440656</v>
      </c>
      <c r="J961" s="39" t="inlineStr">
        <is>
          <t>Corregible</t>
        </is>
      </c>
      <c r="K961" s="29" t="n">
        <v>6.17880429268526</v>
      </c>
      <c r="L961" s="35" t="n">
        <v>22.66166854825208</v>
      </c>
      <c r="M961" s="36" t="n">
        <v>1774.857922824936</v>
      </c>
      <c r="N961" s="29" t="n">
        <v>5.437144807062341</v>
      </c>
      <c r="O961" s="16" t="inlineStr">
        <is>
          <t>no</t>
        </is>
      </c>
      <c r="P961" s="16" t="inlineStr">
        <is>
          <t>O2</t>
        </is>
      </c>
    </row>
    <row r="963">
      <c r="A963" s="33" t="inlineStr">
        <is>
          <t>Parte 4.3 x_b+T_fuente · ronda 1 · 29 puntos</t>
        </is>
      </c>
      <c r="B963" s="31" t="n"/>
      <c r="C963" s="31" t="n"/>
      <c r="D963" s="31" t="n"/>
      <c r="E963" s="31" t="n"/>
      <c r="F963" s="31" t="n"/>
      <c r="G963" s="31" t="n"/>
      <c r="H963" s="31" t="n"/>
      <c r="I963" s="31" t="n"/>
      <c r="J963" s="31" t="n"/>
      <c r="K963" s="31" t="n"/>
    </row>
    <row r="965">
      <c r="A965" s="34" t="inlineStr">
        <is>
          <t>Barrido de la parte 4.3 x_b+T_fuente · 29 puntos</t>
        </is>
      </c>
    </row>
    <row r="966">
      <c r="A966" s="25" t="inlineStr">
        <is>
          <t>Fijos en este barrido: T_fuente = 623.15, x_b = 0.5.</t>
        </is>
      </c>
    </row>
    <row r="967">
      <c r="A967" s="22" t="inlineStr">
        <is>
          <t>id_punto</t>
        </is>
      </c>
      <c r="B967" s="22" t="inlineStr">
        <is>
          <t>T_sumidero [K]</t>
        </is>
      </c>
      <c r="C967" s="22" t="inlineStr">
        <is>
          <t>P_alta [kPa]</t>
        </is>
      </c>
      <c r="D967" s="22" t="inlineStr">
        <is>
          <t>P_baja [kPa]</t>
        </is>
      </c>
      <c r="E967" s="22" t="inlineStr">
        <is>
          <t>η_t [–]</t>
        </is>
      </c>
      <c r="F967" s="22" t="inlineStr">
        <is>
          <t>η_p [–]</t>
        </is>
      </c>
      <c r="G967" s="22" t="inlineStr">
        <is>
          <t>ε_HRVG [–]</t>
        </is>
      </c>
      <c r="H967" s="22" t="inlineStr">
        <is>
          <t>ε_reg [–]</t>
        </is>
      </c>
      <c r="I967" s="22" t="inlineStr">
        <is>
          <t>ε_cond [–]</t>
        </is>
      </c>
      <c r="J967" s="22" t="inlineStr">
        <is>
          <t>Clase</t>
        </is>
      </c>
      <c r="K967" s="22" t="inlineStr">
        <is>
          <t>η [%]</t>
        </is>
      </c>
      <c r="L967" s="22" t="inlineStr">
        <is>
          <t>W_net [kW] (m_b = 1 kg/s)</t>
        </is>
      </c>
      <c r="M967" s="22" t="inlineStr">
        <is>
          <t>ΔP [kPa]</t>
        </is>
      </c>
      <c r="N967" s="22" t="inlineStr">
        <is>
          <t>r_P [–]</t>
        </is>
      </c>
      <c r="O967" s="22" t="inlineStr">
        <is>
          <t>Fuera de rango</t>
        </is>
      </c>
      <c r="P967" s="22" t="inlineStr">
        <is>
          <t>Criterios que falla</t>
        </is>
      </c>
    </row>
    <row r="968">
      <c r="A968" s="16" t="inlineStr">
        <is>
          <t>KF-M09-R1-x_b+T_fuente-0001</t>
        </is>
      </c>
      <c r="B968" s="35" t="n">
        <v>285.5057660030624</v>
      </c>
      <c r="C968" s="36" t="n">
        <v>3023.887851124528</v>
      </c>
      <c r="D968" s="35" t="n">
        <v>1036.985138163303</v>
      </c>
      <c r="E968" s="37" t="n">
        <v>0.4295941407731533</v>
      </c>
      <c r="F968" s="37" t="n">
        <v>0.49541489636444</v>
      </c>
      <c r="G968" s="37" t="n">
        <v>0.9354307286276036</v>
      </c>
      <c r="H968" s="37" t="n">
        <v>0.5671842255023356</v>
      </c>
      <c r="I968" s="37" t="n">
        <v>0.4057908594657322</v>
      </c>
      <c r="J968" s="32" t="inlineStr">
        <is>
          <t>No convergió</t>
        </is>
      </c>
      <c r="K968" s="29" t="inlineStr">
        <is>
          <t>—</t>
        </is>
      </c>
      <c r="L968" s="35" t="inlineStr">
        <is>
          <t>—</t>
        </is>
      </c>
      <c r="M968" s="36" t="n">
        <v>1986.902712961224</v>
      </c>
      <c r="N968" s="29" t="n">
        <v>2.916037790551564</v>
      </c>
      <c r="O968" s="16" t="inlineStr">
        <is>
          <t>no</t>
        </is>
      </c>
      <c r="P968" s="16" t="n"/>
    </row>
    <row r="969">
      <c r="A969" s="16" t="inlineStr">
        <is>
          <t>KF-M09-R1-x_b+T_fuente-0002</t>
        </is>
      </c>
      <c r="B969" s="35" t="n">
        <v>297.974452741372</v>
      </c>
      <c r="C969" s="36" t="n">
        <v>4119.452753325779</v>
      </c>
      <c r="D969" s="35" t="n">
        <v>1718.142022797062</v>
      </c>
      <c r="E969" s="37" t="n">
        <v>0.5741455793831365</v>
      </c>
      <c r="F969" s="37" t="n">
        <v>0.7444242514124452</v>
      </c>
      <c r="G969" s="37" t="n">
        <v>0.4813276710437302</v>
      </c>
      <c r="H969" s="37" t="n">
        <v>0.4501696673525023</v>
      </c>
      <c r="I969" s="37" t="n">
        <v>0.5187290285256401</v>
      </c>
      <c r="J969" s="39" t="inlineStr">
        <is>
          <t>Corregible</t>
        </is>
      </c>
      <c r="K969" s="29" t="n">
        <v>1.18206951261482</v>
      </c>
      <c r="L969" s="35" t="n">
        <v>10.43562212521994</v>
      </c>
      <c r="M969" s="36" t="n">
        <v>2401.310730528717</v>
      </c>
      <c r="N969" s="29" t="n">
        <v>2.397620626622871</v>
      </c>
      <c r="O969" s="16" t="inlineStr">
        <is>
          <t>sí</t>
        </is>
      </c>
      <c r="P969" s="16" t="inlineStr">
        <is>
          <t>O2</t>
        </is>
      </c>
    </row>
    <row r="970">
      <c r="A970" s="16" t="inlineStr">
        <is>
          <t>KF-M09-R1-x_b+T_fuente-0003</t>
        </is>
      </c>
      <c r="B970" s="35" t="n">
        <v>296.6709390361832</v>
      </c>
      <c r="C970" s="36" t="n">
        <v>4838.794640327525</v>
      </c>
      <c r="D970" s="35" t="n">
        <v>1691.475718903385</v>
      </c>
      <c r="E970" s="37" t="n">
        <v>0.8704763649122218</v>
      </c>
      <c r="F970" s="37" t="n">
        <v>0.424633770286186</v>
      </c>
      <c r="G970" s="37" t="n">
        <v>0.8093128461493624</v>
      </c>
      <c r="H970" s="37" t="n">
        <v>0.507758903710451</v>
      </c>
      <c r="I970" s="37" t="n">
        <v>0.888972865287216</v>
      </c>
      <c r="J970" s="42" t="inlineStr">
        <is>
          <t>KALINA</t>
        </is>
      </c>
      <c r="K970" s="29" t="n">
        <v>7.55685556352297</v>
      </c>
      <c r="L970" s="35" t="n">
        <v>150.8122175724756</v>
      </c>
      <c r="M970" s="36" t="n">
        <v>3147.318921424141</v>
      </c>
      <c r="N970" s="29" t="n">
        <v>2.860694118307892</v>
      </c>
      <c r="O970" s="16" t="inlineStr">
        <is>
          <t>sí</t>
        </is>
      </c>
      <c r="P970" s="16" t="n"/>
    </row>
    <row r="971">
      <c r="A971" s="16" t="inlineStr">
        <is>
          <t>KF-M09-R1-x_b+T_fuente-0004</t>
        </is>
      </c>
      <c r="B971" s="35" t="n">
        <v>294.5278972844781</v>
      </c>
      <c r="C971" s="36" t="n">
        <v>2888.405024885868</v>
      </c>
      <c r="D971" s="35" t="n">
        <v>1300.695137811615</v>
      </c>
      <c r="E971" s="37" t="n">
        <v>0.461300204790467</v>
      </c>
      <c r="F971" s="37" t="n">
        <v>0.8052188014647541</v>
      </c>
      <c r="G971" s="37" t="n">
        <v>0.7602784105326141</v>
      </c>
      <c r="H971" s="37" t="n">
        <v>0.8911205580620071</v>
      </c>
      <c r="I971" s="37" t="n">
        <v>0.9315584781069663</v>
      </c>
      <c r="J971" s="32" t="inlineStr">
        <is>
          <t>No convergió</t>
        </is>
      </c>
      <c r="K971" s="29" t="inlineStr">
        <is>
          <t>—</t>
        </is>
      </c>
      <c r="L971" s="35" t="inlineStr">
        <is>
          <t>—</t>
        </is>
      </c>
      <c r="M971" s="36" t="n">
        <v>1587.709887074253</v>
      </c>
      <c r="N971" s="29" t="n">
        <v>2.220662583351801</v>
      </c>
      <c r="O971" s="16" t="inlineStr">
        <is>
          <t>no</t>
        </is>
      </c>
      <c r="P971" s="16" t="n"/>
    </row>
    <row r="972">
      <c r="A972" s="16" t="inlineStr">
        <is>
          <t>KF-M09-R1-x_b+T_fuente-0005</t>
        </is>
      </c>
      <c r="B972" s="35" t="n">
        <v>280.3861554087105</v>
      </c>
      <c r="C972" s="36" t="n">
        <v>4311.857718826075</v>
      </c>
      <c r="D972" s="35" t="n">
        <v>906.7316616667918</v>
      </c>
      <c r="E972" s="37" t="n">
        <v>0.9019708704117592</v>
      </c>
      <c r="F972" s="37" t="n">
        <v>0.7678560269506813</v>
      </c>
      <c r="G972" s="37" t="n">
        <v>0.5765388072713096</v>
      </c>
      <c r="H972" s="37" t="n">
        <v>0.7007465035579935</v>
      </c>
      <c r="I972" s="37" t="n">
        <v>0.6474577215001146</v>
      </c>
      <c r="J972" s="39" t="inlineStr">
        <is>
          <t>Corregible</t>
        </is>
      </c>
      <c r="K972" s="29" t="n">
        <v>11.33533766930693</v>
      </c>
      <c r="L972" s="35" t="n">
        <v>137.9306972909269</v>
      </c>
      <c r="M972" s="36" t="n">
        <v>3405.126057159283</v>
      </c>
      <c r="N972" s="29" t="n">
        <v>4.755384532288019</v>
      </c>
      <c r="O972" s="16" t="inlineStr">
        <is>
          <t>sí</t>
        </is>
      </c>
      <c r="P972" s="16" t="inlineStr">
        <is>
          <t>O2</t>
        </is>
      </c>
    </row>
    <row r="973">
      <c r="A973" s="16" t="inlineStr">
        <is>
          <t>KF-M09-R1-x_b+T_fuente-0006</t>
        </is>
      </c>
      <c r="B973" s="35" t="n">
        <v>286.7770260183395</v>
      </c>
      <c r="C973" s="36" t="n">
        <v>3344.0920292827</v>
      </c>
      <c r="D973" s="35" t="n">
        <v>1841.485156656454</v>
      </c>
      <c r="E973" s="37" t="n">
        <v>0.6733789253019512</v>
      </c>
      <c r="F973" s="37" t="n">
        <v>0.5370006120605519</v>
      </c>
      <c r="G973" s="37" t="n">
        <v>0.4963378427097793</v>
      </c>
      <c r="H973" s="37" t="n">
        <v>0.7823187397687812</v>
      </c>
      <c r="I973" s="37" t="n">
        <v>0.5891543270110733</v>
      </c>
      <c r="J973" s="39" t="inlineStr">
        <is>
          <t>Corregible</t>
        </is>
      </c>
      <c r="K973" s="29" t="n">
        <v>1.87390765622443</v>
      </c>
      <c r="L973" s="35" t="n">
        <v>18.68370807824031</v>
      </c>
      <c r="M973" s="36" t="n">
        <v>1502.606872626246</v>
      </c>
      <c r="N973" s="29" t="n">
        <v>1.81597555494528</v>
      </c>
      <c r="O973" s="16" t="inlineStr">
        <is>
          <t>sí</t>
        </is>
      </c>
      <c r="P973" s="16" t="inlineStr">
        <is>
          <t>O2</t>
        </is>
      </c>
    </row>
    <row r="974">
      <c r="A974" s="16" t="inlineStr">
        <is>
          <t>KF-M09-R1-x_b+T_fuente-0007</t>
        </is>
      </c>
      <c r="B974" s="35" t="n">
        <v>302.9488082505972</v>
      </c>
      <c r="C974" s="36" t="n">
        <v>3832.934765698853</v>
      </c>
      <c r="D974" s="35" t="n">
        <v>1551.399651487072</v>
      </c>
      <c r="E974" s="37" t="n">
        <v>0.6052310147028629</v>
      </c>
      <c r="F974" s="37" t="n">
        <v>0.523314887525936</v>
      </c>
      <c r="G974" s="37" t="n">
        <v>0.6589374734511377</v>
      </c>
      <c r="H974" s="37" t="n">
        <v>0.8639415238773918</v>
      </c>
      <c r="I974" s="37" t="n">
        <v>0.7170691297321143</v>
      </c>
      <c r="J974" s="39" t="inlineStr">
        <is>
          <t>Corregible</t>
        </is>
      </c>
      <c r="K974" s="29" t="n">
        <v>3.38939996406431</v>
      </c>
      <c r="L974" s="35" t="n">
        <v>46.80407932147762</v>
      </c>
      <c r="M974" s="36" t="n">
        <v>2281.535114211781</v>
      </c>
      <c r="N974" s="29" t="n">
        <v>2.470630157757769</v>
      </c>
      <c r="O974" s="16" t="inlineStr">
        <is>
          <t>sí</t>
        </is>
      </c>
      <c r="P974" s="16" t="inlineStr">
        <is>
          <t>O2</t>
        </is>
      </c>
    </row>
    <row r="975">
      <c r="A975" s="16" t="inlineStr">
        <is>
          <t>KF-M09-R1-x_b+T_fuente-0008</t>
        </is>
      </c>
      <c r="B975" s="35" t="n">
        <v>287.685366446755</v>
      </c>
      <c r="C975" s="36" t="n">
        <v>3135.184334755372</v>
      </c>
      <c r="D975" s="35" t="n">
        <v>1956.568799652261</v>
      </c>
      <c r="E975" s="37" t="n">
        <v>0.7795848901809903</v>
      </c>
      <c r="F975" s="37" t="n">
        <v>0.6272931230930876</v>
      </c>
      <c r="G975" s="37" t="n">
        <v>0.5142552253476359</v>
      </c>
      <c r="H975" s="37" t="n">
        <v>0.6792500742111656</v>
      </c>
      <c r="I975" s="37" t="n">
        <v>0.6022458378678257</v>
      </c>
      <c r="J975" s="39" t="inlineStr">
        <is>
          <t>Corregible</t>
        </is>
      </c>
      <c r="K975" s="29" t="n">
        <v>2.53629480407048</v>
      </c>
      <c r="L975" s="35" t="n">
        <v>26.57611232385881</v>
      </c>
      <c r="M975" s="36" t="n">
        <v>1178.615535103111</v>
      </c>
      <c r="N975" s="29" t="n">
        <v>1.602389006362866</v>
      </c>
      <c r="O975" s="16" t="inlineStr">
        <is>
          <t>sí</t>
        </is>
      </c>
      <c r="P975" s="16" t="inlineStr">
        <is>
          <t>O2</t>
        </is>
      </c>
    </row>
    <row r="976">
      <c r="A976" s="16" t="inlineStr">
        <is>
          <t>KF-M09-R1-x_b+T_fuente-0009</t>
        </is>
      </c>
      <c r="B976" s="35" t="n">
        <v>299.1485138580217</v>
      </c>
      <c r="C976" s="36" t="n">
        <v>3559.170133159436</v>
      </c>
      <c r="D976" s="35" t="n">
        <v>758.0330353592775</v>
      </c>
      <c r="E976" s="37" t="n">
        <v>0.8515600239865611</v>
      </c>
      <c r="F976" s="37" t="n">
        <v>0.7587298772331342</v>
      </c>
      <c r="G976" s="37" t="n">
        <v>0.848280965679284</v>
      </c>
      <c r="H976" s="37" t="n">
        <v>0.6714841373665933</v>
      </c>
      <c r="I976" s="37" t="n">
        <v>0.8578214692831266</v>
      </c>
      <c r="J976" s="32" t="inlineStr">
        <is>
          <t>No convergió</t>
        </is>
      </c>
      <c r="K976" s="29" t="inlineStr">
        <is>
          <t>—</t>
        </is>
      </c>
      <c r="L976" s="35" t="inlineStr">
        <is>
          <t>—</t>
        </is>
      </c>
      <c r="M976" s="36" t="n">
        <v>2801.137097800159</v>
      </c>
      <c r="N976" s="29" t="n">
        <v>4.695270479171836</v>
      </c>
      <c r="O976" s="16" t="inlineStr">
        <is>
          <t>no</t>
        </is>
      </c>
      <c r="P976" s="16" t="n"/>
    </row>
    <row r="977">
      <c r="A977" s="16" t="inlineStr">
        <is>
          <t>KF-M09-R1-x_b+T_fuente-0010</t>
        </is>
      </c>
      <c r="B977" s="35" t="n">
        <v>293.3741361372219</v>
      </c>
      <c r="C977" s="36" t="n">
        <v>4944.128262707858</v>
      </c>
      <c r="D977" s="35" t="n">
        <v>1153.962499217281</v>
      </c>
      <c r="E977" s="37" t="n">
        <v>0.4976308284605646</v>
      </c>
      <c r="F977" s="37" t="n">
        <v>0.4634730963446185</v>
      </c>
      <c r="G977" s="37" t="n">
        <v>0.6848979591428029</v>
      </c>
      <c r="H977" s="37" t="n">
        <v>0.6284968781539769</v>
      </c>
      <c r="I977" s="37" t="n">
        <v>0.5036207368146652</v>
      </c>
      <c r="J977" s="40" t="inlineStr">
        <is>
          <t>Inviable</t>
        </is>
      </c>
      <c r="K977" s="29" t="n">
        <v>-10.43833254004064</v>
      </c>
      <c r="L977" s="35" t="n">
        <v>-102.5774614561138</v>
      </c>
      <c r="M977" s="36" t="n">
        <v>3790.165763490577</v>
      </c>
      <c r="N977" s="29" t="n">
        <v>4.284479145606031</v>
      </c>
      <c r="O977" s="16" t="inlineStr">
        <is>
          <t>sí</t>
        </is>
      </c>
      <c r="P977" s="16" t="inlineStr">
        <is>
          <t>O2,O3</t>
        </is>
      </c>
    </row>
    <row r="978">
      <c r="A978" s="16" t="inlineStr">
        <is>
          <t>KF-M09-R1-x_b+T_fuente-0011</t>
        </is>
      </c>
      <c r="B978" s="35" t="n">
        <v>288.4927327714446</v>
      </c>
      <c r="C978" s="36" t="n">
        <v>4706.924654499888</v>
      </c>
      <c r="D978" s="35" t="n">
        <v>1896.667696598768</v>
      </c>
      <c r="E978" s="37" t="n">
        <v>0.5275085802578207</v>
      </c>
      <c r="F978" s="37" t="n">
        <v>0.604979099299745</v>
      </c>
      <c r="G978" s="37" t="n">
        <v>0.5843729830637018</v>
      </c>
      <c r="H978" s="37" t="n">
        <v>0.8557273155143736</v>
      </c>
      <c r="I978" s="37" t="n">
        <v>0.8986055799038118</v>
      </c>
      <c r="J978" s="42" t="inlineStr">
        <is>
          <t>KALINA</t>
        </is>
      </c>
      <c r="K978" s="29" t="n">
        <v>3.72351448060723</v>
      </c>
      <c r="L978" s="35" t="n">
        <v>52.05136206805817</v>
      </c>
      <c r="M978" s="36" t="n">
        <v>2810.25695790112</v>
      </c>
      <c r="N978" s="29" t="n">
        <v>2.481681247031655</v>
      </c>
      <c r="O978" s="16" t="inlineStr">
        <is>
          <t>sí</t>
        </is>
      </c>
      <c r="P978" s="16" t="n"/>
    </row>
    <row r="979">
      <c r="A979" s="16" t="inlineStr">
        <is>
          <t>KF-M09-R1-x_b+T_fuente-0012</t>
        </is>
      </c>
      <c r="B979" s="35" t="n">
        <v>293.8797794144889</v>
      </c>
      <c r="C979" s="36" t="n">
        <v>2286.289449280541</v>
      </c>
      <c r="D979" s="35" t="n">
        <v>1221.792603099825</v>
      </c>
      <c r="E979" s="37" t="n">
        <v>0.7601174047044901</v>
      </c>
      <c r="F979" s="37" t="n">
        <v>0.7244334641072672</v>
      </c>
      <c r="G979" s="37" t="n">
        <v>0.9099960508535064</v>
      </c>
      <c r="H979" s="37" t="n">
        <v>0.7530770139170551</v>
      </c>
      <c r="I979" s="37" t="n">
        <v>0.6783405730562977</v>
      </c>
      <c r="J979" s="32" t="inlineStr">
        <is>
          <t>No convergió</t>
        </is>
      </c>
      <c r="K979" s="29" t="inlineStr">
        <is>
          <t>—</t>
        </is>
      </c>
      <c r="L979" s="35" t="inlineStr">
        <is>
          <t>—</t>
        </is>
      </c>
      <c r="M979" s="36" t="n">
        <v>1064.496846180716</v>
      </c>
      <c r="N979" s="29" t="n">
        <v>1.871258218031413</v>
      </c>
      <c r="O979" s="16" t="inlineStr">
        <is>
          <t>no</t>
        </is>
      </c>
      <c r="P979" s="16" t="n"/>
    </row>
    <row r="980">
      <c r="A980" s="16" t="inlineStr">
        <is>
          <t>KF-M09-R1-x_b+T_fuente-0013</t>
        </is>
      </c>
      <c r="B980" s="35" t="n">
        <v>295.7526043674087</v>
      </c>
      <c r="C980" s="36" t="n">
        <v>3207.996507432497</v>
      </c>
      <c r="D980" s="35" t="n">
        <v>663.3101218977549</v>
      </c>
      <c r="E980" s="37" t="n">
        <v>0.6918790736131186</v>
      </c>
      <c r="F980" s="37" t="n">
        <v>0.5780037070694631</v>
      </c>
      <c r="G980" s="37" t="n">
        <v>0.6389368495532992</v>
      </c>
      <c r="H980" s="37" t="n">
        <v>0.4234742202433182</v>
      </c>
      <c r="I980" s="37" t="n">
        <v>0.4324570801207614</v>
      </c>
      <c r="J980" s="40" t="inlineStr">
        <is>
          <t>Inviable</t>
        </is>
      </c>
      <c r="K980" s="29" t="n">
        <v>-6.986918875379599</v>
      </c>
      <c r="L980" s="35" t="n">
        <v>-58.93548417530587</v>
      </c>
      <c r="M980" s="36" t="n">
        <v>2544.686385534742</v>
      </c>
      <c r="N980" s="29" t="n">
        <v>4.836344873276318</v>
      </c>
      <c r="O980" s="16" t="inlineStr">
        <is>
          <t>sí</t>
        </is>
      </c>
      <c r="P980" s="16" t="inlineStr">
        <is>
          <t>O2,O3</t>
        </is>
      </c>
    </row>
    <row r="981">
      <c r="A981" s="16" t="inlineStr">
        <is>
          <t>KF-M09-R1-x_b+T_fuente-0014</t>
        </is>
      </c>
      <c r="B981" s="35" t="n">
        <v>290.1285108112532</v>
      </c>
      <c r="C981" s="36" t="n">
        <v>2521.249255085835</v>
      </c>
      <c r="D981" s="35" t="n">
        <v>410.8136199500203</v>
      </c>
      <c r="E981" s="37" t="n">
        <v>0.7273109686774707</v>
      </c>
      <c r="F981" s="37" t="n">
        <v>0.8990934591415831</v>
      </c>
      <c r="G981" s="37" t="n">
        <v>0.6262091136268872</v>
      </c>
      <c r="H981" s="37" t="n">
        <v>0.8394202067189622</v>
      </c>
      <c r="I981" s="37" t="n">
        <v>0.4904270346710833</v>
      </c>
      <c r="J981" s="39" t="inlineStr">
        <is>
          <t>Corregible</t>
        </is>
      </c>
      <c r="K981" s="29" t="n">
        <v>6.00476478124968</v>
      </c>
      <c r="L981" s="35" t="n">
        <v>61.30681600220464</v>
      </c>
      <c r="M981" s="36" t="n">
        <v>2110.435635135815</v>
      </c>
      <c r="N981" s="29" t="n">
        <v>6.137209509734782</v>
      </c>
      <c r="O981" s="16" t="inlineStr">
        <is>
          <t>sí</t>
        </is>
      </c>
      <c r="P981" s="16" t="inlineStr">
        <is>
          <t>O2</t>
        </is>
      </c>
    </row>
    <row r="982">
      <c r="A982" s="16" t="inlineStr">
        <is>
          <t>KF-M09-R1-x_b+T_fuente-0015</t>
        </is>
      </c>
      <c r="B982" s="35" t="n">
        <v>301.3622078237123</v>
      </c>
      <c r="C982" s="36" t="n">
        <v>2789.943982846316</v>
      </c>
      <c r="D982" s="35" t="n">
        <v>472.2614690601638</v>
      </c>
      <c r="E982" s="37" t="n">
        <v>0.8767749760130179</v>
      </c>
      <c r="F982" s="37" t="n">
        <v>0.5903398675437189</v>
      </c>
      <c r="G982" s="37" t="n">
        <v>0.8837047821766773</v>
      </c>
      <c r="H982" s="37" t="n">
        <v>0.4007836466241444</v>
      </c>
      <c r="I982" s="37" t="n">
        <v>0.8667595437483696</v>
      </c>
      <c r="J982" s="32" t="inlineStr">
        <is>
          <t>No convergió</t>
        </is>
      </c>
      <c r="K982" s="29" t="inlineStr">
        <is>
          <t>—</t>
        </is>
      </c>
      <c r="L982" s="35" t="inlineStr">
        <is>
          <t>—</t>
        </is>
      </c>
      <c r="M982" s="36" t="n">
        <v>2317.682513786152</v>
      </c>
      <c r="N982" s="29" t="n">
        <v>5.907625681168773</v>
      </c>
      <c r="O982" s="16" t="inlineStr">
        <is>
          <t>no</t>
        </is>
      </c>
      <c r="P982" s="16" t="n"/>
    </row>
    <row r="983">
      <c r="A983" s="16" t="inlineStr">
        <is>
          <t>KF-M09-R1-x_b+T_fuente-0016</t>
        </is>
      </c>
      <c r="B983" s="35" t="n">
        <v>286.04611960776</v>
      </c>
      <c r="C983" s="36" t="n">
        <v>3626.139360111017</v>
      </c>
      <c r="D983" s="35" t="n">
        <v>614.3457670716527</v>
      </c>
      <c r="E983" s="37" t="n">
        <v>0.4380809438213425</v>
      </c>
      <c r="F983" s="37" t="n">
        <v>0.6706473304197929</v>
      </c>
      <c r="G983" s="37" t="n">
        <v>0.7717335665676019</v>
      </c>
      <c r="H983" s="37" t="n">
        <v>0.5610735991998119</v>
      </c>
      <c r="I983" s="37" t="n">
        <v>0.47066497855053</v>
      </c>
      <c r="J983" s="32" t="inlineStr">
        <is>
          <t>No convergió</t>
        </is>
      </c>
      <c r="K983" s="29" t="inlineStr">
        <is>
          <t>—</t>
        </is>
      </c>
      <c r="L983" s="35" t="inlineStr">
        <is>
          <t>—</t>
        </is>
      </c>
      <c r="M983" s="36" t="n">
        <v>3011.793593039364</v>
      </c>
      <c r="N983" s="29" t="n">
        <v>5.902440538323252</v>
      </c>
      <c r="O983" s="16" t="inlineStr">
        <is>
          <t>no</t>
        </is>
      </c>
      <c r="P983" s="16" t="n"/>
    </row>
    <row r="984">
      <c r="A984" s="16" t="inlineStr">
        <is>
          <t>KF-M09-R1-x_b+T_fuente-0017</t>
        </is>
      </c>
      <c r="B984" s="35" t="n">
        <v>279.437352182969</v>
      </c>
      <c r="C984" s="36" t="n">
        <v>3492.826397863342</v>
      </c>
      <c r="D984" s="35" t="n">
        <v>564.5031332325393</v>
      </c>
      <c r="E984" s="37" t="n">
        <v>0.9209226015821936</v>
      </c>
      <c r="F984" s="37" t="n">
        <v>0.4815040194762186</v>
      </c>
      <c r="G984" s="37" t="n">
        <v>0.4137971754844496</v>
      </c>
      <c r="H984" s="37" t="n">
        <v>0.5166825480773707</v>
      </c>
      <c r="I984" s="37" t="n">
        <v>0.7014868133702509</v>
      </c>
      <c r="J984" s="39" t="inlineStr">
        <is>
          <t>Corregible</t>
        </is>
      </c>
      <c r="K984" s="29" t="n">
        <v>11.85572836463736</v>
      </c>
      <c r="L984" s="35" t="n">
        <v>114.0759581985261</v>
      </c>
      <c r="M984" s="36" t="n">
        <v>2928.323264630803</v>
      </c>
      <c r="N984" s="29" t="n">
        <v>6.187434917964433</v>
      </c>
      <c r="O984" s="16" t="inlineStr">
        <is>
          <t>sí</t>
        </is>
      </c>
      <c r="P984" s="16" t="inlineStr">
        <is>
          <t>O2</t>
        </is>
      </c>
    </row>
    <row r="985">
      <c r="A985" s="16" t="inlineStr">
        <is>
          <t>KF-M09-R1-x_b+T_fuente-0018</t>
        </is>
      </c>
      <c r="B985" s="35" t="n">
        <v>283.3344268736441</v>
      </c>
      <c r="C985" s="36" t="n">
        <v>2695.472591384813</v>
      </c>
      <c r="D985" s="35" t="n">
        <v>1022.176402623704</v>
      </c>
      <c r="E985" s="37" t="n">
        <v>0.4052196918172702</v>
      </c>
      <c r="F985" s="37" t="n">
        <v>0.4102202336507536</v>
      </c>
      <c r="G985" s="37" t="n">
        <v>0.5556492135930495</v>
      </c>
      <c r="H985" s="37" t="n">
        <v>0.4774699603986482</v>
      </c>
      <c r="I985" s="37" t="n">
        <v>0.5453160032965804</v>
      </c>
      <c r="J985" s="40" t="inlineStr">
        <is>
          <t>Inviable</t>
        </is>
      </c>
      <c r="K985" s="29" t="n">
        <v>-6.9002159754653</v>
      </c>
      <c r="L985" s="35" t="n">
        <v>-68.54407985040464</v>
      </c>
      <c r="M985" s="36" t="n">
        <v>1673.296188761109</v>
      </c>
      <c r="N985" s="29" t="n">
        <v>2.636993560471678</v>
      </c>
      <c r="O985" s="16" t="inlineStr">
        <is>
          <t>sí</t>
        </is>
      </c>
      <c r="P985" s="16" t="inlineStr">
        <is>
          <t>O2,O3</t>
        </is>
      </c>
    </row>
    <row r="986">
      <c r="A986" s="16" t="inlineStr">
        <is>
          <t>KF-M09-R1-x_b+T_fuente-0019</t>
        </is>
      </c>
      <c r="B986" s="35" t="n">
        <v>297.0366519584458</v>
      </c>
      <c r="C986" s="36" t="n">
        <v>3735.82872772568</v>
      </c>
      <c r="D986" s="35" t="n">
        <v>1363.477017754596</v>
      </c>
      <c r="E986" s="37" t="n">
        <v>0.7955680920569077</v>
      </c>
      <c r="F986" s="37" t="n">
        <v>0.9398232299107002</v>
      </c>
      <c r="G986" s="37" t="n">
        <v>0.7388048252235919</v>
      </c>
      <c r="H986" s="37" t="n">
        <v>0.939213486705234</v>
      </c>
      <c r="I986" s="37" t="n">
        <v>0.8037232719076159</v>
      </c>
      <c r="J986" s="39" t="inlineStr">
        <is>
          <t>Corregible</t>
        </is>
      </c>
      <c r="K986" s="29" t="n">
        <v>7.29734653390347</v>
      </c>
      <c r="L986" s="35" t="n">
        <v>123.9159369869196</v>
      </c>
      <c r="M986" s="36" t="n">
        <v>2372.351709971084</v>
      </c>
      <c r="N986" s="29" t="n">
        <v>2.73992790423261</v>
      </c>
      <c r="O986" s="16" t="inlineStr">
        <is>
          <t>sí</t>
        </is>
      </c>
      <c r="P986" s="16" t="inlineStr">
        <is>
          <t>O2</t>
        </is>
      </c>
    </row>
    <row r="987">
      <c r="A987" s="16" t="inlineStr">
        <is>
          <t>KF-M09-R1-x_b+T_fuente-0020</t>
        </is>
      </c>
      <c r="B987" s="35" t="n">
        <v>300.7775857223039</v>
      </c>
      <c r="C987" s="36" t="n">
        <v>4271.345157306001</v>
      </c>
      <c r="D987" s="35" t="n">
        <v>828.5603230612337</v>
      </c>
      <c r="E987" s="37" t="n">
        <v>0.8325327284125352</v>
      </c>
      <c r="F987" s="37" t="n">
        <v>0.8503621745229035</v>
      </c>
      <c r="G987" s="37" t="n">
        <v>0.7949845241982151</v>
      </c>
      <c r="H987" s="37" t="n">
        <v>0.9156576638667896</v>
      </c>
      <c r="I987" s="37" t="n">
        <v>0.749781492325017</v>
      </c>
      <c r="J987" s="39" t="inlineStr">
        <is>
          <t>Corregible</t>
        </is>
      </c>
      <c r="K987" s="29" t="n">
        <v>11.29290641448761</v>
      </c>
      <c r="L987" s="35" t="n">
        <v>193.2130152725124</v>
      </c>
      <c r="M987" s="36" t="n">
        <v>3442.784834244768</v>
      </c>
      <c r="N987" s="29" t="n">
        <v>5.155140836969975</v>
      </c>
      <c r="O987" s="16" t="inlineStr">
        <is>
          <t>sí</t>
        </is>
      </c>
      <c r="P987" s="16" t="inlineStr">
        <is>
          <t>O2</t>
        </is>
      </c>
    </row>
    <row r="988">
      <c r="A988" s="16" t="inlineStr">
        <is>
          <t>KF-M09-R1-x_b+T_fuente-0021</t>
        </is>
      </c>
      <c r="B988" s="35" t="n">
        <v>282.4504375069475</v>
      </c>
      <c r="C988" s="36" t="n">
        <v>4024.05385180581</v>
      </c>
      <c r="D988" s="35" t="n">
        <v>1478.717686865702</v>
      </c>
      <c r="E988" s="37" t="n">
        <v>0.6936854398502286</v>
      </c>
      <c r="F988" s="37" t="n">
        <v>0.5586787654959271</v>
      </c>
      <c r="G988" s="37" t="n">
        <v>0.7155651442017367</v>
      </c>
      <c r="H988" s="37" t="n">
        <v>0.648981114597321</v>
      </c>
      <c r="I988" s="37" t="n">
        <v>0.7327905630075744</v>
      </c>
      <c r="J988" s="39" t="inlineStr">
        <is>
          <t>Corregible</t>
        </is>
      </c>
      <c r="K988" s="29" t="n">
        <v>5.54573638891109</v>
      </c>
      <c r="L988" s="35" t="n">
        <v>87.39242544088906</v>
      </c>
      <c r="M988" s="36" t="n">
        <v>2545.336164940108</v>
      </c>
      <c r="N988" s="29" t="n">
        <v>2.721313126601749</v>
      </c>
      <c r="O988" s="16" t="inlineStr">
        <is>
          <t>sí</t>
        </is>
      </c>
      <c r="P988" s="16" t="inlineStr">
        <is>
          <t>O2</t>
        </is>
      </c>
    </row>
    <row r="989">
      <c r="A989" s="16" t="inlineStr">
        <is>
          <t>KF-M09-R1-x_b+T_fuente-0022</t>
        </is>
      </c>
      <c r="B989" s="35" t="n">
        <v>282.0493648105422</v>
      </c>
      <c r="C989" s="36" t="n">
        <v>2159.095452385817</v>
      </c>
      <c r="D989" s="35" t="n">
        <v>433.9598628781944</v>
      </c>
      <c r="E989" s="37" t="n">
        <v>0.4888970769209707</v>
      </c>
      <c r="F989" s="37" t="n">
        <v>0.7083655466362888</v>
      </c>
      <c r="G989" s="37" t="n">
        <v>0.6959804703208778</v>
      </c>
      <c r="H989" s="37" t="n">
        <v>0.8096109148635111</v>
      </c>
      <c r="I989" s="37" t="n">
        <v>0.780260976232777</v>
      </c>
      <c r="J989" s="39" t="inlineStr">
        <is>
          <t>Corregible</t>
        </is>
      </c>
      <c r="K989" s="29" t="n">
        <v>4.864325687875589</v>
      </c>
      <c r="L989" s="35" t="n">
        <v>78.4981559112087</v>
      </c>
      <c r="M989" s="36" t="n">
        <v>1725.135589507622</v>
      </c>
      <c r="N989" s="29" t="n">
        <v>4.975334442374088</v>
      </c>
      <c r="O989" s="16" t="inlineStr">
        <is>
          <t>sí</t>
        </is>
      </c>
      <c r="P989" s="16" t="inlineStr">
        <is>
          <t>O2</t>
        </is>
      </c>
    </row>
    <row r="990">
      <c r="A990" s="16" t="inlineStr">
        <is>
          <t>KF-M09-R1-x_b+T_fuente-0023</t>
        </is>
      </c>
      <c r="B990" s="35" t="n">
        <v>278.8478459373991</v>
      </c>
      <c r="C990" s="36" t="n">
        <v>4487.133998989706</v>
      </c>
      <c r="D990" s="35" t="n">
        <v>340.4030369757352</v>
      </c>
      <c r="E990" s="37" t="n">
        <v>0.8214051871432331</v>
      </c>
      <c r="F990" s="37" t="n">
        <v>0.7911720276956313</v>
      </c>
      <c r="G990" s="37" t="n">
        <v>0.5437885911454357</v>
      </c>
      <c r="H990" s="37" t="n">
        <v>0.605416210694091</v>
      </c>
      <c r="I990" s="37" t="n">
        <v>0.8250168960546673</v>
      </c>
      <c r="J990" s="39" t="inlineStr">
        <is>
          <t>Corregible</t>
        </is>
      </c>
      <c r="K990" s="29" t="n">
        <v>15.51086170487519</v>
      </c>
      <c r="L990" s="35" t="n">
        <v>202.9876404735908</v>
      </c>
      <c r="M990" s="36" t="n">
        <v>4146.730962013971</v>
      </c>
      <c r="N990" s="29" t="n">
        <v>13.18182716245731</v>
      </c>
      <c r="O990" s="16" t="inlineStr">
        <is>
          <t>sí</t>
        </is>
      </c>
      <c r="P990" s="16" t="inlineStr">
        <is>
          <t>O1,O2</t>
        </is>
      </c>
    </row>
    <row r="991">
      <c r="A991" s="16" t="inlineStr">
        <is>
          <t>KF-M09-R1-x_b+T_fuente-0024</t>
        </is>
      </c>
      <c r="B991" s="35" t="n">
        <v>284.4476355157715</v>
      </c>
      <c r="C991" s="36" t="n">
        <v>4595.058511360729</v>
      </c>
      <c r="D991" s="35" t="n">
        <v>928.8033227911236</v>
      </c>
      <c r="E991" s="37" t="n">
        <v>0.5371094728336994</v>
      </c>
      <c r="F991" s="37" t="n">
        <v>0.6565166590970373</v>
      </c>
      <c r="G991" s="37" t="n">
        <v>0.9163313964786522</v>
      </c>
      <c r="H991" s="37" t="n">
        <v>0.4681506578033064</v>
      </c>
      <c r="I991" s="37" t="n">
        <v>0.6620460546249878</v>
      </c>
      <c r="J991" s="32" t="inlineStr">
        <is>
          <t>No convergió</t>
        </is>
      </c>
      <c r="K991" s="29" t="inlineStr">
        <is>
          <t>—</t>
        </is>
      </c>
      <c r="L991" s="35" t="inlineStr">
        <is>
          <t>—</t>
        </is>
      </c>
      <c r="M991" s="36" t="n">
        <v>3666.255188569606</v>
      </c>
      <c r="N991" s="29" t="n">
        <v>4.94728905313585</v>
      </c>
      <c r="O991" s="16" t="inlineStr">
        <is>
          <t>no</t>
        </is>
      </c>
      <c r="P991" s="16" t="n"/>
    </row>
    <row r="992">
      <c r="A992" s="16" t="inlineStr">
        <is>
          <t>KF-M09-R1-x_b+T_fuente-0025</t>
        </is>
      </c>
      <c r="B992" s="35" t="n">
        <v>299.6714806757267</v>
      </c>
      <c r="C992" s="36" t="n">
        <v>4601.439784400383</v>
      </c>
      <c r="D992" s="35" t="n">
        <v>1122.176050554847</v>
      </c>
      <c r="E992" s="37" t="n">
        <v>0.7476073122625171</v>
      </c>
      <c r="F992" s="37" t="n">
        <v>0.8673307563809115</v>
      </c>
      <c r="G992" s="37" t="n">
        <v>0.4196037185986716</v>
      </c>
      <c r="H992" s="37" t="n">
        <v>0.7463027454681637</v>
      </c>
      <c r="I992" s="37" t="n">
        <v>0.4369345818256659</v>
      </c>
      <c r="J992" s="39" t="inlineStr">
        <is>
          <t>Corregible</t>
        </is>
      </c>
      <c r="K992" s="29" t="n">
        <v>4.72917497092747</v>
      </c>
      <c r="L992" s="35" t="n">
        <v>33.70395144475698</v>
      </c>
      <c r="M992" s="36" t="n">
        <v>3479.263733845537</v>
      </c>
      <c r="N992" s="29" t="n">
        <v>4.10046158276614</v>
      </c>
      <c r="O992" s="16" t="inlineStr">
        <is>
          <t>sí</t>
        </is>
      </c>
      <c r="P992" s="16" t="inlineStr">
        <is>
          <t>O2</t>
        </is>
      </c>
    </row>
    <row r="993">
      <c r="A993" s="16" t="inlineStr">
        <is>
          <t>KF-M09-R1-x_b+T_fuente-0026</t>
        </is>
      </c>
      <c r="B993" s="35" t="n">
        <v>289.9944534051309</v>
      </c>
      <c r="C993" s="36" t="n">
        <v>2398.923215660549</v>
      </c>
      <c r="D993" s="35" t="n">
        <v>1428.086332241203</v>
      </c>
      <c r="E993" s="37" t="n">
        <v>0.5504998498817958</v>
      </c>
      <c r="F993" s="37" t="n">
        <v>0.6885505909459312</v>
      </c>
      <c r="G993" s="37" t="n">
        <v>0.6128459640976615</v>
      </c>
      <c r="H993" s="37" t="n">
        <v>0.9078552384096872</v>
      </c>
      <c r="I993" s="37" t="n">
        <v>0.5595408983104609</v>
      </c>
      <c r="J993" s="39" t="inlineStr">
        <is>
          <t>Corregible</t>
        </is>
      </c>
      <c r="K993" s="29" t="n">
        <v>0.47396309844301</v>
      </c>
      <c r="L993" s="35" t="n">
        <v>5.341611842435512</v>
      </c>
      <c r="M993" s="36" t="n">
        <v>970.8368834193456</v>
      </c>
      <c r="N993" s="29" t="n">
        <v>1.679816661991113</v>
      </c>
      <c r="O993" s="16" t="inlineStr">
        <is>
          <t>sí</t>
        </is>
      </c>
      <c r="P993" s="16" t="inlineStr">
        <is>
          <t>O2</t>
        </is>
      </c>
    </row>
    <row r="994">
      <c r="A994" s="16" t="inlineStr">
        <is>
          <t>KF-M09-R1-x_b+T_fuente-0027</t>
        </is>
      </c>
      <c r="B994" s="35" t="n">
        <v>292.468696270781</v>
      </c>
      <c r="C994" s="36" t="n">
        <v>2407.369902772437</v>
      </c>
      <c r="D994" s="35" t="n">
        <v>1628.860994557014</v>
      </c>
      <c r="E994" s="37" t="n">
        <v>0.94700424684347</v>
      </c>
      <c r="F994" s="37" t="n">
        <v>0.8398423070713179</v>
      </c>
      <c r="G994" s="37" t="n">
        <v>0.473111050282074</v>
      </c>
      <c r="H994" s="37" t="n">
        <v>0.7291212088978487</v>
      </c>
      <c r="I994" s="37" t="n">
        <v>0.6222424623488925</v>
      </c>
      <c r="J994" s="39" t="inlineStr">
        <is>
          <t>Corregible</t>
        </is>
      </c>
      <c r="K994" s="29" t="n">
        <v>3.31618962324204</v>
      </c>
      <c r="L994" s="35" t="n">
        <v>33.14406687077153</v>
      </c>
      <c r="M994" s="36" t="n">
        <v>778.5089082154225</v>
      </c>
      <c r="N994" s="29" t="n">
        <v>1.477946805047748</v>
      </c>
      <c r="O994" s="16" t="inlineStr">
        <is>
          <t>sí</t>
        </is>
      </c>
      <c r="P994" s="16" t="inlineStr">
        <is>
          <t>O2</t>
        </is>
      </c>
    </row>
    <row r="995">
      <c r="A995" s="16" t="inlineStr">
        <is>
          <t>KF-M09-R1-x_b+T_fuente-0028</t>
        </is>
      </c>
      <c r="B995" s="35" t="n">
        <v>281.0493696098729</v>
      </c>
      <c r="C995" s="36" t="n">
        <v>3903.150775009404</v>
      </c>
      <c r="D995" s="35" t="n">
        <v>749.8862624618383</v>
      </c>
      <c r="E995" s="37" t="n">
        <v>0.6425499154116392</v>
      </c>
      <c r="F995" s="37" t="n">
        <v>0.9174696262634718</v>
      </c>
      <c r="G995" s="37" t="n">
        <v>0.8733581544545629</v>
      </c>
      <c r="H995" s="37" t="n">
        <v>0.788992231353397</v>
      </c>
      <c r="I995" s="37" t="n">
        <v>0.9441731094633666</v>
      </c>
      <c r="J995" s="32" t="inlineStr">
        <is>
          <t>No convergió</t>
        </is>
      </c>
      <c r="K995" s="29" t="inlineStr">
        <is>
          <t>—</t>
        </is>
      </c>
      <c r="L995" s="35" t="inlineStr">
        <is>
          <t>—</t>
        </is>
      </c>
      <c r="M995" s="36" t="n">
        <v>3153.264512547566</v>
      </c>
      <c r="N995" s="29" t="n">
        <v>5.204990370400385</v>
      </c>
      <c r="O995" s="16" t="inlineStr">
        <is>
          <t>no</t>
        </is>
      </c>
      <c r="P995" s="16" t="n"/>
    </row>
    <row r="996">
      <c r="A996" s="16" t="inlineStr">
        <is>
          <t>KF-M09-R1-x_b+T_fuente-0029</t>
        </is>
      </c>
      <c r="B996" s="35" t="n">
        <v>291.0772103293639</v>
      </c>
      <c r="C996" s="36" t="n">
        <v>2969.021387643456</v>
      </c>
      <c r="D996" s="35" t="n">
        <v>1517.005365421804</v>
      </c>
      <c r="E996" s="37" t="n">
        <v>0.5871798937452827</v>
      </c>
      <c r="F996" s="37" t="n">
        <v>0.8914443940499321</v>
      </c>
      <c r="G996" s="37" t="n">
        <v>0.8390836351305657</v>
      </c>
      <c r="H996" s="37" t="n">
        <v>0.5305185511031218</v>
      </c>
      <c r="I996" s="37" t="n">
        <v>0.5701241318544025</v>
      </c>
      <c r="J996" s="32" t="inlineStr">
        <is>
          <t>No convergió</t>
        </is>
      </c>
      <c r="K996" s="29" t="inlineStr">
        <is>
          <t>—</t>
        </is>
      </c>
      <c r="L996" s="35" t="inlineStr">
        <is>
          <t>—</t>
        </is>
      </c>
      <c r="M996" s="36" t="n">
        <v>1452.016022221653</v>
      </c>
      <c r="N996" s="29" t="n">
        <v>1.957159450664118</v>
      </c>
      <c r="O996" s="16" t="inlineStr">
        <is>
          <t>no</t>
        </is>
      </c>
      <c r="P996" s="16" t="n"/>
    </row>
    <row r="998">
      <c r="A998" s="33" t="inlineStr">
        <is>
          <t>Parte 4.3 x_b+T_sumidero · ronda 1 · 30 puntos</t>
        </is>
      </c>
      <c r="B998" s="31" t="n"/>
      <c r="C998" s="31" t="n"/>
      <c r="D998" s="31" t="n"/>
      <c r="E998" s="31" t="n"/>
      <c r="F998" s="31" t="n"/>
      <c r="G998" s="31" t="n"/>
      <c r="H998" s="31" t="n"/>
      <c r="I998" s="31" t="n"/>
      <c r="J998" s="31" t="n"/>
      <c r="K998" s="31" t="n"/>
    </row>
    <row r="1000">
      <c r="A1000" s="34" t="inlineStr">
        <is>
          <t>Barrido de la parte 4.3 x_b+T_sumidero · 30 puntos</t>
        </is>
      </c>
    </row>
    <row r="1001">
      <c r="A1001" s="25" t="inlineStr">
        <is>
          <t>Fijos en este barrido: T_sumidero = 300.03, x_b = 0.5.</t>
        </is>
      </c>
    </row>
    <row r="1002">
      <c r="A1002" s="22" t="inlineStr">
        <is>
          <t>id_punto</t>
        </is>
      </c>
      <c r="B1002" s="22" t="inlineStr">
        <is>
          <t>T_fuente [K]</t>
        </is>
      </c>
      <c r="C1002" s="22" t="inlineStr">
        <is>
          <t>P_alta [kPa]</t>
        </is>
      </c>
      <c r="D1002" s="22" t="inlineStr">
        <is>
          <t>P_baja [kPa]</t>
        </is>
      </c>
      <c r="E1002" s="22" t="inlineStr">
        <is>
          <t>η_t [–]</t>
        </is>
      </c>
      <c r="F1002" s="22" t="inlineStr">
        <is>
          <t>η_p [–]</t>
        </is>
      </c>
      <c r="G1002" s="22" t="inlineStr">
        <is>
          <t>ε_HRVG [–]</t>
        </is>
      </c>
      <c r="H1002" s="22" t="inlineStr">
        <is>
          <t>ε_reg [–]</t>
        </is>
      </c>
      <c r="I1002" s="22" t="inlineStr">
        <is>
          <t>ε_cond [–]</t>
        </is>
      </c>
      <c r="J1002" s="22" t="inlineStr">
        <is>
          <t>Clase</t>
        </is>
      </c>
      <c r="K1002" s="22" t="inlineStr">
        <is>
          <t>η [%]</t>
        </is>
      </c>
      <c r="L1002" s="22" t="inlineStr">
        <is>
          <t>W_net [kW] (m_b = 1 kg/s)</t>
        </is>
      </c>
      <c r="M1002" s="22" t="inlineStr">
        <is>
          <t>ΔP [kPa]</t>
        </is>
      </c>
      <c r="N1002" s="22" t="inlineStr">
        <is>
          <t>r_P [–]</t>
        </is>
      </c>
      <c r="O1002" s="22" t="inlineStr">
        <is>
          <t>Fuera de rango</t>
        </is>
      </c>
      <c r="P1002" s="22" t="inlineStr">
        <is>
          <t>Criterios que falla</t>
        </is>
      </c>
    </row>
    <row r="1003">
      <c r="A1003" s="16" t="inlineStr">
        <is>
          <t>KF-M09-R1-x_b+T_sumidero-0000</t>
        </is>
      </c>
      <c r="B1003" s="35" t="n">
        <v>383.8079906769507</v>
      </c>
      <c r="C1003" s="36" t="n">
        <v>2916.238370355099</v>
      </c>
      <c r="D1003" s="35" t="n">
        <v>854.7248215228601</v>
      </c>
      <c r="E1003" s="37" t="n">
        <v>0.6901515254263964</v>
      </c>
      <c r="F1003" s="37" t="n">
        <v>0.7566411340559633</v>
      </c>
      <c r="G1003" s="37" t="n">
        <v>0.7719830064123372</v>
      </c>
      <c r="H1003" s="37" t="n">
        <v>0.8859153694710569</v>
      </c>
      <c r="I1003" s="37" t="n">
        <v>0.6741151365683172</v>
      </c>
      <c r="J1003" s="38" t="inlineStr">
        <is>
          <t>Falso convergido</t>
        </is>
      </c>
      <c r="K1003" s="29" t="inlineStr">
        <is>
          <t>—</t>
        </is>
      </c>
      <c r="L1003" s="35" t="inlineStr">
        <is>
          <t>—</t>
        </is>
      </c>
      <c r="M1003" s="36" t="n">
        <v>2061.513548832239</v>
      </c>
      <c r="N1003" s="29" t="n">
        <v>3.411903219517186</v>
      </c>
      <c r="O1003" s="16" t="inlineStr">
        <is>
          <t>no</t>
        </is>
      </c>
      <c r="P1003" s="16" t="inlineStr">
        <is>
          <t>N2,O3,O5,C1,C3,C3</t>
        </is>
      </c>
    </row>
    <row r="1004">
      <c r="A1004" s="16" t="inlineStr">
        <is>
          <t>KF-M09-R1-x_b+T_sumidero-0001</t>
        </is>
      </c>
      <c r="B1004" s="35" t="n">
        <v>425.30278535011</v>
      </c>
      <c r="C1004" s="36" t="n">
        <v>4482.932498147942</v>
      </c>
      <c r="D1004" s="35" t="n">
        <v>1557.771828920858</v>
      </c>
      <c r="E1004" s="37" t="n">
        <v>0.6144673411479875</v>
      </c>
      <c r="F1004" s="37" t="n">
        <v>0.7297004554157839</v>
      </c>
      <c r="G1004" s="37" t="n">
        <v>0.4405025898255983</v>
      </c>
      <c r="H1004" s="37" t="n">
        <v>0.6426980686691028</v>
      </c>
      <c r="I1004" s="37" t="n">
        <v>0.6481077906964865</v>
      </c>
      <c r="J1004" s="40" t="inlineStr">
        <is>
          <t>Inviable</t>
        </is>
      </c>
      <c r="K1004" s="29" t="n">
        <v>-1.68602565410385</v>
      </c>
      <c r="L1004" s="35" t="n">
        <v>-3.065053590586171</v>
      </c>
      <c r="M1004" s="36" t="n">
        <v>2925.160669227084</v>
      </c>
      <c r="N1004" s="29" t="n">
        <v>2.877785061277865</v>
      </c>
      <c r="O1004" s="16" t="inlineStr">
        <is>
          <t>no</t>
        </is>
      </c>
      <c r="P1004" s="16" t="inlineStr">
        <is>
          <t>O3</t>
        </is>
      </c>
    </row>
    <row r="1005">
      <c r="A1005" s="16" t="inlineStr">
        <is>
          <t>KF-M09-R1-x_b+T_sumidero-0002</t>
        </is>
      </c>
      <c r="B1005" s="35" t="n">
        <v>483.6972328198878</v>
      </c>
      <c r="C1005" s="36" t="n">
        <v>4501.176548650125</v>
      </c>
      <c r="D1005" s="35" t="n">
        <v>946.5448935166784</v>
      </c>
      <c r="E1005" s="37" t="n">
        <v>0.9333271580941404</v>
      </c>
      <c r="F1005" s="37" t="n">
        <v>0.855395886014541</v>
      </c>
      <c r="G1005" s="37" t="n">
        <v>0.9260455005214132</v>
      </c>
      <c r="H1005" s="37" t="n">
        <v>0.6581638437743956</v>
      </c>
      <c r="I1005" s="37" t="n">
        <v>0.7450483476418783</v>
      </c>
      <c r="J1005" s="39" t="inlineStr">
        <is>
          <t>Corregible</t>
        </is>
      </c>
      <c r="K1005" s="29" t="n">
        <v>12.52201206672491</v>
      </c>
      <c r="L1005" s="35" t="n">
        <v>173.3966491212574</v>
      </c>
      <c r="M1005" s="36" t="n">
        <v>3554.631655133447</v>
      </c>
      <c r="N1005" s="29" t="n">
        <v>4.755375660975782</v>
      </c>
      <c r="O1005" s="16" t="inlineStr">
        <is>
          <t>sí</t>
        </is>
      </c>
      <c r="P1005" s="16" t="inlineStr">
        <is>
          <t>O1,O2</t>
        </is>
      </c>
    </row>
    <row r="1006">
      <c r="A1006" s="16" t="inlineStr">
        <is>
          <t>KF-M09-R1-x_b+T_sumidero-0003</t>
        </is>
      </c>
      <c r="B1006" s="35" t="n">
        <v>491.1331942070914</v>
      </c>
      <c r="C1006" s="36" t="n">
        <v>2246.165756883972</v>
      </c>
      <c r="D1006" s="35" t="n">
        <v>1167.92239588485</v>
      </c>
      <c r="E1006" s="37" t="n">
        <v>0.8430803914876676</v>
      </c>
      <c r="F1006" s="37" t="n">
        <v>0.5138976091732076</v>
      </c>
      <c r="G1006" s="37" t="n">
        <v>0.6447073910468324</v>
      </c>
      <c r="H1006" s="37" t="n">
        <v>0.8507611285603653</v>
      </c>
      <c r="I1006" s="37" t="n">
        <v>0.5019028840218888</v>
      </c>
      <c r="J1006" s="39" t="inlineStr">
        <is>
          <t>Corregible</t>
        </is>
      </c>
      <c r="K1006" s="29" t="n">
        <v>0.38656361718868</v>
      </c>
      <c r="L1006" s="35" t="n">
        <v>3.506071767815129</v>
      </c>
      <c r="M1006" s="36" t="n">
        <v>1078.243360999122</v>
      </c>
      <c r="N1006" s="29" t="n">
        <v>1.923214902632477</v>
      </c>
      <c r="O1006" s="16" t="inlineStr">
        <is>
          <t>sí</t>
        </is>
      </c>
      <c r="P1006" s="16" t="inlineStr">
        <is>
          <t>O2</t>
        </is>
      </c>
    </row>
    <row r="1007">
      <c r="A1007" s="16" t="inlineStr">
        <is>
          <t>KF-M09-R1-x_b+T_sumidero-0004</t>
        </is>
      </c>
      <c r="B1007" s="35" t="n">
        <v>390.1931772902353</v>
      </c>
      <c r="C1007" s="36" t="n">
        <v>2887.79739905441</v>
      </c>
      <c r="D1007" s="35" t="n">
        <v>1612.162423694701</v>
      </c>
      <c r="E1007" s="37" t="n">
        <v>0.798300631003218</v>
      </c>
      <c r="F1007" s="37" t="n">
        <v>0.6366465424109895</v>
      </c>
      <c r="G1007" s="37" t="n">
        <v>0.8487765247790813</v>
      </c>
      <c r="H1007" s="37" t="n">
        <v>0.5707245370279026</v>
      </c>
      <c r="I1007" s="37" t="n">
        <v>0.9270081039237308</v>
      </c>
      <c r="J1007" s="42" t="inlineStr">
        <is>
          <t>KALINA</t>
        </is>
      </c>
      <c r="K1007" s="29" t="n">
        <v>0.3847125224131399</v>
      </c>
      <c r="L1007" s="35" t="n">
        <v>0.909371743975626</v>
      </c>
      <c r="M1007" s="36" t="n">
        <v>1275.634975359709</v>
      </c>
      <c r="N1007" s="29" t="n">
        <v>1.79125710698321</v>
      </c>
      <c r="O1007" s="16" t="inlineStr">
        <is>
          <t>no</t>
        </is>
      </c>
      <c r="P1007" s="16" t="n"/>
    </row>
    <row r="1008">
      <c r="A1008" s="16" t="inlineStr">
        <is>
          <t>KF-M09-R1-x_b+T_sumidero-0005</t>
        </is>
      </c>
      <c r="B1008" s="35" t="n">
        <v>509.3162054836168</v>
      </c>
      <c r="C1008" s="36" t="n">
        <v>3713.78132028595</v>
      </c>
      <c r="D1008" s="35" t="n">
        <v>1518.859616816866</v>
      </c>
      <c r="E1008" s="37" t="n">
        <v>0.9036060495237472</v>
      </c>
      <c r="F1008" s="37" t="n">
        <v>0.6682594570166298</v>
      </c>
      <c r="G1008" s="37" t="n">
        <v>0.876918866131104</v>
      </c>
      <c r="H1008" s="37" t="n">
        <v>0.8672502927787392</v>
      </c>
      <c r="I1008" s="37" t="n">
        <v>0.6995712550525761</v>
      </c>
      <c r="J1008" s="39" t="inlineStr">
        <is>
          <t>Corregible</t>
        </is>
      </c>
      <c r="K1008" s="29" t="n">
        <v>6.61451810531764</v>
      </c>
      <c r="L1008" s="35" t="n">
        <v>101.1320726626065</v>
      </c>
      <c r="M1008" s="36" t="n">
        <v>2194.921703469084</v>
      </c>
      <c r="N1008" s="29" t="n">
        <v>2.445111634522925</v>
      </c>
      <c r="O1008" s="16" t="inlineStr">
        <is>
          <t>sí</t>
        </is>
      </c>
      <c r="P1008" s="16" t="inlineStr">
        <is>
          <t>O2</t>
        </is>
      </c>
    </row>
    <row r="1009">
      <c r="A1009" s="16" t="inlineStr">
        <is>
          <t>KF-M09-R1-x_b+T_sumidero-0006</t>
        </is>
      </c>
      <c r="B1009" s="35" t="n">
        <v>428.9465673673254</v>
      </c>
      <c r="C1009" s="36" t="n">
        <v>3274.463034061931</v>
      </c>
      <c r="D1009" s="35" t="n">
        <v>1662.220150683911</v>
      </c>
      <c r="E1009" s="37" t="n">
        <v>0.4835007506909732</v>
      </c>
      <c r="F1009" s="37" t="n">
        <v>0.8208184660824334</v>
      </c>
      <c r="G1009" s="37" t="n">
        <v>0.9499338266048316</v>
      </c>
      <c r="H1009" s="37" t="n">
        <v>0.9303516725739932</v>
      </c>
      <c r="I1009" s="37" t="n">
        <v>0.7693182354010928</v>
      </c>
      <c r="J1009" s="42" t="inlineStr">
        <is>
          <t>KALINA</t>
        </is>
      </c>
      <c r="K1009" s="29" t="n">
        <v>2.81711916035403</v>
      </c>
      <c r="L1009" s="35" t="n">
        <v>15.82289712804641</v>
      </c>
      <c r="M1009" s="36" t="n">
        <v>1612.24288337802</v>
      </c>
      <c r="N1009" s="29" t="n">
        <v>1.969933424711927</v>
      </c>
      <c r="O1009" s="16" t="inlineStr">
        <is>
          <t>sí</t>
        </is>
      </c>
      <c r="P1009" s="16" t="n"/>
    </row>
    <row r="1010">
      <c r="A1010" s="16" t="inlineStr">
        <is>
          <t>KF-M09-R1-x_b+T_sumidero-0007</t>
        </is>
      </c>
      <c r="B1010" s="35" t="n">
        <v>401.4700152944767</v>
      </c>
      <c r="C1010" s="36" t="n">
        <v>4845.135146864311</v>
      </c>
      <c r="D1010" s="35" t="n">
        <v>1006.498711971555</v>
      </c>
      <c r="E1010" s="37" t="n">
        <v>0.4267412560742682</v>
      </c>
      <c r="F1010" s="37" t="n">
        <v>0.4833398392466831</v>
      </c>
      <c r="G1010" s="37" t="n">
        <v>0.5883815025154642</v>
      </c>
      <c r="H1010" s="37" t="n">
        <v>0.5048962533925593</v>
      </c>
      <c r="I1010" s="37" t="n">
        <v>0.5145881898465203</v>
      </c>
      <c r="J1010" s="32" t="inlineStr">
        <is>
          <t>No convergió</t>
        </is>
      </c>
      <c r="K1010" s="29" t="inlineStr">
        <is>
          <t>—</t>
        </is>
      </c>
      <c r="L1010" s="35" t="inlineStr">
        <is>
          <t>—</t>
        </is>
      </c>
      <c r="M1010" s="36" t="n">
        <v>3838.636434892756</v>
      </c>
      <c r="N1010" s="29" t="n">
        <v>4.813851313702666</v>
      </c>
      <c r="O1010" s="16" t="inlineStr">
        <is>
          <t>no</t>
        </is>
      </c>
      <c r="P1010" s="16" t="n"/>
    </row>
    <row r="1011">
      <c r="A1011" s="16" t="inlineStr">
        <is>
          <t>KF-M09-R1-x_b+T_sumidero-0008</t>
        </is>
      </c>
      <c r="B1011" s="35" t="n">
        <v>473.156088339952</v>
      </c>
      <c r="C1011" s="36" t="n">
        <v>4342.455109838415</v>
      </c>
      <c r="D1011" s="35" t="n">
        <v>1789.442453228495</v>
      </c>
      <c r="E1011" s="37" t="n">
        <v>0.9277066400823656</v>
      </c>
      <c r="F1011" s="37" t="n">
        <v>0.9313994190736036</v>
      </c>
      <c r="G1011" s="37" t="n">
        <v>0.7383001067307378</v>
      </c>
      <c r="H1011" s="37" t="n">
        <v>0.4870422994198534</v>
      </c>
      <c r="I1011" s="37" t="n">
        <v>0.4148265181616574</v>
      </c>
      <c r="J1011" s="39" t="inlineStr">
        <is>
          <t>Corregible</t>
        </is>
      </c>
      <c r="K1011" s="29" t="n">
        <v>6.29285749026781</v>
      </c>
      <c r="L1011" s="35" t="n">
        <v>38.27827603631169</v>
      </c>
      <c r="M1011" s="36" t="n">
        <v>2553.012656609921</v>
      </c>
      <c r="N1011" s="29" t="n">
        <v>2.426708443182288</v>
      </c>
      <c r="O1011" s="16" t="inlineStr">
        <is>
          <t>sí</t>
        </is>
      </c>
      <c r="P1011" s="16" t="inlineStr">
        <is>
          <t>O2</t>
        </is>
      </c>
    </row>
    <row r="1012">
      <c r="A1012" s="16" t="inlineStr">
        <is>
          <t>KF-M09-R1-x_b+T_sumidero-0009</t>
        </is>
      </c>
      <c r="B1012" s="35" t="n">
        <v>519.7955651428274</v>
      </c>
      <c r="C1012" s="36" t="n">
        <v>3669.255029661136</v>
      </c>
      <c r="D1012" s="35" t="n">
        <v>440.5690512822786</v>
      </c>
      <c r="E1012" s="37" t="n">
        <v>0.7704292772712488</v>
      </c>
      <c r="F1012" s="37" t="n">
        <v>0.6795307087943074</v>
      </c>
      <c r="G1012" s="37" t="n">
        <v>0.4882929762612564</v>
      </c>
      <c r="H1012" s="37" t="n">
        <v>0.8132007058158253</v>
      </c>
      <c r="I1012" s="37" t="n">
        <v>0.5835036240316547</v>
      </c>
      <c r="J1012" s="39" t="inlineStr">
        <is>
          <t>Corregible</t>
        </is>
      </c>
      <c r="K1012" s="29" t="n">
        <v>7.407990171256849</v>
      </c>
      <c r="L1012" s="35" t="n">
        <v>61.78389386023463</v>
      </c>
      <c r="M1012" s="36" t="n">
        <v>3228.685978378858</v>
      </c>
      <c r="N1012" s="29" t="n">
        <v>8.328444812411925</v>
      </c>
      <c r="O1012" s="16" t="inlineStr">
        <is>
          <t>sí</t>
        </is>
      </c>
      <c r="P1012" s="16" t="inlineStr">
        <is>
          <t>O2</t>
        </is>
      </c>
    </row>
    <row r="1013">
      <c r="A1013" s="16" t="inlineStr">
        <is>
          <t>KF-M09-R1-x_b+T_sumidero-0010</t>
        </is>
      </c>
      <c r="B1013" s="35" t="n">
        <v>396.9924424433893</v>
      </c>
      <c r="C1013" s="36" t="n">
        <v>2760.815241782754</v>
      </c>
      <c r="D1013" s="35" t="n">
        <v>522.4839762936363</v>
      </c>
      <c r="E1013" s="37" t="n">
        <v>0.5785882590837536</v>
      </c>
      <c r="F1013" s="37" t="n">
        <v>0.5500611900497139</v>
      </c>
      <c r="G1013" s="37" t="n">
        <v>0.6137697174247638</v>
      </c>
      <c r="H1013" s="37" t="n">
        <v>0.5241400397999531</v>
      </c>
      <c r="I1013" s="37" t="n">
        <v>0.8928527238877559</v>
      </c>
      <c r="J1013" s="42" t="inlineStr">
        <is>
          <t>KALINA</t>
        </is>
      </c>
      <c r="K1013" s="29" t="n">
        <v>1.27238147667425</v>
      </c>
      <c r="L1013" s="35" t="n">
        <v>3.334265542832602</v>
      </c>
      <c r="M1013" s="36" t="n">
        <v>2238.331265489117</v>
      </c>
      <c r="N1013" s="29" t="n">
        <v>5.284018969093081</v>
      </c>
      <c r="O1013" s="16" t="inlineStr">
        <is>
          <t>no</t>
        </is>
      </c>
      <c r="P1013" s="16" t="n"/>
    </row>
    <row r="1014">
      <c r="A1014" s="16" t="inlineStr">
        <is>
          <t>KF-M09-R1-x_b+T_sumidero-0011</t>
        </is>
      </c>
      <c r="B1014" s="35" t="n">
        <v>476.6552073436662</v>
      </c>
      <c r="C1014" s="36" t="n">
        <v>2196.411286527953</v>
      </c>
      <c r="D1014" s="35" t="n">
        <v>544.0661390838823</v>
      </c>
      <c r="E1014" s="37" t="n">
        <v>0.5999054530049659</v>
      </c>
      <c r="F1014" s="37" t="n">
        <v>0.4137812335925683</v>
      </c>
      <c r="G1014" s="37" t="n">
        <v>0.5530550882077215</v>
      </c>
      <c r="H1014" s="37" t="n">
        <v>0.7221458438474049</v>
      </c>
      <c r="I1014" s="37" t="n">
        <v>0.477607293170716</v>
      </c>
      <c r="J1014" s="40" t="inlineStr">
        <is>
          <t>Inviable</t>
        </is>
      </c>
      <c r="K1014" s="29" t="n">
        <v>-15.74773422853185</v>
      </c>
      <c r="L1014" s="35" t="n">
        <v>-109.1625136328259</v>
      </c>
      <c r="M1014" s="36" t="n">
        <v>1652.34514744407</v>
      </c>
      <c r="N1014" s="29" t="n">
        <v>4.037029928431767</v>
      </c>
      <c r="O1014" s="16" t="inlineStr">
        <is>
          <t>sí</t>
        </is>
      </c>
      <c r="P1014" s="16" t="inlineStr">
        <is>
          <t>O2,O3</t>
        </is>
      </c>
    </row>
    <row r="1015">
      <c r="A1015" s="16" t="inlineStr">
        <is>
          <t>KF-M09-R1-x_b+T_sumidero-0012</t>
        </is>
      </c>
      <c r="B1015" s="35" t="n">
        <v>496.3873941663754</v>
      </c>
      <c r="C1015" s="36" t="n">
        <v>4210.502679154588</v>
      </c>
      <c r="D1015" s="35" t="n">
        <v>1280.724750375305</v>
      </c>
      <c r="E1015" s="37" t="n">
        <v>0.8659210882355555</v>
      </c>
      <c r="F1015" s="37" t="n">
        <v>0.4279122184338478</v>
      </c>
      <c r="G1015" s="37" t="n">
        <v>0.6788068759337641</v>
      </c>
      <c r="H1015" s="37" t="n">
        <v>0.6109141371904161</v>
      </c>
      <c r="I1015" s="37" t="n">
        <v>0.9041869519695483</v>
      </c>
      <c r="J1015" s="42" t="inlineStr">
        <is>
          <t>KALINA</t>
        </is>
      </c>
      <c r="K1015" s="29" t="n">
        <v>8.036257890449521</v>
      </c>
      <c r="L1015" s="35" t="n">
        <v>113.0615173473832</v>
      </c>
      <c r="M1015" s="36" t="n">
        <v>2929.777928779283</v>
      </c>
      <c r="N1015" s="29" t="n">
        <v>3.287593745588767</v>
      </c>
      <c r="O1015" s="16" t="inlineStr">
        <is>
          <t>sí</t>
        </is>
      </c>
      <c r="P1015" s="16" t="n"/>
    </row>
    <row r="1016">
      <c r="A1016" s="16" t="inlineStr">
        <is>
          <t>KF-M09-R1-x_b+T_sumidero-0013</t>
        </is>
      </c>
      <c r="B1016" s="35" t="n">
        <v>445.0899016564941</v>
      </c>
      <c r="C1016" s="36" t="n">
        <v>3990.481090263972</v>
      </c>
      <c r="D1016" s="35" t="n">
        <v>1410.358458684606</v>
      </c>
      <c r="E1016" s="37" t="n">
        <v>0.5048445098417662</v>
      </c>
      <c r="F1016" s="37" t="n">
        <v>0.7719547449760928</v>
      </c>
      <c r="G1016" s="37" t="n">
        <v>0.5140668837599788</v>
      </c>
      <c r="H1016" s="37" t="n">
        <v>0.5394950696827576</v>
      </c>
      <c r="I1016" s="37" t="n">
        <v>0.8278785712052065</v>
      </c>
      <c r="J1016" s="42" t="inlineStr">
        <is>
          <t>KALINA</t>
        </is>
      </c>
      <c r="K1016" s="29" t="n">
        <v>2.15492378517039</v>
      </c>
      <c r="L1016" s="35" t="n">
        <v>9.587587516305554</v>
      </c>
      <c r="M1016" s="36" t="n">
        <v>2580.122631579366</v>
      </c>
      <c r="N1016" s="29" t="n">
        <v>2.829409123398147</v>
      </c>
      <c r="O1016" s="16" t="inlineStr">
        <is>
          <t>no</t>
        </is>
      </c>
      <c r="P1016" s="16" t="n"/>
    </row>
    <row r="1017">
      <c r="A1017" s="16" t="inlineStr">
        <is>
          <t>KF-M09-R1-x_b+T_sumidero-0014</t>
        </is>
      </c>
      <c r="B1017" s="35" t="n">
        <v>414.8387292290702</v>
      </c>
      <c r="C1017" s="36" t="n">
        <v>2695.387689718927</v>
      </c>
      <c r="D1017" s="35" t="n">
        <v>1143.639288864886</v>
      </c>
      <c r="E1017" s="37" t="n">
        <v>0.5249847976223784</v>
      </c>
      <c r="F1017" s="37" t="n">
        <v>0.6400117665635683</v>
      </c>
      <c r="G1017" s="37" t="n">
        <v>0.4689131807982173</v>
      </c>
      <c r="H1017" s="37" t="n">
        <v>0.7580757413296602</v>
      </c>
      <c r="I1017" s="37" t="n">
        <v>0.5670567556660446</v>
      </c>
      <c r="J1017" s="39" t="inlineStr">
        <is>
          <t>Corregible</t>
        </is>
      </c>
      <c r="K1017" s="29" t="n">
        <v>2.80119270490943</v>
      </c>
      <c r="L1017" s="35" t="n">
        <v>7.398889517881566</v>
      </c>
      <c r="M1017" s="36" t="n">
        <v>1551.748400854041</v>
      </c>
      <c r="N1017" s="29" t="n">
        <v>2.356851251931212</v>
      </c>
      <c r="O1017" s="16" t="inlineStr">
        <is>
          <t>no</t>
        </is>
      </c>
      <c r="P1017" s="16" t="inlineStr">
        <is>
          <t>O2</t>
        </is>
      </c>
    </row>
    <row r="1018">
      <c r="A1018" s="16" t="inlineStr">
        <is>
          <t>KF-M09-R1-x_b+T_sumidero-0015</t>
        </is>
      </c>
      <c r="B1018" s="35" t="n">
        <v>432.2499076872291</v>
      </c>
      <c r="C1018" s="36" t="n">
        <v>2423.954369101593</v>
      </c>
      <c r="D1018" s="35" t="n">
        <v>734.8909794561439</v>
      </c>
      <c r="E1018" s="37" t="n">
        <v>0.8050549994229316</v>
      </c>
      <c r="F1018" s="37" t="n">
        <v>0.4672072082978289</v>
      </c>
      <c r="G1018" s="37" t="n">
        <v>0.714065295106538</v>
      </c>
      <c r="H1018" s="37" t="n">
        <v>0.7915656730913605</v>
      </c>
      <c r="I1018" s="37" t="n">
        <v>0.8708852872693518</v>
      </c>
      <c r="J1018" s="42" t="inlineStr">
        <is>
          <t>KALINA</t>
        </is>
      </c>
      <c r="K1018" s="29" t="n">
        <v>7.747058997255871</v>
      </c>
      <c r="L1018" s="35" t="n">
        <v>53.76664543363297</v>
      </c>
      <c r="M1018" s="36" t="n">
        <v>1689.063389645449</v>
      </c>
      <c r="N1018" s="29" t="n">
        <v>3.298386341461751</v>
      </c>
      <c r="O1018" s="16" t="inlineStr">
        <is>
          <t>no</t>
        </is>
      </c>
      <c r="P1018" s="16" t="n"/>
    </row>
    <row r="1019">
      <c r="A1019" s="16" t="inlineStr">
        <is>
          <t>KF-M09-R1-x_b+T_sumidero-0016</t>
        </is>
      </c>
      <c r="B1019" s="35" t="n">
        <v>386.7185884231602</v>
      </c>
      <c r="C1019" s="36" t="n">
        <v>3027.925706310089</v>
      </c>
      <c r="D1019" s="35" t="n">
        <v>1465.157564017887</v>
      </c>
      <c r="E1019" s="37" t="n">
        <v>0.7041006194044714</v>
      </c>
      <c r="F1019" s="37" t="n">
        <v>0.8983827581451518</v>
      </c>
      <c r="G1019" s="37" t="n">
        <v>0.5816037631971903</v>
      </c>
      <c r="H1019" s="37" t="n">
        <v>0.7375766178961789</v>
      </c>
      <c r="I1019" s="37" t="n">
        <v>0.7544552131196958</v>
      </c>
      <c r="J1019" s="38" t="inlineStr">
        <is>
          <t>Falso convergido</t>
        </is>
      </c>
      <c r="K1019" s="29" t="inlineStr">
        <is>
          <t>—</t>
        </is>
      </c>
      <c r="L1019" s="35" t="inlineStr">
        <is>
          <t>—</t>
        </is>
      </c>
      <c r="M1019" s="36" t="n">
        <v>1562.768142292202</v>
      </c>
      <c r="N1019" s="29" t="n">
        <v>2.066621215814249</v>
      </c>
      <c r="O1019" s="16" t="inlineStr">
        <is>
          <t>no</t>
        </is>
      </c>
      <c r="P1019" s="16" t="inlineStr">
        <is>
          <t>N2,S6,O3,O5,C1,C3,C3</t>
        </is>
      </c>
    </row>
    <row r="1020">
      <c r="A1020" s="16" t="inlineStr">
        <is>
          <t>KF-M09-R1-x_b+T_sumidero-0017</t>
        </is>
      </c>
      <c r="B1020" s="35" t="n">
        <v>514.1715305351072</v>
      </c>
      <c r="C1020" s="36" t="n">
        <v>2399.921365754267</v>
      </c>
      <c r="D1020" s="35" t="n">
        <v>588.7545238103368</v>
      </c>
      <c r="E1020" s="37" t="n">
        <v>0.4019112814426832</v>
      </c>
      <c r="F1020" s="37" t="n">
        <v>0.7020607371528425</v>
      </c>
      <c r="G1020" s="37" t="n">
        <v>0.8308974121241348</v>
      </c>
      <c r="H1020" s="37" t="n">
        <v>0.8329136338234655</v>
      </c>
      <c r="I1020" s="37" t="n">
        <v>0.6811112589832107</v>
      </c>
      <c r="J1020" s="39" t="inlineStr">
        <is>
          <t>Corregible</t>
        </is>
      </c>
      <c r="K1020" s="29" t="n">
        <v>0.3993147430190299</v>
      </c>
      <c r="L1020" s="35" t="n">
        <v>5.654228621543851</v>
      </c>
      <c r="M1020" s="36" t="n">
        <v>1811.16684194393</v>
      </c>
      <c r="N1020" s="29" t="n">
        <v>4.076268238623989</v>
      </c>
      <c r="O1020" s="16" t="inlineStr">
        <is>
          <t>sí</t>
        </is>
      </c>
      <c r="P1020" s="16" t="inlineStr">
        <is>
          <t>O2</t>
        </is>
      </c>
    </row>
    <row r="1021">
      <c r="A1021" s="16" t="inlineStr">
        <is>
          <t>KF-M09-R1-x_b+T_sumidero-0018</t>
        </is>
      </c>
      <c r="B1021" s="35" t="n">
        <v>463.839625458037</v>
      </c>
      <c r="C1021" s="36" t="n">
        <v>4609.528337114913</v>
      </c>
      <c r="D1021" s="35" t="n">
        <v>652.1490721916679</v>
      </c>
      <c r="E1021" s="37" t="n">
        <v>0.7449172257226566</v>
      </c>
      <c r="F1021" s="37" t="n">
        <v>0.4489443323207897</v>
      </c>
      <c r="G1021" s="37" t="n">
        <v>0.7948964941377547</v>
      </c>
      <c r="H1021" s="37" t="n">
        <v>0.6980652537723118</v>
      </c>
      <c r="I1021" s="37" t="n">
        <v>0.8214299447328003</v>
      </c>
      <c r="J1021" s="39" t="inlineStr">
        <is>
          <t>Corregible</t>
        </is>
      </c>
      <c r="K1021" s="29" t="n">
        <v>10.24081208480578</v>
      </c>
      <c r="L1021" s="35" t="n">
        <v>82.07770168401315</v>
      </c>
      <c r="M1021" s="36" t="n">
        <v>3957.379264923245</v>
      </c>
      <c r="N1021" s="29" t="n">
        <v>7.068212673559034</v>
      </c>
      <c r="O1021" s="16" t="inlineStr">
        <is>
          <t>sí</t>
        </is>
      </c>
      <c r="P1021" s="16" t="inlineStr">
        <is>
          <t>O2</t>
        </is>
      </c>
    </row>
    <row r="1022">
      <c r="A1022" s="16" t="inlineStr">
        <is>
          <t>KF-M09-R1-x_b+T_sumidero-0019</t>
        </is>
      </c>
      <c r="B1022" s="35" t="n">
        <v>405.2048620283962</v>
      </c>
      <c r="C1022" s="36" t="n">
        <v>4193.894287291192</v>
      </c>
      <c r="D1022" s="35" t="n">
        <v>911.6364087987172</v>
      </c>
      <c r="E1022" s="37" t="n">
        <v>0.6488498151051429</v>
      </c>
      <c r="F1022" s="37" t="n">
        <v>0.859573555575357</v>
      </c>
      <c r="G1022" s="37" t="n">
        <v>0.4173689344063069</v>
      </c>
      <c r="H1022" s="37" t="n">
        <v>0.9034434475437264</v>
      </c>
      <c r="I1022" s="37" t="n">
        <v>0.4326383640930772</v>
      </c>
      <c r="J1022" s="32" t="inlineStr">
        <is>
          <t>No convergió</t>
        </is>
      </c>
      <c r="K1022" s="29" t="inlineStr">
        <is>
          <t>—</t>
        </is>
      </c>
      <c r="L1022" s="35" t="inlineStr">
        <is>
          <t>—</t>
        </is>
      </c>
      <c r="M1022" s="36" t="n">
        <v>3282.257878492475</v>
      </c>
      <c r="N1022" s="29" t="n">
        <v>4.600402360868382</v>
      </c>
      <c r="O1022" s="16" t="inlineStr">
        <is>
          <t>no</t>
        </is>
      </c>
      <c r="P1022" s="16" t="n"/>
    </row>
    <row r="1023">
      <c r="A1023" s="16" t="inlineStr">
        <is>
          <t>KF-M09-R1-x_b+T_sumidero-0020</t>
        </is>
      </c>
      <c r="B1023" s="35" t="n">
        <v>479.1281237434628</v>
      </c>
      <c r="C1023" s="36" t="n">
        <v>4736.173124654795</v>
      </c>
      <c r="D1023" s="35" t="n">
        <v>1328.232405360023</v>
      </c>
      <c r="E1023" s="37" t="n">
        <v>0.8334557602211837</v>
      </c>
      <c r="F1023" s="37" t="n">
        <v>0.5322526614903921</v>
      </c>
      <c r="G1023" s="37" t="n">
        <v>0.9095414286009952</v>
      </c>
      <c r="H1023" s="37" t="n">
        <v>0.4121055275486148</v>
      </c>
      <c r="I1023" s="37" t="n">
        <v>0.7193812974322644</v>
      </c>
      <c r="J1023" s="39" t="inlineStr">
        <is>
          <t>Corregible</t>
        </is>
      </c>
      <c r="K1023" s="29" t="n">
        <v>8.23362297526379</v>
      </c>
      <c r="L1023" s="35" t="n">
        <v>95.05672207330484</v>
      </c>
      <c r="M1023" s="36" t="n">
        <v>3407.940719294772</v>
      </c>
      <c r="N1023" s="29" t="n">
        <v>3.565771400804692</v>
      </c>
      <c r="O1023" s="16" t="inlineStr">
        <is>
          <t>sí</t>
        </is>
      </c>
      <c r="P1023" s="16" t="inlineStr">
        <is>
          <t>O2</t>
        </is>
      </c>
    </row>
    <row r="1024">
      <c r="A1024" s="16" t="inlineStr">
        <is>
          <t>KF-M09-R1-x_b+T_sumidero-0021</t>
        </is>
      </c>
      <c r="B1024" s="35" t="n">
        <v>465.8492941682681</v>
      </c>
      <c r="C1024" s="36" t="n">
        <v>4027.286821825844</v>
      </c>
      <c r="D1024" s="35" t="n">
        <v>1239.817852048176</v>
      </c>
      <c r="E1024" s="37" t="n">
        <v>0.6594359575483113</v>
      </c>
      <c r="F1024" s="37" t="n">
        <v>0.8838355745531539</v>
      </c>
      <c r="G1024" s="37" t="n">
        <v>0.4285422628624</v>
      </c>
      <c r="H1024" s="37" t="n">
        <v>0.4382023354384995</v>
      </c>
      <c r="I1024" s="37" t="n">
        <v>0.5600376462870599</v>
      </c>
      <c r="J1024" s="39" t="inlineStr">
        <is>
          <t>Corregible</t>
        </is>
      </c>
      <c r="K1024" s="29" t="n">
        <v>4.97677205531631</v>
      </c>
      <c r="L1024" s="35" t="n">
        <v>24.38104064088837</v>
      </c>
      <c r="M1024" s="36" t="n">
        <v>2787.468969777668</v>
      </c>
      <c r="N1024" s="29" t="n">
        <v>3.248289105672076</v>
      </c>
      <c r="O1024" s="16" t="inlineStr">
        <is>
          <t>sí</t>
        </is>
      </c>
      <c r="P1024" s="16" t="inlineStr">
        <is>
          <t>O2</t>
        </is>
      </c>
    </row>
    <row r="1025">
      <c r="A1025" s="16" t="inlineStr">
        <is>
          <t>KF-M09-R1-x_b+T_sumidero-0022</t>
        </is>
      </c>
      <c r="B1025" s="35" t="n">
        <v>505.0213738446841</v>
      </c>
      <c r="C1025" s="36" t="n">
        <v>3143.6630470106</v>
      </c>
      <c r="D1025" s="35" t="n">
        <v>1921.671077431561</v>
      </c>
      <c r="E1025" s="37" t="n">
        <v>0.5567102615266781</v>
      </c>
      <c r="F1025" s="37" t="n">
        <v>0.6028022155129831</v>
      </c>
      <c r="G1025" s="37" t="n">
        <v>0.8666888617922769</v>
      </c>
      <c r="H1025" s="37" t="n">
        <v>0.463009092598639</v>
      </c>
      <c r="I1025" s="37" t="n">
        <v>0.4570367726856643</v>
      </c>
      <c r="J1025" s="40" t="inlineStr">
        <is>
          <t>Inviable</t>
        </is>
      </c>
      <c r="K1025" s="29" t="n">
        <v>-1.94583577703195</v>
      </c>
      <c r="L1025" s="35" t="n">
        <v>-19.33531090020372</v>
      </c>
      <c r="M1025" s="36" t="n">
        <v>1221.991969579039</v>
      </c>
      <c r="N1025" s="29" t="n">
        <v>1.635900692855466</v>
      </c>
      <c r="O1025" s="16" t="inlineStr">
        <is>
          <t>sí</t>
        </is>
      </c>
      <c r="P1025" s="16" t="inlineStr">
        <is>
          <t>O2,O3</t>
        </is>
      </c>
    </row>
    <row r="1026">
      <c r="A1026" s="16" t="inlineStr">
        <is>
          <t>KF-M09-R1-x_b+T_sumidero-0023</t>
        </is>
      </c>
      <c r="B1026" s="35" t="n">
        <v>439.9721645001849</v>
      </c>
      <c r="C1026" s="36" t="n">
        <v>3551.840942901951</v>
      </c>
      <c r="D1026" s="35" t="n">
        <v>753.4128093383404</v>
      </c>
      <c r="E1026" s="37" t="n">
        <v>0.7179095827394297</v>
      </c>
      <c r="F1026" s="37" t="n">
        <v>0.8310086306523861</v>
      </c>
      <c r="G1026" s="37" t="n">
        <v>0.7030283734308849</v>
      </c>
      <c r="H1026" s="37" t="n">
        <v>0.6374297725053633</v>
      </c>
      <c r="I1026" s="37" t="n">
        <v>0.5452499539246095</v>
      </c>
      <c r="J1026" s="39" t="inlineStr">
        <is>
          <t>Corregible</t>
        </is>
      </c>
      <c r="K1026" s="29" t="n">
        <v>6.43885449826832</v>
      </c>
      <c r="L1026" s="35" t="n">
        <v>30.43580837239996</v>
      </c>
      <c r="M1026" s="36" t="n">
        <v>2798.428133563611</v>
      </c>
      <c r="N1026" s="29" t="n">
        <v>4.714335751765671</v>
      </c>
      <c r="O1026" s="16" t="inlineStr">
        <is>
          <t>sí</t>
        </is>
      </c>
      <c r="P1026" s="16" t="inlineStr">
        <is>
          <t>O2</t>
        </is>
      </c>
    </row>
    <row r="1027">
      <c r="A1027" s="16" t="inlineStr">
        <is>
          <t>KF-M09-R1-x_b+T_sumidero-0024</t>
        </is>
      </c>
      <c r="B1027" s="35" t="n">
        <v>408.7935648182696</v>
      </c>
      <c r="C1027" s="36" t="n">
        <v>2083.429315444373</v>
      </c>
      <c r="D1027" s="35" t="n">
        <v>1038.825391615323</v>
      </c>
      <c r="E1027" s="37" t="n">
        <v>0.4717513499121795</v>
      </c>
      <c r="F1027" s="37" t="n">
        <v>0.7881930269731775</v>
      </c>
      <c r="G1027" s="37" t="n">
        <v>0.6634752951497732</v>
      </c>
      <c r="H1027" s="37" t="n">
        <v>0.4339408780896381</v>
      </c>
      <c r="I1027" s="37" t="n">
        <v>0.44848603243342</v>
      </c>
      <c r="J1027" s="40" t="inlineStr">
        <is>
          <t>Inviable</t>
        </is>
      </c>
      <c r="K1027" s="29" t="n">
        <v>-0.40063422208795</v>
      </c>
      <c r="L1027" s="35" t="n">
        <v>-1.345014424081565</v>
      </c>
      <c r="M1027" s="36" t="n">
        <v>1044.60392382905</v>
      </c>
      <c r="N1027" s="29" t="n">
        <v>2.005562563507176</v>
      </c>
      <c r="O1027" s="16" t="inlineStr">
        <is>
          <t>no</t>
        </is>
      </c>
      <c r="P1027" s="16" t="inlineStr">
        <is>
          <t>O2,O3</t>
        </is>
      </c>
    </row>
    <row r="1028">
      <c r="A1028" s="16" t="inlineStr">
        <is>
          <t>KF-M09-R1-x_b+T_sumidero-0025</t>
        </is>
      </c>
      <c r="B1028" s="35" t="n">
        <v>445.9590813633495</v>
      </c>
      <c r="C1028" s="36" t="n">
        <v>4923.780439274243</v>
      </c>
      <c r="D1028" s="35" t="n">
        <v>1833.74756282359</v>
      </c>
      <c r="E1028" s="37" t="n">
        <v>0.4485425677418379</v>
      </c>
      <c r="F1028" s="37" t="n">
        <v>0.5855915573977087</v>
      </c>
      <c r="G1028" s="37" t="n">
        <v>0.6292305190871377</v>
      </c>
      <c r="H1028" s="37" t="n">
        <v>0.931980190671192</v>
      </c>
      <c r="I1028" s="37" t="n">
        <v>0.6138772463938709</v>
      </c>
      <c r="J1028" s="42" t="inlineStr">
        <is>
          <t>KALINA</t>
        </is>
      </c>
      <c r="K1028" s="29" t="n">
        <v>2.22412147510048</v>
      </c>
      <c r="L1028" s="35" t="n">
        <v>7.02949438949282</v>
      </c>
      <c r="M1028" s="36" t="n">
        <v>3090.032876450652</v>
      </c>
      <c r="N1028" s="29" t="n">
        <v>2.685091742776549</v>
      </c>
      <c r="O1028" s="16" t="inlineStr">
        <is>
          <t>sí</t>
        </is>
      </c>
      <c r="P1028" s="16" t="n"/>
    </row>
    <row r="1029">
      <c r="A1029" s="16" t="inlineStr">
        <is>
          <t>KF-M09-R1-x_b+T_sumidero-0026</t>
        </is>
      </c>
      <c r="B1029" s="35" t="n">
        <v>454.1456814222392</v>
      </c>
      <c r="C1029" s="36" t="n">
        <v>3350.671771919248</v>
      </c>
      <c r="D1029" s="35" t="n">
        <v>1729.406777851075</v>
      </c>
      <c r="E1029" s="37" t="n">
        <v>0.7565010349145349</v>
      </c>
      <c r="F1029" s="37" t="n">
        <v>0.9412853520392614</v>
      </c>
      <c r="G1029" s="37" t="n">
        <v>0.5308631870638131</v>
      </c>
      <c r="H1029" s="37" t="n">
        <v>0.5558038023364993</v>
      </c>
      <c r="I1029" s="37" t="n">
        <v>0.8431732954806015</v>
      </c>
      <c r="J1029" s="42" t="inlineStr">
        <is>
          <t>KALINA</t>
        </is>
      </c>
      <c r="K1029" s="29" t="n">
        <v>3.530089285596</v>
      </c>
      <c r="L1029" s="35" t="n">
        <v>22.52215576815713</v>
      </c>
      <c r="M1029" s="36" t="n">
        <v>1621.264994068173</v>
      </c>
      <c r="N1029" s="29" t="n">
        <v>1.937468856276095</v>
      </c>
      <c r="O1029" s="16" t="inlineStr">
        <is>
          <t>sí</t>
        </is>
      </c>
      <c r="P1029" s="16" t="n"/>
    </row>
    <row r="1030">
      <c r="A1030" s="16" t="inlineStr">
        <is>
          <t>KF-M09-R1-x_b+T_sumidero-0027</t>
        </is>
      </c>
      <c r="B1030" s="35" t="n">
        <v>455.8151190722483</v>
      </c>
      <c r="C1030" s="36" t="n">
        <v>3435.191541626027</v>
      </c>
      <c r="D1030" s="35" t="n">
        <v>365.9291792650892</v>
      </c>
      <c r="E1030" s="37" t="n">
        <v>0.8800398456138967</v>
      </c>
      <c r="F1030" s="37" t="n">
        <v>0.5758803508664883</v>
      </c>
      <c r="G1030" s="37" t="n">
        <v>0.7549870564502046</v>
      </c>
      <c r="H1030" s="37" t="n">
        <v>0.6824486014085479</v>
      </c>
      <c r="I1030" s="37" t="n">
        <v>0.935608957607422</v>
      </c>
      <c r="J1030" s="39" t="inlineStr">
        <is>
          <t>Corregible</t>
        </is>
      </c>
      <c r="K1030" s="29" t="n">
        <v>14.19694758617629</v>
      </c>
      <c r="L1030" s="35" t="n">
        <v>131.1466421610829</v>
      </c>
      <c r="M1030" s="36" t="n">
        <v>3069.262362360938</v>
      </c>
      <c r="N1030" s="29" t="n">
        <v>9.387585730454909</v>
      </c>
      <c r="O1030" s="16" t="inlineStr">
        <is>
          <t>sí</t>
        </is>
      </c>
      <c r="P1030" s="16" t="inlineStr">
        <is>
          <t>O1,O2</t>
        </is>
      </c>
    </row>
    <row r="1031">
      <c r="A1031" s="16" t="inlineStr">
        <is>
          <t>KF-M09-R1-x_b+T_sumidero-0028</t>
        </is>
      </c>
      <c r="B1031" s="35" t="n">
        <v>417.828525967419</v>
      </c>
      <c r="C1031" s="36" t="n">
        <v>2525.130236666977</v>
      </c>
      <c r="D1031" s="35" t="n">
        <v>1972.60965678394</v>
      </c>
      <c r="E1031" s="37" t="n">
        <v>0.536536464166854</v>
      </c>
      <c r="F1031" s="37" t="n">
        <v>0.7458185861411932</v>
      </c>
      <c r="G1031" s="37" t="n">
        <v>0.503649398418245</v>
      </c>
      <c r="H1031" s="37" t="n">
        <v>0.7812513150731676</v>
      </c>
      <c r="I1031" s="37" t="n">
        <v>0.8007519606771378</v>
      </c>
      <c r="J1031" s="42" t="inlineStr">
        <is>
          <t>KALINA</t>
        </is>
      </c>
      <c r="K1031" s="29" t="n">
        <v>0.85884050525804</v>
      </c>
      <c r="L1031" s="35" t="n">
        <v>2.979897621969682</v>
      </c>
      <c r="M1031" s="36" t="n">
        <v>552.5205798830366</v>
      </c>
      <c r="N1031" s="29" t="n">
        <v>1.280096256237457</v>
      </c>
      <c r="O1031" s="16" t="inlineStr">
        <is>
          <t>no</t>
        </is>
      </c>
      <c r="P1031" s="16" t="n"/>
    </row>
    <row r="1032">
      <c r="A1032" s="16" t="inlineStr">
        <is>
          <t>KF-M09-R1-x_b+T_sumidero-0029</t>
        </is>
      </c>
      <c r="B1032" s="35" t="n">
        <v>498.9484174955131</v>
      </c>
      <c r="C1032" s="36" t="n">
        <v>3851.045000982725</v>
      </c>
      <c r="D1032" s="35" t="n">
        <v>312.4090999729699</v>
      </c>
      <c r="E1032" s="37" t="n">
        <v>0.6242769138645917</v>
      </c>
      <c r="F1032" s="37" t="n">
        <v>0.5014731372236573</v>
      </c>
      <c r="G1032" s="37" t="n">
        <v>0.8047124106437644</v>
      </c>
      <c r="H1032" s="37" t="n">
        <v>0.5922414710742944</v>
      </c>
      <c r="I1032" s="37" t="n">
        <v>0.6350945631853294</v>
      </c>
      <c r="J1032" s="40" t="inlineStr">
        <is>
          <t>Inviable</t>
        </is>
      </c>
      <c r="K1032" s="29" t="n">
        <v>-2.03562855617244</v>
      </c>
      <c r="L1032" s="35" t="n">
        <v>-22.82931617457794</v>
      </c>
      <c r="M1032" s="36" t="n">
        <v>3538.635901009756</v>
      </c>
      <c r="N1032" s="29" t="n">
        <v>12.3269296615109</v>
      </c>
      <c r="O1032" s="16" t="inlineStr">
        <is>
          <t>sí</t>
        </is>
      </c>
      <c r="P1032" s="16" t="inlineStr">
        <is>
          <t>O2,O3</t>
        </is>
      </c>
    </row>
    <row r="1034">
      <c r="A1034" s="33" t="inlineStr">
        <is>
          <t>Parte 4.3 x_b+eficiencias · ronda 1 · 30 puntos</t>
        </is>
      </c>
      <c r="B1034" s="31" t="n"/>
      <c r="C1034" s="31" t="n"/>
      <c r="D1034" s="31" t="n"/>
      <c r="E1034" s="31" t="n"/>
      <c r="F1034" s="31" t="n"/>
      <c r="G1034" s="31" t="n"/>
      <c r="H1034" s="31" t="n"/>
      <c r="I1034" s="31" t="n"/>
      <c r="J1034" s="31" t="n"/>
      <c r="K1034" s="31" t="n"/>
    </row>
    <row r="1036">
      <c r="A1036" s="34" t="inlineStr">
        <is>
          <t>Barrido de la parte 4.3 x_b+eficiencias · 30 puntos</t>
        </is>
      </c>
    </row>
    <row r="1037">
      <c r="A1037" s="25" t="inlineStr">
        <is>
          <t>Fijos en este barrido: x_b = 0.5, η_t = 0.85, η_p = 0.75, ε_HRVG = 0.85, ε_reg = 0.75, ε_cond = 0.8.</t>
        </is>
      </c>
    </row>
    <row r="1038">
      <c r="A1038" s="22" t="inlineStr">
        <is>
          <t>id_punto</t>
        </is>
      </c>
      <c r="B1038" s="22" t="inlineStr">
        <is>
          <t>T_fuente [K]</t>
        </is>
      </c>
      <c r="C1038" s="22" t="inlineStr">
        <is>
          <t>T_sumidero [K]</t>
        </is>
      </c>
      <c r="D1038" s="22" t="inlineStr">
        <is>
          <t>P_alta [kPa]</t>
        </is>
      </c>
      <c r="E1038" s="22" t="inlineStr">
        <is>
          <t>P_baja [kPa]</t>
        </is>
      </c>
      <c r="F1038" s="22" t="inlineStr">
        <is>
          <t>Clase</t>
        </is>
      </c>
      <c r="G1038" s="22" t="inlineStr">
        <is>
          <t>η [%]</t>
        </is>
      </c>
      <c r="H1038" s="22" t="inlineStr">
        <is>
          <t>W_net [kW] (m_b = 1 kg/s)</t>
        </is>
      </c>
      <c r="I1038" s="22" t="inlineStr">
        <is>
          <t>ΔP [kPa]</t>
        </is>
      </c>
      <c r="J1038" s="22" t="inlineStr">
        <is>
          <t>r_P [–]</t>
        </is>
      </c>
      <c r="K1038" s="22" t="inlineStr">
        <is>
          <t>Fuera de rango</t>
        </is>
      </c>
      <c r="L1038" s="22" t="inlineStr">
        <is>
          <t>Criterios que falla</t>
        </is>
      </c>
    </row>
    <row r="1039">
      <c r="A1039" s="16" t="inlineStr">
        <is>
          <t>KF-M09-R1-x_b+eficiencias-0000</t>
        </is>
      </c>
      <c r="B1039" s="35" t="n">
        <v>391.0782987170541</v>
      </c>
      <c r="C1039" s="35" t="n">
        <v>279.7230067017183</v>
      </c>
      <c r="D1039" s="36" t="n">
        <v>4236.226351484134</v>
      </c>
      <c r="E1039" s="35" t="n">
        <v>1006.937147624862</v>
      </c>
      <c r="F1039" s="38" t="inlineStr">
        <is>
          <t>Falso convergido</t>
        </is>
      </c>
      <c r="G1039" s="29" t="inlineStr">
        <is>
          <t>—</t>
        </is>
      </c>
      <c r="H1039" s="35" t="inlineStr">
        <is>
          <t>—</t>
        </is>
      </c>
      <c r="I1039" s="36" t="n">
        <v>3229.289203859272</v>
      </c>
      <c r="J1039" s="29" t="n">
        <v>4.207041483648148</v>
      </c>
      <c r="K1039" s="16" t="inlineStr">
        <is>
          <t>no</t>
        </is>
      </c>
      <c r="L1039" s="16" t="inlineStr">
        <is>
          <t>N2,S6,O3,O5,C1,C3,C3</t>
        </is>
      </c>
    </row>
    <row r="1040">
      <c r="A1040" s="16" t="inlineStr">
        <is>
          <t>KF-M09-R1-x_b+eficiencias-0001</t>
        </is>
      </c>
      <c r="B1040" s="35" t="n">
        <v>465.363303515637</v>
      </c>
      <c r="C1040" s="35" t="n">
        <v>283.5588625617805</v>
      </c>
      <c r="D1040" s="36" t="n">
        <v>3811.784930846119</v>
      </c>
      <c r="E1040" s="35" t="n">
        <v>455.3787606252119</v>
      </c>
      <c r="F1040" s="39" t="inlineStr">
        <is>
          <t>Corregible</t>
        </is>
      </c>
      <c r="G1040" s="29" t="n">
        <v>14.15926232556043</v>
      </c>
      <c r="H1040" s="35" t="n">
        <v>154.9446731592508</v>
      </c>
      <c r="I1040" s="36" t="n">
        <v>3356.406170220908</v>
      </c>
      <c r="J1040" s="29" t="n">
        <v>8.370581284056227</v>
      </c>
      <c r="K1040" s="16" t="inlineStr">
        <is>
          <t>sí</t>
        </is>
      </c>
      <c r="L1040" s="16" t="inlineStr">
        <is>
          <t>O1,O2</t>
        </is>
      </c>
    </row>
    <row r="1041">
      <c r="A1041" s="16" t="inlineStr">
        <is>
          <t>KF-M09-R1-x_b+eficiencias-0002</t>
        </is>
      </c>
      <c r="B1041" s="35" t="n">
        <v>460.81311405151</v>
      </c>
      <c r="C1041" s="35" t="n">
        <v>289.8623076986778</v>
      </c>
      <c r="D1041" s="36" t="n">
        <v>2378.317889357372</v>
      </c>
      <c r="E1041" s="35" t="n">
        <v>694.7651397315342</v>
      </c>
      <c r="F1041" s="39" t="inlineStr">
        <is>
          <t>Corregible</t>
        </is>
      </c>
      <c r="G1041" s="29" t="n">
        <v>8.67258109798358</v>
      </c>
      <c r="H1041" s="35" t="n">
        <v>140.6226263434584</v>
      </c>
      <c r="I1041" s="36" t="n">
        <v>1683.552749625838</v>
      </c>
      <c r="J1041" s="29" t="n">
        <v>3.423196924181291</v>
      </c>
      <c r="K1041" s="16" t="inlineStr">
        <is>
          <t>sí</t>
        </is>
      </c>
      <c r="L1041" s="16" t="inlineStr">
        <is>
          <t>O2</t>
        </is>
      </c>
    </row>
    <row r="1042">
      <c r="A1042" s="16" t="inlineStr">
        <is>
          <t>KF-M09-R1-x_b+eficiencias-0003</t>
        </is>
      </c>
      <c r="B1042" s="35" t="n">
        <v>430.0697651280695</v>
      </c>
      <c r="C1042" s="35" t="n">
        <v>280.4109709699582</v>
      </c>
      <c r="D1042" s="36" t="n">
        <v>4538.204386292728</v>
      </c>
      <c r="E1042" s="35" t="n">
        <v>897.2546963336803</v>
      </c>
      <c r="F1042" s="42" t="inlineStr">
        <is>
          <t>KALINA</t>
        </is>
      </c>
      <c r="G1042" s="29" t="n">
        <v>7.166002420337721</v>
      </c>
      <c r="H1042" s="35" t="n">
        <v>28.55536267908141</v>
      </c>
      <c r="I1042" s="36" t="n">
        <v>3640.949689959047</v>
      </c>
      <c r="J1042" s="29" t="n">
        <v>5.057877551197585</v>
      </c>
      <c r="K1042" s="16" t="inlineStr">
        <is>
          <t>sí</t>
        </is>
      </c>
      <c r="L1042" s="16" t="n"/>
    </row>
    <row r="1043">
      <c r="A1043" s="16" t="inlineStr">
        <is>
          <t>KF-M09-R1-x_b+eficiencias-0004</t>
        </is>
      </c>
      <c r="B1043" s="35" t="n">
        <v>436.4683935012937</v>
      </c>
      <c r="C1043" s="35" t="n">
        <v>296.7608224829561</v>
      </c>
      <c r="D1043" s="36" t="n">
        <v>2818.477751496419</v>
      </c>
      <c r="E1043" s="35" t="n">
        <v>1273.827186847795</v>
      </c>
      <c r="F1043" s="42" t="inlineStr">
        <is>
          <t>KALINA</t>
        </is>
      </c>
      <c r="G1043" s="29" t="n">
        <v>5.8480313607424</v>
      </c>
      <c r="H1043" s="35" t="n">
        <v>44.84171223523443</v>
      </c>
      <c r="I1043" s="36" t="n">
        <v>1544.650564648624</v>
      </c>
      <c r="J1043" s="29" t="n">
        <v>2.21260605881007</v>
      </c>
      <c r="K1043" s="16" t="inlineStr">
        <is>
          <t>sí</t>
        </is>
      </c>
      <c r="L1043" s="16" t="n"/>
    </row>
    <row r="1044">
      <c r="A1044" s="16" t="inlineStr">
        <is>
          <t>KF-M09-R1-x_b+eficiencias-0005</t>
        </is>
      </c>
      <c r="B1044" s="35" t="n">
        <v>514.7140507474381</v>
      </c>
      <c r="C1044" s="35" t="n">
        <v>299.7908107604164</v>
      </c>
      <c r="D1044" s="36" t="n">
        <v>2992.789413231787</v>
      </c>
      <c r="E1044" s="35" t="n">
        <v>1726.788529672536</v>
      </c>
      <c r="F1044" s="39" t="inlineStr">
        <is>
          <t>Corregible</t>
        </is>
      </c>
      <c r="G1044" s="29" t="n">
        <v>4.29102354826937</v>
      </c>
      <c r="H1044" s="35" t="n">
        <v>73.38469478306581</v>
      </c>
      <c r="I1044" s="36" t="n">
        <v>1266.000883559251</v>
      </c>
      <c r="J1044" s="29" t="n">
        <v>1.733153401128586</v>
      </c>
      <c r="K1044" s="16" t="inlineStr">
        <is>
          <t>sí</t>
        </is>
      </c>
      <c r="L1044" s="16" t="inlineStr">
        <is>
          <t>O2</t>
        </is>
      </c>
    </row>
    <row r="1045">
      <c r="A1045" s="16" t="inlineStr">
        <is>
          <t>KF-M09-R1-x_b+eficiencias-0006</t>
        </is>
      </c>
      <c r="B1045" s="35" t="n">
        <v>506.8417783134193</v>
      </c>
      <c r="C1045" s="35" t="n">
        <v>281.1523729148303</v>
      </c>
      <c r="D1045" s="36" t="n">
        <v>4717.551680244769</v>
      </c>
      <c r="E1045" s="35" t="n">
        <v>1406.741141638304</v>
      </c>
      <c r="F1045" s="39" t="inlineStr">
        <is>
          <t>Corregible</t>
        </is>
      </c>
      <c r="G1045" s="29" t="n">
        <v>9.03873083941634</v>
      </c>
      <c r="H1045" s="35" t="n">
        <v>153.8928211599434</v>
      </c>
      <c r="I1045" s="36" t="n">
        <v>3310.810538606465</v>
      </c>
      <c r="J1045" s="29" t="n">
        <v>3.353532174903668</v>
      </c>
      <c r="K1045" s="16" t="inlineStr">
        <is>
          <t>sí</t>
        </is>
      </c>
      <c r="L1045" s="16" t="inlineStr">
        <is>
          <t>O2</t>
        </is>
      </c>
    </row>
    <row r="1046">
      <c r="A1046" s="16" t="inlineStr">
        <is>
          <t>KF-M09-R1-x_b+eficiencias-0007</t>
        </is>
      </c>
      <c r="B1046" s="35" t="n">
        <v>454.1503354438948</v>
      </c>
      <c r="C1046" s="35" t="n">
        <v>288.3373793066057</v>
      </c>
      <c r="D1046" s="36" t="n">
        <v>2186.197727904543</v>
      </c>
      <c r="E1046" s="35" t="n">
        <v>753.5616361530599</v>
      </c>
      <c r="F1046" s="39" t="inlineStr">
        <is>
          <t>Corregible</t>
        </is>
      </c>
      <c r="G1046" s="29" t="n">
        <v>7.67097420869839</v>
      </c>
      <c r="H1046" s="35" t="n">
        <v>114.6835085776328</v>
      </c>
      <c r="I1046" s="36" t="n">
        <v>1432.636091751483</v>
      </c>
      <c r="J1046" s="29" t="n">
        <v>2.901153167861763</v>
      </c>
      <c r="K1046" s="16" t="inlineStr">
        <is>
          <t>sí</t>
        </is>
      </c>
      <c r="L1046" s="16" t="inlineStr">
        <is>
          <t>O2</t>
        </is>
      </c>
    </row>
    <row r="1047">
      <c r="A1047" s="16" t="inlineStr">
        <is>
          <t>KF-M09-R1-x_b+eficiencias-0008</t>
        </is>
      </c>
      <c r="B1047" s="35" t="n">
        <v>457.6024055359514</v>
      </c>
      <c r="C1047" s="35" t="n">
        <v>302.6525645291197</v>
      </c>
      <c r="D1047" s="36" t="n">
        <v>3427.916860988302</v>
      </c>
      <c r="E1047" s="35" t="n">
        <v>955.4657096368692</v>
      </c>
      <c r="F1047" s="39" t="inlineStr">
        <is>
          <t>Corregible</t>
        </is>
      </c>
      <c r="G1047" s="29" t="n">
        <v>9.40373354552313</v>
      </c>
      <c r="H1047" s="35" t="n">
        <v>92.43548057597572</v>
      </c>
      <c r="I1047" s="36" t="n">
        <v>2472.451151351433</v>
      </c>
      <c r="J1047" s="29" t="n">
        <v>3.587692186558012</v>
      </c>
      <c r="K1047" s="16" t="inlineStr">
        <is>
          <t>sí</t>
        </is>
      </c>
      <c r="L1047" s="16" t="inlineStr">
        <is>
          <t>O2</t>
        </is>
      </c>
    </row>
    <row r="1048">
      <c r="A1048" s="16" t="inlineStr">
        <is>
          <t>KF-M09-R1-x_b+eficiencias-0009</t>
        </is>
      </c>
      <c r="B1048" s="35" t="n">
        <v>395.5533158989132</v>
      </c>
      <c r="C1048" s="35" t="n">
        <v>297.4118736351343</v>
      </c>
      <c r="D1048" s="36" t="n">
        <v>2748.342612277589</v>
      </c>
      <c r="E1048" s="35" t="n">
        <v>525.3917405900867</v>
      </c>
      <c r="F1048" s="42" t="inlineStr">
        <is>
          <t>KALINA</t>
        </is>
      </c>
      <c r="G1048" s="29" t="n">
        <v>7.81484120730621</v>
      </c>
      <c r="H1048" s="35" t="n">
        <v>21.23235068462165</v>
      </c>
      <c r="I1048" s="36" t="n">
        <v>2222.950871687503</v>
      </c>
      <c r="J1048" s="29" t="n">
        <v>5.231035054321229</v>
      </c>
      <c r="K1048" s="16" t="inlineStr">
        <is>
          <t>no</t>
        </is>
      </c>
      <c r="L1048" s="16" t="n"/>
    </row>
    <row r="1049">
      <c r="A1049" s="16" t="inlineStr">
        <is>
          <t>KF-M09-R1-x_b+eficiencias-0010</t>
        </is>
      </c>
      <c r="B1049" s="35" t="n">
        <v>477.8740316156473</v>
      </c>
      <c r="C1049" s="35" t="n">
        <v>291.611779330629</v>
      </c>
      <c r="D1049" s="36" t="n">
        <v>3992.937806669774</v>
      </c>
      <c r="E1049" s="35" t="n">
        <v>1089.594783536235</v>
      </c>
      <c r="F1049" s="39" t="inlineStr">
        <is>
          <t>Corregible</t>
        </is>
      </c>
      <c r="G1049" s="29" t="n">
        <v>9.59478900462741</v>
      </c>
      <c r="H1049" s="35" t="n">
        <v>130.212947899131</v>
      </c>
      <c r="I1049" s="36" t="n">
        <v>2903.343023133539</v>
      </c>
      <c r="J1049" s="29" t="n">
        <v>3.664608042368613</v>
      </c>
      <c r="K1049" s="16" t="inlineStr">
        <is>
          <t>sí</t>
        </is>
      </c>
      <c r="L1049" s="16" t="inlineStr">
        <is>
          <t>O2</t>
        </is>
      </c>
    </row>
    <row r="1050">
      <c r="A1050" s="16" t="inlineStr">
        <is>
          <t>KF-M09-R1-x_b+eficiencias-0011</t>
        </is>
      </c>
      <c r="B1050" s="35" t="n">
        <v>410.6379647079683</v>
      </c>
      <c r="C1050" s="35" t="n">
        <v>290.843315900609</v>
      </c>
      <c r="D1050" s="36" t="n">
        <v>3227.572230822402</v>
      </c>
      <c r="E1050" s="35" t="n">
        <v>1342.143432580005</v>
      </c>
      <c r="F1050" s="42" t="inlineStr">
        <is>
          <t>KALINA</t>
        </is>
      </c>
      <c r="G1050" s="29" t="n">
        <v>4.55404838858028</v>
      </c>
      <c r="H1050" s="35" t="n">
        <v>16.60408709096323</v>
      </c>
      <c r="I1050" s="36" t="n">
        <v>1885.428798242397</v>
      </c>
      <c r="J1050" s="29" t="n">
        <v>2.404789348496109</v>
      </c>
      <c r="K1050" s="16" t="inlineStr">
        <is>
          <t>no</t>
        </is>
      </c>
      <c r="L1050" s="16" t="n"/>
    </row>
    <row r="1051">
      <c r="A1051" s="16" t="inlineStr">
        <is>
          <t>KF-M09-R1-x_b+eficiencias-0012</t>
        </is>
      </c>
      <c r="B1051" s="35" t="n">
        <v>402.6038150156632</v>
      </c>
      <c r="C1051" s="35" t="n">
        <v>300.7969144329563</v>
      </c>
      <c r="D1051" s="36" t="n">
        <v>2506.903590221537</v>
      </c>
      <c r="E1051" s="35" t="n">
        <v>1594.491423588665</v>
      </c>
      <c r="F1051" s="42" t="inlineStr">
        <is>
          <t>KALINA</t>
        </is>
      </c>
      <c r="G1051" s="29" t="n">
        <v>2.88131451458893</v>
      </c>
      <c r="H1051" s="35" t="n">
        <v>11.37463803825076</v>
      </c>
      <c r="I1051" s="36" t="n">
        <v>912.4121666328726</v>
      </c>
      <c r="J1051" s="29" t="n">
        <v>1.572227704166222</v>
      </c>
      <c r="K1051" s="16" t="inlineStr">
        <is>
          <t>no</t>
        </is>
      </c>
      <c r="L1051" s="16" t="n"/>
    </row>
    <row r="1052">
      <c r="A1052" s="16" t="inlineStr">
        <is>
          <t>KF-M09-R1-x_b+eficiencias-0013</t>
        </is>
      </c>
      <c r="B1052" s="35" t="n">
        <v>498.1285257537394</v>
      </c>
      <c r="C1052" s="35" t="n">
        <v>292.5507281253459</v>
      </c>
      <c r="D1052" s="36" t="n">
        <v>2287.397932589534</v>
      </c>
      <c r="E1052" s="35" t="n">
        <v>570.6795125003991</v>
      </c>
      <c r="F1052" s="39" t="inlineStr">
        <is>
          <t>Corregible</t>
        </is>
      </c>
      <c r="G1052" s="29" t="n">
        <v>9.423049911586681</v>
      </c>
      <c r="H1052" s="35" t="n">
        <v>161.7238026324233</v>
      </c>
      <c r="I1052" s="36" t="n">
        <v>1716.718420089135</v>
      </c>
      <c r="J1052" s="29" t="n">
        <v>4.008200544237926</v>
      </c>
      <c r="K1052" s="16" t="inlineStr">
        <is>
          <t>sí</t>
        </is>
      </c>
      <c r="L1052" s="16" t="inlineStr">
        <is>
          <t>O2</t>
        </is>
      </c>
    </row>
    <row r="1053">
      <c r="A1053" s="16" t="inlineStr">
        <is>
          <t>KF-M09-R1-x_b+eficiencias-0014</t>
        </is>
      </c>
      <c r="B1053" s="35" t="n">
        <v>418.718025860282</v>
      </c>
      <c r="C1053" s="35" t="n">
        <v>294.5149853412631</v>
      </c>
      <c r="D1053" s="36" t="n">
        <v>3145.265679818303</v>
      </c>
      <c r="E1053" s="35" t="n">
        <v>1123.631666175564</v>
      </c>
      <c r="F1053" s="42" t="inlineStr">
        <is>
          <t>KALINA</t>
        </is>
      </c>
      <c r="G1053" s="29" t="n">
        <v>6.341059342178671</v>
      </c>
      <c r="H1053" s="35" t="n">
        <v>29.72853052398945</v>
      </c>
      <c r="I1053" s="36" t="n">
        <v>2021.63401364274</v>
      </c>
      <c r="J1053" s="29" t="n">
        <v>2.799196368791964</v>
      </c>
      <c r="K1053" s="16" t="inlineStr">
        <is>
          <t>no</t>
        </is>
      </c>
      <c r="L1053" s="16" t="n"/>
    </row>
    <row r="1054">
      <c r="A1054" s="16" t="inlineStr">
        <is>
          <t>KF-M09-R1-x_b+eficiencias-0015</t>
        </is>
      </c>
      <c r="B1054" s="35" t="n">
        <v>405.3405182778576</v>
      </c>
      <c r="C1054" s="35" t="n">
        <v>298.4967451487056</v>
      </c>
      <c r="D1054" s="36" t="n">
        <v>3005.4607994641</v>
      </c>
      <c r="E1054" s="35" t="n">
        <v>1157.865344444537</v>
      </c>
      <c r="F1054" s="42" t="inlineStr">
        <is>
          <t>KALINA</t>
        </is>
      </c>
      <c r="G1054" s="29" t="n">
        <v>5.09152250280171</v>
      </c>
      <c r="H1054" s="35" t="n">
        <v>16.9706845009762</v>
      </c>
      <c r="I1054" s="36" t="n">
        <v>1847.595455019563</v>
      </c>
      <c r="J1054" s="29" t="n">
        <v>2.595691125815593</v>
      </c>
      <c r="K1054" s="16" t="inlineStr">
        <is>
          <t>no</t>
        </is>
      </c>
      <c r="L1054" s="16" t="n"/>
    </row>
    <row r="1055">
      <c r="A1055" s="16" t="inlineStr">
        <is>
          <t>KF-M09-R1-x_b+eficiencias-0016</t>
        </is>
      </c>
      <c r="B1055" s="35" t="n">
        <v>425.4703300468051</v>
      </c>
      <c r="C1055" s="35" t="n">
        <v>303.529642178358</v>
      </c>
      <c r="D1055" s="36" t="n">
        <v>2490.9482916311</v>
      </c>
      <c r="E1055" s="35" t="n">
        <v>1472.476000377402</v>
      </c>
      <c r="F1055" s="42" t="inlineStr">
        <is>
          <t>KALINA</t>
        </is>
      </c>
      <c r="G1055" s="29" t="n">
        <v>3.96948154177957</v>
      </c>
      <c r="H1055" s="35" t="n">
        <v>26.5533951775098</v>
      </c>
      <c r="I1055" s="36" t="n">
        <v>1018.472291253698</v>
      </c>
      <c r="J1055" s="29" t="n">
        <v>1.691673270730837</v>
      </c>
      <c r="K1055" s="16" t="inlineStr">
        <is>
          <t>no</t>
        </is>
      </c>
      <c r="L1055" s="16" t="n"/>
    </row>
    <row r="1056">
      <c r="A1056" s="16" t="inlineStr">
        <is>
          <t>KF-M09-R1-x_b+eficiencias-0017</t>
        </is>
      </c>
      <c r="B1056" s="35" t="n">
        <v>441.7881805273922</v>
      </c>
      <c r="C1056" s="35" t="n">
        <v>298.4255421017717</v>
      </c>
      <c r="D1056" s="36" t="n">
        <v>2057.908585922312</v>
      </c>
      <c r="E1056" s="35" t="n">
        <v>721.2138944271362</v>
      </c>
      <c r="F1056" s="39" t="inlineStr">
        <is>
          <t>Corregible</t>
        </is>
      </c>
      <c r="G1056" s="29" t="n">
        <v>7.618262745903411</v>
      </c>
      <c r="H1056" s="35" t="n">
        <v>86.93132106567352</v>
      </c>
      <c r="I1056" s="36" t="n">
        <v>1336.694691495176</v>
      </c>
      <c r="J1056" s="29" t="n">
        <v>2.853395645624547</v>
      </c>
      <c r="K1056" s="16" t="inlineStr">
        <is>
          <t>sí</t>
        </is>
      </c>
      <c r="L1056" s="16" t="inlineStr">
        <is>
          <t>O2</t>
        </is>
      </c>
    </row>
    <row r="1057">
      <c r="A1057" s="16" t="inlineStr">
        <is>
          <t>KF-M09-R1-x_b+eficiencias-0018</t>
        </is>
      </c>
      <c r="B1057" s="35" t="n">
        <v>504.5399272179392</v>
      </c>
      <c r="C1057" s="35" t="n">
        <v>287.2004234965597</v>
      </c>
      <c r="D1057" s="36" t="n">
        <v>4031.781433613323</v>
      </c>
      <c r="E1057" s="35" t="n">
        <v>1881.822963909936</v>
      </c>
      <c r="F1057" s="39" t="inlineStr">
        <is>
          <t>Corregible</t>
        </is>
      </c>
      <c r="G1057" s="29" t="n">
        <v>5.9577943459812</v>
      </c>
      <c r="H1057" s="35" t="n">
        <v>101.0875176349477</v>
      </c>
      <c r="I1057" s="36" t="n">
        <v>2149.958469703387</v>
      </c>
      <c r="J1057" s="29" t="n">
        <v>2.142487104757365</v>
      </c>
      <c r="K1057" s="16" t="inlineStr">
        <is>
          <t>sí</t>
        </is>
      </c>
      <c r="L1057" s="16" t="inlineStr">
        <is>
          <t>O2</t>
        </is>
      </c>
    </row>
    <row r="1058">
      <c r="A1058" s="16" t="inlineStr">
        <is>
          <t>KF-M09-R1-x_b+eficiencias-0019</t>
        </is>
      </c>
      <c r="B1058" s="35" t="n">
        <v>485.4502907046684</v>
      </c>
      <c r="C1058" s="35" t="n">
        <v>301.7236497072926</v>
      </c>
      <c r="D1058" s="36" t="n">
        <v>3357.945701729038</v>
      </c>
      <c r="E1058" s="35" t="n">
        <v>1668.232065584594</v>
      </c>
      <c r="F1058" s="39" t="inlineStr">
        <is>
          <t>Corregible</t>
        </is>
      </c>
      <c r="G1058" s="29" t="n">
        <v>5.47166979318335</v>
      </c>
      <c r="H1058" s="35" t="n">
        <v>89.01271945240372</v>
      </c>
      <c r="I1058" s="36" t="n">
        <v>1689.713636144444</v>
      </c>
      <c r="J1058" s="29" t="n">
        <v>2.012876847893654</v>
      </c>
      <c r="K1058" s="16" t="inlineStr">
        <is>
          <t>sí</t>
        </is>
      </c>
      <c r="L1058" s="16" t="inlineStr">
        <is>
          <t>O2</t>
        </is>
      </c>
    </row>
    <row r="1059">
      <c r="A1059" s="16" t="inlineStr">
        <is>
          <t>KF-M09-R1-x_b+eficiencias-0020</t>
        </is>
      </c>
      <c r="B1059" s="35" t="n">
        <v>517.013897319522</v>
      </c>
      <c r="C1059" s="35" t="n">
        <v>295.1056085056904</v>
      </c>
      <c r="D1059" s="36" t="n">
        <v>4359.472906202879</v>
      </c>
      <c r="E1059" s="35" t="n">
        <v>365.6025233828052</v>
      </c>
      <c r="F1059" s="39" t="inlineStr">
        <is>
          <t>Corregible</t>
        </is>
      </c>
      <c r="G1059" s="29" t="n">
        <v>16.12950517219457</v>
      </c>
      <c r="H1059" s="35" t="n">
        <v>273.5743463103763</v>
      </c>
      <c r="I1059" s="36" t="n">
        <v>3993.870382820074</v>
      </c>
      <c r="J1059" s="29" t="n">
        <v>11.92407772754424</v>
      </c>
      <c r="K1059" s="16" t="inlineStr">
        <is>
          <t>sí</t>
        </is>
      </c>
      <c r="L1059" s="16" t="inlineStr">
        <is>
          <t>O1,O2</t>
        </is>
      </c>
    </row>
    <row r="1060">
      <c r="A1060" s="16" t="inlineStr">
        <is>
          <t>KF-M09-R1-x_b+eficiencias-0021</t>
        </is>
      </c>
      <c r="B1060" s="35" t="n">
        <v>473.0322655176167</v>
      </c>
      <c r="C1060" s="35" t="n">
        <v>285.1488711501426</v>
      </c>
      <c r="D1060" s="36" t="n">
        <v>2688.599849030285</v>
      </c>
      <c r="E1060" s="35" t="n">
        <v>1227.7110090909</v>
      </c>
      <c r="F1060" s="39" t="inlineStr">
        <is>
          <t>Corregible</t>
        </is>
      </c>
      <c r="G1060" s="29" t="n">
        <v>5.96823426271694</v>
      </c>
      <c r="H1060" s="35" t="n">
        <v>99.90331388982666</v>
      </c>
      <c r="I1060" s="36" t="n">
        <v>1460.888839939384</v>
      </c>
      <c r="J1060" s="29" t="n">
        <v>2.189928923925793</v>
      </c>
      <c r="K1060" s="16" t="inlineStr">
        <is>
          <t>sí</t>
        </is>
      </c>
      <c r="L1060" s="16" t="inlineStr">
        <is>
          <t>O2</t>
        </is>
      </c>
    </row>
    <row r="1061">
      <c r="A1061" s="16" t="inlineStr">
        <is>
          <t>KF-M09-R1-x_b+eficiencias-0022</t>
        </is>
      </c>
      <c r="B1061" s="35" t="n">
        <v>495.71722698518</v>
      </c>
      <c r="C1061" s="35" t="n">
        <v>283.1199665003314</v>
      </c>
      <c r="D1061" s="36" t="n">
        <v>3715.219719637771</v>
      </c>
      <c r="E1061" s="35" t="n">
        <v>330.1453741491561</v>
      </c>
      <c r="F1061" s="39" t="inlineStr">
        <is>
          <t>Corregible</t>
        </is>
      </c>
      <c r="G1061" s="29" t="n">
        <v>15.74657591232929</v>
      </c>
      <c r="H1061" s="35" t="n">
        <v>268.19607166782</v>
      </c>
      <c r="I1061" s="36" t="n">
        <v>3385.074345488615</v>
      </c>
      <c r="J1061" s="29" t="n">
        <v>11.25328419097968</v>
      </c>
      <c r="K1061" s="16" t="inlineStr">
        <is>
          <t>sí</t>
        </is>
      </c>
      <c r="L1061" s="16" t="inlineStr">
        <is>
          <t>O1,O2</t>
        </is>
      </c>
    </row>
    <row r="1062">
      <c r="A1062" s="16" t="inlineStr">
        <is>
          <t>KF-M09-R1-x_b+eficiencias-0023</t>
        </is>
      </c>
      <c r="B1062" s="35" t="n">
        <v>478.7187263041245</v>
      </c>
      <c r="C1062" s="35" t="n">
        <v>281.6769674697705</v>
      </c>
      <c r="D1062" s="36" t="n">
        <v>4470.238134644342</v>
      </c>
      <c r="E1062" s="35" t="n">
        <v>1800.946415453315</v>
      </c>
      <c r="F1062" s="42" t="inlineStr">
        <is>
          <t>KALINA</t>
        </is>
      </c>
      <c r="G1062" s="29" t="n">
        <v>6.6028038779817</v>
      </c>
      <c r="H1062" s="35" t="n">
        <v>81.66810085447648</v>
      </c>
      <c r="I1062" s="36" t="n">
        <v>2669.291719191026</v>
      </c>
      <c r="J1062" s="29" t="n">
        <v>2.482160544193171</v>
      </c>
      <c r="K1062" s="16" t="inlineStr">
        <is>
          <t>sí</t>
        </is>
      </c>
      <c r="L1062" s="16" t="n"/>
    </row>
    <row r="1063">
      <c r="A1063" s="16" t="inlineStr">
        <is>
          <t>KF-M09-R1-x_b+eficiencias-0024</t>
        </is>
      </c>
      <c r="B1063" s="35" t="n">
        <v>384.0373428426386</v>
      </c>
      <c r="C1063" s="35" t="n">
        <v>284.4055461501159</v>
      </c>
      <c r="D1063" s="36" t="n">
        <v>4852.270192192042</v>
      </c>
      <c r="E1063" s="35" t="n">
        <v>1541.825708075567</v>
      </c>
      <c r="F1063" s="32" t="inlineStr">
        <is>
          <t>No convergió</t>
        </is>
      </c>
      <c r="G1063" s="29" t="inlineStr">
        <is>
          <t>—</t>
        </is>
      </c>
      <c r="H1063" s="35" t="inlineStr">
        <is>
          <t>—</t>
        </is>
      </c>
      <c r="I1063" s="36" t="n">
        <v>3310.444484116476</v>
      </c>
      <c r="J1063" s="29" t="n">
        <v>3.147093842564354</v>
      </c>
      <c r="K1063" s="16" t="inlineStr">
        <is>
          <t>no</t>
        </is>
      </c>
      <c r="L1063" s="16" t="n"/>
    </row>
    <row r="1064">
      <c r="A1064" s="16" t="inlineStr">
        <is>
          <t>KF-M09-R1-x_b+eficiencias-0025</t>
        </is>
      </c>
      <c r="B1064" s="35" t="n">
        <v>447.5924287906345</v>
      </c>
      <c r="C1064" s="35" t="n">
        <v>278.5497815995599</v>
      </c>
      <c r="D1064" s="36" t="n">
        <v>4641.775857709972</v>
      </c>
      <c r="E1064" s="35" t="n">
        <v>845.542554384397</v>
      </c>
      <c r="F1064" s="42" t="inlineStr">
        <is>
          <t>KALINA</t>
        </is>
      </c>
      <c r="G1064" s="29" t="n">
        <v>9.76174713462717</v>
      </c>
      <c r="H1064" s="35" t="n">
        <v>60.10069076378379</v>
      </c>
      <c r="I1064" s="36" t="n">
        <v>3796.233303325575</v>
      </c>
      <c r="J1064" s="29" t="n">
        <v>5.489701060746078</v>
      </c>
      <c r="K1064" s="16" t="inlineStr">
        <is>
          <t>sí</t>
        </is>
      </c>
      <c r="L1064" s="16" t="n"/>
    </row>
    <row r="1065">
      <c r="A1065" s="16" t="inlineStr">
        <is>
          <t>KF-M09-R1-x_b+eficiencias-0026</t>
        </is>
      </c>
      <c r="B1065" s="35" t="n">
        <v>435.4853755893876</v>
      </c>
      <c r="C1065" s="35" t="n">
        <v>287.8154523272191</v>
      </c>
      <c r="D1065" s="36" t="n">
        <v>4186.991999944916</v>
      </c>
      <c r="E1065" s="35" t="n">
        <v>1943.5031899449</v>
      </c>
      <c r="F1065" s="42" t="inlineStr">
        <is>
          <t>KALINA</t>
        </is>
      </c>
      <c r="G1065" s="29" t="n">
        <v>4.34988503704306</v>
      </c>
      <c r="H1065" s="35" t="n">
        <v>22.14591009050966</v>
      </c>
      <c r="I1065" s="36" t="n">
        <v>2243.488810000016</v>
      </c>
      <c r="J1065" s="29" t="n">
        <v>2.154353037137861</v>
      </c>
      <c r="K1065" s="16" t="inlineStr">
        <is>
          <t>sí</t>
        </is>
      </c>
      <c r="L1065" s="16" t="n"/>
    </row>
    <row r="1066">
      <c r="A1066" s="16" t="inlineStr">
        <is>
          <t>KF-M09-R1-x_b+eficiencias-0027</t>
        </is>
      </c>
      <c r="B1066" s="35" t="n">
        <v>490.8478248604392</v>
      </c>
      <c r="C1066" s="35" t="n">
        <v>286.5830341914374</v>
      </c>
      <c r="D1066" s="36" t="n">
        <v>3510.354292971966</v>
      </c>
      <c r="E1066" s="35" t="n">
        <v>1620.823361123486</v>
      </c>
      <c r="F1066" s="39" t="inlineStr">
        <is>
          <t>Corregible</t>
        </is>
      </c>
      <c r="G1066" s="29" t="n">
        <v>6.01522025884638</v>
      </c>
      <c r="H1066" s="35" t="n">
        <v>101.1890135190791</v>
      </c>
      <c r="I1066" s="36" t="n">
        <v>1889.53093184848</v>
      </c>
      <c r="J1066" s="29" t="n">
        <v>2.16578461118597</v>
      </c>
      <c r="K1066" s="16" t="inlineStr">
        <is>
          <t>sí</t>
        </is>
      </c>
      <c r="L1066" s="16" t="inlineStr">
        <is>
          <t>O2</t>
        </is>
      </c>
    </row>
    <row r="1067">
      <c r="A1067" s="16" t="inlineStr">
        <is>
          <t>KF-M09-R1-x_b+eficiencias-0028</t>
        </is>
      </c>
      <c r="B1067" s="35" t="n">
        <v>386.7392504547726</v>
      </c>
      <c r="C1067" s="35" t="n">
        <v>293.5996162895789</v>
      </c>
      <c r="D1067" s="36" t="n">
        <v>3650.590309875036</v>
      </c>
      <c r="E1067" s="35" t="n">
        <v>1920.76945742887</v>
      </c>
      <c r="F1067" s="38" t="inlineStr">
        <is>
          <t>Falso convergido</t>
        </is>
      </c>
      <c r="G1067" s="29" t="inlineStr">
        <is>
          <t>—</t>
        </is>
      </c>
      <c r="H1067" s="35" t="inlineStr">
        <is>
          <t>—</t>
        </is>
      </c>
      <c r="I1067" s="36" t="n">
        <v>1729.820852446166</v>
      </c>
      <c r="J1067" s="29" t="n">
        <v>1.900587442056525</v>
      </c>
      <c r="K1067" s="16" t="inlineStr">
        <is>
          <t>no</t>
        </is>
      </c>
      <c r="L1067" s="16" t="inlineStr">
        <is>
          <t>N2,S6,O3,O5,C1,C3,C3</t>
        </is>
      </c>
    </row>
    <row r="1068">
      <c r="A1068" s="16" t="inlineStr">
        <is>
          <t>KF-M09-R1-x_b+eficiencias-0029</t>
        </is>
      </c>
      <c r="B1068" s="35" t="n">
        <v>415.2632362969979</v>
      </c>
      <c r="C1068" s="35" t="n">
        <v>292.0872832397368</v>
      </c>
      <c r="D1068" s="36" t="n">
        <v>4961.273867134336</v>
      </c>
      <c r="E1068" s="35" t="n">
        <v>605.6403642213268</v>
      </c>
      <c r="F1068" s="38" t="inlineStr">
        <is>
          <t>Falso convergido</t>
        </is>
      </c>
      <c r="G1068" s="29" t="inlineStr">
        <is>
          <t>—</t>
        </is>
      </c>
      <c r="H1068" s="35" t="inlineStr">
        <is>
          <t>—</t>
        </is>
      </c>
      <c r="I1068" s="36" t="n">
        <v>4355.63350291301</v>
      </c>
      <c r="J1068" s="29" t="n">
        <v>8.191782054541655</v>
      </c>
      <c r="K1068" s="16" t="inlineStr">
        <is>
          <t>no</t>
        </is>
      </c>
      <c r="L1068" s="16" t="inlineStr">
        <is>
          <t>N2,O3,O5,C1,C3,C3</t>
        </is>
      </c>
    </row>
    <row r="1070">
      <c r="A1070" s="33" t="inlineStr">
        <is>
          <t>Parte 6.1d · motor real con 1500 s · 3 puntos</t>
        </is>
      </c>
      <c r="B1070" s="31" t="n"/>
      <c r="C1070" s="31" t="n"/>
      <c r="D1070" s="31" t="n"/>
      <c r="E1070" s="31" t="n"/>
      <c r="F1070" s="31" t="n"/>
      <c r="G1070" s="31" t="n"/>
      <c r="H1070" s="31" t="n"/>
      <c r="I1070" s="31" t="n"/>
      <c r="J1070" s="31" t="n"/>
      <c r="K1070" s="31" t="n"/>
    </row>
    <row r="1072">
      <c r="A1072" s="34" t="inlineStr">
        <is>
          <t>Barrido de la parte 6.1d · 3 puntos</t>
        </is>
      </c>
    </row>
    <row r="1073">
      <c r="A1073" s="25" t="inlineStr">
        <is>
          <t>Todas las variables se mueven.</t>
        </is>
      </c>
    </row>
    <row r="1074">
      <c r="A1074" s="22" t="inlineStr">
        <is>
          <t>id_punto</t>
        </is>
      </c>
      <c r="B1074" s="22" t="inlineStr">
        <is>
          <t>T_fuente [K]</t>
        </is>
      </c>
      <c r="C1074" s="22" t="inlineStr">
        <is>
          <t>T_sumidero [K]</t>
        </is>
      </c>
      <c r="D1074" s="22" t="inlineStr">
        <is>
          <t>P_alta [kPa]</t>
        </is>
      </c>
      <c r="E1074" s="22" t="inlineStr">
        <is>
          <t>P_baja [kPa]</t>
        </is>
      </c>
      <c r="F1074" s="22" t="inlineStr">
        <is>
          <t>x_b [–]</t>
        </is>
      </c>
      <c r="G1074" s="22" t="inlineStr">
        <is>
          <t>η_t [–]</t>
        </is>
      </c>
      <c r="H1074" s="22" t="inlineStr">
        <is>
          <t>η_p [–]</t>
        </is>
      </c>
      <c r="I1074" s="22" t="inlineStr">
        <is>
          <t>ε_HRVG [–]</t>
        </is>
      </c>
      <c r="J1074" s="22" t="inlineStr">
        <is>
          <t>ε_reg [–]</t>
        </is>
      </c>
      <c r="K1074" s="22" t="inlineStr">
        <is>
          <t>ε_cond [–]</t>
        </is>
      </c>
      <c r="L1074" s="22" t="inlineStr">
        <is>
          <t>Clase</t>
        </is>
      </c>
      <c r="M1074" s="22" t="inlineStr">
        <is>
          <t>η [%]</t>
        </is>
      </c>
      <c r="N1074" s="22" t="inlineStr">
        <is>
          <t>W_net [kW] (m_b = 1 kg/s)</t>
        </is>
      </c>
      <c r="O1074" s="22" t="inlineStr">
        <is>
          <t>ΔP [kPa]</t>
        </is>
      </c>
      <c r="P1074" s="22" t="inlineStr">
        <is>
          <t>r_P [–]</t>
        </is>
      </c>
      <c r="Q1074" s="22" t="inlineStr">
        <is>
          <t>Fuera de rango</t>
        </is>
      </c>
    </row>
    <row r="1075">
      <c r="A1075" s="16" t="inlineStr">
        <is>
          <t>KF-M09-REAL-0000</t>
        </is>
      </c>
      <c r="B1075" s="35" t="n">
        <v>394.15</v>
      </c>
      <c r="C1075" s="35" t="n">
        <v>278.15</v>
      </c>
      <c r="D1075" s="36" t="n">
        <v>3300</v>
      </c>
      <c r="E1075" s="35" t="n">
        <v>690</v>
      </c>
      <c r="F1075" s="37" t="n">
        <v>0.82</v>
      </c>
      <c r="G1075" s="37" t="n">
        <v>0.9</v>
      </c>
      <c r="H1075" s="37" t="n">
        <v>0.8</v>
      </c>
      <c r="I1075" s="37" t="n">
        <v>0.85</v>
      </c>
      <c r="J1075" s="37" t="n">
        <v>0.75</v>
      </c>
      <c r="K1075" s="37" t="n">
        <v>0.95</v>
      </c>
      <c r="L1075" s="42" t="inlineStr">
        <is>
          <t>KALINA</t>
        </is>
      </c>
      <c r="M1075" s="29" t="n">
        <v>12.72957418499317</v>
      </c>
      <c r="N1075" s="35" t="n">
        <v>117.5696691286374</v>
      </c>
      <c r="O1075" s="36" t="n">
        <v>2610</v>
      </c>
      <c r="P1075" s="29" t="n">
        <v>4.782608695652174</v>
      </c>
      <c r="Q1075" s="16" t="inlineStr">
        <is>
          <t>no</t>
        </is>
      </c>
    </row>
    <row r="1076">
      <c r="A1076" s="16" t="inlineStr">
        <is>
          <t>KF-M09-REAL-0001</t>
        </is>
      </c>
      <c r="B1076" s="35" t="n">
        <v>415</v>
      </c>
      <c r="C1076" s="35" t="n">
        <v>300.032917</v>
      </c>
      <c r="D1076" s="36" t="n">
        <v>3000</v>
      </c>
      <c r="E1076" s="35" t="n">
        <v>400</v>
      </c>
      <c r="F1076" s="37" t="n">
        <v>0.5</v>
      </c>
      <c r="G1076" s="37" t="n">
        <v>0.95</v>
      </c>
      <c r="H1076" s="37" t="n">
        <v>0.8049999999999999</v>
      </c>
      <c r="I1076" s="37" t="n">
        <v>0.95</v>
      </c>
      <c r="J1076" s="37" t="n">
        <v>0.95</v>
      </c>
      <c r="K1076" s="37" t="n">
        <v>0.95</v>
      </c>
      <c r="L1076" s="42" t="inlineStr">
        <is>
          <t>KALINA</t>
        </is>
      </c>
      <c r="M1076" s="29" t="n">
        <v>15.59993576058386</v>
      </c>
      <c r="N1076" s="35" t="n">
        <v>71.37318383204355</v>
      </c>
      <c r="O1076" s="36" t="n">
        <v>2600</v>
      </c>
      <c r="P1076" s="29" t="n">
        <v>7.5</v>
      </c>
      <c r="Q1076" s="16" t="inlineStr">
        <is>
          <t>no</t>
        </is>
      </c>
    </row>
    <row r="1077">
      <c r="A1077" s="16" t="inlineStr">
        <is>
          <t>KF-M09-REAL-0002</t>
        </is>
      </c>
      <c r="B1077" s="35" t="n">
        <v>403</v>
      </c>
      <c r="C1077" s="35" t="n">
        <v>300.032917</v>
      </c>
      <c r="D1077" s="36" t="n">
        <v>3000</v>
      </c>
      <c r="E1077" s="35" t="n">
        <v>563.6363636363637</v>
      </c>
      <c r="F1077" s="37" t="n">
        <v>0.5</v>
      </c>
      <c r="G1077" s="37" t="n">
        <v>0.85</v>
      </c>
      <c r="H1077" s="37" t="n">
        <v>0.75</v>
      </c>
      <c r="I1077" s="37" t="n">
        <v>0.85</v>
      </c>
      <c r="J1077" s="37" t="n">
        <v>0.75</v>
      </c>
      <c r="K1077" s="37" t="n">
        <v>0.8</v>
      </c>
      <c r="L1077" s="42" t="inlineStr">
        <is>
          <t>KALINA</t>
        </is>
      </c>
      <c r="M1077" s="29" t="n">
        <v>8.482035834966439</v>
      </c>
      <c r="N1077" s="35" t="n">
        <v>25.94026412944716</v>
      </c>
      <c r="O1077" s="36" t="n">
        <v>2436.363636363636</v>
      </c>
      <c r="P1077" s="29" t="n">
        <v>5.322580645161289</v>
      </c>
      <c r="Q1077" s="16" t="inlineStr">
        <is>
          <t>no</t>
        </is>
      </c>
    </row>
    <row r="1079">
      <c r="A1079" s="33" t="inlineStr">
        <is>
          <t>Parte 6.2e · P_baja mínima con su piso de diseño · 24 puntos</t>
        </is>
      </c>
      <c r="B1079" s="31" t="n"/>
      <c r="C1079" s="31" t="n"/>
      <c r="D1079" s="31" t="n"/>
      <c r="E1079" s="31" t="n"/>
      <c r="F1079" s="31" t="n"/>
      <c r="G1079" s="31" t="n"/>
      <c r="H1079" s="31" t="n"/>
      <c r="I1079" s="31" t="n"/>
      <c r="J1079" s="31" t="n"/>
      <c r="K1079" s="31" t="n"/>
    </row>
    <row r="1081">
      <c r="A1081" s="34" t="inlineStr">
        <is>
          <t>Barrido de la parte 6.2e · 24 puntos</t>
        </is>
      </c>
    </row>
    <row r="1082">
      <c r="A1082" s="25" t="inlineStr">
        <is>
          <t>Fijos en este barrido: T_fuente = 394.15, T_sumidero = 278.15, P_alta = 3300, x_b = 0.82, η_t = 0.9, η_p = 0.8, ε_HRVG = 0.85, ε_reg = 0.75, ε_cond = 0.95.</t>
        </is>
      </c>
    </row>
    <row r="1083">
      <c r="A1083" s="22" t="inlineStr">
        <is>
          <t>id_punto</t>
        </is>
      </c>
      <c r="B1083" s="22" t="inlineStr">
        <is>
          <t>P_baja [kPa]</t>
        </is>
      </c>
      <c r="C1083" s="22" t="inlineStr">
        <is>
          <t>Clase</t>
        </is>
      </c>
      <c r="D1083" s="22" t="inlineStr">
        <is>
          <t>η [%]</t>
        </is>
      </c>
      <c r="E1083" s="22" t="inlineStr">
        <is>
          <t>W_net [kW] (m_b = 1 kg/s)</t>
        </is>
      </c>
      <c r="F1083" s="22" t="inlineStr">
        <is>
          <t>ΔP [kPa]</t>
        </is>
      </c>
      <c r="G1083" s="22" t="inlineStr">
        <is>
          <t>r_P [–]</t>
        </is>
      </c>
      <c r="H1083" s="22" t="inlineStr">
        <is>
          <t>Fuera de rango</t>
        </is>
      </c>
      <c r="I1083" s="22" t="inlineStr">
        <is>
          <t>Criterios que falla</t>
        </is>
      </c>
    </row>
    <row r="1084">
      <c r="A1084" s="16" t="inlineStr">
        <is>
          <t>KF-M09-HUS-0003</t>
        </is>
      </c>
      <c r="B1084" s="35" t="n">
        <v>500</v>
      </c>
      <c r="C1084" s="39" t="inlineStr">
        <is>
          <t>Corregible</t>
        </is>
      </c>
      <c r="D1084" s="29" t="n">
        <v>15.0409968815438</v>
      </c>
      <c r="E1084" s="35" t="n">
        <v>138.9826918745443</v>
      </c>
      <c r="F1084" s="36" t="n">
        <v>2800</v>
      </c>
      <c r="G1084" s="29" t="n">
        <v>6.6</v>
      </c>
      <c r="H1084" s="16" t="inlineStr">
        <is>
          <t>no</t>
        </is>
      </c>
      <c r="I1084" s="16" t="inlineStr">
        <is>
          <t>O2</t>
        </is>
      </c>
    </row>
    <row r="1085">
      <c r="A1085" s="16" t="inlineStr">
        <is>
          <t>KF-M09-HUS-0002</t>
        </is>
      </c>
      <c r="B1085" s="35" t="n">
        <v>500</v>
      </c>
      <c r="C1085" s="39" t="inlineStr">
        <is>
          <t>Corregible</t>
        </is>
      </c>
      <c r="D1085" s="29" t="n">
        <v>15.0409968815438</v>
      </c>
      <c r="E1085" s="35" t="n">
        <v>138.9826918745443</v>
      </c>
      <c r="F1085" s="36" t="n">
        <v>2800</v>
      </c>
      <c r="G1085" s="29" t="n">
        <v>6.6</v>
      </c>
      <c r="H1085" s="16" t="inlineStr">
        <is>
          <t>no</t>
        </is>
      </c>
      <c r="I1085" s="16" t="inlineStr">
        <is>
          <t>O2</t>
        </is>
      </c>
    </row>
    <row r="1086">
      <c r="A1086" s="16" t="inlineStr">
        <is>
          <t>KF-M09-HUS-0001</t>
        </is>
      </c>
      <c r="B1086" s="35" t="n">
        <v>550</v>
      </c>
      <c r="C1086" s="39" t="inlineStr">
        <is>
          <t>Corregible</t>
        </is>
      </c>
      <c r="D1086" s="29" t="n">
        <v>14.37720428144615</v>
      </c>
      <c r="E1086" s="35" t="n">
        <v>132.8380136156304</v>
      </c>
      <c r="F1086" s="36" t="n">
        <v>2750</v>
      </c>
      <c r="G1086" s="29" t="n">
        <v>6</v>
      </c>
      <c r="H1086" s="16" t="inlineStr">
        <is>
          <t>no</t>
        </is>
      </c>
      <c r="I1086" s="16" t="inlineStr">
        <is>
          <t>O2</t>
        </is>
      </c>
    </row>
    <row r="1087">
      <c r="A1087" s="16" t="inlineStr">
        <is>
          <t>KF-M09-HUS-0000</t>
        </is>
      </c>
      <c r="B1087" s="35" t="n">
        <v>550</v>
      </c>
      <c r="C1087" s="39" t="inlineStr">
        <is>
          <t>Corregible</t>
        </is>
      </c>
      <c r="D1087" s="29" t="n">
        <v>14.37720428144615</v>
      </c>
      <c r="E1087" s="35" t="n">
        <v>132.8380136156304</v>
      </c>
      <c r="F1087" s="36" t="n">
        <v>2750</v>
      </c>
      <c r="G1087" s="29" t="n">
        <v>6</v>
      </c>
      <c r="H1087" s="16" t="inlineStr">
        <is>
          <t>no</t>
        </is>
      </c>
      <c r="I1087" s="16" t="inlineStr">
        <is>
          <t>O2</t>
        </is>
      </c>
    </row>
    <row r="1088">
      <c r="A1088" s="16" t="inlineStr">
        <is>
          <t>KF-M09-HUS-0007</t>
        </is>
      </c>
      <c r="B1088" s="35" t="n">
        <v>600</v>
      </c>
      <c r="C1088" s="42" t="inlineStr">
        <is>
          <t>KALINA</t>
        </is>
      </c>
      <c r="D1088" s="29" t="n">
        <v>13.75268677295411</v>
      </c>
      <c r="E1088" s="35" t="n">
        <v>127.0486533418041</v>
      </c>
      <c r="F1088" s="36" t="n">
        <v>2700</v>
      </c>
      <c r="G1088" s="29" t="n">
        <v>5.5</v>
      </c>
      <c r="H1088" s="16" t="inlineStr">
        <is>
          <t>no</t>
        </is>
      </c>
      <c r="I1088" s="16" t="n"/>
    </row>
    <row r="1089">
      <c r="A1089" s="16" t="inlineStr">
        <is>
          <t>KF-M09-HUS-0006</t>
        </is>
      </c>
      <c r="B1089" s="35" t="n">
        <v>600</v>
      </c>
      <c r="C1089" s="39" t="inlineStr">
        <is>
          <t>Corregible</t>
        </is>
      </c>
      <c r="D1089" s="29" t="n">
        <v>13.75268677295411</v>
      </c>
      <c r="E1089" s="35" t="n">
        <v>127.0486533418041</v>
      </c>
      <c r="F1089" s="36" t="n">
        <v>2700</v>
      </c>
      <c r="G1089" s="29" t="n">
        <v>5.5</v>
      </c>
      <c r="H1089" s="16" t="inlineStr">
        <is>
          <t>no</t>
        </is>
      </c>
      <c r="I1089" s="16" t="inlineStr">
        <is>
          <t>O2</t>
        </is>
      </c>
    </row>
    <row r="1090">
      <c r="A1090" s="16" t="inlineStr">
        <is>
          <t>KF-M09-HUS-0005</t>
        </is>
      </c>
      <c r="B1090" s="35" t="n">
        <v>650</v>
      </c>
      <c r="C1090" s="42" t="inlineStr">
        <is>
          <t>KALINA</t>
        </is>
      </c>
      <c r="D1090" s="29" t="n">
        <v>13.17044444625268</v>
      </c>
      <c r="E1090" s="35" t="n">
        <v>121.6520866887988</v>
      </c>
      <c r="F1090" s="36" t="n">
        <v>2650</v>
      </c>
      <c r="G1090" s="29" t="n">
        <v>5.076923076923077</v>
      </c>
      <c r="H1090" s="16" t="inlineStr">
        <is>
          <t>no</t>
        </is>
      </c>
      <c r="I1090" s="16" t="n"/>
    </row>
    <row r="1091">
      <c r="A1091" s="16" t="inlineStr">
        <is>
          <t>KF-M09-HUS-0004</t>
        </is>
      </c>
      <c r="B1091" s="35" t="n">
        <v>650</v>
      </c>
      <c r="C1091" s="39" t="inlineStr">
        <is>
          <t>Corregible</t>
        </is>
      </c>
      <c r="D1091" s="29" t="n">
        <v>13.17044444625268</v>
      </c>
      <c r="E1091" s="35" t="n">
        <v>121.6520866887988</v>
      </c>
      <c r="F1091" s="36" t="n">
        <v>2650</v>
      </c>
      <c r="G1091" s="29" t="n">
        <v>5.076923076923077</v>
      </c>
      <c r="H1091" s="16" t="inlineStr">
        <is>
          <t>no</t>
        </is>
      </c>
      <c r="I1091" s="16" t="inlineStr">
        <is>
          <t>O2</t>
        </is>
      </c>
    </row>
    <row r="1092">
      <c r="A1092" s="16" t="inlineStr">
        <is>
          <t>KF-M09-HUS-0008</t>
        </is>
      </c>
      <c r="B1092" s="35" t="n">
        <v>690</v>
      </c>
      <c r="C1092" s="42" t="inlineStr">
        <is>
          <t>KALINA</t>
        </is>
      </c>
      <c r="D1092" s="29" t="n">
        <v>12.73186450108127</v>
      </c>
      <c r="E1092" s="35" t="n">
        <v>117.5882909120357</v>
      </c>
      <c r="F1092" s="36" t="n">
        <v>2610</v>
      </c>
      <c r="G1092" s="29" t="n">
        <v>4.782608695652174</v>
      </c>
      <c r="H1092" s="16" t="inlineStr">
        <is>
          <t>no</t>
        </is>
      </c>
      <c r="I1092" s="16" t="n"/>
    </row>
    <row r="1093">
      <c r="A1093" s="16" t="inlineStr">
        <is>
          <t>KF-M09-HUS-0009</t>
        </is>
      </c>
      <c r="B1093" s="35" t="n">
        <v>690</v>
      </c>
      <c r="C1093" s="42" t="inlineStr">
        <is>
          <t>KALINA</t>
        </is>
      </c>
      <c r="D1093" s="29" t="n">
        <v>12.73186450108127</v>
      </c>
      <c r="E1093" s="35" t="n">
        <v>117.5882909120357</v>
      </c>
      <c r="F1093" s="36" t="n">
        <v>2610</v>
      </c>
      <c r="G1093" s="29" t="n">
        <v>4.782608695652174</v>
      </c>
      <c r="H1093" s="16" t="inlineStr">
        <is>
          <t>no</t>
        </is>
      </c>
      <c r="I1093" s="16" t="n"/>
    </row>
    <row r="1094">
      <c r="A1094" s="16" t="inlineStr">
        <is>
          <t>KF-M09-HUS-0010</t>
        </is>
      </c>
      <c r="B1094" s="35" t="n">
        <v>700</v>
      </c>
      <c r="C1094" s="42" t="inlineStr">
        <is>
          <t>KALINA</t>
        </is>
      </c>
      <c r="D1094" s="29" t="n">
        <v>12.58131444606638</v>
      </c>
      <c r="E1094" s="35" t="n">
        <v>116.160036609947</v>
      </c>
      <c r="F1094" s="36" t="n">
        <v>2600</v>
      </c>
      <c r="G1094" s="29" t="n">
        <v>4.714285714285714</v>
      </c>
      <c r="H1094" s="16" t="inlineStr">
        <is>
          <t>no</t>
        </is>
      </c>
      <c r="I1094" s="16" t="n"/>
    </row>
    <row r="1095">
      <c r="A1095" s="16" t="inlineStr">
        <is>
          <t>KF-M09-HUS-0011</t>
        </is>
      </c>
      <c r="B1095" s="35" t="n">
        <v>700</v>
      </c>
      <c r="C1095" s="42" t="inlineStr">
        <is>
          <t>KALINA</t>
        </is>
      </c>
      <c r="D1095" s="29" t="n">
        <v>12.58131444606638</v>
      </c>
      <c r="E1095" s="35" t="n">
        <v>116.160036609947</v>
      </c>
      <c r="F1095" s="36" t="n">
        <v>2600</v>
      </c>
      <c r="G1095" s="29" t="n">
        <v>4.714285714285714</v>
      </c>
      <c r="H1095" s="16" t="inlineStr">
        <is>
          <t>no</t>
        </is>
      </c>
      <c r="I1095" s="16" t="n"/>
    </row>
    <row r="1096">
      <c r="A1096" s="16" t="inlineStr">
        <is>
          <t>KF-M09-HUS-0012</t>
        </is>
      </c>
      <c r="B1096" s="35" t="n">
        <v>750</v>
      </c>
      <c r="C1096" s="42" t="inlineStr">
        <is>
          <t>KALINA</t>
        </is>
      </c>
      <c r="D1096" s="29" t="n">
        <v>12.11344297884353</v>
      </c>
      <c r="E1096" s="35" t="n">
        <v>111.8598823594628</v>
      </c>
      <c r="F1096" s="36" t="n">
        <v>2550</v>
      </c>
      <c r="G1096" s="29" t="n">
        <v>4.4</v>
      </c>
      <c r="H1096" s="16" t="inlineStr">
        <is>
          <t>no</t>
        </is>
      </c>
      <c r="I1096" s="16" t="n"/>
    </row>
    <row r="1097">
      <c r="A1097" s="16" t="inlineStr">
        <is>
          <t>KF-M09-HUS-0013</t>
        </is>
      </c>
      <c r="B1097" s="35" t="n">
        <v>750</v>
      </c>
      <c r="C1097" s="42" t="inlineStr">
        <is>
          <t>KALINA</t>
        </is>
      </c>
      <c r="D1097" s="29" t="n">
        <v>12.11344297884353</v>
      </c>
      <c r="E1097" s="35" t="n">
        <v>111.8598823594628</v>
      </c>
      <c r="F1097" s="36" t="n">
        <v>2550</v>
      </c>
      <c r="G1097" s="29" t="n">
        <v>4.4</v>
      </c>
      <c r="H1097" s="16" t="inlineStr">
        <is>
          <t>no</t>
        </is>
      </c>
      <c r="I1097" s="16" t="n"/>
    </row>
    <row r="1098">
      <c r="A1098" s="16" t="inlineStr">
        <is>
          <t>KF-M09-HUS-0014</t>
        </is>
      </c>
      <c r="B1098" s="35" t="n">
        <v>800</v>
      </c>
      <c r="C1098" s="42" t="inlineStr">
        <is>
          <t>KALINA</t>
        </is>
      </c>
      <c r="D1098" s="29" t="n">
        <v>11.62985863251361</v>
      </c>
      <c r="E1098" s="35" t="n">
        <v>107.3818843882582</v>
      </c>
      <c r="F1098" s="36" t="n">
        <v>2500</v>
      </c>
      <c r="G1098" s="29" t="n">
        <v>4.125</v>
      </c>
      <c r="H1098" s="16" t="inlineStr">
        <is>
          <t>no</t>
        </is>
      </c>
      <c r="I1098" s="16" t="n"/>
    </row>
    <row r="1099">
      <c r="A1099" s="16" t="inlineStr">
        <is>
          <t>KF-M09-HUS-0015</t>
        </is>
      </c>
      <c r="B1099" s="35" t="n">
        <v>800</v>
      </c>
      <c r="C1099" s="42" t="inlineStr">
        <is>
          <t>KALINA</t>
        </is>
      </c>
      <c r="D1099" s="29" t="n">
        <v>11.62985863251361</v>
      </c>
      <c r="E1099" s="35" t="n">
        <v>107.3818843882582</v>
      </c>
      <c r="F1099" s="36" t="n">
        <v>2500</v>
      </c>
      <c r="G1099" s="29" t="n">
        <v>4.125</v>
      </c>
      <c r="H1099" s="16" t="inlineStr">
        <is>
          <t>no</t>
        </is>
      </c>
      <c r="I1099" s="16" t="n"/>
    </row>
    <row r="1100">
      <c r="A1100" s="16" t="inlineStr">
        <is>
          <t>KF-M09-HUS-0016</t>
        </is>
      </c>
      <c r="B1100" s="35" t="n">
        <v>850</v>
      </c>
      <c r="C1100" s="42" t="inlineStr">
        <is>
          <t>KALINA</t>
        </is>
      </c>
      <c r="D1100" s="29" t="n">
        <v>11.17164861327897</v>
      </c>
      <c r="E1100" s="35" t="n">
        <v>103.139987552983</v>
      </c>
      <c r="F1100" s="36" t="n">
        <v>2450</v>
      </c>
      <c r="G1100" s="29" t="n">
        <v>3.882352941176471</v>
      </c>
      <c r="H1100" s="16" t="inlineStr">
        <is>
          <t>no</t>
        </is>
      </c>
      <c r="I1100" s="16" t="n"/>
    </row>
    <row r="1101">
      <c r="A1101" s="16" t="inlineStr">
        <is>
          <t>KF-M09-HUS-0017</t>
        </is>
      </c>
      <c r="B1101" s="35" t="n">
        <v>850</v>
      </c>
      <c r="C1101" s="42" t="inlineStr">
        <is>
          <t>KALINA</t>
        </is>
      </c>
      <c r="D1101" s="29" t="n">
        <v>11.17164861327897</v>
      </c>
      <c r="E1101" s="35" t="n">
        <v>103.139987552983</v>
      </c>
      <c r="F1101" s="36" t="n">
        <v>2450</v>
      </c>
      <c r="G1101" s="29" t="n">
        <v>3.882352941176471</v>
      </c>
      <c r="H1101" s="16" t="inlineStr">
        <is>
          <t>no</t>
        </is>
      </c>
      <c r="I1101" s="16" t="n"/>
    </row>
    <row r="1102">
      <c r="A1102" s="16" t="inlineStr">
        <is>
          <t>KF-M09-HUS-0018</t>
        </is>
      </c>
      <c r="B1102" s="35" t="n">
        <v>900</v>
      </c>
      <c r="C1102" s="42" t="inlineStr">
        <is>
          <t>KALINA</t>
        </is>
      </c>
      <c r="D1102" s="29" t="n">
        <v>10.73610439817951</v>
      </c>
      <c r="E1102" s="35" t="n">
        <v>99.10893025354618</v>
      </c>
      <c r="F1102" s="36" t="n">
        <v>2400</v>
      </c>
      <c r="G1102" s="29" t="n">
        <v>3.666666666666667</v>
      </c>
      <c r="H1102" s="16" t="inlineStr">
        <is>
          <t>no</t>
        </is>
      </c>
      <c r="I1102" s="16" t="n"/>
    </row>
    <row r="1103">
      <c r="A1103" s="16" t="inlineStr">
        <is>
          <t>KF-M09-HUS-0019</t>
        </is>
      </c>
      <c r="B1103" s="35" t="n">
        <v>900</v>
      </c>
      <c r="C1103" s="42" t="inlineStr">
        <is>
          <t>KALINA</t>
        </is>
      </c>
      <c r="D1103" s="29" t="n">
        <v>10.73610439817951</v>
      </c>
      <c r="E1103" s="35" t="n">
        <v>99.10893025354618</v>
      </c>
      <c r="F1103" s="36" t="n">
        <v>2400</v>
      </c>
      <c r="G1103" s="29" t="n">
        <v>3.666666666666667</v>
      </c>
      <c r="H1103" s="16" t="inlineStr">
        <is>
          <t>no</t>
        </is>
      </c>
      <c r="I1103" s="16" t="n"/>
    </row>
    <row r="1104">
      <c r="A1104" s="16" t="inlineStr">
        <is>
          <t>KF-M09-HUS-0020</t>
        </is>
      </c>
      <c r="B1104" s="35" t="n">
        <v>950</v>
      </c>
      <c r="C1104" s="42" t="inlineStr">
        <is>
          <t>KALINA</t>
        </is>
      </c>
      <c r="D1104" s="29" t="n">
        <v>10.32094550926344</v>
      </c>
      <c r="E1104" s="35" t="n">
        <v>95.26744767682612</v>
      </c>
      <c r="F1104" s="36" t="n">
        <v>2350</v>
      </c>
      <c r="G1104" s="29" t="n">
        <v>3.473684210526316</v>
      </c>
      <c r="H1104" s="16" t="inlineStr">
        <is>
          <t>no</t>
        </is>
      </c>
      <c r="I1104" s="16" t="n"/>
    </row>
    <row r="1105">
      <c r="A1105" s="16" t="inlineStr">
        <is>
          <t>KF-M09-HUS-0021</t>
        </is>
      </c>
      <c r="B1105" s="35" t="n">
        <v>950</v>
      </c>
      <c r="C1105" s="42" t="inlineStr">
        <is>
          <t>KALINA</t>
        </is>
      </c>
      <c r="D1105" s="29" t="n">
        <v>10.32094550926344</v>
      </c>
      <c r="E1105" s="35" t="n">
        <v>95.26744767682612</v>
      </c>
      <c r="F1105" s="36" t="n">
        <v>2350</v>
      </c>
      <c r="G1105" s="29" t="n">
        <v>3.473684210526316</v>
      </c>
      <c r="H1105" s="16" t="inlineStr">
        <is>
          <t>no</t>
        </is>
      </c>
      <c r="I1105" s="16" t="n"/>
    </row>
    <row r="1106">
      <c r="A1106" s="16" t="inlineStr">
        <is>
          <t>KF-M09-HUS-0022</t>
        </is>
      </c>
      <c r="B1106" s="35" t="n">
        <v>1000</v>
      </c>
      <c r="C1106" s="42" t="inlineStr">
        <is>
          <t>KALINA</t>
        </is>
      </c>
      <c r="D1106" s="29" t="n">
        <v>9.924233112501261</v>
      </c>
      <c r="E1106" s="35" t="n">
        <v>91.59746440326164</v>
      </c>
      <c r="F1106" s="36" t="n">
        <v>2300</v>
      </c>
      <c r="G1106" s="29" t="n">
        <v>3.3</v>
      </c>
      <c r="H1106" s="16" t="inlineStr">
        <is>
          <t>no</t>
        </is>
      </c>
      <c r="I1106" s="16" t="n"/>
    </row>
    <row r="1107">
      <c r="A1107" s="16" t="inlineStr">
        <is>
          <t>KF-M09-HUS-0023</t>
        </is>
      </c>
      <c r="B1107" s="35" t="n">
        <v>1000</v>
      </c>
      <c r="C1107" s="42" t="inlineStr">
        <is>
          <t>KALINA</t>
        </is>
      </c>
      <c r="D1107" s="29" t="n">
        <v>9.924233112501261</v>
      </c>
      <c r="E1107" s="35" t="n">
        <v>91.59746440326164</v>
      </c>
      <c r="F1107" s="36" t="n">
        <v>2300</v>
      </c>
      <c r="G1107" s="29" t="n">
        <v>3.3</v>
      </c>
      <c r="H1107" s="16" t="inlineStr">
        <is>
          <t>no</t>
        </is>
      </c>
      <c r="I1107" s="16" t="n"/>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196"/>
  <sheetViews>
    <sheetView workbookViewId="0">
      <selection activeCell="A1" sqref="A1"/>
    </sheetView>
  </sheetViews>
  <sheetFormatPr baseColWidth="8" defaultRowHeight="15"/>
  <sheetData>
    <row r="1">
      <c r="A1" s="11" t="inlineStr">
        <is>
          <t>Pregunta 4 · ¿Qué datos del profesor se pueden conservar?</t>
        </is>
      </c>
    </row>
    <row r="2">
      <c r="A2" t="inlineStr">
        <is>
          <t>Gráficos nativos de Excel: pase el cursor sobre un punto para ver su valor. Los números de cada gráfico están en la hoja «4 Datos de gráficos» (el subtítulo de cada figura lleva un vínculo a su bloque).</t>
        </is>
      </c>
    </row>
    <row r="4">
      <c r="A4" s="24" t="inlineStr">
        <is>
          <t>Figura 4.1-1 · Parte 4.1a (conserva sus temperaturas, T_fuente y T_sumidero): 4 KALINA de 119 evaluados, 2 confiables</t>
        </is>
      </c>
    </row>
    <row r="24">
      <c r="A24" s="25" t="inlineStr">
        <is>
          <t>Figura 4.1-1. Parte 4.1a (conserva sus temperaturas, T_fuente y T_sumidero): 4 KALINA de 119 evaluados, 2 confiables.</t>
        </is>
      </c>
    </row>
    <row r="25">
      <c r="A25" s="25" t="inlineStr">
        <is>
          <t>Estudio 4.1 · parte(s) 4.1a. Punto base: PP = datos del enunciado del profesor (T_fuente 623.15 K, P_alta 3000 kPa, P_baja 400 kPa, x_b 0.50)</t>
        </is>
      </c>
    </row>
    <row r="26">
      <c r="A26" s="25" t="inlineStr">
        <is>
          <t>Datos fijos: T_fuente = 623.15 K; T_sumidero = 300.03 K; m_b = 1 kg/s; piso de O2 = 300.03 K; motor de propiedades = teqp.</t>
        </is>
      </c>
    </row>
    <row r="27">
      <c r="A27" s="25" t="inlineStr">
        <is>
          <t>Datos barridos: P_alta [2000.1–4986.6] kPa (120 valores); P_baja [202.14–1989.7] kPa (120 valores); x_b [0.50124–0.84895] (120 valores); η_t [0.40062–0.94745] (120 valores); η_p [0.4043–0.94919] (120 valores); ε_HRVG [0.40441–0.94919] (120 valores); ε_reg [0.40384–0.9479] (120 valores); ε_cond [0.40087–0.94579] (120 valores).</t>
        </is>
      </c>
    </row>
    <row r="28">
      <c r="A28" s="25" t="inlineStr">
        <is>
          <t>Filtro: todos los puntos evaluados (omitidos no se dibujan; marcador hueco = fuera del rango confiable).</t>
        </is>
      </c>
    </row>
    <row r="29">
      <c r="A29" s="25" t="inlineStr">
        <is>
          <t>n = 119. Fuente: todos_los_puntos.csv.</t>
        </is>
      </c>
    </row>
    <row r="32">
      <c r="A32" s="24" t="inlineStr">
        <is>
          <t>Figura 4.1-2 · Parte 4.1b (conserva sus presiones, P_alta y P_baja): 0 KALINA de 120 evaluados, 0 confiables</t>
        </is>
      </c>
    </row>
    <row r="52">
      <c r="A52" s="25" t="inlineStr">
        <is>
          <t>Figura 4.1-2. Parte 4.1b (conserva sus presiones, P_alta y P_baja): 0 KALINA de 120 evaluados, 0 confiables.</t>
        </is>
      </c>
    </row>
    <row r="53">
      <c r="A53" s="25" t="inlineStr">
        <is>
          <t>Estudio 4.1 · parte(s) 4.1b. Punto base: PP = datos del enunciado del profesor (T_fuente 623.15 K, P_alta 3000 kPa, P_baja 400 kPa, x_b 0.50)</t>
        </is>
      </c>
    </row>
    <row r="54">
      <c r="A54" s="25" t="inlineStr">
        <is>
          <t>Datos fijos: P_alta = 3000 kPa; P_baja = 400 kPa; m_b = 1 kg/s; motor de propiedades = teqp.</t>
        </is>
      </c>
    </row>
    <row r="55">
      <c r="A55" s="25" t="inlineStr">
        <is>
          <t>Datos barridos: T_fuente [381.61–621.77] K (120 valores); T_sumidero [278.26–303.48] K (120 valores); x_b [0.50084–0.84732] (120 valores); η_t [0.40268–0.94858] (120 valores); η_p [0.40103–0.9471] (120 valores); ε_HRVG [0.40217–0.94755] (120 valores); ε_reg [0.40228–0.9466] (120 valores); ε_cond [0.40209–0.9474] (120 valores); piso de O2 [278.26–303.48] K (120 valores).</t>
        </is>
      </c>
    </row>
    <row r="56">
      <c r="A56" s="25" t="inlineStr">
        <is>
          <t>Filtro: todos los puntos evaluados (omitidos no se dibujan; marcador hueco = fuera del rango confiable).</t>
        </is>
      </c>
    </row>
    <row r="57">
      <c r="A57" s="25" t="inlineStr">
        <is>
          <t>n = 120. Fuente: todos_los_puntos.csv.</t>
        </is>
      </c>
    </row>
    <row r="60">
      <c r="A60" s="24" t="inlineStr">
        <is>
          <t>Figura 4.1-3 · Parte 4.1c (conserva sus presiones y su clima): 0 KALINA de 120 evaluados, 0 confiables</t>
        </is>
      </c>
    </row>
    <row r="80">
      <c r="A80" s="25" t="inlineStr">
        <is>
          <t>Figura 4.1-3. Parte 4.1c (conserva sus presiones y su clima): 0 KALINA de 120 evaluados, 0 confiables.</t>
        </is>
      </c>
    </row>
    <row r="81">
      <c r="A81" s="25" t="inlineStr">
        <is>
          <t>Estudio 4.1 · parte(s) 4.1c. Punto base: PP = datos del enunciado del profesor (T_fuente 623.15 K, P_alta 3000 kPa, P_baja 400 kPa, x_b 0.50)</t>
        </is>
      </c>
    </row>
    <row r="82">
      <c r="A82" s="25" t="inlineStr">
        <is>
          <t>Datos fijos: T_sumidero = 300.03 K; P_alta = 3000 kPa; P_baja = 400 kPa; m_b = 1 kg/s; piso de O2 = 300.03 K; motor de propiedades = teqp.</t>
        </is>
      </c>
    </row>
    <row r="83">
      <c r="A83" s="25" t="inlineStr">
        <is>
          <t>Datos barridos: T_fuente [380.23–622.4] K (120 valores); x_b [0.50023–0.84932] (120 valores); η_t [0.40006–0.94769] (120 valores); η_p [0.4036–0.94548] (120 valores); ε_HRVG [0.40016–0.94888] (120 valores); ε_reg [0.40216–0.9486] (120 valores); ε_cond [0.40424–0.94685] (120 valores).</t>
        </is>
      </c>
    </row>
    <row r="84">
      <c r="A84" s="25" t="inlineStr">
        <is>
          <t>Filtro: todos los puntos evaluados (omitidos no se dibujan; marcador hueco = fuera del rango confiable).</t>
        </is>
      </c>
    </row>
    <row r="85">
      <c r="A85" s="25" t="inlineStr">
        <is>
          <t>n = 120. Fuente: todos_los_puntos.csv.</t>
        </is>
      </c>
    </row>
    <row r="88">
      <c r="A88" s="24" t="inlineStr">
        <is>
          <t>Figura 4.1-4 · Parte 4.1d (conserva su P_alta y sus temperaturas): 6 KALINA de 120 evaluados, 0 confiables</t>
        </is>
      </c>
    </row>
    <row r="108">
      <c r="A108" s="25" t="inlineStr">
        <is>
          <t>Figura 4.1-4. Parte 4.1d (conserva su P_alta y sus temperaturas): 6 KALINA de 120 evaluados, 0 confiables.</t>
        </is>
      </c>
    </row>
    <row r="109">
      <c r="A109" s="25" t="inlineStr">
        <is>
          <t>Estudio 4.1 · parte(s) 4.1d. Punto base: PP = datos del enunciado del profesor (T_fuente 623.15 K, P_alta 3000 kPa, P_baja 400 kPa, x_b 0.50)</t>
        </is>
      </c>
    </row>
    <row r="110">
      <c r="A110" s="25" t="inlineStr">
        <is>
          <t>Datos fijos: T_fuente = 623.15 K; T_sumidero = 300.03 K; P_alta = 3000 kPa; m_b = 1 kg/s; piso de O2 = 300.03 K; motor de propiedades = teqp.</t>
        </is>
      </c>
    </row>
    <row r="111">
      <c r="A111" s="25" t="inlineStr">
        <is>
          <t>Datos barridos: P_baja [211.42–1985.6] kPa (120 valores); x_b [0.50226–0.84794] (120 valores); η_t [0.40325–0.94578] (120 valores); η_p [0.40037–0.94661] (120 valores); ε_HRVG [0.40425–0.94958] (120 valores); ε_reg [0.40094–0.9466] (120 valores); ε_cond [0.40217–0.94675] (120 valores).</t>
        </is>
      </c>
    </row>
    <row r="112">
      <c r="A112" s="25" t="inlineStr">
        <is>
          <t>Filtro: todos los puntos evaluados (omitidos no se dibujan; marcador hueco = fuera del rango confiable).</t>
        </is>
      </c>
    </row>
    <row r="113">
      <c r="A113" s="25" t="inlineStr">
        <is>
          <t>n = 120. Fuente: todos_los_puntos.csv.</t>
        </is>
      </c>
    </row>
    <row r="116">
      <c r="A116" s="24" t="inlineStr">
        <is>
          <t>Figura 4.1-5 · Parte 4.1e (conserva su fuente y su composición, T_fuente y x_b): 10 KALINA de 119 evaluados, 0 confiables</t>
        </is>
      </c>
    </row>
    <row r="136">
      <c r="A136" s="25" t="inlineStr">
        <is>
          <t>Figura 4.1-5. Parte 4.1e (conserva su fuente y su composición, T_fuente y x_b): 10 KALINA de 119 evaluados, 0 confiables.</t>
        </is>
      </c>
    </row>
    <row r="137">
      <c r="A137" s="25" t="inlineStr">
        <is>
          <t>Estudio 4.1 · parte(s) 4.1e. Punto base: PP = datos del enunciado del profesor (T_fuente 623.15 K, P_alta 3000 kPa, P_baja 400 kPa, x_b 0.50)</t>
        </is>
      </c>
    </row>
    <row r="138">
      <c r="A138" s="25" t="inlineStr">
        <is>
          <t>Datos fijos: T_fuente = 623.15 K; x_b = 0.5; m_b = 1 kg/s; motor de propiedades = teqp.</t>
        </is>
      </c>
    </row>
    <row r="139">
      <c r="A139" s="25" t="inlineStr">
        <is>
          <t>Datos barridos: T_sumidero [278.28–303.36] K (120 valores); P_alta [2023–4997.5] kPa (120 valores); P_baja [206.13–1999.3] kPa (120 valores); η_t [0.4033–0.94995] (120 valores); η_p [0.40348–0.9476] (120 valores); ε_HRVG [0.40414–0.94874] (120 valores); ε_reg [0.40265–0.94725] (120 valores); ε_cond [0.40127–0.94825] (120 valores); piso de O2 [278.28–303.36] K (119 valores).</t>
        </is>
      </c>
    </row>
    <row r="140">
      <c r="A140" s="25" t="inlineStr">
        <is>
          <t>Filtro: todos los puntos evaluados (omitidos no se dibujan; marcador hueco = fuera del rango confiable).</t>
        </is>
      </c>
    </row>
    <row r="141">
      <c r="A141" s="25" t="inlineStr">
        <is>
          <t>n = 119. Fuente: todos_los_puntos.csv.</t>
        </is>
      </c>
    </row>
    <row r="144">
      <c r="A144" s="24" t="inlineStr">
        <is>
          <t>Figura 4.2-1 · Con las presiones del profesor hay KALINA desde T_fuente ≈ 390 K; con su clima (300 K) hace falta ε_cond ≥ 0.875</t>
        </is>
      </c>
    </row>
    <row r="162">
      <c r="A162" s="25" t="inlineStr">
        <is>
          <t>Figura 4.2-1. Con las presiones del profesor hay KALINA desde T_fuente ≈ 390 K; con su clima (300 K) hace falta ε_cond ≥ 0.875.</t>
        </is>
      </c>
    </row>
    <row r="163">
      <c r="A163" s="25" t="inlineStr">
        <is>
          <t>Estudio 4.2. Punto base: PP con P_alta = 3000 kPa y P_baja = 400 kPa conservadas</t>
        </is>
      </c>
    </row>
    <row r="164">
      <c r="A164" s="25" t="inlineStr">
        <is>
          <t>Datos fijos: P_alta = 3000 kPa; P_baja = 400 kPa; x_b = 0.5; m_b = 1 kg/s; η_t = 0.85; η_p = 0.75; ε_HRVG = 0.85; ε_reg = 0.75; motor de propiedades = teqp.</t>
        </is>
      </c>
    </row>
    <row r="165">
      <c r="A165" s="25" t="inlineStr">
        <is>
          <t>Datos barridos: T_fuente [385–410] K (11 valores); T_sumidero [278.15–300.03] K (3 valores); ε_cond [0.85–0.95] (5 valores); piso de O2 [278.15–300.03] K (3 valores).</t>
        </is>
      </c>
    </row>
    <row r="166">
      <c r="A166" s="25" t="inlineStr">
        <is>
          <t>Filtro: todos los puntos de la malla (cuadrado verde = KALINA).</t>
        </is>
      </c>
    </row>
    <row r="167">
      <c r="A167" s="25" t="inlineStr">
        <is>
          <t>n = 165. Fuente: todos_los_puntos.csv.</t>
        </is>
      </c>
    </row>
    <row r="170">
      <c r="A170" s="24" t="inlineStr">
        <is>
          <t>Figura 4.3-1 · Se conservan 8 de los 10 datos de diseño del profesor y sigue habiendo KALINA</t>
        </is>
      </c>
    </row>
    <row r="190">
      <c r="A190" s="25" t="inlineStr">
        <is>
          <t>Figura 4.3-1. Se conservan 8 de los 10 datos de diseño del profesor y sigue habiendo KALINA.</t>
        </is>
      </c>
    </row>
    <row r="191">
      <c r="A191" s="25" t="inlineStr">
        <is>
          <t>Estudio 4.3 (escalera de conservación; figura de síntesis: una barra por conjunto conservado). Punto base: PP = datos del enunciado del profesor (T_fuente 623.15 K, P_alta 3000 kPa, P_baja 400 kPa, x_b 0.50).</t>
        </is>
      </c>
    </row>
    <row r="192">
      <c r="A192" s="25" t="inlineStr">
        <is>
          <t>Datos fijos: los 10 datos de diseño del profesor; cada barra conserva el subconjunto que indica su etiqueta.</t>
        </is>
      </c>
    </row>
    <row r="193">
      <c r="A193" s="25" t="inlineStr">
        <is>
          <t>Datos barridos: 100 puntos (ronda 0) o 30 (rondas 1–3) por conjunto.</t>
        </is>
      </c>
    </row>
    <row r="194">
      <c r="A194" s="25" t="inlineStr">
        <is>
          <t>Filtro: KALINA confiables por conjunto conservado; el elegido de cada ronda se resalta con borde negro.</t>
        </is>
      </c>
    </row>
    <row r="195">
      <c r="A195" s="25" t="inlineStr">
        <is>
          <t>n = 18 conjuntos. Fuente: resultados/2026-10-08_final_M9/m9_escalera.csv.</t>
        </is>
      </c>
    </row>
    <row r="196">
      <c r="A196" t="inlineStr">
        <is>
          <t>Verde oscuro: conjunto elegido en cada ronda.</t>
        </is>
      </c>
    </row>
  </sheetData>
  <hyperlinks>
    <hyperlink xmlns:r="http://schemas.openxmlformats.org/officeDocument/2006/relationships" ref="A4" r:id="rId1"/>
    <hyperlink xmlns:r="http://schemas.openxmlformats.org/officeDocument/2006/relationships" ref="A32" r:id="rId2"/>
    <hyperlink xmlns:r="http://schemas.openxmlformats.org/officeDocument/2006/relationships" ref="A60" r:id="rId3"/>
    <hyperlink xmlns:r="http://schemas.openxmlformats.org/officeDocument/2006/relationships" ref="A88" r:id="rId4"/>
    <hyperlink xmlns:r="http://schemas.openxmlformats.org/officeDocument/2006/relationships" ref="A116" r:id="rId5"/>
    <hyperlink xmlns:r="http://schemas.openxmlformats.org/officeDocument/2006/relationships" ref="A144" r:id="rId6"/>
    <hyperlink xmlns:r="http://schemas.openxmlformats.org/officeDocument/2006/relationships" ref="A170" r:id="rId7"/>
  </hyperlinks>
  <pageMargins left="0.75" right="0.75" top="1" bottom="1" header="0.5" footer="0.5"/>
  <drawing xmlns:r="http://schemas.openxmlformats.org/officeDocument/2006/relationships" r:id="rId8"/>
</worksheet>
</file>

<file path=xl/worksheets/sheet70.xml><?xml version="1.0" encoding="utf-8"?>
<worksheet xmlns="http://schemas.openxmlformats.org/spreadsheetml/2006/main">
  <sheetPr>
    <outlinePr summaryBelow="1" summaryRight="1"/>
    <pageSetUpPr/>
  </sheetPr>
  <dimension ref="A1:CN6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6" max="66"/>
    <col width="16" customWidth="1" min="67" max="67"/>
    <col width="16" customWidth="1" min="68" max="68"/>
    <col width="16" customWidth="1" min="69" max="69"/>
    <col width="16" customWidth="1" min="70" max="70"/>
    <col width="16" customWidth="1" min="71" max="71"/>
    <col width="16" customWidth="1" min="72" max="72"/>
    <col width="16" customWidth="1" min="73" max="73"/>
    <col width="16" customWidth="1" min="74" max="74"/>
    <col width="16" customWidth="1" min="75" max="75"/>
    <col width="16" customWidth="1" min="76" max="76"/>
    <col width="16" customWidth="1" min="77" max="77"/>
    <col width="16" customWidth="1" min="78" max="78"/>
    <col width="16" customWidth="1" min="79" max="79"/>
    <col width="16"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1" max="91"/>
    <col width="16" customWidth="1" min="92" max="92"/>
  </cols>
  <sheetData>
    <row r="1">
      <c r="A1" s="11" t="inlineStr">
        <is>
          <t>Datos de los gráficos de la pregunta 4</t>
        </is>
      </c>
    </row>
    <row r="2">
      <c r="A2" t="inlineStr">
        <is>
          <t>Cada bloque de columnas es una figura; cada serie ocupa dos columnas (valores de x y de y, o categoría y valor).</t>
        </is>
      </c>
    </row>
    <row r="4">
      <c r="A4" s="30" t="inlineStr">
        <is>
          <t>Figura 4.1-1 · Parte 4.1a (conserva sus temperaturas, T_fuente y T_sumidero): 4 KALINA de 119 evaluados, 2 confiables</t>
        </is>
      </c>
      <c r="B4" s="31" t="n"/>
      <c r="C4" s="31" t="n"/>
      <c r="D4" s="31" t="n"/>
      <c r="E4" s="31" t="n"/>
      <c r="F4" s="31" t="n"/>
      <c r="G4" s="31" t="n"/>
      <c r="H4" s="31" t="n"/>
      <c r="I4" s="31" t="n"/>
      <c r="J4" s="31" t="n"/>
      <c r="K4" s="31" t="n"/>
      <c r="L4" s="31" t="n"/>
      <c r="M4" s="31" t="n"/>
      <c r="N4" s="31" t="n"/>
      <c r="O4" s="31" t="n"/>
      <c r="P4" s="31" t="n"/>
      <c r="R4" s="30" t="inlineStr">
        <is>
          <t>Figura 4.1-2 · Parte 4.1b (conserva sus presiones, P_alta y P_baja): 0 KALINA de 120 evaluados, 0 confiables</t>
        </is>
      </c>
      <c r="S4" s="31" t="n"/>
      <c r="T4" s="31" t="n"/>
      <c r="U4" s="31" t="n"/>
      <c r="V4" s="31" t="n"/>
      <c r="W4" s="31" t="n"/>
      <c r="X4" s="31" t="n"/>
      <c r="Y4" s="31" t="n"/>
      <c r="Z4" s="31" t="n"/>
      <c r="AA4" s="31" t="n"/>
      <c r="AB4" s="31" t="n"/>
      <c r="AC4" s="31" t="n"/>
      <c r="AE4" s="30" t="inlineStr">
        <is>
          <t>Figura 4.1-3 · Parte 4.1c (conserva sus presiones y su clima): 0 KALINA de 120 evaluados, 0 confiables</t>
        </is>
      </c>
      <c r="AF4" s="31" t="n"/>
      <c r="AG4" s="31" t="n"/>
      <c r="AH4" s="31" t="n"/>
      <c r="AI4" s="31" t="n"/>
      <c r="AJ4" s="31" t="n"/>
      <c r="AK4" s="31" t="n"/>
      <c r="AL4" s="31" t="n"/>
      <c r="AM4" s="31" t="n"/>
      <c r="AN4" s="31" t="n"/>
      <c r="AO4" s="31" t="n"/>
      <c r="AP4" s="31" t="n"/>
      <c r="AR4" s="30" t="inlineStr">
        <is>
          <t>Figura 4.1-4 · Parte 4.1d (conserva su P_alta y sus temperaturas): 6 KALINA de 120 evaluados, 0 confiables</t>
        </is>
      </c>
      <c r="AS4" s="31" t="n"/>
      <c r="AT4" s="31" t="n"/>
      <c r="AU4" s="31" t="n"/>
      <c r="AV4" s="31" t="n"/>
      <c r="AW4" s="31" t="n"/>
      <c r="AX4" s="31" t="n"/>
      <c r="AY4" s="31" t="n"/>
      <c r="AZ4" s="31" t="n"/>
      <c r="BA4" s="31" t="n"/>
      <c r="BB4" s="31" t="n"/>
      <c r="BC4" s="31" t="n"/>
      <c r="BE4" s="30" t="inlineStr">
        <is>
          <t>Figura 4.1-5 · Parte 4.1e (conserva su fuente y su composición, T_fuente y x_b): 10 KALINA de 119 evaluados, 0 confiables</t>
        </is>
      </c>
      <c r="BF4" s="31" t="n"/>
      <c r="BG4" s="31" t="n"/>
      <c r="BH4" s="31" t="n"/>
      <c r="BI4" s="31" t="n"/>
      <c r="BJ4" s="31" t="n"/>
      <c r="BK4" s="31" t="n"/>
      <c r="BL4" s="31" t="n"/>
      <c r="BN4" s="30" t="inlineStr">
        <is>
          <t>Figura 4.2-1 · Con las presiones del profesor hay KALINA desde T_fuente ≈ 390 K; con su clima (300 K) hace falta ε_cond ≥ 0.875</t>
        </is>
      </c>
      <c r="BO4" s="31" t="n"/>
      <c r="BP4" s="31" t="n"/>
      <c r="BQ4" s="31" t="n"/>
      <c r="BR4" s="31" t="n"/>
      <c r="BS4" s="31" t="n"/>
      <c r="BT4" s="31" t="n"/>
      <c r="BU4" s="31" t="n"/>
      <c r="BV4" s="31" t="n"/>
      <c r="BW4" s="31" t="n"/>
      <c r="BX4" s="31" t="n"/>
      <c r="BY4" s="31" t="n"/>
      <c r="BZ4" s="31" t="n"/>
      <c r="CA4" s="31" t="n"/>
      <c r="CB4" s="31" t="n"/>
      <c r="CC4" s="31" t="n"/>
      <c r="CD4" s="31" t="n"/>
      <c r="CE4" s="31" t="n"/>
      <c r="CF4" s="31" t="n"/>
      <c r="CG4" s="31" t="n"/>
      <c r="CH4" s="31" t="n"/>
      <c r="CI4" s="31" t="n"/>
      <c r="CJ4" s="31" t="n"/>
      <c r="CK4" s="31" t="n"/>
      <c r="CM4" s="30" t="inlineStr">
        <is>
          <t>Figura 4.3-1 · Se conservan 8 de los 10 datos de diseño del profesor y sigue habiendo KALINA</t>
        </is>
      </c>
      <c r="CN4" s="31" t="n"/>
    </row>
    <row r="5">
      <c r="A5" s="22" t="inlineStr">
        <is>
          <t>Parte 4.1a (conserva sus temperaturas, T_fuente y T_sumidero): 4 KALINA de 119 evaluados, 2 confiables · KALINA (n = 2) · y: Presión de baja, P_baja [kPa]</t>
        </is>
      </c>
      <c r="B5" s="22" t="inlineStr">
        <is>
          <t>Parte 4.1a (conserva sus temperaturas, T_fuente y T_sumidero): 4 KALINA de 119 evaluados, 2 confiables · KALINA (n = 2) · x: Presión de alta, P_alta [kPa]</t>
        </is>
      </c>
      <c r="C5" s="22" t="inlineStr">
        <is>
          <t>Parte 4.1a (conserva sus temperaturas, T_fuente y T_sumidero): 4 KALINA de 119 evaluados, 2 confiables · KALINA, fuera de rango (n = 2) · y: Presión de baja, P_baja [kPa]</t>
        </is>
      </c>
      <c r="D5" s="22" t="inlineStr">
        <is>
          <t>Parte 4.1a (conserva sus temperaturas, T_fuente y T_sumidero): 4 KALINA de 119 evaluados, 2 confiables · KALINA, fuera de rango (n = 2) · x: Presión de alta, P_alta [kPa]</t>
        </is>
      </c>
      <c r="E5" s="22" t="inlineStr">
        <is>
          <t>Parte 4.1a (conserva sus temperaturas, T_fuente y T_sumidero): 4 KALINA de 119 evaluados, 2 confiables · Corregible (n = 5) · y: Presión de baja, P_baja [kPa]</t>
        </is>
      </c>
      <c r="F5" s="22" t="inlineStr">
        <is>
          <t>Parte 4.1a (conserva sus temperaturas, T_fuente y T_sumidero): 4 KALINA de 119 evaluados, 2 confiables · Corregible (n = 5) · x: Presión de alta, P_alta [kPa]</t>
        </is>
      </c>
      <c r="G5" s="22" t="inlineStr">
        <is>
          <t>Parte 4.1a (conserva sus temperaturas, T_fuente y T_sumidero): 4 KALINA de 119 evaluados, 2 confiables · Corregible, fuera de rango (n = 35) · y: Presión de baja, P_baja [kPa]</t>
        </is>
      </c>
      <c r="H5" s="22" t="inlineStr">
        <is>
          <t>Parte 4.1a (conserva sus temperaturas, T_fuente y T_sumidero): 4 KALINA de 119 evaluados, 2 confiables · Corregible, fuera de rango (n = 35) · x: Presión de alta, P_alta [kPa]</t>
        </is>
      </c>
      <c r="I5" s="22" t="inlineStr">
        <is>
          <t>Parte 4.1a (conserva sus temperaturas, T_fuente y T_sumidero): 4 KALINA de 119 evaluados, 2 confiables · Inviable (n = 1) · y: Presión de baja, P_baja [kPa]</t>
        </is>
      </c>
      <c r="J5" s="22" t="inlineStr">
        <is>
          <t>Parte 4.1a (conserva sus temperaturas, T_fuente y T_sumidero): 4 KALINA de 119 evaluados, 2 confiables · Inviable (n = 1) · x: Presión de alta, P_alta [kPa]</t>
        </is>
      </c>
      <c r="K5" s="22" t="inlineStr">
        <is>
          <t>Parte 4.1a (conserva sus temperaturas, T_fuente y T_sumidero): 4 KALINA de 119 evaluados, 2 confiables · Inviable, fuera de rango (n = 14) · y: Presión de baja, P_baja [kPa]</t>
        </is>
      </c>
      <c r="L5" s="22" t="inlineStr">
        <is>
          <t>Parte 4.1a (conserva sus temperaturas, T_fuente y T_sumidero): 4 KALINA de 119 evaluados, 2 confiables · Inviable, fuera de rango (n = 14) · x: Presión de alta, P_alta [kPa]</t>
        </is>
      </c>
      <c r="M5" s="22" t="inlineStr">
        <is>
          <t>Parte 4.1a (conserva sus temperaturas, T_fuente y T_sumidero): 4 KALINA de 119 evaluados, 2 confiables · No convergió (n = 58) · y: Presión de baja, P_baja [kPa]</t>
        </is>
      </c>
      <c r="N5" s="22" t="inlineStr">
        <is>
          <t>Parte 4.1a (conserva sus temperaturas, T_fuente y T_sumidero): 4 KALINA de 119 evaluados, 2 confiables · No convergió (n = 58) · x: Presión de alta, P_alta [kPa]</t>
        </is>
      </c>
      <c r="O5" s="22" t="inlineStr">
        <is>
          <t>Parte 4.1a (conserva sus temperaturas, T_fuente y T_sumidero): 4 KALINA de 119 evaluados, 2 confiables · Falso convergido (n = 2) · y: Presión de baja, P_baja [kPa]</t>
        </is>
      </c>
      <c r="P5" s="22" t="inlineStr">
        <is>
          <t>Parte 4.1a (conserva sus temperaturas, T_fuente y T_sumidero): 4 KALINA de 119 evaluados, 2 confiables · Falso convergido (n = 2) · x: Presión de alta, P_alta [kPa]</t>
        </is>
      </c>
      <c r="R5" s="22" t="inlineStr">
        <is>
          <t>Parte 4.1b (conserva sus presiones, P_alta y P_baja): 0 KALINA de 120 evaluados, 0 confiables · Corregible (n = 12) · y: Efectividad del condensador, ε_cond [–]</t>
        </is>
      </c>
      <c r="S5" s="22" t="inlineStr">
        <is>
          <t>Parte 4.1b (conserva sus presiones, P_alta y P_baja): 0 KALINA de 120 evaluados, 0 confiables · Corregible (n = 12) · x: Temperatura de la fuente, T_fuente [K]</t>
        </is>
      </c>
      <c r="T5" s="22" t="inlineStr">
        <is>
          <t>Parte 4.1b (conserva sus presiones, P_alta y P_baja): 0 KALINA de 120 evaluados, 0 confiables · Corregible, fuera de rango (n = 45) · y: Efectividad del condensador, ε_cond [–]</t>
        </is>
      </c>
      <c r="U5" s="22" t="inlineStr">
        <is>
          <t>Parte 4.1b (conserva sus presiones, P_alta y P_baja): 0 KALINA de 120 evaluados, 0 confiables · Corregible, fuera de rango (n = 45) · x: Temperatura de la fuente, T_fuente [K]</t>
        </is>
      </c>
      <c r="V5" s="22" t="inlineStr">
        <is>
          <t>Parte 4.1b (conserva sus presiones, P_alta y P_baja): 0 KALINA de 120 evaluados, 0 confiables · Inviable (n = 19) · y: Efectividad del condensador, ε_cond [–]</t>
        </is>
      </c>
      <c r="W5" s="22" t="inlineStr">
        <is>
          <t>Parte 4.1b (conserva sus presiones, P_alta y P_baja): 0 KALINA de 120 evaluados, 0 confiables · Inviable (n = 19) · x: Temperatura de la fuente, T_fuente [K]</t>
        </is>
      </c>
      <c r="X5" s="22" t="inlineStr">
        <is>
          <t>Parte 4.1b (conserva sus presiones, P_alta y P_baja): 0 KALINA de 120 evaluados, 0 confiables · Inviable, fuera de rango (n = 19) · y: Efectividad del condensador, ε_cond [–]</t>
        </is>
      </c>
      <c r="Y5" s="22" t="inlineStr">
        <is>
          <t>Parte 4.1b (conserva sus presiones, P_alta y P_baja): 0 KALINA de 120 evaluados, 0 confiables · Inviable, fuera de rango (n = 19) · x: Temperatura de la fuente, T_fuente [K]</t>
        </is>
      </c>
      <c r="Z5" s="22" t="inlineStr">
        <is>
          <t>Parte 4.1b (conserva sus presiones, P_alta y P_baja): 0 KALINA de 120 evaluados, 0 confiables · No convergió (n = 23) · y: Efectividad del condensador, ε_cond [–]</t>
        </is>
      </c>
      <c r="AA5" s="22" t="inlineStr">
        <is>
          <t>Parte 4.1b (conserva sus presiones, P_alta y P_baja): 0 KALINA de 120 evaluados, 0 confiables · No convergió (n = 23) · x: Temperatura de la fuente, T_fuente [K]</t>
        </is>
      </c>
      <c r="AB5" s="22" t="inlineStr">
        <is>
          <t>Parte 4.1b (conserva sus presiones, P_alta y P_baja): 0 KALINA de 120 evaluados, 0 confiables · Falso convergido (n = 2) · y: Efectividad del condensador, ε_cond [–]</t>
        </is>
      </c>
      <c r="AC5" s="22" t="inlineStr">
        <is>
          <t>Parte 4.1b (conserva sus presiones, P_alta y P_baja): 0 KALINA de 120 evaluados, 0 confiables · Falso convergido (n = 2) · x: Temperatura de la fuente, T_fuente [K]</t>
        </is>
      </c>
      <c r="AE5" s="22" t="inlineStr">
        <is>
          <t>Parte 4.1c (conserva sus presiones y su clima): 0 KALINA de 120 evaluados, 0 confiables · Corregible (n = 6) · y: Efectividad del condensador, ε_cond [–]</t>
        </is>
      </c>
      <c r="AF5" s="22" t="inlineStr">
        <is>
          <t>Parte 4.1c (conserva sus presiones y su clima): 0 KALINA de 120 evaluados, 0 confiables · Corregible (n = 6) · x: Temperatura de la fuente, T_fuente [K]</t>
        </is>
      </c>
      <c r="AG5" s="22" t="inlineStr">
        <is>
          <t>Parte 4.1c (conserva sus presiones y su clima): 0 KALINA de 120 evaluados, 0 confiables · Corregible, fuera de rango (n = 23) · y: Efectividad del condensador, ε_cond [–]</t>
        </is>
      </c>
      <c r="AH5" s="22" t="inlineStr">
        <is>
          <t>Parte 4.1c (conserva sus presiones y su clima): 0 KALINA de 120 evaluados, 0 confiables · Corregible, fuera de rango (n = 23) · x: Temperatura de la fuente, T_fuente [K]</t>
        </is>
      </c>
      <c r="AI5" s="22" t="inlineStr">
        <is>
          <t>Parte 4.1c (conserva sus presiones y su clima): 0 KALINA de 120 evaluados, 0 confiables · Inviable (n = 20) · y: Efectividad del condensador, ε_cond [–]</t>
        </is>
      </c>
      <c r="AJ5" s="22" t="inlineStr">
        <is>
          <t>Parte 4.1c (conserva sus presiones y su clima): 0 KALINA de 120 evaluados, 0 confiables · Inviable (n = 20) · x: Temperatura de la fuente, T_fuente [K]</t>
        </is>
      </c>
      <c r="AK5" s="22" t="inlineStr">
        <is>
          <t>Parte 4.1c (conserva sus presiones y su clima): 0 KALINA de 120 evaluados, 0 confiables · Inviable, fuera de rango (n = 35) · y: Efectividad del condensador, ε_cond [–]</t>
        </is>
      </c>
      <c r="AL5" s="22" t="inlineStr">
        <is>
          <t>Parte 4.1c (conserva sus presiones y su clima): 0 KALINA de 120 evaluados, 0 confiables · Inviable, fuera de rango (n = 35) · x: Temperatura de la fuente, T_fuente [K]</t>
        </is>
      </c>
      <c r="AM5" s="22" t="inlineStr">
        <is>
          <t>Parte 4.1c (conserva sus presiones y su clima): 0 KALINA de 120 evaluados, 0 confiables · No convergió (n = 30) · y: Efectividad del condensador, ε_cond [–]</t>
        </is>
      </c>
      <c r="AN5" s="22" t="inlineStr">
        <is>
          <t>Parte 4.1c (conserva sus presiones y su clima): 0 KALINA de 120 evaluados, 0 confiables · No convergió (n = 30) · x: Temperatura de la fuente, T_fuente [K]</t>
        </is>
      </c>
      <c r="AO5" s="22" t="inlineStr">
        <is>
          <t>Parte 4.1c (conserva sus presiones y su clima): 0 KALINA de 120 evaluados, 0 confiables · Falso convergido (n = 6) · y: Efectividad del condensador, ε_cond [–]</t>
        </is>
      </c>
      <c r="AP5" s="22" t="inlineStr">
        <is>
          <t>Parte 4.1c (conserva sus presiones y su clima): 0 KALINA de 120 evaluados, 0 confiables · Falso convergido (n = 6) · x: Temperatura de la fuente, T_fuente [K]</t>
        </is>
      </c>
      <c r="AR5" s="22" t="inlineStr">
        <is>
          <t>Parte 4.1d (conserva su P_alta y sus temperaturas): 6 KALINA de 120 evaluados, 0 confiables · KALINA, fuera de rango (n = 6) · y: Presión de baja, P_baja [kPa]</t>
        </is>
      </c>
      <c r="AS5" s="22" t="inlineStr">
        <is>
          <t>Parte 4.1d (conserva su P_alta y sus temperaturas): 6 KALINA de 120 evaluados, 0 confiables · KALINA, fuera de rango (n = 6) · x: Fracción de amoníaco de la mezcla base, x_b [–]</t>
        </is>
      </c>
      <c r="AT5" s="22" t="inlineStr">
        <is>
          <t>Parte 4.1d (conserva su P_alta y sus temperaturas): 6 KALINA de 120 evaluados, 0 confiables · Corregible (n = 7) · y: Presión de baja, P_baja [kPa]</t>
        </is>
      </c>
      <c r="AU5" s="22" t="inlineStr">
        <is>
          <t>Parte 4.1d (conserva su P_alta y sus temperaturas): 6 KALINA de 120 evaluados, 0 confiables · Corregible (n = 7) · x: Fracción de amoníaco de la mezcla base, x_b [–]</t>
        </is>
      </c>
      <c r="AV5" s="22" t="inlineStr">
        <is>
          <t>Parte 4.1d (conserva su P_alta y sus temperaturas): 6 KALINA de 120 evaluados, 0 confiables · Corregible, fuera de rango (n = 31) · y: Presión de baja, P_baja [kPa]</t>
        </is>
      </c>
      <c r="AW5" s="22" t="inlineStr">
        <is>
          <t>Parte 4.1d (conserva su P_alta y sus temperaturas): 6 KALINA de 120 evaluados, 0 confiables · Corregible, fuera de rango (n = 31) · x: Fracción de amoníaco de la mezcla base, x_b [–]</t>
        </is>
      </c>
      <c r="AX5" s="22" t="inlineStr">
        <is>
          <t>Parte 4.1d (conserva su P_alta y sus temperaturas): 6 KALINA de 120 evaluados, 0 confiables · Inviable, fuera de rango (n = 18) · y: Presión de baja, P_baja [kPa]</t>
        </is>
      </c>
      <c r="AY5" s="22" t="inlineStr">
        <is>
          <t>Parte 4.1d (conserva su P_alta y sus temperaturas): 6 KALINA de 120 evaluados, 0 confiables · Inviable, fuera de rango (n = 18) · x: Fracción de amoníaco de la mezcla base, x_b [–]</t>
        </is>
      </c>
      <c r="AZ5" s="22" t="inlineStr">
        <is>
          <t>Parte 4.1d (conserva su P_alta y sus temperaturas): 6 KALINA de 120 evaluados, 0 confiables · No convergió (n = 56) · y: Presión de baja, P_baja [kPa]</t>
        </is>
      </c>
      <c r="BA5" s="22" t="inlineStr">
        <is>
          <t>Parte 4.1d (conserva su P_alta y sus temperaturas): 6 KALINA de 120 evaluados, 0 confiables · No convergió (n = 56) · x: Fracción de amoníaco de la mezcla base, x_b [–]</t>
        </is>
      </c>
      <c r="BB5" s="22" t="inlineStr">
        <is>
          <t>Parte 4.1d (conserva su P_alta y sus temperaturas): 6 KALINA de 120 evaluados, 0 confiables · Falso convergido (n = 2) · y: Presión de baja, P_baja [kPa]</t>
        </is>
      </c>
      <c r="BC5" s="22" t="inlineStr">
        <is>
          <t>Parte 4.1d (conserva su P_alta y sus temperaturas): 6 KALINA de 120 evaluados, 0 confiables · Falso convergido (n = 2) · x: Fracción de amoníaco de la mezcla base, x_b [–]</t>
        </is>
      </c>
      <c r="BE5" s="22" t="inlineStr">
        <is>
          <t>Parte 4.1e (conserva su fuente y su composición, T_fuente y x_b): 10 KALINA de 119 evaluados, 0 confiables · KALINA, fuera de rango (n = 10) · y: Presión de baja, P_baja [kPa]</t>
        </is>
      </c>
      <c r="BF5" s="22" t="inlineStr">
        <is>
          <t>Parte 4.1e (conserva su fuente y su composición, T_fuente y x_b): 10 KALINA de 119 evaluados, 0 confiables · KALINA, fuera de rango (n = 10) · x: Presión de alta, P_alta [kPa]</t>
        </is>
      </c>
      <c r="BG5" s="22" t="inlineStr">
        <is>
          <t>Parte 4.1e (conserva su fuente y su composición, T_fuente y x_b): 10 KALINA de 119 evaluados, 0 confiables · Corregible, fuera de rango (n = 55) · y: Presión de baja, P_baja [kPa]</t>
        </is>
      </c>
      <c r="BH5" s="22" t="inlineStr">
        <is>
          <t>Parte 4.1e (conserva su fuente y su composición, T_fuente y x_b): 10 KALINA de 119 evaluados, 0 confiables · Corregible, fuera de rango (n = 55) · x: Presión de alta, P_alta [kPa]</t>
        </is>
      </c>
      <c r="BI5" s="22" t="inlineStr">
        <is>
          <t>Parte 4.1e (conserva su fuente y su composición, T_fuente y x_b): 10 KALINA de 119 evaluados, 0 confiables · Inviable, fuera de rango (n = 17) · y: Presión de baja, P_baja [kPa]</t>
        </is>
      </c>
      <c r="BJ5" s="22" t="inlineStr">
        <is>
          <t>Parte 4.1e (conserva su fuente y su composición, T_fuente y x_b): 10 KALINA de 119 evaluados, 0 confiables · Inviable, fuera de rango (n = 17) · x: Presión de alta, P_alta [kPa]</t>
        </is>
      </c>
      <c r="BK5" s="22" t="inlineStr">
        <is>
          <t>Parte 4.1e (conserva su fuente y su composición, T_fuente y x_b): 10 KALINA de 119 evaluados, 0 confiables · No convergió (n = 37) · y: Presión de baja, P_baja [kPa]</t>
        </is>
      </c>
      <c r="BL5" s="22" t="inlineStr">
        <is>
          <t>Parte 4.1e (conserva su fuente y su composición, T_fuente y x_b): 10 KALINA de 119 evaluados, 0 confiables · No convergió (n = 37) · x: Presión de alta, P_alta [kPa]</t>
        </is>
      </c>
      <c r="BN5" s="22" t="inlineStr">
        <is>
          <t>T_sumidero = piso de O2 = 278.15 K · KALINA (n = 44) · y: Efectividad del condensador, ε_cond [–]</t>
        </is>
      </c>
      <c r="BO5" s="22" t="inlineStr">
        <is>
          <t>T_sumidero = piso de O2 = 278.15 K · KALINA (n = 44) · x: Temperatura de la fuente, T_fuente [K]</t>
        </is>
      </c>
      <c r="BP5" s="22" t="inlineStr">
        <is>
          <t>T_sumidero = piso de O2 = 278.15 K · Inviable (n = 5) · y: Efectividad del condensador, ε_cond [–]</t>
        </is>
      </c>
      <c r="BQ5" s="22" t="inlineStr">
        <is>
          <t>T_sumidero = piso de O2 = 278.15 K · Inviable (n = 5) · x: Temperatura de la fuente, T_fuente [K]</t>
        </is>
      </c>
      <c r="BR5" s="22" t="inlineStr">
        <is>
          <t>T_sumidero = piso de O2 = 278.15 K · No convergió (n = 1) · y: Efectividad del condensador, ε_cond [–]</t>
        </is>
      </c>
      <c r="BS5" s="22" t="inlineStr">
        <is>
          <t>T_sumidero = piso de O2 = 278.15 K · No convergió (n = 1) · x: Temperatura de la fuente, T_fuente [K]</t>
        </is>
      </c>
      <c r="BT5" s="22" t="inlineStr">
        <is>
          <t>T_sumidero = piso de O2 = 278.15 K · Falso convergido (n = 5) · y: Efectividad del condensador, ε_cond [–]</t>
        </is>
      </c>
      <c r="BU5" s="22" t="inlineStr">
        <is>
          <t>T_sumidero = piso de O2 = 278.15 K · Falso convergido (n = 5) · x: Temperatura de la fuente, T_fuente [K]</t>
        </is>
      </c>
      <c r="BV5" s="22" t="inlineStr">
        <is>
          <t>T_sumidero = piso de O2 = 290.65 K · KALINA (n = 44) · y: Efectividad del condensador, ε_cond [–]</t>
        </is>
      </c>
      <c r="BW5" s="22" t="inlineStr">
        <is>
          <t>T_sumidero = piso de O2 = 290.65 K · KALINA (n = 44) · x: Temperatura de la fuente, T_fuente [K]</t>
        </is>
      </c>
      <c r="BX5" s="22" t="inlineStr">
        <is>
          <t>T_sumidero = piso de O2 = 290.65 K · Corregible (n = 1) · y: Efectividad del condensador, ε_cond [–]</t>
        </is>
      </c>
      <c r="BY5" s="22" t="inlineStr">
        <is>
          <t>T_sumidero = piso de O2 = 290.65 K · Corregible (n = 1) · x: Temperatura de la fuente, T_fuente [K]</t>
        </is>
      </c>
      <c r="BZ5" s="22" t="inlineStr">
        <is>
          <t>T_sumidero = piso de O2 = 290.65 K · Inviable (n = 5) · y: Efectividad del condensador, ε_cond [–]</t>
        </is>
      </c>
      <c r="CA5" s="22" t="inlineStr">
        <is>
          <t>T_sumidero = piso de O2 = 290.65 K · Inviable (n = 5) · x: Temperatura de la fuente, T_fuente [K]</t>
        </is>
      </c>
      <c r="CB5" s="22" t="inlineStr">
        <is>
          <t>T_sumidero = piso de O2 = 290.65 K · Falso convergido (n = 5) · y: Efectividad del condensador, ε_cond [–]</t>
        </is>
      </c>
      <c r="CC5" s="22" t="inlineStr">
        <is>
          <t>T_sumidero = piso de O2 = 290.65 K · Falso convergido (n = 5) · x: Temperatura de la fuente, T_fuente [K]</t>
        </is>
      </c>
      <c r="CD5" s="22" t="inlineStr">
        <is>
          <t>T_sumidero = piso de O2 = 300.03 K · KALINA (n = 16) · y: Efectividad del condensador, ε_cond [–]</t>
        </is>
      </c>
      <c r="CE5" s="22" t="inlineStr">
        <is>
          <t>T_sumidero = piso de O2 = 300.03 K · KALINA (n = 16) · x: Temperatura de la fuente, T_fuente [K]</t>
        </is>
      </c>
      <c r="CF5" s="22" t="inlineStr">
        <is>
          <t>T_sumidero = piso de O2 = 300.03 K · Corregible (n = 29) · y: Efectividad del condensador, ε_cond [–]</t>
        </is>
      </c>
      <c r="CG5" s="22" t="inlineStr">
        <is>
          <t>T_sumidero = piso de O2 = 300.03 K · Corregible (n = 29) · x: Temperatura de la fuente, T_fuente [K]</t>
        </is>
      </c>
      <c r="CH5" s="22" t="inlineStr">
        <is>
          <t>T_sumidero = piso de O2 = 300.03 K · Inviable (n = 5) · y: Efectividad del condensador, ε_cond [–]</t>
        </is>
      </c>
      <c r="CI5" s="22" t="inlineStr">
        <is>
          <t>T_sumidero = piso de O2 = 300.03 K · Inviable (n = 5) · x: Temperatura de la fuente, T_fuente [K]</t>
        </is>
      </c>
      <c r="CJ5" s="22" t="inlineStr">
        <is>
          <t>T_sumidero = piso de O2 = 300.03 K · Falso convergido (n = 5) · y: Efectividad del condensador, ε_cond [–]</t>
        </is>
      </c>
      <c r="CK5" s="22" t="inlineStr">
        <is>
          <t>T_sumidero = piso de O2 = 300.03 K · Falso convergido (n = 5) · x: Temperatura de la fuente, T_fuente [K]</t>
        </is>
      </c>
      <c r="CM5" s="22" t="inlineStr">
        <is>
          <t>Se conservan 8 de los 10 datos de diseño del profesor y sigue habiendo KALINA · categoría: Conjunto conservado (R = ronda)</t>
        </is>
      </c>
      <c r="CN5" s="22" t="inlineStr">
        <is>
          <t>Se conservan 8 de los 10 datos de diseño del profesor y sigue habiendo KALINA · KALINA confiables</t>
        </is>
      </c>
    </row>
    <row r="6">
      <c r="A6" s="16" t="n">
        <v>1359.556702</v>
      </c>
      <c r="B6" s="16" t="n">
        <v>3905.950043</v>
      </c>
      <c r="C6" s="16" t="n">
        <v>1591.964796</v>
      </c>
      <c r="D6" s="16" t="n">
        <v>2102.198702</v>
      </c>
      <c r="E6" s="16" t="n">
        <v>1307.691395</v>
      </c>
      <c r="F6" s="16" t="n">
        <v>3323.336975</v>
      </c>
      <c r="G6" s="16" t="n">
        <v>641.705418</v>
      </c>
      <c r="H6" s="16" t="n">
        <v>3882.966115</v>
      </c>
      <c r="I6" s="16" t="n">
        <v>755.94733</v>
      </c>
      <c r="J6" s="16" t="n">
        <v>3193.334792</v>
      </c>
      <c r="K6" s="16" t="n">
        <v>1736.317338</v>
      </c>
      <c r="L6" s="16" t="n">
        <v>2226.609076</v>
      </c>
      <c r="M6" s="16" t="n">
        <v>1714.135669</v>
      </c>
      <c r="N6" s="16" t="n">
        <v>2511.33178</v>
      </c>
      <c r="O6" s="16" t="n">
        <v>745.899133</v>
      </c>
      <c r="P6" s="16" t="n">
        <v>2774.908884</v>
      </c>
      <c r="R6" s="16" t="n">
        <v>0.941685</v>
      </c>
      <c r="S6" s="16" t="n">
        <v>413.420929</v>
      </c>
      <c r="T6" s="16" t="n">
        <v>0.584323</v>
      </c>
      <c r="U6" s="16" t="n">
        <v>479.260139</v>
      </c>
      <c r="V6" s="16" t="n">
        <v>0.5453</v>
      </c>
      <c r="W6" s="16" t="n">
        <v>396.956833</v>
      </c>
      <c r="X6" s="16" t="n">
        <v>0.517545</v>
      </c>
      <c r="Y6" s="16" t="n">
        <v>581.666781</v>
      </c>
      <c r="Z6" s="16" t="n">
        <v>0.461643</v>
      </c>
      <c r="AA6" s="16" t="n">
        <v>497.198905</v>
      </c>
      <c r="AB6" s="16" t="n">
        <v>0.845907</v>
      </c>
      <c r="AC6" s="16" t="n">
        <v>569.317321</v>
      </c>
      <c r="AE6" s="16" t="n">
        <v>0.8804920000000001</v>
      </c>
      <c r="AF6" s="16" t="n">
        <v>407.846176</v>
      </c>
      <c r="AG6" s="16" t="n">
        <v>0.799091</v>
      </c>
      <c r="AH6" s="16" t="n">
        <v>518.457465</v>
      </c>
      <c r="AI6" s="16" t="n">
        <v>0.443225</v>
      </c>
      <c r="AJ6" s="16" t="n">
        <v>405.825722</v>
      </c>
      <c r="AK6" s="16" t="n">
        <v>0.916304</v>
      </c>
      <c r="AL6" s="16" t="n">
        <v>572.75273</v>
      </c>
      <c r="AM6" s="16" t="n">
        <v>0.846947</v>
      </c>
      <c r="AN6" s="16" t="n">
        <v>543.2952340000001</v>
      </c>
      <c r="AO6" s="16" t="n">
        <v>0.749592</v>
      </c>
      <c r="AP6" s="16" t="n">
        <v>512.457825</v>
      </c>
      <c r="AR6" s="16" t="n">
        <v>1912.454776</v>
      </c>
      <c r="AS6" s="16" t="n">
        <v>0.570149</v>
      </c>
      <c r="AT6" s="16" t="n">
        <v>717.497656</v>
      </c>
      <c r="AU6" s="16" t="n">
        <v>0.707449</v>
      </c>
      <c r="AV6" s="16" t="n">
        <v>1985.568583</v>
      </c>
      <c r="AW6" s="16" t="n">
        <v>0.667485</v>
      </c>
      <c r="AX6" s="16" t="n">
        <v>1603.62277</v>
      </c>
      <c r="AY6" s="16" t="n">
        <v>0.724516</v>
      </c>
      <c r="AZ6" s="16" t="n">
        <v>277.732496</v>
      </c>
      <c r="BA6" s="16" t="n">
        <v>0.833427</v>
      </c>
      <c r="BB6" s="16" t="n">
        <v>1443.808752</v>
      </c>
      <c r="BC6" s="16" t="n">
        <v>0.717974</v>
      </c>
      <c r="BE6" s="16" t="n">
        <v>1452.54085</v>
      </c>
      <c r="BF6" s="16" t="n">
        <v>2581.2184</v>
      </c>
      <c r="BG6" s="16" t="n">
        <v>417.940933</v>
      </c>
      <c r="BH6" s="16" t="n">
        <v>3850.822822</v>
      </c>
      <c r="BI6" s="16" t="n">
        <v>689.602084</v>
      </c>
      <c r="BJ6" s="16" t="n">
        <v>4134.748966</v>
      </c>
      <c r="BK6" s="16" t="n">
        <v>1623.333334</v>
      </c>
      <c r="BL6" s="16" t="n">
        <v>3696.521691</v>
      </c>
      <c r="BN6" s="16" t="n">
        <v>0.85</v>
      </c>
      <c r="BO6" s="16" t="n">
        <v>400</v>
      </c>
      <c r="BP6" s="16" t="n">
        <v>0.85</v>
      </c>
      <c r="BQ6" s="16" t="n">
        <v>387.5</v>
      </c>
      <c r="BR6" s="16" t="n">
        <v>0.85</v>
      </c>
      <c r="BS6" s="16" t="n">
        <v>410</v>
      </c>
      <c r="BT6" s="16" t="n">
        <v>0.85</v>
      </c>
      <c r="BU6" s="16" t="n">
        <v>385</v>
      </c>
      <c r="BV6" s="16" t="n">
        <v>0.85</v>
      </c>
      <c r="BW6" s="16" t="n">
        <v>390</v>
      </c>
      <c r="BX6" s="16" t="n">
        <v>0.85</v>
      </c>
      <c r="BY6" s="16" t="n">
        <v>410</v>
      </c>
      <c r="BZ6" s="16" t="n">
        <v>0.85</v>
      </c>
      <c r="CA6" s="16" t="n">
        <v>387.5</v>
      </c>
      <c r="CB6" s="16" t="n">
        <v>0.85</v>
      </c>
      <c r="CC6" s="16" t="n">
        <v>385</v>
      </c>
      <c r="CD6" s="16" t="n">
        <v>0.875</v>
      </c>
      <c r="CE6" s="16" t="n">
        <v>390</v>
      </c>
      <c r="CF6" s="16" t="n">
        <v>0.85</v>
      </c>
      <c r="CG6" s="16" t="n">
        <v>390</v>
      </c>
      <c r="CH6" s="16" t="n">
        <v>0.85</v>
      </c>
      <c r="CI6" s="16" t="n">
        <v>387.5</v>
      </c>
      <c r="CJ6" s="16" t="n">
        <v>0.85</v>
      </c>
      <c r="CK6" s="16" t="n">
        <v>385</v>
      </c>
      <c r="CM6" s="16" t="inlineStr">
        <is>
          <t>R0 · T_fuente</t>
        </is>
      </c>
      <c r="CN6" s="16" t="n">
        <v>0</v>
      </c>
    </row>
    <row r="7">
      <c r="A7" s="16" t="n">
        <v>1965.621085</v>
      </c>
      <c r="B7" s="16" t="n">
        <v>3207.519238</v>
      </c>
      <c r="C7" s="16" t="n">
        <v>1879.350696</v>
      </c>
      <c r="D7" s="16" t="n">
        <v>4719.677389</v>
      </c>
      <c r="E7" s="16" t="n">
        <v>976.778556</v>
      </c>
      <c r="F7" s="16" t="n">
        <v>2085.115846</v>
      </c>
      <c r="G7" s="16" t="n">
        <v>934.084082</v>
      </c>
      <c r="H7" s="16" t="n">
        <v>3787.564502</v>
      </c>
      <c r="I7" s="16" t="n"/>
      <c r="J7" s="16" t="n"/>
      <c r="K7" s="16" t="n">
        <v>1169.543677</v>
      </c>
      <c r="L7" s="16" t="n">
        <v>4003.360746</v>
      </c>
      <c r="M7" s="16" t="n">
        <v>257.704077</v>
      </c>
      <c r="N7" s="16" t="n">
        <v>3259.923027</v>
      </c>
      <c r="O7" s="16" t="n">
        <v>1267.927605</v>
      </c>
      <c r="P7" s="16" t="n">
        <v>4027.732771</v>
      </c>
      <c r="R7" s="16" t="n">
        <v>0.755298</v>
      </c>
      <c r="S7" s="16" t="n">
        <v>385.145226</v>
      </c>
      <c r="T7" s="16" t="n">
        <v>0.891664</v>
      </c>
      <c r="U7" s="16" t="n">
        <v>545.04148</v>
      </c>
      <c r="V7" s="16" t="n">
        <v>0.739331</v>
      </c>
      <c r="W7" s="16" t="n">
        <v>438.154976</v>
      </c>
      <c r="X7" s="16" t="n">
        <v>0.850283</v>
      </c>
      <c r="Y7" s="16" t="n">
        <v>480.158524</v>
      </c>
      <c r="Z7" s="16" t="n">
        <v>0.582712</v>
      </c>
      <c r="AA7" s="16" t="n">
        <v>565.6323159999999</v>
      </c>
      <c r="AB7" s="16" t="n">
        <v>0.878982</v>
      </c>
      <c r="AC7" s="16" t="n">
        <v>585.213655</v>
      </c>
      <c r="AE7" s="16" t="n">
        <v>0.940895</v>
      </c>
      <c r="AF7" s="16" t="n">
        <v>452.672556</v>
      </c>
      <c r="AG7" s="16" t="n">
        <v>0.66997</v>
      </c>
      <c r="AH7" s="16" t="n">
        <v>507.094854</v>
      </c>
      <c r="AI7" s="16" t="n">
        <v>0.63311</v>
      </c>
      <c r="AJ7" s="16" t="n">
        <v>412.946154</v>
      </c>
      <c r="AK7" s="16" t="n">
        <v>0.7381529999999999</v>
      </c>
      <c r="AL7" s="16" t="n">
        <v>475.281218</v>
      </c>
      <c r="AM7" s="16" t="n">
        <v>0.7028219999999999</v>
      </c>
      <c r="AN7" s="16" t="n">
        <v>600.784031</v>
      </c>
      <c r="AO7" s="16" t="n">
        <v>0.653763</v>
      </c>
      <c r="AP7" s="16" t="n">
        <v>439.632646</v>
      </c>
      <c r="AR7" s="16" t="n">
        <v>1932.666673</v>
      </c>
      <c r="AS7" s="16" t="n">
        <v>0.621455</v>
      </c>
      <c r="AT7" s="16" t="n">
        <v>1265.430423</v>
      </c>
      <c r="AU7" s="16" t="n">
        <v>0.8164709999999999</v>
      </c>
      <c r="AV7" s="16" t="n">
        <v>1294.931971</v>
      </c>
      <c r="AW7" s="16" t="n">
        <v>0.598338</v>
      </c>
      <c r="AX7" s="16" t="n">
        <v>437.285372</v>
      </c>
      <c r="AY7" s="16" t="n">
        <v>0.729885</v>
      </c>
      <c r="AZ7" s="16" t="n">
        <v>658.48729</v>
      </c>
      <c r="BA7" s="16" t="n">
        <v>0.780815</v>
      </c>
      <c r="BB7" s="16" t="n">
        <v>1721.464244</v>
      </c>
      <c r="BC7" s="16" t="n">
        <v>0.580974</v>
      </c>
      <c r="BE7" s="16" t="n">
        <v>1242.27439</v>
      </c>
      <c r="BF7" s="16" t="n">
        <v>4808.341958</v>
      </c>
      <c r="BG7" s="16" t="n">
        <v>300.784685</v>
      </c>
      <c r="BH7" s="16" t="n">
        <v>4954.935105</v>
      </c>
      <c r="BI7" s="16" t="n">
        <v>437.419192</v>
      </c>
      <c r="BJ7" s="16" t="n">
        <v>4547.997802</v>
      </c>
      <c r="BK7" s="16" t="n">
        <v>1333.812204</v>
      </c>
      <c r="BL7" s="16" t="n">
        <v>4259.735485</v>
      </c>
      <c r="BN7" s="16" t="n">
        <v>0.85</v>
      </c>
      <c r="BO7" s="16" t="n">
        <v>397.5</v>
      </c>
      <c r="BP7" s="16" t="n">
        <v>0.875</v>
      </c>
      <c r="BQ7" s="16" t="n">
        <v>387.5</v>
      </c>
      <c r="BR7" s="16" t="n"/>
      <c r="BS7" s="16" t="n"/>
      <c r="BT7" s="16" t="n">
        <v>0.875</v>
      </c>
      <c r="BU7" s="16" t="n">
        <v>385</v>
      </c>
      <c r="BV7" s="16" t="n">
        <v>0.85</v>
      </c>
      <c r="BW7" s="16" t="n">
        <v>392.5</v>
      </c>
      <c r="BX7" s="16" t="n"/>
      <c r="BY7" s="16" t="n"/>
      <c r="BZ7" s="16" t="n">
        <v>0.875</v>
      </c>
      <c r="CA7" s="16" t="n">
        <v>387.5</v>
      </c>
      <c r="CB7" s="16" t="n">
        <v>0.875</v>
      </c>
      <c r="CC7" s="16" t="n">
        <v>385</v>
      </c>
      <c r="CD7" s="16" t="n">
        <v>0.9</v>
      </c>
      <c r="CE7" s="16" t="n">
        <v>390</v>
      </c>
      <c r="CF7" s="16" t="n">
        <v>0.85</v>
      </c>
      <c r="CG7" s="16" t="n">
        <v>392.5</v>
      </c>
      <c r="CH7" s="16" t="n">
        <v>0.875</v>
      </c>
      <c r="CI7" s="16" t="n">
        <v>387.5</v>
      </c>
      <c r="CJ7" s="16" t="n">
        <v>0.875</v>
      </c>
      <c r="CK7" s="16" t="n">
        <v>385</v>
      </c>
      <c r="CM7" s="16" t="inlineStr">
        <is>
          <t>R0 · eficiencias</t>
        </is>
      </c>
      <c r="CN7" s="16" t="n">
        <v>11</v>
      </c>
    </row>
    <row r="8">
      <c r="A8" s="16" t="n"/>
      <c r="B8" s="16" t="n"/>
      <c r="C8" s="16" t="n"/>
      <c r="D8" s="16" t="n"/>
      <c r="E8" s="16" t="n">
        <v>1720.24146</v>
      </c>
      <c r="F8" s="16" t="n">
        <v>3136.906464</v>
      </c>
      <c r="G8" s="16" t="n">
        <v>955.742601</v>
      </c>
      <c r="H8" s="16" t="n">
        <v>3497.260311</v>
      </c>
      <c r="I8" s="16" t="n"/>
      <c r="J8" s="16" t="n"/>
      <c r="K8" s="16" t="n">
        <v>424.875245</v>
      </c>
      <c r="L8" s="16" t="n">
        <v>3038.112423</v>
      </c>
      <c r="M8" s="16" t="n">
        <v>1373.168625</v>
      </c>
      <c r="N8" s="16" t="n">
        <v>3051.570071</v>
      </c>
      <c r="O8" s="16" t="n"/>
      <c r="P8" s="16" t="n"/>
      <c r="R8" s="16" t="n">
        <v>0.782175</v>
      </c>
      <c r="S8" s="16" t="n">
        <v>399.046221</v>
      </c>
      <c r="T8" s="16" t="n">
        <v>0.902822</v>
      </c>
      <c r="U8" s="16" t="n">
        <v>531.408637</v>
      </c>
      <c r="V8" s="16" t="n">
        <v>0.762946</v>
      </c>
      <c r="W8" s="16" t="n">
        <v>387.116934</v>
      </c>
      <c r="X8" s="16" t="n">
        <v>0.606315</v>
      </c>
      <c r="Y8" s="16" t="n">
        <v>542.901492</v>
      </c>
      <c r="Z8" s="16" t="n">
        <v>0.775411</v>
      </c>
      <c r="AA8" s="16" t="n">
        <v>605.227653</v>
      </c>
      <c r="AB8" s="16" t="n"/>
      <c r="AC8" s="16" t="n"/>
      <c r="AE8" s="16" t="n">
        <v>0.6727300000000001</v>
      </c>
      <c r="AF8" s="16" t="n">
        <v>423.93561</v>
      </c>
      <c r="AG8" s="16" t="n">
        <v>0.776953</v>
      </c>
      <c r="AH8" s="16" t="n">
        <v>590.46189</v>
      </c>
      <c r="AI8" s="16" t="n">
        <v>0.641082</v>
      </c>
      <c r="AJ8" s="16" t="n">
        <v>390.605634</v>
      </c>
      <c r="AK8" s="16" t="n">
        <v>0.946851</v>
      </c>
      <c r="AL8" s="16" t="n">
        <v>568.244737</v>
      </c>
      <c r="AM8" s="16" t="n">
        <v>0.584759</v>
      </c>
      <c r="AN8" s="16" t="n">
        <v>556.5731039999999</v>
      </c>
      <c r="AO8" s="16" t="n">
        <v>0.611607</v>
      </c>
      <c r="AP8" s="16" t="n">
        <v>500.514303</v>
      </c>
      <c r="AR8" s="16" t="n">
        <v>1564.57745</v>
      </c>
      <c r="AS8" s="16" t="n">
        <v>0.52172</v>
      </c>
      <c r="AT8" s="16" t="n">
        <v>1632.870835</v>
      </c>
      <c r="AU8" s="16" t="n">
        <v>0.814341</v>
      </c>
      <c r="AV8" s="16" t="n">
        <v>1389.441794</v>
      </c>
      <c r="AW8" s="16" t="n">
        <v>0.695904</v>
      </c>
      <c r="AX8" s="16" t="n">
        <v>1870.145025</v>
      </c>
      <c r="AY8" s="16" t="n">
        <v>0.590822</v>
      </c>
      <c r="AZ8" s="16" t="n">
        <v>1689.370074</v>
      </c>
      <c r="BA8" s="16" t="n">
        <v>0.7993130000000001</v>
      </c>
      <c r="BB8" s="16" t="n"/>
      <c r="BC8" s="16" t="n"/>
      <c r="BE8" s="16" t="n">
        <v>1482.120404</v>
      </c>
      <c r="BF8" s="16" t="n">
        <v>4753.345145</v>
      </c>
      <c r="BG8" s="16" t="n">
        <v>1918.091985</v>
      </c>
      <c r="BH8" s="16" t="n">
        <v>3375.557229</v>
      </c>
      <c r="BI8" s="16" t="n">
        <v>1504.007863</v>
      </c>
      <c r="BJ8" s="16" t="n">
        <v>3280.66468</v>
      </c>
      <c r="BK8" s="16" t="n">
        <v>1999.256496</v>
      </c>
      <c r="BL8" s="16" t="n">
        <v>2398.900734</v>
      </c>
      <c r="BN8" s="16" t="n">
        <v>0.85</v>
      </c>
      <c r="BO8" s="16" t="n">
        <v>395</v>
      </c>
      <c r="BP8" s="16" t="n">
        <v>0.9</v>
      </c>
      <c r="BQ8" s="16" t="n">
        <v>387.5</v>
      </c>
      <c r="BR8" s="16" t="n"/>
      <c r="BS8" s="16" t="n"/>
      <c r="BT8" s="16" t="n">
        <v>0.9</v>
      </c>
      <c r="BU8" s="16" t="n">
        <v>385</v>
      </c>
      <c r="BV8" s="16" t="n">
        <v>0.85</v>
      </c>
      <c r="BW8" s="16" t="n">
        <v>397.5</v>
      </c>
      <c r="BX8" s="16" t="n"/>
      <c r="BY8" s="16" t="n"/>
      <c r="BZ8" s="16" t="n">
        <v>0.9</v>
      </c>
      <c r="CA8" s="16" t="n">
        <v>387.5</v>
      </c>
      <c r="CB8" s="16" t="n">
        <v>0.9</v>
      </c>
      <c r="CC8" s="16" t="n">
        <v>385</v>
      </c>
      <c r="CD8" s="16" t="n">
        <v>0.9</v>
      </c>
      <c r="CE8" s="16" t="n">
        <v>392.5</v>
      </c>
      <c r="CF8" s="16" t="n">
        <v>0.85</v>
      </c>
      <c r="CG8" s="16" t="n">
        <v>395</v>
      </c>
      <c r="CH8" s="16" t="n">
        <v>0.9</v>
      </c>
      <c r="CI8" s="16" t="n">
        <v>387.5</v>
      </c>
      <c r="CJ8" s="16" t="n">
        <v>0.9</v>
      </c>
      <c r="CK8" s="16" t="n">
        <v>385</v>
      </c>
      <c r="CM8" s="16" t="inlineStr">
        <is>
          <t>R0 · P_alta</t>
        </is>
      </c>
      <c r="CN8" s="16" t="n">
        <v>12</v>
      </c>
    </row>
    <row r="9">
      <c r="A9" s="16" t="n"/>
      <c r="B9" s="16" t="n"/>
      <c r="C9" s="16" t="n"/>
      <c r="D9" s="16" t="n"/>
      <c r="E9" s="16" t="n">
        <v>724.9278839999999</v>
      </c>
      <c r="F9" s="16" t="n">
        <v>2398.19249</v>
      </c>
      <c r="G9" s="16" t="n">
        <v>1253.143857</v>
      </c>
      <c r="H9" s="16" t="n">
        <v>3943.330238</v>
      </c>
      <c r="I9" s="16" t="n"/>
      <c r="J9" s="16" t="n"/>
      <c r="K9" s="16" t="n">
        <v>990.150001</v>
      </c>
      <c r="L9" s="16" t="n">
        <v>2350.886433</v>
      </c>
      <c r="M9" s="16" t="n">
        <v>858.824219</v>
      </c>
      <c r="N9" s="16" t="n">
        <v>4414.509893</v>
      </c>
      <c r="O9" s="16" t="n"/>
      <c r="P9" s="16" t="n"/>
      <c r="R9" s="16" t="n">
        <v>0.92345</v>
      </c>
      <c r="S9" s="16" t="n">
        <v>391.158347</v>
      </c>
      <c r="T9" s="16" t="n">
        <v>0.695018</v>
      </c>
      <c r="U9" s="16" t="n">
        <v>520.0674780000001</v>
      </c>
      <c r="V9" s="16" t="n">
        <v>0.871784</v>
      </c>
      <c r="W9" s="16" t="n">
        <v>381.609285</v>
      </c>
      <c r="X9" s="16" t="n">
        <v>0.402092</v>
      </c>
      <c r="Y9" s="16" t="n">
        <v>486.711191</v>
      </c>
      <c r="Z9" s="16" t="n">
        <v>0.854331</v>
      </c>
      <c r="AA9" s="16" t="n">
        <v>592.567852</v>
      </c>
      <c r="AB9" s="16" t="n"/>
      <c r="AC9" s="16" t="n"/>
      <c r="AE9" s="16" t="n">
        <v>0.840376</v>
      </c>
      <c r="AF9" s="16" t="n">
        <v>398.18507</v>
      </c>
      <c r="AG9" s="16" t="n">
        <v>0.78761</v>
      </c>
      <c r="AH9" s="16" t="n">
        <v>551.009084</v>
      </c>
      <c r="AI9" s="16" t="n">
        <v>0.767418</v>
      </c>
      <c r="AJ9" s="16" t="n">
        <v>425.005641</v>
      </c>
      <c r="AK9" s="16" t="n">
        <v>0.532372</v>
      </c>
      <c r="AL9" s="16" t="n">
        <v>491.408268</v>
      </c>
      <c r="AM9" s="16" t="n">
        <v>0.54714</v>
      </c>
      <c r="AN9" s="16" t="n">
        <v>594.1732459999999</v>
      </c>
      <c r="AO9" s="16" t="n">
        <v>0.8251270000000001</v>
      </c>
      <c r="AP9" s="16" t="n">
        <v>486.355407</v>
      </c>
      <c r="AR9" s="16" t="n">
        <v>1901.570292</v>
      </c>
      <c r="AS9" s="16" t="n">
        <v>0.672289</v>
      </c>
      <c r="AT9" s="16" t="n">
        <v>1363.683993</v>
      </c>
      <c r="AU9" s="16" t="n">
        <v>0.710098</v>
      </c>
      <c r="AV9" s="16" t="n">
        <v>634.730107</v>
      </c>
      <c r="AW9" s="16" t="n">
        <v>0.538088</v>
      </c>
      <c r="AX9" s="16" t="n">
        <v>1855.910962</v>
      </c>
      <c r="AY9" s="16" t="n">
        <v>0.513045</v>
      </c>
      <c r="AZ9" s="16" t="n">
        <v>1644.868193</v>
      </c>
      <c r="BA9" s="16" t="n">
        <v>0.77959</v>
      </c>
      <c r="BB9" s="16" t="n"/>
      <c r="BC9" s="16" t="n"/>
      <c r="BE9" s="16" t="n">
        <v>1318.317117</v>
      </c>
      <c r="BF9" s="16" t="n">
        <v>2523.41862</v>
      </c>
      <c r="BG9" s="16" t="n">
        <v>1765.70253</v>
      </c>
      <c r="BH9" s="16" t="n">
        <v>2660.445962</v>
      </c>
      <c r="BI9" s="16" t="n">
        <v>1063.701321</v>
      </c>
      <c r="BJ9" s="16" t="n">
        <v>2881.616193</v>
      </c>
      <c r="BK9" s="16" t="n">
        <v>482.251448</v>
      </c>
      <c r="BL9" s="16" t="n">
        <v>3898.314041</v>
      </c>
      <c r="BN9" s="16" t="n">
        <v>0.85</v>
      </c>
      <c r="BO9" s="16" t="n">
        <v>392.5</v>
      </c>
      <c r="BP9" s="16" t="n">
        <v>0.925</v>
      </c>
      <c r="BQ9" s="16" t="n">
        <v>387.5</v>
      </c>
      <c r="BR9" s="16" t="n"/>
      <c r="BS9" s="16" t="n"/>
      <c r="BT9" s="16" t="n">
        <v>0.925</v>
      </c>
      <c r="BU9" s="16" t="n">
        <v>385</v>
      </c>
      <c r="BV9" s="16" t="n">
        <v>0.85</v>
      </c>
      <c r="BW9" s="16" t="n">
        <v>395</v>
      </c>
      <c r="BX9" s="16" t="n"/>
      <c r="BY9" s="16" t="n"/>
      <c r="BZ9" s="16" t="n">
        <v>0.925</v>
      </c>
      <c r="CA9" s="16" t="n">
        <v>387.5</v>
      </c>
      <c r="CB9" s="16" t="n">
        <v>0.925</v>
      </c>
      <c r="CC9" s="16" t="n">
        <v>385</v>
      </c>
      <c r="CD9" s="16" t="n">
        <v>0.925</v>
      </c>
      <c r="CE9" s="16" t="n">
        <v>390</v>
      </c>
      <c r="CF9" s="16" t="n">
        <v>0.85</v>
      </c>
      <c r="CG9" s="16" t="n">
        <v>397.5</v>
      </c>
      <c r="CH9" s="16" t="n">
        <v>0.925</v>
      </c>
      <c r="CI9" s="16" t="n">
        <v>387.5</v>
      </c>
      <c r="CJ9" s="16" t="n">
        <v>0.925</v>
      </c>
      <c r="CK9" s="16" t="n">
        <v>385</v>
      </c>
      <c r="CM9" s="16" t="inlineStr">
        <is>
          <t>R0 · P_baja</t>
        </is>
      </c>
      <c r="CN9" s="16" t="n">
        <v>1</v>
      </c>
    </row>
    <row r="10">
      <c r="A10" s="16" t="n"/>
      <c r="B10" s="16" t="n"/>
      <c r="C10" s="16" t="n"/>
      <c r="D10" s="16" t="n"/>
      <c r="E10" s="16" t="n">
        <v>1311.578703</v>
      </c>
      <c r="F10" s="16" t="n">
        <v>2203.371521</v>
      </c>
      <c r="G10" s="16" t="n">
        <v>343.526413</v>
      </c>
      <c r="H10" s="16" t="n">
        <v>4513.997343</v>
      </c>
      <c r="I10" s="16" t="n"/>
      <c r="J10" s="16" t="n"/>
      <c r="K10" s="16" t="n">
        <v>914.86921</v>
      </c>
      <c r="L10" s="16" t="n">
        <v>4588.461852</v>
      </c>
      <c r="M10" s="16" t="n">
        <v>1815.579123</v>
      </c>
      <c r="N10" s="16" t="n">
        <v>3425.093265</v>
      </c>
      <c r="O10" s="16" t="n"/>
      <c r="P10" s="16" t="n"/>
      <c r="R10" s="16" t="n">
        <v>0.842082</v>
      </c>
      <c r="S10" s="16" t="n">
        <v>404.255378</v>
      </c>
      <c r="T10" s="16" t="n">
        <v>0.7496699999999999</v>
      </c>
      <c r="U10" s="16" t="n">
        <v>612.1600570000001</v>
      </c>
      <c r="V10" s="16" t="n">
        <v>0.548838</v>
      </c>
      <c r="W10" s="16" t="n">
        <v>405.489376</v>
      </c>
      <c r="X10" s="16" t="n">
        <v>0.536802</v>
      </c>
      <c r="Y10" s="16" t="n">
        <v>563.521264</v>
      </c>
      <c r="Z10" s="16" t="n">
        <v>0.661147</v>
      </c>
      <c r="AA10" s="16" t="n">
        <v>553.441132</v>
      </c>
      <c r="AB10" s="16" t="n"/>
      <c r="AC10" s="16" t="n"/>
      <c r="AE10" s="16" t="n">
        <v>0.797408</v>
      </c>
      <c r="AF10" s="16" t="n">
        <v>412.108925</v>
      </c>
      <c r="AG10" s="16" t="n">
        <v>0.479214</v>
      </c>
      <c r="AH10" s="16" t="n">
        <v>553.808204</v>
      </c>
      <c r="AI10" s="16" t="n">
        <v>0.837797</v>
      </c>
      <c r="AJ10" s="16" t="n">
        <v>399.992104</v>
      </c>
      <c r="AK10" s="16" t="n">
        <v>0.497521</v>
      </c>
      <c r="AL10" s="16" t="n">
        <v>609.1063810000001</v>
      </c>
      <c r="AM10" s="16" t="n">
        <v>0.495455</v>
      </c>
      <c r="AN10" s="16" t="n">
        <v>537.161358</v>
      </c>
      <c r="AO10" s="16" t="n">
        <v>0.8353</v>
      </c>
      <c r="AP10" s="16" t="n">
        <v>571.955772</v>
      </c>
      <c r="AR10" s="16" t="n">
        <v>955.285839</v>
      </c>
      <c r="AS10" s="16" t="n">
        <v>0.544299</v>
      </c>
      <c r="AT10" s="16" t="n">
        <v>1250.802766</v>
      </c>
      <c r="AU10" s="16" t="n">
        <v>0.830912</v>
      </c>
      <c r="AV10" s="16" t="n">
        <v>613.7354779999999</v>
      </c>
      <c r="AW10" s="16" t="n">
        <v>0.706251</v>
      </c>
      <c r="AX10" s="16" t="n">
        <v>1516.723891</v>
      </c>
      <c r="AY10" s="16" t="n">
        <v>0.626189</v>
      </c>
      <c r="AZ10" s="16" t="n">
        <v>311.950183</v>
      </c>
      <c r="BA10" s="16" t="n">
        <v>0.601893</v>
      </c>
      <c r="BB10" s="16" t="n"/>
      <c r="BC10" s="16" t="n"/>
      <c r="BE10" s="16" t="n">
        <v>1174.954453</v>
      </c>
      <c r="BF10" s="16" t="n">
        <v>2932.411036</v>
      </c>
      <c r="BG10" s="16" t="n">
        <v>1470.474804</v>
      </c>
      <c r="BH10" s="16" t="n">
        <v>4216.081291</v>
      </c>
      <c r="BI10" s="16" t="n">
        <v>463.011219</v>
      </c>
      <c r="BJ10" s="16" t="n">
        <v>3112.088176</v>
      </c>
      <c r="BK10" s="16" t="n">
        <v>1293.753796</v>
      </c>
      <c r="BL10" s="16" t="n">
        <v>3703.524602</v>
      </c>
      <c r="BN10" s="16" t="n">
        <v>0.85</v>
      </c>
      <c r="BO10" s="16" t="n">
        <v>390</v>
      </c>
      <c r="BP10" s="16" t="n">
        <v>0.95</v>
      </c>
      <c r="BQ10" s="16" t="n">
        <v>387.5</v>
      </c>
      <c r="BR10" s="16" t="n"/>
      <c r="BS10" s="16" t="n"/>
      <c r="BT10" s="16" t="n">
        <v>0.95</v>
      </c>
      <c r="BU10" s="16" t="n">
        <v>385</v>
      </c>
      <c r="BV10" s="16" t="n">
        <v>0.85</v>
      </c>
      <c r="BW10" s="16" t="n">
        <v>400</v>
      </c>
      <c r="BX10" s="16" t="n"/>
      <c r="BY10" s="16" t="n"/>
      <c r="BZ10" s="16" t="n">
        <v>0.95</v>
      </c>
      <c r="CA10" s="16" t="n">
        <v>387.5</v>
      </c>
      <c r="CB10" s="16" t="n">
        <v>0.95</v>
      </c>
      <c r="CC10" s="16" t="n">
        <v>385</v>
      </c>
      <c r="CD10" s="16" t="n">
        <v>0.925</v>
      </c>
      <c r="CE10" s="16" t="n">
        <v>392.5</v>
      </c>
      <c r="CF10" s="16" t="n">
        <v>0.85</v>
      </c>
      <c r="CG10" s="16" t="n">
        <v>400</v>
      </c>
      <c r="CH10" s="16" t="n">
        <v>0.95</v>
      </c>
      <c r="CI10" s="16" t="n">
        <v>387.5</v>
      </c>
      <c r="CJ10" s="16" t="n">
        <v>0.95</v>
      </c>
      <c r="CK10" s="16" t="n">
        <v>385</v>
      </c>
      <c r="CM10" s="16" t="inlineStr">
        <is>
          <t>R0 · T_sumidero</t>
        </is>
      </c>
      <c r="CN10" s="16" t="n">
        <v>13</v>
      </c>
    </row>
    <row r="11">
      <c r="A11" s="16" t="n"/>
      <c r="B11" s="16" t="n"/>
      <c r="C11" s="16" t="n"/>
      <c r="D11" s="16" t="n"/>
      <c r="E11" s="16" t="n"/>
      <c r="F11" s="16" t="n"/>
      <c r="G11" s="16" t="n">
        <v>1009.088869</v>
      </c>
      <c r="H11" s="16" t="n">
        <v>3522.052753</v>
      </c>
      <c r="I11" s="16" t="n"/>
      <c r="J11" s="16" t="n"/>
      <c r="K11" s="16" t="n">
        <v>267.990836</v>
      </c>
      <c r="L11" s="16" t="n">
        <v>4556.625465</v>
      </c>
      <c r="M11" s="16" t="n">
        <v>680.44074</v>
      </c>
      <c r="N11" s="16" t="n">
        <v>4621.859088</v>
      </c>
      <c r="O11" s="16" t="n"/>
      <c r="P11" s="16" t="n"/>
      <c r="R11" s="16" t="n">
        <v>0.910242</v>
      </c>
      <c r="S11" s="16" t="n">
        <v>550.591009</v>
      </c>
      <c r="T11" s="16" t="n">
        <v>0.643664</v>
      </c>
      <c r="U11" s="16" t="n">
        <v>473.737169</v>
      </c>
      <c r="V11" s="16" t="n">
        <v>0.947396</v>
      </c>
      <c r="W11" s="16" t="n">
        <v>411.132549</v>
      </c>
      <c r="X11" s="16" t="n">
        <v>0.898135</v>
      </c>
      <c r="Y11" s="16" t="n">
        <v>523.981986</v>
      </c>
      <c r="Z11" s="16" t="n">
        <v>0.472966</v>
      </c>
      <c r="AA11" s="16" t="n">
        <v>597.491453</v>
      </c>
      <c r="AB11" s="16" t="n"/>
      <c r="AC11" s="16" t="n"/>
      <c r="AE11" s="16" t="n">
        <v>0.935939</v>
      </c>
      <c r="AF11" s="16" t="n">
        <v>427.896661</v>
      </c>
      <c r="AG11" s="16" t="n">
        <v>0.855341</v>
      </c>
      <c r="AH11" s="16" t="n">
        <v>443.516506</v>
      </c>
      <c r="AI11" s="16" t="n">
        <v>0.644069</v>
      </c>
      <c r="AJ11" s="16" t="n">
        <v>408.918628</v>
      </c>
      <c r="AK11" s="16" t="n">
        <v>0.861003</v>
      </c>
      <c r="AL11" s="16" t="n">
        <v>532.675108</v>
      </c>
      <c r="AM11" s="16" t="n">
        <v>0.680319</v>
      </c>
      <c r="AN11" s="16" t="n">
        <v>606.718785</v>
      </c>
      <c r="AO11" s="16" t="n">
        <v>0.89384</v>
      </c>
      <c r="AP11" s="16" t="n">
        <v>526.079187</v>
      </c>
      <c r="AR11" s="16" t="n">
        <v>1105.022251</v>
      </c>
      <c r="AS11" s="16" t="n">
        <v>0.520106</v>
      </c>
      <c r="AT11" s="16" t="n">
        <v>1812.737714</v>
      </c>
      <c r="AU11" s="16" t="n">
        <v>0.838033</v>
      </c>
      <c r="AV11" s="16" t="n">
        <v>857.43315</v>
      </c>
      <c r="AW11" s="16" t="n">
        <v>0.665306</v>
      </c>
      <c r="AX11" s="16" t="n">
        <v>743.84907</v>
      </c>
      <c r="AY11" s="16" t="n">
        <v>0.720739</v>
      </c>
      <c r="AZ11" s="16" t="n">
        <v>1735.891138</v>
      </c>
      <c r="BA11" s="16" t="n">
        <v>0.802947</v>
      </c>
      <c r="BB11" s="16" t="n"/>
      <c r="BC11" s="16" t="n"/>
      <c r="BE11" s="16" t="n">
        <v>1723.922023</v>
      </c>
      <c r="BF11" s="16" t="n">
        <v>4163.604261</v>
      </c>
      <c r="BG11" s="16" t="n">
        <v>331.085283</v>
      </c>
      <c r="BH11" s="16" t="n">
        <v>2642.853839</v>
      </c>
      <c r="BI11" s="16" t="n">
        <v>1708.007145</v>
      </c>
      <c r="BJ11" s="16" t="n">
        <v>3541.389591</v>
      </c>
      <c r="BK11" s="16" t="n">
        <v>843.01113</v>
      </c>
      <c r="BL11" s="16" t="n">
        <v>2763.248023</v>
      </c>
      <c r="BN11" s="16" t="n">
        <v>0.85</v>
      </c>
      <c r="BO11" s="16" t="n">
        <v>405</v>
      </c>
      <c r="BP11" s="16" t="n"/>
      <c r="BQ11" s="16" t="n"/>
      <c r="BR11" s="16" t="n"/>
      <c r="BS11" s="16" t="n"/>
      <c r="BT11" s="16" t="n"/>
      <c r="BU11" s="16" t="n"/>
      <c r="BV11" s="16" t="n">
        <v>0.85</v>
      </c>
      <c r="BW11" s="16" t="n">
        <v>402.5</v>
      </c>
      <c r="BX11" s="16" t="n"/>
      <c r="BY11" s="16" t="n"/>
      <c r="BZ11" s="16" t="n"/>
      <c r="CA11" s="16" t="n"/>
      <c r="CB11" s="16" t="n"/>
      <c r="CC11" s="16" t="n"/>
      <c r="CD11" s="16" t="n">
        <v>0.925</v>
      </c>
      <c r="CE11" s="16" t="n">
        <v>395</v>
      </c>
      <c r="CF11" s="16" t="n">
        <v>0.85</v>
      </c>
      <c r="CG11" s="16" t="n">
        <v>407.5</v>
      </c>
      <c r="CH11" s="16" t="n"/>
      <c r="CI11" s="16" t="n"/>
      <c r="CJ11" s="16" t="n"/>
      <c r="CK11" s="16" t="n"/>
      <c r="CM11" s="16" t="inlineStr">
        <is>
          <t>R0 · x_b</t>
        </is>
      </c>
      <c r="CN11" s="16" t="n">
        <v>15</v>
      </c>
    </row>
    <row r="12">
      <c r="A12" s="16" t="n"/>
      <c r="B12" s="16" t="n"/>
      <c r="C12" s="16" t="n"/>
      <c r="D12" s="16" t="n"/>
      <c r="E12" s="16" t="n"/>
      <c r="F12" s="16" t="n"/>
      <c r="G12" s="16" t="n">
        <v>888.028639</v>
      </c>
      <c r="H12" s="16" t="n">
        <v>4364.298375</v>
      </c>
      <c r="I12" s="16" t="n"/>
      <c r="J12" s="16" t="n"/>
      <c r="K12" s="16" t="n">
        <v>572.218424</v>
      </c>
      <c r="L12" s="16" t="n">
        <v>4324.351819</v>
      </c>
      <c r="M12" s="16" t="n">
        <v>397.638435</v>
      </c>
      <c r="N12" s="16" t="n">
        <v>2172.75191</v>
      </c>
      <c r="O12" s="16" t="n"/>
      <c r="P12" s="16" t="n"/>
      <c r="R12" s="16" t="n">
        <v>0.9351120000000001</v>
      </c>
      <c r="S12" s="16" t="n">
        <v>455.527073</v>
      </c>
      <c r="T12" s="16" t="n">
        <v>0.937215</v>
      </c>
      <c r="U12" s="16" t="n">
        <v>492.022168</v>
      </c>
      <c r="V12" s="16" t="n">
        <v>0.792918</v>
      </c>
      <c r="W12" s="16" t="n">
        <v>394.834012</v>
      </c>
      <c r="X12" s="16" t="n">
        <v>0.497056</v>
      </c>
      <c r="Y12" s="16" t="n">
        <v>512.3897040000001</v>
      </c>
      <c r="Z12" s="16" t="n">
        <v>0.623335</v>
      </c>
      <c r="AA12" s="16" t="n">
        <v>523.249295</v>
      </c>
      <c r="AB12" s="16" t="n"/>
      <c r="AC12" s="16" t="n"/>
      <c r="AE12" s="16" t="n"/>
      <c r="AF12" s="16" t="n"/>
      <c r="AG12" s="16" t="n">
        <v>0.688376</v>
      </c>
      <c r="AH12" s="16" t="n">
        <v>474.97579</v>
      </c>
      <c r="AI12" s="16" t="n">
        <v>0.412125</v>
      </c>
      <c r="AJ12" s="16" t="n">
        <v>388.441086</v>
      </c>
      <c r="AK12" s="16" t="n">
        <v>0.475988</v>
      </c>
      <c r="AL12" s="16" t="n">
        <v>511.653065</v>
      </c>
      <c r="AM12" s="16" t="n">
        <v>0.593655</v>
      </c>
      <c r="AN12" s="16" t="n">
        <v>580.521626</v>
      </c>
      <c r="AO12" s="16" t="n"/>
      <c r="AP12" s="16" t="n"/>
      <c r="AR12" s="16" t="n"/>
      <c r="AS12" s="16" t="n"/>
      <c r="AT12" s="16" t="n">
        <v>1967.420638</v>
      </c>
      <c r="AU12" s="16" t="n">
        <v>0.820844</v>
      </c>
      <c r="AV12" s="16" t="n">
        <v>534.62023</v>
      </c>
      <c r="AW12" s="16" t="n">
        <v>0.549451</v>
      </c>
      <c r="AX12" s="16" t="n">
        <v>248.959157</v>
      </c>
      <c r="AY12" s="16" t="n">
        <v>0.594583</v>
      </c>
      <c r="AZ12" s="16" t="n">
        <v>1138.318128</v>
      </c>
      <c r="BA12" s="16" t="n">
        <v>0.645618</v>
      </c>
      <c r="BB12" s="16" t="n"/>
      <c r="BC12" s="16" t="n"/>
      <c r="BE12" s="16" t="n">
        <v>1810.585322</v>
      </c>
      <c r="BF12" s="16" t="n">
        <v>3976.493599</v>
      </c>
      <c r="BG12" s="16" t="n">
        <v>1019.504315</v>
      </c>
      <c r="BH12" s="16" t="n">
        <v>2982.60583</v>
      </c>
      <c r="BI12" s="16" t="n">
        <v>1080.964267</v>
      </c>
      <c r="BJ12" s="16" t="n">
        <v>2693.879926</v>
      </c>
      <c r="BK12" s="16" t="n">
        <v>1892.756759</v>
      </c>
      <c r="BL12" s="16" t="n">
        <v>2307.164343</v>
      </c>
      <c r="BN12" s="16" t="n">
        <v>0.85</v>
      </c>
      <c r="BO12" s="16" t="n">
        <v>402.5</v>
      </c>
      <c r="BP12" s="16" t="n"/>
      <c r="BQ12" s="16" t="n"/>
      <c r="BR12" s="16" t="n"/>
      <c r="BS12" s="16" t="n"/>
      <c r="BT12" s="16" t="n"/>
      <c r="BU12" s="16" t="n"/>
      <c r="BV12" s="16" t="n">
        <v>0.85</v>
      </c>
      <c r="BW12" s="16" t="n">
        <v>407.5</v>
      </c>
      <c r="BX12" s="16" t="n"/>
      <c r="BY12" s="16" t="n"/>
      <c r="BZ12" s="16" t="n"/>
      <c r="CA12" s="16" t="n"/>
      <c r="CB12" s="16" t="n"/>
      <c r="CC12" s="16" t="n"/>
      <c r="CD12" s="16" t="n">
        <v>0.925</v>
      </c>
      <c r="CE12" s="16" t="n">
        <v>397.5</v>
      </c>
      <c r="CF12" s="16" t="n">
        <v>0.85</v>
      </c>
      <c r="CG12" s="16" t="n">
        <v>402.5</v>
      </c>
      <c r="CH12" s="16" t="n"/>
      <c r="CI12" s="16" t="n"/>
      <c r="CJ12" s="16" t="n"/>
      <c r="CK12" s="16" t="n"/>
      <c r="CM12" s="16" t="inlineStr">
        <is>
          <t>R1 · x_b+T_fuente</t>
        </is>
      </c>
      <c r="CN12" s="16" t="n">
        <v>0</v>
      </c>
    </row>
    <row r="13">
      <c r="A13" s="16" t="n"/>
      <c r="B13" s="16" t="n"/>
      <c r="C13" s="16" t="n"/>
      <c r="D13" s="16" t="n"/>
      <c r="E13" s="16" t="n"/>
      <c r="F13" s="16" t="n"/>
      <c r="G13" s="16" t="n">
        <v>1563.280705</v>
      </c>
      <c r="H13" s="16" t="n">
        <v>4153.593753</v>
      </c>
      <c r="I13" s="16" t="n"/>
      <c r="J13" s="16" t="n"/>
      <c r="K13" s="16" t="n">
        <v>457.143031</v>
      </c>
      <c r="L13" s="16" t="n">
        <v>4119.294535</v>
      </c>
      <c r="M13" s="16" t="n">
        <v>1043.788125</v>
      </c>
      <c r="N13" s="16" t="n">
        <v>4399.537383</v>
      </c>
      <c r="O13" s="16" t="n"/>
      <c r="P13" s="16" t="n"/>
      <c r="R13" s="16" t="n">
        <v>0.701806</v>
      </c>
      <c r="S13" s="16" t="n">
        <v>448.825037</v>
      </c>
      <c r="T13" s="16" t="n">
        <v>0.928828</v>
      </c>
      <c r="U13" s="16" t="n">
        <v>580.478447</v>
      </c>
      <c r="V13" s="16" t="n">
        <v>0.540768</v>
      </c>
      <c r="W13" s="16" t="n">
        <v>393.43663</v>
      </c>
      <c r="X13" s="16" t="n">
        <v>0.434818</v>
      </c>
      <c r="Y13" s="16" t="n">
        <v>425.892125</v>
      </c>
      <c r="Z13" s="16" t="n">
        <v>0.408424</v>
      </c>
      <c r="AA13" s="16" t="n">
        <v>599.952784</v>
      </c>
      <c r="AB13" s="16" t="n"/>
      <c r="AC13" s="16" t="n"/>
      <c r="AE13" s="16" t="n"/>
      <c r="AF13" s="16" t="n"/>
      <c r="AG13" s="16" t="n">
        <v>0.898379</v>
      </c>
      <c r="AH13" s="16" t="n">
        <v>455.433753</v>
      </c>
      <c r="AI13" s="16" t="n">
        <v>0.7022080000000001</v>
      </c>
      <c r="AJ13" s="16" t="n">
        <v>386.853224</v>
      </c>
      <c r="AK13" s="16" t="n">
        <v>0.581495</v>
      </c>
      <c r="AL13" s="16" t="n">
        <v>447.963398</v>
      </c>
      <c r="AM13" s="16" t="n">
        <v>0.620272</v>
      </c>
      <c r="AN13" s="16" t="n">
        <v>603.558796</v>
      </c>
      <c r="AO13" s="16" t="n"/>
      <c r="AP13" s="16" t="n"/>
      <c r="AR13" s="16" t="n"/>
      <c r="AS13" s="16" t="n"/>
      <c r="AT13" s="16" t="n"/>
      <c r="AU13" s="16" t="n"/>
      <c r="AV13" s="16" t="n">
        <v>550.603554</v>
      </c>
      <c r="AW13" s="16" t="n">
        <v>0.61532</v>
      </c>
      <c r="AX13" s="16" t="n">
        <v>761.778791</v>
      </c>
      <c r="AY13" s="16" t="n">
        <v>0.526802</v>
      </c>
      <c r="AZ13" s="16" t="n">
        <v>1660.614435</v>
      </c>
      <c r="BA13" s="16" t="n">
        <v>0.82422</v>
      </c>
      <c r="BB13" s="16" t="n"/>
      <c r="BC13" s="16" t="n"/>
      <c r="BE13" s="16" t="n">
        <v>1594.898412</v>
      </c>
      <c r="BF13" s="16" t="n">
        <v>4623.762886</v>
      </c>
      <c r="BG13" s="16" t="n">
        <v>1439.657167</v>
      </c>
      <c r="BH13" s="16" t="n">
        <v>3744.982059</v>
      </c>
      <c r="BI13" s="16" t="n">
        <v>729.978086</v>
      </c>
      <c r="BJ13" s="16" t="n">
        <v>2402.886748</v>
      </c>
      <c r="BK13" s="16" t="n">
        <v>398.00124</v>
      </c>
      <c r="BL13" s="16" t="n">
        <v>2023.003329</v>
      </c>
      <c r="BN13" s="16" t="n">
        <v>0.85</v>
      </c>
      <c r="BO13" s="16" t="n">
        <v>407.5</v>
      </c>
      <c r="BP13" s="16" t="n"/>
      <c r="BQ13" s="16" t="n"/>
      <c r="BR13" s="16" t="n"/>
      <c r="BS13" s="16" t="n"/>
      <c r="BT13" s="16" t="n"/>
      <c r="BU13" s="16" t="n"/>
      <c r="BV13" s="16" t="n">
        <v>0.85</v>
      </c>
      <c r="BW13" s="16" t="n">
        <v>405</v>
      </c>
      <c r="BX13" s="16" t="n"/>
      <c r="BY13" s="16" t="n"/>
      <c r="BZ13" s="16" t="n"/>
      <c r="CA13" s="16" t="n"/>
      <c r="CB13" s="16" t="n"/>
      <c r="CC13" s="16" t="n"/>
      <c r="CD13" s="16" t="n">
        <v>0.95</v>
      </c>
      <c r="CE13" s="16" t="n">
        <v>390</v>
      </c>
      <c r="CF13" s="16" t="n">
        <v>0.85</v>
      </c>
      <c r="CG13" s="16" t="n">
        <v>405</v>
      </c>
      <c r="CH13" s="16" t="n"/>
      <c r="CI13" s="16" t="n"/>
      <c r="CJ13" s="16" t="n"/>
      <c r="CK13" s="16" t="n"/>
      <c r="CM13" s="16" t="inlineStr">
        <is>
          <t>R1 · x_b+eficiencias</t>
        </is>
      </c>
      <c r="CN13" s="16" t="n">
        <v>6</v>
      </c>
    </row>
    <row r="14">
      <c r="A14" s="16" t="n"/>
      <c r="B14" s="16" t="n"/>
      <c r="C14" s="16" t="n"/>
      <c r="D14" s="16" t="n"/>
      <c r="E14" s="16" t="n"/>
      <c r="F14" s="16" t="n"/>
      <c r="G14" s="16" t="n">
        <v>1927.876397</v>
      </c>
      <c r="H14" s="16" t="n">
        <v>3767.5372</v>
      </c>
      <c r="I14" s="16" t="n"/>
      <c r="J14" s="16" t="n"/>
      <c r="K14" s="16" t="n">
        <v>1136.049666</v>
      </c>
      <c r="L14" s="16" t="n">
        <v>2342.952331</v>
      </c>
      <c r="M14" s="16" t="n">
        <v>662.985063</v>
      </c>
      <c r="N14" s="16" t="n">
        <v>3836.438192</v>
      </c>
      <c r="O14" s="16" t="n"/>
      <c r="P14" s="16" t="n"/>
      <c r="R14" s="16" t="n">
        <v>0.729448</v>
      </c>
      <c r="S14" s="16" t="n">
        <v>534.081517</v>
      </c>
      <c r="T14" s="16" t="n">
        <v>0.409929</v>
      </c>
      <c r="U14" s="16" t="n">
        <v>481.744565</v>
      </c>
      <c r="V14" s="16" t="n">
        <v>0.825114</v>
      </c>
      <c r="W14" s="16" t="n">
        <v>439.753034</v>
      </c>
      <c r="X14" s="16" t="n">
        <v>0.552346</v>
      </c>
      <c r="Y14" s="16" t="n">
        <v>489.414168</v>
      </c>
      <c r="Z14" s="16" t="n">
        <v>0.465297</v>
      </c>
      <c r="AA14" s="16" t="n">
        <v>593.774762</v>
      </c>
      <c r="AB14" s="16" t="n"/>
      <c r="AC14" s="16" t="n"/>
      <c r="AE14" s="16" t="n"/>
      <c r="AF14" s="16" t="n"/>
      <c r="AG14" s="16" t="n">
        <v>0.757881</v>
      </c>
      <c r="AH14" s="16" t="n">
        <v>469.932663</v>
      </c>
      <c r="AI14" s="16" t="n">
        <v>0.7262960000000001</v>
      </c>
      <c r="AJ14" s="16" t="n">
        <v>437.257253</v>
      </c>
      <c r="AK14" s="16" t="n">
        <v>0.57106</v>
      </c>
      <c r="AL14" s="16" t="n">
        <v>504.238661</v>
      </c>
      <c r="AM14" s="16" t="n">
        <v>0.597733</v>
      </c>
      <c r="AN14" s="16" t="n">
        <v>598.2845</v>
      </c>
      <c r="AO14" s="16" t="n"/>
      <c r="AP14" s="16" t="n"/>
      <c r="AR14" s="16" t="n"/>
      <c r="AS14" s="16" t="n"/>
      <c r="AT14" s="16" t="n"/>
      <c r="AU14" s="16" t="n"/>
      <c r="AV14" s="16" t="n">
        <v>916.0600449999999</v>
      </c>
      <c r="AW14" s="16" t="n">
        <v>0.740626</v>
      </c>
      <c r="AX14" s="16" t="n">
        <v>326.76899</v>
      </c>
      <c r="AY14" s="16" t="n">
        <v>0.690746</v>
      </c>
      <c r="AZ14" s="16" t="n">
        <v>1705.634981</v>
      </c>
      <c r="BA14" s="16" t="n">
        <v>0.754073</v>
      </c>
      <c r="BB14" s="16" t="n"/>
      <c r="BC14" s="16" t="n"/>
      <c r="BE14" s="16" t="n">
        <v>654.5530199999999</v>
      </c>
      <c r="BF14" s="16" t="n">
        <v>3634.003879</v>
      </c>
      <c r="BG14" s="16" t="n">
        <v>1545.006974</v>
      </c>
      <c r="BH14" s="16" t="n">
        <v>4356.297294</v>
      </c>
      <c r="BI14" s="16" t="n">
        <v>666.5971489999999</v>
      </c>
      <c r="BJ14" s="16" t="n">
        <v>3418.411068</v>
      </c>
      <c r="BK14" s="16" t="n">
        <v>633.338834</v>
      </c>
      <c r="BL14" s="16" t="n">
        <v>4414.941703</v>
      </c>
      <c r="BN14" s="16" t="n">
        <v>0.875</v>
      </c>
      <c r="BO14" s="16" t="n">
        <v>390</v>
      </c>
      <c r="BP14" s="16" t="n"/>
      <c r="BQ14" s="16" t="n"/>
      <c r="BR14" s="16" t="n"/>
      <c r="BS14" s="16" t="n"/>
      <c r="BT14" s="16" t="n"/>
      <c r="BU14" s="16" t="n"/>
      <c r="BV14" s="16" t="n">
        <v>0.875</v>
      </c>
      <c r="BW14" s="16" t="n">
        <v>390</v>
      </c>
      <c r="BX14" s="16" t="n"/>
      <c r="BY14" s="16" t="n"/>
      <c r="BZ14" s="16" t="n"/>
      <c r="CA14" s="16" t="n"/>
      <c r="CB14" s="16" t="n"/>
      <c r="CC14" s="16" t="n"/>
      <c r="CD14" s="16" t="n">
        <v>0.95</v>
      </c>
      <c r="CE14" s="16" t="n">
        <v>392.5</v>
      </c>
      <c r="CF14" s="16" t="n">
        <v>0.85</v>
      </c>
      <c r="CG14" s="16" t="n">
        <v>410</v>
      </c>
      <c r="CH14" s="16" t="n"/>
      <c r="CI14" s="16" t="n"/>
      <c r="CJ14" s="16" t="n"/>
      <c r="CK14" s="16" t="n"/>
      <c r="CM14" s="16" t="inlineStr">
        <is>
          <t>R1 · x_b+P_alta</t>
        </is>
      </c>
      <c r="CN14" s="16" t="n">
        <v>7</v>
      </c>
    </row>
    <row r="15">
      <c r="A15" s="16" t="n"/>
      <c r="B15" s="16" t="n"/>
      <c r="C15" s="16" t="n"/>
      <c r="D15" s="16" t="n"/>
      <c r="E15" s="16" t="n"/>
      <c r="F15" s="16" t="n"/>
      <c r="G15" s="16" t="n">
        <v>1610.452333</v>
      </c>
      <c r="H15" s="16" t="n">
        <v>3161.995031</v>
      </c>
      <c r="I15" s="16" t="n"/>
      <c r="J15" s="16" t="n"/>
      <c r="K15" s="16" t="n">
        <v>1686.26611</v>
      </c>
      <c r="L15" s="16" t="n">
        <v>4644.311817</v>
      </c>
      <c r="M15" s="16" t="n">
        <v>244.363187</v>
      </c>
      <c r="N15" s="16" t="n">
        <v>4062.578692</v>
      </c>
      <c r="O15" s="16" t="n"/>
      <c r="P15" s="16" t="n"/>
      <c r="R15" s="16" t="n">
        <v>0.6341059999999999</v>
      </c>
      <c r="S15" s="16" t="n">
        <v>450.66451</v>
      </c>
      <c r="T15" s="16" t="n">
        <v>0.572932</v>
      </c>
      <c r="U15" s="16" t="n">
        <v>432.954278</v>
      </c>
      <c r="V15" s="16" t="n">
        <v>0.759305</v>
      </c>
      <c r="W15" s="16" t="n">
        <v>495.247454</v>
      </c>
      <c r="X15" s="16" t="n">
        <v>0.5104109999999999</v>
      </c>
      <c r="Y15" s="16" t="n">
        <v>510.844448</v>
      </c>
      <c r="Z15" s="16" t="n">
        <v>0.453412</v>
      </c>
      <c r="AA15" s="16" t="n">
        <v>518.06489</v>
      </c>
      <c r="AB15" s="16" t="n"/>
      <c r="AC15" s="16" t="n"/>
      <c r="AE15" s="16" t="n"/>
      <c r="AF15" s="16" t="n"/>
      <c r="AG15" s="16" t="n">
        <v>0.780515</v>
      </c>
      <c r="AH15" s="16" t="n">
        <v>461.504406</v>
      </c>
      <c r="AI15" s="16" t="n">
        <v>0.746127</v>
      </c>
      <c r="AJ15" s="16" t="n">
        <v>400.66316</v>
      </c>
      <c r="AK15" s="16" t="n">
        <v>0.886377</v>
      </c>
      <c r="AL15" s="16" t="n">
        <v>522.434603</v>
      </c>
      <c r="AM15" s="16" t="n">
        <v>0.552387</v>
      </c>
      <c r="AN15" s="16" t="n">
        <v>619.531622</v>
      </c>
      <c r="AO15" s="16" t="n"/>
      <c r="AP15" s="16" t="n"/>
      <c r="AR15" s="16" t="n"/>
      <c r="AS15" s="16" t="n"/>
      <c r="AT15" s="16" t="n"/>
      <c r="AU15" s="16" t="n"/>
      <c r="AV15" s="16" t="n">
        <v>640.698378</v>
      </c>
      <c r="AW15" s="16" t="n">
        <v>0.5847</v>
      </c>
      <c r="AX15" s="16" t="n">
        <v>1336.594633</v>
      </c>
      <c r="AY15" s="16" t="n">
        <v>0.515703</v>
      </c>
      <c r="AZ15" s="16" t="n">
        <v>1465.485047</v>
      </c>
      <c r="BA15" s="16" t="n">
        <v>0.6133110000000001</v>
      </c>
      <c r="BB15" s="16" t="n"/>
      <c r="BC15" s="16" t="n"/>
      <c r="BE15" s="16" t="n">
        <v>1421.886943</v>
      </c>
      <c r="BF15" s="16" t="n">
        <v>4186.254585</v>
      </c>
      <c r="BG15" s="16" t="n">
        <v>285.352938</v>
      </c>
      <c r="BH15" s="16" t="n">
        <v>2497.560738</v>
      </c>
      <c r="BI15" s="16" t="n">
        <v>1085.807566</v>
      </c>
      <c r="BJ15" s="16" t="n">
        <v>3172.496829</v>
      </c>
      <c r="BK15" s="16" t="n">
        <v>1394.95575</v>
      </c>
      <c r="BL15" s="16" t="n">
        <v>3039.543246</v>
      </c>
      <c r="BN15" s="16" t="n">
        <v>0.875</v>
      </c>
      <c r="BO15" s="16" t="n">
        <v>392.5</v>
      </c>
      <c r="BP15" s="16" t="n"/>
      <c r="BQ15" s="16" t="n"/>
      <c r="BR15" s="16" t="n"/>
      <c r="BS15" s="16" t="n"/>
      <c r="BT15" s="16" t="n"/>
      <c r="BU15" s="16" t="n"/>
      <c r="BV15" s="16" t="n">
        <v>0.875</v>
      </c>
      <c r="BW15" s="16" t="n">
        <v>397.5</v>
      </c>
      <c r="BX15" s="16" t="n"/>
      <c r="BY15" s="16" t="n"/>
      <c r="BZ15" s="16" t="n"/>
      <c r="CA15" s="16" t="n"/>
      <c r="CB15" s="16" t="n"/>
      <c r="CC15" s="16" t="n"/>
      <c r="CD15" s="16" t="n">
        <v>0.95</v>
      </c>
      <c r="CE15" s="16" t="n">
        <v>395</v>
      </c>
      <c r="CF15" s="16" t="n">
        <v>0.875</v>
      </c>
      <c r="CG15" s="16" t="n">
        <v>392.5</v>
      </c>
      <c r="CH15" s="16" t="n"/>
      <c r="CI15" s="16" t="n"/>
      <c r="CJ15" s="16" t="n"/>
      <c r="CK15" s="16" t="n"/>
      <c r="CM15" s="16" t="inlineStr">
        <is>
          <t>R1 · x_b+P_baja</t>
        </is>
      </c>
      <c r="CN15" s="16" t="n">
        <v>3</v>
      </c>
    </row>
    <row r="16">
      <c r="A16" s="16" t="n"/>
      <c r="B16" s="16" t="n"/>
      <c r="C16" s="16" t="n"/>
      <c r="D16" s="16" t="n"/>
      <c r="E16" s="16" t="n"/>
      <c r="F16" s="16" t="n"/>
      <c r="G16" s="16" t="n">
        <v>490.29058</v>
      </c>
      <c r="H16" s="16" t="n">
        <v>3588.108594</v>
      </c>
      <c r="I16" s="16" t="n"/>
      <c r="J16" s="16" t="n"/>
      <c r="K16" s="16" t="n">
        <v>1523.765601</v>
      </c>
      <c r="L16" s="16" t="n">
        <v>4131.499398</v>
      </c>
      <c r="M16" s="16" t="n">
        <v>1838.682029</v>
      </c>
      <c r="N16" s="16" t="n">
        <v>4196.493431</v>
      </c>
      <c r="O16" s="16" t="n"/>
      <c r="P16" s="16" t="n"/>
      <c r="R16" s="16" t="n">
        <v>0.89029</v>
      </c>
      <c r="S16" s="16" t="n">
        <v>407.553188</v>
      </c>
      <c r="T16" s="16" t="n">
        <v>0.649152</v>
      </c>
      <c r="U16" s="16" t="n">
        <v>435.491743</v>
      </c>
      <c r="V16" s="16" t="n">
        <v>0.448229</v>
      </c>
      <c r="W16" s="16" t="n">
        <v>420.457435</v>
      </c>
      <c r="X16" s="16" t="n">
        <v>0.682461</v>
      </c>
      <c r="Y16" s="16" t="n">
        <v>503.836523</v>
      </c>
      <c r="Z16" s="16" t="n">
        <v>0.66543</v>
      </c>
      <c r="AA16" s="16" t="n">
        <v>548.869589</v>
      </c>
      <c r="AB16" s="16" t="n"/>
      <c r="AC16" s="16" t="n"/>
      <c r="AE16" s="16" t="n"/>
      <c r="AF16" s="16" t="n"/>
      <c r="AG16" s="16" t="n">
        <v>0.765172</v>
      </c>
      <c r="AH16" s="16" t="n">
        <v>560.187923</v>
      </c>
      <c r="AI16" s="16" t="n">
        <v>0.662846</v>
      </c>
      <c r="AJ16" s="16" t="n">
        <v>421.669684</v>
      </c>
      <c r="AK16" s="16" t="n">
        <v>0.79286</v>
      </c>
      <c r="AL16" s="16" t="n">
        <v>612.847506</v>
      </c>
      <c r="AM16" s="16" t="n">
        <v>0.567208</v>
      </c>
      <c r="AN16" s="16" t="n">
        <v>468.413715</v>
      </c>
      <c r="AO16" s="16" t="n"/>
      <c r="AP16" s="16" t="n"/>
      <c r="AR16" s="16" t="n"/>
      <c r="AS16" s="16" t="n"/>
      <c r="AT16" s="16" t="n"/>
      <c r="AU16" s="16" t="n"/>
      <c r="AV16" s="16" t="n">
        <v>1371.673223</v>
      </c>
      <c r="AW16" s="16" t="n">
        <v>0.602572</v>
      </c>
      <c r="AX16" s="16" t="n">
        <v>1200.703592</v>
      </c>
      <c r="AY16" s="16" t="n">
        <v>0.768249</v>
      </c>
      <c r="AZ16" s="16" t="n">
        <v>1977.78454</v>
      </c>
      <c r="BA16" s="16" t="n">
        <v>0.541812</v>
      </c>
      <c r="BB16" s="16" t="n"/>
      <c r="BC16" s="16" t="n"/>
      <c r="BE16" s="16" t="n"/>
      <c r="BF16" s="16" t="n"/>
      <c r="BG16" s="16" t="n">
        <v>1652.537269</v>
      </c>
      <c r="BH16" s="16" t="n">
        <v>3550.099942</v>
      </c>
      <c r="BI16" s="16" t="n">
        <v>1207.774753</v>
      </c>
      <c r="BJ16" s="16" t="n">
        <v>2143.916761</v>
      </c>
      <c r="BK16" s="16" t="n">
        <v>1508.955169</v>
      </c>
      <c r="BL16" s="16" t="n">
        <v>4390.619788</v>
      </c>
      <c r="BN16" s="16" t="n">
        <v>0.875</v>
      </c>
      <c r="BO16" s="16" t="n">
        <v>400</v>
      </c>
      <c r="BP16" s="16" t="n"/>
      <c r="BQ16" s="16" t="n"/>
      <c r="BR16" s="16" t="n"/>
      <c r="BS16" s="16" t="n"/>
      <c r="BT16" s="16" t="n"/>
      <c r="BU16" s="16" t="n"/>
      <c r="BV16" s="16" t="n">
        <v>0.875</v>
      </c>
      <c r="BW16" s="16" t="n">
        <v>392.5</v>
      </c>
      <c r="BX16" s="16" t="n"/>
      <c r="BY16" s="16" t="n"/>
      <c r="BZ16" s="16" t="n"/>
      <c r="CA16" s="16" t="n"/>
      <c r="CB16" s="16" t="n"/>
      <c r="CC16" s="16" t="n"/>
      <c r="CD16" s="16" t="n">
        <v>0.95</v>
      </c>
      <c r="CE16" s="16" t="n">
        <v>397.5</v>
      </c>
      <c r="CF16" s="16" t="n">
        <v>0.875</v>
      </c>
      <c r="CG16" s="16" t="n">
        <v>395</v>
      </c>
      <c r="CH16" s="16" t="n"/>
      <c r="CI16" s="16" t="n"/>
      <c r="CJ16" s="16" t="n"/>
      <c r="CK16" s="16" t="n"/>
      <c r="CM16" s="16" t="inlineStr">
        <is>
          <t>R1 · x_b+T_sumidero</t>
        </is>
      </c>
      <c r="CN16" s="16" t="n">
        <v>5</v>
      </c>
    </row>
    <row r="17">
      <c r="A17" s="16" t="n"/>
      <c r="B17" s="16" t="n"/>
      <c r="C17" s="16" t="n"/>
      <c r="D17" s="16" t="n"/>
      <c r="E17" s="16" t="n"/>
      <c r="F17" s="16" t="n"/>
      <c r="G17" s="16" t="n">
        <v>608.8707000000001</v>
      </c>
      <c r="H17" s="16" t="n">
        <v>4755.81447</v>
      </c>
      <c r="I17" s="16" t="n"/>
      <c r="J17" s="16" t="n"/>
      <c r="K17" s="16" t="n">
        <v>1753.398863</v>
      </c>
      <c r="L17" s="16" t="n">
        <v>4933.020326</v>
      </c>
      <c r="M17" s="16" t="n">
        <v>1348.736494</v>
      </c>
      <c r="N17" s="16" t="n">
        <v>2135.608311</v>
      </c>
      <c r="O17" s="16" t="n"/>
      <c r="P17" s="16" t="n"/>
      <c r="R17" s="16" t="n">
        <v>0.595314</v>
      </c>
      <c r="S17" s="16" t="n">
        <v>483.550513</v>
      </c>
      <c r="T17" s="16" t="n">
        <v>0.87351</v>
      </c>
      <c r="U17" s="16" t="n">
        <v>526.0281649999999</v>
      </c>
      <c r="V17" s="16" t="n">
        <v>0.677556</v>
      </c>
      <c r="W17" s="16" t="n">
        <v>415.020685</v>
      </c>
      <c r="X17" s="16" t="n">
        <v>0.494509</v>
      </c>
      <c r="Y17" s="16" t="n">
        <v>603.545621</v>
      </c>
      <c r="Z17" s="16" t="n">
        <v>0.736332</v>
      </c>
      <c r="AA17" s="16" t="n">
        <v>554.810873</v>
      </c>
      <c r="AB17" s="16" t="n"/>
      <c r="AC17" s="16" t="n"/>
      <c r="AE17" s="16" t="n"/>
      <c r="AF17" s="16" t="n"/>
      <c r="AG17" s="16" t="n">
        <v>0.930291</v>
      </c>
      <c r="AH17" s="16" t="n">
        <v>622.401039</v>
      </c>
      <c r="AI17" s="16" t="n">
        <v>0.709692</v>
      </c>
      <c r="AJ17" s="16" t="n">
        <v>380.233797</v>
      </c>
      <c r="AK17" s="16" t="n">
        <v>0.714497</v>
      </c>
      <c r="AL17" s="16" t="n">
        <v>460.412999</v>
      </c>
      <c r="AM17" s="16" t="n">
        <v>0.8294859999999999</v>
      </c>
      <c r="AN17" s="16" t="n">
        <v>615.5396469999999</v>
      </c>
      <c r="AO17" s="16" t="n"/>
      <c r="AP17" s="16" t="n"/>
      <c r="AR17" s="16" t="n"/>
      <c r="AS17" s="16" t="n"/>
      <c r="AT17" s="16" t="n"/>
      <c r="AU17" s="16" t="n"/>
      <c r="AV17" s="16" t="n">
        <v>1453.252768</v>
      </c>
      <c r="AW17" s="16" t="n">
        <v>0.625317</v>
      </c>
      <c r="AX17" s="16" t="n">
        <v>580.178829</v>
      </c>
      <c r="AY17" s="16" t="n">
        <v>0.703444</v>
      </c>
      <c r="AZ17" s="16" t="n">
        <v>1838.875486</v>
      </c>
      <c r="BA17" s="16" t="n">
        <v>0.676168</v>
      </c>
      <c r="BB17" s="16" t="n"/>
      <c r="BC17" s="16" t="n"/>
      <c r="BE17" s="16" t="n"/>
      <c r="BF17" s="16" t="n"/>
      <c r="BG17" s="16" t="n">
        <v>1180.898566</v>
      </c>
      <c r="BH17" s="16" t="n">
        <v>2448.353777</v>
      </c>
      <c r="BI17" s="16" t="n">
        <v>206.12616</v>
      </c>
      <c r="BJ17" s="16" t="n">
        <v>2469.131632</v>
      </c>
      <c r="BK17" s="16" t="n">
        <v>1607.875626</v>
      </c>
      <c r="BL17" s="16" t="n">
        <v>4277.638909</v>
      </c>
      <c r="BN17" s="16" t="n">
        <v>0.875</v>
      </c>
      <c r="BO17" s="16" t="n">
        <v>395</v>
      </c>
      <c r="BP17" s="16" t="n"/>
      <c r="BQ17" s="16" t="n"/>
      <c r="BR17" s="16" t="n"/>
      <c r="BS17" s="16" t="n"/>
      <c r="BT17" s="16" t="n"/>
      <c r="BU17" s="16" t="n"/>
      <c r="BV17" s="16" t="n">
        <v>0.875</v>
      </c>
      <c r="BW17" s="16" t="n">
        <v>395</v>
      </c>
      <c r="BX17" s="16" t="n"/>
      <c r="BY17" s="16" t="n"/>
      <c r="BZ17" s="16" t="n"/>
      <c r="CA17" s="16" t="n"/>
      <c r="CB17" s="16" t="n"/>
      <c r="CC17" s="16" t="n"/>
      <c r="CD17" s="16" t="n">
        <v>0.95</v>
      </c>
      <c r="CE17" s="16" t="n">
        <v>400</v>
      </c>
      <c r="CF17" s="16" t="n">
        <v>0.875</v>
      </c>
      <c r="CG17" s="16" t="n">
        <v>397.5</v>
      </c>
      <c r="CH17" s="16" t="n"/>
      <c r="CI17" s="16" t="n"/>
      <c r="CJ17" s="16" t="n"/>
      <c r="CK17" s="16" t="n"/>
      <c r="CM17" s="16" t="inlineStr">
        <is>
          <t>R2 · x_b+P_alta+T_fuente</t>
        </is>
      </c>
      <c r="CN17" s="16" t="n">
        <v>0</v>
      </c>
    </row>
    <row r="18">
      <c r="A18" s="16" t="n"/>
      <c r="B18" s="16" t="n"/>
      <c r="C18" s="16" t="n"/>
      <c r="D18" s="16" t="n"/>
      <c r="E18" s="16" t="n"/>
      <c r="F18" s="16" t="n"/>
      <c r="G18" s="16" t="n">
        <v>1028.405541</v>
      </c>
      <c r="H18" s="16" t="n">
        <v>3666.406638</v>
      </c>
      <c r="I18" s="16" t="n"/>
      <c r="J18" s="16" t="n"/>
      <c r="K18" s="16" t="n">
        <v>202.13951</v>
      </c>
      <c r="L18" s="16" t="n">
        <v>3706.437618</v>
      </c>
      <c r="M18" s="16" t="n">
        <v>1569.905076</v>
      </c>
      <c r="N18" s="16" t="n">
        <v>4215.066672</v>
      </c>
      <c r="O18" s="16" t="n"/>
      <c r="P18" s="16" t="n"/>
      <c r="R18" s="16" t="n"/>
      <c r="S18" s="16" t="n"/>
      <c r="T18" s="16" t="n">
        <v>0.66669</v>
      </c>
      <c r="U18" s="16" t="n">
        <v>465.046616</v>
      </c>
      <c r="V18" s="16" t="n">
        <v>0.568788</v>
      </c>
      <c r="W18" s="16" t="n">
        <v>408.792781</v>
      </c>
      <c r="X18" s="16" t="n">
        <v>0.438144</v>
      </c>
      <c r="Y18" s="16" t="n">
        <v>446.001558</v>
      </c>
      <c r="Z18" s="16" t="n">
        <v>0.459411</v>
      </c>
      <c r="AA18" s="16" t="n">
        <v>531.987149</v>
      </c>
      <c r="AB18" s="16" t="n"/>
      <c r="AC18" s="16" t="n"/>
      <c r="AE18" s="16" t="n"/>
      <c r="AF18" s="16" t="n"/>
      <c r="AG18" s="16" t="n">
        <v>0.559003</v>
      </c>
      <c r="AH18" s="16" t="n">
        <v>457.221658</v>
      </c>
      <c r="AI18" s="16" t="n">
        <v>0.483426</v>
      </c>
      <c r="AJ18" s="16" t="n">
        <v>420.104288</v>
      </c>
      <c r="AK18" s="16" t="n">
        <v>0.468522</v>
      </c>
      <c r="AL18" s="16" t="n">
        <v>613.960599</v>
      </c>
      <c r="AM18" s="16" t="n">
        <v>0.504555</v>
      </c>
      <c r="AN18" s="16" t="n">
        <v>566.308321</v>
      </c>
      <c r="AO18" s="16" t="n"/>
      <c r="AP18" s="16" t="n"/>
      <c r="AR18" s="16" t="n"/>
      <c r="AS18" s="16" t="n"/>
      <c r="AT18" s="16" t="n"/>
      <c r="AU18" s="16" t="n"/>
      <c r="AV18" s="16" t="n">
        <v>1401.104002</v>
      </c>
      <c r="AW18" s="16" t="n">
        <v>0.511182</v>
      </c>
      <c r="AX18" s="16" t="n">
        <v>812.500893</v>
      </c>
      <c r="AY18" s="16" t="n">
        <v>0.57689</v>
      </c>
      <c r="AZ18" s="16" t="n">
        <v>393.84925</v>
      </c>
      <c r="BA18" s="16" t="n">
        <v>0.653164</v>
      </c>
      <c r="BB18" s="16" t="n"/>
      <c r="BC18" s="16" t="n"/>
      <c r="BE18" s="16" t="n"/>
      <c r="BF18" s="16" t="n"/>
      <c r="BG18" s="16" t="n">
        <v>308.338723</v>
      </c>
      <c r="BH18" s="16" t="n">
        <v>4726.106435</v>
      </c>
      <c r="BI18" s="16" t="n">
        <v>1831.3106</v>
      </c>
      <c r="BJ18" s="16" t="n">
        <v>3175.444603</v>
      </c>
      <c r="BK18" s="16" t="n">
        <v>1873.26463</v>
      </c>
      <c r="BL18" s="16" t="n">
        <v>3266.690847</v>
      </c>
      <c r="BN18" s="16" t="n">
        <v>0.875</v>
      </c>
      <c r="BO18" s="16" t="n">
        <v>397.5</v>
      </c>
      <c r="BP18" s="16" t="n"/>
      <c r="BQ18" s="16" t="n"/>
      <c r="BR18" s="16" t="n"/>
      <c r="BS18" s="16" t="n"/>
      <c r="BT18" s="16" t="n"/>
      <c r="BU18" s="16" t="n"/>
      <c r="BV18" s="16" t="n">
        <v>0.875</v>
      </c>
      <c r="BW18" s="16" t="n">
        <v>400</v>
      </c>
      <c r="BX18" s="16" t="n"/>
      <c r="BY18" s="16" t="n"/>
      <c r="BZ18" s="16" t="n"/>
      <c r="CA18" s="16" t="n"/>
      <c r="CB18" s="16" t="n"/>
      <c r="CC18" s="16" t="n"/>
      <c r="CD18" s="16" t="n">
        <v>0.95</v>
      </c>
      <c r="CE18" s="16" t="n">
        <v>402.5</v>
      </c>
      <c r="CF18" s="16" t="n">
        <v>0.875</v>
      </c>
      <c r="CG18" s="16" t="n">
        <v>400</v>
      </c>
      <c r="CH18" s="16" t="n"/>
      <c r="CI18" s="16" t="n"/>
      <c r="CJ18" s="16" t="n"/>
      <c r="CK18" s="16" t="n"/>
      <c r="CM18" s="16" t="inlineStr">
        <is>
          <t>R2 · x_b+P_alta+eficiencias</t>
        </is>
      </c>
      <c r="CN18" s="16" t="n">
        <v>7</v>
      </c>
    </row>
    <row r="19">
      <c r="A19" s="16" t="n"/>
      <c r="B19" s="16" t="n"/>
      <c r="C19" s="16" t="n"/>
      <c r="D19" s="16" t="n"/>
      <c r="E19" s="16" t="n"/>
      <c r="F19" s="16" t="n"/>
      <c r="G19" s="16" t="n">
        <v>804.467434</v>
      </c>
      <c r="H19" s="16" t="n">
        <v>4229.87132</v>
      </c>
      <c r="I19" s="16" t="n"/>
      <c r="J19" s="16" t="n"/>
      <c r="K19" s="16" t="n">
        <v>1989.716922</v>
      </c>
      <c r="L19" s="16" t="n">
        <v>2841.657148</v>
      </c>
      <c r="M19" s="16" t="n">
        <v>331.102543</v>
      </c>
      <c r="N19" s="16" t="n">
        <v>2448.346429</v>
      </c>
      <c r="O19" s="16" t="n"/>
      <c r="P19" s="16" t="n"/>
      <c r="R19" s="16" t="n"/>
      <c r="S19" s="16" t="n"/>
      <c r="T19" s="16" t="n">
        <v>0.601815</v>
      </c>
      <c r="U19" s="16" t="n">
        <v>619.499883</v>
      </c>
      <c r="V19" s="16" t="n">
        <v>0.443585</v>
      </c>
      <c r="W19" s="16" t="n">
        <v>382.345775</v>
      </c>
      <c r="X19" s="16" t="n">
        <v>0.8162199999999999</v>
      </c>
      <c r="Y19" s="16" t="n">
        <v>614.607253</v>
      </c>
      <c r="Z19" s="16" t="n">
        <v>0.5982</v>
      </c>
      <c r="AA19" s="16" t="n">
        <v>618.857112</v>
      </c>
      <c r="AB19" s="16" t="n"/>
      <c r="AC19" s="16" t="n"/>
      <c r="AE19" s="16" t="n"/>
      <c r="AF19" s="16" t="n"/>
      <c r="AG19" s="16" t="n">
        <v>0.905182</v>
      </c>
      <c r="AH19" s="16" t="n">
        <v>446.661099</v>
      </c>
      <c r="AI19" s="16" t="n">
        <v>0.909913</v>
      </c>
      <c r="AJ19" s="16" t="n">
        <v>415.63355</v>
      </c>
      <c r="AK19" s="16" t="n">
        <v>0.804199</v>
      </c>
      <c r="AL19" s="16" t="n">
        <v>592.097669</v>
      </c>
      <c r="AM19" s="16" t="n">
        <v>0.881337</v>
      </c>
      <c r="AN19" s="16" t="n">
        <v>515.1489350000001</v>
      </c>
      <c r="AO19" s="16" t="n"/>
      <c r="AP19" s="16" t="n"/>
      <c r="AR19" s="16" t="n"/>
      <c r="AS19" s="16" t="n"/>
      <c r="AT19" s="16" t="n"/>
      <c r="AU19" s="16" t="n"/>
      <c r="AV19" s="16" t="n">
        <v>1219.800535</v>
      </c>
      <c r="AW19" s="16" t="n">
        <v>0.80403</v>
      </c>
      <c r="AX19" s="16" t="n">
        <v>1187.251324</v>
      </c>
      <c r="AY19" s="16" t="n">
        <v>0.551221</v>
      </c>
      <c r="AZ19" s="16" t="n">
        <v>784.405881</v>
      </c>
      <c r="BA19" s="16" t="n">
        <v>0.7952630000000001</v>
      </c>
      <c r="BB19" s="16" t="n"/>
      <c r="BC19" s="16" t="n"/>
      <c r="BE19" s="16" t="n"/>
      <c r="BF19" s="16" t="n"/>
      <c r="BG19" s="16" t="n">
        <v>1936.380869</v>
      </c>
      <c r="BH19" s="16" t="n">
        <v>2241.170492</v>
      </c>
      <c r="BI19" s="16" t="n">
        <v>960.870126</v>
      </c>
      <c r="BJ19" s="16" t="n">
        <v>4901.746928</v>
      </c>
      <c r="BK19" s="16" t="n">
        <v>511.997636</v>
      </c>
      <c r="BL19" s="16" t="n">
        <v>4349.561379</v>
      </c>
      <c r="BN19" s="16" t="n">
        <v>0.875</v>
      </c>
      <c r="BO19" s="16" t="n">
        <v>405</v>
      </c>
      <c r="BP19" s="16" t="n"/>
      <c r="BQ19" s="16" t="n"/>
      <c r="BR19" s="16" t="n"/>
      <c r="BS19" s="16" t="n"/>
      <c r="BT19" s="16" t="n"/>
      <c r="BU19" s="16" t="n"/>
      <c r="BV19" s="16" t="n">
        <v>0.875</v>
      </c>
      <c r="BW19" s="16" t="n">
        <v>405</v>
      </c>
      <c r="BX19" s="16" t="n"/>
      <c r="BY19" s="16" t="n"/>
      <c r="BZ19" s="16" t="n"/>
      <c r="CA19" s="16" t="n"/>
      <c r="CB19" s="16" t="n"/>
      <c r="CC19" s="16" t="n"/>
      <c r="CD19" s="16" t="n">
        <v>0.95</v>
      </c>
      <c r="CE19" s="16" t="n">
        <v>405</v>
      </c>
      <c r="CF19" s="16" t="n">
        <v>0.875</v>
      </c>
      <c r="CG19" s="16" t="n">
        <v>405</v>
      </c>
      <c r="CH19" s="16" t="n"/>
      <c r="CI19" s="16" t="n"/>
      <c r="CJ19" s="16" t="n"/>
      <c r="CK19" s="16" t="n"/>
      <c r="CM19" s="16" t="inlineStr">
        <is>
          <t>R2 · x_b+P_alta+P_baja</t>
        </is>
      </c>
      <c r="CN19" s="16" t="n">
        <v>2</v>
      </c>
    </row>
    <row r="20">
      <c r="A20" s="16" t="n"/>
      <c r="B20" s="16" t="n"/>
      <c r="C20" s="16" t="n"/>
      <c r="D20" s="16" t="n"/>
      <c r="E20" s="16" t="n"/>
      <c r="F20" s="16" t="n"/>
      <c r="G20" s="16" t="n">
        <v>1488.691076</v>
      </c>
      <c r="H20" s="16" t="n">
        <v>3818.851881</v>
      </c>
      <c r="I20" s="16" t="n"/>
      <c r="J20" s="16" t="n"/>
      <c r="K20" s="16" t="n"/>
      <c r="L20" s="16" t="n"/>
      <c r="M20" s="16" t="n">
        <v>453.888619</v>
      </c>
      <c r="N20" s="16" t="n">
        <v>2074.429701</v>
      </c>
      <c r="O20" s="16" t="n"/>
      <c r="P20" s="16" t="n"/>
      <c r="R20" s="16" t="n"/>
      <c r="S20" s="16" t="n"/>
      <c r="T20" s="16" t="n">
        <v>0.61772</v>
      </c>
      <c r="U20" s="16" t="n">
        <v>575.466265</v>
      </c>
      <c r="V20" s="16" t="n">
        <v>0.907948</v>
      </c>
      <c r="W20" s="16" t="n">
        <v>388.994815</v>
      </c>
      <c r="X20" s="16" t="n">
        <v>0.502618</v>
      </c>
      <c r="Y20" s="16" t="n">
        <v>561.024839</v>
      </c>
      <c r="Z20" s="16" t="n">
        <v>0.417782</v>
      </c>
      <c r="AA20" s="16" t="n">
        <v>573.96773</v>
      </c>
      <c r="AB20" s="16" t="n"/>
      <c r="AC20" s="16" t="n"/>
      <c r="AE20" s="16" t="n"/>
      <c r="AF20" s="16" t="n"/>
      <c r="AG20" s="16" t="n">
        <v>0.637452</v>
      </c>
      <c r="AH20" s="16" t="n">
        <v>472.988658</v>
      </c>
      <c r="AI20" s="16" t="n">
        <v>0.77501</v>
      </c>
      <c r="AJ20" s="16" t="n">
        <v>416.485458</v>
      </c>
      <c r="AK20" s="16" t="n">
        <v>0.693838</v>
      </c>
      <c r="AL20" s="16" t="n">
        <v>442.213049</v>
      </c>
      <c r="AM20" s="16" t="n">
        <v>0.608699</v>
      </c>
      <c r="AN20" s="16" t="n">
        <v>540.433758</v>
      </c>
      <c r="AO20" s="16" t="n"/>
      <c r="AP20" s="16" t="n"/>
      <c r="AR20" s="16" t="n"/>
      <c r="AS20" s="16" t="n"/>
      <c r="AT20" s="16" t="n"/>
      <c r="AU20" s="16" t="n"/>
      <c r="AV20" s="16" t="n">
        <v>1038.578019</v>
      </c>
      <c r="AW20" s="16" t="n">
        <v>0.6510049999999999</v>
      </c>
      <c r="AX20" s="16" t="n">
        <v>1116.146418</v>
      </c>
      <c r="AY20" s="16" t="n">
        <v>0.637447</v>
      </c>
      <c r="AZ20" s="16" t="n">
        <v>1148.958789</v>
      </c>
      <c r="BA20" s="16" t="n">
        <v>0.760001</v>
      </c>
      <c r="BB20" s="16" t="n"/>
      <c r="BC20" s="16" t="n"/>
      <c r="BE20" s="16" t="n"/>
      <c r="BF20" s="16" t="n"/>
      <c r="BG20" s="16" t="n">
        <v>990.120723</v>
      </c>
      <c r="BH20" s="16" t="n">
        <v>2956.501267</v>
      </c>
      <c r="BI20" s="16" t="n">
        <v>1034.264914</v>
      </c>
      <c r="BJ20" s="16" t="n">
        <v>4786.747362</v>
      </c>
      <c r="BK20" s="16" t="n">
        <v>490.813309</v>
      </c>
      <c r="BL20" s="16" t="n">
        <v>4997.473507</v>
      </c>
      <c r="BN20" s="16" t="n">
        <v>0.875</v>
      </c>
      <c r="BO20" s="16" t="n">
        <v>402.5</v>
      </c>
      <c r="BP20" s="16" t="n"/>
      <c r="BQ20" s="16" t="n"/>
      <c r="BR20" s="16" t="n"/>
      <c r="BS20" s="16" t="n"/>
      <c r="BT20" s="16" t="n"/>
      <c r="BU20" s="16" t="n"/>
      <c r="BV20" s="16" t="n">
        <v>0.875</v>
      </c>
      <c r="BW20" s="16" t="n">
        <v>402.5</v>
      </c>
      <c r="BX20" s="16" t="n"/>
      <c r="BY20" s="16" t="n"/>
      <c r="BZ20" s="16" t="n"/>
      <c r="CA20" s="16" t="n"/>
      <c r="CB20" s="16" t="n"/>
      <c r="CC20" s="16" t="n"/>
      <c r="CD20" s="16" t="n">
        <v>0.95</v>
      </c>
      <c r="CE20" s="16" t="n">
        <v>407.5</v>
      </c>
      <c r="CF20" s="16" t="n">
        <v>0.875</v>
      </c>
      <c r="CG20" s="16" t="n">
        <v>402.5</v>
      </c>
      <c r="CH20" s="16" t="n"/>
      <c r="CI20" s="16" t="n"/>
      <c r="CJ20" s="16" t="n"/>
      <c r="CK20" s="16" t="n"/>
      <c r="CM20" s="16" t="inlineStr">
        <is>
          <t>R2 · x_b+P_alta+T_sumidero</t>
        </is>
      </c>
      <c r="CN20" s="16" t="n">
        <v>6</v>
      </c>
    </row>
    <row r="21">
      <c r="A21" s="16" t="n"/>
      <c r="B21" s="16" t="n"/>
      <c r="C21" s="16" t="n"/>
      <c r="D21" s="16" t="n"/>
      <c r="E21" s="16" t="n"/>
      <c r="F21" s="16" t="n"/>
      <c r="G21" s="16" t="n">
        <v>540.327687</v>
      </c>
      <c r="H21" s="16" t="n">
        <v>3411.415487</v>
      </c>
      <c r="I21" s="16" t="n"/>
      <c r="J21" s="16" t="n"/>
      <c r="K21" s="16" t="n"/>
      <c r="L21" s="16" t="n"/>
      <c r="M21" s="16" t="n">
        <v>1059.918723</v>
      </c>
      <c r="N21" s="16" t="n">
        <v>3676.289741</v>
      </c>
      <c r="O21" s="16" t="n"/>
      <c r="P21" s="16" t="n"/>
      <c r="R21" s="16" t="n"/>
      <c r="S21" s="16" t="n"/>
      <c r="T21" s="16" t="n">
        <v>0.704145</v>
      </c>
      <c r="U21" s="16" t="n">
        <v>566.443101</v>
      </c>
      <c r="V21" s="16" t="n">
        <v>0.574314</v>
      </c>
      <c r="W21" s="16" t="n">
        <v>423.294697</v>
      </c>
      <c r="X21" s="16" t="n">
        <v>0.61526</v>
      </c>
      <c r="Y21" s="16" t="n">
        <v>426.704005</v>
      </c>
      <c r="Z21" s="16" t="n">
        <v>0.689107</v>
      </c>
      <c r="AA21" s="16" t="n">
        <v>546.286198</v>
      </c>
      <c r="AB21" s="16" t="n"/>
      <c r="AC21" s="16" t="n"/>
      <c r="AE21" s="16" t="n"/>
      <c r="AF21" s="16" t="n"/>
      <c r="AG21" s="16" t="n">
        <v>0.93763</v>
      </c>
      <c r="AH21" s="16" t="n">
        <v>562.610694</v>
      </c>
      <c r="AI21" s="16" t="n">
        <v>0.717428</v>
      </c>
      <c r="AJ21" s="16" t="n">
        <v>382.647944</v>
      </c>
      <c r="AK21" s="16" t="n">
        <v>0.560812</v>
      </c>
      <c r="AL21" s="16" t="n">
        <v>429.77962</v>
      </c>
      <c r="AM21" s="16" t="n">
        <v>0.414002</v>
      </c>
      <c r="AN21" s="16" t="n">
        <v>547.081633</v>
      </c>
      <c r="AO21" s="16" t="n"/>
      <c r="AP21" s="16" t="n"/>
      <c r="AR21" s="16" t="n"/>
      <c r="AS21" s="16" t="n"/>
      <c r="AT21" s="16" t="n"/>
      <c r="AU21" s="16" t="n"/>
      <c r="AV21" s="16" t="n">
        <v>304.455001</v>
      </c>
      <c r="AW21" s="16" t="n">
        <v>0.532145</v>
      </c>
      <c r="AX21" s="16" t="n">
        <v>518.493504</v>
      </c>
      <c r="AY21" s="16" t="n">
        <v>0.742317</v>
      </c>
      <c r="AZ21" s="16" t="n">
        <v>940.526216</v>
      </c>
      <c r="BA21" s="16" t="n">
        <v>0.840585</v>
      </c>
      <c r="BB21" s="16" t="n"/>
      <c r="BC21" s="16" t="n"/>
      <c r="BE21" s="16" t="n"/>
      <c r="BF21" s="16" t="n"/>
      <c r="BG21" s="16" t="n">
        <v>268.356055</v>
      </c>
      <c r="BH21" s="16" t="n">
        <v>3015.763396</v>
      </c>
      <c r="BI21" s="16" t="n">
        <v>723.8343620000001</v>
      </c>
      <c r="BJ21" s="16" t="n">
        <v>3802.571323</v>
      </c>
      <c r="BK21" s="16" t="n">
        <v>1110.417206</v>
      </c>
      <c r="BL21" s="16" t="n">
        <v>4048.841685</v>
      </c>
      <c r="BN21" s="16" t="n">
        <v>0.875</v>
      </c>
      <c r="BO21" s="16" t="n">
        <v>407.5</v>
      </c>
      <c r="BP21" s="16" t="n"/>
      <c r="BQ21" s="16" t="n"/>
      <c r="BR21" s="16" t="n"/>
      <c r="BS21" s="16" t="n"/>
      <c r="BT21" s="16" t="n"/>
      <c r="BU21" s="16" t="n"/>
      <c r="BV21" s="16" t="n">
        <v>0.875</v>
      </c>
      <c r="BW21" s="16" t="n">
        <v>407.5</v>
      </c>
      <c r="BX21" s="16" t="n"/>
      <c r="BY21" s="16" t="n"/>
      <c r="BZ21" s="16" t="n"/>
      <c r="CA21" s="16" t="n"/>
      <c r="CB21" s="16" t="n"/>
      <c r="CC21" s="16" t="n"/>
      <c r="CD21" s="16" t="n">
        <v>0.95</v>
      </c>
      <c r="CE21" s="16" t="n">
        <v>410</v>
      </c>
      <c r="CF21" s="16" t="n">
        <v>0.875</v>
      </c>
      <c r="CG21" s="16" t="n">
        <v>407.5</v>
      </c>
      <c r="CH21" s="16" t="n"/>
      <c r="CI21" s="16" t="n"/>
      <c r="CJ21" s="16" t="n"/>
      <c r="CK21" s="16" t="n"/>
      <c r="CM21" s="16" t="inlineStr">
        <is>
          <t>R3 · x_b+P_alta+eficiencias+T_fuente</t>
        </is>
      </c>
      <c r="CN21" s="16" t="n">
        <v>0</v>
      </c>
    </row>
    <row r="22">
      <c r="A22" s="16" t="n"/>
      <c r="B22" s="16" t="n"/>
      <c r="C22" s="16" t="n"/>
      <c r="D22" s="16" t="n"/>
      <c r="E22" s="16" t="n"/>
      <c r="F22" s="16" t="n"/>
      <c r="G22" s="16" t="n">
        <v>829.18018</v>
      </c>
      <c r="H22" s="16" t="n">
        <v>3358.368575</v>
      </c>
      <c r="I22" s="16" t="n"/>
      <c r="J22" s="16" t="n"/>
      <c r="K22" s="16" t="n"/>
      <c r="L22" s="16" t="n"/>
      <c r="M22" s="16" t="n">
        <v>1954.272502</v>
      </c>
      <c r="N22" s="16" t="n">
        <v>2528.234128</v>
      </c>
      <c r="O22" s="16" t="n"/>
      <c r="P22" s="16" t="n"/>
      <c r="R22" s="16" t="n"/>
      <c r="S22" s="16" t="n"/>
      <c r="T22" s="16" t="n">
        <v>0.63069</v>
      </c>
      <c r="U22" s="16" t="n">
        <v>621.7738419999999</v>
      </c>
      <c r="V22" s="16" t="n">
        <v>0.839926</v>
      </c>
      <c r="W22" s="16" t="n">
        <v>401.157356</v>
      </c>
      <c r="X22" s="16" t="n">
        <v>0.506061</v>
      </c>
      <c r="Y22" s="16" t="n">
        <v>441.406712</v>
      </c>
      <c r="Z22" s="16" t="n">
        <v>0.429701</v>
      </c>
      <c r="AA22" s="16" t="n">
        <v>417.555215</v>
      </c>
      <c r="AB22" s="16" t="n"/>
      <c r="AC22" s="16" t="n"/>
      <c r="AE22" s="16" t="n"/>
      <c r="AF22" s="16" t="n"/>
      <c r="AG22" s="16" t="n">
        <v>0.899621</v>
      </c>
      <c r="AH22" s="16" t="n">
        <v>524.447012</v>
      </c>
      <c r="AI22" s="16" t="n">
        <v>0.865426</v>
      </c>
      <c r="AJ22" s="16" t="n">
        <v>433.530391</v>
      </c>
      <c r="AK22" s="16" t="n">
        <v>0.753289</v>
      </c>
      <c r="AL22" s="16" t="n">
        <v>494.306626</v>
      </c>
      <c r="AM22" s="16" t="n">
        <v>0.456333</v>
      </c>
      <c r="AN22" s="16" t="n">
        <v>432.517879</v>
      </c>
      <c r="AO22" s="16" t="n"/>
      <c r="AP22" s="16" t="n"/>
      <c r="AR22" s="16" t="n"/>
      <c r="AS22" s="16" t="n"/>
      <c r="AT22" s="16" t="n"/>
      <c r="AU22" s="16" t="n"/>
      <c r="AV22" s="16" t="n">
        <v>403.145679</v>
      </c>
      <c r="AW22" s="16" t="n">
        <v>0.605782</v>
      </c>
      <c r="AX22" s="16" t="n">
        <v>340.480561</v>
      </c>
      <c r="AY22" s="16" t="n">
        <v>0.685087</v>
      </c>
      <c r="AZ22" s="16" t="n">
        <v>697.415111</v>
      </c>
      <c r="BA22" s="16" t="n">
        <v>0.818292</v>
      </c>
      <c r="BB22" s="16" t="n"/>
      <c r="BC22" s="16" t="n"/>
      <c r="BE22" s="16" t="n"/>
      <c r="BF22" s="16" t="n"/>
      <c r="BG22" s="16" t="n">
        <v>1898.97748</v>
      </c>
      <c r="BH22" s="16" t="n">
        <v>4689.462117</v>
      </c>
      <c r="BI22" s="16" t="n">
        <v>1258.007651</v>
      </c>
      <c r="BJ22" s="16" t="n">
        <v>2341.315308</v>
      </c>
      <c r="BK22" s="16" t="n">
        <v>1137.715595</v>
      </c>
      <c r="BL22" s="16" t="n">
        <v>2801.462316</v>
      </c>
      <c r="BN22" s="16" t="n">
        <v>0.875</v>
      </c>
      <c r="BO22" s="16" t="n">
        <v>410</v>
      </c>
      <c r="BP22" s="16" t="n"/>
      <c r="BQ22" s="16" t="n"/>
      <c r="BR22" s="16" t="n"/>
      <c r="BS22" s="16" t="n"/>
      <c r="BT22" s="16" t="n"/>
      <c r="BU22" s="16" t="n"/>
      <c r="BV22" s="16" t="n">
        <v>0.875</v>
      </c>
      <c r="BW22" s="16" t="n">
        <v>410</v>
      </c>
      <c r="BX22" s="16" t="n"/>
      <c r="BY22" s="16" t="n"/>
      <c r="BZ22" s="16" t="n"/>
      <c r="CA22" s="16" t="n"/>
      <c r="CB22" s="16" t="n"/>
      <c r="CC22" s="16" t="n"/>
      <c r="CD22" s="16" t="n"/>
      <c r="CE22" s="16" t="n"/>
      <c r="CF22" s="16" t="n">
        <v>0.875</v>
      </c>
      <c r="CG22" s="16" t="n">
        <v>410</v>
      </c>
      <c r="CH22" s="16" t="n"/>
      <c r="CI22" s="16" t="n"/>
      <c r="CJ22" s="16" t="n"/>
      <c r="CK22" s="16" t="n"/>
      <c r="CM22" s="16" t="inlineStr">
        <is>
          <t>R3 · x_b+P_alta+eficiencias+P_baja</t>
        </is>
      </c>
      <c r="CN22" s="16" t="n">
        <v>5</v>
      </c>
    </row>
    <row r="23">
      <c r="A23" s="16" t="n"/>
      <c r="B23" s="16" t="n"/>
      <c r="C23" s="16" t="n"/>
      <c r="D23" s="16" t="n"/>
      <c r="E23" s="16" t="n"/>
      <c r="F23" s="16" t="n"/>
      <c r="G23" s="16" t="n">
        <v>1861.469563</v>
      </c>
      <c r="H23" s="16" t="n">
        <v>4699.562107</v>
      </c>
      <c r="I23" s="16" t="n"/>
      <c r="J23" s="16" t="n"/>
      <c r="K23" s="16" t="n"/>
      <c r="L23" s="16" t="n"/>
      <c r="M23" s="16" t="n">
        <v>1880.509819</v>
      </c>
      <c r="N23" s="16" t="n">
        <v>3237.803511</v>
      </c>
      <c r="O23" s="16" t="n"/>
      <c r="P23" s="16" t="n"/>
      <c r="R23" s="16" t="n"/>
      <c r="S23" s="16" t="n"/>
      <c r="T23" s="16" t="n">
        <v>0.426806</v>
      </c>
      <c r="U23" s="16" t="n">
        <v>502.219274</v>
      </c>
      <c r="V23" s="16" t="n">
        <v>0.808997</v>
      </c>
      <c r="W23" s="16" t="n">
        <v>453.629239</v>
      </c>
      <c r="X23" s="16" t="n">
        <v>0.490815</v>
      </c>
      <c r="Y23" s="16" t="n">
        <v>432.513208</v>
      </c>
      <c r="Z23" s="16" t="n">
        <v>0.52253</v>
      </c>
      <c r="AA23" s="16" t="n">
        <v>601.049094</v>
      </c>
      <c r="AB23" s="16" t="n"/>
      <c r="AC23" s="16" t="n"/>
      <c r="AE23" s="16" t="n"/>
      <c r="AF23" s="16" t="n"/>
      <c r="AG23" s="16" t="n">
        <v>0.920939</v>
      </c>
      <c r="AH23" s="16" t="n">
        <v>516.594688</v>
      </c>
      <c r="AI23" s="16" t="n">
        <v>0.873294</v>
      </c>
      <c r="AJ23" s="16" t="n">
        <v>393.391808</v>
      </c>
      <c r="AK23" s="16" t="n">
        <v>0.541562</v>
      </c>
      <c r="AL23" s="16" t="n">
        <v>492.337516</v>
      </c>
      <c r="AM23" s="16" t="n">
        <v>0.461537</v>
      </c>
      <c r="AN23" s="16" t="n">
        <v>509.049204</v>
      </c>
      <c r="AO23" s="16" t="n"/>
      <c r="AP23" s="16" t="n"/>
      <c r="AR23" s="16" t="n"/>
      <c r="AS23" s="16" t="n"/>
      <c r="AT23" s="16" t="n"/>
      <c r="AU23" s="16" t="n"/>
      <c r="AV23" s="16" t="n">
        <v>1168.272222</v>
      </c>
      <c r="AW23" s="16" t="n">
        <v>0.78893</v>
      </c>
      <c r="AX23" s="16" t="n">
        <v>1092.77997</v>
      </c>
      <c r="AY23" s="16" t="n">
        <v>0.765317</v>
      </c>
      <c r="AZ23" s="16" t="n">
        <v>1542.557353</v>
      </c>
      <c r="BA23" s="16" t="n">
        <v>0.559547</v>
      </c>
      <c r="BB23" s="16" t="n"/>
      <c r="BC23" s="16" t="n"/>
      <c r="BE23" s="16" t="n"/>
      <c r="BF23" s="16" t="n"/>
      <c r="BG23" s="16" t="n">
        <v>929.599954</v>
      </c>
      <c r="BH23" s="16" t="n">
        <v>4444.19426</v>
      </c>
      <c r="BI23" s="16" t="n"/>
      <c r="BJ23" s="16" t="n"/>
      <c r="BK23" s="16" t="n">
        <v>602.060335</v>
      </c>
      <c r="BL23" s="16" t="n">
        <v>2858.055224</v>
      </c>
      <c r="BN23" s="16" t="n">
        <v>0.9</v>
      </c>
      <c r="BO23" s="16" t="n">
        <v>390</v>
      </c>
      <c r="BP23" s="16" t="n"/>
      <c r="BQ23" s="16" t="n"/>
      <c r="BR23" s="16" t="n"/>
      <c r="BS23" s="16" t="n"/>
      <c r="BT23" s="16" t="n"/>
      <c r="BU23" s="16" t="n"/>
      <c r="BV23" s="16" t="n">
        <v>0.9</v>
      </c>
      <c r="BW23" s="16" t="n">
        <v>390</v>
      </c>
      <c r="BX23" s="16" t="n"/>
      <c r="BY23" s="16" t="n"/>
      <c r="BZ23" s="16" t="n"/>
      <c r="CA23" s="16" t="n"/>
      <c r="CB23" s="16" t="n"/>
      <c r="CC23" s="16" t="n"/>
      <c r="CD23" s="16" t="n"/>
      <c r="CE23" s="16" t="n"/>
      <c r="CF23" s="16" t="n">
        <v>0.9</v>
      </c>
      <c r="CG23" s="16" t="n">
        <v>395</v>
      </c>
      <c r="CH23" s="16" t="n"/>
      <c r="CI23" s="16" t="n"/>
      <c r="CJ23" s="16" t="n"/>
      <c r="CK23" s="16" t="n"/>
      <c r="CM23" s="16" t="inlineStr">
        <is>
          <t>R3 · x_b+P_alta+eficiencias+T_sumidero</t>
        </is>
      </c>
      <c r="CN23" s="16" t="n">
        <v>4</v>
      </c>
    </row>
    <row r="24">
      <c r="A24" s="16" t="n"/>
      <c r="B24" s="16" t="n"/>
      <c r="C24" s="16" t="n"/>
      <c r="D24" s="16" t="n"/>
      <c r="E24" s="16" t="n"/>
      <c r="F24" s="16" t="n"/>
      <c r="G24" s="16" t="n">
        <v>481.310846</v>
      </c>
      <c r="H24" s="16" t="n">
        <v>4453.241144</v>
      </c>
      <c r="I24" s="16" t="n"/>
      <c r="J24" s="16" t="n"/>
      <c r="K24" s="16" t="n"/>
      <c r="L24" s="16" t="n"/>
      <c r="M24" s="16" t="n">
        <v>861.035753</v>
      </c>
      <c r="N24" s="16" t="n">
        <v>2736.079877</v>
      </c>
      <c r="O24" s="16" t="n"/>
      <c r="P24" s="16" t="n"/>
      <c r="R24" s="16" t="n"/>
      <c r="S24" s="16" t="n"/>
      <c r="T24" s="16" t="n">
        <v>0.806932</v>
      </c>
      <c r="U24" s="16" t="n">
        <v>541.368117</v>
      </c>
      <c r="V24" s="16" t="n">
        <v>0.685724</v>
      </c>
      <c r="W24" s="16" t="n">
        <v>420.758729</v>
      </c>
      <c r="X24" s="16" t="n">
        <v>0.421696</v>
      </c>
      <c r="Y24" s="16" t="n">
        <v>498.133567</v>
      </c>
      <c r="Z24" s="16" t="n">
        <v>0.56223</v>
      </c>
      <c r="AA24" s="16" t="n">
        <v>429.925211</v>
      </c>
      <c r="AB24" s="16" t="n"/>
      <c r="AC24" s="16" t="n"/>
      <c r="AE24" s="16" t="n"/>
      <c r="AF24" s="16" t="n"/>
      <c r="AG24" s="16" t="n">
        <v>0.649465</v>
      </c>
      <c r="AH24" s="16" t="n">
        <v>587.858489</v>
      </c>
      <c r="AI24" s="16" t="n">
        <v>0.43349</v>
      </c>
      <c r="AJ24" s="16" t="n">
        <v>402.75811</v>
      </c>
      <c r="AK24" s="16" t="n">
        <v>0.604217</v>
      </c>
      <c r="AL24" s="16" t="n">
        <v>485.281622</v>
      </c>
      <c r="AM24" s="16" t="n">
        <v>0.44707</v>
      </c>
      <c r="AN24" s="16" t="n">
        <v>489.288064</v>
      </c>
      <c r="AO24" s="16" t="n"/>
      <c r="AP24" s="16" t="n"/>
      <c r="AR24" s="16" t="n"/>
      <c r="AS24" s="16" t="n"/>
      <c r="AT24" s="16" t="n"/>
      <c r="AU24" s="16" t="n"/>
      <c r="AV24" s="16" t="n">
        <v>693.365992</v>
      </c>
      <c r="AW24" s="16" t="n">
        <v>0.731253</v>
      </c>
      <c r="AX24" s="16" t="n"/>
      <c r="AY24" s="16" t="n"/>
      <c r="AZ24" s="16" t="n">
        <v>1532.097236</v>
      </c>
      <c r="BA24" s="16" t="n">
        <v>0.502261</v>
      </c>
      <c r="BB24" s="16" t="n"/>
      <c r="BC24" s="16" t="n"/>
      <c r="BE24" s="16" t="n"/>
      <c r="BF24" s="16" t="n"/>
      <c r="BG24" s="16" t="n">
        <v>573.590475</v>
      </c>
      <c r="BH24" s="16" t="n">
        <v>2556.312813</v>
      </c>
      <c r="BI24" s="16" t="n"/>
      <c r="BJ24" s="16" t="n"/>
      <c r="BK24" s="16" t="n">
        <v>705.59593</v>
      </c>
      <c r="BL24" s="16" t="n">
        <v>3138.17418</v>
      </c>
      <c r="BN24" s="16" t="n">
        <v>0.9</v>
      </c>
      <c r="BO24" s="16" t="n">
        <v>392.5</v>
      </c>
      <c r="BP24" s="16" t="n"/>
      <c r="BQ24" s="16" t="n"/>
      <c r="BR24" s="16" t="n"/>
      <c r="BS24" s="16" t="n"/>
      <c r="BT24" s="16" t="n"/>
      <c r="BU24" s="16" t="n"/>
      <c r="BV24" s="16" t="n">
        <v>0.9</v>
      </c>
      <c r="BW24" s="16" t="n">
        <v>392.5</v>
      </c>
      <c r="BX24" s="16" t="n"/>
      <c r="BY24" s="16" t="n"/>
      <c r="BZ24" s="16" t="n"/>
      <c r="CA24" s="16" t="n"/>
      <c r="CB24" s="16" t="n"/>
      <c r="CC24" s="16" t="n"/>
      <c r="CD24" s="16" t="n"/>
      <c r="CE24" s="16" t="n"/>
      <c r="CF24" s="16" t="n">
        <v>0.9</v>
      </c>
      <c r="CG24" s="16" t="n">
        <v>397.5</v>
      </c>
      <c r="CH24" s="16" t="n"/>
      <c r="CI24" s="16" t="n"/>
      <c r="CJ24" s="16" t="n"/>
      <c r="CK24" s="16" t="n"/>
    </row>
    <row r="25">
      <c r="A25" s="16" t="n"/>
      <c r="B25" s="16" t="n"/>
      <c r="C25" s="16" t="n"/>
      <c r="D25" s="16" t="n"/>
      <c r="E25" s="16" t="n"/>
      <c r="F25" s="16" t="n"/>
      <c r="G25" s="16" t="n">
        <v>1072.423205</v>
      </c>
      <c r="H25" s="16" t="n">
        <v>4278.93529</v>
      </c>
      <c r="I25" s="16" t="n"/>
      <c r="J25" s="16" t="n"/>
      <c r="K25" s="16" t="n"/>
      <c r="L25" s="16" t="n"/>
      <c r="M25" s="16" t="n">
        <v>1093.290578</v>
      </c>
      <c r="N25" s="16" t="n">
        <v>3010.748484</v>
      </c>
      <c r="O25" s="16" t="n"/>
      <c r="P25" s="16" t="n"/>
      <c r="R25" s="16" t="n"/>
      <c r="S25" s="16" t="n"/>
      <c r="T25" s="16" t="n">
        <v>0.524549</v>
      </c>
      <c r="U25" s="16" t="n">
        <v>466.57956</v>
      </c>
      <c r="V25" s="16" t="n"/>
      <c r="W25" s="16" t="n"/>
      <c r="X25" s="16" t="n"/>
      <c r="Y25" s="16" t="n"/>
      <c r="Z25" s="16" t="n">
        <v>0.7226320000000001</v>
      </c>
      <c r="AA25" s="16" t="n">
        <v>557.198902</v>
      </c>
      <c r="AB25" s="16" t="n"/>
      <c r="AC25" s="16" t="n"/>
      <c r="AE25" s="16" t="n"/>
      <c r="AF25" s="16" t="n"/>
      <c r="AG25" s="16" t="n">
        <v>0.59039</v>
      </c>
      <c r="AH25" s="16" t="n">
        <v>584.273277</v>
      </c>
      <c r="AI25" s="16" t="n">
        <v>0.689466</v>
      </c>
      <c r="AJ25" s="16" t="n">
        <v>395.133153</v>
      </c>
      <c r="AK25" s="16" t="n">
        <v>0.535331</v>
      </c>
      <c r="AL25" s="16" t="n">
        <v>535.189895</v>
      </c>
      <c r="AM25" s="16" t="n">
        <v>0.869052</v>
      </c>
      <c r="AN25" s="16" t="n">
        <v>586.0927390000001</v>
      </c>
      <c r="AO25" s="16" t="n"/>
      <c r="AP25" s="16" t="n"/>
      <c r="AR25" s="16" t="n"/>
      <c r="AS25" s="16" t="n"/>
      <c r="AT25" s="16" t="n"/>
      <c r="AU25" s="16" t="n"/>
      <c r="AV25" s="16" t="n">
        <v>1417.030968</v>
      </c>
      <c r="AW25" s="16" t="n">
        <v>0.60851</v>
      </c>
      <c r="AX25" s="16" t="n"/>
      <c r="AY25" s="16" t="n"/>
      <c r="AZ25" s="16" t="n">
        <v>926.48802</v>
      </c>
      <c r="BA25" s="16" t="n">
        <v>0.646807</v>
      </c>
      <c r="BB25" s="16" t="n"/>
      <c r="BC25" s="16" t="n"/>
      <c r="BE25" s="16" t="n"/>
      <c r="BF25" s="16" t="n"/>
      <c r="BG25" s="16" t="n">
        <v>1555.389057</v>
      </c>
      <c r="BH25" s="16" t="n">
        <v>2533.58674</v>
      </c>
      <c r="BI25" s="16" t="n"/>
      <c r="BJ25" s="16" t="n"/>
      <c r="BK25" s="16" t="n">
        <v>887.8096860000001</v>
      </c>
      <c r="BL25" s="16" t="n">
        <v>3592.848794</v>
      </c>
      <c r="BN25" s="16" t="n">
        <v>0.9</v>
      </c>
      <c r="BO25" s="16" t="n">
        <v>395</v>
      </c>
      <c r="BP25" s="16" t="n"/>
      <c r="BQ25" s="16" t="n"/>
      <c r="BR25" s="16" t="n"/>
      <c r="BS25" s="16" t="n"/>
      <c r="BT25" s="16" t="n"/>
      <c r="BU25" s="16" t="n"/>
      <c r="BV25" s="16" t="n">
        <v>0.9</v>
      </c>
      <c r="BW25" s="16" t="n">
        <v>395</v>
      </c>
      <c r="BX25" s="16" t="n"/>
      <c r="BY25" s="16" t="n"/>
      <c r="BZ25" s="16" t="n"/>
      <c r="CA25" s="16" t="n"/>
      <c r="CB25" s="16" t="n"/>
      <c r="CC25" s="16" t="n"/>
      <c r="CD25" s="16" t="n"/>
      <c r="CE25" s="16" t="n"/>
      <c r="CF25" s="16" t="n">
        <v>0.9</v>
      </c>
      <c r="CG25" s="16" t="n">
        <v>400</v>
      </c>
      <c r="CH25" s="16" t="n"/>
      <c r="CI25" s="16" t="n"/>
      <c r="CJ25" s="16" t="n"/>
      <c r="CK25" s="16" t="n"/>
    </row>
    <row r="26">
      <c r="A26" s="16" t="n"/>
      <c r="B26" s="16" t="n"/>
      <c r="C26" s="16" t="n"/>
      <c r="D26" s="16" t="n"/>
      <c r="E26" s="16" t="n"/>
      <c r="F26" s="16" t="n"/>
      <c r="G26" s="16" t="n">
        <v>1215.632736</v>
      </c>
      <c r="H26" s="16" t="n">
        <v>2917.989851</v>
      </c>
      <c r="I26" s="16" t="n"/>
      <c r="J26" s="16" t="n"/>
      <c r="K26" s="16" t="n"/>
      <c r="L26" s="16" t="n"/>
      <c r="M26" s="16" t="n">
        <v>1786.411288</v>
      </c>
      <c r="N26" s="16" t="n">
        <v>4893.464399</v>
      </c>
      <c r="O26" s="16" t="n"/>
      <c r="P26" s="16" t="n"/>
      <c r="R26" s="16" t="n"/>
      <c r="S26" s="16" t="n"/>
      <c r="T26" s="16" t="n">
        <v>0.91962</v>
      </c>
      <c r="U26" s="16" t="n">
        <v>516.515373</v>
      </c>
      <c r="V26" s="16" t="n"/>
      <c r="W26" s="16" t="n"/>
      <c r="X26" s="16" t="n"/>
      <c r="Y26" s="16" t="n"/>
      <c r="Z26" s="16" t="n">
        <v>0.5885320000000001</v>
      </c>
      <c r="AA26" s="16" t="n">
        <v>470.210555</v>
      </c>
      <c r="AB26" s="16" t="n"/>
      <c r="AC26" s="16" t="n"/>
      <c r="AE26" s="16" t="n"/>
      <c r="AF26" s="16" t="n"/>
      <c r="AG26" s="16" t="n">
        <v>0.7237</v>
      </c>
      <c r="AH26" s="16" t="n">
        <v>574.732645</v>
      </c>
      <c r="AI26" s="16" t="n"/>
      <c r="AJ26" s="16" t="n"/>
      <c r="AK26" s="16" t="n">
        <v>0.5175110000000001</v>
      </c>
      <c r="AL26" s="16" t="n">
        <v>453.318105</v>
      </c>
      <c r="AM26" s="16" t="n">
        <v>0.508998</v>
      </c>
      <c r="AN26" s="16" t="n">
        <v>384.392683</v>
      </c>
      <c r="AO26" s="16" t="n"/>
      <c r="AP26" s="16" t="n"/>
      <c r="AR26" s="16" t="n"/>
      <c r="AS26" s="16" t="n"/>
      <c r="AT26" s="16" t="n"/>
      <c r="AU26" s="16" t="n"/>
      <c r="AV26" s="16" t="n">
        <v>574.1498329999999</v>
      </c>
      <c r="AW26" s="16" t="n">
        <v>0.504724</v>
      </c>
      <c r="AX26" s="16" t="n"/>
      <c r="AY26" s="16" t="n"/>
      <c r="AZ26" s="16" t="n">
        <v>1244.779137</v>
      </c>
      <c r="BA26" s="16" t="n">
        <v>0.671081</v>
      </c>
      <c r="BB26" s="16" t="n"/>
      <c r="BC26" s="16" t="n"/>
      <c r="BE26" s="16" t="n"/>
      <c r="BF26" s="16" t="n"/>
      <c r="BG26" s="16" t="n">
        <v>1698.269054</v>
      </c>
      <c r="BH26" s="16" t="n">
        <v>2053.932496</v>
      </c>
      <c r="BI26" s="16" t="n"/>
      <c r="BJ26" s="16" t="n"/>
      <c r="BK26" s="16" t="n">
        <v>1965.782617</v>
      </c>
      <c r="BL26" s="16" t="n">
        <v>4597.210087</v>
      </c>
      <c r="BN26" s="16" t="n">
        <v>0.9</v>
      </c>
      <c r="BO26" s="16" t="n">
        <v>397.5</v>
      </c>
      <c r="BP26" s="16" t="n"/>
      <c r="BQ26" s="16" t="n"/>
      <c r="BR26" s="16" t="n"/>
      <c r="BS26" s="16" t="n"/>
      <c r="BT26" s="16" t="n"/>
      <c r="BU26" s="16" t="n"/>
      <c r="BV26" s="16" t="n">
        <v>0.9</v>
      </c>
      <c r="BW26" s="16" t="n">
        <v>397.5</v>
      </c>
      <c r="BX26" s="16" t="n"/>
      <c r="BY26" s="16" t="n"/>
      <c r="BZ26" s="16" t="n"/>
      <c r="CA26" s="16" t="n"/>
      <c r="CB26" s="16" t="n"/>
      <c r="CC26" s="16" t="n"/>
      <c r="CD26" s="16" t="n"/>
      <c r="CE26" s="16" t="n"/>
      <c r="CF26" s="16" t="n">
        <v>0.9</v>
      </c>
      <c r="CG26" s="16" t="n">
        <v>402.5</v>
      </c>
      <c r="CH26" s="16" t="n"/>
      <c r="CI26" s="16" t="n"/>
      <c r="CJ26" s="16" t="n"/>
      <c r="CK26" s="16" t="n"/>
    </row>
    <row r="27">
      <c r="A27" s="16" t="n"/>
      <c r="B27" s="16" t="n"/>
      <c r="C27" s="16" t="n"/>
      <c r="D27" s="16" t="n"/>
      <c r="E27" s="16" t="n"/>
      <c r="F27" s="16" t="n"/>
      <c r="G27" s="16" t="n">
        <v>1492.154813</v>
      </c>
      <c r="H27" s="16" t="n">
        <v>2281.49039</v>
      </c>
      <c r="I27" s="16" t="n"/>
      <c r="J27" s="16" t="n"/>
      <c r="K27" s="16" t="n"/>
      <c r="L27" s="16" t="n"/>
      <c r="M27" s="16" t="n">
        <v>1635.27157</v>
      </c>
      <c r="N27" s="16" t="n">
        <v>4918.112777</v>
      </c>
      <c r="O27" s="16" t="n"/>
      <c r="P27" s="16" t="n"/>
      <c r="R27" s="16" t="n"/>
      <c r="S27" s="16" t="n"/>
      <c r="T27" s="16" t="n">
        <v>0.5568689999999999</v>
      </c>
      <c r="U27" s="16" t="n">
        <v>607.8443150000001</v>
      </c>
      <c r="V27" s="16" t="n"/>
      <c r="W27" s="16" t="n"/>
      <c r="X27" s="16" t="n"/>
      <c r="Y27" s="16" t="n"/>
      <c r="Z27" s="16" t="n">
        <v>0.7479479999999999</v>
      </c>
      <c r="AA27" s="16" t="n">
        <v>596.0431620000001</v>
      </c>
      <c r="AB27" s="16" t="n"/>
      <c r="AC27" s="16" t="n"/>
      <c r="AE27" s="16" t="n"/>
      <c r="AF27" s="16" t="n"/>
      <c r="AG27" s="16" t="n">
        <v>0.925177</v>
      </c>
      <c r="AH27" s="16" t="n">
        <v>528.125328</v>
      </c>
      <c r="AI27" s="16" t="n"/>
      <c r="AJ27" s="16" t="n"/>
      <c r="AK27" s="16" t="n">
        <v>0.678916</v>
      </c>
      <c r="AL27" s="16" t="n">
        <v>435.930443</v>
      </c>
      <c r="AM27" s="16" t="n">
        <v>0.421318</v>
      </c>
      <c r="AN27" s="16" t="n">
        <v>464.570634</v>
      </c>
      <c r="AO27" s="16" t="n"/>
      <c r="AP27" s="16" t="n"/>
      <c r="AR27" s="16" t="n"/>
      <c r="AS27" s="16" t="n"/>
      <c r="AT27" s="16" t="n"/>
      <c r="AU27" s="16" t="n"/>
      <c r="AV27" s="16" t="n">
        <v>1623.284938</v>
      </c>
      <c r="AW27" s="16" t="n">
        <v>0.5649960000000001</v>
      </c>
      <c r="AX27" s="16" t="n"/>
      <c r="AY27" s="16" t="n"/>
      <c r="AZ27" s="16" t="n">
        <v>242.232887</v>
      </c>
      <c r="BA27" s="16" t="n">
        <v>0.787212</v>
      </c>
      <c r="BB27" s="16" t="n"/>
      <c r="BC27" s="16" t="n"/>
      <c r="BE27" s="16" t="n"/>
      <c r="BF27" s="16" t="n"/>
      <c r="BG27" s="16" t="n">
        <v>1007.013731</v>
      </c>
      <c r="BH27" s="16" t="n">
        <v>2221.580847</v>
      </c>
      <c r="BI27" s="16" t="n"/>
      <c r="BJ27" s="16" t="n"/>
      <c r="BK27" s="16" t="n">
        <v>1629.451747</v>
      </c>
      <c r="BL27" s="16" t="n">
        <v>2717.240949</v>
      </c>
      <c r="BN27" s="16" t="n">
        <v>0.9</v>
      </c>
      <c r="BO27" s="16" t="n">
        <v>400</v>
      </c>
      <c r="BP27" s="16" t="n"/>
      <c r="BQ27" s="16" t="n"/>
      <c r="BR27" s="16" t="n"/>
      <c r="BS27" s="16" t="n"/>
      <c r="BT27" s="16" t="n"/>
      <c r="BU27" s="16" t="n"/>
      <c r="BV27" s="16" t="n">
        <v>0.9</v>
      </c>
      <c r="BW27" s="16" t="n">
        <v>400</v>
      </c>
      <c r="BX27" s="16" t="n"/>
      <c r="BY27" s="16" t="n"/>
      <c r="BZ27" s="16" t="n"/>
      <c r="CA27" s="16" t="n"/>
      <c r="CB27" s="16" t="n"/>
      <c r="CC27" s="16" t="n"/>
      <c r="CD27" s="16" t="n"/>
      <c r="CE27" s="16" t="n"/>
      <c r="CF27" s="16" t="n">
        <v>0.9</v>
      </c>
      <c r="CG27" s="16" t="n">
        <v>405</v>
      </c>
      <c r="CH27" s="16" t="n"/>
      <c r="CI27" s="16" t="n"/>
      <c r="CJ27" s="16" t="n"/>
      <c r="CK27" s="16" t="n"/>
    </row>
    <row r="28">
      <c r="A28" s="16" t="n"/>
      <c r="B28" s="16" t="n"/>
      <c r="C28" s="16" t="n"/>
      <c r="D28" s="16" t="n"/>
      <c r="E28" s="16" t="n"/>
      <c r="F28" s="16" t="n"/>
      <c r="G28" s="16" t="n">
        <v>301.324168</v>
      </c>
      <c r="H28" s="16" t="n">
        <v>2576.266807</v>
      </c>
      <c r="I28" s="16" t="n"/>
      <c r="J28" s="16" t="n"/>
      <c r="K28" s="16" t="n"/>
      <c r="L28" s="16" t="n"/>
      <c r="M28" s="16" t="n">
        <v>700.60689</v>
      </c>
      <c r="N28" s="16" t="n">
        <v>4963.56862</v>
      </c>
      <c r="O28" s="16" t="n"/>
      <c r="P28" s="16" t="n"/>
      <c r="R28" s="16" t="n"/>
      <c r="S28" s="16" t="n"/>
      <c r="T28" s="16" t="n">
        <v>0.785697</v>
      </c>
      <c r="U28" s="16" t="n">
        <v>507.717439</v>
      </c>
      <c r="V28" s="16" t="n"/>
      <c r="W28" s="16" t="n"/>
      <c r="X28" s="16" t="n"/>
      <c r="Y28" s="16" t="n"/>
      <c r="Z28" s="16" t="n">
        <v>0.475485</v>
      </c>
      <c r="AA28" s="16" t="n">
        <v>475.698048</v>
      </c>
      <c r="AB28" s="16" t="n"/>
      <c r="AC28" s="16" t="n"/>
      <c r="AE28" s="16" t="n"/>
      <c r="AF28" s="16" t="n"/>
      <c r="AG28" s="16" t="n">
        <v>0.527014</v>
      </c>
      <c r="AH28" s="16" t="n">
        <v>501.583858</v>
      </c>
      <c r="AI28" s="16" t="n"/>
      <c r="AJ28" s="16" t="n"/>
      <c r="AK28" s="16" t="n">
        <v>0.853375</v>
      </c>
      <c r="AL28" s="16" t="n">
        <v>562.0125839999999</v>
      </c>
      <c r="AM28" s="16" t="n">
        <v>0.52008</v>
      </c>
      <c r="AN28" s="16" t="n">
        <v>602.112343</v>
      </c>
      <c r="AO28" s="16" t="n"/>
      <c r="AP28" s="16" t="n"/>
      <c r="AR28" s="16" t="n"/>
      <c r="AS28" s="16" t="n"/>
      <c r="AT28" s="16" t="n"/>
      <c r="AU28" s="16" t="n"/>
      <c r="AV28" s="16" t="n">
        <v>667.393733</v>
      </c>
      <c r="AW28" s="16" t="n">
        <v>0.715581</v>
      </c>
      <c r="AX28" s="16" t="n"/>
      <c r="AY28" s="16" t="n"/>
      <c r="AZ28" s="16" t="n">
        <v>1354.960782</v>
      </c>
      <c r="BA28" s="16" t="n">
        <v>0.756814</v>
      </c>
      <c r="BB28" s="16" t="n"/>
      <c r="BC28" s="16" t="n"/>
      <c r="BE28" s="16" t="n"/>
      <c r="BF28" s="16" t="n"/>
      <c r="BG28" s="16" t="n">
        <v>788.289231</v>
      </c>
      <c r="BH28" s="16" t="n">
        <v>4229.702644</v>
      </c>
      <c r="BI28" s="16" t="n"/>
      <c r="BJ28" s="16" t="n"/>
      <c r="BK28" s="16" t="n">
        <v>583.388972</v>
      </c>
      <c r="BL28" s="16" t="n">
        <v>3914.4648</v>
      </c>
      <c r="BN28" s="16" t="n">
        <v>0.9</v>
      </c>
      <c r="BO28" s="16" t="n">
        <v>402.5</v>
      </c>
      <c r="BP28" s="16" t="n"/>
      <c r="BQ28" s="16" t="n"/>
      <c r="BR28" s="16" t="n"/>
      <c r="BS28" s="16" t="n"/>
      <c r="BT28" s="16" t="n"/>
      <c r="BU28" s="16" t="n"/>
      <c r="BV28" s="16" t="n">
        <v>0.9</v>
      </c>
      <c r="BW28" s="16" t="n">
        <v>402.5</v>
      </c>
      <c r="BX28" s="16" t="n"/>
      <c r="BY28" s="16" t="n"/>
      <c r="BZ28" s="16" t="n"/>
      <c r="CA28" s="16" t="n"/>
      <c r="CB28" s="16" t="n"/>
      <c r="CC28" s="16" t="n"/>
      <c r="CD28" s="16" t="n"/>
      <c r="CE28" s="16" t="n"/>
      <c r="CF28" s="16" t="n">
        <v>0.9</v>
      </c>
      <c r="CG28" s="16" t="n">
        <v>407.5</v>
      </c>
      <c r="CH28" s="16" t="n"/>
      <c r="CI28" s="16" t="n"/>
      <c r="CJ28" s="16" t="n"/>
      <c r="CK28" s="16" t="n"/>
    </row>
    <row r="29">
      <c r="A29" s="16" t="n"/>
      <c r="B29" s="16" t="n"/>
      <c r="C29" s="16" t="n"/>
      <c r="D29" s="16" t="n"/>
      <c r="E29" s="16" t="n"/>
      <c r="F29" s="16" t="n"/>
      <c r="G29" s="16" t="n">
        <v>1793.187019</v>
      </c>
      <c r="H29" s="16" t="n">
        <v>3471.482575</v>
      </c>
      <c r="I29" s="16" t="n"/>
      <c r="J29" s="16" t="n"/>
      <c r="K29" s="16" t="n"/>
      <c r="L29" s="16" t="n"/>
      <c r="M29" s="16" t="n">
        <v>1177.689505</v>
      </c>
      <c r="N29" s="16" t="n">
        <v>3743.789463</v>
      </c>
      <c r="O29" s="16" t="n"/>
      <c r="P29" s="16" t="n"/>
      <c r="R29" s="16" t="n"/>
      <c r="S29" s="16" t="n"/>
      <c r="T29" s="16" t="n">
        <v>0.917555</v>
      </c>
      <c r="U29" s="16" t="n">
        <v>451.647784</v>
      </c>
      <c r="V29" s="16" t="n"/>
      <c r="W29" s="16" t="n"/>
      <c r="X29" s="16" t="n"/>
      <c r="Y29" s="16" t="n"/>
      <c r="Z29" s="16" t="n"/>
      <c r="AA29" s="16" t="n"/>
      <c r="AB29" s="16" t="n"/>
      <c r="AC29" s="16" t="n"/>
      <c r="AE29" s="16" t="n"/>
      <c r="AF29" s="16" t="n"/>
      <c r="AG29" s="16" t="n"/>
      <c r="AH29" s="16" t="n"/>
      <c r="AI29" s="16" t="n"/>
      <c r="AJ29" s="16" t="n"/>
      <c r="AK29" s="16" t="n">
        <v>0.741703</v>
      </c>
      <c r="AL29" s="16" t="n">
        <v>495.970696</v>
      </c>
      <c r="AM29" s="16" t="n">
        <v>0.616031</v>
      </c>
      <c r="AN29" s="16" t="n">
        <v>568.556149</v>
      </c>
      <c r="AO29" s="16" t="n"/>
      <c r="AP29" s="16" t="n"/>
      <c r="AR29" s="16" t="n"/>
      <c r="AS29" s="16" t="n"/>
      <c r="AT29" s="16" t="n"/>
      <c r="AU29" s="16" t="n"/>
      <c r="AV29" s="16" t="n">
        <v>788.284621</v>
      </c>
      <c r="AW29" s="16" t="n">
        <v>0.57437</v>
      </c>
      <c r="AX29" s="16" t="n"/>
      <c r="AY29" s="16" t="n"/>
      <c r="AZ29" s="16" t="n">
        <v>984.782069</v>
      </c>
      <c r="BA29" s="16" t="n">
        <v>0.828023</v>
      </c>
      <c r="BB29" s="16" t="n"/>
      <c r="BC29" s="16" t="n"/>
      <c r="BE29" s="16" t="n"/>
      <c r="BF29" s="16" t="n"/>
      <c r="BG29" s="16" t="n">
        <v>1363.193773</v>
      </c>
      <c r="BH29" s="16" t="n">
        <v>4654.559545</v>
      </c>
      <c r="BI29" s="16" t="n"/>
      <c r="BJ29" s="16" t="n"/>
      <c r="BK29" s="16" t="n">
        <v>1850.891367</v>
      </c>
      <c r="BL29" s="16" t="n">
        <v>4873.243396</v>
      </c>
      <c r="BN29" s="16" t="n">
        <v>0.9</v>
      </c>
      <c r="BO29" s="16" t="n">
        <v>405</v>
      </c>
      <c r="BP29" s="16" t="n"/>
      <c r="BQ29" s="16" t="n"/>
      <c r="BR29" s="16" t="n"/>
      <c r="BS29" s="16" t="n"/>
      <c r="BT29" s="16" t="n"/>
      <c r="BU29" s="16" t="n"/>
      <c r="BV29" s="16" t="n">
        <v>0.9</v>
      </c>
      <c r="BW29" s="16" t="n">
        <v>407.5</v>
      </c>
      <c r="BX29" s="16" t="n"/>
      <c r="BY29" s="16" t="n"/>
      <c r="BZ29" s="16" t="n"/>
      <c r="CA29" s="16" t="n"/>
      <c r="CB29" s="16" t="n"/>
      <c r="CC29" s="16" t="n"/>
      <c r="CD29" s="16" t="n"/>
      <c r="CE29" s="16" t="n"/>
      <c r="CF29" s="16" t="n">
        <v>0.9</v>
      </c>
      <c r="CG29" s="16" t="n">
        <v>410</v>
      </c>
      <c r="CH29" s="16" t="n"/>
      <c r="CI29" s="16" t="n"/>
      <c r="CJ29" s="16" t="n"/>
      <c r="CK29" s="16" t="n"/>
    </row>
    <row r="30">
      <c r="A30" s="16" t="n"/>
      <c r="B30" s="16" t="n"/>
      <c r="C30" s="16" t="n"/>
      <c r="D30" s="16" t="n"/>
      <c r="E30" s="16" t="n"/>
      <c r="F30" s="16" t="n"/>
      <c r="G30" s="16" t="n">
        <v>576.26265</v>
      </c>
      <c r="H30" s="16" t="n">
        <v>2044.195679</v>
      </c>
      <c r="I30" s="16" t="n"/>
      <c r="J30" s="16" t="n"/>
      <c r="K30" s="16" t="n"/>
      <c r="L30" s="16" t="n"/>
      <c r="M30" s="16" t="n">
        <v>1126.886756</v>
      </c>
      <c r="N30" s="16" t="n">
        <v>4674.067664</v>
      </c>
      <c r="O30" s="16" t="n"/>
      <c r="P30" s="16" t="n"/>
      <c r="R30" s="16" t="n"/>
      <c r="S30" s="16" t="n"/>
      <c r="T30" s="16" t="n">
        <v>0.484595</v>
      </c>
      <c r="U30" s="16" t="n">
        <v>461.602297</v>
      </c>
      <c r="V30" s="16" t="n"/>
      <c r="W30" s="16" t="n"/>
      <c r="X30" s="16" t="n"/>
      <c r="Y30" s="16" t="n"/>
      <c r="Z30" s="16" t="n"/>
      <c r="AA30" s="16" t="n"/>
      <c r="AB30" s="16" t="n"/>
      <c r="AC30" s="16" t="n"/>
      <c r="AE30" s="16" t="n"/>
      <c r="AF30" s="16" t="n"/>
      <c r="AG30" s="16" t="n"/>
      <c r="AH30" s="16" t="n"/>
      <c r="AI30" s="16" t="n"/>
      <c r="AJ30" s="16" t="n"/>
      <c r="AK30" s="16" t="n">
        <v>0.451597</v>
      </c>
      <c r="AL30" s="16" t="n">
        <v>466.22482</v>
      </c>
      <c r="AM30" s="16" t="n">
        <v>0.544149</v>
      </c>
      <c r="AN30" s="16" t="n">
        <v>607.026739</v>
      </c>
      <c r="AO30" s="16" t="n"/>
      <c r="AP30" s="16" t="n"/>
      <c r="AR30" s="16" t="n"/>
      <c r="AS30" s="16" t="n"/>
      <c r="AT30" s="16" t="n"/>
      <c r="AU30" s="16" t="n"/>
      <c r="AV30" s="16" t="n">
        <v>491.523867</v>
      </c>
      <c r="AW30" s="16" t="n">
        <v>0.686849</v>
      </c>
      <c r="AX30" s="16" t="n"/>
      <c r="AY30" s="16" t="n"/>
      <c r="AZ30" s="16" t="n">
        <v>379.95877</v>
      </c>
      <c r="BA30" s="16" t="n">
        <v>0.783908</v>
      </c>
      <c r="BB30" s="16" t="n"/>
      <c r="BC30" s="16" t="n"/>
      <c r="BE30" s="16" t="n"/>
      <c r="BF30" s="16" t="n"/>
      <c r="BG30" s="16" t="n">
        <v>380.030695</v>
      </c>
      <c r="BH30" s="16" t="n">
        <v>4642.224557</v>
      </c>
      <c r="BI30" s="16" t="n"/>
      <c r="BJ30" s="16" t="n"/>
      <c r="BK30" s="16" t="n">
        <v>640.336022</v>
      </c>
      <c r="BL30" s="16" t="n">
        <v>3609.833779</v>
      </c>
      <c r="BN30" s="16" t="n">
        <v>0.9</v>
      </c>
      <c r="BO30" s="16" t="n">
        <v>407.5</v>
      </c>
      <c r="BP30" s="16" t="n"/>
      <c r="BQ30" s="16" t="n"/>
      <c r="BR30" s="16" t="n"/>
      <c r="BS30" s="16" t="n"/>
      <c r="BT30" s="16" t="n"/>
      <c r="BU30" s="16" t="n"/>
      <c r="BV30" s="16" t="n">
        <v>0.9</v>
      </c>
      <c r="BW30" s="16" t="n">
        <v>405</v>
      </c>
      <c r="BX30" s="16" t="n"/>
      <c r="BY30" s="16" t="n"/>
      <c r="BZ30" s="16" t="n"/>
      <c r="CA30" s="16" t="n"/>
      <c r="CB30" s="16" t="n"/>
      <c r="CC30" s="16" t="n"/>
      <c r="CD30" s="16" t="n"/>
      <c r="CE30" s="16" t="n"/>
      <c r="CF30" s="16" t="n">
        <v>0.925</v>
      </c>
      <c r="CG30" s="16" t="n">
        <v>400</v>
      </c>
      <c r="CH30" s="16" t="n"/>
      <c r="CI30" s="16" t="n"/>
      <c r="CJ30" s="16" t="n"/>
      <c r="CK30" s="16" t="n"/>
    </row>
    <row r="31">
      <c r="A31" s="16" t="n"/>
      <c r="B31" s="16" t="n"/>
      <c r="C31" s="16" t="n"/>
      <c r="D31" s="16" t="n"/>
      <c r="E31" s="16" t="n"/>
      <c r="F31" s="16" t="n"/>
      <c r="G31" s="16" t="n">
        <v>383.602133</v>
      </c>
      <c r="H31" s="16" t="n">
        <v>2859.118089</v>
      </c>
      <c r="I31" s="16" t="n"/>
      <c r="J31" s="16" t="n"/>
      <c r="K31" s="16" t="n"/>
      <c r="L31" s="16" t="n"/>
      <c r="M31" s="16" t="n">
        <v>314.62969</v>
      </c>
      <c r="N31" s="16" t="n">
        <v>2820.748296</v>
      </c>
      <c r="O31" s="16" t="n"/>
      <c r="P31" s="16" t="n"/>
      <c r="R31" s="16" t="n"/>
      <c r="S31" s="16" t="n"/>
      <c r="T31" s="16" t="n">
        <v>0.797247</v>
      </c>
      <c r="U31" s="16" t="n">
        <v>460.42621</v>
      </c>
      <c r="V31" s="16" t="n"/>
      <c r="W31" s="16" t="n"/>
      <c r="X31" s="16" t="n"/>
      <c r="Y31" s="16" t="n"/>
      <c r="Z31" s="16" t="n"/>
      <c r="AA31" s="16" t="n"/>
      <c r="AB31" s="16" t="n"/>
      <c r="AC31" s="16" t="n"/>
      <c r="AE31" s="16" t="n"/>
      <c r="AF31" s="16" t="n"/>
      <c r="AG31" s="16" t="n"/>
      <c r="AH31" s="16" t="n"/>
      <c r="AI31" s="16" t="n"/>
      <c r="AJ31" s="16" t="n"/>
      <c r="AK31" s="16" t="n">
        <v>0.511854</v>
      </c>
      <c r="AL31" s="16" t="n">
        <v>554.845018</v>
      </c>
      <c r="AM31" s="16" t="n">
        <v>0.407272</v>
      </c>
      <c r="AN31" s="16" t="n">
        <v>538.64106</v>
      </c>
      <c r="AO31" s="16" t="n"/>
      <c r="AP31" s="16" t="n"/>
      <c r="AR31" s="16" t="n"/>
      <c r="AS31" s="16" t="n"/>
      <c r="AT31" s="16" t="n"/>
      <c r="AU31" s="16" t="n"/>
      <c r="AV31" s="16" t="n">
        <v>732.823403</v>
      </c>
      <c r="AW31" s="16" t="n">
        <v>0.746588</v>
      </c>
      <c r="AX31" s="16" t="n"/>
      <c r="AY31" s="16" t="n"/>
      <c r="AZ31" s="16" t="n">
        <v>1880.028816</v>
      </c>
      <c r="BA31" s="16" t="n">
        <v>0.725749</v>
      </c>
      <c r="BB31" s="16" t="n"/>
      <c r="BC31" s="16" t="n"/>
      <c r="BE31" s="16" t="n"/>
      <c r="BF31" s="16" t="n"/>
      <c r="BG31" s="16" t="n">
        <v>1782.985421</v>
      </c>
      <c r="BH31" s="16" t="n">
        <v>3085.144476</v>
      </c>
      <c r="BI31" s="16" t="n"/>
      <c r="BJ31" s="16" t="n"/>
      <c r="BK31" s="16" t="n">
        <v>1120.858031</v>
      </c>
      <c r="BL31" s="16" t="n">
        <v>4115.160923</v>
      </c>
      <c r="BN31" s="16" t="n">
        <v>0.9</v>
      </c>
      <c r="BO31" s="16" t="n">
        <v>410</v>
      </c>
      <c r="BP31" s="16" t="n"/>
      <c r="BQ31" s="16" t="n"/>
      <c r="BR31" s="16" t="n"/>
      <c r="BS31" s="16" t="n"/>
      <c r="BT31" s="16" t="n"/>
      <c r="BU31" s="16" t="n"/>
      <c r="BV31" s="16" t="n">
        <v>0.9</v>
      </c>
      <c r="BW31" s="16" t="n">
        <v>410</v>
      </c>
      <c r="BX31" s="16" t="n"/>
      <c r="BY31" s="16" t="n"/>
      <c r="BZ31" s="16" t="n"/>
      <c r="CA31" s="16" t="n"/>
      <c r="CB31" s="16" t="n"/>
      <c r="CC31" s="16" t="n"/>
      <c r="CD31" s="16" t="n"/>
      <c r="CE31" s="16" t="n"/>
      <c r="CF31" s="16" t="n">
        <v>0.925</v>
      </c>
      <c r="CG31" s="16" t="n">
        <v>402.5</v>
      </c>
      <c r="CH31" s="16" t="n"/>
      <c r="CI31" s="16" t="n"/>
      <c r="CJ31" s="16" t="n"/>
      <c r="CK31" s="16" t="n"/>
    </row>
    <row r="32">
      <c r="A32" s="16" t="n"/>
      <c r="B32" s="16" t="n"/>
      <c r="C32" s="16" t="n"/>
      <c r="D32" s="16" t="n"/>
      <c r="E32" s="16" t="n"/>
      <c r="F32" s="16" t="n"/>
      <c r="G32" s="16" t="n">
        <v>1240.397483</v>
      </c>
      <c r="H32" s="16" t="n">
        <v>4538.003152</v>
      </c>
      <c r="I32" s="16" t="n"/>
      <c r="J32" s="16" t="n"/>
      <c r="K32" s="16" t="n"/>
      <c r="L32" s="16" t="n"/>
      <c r="M32" s="16" t="n">
        <v>1662.020872</v>
      </c>
      <c r="N32" s="16" t="n">
        <v>3531.292266</v>
      </c>
      <c r="O32" s="16" t="n"/>
      <c r="P32" s="16" t="n"/>
      <c r="R32" s="16" t="n"/>
      <c r="S32" s="16" t="n"/>
      <c r="T32" s="16" t="n">
        <v>0.713224</v>
      </c>
      <c r="U32" s="16" t="n">
        <v>616.852863</v>
      </c>
      <c r="V32" s="16" t="n"/>
      <c r="W32" s="16" t="n"/>
      <c r="X32" s="16" t="n"/>
      <c r="Y32" s="16" t="n"/>
      <c r="Z32" s="16" t="n"/>
      <c r="AA32" s="16" t="n"/>
      <c r="AB32" s="16" t="n"/>
      <c r="AC32" s="16" t="n"/>
      <c r="AE32" s="16" t="n"/>
      <c r="AF32" s="16" t="n"/>
      <c r="AG32" s="16" t="n"/>
      <c r="AH32" s="16" t="n"/>
      <c r="AI32" s="16" t="n"/>
      <c r="AJ32" s="16" t="n"/>
      <c r="AK32" s="16" t="n">
        <v>0.817598</v>
      </c>
      <c r="AL32" s="16" t="n">
        <v>520.340883</v>
      </c>
      <c r="AM32" s="16" t="n">
        <v>0.489935</v>
      </c>
      <c r="AN32" s="16" t="n">
        <v>549.559195</v>
      </c>
      <c r="AO32" s="16" t="n"/>
      <c r="AP32" s="16" t="n"/>
      <c r="AR32" s="16" t="n"/>
      <c r="AS32" s="16" t="n"/>
      <c r="AT32" s="16" t="n"/>
      <c r="AU32" s="16" t="n"/>
      <c r="AV32" s="16" t="n">
        <v>1481.028943</v>
      </c>
      <c r="AW32" s="16" t="n">
        <v>0.556769</v>
      </c>
      <c r="AX32" s="16" t="n"/>
      <c r="AY32" s="16" t="n"/>
      <c r="AZ32" s="16" t="n">
        <v>410.238035</v>
      </c>
      <c r="BA32" s="16" t="n">
        <v>0.530367</v>
      </c>
      <c r="BB32" s="16" t="n"/>
      <c r="BC32" s="16" t="n"/>
      <c r="BE32" s="16" t="n"/>
      <c r="BF32" s="16" t="n"/>
      <c r="BG32" s="16" t="n">
        <v>941.285007</v>
      </c>
      <c r="BH32" s="16" t="n">
        <v>2037.930113</v>
      </c>
      <c r="BI32" s="16" t="n"/>
      <c r="BJ32" s="16" t="n"/>
      <c r="BK32" s="16" t="n">
        <v>554.015145</v>
      </c>
      <c r="BL32" s="16" t="n">
        <v>3668.556329</v>
      </c>
      <c r="BN32" s="16" t="n">
        <v>0.925</v>
      </c>
      <c r="BO32" s="16" t="n">
        <v>390</v>
      </c>
      <c r="BP32" s="16" t="n"/>
      <c r="BQ32" s="16" t="n"/>
      <c r="BR32" s="16" t="n"/>
      <c r="BS32" s="16" t="n"/>
      <c r="BT32" s="16" t="n"/>
      <c r="BU32" s="16" t="n"/>
      <c r="BV32" s="16" t="n">
        <v>0.925</v>
      </c>
      <c r="BW32" s="16" t="n">
        <v>390</v>
      </c>
      <c r="BX32" s="16" t="n"/>
      <c r="BY32" s="16" t="n"/>
      <c r="BZ32" s="16" t="n"/>
      <c r="CA32" s="16" t="n"/>
      <c r="CB32" s="16" t="n"/>
      <c r="CC32" s="16" t="n"/>
      <c r="CD32" s="16" t="n"/>
      <c r="CE32" s="16" t="n"/>
      <c r="CF32" s="16" t="n">
        <v>0.925</v>
      </c>
      <c r="CG32" s="16" t="n">
        <v>405</v>
      </c>
      <c r="CH32" s="16" t="n"/>
      <c r="CI32" s="16" t="n"/>
      <c r="CJ32" s="16" t="n"/>
      <c r="CK32" s="16" t="n"/>
    </row>
    <row r="33">
      <c r="A33" s="16" t="n"/>
      <c r="B33" s="16" t="n"/>
      <c r="C33" s="16" t="n"/>
      <c r="D33" s="16" t="n"/>
      <c r="E33" s="16" t="n"/>
      <c r="F33" s="16" t="n"/>
      <c r="G33" s="16" t="n">
        <v>1979.582915</v>
      </c>
      <c r="H33" s="16" t="n">
        <v>4986.580958</v>
      </c>
      <c r="I33" s="16" t="n"/>
      <c r="J33" s="16" t="n"/>
      <c r="K33" s="16" t="n"/>
      <c r="L33" s="16" t="n"/>
      <c r="M33" s="16" t="n">
        <v>1414.348526</v>
      </c>
      <c r="N33" s="16" t="n">
        <v>4813.701246</v>
      </c>
      <c r="O33" s="16" t="n"/>
      <c r="P33" s="16" t="n"/>
      <c r="R33" s="16" t="n"/>
      <c r="S33" s="16" t="n"/>
      <c r="T33" s="16" t="n">
        <v>0.818132</v>
      </c>
      <c r="U33" s="16" t="n">
        <v>588.2492140000001</v>
      </c>
      <c r="V33" s="16" t="n"/>
      <c r="W33" s="16" t="n"/>
      <c r="X33" s="16" t="n"/>
      <c r="Y33" s="16" t="n"/>
      <c r="Z33" s="16" t="n"/>
      <c r="AA33" s="16" t="n"/>
      <c r="AB33" s="16" t="n"/>
      <c r="AC33" s="16" t="n"/>
      <c r="AE33" s="16" t="n"/>
      <c r="AF33" s="16" t="n"/>
      <c r="AG33" s="16" t="n"/>
      <c r="AH33" s="16" t="n"/>
      <c r="AI33" s="16" t="n"/>
      <c r="AJ33" s="16" t="n"/>
      <c r="AK33" s="16" t="n">
        <v>0.812681</v>
      </c>
      <c r="AL33" s="16" t="n">
        <v>581.896506</v>
      </c>
      <c r="AM33" s="16" t="n">
        <v>0.437792</v>
      </c>
      <c r="AN33" s="16" t="n">
        <v>594.884414</v>
      </c>
      <c r="AO33" s="16" t="n"/>
      <c r="AP33" s="16" t="n"/>
      <c r="AR33" s="16" t="n"/>
      <c r="AS33" s="16" t="n"/>
      <c r="AT33" s="16" t="n"/>
      <c r="AU33" s="16" t="n"/>
      <c r="AV33" s="16" t="n">
        <v>836.374352</v>
      </c>
      <c r="AW33" s="16" t="n">
        <v>0.65504</v>
      </c>
      <c r="AX33" s="16" t="n"/>
      <c r="AY33" s="16" t="n"/>
      <c r="AZ33" s="16" t="n">
        <v>868.606512</v>
      </c>
      <c r="BA33" s="16" t="n">
        <v>0.569123</v>
      </c>
      <c r="BB33" s="16" t="n"/>
      <c r="BC33" s="16" t="n"/>
      <c r="BE33" s="16" t="n"/>
      <c r="BF33" s="16" t="n"/>
      <c r="BG33" s="16" t="n">
        <v>442.26242</v>
      </c>
      <c r="BH33" s="16" t="n">
        <v>3954.235085</v>
      </c>
      <c r="BI33" s="16" t="n"/>
      <c r="BJ33" s="16" t="n"/>
      <c r="BK33" s="16" t="n">
        <v>614.200777</v>
      </c>
      <c r="BL33" s="16" t="n">
        <v>2775.610115</v>
      </c>
      <c r="BN33" s="16" t="n">
        <v>0.925</v>
      </c>
      <c r="BO33" s="16" t="n">
        <v>392.5</v>
      </c>
      <c r="BP33" s="16" t="n"/>
      <c r="BQ33" s="16" t="n"/>
      <c r="BR33" s="16" t="n"/>
      <c r="BS33" s="16" t="n"/>
      <c r="BT33" s="16" t="n"/>
      <c r="BU33" s="16" t="n"/>
      <c r="BV33" s="16" t="n">
        <v>0.925</v>
      </c>
      <c r="BW33" s="16" t="n">
        <v>397.5</v>
      </c>
      <c r="BX33" s="16" t="n"/>
      <c r="BY33" s="16" t="n"/>
      <c r="BZ33" s="16" t="n"/>
      <c r="CA33" s="16" t="n"/>
      <c r="CB33" s="16" t="n"/>
      <c r="CC33" s="16" t="n"/>
      <c r="CD33" s="16" t="n"/>
      <c r="CE33" s="16" t="n"/>
      <c r="CF33" s="16" t="n">
        <v>0.925</v>
      </c>
      <c r="CG33" s="16" t="n">
        <v>407.5</v>
      </c>
      <c r="CH33" s="16" t="n"/>
      <c r="CI33" s="16" t="n"/>
      <c r="CJ33" s="16" t="n"/>
      <c r="CK33" s="16" t="n"/>
    </row>
    <row r="34">
      <c r="A34" s="16" t="n"/>
      <c r="B34" s="16" t="n"/>
      <c r="C34" s="16" t="n"/>
      <c r="D34" s="16" t="n"/>
      <c r="E34" s="16" t="n"/>
      <c r="F34" s="16" t="n"/>
      <c r="G34" s="16" t="n">
        <v>1471.521553</v>
      </c>
      <c r="H34" s="16" t="n">
        <v>3573.873734</v>
      </c>
      <c r="I34" s="16" t="n"/>
      <c r="J34" s="16" t="n"/>
      <c r="K34" s="16" t="n"/>
      <c r="L34" s="16" t="n"/>
      <c r="M34" s="16" t="n">
        <v>1223.09312</v>
      </c>
      <c r="N34" s="16" t="n">
        <v>3086.12504</v>
      </c>
      <c r="O34" s="16" t="n"/>
      <c r="P34" s="16" t="n"/>
      <c r="R34" s="16" t="n"/>
      <c r="S34" s="16" t="n"/>
      <c r="T34" s="16" t="n">
        <v>0.778634</v>
      </c>
      <c r="U34" s="16" t="n">
        <v>536.716221</v>
      </c>
      <c r="V34" s="16" t="n"/>
      <c r="W34" s="16" t="n"/>
      <c r="X34" s="16" t="n"/>
      <c r="Y34" s="16" t="n"/>
      <c r="Z34" s="16" t="n"/>
      <c r="AA34" s="16" t="n"/>
      <c r="AB34" s="16" t="n"/>
      <c r="AC34" s="16" t="n"/>
      <c r="AE34" s="16" t="n"/>
      <c r="AF34" s="16" t="n"/>
      <c r="AG34" s="16" t="n"/>
      <c r="AH34" s="16" t="n"/>
      <c r="AI34" s="16" t="n"/>
      <c r="AJ34" s="16" t="n"/>
      <c r="AK34" s="16" t="n">
        <v>0.660992</v>
      </c>
      <c r="AL34" s="16" t="n">
        <v>450.171711</v>
      </c>
      <c r="AM34" s="16" t="n">
        <v>0.423123</v>
      </c>
      <c r="AN34" s="16" t="n">
        <v>617.233696</v>
      </c>
      <c r="AO34" s="16" t="n"/>
      <c r="AP34" s="16" t="n"/>
      <c r="AR34" s="16" t="n"/>
      <c r="AS34" s="16" t="n"/>
      <c r="AT34" s="16" t="n"/>
      <c r="AU34" s="16" t="n"/>
      <c r="AV34" s="16" t="n">
        <v>1774.563415</v>
      </c>
      <c r="AW34" s="16" t="n">
        <v>0.683185</v>
      </c>
      <c r="AX34" s="16" t="n"/>
      <c r="AY34" s="16" t="n"/>
      <c r="AZ34" s="16" t="n">
        <v>215.749745</v>
      </c>
      <c r="BA34" s="16" t="n">
        <v>0.631446</v>
      </c>
      <c r="BB34" s="16" t="n"/>
      <c r="BC34" s="16" t="n"/>
      <c r="BE34" s="16" t="n"/>
      <c r="BF34" s="16" t="n"/>
      <c r="BG34" s="16" t="n">
        <v>1675.810927</v>
      </c>
      <c r="BH34" s="16" t="n">
        <v>4711.298436</v>
      </c>
      <c r="BI34" s="16" t="n"/>
      <c r="BJ34" s="16" t="n"/>
      <c r="BK34" s="16" t="n">
        <v>531.233512</v>
      </c>
      <c r="BL34" s="16" t="n">
        <v>2363.516211</v>
      </c>
      <c r="BN34" s="16" t="n">
        <v>0.925</v>
      </c>
      <c r="BO34" s="16" t="n">
        <v>395</v>
      </c>
      <c r="BP34" s="16" t="n"/>
      <c r="BQ34" s="16" t="n"/>
      <c r="BR34" s="16" t="n"/>
      <c r="BS34" s="16" t="n"/>
      <c r="BT34" s="16" t="n"/>
      <c r="BU34" s="16" t="n"/>
      <c r="BV34" s="16" t="n">
        <v>0.925</v>
      </c>
      <c r="BW34" s="16" t="n">
        <v>395</v>
      </c>
      <c r="BX34" s="16" t="n"/>
      <c r="BY34" s="16" t="n"/>
      <c r="BZ34" s="16" t="n"/>
      <c r="CA34" s="16" t="n"/>
      <c r="CB34" s="16" t="n"/>
      <c r="CC34" s="16" t="n"/>
      <c r="CD34" s="16" t="n"/>
      <c r="CE34" s="16" t="n"/>
      <c r="CF34" s="16" t="n">
        <v>0.925</v>
      </c>
      <c r="CG34" s="16" t="n">
        <v>410</v>
      </c>
      <c r="CH34" s="16" t="n"/>
      <c r="CI34" s="16" t="n"/>
      <c r="CJ34" s="16" t="n"/>
      <c r="CK34" s="16" t="n"/>
    </row>
    <row r="35">
      <c r="A35" s="16" t="n"/>
      <c r="B35" s="16" t="n"/>
      <c r="C35" s="16" t="n"/>
      <c r="D35" s="16" t="n"/>
      <c r="E35" s="16" t="n"/>
      <c r="F35" s="16" t="n"/>
      <c r="G35" s="16" t="n">
        <v>1543.290567</v>
      </c>
      <c r="H35" s="16" t="n">
        <v>4484.321701</v>
      </c>
      <c r="I35" s="16" t="n"/>
      <c r="J35" s="16" t="n"/>
      <c r="K35" s="16" t="n"/>
      <c r="L35" s="16" t="n"/>
      <c r="M35" s="16" t="n">
        <v>376.998071</v>
      </c>
      <c r="N35" s="16" t="n">
        <v>2484.331484</v>
      </c>
      <c r="O35" s="16" t="n"/>
      <c r="P35" s="16" t="n"/>
      <c r="R35" s="16" t="n"/>
      <c r="S35" s="16" t="n"/>
      <c r="T35" s="16" t="n">
        <v>0.708907</v>
      </c>
      <c r="U35" s="16" t="n">
        <v>559.726285</v>
      </c>
      <c r="V35" s="16" t="n"/>
      <c r="W35" s="16" t="n"/>
      <c r="X35" s="16" t="n"/>
      <c r="Y35" s="16" t="n"/>
      <c r="Z35" s="16" t="n"/>
      <c r="AA35" s="16" t="n"/>
      <c r="AB35" s="16" t="n"/>
      <c r="AC35" s="16" t="n"/>
      <c r="AE35" s="16" t="n"/>
      <c r="AF35" s="16" t="n"/>
      <c r="AG35" s="16" t="n"/>
      <c r="AH35" s="16" t="n"/>
      <c r="AI35" s="16" t="n"/>
      <c r="AJ35" s="16" t="n"/>
      <c r="AK35" s="16" t="n">
        <v>0.73436</v>
      </c>
      <c r="AL35" s="16" t="n">
        <v>544.315708</v>
      </c>
      <c r="AM35" s="16" t="n">
        <v>0.404237</v>
      </c>
      <c r="AN35" s="16" t="n">
        <v>499.197376</v>
      </c>
      <c r="AO35" s="16" t="n"/>
      <c r="AP35" s="16" t="n"/>
      <c r="AR35" s="16" t="n"/>
      <c r="AS35" s="16" t="n"/>
      <c r="AT35" s="16" t="n"/>
      <c r="AU35" s="16" t="n"/>
      <c r="AV35" s="16" t="n">
        <v>1569.858244</v>
      </c>
      <c r="AW35" s="16" t="n">
        <v>0.809883</v>
      </c>
      <c r="AX35" s="16" t="n"/>
      <c r="AY35" s="16" t="n"/>
      <c r="AZ35" s="16" t="n">
        <v>597.143129</v>
      </c>
      <c r="BA35" s="16" t="n">
        <v>0.735927</v>
      </c>
      <c r="BB35" s="16" t="n"/>
      <c r="BC35" s="16" t="n"/>
      <c r="BE35" s="16" t="n"/>
      <c r="BF35" s="16" t="n"/>
      <c r="BG35" s="16" t="n">
        <v>767.528272</v>
      </c>
      <c r="BH35" s="16" t="n">
        <v>3225.403856</v>
      </c>
      <c r="BI35" s="16" t="n"/>
      <c r="BJ35" s="16" t="n"/>
      <c r="BK35" s="16" t="n">
        <v>772.396076</v>
      </c>
      <c r="BL35" s="16" t="n">
        <v>4305.579001</v>
      </c>
      <c r="BN35" s="16" t="n">
        <v>0.925</v>
      </c>
      <c r="BO35" s="16" t="n">
        <v>397.5</v>
      </c>
      <c r="BP35" s="16" t="n"/>
      <c r="BQ35" s="16" t="n"/>
      <c r="BR35" s="16" t="n"/>
      <c r="BS35" s="16" t="n"/>
      <c r="BT35" s="16" t="n"/>
      <c r="BU35" s="16" t="n"/>
      <c r="BV35" s="16" t="n">
        <v>0.925</v>
      </c>
      <c r="BW35" s="16" t="n">
        <v>392.5</v>
      </c>
      <c r="BX35" s="16" t="n"/>
      <c r="BY35" s="16" t="n"/>
      <c r="BZ35" s="16" t="n"/>
      <c r="CA35" s="16" t="n"/>
      <c r="CB35" s="16" t="n"/>
      <c r="CC35" s="16" t="n"/>
      <c r="CD35" s="16" t="n"/>
      <c r="CE35" s="16" t="n"/>
      <c r="CF35" s="16" t="n"/>
      <c r="CG35" s="16" t="n"/>
      <c r="CH35" s="16" t="n"/>
      <c r="CI35" s="16" t="n"/>
      <c r="CJ35" s="16" t="n"/>
      <c r="CK35" s="16" t="n"/>
    </row>
    <row r="36">
      <c r="A36" s="16" t="n"/>
      <c r="B36" s="16" t="n"/>
      <c r="C36" s="16" t="n"/>
      <c r="D36" s="16" t="n"/>
      <c r="E36" s="16" t="n"/>
      <c r="F36" s="16" t="n"/>
      <c r="G36" s="16" t="n">
        <v>1517.034702</v>
      </c>
      <c r="H36" s="16" t="n">
        <v>3625.874049</v>
      </c>
      <c r="I36" s="16" t="n"/>
      <c r="J36" s="16" t="n"/>
      <c r="K36" s="16" t="n"/>
      <c r="L36" s="16" t="n"/>
      <c r="M36" s="16" t="n">
        <v>1386.216915</v>
      </c>
      <c r="N36" s="16" t="n">
        <v>2559.665823</v>
      </c>
      <c r="O36" s="16" t="n"/>
      <c r="P36" s="16" t="n"/>
      <c r="R36" s="16" t="n"/>
      <c r="S36" s="16" t="n"/>
      <c r="T36" s="16" t="n">
        <v>0.482092</v>
      </c>
      <c r="U36" s="16" t="n">
        <v>490.29666</v>
      </c>
      <c r="V36" s="16" t="n"/>
      <c r="W36" s="16" t="n"/>
      <c r="X36" s="16" t="n"/>
      <c r="Y36" s="16" t="n"/>
      <c r="Z36" s="16" t="n"/>
      <c r="AA36" s="16" t="n"/>
      <c r="AB36" s="16" t="n"/>
      <c r="AC36" s="16" t="n"/>
      <c r="AE36" s="16" t="n"/>
      <c r="AF36" s="16" t="n"/>
      <c r="AG36" s="16" t="n"/>
      <c r="AH36" s="16" t="n"/>
      <c r="AI36" s="16" t="n"/>
      <c r="AJ36" s="16" t="n"/>
      <c r="AK36" s="16" t="n">
        <v>0.625875</v>
      </c>
      <c r="AL36" s="16" t="n">
        <v>577.435468</v>
      </c>
      <c r="AM36" s="16" t="n"/>
      <c r="AN36" s="16" t="n"/>
      <c r="AO36" s="16" t="n"/>
      <c r="AP36" s="16" t="n"/>
      <c r="AR36" s="16" t="n"/>
      <c r="AS36" s="16" t="n"/>
      <c r="AT36" s="16" t="n"/>
      <c r="AU36" s="16" t="n"/>
      <c r="AV36" s="16" t="n">
        <v>1046.365716</v>
      </c>
      <c r="AW36" s="16" t="n">
        <v>0.678918</v>
      </c>
      <c r="AX36" s="16" t="n"/>
      <c r="AY36" s="16" t="n"/>
      <c r="AZ36" s="16" t="n">
        <v>211.416569</v>
      </c>
      <c r="BA36" s="16" t="n">
        <v>0.507318</v>
      </c>
      <c r="BB36" s="16" t="n"/>
      <c r="BC36" s="16" t="n"/>
      <c r="BE36" s="16" t="n"/>
      <c r="BF36" s="16" t="n"/>
      <c r="BG36" s="16" t="n">
        <v>1411.710803</v>
      </c>
      <c r="BH36" s="16" t="n">
        <v>2741.50504</v>
      </c>
      <c r="BI36" s="16" t="n"/>
      <c r="BJ36" s="16" t="n"/>
      <c r="BK36" s="16" t="n">
        <v>820.7067050000001</v>
      </c>
      <c r="BL36" s="16" t="n">
        <v>4513.29147</v>
      </c>
      <c r="BN36" s="16" t="n">
        <v>0.925</v>
      </c>
      <c r="BO36" s="16" t="n">
        <v>400</v>
      </c>
      <c r="BP36" s="16" t="n"/>
      <c r="BQ36" s="16" t="n"/>
      <c r="BR36" s="16" t="n"/>
      <c r="BS36" s="16" t="n"/>
      <c r="BT36" s="16" t="n"/>
      <c r="BU36" s="16" t="n"/>
      <c r="BV36" s="16" t="n">
        <v>0.925</v>
      </c>
      <c r="BW36" s="16" t="n">
        <v>400</v>
      </c>
      <c r="BX36" s="16" t="n"/>
      <c r="BY36" s="16" t="n"/>
      <c r="BZ36" s="16" t="n"/>
      <c r="CA36" s="16" t="n"/>
      <c r="CB36" s="16" t="n"/>
      <c r="CC36" s="16" t="n"/>
      <c r="CD36" s="16" t="n"/>
      <c r="CE36" s="16" t="n"/>
      <c r="CF36" s="16" t="n"/>
      <c r="CG36" s="16" t="n"/>
      <c r="CH36" s="16" t="n"/>
      <c r="CI36" s="16" t="n"/>
      <c r="CJ36" s="16" t="n"/>
      <c r="CK36" s="16" t="n"/>
    </row>
    <row r="37">
      <c r="A37" s="16" t="n"/>
      <c r="B37" s="16" t="n"/>
      <c r="C37" s="16" t="n"/>
      <c r="D37" s="16" t="n"/>
      <c r="E37" s="16" t="n"/>
      <c r="F37" s="16" t="n"/>
      <c r="G37" s="16" t="n">
        <v>524.987626</v>
      </c>
      <c r="H37" s="16" t="n">
        <v>2944.813165</v>
      </c>
      <c r="I37" s="16" t="n"/>
      <c r="J37" s="16" t="n"/>
      <c r="K37" s="16" t="n"/>
      <c r="L37" s="16" t="n"/>
      <c r="M37" s="16" t="n">
        <v>621.495467</v>
      </c>
      <c r="N37" s="16" t="n">
        <v>4729.652181</v>
      </c>
      <c r="O37" s="16" t="n"/>
      <c r="P37" s="16" t="n"/>
      <c r="R37" s="16" t="n"/>
      <c r="S37" s="16" t="n"/>
      <c r="T37" s="16" t="n">
        <v>0.881589</v>
      </c>
      <c r="U37" s="16" t="n">
        <v>458.058897</v>
      </c>
      <c r="V37" s="16" t="n"/>
      <c r="W37" s="16" t="n"/>
      <c r="X37" s="16" t="n"/>
      <c r="Y37" s="16" t="n"/>
      <c r="Z37" s="16" t="n"/>
      <c r="AA37" s="16" t="n"/>
      <c r="AB37" s="16" t="n"/>
      <c r="AC37" s="16" t="n"/>
      <c r="AE37" s="16" t="n"/>
      <c r="AF37" s="16" t="n"/>
      <c r="AG37" s="16" t="n"/>
      <c r="AH37" s="16" t="n"/>
      <c r="AI37" s="16" t="n"/>
      <c r="AJ37" s="16" t="n"/>
      <c r="AK37" s="16" t="n">
        <v>0.8113050000000001</v>
      </c>
      <c r="AL37" s="16" t="n">
        <v>530.0976879999999</v>
      </c>
      <c r="AM37" s="16" t="n"/>
      <c r="AN37" s="16" t="n"/>
      <c r="AO37" s="16" t="n"/>
      <c r="AP37" s="16" t="n"/>
      <c r="AR37" s="16" t="n"/>
      <c r="AS37" s="16" t="n"/>
      <c r="AT37" s="16" t="n"/>
      <c r="AU37" s="16" t="n"/>
      <c r="AV37" s="16" t="n"/>
      <c r="AW37" s="16" t="n"/>
      <c r="AX37" s="16" t="n"/>
      <c r="AY37" s="16" t="n"/>
      <c r="AZ37" s="16" t="n">
        <v>1322.913885</v>
      </c>
      <c r="BA37" s="16" t="n">
        <v>0.6421790000000001</v>
      </c>
      <c r="BB37" s="16" t="n"/>
      <c r="BC37" s="16" t="n"/>
      <c r="BE37" s="16" t="n"/>
      <c r="BF37" s="16" t="n"/>
      <c r="BG37" s="16" t="n">
        <v>223.273195</v>
      </c>
      <c r="BH37" s="16" t="n">
        <v>2251.293058</v>
      </c>
      <c r="BI37" s="16" t="n"/>
      <c r="BJ37" s="16" t="n"/>
      <c r="BK37" s="16" t="n">
        <v>1308.688047</v>
      </c>
      <c r="BL37" s="16" t="n">
        <v>4096.793342</v>
      </c>
      <c r="BN37" s="16" t="n">
        <v>0.925</v>
      </c>
      <c r="BO37" s="16" t="n">
        <v>402.5</v>
      </c>
      <c r="BP37" s="16" t="n"/>
      <c r="BQ37" s="16" t="n"/>
      <c r="BR37" s="16" t="n"/>
      <c r="BS37" s="16" t="n"/>
      <c r="BT37" s="16" t="n"/>
      <c r="BU37" s="16" t="n"/>
      <c r="BV37" s="16" t="n">
        <v>0.925</v>
      </c>
      <c r="BW37" s="16" t="n">
        <v>405</v>
      </c>
      <c r="BX37" s="16" t="n"/>
      <c r="BY37" s="16" t="n"/>
      <c r="BZ37" s="16" t="n"/>
      <c r="CA37" s="16" t="n"/>
      <c r="CB37" s="16" t="n"/>
      <c r="CC37" s="16" t="n"/>
      <c r="CD37" s="16" t="n"/>
      <c r="CE37" s="16" t="n"/>
      <c r="CF37" s="16" t="n"/>
      <c r="CG37" s="16" t="n"/>
      <c r="CH37" s="16" t="n"/>
      <c r="CI37" s="16" t="n"/>
      <c r="CJ37" s="16" t="n"/>
      <c r="CK37" s="16" t="n"/>
    </row>
    <row r="38">
      <c r="A38" s="16" t="n"/>
      <c r="B38" s="16" t="n"/>
      <c r="C38" s="16" t="n"/>
      <c r="D38" s="16" t="n"/>
      <c r="E38" s="16" t="n"/>
      <c r="F38" s="16" t="n"/>
      <c r="G38" s="16" t="n">
        <v>1761.009658</v>
      </c>
      <c r="H38" s="16" t="n">
        <v>3376.253967</v>
      </c>
      <c r="I38" s="16" t="n"/>
      <c r="J38" s="16" t="n"/>
      <c r="K38" s="16" t="n"/>
      <c r="L38" s="16" t="n"/>
      <c r="M38" s="16" t="n">
        <v>1430.770295</v>
      </c>
      <c r="N38" s="16" t="n">
        <v>3333.09412</v>
      </c>
      <c r="O38" s="16" t="n"/>
      <c r="P38" s="16" t="n"/>
      <c r="R38" s="16" t="n"/>
      <c r="S38" s="16" t="n"/>
      <c r="T38" s="16" t="n">
        <v>0.624743</v>
      </c>
      <c r="U38" s="16" t="n">
        <v>572.1096669999999</v>
      </c>
      <c r="V38" s="16" t="n"/>
      <c r="W38" s="16" t="n"/>
      <c r="X38" s="16" t="n"/>
      <c r="Y38" s="16" t="n"/>
      <c r="Z38" s="16" t="n"/>
      <c r="AA38" s="16" t="n"/>
      <c r="AB38" s="16" t="n"/>
      <c r="AC38" s="16" t="n"/>
      <c r="AE38" s="16" t="n"/>
      <c r="AF38" s="16" t="n"/>
      <c r="AG38" s="16" t="n"/>
      <c r="AH38" s="16" t="n"/>
      <c r="AI38" s="16" t="n"/>
      <c r="AJ38" s="16" t="n"/>
      <c r="AK38" s="16" t="n">
        <v>0.427678</v>
      </c>
      <c r="AL38" s="16" t="n">
        <v>479.638627</v>
      </c>
      <c r="AM38" s="16" t="n"/>
      <c r="AN38" s="16" t="n"/>
      <c r="AO38" s="16" t="n"/>
      <c r="AP38" s="16" t="n"/>
      <c r="AR38" s="16" t="n"/>
      <c r="AS38" s="16" t="n"/>
      <c r="AT38" s="16" t="n"/>
      <c r="AU38" s="16" t="n"/>
      <c r="AV38" s="16" t="n"/>
      <c r="AW38" s="16" t="n"/>
      <c r="AX38" s="16" t="n"/>
      <c r="AY38" s="16" t="n"/>
      <c r="AZ38" s="16" t="n">
        <v>1061.882494</v>
      </c>
      <c r="BA38" s="16" t="n">
        <v>0.770818</v>
      </c>
      <c r="BB38" s="16" t="n"/>
      <c r="BC38" s="16" t="n"/>
      <c r="BE38" s="16" t="n"/>
      <c r="BF38" s="16" t="n"/>
      <c r="BG38" s="16" t="n">
        <v>906.738369</v>
      </c>
      <c r="BH38" s="16" t="n">
        <v>2101.25317</v>
      </c>
      <c r="BI38" s="16" t="n"/>
      <c r="BJ38" s="16" t="n"/>
      <c r="BK38" s="16" t="n">
        <v>1052.863847</v>
      </c>
      <c r="BL38" s="16" t="n">
        <v>3503.40759</v>
      </c>
      <c r="BN38" s="16" t="n">
        <v>0.925</v>
      </c>
      <c r="BO38" s="16" t="n">
        <v>405</v>
      </c>
      <c r="BP38" s="16" t="n"/>
      <c r="BQ38" s="16" t="n"/>
      <c r="BR38" s="16" t="n"/>
      <c r="BS38" s="16" t="n"/>
      <c r="BT38" s="16" t="n"/>
      <c r="BU38" s="16" t="n"/>
      <c r="BV38" s="16" t="n">
        <v>0.925</v>
      </c>
      <c r="BW38" s="16" t="n">
        <v>402.5</v>
      </c>
      <c r="BX38" s="16" t="n"/>
      <c r="BY38" s="16" t="n"/>
      <c r="BZ38" s="16" t="n"/>
      <c r="CA38" s="16" t="n"/>
      <c r="CB38" s="16" t="n"/>
      <c r="CC38" s="16" t="n"/>
      <c r="CD38" s="16" t="n"/>
      <c r="CE38" s="16" t="n"/>
      <c r="CF38" s="16" t="n"/>
      <c r="CG38" s="16" t="n"/>
      <c r="CH38" s="16" t="n"/>
      <c r="CI38" s="16" t="n"/>
      <c r="CJ38" s="16" t="n"/>
      <c r="CK38" s="16" t="n"/>
    </row>
    <row r="39">
      <c r="A39" s="16" t="n"/>
      <c r="B39" s="16" t="n"/>
      <c r="C39" s="16" t="n"/>
      <c r="D39" s="16" t="n"/>
      <c r="E39" s="16" t="n"/>
      <c r="F39" s="16" t="n"/>
      <c r="G39" s="16" t="n">
        <v>1645.570826</v>
      </c>
      <c r="H39" s="16" t="n">
        <v>2722.778835</v>
      </c>
      <c r="I39" s="16" t="n"/>
      <c r="J39" s="16" t="n"/>
      <c r="K39" s="16" t="n"/>
      <c r="L39" s="16" t="n"/>
      <c r="M39" s="16" t="n">
        <v>1280.186665</v>
      </c>
      <c r="N39" s="16" t="n">
        <v>3965.722734</v>
      </c>
      <c r="O39" s="16" t="n"/>
      <c r="P39" s="16" t="n"/>
      <c r="R39" s="16" t="n"/>
      <c r="S39" s="16" t="n"/>
      <c r="T39" s="16" t="n">
        <v>0.720402</v>
      </c>
      <c r="U39" s="16" t="n">
        <v>505.726741</v>
      </c>
      <c r="V39" s="16" t="n"/>
      <c r="W39" s="16" t="n"/>
      <c r="X39" s="16" t="n"/>
      <c r="Y39" s="16" t="n"/>
      <c r="Z39" s="16" t="n"/>
      <c r="AA39" s="16" t="n"/>
      <c r="AB39" s="16" t="n"/>
      <c r="AC39" s="16" t="n"/>
      <c r="AE39" s="16" t="n"/>
      <c r="AF39" s="16" t="n"/>
      <c r="AG39" s="16" t="n"/>
      <c r="AH39" s="16" t="n"/>
      <c r="AI39" s="16" t="n"/>
      <c r="AJ39" s="16" t="n"/>
      <c r="AK39" s="16" t="n">
        <v>0.576254</v>
      </c>
      <c r="AL39" s="16" t="n">
        <v>481.833613</v>
      </c>
      <c r="AM39" s="16" t="n"/>
      <c r="AN39" s="16" t="n"/>
      <c r="AO39" s="16" t="n"/>
      <c r="AP39" s="16" t="n"/>
      <c r="AR39" s="16" t="n"/>
      <c r="AS39" s="16" t="n"/>
      <c r="AT39" s="16" t="n"/>
      <c r="AU39" s="16" t="n"/>
      <c r="AV39" s="16" t="n"/>
      <c r="AW39" s="16" t="n"/>
      <c r="AX39" s="16" t="n"/>
      <c r="AY39" s="16" t="n"/>
      <c r="AZ39" s="16" t="n">
        <v>1781.454784</v>
      </c>
      <c r="BA39" s="16" t="n">
        <v>0.537859</v>
      </c>
      <c r="BB39" s="16" t="n"/>
      <c r="BC39" s="16" t="n"/>
      <c r="BE39" s="16" t="n"/>
      <c r="BF39" s="16" t="n"/>
      <c r="BG39" s="16" t="n">
        <v>850.413595</v>
      </c>
      <c r="BH39" s="16" t="n">
        <v>3437.304229</v>
      </c>
      <c r="BI39" s="16" t="n"/>
      <c r="BJ39" s="16" t="n"/>
      <c r="BK39" s="16" t="n">
        <v>968.35094</v>
      </c>
      <c r="BL39" s="16" t="n">
        <v>3363.033422</v>
      </c>
      <c r="BN39" s="16" t="n">
        <v>0.925</v>
      </c>
      <c r="BO39" s="16" t="n">
        <v>407.5</v>
      </c>
      <c r="BP39" s="16" t="n"/>
      <c r="BQ39" s="16" t="n"/>
      <c r="BR39" s="16" t="n"/>
      <c r="BS39" s="16" t="n"/>
      <c r="BT39" s="16" t="n"/>
      <c r="BU39" s="16" t="n"/>
      <c r="BV39" s="16" t="n">
        <v>0.925</v>
      </c>
      <c r="BW39" s="16" t="n">
        <v>407.5</v>
      </c>
      <c r="BX39" s="16" t="n"/>
      <c r="BY39" s="16" t="n"/>
      <c r="BZ39" s="16" t="n"/>
      <c r="CA39" s="16" t="n"/>
      <c r="CB39" s="16" t="n"/>
      <c r="CC39" s="16" t="n"/>
      <c r="CD39" s="16" t="n"/>
      <c r="CE39" s="16" t="n"/>
      <c r="CF39" s="16" t="n"/>
      <c r="CG39" s="16" t="n"/>
      <c r="CH39" s="16" t="n"/>
      <c r="CI39" s="16" t="n"/>
      <c r="CJ39" s="16" t="n"/>
      <c r="CK39" s="16" t="n"/>
    </row>
    <row r="40">
      <c r="A40" s="16" t="n"/>
      <c r="B40" s="16" t="n"/>
      <c r="C40" s="16" t="n"/>
      <c r="D40" s="16" t="n"/>
      <c r="E40" s="16" t="n"/>
      <c r="F40" s="16" t="n"/>
      <c r="G40" s="16" t="n">
        <v>1104.278736</v>
      </c>
      <c r="H40" s="16" t="n">
        <v>4840.660045</v>
      </c>
      <c r="I40" s="16" t="n"/>
      <c r="J40" s="16" t="n"/>
      <c r="K40" s="16" t="n"/>
      <c r="L40" s="16" t="n"/>
      <c r="M40" s="16" t="n">
        <v>899.1577569999999</v>
      </c>
      <c r="N40" s="16" t="n">
        <v>3615.621329</v>
      </c>
      <c r="O40" s="16" t="n"/>
      <c r="P40" s="16" t="n"/>
      <c r="R40" s="16" t="n"/>
      <c r="S40" s="16" t="n"/>
      <c r="T40" s="16" t="n">
        <v>0.530513</v>
      </c>
      <c r="U40" s="16" t="n">
        <v>609.666236</v>
      </c>
      <c r="V40" s="16" t="n"/>
      <c r="W40" s="16" t="n"/>
      <c r="X40" s="16" t="n"/>
      <c r="Y40" s="16" t="n"/>
      <c r="Z40" s="16" t="n"/>
      <c r="AA40" s="16" t="n"/>
      <c r="AB40" s="16" t="n"/>
      <c r="AC40" s="16" t="n"/>
      <c r="AE40" s="16" t="n"/>
      <c r="AF40" s="16" t="n"/>
      <c r="AG40" s="16" t="n"/>
      <c r="AH40" s="16" t="n"/>
      <c r="AI40" s="16" t="n"/>
      <c r="AJ40" s="16" t="n"/>
      <c r="AK40" s="16" t="n">
        <v>0.469157</v>
      </c>
      <c r="AL40" s="16" t="n">
        <v>477.445485</v>
      </c>
      <c r="AM40" s="16" t="n"/>
      <c r="AN40" s="16" t="n"/>
      <c r="AO40" s="16" t="n"/>
      <c r="AP40" s="16" t="n"/>
      <c r="AR40" s="16" t="n"/>
      <c r="AS40" s="16" t="n"/>
      <c r="AT40" s="16" t="n"/>
      <c r="AU40" s="16" t="n"/>
      <c r="AV40" s="16" t="n"/>
      <c r="AW40" s="16" t="n"/>
      <c r="AX40" s="16" t="n"/>
      <c r="AY40" s="16" t="n"/>
      <c r="AZ40" s="16" t="n">
        <v>264.988902</v>
      </c>
      <c r="BA40" s="16" t="n">
        <v>0.629131</v>
      </c>
      <c r="BB40" s="16" t="n"/>
      <c r="BC40" s="16" t="n"/>
      <c r="BE40" s="16" t="n"/>
      <c r="BF40" s="16" t="n"/>
      <c r="BG40" s="16" t="n">
        <v>253.207333</v>
      </c>
      <c r="BH40" s="16" t="n">
        <v>3215.821949</v>
      </c>
      <c r="BI40" s="16" t="n"/>
      <c r="BJ40" s="16" t="n"/>
      <c r="BK40" s="16" t="n">
        <v>1798.626992</v>
      </c>
      <c r="BL40" s="16" t="n">
        <v>4569.97924</v>
      </c>
      <c r="BN40" s="16" t="n">
        <v>0.925</v>
      </c>
      <c r="BO40" s="16" t="n">
        <v>410</v>
      </c>
      <c r="BP40" s="16" t="n"/>
      <c r="BQ40" s="16" t="n"/>
      <c r="BR40" s="16" t="n"/>
      <c r="BS40" s="16" t="n"/>
      <c r="BT40" s="16" t="n"/>
      <c r="BU40" s="16" t="n"/>
      <c r="BV40" s="16" t="n">
        <v>0.925</v>
      </c>
      <c r="BW40" s="16" t="n">
        <v>410</v>
      </c>
      <c r="BX40" s="16" t="n"/>
      <c r="BY40" s="16" t="n"/>
      <c r="BZ40" s="16" t="n"/>
      <c r="CA40" s="16" t="n"/>
      <c r="CB40" s="16" t="n"/>
      <c r="CC40" s="16" t="n"/>
      <c r="CD40" s="16" t="n"/>
      <c r="CE40" s="16" t="n"/>
      <c r="CF40" s="16" t="n"/>
      <c r="CG40" s="16" t="n"/>
      <c r="CH40" s="16" t="n"/>
      <c r="CI40" s="16" t="n"/>
      <c r="CJ40" s="16" t="n"/>
      <c r="CK40" s="16" t="n"/>
    </row>
    <row r="41">
      <c r="A41" s="16" t="n"/>
      <c r="B41" s="16" t="n"/>
      <c r="C41" s="16" t="n"/>
      <c r="D41" s="16" t="n"/>
      <c r="E41" s="16" t="n"/>
      <c r="F41" s="16" t="n"/>
      <c r="G41" s="16" t="n"/>
      <c r="H41" s="16" t="n"/>
      <c r="I41" s="16" t="n"/>
      <c r="J41" s="16" t="n"/>
      <c r="K41" s="16" t="n"/>
      <c r="L41" s="16" t="n"/>
      <c r="M41" s="16" t="n">
        <v>1194.619978</v>
      </c>
      <c r="N41" s="16" t="n">
        <v>4798.244293</v>
      </c>
      <c r="O41" s="16" t="n"/>
      <c r="P41" s="16" t="n"/>
      <c r="R41" s="16" t="n"/>
      <c r="S41" s="16" t="n"/>
      <c r="T41" s="16" t="n">
        <v>0.654802</v>
      </c>
      <c r="U41" s="16" t="n">
        <v>529.08079</v>
      </c>
      <c r="V41" s="16" t="n"/>
      <c r="W41" s="16" t="n"/>
      <c r="X41" s="16" t="n"/>
      <c r="Y41" s="16" t="n"/>
      <c r="Z41" s="16" t="n"/>
      <c r="AA41" s="16" t="n"/>
      <c r="AB41" s="16" t="n"/>
      <c r="AC41" s="16" t="n"/>
      <c r="AR41" s="16" t="n"/>
      <c r="AS41" s="16" t="n"/>
      <c r="AT41" s="16" t="n"/>
      <c r="AU41" s="16" t="n"/>
      <c r="AV41" s="16" t="n"/>
      <c r="AW41" s="16" t="n"/>
      <c r="AX41" s="16" t="n"/>
      <c r="AY41" s="16" t="n"/>
      <c r="AZ41" s="16" t="n">
        <v>824.418649</v>
      </c>
      <c r="BA41" s="16" t="n">
        <v>0.748711</v>
      </c>
      <c r="BB41" s="16" t="n"/>
      <c r="BC41" s="16" t="n"/>
      <c r="BE41" s="16" t="n"/>
      <c r="BF41" s="16" t="n"/>
      <c r="BG41" s="16" t="n">
        <v>366.91104</v>
      </c>
      <c r="BH41" s="16" t="n">
        <v>4008.190899</v>
      </c>
      <c r="BI41" s="16" t="n"/>
      <c r="BJ41" s="16" t="n"/>
      <c r="BK41" s="16" t="n">
        <v>1735.810656</v>
      </c>
      <c r="BL41" s="16" t="n">
        <v>2156.504743</v>
      </c>
      <c r="BN41" s="16" t="n">
        <v>0.95</v>
      </c>
      <c r="BO41" s="16" t="n">
        <v>390</v>
      </c>
      <c r="BP41" s="16" t="n"/>
      <c r="BQ41" s="16" t="n"/>
      <c r="BR41" s="16" t="n"/>
      <c r="BS41" s="16" t="n"/>
      <c r="BT41" s="16" t="n"/>
      <c r="BU41" s="16" t="n"/>
      <c r="BV41" s="16" t="n">
        <v>0.95</v>
      </c>
      <c r="BW41" s="16" t="n">
        <v>390</v>
      </c>
      <c r="BX41" s="16" t="n"/>
      <c r="BY41" s="16" t="n"/>
      <c r="BZ41" s="16" t="n"/>
      <c r="CA41" s="16" t="n"/>
      <c r="CB41" s="16" t="n"/>
      <c r="CC41" s="16" t="n"/>
      <c r="CD41" s="16" t="n"/>
      <c r="CE41" s="16" t="n"/>
      <c r="CF41" s="16" t="n"/>
      <c r="CG41" s="16" t="n"/>
      <c r="CH41" s="16" t="n"/>
      <c r="CI41" s="16" t="n"/>
      <c r="CJ41" s="16" t="n"/>
      <c r="CK41" s="16" t="n"/>
    </row>
    <row r="42">
      <c r="A42" s="16" t="n"/>
      <c r="B42" s="16" t="n"/>
      <c r="C42" s="16" t="n"/>
      <c r="D42" s="16" t="n"/>
      <c r="E42" s="16" t="n"/>
      <c r="F42" s="16" t="n"/>
      <c r="G42" s="16" t="n"/>
      <c r="H42" s="16" t="n"/>
      <c r="I42" s="16" t="n"/>
      <c r="J42" s="16" t="n"/>
      <c r="K42" s="16" t="n"/>
      <c r="L42" s="16" t="n"/>
      <c r="M42" s="16" t="n">
        <v>1023.011635</v>
      </c>
      <c r="N42" s="16" t="n">
        <v>2955.020022</v>
      </c>
      <c r="O42" s="16" t="n"/>
      <c r="P42" s="16" t="n"/>
      <c r="R42" s="16" t="n"/>
      <c r="S42" s="16" t="n"/>
      <c r="T42" s="16" t="n">
        <v>0.862055</v>
      </c>
      <c r="U42" s="16" t="n">
        <v>582.678346</v>
      </c>
      <c r="V42" s="16" t="n"/>
      <c r="W42" s="16" t="n"/>
      <c r="X42" s="16" t="n"/>
      <c r="Y42" s="16" t="n"/>
      <c r="Z42" s="16" t="n"/>
      <c r="AA42" s="16" t="n"/>
      <c r="AB42" s="16" t="n"/>
      <c r="AC42" s="16" t="n"/>
      <c r="AR42" s="16" t="n"/>
      <c r="AS42" s="16" t="n"/>
      <c r="AT42" s="16" t="n"/>
      <c r="AU42" s="16" t="n"/>
      <c r="AV42" s="16" t="n"/>
      <c r="AW42" s="16" t="n"/>
      <c r="AX42" s="16" t="n"/>
      <c r="AY42" s="16" t="n"/>
      <c r="AZ42" s="16" t="n">
        <v>1297.390779</v>
      </c>
      <c r="BA42" s="16" t="n">
        <v>0.698634</v>
      </c>
      <c r="BB42" s="16" t="n"/>
      <c r="BC42" s="16" t="n"/>
      <c r="BE42" s="16" t="n"/>
      <c r="BF42" s="16" t="n"/>
      <c r="BG42" s="16" t="n">
        <v>1191.521271</v>
      </c>
      <c r="BH42" s="16" t="n">
        <v>4070.499095</v>
      </c>
      <c r="BI42" s="16" t="n"/>
      <c r="BJ42" s="16" t="n"/>
      <c r="BK42" s="16" t="n">
        <v>1749.264719</v>
      </c>
      <c r="BL42" s="16" t="n">
        <v>2296.829805</v>
      </c>
      <c r="BN42" s="16" t="n">
        <v>0.95</v>
      </c>
      <c r="BO42" s="16" t="n">
        <v>392.5</v>
      </c>
      <c r="BP42" s="16" t="n"/>
      <c r="BQ42" s="16" t="n"/>
      <c r="BR42" s="16" t="n"/>
      <c r="BS42" s="16" t="n"/>
      <c r="BT42" s="16" t="n"/>
      <c r="BU42" s="16" t="n"/>
      <c r="BV42" s="16" t="n">
        <v>0.95</v>
      </c>
      <c r="BW42" s="16" t="n">
        <v>392.5</v>
      </c>
      <c r="BX42" s="16" t="n"/>
      <c r="BY42" s="16" t="n"/>
      <c r="BZ42" s="16" t="n"/>
      <c r="CA42" s="16" t="n"/>
      <c r="CB42" s="16" t="n"/>
      <c r="CC42" s="16" t="n"/>
      <c r="CD42" s="16" t="n"/>
      <c r="CE42" s="16" t="n"/>
      <c r="CF42" s="16" t="n"/>
      <c r="CG42" s="16" t="n"/>
      <c r="CH42" s="16" t="n"/>
      <c r="CI42" s="16" t="n"/>
      <c r="CJ42" s="16" t="n"/>
      <c r="CK42" s="16" t="n"/>
    </row>
    <row r="43">
      <c r="A43" s="16" t="n"/>
      <c r="B43" s="16" t="n"/>
      <c r="C43" s="16" t="n"/>
      <c r="D43" s="16" t="n"/>
      <c r="E43" s="16" t="n"/>
      <c r="F43" s="16" t="n"/>
      <c r="G43" s="16" t="n"/>
      <c r="H43" s="16" t="n"/>
      <c r="I43" s="16" t="n"/>
      <c r="J43" s="16" t="n"/>
      <c r="K43" s="16" t="n"/>
      <c r="L43" s="16" t="n"/>
      <c r="M43" s="16" t="n">
        <v>1915.573507</v>
      </c>
      <c r="N43" s="16" t="n">
        <v>4334.291302</v>
      </c>
      <c r="O43" s="16" t="n"/>
      <c r="P43" s="16" t="n"/>
      <c r="R43" s="16" t="n"/>
      <c r="S43" s="16" t="n"/>
      <c r="T43" s="16" t="n">
        <v>0.799088</v>
      </c>
      <c r="U43" s="16" t="n">
        <v>468.329225</v>
      </c>
      <c r="V43" s="16" t="n"/>
      <c r="W43" s="16" t="n"/>
      <c r="X43" s="16" t="n"/>
      <c r="Y43" s="16" t="n"/>
      <c r="Z43" s="16" t="n"/>
      <c r="AA43" s="16" t="n"/>
      <c r="AB43" s="16" t="n"/>
      <c r="AC43" s="16" t="n"/>
      <c r="AR43" s="16" t="n"/>
      <c r="AS43" s="16" t="n"/>
      <c r="AT43" s="16" t="n"/>
      <c r="AU43" s="16" t="n"/>
      <c r="AV43" s="16" t="n"/>
      <c r="AW43" s="16" t="n"/>
      <c r="AX43" s="16" t="n"/>
      <c r="AY43" s="16" t="n"/>
      <c r="AZ43" s="16" t="n">
        <v>474.550169</v>
      </c>
      <c r="BA43" s="16" t="n">
        <v>0.752382</v>
      </c>
      <c r="BB43" s="16" t="n"/>
      <c r="BC43" s="16" t="n"/>
      <c r="BE43" s="16" t="n"/>
      <c r="BF43" s="16" t="n"/>
      <c r="BG43" s="16" t="n">
        <v>1272.29093</v>
      </c>
      <c r="BH43" s="16" t="n">
        <v>3314.400825</v>
      </c>
      <c r="BI43" s="16" t="n"/>
      <c r="BJ43" s="16" t="n"/>
      <c r="BK43" s="16" t="n"/>
      <c r="BL43" s="16" t="n"/>
      <c r="BN43" s="16" t="n">
        <v>0.95</v>
      </c>
      <c r="BO43" s="16" t="n">
        <v>395</v>
      </c>
      <c r="BP43" s="16" t="n"/>
      <c r="BQ43" s="16" t="n"/>
      <c r="BR43" s="16" t="n"/>
      <c r="BS43" s="16" t="n"/>
      <c r="BT43" s="16" t="n"/>
      <c r="BU43" s="16" t="n"/>
      <c r="BV43" s="16" t="n">
        <v>0.95</v>
      </c>
      <c r="BW43" s="16" t="n">
        <v>395</v>
      </c>
      <c r="BX43" s="16" t="n"/>
      <c r="BY43" s="16" t="n"/>
      <c r="BZ43" s="16" t="n"/>
      <c r="CA43" s="16" t="n"/>
      <c r="CB43" s="16" t="n"/>
      <c r="CC43" s="16" t="n"/>
      <c r="CD43" s="16" t="n"/>
      <c r="CE43" s="16" t="n"/>
      <c r="CF43" s="16" t="n"/>
      <c r="CG43" s="16" t="n"/>
      <c r="CH43" s="16" t="n"/>
      <c r="CI43" s="16" t="n"/>
      <c r="CJ43" s="16" t="n"/>
      <c r="CK43" s="16" t="n"/>
    </row>
    <row r="44">
      <c r="A44" s="16" t="n"/>
      <c r="B44" s="16" t="n"/>
      <c r="C44" s="16" t="n"/>
      <c r="D44" s="16" t="n"/>
      <c r="E44" s="16" t="n"/>
      <c r="F44" s="16" t="n"/>
      <c r="G44" s="16" t="n"/>
      <c r="H44" s="16" t="n"/>
      <c r="I44" s="16" t="n"/>
      <c r="J44" s="16" t="n"/>
      <c r="K44" s="16" t="n"/>
      <c r="L44" s="16" t="n"/>
      <c r="M44" s="16" t="n">
        <v>1420.672727</v>
      </c>
      <c r="N44" s="16" t="n">
        <v>2633.296027</v>
      </c>
      <c r="O44" s="16" t="n"/>
      <c r="P44" s="16" t="n"/>
      <c r="R44" s="16" t="n"/>
      <c r="S44" s="16" t="n"/>
      <c r="T44" s="16" t="n">
        <v>0.831481</v>
      </c>
      <c r="U44" s="16" t="n">
        <v>578.23868</v>
      </c>
      <c r="V44" s="16" t="n"/>
      <c r="W44" s="16" t="n"/>
      <c r="X44" s="16" t="n"/>
      <c r="Y44" s="16" t="n"/>
      <c r="Z44" s="16" t="n"/>
      <c r="AA44" s="16" t="n"/>
      <c r="AB44" s="16" t="n"/>
      <c r="AC44" s="16" t="n"/>
      <c r="AR44" s="16" t="n"/>
      <c r="AS44" s="16" t="n"/>
      <c r="AT44" s="16" t="n"/>
      <c r="AU44" s="16" t="n"/>
      <c r="AV44" s="16" t="n"/>
      <c r="AW44" s="16" t="n"/>
      <c r="AX44" s="16" t="n"/>
      <c r="AY44" s="16" t="n"/>
      <c r="AZ44" s="16" t="n">
        <v>1012.846612</v>
      </c>
      <c r="BA44" s="16" t="n">
        <v>0.634504</v>
      </c>
      <c r="BB44" s="16" t="n"/>
      <c r="BC44" s="16" t="n"/>
      <c r="BE44" s="16" t="n"/>
      <c r="BF44" s="16" t="n"/>
      <c r="BG44" s="16" t="n">
        <v>1533.906206</v>
      </c>
      <c r="BH44" s="16" t="n">
        <v>3761.347155</v>
      </c>
      <c r="BI44" s="16" t="n"/>
      <c r="BJ44" s="16" t="n"/>
      <c r="BK44" s="16" t="n"/>
      <c r="BL44" s="16" t="n"/>
      <c r="BN44" s="16" t="n">
        <v>0.95</v>
      </c>
      <c r="BO44" s="16" t="n">
        <v>397.5</v>
      </c>
      <c r="BP44" s="16" t="n"/>
      <c r="BQ44" s="16" t="n"/>
      <c r="BR44" s="16" t="n"/>
      <c r="BS44" s="16" t="n"/>
      <c r="BT44" s="16" t="n"/>
      <c r="BU44" s="16" t="n"/>
      <c r="BV44" s="16" t="n">
        <v>0.95</v>
      </c>
      <c r="BW44" s="16" t="n">
        <v>397.5</v>
      </c>
      <c r="BX44" s="16" t="n"/>
      <c r="BY44" s="16" t="n"/>
      <c r="BZ44" s="16" t="n"/>
      <c r="CA44" s="16" t="n"/>
      <c r="CB44" s="16" t="n"/>
      <c r="CC44" s="16" t="n"/>
      <c r="CD44" s="16" t="n"/>
      <c r="CE44" s="16" t="n"/>
      <c r="CF44" s="16" t="n"/>
      <c r="CG44" s="16" t="n"/>
      <c r="CH44" s="16" t="n"/>
      <c r="CI44" s="16" t="n"/>
      <c r="CJ44" s="16" t="n"/>
      <c r="CK44" s="16" t="n"/>
    </row>
    <row r="45">
      <c r="A45" s="16" t="n"/>
      <c r="B45" s="16" t="n"/>
      <c r="C45" s="16" t="n"/>
      <c r="D45" s="16" t="n"/>
      <c r="E45" s="16" t="n"/>
      <c r="F45" s="16" t="n"/>
      <c r="G45" s="16" t="n"/>
      <c r="H45" s="16" t="n"/>
      <c r="I45" s="16" t="n"/>
      <c r="J45" s="16" t="n"/>
      <c r="K45" s="16" t="n"/>
      <c r="L45" s="16" t="n"/>
      <c r="M45" s="16" t="n">
        <v>553.833703</v>
      </c>
      <c r="N45" s="16" t="n">
        <v>2401.477527</v>
      </c>
      <c r="O45" s="16" t="n"/>
      <c r="P45" s="16" t="n"/>
      <c r="R45" s="16" t="n"/>
      <c r="S45" s="16" t="n"/>
      <c r="T45" s="16" t="n">
        <v>0.639561</v>
      </c>
      <c r="U45" s="16" t="n">
        <v>471.686431</v>
      </c>
      <c r="V45" s="16" t="n"/>
      <c r="W45" s="16" t="n"/>
      <c r="X45" s="16" t="n"/>
      <c r="Y45" s="16" t="n"/>
      <c r="Z45" s="16" t="n"/>
      <c r="AA45" s="16" t="n"/>
      <c r="AB45" s="16" t="n"/>
      <c r="AC45" s="16" t="n"/>
      <c r="AR45" s="16" t="n"/>
      <c r="AS45" s="16" t="n"/>
      <c r="AT45" s="16" t="n"/>
      <c r="AU45" s="16" t="n"/>
      <c r="AV45" s="16" t="n"/>
      <c r="AW45" s="16" t="n"/>
      <c r="AX45" s="16" t="n"/>
      <c r="AY45" s="16" t="n"/>
      <c r="AZ45" s="16" t="n">
        <v>1944.788546</v>
      </c>
      <c r="BA45" s="16" t="n">
        <v>0.693815</v>
      </c>
      <c r="BB45" s="16" t="n"/>
      <c r="BC45" s="16" t="n"/>
      <c r="BE45" s="16" t="n"/>
      <c r="BF45" s="16" t="n"/>
      <c r="BG45" s="16" t="n">
        <v>353.254425</v>
      </c>
      <c r="BH45" s="16" t="n">
        <v>3788.411839</v>
      </c>
      <c r="BI45" s="16" t="n"/>
      <c r="BJ45" s="16" t="n"/>
      <c r="BK45" s="16" t="n"/>
      <c r="BL45" s="16" t="n"/>
      <c r="BN45" s="16" t="n">
        <v>0.95</v>
      </c>
      <c r="BO45" s="16" t="n">
        <v>400</v>
      </c>
      <c r="BP45" s="16" t="n"/>
      <c r="BQ45" s="16" t="n"/>
      <c r="BR45" s="16" t="n"/>
      <c r="BS45" s="16" t="n"/>
      <c r="BT45" s="16" t="n"/>
      <c r="BU45" s="16" t="n"/>
      <c r="BV45" s="16" t="n">
        <v>0.95</v>
      </c>
      <c r="BW45" s="16" t="n">
        <v>400</v>
      </c>
      <c r="BX45" s="16" t="n"/>
      <c r="BY45" s="16" t="n"/>
      <c r="BZ45" s="16" t="n"/>
      <c r="CA45" s="16" t="n"/>
      <c r="CB45" s="16" t="n"/>
      <c r="CC45" s="16" t="n"/>
      <c r="CD45" s="16" t="n"/>
      <c r="CE45" s="16" t="n"/>
      <c r="CF45" s="16" t="n"/>
      <c r="CG45" s="16" t="n"/>
      <c r="CH45" s="16" t="n"/>
      <c r="CI45" s="16" t="n"/>
      <c r="CJ45" s="16" t="n"/>
      <c r="CK45" s="16" t="n"/>
    </row>
    <row r="46">
      <c r="A46" s="16" t="n"/>
      <c r="B46" s="16" t="n"/>
      <c r="C46" s="16" t="n"/>
      <c r="D46" s="16" t="n"/>
      <c r="E46" s="16" t="n"/>
      <c r="F46" s="16" t="n"/>
      <c r="G46" s="16" t="n"/>
      <c r="H46" s="16" t="n"/>
      <c r="I46" s="16" t="n"/>
      <c r="J46" s="16" t="n"/>
      <c r="K46" s="16" t="n"/>
      <c r="L46" s="16" t="n"/>
      <c r="M46" s="16" t="n">
        <v>1335.256319</v>
      </c>
      <c r="N46" s="16" t="n">
        <v>4872.595338</v>
      </c>
      <c r="O46" s="16" t="n"/>
      <c r="P46" s="16" t="n"/>
      <c r="R46" s="16" t="n"/>
      <c r="S46" s="16" t="n"/>
      <c r="T46" s="16" t="n">
        <v>0.866148</v>
      </c>
      <c r="U46" s="16" t="n">
        <v>538.48762</v>
      </c>
      <c r="V46" s="16" t="n"/>
      <c r="W46" s="16" t="n"/>
      <c r="X46" s="16" t="n"/>
      <c r="Y46" s="16" t="n"/>
      <c r="Z46" s="16" t="n"/>
      <c r="AA46" s="16" t="n"/>
      <c r="AB46" s="16" t="n"/>
      <c r="AC46" s="16" t="n"/>
      <c r="AR46" s="16" t="n"/>
      <c r="AS46" s="16" t="n"/>
      <c r="AT46" s="16" t="n"/>
      <c r="AU46" s="16" t="n"/>
      <c r="AV46" s="16" t="n"/>
      <c r="AW46" s="16" t="n"/>
      <c r="AX46" s="16" t="n"/>
      <c r="AY46" s="16" t="n"/>
      <c r="AZ46" s="16" t="n">
        <v>998.575966</v>
      </c>
      <c r="BA46" s="16" t="n">
        <v>0.794329</v>
      </c>
      <c r="BB46" s="16" t="n"/>
      <c r="BC46" s="16" t="n"/>
      <c r="BE46" s="16" t="n"/>
      <c r="BF46" s="16" t="n"/>
      <c r="BG46" s="16" t="n">
        <v>872.796499</v>
      </c>
      <c r="BH46" s="16" t="n">
        <v>3845.309924</v>
      </c>
      <c r="BI46" s="16" t="n"/>
      <c r="BJ46" s="16" t="n"/>
      <c r="BK46" s="16" t="n"/>
      <c r="BL46" s="16" t="n"/>
      <c r="BN46" s="16" t="n">
        <v>0.95</v>
      </c>
      <c r="BO46" s="16" t="n">
        <v>407.5</v>
      </c>
      <c r="BP46" s="16" t="n"/>
      <c r="BQ46" s="16" t="n"/>
      <c r="BR46" s="16" t="n"/>
      <c r="BS46" s="16" t="n"/>
      <c r="BT46" s="16" t="n"/>
      <c r="BU46" s="16" t="n"/>
      <c r="BV46" s="16" t="n">
        <v>0.95</v>
      </c>
      <c r="BW46" s="16" t="n">
        <v>405</v>
      </c>
      <c r="BX46" s="16" t="n"/>
      <c r="BY46" s="16" t="n"/>
      <c r="BZ46" s="16" t="n"/>
      <c r="CA46" s="16" t="n"/>
      <c r="CB46" s="16" t="n"/>
      <c r="CC46" s="16" t="n"/>
      <c r="CD46" s="16" t="n"/>
      <c r="CE46" s="16" t="n"/>
      <c r="CF46" s="16" t="n"/>
      <c r="CG46" s="16" t="n"/>
      <c r="CH46" s="16" t="n"/>
      <c r="CI46" s="16" t="n"/>
      <c r="CJ46" s="16" t="n"/>
      <c r="CK46" s="16" t="n"/>
    </row>
    <row r="47">
      <c r="A47" s="16" t="n"/>
      <c r="B47" s="16" t="n"/>
      <c r="C47" s="16" t="n"/>
      <c r="D47" s="16" t="n"/>
      <c r="E47" s="16" t="n"/>
      <c r="F47" s="16" t="n"/>
      <c r="G47" s="16" t="n"/>
      <c r="H47" s="16" t="n"/>
      <c r="I47" s="16" t="n"/>
      <c r="J47" s="16" t="n"/>
      <c r="K47" s="16" t="n"/>
      <c r="L47" s="16" t="n"/>
      <c r="M47" s="16" t="n">
        <v>677.468047</v>
      </c>
      <c r="N47" s="16" t="n">
        <v>2196.639063</v>
      </c>
      <c r="O47" s="16" t="n"/>
      <c r="P47" s="16" t="n"/>
      <c r="R47" s="16" t="n"/>
      <c r="S47" s="16" t="n"/>
      <c r="T47" s="16" t="n">
        <v>0.672226</v>
      </c>
      <c r="U47" s="16" t="n">
        <v>443.680016</v>
      </c>
      <c r="V47" s="16" t="n"/>
      <c r="W47" s="16" t="n"/>
      <c r="X47" s="16" t="n"/>
      <c r="Y47" s="16" t="n"/>
      <c r="Z47" s="16" t="n"/>
      <c r="AA47" s="16" t="n"/>
      <c r="AB47" s="16" t="n"/>
      <c r="AC47" s="16" t="n"/>
      <c r="AR47" s="16" t="n"/>
      <c r="AS47" s="16" t="n"/>
      <c r="AT47" s="16" t="n"/>
      <c r="AU47" s="16" t="n"/>
      <c r="AV47" s="16" t="n"/>
      <c r="AW47" s="16" t="n"/>
      <c r="AX47" s="16" t="n"/>
      <c r="AY47" s="16" t="n"/>
      <c r="AZ47" s="16" t="n">
        <v>1746.689666</v>
      </c>
      <c r="BA47" s="16" t="n">
        <v>0.583521</v>
      </c>
      <c r="BB47" s="16" t="n"/>
      <c r="BC47" s="16" t="n"/>
      <c r="BE47" s="16" t="n"/>
      <c r="BF47" s="16" t="n"/>
      <c r="BG47" s="16" t="n">
        <v>1353.06669</v>
      </c>
      <c r="BH47" s="16" t="n">
        <v>3069.194373</v>
      </c>
      <c r="BI47" s="16" t="n"/>
      <c r="BJ47" s="16" t="n"/>
      <c r="BK47" s="16" t="n"/>
      <c r="BL47" s="16" t="n"/>
      <c r="BN47" s="16" t="n">
        <v>0.95</v>
      </c>
      <c r="BO47" s="16" t="n">
        <v>402.5</v>
      </c>
      <c r="BP47" s="16" t="n"/>
      <c r="BQ47" s="16" t="n"/>
      <c r="BR47" s="16" t="n"/>
      <c r="BS47" s="16" t="n"/>
      <c r="BT47" s="16" t="n"/>
      <c r="BU47" s="16" t="n"/>
      <c r="BV47" s="16" t="n">
        <v>0.95</v>
      </c>
      <c r="BW47" s="16" t="n">
        <v>402.5</v>
      </c>
      <c r="BX47" s="16" t="n"/>
      <c r="BY47" s="16" t="n"/>
      <c r="BZ47" s="16" t="n"/>
      <c r="CA47" s="16" t="n"/>
      <c r="CB47" s="16" t="n"/>
      <c r="CC47" s="16" t="n"/>
      <c r="CD47" s="16" t="n"/>
      <c r="CE47" s="16" t="n"/>
      <c r="CF47" s="16" t="n"/>
      <c r="CG47" s="16" t="n"/>
      <c r="CH47" s="16" t="n"/>
      <c r="CI47" s="16" t="n"/>
      <c r="CJ47" s="16" t="n"/>
      <c r="CK47" s="16" t="n"/>
    </row>
    <row r="48">
      <c r="A48" s="16" t="n"/>
      <c r="B48" s="16" t="n"/>
      <c r="C48" s="16" t="n"/>
      <c r="D48" s="16" t="n"/>
      <c r="E48" s="16" t="n"/>
      <c r="F48" s="16" t="n"/>
      <c r="G48" s="16" t="n"/>
      <c r="H48" s="16" t="n"/>
      <c r="I48" s="16" t="n"/>
      <c r="J48" s="16" t="n"/>
      <c r="K48" s="16" t="n"/>
      <c r="L48" s="16" t="n"/>
      <c r="M48" s="16" t="n">
        <v>439.757501</v>
      </c>
      <c r="N48" s="16" t="n">
        <v>2776.727437</v>
      </c>
      <c r="O48" s="16" t="n"/>
      <c r="P48" s="16" t="n"/>
      <c r="R48" s="16" t="n"/>
      <c r="S48" s="16" t="n"/>
      <c r="T48" s="16" t="n">
        <v>0.827485</v>
      </c>
      <c r="U48" s="16" t="n">
        <v>499.601905</v>
      </c>
      <c r="V48" s="16" t="n"/>
      <c r="W48" s="16" t="n"/>
      <c r="X48" s="16" t="n"/>
      <c r="Y48" s="16" t="n"/>
      <c r="Z48" s="16" t="n"/>
      <c r="AA48" s="16" t="n"/>
      <c r="AB48" s="16" t="n"/>
      <c r="AC48" s="16" t="n"/>
      <c r="AR48" s="16" t="n"/>
      <c r="AS48" s="16" t="n"/>
      <c r="AT48" s="16" t="n"/>
      <c r="AU48" s="16" t="n"/>
      <c r="AV48" s="16" t="n"/>
      <c r="AW48" s="16" t="n"/>
      <c r="AX48" s="16" t="n"/>
      <c r="AY48" s="16" t="n"/>
      <c r="AZ48" s="16" t="n">
        <v>358.822248</v>
      </c>
      <c r="BA48" s="16" t="n">
        <v>0.737962</v>
      </c>
      <c r="BB48" s="16" t="n"/>
      <c r="BC48" s="16" t="n"/>
      <c r="BE48" s="16" t="n"/>
      <c r="BF48" s="16" t="n"/>
      <c r="BG48" s="16" t="n">
        <v>809.10073</v>
      </c>
      <c r="BH48" s="16" t="n">
        <v>2923.845989</v>
      </c>
      <c r="BI48" s="16" t="n"/>
      <c r="BJ48" s="16" t="n"/>
      <c r="BK48" s="16" t="n"/>
      <c r="BL48" s="16" t="n"/>
      <c r="BN48" s="16" t="n">
        <v>0.95</v>
      </c>
      <c r="BO48" s="16" t="n">
        <v>405</v>
      </c>
      <c r="BP48" s="16" t="n"/>
      <c r="BQ48" s="16" t="n"/>
      <c r="BR48" s="16" t="n"/>
      <c r="BS48" s="16" t="n"/>
      <c r="BT48" s="16" t="n"/>
      <c r="BU48" s="16" t="n"/>
      <c r="BV48" s="16" t="n">
        <v>0.95</v>
      </c>
      <c r="BW48" s="16" t="n">
        <v>407.5</v>
      </c>
      <c r="BX48" s="16" t="n"/>
      <c r="BY48" s="16" t="n"/>
      <c r="BZ48" s="16" t="n"/>
      <c r="CA48" s="16" t="n"/>
      <c r="CB48" s="16" t="n"/>
      <c r="CC48" s="16" t="n"/>
      <c r="CD48" s="16" t="n"/>
      <c r="CE48" s="16" t="n"/>
      <c r="CF48" s="16" t="n"/>
      <c r="CG48" s="16" t="n"/>
      <c r="CH48" s="16" t="n"/>
      <c r="CI48" s="16" t="n"/>
      <c r="CJ48" s="16" t="n"/>
      <c r="CK48" s="16" t="n"/>
    </row>
    <row r="49">
      <c r="A49" s="16" t="n"/>
      <c r="B49" s="16" t="n"/>
      <c r="C49" s="16" t="n"/>
      <c r="D49" s="16" t="n"/>
      <c r="E49" s="16" t="n"/>
      <c r="F49" s="16" t="n"/>
      <c r="G49" s="16" t="n"/>
      <c r="H49" s="16" t="n"/>
      <c r="I49" s="16" t="n"/>
      <c r="J49" s="16" t="n"/>
      <c r="K49" s="16" t="n"/>
      <c r="L49" s="16" t="n"/>
      <c r="M49" s="16" t="n">
        <v>726.316768</v>
      </c>
      <c r="N49" s="16" t="n">
        <v>2884.795441</v>
      </c>
      <c r="O49" s="16" t="n"/>
      <c r="P49" s="16" t="n"/>
      <c r="R49" s="16" t="n"/>
      <c r="S49" s="16" t="n"/>
      <c r="T49" s="16" t="n">
        <v>0.767899</v>
      </c>
      <c r="U49" s="16" t="n">
        <v>589.469875</v>
      </c>
      <c r="V49" s="16" t="n"/>
      <c r="W49" s="16" t="n"/>
      <c r="X49" s="16" t="n"/>
      <c r="Y49" s="16" t="n"/>
      <c r="Z49" s="16" t="n"/>
      <c r="AA49" s="16" t="n"/>
      <c r="AB49" s="16" t="n"/>
      <c r="AC49" s="16" t="n"/>
      <c r="AR49" s="16" t="n"/>
      <c r="AS49" s="16" t="n"/>
      <c r="AT49" s="16" t="n"/>
      <c r="AU49" s="16" t="n"/>
      <c r="AV49" s="16" t="n"/>
      <c r="AW49" s="16" t="n"/>
      <c r="AX49" s="16" t="n"/>
      <c r="AY49" s="16" t="n"/>
      <c r="AZ49" s="16" t="n">
        <v>1584.006376</v>
      </c>
      <c r="BA49" s="16" t="n">
        <v>0.772676</v>
      </c>
      <c r="BB49" s="16" t="n"/>
      <c r="BC49" s="16" t="n"/>
      <c r="BE49" s="16" t="n"/>
      <c r="BF49" s="16" t="n"/>
      <c r="BG49" s="16" t="n">
        <v>521.350486</v>
      </c>
      <c r="BH49" s="16" t="n">
        <v>3479.489155</v>
      </c>
      <c r="BI49" s="16" t="n"/>
      <c r="BJ49" s="16" t="n"/>
      <c r="BK49" s="16" t="n"/>
      <c r="BL49" s="16" t="n"/>
      <c r="BN49" s="16" t="n">
        <v>0.95</v>
      </c>
      <c r="BO49" s="16" t="n">
        <v>410</v>
      </c>
      <c r="BP49" s="16" t="n"/>
      <c r="BQ49" s="16" t="n"/>
      <c r="BR49" s="16" t="n"/>
      <c r="BS49" s="16" t="n"/>
      <c r="BT49" s="16" t="n"/>
      <c r="BU49" s="16" t="n"/>
      <c r="BV49" s="16" t="n">
        <v>0.95</v>
      </c>
      <c r="BW49" s="16" t="n">
        <v>410</v>
      </c>
      <c r="BX49" s="16" t="n"/>
      <c r="BY49" s="16" t="n"/>
      <c r="BZ49" s="16" t="n"/>
      <c r="CA49" s="16" t="n"/>
      <c r="CB49" s="16" t="n"/>
      <c r="CC49" s="16" t="n"/>
      <c r="CD49" s="16" t="n"/>
      <c r="CE49" s="16" t="n"/>
      <c r="CF49" s="16" t="n"/>
      <c r="CG49" s="16" t="n"/>
      <c r="CH49" s="16" t="n"/>
      <c r="CI49" s="16" t="n"/>
      <c r="CJ49" s="16" t="n"/>
      <c r="CK49" s="16" t="n"/>
    </row>
    <row r="50">
      <c r="A50" s="16" t="n"/>
      <c r="B50" s="16" t="n"/>
      <c r="C50" s="16" t="n"/>
      <c r="D50" s="16" t="n"/>
      <c r="E50" s="16" t="n"/>
      <c r="F50" s="16" t="n"/>
      <c r="G50" s="16" t="n"/>
      <c r="H50" s="16" t="n"/>
      <c r="I50" s="16" t="n"/>
      <c r="J50" s="16" t="n"/>
      <c r="K50" s="16" t="n"/>
      <c r="L50" s="16" t="n"/>
      <c r="M50" s="16" t="n">
        <v>222.478591</v>
      </c>
      <c r="N50" s="16" t="n">
        <v>2611.522347</v>
      </c>
      <c r="O50" s="16" t="n"/>
      <c r="P50" s="16" t="n"/>
      <c r="R50" s="16" t="n"/>
      <c r="S50" s="16" t="n"/>
      <c r="T50" s="16" t="n">
        <v>0.731882</v>
      </c>
      <c r="U50" s="16" t="n">
        <v>513.738392</v>
      </c>
      <c r="V50" s="16" t="n"/>
      <c r="W50" s="16" t="n"/>
      <c r="X50" s="16" t="n"/>
      <c r="Y50" s="16" t="n"/>
      <c r="Z50" s="16" t="n"/>
      <c r="AA50" s="16" t="n"/>
      <c r="AB50" s="16" t="n"/>
      <c r="AC50" s="16" t="n"/>
      <c r="AR50" s="16" t="n"/>
      <c r="AS50" s="16" t="n"/>
      <c r="AT50" s="16" t="n"/>
      <c r="AU50" s="16" t="n"/>
      <c r="AV50" s="16" t="n"/>
      <c r="AW50" s="16" t="n"/>
      <c r="AX50" s="16" t="n"/>
      <c r="AY50" s="16" t="n"/>
      <c r="AZ50" s="16" t="n">
        <v>1495.349823</v>
      </c>
      <c r="BA50" s="16" t="n">
        <v>0.588568</v>
      </c>
      <c r="BB50" s="16" t="n"/>
      <c r="BC50" s="16" t="n"/>
      <c r="BE50" s="16" t="n"/>
      <c r="BF50" s="16" t="n"/>
      <c r="BG50" s="16" t="n">
        <v>1837.459855</v>
      </c>
      <c r="BH50" s="16" t="n">
        <v>4826.011446</v>
      </c>
      <c r="BI50" s="16" t="n"/>
      <c r="BJ50" s="16" t="n"/>
      <c r="BK50" s="16" t="n"/>
      <c r="BL50" s="16" t="n"/>
    </row>
    <row r="51">
      <c r="A51" s="16" t="n"/>
      <c r="B51" s="16" t="n"/>
      <c r="C51" s="16" t="n"/>
      <c r="D51" s="16" t="n"/>
      <c r="E51" s="16" t="n"/>
      <c r="F51" s="16" t="n"/>
      <c r="G51" s="16" t="n"/>
      <c r="H51" s="16" t="n"/>
      <c r="I51" s="16" t="n"/>
      <c r="J51" s="16" t="n"/>
      <c r="K51" s="16" t="n"/>
      <c r="L51" s="16" t="n"/>
      <c r="M51" s="16" t="n">
        <v>796.805358</v>
      </c>
      <c r="N51" s="16" t="n">
        <v>2270.238422</v>
      </c>
      <c r="O51" s="16" t="n"/>
      <c r="P51" s="16" t="n"/>
      <c r="AR51" s="16" t="n"/>
      <c r="AS51" s="16" t="n"/>
      <c r="AT51" s="16" t="n"/>
      <c r="AU51" s="16" t="n"/>
      <c r="AV51" s="16" t="n"/>
      <c r="AW51" s="16" t="n"/>
      <c r="AX51" s="16" t="n"/>
      <c r="AY51" s="16" t="n"/>
      <c r="AZ51" s="16" t="n">
        <v>875.8003189999999</v>
      </c>
      <c r="BA51" s="16" t="n">
        <v>0.844519</v>
      </c>
      <c r="BB51" s="16" t="n"/>
      <c r="BC51" s="16" t="n"/>
      <c r="BE51" s="16" t="n"/>
      <c r="BF51" s="16" t="n"/>
      <c r="BG51" s="16" t="n">
        <v>240.5656</v>
      </c>
      <c r="BH51" s="16" t="n">
        <v>2097.808081</v>
      </c>
      <c r="BI51" s="16" t="n"/>
      <c r="BJ51" s="16" t="n"/>
      <c r="BK51" s="16" t="n"/>
      <c r="BL51" s="16" t="n"/>
    </row>
    <row r="52">
      <c r="A52" s="16" t="n"/>
      <c r="B52" s="16" t="n"/>
      <c r="C52" s="16" t="n"/>
      <c r="D52" s="16" t="n"/>
      <c r="E52" s="16" t="n"/>
      <c r="F52" s="16" t="n"/>
      <c r="G52" s="16" t="n"/>
      <c r="H52" s="16" t="n"/>
      <c r="I52" s="16" t="n"/>
      <c r="J52" s="16" t="n"/>
      <c r="K52" s="16" t="n"/>
      <c r="L52" s="16" t="n"/>
      <c r="M52" s="16" t="n">
        <v>780.695352</v>
      </c>
      <c r="N52" s="16" t="n">
        <v>4094.956665</v>
      </c>
      <c r="O52" s="16" t="n"/>
      <c r="P52" s="16" t="n"/>
      <c r="AR52" s="16" t="n"/>
      <c r="AS52" s="16" t="n"/>
      <c r="AT52" s="16" t="n"/>
      <c r="AU52" s="16" t="n"/>
      <c r="AV52" s="16" t="n"/>
      <c r="AW52" s="16" t="n"/>
      <c r="AX52" s="16" t="n"/>
      <c r="AY52" s="16" t="n"/>
      <c r="AZ52" s="16" t="n">
        <v>508.91214</v>
      </c>
      <c r="BA52" s="16" t="n">
        <v>0.561503</v>
      </c>
      <c r="BB52" s="16" t="n"/>
      <c r="BC52" s="16" t="n"/>
      <c r="BE52" s="16" t="n"/>
      <c r="BF52" s="16" t="n"/>
      <c r="BG52" s="16" t="n">
        <v>1660.221979</v>
      </c>
      <c r="BH52" s="16" t="n">
        <v>4483.987464</v>
      </c>
      <c r="BI52" s="16" t="n"/>
      <c r="BJ52" s="16" t="n"/>
      <c r="BK52" s="16" t="n"/>
      <c r="BL52" s="16" t="n"/>
    </row>
    <row r="53">
      <c r="A53" s="16" t="n"/>
      <c r="B53" s="16" t="n"/>
      <c r="C53" s="16" t="n"/>
      <c r="D53" s="16" t="n"/>
      <c r="E53" s="16" t="n"/>
      <c r="F53" s="16" t="n"/>
      <c r="G53" s="16" t="n"/>
      <c r="H53" s="16" t="n"/>
      <c r="I53" s="16" t="n"/>
      <c r="J53" s="16" t="n"/>
      <c r="K53" s="16" t="n"/>
      <c r="L53" s="16" t="n"/>
      <c r="M53" s="16" t="n">
        <v>1896.926687</v>
      </c>
      <c r="N53" s="16" t="n">
        <v>3112.668834</v>
      </c>
      <c r="O53" s="16" t="n"/>
      <c r="P53" s="16" t="n"/>
      <c r="AR53" s="16" t="n"/>
      <c r="AS53" s="16" t="n"/>
      <c r="AT53" s="16" t="n"/>
      <c r="AU53" s="16" t="n"/>
      <c r="AV53" s="16" t="n"/>
      <c r="AW53" s="16" t="n"/>
      <c r="AX53" s="16" t="n"/>
      <c r="AY53" s="16" t="n"/>
      <c r="AZ53" s="16" t="n">
        <v>1820.487842</v>
      </c>
      <c r="BA53" s="16" t="n">
        <v>0.617246</v>
      </c>
      <c r="BB53" s="16" t="n"/>
      <c r="BC53" s="16" t="n"/>
      <c r="BE53" s="16" t="n"/>
      <c r="BF53" s="16" t="n"/>
      <c r="BG53" s="16" t="n">
        <v>1233.887344</v>
      </c>
      <c r="BH53" s="16" t="n">
        <v>3345.546793</v>
      </c>
      <c r="BI53" s="16" t="n"/>
      <c r="BJ53" s="16" t="n"/>
      <c r="BK53" s="16" t="n"/>
      <c r="BL53" s="16" t="n"/>
    </row>
    <row r="54">
      <c r="A54" s="16" t="n"/>
      <c r="B54" s="16" t="n"/>
      <c r="C54" s="16" t="n"/>
      <c r="D54" s="16" t="n"/>
      <c r="E54" s="16" t="n"/>
      <c r="F54" s="16" t="n"/>
      <c r="G54" s="16" t="n"/>
      <c r="H54" s="16" t="n"/>
      <c r="I54" s="16" t="n"/>
      <c r="J54" s="16" t="n"/>
      <c r="K54" s="16" t="n"/>
      <c r="L54" s="16" t="n"/>
      <c r="M54" s="16" t="n">
        <v>508.0001</v>
      </c>
      <c r="N54" s="16" t="n">
        <v>2979.388004</v>
      </c>
      <c r="O54" s="16" t="n"/>
      <c r="P54" s="16" t="n"/>
      <c r="AR54" s="16" t="n"/>
      <c r="AS54" s="16" t="n"/>
      <c r="AT54" s="16" t="n"/>
      <c r="AU54" s="16" t="n"/>
      <c r="AV54" s="16" t="n"/>
      <c r="AW54" s="16" t="n"/>
      <c r="AX54" s="16" t="n"/>
      <c r="AY54" s="16" t="n"/>
      <c r="AZ54" s="16" t="n">
        <v>893.066407</v>
      </c>
      <c r="BA54" s="16" t="n">
        <v>0.66135</v>
      </c>
      <c r="BB54" s="16" t="n"/>
      <c r="BC54" s="16" t="n"/>
      <c r="BE54" s="16" t="n"/>
      <c r="BF54" s="16" t="n"/>
      <c r="BG54" s="16" t="n">
        <v>348.335624</v>
      </c>
      <c r="BH54" s="16" t="n">
        <v>2842.222597</v>
      </c>
      <c r="BI54" s="16" t="n"/>
      <c r="BJ54" s="16" t="n"/>
      <c r="BK54" s="16" t="n"/>
      <c r="BL54" s="16" t="n"/>
    </row>
    <row r="55">
      <c r="A55" s="16" t="n"/>
      <c r="B55" s="16" t="n"/>
      <c r="C55" s="16" t="n"/>
      <c r="D55" s="16" t="n"/>
      <c r="E55" s="16" t="n"/>
      <c r="F55" s="16" t="n"/>
      <c r="G55" s="16" t="n"/>
      <c r="H55" s="16" t="n"/>
      <c r="I55" s="16" t="n"/>
      <c r="J55" s="16" t="n"/>
      <c r="K55" s="16" t="n"/>
      <c r="L55" s="16" t="n"/>
      <c r="M55" s="16" t="n">
        <v>1153.145912</v>
      </c>
      <c r="N55" s="16" t="n">
        <v>4258.441425</v>
      </c>
      <c r="O55" s="16" t="n"/>
      <c r="P55" s="16" t="n"/>
      <c r="AR55" s="16" t="n"/>
      <c r="AS55" s="16" t="n"/>
      <c r="AT55" s="16" t="n"/>
      <c r="AU55" s="16" t="n"/>
      <c r="AV55" s="16" t="n"/>
      <c r="AW55" s="16" t="n"/>
      <c r="AX55" s="16" t="n"/>
      <c r="AY55" s="16" t="n"/>
      <c r="AZ55" s="16" t="n">
        <v>969.110988</v>
      </c>
      <c r="BA55" s="16" t="n">
        <v>0.8479409999999999</v>
      </c>
      <c r="BB55" s="16" t="n"/>
      <c r="BC55" s="16" t="n"/>
      <c r="BE55" s="16" t="n"/>
      <c r="BF55" s="16" t="n"/>
      <c r="BG55" s="16" t="n">
        <v>899.638992</v>
      </c>
      <c r="BH55" s="16" t="n">
        <v>4890.436241</v>
      </c>
      <c r="BI55" s="16" t="n"/>
      <c r="BJ55" s="16" t="n"/>
      <c r="BK55" s="16" t="n"/>
      <c r="BL55" s="16" t="n"/>
    </row>
    <row r="56">
      <c r="A56" s="16" t="n"/>
      <c r="B56" s="16" t="n"/>
      <c r="C56" s="16" t="n"/>
      <c r="D56" s="16" t="n"/>
      <c r="E56" s="16" t="n"/>
      <c r="F56" s="16" t="n"/>
      <c r="G56" s="16" t="n"/>
      <c r="H56" s="16" t="n"/>
      <c r="I56" s="16" t="n"/>
      <c r="J56" s="16" t="n"/>
      <c r="K56" s="16" t="n"/>
      <c r="L56" s="16" t="n"/>
      <c r="M56" s="16" t="n">
        <v>597.21509</v>
      </c>
      <c r="N56" s="16" t="n">
        <v>2670.214037</v>
      </c>
      <c r="O56" s="16" t="n"/>
      <c r="P56" s="16" t="n"/>
      <c r="AR56" s="16" t="n"/>
      <c r="AS56" s="16" t="n"/>
      <c r="AT56" s="16" t="n"/>
      <c r="AU56" s="16" t="n"/>
      <c r="AV56" s="16" t="n"/>
      <c r="AW56" s="16" t="n"/>
      <c r="AX56" s="16" t="n"/>
      <c r="AY56" s="16" t="n"/>
      <c r="AZ56" s="16" t="n">
        <v>1231.210852</v>
      </c>
      <c r="BA56" s="16" t="n">
        <v>0.841767</v>
      </c>
      <c r="BB56" s="16" t="n"/>
      <c r="BC56" s="16" t="n"/>
      <c r="BE56" s="16" t="n"/>
      <c r="BF56" s="16" t="n"/>
      <c r="BG56" s="16" t="n">
        <v>1577.851469</v>
      </c>
      <c r="BH56" s="16" t="n">
        <v>3936.153237</v>
      </c>
      <c r="BI56" s="16" t="n"/>
      <c r="BJ56" s="16" t="n"/>
      <c r="BK56" s="16" t="n"/>
      <c r="BL56" s="16" t="n"/>
    </row>
    <row r="57">
      <c r="A57" s="16" t="n"/>
      <c r="B57" s="16" t="n"/>
      <c r="C57" s="16" t="n"/>
      <c r="D57" s="16" t="n"/>
      <c r="E57" s="16" t="n"/>
      <c r="F57" s="16" t="n"/>
      <c r="G57" s="16" t="n"/>
      <c r="H57" s="16" t="n"/>
      <c r="I57" s="16" t="n"/>
      <c r="J57" s="16" t="n"/>
      <c r="K57" s="16" t="n"/>
      <c r="L57" s="16" t="n"/>
      <c r="M57" s="16" t="n">
        <v>1682.847116</v>
      </c>
      <c r="N57" s="16" t="n">
        <v>4440.000662</v>
      </c>
      <c r="O57" s="16" t="n"/>
      <c r="P57" s="16" t="n"/>
      <c r="AR57" s="16" t="n"/>
      <c r="AS57" s="16" t="n"/>
      <c r="AT57" s="16" t="n"/>
      <c r="AU57" s="16" t="n"/>
      <c r="AV57" s="16" t="n"/>
      <c r="AW57" s="16" t="n"/>
      <c r="AX57" s="16" t="n"/>
      <c r="AY57" s="16" t="n"/>
      <c r="AZ57" s="16" t="n">
        <v>442.848155</v>
      </c>
      <c r="BA57" s="16" t="n">
        <v>0.52443</v>
      </c>
      <c r="BB57" s="16" t="n"/>
      <c r="BC57" s="16" t="n"/>
      <c r="BE57" s="16" t="n"/>
      <c r="BF57" s="16" t="n"/>
      <c r="BG57" s="16" t="n">
        <v>1950.311587</v>
      </c>
      <c r="BH57" s="16" t="n">
        <v>4927.069012</v>
      </c>
      <c r="BI57" s="16" t="n"/>
      <c r="BJ57" s="16" t="n"/>
      <c r="BK57" s="16" t="n"/>
      <c r="BL57" s="16" t="n"/>
    </row>
    <row r="58">
      <c r="A58" s="16" t="n"/>
      <c r="B58" s="16" t="n"/>
      <c r="C58" s="16" t="n"/>
      <c r="D58" s="16" t="n"/>
      <c r="E58" s="16" t="n"/>
      <c r="F58" s="16" t="n"/>
      <c r="G58" s="16" t="n"/>
      <c r="H58" s="16" t="n"/>
      <c r="I58" s="16" t="n"/>
      <c r="J58" s="16" t="n"/>
      <c r="K58" s="16" t="n"/>
      <c r="L58" s="16" t="n"/>
      <c r="M58" s="16" t="n">
        <v>1447.740269</v>
      </c>
      <c r="N58" s="16" t="n">
        <v>2317.518304</v>
      </c>
      <c r="O58" s="16" t="n"/>
      <c r="P58" s="16" t="n"/>
      <c r="AR58" s="16" t="n"/>
      <c r="AS58" s="16" t="n"/>
      <c r="AT58" s="16" t="n"/>
      <c r="AU58" s="16" t="n"/>
      <c r="AV58" s="16" t="n"/>
      <c r="AW58" s="16" t="n"/>
      <c r="AX58" s="16" t="n"/>
      <c r="AY58" s="16" t="n"/>
      <c r="AZ58" s="16" t="n">
        <v>1801.301887</v>
      </c>
      <c r="BA58" s="16" t="n">
        <v>0.807609</v>
      </c>
      <c r="BB58" s="16" t="n"/>
      <c r="BC58" s="16" t="n"/>
      <c r="BE58" s="16" t="n"/>
      <c r="BF58" s="16" t="n"/>
      <c r="BG58" s="16" t="n">
        <v>1382.201152</v>
      </c>
      <c r="BH58" s="16" t="n">
        <v>2615.397367</v>
      </c>
      <c r="BI58" s="16" t="n"/>
      <c r="BJ58" s="16" t="n"/>
      <c r="BK58" s="16" t="n"/>
      <c r="BL58" s="16" t="n"/>
    </row>
    <row r="59">
      <c r="A59" s="16" t="n"/>
      <c r="B59" s="16" t="n"/>
      <c r="C59" s="16" t="n"/>
      <c r="D59" s="16" t="n"/>
      <c r="E59" s="16" t="n"/>
      <c r="F59" s="16" t="n"/>
      <c r="G59" s="16" t="n"/>
      <c r="H59" s="16" t="n"/>
      <c r="I59" s="16" t="n"/>
      <c r="J59" s="16" t="n"/>
      <c r="K59" s="16" t="n"/>
      <c r="L59" s="16" t="n"/>
      <c r="M59" s="16" t="n">
        <v>948.732801</v>
      </c>
      <c r="N59" s="16" t="n">
        <v>2682.819081</v>
      </c>
      <c r="O59" s="16" t="n"/>
      <c r="P59" s="16" t="n"/>
      <c r="AR59" s="16" t="n"/>
      <c r="AS59" s="16" t="n"/>
      <c r="AT59" s="16" t="n"/>
      <c r="AU59" s="16" t="n"/>
      <c r="AV59" s="16" t="n"/>
      <c r="AW59" s="16" t="n"/>
      <c r="AX59" s="16" t="n"/>
      <c r="AY59" s="16" t="n"/>
      <c r="AZ59" s="16" t="n">
        <v>1078.400243</v>
      </c>
      <c r="BA59" s="16" t="n">
        <v>0.552588</v>
      </c>
      <c r="BB59" s="16" t="n"/>
      <c r="BC59" s="16" t="n"/>
      <c r="BE59" s="16" t="n"/>
      <c r="BF59" s="16" t="n"/>
      <c r="BG59" s="16" t="n">
        <v>1147.987597</v>
      </c>
      <c r="BH59" s="16" t="n">
        <v>4452.322801</v>
      </c>
      <c r="BI59" s="16" t="n"/>
      <c r="BJ59" s="16" t="n"/>
      <c r="BK59" s="16" t="n"/>
      <c r="BL59" s="16" t="n"/>
    </row>
    <row r="60">
      <c r="A60" s="16" t="n"/>
      <c r="B60" s="16" t="n"/>
      <c r="C60" s="16" t="n"/>
      <c r="D60" s="16" t="n"/>
      <c r="E60" s="16" t="n"/>
      <c r="F60" s="16" t="n"/>
      <c r="G60" s="16" t="n"/>
      <c r="H60" s="16" t="n"/>
      <c r="I60" s="16" t="n"/>
      <c r="J60" s="16" t="n"/>
      <c r="K60" s="16" t="n"/>
      <c r="L60" s="16" t="n"/>
      <c r="M60" s="16" t="n">
        <v>278.500259</v>
      </c>
      <c r="N60" s="16" t="n">
        <v>3979.868505</v>
      </c>
      <c r="O60" s="16" t="n"/>
      <c r="P60" s="16" t="n"/>
      <c r="AR60" s="16" t="n"/>
      <c r="AS60" s="16" t="n"/>
      <c r="AT60" s="16" t="n"/>
      <c r="AU60" s="16" t="n"/>
      <c r="AV60" s="16" t="n"/>
      <c r="AW60" s="16" t="n"/>
      <c r="AX60" s="16" t="n"/>
      <c r="AY60" s="16" t="n"/>
      <c r="AZ60" s="16" t="n">
        <v>1677.964427</v>
      </c>
      <c r="BA60" s="16" t="n">
        <v>0.659977</v>
      </c>
      <c r="BB60" s="16" t="n"/>
      <c r="BC60" s="16" t="n"/>
      <c r="BE60" s="16" t="n"/>
      <c r="BF60" s="16" t="n"/>
      <c r="BG60" s="16" t="n">
        <v>750.214128</v>
      </c>
      <c r="BH60" s="16" t="n">
        <v>3469.365506</v>
      </c>
      <c r="BI60" s="16" t="n"/>
      <c r="BJ60" s="16" t="n"/>
      <c r="BK60" s="16" t="n"/>
      <c r="BL60" s="16" t="n"/>
    </row>
    <row r="61">
      <c r="A61" s="16" t="n"/>
      <c r="B61" s="16" t="n"/>
      <c r="C61" s="16" t="n"/>
      <c r="D61" s="16" t="n"/>
      <c r="E61" s="16" t="n"/>
      <c r="F61" s="16" t="n"/>
      <c r="G61" s="16" t="n"/>
      <c r="H61" s="16" t="n"/>
      <c r="I61" s="16" t="n"/>
      <c r="J61" s="16" t="n"/>
      <c r="K61" s="16" t="n"/>
      <c r="L61" s="16" t="n"/>
      <c r="M61" s="16" t="n">
        <v>1607.425797</v>
      </c>
      <c r="N61" s="16" t="n">
        <v>3855.38577</v>
      </c>
      <c r="O61" s="16" t="n"/>
      <c r="P61" s="16" t="n"/>
      <c r="AR61" s="16" t="n"/>
      <c r="AS61" s="16" t="n"/>
      <c r="AT61" s="16" t="n"/>
      <c r="AU61" s="16" t="n"/>
      <c r="AV61" s="16" t="n"/>
      <c r="AW61" s="16" t="n"/>
      <c r="AX61" s="16" t="n"/>
      <c r="AY61" s="16" t="n"/>
      <c r="AZ61" s="16" t="n">
        <v>461.315355</v>
      </c>
      <c r="BA61" s="16" t="n">
        <v>0.7758429999999999</v>
      </c>
      <c r="BB61" s="16" t="n"/>
      <c r="BC61" s="16" t="n"/>
    </row>
    <row r="62">
      <c r="A62" s="16" t="n"/>
      <c r="B62" s="16" t="n"/>
      <c r="C62" s="16" t="n"/>
      <c r="D62" s="16" t="n"/>
      <c r="E62" s="16" t="n"/>
      <c r="F62" s="16" t="n"/>
      <c r="G62" s="16" t="n"/>
      <c r="H62" s="16" t="n"/>
      <c r="I62" s="16" t="n"/>
      <c r="J62" s="16" t="n"/>
      <c r="K62" s="16" t="n"/>
      <c r="L62" s="16" t="n"/>
      <c r="M62" s="16" t="n">
        <v>843.600764</v>
      </c>
      <c r="N62" s="16" t="n">
        <v>2460.91017</v>
      </c>
      <c r="O62" s="16" t="n"/>
      <c r="P62" s="16" t="n"/>
    </row>
    <row r="63">
      <c r="A63" s="16" t="n"/>
      <c r="B63" s="16" t="n"/>
      <c r="C63" s="16" t="n"/>
      <c r="D63" s="16" t="n"/>
      <c r="E63" s="16" t="n"/>
      <c r="F63" s="16" t="n"/>
      <c r="G63" s="16" t="n"/>
      <c r="H63" s="16" t="n"/>
      <c r="I63" s="16" t="n"/>
      <c r="J63" s="16" t="n"/>
      <c r="K63" s="16" t="n"/>
      <c r="L63" s="16" t="n"/>
      <c r="M63" s="16" t="n">
        <v>359.408806</v>
      </c>
      <c r="N63" s="16" t="n">
        <v>3297.328361</v>
      </c>
      <c r="O63" s="16" t="n"/>
      <c r="P63" s="16" t="n"/>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42" customWidth="1" min="1" max="1"/>
    <col width="48" customWidth="1" min="2" max="2"/>
    <col width="10" customWidth="1" min="3" max="3"/>
    <col width="15" customWidth="1" min="4" max="4"/>
    <col width="11" customWidth="1" min="5" max="5"/>
    <col width="21" customWidth="1" min="6" max="6"/>
    <col width="10" customWidth="1" min="7" max="7"/>
  </cols>
  <sheetData>
    <row r="1">
      <c r="A1" s="19" t="inlineStr">
        <is>
          <t>Tabla 5.1-1 · Condiciones: qué quedó fijo y qué se barrió</t>
        </is>
      </c>
    </row>
    <row r="2">
      <c r="A2" s="20" t="inlineStr">
        <is>
          <t>Estudio 5.1 · Búsqueda de la η máxima · Partes: 5.1a, 5.1b, 5.1c, 5.1d, 5.1e</t>
        </is>
      </c>
    </row>
    <row r="3">
      <c r="A3" s="20" t="inlineStr">
        <is>
          <t>Punto base: cada arranque (A1–A5) parte de un punto distinto y conserva datos distintos del profesor</t>
        </is>
      </c>
    </row>
    <row r="4">
      <c r="A4" s="41" t="inlineStr">
        <is>
          <t>Parte 5.1a (libre, desde el mejor de 3.2):</t>
        </is>
      </c>
    </row>
    <row r="5">
      <c r="A5" s="21" t="inlineStr">
        <is>
          <t>Datos fijos: m_b = 1 kg/s; motor de propiedades = teqp.</t>
        </is>
      </c>
    </row>
    <row r="6">
      <c r="A6" s="21" t="inlineStr">
        <is>
          <t>Datos barridos: T_fuente [424.1–448.1] K (3 valores); T_sumidero [278.15–281.64] K (3 valores); P_alta [3181.8–4681.8] kPa (6 valores); P_baja [588.34–1028.3] kPa (3 valores); x_b [0.59975–0.70475] (4 valores); η_t [0.86348–0.95] (4 valores); η_p [0.69108–0.80108] (3 valores); ε_HRVG [0.62273–0.73273] (3 valores); ε_reg [0.88653–0.95] (3 valores); ε_cond [0.78683–0.89683] (3 valores); piso de O2 [278.15–281.64] K (3 valores).</t>
        </is>
      </c>
    </row>
    <row r="7">
      <c r="A7" s="41" t="inlineStr">
        <is>
          <t>Parte 5.1b (libre, desde el mejor de 2.4):</t>
        </is>
      </c>
    </row>
    <row r="8">
      <c r="A8" s="21" t="inlineStr">
        <is>
          <t>Datos fijos: m_b = 1 kg/s; motor de propiedades = teqp.</t>
        </is>
      </c>
    </row>
    <row r="9">
      <c r="A9" s="21" t="inlineStr">
        <is>
          <t>Datos barridos: T_fuente [408–432] K (3 valores); T_sumidero [278.15–280.69] K (2 valores); P_alta [2700–3300] kPa (3 valores); P_baja [300–613.75] kPa (3 valores); x_b [0.5–0.535] (2 valores); η_t [0.795–0.95] (5 valores); η_p [0.695–0.805] (3 valores); ε_HRVG [0.795–0.905] (3 valores); ε_reg [0.695–0.95] (6 valores); ε_cond [0.745–0.855] (3 valores); piso de O2 [278.15–280.69] K (2 valores).</t>
        </is>
      </c>
    </row>
    <row r="10">
      <c r="A10" s="41" t="inlineStr">
        <is>
          <t>Parte 5.1c (conserva sus temperaturas):</t>
        </is>
      </c>
    </row>
    <row r="11">
      <c r="A11" s="21" t="inlineStr">
        <is>
          <t>Datos fijos: T_fuente = 623.15 K; T_sumidero = 300.03 K; m_b = 1 kg/s; piso de O2 = 300.03 K; motor de propiedades = teqp.</t>
        </is>
      </c>
    </row>
    <row r="12">
      <c r="A12" s="21" t="inlineStr">
        <is>
          <t>Datos barridos: P_alta [3606–5000] kPa (7 valores); P_baja [1139.6–1579.6] kPa (3 valores); x_b [0.79448–0.85] (3 valores); η_t [0.78106–0.95] (5 valores); η_p [0.78253–0.89253] (3 valores); ε_HRVG [0.44137–0.55137] (3 valores); ε_reg [0.86168–0.95] (3 valores); ε_cond [0.89079–0.95] (3 valores).</t>
        </is>
      </c>
    </row>
    <row r="13">
      <c r="A13" s="41" t="inlineStr">
        <is>
          <t>Parte 5.1d (conserva sus presiones y su clima):</t>
        </is>
      </c>
    </row>
    <row r="14">
      <c r="A14" s="21" t="inlineStr">
        <is>
          <t>Datos fijos: T_sumidero = 300.03 K; P_alta = 3000 kPa; P_baja = 400 kPa; m_b = 1 kg/s; piso de O2 = 300.03 K; motor de propiedades = teqp.</t>
        </is>
      </c>
    </row>
    <row r="15">
      <c r="A15" s="21" t="inlineStr">
        <is>
          <t>Datos barridos: T_fuente [391–427] K (4 valores); x_b [0.5–0.535] (2 valores); η_t [0.795–0.95] (5 valores); η_p [0.695–0.86] (4 valores); ε_HRVG [0.795–0.95] (4 valores); ε_reg [0.695–0.95] (7 valores); ε_cond [0.895–0.95] (2 valores).</t>
        </is>
      </c>
    </row>
    <row r="16">
      <c r="A16" s="41" t="inlineStr">
        <is>
          <t>Parte 5.1e (conserva su fuente y su x_b):</t>
        </is>
      </c>
    </row>
    <row r="17">
      <c r="A17" s="21" t="inlineStr">
        <is>
          <t>Datos fijos: T_fuente = 623.15 K; x_b = 0.5; m_b = 1 kg/s; motor de propiedades = teqp.</t>
        </is>
      </c>
    </row>
    <row r="18">
      <c r="A18" s="21" t="inlineStr">
        <is>
          <t>Datos barridos: T_sumidero [300.04–303.55] K (3 valores); P_alta [4508.3–5000] kPa (3 valores); P_baja [802.27–1462.3] kPa (4 valores); η_t [0.86749–0.95] (3 valores); η_p [0.52107–0.63107] (3 valores); ε_HRVG [0.4–0.5173] (4 valores); ε_reg [0.4–0.68511] (7 valores); ε_cond [0.82342–0.93342] (3 valores); piso de O2 [300.04–303.55] K (3 valores).</t>
        </is>
      </c>
    </row>
    <row r="19">
      <c r="A19" s="20" t="inlineStr">
        <is>
          <t>Fuente: analisis_final/00_inventario/condiciones_por_subcaso.csv</t>
        </is>
      </c>
    </row>
    <row r="21">
      <c r="A21" s="22" t="inlineStr">
        <is>
          <t>Parte</t>
        </is>
      </c>
      <c r="B21" s="22" t="inlineStr">
        <is>
          <t>Variable</t>
        </is>
      </c>
      <c r="C21" s="22" t="inlineStr">
        <is>
          <t>Estado</t>
        </is>
      </c>
      <c r="D21" s="22" t="inlineStr">
        <is>
          <t>Valor o rango</t>
        </is>
      </c>
      <c r="E21" s="22" t="inlineStr">
        <is>
          <t>n valores</t>
        </is>
      </c>
      <c r="F21" s="22" t="inlineStr">
        <is>
          <t>¿Igual al profesor?</t>
        </is>
      </c>
      <c r="G21" s="22" t="inlineStr">
        <is>
          <t>Unidad</t>
        </is>
      </c>
    </row>
    <row r="22">
      <c r="A22" s="16" t="inlineStr">
        <is>
          <t>5.1a · libre, desde el mejor de 3.2</t>
        </is>
      </c>
      <c r="B22" s="16" t="inlineStr">
        <is>
          <t>Temperatura de la fuente, T_fuente [K]</t>
        </is>
      </c>
      <c r="C22" s="16" t="inlineStr">
        <is>
          <t>Barrida</t>
        </is>
      </c>
      <c r="D22" s="16" t="inlineStr">
        <is>
          <t>424.1 – 448.1</t>
        </is>
      </c>
      <c r="E22" s="16" t="n">
        <v>3</v>
      </c>
      <c r="F22" s="16" t="n"/>
      <c r="G22" s="16" t="inlineStr">
        <is>
          <t>K</t>
        </is>
      </c>
    </row>
    <row r="23">
      <c r="A23" s="16" t="inlineStr">
        <is>
          <t>5.1a · libre, desde el mejor de 3.2</t>
        </is>
      </c>
      <c r="B23" s="16" t="inlineStr">
        <is>
          <t>Temperatura del sumidero, T_sumidero [K]</t>
        </is>
      </c>
      <c r="C23" s="16" t="inlineStr">
        <is>
          <t>Barrida</t>
        </is>
      </c>
      <c r="D23" s="16" t="inlineStr">
        <is>
          <t>278.1 – 281.6</t>
        </is>
      </c>
      <c r="E23" s="16" t="n">
        <v>3</v>
      </c>
      <c r="F23" s="16" t="n"/>
      <c r="G23" s="16" t="inlineStr">
        <is>
          <t>K</t>
        </is>
      </c>
    </row>
    <row r="24">
      <c r="A24" s="16" t="inlineStr">
        <is>
          <t>5.1a · libre, desde el mejor de 3.2</t>
        </is>
      </c>
      <c r="B24" s="16" t="inlineStr">
        <is>
          <t>Presión de alta, P_alta [kPa]</t>
        </is>
      </c>
      <c r="C24" s="16" t="inlineStr">
        <is>
          <t>Barrida</t>
        </is>
      </c>
      <c r="D24" s="16" t="inlineStr">
        <is>
          <t>3182 – 4682</t>
        </is>
      </c>
      <c r="E24" s="16" t="n">
        <v>6</v>
      </c>
      <c r="F24" s="16" t="n"/>
      <c r="G24" s="16" t="inlineStr">
        <is>
          <t>kPa</t>
        </is>
      </c>
    </row>
    <row r="25">
      <c r="A25" s="16" t="inlineStr">
        <is>
          <t>5.1a · libre, desde el mejor de 3.2</t>
        </is>
      </c>
      <c r="B25" s="16" t="inlineStr">
        <is>
          <t>Presión de baja, P_baja [kPa]</t>
        </is>
      </c>
      <c r="C25" s="16" t="inlineStr">
        <is>
          <t>Barrida</t>
        </is>
      </c>
      <c r="D25" s="16" t="inlineStr">
        <is>
          <t>588.3 – 1028</t>
        </is>
      </c>
      <c r="E25" s="16" t="n">
        <v>3</v>
      </c>
      <c r="F25" s="16" t="n"/>
      <c r="G25" s="16" t="inlineStr">
        <is>
          <t>kPa</t>
        </is>
      </c>
    </row>
    <row r="26">
      <c r="A26" s="16" t="inlineStr">
        <is>
          <t>5.1a · libre, desde el mejor de 3.2</t>
        </is>
      </c>
      <c r="B26" s="16" t="inlineStr">
        <is>
          <t>Fracción de amoníaco de la mezcla base, x_b [–]</t>
        </is>
      </c>
      <c r="C26" s="16" t="inlineStr">
        <is>
          <t>Barrida</t>
        </is>
      </c>
      <c r="D26" s="16" t="inlineStr">
        <is>
          <t>0.600 – 0.705</t>
        </is>
      </c>
      <c r="E26" s="16" t="n">
        <v>4</v>
      </c>
      <c r="F26" s="16" t="n"/>
      <c r="G26" s="16" t="inlineStr">
        <is>
          <t>–</t>
        </is>
      </c>
    </row>
    <row r="27">
      <c r="A27" s="16" t="inlineStr">
        <is>
          <t>5.1a · libre, desde el mejor de 3.2</t>
        </is>
      </c>
      <c r="B27" s="16" t="inlineStr">
        <is>
          <t>Flujo másico base, m_b [kg/s]</t>
        </is>
      </c>
      <c r="C27" s="16" t="inlineStr">
        <is>
          <t>Fija</t>
        </is>
      </c>
      <c r="D27" s="16" t="inlineStr">
        <is>
          <t>1.0</t>
        </is>
      </c>
      <c r="E27" s="16" t="n"/>
      <c r="F27" s="16" t="inlineStr">
        <is>
          <t>sí</t>
        </is>
      </c>
      <c r="G27" s="16" t="inlineStr">
        <is>
          <t>kg/s</t>
        </is>
      </c>
    </row>
    <row r="28">
      <c r="A28" s="16" t="inlineStr">
        <is>
          <t>5.1a · libre, desde el mejor de 3.2</t>
        </is>
      </c>
      <c r="B28" s="16" t="inlineStr">
        <is>
          <t>Eficiencia isentrópica de la turbina, η_t [–]</t>
        </is>
      </c>
      <c r="C28" s="16" t="inlineStr">
        <is>
          <t>Barrida</t>
        </is>
      </c>
      <c r="D28" s="16" t="inlineStr">
        <is>
          <t>0.863 – 0.950</t>
        </is>
      </c>
      <c r="E28" s="16" t="n">
        <v>4</v>
      </c>
      <c r="F28" s="16" t="n"/>
      <c r="G28" s="16" t="inlineStr">
        <is>
          <t>–</t>
        </is>
      </c>
    </row>
    <row r="29">
      <c r="A29" s="16" t="inlineStr">
        <is>
          <t>5.1a · libre, desde el mejor de 3.2</t>
        </is>
      </c>
      <c r="B29" s="16" t="inlineStr">
        <is>
          <t>Eficiencia isentrópica de la bomba, η_p [–]</t>
        </is>
      </c>
      <c r="C29" s="16" t="inlineStr">
        <is>
          <t>Barrida</t>
        </is>
      </c>
      <c r="D29" s="16" t="inlineStr">
        <is>
          <t>0.691 – 0.801</t>
        </is>
      </c>
      <c r="E29" s="16" t="n">
        <v>3</v>
      </c>
      <c r="F29" s="16" t="n"/>
      <c r="G29" s="16" t="inlineStr">
        <is>
          <t>–</t>
        </is>
      </c>
    </row>
    <row r="30">
      <c r="A30" s="16" t="inlineStr">
        <is>
          <t>5.1a · libre, desde el mejor de 3.2</t>
        </is>
      </c>
      <c r="B30" s="16" t="inlineStr">
        <is>
          <t>Efectividad del generador de vapor, ε_HRVG [–]</t>
        </is>
      </c>
      <c r="C30" s="16" t="inlineStr">
        <is>
          <t>Barrida</t>
        </is>
      </c>
      <c r="D30" s="16" t="inlineStr">
        <is>
          <t>0.623 – 0.733</t>
        </is>
      </c>
      <c r="E30" s="16" t="n">
        <v>3</v>
      </c>
      <c r="F30" s="16" t="n"/>
      <c r="G30" s="16" t="inlineStr">
        <is>
          <t>–</t>
        </is>
      </c>
    </row>
    <row r="31">
      <c r="A31" s="16" t="inlineStr">
        <is>
          <t>5.1a · libre, desde el mejor de 3.2</t>
        </is>
      </c>
      <c r="B31" s="16" t="inlineStr">
        <is>
          <t>Efectividad del regenerador, ε_reg [–]</t>
        </is>
      </c>
      <c r="C31" s="16" t="inlineStr">
        <is>
          <t>Barrida</t>
        </is>
      </c>
      <c r="D31" s="16" t="inlineStr">
        <is>
          <t>0.887 – 0.950</t>
        </is>
      </c>
      <c r="E31" s="16" t="n">
        <v>3</v>
      </c>
      <c r="F31" s="16" t="n"/>
      <c r="G31" s="16" t="inlineStr">
        <is>
          <t>–</t>
        </is>
      </c>
    </row>
    <row r="32">
      <c r="A32" s="16" t="inlineStr">
        <is>
          <t>5.1a · libre, desde el mejor de 3.2</t>
        </is>
      </c>
      <c r="B32" s="16" t="inlineStr">
        <is>
          <t>Efectividad del condensador, ε_cond [–]</t>
        </is>
      </c>
      <c r="C32" s="16" t="inlineStr">
        <is>
          <t>Barrida</t>
        </is>
      </c>
      <c r="D32" s="16" t="inlineStr">
        <is>
          <t>0.787 – 0.897</t>
        </is>
      </c>
      <c r="E32" s="16" t="n">
        <v>3</v>
      </c>
      <c r="F32" s="16" t="n"/>
      <c r="G32" s="16" t="inlineStr">
        <is>
          <t>–</t>
        </is>
      </c>
    </row>
    <row r="33">
      <c r="A33" s="16" t="inlineStr">
        <is>
          <t>5.1a · libre, desde el mejor de 3.2</t>
        </is>
      </c>
      <c r="B33" s="16" t="inlineStr">
        <is>
          <t>Piso de O2 (T de diseño de la bomba) [K]</t>
        </is>
      </c>
      <c r="C33" s="16" t="inlineStr">
        <is>
          <t>Barrida</t>
        </is>
      </c>
      <c r="D33" s="16" t="inlineStr">
        <is>
          <t>278.1 – 281.6</t>
        </is>
      </c>
      <c r="E33" s="16" t="n">
        <v>3</v>
      </c>
      <c r="F33" s="16" t="n"/>
      <c r="G33" s="16" t="inlineStr">
        <is>
          <t>K</t>
        </is>
      </c>
    </row>
    <row r="34">
      <c r="A34" s="16" t="inlineStr">
        <is>
          <t>5.1a · libre, desde el mejor de 3.2</t>
        </is>
      </c>
      <c r="B34" s="16" t="inlineStr">
        <is>
          <t>motor de propiedades</t>
        </is>
      </c>
      <c r="C34" s="16" t="inlineStr">
        <is>
          <t>Fija</t>
        </is>
      </c>
      <c r="D34" s="16" t="inlineStr">
        <is>
          <t>teqp</t>
        </is>
      </c>
      <c r="E34" s="16" t="n"/>
      <c r="F34" s="16" t="n"/>
      <c r="G34" s="16" t="inlineStr">
        <is>
          <t>–</t>
        </is>
      </c>
    </row>
    <row r="35">
      <c r="A35" s="16" t="inlineStr">
        <is>
          <t>5.1b · libre, desde el mejor de 2.4</t>
        </is>
      </c>
      <c r="B35" s="16" t="inlineStr">
        <is>
          <t>Temperatura de la fuente, T_fuente [K]</t>
        </is>
      </c>
      <c r="C35" s="16" t="inlineStr">
        <is>
          <t>Barrida</t>
        </is>
      </c>
      <c r="D35" s="16" t="inlineStr">
        <is>
          <t>408.0 – 432.0</t>
        </is>
      </c>
      <c r="E35" s="16" t="n">
        <v>3</v>
      </c>
      <c r="F35" s="16" t="n"/>
      <c r="G35" s="16" t="inlineStr">
        <is>
          <t>K</t>
        </is>
      </c>
    </row>
    <row r="36">
      <c r="A36" s="16" t="inlineStr">
        <is>
          <t>5.1b · libre, desde el mejor de 2.4</t>
        </is>
      </c>
      <c r="B36" s="16" t="inlineStr">
        <is>
          <t>Temperatura del sumidero, T_sumidero [K]</t>
        </is>
      </c>
      <c r="C36" s="16" t="inlineStr">
        <is>
          <t>Barrida</t>
        </is>
      </c>
      <c r="D36" s="16" t="inlineStr">
        <is>
          <t>278.1 – 280.7</t>
        </is>
      </c>
      <c r="E36" s="16" t="n">
        <v>2</v>
      </c>
      <c r="F36" s="16" t="n"/>
      <c r="G36" s="16" t="inlineStr">
        <is>
          <t>K</t>
        </is>
      </c>
    </row>
    <row r="37">
      <c r="A37" s="16" t="inlineStr">
        <is>
          <t>5.1b · libre, desde el mejor de 2.4</t>
        </is>
      </c>
      <c r="B37" s="16" t="inlineStr">
        <is>
          <t>Presión de alta, P_alta [kPa]</t>
        </is>
      </c>
      <c r="C37" s="16" t="inlineStr">
        <is>
          <t>Barrida</t>
        </is>
      </c>
      <c r="D37" s="16" t="inlineStr">
        <is>
          <t>2700 – 3300</t>
        </is>
      </c>
      <c r="E37" s="16" t="n">
        <v>3</v>
      </c>
      <c r="F37" s="16" t="n"/>
      <c r="G37" s="16" t="inlineStr">
        <is>
          <t>kPa</t>
        </is>
      </c>
    </row>
    <row r="38">
      <c r="A38" s="16" t="inlineStr">
        <is>
          <t>5.1b · libre, desde el mejor de 2.4</t>
        </is>
      </c>
      <c r="B38" s="16" t="inlineStr">
        <is>
          <t>Presión de baja, P_baja [kPa]</t>
        </is>
      </c>
      <c r="C38" s="16" t="inlineStr">
        <is>
          <t>Barrida</t>
        </is>
      </c>
      <c r="D38" s="16" t="inlineStr">
        <is>
          <t>300.0 – 613.8</t>
        </is>
      </c>
      <c r="E38" s="16" t="n">
        <v>3</v>
      </c>
      <c r="F38" s="16" t="n"/>
      <c r="G38" s="16" t="inlineStr">
        <is>
          <t>kPa</t>
        </is>
      </c>
    </row>
    <row r="39">
      <c r="A39" s="16" t="inlineStr">
        <is>
          <t>5.1b · libre, desde el mejor de 2.4</t>
        </is>
      </c>
      <c r="B39" s="16" t="inlineStr">
        <is>
          <t>Fracción de amoníaco de la mezcla base, x_b [–]</t>
        </is>
      </c>
      <c r="C39" s="16" t="inlineStr">
        <is>
          <t>Barrida</t>
        </is>
      </c>
      <c r="D39" s="16" t="inlineStr">
        <is>
          <t>0.500 – 0.535</t>
        </is>
      </c>
      <c r="E39" s="16" t="n">
        <v>2</v>
      </c>
      <c r="F39" s="16" t="n"/>
      <c r="G39" s="16" t="inlineStr">
        <is>
          <t>–</t>
        </is>
      </c>
    </row>
    <row r="40">
      <c r="A40" s="16" t="inlineStr">
        <is>
          <t>5.1b · libre, desde el mejor de 2.4</t>
        </is>
      </c>
      <c r="B40" s="16" t="inlineStr">
        <is>
          <t>Flujo másico base, m_b [kg/s]</t>
        </is>
      </c>
      <c r="C40" s="16" t="inlineStr">
        <is>
          <t>Fija</t>
        </is>
      </c>
      <c r="D40" s="16" t="inlineStr">
        <is>
          <t>1.0</t>
        </is>
      </c>
      <c r="E40" s="16" t="n"/>
      <c r="F40" s="16" t="inlineStr">
        <is>
          <t>sí</t>
        </is>
      </c>
      <c r="G40" s="16" t="inlineStr">
        <is>
          <t>kg/s</t>
        </is>
      </c>
    </row>
    <row r="41">
      <c r="A41" s="16" t="inlineStr">
        <is>
          <t>5.1b · libre, desde el mejor de 2.4</t>
        </is>
      </c>
      <c r="B41" s="16" t="inlineStr">
        <is>
          <t>Eficiencia isentrópica de la turbina, η_t [–]</t>
        </is>
      </c>
      <c r="C41" s="16" t="inlineStr">
        <is>
          <t>Barrida</t>
        </is>
      </c>
      <c r="D41" s="16" t="inlineStr">
        <is>
          <t>0.795 – 0.950</t>
        </is>
      </c>
      <c r="E41" s="16" t="n">
        <v>5</v>
      </c>
      <c r="F41" s="16" t="n"/>
      <c r="G41" s="16" t="inlineStr">
        <is>
          <t>–</t>
        </is>
      </c>
    </row>
    <row r="42">
      <c r="A42" s="16" t="inlineStr">
        <is>
          <t>5.1b · libre, desde el mejor de 2.4</t>
        </is>
      </c>
      <c r="B42" s="16" t="inlineStr">
        <is>
          <t>Eficiencia isentrópica de la bomba, η_p [–]</t>
        </is>
      </c>
      <c r="C42" s="16" t="inlineStr">
        <is>
          <t>Barrida</t>
        </is>
      </c>
      <c r="D42" s="16" t="inlineStr">
        <is>
          <t>0.695 – 0.805</t>
        </is>
      </c>
      <c r="E42" s="16" t="n">
        <v>3</v>
      </c>
      <c r="F42" s="16" t="n"/>
      <c r="G42" s="16" t="inlineStr">
        <is>
          <t>–</t>
        </is>
      </c>
    </row>
    <row r="43">
      <c r="A43" s="16" t="inlineStr">
        <is>
          <t>5.1b · libre, desde el mejor de 2.4</t>
        </is>
      </c>
      <c r="B43" s="16" t="inlineStr">
        <is>
          <t>Efectividad del generador de vapor, ε_HRVG [–]</t>
        </is>
      </c>
      <c r="C43" s="16" t="inlineStr">
        <is>
          <t>Barrida</t>
        </is>
      </c>
      <c r="D43" s="16" t="inlineStr">
        <is>
          <t>0.795 – 0.905</t>
        </is>
      </c>
      <c r="E43" s="16" t="n">
        <v>3</v>
      </c>
      <c r="F43" s="16" t="n"/>
      <c r="G43" s="16" t="inlineStr">
        <is>
          <t>–</t>
        </is>
      </c>
    </row>
    <row r="44">
      <c r="A44" s="16" t="inlineStr">
        <is>
          <t>5.1b · libre, desde el mejor de 2.4</t>
        </is>
      </c>
      <c r="B44" s="16" t="inlineStr">
        <is>
          <t>Efectividad del regenerador, ε_reg [–]</t>
        </is>
      </c>
      <c r="C44" s="16" t="inlineStr">
        <is>
          <t>Barrida</t>
        </is>
      </c>
      <c r="D44" s="16" t="inlineStr">
        <is>
          <t>0.695 – 0.950</t>
        </is>
      </c>
      <c r="E44" s="16" t="n">
        <v>6</v>
      </c>
      <c r="F44" s="16" t="n"/>
      <c r="G44" s="16" t="inlineStr">
        <is>
          <t>–</t>
        </is>
      </c>
    </row>
    <row r="45">
      <c r="A45" s="16" t="inlineStr">
        <is>
          <t>5.1b · libre, desde el mejor de 2.4</t>
        </is>
      </c>
      <c r="B45" s="16" t="inlineStr">
        <is>
          <t>Efectividad del condensador, ε_cond [–]</t>
        </is>
      </c>
      <c r="C45" s="16" t="inlineStr">
        <is>
          <t>Barrida</t>
        </is>
      </c>
      <c r="D45" s="16" t="inlineStr">
        <is>
          <t>0.745 – 0.855</t>
        </is>
      </c>
      <c r="E45" s="16" t="n">
        <v>3</v>
      </c>
      <c r="F45" s="16" t="n"/>
      <c r="G45" s="16" t="inlineStr">
        <is>
          <t>–</t>
        </is>
      </c>
    </row>
    <row r="46">
      <c r="A46" s="16" t="inlineStr">
        <is>
          <t>5.1b · libre, desde el mejor de 2.4</t>
        </is>
      </c>
      <c r="B46" s="16" t="inlineStr">
        <is>
          <t>Piso de O2 (T de diseño de la bomba) [K]</t>
        </is>
      </c>
      <c r="C46" s="16" t="inlineStr">
        <is>
          <t>Barrida</t>
        </is>
      </c>
      <c r="D46" s="16" t="inlineStr">
        <is>
          <t>278.1 – 280.7</t>
        </is>
      </c>
      <c r="E46" s="16" t="n">
        <v>2</v>
      </c>
      <c r="F46" s="16" t="n"/>
      <c r="G46" s="16" t="inlineStr">
        <is>
          <t>K</t>
        </is>
      </c>
    </row>
    <row r="47">
      <c r="A47" s="16" t="inlineStr">
        <is>
          <t>5.1b · libre, desde el mejor de 2.4</t>
        </is>
      </c>
      <c r="B47" s="16" t="inlineStr">
        <is>
          <t>motor de propiedades</t>
        </is>
      </c>
      <c r="C47" s="16" t="inlineStr">
        <is>
          <t>Fija</t>
        </is>
      </c>
      <c r="D47" s="16" t="inlineStr">
        <is>
          <t>teqp</t>
        </is>
      </c>
      <c r="E47" s="16" t="n"/>
      <c r="F47" s="16" t="n"/>
      <c r="G47" s="16" t="inlineStr">
        <is>
          <t>–</t>
        </is>
      </c>
    </row>
    <row r="48">
      <c r="A48" s="16" t="inlineStr">
        <is>
          <t>5.1c · conserva sus temperaturas</t>
        </is>
      </c>
      <c r="B48" s="16" t="inlineStr">
        <is>
          <t>Temperatura de la fuente, T_fuente [K]</t>
        </is>
      </c>
      <c r="C48" s="16" t="inlineStr">
        <is>
          <t>Fija</t>
        </is>
      </c>
      <c r="D48" s="16" t="inlineStr">
        <is>
          <t>623.15</t>
        </is>
      </c>
      <c r="E48" s="16" t="n"/>
      <c r="F48" s="16" t="inlineStr">
        <is>
          <t>sí</t>
        </is>
      </c>
      <c r="G48" s="16" t="inlineStr">
        <is>
          <t>K</t>
        </is>
      </c>
    </row>
    <row r="49">
      <c r="A49" s="16" t="inlineStr">
        <is>
          <t>5.1c · conserva sus temperaturas</t>
        </is>
      </c>
      <c r="B49" s="16" t="inlineStr">
        <is>
          <t>Temperatura del sumidero, T_sumidero [K]</t>
        </is>
      </c>
      <c r="C49" s="16" t="inlineStr">
        <is>
          <t>Fija</t>
        </is>
      </c>
      <c r="D49" s="16" t="inlineStr">
        <is>
          <t>300.032917</t>
        </is>
      </c>
      <c r="E49" s="16" t="n"/>
      <c r="F49" s="16" t="inlineStr">
        <is>
          <t>sí</t>
        </is>
      </c>
      <c r="G49" s="16" t="inlineStr">
        <is>
          <t>K</t>
        </is>
      </c>
    </row>
    <row r="50">
      <c r="A50" s="16" t="inlineStr">
        <is>
          <t>5.1c · conserva sus temperaturas</t>
        </is>
      </c>
      <c r="B50" s="16" t="inlineStr">
        <is>
          <t>Presión de alta, P_alta [kPa]</t>
        </is>
      </c>
      <c r="C50" s="16" t="inlineStr">
        <is>
          <t>Barrida</t>
        </is>
      </c>
      <c r="D50" s="16" t="inlineStr">
        <is>
          <t>3606 – 5000</t>
        </is>
      </c>
      <c r="E50" s="16" t="n">
        <v>7</v>
      </c>
      <c r="F50" s="16" t="n"/>
      <c r="G50" s="16" t="inlineStr">
        <is>
          <t>kPa</t>
        </is>
      </c>
    </row>
    <row r="51">
      <c r="A51" s="16" t="inlineStr">
        <is>
          <t>5.1c · conserva sus temperaturas</t>
        </is>
      </c>
      <c r="B51" s="16" t="inlineStr">
        <is>
          <t>Presión de baja, P_baja [kPa]</t>
        </is>
      </c>
      <c r="C51" s="16" t="inlineStr">
        <is>
          <t>Barrida</t>
        </is>
      </c>
      <c r="D51" s="16" t="inlineStr">
        <is>
          <t>1140 – 1580</t>
        </is>
      </c>
      <c r="E51" s="16" t="n">
        <v>3</v>
      </c>
      <c r="F51" s="16" t="n"/>
      <c r="G51" s="16" t="inlineStr">
        <is>
          <t>kPa</t>
        </is>
      </c>
    </row>
    <row r="52">
      <c r="A52" s="16" t="inlineStr">
        <is>
          <t>5.1c · conserva sus temperaturas</t>
        </is>
      </c>
      <c r="B52" s="16" t="inlineStr">
        <is>
          <t>Fracción de amoníaco de la mezcla base, x_b [–]</t>
        </is>
      </c>
      <c r="C52" s="16" t="inlineStr">
        <is>
          <t>Barrida</t>
        </is>
      </c>
      <c r="D52" s="16" t="inlineStr">
        <is>
          <t>0.794 – 0.850</t>
        </is>
      </c>
      <c r="E52" s="16" t="n">
        <v>3</v>
      </c>
      <c r="F52" s="16" t="n"/>
      <c r="G52" s="16" t="inlineStr">
        <is>
          <t>–</t>
        </is>
      </c>
    </row>
    <row r="53">
      <c r="A53" s="16" t="inlineStr">
        <is>
          <t>5.1c · conserva sus temperaturas</t>
        </is>
      </c>
      <c r="B53" s="16" t="inlineStr">
        <is>
          <t>Flujo másico base, m_b [kg/s]</t>
        </is>
      </c>
      <c r="C53" s="16" t="inlineStr">
        <is>
          <t>Fija</t>
        </is>
      </c>
      <c r="D53" s="16" t="inlineStr">
        <is>
          <t>1.0</t>
        </is>
      </c>
      <c r="E53" s="16" t="n"/>
      <c r="F53" s="16" t="inlineStr">
        <is>
          <t>sí</t>
        </is>
      </c>
      <c r="G53" s="16" t="inlineStr">
        <is>
          <t>kg/s</t>
        </is>
      </c>
    </row>
    <row r="54">
      <c r="A54" s="16" t="inlineStr">
        <is>
          <t>5.1c · conserva sus temperaturas</t>
        </is>
      </c>
      <c r="B54" s="16" t="inlineStr">
        <is>
          <t>Eficiencia isentrópica de la turbina, η_t [–]</t>
        </is>
      </c>
      <c r="C54" s="16" t="inlineStr">
        <is>
          <t>Barrida</t>
        </is>
      </c>
      <c r="D54" s="16" t="inlineStr">
        <is>
          <t>0.781 – 0.950</t>
        </is>
      </c>
      <c r="E54" s="16" t="n">
        <v>5</v>
      </c>
      <c r="F54" s="16" t="n"/>
      <c r="G54" s="16" t="inlineStr">
        <is>
          <t>–</t>
        </is>
      </c>
    </row>
    <row r="55">
      <c r="A55" s="16" t="inlineStr">
        <is>
          <t>5.1c · conserva sus temperaturas</t>
        </is>
      </c>
      <c r="B55" s="16" t="inlineStr">
        <is>
          <t>Eficiencia isentrópica de la bomba, η_p [–]</t>
        </is>
      </c>
      <c r="C55" s="16" t="inlineStr">
        <is>
          <t>Barrida</t>
        </is>
      </c>
      <c r="D55" s="16" t="inlineStr">
        <is>
          <t>0.783 – 0.893</t>
        </is>
      </c>
      <c r="E55" s="16" t="n">
        <v>3</v>
      </c>
      <c r="F55" s="16" t="n"/>
      <c r="G55" s="16" t="inlineStr">
        <is>
          <t>–</t>
        </is>
      </c>
    </row>
    <row r="56">
      <c r="A56" s="16" t="inlineStr">
        <is>
          <t>5.1c · conserva sus temperaturas</t>
        </is>
      </c>
      <c r="B56" s="16" t="inlineStr">
        <is>
          <t>Efectividad del generador de vapor, ε_HRVG [–]</t>
        </is>
      </c>
      <c r="C56" s="16" t="inlineStr">
        <is>
          <t>Barrida</t>
        </is>
      </c>
      <c r="D56" s="16" t="inlineStr">
        <is>
          <t>0.441 – 0.551</t>
        </is>
      </c>
      <c r="E56" s="16" t="n">
        <v>3</v>
      </c>
      <c r="F56" s="16" t="n"/>
      <c r="G56" s="16" t="inlineStr">
        <is>
          <t>–</t>
        </is>
      </c>
    </row>
    <row r="57">
      <c r="A57" s="16" t="inlineStr">
        <is>
          <t>5.1c · conserva sus temperaturas</t>
        </is>
      </c>
      <c r="B57" s="16" t="inlineStr">
        <is>
          <t>Efectividad del regenerador, ε_reg [–]</t>
        </is>
      </c>
      <c r="C57" s="16" t="inlineStr">
        <is>
          <t>Barrida</t>
        </is>
      </c>
      <c r="D57" s="16" t="inlineStr">
        <is>
          <t>0.862 – 0.950</t>
        </is>
      </c>
      <c r="E57" s="16" t="n">
        <v>3</v>
      </c>
      <c r="F57" s="16" t="n"/>
      <c r="G57" s="16" t="inlineStr">
        <is>
          <t>–</t>
        </is>
      </c>
    </row>
    <row r="58">
      <c r="A58" s="16" t="inlineStr">
        <is>
          <t>5.1c · conserva sus temperaturas</t>
        </is>
      </c>
      <c r="B58" s="16" t="inlineStr">
        <is>
          <t>Efectividad del condensador, ε_cond [–]</t>
        </is>
      </c>
      <c r="C58" s="16" t="inlineStr">
        <is>
          <t>Barrida</t>
        </is>
      </c>
      <c r="D58" s="16" t="inlineStr">
        <is>
          <t>0.891 – 0.950</t>
        </is>
      </c>
      <c r="E58" s="16" t="n">
        <v>3</v>
      </c>
      <c r="F58" s="16" t="n"/>
      <c r="G58" s="16" t="inlineStr">
        <is>
          <t>–</t>
        </is>
      </c>
    </row>
    <row r="59">
      <c r="A59" s="16" t="inlineStr">
        <is>
          <t>5.1c · conserva sus temperaturas</t>
        </is>
      </c>
      <c r="B59" s="16" t="inlineStr">
        <is>
          <t>Piso de O2 (T de diseño de la bomba) [K]</t>
        </is>
      </c>
      <c r="C59" s="16" t="inlineStr">
        <is>
          <t>Fija</t>
        </is>
      </c>
      <c r="D59" s="16" t="inlineStr">
        <is>
          <t>300.032917</t>
        </is>
      </c>
      <c r="E59" s="16" t="n"/>
      <c r="F59" s="16" t="inlineStr">
        <is>
          <t>sí</t>
        </is>
      </c>
      <c r="G59" s="16" t="inlineStr">
        <is>
          <t>K</t>
        </is>
      </c>
    </row>
    <row r="60">
      <c r="A60" s="16" t="inlineStr">
        <is>
          <t>5.1c · conserva sus temperaturas</t>
        </is>
      </c>
      <c r="B60" s="16" t="inlineStr">
        <is>
          <t>motor de propiedades</t>
        </is>
      </c>
      <c r="C60" s="16" t="inlineStr">
        <is>
          <t>Fija</t>
        </is>
      </c>
      <c r="D60" s="16" t="inlineStr">
        <is>
          <t>teqp</t>
        </is>
      </c>
      <c r="E60" s="16" t="n"/>
      <c r="F60" s="16" t="n"/>
      <c r="G60" s="16" t="inlineStr">
        <is>
          <t>–</t>
        </is>
      </c>
    </row>
    <row r="61">
      <c r="A61" s="16" t="inlineStr">
        <is>
          <t>5.1d · conserva sus presiones y su clima</t>
        </is>
      </c>
      <c r="B61" s="16" t="inlineStr">
        <is>
          <t>Temperatura de la fuente, T_fuente [K]</t>
        </is>
      </c>
      <c r="C61" s="16" t="inlineStr">
        <is>
          <t>Barrida</t>
        </is>
      </c>
      <c r="D61" s="16" t="inlineStr">
        <is>
          <t>391.0 – 427.0</t>
        </is>
      </c>
      <c r="E61" s="16" t="n">
        <v>4</v>
      </c>
      <c r="F61" s="16" t="n"/>
      <c r="G61" s="16" t="inlineStr">
        <is>
          <t>K</t>
        </is>
      </c>
    </row>
    <row r="62">
      <c r="A62" s="16" t="inlineStr">
        <is>
          <t>5.1d · conserva sus presiones y su clima</t>
        </is>
      </c>
      <c r="B62" s="16" t="inlineStr">
        <is>
          <t>Temperatura del sumidero, T_sumidero [K]</t>
        </is>
      </c>
      <c r="C62" s="16" t="inlineStr">
        <is>
          <t>Fija</t>
        </is>
      </c>
      <c r="D62" s="16" t="inlineStr">
        <is>
          <t>300.032917</t>
        </is>
      </c>
      <c r="E62" s="16" t="n"/>
      <c r="F62" s="16" t="inlineStr">
        <is>
          <t>sí</t>
        </is>
      </c>
      <c r="G62" s="16" t="inlineStr">
        <is>
          <t>K</t>
        </is>
      </c>
    </row>
    <row r="63">
      <c r="A63" s="16" t="inlineStr">
        <is>
          <t>5.1d · conserva sus presiones y su clima</t>
        </is>
      </c>
      <c r="B63" s="16" t="inlineStr">
        <is>
          <t>Presión de alta, P_alta [kPa]</t>
        </is>
      </c>
      <c r="C63" s="16" t="inlineStr">
        <is>
          <t>Fija</t>
        </is>
      </c>
      <c r="D63" s="16" t="inlineStr">
        <is>
          <t>3000.0</t>
        </is>
      </c>
      <c r="E63" s="16" t="n"/>
      <c r="F63" s="16" t="inlineStr">
        <is>
          <t>sí</t>
        </is>
      </c>
      <c r="G63" s="16" t="inlineStr">
        <is>
          <t>kPa</t>
        </is>
      </c>
    </row>
    <row r="64">
      <c r="A64" s="16" t="inlineStr">
        <is>
          <t>5.1d · conserva sus presiones y su clima</t>
        </is>
      </c>
      <c r="B64" s="16" t="inlineStr">
        <is>
          <t>Presión de baja, P_baja [kPa]</t>
        </is>
      </c>
      <c r="C64" s="16" t="inlineStr">
        <is>
          <t>Fija</t>
        </is>
      </c>
      <c r="D64" s="16" t="inlineStr">
        <is>
          <t>400.0</t>
        </is>
      </c>
      <c r="E64" s="16" t="n"/>
      <c r="F64" s="16" t="inlineStr">
        <is>
          <t>sí</t>
        </is>
      </c>
      <c r="G64" s="16" t="inlineStr">
        <is>
          <t>kPa</t>
        </is>
      </c>
    </row>
    <row r="65">
      <c r="A65" s="16" t="inlineStr">
        <is>
          <t>5.1d · conserva sus presiones y su clima</t>
        </is>
      </c>
      <c r="B65" s="16" t="inlineStr">
        <is>
          <t>Fracción de amoníaco de la mezcla base, x_b [–]</t>
        </is>
      </c>
      <c r="C65" s="16" t="inlineStr">
        <is>
          <t>Barrida</t>
        </is>
      </c>
      <c r="D65" s="16" t="inlineStr">
        <is>
          <t>0.500 – 0.535</t>
        </is>
      </c>
      <c r="E65" s="16" t="n">
        <v>2</v>
      </c>
      <c r="F65" s="16" t="n"/>
      <c r="G65" s="16" t="inlineStr">
        <is>
          <t>–</t>
        </is>
      </c>
    </row>
    <row r="66">
      <c r="A66" s="16" t="inlineStr">
        <is>
          <t>5.1d · conserva sus presiones y su clima</t>
        </is>
      </c>
      <c r="B66" s="16" t="inlineStr">
        <is>
          <t>Flujo másico base, m_b [kg/s]</t>
        </is>
      </c>
      <c r="C66" s="16" t="inlineStr">
        <is>
          <t>Fija</t>
        </is>
      </c>
      <c r="D66" s="16" t="inlineStr">
        <is>
          <t>1.0</t>
        </is>
      </c>
      <c r="E66" s="16" t="n"/>
      <c r="F66" s="16" t="inlineStr">
        <is>
          <t>sí</t>
        </is>
      </c>
      <c r="G66" s="16" t="inlineStr">
        <is>
          <t>kg/s</t>
        </is>
      </c>
    </row>
    <row r="67">
      <c r="A67" s="16" t="inlineStr">
        <is>
          <t>5.1d · conserva sus presiones y su clima</t>
        </is>
      </c>
      <c r="B67" s="16" t="inlineStr">
        <is>
          <t>Eficiencia isentrópica de la turbina, η_t [–]</t>
        </is>
      </c>
      <c r="C67" s="16" t="inlineStr">
        <is>
          <t>Barrida</t>
        </is>
      </c>
      <c r="D67" s="16" t="inlineStr">
        <is>
          <t>0.795 – 0.950</t>
        </is>
      </c>
      <c r="E67" s="16" t="n">
        <v>5</v>
      </c>
      <c r="F67" s="16" t="n"/>
      <c r="G67" s="16" t="inlineStr">
        <is>
          <t>–</t>
        </is>
      </c>
    </row>
    <row r="68">
      <c r="A68" s="16" t="inlineStr">
        <is>
          <t>5.1d · conserva sus presiones y su clima</t>
        </is>
      </c>
      <c r="B68" s="16" t="inlineStr">
        <is>
          <t>Eficiencia isentrópica de la bomba, η_p [–]</t>
        </is>
      </c>
      <c r="C68" s="16" t="inlineStr">
        <is>
          <t>Barrida</t>
        </is>
      </c>
      <c r="D68" s="16" t="inlineStr">
        <is>
          <t>0.695 – 0.860</t>
        </is>
      </c>
      <c r="E68" s="16" t="n">
        <v>4</v>
      </c>
      <c r="F68" s="16" t="n"/>
      <c r="G68" s="16" t="inlineStr">
        <is>
          <t>–</t>
        </is>
      </c>
    </row>
    <row r="69">
      <c r="A69" s="16" t="inlineStr">
        <is>
          <t>5.1d · conserva sus presiones y su clima</t>
        </is>
      </c>
      <c r="B69" s="16" t="inlineStr">
        <is>
          <t>Efectividad del generador de vapor, ε_HRVG [–]</t>
        </is>
      </c>
      <c r="C69" s="16" t="inlineStr">
        <is>
          <t>Barrida</t>
        </is>
      </c>
      <c r="D69" s="16" t="inlineStr">
        <is>
          <t>0.795 – 0.950</t>
        </is>
      </c>
      <c r="E69" s="16" t="n">
        <v>4</v>
      </c>
      <c r="F69" s="16" t="n"/>
      <c r="G69" s="16" t="inlineStr">
        <is>
          <t>–</t>
        </is>
      </c>
    </row>
    <row r="70">
      <c r="A70" s="16" t="inlineStr">
        <is>
          <t>5.1d · conserva sus presiones y su clima</t>
        </is>
      </c>
      <c r="B70" s="16" t="inlineStr">
        <is>
          <t>Efectividad del regenerador, ε_reg [–]</t>
        </is>
      </c>
      <c r="C70" s="16" t="inlineStr">
        <is>
          <t>Barrida</t>
        </is>
      </c>
      <c r="D70" s="16" t="inlineStr">
        <is>
          <t>0.695 – 0.950</t>
        </is>
      </c>
      <c r="E70" s="16" t="n">
        <v>7</v>
      </c>
      <c r="F70" s="16" t="n"/>
      <c r="G70" s="16" t="inlineStr">
        <is>
          <t>–</t>
        </is>
      </c>
    </row>
    <row r="71">
      <c r="A71" s="16" t="inlineStr">
        <is>
          <t>5.1d · conserva sus presiones y su clima</t>
        </is>
      </c>
      <c r="B71" s="16" t="inlineStr">
        <is>
          <t>Efectividad del condensador, ε_cond [–]</t>
        </is>
      </c>
      <c r="C71" s="16" t="inlineStr">
        <is>
          <t>Barrida</t>
        </is>
      </c>
      <c r="D71" s="16" t="inlineStr">
        <is>
          <t>0.895 – 0.950</t>
        </is>
      </c>
      <c r="E71" s="16" t="n">
        <v>2</v>
      </c>
      <c r="F71" s="16" t="n"/>
      <c r="G71" s="16" t="inlineStr">
        <is>
          <t>–</t>
        </is>
      </c>
    </row>
    <row r="72">
      <c r="A72" s="16" t="inlineStr">
        <is>
          <t>5.1d · conserva sus presiones y su clima</t>
        </is>
      </c>
      <c r="B72" s="16" t="inlineStr">
        <is>
          <t>Piso de O2 (T de diseño de la bomba) [K]</t>
        </is>
      </c>
      <c r="C72" s="16" t="inlineStr">
        <is>
          <t>Fija</t>
        </is>
      </c>
      <c r="D72" s="16" t="inlineStr">
        <is>
          <t>300.032917</t>
        </is>
      </c>
      <c r="E72" s="16" t="n"/>
      <c r="F72" s="16" t="inlineStr">
        <is>
          <t>sí</t>
        </is>
      </c>
      <c r="G72" s="16" t="inlineStr">
        <is>
          <t>K</t>
        </is>
      </c>
    </row>
    <row r="73">
      <c r="A73" s="16" t="inlineStr">
        <is>
          <t>5.1d · conserva sus presiones y su clima</t>
        </is>
      </c>
      <c r="B73" s="16" t="inlineStr">
        <is>
          <t>motor de propiedades</t>
        </is>
      </c>
      <c r="C73" s="16" t="inlineStr">
        <is>
          <t>Fija</t>
        </is>
      </c>
      <c r="D73" s="16" t="inlineStr">
        <is>
          <t>teqp</t>
        </is>
      </c>
      <c r="E73" s="16" t="n"/>
      <c r="F73" s="16" t="n"/>
      <c r="G73" s="16" t="inlineStr">
        <is>
          <t>–</t>
        </is>
      </c>
    </row>
    <row r="74">
      <c r="A74" s="16" t="inlineStr">
        <is>
          <t>5.1e · conserva su fuente y su x_b</t>
        </is>
      </c>
      <c r="B74" s="16" t="inlineStr">
        <is>
          <t>Temperatura de la fuente, T_fuente [K]</t>
        </is>
      </c>
      <c r="C74" s="16" t="inlineStr">
        <is>
          <t>Fija</t>
        </is>
      </c>
      <c r="D74" s="16" t="inlineStr">
        <is>
          <t>623.15</t>
        </is>
      </c>
      <c r="E74" s="16" t="n"/>
      <c r="F74" s="16" t="inlineStr">
        <is>
          <t>sí</t>
        </is>
      </c>
      <c r="G74" s="16" t="inlineStr">
        <is>
          <t>K</t>
        </is>
      </c>
    </row>
    <row r="75">
      <c r="A75" s="16" t="inlineStr">
        <is>
          <t>5.1e · conserva su fuente y su x_b</t>
        </is>
      </c>
      <c r="B75" s="16" t="inlineStr">
        <is>
          <t>Temperatura del sumidero, T_sumidero [K]</t>
        </is>
      </c>
      <c r="C75" s="16" t="inlineStr">
        <is>
          <t>Barrida</t>
        </is>
      </c>
      <c r="D75" s="16" t="inlineStr">
        <is>
          <t>300.0 – 303.6</t>
        </is>
      </c>
      <c r="E75" s="16" t="n">
        <v>3</v>
      </c>
      <c r="F75" s="16" t="n"/>
      <c r="G75" s="16" t="inlineStr">
        <is>
          <t>K</t>
        </is>
      </c>
    </row>
    <row r="76">
      <c r="A76" s="16" t="inlineStr">
        <is>
          <t>5.1e · conserva su fuente y su x_b</t>
        </is>
      </c>
      <c r="B76" s="16" t="inlineStr">
        <is>
          <t>Presión de alta, P_alta [kPa]</t>
        </is>
      </c>
      <c r="C76" s="16" t="inlineStr">
        <is>
          <t>Barrida</t>
        </is>
      </c>
      <c r="D76" s="16" t="inlineStr">
        <is>
          <t>4508 – 5000</t>
        </is>
      </c>
      <c r="E76" s="16" t="n">
        <v>3</v>
      </c>
      <c r="F76" s="16" t="n"/>
      <c r="G76" s="16" t="inlineStr">
        <is>
          <t>kPa</t>
        </is>
      </c>
    </row>
    <row r="77">
      <c r="A77" s="16" t="inlineStr">
        <is>
          <t>5.1e · conserva su fuente y su x_b</t>
        </is>
      </c>
      <c r="B77" s="16" t="inlineStr">
        <is>
          <t>Presión de baja, P_baja [kPa]</t>
        </is>
      </c>
      <c r="C77" s="16" t="inlineStr">
        <is>
          <t>Barrida</t>
        </is>
      </c>
      <c r="D77" s="16" t="inlineStr">
        <is>
          <t>802.3 – 1462</t>
        </is>
      </c>
      <c r="E77" s="16" t="n">
        <v>4</v>
      </c>
      <c r="F77" s="16" t="n"/>
      <c r="G77" s="16" t="inlineStr">
        <is>
          <t>kPa</t>
        </is>
      </c>
    </row>
    <row r="78">
      <c r="A78" s="16" t="inlineStr">
        <is>
          <t>5.1e · conserva su fuente y su x_b</t>
        </is>
      </c>
      <c r="B78" s="16" t="inlineStr">
        <is>
          <t>Fracción de amoníaco de la mezcla base, x_b [–]</t>
        </is>
      </c>
      <c r="C78" s="16" t="inlineStr">
        <is>
          <t>Fija</t>
        </is>
      </c>
      <c r="D78" s="16" t="inlineStr">
        <is>
          <t>0.5</t>
        </is>
      </c>
      <c r="E78" s="16" t="n"/>
      <c r="F78" s="16" t="inlineStr">
        <is>
          <t>sí</t>
        </is>
      </c>
      <c r="G78" s="16" t="inlineStr">
        <is>
          <t>–</t>
        </is>
      </c>
    </row>
    <row r="79">
      <c r="A79" s="16" t="inlineStr">
        <is>
          <t>5.1e · conserva su fuente y su x_b</t>
        </is>
      </c>
      <c r="B79" s="16" t="inlineStr">
        <is>
          <t>Flujo másico base, m_b [kg/s]</t>
        </is>
      </c>
      <c r="C79" s="16" t="inlineStr">
        <is>
          <t>Fija</t>
        </is>
      </c>
      <c r="D79" s="16" t="inlineStr">
        <is>
          <t>1.0</t>
        </is>
      </c>
      <c r="E79" s="16" t="n"/>
      <c r="F79" s="16" t="inlineStr">
        <is>
          <t>sí</t>
        </is>
      </c>
      <c r="G79" s="16" t="inlineStr">
        <is>
          <t>kg/s</t>
        </is>
      </c>
    </row>
    <row r="80">
      <c r="A80" s="16" t="inlineStr">
        <is>
          <t>5.1e · conserva su fuente y su x_b</t>
        </is>
      </c>
      <c r="B80" s="16" t="inlineStr">
        <is>
          <t>Eficiencia isentrópica de la turbina, η_t [–]</t>
        </is>
      </c>
      <c r="C80" s="16" t="inlineStr">
        <is>
          <t>Barrida</t>
        </is>
      </c>
      <c r="D80" s="16" t="inlineStr">
        <is>
          <t>0.867 – 0.950</t>
        </is>
      </c>
      <c r="E80" s="16" t="n">
        <v>3</v>
      </c>
      <c r="F80" s="16" t="n"/>
      <c r="G80" s="16" t="inlineStr">
        <is>
          <t>–</t>
        </is>
      </c>
    </row>
    <row r="81">
      <c r="A81" s="16" t="inlineStr">
        <is>
          <t>5.1e · conserva su fuente y su x_b</t>
        </is>
      </c>
      <c r="B81" s="16" t="inlineStr">
        <is>
          <t>Eficiencia isentrópica de la bomba, η_p [–]</t>
        </is>
      </c>
      <c r="C81" s="16" t="inlineStr">
        <is>
          <t>Barrida</t>
        </is>
      </c>
      <c r="D81" s="16" t="inlineStr">
        <is>
          <t>0.521 – 0.631</t>
        </is>
      </c>
      <c r="E81" s="16" t="n">
        <v>3</v>
      </c>
      <c r="F81" s="16" t="n"/>
      <c r="G81" s="16" t="inlineStr">
        <is>
          <t>–</t>
        </is>
      </c>
    </row>
    <row r="82">
      <c r="A82" s="16" t="inlineStr">
        <is>
          <t>5.1e · conserva su fuente y su x_b</t>
        </is>
      </c>
      <c r="B82" s="16" t="inlineStr">
        <is>
          <t>Efectividad del generador de vapor, ε_HRVG [–]</t>
        </is>
      </c>
      <c r="C82" s="16" t="inlineStr">
        <is>
          <t>Barrida</t>
        </is>
      </c>
      <c r="D82" s="16" t="inlineStr">
        <is>
          <t>0.400 – 0.517</t>
        </is>
      </c>
      <c r="E82" s="16" t="n">
        <v>4</v>
      </c>
      <c r="F82" s="16" t="n"/>
      <c r="G82" s="16" t="inlineStr">
        <is>
          <t>–</t>
        </is>
      </c>
    </row>
    <row r="83">
      <c r="A83" s="16" t="inlineStr">
        <is>
          <t>5.1e · conserva su fuente y su x_b</t>
        </is>
      </c>
      <c r="B83" s="16" t="inlineStr">
        <is>
          <t>Efectividad del regenerador, ε_reg [–]</t>
        </is>
      </c>
      <c r="C83" s="16" t="inlineStr">
        <is>
          <t>Barrida</t>
        </is>
      </c>
      <c r="D83" s="16" t="inlineStr">
        <is>
          <t>0.400 – 0.685</t>
        </is>
      </c>
      <c r="E83" s="16" t="n">
        <v>7</v>
      </c>
      <c r="F83" s="16" t="n"/>
      <c r="G83" s="16" t="inlineStr">
        <is>
          <t>–</t>
        </is>
      </c>
    </row>
    <row r="84">
      <c r="A84" s="16" t="inlineStr">
        <is>
          <t>5.1e · conserva su fuente y su x_b</t>
        </is>
      </c>
      <c r="B84" s="16" t="inlineStr">
        <is>
          <t>Efectividad del condensador, ε_cond [–]</t>
        </is>
      </c>
      <c r="C84" s="16" t="inlineStr">
        <is>
          <t>Barrida</t>
        </is>
      </c>
      <c r="D84" s="16" t="inlineStr">
        <is>
          <t>0.823 – 0.933</t>
        </is>
      </c>
      <c r="E84" s="16" t="n">
        <v>3</v>
      </c>
      <c r="F84" s="16" t="n"/>
      <c r="G84" s="16" t="inlineStr">
        <is>
          <t>–</t>
        </is>
      </c>
    </row>
    <row r="85">
      <c r="A85" s="16" t="inlineStr">
        <is>
          <t>5.1e · conserva su fuente y su x_b</t>
        </is>
      </c>
      <c r="B85" s="16" t="inlineStr">
        <is>
          <t>Piso de O2 (T de diseño de la bomba) [K]</t>
        </is>
      </c>
      <c r="C85" s="16" t="inlineStr">
        <is>
          <t>Barrida</t>
        </is>
      </c>
      <c r="D85" s="16" t="inlineStr">
        <is>
          <t>300.0 – 303.6</t>
        </is>
      </c>
      <c r="E85" s="16" t="n">
        <v>3</v>
      </c>
      <c r="F85" s="16" t="n"/>
      <c r="G85" s="16" t="inlineStr">
        <is>
          <t>K</t>
        </is>
      </c>
    </row>
    <row r="86">
      <c r="A86" s="16" t="inlineStr">
        <is>
          <t>5.1e · conserva su fuente y su x_b</t>
        </is>
      </c>
      <c r="B86" s="16" t="inlineStr">
        <is>
          <t>motor de propiedades</t>
        </is>
      </c>
      <c r="C86" s="16" t="inlineStr">
        <is>
          <t>Fija</t>
        </is>
      </c>
      <c r="D86" s="16" t="inlineStr">
        <is>
          <t>teqp</t>
        </is>
      </c>
      <c r="E86" s="16" t="n"/>
      <c r="F86" s="16" t="n"/>
      <c r="G86" s="16" t="inlineStr">
        <is>
          <t>–</t>
        </is>
      </c>
    </row>
    <row r="88">
      <c r="A88" s="23" t="inlineStr">
        <is>
          <t>Notas: Filtro: cada parte y cada variable. n = 65 filas en la tabla. † = fuera del rango confiable (IAPWS G4-01); ‡ = falso convergido. Fuente: analisis_final/00_inventario/condiciones_por_subcaso.csv.</t>
        </is>
      </c>
    </row>
  </sheetData>
  <autoFilter ref="A21:G86"/>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42"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5.1-2 · Corridas por parte y por clase</t>
        </is>
      </c>
    </row>
    <row r="2">
      <c r="A2" s="20" t="inlineStr">
        <is>
          <t>Estudio 5.1 · Búsqueda de la η máxima · Partes: 5.1a, 5.1b, 5.1c, 5.1d, 5.1e</t>
        </is>
      </c>
    </row>
    <row r="3">
      <c r="A3" s="20" t="inlineStr">
        <is>
          <t>Punto base: cada arranque (A1–A5) parte de un punto distinto y conserva datos distintos del profesor</t>
        </is>
      </c>
    </row>
    <row r="4">
      <c r="A4" s="41" t="inlineStr">
        <is>
          <t>Parte 5.1a (libre, desde el mejor de 3.2):</t>
        </is>
      </c>
    </row>
    <row r="5">
      <c r="A5" s="21" t="inlineStr">
        <is>
          <t>Datos fijos: m_b = 1 kg/s; motor de propiedades = teqp.</t>
        </is>
      </c>
    </row>
    <row r="6">
      <c r="A6" s="21" t="inlineStr">
        <is>
          <t>Datos barridos: T_fuente [424.1–448.1] K (3 valores); T_sumidero [278.15–281.64] K (3 valores); P_alta [3181.8–4681.8] kPa (6 valores); P_baja [588.34–1028.3] kPa (3 valores); x_b [0.59975–0.70475] (4 valores); η_t [0.86348–0.95] (4 valores); η_p [0.69108–0.80108] (3 valores); ε_HRVG [0.62273–0.73273] (3 valores); ε_reg [0.88653–0.95] (3 valores); ε_cond [0.78683–0.89683] (3 valores); piso de O2 [278.15–281.64] K (3 valores).</t>
        </is>
      </c>
    </row>
    <row r="7">
      <c r="A7" s="41" t="inlineStr">
        <is>
          <t>Parte 5.1b (libre, desde el mejor de 2.4):</t>
        </is>
      </c>
    </row>
    <row r="8">
      <c r="A8" s="21" t="inlineStr">
        <is>
          <t>Datos fijos: m_b = 1 kg/s; motor de propiedades = teqp.</t>
        </is>
      </c>
    </row>
    <row r="9">
      <c r="A9" s="21" t="inlineStr">
        <is>
          <t>Datos barridos: T_fuente [408–432] K (3 valores); T_sumidero [278.15–280.69] K (2 valores); P_alta [2700–3300] kPa (3 valores); P_baja [300–613.75] kPa (3 valores); x_b [0.5–0.535] (2 valores); η_t [0.795–0.95] (5 valores); η_p [0.695–0.805] (3 valores); ε_HRVG [0.795–0.905] (3 valores); ε_reg [0.695–0.95] (6 valores); ε_cond [0.745–0.855] (3 valores); piso de O2 [278.15–280.69] K (2 valores).</t>
        </is>
      </c>
    </row>
    <row r="10">
      <c r="A10" s="41" t="inlineStr">
        <is>
          <t>Parte 5.1c (conserva sus temperaturas):</t>
        </is>
      </c>
    </row>
    <row r="11">
      <c r="A11" s="21" t="inlineStr">
        <is>
          <t>Datos fijos: T_fuente = 623.15 K; T_sumidero = 300.03 K; m_b = 1 kg/s; piso de O2 = 300.03 K; motor de propiedades = teqp.</t>
        </is>
      </c>
    </row>
    <row r="12">
      <c r="A12" s="21" t="inlineStr">
        <is>
          <t>Datos barridos: P_alta [3606–5000] kPa (7 valores); P_baja [1139.6–1579.6] kPa (3 valores); x_b [0.79448–0.85] (3 valores); η_t [0.78106–0.95] (5 valores); η_p [0.78253–0.89253] (3 valores); ε_HRVG [0.44137–0.55137] (3 valores); ε_reg [0.86168–0.95] (3 valores); ε_cond [0.89079–0.95] (3 valores).</t>
        </is>
      </c>
    </row>
    <row r="13">
      <c r="A13" s="41" t="inlineStr">
        <is>
          <t>Parte 5.1d (conserva sus presiones y su clima):</t>
        </is>
      </c>
    </row>
    <row r="14">
      <c r="A14" s="21" t="inlineStr">
        <is>
          <t>Datos fijos: T_sumidero = 300.03 K; P_alta = 3000 kPa; P_baja = 400 kPa; m_b = 1 kg/s; piso de O2 = 300.03 K; motor de propiedades = teqp.</t>
        </is>
      </c>
    </row>
    <row r="15">
      <c r="A15" s="21" t="inlineStr">
        <is>
          <t>Datos barridos: T_fuente [391–427] K (4 valores); x_b [0.5–0.535] (2 valores); η_t [0.795–0.95] (5 valores); η_p [0.695–0.86] (4 valores); ε_HRVG [0.795–0.95] (4 valores); ε_reg [0.695–0.95] (7 valores); ε_cond [0.895–0.95] (2 valores).</t>
        </is>
      </c>
    </row>
    <row r="16">
      <c r="A16" s="41" t="inlineStr">
        <is>
          <t>Parte 5.1e (conserva su fuente y su x_b):</t>
        </is>
      </c>
    </row>
    <row r="17">
      <c r="A17" s="21" t="inlineStr">
        <is>
          <t>Datos fijos: T_fuente = 623.15 K; x_b = 0.5; m_b = 1 kg/s; motor de propiedades = teqp.</t>
        </is>
      </c>
    </row>
    <row r="18">
      <c r="A18" s="21" t="inlineStr">
        <is>
          <t>Datos barridos: T_sumidero [300.04–303.55] K (3 valores); P_alta [4508.3–5000] kPa (3 valores); P_baja [802.27–1462.3] kPa (4 valores); η_t [0.86749–0.95] (3 valores); η_p [0.52107–0.63107] (3 valores); ε_HRVG [0.4–0.5173] (4 valores); ε_reg [0.4–0.68511] (7 valores); ε_cond [0.82342–0.93342] (3 valores); piso de O2 [300.04–303.55] K (3 valores).</t>
        </is>
      </c>
    </row>
    <row r="19">
      <c r="A19" s="20" t="inlineStr">
        <is>
          <t>Fuente: analisis_final/00_inventario/conteo_por_subcaso.csv</t>
        </is>
      </c>
    </row>
    <row r="21">
      <c r="A21" s="22" t="inlineStr">
        <is>
          <t>Parte</t>
        </is>
      </c>
      <c r="B21" s="22" t="inlineStr">
        <is>
          <t>Corridas</t>
        </is>
      </c>
      <c r="C21" s="22" t="inlineStr">
        <is>
          <t>Omitidos</t>
        </is>
      </c>
      <c r="D21" s="22" t="inlineStr">
        <is>
          <t>Genuinos</t>
        </is>
      </c>
      <c r="E21" s="22" t="inlineStr">
        <is>
          <t>KALINA</t>
        </is>
      </c>
      <c r="F21" s="22" t="inlineStr">
        <is>
          <t>KALINA confiables</t>
        </is>
      </c>
      <c r="G21" s="22" t="inlineStr">
        <is>
          <t>Corregibles</t>
        </is>
      </c>
      <c r="H21" s="22" t="inlineStr">
        <is>
          <t>Inviables</t>
        </is>
      </c>
      <c r="I21" s="22" t="inlineStr">
        <is>
          <t>No convergidos</t>
        </is>
      </c>
      <c r="J21" s="22" t="inlineStr">
        <is>
          <t>Falsos convergidos</t>
        </is>
      </c>
      <c r="K21" s="22" t="inlineStr">
        <is>
          <t>Fuera de rango</t>
        </is>
      </c>
    </row>
    <row r="22">
      <c r="A22" s="16" t="inlineStr">
        <is>
          <t>5.1a · libre, desde el mejor de 3.2</t>
        </is>
      </c>
      <c r="B22" s="16" t="n">
        <v>117</v>
      </c>
      <c r="C22" s="16" t="n">
        <v>0</v>
      </c>
      <c r="D22" s="16" t="n">
        <v>117</v>
      </c>
      <c r="E22" s="16" t="n">
        <v>102</v>
      </c>
      <c r="F22" s="16" t="n">
        <v>98</v>
      </c>
      <c r="G22" s="16" t="n">
        <v>15</v>
      </c>
      <c r="H22" s="16" t="n">
        <v>0</v>
      </c>
      <c r="I22" s="16" t="n">
        <v>0</v>
      </c>
      <c r="J22" s="16" t="n">
        <v>0</v>
      </c>
      <c r="K22" s="16" t="n">
        <v>6</v>
      </c>
    </row>
    <row r="23">
      <c r="A23" s="16" t="inlineStr">
        <is>
          <t>5.1b · libre, desde el mejor de 2.4</t>
        </is>
      </c>
      <c r="B23" s="16" t="n">
        <v>105</v>
      </c>
      <c r="C23" s="16" t="n">
        <v>0</v>
      </c>
      <c r="D23" s="16" t="n">
        <v>104</v>
      </c>
      <c r="E23" s="16" t="n">
        <v>63</v>
      </c>
      <c r="F23" s="16" t="n">
        <v>63</v>
      </c>
      <c r="G23" s="16" t="n">
        <v>41</v>
      </c>
      <c r="H23" s="16" t="n">
        <v>0</v>
      </c>
      <c r="I23" s="16" t="n">
        <v>1</v>
      </c>
      <c r="J23" s="16" t="n">
        <v>0</v>
      </c>
      <c r="K23" s="16" t="n">
        <v>6</v>
      </c>
    </row>
    <row r="24">
      <c r="A24" s="16" t="inlineStr">
        <is>
          <t>5.1c · conserva sus temperaturas</t>
        </is>
      </c>
      <c r="B24" s="16" t="n">
        <v>112</v>
      </c>
      <c r="C24" s="16" t="n">
        <v>0</v>
      </c>
      <c r="D24" s="16" t="n">
        <v>105</v>
      </c>
      <c r="E24" s="16" t="n">
        <v>91</v>
      </c>
      <c r="F24" s="16" t="n">
        <v>90</v>
      </c>
      <c r="G24" s="16" t="n">
        <v>14</v>
      </c>
      <c r="H24" s="16" t="n">
        <v>0</v>
      </c>
      <c r="I24" s="16" t="n">
        <v>7</v>
      </c>
      <c r="J24" s="16" t="n">
        <v>0</v>
      </c>
      <c r="K24" s="16" t="n">
        <v>1</v>
      </c>
    </row>
    <row r="25">
      <c r="A25" s="16" t="inlineStr">
        <is>
          <t>5.1d · conserva sus presiones y su clima</t>
        </is>
      </c>
      <c r="B25" s="16" t="n">
        <v>113</v>
      </c>
      <c r="C25" s="16" t="n">
        <v>0</v>
      </c>
      <c r="D25" s="16" t="n">
        <v>113</v>
      </c>
      <c r="E25" s="16" t="n">
        <v>80</v>
      </c>
      <c r="F25" s="16" t="n">
        <v>80</v>
      </c>
      <c r="G25" s="16" t="n">
        <v>33</v>
      </c>
      <c r="H25" s="16" t="n">
        <v>0</v>
      </c>
      <c r="I25" s="16" t="n">
        <v>0</v>
      </c>
      <c r="J25" s="16" t="n">
        <v>0</v>
      </c>
      <c r="K25" s="16" t="n">
        <v>7</v>
      </c>
    </row>
    <row r="26">
      <c r="A26" s="16" t="inlineStr">
        <is>
          <t>5.1e · conserva su fuente y su x_b</t>
        </is>
      </c>
      <c r="B26" s="16" t="n">
        <v>113</v>
      </c>
      <c r="C26" s="16" t="n">
        <v>0</v>
      </c>
      <c r="D26" s="16" t="n">
        <v>110</v>
      </c>
      <c r="E26" s="16" t="n">
        <v>83</v>
      </c>
      <c r="F26" s="16" t="n">
        <v>0</v>
      </c>
      <c r="G26" s="16" t="n">
        <v>27</v>
      </c>
      <c r="H26" s="16" t="n">
        <v>0</v>
      </c>
      <c r="I26" s="16" t="n">
        <v>2</v>
      </c>
      <c r="J26" s="16" t="n">
        <v>1</v>
      </c>
      <c r="K26" s="16" t="n">
        <v>111</v>
      </c>
    </row>
    <row r="28">
      <c r="A28" s="23" t="inlineStr">
        <is>
          <t>Notas: Filtro: conteo por parte. n = 5 filas en la tabla. † = fuera del rango confiable (IAPWS G4-01); ‡ = falso convergido. Fuente: analisis_final/00_inventario/conteo_por_subcaso.csv.</t>
        </is>
      </c>
    </row>
  </sheetData>
  <autoFilter ref="A21:K26"/>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V28"/>
  <sheetViews>
    <sheetView workbookViewId="0">
      <selection activeCell="A1" sqref="A1"/>
    </sheetView>
  </sheetViews>
  <sheetFormatPr baseColWidth="8" defaultRowHeight="15"/>
  <cols>
    <col width="10" customWidth="1" min="1" max="1"/>
    <col width="17" customWidth="1" min="2" max="2"/>
    <col width="26" customWidth="1" min="3" max="3"/>
    <col width="37" customWidth="1" min="4" max="4"/>
    <col width="41" customWidth="1" min="5" max="5"/>
    <col width="40" customWidth="1" min="6" max="6"/>
    <col width="42" customWidth="1" min="7" max="7"/>
    <col width="31" customWidth="1" min="8" max="8"/>
    <col width="31" customWidth="1" min="9" max="9"/>
    <col width="48" customWidth="1" min="10" max="10"/>
    <col width="47" customWidth="1" min="11" max="11"/>
    <col width="45" customWidth="1" min="12" max="12"/>
    <col width="48" customWidth="1" min="13" max="13"/>
    <col width="40" customWidth="1" min="14" max="14"/>
    <col width="41" customWidth="1" min="15" max="15"/>
    <col width="15" customWidth="1" min="16" max="16"/>
    <col width="15" customWidth="1" min="17" max="17"/>
    <col width="15" customWidth="1" min="18" max="18"/>
    <col width="16" customWidth="1" min="19" max="19"/>
    <col width="14" customWidth="1" min="20" max="20"/>
    <col width="13" customWidth="1" min="21" max="21"/>
    <col width="14" customWidth="1" min="22" max="22"/>
  </cols>
  <sheetData>
    <row r="1">
      <c r="A1" s="19" t="inlineStr">
        <is>
          <t>Tabla 5.1-3 · Óptimos de η por arranque</t>
        </is>
      </c>
    </row>
    <row r="2">
      <c r="A2" s="20" t="inlineStr">
        <is>
          <t>Estudio 5.1 · Búsqueda de la η máxima · Partes: 5.1a, 5.1b, 5.1c, 5.1d, 5.1e</t>
        </is>
      </c>
    </row>
    <row r="3">
      <c r="A3" s="20" t="inlineStr">
        <is>
          <t>Punto base: cada arranque (A1–A5) parte de un punto distinto y conserva datos distintos del profesor</t>
        </is>
      </c>
    </row>
    <row r="4">
      <c r="A4" s="41" t="inlineStr">
        <is>
          <t>Parte 5.1a (libre, desde el mejor de 3.2):</t>
        </is>
      </c>
    </row>
    <row r="5">
      <c r="A5" s="21" t="inlineStr">
        <is>
          <t>Datos fijos: m_b = 1 kg/s; motor de propiedades = teqp.</t>
        </is>
      </c>
    </row>
    <row r="6">
      <c r="A6" s="21" t="inlineStr">
        <is>
          <t>Datos barridos: T_fuente [424.1–448.1] K (3 valores); T_sumidero [278.15–281.64] K (3 valores); P_alta [3181.8–4681.8] kPa (6 valores); P_baja [588.34–1028.3] kPa (3 valores); x_b [0.59975–0.70475] (4 valores); η_t [0.86348–0.95] (4 valores); η_p [0.69108–0.80108] (3 valores); ε_HRVG [0.62273–0.73273] (3 valores); ε_reg [0.88653–0.95] (3 valores); ε_cond [0.78683–0.89683] (3 valores); piso de O2 [278.15–281.64] K (3 valores).</t>
        </is>
      </c>
    </row>
    <row r="7">
      <c r="A7" s="41" t="inlineStr">
        <is>
          <t>Parte 5.1b (libre, desde el mejor de 2.4):</t>
        </is>
      </c>
    </row>
    <row r="8">
      <c r="A8" s="21" t="inlineStr">
        <is>
          <t>Datos fijos: m_b = 1 kg/s; motor de propiedades = teqp.</t>
        </is>
      </c>
    </row>
    <row r="9">
      <c r="A9" s="21" t="inlineStr">
        <is>
          <t>Datos barridos: T_fuente [408–432] K (3 valores); T_sumidero [278.15–280.69] K (2 valores); P_alta [2700–3300] kPa (3 valores); P_baja [300–613.75] kPa (3 valores); x_b [0.5–0.535] (2 valores); η_t [0.795–0.95] (5 valores); η_p [0.695–0.805] (3 valores); ε_HRVG [0.795–0.905] (3 valores); ε_reg [0.695–0.95] (6 valores); ε_cond [0.745–0.855] (3 valores); piso de O2 [278.15–280.69] K (2 valores).</t>
        </is>
      </c>
    </row>
    <row r="10">
      <c r="A10" s="41" t="inlineStr">
        <is>
          <t>Parte 5.1c (conserva sus temperaturas):</t>
        </is>
      </c>
    </row>
    <row r="11">
      <c r="A11" s="21" t="inlineStr">
        <is>
          <t>Datos fijos: T_fuente = 623.15 K; T_sumidero = 300.03 K; m_b = 1 kg/s; piso de O2 = 300.03 K; motor de propiedades = teqp.</t>
        </is>
      </c>
    </row>
    <row r="12">
      <c r="A12" s="21" t="inlineStr">
        <is>
          <t>Datos barridos: P_alta [3606–5000] kPa (7 valores); P_baja [1139.6–1579.6] kPa (3 valores); x_b [0.79448–0.85] (3 valores); η_t [0.78106–0.95] (5 valores); η_p [0.78253–0.89253] (3 valores); ε_HRVG [0.44137–0.55137] (3 valores); ε_reg [0.86168–0.95] (3 valores); ε_cond [0.89079–0.95] (3 valores).</t>
        </is>
      </c>
    </row>
    <row r="13">
      <c r="A13" s="41" t="inlineStr">
        <is>
          <t>Parte 5.1d (conserva sus presiones y su clima):</t>
        </is>
      </c>
    </row>
    <row r="14">
      <c r="A14" s="21" t="inlineStr">
        <is>
          <t>Datos fijos: T_sumidero = 300.03 K; P_alta = 3000 kPa; P_baja = 400 kPa; m_b = 1 kg/s; piso de O2 = 300.03 K; motor de propiedades = teqp.</t>
        </is>
      </c>
    </row>
    <row r="15">
      <c r="A15" s="21" t="inlineStr">
        <is>
          <t>Datos barridos: T_fuente [391–427] K (4 valores); x_b [0.5–0.535] (2 valores); η_t [0.795–0.95] (5 valores); η_p [0.695–0.86] (4 valores); ε_HRVG [0.795–0.95] (4 valores); ε_reg [0.695–0.95] (7 valores); ε_cond [0.895–0.95] (2 valores).</t>
        </is>
      </c>
    </row>
    <row r="16">
      <c r="A16" s="41" t="inlineStr">
        <is>
          <t>Parte 5.1e (conserva su fuente y su x_b):</t>
        </is>
      </c>
    </row>
    <row r="17">
      <c r="A17" s="21" t="inlineStr">
        <is>
          <t>Datos fijos: T_fuente = 623.15 K; x_b = 0.5; m_b = 1 kg/s; motor de propiedades = teqp.</t>
        </is>
      </c>
    </row>
    <row r="18">
      <c r="A18" s="21" t="inlineStr">
        <is>
          <t>Datos barridos: T_sumidero [300.04–303.55] K (3 valores); P_alta [4508.3–5000] kPa (3 valores); P_baja [802.27–1462.3] kPa (4 valores); η_t [0.86749–0.95] (3 valores); η_p [0.52107–0.63107] (3 valores); ε_HRVG [0.4–0.5173] (4 valores); ε_reg [0.4–0.68511] (7 valores); ε_cond [0.82342–0.93342] (3 valores); piso de O2 [300.04–303.55] K (3 valores).</t>
        </is>
      </c>
    </row>
    <row r="19">
      <c r="A19" s="20" t="inlineStr">
        <is>
          <t>Fuente: resultados/2026-10-07_final_M7/m7_optimos.csv</t>
        </is>
      </c>
    </row>
    <row r="21">
      <c r="A21" s="22" t="inlineStr">
        <is>
          <t>Arranque</t>
        </is>
      </c>
      <c r="B21" s="22" t="inlineStr">
        <is>
          <t>Clase del ciclo</t>
        </is>
      </c>
      <c r="C21" s="22" t="inlineStr">
        <is>
          <t>Índice de cercanía D [–]</t>
        </is>
      </c>
      <c r="D21" s="22" t="inlineStr">
        <is>
          <t>Eficiencia térmica del ciclo, η [%]</t>
        </is>
      </c>
      <c r="E21" s="22" t="inlineStr">
        <is>
          <t>Trabajo neto, W_net [kW] (m_b = 1 kg/s)</t>
        </is>
      </c>
      <c r="F21" s="22" t="inlineStr">
        <is>
          <t>Temperatura de la fuente, T_fuente [K]</t>
        </is>
      </c>
      <c r="G21" s="22" t="inlineStr">
        <is>
          <t>Temperatura del sumidero, T_sumidero [K]</t>
        </is>
      </c>
      <c r="H21" s="22" t="inlineStr">
        <is>
          <t>Presión de alta, P_alta [kPa]</t>
        </is>
      </c>
      <c r="I21" s="22" t="inlineStr">
        <is>
          <t>Presión de baja, P_baja [kPa]</t>
        </is>
      </c>
      <c r="J21" s="22" t="inlineStr">
        <is>
          <t>Fracción de amoníaco de la mezcla base, x_b [–]</t>
        </is>
      </c>
      <c r="K21" s="22" t="inlineStr">
        <is>
          <t>Eficiencia isentrópica de la turbina, η_t [–]</t>
        </is>
      </c>
      <c r="L21" s="22" t="inlineStr">
        <is>
          <t>Eficiencia isentrópica de la bomba, η_p [–]</t>
        </is>
      </c>
      <c r="M21" s="22" t="inlineStr">
        <is>
          <t>Efectividad del generador de vapor, ε_HRVG [–]</t>
        </is>
      </c>
      <c r="N21" s="22" t="inlineStr">
        <is>
          <t>Efectividad del regenerador, ε_reg [–]</t>
        </is>
      </c>
      <c r="O21" s="22" t="inlineStr">
        <is>
          <t>Efectividad del condensador, ε_cond [–]</t>
        </is>
      </c>
      <c r="P21" s="22" t="inlineStr">
        <is>
          <t>Margen O1 [–]</t>
        </is>
      </c>
      <c r="Q21" s="22" t="inlineStr">
        <is>
          <t>Margen O2 [K]</t>
        </is>
      </c>
      <c r="R21" s="22" t="inlineStr">
        <is>
          <t>Margen O5 [–]</t>
        </is>
      </c>
      <c r="S21" s="22" t="inlineStr">
        <is>
          <t>Fuera de rango</t>
        </is>
      </c>
      <c r="T21" s="22" t="inlineStr">
        <is>
          <t>B verificado</t>
        </is>
      </c>
      <c r="U21" s="22" t="inlineStr">
        <is>
          <t>Iteraciones</t>
        </is>
      </c>
      <c r="V21" s="22" t="inlineStr">
        <is>
          <t>Evaluaciones</t>
        </is>
      </c>
    </row>
    <row r="22">
      <c r="A22" s="16" t="inlineStr">
        <is>
          <t>A1</t>
        </is>
      </c>
      <c r="B22" s="42" t="inlineStr">
        <is>
          <t>KALINA</t>
        </is>
      </c>
      <c r="C22" s="37" t="n">
        <v>0</v>
      </c>
      <c r="D22" s="29" t="n">
        <v>14.978</v>
      </c>
      <c r="E22" s="16" t="n">
        <v>111.12</v>
      </c>
      <c r="F22" s="35" t="n">
        <v>436.1</v>
      </c>
      <c r="G22" s="35" t="n">
        <v>279.1</v>
      </c>
      <c r="H22" s="36" t="n">
        <v>4381.8</v>
      </c>
      <c r="I22" s="35" t="n">
        <v>808.34</v>
      </c>
      <c r="J22" s="37" t="n">
        <v>0.70475</v>
      </c>
      <c r="K22" s="37" t="n">
        <v>0.95</v>
      </c>
      <c r="L22" s="37" t="n">
        <v>0.74608</v>
      </c>
      <c r="M22" s="37" t="n">
        <v>0.6777300000000001</v>
      </c>
      <c r="N22" s="37" t="n">
        <v>0.94153</v>
      </c>
      <c r="O22" s="37" t="n">
        <v>0.84183</v>
      </c>
      <c r="P22" s="37" t="n">
        <v>0.01792</v>
      </c>
      <c r="Q22" s="35" t="n">
        <v>0.42314</v>
      </c>
      <c r="R22" s="37" t="n">
        <v>0.47751</v>
      </c>
      <c r="S22" s="16" t="inlineStr">
        <is>
          <t>no</t>
        </is>
      </c>
      <c r="T22" s="16" t="inlineStr">
        <is>
          <t>sí</t>
        </is>
      </c>
      <c r="U22" s="16" t="n">
        <v>6</v>
      </c>
      <c r="V22" s="16" t="n">
        <v>117</v>
      </c>
    </row>
    <row r="23">
      <c r="A23" s="16" t="inlineStr">
        <is>
          <t>A2</t>
        </is>
      </c>
      <c r="B23" s="42" t="inlineStr">
        <is>
          <t>KALINA</t>
        </is>
      </c>
      <c r="C23" s="37" t="n">
        <v>0</v>
      </c>
      <c r="D23" s="29" t="n">
        <v>15.482</v>
      </c>
      <c r="E23" s="16" t="n">
        <v>74.224</v>
      </c>
      <c r="F23" s="35" t="n">
        <v>420</v>
      </c>
      <c r="G23" s="35" t="n">
        <v>278.15</v>
      </c>
      <c r="H23" s="36" t="n">
        <v>3000</v>
      </c>
      <c r="I23" s="35" t="n">
        <v>393.75</v>
      </c>
      <c r="J23" s="37" t="n">
        <v>0.5</v>
      </c>
      <c r="K23" s="37" t="n">
        <v>0.95</v>
      </c>
      <c r="L23" s="37" t="n">
        <v>0.75</v>
      </c>
      <c r="M23" s="37" t="n">
        <v>0.85</v>
      </c>
      <c r="N23" s="37" t="n">
        <v>0.95</v>
      </c>
      <c r="O23" s="37" t="n">
        <v>0.8</v>
      </c>
      <c r="P23" s="37" t="n">
        <v>0.004691</v>
      </c>
      <c r="Q23" s="35" t="n">
        <v>3.8111</v>
      </c>
      <c r="R23" s="37" t="n">
        <v>0.25337</v>
      </c>
      <c r="S23" s="16" t="inlineStr">
        <is>
          <t>no</t>
        </is>
      </c>
      <c r="T23" s="16" t="inlineStr">
        <is>
          <t>sí</t>
        </is>
      </c>
      <c r="U23" s="16" t="n">
        <v>6</v>
      </c>
      <c r="V23" s="16" t="n">
        <v>105</v>
      </c>
    </row>
    <row r="24">
      <c r="A24" s="16" t="inlineStr">
        <is>
          <t>A3</t>
        </is>
      </c>
      <c r="B24" s="42" t="inlineStr">
        <is>
          <t>KALINA</t>
        </is>
      </c>
      <c r="C24" s="37" t="n">
        <v>0</v>
      </c>
      <c r="D24" s="29" t="n">
        <v>12.739</v>
      </c>
      <c r="E24" s="16" t="n">
        <v>129.39</v>
      </c>
      <c r="F24" s="35" t="n">
        <v>623.15</v>
      </c>
      <c r="G24" s="35" t="n">
        <v>300.03</v>
      </c>
      <c r="H24" s="36" t="n">
        <v>5000</v>
      </c>
      <c r="I24" s="36" t="n">
        <v>1359.6</v>
      </c>
      <c r="J24" s="37" t="n">
        <v>0.85</v>
      </c>
      <c r="K24" s="37" t="n">
        <v>0.94606</v>
      </c>
      <c r="L24" s="37" t="n">
        <v>0.83753</v>
      </c>
      <c r="M24" s="37" t="n">
        <v>0.49637</v>
      </c>
      <c r="N24" s="37" t="n">
        <v>0.9166800000000001</v>
      </c>
      <c r="O24" s="37" t="n">
        <v>0.94579</v>
      </c>
      <c r="P24" s="37" t="n">
        <v>0.030675</v>
      </c>
      <c r="Q24" s="35" t="n">
        <v>3.8054</v>
      </c>
      <c r="R24" s="37" t="n">
        <v>0.2643</v>
      </c>
      <c r="S24" s="16" t="inlineStr">
        <is>
          <t>no</t>
        </is>
      </c>
      <c r="T24" s="16" t="inlineStr">
        <is>
          <t>sí</t>
        </is>
      </c>
      <c r="U24" s="16" t="n">
        <v>7</v>
      </c>
      <c r="V24" s="16" t="n">
        <v>112</v>
      </c>
    </row>
    <row r="25">
      <c r="A25" s="16" t="inlineStr">
        <is>
          <t>A4</t>
        </is>
      </c>
      <c r="B25" s="42" t="inlineStr">
        <is>
          <t>KALINA</t>
        </is>
      </c>
      <c r="C25" s="37" t="n">
        <v>0</v>
      </c>
      <c r="D25" s="29" t="n">
        <v>15.6</v>
      </c>
      <c r="E25" s="16" t="n">
        <v>71.377</v>
      </c>
      <c r="F25" s="35" t="n">
        <v>415</v>
      </c>
      <c r="G25" s="35" t="n">
        <v>300.03</v>
      </c>
      <c r="H25" s="36" t="n">
        <v>3000</v>
      </c>
      <c r="I25" s="35" t="n">
        <v>400</v>
      </c>
      <c r="J25" s="37" t="n">
        <v>0.5</v>
      </c>
      <c r="K25" s="37" t="n">
        <v>0.95</v>
      </c>
      <c r="L25" s="37" t="n">
        <v>0.805</v>
      </c>
      <c r="M25" s="37" t="n">
        <v>0.95</v>
      </c>
      <c r="N25" s="37" t="n">
        <v>0.95</v>
      </c>
      <c r="O25" s="37" t="n">
        <v>0.95</v>
      </c>
      <c r="P25" s="37" t="n">
        <v>0.0058213</v>
      </c>
      <c r="Q25" s="35" t="n">
        <v>0.12479</v>
      </c>
      <c r="R25" s="37" t="n">
        <v>0.24566</v>
      </c>
      <c r="S25" s="16" t="inlineStr">
        <is>
          <t>no</t>
        </is>
      </c>
      <c r="T25" s="16" t="inlineStr">
        <is>
          <t>sí</t>
        </is>
      </c>
      <c r="U25" s="16" t="n">
        <v>10</v>
      </c>
      <c r="V25" s="16" t="n">
        <v>113</v>
      </c>
    </row>
    <row r="26">
      <c r="A26" s="16" t="inlineStr">
        <is>
          <t>A5</t>
        </is>
      </c>
      <c r="B26" s="42" t="inlineStr">
        <is>
          <t>KALINA</t>
        </is>
      </c>
      <c r="C26" s="37" t="n">
        <v>0</v>
      </c>
      <c r="D26" s="29" t="n">
        <v>11.094</v>
      </c>
      <c r="E26" s="16" t="n">
        <v>120.01</v>
      </c>
      <c r="F26" s="35" t="n">
        <v>623.15</v>
      </c>
      <c r="G26" s="35" t="n">
        <v>302.58</v>
      </c>
      <c r="H26" s="36" t="n">
        <v>4808.3</v>
      </c>
      <c r="I26" s="36" t="n">
        <v>1022.3</v>
      </c>
      <c r="J26" s="37" t="n">
        <v>0.5</v>
      </c>
      <c r="K26" s="37" t="n">
        <v>0.92249</v>
      </c>
      <c r="L26" s="37" t="n">
        <v>0.57607</v>
      </c>
      <c r="M26" s="37" t="n">
        <v>0.4623</v>
      </c>
      <c r="N26" s="37" t="n">
        <v>0.68511</v>
      </c>
      <c r="O26" s="37" t="n">
        <v>0.87842</v>
      </c>
      <c r="P26" s="37" t="n">
        <v>0.00057973</v>
      </c>
      <c r="Q26" s="35" t="n">
        <v>5.6586</v>
      </c>
      <c r="R26" s="37" t="n">
        <v>0.48769</v>
      </c>
      <c r="S26" s="16" t="inlineStr">
        <is>
          <t>sí</t>
        </is>
      </c>
      <c r="T26" s="16" t="inlineStr">
        <is>
          <t>sí</t>
        </is>
      </c>
      <c r="U26" s="16" t="n">
        <v>7</v>
      </c>
      <c r="V26" s="16" t="n">
        <v>113</v>
      </c>
    </row>
    <row r="28">
      <c r="A28" s="23" t="inlineStr">
        <is>
          <t>Notas: Filtro: mejores KALINA de cada arranque. n = 5 filas en la tabla. † = fuera del rango confiable (IAPWS G4-01); ‡ = falso convergido. Fuente: resultados/2026-10-07_final_M7/m7_optimos.csv.</t>
        </is>
      </c>
    </row>
  </sheetData>
  <autoFilter ref="A21:V26"/>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V594"/>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5.1 · Búsqueda de la η máxima</t>
        </is>
      </c>
    </row>
    <row r="2">
      <c r="A2" t="inlineStr">
        <is>
          <t>Cada fila es un punto calculado (n = 560);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6">
      <c r="A6" s="33" t="inlineStr">
        <is>
          <t>Parte 5.1a · libre, desde el mejor de 3.2 · 117 puntos</t>
        </is>
      </c>
      <c r="B6" s="31" t="n"/>
      <c r="C6" s="31" t="n"/>
      <c r="D6" s="31" t="n"/>
      <c r="E6" s="31" t="n"/>
      <c r="F6" s="31" t="n"/>
      <c r="G6" s="31" t="n"/>
      <c r="H6" s="31" t="n"/>
      <c r="I6" s="31" t="n"/>
      <c r="J6" s="31" t="n"/>
      <c r="K6" s="31" t="n"/>
      <c r="V6" s="24" t="inlineStr">
        <is>
          <t>Figura 5.1-1 · La búsqueda llega a η = 15.6 % dentro de la región KALINA (equipos a 0.95)</t>
        </is>
      </c>
    </row>
    <row r="7"/>
    <row r="8">
      <c r="A8" s="34" t="inlineStr">
        <is>
          <t>Barrido de la parte 5.1a · 117 puntos</t>
        </is>
      </c>
    </row>
    <row r="9">
      <c r="A9" s="25" t="inlineStr">
        <is>
          <t>Todas las variables se mueven.</t>
        </is>
      </c>
    </row>
    <row r="10">
      <c r="A10" s="22" t="inlineStr">
        <is>
          <t>id_punto</t>
        </is>
      </c>
      <c r="B10" s="22" t="inlineStr">
        <is>
          <t>T_fuente [K]</t>
        </is>
      </c>
      <c r="C10" s="22" t="inlineStr">
        <is>
          <t>T_sumidero [K]</t>
        </is>
      </c>
      <c r="D10" s="22" t="inlineStr">
        <is>
          <t>P_alta [kPa]</t>
        </is>
      </c>
      <c r="E10" s="22" t="inlineStr">
        <is>
          <t>P_baja [kPa]</t>
        </is>
      </c>
      <c r="F10" s="22" t="inlineStr">
        <is>
          <t>x_b [–]</t>
        </is>
      </c>
      <c r="G10" s="22" t="inlineStr">
        <is>
          <t>η_t [–]</t>
        </is>
      </c>
      <c r="H10" s="22" t="inlineStr">
        <is>
          <t>η_p [–]</t>
        </is>
      </c>
      <c r="I10" s="22" t="inlineStr">
        <is>
          <t>ε_HRVG [–]</t>
        </is>
      </c>
      <c r="J10" s="22" t="inlineStr">
        <is>
          <t>ε_reg [–]</t>
        </is>
      </c>
      <c r="K10" s="22" t="inlineStr">
        <is>
          <t>ε_cond [–]</t>
        </is>
      </c>
      <c r="L10" s="22" t="inlineStr">
        <is>
          <t>Clase</t>
        </is>
      </c>
      <c r="M10" s="22" t="inlineStr">
        <is>
          <t>η [%]</t>
        </is>
      </c>
      <c r="N10" s="22" t="inlineStr">
        <is>
          <t>W_net [kW] (m_b = 1 kg/s)</t>
        </is>
      </c>
      <c r="O10" s="22" t="inlineStr">
        <is>
          <t>ΔP [kPa]</t>
        </is>
      </c>
      <c r="P10" s="22" t="inlineStr">
        <is>
          <t>r_P [–]</t>
        </is>
      </c>
      <c r="Q10" s="22" t="inlineStr">
        <is>
          <t>Fuera de rango</t>
        </is>
      </c>
      <c r="R10" s="22" t="inlineStr">
        <is>
          <t>Criterios que falla</t>
        </is>
      </c>
    </row>
    <row r="11">
      <c r="A11" s="16" t="inlineStr">
        <is>
          <t>KF-M07-A1-0000</t>
        </is>
      </c>
      <c r="B11" s="35" t="n">
        <v>436.0969531091276</v>
      </c>
      <c r="C11" s="35" t="n">
        <v>279.0977013205448</v>
      </c>
      <c r="D11" s="36" t="n">
        <v>3481.823024523768</v>
      </c>
      <c r="E11" s="35" t="n">
        <v>808.3402577390962</v>
      </c>
      <c r="F11" s="37" t="n">
        <v>0.6347489709498951</v>
      </c>
      <c r="G11" s="37" t="n">
        <v>0.9184829805028722</v>
      </c>
      <c r="H11" s="37" t="n">
        <v>0.7460814839003643</v>
      </c>
      <c r="I11" s="37" t="n">
        <v>0.6777311085206517</v>
      </c>
      <c r="J11" s="37" t="n">
        <v>0.9415298192493302</v>
      </c>
      <c r="K11" s="37" t="n">
        <v>0.8418262585071621</v>
      </c>
      <c r="L11" s="42" t="inlineStr">
        <is>
          <t>KALINA</t>
        </is>
      </c>
      <c r="M11" s="29" t="n">
        <v>12.30159889633283</v>
      </c>
      <c r="N11" s="35" t="n">
        <v>91.41821112392584</v>
      </c>
      <c r="O11" s="36" t="n">
        <v>2673.482766784672</v>
      </c>
      <c r="P11" s="29" t="n">
        <v>4.307373029103269</v>
      </c>
      <c r="Q11" s="16" t="inlineStr">
        <is>
          <t>no</t>
        </is>
      </c>
      <c r="R11" s="16" t="n"/>
    </row>
    <row r="12">
      <c r="A12" s="16" t="inlineStr">
        <is>
          <t>KF-M07-A1-0001</t>
        </is>
      </c>
      <c r="B12" s="35" t="n">
        <v>448.0969531091276</v>
      </c>
      <c r="C12" s="35" t="n">
        <v>279.0977013205448</v>
      </c>
      <c r="D12" s="36" t="n">
        <v>3481.823024523768</v>
      </c>
      <c r="E12" s="35" t="n">
        <v>808.3402577390962</v>
      </c>
      <c r="F12" s="37" t="n">
        <v>0.6347489709498951</v>
      </c>
      <c r="G12" s="37" t="n">
        <v>0.9184829805028722</v>
      </c>
      <c r="H12" s="37" t="n">
        <v>0.7460814839003644</v>
      </c>
      <c r="I12" s="37" t="n">
        <v>0.6777311085206517</v>
      </c>
      <c r="J12" s="37" t="n">
        <v>0.9415298192493302</v>
      </c>
      <c r="K12" s="37" t="n">
        <v>0.8418262585071621</v>
      </c>
      <c r="L12" s="39" t="inlineStr">
        <is>
          <t>Corregible</t>
        </is>
      </c>
      <c r="M12" s="29" t="n">
        <v>12.445887730834</v>
      </c>
      <c r="N12" s="35" t="n">
        <v>113.1741443576212</v>
      </c>
      <c r="O12" s="36" t="n">
        <v>2673.482766784672</v>
      </c>
      <c r="P12" s="29" t="n">
        <v>4.307373029103269</v>
      </c>
      <c r="Q12" s="16" t="inlineStr">
        <is>
          <t>sí</t>
        </is>
      </c>
      <c r="R12" s="16" t="inlineStr">
        <is>
          <t>O2</t>
        </is>
      </c>
    </row>
    <row r="13">
      <c r="A13" s="16" t="inlineStr">
        <is>
          <t>KF-M07-A1-0002</t>
        </is>
      </c>
      <c r="B13" s="35" t="n">
        <v>424.0969531091276</v>
      </c>
      <c r="C13" s="35" t="n">
        <v>279.0977013205448</v>
      </c>
      <c r="D13" s="36" t="n">
        <v>3481.823024523768</v>
      </c>
      <c r="E13" s="35" t="n">
        <v>808.3402577390962</v>
      </c>
      <c r="F13" s="37" t="n">
        <v>0.6347489709498951</v>
      </c>
      <c r="G13" s="37" t="n">
        <v>0.9184829805028722</v>
      </c>
      <c r="H13" s="37" t="n">
        <v>0.7460814839003644</v>
      </c>
      <c r="I13" s="37" t="n">
        <v>0.6777311085206517</v>
      </c>
      <c r="J13" s="37" t="n">
        <v>0.9415298192493302</v>
      </c>
      <c r="K13" s="37" t="n">
        <v>0.8418262585071621</v>
      </c>
      <c r="L13" s="42" t="inlineStr">
        <is>
          <t>KALINA</t>
        </is>
      </c>
      <c r="M13" s="29" t="n">
        <v>12.03318097317471</v>
      </c>
      <c r="N13" s="35" t="n">
        <v>73.34441933233077</v>
      </c>
      <c r="O13" s="36" t="n">
        <v>2673.482766784672</v>
      </c>
      <c r="P13" s="29" t="n">
        <v>4.307373029103269</v>
      </c>
      <c r="Q13" s="16" t="inlineStr">
        <is>
          <t>no</t>
        </is>
      </c>
      <c r="R13" s="16" t="n"/>
    </row>
    <row r="14">
      <c r="A14" s="16" t="inlineStr">
        <is>
          <t>KF-M07-A1-0003</t>
        </is>
      </c>
      <c r="B14" s="35" t="n">
        <v>436.0969531091276</v>
      </c>
      <c r="C14" s="35" t="n">
        <v>281.6377013205448</v>
      </c>
      <c r="D14" s="36" t="n">
        <v>3481.823024523768</v>
      </c>
      <c r="E14" s="35" t="n">
        <v>808.3402577390962</v>
      </c>
      <c r="F14" s="37" t="n">
        <v>0.6347489709498951</v>
      </c>
      <c r="G14" s="37" t="n">
        <v>0.9184829805028722</v>
      </c>
      <c r="H14" s="37" t="n">
        <v>0.7460814839003644</v>
      </c>
      <c r="I14" s="37" t="n">
        <v>0.6777311085206517</v>
      </c>
      <c r="J14" s="37" t="n">
        <v>0.9415298192493302</v>
      </c>
      <c r="K14" s="37" t="n">
        <v>0.8418262585071621</v>
      </c>
      <c r="L14" s="42" t="inlineStr">
        <is>
          <t>KALINA</t>
        </is>
      </c>
      <c r="M14" s="29" t="n">
        <v>12.39294749092153</v>
      </c>
      <c r="N14" s="35" t="n">
        <v>91.63883436357033</v>
      </c>
      <c r="O14" s="36" t="n">
        <v>2673.482766784672</v>
      </c>
      <c r="P14" s="29" t="n">
        <v>4.307373029103269</v>
      </c>
      <c r="Q14" s="16" t="inlineStr">
        <is>
          <t>no</t>
        </is>
      </c>
      <c r="R14" s="16" t="n"/>
    </row>
    <row r="15">
      <c r="A15" s="16" t="inlineStr">
        <is>
          <t>KF-M07-A1-0004</t>
        </is>
      </c>
      <c r="B15" s="35" t="n">
        <v>436.0969531091276</v>
      </c>
      <c r="C15" s="35" t="n">
        <v>278.15</v>
      </c>
      <c r="D15" s="36" t="n">
        <v>3481.823024523768</v>
      </c>
      <c r="E15" s="35" t="n">
        <v>808.3402577390962</v>
      </c>
      <c r="F15" s="37" t="n">
        <v>0.6347489709498951</v>
      </c>
      <c r="G15" s="37" t="n">
        <v>0.9184829805028722</v>
      </c>
      <c r="H15" s="37" t="n">
        <v>0.7460814839003644</v>
      </c>
      <c r="I15" s="37" t="n">
        <v>0.6777311085206517</v>
      </c>
      <c r="J15" s="37" t="n">
        <v>0.9415298192493302</v>
      </c>
      <c r="K15" s="37" t="n">
        <v>0.8418262585071621</v>
      </c>
      <c r="L15" s="42" t="inlineStr">
        <is>
          <t>KALINA</t>
        </is>
      </c>
      <c r="M15" s="29" t="n">
        <v>12.26785002752522</v>
      </c>
      <c r="N15" s="35" t="n">
        <v>91.33611118807409</v>
      </c>
      <c r="O15" s="36" t="n">
        <v>2673.482766784672</v>
      </c>
      <c r="P15" s="29" t="n">
        <v>4.307373029103269</v>
      </c>
      <c r="Q15" s="16" t="inlineStr">
        <is>
          <t>no</t>
        </is>
      </c>
      <c r="R15" s="16" t="n"/>
    </row>
    <row r="16">
      <c r="A16" s="16" t="inlineStr">
        <is>
          <t>KF-M07-A1-0005</t>
        </is>
      </c>
      <c r="B16" s="35" t="n">
        <v>436.0969531091276</v>
      </c>
      <c r="C16" s="35" t="n">
        <v>279.0977013205448</v>
      </c>
      <c r="D16" s="36" t="n">
        <v>3781.823024523768</v>
      </c>
      <c r="E16" s="35" t="n">
        <v>808.3402577390962</v>
      </c>
      <c r="F16" s="37" t="n">
        <v>0.6347489709498951</v>
      </c>
      <c r="G16" s="37" t="n">
        <v>0.9184829805028722</v>
      </c>
      <c r="H16" s="37" t="n">
        <v>0.7460814839003644</v>
      </c>
      <c r="I16" s="37" t="n">
        <v>0.6777311085206517</v>
      </c>
      <c r="J16" s="37" t="n">
        <v>0.9415298192493302</v>
      </c>
      <c r="K16" s="37" t="n">
        <v>0.8418262585071621</v>
      </c>
      <c r="L16" s="42" t="inlineStr">
        <is>
          <t>KALINA</t>
        </is>
      </c>
      <c r="M16" s="29" t="n">
        <v>12.79776015044396</v>
      </c>
      <c r="N16" s="35" t="n">
        <v>89.19944676852531</v>
      </c>
      <c r="O16" s="36" t="n">
        <v>2973.482766784672</v>
      </c>
      <c r="P16" s="29" t="n">
        <v>4.678503870512914</v>
      </c>
      <c r="Q16" s="16" t="inlineStr">
        <is>
          <t>no</t>
        </is>
      </c>
      <c r="R16" s="16" t="n"/>
    </row>
    <row r="17">
      <c r="A17" s="16" t="inlineStr">
        <is>
          <t>KF-M07-A1-0006</t>
        </is>
      </c>
      <c r="B17" s="35" t="n">
        <v>436.0969531091276</v>
      </c>
      <c r="C17" s="35" t="n">
        <v>279.0977013205448</v>
      </c>
      <c r="D17" s="36" t="n">
        <v>3181.823024523768</v>
      </c>
      <c r="E17" s="35" t="n">
        <v>808.3402577390962</v>
      </c>
      <c r="F17" s="37" t="n">
        <v>0.6347489709498951</v>
      </c>
      <c r="G17" s="37" t="n">
        <v>0.9184829805028722</v>
      </c>
      <c r="H17" s="37" t="n">
        <v>0.7460814839003644</v>
      </c>
      <c r="I17" s="37" t="n">
        <v>0.6777311085206517</v>
      </c>
      <c r="J17" s="37" t="n">
        <v>0.9415298192493302</v>
      </c>
      <c r="K17" s="37" t="n">
        <v>0.8418262585071621</v>
      </c>
      <c r="L17" s="42" t="inlineStr">
        <is>
          <t>KALINA</t>
        </is>
      </c>
      <c r="M17" s="29" t="n">
        <v>11.71086746636211</v>
      </c>
      <c r="N17" s="35" t="n">
        <v>93.07712156038168</v>
      </c>
      <c r="O17" s="36" t="n">
        <v>2373.482766784672</v>
      </c>
      <c r="P17" s="29" t="n">
        <v>3.936242187693625</v>
      </c>
      <c r="Q17" s="16" t="inlineStr">
        <is>
          <t>no</t>
        </is>
      </c>
      <c r="R17" s="16" t="n"/>
    </row>
    <row r="18">
      <c r="A18" s="16" t="inlineStr">
        <is>
          <t>KF-M07-A1-0007</t>
        </is>
      </c>
      <c r="B18" s="35" t="n">
        <v>436.0969531091276</v>
      </c>
      <c r="C18" s="35" t="n">
        <v>279.0977013205448</v>
      </c>
      <c r="D18" s="36" t="n">
        <v>3481.823024523768</v>
      </c>
      <c r="E18" s="35" t="n">
        <v>1028.340257739096</v>
      </c>
      <c r="F18" s="37" t="n">
        <v>0.6347489709498951</v>
      </c>
      <c r="G18" s="37" t="n">
        <v>0.9184829805028722</v>
      </c>
      <c r="H18" s="37" t="n">
        <v>0.7460814839003644</v>
      </c>
      <c r="I18" s="37" t="n">
        <v>0.6777311085206517</v>
      </c>
      <c r="J18" s="37" t="n">
        <v>0.9415298192493302</v>
      </c>
      <c r="K18" s="37" t="n">
        <v>0.8418262585071621</v>
      </c>
      <c r="L18" s="42" t="inlineStr">
        <is>
          <t>KALINA</t>
        </is>
      </c>
      <c r="M18" s="29" t="n">
        <v>10.37700505714663</v>
      </c>
      <c r="N18" s="35" t="n">
        <v>77.03508178855098</v>
      </c>
      <c r="O18" s="36" t="n">
        <v>2453.482766784672</v>
      </c>
      <c r="P18" s="29" t="n">
        <v>3.385866689862836</v>
      </c>
      <c r="Q18" s="16" t="inlineStr">
        <is>
          <t>no</t>
        </is>
      </c>
      <c r="R18" s="16" t="n"/>
    </row>
    <row r="19">
      <c r="A19" s="16" t="inlineStr">
        <is>
          <t>KF-M07-A1-0008</t>
        </is>
      </c>
      <c r="B19" s="35" t="n">
        <v>436.0969531091276</v>
      </c>
      <c r="C19" s="35" t="n">
        <v>279.0977013205448</v>
      </c>
      <c r="D19" s="36" t="n">
        <v>3481.823024523768</v>
      </c>
      <c r="E19" s="35" t="n">
        <v>588.3402577390962</v>
      </c>
      <c r="F19" s="37" t="n">
        <v>0.6347489709498951</v>
      </c>
      <c r="G19" s="37" t="n">
        <v>0.9184829805028722</v>
      </c>
      <c r="H19" s="37" t="n">
        <v>0.7460814839003644</v>
      </c>
      <c r="I19" s="37" t="n">
        <v>0.6777311085206517</v>
      </c>
      <c r="J19" s="37" t="n">
        <v>0.9415298192493302</v>
      </c>
      <c r="K19" s="37" t="n">
        <v>0.8418262585071621</v>
      </c>
      <c r="L19" s="39" t="inlineStr">
        <is>
          <t>Corregible</t>
        </is>
      </c>
      <c r="M19" s="29" t="n">
        <v>14.74250692935163</v>
      </c>
      <c r="N19" s="35" t="n">
        <v>109.698157994205</v>
      </c>
      <c r="O19" s="36" t="n">
        <v>2893.482766784672</v>
      </c>
      <c r="P19" s="29" t="n">
        <v>5.918043136983171</v>
      </c>
      <c r="Q19" s="16" t="inlineStr">
        <is>
          <t>no</t>
        </is>
      </c>
      <c r="R19" s="16" t="inlineStr">
        <is>
          <t>O2</t>
        </is>
      </c>
    </row>
    <row r="20">
      <c r="A20" s="16" t="inlineStr">
        <is>
          <t>KF-M07-A1-0009</t>
        </is>
      </c>
      <c r="B20" s="35" t="n">
        <v>436.0969531091276</v>
      </c>
      <c r="C20" s="35" t="n">
        <v>279.0977013205448</v>
      </c>
      <c r="D20" s="36" t="n">
        <v>3481.823024523768</v>
      </c>
      <c r="E20" s="35" t="n">
        <v>808.3402577390962</v>
      </c>
      <c r="F20" s="37" t="n">
        <v>0.6697489709498952</v>
      </c>
      <c r="G20" s="37" t="n">
        <v>0.9184829805028722</v>
      </c>
      <c r="H20" s="37" t="n">
        <v>0.7460814839003644</v>
      </c>
      <c r="I20" s="37" t="n">
        <v>0.6777311085206517</v>
      </c>
      <c r="J20" s="37" t="n">
        <v>0.9415298192493302</v>
      </c>
      <c r="K20" s="37" t="n">
        <v>0.8418262585071621</v>
      </c>
      <c r="L20" s="42" t="inlineStr">
        <is>
          <t>KALINA</t>
        </is>
      </c>
      <c r="M20" s="29" t="n">
        <v>12.67836413546399</v>
      </c>
      <c r="N20" s="35" t="n">
        <v>102.014461913424</v>
      </c>
      <c r="O20" s="36" t="n">
        <v>2673.482766784672</v>
      </c>
      <c r="P20" s="29" t="n">
        <v>4.307373029103269</v>
      </c>
      <c r="Q20" s="16" t="inlineStr">
        <is>
          <t>no</t>
        </is>
      </c>
      <c r="R20" s="16" t="n"/>
    </row>
    <row r="21">
      <c r="A21" s="16" t="inlineStr">
        <is>
          <t>KF-M07-A1-0010</t>
        </is>
      </c>
      <c r="B21" s="35" t="n">
        <v>436.0969531091276</v>
      </c>
      <c r="C21" s="35" t="n">
        <v>279.0977013205448</v>
      </c>
      <c r="D21" s="36" t="n">
        <v>3481.823024523768</v>
      </c>
      <c r="E21" s="35" t="n">
        <v>808.3402577390962</v>
      </c>
      <c r="F21" s="37" t="n">
        <v>0.5997489709498951</v>
      </c>
      <c r="G21" s="37" t="n">
        <v>0.9184829805028722</v>
      </c>
      <c r="H21" s="37" t="n">
        <v>0.7460814839003644</v>
      </c>
      <c r="I21" s="37" t="n">
        <v>0.6777311085206517</v>
      </c>
      <c r="J21" s="37" t="n">
        <v>0.9415298192493302</v>
      </c>
      <c r="K21" s="37" t="n">
        <v>0.8418262585071621</v>
      </c>
      <c r="L21" s="42" t="inlineStr">
        <is>
          <t>KALINA</t>
        </is>
      </c>
      <c r="M21" s="29" t="n">
        <v>11.90375535398265</v>
      </c>
      <c r="N21" s="35" t="n">
        <v>80.84321482119421</v>
      </c>
      <c r="O21" s="36" t="n">
        <v>2673.482766784672</v>
      </c>
      <c r="P21" s="29" t="n">
        <v>4.307373029103269</v>
      </c>
      <c r="Q21" s="16" t="inlineStr">
        <is>
          <t>no</t>
        </is>
      </c>
      <c r="R21" s="16" t="n"/>
    </row>
    <row r="22">
      <c r="A22" s="16" t="inlineStr">
        <is>
          <t>KF-M07-A1-0011</t>
        </is>
      </c>
      <c r="B22" s="35" t="n">
        <v>436.0969531091276</v>
      </c>
      <c r="C22" s="35" t="n">
        <v>279.0977013205448</v>
      </c>
      <c r="D22" s="36" t="n">
        <v>3481.823024523768</v>
      </c>
      <c r="E22" s="35" t="n">
        <v>808.3402577390962</v>
      </c>
      <c r="F22" s="37" t="n">
        <v>0.6347489709498951</v>
      </c>
      <c r="G22" s="37" t="n">
        <v>0.95</v>
      </c>
      <c r="H22" s="37" t="n">
        <v>0.7460814839003644</v>
      </c>
      <c r="I22" s="37" t="n">
        <v>0.6777311085206517</v>
      </c>
      <c r="J22" s="37" t="n">
        <v>0.9415298192493302</v>
      </c>
      <c r="K22" s="37" t="n">
        <v>0.8418262585071621</v>
      </c>
      <c r="L22" s="42" t="inlineStr">
        <is>
          <t>KALINA</t>
        </is>
      </c>
      <c r="M22" s="29" t="n">
        <v>12.74050241318179</v>
      </c>
      <c r="N22" s="35" t="n">
        <v>94.70442550555239</v>
      </c>
      <c r="O22" s="36" t="n">
        <v>2673.482766784672</v>
      </c>
      <c r="P22" s="29" t="n">
        <v>4.307373029103269</v>
      </c>
      <c r="Q22" s="16" t="inlineStr">
        <is>
          <t>no</t>
        </is>
      </c>
      <c r="R22" s="16" t="n"/>
    </row>
    <row r="23">
      <c r="A23" s="16" t="inlineStr">
        <is>
          <t>KF-M07-A1-0012</t>
        </is>
      </c>
      <c r="B23" s="35" t="n">
        <v>436.0969531091276</v>
      </c>
      <c r="C23" s="35" t="n">
        <v>279.0977013205448</v>
      </c>
      <c r="D23" s="36" t="n">
        <v>3481.823024523768</v>
      </c>
      <c r="E23" s="35" t="n">
        <v>808.3402577390962</v>
      </c>
      <c r="F23" s="37" t="n">
        <v>0.6347489709498951</v>
      </c>
      <c r="G23" s="37" t="n">
        <v>0.8634829805028723</v>
      </c>
      <c r="H23" s="37" t="n">
        <v>0.7460814839003644</v>
      </c>
      <c r="I23" s="37" t="n">
        <v>0.6777311085206517</v>
      </c>
      <c r="J23" s="37" t="n">
        <v>0.9415298192493302</v>
      </c>
      <c r="K23" s="37" t="n">
        <v>0.8418262585071621</v>
      </c>
      <c r="L23" s="42" t="inlineStr">
        <is>
          <t>KALINA</t>
        </is>
      </c>
      <c r="M23" s="29" t="n">
        <v>11.53485576919891</v>
      </c>
      <c r="N23" s="35" t="n">
        <v>85.68144892757552</v>
      </c>
      <c r="O23" s="36" t="n">
        <v>2673.482766784672</v>
      </c>
      <c r="P23" s="29" t="n">
        <v>4.307373029103269</v>
      </c>
      <c r="Q23" s="16" t="inlineStr">
        <is>
          <t>no</t>
        </is>
      </c>
      <c r="R23" s="16" t="n"/>
    </row>
    <row r="24">
      <c r="A24" s="16" t="inlineStr">
        <is>
          <t>KF-M07-A1-0013</t>
        </is>
      </c>
      <c r="B24" s="35" t="n">
        <v>436.0969531091276</v>
      </c>
      <c r="C24" s="35" t="n">
        <v>279.0977013205448</v>
      </c>
      <c r="D24" s="36" t="n">
        <v>3481.823024523768</v>
      </c>
      <c r="E24" s="35" t="n">
        <v>808.3402577390962</v>
      </c>
      <c r="F24" s="37" t="n">
        <v>0.6347489709498951</v>
      </c>
      <c r="G24" s="37" t="n">
        <v>0.9184829805028722</v>
      </c>
      <c r="H24" s="37" t="n">
        <v>0.8010814839003644</v>
      </c>
      <c r="I24" s="37" t="n">
        <v>0.6777311085206517</v>
      </c>
      <c r="J24" s="37" t="n">
        <v>0.9415298192493302</v>
      </c>
      <c r="K24" s="37" t="n">
        <v>0.8418262585071621</v>
      </c>
      <c r="L24" s="42" t="inlineStr">
        <is>
          <t>KALINA</t>
        </is>
      </c>
      <c r="M24" s="29" t="n">
        <v>12.3420055976041</v>
      </c>
      <c r="N24" s="35" t="n">
        <v>91.73316990283558</v>
      </c>
      <c r="O24" s="36" t="n">
        <v>2673.482766784672</v>
      </c>
      <c r="P24" s="29" t="n">
        <v>4.307373029103269</v>
      </c>
      <c r="Q24" s="16" t="inlineStr">
        <is>
          <t>no</t>
        </is>
      </c>
      <c r="R24" s="16" t="n"/>
    </row>
    <row r="25">
      <c r="A25" s="16" t="inlineStr">
        <is>
          <t>KF-M07-A1-0014</t>
        </is>
      </c>
      <c r="B25" s="35" t="n">
        <v>436.0969531091276</v>
      </c>
      <c r="C25" s="35" t="n">
        <v>279.0977013205448</v>
      </c>
      <c r="D25" s="36" t="n">
        <v>3481.823024523768</v>
      </c>
      <c r="E25" s="35" t="n">
        <v>808.3402577390962</v>
      </c>
      <c r="F25" s="37" t="n">
        <v>0.6347489709498951</v>
      </c>
      <c r="G25" s="37" t="n">
        <v>0.9184829805028722</v>
      </c>
      <c r="H25" s="37" t="n">
        <v>0.6910814839003644</v>
      </c>
      <c r="I25" s="37" t="n">
        <v>0.6777311085206517</v>
      </c>
      <c r="J25" s="37" t="n">
        <v>0.9415298192493302</v>
      </c>
      <c r="K25" s="37" t="n">
        <v>0.8418262585071621</v>
      </c>
      <c r="L25" s="42" t="inlineStr">
        <is>
          <t>KALINA</t>
        </is>
      </c>
      <c r="M25" s="29" t="n">
        <v>12.25473939626919</v>
      </c>
      <c r="N25" s="35" t="n">
        <v>91.05310130447492</v>
      </c>
      <c r="O25" s="36" t="n">
        <v>2673.482766784672</v>
      </c>
      <c r="P25" s="29" t="n">
        <v>4.307373029103269</v>
      </c>
      <c r="Q25" s="16" t="inlineStr">
        <is>
          <t>no</t>
        </is>
      </c>
      <c r="R25" s="16" t="n"/>
    </row>
    <row r="26">
      <c r="A26" s="16" t="inlineStr">
        <is>
          <t>KF-M07-A1-0015</t>
        </is>
      </c>
      <c r="B26" s="35" t="n">
        <v>436.0969531091276</v>
      </c>
      <c r="C26" s="35" t="n">
        <v>279.0977013205448</v>
      </c>
      <c r="D26" s="36" t="n">
        <v>3481.823024523768</v>
      </c>
      <c r="E26" s="35" t="n">
        <v>808.3402577390962</v>
      </c>
      <c r="F26" s="37" t="n">
        <v>0.6347489709498951</v>
      </c>
      <c r="G26" s="37" t="n">
        <v>0.9184829805028722</v>
      </c>
      <c r="H26" s="37" t="n">
        <v>0.7460814839003644</v>
      </c>
      <c r="I26" s="37" t="n">
        <v>0.7327311085206516</v>
      </c>
      <c r="J26" s="37" t="n">
        <v>0.9415298192493302</v>
      </c>
      <c r="K26" s="37" t="n">
        <v>0.8418262585071621</v>
      </c>
      <c r="L26" s="42" t="inlineStr">
        <is>
          <t>KALINA</t>
        </is>
      </c>
      <c r="M26" s="29" t="n">
        <v>12.37329773969334</v>
      </c>
      <c r="N26" s="35" t="n">
        <v>99.46931049060738</v>
      </c>
      <c r="O26" s="36" t="n">
        <v>2673.482766784672</v>
      </c>
      <c r="P26" s="29" t="n">
        <v>4.307373029103269</v>
      </c>
      <c r="Q26" s="16" t="inlineStr">
        <is>
          <t>no</t>
        </is>
      </c>
      <c r="R26" s="16" t="n"/>
      <c r="V26" s="25" t="inlineStr">
        <is>
          <t>Estudio 5.1 · partes 5.1a … 5.1e (figura de síntesis: cada línea es un arranque con sus propios datos conservados).</t>
        </is>
      </c>
    </row>
    <row r="27">
      <c r="A27" s="16" t="inlineStr">
        <is>
          <t>KF-M07-A1-0016</t>
        </is>
      </c>
      <c r="B27" s="35" t="n">
        <v>436.0969531091276</v>
      </c>
      <c r="C27" s="35" t="n">
        <v>279.0977013205448</v>
      </c>
      <c r="D27" s="36" t="n">
        <v>3481.823024523768</v>
      </c>
      <c r="E27" s="35" t="n">
        <v>808.3402577390962</v>
      </c>
      <c r="F27" s="37" t="n">
        <v>0.6347489709498951</v>
      </c>
      <c r="G27" s="37" t="n">
        <v>0.9184829805028722</v>
      </c>
      <c r="H27" s="37" t="n">
        <v>0.7460814839003644</v>
      </c>
      <c r="I27" s="37" t="n">
        <v>0.6227311085206517</v>
      </c>
      <c r="J27" s="37" t="n">
        <v>0.9415298192493302</v>
      </c>
      <c r="K27" s="37" t="n">
        <v>0.8418262585071621</v>
      </c>
      <c r="L27" s="42" t="inlineStr">
        <is>
          <t>KALINA</t>
        </is>
      </c>
      <c r="M27" s="29" t="n">
        <v>12.20159612998611</v>
      </c>
      <c r="N27" s="35" t="n">
        <v>83.29781714009846</v>
      </c>
      <c r="O27" s="36" t="n">
        <v>2673.482766784672</v>
      </c>
      <c r="P27" s="29" t="n">
        <v>4.307373029103269</v>
      </c>
      <c r="Q27" s="16" t="inlineStr">
        <is>
          <t>no</t>
        </is>
      </c>
      <c r="R27" s="16" t="n"/>
      <c r="V27" s="25" t="inlineStr">
        <is>
          <t>5.1a · libre (desde el mejor de 3.2).</t>
        </is>
      </c>
    </row>
    <row r="28">
      <c r="A28" s="16" t="inlineStr">
        <is>
          <t>KF-M07-A1-0017</t>
        </is>
      </c>
      <c r="B28" s="35" t="n">
        <v>436.0969531091276</v>
      </c>
      <c r="C28" s="35" t="n">
        <v>279.0977013205448</v>
      </c>
      <c r="D28" s="36" t="n">
        <v>3481.823024523768</v>
      </c>
      <c r="E28" s="35" t="n">
        <v>808.3402577390962</v>
      </c>
      <c r="F28" s="37" t="n">
        <v>0.6347489709498951</v>
      </c>
      <c r="G28" s="37" t="n">
        <v>0.9184829805028722</v>
      </c>
      <c r="H28" s="37" t="n">
        <v>0.7460814839003644</v>
      </c>
      <c r="I28" s="37" t="n">
        <v>0.6777311085206517</v>
      </c>
      <c r="J28" s="37" t="n">
        <v>0.95</v>
      </c>
      <c r="K28" s="37" t="n">
        <v>0.8418262585071621</v>
      </c>
      <c r="L28" s="42" t="inlineStr">
        <is>
          <t>KALINA</t>
        </is>
      </c>
      <c r="M28" s="29" t="n">
        <v>12.33948933311182</v>
      </c>
      <c r="N28" s="35" t="n">
        <v>91.51464258148845</v>
      </c>
      <c r="O28" s="36" t="n">
        <v>2673.482766784672</v>
      </c>
      <c r="P28" s="29" t="n">
        <v>4.307373029103269</v>
      </c>
      <c r="Q28" s="16" t="inlineStr">
        <is>
          <t>no</t>
        </is>
      </c>
      <c r="R28" s="16" t="n"/>
      <c r="V28" s="25" t="inlineStr">
        <is>
          <t>5.1b · libre (desde el mejor de 2.4).</t>
        </is>
      </c>
    </row>
    <row r="29">
      <c r="A29" s="16" t="inlineStr">
        <is>
          <t>KF-M07-A1-0018</t>
        </is>
      </c>
      <c r="B29" s="35" t="n">
        <v>436.0969531091276</v>
      </c>
      <c r="C29" s="35" t="n">
        <v>279.0977013205448</v>
      </c>
      <c r="D29" s="36" t="n">
        <v>3481.823024523768</v>
      </c>
      <c r="E29" s="35" t="n">
        <v>808.3402577390962</v>
      </c>
      <c r="F29" s="37" t="n">
        <v>0.6347489709498951</v>
      </c>
      <c r="G29" s="37" t="n">
        <v>0.9184829805028722</v>
      </c>
      <c r="H29" s="37" t="n">
        <v>0.7460814839003644</v>
      </c>
      <c r="I29" s="37" t="n">
        <v>0.6777311085206517</v>
      </c>
      <c r="J29" s="37" t="n">
        <v>0.8865298192493303</v>
      </c>
      <c r="K29" s="37" t="n">
        <v>0.8418262585071621</v>
      </c>
      <c r="L29" s="42" t="inlineStr">
        <is>
          <t>KALINA</t>
        </is>
      </c>
      <c r="M29" s="29" t="n">
        <v>12.05965613980863</v>
      </c>
      <c r="N29" s="35" t="n">
        <v>90.79300759126512</v>
      </c>
      <c r="O29" s="36" t="n">
        <v>2673.482766784672</v>
      </c>
      <c r="P29" s="29" t="n">
        <v>4.307373029103269</v>
      </c>
      <c r="Q29" s="16" t="inlineStr">
        <is>
          <t>no</t>
        </is>
      </c>
      <c r="R29" s="16" t="n"/>
      <c r="V29" s="25" t="inlineStr">
        <is>
          <t>5.1c · conserva sus temperaturas.</t>
        </is>
      </c>
    </row>
    <row r="30">
      <c r="A30" s="16" t="inlineStr">
        <is>
          <t>KF-M07-A1-0019</t>
        </is>
      </c>
      <c r="B30" s="35" t="n">
        <v>436.0969531091276</v>
      </c>
      <c r="C30" s="35" t="n">
        <v>279.0977013205448</v>
      </c>
      <c r="D30" s="36" t="n">
        <v>3481.823024523768</v>
      </c>
      <c r="E30" s="35" t="n">
        <v>808.3402577390962</v>
      </c>
      <c r="F30" s="37" t="n">
        <v>0.6347489709498951</v>
      </c>
      <c r="G30" s="37" t="n">
        <v>0.9184829805028722</v>
      </c>
      <c r="H30" s="37" t="n">
        <v>0.7460814839003644</v>
      </c>
      <c r="I30" s="37" t="n">
        <v>0.6777311085206517</v>
      </c>
      <c r="J30" s="37" t="n">
        <v>0.9415298192493302</v>
      </c>
      <c r="K30" s="37" t="n">
        <v>0.896826258507162</v>
      </c>
      <c r="L30" s="42" t="inlineStr">
        <is>
          <t>KALINA</t>
        </is>
      </c>
      <c r="M30" s="29" t="n">
        <v>11.93890468037676</v>
      </c>
      <c r="N30" s="35" t="n">
        <v>90.51878338148624</v>
      </c>
      <c r="O30" s="36" t="n">
        <v>2673.482766784672</v>
      </c>
      <c r="P30" s="29" t="n">
        <v>4.307373029103269</v>
      </c>
      <c r="Q30" s="16" t="inlineStr">
        <is>
          <t>no</t>
        </is>
      </c>
      <c r="R30" s="16" t="n"/>
      <c r="V30" s="25" t="inlineStr">
        <is>
          <t>5.1d · conserva sus presiones y su clima.</t>
        </is>
      </c>
    </row>
    <row r="31">
      <c r="A31" s="16" t="inlineStr">
        <is>
          <t>KF-M07-A1-0020</t>
        </is>
      </c>
      <c r="B31" s="35" t="n">
        <v>436.0969531091276</v>
      </c>
      <c r="C31" s="35" t="n">
        <v>279.0977013205448</v>
      </c>
      <c r="D31" s="36" t="n">
        <v>3481.823024523768</v>
      </c>
      <c r="E31" s="35" t="n">
        <v>808.3402577390962</v>
      </c>
      <c r="F31" s="37" t="n">
        <v>0.6347489709498951</v>
      </c>
      <c r="G31" s="37" t="n">
        <v>0.9184829805028722</v>
      </c>
      <c r="H31" s="37" t="n">
        <v>0.7460814839003644</v>
      </c>
      <c r="I31" s="37" t="n">
        <v>0.6777311085206517</v>
      </c>
      <c r="J31" s="37" t="n">
        <v>0.9415298192493302</v>
      </c>
      <c r="K31" s="37" t="n">
        <v>0.7868262585071621</v>
      </c>
      <c r="L31" s="39" t="inlineStr">
        <is>
          <t>Corregible</t>
        </is>
      </c>
      <c r="M31" s="29" t="n">
        <v>12.68920264600564</v>
      </c>
      <c r="N31" s="35" t="n">
        <v>92.19739139695402</v>
      </c>
      <c r="O31" s="36" t="n">
        <v>2673.482766784672</v>
      </c>
      <c r="P31" s="29" t="n">
        <v>4.307373029103269</v>
      </c>
      <c r="Q31" s="16" t="inlineStr">
        <is>
          <t>no</t>
        </is>
      </c>
      <c r="R31" s="16" t="inlineStr">
        <is>
          <t>O2</t>
        </is>
      </c>
      <c r="V31" s="25" t="inlineStr">
        <is>
          <t>5.1e · conserva su fuente y su x_b (fuera de rango).</t>
        </is>
      </c>
    </row>
    <row r="32">
      <c r="A32" s="16" t="inlineStr">
        <is>
          <t>KF-M07-A1-0021</t>
        </is>
      </c>
      <c r="B32" s="35" t="n">
        <v>448.0969531091276</v>
      </c>
      <c r="C32" s="35" t="n">
        <v>279.0977013205448</v>
      </c>
      <c r="D32" s="36" t="n">
        <v>3781.823024523768</v>
      </c>
      <c r="E32" s="35" t="n">
        <v>808.3402577390962</v>
      </c>
      <c r="F32" s="37" t="n">
        <v>0.6347489709498951</v>
      </c>
      <c r="G32" s="37" t="n">
        <v>0.9184829805028722</v>
      </c>
      <c r="H32" s="37" t="n">
        <v>0.7460814839003644</v>
      </c>
      <c r="I32" s="37" t="n">
        <v>0.6777311085206517</v>
      </c>
      <c r="J32" s="37" t="n">
        <v>0.9415298192493302</v>
      </c>
      <c r="K32" s="37" t="n">
        <v>0.8418262585071621</v>
      </c>
      <c r="L32" s="42" t="inlineStr">
        <is>
          <t>KALINA</t>
        </is>
      </c>
      <c r="M32" s="29" t="n">
        <v>13.00203191503108</v>
      </c>
      <c r="N32" s="35" t="n">
        <v>110.7738147168991</v>
      </c>
      <c r="O32" s="36" t="n">
        <v>2973.482766784672</v>
      </c>
      <c r="P32" s="29" t="n">
        <v>4.678503870512914</v>
      </c>
      <c r="Q32" s="16" t="inlineStr">
        <is>
          <t>sí</t>
        </is>
      </c>
      <c r="R32" s="16" t="n"/>
      <c r="V32" s="25" t="inlineStr">
        <is>
          <t>El último paso muestra cuánto seguía subiendo cada búsqueda al detenerse; la η máxima de una búsqueda con último paso grande es una cota inferior, no un óptimo confirmado.</t>
        </is>
      </c>
    </row>
    <row r="33">
      <c r="A33" s="16" t="inlineStr">
        <is>
          <t>KF-M07-A1-0022</t>
        </is>
      </c>
      <c r="B33" s="35" t="n">
        <v>424.0969531091276</v>
      </c>
      <c r="C33" s="35" t="n">
        <v>279.0977013205448</v>
      </c>
      <c r="D33" s="36" t="n">
        <v>3781.823024523768</v>
      </c>
      <c r="E33" s="35" t="n">
        <v>808.3402577390962</v>
      </c>
      <c r="F33" s="37" t="n">
        <v>0.6347489709498951</v>
      </c>
      <c r="G33" s="37" t="n">
        <v>0.9184829805028722</v>
      </c>
      <c r="H33" s="37" t="n">
        <v>0.7460814839003644</v>
      </c>
      <c r="I33" s="37" t="n">
        <v>0.6777311085206517</v>
      </c>
      <c r="J33" s="37" t="n">
        <v>0.9415298192493302</v>
      </c>
      <c r="K33" s="37" t="n">
        <v>0.8418262585071621</v>
      </c>
      <c r="L33" s="42" t="inlineStr">
        <is>
          <t>KALINA</t>
        </is>
      </c>
      <c r="M33" s="29" t="n">
        <v>12.45440761227609</v>
      </c>
      <c r="N33" s="35" t="n">
        <v>70.77220062444242</v>
      </c>
      <c r="O33" s="36" t="n">
        <v>2973.482766784672</v>
      </c>
      <c r="P33" s="29" t="n">
        <v>4.678503870512914</v>
      </c>
      <c r="Q33" s="16" t="inlineStr">
        <is>
          <t>no</t>
        </is>
      </c>
      <c r="R33" s="16" t="n"/>
      <c r="V33" s="25" t="inlineStr">
        <is>
          <t>Filtro: líneas = pasos aceptados de cada búsqueda (cada uno es KALINA genuino, D = 0); puntos grises = evaluaciones que no se aceptaron.</t>
        </is>
      </c>
    </row>
    <row r="34">
      <c r="A34" s="16" t="inlineStr">
        <is>
          <t>KF-M07-A1-0023</t>
        </is>
      </c>
      <c r="B34" s="35" t="n">
        <v>436.0969531091276</v>
      </c>
      <c r="C34" s="35" t="n">
        <v>281.6377013205448</v>
      </c>
      <c r="D34" s="36" t="n">
        <v>3781.823024523768</v>
      </c>
      <c r="E34" s="35" t="n">
        <v>808.3402577390962</v>
      </c>
      <c r="F34" s="37" t="n">
        <v>0.6347489709498951</v>
      </c>
      <c r="G34" s="37" t="n">
        <v>0.9184829805028722</v>
      </c>
      <c r="H34" s="37" t="n">
        <v>0.7460814839003644</v>
      </c>
      <c r="I34" s="37" t="n">
        <v>0.6777311085206517</v>
      </c>
      <c r="J34" s="37" t="n">
        <v>0.9415298192493302</v>
      </c>
      <c r="K34" s="37" t="n">
        <v>0.8418262585071621</v>
      </c>
      <c r="L34" s="42" t="inlineStr">
        <is>
          <t>KALINA</t>
        </is>
      </c>
      <c r="M34" s="29" t="n">
        <v>12.89468779591546</v>
      </c>
      <c r="N34" s="35" t="n">
        <v>89.4225825364358</v>
      </c>
      <c r="O34" s="36" t="n">
        <v>2973.482766784672</v>
      </c>
      <c r="P34" s="29" t="n">
        <v>4.678503870512914</v>
      </c>
      <c r="Q34" s="16" t="inlineStr">
        <is>
          <t>no</t>
        </is>
      </c>
      <c r="R34" s="16" t="n"/>
      <c r="V34" s="25" t="inlineStr">
        <is>
          <t>n = 550 evaluaciones (41 pasos aceptados y 509 no aceptados; las evaluaciones sin η no se dibujan). Fuente: m7_trayectorias.csv y m7_evaluaciones.csv.</t>
        </is>
      </c>
    </row>
    <row r="35">
      <c r="A35" s="16" t="inlineStr">
        <is>
          <t>KF-M07-A1-0024</t>
        </is>
      </c>
      <c r="B35" s="35" t="n">
        <v>436.0969531091276</v>
      </c>
      <c r="C35" s="35" t="n">
        <v>278.15</v>
      </c>
      <c r="D35" s="36" t="n">
        <v>3781.823024523768</v>
      </c>
      <c r="E35" s="35" t="n">
        <v>808.3402577390962</v>
      </c>
      <c r="F35" s="37" t="n">
        <v>0.6347489709498951</v>
      </c>
      <c r="G35" s="37" t="n">
        <v>0.9184829805028722</v>
      </c>
      <c r="H35" s="37" t="n">
        <v>0.7460814839003644</v>
      </c>
      <c r="I35" s="37" t="n">
        <v>0.6777311085206517</v>
      </c>
      <c r="J35" s="37" t="n">
        <v>0.9415298192493302</v>
      </c>
      <c r="K35" s="37" t="n">
        <v>0.8418262585071621</v>
      </c>
      <c r="L35" s="42" t="inlineStr">
        <is>
          <t>KALINA</t>
        </is>
      </c>
      <c r="M35" s="29" t="n">
        <v>12.76195569084965</v>
      </c>
      <c r="N35" s="35" t="n">
        <v>89.11641565366214</v>
      </c>
      <c r="O35" s="36" t="n">
        <v>2973.482766784672</v>
      </c>
      <c r="P35" s="29" t="n">
        <v>4.678503870512914</v>
      </c>
      <c r="Q35" s="16" t="inlineStr">
        <is>
          <t>no</t>
        </is>
      </c>
      <c r="R35" s="16" t="n"/>
    </row>
    <row r="36">
      <c r="A36" s="16" t="inlineStr">
        <is>
          <t>KF-M07-A1-0025</t>
        </is>
      </c>
      <c r="B36" s="35" t="n">
        <v>436.0969531091276</v>
      </c>
      <c r="C36" s="35" t="n">
        <v>279.0977013205448</v>
      </c>
      <c r="D36" s="36" t="n">
        <v>4081.823024523768</v>
      </c>
      <c r="E36" s="35" t="n">
        <v>808.3402577390962</v>
      </c>
      <c r="F36" s="37" t="n">
        <v>0.6347489709498951</v>
      </c>
      <c r="G36" s="37" t="n">
        <v>0.9184829805028722</v>
      </c>
      <c r="H36" s="37" t="n">
        <v>0.7460814839003644</v>
      </c>
      <c r="I36" s="37" t="n">
        <v>0.6777311085206517</v>
      </c>
      <c r="J36" s="37" t="n">
        <v>0.9415298192493302</v>
      </c>
      <c r="K36" s="37" t="n">
        <v>0.8418262585071621</v>
      </c>
      <c r="L36" s="42" t="inlineStr">
        <is>
          <t>KALINA</t>
        </is>
      </c>
      <c r="M36" s="29" t="n">
        <v>13.20991426855364</v>
      </c>
      <c r="N36" s="35" t="n">
        <v>86.49834218376981</v>
      </c>
      <c r="O36" s="36" t="n">
        <v>3273.482766784672</v>
      </c>
      <c r="P36" s="29" t="n">
        <v>5.049634711922558</v>
      </c>
      <c r="Q36" s="16" t="inlineStr">
        <is>
          <t>no</t>
        </is>
      </c>
      <c r="R36" s="16" t="n"/>
    </row>
    <row r="37">
      <c r="A37" s="16" t="inlineStr">
        <is>
          <t>KF-M07-A1-0026</t>
        </is>
      </c>
      <c r="B37" s="35" t="n">
        <v>436.0969531091276</v>
      </c>
      <c r="C37" s="35" t="n">
        <v>279.0977013205448</v>
      </c>
      <c r="D37" s="36" t="n">
        <v>3481.823024523768</v>
      </c>
      <c r="E37" s="35" t="n">
        <v>808.3402577390962</v>
      </c>
      <c r="F37" s="37" t="n">
        <v>0.6347489709498951</v>
      </c>
      <c r="G37" s="37" t="n">
        <v>0.9184829805028722</v>
      </c>
      <c r="H37" s="37" t="n">
        <v>0.7460814839003644</v>
      </c>
      <c r="I37" s="37" t="n">
        <v>0.6777311085206517</v>
      </c>
      <c r="J37" s="37" t="n">
        <v>0.9415298192493302</v>
      </c>
      <c r="K37" s="37" t="n">
        <v>0.8418262585071621</v>
      </c>
      <c r="L37" s="42" t="inlineStr">
        <is>
          <t>KALINA</t>
        </is>
      </c>
      <c r="M37" s="29" t="n">
        <v>12.30159889633283</v>
      </c>
      <c r="N37" s="35" t="n">
        <v>91.41821112392584</v>
      </c>
      <c r="O37" s="36" t="n">
        <v>2673.482766784672</v>
      </c>
      <c r="P37" s="29" t="n">
        <v>4.307373029103269</v>
      </c>
      <c r="Q37" s="16" t="inlineStr">
        <is>
          <t>no</t>
        </is>
      </c>
      <c r="R37" s="16" t="n"/>
    </row>
    <row r="38">
      <c r="A38" s="16" t="inlineStr">
        <is>
          <t>KF-M07-A1-0027</t>
        </is>
      </c>
      <c r="B38" s="35" t="n">
        <v>436.0969531091276</v>
      </c>
      <c r="C38" s="35" t="n">
        <v>279.0977013205448</v>
      </c>
      <c r="D38" s="36" t="n">
        <v>3781.823024523768</v>
      </c>
      <c r="E38" s="35" t="n">
        <v>1028.340257739096</v>
      </c>
      <c r="F38" s="37" t="n">
        <v>0.6347489709498951</v>
      </c>
      <c r="G38" s="37" t="n">
        <v>0.9184829805028722</v>
      </c>
      <c r="H38" s="37" t="n">
        <v>0.7460814839003644</v>
      </c>
      <c r="I38" s="37" t="n">
        <v>0.6777311085206517</v>
      </c>
      <c r="J38" s="37" t="n">
        <v>0.9415298192493302</v>
      </c>
      <c r="K38" s="37" t="n">
        <v>0.8418262585071621</v>
      </c>
      <c r="L38" s="42" t="inlineStr">
        <is>
          <t>KALINA</t>
        </is>
      </c>
      <c r="M38" s="29" t="n">
        <v>10.90319805183698</v>
      </c>
      <c r="N38" s="35" t="n">
        <v>75.9207104803024</v>
      </c>
      <c r="O38" s="36" t="n">
        <v>2753.482766784672</v>
      </c>
      <c r="P38" s="29" t="n">
        <v>3.677598923179829</v>
      </c>
      <c r="Q38" s="16" t="inlineStr">
        <is>
          <t>no</t>
        </is>
      </c>
      <c r="R38" s="16" t="n"/>
    </row>
    <row r="39">
      <c r="A39" s="16" t="inlineStr">
        <is>
          <t>KF-M07-A1-0028</t>
        </is>
      </c>
      <c r="B39" s="35" t="n">
        <v>436.0969531091276</v>
      </c>
      <c r="C39" s="35" t="n">
        <v>279.0977013205448</v>
      </c>
      <c r="D39" s="36" t="n">
        <v>3781.823024523768</v>
      </c>
      <c r="E39" s="35" t="n">
        <v>588.3402577390962</v>
      </c>
      <c r="F39" s="37" t="n">
        <v>0.6347489709498951</v>
      </c>
      <c r="G39" s="37" t="n">
        <v>0.9184829805028722</v>
      </c>
      <c r="H39" s="37" t="n">
        <v>0.7460814839003644</v>
      </c>
      <c r="I39" s="37" t="n">
        <v>0.6777311085206517</v>
      </c>
      <c r="J39" s="37" t="n">
        <v>0.9415298192493302</v>
      </c>
      <c r="K39" s="37" t="n">
        <v>0.8418262585071621</v>
      </c>
      <c r="L39" s="39" t="inlineStr">
        <is>
          <t>Corregible</t>
        </is>
      </c>
      <c r="M39" s="29" t="n">
        <v>15.21315249897212</v>
      </c>
      <c r="N39" s="35" t="n">
        <v>106.1659439173819</v>
      </c>
      <c r="O39" s="36" t="n">
        <v>3193.482766784672</v>
      </c>
      <c r="P39" s="29" t="n">
        <v>6.427952149758966</v>
      </c>
      <c r="Q39" s="16" t="inlineStr">
        <is>
          <t>no</t>
        </is>
      </c>
      <c r="R39" s="16" t="inlineStr">
        <is>
          <t>O2</t>
        </is>
      </c>
    </row>
    <row r="40">
      <c r="A40" s="16" t="inlineStr">
        <is>
          <t>KF-M07-A1-0029</t>
        </is>
      </c>
      <c r="B40" s="35" t="n">
        <v>436.0969531091276</v>
      </c>
      <c r="C40" s="35" t="n">
        <v>279.0977013205448</v>
      </c>
      <c r="D40" s="36" t="n">
        <v>3781.823024523768</v>
      </c>
      <c r="E40" s="35" t="n">
        <v>808.3402577390962</v>
      </c>
      <c r="F40" s="37" t="n">
        <v>0.6697489709498952</v>
      </c>
      <c r="G40" s="37" t="n">
        <v>0.9184829805028722</v>
      </c>
      <c r="H40" s="37" t="n">
        <v>0.7460814839003644</v>
      </c>
      <c r="I40" s="37" t="n">
        <v>0.6777311085206517</v>
      </c>
      <c r="J40" s="37" t="n">
        <v>0.9415298192493302</v>
      </c>
      <c r="K40" s="37" t="n">
        <v>0.8418262585071621</v>
      </c>
      <c r="L40" s="42" t="inlineStr">
        <is>
          <t>KALINA</t>
        </is>
      </c>
      <c r="M40" s="29" t="n">
        <v>13.20594953062949</v>
      </c>
      <c r="N40" s="35" t="n">
        <v>100.2666282590297</v>
      </c>
      <c r="O40" s="36" t="n">
        <v>2973.482766784672</v>
      </c>
      <c r="P40" s="29" t="n">
        <v>4.678503870512914</v>
      </c>
      <c r="Q40" s="16" t="inlineStr">
        <is>
          <t>no</t>
        </is>
      </c>
      <c r="R40" s="16" t="n"/>
    </row>
    <row r="41">
      <c r="A41" s="16" t="inlineStr">
        <is>
          <t>KF-M07-A1-0030</t>
        </is>
      </c>
      <c r="B41" s="35" t="n">
        <v>436.0969531091276</v>
      </c>
      <c r="C41" s="35" t="n">
        <v>279.0977013205448</v>
      </c>
      <c r="D41" s="36" t="n">
        <v>3781.823024523768</v>
      </c>
      <c r="E41" s="35" t="n">
        <v>808.3402577390962</v>
      </c>
      <c r="F41" s="37" t="n">
        <v>0.5997489709498951</v>
      </c>
      <c r="G41" s="37" t="n">
        <v>0.9184829805028722</v>
      </c>
      <c r="H41" s="37" t="n">
        <v>0.7460814839003644</v>
      </c>
      <c r="I41" s="37" t="n">
        <v>0.6777311085206517</v>
      </c>
      <c r="J41" s="37" t="n">
        <v>0.9415298192493302</v>
      </c>
      <c r="K41" s="37" t="n">
        <v>0.8418262585071621</v>
      </c>
      <c r="L41" s="42" t="inlineStr">
        <is>
          <t>KALINA</t>
        </is>
      </c>
      <c r="M41" s="29" t="n">
        <v>12.35989091930802</v>
      </c>
      <c r="N41" s="35" t="n">
        <v>78.140596408844</v>
      </c>
      <c r="O41" s="36" t="n">
        <v>2973.482766784672</v>
      </c>
      <c r="P41" s="29" t="n">
        <v>4.678503870512914</v>
      </c>
      <c r="Q41" s="16" t="inlineStr">
        <is>
          <t>no</t>
        </is>
      </c>
      <c r="R41" s="16" t="n"/>
    </row>
    <row r="42">
      <c r="A42" s="16" t="inlineStr">
        <is>
          <t>KF-M07-A1-0031</t>
        </is>
      </c>
      <c r="B42" s="35" t="n">
        <v>436.0969531091276</v>
      </c>
      <c r="C42" s="35" t="n">
        <v>279.0977013205448</v>
      </c>
      <c r="D42" s="36" t="n">
        <v>3781.823024523768</v>
      </c>
      <c r="E42" s="35" t="n">
        <v>808.3402577390962</v>
      </c>
      <c r="F42" s="37" t="n">
        <v>0.6347489709498951</v>
      </c>
      <c r="G42" s="37" t="n">
        <v>0.95</v>
      </c>
      <c r="H42" s="37" t="n">
        <v>0.7460814839003644</v>
      </c>
      <c r="I42" s="37" t="n">
        <v>0.6777311085206517</v>
      </c>
      <c r="J42" s="37" t="n">
        <v>0.9415298192493302</v>
      </c>
      <c r="K42" s="37" t="n">
        <v>0.8418262585071621</v>
      </c>
      <c r="L42" s="42" t="inlineStr">
        <is>
          <t>KALINA</t>
        </is>
      </c>
      <c r="M42" s="29" t="n">
        <v>13.2574465374705</v>
      </c>
      <c r="N42" s="35" t="n">
        <v>92.42723044582696</v>
      </c>
      <c r="O42" s="36" t="n">
        <v>2973.482766784672</v>
      </c>
      <c r="P42" s="29" t="n">
        <v>4.678503870512914</v>
      </c>
      <c r="Q42" s="16" t="inlineStr">
        <is>
          <t>no</t>
        </is>
      </c>
      <c r="R42" s="16" t="n"/>
    </row>
    <row r="43">
      <c r="A43" s="16" t="inlineStr">
        <is>
          <t>KF-M07-A1-0032</t>
        </is>
      </c>
      <c r="B43" s="35" t="n">
        <v>436.0969531091276</v>
      </c>
      <c r="C43" s="35" t="n">
        <v>279.0977013205448</v>
      </c>
      <c r="D43" s="36" t="n">
        <v>3781.823024523768</v>
      </c>
      <c r="E43" s="35" t="n">
        <v>808.3402577390962</v>
      </c>
      <c r="F43" s="37" t="n">
        <v>0.6347489709498951</v>
      </c>
      <c r="G43" s="37" t="n">
        <v>0.8634829805028723</v>
      </c>
      <c r="H43" s="37" t="n">
        <v>0.7460814839003644</v>
      </c>
      <c r="I43" s="37" t="n">
        <v>0.6777311085206517</v>
      </c>
      <c r="J43" s="37" t="n">
        <v>0.9415298192493302</v>
      </c>
      <c r="K43" s="37" t="n">
        <v>0.8418262585071621</v>
      </c>
      <c r="L43" s="42" t="inlineStr">
        <is>
          <t>KALINA</t>
        </is>
      </c>
      <c r="M43" s="29" t="n">
        <v>11.99471297321429</v>
      </c>
      <c r="N43" s="35" t="n">
        <v>83.56466194710028</v>
      </c>
      <c r="O43" s="36" t="n">
        <v>2973.482766784672</v>
      </c>
      <c r="P43" s="29" t="n">
        <v>4.678503870512914</v>
      </c>
      <c r="Q43" s="16" t="inlineStr">
        <is>
          <t>no</t>
        </is>
      </c>
      <c r="R43" s="16" t="n"/>
    </row>
    <row r="44">
      <c r="A44" s="16" t="inlineStr">
        <is>
          <t>KF-M07-A1-0033</t>
        </is>
      </c>
      <c r="B44" s="35" t="n">
        <v>436.0969531091276</v>
      </c>
      <c r="C44" s="35" t="n">
        <v>279.0977013205448</v>
      </c>
      <c r="D44" s="36" t="n">
        <v>3781.823024523768</v>
      </c>
      <c r="E44" s="35" t="n">
        <v>808.3402577390962</v>
      </c>
      <c r="F44" s="37" t="n">
        <v>0.6347489709498951</v>
      </c>
      <c r="G44" s="37" t="n">
        <v>0.9184829805028722</v>
      </c>
      <c r="H44" s="37" t="n">
        <v>0.8010814839003644</v>
      </c>
      <c r="I44" s="37" t="n">
        <v>0.6777311085206517</v>
      </c>
      <c r="J44" s="37" t="n">
        <v>0.9415298192493302</v>
      </c>
      <c r="K44" s="37" t="n">
        <v>0.8418262585071621</v>
      </c>
      <c r="L44" s="42" t="inlineStr">
        <is>
          <t>KALINA</t>
        </is>
      </c>
      <c r="M44" s="29" t="n">
        <v>12.84556290871567</v>
      </c>
      <c r="N44" s="35" t="n">
        <v>89.54870950880444</v>
      </c>
      <c r="O44" s="36" t="n">
        <v>2973.482766784672</v>
      </c>
      <c r="P44" s="29" t="n">
        <v>4.678503870512914</v>
      </c>
      <c r="Q44" s="16" t="inlineStr">
        <is>
          <t>no</t>
        </is>
      </c>
      <c r="R44" s="16" t="n"/>
    </row>
    <row r="45">
      <c r="A45" s="16" t="inlineStr">
        <is>
          <t>KF-M07-A1-0034</t>
        </is>
      </c>
      <c r="B45" s="35" t="n">
        <v>436.0969531091276</v>
      </c>
      <c r="C45" s="35" t="n">
        <v>279.0977013205448</v>
      </c>
      <c r="D45" s="36" t="n">
        <v>3781.823024523768</v>
      </c>
      <c r="E45" s="35" t="n">
        <v>808.3402577390962</v>
      </c>
      <c r="F45" s="37" t="n">
        <v>0.6347489709498951</v>
      </c>
      <c r="G45" s="37" t="n">
        <v>0.9184829805028722</v>
      </c>
      <c r="H45" s="37" t="n">
        <v>0.6910814839003644</v>
      </c>
      <c r="I45" s="37" t="n">
        <v>0.6777311085206517</v>
      </c>
      <c r="J45" s="37" t="n">
        <v>0.9415298192493302</v>
      </c>
      <c r="K45" s="37" t="n">
        <v>0.8418262585071621</v>
      </c>
      <c r="L45" s="42" t="inlineStr">
        <is>
          <t>KALINA</t>
        </is>
      </c>
      <c r="M45" s="29" t="n">
        <v>12.74232601404055</v>
      </c>
      <c r="N45" s="35" t="n">
        <v>88.79458152231955</v>
      </c>
      <c r="O45" s="36" t="n">
        <v>2973.482766784672</v>
      </c>
      <c r="P45" s="29" t="n">
        <v>4.678503870512914</v>
      </c>
      <c r="Q45" s="16" t="inlineStr">
        <is>
          <t>no</t>
        </is>
      </c>
      <c r="R45" s="16" t="n"/>
    </row>
    <row r="46">
      <c r="A46" s="16" t="inlineStr">
        <is>
          <t>KF-M07-A1-0035</t>
        </is>
      </c>
      <c r="B46" s="35" t="n">
        <v>436.0969531091276</v>
      </c>
      <c r="C46" s="35" t="n">
        <v>279.0977013205448</v>
      </c>
      <c r="D46" s="36" t="n">
        <v>3781.823024523768</v>
      </c>
      <c r="E46" s="35" t="n">
        <v>808.3402577390962</v>
      </c>
      <c r="F46" s="37" t="n">
        <v>0.6347489709498951</v>
      </c>
      <c r="G46" s="37" t="n">
        <v>0.9184829805028722</v>
      </c>
      <c r="H46" s="37" t="n">
        <v>0.7460814839003644</v>
      </c>
      <c r="I46" s="37" t="n">
        <v>0.7327311085206516</v>
      </c>
      <c r="J46" s="37" t="n">
        <v>0.9415298192493302</v>
      </c>
      <c r="K46" s="37" t="n">
        <v>0.8418262585071621</v>
      </c>
      <c r="L46" s="42" t="inlineStr">
        <is>
          <t>KALINA</t>
        </is>
      </c>
      <c r="M46" s="29" t="n">
        <v>12.89463131313613</v>
      </c>
      <c r="N46" s="35" t="n">
        <v>97.27420223465262</v>
      </c>
      <c r="O46" s="36" t="n">
        <v>2973.482766784672</v>
      </c>
      <c r="P46" s="29" t="n">
        <v>4.678503870512914</v>
      </c>
      <c r="Q46" s="16" t="inlineStr">
        <is>
          <t>no</t>
        </is>
      </c>
      <c r="R46" s="16" t="n"/>
    </row>
    <row r="47">
      <c r="A47" s="16" t="inlineStr">
        <is>
          <t>KF-M07-A1-0036</t>
        </is>
      </c>
      <c r="B47" s="35" t="n">
        <v>436.0969531091276</v>
      </c>
      <c r="C47" s="35" t="n">
        <v>279.0977013205448</v>
      </c>
      <c r="D47" s="36" t="n">
        <v>3781.823024523768</v>
      </c>
      <c r="E47" s="35" t="n">
        <v>808.3402577390962</v>
      </c>
      <c r="F47" s="37" t="n">
        <v>0.6347489709498951</v>
      </c>
      <c r="G47" s="37" t="n">
        <v>0.9184829805028722</v>
      </c>
      <c r="H47" s="37" t="n">
        <v>0.7460814839003644</v>
      </c>
      <c r="I47" s="37" t="n">
        <v>0.6227311085206517</v>
      </c>
      <c r="J47" s="37" t="n">
        <v>0.9415298192493302</v>
      </c>
      <c r="K47" s="37" t="n">
        <v>0.8418262585071621</v>
      </c>
      <c r="L47" s="42" t="inlineStr">
        <is>
          <t>KALINA</t>
        </is>
      </c>
      <c r="M47" s="29" t="n">
        <v>12.66958142774679</v>
      </c>
      <c r="N47" s="35" t="n">
        <v>81.06718427288985</v>
      </c>
      <c r="O47" s="36" t="n">
        <v>2973.482766784672</v>
      </c>
      <c r="P47" s="29" t="n">
        <v>4.678503870512914</v>
      </c>
      <c r="Q47" s="16" t="inlineStr">
        <is>
          <t>no</t>
        </is>
      </c>
      <c r="R47" s="16" t="n"/>
    </row>
    <row r="48">
      <c r="A48" s="16" t="inlineStr">
        <is>
          <t>KF-M07-A1-0037</t>
        </is>
      </c>
      <c r="B48" s="35" t="n">
        <v>436.0969531091276</v>
      </c>
      <c r="C48" s="35" t="n">
        <v>279.0977013205448</v>
      </c>
      <c r="D48" s="36" t="n">
        <v>3781.823024523768</v>
      </c>
      <c r="E48" s="35" t="n">
        <v>808.3402577390962</v>
      </c>
      <c r="F48" s="37" t="n">
        <v>0.6347489709498951</v>
      </c>
      <c r="G48" s="37" t="n">
        <v>0.9184829805028722</v>
      </c>
      <c r="H48" s="37" t="n">
        <v>0.7460814839003644</v>
      </c>
      <c r="I48" s="37" t="n">
        <v>0.6777311085206517</v>
      </c>
      <c r="J48" s="37" t="n">
        <v>0.95</v>
      </c>
      <c r="K48" s="37" t="n">
        <v>0.8418262585071621</v>
      </c>
      <c r="L48" s="42" t="inlineStr">
        <is>
          <t>KALINA</t>
        </is>
      </c>
      <c r="M48" s="29" t="n">
        <v>12.84351626374689</v>
      </c>
      <c r="N48" s="35" t="n">
        <v>89.31083754119197</v>
      </c>
      <c r="O48" s="36" t="n">
        <v>2973.482766784672</v>
      </c>
      <c r="P48" s="29" t="n">
        <v>4.678503870512914</v>
      </c>
      <c r="Q48" s="16" t="inlineStr">
        <is>
          <t>no</t>
        </is>
      </c>
      <c r="R48" s="16" t="n"/>
    </row>
    <row r="49">
      <c r="A49" s="16" t="inlineStr">
        <is>
          <t>KF-M07-A1-0038</t>
        </is>
      </c>
      <c r="B49" s="35" t="n">
        <v>436.0969531091276</v>
      </c>
      <c r="C49" s="35" t="n">
        <v>279.0977013205448</v>
      </c>
      <c r="D49" s="36" t="n">
        <v>3781.823024523768</v>
      </c>
      <c r="E49" s="35" t="n">
        <v>808.3402577390962</v>
      </c>
      <c r="F49" s="37" t="n">
        <v>0.6347489709498951</v>
      </c>
      <c r="G49" s="37" t="n">
        <v>0.9184829805028722</v>
      </c>
      <c r="H49" s="37" t="n">
        <v>0.7460814839003644</v>
      </c>
      <c r="I49" s="37" t="n">
        <v>0.6777311085206517</v>
      </c>
      <c r="J49" s="37" t="n">
        <v>0.8865298192493303</v>
      </c>
      <c r="K49" s="37" t="n">
        <v>0.8418262585071621</v>
      </c>
      <c r="L49" s="42" t="inlineStr">
        <is>
          <t>KALINA</t>
        </is>
      </c>
      <c r="M49" s="29" t="n">
        <v>12.50625909416707</v>
      </c>
      <c r="N49" s="35" t="n">
        <v>88.47727563992794</v>
      </c>
      <c r="O49" s="36" t="n">
        <v>2973.482766784672</v>
      </c>
      <c r="P49" s="29" t="n">
        <v>4.678503870512914</v>
      </c>
      <c r="Q49" s="16" t="inlineStr">
        <is>
          <t>no</t>
        </is>
      </c>
      <c r="R49" s="16" t="n"/>
    </row>
    <row r="50">
      <c r="A50" s="16" t="inlineStr">
        <is>
          <t>KF-M07-A1-0039</t>
        </is>
      </c>
      <c r="B50" s="35" t="n">
        <v>436.0969531091276</v>
      </c>
      <c r="C50" s="35" t="n">
        <v>279.0977013205448</v>
      </c>
      <c r="D50" s="36" t="n">
        <v>3781.823024523768</v>
      </c>
      <c r="E50" s="35" t="n">
        <v>808.3402577390962</v>
      </c>
      <c r="F50" s="37" t="n">
        <v>0.6347489709498951</v>
      </c>
      <c r="G50" s="37" t="n">
        <v>0.9184829805028722</v>
      </c>
      <c r="H50" s="37" t="n">
        <v>0.7460814839003644</v>
      </c>
      <c r="I50" s="37" t="n">
        <v>0.6777311085206517</v>
      </c>
      <c r="J50" s="37" t="n">
        <v>0.9415298192493302</v>
      </c>
      <c r="K50" s="37" t="n">
        <v>0.896826258507162</v>
      </c>
      <c r="L50" s="42" t="inlineStr">
        <is>
          <t>KALINA</t>
        </is>
      </c>
      <c r="M50" s="29" t="n">
        <v>12.43886497545856</v>
      </c>
      <c r="N50" s="35" t="n">
        <v>88.35202349484268</v>
      </c>
      <c r="O50" s="36" t="n">
        <v>2973.482766784672</v>
      </c>
      <c r="P50" s="29" t="n">
        <v>4.678503870512914</v>
      </c>
      <c r="Q50" s="16" t="inlineStr">
        <is>
          <t>no</t>
        </is>
      </c>
      <c r="R50" s="16" t="n"/>
    </row>
    <row r="51">
      <c r="A51" s="16" t="inlineStr">
        <is>
          <t>KF-M07-A1-0040</t>
        </is>
      </c>
      <c r="B51" s="35" t="n">
        <v>436.0969531091276</v>
      </c>
      <c r="C51" s="35" t="n">
        <v>279.0977013205448</v>
      </c>
      <c r="D51" s="36" t="n">
        <v>3781.823024523768</v>
      </c>
      <c r="E51" s="35" t="n">
        <v>808.3402577390962</v>
      </c>
      <c r="F51" s="37" t="n">
        <v>0.6347489709498951</v>
      </c>
      <c r="G51" s="37" t="n">
        <v>0.9184829805028722</v>
      </c>
      <c r="H51" s="37" t="n">
        <v>0.7460814839003644</v>
      </c>
      <c r="I51" s="37" t="n">
        <v>0.6777311085206517</v>
      </c>
      <c r="J51" s="37" t="n">
        <v>0.9415298192493302</v>
      </c>
      <c r="K51" s="37" t="n">
        <v>0.7868262585071621</v>
      </c>
      <c r="L51" s="39" t="inlineStr">
        <is>
          <t>Corregible</t>
        </is>
      </c>
      <c r="M51" s="29" t="n">
        <v>13.20031115251013</v>
      </c>
      <c r="N51" s="35" t="n">
        <v>90.07547268095124</v>
      </c>
      <c r="O51" s="36" t="n">
        <v>2973.482766784672</v>
      </c>
      <c r="P51" s="29" t="n">
        <v>4.678503870512914</v>
      </c>
      <c r="Q51" s="16" t="inlineStr">
        <is>
          <t>no</t>
        </is>
      </c>
      <c r="R51" s="16" t="inlineStr">
        <is>
          <t>O2</t>
        </is>
      </c>
    </row>
    <row r="52">
      <c r="A52" s="16" t="inlineStr">
        <is>
          <t>KF-M07-A1-0041</t>
        </is>
      </c>
      <c r="B52" s="35" t="n">
        <v>448.0969531091276</v>
      </c>
      <c r="C52" s="35" t="n">
        <v>279.0977013205448</v>
      </c>
      <c r="D52" s="36" t="n">
        <v>3781.823024523768</v>
      </c>
      <c r="E52" s="35" t="n">
        <v>808.3402577390962</v>
      </c>
      <c r="F52" s="37" t="n">
        <v>0.6347489709498951</v>
      </c>
      <c r="G52" s="37" t="n">
        <v>0.95</v>
      </c>
      <c r="H52" s="37" t="n">
        <v>0.7460814839003644</v>
      </c>
      <c r="I52" s="37" t="n">
        <v>0.6777311085206517</v>
      </c>
      <c r="J52" s="37" t="n">
        <v>0.9415298192493302</v>
      </c>
      <c r="K52" s="37" t="n">
        <v>0.8418262585071621</v>
      </c>
      <c r="L52" s="42" t="inlineStr">
        <is>
          <t>KALINA</t>
        </is>
      </c>
      <c r="M52" s="29" t="n">
        <v>13.46342439501073</v>
      </c>
      <c r="N52" s="35" t="n">
        <v>114.7386654322108</v>
      </c>
      <c r="O52" s="36" t="n">
        <v>2973.482766784672</v>
      </c>
      <c r="P52" s="29" t="n">
        <v>4.678503870512914</v>
      </c>
      <c r="Q52" s="16" t="inlineStr">
        <is>
          <t>sí</t>
        </is>
      </c>
      <c r="R52" s="16" t="n"/>
    </row>
    <row r="53">
      <c r="A53" s="16" t="inlineStr">
        <is>
          <t>KF-M07-A1-0042</t>
        </is>
      </c>
      <c r="B53" s="35" t="n">
        <v>424.0969531091276</v>
      </c>
      <c r="C53" s="35" t="n">
        <v>279.0977013205448</v>
      </c>
      <c r="D53" s="36" t="n">
        <v>3781.823024523768</v>
      </c>
      <c r="E53" s="35" t="n">
        <v>808.3402577390962</v>
      </c>
      <c r="F53" s="37" t="n">
        <v>0.6347489709498951</v>
      </c>
      <c r="G53" s="37" t="n">
        <v>0.95</v>
      </c>
      <c r="H53" s="37" t="n">
        <v>0.7460814839003644</v>
      </c>
      <c r="I53" s="37" t="n">
        <v>0.6777311085206517</v>
      </c>
      <c r="J53" s="37" t="n">
        <v>0.9415298192493302</v>
      </c>
      <c r="K53" s="37" t="n">
        <v>0.8418262585071621</v>
      </c>
      <c r="L53" s="42" t="inlineStr">
        <is>
          <t>KALINA</t>
        </is>
      </c>
      <c r="M53" s="29" t="n">
        <v>12.90875750303493</v>
      </c>
      <c r="N53" s="35" t="n">
        <v>73.37011435685817</v>
      </c>
      <c r="O53" s="36" t="n">
        <v>2973.482766784672</v>
      </c>
      <c r="P53" s="29" t="n">
        <v>4.678503870512914</v>
      </c>
      <c r="Q53" s="16" t="inlineStr">
        <is>
          <t>no</t>
        </is>
      </c>
      <c r="R53" s="16" t="n"/>
    </row>
    <row r="54">
      <c r="A54" s="16" t="inlineStr">
        <is>
          <t>KF-M07-A1-0043</t>
        </is>
      </c>
      <c r="B54" s="35" t="n">
        <v>436.0969531091276</v>
      </c>
      <c r="C54" s="35" t="n">
        <v>281.6377013205448</v>
      </c>
      <c r="D54" s="36" t="n">
        <v>3781.823024523768</v>
      </c>
      <c r="E54" s="35" t="n">
        <v>808.3402577390962</v>
      </c>
      <c r="F54" s="37" t="n">
        <v>0.6347489709498951</v>
      </c>
      <c r="G54" s="37" t="n">
        <v>0.95</v>
      </c>
      <c r="H54" s="37" t="n">
        <v>0.7460814839003644</v>
      </c>
      <c r="I54" s="37" t="n">
        <v>0.6777311085206517</v>
      </c>
      <c r="J54" s="37" t="n">
        <v>0.9415298192493302</v>
      </c>
      <c r="K54" s="37" t="n">
        <v>0.8418262585071621</v>
      </c>
      <c r="L54" s="42" t="inlineStr">
        <is>
          <t>KALINA</t>
        </is>
      </c>
      <c r="M54" s="29" t="n">
        <v>13.35783826414325</v>
      </c>
      <c r="N54" s="35" t="n">
        <v>92.65857272494458</v>
      </c>
      <c r="O54" s="36" t="n">
        <v>2973.482766784672</v>
      </c>
      <c r="P54" s="29" t="n">
        <v>4.678503870512914</v>
      </c>
      <c r="Q54" s="16" t="inlineStr">
        <is>
          <t>no</t>
        </is>
      </c>
      <c r="R54" s="16" t="n"/>
    </row>
    <row r="55">
      <c r="A55" s="16" t="inlineStr">
        <is>
          <t>KF-M07-A1-0044</t>
        </is>
      </c>
      <c r="B55" s="35" t="n">
        <v>436.0969531091276</v>
      </c>
      <c r="C55" s="35" t="n">
        <v>278.15</v>
      </c>
      <c r="D55" s="36" t="n">
        <v>3781.823024523768</v>
      </c>
      <c r="E55" s="35" t="n">
        <v>808.3402577390962</v>
      </c>
      <c r="F55" s="37" t="n">
        <v>0.6347489709498951</v>
      </c>
      <c r="G55" s="37" t="n">
        <v>0.95</v>
      </c>
      <c r="H55" s="37" t="n">
        <v>0.7460814839003644</v>
      </c>
      <c r="I55" s="37" t="n">
        <v>0.6777311085206517</v>
      </c>
      <c r="J55" s="37" t="n">
        <v>0.9415298192493302</v>
      </c>
      <c r="K55" s="37" t="n">
        <v>0.8418262585071621</v>
      </c>
      <c r="L55" s="42" t="inlineStr">
        <is>
          <t>KALINA</t>
        </is>
      </c>
      <c r="M55" s="29" t="n">
        <v>13.22036228470146</v>
      </c>
      <c r="N55" s="35" t="n">
        <v>92.34114646011736</v>
      </c>
      <c r="O55" s="36" t="n">
        <v>2973.482766784672</v>
      </c>
      <c r="P55" s="29" t="n">
        <v>4.678503870512914</v>
      </c>
      <c r="Q55" s="16" t="inlineStr">
        <is>
          <t>no</t>
        </is>
      </c>
      <c r="R55" s="16" t="n"/>
    </row>
    <row r="56">
      <c r="A56" s="16" t="inlineStr">
        <is>
          <t>KF-M07-A1-0045</t>
        </is>
      </c>
      <c r="B56" s="35" t="n">
        <v>436.0969531091276</v>
      </c>
      <c r="C56" s="35" t="n">
        <v>279.0977013205448</v>
      </c>
      <c r="D56" s="36" t="n">
        <v>4081.823024523768</v>
      </c>
      <c r="E56" s="35" t="n">
        <v>808.3402577390962</v>
      </c>
      <c r="F56" s="37" t="n">
        <v>0.6347489709498951</v>
      </c>
      <c r="G56" s="37" t="n">
        <v>0.95</v>
      </c>
      <c r="H56" s="37" t="n">
        <v>0.7460814839003644</v>
      </c>
      <c r="I56" s="37" t="n">
        <v>0.6777311085206517</v>
      </c>
      <c r="J56" s="37" t="n">
        <v>0.9415298192493302</v>
      </c>
      <c r="K56" s="37" t="n">
        <v>0.8418262585071621</v>
      </c>
      <c r="L56" s="42" t="inlineStr">
        <is>
          <t>KALINA</t>
        </is>
      </c>
      <c r="M56" s="29" t="n">
        <v>13.68794628036867</v>
      </c>
      <c r="N56" s="35" t="n">
        <v>89.65125791625248</v>
      </c>
      <c r="O56" s="36" t="n">
        <v>3273.482766784672</v>
      </c>
      <c r="P56" s="29" t="n">
        <v>5.049634711922558</v>
      </c>
      <c r="Q56" s="16" t="inlineStr">
        <is>
          <t>no</t>
        </is>
      </c>
      <c r="R56" s="16" t="n"/>
    </row>
    <row r="57">
      <c r="A57" s="16" t="inlineStr">
        <is>
          <t>KF-M07-A1-0046</t>
        </is>
      </c>
      <c r="B57" s="35" t="n">
        <v>436.0969531091276</v>
      </c>
      <c r="C57" s="35" t="n">
        <v>279.0977013205448</v>
      </c>
      <c r="D57" s="36" t="n">
        <v>3481.823024523768</v>
      </c>
      <c r="E57" s="35" t="n">
        <v>808.3402577390962</v>
      </c>
      <c r="F57" s="37" t="n">
        <v>0.6347489709498951</v>
      </c>
      <c r="G57" s="37" t="n">
        <v>0.95</v>
      </c>
      <c r="H57" s="37" t="n">
        <v>0.7460814839003644</v>
      </c>
      <c r="I57" s="37" t="n">
        <v>0.6777311085206517</v>
      </c>
      <c r="J57" s="37" t="n">
        <v>0.9415298192493302</v>
      </c>
      <c r="K57" s="37" t="n">
        <v>0.8418262585071621</v>
      </c>
      <c r="L57" s="42" t="inlineStr">
        <is>
          <t>KALINA</t>
        </is>
      </c>
      <c r="M57" s="29" t="n">
        <v>12.74050241318179</v>
      </c>
      <c r="N57" s="35" t="n">
        <v>94.70442550555239</v>
      </c>
      <c r="O57" s="36" t="n">
        <v>2673.482766784672</v>
      </c>
      <c r="P57" s="29" t="n">
        <v>4.307373029103269</v>
      </c>
      <c r="Q57" s="16" t="inlineStr">
        <is>
          <t>no</t>
        </is>
      </c>
      <c r="R57" s="16" t="n"/>
    </row>
    <row r="58">
      <c r="A58" s="16" t="inlineStr">
        <is>
          <t>KF-M07-A1-0047</t>
        </is>
      </c>
      <c r="B58" s="35" t="n">
        <v>436.0969531091276</v>
      </c>
      <c r="C58" s="35" t="n">
        <v>279.0977013205448</v>
      </c>
      <c r="D58" s="36" t="n">
        <v>3781.823024523768</v>
      </c>
      <c r="E58" s="35" t="n">
        <v>1028.340257739096</v>
      </c>
      <c r="F58" s="37" t="n">
        <v>0.6347489709498951</v>
      </c>
      <c r="G58" s="37" t="n">
        <v>0.95</v>
      </c>
      <c r="H58" s="37" t="n">
        <v>0.7460814839003644</v>
      </c>
      <c r="I58" s="37" t="n">
        <v>0.6777311085206517</v>
      </c>
      <c r="J58" s="37" t="n">
        <v>0.9415298192493302</v>
      </c>
      <c r="K58" s="37" t="n">
        <v>0.8418262585071621</v>
      </c>
      <c r="L58" s="42" t="inlineStr">
        <is>
          <t>KALINA</t>
        </is>
      </c>
      <c r="M58" s="29" t="n">
        <v>11.29740160250169</v>
      </c>
      <c r="N58" s="35" t="n">
        <v>78.682980235446</v>
      </c>
      <c r="O58" s="36" t="n">
        <v>2753.482766784672</v>
      </c>
      <c r="P58" s="29" t="n">
        <v>3.677598923179829</v>
      </c>
      <c r="Q58" s="16" t="inlineStr">
        <is>
          <t>no</t>
        </is>
      </c>
      <c r="R58" s="16" t="n"/>
    </row>
    <row r="59">
      <c r="A59" s="16" t="inlineStr">
        <is>
          <t>KF-M07-A1-0048</t>
        </is>
      </c>
      <c r="B59" s="35" t="n">
        <v>436.0969531091276</v>
      </c>
      <c r="C59" s="35" t="n">
        <v>279.0977013205448</v>
      </c>
      <c r="D59" s="36" t="n">
        <v>3781.823024523768</v>
      </c>
      <c r="E59" s="35" t="n">
        <v>588.3402577390962</v>
      </c>
      <c r="F59" s="37" t="n">
        <v>0.6347489709498951</v>
      </c>
      <c r="G59" s="37" t="n">
        <v>0.95</v>
      </c>
      <c r="H59" s="37" t="n">
        <v>0.7460814839003644</v>
      </c>
      <c r="I59" s="37" t="n">
        <v>0.6777311085206517</v>
      </c>
      <c r="J59" s="37" t="n">
        <v>0.9415298192493302</v>
      </c>
      <c r="K59" s="37" t="n">
        <v>0.8418262585071621</v>
      </c>
      <c r="L59" s="39" t="inlineStr">
        <is>
          <t>Corregible</t>
        </is>
      </c>
      <c r="M59" s="29" t="n">
        <v>15.75664164975191</v>
      </c>
      <c r="N59" s="35" t="n">
        <v>109.9925456274698</v>
      </c>
      <c r="O59" s="36" t="n">
        <v>3193.482766784672</v>
      </c>
      <c r="P59" s="29" t="n">
        <v>6.427952149758966</v>
      </c>
      <c r="Q59" s="16" t="inlineStr">
        <is>
          <t>no</t>
        </is>
      </c>
      <c r="R59" s="16" t="inlineStr">
        <is>
          <t>O2</t>
        </is>
      </c>
    </row>
    <row r="60">
      <c r="A60" s="16" t="inlineStr">
        <is>
          <t>KF-M07-A1-0049</t>
        </is>
      </c>
      <c r="B60" s="35" t="n">
        <v>436.0969531091276</v>
      </c>
      <c r="C60" s="35" t="n">
        <v>279.0977013205448</v>
      </c>
      <c r="D60" s="36" t="n">
        <v>3781.823024523768</v>
      </c>
      <c r="E60" s="35" t="n">
        <v>808.3402577390962</v>
      </c>
      <c r="F60" s="37" t="n">
        <v>0.6697489709498952</v>
      </c>
      <c r="G60" s="37" t="n">
        <v>0.95</v>
      </c>
      <c r="H60" s="37" t="n">
        <v>0.7460814839003644</v>
      </c>
      <c r="I60" s="37" t="n">
        <v>0.6777311085206517</v>
      </c>
      <c r="J60" s="37" t="n">
        <v>0.9415298192493302</v>
      </c>
      <c r="K60" s="37" t="n">
        <v>0.8418262585071621</v>
      </c>
      <c r="L60" s="42" t="inlineStr">
        <is>
          <t>KALINA</t>
        </is>
      </c>
      <c r="M60" s="29" t="n">
        <v>13.6772989134413</v>
      </c>
      <c r="N60" s="35" t="n">
        <v>103.8753862965861</v>
      </c>
      <c r="O60" s="36" t="n">
        <v>2973.482766784672</v>
      </c>
      <c r="P60" s="29" t="n">
        <v>4.678503870512914</v>
      </c>
      <c r="Q60" s="16" t="inlineStr">
        <is>
          <t>no</t>
        </is>
      </c>
      <c r="R60" s="16" t="n"/>
    </row>
    <row r="61">
      <c r="A61" s="16" t="inlineStr">
        <is>
          <t>KF-M07-A1-0050</t>
        </is>
      </c>
      <c r="B61" s="35" t="n">
        <v>436.0969531091276</v>
      </c>
      <c r="C61" s="35" t="n">
        <v>279.0977013205448</v>
      </c>
      <c r="D61" s="36" t="n">
        <v>3781.823024523768</v>
      </c>
      <c r="E61" s="35" t="n">
        <v>808.3402577390962</v>
      </c>
      <c r="F61" s="37" t="n">
        <v>0.5997489709498951</v>
      </c>
      <c r="G61" s="37" t="n">
        <v>0.95</v>
      </c>
      <c r="H61" s="37" t="n">
        <v>0.7460814839003644</v>
      </c>
      <c r="I61" s="37" t="n">
        <v>0.6777311085206517</v>
      </c>
      <c r="J61" s="37" t="n">
        <v>0.9415298192493302</v>
      </c>
      <c r="K61" s="37" t="n">
        <v>0.8418262585071621</v>
      </c>
      <c r="L61" s="42" t="inlineStr">
        <is>
          <t>KALINA</t>
        </is>
      </c>
      <c r="M61" s="29" t="n">
        <v>12.80731155557322</v>
      </c>
      <c r="N61" s="35" t="n">
        <v>80.987623009131</v>
      </c>
      <c r="O61" s="36" t="n">
        <v>2973.482766784672</v>
      </c>
      <c r="P61" s="29" t="n">
        <v>4.678503870512914</v>
      </c>
      <c r="Q61" s="16" t="inlineStr">
        <is>
          <t>no</t>
        </is>
      </c>
      <c r="R61" s="16" t="n"/>
    </row>
    <row r="62">
      <c r="A62" s="16" t="inlineStr">
        <is>
          <t>KF-M07-A1-0051</t>
        </is>
      </c>
      <c r="B62" s="35" t="n">
        <v>436.0969531091276</v>
      </c>
      <c r="C62" s="35" t="n">
        <v>279.0977013205448</v>
      </c>
      <c r="D62" s="36" t="n">
        <v>3781.823024523768</v>
      </c>
      <c r="E62" s="35" t="n">
        <v>808.3402577390962</v>
      </c>
      <c r="F62" s="37" t="n">
        <v>0.6347489709498951</v>
      </c>
      <c r="G62" s="37" t="n">
        <v>0.895</v>
      </c>
      <c r="H62" s="37" t="n">
        <v>0.7460814839003644</v>
      </c>
      <c r="I62" s="37" t="n">
        <v>0.6777311085206517</v>
      </c>
      <c r="J62" s="37" t="n">
        <v>0.9415298192493302</v>
      </c>
      <c r="K62" s="37" t="n">
        <v>0.8418262585071621</v>
      </c>
      <c r="L62" s="42" t="inlineStr">
        <is>
          <t>KALINA</t>
        </is>
      </c>
      <c r="M62" s="29" t="n">
        <v>12.45502127451642</v>
      </c>
      <c r="N62" s="35" t="n">
        <v>86.7939139210615</v>
      </c>
      <c r="O62" s="36" t="n">
        <v>2973.482766784672</v>
      </c>
      <c r="P62" s="29" t="n">
        <v>4.678503870512914</v>
      </c>
      <c r="Q62" s="16" t="inlineStr">
        <is>
          <t>no</t>
        </is>
      </c>
      <c r="R62" s="16" t="n"/>
    </row>
    <row r="63">
      <c r="A63" s="16" t="inlineStr">
        <is>
          <t>KF-M07-A1-0052</t>
        </is>
      </c>
      <c r="B63" s="35" t="n">
        <v>436.0969531091276</v>
      </c>
      <c r="C63" s="35" t="n">
        <v>279.0977013205448</v>
      </c>
      <c r="D63" s="36" t="n">
        <v>3781.823024523768</v>
      </c>
      <c r="E63" s="35" t="n">
        <v>808.3402577390962</v>
      </c>
      <c r="F63" s="37" t="n">
        <v>0.6347489709498951</v>
      </c>
      <c r="G63" s="37" t="n">
        <v>0.95</v>
      </c>
      <c r="H63" s="37" t="n">
        <v>0.8010814839003644</v>
      </c>
      <c r="I63" s="37" t="n">
        <v>0.6777311085206517</v>
      </c>
      <c r="J63" s="37" t="n">
        <v>0.9415298192493302</v>
      </c>
      <c r="K63" s="37" t="n">
        <v>0.8418262585071621</v>
      </c>
      <c r="L63" s="42" t="inlineStr">
        <is>
          <t>KALINA</t>
        </is>
      </c>
      <c r="M63" s="29" t="n">
        <v>13.3051049476497</v>
      </c>
      <c r="N63" s="35" t="n">
        <v>92.77614047170816</v>
      </c>
      <c r="O63" s="36" t="n">
        <v>2973.482766784672</v>
      </c>
      <c r="P63" s="29" t="n">
        <v>4.678503870512914</v>
      </c>
      <c r="Q63" s="16" t="inlineStr">
        <is>
          <t>no</t>
        </is>
      </c>
      <c r="R63" s="16" t="n"/>
    </row>
    <row r="64">
      <c r="A64" s="16" t="inlineStr">
        <is>
          <t>KF-M07-A1-0053</t>
        </is>
      </c>
      <c r="B64" s="35" t="n">
        <v>436.0969531091276</v>
      </c>
      <c r="C64" s="35" t="n">
        <v>279.0977013205448</v>
      </c>
      <c r="D64" s="36" t="n">
        <v>3781.823024523768</v>
      </c>
      <c r="E64" s="35" t="n">
        <v>808.3402577390962</v>
      </c>
      <c r="F64" s="37" t="n">
        <v>0.6347489709498951</v>
      </c>
      <c r="G64" s="37" t="n">
        <v>0.95</v>
      </c>
      <c r="H64" s="37" t="n">
        <v>0.6910814839003644</v>
      </c>
      <c r="I64" s="37" t="n">
        <v>0.6777311085206517</v>
      </c>
      <c r="J64" s="37" t="n">
        <v>0.9415298192493302</v>
      </c>
      <c r="K64" s="37" t="n">
        <v>0.8418262585071621</v>
      </c>
      <c r="L64" s="42" t="inlineStr">
        <is>
          <t>KALINA</t>
        </is>
      </c>
      <c r="M64" s="29" t="n">
        <v>13.20217982655779</v>
      </c>
      <c r="N64" s="35" t="n">
        <v>92.0227741175854</v>
      </c>
      <c r="O64" s="36" t="n">
        <v>2973.482766784672</v>
      </c>
      <c r="P64" s="29" t="n">
        <v>4.678503870512914</v>
      </c>
      <c r="Q64" s="16" t="inlineStr">
        <is>
          <t>no</t>
        </is>
      </c>
      <c r="R64" s="16" t="n"/>
    </row>
    <row r="65">
      <c r="A65" s="16" t="inlineStr">
        <is>
          <t>KF-M07-A1-0054</t>
        </is>
      </c>
      <c r="B65" s="35" t="n">
        <v>436.0969531091276</v>
      </c>
      <c r="C65" s="35" t="n">
        <v>279.0977013205448</v>
      </c>
      <c r="D65" s="36" t="n">
        <v>3781.823024523768</v>
      </c>
      <c r="E65" s="35" t="n">
        <v>808.3402577390962</v>
      </c>
      <c r="F65" s="37" t="n">
        <v>0.6347489709498951</v>
      </c>
      <c r="G65" s="37" t="n">
        <v>0.95</v>
      </c>
      <c r="H65" s="37" t="n">
        <v>0.7460814839003644</v>
      </c>
      <c r="I65" s="37" t="n">
        <v>0.7327311085206516</v>
      </c>
      <c r="J65" s="37" t="n">
        <v>0.9415298192493302</v>
      </c>
      <c r="K65" s="37" t="n">
        <v>0.8418262585071621</v>
      </c>
      <c r="L65" s="42" t="inlineStr">
        <is>
          <t>KALINA</t>
        </is>
      </c>
      <c r="M65" s="29" t="n">
        <v>13.35546307501219</v>
      </c>
      <c r="N65" s="35" t="n">
        <v>100.7803535035686</v>
      </c>
      <c r="O65" s="36" t="n">
        <v>2973.482766784672</v>
      </c>
      <c r="P65" s="29" t="n">
        <v>4.678503870512914</v>
      </c>
      <c r="Q65" s="16" t="inlineStr">
        <is>
          <t>no</t>
        </is>
      </c>
      <c r="R65" s="16" t="n"/>
    </row>
    <row r="66">
      <c r="A66" s="16" t="inlineStr">
        <is>
          <t>KF-M07-A1-0055</t>
        </is>
      </c>
      <c r="B66" s="35" t="n">
        <v>436.0969531091276</v>
      </c>
      <c r="C66" s="35" t="n">
        <v>279.0977013205448</v>
      </c>
      <c r="D66" s="36" t="n">
        <v>3781.823024523768</v>
      </c>
      <c r="E66" s="35" t="n">
        <v>808.3402577390962</v>
      </c>
      <c r="F66" s="37" t="n">
        <v>0.6347489709498951</v>
      </c>
      <c r="G66" s="37" t="n">
        <v>0.95</v>
      </c>
      <c r="H66" s="37" t="n">
        <v>0.7460814839003644</v>
      </c>
      <c r="I66" s="37" t="n">
        <v>0.6227311085206517</v>
      </c>
      <c r="J66" s="37" t="n">
        <v>0.9415298192493302</v>
      </c>
      <c r="K66" s="37" t="n">
        <v>0.8418262585071621</v>
      </c>
      <c r="L66" s="42" t="inlineStr">
        <is>
          <t>KALINA</t>
        </is>
      </c>
      <c r="M66" s="29" t="n">
        <v>13.12739762535092</v>
      </c>
      <c r="N66" s="35" t="n">
        <v>84.01516126583648</v>
      </c>
      <c r="O66" s="36" t="n">
        <v>2973.482766784672</v>
      </c>
      <c r="P66" s="29" t="n">
        <v>4.678503870512914</v>
      </c>
      <c r="Q66" s="16" t="inlineStr">
        <is>
          <t>no</t>
        </is>
      </c>
      <c r="R66" s="16" t="n"/>
    </row>
    <row r="67">
      <c r="A67" s="16" t="inlineStr">
        <is>
          <t>KF-M07-A1-0056</t>
        </is>
      </c>
      <c r="B67" s="35" t="n">
        <v>436.0969531091276</v>
      </c>
      <c r="C67" s="35" t="n">
        <v>279.0977013205448</v>
      </c>
      <c r="D67" s="36" t="n">
        <v>3781.823024523768</v>
      </c>
      <c r="E67" s="35" t="n">
        <v>808.3402577390962</v>
      </c>
      <c r="F67" s="37" t="n">
        <v>0.6347489709498951</v>
      </c>
      <c r="G67" s="37" t="n">
        <v>0.95</v>
      </c>
      <c r="H67" s="37" t="n">
        <v>0.7460814839003644</v>
      </c>
      <c r="I67" s="37" t="n">
        <v>0.6777311085206517</v>
      </c>
      <c r="J67" s="37" t="n">
        <v>0.95</v>
      </c>
      <c r="K67" s="37" t="n">
        <v>0.8418262585071621</v>
      </c>
      <c r="L67" s="42" t="inlineStr">
        <is>
          <t>KALINA</t>
        </is>
      </c>
      <c r="M67" s="29" t="n">
        <v>13.30484648410884</v>
      </c>
      <c r="N67" s="35" t="n">
        <v>92.54252638208756</v>
      </c>
      <c r="O67" s="36" t="n">
        <v>2973.482766784672</v>
      </c>
      <c r="P67" s="29" t="n">
        <v>4.678503870512914</v>
      </c>
      <c r="Q67" s="16" t="inlineStr">
        <is>
          <t>no</t>
        </is>
      </c>
      <c r="R67" s="16" t="n"/>
    </row>
    <row r="68">
      <c r="A68" s="16" t="inlineStr">
        <is>
          <t>KF-M07-A1-0057</t>
        </is>
      </c>
      <c r="B68" s="35" t="n">
        <v>436.0969531091276</v>
      </c>
      <c r="C68" s="35" t="n">
        <v>279.0977013205448</v>
      </c>
      <c r="D68" s="36" t="n">
        <v>3781.823024523768</v>
      </c>
      <c r="E68" s="35" t="n">
        <v>808.3402577390962</v>
      </c>
      <c r="F68" s="37" t="n">
        <v>0.6347489709498951</v>
      </c>
      <c r="G68" s="37" t="n">
        <v>0.95</v>
      </c>
      <c r="H68" s="37" t="n">
        <v>0.7460814839003644</v>
      </c>
      <c r="I68" s="37" t="n">
        <v>0.6777311085206517</v>
      </c>
      <c r="J68" s="37" t="n">
        <v>0.8865298192493303</v>
      </c>
      <c r="K68" s="37" t="n">
        <v>0.8418262585071621</v>
      </c>
      <c r="L68" s="42" t="inlineStr">
        <is>
          <t>KALINA</t>
        </is>
      </c>
      <c r="M68" s="29" t="n">
        <v>12.95547744378875</v>
      </c>
      <c r="N68" s="35" t="n">
        <v>91.6797443984302</v>
      </c>
      <c r="O68" s="36" t="n">
        <v>2973.482766784672</v>
      </c>
      <c r="P68" s="29" t="n">
        <v>4.678503870512914</v>
      </c>
      <c r="Q68" s="16" t="inlineStr">
        <is>
          <t>no</t>
        </is>
      </c>
      <c r="R68" s="16" t="n"/>
    </row>
    <row r="69">
      <c r="A69" s="16" t="inlineStr">
        <is>
          <t>KF-M07-A1-0058</t>
        </is>
      </c>
      <c r="B69" s="35" t="n">
        <v>436.0969531091276</v>
      </c>
      <c r="C69" s="35" t="n">
        <v>279.0977013205448</v>
      </c>
      <c r="D69" s="36" t="n">
        <v>3781.823024523768</v>
      </c>
      <c r="E69" s="35" t="n">
        <v>808.3402577390962</v>
      </c>
      <c r="F69" s="37" t="n">
        <v>0.6347489709498951</v>
      </c>
      <c r="G69" s="37" t="n">
        <v>0.95</v>
      </c>
      <c r="H69" s="37" t="n">
        <v>0.7460814839003644</v>
      </c>
      <c r="I69" s="37" t="n">
        <v>0.6777311085206517</v>
      </c>
      <c r="J69" s="37" t="n">
        <v>0.9415298192493302</v>
      </c>
      <c r="K69" s="37" t="n">
        <v>0.896826258507162</v>
      </c>
      <c r="L69" s="42" t="inlineStr">
        <is>
          <t>KALINA</t>
        </is>
      </c>
      <c r="M69" s="29" t="n">
        <v>12.88752548482112</v>
      </c>
      <c r="N69" s="35" t="n">
        <v>91.55302639082748</v>
      </c>
      <c r="O69" s="36" t="n">
        <v>2973.482766784672</v>
      </c>
      <c r="P69" s="29" t="n">
        <v>4.678503870512914</v>
      </c>
      <c r="Q69" s="16" t="inlineStr">
        <is>
          <t>no</t>
        </is>
      </c>
      <c r="R69" s="16" t="n"/>
    </row>
    <row r="70">
      <c r="A70" s="16" t="inlineStr">
        <is>
          <t>KF-M07-A1-0059</t>
        </is>
      </c>
      <c r="B70" s="35" t="n">
        <v>436.0969531091276</v>
      </c>
      <c r="C70" s="35" t="n">
        <v>279.0977013205448</v>
      </c>
      <c r="D70" s="36" t="n">
        <v>3781.823024523768</v>
      </c>
      <c r="E70" s="35" t="n">
        <v>808.3402577390962</v>
      </c>
      <c r="F70" s="37" t="n">
        <v>0.6347489709498951</v>
      </c>
      <c r="G70" s="37" t="n">
        <v>0.95</v>
      </c>
      <c r="H70" s="37" t="n">
        <v>0.7460814839003644</v>
      </c>
      <c r="I70" s="37" t="n">
        <v>0.6777311085206517</v>
      </c>
      <c r="J70" s="37" t="n">
        <v>0.9415298192493302</v>
      </c>
      <c r="K70" s="37" t="n">
        <v>0.7868262585071621</v>
      </c>
      <c r="L70" s="39" t="inlineStr">
        <is>
          <t>Corregible</t>
        </is>
      </c>
      <c r="M70" s="29" t="n">
        <v>13.67342017979734</v>
      </c>
      <c r="N70" s="35" t="n">
        <v>93.33950563114676</v>
      </c>
      <c r="O70" s="36" t="n">
        <v>2973.482766784672</v>
      </c>
      <c r="P70" s="29" t="n">
        <v>4.678503870512914</v>
      </c>
      <c r="Q70" s="16" t="inlineStr">
        <is>
          <t>no</t>
        </is>
      </c>
      <c r="R70" s="16" t="inlineStr">
        <is>
          <t>O2</t>
        </is>
      </c>
    </row>
    <row r="71">
      <c r="A71" s="16" t="inlineStr">
        <is>
          <t>KF-M07-A1-0060</t>
        </is>
      </c>
      <c r="B71" s="35" t="n">
        <v>448.0969531091276</v>
      </c>
      <c r="C71" s="35" t="n">
        <v>279.0977013205448</v>
      </c>
      <c r="D71" s="36" t="n">
        <v>4081.823024523768</v>
      </c>
      <c r="E71" s="35" t="n">
        <v>808.3402577390962</v>
      </c>
      <c r="F71" s="37" t="n">
        <v>0.6347489709498951</v>
      </c>
      <c r="G71" s="37" t="n">
        <v>0.95</v>
      </c>
      <c r="H71" s="37" t="n">
        <v>0.7460814839003644</v>
      </c>
      <c r="I71" s="37" t="n">
        <v>0.6777311085206517</v>
      </c>
      <c r="J71" s="37" t="n">
        <v>0.9415298192493302</v>
      </c>
      <c r="K71" s="37" t="n">
        <v>0.8418262585071621</v>
      </c>
      <c r="L71" s="42" t="inlineStr">
        <is>
          <t>KALINA</t>
        </is>
      </c>
      <c r="M71" s="29" t="n">
        <v>13.95951507471393</v>
      </c>
      <c r="N71" s="35" t="n">
        <v>111.9291351197226</v>
      </c>
      <c r="O71" s="36" t="n">
        <v>3273.482766784672</v>
      </c>
      <c r="P71" s="29" t="n">
        <v>5.049634711922558</v>
      </c>
      <c r="Q71" s="16" t="inlineStr">
        <is>
          <t>sí</t>
        </is>
      </c>
      <c r="R71" s="16" t="n"/>
    </row>
    <row r="72">
      <c r="A72" s="16" t="inlineStr">
        <is>
          <t>KF-M07-A1-0061</t>
        </is>
      </c>
      <c r="B72" s="35" t="n">
        <v>424.0969531091276</v>
      </c>
      <c r="C72" s="35" t="n">
        <v>279.0977013205448</v>
      </c>
      <c r="D72" s="36" t="n">
        <v>4081.823024523768</v>
      </c>
      <c r="E72" s="35" t="n">
        <v>808.3402577390962</v>
      </c>
      <c r="F72" s="37" t="n">
        <v>0.6347489709498951</v>
      </c>
      <c r="G72" s="37" t="n">
        <v>0.95</v>
      </c>
      <c r="H72" s="37" t="n">
        <v>0.7460814839003644</v>
      </c>
      <c r="I72" s="37" t="n">
        <v>0.6777311085206517</v>
      </c>
      <c r="J72" s="37" t="n">
        <v>0.9415298192493302</v>
      </c>
      <c r="K72" s="37" t="n">
        <v>0.8418262585071621</v>
      </c>
      <c r="L72" s="42" t="inlineStr">
        <is>
          <t>KALINA</t>
        </is>
      </c>
      <c r="M72" s="29" t="n">
        <v>13.25216761534976</v>
      </c>
      <c r="N72" s="35" t="n">
        <v>70.13682128520243</v>
      </c>
      <c r="O72" s="36" t="n">
        <v>3273.482766784672</v>
      </c>
      <c r="P72" s="29" t="n">
        <v>5.049634711922558</v>
      </c>
      <c r="Q72" s="16" t="inlineStr">
        <is>
          <t>no</t>
        </is>
      </c>
      <c r="R72" s="16" t="n"/>
    </row>
    <row r="73">
      <c r="A73" s="16" t="inlineStr">
        <is>
          <t>KF-M07-A1-0062</t>
        </is>
      </c>
      <c r="B73" s="35" t="n">
        <v>436.0969531091276</v>
      </c>
      <c r="C73" s="35" t="n">
        <v>281.6377013205448</v>
      </c>
      <c r="D73" s="36" t="n">
        <v>4081.823024523768</v>
      </c>
      <c r="E73" s="35" t="n">
        <v>808.3402577390962</v>
      </c>
      <c r="F73" s="37" t="n">
        <v>0.6347489709498951</v>
      </c>
      <c r="G73" s="37" t="n">
        <v>0.95</v>
      </c>
      <c r="H73" s="37" t="n">
        <v>0.7460814839003644</v>
      </c>
      <c r="I73" s="37" t="n">
        <v>0.6777311085206517</v>
      </c>
      <c r="J73" s="37" t="n">
        <v>0.9415298192493302</v>
      </c>
      <c r="K73" s="37" t="n">
        <v>0.8418262585071621</v>
      </c>
      <c r="L73" s="42" t="inlineStr">
        <is>
          <t>KALINA</t>
        </is>
      </c>
      <c r="M73" s="29" t="n">
        <v>13.79348182588999</v>
      </c>
      <c r="N73" s="35" t="n">
        <v>89.88353568615889</v>
      </c>
      <c r="O73" s="36" t="n">
        <v>3273.482766784672</v>
      </c>
      <c r="P73" s="29" t="n">
        <v>5.049634711922558</v>
      </c>
      <c r="Q73" s="16" t="inlineStr">
        <is>
          <t>no</t>
        </is>
      </c>
      <c r="R73" s="16" t="n"/>
    </row>
    <row r="74">
      <c r="A74" s="16" t="inlineStr">
        <is>
          <t>KF-M07-A1-0063</t>
        </is>
      </c>
      <c r="B74" s="35" t="n">
        <v>436.0969531091276</v>
      </c>
      <c r="C74" s="35" t="n">
        <v>278.15</v>
      </c>
      <c r="D74" s="36" t="n">
        <v>4081.823024523768</v>
      </c>
      <c r="E74" s="35" t="n">
        <v>808.3402577390962</v>
      </c>
      <c r="F74" s="37" t="n">
        <v>0.6347489709498951</v>
      </c>
      <c r="G74" s="37" t="n">
        <v>0.95</v>
      </c>
      <c r="H74" s="37" t="n">
        <v>0.7460814839003644</v>
      </c>
      <c r="I74" s="37" t="n">
        <v>0.6777311085206517</v>
      </c>
      <c r="J74" s="37" t="n">
        <v>0.9415298192493302</v>
      </c>
      <c r="K74" s="37" t="n">
        <v>0.8418262585071621</v>
      </c>
      <c r="L74" s="42" t="inlineStr">
        <is>
          <t>KALINA</t>
        </is>
      </c>
      <c r="M74" s="29" t="n">
        <v>13.64896985230811</v>
      </c>
      <c r="N74" s="35" t="n">
        <v>89.56483622215487</v>
      </c>
      <c r="O74" s="36" t="n">
        <v>3273.482766784672</v>
      </c>
      <c r="P74" s="29" t="n">
        <v>5.049634711922558</v>
      </c>
      <c r="Q74" s="16" t="inlineStr">
        <is>
          <t>no</t>
        </is>
      </c>
      <c r="R74" s="16" t="n"/>
    </row>
    <row r="75">
      <c r="A75" s="16" t="inlineStr">
        <is>
          <t>KF-M07-A1-0064</t>
        </is>
      </c>
      <c r="B75" s="35" t="n">
        <v>436.0969531091276</v>
      </c>
      <c r="C75" s="35" t="n">
        <v>279.0977013205448</v>
      </c>
      <c r="D75" s="36" t="n">
        <v>4381.823024523768</v>
      </c>
      <c r="E75" s="35" t="n">
        <v>808.3402577390962</v>
      </c>
      <c r="F75" s="37" t="n">
        <v>0.6347489709498951</v>
      </c>
      <c r="G75" s="37" t="n">
        <v>0.95</v>
      </c>
      <c r="H75" s="37" t="n">
        <v>0.7460814839003644</v>
      </c>
      <c r="I75" s="37" t="n">
        <v>0.6777311085206517</v>
      </c>
      <c r="J75" s="37" t="n">
        <v>0.9415298192493302</v>
      </c>
      <c r="K75" s="37" t="n">
        <v>0.8418262585071621</v>
      </c>
      <c r="L75" s="42" t="inlineStr">
        <is>
          <t>KALINA</t>
        </is>
      </c>
      <c r="M75" s="29" t="n">
        <v>14.03959682892471</v>
      </c>
      <c r="N75" s="35" t="n">
        <v>86.43379102231073</v>
      </c>
      <c r="O75" s="36" t="n">
        <v>3573.482766784672</v>
      </c>
      <c r="P75" s="29" t="n">
        <v>5.420765553332204</v>
      </c>
      <c r="Q75" s="16" t="inlineStr">
        <is>
          <t>no</t>
        </is>
      </c>
      <c r="R75" s="16" t="n"/>
    </row>
    <row r="76">
      <c r="A76" s="16" t="inlineStr">
        <is>
          <t>KF-M07-A1-0065</t>
        </is>
      </c>
      <c r="B76" s="35" t="n">
        <v>436.0969531091276</v>
      </c>
      <c r="C76" s="35" t="n">
        <v>279.0977013205448</v>
      </c>
      <c r="D76" s="36" t="n">
        <v>3781.823024523768</v>
      </c>
      <c r="E76" s="35" t="n">
        <v>808.3402577390962</v>
      </c>
      <c r="F76" s="37" t="n">
        <v>0.6347489709498951</v>
      </c>
      <c r="G76" s="37" t="n">
        <v>0.95</v>
      </c>
      <c r="H76" s="37" t="n">
        <v>0.7460814839003644</v>
      </c>
      <c r="I76" s="37" t="n">
        <v>0.6777311085206517</v>
      </c>
      <c r="J76" s="37" t="n">
        <v>0.9415298192493302</v>
      </c>
      <c r="K76" s="37" t="n">
        <v>0.8418262585071621</v>
      </c>
      <c r="L76" s="42" t="inlineStr">
        <is>
          <t>KALINA</t>
        </is>
      </c>
      <c r="M76" s="29" t="n">
        <v>13.2574465374705</v>
      </c>
      <c r="N76" s="35" t="n">
        <v>92.42723044582696</v>
      </c>
      <c r="O76" s="36" t="n">
        <v>2973.482766784672</v>
      </c>
      <c r="P76" s="29" t="n">
        <v>4.678503870512914</v>
      </c>
      <c r="Q76" s="16" t="inlineStr">
        <is>
          <t>no</t>
        </is>
      </c>
      <c r="R76" s="16" t="n"/>
    </row>
    <row r="77">
      <c r="A77" s="16" t="inlineStr">
        <is>
          <t>KF-M07-A1-0066</t>
        </is>
      </c>
      <c r="B77" s="35" t="n">
        <v>436.0969531091276</v>
      </c>
      <c r="C77" s="35" t="n">
        <v>279.0977013205448</v>
      </c>
      <c r="D77" s="36" t="n">
        <v>4081.823024523768</v>
      </c>
      <c r="E77" s="35" t="n">
        <v>1028.340257739096</v>
      </c>
      <c r="F77" s="37" t="n">
        <v>0.6347489709498951</v>
      </c>
      <c r="G77" s="37" t="n">
        <v>0.95</v>
      </c>
      <c r="H77" s="37" t="n">
        <v>0.7460814839003644</v>
      </c>
      <c r="I77" s="37" t="n">
        <v>0.6777311085206517</v>
      </c>
      <c r="J77" s="37" t="n">
        <v>0.9415298192493302</v>
      </c>
      <c r="K77" s="37" t="n">
        <v>0.8418262585071621</v>
      </c>
      <c r="L77" s="42" t="inlineStr">
        <is>
          <t>KALINA</t>
        </is>
      </c>
      <c r="M77" s="29" t="n">
        <v>11.75868375146699</v>
      </c>
      <c r="N77" s="35" t="n">
        <v>76.94330500357252</v>
      </c>
      <c r="O77" s="36" t="n">
        <v>3053.482766784672</v>
      </c>
      <c r="P77" s="29" t="n">
        <v>3.969331156496823</v>
      </c>
      <c r="Q77" s="16" t="inlineStr">
        <is>
          <t>no</t>
        </is>
      </c>
      <c r="R77" s="16" t="n"/>
    </row>
    <row r="78">
      <c r="A78" s="16" t="inlineStr">
        <is>
          <t>KF-M07-A1-0067</t>
        </is>
      </c>
      <c r="B78" s="35" t="n">
        <v>436.0969531091276</v>
      </c>
      <c r="C78" s="35" t="n">
        <v>279.0977013205448</v>
      </c>
      <c r="D78" s="36" t="n">
        <v>4081.823024523768</v>
      </c>
      <c r="E78" s="35" t="n">
        <v>588.3402577390962</v>
      </c>
      <c r="F78" s="37" t="n">
        <v>0.6347489709498951</v>
      </c>
      <c r="G78" s="37" t="n">
        <v>0.95</v>
      </c>
      <c r="H78" s="37" t="n">
        <v>0.7460814839003644</v>
      </c>
      <c r="I78" s="37" t="n">
        <v>0.6777311085206517</v>
      </c>
      <c r="J78" s="37" t="n">
        <v>0.9415298192493302</v>
      </c>
      <c r="K78" s="37" t="n">
        <v>0.8418262585071621</v>
      </c>
      <c r="L78" s="39" t="inlineStr">
        <is>
          <t>Corregible</t>
        </is>
      </c>
      <c r="M78" s="29" t="n">
        <v>16.1539922712124</v>
      </c>
      <c r="N78" s="35" t="n">
        <v>105.9319127632258</v>
      </c>
      <c r="O78" s="36" t="n">
        <v>3493.482766784672</v>
      </c>
      <c r="P78" s="29" t="n">
        <v>6.937861162534763</v>
      </c>
      <c r="Q78" s="16" t="inlineStr">
        <is>
          <t>no</t>
        </is>
      </c>
      <c r="R78" s="16" t="inlineStr">
        <is>
          <t>O2</t>
        </is>
      </c>
    </row>
    <row r="79">
      <c r="A79" s="16" t="inlineStr">
        <is>
          <t>KF-M07-A1-0068</t>
        </is>
      </c>
      <c r="B79" s="35" t="n">
        <v>436.0969531091276</v>
      </c>
      <c r="C79" s="35" t="n">
        <v>279.0977013205448</v>
      </c>
      <c r="D79" s="36" t="n">
        <v>4081.823024523768</v>
      </c>
      <c r="E79" s="35" t="n">
        <v>808.3402577390962</v>
      </c>
      <c r="F79" s="37" t="n">
        <v>0.6697489709498952</v>
      </c>
      <c r="G79" s="37" t="n">
        <v>0.95</v>
      </c>
      <c r="H79" s="37" t="n">
        <v>0.7460814839003644</v>
      </c>
      <c r="I79" s="37" t="n">
        <v>0.6777311085206517</v>
      </c>
      <c r="J79" s="37" t="n">
        <v>0.9415298192493302</v>
      </c>
      <c r="K79" s="37" t="n">
        <v>0.8418262585071621</v>
      </c>
      <c r="L79" s="42" t="inlineStr">
        <is>
          <t>KALINA</t>
        </is>
      </c>
      <c r="M79" s="29" t="n">
        <v>14.14165667155382</v>
      </c>
      <c r="N79" s="35" t="n">
        <v>101.5664030487117</v>
      </c>
      <c r="O79" s="36" t="n">
        <v>3273.482766784672</v>
      </c>
      <c r="P79" s="29" t="n">
        <v>5.049634711922558</v>
      </c>
      <c r="Q79" s="16" t="inlineStr">
        <is>
          <t>no</t>
        </is>
      </c>
      <c r="R79" s="16" t="n"/>
    </row>
    <row r="80">
      <c r="A80" s="16" t="inlineStr">
        <is>
          <t>KF-M07-A1-0069</t>
        </is>
      </c>
      <c r="B80" s="35" t="n">
        <v>436.0969531091276</v>
      </c>
      <c r="C80" s="35" t="n">
        <v>279.0977013205448</v>
      </c>
      <c r="D80" s="36" t="n">
        <v>4081.823024523768</v>
      </c>
      <c r="E80" s="35" t="n">
        <v>808.3402577390962</v>
      </c>
      <c r="F80" s="37" t="n">
        <v>0.5997489709498951</v>
      </c>
      <c r="G80" s="37" t="n">
        <v>0.95</v>
      </c>
      <c r="H80" s="37" t="n">
        <v>0.7460814839003644</v>
      </c>
      <c r="I80" s="37" t="n">
        <v>0.6777311085206517</v>
      </c>
      <c r="J80" s="37" t="n">
        <v>0.9415298192493302</v>
      </c>
      <c r="K80" s="37" t="n">
        <v>0.8418262585071621</v>
      </c>
      <c r="L80" s="42" t="inlineStr">
        <is>
          <t>KALINA</t>
        </is>
      </c>
      <c r="M80" s="29" t="n">
        <v>13.1928790237575</v>
      </c>
      <c r="N80" s="35" t="n">
        <v>77.73162436599439</v>
      </c>
      <c r="O80" s="36" t="n">
        <v>3273.482766784672</v>
      </c>
      <c r="P80" s="29" t="n">
        <v>5.049634711922558</v>
      </c>
      <c r="Q80" s="16" t="inlineStr">
        <is>
          <t>no</t>
        </is>
      </c>
      <c r="R80" s="16" t="n"/>
    </row>
    <row r="81">
      <c r="A81" s="16" t="inlineStr">
        <is>
          <t>KF-M07-A1-0070</t>
        </is>
      </c>
      <c r="B81" s="35" t="n">
        <v>436.0969531091276</v>
      </c>
      <c r="C81" s="35" t="n">
        <v>279.0977013205448</v>
      </c>
      <c r="D81" s="36" t="n">
        <v>4081.823024523768</v>
      </c>
      <c r="E81" s="35" t="n">
        <v>808.3402577390962</v>
      </c>
      <c r="F81" s="37" t="n">
        <v>0.6347489709498951</v>
      </c>
      <c r="G81" s="37" t="n">
        <v>0.895</v>
      </c>
      <c r="H81" s="37" t="n">
        <v>0.7460814839003644</v>
      </c>
      <c r="I81" s="37" t="n">
        <v>0.6777311085206517</v>
      </c>
      <c r="J81" s="37" t="n">
        <v>0.9415298192493302</v>
      </c>
      <c r="K81" s="37" t="n">
        <v>0.8418262585071621</v>
      </c>
      <c r="L81" s="42" t="inlineStr">
        <is>
          <t>KALINA</t>
        </is>
      </c>
      <c r="M81" s="29" t="n">
        <v>12.85349841110138</v>
      </c>
      <c r="N81" s="35" t="n">
        <v>84.14859977162423</v>
      </c>
      <c r="O81" s="36" t="n">
        <v>3273.482766784672</v>
      </c>
      <c r="P81" s="29" t="n">
        <v>5.049634711922558</v>
      </c>
      <c r="Q81" s="16" t="inlineStr">
        <is>
          <t>no</t>
        </is>
      </c>
      <c r="R81" s="16" t="n"/>
    </row>
    <row r="82">
      <c r="A82" s="16" t="inlineStr">
        <is>
          <t>KF-M07-A1-0071</t>
        </is>
      </c>
      <c r="B82" s="35" t="n">
        <v>436.0969531091276</v>
      </c>
      <c r="C82" s="35" t="n">
        <v>279.0977013205448</v>
      </c>
      <c r="D82" s="36" t="n">
        <v>4081.823024523768</v>
      </c>
      <c r="E82" s="35" t="n">
        <v>808.3402577390962</v>
      </c>
      <c r="F82" s="37" t="n">
        <v>0.6347489709498951</v>
      </c>
      <c r="G82" s="37" t="n">
        <v>0.95</v>
      </c>
      <c r="H82" s="37" t="n">
        <v>0.8010814839003644</v>
      </c>
      <c r="I82" s="37" t="n">
        <v>0.6777311085206517</v>
      </c>
      <c r="J82" s="37" t="n">
        <v>0.9415298192493302</v>
      </c>
      <c r="K82" s="37" t="n">
        <v>0.8418262585071621</v>
      </c>
      <c r="L82" s="42" t="inlineStr">
        <is>
          <t>KALINA</t>
        </is>
      </c>
      <c r="M82" s="29" t="n">
        <v>13.7437091473884</v>
      </c>
      <c r="N82" s="35" t="n">
        <v>90.03439753356295</v>
      </c>
      <c r="O82" s="36" t="n">
        <v>3273.482766784672</v>
      </c>
      <c r="P82" s="29" t="n">
        <v>5.049634711922558</v>
      </c>
      <c r="Q82" s="16" t="inlineStr">
        <is>
          <t>no</t>
        </is>
      </c>
      <c r="R82" s="16" t="n"/>
    </row>
    <row r="83">
      <c r="A83" s="16" t="inlineStr">
        <is>
          <t>KF-M07-A1-0072</t>
        </is>
      </c>
      <c r="B83" s="35" t="n">
        <v>436.0969531091276</v>
      </c>
      <c r="C83" s="35" t="n">
        <v>279.0977013205448</v>
      </c>
      <c r="D83" s="36" t="n">
        <v>4081.823024523768</v>
      </c>
      <c r="E83" s="35" t="n">
        <v>808.3402577390962</v>
      </c>
      <c r="F83" s="37" t="n">
        <v>0.6347489709498951</v>
      </c>
      <c r="G83" s="37" t="n">
        <v>0.95</v>
      </c>
      <c r="H83" s="37" t="n">
        <v>0.6910814839003644</v>
      </c>
      <c r="I83" s="37" t="n">
        <v>0.6777311085206517</v>
      </c>
      <c r="J83" s="37" t="n">
        <v>0.9415298192493302</v>
      </c>
      <c r="K83" s="37" t="n">
        <v>0.8418262585071621</v>
      </c>
      <c r="L83" s="42" t="inlineStr">
        <is>
          <t>KALINA</t>
        </is>
      </c>
      <c r="M83" s="29" t="n">
        <v>13.62327843491286</v>
      </c>
      <c r="N83" s="35" t="n">
        <v>89.20712137582348</v>
      </c>
      <c r="O83" s="36" t="n">
        <v>3273.482766784672</v>
      </c>
      <c r="P83" s="29" t="n">
        <v>5.049634711922558</v>
      </c>
      <c r="Q83" s="16" t="inlineStr">
        <is>
          <t>no</t>
        </is>
      </c>
      <c r="R83" s="16" t="n"/>
    </row>
    <row r="84">
      <c r="A84" s="16" t="inlineStr">
        <is>
          <t>KF-M07-A1-0073</t>
        </is>
      </c>
      <c r="B84" s="35" t="n">
        <v>436.0969531091276</v>
      </c>
      <c r="C84" s="35" t="n">
        <v>279.0977013205448</v>
      </c>
      <c r="D84" s="36" t="n">
        <v>4081.823024523768</v>
      </c>
      <c r="E84" s="35" t="n">
        <v>808.3402577390962</v>
      </c>
      <c r="F84" s="37" t="n">
        <v>0.6347489709498951</v>
      </c>
      <c r="G84" s="37" t="n">
        <v>0.95</v>
      </c>
      <c r="H84" s="37" t="n">
        <v>0.7460814839003644</v>
      </c>
      <c r="I84" s="37" t="n">
        <v>0.7327311085206516</v>
      </c>
      <c r="J84" s="37" t="n">
        <v>0.9415298192493302</v>
      </c>
      <c r="K84" s="37" t="n">
        <v>0.8418262585071621</v>
      </c>
      <c r="L84" s="42" t="inlineStr">
        <is>
          <t>KALINA</t>
        </is>
      </c>
      <c r="M84" s="29" t="n">
        <v>13.81269063587785</v>
      </c>
      <c r="N84" s="35" t="n">
        <v>97.98321631416334</v>
      </c>
      <c r="O84" s="36" t="n">
        <v>3273.482766784672</v>
      </c>
      <c r="P84" s="29" t="n">
        <v>5.049634711922558</v>
      </c>
      <c r="Q84" s="16" t="inlineStr">
        <is>
          <t>no</t>
        </is>
      </c>
      <c r="R84" s="16" t="n"/>
    </row>
    <row r="85">
      <c r="A85" s="16" t="inlineStr">
        <is>
          <t>KF-M07-A1-0074</t>
        </is>
      </c>
      <c r="B85" s="35" t="n">
        <v>436.0969531091276</v>
      </c>
      <c r="C85" s="35" t="n">
        <v>279.0977013205448</v>
      </c>
      <c r="D85" s="36" t="n">
        <v>4081.823024523768</v>
      </c>
      <c r="E85" s="35" t="n">
        <v>808.3402577390962</v>
      </c>
      <c r="F85" s="37" t="n">
        <v>0.6347489709498951</v>
      </c>
      <c r="G85" s="37" t="n">
        <v>0.95</v>
      </c>
      <c r="H85" s="37" t="n">
        <v>0.7460814839003644</v>
      </c>
      <c r="I85" s="37" t="n">
        <v>0.6227311085206517</v>
      </c>
      <c r="J85" s="37" t="n">
        <v>0.9415298192493302</v>
      </c>
      <c r="K85" s="37" t="n">
        <v>0.8418262585071621</v>
      </c>
      <c r="L85" s="42" t="inlineStr">
        <is>
          <t>KALINA</t>
        </is>
      </c>
      <c r="M85" s="29" t="n">
        <v>13.52840241146454</v>
      </c>
      <c r="N85" s="35" t="n">
        <v>81.27671595801155</v>
      </c>
      <c r="O85" s="36" t="n">
        <v>3273.482766784672</v>
      </c>
      <c r="P85" s="29" t="n">
        <v>5.049634711922558</v>
      </c>
      <c r="Q85" s="16" t="inlineStr">
        <is>
          <t>no</t>
        </is>
      </c>
      <c r="R85" s="16" t="n"/>
    </row>
    <row r="86">
      <c r="A86" s="16" t="inlineStr">
        <is>
          <t>KF-M07-A1-0075</t>
        </is>
      </c>
      <c r="B86" s="35" t="n">
        <v>436.0969531091276</v>
      </c>
      <c r="C86" s="35" t="n">
        <v>279.0977013205448</v>
      </c>
      <c r="D86" s="36" t="n">
        <v>4081.823024523768</v>
      </c>
      <c r="E86" s="35" t="n">
        <v>808.3402577390962</v>
      </c>
      <c r="F86" s="37" t="n">
        <v>0.6347489709498951</v>
      </c>
      <c r="G86" s="37" t="n">
        <v>0.95</v>
      </c>
      <c r="H86" s="37" t="n">
        <v>0.7460814839003644</v>
      </c>
      <c r="I86" s="37" t="n">
        <v>0.6777311085206517</v>
      </c>
      <c r="J86" s="37" t="n">
        <v>0.95</v>
      </c>
      <c r="K86" s="37" t="n">
        <v>0.8418262585071621</v>
      </c>
      <c r="L86" s="42" t="inlineStr">
        <is>
          <t>KALINA</t>
        </is>
      </c>
      <c r="M86" s="29" t="n">
        <v>13.74430678815094</v>
      </c>
      <c r="N86" s="35" t="n">
        <v>89.78265622705116</v>
      </c>
      <c r="O86" s="36" t="n">
        <v>3273.482766784672</v>
      </c>
      <c r="P86" s="29" t="n">
        <v>5.049634711922558</v>
      </c>
      <c r="Q86" s="16" t="inlineStr">
        <is>
          <t>no</t>
        </is>
      </c>
      <c r="R86" s="16" t="n"/>
    </row>
    <row r="87">
      <c r="A87" s="16" t="inlineStr">
        <is>
          <t>KF-M07-A1-0076</t>
        </is>
      </c>
      <c r="B87" s="35" t="n">
        <v>436.0969531091276</v>
      </c>
      <c r="C87" s="35" t="n">
        <v>279.0977013205448</v>
      </c>
      <c r="D87" s="36" t="n">
        <v>4081.823024523768</v>
      </c>
      <c r="E87" s="35" t="n">
        <v>808.3402577390962</v>
      </c>
      <c r="F87" s="37" t="n">
        <v>0.6347489709498951</v>
      </c>
      <c r="G87" s="37" t="n">
        <v>0.95</v>
      </c>
      <c r="H87" s="37" t="n">
        <v>0.7460814839003644</v>
      </c>
      <c r="I87" s="37" t="n">
        <v>0.6777311085206517</v>
      </c>
      <c r="J87" s="37" t="n">
        <v>0.8865298192493303</v>
      </c>
      <c r="K87" s="37" t="n">
        <v>0.8418262585071621</v>
      </c>
      <c r="L87" s="42" t="inlineStr">
        <is>
          <t>KALINA</t>
        </is>
      </c>
      <c r="M87" s="29" t="n">
        <v>13.32974113090427</v>
      </c>
      <c r="N87" s="35" t="n">
        <v>88.79933463626433</v>
      </c>
      <c r="O87" s="36" t="n">
        <v>3273.482766784672</v>
      </c>
      <c r="P87" s="29" t="n">
        <v>5.049634711922558</v>
      </c>
      <c r="Q87" s="16" t="inlineStr">
        <is>
          <t>no</t>
        </is>
      </c>
      <c r="R87" s="16" t="n"/>
    </row>
    <row r="88">
      <c r="A88" s="16" t="inlineStr">
        <is>
          <t>KF-M07-A1-0077</t>
        </is>
      </c>
      <c r="B88" s="35" t="n">
        <v>436.0969531091276</v>
      </c>
      <c r="C88" s="35" t="n">
        <v>279.0977013205448</v>
      </c>
      <c r="D88" s="36" t="n">
        <v>4081.823024523768</v>
      </c>
      <c r="E88" s="35" t="n">
        <v>808.3402577390962</v>
      </c>
      <c r="F88" s="37" t="n">
        <v>0.6347489709498951</v>
      </c>
      <c r="G88" s="37" t="n">
        <v>0.95</v>
      </c>
      <c r="H88" s="37" t="n">
        <v>0.7460814839003644</v>
      </c>
      <c r="I88" s="37" t="n">
        <v>0.6777311085206517</v>
      </c>
      <c r="J88" s="37" t="n">
        <v>0.9415298192493302</v>
      </c>
      <c r="K88" s="37" t="n">
        <v>0.896826258507162</v>
      </c>
      <c r="L88" s="42" t="inlineStr">
        <is>
          <t>KALINA</t>
        </is>
      </c>
      <c r="M88" s="29" t="n">
        <v>13.32447965364104</v>
      </c>
      <c r="N88" s="35" t="n">
        <v>88.83171085737865</v>
      </c>
      <c r="O88" s="36" t="n">
        <v>3273.482766784672</v>
      </c>
      <c r="P88" s="29" t="n">
        <v>5.049634711922558</v>
      </c>
      <c r="Q88" s="16" t="inlineStr">
        <is>
          <t>no</t>
        </is>
      </c>
      <c r="R88" s="16" t="n"/>
    </row>
    <row r="89">
      <c r="A89" s="16" t="inlineStr">
        <is>
          <t>KF-M07-A1-0078</t>
        </is>
      </c>
      <c r="B89" s="35" t="n">
        <v>436.0969531091276</v>
      </c>
      <c r="C89" s="35" t="n">
        <v>279.0977013205448</v>
      </c>
      <c r="D89" s="36" t="n">
        <v>4081.823024523768</v>
      </c>
      <c r="E89" s="35" t="n">
        <v>808.3402577390962</v>
      </c>
      <c r="F89" s="37" t="n">
        <v>0.6347489709498951</v>
      </c>
      <c r="G89" s="37" t="n">
        <v>0.95</v>
      </c>
      <c r="H89" s="37" t="n">
        <v>0.7460814839003644</v>
      </c>
      <c r="I89" s="37" t="n">
        <v>0.6777311085206517</v>
      </c>
      <c r="J89" s="37" t="n">
        <v>0.9415298192493302</v>
      </c>
      <c r="K89" s="37" t="n">
        <v>0.7868262585071621</v>
      </c>
      <c r="L89" s="39" t="inlineStr">
        <is>
          <t>Corregible</t>
        </is>
      </c>
      <c r="M89" s="29" t="n">
        <v>14.10264329561828</v>
      </c>
      <c r="N89" s="35" t="n">
        <v>90.54973735541296</v>
      </c>
      <c r="O89" s="36" t="n">
        <v>3273.482766784672</v>
      </c>
      <c r="P89" s="29" t="n">
        <v>5.049634711922558</v>
      </c>
      <c r="Q89" s="16" t="inlineStr">
        <is>
          <t>no</t>
        </is>
      </c>
      <c r="R89" s="16" t="inlineStr">
        <is>
          <t>O2</t>
        </is>
      </c>
    </row>
    <row r="90">
      <c r="A90" s="16" t="inlineStr">
        <is>
          <t>KF-M07-A1-0079</t>
        </is>
      </c>
      <c r="B90" s="35" t="n">
        <v>448.0969531091276</v>
      </c>
      <c r="C90" s="35" t="n">
        <v>279.0977013205448</v>
      </c>
      <c r="D90" s="36" t="n">
        <v>4081.823024523768</v>
      </c>
      <c r="E90" s="35" t="n">
        <v>808.3402577390962</v>
      </c>
      <c r="F90" s="37" t="n">
        <v>0.6697489709498952</v>
      </c>
      <c r="G90" s="37" t="n">
        <v>0.95</v>
      </c>
      <c r="H90" s="37" t="n">
        <v>0.7460814839003644</v>
      </c>
      <c r="I90" s="37" t="n">
        <v>0.6777311085206517</v>
      </c>
      <c r="J90" s="37" t="n">
        <v>0.9415298192493302</v>
      </c>
      <c r="K90" s="37" t="n">
        <v>0.8418262585071621</v>
      </c>
      <c r="L90" s="39" t="inlineStr">
        <is>
          <t>Corregible</t>
        </is>
      </c>
      <c r="M90" s="29" t="n">
        <v>14.38283975765372</v>
      </c>
      <c r="N90" s="35" t="n">
        <v>124.6308760898454</v>
      </c>
      <c r="O90" s="36" t="n">
        <v>3273.482766784672</v>
      </c>
      <c r="P90" s="29" t="n">
        <v>5.049634711922558</v>
      </c>
      <c r="Q90" s="16" t="inlineStr">
        <is>
          <t>sí</t>
        </is>
      </c>
      <c r="R90" s="16" t="inlineStr">
        <is>
          <t>O2</t>
        </is>
      </c>
    </row>
    <row r="91">
      <c r="A91" s="16" t="inlineStr">
        <is>
          <t>KF-M07-A1-0080</t>
        </is>
      </c>
      <c r="B91" s="35" t="n">
        <v>424.0969531091276</v>
      </c>
      <c r="C91" s="35" t="n">
        <v>279.0977013205448</v>
      </c>
      <c r="D91" s="36" t="n">
        <v>4081.823024523768</v>
      </c>
      <c r="E91" s="35" t="n">
        <v>808.3402577390962</v>
      </c>
      <c r="F91" s="37" t="n">
        <v>0.6697489709498952</v>
      </c>
      <c r="G91" s="37" t="n">
        <v>0.95</v>
      </c>
      <c r="H91" s="37" t="n">
        <v>0.7460814839003644</v>
      </c>
      <c r="I91" s="37" t="n">
        <v>0.6777311085206517</v>
      </c>
      <c r="J91" s="37" t="n">
        <v>0.9415298192493302</v>
      </c>
      <c r="K91" s="37" t="n">
        <v>0.8418262585071621</v>
      </c>
      <c r="L91" s="42" t="inlineStr">
        <is>
          <t>KALINA</t>
        </is>
      </c>
      <c r="M91" s="29" t="n">
        <v>13.75105607966179</v>
      </c>
      <c r="N91" s="35" t="n">
        <v>81.5621984251225</v>
      </c>
      <c r="O91" s="36" t="n">
        <v>3273.482766784672</v>
      </c>
      <c r="P91" s="29" t="n">
        <v>5.049634711922558</v>
      </c>
      <c r="Q91" s="16" t="inlineStr">
        <is>
          <t>no</t>
        </is>
      </c>
      <c r="R91" s="16" t="n"/>
    </row>
    <row r="92">
      <c r="A92" s="16" t="inlineStr">
        <is>
          <t>KF-M07-A1-0081</t>
        </is>
      </c>
      <c r="B92" s="35" t="n">
        <v>436.0969531091276</v>
      </c>
      <c r="C92" s="35" t="n">
        <v>281.6377013205448</v>
      </c>
      <c r="D92" s="36" t="n">
        <v>4081.823024523768</v>
      </c>
      <c r="E92" s="35" t="n">
        <v>808.3402577390962</v>
      </c>
      <c r="F92" s="37" t="n">
        <v>0.6697489709498952</v>
      </c>
      <c r="G92" s="37" t="n">
        <v>0.95</v>
      </c>
      <c r="H92" s="37" t="n">
        <v>0.7460814839003644</v>
      </c>
      <c r="I92" s="37" t="n">
        <v>0.6777311085206517</v>
      </c>
      <c r="J92" s="37" t="n">
        <v>0.9415298192493302</v>
      </c>
      <c r="K92" s="37" t="n">
        <v>0.8418262585071621</v>
      </c>
      <c r="L92" s="42" t="inlineStr">
        <is>
          <t>KALINA</t>
        </is>
      </c>
      <c r="M92" s="29" t="n">
        <v>14.25098841403692</v>
      </c>
      <c r="N92" s="35" t="n">
        <v>101.8288712960333</v>
      </c>
      <c r="O92" s="36" t="n">
        <v>3273.482766784672</v>
      </c>
      <c r="P92" s="29" t="n">
        <v>5.049634711922558</v>
      </c>
      <c r="Q92" s="16" t="inlineStr">
        <is>
          <t>no</t>
        </is>
      </c>
      <c r="R92" s="16" t="n"/>
    </row>
    <row r="93">
      <c r="A93" s="16" t="inlineStr">
        <is>
          <t>KF-M07-A1-0082</t>
        </is>
      </c>
      <c r="B93" s="35" t="n">
        <v>436.0969531091276</v>
      </c>
      <c r="C93" s="35" t="n">
        <v>278.15</v>
      </c>
      <c r="D93" s="36" t="n">
        <v>4081.823024523768</v>
      </c>
      <c r="E93" s="35" t="n">
        <v>808.3402577390962</v>
      </c>
      <c r="F93" s="37" t="n">
        <v>0.6697489709498952</v>
      </c>
      <c r="G93" s="37" t="n">
        <v>0.95</v>
      </c>
      <c r="H93" s="37" t="n">
        <v>0.7460814839003644</v>
      </c>
      <c r="I93" s="37" t="n">
        <v>0.6777311085206517</v>
      </c>
      <c r="J93" s="37" t="n">
        <v>0.9415298192493302</v>
      </c>
      <c r="K93" s="37" t="n">
        <v>0.8418262585071621</v>
      </c>
      <c r="L93" s="42" t="inlineStr">
        <is>
          <t>KALINA</t>
        </is>
      </c>
      <c r="M93" s="29" t="n">
        <v>14.10128497805661</v>
      </c>
      <c r="N93" s="35" t="n">
        <v>101.4687570902613</v>
      </c>
      <c r="O93" s="36" t="n">
        <v>3273.482766784672</v>
      </c>
      <c r="P93" s="29" t="n">
        <v>5.049634711922558</v>
      </c>
      <c r="Q93" s="16" t="inlineStr">
        <is>
          <t>no</t>
        </is>
      </c>
      <c r="R93" s="16" t="n"/>
    </row>
    <row r="94">
      <c r="A94" s="16" t="inlineStr">
        <is>
          <t>KF-M07-A1-0083</t>
        </is>
      </c>
      <c r="B94" s="35" t="n">
        <v>436.0969531091276</v>
      </c>
      <c r="C94" s="35" t="n">
        <v>279.0977013205448</v>
      </c>
      <c r="D94" s="36" t="n">
        <v>4381.823024523768</v>
      </c>
      <c r="E94" s="35" t="n">
        <v>808.3402577390962</v>
      </c>
      <c r="F94" s="37" t="n">
        <v>0.6697489709498952</v>
      </c>
      <c r="G94" s="37" t="n">
        <v>0.95</v>
      </c>
      <c r="H94" s="37" t="n">
        <v>0.7460814839003644</v>
      </c>
      <c r="I94" s="37" t="n">
        <v>0.6777311085206517</v>
      </c>
      <c r="J94" s="37" t="n">
        <v>0.9415298192493302</v>
      </c>
      <c r="K94" s="37" t="n">
        <v>0.8418262585071621</v>
      </c>
      <c r="L94" s="42" t="inlineStr">
        <is>
          <t>KALINA</t>
        </is>
      </c>
      <c r="M94" s="29" t="n">
        <v>14.53054088950701</v>
      </c>
      <c r="N94" s="35" t="n">
        <v>98.80162850024109</v>
      </c>
      <c r="O94" s="36" t="n">
        <v>3573.482766784672</v>
      </c>
      <c r="P94" s="29" t="n">
        <v>5.420765553332204</v>
      </c>
      <c r="Q94" s="16" t="inlineStr">
        <is>
          <t>no</t>
        </is>
      </c>
      <c r="R94" s="16" t="n"/>
    </row>
    <row r="95">
      <c r="A95" s="16" t="inlineStr">
        <is>
          <t>KF-M07-A1-0084</t>
        </is>
      </c>
      <c r="B95" s="35" t="n">
        <v>436.0969531091276</v>
      </c>
      <c r="C95" s="35" t="n">
        <v>279.0977013205448</v>
      </c>
      <c r="D95" s="36" t="n">
        <v>3781.823024523768</v>
      </c>
      <c r="E95" s="35" t="n">
        <v>808.3402577390962</v>
      </c>
      <c r="F95" s="37" t="n">
        <v>0.6697489709498952</v>
      </c>
      <c r="G95" s="37" t="n">
        <v>0.95</v>
      </c>
      <c r="H95" s="37" t="n">
        <v>0.7460814839003644</v>
      </c>
      <c r="I95" s="37" t="n">
        <v>0.6777311085206517</v>
      </c>
      <c r="J95" s="37" t="n">
        <v>0.9415298192493302</v>
      </c>
      <c r="K95" s="37" t="n">
        <v>0.8418262585071621</v>
      </c>
      <c r="L95" s="42" t="inlineStr">
        <is>
          <t>KALINA</t>
        </is>
      </c>
      <c r="M95" s="29" t="n">
        <v>13.6772989134413</v>
      </c>
      <c r="N95" s="35" t="n">
        <v>103.8753862965861</v>
      </c>
      <c r="O95" s="36" t="n">
        <v>2973.482766784672</v>
      </c>
      <c r="P95" s="29" t="n">
        <v>4.678503870512914</v>
      </c>
      <c r="Q95" s="16" t="inlineStr">
        <is>
          <t>no</t>
        </is>
      </c>
      <c r="R95" s="16" t="n"/>
    </row>
    <row r="96">
      <c r="A96" s="16" t="inlineStr">
        <is>
          <t>KF-M07-A1-0085</t>
        </is>
      </c>
      <c r="B96" s="35" t="n">
        <v>436.0969531091276</v>
      </c>
      <c r="C96" s="35" t="n">
        <v>279.0977013205448</v>
      </c>
      <c r="D96" s="36" t="n">
        <v>4081.823024523768</v>
      </c>
      <c r="E96" s="35" t="n">
        <v>1028.340257739096</v>
      </c>
      <c r="F96" s="37" t="n">
        <v>0.6697489709498952</v>
      </c>
      <c r="G96" s="37" t="n">
        <v>0.95</v>
      </c>
      <c r="H96" s="37" t="n">
        <v>0.7460814839003644</v>
      </c>
      <c r="I96" s="37" t="n">
        <v>0.6777311085206517</v>
      </c>
      <c r="J96" s="37" t="n">
        <v>0.9415298192493302</v>
      </c>
      <c r="K96" s="37" t="n">
        <v>0.8418262585071621</v>
      </c>
      <c r="L96" s="42" t="inlineStr">
        <is>
          <t>KALINA</t>
        </is>
      </c>
      <c r="M96" s="29" t="n">
        <v>12.15953422641154</v>
      </c>
      <c r="N96" s="35" t="n">
        <v>87.23779455317117</v>
      </c>
      <c r="O96" s="36" t="n">
        <v>3053.482766784672</v>
      </c>
      <c r="P96" s="29" t="n">
        <v>3.969331156496823</v>
      </c>
      <c r="Q96" s="16" t="inlineStr">
        <is>
          <t>no</t>
        </is>
      </c>
      <c r="R96" s="16" t="n"/>
    </row>
    <row r="97">
      <c r="A97" s="16" t="inlineStr">
        <is>
          <t>KF-M07-A1-0086</t>
        </is>
      </c>
      <c r="B97" s="35" t="n">
        <v>436.0969531091276</v>
      </c>
      <c r="C97" s="35" t="n">
        <v>279.0977013205448</v>
      </c>
      <c r="D97" s="36" t="n">
        <v>4081.823024523768</v>
      </c>
      <c r="E97" s="35" t="n">
        <v>588.3402577390962</v>
      </c>
      <c r="F97" s="37" t="n">
        <v>0.6697489709498952</v>
      </c>
      <c r="G97" s="37" t="n">
        <v>0.95</v>
      </c>
      <c r="H97" s="37" t="n">
        <v>0.7460814839003644</v>
      </c>
      <c r="I97" s="37" t="n">
        <v>0.6777311085206517</v>
      </c>
      <c r="J97" s="37" t="n">
        <v>0.9415298192493302</v>
      </c>
      <c r="K97" s="37" t="n">
        <v>0.8418262585071621</v>
      </c>
      <c r="L97" s="39" t="inlineStr">
        <is>
          <t>Corregible</t>
        </is>
      </c>
      <c r="M97" s="29" t="n">
        <v>16.62823818621716</v>
      </c>
      <c r="N97" s="35" t="n">
        <v>119.5700378956093</v>
      </c>
      <c r="O97" s="36" t="n">
        <v>3493.482766784672</v>
      </c>
      <c r="P97" s="29" t="n">
        <v>6.937861162534763</v>
      </c>
      <c r="Q97" s="16" t="inlineStr">
        <is>
          <t>no</t>
        </is>
      </c>
      <c r="R97" s="16" t="inlineStr">
        <is>
          <t>O2</t>
        </is>
      </c>
    </row>
    <row r="98">
      <c r="A98" s="16" t="inlineStr">
        <is>
          <t>KF-M07-A1-0087</t>
        </is>
      </c>
      <c r="B98" s="35" t="n">
        <v>436.0969531091276</v>
      </c>
      <c r="C98" s="35" t="n">
        <v>279.0977013205448</v>
      </c>
      <c r="D98" s="36" t="n">
        <v>4081.823024523768</v>
      </c>
      <c r="E98" s="35" t="n">
        <v>808.3402577390962</v>
      </c>
      <c r="F98" s="37" t="n">
        <v>0.7047489709498951</v>
      </c>
      <c r="G98" s="37" t="n">
        <v>0.95</v>
      </c>
      <c r="H98" s="37" t="n">
        <v>0.7460814839003644</v>
      </c>
      <c r="I98" s="37" t="n">
        <v>0.6777311085206517</v>
      </c>
      <c r="J98" s="37" t="n">
        <v>0.9415298192493302</v>
      </c>
      <c r="K98" s="37" t="n">
        <v>0.8418262585071621</v>
      </c>
      <c r="L98" s="39" t="inlineStr">
        <is>
          <t>Corregible</t>
        </is>
      </c>
      <c r="M98" s="29" t="n">
        <v>14.56085130194191</v>
      </c>
      <c r="N98" s="35" t="n">
        <v>113.4404723678731</v>
      </c>
      <c r="O98" s="36" t="n">
        <v>3273.482766784672</v>
      </c>
      <c r="P98" s="29" t="n">
        <v>5.049634711922558</v>
      </c>
      <c r="Q98" s="16" t="inlineStr">
        <is>
          <t>no</t>
        </is>
      </c>
      <c r="R98" s="16" t="inlineStr">
        <is>
          <t>O2</t>
        </is>
      </c>
    </row>
    <row r="99">
      <c r="A99" s="16" t="inlineStr">
        <is>
          <t>KF-M07-A1-0088</t>
        </is>
      </c>
      <c r="B99" s="35" t="n">
        <v>436.0969531091276</v>
      </c>
      <c r="C99" s="35" t="n">
        <v>279.0977013205448</v>
      </c>
      <c r="D99" s="36" t="n">
        <v>4081.823024523768</v>
      </c>
      <c r="E99" s="35" t="n">
        <v>808.3402577390962</v>
      </c>
      <c r="F99" s="37" t="n">
        <v>0.6347489709498951</v>
      </c>
      <c r="G99" s="37" t="n">
        <v>0.95</v>
      </c>
      <c r="H99" s="37" t="n">
        <v>0.7460814839003644</v>
      </c>
      <c r="I99" s="37" t="n">
        <v>0.6777311085206517</v>
      </c>
      <c r="J99" s="37" t="n">
        <v>0.9415298192493302</v>
      </c>
      <c r="K99" s="37" t="n">
        <v>0.8418262585071621</v>
      </c>
      <c r="L99" s="42" t="inlineStr">
        <is>
          <t>KALINA</t>
        </is>
      </c>
      <c r="M99" s="29" t="n">
        <v>13.68794628036867</v>
      </c>
      <c r="N99" s="35" t="n">
        <v>89.65125791625248</v>
      </c>
      <c r="O99" s="36" t="n">
        <v>3273.482766784672</v>
      </c>
      <c r="P99" s="29" t="n">
        <v>5.049634711922558</v>
      </c>
      <c r="Q99" s="16" t="inlineStr">
        <is>
          <t>no</t>
        </is>
      </c>
      <c r="R99" s="16" t="n"/>
    </row>
    <row r="100">
      <c r="A100" s="16" t="inlineStr">
        <is>
          <t>KF-M07-A1-0089</t>
        </is>
      </c>
      <c r="B100" s="35" t="n">
        <v>436.0969531091276</v>
      </c>
      <c r="C100" s="35" t="n">
        <v>279.0977013205448</v>
      </c>
      <c r="D100" s="36" t="n">
        <v>4081.823024523768</v>
      </c>
      <c r="E100" s="35" t="n">
        <v>808.3402577390962</v>
      </c>
      <c r="F100" s="37" t="n">
        <v>0.6697489709498952</v>
      </c>
      <c r="G100" s="37" t="n">
        <v>0.895</v>
      </c>
      <c r="H100" s="37" t="n">
        <v>0.7460814839003644</v>
      </c>
      <c r="I100" s="37" t="n">
        <v>0.6777311085206517</v>
      </c>
      <c r="J100" s="37" t="n">
        <v>0.9415298192493302</v>
      </c>
      <c r="K100" s="37" t="n">
        <v>0.8418262585071621</v>
      </c>
      <c r="L100" s="42" t="inlineStr">
        <is>
          <t>KALINA</t>
        </is>
      </c>
      <c r="M100" s="29" t="n">
        <v>13.28573013684065</v>
      </c>
      <c r="N100" s="35" t="n">
        <v>95.37132943337072</v>
      </c>
      <c r="O100" s="36" t="n">
        <v>3273.482766784672</v>
      </c>
      <c r="P100" s="29" t="n">
        <v>5.049634711922558</v>
      </c>
      <c r="Q100" s="16" t="inlineStr">
        <is>
          <t>no</t>
        </is>
      </c>
      <c r="R100" s="16" t="n"/>
    </row>
    <row r="101">
      <c r="A101" s="16" t="inlineStr">
        <is>
          <t>KF-M07-A1-0090</t>
        </is>
      </c>
      <c r="B101" s="35" t="n">
        <v>436.0969531091276</v>
      </c>
      <c r="C101" s="35" t="n">
        <v>279.0977013205448</v>
      </c>
      <c r="D101" s="36" t="n">
        <v>4081.823024523768</v>
      </c>
      <c r="E101" s="35" t="n">
        <v>808.3402577390962</v>
      </c>
      <c r="F101" s="37" t="n">
        <v>0.6697489709498952</v>
      </c>
      <c r="G101" s="37" t="n">
        <v>0.95</v>
      </c>
      <c r="H101" s="37" t="n">
        <v>0.8010814839003644</v>
      </c>
      <c r="I101" s="37" t="n">
        <v>0.6777311085206517</v>
      </c>
      <c r="J101" s="37" t="n">
        <v>0.9415298192493302</v>
      </c>
      <c r="K101" s="37" t="n">
        <v>0.8418262585071621</v>
      </c>
      <c r="L101" s="42" t="inlineStr">
        <is>
          <t>KALINA</t>
        </is>
      </c>
      <c r="M101" s="29" t="n">
        <v>14.19317411018851</v>
      </c>
      <c r="N101" s="35" t="n">
        <v>101.9572130862894</v>
      </c>
      <c r="O101" s="36" t="n">
        <v>3273.482766784672</v>
      </c>
      <c r="P101" s="29" t="n">
        <v>5.049634711922558</v>
      </c>
      <c r="Q101" s="16" t="inlineStr">
        <is>
          <t>no</t>
        </is>
      </c>
      <c r="R101" s="16" t="n"/>
    </row>
    <row r="102">
      <c r="A102" s="16" t="inlineStr">
        <is>
          <t>KF-M07-A1-0091</t>
        </is>
      </c>
      <c r="B102" s="35" t="n">
        <v>436.0969531091276</v>
      </c>
      <c r="C102" s="35" t="n">
        <v>279.0977013205448</v>
      </c>
      <c r="D102" s="36" t="n">
        <v>4081.823024523768</v>
      </c>
      <c r="E102" s="35" t="n">
        <v>808.3402577390962</v>
      </c>
      <c r="F102" s="37" t="n">
        <v>0.6697489709498952</v>
      </c>
      <c r="G102" s="37" t="n">
        <v>0.95</v>
      </c>
      <c r="H102" s="37" t="n">
        <v>0.6910814839003644</v>
      </c>
      <c r="I102" s="37" t="n">
        <v>0.6777311085206517</v>
      </c>
      <c r="J102" s="37" t="n">
        <v>0.9415298192493302</v>
      </c>
      <c r="K102" s="37" t="n">
        <v>0.8418262585071621</v>
      </c>
      <c r="L102" s="42" t="inlineStr">
        <is>
          <t>KALINA</t>
        </is>
      </c>
      <c r="M102" s="29" t="n">
        <v>14.08191165925149</v>
      </c>
      <c r="N102" s="35" t="n">
        <v>101.1133748968718</v>
      </c>
      <c r="O102" s="36" t="n">
        <v>3273.482766784672</v>
      </c>
      <c r="P102" s="29" t="n">
        <v>5.049634711922558</v>
      </c>
      <c r="Q102" s="16" t="inlineStr">
        <is>
          <t>no</t>
        </is>
      </c>
      <c r="R102" s="16" t="n"/>
    </row>
    <row r="103">
      <c r="A103" s="16" t="inlineStr">
        <is>
          <t>KF-M07-A1-0092</t>
        </is>
      </c>
      <c r="B103" s="35" t="n">
        <v>436.0969531091276</v>
      </c>
      <c r="C103" s="35" t="n">
        <v>279.0977013205448</v>
      </c>
      <c r="D103" s="36" t="n">
        <v>4081.823024523768</v>
      </c>
      <c r="E103" s="35" t="n">
        <v>808.3402577390962</v>
      </c>
      <c r="F103" s="37" t="n">
        <v>0.6697489709498952</v>
      </c>
      <c r="G103" s="37" t="n">
        <v>0.95</v>
      </c>
      <c r="H103" s="37" t="n">
        <v>0.7460814839003644</v>
      </c>
      <c r="I103" s="37" t="n">
        <v>0.7327311085206516</v>
      </c>
      <c r="J103" s="37" t="n">
        <v>0.9415298192493302</v>
      </c>
      <c r="K103" s="37" t="n">
        <v>0.8418262585071621</v>
      </c>
      <c r="L103" s="42" t="inlineStr">
        <is>
          <t>KALINA</t>
        </is>
      </c>
      <c r="M103" s="29" t="n">
        <v>14.26281378725739</v>
      </c>
      <c r="N103" s="35" t="n">
        <v>110.9042907194865</v>
      </c>
      <c r="O103" s="36" t="n">
        <v>3273.482766784672</v>
      </c>
      <c r="P103" s="29" t="n">
        <v>5.049634711922558</v>
      </c>
      <c r="Q103" s="16" t="inlineStr">
        <is>
          <t>no</t>
        </is>
      </c>
      <c r="R103" s="16" t="n"/>
    </row>
    <row r="104">
      <c r="A104" s="16" t="inlineStr">
        <is>
          <t>KF-M07-A1-0093</t>
        </is>
      </c>
      <c r="B104" s="35" t="n">
        <v>436.0969531091276</v>
      </c>
      <c r="C104" s="35" t="n">
        <v>279.0977013205448</v>
      </c>
      <c r="D104" s="36" t="n">
        <v>4081.823024523768</v>
      </c>
      <c r="E104" s="35" t="n">
        <v>808.3402577390962</v>
      </c>
      <c r="F104" s="37" t="n">
        <v>0.6697489709498952</v>
      </c>
      <c r="G104" s="37" t="n">
        <v>0.95</v>
      </c>
      <c r="H104" s="37" t="n">
        <v>0.7460814839003644</v>
      </c>
      <c r="I104" s="37" t="n">
        <v>0.6227311085206517</v>
      </c>
      <c r="J104" s="37" t="n">
        <v>0.9415298192493302</v>
      </c>
      <c r="K104" s="37" t="n">
        <v>0.8418262585071621</v>
      </c>
      <c r="L104" s="42" t="inlineStr">
        <is>
          <t>KALINA</t>
        </is>
      </c>
      <c r="M104" s="29" t="n">
        <v>13.98198341276855</v>
      </c>
      <c r="N104" s="35" t="n">
        <v>92.14888764688706</v>
      </c>
      <c r="O104" s="36" t="n">
        <v>3273.482766784672</v>
      </c>
      <c r="P104" s="29" t="n">
        <v>5.049634711922558</v>
      </c>
      <c r="Q104" s="16" t="inlineStr">
        <is>
          <t>no</t>
        </is>
      </c>
      <c r="R104" s="16" t="n"/>
    </row>
    <row r="105">
      <c r="A105" s="16" t="inlineStr">
        <is>
          <t>KF-M07-A1-0094</t>
        </is>
      </c>
      <c r="B105" s="35" t="n">
        <v>436.0969531091276</v>
      </c>
      <c r="C105" s="35" t="n">
        <v>279.0977013205448</v>
      </c>
      <c r="D105" s="36" t="n">
        <v>4081.823024523768</v>
      </c>
      <c r="E105" s="35" t="n">
        <v>808.3402577390962</v>
      </c>
      <c r="F105" s="37" t="n">
        <v>0.6697489709498952</v>
      </c>
      <c r="G105" s="37" t="n">
        <v>0.95</v>
      </c>
      <c r="H105" s="37" t="n">
        <v>0.7460814839003644</v>
      </c>
      <c r="I105" s="37" t="n">
        <v>0.6777311085206517</v>
      </c>
      <c r="J105" s="37" t="n">
        <v>0.95</v>
      </c>
      <c r="K105" s="37" t="n">
        <v>0.8418262585071621</v>
      </c>
      <c r="L105" s="42" t="inlineStr">
        <is>
          <t>KALINA</t>
        </is>
      </c>
      <c r="M105" s="29" t="n">
        <v>14.18786987958668</v>
      </c>
      <c r="N105" s="35" t="n">
        <v>101.6837774051044</v>
      </c>
      <c r="O105" s="36" t="n">
        <v>3273.482766784672</v>
      </c>
      <c r="P105" s="29" t="n">
        <v>5.049634711922558</v>
      </c>
      <c r="Q105" s="16" t="inlineStr">
        <is>
          <t>no</t>
        </is>
      </c>
      <c r="R105" s="16" t="n"/>
    </row>
    <row r="106">
      <c r="A106" s="16" t="inlineStr">
        <is>
          <t>KF-M07-A1-0095</t>
        </is>
      </c>
      <c r="B106" s="35" t="n">
        <v>436.0969531091276</v>
      </c>
      <c r="C106" s="35" t="n">
        <v>279.0977013205448</v>
      </c>
      <c r="D106" s="36" t="n">
        <v>4081.823024523768</v>
      </c>
      <c r="E106" s="35" t="n">
        <v>808.3402577390962</v>
      </c>
      <c r="F106" s="37" t="n">
        <v>0.6697489709498952</v>
      </c>
      <c r="G106" s="37" t="n">
        <v>0.95</v>
      </c>
      <c r="H106" s="37" t="n">
        <v>0.7460814839003644</v>
      </c>
      <c r="I106" s="37" t="n">
        <v>0.6777311085206517</v>
      </c>
      <c r="J106" s="37" t="n">
        <v>0.8865298192493303</v>
      </c>
      <c r="K106" s="37" t="n">
        <v>0.8418262585071621</v>
      </c>
      <c r="L106" s="42" t="inlineStr">
        <is>
          <t>KALINA</t>
        </is>
      </c>
      <c r="M106" s="29" t="n">
        <v>13.8466764953979</v>
      </c>
      <c r="N106" s="35" t="n">
        <v>100.8051236649019</v>
      </c>
      <c r="O106" s="36" t="n">
        <v>3273.482766784672</v>
      </c>
      <c r="P106" s="29" t="n">
        <v>5.049634711922558</v>
      </c>
      <c r="Q106" s="16" t="inlineStr">
        <is>
          <t>no</t>
        </is>
      </c>
      <c r="R106" s="16" t="n"/>
    </row>
    <row r="107">
      <c r="A107" s="16" t="inlineStr">
        <is>
          <t>KF-M07-A1-0096</t>
        </is>
      </c>
      <c r="B107" s="35" t="n">
        <v>436.0969531091276</v>
      </c>
      <c r="C107" s="35" t="n">
        <v>279.0977013205448</v>
      </c>
      <c r="D107" s="36" t="n">
        <v>4081.823024523768</v>
      </c>
      <c r="E107" s="35" t="n">
        <v>808.3402577390962</v>
      </c>
      <c r="F107" s="37" t="n">
        <v>0.6697489709498952</v>
      </c>
      <c r="G107" s="37" t="n">
        <v>0.95</v>
      </c>
      <c r="H107" s="37" t="n">
        <v>0.7460814839003644</v>
      </c>
      <c r="I107" s="37" t="n">
        <v>0.6777311085206517</v>
      </c>
      <c r="J107" s="37" t="n">
        <v>0.9415298192493302</v>
      </c>
      <c r="K107" s="37" t="n">
        <v>0.896826258507162</v>
      </c>
      <c r="L107" s="42" t="inlineStr">
        <is>
          <t>KALINA</t>
        </is>
      </c>
      <c r="M107" s="29" t="n">
        <v>13.73220227345188</v>
      </c>
      <c r="N107" s="35" t="n">
        <v>100.5574309644446</v>
      </c>
      <c r="O107" s="36" t="n">
        <v>3273.482766784672</v>
      </c>
      <c r="P107" s="29" t="n">
        <v>5.049634711922558</v>
      </c>
      <c r="Q107" s="16" t="inlineStr">
        <is>
          <t>no</t>
        </is>
      </c>
      <c r="R107" s="16" t="n"/>
    </row>
    <row r="108">
      <c r="A108" s="16" t="inlineStr">
        <is>
          <t>KF-M07-A1-0097</t>
        </is>
      </c>
      <c r="B108" s="35" t="n">
        <v>436.0969531091276</v>
      </c>
      <c r="C108" s="35" t="n">
        <v>279.0977013205448</v>
      </c>
      <c r="D108" s="36" t="n">
        <v>4081.823024523768</v>
      </c>
      <c r="E108" s="35" t="n">
        <v>808.3402577390962</v>
      </c>
      <c r="F108" s="37" t="n">
        <v>0.6697489709498952</v>
      </c>
      <c r="G108" s="37" t="n">
        <v>0.95</v>
      </c>
      <c r="H108" s="37" t="n">
        <v>0.7460814839003644</v>
      </c>
      <c r="I108" s="37" t="n">
        <v>0.6777311085206517</v>
      </c>
      <c r="J108" s="37" t="n">
        <v>0.9415298192493302</v>
      </c>
      <c r="K108" s="37" t="n">
        <v>0.7868262585071621</v>
      </c>
      <c r="L108" s="39" t="inlineStr">
        <is>
          <t>Corregible</t>
        </is>
      </c>
      <c r="M108" s="29" t="n">
        <v>14.56465090437648</v>
      </c>
      <c r="N108" s="35" t="n">
        <v>102.3372042923148</v>
      </c>
      <c r="O108" s="36" t="n">
        <v>3273.482766784672</v>
      </c>
      <c r="P108" s="29" t="n">
        <v>5.049634711922558</v>
      </c>
      <c r="Q108" s="16" t="inlineStr">
        <is>
          <t>no</t>
        </is>
      </c>
      <c r="R108" s="16" t="inlineStr">
        <is>
          <t>O2</t>
        </is>
      </c>
    </row>
    <row r="109">
      <c r="A109" s="16" t="inlineStr">
        <is>
          <t>KF-M07-A1-0098</t>
        </is>
      </c>
      <c r="B109" s="35" t="n">
        <v>448.0969531091276</v>
      </c>
      <c r="C109" s="35" t="n">
        <v>279.0977013205448</v>
      </c>
      <c r="D109" s="36" t="n">
        <v>4381.823024523768</v>
      </c>
      <c r="E109" s="35" t="n">
        <v>808.3402577390962</v>
      </c>
      <c r="F109" s="37" t="n">
        <v>0.6697489709498952</v>
      </c>
      <c r="G109" s="37" t="n">
        <v>0.95</v>
      </c>
      <c r="H109" s="37" t="n">
        <v>0.7460814839003644</v>
      </c>
      <c r="I109" s="37" t="n">
        <v>0.6777311085206517</v>
      </c>
      <c r="J109" s="37" t="n">
        <v>0.9415298192493302</v>
      </c>
      <c r="K109" s="37" t="n">
        <v>0.8418262585071621</v>
      </c>
      <c r="L109" s="42" t="inlineStr">
        <is>
          <t>KALINA</t>
        </is>
      </c>
      <c r="M109" s="29" t="n">
        <v>14.83744144512735</v>
      </c>
      <c r="N109" s="35" t="n">
        <v>121.9172359410215</v>
      </c>
      <c r="O109" s="36" t="n">
        <v>3573.482766784672</v>
      </c>
      <c r="P109" s="29" t="n">
        <v>5.420765553332204</v>
      </c>
      <c r="Q109" s="16" t="inlineStr">
        <is>
          <t>sí</t>
        </is>
      </c>
      <c r="R109" s="16" t="n"/>
    </row>
    <row r="110">
      <c r="A110" s="16" t="inlineStr">
        <is>
          <t>KF-M07-A1-0099</t>
        </is>
      </c>
      <c r="B110" s="35" t="n">
        <v>424.0969531091276</v>
      </c>
      <c r="C110" s="35" t="n">
        <v>279.0977013205448</v>
      </c>
      <c r="D110" s="36" t="n">
        <v>4381.823024523768</v>
      </c>
      <c r="E110" s="35" t="n">
        <v>808.3402577390962</v>
      </c>
      <c r="F110" s="37" t="n">
        <v>0.6697489709498952</v>
      </c>
      <c r="G110" s="37" t="n">
        <v>0.95</v>
      </c>
      <c r="H110" s="37" t="n">
        <v>0.7460814839003644</v>
      </c>
      <c r="I110" s="37" t="n">
        <v>0.6777311085206517</v>
      </c>
      <c r="J110" s="37" t="n">
        <v>0.9415298192493302</v>
      </c>
      <c r="K110" s="37" t="n">
        <v>0.8418262585071621</v>
      </c>
      <c r="L110" s="42" t="inlineStr">
        <is>
          <t>KALINA</t>
        </is>
      </c>
      <c r="M110" s="29" t="n">
        <v>14.05916891843635</v>
      </c>
      <c r="N110" s="35" t="n">
        <v>78.31661866915518</v>
      </c>
      <c r="O110" s="36" t="n">
        <v>3573.482766784672</v>
      </c>
      <c r="P110" s="29" t="n">
        <v>5.420765553332204</v>
      </c>
      <c r="Q110" s="16" t="inlineStr">
        <is>
          <t>no</t>
        </is>
      </c>
      <c r="R110" s="16" t="n"/>
    </row>
    <row r="111">
      <c r="A111" s="16" t="inlineStr">
        <is>
          <t>KF-M07-A1-0100</t>
        </is>
      </c>
      <c r="B111" s="35" t="n">
        <v>436.0969531091276</v>
      </c>
      <c r="C111" s="35" t="n">
        <v>281.6377013205448</v>
      </c>
      <c r="D111" s="36" t="n">
        <v>4381.823024523768</v>
      </c>
      <c r="E111" s="35" t="n">
        <v>808.3402577390962</v>
      </c>
      <c r="F111" s="37" t="n">
        <v>0.6697489709498952</v>
      </c>
      <c r="G111" s="37" t="n">
        <v>0.95</v>
      </c>
      <c r="H111" s="37" t="n">
        <v>0.7460814839003644</v>
      </c>
      <c r="I111" s="37" t="n">
        <v>0.6777311085206517</v>
      </c>
      <c r="J111" s="37" t="n">
        <v>0.9415298192493302</v>
      </c>
      <c r="K111" s="37" t="n">
        <v>0.8418262585071621</v>
      </c>
      <c r="L111" s="42" t="inlineStr">
        <is>
          <t>KALINA</t>
        </is>
      </c>
      <c r="M111" s="29" t="n">
        <v>14.64466944923078</v>
      </c>
      <c r="N111" s="35" t="n">
        <v>99.06541762216716</v>
      </c>
      <c r="O111" s="36" t="n">
        <v>3573.482766784672</v>
      </c>
      <c r="P111" s="29" t="n">
        <v>5.420765553332204</v>
      </c>
      <c r="Q111" s="16" t="inlineStr">
        <is>
          <t>no</t>
        </is>
      </c>
      <c r="R111" s="16" t="n"/>
    </row>
    <row r="112">
      <c r="A112" s="16" t="inlineStr">
        <is>
          <t>KF-M07-A1-0101</t>
        </is>
      </c>
      <c r="B112" s="35" t="n">
        <v>436.0969531091276</v>
      </c>
      <c r="C112" s="35" t="n">
        <v>278.15</v>
      </c>
      <c r="D112" s="36" t="n">
        <v>4381.823024523768</v>
      </c>
      <c r="E112" s="35" t="n">
        <v>808.3402577390962</v>
      </c>
      <c r="F112" s="37" t="n">
        <v>0.6697489709498952</v>
      </c>
      <c r="G112" s="37" t="n">
        <v>0.95</v>
      </c>
      <c r="H112" s="37" t="n">
        <v>0.7460814839003644</v>
      </c>
      <c r="I112" s="37" t="n">
        <v>0.6777311085206517</v>
      </c>
      <c r="J112" s="37" t="n">
        <v>0.9415298192493302</v>
      </c>
      <c r="K112" s="37" t="n">
        <v>0.8418262585071621</v>
      </c>
      <c r="L112" s="42" t="inlineStr">
        <is>
          <t>KALINA</t>
        </is>
      </c>
      <c r="M112" s="29" t="n">
        <v>14.48840468674088</v>
      </c>
      <c r="N112" s="35" t="n">
        <v>98.70350101241938</v>
      </c>
      <c r="O112" s="36" t="n">
        <v>3573.482766784672</v>
      </c>
      <c r="P112" s="29" t="n">
        <v>5.420765553332204</v>
      </c>
      <c r="Q112" s="16" t="inlineStr">
        <is>
          <t>no</t>
        </is>
      </c>
      <c r="R112" s="16" t="n"/>
    </row>
    <row r="113">
      <c r="A113" s="16" t="inlineStr">
        <is>
          <t>KF-M07-A1-0102</t>
        </is>
      </c>
      <c r="B113" s="35" t="n">
        <v>436.0969531091276</v>
      </c>
      <c r="C113" s="35" t="n">
        <v>279.0977013205448</v>
      </c>
      <c r="D113" s="36" t="n">
        <v>4681.823024523768</v>
      </c>
      <c r="E113" s="35" t="n">
        <v>808.3402577390962</v>
      </c>
      <c r="F113" s="37" t="n">
        <v>0.6697489709498952</v>
      </c>
      <c r="G113" s="37" t="n">
        <v>0.95</v>
      </c>
      <c r="H113" s="37" t="n">
        <v>0.7460814839003644</v>
      </c>
      <c r="I113" s="37" t="n">
        <v>0.6777311085206517</v>
      </c>
      <c r="J113" s="37" t="n">
        <v>0.9415298192493302</v>
      </c>
      <c r="K113" s="37" t="n">
        <v>0.8418262585071621</v>
      </c>
      <c r="L113" s="42" t="inlineStr">
        <is>
          <t>KALINA</t>
        </is>
      </c>
      <c r="M113" s="29" t="n">
        <v>14.85046010808612</v>
      </c>
      <c r="N113" s="35" t="n">
        <v>95.62682169507868</v>
      </c>
      <c r="O113" s="36" t="n">
        <v>3873.482766784672</v>
      </c>
      <c r="P113" s="29" t="n">
        <v>5.791896394741849</v>
      </c>
      <c r="Q113" s="16" t="inlineStr">
        <is>
          <t>no</t>
        </is>
      </c>
      <c r="R113" s="16" t="n"/>
    </row>
    <row r="114">
      <c r="A114" s="16" t="inlineStr">
        <is>
          <t>KF-M07-A1-0103</t>
        </is>
      </c>
      <c r="B114" s="35" t="n">
        <v>436.0969531091276</v>
      </c>
      <c r="C114" s="35" t="n">
        <v>279.0977013205448</v>
      </c>
      <c r="D114" s="36" t="n">
        <v>4081.823024523768</v>
      </c>
      <c r="E114" s="35" t="n">
        <v>808.3402577390962</v>
      </c>
      <c r="F114" s="37" t="n">
        <v>0.6697489709498952</v>
      </c>
      <c r="G114" s="37" t="n">
        <v>0.95</v>
      </c>
      <c r="H114" s="37" t="n">
        <v>0.7460814839003644</v>
      </c>
      <c r="I114" s="37" t="n">
        <v>0.6777311085206517</v>
      </c>
      <c r="J114" s="37" t="n">
        <v>0.9415298192493302</v>
      </c>
      <c r="K114" s="37" t="n">
        <v>0.8418262585071621</v>
      </c>
      <c r="L114" s="42" t="inlineStr">
        <is>
          <t>KALINA</t>
        </is>
      </c>
      <c r="M114" s="29" t="n">
        <v>14.14165667155382</v>
      </c>
      <c r="N114" s="35" t="n">
        <v>101.5664030487117</v>
      </c>
      <c r="O114" s="36" t="n">
        <v>3273.482766784672</v>
      </c>
      <c r="P114" s="29" t="n">
        <v>5.049634711922558</v>
      </c>
      <c r="Q114" s="16" t="inlineStr">
        <is>
          <t>no</t>
        </is>
      </c>
      <c r="R114" s="16" t="n"/>
    </row>
    <row r="115">
      <c r="A115" s="16" t="inlineStr">
        <is>
          <t>KF-M07-A1-0104</t>
        </is>
      </c>
      <c r="B115" s="35" t="n">
        <v>436.0969531091276</v>
      </c>
      <c r="C115" s="35" t="n">
        <v>279.0977013205448</v>
      </c>
      <c r="D115" s="36" t="n">
        <v>4381.823024523768</v>
      </c>
      <c r="E115" s="35" t="n">
        <v>1028.340257739096</v>
      </c>
      <c r="F115" s="37" t="n">
        <v>0.6697489709498952</v>
      </c>
      <c r="G115" s="37" t="n">
        <v>0.95</v>
      </c>
      <c r="H115" s="37" t="n">
        <v>0.7460814839003644</v>
      </c>
      <c r="I115" s="37" t="n">
        <v>0.6777311085206517</v>
      </c>
      <c r="J115" s="37" t="n">
        <v>0.9415298192493302</v>
      </c>
      <c r="K115" s="37" t="n">
        <v>0.8418262585071621</v>
      </c>
      <c r="L115" s="42" t="inlineStr">
        <is>
          <t>KALINA</t>
        </is>
      </c>
      <c r="M115" s="29" t="n">
        <v>12.57879252283329</v>
      </c>
      <c r="N115" s="35" t="n">
        <v>85.44567911216542</v>
      </c>
      <c r="O115" s="36" t="n">
        <v>3353.482766784672</v>
      </c>
      <c r="P115" s="29" t="n">
        <v>4.261063389813818</v>
      </c>
      <c r="Q115" s="16" t="inlineStr">
        <is>
          <t>no</t>
        </is>
      </c>
      <c r="R115" s="16" t="n"/>
    </row>
    <row r="116">
      <c r="A116" s="16" t="inlineStr">
        <is>
          <t>KF-M07-A1-0105</t>
        </is>
      </c>
      <c r="B116" s="35" t="n">
        <v>436.0969531091276</v>
      </c>
      <c r="C116" s="35" t="n">
        <v>279.0977013205448</v>
      </c>
      <c r="D116" s="36" t="n">
        <v>4381.823024523768</v>
      </c>
      <c r="E116" s="35" t="n">
        <v>588.3402577390962</v>
      </c>
      <c r="F116" s="37" t="n">
        <v>0.6697489709498952</v>
      </c>
      <c r="G116" s="37" t="n">
        <v>0.95</v>
      </c>
      <c r="H116" s="37" t="n">
        <v>0.7460814839003644</v>
      </c>
      <c r="I116" s="37" t="n">
        <v>0.6777311085206517</v>
      </c>
      <c r="J116" s="37" t="n">
        <v>0.9415298192493302</v>
      </c>
      <c r="K116" s="37" t="n">
        <v>0.8418262585071621</v>
      </c>
      <c r="L116" s="39" t="inlineStr">
        <is>
          <t>Corregible</t>
        </is>
      </c>
      <c r="M116" s="29" t="n">
        <v>16.99429361408021</v>
      </c>
      <c r="N116" s="35" t="n">
        <v>115.6917674296044</v>
      </c>
      <c r="O116" s="36" t="n">
        <v>3793.482766784672</v>
      </c>
      <c r="P116" s="29" t="n">
        <v>7.44777017531056</v>
      </c>
      <c r="Q116" s="16" t="inlineStr">
        <is>
          <t>no</t>
        </is>
      </c>
      <c r="R116" s="16" t="inlineStr">
        <is>
          <t>O2</t>
        </is>
      </c>
    </row>
    <row r="117">
      <c r="A117" s="16" t="inlineStr">
        <is>
          <t>KF-M07-A1-0106</t>
        </is>
      </c>
      <c r="B117" s="35" t="n">
        <v>436.0969531091276</v>
      </c>
      <c r="C117" s="35" t="n">
        <v>279.0977013205448</v>
      </c>
      <c r="D117" s="36" t="n">
        <v>4381.823024523768</v>
      </c>
      <c r="E117" s="35" t="n">
        <v>808.3402577390962</v>
      </c>
      <c r="F117" s="37" t="n">
        <v>0.7047489709498951</v>
      </c>
      <c r="G117" s="37" t="n">
        <v>0.95</v>
      </c>
      <c r="H117" s="37" t="n">
        <v>0.7460814839003644</v>
      </c>
      <c r="I117" s="37" t="n">
        <v>0.6777311085206517</v>
      </c>
      <c r="J117" s="37" t="n">
        <v>0.9415298192493302</v>
      </c>
      <c r="K117" s="37" t="n">
        <v>0.8418262585071621</v>
      </c>
      <c r="L117" s="42" t="inlineStr">
        <is>
          <t>KALINA</t>
        </is>
      </c>
      <c r="M117" s="29" t="n">
        <v>14.97793863825945</v>
      </c>
      <c r="N117" s="35" t="n">
        <v>111.1205978072659</v>
      </c>
      <c r="O117" s="36" t="n">
        <v>3573.482766784672</v>
      </c>
      <c r="P117" s="29" t="n">
        <v>5.420765553332204</v>
      </c>
      <c r="Q117" s="16" t="inlineStr">
        <is>
          <t>no</t>
        </is>
      </c>
      <c r="R117" s="16" t="n"/>
    </row>
    <row r="118">
      <c r="A118" s="16" t="inlineStr">
        <is>
          <t>KF-M07-A1-0107</t>
        </is>
      </c>
      <c r="B118" s="35" t="n">
        <v>436.0969531091276</v>
      </c>
      <c r="C118" s="35" t="n">
        <v>279.0977013205448</v>
      </c>
      <c r="D118" s="36" t="n">
        <v>4381.823024523768</v>
      </c>
      <c r="E118" s="35" t="n">
        <v>808.3402577390962</v>
      </c>
      <c r="F118" s="37" t="n">
        <v>0.6347489709498951</v>
      </c>
      <c r="G118" s="37" t="n">
        <v>0.95</v>
      </c>
      <c r="H118" s="37" t="n">
        <v>0.7460814839003644</v>
      </c>
      <c r="I118" s="37" t="n">
        <v>0.6777311085206517</v>
      </c>
      <c r="J118" s="37" t="n">
        <v>0.9415298192493302</v>
      </c>
      <c r="K118" s="37" t="n">
        <v>0.8418262585071621</v>
      </c>
      <c r="L118" s="42" t="inlineStr">
        <is>
          <t>KALINA</t>
        </is>
      </c>
      <c r="M118" s="29" t="n">
        <v>14.03959682892471</v>
      </c>
      <c r="N118" s="35" t="n">
        <v>86.43379102231073</v>
      </c>
      <c r="O118" s="36" t="n">
        <v>3573.482766784672</v>
      </c>
      <c r="P118" s="29" t="n">
        <v>5.420765553332204</v>
      </c>
      <c r="Q118" s="16" t="inlineStr">
        <is>
          <t>no</t>
        </is>
      </c>
      <c r="R118" s="16" t="n"/>
    </row>
    <row r="119">
      <c r="A119" s="16" t="inlineStr">
        <is>
          <t>KF-M07-A1-0108</t>
        </is>
      </c>
      <c r="B119" s="35" t="n">
        <v>436.0969531091276</v>
      </c>
      <c r="C119" s="35" t="n">
        <v>279.0977013205448</v>
      </c>
      <c r="D119" s="36" t="n">
        <v>4381.823024523768</v>
      </c>
      <c r="E119" s="35" t="n">
        <v>808.3402577390962</v>
      </c>
      <c r="F119" s="37" t="n">
        <v>0.6697489709498952</v>
      </c>
      <c r="G119" s="37" t="n">
        <v>0.895</v>
      </c>
      <c r="H119" s="37" t="n">
        <v>0.7460814839003644</v>
      </c>
      <c r="I119" s="37" t="n">
        <v>0.6777311085206517</v>
      </c>
      <c r="J119" s="37" t="n">
        <v>0.9415298192493302</v>
      </c>
      <c r="K119" s="37" t="n">
        <v>0.8418262585071621</v>
      </c>
      <c r="L119" s="42" t="inlineStr">
        <is>
          <t>KALINA</t>
        </is>
      </c>
      <c r="M119" s="29" t="n">
        <v>13.64521430580083</v>
      </c>
      <c r="N119" s="35" t="n">
        <v>92.7359750995054</v>
      </c>
      <c r="O119" s="36" t="n">
        <v>3573.482766784672</v>
      </c>
      <c r="P119" s="29" t="n">
        <v>5.420765553332204</v>
      </c>
      <c r="Q119" s="16" t="inlineStr">
        <is>
          <t>no</t>
        </is>
      </c>
      <c r="R119" s="16" t="n"/>
    </row>
    <row r="120">
      <c r="A120" s="16" t="inlineStr">
        <is>
          <t>KF-M07-A1-0109</t>
        </is>
      </c>
      <c r="B120" s="35" t="n">
        <v>436.0969531091276</v>
      </c>
      <c r="C120" s="35" t="n">
        <v>279.0977013205448</v>
      </c>
      <c r="D120" s="36" t="n">
        <v>4381.823024523768</v>
      </c>
      <c r="E120" s="35" t="n">
        <v>808.3402577390962</v>
      </c>
      <c r="F120" s="37" t="n">
        <v>0.6697489709498952</v>
      </c>
      <c r="G120" s="37" t="n">
        <v>0.95</v>
      </c>
      <c r="H120" s="37" t="n">
        <v>0.8010814839003644</v>
      </c>
      <c r="I120" s="37" t="n">
        <v>0.6777311085206517</v>
      </c>
      <c r="J120" s="37" t="n">
        <v>0.9415298192493302</v>
      </c>
      <c r="K120" s="37" t="n">
        <v>0.8418262585071621</v>
      </c>
      <c r="L120" s="42" t="inlineStr">
        <is>
          <t>KALINA</t>
        </is>
      </c>
      <c r="M120" s="29" t="n">
        <v>14.58986212573143</v>
      </c>
      <c r="N120" s="35" t="n">
        <v>99.22719877549116</v>
      </c>
      <c r="O120" s="36" t="n">
        <v>3573.482766784672</v>
      </c>
      <c r="P120" s="29" t="n">
        <v>5.420765553332204</v>
      </c>
      <c r="Q120" s="16" t="inlineStr">
        <is>
          <t>no</t>
        </is>
      </c>
      <c r="R120" s="16" t="n"/>
    </row>
    <row r="121">
      <c r="A121" s="16" t="inlineStr">
        <is>
          <t>KF-M07-A1-0110</t>
        </is>
      </c>
      <c r="B121" s="35" t="n">
        <v>436.0969531091276</v>
      </c>
      <c r="C121" s="35" t="n">
        <v>279.0977013205448</v>
      </c>
      <c r="D121" s="36" t="n">
        <v>4381.823024523768</v>
      </c>
      <c r="E121" s="35" t="n">
        <v>808.3402577390962</v>
      </c>
      <c r="F121" s="37" t="n">
        <v>0.6697489709498952</v>
      </c>
      <c r="G121" s="37" t="n">
        <v>0.95</v>
      </c>
      <c r="H121" s="37" t="n">
        <v>0.6910814839003644</v>
      </c>
      <c r="I121" s="37" t="n">
        <v>0.6777311085206517</v>
      </c>
      <c r="J121" s="37" t="n">
        <v>0.9415298192493302</v>
      </c>
      <c r="K121" s="37" t="n">
        <v>0.8418262585071621</v>
      </c>
      <c r="L121" s="42" t="inlineStr">
        <is>
          <t>KALINA</t>
        </is>
      </c>
      <c r="M121" s="29" t="n">
        <v>14.46174271250011</v>
      </c>
      <c r="N121" s="35" t="n">
        <v>98.30830473756784</v>
      </c>
      <c r="O121" s="36" t="n">
        <v>3573.482766784672</v>
      </c>
      <c r="P121" s="29" t="n">
        <v>5.420765553332204</v>
      </c>
      <c r="Q121" s="16" t="inlineStr">
        <is>
          <t>no</t>
        </is>
      </c>
      <c r="R121" s="16" t="n"/>
    </row>
    <row r="122">
      <c r="A122" s="16" t="inlineStr">
        <is>
          <t>KF-M07-A1-0111</t>
        </is>
      </c>
      <c r="B122" s="35" t="n">
        <v>436.0969531091276</v>
      </c>
      <c r="C122" s="35" t="n">
        <v>279.0977013205448</v>
      </c>
      <c r="D122" s="36" t="n">
        <v>4381.823024523768</v>
      </c>
      <c r="E122" s="35" t="n">
        <v>808.3402577390962</v>
      </c>
      <c r="F122" s="37" t="n">
        <v>0.6697489709498952</v>
      </c>
      <c r="G122" s="37" t="n">
        <v>0.95</v>
      </c>
      <c r="H122" s="37" t="n">
        <v>0.7460814839003644</v>
      </c>
      <c r="I122" s="37" t="n">
        <v>0.7327311085206516</v>
      </c>
      <c r="J122" s="37" t="n">
        <v>0.9415298192493302</v>
      </c>
      <c r="K122" s="37" t="n">
        <v>0.8418262585071621</v>
      </c>
      <c r="L122" s="42" t="inlineStr">
        <is>
          <t>KALINA</t>
        </is>
      </c>
      <c r="M122" s="29" t="n">
        <v>14.67927656777835</v>
      </c>
      <c r="N122" s="35" t="n">
        <v>108.1417359066728</v>
      </c>
      <c r="O122" s="36" t="n">
        <v>3573.482766784672</v>
      </c>
      <c r="P122" s="29" t="n">
        <v>5.420765553332204</v>
      </c>
      <c r="Q122" s="16" t="inlineStr">
        <is>
          <t>no</t>
        </is>
      </c>
      <c r="R122" s="16" t="n"/>
    </row>
    <row r="123">
      <c r="A123" s="16" t="inlineStr">
        <is>
          <t>KF-M07-A1-0112</t>
        </is>
      </c>
      <c r="B123" s="35" t="n">
        <v>436.0969531091276</v>
      </c>
      <c r="C123" s="35" t="n">
        <v>279.0977013205448</v>
      </c>
      <c r="D123" s="36" t="n">
        <v>4381.823024523768</v>
      </c>
      <c r="E123" s="35" t="n">
        <v>808.3402577390962</v>
      </c>
      <c r="F123" s="37" t="n">
        <v>0.6697489709498952</v>
      </c>
      <c r="G123" s="37" t="n">
        <v>0.95</v>
      </c>
      <c r="H123" s="37" t="n">
        <v>0.7460814839003644</v>
      </c>
      <c r="I123" s="37" t="n">
        <v>0.6227311085206517</v>
      </c>
      <c r="J123" s="37" t="n">
        <v>0.9415298192493302</v>
      </c>
      <c r="K123" s="37" t="n">
        <v>0.8418262585071621</v>
      </c>
      <c r="L123" s="42" t="inlineStr">
        <is>
          <t>KALINA</t>
        </is>
      </c>
      <c r="M123" s="29" t="n">
        <v>14.34134705173025</v>
      </c>
      <c r="N123" s="35" t="n">
        <v>89.40635886590351</v>
      </c>
      <c r="O123" s="36" t="n">
        <v>3573.482766784672</v>
      </c>
      <c r="P123" s="29" t="n">
        <v>5.420765553332204</v>
      </c>
      <c r="Q123" s="16" t="inlineStr">
        <is>
          <t>no</t>
        </is>
      </c>
      <c r="R123" s="16" t="n"/>
    </row>
    <row r="124">
      <c r="A124" s="16" t="inlineStr">
        <is>
          <t>KF-M07-A1-0113</t>
        </is>
      </c>
      <c r="B124" s="35" t="n">
        <v>436.0969531091276</v>
      </c>
      <c r="C124" s="35" t="n">
        <v>279.0977013205448</v>
      </c>
      <c r="D124" s="36" t="n">
        <v>4381.823024523768</v>
      </c>
      <c r="E124" s="35" t="n">
        <v>808.3402577390962</v>
      </c>
      <c r="F124" s="37" t="n">
        <v>0.6697489709498952</v>
      </c>
      <c r="G124" s="37" t="n">
        <v>0.95</v>
      </c>
      <c r="H124" s="37" t="n">
        <v>0.7460814839003644</v>
      </c>
      <c r="I124" s="37" t="n">
        <v>0.6777311085206517</v>
      </c>
      <c r="J124" s="37" t="n">
        <v>0.95</v>
      </c>
      <c r="K124" s="37" t="n">
        <v>0.8418262585071621</v>
      </c>
      <c r="L124" s="42" t="inlineStr">
        <is>
          <t>KALINA</t>
        </is>
      </c>
      <c r="M124" s="29" t="n">
        <v>14.58466394170047</v>
      </c>
      <c r="N124" s="35" t="n">
        <v>98.93439855683104</v>
      </c>
      <c r="O124" s="36" t="n">
        <v>3573.482766784672</v>
      </c>
      <c r="P124" s="29" t="n">
        <v>5.420765553332204</v>
      </c>
      <c r="Q124" s="16" t="inlineStr">
        <is>
          <t>no</t>
        </is>
      </c>
      <c r="R124" s="16" t="n"/>
    </row>
    <row r="125">
      <c r="A125" s="16" t="inlineStr">
        <is>
          <t>KF-M07-A1-0114</t>
        </is>
      </c>
      <c r="B125" s="35" t="n">
        <v>436.0969531091276</v>
      </c>
      <c r="C125" s="35" t="n">
        <v>279.0977013205448</v>
      </c>
      <c r="D125" s="36" t="n">
        <v>4381.823024523768</v>
      </c>
      <c r="E125" s="35" t="n">
        <v>808.3402577390962</v>
      </c>
      <c r="F125" s="37" t="n">
        <v>0.6697489709498952</v>
      </c>
      <c r="G125" s="37" t="n">
        <v>0.95</v>
      </c>
      <c r="H125" s="37" t="n">
        <v>0.7460814839003644</v>
      </c>
      <c r="I125" s="37" t="n">
        <v>0.6777311085206517</v>
      </c>
      <c r="J125" s="37" t="n">
        <v>0.8865298192493303</v>
      </c>
      <c r="K125" s="37" t="n">
        <v>0.8418262585071621</v>
      </c>
      <c r="L125" s="42" t="inlineStr">
        <is>
          <t>KALINA</t>
        </is>
      </c>
      <c r="M125" s="29" t="n">
        <v>14.18574348412714</v>
      </c>
      <c r="N125" s="35" t="n">
        <v>97.94044238826274</v>
      </c>
      <c r="O125" s="36" t="n">
        <v>3573.482766784672</v>
      </c>
      <c r="P125" s="29" t="n">
        <v>5.420765553332204</v>
      </c>
      <c r="Q125" s="16" t="inlineStr">
        <is>
          <t>no</t>
        </is>
      </c>
      <c r="R125" s="16" t="n"/>
    </row>
    <row r="126">
      <c r="A126" s="16" t="inlineStr">
        <is>
          <t>KF-M07-A1-0115</t>
        </is>
      </c>
      <c r="B126" s="35" t="n">
        <v>436.0969531091276</v>
      </c>
      <c r="C126" s="35" t="n">
        <v>279.0977013205448</v>
      </c>
      <c r="D126" s="36" t="n">
        <v>4381.823024523768</v>
      </c>
      <c r="E126" s="35" t="n">
        <v>808.3402577390962</v>
      </c>
      <c r="F126" s="37" t="n">
        <v>0.6697489709498952</v>
      </c>
      <c r="G126" s="37" t="n">
        <v>0.95</v>
      </c>
      <c r="H126" s="37" t="n">
        <v>0.7460814839003644</v>
      </c>
      <c r="I126" s="37" t="n">
        <v>0.6777311085206517</v>
      </c>
      <c r="J126" s="37" t="n">
        <v>0.9415298192493302</v>
      </c>
      <c r="K126" s="37" t="n">
        <v>0.896826258507162</v>
      </c>
      <c r="L126" s="42" t="inlineStr">
        <is>
          <t>KALINA</t>
        </is>
      </c>
      <c r="M126" s="29" t="n">
        <v>14.12779212816193</v>
      </c>
      <c r="N126" s="35" t="n">
        <v>97.84707163300948</v>
      </c>
      <c r="O126" s="36" t="n">
        <v>3573.482766784672</v>
      </c>
      <c r="P126" s="29" t="n">
        <v>5.420765553332204</v>
      </c>
      <c r="Q126" s="16" t="inlineStr">
        <is>
          <t>no</t>
        </is>
      </c>
      <c r="R126" s="16" t="n"/>
    </row>
    <row r="127">
      <c r="A127" s="16" t="inlineStr">
        <is>
          <t>KF-M07-A1-0116</t>
        </is>
      </c>
      <c r="B127" s="35" t="n">
        <v>436.0969531091276</v>
      </c>
      <c r="C127" s="35" t="n">
        <v>279.0977013205448</v>
      </c>
      <c r="D127" s="36" t="n">
        <v>4381.823024523768</v>
      </c>
      <c r="E127" s="35" t="n">
        <v>808.3402577390962</v>
      </c>
      <c r="F127" s="37" t="n">
        <v>0.6697489709498952</v>
      </c>
      <c r="G127" s="37" t="n">
        <v>0.95</v>
      </c>
      <c r="H127" s="37" t="n">
        <v>0.7460814839003644</v>
      </c>
      <c r="I127" s="37" t="n">
        <v>0.6777311085206517</v>
      </c>
      <c r="J127" s="37" t="n">
        <v>0.9415298192493302</v>
      </c>
      <c r="K127" s="37" t="n">
        <v>0.7868262585071621</v>
      </c>
      <c r="L127" s="39" t="inlineStr">
        <is>
          <t>Corregible</t>
        </is>
      </c>
      <c r="M127" s="29" t="n">
        <v>14.96864150301782</v>
      </c>
      <c r="N127" s="35" t="n">
        <v>99.69339788275718</v>
      </c>
      <c r="O127" s="36" t="n">
        <v>3573.482766784672</v>
      </c>
      <c r="P127" s="29" t="n">
        <v>5.420765553332204</v>
      </c>
      <c r="Q127" s="16" t="inlineStr">
        <is>
          <t>no</t>
        </is>
      </c>
      <c r="R127" s="16" t="inlineStr">
        <is>
          <t>O2</t>
        </is>
      </c>
    </row>
    <row r="128"/>
    <row r="129">
      <c r="A129" s="33" t="inlineStr">
        <is>
          <t>Parte 5.1b · libre, desde el mejor de 2.4 · 105 puntos</t>
        </is>
      </c>
      <c r="B129" s="31" t="n"/>
      <c r="C129" s="31" t="n"/>
      <c r="D129" s="31" t="n"/>
      <c r="E129" s="31" t="n"/>
      <c r="F129" s="31" t="n"/>
      <c r="G129" s="31" t="n"/>
      <c r="H129" s="31" t="n"/>
      <c r="I129" s="31" t="n"/>
      <c r="J129" s="31" t="n"/>
      <c r="K129" s="31" t="n"/>
    </row>
    <row r="130"/>
    <row r="131">
      <c r="A131" s="34" t="inlineStr">
        <is>
          <t>Barrido de la parte 5.1b · 105 puntos</t>
        </is>
      </c>
    </row>
    <row r="132">
      <c r="A132" s="25" t="inlineStr">
        <is>
          <t>Todas las variables se mueven.</t>
        </is>
      </c>
    </row>
    <row r="133">
      <c r="A133" s="22" t="inlineStr">
        <is>
          <t>id_punto</t>
        </is>
      </c>
      <c r="B133" s="22" t="inlineStr">
        <is>
          <t>T_fuente [K]</t>
        </is>
      </c>
      <c r="C133" s="22" t="inlineStr">
        <is>
          <t>T_sumidero [K]</t>
        </is>
      </c>
      <c r="D133" s="22" t="inlineStr">
        <is>
          <t>P_alta [kPa]</t>
        </is>
      </c>
      <c r="E133" s="22" t="inlineStr">
        <is>
          <t>P_baja [kPa]</t>
        </is>
      </c>
      <c r="F133" s="22" t="inlineStr">
        <is>
          <t>x_b [–]</t>
        </is>
      </c>
      <c r="G133" s="22" t="inlineStr">
        <is>
          <t>η_t [–]</t>
        </is>
      </c>
      <c r="H133" s="22" t="inlineStr">
        <is>
          <t>η_p [–]</t>
        </is>
      </c>
      <c r="I133" s="22" t="inlineStr">
        <is>
          <t>ε_HRVG [–]</t>
        </is>
      </c>
      <c r="J133" s="22" t="inlineStr">
        <is>
          <t>ε_reg [–]</t>
        </is>
      </c>
      <c r="K133" s="22" t="inlineStr">
        <is>
          <t>ε_cond [–]</t>
        </is>
      </c>
      <c r="L133" s="22" t="inlineStr">
        <is>
          <t>Clase</t>
        </is>
      </c>
      <c r="M133" s="22" t="inlineStr">
        <is>
          <t>η [%]</t>
        </is>
      </c>
      <c r="N133" s="22" t="inlineStr">
        <is>
          <t>W_net [kW] (m_b = 1 kg/s)</t>
        </is>
      </c>
      <c r="O133" s="22" t="inlineStr">
        <is>
          <t>ΔP [kPa]</t>
        </is>
      </c>
      <c r="P133" s="22" t="inlineStr">
        <is>
          <t>r_P [–]</t>
        </is>
      </c>
      <c r="Q133" s="22" t="inlineStr">
        <is>
          <t>Fuera de rango</t>
        </is>
      </c>
      <c r="R133" s="22" t="inlineStr">
        <is>
          <t>Criterios que falla</t>
        </is>
      </c>
    </row>
    <row r="134">
      <c r="A134" s="16" t="inlineStr">
        <is>
          <t>KF-M07-A2-0000</t>
        </is>
      </c>
      <c r="B134" s="35" t="n">
        <v>420</v>
      </c>
      <c r="C134" s="35" t="n">
        <v>278.15</v>
      </c>
      <c r="D134" s="36" t="n">
        <v>3000</v>
      </c>
      <c r="E134" s="35" t="n">
        <v>393.75</v>
      </c>
      <c r="F134" s="37" t="n">
        <v>0.5</v>
      </c>
      <c r="G134" s="37" t="n">
        <v>0.85</v>
      </c>
      <c r="H134" s="37" t="n">
        <v>0.75</v>
      </c>
      <c r="I134" s="37" t="n">
        <v>0.85</v>
      </c>
      <c r="J134" s="37" t="n">
        <v>0.75</v>
      </c>
      <c r="K134" s="37" t="n">
        <v>0.8</v>
      </c>
      <c r="L134" s="42" t="inlineStr">
        <is>
          <t>KALINA</t>
        </is>
      </c>
      <c r="M134" s="29" t="n">
        <v>11.90841397447066</v>
      </c>
      <c r="N134" s="35" t="n">
        <v>64.29434111942909</v>
      </c>
      <c r="O134" s="36" t="n">
        <v>2606.25</v>
      </c>
      <c r="P134" s="29" t="n">
        <v>7.619047619047619</v>
      </c>
      <c r="Q134" s="16" t="inlineStr">
        <is>
          <t>no</t>
        </is>
      </c>
      <c r="R134" s="16" t="n"/>
    </row>
    <row r="135">
      <c r="A135" s="16" t="inlineStr">
        <is>
          <t>KF-M07-A2-0001</t>
        </is>
      </c>
      <c r="B135" s="35" t="n">
        <v>432</v>
      </c>
      <c r="C135" s="35" t="n">
        <v>278.15</v>
      </c>
      <c r="D135" s="36" t="n">
        <v>3000</v>
      </c>
      <c r="E135" s="35" t="n">
        <v>393.75</v>
      </c>
      <c r="F135" s="37" t="n">
        <v>0.5</v>
      </c>
      <c r="G135" s="37" t="n">
        <v>0.85</v>
      </c>
      <c r="H135" s="37" t="n">
        <v>0.75</v>
      </c>
      <c r="I135" s="37" t="n">
        <v>0.85</v>
      </c>
      <c r="J135" s="37" t="n">
        <v>0.75</v>
      </c>
      <c r="K135" s="37" t="n">
        <v>0.8</v>
      </c>
      <c r="L135" s="39" t="inlineStr">
        <is>
          <t>Corregible</t>
        </is>
      </c>
      <c r="M135" s="29" t="n">
        <v>12.84161975052354</v>
      </c>
      <c r="N135" s="35" t="n">
        <v>89.72892653309714</v>
      </c>
      <c r="O135" s="36" t="n">
        <v>2606.25</v>
      </c>
      <c r="P135" s="29" t="n">
        <v>7.619047619047619</v>
      </c>
      <c r="Q135" s="16" t="inlineStr">
        <is>
          <t>sí</t>
        </is>
      </c>
      <c r="R135" s="16" t="inlineStr">
        <is>
          <t>O2</t>
        </is>
      </c>
    </row>
    <row r="136">
      <c r="A136" s="16" t="inlineStr">
        <is>
          <t>KF-M07-A2-0002</t>
        </is>
      </c>
      <c r="B136" s="35" t="n">
        <v>408</v>
      </c>
      <c r="C136" s="35" t="n">
        <v>278.15</v>
      </c>
      <c r="D136" s="36" t="n">
        <v>3000</v>
      </c>
      <c r="E136" s="35" t="n">
        <v>393.75</v>
      </c>
      <c r="F136" s="37" t="n">
        <v>0.5</v>
      </c>
      <c r="G136" s="37" t="n">
        <v>0.85</v>
      </c>
      <c r="H136" s="37" t="n">
        <v>0.75</v>
      </c>
      <c r="I136" s="37" t="n">
        <v>0.85</v>
      </c>
      <c r="J136" s="37" t="n">
        <v>0.75</v>
      </c>
      <c r="K136" s="37" t="n">
        <v>0.8</v>
      </c>
      <c r="L136" s="42" t="inlineStr">
        <is>
          <t>KALINA</t>
        </is>
      </c>
      <c r="M136" s="29" t="n">
        <v>10.24886802790408</v>
      </c>
      <c r="N136" s="35" t="n">
        <v>40.48774961250873</v>
      </c>
      <c r="O136" s="36" t="n">
        <v>2606.25</v>
      </c>
      <c r="P136" s="29" t="n">
        <v>7.619047619047619</v>
      </c>
      <c r="Q136" s="16" t="inlineStr">
        <is>
          <t>no</t>
        </is>
      </c>
      <c r="R136" s="16" t="n"/>
    </row>
    <row r="137">
      <c r="A137" s="16" t="inlineStr">
        <is>
          <t>KF-M07-A2-0003</t>
        </is>
      </c>
      <c r="B137" s="35" t="n">
        <v>420</v>
      </c>
      <c r="C137" s="35" t="n">
        <v>280.69</v>
      </c>
      <c r="D137" s="36" t="n">
        <v>3000</v>
      </c>
      <c r="E137" s="35" t="n">
        <v>393.75</v>
      </c>
      <c r="F137" s="37" t="n">
        <v>0.5</v>
      </c>
      <c r="G137" s="37" t="n">
        <v>0.85</v>
      </c>
      <c r="H137" s="37" t="n">
        <v>0.75</v>
      </c>
      <c r="I137" s="37" t="n">
        <v>0.85</v>
      </c>
      <c r="J137" s="37" t="n">
        <v>0.75</v>
      </c>
      <c r="K137" s="37" t="n">
        <v>0.8</v>
      </c>
      <c r="L137" s="39" t="inlineStr">
        <is>
          <t>Corregible</t>
        </is>
      </c>
      <c r="M137" s="29" t="n">
        <v>12.01054932458493</v>
      </c>
      <c r="N137" s="35" t="n">
        <v>64.3537036245875</v>
      </c>
      <c r="O137" s="36" t="n">
        <v>2606.25</v>
      </c>
      <c r="P137" s="29" t="n">
        <v>7.619047619047619</v>
      </c>
      <c r="Q137" s="16" t="inlineStr">
        <is>
          <t>no</t>
        </is>
      </c>
      <c r="R137" s="16" t="inlineStr">
        <is>
          <t>O2</t>
        </is>
      </c>
    </row>
    <row r="138">
      <c r="A138" s="16" t="inlineStr">
        <is>
          <t>KF-M07-A2-0004</t>
        </is>
      </c>
      <c r="B138" s="35" t="n">
        <v>420</v>
      </c>
      <c r="C138" s="35" t="n">
        <v>278.15</v>
      </c>
      <c r="D138" s="36" t="n">
        <v>3300</v>
      </c>
      <c r="E138" s="35" t="n">
        <v>393.75</v>
      </c>
      <c r="F138" s="37" t="n">
        <v>0.5</v>
      </c>
      <c r="G138" s="37" t="n">
        <v>0.85</v>
      </c>
      <c r="H138" s="37" t="n">
        <v>0.75</v>
      </c>
      <c r="I138" s="37" t="n">
        <v>0.85</v>
      </c>
      <c r="J138" s="37" t="n">
        <v>0.75</v>
      </c>
      <c r="K138" s="37" t="n">
        <v>0.8</v>
      </c>
      <c r="L138" s="42" t="inlineStr">
        <is>
          <t>KALINA</t>
        </is>
      </c>
      <c r="M138" s="29" t="n">
        <v>11.63475772669044</v>
      </c>
      <c r="N138" s="35" t="n">
        <v>56.27608581842766</v>
      </c>
      <c r="O138" s="36" t="n">
        <v>2906.25</v>
      </c>
      <c r="P138" s="29" t="n">
        <v>8.380952380952381</v>
      </c>
      <c r="Q138" s="16" t="inlineStr">
        <is>
          <t>no</t>
        </is>
      </c>
      <c r="R138" s="16" t="n"/>
    </row>
    <row r="139">
      <c r="A139" s="16" t="inlineStr">
        <is>
          <t>KF-M07-A2-0005</t>
        </is>
      </c>
      <c r="B139" s="35" t="n">
        <v>420</v>
      </c>
      <c r="C139" s="35" t="n">
        <v>278.15</v>
      </c>
      <c r="D139" s="36" t="n">
        <v>2700</v>
      </c>
      <c r="E139" s="35" t="n">
        <v>393.75</v>
      </c>
      <c r="F139" s="37" t="n">
        <v>0.5</v>
      </c>
      <c r="G139" s="37" t="n">
        <v>0.85</v>
      </c>
      <c r="H139" s="37" t="n">
        <v>0.75</v>
      </c>
      <c r="I139" s="37" t="n">
        <v>0.85</v>
      </c>
      <c r="J139" s="37" t="n">
        <v>0.75</v>
      </c>
      <c r="K139" s="37" t="n">
        <v>0.8</v>
      </c>
      <c r="L139" s="39" t="inlineStr">
        <is>
          <t>Corregible</t>
        </is>
      </c>
      <c r="M139" s="29" t="n">
        <v>11.93281466696896</v>
      </c>
      <c r="N139" s="35" t="n">
        <v>71.67753472926267</v>
      </c>
      <c r="O139" s="36" t="n">
        <v>2306.25</v>
      </c>
      <c r="P139" s="29" t="n">
        <v>6.857142857142857</v>
      </c>
      <c r="Q139" s="16" t="inlineStr">
        <is>
          <t>no</t>
        </is>
      </c>
      <c r="R139" s="16" t="inlineStr">
        <is>
          <t>O2</t>
        </is>
      </c>
    </row>
    <row r="140">
      <c r="A140" s="16" t="inlineStr">
        <is>
          <t>KF-M07-A2-0006</t>
        </is>
      </c>
      <c r="B140" s="35" t="n">
        <v>420</v>
      </c>
      <c r="C140" s="35" t="n">
        <v>278.15</v>
      </c>
      <c r="D140" s="36" t="n">
        <v>3000</v>
      </c>
      <c r="E140" s="35" t="n">
        <v>613.75</v>
      </c>
      <c r="F140" s="37" t="n">
        <v>0.5</v>
      </c>
      <c r="G140" s="37" t="n">
        <v>0.85</v>
      </c>
      <c r="H140" s="37" t="n">
        <v>0.75</v>
      </c>
      <c r="I140" s="37" t="n">
        <v>0.85</v>
      </c>
      <c r="J140" s="37" t="n">
        <v>0.75</v>
      </c>
      <c r="K140" s="37" t="n">
        <v>0.8</v>
      </c>
      <c r="L140" s="42" t="inlineStr">
        <is>
          <t>KALINA</t>
        </is>
      </c>
      <c r="M140" s="29" t="n">
        <v>9.46707066539871</v>
      </c>
      <c r="N140" s="35" t="n">
        <v>51.00766768135985</v>
      </c>
      <c r="O140" s="36" t="n">
        <v>2386.25</v>
      </c>
      <c r="P140" s="29" t="n">
        <v>4.887983706720978</v>
      </c>
      <c r="Q140" s="16" t="inlineStr">
        <is>
          <t>no</t>
        </is>
      </c>
      <c r="R140" s="16" t="n"/>
    </row>
    <row r="141">
      <c r="A141" s="16" t="inlineStr">
        <is>
          <t>KF-M07-A2-0007</t>
        </is>
      </c>
      <c r="B141" s="35" t="n">
        <v>420</v>
      </c>
      <c r="C141" s="35" t="n">
        <v>278.15</v>
      </c>
      <c r="D141" s="36" t="n">
        <v>3000</v>
      </c>
      <c r="E141" s="35" t="n">
        <v>300</v>
      </c>
      <c r="F141" s="37" t="n">
        <v>0.5</v>
      </c>
      <c r="G141" s="37" t="n">
        <v>0.85</v>
      </c>
      <c r="H141" s="37" t="n">
        <v>0.75</v>
      </c>
      <c r="I141" s="37" t="n">
        <v>0.85</v>
      </c>
      <c r="J141" s="37" t="n">
        <v>0.75</v>
      </c>
      <c r="K141" s="37" t="n">
        <v>0.8</v>
      </c>
      <c r="L141" s="39" t="inlineStr">
        <is>
          <t>Corregible</t>
        </is>
      </c>
      <c r="M141" s="29" t="n">
        <v>13.26199479913055</v>
      </c>
      <c r="N141" s="35" t="n">
        <v>71.66275833828891</v>
      </c>
      <c r="O141" s="36" t="n">
        <v>2700</v>
      </c>
      <c r="P141" s="29" t="n">
        <v>10</v>
      </c>
      <c r="Q141" s="16" t="inlineStr">
        <is>
          <t>no</t>
        </is>
      </c>
      <c r="R141" s="16" t="inlineStr">
        <is>
          <t>O2</t>
        </is>
      </c>
    </row>
    <row r="142">
      <c r="A142" s="16" t="inlineStr">
        <is>
          <t>KF-M07-A2-0008</t>
        </is>
      </c>
      <c r="B142" s="35" t="n">
        <v>420</v>
      </c>
      <c r="C142" s="35" t="n">
        <v>278.15</v>
      </c>
      <c r="D142" s="36" t="n">
        <v>3000</v>
      </c>
      <c r="E142" s="35" t="n">
        <v>393.75</v>
      </c>
      <c r="F142" s="37" t="n">
        <v>0.535</v>
      </c>
      <c r="G142" s="37" t="n">
        <v>0.85</v>
      </c>
      <c r="H142" s="37" t="n">
        <v>0.75</v>
      </c>
      <c r="I142" s="37" t="n">
        <v>0.85</v>
      </c>
      <c r="J142" s="37" t="n">
        <v>0.75</v>
      </c>
      <c r="K142" s="37" t="n">
        <v>0.8</v>
      </c>
      <c r="L142" s="39" t="inlineStr">
        <is>
          <t>Corregible</t>
        </is>
      </c>
      <c r="M142" s="29" t="n">
        <v>12.84223524727109</v>
      </c>
      <c r="N142" s="35" t="n">
        <v>79.28377774915374</v>
      </c>
      <c r="O142" s="36" t="n">
        <v>2606.25</v>
      </c>
      <c r="P142" s="29" t="n">
        <v>7.619047619047619</v>
      </c>
      <c r="Q142" s="16" t="inlineStr">
        <is>
          <t>no</t>
        </is>
      </c>
      <c r="R142" s="16" t="inlineStr">
        <is>
          <t>O2</t>
        </is>
      </c>
    </row>
    <row r="143">
      <c r="A143" s="16" t="inlineStr">
        <is>
          <t>KF-M07-A2-0009</t>
        </is>
      </c>
      <c r="B143" s="35" t="n">
        <v>420</v>
      </c>
      <c r="C143" s="35" t="n">
        <v>278.15</v>
      </c>
      <c r="D143" s="36" t="n">
        <v>3000</v>
      </c>
      <c r="E143" s="35" t="n">
        <v>393.75</v>
      </c>
      <c r="F143" s="37" t="n">
        <v>0.5</v>
      </c>
      <c r="G143" s="37" t="n">
        <v>0.905</v>
      </c>
      <c r="H143" s="37" t="n">
        <v>0.75</v>
      </c>
      <c r="I143" s="37" t="n">
        <v>0.85</v>
      </c>
      <c r="J143" s="37" t="n">
        <v>0.75</v>
      </c>
      <c r="K143" s="37" t="n">
        <v>0.8</v>
      </c>
      <c r="L143" s="42" t="inlineStr">
        <is>
          <t>KALINA</t>
        </is>
      </c>
      <c r="M143" s="29" t="n">
        <v>12.71872263705213</v>
      </c>
      <c r="N143" s="35" t="n">
        <v>68.71916057251637</v>
      </c>
      <c r="O143" s="36" t="n">
        <v>2606.25</v>
      </c>
      <c r="P143" s="29" t="n">
        <v>7.619047619047619</v>
      </c>
      <c r="Q143" s="16" t="inlineStr">
        <is>
          <t>no</t>
        </is>
      </c>
      <c r="R143" s="16" t="n"/>
    </row>
    <row r="144">
      <c r="A144" s="16" t="inlineStr">
        <is>
          <t>KF-M07-A2-0010</t>
        </is>
      </c>
      <c r="B144" s="35" t="n">
        <v>420</v>
      </c>
      <c r="C144" s="35" t="n">
        <v>278.15</v>
      </c>
      <c r="D144" s="36" t="n">
        <v>3000</v>
      </c>
      <c r="E144" s="35" t="n">
        <v>393.75</v>
      </c>
      <c r="F144" s="37" t="n">
        <v>0.5</v>
      </c>
      <c r="G144" s="37" t="n">
        <v>0.795</v>
      </c>
      <c r="H144" s="37" t="n">
        <v>0.75</v>
      </c>
      <c r="I144" s="37" t="n">
        <v>0.85</v>
      </c>
      <c r="J144" s="37" t="n">
        <v>0.75</v>
      </c>
      <c r="K144" s="37" t="n">
        <v>0.8</v>
      </c>
      <c r="L144" s="39" t="inlineStr">
        <is>
          <t>Corregible</t>
        </is>
      </c>
      <c r="M144" s="29" t="n">
        <v>11.09661555726124</v>
      </c>
      <c r="N144" s="35" t="n">
        <v>59.8678114423614</v>
      </c>
      <c r="O144" s="36" t="n">
        <v>2606.25</v>
      </c>
      <c r="P144" s="29" t="n">
        <v>7.619047619047619</v>
      </c>
      <c r="Q144" s="16" t="inlineStr">
        <is>
          <t>no</t>
        </is>
      </c>
      <c r="R144" s="16" t="inlineStr">
        <is>
          <t>O2</t>
        </is>
      </c>
    </row>
    <row r="145">
      <c r="A145" s="16" t="inlineStr">
        <is>
          <t>KF-M07-A2-0011</t>
        </is>
      </c>
      <c r="B145" s="35" t="n">
        <v>420</v>
      </c>
      <c r="C145" s="35" t="n">
        <v>278.15</v>
      </c>
      <c r="D145" s="36" t="n">
        <v>3000</v>
      </c>
      <c r="E145" s="35" t="n">
        <v>393.75</v>
      </c>
      <c r="F145" s="37" t="n">
        <v>0.5</v>
      </c>
      <c r="G145" s="37" t="n">
        <v>0.85</v>
      </c>
      <c r="H145" s="37" t="n">
        <v>0.8049999999999999</v>
      </c>
      <c r="I145" s="37" t="n">
        <v>0.85</v>
      </c>
      <c r="J145" s="37" t="n">
        <v>0.75</v>
      </c>
      <c r="K145" s="37" t="n">
        <v>0.8</v>
      </c>
      <c r="L145" s="42" t="inlineStr">
        <is>
          <t>KALINA</t>
        </is>
      </c>
      <c r="M145" s="29" t="n">
        <v>11.95869995979849</v>
      </c>
      <c r="N145" s="35" t="n">
        <v>64.58118220430705</v>
      </c>
      <c r="O145" s="36" t="n">
        <v>2606.25</v>
      </c>
      <c r="P145" s="29" t="n">
        <v>7.619047619047619</v>
      </c>
      <c r="Q145" s="16" t="inlineStr">
        <is>
          <t>no</t>
        </is>
      </c>
      <c r="R145" s="16" t="n"/>
    </row>
    <row r="146">
      <c r="A146" s="16" t="inlineStr">
        <is>
          <t>KF-M07-A2-0012</t>
        </is>
      </c>
      <c r="B146" s="35" t="n">
        <v>420</v>
      </c>
      <c r="C146" s="35" t="n">
        <v>278.15</v>
      </c>
      <c r="D146" s="36" t="n">
        <v>3000</v>
      </c>
      <c r="E146" s="35" t="n">
        <v>393.75</v>
      </c>
      <c r="F146" s="37" t="n">
        <v>0.5</v>
      </c>
      <c r="G146" s="37" t="n">
        <v>0.85</v>
      </c>
      <c r="H146" s="37" t="n">
        <v>0.6950000000000001</v>
      </c>
      <c r="I146" s="37" t="n">
        <v>0.85</v>
      </c>
      <c r="J146" s="37" t="n">
        <v>0.75</v>
      </c>
      <c r="K146" s="37" t="n">
        <v>0.8</v>
      </c>
      <c r="L146" s="42" t="inlineStr">
        <is>
          <t>KALINA</t>
        </is>
      </c>
      <c r="M146" s="29" t="n">
        <v>11.85013799202847</v>
      </c>
      <c r="N146" s="35" t="n">
        <v>63.96209365714466</v>
      </c>
      <c r="O146" s="36" t="n">
        <v>2606.25</v>
      </c>
      <c r="P146" s="29" t="n">
        <v>7.619047619047619</v>
      </c>
      <c r="Q146" s="16" t="inlineStr">
        <is>
          <t>no</t>
        </is>
      </c>
      <c r="R146" s="16" t="n"/>
    </row>
    <row r="147">
      <c r="A147" s="16" t="inlineStr">
        <is>
          <t>KF-M07-A2-0013</t>
        </is>
      </c>
      <c r="B147" s="35" t="n">
        <v>420</v>
      </c>
      <c r="C147" s="35" t="n">
        <v>278.15</v>
      </c>
      <c r="D147" s="36" t="n">
        <v>3000</v>
      </c>
      <c r="E147" s="35" t="n">
        <v>393.75</v>
      </c>
      <c r="F147" s="37" t="n">
        <v>0.5</v>
      </c>
      <c r="G147" s="37" t="n">
        <v>0.85</v>
      </c>
      <c r="H147" s="37" t="n">
        <v>0.75</v>
      </c>
      <c r="I147" s="37" t="n">
        <v>0.905</v>
      </c>
      <c r="J147" s="37" t="n">
        <v>0.75</v>
      </c>
      <c r="K147" s="37" t="n">
        <v>0.8</v>
      </c>
      <c r="L147" s="39" t="inlineStr">
        <is>
          <t>Corregible</t>
        </is>
      </c>
      <c r="M147" s="29" t="n">
        <v>12.16272633096975</v>
      </c>
      <c r="N147" s="35" t="n">
        <v>69.70479731345247</v>
      </c>
      <c r="O147" s="36" t="n">
        <v>2606.25</v>
      </c>
      <c r="P147" s="29" t="n">
        <v>7.619047619047619</v>
      </c>
      <c r="Q147" s="16" t="inlineStr">
        <is>
          <t>no</t>
        </is>
      </c>
      <c r="R147" s="16" t="inlineStr">
        <is>
          <t>O2</t>
        </is>
      </c>
    </row>
    <row r="148">
      <c r="A148" s="16" t="inlineStr">
        <is>
          <t>KF-M07-A2-0014</t>
        </is>
      </c>
      <c r="B148" s="35" t="n">
        <v>420</v>
      </c>
      <c r="C148" s="35" t="n">
        <v>278.15</v>
      </c>
      <c r="D148" s="36" t="n">
        <v>3000</v>
      </c>
      <c r="E148" s="35" t="n">
        <v>393.75</v>
      </c>
      <c r="F148" s="37" t="n">
        <v>0.5</v>
      </c>
      <c r="G148" s="37" t="n">
        <v>0.85</v>
      </c>
      <c r="H148" s="37" t="n">
        <v>0.75</v>
      </c>
      <c r="I148" s="37" t="n">
        <v>0.795</v>
      </c>
      <c r="J148" s="37" t="n">
        <v>0.75</v>
      </c>
      <c r="K148" s="37" t="n">
        <v>0.8</v>
      </c>
      <c r="L148" s="42" t="inlineStr">
        <is>
          <t>KALINA</t>
        </is>
      </c>
      <c r="M148" s="29" t="n">
        <v>11.61319641779901</v>
      </c>
      <c r="N148" s="35" t="n">
        <v>58.82630448573201</v>
      </c>
      <c r="O148" s="36" t="n">
        <v>2606.25</v>
      </c>
      <c r="P148" s="29" t="n">
        <v>7.619047619047619</v>
      </c>
      <c r="Q148" s="16" t="inlineStr">
        <is>
          <t>no</t>
        </is>
      </c>
      <c r="R148" s="16" t="n"/>
    </row>
    <row r="149">
      <c r="A149" s="16" t="inlineStr">
        <is>
          <t>KF-M07-A2-0015</t>
        </is>
      </c>
      <c r="B149" s="35" t="n">
        <v>420</v>
      </c>
      <c r="C149" s="35" t="n">
        <v>278.15</v>
      </c>
      <c r="D149" s="36" t="n">
        <v>3000</v>
      </c>
      <c r="E149" s="35" t="n">
        <v>393.75</v>
      </c>
      <c r="F149" s="37" t="n">
        <v>0.5</v>
      </c>
      <c r="G149" s="37" t="n">
        <v>0.85</v>
      </c>
      <c r="H149" s="37" t="n">
        <v>0.75</v>
      </c>
      <c r="I149" s="37" t="n">
        <v>0.85</v>
      </c>
      <c r="J149" s="37" t="n">
        <v>0.8049999999999999</v>
      </c>
      <c r="K149" s="37" t="n">
        <v>0.8</v>
      </c>
      <c r="L149" s="42" t="inlineStr">
        <is>
          <t>KALINA</t>
        </is>
      </c>
      <c r="M149" s="29" t="n">
        <v>12.36983746255648</v>
      </c>
      <c r="N149" s="35" t="n">
        <v>64.7487922189103</v>
      </c>
      <c r="O149" s="36" t="n">
        <v>2606.25</v>
      </c>
      <c r="P149" s="29" t="n">
        <v>7.619047619047619</v>
      </c>
      <c r="Q149" s="16" t="inlineStr">
        <is>
          <t>no</t>
        </is>
      </c>
      <c r="R149" s="16" t="n"/>
    </row>
    <row r="150">
      <c r="A150" s="16" t="inlineStr">
        <is>
          <t>KF-M07-A2-0016</t>
        </is>
      </c>
      <c r="B150" s="35" t="n">
        <v>420</v>
      </c>
      <c r="C150" s="35" t="n">
        <v>278.15</v>
      </c>
      <c r="D150" s="36" t="n">
        <v>3000</v>
      </c>
      <c r="E150" s="35" t="n">
        <v>393.75</v>
      </c>
      <c r="F150" s="37" t="n">
        <v>0.5</v>
      </c>
      <c r="G150" s="37" t="n">
        <v>0.85</v>
      </c>
      <c r="H150" s="37" t="n">
        <v>0.75</v>
      </c>
      <c r="I150" s="37" t="n">
        <v>0.85</v>
      </c>
      <c r="J150" s="37" t="n">
        <v>0.6950000000000001</v>
      </c>
      <c r="K150" s="37" t="n">
        <v>0.8</v>
      </c>
      <c r="L150" s="39" t="inlineStr">
        <is>
          <t>Corregible</t>
        </is>
      </c>
      <c r="M150" s="29" t="n">
        <v>11.47922735521104</v>
      </c>
      <c r="N150" s="35" t="n">
        <v>63.84000527370564</v>
      </c>
      <c r="O150" s="36" t="n">
        <v>2606.25</v>
      </c>
      <c r="P150" s="29" t="n">
        <v>7.619047619047619</v>
      </c>
      <c r="Q150" s="16" t="inlineStr">
        <is>
          <t>no</t>
        </is>
      </c>
      <c r="R150" s="16" t="inlineStr">
        <is>
          <t>O2</t>
        </is>
      </c>
    </row>
    <row r="151">
      <c r="A151" s="16" t="inlineStr">
        <is>
          <t>KF-M07-A2-0017</t>
        </is>
      </c>
      <c r="B151" s="35" t="n">
        <v>420</v>
      </c>
      <c r="C151" s="35" t="n">
        <v>278.15</v>
      </c>
      <c r="D151" s="36" t="n">
        <v>3000</v>
      </c>
      <c r="E151" s="35" t="n">
        <v>393.75</v>
      </c>
      <c r="F151" s="37" t="n">
        <v>0.5</v>
      </c>
      <c r="G151" s="37" t="n">
        <v>0.85</v>
      </c>
      <c r="H151" s="37" t="n">
        <v>0.75</v>
      </c>
      <c r="I151" s="37" t="n">
        <v>0.85</v>
      </c>
      <c r="J151" s="37" t="n">
        <v>0.75</v>
      </c>
      <c r="K151" s="37" t="n">
        <v>0.855</v>
      </c>
      <c r="L151" s="42" t="inlineStr">
        <is>
          <t>KALINA</t>
        </is>
      </c>
      <c r="M151" s="29" t="n">
        <v>11.54689458987405</v>
      </c>
      <c r="N151" s="35" t="n">
        <v>63.9512376062917</v>
      </c>
      <c r="O151" s="36" t="n">
        <v>2606.25</v>
      </c>
      <c r="P151" s="29" t="n">
        <v>7.619047619047619</v>
      </c>
      <c r="Q151" s="16" t="inlineStr">
        <is>
          <t>no</t>
        </is>
      </c>
      <c r="R151" s="16" t="n"/>
    </row>
    <row r="152">
      <c r="A152" s="16" t="inlineStr">
        <is>
          <t>KF-M07-A2-0018</t>
        </is>
      </c>
      <c r="B152" s="35" t="n">
        <v>420</v>
      </c>
      <c r="C152" s="35" t="n">
        <v>278.15</v>
      </c>
      <c r="D152" s="36" t="n">
        <v>3000</v>
      </c>
      <c r="E152" s="35" t="n">
        <v>393.75</v>
      </c>
      <c r="F152" s="37" t="n">
        <v>0.5</v>
      </c>
      <c r="G152" s="37" t="n">
        <v>0.85</v>
      </c>
      <c r="H152" s="37" t="n">
        <v>0.75</v>
      </c>
      <c r="I152" s="37" t="n">
        <v>0.85</v>
      </c>
      <c r="J152" s="37" t="n">
        <v>0.75</v>
      </c>
      <c r="K152" s="37" t="n">
        <v>0.7450000000000001</v>
      </c>
      <c r="L152" s="39" t="inlineStr">
        <is>
          <t>Corregible</t>
        </is>
      </c>
      <c r="M152" s="29" t="n">
        <v>12.21901858372232</v>
      </c>
      <c r="N152" s="35" t="n">
        <v>64.10056637329129</v>
      </c>
      <c r="O152" s="36" t="n">
        <v>2606.25</v>
      </c>
      <c r="P152" s="29" t="n">
        <v>7.619047619047619</v>
      </c>
      <c r="Q152" s="16" t="inlineStr">
        <is>
          <t>no</t>
        </is>
      </c>
      <c r="R152" s="16" t="inlineStr">
        <is>
          <t>O2</t>
        </is>
      </c>
    </row>
    <row r="153">
      <c r="A153" s="16" t="inlineStr">
        <is>
          <t>KF-M07-A2-0019</t>
        </is>
      </c>
      <c r="B153" s="35" t="n">
        <v>432</v>
      </c>
      <c r="C153" s="35" t="n">
        <v>278.15</v>
      </c>
      <c r="D153" s="36" t="n">
        <v>3000</v>
      </c>
      <c r="E153" s="35" t="n">
        <v>393.75</v>
      </c>
      <c r="F153" s="37" t="n">
        <v>0.5</v>
      </c>
      <c r="G153" s="37" t="n">
        <v>0.905</v>
      </c>
      <c r="H153" s="37" t="n">
        <v>0.75</v>
      </c>
      <c r="I153" s="37" t="n">
        <v>0.85</v>
      </c>
      <c r="J153" s="37" t="n">
        <v>0.75</v>
      </c>
      <c r="K153" s="37" t="n">
        <v>0.8</v>
      </c>
      <c r="L153" s="39" t="inlineStr">
        <is>
          <t>Corregible</t>
        </is>
      </c>
      <c r="M153" s="29" t="n">
        <v>13.70638239108635</v>
      </c>
      <c r="N153" s="35" t="n">
        <v>95.85708173231414</v>
      </c>
      <c r="O153" s="36" t="n">
        <v>2606.25</v>
      </c>
      <c r="P153" s="29" t="n">
        <v>7.619047619047619</v>
      </c>
      <c r="Q153" s="16" t="inlineStr">
        <is>
          <t>sí</t>
        </is>
      </c>
      <c r="R153" s="16" t="inlineStr">
        <is>
          <t>O2</t>
        </is>
      </c>
    </row>
    <row r="154">
      <c r="A154" s="16" t="inlineStr">
        <is>
          <t>KF-M07-A2-0020</t>
        </is>
      </c>
      <c r="B154" s="35" t="n">
        <v>408</v>
      </c>
      <c r="C154" s="35" t="n">
        <v>278.15</v>
      </c>
      <c r="D154" s="36" t="n">
        <v>3000</v>
      </c>
      <c r="E154" s="35" t="n">
        <v>393.75</v>
      </c>
      <c r="F154" s="37" t="n">
        <v>0.5</v>
      </c>
      <c r="G154" s="37" t="n">
        <v>0.905</v>
      </c>
      <c r="H154" s="37" t="n">
        <v>0.75</v>
      </c>
      <c r="I154" s="37" t="n">
        <v>0.85</v>
      </c>
      <c r="J154" s="37" t="n">
        <v>0.75</v>
      </c>
      <c r="K154" s="37" t="n">
        <v>0.8</v>
      </c>
      <c r="L154" s="42" t="inlineStr">
        <is>
          <t>KALINA</t>
        </is>
      </c>
      <c r="M154" s="29" t="n">
        <v>10.9734586523632</v>
      </c>
      <c r="N154" s="35" t="n">
        <v>43.37460590558342</v>
      </c>
      <c r="O154" s="36" t="n">
        <v>2606.25</v>
      </c>
      <c r="P154" s="29" t="n">
        <v>7.619047619047619</v>
      </c>
      <c r="Q154" s="16" t="inlineStr">
        <is>
          <t>no</t>
        </is>
      </c>
      <c r="R154" s="16" t="n"/>
    </row>
    <row r="155">
      <c r="A155" s="16" t="inlineStr">
        <is>
          <t>KF-M07-A2-0021</t>
        </is>
      </c>
      <c r="B155" s="35" t="n">
        <v>420</v>
      </c>
      <c r="C155" s="35" t="n">
        <v>280.69</v>
      </c>
      <c r="D155" s="36" t="n">
        <v>3000</v>
      </c>
      <c r="E155" s="35" t="n">
        <v>393.75</v>
      </c>
      <c r="F155" s="37" t="n">
        <v>0.5</v>
      </c>
      <c r="G155" s="37" t="n">
        <v>0.905</v>
      </c>
      <c r="H155" s="37" t="n">
        <v>0.75</v>
      </c>
      <c r="I155" s="37" t="n">
        <v>0.85</v>
      </c>
      <c r="J155" s="37" t="n">
        <v>0.75</v>
      </c>
      <c r="K155" s="37" t="n">
        <v>0.8</v>
      </c>
      <c r="L155" s="39" t="inlineStr">
        <is>
          <t>Corregible</t>
        </is>
      </c>
      <c r="M155" s="29" t="n">
        <v>12.82962978182396</v>
      </c>
      <c r="N155" s="35" t="n">
        <v>68.79330407539848</v>
      </c>
      <c r="O155" s="36" t="n">
        <v>2606.25</v>
      </c>
      <c r="P155" s="29" t="n">
        <v>7.619047619047619</v>
      </c>
      <c r="Q155" s="16" t="inlineStr">
        <is>
          <t>no</t>
        </is>
      </c>
      <c r="R155" s="16" t="inlineStr">
        <is>
          <t>O2</t>
        </is>
      </c>
    </row>
    <row r="156">
      <c r="A156" s="16" t="inlineStr">
        <is>
          <t>KF-M07-A2-0022</t>
        </is>
      </c>
      <c r="B156" s="35" t="n">
        <v>420</v>
      </c>
      <c r="C156" s="35" t="n">
        <v>278.15</v>
      </c>
      <c r="D156" s="36" t="n">
        <v>3300</v>
      </c>
      <c r="E156" s="35" t="n">
        <v>393.75</v>
      </c>
      <c r="F156" s="37" t="n">
        <v>0.5</v>
      </c>
      <c r="G156" s="37" t="n">
        <v>0.905</v>
      </c>
      <c r="H156" s="37" t="n">
        <v>0.75</v>
      </c>
      <c r="I156" s="37" t="n">
        <v>0.85</v>
      </c>
      <c r="J156" s="37" t="n">
        <v>0.75</v>
      </c>
      <c r="K156" s="37" t="n">
        <v>0.8</v>
      </c>
      <c r="L156" s="42" t="inlineStr">
        <is>
          <t>KALINA</t>
        </is>
      </c>
      <c r="M156" s="29" t="n">
        <v>12.44043815924933</v>
      </c>
      <c r="N156" s="35" t="n">
        <v>60.21403067571046</v>
      </c>
      <c r="O156" s="36" t="n">
        <v>2906.25</v>
      </c>
      <c r="P156" s="29" t="n">
        <v>8.380952380952381</v>
      </c>
      <c r="Q156" s="16" t="inlineStr">
        <is>
          <t>no</t>
        </is>
      </c>
      <c r="R156" s="16" t="n"/>
    </row>
    <row r="157">
      <c r="A157" s="16" t="inlineStr">
        <is>
          <t>KF-M07-A2-0023</t>
        </is>
      </c>
      <c r="B157" s="35" t="n">
        <v>420</v>
      </c>
      <c r="C157" s="35" t="n">
        <v>278.15</v>
      </c>
      <c r="D157" s="36" t="n">
        <v>2700</v>
      </c>
      <c r="E157" s="35" t="n">
        <v>393.75</v>
      </c>
      <c r="F157" s="37" t="n">
        <v>0.5</v>
      </c>
      <c r="G157" s="37" t="n">
        <v>0.905</v>
      </c>
      <c r="H157" s="37" t="n">
        <v>0.75</v>
      </c>
      <c r="I157" s="37" t="n">
        <v>0.85</v>
      </c>
      <c r="J157" s="37" t="n">
        <v>0.75</v>
      </c>
      <c r="K157" s="37" t="n">
        <v>0.8</v>
      </c>
      <c r="L157" s="39" t="inlineStr">
        <is>
          <t>Corregible</t>
        </is>
      </c>
      <c r="M157" s="29" t="n">
        <v>12.73635912497738</v>
      </c>
      <c r="N157" s="35" t="n">
        <v>76.56315956514798</v>
      </c>
      <c r="O157" s="36" t="n">
        <v>2306.25</v>
      </c>
      <c r="P157" s="29" t="n">
        <v>6.857142857142857</v>
      </c>
      <c r="Q157" s="16" t="inlineStr">
        <is>
          <t>no</t>
        </is>
      </c>
      <c r="R157" s="16" t="inlineStr">
        <is>
          <t>O2</t>
        </is>
      </c>
    </row>
    <row r="158">
      <c r="A158" s="16" t="inlineStr">
        <is>
          <t>KF-M07-A2-0024</t>
        </is>
      </c>
      <c r="B158" s="35" t="n">
        <v>420</v>
      </c>
      <c r="C158" s="35" t="n">
        <v>278.15</v>
      </c>
      <c r="D158" s="36" t="n">
        <v>3000</v>
      </c>
      <c r="E158" s="35" t="n">
        <v>613.75</v>
      </c>
      <c r="F158" s="37" t="n">
        <v>0.5</v>
      </c>
      <c r="G158" s="37" t="n">
        <v>0.905</v>
      </c>
      <c r="H158" s="37" t="n">
        <v>0.75</v>
      </c>
      <c r="I158" s="37" t="n">
        <v>0.85</v>
      </c>
      <c r="J158" s="37" t="n">
        <v>0.75</v>
      </c>
      <c r="K158" s="37" t="n">
        <v>0.8</v>
      </c>
      <c r="L158" s="42" t="inlineStr">
        <is>
          <t>KALINA</t>
        </is>
      </c>
      <c r="M158" s="29" t="n">
        <v>10.1192852416452</v>
      </c>
      <c r="N158" s="35" t="n">
        <v>54.55355958888133</v>
      </c>
      <c r="O158" s="36" t="n">
        <v>2386.25</v>
      </c>
      <c r="P158" s="29" t="n">
        <v>4.887983706720978</v>
      </c>
      <c r="Q158" s="16" t="inlineStr">
        <is>
          <t>no</t>
        </is>
      </c>
      <c r="R158" s="16" t="n"/>
    </row>
    <row r="159">
      <c r="A159" s="16" t="inlineStr">
        <is>
          <t>KF-M07-A2-0025</t>
        </is>
      </c>
      <c r="B159" s="35" t="n">
        <v>420</v>
      </c>
      <c r="C159" s="35" t="n">
        <v>278.15</v>
      </c>
      <c r="D159" s="36" t="n">
        <v>3000</v>
      </c>
      <c r="E159" s="35" t="n">
        <v>300</v>
      </c>
      <c r="F159" s="37" t="n">
        <v>0.5</v>
      </c>
      <c r="G159" s="37" t="n">
        <v>0.905</v>
      </c>
      <c r="H159" s="37" t="n">
        <v>0.75</v>
      </c>
      <c r="I159" s="37" t="n">
        <v>0.85</v>
      </c>
      <c r="J159" s="37" t="n">
        <v>0.75</v>
      </c>
      <c r="K159" s="37" t="n">
        <v>0.8</v>
      </c>
      <c r="L159" s="39" t="inlineStr">
        <is>
          <t>Corregible</t>
        </is>
      </c>
      <c r="M159" s="29" t="n">
        <v>14.17001186186783</v>
      </c>
      <c r="N159" s="35" t="n">
        <v>76.63334712156231</v>
      </c>
      <c r="O159" s="36" t="n">
        <v>2700</v>
      </c>
      <c r="P159" s="29" t="n">
        <v>10</v>
      </c>
      <c r="Q159" s="16" t="inlineStr">
        <is>
          <t>no</t>
        </is>
      </c>
      <c r="R159" s="16" t="inlineStr">
        <is>
          <t>O2</t>
        </is>
      </c>
    </row>
    <row r="160">
      <c r="A160" s="16" t="inlineStr">
        <is>
          <t>KF-M07-A2-0026</t>
        </is>
      </c>
      <c r="B160" s="35" t="n">
        <v>420</v>
      </c>
      <c r="C160" s="35" t="n">
        <v>278.15</v>
      </c>
      <c r="D160" s="36" t="n">
        <v>3000</v>
      </c>
      <c r="E160" s="35" t="n">
        <v>393.75</v>
      </c>
      <c r="F160" s="37" t="n">
        <v>0.535</v>
      </c>
      <c r="G160" s="37" t="n">
        <v>0.905</v>
      </c>
      <c r="H160" s="37" t="n">
        <v>0.75</v>
      </c>
      <c r="I160" s="37" t="n">
        <v>0.85</v>
      </c>
      <c r="J160" s="37" t="n">
        <v>0.75</v>
      </c>
      <c r="K160" s="37" t="n">
        <v>0.8</v>
      </c>
      <c r="L160" s="39" t="inlineStr">
        <is>
          <t>Corregible</t>
        </is>
      </c>
      <c r="M160" s="29" t="n">
        <v>13.71575873246682</v>
      </c>
      <c r="N160" s="35" t="n">
        <v>84.75076107052379</v>
      </c>
      <c r="O160" s="36" t="n">
        <v>2606.25</v>
      </c>
      <c r="P160" s="29" t="n">
        <v>7.619047619047619</v>
      </c>
      <c r="Q160" s="16" t="inlineStr">
        <is>
          <t>no</t>
        </is>
      </c>
      <c r="R160" s="16" t="inlineStr">
        <is>
          <t>O2</t>
        </is>
      </c>
    </row>
    <row r="161">
      <c r="A161" s="16" t="inlineStr">
        <is>
          <t>KF-M07-A2-0027</t>
        </is>
      </c>
      <c r="B161" s="35" t="n">
        <v>420</v>
      </c>
      <c r="C161" s="35" t="n">
        <v>278.15</v>
      </c>
      <c r="D161" s="36" t="n">
        <v>3000</v>
      </c>
      <c r="E161" s="35" t="n">
        <v>393.75</v>
      </c>
      <c r="F161" s="37" t="n">
        <v>0.5</v>
      </c>
      <c r="G161" s="37" t="n">
        <v>0.95</v>
      </c>
      <c r="H161" s="37" t="n">
        <v>0.75</v>
      </c>
      <c r="I161" s="37" t="n">
        <v>0.85</v>
      </c>
      <c r="J161" s="37" t="n">
        <v>0.75</v>
      </c>
      <c r="K161" s="37" t="n">
        <v>0.8</v>
      </c>
      <c r="L161" s="42" t="inlineStr">
        <is>
          <t>KALINA</t>
        </is>
      </c>
      <c r="M161" s="29" t="n">
        <v>13.38063968777891</v>
      </c>
      <c r="N161" s="35" t="n">
        <v>72.33843765129036</v>
      </c>
      <c r="O161" s="36" t="n">
        <v>2606.25</v>
      </c>
      <c r="P161" s="29" t="n">
        <v>7.619047619047619</v>
      </c>
      <c r="Q161" s="16" t="inlineStr">
        <is>
          <t>no</t>
        </is>
      </c>
      <c r="R161" s="16" t="n"/>
    </row>
    <row r="162">
      <c r="A162" s="16" t="inlineStr">
        <is>
          <t>KF-M07-A2-0028</t>
        </is>
      </c>
      <c r="B162" s="35" t="n">
        <v>420</v>
      </c>
      <c r="C162" s="35" t="n">
        <v>278.15</v>
      </c>
      <c r="D162" s="36" t="n">
        <v>3000</v>
      </c>
      <c r="E162" s="35" t="n">
        <v>393.75</v>
      </c>
      <c r="F162" s="37" t="n">
        <v>0.5</v>
      </c>
      <c r="G162" s="37" t="n">
        <v>0.85</v>
      </c>
      <c r="H162" s="37" t="n">
        <v>0.75</v>
      </c>
      <c r="I162" s="37" t="n">
        <v>0.85</v>
      </c>
      <c r="J162" s="37" t="n">
        <v>0.75</v>
      </c>
      <c r="K162" s="37" t="n">
        <v>0.8</v>
      </c>
      <c r="L162" s="42" t="inlineStr">
        <is>
          <t>KALINA</t>
        </is>
      </c>
      <c r="M162" s="29" t="n">
        <v>11.90841397447066</v>
      </c>
      <c r="N162" s="35" t="n">
        <v>64.29434111942909</v>
      </c>
      <c r="O162" s="36" t="n">
        <v>2606.25</v>
      </c>
      <c r="P162" s="29" t="n">
        <v>7.619047619047619</v>
      </c>
      <c r="Q162" s="16" t="inlineStr">
        <is>
          <t>no</t>
        </is>
      </c>
      <c r="R162" s="16" t="n"/>
    </row>
    <row r="163">
      <c r="A163" s="16" t="inlineStr">
        <is>
          <t>KF-M07-A2-0029</t>
        </is>
      </c>
      <c r="B163" s="35" t="n">
        <v>420</v>
      </c>
      <c r="C163" s="35" t="n">
        <v>278.15</v>
      </c>
      <c r="D163" s="36" t="n">
        <v>3000</v>
      </c>
      <c r="E163" s="35" t="n">
        <v>393.75</v>
      </c>
      <c r="F163" s="37" t="n">
        <v>0.5</v>
      </c>
      <c r="G163" s="37" t="n">
        <v>0.905</v>
      </c>
      <c r="H163" s="37" t="n">
        <v>0.8049999999999999</v>
      </c>
      <c r="I163" s="37" t="n">
        <v>0.85</v>
      </c>
      <c r="J163" s="37" t="n">
        <v>0.75</v>
      </c>
      <c r="K163" s="37" t="n">
        <v>0.8</v>
      </c>
      <c r="L163" s="42" t="inlineStr">
        <is>
          <t>KALINA</t>
        </is>
      </c>
      <c r="M163" s="29" t="n">
        <v>12.76872585021695</v>
      </c>
      <c r="N163" s="35" t="n">
        <v>69.00570293453001</v>
      </c>
      <c r="O163" s="36" t="n">
        <v>2606.25</v>
      </c>
      <c r="P163" s="29" t="n">
        <v>7.619047619047619</v>
      </c>
      <c r="Q163" s="16" t="inlineStr">
        <is>
          <t>no</t>
        </is>
      </c>
      <c r="R163" s="16" t="n"/>
    </row>
    <row r="164">
      <c r="A164" s="16" t="inlineStr">
        <is>
          <t>KF-M07-A2-0030</t>
        </is>
      </c>
      <c r="B164" s="35" t="n">
        <v>420</v>
      </c>
      <c r="C164" s="35" t="n">
        <v>278.15</v>
      </c>
      <c r="D164" s="36" t="n">
        <v>3000</v>
      </c>
      <c r="E164" s="35" t="n">
        <v>393.75</v>
      </c>
      <c r="F164" s="37" t="n">
        <v>0.5</v>
      </c>
      <c r="G164" s="37" t="n">
        <v>0.905</v>
      </c>
      <c r="H164" s="37" t="n">
        <v>0.6950000000000001</v>
      </c>
      <c r="I164" s="37" t="n">
        <v>0.85</v>
      </c>
      <c r="J164" s="37" t="n">
        <v>0.75</v>
      </c>
      <c r="K164" s="37" t="n">
        <v>0.8</v>
      </c>
      <c r="L164" s="42" t="inlineStr">
        <is>
          <t>KALINA</t>
        </is>
      </c>
      <c r="M164" s="29" t="n">
        <v>12.66077439848891</v>
      </c>
      <c r="N164" s="35" t="n">
        <v>68.38725913691761</v>
      </c>
      <c r="O164" s="36" t="n">
        <v>2606.25</v>
      </c>
      <c r="P164" s="29" t="n">
        <v>7.619047619047619</v>
      </c>
      <c r="Q164" s="16" t="inlineStr">
        <is>
          <t>no</t>
        </is>
      </c>
      <c r="R164" s="16" t="n"/>
    </row>
    <row r="165">
      <c r="A165" s="16" t="inlineStr">
        <is>
          <t>KF-M07-A2-0031</t>
        </is>
      </c>
      <c r="B165" s="35" t="n">
        <v>420</v>
      </c>
      <c r="C165" s="35" t="n">
        <v>278.15</v>
      </c>
      <c r="D165" s="36" t="n">
        <v>3000</v>
      </c>
      <c r="E165" s="35" t="n">
        <v>393.75</v>
      </c>
      <c r="F165" s="37" t="n">
        <v>0.5</v>
      </c>
      <c r="G165" s="37" t="n">
        <v>0.905</v>
      </c>
      <c r="H165" s="37" t="n">
        <v>0.75</v>
      </c>
      <c r="I165" s="37" t="n">
        <v>0.905</v>
      </c>
      <c r="J165" s="37" t="n">
        <v>0.75</v>
      </c>
      <c r="K165" s="37" t="n">
        <v>0.8</v>
      </c>
      <c r="L165" s="39" t="inlineStr">
        <is>
          <t>Corregible</t>
        </is>
      </c>
      <c r="M165" s="29" t="n">
        <v>12.98717127609969</v>
      </c>
      <c r="N165" s="35" t="n">
        <v>74.4900451157304</v>
      </c>
      <c r="O165" s="36" t="n">
        <v>2606.25</v>
      </c>
      <c r="P165" s="29" t="n">
        <v>7.619047619047619</v>
      </c>
      <c r="Q165" s="16" t="inlineStr">
        <is>
          <t>no</t>
        </is>
      </c>
      <c r="R165" s="16" t="inlineStr">
        <is>
          <t>O2</t>
        </is>
      </c>
    </row>
    <row r="166">
      <c r="A166" s="16" t="inlineStr">
        <is>
          <t>KF-M07-A2-0032</t>
        </is>
      </c>
      <c r="B166" s="35" t="n">
        <v>420</v>
      </c>
      <c r="C166" s="35" t="n">
        <v>278.15</v>
      </c>
      <c r="D166" s="36" t="n">
        <v>3000</v>
      </c>
      <c r="E166" s="35" t="n">
        <v>393.75</v>
      </c>
      <c r="F166" s="37" t="n">
        <v>0.5</v>
      </c>
      <c r="G166" s="37" t="n">
        <v>0.905</v>
      </c>
      <c r="H166" s="37" t="n">
        <v>0.75</v>
      </c>
      <c r="I166" s="37" t="n">
        <v>0.795</v>
      </c>
      <c r="J166" s="37" t="n">
        <v>0.75</v>
      </c>
      <c r="K166" s="37" t="n">
        <v>0.8</v>
      </c>
      <c r="L166" s="42" t="inlineStr">
        <is>
          <t>KALINA</t>
        </is>
      </c>
      <c r="M166" s="29" t="n">
        <v>12.4082000901214</v>
      </c>
      <c r="N166" s="35" t="n">
        <v>62.89416897408736</v>
      </c>
      <c r="O166" s="36" t="n">
        <v>2606.25</v>
      </c>
      <c r="P166" s="29" t="n">
        <v>7.619047619047619</v>
      </c>
      <c r="Q166" s="16" t="inlineStr">
        <is>
          <t>no</t>
        </is>
      </c>
      <c r="R166" s="16" t="n"/>
    </row>
    <row r="167">
      <c r="A167" s="16" t="inlineStr">
        <is>
          <t>KF-M07-A2-0033</t>
        </is>
      </c>
      <c r="B167" s="35" t="n">
        <v>420</v>
      </c>
      <c r="C167" s="35" t="n">
        <v>278.15</v>
      </c>
      <c r="D167" s="36" t="n">
        <v>3000</v>
      </c>
      <c r="E167" s="35" t="n">
        <v>393.75</v>
      </c>
      <c r="F167" s="37" t="n">
        <v>0.5</v>
      </c>
      <c r="G167" s="37" t="n">
        <v>0.905</v>
      </c>
      <c r="H167" s="37" t="n">
        <v>0.75</v>
      </c>
      <c r="I167" s="37" t="n">
        <v>0.85</v>
      </c>
      <c r="J167" s="37" t="n">
        <v>0.8049999999999999</v>
      </c>
      <c r="K167" s="37" t="n">
        <v>0.8</v>
      </c>
      <c r="L167" s="42" t="inlineStr">
        <is>
          <t>KALINA</t>
        </is>
      </c>
      <c r="M167" s="29" t="n">
        <v>13.21168397473728</v>
      </c>
      <c r="N167" s="35" t="n">
        <v>69.2035438030243</v>
      </c>
      <c r="O167" s="36" t="n">
        <v>2606.25</v>
      </c>
      <c r="P167" s="29" t="n">
        <v>7.619047619047619</v>
      </c>
      <c r="Q167" s="16" t="inlineStr">
        <is>
          <t>no</t>
        </is>
      </c>
      <c r="R167" s="16" t="n"/>
    </row>
    <row r="168">
      <c r="A168" s="16" t="inlineStr">
        <is>
          <t>KF-M07-A2-0034</t>
        </is>
      </c>
      <c r="B168" s="35" t="n">
        <v>420</v>
      </c>
      <c r="C168" s="35" t="n">
        <v>278.15</v>
      </c>
      <c r="D168" s="36" t="n">
        <v>3000</v>
      </c>
      <c r="E168" s="35" t="n">
        <v>393.75</v>
      </c>
      <c r="F168" s="37" t="n">
        <v>0.5</v>
      </c>
      <c r="G168" s="37" t="n">
        <v>0.905</v>
      </c>
      <c r="H168" s="37" t="n">
        <v>0.75</v>
      </c>
      <c r="I168" s="37" t="n">
        <v>0.85</v>
      </c>
      <c r="J168" s="37" t="n">
        <v>0.6950000000000001</v>
      </c>
      <c r="K168" s="37" t="n">
        <v>0.8</v>
      </c>
      <c r="L168" s="39" t="inlineStr">
        <is>
          <t>Corregible</t>
        </is>
      </c>
      <c r="M168" s="29" t="n">
        <v>12.26076864910928</v>
      </c>
      <c r="N168" s="35" t="n">
        <v>68.2380196608481</v>
      </c>
      <c r="O168" s="36" t="n">
        <v>2606.25</v>
      </c>
      <c r="P168" s="29" t="n">
        <v>7.619047619047619</v>
      </c>
      <c r="Q168" s="16" t="inlineStr">
        <is>
          <t>no</t>
        </is>
      </c>
      <c r="R168" s="16" t="inlineStr">
        <is>
          <t>O2</t>
        </is>
      </c>
    </row>
    <row r="169">
      <c r="A169" s="16" t="inlineStr">
        <is>
          <t>KF-M07-A2-0035</t>
        </is>
      </c>
      <c r="B169" s="35" t="n">
        <v>420</v>
      </c>
      <c r="C169" s="35" t="n">
        <v>278.15</v>
      </c>
      <c r="D169" s="36" t="n">
        <v>3000</v>
      </c>
      <c r="E169" s="35" t="n">
        <v>393.75</v>
      </c>
      <c r="F169" s="37" t="n">
        <v>0.5</v>
      </c>
      <c r="G169" s="37" t="n">
        <v>0.905</v>
      </c>
      <c r="H169" s="37" t="n">
        <v>0.75</v>
      </c>
      <c r="I169" s="37" t="n">
        <v>0.85</v>
      </c>
      <c r="J169" s="37" t="n">
        <v>0.75</v>
      </c>
      <c r="K169" s="37" t="n">
        <v>0.855</v>
      </c>
      <c r="L169" s="42" t="inlineStr">
        <is>
          <t>KALINA</t>
        </is>
      </c>
      <c r="M169" s="29" t="n">
        <v>12.33588410853519</v>
      </c>
      <c r="N169" s="35" t="n">
        <v>68.35456308579269</v>
      </c>
      <c r="O169" s="36" t="n">
        <v>2606.25</v>
      </c>
      <c r="P169" s="29" t="n">
        <v>7.619047619047619</v>
      </c>
      <c r="Q169" s="16" t="inlineStr">
        <is>
          <t>no</t>
        </is>
      </c>
      <c r="R169" s="16" t="n"/>
    </row>
    <row r="170">
      <c r="A170" s="16" t="inlineStr">
        <is>
          <t>KF-M07-A2-0036</t>
        </is>
      </c>
      <c r="B170" s="35" t="n">
        <v>420</v>
      </c>
      <c r="C170" s="35" t="n">
        <v>278.15</v>
      </c>
      <c r="D170" s="36" t="n">
        <v>3000</v>
      </c>
      <c r="E170" s="35" t="n">
        <v>393.75</v>
      </c>
      <c r="F170" s="37" t="n">
        <v>0.5</v>
      </c>
      <c r="G170" s="37" t="n">
        <v>0.905</v>
      </c>
      <c r="H170" s="37" t="n">
        <v>0.75</v>
      </c>
      <c r="I170" s="37" t="n">
        <v>0.85</v>
      </c>
      <c r="J170" s="37" t="n">
        <v>0.75</v>
      </c>
      <c r="K170" s="37" t="n">
        <v>0.7450000000000001</v>
      </c>
      <c r="L170" s="39" t="inlineStr">
        <is>
          <t>Corregible</t>
        </is>
      </c>
      <c r="M170" s="29" t="n">
        <v>13.06085748413264</v>
      </c>
      <c r="N170" s="35" t="n">
        <v>68.58763571788427</v>
      </c>
      <c r="O170" s="36" t="n">
        <v>2606.25</v>
      </c>
      <c r="P170" s="29" t="n">
        <v>7.619047619047619</v>
      </c>
      <c r="Q170" s="16" t="inlineStr">
        <is>
          <t>no</t>
        </is>
      </c>
      <c r="R170" s="16" t="inlineStr">
        <is>
          <t>O2</t>
        </is>
      </c>
    </row>
    <row r="171">
      <c r="A171" s="16" t="inlineStr">
        <is>
          <t>KF-M07-A2-0037</t>
        </is>
      </c>
      <c r="B171" s="35" t="n">
        <v>432</v>
      </c>
      <c r="C171" s="35" t="n">
        <v>278.15</v>
      </c>
      <c r="D171" s="36" t="n">
        <v>3000</v>
      </c>
      <c r="E171" s="35" t="n">
        <v>393.75</v>
      </c>
      <c r="F171" s="37" t="n">
        <v>0.5</v>
      </c>
      <c r="G171" s="37" t="n">
        <v>0.95</v>
      </c>
      <c r="H171" s="37" t="n">
        <v>0.75</v>
      </c>
      <c r="I171" s="37" t="n">
        <v>0.85</v>
      </c>
      <c r="J171" s="37" t="n">
        <v>0.75</v>
      </c>
      <c r="K171" s="37" t="n">
        <v>0.8</v>
      </c>
      <c r="L171" s="39" t="inlineStr">
        <is>
          <t>Corregible</t>
        </is>
      </c>
      <c r="M171" s="29" t="n">
        <v>14.41239386447037</v>
      </c>
      <c r="N171" s="35" t="n">
        <v>100.8683187241242</v>
      </c>
      <c r="O171" s="36" t="n">
        <v>2606.25</v>
      </c>
      <c r="P171" s="29" t="n">
        <v>7.619047619047619</v>
      </c>
      <c r="Q171" s="16" t="inlineStr">
        <is>
          <t>sí</t>
        </is>
      </c>
      <c r="R171" s="16" t="inlineStr">
        <is>
          <t>O1,O2</t>
        </is>
      </c>
    </row>
    <row r="172">
      <c r="A172" s="16" t="inlineStr">
        <is>
          <t>KF-M07-A2-0038</t>
        </is>
      </c>
      <c r="B172" s="35" t="n">
        <v>408</v>
      </c>
      <c r="C172" s="35" t="n">
        <v>278.15</v>
      </c>
      <c r="D172" s="36" t="n">
        <v>3000</v>
      </c>
      <c r="E172" s="35" t="n">
        <v>393.75</v>
      </c>
      <c r="F172" s="37" t="n">
        <v>0.5</v>
      </c>
      <c r="G172" s="37" t="n">
        <v>0.95</v>
      </c>
      <c r="H172" s="37" t="n">
        <v>0.75</v>
      </c>
      <c r="I172" s="37" t="n">
        <v>0.85</v>
      </c>
      <c r="J172" s="37" t="n">
        <v>0.75</v>
      </c>
      <c r="K172" s="37" t="n">
        <v>0.8</v>
      </c>
      <c r="L172" s="42" t="inlineStr">
        <is>
          <t>KALINA</t>
        </is>
      </c>
      <c r="M172" s="29" t="n">
        <v>11.56555679957556</v>
      </c>
      <c r="N172" s="35" t="n">
        <v>45.7359954311614</v>
      </c>
      <c r="O172" s="36" t="n">
        <v>2606.25</v>
      </c>
      <c r="P172" s="29" t="n">
        <v>7.619047619047619</v>
      </c>
      <c r="Q172" s="16" t="inlineStr">
        <is>
          <t>no</t>
        </is>
      </c>
      <c r="R172" s="16" t="n"/>
    </row>
    <row r="173">
      <c r="A173" s="16" t="inlineStr">
        <is>
          <t>KF-M07-A2-0039</t>
        </is>
      </c>
      <c r="B173" s="35" t="n">
        <v>420</v>
      </c>
      <c r="C173" s="35" t="n">
        <v>280.69</v>
      </c>
      <c r="D173" s="36" t="n">
        <v>3000</v>
      </c>
      <c r="E173" s="35" t="n">
        <v>393.75</v>
      </c>
      <c r="F173" s="37" t="n">
        <v>0.5</v>
      </c>
      <c r="G173" s="37" t="n">
        <v>0.95</v>
      </c>
      <c r="H173" s="37" t="n">
        <v>0.75</v>
      </c>
      <c r="I173" s="37" t="n">
        <v>0.85</v>
      </c>
      <c r="J173" s="37" t="n">
        <v>0.75</v>
      </c>
      <c r="K173" s="37" t="n">
        <v>0.8</v>
      </c>
      <c r="L173" s="39" t="inlineStr">
        <is>
          <t>Corregible</t>
        </is>
      </c>
      <c r="M173" s="29" t="n">
        <v>13.4985938033909</v>
      </c>
      <c r="N173" s="35" t="n">
        <v>72.42408849537179</v>
      </c>
      <c r="O173" s="36" t="n">
        <v>2606.25</v>
      </c>
      <c r="P173" s="29" t="n">
        <v>7.619047619047619</v>
      </c>
      <c r="Q173" s="16" t="inlineStr">
        <is>
          <t>no</t>
        </is>
      </c>
      <c r="R173" s="16" t="inlineStr">
        <is>
          <t>O2</t>
        </is>
      </c>
    </row>
    <row r="174">
      <c r="A174" s="16" t="inlineStr">
        <is>
          <t>KF-M07-A2-0040</t>
        </is>
      </c>
      <c r="B174" s="35" t="n">
        <v>420</v>
      </c>
      <c r="C174" s="35" t="n">
        <v>278.15</v>
      </c>
      <c r="D174" s="36" t="n">
        <v>3300</v>
      </c>
      <c r="E174" s="35" t="n">
        <v>393.75</v>
      </c>
      <c r="F174" s="37" t="n">
        <v>0.5</v>
      </c>
      <c r="G174" s="37" t="n">
        <v>0.95</v>
      </c>
      <c r="H174" s="37" t="n">
        <v>0.75</v>
      </c>
      <c r="I174" s="37" t="n">
        <v>0.85</v>
      </c>
      <c r="J174" s="37" t="n">
        <v>0.75</v>
      </c>
      <c r="K174" s="37" t="n">
        <v>0.8</v>
      </c>
      <c r="L174" s="42" t="inlineStr">
        <is>
          <t>KALINA</t>
        </is>
      </c>
      <c r="M174" s="29" t="n">
        <v>13.09862969189399</v>
      </c>
      <c r="N174" s="35" t="n">
        <v>63.43506931300643</v>
      </c>
      <c r="O174" s="36" t="n">
        <v>2906.25</v>
      </c>
      <c r="P174" s="29" t="n">
        <v>8.380952380952381</v>
      </c>
      <c r="Q174" s="16" t="inlineStr">
        <is>
          <t>no</t>
        </is>
      </c>
      <c r="R174" s="16" t="n"/>
    </row>
    <row r="175">
      <c r="A175" s="16" t="inlineStr">
        <is>
          <t>KF-M07-A2-0041</t>
        </is>
      </c>
      <c r="B175" s="35" t="n">
        <v>420</v>
      </c>
      <c r="C175" s="35" t="n">
        <v>278.15</v>
      </c>
      <c r="D175" s="36" t="n">
        <v>2700</v>
      </c>
      <c r="E175" s="35" t="n">
        <v>393.75</v>
      </c>
      <c r="F175" s="37" t="n">
        <v>0.5</v>
      </c>
      <c r="G175" s="37" t="n">
        <v>0.95</v>
      </c>
      <c r="H175" s="37" t="n">
        <v>0.75</v>
      </c>
      <c r="I175" s="37" t="n">
        <v>0.85</v>
      </c>
      <c r="J175" s="37" t="n">
        <v>0.75</v>
      </c>
      <c r="K175" s="37" t="n">
        <v>0.8</v>
      </c>
      <c r="L175" s="39" t="inlineStr">
        <is>
          <t>Corregible</t>
        </is>
      </c>
      <c r="M175" s="29" t="n">
        <v>13.3925973077306</v>
      </c>
      <c r="N175" s="35" t="n">
        <v>80.55866873422538</v>
      </c>
      <c r="O175" s="36" t="n">
        <v>2306.25</v>
      </c>
      <c r="P175" s="29" t="n">
        <v>6.857142857142857</v>
      </c>
      <c r="Q175" s="16" t="inlineStr">
        <is>
          <t>no</t>
        </is>
      </c>
      <c r="R175" s="16" t="inlineStr">
        <is>
          <t>O2</t>
        </is>
      </c>
    </row>
    <row r="176">
      <c r="A176" s="16" t="inlineStr">
        <is>
          <t>KF-M07-A2-0042</t>
        </is>
      </c>
      <c r="B176" s="35" t="n">
        <v>420</v>
      </c>
      <c r="C176" s="35" t="n">
        <v>278.15</v>
      </c>
      <c r="D176" s="36" t="n">
        <v>3000</v>
      </c>
      <c r="E176" s="35" t="n">
        <v>613.75</v>
      </c>
      <c r="F176" s="37" t="n">
        <v>0.5</v>
      </c>
      <c r="G176" s="37" t="n">
        <v>0.95</v>
      </c>
      <c r="H176" s="37" t="n">
        <v>0.75</v>
      </c>
      <c r="I176" s="37" t="n">
        <v>0.85</v>
      </c>
      <c r="J176" s="37" t="n">
        <v>0.75</v>
      </c>
      <c r="K176" s="37" t="n">
        <v>0.8</v>
      </c>
      <c r="L176" s="42" t="inlineStr">
        <is>
          <t>KALINA</t>
        </is>
      </c>
      <c r="M176" s="29" t="n">
        <v>10.65222880879868</v>
      </c>
      <c r="N176" s="35" t="n">
        <v>57.45408478550366</v>
      </c>
      <c r="O176" s="36" t="n">
        <v>2386.25</v>
      </c>
      <c r="P176" s="29" t="n">
        <v>4.887983706720978</v>
      </c>
      <c r="Q176" s="16" t="inlineStr">
        <is>
          <t>no</t>
        </is>
      </c>
      <c r="R176" s="16" t="n"/>
    </row>
    <row r="177">
      <c r="A177" s="16" t="inlineStr">
        <is>
          <t>KF-M07-A2-0043</t>
        </is>
      </c>
      <c r="B177" s="35" t="n">
        <v>420</v>
      </c>
      <c r="C177" s="35" t="n">
        <v>278.15</v>
      </c>
      <c r="D177" s="36" t="n">
        <v>3000</v>
      </c>
      <c r="E177" s="35" t="n">
        <v>300</v>
      </c>
      <c r="F177" s="37" t="n">
        <v>0.5</v>
      </c>
      <c r="G177" s="37" t="n">
        <v>0.95</v>
      </c>
      <c r="H177" s="37" t="n">
        <v>0.75</v>
      </c>
      <c r="I177" s="37" t="n">
        <v>0.85</v>
      </c>
      <c r="J177" s="37" t="n">
        <v>0.75</v>
      </c>
      <c r="K177" s="37" t="n">
        <v>0.8</v>
      </c>
      <c r="L177" s="39" t="inlineStr">
        <is>
          <t>Corregible</t>
        </is>
      </c>
      <c r="M177" s="29" t="n">
        <v>14.91143589504281</v>
      </c>
      <c r="N177" s="35" t="n">
        <v>80.69811106764551</v>
      </c>
      <c r="O177" s="36" t="n">
        <v>2700</v>
      </c>
      <c r="P177" s="29" t="n">
        <v>10</v>
      </c>
      <c r="Q177" s="16" t="inlineStr">
        <is>
          <t>no</t>
        </is>
      </c>
      <c r="R177" s="16" t="inlineStr">
        <is>
          <t>O1,O2</t>
        </is>
      </c>
    </row>
    <row r="178">
      <c r="A178" s="16" t="inlineStr">
        <is>
          <t>KF-M07-A2-0044</t>
        </is>
      </c>
      <c r="B178" s="35" t="n">
        <v>420</v>
      </c>
      <c r="C178" s="35" t="n">
        <v>278.15</v>
      </c>
      <c r="D178" s="36" t="n">
        <v>3000</v>
      </c>
      <c r="E178" s="35" t="n">
        <v>393.75</v>
      </c>
      <c r="F178" s="37" t="n">
        <v>0.535</v>
      </c>
      <c r="G178" s="37" t="n">
        <v>0.95</v>
      </c>
      <c r="H178" s="37" t="n">
        <v>0.75</v>
      </c>
      <c r="I178" s="37" t="n">
        <v>0.85</v>
      </c>
      <c r="J178" s="37" t="n">
        <v>0.75</v>
      </c>
      <c r="K178" s="37" t="n">
        <v>0.8</v>
      </c>
      <c r="L178" s="39" t="inlineStr">
        <is>
          <t>Corregible</t>
        </is>
      </c>
      <c r="M178" s="29" t="n">
        <v>14.42895588995345</v>
      </c>
      <c r="N178" s="35" t="n">
        <v>89.22140961107675</v>
      </c>
      <c r="O178" s="36" t="n">
        <v>2606.25</v>
      </c>
      <c r="P178" s="29" t="n">
        <v>7.619047619047619</v>
      </c>
      <c r="Q178" s="16" t="inlineStr">
        <is>
          <t>no</t>
        </is>
      </c>
      <c r="R178" s="16" t="inlineStr">
        <is>
          <t>O2</t>
        </is>
      </c>
    </row>
    <row r="179">
      <c r="A179" s="16" t="inlineStr">
        <is>
          <t>KF-M07-A2-0045</t>
        </is>
      </c>
      <c r="B179" s="35" t="n">
        <v>420</v>
      </c>
      <c r="C179" s="35" t="n">
        <v>278.15</v>
      </c>
      <c r="D179" s="36" t="n">
        <v>3000</v>
      </c>
      <c r="E179" s="35" t="n">
        <v>393.75</v>
      </c>
      <c r="F179" s="37" t="n">
        <v>0.5</v>
      </c>
      <c r="G179" s="37" t="n">
        <v>0.895</v>
      </c>
      <c r="H179" s="37" t="n">
        <v>0.75</v>
      </c>
      <c r="I179" s="37" t="n">
        <v>0.85</v>
      </c>
      <c r="J179" s="37" t="n">
        <v>0.75</v>
      </c>
      <c r="K179" s="37" t="n">
        <v>0.8</v>
      </c>
      <c r="L179" s="42" t="inlineStr">
        <is>
          <t>KALINA</t>
        </is>
      </c>
      <c r="M179" s="29" t="n">
        <v>12.57150016006878</v>
      </c>
      <c r="N179" s="35" t="n">
        <v>67.91475092631754</v>
      </c>
      <c r="O179" s="36" t="n">
        <v>2606.25</v>
      </c>
      <c r="P179" s="29" t="n">
        <v>7.619047619047619</v>
      </c>
      <c r="Q179" s="16" t="inlineStr">
        <is>
          <t>no</t>
        </is>
      </c>
      <c r="R179" s="16" t="n"/>
    </row>
    <row r="180">
      <c r="A180" s="16" t="inlineStr">
        <is>
          <t>KF-M07-A2-0046</t>
        </is>
      </c>
      <c r="B180" s="35" t="n">
        <v>420</v>
      </c>
      <c r="C180" s="35" t="n">
        <v>278.15</v>
      </c>
      <c r="D180" s="36" t="n">
        <v>3000</v>
      </c>
      <c r="E180" s="35" t="n">
        <v>393.75</v>
      </c>
      <c r="F180" s="37" t="n">
        <v>0.5</v>
      </c>
      <c r="G180" s="37" t="n">
        <v>0.95</v>
      </c>
      <c r="H180" s="37" t="n">
        <v>0.8049999999999999</v>
      </c>
      <c r="I180" s="37" t="n">
        <v>0.85</v>
      </c>
      <c r="J180" s="37" t="n">
        <v>0.75</v>
      </c>
      <c r="K180" s="37" t="n">
        <v>0.8</v>
      </c>
      <c r="L180" s="42" t="inlineStr">
        <is>
          <t>KALINA</t>
        </is>
      </c>
      <c r="M180" s="29" t="n">
        <v>13.43040904430358</v>
      </c>
      <c r="N180" s="35" t="n">
        <v>72.62473342820395</v>
      </c>
      <c r="O180" s="36" t="n">
        <v>2606.25</v>
      </c>
      <c r="P180" s="29" t="n">
        <v>7.619047619047619</v>
      </c>
      <c r="Q180" s="16" t="inlineStr">
        <is>
          <t>no</t>
        </is>
      </c>
      <c r="R180" s="16" t="n"/>
    </row>
    <row r="181">
      <c r="A181" s="16" t="inlineStr">
        <is>
          <t>KF-M07-A2-0047</t>
        </is>
      </c>
      <c r="B181" s="35" t="n">
        <v>420</v>
      </c>
      <c r="C181" s="35" t="n">
        <v>278.15</v>
      </c>
      <c r="D181" s="36" t="n">
        <v>3000</v>
      </c>
      <c r="E181" s="35" t="n">
        <v>393.75</v>
      </c>
      <c r="F181" s="37" t="n">
        <v>0.5</v>
      </c>
      <c r="G181" s="37" t="n">
        <v>0.95</v>
      </c>
      <c r="H181" s="37" t="n">
        <v>0.6950000000000001</v>
      </c>
      <c r="I181" s="37" t="n">
        <v>0.85</v>
      </c>
      <c r="J181" s="37" t="n">
        <v>0.75</v>
      </c>
      <c r="K181" s="37" t="n">
        <v>0.8</v>
      </c>
      <c r="L181" s="42" t="inlineStr">
        <is>
          <t>KALINA</t>
        </is>
      </c>
      <c r="M181" s="29" t="n">
        <v>13.32295875442874</v>
      </c>
      <c r="N181" s="35" t="n">
        <v>72.0068191025579</v>
      </c>
      <c r="O181" s="36" t="n">
        <v>2606.25</v>
      </c>
      <c r="P181" s="29" t="n">
        <v>7.619047619047619</v>
      </c>
      <c r="Q181" s="16" t="inlineStr">
        <is>
          <t>no</t>
        </is>
      </c>
      <c r="R181" s="16" t="n"/>
    </row>
    <row r="182">
      <c r="A182" s="16" t="inlineStr">
        <is>
          <t>KF-M07-A2-0048</t>
        </is>
      </c>
      <c r="B182" s="35" t="n">
        <v>420</v>
      </c>
      <c r="C182" s="35" t="n">
        <v>278.15</v>
      </c>
      <c r="D182" s="36" t="n">
        <v>3000</v>
      </c>
      <c r="E182" s="35" t="n">
        <v>393.75</v>
      </c>
      <c r="F182" s="37" t="n">
        <v>0.5</v>
      </c>
      <c r="G182" s="37" t="n">
        <v>0.95</v>
      </c>
      <c r="H182" s="37" t="n">
        <v>0.75</v>
      </c>
      <c r="I182" s="37" t="n">
        <v>0.905</v>
      </c>
      <c r="J182" s="37" t="n">
        <v>0.75</v>
      </c>
      <c r="K182" s="37" t="n">
        <v>0.8</v>
      </c>
      <c r="L182" s="39" t="inlineStr">
        <is>
          <t>Corregible</t>
        </is>
      </c>
      <c r="M182" s="29" t="n">
        <v>13.66049217079425</v>
      </c>
      <c r="N182" s="35" t="n">
        <v>78.40386126402854</v>
      </c>
      <c r="O182" s="36" t="n">
        <v>2606.25</v>
      </c>
      <c r="P182" s="29" t="n">
        <v>7.619047619047619</v>
      </c>
      <c r="Q182" s="16" t="inlineStr">
        <is>
          <t>no</t>
        </is>
      </c>
      <c r="R182" s="16" t="inlineStr">
        <is>
          <t>O2</t>
        </is>
      </c>
    </row>
    <row r="183">
      <c r="A183" s="16" t="inlineStr">
        <is>
          <t>KF-M07-A2-0049</t>
        </is>
      </c>
      <c r="B183" s="35" t="n">
        <v>420</v>
      </c>
      <c r="C183" s="35" t="n">
        <v>278.15</v>
      </c>
      <c r="D183" s="36" t="n">
        <v>3000</v>
      </c>
      <c r="E183" s="35" t="n">
        <v>393.75</v>
      </c>
      <c r="F183" s="37" t="n">
        <v>0.5</v>
      </c>
      <c r="G183" s="37" t="n">
        <v>0.95</v>
      </c>
      <c r="H183" s="37" t="n">
        <v>0.75</v>
      </c>
      <c r="I183" s="37" t="n">
        <v>0.795</v>
      </c>
      <c r="J183" s="37" t="n">
        <v>0.75</v>
      </c>
      <c r="K183" s="37" t="n">
        <v>0.8</v>
      </c>
      <c r="L183" s="42" t="inlineStr">
        <is>
          <t>KALINA</t>
        </is>
      </c>
      <c r="M183" s="29" t="n">
        <v>13.0576397802993</v>
      </c>
      <c r="N183" s="35" t="n">
        <v>66.22115378936343</v>
      </c>
      <c r="O183" s="36" t="n">
        <v>2606.25</v>
      </c>
      <c r="P183" s="29" t="n">
        <v>7.619047619047619</v>
      </c>
      <c r="Q183" s="16" t="inlineStr">
        <is>
          <t>no</t>
        </is>
      </c>
      <c r="R183" s="16" t="n"/>
    </row>
    <row r="184">
      <c r="A184" s="16" t="inlineStr">
        <is>
          <t>KF-M07-A2-0050</t>
        </is>
      </c>
      <c r="B184" s="35" t="n">
        <v>420</v>
      </c>
      <c r="C184" s="35" t="n">
        <v>278.15</v>
      </c>
      <c r="D184" s="36" t="n">
        <v>3000</v>
      </c>
      <c r="E184" s="35" t="n">
        <v>393.75</v>
      </c>
      <c r="F184" s="37" t="n">
        <v>0.5</v>
      </c>
      <c r="G184" s="37" t="n">
        <v>0.95</v>
      </c>
      <c r="H184" s="37" t="n">
        <v>0.75</v>
      </c>
      <c r="I184" s="37" t="n">
        <v>0.85</v>
      </c>
      <c r="J184" s="37" t="n">
        <v>0.8049999999999999</v>
      </c>
      <c r="K184" s="37" t="n">
        <v>0.8</v>
      </c>
      <c r="L184" s="42" t="inlineStr">
        <is>
          <t>KALINA</t>
        </is>
      </c>
      <c r="M184" s="29" t="n">
        <v>13.89941578479586</v>
      </c>
      <c r="N184" s="35" t="n">
        <v>72.84738312386479</v>
      </c>
      <c r="O184" s="36" t="n">
        <v>2606.25</v>
      </c>
      <c r="P184" s="29" t="n">
        <v>7.619047619047619</v>
      </c>
      <c r="Q184" s="16" t="inlineStr">
        <is>
          <t>no</t>
        </is>
      </c>
      <c r="R184" s="16" t="n"/>
    </row>
    <row r="185">
      <c r="A185" s="16" t="inlineStr">
        <is>
          <t>KF-M07-A2-0051</t>
        </is>
      </c>
      <c r="B185" s="35" t="n">
        <v>420</v>
      </c>
      <c r="C185" s="35" t="n">
        <v>278.15</v>
      </c>
      <c r="D185" s="36" t="n">
        <v>3000</v>
      </c>
      <c r="E185" s="35" t="n">
        <v>393.75</v>
      </c>
      <c r="F185" s="37" t="n">
        <v>0.5</v>
      </c>
      <c r="G185" s="37" t="n">
        <v>0.95</v>
      </c>
      <c r="H185" s="37" t="n">
        <v>0.75</v>
      </c>
      <c r="I185" s="37" t="n">
        <v>0.85</v>
      </c>
      <c r="J185" s="37" t="n">
        <v>0.6950000000000001</v>
      </c>
      <c r="K185" s="37" t="n">
        <v>0.8</v>
      </c>
      <c r="L185" s="39" t="inlineStr">
        <is>
          <t>Corregible</t>
        </is>
      </c>
      <c r="M185" s="29" t="n">
        <v>12.89904512457652</v>
      </c>
      <c r="N185" s="35" t="n">
        <v>71.83474140113667</v>
      </c>
      <c r="O185" s="36" t="n">
        <v>2606.25</v>
      </c>
      <c r="P185" s="29" t="n">
        <v>7.619047619047619</v>
      </c>
      <c r="Q185" s="16" t="inlineStr">
        <is>
          <t>no</t>
        </is>
      </c>
      <c r="R185" s="16" t="inlineStr">
        <is>
          <t>O2</t>
        </is>
      </c>
    </row>
    <row r="186">
      <c r="A186" s="16" t="inlineStr">
        <is>
          <t>KF-M07-A2-0052</t>
        </is>
      </c>
      <c r="B186" s="35" t="n">
        <v>420</v>
      </c>
      <c r="C186" s="35" t="n">
        <v>278.15</v>
      </c>
      <c r="D186" s="36" t="n">
        <v>3000</v>
      </c>
      <c r="E186" s="35" t="n">
        <v>393.75</v>
      </c>
      <c r="F186" s="37" t="n">
        <v>0.5</v>
      </c>
      <c r="G186" s="37" t="n">
        <v>0.95</v>
      </c>
      <c r="H186" s="37" t="n">
        <v>0.75</v>
      </c>
      <c r="I186" s="37" t="n">
        <v>0.85</v>
      </c>
      <c r="J186" s="37" t="n">
        <v>0.75</v>
      </c>
      <c r="K186" s="37" t="n">
        <v>0.855</v>
      </c>
      <c r="L186" s="42" t="inlineStr">
        <is>
          <t>KALINA</t>
        </is>
      </c>
      <c r="M186" s="29" t="n">
        <v>12.98072159203808</v>
      </c>
      <c r="N186" s="35" t="n">
        <v>71.95657401652849</v>
      </c>
      <c r="O186" s="36" t="n">
        <v>2606.25</v>
      </c>
      <c r="P186" s="29" t="n">
        <v>7.619047619047619</v>
      </c>
      <c r="Q186" s="16" t="inlineStr">
        <is>
          <t>no</t>
        </is>
      </c>
      <c r="R186" s="16" t="n"/>
    </row>
    <row r="187">
      <c r="A187" s="16" t="inlineStr">
        <is>
          <t>KF-M07-A2-0053</t>
        </is>
      </c>
      <c r="B187" s="35" t="n">
        <v>420</v>
      </c>
      <c r="C187" s="35" t="n">
        <v>278.15</v>
      </c>
      <c r="D187" s="36" t="n">
        <v>3000</v>
      </c>
      <c r="E187" s="35" t="n">
        <v>393.75</v>
      </c>
      <c r="F187" s="37" t="n">
        <v>0.5</v>
      </c>
      <c r="G187" s="37" t="n">
        <v>0.95</v>
      </c>
      <c r="H187" s="37" t="n">
        <v>0.75</v>
      </c>
      <c r="I187" s="37" t="n">
        <v>0.85</v>
      </c>
      <c r="J187" s="37" t="n">
        <v>0.75</v>
      </c>
      <c r="K187" s="37" t="n">
        <v>0.7450000000000001</v>
      </c>
      <c r="L187" s="39" t="inlineStr">
        <is>
          <t>Corregible</t>
        </is>
      </c>
      <c r="M187" s="29" t="n">
        <v>13.7478936258819</v>
      </c>
      <c r="N187" s="35" t="n">
        <v>72.25641823270736</v>
      </c>
      <c r="O187" s="36" t="n">
        <v>2606.25</v>
      </c>
      <c r="P187" s="29" t="n">
        <v>7.619047619047619</v>
      </c>
      <c r="Q187" s="16" t="inlineStr">
        <is>
          <t>no</t>
        </is>
      </c>
      <c r="R187" s="16" t="inlineStr">
        <is>
          <t>O2</t>
        </is>
      </c>
    </row>
    <row r="188">
      <c r="A188" s="16" t="inlineStr">
        <is>
          <t>KF-M07-A2-0054</t>
        </is>
      </c>
      <c r="B188" s="35" t="n">
        <v>432</v>
      </c>
      <c r="C188" s="35" t="n">
        <v>278.15</v>
      </c>
      <c r="D188" s="36" t="n">
        <v>3000</v>
      </c>
      <c r="E188" s="35" t="n">
        <v>393.75</v>
      </c>
      <c r="F188" s="37" t="n">
        <v>0.5</v>
      </c>
      <c r="G188" s="37" t="n">
        <v>0.95</v>
      </c>
      <c r="H188" s="37" t="n">
        <v>0.75</v>
      </c>
      <c r="I188" s="37" t="n">
        <v>0.85</v>
      </c>
      <c r="J188" s="37" t="n">
        <v>0.8049999999999999</v>
      </c>
      <c r="K188" s="37" t="n">
        <v>0.8</v>
      </c>
      <c r="L188" s="39" t="inlineStr">
        <is>
          <t>Corregible</t>
        </is>
      </c>
      <c r="M188" s="29" t="n">
        <v>14.80218071969796</v>
      </c>
      <c r="N188" s="35" t="n">
        <v>101.4082530133347</v>
      </c>
      <c r="O188" s="36" t="n">
        <v>2606.25</v>
      </c>
      <c r="P188" s="29" t="n">
        <v>7.619047619047619</v>
      </c>
      <c r="Q188" s="16" t="inlineStr">
        <is>
          <t>sí</t>
        </is>
      </c>
      <c r="R188" s="16" t="inlineStr">
        <is>
          <t>O1,O2</t>
        </is>
      </c>
    </row>
    <row r="189">
      <c r="A189" s="16" t="inlineStr">
        <is>
          <t>KF-M07-A2-0055</t>
        </is>
      </c>
      <c r="B189" s="35" t="n">
        <v>408</v>
      </c>
      <c r="C189" s="35" t="n">
        <v>278.15</v>
      </c>
      <c r="D189" s="36" t="n">
        <v>3000</v>
      </c>
      <c r="E189" s="35" t="n">
        <v>393.75</v>
      </c>
      <c r="F189" s="37" t="n">
        <v>0.5</v>
      </c>
      <c r="G189" s="37" t="n">
        <v>0.95</v>
      </c>
      <c r="H189" s="37" t="n">
        <v>0.75</v>
      </c>
      <c r="I189" s="37" t="n">
        <v>0.85</v>
      </c>
      <c r="J189" s="37" t="n">
        <v>0.8049999999999999</v>
      </c>
      <c r="K189" s="37" t="n">
        <v>0.8</v>
      </c>
      <c r="L189" s="42" t="inlineStr">
        <is>
          <t>KALINA</t>
        </is>
      </c>
      <c r="M189" s="29" t="n">
        <v>12.26573805591331</v>
      </c>
      <c r="N189" s="35" t="n">
        <v>46.2946005438135</v>
      </c>
      <c r="O189" s="36" t="n">
        <v>2606.25</v>
      </c>
      <c r="P189" s="29" t="n">
        <v>7.619047619047619</v>
      </c>
      <c r="Q189" s="16" t="inlineStr">
        <is>
          <t>no</t>
        </is>
      </c>
      <c r="R189" s="16" t="n"/>
    </row>
    <row r="190">
      <c r="A190" s="16" t="inlineStr">
        <is>
          <t>KF-M07-A2-0056</t>
        </is>
      </c>
      <c r="B190" s="35" t="n">
        <v>420</v>
      </c>
      <c r="C190" s="35" t="n">
        <v>280.69</v>
      </c>
      <c r="D190" s="36" t="n">
        <v>3000</v>
      </c>
      <c r="E190" s="35" t="n">
        <v>393.75</v>
      </c>
      <c r="F190" s="37" t="n">
        <v>0.5</v>
      </c>
      <c r="G190" s="37" t="n">
        <v>0.95</v>
      </c>
      <c r="H190" s="37" t="n">
        <v>0.75</v>
      </c>
      <c r="I190" s="37" t="n">
        <v>0.85</v>
      </c>
      <c r="J190" s="37" t="n">
        <v>0.8049999999999999</v>
      </c>
      <c r="K190" s="37" t="n">
        <v>0.8</v>
      </c>
      <c r="L190" s="39" t="inlineStr">
        <is>
          <t>Corregible</t>
        </is>
      </c>
      <c r="M190" s="29" t="n">
        <v>14.01859658970856</v>
      </c>
      <c r="N190" s="35" t="n">
        <v>72.94383892537728</v>
      </c>
      <c r="O190" s="36" t="n">
        <v>2606.25</v>
      </c>
      <c r="P190" s="29" t="n">
        <v>7.619047619047619</v>
      </c>
      <c r="Q190" s="16" t="inlineStr">
        <is>
          <t>no</t>
        </is>
      </c>
      <c r="R190" s="16" t="inlineStr">
        <is>
          <t>O2</t>
        </is>
      </c>
    </row>
    <row r="191">
      <c r="A191" s="16" t="inlineStr">
        <is>
          <t>KF-M07-A2-0057</t>
        </is>
      </c>
      <c r="B191" s="35" t="n">
        <v>420</v>
      </c>
      <c r="C191" s="35" t="n">
        <v>278.15</v>
      </c>
      <c r="D191" s="36" t="n">
        <v>3300</v>
      </c>
      <c r="E191" s="35" t="n">
        <v>393.75</v>
      </c>
      <c r="F191" s="37" t="n">
        <v>0.5</v>
      </c>
      <c r="G191" s="37" t="n">
        <v>0.95</v>
      </c>
      <c r="H191" s="37" t="n">
        <v>0.75</v>
      </c>
      <c r="I191" s="37" t="n">
        <v>0.85</v>
      </c>
      <c r="J191" s="37" t="n">
        <v>0.8049999999999999</v>
      </c>
      <c r="K191" s="37" t="n">
        <v>0.8</v>
      </c>
      <c r="L191" s="42" t="inlineStr">
        <is>
          <t>KALINA</t>
        </is>
      </c>
      <c r="M191" s="29" t="n">
        <v>13.72901375684154</v>
      </c>
      <c r="N191" s="35" t="n">
        <v>64.02212209382003</v>
      </c>
      <c r="O191" s="36" t="n">
        <v>2906.25</v>
      </c>
      <c r="P191" s="29" t="n">
        <v>8.380952380952381</v>
      </c>
      <c r="Q191" s="16" t="inlineStr">
        <is>
          <t>no</t>
        </is>
      </c>
      <c r="R191" s="16" t="n"/>
    </row>
    <row r="192">
      <c r="A192" s="16" t="inlineStr">
        <is>
          <t>KF-M07-A2-0058</t>
        </is>
      </c>
      <c r="B192" s="35" t="n">
        <v>420</v>
      </c>
      <c r="C192" s="35" t="n">
        <v>278.15</v>
      </c>
      <c r="D192" s="36" t="n">
        <v>2700</v>
      </c>
      <c r="E192" s="35" t="n">
        <v>393.75</v>
      </c>
      <c r="F192" s="37" t="n">
        <v>0.5</v>
      </c>
      <c r="G192" s="37" t="n">
        <v>0.95</v>
      </c>
      <c r="H192" s="37" t="n">
        <v>0.75</v>
      </c>
      <c r="I192" s="37" t="n">
        <v>0.85</v>
      </c>
      <c r="J192" s="37" t="n">
        <v>0.8049999999999999</v>
      </c>
      <c r="K192" s="37" t="n">
        <v>0.8</v>
      </c>
      <c r="L192" s="39" t="inlineStr">
        <is>
          <t>Corregible</t>
        </is>
      </c>
      <c r="M192" s="29" t="n">
        <v>13.81489310341233</v>
      </c>
      <c r="N192" s="35" t="n">
        <v>81.02051474345521</v>
      </c>
      <c r="O192" s="36" t="n">
        <v>2306.25</v>
      </c>
      <c r="P192" s="29" t="n">
        <v>6.857142857142857</v>
      </c>
      <c r="Q192" s="16" t="inlineStr">
        <is>
          <t>no</t>
        </is>
      </c>
      <c r="R192" s="16" t="inlineStr">
        <is>
          <t>O2</t>
        </is>
      </c>
    </row>
    <row r="193">
      <c r="A193" s="16" t="inlineStr">
        <is>
          <t>KF-M07-A2-0059</t>
        </is>
      </c>
      <c r="B193" s="35" t="n">
        <v>420</v>
      </c>
      <c r="C193" s="35" t="n">
        <v>278.15</v>
      </c>
      <c r="D193" s="36" t="n">
        <v>3000</v>
      </c>
      <c r="E193" s="35" t="n">
        <v>613.75</v>
      </c>
      <c r="F193" s="37" t="n">
        <v>0.5</v>
      </c>
      <c r="G193" s="37" t="n">
        <v>0.95</v>
      </c>
      <c r="H193" s="37" t="n">
        <v>0.75</v>
      </c>
      <c r="I193" s="37" t="n">
        <v>0.85</v>
      </c>
      <c r="J193" s="37" t="n">
        <v>0.8049999999999999</v>
      </c>
      <c r="K193" s="37" t="n">
        <v>0.8</v>
      </c>
      <c r="L193" s="42" t="inlineStr">
        <is>
          <t>KALINA</t>
        </is>
      </c>
      <c r="M193" s="29" t="n">
        <v>11.06423438758095</v>
      </c>
      <c r="N193" s="35" t="n">
        <v>57.85862523831677</v>
      </c>
      <c r="O193" s="36" t="n">
        <v>2386.25</v>
      </c>
      <c r="P193" s="29" t="n">
        <v>4.887983706720978</v>
      </c>
      <c r="Q193" s="16" t="inlineStr">
        <is>
          <t>no</t>
        </is>
      </c>
      <c r="R193" s="16" t="n"/>
    </row>
    <row r="194">
      <c r="A194" s="16" t="inlineStr">
        <is>
          <t>KF-M07-A2-0060</t>
        </is>
      </c>
      <c r="B194" s="35" t="n">
        <v>420</v>
      </c>
      <c r="C194" s="35" t="n">
        <v>278.15</v>
      </c>
      <c r="D194" s="36" t="n">
        <v>3000</v>
      </c>
      <c r="E194" s="35" t="n">
        <v>300</v>
      </c>
      <c r="F194" s="37" t="n">
        <v>0.5</v>
      </c>
      <c r="G194" s="37" t="n">
        <v>0.95</v>
      </c>
      <c r="H194" s="37" t="n">
        <v>0.75</v>
      </c>
      <c r="I194" s="37" t="n">
        <v>0.85</v>
      </c>
      <c r="J194" s="37" t="n">
        <v>0.8049999999999999</v>
      </c>
      <c r="K194" s="37" t="n">
        <v>0.8</v>
      </c>
      <c r="L194" s="39" t="inlineStr">
        <is>
          <t>Corregible</t>
        </is>
      </c>
      <c r="M194" s="29" t="n">
        <v>15.50924884923074</v>
      </c>
      <c r="N194" s="35" t="n">
        <v>81.37256772327413</v>
      </c>
      <c r="O194" s="36" t="n">
        <v>2700</v>
      </c>
      <c r="P194" s="29" t="n">
        <v>10</v>
      </c>
      <c r="Q194" s="16" t="inlineStr">
        <is>
          <t>no</t>
        </is>
      </c>
      <c r="R194" s="16" t="inlineStr">
        <is>
          <t>O1,O2</t>
        </is>
      </c>
    </row>
    <row r="195">
      <c r="A195" s="16" t="inlineStr">
        <is>
          <t>KF-M07-A2-0061</t>
        </is>
      </c>
      <c r="B195" s="35" t="n">
        <v>420</v>
      </c>
      <c r="C195" s="35" t="n">
        <v>278.15</v>
      </c>
      <c r="D195" s="36" t="n">
        <v>3000</v>
      </c>
      <c r="E195" s="35" t="n">
        <v>393.75</v>
      </c>
      <c r="F195" s="37" t="n">
        <v>0.535</v>
      </c>
      <c r="G195" s="37" t="n">
        <v>0.95</v>
      </c>
      <c r="H195" s="37" t="n">
        <v>0.75</v>
      </c>
      <c r="I195" s="37" t="n">
        <v>0.85</v>
      </c>
      <c r="J195" s="37" t="n">
        <v>0.8049999999999999</v>
      </c>
      <c r="K195" s="37" t="n">
        <v>0.8</v>
      </c>
      <c r="L195" s="39" t="inlineStr">
        <is>
          <t>Corregible</t>
        </is>
      </c>
      <c r="M195" s="29" t="n">
        <v>14.86790589131942</v>
      </c>
      <c r="N195" s="35" t="n">
        <v>89.77501246229208</v>
      </c>
      <c r="O195" s="36" t="n">
        <v>2606.25</v>
      </c>
      <c r="P195" s="29" t="n">
        <v>7.619047619047619</v>
      </c>
      <c r="Q195" s="16" t="inlineStr">
        <is>
          <t>no</t>
        </is>
      </c>
      <c r="R195" s="16" t="inlineStr">
        <is>
          <t>O2</t>
        </is>
      </c>
    </row>
    <row r="196">
      <c r="A196" s="16" t="inlineStr">
        <is>
          <t>KF-M07-A2-0062</t>
        </is>
      </c>
      <c r="B196" s="35" t="n">
        <v>420</v>
      </c>
      <c r="C196" s="35" t="n">
        <v>278.15</v>
      </c>
      <c r="D196" s="36" t="n">
        <v>3000</v>
      </c>
      <c r="E196" s="35" t="n">
        <v>393.75</v>
      </c>
      <c r="F196" s="37" t="n">
        <v>0.5</v>
      </c>
      <c r="G196" s="37" t="n">
        <v>0.895</v>
      </c>
      <c r="H196" s="37" t="n">
        <v>0.75</v>
      </c>
      <c r="I196" s="37" t="n">
        <v>0.85</v>
      </c>
      <c r="J196" s="37" t="n">
        <v>0.8049999999999999</v>
      </c>
      <c r="K196" s="37" t="n">
        <v>0.8</v>
      </c>
      <c r="L196" s="42" t="inlineStr">
        <is>
          <t>KALINA</t>
        </is>
      </c>
      <c r="M196" s="29" t="n">
        <v>13.05872623322535</v>
      </c>
      <c r="N196" s="35" t="n">
        <v>68.39368472867136</v>
      </c>
      <c r="O196" s="36" t="n">
        <v>2606.25</v>
      </c>
      <c r="P196" s="29" t="n">
        <v>7.619047619047619</v>
      </c>
      <c r="Q196" s="16" t="inlineStr">
        <is>
          <t>no</t>
        </is>
      </c>
      <c r="R196" s="16" t="n"/>
    </row>
    <row r="197">
      <c r="A197" s="16" t="inlineStr">
        <is>
          <t>KF-M07-A2-0063</t>
        </is>
      </c>
      <c r="B197" s="35" t="n">
        <v>420</v>
      </c>
      <c r="C197" s="35" t="n">
        <v>278.15</v>
      </c>
      <c r="D197" s="36" t="n">
        <v>3000</v>
      </c>
      <c r="E197" s="35" t="n">
        <v>393.75</v>
      </c>
      <c r="F197" s="37" t="n">
        <v>0.5</v>
      </c>
      <c r="G197" s="37" t="n">
        <v>0.95</v>
      </c>
      <c r="H197" s="37" t="n">
        <v>0.8049999999999999</v>
      </c>
      <c r="I197" s="37" t="n">
        <v>0.85</v>
      </c>
      <c r="J197" s="37" t="n">
        <v>0.8049999999999999</v>
      </c>
      <c r="K197" s="37" t="n">
        <v>0.8</v>
      </c>
      <c r="L197" s="42" t="inlineStr">
        <is>
          <t>KALINA</t>
        </is>
      </c>
      <c r="M197" s="29" t="n">
        <v>13.95089382228256</v>
      </c>
      <c r="N197" s="35" t="n">
        <v>73.1336783610914</v>
      </c>
      <c r="O197" s="36" t="n">
        <v>2606.25</v>
      </c>
      <c r="P197" s="29" t="n">
        <v>7.619047619047619</v>
      </c>
      <c r="Q197" s="16" t="inlineStr">
        <is>
          <t>no</t>
        </is>
      </c>
      <c r="R197" s="16" t="n"/>
    </row>
    <row r="198">
      <c r="A198" s="16" t="inlineStr">
        <is>
          <t>KF-M07-A2-0064</t>
        </is>
      </c>
      <c r="B198" s="35" t="n">
        <v>420</v>
      </c>
      <c r="C198" s="35" t="n">
        <v>278.15</v>
      </c>
      <c r="D198" s="36" t="n">
        <v>3000</v>
      </c>
      <c r="E198" s="35" t="n">
        <v>393.75</v>
      </c>
      <c r="F198" s="37" t="n">
        <v>0.5</v>
      </c>
      <c r="G198" s="37" t="n">
        <v>0.95</v>
      </c>
      <c r="H198" s="37" t="n">
        <v>0.6950000000000001</v>
      </c>
      <c r="I198" s="37" t="n">
        <v>0.85</v>
      </c>
      <c r="J198" s="37" t="n">
        <v>0.8049999999999999</v>
      </c>
      <c r="K198" s="37" t="n">
        <v>0.8</v>
      </c>
      <c r="L198" s="42" t="inlineStr">
        <is>
          <t>KALINA</t>
        </is>
      </c>
      <c r="M198" s="29" t="n">
        <v>13.83975981497462</v>
      </c>
      <c r="N198" s="35" t="n">
        <v>72.51576750686876</v>
      </c>
      <c r="O198" s="36" t="n">
        <v>2606.25</v>
      </c>
      <c r="P198" s="29" t="n">
        <v>7.619047619047619</v>
      </c>
      <c r="Q198" s="16" t="inlineStr">
        <is>
          <t>no</t>
        </is>
      </c>
      <c r="R198" s="16" t="n"/>
    </row>
    <row r="199">
      <c r="A199" s="16" t="inlineStr">
        <is>
          <t>KF-M07-A2-0065</t>
        </is>
      </c>
      <c r="B199" s="35" t="n">
        <v>420</v>
      </c>
      <c r="C199" s="35" t="n">
        <v>278.15</v>
      </c>
      <c r="D199" s="36" t="n">
        <v>3000</v>
      </c>
      <c r="E199" s="35" t="n">
        <v>393.75</v>
      </c>
      <c r="F199" s="37" t="n">
        <v>0.5</v>
      </c>
      <c r="G199" s="37" t="n">
        <v>0.95</v>
      </c>
      <c r="H199" s="37" t="n">
        <v>0.75</v>
      </c>
      <c r="I199" s="37" t="n">
        <v>0.905</v>
      </c>
      <c r="J199" s="37" t="n">
        <v>0.8049999999999999</v>
      </c>
      <c r="K199" s="37" t="n">
        <v>0.8</v>
      </c>
      <c r="L199" s="39" t="inlineStr">
        <is>
          <t>Corregible</t>
        </is>
      </c>
      <c r="M199" s="29" t="n">
        <v>14.14037298402924</v>
      </c>
      <c r="N199" s="35" t="n">
        <v>78.72942801462465</v>
      </c>
      <c r="O199" s="36" t="n">
        <v>2606.25</v>
      </c>
      <c r="P199" s="29" t="n">
        <v>7.619047619047619</v>
      </c>
      <c r="Q199" s="16" t="inlineStr">
        <is>
          <t>no</t>
        </is>
      </c>
      <c r="R199" s="16" t="inlineStr">
        <is>
          <t>O2</t>
        </is>
      </c>
    </row>
    <row r="200">
      <c r="A200" s="16" t="inlineStr">
        <is>
          <t>KF-M07-A2-0066</t>
        </is>
      </c>
      <c r="B200" s="35" t="n">
        <v>420</v>
      </c>
      <c r="C200" s="35" t="n">
        <v>278.15</v>
      </c>
      <c r="D200" s="36" t="n">
        <v>3000</v>
      </c>
      <c r="E200" s="35" t="n">
        <v>393.75</v>
      </c>
      <c r="F200" s="37" t="n">
        <v>0.5</v>
      </c>
      <c r="G200" s="37" t="n">
        <v>0.95</v>
      </c>
      <c r="H200" s="37" t="n">
        <v>0.75</v>
      </c>
      <c r="I200" s="37" t="n">
        <v>0.795</v>
      </c>
      <c r="J200" s="37" t="n">
        <v>0.8049999999999999</v>
      </c>
      <c r="K200" s="37" t="n">
        <v>0.8</v>
      </c>
      <c r="L200" s="42" t="inlineStr">
        <is>
          <t>KALINA</t>
        </is>
      </c>
      <c r="M200" s="29" t="n">
        <v>13.62235986845629</v>
      </c>
      <c r="N200" s="35" t="n">
        <v>66.93170077529348</v>
      </c>
      <c r="O200" s="36" t="n">
        <v>2606.25</v>
      </c>
      <c r="P200" s="29" t="n">
        <v>7.619047619047619</v>
      </c>
      <c r="Q200" s="16" t="inlineStr">
        <is>
          <t>no</t>
        </is>
      </c>
      <c r="R200" s="16" t="n"/>
    </row>
    <row r="201">
      <c r="A201" s="16" t="inlineStr">
        <is>
          <t>KF-M07-A2-0067</t>
        </is>
      </c>
      <c r="B201" s="35" t="n">
        <v>420</v>
      </c>
      <c r="C201" s="35" t="n">
        <v>278.15</v>
      </c>
      <c r="D201" s="36" t="n">
        <v>3000</v>
      </c>
      <c r="E201" s="35" t="n">
        <v>393.75</v>
      </c>
      <c r="F201" s="37" t="n">
        <v>0.5</v>
      </c>
      <c r="G201" s="37" t="n">
        <v>0.95</v>
      </c>
      <c r="H201" s="37" t="n">
        <v>0.75</v>
      </c>
      <c r="I201" s="37" t="n">
        <v>0.85</v>
      </c>
      <c r="J201" s="37" t="n">
        <v>0.8599999999999999</v>
      </c>
      <c r="K201" s="37" t="n">
        <v>0.8</v>
      </c>
      <c r="L201" s="42" t="inlineStr">
        <is>
          <t>KALINA</t>
        </is>
      </c>
      <c r="M201" s="29" t="n">
        <v>14.46019148298592</v>
      </c>
      <c r="N201" s="35" t="n">
        <v>73.36362954249785</v>
      </c>
      <c r="O201" s="36" t="n">
        <v>2606.25</v>
      </c>
      <c r="P201" s="29" t="n">
        <v>7.619047619047619</v>
      </c>
      <c r="Q201" s="16" t="inlineStr">
        <is>
          <t>no</t>
        </is>
      </c>
      <c r="R201" s="16" t="n"/>
    </row>
    <row r="202">
      <c r="A202" s="16" t="inlineStr">
        <is>
          <t>KF-M07-A2-0068</t>
        </is>
      </c>
      <c r="B202" s="35" t="n">
        <v>420</v>
      </c>
      <c r="C202" s="35" t="n">
        <v>278.15</v>
      </c>
      <c r="D202" s="36" t="n">
        <v>3000</v>
      </c>
      <c r="E202" s="35" t="n">
        <v>393.75</v>
      </c>
      <c r="F202" s="37" t="n">
        <v>0.5</v>
      </c>
      <c r="G202" s="37" t="n">
        <v>0.95</v>
      </c>
      <c r="H202" s="37" t="n">
        <v>0.75</v>
      </c>
      <c r="I202" s="37" t="n">
        <v>0.85</v>
      </c>
      <c r="J202" s="37" t="n">
        <v>0.75</v>
      </c>
      <c r="K202" s="37" t="n">
        <v>0.8</v>
      </c>
      <c r="L202" s="42" t="inlineStr">
        <is>
          <t>KALINA</t>
        </is>
      </c>
      <c r="M202" s="29" t="n">
        <v>13.38063968777891</v>
      </c>
      <c r="N202" s="35" t="n">
        <v>72.33843765129036</v>
      </c>
      <c r="O202" s="36" t="n">
        <v>2606.25</v>
      </c>
      <c r="P202" s="29" t="n">
        <v>7.619047619047619</v>
      </c>
      <c r="Q202" s="16" t="inlineStr">
        <is>
          <t>no</t>
        </is>
      </c>
      <c r="R202" s="16" t="n"/>
    </row>
    <row r="203">
      <c r="A203" s="16" t="inlineStr">
        <is>
          <t>KF-M07-A2-0069</t>
        </is>
      </c>
      <c r="B203" s="35" t="n">
        <v>420</v>
      </c>
      <c r="C203" s="35" t="n">
        <v>278.15</v>
      </c>
      <c r="D203" s="36" t="n">
        <v>3000</v>
      </c>
      <c r="E203" s="35" t="n">
        <v>393.75</v>
      </c>
      <c r="F203" s="37" t="n">
        <v>0.5</v>
      </c>
      <c r="G203" s="37" t="n">
        <v>0.95</v>
      </c>
      <c r="H203" s="37" t="n">
        <v>0.75</v>
      </c>
      <c r="I203" s="37" t="n">
        <v>0.85</v>
      </c>
      <c r="J203" s="37" t="n">
        <v>0.8049999999999999</v>
      </c>
      <c r="K203" s="37" t="n">
        <v>0.855</v>
      </c>
      <c r="L203" s="42" t="inlineStr">
        <is>
          <t>KALINA</t>
        </is>
      </c>
      <c r="M203" s="29" t="n">
        <v>13.52116454173167</v>
      </c>
      <c r="N203" s="35" t="n">
        <v>72.51125831426383</v>
      </c>
      <c r="O203" s="36" t="n">
        <v>2606.25</v>
      </c>
      <c r="P203" s="29" t="n">
        <v>7.619047619047619</v>
      </c>
      <c r="Q203" s="16" t="inlineStr">
        <is>
          <t>no</t>
        </is>
      </c>
      <c r="R203" s="16" t="n"/>
    </row>
    <row r="204">
      <c r="A204" s="16" t="inlineStr">
        <is>
          <t>KF-M07-A2-0070</t>
        </is>
      </c>
      <c r="B204" s="35" t="n">
        <v>420</v>
      </c>
      <c r="C204" s="35" t="n">
        <v>278.15</v>
      </c>
      <c r="D204" s="36" t="n">
        <v>3000</v>
      </c>
      <c r="E204" s="35" t="n">
        <v>393.75</v>
      </c>
      <c r="F204" s="37" t="n">
        <v>0.5</v>
      </c>
      <c r="G204" s="37" t="n">
        <v>0.95</v>
      </c>
      <c r="H204" s="37" t="n">
        <v>0.75</v>
      </c>
      <c r="I204" s="37" t="n">
        <v>0.85</v>
      </c>
      <c r="J204" s="37" t="n">
        <v>0.8049999999999999</v>
      </c>
      <c r="K204" s="37" t="n">
        <v>0.7450000000000001</v>
      </c>
      <c r="L204" s="32" t="inlineStr">
        <is>
          <t>No convergió</t>
        </is>
      </c>
      <c r="M204" s="29" t="inlineStr">
        <is>
          <t>—</t>
        </is>
      </c>
      <c r="N204" s="35" t="inlineStr">
        <is>
          <t>—</t>
        </is>
      </c>
      <c r="O204" s="36" t="n">
        <v>2606.25</v>
      </c>
      <c r="P204" s="29" t="n">
        <v>7.619047619047619</v>
      </c>
      <c r="Q204" s="16" t="inlineStr">
        <is>
          <t>no</t>
        </is>
      </c>
      <c r="R204" s="16" t="n"/>
    </row>
    <row r="205">
      <c r="A205" s="16" t="inlineStr">
        <is>
          <t>KF-M07-A2-0071</t>
        </is>
      </c>
      <c r="B205" s="35" t="n">
        <v>432</v>
      </c>
      <c r="C205" s="35" t="n">
        <v>278.15</v>
      </c>
      <c r="D205" s="36" t="n">
        <v>3000</v>
      </c>
      <c r="E205" s="35" t="n">
        <v>393.75</v>
      </c>
      <c r="F205" s="37" t="n">
        <v>0.5</v>
      </c>
      <c r="G205" s="37" t="n">
        <v>0.95</v>
      </c>
      <c r="H205" s="37" t="n">
        <v>0.75</v>
      </c>
      <c r="I205" s="37" t="n">
        <v>0.85</v>
      </c>
      <c r="J205" s="37" t="n">
        <v>0.8599999999999999</v>
      </c>
      <c r="K205" s="37" t="n">
        <v>0.8</v>
      </c>
      <c r="L205" s="39" t="inlineStr">
        <is>
          <t>Corregible</t>
        </is>
      </c>
      <c r="M205" s="29" t="n">
        <v>15.21263529817885</v>
      </c>
      <c r="N205" s="35" t="n">
        <v>101.9434730275419</v>
      </c>
      <c r="O205" s="36" t="n">
        <v>2606.25</v>
      </c>
      <c r="P205" s="29" t="n">
        <v>7.619047619047619</v>
      </c>
      <c r="Q205" s="16" t="inlineStr">
        <is>
          <t>sí</t>
        </is>
      </c>
      <c r="R205" s="16" t="inlineStr">
        <is>
          <t>O1,O2</t>
        </is>
      </c>
    </row>
    <row r="206">
      <c r="A206" s="16" t="inlineStr">
        <is>
          <t>KF-M07-A2-0072</t>
        </is>
      </c>
      <c r="B206" s="35" t="n">
        <v>408</v>
      </c>
      <c r="C206" s="35" t="n">
        <v>278.15</v>
      </c>
      <c r="D206" s="36" t="n">
        <v>3000</v>
      </c>
      <c r="E206" s="35" t="n">
        <v>393.75</v>
      </c>
      <c r="F206" s="37" t="n">
        <v>0.5</v>
      </c>
      <c r="G206" s="37" t="n">
        <v>0.95</v>
      </c>
      <c r="H206" s="37" t="n">
        <v>0.75</v>
      </c>
      <c r="I206" s="37" t="n">
        <v>0.85</v>
      </c>
      <c r="J206" s="37" t="n">
        <v>0.8599999999999999</v>
      </c>
      <c r="K206" s="37" t="n">
        <v>0.8</v>
      </c>
      <c r="L206" s="42" t="inlineStr">
        <is>
          <t>KALINA</t>
        </is>
      </c>
      <c r="M206" s="29" t="n">
        <v>13.04976309565917</v>
      </c>
      <c r="N206" s="35" t="n">
        <v>46.86252252285718</v>
      </c>
      <c r="O206" s="36" t="n">
        <v>2606.25</v>
      </c>
      <c r="P206" s="29" t="n">
        <v>7.619047619047619</v>
      </c>
      <c r="Q206" s="16" t="inlineStr">
        <is>
          <t>no</t>
        </is>
      </c>
      <c r="R206" s="16" t="n"/>
    </row>
    <row r="207">
      <c r="A207" s="16" t="inlineStr">
        <is>
          <t>KF-M07-A2-0073</t>
        </is>
      </c>
      <c r="B207" s="35" t="n">
        <v>420</v>
      </c>
      <c r="C207" s="35" t="n">
        <v>280.69</v>
      </c>
      <c r="D207" s="36" t="n">
        <v>3000</v>
      </c>
      <c r="E207" s="35" t="n">
        <v>393.75</v>
      </c>
      <c r="F207" s="37" t="n">
        <v>0.5</v>
      </c>
      <c r="G207" s="37" t="n">
        <v>0.95</v>
      </c>
      <c r="H207" s="37" t="n">
        <v>0.75</v>
      </c>
      <c r="I207" s="37" t="n">
        <v>0.85</v>
      </c>
      <c r="J207" s="37" t="n">
        <v>0.8599999999999999</v>
      </c>
      <c r="K207" s="37" t="n">
        <v>0.8</v>
      </c>
      <c r="L207" s="39" t="inlineStr">
        <is>
          <t>Corregible</t>
        </is>
      </c>
      <c r="M207" s="29" t="n">
        <v>14.57784050617804</v>
      </c>
      <c r="N207" s="35" t="n">
        <v>73.45765461982387</v>
      </c>
      <c r="O207" s="36" t="n">
        <v>2606.25</v>
      </c>
      <c r="P207" s="29" t="n">
        <v>7.619047619047619</v>
      </c>
      <c r="Q207" s="16" t="inlineStr">
        <is>
          <t>no</t>
        </is>
      </c>
      <c r="R207" s="16" t="inlineStr">
        <is>
          <t>O2</t>
        </is>
      </c>
    </row>
    <row r="208">
      <c r="A208" s="16" t="inlineStr">
        <is>
          <t>KF-M07-A2-0074</t>
        </is>
      </c>
      <c r="B208" s="35" t="n">
        <v>420</v>
      </c>
      <c r="C208" s="35" t="n">
        <v>278.15</v>
      </c>
      <c r="D208" s="36" t="n">
        <v>3300</v>
      </c>
      <c r="E208" s="35" t="n">
        <v>393.75</v>
      </c>
      <c r="F208" s="37" t="n">
        <v>0.5</v>
      </c>
      <c r="G208" s="37" t="n">
        <v>0.95</v>
      </c>
      <c r="H208" s="37" t="n">
        <v>0.75</v>
      </c>
      <c r="I208" s="37" t="n">
        <v>0.85</v>
      </c>
      <c r="J208" s="37" t="n">
        <v>0.8599999999999999</v>
      </c>
      <c r="K208" s="37" t="n">
        <v>0.8</v>
      </c>
      <c r="L208" s="42" t="inlineStr">
        <is>
          <t>KALINA</t>
        </is>
      </c>
      <c r="M208" s="29" t="n">
        <v>14.42065801547762</v>
      </c>
      <c r="N208" s="35" t="n">
        <v>64.61800130542478</v>
      </c>
      <c r="O208" s="36" t="n">
        <v>2906.25</v>
      </c>
      <c r="P208" s="29" t="n">
        <v>8.380952380952381</v>
      </c>
      <c r="Q208" s="16" t="inlineStr">
        <is>
          <t>no</t>
        </is>
      </c>
      <c r="R208" s="16" t="n"/>
    </row>
    <row r="209">
      <c r="A209" s="16" t="inlineStr">
        <is>
          <t>KF-M07-A2-0075</t>
        </is>
      </c>
      <c r="B209" s="35" t="n">
        <v>420</v>
      </c>
      <c r="C209" s="35" t="n">
        <v>278.15</v>
      </c>
      <c r="D209" s="36" t="n">
        <v>2700</v>
      </c>
      <c r="E209" s="35" t="n">
        <v>393.75</v>
      </c>
      <c r="F209" s="37" t="n">
        <v>0.5</v>
      </c>
      <c r="G209" s="37" t="n">
        <v>0.95</v>
      </c>
      <c r="H209" s="37" t="n">
        <v>0.75</v>
      </c>
      <c r="I209" s="37" t="n">
        <v>0.85</v>
      </c>
      <c r="J209" s="37" t="n">
        <v>0.8599999999999999</v>
      </c>
      <c r="K209" s="37" t="n">
        <v>0.8</v>
      </c>
      <c r="L209" s="39" t="inlineStr">
        <is>
          <t>Corregible</t>
        </is>
      </c>
      <c r="M209" s="29" t="n">
        <v>14.26376631881601</v>
      </c>
      <c r="N209" s="35" t="n">
        <v>81.47708772812989</v>
      </c>
      <c r="O209" s="36" t="n">
        <v>2306.25</v>
      </c>
      <c r="P209" s="29" t="n">
        <v>6.857142857142857</v>
      </c>
      <c r="Q209" s="16" t="inlineStr">
        <is>
          <t>no</t>
        </is>
      </c>
      <c r="R209" s="16" t="inlineStr">
        <is>
          <t>O2</t>
        </is>
      </c>
    </row>
    <row r="210">
      <c r="A210" s="16" t="inlineStr">
        <is>
          <t>KF-M07-A2-0076</t>
        </is>
      </c>
      <c r="B210" s="35" t="n">
        <v>420</v>
      </c>
      <c r="C210" s="35" t="n">
        <v>278.15</v>
      </c>
      <c r="D210" s="36" t="n">
        <v>3000</v>
      </c>
      <c r="E210" s="35" t="n">
        <v>613.75</v>
      </c>
      <c r="F210" s="37" t="n">
        <v>0.5</v>
      </c>
      <c r="G210" s="37" t="n">
        <v>0.95</v>
      </c>
      <c r="H210" s="37" t="n">
        <v>0.75</v>
      </c>
      <c r="I210" s="37" t="n">
        <v>0.85</v>
      </c>
      <c r="J210" s="37" t="n">
        <v>0.8599999999999999</v>
      </c>
      <c r="K210" s="37" t="n">
        <v>0.8</v>
      </c>
      <c r="L210" s="42" t="inlineStr">
        <is>
          <t>KALINA</t>
        </is>
      </c>
      <c r="M210" s="29" t="n">
        <v>11.50948474965955</v>
      </c>
      <c r="N210" s="35" t="n">
        <v>58.26894845119094</v>
      </c>
      <c r="O210" s="36" t="n">
        <v>2386.25</v>
      </c>
      <c r="P210" s="29" t="n">
        <v>4.887983706720978</v>
      </c>
      <c r="Q210" s="16" t="inlineStr">
        <is>
          <t>no</t>
        </is>
      </c>
      <c r="R210" s="16" t="n"/>
    </row>
    <row r="211">
      <c r="A211" s="16" t="inlineStr">
        <is>
          <t>KF-M07-A2-0077</t>
        </is>
      </c>
      <c r="B211" s="35" t="n">
        <v>420</v>
      </c>
      <c r="C211" s="35" t="n">
        <v>278.15</v>
      </c>
      <c r="D211" s="36" t="n">
        <v>3000</v>
      </c>
      <c r="E211" s="35" t="n">
        <v>300</v>
      </c>
      <c r="F211" s="37" t="n">
        <v>0.5</v>
      </c>
      <c r="G211" s="37" t="n">
        <v>0.95</v>
      </c>
      <c r="H211" s="37" t="n">
        <v>0.75</v>
      </c>
      <c r="I211" s="37" t="n">
        <v>0.85</v>
      </c>
      <c r="J211" s="37" t="n">
        <v>0.8599999999999999</v>
      </c>
      <c r="K211" s="37" t="n">
        <v>0.8</v>
      </c>
      <c r="L211" s="39" t="inlineStr">
        <is>
          <t>Corregible</t>
        </is>
      </c>
      <c r="M211" s="29" t="n">
        <v>16.15296208382954</v>
      </c>
      <c r="N211" s="35" t="n">
        <v>82.04213728270412</v>
      </c>
      <c r="O211" s="36" t="n">
        <v>2700</v>
      </c>
      <c r="P211" s="29" t="n">
        <v>10</v>
      </c>
      <c r="Q211" s="16" t="inlineStr">
        <is>
          <t>no</t>
        </is>
      </c>
      <c r="R211" s="16" t="inlineStr">
        <is>
          <t>O1,O2</t>
        </is>
      </c>
    </row>
    <row r="212">
      <c r="A212" s="16" t="inlineStr">
        <is>
          <t>KF-M07-A2-0078</t>
        </is>
      </c>
      <c r="B212" s="35" t="n">
        <v>420</v>
      </c>
      <c r="C212" s="35" t="n">
        <v>278.15</v>
      </c>
      <c r="D212" s="36" t="n">
        <v>3000</v>
      </c>
      <c r="E212" s="35" t="n">
        <v>393.75</v>
      </c>
      <c r="F212" s="37" t="n">
        <v>0.535</v>
      </c>
      <c r="G212" s="37" t="n">
        <v>0.95</v>
      </c>
      <c r="H212" s="37" t="n">
        <v>0.75</v>
      </c>
      <c r="I212" s="37" t="n">
        <v>0.85</v>
      </c>
      <c r="J212" s="37" t="n">
        <v>0.8599999999999999</v>
      </c>
      <c r="K212" s="37" t="n">
        <v>0.8</v>
      </c>
      <c r="L212" s="39" t="inlineStr">
        <is>
          <t>Corregible</t>
        </is>
      </c>
      <c r="M212" s="29" t="n">
        <v>15.33304726736075</v>
      </c>
      <c r="N212" s="35" t="n">
        <v>90.3246165718232</v>
      </c>
      <c r="O212" s="36" t="n">
        <v>2606.25</v>
      </c>
      <c r="P212" s="29" t="n">
        <v>7.619047619047619</v>
      </c>
      <c r="Q212" s="16" t="inlineStr">
        <is>
          <t>no</t>
        </is>
      </c>
      <c r="R212" s="16" t="inlineStr">
        <is>
          <t>O2</t>
        </is>
      </c>
    </row>
    <row r="213">
      <c r="A213" s="16" t="inlineStr">
        <is>
          <t>KF-M07-A2-0079</t>
        </is>
      </c>
      <c r="B213" s="35" t="n">
        <v>420</v>
      </c>
      <c r="C213" s="35" t="n">
        <v>278.15</v>
      </c>
      <c r="D213" s="36" t="n">
        <v>3000</v>
      </c>
      <c r="E213" s="35" t="n">
        <v>393.75</v>
      </c>
      <c r="F213" s="37" t="n">
        <v>0.5</v>
      </c>
      <c r="G213" s="37" t="n">
        <v>0.895</v>
      </c>
      <c r="H213" s="37" t="n">
        <v>0.75</v>
      </c>
      <c r="I213" s="37" t="n">
        <v>0.85</v>
      </c>
      <c r="J213" s="37" t="n">
        <v>0.8599999999999999</v>
      </c>
      <c r="K213" s="37" t="n">
        <v>0.8</v>
      </c>
      <c r="L213" s="42" t="inlineStr">
        <is>
          <t>KALINA</t>
        </is>
      </c>
      <c r="M213" s="29" t="n">
        <v>13.58535759883674</v>
      </c>
      <c r="N213" s="35" t="n">
        <v>68.87948184864794</v>
      </c>
      <c r="O213" s="36" t="n">
        <v>2606.25</v>
      </c>
      <c r="P213" s="29" t="n">
        <v>7.619047619047619</v>
      </c>
      <c r="Q213" s="16" t="inlineStr">
        <is>
          <t>no</t>
        </is>
      </c>
      <c r="R213" s="16" t="n"/>
    </row>
    <row r="214">
      <c r="A214" s="16" t="inlineStr">
        <is>
          <t>KF-M07-A2-0080</t>
        </is>
      </c>
      <c r="B214" s="35" t="n">
        <v>420</v>
      </c>
      <c r="C214" s="35" t="n">
        <v>278.15</v>
      </c>
      <c r="D214" s="36" t="n">
        <v>3000</v>
      </c>
      <c r="E214" s="35" t="n">
        <v>393.75</v>
      </c>
      <c r="F214" s="37" t="n">
        <v>0.5</v>
      </c>
      <c r="G214" s="37" t="n">
        <v>0.95</v>
      </c>
      <c r="H214" s="37" t="n">
        <v>0.8049999999999999</v>
      </c>
      <c r="I214" s="37" t="n">
        <v>0.85</v>
      </c>
      <c r="J214" s="37" t="n">
        <v>0.8599999999999999</v>
      </c>
      <c r="K214" s="37" t="n">
        <v>0.8</v>
      </c>
      <c r="L214" s="42" t="inlineStr">
        <is>
          <t>KALINA</t>
        </is>
      </c>
      <c r="M214" s="29" t="n">
        <v>14.51352396200809</v>
      </c>
      <c r="N214" s="35" t="n">
        <v>73.64992046181392</v>
      </c>
      <c r="O214" s="36" t="n">
        <v>2606.25</v>
      </c>
      <c r="P214" s="29" t="n">
        <v>7.619047619047619</v>
      </c>
      <c r="Q214" s="16" t="inlineStr">
        <is>
          <t>no</t>
        </is>
      </c>
      <c r="R214" s="16" t="n"/>
    </row>
    <row r="215">
      <c r="A215" s="16" t="inlineStr">
        <is>
          <t>KF-M07-A2-0081</t>
        </is>
      </c>
      <c r="B215" s="35" t="n">
        <v>420</v>
      </c>
      <c r="C215" s="35" t="n">
        <v>278.15</v>
      </c>
      <c r="D215" s="36" t="n">
        <v>3000</v>
      </c>
      <c r="E215" s="35" t="n">
        <v>393.75</v>
      </c>
      <c r="F215" s="37" t="n">
        <v>0.5</v>
      </c>
      <c r="G215" s="37" t="n">
        <v>0.95</v>
      </c>
      <c r="H215" s="37" t="n">
        <v>0.6950000000000001</v>
      </c>
      <c r="I215" s="37" t="n">
        <v>0.85</v>
      </c>
      <c r="J215" s="37" t="n">
        <v>0.8599999999999999</v>
      </c>
      <c r="K215" s="37" t="n">
        <v>0.8</v>
      </c>
      <c r="L215" s="42" t="inlineStr">
        <is>
          <t>KALINA</t>
        </is>
      </c>
      <c r="M215" s="29" t="n">
        <v>14.39838801258759</v>
      </c>
      <c r="N215" s="35" t="n">
        <v>73.03201848448154</v>
      </c>
      <c r="O215" s="36" t="n">
        <v>2606.25</v>
      </c>
      <c r="P215" s="29" t="n">
        <v>7.619047619047619</v>
      </c>
      <c r="Q215" s="16" t="inlineStr">
        <is>
          <t>no</t>
        </is>
      </c>
      <c r="R215" s="16" t="n"/>
    </row>
    <row r="216">
      <c r="A216" s="16" t="inlineStr">
        <is>
          <t>KF-M07-A2-0082</t>
        </is>
      </c>
      <c r="B216" s="35" t="n">
        <v>420</v>
      </c>
      <c r="C216" s="35" t="n">
        <v>278.15</v>
      </c>
      <c r="D216" s="36" t="n">
        <v>3000</v>
      </c>
      <c r="E216" s="35" t="n">
        <v>393.75</v>
      </c>
      <c r="F216" s="37" t="n">
        <v>0.5</v>
      </c>
      <c r="G216" s="37" t="n">
        <v>0.95</v>
      </c>
      <c r="H216" s="37" t="n">
        <v>0.75</v>
      </c>
      <c r="I216" s="37" t="n">
        <v>0.905</v>
      </c>
      <c r="J216" s="37" t="n">
        <v>0.8599999999999999</v>
      </c>
      <c r="K216" s="37" t="n">
        <v>0.8</v>
      </c>
      <c r="L216" s="42" t="inlineStr">
        <is>
          <t>KALINA</t>
        </is>
      </c>
      <c r="M216" s="29" t="n">
        <v>14.65726373296689</v>
      </c>
      <c r="N216" s="35" t="n">
        <v>79.05088969937006</v>
      </c>
      <c r="O216" s="36" t="n">
        <v>2606.25</v>
      </c>
      <c r="P216" s="29" t="n">
        <v>7.619047619047619</v>
      </c>
      <c r="Q216" s="16" t="inlineStr">
        <is>
          <t>no</t>
        </is>
      </c>
      <c r="R216" s="16" t="n"/>
    </row>
    <row r="217">
      <c r="A217" s="16" t="inlineStr">
        <is>
          <t>KF-M07-A2-0083</t>
        </is>
      </c>
      <c r="B217" s="35" t="n">
        <v>420</v>
      </c>
      <c r="C217" s="35" t="n">
        <v>278.15</v>
      </c>
      <c r="D217" s="36" t="n">
        <v>3000</v>
      </c>
      <c r="E217" s="35" t="n">
        <v>393.75</v>
      </c>
      <c r="F217" s="37" t="n">
        <v>0.5</v>
      </c>
      <c r="G217" s="37" t="n">
        <v>0.95</v>
      </c>
      <c r="H217" s="37" t="n">
        <v>0.75</v>
      </c>
      <c r="I217" s="37" t="n">
        <v>0.795</v>
      </c>
      <c r="J217" s="37" t="n">
        <v>0.8599999999999999</v>
      </c>
      <c r="K217" s="37" t="n">
        <v>0.8</v>
      </c>
      <c r="L217" s="42" t="inlineStr">
        <is>
          <t>KALINA</t>
        </is>
      </c>
      <c r="M217" s="29" t="n">
        <v>14.23312036497439</v>
      </c>
      <c r="N217" s="35" t="n">
        <v>67.65185567660454</v>
      </c>
      <c r="O217" s="36" t="n">
        <v>2606.25</v>
      </c>
      <c r="P217" s="29" t="n">
        <v>7.619047619047619</v>
      </c>
      <c r="Q217" s="16" t="inlineStr">
        <is>
          <t>no</t>
        </is>
      </c>
      <c r="R217" s="16" t="n"/>
    </row>
    <row r="218">
      <c r="A218" s="16" t="inlineStr">
        <is>
          <t>KF-M07-A2-0084</t>
        </is>
      </c>
      <c r="B218" s="35" t="n">
        <v>420</v>
      </c>
      <c r="C218" s="35" t="n">
        <v>278.15</v>
      </c>
      <c r="D218" s="36" t="n">
        <v>3000</v>
      </c>
      <c r="E218" s="35" t="n">
        <v>393.75</v>
      </c>
      <c r="F218" s="37" t="n">
        <v>0.5</v>
      </c>
      <c r="G218" s="37" t="n">
        <v>0.95</v>
      </c>
      <c r="H218" s="37" t="n">
        <v>0.75</v>
      </c>
      <c r="I218" s="37" t="n">
        <v>0.85</v>
      </c>
      <c r="J218" s="37" t="n">
        <v>0.915</v>
      </c>
      <c r="K218" s="37" t="n">
        <v>0.8</v>
      </c>
      <c r="L218" s="42" t="inlineStr">
        <is>
          <t>KALINA</t>
        </is>
      </c>
      <c r="M218" s="29" t="n">
        <v>15.06818501601989</v>
      </c>
      <c r="N218" s="35" t="n">
        <v>73.88725432748508</v>
      </c>
      <c r="O218" s="36" t="n">
        <v>2606.25</v>
      </c>
      <c r="P218" s="29" t="n">
        <v>7.619047619047619</v>
      </c>
      <c r="Q218" s="16" t="inlineStr">
        <is>
          <t>no</t>
        </is>
      </c>
      <c r="R218" s="16" t="n"/>
    </row>
    <row r="219">
      <c r="A219" s="16" t="inlineStr">
        <is>
          <t>KF-M07-A2-0085</t>
        </is>
      </c>
      <c r="B219" s="35" t="n">
        <v>420</v>
      </c>
      <c r="C219" s="35" t="n">
        <v>278.15</v>
      </c>
      <c r="D219" s="36" t="n">
        <v>3000</v>
      </c>
      <c r="E219" s="35" t="n">
        <v>393.75</v>
      </c>
      <c r="F219" s="37" t="n">
        <v>0.5</v>
      </c>
      <c r="G219" s="37" t="n">
        <v>0.95</v>
      </c>
      <c r="H219" s="37" t="n">
        <v>0.75</v>
      </c>
      <c r="I219" s="37" t="n">
        <v>0.85</v>
      </c>
      <c r="J219" s="37" t="n">
        <v>0.8049999999999999</v>
      </c>
      <c r="K219" s="37" t="n">
        <v>0.8</v>
      </c>
      <c r="L219" s="42" t="inlineStr">
        <is>
          <t>KALINA</t>
        </is>
      </c>
      <c r="M219" s="29" t="n">
        <v>13.89941578479586</v>
      </c>
      <c r="N219" s="35" t="n">
        <v>72.84738312386479</v>
      </c>
      <c r="O219" s="36" t="n">
        <v>2606.25</v>
      </c>
      <c r="P219" s="29" t="n">
        <v>7.619047619047619</v>
      </c>
      <c r="Q219" s="16" t="inlineStr">
        <is>
          <t>no</t>
        </is>
      </c>
      <c r="R219" s="16" t="n"/>
    </row>
    <row r="220">
      <c r="A220" s="16" t="inlineStr">
        <is>
          <t>KF-M07-A2-0086</t>
        </is>
      </c>
      <c r="B220" s="35" t="n">
        <v>420</v>
      </c>
      <c r="C220" s="35" t="n">
        <v>278.15</v>
      </c>
      <c r="D220" s="36" t="n">
        <v>3000</v>
      </c>
      <c r="E220" s="35" t="n">
        <v>393.75</v>
      </c>
      <c r="F220" s="37" t="n">
        <v>0.5</v>
      </c>
      <c r="G220" s="37" t="n">
        <v>0.95</v>
      </c>
      <c r="H220" s="37" t="n">
        <v>0.75</v>
      </c>
      <c r="I220" s="37" t="n">
        <v>0.85</v>
      </c>
      <c r="J220" s="37" t="n">
        <v>0.8599999999999999</v>
      </c>
      <c r="K220" s="37" t="n">
        <v>0.855</v>
      </c>
      <c r="L220" s="42" t="inlineStr">
        <is>
          <t>KALINA</t>
        </is>
      </c>
      <c r="M220" s="29" t="n">
        <v>14.10486357952595</v>
      </c>
      <c r="N220" s="35" t="n">
        <v>73.07108770527276</v>
      </c>
      <c r="O220" s="36" t="n">
        <v>2606.25</v>
      </c>
      <c r="P220" s="29" t="n">
        <v>7.619047619047619</v>
      </c>
      <c r="Q220" s="16" t="inlineStr">
        <is>
          <t>no</t>
        </is>
      </c>
      <c r="R220" s="16" t="n"/>
    </row>
    <row r="221">
      <c r="A221" s="16" t="inlineStr">
        <is>
          <t>KF-M07-A2-0087</t>
        </is>
      </c>
      <c r="B221" s="35" t="n">
        <v>420</v>
      </c>
      <c r="C221" s="35" t="n">
        <v>278.15</v>
      </c>
      <c r="D221" s="36" t="n">
        <v>3000</v>
      </c>
      <c r="E221" s="35" t="n">
        <v>393.75</v>
      </c>
      <c r="F221" s="37" t="n">
        <v>0.5</v>
      </c>
      <c r="G221" s="37" t="n">
        <v>0.95</v>
      </c>
      <c r="H221" s="37" t="n">
        <v>0.75</v>
      </c>
      <c r="I221" s="37" t="n">
        <v>0.85</v>
      </c>
      <c r="J221" s="37" t="n">
        <v>0.8599999999999999</v>
      </c>
      <c r="K221" s="37" t="n">
        <v>0.7450000000000001</v>
      </c>
      <c r="L221" s="39" t="inlineStr">
        <is>
          <t>Corregible</t>
        </is>
      </c>
      <c r="M221" s="29" t="n">
        <v>14.81797429391452</v>
      </c>
      <c r="N221" s="35" t="n">
        <v>73.43552329286381</v>
      </c>
      <c r="O221" s="36" t="n">
        <v>2606.25</v>
      </c>
      <c r="P221" s="29" t="n">
        <v>7.619047619047619</v>
      </c>
      <c r="Q221" s="16" t="inlineStr">
        <is>
          <t>no</t>
        </is>
      </c>
      <c r="R221" s="16" t="inlineStr">
        <is>
          <t>O2</t>
        </is>
      </c>
    </row>
    <row r="222">
      <c r="A222" s="16" t="inlineStr">
        <is>
          <t>KF-M07-A2-0088</t>
        </is>
      </c>
      <c r="B222" s="35" t="n">
        <v>432</v>
      </c>
      <c r="C222" s="35" t="n">
        <v>278.15</v>
      </c>
      <c r="D222" s="36" t="n">
        <v>3000</v>
      </c>
      <c r="E222" s="35" t="n">
        <v>393.75</v>
      </c>
      <c r="F222" s="37" t="n">
        <v>0.5</v>
      </c>
      <c r="G222" s="37" t="n">
        <v>0.95</v>
      </c>
      <c r="H222" s="37" t="n">
        <v>0.75</v>
      </c>
      <c r="I222" s="37" t="n">
        <v>0.85</v>
      </c>
      <c r="J222" s="37" t="n">
        <v>0.915</v>
      </c>
      <c r="K222" s="37" t="n">
        <v>0.8</v>
      </c>
      <c r="L222" s="39" t="inlineStr">
        <is>
          <t>Corregible</t>
        </is>
      </c>
      <c r="M222" s="29" t="n">
        <v>15.64546648194214</v>
      </c>
      <c r="N222" s="35" t="n">
        <v>102.4735939540989</v>
      </c>
      <c r="O222" s="36" t="n">
        <v>2606.25</v>
      </c>
      <c r="P222" s="29" t="n">
        <v>7.619047619047619</v>
      </c>
      <c r="Q222" s="16" t="inlineStr">
        <is>
          <t>sí</t>
        </is>
      </c>
      <c r="R222" s="16" t="inlineStr">
        <is>
          <t>O1,O2</t>
        </is>
      </c>
    </row>
    <row r="223">
      <c r="A223" s="16" t="inlineStr">
        <is>
          <t>KF-M07-A2-0089</t>
        </is>
      </c>
      <c r="B223" s="35" t="n">
        <v>408</v>
      </c>
      <c r="C223" s="35" t="n">
        <v>278.15</v>
      </c>
      <c r="D223" s="36" t="n">
        <v>3000</v>
      </c>
      <c r="E223" s="35" t="n">
        <v>393.75</v>
      </c>
      <c r="F223" s="37" t="n">
        <v>0.5</v>
      </c>
      <c r="G223" s="37" t="n">
        <v>0.95</v>
      </c>
      <c r="H223" s="37" t="n">
        <v>0.75</v>
      </c>
      <c r="I223" s="37" t="n">
        <v>0.85</v>
      </c>
      <c r="J223" s="37" t="n">
        <v>0.915</v>
      </c>
      <c r="K223" s="37" t="n">
        <v>0.8</v>
      </c>
      <c r="L223" s="42" t="inlineStr">
        <is>
          <t>KALINA</t>
        </is>
      </c>
      <c r="M223" s="29" t="n">
        <v>13.93347179357018</v>
      </c>
      <c r="N223" s="35" t="n">
        <v>47.43988245712004</v>
      </c>
      <c r="O223" s="36" t="n">
        <v>2606.25</v>
      </c>
      <c r="P223" s="29" t="n">
        <v>7.619047619047619</v>
      </c>
      <c r="Q223" s="16" t="inlineStr">
        <is>
          <t>no</t>
        </is>
      </c>
      <c r="R223" s="16" t="n"/>
    </row>
    <row r="224">
      <c r="A224" s="16" t="inlineStr">
        <is>
          <t>KF-M07-A2-0090</t>
        </is>
      </c>
      <c r="B224" s="35" t="n">
        <v>420</v>
      </c>
      <c r="C224" s="35" t="n">
        <v>280.69</v>
      </c>
      <c r="D224" s="36" t="n">
        <v>3000</v>
      </c>
      <c r="E224" s="35" t="n">
        <v>393.75</v>
      </c>
      <c r="F224" s="37" t="n">
        <v>0.5</v>
      </c>
      <c r="G224" s="37" t="n">
        <v>0.95</v>
      </c>
      <c r="H224" s="37" t="n">
        <v>0.75</v>
      </c>
      <c r="I224" s="37" t="n">
        <v>0.85</v>
      </c>
      <c r="J224" s="37" t="n">
        <v>0.915</v>
      </c>
      <c r="K224" s="37" t="n">
        <v>0.8</v>
      </c>
      <c r="L224" s="42" t="inlineStr">
        <is>
          <t>KALINA</t>
        </is>
      </c>
      <c r="M224" s="29" t="n">
        <v>15.18233874616843</v>
      </c>
      <c r="N224" s="35" t="n">
        <v>73.97153853960299</v>
      </c>
      <c r="O224" s="36" t="n">
        <v>2606.25</v>
      </c>
      <c r="P224" s="29" t="n">
        <v>7.619047619047619</v>
      </c>
      <c r="Q224" s="16" t="inlineStr">
        <is>
          <t>no</t>
        </is>
      </c>
      <c r="R224" s="16" t="n"/>
    </row>
    <row r="225">
      <c r="A225" s="16" t="inlineStr">
        <is>
          <t>KF-M07-A2-0091</t>
        </is>
      </c>
      <c r="B225" s="35" t="n">
        <v>420</v>
      </c>
      <c r="C225" s="35" t="n">
        <v>278.15</v>
      </c>
      <c r="D225" s="36" t="n">
        <v>3300</v>
      </c>
      <c r="E225" s="35" t="n">
        <v>393.75</v>
      </c>
      <c r="F225" s="37" t="n">
        <v>0.5</v>
      </c>
      <c r="G225" s="37" t="n">
        <v>0.95</v>
      </c>
      <c r="H225" s="37" t="n">
        <v>0.75</v>
      </c>
      <c r="I225" s="37" t="n">
        <v>0.85</v>
      </c>
      <c r="J225" s="37" t="n">
        <v>0.915</v>
      </c>
      <c r="K225" s="37" t="n">
        <v>0.8</v>
      </c>
      <c r="L225" s="42" t="inlineStr">
        <is>
          <t>KALINA</t>
        </is>
      </c>
      <c r="M225" s="29" t="n">
        <v>15.18278766550411</v>
      </c>
      <c r="N225" s="35" t="n">
        <v>65.22278609212</v>
      </c>
      <c r="O225" s="36" t="n">
        <v>2906.25</v>
      </c>
      <c r="P225" s="29" t="n">
        <v>8.380952380952381</v>
      </c>
      <c r="Q225" s="16" t="inlineStr">
        <is>
          <t>no</t>
        </is>
      </c>
      <c r="R225" s="16" t="n"/>
    </row>
    <row r="226">
      <c r="A226" s="16" t="inlineStr">
        <is>
          <t>KF-M07-A2-0092</t>
        </is>
      </c>
      <c r="B226" s="35" t="n">
        <v>420</v>
      </c>
      <c r="C226" s="35" t="n">
        <v>278.15</v>
      </c>
      <c r="D226" s="36" t="n">
        <v>2700</v>
      </c>
      <c r="E226" s="35" t="n">
        <v>393.75</v>
      </c>
      <c r="F226" s="37" t="n">
        <v>0.5</v>
      </c>
      <c r="G226" s="37" t="n">
        <v>0.95</v>
      </c>
      <c r="H226" s="37" t="n">
        <v>0.75</v>
      </c>
      <c r="I226" s="37" t="n">
        <v>0.85</v>
      </c>
      <c r="J226" s="37" t="n">
        <v>0.915</v>
      </c>
      <c r="K226" s="37" t="n">
        <v>0.8</v>
      </c>
      <c r="L226" s="42" t="inlineStr">
        <is>
          <t>KALINA</t>
        </is>
      </c>
      <c r="M226" s="29" t="n">
        <v>14.74189596960736</v>
      </c>
      <c r="N226" s="35" t="n">
        <v>81.9280552836683</v>
      </c>
      <c r="O226" s="36" t="n">
        <v>2306.25</v>
      </c>
      <c r="P226" s="29" t="n">
        <v>6.857142857142857</v>
      </c>
      <c r="Q226" s="16" t="inlineStr">
        <is>
          <t>no</t>
        </is>
      </c>
      <c r="R226" s="16" t="n"/>
    </row>
    <row r="227">
      <c r="A227" s="16" t="inlineStr">
        <is>
          <t>KF-M07-A2-0093</t>
        </is>
      </c>
      <c r="B227" s="35" t="n">
        <v>420</v>
      </c>
      <c r="C227" s="35" t="n">
        <v>278.15</v>
      </c>
      <c r="D227" s="36" t="n">
        <v>3000</v>
      </c>
      <c r="E227" s="35" t="n">
        <v>613.75</v>
      </c>
      <c r="F227" s="37" t="n">
        <v>0.5</v>
      </c>
      <c r="G227" s="37" t="n">
        <v>0.95</v>
      </c>
      <c r="H227" s="37" t="n">
        <v>0.75</v>
      </c>
      <c r="I227" s="37" t="n">
        <v>0.85</v>
      </c>
      <c r="J227" s="37" t="n">
        <v>0.915</v>
      </c>
      <c r="K227" s="37" t="n">
        <v>0.8</v>
      </c>
      <c r="L227" s="42" t="inlineStr">
        <is>
          <t>KALINA</t>
        </is>
      </c>
      <c r="M227" s="29" t="n">
        <v>11.99209576305496</v>
      </c>
      <c r="N227" s="35" t="n">
        <v>58.68511530275908</v>
      </c>
      <c r="O227" s="36" t="n">
        <v>2386.25</v>
      </c>
      <c r="P227" s="29" t="n">
        <v>4.887983706720978</v>
      </c>
      <c r="Q227" s="16" t="inlineStr">
        <is>
          <t>no</t>
        </is>
      </c>
      <c r="R227" s="16" t="n"/>
    </row>
    <row r="228">
      <c r="A228" s="16" t="inlineStr">
        <is>
          <t>KF-M07-A2-0094</t>
        </is>
      </c>
      <c r="B228" s="35" t="n">
        <v>420</v>
      </c>
      <c r="C228" s="35" t="n">
        <v>278.15</v>
      </c>
      <c r="D228" s="36" t="n">
        <v>3000</v>
      </c>
      <c r="E228" s="35" t="n">
        <v>300</v>
      </c>
      <c r="F228" s="37" t="n">
        <v>0.5</v>
      </c>
      <c r="G228" s="37" t="n">
        <v>0.95</v>
      </c>
      <c r="H228" s="37" t="n">
        <v>0.75</v>
      </c>
      <c r="I228" s="37" t="n">
        <v>0.85</v>
      </c>
      <c r="J228" s="37" t="n">
        <v>0.915</v>
      </c>
      <c r="K228" s="37" t="n">
        <v>0.8</v>
      </c>
      <c r="L228" s="39" t="inlineStr">
        <is>
          <t>Corregible</t>
        </is>
      </c>
      <c r="M228" s="29" t="n">
        <v>16.84818685410456</v>
      </c>
      <c r="N228" s="35" t="n">
        <v>82.70621604969227</v>
      </c>
      <c r="O228" s="36" t="n">
        <v>2700</v>
      </c>
      <c r="P228" s="29" t="n">
        <v>10</v>
      </c>
      <c r="Q228" s="16" t="inlineStr">
        <is>
          <t>no</t>
        </is>
      </c>
      <c r="R228" s="16" t="inlineStr">
        <is>
          <t>O1,O2</t>
        </is>
      </c>
    </row>
    <row r="229">
      <c r="A229" s="16" t="inlineStr">
        <is>
          <t>KF-M07-A2-0095</t>
        </is>
      </c>
      <c r="B229" s="35" t="n">
        <v>420</v>
      </c>
      <c r="C229" s="35" t="n">
        <v>278.15</v>
      </c>
      <c r="D229" s="36" t="n">
        <v>3000</v>
      </c>
      <c r="E229" s="35" t="n">
        <v>393.75</v>
      </c>
      <c r="F229" s="37" t="n">
        <v>0.535</v>
      </c>
      <c r="G229" s="37" t="n">
        <v>0.95</v>
      </c>
      <c r="H229" s="37" t="n">
        <v>0.75</v>
      </c>
      <c r="I229" s="37" t="n">
        <v>0.85</v>
      </c>
      <c r="J229" s="37" t="n">
        <v>0.915</v>
      </c>
      <c r="K229" s="37" t="n">
        <v>0.8</v>
      </c>
      <c r="L229" s="39" t="inlineStr">
        <is>
          <t>Corregible</t>
        </is>
      </c>
      <c r="M229" s="29" t="n">
        <v>15.82685015666591</v>
      </c>
      <c r="N229" s="35" t="n">
        <v>90.86981435342076</v>
      </c>
      <c r="O229" s="36" t="n">
        <v>2606.25</v>
      </c>
      <c r="P229" s="29" t="n">
        <v>7.619047619047619</v>
      </c>
      <c r="Q229" s="16" t="inlineStr">
        <is>
          <t>no</t>
        </is>
      </c>
      <c r="R229" s="16" t="inlineStr">
        <is>
          <t>O2</t>
        </is>
      </c>
    </row>
    <row r="230">
      <c r="A230" s="16" t="inlineStr">
        <is>
          <t>KF-M07-A2-0096</t>
        </is>
      </c>
      <c r="B230" s="35" t="n">
        <v>420</v>
      </c>
      <c r="C230" s="35" t="n">
        <v>278.15</v>
      </c>
      <c r="D230" s="36" t="n">
        <v>3000</v>
      </c>
      <c r="E230" s="35" t="n">
        <v>393.75</v>
      </c>
      <c r="F230" s="37" t="n">
        <v>0.5</v>
      </c>
      <c r="G230" s="37" t="n">
        <v>0.895</v>
      </c>
      <c r="H230" s="37" t="n">
        <v>0.75</v>
      </c>
      <c r="I230" s="37" t="n">
        <v>0.85</v>
      </c>
      <c r="J230" s="37" t="n">
        <v>0.915</v>
      </c>
      <c r="K230" s="37" t="n">
        <v>0.8</v>
      </c>
      <c r="L230" s="42" t="inlineStr">
        <is>
          <t>KALINA</t>
        </is>
      </c>
      <c r="M230" s="29" t="n">
        <v>14.15628485758795</v>
      </c>
      <c r="N230" s="35" t="n">
        <v>69.3722148563109</v>
      </c>
      <c r="O230" s="36" t="n">
        <v>2606.25</v>
      </c>
      <c r="P230" s="29" t="n">
        <v>7.619047619047619</v>
      </c>
      <c r="Q230" s="16" t="inlineStr">
        <is>
          <t>no</t>
        </is>
      </c>
      <c r="R230" s="16" t="n"/>
    </row>
    <row r="231">
      <c r="A231" s="16" t="inlineStr">
        <is>
          <t>KF-M07-A2-0097</t>
        </is>
      </c>
      <c r="B231" s="35" t="n">
        <v>420</v>
      </c>
      <c r="C231" s="35" t="n">
        <v>278.15</v>
      </c>
      <c r="D231" s="36" t="n">
        <v>3000</v>
      </c>
      <c r="E231" s="35" t="n">
        <v>393.75</v>
      </c>
      <c r="F231" s="37" t="n">
        <v>0.5</v>
      </c>
      <c r="G231" s="37" t="n">
        <v>0.95</v>
      </c>
      <c r="H231" s="37" t="n">
        <v>0.8049999999999999</v>
      </c>
      <c r="I231" s="37" t="n">
        <v>0.85</v>
      </c>
      <c r="J231" s="37" t="n">
        <v>0.915</v>
      </c>
      <c r="K231" s="37" t="n">
        <v>0.8</v>
      </c>
      <c r="L231" s="42" t="inlineStr">
        <is>
          <t>KALINA</t>
        </is>
      </c>
      <c r="M231" s="29" t="n">
        <v>15.12354085071482</v>
      </c>
      <c r="N231" s="35" t="n">
        <v>74.17353943847115</v>
      </c>
      <c r="O231" s="36" t="n">
        <v>2606.25</v>
      </c>
      <c r="P231" s="29" t="n">
        <v>7.619047619047619</v>
      </c>
      <c r="Q231" s="16" t="inlineStr">
        <is>
          <t>no</t>
        </is>
      </c>
      <c r="R231" s="16" t="n"/>
    </row>
    <row r="232">
      <c r="A232" s="16" t="inlineStr">
        <is>
          <t>KF-M07-A2-0098</t>
        </is>
      </c>
      <c r="B232" s="35" t="n">
        <v>420</v>
      </c>
      <c r="C232" s="35" t="n">
        <v>278.15</v>
      </c>
      <c r="D232" s="36" t="n">
        <v>3000</v>
      </c>
      <c r="E232" s="35" t="n">
        <v>393.75</v>
      </c>
      <c r="F232" s="37" t="n">
        <v>0.5</v>
      </c>
      <c r="G232" s="37" t="n">
        <v>0.95</v>
      </c>
      <c r="H232" s="37" t="n">
        <v>0.6950000000000001</v>
      </c>
      <c r="I232" s="37" t="n">
        <v>0.85</v>
      </c>
      <c r="J232" s="37" t="n">
        <v>0.915</v>
      </c>
      <c r="K232" s="37" t="n">
        <v>0.8</v>
      </c>
      <c r="L232" s="42" t="inlineStr">
        <is>
          <t>KALINA</t>
        </is>
      </c>
      <c r="M232" s="29" t="n">
        <v>15.0040385275127</v>
      </c>
      <c r="N232" s="35" t="n">
        <v>73.55564955140612</v>
      </c>
      <c r="O232" s="36" t="n">
        <v>2606.25</v>
      </c>
      <c r="P232" s="29" t="n">
        <v>7.619047619047619</v>
      </c>
      <c r="Q232" s="16" t="inlineStr">
        <is>
          <t>no</t>
        </is>
      </c>
      <c r="R232" s="16" t="n"/>
    </row>
    <row r="233">
      <c r="A233" s="16" t="inlineStr">
        <is>
          <t>KF-M07-A2-0099</t>
        </is>
      </c>
      <c r="B233" s="35" t="n">
        <v>420</v>
      </c>
      <c r="C233" s="35" t="n">
        <v>278.15</v>
      </c>
      <c r="D233" s="36" t="n">
        <v>3000</v>
      </c>
      <c r="E233" s="35" t="n">
        <v>393.75</v>
      </c>
      <c r="F233" s="37" t="n">
        <v>0.5</v>
      </c>
      <c r="G233" s="37" t="n">
        <v>0.95</v>
      </c>
      <c r="H233" s="37" t="n">
        <v>0.75</v>
      </c>
      <c r="I233" s="37" t="n">
        <v>0.905</v>
      </c>
      <c r="J233" s="37" t="n">
        <v>0.915</v>
      </c>
      <c r="K233" s="37" t="n">
        <v>0.8</v>
      </c>
      <c r="L233" s="42" t="inlineStr">
        <is>
          <t>KALINA</t>
        </is>
      </c>
      <c r="M233" s="29" t="n">
        <v>15.21737375807237</v>
      </c>
      <c r="N233" s="35" t="n">
        <v>79.37711927688585</v>
      </c>
      <c r="O233" s="36" t="n">
        <v>2606.25</v>
      </c>
      <c r="P233" s="29" t="n">
        <v>7.619047619047619</v>
      </c>
      <c r="Q233" s="16" t="inlineStr">
        <is>
          <t>no</t>
        </is>
      </c>
      <c r="R233" s="16" t="n"/>
    </row>
    <row r="234">
      <c r="A234" s="16" t="inlineStr">
        <is>
          <t>KF-M07-A2-0100</t>
        </is>
      </c>
      <c r="B234" s="35" t="n">
        <v>420</v>
      </c>
      <c r="C234" s="35" t="n">
        <v>278.15</v>
      </c>
      <c r="D234" s="36" t="n">
        <v>3000</v>
      </c>
      <c r="E234" s="35" t="n">
        <v>393.75</v>
      </c>
      <c r="F234" s="37" t="n">
        <v>0.5</v>
      </c>
      <c r="G234" s="37" t="n">
        <v>0.95</v>
      </c>
      <c r="H234" s="37" t="n">
        <v>0.75</v>
      </c>
      <c r="I234" s="37" t="n">
        <v>0.795</v>
      </c>
      <c r="J234" s="37" t="n">
        <v>0.915</v>
      </c>
      <c r="K234" s="37" t="n">
        <v>0.8</v>
      </c>
      <c r="L234" s="42" t="inlineStr">
        <is>
          <t>KALINA</t>
        </is>
      </c>
      <c r="M234" s="29" t="n">
        <v>14.89561708401034</v>
      </c>
      <c r="N234" s="35" t="n">
        <v>68.38162936245652</v>
      </c>
      <c r="O234" s="36" t="n">
        <v>2606.25</v>
      </c>
      <c r="P234" s="29" t="n">
        <v>7.619047619047619</v>
      </c>
      <c r="Q234" s="16" t="inlineStr">
        <is>
          <t>no</t>
        </is>
      </c>
      <c r="R234" s="16" t="n"/>
    </row>
    <row r="235">
      <c r="A235" s="16" t="inlineStr">
        <is>
          <t>KF-M07-A2-0101</t>
        </is>
      </c>
      <c r="B235" s="35" t="n">
        <v>420</v>
      </c>
      <c r="C235" s="35" t="n">
        <v>278.15</v>
      </c>
      <c r="D235" s="36" t="n">
        <v>3000</v>
      </c>
      <c r="E235" s="35" t="n">
        <v>393.75</v>
      </c>
      <c r="F235" s="37" t="n">
        <v>0.5</v>
      </c>
      <c r="G235" s="37" t="n">
        <v>0.95</v>
      </c>
      <c r="H235" s="37" t="n">
        <v>0.75</v>
      </c>
      <c r="I235" s="37" t="n">
        <v>0.85</v>
      </c>
      <c r="J235" s="37" t="n">
        <v>0.95</v>
      </c>
      <c r="K235" s="37" t="n">
        <v>0.8</v>
      </c>
      <c r="L235" s="42" t="inlineStr">
        <is>
          <t>KALINA</t>
        </is>
      </c>
      <c r="M235" s="29" t="n">
        <v>15.48239750048667</v>
      </c>
      <c r="N235" s="35" t="n">
        <v>74.2243204819607</v>
      </c>
      <c r="O235" s="36" t="n">
        <v>2606.25</v>
      </c>
      <c r="P235" s="29" t="n">
        <v>7.619047619047619</v>
      </c>
      <c r="Q235" s="16" t="inlineStr">
        <is>
          <t>no</t>
        </is>
      </c>
      <c r="R235" s="16" t="n"/>
    </row>
    <row r="236">
      <c r="A236" s="16" t="inlineStr">
        <is>
          <t>KF-M07-A2-0102</t>
        </is>
      </c>
      <c r="B236" s="35" t="n">
        <v>420</v>
      </c>
      <c r="C236" s="35" t="n">
        <v>278.15</v>
      </c>
      <c r="D236" s="36" t="n">
        <v>3000</v>
      </c>
      <c r="E236" s="35" t="n">
        <v>393.75</v>
      </c>
      <c r="F236" s="37" t="n">
        <v>0.5</v>
      </c>
      <c r="G236" s="37" t="n">
        <v>0.95</v>
      </c>
      <c r="H236" s="37" t="n">
        <v>0.75</v>
      </c>
      <c r="I236" s="37" t="n">
        <v>0.85</v>
      </c>
      <c r="J236" s="37" t="n">
        <v>0.8599999999999999</v>
      </c>
      <c r="K236" s="37" t="n">
        <v>0.8</v>
      </c>
      <c r="L236" s="42" t="inlineStr">
        <is>
          <t>KALINA</t>
        </is>
      </c>
      <c r="M236" s="29" t="n">
        <v>14.46019148298592</v>
      </c>
      <c r="N236" s="35" t="n">
        <v>73.36362954249785</v>
      </c>
      <c r="O236" s="36" t="n">
        <v>2606.25</v>
      </c>
      <c r="P236" s="29" t="n">
        <v>7.619047619047619</v>
      </c>
      <c r="Q236" s="16" t="inlineStr">
        <is>
          <t>no</t>
        </is>
      </c>
      <c r="R236" s="16" t="n"/>
    </row>
    <row r="237">
      <c r="A237" s="16" t="inlineStr">
        <is>
          <t>KF-M07-A2-0103</t>
        </is>
      </c>
      <c r="B237" s="35" t="n">
        <v>420</v>
      </c>
      <c r="C237" s="35" t="n">
        <v>278.15</v>
      </c>
      <c r="D237" s="36" t="n">
        <v>3000</v>
      </c>
      <c r="E237" s="35" t="n">
        <v>393.75</v>
      </c>
      <c r="F237" s="37" t="n">
        <v>0.5</v>
      </c>
      <c r="G237" s="37" t="n">
        <v>0.95</v>
      </c>
      <c r="H237" s="37" t="n">
        <v>0.75</v>
      </c>
      <c r="I237" s="37" t="n">
        <v>0.85</v>
      </c>
      <c r="J237" s="37" t="n">
        <v>0.915</v>
      </c>
      <c r="K237" s="37" t="n">
        <v>0.855</v>
      </c>
      <c r="L237" s="42" t="inlineStr">
        <is>
          <t>KALINA</t>
        </is>
      </c>
      <c r="M237" s="29" t="n">
        <v>14.73717504685678</v>
      </c>
      <c r="N237" s="35" t="n">
        <v>73.63608829645634</v>
      </c>
      <c r="O237" s="36" t="n">
        <v>2606.25</v>
      </c>
      <c r="P237" s="29" t="n">
        <v>7.619047619047619</v>
      </c>
      <c r="Q237" s="16" t="inlineStr">
        <is>
          <t>no</t>
        </is>
      </c>
      <c r="R237" s="16" t="n"/>
    </row>
    <row r="238">
      <c r="A238" s="16" t="inlineStr">
        <is>
          <t>KF-M07-A2-0104</t>
        </is>
      </c>
      <c r="B238" s="35" t="n">
        <v>420</v>
      </c>
      <c r="C238" s="35" t="n">
        <v>278.15</v>
      </c>
      <c r="D238" s="36" t="n">
        <v>3000</v>
      </c>
      <c r="E238" s="35" t="n">
        <v>393.75</v>
      </c>
      <c r="F238" s="37" t="n">
        <v>0.5</v>
      </c>
      <c r="G238" s="37" t="n">
        <v>0.95</v>
      </c>
      <c r="H238" s="37" t="n">
        <v>0.75</v>
      </c>
      <c r="I238" s="37" t="n">
        <v>0.85</v>
      </c>
      <c r="J238" s="37" t="n">
        <v>0.915</v>
      </c>
      <c r="K238" s="37" t="n">
        <v>0.7450000000000001</v>
      </c>
      <c r="L238" s="39" t="inlineStr">
        <is>
          <t>Corregible</t>
        </is>
      </c>
      <c r="M238" s="29" t="n">
        <v>15.41518263849304</v>
      </c>
      <c r="N238" s="35" t="n">
        <v>74.00959370633322</v>
      </c>
      <c r="O238" s="36" t="n">
        <v>2606.25</v>
      </c>
      <c r="P238" s="29" t="n">
        <v>7.619047619047619</v>
      </c>
      <c r="Q238" s="16" t="inlineStr">
        <is>
          <t>no</t>
        </is>
      </c>
      <c r="R238" s="16" t="inlineStr">
        <is>
          <t>O2</t>
        </is>
      </c>
    </row>
    <row r="239"/>
    <row r="240">
      <c r="A240" s="33" t="inlineStr">
        <is>
          <t>Parte 5.1c · conserva sus temperaturas · 112 puntos</t>
        </is>
      </c>
      <c r="B240" s="31" t="n"/>
      <c r="C240" s="31" t="n"/>
      <c r="D240" s="31" t="n"/>
      <c r="E240" s="31" t="n"/>
      <c r="F240" s="31" t="n"/>
      <c r="G240" s="31" t="n"/>
      <c r="H240" s="31" t="n"/>
      <c r="I240" s="31" t="n"/>
      <c r="J240" s="31" t="n"/>
      <c r="K240" s="31" t="n"/>
    </row>
    <row r="241"/>
    <row r="242">
      <c r="A242" s="34" t="inlineStr">
        <is>
          <t>Barrido de la parte 5.1c · 112 puntos</t>
        </is>
      </c>
    </row>
    <row r="243">
      <c r="A243" s="25" t="inlineStr">
        <is>
          <t>Fijos en este barrido: T_fuente = 623.15, T_sumidero = 300.03.</t>
        </is>
      </c>
    </row>
    <row r="244">
      <c r="A244" s="22" t="inlineStr">
        <is>
          <t>id_punto</t>
        </is>
      </c>
      <c r="B244" s="22" t="inlineStr">
        <is>
          <t>P_alta [kPa]</t>
        </is>
      </c>
      <c r="C244" s="22" t="inlineStr">
        <is>
          <t>P_baja [kPa]</t>
        </is>
      </c>
      <c r="D244" s="22" t="inlineStr">
        <is>
          <t>x_b [–]</t>
        </is>
      </c>
      <c r="E244" s="22" t="inlineStr">
        <is>
          <t>η_t [–]</t>
        </is>
      </c>
      <c r="F244" s="22" t="inlineStr">
        <is>
          <t>η_p [–]</t>
        </is>
      </c>
      <c r="G244" s="22" t="inlineStr">
        <is>
          <t>ε_HRVG [–]</t>
        </is>
      </c>
      <c r="H244" s="22" t="inlineStr">
        <is>
          <t>ε_reg [–]</t>
        </is>
      </c>
      <c r="I244" s="22" t="inlineStr">
        <is>
          <t>ε_cond [–]</t>
        </is>
      </c>
      <c r="J244" s="22" t="inlineStr">
        <is>
          <t>Clase</t>
        </is>
      </c>
      <c r="K244" s="22" t="inlineStr">
        <is>
          <t>η [%]</t>
        </is>
      </c>
      <c r="L244" s="22" t="inlineStr">
        <is>
          <t>W_net [kW] (m_b = 1 kg/s)</t>
        </is>
      </c>
      <c r="M244" s="22" t="inlineStr">
        <is>
          <t>ΔP [kPa]</t>
        </is>
      </c>
      <c r="N244" s="22" t="inlineStr">
        <is>
          <t>r_P [–]</t>
        </is>
      </c>
      <c r="O244" s="22" t="inlineStr">
        <is>
          <t>Fuera de rango</t>
        </is>
      </c>
      <c r="P244" s="22" t="inlineStr">
        <is>
          <t>Criterios que falla</t>
        </is>
      </c>
    </row>
    <row r="245">
      <c r="A245" s="16" t="inlineStr">
        <is>
          <t>KF-M07-A3-0000</t>
        </is>
      </c>
      <c r="B245" s="36" t="n">
        <v>3905.950043184831</v>
      </c>
      <c r="C245" s="35" t="n">
        <v>1359.556702008076</v>
      </c>
      <c r="D245" s="37" t="n">
        <v>0.8294780327808849</v>
      </c>
      <c r="E245" s="37" t="n">
        <v>0.8360559074586479</v>
      </c>
      <c r="F245" s="37" t="n">
        <v>0.8375342727183488</v>
      </c>
      <c r="G245" s="37" t="n">
        <v>0.4963658855761367</v>
      </c>
      <c r="H245" s="37" t="n">
        <v>0.9166775946077288</v>
      </c>
      <c r="I245" s="37" t="n">
        <v>0.9457881775355844</v>
      </c>
      <c r="J245" s="42" t="inlineStr">
        <is>
          <t>KALINA</t>
        </is>
      </c>
      <c r="K245" s="29" t="n">
        <v>9.28909448226735</v>
      </c>
      <c r="L245" s="35" t="n">
        <v>96.71083465503172</v>
      </c>
      <c r="M245" s="36" t="n">
        <v>2546.393341176755</v>
      </c>
      <c r="N245" s="29" t="n">
        <v>2.872958544072278</v>
      </c>
      <c r="O245" s="16" t="inlineStr">
        <is>
          <t>no</t>
        </is>
      </c>
      <c r="P245" s="16" t="n"/>
    </row>
    <row r="246">
      <c r="A246" s="16" t="inlineStr">
        <is>
          <t>KF-M07-A3-0001</t>
        </is>
      </c>
      <c r="B246" s="36" t="n">
        <v>4205.950043184831</v>
      </c>
      <c r="C246" s="35" t="n">
        <v>1359.556702008076</v>
      </c>
      <c r="D246" s="37" t="n">
        <v>0.8294780327808849</v>
      </c>
      <c r="E246" s="37" t="n">
        <v>0.8360559074586479</v>
      </c>
      <c r="F246" s="37" t="n">
        <v>0.8375342727183488</v>
      </c>
      <c r="G246" s="37" t="n">
        <v>0.4963658855761367</v>
      </c>
      <c r="H246" s="37" t="n">
        <v>0.9166775946077288</v>
      </c>
      <c r="I246" s="37" t="n">
        <v>0.9457881775355844</v>
      </c>
      <c r="J246" s="42" t="inlineStr">
        <is>
          <t>KALINA</t>
        </is>
      </c>
      <c r="K246" s="29" t="n">
        <v>9.85588262454424</v>
      </c>
      <c r="L246" s="35" t="n">
        <v>102.1957086760585</v>
      </c>
      <c r="M246" s="36" t="n">
        <v>2846.393341176755</v>
      </c>
      <c r="N246" s="29" t="n">
        <v>3.093618704517883</v>
      </c>
      <c r="O246" s="16" t="inlineStr">
        <is>
          <t>no</t>
        </is>
      </c>
      <c r="P246" s="16" t="n"/>
    </row>
    <row r="247">
      <c r="A247" s="16" t="inlineStr">
        <is>
          <t>KF-M07-A3-0002</t>
        </is>
      </c>
      <c r="B247" s="36" t="n">
        <v>3605.950043184831</v>
      </c>
      <c r="C247" s="35" t="n">
        <v>1359.556702008076</v>
      </c>
      <c r="D247" s="37" t="n">
        <v>0.8294780327808849</v>
      </c>
      <c r="E247" s="37" t="n">
        <v>0.8360559074586479</v>
      </c>
      <c r="F247" s="37" t="n">
        <v>0.8375342727183488</v>
      </c>
      <c r="G247" s="37" t="n">
        <v>0.4963658855761367</v>
      </c>
      <c r="H247" s="37" t="n">
        <v>0.9166775946077288</v>
      </c>
      <c r="I247" s="37" t="n">
        <v>0.9457881775355844</v>
      </c>
      <c r="J247" s="42" t="inlineStr">
        <is>
          <t>KALINA</t>
        </is>
      </c>
      <c r="K247" s="29" t="n">
        <v>8.66201721741896</v>
      </c>
      <c r="L247" s="35" t="n">
        <v>90.55205192047404</v>
      </c>
      <c r="M247" s="36" t="n">
        <v>2246.393341176755</v>
      </c>
      <c r="N247" s="29" t="n">
        <v>2.652298383626673</v>
      </c>
      <c r="O247" s="16" t="inlineStr">
        <is>
          <t>no</t>
        </is>
      </c>
      <c r="P247" s="16" t="n"/>
    </row>
    <row r="248">
      <c r="A248" s="16" t="inlineStr">
        <is>
          <t>KF-M07-A3-0003</t>
        </is>
      </c>
      <c r="B248" s="36" t="n">
        <v>3905.950043184831</v>
      </c>
      <c r="C248" s="35" t="n">
        <v>1579.556702008076</v>
      </c>
      <c r="D248" s="37" t="n">
        <v>0.8294780327808849</v>
      </c>
      <c r="E248" s="37" t="n">
        <v>0.8360559074586479</v>
      </c>
      <c r="F248" s="37" t="n">
        <v>0.8375342727183488</v>
      </c>
      <c r="G248" s="37" t="n">
        <v>0.4963658855761367</v>
      </c>
      <c r="H248" s="37" t="n">
        <v>0.9166775946077288</v>
      </c>
      <c r="I248" s="37" t="n">
        <v>0.9457881775355844</v>
      </c>
      <c r="J248" s="42" t="inlineStr">
        <is>
          <t>KALINA</t>
        </is>
      </c>
      <c r="K248" s="29" t="n">
        <v>8.01478224880967</v>
      </c>
      <c r="L248" s="35" t="n">
        <v>83.42952311695001</v>
      </c>
      <c r="M248" s="36" t="n">
        <v>2326.393341176755</v>
      </c>
      <c r="N248" s="29" t="n">
        <v>2.472814073859603</v>
      </c>
      <c r="O248" s="16" t="inlineStr">
        <is>
          <t>no</t>
        </is>
      </c>
      <c r="P248" s="16" t="n"/>
    </row>
    <row r="249">
      <c r="A249" s="16" t="inlineStr">
        <is>
          <t>KF-M07-A3-0004</t>
        </is>
      </c>
      <c r="B249" s="36" t="n">
        <v>3905.950043184831</v>
      </c>
      <c r="C249" s="35" t="n">
        <v>1139.556702008077</v>
      </c>
      <c r="D249" s="37" t="n">
        <v>0.8294780327808849</v>
      </c>
      <c r="E249" s="37" t="n">
        <v>0.8360559074586479</v>
      </c>
      <c r="F249" s="37" t="n">
        <v>0.8375342727183488</v>
      </c>
      <c r="G249" s="37" t="n">
        <v>0.4963658855761367</v>
      </c>
      <c r="H249" s="37" t="n">
        <v>0.9166775946077288</v>
      </c>
      <c r="I249" s="37" t="n">
        <v>0.9457881775355844</v>
      </c>
      <c r="J249" s="39" t="inlineStr">
        <is>
          <t>Corregible</t>
        </is>
      </c>
      <c r="K249" s="29" t="n">
        <v>10.75978855769891</v>
      </c>
      <c r="L249" s="35" t="n">
        <v>112.0444980055587</v>
      </c>
      <c r="M249" s="36" t="n">
        <v>2766.393341176754</v>
      </c>
      <c r="N249" s="29" t="n">
        <v>3.427604818875566</v>
      </c>
      <c r="O249" s="16" t="inlineStr">
        <is>
          <t>no</t>
        </is>
      </c>
      <c r="P249" s="16" t="inlineStr">
        <is>
          <t>O2</t>
        </is>
      </c>
    </row>
    <row r="250">
      <c r="A250" s="16" t="inlineStr">
        <is>
          <t>KF-M07-A3-0005</t>
        </is>
      </c>
      <c r="B250" s="36" t="n">
        <v>3905.950043184831</v>
      </c>
      <c r="C250" s="35" t="n">
        <v>1359.556702008076</v>
      </c>
      <c r="D250" s="37" t="n">
        <v>0.85</v>
      </c>
      <c r="E250" s="37" t="n">
        <v>0.8360559074586479</v>
      </c>
      <c r="F250" s="37" t="n">
        <v>0.8375342727183488</v>
      </c>
      <c r="G250" s="37" t="n">
        <v>0.4963658855761367</v>
      </c>
      <c r="H250" s="37" t="n">
        <v>0.9166775946077288</v>
      </c>
      <c r="I250" s="37" t="n">
        <v>0.9457881775355844</v>
      </c>
      <c r="J250" s="42" t="inlineStr">
        <is>
          <t>KALINA</t>
        </is>
      </c>
      <c r="K250" s="29" t="n">
        <v>9.35320884349996</v>
      </c>
      <c r="L250" s="35" t="n">
        <v>96.33472428672439</v>
      </c>
      <c r="M250" s="36" t="n">
        <v>2546.393341176755</v>
      </c>
      <c r="N250" s="29" t="n">
        <v>2.872958544072278</v>
      </c>
      <c r="O250" s="16" t="inlineStr">
        <is>
          <t>no</t>
        </is>
      </c>
      <c r="P250" s="16" t="n"/>
    </row>
    <row r="251">
      <c r="A251" s="16" t="inlineStr">
        <is>
          <t>KF-M07-A3-0006</t>
        </is>
      </c>
      <c r="B251" s="36" t="n">
        <v>3905.950043184831</v>
      </c>
      <c r="C251" s="35" t="n">
        <v>1359.556702008076</v>
      </c>
      <c r="D251" s="37" t="n">
        <v>0.7944780327808849</v>
      </c>
      <c r="E251" s="37" t="n">
        <v>0.8360559074586479</v>
      </c>
      <c r="F251" s="37" t="n">
        <v>0.8375342727183488</v>
      </c>
      <c r="G251" s="37" t="n">
        <v>0.4963658855761367</v>
      </c>
      <c r="H251" s="37" t="n">
        <v>0.9166775946077288</v>
      </c>
      <c r="I251" s="37" t="n">
        <v>0.9457881775355844</v>
      </c>
      <c r="J251" s="42" t="inlineStr">
        <is>
          <t>KALINA</t>
        </is>
      </c>
      <c r="K251" s="29" t="n">
        <v>9.12921030428179</v>
      </c>
      <c r="L251" s="35" t="n">
        <v>96.74247973939632</v>
      </c>
      <c r="M251" s="36" t="n">
        <v>2546.393341176755</v>
      </c>
      <c r="N251" s="29" t="n">
        <v>2.872958544072278</v>
      </c>
      <c r="O251" s="16" t="inlineStr">
        <is>
          <t>no</t>
        </is>
      </c>
      <c r="P251" s="16" t="n"/>
    </row>
    <row r="252">
      <c r="A252" s="16" t="inlineStr">
        <is>
          <t>KF-M07-A3-0007</t>
        </is>
      </c>
      <c r="B252" s="36" t="n">
        <v>3905.950043184831</v>
      </c>
      <c r="C252" s="35" t="n">
        <v>1359.556702008076</v>
      </c>
      <c r="D252" s="37" t="n">
        <v>0.8294780327808849</v>
      </c>
      <c r="E252" s="37" t="n">
        <v>0.8910559074586479</v>
      </c>
      <c r="F252" s="37" t="n">
        <v>0.8375342727183488</v>
      </c>
      <c r="G252" s="37" t="n">
        <v>0.4963658855761367</v>
      </c>
      <c r="H252" s="37" t="n">
        <v>0.9166775946077288</v>
      </c>
      <c r="I252" s="37" t="n">
        <v>0.9457881775355844</v>
      </c>
      <c r="J252" s="42" t="inlineStr">
        <is>
          <t>KALINA</t>
        </is>
      </c>
      <c r="K252" s="29" t="n">
        <v>9.92642054614293</v>
      </c>
      <c r="L252" s="35" t="n">
        <v>103.3595012593186</v>
      </c>
      <c r="M252" s="36" t="n">
        <v>2546.393341176755</v>
      </c>
      <c r="N252" s="29" t="n">
        <v>2.872958544072278</v>
      </c>
      <c r="O252" s="16" t="inlineStr">
        <is>
          <t>no</t>
        </is>
      </c>
      <c r="P252" s="16" t="n"/>
    </row>
    <row r="253">
      <c r="A253" s="16" t="inlineStr">
        <is>
          <t>KF-M07-A3-0008</t>
        </is>
      </c>
      <c r="B253" s="36" t="n">
        <v>3905.950043184831</v>
      </c>
      <c r="C253" s="35" t="n">
        <v>1359.556702008076</v>
      </c>
      <c r="D253" s="37" t="n">
        <v>0.8294780327808849</v>
      </c>
      <c r="E253" s="37" t="n">
        <v>0.7810559074586479</v>
      </c>
      <c r="F253" s="37" t="n">
        <v>0.8375342727183488</v>
      </c>
      <c r="G253" s="37" t="n">
        <v>0.4963658855761367</v>
      </c>
      <c r="H253" s="37" t="n">
        <v>0.9166775946077288</v>
      </c>
      <c r="I253" s="37" t="n">
        <v>0.9457881775355844</v>
      </c>
      <c r="J253" s="42" t="inlineStr">
        <is>
          <t>KALINA</t>
        </is>
      </c>
      <c r="K253" s="29" t="n">
        <v>8.65142431034147</v>
      </c>
      <c r="L253" s="35" t="n">
        <v>90.06029158746941</v>
      </c>
      <c r="M253" s="36" t="n">
        <v>2546.393341176755</v>
      </c>
      <c r="N253" s="29" t="n">
        <v>2.872958544072278</v>
      </c>
      <c r="O253" s="16" t="inlineStr">
        <is>
          <t>no</t>
        </is>
      </c>
      <c r="P253" s="16" t="n"/>
    </row>
    <row r="254">
      <c r="A254" s="16" t="inlineStr">
        <is>
          <t>KF-M07-A3-0009</t>
        </is>
      </c>
      <c r="B254" s="36" t="n">
        <v>3905.950043184831</v>
      </c>
      <c r="C254" s="35" t="n">
        <v>1359.556702008076</v>
      </c>
      <c r="D254" s="37" t="n">
        <v>0.8294780327808849</v>
      </c>
      <c r="E254" s="37" t="n">
        <v>0.8360559074586479</v>
      </c>
      <c r="F254" s="37" t="n">
        <v>0.8925342727183487</v>
      </c>
      <c r="G254" s="37" t="n">
        <v>0.4963658855761367</v>
      </c>
      <c r="H254" s="37" t="n">
        <v>0.9166775946077288</v>
      </c>
      <c r="I254" s="37" t="n">
        <v>0.9457881775355844</v>
      </c>
      <c r="J254" s="42" t="inlineStr">
        <is>
          <t>KALINA</t>
        </is>
      </c>
      <c r="K254" s="29" t="n">
        <v>9.31417650233403</v>
      </c>
      <c r="L254" s="35" t="n">
        <v>96.98171110115391</v>
      </c>
      <c r="M254" s="36" t="n">
        <v>2546.393341176755</v>
      </c>
      <c r="N254" s="29" t="n">
        <v>2.872958544072278</v>
      </c>
      <c r="O254" s="16" t="inlineStr">
        <is>
          <t>no</t>
        </is>
      </c>
      <c r="P254" s="16" t="n"/>
    </row>
    <row r="255">
      <c r="A255" s="16" t="inlineStr">
        <is>
          <t>KF-M07-A3-0010</t>
        </is>
      </c>
      <c r="B255" s="36" t="n">
        <v>3905.950043184831</v>
      </c>
      <c r="C255" s="35" t="n">
        <v>1359.556702008076</v>
      </c>
      <c r="D255" s="37" t="n">
        <v>0.8294780327808849</v>
      </c>
      <c r="E255" s="37" t="n">
        <v>0.8360559074586479</v>
      </c>
      <c r="F255" s="37" t="n">
        <v>0.7825342727183489</v>
      </c>
      <c r="G255" s="37" t="n">
        <v>0.4963658855761367</v>
      </c>
      <c r="H255" s="37" t="n">
        <v>0.9166775946077288</v>
      </c>
      <c r="I255" s="37" t="n">
        <v>0.9457881775355844</v>
      </c>
      <c r="J255" s="42" t="inlineStr">
        <is>
          <t>KALINA</t>
        </is>
      </c>
      <c r="K255" s="29" t="n">
        <v>9.26048055843258</v>
      </c>
      <c r="L255" s="35" t="n">
        <v>96.40187986788372</v>
      </c>
      <c r="M255" s="36" t="n">
        <v>2546.393341176755</v>
      </c>
      <c r="N255" s="29" t="n">
        <v>2.872958544072278</v>
      </c>
      <c r="O255" s="16" t="inlineStr">
        <is>
          <t>no</t>
        </is>
      </c>
      <c r="P255" s="16" t="n"/>
    </row>
    <row r="256">
      <c r="A256" s="16" t="inlineStr">
        <is>
          <t>KF-M07-A3-0011</t>
        </is>
      </c>
      <c r="B256" s="36" t="n">
        <v>3905.950043184831</v>
      </c>
      <c r="C256" s="35" t="n">
        <v>1359.556702008076</v>
      </c>
      <c r="D256" s="37" t="n">
        <v>0.8294780327808849</v>
      </c>
      <c r="E256" s="37" t="n">
        <v>0.8360559074586479</v>
      </c>
      <c r="F256" s="37" t="n">
        <v>0.8375342727183488</v>
      </c>
      <c r="G256" s="37" t="n">
        <v>0.5513658855761367</v>
      </c>
      <c r="H256" s="37" t="n">
        <v>0.9166775946077288</v>
      </c>
      <c r="I256" s="37" t="n">
        <v>0.9457881775355844</v>
      </c>
      <c r="J256" s="32" t="inlineStr">
        <is>
          <t>No convergió</t>
        </is>
      </c>
      <c r="K256" s="29" t="inlineStr">
        <is>
          <t>—</t>
        </is>
      </c>
      <c r="L256" s="35" t="inlineStr">
        <is>
          <t>—</t>
        </is>
      </c>
      <c r="M256" s="36" t="n">
        <v>2546.393341176755</v>
      </c>
      <c r="N256" s="29" t="n">
        <v>2.872958544072278</v>
      </c>
      <c r="O256" s="16" t="inlineStr">
        <is>
          <t>no</t>
        </is>
      </c>
      <c r="P256" s="16" t="n"/>
    </row>
    <row r="257">
      <c r="A257" s="16" t="inlineStr">
        <is>
          <t>KF-M07-A3-0012</t>
        </is>
      </c>
      <c r="B257" s="36" t="n">
        <v>3905.950043184831</v>
      </c>
      <c r="C257" s="35" t="n">
        <v>1359.556702008076</v>
      </c>
      <c r="D257" s="37" t="n">
        <v>0.8294780327808849</v>
      </c>
      <c r="E257" s="37" t="n">
        <v>0.8360559074586479</v>
      </c>
      <c r="F257" s="37" t="n">
        <v>0.8375342727183488</v>
      </c>
      <c r="G257" s="37" t="n">
        <v>0.4413658855761367</v>
      </c>
      <c r="H257" s="37" t="n">
        <v>0.9166775946077288</v>
      </c>
      <c r="I257" s="37" t="n">
        <v>0.9457881775355844</v>
      </c>
      <c r="J257" s="42" t="inlineStr">
        <is>
          <t>KALINA</t>
        </is>
      </c>
      <c r="K257" s="29" t="n">
        <v>9.183640308803071</v>
      </c>
      <c r="L257" s="35" t="n">
        <v>84.75672654259922</v>
      </c>
      <c r="M257" s="36" t="n">
        <v>2546.393341176755</v>
      </c>
      <c r="N257" s="29" t="n">
        <v>2.872958544072278</v>
      </c>
      <c r="O257" s="16" t="inlineStr">
        <is>
          <t>no</t>
        </is>
      </c>
      <c r="P257" s="16" t="n"/>
    </row>
    <row r="258">
      <c r="A258" s="16" t="inlineStr">
        <is>
          <t>KF-M07-A3-0013</t>
        </is>
      </c>
      <c r="B258" s="36" t="n">
        <v>3905.950043184831</v>
      </c>
      <c r="C258" s="35" t="n">
        <v>1359.556702008076</v>
      </c>
      <c r="D258" s="37" t="n">
        <v>0.8294780327808849</v>
      </c>
      <c r="E258" s="37" t="n">
        <v>0.8360559074586479</v>
      </c>
      <c r="F258" s="37" t="n">
        <v>0.8375342727183488</v>
      </c>
      <c r="G258" s="37" t="n">
        <v>0.4963658855761367</v>
      </c>
      <c r="H258" s="37" t="n">
        <v>0.95</v>
      </c>
      <c r="I258" s="37" t="n">
        <v>0.9457881775355844</v>
      </c>
      <c r="J258" s="42" t="inlineStr">
        <is>
          <t>KALINA</t>
        </is>
      </c>
      <c r="K258" s="29" t="n">
        <v>9.32427775836857</v>
      </c>
      <c r="L258" s="35" t="n">
        <v>96.90623415377974</v>
      </c>
      <c r="M258" s="36" t="n">
        <v>2546.393341176755</v>
      </c>
      <c r="N258" s="29" t="n">
        <v>2.872958544072278</v>
      </c>
      <c r="O258" s="16" t="inlineStr">
        <is>
          <t>no</t>
        </is>
      </c>
      <c r="P258" s="16" t="n"/>
    </row>
    <row r="259">
      <c r="A259" s="16" t="inlineStr">
        <is>
          <t>KF-M07-A3-0014</t>
        </is>
      </c>
      <c r="B259" s="36" t="n">
        <v>3905.950043184831</v>
      </c>
      <c r="C259" s="35" t="n">
        <v>1359.556702008076</v>
      </c>
      <c r="D259" s="37" t="n">
        <v>0.8294780327808849</v>
      </c>
      <c r="E259" s="37" t="n">
        <v>0.8360559074586479</v>
      </c>
      <c r="F259" s="37" t="n">
        <v>0.8375342727183488</v>
      </c>
      <c r="G259" s="37" t="n">
        <v>0.4963658855761367</v>
      </c>
      <c r="H259" s="37" t="n">
        <v>0.8616775946077286</v>
      </c>
      <c r="I259" s="37" t="n">
        <v>0.9457881775355844</v>
      </c>
      <c r="J259" s="42" t="inlineStr">
        <is>
          <t>KALINA</t>
        </is>
      </c>
      <c r="K259" s="29" t="n">
        <v>9.23099447823463</v>
      </c>
      <c r="L259" s="35" t="n">
        <v>96.3865115173635</v>
      </c>
      <c r="M259" s="36" t="n">
        <v>2546.393341176755</v>
      </c>
      <c r="N259" s="29" t="n">
        <v>2.872958544072278</v>
      </c>
      <c r="O259" s="16" t="inlineStr">
        <is>
          <t>no</t>
        </is>
      </c>
      <c r="P259" s="16" t="n"/>
    </row>
    <row r="260">
      <c r="A260" s="16" t="inlineStr">
        <is>
          <t>KF-M07-A3-0015</t>
        </is>
      </c>
      <c r="B260" s="36" t="n">
        <v>3905.950043184831</v>
      </c>
      <c r="C260" s="35" t="n">
        <v>1359.556702008076</v>
      </c>
      <c r="D260" s="37" t="n">
        <v>0.8294780327808849</v>
      </c>
      <c r="E260" s="37" t="n">
        <v>0.8360559074586479</v>
      </c>
      <c r="F260" s="37" t="n">
        <v>0.8375342727183488</v>
      </c>
      <c r="G260" s="37" t="n">
        <v>0.4963658855761367</v>
      </c>
      <c r="H260" s="37" t="n">
        <v>0.9166775946077288</v>
      </c>
      <c r="I260" s="37" t="n">
        <v>0.95</v>
      </c>
      <c r="J260" s="42" t="inlineStr">
        <is>
          <t>KALINA</t>
        </is>
      </c>
      <c r="K260" s="29" t="n">
        <v>9.260107495951807</v>
      </c>
      <c r="L260" s="35" t="n">
        <v>96.55326836346488</v>
      </c>
      <c r="M260" s="36" t="n">
        <v>2546.393341176755</v>
      </c>
      <c r="N260" s="29" t="n">
        <v>2.872958544072278</v>
      </c>
      <c r="O260" s="16" t="inlineStr">
        <is>
          <t>no</t>
        </is>
      </c>
      <c r="P260" s="16" t="n"/>
    </row>
    <row r="261">
      <c r="A261" s="16" t="inlineStr">
        <is>
          <t>KF-M07-A3-0016</t>
        </is>
      </c>
      <c r="B261" s="36" t="n">
        <v>3905.950043184831</v>
      </c>
      <c r="C261" s="35" t="n">
        <v>1359.556702008076</v>
      </c>
      <c r="D261" s="37" t="n">
        <v>0.8294780327808849</v>
      </c>
      <c r="E261" s="37" t="n">
        <v>0.8360559074586479</v>
      </c>
      <c r="F261" s="37" t="n">
        <v>0.8375342727183488</v>
      </c>
      <c r="G261" s="37" t="n">
        <v>0.4963658855761367</v>
      </c>
      <c r="H261" s="37" t="n">
        <v>0.9166775946077288</v>
      </c>
      <c r="I261" s="37" t="n">
        <v>0.8907881775355844</v>
      </c>
      <c r="J261" s="39" t="inlineStr">
        <is>
          <t>Corregible</t>
        </is>
      </c>
      <c r="K261" s="29" t="n">
        <v>9.643670253463821</v>
      </c>
      <c r="L261" s="35" t="n">
        <v>98.3175869744334</v>
      </c>
      <c r="M261" s="36" t="n">
        <v>2546.393341176755</v>
      </c>
      <c r="N261" s="29" t="n">
        <v>2.872958544072278</v>
      </c>
      <c r="O261" s="16" t="inlineStr">
        <is>
          <t>no</t>
        </is>
      </c>
      <c r="P261" s="16" t="inlineStr">
        <is>
          <t>O2</t>
        </is>
      </c>
    </row>
    <row r="262">
      <c r="A262" s="16" t="inlineStr">
        <is>
          <t>KF-M07-A3-0017</t>
        </is>
      </c>
      <c r="B262" s="36" t="n">
        <v>4205.950043184831</v>
      </c>
      <c r="C262" s="35" t="n">
        <v>1359.556702008076</v>
      </c>
      <c r="D262" s="37" t="n">
        <v>0.8294780327808849</v>
      </c>
      <c r="E262" s="37" t="n">
        <v>0.8910559074586479</v>
      </c>
      <c r="F262" s="37" t="n">
        <v>0.8375342727183488</v>
      </c>
      <c r="G262" s="37" t="n">
        <v>0.4963658855761367</v>
      </c>
      <c r="H262" s="37" t="n">
        <v>0.9166775946077288</v>
      </c>
      <c r="I262" s="37" t="n">
        <v>0.9457881775355844</v>
      </c>
      <c r="J262" s="42" t="inlineStr">
        <is>
          <t>KALINA</t>
        </is>
      </c>
      <c r="K262" s="29" t="n">
        <v>10.53368080142938</v>
      </c>
      <c r="L262" s="35" t="n">
        <v>109.2386395474132</v>
      </c>
      <c r="M262" s="36" t="n">
        <v>2846.393341176755</v>
      </c>
      <c r="N262" s="29" t="n">
        <v>3.093618704517883</v>
      </c>
      <c r="O262" s="16" t="inlineStr">
        <is>
          <t>no</t>
        </is>
      </c>
      <c r="P262" s="16" t="n"/>
    </row>
    <row r="263">
      <c r="A263" s="16" t="inlineStr">
        <is>
          <t>KF-M07-A3-0018</t>
        </is>
      </c>
      <c r="B263" s="36" t="n">
        <v>3605.950043184831</v>
      </c>
      <c r="C263" s="35" t="n">
        <v>1359.556702008076</v>
      </c>
      <c r="D263" s="37" t="n">
        <v>0.8294780327808849</v>
      </c>
      <c r="E263" s="37" t="n">
        <v>0.8910559074586479</v>
      </c>
      <c r="F263" s="37" t="n">
        <v>0.8375342727183488</v>
      </c>
      <c r="G263" s="37" t="n">
        <v>0.4963658855761367</v>
      </c>
      <c r="H263" s="37" t="n">
        <v>0.9166775946077288</v>
      </c>
      <c r="I263" s="37" t="n">
        <v>0.9457881775355844</v>
      </c>
      <c r="J263" s="42" t="inlineStr">
        <is>
          <t>KALINA</t>
        </is>
      </c>
      <c r="K263" s="29" t="n">
        <v>9.25494206235201</v>
      </c>
      <c r="L263" s="35" t="n">
        <v>96.76215463852589</v>
      </c>
      <c r="M263" s="36" t="n">
        <v>2246.393341176755</v>
      </c>
      <c r="N263" s="29" t="n">
        <v>2.652298383626673</v>
      </c>
      <c r="O263" s="16" t="inlineStr">
        <is>
          <t>no</t>
        </is>
      </c>
      <c r="P263" s="16" t="n"/>
    </row>
    <row r="264">
      <c r="A264" s="16" t="inlineStr">
        <is>
          <t>KF-M07-A3-0019</t>
        </is>
      </c>
      <c r="B264" s="36" t="n">
        <v>3905.950043184831</v>
      </c>
      <c r="C264" s="35" t="n">
        <v>1579.556702008076</v>
      </c>
      <c r="D264" s="37" t="n">
        <v>0.8294780327808849</v>
      </c>
      <c r="E264" s="37" t="n">
        <v>0.8910559074586479</v>
      </c>
      <c r="F264" s="37" t="n">
        <v>0.8375342727183488</v>
      </c>
      <c r="G264" s="37" t="n">
        <v>0.4963658855761367</v>
      </c>
      <c r="H264" s="37" t="n">
        <v>0.9166775946077288</v>
      </c>
      <c r="I264" s="37" t="n">
        <v>0.9457881775355844</v>
      </c>
      <c r="J264" s="42" t="inlineStr">
        <is>
          <t>KALINA</t>
        </is>
      </c>
      <c r="K264" s="29" t="n">
        <v>8.56647081136137</v>
      </c>
      <c r="L264" s="35" t="n">
        <v>89.18224965298936</v>
      </c>
      <c r="M264" s="36" t="n">
        <v>2326.393341176755</v>
      </c>
      <c r="N264" s="29" t="n">
        <v>2.472814073859603</v>
      </c>
      <c r="O264" s="16" t="inlineStr">
        <is>
          <t>no</t>
        </is>
      </c>
      <c r="P264" s="16" t="n"/>
    </row>
    <row r="265">
      <c r="A265" s="16" t="inlineStr">
        <is>
          <t>KF-M07-A3-0020</t>
        </is>
      </c>
      <c r="B265" s="36" t="n">
        <v>3905.950043184831</v>
      </c>
      <c r="C265" s="35" t="n">
        <v>1139.556702008077</v>
      </c>
      <c r="D265" s="37" t="n">
        <v>0.8294780327808849</v>
      </c>
      <c r="E265" s="37" t="n">
        <v>0.8910559074586479</v>
      </c>
      <c r="F265" s="37" t="n">
        <v>0.8375342727183488</v>
      </c>
      <c r="G265" s="37" t="n">
        <v>0.4963658855761367</v>
      </c>
      <c r="H265" s="37" t="n">
        <v>0.9166775946077288</v>
      </c>
      <c r="I265" s="37" t="n">
        <v>0.9457881775355844</v>
      </c>
      <c r="J265" s="39" t="inlineStr">
        <is>
          <t>Corregible</t>
        </is>
      </c>
      <c r="K265" s="29" t="n">
        <v>11.49597765905338</v>
      </c>
      <c r="L265" s="35" t="n">
        <v>119.728593440811</v>
      </c>
      <c r="M265" s="36" t="n">
        <v>2766.393341176754</v>
      </c>
      <c r="N265" s="29" t="n">
        <v>3.427604818875566</v>
      </c>
      <c r="O265" s="16" t="inlineStr">
        <is>
          <t>no</t>
        </is>
      </c>
      <c r="P265" s="16" t="inlineStr">
        <is>
          <t>O2</t>
        </is>
      </c>
    </row>
    <row r="266">
      <c r="A266" s="16" t="inlineStr">
        <is>
          <t>KF-M07-A3-0021</t>
        </is>
      </c>
      <c r="B266" s="36" t="n">
        <v>3905.950043184831</v>
      </c>
      <c r="C266" s="35" t="n">
        <v>1359.556702008076</v>
      </c>
      <c r="D266" s="37" t="n">
        <v>0.85</v>
      </c>
      <c r="E266" s="37" t="n">
        <v>0.8910559074586479</v>
      </c>
      <c r="F266" s="37" t="n">
        <v>0.8375342727183488</v>
      </c>
      <c r="G266" s="37" t="n">
        <v>0.4963658855761367</v>
      </c>
      <c r="H266" s="37" t="n">
        <v>0.9166775946077288</v>
      </c>
      <c r="I266" s="37" t="n">
        <v>0.9457881775355844</v>
      </c>
      <c r="J266" s="42" t="inlineStr">
        <is>
          <t>KALINA</t>
        </is>
      </c>
      <c r="K266" s="29" t="n">
        <v>9.995372048369219</v>
      </c>
      <c r="L266" s="35" t="n">
        <v>102.9623871481746</v>
      </c>
      <c r="M266" s="36" t="n">
        <v>2546.393341176755</v>
      </c>
      <c r="N266" s="29" t="n">
        <v>2.872958544072278</v>
      </c>
      <c r="O266" s="16" t="inlineStr">
        <is>
          <t>no</t>
        </is>
      </c>
      <c r="P266" s="16" t="n"/>
    </row>
    <row r="267">
      <c r="A267" s="16" t="inlineStr">
        <is>
          <t>KF-M07-A3-0022</t>
        </is>
      </c>
      <c r="B267" s="36" t="n">
        <v>3905.950043184831</v>
      </c>
      <c r="C267" s="35" t="n">
        <v>1359.556702008076</v>
      </c>
      <c r="D267" s="37" t="n">
        <v>0.7944780327808849</v>
      </c>
      <c r="E267" s="37" t="n">
        <v>0.8910559074586479</v>
      </c>
      <c r="F267" s="37" t="n">
        <v>0.8375342727183488</v>
      </c>
      <c r="G267" s="37" t="n">
        <v>0.4963658855761367</v>
      </c>
      <c r="H267" s="37" t="n">
        <v>0.9166775946077288</v>
      </c>
      <c r="I267" s="37" t="n">
        <v>0.9457881775355844</v>
      </c>
      <c r="J267" s="42" t="inlineStr">
        <is>
          <t>KALINA</t>
        </is>
      </c>
      <c r="K267" s="29" t="n">
        <v>9.75502436943535</v>
      </c>
      <c r="L267" s="35" t="n">
        <v>103.3869475850861</v>
      </c>
      <c r="M267" s="36" t="n">
        <v>2546.393341176755</v>
      </c>
      <c r="N267" s="29" t="n">
        <v>2.872958544072278</v>
      </c>
      <c r="O267" s="16" t="inlineStr">
        <is>
          <t>no</t>
        </is>
      </c>
      <c r="P267" s="16" t="n"/>
    </row>
    <row r="268">
      <c r="A268" s="16" t="inlineStr">
        <is>
          <t>KF-M07-A3-0023</t>
        </is>
      </c>
      <c r="B268" s="36" t="n">
        <v>3905.950043184831</v>
      </c>
      <c r="C268" s="35" t="n">
        <v>1359.556702008076</v>
      </c>
      <c r="D268" s="37" t="n">
        <v>0.8294780327808849</v>
      </c>
      <c r="E268" s="37" t="n">
        <v>0.946055907458648</v>
      </c>
      <c r="F268" s="37" t="n">
        <v>0.8375342727183488</v>
      </c>
      <c r="G268" s="37" t="n">
        <v>0.4963658855761367</v>
      </c>
      <c r="H268" s="37" t="n">
        <v>0.9166775946077288</v>
      </c>
      <c r="I268" s="37" t="n">
        <v>0.9457881775355844</v>
      </c>
      <c r="J268" s="42" t="inlineStr">
        <is>
          <t>KALINA</t>
        </is>
      </c>
      <c r="K268" s="29" t="n">
        <v>10.56340290371979</v>
      </c>
      <c r="L268" s="35" t="n">
        <v>110.0062930715762</v>
      </c>
      <c r="M268" s="36" t="n">
        <v>2546.393341176755</v>
      </c>
      <c r="N268" s="29" t="n">
        <v>2.872958544072278</v>
      </c>
      <c r="O268" s="16" t="inlineStr">
        <is>
          <t>no</t>
        </is>
      </c>
      <c r="P268" s="16" t="n"/>
    </row>
    <row r="269">
      <c r="A269" s="16" t="inlineStr">
        <is>
          <t>KF-M07-A3-0024</t>
        </is>
      </c>
      <c r="B269" s="36" t="n">
        <v>3905.950043184831</v>
      </c>
      <c r="C269" s="35" t="n">
        <v>1359.556702008076</v>
      </c>
      <c r="D269" s="37" t="n">
        <v>0.8294780327808849</v>
      </c>
      <c r="E269" s="37" t="n">
        <v>0.8360559074586479</v>
      </c>
      <c r="F269" s="37" t="n">
        <v>0.8375342727183488</v>
      </c>
      <c r="G269" s="37" t="n">
        <v>0.4963658855761367</v>
      </c>
      <c r="H269" s="37" t="n">
        <v>0.9166775946077288</v>
      </c>
      <c r="I269" s="37" t="n">
        <v>0.9457881775355844</v>
      </c>
      <c r="J269" s="42" t="inlineStr">
        <is>
          <t>KALINA</t>
        </is>
      </c>
      <c r="K269" s="29" t="n">
        <v>9.28909448226735</v>
      </c>
      <c r="L269" s="35" t="n">
        <v>96.71083465503172</v>
      </c>
      <c r="M269" s="36" t="n">
        <v>2546.393341176755</v>
      </c>
      <c r="N269" s="29" t="n">
        <v>2.872958544072278</v>
      </c>
      <c r="O269" s="16" t="inlineStr">
        <is>
          <t>no</t>
        </is>
      </c>
      <c r="P269" s="16" t="n"/>
    </row>
    <row r="270">
      <c r="A270" s="16" t="inlineStr">
        <is>
          <t>KF-M07-A3-0025</t>
        </is>
      </c>
      <c r="B270" s="36" t="n">
        <v>3905.950043184831</v>
      </c>
      <c r="C270" s="35" t="n">
        <v>1359.556702008076</v>
      </c>
      <c r="D270" s="37" t="n">
        <v>0.8294780327808849</v>
      </c>
      <c r="E270" s="37" t="n">
        <v>0.8910559074586479</v>
      </c>
      <c r="F270" s="37" t="n">
        <v>0.8925342727183487</v>
      </c>
      <c r="G270" s="37" t="n">
        <v>0.4963658855761367</v>
      </c>
      <c r="H270" s="37" t="n">
        <v>0.9166775946077288</v>
      </c>
      <c r="I270" s="37" t="n">
        <v>0.9457881775355844</v>
      </c>
      <c r="J270" s="42" t="inlineStr">
        <is>
          <t>KALINA</t>
        </is>
      </c>
      <c r="K270" s="29" t="n">
        <v>9.95136156508736</v>
      </c>
      <c r="L270" s="35" t="n">
        <v>103.6296048789396</v>
      </c>
      <c r="M270" s="36" t="n">
        <v>2546.393341176755</v>
      </c>
      <c r="N270" s="29" t="n">
        <v>2.872958544072278</v>
      </c>
      <c r="O270" s="16" t="inlineStr">
        <is>
          <t>no</t>
        </is>
      </c>
      <c r="P270" s="16" t="n"/>
    </row>
    <row r="271">
      <c r="A271" s="16" t="inlineStr">
        <is>
          <t>KF-M07-A3-0026</t>
        </is>
      </c>
      <c r="B271" s="36" t="n">
        <v>3905.950043184831</v>
      </c>
      <c r="C271" s="35" t="n">
        <v>1359.556702008076</v>
      </c>
      <c r="D271" s="37" t="n">
        <v>0.8294780327808849</v>
      </c>
      <c r="E271" s="37" t="n">
        <v>0.8910559074586479</v>
      </c>
      <c r="F271" s="37" t="n">
        <v>0.7825342727183489</v>
      </c>
      <c r="G271" s="37" t="n">
        <v>0.4963658855761367</v>
      </c>
      <c r="H271" s="37" t="n">
        <v>0.9166775946077288</v>
      </c>
      <c r="I271" s="37" t="n">
        <v>0.9457881775355844</v>
      </c>
      <c r="J271" s="42" t="inlineStr">
        <is>
          <t>KALINA</t>
        </is>
      </c>
      <c r="K271" s="29" t="n">
        <v>9.897967501692451</v>
      </c>
      <c r="L271" s="35" t="n">
        <v>103.0514280321245</v>
      </c>
      <c r="M271" s="36" t="n">
        <v>2546.393341176755</v>
      </c>
      <c r="N271" s="29" t="n">
        <v>2.872958544072278</v>
      </c>
      <c r="O271" s="16" t="inlineStr">
        <is>
          <t>no</t>
        </is>
      </c>
      <c r="P271" s="16" t="n"/>
    </row>
    <row r="272">
      <c r="A272" s="16" t="inlineStr">
        <is>
          <t>KF-M07-A3-0027</t>
        </is>
      </c>
      <c r="B272" s="36" t="n">
        <v>3905.950043184831</v>
      </c>
      <c r="C272" s="35" t="n">
        <v>1359.556702008076</v>
      </c>
      <c r="D272" s="37" t="n">
        <v>0.8294780327808849</v>
      </c>
      <c r="E272" s="37" t="n">
        <v>0.8910559074586479</v>
      </c>
      <c r="F272" s="37" t="n">
        <v>0.8375342727183488</v>
      </c>
      <c r="G272" s="37" t="n">
        <v>0.5513658855761367</v>
      </c>
      <c r="H272" s="37" t="n">
        <v>0.9166775946077288</v>
      </c>
      <c r="I272" s="37" t="n">
        <v>0.9457881775355844</v>
      </c>
      <c r="J272" s="32" t="inlineStr">
        <is>
          <t>No convergió</t>
        </is>
      </c>
      <c r="K272" s="29" t="inlineStr">
        <is>
          <t>—</t>
        </is>
      </c>
      <c r="L272" s="35" t="inlineStr">
        <is>
          <t>—</t>
        </is>
      </c>
      <c r="M272" s="36" t="n">
        <v>2546.393341176755</v>
      </c>
      <c r="N272" s="29" t="n">
        <v>2.872958544072278</v>
      </c>
      <c r="O272" s="16" t="inlineStr">
        <is>
          <t>no</t>
        </is>
      </c>
      <c r="P272" s="16" t="n"/>
    </row>
    <row r="273">
      <c r="A273" s="16" t="inlineStr">
        <is>
          <t>KF-M07-A3-0028</t>
        </is>
      </c>
      <c r="B273" s="36" t="n">
        <v>3905.950043184831</v>
      </c>
      <c r="C273" s="35" t="n">
        <v>1359.556702008076</v>
      </c>
      <c r="D273" s="37" t="n">
        <v>0.8294780327808849</v>
      </c>
      <c r="E273" s="37" t="n">
        <v>0.8910559074586479</v>
      </c>
      <c r="F273" s="37" t="n">
        <v>0.8375342727183488</v>
      </c>
      <c r="G273" s="37" t="n">
        <v>0.4413658855761367</v>
      </c>
      <c r="H273" s="37" t="n">
        <v>0.9166775946077288</v>
      </c>
      <c r="I273" s="37" t="n">
        <v>0.9457881775355844</v>
      </c>
      <c r="J273" s="42" t="inlineStr">
        <is>
          <t>KALINA</t>
        </is>
      </c>
      <c r="K273" s="29" t="n">
        <v>9.81777688443815</v>
      </c>
      <c r="L273" s="35" t="n">
        <v>90.61889575758669</v>
      </c>
      <c r="M273" s="36" t="n">
        <v>2546.393341176755</v>
      </c>
      <c r="N273" s="29" t="n">
        <v>2.872958544072278</v>
      </c>
      <c r="O273" s="16" t="inlineStr">
        <is>
          <t>no</t>
        </is>
      </c>
      <c r="P273" s="16" t="n"/>
    </row>
    <row r="274">
      <c r="A274" s="16" t="inlineStr">
        <is>
          <t>KF-M07-A3-0029</t>
        </is>
      </c>
      <c r="B274" s="36" t="n">
        <v>3905.950043184831</v>
      </c>
      <c r="C274" s="35" t="n">
        <v>1359.556702008076</v>
      </c>
      <c r="D274" s="37" t="n">
        <v>0.8294780327808849</v>
      </c>
      <c r="E274" s="37" t="n">
        <v>0.8910559074586479</v>
      </c>
      <c r="F274" s="37" t="n">
        <v>0.8375342727183488</v>
      </c>
      <c r="G274" s="37" t="n">
        <v>0.4963658855761367</v>
      </c>
      <c r="H274" s="37" t="n">
        <v>0.95</v>
      </c>
      <c r="I274" s="37" t="n">
        <v>0.9457881775355844</v>
      </c>
      <c r="J274" s="42" t="inlineStr">
        <is>
          <t>KALINA</t>
        </is>
      </c>
      <c r="K274" s="29" t="n">
        <v>9.96398730855724</v>
      </c>
      <c r="L274" s="35" t="n">
        <v>103.5679060222478</v>
      </c>
      <c r="M274" s="36" t="n">
        <v>2546.393341176755</v>
      </c>
      <c r="N274" s="29" t="n">
        <v>2.872958544072278</v>
      </c>
      <c r="O274" s="16" t="inlineStr">
        <is>
          <t>no</t>
        </is>
      </c>
      <c r="P274" s="16" t="n"/>
    </row>
    <row r="275">
      <c r="A275" s="16" t="inlineStr">
        <is>
          <t>KF-M07-A3-0030</t>
        </is>
      </c>
      <c r="B275" s="36" t="n">
        <v>3905.950043184831</v>
      </c>
      <c r="C275" s="35" t="n">
        <v>1359.556702008076</v>
      </c>
      <c r="D275" s="37" t="n">
        <v>0.8294780327808849</v>
      </c>
      <c r="E275" s="37" t="n">
        <v>0.8910559074586479</v>
      </c>
      <c r="F275" s="37" t="n">
        <v>0.8375342727183488</v>
      </c>
      <c r="G275" s="37" t="n">
        <v>0.4963658855761367</v>
      </c>
      <c r="H275" s="37" t="n">
        <v>0.8616775946077286</v>
      </c>
      <c r="I275" s="37" t="n">
        <v>0.9457881775355844</v>
      </c>
      <c r="J275" s="42" t="inlineStr">
        <is>
          <t>KALINA</t>
        </is>
      </c>
      <c r="K275" s="29" t="n">
        <v>9.86438469048424</v>
      </c>
      <c r="L275" s="35" t="n">
        <v>103.013591454298</v>
      </c>
      <c r="M275" s="36" t="n">
        <v>2546.393341176755</v>
      </c>
      <c r="N275" s="29" t="n">
        <v>2.872958544072278</v>
      </c>
      <c r="O275" s="16" t="inlineStr">
        <is>
          <t>no</t>
        </is>
      </c>
      <c r="P275" s="16" t="n"/>
    </row>
    <row r="276">
      <c r="A276" s="16" t="inlineStr">
        <is>
          <t>KF-M07-A3-0031</t>
        </is>
      </c>
      <c r="B276" s="36" t="n">
        <v>3905.950043184831</v>
      </c>
      <c r="C276" s="35" t="n">
        <v>1359.556702008076</v>
      </c>
      <c r="D276" s="37" t="n">
        <v>0.8294780327808849</v>
      </c>
      <c r="E276" s="37" t="n">
        <v>0.8910559074586479</v>
      </c>
      <c r="F276" s="37" t="n">
        <v>0.8375342727183488</v>
      </c>
      <c r="G276" s="37" t="n">
        <v>0.4963658855761367</v>
      </c>
      <c r="H276" s="37" t="n">
        <v>0.9166775946077288</v>
      </c>
      <c r="I276" s="37" t="n">
        <v>0.95</v>
      </c>
      <c r="J276" s="42" t="inlineStr">
        <is>
          <t>KALINA</t>
        </is>
      </c>
      <c r="K276" s="29" t="n">
        <v>9.89565949683754</v>
      </c>
      <c r="L276" s="35" t="n">
        <v>103.1922157807571</v>
      </c>
      <c r="M276" s="36" t="n">
        <v>2546.393341176755</v>
      </c>
      <c r="N276" s="29" t="n">
        <v>2.872958544072278</v>
      </c>
      <c r="O276" s="16" t="inlineStr">
        <is>
          <t>no</t>
        </is>
      </c>
      <c r="P276" s="16" t="n"/>
    </row>
    <row r="277">
      <c r="A277" s="16" t="inlineStr">
        <is>
          <t>KF-M07-A3-0032</t>
        </is>
      </c>
      <c r="B277" s="36" t="n">
        <v>3905.950043184831</v>
      </c>
      <c r="C277" s="35" t="n">
        <v>1359.556702008076</v>
      </c>
      <c r="D277" s="37" t="n">
        <v>0.8294780327808849</v>
      </c>
      <c r="E277" s="37" t="n">
        <v>0.8910559074586479</v>
      </c>
      <c r="F277" s="37" t="n">
        <v>0.8375342727183488</v>
      </c>
      <c r="G277" s="37" t="n">
        <v>0.4963658855761367</v>
      </c>
      <c r="H277" s="37" t="n">
        <v>0.9166775946077288</v>
      </c>
      <c r="I277" s="37" t="n">
        <v>0.8907881775355844</v>
      </c>
      <c r="J277" s="39" t="inlineStr">
        <is>
          <t>Corregible</t>
        </is>
      </c>
      <c r="K277" s="29" t="n">
        <v>10.30806915702313</v>
      </c>
      <c r="L277" s="35" t="n">
        <v>105.1223345428561</v>
      </c>
      <c r="M277" s="36" t="n">
        <v>2546.393341176755</v>
      </c>
      <c r="N277" s="29" t="n">
        <v>2.872958544072278</v>
      </c>
      <c r="O277" s="16" t="inlineStr">
        <is>
          <t>no</t>
        </is>
      </c>
      <c r="P277" s="16" t="inlineStr">
        <is>
          <t>O2</t>
        </is>
      </c>
    </row>
    <row r="278">
      <c r="A278" s="16" t="inlineStr">
        <is>
          <t>KF-M07-A3-0033</t>
        </is>
      </c>
      <c r="B278" s="36" t="n">
        <v>4205.950043184831</v>
      </c>
      <c r="C278" s="35" t="n">
        <v>1359.556702008076</v>
      </c>
      <c r="D278" s="37" t="n">
        <v>0.8294780327808849</v>
      </c>
      <c r="E278" s="37" t="n">
        <v>0.946055907458648</v>
      </c>
      <c r="F278" s="37" t="n">
        <v>0.8375342727183488</v>
      </c>
      <c r="G278" s="37" t="n">
        <v>0.4963658855761367</v>
      </c>
      <c r="H278" s="37" t="n">
        <v>0.9166775946077288</v>
      </c>
      <c r="I278" s="37" t="n">
        <v>0.9457881775355844</v>
      </c>
      <c r="J278" s="42" t="inlineStr">
        <is>
          <t>KALINA</t>
        </is>
      </c>
      <c r="K278" s="29" t="n">
        <v>11.21109069909357</v>
      </c>
      <c r="L278" s="35" t="n">
        <v>116.2794452085863</v>
      </c>
      <c r="M278" s="36" t="n">
        <v>2846.393341176755</v>
      </c>
      <c r="N278" s="29" t="n">
        <v>3.093618704517883</v>
      </c>
      <c r="O278" s="16" t="inlineStr">
        <is>
          <t>no</t>
        </is>
      </c>
      <c r="P278" s="16" t="n"/>
    </row>
    <row r="279">
      <c r="A279" s="16" t="inlineStr">
        <is>
          <t>KF-M07-A3-0034</t>
        </is>
      </c>
      <c r="B279" s="36" t="n">
        <v>3605.950043184831</v>
      </c>
      <c r="C279" s="35" t="n">
        <v>1359.556702008076</v>
      </c>
      <c r="D279" s="37" t="n">
        <v>0.8294780327808849</v>
      </c>
      <c r="E279" s="37" t="n">
        <v>0.946055907458648</v>
      </c>
      <c r="F279" s="37" t="n">
        <v>0.8375342727183488</v>
      </c>
      <c r="G279" s="37" t="n">
        <v>0.4963658855761367</v>
      </c>
      <c r="H279" s="37" t="n">
        <v>0.9166775946077288</v>
      </c>
      <c r="I279" s="37" t="n">
        <v>0.9457881775355844</v>
      </c>
      <c r="J279" s="42" t="inlineStr">
        <is>
          <t>KALINA</t>
        </is>
      </c>
      <c r="K279" s="29" t="n">
        <v>9.84756899855048</v>
      </c>
      <c r="L279" s="35" t="n">
        <v>102.9706380030016</v>
      </c>
      <c r="M279" s="36" t="n">
        <v>2246.393341176755</v>
      </c>
      <c r="N279" s="29" t="n">
        <v>2.652298383626673</v>
      </c>
      <c r="O279" s="16" t="inlineStr">
        <is>
          <t>no</t>
        </is>
      </c>
      <c r="P279" s="16" t="n"/>
    </row>
    <row r="280">
      <c r="A280" s="16" t="inlineStr">
        <is>
          <t>KF-M07-A3-0035</t>
        </is>
      </c>
      <c r="B280" s="36" t="n">
        <v>3905.950043184831</v>
      </c>
      <c r="C280" s="35" t="n">
        <v>1579.556702008076</v>
      </c>
      <c r="D280" s="37" t="n">
        <v>0.8294780327808849</v>
      </c>
      <c r="E280" s="37" t="n">
        <v>0.946055907458648</v>
      </c>
      <c r="F280" s="37" t="n">
        <v>0.8375342727183488</v>
      </c>
      <c r="G280" s="37" t="n">
        <v>0.4963658855761367</v>
      </c>
      <c r="H280" s="37" t="n">
        <v>0.9166775946077288</v>
      </c>
      <c r="I280" s="37" t="n">
        <v>0.9457881775355844</v>
      </c>
      <c r="J280" s="42" t="inlineStr">
        <is>
          <t>KALINA</t>
        </is>
      </c>
      <c r="K280" s="29" t="n">
        <v>9.117902564555459</v>
      </c>
      <c r="L280" s="35" t="n">
        <v>94.93357973835305</v>
      </c>
      <c r="M280" s="36" t="n">
        <v>2326.393341176755</v>
      </c>
      <c r="N280" s="29" t="n">
        <v>2.472814073859603</v>
      </c>
      <c r="O280" s="16" t="inlineStr">
        <is>
          <t>no</t>
        </is>
      </c>
      <c r="P280" s="16" t="n"/>
    </row>
    <row r="281">
      <c r="A281" s="16" t="inlineStr">
        <is>
          <t>KF-M07-A3-0036</t>
        </is>
      </c>
      <c r="B281" s="36" t="n">
        <v>3905.950043184831</v>
      </c>
      <c r="C281" s="35" t="n">
        <v>1139.556702008077</v>
      </c>
      <c r="D281" s="37" t="n">
        <v>0.8294780327808849</v>
      </c>
      <c r="E281" s="37" t="n">
        <v>0.946055907458648</v>
      </c>
      <c r="F281" s="37" t="n">
        <v>0.8375342727183488</v>
      </c>
      <c r="G281" s="37" t="n">
        <v>0.4963658855761367</v>
      </c>
      <c r="H281" s="37" t="n">
        <v>0.9166775946077288</v>
      </c>
      <c r="I281" s="37" t="n">
        <v>0.9457881775355844</v>
      </c>
      <c r="J281" s="39" t="inlineStr">
        <is>
          <t>Corregible</t>
        </is>
      </c>
      <c r="K281" s="29" t="n">
        <v>12.23169030870648</v>
      </c>
      <c r="L281" s="35" t="n">
        <v>127.4100106035309</v>
      </c>
      <c r="M281" s="36" t="n">
        <v>2766.393341176754</v>
      </c>
      <c r="N281" s="29" t="n">
        <v>3.427604818875566</v>
      </c>
      <c r="O281" s="16" t="inlineStr">
        <is>
          <t>no</t>
        </is>
      </c>
      <c r="P281" s="16" t="inlineStr">
        <is>
          <t>O2</t>
        </is>
      </c>
    </row>
    <row r="282">
      <c r="A282" s="16" t="inlineStr">
        <is>
          <t>KF-M07-A3-0037</t>
        </is>
      </c>
      <c r="B282" s="36" t="n">
        <v>3905.950043184831</v>
      </c>
      <c r="C282" s="35" t="n">
        <v>1359.556702008076</v>
      </c>
      <c r="D282" s="37" t="n">
        <v>0.85</v>
      </c>
      <c r="E282" s="37" t="n">
        <v>0.946055907458648</v>
      </c>
      <c r="F282" s="37" t="n">
        <v>0.8375342727183488</v>
      </c>
      <c r="G282" s="37" t="n">
        <v>0.4963658855761367</v>
      </c>
      <c r="H282" s="37" t="n">
        <v>0.9166775946077288</v>
      </c>
      <c r="I282" s="37" t="n">
        <v>0.9457881775355844</v>
      </c>
      <c r="J282" s="42" t="inlineStr">
        <is>
          <t>KALINA</t>
        </is>
      </c>
      <c r="K282" s="29" t="n">
        <v>10.63717461377035</v>
      </c>
      <c r="L282" s="35" t="n">
        <v>109.5880762768501</v>
      </c>
      <c r="M282" s="36" t="n">
        <v>2546.393341176755</v>
      </c>
      <c r="N282" s="29" t="n">
        <v>2.872958544072278</v>
      </c>
      <c r="O282" s="16" t="inlineStr">
        <is>
          <t>no</t>
        </is>
      </c>
      <c r="P282" s="16" t="n"/>
    </row>
    <row r="283">
      <c r="A283" s="16" t="inlineStr">
        <is>
          <t>KF-M07-A3-0038</t>
        </is>
      </c>
      <c r="B283" s="36" t="n">
        <v>3905.950043184831</v>
      </c>
      <c r="C283" s="35" t="n">
        <v>1359.556702008076</v>
      </c>
      <c r="D283" s="37" t="n">
        <v>0.7944780327808849</v>
      </c>
      <c r="E283" s="37" t="n">
        <v>0.946055907458648</v>
      </c>
      <c r="F283" s="37" t="n">
        <v>0.8375342727183488</v>
      </c>
      <c r="G283" s="37" t="n">
        <v>0.4963658855761367</v>
      </c>
      <c r="H283" s="37" t="n">
        <v>0.9166775946077288</v>
      </c>
      <c r="I283" s="37" t="n">
        <v>0.9457881775355844</v>
      </c>
      <c r="J283" s="42" t="inlineStr">
        <is>
          <t>KALINA</t>
        </is>
      </c>
      <c r="K283" s="29" t="n">
        <v>10.38052222258579</v>
      </c>
      <c r="L283" s="35" t="n">
        <v>110.0296876303527</v>
      </c>
      <c r="M283" s="36" t="n">
        <v>2546.393341176755</v>
      </c>
      <c r="N283" s="29" t="n">
        <v>2.872958544072278</v>
      </c>
      <c r="O283" s="16" t="inlineStr">
        <is>
          <t>no</t>
        </is>
      </c>
      <c r="P283" s="16" t="n"/>
    </row>
    <row r="284">
      <c r="A284" s="16" t="inlineStr">
        <is>
          <t>KF-M07-A3-0039</t>
        </is>
      </c>
      <c r="B284" s="36" t="n">
        <v>3905.950043184831</v>
      </c>
      <c r="C284" s="35" t="n">
        <v>1359.556702008076</v>
      </c>
      <c r="D284" s="37" t="n">
        <v>0.8294780327808849</v>
      </c>
      <c r="E284" s="37" t="n">
        <v>0.95</v>
      </c>
      <c r="F284" s="37" t="n">
        <v>0.8375342727183488</v>
      </c>
      <c r="G284" s="37" t="n">
        <v>0.4963658855761367</v>
      </c>
      <c r="H284" s="37" t="n">
        <v>0.9166775946077288</v>
      </c>
      <c r="I284" s="37" t="n">
        <v>0.9457881775355844</v>
      </c>
      <c r="J284" s="42" t="inlineStr">
        <is>
          <t>KALINA</t>
        </is>
      </c>
      <c r="K284" s="29" t="n">
        <v>10.60906814288675</v>
      </c>
      <c r="L284" s="35" t="n">
        <v>110.4828670148186</v>
      </c>
      <c r="M284" s="36" t="n">
        <v>2546.393341176755</v>
      </c>
      <c r="N284" s="29" t="n">
        <v>2.872958544072278</v>
      </c>
      <c r="O284" s="16" t="inlineStr">
        <is>
          <t>no</t>
        </is>
      </c>
      <c r="P284" s="16" t="n"/>
    </row>
    <row r="285">
      <c r="A285" s="16" t="inlineStr">
        <is>
          <t>KF-M07-A3-0040</t>
        </is>
      </c>
      <c r="B285" s="36" t="n">
        <v>3905.950043184831</v>
      </c>
      <c r="C285" s="35" t="n">
        <v>1359.556702008076</v>
      </c>
      <c r="D285" s="37" t="n">
        <v>0.8294780327808849</v>
      </c>
      <c r="E285" s="37" t="n">
        <v>0.8910559074586479</v>
      </c>
      <c r="F285" s="37" t="n">
        <v>0.8375342727183488</v>
      </c>
      <c r="G285" s="37" t="n">
        <v>0.4963658855761367</v>
      </c>
      <c r="H285" s="37" t="n">
        <v>0.9166775946077288</v>
      </c>
      <c r="I285" s="37" t="n">
        <v>0.9457881775355844</v>
      </c>
      <c r="J285" s="42" t="inlineStr">
        <is>
          <t>KALINA</t>
        </is>
      </c>
      <c r="K285" s="29" t="n">
        <v>9.92642054614293</v>
      </c>
      <c r="L285" s="35" t="n">
        <v>103.3595012593186</v>
      </c>
      <c r="M285" s="36" t="n">
        <v>2546.393341176755</v>
      </c>
      <c r="N285" s="29" t="n">
        <v>2.872958544072278</v>
      </c>
      <c r="O285" s="16" t="inlineStr">
        <is>
          <t>no</t>
        </is>
      </c>
      <c r="P285" s="16" t="n"/>
    </row>
    <row r="286">
      <c r="A286" s="16" t="inlineStr">
        <is>
          <t>KF-M07-A3-0041</t>
        </is>
      </c>
      <c r="B286" s="36" t="n">
        <v>3905.950043184831</v>
      </c>
      <c r="C286" s="35" t="n">
        <v>1359.556702008076</v>
      </c>
      <c r="D286" s="37" t="n">
        <v>0.8294780327808849</v>
      </c>
      <c r="E286" s="37" t="n">
        <v>0.946055907458648</v>
      </c>
      <c r="F286" s="37" t="n">
        <v>0.8925342727183487</v>
      </c>
      <c r="G286" s="37" t="n">
        <v>0.4963658855761367</v>
      </c>
      <c r="H286" s="37" t="n">
        <v>0.9166775946077288</v>
      </c>
      <c r="I286" s="37" t="n">
        <v>0.9457881775355844</v>
      </c>
      <c r="J286" s="42" t="inlineStr">
        <is>
          <t>KALINA</t>
        </is>
      </c>
      <c r="K286" s="29" t="n">
        <v>10.5882030615104</v>
      </c>
      <c r="L286" s="35" t="n">
        <v>110.2756239704046</v>
      </c>
      <c r="M286" s="36" t="n">
        <v>2546.393341176755</v>
      </c>
      <c r="N286" s="29" t="n">
        <v>2.872958544072278</v>
      </c>
      <c r="O286" s="16" t="inlineStr">
        <is>
          <t>no</t>
        </is>
      </c>
      <c r="P286" s="16" t="n"/>
    </row>
    <row r="287">
      <c r="A287" s="16" t="inlineStr">
        <is>
          <t>KF-M07-A3-0042</t>
        </is>
      </c>
      <c r="B287" s="36" t="n">
        <v>3905.950043184831</v>
      </c>
      <c r="C287" s="35" t="n">
        <v>1359.556702008076</v>
      </c>
      <c r="D287" s="37" t="n">
        <v>0.8294780327808849</v>
      </c>
      <c r="E287" s="37" t="n">
        <v>0.946055907458648</v>
      </c>
      <c r="F287" s="37" t="n">
        <v>0.7825342727183489</v>
      </c>
      <c r="G287" s="37" t="n">
        <v>0.4963658855761367</v>
      </c>
      <c r="H287" s="37" t="n">
        <v>0.9166775946077288</v>
      </c>
      <c r="I287" s="37" t="n">
        <v>0.9457881775355844</v>
      </c>
      <c r="J287" s="42" t="inlineStr">
        <is>
          <t>KALINA</t>
        </is>
      </c>
      <c r="K287" s="29" t="n">
        <v>10.5351104662816</v>
      </c>
      <c r="L287" s="35" t="n">
        <v>109.6991001162995</v>
      </c>
      <c r="M287" s="36" t="n">
        <v>2546.393341176755</v>
      </c>
      <c r="N287" s="29" t="n">
        <v>2.872958544072278</v>
      </c>
      <c r="O287" s="16" t="inlineStr">
        <is>
          <t>no</t>
        </is>
      </c>
      <c r="P287" s="16" t="n"/>
    </row>
    <row r="288">
      <c r="A288" s="16" t="inlineStr">
        <is>
          <t>KF-M07-A3-0043</t>
        </is>
      </c>
      <c r="B288" s="36" t="n">
        <v>3905.950043184831</v>
      </c>
      <c r="C288" s="35" t="n">
        <v>1359.556702008076</v>
      </c>
      <c r="D288" s="37" t="n">
        <v>0.8294780327808849</v>
      </c>
      <c r="E288" s="37" t="n">
        <v>0.946055907458648</v>
      </c>
      <c r="F288" s="37" t="n">
        <v>0.8375342727183488</v>
      </c>
      <c r="G288" s="37" t="n">
        <v>0.5513658855761367</v>
      </c>
      <c r="H288" s="37" t="n">
        <v>0.9166775946077288</v>
      </c>
      <c r="I288" s="37" t="n">
        <v>0.9457881775355844</v>
      </c>
      <c r="J288" s="32" t="inlineStr">
        <is>
          <t>No convergió</t>
        </is>
      </c>
      <c r="K288" s="29" t="inlineStr">
        <is>
          <t>—</t>
        </is>
      </c>
      <c r="L288" s="35" t="inlineStr">
        <is>
          <t>—</t>
        </is>
      </c>
      <c r="M288" s="36" t="n">
        <v>2546.393341176755</v>
      </c>
      <c r="N288" s="29" t="n">
        <v>2.872958544072278</v>
      </c>
      <c r="O288" s="16" t="inlineStr">
        <is>
          <t>no</t>
        </is>
      </c>
      <c r="P288" s="16" t="n"/>
    </row>
    <row r="289">
      <c r="A289" s="16" t="inlineStr">
        <is>
          <t>KF-M07-A3-0044</t>
        </is>
      </c>
      <c r="B289" s="36" t="n">
        <v>3905.950043184831</v>
      </c>
      <c r="C289" s="35" t="n">
        <v>1359.556702008076</v>
      </c>
      <c r="D289" s="37" t="n">
        <v>0.8294780327808849</v>
      </c>
      <c r="E289" s="37" t="n">
        <v>0.946055907458648</v>
      </c>
      <c r="F289" s="37" t="n">
        <v>0.8375342727183488</v>
      </c>
      <c r="G289" s="37" t="n">
        <v>0.4413658855761367</v>
      </c>
      <c r="H289" s="37" t="n">
        <v>0.9166775946077288</v>
      </c>
      <c r="I289" s="37" t="n">
        <v>0.9457881775355844</v>
      </c>
      <c r="J289" s="42" t="inlineStr">
        <is>
          <t>KALINA</t>
        </is>
      </c>
      <c r="K289" s="29" t="n">
        <v>10.45158600928719</v>
      </c>
      <c r="L289" s="35" t="n">
        <v>96.47928509872868</v>
      </c>
      <c r="M289" s="36" t="n">
        <v>2546.393341176755</v>
      </c>
      <c r="N289" s="29" t="n">
        <v>2.872958544072278</v>
      </c>
      <c r="O289" s="16" t="inlineStr">
        <is>
          <t>no</t>
        </is>
      </c>
      <c r="P289" s="16" t="n"/>
    </row>
    <row r="290">
      <c r="A290" s="16" t="inlineStr">
        <is>
          <t>KF-M07-A3-0045</t>
        </is>
      </c>
      <c r="B290" s="36" t="n">
        <v>3905.950043184831</v>
      </c>
      <c r="C290" s="35" t="n">
        <v>1359.556702008076</v>
      </c>
      <c r="D290" s="37" t="n">
        <v>0.8294780327808849</v>
      </c>
      <c r="E290" s="37" t="n">
        <v>0.946055907458648</v>
      </c>
      <c r="F290" s="37" t="n">
        <v>0.8375342727183488</v>
      </c>
      <c r="G290" s="37" t="n">
        <v>0.4963658855761367</v>
      </c>
      <c r="H290" s="37" t="n">
        <v>0.95</v>
      </c>
      <c r="I290" s="37" t="n">
        <v>0.9457881775355844</v>
      </c>
      <c r="J290" s="42" t="inlineStr">
        <is>
          <t>KALINA</t>
        </is>
      </c>
      <c r="K290" s="29" t="n">
        <v>10.6033554918878</v>
      </c>
      <c r="L290" s="35" t="n">
        <v>110.227722781425</v>
      </c>
      <c r="M290" s="36" t="n">
        <v>2546.393341176755</v>
      </c>
      <c r="N290" s="29" t="n">
        <v>2.872958544072278</v>
      </c>
      <c r="O290" s="16" t="inlineStr">
        <is>
          <t>no</t>
        </is>
      </c>
      <c r="P290" s="16" t="n"/>
    </row>
    <row r="291">
      <c r="A291" s="16" t="inlineStr">
        <is>
          <t>KF-M07-A3-0046</t>
        </is>
      </c>
      <c r="B291" s="36" t="n">
        <v>3905.950043184831</v>
      </c>
      <c r="C291" s="35" t="n">
        <v>1359.556702008076</v>
      </c>
      <c r="D291" s="37" t="n">
        <v>0.8294780327808849</v>
      </c>
      <c r="E291" s="37" t="n">
        <v>0.946055907458648</v>
      </c>
      <c r="F291" s="37" t="n">
        <v>0.8375342727183488</v>
      </c>
      <c r="G291" s="37" t="n">
        <v>0.4963658855761367</v>
      </c>
      <c r="H291" s="37" t="n">
        <v>0.8616775946077286</v>
      </c>
      <c r="I291" s="37" t="n">
        <v>0.9457881775355844</v>
      </c>
      <c r="J291" s="42" t="inlineStr">
        <is>
          <t>KALINA</t>
        </is>
      </c>
      <c r="K291" s="29" t="n">
        <v>10.49742719885381</v>
      </c>
      <c r="L291" s="35" t="n">
        <v>109.6387623405796</v>
      </c>
      <c r="M291" s="36" t="n">
        <v>2546.393341176755</v>
      </c>
      <c r="N291" s="29" t="n">
        <v>2.872958544072278</v>
      </c>
      <c r="O291" s="16" t="inlineStr">
        <is>
          <t>no</t>
        </is>
      </c>
      <c r="P291" s="16" t="n"/>
    </row>
    <row r="292">
      <c r="A292" s="16" t="inlineStr">
        <is>
          <t>KF-M07-A3-0047</t>
        </is>
      </c>
      <c r="B292" s="36" t="n">
        <v>3905.950043184831</v>
      </c>
      <c r="C292" s="35" t="n">
        <v>1359.556702008076</v>
      </c>
      <c r="D292" s="37" t="n">
        <v>0.8294780327808849</v>
      </c>
      <c r="E292" s="37" t="n">
        <v>0.946055907458648</v>
      </c>
      <c r="F292" s="37" t="n">
        <v>0.8375342727183488</v>
      </c>
      <c r="G292" s="37" t="n">
        <v>0.4963658855761367</v>
      </c>
      <c r="H292" s="37" t="n">
        <v>0.9166775946077288</v>
      </c>
      <c r="I292" s="37" t="n">
        <v>0.95</v>
      </c>
      <c r="J292" s="42" t="inlineStr">
        <is>
          <t>KALINA</t>
        </is>
      </c>
      <c r="K292" s="29" t="n">
        <v>10.53089685065494</v>
      </c>
      <c r="L292" s="35" t="n">
        <v>109.8294403236143</v>
      </c>
      <c r="M292" s="36" t="n">
        <v>2546.393341176755</v>
      </c>
      <c r="N292" s="29" t="n">
        <v>2.872958544072278</v>
      </c>
      <c r="O292" s="16" t="inlineStr">
        <is>
          <t>no</t>
        </is>
      </c>
      <c r="P292" s="16" t="n"/>
    </row>
    <row r="293">
      <c r="A293" s="16" t="inlineStr">
        <is>
          <t>KF-M07-A3-0048</t>
        </is>
      </c>
      <c r="B293" s="36" t="n">
        <v>3905.950043184831</v>
      </c>
      <c r="C293" s="35" t="n">
        <v>1359.556702008076</v>
      </c>
      <c r="D293" s="37" t="n">
        <v>0.8294780327808849</v>
      </c>
      <c r="E293" s="37" t="n">
        <v>0.946055907458648</v>
      </c>
      <c r="F293" s="37" t="n">
        <v>0.8375342727183488</v>
      </c>
      <c r="G293" s="37" t="n">
        <v>0.4963658855761367</v>
      </c>
      <c r="H293" s="37" t="n">
        <v>0.9166775946077288</v>
      </c>
      <c r="I293" s="37" t="n">
        <v>0.8907881775355844</v>
      </c>
      <c r="J293" s="39" t="inlineStr">
        <is>
          <t>Corregible</t>
        </is>
      </c>
      <c r="K293" s="29" t="n">
        <v>10.97162556487748</v>
      </c>
      <c r="L293" s="35" t="n">
        <v>111.9224548904796</v>
      </c>
      <c r="M293" s="36" t="n">
        <v>2546.393341176755</v>
      </c>
      <c r="N293" s="29" t="n">
        <v>2.872958544072278</v>
      </c>
      <c r="O293" s="16" t="inlineStr">
        <is>
          <t>no</t>
        </is>
      </c>
      <c r="P293" s="16" t="inlineStr">
        <is>
          <t>O2</t>
        </is>
      </c>
    </row>
    <row r="294">
      <c r="A294" s="16" t="inlineStr">
        <is>
          <t>KF-M07-A3-0049</t>
        </is>
      </c>
      <c r="B294" s="36" t="n">
        <v>4505.950043184831</v>
      </c>
      <c r="C294" s="35" t="n">
        <v>1359.556702008076</v>
      </c>
      <c r="D294" s="37" t="n">
        <v>0.8294780327808849</v>
      </c>
      <c r="E294" s="37" t="n">
        <v>0.946055907458648</v>
      </c>
      <c r="F294" s="37" t="n">
        <v>0.8375342727183488</v>
      </c>
      <c r="G294" s="37" t="n">
        <v>0.4963658855761367</v>
      </c>
      <c r="H294" s="37" t="n">
        <v>0.9166775946077288</v>
      </c>
      <c r="I294" s="37" t="n">
        <v>0.9457881775355844</v>
      </c>
      <c r="J294" s="42" t="inlineStr">
        <is>
          <t>KALINA</t>
        </is>
      </c>
      <c r="K294" s="29" t="n">
        <v>11.80035502192042</v>
      </c>
      <c r="L294" s="35" t="n">
        <v>121.8992533340864</v>
      </c>
      <c r="M294" s="36" t="n">
        <v>3146.393341176755</v>
      </c>
      <c r="N294" s="29" t="n">
        <v>3.314278864963488</v>
      </c>
      <c r="O294" s="16" t="inlineStr">
        <is>
          <t>no</t>
        </is>
      </c>
      <c r="P294" s="16" t="n"/>
    </row>
    <row r="295">
      <c r="A295" s="16" t="inlineStr">
        <is>
          <t>KF-M07-A3-0050</t>
        </is>
      </c>
      <c r="B295" s="36" t="n">
        <v>3905.950043184831</v>
      </c>
      <c r="C295" s="35" t="n">
        <v>1359.556702008076</v>
      </c>
      <c r="D295" s="37" t="n">
        <v>0.8294780327808849</v>
      </c>
      <c r="E295" s="37" t="n">
        <v>0.946055907458648</v>
      </c>
      <c r="F295" s="37" t="n">
        <v>0.8375342727183488</v>
      </c>
      <c r="G295" s="37" t="n">
        <v>0.4963658855761367</v>
      </c>
      <c r="H295" s="37" t="n">
        <v>0.9166775946077288</v>
      </c>
      <c r="I295" s="37" t="n">
        <v>0.9457881775355844</v>
      </c>
      <c r="J295" s="42" t="inlineStr">
        <is>
          <t>KALINA</t>
        </is>
      </c>
      <c r="K295" s="29" t="n">
        <v>10.56340290371979</v>
      </c>
      <c r="L295" s="35" t="n">
        <v>110.0062930715762</v>
      </c>
      <c r="M295" s="36" t="n">
        <v>2546.393341176755</v>
      </c>
      <c r="N295" s="29" t="n">
        <v>2.872958544072278</v>
      </c>
      <c r="O295" s="16" t="inlineStr">
        <is>
          <t>no</t>
        </is>
      </c>
      <c r="P295" s="16" t="n"/>
    </row>
    <row r="296">
      <c r="A296" s="16" t="inlineStr">
        <is>
          <t>KF-M07-A3-0051</t>
        </is>
      </c>
      <c r="B296" s="36" t="n">
        <v>4205.950043184831</v>
      </c>
      <c r="C296" s="35" t="n">
        <v>1579.556702008076</v>
      </c>
      <c r="D296" s="37" t="n">
        <v>0.8294780327808849</v>
      </c>
      <c r="E296" s="37" t="n">
        <v>0.946055907458648</v>
      </c>
      <c r="F296" s="37" t="n">
        <v>0.8375342727183488</v>
      </c>
      <c r="G296" s="37" t="n">
        <v>0.4963658855761367</v>
      </c>
      <c r="H296" s="37" t="n">
        <v>0.9166775946077288</v>
      </c>
      <c r="I296" s="37" t="n">
        <v>0.9457881775355844</v>
      </c>
      <c r="J296" s="42" t="inlineStr">
        <is>
          <t>KALINA</t>
        </is>
      </c>
      <c r="K296" s="29" t="n">
        <v>9.77993298114264</v>
      </c>
      <c r="L296" s="35" t="n">
        <v>101.4155121176465</v>
      </c>
      <c r="M296" s="36" t="n">
        <v>2626.393341176755</v>
      </c>
      <c r="N296" s="29" t="n">
        <v>2.662740779003276</v>
      </c>
      <c r="O296" s="16" t="inlineStr">
        <is>
          <t>no</t>
        </is>
      </c>
      <c r="P296" s="16" t="n"/>
    </row>
    <row r="297">
      <c r="A297" s="16" t="inlineStr">
        <is>
          <t>KF-M07-A3-0052</t>
        </is>
      </c>
      <c r="B297" s="36" t="n">
        <v>4205.950043184831</v>
      </c>
      <c r="C297" s="35" t="n">
        <v>1139.556702008077</v>
      </c>
      <c r="D297" s="37" t="n">
        <v>0.8294780327808849</v>
      </c>
      <c r="E297" s="37" t="n">
        <v>0.946055907458648</v>
      </c>
      <c r="F297" s="37" t="n">
        <v>0.8375342727183488</v>
      </c>
      <c r="G297" s="37" t="n">
        <v>0.4963658855761367</v>
      </c>
      <c r="H297" s="37" t="n">
        <v>0.9166775946077288</v>
      </c>
      <c r="I297" s="37" t="n">
        <v>0.9457881775355844</v>
      </c>
      <c r="J297" s="39" t="inlineStr">
        <is>
          <t>Corregible</t>
        </is>
      </c>
      <c r="K297" s="29" t="n">
        <v>12.86325879408163</v>
      </c>
      <c r="L297" s="35" t="n">
        <v>133.4466173761082</v>
      </c>
      <c r="M297" s="36" t="n">
        <v>3066.393341176754</v>
      </c>
      <c r="N297" s="29" t="n">
        <v>3.69086508444318</v>
      </c>
      <c r="O297" s="16" t="inlineStr">
        <is>
          <t>no</t>
        </is>
      </c>
      <c r="P297" s="16" t="inlineStr">
        <is>
          <t>O2</t>
        </is>
      </c>
    </row>
    <row r="298">
      <c r="A298" s="16" t="inlineStr">
        <is>
          <t>KF-M07-A3-0053</t>
        </is>
      </c>
      <c r="B298" s="36" t="n">
        <v>4205.950043184831</v>
      </c>
      <c r="C298" s="35" t="n">
        <v>1359.556702008076</v>
      </c>
      <c r="D298" s="37" t="n">
        <v>0.85</v>
      </c>
      <c r="E298" s="37" t="n">
        <v>0.946055907458648</v>
      </c>
      <c r="F298" s="37" t="n">
        <v>0.8375342727183488</v>
      </c>
      <c r="G298" s="37" t="n">
        <v>0.4963658855761367</v>
      </c>
      <c r="H298" s="37" t="n">
        <v>0.9166775946077288</v>
      </c>
      <c r="I298" s="37" t="n">
        <v>0.9457881775355844</v>
      </c>
      <c r="J298" s="42" t="inlineStr">
        <is>
          <t>KALINA</t>
        </is>
      </c>
      <c r="K298" s="29" t="n">
        <v>11.28574453878601</v>
      </c>
      <c r="L298" s="35" t="n">
        <v>115.8152747374754</v>
      </c>
      <c r="M298" s="36" t="n">
        <v>2846.393341176755</v>
      </c>
      <c r="N298" s="29" t="n">
        <v>3.093618704517883</v>
      </c>
      <c r="O298" s="16" t="inlineStr">
        <is>
          <t>no</t>
        </is>
      </c>
      <c r="P298" s="16" t="n"/>
    </row>
    <row r="299">
      <c r="A299" s="16" t="inlineStr">
        <is>
          <t>KF-M07-A3-0054</t>
        </is>
      </c>
      <c r="B299" s="36" t="n">
        <v>4205.950043184831</v>
      </c>
      <c r="C299" s="35" t="n">
        <v>1359.556702008076</v>
      </c>
      <c r="D299" s="37" t="n">
        <v>0.7944780327808849</v>
      </c>
      <c r="E299" s="37" t="n">
        <v>0.946055907458648</v>
      </c>
      <c r="F299" s="37" t="n">
        <v>0.8375342727183488</v>
      </c>
      <c r="G299" s="37" t="n">
        <v>0.4963658855761367</v>
      </c>
      <c r="H299" s="37" t="n">
        <v>0.9166775946077288</v>
      </c>
      <c r="I299" s="37" t="n">
        <v>0.9457881775355844</v>
      </c>
      <c r="J299" s="42" t="inlineStr">
        <is>
          <t>KALINA</t>
        </is>
      </c>
      <c r="K299" s="29" t="n">
        <v>11.02197318905251</v>
      </c>
      <c r="L299" s="35" t="n">
        <v>116.3297638392871</v>
      </c>
      <c r="M299" s="36" t="n">
        <v>2846.393341176755</v>
      </c>
      <c r="N299" s="29" t="n">
        <v>3.093618704517883</v>
      </c>
      <c r="O299" s="16" t="inlineStr">
        <is>
          <t>no</t>
        </is>
      </c>
      <c r="P299" s="16" t="n"/>
    </row>
    <row r="300">
      <c r="A300" s="16" t="inlineStr">
        <is>
          <t>KF-M07-A3-0055</t>
        </is>
      </c>
      <c r="B300" s="36" t="n">
        <v>4205.950043184831</v>
      </c>
      <c r="C300" s="35" t="n">
        <v>1359.556702008076</v>
      </c>
      <c r="D300" s="37" t="n">
        <v>0.8294780327808849</v>
      </c>
      <c r="E300" s="37" t="n">
        <v>0.95</v>
      </c>
      <c r="F300" s="37" t="n">
        <v>0.8375342727183488</v>
      </c>
      <c r="G300" s="37" t="n">
        <v>0.4963658855761367</v>
      </c>
      <c r="H300" s="37" t="n">
        <v>0.9166775946077288</v>
      </c>
      <c r="I300" s="37" t="n">
        <v>0.9457881775355844</v>
      </c>
      <c r="J300" s="42" t="inlineStr">
        <is>
          <t>KALINA</t>
        </is>
      </c>
      <c r="K300" s="29" t="n">
        <v>11.25965337766178</v>
      </c>
      <c r="L300" s="35" t="n">
        <v>116.784265199558</v>
      </c>
      <c r="M300" s="36" t="n">
        <v>2846.393341176755</v>
      </c>
      <c r="N300" s="29" t="n">
        <v>3.093618704517883</v>
      </c>
      <c r="O300" s="16" t="inlineStr">
        <is>
          <t>no</t>
        </is>
      </c>
      <c r="P300" s="16" t="n"/>
    </row>
    <row r="301">
      <c r="A301" s="16" t="inlineStr">
        <is>
          <t>KF-M07-A3-0056</t>
        </is>
      </c>
      <c r="B301" s="36" t="n">
        <v>4205.950043184831</v>
      </c>
      <c r="C301" s="35" t="n">
        <v>1359.556702008076</v>
      </c>
      <c r="D301" s="37" t="n">
        <v>0.8294780327808849</v>
      </c>
      <c r="E301" s="37" t="n">
        <v>0.8910559074586479</v>
      </c>
      <c r="F301" s="37" t="n">
        <v>0.8375342727183488</v>
      </c>
      <c r="G301" s="37" t="n">
        <v>0.4963658855761367</v>
      </c>
      <c r="H301" s="37" t="n">
        <v>0.9166775946077288</v>
      </c>
      <c r="I301" s="37" t="n">
        <v>0.9457881775355844</v>
      </c>
      <c r="J301" s="42" t="inlineStr">
        <is>
          <t>KALINA</t>
        </is>
      </c>
      <c r="K301" s="29" t="n">
        <v>10.53368080142938</v>
      </c>
      <c r="L301" s="35" t="n">
        <v>109.2386395474132</v>
      </c>
      <c r="M301" s="36" t="n">
        <v>2846.393341176755</v>
      </c>
      <c r="N301" s="29" t="n">
        <v>3.093618704517883</v>
      </c>
      <c r="O301" s="16" t="inlineStr">
        <is>
          <t>no</t>
        </is>
      </c>
      <c r="P301" s="16" t="n"/>
    </row>
    <row r="302">
      <c r="A302" s="16" t="inlineStr">
        <is>
          <t>KF-M07-A3-0057</t>
        </is>
      </c>
      <c r="B302" s="36" t="n">
        <v>4205.950043184831</v>
      </c>
      <c r="C302" s="35" t="n">
        <v>1359.556702008076</v>
      </c>
      <c r="D302" s="37" t="n">
        <v>0.8294780327808849</v>
      </c>
      <c r="E302" s="37" t="n">
        <v>0.946055907458648</v>
      </c>
      <c r="F302" s="37" t="n">
        <v>0.8925342727183487</v>
      </c>
      <c r="G302" s="37" t="n">
        <v>0.4963658855761367</v>
      </c>
      <c r="H302" s="37" t="n">
        <v>0.9166775946077288</v>
      </c>
      <c r="I302" s="37" t="n">
        <v>0.9457881775355844</v>
      </c>
      <c r="J302" s="42" t="inlineStr">
        <is>
          <t>KALINA</t>
        </is>
      </c>
      <c r="K302" s="29" t="n">
        <v>11.23875915337438</v>
      </c>
      <c r="L302" s="35" t="n">
        <v>116.5794132074658</v>
      </c>
      <c r="M302" s="36" t="n">
        <v>2846.393341176755</v>
      </c>
      <c r="N302" s="29" t="n">
        <v>3.093618704517883</v>
      </c>
      <c r="O302" s="16" t="inlineStr">
        <is>
          <t>no</t>
        </is>
      </c>
      <c r="P302" s="16" t="n"/>
    </row>
    <row r="303">
      <c r="A303" s="16" t="inlineStr">
        <is>
          <t>KF-M07-A3-0058</t>
        </is>
      </c>
      <c r="B303" s="36" t="n">
        <v>4205.950043184831</v>
      </c>
      <c r="C303" s="35" t="n">
        <v>1359.556702008076</v>
      </c>
      <c r="D303" s="37" t="n">
        <v>0.8294780327808849</v>
      </c>
      <c r="E303" s="37" t="n">
        <v>0.946055907458648</v>
      </c>
      <c r="F303" s="37" t="n">
        <v>0.7825342727183489</v>
      </c>
      <c r="G303" s="37" t="n">
        <v>0.4963658855761367</v>
      </c>
      <c r="H303" s="37" t="n">
        <v>0.9166775946077288</v>
      </c>
      <c r="I303" s="37" t="n">
        <v>0.9457881775355844</v>
      </c>
      <c r="J303" s="42" t="inlineStr">
        <is>
          <t>KALINA</t>
        </is>
      </c>
      <c r="K303" s="29" t="n">
        <v>11.17952547203738</v>
      </c>
      <c r="L303" s="35" t="n">
        <v>115.937309547665</v>
      </c>
      <c r="M303" s="36" t="n">
        <v>2846.393341176755</v>
      </c>
      <c r="N303" s="29" t="n">
        <v>3.093618704517883</v>
      </c>
      <c r="O303" s="16" t="inlineStr">
        <is>
          <t>no</t>
        </is>
      </c>
      <c r="P303" s="16" t="n"/>
    </row>
    <row r="304">
      <c r="A304" s="16" t="inlineStr">
        <is>
          <t>KF-M07-A3-0059</t>
        </is>
      </c>
      <c r="B304" s="36" t="n">
        <v>4205.950043184831</v>
      </c>
      <c r="C304" s="35" t="n">
        <v>1359.556702008076</v>
      </c>
      <c r="D304" s="37" t="n">
        <v>0.8294780327808849</v>
      </c>
      <c r="E304" s="37" t="n">
        <v>0.946055907458648</v>
      </c>
      <c r="F304" s="37" t="n">
        <v>0.8375342727183488</v>
      </c>
      <c r="G304" s="37" t="n">
        <v>0.5513658855761367</v>
      </c>
      <c r="H304" s="37" t="n">
        <v>0.9166775946077288</v>
      </c>
      <c r="I304" s="37" t="n">
        <v>0.9457881775355844</v>
      </c>
      <c r="J304" s="32" t="inlineStr">
        <is>
          <t>No convergió</t>
        </is>
      </c>
      <c r="K304" s="29" t="inlineStr">
        <is>
          <t>—</t>
        </is>
      </c>
      <c r="L304" s="35" t="inlineStr">
        <is>
          <t>—</t>
        </is>
      </c>
      <c r="M304" s="36" t="n">
        <v>2846.393341176755</v>
      </c>
      <c r="N304" s="29" t="n">
        <v>3.093618704517883</v>
      </c>
      <c r="O304" s="16" t="inlineStr">
        <is>
          <t>no</t>
        </is>
      </c>
      <c r="P304" s="16" t="n"/>
    </row>
    <row r="305">
      <c r="A305" s="16" t="inlineStr">
        <is>
          <t>KF-M07-A3-0060</t>
        </is>
      </c>
      <c r="B305" s="36" t="n">
        <v>4205.950043184831</v>
      </c>
      <c r="C305" s="35" t="n">
        <v>1359.556702008076</v>
      </c>
      <c r="D305" s="37" t="n">
        <v>0.8294780327808849</v>
      </c>
      <c r="E305" s="37" t="n">
        <v>0.946055907458648</v>
      </c>
      <c r="F305" s="37" t="n">
        <v>0.8375342727183488</v>
      </c>
      <c r="G305" s="37" t="n">
        <v>0.4413658855761367</v>
      </c>
      <c r="H305" s="37" t="n">
        <v>0.9166775946077288</v>
      </c>
      <c r="I305" s="37" t="n">
        <v>0.9457881775355844</v>
      </c>
      <c r="J305" s="42" t="inlineStr">
        <is>
          <t>KALINA</t>
        </is>
      </c>
      <c r="K305" s="29" t="n">
        <v>11.08323439646611</v>
      </c>
      <c r="L305" s="35" t="n">
        <v>101.8303047151895</v>
      </c>
      <c r="M305" s="36" t="n">
        <v>2846.393341176755</v>
      </c>
      <c r="N305" s="29" t="n">
        <v>3.093618704517883</v>
      </c>
      <c r="O305" s="16" t="inlineStr">
        <is>
          <t>no</t>
        </is>
      </c>
      <c r="P305" s="16" t="n"/>
    </row>
    <row r="306">
      <c r="A306" s="16" t="inlineStr">
        <is>
          <t>KF-M07-A3-0061</t>
        </is>
      </c>
      <c r="B306" s="36" t="n">
        <v>4205.950043184831</v>
      </c>
      <c r="C306" s="35" t="n">
        <v>1359.556702008076</v>
      </c>
      <c r="D306" s="37" t="n">
        <v>0.8294780327808849</v>
      </c>
      <c r="E306" s="37" t="n">
        <v>0.946055907458648</v>
      </c>
      <c r="F306" s="37" t="n">
        <v>0.8375342727183488</v>
      </c>
      <c r="G306" s="37" t="n">
        <v>0.4963658855761367</v>
      </c>
      <c r="H306" s="37" t="n">
        <v>0.95</v>
      </c>
      <c r="I306" s="37" t="n">
        <v>0.9457881775355844</v>
      </c>
      <c r="J306" s="42" t="inlineStr">
        <is>
          <t>KALINA</t>
        </is>
      </c>
      <c r="K306" s="29" t="n">
        <v>11.25587263179074</v>
      </c>
      <c r="L306" s="35" t="n">
        <v>116.5286394974584</v>
      </c>
      <c r="M306" s="36" t="n">
        <v>2846.393341176755</v>
      </c>
      <c r="N306" s="29" t="n">
        <v>3.093618704517883</v>
      </c>
      <c r="O306" s="16" t="inlineStr">
        <is>
          <t>no</t>
        </is>
      </c>
      <c r="P306" s="16" t="n"/>
    </row>
    <row r="307">
      <c r="A307" s="16" t="inlineStr">
        <is>
          <t>KF-M07-A3-0062</t>
        </is>
      </c>
      <c r="B307" s="36" t="n">
        <v>4205.950043184831</v>
      </c>
      <c r="C307" s="35" t="n">
        <v>1359.556702008076</v>
      </c>
      <c r="D307" s="37" t="n">
        <v>0.8294780327808849</v>
      </c>
      <c r="E307" s="37" t="n">
        <v>0.946055907458648</v>
      </c>
      <c r="F307" s="37" t="n">
        <v>0.8375342727183488</v>
      </c>
      <c r="G307" s="37" t="n">
        <v>0.4963658855761367</v>
      </c>
      <c r="H307" s="37" t="n">
        <v>0.8616775946077286</v>
      </c>
      <c r="I307" s="37" t="n">
        <v>0.9457881775355844</v>
      </c>
      <c r="J307" s="42" t="inlineStr">
        <is>
          <t>KALINA</t>
        </is>
      </c>
      <c r="K307" s="29" t="n">
        <v>11.13711931434949</v>
      </c>
      <c r="L307" s="35" t="n">
        <v>115.8656194516693</v>
      </c>
      <c r="M307" s="36" t="n">
        <v>2846.393341176755</v>
      </c>
      <c r="N307" s="29" t="n">
        <v>3.093618704517883</v>
      </c>
      <c r="O307" s="16" t="inlineStr">
        <is>
          <t>no</t>
        </is>
      </c>
      <c r="P307" s="16" t="n"/>
    </row>
    <row r="308">
      <c r="A308" s="16" t="inlineStr">
        <is>
          <t>KF-M07-A3-0063</t>
        </is>
      </c>
      <c r="B308" s="36" t="n">
        <v>4205.950043184831</v>
      </c>
      <c r="C308" s="35" t="n">
        <v>1359.556702008076</v>
      </c>
      <c r="D308" s="37" t="n">
        <v>0.8294780327808849</v>
      </c>
      <c r="E308" s="37" t="n">
        <v>0.946055907458648</v>
      </c>
      <c r="F308" s="37" t="n">
        <v>0.8375342727183488</v>
      </c>
      <c r="G308" s="37" t="n">
        <v>0.4963658855761367</v>
      </c>
      <c r="H308" s="37" t="n">
        <v>0.9166775946077288</v>
      </c>
      <c r="I308" s="37" t="n">
        <v>0.95</v>
      </c>
      <c r="J308" s="42" t="inlineStr">
        <is>
          <t>KALINA</t>
        </is>
      </c>
      <c r="K308" s="29" t="n">
        <v>11.17688882308038</v>
      </c>
      <c r="L308" s="35" t="n">
        <v>116.09275171919</v>
      </c>
      <c r="M308" s="36" t="n">
        <v>2846.393341176755</v>
      </c>
      <c r="N308" s="29" t="n">
        <v>3.093618704517883</v>
      </c>
      <c r="O308" s="16" t="inlineStr">
        <is>
          <t>no</t>
        </is>
      </c>
      <c r="P308" s="16" t="n"/>
    </row>
    <row r="309">
      <c r="A309" s="16" t="inlineStr">
        <is>
          <t>KF-M07-A3-0064</t>
        </is>
      </c>
      <c r="B309" s="36" t="n">
        <v>4205.950043184831</v>
      </c>
      <c r="C309" s="35" t="n">
        <v>1359.556702008076</v>
      </c>
      <c r="D309" s="37" t="n">
        <v>0.8294780327808849</v>
      </c>
      <c r="E309" s="37" t="n">
        <v>0.946055907458648</v>
      </c>
      <c r="F309" s="37" t="n">
        <v>0.8375342727183488</v>
      </c>
      <c r="G309" s="37" t="n">
        <v>0.4963658855761367</v>
      </c>
      <c r="H309" s="37" t="n">
        <v>0.9166775946077288</v>
      </c>
      <c r="I309" s="37" t="n">
        <v>0.8907881775355844</v>
      </c>
      <c r="J309" s="39" t="inlineStr">
        <is>
          <t>Corregible</t>
        </is>
      </c>
      <c r="K309" s="29" t="n">
        <v>11.64613892460022</v>
      </c>
      <c r="L309" s="35" t="n">
        <v>118.3649342421068</v>
      </c>
      <c r="M309" s="36" t="n">
        <v>2846.393341176755</v>
      </c>
      <c r="N309" s="29" t="n">
        <v>3.093618704517883</v>
      </c>
      <c r="O309" s="16" t="inlineStr">
        <is>
          <t>no</t>
        </is>
      </c>
      <c r="P309" s="16" t="inlineStr">
        <is>
          <t>O2</t>
        </is>
      </c>
    </row>
    <row r="310">
      <c r="A310" s="16" t="inlineStr">
        <is>
          <t>KF-M07-A3-0065</t>
        </is>
      </c>
      <c r="B310" s="36" t="n">
        <v>4805.950043184831</v>
      </c>
      <c r="C310" s="35" t="n">
        <v>1359.556702008076</v>
      </c>
      <c r="D310" s="37" t="n">
        <v>0.8294780327808849</v>
      </c>
      <c r="E310" s="37" t="n">
        <v>0.946055907458648</v>
      </c>
      <c r="F310" s="37" t="n">
        <v>0.8375342727183488</v>
      </c>
      <c r="G310" s="37" t="n">
        <v>0.4963658855761367</v>
      </c>
      <c r="H310" s="37" t="n">
        <v>0.9166775946077288</v>
      </c>
      <c r="I310" s="37" t="n">
        <v>0.9457881775355844</v>
      </c>
      <c r="J310" s="42" t="inlineStr">
        <is>
          <t>KALINA</t>
        </is>
      </c>
      <c r="K310" s="29" t="n">
        <v>12.33897333074047</v>
      </c>
      <c r="L310" s="35" t="n">
        <v>126.9530626778009</v>
      </c>
      <c r="M310" s="36" t="n">
        <v>3446.393341176755</v>
      </c>
      <c r="N310" s="29" t="n">
        <v>3.534939025409093</v>
      </c>
      <c r="O310" s="16" t="inlineStr">
        <is>
          <t>no</t>
        </is>
      </c>
      <c r="P310" s="16" t="n"/>
    </row>
    <row r="311">
      <c r="A311" s="16" t="inlineStr">
        <is>
          <t>KF-M07-A3-0066</t>
        </is>
      </c>
      <c r="B311" s="36" t="n">
        <v>4205.950043184831</v>
      </c>
      <c r="C311" s="35" t="n">
        <v>1359.556702008076</v>
      </c>
      <c r="D311" s="37" t="n">
        <v>0.8294780327808849</v>
      </c>
      <c r="E311" s="37" t="n">
        <v>0.946055907458648</v>
      </c>
      <c r="F311" s="37" t="n">
        <v>0.8375342727183488</v>
      </c>
      <c r="G311" s="37" t="n">
        <v>0.4963658855761367</v>
      </c>
      <c r="H311" s="37" t="n">
        <v>0.9166775946077288</v>
      </c>
      <c r="I311" s="37" t="n">
        <v>0.9457881775355844</v>
      </c>
      <c r="J311" s="42" t="inlineStr">
        <is>
          <t>KALINA</t>
        </is>
      </c>
      <c r="K311" s="29" t="n">
        <v>11.21109069909357</v>
      </c>
      <c r="L311" s="35" t="n">
        <v>116.2794452085863</v>
      </c>
      <c r="M311" s="36" t="n">
        <v>2846.393341176755</v>
      </c>
      <c r="N311" s="29" t="n">
        <v>3.093618704517883</v>
      </c>
      <c r="O311" s="16" t="inlineStr">
        <is>
          <t>no</t>
        </is>
      </c>
      <c r="P311" s="16" t="n"/>
    </row>
    <row r="312">
      <c r="A312" s="16" t="inlineStr">
        <is>
          <t>KF-M07-A3-0067</t>
        </is>
      </c>
      <c r="B312" s="36" t="n">
        <v>4505.950043184831</v>
      </c>
      <c r="C312" s="35" t="n">
        <v>1579.556702008076</v>
      </c>
      <c r="D312" s="37" t="n">
        <v>0.8294780327808849</v>
      </c>
      <c r="E312" s="37" t="n">
        <v>0.946055907458648</v>
      </c>
      <c r="F312" s="37" t="n">
        <v>0.8375342727183488</v>
      </c>
      <c r="G312" s="37" t="n">
        <v>0.4963658855761367</v>
      </c>
      <c r="H312" s="37" t="n">
        <v>0.9166775946077288</v>
      </c>
      <c r="I312" s="37" t="n">
        <v>0.9457881775355844</v>
      </c>
      <c r="J312" s="42" t="inlineStr">
        <is>
          <t>KALINA</t>
        </is>
      </c>
      <c r="K312" s="29" t="n">
        <v>10.38241770367671</v>
      </c>
      <c r="L312" s="35" t="n">
        <v>107.2309007933862</v>
      </c>
      <c r="M312" s="36" t="n">
        <v>2926.393341176755</v>
      </c>
      <c r="N312" s="29" t="n">
        <v>2.852667484146949</v>
      </c>
      <c r="O312" s="16" t="inlineStr">
        <is>
          <t>no</t>
        </is>
      </c>
      <c r="P312" s="16" t="n"/>
    </row>
    <row r="313">
      <c r="A313" s="16" t="inlineStr">
        <is>
          <t>KF-M07-A3-0068</t>
        </is>
      </c>
      <c r="B313" s="36" t="n">
        <v>4505.950043184831</v>
      </c>
      <c r="C313" s="35" t="n">
        <v>1139.556702008077</v>
      </c>
      <c r="D313" s="37" t="n">
        <v>0.8294780327808849</v>
      </c>
      <c r="E313" s="37" t="n">
        <v>0.946055907458648</v>
      </c>
      <c r="F313" s="37" t="n">
        <v>0.8375342727183488</v>
      </c>
      <c r="G313" s="37" t="n">
        <v>0.4963658855761367</v>
      </c>
      <c r="H313" s="37" t="n">
        <v>0.9166775946077288</v>
      </c>
      <c r="I313" s="37" t="n">
        <v>0.9457881775355844</v>
      </c>
      <c r="J313" s="39" t="inlineStr">
        <is>
          <t>Corregible</t>
        </is>
      </c>
      <c r="K313" s="29" t="n">
        <v>13.43767625005752</v>
      </c>
      <c r="L313" s="35" t="n">
        <v>138.8448559781011</v>
      </c>
      <c r="M313" s="36" t="n">
        <v>3366.393341176754</v>
      </c>
      <c r="N313" s="29" t="n">
        <v>3.954125350010793</v>
      </c>
      <c r="O313" s="16" t="inlineStr">
        <is>
          <t>no</t>
        </is>
      </c>
      <c r="P313" s="16" t="inlineStr">
        <is>
          <t>O2</t>
        </is>
      </c>
    </row>
    <row r="314">
      <c r="A314" s="16" t="inlineStr">
        <is>
          <t>KF-M07-A3-0069</t>
        </is>
      </c>
      <c r="B314" s="36" t="n">
        <v>4505.950043184831</v>
      </c>
      <c r="C314" s="35" t="n">
        <v>1359.556702008076</v>
      </c>
      <c r="D314" s="37" t="n">
        <v>0.85</v>
      </c>
      <c r="E314" s="37" t="n">
        <v>0.946055907458648</v>
      </c>
      <c r="F314" s="37" t="n">
        <v>0.8375342727183488</v>
      </c>
      <c r="G314" s="37" t="n">
        <v>0.4963658855761367</v>
      </c>
      <c r="H314" s="37" t="n">
        <v>0.9166775946077288</v>
      </c>
      <c r="I314" s="37" t="n">
        <v>0.9457881775355844</v>
      </c>
      <c r="J314" s="42" t="inlineStr">
        <is>
          <t>KALINA</t>
        </is>
      </c>
      <c r="K314" s="29" t="n">
        <v>11.87547305666734</v>
      </c>
      <c r="L314" s="35" t="n">
        <v>121.3928254197563</v>
      </c>
      <c r="M314" s="36" t="n">
        <v>3146.393341176755</v>
      </c>
      <c r="N314" s="29" t="n">
        <v>3.314278864963488</v>
      </c>
      <c r="O314" s="16" t="inlineStr">
        <is>
          <t>no</t>
        </is>
      </c>
      <c r="P314" s="16" t="n"/>
    </row>
    <row r="315">
      <c r="A315" s="16" t="inlineStr">
        <is>
          <t>KF-M07-A3-0070</t>
        </is>
      </c>
      <c r="B315" s="36" t="n">
        <v>4505.950043184831</v>
      </c>
      <c r="C315" s="35" t="n">
        <v>1359.556702008076</v>
      </c>
      <c r="D315" s="37" t="n">
        <v>0.7944780327808849</v>
      </c>
      <c r="E315" s="37" t="n">
        <v>0.946055907458648</v>
      </c>
      <c r="F315" s="37" t="n">
        <v>0.8375342727183488</v>
      </c>
      <c r="G315" s="37" t="n">
        <v>0.4963658855761367</v>
      </c>
      <c r="H315" s="37" t="n">
        <v>0.9166775946077288</v>
      </c>
      <c r="I315" s="37" t="n">
        <v>0.9457881775355844</v>
      </c>
      <c r="J315" s="42" t="inlineStr">
        <is>
          <t>KALINA</t>
        </is>
      </c>
      <c r="K315" s="29" t="n">
        <v>11.60611522134726</v>
      </c>
      <c r="L315" s="35" t="n">
        <v>121.9751641643304</v>
      </c>
      <c r="M315" s="36" t="n">
        <v>3146.393341176755</v>
      </c>
      <c r="N315" s="29" t="n">
        <v>3.314278864963488</v>
      </c>
      <c r="O315" s="16" t="inlineStr">
        <is>
          <t>no</t>
        </is>
      </c>
      <c r="P315" s="16" t="n"/>
    </row>
    <row r="316">
      <c r="A316" s="16" t="inlineStr">
        <is>
          <t>KF-M07-A3-0071</t>
        </is>
      </c>
      <c r="B316" s="36" t="n">
        <v>4505.950043184831</v>
      </c>
      <c r="C316" s="35" t="n">
        <v>1359.556702008076</v>
      </c>
      <c r="D316" s="37" t="n">
        <v>0.8294780327808849</v>
      </c>
      <c r="E316" s="37" t="n">
        <v>0.95</v>
      </c>
      <c r="F316" s="37" t="n">
        <v>0.8375342727183488</v>
      </c>
      <c r="G316" s="37" t="n">
        <v>0.4963658855761367</v>
      </c>
      <c r="H316" s="37" t="n">
        <v>0.9166775946077288</v>
      </c>
      <c r="I316" s="37" t="n">
        <v>0.9457881775355844</v>
      </c>
      <c r="J316" s="42" t="inlineStr">
        <is>
          <t>KALINA</t>
        </is>
      </c>
      <c r="K316" s="29" t="n">
        <v>11.85157408579857</v>
      </c>
      <c r="L316" s="35" t="n">
        <v>122.429598358561</v>
      </c>
      <c r="M316" s="36" t="n">
        <v>3146.393341176755</v>
      </c>
      <c r="N316" s="29" t="n">
        <v>3.314278864963488</v>
      </c>
      <c r="O316" s="16" t="inlineStr">
        <is>
          <t>no</t>
        </is>
      </c>
      <c r="P316" s="16" t="n"/>
    </row>
    <row r="317">
      <c r="A317" s="16" t="inlineStr">
        <is>
          <t>KF-M07-A3-0072</t>
        </is>
      </c>
      <c r="B317" s="36" t="n">
        <v>4505.950043184831</v>
      </c>
      <c r="C317" s="35" t="n">
        <v>1359.556702008076</v>
      </c>
      <c r="D317" s="37" t="n">
        <v>0.8294780327808849</v>
      </c>
      <c r="E317" s="37" t="n">
        <v>0.8910559074586479</v>
      </c>
      <c r="F317" s="37" t="n">
        <v>0.8375342727183488</v>
      </c>
      <c r="G317" s="37" t="n">
        <v>0.4963658855761367</v>
      </c>
      <c r="H317" s="37" t="n">
        <v>0.9166775946077288</v>
      </c>
      <c r="I317" s="37" t="n">
        <v>0.9457881775355844</v>
      </c>
      <c r="J317" s="42" t="inlineStr">
        <is>
          <t>KALINA</t>
        </is>
      </c>
      <c r="K317" s="29" t="n">
        <v>11.08587903361167</v>
      </c>
      <c r="L317" s="35" t="n">
        <v>114.5023734593544</v>
      </c>
      <c r="M317" s="36" t="n">
        <v>3146.393341176755</v>
      </c>
      <c r="N317" s="29" t="n">
        <v>3.314278864963488</v>
      </c>
      <c r="O317" s="16" t="inlineStr">
        <is>
          <t>no</t>
        </is>
      </c>
      <c r="P317" s="16" t="n"/>
    </row>
    <row r="318">
      <c r="A318" s="16" t="inlineStr">
        <is>
          <t>KF-M07-A3-0073</t>
        </is>
      </c>
      <c r="B318" s="36" t="n">
        <v>4505.950043184831</v>
      </c>
      <c r="C318" s="35" t="n">
        <v>1359.556702008076</v>
      </c>
      <c r="D318" s="37" t="n">
        <v>0.8294780327808849</v>
      </c>
      <c r="E318" s="37" t="n">
        <v>0.946055907458648</v>
      </c>
      <c r="F318" s="37" t="n">
        <v>0.8925342727183487</v>
      </c>
      <c r="G318" s="37" t="n">
        <v>0.4963658855761367</v>
      </c>
      <c r="H318" s="37" t="n">
        <v>0.9166775946077288</v>
      </c>
      <c r="I318" s="37" t="n">
        <v>0.9457881775355844</v>
      </c>
      <c r="J318" s="42" t="inlineStr">
        <is>
          <t>KALINA</t>
        </is>
      </c>
      <c r="K318" s="29" t="n">
        <v>11.83089535856264</v>
      </c>
      <c r="L318" s="35" t="n">
        <v>122.2297115463574</v>
      </c>
      <c r="M318" s="36" t="n">
        <v>3146.393341176755</v>
      </c>
      <c r="N318" s="29" t="n">
        <v>3.314278864963488</v>
      </c>
      <c r="O318" s="16" t="inlineStr">
        <is>
          <t>no</t>
        </is>
      </c>
      <c r="P318" s="16" t="n"/>
    </row>
    <row r="319">
      <c r="A319" s="16" t="inlineStr">
        <is>
          <t>KF-M07-A3-0074</t>
        </is>
      </c>
      <c r="B319" s="36" t="n">
        <v>4505.950043184831</v>
      </c>
      <c r="C319" s="35" t="n">
        <v>1359.556702008076</v>
      </c>
      <c r="D319" s="37" t="n">
        <v>0.8294780327808849</v>
      </c>
      <c r="E319" s="37" t="n">
        <v>0.946055907458648</v>
      </c>
      <c r="F319" s="37" t="n">
        <v>0.7825342727183489</v>
      </c>
      <c r="G319" s="37" t="n">
        <v>0.4963658855761367</v>
      </c>
      <c r="H319" s="37" t="n">
        <v>0.9166775946077288</v>
      </c>
      <c r="I319" s="37" t="n">
        <v>0.9457881775355844</v>
      </c>
      <c r="J319" s="42" t="inlineStr">
        <is>
          <t>KALINA</t>
        </is>
      </c>
      <c r="K319" s="29" t="n">
        <v>11.76551267090013</v>
      </c>
      <c r="L319" s="35" t="n">
        <v>121.5223413854227</v>
      </c>
      <c r="M319" s="36" t="n">
        <v>3146.393341176755</v>
      </c>
      <c r="N319" s="29" t="n">
        <v>3.314278864963488</v>
      </c>
      <c r="O319" s="16" t="inlineStr">
        <is>
          <t>no</t>
        </is>
      </c>
      <c r="P319" s="16" t="n"/>
    </row>
    <row r="320">
      <c r="A320" s="16" t="inlineStr">
        <is>
          <t>KF-M07-A3-0075</t>
        </is>
      </c>
      <c r="B320" s="36" t="n">
        <v>4505.950043184831</v>
      </c>
      <c r="C320" s="35" t="n">
        <v>1359.556702008076</v>
      </c>
      <c r="D320" s="37" t="n">
        <v>0.8294780327808849</v>
      </c>
      <c r="E320" s="37" t="n">
        <v>0.946055907458648</v>
      </c>
      <c r="F320" s="37" t="n">
        <v>0.8375342727183488</v>
      </c>
      <c r="G320" s="37" t="n">
        <v>0.5513658855761367</v>
      </c>
      <c r="H320" s="37" t="n">
        <v>0.9166775946077288</v>
      </c>
      <c r="I320" s="37" t="n">
        <v>0.9457881775355844</v>
      </c>
      <c r="J320" s="32" t="inlineStr">
        <is>
          <t>No convergió</t>
        </is>
      </c>
      <c r="K320" s="29" t="inlineStr">
        <is>
          <t>—</t>
        </is>
      </c>
      <c r="L320" s="35" t="inlineStr">
        <is>
          <t>—</t>
        </is>
      </c>
      <c r="M320" s="36" t="n">
        <v>3146.393341176755</v>
      </c>
      <c r="N320" s="29" t="n">
        <v>3.314278864963488</v>
      </c>
      <c r="O320" s="16" t="inlineStr">
        <is>
          <t>no</t>
        </is>
      </c>
      <c r="P320" s="16" t="n"/>
    </row>
    <row r="321">
      <c r="A321" s="16" t="inlineStr">
        <is>
          <t>KF-M07-A3-0076</t>
        </is>
      </c>
      <c r="B321" s="36" t="n">
        <v>4505.950043184831</v>
      </c>
      <c r="C321" s="35" t="n">
        <v>1359.556702008076</v>
      </c>
      <c r="D321" s="37" t="n">
        <v>0.8294780327808849</v>
      </c>
      <c r="E321" s="37" t="n">
        <v>0.946055907458648</v>
      </c>
      <c r="F321" s="37" t="n">
        <v>0.8375342727183488</v>
      </c>
      <c r="G321" s="37" t="n">
        <v>0.4413658855761367</v>
      </c>
      <c r="H321" s="37" t="n">
        <v>0.9166775946077288</v>
      </c>
      <c r="I321" s="37" t="n">
        <v>0.9457881775355844</v>
      </c>
      <c r="J321" s="42" t="inlineStr">
        <is>
          <t>KALINA</t>
        </is>
      </c>
      <c r="K321" s="29" t="n">
        <v>11.65669381774798</v>
      </c>
      <c r="L321" s="35" t="n">
        <v>106.5996110639049</v>
      </c>
      <c r="M321" s="36" t="n">
        <v>3146.393341176755</v>
      </c>
      <c r="N321" s="29" t="n">
        <v>3.314278864963488</v>
      </c>
      <c r="O321" s="16" t="inlineStr">
        <is>
          <t>no</t>
        </is>
      </c>
      <c r="P321" s="16" t="n"/>
    </row>
    <row r="322">
      <c r="A322" s="16" t="inlineStr">
        <is>
          <t>KF-M07-A3-0077</t>
        </is>
      </c>
      <c r="B322" s="36" t="n">
        <v>4505.950043184831</v>
      </c>
      <c r="C322" s="35" t="n">
        <v>1359.556702008076</v>
      </c>
      <c r="D322" s="37" t="n">
        <v>0.8294780327808849</v>
      </c>
      <c r="E322" s="37" t="n">
        <v>0.946055907458648</v>
      </c>
      <c r="F322" s="37" t="n">
        <v>0.8375342727183488</v>
      </c>
      <c r="G322" s="37" t="n">
        <v>0.4963658855761367</v>
      </c>
      <c r="H322" s="37" t="n">
        <v>0.95</v>
      </c>
      <c r="I322" s="37" t="n">
        <v>0.9457881775355844</v>
      </c>
      <c r="J322" s="42" t="inlineStr">
        <is>
          <t>KALINA</t>
        </is>
      </c>
      <c r="K322" s="29" t="n">
        <v>11.84996648600961</v>
      </c>
      <c r="L322" s="35" t="n">
        <v>122.1763562268776</v>
      </c>
      <c r="M322" s="36" t="n">
        <v>3146.393341176755</v>
      </c>
      <c r="N322" s="29" t="n">
        <v>3.314278864963488</v>
      </c>
      <c r="O322" s="16" t="inlineStr">
        <is>
          <t>no</t>
        </is>
      </c>
      <c r="P322" s="16" t="n"/>
    </row>
    <row r="323">
      <c r="A323" s="16" t="inlineStr">
        <is>
          <t>KF-M07-A3-0078</t>
        </is>
      </c>
      <c r="B323" s="36" t="n">
        <v>4505.950043184831</v>
      </c>
      <c r="C323" s="35" t="n">
        <v>1359.556702008076</v>
      </c>
      <c r="D323" s="37" t="n">
        <v>0.8294780327808849</v>
      </c>
      <c r="E323" s="37" t="n">
        <v>0.946055907458648</v>
      </c>
      <c r="F323" s="37" t="n">
        <v>0.8375342727183488</v>
      </c>
      <c r="G323" s="37" t="n">
        <v>0.4963658855761367</v>
      </c>
      <c r="H323" s="37" t="n">
        <v>0.8616775946077286</v>
      </c>
      <c r="I323" s="37" t="n">
        <v>0.9457881775355844</v>
      </c>
      <c r="J323" s="42" t="inlineStr">
        <is>
          <t>KALINA</t>
        </is>
      </c>
      <c r="K323" s="29" t="n">
        <v>11.71838232772458</v>
      </c>
      <c r="L323" s="35" t="n">
        <v>121.4388429925461</v>
      </c>
      <c r="M323" s="36" t="n">
        <v>3146.393341176755</v>
      </c>
      <c r="N323" s="29" t="n">
        <v>3.314278864963488</v>
      </c>
      <c r="O323" s="16" t="inlineStr">
        <is>
          <t>no</t>
        </is>
      </c>
      <c r="P323" s="16" t="n"/>
    </row>
    <row r="324">
      <c r="A324" s="16" t="inlineStr">
        <is>
          <t>KF-M07-A3-0079</t>
        </is>
      </c>
      <c r="B324" s="36" t="n">
        <v>4505.950043184831</v>
      </c>
      <c r="C324" s="35" t="n">
        <v>1359.556702008076</v>
      </c>
      <c r="D324" s="37" t="n">
        <v>0.8294780327808849</v>
      </c>
      <c r="E324" s="37" t="n">
        <v>0.946055907458648</v>
      </c>
      <c r="F324" s="37" t="n">
        <v>0.8375342727183488</v>
      </c>
      <c r="G324" s="37" t="n">
        <v>0.4963658855761367</v>
      </c>
      <c r="H324" s="37" t="n">
        <v>0.9166775946077288</v>
      </c>
      <c r="I324" s="37" t="n">
        <v>0.95</v>
      </c>
      <c r="J324" s="42" t="inlineStr">
        <is>
          <t>KALINA</t>
        </is>
      </c>
      <c r="K324" s="29" t="n">
        <v>11.76464503231909</v>
      </c>
      <c r="L324" s="35" t="n">
        <v>121.7037316821716</v>
      </c>
      <c r="M324" s="36" t="n">
        <v>3146.393341176755</v>
      </c>
      <c r="N324" s="29" t="n">
        <v>3.314278864963488</v>
      </c>
      <c r="O324" s="16" t="inlineStr">
        <is>
          <t>no</t>
        </is>
      </c>
      <c r="P324" s="16" t="n"/>
    </row>
    <row r="325">
      <c r="A325" s="16" t="inlineStr">
        <is>
          <t>KF-M07-A3-0080</t>
        </is>
      </c>
      <c r="B325" s="36" t="n">
        <v>4505.950043184831</v>
      </c>
      <c r="C325" s="35" t="n">
        <v>1359.556702008076</v>
      </c>
      <c r="D325" s="37" t="n">
        <v>0.8294780327808849</v>
      </c>
      <c r="E325" s="37" t="n">
        <v>0.946055907458648</v>
      </c>
      <c r="F325" s="37" t="n">
        <v>0.8375342727183488</v>
      </c>
      <c r="G325" s="37" t="n">
        <v>0.4963658855761367</v>
      </c>
      <c r="H325" s="37" t="n">
        <v>0.9166775946077288</v>
      </c>
      <c r="I325" s="37" t="n">
        <v>0.8907881775355844</v>
      </c>
      <c r="J325" s="39" t="inlineStr">
        <is>
          <t>Corregible</t>
        </is>
      </c>
      <c r="K325" s="29" t="n">
        <v>12.25927557620339</v>
      </c>
      <c r="L325" s="35" t="n">
        <v>124.1368294245121</v>
      </c>
      <c r="M325" s="36" t="n">
        <v>3146.393341176755</v>
      </c>
      <c r="N325" s="29" t="n">
        <v>3.314278864963488</v>
      </c>
      <c r="O325" s="16" t="inlineStr">
        <is>
          <t>no</t>
        </is>
      </c>
      <c r="P325" s="16" t="inlineStr">
        <is>
          <t>O2</t>
        </is>
      </c>
    </row>
    <row r="326">
      <c r="A326" s="16" t="inlineStr">
        <is>
          <t>KF-M07-A3-0081</t>
        </is>
      </c>
      <c r="B326" s="36" t="n">
        <v>5000</v>
      </c>
      <c r="C326" s="35" t="n">
        <v>1359.556702008076</v>
      </c>
      <c r="D326" s="37" t="n">
        <v>0.8294780327808849</v>
      </c>
      <c r="E326" s="37" t="n">
        <v>0.946055907458648</v>
      </c>
      <c r="F326" s="37" t="n">
        <v>0.8375342727183488</v>
      </c>
      <c r="G326" s="37" t="n">
        <v>0.4963658855761367</v>
      </c>
      <c r="H326" s="37" t="n">
        <v>0.9166775946077288</v>
      </c>
      <c r="I326" s="37" t="n">
        <v>0.9457881775355844</v>
      </c>
      <c r="J326" s="42" t="inlineStr">
        <is>
          <t>KALINA</t>
        </is>
      </c>
      <c r="K326" s="29" t="n">
        <v>12.6634113366047</v>
      </c>
      <c r="L326" s="35" t="n">
        <v>129.9544616608258</v>
      </c>
      <c r="M326" s="36" t="n">
        <v>3640.443297991924</v>
      </c>
      <c r="N326" s="29" t="n">
        <v>3.677669340760087</v>
      </c>
      <c r="O326" s="16" t="inlineStr">
        <is>
          <t>no</t>
        </is>
      </c>
      <c r="P326" s="16" t="n"/>
    </row>
    <row r="327">
      <c r="A327" s="16" t="inlineStr">
        <is>
          <t>KF-M07-A3-0082</t>
        </is>
      </c>
      <c r="B327" s="36" t="n">
        <v>4505.950043184831</v>
      </c>
      <c r="C327" s="35" t="n">
        <v>1359.556702008076</v>
      </c>
      <c r="D327" s="37" t="n">
        <v>0.8294780327808849</v>
      </c>
      <c r="E327" s="37" t="n">
        <v>0.946055907458648</v>
      </c>
      <c r="F327" s="37" t="n">
        <v>0.8375342727183488</v>
      </c>
      <c r="G327" s="37" t="n">
        <v>0.4963658855761367</v>
      </c>
      <c r="H327" s="37" t="n">
        <v>0.9166775946077288</v>
      </c>
      <c r="I327" s="37" t="n">
        <v>0.9457881775355844</v>
      </c>
      <c r="J327" s="42" t="inlineStr">
        <is>
          <t>KALINA</t>
        </is>
      </c>
      <c r="K327" s="29" t="n">
        <v>11.80035502192042</v>
      </c>
      <c r="L327" s="35" t="n">
        <v>121.8992533340864</v>
      </c>
      <c r="M327" s="36" t="n">
        <v>3146.393341176755</v>
      </c>
      <c r="N327" s="29" t="n">
        <v>3.314278864963488</v>
      </c>
      <c r="O327" s="16" t="inlineStr">
        <is>
          <t>no</t>
        </is>
      </c>
      <c r="P327" s="16" t="n"/>
    </row>
    <row r="328">
      <c r="A328" s="16" t="inlineStr">
        <is>
          <t>KF-M07-A3-0083</t>
        </is>
      </c>
      <c r="B328" s="36" t="n">
        <v>4805.950043184831</v>
      </c>
      <c r="C328" s="35" t="n">
        <v>1579.556702008076</v>
      </c>
      <c r="D328" s="37" t="n">
        <v>0.8294780327808849</v>
      </c>
      <c r="E328" s="37" t="n">
        <v>0.946055907458648</v>
      </c>
      <c r="F328" s="37" t="n">
        <v>0.8375342727183488</v>
      </c>
      <c r="G328" s="37" t="n">
        <v>0.4963658855761367</v>
      </c>
      <c r="H328" s="37" t="n">
        <v>0.9166775946077288</v>
      </c>
      <c r="I328" s="37" t="n">
        <v>0.9457881775355844</v>
      </c>
      <c r="J328" s="42" t="inlineStr">
        <is>
          <t>KALINA</t>
        </is>
      </c>
      <c r="K328" s="29" t="n">
        <v>10.93327555198987</v>
      </c>
      <c r="L328" s="35" t="n">
        <v>112.4687519890408</v>
      </c>
      <c r="M328" s="36" t="n">
        <v>3226.393341176755</v>
      </c>
      <c r="N328" s="29" t="n">
        <v>3.042594189290622</v>
      </c>
      <c r="O328" s="16" t="inlineStr">
        <is>
          <t>no</t>
        </is>
      </c>
      <c r="P328" s="16" t="n"/>
    </row>
    <row r="329">
      <c r="A329" s="16" t="inlineStr">
        <is>
          <t>KF-M07-A3-0084</t>
        </is>
      </c>
      <c r="B329" s="36" t="n">
        <v>4805.950043184831</v>
      </c>
      <c r="C329" s="35" t="n">
        <v>1139.556702008077</v>
      </c>
      <c r="D329" s="37" t="n">
        <v>0.8294780327808849</v>
      </c>
      <c r="E329" s="37" t="n">
        <v>0.946055907458648</v>
      </c>
      <c r="F329" s="37" t="n">
        <v>0.8375342727183488</v>
      </c>
      <c r="G329" s="37" t="n">
        <v>0.4963658855761367</v>
      </c>
      <c r="H329" s="37" t="n">
        <v>0.9166775946077288</v>
      </c>
      <c r="I329" s="37" t="n">
        <v>0.9457881775355844</v>
      </c>
      <c r="J329" s="39" t="inlineStr">
        <is>
          <t>Corregible</t>
        </is>
      </c>
      <c r="K329" s="29" t="n">
        <v>13.96256614223713</v>
      </c>
      <c r="L329" s="35" t="n">
        <v>143.6902470987307</v>
      </c>
      <c r="M329" s="36" t="n">
        <v>3666.393341176753</v>
      </c>
      <c r="N329" s="29" t="n">
        <v>4.217385615578406</v>
      </c>
      <c r="O329" s="16" t="inlineStr">
        <is>
          <t>no</t>
        </is>
      </c>
      <c r="P329" s="16" t="inlineStr">
        <is>
          <t>O2</t>
        </is>
      </c>
    </row>
    <row r="330">
      <c r="A330" s="16" t="inlineStr">
        <is>
          <t>KF-M07-A3-0085</t>
        </is>
      </c>
      <c r="B330" s="36" t="n">
        <v>4805.950043184831</v>
      </c>
      <c r="C330" s="35" t="n">
        <v>1359.556702008076</v>
      </c>
      <c r="D330" s="37" t="n">
        <v>0.85</v>
      </c>
      <c r="E330" s="37" t="n">
        <v>0.946055907458648</v>
      </c>
      <c r="F330" s="37" t="n">
        <v>0.8375342727183488</v>
      </c>
      <c r="G330" s="37" t="n">
        <v>0.4963658855761367</v>
      </c>
      <c r="H330" s="37" t="n">
        <v>0.9166775946077288</v>
      </c>
      <c r="I330" s="37" t="n">
        <v>0.9457881775355844</v>
      </c>
      <c r="J330" s="42" t="inlineStr">
        <is>
          <t>KALINA</t>
        </is>
      </c>
      <c r="K330" s="29" t="n">
        <v>12.41425267835023</v>
      </c>
      <c r="L330" s="35" t="n">
        <v>126.4081780253534</v>
      </c>
      <c r="M330" s="36" t="n">
        <v>3446.393341176755</v>
      </c>
      <c r="N330" s="29" t="n">
        <v>3.534939025409093</v>
      </c>
      <c r="O330" s="16" t="inlineStr">
        <is>
          <t>no</t>
        </is>
      </c>
      <c r="P330" s="16" t="n"/>
    </row>
    <row r="331">
      <c r="A331" s="16" t="inlineStr">
        <is>
          <t>KF-M07-A3-0086</t>
        </is>
      </c>
      <c r="B331" s="36" t="n">
        <v>4805.950043184831</v>
      </c>
      <c r="C331" s="35" t="n">
        <v>1359.556702008076</v>
      </c>
      <c r="D331" s="37" t="n">
        <v>0.7944780327808849</v>
      </c>
      <c r="E331" s="37" t="n">
        <v>0.946055907458648</v>
      </c>
      <c r="F331" s="37" t="n">
        <v>0.8375342727183488</v>
      </c>
      <c r="G331" s="37" t="n">
        <v>0.4963658855761367</v>
      </c>
      <c r="H331" s="37" t="n">
        <v>0.9166775946077288</v>
      </c>
      <c r="I331" s="37" t="n">
        <v>0.9457881775355844</v>
      </c>
      <c r="J331" s="42" t="inlineStr">
        <is>
          <t>KALINA</t>
        </is>
      </c>
      <c r="K331" s="29" t="n">
        <v>12.14050605318523</v>
      </c>
      <c r="L331" s="35" t="n">
        <v>127.0526939559924</v>
      </c>
      <c r="M331" s="36" t="n">
        <v>3446.393341176755</v>
      </c>
      <c r="N331" s="29" t="n">
        <v>3.534939025409093</v>
      </c>
      <c r="O331" s="16" t="inlineStr">
        <is>
          <t>no</t>
        </is>
      </c>
      <c r="P331" s="16" t="n"/>
    </row>
    <row r="332">
      <c r="A332" s="16" t="inlineStr">
        <is>
          <t>KF-M07-A3-0087</t>
        </is>
      </c>
      <c r="B332" s="36" t="n">
        <v>4805.950043184831</v>
      </c>
      <c r="C332" s="35" t="n">
        <v>1359.556702008076</v>
      </c>
      <c r="D332" s="37" t="n">
        <v>0.8294780327808849</v>
      </c>
      <c r="E332" s="37" t="n">
        <v>0.95</v>
      </c>
      <c r="F332" s="37" t="n">
        <v>0.8375342727183488</v>
      </c>
      <c r="G332" s="37" t="n">
        <v>0.4963658855761367</v>
      </c>
      <c r="H332" s="37" t="n">
        <v>0.9166775946077288</v>
      </c>
      <c r="I332" s="37" t="n">
        <v>0.9457881775355844</v>
      </c>
      <c r="J332" s="42" t="inlineStr">
        <is>
          <t>KALINA</t>
        </is>
      </c>
      <c r="K332" s="29" t="n">
        <v>12.39264024587155</v>
      </c>
      <c r="L332" s="35" t="n">
        <v>127.5065767290047</v>
      </c>
      <c r="M332" s="36" t="n">
        <v>3446.393341176755</v>
      </c>
      <c r="N332" s="29" t="n">
        <v>3.534939025409093</v>
      </c>
      <c r="O332" s="16" t="inlineStr">
        <is>
          <t>no</t>
        </is>
      </c>
      <c r="P332" s="16" t="n"/>
    </row>
    <row r="333">
      <c r="A333" s="16" t="inlineStr">
        <is>
          <t>KF-M07-A3-0088</t>
        </is>
      </c>
      <c r="B333" s="36" t="n">
        <v>4805.950043184831</v>
      </c>
      <c r="C333" s="35" t="n">
        <v>1359.556702008076</v>
      </c>
      <c r="D333" s="37" t="n">
        <v>0.8294780327808849</v>
      </c>
      <c r="E333" s="37" t="n">
        <v>0.8910559074586479</v>
      </c>
      <c r="F333" s="37" t="n">
        <v>0.8375342727183488</v>
      </c>
      <c r="G333" s="37" t="n">
        <v>0.4963658855761367</v>
      </c>
      <c r="H333" s="37" t="n">
        <v>0.9166775946077288</v>
      </c>
      <c r="I333" s="37" t="n">
        <v>0.9457881775355844</v>
      </c>
      <c r="J333" s="42" t="inlineStr">
        <is>
          <t>KALINA</t>
        </is>
      </c>
      <c r="K333" s="29" t="n">
        <v>11.59034005215268</v>
      </c>
      <c r="L333" s="35" t="n">
        <v>119.2329669050889</v>
      </c>
      <c r="M333" s="36" t="n">
        <v>3446.393341176755</v>
      </c>
      <c r="N333" s="29" t="n">
        <v>3.534939025409093</v>
      </c>
      <c r="O333" s="16" t="inlineStr">
        <is>
          <t>no</t>
        </is>
      </c>
      <c r="P333" s="16" t="n"/>
    </row>
    <row r="334">
      <c r="A334" s="16" t="inlineStr">
        <is>
          <t>KF-M07-A3-0089</t>
        </is>
      </c>
      <c r="B334" s="36" t="n">
        <v>4805.950043184831</v>
      </c>
      <c r="C334" s="35" t="n">
        <v>1359.556702008076</v>
      </c>
      <c r="D334" s="37" t="n">
        <v>0.8294780327808849</v>
      </c>
      <c r="E334" s="37" t="n">
        <v>0.946055907458648</v>
      </c>
      <c r="F334" s="37" t="n">
        <v>0.8925342727183487</v>
      </c>
      <c r="G334" s="37" t="n">
        <v>0.4963658855761367</v>
      </c>
      <c r="H334" s="37" t="n">
        <v>0.9166775946077288</v>
      </c>
      <c r="I334" s="37" t="n">
        <v>0.9457881775355844</v>
      </c>
      <c r="J334" s="42" t="inlineStr">
        <is>
          <t>KALINA</t>
        </is>
      </c>
      <c r="K334" s="29" t="n">
        <v>12.37239139721886</v>
      </c>
      <c r="L334" s="35" t="n">
        <v>127.3138768095758</v>
      </c>
      <c r="M334" s="36" t="n">
        <v>3446.393341176755</v>
      </c>
      <c r="N334" s="29" t="n">
        <v>3.534939025409093</v>
      </c>
      <c r="O334" s="16" t="inlineStr">
        <is>
          <t>no</t>
        </is>
      </c>
      <c r="P334" s="16" t="n"/>
    </row>
    <row r="335">
      <c r="A335" s="16" t="inlineStr">
        <is>
          <t>KF-M07-A3-0090</t>
        </is>
      </c>
      <c r="B335" s="36" t="n">
        <v>4805.950043184831</v>
      </c>
      <c r="C335" s="35" t="n">
        <v>1359.556702008076</v>
      </c>
      <c r="D335" s="37" t="n">
        <v>0.8294780327808849</v>
      </c>
      <c r="E335" s="37" t="n">
        <v>0.946055907458648</v>
      </c>
      <c r="F335" s="37" t="n">
        <v>0.7825342727183489</v>
      </c>
      <c r="G335" s="37" t="n">
        <v>0.4963658855761367</v>
      </c>
      <c r="H335" s="37" t="n">
        <v>0.9166775946077288</v>
      </c>
      <c r="I335" s="37" t="n">
        <v>0.9457881775355844</v>
      </c>
      <c r="J335" s="42" t="inlineStr">
        <is>
          <t>KALINA</t>
        </is>
      </c>
      <c r="K335" s="29" t="n">
        <v>12.30084705664219</v>
      </c>
      <c r="L335" s="35" t="n">
        <v>126.5415276694552</v>
      </c>
      <c r="M335" s="36" t="n">
        <v>3446.393341176755</v>
      </c>
      <c r="N335" s="29" t="n">
        <v>3.534939025409093</v>
      </c>
      <c r="O335" s="16" t="inlineStr">
        <is>
          <t>no</t>
        </is>
      </c>
      <c r="P335" s="16" t="n"/>
    </row>
    <row r="336">
      <c r="A336" s="16" t="inlineStr">
        <is>
          <t>KF-M07-A3-0091</t>
        </is>
      </c>
      <c r="B336" s="36" t="n">
        <v>4805.950043184831</v>
      </c>
      <c r="C336" s="35" t="n">
        <v>1359.556702008076</v>
      </c>
      <c r="D336" s="37" t="n">
        <v>0.8294780327808849</v>
      </c>
      <c r="E336" s="37" t="n">
        <v>0.946055907458648</v>
      </c>
      <c r="F336" s="37" t="n">
        <v>0.8375342727183488</v>
      </c>
      <c r="G336" s="37" t="n">
        <v>0.5513658855761367</v>
      </c>
      <c r="H336" s="37" t="n">
        <v>0.9166775946077288</v>
      </c>
      <c r="I336" s="37" t="n">
        <v>0.9457881775355844</v>
      </c>
      <c r="J336" s="32" t="inlineStr">
        <is>
          <t>No convergió</t>
        </is>
      </c>
      <c r="K336" s="29" t="inlineStr">
        <is>
          <t>—</t>
        </is>
      </c>
      <c r="L336" s="35" t="inlineStr">
        <is>
          <t>—</t>
        </is>
      </c>
      <c r="M336" s="36" t="n">
        <v>3446.393341176755</v>
      </c>
      <c r="N336" s="29" t="n">
        <v>3.534939025409093</v>
      </c>
      <c r="O336" s="16" t="inlineStr">
        <is>
          <t>no</t>
        </is>
      </c>
      <c r="P336" s="16" t="n"/>
    </row>
    <row r="337">
      <c r="A337" s="16" t="inlineStr">
        <is>
          <t>KF-M07-A3-0092</t>
        </is>
      </c>
      <c r="B337" s="36" t="n">
        <v>4805.950043184831</v>
      </c>
      <c r="C337" s="35" t="n">
        <v>1359.556702008076</v>
      </c>
      <c r="D337" s="37" t="n">
        <v>0.8294780327808849</v>
      </c>
      <c r="E337" s="37" t="n">
        <v>0.946055907458648</v>
      </c>
      <c r="F337" s="37" t="n">
        <v>0.8375342727183488</v>
      </c>
      <c r="G337" s="37" t="n">
        <v>0.4413658855761367</v>
      </c>
      <c r="H337" s="37" t="n">
        <v>0.9166775946077288</v>
      </c>
      <c r="I337" s="37" t="n">
        <v>0.9457881775355844</v>
      </c>
      <c r="J337" s="42" t="inlineStr">
        <is>
          <t>KALINA</t>
        </is>
      </c>
      <c r="K337" s="29" t="n">
        <v>12.17975778584519</v>
      </c>
      <c r="L337" s="35" t="n">
        <v>110.8655793074958</v>
      </c>
      <c r="M337" s="36" t="n">
        <v>3446.393341176755</v>
      </c>
      <c r="N337" s="29" t="n">
        <v>3.534939025409093</v>
      </c>
      <c r="O337" s="16" t="inlineStr">
        <is>
          <t>no</t>
        </is>
      </c>
      <c r="P337" s="16" t="n"/>
    </row>
    <row r="338">
      <c r="A338" s="16" t="inlineStr">
        <is>
          <t>KF-M07-A3-0093</t>
        </is>
      </c>
      <c r="B338" s="36" t="n">
        <v>4805.950043184831</v>
      </c>
      <c r="C338" s="35" t="n">
        <v>1359.556702008076</v>
      </c>
      <c r="D338" s="37" t="n">
        <v>0.8294780327808849</v>
      </c>
      <c r="E338" s="37" t="n">
        <v>0.946055907458648</v>
      </c>
      <c r="F338" s="37" t="n">
        <v>0.8375342727183488</v>
      </c>
      <c r="G338" s="37" t="n">
        <v>0.4963658855761367</v>
      </c>
      <c r="H338" s="37" t="n">
        <v>0.95</v>
      </c>
      <c r="I338" s="37" t="n">
        <v>0.9457881775355844</v>
      </c>
      <c r="J338" s="42" t="inlineStr">
        <is>
          <t>KALINA</t>
        </is>
      </c>
      <c r="K338" s="29" t="n">
        <v>12.39341428621817</v>
      </c>
      <c r="L338" s="35" t="n">
        <v>127.2582090496567</v>
      </c>
      <c r="M338" s="36" t="n">
        <v>3446.393341176755</v>
      </c>
      <c r="N338" s="29" t="n">
        <v>3.534939025409093</v>
      </c>
      <c r="O338" s="16" t="inlineStr">
        <is>
          <t>no</t>
        </is>
      </c>
      <c r="P338" s="16" t="n"/>
    </row>
    <row r="339">
      <c r="A339" s="16" t="inlineStr">
        <is>
          <t>KF-M07-A3-0094</t>
        </is>
      </c>
      <c r="B339" s="36" t="n">
        <v>4805.950043184831</v>
      </c>
      <c r="C339" s="35" t="n">
        <v>1359.556702008076</v>
      </c>
      <c r="D339" s="37" t="n">
        <v>0.8294780327808849</v>
      </c>
      <c r="E339" s="37" t="n">
        <v>0.946055907458648</v>
      </c>
      <c r="F339" s="37" t="n">
        <v>0.8375342727183488</v>
      </c>
      <c r="G339" s="37" t="n">
        <v>0.4963658855761367</v>
      </c>
      <c r="H339" s="37" t="n">
        <v>0.8616775946077286</v>
      </c>
      <c r="I339" s="37" t="n">
        <v>0.9457881775355844</v>
      </c>
      <c r="J339" s="42" t="inlineStr">
        <is>
          <t>KALINA</t>
        </is>
      </c>
      <c r="K339" s="29" t="n">
        <v>12.24899421906722</v>
      </c>
      <c r="L339" s="35" t="n">
        <v>126.4457958443398</v>
      </c>
      <c r="M339" s="36" t="n">
        <v>3446.393341176755</v>
      </c>
      <c r="N339" s="29" t="n">
        <v>3.534939025409093</v>
      </c>
      <c r="O339" s="16" t="inlineStr">
        <is>
          <t>no</t>
        </is>
      </c>
      <c r="P339" s="16" t="n"/>
    </row>
    <row r="340">
      <c r="A340" s="16" t="inlineStr">
        <is>
          <t>KF-M07-A3-0095</t>
        </is>
      </c>
      <c r="B340" s="36" t="n">
        <v>4805.950043184831</v>
      </c>
      <c r="C340" s="35" t="n">
        <v>1359.556702008076</v>
      </c>
      <c r="D340" s="37" t="n">
        <v>0.8294780327808849</v>
      </c>
      <c r="E340" s="37" t="n">
        <v>0.946055907458648</v>
      </c>
      <c r="F340" s="37" t="n">
        <v>0.8375342727183488</v>
      </c>
      <c r="G340" s="37" t="n">
        <v>0.4963658855761367</v>
      </c>
      <c r="H340" s="37" t="n">
        <v>0.9166775946077288</v>
      </c>
      <c r="I340" s="37" t="n">
        <v>0.95</v>
      </c>
      <c r="J340" s="42" t="inlineStr">
        <is>
          <t>KALINA</t>
        </is>
      </c>
      <c r="K340" s="29" t="n">
        <v>12.30191504303404</v>
      </c>
      <c r="L340" s="35" t="n">
        <v>126.749580217851</v>
      </c>
      <c r="M340" s="36" t="n">
        <v>3446.393341176755</v>
      </c>
      <c r="N340" s="29" t="n">
        <v>3.534939025409093</v>
      </c>
      <c r="O340" s="16" t="inlineStr">
        <is>
          <t>no</t>
        </is>
      </c>
      <c r="P340" s="16" t="n"/>
    </row>
    <row r="341">
      <c r="A341" s="16" t="inlineStr">
        <is>
          <t>KF-M07-A3-0096</t>
        </is>
      </c>
      <c r="B341" s="36" t="n">
        <v>4805.950043184831</v>
      </c>
      <c r="C341" s="35" t="n">
        <v>1359.556702008076</v>
      </c>
      <c r="D341" s="37" t="n">
        <v>0.8294780327808849</v>
      </c>
      <c r="E341" s="37" t="n">
        <v>0.946055907458648</v>
      </c>
      <c r="F341" s="37" t="n">
        <v>0.8375342727183488</v>
      </c>
      <c r="G341" s="37" t="n">
        <v>0.4963658855761367</v>
      </c>
      <c r="H341" s="37" t="n">
        <v>0.9166775946077288</v>
      </c>
      <c r="I341" s="37" t="n">
        <v>0.8907881775355844</v>
      </c>
      <c r="J341" s="39" t="inlineStr">
        <is>
          <t>Corregible</t>
        </is>
      </c>
      <c r="K341" s="29" t="n">
        <v>12.81925906419399</v>
      </c>
      <c r="L341" s="35" t="n">
        <v>129.3279796242402</v>
      </c>
      <c r="M341" s="36" t="n">
        <v>3446.393341176755</v>
      </c>
      <c r="N341" s="29" t="n">
        <v>3.534939025409093</v>
      </c>
      <c r="O341" s="16" t="inlineStr">
        <is>
          <t>no</t>
        </is>
      </c>
      <c r="P341" s="16" t="inlineStr">
        <is>
          <t>O2</t>
        </is>
      </c>
    </row>
    <row r="342">
      <c r="A342" s="16" t="inlineStr">
        <is>
          <t>KF-M07-A3-0097</t>
        </is>
      </c>
      <c r="B342" s="36" t="n">
        <v>4700</v>
      </c>
      <c r="C342" s="35" t="n">
        <v>1359.556702008076</v>
      </c>
      <c r="D342" s="37" t="n">
        <v>0.8294780327808849</v>
      </c>
      <c r="E342" s="37" t="n">
        <v>0.946055907458648</v>
      </c>
      <c r="F342" s="37" t="n">
        <v>0.8375342727183488</v>
      </c>
      <c r="G342" s="37" t="n">
        <v>0.4963658855761367</v>
      </c>
      <c r="H342" s="37" t="n">
        <v>0.9166775946077288</v>
      </c>
      <c r="I342" s="37" t="n">
        <v>0.9457881775355844</v>
      </c>
      <c r="J342" s="42" t="inlineStr">
        <is>
          <t>KALINA</t>
        </is>
      </c>
      <c r="K342" s="29" t="n">
        <v>12.15411321365867</v>
      </c>
      <c r="L342" s="35" t="n">
        <v>125.2281253671833</v>
      </c>
      <c r="M342" s="36" t="n">
        <v>3340.443297991924</v>
      </c>
      <c r="N342" s="29" t="n">
        <v>3.457009180314481</v>
      </c>
      <c r="O342" s="16" t="inlineStr">
        <is>
          <t>no</t>
        </is>
      </c>
      <c r="P342" s="16" t="n"/>
    </row>
    <row r="343">
      <c r="A343" s="16" t="inlineStr">
        <is>
          <t>KF-M07-A3-0098</t>
        </is>
      </c>
      <c r="B343" s="36" t="n">
        <v>5000</v>
      </c>
      <c r="C343" s="35" t="n">
        <v>1579.556702008076</v>
      </c>
      <c r="D343" s="37" t="n">
        <v>0.8294780327808849</v>
      </c>
      <c r="E343" s="37" t="n">
        <v>0.946055907458648</v>
      </c>
      <c r="F343" s="37" t="n">
        <v>0.8375342727183488</v>
      </c>
      <c r="G343" s="37" t="n">
        <v>0.4963658855761367</v>
      </c>
      <c r="H343" s="37" t="n">
        <v>0.9166775946077288</v>
      </c>
      <c r="I343" s="37" t="n">
        <v>0.9457881775355844</v>
      </c>
      <c r="J343" s="42" t="inlineStr">
        <is>
          <t>KALINA</t>
        </is>
      </c>
      <c r="K343" s="29" t="n">
        <v>11.26516362875531</v>
      </c>
      <c r="L343" s="35" t="n">
        <v>115.5837041830696</v>
      </c>
      <c r="M343" s="36" t="n">
        <v>3420.443297991924</v>
      </c>
      <c r="N343" s="29" t="n">
        <v>3.165445085727878</v>
      </c>
      <c r="O343" s="16" t="inlineStr">
        <is>
          <t>no</t>
        </is>
      </c>
      <c r="P343" s="16" t="n"/>
    </row>
    <row r="344">
      <c r="A344" s="16" t="inlineStr">
        <is>
          <t>KF-M07-A3-0099</t>
        </is>
      </c>
      <c r="B344" s="36" t="n">
        <v>5000</v>
      </c>
      <c r="C344" s="35" t="n">
        <v>1139.556702008077</v>
      </c>
      <c r="D344" s="37" t="n">
        <v>0.8294780327808849</v>
      </c>
      <c r="E344" s="37" t="n">
        <v>0.946055907458648</v>
      </c>
      <c r="F344" s="37" t="n">
        <v>0.8375342727183488</v>
      </c>
      <c r="G344" s="37" t="n">
        <v>0.4963658855761367</v>
      </c>
      <c r="H344" s="37" t="n">
        <v>0.9166775946077288</v>
      </c>
      <c r="I344" s="37" t="n">
        <v>0.9457881775355844</v>
      </c>
      <c r="J344" s="39" t="inlineStr">
        <is>
          <t>Corregible</t>
        </is>
      </c>
      <c r="K344" s="29" t="n">
        <v>14.27864879658943</v>
      </c>
      <c r="L344" s="35" t="n">
        <v>146.5630070225768</v>
      </c>
      <c r="M344" s="36" t="n">
        <v>3860.443297991923</v>
      </c>
      <c r="N344" s="29" t="n">
        <v>4.387671092793558</v>
      </c>
      <c r="O344" s="16" t="inlineStr">
        <is>
          <t>no</t>
        </is>
      </c>
      <c r="P344" s="16" t="inlineStr">
        <is>
          <t>O2</t>
        </is>
      </c>
    </row>
    <row r="345">
      <c r="A345" s="16" t="inlineStr">
        <is>
          <t>KF-M07-A3-0100</t>
        </is>
      </c>
      <c r="B345" s="36" t="n">
        <v>5000</v>
      </c>
      <c r="C345" s="35" t="n">
        <v>1359.556702008076</v>
      </c>
      <c r="D345" s="37" t="n">
        <v>0.85</v>
      </c>
      <c r="E345" s="37" t="n">
        <v>0.946055907458648</v>
      </c>
      <c r="F345" s="37" t="n">
        <v>0.8375342727183488</v>
      </c>
      <c r="G345" s="37" t="n">
        <v>0.4963658855761367</v>
      </c>
      <c r="H345" s="37" t="n">
        <v>0.9166775946077288</v>
      </c>
      <c r="I345" s="37" t="n">
        <v>0.9457881775355844</v>
      </c>
      <c r="J345" s="42" t="inlineStr">
        <is>
          <t>KALINA</t>
        </is>
      </c>
      <c r="K345" s="29" t="n">
        <v>12.73867502186851</v>
      </c>
      <c r="L345" s="35" t="n">
        <v>129.3867377753007</v>
      </c>
      <c r="M345" s="36" t="n">
        <v>3640.443297991924</v>
      </c>
      <c r="N345" s="29" t="n">
        <v>3.677669340760087</v>
      </c>
      <c r="O345" s="16" t="inlineStr">
        <is>
          <t>no</t>
        </is>
      </c>
      <c r="P345" s="16" t="n"/>
    </row>
    <row r="346">
      <c r="A346" s="16" t="inlineStr">
        <is>
          <t>KF-M07-A3-0101</t>
        </is>
      </c>
      <c r="B346" s="36" t="n">
        <v>5000</v>
      </c>
      <c r="C346" s="35" t="n">
        <v>1359.556702008076</v>
      </c>
      <c r="D346" s="37" t="n">
        <v>0.7944780327808849</v>
      </c>
      <c r="E346" s="37" t="n">
        <v>0.946055907458648</v>
      </c>
      <c r="F346" s="37" t="n">
        <v>0.8375342727183488</v>
      </c>
      <c r="G346" s="37" t="n">
        <v>0.4963658855761367</v>
      </c>
      <c r="H346" s="37" t="n">
        <v>0.9166775946077288</v>
      </c>
      <c r="I346" s="37" t="n">
        <v>0.9457881775355844</v>
      </c>
      <c r="J346" s="42" t="inlineStr">
        <is>
          <t>KALINA</t>
        </is>
      </c>
      <c r="K346" s="29" t="n">
        <v>12.46260384749201</v>
      </c>
      <c r="L346" s="35" t="n">
        <v>130.0682549375357</v>
      </c>
      <c r="M346" s="36" t="n">
        <v>3640.443297991924</v>
      </c>
      <c r="N346" s="29" t="n">
        <v>3.677669340760087</v>
      </c>
      <c r="O346" s="16" t="inlineStr">
        <is>
          <t>sí</t>
        </is>
      </c>
      <c r="P346" s="16" t="n"/>
    </row>
    <row r="347">
      <c r="A347" s="16" t="inlineStr">
        <is>
          <t>KF-M07-A3-0102</t>
        </is>
      </c>
      <c r="B347" s="36" t="n">
        <v>5000</v>
      </c>
      <c r="C347" s="35" t="n">
        <v>1359.556702008076</v>
      </c>
      <c r="D347" s="37" t="n">
        <v>0.8294780327808849</v>
      </c>
      <c r="E347" s="37" t="n">
        <v>0.95</v>
      </c>
      <c r="F347" s="37" t="n">
        <v>0.8375342727183488</v>
      </c>
      <c r="G347" s="37" t="n">
        <v>0.4963658855761367</v>
      </c>
      <c r="H347" s="37" t="n">
        <v>0.9166775946077288</v>
      </c>
      <c r="I347" s="37" t="n">
        <v>0.9457881775355844</v>
      </c>
      <c r="J347" s="42" t="inlineStr">
        <is>
          <t>KALINA</t>
        </is>
      </c>
      <c r="K347" s="29" t="n">
        <v>12.71856312080804</v>
      </c>
      <c r="L347" s="35" t="n">
        <v>130.5218487092357</v>
      </c>
      <c r="M347" s="36" t="n">
        <v>3640.443297991924</v>
      </c>
      <c r="N347" s="29" t="n">
        <v>3.677669340760087</v>
      </c>
      <c r="O347" s="16" t="inlineStr">
        <is>
          <t>no</t>
        </is>
      </c>
      <c r="P347" s="16" t="n"/>
    </row>
    <row r="348">
      <c r="A348" s="16" t="inlineStr">
        <is>
          <t>KF-M07-A3-0103</t>
        </is>
      </c>
      <c r="B348" s="36" t="n">
        <v>5000</v>
      </c>
      <c r="C348" s="35" t="n">
        <v>1359.556702008076</v>
      </c>
      <c r="D348" s="37" t="n">
        <v>0.8294780327808849</v>
      </c>
      <c r="E348" s="37" t="n">
        <v>0.8910559074586479</v>
      </c>
      <c r="F348" s="37" t="n">
        <v>0.8375342727183488</v>
      </c>
      <c r="G348" s="37" t="n">
        <v>0.4963658855761367</v>
      </c>
      <c r="H348" s="37" t="n">
        <v>0.9166775946077288</v>
      </c>
      <c r="I348" s="37" t="n">
        <v>0.9457881775355844</v>
      </c>
      <c r="J348" s="42" t="inlineStr">
        <is>
          <t>KALINA</t>
        </is>
      </c>
      <c r="K348" s="29" t="n">
        <v>11.89405775312999</v>
      </c>
      <c r="L348" s="35" t="n">
        <v>122.0408289391703</v>
      </c>
      <c r="M348" s="36" t="n">
        <v>3640.443297991924</v>
      </c>
      <c r="N348" s="29" t="n">
        <v>3.677669340760087</v>
      </c>
      <c r="O348" s="16" t="inlineStr">
        <is>
          <t>no</t>
        </is>
      </c>
      <c r="P348" s="16" t="n"/>
    </row>
    <row r="349">
      <c r="A349" s="16" t="inlineStr">
        <is>
          <t>KF-M07-A3-0104</t>
        </is>
      </c>
      <c r="B349" s="36" t="n">
        <v>5000</v>
      </c>
      <c r="C349" s="35" t="n">
        <v>1359.556702008076</v>
      </c>
      <c r="D349" s="37" t="n">
        <v>0.8294780327808849</v>
      </c>
      <c r="E349" s="37" t="n">
        <v>0.946055907458648</v>
      </c>
      <c r="F349" s="37" t="n">
        <v>0.8925342727183487</v>
      </c>
      <c r="G349" s="37" t="n">
        <v>0.4963658855761367</v>
      </c>
      <c r="H349" s="37" t="n">
        <v>0.9166775946077288</v>
      </c>
      <c r="I349" s="37" t="n">
        <v>0.9457881775355844</v>
      </c>
      <c r="J349" s="42" t="inlineStr">
        <is>
          <t>KALINA</t>
        </is>
      </c>
      <c r="K349" s="29" t="n">
        <v>12.69869483689943</v>
      </c>
      <c r="L349" s="35" t="n">
        <v>130.3348443149099</v>
      </c>
      <c r="M349" s="36" t="n">
        <v>3640.443297991924</v>
      </c>
      <c r="N349" s="29" t="n">
        <v>3.677669340760087</v>
      </c>
      <c r="O349" s="16" t="inlineStr">
        <is>
          <t>no</t>
        </is>
      </c>
      <c r="P349" s="16" t="n"/>
    </row>
    <row r="350">
      <c r="A350" s="16" t="inlineStr">
        <is>
          <t>KF-M07-A3-0105</t>
        </is>
      </c>
      <c r="B350" s="36" t="n">
        <v>5000</v>
      </c>
      <c r="C350" s="35" t="n">
        <v>1359.556702008076</v>
      </c>
      <c r="D350" s="37" t="n">
        <v>0.8294780327808849</v>
      </c>
      <c r="E350" s="37" t="n">
        <v>0.946055907458648</v>
      </c>
      <c r="F350" s="37" t="n">
        <v>0.7825342727183489</v>
      </c>
      <c r="G350" s="37" t="n">
        <v>0.4963658855761367</v>
      </c>
      <c r="H350" s="37" t="n">
        <v>0.9166775946077288</v>
      </c>
      <c r="I350" s="37" t="n">
        <v>0.9457881775355844</v>
      </c>
      <c r="J350" s="42" t="inlineStr">
        <is>
          <t>KALINA</t>
        </is>
      </c>
      <c r="K350" s="29" t="n">
        <v>12.62315625633228</v>
      </c>
      <c r="L350" s="35" t="n">
        <v>129.5206074127984</v>
      </c>
      <c r="M350" s="36" t="n">
        <v>3640.443297991924</v>
      </c>
      <c r="N350" s="29" t="n">
        <v>3.677669340760087</v>
      </c>
      <c r="O350" s="16" t="inlineStr">
        <is>
          <t>no</t>
        </is>
      </c>
      <c r="P350" s="16" t="n"/>
    </row>
    <row r="351">
      <c r="A351" s="16" t="inlineStr">
        <is>
          <t>KF-M07-A3-0106</t>
        </is>
      </c>
      <c r="B351" s="36" t="n">
        <v>5000</v>
      </c>
      <c r="C351" s="35" t="n">
        <v>1359.556702008076</v>
      </c>
      <c r="D351" s="37" t="n">
        <v>0.8294780327808849</v>
      </c>
      <c r="E351" s="37" t="n">
        <v>0.946055907458648</v>
      </c>
      <c r="F351" s="37" t="n">
        <v>0.8375342727183488</v>
      </c>
      <c r="G351" s="37" t="n">
        <v>0.5513658855761367</v>
      </c>
      <c r="H351" s="37" t="n">
        <v>0.9166775946077288</v>
      </c>
      <c r="I351" s="37" t="n">
        <v>0.9457881775355844</v>
      </c>
      <c r="J351" s="32" t="inlineStr">
        <is>
          <t>No convergió</t>
        </is>
      </c>
      <c r="K351" s="29" t="inlineStr">
        <is>
          <t>—</t>
        </is>
      </c>
      <c r="L351" s="35" t="inlineStr">
        <is>
          <t>—</t>
        </is>
      </c>
      <c r="M351" s="36" t="n">
        <v>3640.443297991924</v>
      </c>
      <c r="N351" s="29" t="n">
        <v>3.677669340760087</v>
      </c>
      <c r="O351" s="16" t="inlineStr">
        <is>
          <t>no</t>
        </is>
      </c>
      <c r="P351" s="16" t="n"/>
    </row>
    <row r="352">
      <c r="A352" s="16" t="inlineStr">
        <is>
          <t>KF-M07-A3-0107</t>
        </is>
      </c>
      <c r="B352" s="36" t="n">
        <v>5000</v>
      </c>
      <c r="C352" s="35" t="n">
        <v>1359.556702008076</v>
      </c>
      <c r="D352" s="37" t="n">
        <v>0.8294780327808849</v>
      </c>
      <c r="E352" s="37" t="n">
        <v>0.946055907458648</v>
      </c>
      <c r="F352" s="37" t="n">
        <v>0.8375342727183488</v>
      </c>
      <c r="G352" s="37" t="n">
        <v>0.4413658855761367</v>
      </c>
      <c r="H352" s="37" t="n">
        <v>0.9166775946077288</v>
      </c>
      <c r="I352" s="37" t="n">
        <v>0.9457881775355844</v>
      </c>
      <c r="J352" s="42" t="inlineStr">
        <is>
          <t>KALINA</t>
        </is>
      </c>
      <c r="K352" s="29" t="n">
        <v>12.49426380317381</v>
      </c>
      <c r="L352" s="35" t="n">
        <v>113.3871747605827</v>
      </c>
      <c r="M352" s="36" t="n">
        <v>3640.443297991924</v>
      </c>
      <c r="N352" s="29" t="n">
        <v>3.677669340760087</v>
      </c>
      <c r="O352" s="16" t="inlineStr">
        <is>
          <t>no</t>
        </is>
      </c>
      <c r="P352" s="16" t="n"/>
    </row>
    <row r="353">
      <c r="A353" s="16" t="inlineStr">
        <is>
          <t>KF-M07-A3-0108</t>
        </is>
      </c>
      <c r="B353" s="36" t="n">
        <v>5000</v>
      </c>
      <c r="C353" s="35" t="n">
        <v>1359.556702008076</v>
      </c>
      <c r="D353" s="37" t="n">
        <v>0.8294780327808849</v>
      </c>
      <c r="E353" s="37" t="n">
        <v>0.946055907458648</v>
      </c>
      <c r="F353" s="37" t="n">
        <v>0.8375342727183488</v>
      </c>
      <c r="G353" s="37" t="n">
        <v>0.4963658855761367</v>
      </c>
      <c r="H353" s="37" t="n">
        <v>0.95</v>
      </c>
      <c r="I353" s="37" t="n">
        <v>0.9457881775355844</v>
      </c>
      <c r="J353" s="42" t="inlineStr">
        <is>
          <t>KALINA</t>
        </is>
      </c>
      <c r="K353" s="29" t="n">
        <v>12.7209764111569</v>
      </c>
      <c r="L353" s="35" t="n">
        <v>130.2778178218835</v>
      </c>
      <c r="M353" s="36" t="n">
        <v>3640.443297991924</v>
      </c>
      <c r="N353" s="29" t="n">
        <v>3.677669340760087</v>
      </c>
      <c r="O353" s="16" t="inlineStr">
        <is>
          <t>no</t>
        </is>
      </c>
      <c r="P353" s="16" t="n"/>
    </row>
    <row r="354">
      <c r="A354" s="16" t="inlineStr">
        <is>
          <t>KF-M07-A3-0109</t>
        </is>
      </c>
      <c r="B354" s="36" t="n">
        <v>5000</v>
      </c>
      <c r="C354" s="35" t="n">
        <v>1359.556702008076</v>
      </c>
      <c r="D354" s="37" t="n">
        <v>0.8294780327808849</v>
      </c>
      <c r="E354" s="37" t="n">
        <v>0.946055907458648</v>
      </c>
      <c r="F354" s="37" t="n">
        <v>0.8375342727183488</v>
      </c>
      <c r="G354" s="37" t="n">
        <v>0.4963658855761367</v>
      </c>
      <c r="H354" s="37" t="n">
        <v>0.8616775946077286</v>
      </c>
      <c r="I354" s="37" t="n">
        <v>0.9457881775355844</v>
      </c>
      <c r="J354" s="42" t="inlineStr">
        <is>
          <t>KALINA</t>
        </is>
      </c>
      <c r="K354" s="29" t="n">
        <v>12.5682502401505</v>
      </c>
      <c r="L354" s="35" t="n">
        <v>129.4167441760853</v>
      </c>
      <c r="M354" s="36" t="n">
        <v>3640.443297991924</v>
      </c>
      <c r="N354" s="29" t="n">
        <v>3.677669340760087</v>
      </c>
      <c r="O354" s="16" t="inlineStr">
        <is>
          <t>no</t>
        </is>
      </c>
      <c r="P354" s="16" t="n"/>
    </row>
    <row r="355">
      <c r="A355" s="16" t="inlineStr">
        <is>
          <t>KF-M07-A3-0110</t>
        </is>
      </c>
      <c r="B355" s="36" t="n">
        <v>5000</v>
      </c>
      <c r="C355" s="35" t="n">
        <v>1359.556702008076</v>
      </c>
      <c r="D355" s="37" t="n">
        <v>0.8294780327808849</v>
      </c>
      <c r="E355" s="37" t="n">
        <v>0.946055907458648</v>
      </c>
      <c r="F355" s="37" t="n">
        <v>0.8375342727183488</v>
      </c>
      <c r="G355" s="37" t="n">
        <v>0.4963658855761367</v>
      </c>
      <c r="H355" s="37" t="n">
        <v>0.9166775946077288</v>
      </c>
      <c r="I355" s="37" t="n">
        <v>0.95</v>
      </c>
      <c r="J355" s="42" t="inlineStr">
        <is>
          <t>KALINA</t>
        </is>
      </c>
      <c r="K355" s="29" t="n">
        <v>12.62555536175114</v>
      </c>
      <c r="L355" s="35" t="n">
        <v>129.7462353334533</v>
      </c>
      <c r="M355" s="36" t="n">
        <v>3640.443297991924</v>
      </c>
      <c r="N355" s="29" t="n">
        <v>3.677669340760087</v>
      </c>
      <c r="O355" s="16" t="inlineStr">
        <is>
          <t>no</t>
        </is>
      </c>
      <c r="P355" s="16" t="n"/>
    </row>
    <row r="356">
      <c r="A356" s="16" t="inlineStr">
        <is>
          <t>KF-M07-A3-0111</t>
        </is>
      </c>
      <c r="B356" s="36" t="n">
        <v>5000</v>
      </c>
      <c r="C356" s="35" t="n">
        <v>1359.556702008076</v>
      </c>
      <c r="D356" s="37" t="n">
        <v>0.8294780327808849</v>
      </c>
      <c r="E356" s="37" t="n">
        <v>0.946055907458648</v>
      </c>
      <c r="F356" s="37" t="n">
        <v>0.8375342727183488</v>
      </c>
      <c r="G356" s="37" t="n">
        <v>0.4963658855761367</v>
      </c>
      <c r="H356" s="37" t="n">
        <v>0.9166775946077288</v>
      </c>
      <c r="I356" s="37" t="n">
        <v>0.8907881775355844</v>
      </c>
      <c r="J356" s="39" t="inlineStr">
        <is>
          <t>Corregible</t>
        </is>
      </c>
      <c r="K356" s="29" t="n">
        <v>13.15635094450626</v>
      </c>
      <c r="L356" s="35" t="n">
        <v>132.4113295304518</v>
      </c>
      <c r="M356" s="36" t="n">
        <v>3640.443297991924</v>
      </c>
      <c r="N356" s="29" t="n">
        <v>3.677669340760087</v>
      </c>
      <c r="O356" s="16" t="inlineStr">
        <is>
          <t>no</t>
        </is>
      </c>
      <c r="P356" s="16" t="inlineStr">
        <is>
          <t>O2</t>
        </is>
      </c>
    </row>
    <row r="357"/>
    <row r="358">
      <c r="A358" s="33" t="inlineStr">
        <is>
          <t>Parte 5.1d · conserva sus presiones y su clima · 113 puntos</t>
        </is>
      </c>
      <c r="B358" s="31" t="n"/>
      <c r="C358" s="31" t="n"/>
      <c r="D358" s="31" t="n"/>
      <c r="E358" s="31" t="n"/>
      <c r="F358" s="31" t="n"/>
      <c r="G358" s="31" t="n"/>
      <c r="H358" s="31" t="n"/>
      <c r="I358" s="31" t="n"/>
      <c r="J358" s="31" t="n"/>
      <c r="K358" s="31" t="n"/>
    </row>
    <row r="359"/>
    <row r="360">
      <c r="A360" s="34" t="inlineStr">
        <is>
          <t>Barrido de la parte 5.1d · 113 puntos</t>
        </is>
      </c>
    </row>
    <row r="361">
      <c r="A361" s="25" t="inlineStr">
        <is>
          <t>Fijos en este barrido: T_sumidero = 300.03, P_alta = 3000, P_baja = 400.</t>
        </is>
      </c>
    </row>
    <row r="362">
      <c r="A362" s="22" t="inlineStr">
        <is>
          <t>id_punto</t>
        </is>
      </c>
      <c r="B362" s="22" t="inlineStr">
        <is>
          <t>T_fuente [K]</t>
        </is>
      </c>
      <c r="C362" s="22" t="inlineStr">
        <is>
          <t>x_b [–]</t>
        </is>
      </c>
      <c r="D362" s="22" t="inlineStr">
        <is>
          <t>η_t [–]</t>
        </is>
      </c>
      <c r="E362" s="22" t="inlineStr">
        <is>
          <t>η_p [–]</t>
        </is>
      </c>
      <c r="F362" s="22" t="inlineStr">
        <is>
          <t>ε_HRVG [–]</t>
        </is>
      </c>
      <c r="G362" s="22" t="inlineStr">
        <is>
          <t>ε_reg [–]</t>
        </is>
      </c>
      <c r="H362" s="22" t="inlineStr">
        <is>
          <t>ε_cond [–]</t>
        </is>
      </c>
      <c r="I362" s="22" t="inlineStr">
        <is>
          <t>Clase</t>
        </is>
      </c>
      <c r="J362" s="22" t="inlineStr">
        <is>
          <t>η [%]</t>
        </is>
      </c>
      <c r="K362" s="22" t="inlineStr">
        <is>
          <t>W_net [kW] (m_b = 1 kg/s)</t>
        </is>
      </c>
      <c r="L362" s="22" t="inlineStr">
        <is>
          <t>ΔP [kPa]</t>
        </is>
      </c>
      <c r="M362" s="22" t="inlineStr">
        <is>
          <t>r_P [–]</t>
        </is>
      </c>
      <c r="N362" s="22" t="inlineStr">
        <is>
          <t>Fuera de rango</t>
        </is>
      </c>
      <c r="O362" s="22" t="inlineStr">
        <is>
          <t>Criterios que falla</t>
        </is>
      </c>
    </row>
    <row r="363">
      <c r="A363" s="16" t="inlineStr">
        <is>
          <t>KF-M07-A4-0000</t>
        </is>
      </c>
      <c r="B363" s="35" t="n">
        <v>403</v>
      </c>
      <c r="C363" s="37" t="n">
        <v>0.5</v>
      </c>
      <c r="D363" s="37" t="n">
        <v>0.85</v>
      </c>
      <c r="E363" s="37" t="n">
        <v>0.75</v>
      </c>
      <c r="F363" s="37" t="n">
        <v>0.85</v>
      </c>
      <c r="G363" s="37" t="n">
        <v>0.75</v>
      </c>
      <c r="H363" s="37" t="n">
        <v>0.95</v>
      </c>
      <c r="I363" s="42" t="inlineStr">
        <is>
          <t>KALINA</t>
        </is>
      </c>
      <c r="J363" s="29" t="n">
        <v>9.504720128032099</v>
      </c>
      <c r="K363" s="35" t="n">
        <v>30.67541128254607</v>
      </c>
      <c r="L363" s="36" t="n">
        <v>2600</v>
      </c>
      <c r="M363" s="29" t="n">
        <v>7.5</v>
      </c>
      <c r="N363" s="16" t="inlineStr">
        <is>
          <t>no</t>
        </is>
      </c>
      <c r="O363" s="16" t="n"/>
    </row>
    <row r="364">
      <c r="A364" s="16" t="inlineStr">
        <is>
          <t>KF-M07-A4-0001</t>
        </is>
      </c>
      <c r="B364" s="35" t="n">
        <v>415</v>
      </c>
      <c r="C364" s="37" t="n">
        <v>0.5</v>
      </c>
      <c r="D364" s="37" t="n">
        <v>0.85</v>
      </c>
      <c r="E364" s="37" t="n">
        <v>0.75</v>
      </c>
      <c r="F364" s="37" t="n">
        <v>0.85</v>
      </c>
      <c r="G364" s="37" t="n">
        <v>0.75</v>
      </c>
      <c r="H364" s="37" t="n">
        <v>0.95</v>
      </c>
      <c r="I364" s="39" t="inlineStr">
        <is>
          <t>Corregible</t>
        </is>
      </c>
      <c r="J364" s="29" t="n">
        <v>11.42417313596014</v>
      </c>
      <c r="K364" s="35" t="n">
        <v>54.01874847580754</v>
      </c>
      <c r="L364" s="36" t="n">
        <v>2600</v>
      </c>
      <c r="M364" s="29" t="n">
        <v>7.5</v>
      </c>
      <c r="N364" s="16" t="inlineStr">
        <is>
          <t>no</t>
        </is>
      </c>
      <c r="O364" s="16" t="inlineStr">
        <is>
          <t>O2</t>
        </is>
      </c>
    </row>
    <row r="365">
      <c r="A365" s="16" t="inlineStr">
        <is>
          <t>KF-M07-A4-0002</t>
        </is>
      </c>
      <c r="B365" s="35" t="n">
        <v>391</v>
      </c>
      <c r="C365" s="37" t="n">
        <v>0.5</v>
      </c>
      <c r="D365" s="37" t="n">
        <v>0.85</v>
      </c>
      <c r="E365" s="37" t="n">
        <v>0.75</v>
      </c>
      <c r="F365" s="37" t="n">
        <v>0.85</v>
      </c>
      <c r="G365" s="37" t="n">
        <v>0.75</v>
      </c>
      <c r="H365" s="37" t="n">
        <v>0.95</v>
      </c>
      <c r="I365" s="42" t="inlineStr">
        <is>
          <t>KALINA</t>
        </is>
      </c>
      <c r="J365" s="29" t="n">
        <v>3.57410568726834</v>
      </c>
      <c r="K365" s="35" t="n">
        <v>5.916628833656313</v>
      </c>
      <c r="L365" s="36" t="n">
        <v>2600</v>
      </c>
      <c r="M365" s="29" t="n">
        <v>7.5</v>
      </c>
      <c r="N365" s="16" t="inlineStr">
        <is>
          <t>no</t>
        </is>
      </c>
      <c r="O365" s="16" t="n"/>
    </row>
    <row r="366">
      <c r="A366" s="16" t="inlineStr">
        <is>
          <t>KF-M07-A4-0003</t>
        </is>
      </c>
      <c r="B366" s="35" t="n">
        <v>403</v>
      </c>
      <c r="C366" s="37" t="n">
        <v>0.535</v>
      </c>
      <c r="D366" s="37" t="n">
        <v>0.85</v>
      </c>
      <c r="E366" s="37" t="n">
        <v>0.75</v>
      </c>
      <c r="F366" s="37" t="n">
        <v>0.85</v>
      </c>
      <c r="G366" s="37" t="n">
        <v>0.75</v>
      </c>
      <c r="H366" s="37" t="n">
        <v>0.95</v>
      </c>
      <c r="I366" s="39" t="inlineStr">
        <is>
          <t>Corregible</t>
        </is>
      </c>
      <c r="J366" s="29" t="n">
        <v>11.26975106970232</v>
      </c>
      <c r="K366" s="35" t="n">
        <v>45.45217814542532</v>
      </c>
      <c r="L366" s="36" t="n">
        <v>2600</v>
      </c>
      <c r="M366" s="29" t="n">
        <v>7.5</v>
      </c>
      <c r="N366" s="16" t="inlineStr">
        <is>
          <t>no</t>
        </is>
      </c>
      <c r="O366" s="16" t="inlineStr">
        <is>
          <t>O2</t>
        </is>
      </c>
    </row>
    <row r="367">
      <c r="A367" s="16" t="inlineStr">
        <is>
          <t>KF-M07-A4-0004</t>
        </is>
      </c>
      <c r="B367" s="35" t="n">
        <v>403</v>
      </c>
      <c r="C367" s="37" t="n">
        <v>0.5</v>
      </c>
      <c r="D367" s="37" t="n">
        <v>0.905</v>
      </c>
      <c r="E367" s="37" t="n">
        <v>0.75</v>
      </c>
      <c r="F367" s="37" t="n">
        <v>0.85</v>
      </c>
      <c r="G367" s="37" t="n">
        <v>0.75</v>
      </c>
      <c r="H367" s="37" t="n">
        <v>0.95</v>
      </c>
      <c r="I367" s="42" t="inlineStr">
        <is>
          <t>KALINA</t>
        </is>
      </c>
      <c r="J367" s="29" t="n">
        <v>10.2032153132085</v>
      </c>
      <c r="K367" s="35" t="n">
        <v>32.93341583647243</v>
      </c>
      <c r="L367" s="36" t="n">
        <v>2600</v>
      </c>
      <c r="M367" s="29" t="n">
        <v>7.5</v>
      </c>
      <c r="N367" s="16" t="inlineStr">
        <is>
          <t>no</t>
        </is>
      </c>
      <c r="O367" s="16" t="n"/>
    </row>
    <row r="368">
      <c r="A368" s="16" t="inlineStr">
        <is>
          <t>KF-M07-A4-0005</t>
        </is>
      </c>
      <c r="B368" s="35" t="n">
        <v>403</v>
      </c>
      <c r="C368" s="37" t="n">
        <v>0.5</v>
      </c>
      <c r="D368" s="37" t="n">
        <v>0.795</v>
      </c>
      <c r="E368" s="37" t="n">
        <v>0.75</v>
      </c>
      <c r="F368" s="37" t="n">
        <v>0.85</v>
      </c>
      <c r="G368" s="37" t="n">
        <v>0.75</v>
      </c>
      <c r="H368" s="37" t="n">
        <v>0.95</v>
      </c>
      <c r="I368" s="42" t="inlineStr">
        <is>
          <t>KALINA</t>
        </is>
      </c>
      <c r="J368" s="29" t="n">
        <v>8.806028727968581</v>
      </c>
      <c r="K368" s="35" t="n">
        <v>28.41727856684528</v>
      </c>
      <c r="L368" s="36" t="n">
        <v>2600</v>
      </c>
      <c r="M368" s="29" t="n">
        <v>7.5</v>
      </c>
      <c r="N368" s="16" t="inlineStr">
        <is>
          <t>no</t>
        </is>
      </c>
      <c r="O368" s="16" t="n"/>
    </row>
    <row r="369">
      <c r="A369" s="16" t="inlineStr">
        <is>
          <t>KF-M07-A4-0006</t>
        </is>
      </c>
      <c r="B369" s="35" t="n">
        <v>403</v>
      </c>
      <c r="C369" s="37" t="n">
        <v>0.5</v>
      </c>
      <c r="D369" s="37" t="n">
        <v>0.85</v>
      </c>
      <c r="E369" s="37" t="n">
        <v>0.8049999999999999</v>
      </c>
      <c r="F369" s="37" t="n">
        <v>0.85</v>
      </c>
      <c r="G369" s="37" t="n">
        <v>0.75</v>
      </c>
      <c r="H369" s="37" t="n">
        <v>0.95</v>
      </c>
      <c r="I369" s="42" t="inlineStr">
        <is>
          <t>KALINA</t>
        </is>
      </c>
      <c r="J369" s="29" t="n">
        <v>9.59084925921792</v>
      </c>
      <c r="K369" s="35" t="n">
        <v>30.96226131039606</v>
      </c>
      <c r="L369" s="36" t="n">
        <v>2600</v>
      </c>
      <c r="M369" s="29" t="n">
        <v>7.5</v>
      </c>
      <c r="N369" s="16" t="inlineStr">
        <is>
          <t>no</t>
        </is>
      </c>
      <c r="O369" s="16" t="n"/>
    </row>
    <row r="370">
      <c r="A370" s="16" t="inlineStr">
        <is>
          <t>KF-M07-A4-0007</t>
        </is>
      </c>
      <c r="B370" s="35" t="n">
        <v>403</v>
      </c>
      <c r="C370" s="37" t="n">
        <v>0.5</v>
      </c>
      <c r="D370" s="37" t="n">
        <v>0.85</v>
      </c>
      <c r="E370" s="37" t="n">
        <v>0.6950000000000001</v>
      </c>
      <c r="F370" s="37" t="n">
        <v>0.85</v>
      </c>
      <c r="G370" s="37" t="n">
        <v>0.75</v>
      </c>
      <c r="H370" s="37" t="n">
        <v>0.95</v>
      </c>
      <c r="I370" s="42" t="inlineStr">
        <is>
          <t>KALINA</t>
        </is>
      </c>
      <c r="J370" s="29" t="n">
        <v>9.404896825189709</v>
      </c>
      <c r="K370" s="35" t="n">
        <v>30.34315876730637</v>
      </c>
      <c r="L370" s="36" t="n">
        <v>2600</v>
      </c>
      <c r="M370" s="29" t="n">
        <v>7.5</v>
      </c>
      <c r="N370" s="16" t="inlineStr">
        <is>
          <t>no</t>
        </is>
      </c>
      <c r="O370" s="16" t="n"/>
    </row>
    <row r="371">
      <c r="A371" s="16" t="inlineStr">
        <is>
          <t>KF-M07-A4-0008</t>
        </is>
      </c>
      <c r="B371" s="35" t="n">
        <v>403</v>
      </c>
      <c r="C371" s="37" t="n">
        <v>0.5</v>
      </c>
      <c r="D371" s="37" t="n">
        <v>0.85</v>
      </c>
      <c r="E371" s="37" t="n">
        <v>0.75</v>
      </c>
      <c r="F371" s="37" t="n">
        <v>0.905</v>
      </c>
      <c r="G371" s="37" t="n">
        <v>0.75</v>
      </c>
      <c r="H371" s="37" t="n">
        <v>0.95</v>
      </c>
      <c r="I371" s="42" t="inlineStr">
        <is>
          <t>KALINA</t>
        </is>
      </c>
      <c r="J371" s="29" t="n">
        <v>9.876519521873909</v>
      </c>
      <c r="K371" s="35" t="n">
        <v>33.91758289452113</v>
      </c>
      <c r="L371" s="36" t="n">
        <v>2600</v>
      </c>
      <c r="M371" s="29" t="n">
        <v>7.5</v>
      </c>
      <c r="N371" s="16" t="inlineStr">
        <is>
          <t>no</t>
        </is>
      </c>
      <c r="O371" s="16" t="n"/>
    </row>
    <row r="372">
      <c r="A372" s="16" t="inlineStr">
        <is>
          <t>KF-M07-A4-0009</t>
        </is>
      </c>
      <c r="B372" s="35" t="n">
        <v>403</v>
      </c>
      <c r="C372" s="37" t="n">
        <v>0.5</v>
      </c>
      <c r="D372" s="37" t="n">
        <v>0.85</v>
      </c>
      <c r="E372" s="37" t="n">
        <v>0.75</v>
      </c>
      <c r="F372" s="37" t="n">
        <v>0.795</v>
      </c>
      <c r="G372" s="37" t="n">
        <v>0.75</v>
      </c>
      <c r="H372" s="37" t="n">
        <v>0.95</v>
      </c>
      <c r="I372" s="42" t="inlineStr">
        <is>
          <t>KALINA</t>
        </is>
      </c>
      <c r="J372" s="29" t="n">
        <v>9.079830541637239</v>
      </c>
      <c r="K372" s="35" t="n">
        <v>27.42551373826248</v>
      </c>
      <c r="L372" s="36" t="n">
        <v>2600</v>
      </c>
      <c r="M372" s="29" t="n">
        <v>7.5</v>
      </c>
      <c r="N372" s="16" t="inlineStr">
        <is>
          <t>no</t>
        </is>
      </c>
      <c r="O372" s="16" t="n"/>
    </row>
    <row r="373">
      <c r="A373" s="16" t="inlineStr">
        <is>
          <t>KF-M07-A4-0010</t>
        </is>
      </c>
      <c r="B373" s="35" t="n">
        <v>403</v>
      </c>
      <c r="C373" s="37" t="n">
        <v>0.5</v>
      </c>
      <c r="D373" s="37" t="n">
        <v>0.85</v>
      </c>
      <c r="E373" s="37" t="n">
        <v>0.75</v>
      </c>
      <c r="F373" s="37" t="n">
        <v>0.85</v>
      </c>
      <c r="G373" s="37" t="n">
        <v>0.8049999999999999</v>
      </c>
      <c r="H373" s="37" t="n">
        <v>0.95</v>
      </c>
      <c r="I373" s="42" t="inlineStr">
        <is>
          <t>KALINA</t>
        </is>
      </c>
      <c r="J373" s="29" t="n">
        <v>10.23477468381743</v>
      </c>
      <c r="K373" s="35" t="n">
        <v>31.17365839722608</v>
      </c>
      <c r="L373" s="36" t="n">
        <v>2600</v>
      </c>
      <c r="M373" s="29" t="n">
        <v>7.5</v>
      </c>
      <c r="N373" s="16" t="inlineStr">
        <is>
          <t>no</t>
        </is>
      </c>
      <c r="O373" s="16" t="n"/>
    </row>
    <row r="374">
      <c r="A374" s="16" t="inlineStr">
        <is>
          <t>KF-M07-A4-0011</t>
        </is>
      </c>
      <c r="B374" s="35" t="n">
        <v>403</v>
      </c>
      <c r="C374" s="37" t="n">
        <v>0.5</v>
      </c>
      <c r="D374" s="37" t="n">
        <v>0.85</v>
      </c>
      <c r="E374" s="37" t="n">
        <v>0.75</v>
      </c>
      <c r="F374" s="37" t="n">
        <v>0.85</v>
      </c>
      <c r="G374" s="37" t="n">
        <v>0.6950000000000001</v>
      </c>
      <c r="H374" s="37" t="n">
        <v>0.95</v>
      </c>
      <c r="I374" s="42" t="inlineStr">
        <is>
          <t>KALINA</t>
        </is>
      </c>
      <c r="J374" s="29" t="n">
        <v>8.854819244096269</v>
      </c>
      <c r="K374" s="35" t="n">
        <v>30.17904024862937</v>
      </c>
      <c r="L374" s="36" t="n">
        <v>2600</v>
      </c>
      <c r="M374" s="29" t="n">
        <v>7.5</v>
      </c>
      <c r="N374" s="16" t="inlineStr">
        <is>
          <t>no</t>
        </is>
      </c>
      <c r="O374" s="16" t="n"/>
    </row>
    <row r="375">
      <c r="A375" s="16" t="inlineStr">
        <is>
          <t>KF-M07-A4-0012</t>
        </is>
      </c>
      <c r="B375" s="35" t="n">
        <v>403</v>
      </c>
      <c r="C375" s="37" t="n">
        <v>0.5</v>
      </c>
      <c r="D375" s="37" t="n">
        <v>0.85</v>
      </c>
      <c r="E375" s="37" t="n">
        <v>0.75</v>
      </c>
      <c r="F375" s="37" t="n">
        <v>0.85</v>
      </c>
      <c r="G375" s="37" t="n">
        <v>0.75</v>
      </c>
      <c r="H375" s="37" t="n">
        <v>0.895</v>
      </c>
      <c r="I375" s="39" t="inlineStr">
        <is>
          <t>Corregible</t>
        </is>
      </c>
      <c r="J375" s="29" t="n">
        <v>9.6977221470387</v>
      </c>
      <c r="K375" s="35" t="n">
        <v>30.74952462452906</v>
      </c>
      <c r="L375" s="36" t="n">
        <v>2600</v>
      </c>
      <c r="M375" s="29" t="n">
        <v>7.5</v>
      </c>
      <c r="N375" s="16" t="inlineStr">
        <is>
          <t>no</t>
        </is>
      </c>
      <c r="O375" s="16" t="inlineStr">
        <is>
          <t>O2</t>
        </is>
      </c>
    </row>
    <row r="376">
      <c r="A376" s="16" t="inlineStr">
        <is>
          <t>KF-M07-A4-0013</t>
        </is>
      </c>
      <c r="B376" s="35" t="n">
        <v>415</v>
      </c>
      <c r="C376" s="37" t="n">
        <v>0.5</v>
      </c>
      <c r="D376" s="37" t="n">
        <v>0.85</v>
      </c>
      <c r="E376" s="37" t="n">
        <v>0.75</v>
      </c>
      <c r="F376" s="37" t="n">
        <v>0.85</v>
      </c>
      <c r="G376" s="37" t="n">
        <v>0.8049999999999999</v>
      </c>
      <c r="H376" s="37" t="n">
        <v>0.95</v>
      </c>
      <c r="I376" s="39" t="inlineStr">
        <is>
          <t>Corregible</t>
        </is>
      </c>
      <c r="J376" s="29" t="n">
        <v>11.97424653780448</v>
      </c>
      <c r="K376" s="35" t="n">
        <v>54.50130912555221</v>
      </c>
      <c r="L376" s="36" t="n">
        <v>2600</v>
      </c>
      <c r="M376" s="29" t="n">
        <v>7.5</v>
      </c>
      <c r="N376" s="16" t="inlineStr">
        <is>
          <t>no</t>
        </is>
      </c>
      <c r="O376" s="16" t="inlineStr">
        <is>
          <t>O2</t>
        </is>
      </c>
    </row>
    <row r="377">
      <c r="A377" s="16" t="inlineStr">
        <is>
          <t>KF-M07-A4-0014</t>
        </is>
      </c>
      <c r="B377" s="35" t="n">
        <v>391</v>
      </c>
      <c r="C377" s="37" t="n">
        <v>0.5</v>
      </c>
      <c r="D377" s="37" t="n">
        <v>0.85</v>
      </c>
      <c r="E377" s="37" t="n">
        <v>0.75</v>
      </c>
      <c r="F377" s="37" t="n">
        <v>0.85</v>
      </c>
      <c r="G377" s="37" t="n">
        <v>0.8049999999999999</v>
      </c>
      <c r="H377" s="37" t="n">
        <v>0.95</v>
      </c>
      <c r="I377" s="42" t="inlineStr">
        <is>
          <t>KALINA</t>
        </is>
      </c>
      <c r="J377" s="29" t="n">
        <v>4.37388868994087</v>
      </c>
      <c r="K377" s="35" t="n">
        <v>6.429431725777462</v>
      </c>
      <c r="L377" s="36" t="n">
        <v>2600</v>
      </c>
      <c r="M377" s="29" t="n">
        <v>7.5</v>
      </c>
      <c r="N377" s="16" t="inlineStr">
        <is>
          <t>no</t>
        </is>
      </c>
      <c r="O377" s="16" t="n"/>
    </row>
    <row r="378">
      <c r="A378" s="16" t="inlineStr">
        <is>
          <t>KF-M07-A4-0015</t>
        </is>
      </c>
      <c r="B378" s="35" t="n">
        <v>403</v>
      </c>
      <c r="C378" s="37" t="n">
        <v>0.535</v>
      </c>
      <c r="D378" s="37" t="n">
        <v>0.85</v>
      </c>
      <c r="E378" s="37" t="n">
        <v>0.75</v>
      </c>
      <c r="F378" s="37" t="n">
        <v>0.85</v>
      </c>
      <c r="G378" s="37" t="n">
        <v>0.8049999999999999</v>
      </c>
      <c r="H378" s="37" t="n">
        <v>0.95</v>
      </c>
      <c r="I378" s="39" t="inlineStr">
        <is>
          <t>Corregible</t>
        </is>
      </c>
      <c r="J378" s="29" t="n">
        <v>11.86651095786718</v>
      </c>
      <c r="K378" s="35" t="n">
        <v>45.92722817312976</v>
      </c>
      <c r="L378" s="36" t="n">
        <v>2600</v>
      </c>
      <c r="M378" s="29" t="n">
        <v>7.5</v>
      </c>
      <c r="N378" s="16" t="inlineStr">
        <is>
          <t>no</t>
        </is>
      </c>
      <c r="O378" s="16" t="inlineStr">
        <is>
          <t>O2</t>
        </is>
      </c>
    </row>
    <row r="379">
      <c r="A379" s="16" t="inlineStr">
        <is>
          <t>KF-M07-A4-0016</t>
        </is>
      </c>
      <c r="B379" s="35" t="n">
        <v>403</v>
      </c>
      <c r="C379" s="37" t="n">
        <v>0.5</v>
      </c>
      <c r="D379" s="37" t="n">
        <v>0.905</v>
      </c>
      <c r="E379" s="37" t="n">
        <v>0.75</v>
      </c>
      <c r="F379" s="37" t="n">
        <v>0.85</v>
      </c>
      <c r="G379" s="37" t="n">
        <v>0.8049999999999999</v>
      </c>
      <c r="H379" s="37" t="n">
        <v>0.95</v>
      </c>
      <c r="I379" s="42" t="inlineStr">
        <is>
          <t>KALINA</t>
        </is>
      </c>
      <c r="J379" s="29" t="n">
        <v>10.98555073324297</v>
      </c>
      <c r="K379" s="35" t="n">
        <v>33.46395266170888</v>
      </c>
      <c r="L379" s="36" t="n">
        <v>2600</v>
      </c>
      <c r="M379" s="29" t="n">
        <v>7.5</v>
      </c>
      <c r="N379" s="16" t="inlineStr">
        <is>
          <t>no</t>
        </is>
      </c>
      <c r="O379" s="16" t="n"/>
    </row>
    <row r="380">
      <c r="A380" s="16" t="inlineStr">
        <is>
          <t>KF-M07-A4-0017</t>
        </is>
      </c>
      <c r="B380" s="35" t="n">
        <v>403</v>
      </c>
      <c r="C380" s="37" t="n">
        <v>0.5</v>
      </c>
      <c r="D380" s="37" t="n">
        <v>0.795</v>
      </c>
      <c r="E380" s="37" t="n">
        <v>0.75</v>
      </c>
      <c r="F380" s="37" t="n">
        <v>0.85</v>
      </c>
      <c r="G380" s="37" t="n">
        <v>0.8049999999999999</v>
      </c>
      <c r="H380" s="37" t="n">
        <v>0.95</v>
      </c>
      <c r="I380" s="42" t="inlineStr">
        <is>
          <t>KALINA</t>
        </is>
      </c>
      <c r="J380" s="29" t="n">
        <v>9.483802447756521</v>
      </c>
      <c r="K380" s="35" t="n">
        <v>28.88325002192138</v>
      </c>
      <c r="L380" s="36" t="n">
        <v>2600</v>
      </c>
      <c r="M380" s="29" t="n">
        <v>7.5</v>
      </c>
      <c r="N380" s="16" t="inlineStr">
        <is>
          <t>no</t>
        </is>
      </c>
      <c r="O380" s="16" t="n"/>
    </row>
    <row r="381">
      <c r="A381" s="16" t="inlineStr">
        <is>
          <t>KF-M07-A4-0018</t>
        </is>
      </c>
      <c r="B381" s="35" t="n">
        <v>403</v>
      </c>
      <c r="C381" s="37" t="n">
        <v>0.5</v>
      </c>
      <c r="D381" s="37" t="n">
        <v>0.85</v>
      </c>
      <c r="E381" s="37" t="n">
        <v>0.8049999999999999</v>
      </c>
      <c r="F381" s="37" t="n">
        <v>0.85</v>
      </c>
      <c r="G381" s="37" t="n">
        <v>0.8049999999999999</v>
      </c>
      <c r="H381" s="37" t="n">
        <v>0.95</v>
      </c>
      <c r="I381" s="42" t="inlineStr">
        <is>
          <t>KALINA</t>
        </is>
      </c>
      <c r="J381" s="29" t="n">
        <v>10.32627600274124</v>
      </c>
      <c r="K381" s="35" t="n">
        <v>31.46074823077214</v>
      </c>
      <c r="L381" s="36" t="n">
        <v>2600</v>
      </c>
      <c r="M381" s="29" t="n">
        <v>7.5</v>
      </c>
      <c r="N381" s="16" t="inlineStr">
        <is>
          <t>no</t>
        </is>
      </c>
      <c r="O381" s="16" t="n"/>
    </row>
    <row r="382">
      <c r="A382" s="16" t="inlineStr">
        <is>
          <t>KF-M07-A4-0019</t>
        </is>
      </c>
      <c r="B382" s="35" t="n">
        <v>403</v>
      </c>
      <c r="C382" s="37" t="n">
        <v>0.5</v>
      </c>
      <c r="D382" s="37" t="n">
        <v>0.85</v>
      </c>
      <c r="E382" s="37" t="n">
        <v>0.6950000000000001</v>
      </c>
      <c r="F382" s="37" t="n">
        <v>0.85</v>
      </c>
      <c r="G382" s="37" t="n">
        <v>0.8049999999999999</v>
      </c>
      <c r="H382" s="37" t="n">
        <v>0.95</v>
      </c>
      <c r="I382" s="42" t="inlineStr">
        <is>
          <t>KALINA</t>
        </is>
      </c>
      <c r="J382" s="29" t="n">
        <v>10.12872958304949</v>
      </c>
      <c r="K382" s="35" t="n">
        <v>30.84112799921897</v>
      </c>
      <c r="L382" s="36" t="n">
        <v>2600</v>
      </c>
      <c r="M382" s="29" t="n">
        <v>7.5</v>
      </c>
      <c r="N382" s="16" t="inlineStr">
        <is>
          <t>no</t>
        </is>
      </c>
      <c r="O382" s="16" t="n"/>
    </row>
    <row r="383">
      <c r="A383" s="16" t="inlineStr">
        <is>
          <t>KF-M07-A4-0020</t>
        </is>
      </c>
      <c r="B383" s="35" t="n">
        <v>403</v>
      </c>
      <c r="C383" s="37" t="n">
        <v>0.5</v>
      </c>
      <c r="D383" s="37" t="n">
        <v>0.85</v>
      </c>
      <c r="E383" s="37" t="n">
        <v>0.75</v>
      </c>
      <c r="F383" s="37" t="n">
        <v>0.905</v>
      </c>
      <c r="G383" s="37" t="n">
        <v>0.8049999999999999</v>
      </c>
      <c r="H383" s="37" t="n">
        <v>0.95</v>
      </c>
      <c r="I383" s="42" t="inlineStr">
        <is>
          <t>KALINA</t>
        </is>
      </c>
      <c r="J383" s="29" t="n">
        <v>10.56042939107185</v>
      </c>
      <c r="K383" s="35" t="n">
        <v>34.23217406936012</v>
      </c>
      <c r="L383" s="36" t="n">
        <v>2600</v>
      </c>
      <c r="M383" s="29" t="n">
        <v>7.5</v>
      </c>
      <c r="N383" s="16" t="inlineStr">
        <is>
          <t>no</t>
        </is>
      </c>
      <c r="O383" s="16" t="n"/>
    </row>
    <row r="384">
      <c r="A384" s="16" t="inlineStr">
        <is>
          <t>KF-M07-A4-0021</t>
        </is>
      </c>
      <c r="B384" s="35" t="n">
        <v>403</v>
      </c>
      <c r="C384" s="37" t="n">
        <v>0.5</v>
      </c>
      <c r="D384" s="37" t="n">
        <v>0.85</v>
      </c>
      <c r="E384" s="37" t="n">
        <v>0.75</v>
      </c>
      <c r="F384" s="37" t="n">
        <v>0.795</v>
      </c>
      <c r="G384" s="37" t="n">
        <v>0.8049999999999999</v>
      </c>
      <c r="H384" s="37" t="n">
        <v>0.95</v>
      </c>
      <c r="I384" s="42" t="inlineStr">
        <is>
          <t>KALINA</t>
        </is>
      </c>
      <c r="J384" s="29" t="n">
        <v>9.86241551691908</v>
      </c>
      <c r="K384" s="35" t="n">
        <v>28.1090385976747</v>
      </c>
      <c r="L384" s="36" t="n">
        <v>2600</v>
      </c>
      <c r="M384" s="29" t="n">
        <v>7.5</v>
      </c>
      <c r="N384" s="16" t="inlineStr">
        <is>
          <t>no</t>
        </is>
      </c>
      <c r="O384" s="16" t="n"/>
    </row>
    <row r="385">
      <c r="A385" s="16" t="inlineStr">
        <is>
          <t>KF-M07-A4-0022</t>
        </is>
      </c>
      <c r="B385" s="35" t="n">
        <v>403</v>
      </c>
      <c r="C385" s="37" t="n">
        <v>0.5</v>
      </c>
      <c r="D385" s="37" t="n">
        <v>0.85</v>
      </c>
      <c r="E385" s="37" t="n">
        <v>0.75</v>
      </c>
      <c r="F385" s="37" t="n">
        <v>0.85</v>
      </c>
      <c r="G385" s="37" t="n">
        <v>0.8599999999999999</v>
      </c>
      <c r="H385" s="37" t="n">
        <v>0.95</v>
      </c>
      <c r="I385" s="42" t="inlineStr">
        <is>
          <t>KALINA</t>
        </is>
      </c>
      <c r="J385" s="29" t="n">
        <v>11.06076777930363</v>
      </c>
      <c r="K385" s="35" t="n">
        <v>31.67377880902511</v>
      </c>
      <c r="L385" s="36" t="n">
        <v>2600</v>
      </c>
      <c r="M385" s="29" t="n">
        <v>7.5</v>
      </c>
      <c r="N385" s="16" t="inlineStr">
        <is>
          <t>no</t>
        </is>
      </c>
      <c r="O385" s="16" t="n"/>
    </row>
    <row r="386">
      <c r="A386" s="16" t="inlineStr">
        <is>
          <t>KF-M07-A4-0023</t>
        </is>
      </c>
      <c r="B386" s="35" t="n">
        <v>403</v>
      </c>
      <c r="C386" s="37" t="n">
        <v>0.5</v>
      </c>
      <c r="D386" s="37" t="n">
        <v>0.85</v>
      </c>
      <c r="E386" s="37" t="n">
        <v>0.75</v>
      </c>
      <c r="F386" s="37" t="n">
        <v>0.85</v>
      </c>
      <c r="G386" s="37" t="n">
        <v>0.75</v>
      </c>
      <c r="H386" s="37" t="n">
        <v>0.95</v>
      </c>
      <c r="I386" s="42" t="inlineStr">
        <is>
          <t>KALINA</t>
        </is>
      </c>
      <c r="J386" s="29" t="n">
        <v>9.504720128032099</v>
      </c>
      <c r="K386" s="35" t="n">
        <v>30.67541128254607</v>
      </c>
      <c r="L386" s="36" t="n">
        <v>2600</v>
      </c>
      <c r="M386" s="29" t="n">
        <v>7.5</v>
      </c>
      <c r="N386" s="16" t="inlineStr">
        <is>
          <t>no</t>
        </is>
      </c>
      <c r="O386" s="16" t="n"/>
    </row>
    <row r="387">
      <c r="A387" s="16" t="inlineStr">
        <is>
          <t>KF-M07-A4-0024</t>
        </is>
      </c>
      <c r="B387" s="35" t="n">
        <v>403</v>
      </c>
      <c r="C387" s="37" t="n">
        <v>0.5</v>
      </c>
      <c r="D387" s="37" t="n">
        <v>0.85</v>
      </c>
      <c r="E387" s="37" t="n">
        <v>0.75</v>
      </c>
      <c r="F387" s="37" t="n">
        <v>0.85</v>
      </c>
      <c r="G387" s="37" t="n">
        <v>0.8049999999999999</v>
      </c>
      <c r="H387" s="37" t="n">
        <v>0.895</v>
      </c>
      <c r="I387" s="39" t="inlineStr">
        <is>
          <t>Corregible</t>
        </is>
      </c>
      <c r="J387" s="29" t="n">
        <v>10.41579603319428</v>
      </c>
      <c r="K387" s="35" t="n">
        <v>31.23990614691996</v>
      </c>
      <c r="L387" s="36" t="n">
        <v>2600</v>
      </c>
      <c r="M387" s="29" t="n">
        <v>7.5</v>
      </c>
      <c r="N387" s="16" t="inlineStr">
        <is>
          <t>no</t>
        </is>
      </c>
      <c r="O387" s="16" t="inlineStr">
        <is>
          <t>O2</t>
        </is>
      </c>
    </row>
    <row r="388">
      <c r="A388" s="16" t="inlineStr">
        <is>
          <t>KF-M07-A4-0025</t>
        </is>
      </c>
      <c r="B388" s="35" t="n">
        <v>415</v>
      </c>
      <c r="C388" s="37" t="n">
        <v>0.5</v>
      </c>
      <c r="D388" s="37" t="n">
        <v>0.85</v>
      </c>
      <c r="E388" s="37" t="n">
        <v>0.75</v>
      </c>
      <c r="F388" s="37" t="n">
        <v>0.85</v>
      </c>
      <c r="G388" s="37" t="n">
        <v>0.8599999999999999</v>
      </c>
      <c r="H388" s="37" t="n">
        <v>0.95</v>
      </c>
      <c r="I388" s="42" t="inlineStr">
        <is>
          <t>KALINA</t>
        </is>
      </c>
      <c r="J388" s="29" t="n">
        <v>12.57057628767882</v>
      </c>
      <c r="K388" s="35" t="n">
        <v>54.98480958225588</v>
      </c>
      <c r="L388" s="36" t="n">
        <v>2600</v>
      </c>
      <c r="M388" s="29" t="n">
        <v>7.5</v>
      </c>
      <c r="N388" s="16" t="inlineStr">
        <is>
          <t>no</t>
        </is>
      </c>
      <c r="O388" s="16" t="n"/>
    </row>
    <row r="389">
      <c r="A389" s="16" t="inlineStr">
        <is>
          <t>KF-M07-A4-0026</t>
        </is>
      </c>
      <c r="B389" s="35" t="n">
        <v>391</v>
      </c>
      <c r="C389" s="37" t="n">
        <v>0.5</v>
      </c>
      <c r="D389" s="37" t="n">
        <v>0.85</v>
      </c>
      <c r="E389" s="37" t="n">
        <v>0.75</v>
      </c>
      <c r="F389" s="37" t="n">
        <v>0.85</v>
      </c>
      <c r="G389" s="37" t="n">
        <v>0.8599999999999999</v>
      </c>
      <c r="H389" s="37" t="n">
        <v>0.95</v>
      </c>
      <c r="I389" s="42" t="inlineStr">
        <is>
          <t>KALINA</t>
        </is>
      </c>
      <c r="J389" s="29" t="n">
        <v>5.409887667959571</v>
      </c>
      <c r="K389" s="35" t="n">
        <v>6.944466087092684</v>
      </c>
      <c r="L389" s="36" t="n">
        <v>2600</v>
      </c>
      <c r="M389" s="29" t="n">
        <v>7.5</v>
      </c>
      <c r="N389" s="16" t="inlineStr">
        <is>
          <t>no</t>
        </is>
      </c>
      <c r="O389" s="16" t="n"/>
    </row>
    <row r="390">
      <c r="A390" s="16" t="inlineStr">
        <is>
          <t>KF-M07-A4-0027</t>
        </is>
      </c>
      <c r="B390" s="35" t="n">
        <v>403</v>
      </c>
      <c r="C390" s="37" t="n">
        <v>0.535</v>
      </c>
      <c r="D390" s="37" t="n">
        <v>0.85</v>
      </c>
      <c r="E390" s="37" t="n">
        <v>0.75</v>
      </c>
      <c r="F390" s="37" t="n">
        <v>0.85</v>
      </c>
      <c r="G390" s="37" t="n">
        <v>0.8599999999999999</v>
      </c>
      <c r="H390" s="37" t="n">
        <v>0.95</v>
      </c>
      <c r="I390" s="39" t="inlineStr">
        <is>
          <t>Corregible</t>
        </is>
      </c>
      <c r="J390" s="29" t="n">
        <v>12.51799690849024</v>
      </c>
      <c r="K390" s="35" t="n">
        <v>46.40333589300896</v>
      </c>
      <c r="L390" s="36" t="n">
        <v>2600</v>
      </c>
      <c r="M390" s="29" t="n">
        <v>7.5</v>
      </c>
      <c r="N390" s="16" t="inlineStr">
        <is>
          <t>no</t>
        </is>
      </c>
      <c r="O390" s="16" t="inlineStr">
        <is>
          <t>O2</t>
        </is>
      </c>
    </row>
    <row r="391">
      <c r="A391" s="16" t="inlineStr">
        <is>
          <t>KF-M07-A4-0028</t>
        </is>
      </c>
      <c r="B391" s="35" t="n">
        <v>403</v>
      </c>
      <c r="C391" s="37" t="n">
        <v>0.5</v>
      </c>
      <c r="D391" s="37" t="n">
        <v>0.905</v>
      </c>
      <c r="E391" s="37" t="n">
        <v>0.75</v>
      </c>
      <c r="F391" s="37" t="n">
        <v>0.85</v>
      </c>
      <c r="G391" s="37" t="n">
        <v>0.8599999999999999</v>
      </c>
      <c r="H391" s="37" t="n">
        <v>0.95</v>
      </c>
      <c r="I391" s="42" t="inlineStr">
        <is>
          <t>KALINA</t>
        </is>
      </c>
      <c r="J391" s="29" t="n">
        <v>11.87071211368471</v>
      </c>
      <c r="K391" s="35" t="n">
        <v>33.99648698731216</v>
      </c>
      <c r="L391" s="36" t="n">
        <v>2600</v>
      </c>
      <c r="M391" s="29" t="n">
        <v>7.5</v>
      </c>
      <c r="N391" s="16" t="inlineStr">
        <is>
          <t>no</t>
        </is>
      </c>
      <c r="O391" s="16" t="n"/>
    </row>
    <row r="392">
      <c r="A392" s="16" t="inlineStr">
        <is>
          <t>KF-M07-A4-0029</t>
        </is>
      </c>
      <c r="B392" s="35" t="n">
        <v>403</v>
      </c>
      <c r="C392" s="37" t="n">
        <v>0.5</v>
      </c>
      <c r="D392" s="37" t="n">
        <v>0.795</v>
      </c>
      <c r="E392" s="37" t="n">
        <v>0.75</v>
      </c>
      <c r="F392" s="37" t="n">
        <v>0.85</v>
      </c>
      <c r="G392" s="37" t="n">
        <v>0.8599999999999999</v>
      </c>
      <c r="H392" s="37" t="n">
        <v>0.95</v>
      </c>
      <c r="I392" s="42" t="inlineStr">
        <is>
          <t>KALINA</t>
        </is>
      </c>
      <c r="J392" s="29" t="n">
        <v>10.25062958683342</v>
      </c>
      <c r="K392" s="35" t="n">
        <v>29.3509709878204</v>
      </c>
      <c r="L392" s="36" t="n">
        <v>2600</v>
      </c>
      <c r="M392" s="29" t="n">
        <v>7.5</v>
      </c>
      <c r="N392" s="16" t="inlineStr">
        <is>
          <t>no</t>
        </is>
      </c>
      <c r="O392" s="16" t="n"/>
    </row>
    <row r="393">
      <c r="A393" s="16" t="inlineStr">
        <is>
          <t>KF-M07-A4-0030</t>
        </is>
      </c>
      <c r="B393" s="35" t="n">
        <v>403</v>
      </c>
      <c r="C393" s="37" t="n">
        <v>0.5</v>
      </c>
      <c r="D393" s="37" t="n">
        <v>0.85</v>
      </c>
      <c r="E393" s="37" t="n">
        <v>0.8049999999999999</v>
      </c>
      <c r="F393" s="37" t="n">
        <v>0.85</v>
      </c>
      <c r="G393" s="37" t="n">
        <v>0.8599999999999999</v>
      </c>
      <c r="H393" s="37" t="n">
        <v>0.95</v>
      </c>
      <c r="I393" s="42" t="inlineStr">
        <is>
          <t>KALINA</t>
        </is>
      </c>
      <c r="J393" s="29" t="n">
        <v>11.15837965932493</v>
      </c>
      <c r="K393" s="35" t="n">
        <v>31.96110744047982</v>
      </c>
      <c r="L393" s="36" t="n">
        <v>2600</v>
      </c>
      <c r="M393" s="29" t="n">
        <v>7.5</v>
      </c>
      <c r="N393" s="16" t="inlineStr">
        <is>
          <t>no</t>
        </is>
      </c>
      <c r="O393" s="16" t="n"/>
    </row>
    <row r="394">
      <c r="A394" s="16" t="inlineStr">
        <is>
          <t>KF-M07-A4-0031</t>
        </is>
      </c>
      <c r="B394" s="35" t="n">
        <v>403</v>
      </c>
      <c r="C394" s="37" t="n">
        <v>0.5</v>
      </c>
      <c r="D394" s="37" t="n">
        <v>0.85</v>
      </c>
      <c r="E394" s="37" t="n">
        <v>0.6950000000000001</v>
      </c>
      <c r="F394" s="37" t="n">
        <v>0.85</v>
      </c>
      <c r="G394" s="37" t="n">
        <v>0.8599999999999999</v>
      </c>
      <c r="H394" s="37" t="n">
        <v>0.95</v>
      </c>
      <c r="I394" s="42" t="inlineStr">
        <is>
          <t>KALINA</t>
        </is>
      </c>
      <c r="J394" s="29" t="n">
        <v>10.9476463230969</v>
      </c>
      <c r="K394" s="35" t="n">
        <v>31.34097170942162</v>
      </c>
      <c r="L394" s="36" t="n">
        <v>2600</v>
      </c>
      <c r="M394" s="29" t="n">
        <v>7.5</v>
      </c>
      <c r="N394" s="16" t="inlineStr">
        <is>
          <t>no</t>
        </is>
      </c>
      <c r="O394" s="16" t="n"/>
    </row>
    <row r="395">
      <c r="A395" s="16" t="inlineStr">
        <is>
          <t>KF-M07-A4-0032</t>
        </is>
      </c>
      <c r="B395" s="35" t="n">
        <v>403</v>
      </c>
      <c r="C395" s="37" t="n">
        <v>0.5</v>
      </c>
      <c r="D395" s="37" t="n">
        <v>0.85</v>
      </c>
      <c r="E395" s="37" t="n">
        <v>0.75</v>
      </c>
      <c r="F395" s="37" t="n">
        <v>0.905</v>
      </c>
      <c r="G395" s="37" t="n">
        <v>0.8599999999999999</v>
      </c>
      <c r="H395" s="37" t="n">
        <v>0.95</v>
      </c>
      <c r="I395" s="42" t="inlineStr">
        <is>
          <t>KALINA</t>
        </is>
      </c>
      <c r="J395" s="29" t="n">
        <v>11.33416017137542</v>
      </c>
      <c r="K395" s="35" t="n">
        <v>34.54804630174058</v>
      </c>
      <c r="L395" s="36" t="n">
        <v>2600</v>
      </c>
      <c r="M395" s="29" t="n">
        <v>7.5</v>
      </c>
      <c r="N395" s="16" t="inlineStr">
        <is>
          <t>no</t>
        </is>
      </c>
      <c r="O395" s="16" t="n"/>
    </row>
    <row r="396">
      <c r="A396" s="16" t="inlineStr">
        <is>
          <t>KF-M07-A4-0033</t>
        </is>
      </c>
      <c r="B396" s="35" t="n">
        <v>403</v>
      </c>
      <c r="C396" s="37" t="n">
        <v>0.5</v>
      </c>
      <c r="D396" s="37" t="n">
        <v>0.85</v>
      </c>
      <c r="E396" s="37" t="n">
        <v>0.75</v>
      </c>
      <c r="F396" s="37" t="n">
        <v>0.795</v>
      </c>
      <c r="G396" s="37" t="n">
        <v>0.8599999999999999</v>
      </c>
      <c r="H396" s="37" t="n">
        <v>0.95</v>
      </c>
      <c r="I396" s="42" t="inlineStr">
        <is>
          <t>KALINA</t>
        </is>
      </c>
      <c r="J396" s="29" t="n">
        <v>10.74788509154604</v>
      </c>
      <c r="K396" s="35" t="n">
        <v>28.79491596975809</v>
      </c>
      <c r="L396" s="36" t="n">
        <v>2600</v>
      </c>
      <c r="M396" s="29" t="n">
        <v>7.5</v>
      </c>
      <c r="N396" s="16" t="inlineStr">
        <is>
          <t>no</t>
        </is>
      </c>
      <c r="O396" s="16" t="n"/>
    </row>
    <row r="397">
      <c r="A397" s="16" t="inlineStr">
        <is>
          <t>KF-M07-A4-0034</t>
        </is>
      </c>
      <c r="B397" s="35" t="n">
        <v>403</v>
      </c>
      <c r="C397" s="37" t="n">
        <v>0.5</v>
      </c>
      <c r="D397" s="37" t="n">
        <v>0.85</v>
      </c>
      <c r="E397" s="37" t="n">
        <v>0.75</v>
      </c>
      <c r="F397" s="37" t="n">
        <v>0.85</v>
      </c>
      <c r="G397" s="37" t="n">
        <v>0.915</v>
      </c>
      <c r="H397" s="37" t="n">
        <v>0.95</v>
      </c>
      <c r="I397" s="42" t="inlineStr">
        <is>
          <t>KALINA</t>
        </is>
      </c>
      <c r="J397" s="29" t="n">
        <v>12.00289687214687</v>
      </c>
      <c r="K397" s="35" t="n">
        <v>32.17575792808989</v>
      </c>
      <c r="L397" s="36" t="n">
        <v>2600</v>
      </c>
      <c r="M397" s="29" t="n">
        <v>7.5</v>
      </c>
      <c r="N397" s="16" t="inlineStr">
        <is>
          <t>no</t>
        </is>
      </c>
      <c r="O397" s="16" t="n"/>
    </row>
    <row r="398">
      <c r="A398" s="16" t="inlineStr">
        <is>
          <t>KF-M07-A4-0035</t>
        </is>
      </c>
      <c r="B398" s="35" t="n">
        <v>403</v>
      </c>
      <c r="C398" s="37" t="n">
        <v>0.5</v>
      </c>
      <c r="D398" s="37" t="n">
        <v>0.85</v>
      </c>
      <c r="E398" s="37" t="n">
        <v>0.75</v>
      </c>
      <c r="F398" s="37" t="n">
        <v>0.85</v>
      </c>
      <c r="G398" s="37" t="n">
        <v>0.8049999999999999</v>
      </c>
      <c r="H398" s="37" t="n">
        <v>0.95</v>
      </c>
      <c r="I398" s="42" t="inlineStr">
        <is>
          <t>KALINA</t>
        </is>
      </c>
      <c r="J398" s="29" t="n">
        <v>10.23477468381743</v>
      </c>
      <c r="K398" s="35" t="n">
        <v>31.17365839722608</v>
      </c>
      <c r="L398" s="36" t="n">
        <v>2600</v>
      </c>
      <c r="M398" s="29" t="n">
        <v>7.5</v>
      </c>
      <c r="N398" s="16" t="inlineStr">
        <is>
          <t>no</t>
        </is>
      </c>
      <c r="O398" s="16" t="n"/>
    </row>
    <row r="399">
      <c r="A399" s="16" t="inlineStr">
        <is>
          <t>KF-M07-A4-0036</t>
        </is>
      </c>
      <c r="B399" s="35" t="n">
        <v>403</v>
      </c>
      <c r="C399" s="37" t="n">
        <v>0.5</v>
      </c>
      <c r="D399" s="37" t="n">
        <v>0.85</v>
      </c>
      <c r="E399" s="37" t="n">
        <v>0.75</v>
      </c>
      <c r="F399" s="37" t="n">
        <v>0.85</v>
      </c>
      <c r="G399" s="37" t="n">
        <v>0.8599999999999999</v>
      </c>
      <c r="H399" s="37" t="n">
        <v>0.895</v>
      </c>
      <c r="I399" s="39" t="inlineStr">
        <is>
          <t>Corregible</t>
        </is>
      </c>
      <c r="J399" s="29" t="n">
        <v>11.22758165517693</v>
      </c>
      <c r="K399" s="35" t="n">
        <v>31.73137647701122</v>
      </c>
      <c r="L399" s="36" t="n">
        <v>2600</v>
      </c>
      <c r="M399" s="29" t="n">
        <v>7.5</v>
      </c>
      <c r="N399" s="16" t="inlineStr">
        <is>
          <t>no</t>
        </is>
      </c>
      <c r="O399" s="16" t="inlineStr">
        <is>
          <t>O2</t>
        </is>
      </c>
    </row>
    <row r="400">
      <c r="A400" s="16" t="inlineStr">
        <is>
          <t>KF-M07-A4-0037</t>
        </is>
      </c>
      <c r="B400" s="35" t="n">
        <v>427</v>
      </c>
      <c r="C400" s="37" t="n">
        <v>0.5</v>
      </c>
      <c r="D400" s="37" t="n">
        <v>0.85</v>
      </c>
      <c r="E400" s="37" t="n">
        <v>0.75</v>
      </c>
      <c r="F400" s="37" t="n">
        <v>0.85</v>
      </c>
      <c r="G400" s="37" t="n">
        <v>0.8599999999999999</v>
      </c>
      <c r="H400" s="37" t="n">
        <v>0.95</v>
      </c>
      <c r="I400" s="39" t="inlineStr">
        <is>
          <t>Corregible</t>
        </is>
      </c>
      <c r="J400" s="29" t="n">
        <v>13.21749643403334</v>
      </c>
      <c r="K400" s="35" t="n">
        <v>79.21513535356489</v>
      </c>
      <c r="L400" s="36" t="n">
        <v>2600</v>
      </c>
      <c r="M400" s="29" t="n">
        <v>7.5</v>
      </c>
      <c r="N400" s="16" t="inlineStr">
        <is>
          <t>sí</t>
        </is>
      </c>
      <c r="O400" s="16" t="inlineStr">
        <is>
          <t>O2</t>
        </is>
      </c>
    </row>
    <row r="401">
      <c r="A401" s="16" t="inlineStr">
        <is>
          <t>KF-M07-A4-0038</t>
        </is>
      </c>
      <c r="B401" s="35" t="n">
        <v>403</v>
      </c>
      <c r="C401" s="37" t="n">
        <v>0.5</v>
      </c>
      <c r="D401" s="37" t="n">
        <v>0.85</v>
      </c>
      <c r="E401" s="37" t="n">
        <v>0.75</v>
      </c>
      <c r="F401" s="37" t="n">
        <v>0.85</v>
      </c>
      <c r="G401" s="37" t="n">
        <v>0.8599999999999999</v>
      </c>
      <c r="H401" s="37" t="n">
        <v>0.95</v>
      </c>
      <c r="I401" s="42" t="inlineStr">
        <is>
          <t>KALINA</t>
        </is>
      </c>
      <c r="J401" s="29" t="n">
        <v>11.06076777930363</v>
      </c>
      <c r="K401" s="35" t="n">
        <v>31.67377880902511</v>
      </c>
      <c r="L401" s="36" t="n">
        <v>2600</v>
      </c>
      <c r="M401" s="29" t="n">
        <v>7.5</v>
      </c>
      <c r="N401" s="16" t="inlineStr">
        <is>
          <t>no</t>
        </is>
      </c>
      <c r="O401" s="16" t="n"/>
    </row>
    <row r="402">
      <c r="A402" s="16" t="inlineStr">
        <is>
          <t>KF-M07-A4-0039</t>
        </is>
      </c>
      <c r="B402" s="35" t="n">
        <v>415</v>
      </c>
      <c r="C402" s="37" t="n">
        <v>0.535</v>
      </c>
      <c r="D402" s="37" t="n">
        <v>0.85</v>
      </c>
      <c r="E402" s="37" t="n">
        <v>0.75</v>
      </c>
      <c r="F402" s="37" t="n">
        <v>0.85</v>
      </c>
      <c r="G402" s="37" t="n">
        <v>0.8599999999999999</v>
      </c>
      <c r="H402" s="37" t="n">
        <v>0.95</v>
      </c>
      <c r="I402" s="39" t="inlineStr">
        <is>
          <t>Corregible</t>
        </is>
      </c>
      <c r="J402" s="29" t="n">
        <v>13.40914024851076</v>
      </c>
      <c r="K402" s="35" t="n">
        <v>69.70168038657384</v>
      </c>
      <c r="L402" s="36" t="n">
        <v>2600</v>
      </c>
      <c r="M402" s="29" t="n">
        <v>7.5</v>
      </c>
      <c r="N402" s="16" t="inlineStr">
        <is>
          <t>no</t>
        </is>
      </c>
      <c r="O402" s="16" t="inlineStr">
        <is>
          <t>O2</t>
        </is>
      </c>
    </row>
    <row r="403">
      <c r="A403" s="16" t="inlineStr">
        <is>
          <t>KF-M07-A4-0040</t>
        </is>
      </c>
      <c r="B403" s="35" t="n">
        <v>415</v>
      </c>
      <c r="C403" s="37" t="n">
        <v>0.5</v>
      </c>
      <c r="D403" s="37" t="n">
        <v>0.905</v>
      </c>
      <c r="E403" s="37" t="n">
        <v>0.75</v>
      </c>
      <c r="F403" s="37" t="n">
        <v>0.85</v>
      </c>
      <c r="G403" s="37" t="n">
        <v>0.8599999999999999</v>
      </c>
      <c r="H403" s="37" t="n">
        <v>0.95</v>
      </c>
      <c r="I403" s="42" t="inlineStr">
        <is>
          <t>KALINA</t>
        </is>
      </c>
      <c r="J403" s="29" t="n">
        <v>13.44452955200616</v>
      </c>
      <c r="K403" s="35" t="n">
        <v>58.81552889605027</v>
      </c>
      <c r="L403" s="36" t="n">
        <v>2600</v>
      </c>
      <c r="M403" s="29" t="n">
        <v>7.5</v>
      </c>
      <c r="N403" s="16" t="inlineStr">
        <is>
          <t>no</t>
        </is>
      </c>
      <c r="O403" s="16" t="n"/>
    </row>
    <row r="404">
      <c r="A404" s="16" t="inlineStr">
        <is>
          <t>KF-M07-A4-0041</t>
        </is>
      </c>
      <c r="B404" s="35" t="n">
        <v>415</v>
      </c>
      <c r="C404" s="37" t="n">
        <v>0.5</v>
      </c>
      <c r="D404" s="37" t="n">
        <v>0.795</v>
      </c>
      <c r="E404" s="37" t="n">
        <v>0.75</v>
      </c>
      <c r="F404" s="37" t="n">
        <v>0.85</v>
      </c>
      <c r="G404" s="37" t="n">
        <v>0.8599999999999999</v>
      </c>
      <c r="H404" s="37" t="n">
        <v>0.95</v>
      </c>
      <c r="I404" s="42" t="inlineStr">
        <is>
          <t>KALINA</t>
        </is>
      </c>
      <c r="J404" s="29" t="n">
        <v>11.6963385067949</v>
      </c>
      <c r="K404" s="35" t="n">
        <v>51.15388174719254</v>
      </c>
      <c r="L404" s="36" t="n">
        <v>2600</v>
      </c>
      <c r="M404" s="29" t="n">
        <v>7.5</v>
      </c>
      <c r="N404" s="16" t="inlineStr">
        <is>
          <t>no</t>
        </is>
      </c>
      <c r="O404" s="16" t="n"/>
    </row>
    <row r="405">
      <c r="A405" s="16" t="inlineStr">
        <is>
          <t>KF-M07-A4-0042</t>
        </is>
      </c>
      <c r="B405" s="35" t="n">
        <v>415</v>
      </c>
      <c r="C405" s="37" t="n">
        <v>0.5</v>
      </c>
      <c r="D405" s="37" t="n">
        <v>0.85</v>
      </c>
      <c r="E405" s="37" t="n">
        <v>0.8049999999999999</v>
      </c>
      <c r="F405" s="37" t="n">
        <v>0.85</v>
      </c>
      <c r="G405" s="37" t="n">
        <v>0.8599999999999999</v>
      </c>
      <c r="H405" s="37" t="n">
        <v>0.95</v>
      </c>
      <c r="I405" s="42" t="inlineStr">
        <is>
          <t>KALINA</t>
        </is>
      </c>
      <c r="J405" s="29" t="n">
        <v>12.63367152062305</v>
      </c>
      <c r="K405" s="35" t="n">
        <v>55.27210674837835</v>
      </c>
      <c r="L405" s="36" t="n">
        <v>2600</v>
      </c>
      <c r="M405" s="29" t="n">
        <v>7.5</v>
      </c>
      <c r="N405" s="16" t="inlineStr">
        <is>
          <t>no</t>
        </is>
      </c>
      <c r="O405" s="16" t="n"/>
    </row>
    <row r="406">
      <c r="A406" s="16" t="inlineStr">
        <is>
          <t>KF-M07-A4-0043</t>
        </is>
      </c>
      <c r="B406" s="35" t="n">
        <v>415</v>
      </c>
      <c r="C406" s="37" t="n">
        <v>0.5</v>
      </c>
      <c r="D406" s="37" t="n">
        <v>0.85</v>
      </c>
      <c r="E406" s="37" t="n">
        <v>0.6950000000000001</v>
      </c>
      <c r="F406" s="37" t="n">
        <v>0.85</v>
      </c>
      <c r="G406" s="37" t="n">
        <v>0.8599999999999999</v>
      </c>
      <c r="H406" s="37" t="n">
        <v>0.95</v>
      </c>
      <c r="I406" s="42" t="inlineStr">
        <is>
          <t>KALINA</t>
        </is>
      </c>
      <c r="J406" s="29" t="n">
        <v>12.49746210350944</v>
      </c>
      <c r="K406" s="35" t="n">
        <v>54.65203908457352</v>
      </c>
      <c r="L406" s="36" t="n">
        <v>2600</v>
      </c>
      <c r="M406" s="29" t="n">
        <v>7.5</v>
      </c>
      <c r="N406" s="16" t="inlineStr">
        <is>
          <t>no</t>
        </is>
      </c>
      <c r="O406" s="16" t="n"/>
    </row>
    <row r="407">
      <c r="A407" s="16" t="inlineStr">
        <is>
          <t>KF-M07-A4-0044</t>
        </is>
      </c>
      <c r="B407" s="35" t="n">
        <v>415</v>
      </c>
      <c r="C407" s="37" t="n">
        <v>0.5</v>
      </c>
      <c r="D407" s="37" t="n">
        <v>0.85</v>
      </c>
      <c r="E407" s="37" t="n">
        <v>0.75</v>
      </c>
      <c r="F407" s="37" t="n">
        <v>0.905</v>
      </c>
      <c r="G407" s="37" t="n">
        <v>0.8599999999999999</v>
      </c>
      <c r="H407" s="37" t="n">
        <v>0.95</v>
      </c>
      <c r="I407" s="39" t="inlineStr">
        <is>
          <t>Corregible</t>
        </is>
      </c>
      <c r="J407" s="29" t="n">
        <v>12.73159950562657</v>
      </c>
      <c r="K407" s="35" t="n">
        <v>59.33577505419487</v>
      </c>
      <c r="L407" s="36" t="n">
        <v>2600</v>
      </c>
      <c r="M407" s="29" t="n">
        <v>7.5</v>
      </c>
      <c r="N407" s="16" t="inlineStr">
        <is>
          <t>no</t>
        </is>
      </c>
      <c r="O407" s="16" t="inlineStr">
        <is>
          <t>O2</t>
        </is>
      </c>
    </row>
    <row r="408">
      <c r="A408" s="16" t="inlineStr">
        <is>
          <t>KF-M07-A4-0045</t>
        </is>
      </c>
      <c r="B408" s="35" t="n">
        <v>415</v>
      </c>
      <c r="C408" s="37" t="n">
        <v>0.5</v>
      </c>
      <c r="D408" s="37" t="n">
        <v>0.85</v>
      </c>
      <c r="E408" s="37" t="n">
        <v>0.75</v>
      </c>
      <c r="F408" s="37" t="n">
        <v>0.795</v>
      </c>
      <c r="G408" s="37" t="n">
        <v>0.8599999999999999</v>
      </c>
      <c r="H408" s="37" t="n">
        <v>0.95</v>
      </c>
      <c r="I408" s="42" t="inlineStr">
        <is>
          <t>KALINA</t>
        </is>
      </c>
      <c r="J408" s="29" t="n">
        <v>12.38193136329266</v>
      </c>
      <c r="K408" s="35" t="n">
        <v>50.6311470600285</v>
      </c>
      <c r="L408" s="36" t="n">
        <v>2600</v>
      </c>
      <c r="M408" s="29" t="n">
        <v>7.5</v>
      </c>
      <c r="N408" s="16" t="inlineStr">
        <is>
          <t>no</t>
        </is>
      </c>
      <c r="O408" s="16" t="n"/>
    </row>
    <row r="409">
      <c r="A409" s="16" t="inlineStr">
        <is>
          <t>KF-M07-A4-0046</t>
        </is>
      </c>
      <c r="B409" s="35" t="n">
        <v>415</v>
      </c>
      <c r="C409" s="37" t="n">
        <v>0.5</v>
      </c>
      <c r="D409" s="37" t="n">
        <v>0.85</v>
      </c>
      <c r="E409" s="37" t="n">
        <v>0.75</v>
      </c>
      <c r="F409" s="37" t="n">
        <v>0.85</v>
      </c>
      <c r="G409" s="37" t="n">
        <v>0.915</v>
      </c>
      <c r="H409" s="37" t="n">
        <v>0.95</v>
      </c>
      <c r="I409" s="42" t="inlineStr">
        <is>
          <t>KALINA</t>
        </is>
      </c>
      <c r="J409" s="29" t="n">
        <v>13.21933711698698</v>
      </c>
      <c r="K409" s="35" t="n">
        <v>55.46968315283303</v>
      </c>
      <c r="L409" s="36" t="n">
        <v>2600</v>
      </c>
      <c r="M409" s="29" t="n">
        <v>7.5</v>
      </c>
      <c r="N409" s="16" t="inlineStr">
        <is>
          <t>no</t>
        </is>
      </c>
      <c r="O409" s="16" t="n"/>
    </row>
    <row r="410">
      <c r="A410" s="16" t="inlineStr">
        <is>
          <t>KF-M07-A4-0047</t>
        </is>
      </c>
      <c r="B410" s="35" t="n">
        <v>415</v>
      </c>
      <c r="C410" s="37" t="n">
        <v>0.5</v>
      </c>
      <c r="D410" s="37" t="n">
        <v>0.85</v>
      </c>
      <c r="E410" s="37" t="n">
        <v>0.75</v>
      </c>
      <c r="F410" s="37" t="n">
        <v>0.85</v>
      </c>
      <c r="G410" s="37" t="n">
        <v>0.8049999999999999</v>
      </c>
      <c r="H410" s="37" t="n">
        <v>0.95</v>
      </c>
      <c r="I410" s="39" t="inlineStr">
        <is>
          <t>Corregible</t>
        </is>
      </c>
      <c r="J410" s="29" t="n">
        <v>11.97424653780448</v>
      </c>
      <c r="K410" s="35" t="n">
        <v>54.50130912555221</v>
      </c>
      <c r="L410" s="36" t="n">
        <v>2600</v>
      </c>
      <c r="M410" s="29" t="n">
        <v>7.5</v>
      </c>
      <c r="N410" s="16" t="inlineStr">
        <is>
          <t>no</t>
        </is>
      </c>
      <c r="O410" s="16" t="inlineStr">
        <is>
          <t>O2</t>
        </is>
      </c>
    </row>
    <row r="411">
      <c r="A411" s="16" t="inlineStr">
        <is>
          <t>KF-M07-A4-0048</t>
        </is>
      </c>
      <c r="B411" s="35" t="n">
        <v>415</v>
      </c>
      <c r="C411" s="37" t="n">
        <v>0.5</v>
      </c>
      <c r="D411" s="37" t="n">
        <v>0.85</v>
      </c>
      <c r="E411" s="37" t="n">
        <v>0.75</v>
      </c>
      <c r="F411" s="37" t="n">
        <v>0.85</v>
      </c>
      <c r="G411" s="37" t="n">
        <v>0.8599999999999999</v>
      </c>
      <c r="H411" s="37" t="n">
        <v>0.895</v>
      </c>
      <c r="I411" s="39" t="inlineStr">
        <is>
          <t>Corregible</t>
        </is>
      </c>
      <c r="J411" s="29" t="n">
        <v>12.77321220285821</v>
      </c>
      <c r="K411" s="35" t="n">
        <v>54.95110348893471</v>
      </c>
      <c r="L411" s="36" t="n">
        <v>2600</v>
      </c>
      <c r="M411" s="29" t="n">
        <v>7.5</v>
      </c>
      <c r="N411" s="16" t="inlineStr">
        <is>
          <t>no</t>
        </is>
      </c>
      <c r="O411" s="16" t="inlineStr">
        <is>
          <t>O2</t>
        </is>
      </c>
    </row>
    <row r="412">
      <c r="A412" s="16" t="inlineStr">
        <is>
          <t>KF-M07-A4-0049</t>
        </is>
      </c>
      <c r="B412" s="35" t="n">
        <v>427</v>
      </c>
      <c r="C412" s="37" t="n">
        <v>0.5</v>
      </c>
      <c r="D412" s="37" t="n">
        <v>0.905</v>
      </c>
      <c r="E412" s="37" t="n">
        <v>0.75</v>
      </c>
      <c r="F412" s="37" t="n">
        <v>0.85</v>
      </c>
      <c r="G412" s="37" t="n">
        <v>0.8599999999999999</v>
      </c>
      <c r="H412" s="37" t="n">
        <v>0.95</v>
      </c>
      <c r="I412" s="39" t="inlineStr">
        <is>
          <t>Corregible</t>
        </is>
      </c>
      <c r="J412" s="29" t="n">
        <v>14.11619463150544</v>
      </c>
      <c r="K412" s="35" t="n">
        <v>84.61547064255568</v>
      </c>
      <c r="L412" s="36" t="n">
        <v>2600</v>
      </c>
      <c r="M412" s="29" t="n">
        <v>7.5</v>
      </c>
      <c r="N412" s="16" t="inlineStr">
        <is>
          <t>sí</t>
        </is>
      </c>
      <c r="O412" s="16" t="inlineStr">
        <is>
          <t>O2</t>
        </is>
      </c>
    </row>
    <row r="413">
      <c r="A413" s="16" t="inlineStr">
        <is>
          <t>KF-M07-A4-0050</t>
        </is>
      </c>
      <c r="B413" s="35" t="n">
        <v>403</v>
      </c>
      <c r="C413" s="37" t="n">
        <v>0.5</v>
      </c>
      <c r="D413" s="37" t="n">
        <v>0.905</v>
      </c>
      <c r="E413" s="37" t="n">
        <v>0.75</v>
      </c>
      <c r="F413" s="37" t="n">
        <v>0.85</v>
      </c>
      <c r="G413" s="37" t="n">
        <v>0.8599999999999999</v>
      </c>
      <c r="H413" s="37" t="n">
        <v>0.95</v>
      </c>
      <c r="I413" s="42" t="inlineStr">
        <is>
          <t>KALINA</t>
        </is>
      </c>
      <c r="J413" s="29" t="n">
        <v>11.87071211366249</v>
      </c>
      <c r="K413" s="35" t="n">
        <v>33.99648698724853</v>
      </c>
      <c r="L413" s="36" t="n">
        <v>2600</v>
      </c>
      <c r="M413" s="29" t="n">
        <v>7.5</v>
      </c>
      <c r="N413" s="16" t="inlineStr">
        <is>
          <t>no</t>
        </is>
      </c>
      <c r="O413" s="16" t="n"/>
    </row>
    <row r="414">
      <c r="A414" s="16" t="inlineStr">
        <is>
          <t>KF-M07-A4-0051</t>
        </is>
      </c>
      <c r="B414" s="35" t="n">
        <v>415</v>
      </c>
      <c r="C414" s="37" t="n">
        <v>0.535</v>
      </c>
      <c r="D414" s="37" t="n">
        <v>0.905</v>
      </c>
      <c r="E414" s="37" t="n">
        <v>0.75</v>
      </c>
      <c r="F414" s="37" t="n">
        <v>0.85</v>
      </c>
      <c r="G414" s="37" t="n">
        <v>0.8599999999999999</v>
      </c>
      <c r="H414" s="37" t="n">
        <v>0.95</v>
      </c>
      <c r="I414" s="39" t="inlineStr">
        <is>
          <t>Corregible</t>
        </is>
      </c>
      <c r="J414" s="29" t="n">
        <v>14.33443724500837</v>
      </c>
      <c r="K414" s="35" t="n">
        <v>74.52397375878881</v>
      </c>
      <c r="L414" s="36" t="n">
        <v>2600</v>
      </c>
      <c r="M414" s="29" t="n">
        <v>7.5</v>
      </c>
      <c r="N414" s="16" t="inlineStr">
        <is>
          <t>no</t>
        </is>
      </c>
      <c r="O414" s="16" t="inlineStr">
        <is>
          <t>O2</t>
        </is>
      </c>
    </row>
    <row r="415">
      <c r="A415" s="16" t="inlineStr">
        <is>
          <t>KF-M07-A4-0052</t>
        </is>
      </c>
      <c r="B415" s="35" t="n">
        <v>415</v>
      </c>
      <c r="C415" s="37" t="n">
        <v>0.5</v>
      </c>
      <c r="D415" s="37" t="n">
        <v>0.95</v>
      </c>
      <c r="E415" s="37" t="n">
        <v>0.75</v>
      </c>
      <c r="F415" s="37" t="n">
        <v>0.85</v>
      </c>
      <c r="G415" s="37" t="n">
        <v>0.8599999999999999</v>
      </c>
      <c r="H415" s="37" t="n">
        <v>0.95</v>
      </c>
      <c r="I415" s="42" t="inlineStr">
        <is>
          <t>KALINA</t>
        </is>
      </c>
      <c r="J415" s="29" t="n">
        <v>14.15937069834813</v>
      </c>
      <c r="K415" s="35" t="n">
        <v>61.94959870263656</v>
      </c>
      <c r="L415" s="36" t="n">
        <v>2600</v>
      </c>
      <c r="M415" s="29" t="n">
        <v>7.5</v>
      </c>
      <c r="N415" s="16" t="inlineStr">
        <is>
          <t>no</t>
        </is>
      </c>
      <c r="O415" s="16" t="n"/>
    </row>
    <row r="416">
      <c r="A416" s="16" t="inlineStr">
        <is>
          <t>KF-M07-A4-0053</t>
        </is>
      </c>
      <c r="B416" s="35" t="n">
        <v>415</v>
      </c>
      <c r="C416" s="37" t="n">
        <v>0.5</v>
      </c>
      <c r="D416" s="37" t="n">
        <v>0.85</v>
      </c>
      <c r="E416" s="37" t="n">
        <v>0.75</v>
      </c>
      <c r="F416" s="37" t="n">
        <v>0.85</v>
      </c>
      <c r="G416" s="37" t="n">
        <v>0.8599999999999999</v>
      </c>
      <c r="H416" s="37" t="n">
        <v>0.95</v>
      </c>
      <c r="I416" s="42" t="inlineStr">
        <is>
          <t>KALINA</t>
        </is>
      </c>
      <c r="J416" s="29" t="n">
        <v>12.57057628767882</v>
      </c>
      <c r="K416" s="35" t="n">
        <v>54.98480958225588</v>
      </c>
      <c r="L416" s="36" t="n">
        <v>2600</v>
      </c>
      <c r="M416" s="29" t="n">
        <v>7.5</v>
      </c>
      <c r="N416" s="16" t="inlineStr">
        <is>
          <t>no</t>
        </is>
      </c>
      <c r="O416" s="16" t="n"/>
    </row>
    <row r="417">
      <c r="A417" s="16" t="inlineStr">
        <is>
          <t>KF-M07-A4-0054</t>
        </is>
      </c>
      <c r="B417" s="35" t="n">
        <v>415</v>
      </c>
      <c r="C417" s="37" t="n">
        <v>0.5</v>
      </c>
      <c r="D417" s="37" t="n">
        <v>0.905</v>
      </c>
      <c r="E417" s="37" t="n">
        <v>0.8049999999999999</v>
      </c>
      <c r="F417" s="37" t="n">
        <v>0.85</v>
      </c>
      <c r="G417" s="37" t="n">
        <v>0.8599999999999999</v>
      </c>
      <c r="H417" s="37" t="n">
        <v>0.95</v>
      </c>
      <c r="I417" s="42" t="inlineStr">
        <is>
          <t>KALINA</t>
        </is>
      </c>
      <c r="J417" s="29" t="n">
        <v>13.50739836334303</v>
      </c>
      <c r="K417" s="35" t="n">
        <v>59.10265429304312</v>
      </c>
      <c r="L417" s="36" t="n">
        <v>2600</v>
      </c>
      <c r="M417" s="29" t="n">
        <v>7.5</v>
      </c>
      <c r="N417" s="16" t="inlineStr">
        <is>
          <t>no</t>
        </is>
      </c>
      <c r="O417" s="16" t="n"/>
    </row>
    <row r="418">
      <c r="A418" s="16" t="inlineStr">
        <is>
          <t>KF-M07-A4-0055</t>
        </is>
      </c>
      <c r="B418" s="35" t="n">
        <v>415</v>
      </c>
      <c r="C418" s="37" t="n">
        <v>0.5</v>
      </c>
      <c r="D418" s="37" t="n">
        <v>0.905</v>
      </c>
      <c r="E418" s="37" t="n">
        <v>0.6950000000000001</v>
      </c>
      <c r="F418" s="37" t="n">
        <v>0.85</v>
      </c>
      <c r="G418" s="37" t="n">
        <v>0.8599999999999999</v>
      </c>
      <c r="H418" s="37" t="n">
        <v>0.95</v>
      </c>
      <c r="I418" s="42" t="inlineStr">
        <is>
          <t>KALINA</t>
        </is>
      </c>
      <c r="J418" s="29" t="n">
        <v>13.37167775465045</v>
      </c>
      <c r="K418" s="35" t="n">
        <v>58.48295735988681</v>
      </c>
      <c r="L418" s="36" t="n">
        <v>2600</v>
      </c>
      <c r="M418" s="29" t="n">
        <v>7.5</v>
      </c>
      <c r="N418" s="16" t="inlineStr">
        <is>
          <t>no</t>
        </is>
      </c>
      <c r="O418" s="16" t="n"/>
    </row>
    <row r="419">
      <c r="A419" s="16" t="inlineStr">
        <is>
          <t>KF-M07-A4-0056</t>
        </is>
      </c>
      <c r="B419" s="35" t="n">
        <v>415</v>
      </c>
      <c r="C419" s="37" t="n">
        <v>0.5</v>
      </c>
      <c r="D419" s="37" t="n">
        <v>0.905</v>
      </c>
      <c r="E419" s="37" t="n">
        <v>0.75</v>
      </c>
      <c r="F419" s="37" t="n">
        <v>0.905</v>
      </c>
      <c r="G419" s="37" t="n">
        <v>0.8599999999999999</v>
      </c>
      <c r="H419" s="37" t="n">
        <v>0.95</v>
      </c>
      <c r="I419" s="39" t="inlineStr">
        <is>
          <t>Corregible</t>
        </is>
      </c>
      <c r="J419" s="29" t="n">
        <v>13.6120486113327</v>
      </c>
      <c r="K419" s="35" t="n">
        <v>63.4487044664955</v>
      </c>
      <c r="L419" s="36" t="n">
        <v>2600</v>
      </c>
      <c r="M419" s="29" t="n">
        <v>7.5</v>
      </c>
      <c r="N419" s="16" t="inlineStr">
        <is>
          <t>no</t>
        </is>
      </c>
      <c r="O419" s="16" t="inlineStr">
        <is>
          <t>O2</t>
        </is>
      </c>
    </row>
    <row r="420">
      <c r="A420" s="16" t="inlineStr">
        <is>
          <t>KF-M07-A4-0057</t>
        </is>
      </c>
      <c r="B420" s="35" t="n">
        <v>415</v>
      </c>
      <c r="C420" s="37" t="n">
        <v>0.5</v>
      </c>
      <c r="D420" s="37" t="n">
        <v>0.905</v>
      </c>
      <c r="E420" s="37" t="n">
        <v>0.75</v>
      </c>
      <c r="F420" s="37" t="n">
        <v>0.795</v>
      </c>
      <c r="G420" s="37" t="n">
        <v>0.8599999999999999</v>
      </c>
      <c r="H420" s="37" t="n">
        <v>0.95</v>
      </c>
      <c r="I420" s="42" t="inlineStr">
        <is>
          <t>KALINA</t>
        </is>
      </c>
      <c r="J420" s="29" t="n">
        <v>13.24813230911751</v>
      </c>
      <c r="K420" s="35" t="n">
        <v>54.17968164813972</v>
      </c>
      <c r="L420" s="36" t="n">
        <v>2600</v>
      </c>
      <c r="M420" s="29" t="n">
        <v>7.5</v>
      </c>
      <c r="N420" s="16" t="inlineStr">
        <is>
          <t>no</t>
        </is>
      </c>
      <c r="O420" s="16" t="n"/>
    </row>
    <row r="421">
      <c r="A421" s="16" t="inlineStr">
        <is>
          <t>KF-M07-A4-0058</t>
        </is>
      </c>
      <c r="B421" s="35" t="n">
        <v>415</v>
      </c>
      <c r="C421" s="37" t="n">
        <v>0.5</v>
      </c>
      <c r="D421" s="37" t="n">
        <v>0.905</v>
      </c>
      <c r="E421" s="37" t="n">
        <v>0.75</v>
      </c>
      <c r="F421" s="37" t="n">
        <v>0.85</v>
      </c>
      <c r="G421" s="37" t="n">
        <v>0.915</v>
      </c>
      <c r="H421" s="37" t="n">
        <v>0.95</v>
      </c>
      <c r="I421" s="42" t="inlineStr">
        <is>
          <t>KALINA</t>
        </is>
      </c>
      <c r="J421" s="29" t="n">
        <v>14.13797566721693</v>
      </c>
      <c r="K421" s="35" t="n">
        <v>59.33189212540989</v>
      </c>
      <c r="L421" s="36" t="n">
        <v>2600</v>
      </c>
      <c r="M421" s="29" t="n">
        <v>7.5</v>
      </c>
      <c r="N421" s="16" t="inlineStr">
        <is>
          <t>no</t>
        </is>
      </c>
      <c r="O421" s="16" t="n"/>
    </row>
    <row r="422">
      <c r="A422" s="16" t="inlineStr">
        <is>
          <t>KF-M07-A4-0059</t>
        </is>
      </c>
      <c r="B422" s="35" t="n">
        <v>415</v>
      </c>
      <c r="C422" s="37" t="n">
        <v>0.5</v>
      </c>
      <c r="D422" s="37" t="n">
        <v>0.905</v>
      </c>
      <c r="E422" s="37" t="n">
        <v>0.75</v>
      </c>
      <c r="F422" s="37" t="n">
        <v>0.85</v>
      </c>
      <c r="G422" s="37" t="n">
        <v>0.8049999999999999</v>
      </c>
      <c r="H422" s="37" t="n">
        <v>0.95</v>
      </c>
      <c r="I422" s="42" t="inlineStr">
        <is>
          <t>KALINA</t>
        </is>
      </c>
      <c r="J422" s="29" t="n">
        <v>12.80714248262477</v>
      </c>
      <c r="K422" s="35" t="n">
        <v>58.30064446510738</v>
      </c>
      <c r="L422" s="36" t="n">
        <v>2600</v>
      </c>
      <c r="M422" s="29" t="n">
        <v>7.5</v>
      </c>
      <c r="N422" s="16" t="inlineStr">
        <is>
          <t>no</t>
        </is>
      </c>
      <c r="O422" s="16" t="n"/>
    </row>
    <row r="423">
      <c r="A423" s="16" t="inlineStr">
        <is>
          <t>KF-M07-A4-0060</t>
        </is>
      </c>
      <c r="B423" s="35" t="n">
        <v>415</v>
      </c>
      <c r="C423" s="37" t="n">
        <v>0.5</v>
      </c>
      <c r="D423" s="37" t="n">
        <v>0.905</v>
      </c>
      <c r="E423" s="37" t="n">
        <v>0.75</v>
      </c>
      <c r="F423" s="37" t="n">
        <v>0.85</v>
      </c>
      <c r="G423" s="37" t="n">
        <v>0.8599999999999999</v>
      </c>
      <c r="H423" s="37" t="n">
        <v>0.895</v>
      </c>
      <c r="I423" s="39" t="inlineStr">
        <is>
          <t>Corregible</t>
        </is>
      </c>
      <c r="J423" s="29" t="n">
        <v>13.66365190239002</v>
      </c>
      <c r="K423" s="35" t="n">
        <v>58.80019232498972</v>
      </c>
      <c r="L423" s="36" t="n">
        <v>2600</v>
      </c>
      <c r="M423" s="29" t="n">
        <v>7.5</v>
      </c>
      <c r="N423" s="16" t="inlineStr">
        <is>
          <t>no</t>
        </is>
      </c>
      <c r="O423" s="16" t="inlineStr">
        <is>
          <t>O2</t>
        </is>
      </c>
    </row>
    <row r="424">
      <c r="A424" s="16" t="inlineStr">
        <is>
          <t>KF-M07-A4-0061</t>
        </is>
      </c>
      <c r="B424" s="35" t="n">
        <v>427</v>
      </c>
      <c r="C424" s="37" t="n">
        <v>0.5</v>
      </c>
      <c r="D424" s="37" t="n">
        <v>0.95</v>
      </c>
      <c r="E424" s="37" t="n">
        <v>0.75</v>
      </c>
      <c r="F424" s="37" t="n">
        <v>0.85</v>
      </c>
      <c r="G424" s="37" t="n">
        <v>0.8599999999999999</v>
      </c>
      <c r="H424" s="37" t="n">
        <v>0.95</v>
      </c>
      <c r="I424" s="39" t="inlineStr">
        <is>
          <t>Corregible</t>
        </is>
      </c>
      <c r="J424" s="29" t="n">
        <v>14.85121727626648</v>
      </c>
      <c r="K424" s="35" t="n">
        <v>89.03361956440514</v>
      </c>
      <c r="L424" s="36" t="n">
        <v>2600</v>
      </c>
      <c r="M424" s="29" t="n">
        <v>7.5</v>
      </c>
      <c r="N424" s="16" t="inlineStr">
        <is>
          <t>sí</t>
        </is>
      </c>
      <c r="O424" s="16" t="inlineStr">
        <is>
          <t>O2</t>
        </is>
      </c>
    </row>
    <row r="425">
      <c r="A425" s="16" t="inlineStr">
        <is>
          <t>KF-M07-A4-0062</t>
        </is>
      </c>
      <c r="B425" s="35" t="n">
        <v>403</v>
      </c>
      <c r="C425" s="37" t="n">
        <v>0.5</v>
      </c>
      <c r="D425" s="37" t="n">
        <v>0.95</v>
      </c>
      <c r="E425" s="37" t="n">
        <v>0.75</v>
      </c>
      <c r="F425" s="37" t="n">
        <v>0.85</v>
      </c>
      <c r="G425" s="37" t="n">
        <v>0.8599999999999999</v>
      </c>
      <c r="H425" s="37" t="n">
        <v>0.95</v>
      </c>
      <c r="I425" s="42" t="inlineStr">
        <is>
          <t>KALINA</t>
        </is>
      </c>
      <c r="J425" s="29" t="n">
        <v>12.53324970480001</v>
      </c>
      <c r="K425" s="35" t="n">
        <v>35.89681048041053</v>
      </c>
      <c r="L425" s="36" t="n">
        <v>2600</v>
      </c>
      <c r="M425" s="29" t="n">
        <v>7.5</v>
      </c>
      <c r="N425" s="16" t="inlineStr">
        <is>
          <t>no</t>
        </is>
      </c>
      <c r="O425" s="16" t="n"/>
    </row>
    <row r="426">
      <c r="A426" s="16" t="inlineStr">
        <is>
          <t>KF-M07-A4-0063</t>
        </is>
      </c>
      <c r="B426" s="35" t="n">
        <v>415</v>
      </c>
      <c r="C426" s="37" t="n">
        <v>0.535</v>
      </c>
      <c r="D426" s="37" t="n">
        <v>0.95</v>
      </c>
      <c r="E426" s="37" t="n">
        <v>0.75</v>
      </c>
      <c r="F426" s="37" t="n">
        <v>0.85</v>
      </c>
      <c r="G426" s="37" t="n">
        <v>0.8599999999999999</v>
      </c>
      <c r="H426" s="37" t="n">
        <v>0.95</v>
      </c>
      <c r="I426" s="39" t="inlineStr">
        <is>
          <t>Corregible</t>
        </is>
      </c>
      <c r="J426" s="29" t="n">
        <v>15.09121576374913</v>
      </c>
      <c r="K426" s="35" t="n">
        <v>78.46921750931544</v>
      </c>
      <c r="L426" s="36" t="n">
        <v>2600</v>
      </c>
      <c r="M426" s="29" t="n">
        <v>7.5</v>
      </c>
      <c r="N426" s="16" t="inlineStr">
        <is>
          <t>no</t>
        </is>
      </c>
      <c r="O426" s="16" t="inlineStr">
        <is>
          <t>O2</t>
        </is>
      </c>
    </row>
    <row r="427">
      <c r="A427" s="16" t="inlineStr">
        <is>
          <t>KF-M07-A4-0064</t>
        </is>
      </c>
      <c r="B427" s="35" t="n">
        <v>415</v>
      </c>
      <c r="C427" s="37" t="n">
        <v>0.5</v>
      </c>
      <c r="D427" s="37" t="n">
        <v>0.895</v>
      </c>
      <c r="E427" s="37" t="n">
        <v>0.75</v>
      </c>
      <c r="F427" s="37" t="n">
        <v>0.85</v>
      </c>
      <c r="G427" s="37" t="n">
        <v>0.8599999999999999</v>
      </c>
      <c r="H427" s="37" t="n">
        <v>0.95</v>
      </c>
      <c r="I427" s="42" t="inlineStr">
        <is>
          <t>KALINA</t>
        </is>
      </c>
      <c r="J427" s="29" t="n">
        <v>13.28565011453173</v>
      </c>
      <c r="K427" s="35" t="n">
        <v>58.11904998472705</v>
      </c>
      <c r="L427" s="36" t="n">
        <v>2600</v>
      </c>
      <c r="M427" s="29" t="n">
        <v>7.5</v>
      </c>
      <c r="N427" s="16" t="inlineStr">
        <is>
          <t>no</t>
        </is>
      </c>
      <c r="O427" s="16" t="n"/>
    </row>
    <row r="428">
      <c r="A428" s="16" t="inlineStr">
        <is>
          <t>KF-M07-A4-0065</t>
        </is>
      </c>
      <c r="B428" s="35" t="n">
        <v>415</v>
      </c>
      <c r="C428" s="37" t="n">
        <v>0.5</v>
      </c>
      <c r="D428" s="37" t="n">
        <v>0.95</v>
      </c>
      <c r="E428" s="37" t="n">
        <v>0.8049999999999999</v>
      </c>
      <c r="F428" s="37" t="n">
        <v>0.85</v>
      </c>
      <c r="G428" s="37" t="n">
        <v>0.8599999999999999</v>
      </c>
      <c r="H428" s="37" t="n">
        <v>0.95</v>
      </c>
      <c r="I428" s="42" t="inlineStr">
        <is>
          <t>KALINA</t>
        </is>
      </c>
      <c r="J428" s="29" t="n">
        <v>14.22205770556991</v>
      </c>
      <c r="K428" s="35" t="n">
        <v>62.23658614953733</v>
      </c>
      <c r="L428" s="36" t="n">
        <v>2600</v>
      </c>
      <c r="M428" s="29" t="n">
        <v>7.5</v>
      </c>
      <c r="N428" s="16" t="inlineStr">
        <is>
          <t>no</t>
        </is>
      </c>
      <c r="O428" s="16" t="n"/>
    </row>
    <row r="429">
      <c r="A429" s="16" t="inlineStr">
        <is>
          <t>KF-M07-A4-0066</t>
        </is>
      </c>
      <c r="B429" s="35" t="n">
        <v>415</v>
      </c>
      <c r="C429" s="37" t="n">
        <v>0.5</v>
      </c>
      <c r="D429" s="37" t="n">
        <v>0.95</v>
      </c>
      <c r="E429" s="37" t="n">
        <v>0.6950000000000001</v>
      </c>
      <c r="F429" s="37" t="n">
        <v>0.85</v>
      </c>
      <c r="G429" s="37" t="n">
        <v>0.8599999999999999</v>
      </c>
      <c r="H429" s="37" t="n">
        <v>0.95</v>
      </c>
      <c r="I429" s="42" t="inlineStr">
        <is>
          <t>KALINA</t>
        </is>
      </c>
      <c r="J429" s="29" t="n">
        <v>14.08673344493966</v>
      </c>
      <c r="K429" s="35" t="n">
        <v>61.61718992679633</v>
      </c>
      <c r="L429" s="36" t="n">
        <v>2600</v>
      </c>
      <c r="M429" s="29" t="n">
        <v>7.5</v>
      </c>
      <c r="N429" s="16" t="inlineStr">
        <is>
          <t>no</t>
        </is>
      </c>
      <c r="O429" s="16" t="n"/>
    </row>
    <row r="430">
      <c r="A430" s="16" t="inlineStr">
        <is>
          <t>KF-M07-A4-0067</t>
        </is>
      </c>
      <c r="B430" s="35" t="n">
        <v>415</v>
      </c>
      <c r="C430" s="37" t="n">
        <v>0.5</v>
      </c>
      <c r="D430" s="37" t="n">
        <v>0.95</v>
      </c>
      <c r="E430" s="37" t="n">
        <v>0.75</v>
      </c>
      <c r="F430" s="37" t="n">
        <v>0.905</v>
      </c>
      <c r="G430" s="37" t="n">
        <v>0.8599999999999999</v>
      </c>
      <c r="H430" s="37" t="n">
        <v>0.95</v>
      </c>
      <c r="I430" s="39" t="inlineStr">
        <is>
          <t>Corregible</t>
        </is>
      </c>
      <c r="J430" s="29" t="n">
        <v>14.33218967153533</v>
      </c>
      <c r="K430" s="35" t="n">
        <v>66.81369398190803</v>
      </c>
      <c r="L430" s="36" t="n">
        <v>2600</v>
      </c>
      <c r="M430" s="29" t="n">
        <v>7.5</v>
      </c>
      <c r="N430" s="16" t="inlineStr">
        <is>
          <t>no</t>
        </is>
      </c>
      <c r="O430" s="16" t="inlineStr">
        <is>
          <t>O2</t>
        </is>
      </c>
    </row>
    <row r="431">
      <c r="A431" s="16" t="inlineStr">
        <is>
          <t>KF-M07-A4-0068</t>
        </is>
      </c>
      <c r="B431" s="35" t="n">
        <v>415</v>
      </c>
      <c r="C431" s="37" t="n">
        <v>0.5</v>
      </c>
      <c r="D431" s="37" t="n">
        <v>0.95</v>
      </c>
      <c r="E431" s="37" t="n">
        <v>0.75</v>
      </c>
      <c r="F431" s="37" t="n">
        <v>0.795</v>
      </c>
      <c r="G431" s="37" t="n">
        <v>0.8599999999999999</v>
      </c>
      <c r="H431" s="37" t="n">
        <v>0.95</v>
      </c>
      <c r="I431" s="42" t="inlineStr">
        <is>
          <t>KALINA</t>
        </is>
      </c>
      <c r="J431" s="29" t="n">
        <v>13.9566406153647</v>
      </c>
      <c r="K431" s="35" t="n">
        <v>57.0828392908976</v>
      </c>
      <c r="L431" s="36" t="n">
        <v>2600</v>
      </c>
      <c r="M431" s="29" t="n">
        <v>7.5</v>
      </c>
      <c r="N431" s="16" t="inlineStr">
        <is>
          <t>no</t>
        </is>
      </c>
      <c r="O431" s="16" t="n"/>
    </row>
    <row r="432">
      <c r="A432" s="16" t="inlineStr">
        <is>
          <t>KF-M07-A4-0069</t>
        </is>
      </c>
      <c r="B432" s="35" t="n">
        <v>415</v>
      </c>
      <c r="C432" s="37" t="n">
        <v>0.5</v>
      </c>
      <c r="D432" s="37" t="n">
        <v>0.95</v>
      </c>
      <c r="E432" s="37" t="n">
        <v>0.75</v>
      </c>
      <c r="F432" s="37" t="n">
        <v>0.85</v>
      </c>
      <c r="G432" s="37" t="n">
        <v>0.915</v>
      </c>
      <c r="H432" s="37" t="n">
        <v>0.95</v>
      </c>
      <c r="I432" s="42" t="inlineStr">
        <is>
          <t>KALINA</t>
        </is>
      </c>
      <c r="J432" s="29" t="n">
        <v>14.88938303198443</v>
      </c>
      <c r="K432" s="35" t="n">
        <v>62.49174211411858</v>
      </c>
      <c r="L432" s="36" t="n">
        <v>2600</v>
      </c>
      <c r="M432" s="29" t="n">
        <v>7.5</v>
      </c>
      <c r="N432" s="16" t="inlineStr">
        <is>
          <t>no</t>
        </is>
      </c>
      <c r="O432" s="16" t="n"/>
    </row>
    <row r="433">
      <c r="A433" s="16" t="inlineStr">
        <is>
          <t>KF-M07-A4-0070</t>
        </is>
      </c>
      <c r="B433" s="35" t="n">
        <v>415</v>
      </c>
      <c r="C433" s="37" t="n">
        <v>0.5</v>
      </c>
      <c r="D433" s="37" t="n">
        <v>0.95</v>
      </c>
      <c r="E433" s="37" t="n">
        <v>0.75</v>
      </c>
      <c r="F433" s="37" t="n">
        <v>0.85</v>
      </c>
      <c r="G433" s="37" t="n">
        <v>0.8049999999999999</v>
      </c>
      <c r="H433" s="37" t="n">
        <v>0.95</v>
      </c>
      <c r="I433" s="42" t="inlineStr">
        <is>
          <t>KALINA</t>
        </is>
      </c>
      <c r="J433" s="29" t="n">
        <v>13.48838523839911</v>
      </c>
      <c r="K433" s="35" t="n">
        <v>61.40901013070697</v>
      </c>
      <c r="L433" s="36" t="n">
        <v>2600</v>
      </c>
      <c r="M433" s="29" t="n">
        <v>7.5</v>
      </c>
      <c r="N433" s="16" t="inlineStr">
        <is>
          <t>no</t>
        </is>
      </c>
      <c r="O433" s="16" t="n"/>
    </row>
    <row r="434">
      <c r="A434" s="16" t="inlineStr">
        <is>
          <t>KF-M07-A4-0071</t>
        </is>
      </c>
      <c r="B434" s="35" t="n">
        <v>415</v>
      </c>
      <c r="C434" s="37" t="n">
        <v>0.5</v>
      </c>
      <c r="D434" s="37" t="n">
        <v>0.95</v>
      </c>
      <c r="E434" s="37" t="n">
        <v>0.75</v>
      </c>
      <c r="F434" s="37" t="n">
        <v>0.85</v>
      </c>
      <c r="G434" s="37" t="n">
        <v>0.8599999999999999</v>
      </c>
      <c r="H434" s="37" t="n">
        <v>0.895</v>
      </c>
      <c r="I434" s="39" t="inlineStr">
        <is>
          <t>Corregible</t>
        </is>
      </c>
      <c r="J434" s="29" t="n">
        <v>14.3917346336003</v>
      </c>
      <c r="K434" s="35" t="n">
        <v>61.94903251493886</v>
      </c>
      <c r="L434" s="36" t="n">
        <v>2600</v>
      </c>
      <c r="M434" s="29" t="n">
        <v>7.5</v>
      </c>
      <c r="N434" s="16" t="inlineStr">
        <is>
          <t>no</t>
        </is>
      </c>
      <c r="O434" s="16" t="inlineStr">
        <is>
          <t>O2</t>
        </is>
      </c>
    </row>
    <row r="435">
      <c r="A435" s="16" t="inlineStr">
        <is>
          <t>KF-M07-A4-0072</t>
        </is>
      </c>
      <c r="B435" s="35" t="n">
        <v>427</v>
      </c>
      <c r="C435" s="37" t="n">
        <v>0.5</v>
      </c>
      <c r="D435" s="37" t="n">
        <v>0.95</v>
      </c>
      <c r="E435" s="37" t="n">
        <v>0.75</v>
      </c>
      <c r="F435" s="37" t="n">
        <v>0.85</v>
      </c>
      <c r="G435" s="37" t="n">
        <v>0.915</v>
      </c>
      <c r="H435" s="37" t="n">
        <v>0.95</v>
      </c>
      <c r="I435" s="39" t="inlineStr">
        <is>
          <t>Corregible</t>
        </is>
      </c>
      <c r="J435" s="29" t="n">
        <v>15.375186735132</v>
      </c>
      <c r="K435" s="35" t="n">
        <v>89.55471732438446</v>
      </c>
      <c r="L435" s="36" t="n">
        <v>2600</v>
      </c>
      <c r="M435" s="29" t="n">
        <v>7.5</v>
      </c>
      <c r="N435" s="16" t="inlineStr">
        <is>
          <t>sí</t>
        </is>
      </c>
      <c r="O435" s="16" t="inlineStr">
        <is>
          <t>O2</t>
        </is>
      </c>
    </row>
    <row r="436">
      <c r="A436" s="16" t="inlineStr">
        <is>
          <t>KF-M07-A4-0073</t>
        </is>
      </c>
      <c r="B436" s="35" t="n">
        <v>403</v>
      </c>
      <c r="C436" s="37" t="n">
        <v>0.5</v>
      </c>
      <c r="D436" s="37" t="n">
        <v>0.95</v>
      </c>
      <c r="E436" s="37" t="n">
        <v>0.75</v>
      </c>
      <c r="F436" s="37" t="n">
        <v>0.85</v>
      </c>
      <c r="G436" s="37" t="n">
        <v>0.915</v>
      </c>
      <c r="H436" s="37" t="n">
        <v>0.95</v>
      </c>
      <c r="I436" s="42" t="inlineStr">
        <is>
          <t>KALINA</t>
        </is>
      </c>
      <c r="J436" s="29" t="n">
        <v>13.598128566933</v>
      </c>
      <c r="K436" s="35" t="n">
        <v>36.45795973977134</v>
      </c>
      <c r="L436" s="36" t="n">
        <v>2600</v>
      </c>
      <c r="M436" s="29" t="n">
        <v>7.5</v>
      </c>
      <c r="N436" s="16" t="inlineStr">
        <is>
          <t>no</t>
        </is>
      </c>
      <c r="O436" s="16" t="n"/>
    </row>
    <row r="437">
      <c r="A437" s="16" t="inlineStr">
        <is>
          <t>KF-M07-A4-0074</t>
        </is>
      </c>
      <c r="B437" s="35" t="n">
        <v>415</v>
      </c>
      <c r="C437" s="37" t="n">
        <v>0.535</v>
      </c>
      <c r="D437" s="37" t="n">
        <v>0.95</v>
      </c>
      <c r="E437" s="37" t="n">
        <v>0.75</v>
      </c>
      <c r="F437" s="37" t="n">
        <v>0.85</v>
      </c>
      <c r="G437" s="37" t="n">
        <v>0.915</v>
      </c>
      <c r="H437" s="37" t="n">
        <v>0.95</v>
      </c>
      <c r="I437" s="39" t="inlineStr">
        <is>
          <t>Corregible</t>
        </is>
      </c>
      <c r="J437" s="29" t="n">
        <v>15.67036353833164</v>
      </c>
      <c r="K437" s="35" t="n">
        <v>78.98443692823356</v>
      </c>
      <c r="L437" s="36" t="n">
        <v>2600</v>
      </c>
      <c r="M437" s="29" t="n">
        <v>7.5</v>
      </c>
      <c r="N437" s="16" t="inlineStr">
        <is>
          <t>no</t>
        </is>
      </c>
      <c r="O437" s="16" t="inlineStr">
        <is>
          <t>O2</t>
        </is>
      </c>
    </row>
    <row r="438">
      <c r="A438" s="16" t="inlineStr">
        <is>
          <t>KF-M07-A4-0075</t>
        </is>
      </c>
      <c r="B438" s="35" t="n">
        <v>415</v>
      </c>
      <c r="C438" s="37" t="n">
        <v>0.5</v>
      </c>
      <c r="D438" s="37" t="n">
        <v>0.895</v>
      </c>
      <c r="E438" s="37" t="n">
        <v>0.75</v>
      </c>
      <c r="F438" s="37" t="n">
        <v>0.85</v>
      </c>
      <c r="G438" s="37" t="n">
        <v>0.915</v>
      </c>
      <c r="H438" s="37" t="n">
        <v>0.95</v>
      </c>
      <c r="I438" s="42" t="inlineStr">
        <is>
          <t>KALINA</t>
        </is>
      </c>
      <c r="J438" s="29" t="n">
        <v>13.97097076267265</v>
      </c>
      <c r="K438" s="35" t="n">
        <v>58.62968485081453</v>
      </c>
      <c r="L438" s="36" t="n">
        <v>2600</v>
      </c>
      <c r="M438" s="29" t="n">
        <v>7.5</v>
      </c>
      <c r="N438" s="16" t="inlineStr">
        <is>
          <t>no</t>
        </is>
      </c>
      <c r="O438" s="16" t="n"/>
    </row>
    <row r="439">
      <c r="A439" s="16" t="inlineStr">
        <is>
          <t>KF-M07-A4-0076</t>
        </is>
      </c>
      <c r="B439" s="35" t="n">
        <v>415</v>
      </c>
      <c r="C439" s="37" t="n">
        <v>0.5</v>
      </c>
      <c r="D439" s="37" t="n">
        <v>0.95</v>
      </c>
      <c r="E439" s="37" t="n">
        <v>0.8049999999999999</v>
      </c>
      <c r="F439" s="37" t="n">
        <v>0.85</v>
      </c>
      <c r="G439" s="37" t="n">
        <v>0.915</v>
      </c>
      <c r="H439" s="37" t="n">
        <v>0.95</v>
      </c>
      <c r="I439" s="42" t="inlineStr">
        <is>
          <t>KALINA</t>
        </is>
      </c>
      <c r="J439" s="29" t="n">
        <v>14.95498227948265</v>
      </c>
      <c r="K439" s="35" t="n">
        <v>62.77896051128174</v>
      </c>
      <c r="L439" s="36" t="n">
        <v>2600</v>
      </c>
      <c r="M439" s="29" t="n">
        <v>7.5</v>
      </c>
      <c r="N439" s="16" t="inlineStr">
        <is>
          <t>no</t>
        </is>
      </c>
      <c r="O439" s="16" t="n"/>
    </row>
    <row r="440">
      <c r="A440" s="16" t="inlineStr">
        <is>
          <t>KF-M07-A4-0077</t>
        </is>
      </c>
      <c r="B440" s="35" t="n">
        <v>415</v>
      </c>
      <c r="C440" s="37" t="n">
        <v>0.5</v>
      </c>
      <c r="D440" s="37" t="n">
        <v>0.95</v>
      </c>
      <c r="E440" s="37" t="n">
        <v>0.6950000000000001</v>
      </c>
      <c r="F440" s="37" t="n">
        <v>0.85</v>
      </c>
      <c r="G440" s="37" t="n">
        <v>0.915</v>
      </c>
      <c r="H440" s="37" t="n">
        <v>0.95</v>
      </c>
      <c r="I440" s="42" t="inlineStr">
        <is>
          <t>KALINA</t>
        </is>
      </c>
      <c r="J440" s="29" t="n">
        <v>14.81336914636253</v>
      </c>
      <c r="K440" s="35" t="n">
        <v>62.15906039723085</v>
      </c>
      <c r="L440" s="36" t="n">
        <v>2600</v>
      </c>
      <c r="M440" s="29" t="n">
        <v>7.5</v>
      </c>
      <c r="N440" s="16" t="inlineStr">
        <is>
          <t>no</t>
        </is>
      </c>
      <c r="O440" s="16" t="n"/>
    </row>
    <row r="441">
      <c r="A441" s="16" t="inlineStr">
        <is>
          <t>KF-M07-A4-0078</t>
        </is>
      </c>
      <c r="B441" s="35" t="n">
        <v>415</v>
      </c>
      <c r="C441" s="37" t="n">
        <v>0.5</v>
      </c>
      <c r="D441" s="37" t="n">
        <v>0.95</v>
      </c>
      <c r="E441" s="37" t="n">
        <v>0.75</v>
      </c>
      <c r="F441" s="37" t="n">
        <v>0.905</v>
      </c>
      <c r="G441" s="37" t="n">
        <v>0.915</v>
      </c>
      <c r="H441" s="37" t="n">
        <v>0.95</v>
      </c>
      <c r="I441" s="42" t="inlineStr">
        <is>
          <t>KALINA</t>
        </is>
      </c>
      <c r="J441" s="29" t="n">
        <v>15.01289365447205</v>
      </c>
      <c r="K441" s="35" t="n">
        <v>67.15532485388626</v>
      </c>
      <c r="L441" s="36" t="n">
        <v>2600</v>
      </c>
      <c r="M441" s="29" t="n">
        <v>7.5</v>
      </c>
      <c r="N441" s="16" t="inlineStr">
        <is>
          <t>no</t>
        </is>
      </c>
      <c r="O441" s="16" t="n"/>
    </row>
    <row r="442">
      <c r="A442" s="16" t="inlineStr">
        <is>
          <t>KF-M07-A4-0079</t>
        </is>
      </c>
      <c r="B442" s="35" t="n">
        <v>415</v>
      </c>
      <c r="C442" s="37" t="n">
        <v>0.5</v>
      </c>
      <c r="D442" s="37" t="n">
        <v>0.95</v>
      </c>
      <c r="E442" s="37" t="n">
        <v>0.75</v>
      </c>
      <c r="F442" s="37" t="n">
        <v>0.795</v>
      </c>
      <c r="G442" s="37" t="n">
        <v>0.915</v>
      </c>
      <c r="H442" s="37" t="n">
        <v>0.95</v>
      </c>
      <c r="I442" s="42" t="inlineStr">
        <is>
          <t>KALINA</t>
        </is>
      </c>
      <c r="J442" s="29" t="n">
        <v>14.7425208906908</v>
      </c>
      <c r="K442" s="35" t="n">
        <v>57.82817058545697</v>
      </c>
      <c r="L442" s="36" t="n">
        <v>2600</v>
      </c>
      <c r="M442" s="29" t="n">
        <v>7.5</v>
      </c>
      <c r="N442" s="16" t="inlineStr">
        <is>
          <t>no</t>
        </is>
      </c>
      <c r="O442" s="16" t="n"/>
    </row>
    <row r="443">
      <c r="A443" s="16" t="inlineStr">
        <is>
          <t>KF-M07-A4-0080</t>
        </is>
      </c>
      <c r="B443" s="35" t="n">
        <v>415</v>
      </c>
      <c r="C443" s="37" t="n">
        <v>0.5</v>
      </c>
      <c r="D443" s="37" t="n">
        <v>0.95</v>
      </c>
      <c r="E443" s="37" t="n">
        <v>0.75</v>
      </c>
      <c r="F443" s="37" t="n">
        <v>0.85</v>
      </c>
      <c r="G443" s="37" t="n">
        <v>0.95</v>
      </c>
      <c r="H443" s="37" t="n">
        <v>0.95</v>
      </c>
      <c r="I443" s="42" t="inlineStr">
        <is>
          <t>KALINA</t>
        </is>
      </c>
      <c r="J443" s="29" t="n">
        <v>15.38832443751932</v>
      </c>
      <c r="K443" s="35" t="n">
        <v>62.83754463116379</v>
      </c>
      <c r="L443" s="36" t="n">
        <v>2600</v>
      </c>
      <c r="M443" s="29" t="n">
        <v>7.5</v>
      </c>
      <c r="N443" s="16" t="inlineStr">
        <is>
          <t>no</t>
        </is>
      </c>
      <c r="O443" s="16" t="n"/>
    </row>
    <row r="444">
      <c r="A444" s="16" t="inlineStr">
        <is>
          <t>KF-M07-A4-0081</t>
        </is>
      </c>
      <c r="B444" s="35" t="n">
        <v>415</v>
      </c>
      <c r="C444" s="37" t="n">
        <v>0.5</v>
      </c>
      <c r="D444" s="37" t="n">
        <v>0.95</v>
      </c>
      <c r="E444" s="37" t="n">
        <v>0.75</v>
      </c>
      <c r="F444" s="37" t="n">
        <v>0.85</v>
      </c>
      <c r="G444" s="37" t="n">
        <v>0.8599999999999999</v>
      </c>
      <c r="H444" s="37" t="n">
        <v>0.95</v>
      </c>
      <c r="I444" s="42" t="inlineStr">
        <is>
          <t>KALINA</t>
        </is>
      </c>
      <c r="J444" s="29" t="n">
        <v>14.1593706983086</v>
      </c>
      <c r="K444" s="35" t="n">
        <v>61.9495987024445</v>
      </c>
      <c r="L444" s="36" t="n">
        <v>2600</v>
      </c>
      <c r="M444" s="29" t="n">
        <v>7.5</v>
      </c>
      <c r="N444" s="16" t="inlineStr">
        <is>
          <t>no</t>
        </is>
      </c>
      <c r="O444" s="16" t="n"/>
    </row>
    <row r="445">
      <c r="A445" s="16" t="inlineStr">
        <is>
          <t>KF-M07-A4-0082</t>
        </is>
      </c>
      <c r="B445" s="35" t="n">
        <v>415</v>
      </c>
      <c r="C445" s="37" t="n">
        <v>0.5</v>
      </c>
      <c r="D445" s="37" t="n">
        <v>0.95</v>
      </c>
      <c r="E445" s="37" t="n">
        <v>0.75</v>
      </c>
      <c r="F445" s="37" t="n">
        <v>0.85</v>
      </c>
      <c r="G445" s="37" t="n">
        <v>0.915</v>
      </c>
      <c r="H445" s="37" t="n">
        <v>0.895</v>
      </c>
      <c r="I445" s="39" t="inlineStr">
        <is>
          <t>Corregible</t>
        </is>
      </c>
      <c r="J445" s="29" t="n">
        <v>15.10467683294145</v>
      </c>
      <c r="K445" s="35" t="n">
        <v>62.49215809914487</v>
      </c>
      <c r="L445" s="36" t="n">
        <v>2600</v>
      </c>
      <c r="M445" s="29" t="n">
        <v>7.5</v>
      </c>
      <c r="N445" s="16" t="inlineStr">
        <is>
          <t>no</t>
        </is>
      </c>
      <c r="O445" s="16" t="inlineStr">
        <is>
          <t>O2</t>
        </is>
      </c>
    </row>
    <row r="446">
      <c r="A446" s="16" t="inlineStr">
        <is>
          <t>KF-M07-A4-0083</t>
        </is>
      </c>
      <c r="B446" s="35" t="n">
        <v>427</v>
      </c>
      <c r="C446" s="37" t="n">
        <v>0.5</v>
      </c>
      <c r="D446" s="37" t="n">
        <v>0.95</v>
      </c>
      <c r="E446" s="37" t="n">
        <v>0.75</v>
      </c>
      <c r="F446" s="37" t="n">
        <v>0.85</v>
      </c>
      <c r="G446" s="37" t="n">
        <v>0.95</v>
      </c>
      <c r="H446" s="37" t="n">
        <v>0.95</v>
      </c>
      <c r="I446" s="39" t="inlineStr">
        <is>
          <t>Corregible</t>
        </is>
      </c>
      <c r="J446" s="29" t="n">
        <v>15.72536319843622</v>
      </c>
      <c r="K446" s="35" t="n">
        <v>89.88648461733669</v>
      </c>
      <c r="L446" s="36" t="n">
        <v>2600</v>
      </c>
      <c r="M446" s="29" t="n">
        <v>7.5</v>
      </c>
      <c r="N446" s="16" t="inlineStr">
        <is>
          <t>sí</t>
        </is>
      </c>
      <c r="O446" s="16" t="inlineStr">
        <is>
          <t>O2</t>
        </is>
      </c>
    </row>
    <row r="447">
      <c r="A447" s="16" t="inlineStr">
        <is>
          <t>KF-M07-A4-0084</t>
        </is>
      </c>
      <c r="B447" s="35" t="n">
        <v>403</v>
      </c>
      <c r="C447" s="37" t="n">
        <v>0.5</v>
      </c>
      <c r="D447" s="37" t="n">
        <v>0.95</v>
      </c>
      <c r="E447" s="37" t="n">
        <v>0.75</v>
      </c>
      <c r="F447" s="37" t="n">
        <v>0.85</v>
      </c>
      <c r="G447" s="37" t="n">
        <v>0.95</v>
      </c>
      <c r="H447" s="37" t="n">
        <v>0.95</v>
      </c>
      <c r="I447" s="42" t="inlineStr">
        <is>
          <t>KALINA</t>
        </is>
      </c>
      <c r="J447" s="29" t="n">
        <v>14.35740292690714</v>
      </c>
      <c r="K447" s="35" t="n">
        <v>36.81613975128165</v>
      </c>
      <c r="L447" s="36" t="n">
        <v>2600</v>
      </c>
      <c r="M447" s="29" t="n">
        <v>7.5</v>
      </c>
      <c r="N447" s="16" t="inlineStr">
        <is>
          <t>no</t>
        </is>
      </c>
      <c r="O447" s="16" t="n"/>
    </row>
    <row r="448">
      <c r="A448" s="16" t="inlineStr">
        <is>
          <t>KF-M07-A4-0085</t>
        </is>
      </c>
      <c r="B448" s="35" t="n">
        <v>415</v>
      </c>
      <c r="C448" s="37" t="n">
        <v>0.535</v>
      </c>
      <c r="D448" s="37" t="n">
        <v>0.95</v>
      </c>
      <c r="E448" s="37" t="n">
        <v>0.75</v>
      </c>
      <c r="F448" s="37" t="n">
        <v>0.85</v>
      </c>
      <c r="G448" s="37" t="n">
        <v>0.95</v>
      </c>
      <c r="H448" s="37" t="n">
        <v>0.95</v>
      </c>
      <c r="I448" s="39" t="inlineStr">
        <is>
          <t>Corregible</t>
        </is>
      </c>
      <c r="J448" s="29" t="n">
        <v>16.05918173381948</v>
      </c>
      <c r="K448" s="35" t="n">
        <v>79.31268801365191</v>
      </c>
      <c r="L448" s="36" t="n">
        <v>2600</v>
      </c>
      <c r="M448" s="29" t="n">
        <v>7.5</v>
      </c>
      <c r="N448" s="16" t="inlineStr">
        <is>
          <t>no</t>
        </is>
      </c>
      <c r="O448" s="16" t="inlineStr">
        <is>
          <t>O2</t>
        </is>
      </c>
    </row>
    <row r="449">
      <c r="A449" s="16" t="inlineStr">
        <is>
          <t>KF-M07-A4-0086</t>
        </is>
      </c>
      <c r="B449" s="35" t="n">
        <v>415</v>
      </c>
      <c r="C449" s="37" t="n">
        <v>0.5</v>
      </c>
      <c r="D449" s="37" t="n">
        <v>0.895</v>
      </c>
      <c r="E449" s="37" t="n">
        <v>0.75</v>
      </c>
      <c r="F449" s="37" t="n">
        <v>0.85</v>
      </c>
      <c r="G449" s="37" t="n">
        <v>0.95</v>
      </c>
      <c r="H449" s="37" t="n">
        <v>0.95</v>
      </c>
      <c r="I449" s="42" t="inlineStr">
        <is>
          <t>KALINA</t>
        </is>
      </c>
      <c r="J449" s="29" t="n">
        <v>14.43935877947456</v>
      </c>
      <c r="K449" s="35" t="n">
        <v>58.95539188379866</v>
      </c>
      <c r="L449" s="36" t="n">
        <v>2600</v>
      </c>
      <c r="M449" s="29" t="n">
        <v>7.5</v>
      </c>
      <c r="N449" s="16" t="inlineStr">
        <is>
          <t>no</t>
        </is>
      </c>
      <c r="O449" s="16" t="n"/>
    </row>
    <row r="450">
      <c r="A450" s="16" t="inlineStr">
        <is>
          <t>KF-M07-A4-0087</t>
        </is>
      </c>
      <c r="B450" s="35" t="n">
        <v>415</v>
      </c>
      <c r="C450" s="37" t="n">
        <v>0.5</v>
      </c>
      <c r="D450" s="37" t="n">
        <v>0.95</v>
      </c>
      <c r="E450" s="37" t="n">
        <v>0.8049999999999999</v>
      </c>
      <c r="F450" s="37" t="n">
        <v>0.85</v>
      </c>
      <c r="G450" s="37" t="n">
        <v>0.95</v>
      </c>
      <c r="H450" s="37" t="n">
        <v>0.95</v>
      </c>
      <c r="I450" s="42" t="inlineStr">
        <is>
          <t>KALINA</t>
        </is>
      </c>
      <c r="J450" s="29" t="n">
        <v>15.45592814854537</v>
      </c>
      <c r="K450" s="35" t="n">
        <v>63.12491245690914</v>
      </c>
      <c r="L450" s="36" t="n">
        <v>2600</v>
      </c>
      <c r="M450" s="29" t="n">
        <v>7.5</v>
      </c>
      <c r="N450" s="16" t="inlineStr">
        <is>
          <t>no</t>
        </is>
      </c>
      <c r="O450" s="16" t="n"/>
    </row>
    <row r="451">
      <c r="A451" s="16" t="inlineStr">
        <is>
          <t>KF-M07-A4-0088</t>
        </is>
      </c>
      <c r="B451" s="35" t="n">
        <v>415</v>
      </c>
      <c r="C451" s="37" t="n">
        <v>0.5</v>
      </c>
      <c r="D451" s="37" t="n">
        <v>0.95</v>
      </c>
      <c r="E451" s="37" t="n">
        <v>0.6950000000000001</v>
      </c>
      <c r="F451" s="37" t="n">
        <v>0.85</v>
      </c>
      <c r="G451" s="37" t="n">
        <v>0.95</v>
      </c>
      <c r="H451" s="37" t="n">
        <v>0.95</v>
      </c>
      <c r="I451" s="42" t="inlineStr">
        <is>
          <t>KALINA</t>
        </is>
      </c>
      <c r="J451" s="29" t="n">
        <v>15.30999011785465</v>
      </c>
      <c r="K451" s="35" t="n">
        <v>62.50469211454389</v>
      </c>
      <c r="L451" s="36" t="n">
        <v>2600</v>
      </c>
      <c r="M451" s="29" t="n">
        <v>7.5</v>
      </c>
      <c r="N451" s="16" t="inlineStr">
        <is>
          <t>no</t>
        </is>
      </c>
      <c r="O451" s="16" t="n"/>
    </row>
    <row r="452">
      <c r="A452" s="16" t="inlineStr">
        <is>
          <t>KF-M07-A4-0089</t>
        </is>
      </c>
      <c r="B452" s="35" t="n">
        <v>415</v>
      </c>
      <c r="C452" s="37" t="n">
        <v>0.5</v>
      </c>
      <c r="D452" s="37" t="n">
        <v>0.95</v>
      </c>
      <c r="E452" s="37" t="n">
        <v>0.75</v>
      </c>
      <c r="F452" s="37" t="n">
        <v>0.905</v>
      </c>
      <c r="G452" s="37" t="n">
        <v>0.95</v>
      </c>
      <c r="H452" s="37" t="n">
        <v>0.95</v>
      </c>
      <c r="I452" s="42" t="inlineStr">
        <is>
          <t>KALINA</t>
        </is>
      </c>
      <c r="J452" s="29" t="n">
        <v>15.47807094977513</v>
      </c>
      <c r="K452" s="35" t="n">
        <v>67.37329969697572</v>
      </c>
      <c r="L452" s="36" t="n">
        <v>2600</v>
      </c>
      <c r="M452" s="29" t="n">
        <v>7.5</v>
      </c>
      <c r="N452" s="16" t="inlineStr">
        <is>
          <t>no</t>
        </is>
      </c>
      <c r="O452" s="16" t="n"/>
    </row>
    <row r="453">
      <c r="A453" s="16" t="inlineStr">
        <is>
          <t>KF-M07-A4-0090</t>
        </is>
      </c>
      <c r="B453" s="35" t="n">
        <v>415</v>
      </c>
      <c r="C453" s="37" t="n">
        <v>0.5</v>
      </c>
      <c r="D453" s="37" t="n">
        <v>0.95</v>
      </c>
      <c r="E453" s="37" t="n">
        <v>0.75</v>
      </c>
      <c r="F453" s="37" t="n">
        <v>0.795</v>
      </c>
      <c r="G453" s="37" t="n">
        <v>0.95</v>
      </c>
      <c r="H453" s="37" t="n">
        <v>0.95</v>
      </c>
      <c r="I453" s="42" t="inlineStr">
        <is>
          <t>KALINA</t>
        </is>
      </c>
      <c r="J453" s="29" t="n">
        <v>15.27972059831128</v>
      </c>
      <c r="K453" s="35" t="n">
        <v>58.30343019824237</v>
      </c>
      <c r="L453" s="36" t="n">
        <v>2600</v>
      </c>
      <c r="M453" s="29" t="n">
        <v>7.5</v>
      </c>
      <c r="N453" s="16" t="inlineStr">
        <is>
          <t>no</t>
        </is>
      </c>
      <c r="O453" s="16" t="n"/>
    </row>
    <row r="454">
      <c r="A454" s="16" t="inlineStr">
        <is>
          <t>KF-M07-A4-0091</t>
        </is>
      </c>
      <c r="B454" s="35" t="n">
        <v>415</v>
      </c>
      <c r="C454" s="37" t="n">
        <v>0.5</v>
      </c>
      <c r="D454" s="37" t="n">
        <v>0.95</v>
      </c>
      <c r="E454" s="37" t="n">
        <v>0.75</v>
      </c>
      <c r="F454" s="37" t="n">
        <v>0.85</v>
      </c>
      <c r="G454" s="37" t="n">
        <v>0.895</v>
      </c>
      <c r="H454" s="37" t="n">
        <v>0.95</v>
      </c>
      <c r="I454" s="42" t="inlineStr">
        <is>
          <t>KALINA</t>
        </is>
      </c>
      <c r="J454" s="29" t="n">
        <v>14.61661897857167</v>
      </c>
      <c r="K454" s="35" t="n">
        <v>62.29442433401123</v>
      </c>
      <c r="L454" s="36" t="n">
        <v>2600</v>
      </c>
      <c r="M454" s="29" t="n">
        <v>7.5</v>
      </c>
      <c r="N454" s="16" t="inlineStr">
        <is>
          <t>no</t>
        </is>
      </c>
      <c r="O454" s="16" t="n"/>
    </row>
    <row r="455">
      <c r="A455" s="16" t="inlineStr">
        <is>
          <t>KF-M07-A4-0092</t>
        </is>
      </c>
      <c r="B455" s="35" t="n">
        <v>415</v>
      </c>
      <c r="C455" s="37" t="n">
        <v>0.5</v>
      </c>
      <c r="D455" s="37" t="n">
        <v>0.95</v>
      </c>
      <c r="E455" s="37" t="n">
        <v>0.75</v>
      </c>
      <c r="F455" s="37" t="n">
        <v>0.85</v>
      </c>
      <c r="G455" s="37" t="n">
        <v>0.95</v>
      </c>
      <c r="H455" s="37" t="n">
        <v>0.895</v>
      </c>
      <c r="I455" s="39" t="inlineStr">
        <is>
          <t>Corregible</t>
        </is>
      </c>
      <c r="J455" s="29" t="n">
        <v>15.59185608503708</v>
      </c>
      <c r="K455" s="35" t="n">
        <v>62.83826862366875</v>
      </c>
      <c r="L455" s="36" t="n">
        <v>2600</v>
      </c>
      <c r="M455" s="29" t="n">
        <v>7.5</v>
      </c>
      <c r="N455" s="16" t="inlineStr">
        <is>
          <t>no</t>
        </is>
      </c>
      <c r="O455" s="16" t="inlineStr">
        <is>
          <t>O2</t>
        </is>
      </c>
    </row>
    <row r="456">
      <c r="A456" s="16" t="inlineStr">
        <is>
          <t>KF-M07-A4-0093</t>
        </is>
      </c>
      <c r="B456" s="35" t="n">
        <v>427</v>
      </c>
      <c r="C456" s="37" t="n">
        <v>0.5</v>
      </c>
      <c r="D456" s="37" t="n">
        <v>0.95</v>
      </c>
      <c r="E456" s="37" t="n">
        <v>0.75</v>
      </c>
      <c r="F456" s="37" t="n">
        <v>0.905</v>
      </c>
      <c r="G456" s="37" t="n">
        <v>0.95</v>
      </c>
      <c r="H456" s="37" t="n">
        <v>0.95</v>
      </c>
      <c r="I456" s="39" t="inlineStr">
        <is>
          <t>Corregible</t>
        </is>
      </c>
      <c r="J456" s="29" t="n">
        <v>15.75294661445909</v>
      </c>
      <c r="K456" s="35" t="n">
        <v>96.19104623554512</v>
      </c>
      <c r="L456" s="36" t="n">
        <v>2600</v>
      </c>
      <c r="M456" s="29" t="n">
        <v>7.5</v>
      </c>
      <c r="N456" s="16" t="inlineStr">
        <is>
          <t>sí</t>
        </is>
      </c>
      <c r="O456" s="16" t="inlineStr">
        <is>
          <t>O2</t>
        </is>
      </c>
    </row>
    <row r="457">
      <c r="A457" s="16" t="inlineStr">
        <is>
          <t>KF-M07-A4-0094</t>
        </is>
      </c>
      <c r="B457" s="35" t="n">
        <v>403</v>
      </c>
      <c r="C457" s="37" t="n">
        <v>0.5</v>
      </c>
      <c r="D457" s="37" t="n">
        <v>0.95</v>
      </c>
      <c r="E457" s="37" t="n">
        <v>0.75</v>
      </c>
      <c r="F457" s="37" t="n">
        <v>0.905</v>
      </c>
      <c r="G457" s="37" t="n">
        <v>0.95</v>
      </c>
      <c r="H457" s="37" t="n">
        <v>0.95</v>
      </c>
      <c r="I457" s="42" t="inlineStr">
        <is>
          <t>KALINA</t>
        </is>
      </c>
      <c r="J457" s="29" t="n">
        <v>14.53675789554302</v>
      </c>
      <c r="K457" s="35" t="n">
        <v>39.69063774204135</v>
      </c>
      <c r="L457" s="36" t="n">
        <v>2600</v>
      </c>
      <c r="M457" s="29" t="n">
        <v>7.5</v>
      </c>
      <c r="N457" s="16" t="inlineStr">
        <is>
          <t>no</t>
        </is>
      </c>
      <c r="O457" s="16" t="n"/>
    </row>
    <row r="458">
      <c r="A458" s="16" t="inlineStr">
        <is>
          <t>KF-M07-A4-0095</t>
        </is>
      </c>
      <c r="B458" s="35" t="n">
        <v>415</v>
      </c>
      <c r="C458" s="37" t="n">
        <v>0.535</v>
      </c>
      <c r="D458" s="37" t="n">
        <v>0.95</v>
      </c>
      <c r="E458" s="37" t="n">
        <v>0.75</v>
      </c>
      <c r="F458" s="37" t="n">
        <v>0.905</v>
      </c>
      <c r="G458" s="37" t="n">
        <v>0.95</v>
      </c>
      <c r="H458" s="37" t="n">
        <v>0.95</v>
      </c>
      <c r="I458" s="39" t="inlineStr">
        <is>
          <t>Corregible</t>
        </is>
      </c>
      <c r="J458" s="29" t="n">
        <v>16.11667272563153</v>
      </c>
      <c r="K458" s="35" t="n">
        <v>84.85145538652222</v>
      </c>
      <c r="L458" s="36" t="n">
        <v>2600</v>
      </c>
      <c r="M458" s="29" t="n">
        <v>7.5</v>
      </c>
      <c r="N458" s="16" t="inlineStr">
        <is>
          <t>no</t>
        </is>
      </c>
      <c r="O458" s="16" t="inlineStr">
        <is>
          <t>O2</t>
        </is>
      </c>
    </row>
    <row r="459">
      <c r="A459" s="16" t="inlineStr">
        <is>
          <t>KF-M07-A4-0096</t>
        </is>
      </c>
      <c r="B459" s="35" t="n">
        <v>415</v>
      </c>
      <c r="C459" s="37" t="n">
        <v>0.5</v>
      </c>
      <c r="D459" s="37" t="n">
        <v>0.895</v>
      </c>
      <c r="E459" s="37" t="n">
        <v>0.75</v>
      </c>
      <c r="F459" s="37" t="n">
        <v>0.905</v>
      </c>
      <c r="G459" s="37" t="n">
        <v>0.95</v>
      </c>
      <c r="H459" s="37" t="n">
        <v>0.95</v>
      </c>
      <c r="I459" s="42" t="inlineStr">
        <is>
          <t>KALINA</t>
        </is>
      </c>
      <c r="J459" s="29" t="n">
        <v>14.52771503797724</v>
      </c>
      <c r="K459" s="35" t="n">
        <v>63.22805394475225</v>
      </c>
      <c r="L459" s="36" t="n">
        <v>2600</v>
      </c>
      <c r="M459" s="29" t="n">
        <v>7.5</v>
      </c>
      <c r="N459" s="16" t="inlineStr">
        <is>
          <t>no</t>
        </is>
      </c>
      <c r="O459" s="16" t="n"/>
    </row>
    <row r="460">
      <c r="A460" s="16" t="inlineStr">
        <is>
          <t>KF-M07-A4-0097</t>
        </is>
      </c>
      <c r="B460" s="35" t="n">
        <v>415</v>
      </c>
      <c r="C460" s="37" t="n">
        <v>0.5</v>
      </c>
      <c r="D460" s="37" t="n">
        <v>0.95</v>
      </c>
      <c r="E460" s="37" t="n">
        <v>0.8049999999999999</v>
      </c>
      <c r="F460" s="37" t="n">
        <v>0.905</v>
      </c>
      <c r="G460" s="37" t="n">
        <v>0.95</v>
      </c>
      <c r="H460" s="37" t="n">
        <v>0.95</v>
      </c>
      <c r="I460" s="42" t="inlineStr">
        <is>
          <t>KALINA</t>
        </is>
      </c>
      <c r="J460" s="29" t="n">
        <v>15.54135973901577</v>
      </c>
      <c r="K460" s="35" t="n">
        <v>67.66149904208571</v>
      </c>
      <c r="L460" s="36" t="n">
        <v>2600</v>
      </c>
      <c r="M460" s="29" t="n">
        <v>7.5</v>
      </c>
      <c r="N460" s="16" t="inlineStr">
        <is>
          <t>no</t>
        </is>
      </c>
      <c r="O460" s="16" t="n"/>
    </row>
    <row r="461">
      <c r="A461" s="16" t="inlineStr">
        <is>
          <t>KF-M07-A4-0098</t>
        </is>
      </c>
      <c r="B461" s="35" t="n">
        <v>415</v>
      </c>
      <c r="C461" s="37" t="n">
        <v>0.5</v>
      </c>
      <c r="D461" s="37" t="n">
        <v>0.95</v>
      </c>
      <c r="E461" s="37" t="n">
        <v>0.6950000000000001</v>
      </c>
      <c r="F461" s="37" t="n">
        <v>0.905</v>
      </c>
      <c r="G461" s="37" t="n">
        <v>0.95</v>
      </c>
      <c r="H461" s="37" t="n">
        <v>0.95</v>
      </c>
      <c r="I461" s="42" t="inlineStr">
        <is>
          <t>KALINA</t>
        </is>
      </c>
      <c r="J461" s="29" t="n">
        <v>15.4047350236186</v>
      </c>
      <c r="K461" s="35" t="n">
        <v>67.03948410074005</v>
      </c>
      <c r="L461" s="36" t="n">
        <v>2600</v>
      </c>
      <c r="M461" s="29" t="n">
        <v>7.5</v>
      </c>
      <c r="N461" s="16" t="inlineStr">
        <is>
          <t>no</t>
        </is>
      </c>
      <c r="O461" s="16" t="n"/>
    </row>
    <row r="462">
      <c r="A462" s="16" t="inlineStr">
        <is>
          <t>KF-M07-A4-0099</t>
        </is>
      </c>
      <c r="B462" s="35" t="n">
        <v>415</v>
      </c>
      <c r="C462" s="37" t="n">
        <v>0.5</v>
      </c>
      <c r="D462" s="37" t="n">
        <v>0.95</v>
      </c>
      <c r="E462" s="37" t="n">
        <v>0.75</v>
      </c>
      <c r="F462" s="37" t="n">
        <v>0.95</v>
      </c>
      <c r="G462" s="37" t="n">
        <v>0.95</v>
      </c>
      <c r="H462" s="37" t="n">
        <v>0.95</v>
      </c>
      <c r="I462" s="42" t="inlineStr">
        <is>
          <t>KALINA</t>
        </is>
      </c>
      <c r="J462" s="29" t="n">
        <v>15.5395391958456</v>
      </c>
      <c r="K462" s="35" t="n">
        <v>71.0885414146187</v>
      </c>
      <c r="L462" s="36" t="n">
        <v>2600</v>
      </c>
      <c r="M462" s="29" t="n">
        <v>7.5</v>
      </c>
      <c r="N462" s="16" t="inlineStr">
        <is>
          <t>no</t>
        </is>
      </c>
      <c r="O462" s="16" t="n"/>
    </row>
    <row r="463">
      <c r="A463" s="16" t="inlineStr">
        <is>
          <t>KF-M07-A4-0100</t>
        </is>
      </c>
      <c r="B463" s="35" t="n">
        <v>415</v>
      </c>
      <c r="C463" s="37" t="n">
        <v>0.5</v>
      </c>
      <c r="D463" s="37" t="n">
        <v>0.95</v>
      </c>
      <c r="E463" s="37" t="n">
        <v>0.75</v>
      </c>
      <c r="F463" s="37" t="n">
        <v>0.85</v>
      </c>
      <c r="G463" s="37" t="n">
        <v>0.95</v>
      </c>
      <c r="H463" s="37" t="n">
        <v>0.95</v>
      </c>
      <c r="I463" s="42" t="inlineStr">
        <is>
          <t>KALINA</t>
        </is>
      </c>
      <c r="J463" s="29" t="n">
        <v>15.38832443751127</v>
      </c>
      <c r="K463" s="35" t="n">
        <v>62.83754463112982</v>
      </c>
      <c r="L463" s="36" t="n">
        <v>2600</v>
      </c>
      <c r="M463" s="29" t="n">
        <v>7.5</v>
      </c>
      <c r="N463" s="16" t="inlineStr">
        <is>
          <t>no</t>
        </is>
      </c>
      <c r="O463" s="16" t="n"/>
    </row>
    <row r="464">
      <c r="A464" s="16" t="inlineStr">
        <is>
          <t>KF-M07-A4-0101</t>
        </is>
      </c>
      <c r="B464" s="35" t="n">
        <v>415</v>
      </c>
      <c r="C464" s="37" t="n">
        <v>0.5</v>
      </c>
      <c r="D464" s="37" t="n">
        <v>0.95</v>
      </c>
      <c r="E464" s="37" t="n">
        <v>0.75</v>
      </c>
      <c r="F464" s="37" t="n">
        <v>0.905</v>
      </c>
      <c r="G464" s="37" t="n">
        <v>0.895</v>
      </c>
      <c r="H464" s="37" t="n">
        <v>0.95</v>
      </c>
      <c r="I464" s="42" t="inlineStr">
        <is>
          <t>KALINA</t>
        </is>
      </c>
      <c r="J464" s="29" t="n">
        <v>14.7585602613892</v>
      </c>
      <c r="K464" s="35" t="n">
        <v>67.03096968149354</v>
      </c>
      <c r="L464" s="36" t="n">
        <v>2600</v>
      </c>
      <c r="M464" s="29" t="n">
        <v>7.5</v>
      </c>
      <c r="N464" s="16" t="inlineStr">
        <is>
          <t>no</t>
        </is>
      </c>
      <c r="O464" s="16" t="n"/>
    </row>
    <row r="465">
      <c r="A465" s="16" t="inlineStr">
        <is>
          <t>KF-M07-A4-0102</t>
        </is>
      </c>
      <c r="B465" s="35" t="n">
        <v>415</v>
      </c>
      <c r="C465" s="37" t="n">
        <v>0.5</v>
      </c>
      <c r="D465" s="37" t="n">
        <v>0.95</v>
      </c>
      <c r="E465" s="37" t="n">
        <v>0.75</v>
      </c>
      <c r="F465" s="37" t="n">
        <v>0.905</v>
      </c>
      <c r="G465" s="37" t="n">
        <v>0.95</v>
      </c>
      <c r="H465" s="37" t="n">
        <v>0.895</v>
      </c>
      <c r="I465" s="39" t="inlineStr">
        <is>
          <t>Corregible</t>
        </is>
      </c>
      <c r="J465" s="29" t="n">
        <v>15.68623770966773</v>
      </c>
      <c r="K465" s="35" t="n">
        <v>67.28613955498157</v>
      </c>
      <c r="L465" s="36" t="n">
        <v>2600</v>
      </c>
      <c r="M465" s="29" t="n">
        <v>7.5</v>
      </c>
      <c r="N465" s="16" t="inlineStr">
        <is>
          <t>no</t>
        </is>
      </c>
      <c r="O465" s="16" t="inlineStr">
        <is>
          <t>O2</t>
        </is>
      </c>
    </row>
    <row r="466">
      <c r="A466" s="16" t="inlineStr">
        <is>
          <t>KF-M07-A4-0103</t>
        </is>
      </c>
      <c r="B466" s="35" t="n">
        <v>427</v>
      </c>
      <c r="C466" s="37" t="n">
        <v>0.5</v>
      </c>
      <c r="D466" s="37" t="n">
        <v>0.95</v>
      </c>
      <c r="E466" s="37" t="n">
        <v>0.8049999999999999</v>
      </c>
      <c r="F466" s="37" t="n">
        <v>0.905</v>
      </c>
      <c r="G466" s="37" t="n">
        <v>0.95</v>
      </c>
      <c r="H466" s="37" t="n">
        <v>0.95</v>
      </c>
      <c r="I466" s="39" t="inlineStr">
        <is>
          <t>Corregible</t>
        </is>
      </c>
      <c r="J466" s="29" t="n">
        <v>15.79762177420511</v>
      </c>
      <c r="K466" s="35" t="n">
        <v>96.48042733850774</v>
      </c>
      <c r="L466" s="36" t="n">
        <v>2600</v>
      </c>
      <c r="M466" s="29" t="n">
        <v>7.5</v>
      </c>
      <c r="N466" s="16" t="inlineStr">
        <is>
          <t>sí</t>
        </is>
      </c>
      <c r="O466" s="16" t="inlineStr">
        <is>
          <t>O2</t>
        </is>
      </c>
    </row>
    <row r="467">
      <c r="A467" s="16" t="inlineStr">
        <is>
          <t>KF-M07-A4-0104</t>
        </is>
      </c>
      <c r="B467" s="35" t="n">
        <v>403</v>
      </c>
      <c r="C467" s="37" t="n">
        <v>0.5</v>
      </c>
      <c r="D467" s="37" t="n">
        <v>0.95</v>
      </c>
      <c r="E467" s="37" t="n">
        <v>0.8049999999999999</v>
      </c>
      <c r="F467" s="37" t="n">
        <v>0.905</v>
      </c>
      <c r="G467" s="37" t="n">
        <v>0.95</v>
      </c>
      <c r="H467" s="37" t="n">
        <v>0.95</v>
      </c>
      <c r="I467" s="42" t="inlineStr">
        <is>
          <t>KALINA</t>
        </is>
      </c>
      <c r="J467" s="29" t="n">
        <v>14.63919838857826</v>
      </c>
      <c r="K467" s="35" t="n">
        <v>39.97875561500133</v>
      </c>
      <c r="L467" s="36" t="n">
        <v>2600</v>
      </c>
      <c r="M467" s="29" t="n">
        <v>7.5</v>
      </c>
      <c r="N467" s="16" t="inlineStr">
        <is>
          <t>no</t>
        </is>
      </c>
      <c r="O467" s="16" t="n"/>
    </row>
    <row r="468">
      <c r="A468" s="16" t="inlineStr">
        <is>
          <t>KF-M07-A4-0105</t>
        </is>
      </c>
      <c r="B468" s="35" t="n">
        <v>415</v>
      </c>
      <c r="C468" s="37" t="n">
        <v>0.535</v>
      </c>
      <c r="D468" s="37" t="n">
        <v>0.95</v>
      </c>
      <c r="E468" s="37" t="n">
        <v>0.8049999999999999</v>
      </c>
      <c r="F468" s="37" t="n">
        <v>0.905</v>
      </c>
      <c r="G468" s="37" t="n">
        <v>0.95</v>
      </c>
      <c r="H468" s="37" t="n">
        <v>0.95</v>
      </c>
      <c r="I468" s="39" t="inlineStr">
        <is>
          <t>Corregible</t>
        </is>
      </c>
      <c r="J468" s="29" t="n">
        <v>16.17459688078331</v>
      </c>
      <c r="K468" s="35" t="n">
        <v>85.17407575198656</v>
      </c>
      <c r="L468" s="36" t="n">
        <v>2600</v>
      </c>
      <c r="M468" s="29" t="n">
        <v>7.5</v>
      </c>
      <c r="N468" s="16" t="inlineStr">
        <is>
          <t>no</t>
        </is>
      </c>
      <c r="O468" s="16" t="inlineStr">
        <is>
          <t>O2</t>
        </is>
      </c>
    </row>
    <row r="469">
      <c r="A469" s="16" t="inlineStr">
        <is>
          <t>KF-M07-A4-0106</t>
        </is>
      </c>
      <c r="B469" s="35" t="n">
        <v>415</v>
      </c>
      <c r="C469" s="37" t="n">
        <v>0.5</v>
      </c>
      <c r="D469" s="37" t="n">
        <v>0.895</v>
      </c>
      <c r="E469" s="37" t="n">
        <v>0.8049999999999999</v>
      </c>
      <c r="F469" s="37" t="n">
        <v>0.905</v>
      </c>
      <c r="G469" s="37" t="n">
        <v>0.95</v>
      </c>
      <c r="H469" s="37" t="n">
        <v>0.95</v>
      </c>
      <c r="I469" s="42" t="inlineStr">
        <is>
          <t>KALINA</t>
        </is>
      </c>
      <c r="J469" s="29" t="n">
        <v>14.5912140270692</v>
      </c>
      <c r="K469" s="35" t="n">
        <v>63.51635446670961</v>
      </c>
      <c r="L469" s="36" t="n">
        <v>2600</v>
      </c>
      <c r="M469" s="29" t="n">
        <v>7.5</v>
      </c>
      <c r="N469" s="16" t="inlineStr">
        <is>
          <t>no</t>
        </is>
      </c>
      <c r="O469" s="16" t="n"/>
    </row>
    <row r="470">
      <c r="A470" s="16" t="inlineStr">
        <is>
          <t>KF-M07-A4-0107</t>
        </is>
      </c>
      <c r="B470" s="35" t="n">
        <v>415</v>
      </c>
      <c r="C470" s="37" t="n">
        <v>0.5</v>
      </c>
      <c r="D470" s="37" t="n">
        <v>0.95</v>
      </c>
      <c r="E470" s="37" t="n">
        <v>0.8599999999999999</v>
      </c>
      <c r="F470" s="37" t="n">
        <v>0.905</v>
      </c>
      <c r="G470" s="37" t="n">
        <v>0.95</v>
      </c>
      <c r="H470" s="37" t="n">
        <v>0.95</v>
      </c>
      <c r="I470" s="42" t="inlineStr">
        <is>
          <t>KALINA</t>
        </is>
      </c>
      <c r="J470" s="29" t="n">
        <v>15.59653373390988</v>
      </c>
      <c r="K470" s="35" t="n">
        <v>67.91283439526151</v>
      </c>
      <c r="L470" s="36" t="n">
        <v>2600</v>
      </c>
      <c r="M470" s="29" t="n">
        <v>7.5</v>
      </c>
      <c r="N470" s="16" t="inlineStr">
        <is>
          <t>no</t>
        </is>
      </c>
      <c r="O470" s="16" t="n"/>
    </row>
    <row r="471">
      <c r="A471" s="16" t="inlineStr">
        <is>
          <t>KF-M07-A4-0108</t>
        </is>
      </c>
      <c r="B471" s="35" t="n">
        <v>415</v>
      </c>
      <c r="C471" s="37" t="n">
        <v>0.5</v>
      </c>
      <c r="D471" s="37" t="n">
        <v>0.95</v>
      </c>
      <c r="E471" s="37" t="n">
        <v>0.75</v>
      </c>
      <c r="F471" s="37" t="n">
        <v>0.905</v>
      </c>
      <c r="G471" s="37" t="n">
        <v>0.95</v>
      </c>
      <c r="H471" s="37" t="n">
        <v>0.95</v>
      </c>
      <c r="I471" s="42" t="inlineStr">
        <is>
          <t>KALINA</t>
        </is>
      </c>
      <c r="J471" s="29" t="n">
        <v>15.47807094977513</v>
      </c>
      <c r="K471" s="35" t="n">
        <v>67.37329969697572</v>
      </c>
      <c r="L471" s="36" t="n">
        <v>2600</v>
      </c>
      <c r="M471" s="29" t="n">
        <v>7.5</v>
      </c>
      <c r="N471" s="16" t="inlineStr">
        <is>
          <t>no</t>
        </is>
      </c>
      <c r="O471" s="16" t="n"/>
    </row>
    <row r="472">
      <c r="A472" s="16" t="inlineStr">
        <is>
          <t>KF-M07-A4-0109</t>
        </is>
      </c>
      <c r="B472" s="35" t="n">
        <v>415</v>
      </c>
      <c r="C472" s="37" t="n">
        <v>0.5</v>
      </c>
      <c r="D472" s="37" t="n">
        <v>0.95</v>
      </c>
      <c r="E472" s="37" t="n">
        <v>0.8049999999999999</v>
      </c>
      <c r="F472" s="37" t="n">
        <v>0.95</v>
      </c>
      <c r="G472" s="37" t="n">
        <v>0.95</v>
      </c>
      <c r="H472" s="37" t="n">
        <v>0.95</v>
      </c>
      <c r="I472" s="42" t="inlineStr">
        <is>
          <t>KALINA</t>
        </is>
      </c>
      <c r="J472" s="29" t="n">
        <v>15.59965738845141</v>
      </c>
      <c r="K472" s="35" t="n">
        <v>71.37748121622712</v>
      </c>
      <c r="L472" s="36" t="n">
        <v>2600</v>
      </c>
      <c r="M472" s="29" t="n">
        <v>7.5</v>
      </c>
      <c r="N472" s="16" t="inlineStr">
        <is>
          <t>no</t>
        </is>
      </c>
      <c r="O472" s="16" t="n"/>
    </row>
    <row r="473">
      <c r="A473" s="16" t="inlineStr">
        <is>
          <t>KF-M07-A4-0110</t>
        </is>
      </c>
      <c r="B473" s="35" t="n">
        <v>415</v>
      </c>
      <c r="C473" s="37" t="n">
        <v>0.5</v>
      </c>
      <c r="D473" s="37" t="n">
        <v>0.95</v>
      </c>
      <c r="E473" s="37" t="n">
        <v>0.8049999999999999</v>
      </c>
      <c r="F473" s="37" t="n">
        <v>0.85</v>
      </c>
      <c r="G473" s="37" t="n">
        <v>0.95</v>
      </c>
      <c r="H473" s="37" t="n">
        <v>0.95</v>
      </c>
      <c r="I473" s="42" t="inlineStr">
        <is>
          <t>KALINA</t>
        </is>
      </c>
      <c r="J473" s="29" t="n">
        <v>15.45592814854537</v>
      </c>
      <c r="K473" s="35" t="n">
        <v>63.12491245690914</v>
      </c>
      <c r="L473" s="36" t="n">
        <v>2600</v>
      </c>
      <c r="M473" s="29" t="n">
        <v>7.5</v>
      </c>
      <c r="N473" s="16" t="inlineStr">
        <is>
          <t>no</t>
        </is>
      </c>
      <c r="O473" s="16" t="n"/>
    </row>
    <row r="474">
      <c r="A474" s="16" t="inlineStr">
        <is>
          <t>KF-M07-A4-0111</t>
        </is>
      </c>
      <c r="B474" s="35" t="n">
        <v>415</v>
      </c>
      <c r="C474" s="37" t="n">
        <v>0.5</v>
      </c>
      <c r="D474" s="37" t="n">
        <v>0.95</v>
      </c>
      <c r="E474" s="37" t="n">
        <v>0.8049999999999999</v>
      </c>
      <c r="F474" s="37" t="n">
        <v>0.905</v>
      </c>
      <c r="G474" s="37" t="n">
        <v>0.895</v>
      </c>
      <c r="H474" s="37" t="n">
        <v>0.95</v>
      </c>
      <c r="I474" s="42" t="inlineStr">
        <is>
          <t>KALINA</t>
        </is>
      </c>
      <c r="J474" s="29" t="n">
        <v>14.81897540039945</v>
      </c>
      <c r="K474" s="35" t="n">
        <v>67.31905181639739</v>
      </c>
      <c r="L474" s="36" t="n">
        <v>2600</v>
      </c>
      <c r="M474" s="29" t="n">
        <v>7.5</v>
      </c>
      <c r="N474" s="16" t="inlineStr">
        <is>
          <t>no</t>
        </is>
      </c>
      <c r="O474" s="16" t="n"/>
    </row>
    <row r="475">
      <c r="A475" s="16" t="inlineStr">
        <is>
          <t>KF-M07-A4-0112</t>
        </is>
      </c>
      <c r="B475" s="35" t="n">
        <v>415</v>
      </c>
      <c r="C475" s="37" t="n">
        <v>0.5</v>
      </c>
      <c r="D475" s="37" t="n">
        <v>0.95</v>
      </c>
      <c r="E475" s="37" t="n">
        <v>0.8049999999999999</v>
      </c>
      <c r="F475" s="37" t="n">
        <v>0.905</v>
      </c>
      <c r="G475" s="37" t="n">
        <v>0.95</v>
      </c>
      <c r="H475" s="37" t="n">
        <v>0.895</v>
      </c>
      <c r="I475" s="39" t="inlineStr">
        <is>
          <t>Corregible</t>
        </is>
      </c>
      <c r="J475" s="29" t="n">
        <v>15.75340921427991</v>
      </c>
      <c r="K475" s="35" t="n">
        <v>67.58836247211232</v>
      </c>
      <c r="L475" s="36" t="n">
        <v>2600</v>
      </c>
      <c r="M475" s="29" t="n">
        <v>7.5</v>
      </c>
      <c r="N475" s="16" t="inlineStr">
        <is>
          <t>no</t>
        </is>
      </c>
      <c r="O475" s="16" t="inlineStr">
        <is>
          <t>O2</t>
        </is>
      </c>
    </row>
    <row r="476"/>
    <row r="477">
      <c r="A477" s="33" t="inlineStr">
        <is>
          <t>Parte 5.1e · conserva su fuente y su x_b · 113 puntos</t>
        </is>
      </c>
      <c r="B477" s="31" t="n"/>
      <c r="C477" s="31" t="n"/>
      <c r="D477" s="31" t="n"/>
      <c r="E477" s="31" t="n"/>
      <c r="F477" s="31" t="n"/>
      <c r="G477" s="31" t="n"/>
      <c r="H477" s="31" t="n"/>
      <c r="I477" s="31" t="n"/>
      <c r="J477" s="31" t="n"/>
      <c r="K477" s="31" t="n"/>
    </row>
    <row r="478"/>
    <row r="479">
      <c r="A479" s="34" t="inlineStr">
        <is>
          <t>Barrido de la parte 5.1e · 113 puntos</t>
        </is>
      </c>
    </row>
    <row r="480">
      <c r="A480" s="25" t="inlineStr">
        <is>
          <t>Fijos en este barrido: T_fuente = 623.15, x_b = 0.5.</t>
        </is>
      </c>
    </row>
    <row r="481">
      <c r="A481" s="22" t="inlineStr">
        <is>
          <t>id_punto</t>
        </is>
      </c>
      <c r="B481" s="22" t="inlineStr">
        <is>
          <t>T_sumidero [K]</t>
        </is>
      </c>
      <c r="C481" s="22" t="inlineStr">
        <is>
          <t>P_alta [kPa]</t>
        </is>
      </c>
      <c r="D481" s="22" t="inlineStr">
        <is>
          <t>P_baja [kPa]</t>
        </is>
      </c>
      <c r="E481" s="22" t="inlineStr">
        <is>
          <t>η_t [–]</t>
        </is>
      </c>
      <c r="F481" s="22" t="inlineStr">
        <is>
          <t>η_p [–]</t>
        </is>
      </c>
      <c r="G481" s="22" t="inlineStr">
        <is>
          <t>ε_HRVG [–]</t>
        </is>
      </c>
      <c r="H481" s="22" t="inlineStr">
        <is>
          <t>ε_reg [–]</t>
        </is>
      </c>
      <c r="I481" s="22" t="inlineStr">
        <is>
          <t>ε_cond [–]</t>
        </is>
      </c>
      <c r="J481" s="22" t="inlineStr">
        <is>
          <t>Clase</t>
        </is>
      </c>
      <c r="K481" s="22" t="inlineStr">
        <is>
          <t>η [%]</t>
        </is>
      </c>
      <c r="L481" s="22" t="inlineStr">
        <is>
          <t>W_net [kW] (m_b = 1 kg/s)</t>
        </is>
      </c>
      <c r="M481" s="22" t="inlineStr">
        <is>
          <t>ΔP [kPa]</t>
        </is>
      </c>
      <c r="N481" s="22" t="inlineStr">
        <is>
          <t>r_P [–]</t>
        </is>
      </c>
      <c r="O481" s="22" t="inlineStr">
        <is>
          <t>Fuera de rango</t>
        </is>
      </c>
      <c r="P481" s="22" t="inlineStr">
        <is>
          <t>Criterios que falla</t>
        </is>
      </c>
    </row>
    <row r="482">
      <c r="A482" s="16" t="inlineStr">
        <is>
          <t>KF-M07-A5-0000</t>
        </is>
      </c>
      <c r="B482" s="35" t="n">
        <v>302.58136184317</v>
      </c>
      <c r="C482" s="36" t="n">
        <v>4808.3419580395</v>
      </c>
      <c r="D482" s="35" t="n">
        <v>1242.274389807265</v>
      </c>
      <c r="E482" s="37" t="n">
        <v>0.9224916747106672</v>
      </c>
      <c r="F482" s="37" t="n">
        <v>0.5760658994683791</v>
      </c>
      <c r="G482" s="37" t="n">
        <v>0.4073021552349206</v>
      </c>
      <c r="H482" s="37" t="n">
        <v>0.4101145100609968</v>
      </c>
      <c r="I482" s="37" t="n">
        <v>0.8784157959492287</v>
      </c>
      <c r="J482" s="42" t="inlineStr">
        <is>
          <t>KALINA</t>
        </is>
      </c>
      <c r="K482" s="29" t="n">
        <v>8.457650032385521</v>
      </c>
      <c r="L482" s="35" t="n">
        <v>83.2699300980196</v>
      </c>
      <c r="M482" s="36" t="n">
        <v>3566.067568232236</v>
      </c>
      <c r="N482" s="29" t="n">
        <v>3.8705957375371</v>
      </c>
      <c r="O482" s="16" t="inlineStr">
        <is>
          <t>sí</t>
        </is>
      </c>
      <c r="P482" s="16" t="n"/>
    </row>
    <row r="483">
      <c r="A483" s="16" t="inlineStr">
        <is>
          <t>KF-M07-A5-0001</t>
        </is>
      </c>
      <c r="B483" s="35" t="n">
        <v>303.55</v>
      </c>
      <c r="C483" s="36" t="n">
        <v>4808.3419580395</v>
      </c>
      <c r="D483" s="35" t="n">
        <v>1242.274389807265</v>
      </c>
      <c r="E483" s="37" t="n">
        <v>0.9224916747106672</v>
      </c>
      <c r="F483" s="37" t="n">
        <v>0.5760658994683791</v>
      </c>
      <c r="G483" s="37" t="n">
        <v>0.4073021552349206</v>
      </c>
      <c r="H483" s="37" t="n">
        <v>0.4101145100609968</v>
      </c>
      <c r="I483" s="37" t="n">
        <v>0.8784157959492287</v>
      </c>
      <c r="J483" s="42" t="inlineStr">
        <is>
          <t>KALINA</t>
        </is>
      </c>
      <c r="K483" s="29" t="n">
        <v>8.49198389817373</v>
      </c>
      <c r="L483" s="35" t="n">
        <v>83.49810305980223</v>
      </c>
      <c r="M483" s="36" t="n">
        <v>3566.067568232236</v>
      </c>
      <c r="N483" s="29" t="n">
        <v>3.8705957375371</v>
      </c>
      <c r="O483" s="16" t="inlineStr">
        <is>
          <t>sí</t>
        </is>
      </c>
      <c r="P483" s="16" t="n"/>
    </row>
    <row r="484">
      <c r="A484" s="16" t="inlineStr">
        <is>
          <t>KF-M07-A5-0002</t>
        </is>
      </c>
      <c r="B484" s="35" t="n">
        <v>300.0413618431699</v>
      </c>
      <c r="C484" s="36" t="n">
        <v>4808.3419580395</v>
      </c>
      <c r="D484" s="35" t="n">
        <v>1242.274389807265</v>
      </c>
      <c r="E484" s="37" t="n">
        <v>0.9224916747106672</v>
      </c>
      <c r="F484" s="37" t="n">
        <v>0.5760658994683791</v>
      </c>
      <c r="G484" s="37" t="n">
        <v>0.4073021552349206</v>
      </c>
      <c r="H484" s="37" t="n">
        <v>0.4101145100609968</v>
      </c>
      <c r="I484" s="37" t="n">
        <v>0.8784157959492287</v>
      </c>
      <c r="J484" s="42" t="inlineStr">
        <is>
          <t>KALINA</t>
        </is>
      </c>
      <c r="K484" s="29" t="n">
        <v>8.368318072526479</v>
      </c>
      <c r="L484" s="35" t="n">
        <v>82.67341911235339</v>
      </c>
      <c r="M484" s="36" t="n">
        <v>3566.067568232236</v>
      </c>
      <c r="N484" s="29" t="n">
        <v>3.8705957375371</v>
      </c>
      <c r="O484" s="16" t="inlineStr">
        <is>
          <t>sí</t>
        </is>
      </c>
      <c r="P484" s="16" t="n"/>
    </row>
    <row r="485">
      <c r="A485" s="16" t="inlineStr">
        <is>
          <t>KF-M07-A5-0003</t>
        </is>
      </c>
      <c r="B485" s="35" t="n">
        <v>302.58136184317</v>
      </c>
      <c r="C485" s="36" t="n">
        <v>5000</v>
      </c>
      <c r="D485" s="35" t="n">
        <v>1242.274389807265</v>
      </c>
      <c r="E485" s="37" t="n">
        <v>0.9224916747106672</v>
      </c>
      <c r="F485" s="37" t="n">
        <v>0.5760658994683791</v>
      </c>
      <c r="G485" s="37" t="n">
        <v>0.4073021552349206</v>
      </c>
      <c r="H485" s="37" t="n">
        <v>0.4101145100609968</v>
      </c>
      <c r="I485" s="37" t="n">
        <v>0.8784157959492287</v>
      </c>
      <c r="J485" s="42" t="inlineStr">
        <is>
          <t>KALINA</t>
        </is>
      </c>
      <c r="K485" s="29" t="n">
        <v>8.59283312712399</v>
      </c>
      <c r="L485" s="35" t="n">
        <v>84.3752915898271</v>
      </c>
      <c r="M485" s="36" t="n">
        <v>3757.725610192735</v>
      </c>
      <c r="N485" s="29" t="n">
        <v>4.024875696564698</v>
      </c>
      <c r="O485" s="16" t="inlineStr">
        <is>
          <t>sí</t>
        </is>
      </c>
      <c r="P485" s="16" t="n"/>
    </row>
    <row r="486">
      <c r="A486" s="16" t="inlineStr">
        <is>
          <t>KF-M07-A5-0004</t>
        </is>
      </c>
      <c r="B486" s="35" t="n">
        <v>302.58136184317</v>
      </c>
      <c r="C486" s="36" t="n">
        <v>4508.3419580395</v>
      </c>
      <c r="D486" s="35" t="n">
        <v>1242.274389807265</v>
      </c>
      <c r="E486" s="37" t="n">
        <v>0.9224916747106672</v>
      </c>
      <c r="F486" s="37" t="n">
        <v>0.5760658994683791</v>
      </c>
      <c r="G486" s="37" t="n">
        <v>0.4073021552349206</v>
      </c>
      <c r="H486" s="37" t="n">
        <v>0.4101145100609968</v>
      </c>
      <c r="I486" s="37" t="n">
        <v>0.8784157959492287</v>
      </c>
      <c r="J486" s="42" t="inlineStr">
        <is>
          <t>KALINA</t>
        </is>
      </c>
      <c r="K486" s="29" t="n">
        <v>8.2153680067303</v>
      </c>
      <c r="L486" s="35" t="n">
        <v>81.22235980138451</v>
      </c>
      <c r="M486" s="36" t="n">
        <v>3266.067568232236</v>
      </c>
      <c r="N486" s="29" t="n">
        <v>3.629103195743218</v>
      </c>
      <c r="O486" s="16" t="inlineStr">
        <is>
          <t>sí</t>
        </is>
      </c>
      <c r="P486" s="16" t="n"/>
    </row>
    <row r="487">
      <c r="A487" s="16" t="inlineStr">
        <is>
          <t>KF-M07-A5-0005</t>
        </is>
      </c>
      <c r="B487" s="35" t="n">
        <v>302.58136184317</v>
      </c>
      <c r="C487" s="36" t="n">
        <v>4808.3419580395</v>
      </c>
      <c r="D487" s="35" t="n">
        <v>1462.274389807265</v>
      </c>
      <c r="E487" s="37" t="n">
        <v>0.9224916747106672</v>
      </c>
      <c r="F487" s="37" t="n">
        <v>0.5760658994683791</v>
      </c>
      <c r="G487" s="37" t="n">
        <v>0.4073021552349206</v>
      </c>
      <c r="H487" s="37" t="n">
        <v>0.4101145100609968</v>
      </c>
      <c r="I487" s="37" t="n">
        <v>0.8784157959492287</v>
      </c>
      <c r="J487" s="42" t="inlineStr">
        <is>
          <t>KALINA</t>
        </is>
      </c>
      <c r="K487" s="29" t="n">
        <v>7.46005019239962</v>
      </c>
      <c r="L487" s="35" t="n">
        <v>73.42524415437495</v>
      </c>
      <c r="M487" s="36" t="n">
        <v>3346.067568232236</v>
      </c>
      <c r="N487" s="29" t="n">
        <v>3.288262443461972</v>
      </c>
      <c r="O487" s="16" t="inlineStr">
        <is>
          <t>sí</t>
        </is>
      </c>
      <c r="P487" s="16" t="n"/>
    </row>
    <row r="488">
      <c r="A488" s="16" t="inlineStr">
        <is>
          <t>KF-M07-A5-0006</t>
        </is>
      </c>
      <c r="B488" s="35" t="n">
        <v>302.58136184317</v>
      </c>
      <c r="C488" s="36" t="n">
        <v>4808.3419580395</v>
      </c>
      <c r="D488" s="35" t="n">
        <v>1022.274389807265</v>
      </c>
      <c r="E488" s="37" t="n">
        <v>0.9224916747106672</v>
      </c>
      <c r="F488" s="37" t="n">
        <v>0.5760658994683791</v>
      </c>
      <c r="G488" s="37" t="n">
        <v>0.4073021552349206</v>
      </c>
      <c r="H488" s="37" t="n">
        <v>0.4101145100609968</v>
      </c>
      <c r="I488" s="37" t="n">
        <v>0.8784157959492287</v>
      </c>
      <c r="J488" s="42" t="inlineStr">
        <is>
          <t>KALINA</t>
        </is>
      </c>
      <c r="K488" s="29" t="n">
        <v>9.634106726677301</v>
      </c>
      <c r="L488" s="35" t="n">
        <v>94.88905668338508</v>
      </c>
      <c r="M488" s="36" t="n">
        <v>3786.067568232236</v>
      </c>
      <c r="N488" s="29" t="n">
        <v>4.703572745225522</v>
      </c>
      <c r="O488" s="16" t="inlineStr">
        <is>
          <t>sí</t>
        </is>
      </c>
      <c r="P488" s="16" t="n"/>
    </row>
    <row r="489">
      <c r="A489" s="16" t="inlineStr">
        <is>
          <t>KF-M07-A5-0007</t>
        </is>
      </c>
      <c r="B489" s="35" t="n">
        <v>302.58136184317</v>
      </c>
      <c r="C489" s="36" t="n">
        <v>4808.3419580395</v>
      </c>
      <c r="D489" s="35" t="n">
        <v>1242.274389807265</v>
      </c>
      <c r="E489" s="37" t="n">
        <v>0.95</v>
      </c>
      <c r="F489" s="37" t="n">
        <v>0.5760658994683791</v>
      </c>
      <c r="G489" s="37" t="n">
        <v>0.4073021552349206</v>
      </c>
      <c r="H489" s="37" t="n">
        <v>0.4101145100609968</v>
      </c>
      <c r="I489" s="37" t="n">
        <v>0.8784157959492287</v>
      </c>
      <c r="J489" s="42" t="inlineStr">
        <is>
          <t>KALINA</t>
        </is>
      </c>
      <c r="K489" s="29" t="n">
        <v>8.730526433073511</v>
      </c>
      <c r="L489" s="35" t="n">
        <v>85.96597558006876</v>
      </c>
      <c r="M489" s="36" t="n">
        <v>3566.067568232236</v>
      </c>
      <c r="N489" s="29" t="n">
        <v>3.8705957375371</v>
      </c>
      <c r="O489" s="16" t="inlineStr">
        <is>
          <t>sí</t>
        </is>
      </c>
      <c r="P489" s="16" t="n"/>
    </row>
    <row r="490">
      <c r="A490" s="16" t="inlineStr">
        <is>
          <t>KF-M07-A5-0008</t>
        </is>
      </c>
      <c r="B490" s="35" t="n">
        <v>302.58136184317</v>
      </c>
      <c r="C490" s="36" t="n">
        <v>4808.3419580395</v>
      </c>
      <c r="D490" s="35" t="n">
        <v>1242.274389807265</v>
      </c>
      <c r="E490" s="37" t="n">
        <v>0.8674916747106671</v>
      </c>
      <c r="F490" s="37" t="n">
        <v>0.5760658994683791</v>
      </c>
      <c r="G490" s="37" t="n">
        <v>0.4073021552349206</v>
      </c>
      <c r="H490" s="37" t="n">
        <v>0.4101145100609968</v>
      </c>
      <c r="I490" s="37" t="n">
        <v>0.8784157959492287</v>
      </c>
      <c r="J490" s="42" t="inlineStr">
        <is>
          <t>KALINA</t>
        </is>
      </c>
      <c r="K490" s="29" t="n">
        <v>7.911524152474369</v>
      </c>
      <c r="L490" s="35" t="n">
        <v>77.87593627000365</v>
      </c>
      <c r="M490" s="36" t="n">
        <v>3566.067568232236</v>
      </c>
      <c r="N490" s="29" t="n">
        <v>3.8705957375371</v>
      </c>
      <c r="O490" s="16" t="inlineStr">
        <is>
          <t>sí</t>
        </is>
      </c>
      <c r="P490" s="16" t="n"/>
    </row>
    <row r="491">
      <c r="A491" s="16" t="inlineStr">
        <is>
          <t>KF-M07-A5-0009</t>
        </is>
      </c>
      <c r="B491" s="35" t="n">
        <v>302.58136184317</v>
      </c>
      <c r="C491" s="36" t="n">
        <v>4808.3419580395</v>
      </c>
      <c r="D491" s="35" t="n">
        <v>1242.274389807265</v>
      </c>
      <c r="E491" s="37" t="n">
        <v>0.9224916747106672</v>
      </c>
      <c r="F491" s="37" t="n">
        <v>0.6310658994683791</v>
      </c>
      <c r="G491" s="37" t="n">
        <v>0.4073021552349206</v>
      </c>
      <c r="H491" s="37" t="n">
        <v>0.4101145100609968</v>
      </c>
      <c r="I491" s="37" t="n">
        <v>0.8784157959492287</v>
      </c>
      <c r="J491" s="42" t="inlineStr">
        <is>
          <t>KALINA</t>
        </is>
      </c>
      <c r="K491" s="29" t="n">
        <v>8.52065855725853</v>
      </c>
      <c r="L491" s="35" t="n">
        <v>83.90920523105854</v>
      </c>
      <c r="M491" s="36" t="n">
        <v>3566.067568232236</v>
      </c>
      <c r="N491" s="29" t="n">
        <v>3.8705957375371</v>
      </c>
      <c r="O491" s="16" t="inlineStr">
        <is>
          <t>sí</t>
        </is>
      </c>
      <c r="P491" s="16" t="n"/>
    </row>
    <row r="492">
      <c r="A492" s="16" t="inlineStr">
        <is>
          <t>KF-M07-A5-0010</t>
        </is>
      </c>
      <c r="B492" s="35" t="n">
        <v>302.58136184317</v>
      </c>
      <c r="C492" s="36" t="n">
        <v>4808.3419580395</v>
      </c>
      <c r="D492" s="35" t="n">
        <v>1242.274389807265</v>
      </c>
      <c r="E492" s="37" t="n">
        <v>0.9224916747106672</v>
      </c>
      <c r="F492" s="37" t="n">
        <v>0.521065899468379</v>
      </c>
      <c r="G492" s="37" t="n">
        <v>0.4073021552349206</v>
      </c>
      <c r="H492" s="37" t="n">
        <v>0.4101145100609968</v>
      </c>
      <c r="I492" s="37" t="n">
        <v>0.8784157959492287</v>
      </c>
      <c r="J492" s="42" t="inlineStr">
        <is>
          <t>KALINA</t>
        </is>
      </c>
      <c r="K492" s="29" t="n">
        <v>8.381298703260889</v>
      </c>
      <c r="L492" s="35" t="n">
        <v>82.4956695375991</v>
      </c>
      <c r="M492" s="36" t="n">
        <v>3566.067568232236</v>
      </c>
      <c r="N492" s="29" t="n">
        <v>3.8705957375371</v>
      </c>
      <c r="O492" s="16" t="inlineStr">
        <is>
          <t>sí</t>
        </is>
      </c>
      <c r="P492" s="16" t="n"/>
    </row>
    <row r="493">
      <c r="A493" s="16" t="inlineStr">
        <is>
          <t>KF-M07-A5-0011</t>
        </is>
      </c>
      <c r="B493" s="35" t="n">
        <v>302.58136184317</v>
      </c>
      <c r="C493" s="36" t="n">
        <v>4808.3419580395</v>
      </c>
      <c r="D493" s="35" t="n">
        <v>1242.274389807265</v>
      </c>
      <c r="E493" s="37" t="n">
        <v>0.9224916747106672</v>
      </c>
      <c r="F493" s="37" t="n">
        <v>0.5760658994683791</v>
      </c>
      <c r="G493" s="37" t="n">
        <v>0.4623021552349206</v>
      </c>
      <c r="H493" s="37" t="n">
        <v>0.4101145100609968</v>
      </c>
      <c r="I493" s="37" t="n">
        <v>0.8784157959492287</v>
      </c>
      <c r="J493" s="42" t="inlineStr">
        <is>
          <t>KALINA</t>
        </is>
      </c>
      <c r="K493" s="29" t="n">
        <v>8.9610426876534</v>
      </c>
      <c r="L493" s="35" t="n">
        <v>100.1077514037278</v>
      </c>
      <c r="M493" s="36" t="n">
        <v>3566.067568232236</v>
      </c>
      <c r="N493" s="29" t="n">
        <v>3.8705957375371</v>
      </c>
      <c r="O493" s="16" t="inlineStr">
        <is>
          <t>sí</t>
        </is>
      </c>
      <c r="P493" s="16" t="n"/>
    </row>
    <row r="494">
      <c r="A494" s="16" t="inlineStr">
        <is>
          <t>KF-M07-A5-0012</t>
        </is>
      </c>
      <c r="B494" s="35" t="n">
        <v>302.58136184317</v>
      </c>
      <c r="C494" s="36" t="n">
        <v>4808.3419580395</v>
      </c>
      <c r="D494" s="35" t="n">
        <v>1242.274389807265</v>
      </c>
      <c r="E494" s="37" t="n">
        <v>0.9224916747106672</v>
      </c>
      <c r="F494" s="37" t="n">
        <v>0.5760658994683791</v>
      </c>
      <c r="G494" s="37" t="n">
        <v>0.4</v>
      </c>
      <c r="H494" s="37" t="n">
        <v>0.4101145100609968</v>
      </c>
      <c r="I494" s="37" t="n">
        <v>0.8784157959492287</v>
      </c>
      <c r="J494" s="42" t="inlineStr">
        <is>
          <t>KALINA</t>
        </is>
      </c>
      <c r="K494" s="29" t="n">
        <v>8.37999891546645</v>
      </c>
      <c r="L494" s="35" t="n">
        <v>81.03375610262115</v>
      </c>
      <c r="M494" s="36" t="n">
        <v>3566.067568232236</v>
      </c>
      <c r="N494" s="29" t="n">
        <v>3.8705957375371</v>
      </c>
      <c r="O494" s="16" t="inlineStr">
        <is>
          <t>sí</t>
        </is>
      </c>
      <c r="P494" s="16" t="n"/>
    </row>
    <row r="495">
      <c r="A495" s="16" t="inlineStr">
        <is>
          <t>KF-M07-A5-0013</t>
        </is>
      </c>
      <c r="B495" s="35" t="n">
        <v>302.58136184317</v>
      </c>
      <c r="C495" s="36" t="n">
        <v>4808.3419580395</v>
      </c>
      <c r="D495" s="35" t="n">
        <v>1242.274389807265</v>
      </c>
      <c r="E495" s="37" t="n">
        <v>0.9224916747106672</v>
      </c>
      <c r="F495" s="37" t="n">
        <v>0.5760658994683791</v>
      </c>
      <c r="G495" s="37" t="n">
        <v>0.4073021552349206</v>
      </c>
      <c r="H495" s="37" t="n">
        <v>0.4651145100609968</v>
      </c>
      <c r="I495" s="37" t="n">
        <v>0.8784157959492287</v>
      </c>
      <c r="J495" s="42" t="inlineStr">
        <is>
          <t>KALINA</t>
        </is>
      </c>
      <c r="K495" s="29" t="n">
        <v>8.65761731826446</v>
      </c>
      <c r="L495" s="35" t="n">
        <v>84.60831426561718</v>
      </c>
      <c r="M495" s="36" t="n">
        <v>3566.067568232236</v>
      </c>
      <c r="N495" s="29" t="n">
        <v>3.8705957375371</v>
      </c>
      <c r="O495" s="16" t="inlineStr">
        <is>
          <t>sí</t>
        </is>
      </c>
      <c r="P495" s="16" t="n"/>
    </row>
    <row r="496">
      <c r="A496" s="16" t="inlineStr">
        <is>
          <t>KF-M07-A5-0014</t>
        </is>
      </c>
      <c r="B496" s="35" t="n">
        <v>302.58136184317</v>
      </c>
      <c r="C496" s="36" t="n">
        <v>4808.3419580395</v>
      </c>
      <c r="D496" s="35" t="n">
        <v>1242.274389807265</v>
      </c>
      <c r="E496" s="37" t="n">
        <v>0.9224916747106672</v>
      </c>
      <c r="F496" s="37" t="n">
        <v>0.5760658994683791</v>
      </c>
      <c r="G496" s="37" t="n">
        <v>0.4073021552349206</v>
      </c>
      <c r="H496" s="37" t="n">
        <v>0.4</v>
      </c>
      <c r="I496" s="37" t="n">
        <v>0.8784157959492287</v>
      </c>
      <c r="J496" s="38" t="inlineStr">
        <is>
          <t>Falso convergido</t>
        </is>
      </c>
      <c r="K496" s="29" t="inlineStr">
        <is>
          <t>—</t>
        </is>
      </c>
      <c r="L496" s="35" t="inlineStr">
        <is>
          <t>—</t>
        </is>
      </c>
      <c r="M496" s="36" t="n">
        <v>3566.067568232236</v>
      </c>
      <c r="N496" s="29" t="n">
        <v>3.8705957375371</v>
      </c>
      <c r="O496" s="16" t="inlineStr">
        <is>
          <t>sí</t>
        </is>
      </c>
      <c r="P496" s="16" t="inlineStr">
        <is>
          <t>N2</t>
        </is>
      </c>
    </row>
    <row r="497">
      <c r="A497" s="16" t="inlineStr">
        <is>
          <t>KF-M07-A5-0015</t>
        </is>
      </c>
      <c r="B497" s="35" t="n">
        <v>302.58136184317</v>
      </c>
      <c r="C497" s="36" t="n">
        <v>4808.3419580395</v>
      </c>
      <c r="D497" s="35" t="n">
        <v>1242.274389807265</v>
      </c>
      <c r="E497" s="37" t="n">
        <v>0.9224916747106672</v>
      </c>
      <c r="F497" s="37" t="n">
        <v>0.5760658994683791</v>
      </c>
      <c r="G497" s="37" t="n">
        <v>0.4073021552349206</v>
      </c>
      <c r="H497" s="37" t="n">
        <v>0.4101145100609968</v>
      </c>
      <c r="I497" s="37" t="n">
        <v>0.9334157959492286</v>
      </c>
      <c r="J497" s="42" t="inlineStr">
        <is>
          <t>KALINA</t>
        </is>
      </c>
      <c r="K497" s="29" t="n">
        <v>7.997266784392069</v>
      </c>
      <c r="L497" s="35" t="n">
        <v>80.15105142061846</v>
      </c>
      <c r="M497" s="36" t="n">
        <v>3566.067568232236</v>
      </c>
      <c r="N497" s="29" t="n">
        <v>3.8705957375371</v>
      </c>
      <c r="O497" s="16" t="inlineStr">
        <is>
          <t>sí</t>
        </is>
      </c>
      <c r="P497" s="16" t="n"/>
    </row>
    <row r="498">
      <c r="A498" s="16" t="inlineStr">
        <is>
          <t>KF-M07-A5-0016</t>
        </is>
      </c>
      <c r="B498" s="35" t="n">
        <v>302.58136184317</v>
      </c>
      <c r="C498" s="36" t="n">
        <v>4808.3419580395</v>
      </c>
      <c r="D498" s="35" t="n">
        <v>1242.274389807265</v>
      </c>
      <c r="E498" s="37" t="n">
        <v>0.9224916747106672</v>
      </c>
      <c r="F498" s="37" t="n">
        <v>0.5760658994683791</v>
      </c>
      <c r="G498" s="37" t="n">
        <v>0.4073021552349206</v>
      </c>
      <c r="H498" s="37" t="n">
        <v>0.4101145100609968</v>
      </c>
      <c r="I498" s="37" t="n">
        <v>0.8234157959492288</v>
      </c>
      <c r="J498" s="42" t="inlineStr">
        <is>
          <t>KALINA</t>
        </is>
      </c>
      <c r="K498" s="29" t="n">
        <v>8.980239224794941</v>
      </c>
      <c r="L498" s="35" t="n">
        <v>86.6788660263264</v>
      </c>
      <c r="M498" s="36" t="n">
        <v>3566.067568232236</v>
      </c>
      <c r="N498" s="29" t="n">
        <v>3.8705957375371</v>
      </c>
      <c r="O498" s="16" t="inlineStr">
        <is>
          <t>sí</t>
        </is>
      </c>
      <c r="P498" s="16" t="n"/>
    </row>
    <row r="499">
      <c r="A499" s="16" t="inlineStr">
        <is>
          <t>KF-M07-A5-0017</t>
        </is>
      </c>
      <c r="B499" s="35" t="n">
        <v>303.55</v>
      </c>
      <c r="C499" s="36" t="n">
        <v>4808.3419580395</v>
      </c>
      <c r="D499" s="35" t="n">
        <v>1022.274389807265</v>
      </c>
      <c r="E499" s="37" t="n">
        <v>0.9224916747106672</v>
      </c>
      <c r="F499" s="37" t="n">
        <v>0.5760658994683791</v>
      </c>
      <c r="G499" s="37" t="n">
        <v>0.4073021552349206</v>
      </c>
      <c r="H499" s="37" t="n">
        <v>0.4101145100609968</v>
      </c>
      <c r="I499" s="37" t="n">
        <v>0.8784157959492287</v>
      </c>
      <c r="J499" s="42" t="inlineStr">
        <is>
          <t>KALINA</t>
        </is>
      </c>
      <c r="K499" s="29" t="n">
        <v>9.67310852602802</v>
      </c>
      <c r="L499" s="35" t="n">
        <v>95.14817376271012</v>
      </c>
      <c r="M499" s="36" t="n">
        <v>3786.067568232236</v>
      </c>
      <c r="N499" s="29" t="n">
        <v>4.703572745225522</v>
      </c>
      <c r="O499" s="16" t="inlineStr">
        <is>
          <t>sí</t>
        </is>
      </c>
      <c r="P499" s="16" t="n"/>
    </row>
    <row r="500">
      <c r="A500" s="16" t="inlineStr">
        <is>
          <t>KF-M07-A5-0018</t>
        </is>
      </c>
      <c r="B500" s="35" t="n">
        <v>300.0413618431699</v>
      </c>
      <c r="C500" s="36" t="n">
        <v>4808.3419580395</v>
      </c>
      <c r="D500" s="35" t="n">
        <v>1022.274389807265</v>
      </c>
      <c r="E500" s="37" t="n">
        <v>0.9224916747106672</v>
      </c>
      <c r="F500" s="37" t="n">
        <v>0.5760658994683791</v>
      </c>
      <c r="G500" s="37" t="n">
        <v>0.4073021552349206</v>
      </c>
      <c r="H500" s="37" t="n">
        <v>0.4101145100609968</v>
      </c>
      <c r="I500" s="37" t="n">
        <v>0.8784157959492287</v>
      </c>
      <c r="J500" s="42" t="inlineStr">
        <is>
          <t>KALINA</t>
        </is>
      </c>
      <c r="K500" s="29" t="n">
        <v>9.532634585178361</v>
      </c>
      <c r="L500" s="35" t="n">
        <v>94.21169127169564</v>
      </c>
      <c r="M500" s="36" t="n">
        <v>3786.067568232236</v>
      </c>
      <c r="N500" s="29" t="n">
        <v>4.703572745225522</v>
      </c>
      <c r="O500" s="16" t="inlineStr">
        <is>
          <t>sí</t>
        </is>
      </c>
      <c r="P500" s="16" t="n"/>
    </row>
    <row r="501">
      <c r="A501" s="16" t="inlineStr">
        <is>
          <t>KF-M07-A5-0019</t>
        </is>
      </c>
      <c r="B501" s="35" t="n">
        <v>302.58136184317</v>
      </c>
      <c r="C501" s="36" t="n">
        <v>5000</v>
      </c>
      <c r="D501" s="35" t="n">
        <v>1022.274389807265</v>
      </c>
      <c r="E501" s="37" t="n">
        <v>0.9224916747106672</v>
      </c>
      <c r="F501" s="37" t="n">
        <v>0.5760658994683791</v>
      </c>
      <c r="G501" s="37" t="n">
        <v>0.4073021552349206</v>
      </c>
      <c r="H501" s="37" t="n">
        <v>0.4101145100609968</v>
      </c>
      <c r="I501" s="37" t="n">
        <v>0.8784157959492287</v>
      </c>
      <c r="J501" s="42" t="inlineStr">
        <is>
          <t>KALINA</t>
        </is>
      </c>
      <c r="K501" s="29" t="n">
        <v>9.75622442773053</v>
      </c>
      <c r="L501" s="35" t="n">
        <v>95.83494688800612</v>
      </c>
      <c r="M501" s="36" t="n">
        <v>3977.725610192736</v>
      </c>
      <c r="N501" s="29" t="n">
        <v>4.891054740149246</v>
      </c>
      <c r="O501" s="16" t="inlineStr">
        <is>
          <t>sí</t>
        </is>
      </c>
      <c r="P501" s="16" t="n"/>
    </row>
    <row r="502">
      <c r="A502" s="16" t="inlineStr">
        <is>
          <t>KF-M07-A5-0020</t>
        </is>
      </c>
      <c r="B502" s="35" t="n">
        <v>302.58136184317</v>
      </c>
      <c r="C502" s="36" t="n">
        <v>4508.3419580395</v>
      </c>
      <c r="D502" s="35" t="n">
        <v>1022.274389807265</v>
      </c>
      <c r="E502" s="37" t="n">
        <v>0.9224916747106672</v>
      </c>
      <c r="F502" s="37" t="n">
        <v>0.5760658994683791</v>
      </c>
      <c r="G502" s="37" t="n">
        <v>0.4073021552349206</v>
      </c>
      <c r="H502" s="37" t="n">
        <v>0.4101145100609968</v>
      </c>
      <c r="I502" s="37" t="n">
        <v>0.8784157959492287</v>
      </c>
      <c r="J502" s="42" t="inlineStr">
        <is>
          <t>KALINA</t>
        </is>
      </c>
      <c r="K502" s="29" t="n">
        <v>9.41293489193132</v>
      </c>
      <c r="L502" s="35" t="n">
        <v>93.09890536799448</v>
      </c>
      <c r="M502" s="36" t="n">
        <v>3486.067568232236</v>
      </c>
      <c r="N502" s="29" t="n">
        <v>4.410109460816567</v>
      </c>
      <c r="O502" s="16" t="inlineStr">
        <is>
          <t>sí</t>
        </is>
      </c>
      <c r="P502" s="16" t="n"/>
    </row>
    <row r="503">
      <c r="A503" s="16" t="inlineStr">
        <is>
          <t>KF-M07-A5-0021</t>
        </is>
      </c>
      <c r="B503" s="35" t="n">
        <v>302.58136184317</v>
      </c>
      <c r="C503" s="36" t="n">
        <v>4808.3419580395</v>
      </c>
      <c r="D503" s="35" t="n">
        <v>1242.274389807264</v>
      </c>
      <c r="E503" s="37" t="n">
        <v>0.9224916747106672</v>
      </c>
      <c r="F503" s="37" t="n">
        <v>0.5760658994683791</v>
      </c>
      <c r="G503" s="37" t="n">
        <v>0.4073021552349206</v>
      </c>
      <c r="H503" s="37" t="n">
        <v>0.4101145100609968</v>
      </c>
      <c r="I503" s="37" t="n">
        <v>0.8784157959492287</v>
      </c>
      <c r="J503" s="42" t="inlineStr">
        <is>
          <t>KALINA</t>
        </is>
      </c>
      <c r="K503" s="29" t="n">
        <v>8.457650032374241</v>
      </c>
      <c r="L503" s="35" t="n">
        <v>83.26993009790772</v>
      </c>
      <c r="M503" s="36" t="n">
        <v>3566.067568232236</v>
      </c>
      <c r="N503" s="29" t="n">
        <v>3.870595737537101</v>
      </c>
      <c r="O503" s="16" t="inlineStr">
        <is>
          <t>sí</t>
        </is>
      </c>
      <c r="P503" s="16" t="n"/>
    </row>
    <row r="504">
      <c r="A504" s="16" t="inlineStr">
        <is>
          <t>KF-M07-A5-0022</t>
        </is>
      </c>
      <c r="B504" s="35" t="n">
        <v>302.58136184317</v>
      </c>
      <c r="C504" s="36" t="n">
        <v>4808.3419580395</v>
      </c>
      <c r="D504" s="35" t="n">
        <v>802.2743898072646</v>
      </c>
      <c r="E504" s="37" t="n">
        <v>0.9224916747106672</v>
      </c>
      <c r="F504" s="37" t="n">
        <v>0.5760658994683791</v>
      </c>
      <c r="G504" s="37" t="n">
        <v>0.4073021552349206</v>
      </c>
      <c r="H504" s="37" t="n">
        <v>0.4101145100609968</v>
      </c>
      <c r="I504" s="37" t="n">
        <v>0.8784157959492287</v>
      </c>
      <c r="J504" s="32" t="inlineStr">
        <is>
          <t>No convergió</t>
        </is>
      </c>
      <c r="K504" s="29" t="inlineStr">
        <is>
          <t>—</t>
        </is>
      </c>
      <c r="L504" s="35" t="inlineStr">
        <is>
          <t>—</t>
        </is>
      </c>
      <c r="M504" s="36" t="n">
        <v>4006.067568232236</v>
      </c>
      <c r="N504" s="29" t="n">
        <v>5.993388320914293</v>
      </c>
      <c r="O504" s="16" t="inlineStr">
        <is>
          <t>no</t>
        </is>
      </c>
      <c r="P504" s="16" t="n"/>
    </row>
    <row r="505">
      <c r="A505" s="16" t="inlineStr">
        <is>
          <t>KF-M07-A5-0023</t>
        </is>
      </c>
      <c r="B505" s="35" t="n">
        <v>302.58136184317</v>
      </c>
      <c r="C505" s="36" t="n">
        <v>4808.3419580395</v>
      </c>
      <c r="D505" s="35" t="n">
        <v>1022.274389807265</v>
      </c>
      <c r="E505" s="37" t="n">
        <v>0.95</v>
      </c>
      <c r="F505" s="37" t="n">
        <v>0.5760658994683791</v>
      </c>
      <c r="G505" s="37" t="n">
        <v>0.4073021552349206</v>
      </c>
      <c r="H505" s="37" t="n">
        <v>0.4101145100609968</v>
      </c>
      <c r="I505" s="37" t="n">
        <v>0.8784157959492287</v>
      </c>
      <c r="J505" s="39" t="inlineStr">
        <is>
          <t>Corregible</t>
        </is>
      </c>
      <c r="K505" s="29" t="n">
        <v>9.94265903166791</v>
      </c>
      <c r="L505" s="35" t="n">
        <v>97.9402317627905</v>
      </c>
      <c r="M505" s="36" t="n">
        <v>3786.067568232236</v>
      </c>
      <c r="N505" s="29" t="n">
        <v>4.703572745225522</v>
      </c>
      <c r="O505" s="16" t="inlineStr">
        <is>
          <t>sí</t>
        </is>
      </c>
      <c r="P505" s="16" t="inlineStr">
        <is>
          <t>O1</t>
        </is>
      </c>
    </row>
    <row r="506">
      <c r="A506" s="16" t="inlineStr">
        <is>
          <t>KF-M07-A5-0024</t>
        </is>
      </c>
      <c r="B506" s="35" t="n">
        <v>302.58136184317</v>
      </c>
      <c r="C506" s="36" t="n">
        <v>4808.3419580395</v>
      </c>
      <c r="D506" s="35" t="n">
        <v>1022.274389807265</v>
      </c>
      <c r="E506" s="37" t="n">
        <v>0.8674916747106671</v>
      </c>
      <c r="F506" s="37" t="n">
        <v>0.5760658994683791</v>
      </c>
      <c r="G506" s="37" t="n">
        <v>0.4073021552349206</v>
      </c>
      <c r="H506" s="37" t="n">
        <v>0.4101145100609968</v>
      </c>
      <c r="I506" s="37" t="n">
        <v>0.8784157959492287</v>
      </c>
      <c r="J506" s="42" t="inlineStr">
        <is>
          <t>KALINA</t>
        </is>
      </c>
      <c r="K506" s="29" t="n">
        <v>9.01650338688321</v>
      </c>
      <c r="L506" s="35" t="n">
        <v>88.78404659074216</v>
      </c>
      <c r="M506" s="36" t="n">
        <v>3786.067568232236</v>
      </c>
      <c r="N506" s="29" t="n">
        <v>4.703572745225522</v>
      </c>
      <c r="O506" s="16" t="inlineStr">
        <is>
          <t>sí</t>
        </is>
      </c>
      <c r="P506" s="16" t="n"/>
    </row>
    <row r="507">
      <c r="A507" s="16" t="inlineStr">
        <is>
          <t>KF-M07-A5-0025</t>
        </is>
      </c>
      <c r="B507" s="35" t="n">
        <v>302.58136184317</v>
      </c>
      <c r="C507" s="36" t="n">
        <v>4808.3419580395</v>
      </c>
      <c r="D507" s="35" t="n">
        <v>1022.274389807265</v>
      </c>
      <c r="E507" s="37" t="n">
        <v>0.9224916747106672</v>
      </c>
      <c r="F507" s="37" t="n">
        <v>0.6310658994683791</v>
      </c>
      <c r="G507" s="37" t="n">
        <v>0.4073021552349206</v>
      </c>
      <c r="H507" s="37" t="n">
        <v>0.4101145100609968</v>
      </c>
      <c r="I507" s="37" t="n">
        <v>0.8784157959492287</v>
      </c>
      <c r="J507" s="42" t="inlineStr">
        <is>
          <t>KALINA</t>
        </is>
      </c>
      <c r="K507" s="29" t="n">
        <v>9.70009518739637</v>
      </c>
      <c r="L507" s="35" t="n">
        <v>95.56182752646446</v>
      </c>
      <c r="M507" s="36" t="n">
        <v>3786.067568232236</v>
      </c>
      <c r="N507" s="29" t="n">
        <v>4.703572745225522</v>
      </c>
      <c r="O507" s="16" t="inlineStr">
        <is>
          <t>sí</t>
        </is>
      </c>
      <c r="P507" s="16" t="n"/>
    </row>
    <row r="508">
      <c r="A508" s="16" t="inlineStr">
        <is>
          <t>KF-M07-A5-0026</t>
        </is>
      </c>
      <c r="B508" s="35" t="n">
        <v>302.58136184317</v>
      </c>
      <c r="C508" s="36" t="n">
        <v>4808.3419580395</v>
      </c>
      <c r="D508" s="35" t="n">
        <v>1022.274389807265</v>
      </c>
      <c r="E508" s="37" t="n">
        <v>0.9224916747106672</v>
      </c>
      <c r="F508" s="37" t="n">
        <v>0.521065899468379</v>
      </c>
      <c r="G508" s="37" t="n">
        <v>0.4073021552349206</v>
      </c>
      <c r="H508" s="37" t="n">
        <v>0.4101145100609968</v>
      </c>
      <c r="I508" s="37" t="n">
        <v>0.8784157959492287</v>
      </c>
      <c r="J508" s="42" t="inlineStr">
        <is>
          <t>KALINA</t>
        </is>
      </c>
      <c r="K508" s="29" t="n">
        <v>9.55414543779823</v>
      </c>
      <c r="L508" s="35" t="n">
        <v>94.07425010443234</v>
      </c>
      <c r="M508" s="36" t="n">
        <v>3786.067568232236</v>
      </c>
      <c r="N508" s="29" t="n">
        <v>4.703572745225522</v>
      </c>
      <c r="O508" s="16" t="inlineStr">
        <is>
          <t>sí</t>
        </is>
      </c>
      <c r="P508" s="16" t="n"/>
    </row>
    <row r="509">
      <c r="A509" s="16" t="inlineStr">
        <is>
          <t>KF-M07-A5-0027</t>
        </is>
      </c>
      <c r="B509" s="35" t="n">
        <v>302.58136184317</v>
      </c>
      <c r="C509" s="36" t="n">
        <v>4808.3419580395</v>
      </c>
      <c r="D509" s="35" t="n">
        <v>1022.274389807265</v>
      </c>
      <c r="E509" s="37" t="n">
        <v>0.9224916747106672</v>
      </c>
      <c r="F509" s="37" t="n">
        <v>0.5760658994683791</v>
      </c>
      <c r="G509" s="37" t="n">
        <v>0.4623021552349206</v>
      </c>
      <c r="H509" s="37" t="n">
        <v>0.4101145100609968</v>
      </c>
      <c r="I509" s="37" t="n">
        <v>0.8784157959492287</v>
      </c>
      <c r="J509" s="42" t="inlineStr">
        <is>
          <t>KALINA</t>
        </is>
      </c>
      <c r="K509" s="29" t="n">
        <v>10.19692840484169</v>
      </c>
      <c r="L509" s="35" t="n">
        <v>113.9697594887854</v>
      </c>
      <c r="M509" s="36" t="n">
        <v>3786.067568232236</v>
      </c>
      <c r="N509" s="29" t="n">
        <v>4.703572745225522</v>
      </c>
      <c r="O509" s="16" t="inlineStr">
        <is>
          <t>sí</t>
        </is>
      </c>
      <c r="P509" s="16" t="n"/>
    </row>
    <row r="510">
      <c r="A510" s="16" t="inlineStr">
        <is>
          <t>KF-M07-A5-0028</t>
        </is>
      </c>
      <c r="B510" s="35" t="n">
        <v>302.58136184317</v>
      </c>
      <c r="C510" s="36" t="n">
        <v>4808.3419580395</v>
      </c>
      <c r="D510" s="35" t="n">
        <v>1022.274389807265</v>
      </c>
      <c r="E510" s="37" t="n">
        <v>0.9224916747106672</v>
      </c>
      <c r="F510" s="37" t="n">
        <v>0.5760658994683791</v>
      </c>
      <c r="G510" s="37" t="n">
        <v>0.4</v>
      </c>
      <c r="H510" s="37" t="n">
        <v>0.4101145100609968</v>
      </c>
      <c r="I510" s="37" t="n">
        <v>0.8784157959492287</v>
      </c>
      <c r="J510" s="42" t="inlineStr">
        <is>
          <t>KALINA</t>
        </is>
      </c>
      <c r="K510" s="29" t="n">
        <v>9.54725558359509</v>
      </c>
      <c r="L510" s="35" t="n">
        <v>92.35510815355764</v>
      </c>
      <c r="M510" s="36" t="n">
        <v>3786.067568232236</v>
      </c>
      <c r="N510" s="29" t="n">
        <v>4.703572745225522</v>
      </c>
      <c r="O510" s="16" t="inlineStr">
        <is>
          <t>sí</t>
        </is>
      </c>
      <c r="P510" s="16" t="n"/>
    </row>
    <row r="511">
      <c r="A511" s="16" t="inlineStr">
        <is>
          <t>KF-M07-A5-0029</t>
        </is>
      </c>
      <c r="B511" s="35" t="n">
        <v>302.58136184317</v>
      </c>
      <c r="C511" s="36" t="n">
        <v>4808.3419580395</v>
      </c>
      <c r="D511" s="35" t="n">
        <v>1022.274389807265</v>
      </c>
      <c r="E511" s="37" t="n">
        <v>0.9224916747106672</v>
      </c>
      <c r="F511" s="37" t="n">
        <v>0.5760658994683791</v>
      </c>
      <c r="G511" s="37" t="n">
        <v>0.4073021552349206</v>
      </c>
      <c r="H511" s="37" t="n">
        <v>0.4651145100609968</v>
      </c>
      <c r="I511" s="37" t="n">
        <v>0.8784157959492287</v>
      </c>
      <c r="J511" s="42" t="inlineStr">
        <is>
          <t>KALINA</t>
        </is>
      </c>
      <c r="K511" s="29" t="n">
        <v>9.86132663214096</v>
      </c>
      <c r="L511" s="35" t="n">
        <v>96.40812579579141</v>
      </c>
      <c r="M511" s="36" t="n">
        <v>3786.067568232236</v>
      </c>
      <c r="N511" s="29" t="n">
        <v>4.703572745225522</v>
      </c>
      <c r="O511" s="16" t="inlineStr">
        <is>
          <t>sí</t>
        </is>
      </c>
      <c r="P511" s="16" t="n"/>
    </row>
    <row r="512">
      <c r="A512" s="16" t="inlineStr">
        <is>
          <t>KF-M07-A5-0030</t>
        </is>
      </c>
      <c r="B512" s="35" t="n">
        <v>302.58136184317</v>
      </c>
      <c r="C512" s="36" t="n">
        <v>4808.3419580395</v>
      </c>
      <c r="D512" s="35" t="n">
        <v>1022.274389807265</v>
      </c>
      <c r="E512" s="37" t="n">
        <v>0.9224916747106672</v>
      </c>
      <c r="F512" s="37" t="n">
        <v>0.5760658994683791</v>
      </c>
      <c r="G512" s="37" t="n">
        <v>0.4073021552349206</v>
      </c>
      <c r="H512" s="37" t="n">
        <v>0.4</v>
      </c>
      <c r="I512" s="37" t="n">
        <v>0.8784157959492287</v>
      </c>
      <c r="J512" s="42" t="inlineStr">
        <is>
          <t>KALINA</t>
        </is>
      </c>
      <c r="K512" s="29" t="n">
        <v>9.592464308763269</v>
      </c>
      <c r="L512" s="35" t="n">
        <v>94.60822659924057</v>
      </c>
      <c r="M512" s="36" t="n">
        <v>3786.067568232236</v>
      </c>
      <c r="N512" s="29" t="n">
        <v>4.703572745225522</v>
      </c>
      <c r="O512" s="16" t="inlineStr">
        <is>
          <t>sí</t>
        </is>
      </c>
      <c r="P512" s="16" t="n"/>
    </row>
    <row r="513">
      <c r="A513" s="16" t="inlineStr">
        <is>
          <t>KF-M07-A5-0031</t>
        </is>
      </c>
      <c r="B513" s="35" t="n">
        <v>302.58136184317</v>
      </c>
      <c r="C513" s="36" t="n">
        <v>4808.3419580395</v>
      </c>
      <c r="D513" s="35" t="n">
        <v>1022.274389807265</v>
      </c>
      <c r="E513" s="37" t="n">
        <v>0.9224916747106672</v>
      </c>
      <c r="F513" s="37" t="n">
        <v>0.5760658994683791</v>
      </c>
      <c r="G513" s="37" t="n">
        <v>0.4073021552349206</v>
      </c>
      <c r="H513" s="37" t="n">
        <v>0.4101145100609968</v>
      </c>
      <c r="I513" s="37" t="n">
        <v>0.9334157959492286</v>
      </c>
      <c r="J513" s="42" t="inlineStr">
        <is>
          <t>KALINA</t>
        </is>
      </c>
      <c r="K513" s="29" t="n">
        <v>9.117349196044898</v>
      </c>
      <c r="L513" s="35" t="n">
        <v>91.39021818707528</v>
      </c>
      <c r="M513" s="36" t="n">
        <v>3786.067568232236</v>
      </c>
      <c r="N513" s="29" t="n">
        <v>4.703572745225522</v>
      </c>
      <c r="O513" s="16" t="inlineStr">
        <is>
          <t>sí</t>
        </is>
      </c>
      <c r="P513" s="16" t="n"/>
    </row>
    <row r="514">
      <c r="A514" s="16" t="inlineStr">
        <is>
          <t>KF-M07-A5-0032</t>
        </is>
      </c>
      <c r="B514" s="35" t="n">
        <v>302.58136184317</v>
      </c>
      <c r="C514" s="36" t="n">
        <v>4808.3419580395</v>
      </c>
      <c r="D514" s="35" t="n">
        <v>1022.274389807265</v>
      </c>
      <c r="E514" s="37" t="n">
        <v>0.9224916747106672</v>
      </c>
      <c r="F514" s="37" t="n">
        <v>0.5760658994683791</v>
      </c>
      <c r="G514" s="37" t="n">
        <v>0.4073021552349206</v>
      </c>
      <c r="H514" s="37" t="n">
        <v>0.4101145100609968</v>
      </c>
      <c r="I514" s="37" t="n">
        <v>0.8234157959492288</v>
      </c>
      <c r="J514" s="39" t="inlineStr">
        <is>
          <t>Corregible</t>
        </is>
      </c>
      <c r="K514" s="29" t="n">
        <v>10.19383082692019</v>
      </c>
      <c r="L514" s="35" t="n">
        <v>98.44910160339988</v>
      </c>
      <c r="M514" s="36" t="n">
        <v>3786.067568232236</v>
      </c>
      <c r="N514" s="29" t="n">
        <v>4.703572745225522</v>
      </c>
      <c r="O514" s="16" t="inlineStr">
        <is>
          <t>sí</t>
        </is>
      </c>
      <c r="P514" s="16" t="inlineStr">
        <is>
          <t>O2</t>
        </is>
      </c>
    </row>
    <row r="515">
      <c r="A515" s="16" t="inlineStr">
        <is>
          <t>KF-M07-A5-0033</t>
        </is>
      </c>
      <c r="B515" s="35" t="n">
        <v>303.55</v>
      </c>
      <c r="C515" s="36" t="n">
        <v>4808.3419580395</v>
      </c>
      <c r="D515" s="35" t="n">
        <v>1022.274389807265</v>
      </c>
      <c r="E515" s="37" t="n">
        <v>0.9224916747106672</v>
      </c>
      <c r="F515" s="37" t="n">
        <v>0.5760658994683791</v>
      </c>
      <c r="G515" s="37" t="n">
        <v>0.4623021552349206</v>
      </c>
      <c r="H515" s="37" t="n">
        <v>0.4101145100609968</v>
      </c>
      <c r="I515" s="37" t="n">
        <v>0.8784157959492287</v>
      </c>
      <c r="J515" s="32" t="inlineStr">
        <is>
          <t>No convergió</t>
        </is>
      </c>
      <c r="K515" s="29" t="inlineStr">
        <is>
          <t>—</t>
        </is>
      </c>
      <c r="L515" s="35" t="inlineStr">
        <is>
          <t>—</t>
        </is>
      </c>
      <c r="M515" s="36" t="n">
        <v>3786.067568232236</v>
      </c>
      <c r="N515" s="29" t="n">
        <v>4.703572745225522</v>
      </c>
      <c r="O515" s="16" t="inlineStr">
        <is>
          <t>no</t>
        </is>
      </c>
      <c r="P515" s="16" t="n"/>
    </row>
    <row r="516">
      <c r="A516" s="16" t="inlineStr">
        <is>
          <t>KF-M07-A5-0034</t>
        </is>
      </c>
      <c r="B516" s="35" t="n">
        <v>300.0413618431699</v>
      </c>
      <c r="C516" s="36" t="n">
        <v>4808.3419580395</v>
      </c>
      <c r="D516" s="35" t="n">
        <v>1022.274389807265</v>
      </c>
      <c r="E516" s="37" t="n">
        <v>0.9224916747106672</v>
      </c>
      <c r="F516" s="37" t="n">
        <v>0.5760658994683791</v>
      </c>
      <c r="G516" s="37" t="n">
        <v>0.4623021552349206</v>
      </c>
      <c r="H516" s="37" t="n">
        <v>0.4101145100609968</v>
      </c>
      <c r="I516" s="37" t="n">
        <v>0.8784157959492287</v>
      </c>
      <c r="J516" s="42" t="inlineStr">
        <is>
          <t>KALINA</t>
        </is>
      </c>
      <c r="K516" s="29" t="n">
        <v>10.10457014052119</v>
      </c>
      <c r="L516" s="35" t="n">
        <v>113.335495971239</v>
      </c>
      <c r="M516" s="36" t="n">
        <v>3786.067568232236</v>
      </c>
      <c r="N516" s="29" t="n">
        <v>4.703572745225522</v>
      </c>
      <c r="O516" s="16" t="inlineStr">
        <is>
          <t>sí</t>
        </is>
      </c>
      <c r="P516" s="16" t="n"/>
    </row>
    <row r="517">
      <c r="A517" s="16" t="inlineStr">
        <is>
          <t>KF-M07-A5-0035</t>
        </is>
      </c>
      <c r="B517" s="35" t="n">
        <v>302.58136184317</v>
      </c>
      <c r="C517" s="36" t="n">
        <v>5000</v>
      </c>
      <c r="D517" s="35" t="n">
        <v>1022.274389807265</v>
      </c>
      <c r="E517" s="37" t="n">
        <v>0.9224916747106672</v>
      </c>
      <c r="F517" s="37" t="n">
        <v>0.5760658994683791</v>
      </c>
      <c r="G517" s="37" t="n">
        <v>0.4623021552349206</v>
      </c>
      <c r="H517" s="37" t="n">
        <v>0.4101145100609968</v>
      </c>
      <c r="I517" s="37" t="n">
        <v>0.8784157959492287</v>
      </c>
      <c r="J517" s="39" t="inlineStr">
        <is>
          <t>Corregible</t>
        </is>
      </c>
      <c r="K517" s="29" t="n">
        <v>10.35171943047159</v>
      </c>
      <c r="L517" s="35" t="n">
        <v>115.4107585777296</v>
      </c>
      <c r="M517" s="36" t="n">
        <v>3977.725610192736</v>
      </c>
      <c r="N517" s="29" t="n">
        <v>4.891054740149246</v>
      </c>
      <c r="O517" s="16" t="inlineStr">
        <is>
          <t>sí</t>
        </is>
      </c>
      <c r="P517" s="16" t="inlineStr">
        <is>
          <t>O1</t>
        </is>
      </c>
    </row>
    <row r="518">
      <c r="A518" s="16" t="inlineStr">
        <is>
          <t>KF-M07-A5-0036</t>
        </is>
      </c>
      <c r="B518" s="35" t="n">
        <v>302.58136184317</v>
      </c>
      <c r="C518" s="36" t="n">
        <v>4508.3419580395</v>
      </c>
      <c r="D518" s="35" t="n">
        <v>1022.274389807265</v>
      </c>
      <c r="E518" s="37" t="n">
        <v>0.9224916747106672</v>
      </c>
      <c r="F518" s="37" t="n">
        <v>0.5760658994683791</v>
      </c>
      <c r="G518" s="37" t="n">
        <v>0.4623021552349206</v>
      </c>
      <c r="H518" s="37" t="n">
        <v>0.4101145100609968</v>
      </c>
      <c r="I518" s="37" t="n">
        <v>0.8784157959492287</v>
      </c>
      <c r="J518" s="42" t="inlineStr">
        <is>
          <t>KALINA</t>
        </is>
      </c>
      <c r="K518" s="29" t="n">
        <v>9.925198982426011</v>
      </c>
      <c r="L518" s="35" t="n">
        <v>111.366436716006</v>
      </c>
      <c r="M518" s="36" t="n">
        <v>3486.067568232236</v>
      </c>
      <c r="N518" s="29" t="n">
        <v>4.410109460816567</v>
      </c>
      <c r="O518" s="16" t="inlineStr">
        <is>
          <t>sí</t>
        </is>
      </c>
      <c r="P518" s="16" t="n"/>
    </row>
    <row r="519">
      <c r="A519" s="16" t="inlineStr">
        <is>
          <t>KF-M07-A5-0037</t>
        </is>
      </c>
      <c r="B519" s="35" t="n">
        <v>302.58136184317</v>
      </c>
      <c r="C519" s="36" t="n">
        <v>4808.3419580395</v>
      </c>
      <c r="D519" s="35" t="n">
        <v>1242.274389807264</v>
      </c>
      <c r="E519" s="37" t="n">
        <v>0.9224916747106672</v>
      </c>
      <c r="F519" s="37" t="n">
        <v>0.5760658994683791</v>
      </c>
      <c r="G519" s="37" t="n">
        <v>0.4623021552349206</v>
      </c>
      <c r="H519" s="37" t="n">
        <v>0.4101145100609968</v>
      </c>
      <c r="I519" s="37" t="n">
        <v>0.8784157959492287</v>
      </c>
      <c r="J519" s="42" t="inlineStr">
        <is>
          <t>KALINA</t>
        </is>
      </c>
      <c r="K519" s="29" t="n">
        <v>8.961042687563161</v>
      </c>
      <c r="L519" s="35" t="n">
        <v>100.1077514027202</v>
      </c>
      <c r="M519" s="36" t="n">
        <v>3566.067568232236</v>
      </c>
      <c r="N519" s="29" t="n">
        <v>3.870595737537101</v>
      </c>
      <c r="O519" s="16" t="inlineStr">
        <is>
          <t>sí</t>
        </is>
      </c>
      <c r="P519" s="16" t="n"/>
    </row>
    <row r="520">
      <c r="A520" s="16" t="inlineStr">
        <is>
          <t>KF-M07-A5-0038</t>
        </is>
      </c>
      <c r="B520" s="35" t="n">
        <v>302.58136184317</v>
      </c>
      <c r="C520" s="36" t="n">
        <v>4808.3419580395</v>
      </c>
      <c r="D520" s="35" t="n">
        <v>802.2743898072646</v>
      </c>
      <c r="E520" s="37" t="n">
        <v>0.9224916747106672</v>
      </c>
      <c r="F520" s="37" t="n">
        <v>0.5760658994683791</v>
      </c>
      <c r="G520" s="37" t="n">
        <v>0.4623021552349206</v>
      </c>
      <c r="H520" s="37" t="n">
        <v>0.4101145100609968</v>
      </c>
      <c r="I520" s="37" t="n">
        <v>0.8784157959492287</v>
      </c>
      <c r="J520" s="39" t="inlineStr">
        <is>
          <t>Corregible</t>
        </is>
      </c>
      <c r="K520" s="29" t="n">
        <v>11.69007371301246</v>
      </c>
      <c r="L520" s="35" t="n">
        <v>130.7310774820628</v>
      </c>
      <c r="M520" s="36" t="n">
        <v>4006.067568232236</v>
      </c>
      <c r="N520" s="29" t="n">
        <v>5.993388320914293</v>
      </c>
      <c r="O520" s="16" t="inlineStr">
        <is>
          <t>sí</t>
        </is>
      </c>
      <c r="P520" s="16" t="inlineStr">
        <is>
          <t>O1,O2</t>
        </is>
      </c>
    </row>
    <row r="521">
      <c r="A521" s="16" t="inlineStr">
        <is>
          <t>KF-M07-A5-0039</t>
        </is>
      </c>
      <c r="B521" s="35" t="n">
        <v>302.58136184317</v>
      </c>
      <c r="C521" s="36" t="n">
        <v>4808.3419580395</v>
      </c>
      <c r="D521" s="35" t="n">
        <v>1022.274389807265</v>
      </c>
      <c r="E521" s="37" t="n">
        <v>0.95</v>
      </c>
      <c r="F521" s="37" t="n">
        <v>0.5760658994683791</v>
      </c>
      <c r="G521" s="37" t="n">
        <v>0.4623021552349206</v>
      </c>
      <c r="H521" s="37" t="n">
        <v>0.4101145100609968</v>
      </c>
      <c r="I521" s="37" t="n">
        <v>0.8784157959492287</v>
      </c>
      <c r="J521" s="39" t="inlineStr">
        <is>
          <t>Corregible</t>
        </is>
      </c>
      <c r="K521" s="29" t="n">
        <v>10.51908192999232</v>
      </c>
      <c r="L521" s="35" t="n">
        <v>117.5881996518267</v>
      </c>
      <c r="M521" s="36" t="n">
        <v>3786.067568232236</v>
      </c>
      <c r="N521" s="29" t="n">
        <v>4.703572745225522</v>
      </c>
      <c r="O521" s="16" t="inlineStr">
        <is>
          <t>sí</t>
        </is>
      </c>
      <c r="P521" s="16" t="inlineStr">
        <is>
          <t>O1</t>
        </is>
      </c>
    </row>
    <row r="522">
      <c r="A522" s="16" t="inlineStr">
        <is>
          <t>KF-M07-A5-0040</t>
        </is>
      </c>
      <c r="B522" s="35" t="n">
        <v>302.58136184317</v>
      </c>
      <c r="C522" s="36" t="n">
        <v>4808.3419580395</v>
      </c>
      <c r="D522" s="35" t="n">
        <v>1022.274389807265</v>
      </c>
      <c r="E522" s="37" t="n">
        <v>0.8674916747106671</v>
      </c>
      <c r="F522" s="37" t="n">
        <v>0.5760658994683791</v>
      </c>
      <c r="G522" s="37" t="n">
        <v>0.4623021552349206</v>
      </c>
      <c r="H522" s="37" t="n">
        <v>0.4101145100609968</v>
      </c>
      <c r="I522" s="37" t="n">
        <v>0.8784157959492287</v>
      </c>
      <c r="J522" s="42" t="inlineStr">
        <is>
          <t>KALINA</t>
        </is>
      </c>
      <c r="K522" s="29" t="n">
        <v>9.552077519765319</v>
      </c>
      <c r="L522" s="35" t="n">
        <v>106.7300512874371</v>
      </c>
      <c r="M522" s="36" t="n">
        <v>3786.067568232236</v>
      </c>
      <c r="N522" s="29" t="n">
        <v>4.703572745225522</v>
      </c>
      <c r="O522" s="16" t="inlineStr">
        <is>
          <t>sí</t>
        </is>
      </c>
      <c r="P522" s="16" t="n"/>
    </row>
    <row r="523">
      <c r="A523" s="16" t="inlineStr">
        <is>
          <t>KF-M07-A5-0041</t>
        </is>
      </c>
      <c r="B523" s="35" t="n">
        <v>302.58136184317</v>
      </c>
      <c r="C523" s="36" t="n">
        <v>4808.3419580395</v>
      </c>
      <c r="D523" s="35" t="n">
        <v>1022.274389807265</v>
      </c>
      <c r="E523" s="37" t="n">
        <v>0.9224916747106672</v>
      </c>
      <c r="F523" s="37" t="n">
        <v>0.6310658994683791</v>
      </c>
      <c r="G523" s="37" t="n">
        <v>0.4623021552349206</v>
      </c>
      <c r="H523" s="37" t="n">
        <v>0.4101145100609968</v>
      </c>
      <c r="I523" s="37" t="n">
        <v>0.8784157959492287</v>
      </c>
      <c r="J523" s="42" t="inlineStr">
        <is>
          <t>KALINA</t>
        </is>
      </c>
      <c r="K523" s="29" t="n">
        <v>10.25512041604304</v>
      </c>
      <c r="L523" s="35" t="n">
        <v>114.6484250746504</v>
      </c>
      <c r="M523" s="36" t="n">
        <v>3786.067568232236</v>
      </c>
      <c r="N523" s="29" t="n">
        <v>4.703572745225522</v>
      </c>
      <c r="O523" s="16" t="inlineStr">
        <is>
          <t>sí</t>
        </is>
      </c>
      <c r="P523" s="16" t="n"/>
    </row>
    <row r="524">
      <c r="A524" s="16" t="inlineStr">
        <is>
          <t>KF-M07-A5-0042</t>
        </is>
      </c>
      <c r="B524" s="35" t="n">
        <v>302.58136184317</v>
      </c>
      <c r="C524" s="36" t="n">
        <v>4808.3419580395</v>
      </c>
      <c r="D524" s="35" t="n">
        <v>1022.274389807265</v>
      </c>
      <c r="E524" s="37" t="n">
        <v>0.9224916747106672</v>
      </c>
      <c r="F524" s="37" t="n">
        <v>0.521065899468379</v>
      </c>
      <c r="G524" s="37" t="n">
        <v>0.4623021552349206</v>
      </c>
      <c r="H524" s="37" t="n">
        <v>0.4101145100609968</v>
      </c>
      <c r="I524" s="37" t="n">
        <v>0.8784157959492287</v>
      </c>
      <c r="J524" s="42" t="inlineStr">
        <is>
          <t>KALINA</t>
        </is>
      </c>
      <c r="K524" s="29" t="n">
        <v>10.12641227869155</v>
      </c>
      <c r="L524" s="35" t="n">
        <v>113.1478058871937</v>
      </c>
      <c r="M524" s="36" t="n">
        <v>3786.067568232236</v>
      </c>
      <c r="N524" s="29" t="n">
        <v>4.703572745225522</v>
      </c>
      <c r="O524" s="16" t="inlineStr">
        <is>
          <t>sí</t>
        </is>
      </c>
      <c r="P524" s="16" t="n"/>
    </row>
    <row r="525">
      <c r="A525" s="16" t="inlineStr">
        <is>
          <t>KF-M07-A5-0043</t>
        </is>
      </c>
      <c r="B525" s="35" t="n">
        <v>302.58136184317</v>
      </c>
      <c r="C525" s="36" t="n">
        <v>4808.3419580395</v>
      </c>
      <c r="D525" s="35" t="n">
        <v>1022.274389807265</v>
      </c>
      <c r="E525" s="37" t="n">
        <v>0.9224916747106672</v>
      </c>
      <c r="F525" s="37" t="n">
        <v>0.5760658994683791</v>
      </c>
      <c r="G525" s="37" t="n">
        <v>0.5173021552349206</v>
      </c>
      <c r="H525" s="37" t="n">
        <v>0.4101145100609968</v>
      </c>
      <c r="I525" s="37" t="n">
        <v>0.8784157959492287</v>
      </c>
      <c r="J525" s="39" t="inlineStr">
        <is>
          <t>Corregible</t>
        </is>
      </c>
      <c r="K525" s="29" t="n">
        <v>10.63826036480284</v>
      </c>
      <c r="L525" s="35" t="n">
        <v>133.0982454642416</v>
      </c>
      <c r="M525" s="36" t="n">
        <v>3786.067568232236</v>
      </c>
      <c r="N525" s="29" t="n">
        <v>4.703572745225522</v>
      </c>
      <c r="O525" s="16" t="inlineStr">
        <is>
          <t>sí</t>
        </is>
      </c>
      <c r="P525" s="16" t="inlineStr">
        <is>
          <t>O1</t>
        </is>
      </c>
    </row>
    <row r="526">
      <c r="A526" s="16" t="inlineStr">
        <is>
          <t>KF-M07-A5-0044</t>
        </is>
      </c>
      <c r="B526" s="35" t="n">
        <v>302.58136184317</v>
      </c>
      <c r="C526" s="36" t="n">
        <v>4808.3419580395</v>
      </c>
      <c r="D526" s="35" t="n">
        <v>1022.274389807265</v>
      </c>
      <c r="E526" s="37" t="n">
        <v>0.9224916747106672</v>
      </c>
      <c r="F526" s="37" t="n">
        <v>0.5760658994683791</v>
      </c>
      <c r="G526" s="37" t="n">
        <v>0.4073021552349206</v>
      </c>
      <c r="H526" s="37" t="n">
        <v>0.4101145100609968</v>
      </c>
      <c r="I526" s="37" t="n">
        <v>0.8784157959492287</v>
      </c>
      <c r="J526" s="42" t="inlineStr">
        <is>
          <t>KALINA</t>
        </is>
      </c>
      <c r="K526" s="29" t="n">
        <v>9.634106726677301</v>
      </c>
      <c r="L526" s="35" t="n">
        <v>94.88905668338508</v>
      </c>
      <c r="M526" s="36" t="n">
        <v>3786.067568232236</v>
      </c>
      <c r="N526" s="29" t="n">
        <v>4.703572745225522</v>
      </c>
      <c r="O526" s="16" t="inlineStr">
        <is>
          <t>sí</t>
        </is>
      </c>
      <c r="P526" s="16" t="n"/>
    </row>
    <row r="527">
      <c r="A527" s="16" t="inlineStr">
        <is>
          <t>KF-M07-A5-0045</t>
        </is>
      </c>
      <c r="B527" s="35" t="n">
        <v>302.58136184317</v>
      </c>
      <c r="C527" s="36" t="n">
        <v>4808.3419580395</v>
      </c>
      <c r="D527" s="35" t="n">
        <v>1022.274389807265</v>
      </c>
      <c r="E527" s="37" t="n">
        <v>0.9224916747106672</v>
      </c>
      <c r="F527" s="37" t="n">
        <v>0.5760658994683791</v>
      </c>
      <c r="G527" s="37" t="n">
        <v>0.4623021552349206</v>
      </c>
      <c r="H527" s="37" t="n">
        <v>0.4651145100609968</v>
      </c>
      <c r="I527" s="37" t="n">
        <v>0.8784157959492287</v>
      </c>
      <c r="J527" s="42" t="inlineStr">
        <is>
          <t>KALINA</t>
        </is>
      </c>
      <c r="K527" s="29" t="n">
        <v>10.37529860248645</v>
      </c>
      <c r="L527" s="35" t="n">
        <v>115.2019415921935</v>
      </c>
      <c r="M527" s="36" t="n">
        <v>3786.067568232236</v>
      </c>
      <c r="N527" s="29" t="n">
        <v>4.703572745225522</v>
      </c>
      <c r="O527" s="16" t="inlineStr">
        <is>
          <t>sí</t>
        </is>
      </c>
      <c r="P527" s="16" t="n"/>
    </row>
    <row r="528">
      <c r="A528" s="16" t="inlineStr">
        <is>
          <t>KF-M07-A5-0046</t>
        </is>
      </c>
      <c r="B528" s="35" t="n">
        <v>302.58136184317</v>
      </c>
      <c r="C528" s="36" t="n">
        <v>4808.3419580395</v>
      </c>
      <c r="D528" s="35" t="n">
        <v>1022.274389807265</v>
      </c>
      <c r="E528" s="37" t="n">
        <v>0.9224916747106672</v>
      </c>
      <c r="F528" s="37" t="n">
        <v>0.5760658994683791</v>
      </c>
      <c r="G528" s="37" t="n">
        <v>0.4623021552349206</v>
      </c>
      <c r="H528" s="37" t="n">
        <v>0.4</v>
      </c>
      <c r="I528" s="37" t="n">
        <v>0.8784157959492287</v>
      </c>
      <c r="J528" s="42" t="inlineStr">
        <is>
          <t>KALINA</t>
        </is>
      </c>
      <c r="K528" s="29" t="n">
        <v>10.16419401357318</v>
      </c>
      <c r="L528" s="35" t="n">
        <v>113.7418859798726</v>
      </c>
      <c r="M528" s="36" t="n">
        <v>3786.067568232236</v>
      </c>
      <c r="N528" s="29" t="n">
        <v>4.703572745225522</v>
      </c>
      <c r="O528" s="16" t="inlineStr">
        <is>
          <t>sí</t>
        </is>
      </c>
      <c r="P528" s="16" t="n"/>
    </row>
    <row r="529">
      <c r="A529" s="16" t="inlineStr">
        <is>
          <t>KF-M07-A5-0047</t>
        </is>
      </c>
      <c r="B529" s="35" t="n">
        <v>302.58136184317</v>
      </c>
      <c r="C529" s="36" t="n">
        <v>4808.3419580395</v>
      </c>
      <c r="D529" s="35" t="n">
        <v>1022.274389807265</v>
      </c>
      <c r="E529" s="37" t="n">
        <v>0.9224916747106672</v>
      </c>
      <c r="F529" s="37" t="n">
        <v>0.5760658994683791</v>
      </c>
      <c r="G529" s="37" t="n">
        <v>0.4623021552349206</v>
      </c>
      <c r="H529" s="37" t="n">
        <v>0.4101145100609968</v>
      </c>
      <c r="I529" s="37" t="n">
        <v>0.9334157959492286</v>
      </c>
      <c r="J529" s="42" t="inlineStr">
        <is>
          <t>KALINA</t>
        </is>
      </c>
      <c r="K529" s="29" t="n">
        <v>9.666495382409391</v>
      </c>
      <c r="L529" s="35" t="n">
        <v>110.2648985812337</v>
      </c>
      <c r="M529" s="36" t="n">
        <v>3786.067568232236</v>
      </c>
      <c r="N529" s="29" t="n">
        <v>4.703572745225522</v>
      </c>
      <c r="O529" s="16" t="inlineStr">
        <is>
          <t>sí</t>
        </is>
      </c>
      <c r="P529" s="16" t="n"/>
    </row>
    <row r="530">
      <c r="A530" s="16" t="inlineStr">
        <is>
          <t>KF-M07-A5-0048</t>
        </is>
      </c>
      <c r="B530" s="35" t="n">
        <v>302.58136184317</v>
      </c>
      <c r="C530" s="36" t="n">
        <v>4808.3419580395</v>
      </c>
      <c r="D530" s="35" t="n">
        <v>1022.274389807265</v>
      </c>
      <c r="E530" s="37" t="n">
        <v>0.9224916747106672</v>
      </c>
      <c r="F530" s="37" t="n">
        <v>0.5760658994683791</v>
      </c>
      <c r="G530" s="37" t="n">
        <v>0.4623021552349206</v>
      </c>
      <c r="H530" s="37" t="n">
        <v>0.4101145100609968</v>
      </c>
      <c r="I530" s="37" t="n">
        <v>0.8234157959492288</v>
      </c>
      <c r="J530" s="39" t="inlineStr">
        <is>
          <t>Corregible</t>
        </is>
      </c>
      <c r="K530" s="29" t="n">
        <v>10.71624557300974</v>
      </c>
      <c r="L530" s="35" t="n">
        <v>117.0541447212339</v>
      </c>
      <c r="M530" s="36" t="n">
        <v>3786.067568232236</v>
      </c>
      <c r="N530" s="29" t="n">
        <v>4.703572745225522</v>
      </c>
      <c r="O530" s="16" t="inlineStr">
        <is>
          <t>sí</t>
        </is>
      </c>
      <c r="P530" s="16" t="inlineStr">
        <is>
          <t>O2</t>
        </is>
      </c>
    </row>
    <row r="531">
      <c r="A531" s="16" t="inlineStr">
        <is>
          <t>KF-M07-A5-0049</t>
        </is>
      </c>
      <c r="B531" s="35" t="n">
        <v>303.55</v>
      </c>
      <c r="C531" s="36" t="n">
        <v>4808.3419580395</v>
      </c>
      <c r="D531" s="35" t="n">
        <v>1022.274389807265</v>
      </c>
      <c r="E531" s="37" t="n">
        <v>0.9224916747106672</v>
      </c>
      <c r="F531" s="37" t="n">
        <v>0.5760658994683791</v>
      </c>
      <c r="G531" s="37" t="n">
        <v>0.4623021552349206</v>
      </c>
      <c r="H531" s="37" t="n">
        <v>0.4651145100609968</v>
      </c>
      <c r="I531" s="37" t="n">
        <v>0.8784157959492287</v>
      </c>
      <c r="J531" s="42" t="inlineStr">
        <is>
          <t>KALINA</t>
        </is>
      </c>
      <c r="K531" s="29" t="n">
        <v>10.40998121458808</v>
      </c>
      <c r="L531" s="35" t="n">
        <v>115.4357394753929</v>
      </c>
      <c r="M531" s="36" t="n">
        <v>3786.067568232236</v>
      </c>
      <c r="N531" s="29" t="n">
        <v>4.703572745225522</v>
      </c>
      <c r="O531" s="16" t="inlineStr">
        <is>
          <t>sí</t>
        </is>
      </c>
      <c r="P531" s="16" t="n"/>
    </row>
    <row r="532">
      <c r="A532" s="16" t="inlineStr">
        <is>
          <t>KF-M07-A5-0050</t>
        </is>
      </c>
      <c r="B532" s="35" t="n">
        <v>300.0413618431699</v>
      </c>
      <c r="C532" s="36" t="n">
        <v>4808.3419580395</v>
      </c>
      <c r="D532" s="35" t="n">
        <v>1022.274389807265</v>
      </c>
      <c r="E532" s="37" t="n">
        <v>0.9224916747106672</v>
      </c>
      <c r="F532" s="37" t="n">
        <v>0.5760658994683791</v>
      </c>
      <c r="G532" s="37" t="n">
        <v>0.4623021552349206</v>
      </c>
      <c r="H532" s="37" t="n">
        <v>0.4651145100609968</v>
      </c>
      <c r="I532" s="37" t="n">
        <v>0.8784157959492287</v>
      </c>
      <c r="J532" s="42" t="inlineStr">
        <is>
          <t>KALINA</t>
        </is>
      </c>
      <c r="K532" s="29" t="n">
        <v>10.285067084057</v>
      </c>
      <c r="L532" s="35" t="n">
        <v>114.5907886152842</v>
      </c>
      <c r="M532" s="36" t="n">
        <v>3786.067568232236</v>
      </c>
      <c r="N532" s="29" t="n">
        <v>4.703572745225522</v>
      </c>
      <c r="O532" s="16" t="inlineStr">
        <is>
          <t>sí</t>
        </is>
      </c>
      <c r="P532" s="16" t="n"/>
    </row>
    <row r="533">
      <c r="A533" s="16" t="inlineStr">
        <is>
          <t>KF-M07-A5-0051</t>
        </is>
      </c>
      <c r="B533" s="35" t="n">
        <v>302.58136184317</v>
      </c>
      <c r="C533" s="36" t="n">
        <v>5000</v>
      </c>
      <c r="D533" s="35" t="n">
        <v>1022.274389807265</v>
      </c>
      <c r="E533" s="37" t="n">
        <v>0.9224916747106672</v>
      </c>
      <c r="F533" s="37" t="n">
        <v>0.5760658994683791</v>
      </c>
      <c r="G533" s="37" t="n">
        <v>0.4623021552349206</v>
      </c>
      <c r="H533" s="37" t="n">
        <v>0.4651145100609968</v>
      </c>
      <c r="I533" s="37" t="n">
        <v>0.8784157959492287</v>
      </c>
      <c r="J533" s="39" t="inlineStr">
        <is>
          <t>Corregible</t>
        </is>
      </c>
      <c r="K533" s="29" t="n">
        <v>10.53889730789731</v>
      </c>
      <c r="L533" s="35" t="n">
        <v>116.7076008271446</v>
      </c>
      <c r="M533" s="36" t="n">
        <v>3977.725610192736</v>
      </c>
      <c r="N533" s="29" t="n">
        <v>4.891054740149246</v>
      </c>
      <c r="O533" s="16" t="inlineStr">
        <is>
          <t>sí</t>
        </is>
      </c>
      <c r="P533" s="16" t="inlineStr">
        <is>
          <t>O1</t>
        </is>
      </c>
    </row>
    <row r="534">
      <c r="A534" s="16" t="inlineStr">
        <is>
          <t>KF-M07-A5-0052</t>
        </is>
      </c>
      <c r="B534" s="35" t="n">
        <v>302.58136184317</v>
      </c>
      <c r="C534" s="36" t="n">
        <v>4508.3419580395</v>
      </c>
      <c r="D534" s="35" t="n">
        <v>1022.274389807265</v>
      </c>
      <c r="E534" s="37" t="n">
        <v>0.9224916747106672</v>
      </c>
      <c r="F534" s="37" t="n">
        <v>0.5760658994683791</v>
      </c>
      <c r="G534" s="37" t="n">
        <v>0.4623021552349206</v>
      </c>
      <c r="H534" s="37" t="n">
        <v>0.4651145100609968</v>
      </c>
      <c r="I534" s="37" t="n">
        <v>0.8784157959492287</v>
      </c>
      <c r="J534" s="42" t="inlineStr">
        <is>
          <t>KALINA</t>
        </is>
      </c>
      <c r="K534" s="29" t="n">
        <v>10.08978238399011</v>
      </c>
      <c r="L534" s="35" t="n">
        <v>112.4979979861485</v>
      </c>
      <c r="M534" s="36" t="n">
        <v>3486.067568232236</v>
      </c>
      <c r="N534" s="29" t="n">
        <v>4.410109460816567</v>
      </c>
      <c r="O534" s="16" t="inlineStr">
        <is>
          <t>sí</t>
        </is>
      </c>
      <c r="P534" s="16" t="n"/>
    </row>
    <row r="535">
      <c r="A535" s="16" t="inlineStr">
        <is>
          <t>KF-M07-A5-0053</t>
        </is>
      </c>
      <c r="B535" s="35" t="n">
        <v>302.58136184317</v>
      </c>
      <c r="C535" s="36" t="n">
        <v>4808.3419580395</v>
      </c>
      <c r="D535" s="35" t="n">
        <v>1242.274389807264</v>
      </c>
      <c r="E535" s="37" t="n">
        <v>0.9224916747106672</v>
      </c>
      <c r="F535" s="37" t="n">
        <v>0.5760658994683791</v>
      </c>
      <c r="G535" s="37" t="n">
        <v>0.4623021552349206</v>
      </c>
      <c r="H535" s="37" t="n">
        <v>0.4651145100609968</v>
      </c>
      <c r="I535" s="37" t="n">
        <v>0.8784157959492287</v>
      </c>
      <c r="J535" s="42" t="inlineStr">
        <is>
          <t>KALINA</t>
        </is>
      </c>
      <c r="K535" s="29" t="n">
        <v>9.11797047716812</v>
      </c>
      <c r="L535" s="35" t="n">
        <v>101.1928650154806</v>
      </c>
      <c r="M535" s="36" t="n">
        <v>3566.067568232236</v>
      </c>
      <c r="N535" s="29" t="n">
        <v>3.870595737537101</v>
      </c>
      <c r="O535" s="16" t="inlineStr">
        <is>
          <t>sí</t>
        </is>
      </c>
      <c r="P535" s="16" t="n"/>
    </row>
    <row r="536">
      <c r="A536" s="16" t="inlineStr">
        <is>
          <t>KF-M07-A5-0054</t>
        </is>
      </c>
      <c r="B536" s="35" t="n">
        <v>302.58136184317</v>
      </c>
      <c r="C536" s="36" t="n">
        <v>4808.3419580395</v>
      </c>
      <c r="D536" s="35" t="n">
        <v>802.2743898072646</v>
      </c>
      <c r="E536" s="37" t="n">
        <v>0.9224916747106672</v>
      </c>
      <c r="F536" s="37" t="n">
        <v>0.5760658994683791</v>
      </c>
      <c r="G536" s="37" t="n">
        <v>0.4623021552349206</v>
      </c>
      <c r="H536" s="37" t="n">
        <v>0.4651145100609968</v>
      </c>
      <c r="I536" s="37" t="n">
        <v>0.8784157959492287</v>
      </c>
      <c r="J536" s="39" t="inlineStr">
        <is>
          <t>Corregible</t>
        </is>
      </c>
      <c r="K536" s="29" t="n">
        <v>11.89610597429628</v>
      </c>
      <c r="L536" s="35" t="n">
        <v>132.1613146758181</v>
      </c>
      <c r="M536" s="36" t="n">
        <v>4006.067568232236</v>
      </c>
      <c r="N536" s="29" t="n">
        <v>5.993388320914293</v>
      </c>
      <c r="O536" s="16" t="inlineStr">
        <is>
          <t>sí</t>
        </is>
      </c>
      <c r="P536" s="16" t="inlineStr">
        <is>
          <t>O1,O2</t>
        </is>
      </c>
    </row>
    <row r="537">
      <c r="A537" s="16" t="inlineStr">
        <is>
          <t>KF-M07-A5-0055</t>
        </is>
      </c>
      <c r="B537" s="35" t="n">
        <v>302.58136184317</v>
      </c>
      <c r="C537" s="36" t="n">
        <v>4808.3419580395</v>
      </c>
      <c r="D537" s="35" t="n">
        <v>1022.274389807265</v>
      </c>
      <c r="E537" s="37" t="n">
        <v>0.95</v>
      </c>
      <c r="F537" s="37" t="n">
        <v>0.5760658994683791</v>
      </c>
      <c r="G537" s="37" t="n">
        <v>0.4623021552349206</v>
      </c>
      <c r="H537" s="37" t="n">
        <v>0.4651145100609968</v>
      </c>
      <c r="I537" s="37" t="n">
        <v>0.8784157959492287</v>
      </c>
      <c r="J537" s="39" t="inlineStr">
        <is>
          <t>Corregible</t>
        </is>
      </c>
      <c r="K537" s="29" t="n">
        <v>10.70296437679233</v>
      </c>
      <c r="L537" s="35" t="n">
        <v>118.8577899645978</v>
      </c>
      <c r="M537" s="36" t="n">
        <v>3786.067568232236</v>
      </c>
      <c r="N537" s="29" t="n">
        <v>4.703572745225522</v>
      </c>
      <c r="O537" s="16" t="inlineStr">
        <is>
          <t>sí</t>
        </is>
      </c>
      <c r="P537" s="16" t="inlineStr">
        <is>
          <t>O1</t>
        </is>
      </c>
    </row>
    <row r="538">
      <c r="A538" s="16" t="inlineStr">
        <is>
          <t>KF-M07-A5-0056</t>
        </is>
      </c>
      <c r="B538" s="35" t="n">
        <v>302.58136184317</v>
      </c>
      <c r="C538" s="36" t="n">
        <v>4808.3419580395</v>
      </c>
      <c r="D538" s="35" t="n">
        <v>1022.274389807265</v>
      </c>
      <c r="E538" s="37" t="n">
        <v>0.8674916747106671</v>
      </c>
      <c r="F538" s="37" t="n">
        <v>0.5760658994683791</v>
      </c>
      <c r="G538" s="37" t="n">
        <v>0.4623021552349206</v>
      </c>
      <c r="H538" s="37" t="n">
        <v>0.4651145100609968</v>
      </c>
      <c r="I538" s="37" t="n">
        <v>0.8784157959492287</v>
      </c>
      <c r="J538" s="42" t="inlineStr">
        <is>
          <t>KALINA</t>
        </is>
      </c>
      <c r="K538" s="29" t="n">
        <v>9.71943565299763</v>
      </c>
      <c r="L538" s="35" t="n">
        <v>107.8875656550536</v>
      </c>
      <c r="M538" s="36" t="n">
        <v>3786.067568232236</v>
      </c>
      <c r="N538" s="29" t="n">
        <v>4.703572745225522</v>
      </c>
      <c r="O538" s="16" t="inlineStr">
        <is>
          <t>sí</t>
        </is>
      </c>
      <c r="P538" s="16" t="n"/>
    </row>
    <row r="539">
      <c r="A539" s="16" t="inlineStr">
        <is>
          <t>KF-M07-A5-0057</t>
        </is>
      </c>
      <c r="B539" s="35" t="n">
        <v>302.58136184317</v>
      </c>
      <c r="C539" s="36" t="n">
        <v>4808.3419580395</v>
      </c>
      <c r="D539" s="35" t="n">
        <v>1022.274389807265</v>
      </c>
      <c r="E539" s="37" t="n">
        <v>0.9224916747106672</v>
      </c>
      <c r="F539" s="37" t="n">
        <v>0.6310658994683791</v>
      </c>
      <c r="G539" s="37" t="n">
        <v>0.4623021552349206</v>
      </c>
      <c r="H539" s="37" t="n">
        <v>0.4651145100609968</v>
      </c>
      <c r="I539" s="37" t="n">
        <v>0.8784157959492287</v>
      </c>
      <c r="J539" s="42" t="inlineStr">
        <is>
          <t>KALINA</t>
        </is>
      </c>
      <c r="K539" s="29" t="n">
        <v>10.43404879022391</v>
      </c>
      <c r="L539" s="35" t="n">
        <v>115.881999667784</v>
      </c>
      <c r="M539" s="36" t="n">
        <v>3786.067568232236</v>
      </c>
      <c r="N539" s="29" t="n">
        <v>4.703572745225522</v>
      </c>
      <c r="O539" s="16" t="inlineStr">
        <is>
          <t>sí</t>
        </is>
      </c>
      <c r="P539" s="16" t="n"/>
    </row>
    <row r="540">
      <c r="A540" s="16" t="inlineStr">
        <is>
          <t>KF-M07-A5-0058</t>
        </is>
      </c>
      <c r="B540" s="35" t="n">
        <v>302.58136184317</v>
      </c>
      <c r="C540" s="36" t="n">
        <v>4808.3419580395</v>
      </c>
      <c r="D540" s="35" t="n">
        <v>1022.274389807265</v>
      </c>
      <c r="E540" s="37" t="n">
        <v>0.9224916747106672</v>
      </c>
      <c r="F540" s="37" t="n">
        <v>0.521065899468379</v>
      </c>
      <c r="G540" s="37" t="n">
        <v>0.4623021552349206</v>
      </c>
      <c r="H540" s="37" t="n">
        <v>0.4651145100609968</v>
      </c>
      <c r="I540" s="37" t="n">
        <v>0.8784157959492287</v>
      </c>
      <c r="J540" s="42" t="inlineStr">
        <is>
          <t>KALINA</t>
        </is>
      </c>
      <c r="K540" s="29" t="n">
        <v>10.30410728154062</v>
      </c>
      <c r="L540" s="35" t="n">
        <v>114.3783014935005</v>
      </c>
      <c r="M540" s="36" t="n">
        <v>3786.067568232236</v>
      </c>
      <c r="N540" s="29" t="n">
        <v>4.703572745225522</v>
      </c>
      <c r="O540" s="16" t="inlineStr">
        <is>
          <t>sí</t>
        </is>
      </c>
      <c r="P540" s="16" t="n"/>
    </row>
    <row r="541">
      <c r="A541" s="16" t="inlineStr">
        <is>
          <t>KF-M07-A5-0059</t>
        </is>
      </c>
      <c r="B541" s="35" t="n">
        <v>302.58136184317</v>
      </c>
      <c r="C541" s="36" t="n">
        <v>4808.3419580395</v>
      </c>
      <c r="D541" s="35" t="n">
        <v>1022.274389807265</v>
      </c>
      <c r="E541" s="37" t="n">
        <v>0.9224916747106672</v>
      </c>
      <c r="F541" s="37" t="n">
        <v>0.5760658994683791</v>
      </c>
      <c r="G541" s="37" t="n">
        <v>0.5173021552349206</v>
      </c>
      <c r="H541" s="37" t="n">
        <v>0.4651145100609968</v>
      </c>
      <c r="I541" s="37" t="n">
        <v>0.8784157959492287</v>
      </c>
      <c r="J541" s="39" t="inlineStr">
        <is>
          <t>Corregible</t>
        </is>
      </c>
      <c r="K541" s="29" t="n">
        <v>10.77679547736513</v>
      </c>
      <c r="L541" s="35" t="n">
        <v>134.0649355604628</v>
      </c>
      <c r="M541" s="36" t="n">
        <v>3786.067568232236</v>
      </c>
      <c r="N541" s="29" t="n">
        <v>4.703572745225522</v>
      </c>
      <c r="O541" s="16" t="inlineStr">
        <is>
          <t>sí</t>
        </is>
      </c>
      <c r="P541" s="16" t="inlineStr">
        <is>
          <t>O1</t>
        </is>
      </c>
    </row>
    <row r="542">
      <c r="A542" s="16" t="inlineStr">
        <is>
          <t>KF-M07-A5-0060</t>
        </is>
      </c>
      <c r="B542" s="35" t="n">
        <v>302.58136184317</v>
      </c>
      <c r="C542" s="36" t="n">
        <v>4808.3419580395</v>
      </c>
      <c r="D542" s="35" t="n">
        <v>1022.274389807265</v>
      </c>
      <c r="E542" s="37" t="n">
        <v>0.9224916747106672</v>
      </c>
      <c r="F542" s="37" t="n">
        <v>0.5760658994683791</v>
      </c>
      <c r="G542" s="37" t="n">
        <v>0.4073021552349206</v>
      </c>
      <c r="H542" s="37" t="n">
        <v>0.4651145100609968</v>
      </c>
      <c r="I542" s="37" t="n">
        <v>0.8784157959492287</v>
      </c>
      <c r="J542" s="42" t="inlineStr">
        <is>
          <t>KALINA</t>
        </is>
      </c>
      <c r="K542" s="29" t="n">
        <v>9.86132663214096</v>
      </c>
      <c r="L542" s="35" t="n">
        <v>96.40812579579141</v>
      </c>
      <c r="M542" s="36" t="n">
        <v>3786.067568232236</v>
      </c>
      <c r="N542" s="29" t="n">
        <v>4.703572745225522</v>
      </c>
      <c r="O542" s="16" t="inlineStr">
        <is>
          <t>sí</t>
        </is>
      </c>
      <c r="P542" s="16" t="n"/>
    </row>
    <row r="543">
      <c r="A543" s="16" t="inlineStr">
        <is>
          <t>KF-M07-A5-0061</t>
        </is>
      </c>
      <c r="B543" s="35" t="n">
        <v>302.58136184317</v>
      </c>
      <c r="C543" s="36" t="n">
        <v>4808.3419580395</v>
      </c>
      <c r="D543" s="35" t="n">
        <v>1022.274389807265</v>
      </c>
      <c r="E543" s="37" t="n">
        <v>0.9224916747106672</v>
      </c>
      <c r="F543" s="37" t="n">
        <v>0.5760658994683791</v>
      </c>
      <c r="G543" s="37" t="n">
        <v>0.4623021552349206</v>
      </c>
      <c r="H543" s="37" t="n">
        <v>0.5201145100609968</v>
      </c>
      <c r="I543" s="37" t="n">
        <v>0.8784157959492287</v>
      </c>
      <c r="J543" s="42" t="inlineStr">
        <is>
          <t>KALINA</t>
        </is>
      </c>
      <c r="K543" s="29" t="n">
        <v>10.55425600687045</v>
      </c>
      <c r="L543" s="35" t="n">
        <v>116.422273350076</v>
      </c>
      <c r="M543" s="36" t="n">
        <v>3786.067568232236</v>
      </c>
      <c r="N543" s="29" t="n">
        <v>4.703572745225522</v>
      </c>
      <c r="O543" s="16" t="inlineStr">
        <is>
          <t>sí</t>
        </is>
      </c>
      <c r="P543" s="16" t="n"/>
    </row>
    <row r="544">
      <c r="A544" s="16" t="inlineStr">
        <is>
          <t>KF-M07-A5-0062</t>
        </is>
      </c>
      <c r="B544" s="35" t="n">
        <v>302.58136184317</v>
      </c>
      <c r="C544" s="36" t="n">
        <v>4808.3419580395</v>
      </c>
      <c r="D544" s="35" t="n">
        <v>1022.274389807265</v>
      </c>
      <c r="E544" s="37" t="n">
        <v>0.9224916747106672</v>
      </c>
      <c r="F544" s="37" t="n">
        <v>0.5760658994683791</v>
      </c>
      <c r="G544" s="37" t="n">
        <v>0.4623021552349206</v>
      </c>
      <c r="H544" s="37" t="n">
        <v>0.4101145100609968</v>
      </c>
      <c r="I544" s="37" t="n">
        <v>0.8784157959492287</v>
      </c>
      <c r="J544" s="42" t="inlineStr">
        <is>
          <t>KALINA</t>
        </is>
      </c>
      <c r="K544" s="29" t="n">
        <v>10.19692840484169</v>
      </c>
      <c r="L544" s="35" t="n">
        <v>113.9697594887854</v>
      </c>
      <c r="M544" s="36" t="n">
        <v>3786.067568232236</v>
      </c>
      <c r="N544" s="29" t="n">
        <v>4.703572745225522</v>
      </c>
      <c r="O544" s="16" t="inlineStr">
        <is>
          <t>sí</t>
        </is>
      </c>
      <c r="P544" s="16" t="n"/>
    </row>
    <row r="545">
      <c r="A545" s="16" t="inlineStr">
        <is>
          <t>KF-M07-A5-0063</t>
        </is>
      </c>
      <c r="B545" s="35" t="n">
        <v>302.58136184317</v>
      </c>
      <c r="C545" s="36" t="n">
        <v>4808.3419580395</v>
      </c>
      <c r="D545" s="35" t="n">
        <v>1022.274389807265</v>
      </c>
      <c r="E545" s="37" t="n">
        <v>0.9224916747106672</v>
      </c>
      <c r="F545" s="37" t="n">
        <v>0.5760658994683791</v>
      </c>
      <c r="G545" s="37" t="n">
        <v>0.4623021552349206</v>
      </c>
      <c r="H545" s="37" t="n">
        <v>0.4651145100609968</v>
      </c>
      <c r="I545" s="37" t="n">
        <v>0.9334157959492286</v>
      </c>
      <c r="J545" s="42" t="inlineStr">
        <is>
          <t>KALINA</t>
        </is>
      </c>
      <c r="K545" s="29" t="n">
        <v>9.86197149010583</v>
      </c>
      <c r="L545" s="35" t="n">
        <v>111.6681544159736</v>
      </c>
      <c r="M545" s="36" t="n">
        <v>3786.067568232236</v>
      </c>
      <c r="N545" s="29" t="n">
        <v>4.703572745225522</v>
      </c>
      <c r="O545" s="16" t="inlineStr">
        <is>
          <t>sí</t>
        </is>
      </c>
      <c r="P545" s="16" t="n"/>
    </row>
    <row r="546">
      <c r="A546" s="16" t="inlineStr">
        <is>
          <t>KF-M07-A5-0064</t>
        </is>
      </c>
      <c r="B546" s="35" t="n">
        <v>302.58136184317</v>
      </c>
      <c r="C546" s="36" t="n">
        <v>4808.3419580395</v>
      </c>
      <c r="D546" s="35" t="n">
        <v>1022.274389807265</v>
      </c>
      <c r="E546" s="37" t="n">
        <v>0.9224916747106672</v>
      </c>
      <c r="F546" s="37" t="n">
        <v>0.5760658994683791</v>
      </c>
      <c r="G546" s="37" t="n">
        <v>0.4623021552349206</v>
      </c>
      <c r="H546" s="37" t="n">
        <v>0.4651145100609968</v>
      </c>
      <c r="I546" s="37" t="n">
        <v>0.8234157959492288</v>
      </c>
      <c r="J546" s="39" t="inlineStr">
        <is>
          <t>Corregible</t>
        </is>
      </c>
      <c r="K546" s="29" t="n">
        <v>10.88082863827208</v>
      </c>
      <c r="L546" s="35" t="n">
        <v>118.1713218609676</v>
      </c>
      <c r="M546" s="36" t="n">
        <v>3786.067568232236</v>
      </c>
      <c r="N546" s="29" t="n">
        <v>4.703572745225522</v>
      </c>
      <c r="O546" s="16" t="inlineStr">
        <is>
          <t>sí</t>
        </is>
      </c>
      <c r="P546" s="16" t="inlineStr">
        <is>
          <t>O2</t>
        </is>
      </c>
    </row>
    <row r="547">
      <c r="A547" s="16" t="inlineStr">
        <is>
          <t>KF-M07-A5-0065</t>
        </is>
      </c>
      <c r="B547" s="35" t="n">
        <v>303.55</v>
      </c>
      <c r="C547" s="36" t="n">
        <v>4808.3419580395</v>
      </c>
      <c r="D547" s="35" t="n">
        <v>1022.274389807265</v>
      </c>
      <c r="E547" s="37" t="n">
        <v>0.9224916747106672</v>
      </c>
      <c r="F547" s="37" t="n">
        <v>0.5760658994683791</v>
      </c>
      <c r="G547" s="37" t="n">
        <v>0.4623021552349206</v>
      </c>
      <c r="H547" s="37" t="n">
        <v>0.5201145100609968</v>
      </c>
      <c r="I547" s="37" t="n">
        <v>0.8784157959492287</v>
      </c>
      <c r="J547" s="42" t="inlineStr">
        <is>
          <t>KALINA</t>
        </is>
      </c>
      <c r="K547" s="29" t="n">
        <v>10.58811992277289</v>
      </c>
      <c r="L547" s="35" t="n">
        <v>116.6474515257714</v>
      </c>
      <c r="M547" s="36" t="n">
        <v>3786.067568232236</v>
      </c>
      <c r="N547" s="29" t="n">
        <v>4.703572745225522</v>
      </c>
      <c r="O547" s="16" t="inlineStr">
        <is>
          <t>sí</t>
        </is>
      </c>
      <c r="P547" s="16" t="n"/>
    </row>
    <row r="548">
      <c r="A548" s="16" t="inlineStr">
        <is>
          <t>KF-M07-A5-0066</t>
        </is>
      </c>
      <c r="B548" s="35" t="n">
        <v>300.0413618431699</v>
      </c>
      <c r="C548" s="36" t="n">
        <v>4808.3419580395</v>
      </c>
      <c r="D548" s="35" t="n">
        <v>1022.274389807265</v>
      </c>
      <c r="E548" s="37" t="n">
        <v>0.9224916747106672</v>
      </c>
      <c r="F548" s="37" t="n">
        <v>0.5760658994683791</v>
      </c>
      <c r="G548" s="37" t="n">
        <v>0.4623021552349206</v>
      </c>
      <c r="H548" s="37" t="n">
        <v>0.5201145100609968</v>
      </c>
      <c r="I548" s="37" t="n">
        <v>0.8784157959492287</v>
      </c>
      <c r="J548" s="42" t="inlineStr">
        <is>
          <t>KALINA</t>
        </is>
      </c>
      <c r="K548" s="29" t="n">
        <v>10.46615874269381</v>
      </c>
      <c r="L548" s="35" t="n">
        <v>115.8337614312896</v>
      </c>
      <c r="M548" s="36" t="n">
        <v>3786.067568232236</v>
      </c>
      <c r="N548" s="29" t="n">
        <v>4.703572745225522</v>
      </c>
      <c r="O548" s="16" t="inlineStr">
        <is>
          <t>sí</t>
        </is>
      </c>
      <c r="P548" s="16" t="n"/>
    </row>
    <row r="549">
      <c r="A549" s="16" t="inlineStr">
        <is>
          <t>KF-M07-A5-0067</t>
        </is>
      </c>
      <c r="B549" s="35" t="n">
        <v>302.58136184317</v>
      </c>
      <c r="C549" s="36" t="n">
        <v>5000</v>
      </c>
      <c r="D549" s="35" t="n">
        <v>1022.274389807265</v>
      </c>
      <c r="E549" s="37" t="n">
        <v>0.9224916747106672</v>
      </c>
      <c r="F549" s="37" t="n">
        <v>0.5760658994683791</v>
      </c>
      <c r="G549" s="37" t="n">
        <v>0.4623021552349206</v>
      </c>
      <c r="H549" s="37" t="n">
        <v>0.5201145100609968</v>
      </c>
      <c r="I549" s="37" t="n">
        <v>0.8784157959492287</v>
      </c>
      <c r="J549" s="39" t="inlineStr">
        <is>
          <t>Corregible</t>
        </is>
      </c>
      <c r="K549" s="29" t="n">
        <v>10.72668516031787</v>
      </c>
      <c r="L549" s="35" t="n">
        <v>117.991522272226</v>
      </c>
      <c r="M549" s="36" t="n">
        <v>3977.725610192736</v>
      </c>
      <c r="N549" s="29" t="n">
        <v>4.891054740149246</v>
      </c>
      <c r="O549" s="16" t="inlineStr">
        <is>
          <t>sí</t>
        </is>
      </c>
      <c r="P549" s="16" t="inlineStr">
        <is>
          <t>O1</t>
        </is>
      </c>
    </row>
    <row r="550">
      <c r="A550" s="16" t="inlineStr">
        <is>
          <t>KF-M07-A5-0068</t>
        </is>
      </c>
      <c r="B550" s="35" t="n">
        <v>302.58136184317</v>
      </c>
      <c r="C550" s="36" t="n">
        <v>4508.3419580395</v>
      </c>
      <c r="D550" s="35" t="n">
        <v>1022.274389807265</v>
      </c>
      <c r="E550" s="37" t="n">
        <v>0.9224916747106672</v>
      </c>
      <c r="F550" s="37" t="n">
        <v>0.5760658994683791</v>
      </c>
      <c r="G550" s="37" t="n">
        <v>0.4623021552349206</v>
      </c>
      <c r="H550" s="37" t="n">
        <v>0.5201145100609968</v>
      </c>
      <c r="I550" s="37" t="n">
        <v>0.8784157959492287</v>
      </c>
      <c r="J550" s="42" t="inlineStr">
        <is>
          <t>KALINA</t>
        </is>
      </c>
      <c r="K550" s="29" t="n">
        <v>10.25491306354014</v>
      </c>
      <c r="L550" s="35" t="n">
        <v>113.6192743541506</v>
      </c>
      <c r="M550" s="36" t="n">
        <v>3486.067568232236</v>
      </c>
      <c r="N550" s="29" t="n">
        <v>4.410109460816567</v>
      </c>
      <c r="O550" s="16" t="inlineStr">
        <is>
          <t>sí</t>
        </is>
      </c>
      <c r="P550" s="16" t="n"/>
    </row>
    <row r="551">
      <c r="A551" s="16" t="inlineStr">
        <is>
          <t>KF-M07-A5-0069</t>
        </is>
      </c>
      <c r="B551" s="35" t="n">
        <v>302.58136184317</v>
      </c>
      <c r="C551" s="36" t="n">
        <v>4808.3419580395</v>
      </c>
      <c r="D551" s="35" t="n">
        <v>1242.274389807264</v>
      </c>
      <c r="E551" s="37" t="n">
        <v>0.9224916747106672</v>
      </c>
      <c r="F551" s="37" t="n">
        <v>0.5760658994683791</v>
      </c>
      <c r="G551" s="37" t="n">
        <v>0.4623021552349206</v>
      </c>
      <c r="H551" s="37" t="n">
        <v>0.5201145100609968</v>
      </c>
      <c r="I551" s="37" t="n">
        <v>0.8784157959492287</v>
      </c>
      <c r="J551" s="42" t="inlineStr">
        <is>
          <t>KALINA</t>
        </is>
      </c>
      <c r="K551" s="29" t="n">
        <v>9.275410141165599</v>
      </c>
      <c r="L551" s="35" t="n">
        <v>102.2675292569687</v>
      </c>
      <c r="M551" s="36" t="n">
        <v>3566.067568232236</v>
      </c>
      <c r="N551" s="29" t="n">
        <v>3.870595737537101</v>
      </c>
      <c r="O551" s="16" t="inlineStr">
        <is>
          <t>sí</t>
        </is>
      </c>
      <c r="P551" s="16" t="n"/>
    </row>
    <row r="552">
      <c r="A552" s="16" t="inlineStr">
        <is>
          <t>KF-M07-A5-0070</t>
        </is>
      </c>
      <c r="B552" s="35" t="n">
        <v>302.58136184317</v>
      </c>
      <c r="C552" s="36" t="n">
        <v>4808.3419580395</v>
      </c>
      <c r="D552" s="35" t="n">
        <v>802.2743898072646</v>
      </c>
      <c r="E552" s="37" t="n">
        <v>0.9224916747106672</v>
      </c>
      <c r="F552" s="37" t="n">
        <v>0.5760658994683791</v>
      </c>
      <c r="G552" s="37" t="n">
        <v>0.4623021552349206</v>
      </c>
      <c r="H552" s="37" t="n">
        <v>0.5201145100609968</v>
      </c>
      <c r="I552" s="37" t="n">
        <v>0.8784157959492287</v>
      </c>
      <c r="J552" s="39" t="inlineStr">
        <is>
          <t>Corregible</t>
        </is>
      </c>
      <c r="K552" s="29" t="n">
        <v>12.10273680719303</v>
      </c>
      <c r="L552" s="35" t="n">
        <v>133.5767496784944</v>
      </c>
      <c r="M552" s="36" t="n">
        <v>4006.067568232236</v>
      </c>
      <c r="N552" s="29" t="n">
        <v>5.993388320914293</v>
      </c>
      <c r="O552" s="16" t="inlineStr">
        <is>
          <t>sí</t>
        </is>
      </c>
      <c r="P552" s="16" t="inlineStr">
        <is>
          <t>O1,O2</t>
        </is>
      </c>
    </row>
    <row r="553">
      <c r="A553" s="16" t="inlineStr">
        <is>
          <t>KF-M07-A5-0071</t>
        </is>
      </c>
      <c r="B553" s="35" t="n">
        <v>302.58136184317</v>
      </c>
      <c r="C553" s="36" t="n">
        <v>4808.3419580395</v>
      </c>
      <c r="D553" s="35" t="n">
        <v>1022.274389807265</v>
      </c>
      <c r="E553" s="37" t="n">
        <v>0.95</v>
      </c>
      <c r="F553" s="37" t="n">
        <v>0.5760658994683791</v>
      </c>
      <c r="G553" s="37" t="n">
        <v>0.4623021552349206</v>
      </c>
      <c r="H553" s="37" t="n">
        <v>0.5201145100609968</v>
      </c>
      <c r="I553" s="37" t="n">
        <v>0.8784157959492287</v>
      </c>
      <c r="J553" s="39" t="inlineStr">
        <is>
          <t>Corregible</t>
        </is>
      </c>
      <c r="K553" s="29" t="n">
        <v>10.88745455640483</v>
      </c>
      <c r="L553" s="35" t="n">
        <v>120.1151794297793</v>
      </c>
      <c r="M553" s="36" t="n">
        <v>3786.067568232236</v>
      </c>
      <c r="N553" s="29" t="n">
        <v>4.703572745225522</v>
      </c>
      <c r="O553" s="16" t="inlineStr">
        <is>
          <t>sí</t>
        </is>
      </c>
      <c r="P553" s="16" t="inlineStr">
        <is>
          <t>O1</t>
        </is>
      </c>
    </row>
    <row r="554">
      <c r="A554" s="16" t="inlineStr">
        <is>
          <t>KF-M07-A5-0072</t>
        </is>
      </c>
      <c r="B554" s="35" t="n">
        <v>302.58136184317</v>
      </c>
      <c r="C554" s="36" t="n">
        <v>4808.3419580395</v>
      </c>
      <c r="D554" s="35" t="n">
        <v>1022.274389807265</v>
      </c>
      <c r="E554" s="37" t="n">
        <v>0.8674916747106671</v>
      </c>
      <c r="F554" s="37" t="n">
        <v>0.5760658994683791</v>
      </c>
      <c r="G554" s="37" t="n">
        <v>0.4623021552349206</v>
      </c>
      <c r="H554" s="37" t="n">
        <v>0.5201145100609968</v>
      </c>
      <c r="I554" s="37" t="n">
        <v>0.8784157959492287</v>
      </c>
      <c r="J554" s="42" t="inlineStr">
        <is>
          <t>KALINA</t>
        </is>
      </c>
      <c r="K554" s="29" t="n">
        <v>9.8873404357174</v>
      </c>
      <c r="L554" s="35" t="n">
        <v>109.0339310170368</v>
      </c>
      <c r="M554" s="36" t="n">
        <v>3786.067568232236</v>
      </c>
      <c r="N554" s="29" t="n">
        <v>4.703572745225522</v>
      </c>
      <c r="O554" s="16" t="inlineStr">
        <is>
          <t>sí</t>
        </is>
      </c>
      <c r="P554" s="16" t="n"/>
    </row>
    <row r="555">
      <c r="A555" s="16" t="inlineStr">
        <is>
          <t>KF-M07-A5-0073</t>
        </is>
      </c>
      <c r="B555" s="35" t="n">
        <v>302.58136184317</v>
      </c>
      <c r="C555" s="36" t="n">
        <v>4808.3419580395</v>
      </c>
      <c r="D555" s="35" t="n">
        <v>1022.274389807265</v>
      </c>
      <c r="E555" s="37" t="n">
        <v>0.9224916747106672</v>
      </c>
      <c r="F555" s="37" t="n">
        <v>0.6310658994683791</v>
      </c>
      <c r="G555" s="37" t="n">
        <v>0.4623021552349206</v>
      </c>
      <c r="H555" s="37" t="n">
        <v>0.5201145100609968</v>
      </c>
      <c r="I555" s="37" t="n">
        <v>0.8784157959492287</v>
      </c>
      <c r="J555" s="42" t="inlineStr">
        <is>
          <t>KALINA</t>
        </is>
      </c>
      <c r="K555" s="29" t="n">
        <v>10.61356587528504</v>
      </c>
      <c r="L555" s="35" t="n">
        <v>117.1036920011706</v>
      </c>
      <c r="M555" s="36" t="n">
        <v>3786.067568232236</v>
      </c>
      <c r="N555" s="29" t="n">
        <v>4.703572745225522</v>
      </c>
      <c r="O555" s="16" t="inlineStr">
        <is>
          <t>sí</t>
        </is>
      </c>
      <c r="P555" s="16" t="n"/>
    </row>
    <row r="556">
      <c r="A556" s="16" t="inlineStr">
        <is>
          <t>KF-M07-A5-0074</t>
        </is>
      </c>
      <c r="B556" s="35" t="n">
        <v>302.58136184317</v>
      </c>
      <c r="C556" s="36" t="n">
        <v>4808.3419580395</v>
      </c>
      <c r="D556" s="35" t="n">
        <v>1022.274389807265</v>
      </c>
      <c r="E556" s="37" t="n">
        <v>0.9224916747106672</v>
      </c>
      <c r="F556" s="37" t="n">
        <v>0.521065899468379</v>
      </c>
      <c r="G556" s="37" t="n">
        <v>0.4623021552349206</v>
      </c>
      <c r="H556" s="37" t="n">
        <v>0.5201145100609968</v>
      </c>
      <c r="I556" s="37" t="n">
        <v>0.8784157959492287</v>
      </c>
      <c r="J556" s="42" t="inlineStr">
        <is>
          <t>KALINA</t>
        </is>
      </c>
      <c r="K556" s="29" t="n">
        <v>10.48238767787894</v>
      </c>
      <c r="L556" s="35" t="n">
        <v>115.5969854084867</v>
      </c>
      <c r="M556" s="36" t="n">
        <v>3786.067568232236</v>
      </c>
      <c r="N556" s="29" t="n">
        <v>4.703572745225522</v>
      </c>
      <c r="O556" s="16" t="inlineStr">
        <is>
          <t>sí</t>
        </is>
      </c>
      <c r="P556" s="16" t="n"/>
    </row>
    <row r="557">
      <c r="A557" s="16" t="inlineStr">
        <is>
          <t>KF-M07-A5-0075</t>
        </is>
      </c>
      <c r="B557" s="35" t="n">
        <v>302.58136184317</v>
      </c>
      <c r="C557" s="36" t="n">
        <v>4808.3419580395</v>
      </c>
      <c r="D557" s="35" t="n">
        <v>1022.274389807265</v>
      </c>
      <c r="E557" s="37" t="n">
        <v>0.9224916747106672</v>
      </c>
      <c r="F557" s="37" t="n">
        <v>0.5760658994683791</v>
      </c>
      <c r="G557" s="37" t="n">
        <v>0.5173021552349206</v>
      </c>
      <c r="H557" s="37" t="n">
        <v>0.5201145100609968</v>
      </c>
      <c r="I557" s="37" t="n">
        <v>0.8784157959492287</v>
      </c>
      <c r="J557" s="39" t="inlineStr">
        <is>
          <t>Corregible</t>
        </is>
      </c>
      <c r="K557" s="29" t="n">
        <v>10.91549995562785</v>
      </c>
      <c r="L557" s="35" t="n">
        <v>135.022035760822</v>
      </c>
      <c r="M557" s="36" t="n">
        <v>3786.067568232236</v>
      </c>
      <c r="N557" s="29" t="n">
        <v>4.703572745225522</v>
      </c>
      <c r="O557" s="16" t="inlineStr">
        <is>
          <t>sí</t>
        </is>
      </c>
      <c r="P557" s="16" t="inlineStr">
        <is>
          <t>O1</t>
        </is>
      </c>
    </row>
    <row r="558">
      <c r="A558" s="16" t="inlineStr">
        <is>
          <t>KF-M07-A5-0076</t>
        </is>
      </c>
      <c r="B558" s="35" t="n">
        <v>302.58136184317</v>
      </c>
      <c r="C558" s="36" t="n">
        <v>4808.3419580395</v>
      </c>
      <c r="D558" s="35" t="n">
        <v>1022.274389807265</v>
      </c>
      <c r="E558" s="37" t="n">
        <v>0.9224916747106672</v>
      </c>
      <c r="F558" s="37" t="n">
        <v>0.5760658994683791</v>
      </c>
      <c r="G558" s="37" t="n">
        <v>0.4073021552349206</v>
      </c>
      <c r="H558" s="37" t="n">
        <v>0.5201145100609968</v>
      </c>
      <c r="I558" s="37" t="n">
        <v>0.8784157959492287</v>
      </c>
      <c r="J558" s="42" t="inlineStr">
        <is>
          <t>KALINA</t>
        </is>
      </c>
      <c r="K558" s="29" t="n">
        <v>10.08984024079818</v>
      </c>
      <c r="L558" s="35" t="n">
        <v>97.9136002877612</v>
      </c>
      <c r="M558" s="36" t="n">
        <v>3786.067568232236</v>
      </c>
      <c r="N558" s="29" t="n">
        <v>4.703572745225522</v>
      </c>
      <c r="O558" s="16" t="inlineStr">
        <is>
          <t>sí</t>
        </is>
      </c>
      <c r="P558" s="16" t="n"/>
    </row>
    <row r="559">
      <c r="A559" s="16" t="inlineStr">
        <is>
          <t>KF-M07-A5-0077</t>
        </is>
      </c>
      <c r="B559" s="35" t="n">
        <v>302.58136184317</v>
      </c>
      <c r="C559" s="36" t="n">
        <v>4808.3419580395</v>
      </c>
      <c r="D559" s="35" t="n">
        <v>1022.274389807265</v>
      </c>
      <c r="E559" s="37" t="n">
        <v>0.9224916747106672</v>
      </c>
      <c r="F559" s="37" t="n">
        <v>0.5760658994683791</v>
      </c>
      <c r="G559" s="37" t="n">
        <v>0.4623021552349206</v>
      </c>
      <c r="H559" s="37" t="n">
        <v>0.5751145100609969</v>
      </c>
      <c r="I559" s="37" t="n">
        <v>0.8784157959492287</v>
      </c>
      <c r="J559" s="42" t="inlineStr">
        <is>
          <t>KALINA</t>
        </is>
      </c>
      <c r="K559" s="29" t="n">
        <v>10.73374388365607</v>
      </c>
      <c r="L559" s="35" t="n">
        <v>117.6305348053192</v>
      </c>
      <c r="M559" s="36" t="n">
        <v>3786.067568232236</v>
      </c>
      <c r="N559" s="29" t="n">
        <v>4.703572745225522</v>
      </c>
      <c r="O559" s="16" t="inlineStr">
        <is>
          <t>sí</t>
        </is>
      </c>
      <c r="P559" s="16" t="n"/>
    </row>
    <row r="560">
      <c r="A560" s="16" t="inlineStr">
        <is>
          <t>KF-M07-A5-0078</t>
        </is>
      </c>
      <c r="B560" s="35" t="n">
        <v>302.58136184317</v>
      </c>
      <c r="C560" s="36" t="n">
        <v>4808.3419580395</v>
      </c>
      <c r="D560" s="35" t="n">
        <v>1022.274389807265</v>
      </c>
      <c r="E560" s="37" t="n">
        <v>0.9224916747106672</v>
      </c>
      <c r="F560" s="37" t="n">
        <v>0.5760658994683791</v>
      </c>
      <c r="G560" s="37" t="n">
        <v>0.4623021552349206</v>
      </c>
      <c r="H560" s="37" t="n">
        <v>0.4651145100609968</v>
      </c>
      <c r="I560" s="37" t="n">
        <v>0.8784157959492287</v>
      </c>
      <c r="J560" s="42" t="inlineStr">
        <is>
          <t>KALINA</t>
        </is>
      </c>
      <c r="K560" s="29" t="n">
        <v>10.37529860248645</v>
      </c>
      <c r="L560" s="35" t="n">
        <v>115.2019415921935</v>
      </c>
      <c r="M560" s="36" t="n">
        <v>3786.067568232236</v>
      </c>
      <c r="N560" s="29" t="n">
        <v>4.703572745225522</v>
      </c>
      <c r="O560" s="16" t="inlineStr">
        <is>
          <t>sí</t>
        </is>
      </c>
      <c r="P560" s="16" t="n"/>
    </row>
    <row r="561">
      <c r="A561" s="16" t="inlineStr">
        <is>
          <t>KF-M07-A5-0079</t>
        </is>
      </c>
      <c r="B561" s="35" t="n">
        <v>302.58136184317</v>
      </c>
      <c r="C561" s="36" t="n">
        <v>4808.3419580395</v>
      </c>
      <c r="D561" s="35" t="n">
        <v>1022.274389807265</v>
      </c>
      <c r="E561" s="37" t="n">
        <v>0.9224916747106672</v>
      </c>
      <c r="F561" s="37" t="n">
        <v>0.5760658994683791</v>
      </c>
      <c r="G561" s="37" t="n">
        <v>0.4623021552349206</v>
      </c>
      <c r="H561" s="37" t="n">
        <v>0.5201145100609968</v>
      </c>
      <c r="I561" s="37" t="n">
        <v>0.9334157959492286</v>
      </c>
      <c r="J561" s="42" t="inlineStr">
        <is>
          <t>KALINA</t>
        </is>
      </c>
      <c r="K561" s="29" t="n">
        <v>10.05776558407294</v>
      </c>
      <c r="L561" s="35" t="n">
        <v>113.0534817003707</v>
      </c>
      <c r="M561" s="36" t="n">
        <v>3786.067568232236</v>
      </c>
      <c r="N561" s="29" t="n">
        <v>4.703572745225522</v>
      </c>
      <c r="O561" s="16" t="inlineStr">
        <is>
          <t>sí</t>
        </is>
      </c>
      <c r="P561" s="16" t="n"/>
    </row>
    <row r="562">
      <c r="A562" s="16" t="inlineStr">
        <is>
          <t>KF-M07-A5-0080</t>
        </is>
      </c>
      <c r="B562" s="35" t="n">
        <v>302.58136184317</v>
      </c>
      <c r="C562" s="36" t="n">
        <v>4808.3419580395</v>
      </c>
      <c r="D562" s="35" t="n">
        <v>1022.274389807265</v>
      </c>
      <c r="E562" s="37" t="n">
        <v>0.9224916747106672</v>
      </c>
      <c r="F562" s="37" t="n">
        <v>0.5760658994683791</v>
      </c>
      <c r="G562" s="37" t="n">
        <v>0.4623021552349206</v>
      </c>
      <c r="H562" s="37" t="n">
        <v>0.5201145100609968</v>
      </c>
      <c r="I562" s="37" t="n">
        <v>0.8234157959492288</v>
      </c>
      <c r="J562" s="39" t="inlineStr">
        <is>
          <t>Corregible</t>
        </is>
      </c>
      <c r="K562" s="29" t="n">
        <v>11.04609704145114</v>
      </c>
      <c r="L562" s="35" t="n">
        <v>119.2797451112517</v>
      </c>
      <c r="M562" s="36" t="n">
        <v>3786.067568232236</v>
      </c>
      <c r="N562" s="29" t="n">
        <v>4.703572745225522</v>
      </c>
      <c r="O562" s="16" t="inlineStr">
        <is>
          <t>sí</t>
        </is>
      </c>
      <c r="P562" s="16" t="inlineStr">
        <is>
          <t>O2</t>
        </is>
      </c>
    </row>
    <row r="563">
      <c r="A563" s="16" t="inlineStr">
        <is>
          <t>KF-M07-A5-0081</t>
        </is>
      </c>
      <c r="B563" s="35" t="n">
        <v>303.55</v>
      </c>
      <c r="C563" s="36" t="n">
        <v>4808.3419580395</v>
      </c>
      <c r="D563" s="35" t="n">
        <v>1022.274389807265</v>
      </c>
      <c r="E563" s="37" t="n">
        <v>0.9224916747106672</v>
      </c>
      <c r="F563" s="37" t="n">
        <v>0.5760658994683791</v>
      </c>
      <c r="G563" s="37" t="n">
        <v>0.4623021552349206</v>
      </c>
      <c r="H563" s="37" t="n">
        <v>0.5751145100609969</v>
      </c>
      <c r="I563" s="37" t="n">
        <v>0.8784157959492287</v>
      </c>
      <c r="J563" s="42" t="inlineStr">
        <is>
          <t>KALINA</t>
        </is>
      </c>
      <c r="K563" s="29" t="n">
        <v>10.76678831768187</v>
      </c>
      <c r="L563" s="35" t="n">
        <v>117.8472808458402</v>
      </c>
      <c r="M563" s="36" t="n">
        <v>3786.067568232236</v>
      </c>
      <c r="N563" s="29" t="n">
        <v>4.703572745225522</v>
      </c>
      <c r="O563" s="16" t="inlineStr">
        <is>
          <t>sí</t>
        </is>
      </c>
      <c r="P563" s="16" t="n"/>
    </row>
    <row r="564">
      <c r="A564" s="16" t="inlineStr">
        <is>
          <t>KF-M07-A5-0082</t>
        </is>
      </c>
      <c r="B564" s="35" t="n">
        <v>300.0413618431699</v>
      </c>
      <c r="C564" s="36" t="n">
        <v>4808.3419580395</v>
      </c>
      <c r="D564" s="35" t="n">
        <v>1022.274389807265</v>
      </c>
      <c r="E564" s="37" t="n">
        <v>0.9224916747106672</v>
      </c>
      <c r="F564" s="37" t="n">
        <v>0.5760658994683791</v>
      </c>
      <c r="G564" s="37" t="n">
        <v>0.4623021552349206</v>
      </c>
      <c r="H564" s="37" t="n">
        <v>0.5751145100609969</v>
      </c>
      <c r="I564" s="37" t="n">
        <v>0.8784157959492287</v>
      </c>
      <c r="J564" s="42" t="inlineStr">
        <is>
          <t>KALINA</t>
        </is>
      </c>
      <c r="K564" s="29" t="n">
        <v>10.64778293406377</v>
      </c>
      <c r="L564" s="35" t="n">
        <v>117.0641664306488</v>
      </c>
      <c r="M564" s="36" t="n">
        <v>3786.067568232236</v>
      </c>
      <c r="N564" s="29" t="n">
        <v>4.703572745225522</v>
      </c>
      <c r="O564" s="16" t="inlineStr">
        <is>
          <t>sí</t>
        </is>
      </c>
      <c r="P564" s="16" t="n"/>
    </row>
    <row r="565">
      <c r="A565" s="16" t="inlineStr">
        <is>
          <t>KF-M07-A5-0083</t>
        </is>
      </c>
      <c r="B565" s="35" t="n">
        <v>302.58136184317</v>
      </c>
      <c r="C565" s="36" t="n">
        <v>5000</v>
      </c>
      <c r="D565" s="35" t="n">
        <v>1022.274389807265</v>
      </c>
      <c r="E565" s="37" t="n">
        <v>0.9224916747106672</v>
      </c>
      <c r="F565" s="37" t="n">
        <v>0.5760658994683791</v>
      </c>
      <c r="G565" s="37" t="n">
        <v>0.4623021552349206</v>
      </c>
      <c r="H565" s="37" t="n">
        <v>0.5751145100609969</v>
      </c>
      <c r="I565" s="37" t="n">
        <v>0.8784157959492287</v>
      </c>
      <c r="J565" s="39" t="inlineStr">
        <is>
          <t>Corregible</t>
        </is>
      </c>
      <c r="K565" s="29" t="n">
        <v>10.91502029744059</v>
      </c>
      <c r="L565" s="35" t="n">
        <v>119.2622847604222</v>
      </c>
      <c r="M565" s="36" t="n">
        <v>3977.725610192736</v>
      </c>
      <c r="N565" s="29" t="n">
        <v>4.891054740149246</v>
      </c>
      <c r="O565" s="16" t="inlineStr">
        <is>
          <t>sí</t>
        </is>
      </c>
      <c r="P565" s="16" t="inlineStr">
        <is>
          <t>O1</t>
        </is>
      </c>
    </row>
    <row r="566">
      <c r="A566" s="16" t="inlineStr">
        <is>
          <t>KF-M07-A5-0084</t>
        </is>
      </c>
      <c r="B566" s="35" t="n">
        <v>302.58136184317</v>
      </c>
      <c r="C566" s="36" t="n">
        <v>4508.3419580395</v>
      </c>
      <c r="D566" s="35" t="n">
        <v>1022.274389807265</v>
      </c>
      <c r="E566" s="37" t="n">
        <v>0.9224916747106672</v>
      </c>
      <c r="F566" s="37" t="n">
        <v>0.5760658994683791</v>
      </c>
      <c r="G566" s="37" t="n">
        <v>0.4623021552349206</v>
      </c>
      <c r="H566" s="37" t="n">
        <v>0.5751145100609969</v>
      </c>
      <c r="I566" s="37" t="n">
        <v>0.8784157959492287</v>
      </c>
      <c r="J566" s="42" t="inlineStr">
        <is>
          <t>KALINA</t>
        </is>
      </c>
      <c r="K566" s="29" t="n">
        <v>10.42054763304371</v>
      </c>
      <c r="L566" s="35" t="n">
        <v>114.7301054376168</v>
      </c>
      <c r="M566" s="36" t="n">
        <v>3486.067568232236</v>
      </c>
      <c r="N566" s="29" t="n">
        <v>4.410109460816567</v>
      </c>
      <c r="O566" s="16" t="inlineStr">
        <is>
          <t>sí</t>
        </is>
      </c>
      <c r="P566" s="16" t="n"/>
    </row>
    <row r="567">
      <c r="A567" s="16" t="inlineStr">
        <is>
          <t>KF-M07-A5-0085</t>
        </is>
      </c>
      <c r="B567" s="35" t="n">
        <v>302.58136184317</v>
      </c>
      <c r="C567" s="36" t="n">
        <v>4808.3419580395</v>
      </c>
      <c r="D567" s="35" t="n">
        <v>1242.274389807264</v>
      </c>
      <c r="E567" s="37" t="n">
        <v>0.9224916747106672</v>
      </c>
      <c r="F567" s="37" t="n">
        <v>0.5760658994683791</v>
      </c>
      <c r="G567" s="37" t="n">
        <v>0.4623021552349206</v>
      </c>
      <c r="H567" s="37" t="n">
        <v>0.5751145100609969</v>
      </c>
      <c r="I567" s="37" t="n">
        <v>0.8784157959492287</v>
      </c>
      <c r="J567" s="42" t="inlineStr">
        <is>
          <t>KALINA</t>
        </is>
      </c>
      <c r="K567" s="29" t="n">
        <v>9.43330931079554</v>
      </c>
      <c r="L567" s="35" t="n">
        <v>103.3315347318638</v>
      </c>
      <c r="M567" s="36" t="n">
        <v>3566.067568232236</v>
      </c>
      <c r="N567" s="29" t="n">
        <v>3.870595737537101</v>
      </c>
      <c r="O567" s="16" t="inlineStr">
        <is>
          <t>sí</t>
        </is>
      </c>
      <c r="P567" s="16" t="n"/>
    </row>
    <row r="568">
      <c r="A568" s="16" t="inlineStr">
        <is>
          <t>KF-M07-A5-0086</t>
        </is>
      </c>
      <c r="B568" s="35" t="n">
        <v>302.58136184317</v>
      </c>
      <c r="C568" s="36" t="n">
        <v>4808.3419580395</v>
      </c>
      <c r="D568" s="35" t="n">
        <v>802.2743898072646</v>
      </c>
      <c r="E568" s="37" t="n">
        <v>0.9224916747106672</v>
      </c>
      <c r="F568" s="37" t="n">
        <v>0.5760658994683791</v>
      </c>
      <c r="G568" s="37" t="n">
        <v>0.4623021552349206</v>
      </c>
      <c r="H568" s="37" t="n">
        <v>0.5751145100609969</v>
      </c>
      <c r="I568" s="37" t="n">
        <v>0.8784157959492287</v>
      </c>
      <c r="J568" s="39" t="inlineStr">
        <is>
          <t>Corregible</t>
        </is>
      </c>
      <c r="K568" s="29" t="n">
        <v>12.30990097862588</v>
      </c>
      <c r="L568" s="35" t="n">
        <v>134.9771513219027</v>
      </c>
      <c r="M568" s="36" t="n">
        <v>4006.067568232236</v>
      </c>
      <c r="N568" s="29" t="n">
        <v>5.993388320914293</v>
      </c>
      <c r="O568" s="16" t="inlineStr">
        <is>
          <t>sí</t>
        </is>
      </c>
      <c r="P568" s="16" t="inlineStr">
        <is>
          <t>O1,O2</t>
        </is>
      </c>
    </row>
    <row r="569">
      <c r="A569" s="16" t="inlineStr">
        <is>
          <t>KF-M07-A5-0087</t>
        </is>
      </c>
      <c r="B569" s="35" t="n">
        <v>302.58136184317</v>
      </c>
      <c r="C569" s="36" t="n">
        <v>4808.3419580395</v>
      </c>
      <c r="D569" s="35" t="n">
        <v>1022.274389807265</v>
      </c>
      <c r="E569" s="37" t="n">
        <v>0.95</v>
      </c>
      <c r="F569" s="37" t="n">
        <v>0.5760658994683791</v>
      </c>
      <c r="G569" s="37" t="n">
        <v>0.4623021552349206</v>
      </c>
      <c r="H569" s="37" t="n">
        <v>0.5751145100609969</v>
      </c>
      <c r="I569" s="37" t="n">
        <v>0.8784157959492287</v>
      </c>
      <c r="J569" s="39" t="inlineStr">
        <is>
          <t>Corregible</t>
        </is>
      </c>
      <c r="K569" s="29" t="n">
        <v>11.07249369190287</v>
      </c>
      <c r="L569" s="35" t="n">
        <v>121.3601390540516</v>
      </c>
      <c r="M569" s="36" t="n">
        <v>3786.067568232236</v>
      </c>
      <c r="N569" s="29" t="n">
        <v>4.703572745225522</v>
      </c>
      <c r="O569" s="16" t="inlineStr">
        <is>
          <t>sí</t>
        </is>
      </c>
      <c r="P569" s="16" t="inlineStr">
        <is>
          <t>O1</t>
        </is>
      </c>
    </row>
    <row r="570">
      <c r="A570" s="16" t="inlineStr">
        <is>
          <t>KF-M07-A5-0088</t>
        </is>
      </c>
      <c r="B570" s="35" t="n">
        <v>302.58136184317</v>
      </c>
      <c r="C570" s="36" t="n">
        <v>4808.3419580395</v>
      </c>
      <c r="D570" s="35" t="n">
        <v>1022.274389807265</v>
      </c>
      <c r="E570" s="37" t="n">
        <v>0.8674916747106671</v>
      </c>
      <c r="F570" s="37" t="n">
        <v>0.5760658994683791</v>
      </c>
      <c r="G570" s="37" t="n">
        <v>0.4623021552349206</v>
      </c>
      <c r="H570" s="37" t="n">
        <v>0.5751145100609969</v>
      </c>
      <c r="I570" s="37" t="n">
        <v>0.8784157959492287</v>
      </c>
      <c r="J570" s="42" t="inlineStr">
        <is>
          <t>KALINA</t>
        </is>
      </c>
      <c r="K570" s="29" t="n">
        <v>10.05573913179167</v>
      </c>
      <c r="L570" s="35" t="n">
        <v>110.1689448292299</v>
      </c>
      <c r="M570" s="36" t="n">
        <v>3786.067568232236</v>
      </c>
      <c r="N570" s="29" t="n">
        <v>4.703572745225522</v>
      </c>
      <c r="O570" s="16" t="inlineStr">
        <is>
          <t>sí</t>
        </is>
      </c>
      <c r="P570" s="16" t="n"/>
    </row>
    <row r="571">
      <c r="A571" s="16" t="inlineStr">
        <is>
          <t>KF-M07-A5-0089</t>
        </is>
      </c>
      <c r="B571" s="35" t="n">
        <v>302.58136184317</v>
      </c>
      <c r="C571" s="36" t="n">
        <v>4808.3419580395</v>
      </c>
      <c r="D571" s="35" t="n">
        <v>1022.274389807265</v>
      </c>
      <c r="E571" s="37" t="n">
        <v>0.9224916747106672</v>
      </c>
      <c r="F571" s="37" t="n">
        <v>0.6310658994683791</v>
      </c>
      <c r="G571" s="37" t="n">
        <v>0.4623021552349206</v>
      </c>
      <c r="H571" s="37" t="n">
        <v>0.5751145100609969</v>
      </c>
      <c r="I571" s="37" t="n">
        <v>0.8784157959492287</v>
      </c>
      <c r="J571" s="42" t="inlineStr">
        <is>
          <t>KALINA</t>
        </is>
      </c>
      <c r="K571" s="29" t="n">
        <v>10.79361451309326</v>
      </c>
      <c r="L571" s="35" t="n">
        <v>118.3132807767193</v>
      </c>
      <c r="M571" s="36" t="n">
        <v>3786.067568232236</v>
      </c>
      <c r="N571" s="29" t="n">
        <v>4.703572745225522</v>
      </c>
      <c r="O571" s="16" t="inlineStr">
        <is>
          <t>sí</t>
        </is>
      </c>
      <c r="P571" s="16" t="n"/>
    </row>
    <row r="572">
      <c r="A572" s="16" t="inlineStr">
        <is>
          <t>KF-M07-A5-0090</t>
        </is>
      </c>
      <c r="B572" s="35" t="n">
        <v>302.58136184317</v>
      </c>
      <c r="C572" s="36" t="n">
        <v>4808.3419580395</v>
      </c>
      <c r="D572" s="35" t="n">
        <v>1022.274389807265</v>
      </c>
      <c r="E572" s="37" t="n">
        <v>0.9224916747106672</v>
      </c>
      <c r="F572" s="37" t="n">
        <v>0.521065899468379</v>
      </c>
      <c r="G572" s="37" t="n">
        <v>0.4623021552349206</v>
      </c>
      <c r="H572" s="37" t="n">
        <v>0.5751145100609969</v>
      </c>
      <c r="I572" s="37" t="n">
        <v>0.8784157959492287</v>
      </c>
      <c r="J572" s="42" t="inlineStr">
        <is>
          <t>KALINA</t>
        </is>
      </c>
      <c r="K572" s="29" t="n">
        <v>10.6611972306511</v>
      </c>
      <c r="L572" s="35" t="n">
        <v>116.8036392000708</v>
      </c>
      <c r="M572" s="36" t="n">
        <v>3786.067568232236</v>
      </c>
      <c r="N572" s="29" t="n">
        <v>4.703572745225522</v>
      </c>
      <c r="O572" s="16" t="inlineStr">
        <is>
          <t>sí</t>
        </is>
      </c>
      <c r="P572" s="16" t="n"/>
    </row>
    <row r="573">
      <c r="A573" s="16" t="inlineStr">
        <is>
          <t>KF-M07-A5-0091</t>
        </is>
      </c>
      <c r="B573" s="35" t="n">
        <v>302.58136184317</v>
      </c>
      <c r="C573" s="36" t="n">
        <v>4808.3419580395</v>
      </c>
      <c r="D573" s="35" t="n">
        <v>1022.274389807265</v>
      </c>
      <c r="E573" s="37" t="n">
        <v>0.9224916747106672</v>
      </c>
      <c r="F573" s="37" t="n">
        <v>0.5760658994683791</v>
      </c>
      <c r="G573" s="37" t="n">
        <v>0.5173021552349206</v>
      </c>
      <c r="H573" s="37" t="n">
        <v>0.5751145100609969</v>
      </c>
      <c r="I573" s="37" t="n">
        <v>0.8784157959492287</v>
      </c>
      <c r="J573" s="39" t="inlineStr">
        <is>
          <t>Corregible</t>
        </is>
      </c>
      <c r="K573" s="29" t="n">
        <v>11.05435711398752</v>
      </c>
      <c r="L573" s="35" t="n">
        <v>135.9695779907346</v>
      </c>
      <c r="M573" s="36" t="n">
        <v>3786.067568232236</v>
      </c>
      <c r="N573" s="29" t="n">
        <v>4.703572745225522</v>
      </c>
      <c r="O573" s="16" t="inlineStr">
        <is>
          <t>sí</t>
        </is>
      </c>
      <c r="P573" s="16" t="inlineStr">
        <is>
          <t>O1</t>
        </is>
      </c>
    </row>
    <row r="574">
      <c r="A574" s="16" t="inlineStr">
        <is>
          <t>KF-M07-A5-0092</t>
        </is>
      </c>
      <c r="B574" s="35" t="n">
        <v>302.58136184317</v>
      </c>
      <c r="C574" s="36" t="n">
        <v>4808.3419580395</v>
      </c>
      <c r="D574" s="35" t="n">
        <v>1022.274389807265</v>
      </c>
      <c r="E574" s="37" t="n">
        <v>0.9224916747106672</v>
      </c>
      <c r="F574" s="37" t="n">
        <v>0.5760658994683791</v>
      </c>
      <c r="G574" s="37" t="n">
        <v>0.4073021552349206</v>
      </c>
      <c r="H574" s="37" t="n">
        <v>0.5751145100609969</v>
      </c>
      <c r="I574" s="37" t="n">
        <v>0.8784157959492287</v>
      </c>
      <c r="J574" s="42" t="inlineStr">
        <is>
          <t>KALINA</t>
        </is>
      </c>
      <c r="K574" s="29" t="n">
        <v>10.31955207194941</v>
      </c>
      <c r="L574" s="35" t="n">
        <v>99.40499421320597</v>
      </c>
      <c r="M574" s="36" t="n">
        <v>3786.067568232236</v>
      </c>
      <c r="N574" s="29" t="n">
        <v>4.703572745225522</v>
      </c>
      <c r="O574" s="16" t="inlineStr">
        <is>
          <t>sí</t>
        </is>
      </c>
      <c r="P574" s="16" t="n"/>
    </row>
    <row r="575">
      <c r="A575" s="16" t="inlineStr">
        <is>
          <t>KF-M07-A5-0093</t>
        </is>
      </c>
      <c r="B575" s="35" t="n">
        <v>302.58136184317</v>
      </c>
      <c r="C575" s="36" t="n">
        <v>4808.3419580395</v>
      </c>
      <c r="D575" s="35" t="n">
        <v>1022.274389807265</v>
      </c>
      <c r="E575" s="37" t="n">
        <v>0.9224916747106672</v>
      </c>
      <c r="F575" s="37" t="n">
        <v>0.5760658994683791</v>
      </c>
      <c r="G575" s="37" t="n">
        <v>0.4623021552349206</v>
      </c>
      <c r="H575" s="37" t="n">
        <v>0.6301145100609968</v>
      </c>
      <c r="I575" s="37" t="n">
        <v>0.8784157959492287</v>
      </c>
      <c r="J575" s="42" t="inlineStr">
        <is>
          <t>KALINA</t>
        </is>
      </c>
      <c r="K575" s="29" t="n">
        <v>10.9137155760239</v>
      </c>
      <c r="L575" s="35" t="n">
        <v>118.8265889675895</v>
      </c>
      <c r="M575" s="36" t="n">
        <v>3786.067568232236</v>
      </c>
      <c r="N575" s="29" t="n">
        <v>4.703572745225522</v>
      </c>
      <c r="O575" s="16" t="inlineStr">
        <is>
          <t>sí</t>
        </is>
      </c>
      <c r="P575" s="16" t="n"/>
    </row>
    <row r="576">
      <c r="A576" s="16" t="inlineStr">
        <is>
          <t>KF-M07-A5-0094</t>
        </is>
      </c>
      <c r="B576" s="35" t="n">
        <v>302.58136184317</v>
      </c>
      <c r="C576" s="36" t="n">
        <v>4808.3419580395</v>
      </c>
      <c r="D576" s="35" t="n">
        <v>1022.274389807265</v>
      </c>
      <c r="E576" s="37" t="n">
        <v>0.9224916747106672</v>
      </c>
      <c r="F576" s="37" t="n">
        <v>0.5760658994683791</v>
      </c>
      <c r="G576" s="37" t="n">
        <v>0.4623021552349206</v>
      </c>
      <c r="H576" s="37" t="n">
        <v>0.5201145100609968</v>
      </c>
      <c r="I576" s="37" t="n">
        <v>0.8784157959492287</v>
      </c>
      <c r="J576" s="42" t="inlineStr">
        <is>
          <t>KALINA</t>
        </is>
      </c>
      <c r="K576" s="29" t="n">
        <v>10.55425600687045</v>
      </c>
      <c r="L576" s="35" t="n">
        <v>116.422273350076</v>
      </c>
      <c r="M576" s="36" t="n">
        <v>3786.067568232236</v>
      </c>
      <c r="N576" s="29" t="n">
        <v>4.703572745225522</v>
      </c>
      <c r="O576" s="16" t="inlineStr">
        <is>
          <t>sí</t>
        </is>
      </c>
      <c r="P576" s="16" t="n"/>
    </row>
    <row r="577">
      <c r="A577" s="16" t="inlineStr">
        <is>
          <t>KF-M07-A5-0095</t>
        </is>
      </c>
      <c r="B577" s="35" t="n">
        <v>302.58136184317</v>
      </c>
      <c r="C577" s="36" t="n">
        <v>4808.3419580395</v>
      </c>
      <c r="D577" s="35" t="n">
        <v>1022.274389807265</v>
      </c>
      <c r="E577" s="37" t="n">
        <v>0.9224916747106672</v>
      </c>
      <c r="F577" s="37" t="n">
        <v>0.5760658994683791</v>
      </c>
      <c r="G577" s="37" t="n">
        <v>0.4623021552349206</v>
      </c>
      <c r="H577" s="37" t="n">
        <v>0.5751145100609969</v>
      </c>
      <c r="I577" s="37" t="n">
        <v>0.9334157959492286</v>
      </c>
      <c r="J577" s="42" t="inlineStr">
        <is>
          <t>KALINA</t>
        </is>
      </c>
      <c r="K577" s="29" t="n">
        <v>10.25381582184081</v>
      </c>
      <c r="L577" s="35" t="n">
        <v>114.4208011100503</v>
      </c>
      <c r="M577" s="36" t="n">
        <v>3786.067568232236</v>
      </c>
      <c r="N577" s="29" t="n">
        <v>4.703572745225522</v>
      </c>
      <c r="O577" s="16" t="inlineStr">
        <is>
          <t>sí</t>
        </is>
      </c>
      <c r="P577" s="16" t="n"/>
    </row>
    <row r="578">
      <c r="A578" s="16" t="inlineStr">
        <is>
          <t>KF-M07-A5-0096</t>
        </is>
      </c>
      <c r="B578" s="35" t="n">
        <v>302.58136184317</v>
      </c>
      <c r="C578" s="36" t="n">
        <v>4808.3419580395</v>
      </c>
      <c r="D578" s="35" t="n">
        <v>1022.274389807265</v>
      </c>
      <c r="E578" s="37" t="n">
        <v>0.9224916747106672</v>
      </c>
      <c r="F578" s="37" t="n">
        <v>0.5760658994683791</v>
      </c>
      <c r="G578" s="37" t="n">
        <v>0.4623021552349206</v>
      </c>
      <c r="H578" s="37" t="n">
        <v>0.5751145100609969</v>
      </c>
      <c r="I578" s="37" t="n">
        <v>0.8234157959492288</v>
      </c>
      <c r="J578" s="39" t="inlineStr">
        <is>
          <t>Corregible</t>
        </is>
      </c>
      <c r="K578" s="29" t="n">
        <v>11.21201281853252</v>
      </c>
      <c r="L578" s="35" t="n">
        <v>120.379218414657</v>
      </c>
      <c r="M578" s="36" t="n">
        <v>3786.067568232236</v>
      </c>
      <c r="N578" s="29" t="n">
        <v>4.703572745225522</v>
      </c>
      <c r="O578" s="16" t="inlineStr">
        <is>
          <t>sí</t>
        </is>
      </c>
      <c r="P578" s="16" t="inlineStr">
        <is>
          <t>O2</t>
        </is>
      </c>
    </row>
    <row r="579">
      <c r="A579" s="16" t="inlineStr">
        <is>
          <t>KF-M07-A5-0097</t>
        </is>
      </c>
      <c r="B579" s="35" t="n">
        <v>303.55</v>
      </c>
      <c r="C579" s="36" t="n">
        <v>4808.3419580395</v>
      </c>
      <c r="D579" s="35" t="n">
        <v>1022.274389807265</v>
      </c>
      <c r="E579" s="37" t="n">
        <v>0.9224916747106672</v>
      </c>
      <c r="F579" s="37" t="n">
        <v>0.5760658994683791</v>
      </c>
      <c r="G579" s="37" t="n">
        <v>0.4623021552349206</v>
      </c>
      <c r="H579" s="37" t="n">
        <v>0.6301145100609968</v>
      </c>
      <c r="I579" s="37" t="n">
        <v>0.8784157959492287</v>
      </c>
      <c r="J579" s="42" t="inlineStr">
        <is>
          <t>KALINA</t>
        </is>
      </c>
      <c r="K579" s="29" t="n">
        <v>10.94594037673284</v>
      </c>
      <c r="L579" s="35" t="n">
        <v>119.0350907889633</v>
      </c>
      <c r="M579" s="36" t="n">
        <v>3786.067568232236</v>
      </c>
      <c r="N579" s="29" t="n">
        <v>4.703572745225522</v>
      </c>
      <c r="O579" s="16" t="inlineStr">
        <is>
          <t>sí</t>
        </is>
      </c>
      <c r="P579" s="16" t="n"/>
    </row>
    <row r="580">
      <c r="A580" s="16" t="inlineStr">
        <is>
          <t>KF-M07-A5-0098</t>
        </is>
      </c>
      <c r="B580" s="35" t="n">
        <v>300.0413618431699</v>
      </c>
      <c r="C580" s="36" t="n">
        <v>4808.3419580395</v>
      </c>
      <c r="D580" s="35" t="n">
        <v>1022.274389807265</v>
      </c>
      <c r="E580" s="37" t="n">
        <v>0.9224916747106672</v>
      </c>
      <c r="F580" s="37" t="n">
        <v>0.5760658994683791</v>
      </c>
      <c r="G580" s="37" t="n">
        <v>0.4623021552349206</v>
      </c>
      <c r="H580" s="37" t="n">
        <v>0.6301145100609968</v>
      </c>
      <c r="I580" s="37" t="n">
        <v>0.8784157959492287</v>
      </c>
      <c r="J580" s="42" t="inlineStr">
        <is>
          <t>KALINA</t>
        </is>
      </c>
      <c r="K580" s="29" t="n">
        <v>10.82988831220833</v>
      </c>
      <c r="L580" s="35" t="n">
        <v>118.2818451159383</v>
      </c>
      <c r="M580" s="36" t="n">
        <v>3786.067568232236</v>
      </c>
      <c r="N580" s="29" t="n">
        <v>4.703572745225522</v>
      </c>
      <c r="O580" s="16" t="inlineStr">
        <is>
          <t>sí</t>
        </is>
      </c>
      <c r="P580" s="16" t="n"/>
    </row>
    <row r="581">
      <c r="A581" s="16" t="inlineStr">
        <is>
          <t>KF-M07-A5-0099</t>
        </is>
      </c>
      <c r="B581" s="35" t="n">
        <v>302.58136184317</v>
      </c>
      <c r="C581" s="36" t="n">
        <v>5000</v>
      </c>
      <c r="D581" s="35" t="n">
        <v>1022.274389807265</v>
      </c>
      <c r="E581" s="37" t="n">
        <v>0.9224916747106672</v>
      </c>
      <c r="F581" s="37" t="n">
        <v>0.5760658994683791</v>
      </c>
      <c r="G581" s="37" t="n">
        <v>0.4623021552349206</v>
      </c>
      <c r="H581" s="37" t="n">
        <v>0.6301145100609968</v>
      </c>
      <c r="I581" s="37" t="n">
        <v>0.8784157959492287</v>
      </c>
      <c r="J581" s="39" t="inlineStr">
        <is>
          <t>Corregible</t>
        </is>
      </c>
      <c r="K581" s="29" t="n">
        <v>11.10385492056371</v>
      </c>
      <c r="L581" s="35" t="n">
        <v>120.5197668218611</v>
      </c>
      <c r="M581" s="36" t="n">
        <v>3977.725610192736</v>
      </c>
      <c r="N581" s="29" t="n">
        <v>4.891054740149246</v>
      </c>
      <c r="O581" s="16" t="inlineStr">
        <is>
          <t>sí</t>
        </is>
      </c>
      <c r="P581" s="16" t="inlineStr">
        <is>
          <t>O1</t>
        </is>
      </c>
    </row>
    <row r="582">
      <c r="A582" s="16" t="inlineStr">
        <is>
          <t>KF-M07-A5-0100</t>
        </is>
      </c>
      <c r="B582" s="35" t="n">
        <v>302.58136184317</v>
      </c>
      <c r="C582" s="36" t="n">
        <v>4508.3419580395</v>
      </c>
      <c r="D582" s="35" t="n">
        <v>1022.274389807265</v>
      </c>
      <c r="E582" s="37" t="n">
        <v>0.9224916747106672</v>
      </c>
      <c r="F582" s="37" t="n">
        <v>0.5760658994683791</v>
      </c>
      <c r="G582" s="37" t="n">
        <v>0.4623021552349206</v>
      </c>
      <c r="H582" s="37" t="n">
        <v>0.6301145100609968</v>
      </c>
      <c r="I582" s="37" t="n">
        <v>0.8784157959492287</v>
      </c>
      <c r="J582" s="42" t="inlineStr">
        <is>
          <t>KALINA</t>
        </is>
      </c>
      <c r="K582" s="29" t="n">
        <v>10.58663555469139</v>
      </c>
      <c r="L582" s="35" t="n">
        <v>115.8302954077332</v>
      </c>
      <c r="M582" s="36" t="n">
        <v>3486.067568232236</v>
      </c>
      <c r="N582" s="29" t="n">
        <v>4.410109460816567</v>
      </c>
      <c r="O582" s="16" t="inlineStr">
        <is>
          <t>sí</t>
        </is>
      </c>
      <c r="P582" s="16" t="n"/>
    </row>
    <row r="583">
      <c r="A583" s="16" t="inlineStr">
        <is>
          <t>KF-M07-A5-0101</t>
        </is>
      </c>
      <c r="B583" s="35" t="n">
        <v>302.58136184317</v>
      </c>
      <c r="C583" s="36" t="n">
        <v>4808.3419580395</v>
      </c>
      <c r="D583" s="35" t="n">
        <v>1242.274389807264</v>
      </c>
      <c r="E583" s="37" t="n">
        <v>0.9224916747106672</v>
      </c>
      <c r="F583" s="37" t="n">
        <v>0.5760658994683791</v>
      </c>
      <c r="G583" s="37" t="n">
        <v>0.4623021552349206</v>
      </c>
      <c r="H583" s="37" t="n">
        <v>0.6301145100609968</v>
      </c>
      <c r="I583" s="37" t="n">
        <v>0.8784157959492287</v>
      </c>
      <c r="J583" s="42" t="inlineStr">
        <is>
          <t>KALINA</t>
        </is>
      </c>
      <c r="K583" s="29" t="n">
        <v>9.59162455744533</v>
      </c>
      <c r="L583" s="35" t="n">
        <v>104.3847463939479</v>
      </c>
      <c r="M583" s="36" t="n">
        <v>3566.067568232236</v>
      </c>
      <c r="N583" s="29" t="n">
        <v>3.870595737537101</v>
      </c>
      <c r="O583" s="16" t="inlineStr">
        <is>
          <t>sí</t>
        </is>
      </c>
      <c r="P583" s="16" t="n"/>
    </row>
    <row r="584">
      <c r="A584" s="16" t="inlineStr">
        <is>
          <t>KF-M07-A5-0102</t>
        </is>
      </c>
      <c r="B584" s="35" t="n">
        <v>302.58136184317</v>
      </c>
      <c r="C584" s="36" t="n">
        <v>4808.3419580395</v>
      </c>
      <c r="D584" s="35" t="n">
        <v>802.2743898072646</v>
      </c>
      <c r="E584" s="37" t="n">
        <v>0.9224916747106672</v>
      </c>
      <c r="F584" s="37" t="n">
        <v>0.5760658994683791</v>
      </c>
      <c r="G584" s="37" t="n">
        <v>0.4623021552349206</v>
      </c>
      <c r="H584" s="37" t="n">
        <v>0.6301145100609968</v>
      </c>
      <c r="I584" s="37" t="n">
        <v>0.8784157959492287</v>
      </c>
      <c r="J584" s="39" t="inlineStr">
        <is>
          <t>Corregible</t>
        </is>
      </c>
      <c r="K584" s="29" t="n">
        <v>12.51754403848055</v>
      </c>
      <c r="L584" s="35" t="n">
        <v>136.3623777237138</v>
      </c>
      <c r="M584" s="36" t="n">
        <v>4006.067568232236</v>
      </c>
      <c r="N584" s="29" t="n">
        <v>5.993388320914293</v>
      </c>
      <c r="O584" s="16" t="inlineStr">
        <is>
          <t>sí</t>
        </is>
      </c>
      <c r="P584" s="16" t="inlineStr">
        <is>
          <t>O1,O2</t>
        </is>
      </c>
    </row>
    <row r="585">
      <c r="A585" s="16" t="inlineStr">
        <is>
          <t>KF-M07-A5-0103</t>
        </is>
      </c>
      <c r="B585" s="35" t="n">
        <v>302.58136184317</v>
      </c>
      <c r="C585" s="36" t="n">
        <v>4808.3419580395</v>
      </c>
      <c r="D585" s="35" t="n">
        <v>1022.274389807265</v>
      </c>
      <c r="E585" s="37" t="n">
        <v>0.95</v>
      </c>
      <c r="F585" s="37" t="n">
        <v>0.5760658994683791</v>
      </c>
      <c r="G585" s="37" t="n">
        <v>0.4623021552349206</v>
      </c>
      <c r="H585" s="37" t="n">
        <v>0.6301145100609968</v>
      </c>
      <c r="I585" s="37" t="n">
        <v>0.8784157959492287</v>
      </c>
      <c r="J585" s="39" t="inlineStr">
        <is>
          <t>Corregible</t>
        </is>
      </c>
      <c r="K585" s="29" t="n">
        <v>11.25803363613821</v>
      </c>
      <c r="L585" s="35" t="n">
        <v>122.5925270750881</v>
      </c>
      <c r="M585" s="36" t="n">
        <v>3786.067568232236</v>
      </c>
      <c r="N585" s="29" t="n">
        <v>4.703572745225522</v>
      </c>
      <c r="O585" s="16" t="inlineStr">
        <is>
          <t>sí</t>
        </is>
      </c>
      <c r="P585" s="16" t="inlineStr">
        <is>
          <t>O1</t>
        </is>
      </c>
    </row>
    <row r="586">
      <c r="A586" s="16" t="inlineStr">
        <is>
          <t>KF-M07-A5-0104</t>
        </is>
      </c>
      <c r="B586" s="35" t="n">
        <v>302.58136184317</v>
      </c>
      <c r="C586" s="36" t="n">
        <v>4808.3419580395</v>
      </c>
      <c r="D586" s="35" t="n">
        <v>1022.274389807265</v>
      </c>
      <c r="E586" s="37" t="n">
        <v>0.8674916747106671</v>
      </c>
      <c r="F586" s="37" t="n">
        <v>0.5760658994683791</v>
      </c>
      <c r="G586" s="37" t="n">
        <v>0.4623021552349206</v>
      </c>
      <c r="H586" s="37" t="n">
        <v>0.6301145100609968</v>
      </c>
      <c r="I586" s="37" t="n">
        <v>0.8784157959492287</v>
      </c>
      <c r="J586" s="42" t="inlineStr">
        <is>
          <t>KALINA</t>
        </is>
      </c>
      <c r="K586" s="29" t="n">
        <v>10.22458806079233</v>
      </c>
      <c r="L586" s="35" t="n">
        <v>111.2924795771858</v>
      </c>
      <c r="M586" s="36" t="n">
        <v>3786.067568232236</v>
      </c>
      <c r="N586" s="29" t="n">
        <v>4.703572745225522</v>
      </c>
      <c r="O586" s="16" t="inlineStr">
        <is>
          <t>sí</t>
        </is>
      </c>
      <c r="P586" s="16" t="n"/>
    </row>
    <row r="587">
      <c r="A587" s="16" t="inlineStr">
        <is>
          <t>KF-M07-A5-0105</t>
        </is>
      </c>
      <c r="B587" s="35" t="n">
        <v>302.58136184317</v>
      </c>
      <c r="C587" s="36" t="n">
        <v>4808.3419580395</v>
      </c>
      <c r="D587" s="35" t="n">
        <v>1022.274389807265</v>
      </c>
      <c r="E587" s="37" t="n">
        <v>0.9224916747106672</v>
      </c>
      <c r="F587" s="37" t="n">
        <v>0.6310658994683791</v>
      </c>
      <c r="G587" s="37" t="n">
        <v>0.4623021552349206</v>
      </c>
      <c r="H587" s="37" t="n">
        <v>0.6301145100609968</v>
      </c>
      <c r="I587" s="37" t="n">
        <v>0.8784157959492287</v>
      </c>
      <c r="J587" s="42" t="inlineStr">
        <is>
          <t>KALINA</t>
        </is>
      </c>
      <c r="K587" s="29" t="n">
        <v>10.9741449207242</v>
      </c>
      <c r="L587" s="35" t="n">
        <v>119.5106099163639</v>
      </c>
      <c r="M587" s="36" t="n">
        <v>3786.067568232236</v>
      </c>
      <c r="N587" s="29" t="n">
        <v>4.703572745225522</v>
      </c>
      <c r="O587" s="16" t="inlineStr">
        <is>
          <t>sí</t>
        </is>
      </c>
      <c r="P587" s="16" t="n"/>
    </row>
    <row r="588">
      <c r="A588" s="16" t="inlineStr">
        <is>
          <t>KF-M07-A5-0106</t>
        </is>
      </c>
      <c r="B588" s="35" t="n">
        <v>302.58136184317</v>
      </c>
      <c r="C588" s="36" t="n">
        <v>4808.3419580395</v>
      </c>
      <c r="D588" s="35" t="n">
        <v>1022.274389807265</v>
      </c>
      <c r="E588" s="37" t="n">
        <v>0.9224916747106672</v>
      </c>
      <c r="F588" s="37" t="n">
        <v>0.521065899468379</v>
      </c>
      <c r="G588" s="37" t="n">
        <v>0.4623021552349206</v>
      </c>
      <c r="H588" s="37" t="n">
        <v>0.6301145100609968</v>
      </c>
      <c r="I588" s="37" t="n">
        <v>0.8784157959492287</v>
      </c>
      <c r="J588" s="42" t="inlineStr">
        <is>
          <t>KALINA</t>
        </is>
      </c>
      <c r="K588" s="29" t="n">
        <v>10.84048952840703</v>
      </c>
      <c r="L588" s="35" t="n">
        <v>117.9981257089067</v>
      </c>
      <c r="M588" s="36" t="n">
        <v>3786.067568232236</v>
      </c>
      <c r="N588" s="29" t="n">
        <v>4.703572745225522</v>
      </c>
      <c r="O588" s="16" t="inlineStr">
        <is>
          <t>sí</t>
        </is>
      </c>
      <c r="P588" s="16" t="n"/>
    </row>
    <row r="589">
      <c r="A589" s="16" t="inlineStr">
        <is>
          <t>KF-M07-A5-0107</t>
        </is>
      </c>
      <c r="B589" s="35" t="n">
        <v>302.58136184317</v>
      </c>
      <c r="C589" s="36" t="n">
        <v>4808.3419580395</v>
      </c>
      <c r="D589" s="35" t="n">
        <v>1022.274389807265</v>
      </c>
      <c r="E589" s="37" t="n">
        <v>0.9224916747106672</v>
      </c>
      <c r="F589" s="37" t="n">
        <v>0.5760658994683791</v>
      </c>
      <c r="G589" s="37" t="n">
        <v>0.5173021552349206</v>
      </c>
      <c r="H589" s="37" t="n">
        <v>0.6301145100609968</v>
      </c>
      <c r="I589" s="37" t="n">
        <v>0.8784157959492287</v>
      </c>
      <c r="J589" s="39" t="inlineStr">
        <is>
          <t>Corregible</t>
        </is>
      </c>
      <c r="K589" s="29" t="n">
        <v>11.19333121652894</v>
      </c>
      <c r="L589" s="35" t="n">
        <v>136.9074667508612</v>
      </c>
      <c r="M589" s="36" t="n">
        <v>3786.067568232236</v>
      </c>
      <c r="N589" s="29" t="n">
        <v>4.703572745225522</v>
      </c>
      <c r="O589" s="16" t="inlineStr">
        <is>
          <t>sí</t>
        </is>
      </c>
      <c r="P589" s="16" t="inlineStr">
        <is>
          <t>O1</t>
        </is>
      </c>
    </row>
    <row r="590">
      <c r="A590" s="16" t="inlineStr">
        <is>
          <t>KF-M07-A5-0108</t>
        </is>
      </c>
      <c r="B590" s="35" t="n">
        <v>302.58136184317</v>
      </c>
      <c r="C590" s="36" t="n">
        <v>4808.3419580395</v>
      </c>
      <c r="D590" s="35" t="n">
        <v>1022.274389807265</v>
      </c>
      <c r="E590" s="37" t="n">
        <v>0.9224916747106672</v>
      </c>
      <c r="F590" s="37" t="n">
        <v>0.5760658994683791</v>
      </c>
      <c r="G590" s="37" t="n">
        <v>0.4073021552349206</v>
      </c>
      <c r="H590" s="37" t="n">
        <v>0.6301145100609968</v>
      </c>
      <c r="I590" s="37" t="n">
        <v>0.8784157959492287</v>
      </c>
      <c r="J590" s="42" t="inlineStr">
        <is>
          <t>KALINA</t>
        </is>
      </c>
      <c r="K590" s="29" t="n">
        <v>10.55037401280335</v>
      </c>
      <c r="L590" s="35" t="n">
        <v>100.8819015247383</v>
      </c>
      <c r="M590" s="36" t="n">
        <v>3786.067568232236</v>
      </c>
      <c r="N590" s="29" t="n">
        <v>4.703572745225522</v>
      </c>
      <c r="O590" s="16" t="inlineStr">
        <is>
          <t>sí</t>
        </is>
      </c>
      <c r="P590" s="16" t="n"/>
    </row>
    <row r="591">
      <c r="A591" s="16" t="inlineStr">
        <is>
          <t>KF-M07-A5-0109</t>
        </is>
      </c>
      <c r="B591" s="35" t="n">
        <v>302.58136184317</v>
      </c>
      <c r="C591" s="36" t="n">
        <v>4808.3419580395</v>
      </c>
      <c r="D591" s="35" t="n">
        <v>1022.274389807265</v>
      </c>
      <c r="E591" s="37" t="n">
        <v>0.9224916747106672</v>
      </c>
      <c r="F591" s="37" t="n">
        <v>0.5760658994683791</v>
      </c>
      <c r="G591" s="37" t="n">
        <v>0.4623021552349206</v>
      </c>
      <c r="H591" s="37" t="n">
        <v>0.6851145100609968</v>
      </c>
      <c r="I591" s="37" t="n">
        <v>0.8784157959492287</v>
      </c>
      <c r="J591" s="42" t="inlineStr">
        <is>
          <t>KALINA</t>
        </is>
      </c>
      <c r="K591" s="29" t="n">
        <v>11.09411449162054</v>
      </c>
      <c r="L591" s="35" t="n">
        <v>120.0102463384592</v>
      </c>
      <c r="M591" s="36" t="n">
        <v>3786.067568232236</v>
      </c>
      <c r="N591" s="29" t="n">
        <v>4.703572745225522</v>
      </c>
      <c r="O591" s="16" t="inlineStr">
        <is>
          <t>sí</t>
        </is>
      </c>
      <c r="P591" s="16" t="n"/>
    </row>
    <row r="592">
      <c r="A592" s="16" t="inlineStr">
        <is>
          <t>KF-M07-A5-0110</t>
        </is>
      </c>
      <c r="B592" s="35" t="n">
        <v>302.58136184317</v>
      </c>
      <c r="C592" s="36" t="n">
        <v>4808.3419580395</v>
      </c>
      <c r="D592" s="35" t="n">
        <v>1022.274389807265</v>
      </c>
      <c r="E592" s="37" t="n">
        <v>0.9224916747106672</v>
      </c>
      <c r="F592" s="37" t="n">
        <v>0.5760658994683791</v>
      </c>
      <c r="G592" s="37" t="n">
        <v>0.4623021552349206</v>
      </c>
      <c r="H592" s="37" t="n">
        <v>0.5751145100609969</v>
      </c>
      <c r="I592" s="37" t="n">
        <v>0.8784157959492287</v>
      </c>
      <c r="J592" s="42" t="inlineStr">
        <is>
          <t>KALINA</t>
        </is>
      </c>
      <c r="K592" s="29" t="n">
        <v>10.73374388369152</v>
      </c>
      <c r="L592" s="35" t="n">
        <v>117.6305348057124</v>
      </c>
      <c r="M592" s="36" t="n">
        <v>3786.067568232236</v>
      </c>
      <c r="N592" s="29" t="n">
        <v>4.703572745225522</v>
      </c>
      <c r="O592" s="16" t="inlineStr">
        <is>
          <t>sí</t>
        </is>
      </c>
      <c r="P592" s="16" t="n"/>
    </row>
    <row r="593">
      <c r="A593" s="16" t="inlineStr">
        <is>
          <t>KF-M07-A5-0111</t>
        </is>
      </c>
      <c r="B593" s="35" t="n">
        <v>302.58136184317</v>
      </c>
      <c r="C593" s="36" t="n">
        <v>4808.3419580395</v>
      </c>
      <c r="D593" s="35" t="n">
        <v>1022.274389807265</v>
      </c>
      <c r="E593" s="37" t="n">
        <v>0.9224916747106672</v>
      </c>
      <c r="F593" s="37" t="n">
        <v>0.5760658994683791</v>
      </c>
      <c r="G593" s="37" t="n">
        <v>0.4623021552349206</v>
      </c>
      <c r="H593" s="37" t="n">
        <v>0.6301145100609968</v>
      </c>
      <c r="I593" s="37" t="n">
        <v>0.9334157959492286</v>
      </c>
      <c r="J593" s="42" t="inlineStr">
        <is>
          <t>KALINA</t>
        </is>
      </c>
      <c r="K593" s="29" t="n">
        <v>10.45007123280905</v>
      </c>
      <c r="L593" s="35" t="n">
        <v>115.7701227466977</v>
      </c>
      <c r="M593" s="36" t="n">
        <v>3786.067568232236</v>
      </c>
      <c r="N593" s="29" t="n">
        <v>4.703572745225522</v>
      </c>
      <c r="O593" s="16" t="inlineStr">
        <is>
          <t>sí</t>
        </is>
      </c>
      <c r="P593" s="16" t="n"/>
    </row>
    <row r="594">
      <c r="A594" s="16" t="inlineStr">
        <is>
          <t>KF-M07-A5-0112</t>
        </is>
      </c>
      <c r="B594" s="35" t="n">
        <v>302.58136184317</v>
      </c>
      <c r="C594" s="36" t="n">
        <v>4808.3419580395</v>
      </c>
      <c r="D594" s="35" t="n">
        <v>1022.274389807265</v>
      </c>
      <c r="E594" s="37" t="n">
        <v>0.9224916747106672</v>
      </c>
      <c r="F594" s="37" t="n">
        <v>0.5760658994683791</v>
      </c>
      <c r="G594" s="37" t="n">
        <v>0.4623021552349206</v>
      </c>
      <c r="H594" s="37" t="n">
        <v>0.6301145100609968</v>
      </c>
      <c r="I594" s="37" t="n">
        <v>0.8234157959492288</v>
      </c>
      <c r="J594" s="39" t="inlineStr">
        <is>
          <t>Corregible</t>
        </is>
      </c>
      <c r="K594" s="29" t="n">
        <v>11.37852454836716</v>
      </c>
      <c r="L594" s="35" t="n">
        <v>121.4694738076508</v>
      </c>
      <c r="M594" s="36" t="n">
        <v>3786.067568232236</v>
      </c>
      <c r="N594" s="29" t="n">
        <v>4.703572745225522</v>
      </c>
      <c r="O594" s="16" t="inlineStr">
        <is>
          <t>sí</t>
        </is>
      </c>
      <c r="P594" s="16" t="inlineStr">
        <is>
          <t>O2</t>
        </is>
      </c>
    </row>
  </sheetData>
  <pageMargins left="0.75" right="0.75" top="1" bottom="1" header="0.5" footer="0.5"/>
  <drawing xmlns:r="http://schemas.openxmlformats.org/officeDocument/2006/relationships" r:id="rId1"/>
</worksheet>
</file>

<file path=xl/worksheets/sheet75.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sheetData>
    <row r="1">
      <c r="A1" s="11" t="inlineStr">
        <is>
          <t>Pregunta 5 · ¿Cuánta eficiencia se puede lograr?</t>
        </is>
      </c>
    </row>
    <row r="2">
      <c r="A2" t="inlineStr">
        <is>
          <t>Gráficos nativos de Excel: pase el cursor sobre un punto para ver su valor. Los números de cada gráfico están en la hoja «5 Datos de gráficos» (el subtítulo de cada figura lleva un vínculo a su bloque).</t>
        </is>
      </c>
    </row>
    <row r="4">
      <c r="A4" s="24" t="inlineStr">
        <is>
          <t>Figura 5.1-1 · La búsqueda llega a η = 15.6 % dentro de la región KALINA (equipos a 0.95)</t>
        </is>
      </c>
    </row>
    <row r="24">
      <c r="A24" s="25" t="inlineStr">
        <is>
          <t>Figura 5.1-1. La búsqueda llega a η = 15.6 % dentro de la región KALINA (equipos a 0.95).</t>
        </is>
      </c>
    </row>
    <row r="25">
      <c r="A25" s="25" t="inlineStr">
        <is>
          <t>Estudio 5.1 · partes 5.1a … 5.1e (figura de síntesis: cada línea es un arranque con sus propios datos conservados).</t>
        </is>
      </c>
    </row>
    <row r="26">
      <c r="A26" s="25" t="inlineStr">
        <is>
          <t>5.1a · libre (desde el mejor de 3.2).</t>
        </is>
      </c>
    </row>
    <row r="27">
      <c r="A27" s="25" t="inlineStr">
        <is>
          <t>5.1b · libre (desde el mejor de 2.4).</t>
        </is>
      </c>
    </row>
    <row r="28">
      <c r="A28" s="25" t="inlineStr">
        <is>
          <t>5.1c · conserva sus temperaturas.</t>
        </is>
      </c>
    </row>
    <row r="29">
      <c r="A29" s="25" t="inlineStr">
        <is>
          <t>5.1d · conserva sus presiones y su clima.</t>
        </is>
      </c>
    </row>
    <row r="30">
      <c r="A30" s="25" t="inlineStr">
        <is>
          <t>5.1e · conserva su fuente y su x_b (fuera de rango).</t>
        </is>
      </c>
    </row>
    <row r="31">
      <c r="A31" s="25" t="inlineStr">
        <is>
          <t>El último paso muestra cuánto seguía subiendo cada búsqueda al detenerse; la η máxima de una búsqueda con último paso grande es una cota inferior, no un óptimo confirmado.</t>
        </is>
      </c>
    </row>
    <row r="32">
      <c r="A32" s="25" t="inlineStr">
        <is>
          <t>Filtro: líneas = pasos aceptados de cada búsqueda (cada uno es KALINA genuino, D = 0); puntos grises = evaluaciones que no se aceptaron.</t>
        </is>
      </c>
    </row>
    <row r="33">
      <c r="A33" s="25" t="inlineStr">
        <is>
          <t>n = 550 evaluaciones (41 pasos aceptados y 509 no aceptados; las evaluaciones sin η no se dibujan). Fuente: m7_trayectorias.csv y m7_evaluaciones.csv.</t>
        </is>
      </c>
    </row>
  </sheetData>
  <hyperlinks>
    <hyperlink xmlns:r="http://schemas.openxmlformats.org/officeDocument/2006/relationships" ref="A4" r:id="rId1"/>
  </hyperlinks>
  <pageMargins left="0.75" right="0.75" top="1" bottom="1" header="0.5" footer="0.5"/>
  <drawing xmlns:r="http://schemas.openxmlformats.org/officeDocument/2006/relationships" r:id="rId2"/>
</worksheet>
</file>

<file path=xl/worksheets/sheet76.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1" t="inlineStr">
        <is>
          <t>Datos de los gráficos de la pregunta 5</t>
        </is>
      </c>
    </row>
    <row r="2">
      <c r="A2" t="inlineStr">
        <is>
          <t>Cada bloque de columnas es una figura; cada serie ocupa dos columnas (valores de x y de y, o categoría y valor).</t>
        </is>
      </c>
    </row>
    <row r="4">
      <c r="A4" s="30" t="inlineStr">
        <is>
          <t>Figura 5.1-1 · La búsqueda llega a η = 15.6 % dentro de la región KALINA (equipos a 0.95)</t>
        </is>
      </c>
      <c r="B4" s="31" t="n"/>
      <c r="C4" s="31" t="n"/>
      <c r="D4" s="31" t="n"/>
      <c r="E4" s="31" t="n"/>
      <c r="F4" s="31" t="n"/>
      <c r="G4" s="31" t="n"/>
      <c r="H4" s="31" t="n"/>
      <c r="I4" s="31" t="n"/>
      <c r="J4" s="31" t="n"/>
      <c r="K4" s="31" t="n"/>
      <c r="L4" s="31" t="n"/>
    </row>
    <row r="5">
      <c r="A5" s="22" t="inlineStr">
        <is>
          <t>La búsqueda llega a η = 15.6 % dentro de la región KALINA (equipos a 0.95) · 5.1a · libre (desde el mejor de 3.2): 15.0 % · último paso +0.45 pp · y: Eficiencia térmica del ciclo, η [%]</t>
        </is>
      </c>
      <c r="B5" s="22" t="inlineStr">
        <is>
          <t>La búsqueda llega a η = 15.6 % dentro de la región KALINA (equipos a 0.95) · 5.1a · libre (desde el mejor de 3.2): 15.0 % · último paso +0.45 pp · x: Iteración de la búsqueda</t>
        </is>
      </c>
      <c r="C5" s="22" t="inlineStr">
        <is>
          <t>La búsqueda llega a η = 15.6 % dentro de la región KALINA (equipos a 0.95) · 5.1b · libre (desde el mejor de 2.4): 15.5 % · último paso +0.41 pp · y: Eficiencia térmica del ciclo, η [%]</t>
        </is>
      </c>
      <c r="D5" s="22" t="inlineStr">
        <is>
          <t>La búsqueda llega a η = 15.6 % dentro de la región KALINA (equipos a 0.95) · 5.1b · libre (desde el mejor de 2.4): 15.5 % · último paso +0.41 pp · x: Iteración de la búsqueda</t>
        </is>
      </c>
      <c r="E5" s="22" t="inlineStr">
        <is>
          <t>La búsqueda llega a η = 15.6 % dentro de la región KALINA (equipos a 0.95) · 5.1c · conserva sus temperaturas: 12.7 % · último paso +0.08 pp · y: Eficiencia térmica del ciclo, η [%]</t>
        </is>
      </c>
      <c r="F5" s="22" t="inlineStr">
        <is>
          <t>La búsqueda llega a η = 15.6 % dentro de la región KALINA (equipos a 0.95) · 5.1c · conserva sus temperaturas: 12.7 % · último paso +0.08 pp · x: Iteración de la búsqueda</t>
        </is>
      </c>
      <c r="G5" s="22" t="inlineStr">
        <is>
          <t>La búsqueda llega a η = 15.6 % dentro de la región KALINA (equipos a 0.95) · 5.1d · conserva sus presiones y su clima: 15.6 % · último paso +0.06 pp · y: Eficiencia térmica del ciclo, η [%]</t>
        </is>
      </c>
      <c r="H5" s="22" t="inlineStr">
        <is>
          <t>La búsqueda llega a η = 15.6 % dentro de la región KALINA (equipos a 0.95) · 5.1d · conserva sus presiones y su clima: 15.6 % · último paso +0.06 pp · x: Iteración de la búsqueda</t>
        </is>
      </c>
      <c r="I5" s="22" t="inlineStr">
        <is>
          <t>La búsqueda llega a η = 15.6 % dentro de la región KALINA (equipos a 0.95) · 5.1e · conserva su fuente y su x_b (fuera de rango): 11.1 % · último paso +0.18 pp · y: Eficiencia térmica del ciclo, η [%]</t>
        </is>
      </c>
      <c r="J5" s="22" t="inlineStr">
        <is>
          <t>La búsqueda llega a η = 15.6 % dentro de la región KALINA (equipos a 0.95) · 5.1e · conserva su fuente y su x_b (fuera de rango): 11.1 % · último paso +0.18 pp · x: Iteración de la búsqueda</t>
        </is>
      </c>
      <c r="K5" s="22" t="inlineStr">
        <is>
          <t xml:space="preserve">evaluados y no aceptados (n = 509) · y: </t>
        </is>
      </c>
      <c r="L5" s="22" t="inlineStr">
        <is>
          <t xml:space="preserve">evaluados y no aceptados (n = 509) · x: </t>
        </is>
      </c>
    </row>
    <row r="6">
      <c r="A6" s="16" t="n">
        <v>12.301599</v>
      </c>
      <c r="B6" s="16" t="n">
        <v>0</v>
      </c>
      <c r="C6" s="16" t="n">
        <v>11.908414</v>
      </c>
      <c r="D6" s="16" t="n">
        <v>0</v>
      </c>
      <c r="E6" s="16" t="n">
        <v>9.289094</v>
      </c>
      <c r="F6" s="16" t="n">
        <v>0</v>
      </c>
      <c r="G6" s="16" t="n">
        <v>9.504720000000001</v>
      </c>
      <c r="H6" s="16" t="n">
        <v>0</v>
      </c>
      <c r="I6" s="16" t="n">
        <v>8.457649999999999</v>
      </c>
      <c r="J6" s="16" t="n">
        <v>0</v>
      </c>
      <c r="K6" s="16" t="n">
        <v>12.445888</v>
      </c>
      <c r="L6" s="16" t="n">
        <v>1</v>
      </c>
    </row>
    <row r="7">
      <c r="A7" s="16" t="n">
        <v>12.79776</v>
      </c>
      <c r="B7" s="16" t="n">
        <v>1</v>
      </c>
      <c r="C7" s="16" t="n">
        <v>12.718723</v>
      </c>
      <c r="D7" s="16" t="n">
        <v>1</v>
      </c>
      <c r="E7" s="16" t="n">
        <v>9.926420999999999</v>
      </c>
      <c r="F7" s="16" t="n">
        <v>1</v>
      </c>
      <c r="G7" s="16" t="n">
        <v>10.234775</v>
      </c>
      <c r="H7" s="16" t="n">
        <v>1</v>
      </c>
      <c r="I7" s="16" t="n">
        <v>9.634107</v>
      </c>
      <c r="J7" s="16" t="n">
        <v>1</v>
      </c>
      <c r="K7" s="16" t="n">
        <v>12.033181</v>
      </c>
      <c r="L7" s="16" t="n">
        <v>1</v>
      </c>
    </row>
    <row r="8">
      <c r="A8" s="16" t="n">
        <v>13.257447</v>
      </c>
      <c r="B8" s="16" t="n">
        <v>2</v>
      </c>
      <c r="C8" s="16" t="n">
        <v>13.38064</v>
      </c>
      <c r="D8" s="16" t="n">
        <v>2</v>
      </c>
      <c r="E8" s="16" t="n">
        <v>10.563403</v>
      </c>
      <c r="F8" s="16" t="n">
        <v>2</v>
      </c>
      <c r="G8" s="16" t="n">
        <v>11.060768</v>
      </c>
      <c r="H8" s="16" t="n">
        <v>2</v>
      </c>
      <c r="I8" s="16" t="n">
        <v>10.196928</v>
      </c>
      <c r="J8" s="16" t="n">
        <v>2</v>
      </c>
      <c r="K8" s="16" t="n">
        <v>12.392947</v>
      </c>
      <c r="L8" s="16" t="n">
        <v>1</v>
      </c>
    </row>
    <row r="9">
      <c r="A9" s="16" t="n">
        <v>13.687946</v>
      </c>
      <c r="B9" s="16" t="n">
        <v>3</v>
      </c>
      <c r="C9" s="16" t="n">
        <v>13.899416</v>
      </c>
      <c r="D9" s="16" t="n">
        <v>3</v>
      </c>
      <c r="E9" s="16" t="n">
        <v>11.211091</v>
      </c>
      <c r="F9" s="16" t="n">
        <v>3</v>
      </c>
      <c r="G9" s="16" t="n">
        <v>12.570576</v>
      </c>
      <c r="H9" s="16" t="n">
        <v>3</v>
      </c>
      <c r="I9" s="16" t="n">
        <v>10.375299</v>
      </c>
      <c r="J9" s="16" t="n">
        <v>3</v>
      </c>
      <c r="K9" s="16" t="n">
        <v>12.26785</v>
      </c>
      <c r="L9" s="16" t="n">
        <v>1</v>
      </c>
    </row>
    <row r="10">
      <c r="A10" s="16" t="n">
        <v>14.141657</v>
      </c>
      <c r="B10" s="16" t="n">
        <v>4</v>
      </c>
      <c r="C10" s="16" t="n">
        <v>14.460191</v>
      </c>
      <c r="D10" s="16" t="n">
        <v>4</v>
      </c>
      <c r="E10" s="16" t="n">
        <v>11.800355</v>
      </c>
      <c r="F10" s="16" t="n">
        <v>4</v>
      </c>
      <c r="G10" s="16" t="n">
        <v>13.44453</v>
      </c>
      <c r="H10" s="16" t="n">
        <v>4</v>
      </c>
      <c r="I10" s="16" t="n">
        <v>10.554256</v>
      </c>
      <c r="J10" s="16" t="n">
        <v>4</v>
      </c>
      <c r="K10" s="16" t="n">
        <v>11.710867</v>
      </c>
      <c r="L10" s="16" t="n">
        <v>1</v>
      </c>
    </row>
    <row r="11">
      <c r="A11" s="16" t="n">
        <v>14.530541</v>
      </c>
      <c r="B11" s="16" t="n">
        <v>5</v>
      </c>
      <c r="C11" s="16" t="n">
        <v>15.068185</v>
      </c>
      <c r="D11" s="16" t="n">
        <v>5</v>
      </c>
      <c r="E11" s="16" t="n">
        <v>12.338973</v>
      </c>
      <c r="F11" s="16" t="n">
        <v>5</v>
      </c>
      <c r="G11" s="16" t="n">
        <v>14.159371</v>
      </c>
      <c r="H11" s="16" t="n">
        <v>5</v>
      </c>
      <c r="I11" s="16" t="n">
        <v>10.733744</v>
      </c>
      <c r="J11" s="16" t="n">
        <v>5</v>
      </c>
      <c r="K11" s="16" t="n">
        <v>10.377005</v>
      </c>
      <c r="L11" s="16" t="n">
        <v>1</v>
      </c>
    </row>
    <row r="12">
      <c r="A12" s="16" t="n">
        <v>14.977939</v>
      </c>
      <c r="B12" s="16" t="n">
        <v>6</v>
      </c>
      <c r="C12" s="16" t="n">
        <v>15.482398</v>
      </c>
      <c r="D12" s="16" t="n">
        <v>6</v>
      </c>
      <c r="E12" s="16" t="n">
        <v>12.663411</v>
      </c>
      <c r="F12" s="16" t="n">
        <v>6</v>
      </c>
      <c r="G12" s="16" t="n">
        <v>14.889383</v>
      </c>
      <c r="H12" s="16" t="n">
        <v>6</v>
      </c>
      <c r="I12" s="16" t="n">
        <v>10.913716</v>
      </c>
      <c r="J12" s="16" t="n">
        <v>6</v>
      </c>
      <c r="K12" s="16" t="n">
        <v>14.742507</v>
      </c>
      <c r="L12" s="16" t="n">
        <v>1</v>
      </c>
    </row>
    <row r="13">
      <c r="A13" s="16" t="n"/>
      <c r="B13" s="16" t="n"/>
      <c r="C13" s="16" t="n"/>
      <c r="D13" s="16" t="n"/>
      <c r="E13" s="16" t="n">
        <v>12.738675</v>
      </c>
      <c r="F13" s="16" t="n">
        <v>7</v>
      </c>
      <c r="G13" s="16" t="n">
        <v>15.388324</v>
      </c>
      <c r="H13" s="16" t="n">
        <v>7</v>
      </c>
      <c r="I13" s="16" t="n">
        <v>11.094114</v>
      </c>
      <c r="J13" s="16" t="n">
        <v>7</v>
      </c>
      <c r="K13" s="16" t="n">
        <v>12.678364</v>
      </c>
      <c r="L13" s="16" t="n">
        <v>1</v>
      </c>
    </row>
    <row r="14">
      <c r="A14" s="16" t="n"/>
      <c r="B14" s="16" t="n"/>
      <c r="C14" s="16" t="n"/>
      <c r="D14" s="16" t="n"/>
      <c r="E14" s="16" t="n"/>
      <c r="F14" s="16" t="n"/>
      <c r="G14" s="16" t="n">
        <v>15.478071</v>
      </c>
      <c r="H14" s="16" t="n">
        <v>8</v>
      </c>
      <c r="I14" s="16" t="n"/>
      <c r="J14" s="16" t="n"/>
      <c r="K14" s="16" t="n">
        <v>11.903755</v>
      </c>
      <c r="L14" s="16" t="n">
        <v>1</v>
      </c>
    </row>
    <row r="15">
      <c r="A15" s="16" t="n"/>
      <c r="B15" s="16" t="n"/>
      <c r="C15" s="16" t="n"/>
      <c r="D15" s="16" t="n"/>
      <c r="E15" s="16" t="n"/>
      <c r="F15" s="16" t="n"/>
      <c r="G15" s="16" t="n">
        <v>15.54136</v>
      </c>
      <c r="H15" s="16" t="n">
        <v>9</v>
      </c>
      <c r="I15" s="16" t="n"/>
      <c r="J15" s="16" t="n"/>
      <c r="K15" s="16" t="n">
        <v>12.740502</v>
      </c>
      <c r="L15" s="16" t="n">
        <v>1</v>
      </c>
    </row>
    <row r="16">
      <c r="A16" s="16" t="n"/>
      <c r="B16" s="16" t="n"/>
      <c r="C16" s="16" t="n"/>
      <c r="D16" s="16" t="n"/>
      <c r="E16" s="16" t="n"/>
      <c r="F16" s="16" t="n"/>
      <c r="G16" s="16" t="n">
        <v>15.599657</v>
      </c>
      <c r="H16" s="16" t="n">
        <v>10</v>
      </c>
      <c r="I16" s="16" t="n"/>
      <c r="J16" s="16" t="n"/>
      <c r="K16" s="16" t="n">
        <v>11.534856</v>
      </c>
      <c r="L16" s="16" t="n">
        <v>1</v>
      </c>
    </row>
    <row r="17">
      <c r="A17" s="16" t="n"/>
      <c r="B17" s="16" t="n"/>
      <c r="C17" s="16" t="n"/>
      <c r="D17" s="16" t="n"/>
      <c r="E17" s="16" t="n"/>
      <c r="F17" s="16" t="n"/>
      <c r="G17" s="16" t="n"/>
      <c r="H17" s="16" t="n"/>
      <c r="I17" s="16" t="n"/>
      <c r="J17" s="16" t="n"/>
      <c r="K17" s="16" t="n">
        <v>12.342006</v>
      </c>
      <c r="L17" s="16" t="n">
        <v>1</v>
      </c>
    </row>
    <row r="18">
      <c r="A18" s="16" t="n"/>
      <c r="B18" s="16" t="n"/>
      <c r="C18" s="16" t="n"/>
      <c r="D18" s="16" t="n"/>
      <c r="E18" s="16" t="n"/>
      <c r="F18" s="16" t="n"/>
      <c r="G18" s="16" t="n"/>
      <c r="H18" s="16" t="n"/>
      <c r="I18" s="16" t="n"/>
      <c r="J18" s="16" t="n"/>
      <c r="K18" s="16" t="n">
        <v>12.254739</v>
      </c>
      <c r="L18" s="16" t="n">
        <v>1</v>
      </c>
    </row>
    <row r="19">
      <c r="A19" s="16" t="n"/>
      <c r="B19" s="16" t="n"/>
      <c r="C19" s="16" t="n"/>
      <c r="D19" s="16" t="n"/>
      <c r="E19" s="16" t="n"/>
      <c r="F19" s="16" t="n"/>
      <c r="G19" s="16" t="n"/>
      <c r="H19" s="16" t="n"/>
      <c r="I19" s="16" t="n"/>
      <c r="J19" s="16" t="n"/>
      <c r="K19" s="16" t="n">
        <v>12.373298</v>
      </c>
      <c r="L19" s="16" t="n">
        <v>1</v>
      </c>
    </row>
    <row r="20">
      <c r="A20" s="16" t="n"/>
      <c r="B20" s="16" t="n"/>
      <c r="C20" s="16" t="n"/>
      <c r="D20" s="16" t="n"/>
      <c r="E20" s="16" t="n"/>
      <c r="F20" s="16" t="n"/>
      <c r="G20" s="16" t="n"/>
      <c r="H20" s="16" t="n"/>
      <c r="I20" s="16" t="n"/>
      <c r="J20" s="16" t="n"/>
      <c r="K20" s="16" t="n">
        <v>12.201596</v>
      </c>
      <c r="L20" s="16" t="n">
        <v>1</v>
      </c>
    </row>
    <row r="21">
      <c r="A21" s="16" t="n"/>
      <c r="B21" s="16" t="n"/>
      <c r="C21" s="16" t="n"/>
      <c r="D21" s="16" t="n"/>
      <c r="E21" s="16" t="n"/>
      <c r="F21" s="16" t="n"/>
      <c r="G21" s="16" t="n"/>
      <c r="H21" s="16" t="n"/>
      <c r="I21" s="16" t="n"/>
      <c r="J21" s="16" t="n"/>
      <c r="K21" s="16" t="n">
        <v>12.339489</v>
      </c>
      <c r="L21" s="16" t="n">
        <v>1</v>
      </c>
    </row>
    <row r="22">
      <c r="A22" s="16" t="n"/>
      <c r="B22" s="16" t="n"/>
      <c r="C22" s="16" t="n"/>
      <c r="D22" s="16" t="n"/>
      <c r="E22" s="16" t="n"/>
      <c r="F22" s="16" t="n"/>
      <c r="G22" s="16" t="n"/>
      <c r="H22" s="16" t="n"/>
      <c r="I22" s="16" t="n"/>
      <c r="J22" s="16" t="n"/>
      <c r="K22" s="16" t="n">
        <v>12.059656</v>
      </c>
      <c r="L22" s="16" t="n">
        <v>1</v>
      </c>
    </row>
    <row r="23">
      <c r="A23" s="16" t="n"/>
      <c r="B23" s="16" t="n"/>
      <c r="C23" s="16" t="n"/>
      <c r="D23" s="16" t="n"/>
      <c r="E23" s="16" t="n"/>
      <c r="F23" s="16" t="n"/>
      <c r="G23" s="16" t="n"/>
      <c r="H23" s="16" t="n"/>
      <c r="I23" s="16" t="n"/>
      <c r="J23" s="16" t="n"/>
      <c r="K23" s="16" t="n">
        <v>11.938905</v>
      </c>
      <c r="L23" s="16" t="n">
        <v>1</v>
      </c>
    </row>
    <row r="24">
      <c r="A24" s="16" t="n"/>
      <c r="B24" s="16" t="n"/>
      <c r="C24" s="16" t="n"/>
      <c r="D24" s="16" t="n"/>
      <c r="E24" s="16" t="n"/>
      <c r="F24" s="16" t="n"/>
      <c r="G24" s="16" t="n"/>
      <c r="H24" s="16" t="n"/>
      <c r="I24" s="16" t="n"/>
      <c r="J24" s="16" t="n"/>
      <c r="K24" s="16" t="n">
        <v>12.689203</v>
      </c>
      <c r="L24" s="16" t="n">
        <v>1</v>
      </c>
    </row>
    <row r="25">
      <c r="A25" s="16" t="n"/>
      <c r="B25" s="16" t="n"/>
      <c r="C25" s="16" t="n"/>
      <c r="D25" s="16" t="n"/>
      <c r="E25" s="16" t="n"/>
      <c r="F25" s="16" t="n"/>
      <c r="G25" s="16" t="n"/>
      <c r="H25" s="16" t="n"/>
      <c r="I25" s="16" t="n"/>
      <c r="J25" s="16" t="n"/>
      <c r="K25" s="16" t="n">
        <v>13.002032</v>
      </c>
      <c r="L25" s="16" t="n">
        <v>2</v>
      </c>
    </row>
    <row r="26">
      <c r="A26" s="16" t="n"/>
      <c r="B26" s="16" t="n"/>
      <c r="C26" s="16" t="n"/>
      <c r="D26" s="16" t="n"/>
      <c r="E26" s="16" t="n"/>
      <c r="F26" s="16" t="n"/>
      <c r="G26" s="16" t="n"/>
      <c r="H26" s="16" t="n"/>
      <c r="I26" s="16" t="n"/>
      <c r="J26" s="16" t="n"/>
      <c r="K26" s="16" t="n">
        <v>12.454408</v>
      </c>
      <c r="L26" s="16" t="n">
        <v>2</v>
      </c>
    </row>
    <row r="27">
      <c r="A27" s="16" t="n"/>
      <c r="B27" s="16" t="n"/>
      <c r="C27" s="16" t="n"/>
      <c r="D27" s="16" t="n"/>
      <c r="E27" s="16" t="n"/>
      <c r="F27" s="16" t="n"/>
      <c r="G27" s="16" t="n"/>
      <c r="H27" s="16" t="n"/>
      <c r="I27" s="16" t="n"/>
      <c r="J27" s="16" t="n"/>
      <c r="K27" s="16" t="n">
        <v>12.894688</v>
      </c>
      <c r="L27" s="16" t="n">
        <v>2</v>
      </c>
    </row>
    <row r="28">
      <c r="A28" s="16" t="n"/>
      <c r="B28" s="16" t="n"/>
      <c r="C28" s="16" t="n"/>
      <c r="D28" s="16" t="n"/>
      <c r="E28" s="16" t="n"/>
      <c r="F28" s="16" t="n"/>
      <c r="G28" s="16" t="n"/>
      <c r="H28" s="16" t="n"/>
      <c r="I28" s="16" t="n"/>
      <c r="J28" s="16" t="n"/>
      <c r="K28" s="16" t="n">
        <v>12.761956</v>
      </c>
      <c r="L28" s="16" t="n">
        <v>2</v>
      </c>
    </row>
    <row r="29">
      <c r="A29" s="16" t="n"/>
      <c r="B29" s="16" t="n"/>
      <c r="C29" s="16" t="n"/>
      <c r="D29" s="16" t="n"/>
      <c r="E29" s="16" t="n"/>
      <c r="F29" s="16" t="n"/>
      <c r="G29" s="16" t="n"/>
      <c r="H29" s="16" t="n"/>
      <c r="I29" s="16" t="n"/>
      <c r="J29" s="16" t="n"/>
      <c r="K29" s="16" t="n">
        <v>13.209914</v>
      </c>
      <c r="L29" s="16" t="n">
        <v>2</v>
      </c>
    </row>
    <row r="30">
      <c r="A30" s="16" t="n"/>
      <c r="B30" s="16" t="n"/>
      <c r="C30" s="16" t="n"/>
      <c r="D30" s="16" t="n"/>
      <c r="E30" s="16" t="n"/>
      <c r="F30" s="16" t="n"/>
      <c r="G30" s="16" t="n"/>
      <c r="H30" s="16" t="n"/>
      <c r="I30" s="16" t="n"/>
      <c r="J30" s="16" t="n"/>
      <c r="K30" s="16" t="n">
        <v>12.301599</v>
      </c>
      <c r="L30" s="16" t="n">
        <v>2</v>
      </c>
    </row>
    <row r="31">
      <c r="A31" s="16" t="n"/>
      <c r="B31" s="16" t="n"/>
      <c r="C31" s="16" t="n"/>
      <c r="D31" s="16" t="n"/>
      <c r="E31" s="16" t="n"/>
      <c r="F31" s="16" t="n"/>
      <c r="G31" s="16" t="n"/>
      <c r="H31" s="16" t="n"/>
      <c r="I31" s="16" t="n"/>
      <c r="J31" s="16" t="n"/>
      <c r="K31" s="16" t="n">
        <v>10.903198</v>
      </c>
      <c r="L31" s="16" t="n">
        <v>2</v>
      </c>
    </row>
    <row r="32">
      <c r="A32" s="16" t="n"/>
      <c r="B32" s="16" t="n"/>
      <c r="C32" s="16" t="n"/>
      <c r="D32" s="16" t="n"/>
      <c r="E32" s="16" t="n"/>
      <c r="F32" s="16" t="n"/>
      <c r="G32" s="16" t="n"/>
      <c r="H32" s="16" t="n"/>
      <c r="I32" s="16" t="n"/>
      <c r="J32" s="16" t="n"/>
      <c r="K32" s="16" t="n">
        <v>15.213152</v>
      </c>
      <c r="L32" s="16" t="n">
        <v>2</v>
      </c>
    </row>
    <row r="33">
      <c r="A33" s="16" t="n"/>
      <c r="B33" s="16" t="n"/>
      <c r="C33" s="16" t="n"/>
      <c r="D33" s="16" t="n"/>
      <c r="E33" s="16" t="n"/>
      <c r="F33" s="16" t="n"/>
      <c r="G33" s="16" t="n"/>
      <c r="H33" s="16" t="n"/>
      <c r="I33" s="16" t="n"/>
      <c r="J33" s="16" t="n"/>
      <c r="K33" s="16" t="n">
        <v>13.20595</v>
      </c>
      <c r="L33" s="16" t="n">
        <v>2</v>
      </c>
    </row>
    <row r="34">
      <c r="A34" s="16" t="n"/>
      <c r="B34" s="16" t="n"/>
      <c r="C34" s="16" t="n"/>
      <c r="D34" s="16" t="n"/>
      <c r="E34" s="16" t="n"/>
      <c r="F34" s="16" t="n"/>
      <c r="G34" s="16" t="n"/>
      <c r="H34" s="16" t="n"/>
      <c r="I34" s="16" t="n"/>
      <c r="J34" s="16" t="n"/>
      <c r="K34" s="16" t="n">
        <v>12.359891</v>
      </c>
      <c r="L34" s="16" t="n">
        <v>2</v>
      </c>
    </row>
    <row r="35">
      <c r="A35" s="16" t="n"/>
      <c r="B35" s="16" t="n"/>
      <c r="C35" s="16" t="n"/>
      <c r="D35" s="16" t="n"/>
      <c r="E35" s="16" t="n"/>
      <c r="F35" s="16" t="n"/>
      <c r="G35" s="16" t="n"/>
      <c r="H35" s="16" t="n"/>
      <c r="I35" s="16" t="n"/>
      <c r="J35" s="16" t="n"/>
      <c r="K35" s="16" t="n">
        <v>11.994713</v>
      </c>
      <c r="L35" s="16" t="n">
        <v>2</v>
      </c>
    </row>
    <row r="36">
      <c r="A36" s="16" t="n"/>
      <c r="B36" s="16" t="n"/>
      <c r="C36" s="16" t="n"/>
      <c r="D36" s="16" t="n"/>
      <c r="E36" s="16" t="n"/>
      <c r="F36" s="16" t="n"/>
      <c r="G36" s="16" t="n"/>
      <c r="H36" s="16" t="n"/>
      <c r="I36" s="16" t="n"/>
      <c r="J36" s="16" t="n"/>
      <c r="K36" s="16" t="n">
        <v>12.845563</v>
      </c>
      <c r="L36" s="16" t="n">
        <v>2</v>
      </c>
    </row>
    <row r="37">
      <c r="A37" s="16" t="n"/>
      <c r="B37" s="16" t="n"/>
      <c r="C37" s="16" t="n"/>
      <c r="D37" s="16" t="n"/>
      <c r="E37" s="16" t="n"/>
      <c r="F37" s="16" t="n"/>
      <c r="G37" s="16" t="n"/>
      <c r="H37" s="16" t="n"/>
      <c r="I37" s="16" t="n"/>
      <c r="J37" s="16" t="n"/>
      <c r="K37" s="16" t="n">
        <v>12.742326</v>
      </c>
      <c r="L37" s="16" t="n">
        <v>2</v>
      </c>
    </row>
    <row r="38">
      <c r="A38" s="16" t="n"/>
      <c r="B38" s="16" t="n"/>
      <c r="C38" s="16" t="n"/>
      <c r="D38" s="16" t="n"/>
      <c r="E38" s="16" t="n"/>
      <c r="F38" s="16" t="n"/>
      <c r="G38" s="16" t="n"/>
      <c r="H38" s="16" t="n"/>
      <c r="I38" s="16" t="n"/>
      <c r="J38" s="16" t="n"/>
      <c r="K38" s="16" t="n">
        <v>12.894631</v>
      </c>
      <c r="L38" s="16" t="n">
        <v>2</v>
      </c>
    </row>
    <row r="39">
      <c r="A39" s="16" t="n"/>
      <c r="B39" s="16" t="n"/>
      <c r="C39" s="16" t="n"/>
      <c r="D39" s="16" t="n"/>
      <c r="E39" s="16" t="n"/>
      <c r="F39" s="16" t="n"/>
      <c r="G39" s="16" t="n"/>
      <c r="H39" s="16" t="n"/>
      <c r="I39" s="16" t="n"/>
      <c r="J39" s="16" t="n"/>
      <c r="K39" s="16" t="n">
        <v>12.669581</v>
      </c>
      <c r="L39" s="16" t="n">
        <v>2</v>
      </c>
    </row>
    <row r="40">
      <c r="A40" s="16" t="n"/>
      <c r="B40" s="16" t="n"/>
      <c r="C40" s="16" t="n"/>
      <c r="D40" s="16" t="n"/>
      <c r="E40" s="16" t="n"/>
      <c r="F40" s="16" t="n"/>
      <c r="G40" s="16" t="n"/>
      <c r="H40" s="16" t="n"/>
      <c r="I40" s="16" t="n"/>
      <c r="J40" s="16" t="n"/>
      <c r="K40" s="16" t="n">
        <v>12.843516</v>
      </c>
      <c r="L40" s="16" t="n">
        <v>2</v>
      </c>
    </row>
    <row r="41">
      <c r="A41" s="16" t="n"/>
      <c r="B41" s="16" t="n"/>
      <c r="C41" s="16" t="n"/>
      <c r="D41" s="16" t="n"/>
      <c r="E41" s="16" t="n"/>
      <c r="F41" s="16" t="n"/>
      <c r="G41" s="16" t="n"/>
      <c r="H41" s="16" t="n"/>
      <c r="I41" s="16" t="n"/>
      <c r="J41" s="16" t="n"/>
      <c r="K41" s="16" t="n">
        <v>12.506259</v>
      </c>
      <c r="L41" s="16" t="n">
        <v>2</v>
      </c>
    </row>
    <row r="42">
      <c r="A42" s="16" t="n"/>
      <c r="B42" s="16" t="n"/>
      <c r="C42" s="16" t="n"/>
      <c r="D42" s="16" t="n"/>
      <c r="E42" s="16" t="n"/>
      <c r="F42" s="16" t="n"/>
      <c r="G42" s="16" t="n"/>
      <c r="H42" s="16" t="n"/>
      <c r="I42" s="16" t="n"/>
      <c r="J42" s="16" t="n"/>
      <c r="K42" s="16" t="n">
        <v>12.438865</v>
      </c>
      <c r="L42" s="16" t="n">
        <v>2</v>
      </c>
    </row>
    <row r="43">
      <c r="A43" s="16" t="n"/>
      <c r="B43" s="16" t="n"/>
      <c r="C43" s="16" t="n"/>
      <c r="D43" s="16" t="n"/>
      <c r="E43" s="16" t="n"/>
      <c r="F43" s="16" t="n"/>
      <c r="G43" s="16" t="n"/>
      <c r="H43" s="16" t="n"/>
      <c r="I43" s="16" t="n"/>
      <c r="J43" s="16" t="n"/>
      <c r="K43" s="16" t="n">
        <v>13.200311</v>
      </c>
      <c r="L43" s="16" t="n">
        <v>2</v>
      </c>
    </row>
    <row r="44">
      <c r="A44" s="16" t="n"/>
      <c r="B44" s="16" t="n"/>
      <c r="C44" s="16" t="n"/>
      <c r="D44" s="16" t="n"/>
      <c r="E44" s="16" t="n"/>
      <c r="F44" s="16" t="n"/>
      <c r="G44" s="16" t="n"/>
      <c r="H44" s="16" t="n"/>
      <c r="I44" s="16" t="n"/>
      <c r="J44" s="16" t="n"/>
      <c r="K44" s="16" t="n">
        <v>13.463424</v>
      </c>
      <c r="L44" s="16" t="n">
        <v>3</v>
      </c>
    </row>
    <row r="45">
      <c r="A45" s="16" t="n"/>
      <c r="B45" s="16" t="n"/>
      <c r="C45" s="16" t="n"/>
      <c r="D45" s="16" t="n"/>
      <c r="E45" s="16" t="n"/>
      <c r="F45" s="16" t="n"/>
      <c r="G45" s="16" t="n"/>
      <c r="H45" s="16" t="n"/>
      <c r="I45" s="16" t="n"/>
      <c r="J45" s="16" t="n"/>
      <c r="K45" s="16" t="n">
        <v>12.908758</v>
      </c>
      <c r="L45" s="16" t="n">
        <v>3</v>
      </c>
    </row>
    <row r="46">
      <c r="A46" s="16" t="n"/>
      <c r="B46" s="16" t="n"/>
      <c r="C46" s="16" t="n"/>
      <c r="D46" s="16" t="n"/>
      <c r="E46" s="16" t="n"/>
      <c r="F46" s="16" t="n"/>
      <c r="G46" s="16" t="n"/>
      <c r="H46" s="16" t="n"/>
      <c r="I46" s="16" t="n"/>
      <c r="J46" s="16" t="n"/>
      <c r="K46" s="16" t="n">
        <v>13.357838</v>
      </c>
      <c r="L46" s="16" t="n">
        <v>3</v>
      </c>
    </row>
    <row r="47">
      <c r="A47" s="16" t="n"/>
      <c r="B47" s="16" t="n"/>
      <c r="C47" s="16" t="n"/>
      <c r="D47" s="16" t="n"/>
      <c r="E47" s="16" t="n"/>
      <c r="F47" s="16" t="n"/>
      <c r="G47" s="16" t="n"/>
      <c r="H47" s="16" t="n"/>
      <c r="I47" s="16" t="n"/>
      <c r="J47" s="16" t="n"/>
      <c r="K47" s="16" t="n">
        <v>13.220362</v>
      </c>
      <c r="L47" s="16" t="n">
        <v>3</v>
      </c>
    </row>
    <row r="48">
      <c r="A48" s="16" t="n"/>
      <c r="B48" s="16" t="n"/>
      <c r="C48" s="16" t="n"/>
      <c r="D48" s="16" t="n"/>
      <c r="E48" s="16" t="n"/>
      <c r="F48" s="16" t="n"/>
      <c r="G48" s="16" t="n"/>
      <c r="H48" s="16" t="n"/>
      <c r="I48" s="16" t="n"/>
      <c r="J48" s="16" t="n"/>
      <c r="K48" s="16" t="n">
        <v>12.740502</v>
      </c>
      <c r="L48" s="16" t="n">
        <v>3</v>
      </c>
    </row>
    <row r="49">
      <c r="A49" s="16" t="n"/>
      <c r="B49" s="16" t="n"/>
      <c r="C49" s="16" t="n"/>
      <c r="D49" s="16" t="n"/>
      <c r="E49" s="16" t="n"/>
      <c r="F49" s="16" t="n"/>
      <c r="G49" s="16" t="n"/>
      <c r="H49" s="16" t="n"/>
      <c r="I49" s="16" t="n"/>
      <c r="J49" s="16" t="n"/>
      <c r="K49" s="16" t="n">
        <v>11.297402</v>
      </c>
      <c r="L49" s="16" t="n">
        <v>3</v>
      </c>
    </row>
    <row r="50">
      <c r="A50" s="16" t="n"/>
      <c r="B50" s="16" t="n"/>
      <c r="C50" s="16" t="n"/>
      <c r="D50" s="16" t="n"/>
      <c r="E50" s="16" t="n"/>
      <c r="F50" s="16" t="n"/>
      <c r="G50" s="16" t="n"/>
      <c r="H50" s="16" t="n"/>
      <c r="I50" s="16" t="n"/>
      <c r="J50" s="16" t="n"/>
      <c r="K50" s="16" t="n">
        <v>15.756642</v>
      </c>
      <c r="L50" s="16" t="n">
        <v>3</v>
      </c>
    </row>
    <row r="51">
      <c r="A51" s="16" t="n"/>
      <c r="B51" s="16" t="n"/>
      <c r="C51" s="16" t="n"/>
      <c r="D51" s="16" t="n"/>
      <c r="E51" s="16" t="n"/>
      <c r="F51" s="16" t="n"/>
      <c r="G51" s="16" t="n"/>
      <c r="H51" s="16" t="n"/>
      <c r="I51" s="16" t="n"/>
      <c r="J51" s="16" t="n"/>
      <c r="K51" s="16" t="n">
        <v>13.677299</v>
      </c>
      <c r="L51" s="16" t="n">
        <v>3</v>
      </c>
    </row>
    <row r="52">
      <c r="A52" s="16" t="n"/>
      <c r="B52" s="16" t="n"/>
      <c r="C52" s="16" t="n"/>
      <c r="D52" s="16" t="n"/>
      <c r="E52" s="16" t="n"/>
      <c r="F52" s="16" t="n"/>
      <c r="G52" s="16" t="n"/>
      <c r="H52" s="16" t="n"/>
      <c r="I52" s="16" t="n"/>
      <c r="J52" s="16" t="n"/>
      <c r="K52" s="16" t="n">
        <v>12.807312</v>
      </c>
      <c r="L52" s="16" t="n">
        <v>3</v>
      </c>
    </row>
    <row r="53">
      <c r="A53" s="16" t="n"/>
      <c r="B53" s="16" t="n"/>
      <c r="C53" s="16" t="n"/>
      <c r="D53" s="16" t="n"/>
      <c r="E53" s="16" t="n"/>
      <c r="F53" s="16" t="n"/>
      <c r="G53" s="16" t="n"/>
      <c r="H53" s="16" t="n"/>
      <c r="I53" s="16" t="n"/>
      <c r="J53" s="16" t="n"/>
      <c r="K53" s="16" t="n">
        <v>12.455021</v>
      </c>
      <c r="L53" s="16" t="n">
        <v>3</v>
      </c>
    </row>
    <row r="54">
      <c r="A54" s="16" t="n"/>
      <c r="B54" s="16" t="n"/>
      <c r="C54" s="16" t="n"/>
      <c r="D54" s="16" t="n"/>
      <c r="E54" s="16" t="n"/>
      <c r="F54" s="16" t="n"/>
      <c r="G54" s="16" t="n"/>
      <c r="H54" s="16" t="n"/>
      <c r="I54" s="16" t="n"/>
      <c r="J54" s="16" t="n"/>
      <c r="K54" s="16" t="n">
        <v>13.305105</v>
      </c>
      <c r="L54" s="16" t="n">
        <v>3</v>
      </c>
    </row>
    <row r="55">
      <c r="A55" s="16" t="n"/>
      <c r="B55" s="16" t="n"/>
      <c r="C55" s="16" t="n"/>
      <c r="D55" s="16" t="n"/>
      <c r="E55" s="16" t="n"/>
      <c r="F55" s="16" t="n"/>
      <c r="G55" s="16" t="n"/>
      <c r="H55" s="16" t="n"/>
      <c r="I55" s="16" t="n"/>
      <c r="J55" s="16" t="n"/>
      <c r="K55" s="16" t="n">
        <v>13.20218</v>
      </c>
      <c r="L55" s="16" t="n">
        <v>3</v>
      </c>
    </row>
    <row r="56">
      <c r="A56" s="16" t="n"/>
      <c r="B56" s="16" t="n"/>
      <c r="C56" s="16" t="n"/>
      <c r="D56" s="16" t="n"/>
      <c r="E56" s="16" t="n"/>
      <c r="F56" s="16" t="n"/>
      <c r="G56" s="16" t="n"/>
      <c r="H56" s="16" t="n"/>
      <c r="I56" s="16" t="n"/>
      <c r="J56" s="16" t="n"/>
      <c r="K56" s="16" t="n">
        <v>13.355463</v>
      </c>
      <c r="L56" s="16" t="n">
        <v>3</v>
      </c>
    </row>
    <row r="57">
      <c r="A57" s="16" t="n"/>
      <c r="B57" s="16" t="n"/>
      <c r="C57" s="16" t="n"/>
      <c r="D57" s="16" t="n"/>
      <c r="E57" s="16" t="n"/>
      <c r="F57" s="16" t="n"/>
      <c r="G57" s="16" t="n"/>
      <c r="H57" s="16" t="n"/>
      <c r="I57" s="16" t="n"/>
      <c r="J57" s="16" t="n"/>
      <c r="K57" s="16" t="n">
        <v>13.127398</v>
      </c>
      <c r="L57" s="16" t="n">
        <v>3</v>
      </c>
    </row>
    <row r="58">
      <c r="A58" s="16" t="n"/>
      <c r="B58" s="16" t="n"/>
      <c r="C58" s="16" t="n"/>
      <c r="D58" s="16" t="n"/>
      <c r="E58" s="16" t="n"/>
      <c r="F58" s="16" t="n"/>
      <c r="G58" s="16" t="n"/>
      <c r="H58" s="16" t="n"/>
      <c r="I58" s="16" t="n"/>
      <c r="J58" s="16" t="n"/>
      <c r="K58" s="16" t="n">
        <v>13.304846</v>
      </c>
      <c r="L58" s="16" t="n">
        <v>3</v>
      </c>
    </row>
    <row r="59">
      <c r="A59" s="16" t="n"/>
      <c r="B59" s="16" t="n"/>
      <c r="C59" s="16" t="n"/>
      <c r="D59" s="16" t="n"/>
      <c r="E59" s="16" t="n"/>
      <c r="F59" s="16" t="n"/>
      <c r="G59" s="16" t="n"/>
      <c r="H59" s="16" t="n"/>
      <c r="I59" s="16" t="n"/>
      <c r="J59" s="16" t="n"/>
      <c r="K59" s="16" t="n">
        <v>12.955477</v>
      </c>
      <c r="L59" s="16" t="n">
        <v>3</v>
      </c>
    </row>
    <row r="60">
      <c r="A60" s="16" t="n"/>
      <c r="B60" s="16" t="n"/>
      <c r="C60" s="16" t="n"/>
      <c r="D60" s="16" t="n"/>
      <c r="E60" s="16" t="n"/>
      <c r="F60" s="16" t="n"/>
      <c r="G60" s="16" t="n"/>
      <c r="H60" s="16" t="n"/>
      <c r="I60" s="16" t="n"/>
      <c r="J60" s="16" t="n"/>
      <c r="K60" s="16" t="n">
        <v>12.887525</v>
      </c>
      <c r="L60" s="16" t="n">
        <v>3</v>
      </c>
    </row>
    <row r="61">
      <c r="A61" s="16" t="n"/>
      <c r="B61" s="16" t="n"/>
      <c r="C61" s="16" t="n"/>
      <c r="D61" s="16" t="n"/>
      <c r="E61" s="16" t="n"/>
      <c r="F61" s="16" t="n"/>
      <c r="G61" s="16" t="n"/>
      <c r="H61" s="16" t="n"/>
      <c r="I61" s="16" t="n"/>
      <c r="J61" s="16" t="n"/>
      <c r="K61" s="16" t="n">
        <v>13.67342</v>
      </c>
      <c r="L61" s="16" t="n">
        <v>3</v>
      </c>
    </row>
    <row r="62">
      <c r="A62" s="16" t="n"/>
      <c r="B62" s="16" t="n"/>
      <c r="C62" s="16" t="n"/>
      <c r="D62" s="16" t="n"/>
      <c r="E62" s="16" t="n"/>
      <c r="F62" s="16" t="n"/>
      <c r="G62" s="16" t="n"/>
      <c r="H62" s="16" t="n"/>
      <c r="I62" s="16" t="n"/>
      <c r="J62" s="16" t="n"/>
      <c r="K62" s="16" t="n">
        <v>13.959515</v>
      </c>
      <c r="L62" s="16" t="n">
        <v>4</v>
      </c>
    </row>
    <row r="63">
      <c r="A63" s="16" t="n"/>
      <c r="B63" s="16" t="n"/>
      <c r="C63" s="16" t="n"/>
      <c r="D63" s="16" t="n"/>
      <c r="E63" s="16" t="n"/>
      <c r="F63" s="16" t="n"/>
      <c r="G63" s="16" t="n"/>
      <c r="H63" s="16" t="n"/>
      <c r="I63" s="16" t="n"/>
      <c r="J63" s="16" t="n"/>
      <c r="K63" s="16" t="n">
        <v>13.252168</v>
      </c>
      <c r="L63" s="16" t="n">
        <v>4</v>
      </c>
    </row>
    <row r="64">
      <c r="A64" s="16" t="n"/>
      <c r="B64" s="16" t="n"/>
      <c r="C64" s="16" t="n"/>
      <c r="D64" s="16" t="n"/>
      <c r="E64" s="16" t="n"/>
      <c r="F64" s="16" t="n"/>
      <c r="G64" s="16" t="n"/>
      <c r="H64" s="16" t="n"/>
      <c r="I64" s="16" t="n"/>
      <c r="J64" s="16" t="n"/>
      <c r="K64" s="16" t="n">
        <v>13.793482</v>
      </c>
      <c r="L64" s="16" t="n">
        <v>4</v>
      </c>
    </row>
    <row r="65">
      <c r="A65" s="16" t="n"/>
      <c r="B65" s="16" t="n"/>
      <c r="C65" s="16" t="n"/>
      <c r="D65" s="16" t="n"/>
      <c r="E65" s="16" t="n"/>
      <c r="F65" s="16" t="n"/>
      <c r="G65" s="16" t="n"/>
      <c r="H65" s="16" t="n"/>
      <c r="I65" s="16" t="n"/>
      <c r="J65" s="16" t="n"/>
      <c r="K65" s="16" t="n">
        <v>13.64897</v>
      </c>
      <c r="L65" s="16" t="n">
        <v>4</v>
      </c>
    </row>
    <row r="66">
      <c r="A66" s="16" t="n"/>
      <c r="B66" s="16" t="n"/>
      <c r="C66" s="16" t="n"/>
      <c r="D66" s="16" t="n"/>
      <c r="E66" s="16" t="n"/>
      <c r="F66" s="16" t="n"/>
      <c r="G66" s="16" t="n"/>
      <c r="H66" s="16" t="n"/>
      <c r="I66" s="16" t="n"/>
      <c r="J66" s="16" t="n"/>
      <c r="K66" s="16" t="n">
        <v>14.039597</v>
      </c>
      <c r="L66" s="16" t="n">
        <v>4</v>
      </c>
    </row>
    <row r="67">
      <c r="A67" s="16" t="n"/>
      <c r="B67" s="16" t="n"/>
      <c r="C67" s="16" t="n"/>
      <c r="D67" s="16" t="n"/>
      <c r="E67" s="16" t="n"/>
      <c r="F67" s="16" t="n"/>
      <c r="G67" s="16" t="n"/>
      <c r="H67" s="16" t="n"/>
      <c r="I67" s="16" t="n"/>
      <c r="J67" s="16" t="n"/>
      <c r="K67" s="16" t="n">
        <v>13.257447</v>
      </c>
      <c r="L67" s="16" t="n">
        <v>4</v>
      </c>
    </row>
    <row r="68">
      <c r="A68" s="16" t="n"/>
      <c r="B68" s="16" t="n"/>
      <c r="C68" s="16" t="n"/>
      <c r="D68" s="16" t="n"/>
      <c r="E68" s="16" t="n"/>
      <c r="F68" s="16" t="n"/>
      <c r="G68" s="16" t="n"/>
      <c r="H68" s="16" t="n"/>
      <c r="I68" s="16" t="n"/>
      <c r="J68" s="16" t="n"/>
      <c r="K68" s="16" t="n">
        <v>11.758684</v>
      </c>
      <c r="L68" s="16" t="n">
        <v>4</v>
      </c>
    </row>
    <row r="69">
      <c r="A69" s="16" t="n"/>
      <c r="B69" s="16" t="n"/>
      <c r="C69" s="16" t="n"/>
      <c r="D69" s="16" t="n"/>
      <c r="E69" s="16" t="n"/>
      <c r="F69" s="16" t="n"/>
      <c r="G69" s="16" t="n"/>
      <c r="H69" s="16" t="n"/>
      <c r="I69" s="16" t="n"/>
      <c r="J69" s="16" t="n"/>
      <c r="K69" s="16" t="n">
        <v>16.153992</v>
      </c>
      <c r="L69" s="16" t="n">
        <v>4</v>
      </c>
    </row>
    <row r="70">
      <c r="A70" s="16" t="n"/>
      <c r="B70" s="16" t="n"/>
      <c r="C70" s="16" t="n"/>
      <c r="D70" s="16" t="n"/>
      <c r="E70" s="16" t="n"/>
      <c r="F70" s="16" t="n"/>
      <c r="G70" s="16" t="n"/>
      <c r="H70" s="16" t="n"/>
      <c r="I70" s="16" t="n"/>
      <c r="J70" s="16" t="n"/>
      <c r="K70" s="16" t="n">
        <v>13.192879</v>
      </c>
      <c r="L70" s="16" t="n">
        <v>4</v>
      </c>
    </row>
    <row r="71">
      <c r="A71" s="16" t="n"/>
      <c r="B71" s="16" t="n"/>
      <c r="C71" s="16" t="n"/>
      <c r="D71" s="16" t="n"/>
      <c r="E71" s="16" t="n"/>
      <c r="F71" s="16" t="n"/>
      <c r="G71" s="16" t="n"/>
      <c r="H71" s="16" t="n"/>
      <c r="I71" s="16" t="n"/>
      <c r="J71" s="16" t="n"/>
      <c r="K71" s="16" t="n">
        <v>12.853498</v>
      </c>
      <c r="L71" s="16" t="n">
        <v>4</v>
      </c>
    </row>
    <row r="72">
      <c r="A72" s="16" t="n"/>
      <c r="B72" s="16" t="n"/>
      <c r="C72" s="16" t="n"/>
      <c r="D72" s="16" t="n"/>
      <c r="E72" s="16" t="n"/>
      <c r="F72" s="16" t="n"/>
      <c r="G72" s="16" t="n"/>
      <c r="H72" s="16" t="n"/>
      <c r="I72" s="16" t="n"/>
      <c r="J72" s="16" t="n"/>
      <c r="K72" s="16" t="n">
        <v>13.743709</v>
      </c>
      <c r="L72" s="16" t="n">
        <v>4</v>
      </c>
    </row>
    <row r="73">
      <c r="A73" s="16" t="n"/>
      <c r="B73" s="16" t="n"/>
      <c r="C73" s="16" t="n"/>
      <c r="D73" s="16" t="n"/>
      <c r="E73" s="16" t="n"/>
      <c r="F73" s="16" t="n"/>
      <c r="G73" s="16" t="n"/>
      <c r="H73" s="16" t="n"/>
      <c r="I73" s="16" t="n"/>
      <c r="J73" s="16" t="n"/>
      <c r="K73" s="16" t="n">
        <v>13.623278</v>
      </c>
      <c r="L73" s="16" t="n">
        <v>4</v>
      </c>
    </row>
    <row r="74">
      <c r="A74" s="16" t="n"/>
      <c r="B74" s="16" t="n"/>
      <c r="C74" s="16" t="n"/>
      <c r="D74" s="16" t="n"/>
      <c r="E74" s="16" t="n"/>
      <c r="F74" s="16" t="n"/>
      <c r="G74" s="16" t="n"/>
      <c r="H74" s="16" t="n"/>
      <c r="I74" s="16" t="n"/>
      <c r="J74" s="16" t="n"/>
      <c r="K74" s="16" t="n">
        <v>13.812691</v>
      </c>
      <c r="L74" s="16" t="n">
        <v>4</v>
      </c>
    </row>
    <row r="75">
      <c r="A75" s="16" t="n"/>
      <c r="B75" s="16" t="n"/>
      <c r="C75" s="16" t="n"/>
      <c r="D75" s="16" t="n"/>
      <c r="E75" s="16" t="n"/>
      <c r="F75" s="16" t="n"/>
      <c r="G75" s="16" t="n"/>
      <c r="H75" s="16" t="n"/>
      <c r="I75" s="16" t="n"/>
      <c r="J75" s="16" t="n"/>
      <c r="K75" s="16" t="n">
        <v>13.528402</v>
      </c>
      <c r="L75" s="16" t="n">
        <v>4</v>
      </c>
    </row>
    <row r="76">
      <c r="A76" s="16" t="n"/>
      <c r="B76" s="16" t="n"/>
      <c r="C76" s="16" t="n"/>
      <c r="D76" s="16" t="n"/>
      <c r="E76" s="16" t="n"/>
      <c r="F76" s="16" t="n"/>
      <c r="G76" s="16" t="n"/>
      <c r="H76" s="16" t="n"/>
      <c r="I76" s="16" t="n"/>
      <c r="J76" s="16" t="n"/>
      <c r="K76" s="16" t="n">
        <v>13.744307</v>
      </c>
      <c r="L76" s="16" t="n">
        <v>4</v>
      </c>
    </row>
    <row r="77">
      <c r="A77" s="16" t="n"/>
      <c r="B77" s="16" t="n"/>
      <c r="C77" s="16" t="n"/>
      <c r="D77" s="16" t="n"/>
      <c r="E77" s="16" t="n"/>
      <c r="F77" s="16" t="n"/>
      <c r="G77" s="16" t="n"/>
      <c r="H77" s="16" t="n"/>
      <c r="I77" s="16" t="n"/>
      <c r="J77" s="16" t="n"/>
      <c r="K77" s="16" t="n">
        <v>13.329741</v>
      </c>
      <c r="L77" s="16" t="n">
        <v>4</v>
      </c>
    </row>
    <row r="78">
      <c r="A78" s="16" t="n"/>
      <c r="B78" s="16" t="n"/>
      <c r="C78" s="16" t="n"/>
      <c r="D78" s="16" t="n"/>
      <c r="E78" s="16" t="n"/>
      <c r="F78" s="16" t="n"/>
      <c r="G78" s="16" t="n"/>
      <c r="H78" s="16" t="n"/>
      <c r="I78" s="16" t="n"/>
      <c r="J78" s="16" t="n"/>
      <c r="K78" s="16" t="n">
        <v>13.32448</v>
      </c>
      <c r="L78" s="16" t="n">
        <v>4</v>
      </c>
    </row>
    <row r="79">
      <c r="A79" s="16" t="n"/>
      <c r="B79" s="16" t="n"/>
      <c r="C79" s="16" t="n"/>
      <c r="D79" s="16" t="n"/>
      <c r="E79" s="16" t="n"/>
      <c r="F79" s="16" t="n"/>
      <c r="G79" s="16" t="n"/>
      <c r="H79" s="16" t="n"/>
      <c r="I79" s="16" t="n"/>
      <c r="J79" s="16" t="n"/>
      <c r="K79" s="16" t="n">
        <v>14.102643</v>
      </c>
      <c r="L79" s="16" t="n">
        <v>4</v>
      </c>
    </row>
    <row r="80">
      <c r="A80" s="16" t="n"/>
      <c r="B80" s="16" t="n"/>
      <c r="C80" s="16" t="n"/>
      <c r="D80" s="16" t="n"/>
      <c r="E80" s="16" t="n"/>
      <c r="F80" s="16" t="n"/>
      <c r="G80" s="16" t="n"/>
      <c r="H80" s="16" t="n"/>
      <c r="I80" s="16" t="n"/>
      <c r="J80" s="16" t="n"/>
      <c r="K80" s="16" t="n">
        <v>14.38284</v>
      </c>
      <c r="L80" s="16" t="n">
        <v>5</v>
      </c>
    </row>
    <row r="81">
      <c r="A81" s="16" t="n"/>
      <c r="B81" s="16" t="n"/>
      <c r="C81" s="16" t="n"/>
      <c r="D81" s="16" t="n"/>
      <c r="E81" s="16" t="n"/>
      <c r="F81" s="16" t="n"/>
      <c r="G81" s="16" t="n"/>
      <c r="H81" s="16" t="n"/>
      <c r="I81" s="16" t="n"/>
      <c r="J81" s="16" t="n"/>
      <c r="K81" s="16" t="n">
        <v>13.751056</v>
      </c>
      <c r="L81" s="16" t="n">
        <v>5</v>
      </c>
    </row>
    <row r="82">
      <c r="A82" s="16" t="n"/>
      <c r="B82" s="16" t="n"/>
      <c r="C82" s="16" t="n"/>
      <c r="D82" s="16" t="n"/>
      <c r="E82" s="16" t="n"/>
      <c r="F82" s="16" t="n"/>
      <c r="G82" s="16" t="n"/>
      <c r="H82" s="16" t="n"/>
      <c r="I82" s="16" t="n"/>
      <c r="J82" s="16" t="n"/>
      <c r="K82" s="16" t="n">
        <v>14.250988</v>
      </c>
      <c r="L82" s="16" t="n">
        <v>5</v>
      </c>
    </row>
    <row r="83">
      <c r="A83" s="16" t="n"/>
      <c r="B83" s="16" t="n"/>
      <c r="C83" s="16" t="n"/>
      <c r="D83" s="16" t="n"/>
      <c r="E83" s="16" t="n"/>
      <c r="F83" s="16" t="n"/>
      <c r="G83" s="16" t="n"/>
      <c r="H83" s="16" t="n"/>
      <c r="I83" s="16" t="n"/>
      <c r="J83" s="16" t="n"/>
      <c r="K83" s="16" t="n">
        <v>14.101285</v>
      </c>
      <c r="L83" s="16" t="n">
        <v>5</v>
      </c>
    </row>
    <row r="84">
      <c r="A84" s="16" t="n"/>
      <c r="B84" s="16" t="n"/>
      <c r="C84" s="16" t="n"/>
      <c r="D84" s="16" t="n"/>
      <c r="E84" s="16" t="n"/>
      <c r="F84" s="16" t="n"/>
      <c r="G84" s="16" t="n"/>
      <c r="H84" s="16" t="n"/>
      <c r="I84" s="16" t="n"/>
      <c r="J84" s="16" t="n"/>
      <c r="K84" s="16" t="n">
        <v>13.677299</v>
      </c>
      <c r="L84" s="16" t="n">
        <v>5</v>
      </c>
    </row>
    <row r="85">
      <c r="A85" s="16" t="n"/>
      <c r="B85" s="16" t="n"/>
      <c r="C85" s="16" t="n"/>
      <c r="D85" s="16" t="n"/>
      <c r="E85" s="16" t="n"/>
      <c r="F85" s="16" t="n"/>
      <c r="G85" s="16" t="n"/>
      <c r="H85" s="16" t="n"/>
      <c r="I85" s="16" t="n"/>
      <c r="J85" s="16" t="n"/>
      <c r="K85" s="16" t="n">
        <v>12.159534</v>
      </c>
      <c r="L85" s="16" t="n">
        <v>5</v>
      </c>
    </row>
    <row r="86">
      <c r="A86" s="16" t="n"/>
      <c r="B86" s="16" t="n"/>
      <c r="C86" s="16" t="n"/>
      <c r="D86" s="16" t="n"/>
      <c r="E86" s="16" t="n"/>
      <c r="F86" s="16" t="n"/>
      <c r="G86" s="16" t="n"/>
      <c r="H86" s="16" t="n"/>
      <c r="I86" s="16" t="n"/>
      <c r="J86" s="16" t="n"/>
      <c r="K86" s="16" t="n">
        <v>16.628238</v>
      </c>
      <c r="L86" s="16" t="n">
        <v>5</v>
      </c>
    </row>
    <row r="87">
      <c r="A87" s="16" t="n"/>
      <c r="B87" s="16" t="n"/>
      <c r="C87" s="16" t="n"/>
      <c r="D87" s="16" t="n"/>
      <c r="E87" s="16" t="n"/>
      <c r="F87" s="16" t="n"/>
      <c r="G87" s="16" t="n"/>
      <c r="H87" s="16" t="n"/>
      <c r="I87" s="16" t="n"/>
      <c r="J87" s="16" t="n"/>
      <c r="K87" s="16" t="n">
        <v>14.560851</v>
      </c>
      <c r="L87" s="16" t="n">
        <v>5</v>
      </c>
    </row>
    <row r="88">
      <c r="A88" s="16" t="n"/>
      <c r="B88" s="16" t="n"/>
      <c r="C88" s="16" t="n"/>
      <c r="D88" s="16" t="n"/>
      <c r="E88" s="16" t="n"/>
      <c r="F88" s="16" t="n"/>
      <c r="G88" s="16" t="n"/>
      <c r="H88" s="16" t="n"/>
      <c r="I88" s="16" t="n"/>
      <c r="J88" s="16" t="n"/>
      <c r="K88" s="16" t="n">
        <v>13.687946</v>
      </c>
      <c r="L88" s="16" t="n">
        <v>5</v>
      </c>
    </row>
    <row r="89">
      <c r="A89" s="16" t="n"/>
      <c r="B89" s="16" t="n"/>
      <c r="C89" s="16" t="n"/>
      <c r="D89" s="16" t="n"/>
      <c r="E89" s="16" t="n"/>
      <c r="F89" s="16" t="n"/>
      <c r="G89" s="16" t="n"/>
      <c r="H89" s="16" t="n"/>
      <c r="I89" s="16" t="n"/>
      <c r="J89" s="16" t="n"/>
      <c r="K89" s="16" t="n">
        <v>13.28573</v>
      </c>
      <c r="L89" s="16" t="n">
        <v>5</v>
      </c>
    </row>
    <row r="90">
      <c r="A90" s="16" t="n"/>
      <c r="B90" s="16" t="n"/>
      <c r="C90" s="16" t="n"/>
      <c r="D90" s="16" t="n"/>
      <c r="E90" s="16" t="n"/>
      <c r="F90" s="16" t="n"/>
      <c r="G90" s="16" t="n"/>
      <c r="H90" s="16" t="n"/>
      <c r="I90" s="16" t="n"/>
      <c r="J90" s="16" t="n"/>
      <c r="K90" s="16" t="n">
        <v>14.193174</v>
      </c>
      <c r="L90" s="16" t="n">
        <v>5</v>
      </c>
    </row>
    <row r="91">
      <c r="A91" s="16" t="n"/>
      <c r="B91" s="16" t="n"/>
      <c r="C91" s="16" t="n"/>
      <c r="D91" s="16" t="n"/>
      <c r="E91" s="16" t="n"/>
      <c r="F91" s="16" t="n"/>
      <c r="G91" s="16" t="n"/>
      <c r="H91" s="16" t="n"/>
      <c r="I91" s="16" t="n"/>
      <c r="J91" s="16" t="n"/>
      <c r="K91" s="16" t="n">
        <v>14.081912</v>
      </c>
      <c r="L91" s="16" t="n">
        <v>5</v>
      </c>
    </row>
    <row r="92">
      <c r="A92" s="16" t="n"/>
      <c r="B92" s="16" t="n"/>
      <c r="C92" s="16" t="n"/>
      <c r="D92" s="16" t="n"/>
      <c r="E92" s="16" t="n"/>
      <c r="F92" s="16" t="n"/>
      <c r="G92" s="16" t="n"/>
      <c r="H92" s="16" t="n"/>
      <c r="I92" s="16" t="n"/>
      <c r="J92" s="16" t="n"/>
      <c r="K92" s="16" t="n">
        <v>14.262814</v>
      </c>
      <c r="L92" s="16" t="n">
        <v>5</v>
      </c>
    </row>
    <row r="93">
      <c r="A93" s="16" t="n"/>
      <c r="B93" s="16" t="n"/>
      <c r="C93" s="16" t="n"/>
      <c r="D93" s="16" t="n"/>
      <c r="E93" s="16" t="n"/>
      <c r="F93" s="16" t="n"/>
      <c r="G93" s="16" t="n"/>
      <c r="H93" s="16" t="n"/>
      <c r="I93" s="16" t="n"/>
      <c r="J93" s="16" t="n"/>
      <c r="K93" s="16" t="n">
        <v>13.981983</v>
      </c>
      <c r="L93" s="16" t="n">
        <v>5</v>
      </c>
    </row>
    <row r="94">
      <c r="A94" s="16" t="n"/>
      <c r="B94" s="16" t="n"/>
      <c r="C94" s="16" t="n"/>
      <c r="D94" s="16" t="n"/>
      <c r="E94" s="16" t="n"/>
      <c r="F94" s="16" t="n"/>
      <c r="G94" s="16" t="n"/>
      <c r="H94" s="16" t="n"/>
      <c r="I94" s="16" t="n"/>
      <c r="J94" s="16" t="n"/>
      <c r="K94" s="16" t="n">
        <v>14.18787</v>
      </c>
      <c r="L94" s="16" t="n">
        <v>5</v>
      </c>
    </row>
    <row r="95">
      <c r="A95" s="16" t="n"/>
      <c r="B95" s="16" t="n"/>
      <c r="C95" s="16" t="n"/>
      <c r="D95" s="16" t="n"/>
      <c r="E95" s="16" t="n"/>
      <c r="F95" s="16" t="n"/>
      <c r="G95" s="16" t="n"/>
      <c r="H95" s="16" t="n"/>
      <c r="I95" s="16" t="n"/>
      <c r="J95" s="16" t="n"/>
      <c r="K95" s="16" t="n">
        <v>13.846676</v>
      </c>
      <c r="L95" s="16" t="n">
        <v>5</v>
      </c>
    </row>
    <row r="96">
      <c r="A96" s="16" t="n"/>
      <c r="B96" s="16" t="n"/>
      <c r="C96" s="16" t="n"/>
      <c r="D96" s="16" t="n"/>
      <c r="E96" s="16" t="n"/>
      <c r="F96" s="16" t="n"/>
      <c r="G96" s="16" t="n"/>
      <c r="H96" s="16" t="n"/>
      <c r="I96" s="16" t="n"/>
      <c r="J96" s="16" t="n"/>
      <c r="K96" s="16" t="n">
        <v>13.732202</v>
      </c>
      <c r="L96" s="16" t="n">
        <v>5</v>
      </c>
    </row>
    <row r="97">
      <c r="A97" s="16" t="n"/>
      <c r="B97" s="16" t="n"/>
      <c r="C97" s="16" t="n"/>
      <c r="D97" s="16" t="n"/>
      <c r="E97" s="16" t="n"/>
      <c r="F97" s="16" t="n"/>
      <c r="G97" s="16" t="n"/>
      <c r="H97" s="16" t="n"/>
      <c r="I97" s="16" t="n"/>
      <c r="J97" s="16" t="n"/>
      <c r="K97" s="16" t="n">
        <v>14.564651</v>
      </c>
      <c r="L97" s="16" t="n">
        <v>5</v>
      </c>
    </row>
    <row r="98">
      <c r="A98" s="16" t="n"/>
      <c r="B98" s="16" t="n"/>
      <c r="C98" s="16" t="n"/>
      <c r="D98" s="16" t="n"/>
      <c r="E98" s="16" t="n"/>
      <c r="F98" s="16" t="n"/>
      <c r="G98" s="16" t="n"/>
      <c r="H98" s="16" t="n"/>
      <c r="I98" s="16" t="n"/>
      <c r="J98" s="16" t="n"/>
      <c r="K98" s="16" t="n">
        <v>14.837441</v>
      </c>
      <c r="L98" s="16" t="n">
        <v>6</v>
      </c>
    </row>
    <row r="99">
      <c r="A99" s="16" t="n"/>
      <c r="B99" s="16" t="n"/>
      <c r="C99" s="16" t="n"/>
      <c r="D99" s="16" t="n"/>
      <c r="E99" s="16" t="n"/>
      <c r="F99" s="16" t="n"/>
      <c r="G99" s="16" t="n"/>
      <c r="H99" s="16" t="n"/>
      <c r="I99" s="16" t="n"/>
      <c r="J99" s="16" t="n"/>
      <c r="K99" s="16" t="n">
        <v>14.059169</v>
      </c>
      <c r="L99" s="16" t="n">
        <v>6</v>
      </c>
    </row>
    <row r="100">
      <c r="A100" s="16" t="n"/>
      <c r="B100" s="16" t="n"/>
      <c r="C100" s="16" t="n"/>
      <c r="D100" s="16" t="n"/>
      <c r="E100" s="16" t="n"/>
      <c r="F100" s="16" t="n"/>
      <c r="G100" s="16" t="n"/>
      <c r="H100" s="16" t="n"/>
      <c r="I100" s="16" t="n"/>
      <c r="J100" s="16" t="n"/>
      <c r="K100" s="16" t="n">
        <v>14.644669</v>
      </c>
      <c r="L100" s="16" t="n">
        <v>6</v>
      </c>
    </row>
    <row r="101">
      <c r="A101" s="16" t="n"/>
      <c r="B101" s="16" t="n"/>
      <c r="C101" s="16" t="n"/>
      <c r="D101" s="16" t="n"/>
      <c r="E101" s="16" t="n"/>
      <c r="F101" s="16" t="n"/>
      <c r="G101" s="16" t="n"/>
      <c r="H101" s="16" t="n"/>
      <c r="I101" s="16" t="n"/>
      <c r="J101" s="16" t="n"/>
      <c r="K101" s="16" t="n">
        <v>14.488405</v>
      </c>
      <c r="L101" s="16" t="n">
        <v>6</v>
      </c>
    </row>
    <row r="102">
      <c r="A102" s="16" t="n"/>
      <c r="B102" s="16" t="n"/>
      <c r="C102" s="16" t="n"/>
      <c r="D102" s="16" t="n"/>
      <c r="E102" s="16" t="n"/>
      <c r="F102" s="16" t="n"/>
      <c r="G102" s="16" t="n"/>
      <c r="H102" s="16" t="n"/>
      <c r="I102" s="16" t="n"/>
      <c r="J102" s="16" t="n"/>
      <c r="K102" s="16" t="n">
        <v>14.85046</v>
      </c>
      <c r="L102" s="16" t="n">
        <v>6</v>
      </c>
    </row>
    <row r="103">
      <c r="A103" s="16" t="n"/>
      <c r="B103" s="16" t="n"/>
      <c r="C103" s="16" t="n"/>
      <c r="D103" s="16" t="n"/>
      <c r="E103" s="16" t="n"/>
      <c r="F103" s="16" t="n"/>
      <c r="G103" s="16" t="n"/>
      <c r="H103" s="16" t="n"/>
      <c r="I103" s="16" t="n"/>
      <c r="J103" s="16" t="n"/>
      <c r="K103" s="16" t="n">
        <v>14.141657</v>
      </c>
      <c r="L103" s="16" t="n">
        <v>6</v>
      </c>
    </row>
    <row r="104">
      <c r="A104" s="16" t="n"/>
      <c r="B104" s="16" t="n"/>
      <c r="C104" s="16" t="n"/>
      <c r="D104" s="16" t="n"/>
      <c r="E104" s="16" t="n"/>
      <c r="F104" s="16" t="n"/>
      <c r="G104" s="16" t="n"/>
      <c r="H104" s="16" t="n"/>
      <c r="I104" s="16" t="n"/>
      <c r="J104" s="16" t="n"/>
      <c r="K104" s="16" t="n">
        <v>12.578793</v>
      </c>
      <c r="L104" s="16" t="n">
        <v>6</v>
      </c>
    </row>
    <row r="105">
      <c r="A105" s="16" t="n"/>
      <c r="B105" s="16" t="n"/>
      <c r="C105" s="16" t="n"/>
      <c r="D105" s="16" t="n"/>
      <c r="E105" s="16" t="n"/>
      <c r="F105" s="16" t="n"/>
      <c r="G105" s="16" t="n"/>
      <c r="H105" s="16" t="n"/>
      <c r="I105" s="16" t="n"/>
      <c r="J105" s="16" t="n"/>
      <c r="K105" s="16" t="n">
        <v>16.994294</v>
      </c>
      <c r="L105" s="16" t="n">
        <v>6</v>
      </c>
    </row>
    <row r="106">
      <c r="A106" s="16" t="n"/>
      <c r="B106" s="16" t="n"/>
      <c r="C106" s="16" t="n"/>
      <c r="D106" s="16" t="n"/>
      <c r="E106" s="16" t="n"/>
      <c r="F106" s="16" t="n"/>
      <c r="G106" s="16" t="n"/>
      <c r="H106" s="16" t="n"/>
      <c r="I106" s="16" t="n"/>
      <c r="J106" s="16" t="n"/>
      <c r="K106" s="16" t="n">
        <v>14.039597</v>
      </c>
      <c r="L106" s="16" t="n">
        <v>6</v>
      </c>
    </row>
    <row r="107">
      <c r="A107" s="16" t="n"/>
      <c r="B107" s="16" t="n"/>
      <c r="C107" s="16" t="n"/>
      <c r="D107" s="16" t="n"/>
      <c r="E107" s="16" t="n"/>
      <c r="F107" s="16" t="n"/>
      <c r="G107" s="16" t="n"/>
      <c r="H107" s="16" t="n"/>
      <c r="I107" s="16" t="n"/>
      <c r="J107" s="16" t="n"/>
      <c r="K107" s="16" t="n">
        <v>13.645214</v>
      </c>
      <c r="L107" s="16" t="n">
        <v>6</v>
      </c>
    </row>
    <row r="108">
      <c r="A108" s="16" t="n"/>
      <c r="B108" s="16" t="n"/>
      <c r="C108" s="16" t="n"/>
      <c r="D108" s="16" t="n"/>
      <c r="E108" s="16" t="n"/>
      <c r="F108" s="16" t="n"/>
      <c r="G108" s="16" t="n"/>
      <c r="H108" s="16" t="n"/>
      <c r="I108" s="16" t="n"/>
      <c r="J108" s="16" t="n"/>
      <c r="K108" s="16" t="n">
        <v>14.589862</v>
      </c>
      <c r="L108" s="16" t="n">
        <v>6</v>
      </c>
    </row>
    <row r="109">
      <c r="A109" s="16" t="n"/>
      <c r="B109" s="16" t="n"/>
      <c r="C109" s="16" t="n"/>
      <c r="D109" s="16" t="n"/>
      <c r="E109" s="16" t="n"/>
      <c r="F109" s="16" t="n"/>
      <c r="G109" s="16" t="n"/>
      <c r="H109" s="16" t="n"/>
      <c r="I109" s="16" t="n"/>
      <c r="J109" s="16" t="n"/>
      <c r="K109" s="16" t="n">
        <v>14.461743</v>
      </c>
      <c r="L109" s="16" t="n">
        <v>6</v>
      </c>
    </row>
    <row r="110">
      <c r="A110" s="16" t="n"/>
      <c r="B110" s="16" t="n"/>
      <c r="C110" s="16" t="n"/>
      <c r="D110" s="16" t="n"/>
      <c r="E110" s="16" t="n"/>
      <c r="F110" s="16" t="n"/>
      <c r="G110" s="16" t="n"/>
      <c r="H110" s="16" t="n"/>
      <c r="I110" s="16" t="n"/>
      <c r="J110" s="16" t="n"/>
      <c r="K110" s="16" t="n">
        <v>14.679277</v>
      </c>
      <c r="L110" s="16" t="n">
        <v>6</v>
      </c>
    </row>
    <row r="111">
      <c r="A111" s="16" t="n"/>
      <c r="B111" s="16" t="n"/>
      <c r="C111" s="16" t="n"/>
      <c r="D111" s="16" t="n"/>
      <c r="E111" s="16" t="n"/>
      <c r="F111" s="16" t="n"/>
      <c r="G111" s="16" t="n"/>
      <c r="H111" s="16" t="n"/>
      <c r="I111" s="16" t="n"/>
      <c r="J111" s="16" t="n"/>
      <c r="K111" s="16" t="n">
        <v>14.341347</v>
      </c>
      <c r="L111" s="16" t="n">
        <v>6</v>
      </c>
    </row>
    <row r="112">
      <c r="A112" s="16" t="n"/>
      <c r="B112" s="16" t="n"/>
      <c r="C112" s="16" t="n"/>
      <c r="D112" s="16" t="n"/>
      <c r="E112" s="16" t="n"/>
      <c r="F112" s="16" t="n"/>
      <c r="G112" s="16" t="n"/>
      <c r="H112" s="16" t="n"/>
      <c r="I112" s="16" t="n"/>
      <c r="J112" s="16" t="n"/>
      <c r="K112" s="16" t="n">
        <v>14.584664</v>
      </c>
      <c r="L112" s="16" t="n">
        <v>6</v>
      </c>
    </row>
    <row r="113">
      <c r="A113" s="16" t="n"/>
      <c r="B113" s="16" t="n"/>
      <c r="C113" s="16" t="n"/>
      <c r="D113" s="16" t="n"/>
      <c r="E113" s="16" t="n"/>
      <c r="F113" s="16" t="n"/>
      <c r="G113" s="16" t="n"/>
      <c r="H113" s="16" t="n"/>
      <c r="I113" s="16" t="n"/>
      <c r="J113" s="16" t="n"/>
      <c r="K113" s="16" t="n">
        <v>14.185743</v>
      </c>
      <c r="L113" s="16" t="n">
        <v>6</v>
      </c>
    </row>
    <row r="114">
      <c r="A114" s="16" t="n"/>
      <c r="B114" s="16" t="n"/>
      <c r="C114" s="16" t="n"/>
      <c r="D114" s="16" t="n"/>
      <c r="E114" s="16" t="n"/>
      <c r="F114" s="16" t="n"/>
      <c r="G114" s="16" t="n"/>
      <c r="H114" s="16" t="n"/>
      <c r="I114" s="16" t="n"/>
      <c r="J114" s="16" t="n"/>
      <c r="K114" s="16" t="n">
        <v>14.127792</v>
      </c>
      <c r="L114" s="16" t="n">
        <v>6</v>
      </c>
    </row>
    <row r="115">
      <c r="A115" s="16" t="n"/>
      <c r="B115" s="16" t="n"/>
      <c r="C115" s="16" t="n"/>
      <c r="D115" s="16" t="n"/>
      <c r="E115" s="16" t="n"/>
      <c r="F115" s="16" t="n"/>
      <c r="G115" s="16" t="n"/>
      <c r="H115" s="16" t="n"/>
      <c r="I115" s="16" t="n"/>
      <c r="J115" s="16" t="n"/>
      <c r="K115" s="16" t="n">
        <v>14.968642</v>
      </c>
      <c r="L115" s="16" t="n">
        <v>6</v>
      </c>
    </row>
    <row r="116">
      <c r="A116" s="16" t="n"/>
      <c r="B116" s="16" t="n"/>
      <c r="C116" s="16" t="n"/>
      <c r="D116" s="16" t="n"/>
      <c r="E116" s="16" t="n"/>
      <c r="F116" s="16" t="n"/>
      <c r="G116" s="16" t="n"/>
      <c r="H116" s="16" t="n"/>
      <c r="I116" s="16" t="n"/>
      <c r="J116" s="16" t="n"/>
      <c r="K116" s="16" t="n">
        <v>12.84162</v>
      </c>
      <c r="L116" s="16" t="n">
        <v>1</v>
      </c>
    </row>
    <row r="117">
      <c r="A117" s="16" t="n"/>
      <c r="B117" s="16" t="n"/>
      <c r="C117" s="16" t="n"/>
      <c r="D117" s="16" t="n"/>
      <c r="E117" s="16" t="n"/>
      <c r="F117" s="16" t="n"/>
      <c r="G117" s="16" t="n"/>
      <c r="H117" s="16" t="n"/>
      <c r="I117" s="16" t="n"/>
      <c r="J117" s="16" t="n"/>
      <c r="K117" s="16" t="n">
        <v>10.248868</v>
      </c>
      <c r="L117" s="16" t="n">
        <v>1</v>
      </c>
    </row>
    <row r="118">
      <c r="A118" s="16" t="n"/>
      <c r="B118" s="16" t="n"/>
      <c r="C118" s="16" t="n"/>
      <c r="D118" s="16" t="n"/>
      <c r="E118" s="16" t="n"/>
      <c r="F118" s="16" t="n"/>
      <c r="G118" s="16" t="n"/>
      <c r="H118" s="16" t="n"/>
      <c r="I118" s="16" t="n"/>
      <c r="J118" s="16" t="n"/>
      <c r="K118" s="16" t="n">
        <v>12.010549</v>
      </c>
      <c r="L118" s="16" t="n">
        <v>1</v>
      </c>
    </row>
    <row r="119">
      <c r="A119" s="16" t="n"/>
      <c r="B119" s="16" t="n"/>
      <c r="C119" s="16" t="n"/>
      <c r="D119" s="16" t="n"/>
      <c r="E119" s="16" t="n"/>
      <c r="F119" s="16" t="n"/>
      <c r="G119" s="16" t="n"/>
      <c r="H119" s="16" t="n"/>
      <c r="I119" s="16" t="n"/>
      <c r="J119" s="16" t="n"/>
      <c r="K119" s="16" t="n">
        <v>11.634758</v>
      </c>
      <c r="L119" s="16" t="n">
        <v>1</v>
      </c>
    </row>
    <row r="120">
      <c r="A120" s="16" t="n"/>
      <c r="B120" s="16" t="n"/>
      <c r="C120" s="16" t="n"/>
      <c r="D120" s="16" t="n"/>
      <c r="E120" s="16" t="n"/>
      <c r="F120" s="16" t="n"/>
      <c r="G120" s="16" t="n"/>
      <c r="H120" s="16" t="n"/>
      <c r="I120" s="16" t="n"/>
      <c r="J120" s="16" t="n"/>
      <c r="K120" s="16" t="n">
        <v>11.932815</v>
      </c>
      <c r="L120" s="16" t="n">
        <v>1</v>
      </c>
    </row>
    <row r="121">
      <c r="A121" s="16" t="n"/>
      <c r="B121" s="16" t="n"/>
      <c r="C121" s="16" t="n"/>
      <c r="D121" s="16" t="n"/>
      <c r="E121" s="16" t="n"/>
      <c r="F121" s="16" t="n"/>
      <c r="G121" s="16" t="n"/>
      <c r="H121" s="16" t="n"/>
      <c r="I121" s="16" t="n"/>
      <c r="J121" s="16" t="n"/>
      <c r="K121" s="16" t="n">
        <v>9.467071000000001</v>
      </c>
      <c r="L121" s="16" t="n">
        <v>1</v>
      </c>
    </row>
    <row r="122">
      <c r="A122" s="16" t="n"/>
      <c r="B122" s="16" t="n"/>
      <c r="C122" s="16" t="n"/>
      <c r="D122" s="16" t="n"/>
      <c r="E122" s="16" t="n"/>
      <c r="F122" s="16" t="n"/>
      <c r="G122" s="16" t="n"/>
      <c r="H122" s="16" t="n"/>
      <c r="I122" s="16" t="n"/>
      <c r="J122" s="16" t="n"/>
      <c r="K122" s="16" t="n">
        <v>13.261995</v>
      </c>
      <c r="L122" s="16" t="n">
        <v>1</v>
      </c>
    </row>
    <row r="123">
      <c r="A123" s="16" t="n"/>
      <c r="B123" s="16" t="n"/>
      <c r="C123" s="16" t="n"/>
      <c r="D123" s="16" t="n"/>
      <c r="E123" s="16" t="n"/>
      <c r="F123" s="16" t="n"/>
      <c r="G123" s="16" t="n"/>
      <c r="H123" s="16" t="n"/>
      <c r="I123" s="16" t="n"/>
      <c r="J123" s="16" t="n"/>
      <c r="K123" s="16" t="n">
        <v>12.842235</v>
      </c>
      <c r="L123" s="16" t="n">
        <v>1</v>
      </c>
    </row>
    <row r="124">
      <c r="A124" s="16" t="n"/>
      <c r="B124" s="16" t="n"/>
      <c r="C124" s="16" t="n"/>
      <c r="D124" s="16" t="n"/>
      <c r="E124" s="16" t="n"/>
      <c r="F124" s="16" t="n"/>
      <c r="G124" s="16" t="n"/>
      <c r="H124" s="16" t="n"/>
      <c r="I124" s="16" t="n"/>
      <c r="J124" s="16" t="n"/>
      <c r="K124" s="16" t="n">
        <v>11.096616</v>
      </c>
      <c r="L124" s="16" t="n">
        <v>1</v>
      </c>
    </row>
    <row r="125">
      <c r="A125" s="16" t="n"/>
      <c r="B125" s="16" t="n"/>
      <c r="C125" s="16" t="n"/>
      <c r="D125" s="16" t="n"/>
      <c r="E125" s="16" t="n"/>
      <c r="F125" s="16" t="n"/>
      <c r="G125" s="16" t="n"/>
      <c r="H125" s="16" t="n"/>
      <c r="I125" s="16" t="n"/>
      <c r="J125" s="16" t="n"/>
      <c r="K125" s="16" t="n">
        <v>11.9587</v>
      </c>
      <c r="L125" s="16" t="n">
        <v>1</v>
      </c>
    </row>
    <row r="126">
      <c r="A126" s="16" t="n"/>
      <c r="B126" s="16" t="n"/>
      <c r="C126" s="16" t="n"/>
      <c r="D126" s="16" t="n"/>
      <c r="E126" s="16" t="n"/>
      <c r="F126" s="16" t="n"/>
      <c r="G126" s="16" t="n"/>
      <c r="H126" s="16" t="n"/>
      <c r="I126" s="16" t="n"/>
      <c r="J126" s="16" t="n"/>
      <c r="K126" s="16" t="n">
        <v>11.850138</v>
      </c>
      <c r="L126" s="16" t="n">
        <v>1</v>
      </c>
    </row>
    <row r="127">
      <c r="A127" s="16" t="n"/>
      <c r="B127" s="16" t="n"/>
      <c r="C127" s="16" t="n"/>
      <c r="D127" s="16" t="n"/>
      <c r="E127" s="16" t="n"/>
      <c r="F127" s="16" t="n"/>
      <c r="G127" s="16" t="n"/>
      <c r="H127" s="16" t="n"/>
      <c r="I127" s="16" t="n"/>
      <c r="J127" s="16" t="n"/>
      <c r="K127" s="16" t="n">
        <v>12.162726</v>
      </c>
      <c r="L127" s="16" t="n">
        <v>1</v>
      </c>
    </row>
    <row r="128">
      <c r="A128" s="16" t="n"/>
      <c r="B128" s="16" t="n"/>
      <c r="C128" s="16" t="n"/>
      <c r="D128" s="16" t="n"/>
      <c r="E128" s="16" t="n"/>
      <c r="F128" s="16" t="n"/>
      <c r="G128" s="16" t="n"/>
      <c r="H128" s="16" t="n"/>
      <c r="I128" s="16" t="n"/>
      <c r="J128" s="16" t="n"/>
      <c r="K128" s="16" t="n">
        <v>11.613196</v>
      </c>
      <c r="L128" s="16" t="n">
        <v>1</v>
      </c>
    </row>
    <row r="129">
      <c r="A129" s="16" t="n"/>
      <c r="B129" s="16" t="n"/>
      <c r="C129" s="16" t="n"/>
      <c r="D129" s="16" t="n"/>
      <c r="E129" s="16" t="n"/>
      <c r="F129" s="16" t="n"/>
      <c r="G129" s="16" t="n"/>
      <c r="H129" s="16" t="n"/>
      <c r="I129" s="16" t="n"/>
      <c r="J129" s="16" t="n"/>
      <c r="K129" s="16" t="n">
        <v>12.369837</v>
      </c>
      <c r="L129" s="16" t="n">
        <v>1</v>
      </c>
    </row>
    <row r="130">
      <c r="A130" s="16" t="n"/>
      <c r="B130" s="16" t="n"/>
      <c r="C130" s="16" t="n"/>
      <c r="D130" s="16" t="n"/>
      <c r="E130" s="16" t="n"/>
      <c r="F130" s="16" t="n"/>
      <c r="G130" s="16" t="n"/>
      <c r="H130" s="16" t="n"/>
      <c r="I130" s="16" t="n"/>
      <c r="J130" s="16" t="n"/>
      <c r="K130" s="16" t="n">
        <v>11.479227</v>
      </c>
      <c r="L130" s="16" t="n">
        <v>1</v>
      </c>
    </row>
    <row r="131">
      <c r="A131" s="16" t="n"/>
      <c r="B131" s="16" t="n"/>
      <c r="C131" s="16" t="n"/>
      <c r="D131" s="16" t="n"/>
      <c r="E131" s="16" t="n"/>
      <c r="F131" s="16" t="n"/>
      <c r="G131" s="16" t="n"/>
      <c r="H131" s="16" t="n"/>
      <c r="I131" s="16" t="n"/>
      <c r="J131" s="16" t="n"/>
      <c r="K131" s="16" t="n">
        <v>11.546895</v>
      </c>
      <c r="L131" s="16" t="n">
        <v>1</v>
      </c>
    </row>
    <row r="132">
      <c r="A132" s="16" t="n"/>
      <c r="B132" s="16" t="n"/>
      <c r="C132" s="16" t="n"/>
      <c r="D132" s="16" t="n"/>
      <c r="E132" s="16" t="n"/>
      <c r="F132" s="16" t="n"/>
      <c r="G132" s="16" t="n"/>
      <c r="H132" s="16" t="n"/>
      <c r="I132" s="16" t="n"/>
      <c r="J132" s="16" t="n"/>
      <c r="K132" s="16" t="n">
        <v>12.219019</v>
      </c>
      <c r="L132" s="16" t="n">
        <v>1</v>
      </c>
    </row>
    <row r="133">
      <c r="A133" s="16" t="n"/>
      <c r="B133" s="16" t="n"/>
      <c r="C133" s="16" t="n"/>
      <c r="D133" s="16" t="n"/>
      <c r="E133" s="16" t="n"/>
      <c r="F133" s="16" t="n"/>
      <c r="G133" s="16" t="n"/>
      <c r="H133" s="16" t="n"/>
      <c r="I133" s="16" t="n"/>
      <c r="J133" s="16" t="n"/>
      <c r="K133" s="16" t="n">
        <v>13.706382</v>
      </c>
      <c r="L133" s="16" t="n">
        <v>2</v>
      </c>
    </row>
    <row r="134">
      <c r="A134" s="16" t="n"/>
      <c r="B134" s="16" t="n"/>
      <c r="C134" s="16" t="n"/>
      <c r="D134" s="16" t="n"/>
      <c r="E134" s="16" t="n"/>
      <c r="F134" s="16" t="n"/>
      <c r="G134" s="16" t="n"/>
      <c r="H134" s="16" t="n"/>
      <c r="I134" s="16" t="n"/>
      <c r="J134" s="16" t="n"/>
      <c r="K134" s="16" t="n">
        <v>10.973459</v>
      </c>
      <c r="L134" s="16" t="n">
        <v>2</v>
      </c>
    </row>
    <row r="135">
      <c r="A135" s="16" t="n"/>
      <c r="B135" s="16" t="n"/>
      <c r="C135" s="16" t="n"/>
      <c r="D135" s="16" t="n"/>
      <c r="E135" s="16" t="n"/>
      <c r="F135" s="16" t="n"/>
      <c r="G135" s="16" t="n"/>
      <c r="H135" s="16" t="n"/>
      <c r="I135" s="16" t="n"/>
      <c r="J135" s="16" t="n"/>
      <c r="K135" s="16" t="n">
        <v>12.82963</v>
      </c>
      <c r="L135" s="16" t="n">
        <v>2</v>
      </c>
    </row>
    <row r="136">
      <c r="A136" s="16" t="n"/>
      <c r="B136" s="16" t="n"/>
      <c r="C136" s="16" t="n"/>
      <c r="D136" s="16" t="n"/>
      <c r="E136" s="16" t="n"/>
      <c r="F136" s="16" t="n"/>
      <c r="G136" s="16" t="n"/>
      <c r="H136" s="16" t="n"/>
      <c r="I136" s="16" t="n"/>
      <c r="J136" s="16" t="n"/>
      <c r="K136" s="16" t="n">
        <v>12.440438</v>
      </c>
      <c r="L136" s="16" t="n">
        <v>2</v>
      </c>
    </row>
    <row r="137">
      <c r="A137" s="16" t="n"/>
      <c r="B137" s="16" t="n"/>
      <c r="C137" s="16" t="n"/>
      <c r="D137" s="16" t="n"/>
      <c r="E137" s="16" t="n"/>
      <c r="F137" s="16" t="n"/>
      <c r="G137" s="16" t="n"/>
      <c r="H137" s="16" t="n"/>
      <c r="I137" s="16" t="n"/>
      <c r="J137" s="16" t="n"/>
      <c r="K137" s="16" t="n">
        <v>12.736359</v>
      </c>
      <c r="L137" s="16" t="n">
        <v>2</v>
      </c>
    </row>
    <row r="138">
      <c r="A138" s="16" t="n"/>
      <c r="B138" s="16" t="n"/>
      <c r="C138" s="16" t="n"/>
      <c r="D138" s="16" t="n"/>
      <c r="E138" s="16" t="n"/>
      <c r="F138" s="16" t="n"/>
      <c r="G138" s="16" t="n"/>
      <c r="H138" s="16" t="n"/>
      <c r="I138" s="16" t="n"/>
      <c r="J138" s="16" t="n"/>
      <c r="K138" s="16" t="n">
        <v>10.119285</v>
      </c>
      <c r="L138" s="16" t="n">
        <v>2</v>
      </c>
    </row>
    <row r="139">
      <c r="A139" s="16" t="n"/>
      <c r="B139" s="16" t="n"/>
      <c r="C139" s="16" t="n"/>
      <c r="D139" s="16" t="n"/>
      <c r="E139" s="16" t="n"/>
      <c r="F139" s="16" t="n"/>
      <c r="G139" s="16" t="n"/>
      <c r="H139" s="16" t="n"/>
      <c r="I139" s="16" t="n"/>
      <c r="J139" s="16" t="n"/>
      <c r="K139" s="16" t="n">
        <v>14.170012</v>
      </c>
      <c r="L139" s="16" t="n">
        <v>2</v>
      </c>
    </row>
    <row r="140">
      <c r="A140" s="16" t="n"/>
      <c r="B140" s="16" t="n"/>
      <c r="C140" s="16" t="n"/>
      <c r="D140" s="16" t="n"/>
      <c r="E140" s="16" t="n"/>
      <c r="F140" s="16" t="n"/>
      <c r="G140" s="16" t="n"/>
      <c r="H140" s="16" t="n"/>
      <c r="I140" s="16" t="n"/>
      <c r="J140" s="16" t="n"/>
      <c r="K140" s="16" t="n">
        <v>13.715759</v>
      </c>
      <c r="L140" s="16" t="n">
        <v>2</v>
      </c>
    </row>
    <row r="141">
      <c r="A141" s="16" t="n"/>
      <c r="B141" s="16" t="n"/>
      <c r="C141" s="16" t="n"/>
      <c r="D141" s="16" t="n"/>
      <c r="E141" s="16" t="n"/>
      <c r="F141" s="16" t="n"/>
      <c r="G141" s="16" t="n"/>
      <c r="H141" s="16" t="n"/>
      <c r="I141" s="16" t="n"/>
      <c r="J141" s="16" t="n"/>
      <c r="K141" s="16" t="n">
        <v>11.908414</v>
      </c>
      <c r="L141" s="16" t="n">
        <v>2</v>
      </c>
    </row>
    <row r="142">
      <c r="A142" s="16" t="n"/>
      <c r="B142" s="16" t="n"/>
      <c r="C142" s="16" t="n"/>
      <c r="D142" s="16" t="n"/>
      <c r="E142" s="16" t="n"/>
      <c r="F142" s="16" t="n"/>
      <c r="G142" s="16" t="n"/>
      <c r="H142" s="16" t="n"/>
      <c r="I142" s="16" t="n"/>
      <c r="J142" s="16" t="n"/>
      <c r="K142" s="16" t="n">
        <v>12.768726</v>
      </c>
      <c r="L142" s="16" t="n">
        <v>2</v>
      </c>
    </row>
    <row r="143">
      <c r="A143" s="16" t="n"/>
      <c r="B143" s="16" t="n"/>
      <c r="C143" s="16" t="n"/>
      <c r="D143" s="16" t="n"/>
      <c r="E143" s="16" t="n"/>
      <c r="F143" s="16" t="n"/>
      <c r="G143" s="16" t="n"/>
      <c r="H143" s="16" t="n"/>
      <c r="I143" s="16" t="n"/>
      <c r="J143" s="16" t="n"/>
      <c r="K143" s="16" t="n">
        <v>12.660774</v>
      </c>
      <c r="L143" s="16" t="n">
        <v>2</v>
      </c>
    </row>
    <row r="144">
      <c r="A144" s="16" t="n"/>
      <c r="B144" s="16" t="n"/>
      <c r="C144" s="16" t="n"/>
      <c r="D144" s="16" t="n"/>
      <c r="E144" s="16" t="n"/>
      <c r="F144" s="16" t="n"/>
      <c r="G144" s="16" t="n"/>
      <c r="H144" s="16" t="n"/>
      <c r="I144" s="16" t="n"/>
      <c r="J144" s="16" t="n"/>
      <c r="K144" s="16" t="n">
        <v>12.987171</v>
      </c>
      <c r="L144" s="16" t="n">
        <v>2</v>
      </c>
    </row>
    <row r="145">
      <c r="A145" s="16" t="n"/>
      <c r="B145" s="16" t="n"/>
      <c r="C145" s="16" t="n"/>
      <c r="D145" s="16" t="n"/>
      <c r="E145" s="16" t="n"/>
      <c r="F145" s="16" t="n"/>
      <c r="G145" s="16" t="n"/>
      <c r="H145" s="16" t="n"/>
      <c r="I145" s="16" t="n"/>
      <c r="J145" s="16" t="n"/>
      <c r="K145" s="16" t="n">
        <v>12.4082</v>
      </c>
      <c r="L145" s="16" t="n">
        <v>2</v>
      </c>
    </row>
    <row r="146">
      <c r="A146" s="16" t="n"/>
      <c r="B146" s="16" t="n"/>
      <c r="C146" s="16" t="n"/>
      <c r="D146" s="16" t="n"/>
      <c r="E146" s="16" t="n"/>
      <c r="F146" s="16" t="n"/>
      <c r="G146" s="16" t="n"/>
      <c r="H146" s="16" t="n"/>
      <c r="I146" s="16" t="n"/>
      <c r="J146" s="16" t="n"/>
      <c r="K146" s="16" t="n">
        <v>13.211684</v>
      </c>
      <c r="L146" s="16" t="n">
        <v>2</v>
      </c>
    </row>
    <row r="147">
      <c r="A147" s="16" t="n"/>
      <c r="B147" s="16" t="n"/>
      <c r="C147" s="16" t="n"/>
      <c r="D147" s="16" t="n"/>
      <c r="E147" s="16" t="n"/>
      <c r="F147" s="16" t="n"/>
      <c r="G147" s="16" t="n"/>
      <c r="H147" s="16" t="n"/>
      <c r="I147" s="16" t="n"/>
      <c r="J147" s="16" t="n"/>
      <c r="K147" s="16" t="n">
        <v>12.260769</v>
      </c>
      <c r="L147" s="16" t="n">
        <v>2</v>
      </c>
    </row>
    <row r="148">
      <c r="A148" s="16" t="n"/>
      <c r="B148" s="16" t="n"/>
      <c r="C148" s="16" t="n"/>
      <c r="D148" s="16" t="n"/>
      <c r="E148" s="16" t="n"/>
      <c r="F148" s="16" t="n"/>
      <c r="G148" s="16" t="n"/>
      <c r="H148" s="16" t="n"/>
      <c r="I148" s="16" t="n"/>
      <c r="J148" s="16" t="n"/>
      <c r="K148" s="16" t="n">
        <v>12.335884</v>
      </c>
      <c r="L148" s="16" t="n">
        <v>2</v>
      </c>
    </row>
    <row r="149">
      <c r="A149" s="16" t="n"/>
      <c r="B149" s="16" t="n"/>
      <c r="C149" s="16" t="n"/>
      <c r="D149" s="16" t="n"/>
      <c r="E149" s="16" t="n"/>
      <c r="F149" s="16" t="n"/>
      <c r="G149" s="16" t="n"/>
      <c r="H149" s="16" t="n"/>
      <c r="I149" s="16" t="n"/>
      <c r="J149" s="16" t="n"/>
      <c r="K149" s="16" t="n">
        <v>13.060857</v>
      </c>
      <c r="L149" s="16" t="n">
        <v>2</v>
      </c>
    </row>
    <row r="150">
      <c r="A150" s="16" t="n"/>
      <c r="B150" s="16" t="n"/>
      <c r="C150" s="16" t="n"/>
      <c r="D150" s="16" t="n"/>
      <c r="E150" s="16" t="n"/>
      <c r="F150" s="16" t="n"/>
      <c r="G150" s="16" t="n"/>
      <c r="H150" s="16" t="n"/>
      <c r="I150" s="16" t="n"/>
      <c r="J150" s="16" t="n"/>
      <c r="K150" s="16" t="n">
        <v>14.412394</v>
      </c>
      <c r="L150" s="16" t="n">
        <v>3</v>
      </c>
    </row>
    <row r="151">
      <c r="A151" s="16" t="n"/>
      <c r="B151" s="16" t="n"/>
      <c r="C151" s="16" t="n"/>
      <c r="D151" s="16" t="n"/>
      <c r="E151" s="16" t="n"/>
      <c r="F151" s="16" t="n"/>
      <c r="G151" s="16" t="n"/>
      <c r="H151" s="16" t="n"/>
      <c r="I151" s="16" t="n"/>
      <c r="J151" s="16" t="n"/>
      <c r="K151" s="16" t="n">
        <v>11.565557</v>
      </c>
      <c r="L151" s="16" t="n">
        <v>3</v>
      </c>
    </row>
    <row r="152">
      <c r="A152" s="16" t="n"/>
      <c r="B152" s="16" t="n"/>
      <c r="C152" s="16" t="n"/>
      <c r="D152" s="16" t="n"/>
      <c r="E152" s="16" t="n"/>
      <c r="F152" s="16" t="n"/>
      <c r="G152" s="16" t="n"/>
      <c r="H152" s="16" t="n"/>
      <c r="I152" s="16" t="n"/>
      <c r="J152" s="16" t="n"/>
      <c r="K152" s="16" t="n">
        <v>13.498594</v>
      </c>
      <c r="L152" s="16" t="n">
        <v>3</v>
      </c>
    </row>
    <row r="153">
      <c r="A153" s="16" t="n"/>
      <c r="B153" s="16" t="n"/>
      <c r="C153" s="16" t="n"/>
      <c r="D153" s="16" t="n"/>
      <c r="E153" s="16" t="n"/>
      <c r="F153" s="16" t="n"/>
      <c r="G153" s="16" t="n"/>
      <c r="H153" s="16" t="n"/>
      <c r="I153" s="16" t="n"/>
      <c r="J153" s="16" t="n"/>
      <c r="K153" s="16" t="n">
        <v>13.09863</v>
      </c>
      <c r="L153" s="16" t="n">
        <v>3</v>
      </c>
    </row>
    <row r="154">
      <c r="A154" s="16" t="n"/>
      <c r="B154" s="16" t="n"/>
      <c r="C154" s="16" t="n"/>
      <c r="D154" s="16" t="n"/>
      <c r="E154" s="16" t="n"/>
      <c r="F154" s="16" t="n"/>
      <c r="G154" s="16" t="n"/>
      <c r="H154" s="16" t="n"/>
      <c r="I154" s="16" t="n"/>
      <c r="J154" s="16" t="n"/>
      <c r="K154" s="16" t="n">
        <v>13.392597</v>
      </c>
      <c r="L154" s="16" t="n">
        <v>3</v>
      </c>
    </row>
    <row r="155">
      <c r="A155" s="16" t="n"/>
      <c r="B155" s="16" t="n"/>
      <c r="C155" s="16" t="n"/>
      <c r="D155" s="16" t="n"/>
      <c r="E155" s="16" t="n"/>
      <c r="F155" s="16" t="n"/>
      <c r="G155" s="16" t="n"/>
      <c r="H155" s="16" t="n"/>
      <c r="I155" s="16" t="n"/>
      <c r="J155" s="16" t="n"/>
      <c r="K155" s="16" t="n">
        <v>10.652229</v>
      </c>
      <c r="L155" s="16" t="n">
        <v>3</v>
      </c>
    </row>
    <row r="156">
      <c r="A156" s="16" t="n"/>
      <c r="B156" s="16" t="n"/>
      <c r="C156" s="16" t="n"/>
      <c r="D156" s="16" t="n"/>
      <c r="E156" s="16" t="n"/>
      <c r="F156" s="16" t="n"/>
      <c r="G156" s="16" t="n"/>
      <c r="H156" s="16" t="n"/>
      <c r="I156" s="16" t="n"/>
      <c r="J156" s="16" t="n"/>
      <c r="K156" s="16" t="n">
        <v>14.911436</v>
      </c>
      <c r="L156" s="16" t="n">
        <v>3</v>
      </c>
    </row>
    <row r="157">
      <c r="A157" s="16" t="n"/>
      <c r="B157" s="16" t="n"/>
      <c r="C157" s="16" t="n"/>
      <c r="D157" s="16" t="n"/>
      <c r="E157" s="16" t="n"/>
      <c r="F157" s="16" t="n"/>
      <c r="G157" s="16" t="n"/>
      <c r="H157" s="16" t="n"/>
      <c r="I157" s="16" t="n"/>
      <c r="J157" s="16" t="n"/>
      <c r="K157" s="16" t="n">
        <v>14.428956</v>
      </c>
      <c r="L157" s="16" t="n">
        <v>3</v>
      </c>
    </row>
    <row r="158">
      <c r="A158" s="16" t="n"/>
      <c r="B158" s="16" t="n"/>
      <c r="C158" s="16" t="n"/>
      <c r="D158" s="16" t="n"/>
      <c r="E158" s="16" t="n"/>
      <c r="F158" s="16" t="n"/>
      <c r="G158" s="16" t="n"/>
      <c r="H158" s="16" t="n"/>
      <c r="I158" s="16" t="n"/>
      <c r="J158" s="16" t="n"/>
      <c r="K158" s="16" t="n">
        <v>12.5715</v>
      </c>
      <c r="L158" s="16" t="n">
        <v>3</v>
      </c>
    </row>
    <row r="159">
      <c r="A159" s="16" t="n"/>
      <c r="B159" s="16" t="n"/>
      <c r="C159" s="16" t="n"/>
      <c r="D159" s="16" t="n"/>
      <c r="E159" s="16" t="n"/>
      <c r="F159" s="16" t="n"/>
      <c r="G159" s="16" t="n"/>
      <c r="H159" s="16" t="n"/>
      <c r="I159" s="16" t="n"/>
      <c r="J159" s="16" t="n"/>
      <c r="K159" s="16" t="n">
        <v>13.430409</v>
      </c>
      <c r="L159" s="16" t="n">
        <v>3</v>
      </c>
    </row>
    <row r="160">
      <c r="A160" s="16" t="n"/>
      <c r="B160" s="16" t="n"/>
      <c r="C160" s="16" t="n"/>
      <c r="D160" s="16" t="n"/>
      <c r="E160" s="16" t="n"/>
      <c r="F160" s="16" t="n"/>
      <c r="G160" s="16" t="n"/>
      <c r="H160" s="16" t="n"/>
      <c r="I160" s="16" t="n"/>
      <c r="J160" s="16" t="n"/>
      <c r="K160" s="16" t="n">
        <v>13.322959</v>
      </c>
      <c r="L160" s="16" t="n">
        <v>3</v>
      </c>
    </row>
    <row r="161">
      <c r="A161" s="16" t="n"/>
      <c r="B161" s="16" t="n"/>
      <c r="C161" s="16" t="n"/>
      <c r="D161" s="16" t="n"/>
      <c r="E161" s="16" t="n"/>
      <c r="F161" s="16" t="n"/>
      <c r="G161" s="16" t="n"/>
      <c r="H161" s="16" t="n"/>
      <c r="I161" s="16" t="n"/>
      <c r="J161" s="16" t="n"/>
      <c r="K161" s="16" t="n">
        <v>13.660492</v>
      </c>
      <c r="L161" s="16" t="n">
        <v>3</v>
      </c>
    </row>
    <row r="162">
      <c r="A162" s="16" t="n"/>
      <c r="B162" s="16" t="n"/>
      <c r="C162" s="16" t="n"/>
      <c r="D162" s="16" t="n"/>
      <c r="E162" s="16" t="n"/>
      <c r="F162" s="16" t="n"/>
      <c r="G162" s="16" t="n"/>
      <c r="H162" s="16" t="n"/>
      <c r="I162" s="16" t="n"/>
      <c r="J162" s="16" t="n"/>
      <c r="K162" s="16" t="n">
        <v>13.05764</v>
      </c>
      <c r="L162" s="16" t="n">
        <v>3</v>
      </c>
    </row>
    <row r="163">
      <c r="A163" s="16" t="n"/>
      <c r="B163" s="16" t="n"/>
      <c r="C163" s="16" t="n"/>
      <c r="D163" s="16" t="n"/>
      <c r="E163" s="16" t="n"/>
      <c r="F163" s="16" t="n"/>
      <c r="G163" s="16" t="n"/>
      <c r="H163" s="16" t="n"/>
      <c r="I163" s="16" t="n"/>
      <c r="J163" s="16" t="n"/>
      <c r="K163" s="16" t="n">
        <v>12.899045</v>
      </c>
      <c r="L163" s="16" t="n">
        <v>3</v>
      </c>
    </row>
    <row r="164">
      <c r="A164" s="16" t="n"/>
      <c r="B164" s="16" t="n"/>
      <c r="C164" s="16" t="n"/>
      <c r="D164" s="16" t="n"/>
      <c r="E164" s="16" t="n"/>
      <c r="F164" s="16" t="n"/>
      <c r="G164" s="16" t="n"/>
      <c r="H164" s="16" t="n"/>
      <c r="I164" s="16" t="n"/>
      <c r="J164" s="16" t="n"/>
      <c r="K164" s="16" t="n">
        <v>12.980722</v>
      </c>
      <c r="L164" s="16" t="n">
        <v>3</v>
      </c>
    </row>
    <row r="165">
      <c r="A165" s="16" t="n"/>
      <c r="B165" s="16" t="n"/>
      <c r="C165" s="16" t="n"/>
      <c r="D165" s="16" t="n"/>
      <c r="E165" s="16" t="n"/>
      <c r="F165" s="16" t="n"/>
      <c r="G165" s="16" t="n"/>
      <c r="H165" s="16" t="n"/>
      <c r="I165" s="16" t="n"/>
      <c r="J165" s="16" t="n"/>
      <c r="K165" s="16" t="n">
        <v>13.747894</v>
      </c>
      <c r="L165" s="16" t="n">
        <v>3</v>
      </c>
    </row>
    <row r="166">
      <c r="A166" s="16" t="n"/>
      <c r="B166" s="16" t="n"/>
      <c r="C166" s="16" t="n"/>
      <c r="D166" s="16" t="n"/>
      <c r="E166" s="16" t="n"/>
      <c r="F166" s="16" t="n"/>
      <c r="G166" s="16" t="n"/>
      <c r="H166" s="16" t="n"/>
      <c r="I166" s="16" t="n"/>
      <c r="J166" s="16" t="n"/>
      <c r="K166" s="16" t="n">
        <v>14.802181</v>
      </c>
      <c r="L166" s="16" t="n">
        <v>4</v>
      </c>
    </row>
    <row r="167">
      <c r="A167" s="16" t="n"/>
      <c r="B167" s="16" t="n"/>
      <c r="C167" s="16" t="n"/>
      <c r="D167" s="16" t="n"/>
      <c r="E167" s="16" t="n"/>
      <c r="F167" s="16" t="n"/>
      <c r="G167" s="16" t="n"/>
      <c r="H167" s="16" t="n"/>
      <c r="I167" s="16" t="n"/>
      <c r="J167" s="16" t="n"/>
      <c r="K167" s="16" t="n">
        <v>12.265738</v>
      </c>
      <c r="L167" s="16" t="n">
        <v>4</v>
      </c>
    </row>
    <row r="168">
      <c r="A168" s="16" t="n"/>
      <c r="B168" s="16" t="n"/>
      <c r="C168" s="16" t="n"/>
      <c r="D168" s="16" t="n"/>
      <c r="E168" s="16" t="n"/>
      <c r="F168" s="16" t="n"/>
      <c r="G168" s="16" t="n"/>
      <c r="H168" s="16" t="n"/>
      <c r="I168" s="16" t="n"/>
      <c r="J168" s="16" t="n"/>
      <c r="K168" s="16" t="n">
        <v>14.018597</v>
      </c>
      <c r="L168" s="16" t="n">
        <v>4</v>
      </c>
    </row>
    <row r="169">
      <c r="A169" s="16" t="n"/>
      <c r="B169" s="16" t="n"/>
      <c r="C169" s="16" t="n"/>
      <c r="D169" s="16" t="n"/>
      <c r="E169" s="16" t="n"/>
      <c r="F169" s="16" t="n"/>
      <c r="G169" s="16" t="n"/>
      <c r="H169" s="16" t="n"/>
      <c r="I169" s="16" t="n"/>
      <c r="J169" s="16" t="n"/>
      <c r="K169" s="16" t="n">
        <v>13.729014</v>
      </c>
      <c r="L169" s="16" t="n">
        <v>4</v>
      </c>
    </row>
    <row r="170">
      <c r="A170" s="16" t="n"/>
      <c r="B170" s="16" t="n"/>
      <c r="C170" s="16" t="n"/>
      <c r="D170" s="16" t="n"/>
      <c r="E170" s="16" t="n"/>
      <c r="F170" s="16" t="n"/>
      <c r="G170" s="16" t="n"/>
      <c r="H170" s="16" t="n"/>
      <c r="I170" s="16" t="n"/>
      <c r="J170" s="16" t="n"/>
      <c r="K170" s="16" t="n">
        <v>13.814893</v>
      </c>
      <c r="L170" s="16" t="n">
        <v>4</v>
      </c>
    </row>
    <row r="171">
      <c r="A171" s="16" t="n"/>
      <c r="B171" s="16" t="n"/>
      <c r="C171" s="16" t="n"/>
      <c r="D171" s="16" t="n"/>
      <c r="E171" s="16" t="n"/>
      <c r="F171" s="16" t="n"/>
      <c r="G171" s="16" t="n"/>
      <c r="H171" s="16" t="n"/>
      <c r="I171" s="16" t="n"/>
      <c r="J171" s="16" t="n"/>
      <c r="K171" s="16" t="n">
        <v>11.064234</v>
      </c>
      <c r="L171" s="16" t="n">
        <v>4</v>
      </c>
    </row>
    <row r="172">
      <c r="A172" s="16" t="n"/>
      <c r="B172" s="16" t="n"/>
      <c r="C172" s="16" t="n"/>
      <c r="D172" s="16" t="n"/>
      <c r="E172" s="16" t="n"/>
      <c r="F172" s="16" t="n"/>
      <c r="G172" s="16" t="n"/>
      <c r="H172" s="16" t="n"/>
      <c r="I172" s="16" t="n"/>
      <c r="J172" s="16" t="n"/>
      <c r="K172" s="16" t="n">
        <v>15.509249</v>
      </c>
      <c r="L172" s="16" t="n">
        <v>4</v>
      </c>
    </row>
    <row r="173">
      <c r="A173" s="16" t="n"/>
      <c r="B173" s="16" t="n"/>
      <c r="C173" s="16" t="n"/>
      <c r="D173" s="16" t="n"/>
      <c r="E173" s="16" t="n"/>
      <c r="F173" s="16" t="n"/>
      <c r="G173" s="16" t="n"/>
      <c r="H173" s="16" t="n"/>
      <c r="I173" s="16" t="n"/>
      <c r="J173" s="16" t="n"/>
      <c r="K173" s="16" t="n">
        <v>14.867906</v>
      </c>
      <c r="L173" s="16" t="n">
        <v>4</v>
      </c>
    </row>
    <row r="174">
      <c r="A174" s="16" t="n"/>
      <c r="B174" s="16" t="n"/>
      <c r="C174" s="16" t="n"/>
      <c r="D174" s="16" t="n"/>
      <c r="E174" s="16" t="n"/>
      <c r="F174" s="16" t="n"/>
      <c r="G174" s="16" t="n"/>
      <c r="H174" s="16" t="n"/>
      <c r="I174" s="16" t="n"/>
      <c r="J174" s="16" t="n"/>
      <c r="K174" s="16" t="n">
        <v>13.058726</v>
      </c>
      <c r="L174" s="16" t="n">
        <v>4</v>
      </c>
    </row>
    <row r="175">
      <c r="A175" s="16" t="n"/>
      <c r="B175" s="16" t="n"/>
      <c r="C175" s="16" t="n"/>
      <c r="D175" s="16" t="n"/>
      <c r="E175" s="16" t="n"/>
      <c r="F175" s="16" t="n"/>
      <c r="G175" s="16" t="n"/>
      <c r="H175" s="16" t="n"/>
      <c r="I175" s="16" t="n"/>
      <c r="J175" s="16" t="n"/>
      <c r="K175" s="16" t="n">
        <v>13.950894</v>
      </c>
      <c r="L175" s="16" t="n">
        <v>4</v>
      </c>
    </row>
    <row r="176">
      <c r="A176" s="16" t="n"/>
      <c r="B176" s="16" t="n"/>
      <c r="C176" s="16" t="n"/>
      <c r="D176" s="16" t="n"/>
      <c r="E176" s="16" t="n"/>
      <c r="F176" s="16" t="n"/>
      <c r="G176" s="16" t="n"/>
      <c r="H176" s="16" t="n"/>
      <c r="I176" s="16" t="n"/>
      <c r="J176" s="16" t="n"/>
      <c r="K176" s="16" t="n">
        <v>13.83976</v>
      </c>
      <c r="L176" s="16" t="n">
        <v>4</v>
      </c>
    </row>
    <row r="177">
      <c r="A177" s="16" t="n"/>
      <c r="B177" s="16" t="n"/>
      <c r="C177" s="16" t="n"/>
      <c r="D177" s="16" t="n"/>
      <c r="E177" s="16" t="n"/>
      <c r="F177" s="16" t="n"/>
      <c r="G177" s="16" t="n"/>
      <c r="H177" s="16" t="n"/>
      <c r="I177" s="16" t="n"/>
      <c r="J177" s="16" t="n"/>
      <c r="K177" s="16" t="n">
        <v>14.140373</v>
      </c>
      <c r="L177" s="16" t="n">
        <v>4</v>
      </c>
    </row>
    <row r="178">
      <c r="A178" s="16" t="n"/>
      <c r="B178" s="16" t="n"/>
      <c r="C178" s="16" t="n"/>
      <c r="D178" s="16" t="n"/>
      <c r="E178" s="16" t="n"/>
      <c r="F178" s="16" t="n"/>
      <c r="G178" s="16" t="n"/>
      <c r="H178" s="16" t="n"/>
      <c r="I178" s="16" t="n"/>
      <c r="J178" s="16" t="n"/>
      <c r="K178" s="16" t="n">
        <v>13.62236</v>
      </c>
      <c r="L178" s="16" t="n">
        <v>4</v>
      </c>
    </row>
    <row r="179">
      <c r="A179" s="16" t="n"/>
      <c r="B179" s="16" t="n"/>
      <c r="C179" s="16" t="n"/>
      <c r="D179" s="16" t="n"/>
      <c r="E179" s="16" t="n"/>
      <c r="F179" s="16" t="n"/>
      <c r="G179" s="16" t="n"/>
      <c r="H179" s="16" t="n"/>
      <c r="I179" s="16" t="n"/>
      <c r="J179" s="16" t="n"/>
      <c r="K179" s="16" t="n">
        <v>13.38064</v>
      </c>
      <c r="L179" s="16" t="n">
        <v>4</v>
      </c>
    </row>
    <row r="180">
      <c r="A180" s="16" t="n"/>
      <c r="B180" s="16" t="n"/>
      <c r="C180" s="16" t="n"/>
      <c r="D180" s="16" t="n"/>
      <c r="E180" s="16" t="n"/>
      <c r="F180" s="16" t="n"/>
      <c r="G180" s="16" t="n"/>
      <c r="H180" s="16" t="n"/>
      <c r="I180" s="16" t="n"/>
      <c r="J180" s="16" t="n"/>
      <c r="K180" s="16" t="n">
        <v>13.521165</v>
      </c>
      <c r="L180" s="16" t="n">
        <v>4</v>
      </c>
    </row>
    <row r="181">
      <c r="A181" s="16" t="n"/>
      <c r="B181" s="16" t="n"/>
      <c r="C181" s="16" t="n"/>
      <c r="D181" s="16" t="n"/>
      <c r="E181" s="16" t="n"/>
      <c r="F181" s="16" t="n"/>
      <c r="G181" s="16" t="n"/>
      <c r="H181" s="16" t="n"/>
      <c r="I181" s="16" t="n"/>
      <c r="J181" s="16" t="n"/>
      <c r="K181" s="16" t="n">
        <v>15.212635</v>
      </c>
      <c r="L181" s="16" t="n">
        <v>5</v>
      </c>
    </row>
    <row r="182">
      <c r="A182" s="16" t="n"/>
      <c r="B182" s="16" t="n"/>
      <c r="C182" s="16" t="n"/>
      <c r="D182" s="16" t="n"/>
      <c r="E182" s="16" t="n"/>
      <c r="F182" s="16" t="n"/>
      <c r="G182" s="16" t="n"/>
      <c r="H182" s="16" t="n"/>
      <c r="I182" s="16" t="n"/>
      <c r="J182" s="16" t="n"/>
      <c r="K182" s="16" t="n">
        <v>13.049763</v>
      </c>
      <c r="L182" s="16" t="n">
        <v>5</v>
      </c>
    </row>
    <row r="183">
      <c r="A183" s="16" t="n"/>
      <c r="B183" s="16" t="n"/>
      <c r="C183" s="16" t="n"/>
      <c r="D183" s="16" t="n"/>
      <c r="E183" s="16" t="n"/>
      <c r="F183" s="16" t="n"/>
      <c r="G183" s="16" t="n"/>
      <c r="H183" s="16" t="n"/>
      <c r="I183" s="16" t="n"/>
      <c r="J183" s="16" t="n"/>
      <c r="K183" s="16" t="n">
        <v>14.577841</v>
      </c>
      <c r="L183" s="16" t="n">
        <v>5</v>
      </c>
    </row>
    <row r="184">
      <c r="A184" s="16" t="n"/>
      <c r="B184" s="16" t="n"/>
      <c r="C184" s="16" t="n"/>
      <c r="D184" s="16" t="n"/>
      <c r="E184" s="16" t="n"/>
      <c r="F184" s="16" t="n"/>
      <c r="G184" s="16" t="n"/>
      <c r="H184" s="16" t="n"/>
      <c r="I184" s="16" t="n"/>
      <c r="J184" s="16" t="n"/>
      <c r="K184" s="16" t="n">
        <v>14.420658</v>
      </c>
      <c r="L184" s="16" t="n">
        <v>5</v>
      </c>
    </row>
    <row r="185">
      <c r="A185" s="16" t="n"/>
      <c r="B185" s="16" t="n"/>
      <c r="C185" s="16" t="n"/>
      <c r="D185" s="16" t="n"/>
      <c r="E185" s="16" t="n"/>
      <c r="F185" s="16" t="n"/>
      <c r="G185" s="16" t="n"/>
      <c r="H185" s="16" t="n"/>
      <c r="I185" s="16" t="n"/>
      <c r="J185" s="16" t="n"/>
      <c r="K185" s="16" t="n">
        <v>14.263766</v>
      </c>
      <c r="L185" s="16" t="n">
        <v>5</v>
      </c>
    </row>
    <row r="186">
      <c r="A186" s="16" t="n"/>
      <c r="B186" s="16" t="n"/>
      <c r="C186" s="16" t="n"/>
      <c r="D186" s="16" t="n"/>
      <c r="E186" s="16" t="n"/>
      <c r="F186" s="16" t="n"/>
      <c r="G186" s="16" t="n"/>
      <c r="H186" s="16" t="n"/>
      <c r="I186" s="16" t="n"/>
      <c r="J186" s="16" t="n"/>
      <c r="K186" s="16" t="n">
        <v>11.509485</v>
      </c>
      <c r="L186" s="16" t="n">
        <v>5</v>
      </c>
    </row>
    <row r="187">
      <c r="A187" s="16" t="n"/>
      <c r="B187" s="16" t="n"/>
      <c r="C187" s="16" t="n"/>
      <c r="D187" s="16" t="n"/>
      <c r="E187" s="16" t="n"/>
      <c r="F187" s="16" t="n"/>
      <c r="G187" s="16" t="n"/>
      <c r="H187" s="16" t="n"/>
      <c r="I187" s="16" t="n"/>
      <c r="J187" s="16" t="n"/>
      <c r="K187" s="16" t="n">
        <v>16.152962</v>
      </c>
      <c r="L187" s="16" t="n">
        <v>5</v>
      </c>
    </row>
    <row r="188">
      <c r="A188" s="16" t="n"/>
      <c r="B188" s="16" t="n"/>
      <c r="C188" s="16" t="n"/>
      <c r="D188" s="16" t="n"/>
      <c r="E188" s="16" t="n"/>
      <c r="F188" s="16" t="n"/>
      <c r="G188" s="16" t="n"/>
      <c r="H188" s="16" t="n"/>
      <c r="I188" s="16" t="n"/>
      <c r="J188" s="16" t="n"/>
      <c r="K188" s="16" t="n">
        <v>15.333047</v>
      </c>
      <c r="L188" s="16" t="n">
        <v>5</v>
      </c>
    </row>
    <row r="189">
      <c r="A189" s="16" t="n"/>
      <c r="B189" s="16" t="n"/>
      <c r="C189" s="16" t="n"/>
      <c r="D189" s="16" t="n"/>
      <c r="E189" s="16" t="n"/>
      <c r="F189" s="16" t="n"/>
      <c r="G189" s="16" t="n"/>
      <c r="H189" s="16" t="n"/>
      <c r="I189" s="16" t="n"/>
      <c r="J189" s="16" t="n"/>
      <c r="K189" s="16" t="n">
        <v>13.585358</v>
      </c>
      <c r="L189" s="16" t="n">
        <v>5</v>
      </c>
    </row>
    <row r="190">
      <c r="A190" s="16" t="n"/>
      <c r="B190" s="16" t="n"/>
      <c r="C190" s="16" t="n"/>
      <c r="D190" s="16" t="n"/>
      <c r="E190" s="16" t="n"/>
      <c r="F190" s="16" t="n"/>
      <c r="G190" s="16" t="n"/>
      <c r="H190" s="16" t="n"/>
      <c r="I190" s="16" t="n"/>
      <c r="J190" s="16" t="n"/>
      <c r="K190" s="16" t="n">
        <v>14.513524</v>
      </c>
      <c r="L190" s="16" t="n">
        <v>5</v>
      </c>
    </row>
    <row r="191">
      <c r="A191" s="16" t="n"/>
      <c r="B191" s="16" t="n"/>
      <c r="C191" s="16" t="n"/>
      <c r="D191" s="16" t="n"/>
      <c r="E191" s="16" t="n"/>
      <c r="F191" s="16" t="n"/>
      <c r="G191" s="16" t="n"/>
      <c r="H191" s="16" t="n"/>
      <c r="I191" s="16" t="n"/>
      <c r="J191" s="16" t="n"/>
      <c r="K191" s="16" t="n">
        <v>14.398388</v>
      </c>
      <c r="L191" s="16" t="n">
        <v>5</v>
      </c>
    </row>
    <row r="192">
      <c r="A192" s="16" t="n"/>
      <c r="B192" s="16" t="n"/>
      <c r="C192" s="16" t="n"/>
      <c r="D192" s="16" t="n"/>
      <c r="E192" s="16" t="n"/>
      <c r="F192" s="16" t="n"/>
      <c r="G192" s="16" t="n"/>
      <c r="H192" s="16" t="n"/>
      <c r="I192" s="16" t="n"/>
      <c r="J192" s="16" t="n"/>
      <c r="K192" s="16" t="n">
        <v>14.657264</v>
      </c>
      <c r="L192" s="16" t="n">
        <v>5</v>
      </c>
    </row>
    <row r="193">
      <c r="A193" s="16" t="n"/>
      <c r="B193" s="16" t="n"/>
      <c r="C193" s="16" t="n"/>
      <c r="D193" s="16" t="n"/>
      <c r="E193" s="16" t="n"/>
      <c r="F193" s="16" t="n"/>
      <c r="G193" s="16" t="n"/>
      <c r="H193" s="16" t="n"/>
      <c r="I193" s="16" t="n"/>
      <c r="J193" s="16" t="n"/>
      <c r="K193" s="16" t="n">
        <v>14.23312</v>
      </c>
      <c r="L193" s="16" t="n">
        <v>5</v>
      </c>
    </row>
    <row r="194">
      <c r="A194" s="16" t="n"/>
      <c r="B194" s="16" t="n"/>
      <c r="C194" s="16" t="n"/>
      <c r="D194" s="16" t="n"/>
      <c r="E194" s="16" t="n"/>
      <c r="F194" s="16" t="n"/>
      <c r="G194" s="16" t="n"/>
      <c r="H194" s="16" t="n"/>
      <c r="I194" s="16" t="n"/>
      <c r="J194" s="16" t="n"/>
      <c r="K194" s="16" t="n">
        <v>13.899416</v>
      </c>
      <c r="L194" s="16" t="n">
        <v>5</v>
      </c>
    </row>
    <row r="195">
      <c r="A195" s="16" t="n"/>
      <c r="B195" s="16" t="n"/>
      <c r="C195" s="16" t="n"/>
      <c r="D195" s="16" t="n"/>
      <c r="E195" s="16" t="n"/>
      <c r="F195" s="16" t="n"/>
      <c r="G195" s="16" t="n"/>
      <c r="H195" s="16" t="n"/>
      <c r="I195" s="16" t="n"/>
      <c r="J195" s="16" t="n"/>
      <c r="K195" s="16" t="n">
        <v>14.104864</v>
      </c>
      <c r="L195" s="16" t="n">
        <v>5</v>
      </c>
    </row>
    <row r="196">
      <c r="A196" s="16" t="n"/>
      <c r="B196" s="16" t="n"/>
      <c r="C196" s="16" t="n"/>
      <c r="D196" s="16" t="n"/>
      <c r="E196" s="16" t="n"/>
      <c r="F196" s="16" t="n"/>
      <c r="G196" s="16" t="n"/>
      <c r="H196" s="16" t="n"/>
      <c r="I196" s="16" t="n"/>
      <c r="J196" s="16" t="n"/>
      <c r="K196" s="16" t="n">
        <v>14.817974</v>
      </c>
      <c r="L196" s="16" t="n">
        <v>5</v>
      </c>
    </row>
    <row r="197">
      <c r="A197" s="16" t="n"/>
      <c r="B197" s="16" t="n"/>
      <c r="C197" s="16" t="n"/>
      <c r="D197" s="16" t="n"/>
      <c r="E197" s="16" t="n"/>
      <c r="F197" s="16" t="n"/>
      <c r="G197" s="16" t="n"/>
      <c r="H197" s="16" t="n"/>
      <c r="I197" s="16" t="n"/>
      <c r="J197" s="16" t="n"/>
      <c r="K197" s="16" t="n">
        <v>15.645466</v>
      </c>
      <c r="L197" s="16" t="n">
        <v>6</v>
      </c>
    </row>
    <row r="198">
      <c r="A198" s="16" t="n"/>
      <c r="B198" s="16" t="n"/>
      <c r="C198" s="16" t="n"/>
      <c r="D198" s="16" t="n"/>
      <c r="E198" s="16" t="n"/>
      <c r="F198" s="16" t="n"/>
      <c r="G198" s="16" t="n"/>
      <c r="H198" s="16" t="n"/>
      <c r="I198" s="16" t="n"/>
      <c r="J198" s="16" t="n"/>
      <c r="K198" s="16" t="n">
        <v>13.933472</v>
      </c>
      <c r="L198" s="16" t="n">
        <v>6</v>
      </c>
    </row>
    <row r="199">
      <c r="A199" s="16" t="n"/>
      <c r="B199" s="16" t="n"/>
      <c r="C199" s="16" t="n"/>
      <c r="D199" s="16" t="n"/>
      <c r="E199" s="16" t="n"/>
      <c r="F199" s="16" t="n"/>
      <c r="G199" s="16" t="n"/>
      <c r="H199" s="16" t="n"/>
      <c r="I199" s="16" t="n"/>
      <c r="J199" s="16" t="n"/>
      <c r="K199" s="16" t="n">
        <v>15.182339</v>
      </c>
      <c r="L199" s="16" t="n">
        <v>6</v>
      </c>
    </row>
    <row r="200">
      <c r="A200" s="16" t="n"/>
      <c r="B200" s="16" t="n"/>
      <c r="C200" s="16" t="n"/>
      <c r="D200" s="16" t="n"/>
      <c r="E200" s="16" t="n"/>
      <c r="F200" s="16" t="n"/>
      <c r="G200" s="16" t="n"/>
      <c r="H200" s="16" t="n"/>
      <c r="I200" s="16" t="n"/>
      <c r="J200" s="16" t="n"/>
      <c r="K200" s="16" t="n">
        <v>15.182788</v>
      </c>
      <c r="L200" s="16" t="n">
        <v>6</v>
      </c>
    </row>
    <row r="201">
      <c r="A201" s="16" t="n"/>
      <c r="B201" s="16" t="n"/>
      <c r="C201" s="16" t="n"/>
      <c r="D201" s="16" t="n"/>
      <c r="E201" s="16" t="n"/>
      <c r="F201" s="16" t="n"/>
      <c r="G201" s="16" t="n"/>
      <c r="H201" s="16" t="n"/>
      <c r="I201" s="16" t="n"/>
      <c r="J201" s="16" t="n"/>
      <c r="K201" s="16" t="n">
        <v>14.741896</v>
      </c>
      <c r="L201" s="16" t="n">
        <v>6</v>
      </c>
    </row>
    <row r="202">
      <c r="A202" s="16" t="n"/>
      <c r="B202" s="16" t="n"/>
      <c r="C202" s="16" t="n"/>
      <c r="D202" s="16" t="n"/>
      <c r="E202" s="16" t="n"/>
      <c r="F202" s="16" t="n"/>
      <c r="G202" s="16" t="n"/>
      <c r="H202" s="16" t="n"/>
      <c r="I202" s="16" t="n"/>
      <c r="J202" s="16" t="n"/>
      <c r="K202" s="16" t="n">
        <v>11.992096</v>
      </c>
      <c r="L202" s="16" t="n">
        <v>6</v>
      </c>
    </row>
    <row r="203">
      <c r="A203" s="16" t="n"/>
      <c r="B203" s="16" t="n"/>
      <c r="C203" s="16" t="n"/>
      <c r="D203" s="16" t="n"/>
      <c r="E203" s="16" t="n"/>
      <c r="F203" s="16" t="n"/>
      <c r="G203" s="16" t="n"/>
      <c r="H203" s="16" t="n"/>
      <c r="I203" s="16" t="n"/>
      <c r="J203" s="16" t="n"/>
      <c r="K203" s="16" t="n">
        <v>16.848187</v>
      </c>
      <c r="L203" s="16" t="n">
        <v>6</v>
      </c>
    </row>
    <row r="204">
      <c r="A204" s="16" t="n"/>
      <c r="B204" s="16" t="n"/>
      <c r="C204" s="16" t="n"/>
      <c r="D204" s="16" t="n"/>
      <c r="E204" s="16" t="n"/>
      <c r="F204" s="16" t="n"/>
      <c r="G204" s="16" t="n"/>
      <c r="H204" s="16" t="n"/>
      <c r="I204" s="16" t="n"/>
      <c r="J204" s="16" t="n"/>
      <c r="K204" s="16" t="n">
        <v>15.82685</v>
      </c>
      <c r="L204" s="16" t="n">
        <v>6</v>
      </c>
    </row>
    <row r="205">
      <c r="A205" s="16" t="n"/>
      <c r="B205" s="16" t="n"/>
      <c r="C205" s="16" t="n"/>
      <c r="D205" s="16" t="n"/>
      <c r="E205" s="16" t="n"/>
      <c r="F205" s="16" t="n"/>
      <c r="G205" s="16" t="n"/>
      <c r="H205" s="16" t="n"/>
      <c r="I205" s="16" t="n"/>
      <c r="J205" s="16" t="n"/>
      <c r="K205" s="16" t="n">
        <v>14.156285</v>
      </c>
      <c r="L205" s="16" t="n">
        <v>6</v>
      </c>
    </row>
    <row r="206">
      <c r="A206" s="16" t="n"/>
      <c r="B206" s="16" t="n"/>
      <c r="C206" s="16" t="n"/>
      <c r="D206" s="16" t="n"/>
      <c r="E206" s="16" t="n"/>
      <c r="F206" s="16" t="n"/>
      <c r="G206" s="16" t="n"/>
      <c r="H206" s="16" t="n"/>
      <c r="I206" s="16" t="n"/>
      <c r="J206" s="16" t="n"/>
      <c r="K206" s="16" t="n">
        <v>15.123541</v>
      </c>
      <c r="L206" s="16" t="n">
        <v>6</v>
      </c>
    </row>
    <row r="207">
      <c r="A207" s="16" t="n"/>
      <c r="B207" s="16" t="n"/>
      <c r="C207" s="16" t="n"/>
      <c r="D207" s="16" t="n"/>
      <c r="E207" s="16" t="n"/>
      <c r="F207" s="16" t="n"/>
      <c r="G207" s="16" t="n"/>
      <c r="H207" s="16" t="n"/>
      <c r="I207" s="16" t="n"/>
      <c r="J207" s="16" t="n"/>
      <c r="K207" s="16" t="n">
        <v>15.004039</v>
      </c>
      <c r="L207" s="16" t="n">
        <v>6</v>
      </c>
    </row>
    <row r="208">
      <c r="A208" s="16" t="n"/>
      <c r="B208" s="16" t="n"/>
      <c r="C208" s="16" t="n"/>
      <c r="D208" s="16" t="n"/>
      <c r="E208" s="16" t="n"/>
      <c r="F208" s="16" t="n"/>
      <c r="G208" s="16" t="n"/>
      <c r="H208" s="16" t="n"/>
      <c r="I208" s="16" t="n"/>
      <c r="J208" s="16" t="n"/>
      <c r="K208" s="16" t="n">
        <v>15.217374</v>
      </c>
      <c r="L208" s="16" t="n">
        <v>6</v>
      </c>
    </row>
    <row r="209">
      <c r="A209" s="16" t="n"/>
      <c r="B209" s="16" t="n"/>
      <c r="C209" s="16" t="n"/>
      <c r="D209" s="16" t="n"/>
      <c r="E209" s="16" t="n"/>
      <c r="F209" s="16" t="n"/>
      <c r="G209" s="16" t="n"/>
      <c r="H209" s="16" t="n"/>
      <c r="I209" s="16" t="n"/>
      <c r="J209" s="16" t="n"/>
      <c r="K209" s="16" t="n">
        <v>14.895617</v>
      </c>
      <c r="L209" s="16" t="n">
        <v>6</v>
      </c>
    </row>
    <row r="210">
      <c r="A210" s="16" t="n"/>
      <c r="B210" s="16" t="n"/>
      <c r="C210" s="16" t="n"/>
      <c r="D210" s="16" t="n"/>
      <c r="E210" s="16" t="n"/>
      <c r="F210" s="16" t="n"/>
      <c r="G210" s="16" t="n"/>
      <c r="H210" s="16" t="n"/>
      <c r="I210" s="16" t="n"/>
      <c r="J210" s="16" t="n"/>
      <c r="K210" s="16" t="n">
        <v>14.460191</v>
      </c>
      <c r="L210" s="16" t="n">
        <v>6</v>
      </c>
    </row>
    <row r="211">
      <c r="A211" s="16" t="n"/>
      <c r="B211" s="16" t="n"/>
      <c r="C211" s="16" t="n"/>
      <c r="D211" s="16" t="n"/>
      <c r="E211" s="16" t="n"/>
      <c r="F211" s="16" t="n"/>
      <c r="G211" s="16" t="n"/>
      <c r="H211" s="16" t="n"/>
      <c r="I211" s="16" t="n"/>
      <c r="J211" s="16" t="n"/>
      <c r="K211" s="16" t="n">
        <v>14.737175</v>
      </c>
      <c r="L211" s="16" t="n">
        <v>6</v>
      </c>
    </row>
    <row r="212">
      <c r="A212" s="16" t="n"/>
      <c r="B212" s="16" t="n"/>
      <c r="C212" s="16" t="n"/>
      <c r="D212" s="16" t="n"/>
      <c r="E212" s="16" t="n"/>
      <c r="F212" s="16" t="n"/>
      <c r="G212" s="16" t="n"/>
      <c r="H212" s="16" t="n"/>
      <c r="I212" s="16" t="n"/>
      <c r="J212" s="16" t="n"/>
      <c r="K212" s="16" t="n">
        <v>15.415183</v>
      </c>
      <c r="L212" s="16" t="n">
        <v>6</v>
      </c>
    </row>
    <row r="213">
      <c r="A213" s="16" t="n"/>
      <c r="B213" s="16" t="n"/>
      <c r="C213" s="16" t="n"/>
      <c r="D213" s="16" t="n"/>
      <c r="E213" s="16" t="n"/>
      <c r="F213" s="16" t="n"/>
      <c r="G213" s="16" t="n"/>
      <c r="H213" s="16" t="n"/>
      <c r="I213" s="16" t="n"/>
      <c r="J213" s="16" t="n"/>
      <c r="K213" s="16" t="n">
        <v>9.855883</v>
      </c>
      <c r="L213" s="16" t="n">
        <v>1</v>
      </c>
    </row>
    <row r="214">
      <c r="A214" s="16" t="n"/>
      <c r="B214" s="16" t="n"/>
      <c r="C214" s="16" t="n"/>
      <c r="D214" s="16" t="n"/>
      <c r="E214" s="16" t="n"/>
      <c r="F214" s="16" t="n"/>
      <c r="G214" s="16" t="n"/>
      <c r="H214" s="16" t="n"/>
      <c r="I214" s="16" t="n"/>
      <c r="J214" s="16" t="n"/>
      <c r="K214" s="16" t="n">
        <v>8.662017000000001</v>
      </c>
      <c r="L214" s="16" t="n">
        <v>1</v>
      </c>
    </row>
    <row r="215">
      <c r="A215" s="16" t="n"/>
      <c r="B215" s="16" t="n"/>
      <c r="C215" s="16" t="n"/>
      <c r="D215" s="16" t="n"/>
      <c r="E215" s="16" t="n"/>
      <c r="F215" s="16" t="n"/>
      <c r="G215" s="16" t="n"/>
      <c r="H215" s="16" t="n"/>
      <c r="I215" s="16" t="n"/>
      <c r="J215" s="16" t="n"/>
      <c r="K215" s="16" t="n">
        <v>8.014782</v>
      </c>
      <c r="L215" s="16" t="n">
        <v>1</v>
      </c>
    </row>
    <row r="216">
      <c r="A216" s="16" t="n"/>
      <c r="B216" s="16" t="n"/>
      <c r="C216" s="16" t="n"/>
      <c r="D216" s="16" t="n"/>
      <c r="E216" s="16" t="n"/>
      <c r="F216" s="16" t="n"/>
      <c r="G216" s="16" t="n"/>
      <c r="H216" s="16" t="n"/>
      <c r="I216" s="16" t="n"/>
      <c r="J216" s="16" t="n"/>
      <c r="K216" s="16" t="n">
        <v>10.759789</v>
      </c>
      <c r="L216" s="16" t="n">
        <v>1</v>
      </c>
    </row>
    <row r="217">
      <c r="A217" s="16" t="n"/>
      <c r="B217" s="16" t="n"/>
      <c r="C217" s="16" t="n"/>
      <c r="D217" s="16" t="n"/>
      <c r="E217" s="16" t="n"/>
      <c r="F217" s="16" t="n"/>
      <c r="G217" s="16" t="n"/>
      <c r="H217" s="16" t="n"/>
      <c r="I217" s="16" t="n"/>
      <c r="J217" s="16" t="n"/>
      <c r="K217" s="16" t="n">
        <v>9.353209</v>
      </c>
      <c r="L217" s="16" t="n">
        <v>1</v>
      </c>
    </row>
    <row r="218">
      <c r="A218" s="16" t="n"/>
      <c r="B218" s="16" t="n"/>
      <c r="C218" s="16" t="n"/>
      <c r="D218" s="16" t="n"/>
      <c r="E218" s="16" t="n"/>
      <c r="F218" s="16" t="n"/>
      <c r="G218" s="16" t="n"/>
      <c r="H218" s="16" t="n"/>
      <c r="I218" s="16" t="n"/>
      <c r="J218" s="16" t="n"/>
      <c r="K218" s="16" t="n">
        <v>9.12921</v>
      </c>
      <c r="L218" s="16" t="n">
        <v>1</v>
      </c>
    </row>
    <row r="219">
      <c r="A219" s="16" t="n"/>
      <c r="B219" s="16" t="n"/>
      <c r="C219" s="16" t="n"/>
      <c r="D219" s="16" t="n"/>
      <c r="E219" s="16" t="n"/>
      <c r="F219" s="16" t="n"/>
      <c r="G219" s="16" t="n"/>
      <c r="H219" s="16" t="n"/>
      <c r="I219" s="16" t="n"/>
      <c r="J219" s="16" t="n"/>
      <c r="K219" s="16" t="n">
        <v>8.651424</v>
      </c>
      <c r="L219" s="16" t="n">
        <v>1</v>
      </c>
    </row>
    <row r="220">
      <c r="A220" s="16" t="n"/>
      <c r="B220" s="16" t="n"/>
      <c r="C220" s="16" t="n"/>
      <c r="D220" s="16" t="n"/>
      <c r="E220" s="16" t="n"/>
      <c r="F220" s="16" t="n"/>
      <c r="G220" s="16" t="n"/>
      <c r="H220" s="16" t="n"/>
      <c r="I220" s="16" t="n"/>
      <c r="J220" s="16" t="n"/>
      <c r="K220" s="16" t="n">
        <v>9.314177000000001</v>
      </c>
      <c r="L220" s="16" t="n">
        <v>1</v>
      </c>
    </row>
    <row r="221">
      <c r="A221" s="16" t="n"/>
      <c r="B221" s="16" t="n"/>
      <c r="C221" s="16" t="n"/>
      <c r="D221" s="16" t="n"/>
      <c r="E221" s="16" t="n"/>
      <c r="F221" s="16" t="n"/>
      <c r="G221" s="16" t="n"/>
      <c r="H221" s="16" t="n"/>
      <c r="I221" s="16" t="n"/>
      <c r="J221" s="16" t="n"/>
      <c r="K221" s="16" t="n">
        <v>9.260481</v>
      </c>
      <c r="L221" s="16" t="n">
        <v>1</v>
      </c>
    </row>
    <row r="222">
      <c r="A222" s="16" t="n"/>
      <c r="B222" s="16" t="n"/>
      <c r="C222" s="16" t="n"/>
      <c r="D222" s="16" t="n"/>
      <c r="E222" s="16" t="n"/>
      <c r="F222" s="16" t="n"/>
      <c r="G222" s="16" t="n"/>
      <c r="H222" s="16" t="n"/>
      <c r="I222" s="16" t="n"/>
      <c r="J222" s="16" t="n"/>
      <c r="K222" s="16" t="n">
        <v>9.18364</v>
      </c>
      <c r="L222" s="16" t="n">
        <v>1</v>
      </c>
    </row>
    <row r="223">
      <c r="A223" s="16" t="n"/>
      <c r="B223" s="16" t="n"/>
      <c r="C223" s="16" t="n"/>
      <c r="D223" s="16" t="n"/>
      <c r="E223" s="16" t="n"/>
      <c r="F223" s="16" t="n"/>
      <c r="G223" s="16" t="n"/>
      <c r="H223" s="16" t="n"/>
      <c r="I223" s="16" t="n"/>
      <c r="J223" s="16" t="n"/>
      <c r="K223" s="16" t="n">
        <v>9.324278</v>
      </c>
      <c r="L223" s="16" t="n">
        <v>1</v>
      </c>
    </row>
    <row r="224">
      <c r="A224" s="16" t="n"/>
      <c r="B224" s="16" t="n"/>
      <c r="C224" s="16" t="n"/>
      <c r="D224" s="16" t="n"/>
      <c r="E224" s="16" t="n"/>
      <c r="F224" s="16" t="n"/>
      <c r="G224" s="16" t="n"/>
      <c r="H224" s="16" t="n"/>
      <c r="I224" s="16" t="n"/>
      <c r="J224" s="16" t="n"/>
      <c r="K224" s="16" t="n">
        <v>9.230994000000001</v>
      </c>
      <c r="L224" s="16" t="n">
        <v>1</v>
      </c>
    </row>
    <row r="225">
      <c r="A225" s="16" t="n"/>
      <c r="B225" s="16" t="n"/>
      <c r="C225" s="16" t="n"/>
      <c r="D225" s="16" t="n"/>
      <c r="E225" s="16" t="n"/>
      <c r="F225" s="16" t="n"/>
      <c r="G225" s="16" t="n"/>
      <c r="H225" s="16" t="n"/>
      <c r="I225" s="16" t="n"/>
      <c r="J225" s="16" t="n"/>
      <c r="K225" s="16" t="n">
        <v>9.260107</v>
      </c>
      <c r="L225" s="16" t="n">
        <v>1</v>
      </c>
    </row>
    <row r="226">
      <c r="A226" s="16" t="n"/>
      <c r="B226" s="16" t="n"/>
      <c r="C226" s="16" t="n"/>
      <c r="D226" s="16" t="n"/>
      <c r="E226" s="16" t="n"/>
      <c r="F226" s="16" t="n"/>
      <c r="G226" s="16" t="n"/>
      <c r="H226" s="16" t="n"/>
      <c r="I226" s="16" t="n"/>
      <c r="J226" s="16" t="n"/>
      <c r="K226" s="16" t="n">
        <v>9.64367</v>
      </c>
      <c r="L226" s="16" t="n">
        <v>1</v>
      </c>
    </row>
    <row r="227">
      <c r="A227" s="16" t="n"/>
      <c r="B227" s="16" t="n"/>
      <c r="C227" s="16" t="n"/>
      <c r="D227" s="16" t="n"/>
      <c r="E227" s="16" t="n"/>
      <c r="F227" s="16" t="n"/>
      <c r="G227" s="16" t="n"/>
      <c r="H227" s="16" t="n"/>
      <c r="I227" s="16" t="n"/>
      <c r="J227" s="16" t="n"/>
      <c r="K227" s="16" t="n">
        <v>10.533681</v>
      </c>
      <c r="L227" s="16" t="n">
        <v>2</v>
      </c>
    </row>
    <row r="228">
      <c r="A228" s="16" t="n"/>
      <c r="B228" s="16" t="n"/>
      <c r="C228" s="16" t="n"/>
      <c r="D228" s="16" t="n"/>
      <c r="E228" s="16" t="n"/>
      <c r="F228" s="16" t="n"/>
      <c r="G228" s="16" t="n"/>
      <c r="H228" s="16" t="n"/>
      <c r="I228" s="16" t="n"/>
      <c r="J228" s="16" t="n"/>
      <c r="K228" s="16" t="n">
        <v>9.254942</v>
      </c>
      <c r="L228" s="16" t="n">
        <v>2</v>
      </c>
    </row>
    <row r="229">
      <c r="A229" s="16" t="n"/>
      <c r="B229" s="16" t="n"/>
      <c r="C229" s="16" t="n"/>
      <c r="D229" s="16" t="n"/>
      <c r="E229" s="16" t="n"/>
      <c r="F229" s="16" t="n"/>
      <c r="G229" s="16" t="n"/>
      <c r="H229" s="16" t="n"/>
      <c r="I229" s="16" t="n"/>
      <c r="J229" s="16" t="n"/>
      <c r="K229" s="16" t="n">
        <v>8.566471</v>
      </c>
      <c r="L229" s="16" t="n">
        <v>2</v>
      </c>
    </row>
    <row r="230">
      <c r="A230" s="16" t="n"/>
      <c r="B230" s="16" t="n"/>
      <c r="C230" s="16" t="n"/>
      <c r="D230" s="16" t="n"/>
      <c r="E230" s="16" t="n"/>
      <c r="F230" s="16" t="n"/>
      <c r="G230" s="16" t="n"/>
      <c r="H230" s="16" t="n"/>
      <c r="I230" s="16" t="n"/>
      <c r="J230" s="16" t="n"/>
      <c r="K230" s="16" t="n">
        <v>11.495978</v>
      </c>
      <c r="L230" s="16" t="n">
        <v>2</v>
      </c>
    </row>
    <row r="231">
      <c r="A231" s="16" t="n"/>
      <c r="B231" s="16" t="n"/>
      <c r="C231" s="16" t="n"/>
      <c r="D231" s="16" t="n"/>
      <c r="E231" s="16" t="n"/>
      <c r="F231" s="16" t="n"/>
      <c r="G231" s="16" t="n"/>
      <c r="H231" s="16" t="n"/>
      <c r="I231" s="16" t="n"/>
      <c r="J231" s="16" t="n"/>
      <c r="K231" s="16" t="n">
        <v>9.995372</v>
      </c>
      <c r="L231" s="16" t="n">
        <v>2</v>
      </c>
    </row>
    <row r="232">
      <c r="A232" s="16" t="n"/>
      <c r="B232" s="16" t="n"/>
      <c r="C232" s="16" t="n"/>
      <c r="D232" s="16" t="n"/>
      <c r="E232" s="16" t="n"/>
      <c r="F232" s="16" t="n"/>
      <c r="G232" s="16" t="n"/>
      <c r="H232" s="16" t="n"/>
      <c r="I232" s="16" t="n"/>
      <c r="J232" s="16" t="n"/>
      <c r="K232" s="16" t="n">
        <v>9.755024000000001</v>
      </c>
      <c r="L232" s="16" t="n">
        <v>2</v>
      </c>
    </row>
    <row r="233">
      <c r="A233" s="16" t="n"/>
      <c r="B233" s="16" t="n"/>
      <c r="C233" s="16" t="n"/>
      <c r="D233" s="16" t="n"/>
      <c r="E233" s="16" t="n"/>
      <c r="F233" s="16" t="n"/>
      <c r="G233" s="16" t="n"/>
      <c r="H233" s="16" t="n"/>
      <c r="I233" s="16" t="n"/>
      <c r="J233" s="16" t="n"/>
      <c r="K233" s="16" t="n">
        <v>9.289094</v>
      </c>
      <c r="L233" s="16" t="n">
        <v>2</v>
      </c>
    </row>
    <row r="234">
      <c r="A234" s="16" t="n"/>
      <c r="B234" s="16" t="n"/>
      <c r="C234" s="16" t="n"/>
      <c r="D234" s="16" t="n"/>
      <c r="E234" s="16" t="n"/>
      <c r="F234" s="16" t="n"/>
      <c r="G234" s="16" t="n"/>
      <c r="H234" s="16" t="n"/>
      <c r="I234" s="16" t="n"/>
      <c r="J234" s="16" t="n"/>
      <c r="K234" s="16" t="n">
        <v>9.951362</v>
      </c>
      <c r="L234" s="16" t="n">
        <v>2</v>
      </c>
    </row>
    <row r="235">
      <c r="A235" s="16" t="n"/>
      <c r="B235" s="16" t="n"/>
      <c r="C235" s="16" t="n"/>
      <c r="D235" s="16" t="n"/>
      <c r="E235" s="16" t="n"/>
      <c r="F235" s="16" t="n"/>
      <c r="G235" s="16" t="n"/>
      <c r="H235" s="16" t="n"/>
      <c r="I235" s="16" t="n"/>
      <c r="J235" s="16" t="n"/>
      <c r="K235" s="16" t="n">
        <v>9.897968000000001</v>
      </c>
      <c r="L235" s="16" t="n">
        <v>2</v>
      </c>
    </row>
    <row r="236">
      <c r="A236" s="16" t="n"/>
      <c r="B236" s="16" t="n"/>
      <c r="C236" s="16" t="n"/>
      <c r="D236" s="16" t="n"/>
      <c r="E236" s="16" t="n"/>
      <c r="F236" s="16" t="n"/>
      <c r="G236" s="16" t="n"/>
      <c r="H236" s="16" t="n"/>
      <c r="I236" s="16" t="n"/>
      <c r="J236" s="16" t="n"/>
      <c r="K236" s="16" t="n">
        <v>9.817777</v>
      </c>
      <c r="L236" s="16" t="n">
        <v>2</v>
      </c>
    </row>
    <row r="237">
      <c r="A237" s="16" t="n"/>
      <c r="B237" s="16" t="n"/>
      <c r="C237" s="16" t="n"/>
      <c r="D237" s="16" t="n"/>
      <c r="E237" s="16" t="n"/>
      <c r="F237" s="16" t="n"/>
      <c r="G237" s="16" t="n"/>
      <c r="H237" s="16" t="n"/>
      <c r="I237" s="16" t="n"/>
      <c r="J237" s="16" t="n"/>
      <c r="K237" s="16" t="n">
        <v>9.963986999999999</v>
      </c>
      <c r="L237" s="16" t="n">
        <v>2</v>
      </c>
    </row>
    <row r="238">
      <c r="A238" s="16" t="n"/>
      <c r="B238" s="16" t="n"/>
      <c r="C238" s="16" t="n"/>
      <c r="D238" s="16" t="n"/>
      <c r="E238" s="16" t="n"/>
      <c r="F238" s="16" t="n"/>
      <c r="G238" s="16" t="n"/>
      <c r="H238" s="16" t="n"/>
      <c r="I238" s="16" t="n"/>
      <c r="J238" s="16" t="n"/>
      <c r="K238" s="16" t="n">
        <v>9.864385</v>
      </c>
      <c r="L238" s="16" t="n">
        <v>2</v>
      </c>
    </row>
    <row r="239">
      <c r="A239" s="16" t="n"/>
      <c r="B239" s="16" t="n"/>
      <c r="C239" s="16" t="n"/>
      <c r="D239" s="16" t="n"/>
      <c r="E239" s="16" t="n"/>
      <c r="F239" s="16" t="n"/>
      <c r="G239" s="16" t="n"/>
      <c r="H239" s="16" t="n"/>
      <c r="I239" s="16" t="n"/>
      <c r="J239" s="16" t="n"/>
      <c r="K239" s="16" t="n">
        <v>9.895659</v>
      </c>
      <c r="L239" s="16" t="n">
        <v>2</v>
      </c>
    </row>
    <row r="240">
      <c r="A240" s="16" t="n"/>
      <c r="B240" s="16" t="n"/>
      <c r="C240" s="16" t="n"/>
      <c r="D240" s="16" t="n"/>
      <c r="E240" s="16" t="n"/>
      <c r="F240" s="16" t="n"/>
      <c r="G240" s="16" t="n"/>
      <c r="H240" s="16" t="n"/>
      <c r="I240" s="16" t="n"/>
      <c r="J240" s="16" t="n"/>
      <c r="K240" s="16" t="n">
        <v>10.308069</v>
      </c>
      <c r="L240" s="16" t="n">
        <v>2</v>
      </c>
    </row>
    <row r="241">
      <c r="A241" s="16" t="n"/>
      <c r="B241" s="16" t="n"/>
      <c r="C241" s="16" t="n"/>
      <c r="D241" s="16" t="n"/>
      <c r="E241" s="16" t="n"/>
      <c r="F241" s="16" t="n"/>
      <c r="G241" s="16" t="n"/>
      <c r="H241" s="16" t="n"/>
      <c r="I241" s="16" t="n"/>
      <c r="J241" s="16" t="n"/>
      <c r="K241" s="16" t="n">
        <v>9.847569</v>
      </c>
      <c r="L241" s="16" t="n">
        <v>3</v>
      </c>
    </row>
    <row r="242">
      <c r="A242" s="16" t="n"/>
      <c r="B242" s="16" t="n"/>
      <c r="C242" s="16" t="n"/>
      <c r="D242" s="16" t="n"/>
      <c r="E242" s="16" t="n"/>
      <c r="F242" s="16" t="n"/>
      <c r="G242" s="16" t="n"/>
      <c r="H242" s="16" t="n"/>
      <c r="I242" s="16" t="n"/>
      <c r="J242" s="16" t="n"/>
      <c r="K242" s="16" t="n">
        <v>9.117903</v>
      </c>
      <c r="L242" s="16" t="n">
        <v>3</v>
      </c>
    </row>
    <row r="243">
      <c r="A243" s="16" t="n"/>
      <c r="B243" s="16" t="n"/>
      <c r="C243" s="16" t="n"/>
      <c r="D243" s="16" t="n"/>
      <c r="E243" s="16" t="n"/>
      <c r="F243" s="16" t="n"/>
      <c r="G243" s="16" t="n"/>
      <c r="H243" s="16" t="n"/>
      <c r="I243" s="16" t="n"/>
      <c r="J243" s="16" t="n"/>
      <c r="K243" s="16" t="n">
        <v>12.23169</v>
      </c>
      <c r="L243" s="16" t="n">
        <v>3</v>
      </c>
    </row>
    <row r="244">
      <c r="A244" s="16" t="n"/>
      <c r="B244" s="16" t="n"/>
      <c r="C244" s="16" t="n"/>
      <c r="D244" s="16" t="n"/>
      <c r="E244" s="16" t="n"/>
      <c r="F244" s="16" t="n"/>
      <c r="G244" s="16" t="n"/>
      <c r="H244" s="16" t="n"/>
      <c r="I244" s="16" t="n"/>
      <c r="J244" s="16" t="n"/>
      <c r="K244" s="16" t="n">
        <v>10.637175</v>
      </c>
      <c r="L244" s="16" t="n">
        <v>3</v>
      </c>
    </row>
    <row r="245">
      <c r="A245" s="16" t="n"/>
      <c r="B245" s="16" t="n"/>
      <c r="C245" s="16" t="n"/>
      <c r="D245" s="16" t="n"/>
      <c r="E245" s="16" t="n"/>
      <c r="F245" s="16" t="n"/>
      <c r="G245" s="16" t="n"/>
      <c r="H245" s="16" t="n"/>
      <c r="I245" s="16" t="n"/>
      <c r="J245" s="16" t="n"/>
      <c r="K245" s="16" t="n">
        <v>10.380522</v>
      </c>
      <c r="L245" s="16" t="n">
        <v>3</v>
      </c>
    </row>
    <row r="246">
      <c r="A246" s="16" t="n"/>
      <c r="B246" s="16" t="n"/>
      <c r="C246" s="16" t="n"/>
      <c r="D246" s="16" t="n"/>
      <c r="E246" s="16" t="n"/>
      <c r="F246" s="16" t="n"/>
      <c r="G246" s="16" t="n"/>
      <c r="H246" s="16" t="n"/>
      <c r="I246" s="16" t="n"/>
      <c r="J246" s="16" t="n"/>
      <c r="K246" s="16" t="n">
        <v>10.609068</v>
      </c>
      <c r="L246" s="16" t="n">
        <v>3</v>
      </c>
    </row>
    <row r="247">
      <c r="A247" s="16" t="n"/>
      <c r="B247" s="16" t="n"/>
      <c r="C247" s="16" t="n"/>
      <c r="D247" s="16" t="n"/>
      <c r="E247" s="16" t="n"/>
      <c r="F247" s="16" t="n"/>
      <c r="G247" s="16" t="n"/>
      <c r="H247" s="16" t="n"/>
      <c r="I247" s="16" t="n"/>
      <c r="J247" s="16" t="n"/>
      <c r="K247" s="16" t="n">
        <v>9.926420999999999</v>
      </c>
      <c r="L247" s="16" t="n">
        <v>3</v>
      </c>
    </row>
    <row r="248">
      <c r="A248" s="16" t="n"/>
      <c r="B248" s="16" t="n"/>
      <c r="C248" s="16" t="n"/>
      <c r="D248" s="16" t="n"/>
      <c r="E248" s="16" t="n"/>
      <c r="F248" s="16" t="n"/>
      <c r="G248" s="16" t="n"/>
      <c r="H248" s="16" t="n"/>
      <c r="I248" s="16" t="n"/>
      <c r="J248" s="16" t="n"/>
      <c r="K248" s="16" t="n">
        <v>10.588203</v>
      </c>
      <c r="L248" s="16" t="n">
        <v>3</v>
      </c>
    </row>
    <row r="249">
      <c r="A249" s="16" t="n"/>
      <c r="B249" s="16" t="n"/>
      <c r="C249" s="16" t="n"/>
      <c r="D249" s="16" t="n"/>
      <c r="E249" s="16" t="n"/>
      <c r="F249" s="16" t="n"/>
      <c r="G249" s="16" t="n"/>
      <c r="H249" s="16" t="n"/>
      <c r="I249" s="16" t="n"/>
      <c r="J249" s="16" t="n"/>
      <c r="K249" s="16" t="n">
        <v>10.53511</v>
      </c>
      <c r="L249" s="16" t="n">
        <v>3</v>
      </c>
    </row>
    <row r="250">
      <c r="A250" s="16" t="n"/>
      <c r="B250" s="16" t="n"/>
      <c r="C250" s="16" t="n"/>
      <c r="D250" s="16" t="n"/>
      <c r="E250" s="16" t="n"/>
      <c r="F250" s="16" t="n"/>
      <c r="G250" s="16" t="n"/>
      <c r="H250" s="16" t="n"/>
      <c r="I250" s="16" t="n"/>
      <c r="J250" s="16" t="n"/>
      <c r="K250" s="16" t="n">
        <v>10.451586</v>
      </c>
      <c r="L250" s="16" t="n">
        <v>3</v>
      </c>
    </row>
    <row r="251">
      <c r="A251" s="16" t="n"/>
      <c r="B251" s="16" t="n"/>
      <c r="C251" s="16" t="n"/>
      <c r="D251" s="16" t="n"/>
      <c r="E251" s="16" t="n"/>
      <c r="F251" s="16" t="n"/>
      <c r="G251" s="16" t="n"/>
      <c r="H251" s="16" t="n"/>
      <c r="I251" s="16" t="n"/>
      <c r="J251" s="16" t="n"/>
      <c r="K251" s="16" t="n">
        <v>10.603355</v>
      </c>
      <c r="L251" s="16" t="n">
        <v>3</v>
      </c>
    </row>
    <row r="252">
      <c r="A252" s="16" t="n"/>
      <c r="B252" s="16" t="n"/>
      <c r="C252" s="16" t="n"/>
      <c r="D252" s="16" t="n"/>
      <c r="E252" s="16" t="n"/>
      <c r="F252" s="16" t="n"/>
      <c r="G252" s="16" t="n"/>
      <c r="H252" s="16" t="n"/>
      <c r="I252" s="16" t="n"/>
      <c r="J252" s="16" t="n"/>
      <c r="K252" s="16" t="n">
        <v>10.497427</v>
      </c>
      <c r="L252" s="16" t="n">
        <v>3</v>
      </c>
    </row>
    <row r="253">
      <c r="A253" s="16" t="n"/>
      <c r="B253" s="16" t="n"/>
      <c r="C253" s="16" t="n"/>
      <c r="D253" s="16" t="n"/>
      <c r="E253" s="16" t="n"/>
      <c r="F253" s="16" t="n"/>
      <c r="G253" s="16" t="n"/>
      <c r="H253" s="16" t="n"/>
      <c r="I253" s="16" t="n"/>
      <c r="J253" s="16" t="n"/>
      <c r="K253" s="16" t="n">
        <v>10.530897</v>
      </c>
      <c r="L253" s="16" t="n">
        <v>3</v>
      </c>
    </row>
    <row r="254">
      <c r="A254" s="16" t="n"/>
      <c r="B254" s="16" t="n"/>
      <c r="C254" s="16" t="n"/>
      <c r="D254" s="16" t="n"/>
      <c r="E254" s="16" t="n"/>
      <c r="F254" s="16" t="n"/>
      <c r="G254" s="16" t="n"/>
      <c r="H254" s="16" t="n"/>
      <c r="I254" s="16" t="n"/>
      <c r="J254" s="16" t="n"/>
      <c r="K254" s="16" t="n">
        <v>10.971626</v>
      </c>
      <c r="L254" s="16" t="n">
        <v>3</v>
      </c>
    </row>
    <row r="255">
      <c r="A255" s="16" t="n"/>
      <c r="B255" s="16" t="n"/>
      <c r="C255" s="16" t="n"/>
      <c r="D255" s="16" t="n"/>
      <c r="E255" s="16" t="n"/>
      <c r="F255" s="16" t="n"/>
      <c r="G255" s="16" t="n"/>
      <c r="H255" s="16" t="n"/>
      <c r="I255" s="16" t="n"/>
      <c r="J255" s="16" t="n"/>
      <c r="K255" s="16" t="n">
        <v>10.563403</v>
      </c>
      <c r="L255" s="16" t="n">
        <v>4</v>
      </c>
    </row>
    <row r="256">
      <c r="A256" s="16" t="n"/>
      <c r="B256" s="16" t="n"/>
      <c r="C256" s="16" t="n"/>
      <c r="D256" s="16" t="n"/>
      <c r="E256" s="16" t="n"/>
      <c r="F256" s="16" t="n"/>
      <c r="G256" s="16" t="n"/>
      <c r="H256" s="16" t="n"/>
      <c r="I256" s="16" t="n"/>
      <c r="J256" s="16" t="n"/>
      <c r="K256" s="16" t="n">
        <v>9.779933</v>
      </c>
      <c r="L256" s="16" t="n">
        <v>4</v>
      </c>
    </row>
    <row r="257">
      <c r="A257" s="16" t="n"/>
      <c r="B257" s="16" t="n"/>
      <c r="C257" s="16" t="n"/>
      <c r="D257" s="16" t="n"/>
      <c r="E257" s="16" t="n"/>
      <c r="F257" s="16" t="n"/>
      <c r="G257" s="16" t="n"/>
      <c r="H257" s="16" t="n"/>
      <c r="I257" s="16" t="n"/>
      <c r="J257" s="16" t="n"/>
      <c r="K257" s="16" t="n">
        <v>12.863259</v>
      </c>
      <c r="L257" s="16" t="n">
        <v>4</v>
      </c>
    </row>
    <row r="258">
      <c r="A258" s="16" t="n"/>
      <c r="B258" s="16" t="n"/>
      <c r="C258" s="16" t="n"/>
      <c r="D258" s="16" t="n"/>
      <c r="E258" s="16" t="n"/>
      <c r="F258" s="16" t="n"/>
      <c r="G258" s="16" t="n"/>
      <c r="H258" s="16" t="n"/>
      <c r="I258" s="16" t="n"/>
      <c r="J258" s="16" t="n"/>
      <c r="K258" s="16" t="n">
        <v>11.285745</v>
      </c>
      <c r="L258" s="16" t="n">
        <v>4</v>
      </c>
    </row>
    <row r="259">
      <c r="A259" s="16" t="n"/>
      <c r="B259" s="16" t="n"/>
      <c r="C259" s="16" t="n"/>
      <c r="D259" s="16" t="n"/>
      <c r="E259" s="16" t="n"/>
      <c r="F259" s="16" t="n"/>
      <c r="G259" s="16" t="n"/>
      <c r="H259" s="16" t="n"/>
      <c r="I259" s="16" t="n"/>
      <c r="J259" s="16" t="n"/>
      <c r="K259" s="16" t="n">
        <v>11.021973</v>
      </c>
      <c r="L259" s="16" t="n">
        <v>4</v>
      </c>
    </row>
    <row r="260">
      <c r="A260" s="16" t="n"/>
      <c r="B260" s="16" t="n"/>
      <c r="C260" s="16" t="n"/>
      <c r="D260" s="16" t="n"/>
      <c r="E260" s="16" t="n"/>
      <c r="F260" s="16" t="n"/>
      <c r="G260" s="16" t="n"/>
      <c r="H260" s="16" t="n"/>
      <c r="I260" s="16" t="n"/>
      <c r="J260" s="16" t="n"/>
      <c r="K260" s="16" t="n">
        <v>11.259653</v>
      </c>
      <c r="L260" s="16" t="n">
        <v>4</v>
      </c>
    </row>
    <row r="261">
      <c r="A261" s="16" t="n"/>
      <c r="B261" s="16" t="n"/>
      <c r="C261" s="16" t="n"/>
      <c r="D261" s="16" t="n"/>
      <c r="E261" s="16" t="n"/>
      <c r="F261" s="16" t="n"/>
      <c r="G261" s="16" t="n"/>
      <c r="H261" s="16" t="n"/>
      <c r="I261" s="16" t="n"/>
      <c r="J261" s="16" t="n"/>
      <c r="K261" s="16" t="n">
        <v>10.533681</v>
      </c>
      <c r="L261" s="16" t="n">
        <v>4</v>
      </c>
    </row>
    <row r="262">
      <c r="A262" s="16" t="n"/>
      <c r="B262" s="16" t="n"/>
      <c r="C262" s="16" t="n"/>
      <c r="D262" s="16" t="n"/>
      <c r="E262" s="16" t="n"/>
      <c r="F262" s="16" t="n"/>
      <c r="G262" s="16" t="n"/>
      <c r="H262" s="16" t="n"/>
      <c r="I262" s="16" t="n"/>
      <c r="J262" s="16" t="n"/>
      <c r="K262" s="16" t="n">
        <v>11.238759</v>
      </c>
      <c r="L262" s="16" t="n">
        <v>4</v>
      </c>
    </row>
    <row r="263">
      <c r="A263" s="16" t="n"/>
      <c r="B263" s="16" t="n"/>
      <c r="C263" s="16" t="n"/>
      <c r="D263" s="16" t="n"/>
      <c r="E263" s="16" t="n"/>
      <c r="F263" s="16" t="n"/>
      <c r="G263" s="16" t="n"/>
      <c r="H263" s="16" t="n"/>
      <c r="I263" s="16" t="n"/>
      <c r="J263" s="16" t="n"/>
      <c r="K263" s="16" t="n">
        <v>11.179525</v>
      </c>
      <c r="L263" s="16" t="n">
        <v>4</v>
      </c>
    </row>
    <row r="264">
      <c r="A264" s="16" t="n"/>
      <c r="B264" s="16" t="n"/>
      <c r="C264" s="16" t="n"/>
      <c r="D264" s="16" t="n"/>
      <c r="E264" s="16" t="n"/>
      <c r="F264" s="16" t="n"/>
      <c r="G264" s="16" t="n"/>
      <c r="H264" s="16" t="n"/>
      <c r="I264" s="16" t="n"/>
      <c r="J264" s="16" t="n"/>
      <c r="K264" s="16" t="n">
        <v>11.083234</v>
      </c>
      <c r="L264" s="16" t="n">
        <v>4</v>
      </c>
    </row>
    <row r="265">
      <c r="A265" s="16" t="n"/>
      <c r="B265" s="16" t="n"/>
      <c r="C265" s="16" t="n"/>
      <c r="D265" s="16" t="n"/>
      <c r="E265" s="16" t="n"/>
      <c r="F265" s="16" t="n"/>
      <c r="G265" s="16" t="n"/>
      <c r="H265" s="16" t="n"/>
      <c r="I265" s="16" t="n"/>
      <c r="J265" s="16" t="n"/>
      <c r="K265" s="16" t="n">
        <v>11.255873</v>
      </c>
      <c r="L265" s="16" t="n">
        <v>4</v>
      </c>
    </row>
    <row r="266">
      <c r="A266" s="16" t="n"/>
      <c r="B266" s="16" t="n"/>
      <c r="C266" s="16" t="n"/>
      <c r="D266" s="16" t="n"/>
      <c r="E266" s="16" t="n"/>
      <c r="F266" s="16" t="n"/>
      <c r="G266" s="16" t="n"/>
      <c r="H266" s="16" t="n"/>
      <c r="I266" s="16" t="n"/>
      <c r="J266" s="16" t="n"/>
      <c r="K266" s="16" t="n">
        <v>11.137119</v>
      </c>
      <c r="L266" s="16" t="n">
        <v>4</v>
      </c>
    </row>
    <row r="267">
      <c r="A267" s="16" t="n"/>
      <c r="B267" s="16" t="n"/>
      <c r="C267" s="16" t="n"/>
      <c r="D267" s="16" t="n"/>
      <c r="E267" s="16" t="n"/>
      <c r="F267" s="16" t="n"/>
      <c r="G267" s="16" t="n"/>
      <c r="H267" s="16" t="n"/>
      <c r="I267" s="16" t="n"/>
      <c r="J267" s="16" t="n"/>
      <c r="K267" s="16" t="n">
        <v>11.176889</v>
      </c>
      <c r="L267" s="16" t="n">
        <v>4</v>
      </c>
    </row>
    <row r="268">
      <c r="A268" s="16" t="n"/>
      <c r="B268" s="16" t="n"/>
      <c r="C268" s="16" t="n"/>
      <c r="D268" s="16" t="n"/>
      <c r="E268" s="16" t="n"/>
      <c r="F268" s="16" t="n"/>
      <c r="G268" s="16" t="n"/>
      <c r="H268" s="16" t="n"/>
      <c r="I268" s="16" t="n"/>
      <c r="J268" s="16" t="n"/>
      <c r="K268" s="16" t="n">
        <v>11.646139</v>
      </c>
      <c r="L268" s="16" t="n">
        <v>4</v>
      </c>
    </row>
    <row r="269">
      <c r="A269" s="16" t="n"/>
      <c r="B269" s="16" t="n"/>
      <c r="C269" s="16" t="n"/>
      <c r="D269" s="16" t="n"/>
      <c r="E269" s="16" t="n"/>
      <c r="F269" s="16" t="n"/>
      <c r="G269" s="16" t="n"/>
      <c r="H269" s="16" t="n"/>
      <c r="I269" s="16" t="n"/>
      <c r="J269" s="16" t="n"/>
      <c r="K269" s="16" t="n">
        <v>11.211091</v>
      </c>
      <c r="L269" s="16" t="n">
        <v>5</v>
      </c>
    </row>
    <row r="270">
      <c r="A270" s="16" t="n"/>
      <c r="B270" s="16" t="n"/>
      <c r="C270" s="16" t="n"/>
      <c r="D270" s="16" t="n"/>
      <c r="E270" s="16" t="n"/>
      <c r="F270" s="16" t="n"/>
      <c r="G270" s="16" t="n"/>
      <c r="H270" s="16" t="n"/>
      <c r="I270" s="16" t="n"/>
      <c r="J270" s="16" t="n"/>
      <c r="K270" s="16" t="n">
        <v>10.382418</v>
      </c>
      <c r="L270" s="16" t="n">
        <v>5</v>
      </c>
    </row>
    <row r="271">
      <c r="A271" s="16" t="n"/>
      <c r="B271" s="16" t="n"/>
      <c r="C271" s="16" t="n"/>
      <c r="D271" s="16" t="n"/>
      <c r="E271" s="16" t="n"/>
      <c r="F271" s="16" t="n"/>
      <c r="G271" s="16" t="n"/>
      <c r="H271" s="16" t="n"/>
      <c r="I271" s="16" t="n"/>
      <c r="J271" s="16" t="n"/>
      <c r="K271" s="16" t="n">
        <v>13.437676</v>
      </c>
      <c r="L271" s="16" t="n">
        <v>5</v>
      </c>
    </row>
    <row r="272">
      <c r="A272" s="16" t="n"/>
      <c r="B272" s="16" t="n"/>
      <c r="C272" s="16" t="n"/>
      <c r="D272" s="16" t="n"/>
      <c r="E272" s="16" t="n"/>
      <c r="F272" s="16" t="n"/>
      <c r="G272" s="16" t="n"/>
      <c r="H272" s="16" t="n"/>
      <c r="I272" s="16" t="n"/>
      <c r="J272" s="16" t="n"/>
      <c r="K272" s="16" t="n">
        <v>11.875473</v>
      </c>
      <c r="L272" s="16" t="n">
        <v>5</v>
      </c>
    </row>
    <row r="273">
      <c r="A273" s="16" t="n"/>
      <c r="B273" s="16" t="n"/>
      <c r="C273" s="16" t="n"/>
      <c r="D273" s="16" t="n"/>
      <c r="E273" s="16" t="n"/>
      <c r="F273" s="16" t="n"/>
      <c r="G273" s="16" t="n"/>
      <c r="H273" s="16" t="n"/>
      <c r="I273" s="16" t="n"/>
      <c r="J273" s="16" t="n"/>
      <c r="K273" s="16" t="n">
        <v>11.606115</v>
      </c>
      <c r="L273" s="16" t="n">
        <v>5</v>
      </c>
    </row>
    <row r="274">
      <c r="A274" s="16" t="n"/>
      <c r="B274" s="16" t="n"/>
      <c r="C274" s="16" t="n"/>
      <c r="D274" s="16" t="n"/>
      <c r="E274" s="16" t="n"/>
      <c r="F274" s="16" t="n"/>
      <c r="G274" s="16" t="n"/>
      <c r="H274" s="16" t="n"/>
      <c r="I274" s="16" t="n"/>
      <c r="J274" s="16" t="n"/>
      <c r="K274" s="16" t="n">
        <v>11.851574</v>
      </c>
      <c r="L274" s="16" t="n">
        <v>5</v>
      </c>
    </row>
    <row r="275">
      <c r="A275" s="16" t="n"/>
      <c r="B275" s="16" t="n"/>
      <c r="C275" s="16" t="n"/>
      <c r="D275" s="16" t="n"/>
      <c r="E275" s="16" t="n"/>
      <c r="F275" s="16" t="n"/>
      <c r="G275" s="16" t="n"/>
      <c r="H275" s="16" t="n"/>
      <c r="I275" s="16" t="n"/>
      <c r="J275" s="16" t="n"/>
      <c r="K275" s="16" t="n">
        <v>11.085879</v>
      </c>
      <c r="L275" s="16" t="n">
        <v>5</v>
      </c>
    </row>
    <row r="276">
      <c r="A276" s="16" t="n"/>
      <c r="B276" s="16" t="n"/>
      <c r="C276" s="16" t="n"/>
      <c r="D276" s="16" t="n"/>
      <c r="E276" s="16" t="n"/>
      <c r="F276" s="16" t="n"/>
      <c r="G276" s="16" t="n"/>
      <c r="H276" s="16" t="n"/>
      <c r="I276" s="16" t="n"/>
      <c r="J276" s="16" t="n"/>
      <c r="K276" s="16" t="n">
        <v>11.830895</v>
      </c>
      <c r="L276" s="16" t="n">
        <v>5</v>
      </c>
    </row>
    <row r="277">
      <c r="A277" s="16" t="n"/>
      <c r="B277" s="16" t="n"/>
      <c r="C277" s="16" t="n"/>
      <c r="D277" s="16" t="n"/>
      <c r="E277" s="16" t="n"/>
      <c r="F277" s="16" t="n"/>
      <c r="G277" s="16" t="n"/>
      <c r="H277" s="16" t="n"/>
      <c r="I277" s="16" t="n"/>
      <c r="J277" s="16" t="n"/>
      <c r="K277" s="16" t="n">
        <v>11.765513</v>
      </c>
      <c r="L277" s="16" t="n">
        <v>5</v>
      </c>
    </row>
    <row r="278">
      <c r="A278" s="16" t="n"/>
      <c r="B278" s="16" t="n"/>
      <c r="C278" s="16" t="n"/>
      <c r="D278" s="16" t="n"/>
      <c r="E278" s="16" t="n"/>
      <c r="F278" s="16" t="n"/>
      <c r="G278" s="16" t="n"/>
      <c r="H278" s="16" t="n"/>
      <c r="I278" s="16" t="n"/>
      <c r="J278" s="16" t="n"/>
      <c r="K278" s="16" t="n">
        <v>11.656694</v>
      </c>
      <c r="L278" s="16" t="n">
        <v>5</v>
      </c>
    </row>
    <row r="279">
      <c r="A279" s="16" t="n"/>
      <c r="B279" s="16" t="n"/>
      <c r="C279" s="16" t="n"/>
      <c r="D279" s="16" t="n"/>
      <c r="E279" s="16" t="n"/>
      <c r="F279" s="16" t="n"/>
      <c r="G279" s="16" t="n"/>
      <c r="H279" s="16" t="n"/>
      <c r="I279" s="16" t="n"/>
      <c r="J279" s="16" t="n"/>
      <c r="K279" s="16" t="n">
        <v>11.849966</v>
      </c>
      <c r="L279" s="16" t="n">
        <v>5</v>
      </c>
    </row>
    <row r="280">
      <c r="A280" s="16" t="n"/>
      <c r="B280" s="16" t="n"/>
      <c r="C280" s="16" t="n"/>
      <c r="D280" s="16" t="n"/>
      <c r="E280" s="16" t="n"/>
      <c r="F280" s="16" t="n"/>
      <c r="G280" s="16" t="n"/>
      <c r="H280" s="16" t="n"/>
      <c r="I280" s="16" t="n"/>
      <c r="J280" s="16" t="n"/>
      <c r="K280" s="16" t="n">
        <v>11.718382</v>
      </c>
      <c r="L280" s="16" t="n">
        <v>5</v>
      </c>
    </row>
    <row r="281">
      <c r="A281" s="16" t="n"/>
      <c r="B281" s="16" t="n"/>
      <c r="C281" s="16" t="n"/>
      <c r="D281" s="16" t="n"/>
      <c r="E281" s="16" t="n"/>
      <c r="F281" s="16" t="n"/>
      <c r="G281" s="16" t="n"/>
      <c r="H281" s="16" t="n"/>
      <c r="I281" s="16" t="n"/>
      <c r="J281" s="16" t="n"/>
      <c r="K281" s="16" t="n">
        <v>11.764645</v>
      </c>
      <c r="L281" s="16" t="n">
        <v>5</v>
      </c>
    </row>
    <row r="282">
      <c r="A282" s="16" t="n"/>
      <c r="B282" s="16" t="n"/>
      <c r="C282" s="16" t="n"/>
      <c r="D282" s="16" t="n"/>
      <c r="E282" s="16" t="n"/>
      <c r="F282" s="16" t="n"/>
      <c r="G282" s="16" t="n"/>
      <c r="H282" s="16" t="n"/>
      <c r="I282" s="16" t="n"/>
      <c r="J282" s="16" t="n"/>
      <c r="K282" s="16" t="n">
        <v>12.259276</v>
      </c>
      <c r="L282" s="16" t="n">
        <v>5</v>
      </c>
    </row>
    <row r="283">
      <c r="A283" s="16" t="n"/>
      <c r="B283" s="16" t="n"/>
      <c r="C283" s="16" t="n"/>
      <c r="D283" s="16" t="n"/>
      <c r="E283" s="16" t="n"/>
      <c r="F283" s="16" t="n"/>
      <c r="G283" s="16" t="n"/>
      <c r="H283" s="16" t="n"/>
      <c r="I283" s="16" t="n"/>
      <c r="J283" s="16" t="n"/>
      <c r="K283" s="16" t="n">
        <v>11.800355</v>
      </c>
      <c r="L283" s="16" t="n">
        <v>6</v>
      </c>
    </row>
    <row r="284">
      <c r="A284" s="16" t="n"/>
      <c r="B284" s="16" t="n"/>
      <c r="C284" s="16" t="n"/>
      <c r="D284" s="16" t="n"/>
      <c r="E284" s="16" t="n"/>
      <c r="F284" s="16" t="n"/>
      <c r="G284" s="16" t="n"/>
      <c r="H284" s="16" t="n"/>
      <c r="I284" s="16" t="n"/>
      <c r="J284" s="16" t="n"/>
      <c r="K284" s="16" t="n">
        <v>10.933276</v>
      </c>
      <c r="L284" s="16" t="n">
        <v>6</v>
      </c>
    </row>
    <row r="285">
      <c r="A285" s="16" t="n"/>
      <c r="B285" s="16" t="n"/>
      <c r="C285" s="16" t="n"/>
      <c r="D285" s="16" t="n"/>
      <c r="E285" s="16" t="n"/>
      <c r="F285" s="16" t="n"/>
      <c r="G285" s="16" t="n"/>
      <c r="H285" s="16" t="n"/>
      <c r="I285" s="16" t="n"/>
      <c r="J285" s="16" t="n"/>
      <c r="K285" s="16" t="n">
        <v>13.962566</v>
      </c>
      <c r="L285" s="16" t="n">
        <v>6</v>
      </c>
    </row>
    <row r="286">
      <c r="A286" s="16" t="n"/>
      <c r="B286" s="16" t="n"/>
      <c r="C286" s="16" t="n"/>
      <c r="D286" s="16" t="n"/>
      <c r="E286" s="16" t="n"/>
      <c r="F286" s="16" t="n"/>
      <c r="G286" s="16" t="n"/>
      <c r="H286" s="16" t="n"/>
      <c r="I286" s="16" t="n"/>
      <c r="J286" s="16" t="n"/>
      <c r="K286" s="16" t="n">
        <v>12.414253</v>
      </c>
      <c r="L286" s="16" t="n">
        <v>6</v>
      </c>
    </row>
    <row r="287">
      <c r="A287" s="16" t="n"/>
      <c r="B287" s="16" t="n"/>
      <c r="C287" s="16" t="n"/>
      <c r="D287" s="16" t="n"/>
      <c r="E287" s="16" t="n"/>
      <c r="F287" s="16" t="n"/>
      <c r="G287" s="16" t="n"/>
      <c r="H287" s="16" t="n"/>
      <c r="I287" s="16" t="n"/>
      <c r="J287" s="16" t="n"/>
      <c r="K287" s="16" t="n">
        <v>12.140506</v>
      </c>
      <c r="L287" s="16" t="n">
        <v>6</v>
      </c>
    </row>
    <row r="288">
      <c r="A288" s="16" t="n"/>
      <c r="B288" s="16" t="n"/>
      <c r="C288" s="16" t="n"/>
      <c r="D288" s="16" t="n"/>
      <c r="E288" s="16" t="n"/>
      <c r="F288" s="16" t="n"/>
      <c r="G288" s="16" t="n"/>
      <c r="H288" s="16" t="n"/>
      <c r="I288" s="16" t="n"/>
      <c r="J288" s="16" t="n"/>
      <c r="K288" s="16" t="n">
        <v>12.39264</v>
      </c>
      <c r="L288" s="16" t="n">
        <v>6</v>
      </c>
    </row>
    <row r="289">
      <c r="A289" s="16" t="n"/>
      <c r="B289" s="16" t="n"/>
      <c r="C289" s="16" t="n"/>
      <c r="D289" s="16" t="n"/>
      <c r="E289" s="16" t="n"/>
      <c r="F289" s="16" t="n"/>
      <c r="G289" s="16" t="n"/>
      <c r="H289" s="16" t="n"/>
      <c r="I289" s="16" t="n"/>
      <c r="J289" s="16" t="n"/>
      <c r="K289" s="16" t="n">
        <v>11.59034</v>
      </c>
      <c r="L289" s="16" t="n">
        <v>6</v>
      </c>
    </row>
    <row r="290">
      <c r="A290" s="16" t="n"/>
      <c r="B290" s="16" t="n"/>
      <c r="C290" s="16" t="n"/>
      <c r="D290" s="16" t="n"/>
      <c r="E290" s="16" t="n"/>
      <c r="F290" s="16" t="n"/>
      <c r="G290" s="16" t="n"/>
      <c r="H290" s="16" t="n"/>
      <c r="I290" s="16" t="n"/>
      <c r="J290" s="16" t="n"/>
      <c r="K290" s="16" t="n">
        <v>12.372391</v>
      </c>
      <c r="L290" s="16" t="n">
        <v>6</v>
      </c>
    </row>
    <row r="291">
      <c r="A291" s="16" t="n"/>
      <c r="B291" s="16" t="n"/>
      <c r="C291" s="16" t="n"/>
      <c r="D291" s="16" t="n"/>
      <c r="E291" s="16" t="n"/>
      <c r="F291" s="16" t="n"/>
      <c r="G291" s="16" t="n"/>
      <c r="H291" s="16" t="n"/>
      <c r="I291" s="16" t="n"/>
      <c r="J291" s="16" t="n"/>
      <c r="K291" s="16" t="n">
        <v>12.300847</v>
      </c>
      <c r="L291" s="16" t="n">
        <v>6</v>
      </c>
    </row>
    <row r="292">
      <c r="A292" s="16" t="n"/>
      <c r="B292" s="16" t="n"/>
      <c r="C292" s="16" t="n"/>
      <c r="D292" s="16" t="n"/>
      <c r="E292" s="16" t="n"/>
      <c r="F292" s="16" t="n"/>
      <c r="G292" s="16" t="n"/>
      <c r="H292" s="16" t="n"/>
      <c r="I292" s="16" t="n"/>
      <c r="J292" s="16" t="n"/>
      <c r="K292" s="16" t="n">
        <v>12.179758</v>
      </c>
      <c r="L292" s="16" t="n">
        <v>6</v>
      </c>
    </row>
    <row r="293">
      <c r="A293" s="16" t="n"/>
      <c r="B293" s="16" t="n"/>
      <c r="C293" s="16" t="n"/>
      <c r="D293" s="16" t="n"/>
      <c r="E293" s="16" t="n"/>
      <c r="F293" s="16" t="n"/>
      <c r="G293" s="16" t="n"/>
      <c r="H293" s="16" t="n"/>
      <c r="I293" s="16" t="n"/>
      <c r="J293" s="16" t="n"/>
      <c r="K293" s="16" t="n">
        <v>12.393414</v>
      </c>
      <c r="L293" s="16" t="n">
        <v>6</v>
      </c>
    </row>
    <row r="294">
      <c r="A294" s="16" t="n"/>
      <c r="B294" s="16" t="n"/>
      <c r="C294" s="16" t="n"/>
      <c r="D294" s="16" t="n"/>
      <c r="E294" s="16" t="n"/>
      <c r="F294" s="16" t="n"/>
      <c r="G294" s="16" t="n"/>
      <c r="H294" s="16" t="n"/>
      <c r="I294" s="16" t="n"/>
      <c r="J294" s="16" t="n"/>
      <c r="K294" s="16" t="n">
        <v>12.248994</v>
      </c>
      <c r="L294" s="16" t="n">
        <v>6</v>
      </c>
    </row>
    <row r="295">
      <c r="A295" s="16" t="n"/>
      <c r="B295" s="16" t="n"/>
      <c r="C295" s="16" t="n"/>
      <c r="D295" s="16" t="n"/>
      <c r="E295" s="16" t="n"/>
      <c r="F295" s="16" t="n"/>
      <c r="G295" s="16" t="n"/>
      <c r="H295" s="16" t="n"/>
      <c r="I295" s="16" t="n"/>
      <c r="J295" s="16" t="n"/>
      <c r="K295" s="16" t="n">
        <v>12.301915</v>
      </c>
      <c r="L295" s="16" t="n">
        <v>6</v>
      </c>
    </row>
    <row r="296">
      <c r="A296" s="16" t="n"/>
      <c r="B296" s="16" t="n"/>
      <c r="C296" s="16" t="n"/>
      <c r="D296" s="16" t="n"/>
      <c r="E296" s="16" t="n"/>
      <c r="F296" s="16" t="n"/>
      <c r="G296" s="16" t="n"/>
      <c r="H296" s="16" t="n"/>
      <c r="I296" s="16" t="n"/>
      <c r="J296" s="16" t="n"/>
      <c r="K296" s="16" t="n">
        <v>12.819259</v>
      </c>
      <c r="L296" s="16" t="n">
        <v>6</v>
      </c>
    </row>
    <row r="297">
      <c r="A297" s="16" t="n"/>
      <c r="B297" s="16" t="n"/>
      <c r="C297" s="16" t="n"/>
      <c r="D297" s="16" t="n"/>
      <c r="E297" s="16" t="n"/>
      <c r="F297" s="16" t="n"/>
      <c r="G297" s="16" t="n"/>
      <c r="H297" s="16" t="n"/>
      <c r="I297" s="16" t="n"/>
      <c r="J297" s="16" t="n"/>
      <c r="K297" s="16" t="n">
        <v>12.154113</v>
      </c>
      <c r="L297" s="16" t="n">
        <v>7</v>
      </c>
    </row>
    <row r="298">
      <c r="A298" s="16" t="n"/>
      <c r="B298" s="16" t="n"/>
      <c r="C298" s="16" t="n"/>
      <c r="D298" s="16" t="n"/>
      <c r="E298" s="16" t="n"/>
      <c r="F298" s="16" t="n"/>
      <c r="G298" s="16" t="n"/>
      <c r="H298" s="16" t="n"/>
      <c r="I298" s="16" t="n"/>
      <c r="J298" s="16" t="n"/>
      <c r="K298" s="16" t="n">
        <v>11.265164</v>
      </c>
      <c r="L298" s="16" t="n">
        <v>7</v>
      </c>
    </row>
    <row r="299">
      <c r="A299" s="16" t="n"/>
      <c r="B299" s="16" t="n"/>
      <c r="C299" s="16" t="n"/>
      <c r="D299" s="16" t="n"/>
      <c r="E299" s="16" t="n"/>
      <c r="F299" s="16" t="n"/>
      <c r="G299" s="16" t="n"/>
      <c r="H299" s="16" t="n"/>
      <c r="I299" s="16" t="n"/>
      <c r="J299" s="16" t="n"/>
      <c r="K299" s="16" t="n">
        <v>14.278649</v>
      </c>
      <c r="L299" s="16" t="n">
        <v>7</v>
      </c>
    </row>
    <row r="300">
      <c r="A300" s="16" t="n"/>
      <c r="B300" s="16" t="n"/>
      <c r="C300" s="16" t="n"/>
      <c r="D300" s="16" t="n"/>
      <c r="E300" s="16" t="n"/>
      <c r="F300" s="16" t="n"/>
      <c r="G300" s="16" t="n"/>
      <c r="H300" s="16" t="n"/>
      <c r="I300" s="16" t="n"/>
      <c r="J300" s="16" t="n"/>
      <c r="K300" s="16" t="n">
        <v>12.462604</v>
      </c>
      <c r="L300" s="16" t="n">
        <v>7</v>
      </c>
    </row>
    <row r="301">
      <c r="A301" s="16" t="n"/>
      <c r="B301" s="16" t="n"/>
      <c r="C301" s="16" t="n"/>
      <c r="D301" s="16" t="n"/>
      <c r="E301" s="16" t="n"/>
      <c r="F301" s="16" t="n"/>
      <c r="G301" s="16" t="n"/>
      <c r="H301" s="16" t="n"/>
      <c r="I301" s="16" t="n"/>
      <c r="J301" s="16" t="n"/>
      <c r="K301" s="16" t="n">
        <v>12.718563</v>
      </c>
      <c r="L301" s="16" t="n">
        <v>7</v>
      </c>
    </row>
    <row r="302">
      <c r="A302" s="16" t="n"/>
      <c r="B302" s="16" t="n"/>
      <c r="C302" s="16" t="n"/>
      <c r="D302" s="16" t="n"/>
      <c r="E302" s="16" t="n"/>
      <c r="F302" s="16" t="n"/>
      <c r="G302" s="16" t="n"/>
      <c r="H302" s="16" t="n"/>
      <c r="I302" s="16" t="n"/>
      <c r="J302" s="16" t="n"/>
      <c r="K302" s="16" t="n">
        <v>11.894058</v>
      </c>
      <c r="L302" s="16" t="n">
        <v>7</v>
      </c>
    </row>
    <row r="303">
      <c r="A303" s="16" t="n"/>
      <c r="B303" s="16" t="n"/>
      <c r="C303" s="16" t="n"/>
      <c r="D303" s="16" t="n"/>
      <c r="E303" s="16" t="n"/>
      <c r="F303" s="16" t="n"/>
      <c r="G303" s="16" t="n"/>
      <c r="H303" s="16" t="n"/>
      <c r="I303" s="16" t="n"/>
      <c r="J303" s="16" t="n"/>
      <c r="K303" s="16" t="n">
        <v>12.698695</v>
      </c>
      <c r="L303" s="16" t="n">
        <v>7</v>
      </c>
    </row>
    <row r="304">
      <c r="A304" s="16" t="n"/>
      <c r="B304" s="16" t="n"/>
      <c r="C304" s="16" t="n"/>
      <c r="D304" s="16" t="n"/>
      <c r="E304" s="16" t="n"/>
      <c r="F304" s="16" t="n"/>
      <c r="G304" s="16" t="n"/>
      <c r="H304" s="16" t="n"/>
      <c r="I304" s="16" t="n"/>
      <c r="J304" s="16" t="n"/>
      <c r="K304" s="16" t="n">
        <v>12.623156</v>
      </c>
      <c r="L304" s="16" t="n">
        <v>7</v>
      </c>
    </row>
    <row r="305">
      <c r="A305" s="16" t="n"/>
      <c r="B305" s="16" t="n"/>
      <c r="C305" s="16" t="n"/>
      <c r="D305" s="16" t="n"/>
      <c r="E305" s="16" t="n"/>
      <c r="F305" s="16" t="n"/>
      <c r="G305" s="16" t="n"/>
      <c r="H305" s="16" t="n"/>
      <c r="I305" s="16" t="n"/>
      <c r="J305" s="16" t="n"/>
      <c r="K305" s="16" t="n">
        <v>12.494264</v>
      </c>
      <c r="L305" s="16" t="n">
        <v>7</v>
      </c>
    </row>
    <row r="306">
      <c r="A306" s="16" t="n"/>
      <c r="B306" s="16" t="n"/>
      <c r="C306" s="16" t="n"/>
      <c r="D306" s="16" t="n"/>
      <c r="E306" s="16" t="n"/>
      <c r="F306" s="16" t="n"/>
      <c r="G306" s="16" t="n"/>
      <c r="H306" s="16" t="n"/>
      <c r="I306" s="16" t="n"/>
      <c r="J306" s="16" t="n"/>
      <c r="K306" s="16" t="n">
        <v>12.720976</v>
      </c>
      <c r="L306" s="16" t="n">
        <v>7</v>
      </c>
    </row>
    <row r="307">
      <c r="A307" s="16" t="n"/>
      <c r="B307" s="16" t="n"/>
      <c r="C307" s="16" t="n"/>
      <c r="D307" s="16" t="n"/>
      <c r="E307" s="16" t="n"/>
      <c r="F307" s="16" t="n"/>
      <c r="G307" s="16" t="n"/>
      <c r="H307" s="16" t="n"/>
      <c r="I307" s="16" t="n"/>
      <c r="J307" s="16" t="n"/>
      <c r="K307" s="16" t="n">
        <v>12.56825</v>
      </c>
      <c r="L307" s="16" t="n">
        <v>7</v>
      </c>
    </row>
    <row r="308">
      <c r="A308" s="16" t="n"/>
      <c r="B308" s="16" t="n"/>
      <c r="C308" s="16" t="n"/>
      <c r="D308" s="16" t="n"/>
      <c r="E308" s="16" t="n"/>
      <c r="F308" s="16" t="n"/>
      <c r="G308" s="16" t="n"/>
      <c r="H308" s="16" t="n"/>
      <c r="I308" s="16" t="n"/>
      <c r="J308" s="16" t="n"/>
      <c r="K308" s="16" t="n">
        <v>12.625555</v>
      </c>
      <c r="L308" s="16" t="n">
        <v>7</v>
      </c>
    </row>
    <row r="309">
      <c r="A309" s="16" t="n"/>
      <c r="B309" s="16" t="n"/>
      <c r="C309" s="16" t="n"/>
      <c r="D309" s="16" t="n"/>
      <c r="E309" s="16" t="n"/>
      <c r="F309" s="16" t="n"/>
      <c r="G309" s="16" t="n"/>
      <c r="H309" s="16" t="n"/>
      <c r="I309" s="16" t="n"/>
      <c r="J309" s="16" t="n"/>
      <c r="K309" s="16" t="n">
        <v>13.156351</v>
      </c>
      <c r="L309" s="16" t="n">
        <v>7</v>
      </c>
    </row>
    <row r="310">
      <c r="A310" s="16" t="n"/>
      <c r="B310" s="16" t="n"/>
      <c r="C310" s="16" t="n"/>
      <c r="D310" s="16" t="n"/>
      <c r="E310" s="16" t="n"/>
      <c r="F310" s="16" t="n"/>
      <c r="G310" s="16" t="n"/>
      <c r="H310" s="16" t="n"/>
      <c r="I310" s="16" t="n"/>
      <c r="J310" s="16" t="n"/>
      <c r="K310" s="16" t="n">
        <v>11.424173</v>
      </c>
      <c r="L310" s="16" t="n">
        <v>1</v>
      </c>
    </row>
    <row r="311">
      <c r="A311" s="16" t="n"/>
      <c r="B311" s="16" t="n"/>
      <c r="C311" s="16" t="n"/>
      <c r="D311" s="16" t="n"/>
      <c r="E311" s="16" t="n"/>
      <c r="F311" s="16" t="n"/>
      <c r="G311" s="16" t="n"/>
      <c r="H311" s="16" t="n"/>
      <c r="I311" s="16" t="n"/>
      <c r="J311" s="16" t="n"/>
      <c r="K311" s="16" t="n">
        <v>3.574106</v>
      </c>
      <c r="L311" s="16" t="n">
        <v>1</v>
      </c>
    </row>
    <row r="312">
      <c r="A312" s="16" t="n"/>
      <c r="B312" s="16" t="n"/>
      <c r="C312" s="16" t="n"/>
      <c r="D312" s="16" t="n"/>
      <c r="E312" s="16" t="n"/>
      <c r="F312" s="16" t="n"/>
      <c r="G312" s="16" t="n"/>
      <c r="H312" s="16" t="n"/>
      <c r="I312" s="16" t="n"/>
      <c r="J312" s="16" t="n"/>
      <c r="K312" s="16" t="n">
        <v>11.269751</v>
      </c>
      <c r="L312" s="16" t="n">
        <v>1</v>
      </c>
    </row>
    <row r="313">
      <c r="A313" s="16" t="n"/>
      <c r="B313" s="16" t="n"/>
      <c r="C313" s="16" t="n"/>
      <c r="D313" s="16" t="n"/>
      <c r="E313" s="16" t="n"/>
      <c r="F313" s="16" t="n"/>
      <c r="G313" s="16" t="n"/>
      <c r="H313" s="16" t="n"/>
      <c r="I313" s="16" t="n"/>
      <c r="J313" s="16" t="n"/>
      <c r="K313" s="16" t="n">
        <v>10.203215</v>
      </c>
      <c r="L313" s="16" t="n">
        <v>1</v>
      </c>
    </row>
    <row r="314">
      <c r="A314" s="16" t="n"/>
      <c r="B314" s="16" t="n"/>
      <c r="C314" s="16" t="n"/>
      <c r="D314" s="16" t="n"/>
      <c r="E314" s="16" t="n"/>
      <c r="F314" s="16" t="n"/>
      <c r="G314" s="16" t="n"/>
      <c r="H314" s="16" t="n"/>
      <c r="I314" s="16" t="n"/>
      <c r="J314" s="16" t="n"/>
      <c r="K314" s="16" t="n">
        <v>8.806029000000001</v>
      </c>
      <c r="L314" s="16" t="n">
        <v>1</v>
      </c>
    </row>
    <row r="315">
      <c r="A315" s="16" t="n"/>
      <c r="B315" s="16" t="n"/>
      <c r="C315" s="16" t="n"/>
      <c r="D315" s="16" t="n"/>
      <c r="E315" s="16" t="n"/>
      <c r="F315" s="16" t="n"/>
      <c r="G315" s="16" t="n"/>
      <c r="H315" s="16" t="n"/>
      <c r="I315" s="16" t="n"/>
      <c r="J315" s="16" t="n"/>
      <c r="K315" s="16" t="n">
        <v>9.590849</v>
      </c>
      <c r="L315" s="16" t="n">
        <v>1</v>
      </c>
    </row>
    <row r="316">
      <c r="A316" s="16" t="n"/>
      <c r="B316" s="16" t="n"/>
      <c r="C316" s="16" t="n"/>
      <c r="D316" s="16" t="n"/>
      <c r="E316" s="16" t="n"/>
      <c r="F316" s="16" t="n"/>
      <c r="G316" s="16" t="n"/>
      <c r="H316" s="16" t="n"/>
      <c r="I316" s="16" t="n"/>
      <c r="J316" s="16" t="n"/>
      <c r="K316" s="16" t="n">
        <v>9.404897</v>
      </c>
      <c r="L316" s="16" t="n">
        <v>1</v>
      </c>
    </row>
    <row r="317">
      <c r="A317" s="16" t="n"/>
      <c r="B317" s="16" t="n"/>
      <c r="C317" s="16" t="n"/>
      <c r="D317" s="16" t="n"/>
      <c r="E317" s="16" t="n"/>
      <c r="F317" s="16" t="n"/>
      <c r="G317" s="16" t="n"/>
      <c r="H317" s="16" t="n"/>
      <c r="I317" s="16" t="n"/>
      <c r="J317" s="16" t="n"/>
      <c r="K317" s="16" t="n">
        <v>9.876519999999999</v>
      </c>
      <c r="L317" s="16" t="n">
        <v>1</v>
      </c>
    </row>
    <row r="318">
      <c r="A318" s="16" t="n"/>
      <c r="B318" s="16" t="n"/>
      <c r="C318" s="16" t="n"/>
      <c r="D318" s="16" t="n"/>
      <c r="E318" s="16" t="n"/>
      <c r="F318" s="16" t="n"/>
      <c r="G318" s="16" t="n"/>
      <c r="H318" s="16" t="n"/>
      <c r="I318" s="16" t="n"/>
      <c r="J318" s="16" t="n"/>
      <c r="K318" s="16" t="n">
        <v>9.079831</v>
      </c>
      <c r="L318" s="16" t="n">
        <v>1</v>
      </c>
    </row>
    <row r="319">
      <c r="A319" s="16" t="n"/>
      <c r="B319" s="16" t="n"/>
      <c r="C319" s="16" t="n"/>
      <c r="D319" s="16" t="n"/>
      <c r="E319" s="16" t="n"/>
      <c r="F319" s="16" t="n"/>
      <c r="G319" s="16" t="n"/>
      <c r="H319" s="16" t="n"/>
      <c r="I319" s="16" t="n"/>
      <c r="J319" s="16" t="n"/>
      <c r="K319" s="16" t="n">
        <v>8.854819000000001</v>
      </c>
      <c r="L319" s="16" t="n">
        <v>1</v>
      </c>
    </row>
    <row r="320">
      <c r="A320" s="16" t="n"/>
      <c r="B320" s="16" t="n"/>
      <c r="C320" s="16" t="n"/>
      <c r="D320" s="16" t="n"/>
      <c r="E320" s="16" t="n"/>
      <c r="F320" s="16" t="n"/>
      <c r="G320" s="16" t="n"/>
      <c r="H320" s="16" t="n"/>
      <c r="I320" s="16" t="n"/>
      <c r="J320" s="16" t="n"/>
      <c r="K320" s="16" t="n">
        <v>9.697722000000001</v>
      </c>
      <c r="L320" s="16" t="n">
        <v>1</v>
      </c>
    </row>
    <row r="321">
      <c r="A321" s="16" t="n"/>
      <c r="B321" s="16" t="n"/>
      <c r="C321" s="16" t="n"/>
      <c r="D321" s="16" t="n"/>
      <c r="E321" s="16" t="n"/>
      <c r="F321" s="16" t="n"/>
      <c r="G321" s="16" t="n"/>
      <c r="H321" s="16" t="n"/>
      <c r="I321" s="16" t="n"/>
      <c r="J321" s="16" t="n"/>
      <c r="K321" s="16" t="n">
        <v>11.974247</v>
      </c>
      <c r="L321" s="16" t="n">
        <v>2</v>
      </c>
    </row>
    <row r="322">
      <c r="A322" s="16" t="n"/>
      <c r="B322" s="16" t="n"/>
      <c r="C322" s="16" t="n"/>
      <c r="D322" s="16" t="n"/>
      <c r="E322" s="16" t="n"/>
      <c r="F322" s="16" t="n"/>
      <c r="G322" s="16" t="n"/>
      <c r="H322" s="16" t="n"/>
      <c r="I322" s="16" t="n"/>
      <c r="J322" s="16" t="n"/>
      <c r="K322" s="16" t="n">
        <v>4.373889</v>
      </c>
      <c r="L322" s="16" t="n">
        <v>2</v>
      </c>
    </row>
    <row r="323">
      <c r="A323" s="16" t="n"/>
      <c r="B323" s="16" t="n"/>
      <c r="C323" s="16" t="n"/>
      <c r="D323" s="16" t="n"/>
      <c r="E323" s="16" t="n"/>
      <c r="F323" s="16" t="n"/>
      <c r="G323" s="16" t="n"/>
      <c r="H323" s="16" t="n"/>
      <c r="I323" s="16" t="n"/>
      <c r="J323" s="16" t="n"/>
      <c r="K323" s="16" t="n">
        <v>11.866511</v>
      </c>
      <c r="L323" s="16" t="n">
        <v>2</v>
      </c>
    </row>
    <row r="324">
      <c r="A324" s="16" t="n"/>
      <c r="B324" s="16" t="n"/>
      <c r="C324" s="16" t="n"/>
      <c r="D324" s="16" t="n"/>
      <c r="E324" s="16" t="n"/>
      <c r="F324" s="16" t="n"/>
      <c r="G324" s="16" t="n"/>
      <c r="H324" s="16" t="n"/>
      <c r="I324" s="16" t="n"/>
      <c r="J324" s="16" t="n"/>
      <c r="K324" s="16" t="n">
        <v>10.985551</v>
      </c>
      <c r="L324" s="16" t="n">
        <v>2</v>
      </c>
    </row>
    <row r="325">
      <c r="A325" s="16" t="n"/>
      <c r="B325" s="16" t="n"/>
      <c r="C325" s="16" t="n"/>
      <c r="D325" s="16" t="n"/>
      <c r="E325" s="16" t="n"/>
      <c r="F325" s="16" t="n"/>
      <c r="G325" s="16" t="n"/>
      <c r="H325" s="16" t="n"/>
      <c r="I325" s="16" t="n"/>
      <c r="J325" s="16" t="n"/>
      <c r="K325" s="16" t="n">
        <v>9.483802000000001</v>
      </c>
      <c r="L325" s="16" t="n">
        <v>2</v>
      </c>
    </row>
    <row r="326">
      <c r="A326" s="16" t="n"/>
      <c r="B326" s="16" t="n"/>
      <c r="C326" s="16" t="n"/>
      <c r="D326" s="16" t="n"/>
      <c r="E326" s="16" t="n"/>
      <c r="F326" s="16" t="n"/>
      <c r="G326" s="16" t="n"/>
      <c r="H326" s="16" t="n"/>
      <c r="I326" s="16" t="n"/>
      <c r="J326" s="16" t="n"/>
      <c r="K326" s="16" t="n">
        <v>10.326276</v>
      </c>
      <c r="L326" s="16" t="n">
        <v>2</v>
      </c>
    </row>
    <row r="327">
      <c r="A327" s="16" t="n"/>
      <c r="B327" s="16" t="n"/>
      <c r="C327" s="16" t="n"/>
      <c r="D327" s="16" t="n"/>
      <c r="E327" s="16" t="n"/>
      <c r="F327" s="16" t="n"/>
      <c r="G327" s="16" t="n"/>
      <c r="H327" s="16" t="n"/>
      <c r="I327" s="16" t="n"/>
      <c r="J327" s="16" t="n"/>
      <c r="K327" s="16" t="n">
        <v>10.12873</v>
      </c>
      <c r="L327" s="16" t="n">
        <v>2</v>
      </c>
    </row>
    <row r="328">
      <c r="A328" s="16" t="n"/>
      <c r="B328" s="16" t="n"/>
      <c r="C328" s="16" t="n"/>
      <c r="D328" s="16" t="n"/>
      <c r="E328" s="16" t="n"/>
      <c r="F328" s="16" t="n"/>
      <c r="G328" s="16" t="n"/>
      <c r="H328" s="16" t="n"/>
      <c r="I328" s="16" t="n"/>
      <c r="J328" s="16" t="n"/>
      <c r="K328" s="16" t="n">
        <v>10.560429</v>
      </c>
      <c r="L328" s="16" t="n">
        <v>2</v>
      </c>
    </row>
    <row r="329">
      <c r="A329" s="16" t="n"/>
      <c r="B329" s="16" t="n"/>
      <c r="C329" s="16" t="n"/>
      <c r="D329" s="16" t="n"/>
      <c r="E329" s="16" t="n"/>
      <c r="F329" s="16" t="n"/>
      <c r="G329" s="16" t="n"/>
      <c r="H329" s="16" t="n"/>
      <c r="I329" s="16" t="n"/>
      <c r="J329" s="16" t="n"/>
      <c r="K329" s="16" t="n">
        <v>9.862416</v>
      </c>
      <c r="L329" s="16" t="n">
        <v>2</v>
      </c>
    </row>
    <row r="330">
      <c r="A330" s="16" t="n"/>
      <c r="B330" s="16" t="n"/>
      <c r="C330" s="16" t="n"/>
      <c r="D330" s="16" t="n"/>
      <c r="E330" s="16" t="n"/>
      <c r="F330" s="16" t="n"/>
      <c r="G330" s="16" t="n"/>
      <c r="H330" s="16" t="n"/>
      <c r="I330" s="16" t="n"/>
      <c r="J330" s="16" t="n"/>
      <c r="K330" s="16" t="n">
        <v>9.504720000000001</v>
      </c>
      <c r="L330" s="16" t="n">
        <v>2</v>
      </c>
    </row>
    <row r="331">
      <c r="A331" s="16" t="n"/>
      <c r="B331" s="16" t="n"/>
      <c r="C331" s="16" t="n"/>
      <c r="D331" s="16" t="n"/>
      <c r="E331" s="16" t="n"/>
      <c r="F331" s="16" t="n"/>
      <c r="G331" s="16" t="n"/>
      <c r="H331" s="16" t="n"/>
      <c r="I331" s="16" t="n"/>
      <c r="J331" s="16" t="n"/>
      <c r="K331" s="16" t="n">
        <v>10.415796</v>
      </c>
      <c r="L331" s="16" t="n">
        <v>2</v>
      </c>
    </row>
    <row r="332">
      <c r="A332" s="16" t="n"/>
      <c r="B332" s="16" t="n"/>
      <c r="C332" s="16" t="n"/>
      <c r="D332" s="16" t="n"/>
      <c r="E332" s="16" t="n"/>
      <c r="F332" s="16" t="n"/>
      <c r="G332" s="16" t="n"/>
      <c r="H332" s="16" t="n"/>
      <c r="I332" s="16" t="n"/>
      <c r="J332" s="16" t="n"/>
      <c r="K332" s="16" t="n">
        <v>5.409888</v>
      </c>
      <c r="L332" s="16" t="n">
        <v>3</v>
      </c>
    </row>
    <row r="333">
      <c r="A333" s="16" t="n"/>
      <c r="B333" s="16" t="n"/>
      <c r="C333" s="16" t="n"/>
      <c r="D333" s="16" t="n"/>
      <c r="E333" s="16" t="n"/>
      <c r="F333" s="16" t="n"/>
      <c r="G333" s="16" t="n"/>
      <c r="H333" s="16" t="n"/>
      <c r="I333" s="16" t="n"/>
      <c r="J333" s="16" t="n"/>
      <c r="K333" s="16" t="n">
        <v>12.517997</v>
      </c>
      <c r="L333" s="16" t="n">
        <v>3</v>
      </c>
    </row>
    <row r="334">
      <c r="A334" s="16" t="n"/>
      <c r="B334" s="16" t="n"/>
      <c r="C334" s="16" t="n"/>
      <c r="D334" s="16" t="n"/>
      <c r="E334" s="16" t="n"/>
      <c r="F334" s="16" t="n"/>
      <c r="G334" s="16" t="n"/>
      <c r="H334" s="16" t="n"/>
      <c r="I334" s="16" t="n"/>
      <c r="J334" s="16" t="n"/>
      <c r="K334" s="16" t="n">
        <v>11.870712</v>
      </c>
      <c r="L334" s="16" t="n">
        <v>3</v>
      </c>
    </row>
    <row r="335">
      <c r="A335" s="16" t="n"/>
      <c r="B335" s="16" t="n"/>
      <c r="C335" s="16" t="n"/>
      <c r="D335" s="16" t="n"/>
      <c r="E335" s="16" t="n"/>
      <c r="F335" s="16" t="n"/>
      <c r="G335" s="16" t="n"/>
      <c r="H335" s="16" t="n"/>
      <c r="I335" s="16" t="n"/>
      <c r="J335" s="16" t="n"/>
      <c r="K335" s="16" t="n">
        <v>10.25063</v>
      </c>
      <c r="L335" s="16" t="n">
        <v>3</v>
      </c>
    </row>
    <row r="336">
      <c r="A336" s="16" t="n"/>
      <c r="B336" s="16" t="n"/>
      <c r="C336" s="16" t="n"/>
      <c r="D336" s="16" t="n"/>
      <c r="E336" s="16" t="n"/>
      <c r="F336" s="16" t="n"/>
      <c r="G336" s="16" t="n"/>
      <c r="H336" s="16" t="n"/>
      <c r="I336" s="16" t="n"/>
      <c r="J336" s="16" t="n"/>
      <c r="K336" s="16" t="n">
        <v>11.15838</v>
      </c>
      <c r="L336" s="16" t="n">
        <v>3</v>
      </c>
    </row>
    <row r="337">
      <c r="A337" s="16" t="n"/>
      <c r="B337" s="16" t="n"/>
      <c r="C337" s="16" t="n"/>
      <c r="D337" s="16" t="n"/>
      <c r="E337" s="16" t="n"/>
      <c r="F337" s="16" t="n"/>
      <c r="G337" s="16" t="n"/>
      <c r="H337" s="16" t="n"/>
      <c r="I337" s="16" t="n"/>
      <c r="J337" s="16" t="n"/>
      <c r="K337" s="16" t="n">
        <v>10.947646</v>
      </c>
      <c r="L337" s="16" t="n">
        <v>3</v>
      </c>
    </row>
    <row r="338">
      <c r="A338" s="16" t="n"/>
      <c r="B338" s="16" t="n"/>
      <c r="C338" s="16" t="n"/>
      <c r="D338" s="16" t="n"/>
      <c r="E338" s="16" t="n"/>
      <c r="F338" s="16" t="n"/>
      <c r="G338" s="16" t="n"/>
      <c r="H338" s="16" t="n"/>
      <c r="I338" s="16" t="n"/>
      <c r="J338" s="16" t="n"/>
      <c r="K338" s="16" t="n">
        <v>11.33416</v>
      </c>
      <c r="L338" s="16" t="n">
        <v>3</v>
      </c>
    </row>
    <row r="339">
      <c r="A339" s="16" t="n"/>
      <c r="B339" s="16" t="n"/>
      <c r="C339" s="16" t="n"/>
      <c r="D339" s="16" t="n"/>
      <c r="E339" s="16" t="n"/>
      <c r="F339" s="16" t="n"/>
      <c r="G339" s="16" t="n"/>
      <c r="H339" s="16" t="n"/>
      <c r="I339" s="16" t="n"/>
      <c r="J339" s="16" t="n"/>
      <c r="K339" s="16" t="n">
        <v>10.747885</v>
      </c>
      <c r="L339" s="16" t="n">
        <v>3</v>
      </c>
    </row>
    <row r="340">
      <c r="A340" s="16" t="n"/>
      <c r="B340" s="16" t="n"/>
      <c r="C340" s="16" t="n"/>
      <c r="D340" s="16" t="n"/>
      <c r="E340" s="16" t="n"/>
      <c r="F340" s="16" t="n"/>
      <c r="G340" s="16" t="n"/>
      <c r="H340" s="16" t="n"/>
      <c r="I340" s="16" t="n"/>
      <c r="J340" s="16" t="n"/>
      <c r="K340" s="16" t="n">
        <v>12.002897</v>
      </c>
      <c r="L340" s="16" t="n">
        <v>3</v>
      </c>
    </row>
    <row r="341">
      <c r="A341" s="16" t="n"/>
      <c r="B341" s="16" t="n"/>
      <c r="C341" s="16" t="n"/>
      <c r="D341" s="16" t="n"/>
      <c r="E341" s="16" t="n"/>
      <c r="F341" s="16" t="n"/>
      <c r="G341" s="16" t="n"/>
      <c r="H341" s="16" t="n"/>
      <c r="I341" s="16" t="n"/>
      <c r="J341" s="16" t="n"/>
      <c r="K341" s="16" t="n">
        <v>10.234775</v>
      </c>
      <c r="L341" s="16" t="n">
        <v>3</v>
      </c>
    </row>
    <row r="342">
      <c r="A342" s="16" t="n"/>
      <c r="B342" s="16" t="n"/>
      <c r="C342" s="16" t="n"/>
      <c r="D342" s="16" t="n"/>
      <c r="E342" s="16" t="n"/>
      <c r="F342" s="16" t="n"/>
      <c r="G342" s="16" t="n"/>
      <c r="H342" s="16" t="n"/>
      <c r="I342" s="16" t="n"/>
      <c r="J342" s="16" t="n"/>
      <c r="K342" s="16" t="n">
        <v>11.227582</v>
      </c>
      <c r="L342" s="16" t="n">
        <v>3</v>
      </c>
    </row>
    <row r="343">
      <c r="A343" s="16" t="n"/>
      <c r="B343" s="16" t="n"/>
      <c r="C343" s="16" t="n"/>
      <c r="D343" s="16" t="n"/>
      <c r="E343" s="16" t="n"/>
      <c r="F343" s="16" t="n"/>
      <c r="G343" s="16" t="n"/>
      <c r="H343" s="16" t="n"/>
      <c r="I343" s="16" t="n"/>
      <c r="J343" s="16" t="n"/>
      <c r="K343" s="16" t="n">
        <v>13.217496</v>
      </c>
      <c r="L343" s="16" t="n">
        <v>4</v>
      </c>
    </row>
    <row r="344">
      <c r="A344" s="16" t="n"/>
      <c r="B344" s="16" t="n"/>
      <c r="C344" s="16" t="n"/>
      <c r="D344" s="16" t="n"/>
      <c r="E344" s="16" t="n"/>
      <c r="F344" s="16" t="n"/>
      <c r="G344" s="16" t="n"/>
      <c r="H344" s="16" t="n"/>
      <c r="I344" s="16" t="n"/>
      <c r="J344" s="16" t="n"/>
      <c r="K344" s="16" t="n">
        <v>11.060768</v>
      </c>
      <c r="L344" s="16" t="n">
        <v>4</v>
      </c>
    </row>
    <row r="345">
      <c r="A345" s="16" t="n"/>
      <c r="B345" s="16" t="n"/>
      <c r="C345" s="16" t="n"/>
      <c r="D345" s="16" t="n"/>
      <c r="E345" s="16" t="n"/>
      <c r="F345" s="16" t="n"/>
      <c r="G345" s="16" t="n"/>
      <c r="H345" s="16" t="n"/>
      <c r="I345" s="16" t="n"/>
      <c r="J345" s="16" t="n"/>
      <c r="K345" s="16" t="n">
        <v>13.40914</v>
      </c>
      <c r="L345" s="16" t="n">
        <v>4</v>
      </c>
    </row>
    <row r="346">
      <c r="A346" s="16" t="n"/>
      <c r="B346" s="16" t="n"/>
      <c r="C346" s="16" t="n"/>
      <c r="D346" s="16" t="n"/>
      <c r="E346" s="16" t="n"/>
      <c r="F346" s="16" t="n"/>
      <c r="G346" s="16" t="n"/>
      <c r="H346" s="16" t="n"/>
      <c r="I346" s="16" t="n"/>
      <c r="J346" s="16" t="n"/>
      <c r="K346" s="16" t="n">
        <v>11.696339</v>
      </c>
      <c r="L346" s="16" t="n">
        <v>4</v>
      </c>
    </row>
    <row r="347">
      <c r="A347" s="16" t="n"/>
      <c r="B347" s="16" t="n"/>
      <c r="C347" s="16" t="n"/>
      <c r="D347" s="16" t="n"/>
      <c r="E347" s="16" t="n"/>
      <c r="F347" s="16" t="n"/>
      <c r="G347" s="16" t="n"/>
      <c r="H347" s="16" t="n"/>
      <c r="I347" s="16" t="n"/>
      <c r="J347" s="16" t="n"/>
      <c r="K347" s="16" t="n">
        <v>12.633672</v>
      </c>
      <c r="L347" s="16" t="n">
        <v>4</v>
      </c>
    </row>
    <row r="348">
      <c r="A348" s="16" t="n"/>
      <c r="B348" s="16" t="n"/>
      <c r="C348" s="16" t="n"/>
      <c r="D348" s="16" t="n"/>
      <c r="E348" s="16" t="n"/>
      <c r="F348" s="16" t="n"/>
      <c r="G348" s="16" t="n"/>
      <c r="H348" s="16" t="n"/>
      <c r="I348" s="16" t="n"/>
      <c r="J348" s="16" t="n"/>
      <c r="K348" s="16" t="n">
        <v>12.497462</v>
      </c>
      <c r="L348" s="16" t="n">
        <v>4</v>
      </c>
    </row>
    <row r="349">
      <c r="A349" s="16" t="n"/>
      <c r="B349" s="16" t="n"/>
      <c r="C349" s="16" t="n"/>
      <c r="D349" s="16" t="n"/>
      <c r="E349" s="16" t="n"/>
      <c r="F349" s="16" t="n"/>
      <c r="G349" s="16" t="n"/>
      <c r="H349" s="16" t="n"/>
      <c r="I349" s="16" t="n"/>
      <c r="J349" s="16" t="n"/>
      <c r="K349" s="16" t="n">
        <v>12.7316</v>
      </c>
      <c r="L349" s="16" t="n">
        <v>4</v>
      </c>
    </row>
    <row r="350">
      <c r="A350" s="16" t="n"/>
      <c r="B350" s="16" t="n"/>
      <c r="C350" s="16" t="n"/>
      <c r="D350" s="16" t="n"/>
      <c r="E350" s="16" t="n"/>
      <c r="F350" s="16" t="n"/>
      <c r="G350" s="16" t="n"/>
      <c r="H350" s="16" t="n"/>
      <c r="I350" s="16" t="n"/>
      <c r="J350" s="16" t="n"/>
      <c r="K350" s="16" t="n">
        <v>12.381931</v>
      </c>
      <c r="L350" s="16" t="n">
        <v>4</v>
      </c>
    </row>
    <row r="351">
      <c r="A351" s="16" t="n"/>
      <c r="B351" s="16" t="n"/>
      <c r="C351" s="16" t="n"/>
      <c r="D351" s="16" t="n"/>
      <c r="E351" s="16" t="n"/>
      <c r="F351" s="16" t="n"/>
      <c r="G351" s="16" t="n"/>
      <c r="H351" s="16" t="n"/>
      <c r="I351" s="16" t="n"/>
      <c r="J351" s="16" t="n"/>
      <c r="K351" s="16" t="n">
        <v>13.219337</v>
      </c>
      <c r="L351" s="16" t="n">
        <v>4</v>
      </c>
    </row>
    <row r="352">
      <c r="A352" s="16" t="n"/>
      <c r="B352" s="16" t="n"/>
      <c r="C352" s="16" t="n"/>
      <c r="D352" s="16" t="n"/>
      <c r="E352" s="16" t="n"/>
      <c r="F352" s="16" t="n"/>
      <c r="G352" s="16" t="n"/>
      <c r="H352" s="16" t="n"/>
      <c r="I352" s="16" t="n"/>
      <c r="J352" s="16" t="n"/>
      <c r="K352" s="16" t="n">
        <v>11.974247</v>
      </c>
      <c r="L352" s="16" t="n">
        <v>4</v>
      </c>
    </row>
    <row r="353">
      <c r="A353" s="16" t="n"/>
      <c r="B353" s="16" t="n"/>
      <c r="C353" s="16" t="n"/>
      <c r="D353" s="16" t="n"/>
      <c r="E353" s="16" t="n"/>
      <c r="F353" s="16" t="n"/>
      <c r="G353" s="16" t="n"/>
      <c r="H353" s="16" t="n"/>
      <c r="I353" s="16" t="n"/>
      <c r="J353" s="16" t="n"/>
      <c r="K353" s="16" t="n">
        <v>12.773212</v>
      </c>
      <c r="L353" s="16" t="n">
        <v>4</v>
      </c>
    </row>
    <row r="354">
      <c r="A354" s="16" t="n"/>
      <c r="B354" s="16" t="n"/>
      <c r="C354" s="16" t="n"/>
      <c r="D354" s="16" t="n"/>
      <c r="E354" s="16" t="n"/>
      <c r="F354" s="16" t="n"/>
      <c r="G354" s="16" t="n"/>
      <c r="H354" s="16" t="n"/>
      <c r="I354" s="16" t="n"/>
      <c r="J354" s="16" t="n"/>
      <c r="K354" s="16" t="n">
        <v>14.116195</v>
      </c>
      <c r="L354" s="16" t="n">
        <v>5</v>
      </c>
    </row>
    <row r="355">
      <c r="A355" s="16" t="n"/>
      <c r="B355" s="16" t="n"/>
      <c r="C355" s="16" t="n"/>
      <c r="D355" s="16" t="n"/>
      <c r="E355" s="16" t="n"/>
      <c r="F355" s="16" t="n"/>
      <c r="G355" s="16" t="n"/>
      <c r="H355" s="16" t="n"/>
      <c r="I355" s="16" t="n"/>
      <c r="J355" s="16" t="n"/>
      <c r="K355" s="16" t="n">
        <v>11.870712</v>
      </c>
      <c r="L355" s="16" t="n">
        <v>5</v>
      </c>
    </row>
    <row r="356">
      <c r="A356" s="16" t="n"/>
      <c r="B356" s="16" t="n"/>
      <c r="C356" s="16" t="n"/>
      <c r="D356" s="16" t="n"/>
      <c r="E356" s="16" t="n"/>
      <c r="F356" s="16" t="n"/>
      <c r="G356" s="16" t="n"/>
      <c r="H356" s="16" t="n"/>
      <c r="I356" s="16" t="n"/>
      <c r="J356" s="16" t="n"/>
      <c r="K356" s="16" t="n">
        <v>14.334437</v>
      </c>
      <c r="L356" s="16" t="n">
        <v>5</v>
      </c>
    </row>
    <row r="357">
      <c r="A357" s="16" t="n"/>
      <c r="B357" s="16" t="n"/>
      <c r="C357" s="16" t="n"/>
      <c r="D357" s="16" t="n"/>
      <c r="E357" s="16" t="n"/>
      <c r="F357" s="16" t="n"/>
      <c r="G357" s="16" t="n"/>
      <c r="H357" s="16" t="n"/>
      <c r="I357" s="16" t="n"/>
      <c r="J357" s="16" t="n"/>
      <c r="K357" s="16" t="n">
        <v>12.570576</v>
      </c>
      <c r="L357" s="16" t="n">
        <v>5</v>
      </c>
    </row>
    <row r="358">
      <c r="A358" s="16" t="n"/>
      <c r="B358" s="16" t="n"/>
      <c r="C358" s="16" t="n"/>
      <c r="D358" s="16" t="n"/>
      <c r="E358" s="16" t="n"/>
      <c r="F358" s="16" t="n"/>
      <c r="G358" s="16" t="n"/>
      <c r="H358" s="16" t="n"/>
      <c r="I358" s="16" t="n"/>
      <c r="J358" s="16" t="n"/>
      <c r="K358" s="16" t="n">
        <v>13.507398</v>
      </c>
      <c r="L358" s="16" t="n">
        <v>5</v>
      </c>
    </row>
    <row r="359">
      <c r="A359" s="16" t="n"/>
      <c r="B359" s="16" t="n"/>
      <c r="C359" s="16" t="n"/>
      <c r="D359" s="16" t="n"/>
      <c r="E359" s="16" t="n"/>
      <c r="F359" s="16" t="n"/>
      <c r="G359" s="16" t="n"/>
      <c r="H359" s="16" t="n"/>
      <c r="I359" s="16" t="n"/>
      <c r="J359" s="16" t="n"/>
      <c r="K359" s="16" t="n">
        <v>13.371678</v>
      </c>
      <c r="L359" s="16" t="n">
        <v>5</v>
      </c>
    </row>
    <row r="360">
      <c r="A360" s="16" t="n"/>
      <c r="B360" s="16" t="n"/>
      <c r="C360" s="16" t="n"/>
      <c r="D360" s="16" t="n"/>
      <c r="E360" s="16" t="n"/>
      <c r="F360" s="16" t="n"/>
      <c r="G360" s="16" t="n"/>
      <c r="H360" s="16" t="n"/>
      <c r="I360" s="16" t="n"/>
      <c r="J360" s="16" t="n"/>
      <c r="K360" s="16" t="n">
        <v>13.612049</v>
      </c>
      <c r="L360" s="16" t="n">
        <v>5</v>
      </c>
    </row>
    <row r="361">
      <c r="A361" s="16" t="n"/>
      <c r="B361" s="16" t="n"/>
      <c r="C361" s="16" t="n"/>
      <c r="D361" s="16" t="n"/>
      <c r="E361" s="16" t="n"/>
      <c r="F361" s="16" t="n"/>
      <c r="G361" s="16" t="n"/>
      <c r="H361" s="16" t="n"/>
      <c r="I361" s="16" t="n"/>
      <c r="J361" s="16" t="n"/>
      <c r="K361" s="16" t="n">
        <v>13.248132</v>
      </c>
      <c r="L361" s="16" t="n">
        <v>5</v>
      </c>
    </row>
    <row r="362">
      <c r="A362" s="16" t="n"/>
      <c r="B362" s="16" t="n"/>
      <c r="C362" s="16" t="n"/>
      <c r="D362" s="16" t="n"/>
      <c r="E362" s="16" t="n"/>
      <c r="F362" s="16" t="n"/>
      <c r="G362" s="16" t="n"/>
      <c r="H362" s="16" t="n"/>
      <c r="I362" s="16" t="n"/>
      <c r="J362" s="16" t="n"/>
      <c r="K362" s="16" t="n">
        <v>14.137976</v>
      </c>
      <c r="L362" s="16" t="n">
        <v>5</v>
      </c>
    </row>
    <row r="363">
      <c r="A363" s="16" t="n"/>
      <c r="B363" s="16" t="n"/>
      <c r="C363" s="16" t="n"/>
      <c r="D363" s="16" t="n"/>
      <c r="E363" s="16" t="n"/>
      <c r="F363" s="16" t="n"/>
      <c r="G363" s="16" t="n"/>
      <c r="H363" s="16" t="n"/>
      <c r="I363" s="16" t="n"/>
      <c r="J363" s="16" t="n"/>
      <c r="K363" s="16" t="n">
        <v>12.807142</v>
      </c>
      <c r="L363" s="16" t="n">
        <v>5</v>
      </c>
    </row>
    <row r="364">
      <c r="A364" s="16" t="n"/>
      <c r="B364" s="16" t="n"/>
      <c r="C364" s="16" t="n"/>
      <c r="D364" s="16" t="n"/>
      <c r="E364" s="16" t="n"/>
      <c r="F364" s="16" t="n"/>
      <c r="G364" s="16" t="n"/>
      <c r="H364" s="16" t="n"/>
      <c r="I364" s="16" t="n"/>
      <c r="J364" s="16" t="n"/>
      <c r="K364" s="16" t="n">
        <v>13.663652</v>
      </c>
      <c r="L364" s="16" t="n">
        <v>5</v>
      </c>
    </row>
    <row r="365">
      <c r="A365" s="16" t="n"/>
      <c r="B365" s="16" t="n"/>
      <c r="C365" s="16" t="n"/>
      <c r="D365" s="16" t="n"/>
      <c r="E365" s="16" t="n"/>
      <c r="F365" s="16" t="n"/>
      <c r="G365" s="16" t="n"/>
      <c r="H365" s="16" t="n"/>
      <c r="I365" s="16" t="n"/>
      <c r="J365" s="16" t="n"/>
      <c r="K365" s="16" t="n">
        <v>14.851217</v>
      </c>
      <c r="L365" s="16" t="n">
        <v>6</v>
      </c>
    </row>
    <row r="366">
      <c r="A366" s="16" t="n"/>
      <c r="B366" s="16" t="n"/>
      <c r="C366" s="16" t="n"/>
      <c r="D366" s="16" t="n"/>
      <c r="E366" s="16" t="n"/>
      <c r="F366" s="16" t="n"/>
      <c r="G366" s="16" t="n"/>
      <c r="H366" s="16" t="n"/>
      <c r="I366" s="16" t="n"/>
      <c r="J366" s="16" t="n"/>
      <c r="K366" s="16" t="n">
        <v>12.53325</v>
      </c>
      <c r="L366" s="16" t="n">
        <v>6</v>
      </c>
    </row>
    <row r="367">
      <c r="A367" s="16" t="n"/>
      <c r="B367" s="16" t="n"/>
      <c r="C367" s="16" t="n"/>
      <c r="D367" s="16" t="n"/>
      <c r="E367" s="16" t="n"/>
      <c r="F367" s="16" t="n"/>
      <c r="G367" s="16" t="n"/>
      <c r="H367" s="16" t="n"/>
      <c r="I367" s="16" t="n"/>
      <c r="J367" s="16" t="n"/>
      <c r="K367" s="16" t="n">
        <v>15.091216</v>
      </c>
      <c r="L367" s="16" t="n">
        <v>6</v>
      </c>
    </row>
    <row r="368">
      <c r="A368" s="16" t="n"/>
      <c r="B368" s="16" t="n"/>
      <c r="C368" s="16" t="n"/>
      <c r="D368" s="16" t="n"/>
      <c r="E368" s="16" t="n"/>
      <c r="F368" s="16" t="n"/>
      <c r="G368" s="16" t="n"/>
      <c r="H368" s="16" t="n"/>
      <c r="I368" s="16" t="n"/>
      <c r="J368" s="16" t="n"/>
      <c r="K368" s="16" t="n">
        <v>13.28565</v>
      </c>
      <c r="L368" s="16" t="n">
        <v>6</v>
      </c>
    </row>
    <row r="369">
      <c r="A369" s="16" t="n"/>
      <c r="B369" s="16" t="n"/>
      <c r="C369" s="16" t="n"/>
      <c r="D369" s="16" t="n"/>
      <c r="E369" s="16" t="n"/>
      <c r="F369" s="16" t="n"/>
      <c r="G369" s="16" t="n"/>
      <c r="H369" s="16" t="n"/>
      <c r="I369" s="16" t="n"/>
      <c r="J369" s="16" t="n"/>
      <c r="K369" s="16" t="n">
        <v>14.222058</v>
      </c>
      <c r="L369" s="16" t="n">
        <v>6</v>
      </c>
    </row>
    <row r="370">
      <c r="A370" s="16" t="n"/>
      <c r="B370" s="16" t="n"/>
      <c r="C370" s="16" t="n"/>
      <c r="D370" s="16" t="n"/>
      <c r="E370" s="16" t="n"/>
      <c r="F370" s="16" t="n"/>
      <c r="G370" s="16" t="n"/>
      <c r="H370" s="16" t="n"/>
      <c r="I370" s="16" t="n"/>
      <c r="J370" s="16" t="n"/>
      <c r="K370" s="16" t="n">
        <v>14.086733</v>
      </c>
      <c r="L370" s="16" t="n">
        <v>6</v>
      </c>
    </row>
    <row r="371">
      <c r="A371" s="16" t="n"/>
      <c r="B371" s="16" t="n"/>
      <c r="C371" s="16" t="n"/>
      <c r="D371" s="16" t="n"/>
      <c r="E371" s="16" t="n"/>
      <c r="F371" s="16" t="n"/>
      <c r="G371" s="16" t="n"/>
      <c r="H371" s="16" t="n"/>
      <c r="I371" s="16" t="n"/>
      <c r="J371" s="16" t="n"/>
      <c r="K371" s="16" t="n">
        <v>14.33219</v>
      </c>
      <c r="L371" s="16" t="n">
        <v>6</v>
      </c>
    </row>
    <row r="372">
      <c r="A372" s="16" t="n"/>
      <c r="B372" s="16" t="n"/>
      <c r="C372" s="16" t="n"/>
      <c r="D372" s="16" t="n"/>
      <c r="E372" s="16" t="n"/>
      <c r="F372" s="16" t="n"/>
      <c r="G372" s="16" t="n"/>
      <c r="H372" s="16" t="n"/>
      <c r="I372" s="16" t="n"/>
      <c r="J372" s="16" t="n"/>
      <c r="K372" s="16" t="n">
        <v>13.956641</v>
      </c>
      <c r="L372" s="16" t="n">
        <v>6</v>
      </c>
    </row>
    <row r="373">
      <c r="A373" s="16" t="n"/>
      <c r="B373" s="16" t="n"/>
      <c r="C373" s="16" t="n"/>
      <c r="D373" s="16" t="n"/>
      <c r="E373" s="16" t="n"/>
      <c r="F373" s="16" t="n"/>
      <c r="G373" s="16" t="n"/>
      <c r="H373" s="16" t="n"/>
      <c r="I373" s="16" t="n"/>
      <c r="J373" s="16" t="n"/>
      <c r="K373" s="16" t="n">
        <v>13.488385</v>
      </c>
      <c r="L373" s="16" t="n">
        <v>6</v>
      </c>
    </row>
    <row r="374">
      <c r="A374" s="16" t="n"/>
      <c r="B374" s="16" t="n"/>
      <c r="C374" s="16" t="n"/>
      <c r="D374" s="16" t="n"/>
      <c r="E374" s="16" t="n"/>
      <c r="F374" s="16" t="n"/>
      <c r="G374" s="16" t="n"/>
      <c r="H374" s="16" t="n"/>
      <c r="I374" s="16" t="n"/>
      <c r="J374" s="16" t="n"/>
      <c r="K374" s="16" t="n">
        <v>14.391735</v>
      </c>
      <c r="L374" s="16" t="n">
        <v>6</v>
      </c>
    </row>
    <row r="375">
      <c r="A375" s="16" t="n"/>
      <c r="B375" s="16" t="n"/>
      <c r="C375" s="16" t="n"/>
      <c r="D375" s="16" t="n"/>
      <c r="E375" s="16" t="n"/>
      <c r="F375" s="16" t="n"/>
      <c r="G375" s="16" t="n"/>
      <c r="H375" s="16" t="n"/>
      <c r="I375" s="16" t="n"/>
      <c r="J375" s="16" t="n"/>
      <c r="K375" s="16" t="n">
        <v>15.375187</v>
      </c>
      <c r="L375" s="16" t="n">
        <v>7</v>
      </c>
    </row>
    <row r="376">
      <c r="A376" s="16" t="n"/>
      <c r="B376" s="16" t="n"/>
      <c r="C376" s="16" t="n"/>
      <c r="D376" s="16" t="n"/>
      <c r="E376" s="16" t="n"/>
      <c r="F376" s="16" t="n"/>
      <c r="G376" s="16" t="n"/>
      <c r="H376" s="16" t="n"/>
      <c r="I376" s="16" t="n"/>
      <c r="J376" s="16" t="n"/>
      <c r="K376" s="16" t="n">
        <v>13.598129</v>
      </c>
      <c r="L376" s="16" t="n">
        <v>7</v>
      </c>
    </row>
    <row r="377">
      <c r="A377" s="16" t="n"/>
      <c r="B377" s="16" t="n"/>
      <c r="C377" s="16" t="n"/>
      <c r="D377" s="16" t="n"/>
      <c r="E377" s="16" t="n"/>
      <c r="F377" s="16" t="n"/>
      <c r="G377" s="16" t="n"/>
      <c r="H377" s="16" t="n"/>
      <c r="I377" s="16" t="n"/>
      <c r="J377" s="16" t="n"/>
      <c r="K377" s="16" t="n">
        <v>15.670364</v>
      </c>
      <c r="L377" s="16" t="n">
        <v>7</v>
      </c>
    </row>
    <row r="378">
      <c r="A378" s="16" t="n"/>
      <c r="B378" s="16" t="n"/>
      <c r="C378" s="16" t="n"/>
      <c r="D378" s="16" t="n"/>
      <c r="E378" s="16" t="n"/>
      <c r="F378" s="16" t="n"/>
      <c r="G378" s="16" t="n"/>
      <c r="H378" s="16" t="n"/>
      <c r="I378" s="16" t="n"/>
      <c r="J378" s="16" t="n"/>
      <c r="K378" s="16" t="n">
        <v>13.970971</v>
      </c>
      <c r="L378" s="16" t="n">
        <v>7</v>
      </c>
    </row>
    <row r="379">
      <c r="A379" s="16" t="n"/>
      <c r="B379" s="16" t="n"/>
      <c r="C379" s="16" t="n"/>
      <c r="D379" s="16" t="n"/>
      <c r="E379" s="16" t="n"/>
      <c r="F379" s="16" t="n"/>
      <c r="G379" s="16" t="n"/>
      <c r="H379" s="16" t="n"/>
      <c r="I379" s="16" t="n"/>
      <c r="J379" s="16" t="n"/>
      <c r="K379" s="16" t="n">
        <v>14.954982</v>
      </c>
      <c r="L379" s="16" t="n">
        <v>7</v>
      </c>
    </row>
    <row r="380">
      <c r="A380" s="16" t="n"/>
      <c r="B380" s="16" t="n"/>
      <c r="C380" s="16" t="n"/>
      <c r="D380" s="16" t="n"/>
      <c r="E380" s="16" t="n"/>
      <c r="F380" s="16" t="n"/>
      <c r="G380" s="16" t="n"/>
      <c r="H380" s="16" t="n"/>
      <c r="I380" s="16" t="n"/>
      <c r="J380" s="16" t="n"/>
      <c r="K380" s="16" t="n">
        <v>14.813369</v>
      </c>
      <c r="L380" s="16" t="n">
        <v>7</v>
      </c>
    </row>
    <row r="381">
      <c r="A381" s="16" t="n"/>
      <c r="B381" s="16" t="n"/>
      <c r="C381" s="16" t="n"/>
      <c r="D381" s="16" t="n"/>
      <c r="E381" s="16" t="n"/>
      <c r="F381" s="16" t="n"/>
      <c r="G381" s="16" t="n"/>
      <c r="H381" s="16" t="n"/>
      <c r="I381" s="16" t="n"/>
      <c r="J381" s="16" t="n"/>
      <c r="K381" s="16" t="n">
        <v>15.012894</v>
      </c>
      <c r="L381" s="16" t="n">
        <v>7</v>
      </c>
    </row>
    <row r="382">
      <c r="A382" s="16" t="n"/>
      <c r="B382" s="16" t="n"/>
      <c r="C382" s="16" t="n"/>
      <c r="D382" s="16" t="n"/>
      <c r="E382" s="16" t="n"/>
      <c r="F382" s="16" t="n"/>
      <c r="G382" s="16" t="n"/>
      <c r="H382" s="16" t="n"/>
      <c r="I382" s="16" t="n"/>
      <c r="J382" s="16" t="n"/>
      <c r="K382" s="16" t="n">
        <v>14.742521</v>
      </c>
      <c r="L382" s="16" t="n">
        <v>7</v>
      </c>
    </row>
    <row r="383">
      <c r="A383" s="16" t="n"/>
      <c r="B383" s="16" t="n"/>
      <c r="C383" s="16" t="n"/>
      <c r="D383" s="16" t="n"/>
      <c r="E383" s="16" t="n"/>
      <c r="F383" s="16" t="n"/>
      <c r="G383" s="16" t="n"/>
      <c r="H383" s="16" t="n"/>
      <c r="I383" s="16" t="n"/>
      <c r="J383" s="16" t="n"/>
      <c r="K383" s="16" t="n">
        <v>14.159371</v>
      </c>
      <c r="L383" s="16" t="n">
        <v>7</v>
      </c>
    </row>
    <row r="384">
      <c r="A384" s="16" t="n"/>
      <c r="B384" s="16" t="n"/>
      <c r="C384" s="16" t="n"/>
      <c r="D384" s="16" t="n"/>
      <c r="E384" s="16" t="n"/>
      <c r="F384" s="16" t="n"/>
      <c r="G384" s="16" t="n"/>
      <c r="H384" s="16" t="n"/>
      <c r="I384" s="16" t="n"/>
      <c r="J384" s="16" t="n"/>
      <c r="K384" s="16" t="n">
        <v>15.104677</v>
      </c>
      <c r="L384" s="16" t="n">
        <v>7</v>
      </c>
    </row>
    <row r="385">
      <c r="A385" s="16" t="n"/>
      <c r="B385" s="16" t="n"/>
      <c r="C385" s="16" t="n"/>
      <c r="D385" s="16" t="n"/>
      <c r="E385" s="16" t="n"/>
      <c r="F385" s="16" t="n"/>
      <c r="G385" s="16" t="n"/>
      <c r="H385" s="16" t="n"/>
      <c r="I385" s="16" t="n"/>
      <c r="J385" s="16" t="n"/>
      <c r="K385" s="16" t="n">
        <v>15.725363</v>
      </c>
      <c r="L385" s="16" t="n">
        <v>8</v>
      </c>
    </row>
    <row r="386">
      <c r="A386" s="16" t="n"/>
      <c r="B386" s="16" t="n"/>
      <c r="C386" s="16" t="n"/>
      <c r="D386" s="16" t="n"/>
      <c r="E386" s="16" t="n"/>
      <c r="F386" s="16" t="n"/>
      <c r="G386" s="16" t="n"/>
      <c r="H386" s="16" t="n"/>
      <c r="I386" s="16" t="n"/>
      <c r="J386" s="16" t="n"/>
      <c r="K386" s="16" t="n">
        <v>14.357403</v>
      </c>
      <c r="L386" s="16" t="n">
        <v>8</v>
      </c>
    </row>
    <row r="387">
      <c r="A387" s="16" t="n"/>
      <c r="B387" s="16" t="n"/>
      <c r="C387" s="16" t="n"/>
      <c r="D387" s="16" t="n"/>
      <c r="E387" s="16" t="n"/>
      <c r="F387" s="16" t="n"/>
      <c r="G387" s="16" t="n"/>
      <c r="H387" s="16" t="n"/>
      <c r="I387" s="16" t="n"/>
      <c r="J387" s="16" t="n"/>
      <c r="K387" s="16" t="n">
        <v>16.059182</v>
      </c>
      <c r="L387" s="16" t="n">
        <v>8</v>
      </c>
    </row>
    <row r="388">
      <c r="A388" s="16" t="n"/>
      <c r="B388" s="16" t="n"/>
      <c r="C388" s="16" t="n"/>
      <c r="D388" s="16" t="n"/>
      <c r="E388" s="16" t="n"/>
      <c r="F388" s="16" t="n"/>
      <c r="G388" s="16" t="n"/>
      <c r="H388" s="16" t="n"/>
      <c r="I388" s="16" t="n"/>
      <c r="J388" s="16" t="n"/>
      <c r="K388" s="16" t="n">
        <v>14.439359</v>
      </c>
      <c r="L388" s="16" t="n">
        <v>8</v>
      </c>
    </row>
    <row r="389">
      <c r="A389" s="16" t="n"/>
      <c r="B389" s="16" t="n"/>
      <c r="C389" s="16" t="n"/>
      <c r="D389" s="16" t="n"/>
      <c r="E389" s="16" t="n"/>
      <c r="F389" s="16" t="n"/>
      <c r="G389" s="16" t="n"/>
      <c r="H389" s="16" t="n"/>
      <c r="I389" s="16" t="n"/>
      <c r="J389" s="16" t="n"/>
      <c r="K389" s="16" t="n">
        <v>15.455928</v>
      </c>
      <c r="L389" s="16" t="n">
        <v>8</v>
      </c>
    </row>
    <row r="390">
      <c r="A390" s="16" t="n"/>
      <c r="B390" s="16" t="n"/>
      <c r="C390" s="16" t="n"/>
      <c r="D390" s="16" t="n"/>
      <c r="E390" s="16" t="n"/>
      <c r="F390" s="16" t="n"/>
      <c r="G390" s="16" t="n"/>
      <c r="H390" s="16" t="n"/>
      <c r="I390" s="16" t="n"/>
      <c r="J390" s="16" t="n"/>
      <c r="K390" s="16" t="n">
        <v>15.30999</v>
      </c>
      <c r="L390" s="16" t="n">
        <v>8</v>
      </c>
    </row>
    <row r="391">
      <c r="A391" s="16" t="n"/>
      <c r="B391" s="16" t="n"/>
      <c r="C391" s="16" t="n"/>
      <c r="D391" s="16" t="n"/>
      <c r="E391" s="16" t="n"/>
      <c r="F391" s="16" t="n"/>
      <c r="G391" s="16" t="n"/>
      <c r="H391" s="16" t="n"/>
      <c r="I391" s="16" t="n"/>
      <c r="J391" s="16" t="n"/>
      <c r="K391" s="16" t="n">
        <v>15.279721</v>
      </c>
      <c r="L391" s="16" t="n">
        <v>8</v>
      </c>
    </row>
    <row r="392">
      <c r="A392" s="16" t="n"/>
      <c r="B392" s="16" t="n"/>
      <c r="C392" s="16" t="n"/>
      <c r="D392" s="16" t="n"/>
      <c r="E392" s="16" t="n"/>
      <c r="F392" s="16" t="n"/>
      <c r="G392" s="16" t="n"/>
      <c r="H392" s="16" t="n"/>
      <c r="I392" s="16" t="n"/>
      <c r="J392" s="16" t="n"/>
      <c r="K392" s="16" t="n">
        <v>14.616619</v>
      </c>
      <c r="L392" s="16" t="n">
        <v>8</v>
      </c>
    </row>
    <row r="393">
      <c r="A393" s="16" t="n"/>
      <c r="B393" s="16" t="n"/>
      <c r="C393" s="16" t="n"/>
      <c r="D393" s="16" t="n"/>
      <c r="E393" s="16" t="n"/>
      <c r="F393" s="16" t="n"/>
      <c r="G393" s="16" t="n"/>
      <c r="H393" s="16" t="n"/>
      <c r="I393" s="16" t="n"/>
      <c r="J393" s="16" t="n"/>
      <c r="K393" s="16" t="n">
        <v>15.591856</v>
      </c>
      <c r="L393" s="16" t="n">
        <v>8</v>
      </c>
    </row>
    <row r="394">
      <c r="A394" s="16" t="n"/>
      <c r="B394" s="16" t="n"/>
      <c r="C394" s="16" t="n"/>
      <c r="D394" s="16" t="n"/>
      <c r="E394" s="16" t="n"/>
      <c r="F394" s="16" t="n"/>
      <c r="G394" s="16" t="n"/>
      <c r="H394" s="16" t="n"/>
      <c r="I394" s="16" t="n"/>
      <c r="J394" s="16" t="n"/>
      <c r="K394" s="16" t="n">
        <v>15.752947</v>
      </c>
      <c r="L394" s="16" t="n">
        <v>9</v>
      </c>
    </row>
    <row r="395">
      <c r="A395" s="16" t="n"/>
      <c r="B395" s="16" t="n"/>
      <c r="C395" s="16" t="n"/>
      <c r="D395" s="16" t="n"/>
      <c r="E395" s="16" t="n"/>
      <c r="F395" s="16" t="n"/>
      <c r="G395" s="16" t="n"/>
      <c r="H395" s="16" t="n"/>
      <c r="I395" s="16" t="n"/>
      <c r="J395" s="16" t="n"/>
      <c r="K395" s="16" t="n">
        <v>14.536758</v>
      </c>
      <c r="L395" s="16" t="n">
        <v>9</v>
      </c>
    </row>
    <row r="396">
      <c r="A396" s="16" t="n"/>
      <c r="B396" s="16" t="n"/>
      <c r="C396" s="16" t="n"/>
      <c r="D396" s="16" t="n"/>
      <c r="E396" s="16" t="n"/>
      <c r="F396" s="16" t="n"/>
      <c r="G396" s="16" t="n"/>
      <c r="H396" s="16" t="n"/>
      <c r="I396" s="16" t="n"/>
      <c r="J396" s="16" t="n"/>
      <c r="K396" s="16" t="n">
        <v>16.116673</v>
      </c>
      <c r="L396" s="16" t="n">
        <v>9</v>
      </c>
    </row>
    <row r="397">
      <c r="A397" s="16" t="n"/>
      <c r="B397" s="16" t="n"/>
      <c r="C397" s="16" t="n"/>
      <c r="D397" s="16" t="n"/>
      <c r="E397" s="16" t="n"/>
      <c r="F397" s="16" t="n"/>
      <c r="G397" s="16" t="n"/>
      <c r="H397" s="16" t="n"/>
      <c r="I397" s="16" t="n"/>
      <c r="J397" s="16" t="n"/>
      <c r="K397" s="16" t="n">
        <v>14.527715</v>
      </c>
      <c r="L397" s="16" t="n">
        <v>9</v>
      </c>
    </row>
    <row r="398">
      <c r="A398" s="16" t="n"/>
      <c r="B398" s="16" t="n"/>
      <c r="C398" s="16" t="n"/>
      <c r="D398" s="16" t="n"/>
      <c r="E398" s="16" t="n"/>
      <c r="F398" s="16" t="n"/>
      <c r="G398" s="16" t="n"/>
      <c r="H398" s="16" t="n"/>
      <c r="I398" s="16" t="n"/>
      <c r="J398" s="16" t="n"/>
      <c r="K398" s="16" t="n">
        <v>15.404735</v>
      </c>
      <c r="L398" s="16" t="n">
        <v>9</v>
      </c>
    </row>
    <row r="399">
      <c r="A399" s="16" t="n"/>
      <c r="B399" s="16" t="n"/>
      <c r="C399" s="16" t="n"/>
      <c r="D399" s="16" t="n"/>
      <c r="E399" s="16" t="n"/>
      <c r="F399" s="16" t="n"/>
      <c r="G399" s="16" t="n"/>
      <c r="H399" s="16" t="n"/>
      <c r="I399" s="16" t="n"/>
      <c r="J399" s="16" t="n"/>
      <c r="K399" s="16" t="n">
        <v>15.539539</v>
      </c>
      <c r="L399" s="16" t="n">
        <v>9</v>
      </c>
    </row>
    <row r="400">
      <c r="A400" s="16" t="n"/>
      <c r="B400" s="16" t="n"/>
      <c r="C400" s="16" t="n"/>
      <c r="D400" s="16" t="n"/>
      <c r="E400" s="16" t="n"/>
      <c r="F400" s="16" t="n"/>
      <c r="G400" s="16" t="n"/>
      <c r="H400" s="16" t="n"/>
      <c r="I400" s="16" t="n"/>
      <c r="J400" s="16" t="n"/>
      <c r="K400" s="16" t="n">
        <v>15.388324</v>
      </c>
      <c r="L400" s="16" t="n">
        <v>9</v>
      </c>
    </row>
    <row r="401">
      <c r="A401" s="16" t="n"/>
      <c r="B401" s="16" t="n"/>
      <c r="C401" s="16" t="n"/>
      <c r="D401" s="16" t="n"/>
      <c r="E401" s="16" t="n"/>
      <c r="F401" s="16" t="n"/>
      <c r="G401" s="16" t="n"/>
      <c r="H401" s="16" t="n"/>
      <c r="I401" s="16" t="n"/>
      <c r="J401" s="16" t="n"/>
      <c r="K401" s="16" t="n">
        <v>14.75856</v>
      </c>
      <c r="L401" s="16" t="n">
        <v>9</v>
      </c>
    </row>
    <row r="402">
      <c r="A402" s="16" t="n"/>
      <c r="B402" s="16" t="n"/>
      <c r="C402" s="16" t="n"/>
      <c r="D402" s="16" t="n"/>
      <c r="E402" s="16" t="n"/>
      <c r="F402" s="16" t="n"/>
      <c r="G402" s="16" t="n"/>
      <c r="H402" s="16" t="n"/>
      <c r="I402" s="16" t="n"/>
      <c r="J402" s="16" t="n"/>
      <c r="K402" s="16" t="n">
        <v>15.686238</v>
      </c>
      <c r="L402" s="16" t="n">
        <v>9</v>
      </c>
    </row>
    <row r="403">
      <c r="A403" s="16" t="n"/>
      <c r="B403" s="16" t="n"/>
      <c r="C403" s="16" t="n"/>
      <c r="D403" s="16" t="n"/>
      <c r="E403" s="16" t="n"/>
      <c r="F403" s="16" t="n"/>
      <c r="G403" s="16" t="n"/>
      <c r="H403" s="16" t="n"/>
      <c r="I403" s="16" t="n"/>
      <c r="J403" s="16" t="n"/>
      <c r="K403" s="16" t="n">
        <v>15.797622</v>
      </c>
      <c r="L403" s="16" t="n">
        <v>10</v>
      </c>
    </row>
    <row r="404">
      <c r="A404" s="16" t="n"/>
      <c r="B404" s="16" t="n"/>
      <c r="C404" s="16" t="n"/>
      <c r="D404" s="16" t="n"/>
      <c r="E404" s="16" t="n"/>
      <c r="F404" s="16" t="n"/>
      <c r="G404" s="16" t="n"/>
      <c r="H404" s="16" t="n"/>
      <c r="I404" s="16" t="n"/>
      <c r="J404" s="16" t="n"/>
      <c r="K404" s="16" t="n">
        <v>14.639198</v>
      </c>
      <c r="L404" s="16" t="n">
        <v>10</v>
      </c>
    </row>
    <row r="405">
      <c r="A405" s="16" t="n"/>
      <c r="B405" s="16" t="n"/>
      <c r="C405" s="16" t="n"/>
      <c r="D405" s="16" t="n"/>
      <c r="E405" s="16" t="n"/>
      <c r="F405" s="16" t="n"/>
      <c r="G405" s="16" t="n"/>
      <c r="H405" s="16" t="n"/>
      <c r="I405" s="16" t="n"/>
      <c r="J405" s="16" t="n"/>
      <c r="K405" s="16" t="n">
        <v>16.174597</v>
      </c>
      <c r="L405" s="16" t="n">
        <v>10</v>
      </c>
    </row>
    <row r="406">
      <c r="A406" s="16" t="n"/>
      <c r="B406" s="16" t="n"/>
      <c r="C406" s="16" t="n"/>
      <c r="D406" s="16" t="n"/>
      <c r="E406" s="16" t="n"/>
      <c r="F406" s="16" t="n"/>
      <c r="G406" s="16" t="n"/>
      <c r="H406" s="16" t="n"/>
      <c r="I406" s="16" t="n"/>
      <c r="J406" s="16" t="n"/>
      <c r="K406" s="16" t="n">
        <v>14.591214</v>
      </c>
      <c r="L406" s="16" t="n">
        <v>10</v>
      </c>
    </row>
    <row r="407">
      <c r="A407" s="16" t="n"/>
      <c r="B407" s="16" t="n"/>
      <c r="C407" s="16" t="n"/>
      <c r="D407" s="16" t="n"/>
      <c r="E407" s="16" t="n"/>
      <c r="F407" s="16" t="n"/>
      <c r="G407" s="16" t="n"/>
      <c r="H407" s="16" t="n"/>
      <c r="I407" s="16" t="n"/>
      <c r="J407" s="16" t="n"/>
      <c r="K407" s="16" t="n">
        <v>15.596534</v>
      </c>
      <c r="L407" s="16" t="n">
        <v>10</v>
      </c>
    </row>
    <row r="408">
      <c r="A408" s="16" t="n"/>
      <c r="B408" s="16" t="n"/>
      <c r="C408" s="16" t="n"/>
      <c r="D408" s="16" t="n"/>
      <c r="E408" s="16" t="n"/>
      <c r="F408" s="16" t="n"/>
      <c r="G408" s="16" t="n"/>
      <c r="H408" s="16" t="n"/>
      <c r="I408" s="16" t="n"/>
      <c r="J408" s="16" t="n"/>
      <c r="K408" s="16" t="n">
        <v>15.478071</v>
      </c>
      <c r="L408" s="16" t="n">
        <v>10</v>
      </c>
    </row>
    <row r="409">
      <c r="A409" s="16" t="n"/>
      <c r="B409" s="16" t="n"/>
      <c r="C409" s="16" t="n"/>
      <c r="D409" s="16" t="n"/>
      <c r="E409" s="16" t="n"/>
      <c r="F409" s="16" t="n"/>
      <c r="G409" s="16" t="n"/>
      <c r="H409" s="16" t="n"/>
      <c r="I409" s="16" t="n"/>
      <c r="J409" s="16" t="n"/>
      <c r="K409" s="16" t="n">
        <v>15.455928</v>
      </c>
      <c r="L409" s="16" t="n">
        <v>10</v>
      </c>
    </row>
    <row r="410">
      <c r="A410" s="16" t="n"/>
      <c r="B410" s="16" t="n"/>
      <c r="C410" s="16" t="n"/>
      <c r="D410" s="16" t="n"/>
      <c r="E410" s="16" t="n"/>
      <c r="F410" s="16" t="n"/>
      <c r="G410" s="16" t="n"/>
      <c r="H410" s="16" t="n"/>
      <c r="I410" s="16" t="n"/>
      <c r="J410" s="16" t="n"/>
      <c r="K410" s="16" t="n">
        <v>14.818975</v>
      </c>
      <c r="L410" s="16" t="n">
        <v>10</v>
      </c>
    </row>
    <row r="411">
      <c r="A411" s="16" t="n"/>
      <c r="B411" s="16" t="n"/>
      <c r="C411" s="16" t="n"/>
      <c r="D411" s="16" t="n"/>
      <c r="E411" s="16" t="n"/>
      <c r="F411" s="16" t="n"/>
      <c r="G411" s="16" t="n"/>
      <c r="H411" s="16" t="n"/>
      <c r="I411" s="16" t="n"/>
      <c r="J411" s="16" t="n"/>
      <c r="K411" s="16" t="n">
        <v>15.753409</v>
      </c>
      <c r="L411" s="16" t="n">
        <v>10</v>
      </c>
    </row>
    <row r="412">
      <c r="A412" s="16" t="n"/>
      <c r="B412" s="16" t="n"/>
      <c r="C412" s="16" t="n"/>
      <c r="D412" s="16" t="n"/>
      <c r="E412" s="16" t="n"/>
      <c r="F412" s="16" t="n"/>
      <c r="G412" s="16" t="n"/>
      <c r="H412" s="16" t="n"/>
      <c r="I412" s="16" t="n"/>
      <c r="J412" s="16" t="n"/>
      <c r="K412" s="16" t="n">
        <v>8.491984</v>
      </c>
      <c r="L412" s="16" t="n">
        <v>1</v>
      </c>
    </row>
    <row r="413">
      <c r="A413" s="16" t="n"/>
      <c r="B413" s="16" t="n"/>
      <c r="C413" s="16" t="n"/>
      <c r="D413" s="16" t="n"/>
      <c r="E413" s="16" t="n"/>
      <c r="F413" s="16" t="n"/>
      <c r="G413" s="16" t="n"/>
      <c r="H413" s="16" t="n"/>
      <c r="I413" s="16" t="n"/>
      <c r="J413" s="16" t="n"/>
      <c r="K413" s="16" t="n">
        <v>8.368318</v>
      </c>
      <c r="L413" s="16" t="n">
        <v>1</v>
      </c>
    </row>
    <row r="414">
      <c r="A414" s="16" t="n"/>
      <c r="B414" s="16" t="n"/>
      <c r="C414" s="16" t="n"/>
      <c r="D414" s="16" t="n"/>
      <c r="E414" s="16" t="n"/>
      <c r="F414" s="16" t="n"/>
      <c r="G414" s="16" t="n"/>
      <c r="H414" s="16" t="n"/>
      <c r="I414" s="16" t="n"/>
      <c r="J414" s="16" t="n"/>
      <c r="K414" s="16" t="n">
        <v>8.592833000000001</v>
      </c>
      <c r="L414" s="16" t="n">
        <v>1</v>
      </c>
    </row>
    <row r="415">
      <c r="A415" s="16" t="n"/>
      <c r="B415" s="16" t="n"/>
      <c r="C415" s="16" t="n"/>
      <c r="D415" s="16" t="n"/>
      <c r="E415" s="16" t="n"/>
      <c r="F415" s="16" t="n"/>
      <c r="G415" s="16" t="n"/>
      <c r="H415" s="16" t="n"/>
      <c r="I415" s="16" t="n"/>
      <c r="J415" s="16" t="n"/>
      <c r="K415" s="16" t="n">
        <v>8.215368</v>
      </c>
      <c r="L415" s="16" t="n">
        <v>1</v>
      </c>
    </row>
    <row r="416">
      <c r="A416" s="16" t="n"/>
      <c r="B416" s="16" t="n"/>
      <c r="C416" s="16" t="n"/>
      <c r="D416" s="16" t="n"/>
      <c r="E416" s="16" t="n"/>
      <c r="F416" s="16" t="n"/>
      <c r="G416" s="16" t="n"/>
      <c r="H416" s="16" t="n"/>
      <c r="I416" s="16" t="n"/>
      <c r="J416" s="16" t="n"/>
      <c r="K416" s="16" t="n">
        <v>7.46005</v>
      </c>
      <c r="L416" s="16" t="n">
        <v>1</v>
      </c>
    </row>
    <row r="417">
      <c r="A417" s="16" t="n"/>
      <c r="B417" s="16" t="n"/>
      <c r="C417" s="16" t="n"/>
      <c r="D417" s="16" t="n"/>
      <c r="E417" s="16" t="n"/>
      <c r="F417" s="16" t="n"/>
      <c r="G417" s="16" t="n"/>
      <c r="H417" s="16" t="n"/>
      <c r="I417" s="16" t="n"/>
      <c r="J417" s="16" t="n"/>
      <c r="K417" s="16" t="n">
        <v>8.730525999999999</v>
      </c>
      <c r="L417" s="16" t="n">
        <v>1</v>
      </c>
    </row>
    <row r="418">
      <c r="A418" s="16" t="n"/>
      <c r="B418" s="16" t="n"/>
      <c r="C418" s="16" t="n"/>
      <c r="D418" s="16" t="n"/>
      <c r="E418" s="16" t="n"/>
      <c r="F418" s="16" t="n"/>
      <c r="G418" s="16" t="n"/>
      <c r="H418" s="16" t="n"/>
      <c r="I418" s="16" t="n"/>
      <c r="J418" s="16" t="n"/>
      <c r="K418" s="16" t="n">
        <v>7.911524</v>
      </c>
      <c r="L418" s="16" t="n">
        <v>1</v>
      </c>
    </row>
    <row r="419">
      <c r="A419" s="16" t="n"/>
      <c r="B419" s="16" t="n"/>
      <c r="C419" s="16" t="n"/>
      <c r="D419" s="16" t="n"/>
      <c r="E419" s="16" t="n"/>
      <c r="F419" s="16" t="n"/>
      <c r="G419" s="16" t="n"/>
      <c r="H419" s="16" t="n"/>
      <c r="I419" s="16" t="n"/>
      <c r="J419" s="16" t="n"/>
      <c r="K419" s="16" t="n">
        <v>8.520659</v>
      </c>
      <c r="L419" s="16" t="n">
        <v>1</v>
      </c>
    </row>
    <row r="420">
      <c r="A420" s="16" t="n"/>
      <c r="B420" s="16" t="n"/>
      <c r="C420" s="16" t="n"/>
      <c r="D420" s="16" t="n"/>
      <c r="E420" s="16" t="n"/>
      <c r="F420" s="16" t="n"/>
      <c r="G420" s="16" t="n"/>
      <c r="H420" s="16" t="n"/>
      <c r="I420" s="16" t="n"/>
      <c r="J420" s="16" t="n"/>
      <c r="K420" s="16" t="n">
        <v>8.381299</v>
      </c>
      <c r="L420" s="16" t="n">
        <v>1</v>
      </c>
    </row>
    <row r="421">
      <c r="A421" s="16" t="n"/>
      <c r="B421" s="16" t="n"/>
      <c r="C421" s="16" t="n"/>
      <c r="D421" s="16" t="n"/>
      <c r="E421" s="16" t="n"/>
      <c r="F421" s="16" t="n"/>
      <c r="G421" s="16" t="n"/>
      <c r="H421" s="16" t="n"/>
      <c r="I421" s="16" t="n"/>
      <c r="J421" s="16" t="n"/>
      <c r="K421" s="16" t="n">
        <v>8.961043</v>
      </c>
      <c r="L421" s="16" t="n">
        <v>1</v>
      </c>
    </row>
    <row r="422">
      <c r="A422" s="16" t="n"/>
      <c r="B422" s="16" t="n"/>
      <c r="C422" s="16" t="n"/>
      <c r="D422" s="16" t="n"/>
      <c r="E422" s="16" t="n"/>
      <c r="F422" s="16" t="n"/>
      <c r="G422" s="16" t="n"/>
      <c r="H422" s="16" t="n"/>
      <c r="I422" s="16" t="n"/>
      <c r="J422" s="16" t="n"/>
      <c r="K422" s="16" t="n">
        <v>8.379999</v>
      </c>
      <c r="L422" s="16" t="n">
        <v>1</v>
      </c>
    </row>
    <row r="423">
      <c r="A423" s="16" t="n"/>
      <c r="B423" s="16" t="n"/>
      <c r="C423" s="16" t="n"/>
      <c r="D423" s="16" t="n"/>
      <c r="E423" s="16" t="n"/>
      <c r="F423" s="16" t="n"/>
      <c r="G423" s="16" t="n"/>
      <c r="H423" s="16" t="n"/>
      <c r="I423" s="16" t="n"/>
      <c r="J423" s="16" t="n"/>
      <c r="K423" s="16" t="n">
        <v>8.657617</v>
      </c>
      <c r="L423" s="16" t="n">
        <v>1</v>
      </c>
    </row>
    <row r="424">
      <c r="A424" s="16" t="n"/>
      <c r="B424" s="16" t="n"/>
      <c r="C424" s="16" t="n"/>
      <c r="D424" s="16" t="n"/>
      <c r="E424" s="16" t="n"/>
      <c r="F424" s="16" t="n"/>
      <c r="G424" s="16" t="n"/>
      <c r="H424" s="16" t="n"/>
      <c r="I424" s="16" t="n"/>
      <c r="J424" s="16" t="n"/>
      <c r="K424" s="16" t="n">
        <v>8.437006999999999</v>
      </c>
      <c r="L424" s="16" t="n">
        <v>1</v>
      </c>
    </row>
    <row r="425">
      <c r="A425" s="16" t="n"/>
      <c r="B425" s="16" t="n"/>
      <c r="C425" s="16" t="n"/>
      <c r="D425" s="16" t="n"/>
      <c r="E425" s="16" t="n"/>
      <c r="F425" s="16" t="n"/>
      <c r="G425" s="16" t="n"/>
      <c r="H425" s="16" t="n"/>
      <c r="I425" s="16" t="n"/>
      <c r="J425" s="16" t="n"/>
      <c r="K425" s="16" t="n">
        <v>7.997267</v>
      </c>
      <c r="L425" s="16" t="n">
        <v>1</v>
      </c>
    </row>
    <row r="426">
      <c r="A426" s="16" t="n"/>
      <c r="B426" s="16" t="n"/>
      <c r="C426" s="16" t="n"/>
      <c r="D426" s="16" t="n"/>
      <c r="E426" s="16" t="n"/>
      <c r="F426" s="16" t="n"/>
      <c r="G426" s="16" t="n"/>
      <c r="H426" s="16" t="n"/>
      <c r="I426" s="16" t="n"/>
      <c r="J426" s="16" t="n"/>
      <c r="K426" s="16" t="n">
        <v>8.980238999999999</v>
      </c>
      <c r="L426" s="16" t="n">
        <v>1</v>
      </c>
    </row>
    <row r="427">
      <c r="A427" s="16" t="n"/>
      <c r="B427" s="16" t="n"/>
      <c r="C427" s="16" t="n"/>
      <c r="D427" s="16" t="n"/>
      <c r="E427" s="16" t="n"/>
      <c r="F427" s="16" t="n"/>
      <c r="G427" s="16" t="n"/>
      <c r="H427" s="16" t="n"/>
      <c r="I427" s="16" t="n"/>
      <c r="J427" s="16" t="n"/>
      <c r="K427" s="16" t="n">
        <v>9.673109</v>
      </c>
      <c r="L427" s="16" t="n">
        <v>2</v>
      </c>
    </row>
    <row r="428">
      <c r="A428" s="16" t="n"/>
      <c r="B428" s="16" t="n"/>
      <c r="C428" s="16" t="n"/>
      <c r="D428" s="16" t="n"/>
      <c r="E428" s="16" t="n"/>
      <c r="F428" s="16" t="n"/>
      <c r="G428" s="16" t="n"/>
      <c r="H428" s="16" t="n"/>
      <c r="I428" s="16" t="n"/>
      <c r="J428" s="16" t="n"/>
      <c r="K428" s="16" t="n">
        <v>9.532635000000001</v>
      </c>
      <c r="L428" s="16" t="n">
        <v>2</v>
      </c>
    </row>
    <row r="429">
      <c r="A429" s="16" t="n"/>
      <c r="B429" s="16" t="n"/>
      <c r="C429" s="16" t="n"/>
      <c r="D429" s="16" t="n"/>
      <c r="E429" s="16" t="n"/>
      <c r="F429" s="16" t="n"/>
      <c r="G429" s="16" t="n"/>
      <c r="H429" s="16" t="n"/>
      <c r="I429" s="16" t="n"/>
      <c r="J429" s="16" t="n"/>
      <c r="K429" s="16" t="n">
        <v>9.756224</v>
      </c>
      <c r="L429" s="16" t="n">
        <v>2</v>
      </c>
    </row>
    <row r="430">
      <c r="A430" s="16" t="n"/>
      <c r="B430" s="16" t="n"/>
      <c r="C430" s="16" t="n"/>
      <c r="D430" s="16" t="n"/>
      <c r="E430" s="16" t="n"/>
      <c r="F430" s="16" t="n"/>
      <c r="G430" s="16" t="n"/>
      <c r="H430" s="16" t="n"/>
      <c r="I430" s="16" t="n"/>
      <c r="J430" s="16" t="n"/>
      <c r="K430" s="16" t="n">
        <v>9.412934999999999</v>
      </c>
      <c r="L430" s="16" t="n">
        <v>2</v>
      </c>
    </row>
    <row r="431">
      <c r="A431" s="16" t="n"/>
      <c r="B431" s="16" t="n"/>
      <c r="C431" s="16" t="n"/>
      <c r="D431" s="16" t="n"/>
      <c r="E431" s="16" t="n"/>
      <c r="F431" s="16" t="n"/>
      <c r="G431" s="16" t="n"/>
      <c r="H431" s="16" t="n"/>
      <c r="I431" s="16" t="n"/>
      <c r="J431" s="16" t="n"/>
      <c r="K431" s="16" t="n">
        <v>8.457649999999999</v>
      </c>
      <c r="L431" s="16" t="n">
        <v>2</v>
      </c>
    </row>
    <row r="432">
      <c r="A432" s="16" t="n"/>
      <c r="B432" s="16" t="n"/>
      <c r="C432" s="16" t="n"/>
      <c r="D432" s="16" t="n"/>
      <c r="E432" s="16" t="n"/>
      <c r="F432" s="16" t="n"/>
      <c r="G432" s="16" t="n"/>
      <c r="H432" s="16" t="n"/>
      <c r="I432" s="16" t="n"/>
      <c r="J432" s="16" t="n"/>
      <c r="K432" s="16" t="n">
        <v>9.942659000000001</v>
      </c>
      <c r="L432" s="16" t="n">
        <v>2</v>
      </c>
    </row>
    <row r="433">
      <c r="A433" s="16" t="n"/>
      <c r="B433" s="16" t="n"/>
      <c r="C433" s="16" t="n"/>
      <c r="D433" s="16" t="n"/>
      <c r="E433" s="16" t="n"/>
      <c r="F433" s="16" t="n"/>
      <c r="G433" s="16" t="n"/>
      <c r="H433" s="16" t="n"/>
      <c r="I433" s="16" t="n"/>
      <c r="J433" s="16" t="n"/>
      <c r="K433" s="16" t="n">
        <v>9.016503</v>
      </c>
      <c r="L433" s="16" t="n">
        <v>2</v>
      </c>
    </row>
    <row r="434">
      <c r="A434" s="16" t="n"/>
      <c r="B434" s="16" t="n"/>
      <c r="C434" s="16" t="n"/>
      <c r="D434" s="16" t="n"/>
      <c r="E434" s="16" t="n"/>
      <c r="F434" s="16" t="n"/>
      <c r="G434" s="16" t="n"/>
      <c r="H434" s="16" t="n"/>
      <c r="I434" s="16" t="n"/>
      <c r="J434" s="16" t="n"/>
      <c r="K434" s="16" t="n">
        <v>9.700094999999999</v>
      </c>
      <c r="L434" s="16" t="n">
        <v>2</v>
      </c>
    </row>
    <row r="435">
      <c r="A435" s="16" t="n"/>
      <c r="B435" s="16" t="n"/>
      <c r="C435" s="16" t="n"/>
      <c r="D435" s="16" t="n"/>
      <c r="E435" s="16" t="n"/>
      <c r="F435" s="16" t="n"/>
      <c r="G435" s="16" t="n"/>
      <c r="H435" s="16" t="n"/>
      <c r="I435" s="16" t="n"/>
      <c r="J435" s="16" t="n"/>
      <c r="K435" s="16" t="n">
        <v>9.554145</v>
      </c>
      <c r="L435" s="16" t="n">
        <v>2</v>
      </c>
    </row>
    <row r="436">
      <c r="A436" s="16" t="n"/>
      <c r="B436" s="16" t="n"/>
      <c r="C436" s="16" t="n"/>
      <c r="D436" s="16" t="n"/>
      <c r="E436" s="16" t="n"/>
      <c r="F436" s="16" t="n"/>
      <c r="G436" s="16" t="n"/>
      <c r="H436" s="16" t="n"/>
      <c r="I436" s="16" t="n"/>
      <c r="J436" s="16" t="n"/>
      <c r="K436" s="16" t="n">
        <v>9.547256000000001</v>
      </c>
      <c r="L436" s="16" t="n">
        <v>2</v>
      </c>
    </row>
    <row r="437">
      <c r="A437" s="16" t="n"/>
      <c r="B437" s="16" t="n"/>
      <c r="C437" s="16" t="n"/>
      <c r="D437" s="16" t="n"/>
      <c r="E437" s="16" t="n"/>
      <c r="F437" s="16" t="n"/>
      <c r="G437" s="16" t="n"/>
      <c r="H437" s="16" t="n"/>
      <c r="I437" s="16" t="n"/>
      <c r="J437" s="16" t="n"/>
      <c r="K437" s="16" t="n">
        <v>9.861326999999999</v>
      </c>
      <c r="L437" s="16" t="n">
        <v>2</v>
      </c>
    </row>
    <row r="438">
      <c r="A438" s="16" t="n"/>
      <c r="B438" s="16" t="n"/>
      <c r="C438" s="16" t="n"/>
      <c r="D438" s="16" t="n"/>
      <c r="E438" s="16" t="n"/>
      <c r="F438" s="16" t="n"/>
      <c r="G438" s="16" t="n"/>
      <c r="H438" s="16" t="n"/>
      <c r="I438" s="16" t="n"/>
      <c r="J438" s="16" t="n"/>
      <c r="K438" s="16" t="n">
        <v>9.592464</v>
      </c>
      <c r="L438" s="16" t="n">
        <v>2</v>
      </c>
    </row>
    <row r="439">
      <c r="A439" s="16" t="n"/>
      <c r="B439" s="16" t="n"/>
      <c r="C439" s="16" t="n"/>
      <c r="D439" s="16" t="n"/>
      <c r="E439" s="16" t="n"/>
      <c r="F439" s="16" t="n"/>
      <c r="G439" s="16" t="n"/>
      <c r="H439" s="16" t="n"/>
      <c r="I439" s="16" t="n"/>
      <c r="J439" s="16" t="n"/>
      <c r="K439" s="16" t="n">
        <v>9.117349000000001</v>
      </c>
      <c r="L439" s="16" t="n">
        <v>2</v>
      </c>
    </row>
    <row r="440">
      <c r="A440" s="16" t="n"/>
      <c r="B440" s="16" t="n"/>
      <c r="C440" s="16" t="n"/>
      <c r="D440" s="16" t="n"/>
      <c r="E440" s="16" t="n"/>
      <c r="F440" s="16" t="n"/>
      <c r="G440" s="16" t="n"/>
      <c r="H440" s="16" t="n"/>
      <c r="I440" s="16" t="n"/>
      <c r="J440" s="16" t="n"/>
      <c r="K440" s="16" t="n">
        <v>10.193831</v>
      </c>
      <c r="L440" s="16" t="n">
        <v>2</v>
      </c>
    </row>
    <row r="441">
      <c r="A441" s="16" t="n"/>
      <c r="B441" s="16" t="n"/>
      <c r="C441" s="16" t="n"/>
      <c r="D441" s="16" t="n"/>
      <c r="E441" s="16" t="n"/>
      <c r="F441" s="16" t="n"/>
      <c r="G441" s="16" t="n"/>
      <c r="H441" s="16" t="n"/>
      <c r="I441" s="16" t="n"/>
      <c r="J441" s="16" t="n"/>
      <c r="K441" s="16" t="n">
        <v>10.10457</v>
      </c>
      <c r="L441" s="16" t="n">
        <v>3</v>
      </c>
    </row>
    <row r="442">
      <c r="A442" s="16" t="n"/>
      <c r="B442" s="16" t="n"/>
      <c r="C442" s="16" t="n"/>
      <c r="D442" s="16" t="n"/>
      <c r="E442" s="16" t="n"/>
      <c r="F442" s="16" t="n"/>
      <c r="G442" s="16" t="n"/>
      <c r="H442" s="16" t="n"/>
      <c r="I442" s="16" t="n"/>
      <c r="J442" s="16" t="n"/>
      <c r="K442" s="16" t="n">
        <v>10.351719</v>
      </c>
      <c r="L442" s="16" t="n">
        <v>3</v>
      </c>
    </row>
    <row r="443">
      <c r="A443" s="16" t="n"/>
      <c r="B443" s="16" t="n"/>
      <c r="C443" s="16" t="n"/>
      <c r="D443" s="16" t="n"/>
      <c r="E443" s="16" t="n"/>
      <c r="F443" s="16" t="n"/>
      <c r="G443" s="16" t="n"/>
      <c r="H443" s="16" t="n"/>
      <c r="I443" s="16" t="n"/>
      <c r="J443" s="16" t="n"/>
      <c r="K443" s="16" t="n">
        <v>9.925198999999999</v>
      </c>
      <c r="L443" s="16" t="n">
        <v>3</v>
      </c>
    </row>
    <row r="444">
      <c r="A444" s="16" t="n"/>
      <c r="B444" s="16" t="n"/>
      <c r="C444" s="16" t="n"/>
      <c r="D444" s="16" t="n"/>
      <c r="E444" s="16" t="n"/>
      <c r="F444" s="16" t="n"/>
      <c r="G444" s="16" t="n"/>
      <c r="H444" s="16" t="n"/>
      <c r="I444" s="16" t="n"/>
      <c r="J444" s="16" t="n"/>
      <c r="K444" s="16" t="n">
        <v>8.961043</v>
      </c>
      <c r="L444" s="16" t="n">
        <v>3</v>
      </c>
    </row>
    <row r="445">
      <c r="A445" s="16" t="n"/>
      <c r="B445" s="16" t="n"/>
      <c r="C445" s="16" t="n"/>
      <c r="D445" s="16" t="n"/>
      <c r="E445" s="16" t="n"/>
      <c r="F445" s="16" t="n"/>
      <c r="G445" s="16" t="n"/>
      <c r="H445" s="16" t="n"/>
      <c r="I445" s="16" t="n"/>
      <c r="J445" s="16" t="n"/>
      <c r="K445" s="16" t="n">
        <v>11.690074</v>
      </c>
      <c r="L445" s="16" t="n">
        <v>3</v>
      </c>
    </row>
    <row r="446">
      <c r="A446" s="16" t="n"/>
      <c r="B446" s="16" t="n"/>
      <c r="C446" s="16" t="n"/>
      <c r="D446" s="16" t="n"/>
      <c r="E446" s="16" t="n"/>
      <c r="F446" s="16" t="n"/>
      <c r="G446" s="16" t="n"/>
      <c r="H446" s="16" t="n"/>
      <c r="I446" s="16" t="n"/>
      <c r="J446" s="16" t="n"/>
      <c r="K446" s="16" t="n">
        <v>10.519082</v>
      </c>
      <c r="L446" s="16" t="n">
        <v>3</v>
      </c>
    </row>
    <row r="447">
      <c r="A447" s="16" t="n"/>
      <c r="B447" s="16" t="n"/>
      <c r="C447" s="16" t="n"/>
      <c r="D447" s="16" t="n"/>
      <c r="E447" s="16" t="n"/>
      <c r="F447" s="16" t="n"/>
      <c r="G447" s="16" t="n"/>
      <c r="H447" s="16" t="n"/>
      <c r="I447" s="16" t="n"/>
      <c r="J447" s="16" t="n"/>
      <c r="K447" s="16" t="n">
        <v>9.552078</v>
      </c>
      <c r="L447" s="16" t="n">
        <v>3</v>
      </c>
    </row>
    <row r="448">
      <c r="A448" s="16" t="n"/>
      <c r="B448" s="16" t="n"/>
      <c r="C448" s="16" t="n"/>
      <c r="D448" s="16" t="n"/>
      <c r="E448" s="16" t="n"/>
      <c r="F448" s="16" t="n"/>
      <c r="G448" s="16" t="n"/>
      <c r="H448" s="16" t="n"/>
      <c r="I448" s="16" t="n"/>
      <c r="J448" s="16" t="n"/>
      <c r="K448" s="16" t="n">
        <v>10.25512</v>
      </c>
      <c r="L448" s="16" t="n">
        <v>3</v>
      </c>
    </row>
    <row r="449">
      <c r="A449" s="16" t="n"/>
      <c r="B449" s="16" t="n"/>
      <c r="C449" s="16" t="n"/>
      <c r="D449" s="16" t="n"/>
      <c r="E449" s="16" t="n"/>
      <c r="F449" s="16" t="n"/>
      <c r="G449" s="16" t="n"/>
      <c r="H449" s="16" t="n"/>
      <c r="I449" s="16" t="n"/>
      <c r="J449" s="16" t="n"/>
      <c r="K449" s="16" t="n">
        <v>10.126412</v>
      </c>
      <c r="L449" s="16" t="n">
        <v>3</v>
      </c>
    </row>
    <row r="450">
      <c r="A450" s="16" t="n"/>
      <c r="B450" s="16" t="n"/>
      <c r="C450" s="16" t="n"/>
      <c r="D450" s="16" t="n"/>
      <c r="E450" s="16" t="n"/>
      <c r="F450" s="16" t="n"/>
      <c r="G450" s="16" t="n"/>
      <c r="H450" s="16" t="n"/>
      <c r="I450" s="16" t="n"/>
      <c r="J450" s="16" t="n"/>
      <c r="K450" s="16" t="n">
        <v>10.63826</v>
      </c>
      <c r="L450" s="16" t="n">
        <v>3</v>
      </c>
    </row>
    <row r="451">
      <c r="A451" s="16" t="n"/>
      <c r="B451" s="16" t="n"/>
      <c r="C451" s="16" t="n"/>
      <c r="D451" s="16" t="n"/>
      <c r="E451" s="16" t="n"/>
      <c r="F451" s="16" t="n"/>
      <c r="G451" s="16" t="n"/>
      <c r="H451" s="16" t="n"/>
      <c r="I451" s="16" t="n"/>
      <c r="J451" s="16" t="n"/>
      <c r="K451" s="16" t="n">
        <v>9.634107</v>
      </c>
      <c r="L451" s="16" t="n">
        <v>3</v>
      </c>
    </row>
    <row r="452">
      <c r="A452" s="16" t="n"/>
      <c r="B452" s="16" t="n"/>
      <c r="C452" s="16" t="n"/>
      <c r="D452" s="16" t="n"/>
      <c r="E452" s="16" t="n"/>
      <c r="F452" s="16" t="n"/>
      <c r="G452" s="16" t="n"/>
      <c r="H452" s="16" t="n"/>
      <c r="I452" s="16" t="n"/>
      <c r="J452" s="16" t="n"/>
      <c r="K452" s="16" t="n">
        <v>10.164194</v>
      </c>
      <c r="L452" s="16" t="n">
        <v>3</v>
      </c>
    </row>
    <row r="453">
      <c r="A453" s="16" t="n"/>
      <c r="B453" s="16" t="n"/>
      <c r="C453" s="16" t="n"/>
      <c r="D453" s="16" t="n"/>
      <c r="E453" s="16" t="n"/>
      <c r="F453" s="16" t="n"/>
      <c r="G453" s="16" t="n"/>
      <c r="H453" s="16" t="n"/>
      <c r="I453" s="16" t="n"/>
      <c r="J453" s="16" t="n"/>
      <c r="K453" s="16" t="n">
        <v>9.666494999999999</v>
      </c>
      <c r="L453" s="16" t="n">
        <v>3</v>
      </c>
    </row>
    <row r="454">
      <c r="A454" s="16" t="n"/>
      <c r="B454" s="16" t="n"/>
      <c r="C454" s="16" t="n"/>
      <c r="D454" s="16" t="n"/>
      <c r="E454" s="16" t="n"/>
      <c r="F454" s="16" t="n"/>
      <c r="G454" s="16" t="n"/>
      <c r="H454" s="16" t="n"/>
      <c r="I454" s="16" t="n"/>
      <c r="J454" s="16" t="n"/>
      <c r="K454" s="16" t="n">
        <v>10.716246</v>
      </c>
      <c r="L454" s="16" t="n">
        <v>3</v>
      </c>
    </row>
    <row r="455">
      <c r="A455" s="16" t="n"/>
      <c r="B455" s="16" t="n"/>
      <c r="C455" s="16" t="n"/>
      <c r="D455" s="16" t="n"/>
      <c r="E455" s="16" t="n"/>
      <c r="F455" s="16" t="n"/>
      <c r="G455" s="16" t="n"/>
      <c r="H455" s="16" t="n"/>
      <c r="I455" s="16" t="n"/>
      <c r="J455" s="16" t="n"/>
      <c r="K455" s="16" t="n">
        <v>10.409981</v>
      </c>
      <c r="L455" s="16" t="n">
        <v>4</v>
      </c>
    </row>
    <row r="456">
      <c r="A456" s="16" t="n"/>
      <c r="B456" s="16" t="n"/>
      <c r="C456" s="16" t="n"/>
      <c r="D456" s="16" t="n"/>
      <c r="E456" s="16" t="n"/>
      <c r="F456" s="16" t="n"/>
      <c r="G456" s="16" t="n"/>
      <c r="H456" s="16" t="n"/>
      <c r="I456" s="16" t="n"/>
      <c r="J456" s="16" t="n"/>
      <c r="K456" s="16" t="n">
        <v>10.285067</v>
      </c>
      <c r="L456" s="16" t="n">
        <v>4</v>
      </c>
    </row>
    <row r="457">
      <c r="A457" s="16" t="n"/>
      <c r="B457" s="16" t="n"/>
      <c r="C457" s="16" t="n"/>
      <c r="D457" s="16" t="n"/>
      <c r="E457" s="16" t="n"/>
      <c r="F457" s="16" t="n"/>
      <c r="G457" s="16" t="n"/>
      <c r="H457" s="16" t="n"/>
      <c r="I457" s="16" t="n"/>
      <c r="J457" s="16" t="n"/>
      <c r="K457" s="16" t="n">
        <v>10.538897</v>
      </c>
      <c r="L457" s="16" t="n">
        <v>4</v>
      </c>
    </row>
    <row r="458">
      <c r="A458" s="16" t="n"/>
      <c r="B458" s="16" t="n"/>
      <c r="C458" s="16" t="n"/>
      <c r="D458" s="16" t="n"/>
      <c r="E458" s="16" t="n"/>
      <c r="F458" s="16" t="n"/>
      <c r="G458" s="16" t="n"/>
      <c r="H458" s="16" t="n"/>
      <c r="I458" s="16" t="n"/>
      <c r="J458" s="16" t="n"/>
      <c r="K458" s="16" t="n">
        <v>10.089782</v>
      </c>
      <c r="L458" s="16" t="n">
        <v>4</v>
      </c>
    </row>
    <row r="459">
      <c r="A459" s="16" t="n"/>
      <c r="B459" s="16" t="n"/>
      <c r="C459" s="16" t="n"/>
      <c r="D459" s="16" t="n"/>
      <c r="E459" s="16" t="n"/>
      <c r="F459" s="16" t="n"/>
      <c r="G459" s="16" t="n"/>
      <c r="H459" s="16" t="n"/>
      <c r="I459" s="16" t="n"/>
      <c r="J459" s="16" t="n"/>
      <c r="K459" s="16" t="n">
        <v>9.11797</v>
      </c>
      <c r="L459" s="16" t="n">
        <v>4</v>
      </c>
    </row>
    <row r="460">
      <c r="A460" s="16" t="n"/>
      <c r="B460" s="16" t="n"/>
      <c r="C460" s="16" t="n"/>
      <c r="D460" s="16" t="n"/>
      <c r="E460" s="16" t="n"/>
      <c r="F460" s="16" t="n"/>
      <c r="G460" s="16" t="n"/>
      <c r="H460" s="16" t="n"/>
      <c r="I460" s="16" t="n"/>
      <c r="J460" s="16" t="n"/>
      <c r="K460" s="16" t="n">
        <v>11.896106</v>
      </c>
      <c r="L460" s="16" t="n">
        <v>4</v>
      </c>
    </row>
    <row r="461">
      <c r="A461" s="16" t="n"/>
      <c r="B461" s="16" t="n"/>
      <c r="C461" s="16" t="n"/>
      <c r="D461" s="16" t="n"/>
      <c r="E461" s="16" t="n"/>
      <c r="F461" s="16" t="n"/>
      <c r="G461" s="16" t="n"/>
      <c r="H461" s="16" t="n"/>
      <c r="I461" s="16" t="n"/>
      <c r="J461" s="16" t="n"/>
      <c r="K461" s="16" t="n">
        <v>10.702964</v>
      </c>
      <c r="L461" s="16" t="n">
        <v>4</v>
      </c>
    </row>
    <row r="462">
      <c r="A462" s="16" t="n"/>
      <c r="B462" s="16" t="n"/>
      <c r="C462" s="16" t="n"/>
      <c r="D462" s="16" t="n"/>
      <c r="E462" s="16" t="n"/>
      <c r="F462" s="16" t="n"/>
      <c r="G462" s="16" t="n"/>
      <c r="H462" s="16" t="n"/>
      <c r="I462" s="16" t="n"/>
      <c r="J462" s="16" t="n"/>
      <c r="K462" s="16" t="n">
        <v>9.719436</v>
      </c>
      <c r="L462" s="16" t="n">
        <v>4</v>
      </c>
    </row>
    <row r="463">
      <c r="A463" s="16" t="n"/>
      <c r="B463" s="16" t="n"/>
      <c r="C463" s="16" t="n"/>
      <c r="D463" s="16" t="n"/>
      <c r="E463" s="16" t="n"/>
      <c r="F463" s="16" t="n"/>
      <c r="G463" s="16" t="n"/>
      <c r="H463" s="16" t="n"/>
      <c r="I463" s="16" t="n"/>
      <c r="J463" s="16" t="n"/>
      <c r="K463" s="16" t="n">
        <v>10.434049</v>
      </c>
      <c r="L463" s="16" t="n">
        <v>4</v>
      </c>
    </row>
    <row r="464">
      <c r="A464" s="16" t="n"/>
      <c r="B464" s="16" t="n"/>
      <c r="C464" s="16" t="n"/>
      <c r="D464" s="16" t="n"/>
      <c r="E464" s="16" t="n"/>
      <c r="F464" s="16" t="n"/>
      <c r="G464" s="16" t="n"/>
      <c r="H464" s="16" t="n"/>
      <c r="I464" s="16" t="n"/>
      <c r="J464" s="16" t="n"/>
      <c r="K464" s="16" t="n">
        <v>10.304107</v>
      </c>
      <c r="L464" s="16" t="n">
        <v>4</v>
      </c>
    </row>
    <row r="465">
      <c r="A465" s="16" t="n"/>
      <c r="B465" s="16" t="n"/>
      <c r="C465" s="16" t="n"/>
      <c r="D465" s="16" t="n"/>
      <c r="E465" s="16" t="n"/>
      <c r="F465" s="16" t="n"/>
      <c r="G465" s="16" t="n"/>
      <c r="H465" s="16" t="n"/>
      <c r="I465" s="16" t="n"/>
      <c r="J465" s="16" t="n"/>
      <c r="K465" s="16" t="n">
        <v>10.776795</v>
      </c>
      <c r="L465" s="16" t="n">
        <v>4</v>
      </c>
    </row>
    <row r="466">
      <c r="A466" s="16" t="n"/>
      <c r="B466" s="16" t="n"/>
      <c r="C466" s="16" t="n"/>
      <c r="D466" s="16" t="n"/>
      <c r="E466" s="16" t="n"/>
      <c r="F466" s="16" t="n"/>
      <c r="G466" s="16" t="n"/>
      <c r="H466" s="16" t="n"/>
      <c r="I466" s="16" t="n"/>
      <c r="J466" s="16" t="n"/>
      <c r="K466" s="16" t="n">
        <v>9.861326999999999</v>
      </c>
      <c r="L466" s="16" t="n">
        <v>4</v>
      </c>
    </row>
    <row r="467">
      <c r="A467" s="16" t="n"/>
      <c r="B467" s="16" t="n"/>
      <c r="C467" s="16" t="n"/>
      <c r="D467" s="16" t="n"/>
      <c r="E467" s="16" t="n"/>
      <c r="F467" s="16" t="n"/>
      <c r="G467" s="16" t="n"/>
      <c r="H467" s="16" t="n"/>
      <c r="I467" s="16" t="n"/>
      <c r="J467" s="16" t="n"/>
      <c r="K467" s="16" t="n">
        <v>10.196928</v>
      </c>
      <c r="L467" s="16" t="n">
        <v>4</v>
      </c>
    </row>
    <row r="468">
      <c r="A468" s="16" t="n"/>
      <c r="B468" s="16" t="n"/>
      <c r="C468" s="16" t="n"/>
      <c r="D468" s="16" t="n"/>
      <c r="E468" s="16" t="n"/>
      <c r="F468" s="16" t="n"/>
      <c r="G468" s="16" t="n"/>
      <c r="H468" s="16" t="n"/>
      <c r="I468" s="16" t="n"/>
      <c r="J468" s="16" t="n"/>
      <c r="K468" s="16" t="n">
        <v>9.861971</v>
      </c>
      <c r="L468" s="16" t="n">
        <v>4</v>
      </c>
    </row>
    <row r="469">
      <c r="A469" s="16" t="n"/>
      <c r="B469" s="16" t="n"/>
      <c r="C469" s="16" t="n"/>
      <c r="D469" s="16" t="n"/>
      <c r="E469" s="16" t="n"/>
      <c r="F469" s="16" t="n"/>
      <c r="G469" s="16" t="n"/>
      <c r="H469" s="16" t="n"/>
      <c r="I469" s="16" t="n"/>
      <c r="J469" s="16" t="n"/>
      <c r="K469" s="16" t="n">
        <v>10.880829</v>
      </c>
      <c r="L469" s="16" t="n">
        <v>4</v>
      </c>
    </row>
    <row r="470">
      <c r="A470" s="16" t="n"/>
      <c r="B470" s="16" t="n"/>
      <c r="C470" s="16" t="n"/>
      <c r="D470" s="16" t="n"/>
      <c r="E470" s="16" t="n"/>
      <c r="F470" s="16" t="n"/>
      <c r="G470" s="16" t="n"/>
      <c r="H470" s="16" t="n"/>
      <c r="I470" s="16" t="n"/>
      <c r="J470" s="16" t="n"/>
      <c r="K470" s="16" t="n">
        <v>10.58812</v>
      </c>
      <c r="L470" s="16" t="n">
        <v>5</v>
      </c>
    </row>
    <row r="471">
      <c r="A471" s="16" t="n"/>
      <c r="B471" s="16" t="n"/>
      <c r="C471" s="16" t="n"/>
      <c r="D471" s="16" t="n"/>
      <c r="E471" s="16" t="n"/>
      <c r="F471" s="16" t="n"/>
      <c r="G471" s="16" t="n"/>
      <c r="H471" s="16" t="n"/>
      <c r="I471" s="16" t="n"/>
      <c r="J471" s="16" t="n"/>
      <c r="K471" s="16" t="n">
        <v>10.466159</v>
      </c>
      <c r="L471" s="16" t="n">
        <v>5</v>
      </c>
    </row>
    <row r="472">
      <c r="A472" s="16" t="n"/>
      <c r="B472" s="16" t="n"/>
      <c r="C472" s="16" t="n"/>
      <c r="D472" s="16" t="n"/>
      <c r="E472" s="16" t="n"/>
      <c r="F472" s="16" t="n"/>
      <c r="G472" s="16" t="n"/>
      <c r="H472" s="16" t="n"/>
      <c r="I472" s="16" t="n"/>
      <c r="J472" s="16" t="n"/>
      <c r="K472" s="16" t="n">
        <v>10.726685</v>
      </c>
      <c r="L472" s="16" t="n">
        <v>5</v>
      </c>
    </row>
    <row r="473">
      <c r="A473" s="16" t="n"/>
      <c r="B473" s="16" t="n"/>
      <c r="C473" s="16" t="n"/>
      <c r="D473" s="16" t="n"/>
      <c r="E473" s="16" t="n"/>
      <c r="F473" s="16" t="n"/>
      <c r="G473" s="16" t="n"/>
      <c r="H473" s="16" t="n"/>
      <c r="I473" s="16" t="n"/>
      <c r="J473" s="16" t="n"/>
      <c r="K473" s="16" t="n">
        <v>10.254913</v>
      </c>
      <c r="L473" s="16" t="n">
        <v>5</v>
      </c>
    </row>
    <row r="474">
      <c r="A474" s="16" t="n"/>
      <c r="B474" s="16" t="n"/>
      <c r="C474" s="16" t="n"/>
      <c r="D474" s="16" t="n"/>
      <c r="E474" s="16" t="n"/>
      <c r="F474" s="16" t="n"/>
      <c r="G474" s="16" t="n"/>
      <c r="H474" s="16" t="n"/>
      <c r="I474" s="16" t="n"/>
      <c r="J474" s="16" t="n"/>
      <c r="K474" s="16" t="n">
        <v>9.275410000000001</v>
      </c>
      <c r="L474" s="16" t="n">
        <v>5</v>
      </c>
    </row>
    <row r="475">
      <c r="A475" s="16" t="n"/>
      <c r="B475" s="16" t="n"/>
      <c r="C475" s="16" t="n"/>
      <c r="D475" s="16" t="n"/>
      <c r="E475" s="16" t="n"/>
      <c r="F475" s="16" t="n"/>
      <c r="G475" s="16" t="n"/>
      <c r="H475" s="16" t="n"/>
      <c r="I475" s="16" t="n"/>
      <c r="J475" s="16" t="n"/>
      <c r="K475" s="16" t="n">
        <v>12.102737</v>
      </c>
      <c r="L475" s="16" t="n">
        <v>5</v>
      </c>
    </row>
    <row r="476">
      <c r="A476" s="16" t="n"/>
      <c r="B476" s="16" t="n"/>
      <c r="C476" s="16" t="n"/>
      <c r="D476" s="16" t="n"/>
      <c r="E476" s="16" t="n"/>
      <c r="F476" s="16" t="n"/>
      <c r="G476" s="16" t="n"/>
      <c r="H476" s="16" t="n"/>
      <c r="I476" s="16" t="n"/>
      <c r="J476" s="16" t="n"/>
      <c r="K476" s="16" t="n">
        <v>10.887455</v>
      </c>
      <c r="L476" s="16" t="n">
        <v>5</v>
      </c>
    </row>
    <row r="477">
      <c r="A477" s="16" t="n"/>
      <c r="B477" s="16" t="n"/>
      <c r="C477" s="16" t="n"/>
      <c r="D477" s="16" t="n"/>
      <c r="E477" s="16" t="n"/>
      <c r="F477" s="16" t="n"/>
      <c r="G477" s="16" t="n"/>
      <c r="H477" s="16" t="n"/>
      <c r="I477" s="16" t="n"/>
      <c r="J477" s="16" t="n"/>
      <c r="K477" s="16" t="n">
        <v>9.88734</v>
      </c>
      <c r="L477" s="16" t="n">
        <v>5</v>
      </c>
    </row>
    <row r="478">
      <c r="A478" s="16" t="n"/>
      <c r="B478" s="16" t="n"/>
      <c r="C478" s="16" t="n"/>
      <c r="D478" s="16" t="n"/>
      <c r="E478" s="16" t="n"/>
      <c r="F478" s="16" t="n"/>
      <c r="G478" s="16" t="n"/>
      <c r="H478" s="16" t="n"/>
      <c r="I478" s="16" t="n"/>
      <c r="J478" s="16" t="n"/>
      <c r="K478" s="16" t="n">
        <v>10.613566</v>
      </c>
      <c r="L478" s="16" t="n">
        <v>5</v>
      </c>
    </row>
    <row r="479">
      <c r="A479" s="16" t="n"/>
      <c r="B479" s="16" t="n"/>
      <c r="C479" s="16" t="n"/>
      <c r="D479" s="16" t="n"/>
      <c r="E479" s="16" t="n"/>
      <c r="F479" s="16" t="n"/>
      <c r="G479" s="16" t="n"/>
      <c r="H479" s="16" t="n"/>
      <c r="I479" s="16" t="n"/>
      <c r="J479" s="16" t="n"/>
      <c r="K479" s="16" t="n">
        <v>10.482388</v>
      </c>
      <c r="L479" s="16" t="n">
        <v>5</v>
      </c>
    </row>
    <row r="480">
      <c r="A480" s="16" t="n"/>
      <c r="B480" s="16" t="n"/>
      <c r="C480" s="16" t="n"/>
      <c r="D480" s="16" t="n"/>
      <c r="E480" s="16" t="n"/>
      <c r="F480" s="16" t="n"/>
      <c r="G480" s="16" t="n"/>
      <c r="H480" s="16" t="n"/>
      <c r="I480" s="16" t="n"/>
      <c r="J480" s="16" t="n"/>
      <c r="K480" s="16" t="n">
        <v>10.9155</v>
      </c>
      <c r="L480" s="16" t="n">
        <v>5</v>
      </c>
    </row>
    <row r="481">
      <c r="A481" s="16" t="n"/>
      <c r="B481" s="16" t="n"/>
      <c r="C481" s="16" t="n"/>
      <c r="D481" s="16" t="n"/>
      <c r="E481" s="16" t="n"/>
      <c r="F481" s="16" t="n"/>
      <c r="G481" s="16" t="n"/>
      <c r="H481" s="16" t="n"/>
      <c r="I481" s="16" t="n"/>
      <c r="J481" s="16" t="n"/>
      <c r="K481" s="16" t="n">
        <v>10.08984</v>
      </c>
      <c r="L481" s="16" t="n">
        <v>5</v>
      </c>
    </row>
    <row r="482">
      <c r="A482" s="16" t="n"/>
      <c r="B482" s="16" t="n"/>
      <c r="C482" s="16" t="n"/>
      <c r="D482" s="16" t="n"/>
      <c r="E482" s="16" t="n"/>
      <c r="F482" s="16" t="n"/>
      <c r="G482" s="16" t="n"/>
      <c r="H482" s="16" t="n"/>
      <c r="I482" s="16" t="n"/>
      <c r="J482" s="16" t="n"/>
      <c r="K482" s="16" t="n">
        <v>10.375299</v>
      </c>
      <c r="L482" s="16" t="n">
        <v>5</v>
      </c>
    </row>
    <row r="483">
      <c r="A483" s="16" t="n"/>
      <c r="B483" s="16" t="n"/>
      <c r="C483" s="16" t="n"/>
      <c r="D483" s="16" t="n"/>
      <c r="E483" s="16" t="n"/>
      <c r="F483" s="16" t="n"/>
      <c r="G483" s="16" t="n"/>
      <c r="H483" s="16" t="n"/>
      <c r="I483" s="16" t="n"/>
      <c r="J483" s="16" t="n"/>
      <c r="K483" s="16" t="n">
        <v>10.057766</v>
      </c>
      <c r="L483" s="16" t="n">
        <v>5</v>
      </c>
    </row>
    <row r="484">
      <c r="A484" s="16" t="n"/>
      <c r="B484" s="16" t="n"/>
      <c r="C484" s="16" t="n"/>
      <c r="D484" s="16" t="n"/>
      <c r="E484" s="16" t="n"/>
      <c r="F484" s="16" t="n"/>
      <c r="G484" s="16" t="n"/>
      <c r="H484" s="16" t="n"/>
      <c r="I484" s="16" t="n"/>
      <c r="J484" s="16" t="n"/>
      <c r="K484" s="16" t="n">
        <v>11.046097</v>
      </c>
      <c r="L484" s="16" t="n">
        <v>5</v>
      </c>
    </row>
    <row r="485">
      <c r="A485" s="16" t="n"/>
      <c r="B485" s="16" t="n"/>
      <c r="C485" s="16" t="n"/>
      <c r="D485" s="16" t="n"/>
      <c r="E485" s="16" t="n"/>
      <c r="F485" s="16" t="n"/>
      <c r="G485" s="16" t="n"/>
      <c r="H485" s="16" t="n"/>
      <c r="I485" s="16" t="n"/>
      <c r="J485" s="16" t="n"/>
      <c r="K485" s="16" t="n">
        <v>10.766788</v>
      </c>
      <c r="L485" s="16" t="n">
        <v>6</v>
      </c>
    </row>
    <row r="486">
      <c r="A486" s="16" t="n"/>
      <c r="B486" s="16" t="n"/>
      <c r="C486" s="16" t="n"/>
      <c r="D486" s="16" t="n"/>
      <c r="E486" s="16" t="n"/>
      <c r="F486" s="16" t="n"/>
      <c r="G486" s="16" t="n"/>
      <c r="H486" s="16" t="n"/>
      <c r="I486" s="16" t="n"/>
      <c r="J486" s="16" t="n"/>
      <c r="K486" s="16" t="n">
        <v>10.647783</v>
      </c>
      <c r="L486" s="16" t="n">
        <v>6</v>
      </c>
    </row>
    <row r="487">
      <c r="A487" s="16" t="n"/>
      <c r="B487" s="16" t="n"/>
      <c r="C487" s="16" t="n"/>
      <c r="D487" s="16" t="n"/>
      <c r="E487" s="16" t="n"/>
      <c r="F487" s="16" t="n"/>
      <c r="G487" s="16" t="n"/>
      <c r="H487" s="16" t="n"/>
      <c r="I487" s="16" t="n"/>
      <c r="J487" s="16" t="n"/>
      <c r="K487" s="16" t="n">
        <v>10.91502</v>
      </c>
      <c r="L487" s="16" t="n">
        <v>6</v>
      </c>
    </row>
    <row r="488">
      <c r="A488" s="16" t="n"/>
      <c r="B488" s="16" t="n"/>
      <c r="C488" s="16" t="n"/>
      <c r="D488" s="16" t="n"/>
      <c r="E488" s="16" t="n"/>
      <c r="F488" s="16" t="n"/>
      <c r="G488" s="16" t="n"/>
      <c r="H488" s="16" t="n"/>
      <c r="I488" s="16" t="n"/>
      <c r="J488" s="16" t="n"/>
      <c r="K488" s="16" t="n">
        <v>10.420548</v>
      </c>
      <c r="L488" s="16" t="n">
        <v>6</v>
      </c>
    </row>
    <row r="489">
      <c r="A489" s="16" t="n"/>
      <c r="B489" s="16" t="n"/>
      <c r="C489" s="16" t="n"/>
      <c r="D489" s="16" t="n"/>
      <c r="E489" s="16" t="n"/>
      <c r="F489" s="16" t="n"/>
      <c r="G489" s="16" t="n"/>
      <c r="H489" s="16" t="n"/>
      <c r="I489" s="16" t="n"/>
      <c r="J489" s="16" t="n"/>
      <c r="K489" s="16" t="n">
        <v>9.433309</v>
      </c>
      <c r="L489" s="16" t="n">
        <v>6</v>
      </c>
    </row>
    <row r="490">
      <c r="A490" s="16" t="n"/>
      <c r="B490" s="16" t="n"/>
      <c r="C490" s="16" t="n"/>
      <c r="D490" s="16" t="n"/>
      <c r="E490" s="16" t="n"/>
      <c r="F490" s="16" t="n"/>
      <c r="G490" s="16" t="n"/>
      <c r="H490" s="16" t="n"/>
      <c r="I490" s="16" t="n"/>
      <c r="J490" s="16" t="n"/>
      <c r="K490" s="16" t="n">
        <v>12.309901</v>
      </c>
      <c r="L490" s="16" t="n">
        <v>6</v>
      </c>
    </row>
    <row r="491">
      <c r="A491" s="16" t="n"/>
      <c r="B491" s="16" t="n"/>
      <c r="C491" s="16" t="n"/>
      <c r="D491" s="16" t="n"/>
      <c r="E491" s="16" t="n"/>
      <c r="F491" s="16" t="n"/>
      <c r="G491" s="16" t="n"/>
      <c r="H491" s="16" t="n"/>
      <c r="I491" s="16" t="n"/>
      <c r="J491" s="16" t="n"/>
      <c r="K491" s="16" t="n">
        <v>11.072494</v>
      </c>
      <c r="L491" s="16" t="n">
        <v>6</v>
      </c>
    </row>
    <row r="492">
      <c r="A492" s="16" t="n"/>
      <c r="B492" s="16" t="n"/>
      <c r="C492" s="16" t="n"/>
      <c r="D492" s="16" t="n"/>
      <c r="E492" s="16" t="n"/>
      <c r="F492" s="16" t="n"/>
      <c r="G492" s="16" t="n"/>
      <c r="H492" s="16" t="n"/>
      <c r="I492" s="16" t="n"/>
      <c r="J492" s="16" t="n"/>
      <c r="K492" s="16" t="n">
        <v>10.055739</v>
      </c>
      <c r="L492" s="16" t="n">
        <v>6</v>
      </c>
    </row>
    <row r="493">
      <c r="A493" s="16" t="n"/>
      <c r="B493" s="16" t="n"/>
      <c r="C493" s="16" t="n"/>
      <c r="D493" s="16" t="n"/>
      <c r="E493" s="16" t="n"/>
      <c r="F493" s="16" t="n"/>
      <c r="G493" s="16" t="n"/>
      <c r="H493" s="16" t="n"/>
      <c r="I493" s="16" t="n"/>
      <c r="J493" s="16" t="n"/>
      <c r="K493" s="16" t="n">
        <v>10.793615</v>
      </c>
      <c r="L493" s="16" t="n">
        <v>6</v>
      </c>
    </row>
    <row r="494">
      <c r="A494" s="16" t="n"/>
      <c r="B494" s="16" t="n"/>
      <c r="C494" s="16" t="n"/>
      <c r="D494" s="16" t="n"/>
      <c r="E494" s="16" t="n"/>
      <c r="F494" s="16" t="n"/>
      <c r="G494" s="16" t="n"/>
      <c r="H494" s="16" t="n"/>
      <c r="I494" s="16" t="n"/>
      <c r="J494" s="16" t="n"/>
      <c r="K494" s="16" t="n">
        <v>10.661197</v>
      </c>
      <c r="L494" s="16" t="n">
        <v>6</v>
      </c>
    </row>
    <row r="495">
      <c r="A495" s="16" t="n"/>
      <c r="B495" s="16" t="n"/>
      <c r="C495" s="16" t="n"/>
      <c r="D495" s="16" t="n"/>
      <c r="E495" s="16" t="n"/>
      <c r="F495" s="16" t="n"/>
      <c r="G495" s="16" t="n"/>
      <c r="H495" s="16" t="n"/>
      <c r="I495" s="16" t="n"/>
      <c r="J495" s="16" t="n"/>
      <c r="K495" s="16" t="n">
        <v>11.054357</v>
      </c>
      <c r="L495" s="16" t="n">
        <v>6</v>
      </c>
    </row>
    <row r="496">
      <c r="A496" s="16" t="n"/>
      <c r="B496" s="16" t="n"/>
      <c r="C496" s="16" t="n"/>
      <c r="D496" s="16" t="n"/>
      <c r="E496" s="16" t="n"/>
      <c r="F496" s="16" t="n"/>
      <c r="G496" s="16" t="n"/>
      <c r="H496" s="16" t="n"/>
      <c r="I496" s="16" t="n"/>
      <c r="J496" s="16" t="n"/>
      <c r="K496" s="16" t="n">
        <v>10.319552</v>
      </c>
      <c r="L496" s="16" t="n">
        <v>6</v>
      </c>
    </row>
    <row r="497">
      <c r="A497" s="16" t="n"/>
      <c r="B497" s="16" t="n"/>
      <c r="C497" s="16" t="n"/>
      <c r="D497" s="16" t="n"/>
      <c r="E497" s="16" t="n"/>
      <c r="F497" s="16" t="n"/>
      <c r="G497" s="16" t="n"/>
      <c r="H497" s="16" t="n"/>
      <c r="I497" s="16" t="n"/>
      <c r="J497" s="16" t="n"/>
      <c r="K497" s="16" t="n">
        <v>10.554256</v>
      </c>
      <c r="L497" s="16" t="n">
        <v>6</v>
      </c>
    </row>
    <row r="498">
      <c r="A498" s="16" t="n"/>
      <c r="B498" s="16" t="n"/>
      <c r="C498" s="16" t="n"/>
      <c r="D498" s="16" t="n"/>
      <c r="E498" s="16" t="n"/>
      <c r="F498" s="16" t="n"/>
      <c r="G498" s="16" t="n"/>
      <c r="H498" s="16" t="n"/>
      <c r="I498" s="16" t="n"/>
      <c r="J498" s="16" t="n"/>
      <c r="K498" s="16" t="n">
        <v>10.253816</v>
      </c>
      <c r="L498" s="16" t="n">
        <v>6</v>
      </c>
    </row>
    <row r="499">
      <c r="A499" s="16" t="n"/>
      <c r="B499" s="16" t="n"/>
      <c r="C499" s="16" t="n"/>
      <c r="D499" s="16" t="n"/>
      <c r="E499" s="16" t="n"/>
      <c r="F499" s="16" t="n"/>
      <c r="G499" s="16" t="n"/>
      <c r="H499" s="16" t="n"/>
      <c r="I499" s="16" t="n"/>
      <c r="J499" s="16" t="n"/>
      <c r="K499" s="16" t="n">
        <v>11.212013</v>
      </c>
      <c r="L499" s="16" t="n">
        <v>6</v>
      </c>
    </row>
    <row r="500">
      <c r="A500" s="16" t="n"/>
      <c r="B500" s="16" t="n"/>
      <c r="C500" s="16" t="n"/>
      <c r="D500" s="16" t="n"/>
      <c r="E500" s="16" t="n"/>
      <c r="F500" s="16" t="n"/>
      <c r="G500" s="16" t="n"/>
      <c r="H500" s="16" t="n"/>
      <c r="I500" s="16" t="n"/>
      <c r="J500" s="16" t="n"/>
      <c r="K500" s="16" t="n">
        <v>10.94594</v>
      </c>
      <c r="L500" s="16" t="n">
        <v>7</v>
      </c>
    </row>
    <row r="501">
      <c r="A501" s="16" t="n"/>
      <c r="B501" s="16" t="n"/>
      <c r="C501" s="16" t="n"/>
      <c r="D501" s="16" t="n"/>
      <c r="E501" s="16" t="n"/>
      <c r="F501" s="16" t="n"/>
      <c r="G501" s="16" t="n"/>
      <c r="H501" s="16" t="n"/>
      <c r="I501" s="16" t="n"/>
      <c r="J501" s="16" t="n"/>
      <c r="K501" s="16" t="n">
        <v>10.829888</v>
      </c>
      <c r="L501" s="16" t="n">
        <v>7</v>
      </c>
    </row>
    <row r="502">
      <c r="A502" s="16" t="n"/>
      <c r="B502" s="16" t="n"/>
      <c r="C502" s="16" t="n"/>
      <c r="D502" s="16" t="n"/>
      <c r="E502" s="16" t="n"/>
      <c r="F502" s="16" t="n"/>
      <c r="G502" s="16" t="n"/>
      <c r="H502" s="16" t="n"/>
      <c r="I502" s="16" t="n"/>
      <c r="J502" s="16" t="n"/>
      <c r="K502" s="16" t="n">
        <v>11.103855</v>
      </c>
      <c r="L502" s="16" t="n">
        <v>7</v>
      </c>
    </row>
    <row r="503">
      <c r="A503" s="16" t="n"/>
      <c r="B503" s="16" t="n"/>
      <c r="C503" s="16" t="n"/>
      <c r="D503" s="16" t="n"/>
      <c r="E503" s="16" t="n"/>
      <c r="F503" s="16" t="n"/>
      <c r="G503" s="16" t="n"/>
      <c r="H503" s="16" t="n"/>
      <c r="I503" s="16" t="n"/>
      <c r="J503" s="16" t="n"/>
      <c r="K503" s="16" t="n">
        <v>10.586636</v>
      </c>
      <c r="L503" s="16" t="n">
        <v>7</v>
      </c>
    </row>
    <row r="504">
      <c r="A504" s="16" t="n"/>
      <c r="B504" s="16" t="n"/>
      <c r="C504" s="16" t="n"/>
      <c r="D504" s="16" t="n"/>
      <c r="E504" s="16" t="n"/>
      <c r="F504" s="16" t="n"/>
      <c r="G504" s="16" t="n"/>
      <c r="H504" s="16" t="n"/>
      <c r="I504" s="16" t="n"/>
      <c r="J504" s="16" t="n"/>
      <c r="K504" s="16" t="n">
        <v>9.591625000000001</v>
      </c>
      <c r="L504" s="16" t="n">
        <v>7</v>
      </c>
    </row>
    <row r="505">
      <c r="A505" s="16" t="n"/>
      <c r="B505" s="16" t="n"/>
      <c r="C505" s="16" t="n"/>
      <c r="D505" s="16" t="n"/>
      <c r="E505" s="16" t="n"/>
      <c r="F505" s="16" t="n"/>
      <c r="G505" s="16" t="n"/>
      <c r="H505" s="16" t="n"/>
      <c r="I505" s="16" t="n"/>
      <c r="J505" s="16" t="n"/>
      <c r="K505" s="16" t="n">
        <v>12.517544</v>
      </c>
      <c r="L505" s="16" t="n">
        <v>7</v>
      </c>
    </row>
    <row r="506">
      <c r="A506" s="16" t="n"/>
      <c r="B506" s="16" t="n"/>
      <c r="C506" s="16" t="n"/>
      <c r="D506" s="16" t="n"/>
      <c r="E506" s="16" t="n"/>
      <c r="F506" s="16" t="n"/>
      <c r="G506" s="16" t="n"/>
      <c r="H506" s="16" t="n"/>
      <c r="I506" s="16" t="n"/>
      <c r="J506" s="16" t="n"/>
      <c r="K506" s="16" t="n">
        <v>11.258034</v>
      </c>
      <c r="L506" s="16" t="n">
        <v>7</v>
      </c>
    </row>
    <row r="507">
      <c r="A507" s="16" t="n"/>
      <c r="B507" s="16" t="n"/>
      <c r="C507" s="16" t="n"/>
      <c r="D507" s="16" t="n"/>
      <c r="E507" s="16" t="n"/>
      <c r="F507" s="16" t="n"/>
      <c r="G507" s="16" t="n"/>
      <c r="H507" s="16" t="n"/>
      <c r="I507" s="16" t="n"/>
      <c r="J507" s="16" t="n"/>
      <c r="K507" s="16" t="n">
        <v>10.224588</v>
      </c>
      <c r="L507" s="16" t="n">
        <v>7</v>
      </c>
    </row>
    <row r="508">
      <c r="A508" s="16" t="n"/>
      <c r="B508" s="16" t="n"/>
      <c r="C508" s="16" t="n"/>
      <c r="D508" s="16" t="n"/>
      <c r="E508" s="16" t="n"/>
      <c r="F508" s="16" t="n"/>
      <c r="G508" s="16" t="n"/>
      <c r="H508" s="16" t="n"/>
      <c r="I508" s="16" t="n"/>
      <c r="J508" s="16" t="n"/>
      <c r="K508" s="16" t="n">
        <v>10.974145</v>
      </c>
      <c r="L508" s="16" t="n">
        <v>7</v>
      </c>
    </row>
    <row r="509">
      <c r="A509" s="16" t="n"/>
      <c r="B509" s="16" t="n"/>
      <c r="C509" s="16" t="n"/>
      <c r="D509" s="16" t="n"/>
      <c r="E509" s="16" t="n"/>
      <c r="F509" s="16" t="n"/>
      <c r="G509" s="16" t="n"/>
      <c r="H509" s="16" t="n"/>
      <c r="I509" s="16" t="n"/>
      <c r="J509" s="16" t="n"/>
      <c r="K509" s="16" t="n">
        <v>10.84049</v>
      </c>
      <c r="L509" s="16" t="n">
        <v>7</v>
      </c>
    </row>
    <row r="510">
      <c r="A510" s="16" t="n"/>
      <c r="B510" s="16" t="n"/>
      <c r="C510" s="16" t="n"/>
      <c r="D510" s="16" t="n"/>
      <c r="E510" s="16" t="n"/>
      <c r="F510" s="16" t="n"/>
      <c r="G510" s="16" t="n"/>
      <c r="H510" s="16" t="n"/>
      <c r="I510" s="16" t="n"/>
      <c r="J510" s="16" t="n"/>
      <c r="K510" s="16" t="n">
        <v>11.193331</v>
      </c>
      <c r="L510" s="16" t="n">
        <v>7</v>
      </c>
    </row>
    <row r="511">
      <c r="A511" s="16" t="n"/>
      <c r="B511" s="16" t="n"/>
      <c r="C511" s="16" t="n"/>
      <c r="D511" s="16" t="n"/>
      <c r="E511" s="16" t="n"/>
      <c r="F511" s="16" t="n"/>
      <c r="G511" s="16" t="n"/>
      <c r="H511" s="16" t="n"/>
      <c r="I511" s="16" t="n"/>
      <c r="J511" s="16" t="n"/>
      <c r="K511" s="16" t="n">
        <v>10.550374</v>
      </c>
      <c r="L511" s="16" t="n">
        <v>7</v>
      </c>
    </row>
    <row r="512">
      <c r="A512" s="16" t="n"/>
      <c r="B512" s="16" t="n"/>
      <c r="C512" s="16" t="n"/>
      <c r="D512" s="16" t="n"/>
      <c r="E512" s="16" t="n"/>
      <c r="F512" s="16" t="n"/>
      <c r="G512" s="16" t="n"/>
      <c r="H512" s="16" t="n"/>
      <c r="I512" s="16" t="n"/>
      <c r="J512" s="16" t="n"/>
      <c r="K512" s="16" t="n">
        <v>10.733744</v>
      </c>
      <c r="L512" s="16" t="n">
        <v>7</v>
      </c>
    </row>
    <row r="513">
      <c r="A513" s="16" t="n"/>
      <c r="B513" s="16" t="n"/>
      <c r="C513" s="16" t="n"/>
      <c r="D513" s="16" t="n"/>
      <c r="E513" s="16" t="n"/>
      <c r="F513" s="16" t="n"/>
      <c r="G513" s="16" t="n"/>
      <c r="H513" s="16" t="n"/>
      <c r="I513" s="16" t="n"/>
      <c r="J513" s="16" t="n"/>
      <c r="K513" s="16" t="n">
        <v>10.450071</v>
      </c>
      <c r="L513" s="16" t="n">
        <v>7</v>
      </c>
    </row>
    <row r="514">
      <c r="A514" s="16" t="n"/>
      <c r="B514" s="16" t="n"/>
      <c r="C514" s="16" t="n"/>
      <c r="D514" s="16" t="n"/>
      <c r="E514" s="16" t="n"/>
      <c r="F514" s="16" t="n"/>
      <c r="G514" s="16" t="n"/>
      <c r="H514" s="16" t="n"/>
      <c r="I514" s="16" t="n"/>
      <c r="J514" s="16" t="n"/>
      <c r="K514" s="16" t="n">
        <v>11.378525</v>
      </c>
      <c r="L514" s="16" t="n">
        <v>7</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40" customWidth="1" min="1" max="1"/>
    <col width="48" customWidth="1" min="2" max="2"/>
    <col width="10" customWidth="1" min="3" max="3"/>
    <col width="15" customWidth="1" min="4" max="4"/>
    <col width="11" customWidth="1" min="5" max="5"/>
    <col width="21" customWidth="1" min="6" max="6"/>
    <col width="10" customWidth="1" min="7" max="7"/>
  </cols>
  <sheetData>
    <row r="1">
      <c r="A1" s="19" t="inlineStr">
        <is>
          <t>Tabla 6.1-1 · Condiciones: qué quedó fijo y qué se barrió</t>
        </is>
      </c>
    </row>
    <row r="2">
      <c r="A2" s="20" t="inlineStr">
        <is>
          <t>Estudio 6.1 · Verificación con el motor de referencia · Partes: 6.1a, 6.1b, 6.1c</t>
        </is>
      </c>
    </row>
    <row r="3">
      <c r="A3" s="20" t="inlineStr">
        <is>
          <t>Punto base: puntos clave del ciclo con teqp y con el motor real</t>
        </is>
      </c>
    </row>
    <row r="4">
      <c r="A4" s="21" t="inlineStr">
        <is>
          <t>Puntos de control: cada punto conserva los datos de su caso de origen (ver la columna de origen); no hay datos fijos ni barridos comunes.</t>
        </is>
      </c>
    </row>
    <row r="5">
      <c r="A5" s="20" t="inlineStr">
        <is>
          <t>Fuente: analisis_final/00_inventario/condiciones_por_subcaso.csv</t>
        </is>
      </c>
    </row>
    <row r="7">
      <c r="A7" s="22" t="inlineStr">
        <is>
          <t>Parte</t>
        </is>
      </c>
      <c r="B7" s="22" t="inlineStr">
        <is>
          <t>Variable</t>
        </is>
      </c>
      <c r="C7" s="22" t="inlineStr">
        <is>
          <t>Estado</t>
        </is>
      </c>
      <c r="D7" s="22" t="inlineStr">
        <is>
          <t>Valor o rango</t>
        </is>
      </c>
      <c r="E7" s="22" t="inlineStr">
        <is>
          <t>n valores</t>
        </is>
      </c>
      <c r="F7" s="22" t="inlineStr">
        <is>
          <t>¿Igual al profesor?</t>
        </is>
      </c>
      <c r="G7" s="22" t="inlineStr">
        <is>
          <t>Unidad</t>
        </is>
      </c>
    </row>
    <row r="8">
      <c r="A8" s="16" t="inlineStr">
        <is>
          <t>6.1a · teqp frente al motor real</t>
        </is>
      </c>
      <c r="B8" s="16" t="inlineStr">
        <is>
          <t>Temperatura de la fuente, T_fuente [K]</t>
        </is>
      </c>
      <c r="C8" s="16" t="inlineStr">
        <is>
          <t>Barrida</t>
        </is>
      </c>
      <c r="D8" s="16" t="inlineStr">
        <is>
          <t>390.0 – 623.1</t>
        </is>
      </c>
      <c r="E8" s="16" t="n">
        <v>8</v>
      </c>
      <c r="F8" s="16" t="n"/>
      <c r="G8" s="16" t="inlineStr">
        <is>
          <t>K</t>
        </is>
      </c>
    </row>
    <row r="9">
      <c r="A9" s="16" t="inlineStr">
        <is>
          <t>6.1a · teqp frente al motor real</t>
        </is>
      </c>
      <c r="B9" s="16" t="inlineStr">
        <is>
          <t>Temperatura del sumidero, T_sumidero [K]</t>
        </is>
      </c>
      <c r="C9" s="16" t="inlineStr">
        <is>
          <t>Barrida</t>
        </is>
      </c>
      <c r="D9" s="16" t="inlineStr">
        <is>
          <t>278.1 – 302.6</t>
        </is>
      </c>
      <c r="E9" s="16" t="n">
        <v>5</v>
      </c>
      <c r="F9" s="16" t="n"/>
      <c r="G9" s="16" t="inlineStr">
        <is>
          <t>K</t>
        </is>
      </c>
    </row>
    <row r="10">
      <c r="A10" s="16" t="inlineStr">
        <is>
          <t>6.1a · teqp frente al motor real</t>
        </is>
      </c>
      <c r="B10" s="16" t="inlineStr">
        <is>
          <t>Presión de alta, P_alta [kPa]</t>
        </is>
      </c>
      <c r="C10" s="16" t="inlineStr">
        <is>
          <t>Barrida</t>
        </is>
      </c>
      <c r="D10" s="16" t="inlineStr">
        <is>
          <t>3000 – 5000</t>
        </is>
      </c>
      <c r="E10" s="16" t="n">
        <v>6</v>
      </c>
      <c r="F10" s="16" t="n"/>
      <c r="G10" s="16" t="inlineStr">
        <is>
          <t>kPa</t>
        </is>
      </c>
    </row>
    <row r="11">
      <c r="A11" s="16" t="inlineStr">
        <is>
          <t>6.1a · teqp frente al motor real</t>
        </is>
      </c>
      <c r="B11" s="16" t="inlineStr">
        <is>
          <t>Presión de baja, P_baja [kPa]</t>
        </is>
      </c>
      <c r="C11" s="16" t="inlineStr">
        <is>
          <t>Barrida</t>
        </is>
      </c>
      <c r="D11" s="16" t="inlineStr">
        <is>
          <t>393.8 – 2495</t>
        </is>
      </c>
      <c r="E11" s="16" t="n">
        <v>9</v>
      </c>
      <c r="F11" s="16" t="n"/>
      <c r="G11" s="16" t="inlineStr">
        <is>
          <t>kPa</t>
        </is>
      </c>
    </row>
    <row r="12">
      <c r="A12" s="16" t="inlineStr">
        <is>
          <t>6.1a · teqp frente al motor real</t>
        </is>
      </c>
      <c r="B12" s="16" t="inlineStr">
        <is>
          <t>Fracción de amoníaco de la mezcla base, x_b [–]</t>
        </is>
      </c>
      <c r="C12" s="16" t="inlineStr">
        <is>
          <t>Barrida</t>
        </is>
      </c>
      <c r="D12" s="16" t="inlineStr">
        <is>
          <t>0.500 – 0.850</t>
        </is>
      </c>
      <c r="E12" s="16" t="n">
        <v>5</v>
      </c>
      <c r="F12" s="16" t="n"/>
      <c r="G12" s="16" t="inlineStr">
        <is>
          <t>–</t>
        </is>
      </c>
    </row>
    <row r="13">
      <c r="A13" s="16" t="inlineStr">
        <is>
          <t>6.1a · teqp frente al motor real</t>
        </is>
      </c>
      <c r="B13" s="16" t="inlineStr">
        <is>
          <t>Flujo másico base, m_b [kg/s]</t>
        </is>
      </c>
      <c r="C13" s="16" t="inlineStr">
        <is>
          <t>Fija</t>
        </is>
      </c>
      <c r="D13" s="16" t="inlineStr">
        <is>
          <t>1.0</t>
        </is>
      </c>
      <c r="E13" s="16" t="n"/>
      <c r="F13" s="16" t="inlineStr">
        <is>
          <t>sí</t>
        </is>
      </c>
      <c r="G13" s="16" t="inlineStr">
        <is>
          <t>kg/s</t>
        </is>
      </c>
    </row>
    <row r="14">
      <c r="A14" s="16" t="inlineStr">
        <is>
          <t>6.1a · teqp frente al motor real</t>
        </is>
      </c>
      <c r="B14" s="16" t="inlineStr">
        <is>
          <t>Eficiencia isentrópica de la turbina, η_t [–]</t>
        </is>
      </c>
      <c r="C14" s="16" t="inlineStr">
        <is>
          <t>Barrida</t>
        </is>
      </c>
      <c r="D14" s="16" t="inlineStr">
        <is>
          <t>0.781 – 0.950</t>
        </is>
      </c>
      <c r="E14" s="16" t="n">
        <v>6</v>
      </c>
      <c r="F14" s="16" t="n"/>
      <c r="G14" s="16" t="inlineStr">
        <is>
          <t>–</t>
        </is>
      </c>
    </row>
    <row r="15">
      <c r="A15" s="16" t="inlineStr">
        <is>
          <t>6.1a · teqp frente al motor real</t>
        </is>
      </c>
      <c r="B15" s="16" t="inlineStr">
        <is>
          <t>Eficiencia isentrópica de la bomba, η_p [–]</t>
        </is>
      </c>
      <c r="C15" s="16" t="inlineStr">
        <is>
          <t>Barrida</t>
        </is>
      </c>
      <c r="D15" s="16" t="inlineStr">
        <is>
          <t>0.576 – 0.872</t>
        </is>
      </c>
      <c r="E15" s="16" t="n">
        <v>6</v>
      </c>
      <c r="F15" s="16" t="n"/>
      <c r="G15" s="16" t="inlineStr">
        <is>
          <t>–</t>
        </is>
      </c>
    </row>
    <row r="16">
      <c r="A16" s="16" t="inlineStr">
        <is>
          <t>6.1a · teqp frente al motor real</t>
        </is>
      </c>
      <c r="B16" s="16" t="inlineStr">
        <is>
          <t>Efectividad del generador de vapor, ε_HRVG [–]</t>
        </is>
      </c>
      <c r="C16" s="16" t="inlineStr">
        <is>
          <t>Barrida</t>
        </is>
      </c>
      <c r="D16" s="16" t="inlineStr">
        <is>
          <t>0.400 – 0.950</t>
        </is>
      </c>
      <c r="E16" s="16" t="n">
        <v>7</v>
      </c>
      <c r="F16" s="16" t="n"/>
      <c r="G16" s="16" t="inlineStr">
        <is>
          <t>–</t>
        </is>
      </c>
    </row>
    <row r="17">
      <c r="A17" s="16" t="inlineStr">
        <is>
          <t>6.1a · teqp frente al motor real</t>
        </is>
      </c>
      <c r="B17" s="16" t="inlineStr">
        <is>
          <t>Efectividad del regenerador, ε_reg [–]</t>
        </is>
      </c>
      <c r="C17" s="16" t="inlineStr">
        <is>
          <t>Barrida</t>
        </is>
      </c>
      <c r="D17" s="16" t="inlineStr">
        <is>
          <t>0.685 – 0.950</t>
        </is>
      </c>
      <c r="E17" s="16" t="n">
        <v>6</v>
      </c>
      <c r="F17" s="16" t="n"/>
      <c r="G17" s="16" t="inlineStr">
        <is>
          <t>–</t>
        </is>
      </c>
    </row>
    <row r="18">
      <c r="A18" s="16" t="inlineStr">
        <is>
          <t>6.1a · teqp frente al motor real</t>
        </is>
      </c>
      <c r="B18" s="16" t="inlineStr">
        <is>
          <t>Efectividad del condensador, ε_cond [–]</t>
        </is>
      </c>
      <c r="C18" s="16" t="inlineStr">
        <is>
          <t>Barrida</t>
        </is>
      </c>
      <c r="D18" s="16" t="inlineStr">
        <is>
          <t>0.800 – 0.950</t>
        </is>
      </c>
      <c r="E18" s="16" t="n">
        <v>7</v>
      </c>
      <c r="F18" s="16" t="n"/>
      <c r="G18" s="16" t="inlineStr">
        <is>
          <t>–</t>
        </is>
      </c>
    </row>
    <row r="19">
      <c r="A19" s="16" t="inlineStr">
        <is>
          <t>6.1a · teqp frente al motor real</t>
        </is>
      </c>
      <c r="B19" s="16" t="inlineStr">
        <is>
          <t>Piso de O2 (T de diseño de la bomba) [K]</t>
        </is>
      </c>
      <c r="C19" s="16" t="inlineStr">
        <is>
          <t>Barrida</t>
        </is>
      </c>
      <c r="D19" s="16" t="inlineStr">
        <is>
          <t>278.1 – 302.6</t>
        </is>
      </c>
      <c r="E19" s="16" t="n">
        <v>5</v>
      </c>
      <c r="F19" s="16" t="n"/>
      <c r="G19" s="16" t="inlineStr">
        <is>
          <t>K</t>
        </is>
      </c>
    </row>
    <row r="20">
      <c r="A20" s="16" t="inlineStr">
        <is>
          <t>6.1a · teqp frente al motor real</t>
        </is>
      </c>
      <c r="B20" s="16" t="inlineStr">
        <is>
          <t>motor de propiedades</t>
        </is>
      </c>
      <c r="C20" s="16" t="inlineStr">
        <is>
          <t>Barrida</t>
        </is>
      </c>
      <c r="D20" s="16" t="inlineStr">
        <is>
          <t xml:space="preserve"> – </t>
        </is>
      </c>
      <c r="E20" s="16" t="n">
        <v>2</v>
      </c>
      <c r="F20" s="16" t="n"/>
      <c r="G20" s="16" t="inlineStr">
        <is>
          <t>–</t>
        </is>
      </c>
    </row>
    <row r="21">
      <c r="A21" s="16" t="inlineStr">
        <is>
          <t>6.1b · piso de cavitación a 30.4 °C</t>
        </is>
      </c>
      <c r="B21" s="16" t="inlineStr">
        <is>
          <t>Temperatura de la fuente, T_fuente [K]</t>
        </is>
      </c>
      <c r="C21" s="16" t="inlineStr">
        <is>
          <t>Barrida</t>
        </is>
      </c>
      <c r="D21" s="16" t="inlineStr">
        <is>
          <t>390.0 – 623.1</t>
        </is>
      </c>
      <c r="E21" s="16" t="n">
        <v>8</v>
      </c>
      <c r="F21" s="16" t="n"/>
      <c r="G21" s="16" t="inlineStr">
        <is>
          <t>K</t>
        </is>
      </c>
    </row>
    <row r="22">
      <c r="A22" s="16" t="inlineStr">
        <is>
          <t>6.1b · piso de cavitación a 30.4 °C</t>
        </is>
      </c>
      <c r="B22" s="16" t="inlineStr">
        <is>
          <t>Temperatura del sumidero, T_sumidero [K]</t>
        </is>
      </c>
      <c r="C22" s="16" t="inlineStr">
        <is>
          <t>Barrida</t>
        </is>
      </c>
      <c r="D22" s="16" t="inlineStr">
        <is>
          <t>278.1 – 302.6</t>
        </is>
      </c>
      <c r="E22" s="16" t="n">
        <v>5</v>
      </c>
      <c r="F22" s="16" t="n"/>
      <c r="G22" s="16" t="inlineStr">
        <is>
          <t>K</t>
        </is>
      </c>
    </row>
    <row r="23">
      <c r="A23" s="16" t="inlineStr">
        <is>
          <t>6.1b · piso de cavitación a 30.4 °C</t>
        </is>
      </c>
      <c r="B23" s="16" t="inlineStr">
        <is>
          <t>Presión de alta, P_alta [kPa]</t>
        </is>
      </c>
      <c r="C23" s="16" t="inlineStr">
        <is>
          <t>Barrida</t>
        </is>
      </c>
      <c r="D23" s="16" t="inlineStr">
        <is>
          <t>3000 – 5000</t>
        </is>
      </c>
      <c r="E23" s="16" t="n">
        <v>6</v>
      </c>
      <c r="F23" s="16" t="n"/>
      <c r="G23" s="16" t="inlineStr">
        <is>
          <t>kPa</t>
        </is>
      </c>
    </row>
    <row r="24">
      <c r="A24" s="16" t="inlineStr">
        <is>
          <t>6.1b · piso de cavitación a 30.4 °C</t>
        </is>
      </c>
      <c r="B24" s="16" t="inlineStr">
        <is>
          <t>Presión de baja, P_baja [kPa]</t>
        </is>
      </c>
      <c r="C24" s="16" t="inlineStr">
        <is>
          <t>Barrida</t>
        </is>
      </c>
      <c r="D24" s="16" t="inlineStr">
        <is>
          <t>393.8 – 2495</t>
        </is>
      </c>
      <c r="E24" s="16" t="n">
        <v>9</v>
      </c>
      <c r="F24" s="16" t="n"/>
      <c r="G24" s="16" t="inlineStr">
        <is>
          <t>kPa</t>
        </is>
      </c>
    </row>
    <row r="25">
      <c r="A25" s="16" t="inlineStr">
        <is>
          <t>6.1b · piso de cavitación a 30.4 °C</t>
        </is>
      </c>
      <c r="B25" s="16" t="inlineStr">
        <is>
          <t>Fracción de amoníaco de la mezcla base, x_b [–]</t>
        </is>
      </c>
      <c r="C25" s="16" t="inlineStr">
        <is>
          <t>Barrida</t>
        </is>
      </c>
      <c r="D25" s="16" t="inlineStr">
        <is>
          <t>0.500 – 0.850</t>
        </is>
      </c>
      <c r="E25" s="16" t="n">
        <v>5</v>
      </c>
      <c r="F25" s="16" t="n"/>
      <c r="G25" s="16" t="inlineStr">
        <is>
          <t>–</t>
        </is>
      </c>
    </row>
    <row r="26">
      <c r="A26" s="16" t="inlineStr">
        <is>
          <t>6.1b · piso de cavitación a 30.4 °C</t>
        </is>
      </c>
      <c r="B26" s="16" t="inlineStr">
        <is>
          <t>Flujo másico base, m_b [kg/s]</t>
        </is>
      </c>
      <c r="C26" s="16" t="inlineStr">
        <is>
          <t>Fija</t>
        </is>
      </c>
      <c r="D26" s="16" t="inlineStr">
        <is>
          <t>1.0</t>
        </is>
      </c>
      <c r="E26" s="16" t="n"/>
      <c r="F26" s="16" t="inlineStr">
        <is>
          <t>sí</t>
        </is>
      </c>
      <c r="G26" s="16" t="inlineStr">
        <is>
          <t>kg/s</t>
        </is>
      </c>
    </row>
    <row r="27">
      <c r="A27" s="16" t="inlineStr">
        <is>
          <t>6.1b · piso de cavitación a 30.4 °C</t>
        </is>
      </c>
      <c r="B27" s="16" t="inlineStr">
        <is>
          <t>Eficiencia isentrópica de la turbina, η_t [–]</t>
        </is>
      </c>
      <c r="C27" s="16" t="inlineStr">
        <is>
          <t>Barrida</t>
        </is>
      </c>
      <c r="D27" s="16" t="inlineStr">
        <is>
          <t>0.781 – 0.950</t>
        </is>
      </c>
      <c r="E27" s="16" t="n">
        <v>6</v>
      </c>
      <c r="F27" s="16" t="n"/>
      <c r="G27" s="16" t="inlineStr">
        <is>
          <t>–</t>
        </is>
      </c>
    </row>
    <row r="28">
      <c r="A28" s="16" t="inlineStr">
        <is>
          <t>6.1b · piso de cavitación a 30.4 °C</t>
        </is>
      </c>
      <c r="B28" s="16" t="inlineStr">
        <is>
          <t>Eficiencia isentrópica de la bomba, η_p [–]</t>
        </is>
      </c>
      <c r="C28" s="16" t="inlineStr">
        <is>
          <t>Barrida</t>
        </is>
      </c>
      <c r="D28" s="16" t="inlineStr">
        <is>
          <t>0.576 – 0.872</t>
        </is>
      </c>
      <c r="E28" s="16" t="n">
        <v>6</v>
      </c>
      <c r="F28" s="16" t="n"/>
      <c r="G28" s="16" t="inlineStr">
        <is>
          <t>–</t>
        </is>
      </c>
    </row>
    <row r="29">
      <c r="A29" s="16" t="inlineStr">
        <is>
          <t>6.1b · piso de cavitación a 30.4 °C</t>
        </is>
      </c>
      <c r="B29" s="16" t="inlineStr">
        <is>
          <t>Efectividad del generador de vapor, ε_HRVG [–]</t>
        </is>
      </c>
      <c r="C29" s="16" t="inlineStr">
        <is>
          <t>Barrida</t>
        </is>
      </c>
      <c r="D29" s="16" t="inlineStr">
        <is>
          <t>0.400 – 0.950</t>
        </is>
      </c>
      <c r="E29" s="16" t="n">
        <v>7</v>
      </c>
      <c r="F29" s="16" t="n"/>
      <c r="G29" s="16" t="inlineStr">
        <is>
          <t>–</t>
        </is>
      </c>
    </row>
    <row r="30">
      <c r="A30" s="16" t="inlineStr">
        <is>
          <t>6.1b · piso de cavitación a 30.4 °C</t>
        </is>
      </c>
      <c r="B30" s="16" t="inlineStr">
        <is>
          <t>Efectividad del regenerador, ε_reg [–]</t>
        </is>
      </c>
      <c r="C30" s="16" t="inlineStr">
        <is>
          <t>Barrida</t>
        </is>
      </c>
      <c r="D30" s="16" t="inlineStr">
        <is>
          <t>0.685 – 0.950</t>
        </is>
      </c>
      <c r="E30" s="16" t="n">
        <v>6</v>
      </c>
      <c r="F30" s="16" t="n"/>
      <c r="G30" s="16" t="inlineStr">
        <is>
          <t>–</t>
        </is>
      </c>
    </row>
    <row r="31">
      <c r="A31" s="16" t="inlineStr">
        <is>
          <t>6.1b · piso de cavitación a 30.4 °C</t>
        </is>
      </c>
      <c r="B31" s="16" t="inlineStr">
        <is>
          <t>Efectividad del condensador, ε_cond [–]</t>
        </is>
      </c>
      <c r="C31" s="16" t="inlineStr">
        <is>
          <t>Barrida</t>
        </is>
      </c>
      <c r="D31" s="16" t="inlineStr">
        <is>
          <t>0.800 – 0.950</t>
        </is>
      </c>
      <c r="E31" s="16" t="n">
        <v>7</v>
      </c>
      <c r="F31" s="16" t="n"/>
      <c r="G31" s="16" t="inlineStr">
        <is>
          <t>–</t>
        </is>
      </c>
    </row>
    <row r="32">
      <c r="A32" s="16" t="inlineStr">
        <is>
          <t>6.1b · piso de cavitación a 30.4 °C</t>
        </is>
      </c>
      <c r="B32" s="16" t="inlineStr">
        <is>
          <t>Piso de O2 (T de diseño de la bomba) [K]</t>
        </is>
      </c>
      <c r="C32" s="16" t="inlineStr">
        <is>
          <t>Fija</t>
        </is>
      </c>
      <c r="D32" s="16" t="inlineStr">
        <is>
          <t>303.55</t>
        </is>
      </c>
      <c r="E32" s="16" t="n"/>
      <c r="F32" s="16" t="inlineStr">
        <is>
          <t>no</t>
        </is>
      </c>
      <c r="G32" s="16" t="inlineStr">
        <is>
          <t>K</t>
        </is>
      </c>
    </row>
    <row r="33">
      <c r="A33" s="16" t="inlineStr">
        <is>
          <t>6.1b · piso de cavitación a 30.4 °C</t>
        </is>
      </c>
      <c r="B33" s="16" t="inlineStr">
        <is>
          <t>motor de propiedades</t>
        </is>
      </c>
      <c r="C33" s="16" t="inlineStr">
        <is>
          <t>Fija</t>
        </is>
      </c>
      <c r="D33" s="16" t="inlineStr">
        <is>
          <t>teqp</t>
        </is>
      </c>
      <c r="E33" s="16" t="n"/>
      <c r="F33" s="16" t="n"/>
      <c r="G33" s="16" t="inlineStr">
        <is>
          <t>–</t>
        </is>
      </c>
    </row>
    <row r="34">
      <c r="A34" s="16" t="inlineStr">
        <is>
          <t>6.1c · costo de exigir subenfriamiento</t>
        </is>
      </c>
      <c r="B34" s="16" t="inlineStr">
        <is>
          <t>Temperatura de la fuente, T_fuente [K]</t>
        </is>
      </c>
      <c r="C34" s="16" t="inlineStr">
        <is>
          <t>Sin dato</t>
        </is>
      </c>
      <c r="D34" s="16" t="n"/>
      <c r="E34" s="16" t="n"/>
      <c r="F34" s="16" t="n"/>
      <c r="G34" s="16" t="inlineStr">
        <is>
          <t>K</t>
        </is>
      </c>
    </row>
    <row r="35">
      <c r="A35" s="16" t="inlineStr">
        <is>
          <t>6.1c · costo de exigir subenfriamiento</t>
        </is>
      </c>
      <c r="B35" s="16" t="inlineStr">
        <is>
          <t>Temperatura del sumidero, T_sumidero [K]</t>
        </is>
      </c>
      <c r="C35" s="16" t="inlineStr">
        <is>
          <t>Sin dato</t>
        </is>
      </c>
      <c r="D35" s="16" t="n"/>
      <c r="E35" s="16" t="n"/>
      <c r="F35" s="16" t="n"/>
      <c r="G35" s="16" t="inlineStr">
        <is>
          <t>K</t>
        </is>
      </c>
    </row>
    <row r="36">
      <c r="A36" s="16" t="inlineStr">
        <is>
          <t>6.1c · costo de exigir subenfriamiento</t>
        </is>
      </c>
      <c r="B36" s="16" t="inlineStr">
        <is>
          <t>Presión de alta, P_alta [kPa]</t>
        </is>
      </c>
      <c r="C36" s="16" t="inlineStr">
        <is>
          <t>Sin dato</t>
        </is>
      </c>
      <c r="D36" s="16" t="n"/>
      <c r="E36" s="16" t="n"/>
      <c r="F36" s="16" t="n"/>
      <c r="G36" s="16" t="inlineStr">
        <is>
          <t>kPa</t>
        </is>
      </c>
    </row>
    <row r="37">
      <c r="A37" s="16" t="inlineStr">
        <is>
          <t>6.1c · costo de exigir subenfriamiento</t>
        </is>
      </c>
      <c r="B37" s="16" t="inlineStr">
        <is>
          <t>Presión de baja, P_baja [kPa]</t>
        </is>
      </c>
      <c r="C37" s="16" t="inlineStr">
        <is>
          <t>Barrida</t>
        </is>
      </c>
      <c r="D37" s="16" t="inlineStr">
        <is>
          <t>393.8 – 2500</t>
        </is>
      </c>
      <c r="E37" s="16" t="n">
        <v>72</v>
      </c>
      <c r="F37" s="16" t="n"/>
      <c r="G37" s="16" t="inlineStr">
        <is>
          <t>kPa</t>
        </is>
      </c>
    </row>
    <row r="38">
      <c r="A38" s="16" t="inlineStr">
        <is>
          <t>6.1c · costo de exigir subenfriamiento</t>
        </is>
      </c>
      <c r="B38" s="16" t="inlineStr">
        <is>
          <t>Fracción de amoníaco de la mezcla base, x_b [–]</t>
        </is>
      </c>
      <c r="C38" s="16" t="inlineStr">
        <is>
          <t>Sin dato</t>
        </is>
      </c>
      <c r="D38" s="16" t="n"/>
      <c r="E38" s="16" t="n"/>
      <c r="F38" s="16" t="n"/>
      <c r="G38" s="16" t="inlineStr">
        <is>
          <t>–</t>
        </is>
      </c>
    </row>
    <row r="39">
      <c r="A39" s="16" t="inlineStr">
        <is>
          <t>6.1c · costo de exigir subenfriamiento</t>
        </is>
      </c>
      <c r="B39" s="16" t="inlineStr">
        <is>
          <t>Flujo másico base, m_b [kg/s]</t>
        </is>
      </c>
      <c r="C39" s="16" t="inlineStr">
        <is>
          <t>Sin dato</t>
        </is>
      </c>
      <c r="D39" s="16" t="n"/>
      <c r="E39" s="16" t="n"/>
      <c r="F39" s="16" t="n"/>
      <c r="G39" s="16" t="inlineStr">
        <is>
          <t>kg/s</t>
        </is>
      </c>
    </row>
    <row r="40">
      <c r="A40" s="16" t="inlineStr">
        <is>
          <t>6.1c · costo de exigir subenfriamiento</t>
        </is>
      </c>
      <c r="B40" s="16" t="inlineStr">
        <is>
          <t>Eficiencia isentrópica de la turbina, η_t [–]</t>
        </is>
      </c>
      <c r="C40" s="16" t="inlineStr">
        <is>
          <t>Sin dato</t>
        </is>
      </c>
      <c r="D40" s="16" t="n"/>
      <c r="E40" s="16" t="n"/>
      <c r="F40" s="16" t="n"/>
      <c r="G40" s="16" t="inlineStr">
        <is>
          <t>–</t>
        </is>
      </c>
    </row>
    <row r="41">
      <c r="A41" s="16" t="inlineStr">
        <is>
          <t>6.1c · costo de exigir subenfriamiento</t>
        </is>
      </c>
      <c r="B41" s="16" t="inlineStr">
        <is>
          <t>Eficiencia isentrópica de la bomba, η_p [–]</t>
        </is>
      </c>
      <c r="C41" s="16" t="inlineStr">
        <is>
          <t>Sin dato</t>
        </is>
      </c>
      <c r="D41" s="16" t="n"/>
      <c r="E41" s="16" t="n"/>
      <c r="F41" s="16" t="n"/>
      <c r="G41" s="16" t="inlineStr">
        <is>
          <t>–</t>
        </is>
      </c>
    </row>
    <row r="42">
      <c r="A42" s="16" t="inlineStr">
        <is>
          <t>6.1c · costo de exigir subenfriamiento</t>
        </is>
      </c>
      <c r="B42" s="16" t="inlineStr">
        <is>
          <t>Efectividad del generador de vapor, ε_HRVG [–]</t>
        </is>
      </c>
      <c r="C42" s="16" t="inlineStr">
        <is>
          <t>Sin dato</t>
        </is>
      </c>
      <c r="D42" s="16" t="n"/>
      <c r="E42" s="16" t="n"/>
      <c r="F42" s="16" t="n"/>
      <c r="G42" s="16" t="inlineStr">
        <is>
          <t>–</t>
        </is>
      </c>
    </row>
    <row r="43">
      <c r="A43" s="16" t="inlineStr">
        <is>
          <t>6.1c · costo de exigir subenfriamiento</t>
        </is>
      </c>
      <c r="B43" s="16" t="inlineStr">
        <is>
          <t>Efectividad del regenerador, ε_reg [–]</t>
        </is>
      </c>
      <c r="C43" s="16" t="inlineStr">
        <is>
          <t>Sin dato</t>
        </is>
      </c>
      <c r="D43" s="16" t="n"/>
      <c r="E43" s="16" t="n"/>
      <c r="F43" s="16" t="n"/>
      <c r="G43" s="16" t="inlineStr">
        <is>
          <t>–</t>
        </is>
      </c>
    </row>
    <row r="44">
      <c r="A44" s="16" t="inlineStr">
        <is>
          <t>6.1c · costo de exigir subenfriamiento</t>
        </is>
      </c>
      <c r="B44" s="16" t="inlineStr">
        <is>
          <t>Efectividad del condensador, ε_cond [–]</t>
        </is>
      </c>
      <c r="C44" s="16" t="inlineStr">
        <is>
          <t>Sin dato</t>
        </is>
      </c>
      <c r="D44" s="16" t="n"/>
      <c r="E44" s="16" t="n"/>
      <c r="F44" s="16" t="n"/>
      <c r="G44" s="16" t="inlineStr">
        <is>
          <t>–</t>
        </is>
      </c>
    </row>
    <row r="45">
      <c r="A45" s="16" t="inlineStr">
        <is>
          <t>6.1c · costo de exigir subenfriamiento</t>
        </is>
      </c>
      <c r="B45" s="16" t="inlineStr">
        <is>
          <t>Piso de O2 (T de diseño de la bomba) [K]</t>
        </is>
      </c>
      <c r="C45" s="16" t="inlineStr">
        <is>
          <t>Sin dato</t>
        </is>
      </c>
      <c r="D45" s="16" t="n"/>
      <c r="E45" s="16" t="n"/>
      <c r="F45" s="16" t="n"/>
      <c r="G45" s="16" t="inlineStr">
        <is>
          <t>K</t>
        </is>
      </c>
    </row>
    <row r="46">
      <c r="A46" s="16" t="inlineStr">
        <is>
          <t>6.1c · costo de exigir subenfriamiento</t>
        </is>
      </c>
      <c r="B46" s="16" t="inlineStr">
        <is>
          <t>motor de propiedades</t>
        </is>
      </c>
      <c r="C46" s="16" t="inlineStr">
        <is>
          <t>Sin dato</t>
        </is>
      </c>
      <c r="D46" s="16" t="n"/>
      <c r="E46" s="16" t="n"/>
      <c r="F46" s="16" t="n"/>
      <c r="G46" s="16" t="inlineStr">
        <is>
          <t>–</t>
        </is>
      </c>
    </row>
    <row r="48">
      <c r="A48" s="23" t="inlineStr">
        <is>
          <t>Notas: Filtro: cada parte y cada variable. n = 39 filas en la tabla. † = fuera del rango confiable (IAPWS G4-01); ‡ = falso convergido. Fuente: analisis_final/00_inventario/condiciones_por_subcaso.csv.</t>
        </is>
      </c>
    </row>
  </sheetData>
  <autoFilter ref="A7:G46"/>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40"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6.1-2 · Corridas por parte y por clase</t>
        </is>
      </c>
    </row>
    <row r="2">
      <c r="A2" s="20" t="inlineStr">
        <is>
          <t>Estudio 6.1 · Verificación con el motor de referencia · Partes: 6.1a, 6.1b, 6.1c</t>
        </is>
      </c>
    </row>
    <row r="3">
      <c r="A3" s="20" t="inlineStr">
        <is>
          <t>Punto base: puntos clave del ciclo con teqp y con el motor real</t>
        </is>
      </c>
    </row>
    <row r="4">
      <c r="A4" s="21" t="inlineStr">
        <is>
          <t>Puntos de control: cada punto conserva los datos de su caso de origen (ver la columna de origen); no hay datos fijos ni barridos comunes.</t>
        </is>
      </c>
    </row>
    <row r="5">
      <c r="A5" s="20" t="inlineStr">
        <is>
          <t>Fuente: analisis_final/00_inventario/conteo_por_subcaso.csv</t>
        </is>
      </c>
    </row>
    <row r="7">
      <c r="A7" s="22" t="inlineStr">
        <is>
          <t>Parte</t>
        </is>
      </c>
      <c r="B7" s="22" t="inlineStr">
        <is>
          <t>Corridas</t>
        </is>
      </c>
      <c r="C7" s="22" t="inlineStr">
        <is>
          <t>Omitidos</t>
        </is>
      </c>
      <c r="D7" s="22" t="inlineStr">
        <is>
          <t>Genuinos</t>
        </is>
      </c>
      <c r="E7" s="22" t="inlineStr">
        <is>
          <t>KALINA</t>
        </is>
      </c>
      <c r="F7" s="22" t="inlineStr">
        <is>
          <t>KALINA confiables</t>
        </is>
      </c>
      <c r="G7" s="22" t="inlineStr">
        <is>
          <t>Corregibles</t>
        </is>
      </c>
      <c r="H7" s="22" t="inlineStr">
        <is>
          <t>Inviables</t>
        </is>
      </c>
      <c r="I7" s="22" t="inlineStr">
        <is>
          <t>No convergidos</t>
        </is>
      </c>
      <c r="J7" s="22" t="inlineStr">
        <is>
          <t>Falsos convergidos</t>
        </is>
      </c>
      <c r="K7" s="22" t="inlineStr">
        <is>
          <t>Fuera de rango</t>
        </is>
      </c>
    </row>
    <row r="8">
      <c r="A8" s="16" t="inlineStr">
        <is>
          <t>6.1a · teqp frente al motor real</t>
        </is>
      </c>
      <c r="B8" s="16" t="n">
        <v>24</v>
      </c>
      <c r="C8" s="16" t="n">
        <v>0</v>
      </c>
      <c r="D8" s="16" t="n">
        <v>14</v>
      </c>
      <c r="E8" s="16" t="n">
        <v>14</v>
      </c>
      <c r="F8" s="16" t="n">
        <v>11</v>
      </c>
      <c r="G8" s="16" t="n">
        <v>0</v>
      </c>
      <c r="H8" s="16" t="n">
        <v>0</v>
      </c>
      <c r="I8" s="16" t="n">
        <v>10</v>
      </c>
      <c r="J8" s="16" t="n">
        <v>0</v>
      </c>
      <c r="K8" s="16" t="n">
        <v>3</v>
      </c>
    </row>
    <row r="9">
      <c r="A9" s="16" t="inlineStr">
        <is>
          <t>6.1b · piso de cavitación a 30.4 °C</t>
        </is>
      </c>
      <c r="B9" s="16" t="n">
        <v>12</v>
      </c>
      <c r="C9" s="16" t="n">
        <v>0</v>
      </c>
      <c r="D9" s="16" t="n">
        <v>12</v>
      </c>
      <c r="E9" s="16" t="n">
        <v>3</v>
      </c>
      <c r="F9" s="16" t="n">
        <v>1</v>
      </c>
      <c r="G9" s="16" t="n">
        <v>9</v>
      </c>
      <c r="H9" s="16" t="n">
        <v>0</v>
      </c>
      <c r="I9" s="16" t="n">
        <v>0</v>
      </c>
      <c r="J9" s="16" t="n">
        <v>0</v>
      </c>
      <c r="K9" s="16" t="n">
        <v>3</v>
      </c>
    </row>
    <row r="10">
      <c r="A10" s="16" t="inlineStr">
        <is>
          <t>6.1c · costo de exigir subenfriamiento</t>
        </is>
      </c>
      <c r="B10" s="16" t="n">
        <v>131</v>
      </c>
      <c r="C10" s="16" t="n">
        <v>0</v>
      </c>
      <c r="D10" s="16" t="n">
        <v>125</v>
      </c>
      <c r="E10" s="16" t="n">
        <v>125</v>
      </c>
      <c r="F10" s="16" t="n">
        <v>125</v>
      </c>
      <c r="G10" s="16" t="n">
        <v>0</v>
      </c>
      <c r="H10" s="16" t="n">
        <v>0</v>
      </c>
      <c r="I10" s="16" t="n">
        <v>6</v>
      </c>
      <c r="J10" s="16" t="n">
        <v>0</v>
      </c>
      <c r="K10" s="16" t="n">
        <v>0</v>
      </c>
    </row>
    <row r="12">
      <c r="A12" s="23" t="inlineStr">
        <is>
          <t>Notas: Filtro: conteo por parte. n = 3 filas en la tabla. † = fuera del rango confiable (IAPWS G4-01); ‡ = falso convergido. Fuente: analisis_final/00_inventario/conteo_por_subcaso.csv.</t>
        </is>
      </c>
    </row>
  </sheetData>
  <autoFilter ref="A7:K10"/>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cols>
    <col width="15" customWidth="1" min="1" max="1"/>
    <col width="48" customWidth="1" min="2" max="2"/>
    <col width="16" customWidth="1" min="3" max="3"/>
    <col width="25" customWidth="1" min="4" max="4"/>
    <col width="19" customWidth="1" min="5" max="5"/>
    <col width="16" customWidth="1" min="6" max="6"/>
    <col width="25" customWidth="1" min="7" max="7"/>
    <col width="12" customWidth="1" min="8" max="8"/>
    <col width="20" customWidth="1" min="9" max="9"/>
    <col width="24" customWidth="1" min="10" max="10"/>
    <col width="33" customWidth="1" min="11" max="11"/>
    <col width="24" customWidth="1" min="12" max="12"/>
    <col width="33" customWidth="1" min="13" max="13"/>
    <col width="16" customWidth="1" min="14" max="14"/>
    <col width="14" customWidth="1" min="15" max="15"/>
  </cols>
  <sheetData>
    <row r="1">
      <c r="A1" s="19" t="inlineStr">
        <is>
          <t>Tabla 6.1-3 · Paridad teqp contra el motor real</t>
        </is>
      </c>
    </row>
    <row r="2">
      <c r="A2" s="20" t="inlineStr">
        <is>
          <t>Estudio 6.1 · Verificación con el motor de referencia · Partes: 6.1a</t>
        </is>
      </c>
    </row>
    <row r="3">
      <c r="A3" s="20" t="inlineStr">
        <is>
          <t>Punto base: puntos clave del ciclo con teqp y con el motor real</t>
        </is>
      </c>
    </row>
    <row r="4">
      <c r="A4" s="21" t="inlineStr">
        <is>
          <t>Puntos de control: cada punto conserva los datos de su caso de origen (ver la columna de origen); no hay datos fijos ni barridos comunes.</t>
        </is>
      </c>
    </row>
    <row r="5">
      <c r="A5" s="20" t="inlineStr">
        <is>
          <t>Fuente: resultados/2026-10-08_final_M6/m6_comparacion.csv</t>
        </is>
      </c>
    </row>
    <row r="7">
      <c r="A7" s="22" t="inlineStr">
        <is>
          <t>Identificador</t>
        </is>
      </c>
      <c r="B7" s="22" t="inlineStr">
        <is>
          <t>Origen</t>
        </is>
      </c>
      <c r="C7" s="22" t="inlineStr">
        <is>
          <t>Clase con teqp</t>
        </is>
      </c>
      <c r="D7" s="22" t="inlineStr">
        <is>
          <t>Clase con el motor real</t>
        </is>
      </c>
      <c r="E7" s="22" t="inlineStr">
        <is>
          <t>Coincide la clase</t>
        </is>
      </c>
      <c r="F7" s="22" t="inlineStr">
        <is>
          <t>η con teqp [%]</t>
        </is>
      </c>
      <c r="G7" s="22" t="inlineStr">
        <is>
          <t>η con el motor real [%]</t>
        </is>
      </c>
      <c r="H7" s="22" t="inlineStr">
        <is>
          <t>Δη [pp]</t>
        </is>
      </c>
      <c r="I7" s="22" t="inlineStr">
        <is>
          <t>Dentro de la banda</t>
        </is>
      </c>
      <c r="J7" s="22" t="inlineStr">
        <is>
          <t>Margen O1 con teqp [–]</t>
        </is>
      </c>
      <c r="K7" s="22" t="inlineStr">
        <is>
          <t>Margen O1 con el motor real [–]</t>
        </is>
      </c>
      <c r="L7" s="22" t="inlineStr">
        <is>
          <t>Margen O2 con teqp [K]</t>
        </is>
      </c>
      <c r="M7" s="22" t="inlineStr">
        <is>
          <t>Margen O2 con el motor real [K]</t>
        </is>
      </c>
      <c r="N7" s="22" t="inlineStr">
        <is>
          <t>Fuera de rango</t>
        </is>
      </c>
      <c r="O7" s="22" t="inlineStr">
        <is>
          <t>B verificado</t>
        </is>
      </c>
    </row>
    <row r="8">
      <c r="A8" s="16" t="inlineStr">
        <is>
          <t>P01</t>
        </is>
      </c>
      <c r="B8" s="16" t="inlineStr">
        <is>
          <t>Ancla A*</t>
        </is>
      </c>
      <c r="C8" s="42" t="inlineStr">
        <is>
          <t>KALINA</t>
        </is>
      </c>
      <c r="D8" s="32" t="inlineStr">
        <is>
          <t>NO_CONVERGIO</t>
        </is>
      </c>
      <c r="E8" s="16" t="inlineStr">
        <is>
          <t>no</t>
        </is>
      </c>
      <c r="F8" s="29" t="n">
        <v>8.4819</v>
      </c>
      <c r="G8" s="16" t="n"/>
      <c r="H8" s="16" t="n"/>
      <c r="I8" s="16" t="n"/>
      <c r="J8" s="37" t="n">
        <v>0.034521</v>
      </c>
      <c r="K8" s="16" t="n"/>
      <c r="L8" s="35" t="n">
        <v>0.31095</v>
      </c>
      <c r="M8" s="16" t="n"/>
      <c r="N8" s="16" t="inlineStr">
        <is>
          <t>no</t>
        </is>
      </c>
      <c r="O8" s="16" t="inlineStr">
        <is>
          <t>sí</t>
        </is>
      </c>
    </row>
    <row r="9">
      <c r="A9" s="16" t="inlineStr">
        <is>
          <t>P02</t>
        </is>
      </c>
      <c r="B9" s="16" t="inlineStr">
        <is>
          <t>estudios 2.1 y 2.2, mayor η</t>
        </is>
      </c>
      <c r="C9" s="42" t="inlineStr">
        <is>
          <t>KALINA</t>
        </is>
      </c>
      <c r="D9" s="32" t="inlineStr">
        <is>
          <t>NO_CONVERGIO</t>
        </is>
      </c>
      <c r="E9" s="16" t="inlineStr">
        <is>
          <t>no</t>
        </is>
      </c>
      <c r="F9" s="29" t="n">
        <v>9.150399999999999</v>
      </c>
      <c r="G9" s="16" t="n"/>
      <c r="H9" s="16" t="n"/>
      <c r="I9" s="16" t="n"/>
      <c r="J9" s="37" t="n">
        <v>0.035422</v>
      </c>
      <c r="K9" s="16" t="n"/>
      <c r="L9" s="35" t="n">
        <v>0.040008</v>
      </c>
      <c r="M9" s="16" t="n"/>
      <c r="N9" s="16" t="inlineStr">
        <is>
          <t>no</t>
        </is>
      </c>
      <c r="O9" s="16" t="inlineStr">
        <is>
          <t>sí</t>
        </is>
      </c>
    </row>
    <row r="10">
      <c r="A10" s="16" t="inlineStr">
        <is>
          <t>P03</t>
        </is>
      </c>
      <c r="B10" s="16" t="inlineStr">
        <is>
          <t>estudio 4.2, presiones del profesor, techo</t>
        </is>
      </c>
      <c r="C10" s="42" t="inlineStr">
        <is>
          <t>KALINA</t>
        </is>
      </c>
      <c r="D10" s="42" t="inlineStr">
        <is>
          <t>KALINA</t>
        </is>
      </c>
      <c r="E10" s="16" t="inlineStr">
        <is>
          <t>sí</t>
        </is>
      </c>
      <c r="F10" s="29" t="n">
        <v>10.807</v>
      </c>
      <c r="G10" s="29" t="n">
        <v>10.807</v>
      </c>
      <c r="H10" s="16" t="n">
        <v>9.1457e-05</v>
      </c>
      <c r="I10" s="16" t="inlineStr">
        <is>
          <t>sí</t>
        </is>
      </c>
      <c r="J10" s="37" t="n">
        <v>0.022448</v>
      </c>
      <c r="K10" s="37" t="n">
        <v>0.022376</v>
      </c>
      <c r="L10" s="35" t="n">
        <v>0.35654</v>
      </c>
      <c r="M10" s="35" t="n">
        <v>0.35863</v>
      </c>
      <c r="N10" s="16" t="inlineStr">
        <is>
          <t>no</t>
        </is>
      </c>
      <c r="O10" s="16" t="inlineStr">
        <is>
          <t>sí</t>
        </is>
      </c>
    </row>
    <row r="11">
      <c r="A11" s="16" t="inlineStr">
        <is>
          <t>P04</t>
        </is>
      </c>
      <c r="B11" s="16" t="inlineStr">
        <is>
          <t>estudio 4.2, presiones del profesor, ε_cond mínima</t>
        </is>
      </c>
      <c r="C11" s="42" t="inlineStr">
        <is>
          <t>KALINA</t>
        </is>
      </c>
      <c r="D11" s="32" t="inlineStr">
        <is>
          <t>NO_CONVERGIO</t>
        </is>
      </c>
      <c r="E11" s="16" t="inlineStr">
        <is>
          <t>no</t>
        </is>
      </c>
      <c r="F11" s="29" t="n">
        <v>2.5393</v>
      </c>
      <c r="G11" s="16" t="n"/>
      <c r="H11" s="16" t="n"/>
      <c r="I11" s="16" t="n"/>
      <c r="J11" s="37" t="n">
        <v>0.035793</v>
      </c>
      <c r="K11" s="16" t="n"/>
      <c r="L11" s="35" t="n">
        <v>0.051527</v>
      </c>
      <c r="M11" s="16" t="n"/>
      <c r="N11" s="16" t="inlineStr">
        <is>
          <t>no</t>
        </is>
      </c>
      <c r="O11" s="16" t="inlineStr">
        <is>
          <t>sí</t>
        </is>
      </c>
    </row>
    <row r="12">
      <c r="A12" s="16" t="inlineStr">
        <is>
          <t>P05</t>
        </is>
      </c>
      <c r="B12" s="16" t="inlineStr">
        <is>
          <t>estudio 5.1, óptimo A1</t>
        </is>
      </c>
      <c r="C12" s="42" t="inlineStr">
        <is>
          <t>KALINA</t>
        </is>
      </c>
      <c r="D12" s="32" t="inlineStr">
        <is>
          <t>NO_CONVERGIO</t>
        </is>
      </c>
      <c r="E12" s="16" t="inlineStr">
        <is>
          <t>no</t>
        </is>
      </c>
      <c r="F12" s="29" t="n">
        <v>14.978</v>
      </c>
      <c r="G12" s="16" t="n"/>
      <c r="H12" s="16" t="n"/>
      <c r="I12" s="16" t="n"/>
      <c r="J12" s="37" t="n">
        <v>0.01792</v>
      </c>
      <c r="K12" s="16" t="n"/>
      <c r="L12" s="35" t="n">
        <v>0.42314</v>
      </c>
      <c r="M12" s="16" t="n"/>
      <c r="N12" s="16" t="inlineStr">
        <is>
          <t>no</t>
        </is>
      </c>
      <c r="O12" s="16" t="inlineStr">
        <is>
          <t>sí</t>
        </is>
      </c>
    </row>
    <row r="13">
      <c r="A13" s="16" t="inlineStr">
        <is>
          <t>P06</t>
        </is>
      </c>
      <c r="B13" s="16" t="inlineStr">
        <is>
          <t>estudio 5.1, óptimo A2</t>
        </is>
      </c>
      <c r="C13" s="42" t="inlineStr">
        <is>
          <t>KALINA</t>
        </is>
      </c>
      <c r="D13" s="32" t="inlineStr">
        <is>
          <t>NO_CONVERGIO</t>
        </is>
      </c>
      <c r="E13" s="16" t="inlineStr">
        <is>
          <t>no</t>
        </is>
      </c>
      <c r="F13" s="29" t="n">
        <v>15.482</v>
      </c>
      <c r="G13" s="16" t="n"/>
      <c r="H13" s="16" t="n"/>
      <c r="I13" s="16" t="n"/>
      <c r="J13" s="37" t="n">
        <v>0.004691</v>
      </c>
      <c r="K13" s="16" t="n"/>
      <c r="L13" s="35" t="n">
        <v>3.8111</v>
      </c>
      <c r="M13" s="16" t="n"/>
      <c r="N13" s="16" t="inlineStr">
        <is>
          <t>no</t>
        </is>
      </c>
      <c r="O13" s="16" t="inlineStr">
        <is>
          <t>sí</t>
        </is>
      </c>
    </row>
    <row r="14">
      <c r="A14" s="16" t="inlineStr">
        <is>
          <t>P07</t>
        </is>
      </c>
      <c r="B14" s="16" t="inlineStr">
        <is>
          <t>estudio 5.1, óptimo A3</t>
        </is>
      </c>
      <c r="C14" s="42" t="inlineStr">
        <is>
          <t>KALINA</t>
        </is>
      </c>
      <c r="D14" s="32" t="inlineStr">
        <is>
          <t>NO_CONVERGIO</t>
        </is>
      </c>
      <c r="E14" s="16" t="inlineStr">
        <is>
          <t>no</t>
        </is>
      </c>
      <c r="F14" s="29" t="n">
        <v>12.739</v>
      </c>
      <c r="G14" s="16" t="n"/>
      <c r="H14" s="16" t="n"/>
      <c r="I14" s="16" t="n"/>
      <c r="J14" s="37" t="n">
        <v>0.030675</v>
      </c>
      <c r="K14" s="16" t="n"/>
      <c r="L14" s="35" t="n">
        <v>3.8054</v>
      </c>
      <c r="M14" s="16" t="n"/>
      <c r="N14" s="16" t="inlineStr">
        <is>
          <t>no</t>
        </is>
      </c>
      <c r="O14" s="16" t="inlineStr">
        <is>
          <t>sí</t>
        </is>
      </c>
    </row>
    <row r="15">
      <c r="A15" s="16" t="inlineStr">
        <is>
          <t>P08</t>
        </is>
      </c>
      <c r="B15" s="16" t="inlineStr">
        <is>
          <t>estudio 5.1, óptimo A4</t>
        </is>
      </c>
      <c r="C15" s="42" t="inlineStr">
        <is>
          <t>KALINA</t>
        </is>
      </c>
      <c r="D15" s="42" t="inlineStr">
        <is>
          <t>KALINA</t>
        </is>
      </c>
      <c r="E15" s="16" t="inlineStr">
        <is>
          <t>sí</t>
        </is>
      </c>
      <c r="F15" s="29" t="n">
        <v>15.6</v>
      </c>
      <c r="G15" s="29" t="n">
        <v>15.6</v>
      </c>
      <c r="H15" s="16" t="n">
        <v>0.00027837</v>
      </c>
      <c r="I15" s="16" t="inlineStr">
        <is>
          <t>sí</t>
        </is>
      </c>
      <c r="J15" s="37" t="n">
        <v>0.0058213</v>
      </c>
      <c r="K15" s="37" t="n">
        <v>0.0057386</v>
      </c>
      <c r="L15" s="35" t="n">
        <v>0.12479</v>
      </c>
      <c r="M15" s="35" t="n">
        <v>0.12701</v>
      </c>
      <c r="N15" s="16" t="inlineStr">
        <is>
          <t>no</t>
        </is>
      </c>
      <c r="O15" s="16" t="inlineStr">
        <is>
          <t>sí</t>
        </is>
      </c>
    </row>
    <row r="16">
      <c r="A16" s="16" t="inlineStr">
        <is>
          <t>P09</t>
        </is>
      </c>
      <c r="B16" s="16" t="inlineStr">
        <is>
          <t>estudio 5.1, óptimo A5</t>
        </is>
      </c>
      <c r="C16" s="42" t="inlineStr">
        <is>
          <t>KALINA</t>
        </is>
      </c>
      <c r="D16" s="32" t="inlineStr">
        <is>
          <t>NO_CONVERGIO</t>
        </is>
      </c>
      <c r="E16" s="16" t="inlineStr">
        <is>
          <t>no</t>
        </is>
      </c>
      <c r="F16" s="29" t="n">
        <v>11.094</v>
      </c>
      <c r="G16" s="16" t="n"/>
      <c r="H16" s="16" t="n"/>
      <c r="I16" s="16" t="n"/>
      <c r="J16" s="37" t="n">
        <v>0.00057973</v>
      </c>
      <c r="K16" s="16" t="n"/>
      <c r="L16" s="35" t="n">
        <v>5.6586</v>
      </c>
      <c r="M16" s="16" t="n"/>
      <c r="N16" s="16" t="inlineStr">
        <is>
          <t>sí</t>
        </is>
      </c>
      <c r="O16" s="16" t="inlineStr">
        <is>
          <t>sí</t>
        </is>
      </c>
    </row>
    <row r="17">
      <c r="A17" s="16" t="inlineStr">
        <is>
          <t>P10</t>
        </is>
      </c>
      <c r="B17" s="16" t="inlineStr">
        <is>
          <t>estudio 3.2, top 1</t>
        </is>
      </c>
      <c r="C17" s="42" t="inlineStr">
        <is>
          <t>KALINA</t>
        </is>
      </c>
      <c r="D17" s="32" t="inlineStr">
        <is>
          <t>NO_CONVERGIO</t>
        </is>
      </c>
      <c r="E17" s="16" t="inlineStr">
        <is>
          <t>no</t>
        </is>
      </c>
      <c r="F17" s="29" t="n">
        <v>12.302</v>
      </c>
      <c r="G17" s="16" t="n"/>
      <c r="H17" s="16" t="n"/>
      <c r="I17" s="16" t="n"/>
      <c r="J17" s="37" t="n">
        <v>0.027029</v>
      </c>
      <c r="K17" s="16" t="n"/>
      <c r="L17" s="35" t="n">
        <v>5.5474</v>
      </c>
      <c r="M17" s="16" t="n"/>
      <c r="N17" s="16" t="inlineStr">
        <is>
          <t>no</t>
        </is>
      </c>
      <c r="O17" s="16" t="inlineStr">
        <is>
          <t>sí</t>
        </is>
      </c>
    </row>
    <row r="18">
      <c r="A18" s="16" t="inlineStr">
        <is>
          <t>P11</t>
        </is>
      </c>
      <c r="B18" s="16" t="inlineStr">
        <is>
          <t>estudio 3.3, mayor P_baja KALINA</t>
        </is>
      </c>
      <c r="C18" s="42" t="inlineStr">
        <is>
          <t>KALINA</t>
        </is>
      </c>
      <c r="D18" s="32" t="inlineStr">
        <is>
          <t>NO_CONVERGIO</t>
        </is>
      </c>
      <c r="E18" s="16" t="inlineStr">
        <is>
          <t>no</t>
        </is>
      </c>
      <c r="F18" s="29" t="n">
        <v>2.669</v>
      </c>
      <c r="G18" s="16" t="n"/>
      <c r="H18" s="16" t="n"/>
      <c r="I18" s="16" t="n"/>
      <c r="J18" s="37" t="n">
        <v>0.076699</v>
      </c>
      <c r="K18" s="16" t="n"/>
      <c r="L18" s="35" t="n">
        <v>49.378</v>
      </c>
      <c r="M18" s="16" t="n"/>
      <c r="N18" s="16" t="inlineStr">
        <is>
          <t>sí</t>
        </is>
      </c>
      <c r="O18" s="16" t="inlineStr">
        <is>
          <t>no</t>
        </is>
      </c>
    </row>
    <row r="19">
      <c r="A19" s="16" t="inlineStr">
        <is>
          <t>P12</t>
        </is>
      </c>
      <c r="B19" s="16" t="inlineStr">
        <is>
          <t>estudio 2.3, fuente del profesor</t>
        </is>
      </c>
      <c r="C19" s="42" t="inlineStr">
        <is>
          <t>KALINA</t>
        </is>
      </c>
      <c r="D19" s="32" t="inlineStr">
        <is>
          <t>NO_CONVERGIO</t>
        </is>
      </c>
      <c r="E19" s="16" t="inlineStr">
        <is>
          <t>no</t>
        </is>
      </c>
      <c r="F19" s="29" t="n">
        <v>6.2705</v>
      </c>
      <c r="G19" s="16" t="n"/>
      <c r="H19" s="16" t="n"/>
      <c r="I19" s="16" t="n"/>
      <c r="J19" s="37" t="n">
        <v>0.052353</v>
      </c>
      <c r="K19" s="16" t="n"/>
      <c r="L19" s="35" t="n">
        <v>0.24209</v>
      </c>
      <c r="M19" s="16" t="n"/>
      <c r="N19" s="16" t="inlineStr">
        <is>
          <t>sí</t>
        </is>
      </c>
      <c r="O19" s="16" t="inlineStr">
        <is>
          <t>sí</t>
        </is>
      </c>
    </row>
    <row r="21">
      <c r="A21" s="23" t="inlineStr">
        <is>
          <t>Notas: Filtro: puntos emparejados teqp y motor real. n = 12 filas en la tabla. † = fuera del rango confiable (IAPWS G4-01); ‡ = falso convergido. Fuente: resultados/2026-10-08_final_M6/m6_comparacion.csv.</t>
        </is>
      </c>
    </row>
    <row r="24">
      <c r="A24" s="24" t="inlineStr">
        <is>
          <t>Figura 6.1-1 · teqp y el motor real coinciden en los 5 puntos que el motor real resolvió</t>
        </is>
      </c>
    </row>
    <row r="45">
      <c r="A45" s="25" t="inlineStr">
        <is>
          <t>Estudio 6.1 · partes 6.1a y 6.1d (puntos de control, cada uno con sus propios datos, no comparables entre sí).</t>
        </is>
      </c>
    </row>
    <row r="46">
      <c r="A46" s="25" t="inlineStr">
        <is>
          <t>Puntos: P03 = estudio 4.2, presiones del profesor, techo; P08 = estudio 5.1, óptimo A4; A* = Ancla A*; A4 = Óptimo A4 de estudio 5.1; HUS = Base de Húsavík.</t>
        </is>
      </c>
    </row>
    <row r="47">
      <c r="A47" s="25" t="inlineStr">
        <is>
          <t>Sin η real (motor real cortado por el límite de 300 s, no por la física): P01, P02, P04, P05, P06, P07, P09, P10, P11, P12.</t>
        </is>
      </c>
    </row>
    <row r="48">
      <c r="A48" s="25" t="inlineStr">
        <is>
          <t>Hay 5 corridas con η real sobre 4 diseños distintos: un mismo diseño (el óptimo A4 de 5.1d) se corrió con los dos presupuestos de tiempo (300 s y 1500 s).</t>
        </is>
      </c>
    </row>
    <row r="49">
      <c r="A49" s="25" t="inlineStr">
        <is>
          <t>Filtro: pares con η de ambos motores. Marcas: recta 1:1 y banda ±0.7 pp (incertidumbre del modelo de propiedades).</t>
        </is>
      </c>
    </row>
    <row r="50">
      <c r="A50" s="25" t="inlineStr">
        <is>
          <t>n = 5. Fuente: m6_comparacion.csv y m9_motor_real.csv.</t>
        </is>
      </c>
    </row>
  </sheetData>
  <autoFilter ref="A7:O19"/>
  <pageMargins left="0.75" right="0.75" top="1" bottom="1" header="0.5" footer="0.5"/>
  <drawing xmlns:r="http://schemas.openxmlformats.org/officeDocument/2006/relationships" r:id="rId1"/>
</worksheet>
</file>

<file path=xl/worksheets/sheet80.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cols>
    <col width="15" customWidth="1" min="1" max="1"/>
    <col width="44" customWidth="1" min="2" max="2"/>
    <col width="29" customWidth="1" min="3" max="3"/>
    <col width="12" customWidth="1" min="4" max="4"/>
    <col width="23" customWidth="1" min="5" max="5"/>
    <col width="24" customWidth="1" min="6" max="6"/>
    <col width="15" customWidth="1" min="7" max="7"/>
    <col width="16" customWidth="1" min="8" max="8"/>
    <col width="17" customWidth="1" min="9" max="9"/>
    <col width="10" customWidth="1" min="10" max="10"/>
    <col width="39" customWidth="1" min="11" max="11"/>
    <col width="25" customWidth="1" min="12" max="12"/>
    <col width="13" customWidth="1" min="13" max="13"/>
    <col width="48" customWidth="1" min="14" max="14"/>
  </cols>
  <sheetData>
    <row r="1">
      <c r="A1" s="19" t="inlineStr">
        <is>
          <t>Tabla 6.1-4 · Costo del subenfriamiento</t>
        </is>
      </c>
    </row>
    <row r="2">
      <c r="A2" s="20" t="inlineStr">
        <is>
          <t>Estudio 6.1 · Verificación con el motor de referencia · Partes: 6.1c</t>
        </is>
      </c>
    </row>
    <row r="3">
      <c r="A3" s="20" t="inlineStr">
        <is>
          <t>Punto base: puntos clave del ciclo con teqp y con el motor real</t>
        </is>
      </c>
    </row>
    <row r="4">
      <c r="A4" s="21" t="inlineStr">
        <is>
          <t>Puntos de control: cada punto conserva los datos de su caso de origen (ver la columna de origen); no hay datos fijos ni barridos comunes.</t>
        </is>
      </c>
    </row>
    <row r="5">
      <c r="A5" s="20" t="inlineStr">
        <is>
          <t>Fuente: resultados/2026-10-08_final_M6/m6_subenfriamiento.csv</t>
        </is>
      </c>
    </row>
    <row r="7">
      <c r="A7" s="22" t="inlineStr">
        <is>
          <t>Identificador</t>
        </is>
      </c>
      <c r="B7" s="22" t="inlineStr">
        <is>
          <t>Origen</t>
        </is>
      </c>
      <c r="C7" s="22" t="inlineStr">
        <is>
          <t>Subenfriamiento, ΔT_sub [K]</t>
        </is>
      </c>
      <c r="D7" s="22" t="inlineStr">
        <is>
          <t>Alcanzable</t>
        </is>
      </c>
      <c r="E7" s="22" t="inlineStr">
        <is>
          <t>P_baja original [kPa]</t>
        </is>
      </c>
      <c r="F7" s="22" t="inlineStr">
        <is>
          <t>P_baja requerida [kPa]</t>
        </is>
      </c>
      <c r="G7" s="22" t="inlineStr">
        <is>
          <t>ΔP_baja [kPa]</t>
        </is>
      </c>
      <c r="H7" s="22" t="inlineStr">
        <is>
          <t>η original [%]</t>
        </is>
      </c>
      <c r="I7" s="22" t="inlineStr">
        <is>
          <t>η requerida [%]</t>
        </is>
      </c>
      <c r="J7" s="22" t="inlineStr">
        <is>
          <t>Δη [pp]</t>
        </is>
      </c>
      <c r="K7" s="22" t="inlineStr">
        <is>
          <t>Razón de presiones requerida, r_P [–]</t>
        </is>
      </c>
      <c r="L7" s="22" t="inlineStr">
        <is>
          <t>Margen O1 requerido [–]</t>
        </is>
      </c>
      <c r="M7" s="22" t="inlineStr">
        <is>
          <t>Iteraciones</t>
        </is>
      </c>
      <c r="N7" s="22" t="inlineStr">
        <is>
          <t>Nota</t>
        </is>
      </c>
    </row>
    <row r="8">
      <c r="A8" s="16" t="inlineStr">
        <is>
          <t>P05</t>
        </is>
      </c>
      <c r="B8" s="16" t="inlineStr">
        <is>
          <t>estudio 5.1, óptimo A1</t>
        </is>
      </c>
      <c r="C8" s="35" t="n">
        <v>2</v>
      </c>
      <c r="D8" s="16" t="inlineStr">
        <is>
          <t>sí</t>
        </is>
      </c>
      <c r="E8" s="35" t="n">
        <v>808.34</v>
      </c>
      <c r="F8" s="36" t="n">
        <v>1251.1</v>
      </c>
      <c r="G8" s="35" t="n">
        <v>442.74</v>
      </c>
      <c r="H8" s="29" t="n">
        <v>14.978</v>
      </c>
      <c r="I8" s="29" t="n">
        <v>11.308</v>
      </c>
      <c r="J8" s="16" t="n">
        <v>-3.6702</v>
      </c>
      <c r="K8" s="37" t="n">
        <v>3.5024</v>
      </c>
      <c r="L8" s="37" t="n">
        <v>0.031645</v>
      </c>
      <c r="M8" s="16" t="n">
        <v>9</v>
      </c>
      <c r="N8" s="16" t="inlineStr">
        <is>
          <t>hueco NO_CONVERGIO en 1231.3 kPa, 1244.5 kPa, 1247.8 kPa</t>
        </is>
      </c>
    </row>
    <row r="9">
      <c r="A9" s="16" t="inlineStr">
        <is>
          <t>P03</t>
        </is>
      </c>
      <c r="B9" s="16" t="inlineStr">
        <is>
          <t>estudio 4.2, presiones del profesor, techo</t>
        </is>
      </c>
      <c r="C9" s="35" t="n">
        <v>5</v>
      </c>
      <c r="D9" s="16" t="inlineStr">
        <is>
          <t>sí</t>
        </is>
      </c>
      <c r="E9" s="35" t="n">
        <v>400</v>
      </c>
      <c r="F9" s="35" t="n">
        <v>468.36</v>
      </c>
      <c r="G9" s="35" t="n">
        <v>68.35899999999999</v>
      </c>
      <c r="H9" s="29" t="n">
        <v>10.807</v>
      </c>
      <c r="I9" s="29" t="n">
        <v>10.008</v>
      </c>
      <c r="J9" s="16" t="n">
        <v>-0.79872</v>
      </c>
      <c r="K9" s="37" t="n">
        <v>6.4053</v>
      </c>
      <c r="L9" s="37" t="n">
        <v>0.026352</v>
      </c>
      <c r="M9" s="16" t="n">
        <v>9</v>
      </c>
      <c r="N9" s="16" t="n"/>
    </row>
    <row r="10">
      <c r="A10" s="16" t="inlineStr">
        <is>
          <t>P03</t>
        </is>
      </c>
      <c r="B10" s="16" t="inlineStr">
        <is>
          <t>estudio 4.2, presiones del profesor, techo</t>
        </is>
      </c>
      <c r="C10" s="35" t="n">
        <v>2</v>
      </c>
      <c r="D10" s="16" t="inlineStr">
        <is>
          <t>sí</t>
        </is>
      </c>
      <c r="E10" s="35" t="n">
        <v>400</v>
      </c>
      <c r="F10" s="35" t="n">
        <v>424.61</v>
      </c>
      <c r="G10" s="35" t="n">
        <v>24.609</v>
      </c>
      <c r="H10" s="29" t="n">
        <v>10.807</v>
      </c>
      <c r="I10" s="29" t="n">
        <v>10.506</v>
      </c>
      <c r="J10" s="16" t="n">
        <v>-0.30073</v>
      </c>
      <c r="K10" s="37" t="n">
        <v>7.0653</v>
      </c>
      <c r="L10" s="37" t="n">
        <v>0.0239</v>
      </c>
      <c r="M10" s="16" t="n">
        <v>9</v>
      </c>
      <c r="N10" s="16" t="n"/>
    </row>
    <row r="11">
      <c r="A11" s="16" t="inlineStr">
        <is>
          <t>P06</t>
        </is>
      </c>
      <c r="B11" s="16" t="inlineStr">
        <is>
          <t>estudio 5.1, óptimo A2</t>
        </is>
      </c>
      <c r="C11" s="35" t="n">
        <v>2</v>
      </c>
      <c r="D11" s="16" t="inlineStr">
        <is>
          <t>sí</t>
        </is>
      </c>
      <c r="E11" s="35" t="n">
        <v>393.75</v>
      </c>
      <c r="F11" s="35" t="n">
        <v>393.75</v>
      </c>
      <c r="G11" s="35" t="n">
        <v>0</v>
      </c>
      <c r="H11" s="29" t="n">
        <v>15.482</v>
      </c>
      <c r="I11" s="29" t="n">
        <v>15.482</v>
      </c>
      <c r="J11" s="16" t="n">
        <v>0</v>
      </c>
      <c r="K11" s="37" t="n">
        <v>7.619</v>
      </c>
      <c r="L11" s="37" t="n">
        <v>0.004691</v>
      </c>
      <c r="M11" s="16" t="n">
        <v>0</v>
      </c>
      <c r="N11" s="16" t="n"/>
    </row>
    <row r="12">
      <c r="A12" s="16" t="inlineStr">
        <is>
          <t>P01</t>
        </is>
      </c>
      <c r="B12" s="16" t="inlineStr">
        <is>
          <t>Ancla A*</t>
        </is>
      </c>
      <c r="C12" s="35" t="n">
        <v>2</v>
      </c>
      <c r="D12" s="16" t="inlineStr">
        <is>
          <t>sí</t>
        </is>
      </c>
      <c r="E12" s="35" t="n">
        <v>563.64</v>
      </c>
      <c r="F12" s="35" t="n">
        <v>597.4400000000001</v>
      </c>
      <c r="G12" s="35" t="n">
        <v>33.807</v>
      </c>
      <c r="H12" s="29" t="n">
        <v>8.4819</v>
      </c>
      <c r="I12" s="29" t="n">
        <v>8.1934</v>
      </c>
      <c r="J12" s="16" t="n">
        <v>-0.28849</v>
      </c>
      <c r="K12" s="37" t="n">
        <v>5.0214</v>
      </c>
      <c r="L12" s="37" t="n">
        <v>0.035991</v>
      </c>
      <c r="M12" s="16" t="n">
        <v>8</v>
      </c>
      <c r="N12" s="16" t="n"/>
    </row>
    <row r="13">
      <c r="A13" s="16" t="inlineStr">
        <is>
          <t>P01</t>
        </is>
      </c>
      <c r="B13" s="16" t="inlineStr">
        <is>
          <t>Ancla A*</t>
        </is>
      </c>
      <c r="C13" s="35" t="n">
        <v>5</v>
      </c>
      <c r="D13" s="16" t="inlineStr">
        <is>
          <t>sí</t>
        </is>
      </c>
      <c r="E13" s="35" t="n">
        <v>563.64</v>
      </c>
      <c r="F13" s="35" t="n">
        <v>650.5700000000001</v>
      </c>
      <c r="G13" s="35" t="n">
        <v>86.932</v>
      </c>
      <c r="H13" s="29" t="n">
        <v>8.4819</v>
      </c>
      <c r="I13" s="29" t="n">
        <v>7.7689</v>
      </c>
      <c r="J13" s="16" t="n">
        <v>-0.713</v>
      </c>
      <c r="K13" s="37" t="n">
        <v>4.6114</v>
      </c>
      <c r="L13" s="37" t="n">
        <v>0.038206</v>
      </c>
      <c r="M13" s="16" t="n">
        <v>8</v>
      </c>
      <c r="N13" s="16" t="n"/>
    </row>
    <row r="14">
      <c r="A14" s="16" t="inlineStr">
        <is>
          <t>P07</t>
        </is>
      </c>
      <c r="B14" s="16" t="inlineStr">
        <is>
          <t>estudio 5.1, óptimo A3</t>
        </is>
      </c>
      <c r="C14" s="35" t="n">
        <v>2</v>
      </c>
      <c r="D14" s="16" t="inlineStr">
        <is>
          <t>sí</t>
        </is>
      </c>
      <c r="E14" s="36" t="n">
        <v>1359.6</v>
      </c>
      <c r="F14" s="36" t="n">
        <v>1359.6</v>
      </c>
      <c r="G14" s="35" t="n">
        <v>0</v>
      </c>
      <c r="H14" s="29" t="n">
        <v>12.739</v>
      </c>
      <c r="I14" s="29" t="n">
        <v>12.739</v>
      </c>
      <c r="J14" s="16" t="n">
        <v>0</v>
      </c>
      <c r="K14" s="37" t="n">
        <v>3.6777</v>
      </c>
      <c r="L14" s="37" t="n">
        <v>0.030675</v>
      </c>
      <c r="M14" s="16" t="n">
        <v>0</v>
      </c>
      <c r="N14" s="16" t="n"/>
    </row>
    <row r="15">
      <c r="A15" s="16" t="inlineStr">
        <is>
          <t>P02</t>
        </is>
      </c>
      <c r="B15" s="16" t="inlineStr">
        <is>
          <t>estudios 2.1 y 2.2, mayor η</t>
        </is>
      </c>
      <c r="C15" s="35" t="n">
        <v>2</v>
      </c>
      <c r="D15" s="16" t="inlineStr">
        <is>
          <t>sí</t>
        </is>
      </c>
      <c r="E15" s="35" t="n">
        <v>736.36</v>
      </c>
      <c r="F15" s="35" t="n">
        <v>782.0700000000001</v>
      </c>
      <c r="G15" s="35" t="n">
        <v>45.703</v>
      </c>
      <c r="H15" s="29" t="n">
        <v>9.150399999999999</v>
      </c>
      <c r="I15" s="29" t="n">
        <v>8.774900000000001</v>
      </c>
      <c r="J15" s="16" t="n">
        <v>-0.3755</v>
      </c>
      <c r="K15" s="37" t="n">
        <v>3.836</v>
      </c>
      <c r="L15" s="37" t="n">
        <v>0.037416</v>
      </c>
      <c r="M15" s="16" t="n">
        <v>8</v>
      </c>
      <c r="N15" s="16" t="n"/>
    </row>
    <row r="16">
      <c r="A16" s="16" t="inlineStr">
        <is>
          <t>P02</t>
        </is>
      </c>
      <c r="B16" s="16" t="inlineStr">
        <is>
          <t>estudios 2.1 y 2.2, mayor η</t>
        </is>
      </c>
      <c r="C16" s="35" t="n">
        <v>5</v>
      </c>
      <c r="D16" s="16" t="inlineStr">
        <is>
          <t>sí</t>
        </is>
      </c>
      <c r="E16" s="35" t="n">
        <v>736.36</v>
      </c>
      <c r="F16" s="35" t="n">
        <v>852.7</v>
      </c>
      <c r="G16" s="35" t="n">
        <v>116.34</v>
      </c>
      <c r="H16" s="29" t="n">
        <v>9.150399999999999</v>
      </c>
      <c r="I16" s="29" t="n">
        <v>8.232100000000001</v>
      </c>
      <c r="J16" s="16" t="n">
        <v>-0.91832</v>
      </c>
      <c r="K16" s="37" t="n">
        <v>3.5182</v>
      </c>
      <c r="L16" s="37" t="n">
        <v>0.040357</v>
      </c>
      <c r="M16" s="16" t="n">
        <v>8</v>
      </c>
      <c r="N16" s="16" t="n"/>
    </row>
    <row r="17">
      <c r="A17" s="16" t="inlineStr">
        <is>
          <t>P09</t>
        </is>
      </c>
      <c r="B17" s="16" t="inlineStr">
        <is>
          <t>estudio 5.1, óptimo A5</t>
        </is>
      </c>
      <c r="C17" s="35" t="n">
        <v>2</v>
      </c>
      <c r="D17" s="16" t="inlineStr">
        <is>
          <t>sí</t>
        </is>
      </c>
      <c r="E17" s="36" t="n">
        <v>1022.3</v>
      </c>
      <c r="F17" s="36" t="n">
        <v>1022.3</v>
      </c>
      <c r="G17" s="35" t="n">
        <v>0</v>
      </c>
      <c r="H17" s="29" t="n">
        <v>11.094</v>
      </c>
      <c r="I17" s="29" t="n">
        <v>11.094</v>
      </c>
      <c r="J17" s="16" t="n">
        <v>0</v>
      </c>
      <c r="K17" s="37" t="n">
        <v>4.7036</v>
      </c>
      <c r="L17" s="37" t="n">
        <v>0.00057973</v>
      </c>
      <c r="M17" s="16" t="n">
        <v>0</v>
      </c>
      <c r="N17" s="16" t="n"/>
    </row>
    <row r="18">
      <c r="A18" s="16" t="inlineStr">
        <is>
          <t>P09</t>
        </is>
      </c>
      <c r="B18" s="16" t="inlineStr">
        <is>
          <t>estudio 5.1, óptimo A5</t>
        </is>
      </c>
      <c r="C18" s="35" t="n">
        <v>5</v>
      </c>
      <c r="D18" s="16" t="inlineStr">
        <is>
          <t>sí</t>
        </is>
      </c>
      <c r="E18" s="36" t="n">
        <v>1022.3</v>
      </c>
      <c r="F18" s="36" t="n">
        <v>1022.3</v>
      </c>
      <c r="G18" s="35" t="n">
        <v>0</v>
      </c>
      <c r="H18" s="29" t="n">
        <v>11.094</v>
      </c>
      <c r="I18" s="29" t="n">
        <v>11.094</v>
      </c>
      <c r="J18" s="16" t="n">
        <v>0</v>
      </c>
      <c r="K18" s="37" t="n">
        <v>4.7036</v>
      </c>
      <c r="L18" s="37" t="n">
        <v>0.00057973</v>
      </c>
      <c r="M18" s="16" t="n">
        <v>0</v>
      </c>
      <c r="N18" s="16" t="n"/>
    </row>
    <row r="19">
      <c r="A19" s="16" t="inlineStr">
        <is>
          <t>P05</t>
        </is>
      </c>
      <c r="B19" s="16" t="inlineStr">
        <is>
          <t>estudio 5.1, óptimo A1</t>
        </is>
      </c>
      <c r="C19" s="35" t="n">
        <v>5</v>
      </c>
      <c r="D19" s="16" t="inlineStr">
        <is>
          <t>sí</t>
        </is>
      </c>
      <c r="E19" s="35" t="n">
        <v>808.34</v>
      </c>
      <c r="F19" s="36" t="n">
        <v>1251.1</v>
      </c>
      <c r="G19" s="35" t="n">
        <v>442.74</v>
      </c>
      <c r="H19" s="29" t="n">
        <v>14.978</v>
      </c>
      <c r="I19" s="29" t="n">
        <v>11.308</v>
      </c>
      <c r="J19" s="16" t="n">
        <v>-3.6702</v>
      </c>
      <c r="K19" s="37" t="n">
        <v>3.5024</v>
      </c>
      <c r="L19" s="37" t="n">
        <v>0.031645</v>
      </c>
      <c r="M19" s="16" t="n">
        <v>9</v>
      </c>
      <c r="N19" s="16" t="inlineStr">
        <is>
          <t>hueco NO_CONVERGIO en 1231.3 kPa, 1244.5 kPa, 1247.8 kPa</t>
        </is>
      </c>
    </row>
    <row r="20">
      <c r="A20" s="16" t="inlineStr">
        <is>
          <t>P08</t>
        </is>
      </c>
      <c r="B20" s="16" t="inlineStr">
        <is>
          <t>estudio 5.1, óptimo A4</t>
        </is>
      </c>
      <c r="C20" s="35" t="n">
        <v>5</v>
      </c>
      <c r="D20" s="16" t="inlineStr">
        <is>
          <t>sí</t>
        </is>
      </c>
      <c r="E20" s="35" t="n">
        <v>400</v>
      </c>
      <c r="F20" s="35" t="n">
        <v>471.09</v>
      </c>
      <c r="G20" s="35" t="n">
        <v>71.09399999999999</v>
      </c>
      <c r="H20" s="29" t="n">
        <v>15.6</v>
      </c>
      <c r="I20" s="29" t="n">
        <v>14.426</v>
      </c>
      <c r="J20" s="16" t="n">
        <v>-1.1741</v>
      </c>
      <c r="K20" s="37" t="n">
        <v>6.3682</v>
      </c>
      <c r="L20" s="37" t="n">
        <v>0.011037</v>
      </c>
      <c r="M20" s="16" t="n">
        <v>9</v>
      </c>
      <c r="N20" s="16" t="n"/>
    </row>
    <row r="21">
      <c r="A21" s="16" t="inlineStr">
        <is>
          <t>P08</t>
        </is>
      </c>
      <c r="B21" s="16" t="inlineStr">
        <is>
          <t>estudio 5.1, óptimo A4</t>
        </is>
      </c>
      <c r="C21" s="35" t="n">
        <v>2</v>
      </c>
      <c r="D21" s="16" t="inlineStr">
        <is>
          <t>sí</t>
        </is>
      </c>
      <c r="E21" s="35" t="n">
        <v>400</v>
      </c>
      <c r="F21" s="35" t="n">
        <v>427.34</v>
      </c>
      <c r="G21" s="35" t="n">
        <v>27.344</v>
      </c>
      <c r="H21" s="29" t="n">
        <v>15.6</v>
      </c>
      <c r="I21" s="29" t="n">
        <v>15.128</v>
      </c>
      <c r="J21" s="16" t="n">
        <v>-0.47215</v>
      </c>
      <c r="K21" s="37" t="n">
        <v>7.0201</v>
      </c>
      <c r="L21" s="37" t="n">
        <v>0.0078993</v>
      </c>
      <c r="M21" s="16" t="n">
        <v>9</v>
      </c>
      <c r="N21" s="16" t="n"/>
    </row>
    <row r="22">
      <c r="A22" s="16" t="inlineStr">
        <is>
          <t>P06</t>
        </is>
      </c>
      <c r="B22" s="16" t="inlineStr">
        <is>
          <t>estudio 5.1, óptimo A2</t>
        </is>
      </c>
      <c r="C22" s="35" t="n">
        <v>5</v>
      </c>
      <c r="D22" s="16" t="inlineStr">
        <is>
          <t>sí</t>
        </is>
      </c>
      <c r="E22" s="35" t="n">
        <v>393.75</v>
      </c>
      <c r="F22" s="35" t="n">
        <v>412.98</v>
      </c>
      <c r="G22" s="35" t="n">
        <v>19.226</v>
      </c>
      <c r="H22" s="29" t="n">
        <v>15.482</v>
      </c>
      <c r="I22" s="29" t="n">
        <v>15.15</v>
      </c>
      <c r="J22" s="16" t="n">
        <v>-0.33218</v>
      </c>
      <c r="K22" s="37" t="n">
        <v>7.2643</v>
      </c>
      <c r="L22" s="37" t="n">
        <v>0.0061947</v>
      </c>
      <c r="M22" s="16" t="n">
        <v>9</v>
      </c>
      <c r="N22" s="16" t="n"/>
    </row>
    <row r="23">
      <c r="A23" s="16" t="inlineStr">
        <is>
          <t>P07</t>
        </is>
      </c>
      <c r="B23" s="16" t="inlineStr">
        <is>
          <t>estudio 5.1, óptimo A3</t>
        </is>
      </c>
      <c r="C23" s="35" t="n">
        <v>5</v>
      </c>
      <c r="D23" s="16" t="inlineStr">
        <is>
          <t>sí</t>
        </is>
      </c>
      <c r="E23" s="36" t="n">
        <v>1359.6</v>
      </c>
      <c r="F23" s="36" t="n">
        <v>1408.6</v>
      </c>
      <c r="G23" s="35" t="n">
        <v>49.003</v>
      </c>
      <c r="H23" s="29" t="n">
        <v>12.739</v>
      </c>
      <c r="I23" s="29" t="n">
        <v>12.41</v>
      </c>
      <c r="J23" s="16" t="n">
        <v>-0.3291</v>
      </c>
      <c r="K23" s="37" t="n">
        <v>3.5497</v>
      </c>
      <c r="L23" s="37" t="n">
        <v>0.031805</v>
      </c>
      <c r="M23" s="16" t="n">
        <v>8</v>
      </c>
      <c r="N23" s="16" t="n"/>
    </row>
    <row r="25">
      <c r="A25" s="23" t="inlineStr">
        <is>
          <t>Notas: Filtro: puntos con el subenfriamiento aplicado. n = 16 filas en la tabla. † = fuera del rango confiable (IAPWS G4-01); ‡ = falso convergido. Fuente: resultados/2026-10-08_final_M6/m6_subenfriamiento.csv.</t>
        </is>
      </c>
    </row>
  </sheetData>
  <autoFilter ref="A7:N23"/>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R189"/>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6.1 · Verificación con el motor de referencia</t>
        </is>
      </c>
    </row>
    <row r="2">
      <c r="A2" t="inlineStr">
        <is>
          <t>Cada fila es un punto calculado (n = 167);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6">
      <c r="A6" s="33" t="inlineStr">
        <is>
          <t>Parte 6.1a · teqp frente al motor real · 24 puntos</t>
        </is>
      </c>
      <c r="B6" s="31" t="n"/>
      <c r="C6" s="31" t="n"/>
      <c r="D6" s="31" t="n"/>
      <c r="E6" s="31" t="n"/>
      <c r="F6" s="31" t="n"/>
      <c r="G6" s="31" t="n"/>
      <c r="H6" s="31" t="n"/>
      <c r="I6" s="31" t="n"/>
      <c r="J6" s="31" t="n"/>
      <c r="K6" s="31" t="n"/>
    </row>
    <row r="8">
      <c r="A8" s="34" t="inlineStr">
        <is>
          <t>Barrido de la parte 6.1a · 24 puntos</t>
        </is>
      </c>
    </row>
    <row r="9">
      <c r="A9" s="25" t="inlineStr">
        <is>
          <t>Todas las variables se mueven.</t>
        </is>
      </c>
    </row>
    <row r="10">
      <c r="A10" s="22" t="inlineStr">
        <is>
          <t>id_punto</t>
        </is>
      </c>
      <c r="B10" s="22" t="inlineStr">
        <is>
          <t>T_fuente [K]</t>
        </is>
      </c>
      <c r="C10" s="22" t="inlineStr">
        <is>
          <t>T_sumidero [K]</t>
        </is>
      </c>
      <c r="D10" s="22" t="inlineStr">
        <is>
          <t>P_alta [kPa]</t>
        </is>
      </c>
      <c r="E10" s="22" t="inlineStr">
        <is>
          <t>P_baja [kPa]</t>
        </is>
      </c>
      <c r="F10" s="22" t="inlineStr">
        <is>
          <t>x_b [–]</t>
        </is>
      </c>
      <c r="G10" s="22" t="inlineStr">
        <is>
          <t>η_t [–]</t>
        </is>
      </c>
      <c r="H10" s="22" t="inlineStr">
        <is>
          <t>η_p [–]</t>
        </is>
      </c>
      <c r="I10" s="22" t="inlineStr">
        <is>
          <t>ε_HRVG [–]</t>
        </is>
      </c>
      <c r="J10" s="22" t="inlineStr">
        <is>
          <t>ε_reg [–]</t>
        </is>
      </c>
      <c r="K10" s="22" t="inlineStr">
        <is>
          <t>ε_cond [–]</t>
        </is>
      </c>
      <c r="L10" s="22" t="inlineStr">
        <is>
          <t>Clase</t>
        </is>
      </c>
      <c r="M10" s="22" t="inlineStr">
        <is>
          <t>η [%]</t>
        </is>
      </c>
      <c r="N10" s="22" t="inlineStr">
        <is>
          <t>W_net [kW] (m_b = 1 kg/s)</t>
        </is>
      </c>
      <c r="O10" s="22" t="inlineStr">
        <is>
          <t>ΔP [kPa]</t>
        </is>
      </c>
      <c r="P10" s="22" t="inlineStr">
        <is>
          <t>r_P [–]</t>
        </is>
      </c>
      <c r="Q10" s="22" t="inlineStr">
        <is>
          <t>Fuera de rango</t>
        </is>
      </c>
    </row>
    <row r="11">
      <c r="A11" s="16" t="inlineStr">
        <is>
          <t>KF-M06-VER-0000</t>
        </is>
      </c>
      <c r="B11" s="35" t="n">
        <v>410</v>
      </c>
      <c r="C11" s="35" t="n">
        <v>300.032917</v>
      </c>
      <c r="D11" s="36" t="n">
        <v>3000</v>
      </c>
      <c r="E11" s="35" t="n">
        <v>400</v>
      </c>
      <c r="F11" s="37" t="n">
        <v>0.5</v>
      </c>
      <c r="G11" s="37" t="n">
        <v>0.85</v>
      </c>
      <c r="H11" s="37" t="n">
        <v>0.75</v>
      </c>
      <c r="I11" s="37" t="n">
        <v>0.85</v>
      </c>
      <c r="J11" s="37" t="n">
        <v>0.75</v>
      </c>
      <c r="K11" s="37" t="n">
        <v>0.95</v>
      </c>
      <c r="L11" s="42" t="inlineStr">
        <is>
          <t>KALINA</t>
        </is>
      </c>
      <c r="M11" s="29" t="n">
        <v>10.80651724015787</v>
      </c>
      <c r="N11" s="35" t="n">
        <v>44.30802720897731</v>
      </c>
      <c r="O11" s="36" t="n">
        <v>2600</v>
      </c>
      <c r="P11" s="29" t="n">
        <v>7.5</v>
      </c>
      <c r="Q11" s="16" t="inlineStr">
        <is>
          <t>no</t>
        </is>
      </c>
    </row>
    <row r="12">
      <c r="A12" s="16" t="inlineStr">
        <is>
          <t>KF-M06-VER-0001</t>
        </is>
      </c>
      <c r="B12" s="35" t="n">
        <v>390</v>
      </c>
      <c r="C12" s="35" t="n">
        <v>300.032917</v>
      </c>
      <c r="D12" s="36" t="n">
        <v>3000</v>
      </c>
      <c r="E12" s="35" t="n">
        <v>400</v>
      </c>
      <c r="F12" s="37" t="n">
        <v>0.5</v>
      </c>
      <c r="G12" s="37" t="n">
        <v>0.85</v>
      </c>
      <c r="H12" s="37" t="n">
        <v>0.75</v>
      </c>
      <c r="I12" s="37" t="n">
        <v>0.85</v>
      </c>
      <c r="J12" s="37" t="n">
        <v>0.75</v>
      </c>
      <c r="K12" s="37" t="n">
        <v>0.875</v>
      </c>
      <c r="L12" s="42" t="inlineStr">
        <is>
          <t>KALINA</t>
        </is>
      </c>
      <c r="M12" s="29" t="n">
        <v>2.53932312022593</v>
      </c>
      <c r="N12" s="35" t="n">
        <v>3.769197404130745</v>
      </c>
      <c r="O12" s="36" t="n">
        <v>2600</v>
      </c>
      <c r="P12" s="29" t="n">
        <v>7.5</v>
      </c>
      <c r="Q12" s="16" t="inlineStr">
        <is>
          <t>no</t>
        </is>
      </c>
    </row>
    <row r="13">
      <c r="A13" s="16" t="inlineStr">
        <is>
          <t>KF-M06-VER-0002</t>
        </is>
      </c>
      <c r="B13" s="35" t="n">
        <v>403</v>
      </c>
      <c r="C13" s="35" t="n">
        <v>300.032917</v>
      </c>
      <c r="D13" s="36" t="n">
        <v>3000</v>
      </c>
      <c r="E13" s="35" t="n">
        <v>563.6363636363637</v>
      </c>
      <c r="F13" s="37" t="n">
        <v>0.5</v>
      </c>
      <c r="G13" s="37" t="n">
        <v>0.85</v>
      </c>
      <c r="H13" s="37" t="n">
        <v>0.75</v>
      </c>
      <c r="I13" s="37" t="n">
        <v>0.85</v>
      </c>
      <c r="J13" s="37" t="n">
        <v>0.75</v>
      </c>
      <c r="K13" s="37" t="n">
        <v>0.8</v>
      </c>
      <c r="L13" s="42" t="inlineStr">
        <is>
          <t>KALINA</t>
        </is>
      </c>
      <c r="M13" s="29" t="n">
        <v>8.481891205006569</v>
      </c>
      <c r="N13" s="35" t="n">
        <v>25.94188172942141</v>
      </c>
      <c r="O13" s="36" t="n">
        <v>2436.363636363636</v>
      </c>
      <c r="P13" s="29" t="n">
        <v>5.322580645161289</v>
      </c>
      <c r="Q13" s="16" t="inlineStr">
        <is>
          <t>no</t>
        </is>
      </c>
    </row>
    <row r="14">
      <c r="A14" s="16" t="inlineStr">
        <is>
          <t>KF-M06-VER-0003</t>
        </is>
      </c>
      <c r="B14" s="35" t="n">
        <v>420</v>
      </c>
      <c r="C14" s="35" t="n">
        <v>300.032917</v>
      </c>
      <c r="D14" s="36" t="n">
        <v>3000</v>
      </c>
      <c r="E14" s="35" t="n">
        <v>736.3636363639999</v>
      </c>
      <c r="F14" s="37" t="n">
        <v>0.5</v>
      </c>
      <c r="G14" s="37" t="n">
        <v>0.85</v>
      </c>
      <c r="H14" s="37" t="n">
        <v>0.75</v>
      </c>
      <c r="I14" s="37" t="n">
        <v>0.85</v>
      </c>
      <c r="J14" s="37" t="n">
        <v>0.75</v>
      </c>
      <c r="K14" s="37" t="n">
        <v>0.8</v>
      </c>
      <c r="L14" s="42" t="inlineStr">
        <is>
          <t>KALINA</t>
        </is>
      </c>
      <c r="M14" s="29" t="n">
        <v>9.15042106800586</v>
      </c>
      <c r="N14" s="35" t="n">
        <v>45.99923564200601</v>
      </c>
      <c r="O14" s="36" t="n">
        <v>2263.636363636</v>
      </c>
      <c r="P14" s="29" t="n">
        <v>4.074074074072063</v>
      </c>
      <c r="Q14" s="16" t="inlineStr">
        <is>
          <t>no</t>
        </is>
      </c>
    </row>
    <row r="15">
      <c r="A15" s="16" t="inlineStr">
        <is>
          <t>KF-M06-VER-0004</t>
        </is>
      </c>
      <c r="B15" s="35" t="n">
        <v>436.0969531091276</v>
      </c>
      <c r="C15" s="35" t="n">
        <v>279.0977013205448</v>
      </c>
      <c r="D15" s="36" t="n">
        <v>4381.823024523768</v>
      </c>
      <c r="E15" s="35" t="n">
        <v>808.3402577390962</v>
      </c>
      <c r="F15" s="37" t="n">
        <v>0.7047489709498951</v>
      </c>
      <c r="G15" s="37" t="n">
        <v>0.95</v>
      </c>
      <c r="H15" s="37" t="n">
        <v>0.7460814839003644</v>
      </c>
      <c r="I15" s="37" t="n">
        <v>0.6777311085206517</v>
      </c>
      <c r="J15" s="37" t="n">
        <v>0.9415298192493302</v>
      </c>
      <c r="K15" s="37" t="n">
        <v>0.8418262585071621</v>
      </c>
      <c r="L15" s="42" t="inlineStr">
        <is>
          <t>KALINA</t>
        </is>
      </c>
      <c r="M15" s="29" t="n">
        <v>14.97793863825945</v>
      </c>
      <c r="N15" s="35" t="n">
        <v>111.1205978072659</v>
      </c>
      <c r="O15" s="36" t="n">
        <v>3573.482766784672</v>
      </c>
      <c r="P15" s="29" t="n">
        <v>5.420765553332204</v>
      </c>
      <c r="Q15" s="16" t="inlineStr">
        <is>
          <t>no</t>
        </is>
      </c>
    </row>
    <row r="16">
      <c r="A16" s="16" t="inlineStr">
        <is>
          <t>KF-M06-VER-0005</t>
        </is>
      </c>
      <c r="B16" s="35" t="n">
        <v>420</v>
      </c>
      <c r="C16" s="35" t="n">
        <v>278.15</v>
      </c>
      <c r="D16" s="36" t="n">
        <v>3000</v>
      </c>
      <c r="E16" s="35" t="n">
        <v>393.75</v>
      </c>
      <c r="F16" s="37" t="n">
        <v>0.5</v>
      </c>
      <c r="G16" s="37" t="n">
        <v>0.95</v>
      </c>
      <c r="H16" s="37" t="n">
        <v>0.75</v>
      </c>
      <c r="I16" s="37" t="n">
        <v>0.85</v>
      </c>
      <c r="J16" s="37" t="n">
        <v>0.95</v>
      </c>
      <c r="K16" s="37" t="n">
        <v>0.8</v>
      </c>
      <c r="L16" s="42" t="inlineStr">
        <is>
          <t>KALINA</t>
        </is>
      </c>
      <c r="M16" s="29" t="n">
        <v>15.48239750048667</v>
      </c>
      <c r="N16" s="35" t="n">
        <v>74.2243204819607</v>
      </c>
      <c r="O16" s="36" t="n">
        <v>2606.25</v>
      </c>
      <c r="P16" s="29" t="n">
        <v>7.619047619047619</v>
      </c>
      <c r="Q16" s="16" t="inlineStr">
        <is>
          <t>no</t>
        </is>
      </c>
    </row>
    <row r="17">
      <c r="A17" s="16" t="inlineStr">
        <is>
          <t>KF-M06-VER-0006</t>
        </is>
      </c>
      <c r="B17" s="35" t="n">
        <v>623.15</v>
      </c>
      <c r="C17" s="35" t="n">
        <v>300.032917</v>
      </c>
      <c r="D17" s="36" t="n">
        <v>5000</v>
      </c>
      <c r="E17" s="35" t="n">
        <v>1359.556702008076</v>
      </c>
      <c r="F17" s="37" t="n">
        <v>0.85</v>
      </c>
      <c r="G17" s="37" t="n">
        <v>0.946055907458648</v>
      </c>
      <c r="H17" s="37" t="n">
        <v>0.8375342727183488</v>
      </c>
      <c r="I17" s="37" t="n">
        <v>0.4963658855761367</v>
      </c>
      <c r="J17" s="37" t="n">
        <v>0.9166775946077288</v>
      </c>
      <c r="K17" s="37" t="n">
        <v>0.9457881775355844</v>
      </c>
      <c r="L17" s="42" t="inlineStr">
        <is>
          <t>KALINA</t>
        </is>
      </c>
      <c r="M17" s="29" t="n">
        <v>12.73867502186853</v>
      </c>
      <c r="N17" s="35" t="n">
        <v>129.3867377753009</v>
      </c>
      <c r="O17" s="36" t="n">
        <v>3640.443297991924</v>
      </c>
      <c r="P17" s="29" t="n">
        <v>3.677669340760087</v>
      </c>
      <c r="Q17" s="16" t="inlineStr">
        <is>
          <t>no</t>
        </is>
      </c>
    </row>
    <row r="18">
      <c r="A18" s="16" t="inlineStr">
        <is>
          <t>KF-M06-VER-0007</t>
        </is>
      </c>
      <c r="B18" s="35" t="n">
        <v>420</v>
      </c>
      <c r="C18" s="35" t="n">
        <v>300.032917</v>
      </c>
      <c r="D18" s="36" t="n">
        <v>3000</v>
      </c>
      <c r="E18" s="35" t="n">
        <v>736.3636363639999</v>
      </c>
      <c r="F18" s="37" t="n">
        <v>0.5</v>
      </c>
      <c r="G18" s="37" t="n">
        <v>0.85</v>
      </c>
      <c r="H18" s="37" t="n">
        <v>0.75</v>
      </c>
      <c r="I18" s="37" t="n">
        <v>0.85</v>
      </c>
      <c r="J18" s="37" t="n">
        <v>0.75</v>
      </c>
      <c r="K18" s="37" t="n">
        <v>0.8</v>
      </c>
      <c r="L18" s="32" t="inlineStr">
        <is>
          <t>No convergió</t>
        </is>
      </c>
      <c r="M18" s="29" t="inlineStr">
        <is>
          <t>—</t>
        </is>
      </c>
      <c r="N18" s="35" t="inlineStr">
        <is>
          <t>—</t>
        </is>
      </c>
      <c r="O18" s="36" t="n">
        <v>2263.636363636</v>
      </c>
      <c r="P18" s="29" t="n">
        <v>4.074074074072063</v>
      </c>
      <c r="Q18" s="16" t="inlineStr">
        <is>
          <t>no</t>
        </is>
      </c>
    </row>
    <row r="19">
      <c r="A19" s="16" t="inlineStr">
        <is>
          <t>KF-M06-VER-0008</t>
        </is>
      </c>
      <c r="B19" s="35" t="n">
        <v>390</v>
      </c>
      <c r="C19" s="35" t="n">
        <v>300.032917</v>
      </c>
      <c r="D19" s="36" t="n">
        <v>3000</v>
      </c>
      <c r="E19" s="35" t="n">
        <v>400</v>
      </c>
      <c r="F19" s="37" t="n">
        <v>0.5</v>
      </c>
      <c r="G19" s="37" t="n">
        <v>0.85</v>
      </c>
      <c r="H19" s="37" t="n">
        <v>0.75</v>
      </c>
      <c r="I19" s="37" t="n">
        <v>0.85</v>
      </c>
      <c r="J19" s="37" t="n">
        <v>0.75</v>
      </c>
      <c r="K19" s="37" t="n">
        <v>0.875</v>
      </c>
      <c r="L19" s="32" t="inlineStr">
        <is>
          <t>No convergió</t>
        </is>
      </c>
      <c r="M19" s="29" t="inlineStr">
        <is>
          <t>—</t>
        </is>
      </c>
      <c r="N19" s="35" t="inlineStr">
        <is>
          <t>—</t>
        </is>
      </c>
      <c r="O19" s="36" t="n">
        <v>2600</v>
      </c>
      <c r="P19" s="29" t="n">
        <v>7.5</v>
      </c>
      <c r="Q19" s="16" t="inlineStr">
        <is>
          <t>no</t>
        </is>
      </c>
    </row>
    <row r="20">
      <c r="A20" s="16" t="inlineStr">
        <is>
          <t>KF-M06-VER-0009</t>
        </is>
      </c>
      <c r="B20" s="35" t="n">
        <v>403</v>
      </c>
      <c r="C20" s="35" t="n">
        <v>300.032917</v>
      </c>
      <c r="D20" s="36" t="n">
        <v>3000</v>
      </c>
      <c r="E20" s="35" t="n">
        <v>563.6363636363637</v>
      </c>
      <c r="F20" s="37" t="n">
        <v>0.5</v>
      </c>
      <c r="G20" s="37" t="n">
        <v>0.85</v>
      </c>
      <c r="H20" s="37" t="n">
        <v>0.75</v>
      </c>
      <c r="I20" s="37" t="n">
        <v>0.85</v>
      </c>
      <c r="J20" s="37" t="n">
        <v>0.75</v>
      </c>
      <c r="K20" s="37" t="n">
        <v>0.8</v>
      </c>
      <c r="L20" s="32" t="inlineStr">
        <is>
          <t>No convergió</t>
        </is>
      </c>
      <c r="M20" s="29" t="inlineStr">
        <is>
          <t>—</t>
        </is>
      </c>
      <c r="N20" s="35" t="inlineStr">
        <is>
          <t>—</t>
        </is>
      </c>
      <c r="O20" s="36" t="n">
        <v>2436.363636363636</v>
      </c>
      <c r="P20" s="29" t="n">
        <v>5.322580645161289</v>
      </c>
      <c r="Q20" s="16" t="inlineStr">
        <is>
          <t>no</t>
        </is>
      </c>
    </row>
    <row r="21">
      <c r="A21" s="16" t="inlineStr">
        <is>
          <t>KF-M06-VER-0010</t>
        </is>
      </c>
      <c r="B21" s="35" t="n">
        <v>415</v>
      </c>
      <c r="C21" s="35" t="n">
        <v>300.032917</v>
      </c>
      <c r="D21" s="36" t="n">
        <v>3000</v>
      </c>
      <c r="E21" s="35" t="n">
        <v>400</v>
      </c>
      <c r="F21" s="37" t="n">
        <v>0.5</v>
      </c>
      <c r="G21" s="37" t="n">
        <v>0.95</v>
      </c>
      <c r="H21" s="37" t="n">
        <v>0.8049999999999999</v>
      </c>
      <c r="I21" s="37" t="n">
        <v>0.95</v>
      </c>
      <c r="J21" s="37" t="n">
        <v>0.95</v>
      </c>
      <c r="K21" s="37" t="n">
        <v>0.95</v>
      </c>
      <c r="L21" s="42" t="inlineStr">
        <is>
          <t>KALINA</t>
        </is>
      </c>
      <c r="M21" s="29" t="n">
        <v>15.59965738845141</v>
      </c>
      <c r="N21" s="35" t="n">
        <v>71.37748121622712</v>
      </c>
      <c r="O21" s="36" t="n">
        <v>2600</v>
      </c>
      <c r="P21" s="29" t="n">
        <v>7.5</v>
      </c>
      <c r="Q21" s="16" t="inlineStr">
        <is>
          <t>no</t>
        </is>
      </c>
    </row>
    <row r="22">
      <c r="A22" s="16" t="inlineStr">
        <is>
          <t>KF-M06-VER-0011</t>
        </is>
      </c>
      <c r="B22" s="35" t="n">
        <v>436.0969531091276</v>
      </c>
      <c r="C22" s="35" t="n">
        <v>279.0977013205448</v>
      </c>
      <c r="D22" s="36" t="n">
        <v>4381.823024523768</v>
      </c>
      <c r="E22" s="35" t="n">
        <v>808.3402577390962</v>
      </c>
      <c r="F22" s="37" t="n">
        <v>0.7047489709498951</v>
      </c>
      <c r="G22" s="37" t="n">
        <v>0.95</v>
      </c>
      <c r="H22" s="37" t="n">
        <v>0.7460814839003644</v>
      </c>
      <c r="I22" s="37" t="n">
        <v>0.6777311085206517</v>
      </c>
      <c r="J22" s="37" t="n">
        <v>0.9415298192493302</v>
      </c>
      <c r="K22" s="37" t="n">
        <v>0.8418262585071621</v>
      </c>
      <c r="L22" s="32" t="inlineStr">
        <is>
          <t>No convergió</t>
        </is>
      </c>
      <c r="M22" s="29" t="inlineStr">
        <is>
          <t>—</t>
        </is>
      </c>
      <c r="N22" s="35" t="inlineStr">
        <is>
          <t>—</t>
        </is>
      </c>
      <c r="O22" s="36" t="n">
        <v>3573.482766784672</v>
      </c>
      <c r="P22" s="29" t="n">
        <v>5.420765553332204</v>
      </c>
      <c r="Q22" s="16" t="inlineStr">
        <is>
          <t>no</t>
        </is>
      </c>
    </row>
    <row r="23">
      <c r="A23" s="16" t="inlineStr">
        <is>
          <t>KF-M06-VER-0012</t>
        </is>
      </c>
      <c r="B23" s="35" t="n">
        <v>420</v>
      </c>
      <c r="C23" s="35" t="n">
        <v>278.15</v>
      </c>
      <c r="D23" s="36" t="n">
        <v>3000</v>
      </c>
      <c r="E23" s="35" t="n">
        <v>393.75</v>
      </c>
      <c r="F23" s="37" t="n">
        <v>0.5</v>
      </c>
      <c r="G23" s="37" t="n">
        <v>0.95</v>
      </c>
      <c r="H23" s="37" t="n">
        <v>0.75</v>
      </c>
      <c r="I23" s="37" t="n">
        <v>0.85</v>
      </c>
      <c r="J23" s="37" t="n">
        <v>0.95</v>
      </c>
      <c r="K23" s="37" t="n">
        <v>0.8</v>
      </c>
      <c r="L23" s="32" t="inlineStr">
        <is>
          <t>No convergió</t>
        </is>
      </c>
      <c r="M23" s="29" t="inlineStr">
        <is>
          <t>—</t>
        </is>
      </c>
      <c r="N23" s="35" t="inlineStr">
        <is>
          <t>—</t>
        </is>
      </c>
      <c r="O23" s="36" t="n">
        <v>2606.25</v>
      </c>
      <c r="P23" s="29" t="n">
        <v>7.619047619047619</v>
      </c>
      <c r="Q23" s="16" t="inlineStr">
        <is>
          <t>no</t>
        </is>
      </c>
    </row>
    <row r="24">
      <c r="A24" s="16" t="inlineStr">
        <is>
          <t>KF-M06-VER-0013</t>
        </is>
      </c>
      <c r="B24" s="35" t="n">
        <v>436.0969531091276</v>
      </c>
      <c r="C24" s="35" t="n">
        <v>279.0977013205448</v>
      </c>
      <c r="D24" s="36" t="n">
        <v>3481.823024523768</v>
      </c>
      <c r="E24" s="35" t="n">
        <v>808.3402577390962</v>
      </c>
      <c r="F24" s="37" t="n">
        <v>0.6347489709498951</v>
      </c>
      <c r="G24" s="37" t="n">
        <v>0.9184829805028722</v>
      </c>
      <c r="H24" s="37" t="n">
        <v>0.7460814839003643</v>
      </c>
      <c r="I24" s="37" t="n">
        <v>0.6777311085206517</v>
      </c>
      <c r="J24" s="37" t="n">
        <v>0.9415298192493302</v>
      </c>
      <c r="K24" s="37" t="n">
        <v>0.8418262585071621</v>
      </c>
      <c r="L24" s="42" t="inlineStr">
        <is>
          <t>KALINA</t>
        </is>
      </c>
      <c r="M24" s="29" t="n">
        <v>12.30159889633283</v>
      </c>
      <c r="N24" s="35" t="n">
        <v>91.41821112392584</v>
      </c>
      <c r="O24" s="36" t="n">
        <v>2673.482766784672</v>
      </c>
      <c r="P24" s="29" t="n">
        <v>4.307373029103269</v>
      </c>
      <c r="Q24" s="16" t="inlineStr">
        <is>
          <t>no</t>
        </is>
      </c>
    </row>
    <row r="25">
      <c r="A25" s="16" t="inlineStr">
        <is>
          <t>KF-M06-VER-0014</t>
        </is>
      </c>
      <c r="B25" s="35" t="n">
        <v>623.15</v>
      </c>
      <c r="C25" s="35" t="n">
        <v>302.58136184317</v>
      </c>
      <c r="D25" s="36" t="n">
        <v>4808.3419580395</v>
      </c>
      <c r="E25" s="35" t="n">
        <v>1022.274389807265</v>
      </c>
      <c r="F25" s="37" t="n">
        <v>0.5</v>
      </c>
      <c r="G25" s="37" t="n">
        <v>0.9224916747106672</v>
      </c>
      <c r="H25" s="37" t="n">
        <v>0.5760658994683791</v>
      </c>
      <c r="I25" s="37" t="n">
        <v>0.4623021552349206</v>
      </c>
      <c r="J25" s="37" t="n">
        <v>0.6851145100609968</v>
      </c>
      <c r="K25" s="37" t="n">
        <v>0.8784157959492287</v>
      </c>
      <c r="L25" s="42" t="inlineStr">
        <is>
          <t>KALINA</t>
        </is>
      </c>
      <c r="M25" s="29" t="n">
        <v>11.09411449156198</v>
      </c>
      <c r="N25" s="35" t="n">
        <v>120.0102463378141</v>
      </c>
      <c r="O25" s="36" t="n">
        <v>3786.067568232236</v>
      </c>
      <c r="P25" s="29" t="n">
        <v>4.703572745225522</v>
      </c>
      <c r="Q25" s="16" t="inlineStr">
        <is>
          <t>sí</t>
        </is>
      </c>
    </row>
    <row r="26">
      <c r="A26" s="16" t="inlineStr">
        <is>
          <t>KF-M06-VER-0015</t>
        </is>
      </c>
      <c r="B26" s="35" t="n">
        <v>438.2259566657808</v>
      </c>
      <c r="C26" s="35" t="n">
        <v>282.8953248402438</v>
      </c>
      <c r="D26" s="36" t="n">
        <v>3655.031570453786</v>
      </c>
      <c r="E26" s="35" t="n">
        <v>2494.528668778344</v>
      </c>
      <c r="F26" s="37" t="n">
        <v>0.5781880347009879</v>
      </c>
      <c r="G26" s="37" t="n">
        <v>0.7807499296946772</v>
      </c>
      <c r="H26" s="37" t="n">
        <v>0.8717826943293954</v>
      </c>
      <c r="I26" s="37" t="n">
        <v>0.8204551584792749</v>
      </c>
      <c r="J26" s="37" t="n">
        <v>0.8725835974278591</v>
      </c>
      <c r="K26" s="37" t="n">
        <v>0.8379501788293323</v>
      </c>
      <c r="L26" s="42" t="inlineStr">
        <is>
          <t>KALINA</t>
        </is>
      </c>
      <c r="M26" s="29" t="n">
        <v>2.66901697023742</v>
      </c>
      <c r="N26" s="35" t="n">
        <v>20.7356703696453</v>
      </c>
      <c r="O26" s="36" t="n">
        <v>1160.502901675442</v>
      </c>
      <c r="P26" s="29" t="n">
        <v>1.465219308240614</v>
      </c>
      <c r="Q26" s="16" t="inlineStr">
        <is>
          <t>sí</t>
        </is>
      </c>
    </row>
    <row r="27">
      <c r="A27" s="16" t="inlineStr">
        <is>
          <t>KF-M06-VER-0016</t>
        </is>
      </c>
      <c r="B27" s="35" t="n">
        <v>623.15</v>
      </c>
      <c r="C27" s="35" t="n">
        <v>300.032917</v>
      </c>
      <c r="D27" s="36" t="n">
        <v>5000</v>
      </c>
      <c r="E27" s="35" t="n">
        <v>1359.556702008076</v>
      </c>
      <c r="F27" s="37" t="n">
        <v>0.85</v>
      </c>
      <c r="G27" s="37" t="n">
        <v>0.946055907458648</v>
      </c>
      <c r="H27" s="37" t="n">
        <v>0.8375342727183488</v>
      </c>
      <c r="I27" s="37" t="n">
        <v>0.4963658855761367</v>
      </c>
      <c r="J27" s="37" t="n">
        <v>0.9166775946077288</v>
      </c>
      <c r="K27" s="37" t="n">
        <v>0.9457881775355844</v>
      </c>
      <c r="L27" s="32" t="inlineStr">
        <is>
          <t>No convergió</t>
        </is>
      </c>
      <c r="M27" s="29" t="inlineStr">
        <is>
          <t>—</t>
        </is>
      </c>
      <c r="N27" s="35" t="inlineStr">
        <is>
          <t>—</t>
        </is>
      </c>
      <c r="O27" s="36" t="n">
        <v>3640.443297991924</v>
      </c>
      <c r="P27" s="29" t="n">
        <v>3.677669340760087</v>
      </c>
      <c r="Q27" s="16" t="inlineStr">
        <is>
          <t>no</t>
        </is>
      </c>
    </row>
    <row r="28">
      <c r="A28" s="16" t="inlineStr">
        <is>
          <t>KF-M06-VER-0017</t>
        </is>
      </c>
      <c r="B28" s="35" t="n">
        <v>623.15</v>
      </c>
      <c r="C28" s="35" t="n">
        <v>300.032917</v>
      </c>
      <c r="D28" s="36" t="n">
        <v>3000</v>
      </c>
      <c r="E28" s="35" t="n">
        <v>1318.181818182</v>
      </c>
      <c r="F28" s="37" t="n">
        <v>0.5</v>
      </c>
      <c r="G28" s="37" t="n">
        <v>0.85</v>
      </c>
      <c r="H28" s="37" t="n">
        <v>0.75</v>
      </c>
      <c r="I28" s="37" t="n">
        <v>0.4</v>
      </c>
      <c r="J28" s="37" t="n">
        <v>0.75</v>
      </c>
      <c r="K28" s="37" t="n">
        <v>0.8</v>
      </c>
      <c r="L28" s="42" t="inlineStr">
        <is>
          <t>KALINA</t>
        </is>
      </c>
      <c r="M28" s="29" t="n">
        <v>6.2705141296361</v>
      </c>
      <c r="N28" s="35" t="n">
        <v>58.77681796654025</v>
      </c>
      <c r="O28" s="36" t="n">
        <v>1681.818181818</v>
      </c>
      <c r="P28" s="29" t="n">
        <v>2.275862068965204</v>
      </c>
      <c r="Q28" s="16" t="inlineStr">
        <is>
          <t>sí</t>
        </is>
      </c>
    </row>
    <row r="29">
      <c r="A29" s="16" t="inlineStr">
        <is>
          <t>KF-M06-VER-0018</t>
        </is>
      </c>
      <c r="B29" s="35" t="n">
        <v>410</v>
      </c>
      <c r="C29" s="35" t="n">
        <v>300.032917</v>
      </c>
      <c r="D29" s="36" t="n">
        <v>3000</v>
      </c>
      <c r="E29" s="35" t="n">
        <v>400</v>
      </c>
      <c r="F29" s="37" t="n">
        <v>0.5</v>
      </c>
      <c r="G29" s="37" t="n">
        <v>0.85</v>
      </c>
      <c r="H29" s="37" t="n">
        <v>0.75</v>
      </c>
      <c r="I29" s="37" t="n">
        <v>0.85</v>
      </c>
      <c r="J29" s="37" t="n">
        <v>0.75</v>
      </c>
      <c r="K29" s="37" t="n">
        <v>0.95</v>
      </c>
      <c r="L29" s="42" t="inlineStr">
        <is>
          <t>KALINA</t>
        </is>
      </c>
      <c r="M29" s="29" t="n">
        <v>10.80660869676167</v>
      </c>
      <c r="N29" s="35" t="n">
        <v>44.30475135014125</v>
      </c>
      <c r="O29" s="36" t="n">
        <v>2600</v>
      </c>
      <c r="P29" s="29" t="n">
        <v>7.5</v>
      </c>
      <c r="Q29" s="16" t="inlineStr">
        <is>
          <t>no</t>
        </is>
      </c>
    </row>
    <row r="30">
      <c r="A30" s="16" t="inlineStr">
        <is>
          <t>KF-M06-VER-0019</t>
        </is>
      </c>
      <c r="B30" s="35" t="n">
        <v>623.15</v>
      </c>
      <c r="C30" s="35" t="n">
        <v>302.58136184317</v>
      </c>
      <c r="D30" s="36" t="n">
        <v>4808.3419580395</v>
      </c>
      <c r="E30" s="35" t="n">
        <v>1022.274389807265</v>
      </c>
      <c r="F30" s="37" t="n">
        <v>0.5</v>
      </c>
      <c r="G30" s="37" t="n">
        <v>0.9224916747106672</v>
      </c>
      <c r="H30" s="37" t="n">
        <v>0.5760658994683791</v>
      </c>
      <c r="I30" s="37" t="n">
        <v>0.4623021552349206</v>
      </c>
      <c r="J30" s="37" t="n">
        <v>0.6851145100609968</v>
      </c>
      <c r="K30" s="37" t="n">
        <v>0.8784157959492287</v>
      </c>
      <c r="L30" s="32" t="inlineStr">
        <is>
          <t>No convergió</t>
        </is>
      </c>
      <c r="M30" s="29" t="inlineStr">
        <is>
          <t>—</t>
        </is>
      </c>
      <c r="N30" s="35" t="inlineStr">
        <is>
          <t>—</t>
        </is>
      </c>
      <c r="O30" s="36" t="n">
        <v>3786.067568232236</v>
      </c>
      <c r="P30" s="29" t="n">
        <v>4.703572745225522</v>
      </c>
      <c r="Q30" s="16" t="inlineStr">
        <is>
          <t>no</t>
        </is>
      </c>
    </row>
    <row r="31">
      <c r="A31" s="16" t="inlineStr">
        <is>
          <t>KF-M06-VER-0020</t>
        </is>
      </c>
      <c r="B31" s="35" t="n">
        <v>436.0969531091276</v>
      </c>
      <c r="C31" s="35" t="n">
        <v>279.0977013205448</v>
      </c>
      <c r="D31" s="36" t="n">
        <v>3481.823024523768</v>
      </c>
      <c r="E31" s="35" t="n">
        <v>808.3402577390962</v>
      </c>
      <c r="F31" s="37" t="n">
        <v>0.6347489709498951</v>
      </c>
      <c r="G31" s="37" t="n">
        <v>0.9184829805028722</v>
      </c>
      <c r="H31" s="37" t="n">
        <v>0.7460814839003643</v>
      </c>
      <c r="I31" s="37" t="n">
        <v>0.6777311085206517</v>
      </c>
      <c r="J31" s="37" t="n">
        <v>0.9415298192493302</v>
      </c>
      <c r="K31" s="37" t="n">
        <v>0.8418262585071621</v>
      </c>
      <c r="L31" s="32" t="inlineStr">
        <is>
          <t>No convergió</t>
        </is>
      </c>
      <c r="M31" s="29" t="inlineStr">
        <is>
          <t>—</t>
        </is>
      </c>
      <c r="N31" s="35" t="inlineStr">
        <is>
          <t>—</t>
        </is>
      </c>
      <c r="O31" s="36" t="n">
        <v>2673.482766784672</v>
      </c>
      <c r="P31" s="29" t="n">
        <v>4.307373029103269</v>
      </c>
      <c r="Q31" s="16" t="inlineStr">
        <is>
          <t>no</t>
        </is>
      </c>
    </row>
    <row r="32">
      <c r="A32" s="16" t="inlineStr">
        <is>
          <t>KF-M06-VER-0021</t>
        </is>
      </c>
      <c r="B32" s="35" t="n">
        <v>438.2259566657808</v>
      </c>
      <c r="C32" s="35" t="n">
        <v>282.8953248402438</v>
      </c>
      <c r="D32" s="36" t="n">
        <v>3655.031570453786</v>
      </c>
      <c r="E32" s="35" t="n">
        <v>2494.528668778344</v>
      </c>
      <c r="F32" s="37" t="n">
        <v>0.5781880347009879</v>
      </c>
      <c r="G32" s="37" t="n">
        <v>0.7807499296946772</v>
      </c>
      <c r="H32" s="37" t="n">
        <v>0.8717826943293954</v>
      </c>
      <c r="I32" s="37" t="n">
        <v>0.8204551584792749</v>
      </c>
      <c r="J32" s="37" t="n">
        <v>0.8725835974278591</v>
      </c>
      <c r="K32" s="37" t="n">
        <v>0.8379501788293323</v>
      </c>
      <c r="L32" s="32" t="inlineStr">
        <is>
          <t>No convergió</t>
        </is>
      </c>
      <c r="M32" s="29" t="inlineStr">
        <is>
          <t>—</t>
        </is>
      </c>
      <c r="N32" s="35" t="inlineStr">
        <is>
          <t>—</t>
        </is>
      </c>
      <c r="O32" s="36" t="n">
        <v>1160.502901675442</v>
      </c>
      <c r="P32" s="29" t="n">
        <v>1.465219308240614</v>
      </c>
      <c r="Q32" s="16" t="inlineStr">
        <is>
          <t>no</t>
        </is>
      </c>
    </row>
    <row r="33">
      <c r="A33" s="16" t="inlineStr">
        <is>
          <t>KF-M06-VER-0022</t>
        </is>
      </c>
      <c r="B33" s="35" t="n">
        <v>623.15</v>
      </c>
      <c r="C33" s="35" t="n">
        <v>300.032917</v>
      </c>
      <c r="D33" s="36" t="n">
        <v>3000</v>
      </c>
      <c r="E33" s="35" t="n">
        <v>1318.181818182</v>
      </c>
      <c r="F33" s="37" t="n">
        <v>0.5</v>
      </c>
      <c r="G33" s="37" t="n">
        <v>0.85</v>
      </c>
      <c r="H33" s="37" t="n">
        <v>0.75</v>
      </c>
      <c r="I33" s="37" t="n">
        <v>0.4</v>
      </c>
      <c r="J33" s="37" t="n">
        <v>0.75</v>
      </c>
      <c r="K33" s="37" t="n">
        <v>0.8</v>
      </c>
      <c r="L33" s="32" t="inlineStr">
        <is>
          <t>No convergió</t>
        </is>
      </c>
      <c r="M33" s="29" t="inlineStr">
        <is>
          <t>—</t>
        </is>
      </c>
      <c r="N33" s="35" t="inlineStr">
        <is>
          <t>—</t>
        </is>
      </c>
      <c r="O33" s="36" t="n">
        <v>1681.818181818</v>
      </c>
      <c r="P33" s="29" t="n">
        <v>2.275862068965204</v>
      </c>
      <c r="Q33" s="16" t="inlineStr">
        <is>
          <t>no</t>
        </is>
      </c>
    </row>
    <row r="34">
      <c r="A34" s="16" t="inlineStr">
        <is>
          <t>KF-M06-VER-0023</t>
        </is>
      </c>
      <c r="B34" s="35" t="n">
        <v>415</v>
      </c>
      <c r="C34" s="35" t="n">
        <v>300.032917</v>
      </c>
      <c r="D34" s="36" t="n">
        <v>3000</v>
      </c>
      <c r="E34" s="35" t="n">
        <v>400</v>
      </c>
      <c r="F34" s="37" t="n">
        <v>0.5</v>
      </c>
      <c r="G34" s="37" t="n">
        <v>0.95</v>
      </c>
      <c r="H34" s="37" t="n">
        <v>0.8049999999999999</v>
      </c>
      <c r="I34" s="37" t="n">
        <v>0.95</v>
      </c>
      <c r="J34" s="37" t="n">
        <v>0.95</v>
      </c>
      <c r="K34" s="37" t="n">
        <v>0.95</v>
      </c>
      <c r="L34" s="42" t="inlineStr">
        <is>
          <t>KALINA</t>
        </is>
      </c>
      <c r="M34" s="29" t="n">
        <v>15.59993576058993</v>
      </c>
      <c r="N34" s="35" t="n">
        <v>71.37318383207614</v>
      </c>
      <c r="O34" s="36" t="n">
        <v>2600</v>
      </c>
      <c r="P34" s="29" t="n">
        <v>7.5</v>
      </c>
      <c r="Q34" s="16" t="inlineStr">
        <is>
          <t>no</t>
        </is>
      </c>
    </row>
    <row r="36">
      <c r="A36" s="33" t="inlineStr">
        <is>
          <t>Parte 6.1b · piso de cavitación a 30.4 °C · 12 puntos</t>
        </is>
      </c>
      <c r="B36" s="31" t="n"/>
      <c r="C36" s="31" t="n"/>
      <c r="D36" s="31" t="n"/>
      <c r="E36" s="31" t="n"/>
      <c r="F36" s="31" t="n"/>
      <c r="G36" s="31" t="n"/>
      <c r="H36" s="31" t="n"/>
      <c r="I36" s="31" t="n"/>
      <c r="J36" s="31" t="n"/>
      <c r="K36" s="31" t="n"/>
    </row>
    <row r="38">
      <c r="A38" s="34" t="inlineStr">
        <is>
          <t>Barrido de la parte 6.1b · 12 puntos</t>
        </is>
      </c>
    </row>
    <row r="39">
      <c r="A39" s="25" t="inlineStr">
        <is>
          <t>Todas las variables se mueven.</t>
        </is>
      </c>
    </row>
    <row r="40">
      <c r="A40" s="22" t="inlineStr">
        <is>
          <t>id_punto</t>
        </is>
      </c>
      <c r="B40" s="22" t="inlineStr">
        <is>
          <t>T_fuente [K]</t>
        </is>
      </c>
      <c r="C40" s="22" t="inlineStr">
        <is>
          <t>T_sumidero [K]</t>
        </is>
      </c>
      <c r="D40" s="22" t="inlineStr">
        <is>
          <t>P_alta [kPa]</t>
        </is>
      </c>
      <c r="E40" s="22" t="inlineStr">
        <is>
          <t>P_baja [kPa]</t>
        </is>
      </c>
      <c r="F40" s="22" t="inlineStr">
        <is>
          <t>x_b [–]</t>
        </is>
      </c>
      <c r="G40" s="22" t="inlineStr">
        <is>
          <t>η_t [–]</t>
        </is>
      </c>
      <c r="H40" s="22" t="inlineStr">
        <is>
          <t>η_p [–]</t>
        </is>
      </c>
      <c r="I40" s="22" t="inlineStr">
        <is>
          <t>ε_HRVG [–]</t>
        </is>
      </c>
      <c r="J40" s="22" t="inlineStr">
        <is>
          <t>ε_reg [–]</t>
        </is>
      </c>
      <c r="K40" s="22" t="inlineStr">
        <is>
          <t>ε_cond [–]</t>
        </is>
      </c>
      <c r="L40" s="22" t="inlineStr">
        <is>
          <t>Clase</t>
        </is>
      </c>
      <c r="M40" s="22" t="inlineStr">
        <is>
          <t>η [%]</t>
        </is>
      </c>
      <c r="N40" s="22" t="inlineStr">
        <is>
          <t>W_net [kW] (m_b = 1 kg/s)</t>
        </is>
      </c>
      <c r="O40" s="22" t="inlineStr">
        <is>
          <t>ΔP [kPa]</t>
        </is>
      </c>
      <c r="P40" s="22" t="inlineStr">
        <is>
          <t>r_P [–]</t>
        </is>
      </c>
      <c r="Q40" s="22" t="inlineStr">
        <is>
          <t>Fuera de rango</t>
        </is>
      </c>
      <c r="R40" s="22" t="inlineStr">
        <is>
          <t>Criterios que falla</t>
        </is>
      </c>
    </row>
    <row r="41">
      <c r="A41" s="16" t="inlineStr">
        <is>
          <t>KF-M06-PISO-0000</t>
        </is>
      </c>
      <c r="B41" s="35" t="n">
        <v>403</v>
      </c>
      <c r="C41" s="35" t="n">
        <v>300.032917</v>
      </c>
      <c r="D41" s="36" t="n">
        <v>3000</v>
      </c>
      <c r="E41" s="35" t="n">
        <v>563.6363636363637</v>
      </c>
      <c r="F41" s="37" t="n">
        <v>0.5</v>
      </c>
      <c r="G41" s="37" t="n">
        <v>0.85</v>
      </c>
      <c r="H41" s="37" t="n">
        <v>0.75</v>
      </c>
      <c r="I41" s="37" t="n">
        <v>0.85</v>
      </c>
      <c r="J41" s="37" t="n">
        <v>0.75</v>
      </c>
      <c r="K41" s="37" t="n">
        <v>0.8</v>
      </c>
      <c r="L41" s="39" t="inlineStr">
        <is>
          <t>Corregible</t>
        </is>
      </c>
      <c r="M41" s="29" t="n">
        <v>8.481891205006569</v>
      </c>
      <c r="N41" s="35" t="n">
        <v>25.94188172942141</v>
      </c>
      <c r="O41" s="36" t="n">
        <v>2436.363636363636</v>
      </c>
      <c r="P41" s="29" t="n">
        <v>5.322580645161289</v>
      </c>
      <c r="Q41" s="16" t="inlineStr">
        <is>
          <t>no</t>
        </is>
      </c>
      <c r="R41" s="16" t="inlineStr">
        <is>
          <t>O2</t>
        </is>
      </c>
    </row>
    <row r="42">
      <c r="A42" s="16" t="inlineStr">
        <is>
          <t>KF-M06-PISO-0001</t>
        </is>
      </c>
      <c r="B42" s="35" t="n">
        <v>410</v>
      </c>
      <c r="C42" s="35" t="n">
        <v>300.032917</v>
      </c>
      <c r="D42" s="36" t="n">
        <v>3000</v>
      </c>
      <c r="E42" s="35" t="n">
        <v>400</v>
      </c>
      <c r="F42" s="37" t="n">
        <v>0.5</v>
      </c>
      <c r="G42" s="37" t="n">
        <v>0.85</v>
      </c>
      <c r="H42" s="37" t="n">
        <v>0.75</v>
      </c>
      <c r="I42" s="37" t="n">
        <v>0.85</v>
      </c>
      <c r="J42" s="37" t="n">
        <v>0.75</v>
      </c>
      <c r="K42" s="37" t="n">
        <v>0.95</v>
      </c>
      <c r="L42" s="39" t="inlineStr">
        <is>
          <t>Corregible</t>
        </is>
      </c>
      <c r="M42" s="29" t="n">
        <v>10.80651724015787</v>
      </c>
      <c r="N42" s="35" t="n">
        <v>44.30802720897731</v>
      </c>
      <c r="O42" s="36" t="n">
        <v>2600</v>
      </c>
      <c r="P42" s="29" t="n">
        <v>7.5</v>
      </c>
      <c r="Q42" s="16" t="inlineStr">
        <is>
          <t>no</t>
        </is>
      </c>
      <c r="R42" s="16" t="inlineStr">
        <is>
          <t>O2</t>
        </is>
      </c>
    </row>
    <row r="43">
      <c r="A43" s="16" t="inlineStr">
        <is>
          <t>KF-M06-PISO-0002</t>
        </is>
      </c>
      <c r="B43" s="35" t="n">
        <v>420</v>
      </c>
      <c r="C43" s="35" t="n">
        <v>300.032917</v>
      </c>
      <c r="D43" s="36" t="n">
        <v>3000</v>
      </c>
      <c r="E43" s="35" t="n">
        <v>736.3636363639999</v>
      </c>
      <c r="F43" s="37" t="n">
        <v>0.5</v>
      </c>
      <c r="G43" s="37" t="n">
        <v>0.85</v>
      </c>
      <c r="H43" s="37" t="n">
        <v>0.75</v>
      </c>
      <c r="I43" s="37" t="n">
        <v>0.85</v>
      </c>
      <c r="J43" s="37" t="n">
        <v>0.75</v>
      </c>
      <c r="K43" s="37" t="n">
        <v>0.8</v>
      </c>
      <c r="L43" s="39" t="inlineStr">
        <is>
          <t>Corregible</t>
        </is>
      </c>
      <c r="M43" s="29" t="n">
        <v>9.15042106800586</v>
      </c>
      <c r="N43" s="35" t="n">
        <v>45.99923564200601</v>
      </c>
      <c r="O43" s="36" t="n">
        <v>2263.636363636</v>
      </c>
      <c r="P43" s="29" t="n">
        <v>4.074074074072063</v>
      </c>
      <c r="Q43" s="16" t="inlineStr">
        <is>
          <t>no</t>
        </is>
      </c>
      <c r="R43" s="16" t="inlineStr">
        <is>
          <t>O2</t>
        </is>
      </c>
    </row>
    <row r="44">
      <c r="A44" s="16" t="inlineStr">
        <is>
          <t>KF-M06-PISO-0003</t>
        </is>
      </c>
      <c r="B44" s="35" t="n">
        <v>390</v>
      </c>
      <c r="C44" s="35" t="n">
        <v>300.032917</v>
      </c>
      <c r="D44" s="36" t="n">
        <v>3000</v>
      </c>
      <c r="E44" s="35" t="n">
        <v>400</v>
      </c>
      <c r="F44" s="37" t="n">
        <v>0.5</v>
      </c>
      <c r="G44" s="37" t="n">
        <v>0.85</v>
      </c>
      <c r="H44" s="37" t="n">
        <v>0.75</v>
      </c>
      <c r="I44" s="37" t="n">
        <v>0.85</v>
      </c>
      <c r="J44" s="37" t="n">
        <v>0.75</v>
      </c>
      <c r="K44" s="37" t="n">
        <v>0.875</v>
      </c>
      <c r="L44" s="39" t="inlineStr">
        <is>
          <t>Corregible</t>
        </is>
      </c>
      <c r="M44" s="29" t="n">
        <v>2.53932312022593</v>
      </c>
      <c r="N44" s="35" t="n">
        <v>3.769197404130745</v>
      </c>
      <c r="O44" s="36" t="n">
        <v>2600</v>
      </c>
      <c r="P44" s="29" t="n">
        <v>7.5</v>
      </c>
      <c r="Q44" s="16" t="inlineStr">
        <is>
          <t>no</t>
        </is>
      </c>
      <c r="R44" s="16" t="inlineStr">
        <is>
          <t>O2</t>
        </is>
      </c>
    </row>
    <row r="45">
      <c r="A45" s="16" t="inlineStr">
        <is>
          <t>KF-M06-PISO-0004</t>
        </is>
      </c>
      <c r="B45" s="35" t="n">
        <v>436.0969531091276</v>
      </c>
      <c r="C45" s="35" t="n">
        <v>279.0977013205448</v>
      </c>
      <c r="D45" s="36" t="n">
        <v>4381.823024523768</v>
      </c>
      <c r="E45" s="35" t="n">
        <v>808.3402577390962</v>
      </c>
      <c r="F45" s="37" t="n">
        <v>0.7047489709498951</v>
      </c>
      <c r="G45" s="37" t="n">
        <v>0.95</v>
      </c>
      <c r="H45" s="37" t="n">
        <v>0.7460814839003644</v>
      </c>
      <c r="I45" s="37" t="n">
        <v>0.6777311085206517</v>
      </c>
      <c r="J45" s="37" t="n">
        <v>0.9415298192493302</v>
      </c>
      <c r="K45" s="37" t="n">
        <v>0.8418262585071621</v>
      </c>
      <c r="L45" s="39" t="inlineStr">
        <is>
          <t>Corregible</t>
        </is>
      </c>
      <c r="M45" s="29" t="n">
        <v>14.97793863825945</v>
      </c>
      <c r="N45" s="35" t="n">
        <v>111.1205978072659</v>
      </c>
      <c r="O45" s="36" t="n">
        <v>3573.482766784672</v>
      </c>
      <c r="P45" s="29" t="n">
        <v>5.420765553332204</v>
      </c>
      <c r="Q45" s="16" t="inlineStr">
        <is>
          <t>no</t>
        </is>
      </c>
      <c r="R45" s="16" t="inlineStr">
        <is>
          <t>O2</t>
        </is>
      </c>
    </row>
    <row r="46">
      <c r="A46" s="16" t="inlineStr">
        <is>
          <t>KF-M06-PISO-0005</t>
        </is>
      </c>
      <c r="B46" s="35" t="n">
        <v>420</v>
      </c>
      <c r="C46" s="35" t="n">
        <v>278.15</v>
      </c>
      <c r="D46" s="36" t="n">
        <v>3000</v>
      </c>
      <c r="E46" s="35" t="n">
        <v>393.75</v>
      </c>
      <c r="F46" s="37" t="n">
        <v>0.5</v>
      </c>
      <c r="G46" s="37" t="n">
        <v>0.95</v>
      </c>
      <c r="H46" s="37" t="n">
        <v>0.75</v>
      </c>
      <c r="I46" s="37" t="n">
        <v>0.85</v>
      </c>
      <c r="J46" s="37" t="n">
        <v>0.95</v>
      </c>
      <c r="K46" s="37" t="n">
        <v>0.8</v>
      </c>
      <c r="L46" s="39" t="inlineStr">
        <is>
          <t>Corregible</t>
        </is>
      </c>
      <c r="M46" s="29" t="n">
        <v>15.48239750048667</v>
      </c>
      <c r="N46" s="35" t="n">
        <v>74.2243204819607</v>
      </c>
      <c r="O46" s="36" t="n">
        <v>2606.25</v>
      </c>
      <c r="P46" s="29" t="n">
        <v>7.619047619047619</v>
      </c>
      <c r="Q46" s="16" t="inlineStr">
        <is>
          <t>no</t>
        </is>
      </c>
      <c r="R46" s="16" t="inlineStr">
        <is>
          <t>O2</t>
        </is>
      </c>
    </row>
    <row r="47">
      <c r="A47" s="16" t="inlineStr">
        <is>
          <t>KF-M06-PISO-0006</t>
        </is>
      </c>
      <c r="B47" s="35" t="n">
        <v>415</v>
      </c>
      <c r="C47" s="35" t="n">
        <v>300.032917</v>
      </c>
      <c r="D47" s="36" t="n">
        <v>3000</v>
      </c>
      <c r="E47" s="35" t="n">
        <v>400</v>
      </c>
      <c r="F47" s="37" t="n">
        <v>0.5</v>
      </c>
      <c r="G47" s="37" t="n">
        <v>0.95</v>
      </c>
      <c r="H47" s="37" t="n">
        <v>0.8049999999999999</v>
      </c>
      <c r="I47" s="37" t="n">
        <v>0.95</v>
      </c>
      <c r="J47" s="37" t="n">
        <v>0.95</v>
      </c>
      <c r="K47" s="37" t="n">
        <v>0.95</v>
      </c>
      <c r="L47" s="39" t="inlineStr">
        <is>
          <t>Corregible</t>
        </is>
      </c>
      <c r="M47" s="29" t="n">
        <v>15.59965738845141</v>
      </c>
      <c r="N47" s="35" t="n">
        <v>71.37748121622712</v>
      </c>
      <c r="O47" s="36" t="n">
        <v>2600</v>
      </c>
      <c r="P47" s="29" t="n">
        <v>7.5</v>
      </c>
      <c r="Q47" s="16" t="inlineStr">
        <is>
          <t>no</t>
        </is>
      </c>
      <c r="R47" s="16" t="inlineStr">
        <is>
          <t>O2</t>
        </is>
      </c>
    </row>
    <row r="48">
      <c r="A48" s="16" t="inlineStr">
        <is>
          <t>KF-M06-PISO-0007</t>
        </is>
      </c>
      <c r="B48" s="35" t="n">
        <v>436.0969531091276</v>
      </c>
      <c r="C48" s="35" t="n">
        <v>279.0977013205448</v>
      </c>
      <c r="D48" s="36" t="n">
        <v>3481.823024523768</v>
      </c>
      <c r="E48" s="35" t="n">
        <v>808.3402577390962</v>
      </c>
      <c r="F48" s="37" t="n">
        <v>0.6347489709498951</v>
      </c>
      <c r="G48" s="37" t="n">
        <v>0.9184829805028722</v>
      </c>
      <c r="H48" s="37" t="n">
        <v>0.7460814839003643</v>
      </c>
      <c r="I48" s="37" t="n">
        <v>0.6777311085206517</v>
      </c>
      <c r="J48" s="37" t="n">
        <v>0.9415298192493302</v>
      </c>
      <c r="K48" s="37" t="n">
        <v>0.8418262585071621</v>
      </c>
      <c r="L48" s="39" t="inlineStr">
        <is>
          <t>Corregible</t>
        </is>
      </c>
      <c r="M48" s="29" t="n">
        <v>12.30159889633283</v>
      </c>
      <c r="N48" s="35" t="n">
        <v>91.41821112392584</v>
      </c>
      <c r="O48" s="36" t="n">
        <v>2673.482766784672</v>
      </c>
      <c r="P48" s="29" t="n">
        <v>4.307373029103269</v>
      </c>
      <c r="Q48" s="16" t="inlineStr">
        <is>
          <t>no</t>
        </is>
      </c>
      <c r="R48" s="16" t="inlineStr">
        <is>
          <t>O2</t>
        </is>
      </c>
    </row>
    <row r="49">
      <c r="A49" s="16" t="inlineStr">
        <is>
          <t>KF-M06-PISO-0008</t>
        </is>
      </c>
      <c r="B49" s="35" t="n">
        <v>623.15</v>
      </c>
      <c r="C49" s="35" t="n">
        <v>300.032917</v>
      </c>
      <c r="D49" s="36" t="n">
        <v>5000</v>
      </c>
      <c r="E49" s="35" t="n">
        <v>1359.556702008076</v>
      </c>
      <c r="F49" s="37" t="n">
        <v>0.85</v>
      </c>
      <c r="G49" s="37" t="n">
        <v>0.946055907458648</v>
      </c>
      <c r="H49" s="37" t="n">
        <v>0.8375342727183488</v>
      </c>
      <c r="I49" s="37" t="n">
        <v>0.4963658855761367</v>
      </c>
      <c r="J49" s="37" t="n">
        <v>0.9166775946077288</v>
      </c>
      <c r="K49" s="37" t="n">
        <v>0.9457881775355844</v>
      </c>
      <c r="L49" s="42" t="inlineStr">
        <is>
          <t>KALINA</t>
        </is>
      </c>
      <c r="M49" s="29" t="n">
        <v>12.73867502186853</v>
      </c>
      <c r="N49" s="35" t="n">
        <v>129.3867377753009</v>
      </c>
      <c r="O49" s="36" t="n">
        <v>3640.443297991924</v>
      </c>
      <c r="P49" s="29" t="n">
        <v>3.677669340760087</v>
      </c>
      <c r="Q49" s="16" t="inlineStr">
        <is>
          <t>no</t>
        </is>
      </c>
      <c r="R49" s="16" t="n"/>
    </row>
    <row r="50">
      <c r="A50" s="16" t="inlineStr">
        <is>
          <t>KF-M06-PISO-0009</t>
        </is>
      </c>
      <c r="B50" s="35" t="n">
        <v>623.15</v>
      </c>
      <c r="C50" s="35" t="n">
        <v>302.58136184317</v>
      </c>
      <c r="D50" s="36" t="n">
        <v>4808.3419580395</v>
      </c>
      <c r="E50" s="35" t="n">
        <v>1022.274389807265</v>
      </c>
      <c r="F50" s="37" t="n">
        <v>0.5</v>
      </c>
      <c r="G50" s="37" t="n">
        <v>0.9224916747106672</v>
      </c>
      <c r="H50" s="37" t="n">
        <v>0.5760658994683791</v>
      </c>
      <c r="I50" s="37" t="n">
        <v>0.4623021552349206</v>
      </c>
      <c r="J50" s="37" t="n">
        <v>0.6851145100609968</v>
      </c>
      <c r="K50" s="37" t="n">
        <v>0.8784157959492287</v>
      </c>
      <c r="L50" s="42" t="inlineStr">
        <is>
          <t>KALINA</t>
        </is>
      </c>
      <c r="M50" s="29" t="n">
        <v>11.09411449156198</v>
      </c>
      <c r="N50" s="35" t="n">
        <v>120.0102463378141</v>
      </c>
      <c r="O50" s="36" t="n">
        <v>3786.067568232236</v>
      </c>
      <c r="P50" s="29" t="n">
        <v>4.703572745225522</v>
      </c>
      <c r="Q50" s="16" t="inlineStr">
        <is>
          <t>sí</t>
        </is>
      </c>
      <c r="R50" s="16" t="n"/>
    </row>
    <row r="51">
      <c r="A51" s="16" t="inlineStr">
        <is>
          <t>KF-M06-PISO-0010</t>
        </is>
      </c>
      <c r="B51" s="35" t="n">
        <v>438.2259566657808</v>
      </c>
      <c r="C51" s="35" t="n">
        <v>282.8953248402438</v>
      </c>
      <c r="D51" s="36" t="n">
        <v>3655.031570453786</v>
      </c>
      <c r="E51" s="35" t="n">
        <v>2494.528668778344</v>
      </c>
      <c r="F51" s="37" t="n">
        <v>0.5781880347009879</v>
      </c>
      <c r="G51" s="37" t="n">
        <v>0.7807499296946772</v>
      </c>
      <c r="H51" s="37" t="n">
        <v>0.8717826943293954</v>
      </c>
      <c r="I51" s="37" t="n">
        <v>0.8204551584792749</v>
      </c>
      <c r="J51" s="37" t="n">
        <v>0.8725835974278591</v>
      </c>
      <c r="K51" s="37" t="n">
        <v>0.8379501788293323</v>
      </c>
      <c r="L51" s="42" t="inlineStr">
        <is>
          <t>KALINA</t>
        </is>
      </c>
      <c r="M51" s="29" t="n">
        <v>2.66901697023742</v>
      </c>
      <c r="N51" s="35" t="n">
        <v>20.7356703696453</v>
      </c>
      <c r="O51" s="36" t="n">
        <v>1160.502901675442</v>
      </c>
      <c r="P51" s="29" t="n">
        <v>1.465219308240614</v>
      </c>
      <c r="Q51" s="16" t="inlineStr">
        <is>
          <t>sí</t>
        </is>
      </c>
      <c r="R51" s="16" t="n"/>
    </row>
    <row r="52">
      <c r="A52" s="16" t="inlineStr">
        <is>
          <t>KF-M06-PISO-0011</t>
        </is>
      </c>
      <c r="B52" s="35" t="n">
        <v>623.15</v>
      </c>
      <c r="C52" s="35" t="n">
        <v>300.032917</v>
      </c>
      <c r="D52" s="36" t="n">
        <v>3000</v>
      </c>
      <c r="E52" s="35" t="n">
        <v>1318.181818182</v>
      </c>
      <c r="F52" s="37" t="n">
        <v>0.5</v>
      </c>
      <c r="G52" s="37" t="n">
        <v>0.85</v>
      </c>
      <c r="H52" s="37" t="n">
        <v>0.75</v>
      </c>
      <c r="I52" s="37" t="n">
        <v>0.4</v>
      </c>
      <c r="J52" s="37" t="n">
        <v>0.75</v>
      </c>
      <c r="K52" s="37" t="n">
        <v>0.8</v>
      </c>
      <c r="L52" s="39" t="inlineStr">
        <is>
          <t>Corregible</t>
        </is>
      </c>
      <c r="M52" s="29" t="n">
        <v>6.2705141296361</v>
      </c>
      <c r="N52" s="35" t="n">
        <v>58.77681796654025</v>
      </c>
      <c r="O52" s="36" t="n">
        <v>1681.818181818</v>
      </c>
      <c r="P52" s="29" t="n">
        <v>2.275862068965204</v>
      </c>
      <c r="Q52" s="16" t="inlineStr">
        <is>
          <t>sí</t>
        </is>
      </c>
      <c r="R52" s="16" t="inlineStr">
        <is>
          <t>O2</t>
        </is>
      </c>
    </row>
    <row r="54">
      <c r="A54" s="33" t="inlineStr">
        <is>
          <t>Parte 6.1c · costo de exigir subenfriamiento · 131 puntos</t>
        </is>
      </c>
      <c r="B54" s="31" t="n"/>
      <c r="C54" s="31" t="n"/>
      <c r="D54" s="31" t="n"/>
      <c r="E54" s="31" t="n"/>
      <c r="F54" s="31" t="n"/>
      <c r="G54" s="31" t="n"/>
      <c r="H54" s="31" t="n"/>
      <c r="I54" s="31" t="n"/>
      <c r="J54" s="31" t="n"/>
      <c r="K54" s="31" t="n"/>
    </row>
    <row r="56">
      <c r="A56" s="34" t="inlineStr">
        <is>
          <t>Barrido de la parte 6.1c · 131 puntos</t>
        </is>
      </c>
    </row>
    <row r="57">
      <c r="A57" s="25" t="inlineStr">
        <is>
          <t>Todas las variables se mueven.</t>
        </is>
      </c>
    </row>
    <row r="58">
      <c r="A58" s="22" t="inlineStr">
        <is>
          <t>id_punto</t>
        </is>
      </c>
      <c r="B58" s="22" t="inlineStr">
        <is>
          <t>P_baja [kPa]</t>
        </is>
      </c>
      <c r="C58" s="22" t="inlineStr">
        <is>
          <t>Clase</t>
        </is>
      </c>
      <c r="D58" s="22" t="inlineStr">
        <is>
          <t>η [%]</t>
        </is>
      </c>
      <c r="E58" s="22" t="inlineStr">
        <is>
          <t>W_net [kW] (m_b = 1 kg/s)</t>
        </is>
      </c>
      <c r="F58" s="22" t="inlineStr">
        <is>
          <t>ΔP [kPa]</t>
        </is>
      </c>
      <c r="G58" s="22" t="inlineStr">
        <is>
          <t>r_P [–]</t>
        </is>
      </c>
      <c r="H58" s="22" t="inlineStr">
        <is>
          <t>Fuera de rango</t>
        </is>
      </c>
    </row>
    <row r="59">
      <c r="A59" s="16" t="inlineStr">
        <is>
          <t>KF-M06-SUB-0033</t>
        </is>
      </c>
      <c r="B59" s="35" t="n">
        <v>393.75</v>
      </c>
      <c r="C59" s="42" t="inlineStr">
        <is>
          <t>KALINA</t>
        </is>
      </c>
      <c r="D59" s="29" t="n">
        <v>15.48239750048667</v>
      </c>
      <c r="E59" s="35" t="inlineStr">
        <is>
          <t>—</t>
        </is>
      </c>
      <c r="F59" s="16" t="n"/>
      <c r="G59" s="16" t="n"/>
      <c r="H59" s="16" t="inlineStr">
        <is>
          <t>—</t>
        </is>
      </c>
    </row>
    <row r="60">
      <c r="A60" s="16" t="inlineStr">
        <is>
          <t>KF-M06-SUB-0110</t>
        </is>
      </c>
      <c r="B60" s="35" t="n">
        <v>393.75</v>
      </c>
      <c r="C60" s="42" t="inlineStr">
        <is>
          <t>KALINA</t>
        </is>
      </c>
      <c r="D60" s="29" t="n">
        <v>15.48239750048667</v>
      </c>
      <c r="E60" s="35" t="inlineStr">
        <is>
          <t>—</t>
        </is>
      </c>
      <c r="F60" s="16" t="n"/>
      <c r="G60" s="16" t="n"/>
      <c r="H60" s="16" t="inlineStr">
        <is>
          <t>—</t>
        </is>
      </c>
    </row>
    <row r="61">
      <c r="A61" s="16" t="inlineStr">
        <is>
          <t>KF-M06-SUB-0022</t>
        </is>
      </c>
      <c r="B61" s="35" t="n">
        <v>400</v>
      </c>
      <c r="C61" s="42" t="inlineStr">
        <is>
          <t>KALINA</t>
        </is>
      </c>
      <c r="D61" s="29" t="n">
        <v>10.80651724015787</v>
      </c>
      <c r="E61" s="35" t="inlineStr">
        <is>
          <t>—</t>
        </is>
      </c>
      <c r="F61" s="16" t="n"/>
      <c r="G61" s="16" t="n"/>
      <c r="H61" s="16" t="inlineStr">
        <is>
          <t>—</t>
        </is>
      </c>
    </row>
    <row r="62">
      <c r="A62" s="16" t="inlineStr">
        <is>
          <t>KF-M06-SUB-0011</t>
        </is>
      </c>
      <c r="B62" s="35" t="n">
        <v>400</v>
      </c>
      <c r="C62" s="42" t="inlineStr">
        <is>
          <t>KALINA</t>
        </is>
      </c>
      <c r="D62" s="29" t="n">
        <v>10.80651724015787</v>
      </c>
      <c r="E62" s="35" t="inlineStr">
        <is>
          <t>—</t>
        </is>
      </c>
      <c r="F62" s="16" t="n"/>
      <c r="G62" s="16" t="n"/>
      <c r="H62" s="16" t="inlineStr">
        <is>
          <t>—</t>
        </is>
      </c>
    </row>
    <row r="63">
      <c r="A63" s="16" t="inlineStr">
        <is>
          <t>KF-M06-SUB-0088</t>
        </is>
      </c>
      <c r="B63" s="35" t="n">
        <v>400</v>
      </c>
      <c r="C63" s="42" t="inlineStr">
        <is>
          <t>KALINA</t>
        </is>
      </c>
      <c r="D63" s="29" t="n">
        <v>15.59965738845141</v>
      </c>
      <c r="E63" s="35" t="inlineStr">
        <is>
          <t>—</t>
        </is>
      </c>
      <c r="F63" s="16" t="n"/>
      <c r="G63" s="16" t="n"/>
      <c r="H63" s="16" t="inlineStr">
        <is>
          <t>—</t>
        </is>
      </c>
    </row>
    <row r="64">
      <c r="A64" s="16" t="inlineStr">
        <is>
          <t>KF-M06-SUB-0099</t>
        </is>
      </c>
      <c r="B64" s="35" t="n">
        <v>400</v>
      </c>
      <c r="C64" s="42" t="inlineStr">
        <is>
          <t>KALINA</t>
        </is>
      </c>
      <c r="D64" s="29" t="n">
        <v>15.59965738845141</v>
      </c>
      <c r="E64" s="35" t="inlineStr">
        <is>
          <t>—</t>
        </is>
      </c>
      <c r="F64" s="16" t="n"/>
      <c r="G64" s="16" t="n"/>
      <c r="H64" s="16" t="inlineStr">
        <is>
          <t>—</t>
        </is>
      </c>
    </row>
    <row r="65">
      <c r="A65" s="16" t="inlineStr">
        <is>
          <t>KF-M06-SUB-0118</t>
        </is>
      </c>
      <c r="B65" s="35" t="n">
        <v>404.736328125</v>
      </c>
      <c r="C65" s="42" t="inlineStr">
        <is>
          <t>KALINA</t>
        </is>
      </c>
      <c r="D65" s="29" t="n">
        <v>15.2908673414482</v>
      </c>
      <c r="E65" s="35" t="inlineStr">
        <is>
          <t>—</t>
        </is>
      </c>
      <c r="F65" s="16" t="n"/>
      <c r="G65" s="16" t="n"/>
      <c r="H65" s="16" t="inlineStr">
        <is>
          <t>—</t>
        </is>
      </c>
    </row>
    <row r="66">
      <c r="A66" s="16" t="inlineStr">
        <is>
          <t>KF-M06-SUB-0119</t>
        </is>
      </c>
      <c r="B66" s="35" t="n">
        <v>410.2294921875</v>
      </c>
      <c r="C66" s="42" t="inlineStr">
        <is>
          <t>KALINA</t>
        </is>
      </c>
      <c r="D66" s="29" t="n">
        <v>15.19682047488179</v>
      </c>
      <c r="E66" s="35" t="inlineStr">
        <is>
          <t>—</t>
        </is>
      </c>
      <c r="F66" s="16" t="n"/>
      <c r="G66" s="16" t="n"/>
      <c r="H66" s="16" t="inlineStr">
        <is>
          <t>—</t>
        </is>
      </c>
    </row>
    <row r="67">
      <c r="A67" s="16" t="inlineStr">
        <is>
          <t>KF-M06-SUB-0120</t>
        </is>
      </c>
      <c r="B67" s="35" t="n">
        <v>412.97607421875</v>
      </c>
      <c r="C67" s="42" t="inlineStr">
        <is>
          <t>KALINA</t>
        </is>
      </c>
      <c r="D67" s="29" t="n">
        <v>15.15021507056964</v>
      </c>
      <c r="E67" s="35" t="inlineStr">
        <is>
          <t>—</t>
        </is>
      </c>
      <c r="F67" s="16" t="n"/>
      <c r="G67" s="16" t="n"/>
      <c r="H67" s="16" t="inlineStr">
        <is>
          <t>—</t>
        </is>
      </c>
    </row>
    <row r="68">
      <c r="A68" s="16" t="inlineStr">
        <is>
          <t>KF-M06-SUB-0117</t>
        </is>
      </c>
      <c r="B68" s="35" t="n">
        <v>415.72265625</v>
      </c>
      <c r="C68" s="42" t="inlineStr">
        <is>
          <t>KALINA</t>
        </is>
      </c>
      <c r="D68" s="29" t="n">
        <v>15.10388375892261</v>
      </c>
      <c r="E68" s="35" t="inlineStr">
        <is>
          <t>—</t>
        </is>
      </c>
      <c r="F68" s="16" t="n"/>
      <c r="G68" s="16" t="n"/>
      <c r="H68" s="16" t="inlineStr">
        <is>
          <t>—</t>
        </is>
      </c>
    </row>
    <row r="69">
      <c r="A69" s="16" t="inlineStr">
        <is>
          <t>KF-M06-SUB-0106</t>
        </is>
      </c>
      <c r="B69" s="35" t="n">
        <v>421.875</v>
      </c>
      <c r="C69" s="42" t="inlineStr">
        <is>
          <t>KALINA</t>
        </is>
      </c>
      <c r="D69" s="29" t="n">
        <v>15.21972990821607</v>
      </c>
      <c r="E69" s="35" t="inlineStr">
        <is>
          <t>—</t>
        </is>
      </c>
      <c r="F69" s="16" t="n"/>
      <c r="G69" s="16" t="n"/>
      <c r="H69" s="16" t="inlineStr">
        <is>
          <t>—</t>
        </is>
      </c>
    </row>
    <row r="70">
      <c r="A70" s="16" t="inlineStr">
        <is>
          <t>KF-M06-SUB-0029</t>
        </is>
      </c>
      <c r="B70" s="35" t="n">
        <v>421.875</v>
      </c>
      <c r="C70" s="42" t="inlineStr">
        <is>
          <t>KALINA</t>
        </is>
      </c>
      <c r="D70" s="29" t="n">
        <v>10.53841895122706</v>
      </c>
      <c r="E70" s="35" t="inlineStr">
        <is>
          <t>—</t>
        </is>
      </c>
      <c r="F70" s="16" t="n"/>
      <c r="G70" s="16" t="n"/>
      <c r="H70" s="16" t="inlineStr">
        <is>
          <t>—</t>
        </is>
      </c>
    </row>
    <row r="71">
      <c r="A71" s="16" t="inlineStr">
        <is>
          <t>KF-M06-SUB-0032</t>
        </is>
      </c>
      <c r="B71" s="35" t="n">
        <v>424.609375</v>
      </c>
      <c r="C71" s="42" t="inlineStr">
        <is>
          <t>KALINA</t>
        </is>
      </c>
      <c r="D71" s="29" t="n">
        <v>10.50578691682796</v>
      </c>
      <c r="E71" s="35" t="inlineStr">
        <is>
          <t>—</t>
        </is>
      </c>
      <c r="F71" s="16" t="n"/>
      <c r="G71" s="16" t="n"/>
      <c r="H71" s="16" t="inlineStr">
        <is>
          <t>—</t>
        </is>
      </c>
    </row>
    <row r="72">
      <c r="A72" s="16" t="inlineStr">
        <is>
          <t>KF-M06-SUB-0109</t>
        </is>
      </c>
      <c r="B72" s="35" t="n">
        <v>424.609375</v>
      </c>
      <c r="C72" s="42" t="inlineStr">
        <is>
          <t>KALINA</t>
        </is>
      </c>
      <c r="D72" s="29" t="n">
        <v>15.1734841621326</v>
      </c>
      <c r="E72" s="35" t="inlineStr">
        <is>
          <t>—</t>
        </is>
      </c>
      <c r="F72" s="16" t="n"/>
      <c r="G72" s="16" t="n"/>
      <c r="H72" s="16" t="inlineStr">
        <is>
          <t>—</t>
        </is>
      </c>
    </row>
    <row r="73">
      <c r="A73" s="16" t="inlineStr">
        <is>
          <t>KF-M06-SUB-0108</t>
        </is>
      </c>
      <c r="B73" s="35" t="n">
        <v>427.34375</v>
      </c>
      <c r="C73" s="42" t="inlineStr">
        <is>
          <t>KALINA</t>
        </is>
      </c>
      <c r="D73" s="29" t="n">
        <v>15.1275040059704</v>
      </c>
      <c r="E73" s="35" t="inlineStr">
        <is>
          <t>—</t>
        </is>
      </c>
      <c r="F73" s="16" t="n"/>
      <c r="G73" s="16" t="n"/>
      <c r="H73" s="16" t="inlineStr">
        <is>
          <t>—</t>
        </is>
      </c>
    </row>
    <row r="74">
      <c r="A74" s="16" t="inlineStr">
        <is>
          <t>KF-M06-SUB-0031</t>
        </is>
      </c>
      <c r="B74" s="35" t="n">
        <v>427.34375</v>
      </c>
      <c r="C74" s="42" t="inlineStr">
        <is>
          <t>KALINA</t>
        </is>
      </c>
      <c r="D74" s="29" t="n">
        <v>10.47334270680248</v>
      </c>
      <c r="E74" s="35" t="inlineStr">
        <is>
          <t>—</t>
        </is>
      </c>
      <c r="F74" s="16" t="n"/>
      <c r="G74" s="16" t="n"/>
      <c r="H74" s="16" t="inlineStr">
        <is>
          <t>—</t>
        </is>
      </c>
    </row>
    <row r="75">
      <c r="A75" s="16" t="inlineStr">
        <is>
          <t>KF-M06-SUB-0030</t>
        </is>
      </c>
      <c r="B75" s="35" t="n">
        <v>432.8125</v>
      </c>
      <c r="C75" s="42" t="inlineStr">
        <is>
          <t>KALINA</t>
        </is>
      </c>
      <c r="D75" s="29" t="n">
        <v>10.40900892316265</v>
      </c>
      <c r="E75" s="35" t="inlineStr">
        <is>
          <t>—</t>
        </is>
      </c>
      <c r="F75" s="16" t="n"/>
      <c r="G75" s="16" t="n"/>
      <c r="H75" s="16" t="inlineStr">
        <is>
          <t>—</t>
        </is>
      </c>
    </row>
    <row r="76">
      <c r="A76" s="16" t="inlineStr">
        <is>
          <t>KF-M06-SUB-0107</t>
        </is>
      </c>
      <c r="B76" s="35" t="n">
        <v>432.8125</v>
      </c>
      <c r="C76" s="42" t="inlineStr">
        <is>
          <t>KALINA</t>
        </is>
      </c>
      <c r="D76" s="29" t="n">
        <v>15.03632785156308</v>
      </c>
      <c r="E76" s="35" t="inlineStr">
        <is>
          <t>—</t>
        </is>
      </c>
      <c r="F76" s="16" t="n"/>
      <c r="G76" s="16" t="n"/>
      <c r="H76" s="16" t="inlineStr">
        <is>
          <t>—</t>
        </is>
      </c>
    </row>
    <row r="77">
      <c r="A77" s="16" t="inlineStr">
        <is>
          <t>KF-M06-SUB-0116</t>
        </is>
      </c>
      <c r="B77" s="35" t="n">
        <v>437.6953125</v>
      </c>
      <c r="C77" s="42" t="inlineStr">
        <is>
          <t>KALINA</t>
        </is>
      </c>
      <c r="D77" s="29" t="n">
        <v>14.74272871681457</v>
      </c>
      <c r="E77" s="35" t="inlineStr">
        <is>
          <t>—</t>
        </is>
      </c>
      <c r="F77" s="16" t="n"/>
      <c r="G77" s="16" t="n"/>
      <c r="H77" s="16" t="inlineStr">
        <is>
          <t>—</t>
        </is>
      </c>
    </row>
    <row r="78">
      <c r="A78" s="16" t="inlineStr">
        <is>
          <t>KF-M06-SUB-0105</t>
        </is>
      </c>
      <c r="B78" s="35" t="n">
        <v>443.75</v>
      </c>
      <c r="C78" s="42" t="inlineStr">
        <is>
          <t>KALINA</t>
        </is>
      </c>
      <c r="D78" s="29" t="n">
        <v>14.85702703809282</v>
      </c>
      <c r="E78" s="35" t="inlineStr">
        <is>
          <t>—</t>
        </is>
      </c>
      <c r="F78" s="16" t="n"/>
      <c r="G78" s="16" t="n"/>
      <c r="H78" s="16" t="inlineStr">
        <is>
          <t>—</t>
        </is>
      </c>
    </row>
    <row r="79">
      <c r="A79" s="16" t="inlineStr">
        <is>
          <t>KF-M06-SUB-0017</t>
        </is>
      </c>
      <c r="B79" s="35" t="n">
        <v>443.75</v>
      </c>
      <c r="C79" s="42" t="inlineStr">
        <is>
          <t>KALINA</t>
        </is>
      </c>
      <c r="D79" s="29" t="n">
        <v>10.2825001012298</v>
      </c>
      <c r="E79" s="35" t="inlineStr">
        <is>
          <t>—</t>
        </is>
      </c>
      <c r="F79" s="16" t="n"/>
      <c r="G79" s="16" t="n"/>
      <c r="H79" s="16" t="inlineStr">
        <is>
          <t>—</t>
        </is>
      </c>
    </row>
    <row r="80">
      <c r="A80" s="16" t="inlineStr">
        <is>
          <t>KF-M06-SUB-0028</t>
        </is>
      </c>
      <c r="B80" s="35" t="n">
        <v>443.75</v>
      </c>
      <c r="C80" s="42" t="inlineStr">
        <is>
          <t>KALINA</t>
        </is>
      </c>
      <c r="D80" s="29" t="n">
        <v>10.2825001012298</v>
      </c>
      <c r="E80" s="35" t="inlineStr">
        <is>
          <t>—</t>
        </is>
      </c>
      <c r="F80" s="16" t="n"/>
      <c r="G80" s="16" t="n"/>
      <c r="H80" s="16" t="inlineStr">
        <is>
          <t>—</t>
        </is>
      </c>
    </row>
    <row r="81">
      <c r="A81" s="16" t="inlineStr">
        <is>
          <t>KF-M06-SUB-0094</t>
        </is>
      </c>
      <c r="B81" s="35" t="n">
        <v>443.75</v>
      </c>
      <c r="C81" s="42" t="inlineStr">
        <is>
          <t>KALINA</t>
        </is>
      </c>
      <c r="D81" s="29" t="n">
        <v>14.85702703809282</v>
      </c>
      <c r="E81" s="35" t="inlineStr">
        <is>
          <t>—</t>
        </is>
      </c>
      <c r="F81" s="16" t="n"/>
      <c r="G81" s="16" t="n"/>
      <c r="H81" s="16" t="inlineStr">
        <is>
          <t>—</t>
        </is>
      </c>
    </row>
    <row r="82">
      <c r="A82" s="16" t="inlineStr">
        <is>
          <t>KF-M06-SUB-0095</t>
        </is>
      </c>
      <c r="B82" s="35" t="n">
        <v>465.625</v>
      </c>
      <c r="C82" s="42" t="inlineStr">
        <is>
          <t>KALINA</t>
        </is>
      </c>
      <c r="D82" s="29" t="n">
        <v>14.50999401900066</v>
      </c>
      <c r="E82" s="35" t="inlineStr">
        <is>
          <t>—</t>
        </is>
      </c>
      <c r="F82" s="16" t="n"/>
      <c r="G82" s="16" t="n"/>
      <c r="H82" s="16" t="inlineStr">
        <is>
          <t>—</t>
        </is>
      </c>
    </row>
    <row r="83">
      <c r="A83" s="16" t="inlineStr">
        <is>
          <t>KF-M06-SUB-0018</t>
        </is>
      </c>
      <c r="B83" s="35" t="n">
        <v>465.625</v>
      </c>
      <c r="C83" s="42" t="inlineStr">
        <is>
          <t>KALINA</t>
        </is>
      </c>
      <c r="D83" s="29" t="n">
        <v>10.03767131496503</v>
      </c>
      <c r="E83" s="35" t="inlineStr">
        <is>
          <t>—</t>
        </is>
      </c>
      <c r="F83" s="16" t="n"/>
      <c r="G83" s="16" t="n"/>
      <c r="H83" s="16" t="inlineStr">
        <is>
          <t>—</t>
        </is>
      </c>
    </row>
    <row r="84">
      <c r="A84" s="16" t="inlineStr">
        <is>
          <t>KF-M06-SUB-0098</t>
        </is>
      </c>
      <c r="B84" s="35" t="n">
        <v>468.359375</v>
      </c>
      <c r="C84" s="42" t="inlineStr">
        <is>
          <t>KALINA</t>
        </is>
      </c>
      <c r="D84" s="29" t="n">
        <v>14.46764749049818</v>
      </c>
      <c r="E84" s="35" t="inlineStr">
        <is>
          <t>—</t>
        </is>
      </c>
      <c r="F84" s="16" t="n"/>
      <c r="G84" s="16" t="n"/>
      <c r="H84" s="16" t="inlineStr">
        <is>
          <t>—</t>
        </is>
      </c>
    </row>
    <row r="85">
      <c r="A85" s="16" t="inlineStr">
        <is>
          <t>KF-M06-SUB-0021</t>
        </is>
      </c>
      <c r="B85" s="35" t="n">
        <v>468.359375</v>
      </c>
      <c r="C85" s="42" t="inlineStr">
        <is>
          <t>KALINA</t>
        </is>
      </c>
      <c r="D85" s="29" t="n">
        <v>10.00779894760822</v>
      </c>
      <c r="E85" s="35" t="inlineStr">
        <is>
          <t>—</t>
        </is>
      </c>
      <c r="F85" s="16" t="n"/>
      <c r="G85" s="16" t="n"/>
      <c r="H85" s="16" t="inlineStr">
        <is>
          <t>—</t>
        </is>
      </c>
    </row>
    <row r="86">
      <c r="A86" s="16" t="inlineStr">
        <is>
          <t>KF-M06-SUB-0020</t>
        </is>
      </c>
      <c r="B86" s="35" t="n">
        <v>471.09375</v>
      </c>
      <c r="C86" s="42" t="inlineStr">
        <is>
          <t>KALINA</t>
        </is>
      </c>
      <c r="D86" s="29" t="n">
        <v>9.97808320884722</v>
      </c>
      <c r="E86" s="35" t="inlineStr">
        <is>
          <t>—</t>
        </is>
      </c>
      <c r="F86" s="16" t="n"/>
      <c r="G86" s="16" t="n"/>
      <c r="H86" s="16" t="inlineStr">
        <is>
          <t>—</t>
        </is>
      </c>
    </row>
    <row r="87">
      <c r="A87" s="16" t="inlineStr">
        <is>
          <t>KF-M06-SUB-0097</t>
        </is>
      </c>
      <c r="B87" s="35" t="n">
        <v>471.09375</v>
      </c>
      <c r="C87" s="42" t="inlineStr">
        <is>
          <t>KALINA</t>
        </is>
      </c>
      <c r="D87" s="29" t="n">
        <v>14.42552206885472</v>
      </c>
      <c r="E87" s="35" t="inlineStr">
        <is>
          <t>—</t>
        </is>
      </c>
      <c r="F87" s="16" t="n"/>
      <c r="G87" s="16" t="n"/>
      <c r="H87" s="16" t="inlineStr">
        <is>
          <t>—</t>
        </is>
      </c>
    </row>
    <row r="88">
      <c r="A88" s="16" t="inlineStr">
        <is>
          <t>KF-M06-SUB-0019</t>
        </is>
      </c>
      <c r="B88" s="35" t="n">
        <v>476.5625</v>
      </c>
      <c r="C88" s="42" t="inlineStr">
        <is>
          <t>KALINA</t>
        </is>
      </c>
      <c r="D88" s="29" t="n">
        <v>9.91911492410874</v>
      </c>
      <c r="E88" s="35" t="inlineStr">
        <is>
          <t>—</t>
        </is>
      </c>
      <c r="F88" s="16" t="n"/>
      <c r="G88" s="16" t="n"/>
      <c r="H88" s="16" t="inlineStr">
        <is>
          <t>—</t>
        </is>
      </c>
    </row>
    <row r="89">
      <c r="A89" s="16" t="inlineStr">
        <is>
          <t>KF-M06-SUB-0096</t>
        </is>
      </c>
      <c r="B89" s="35" t="n">
        <v>476.5625</v>
      </c>
      <c r="C89" s="42" t="inlineStr">
        <is>
          <t>KALINA</t>
        </is>
      </c>
      <c r="D89" s="29" t="n">
        <v>14.34192501287697</v>
      </c>
      <c r="E89" s="35" t="inlineStr">
        <is>
          <t>—</t>
        </is>
      </c>
      <c r="F89" s="16" t="n"/>
      <c r="G89" s="16" t="n"/>
      <c r="H89" s="16" t="inlineStr">
        <is>
          <t>—</t>
        </is>
      </c>
    </row>
    <row r="90">
      <c r="A90" s="16" t="inlineStr">
        <is>
          <t>KF-M06-SUB-0115</t>
        </is>
      </c>
      <c r="B90" s="35" t="n">
        <v>481.640625</v>
      </c>
      <c r="C90" s="42" t="inlineStr">
        <is>
          <t>KALINA</t>
        </is>
      </c>
      <c r="D90" s="29" t="n">
        <v>14.06628339117953</v>
      </c>
      <c r="E90" s="35" t="inlineStr">
        <is>
          <t>—</t>
        </is>
      </c>
      <c r="F90" s="16" t="n"/>
      <c r="G90" s="16" t="n"/>
      <c r="H90" s="16" t="inlineStr">
        <is>
          <t>—</t>
        </is>
      </c>
    </row>
    <row r="91">
      <c r="A91" s="16" t="inlineStr">
        <is>
          <t>KF-M06-SUB-0093</t>
        </is>
      </c>
      <c r="B91" s="35" t="n">
        <v>487.5</v>
      </c>
      <c r="C91" s="42" t="inlineStr">
        <is>
          <t>KALINA</t>
        </is>
      </c>
      <c r="D91" s="29" t="n">
        <v>14.17728148132167</v>
      </c>
      <c r="E91" s="35" t="inlineStr">
        <is>
          <t>—</t>
        </is>
      </c>
      <c r="F91" s="16" t="n"/>
      <c r="G91" s="16" t="n"/>
      <c r="H91" s="16" t="inlineStr">
        <is>
          <t>—</t>
        </is>
      </c>
    </row>
    <row r="92">
      <c r="A92" s="16" t="inlineStr">
        <is>
          <t>KF-M06-SUB-0027</t>
        </is>
      </c>
      <c r="B92" s="35" t="n">
        <v>487.5</v>
      </c>
      <c r="C92" s="42" t="inlineStr">
        <is>
          <t>KALINA</t>
        </is>
      </c>
      <c r="D92" s="29" t="n">
        <v>9.802985781316149</v>
      </c>
      <c r="E92" s="35" t="inlineStr">
        <is>
          <t>—</t>
        </is>
      </c>
      <c r="F92" s="16" t="n"/>
      <c r="G92" s="16" t="n"/>
      <c r="H92" s="16" t="inlineStr">
        <is>
          <t>—</t>
        </is>
      </c>
    </row>
    <row r="93">
      <c r="A93" s="16" t="inlineStr">
        <is>
          <t>KF-M06-SUB-0016</t>
        </is>
      </c>
      <c r="B93" s="35" t="n">
        <v>487.5</v>
      </c>
      <c r="C93" s="42" t="inlineStr">
        <is>
          <t>KALINA</t>
        </is>
      </c>
      <c r="D93" s="29" t="n">
        <v>9.802985781316149</v>
      </c>
      <c r="E93" s="35" t="inlineStr">
        <is>
          <t>—</t>
        </is>
      </c>
      <c r="F93" s="16" t="n"/>
      <c r="G93" s="16" t="n"/>
      <c r="H93" s="16" t="inlineStr">
        <is>
          <t>—</t>
        </is>
      </c>
    </row>
    <row r="94">
      <c r="A94" s="16" t="inlineStr">
        <is>
          <t>KF-M06-SUB-0104</t>
        </is>
      </c>
      <c r="B94" s="35" t="n">
        <v>487.5</v>
      </c>
      <c r="C94" s="42" t="inlineStr">
        <is>
          <t>KALINA</t>
        </is>
      </c>
      <c r="D94" s="29" t="n">
        <v>14.17728148132167</v>
      </c>
      <c r="E94" s="35" t="inlineStr">
        <is>
          <t>—</t>
        </is>
      </c>
      <c r="F94" s="16" t="n"/>
      <c r="G94" s="16" t="n"/>
      <c r="H94" s="16" t="inlineStr">
        <is>
          <t>—</t>
        </is>
      </c>
    </row>
    <row r="95">
      <c r="A95" s="16" t="inlineStr">
        <is>
          <t>KF-M06-SUB-0044</t>
        </is>
      </c>
      <c r="B95" s="35" t="n">
        <v>563.6363636363637</v>
      </c>
      <c r="C95" s="42" t="inlineStr">
        <is>
          <t>KALINA</t>
        </is>
      </c>
      <c r="D95" s="29" t="n">
        <v>8.481891205006569</v>
      </c>
      <c r="E95" s="35" t="inlineStr">
        <is>
          <t>—</t>
        </is>
      </c>
      <c r="F95" s="16" t="n"/>
      <c r="G95" s="16" t="n"/>
      <c r="H95" s="16" t="inlineStr">
        <is>
          <t>—</t>
        </is>
      </c>
    </row>
    <row r="96">
      <c r="A96" s="16" t="inlineStr">
        <is>
          <t>KF-M06-SUB-0034</t>
        </is>
      </c>
      <c r="B96" s="35" t="n">
        <v>563.6363636363637</v>
      </c>
      <c r="C96" s="42" t="inlineStr">
        <is>
          <t>KALINA</t>
        </is>
      </c>
      <c r="D96" s="29" t="n">
        <v>8.481891205006569</v>
      </c>
      <c r="E96" s="35" t="inlineStr">
        <is>
          <t>—</t>
        </is>
      </c>
      <c r="F96" s="16" t="n"/>
      <c r="G96" s="16" t="n"/>
      <c r="H96" s="16" t="inlineStr">
        <is>
          <t>—</t>
        </is>
      </c>
    </row>
    <row r="97">
      <c r="A97" s="16" t="inlineStr">
        <is>
          <t>KF-M06-SUB-0114</t>
        </is>
      </c>
      <c r="B97" s="35" t="n">
        <v>569.53125</v>
      </c>
      <c r="C97" s="42" t="inlineStr">
        <is>
          <t>KALINA</t>
        </is>
      </c>
      <c r="D97" s="29" t="n">
        <v>12.8640736468925</v>
      </c>
      <c r="E97" s="35" t="inlineStr">
        <is>
          <t>—</t>
        </is>
      </c>
      <c r="F97" s="16" t="n"/>
      <c r="G97" s="16" t="n"/>
      <c r="H97" s="16" t="inlineStr">
        <is>
          <t>—</t>
        </is>
      </c>
    </row>
    <row r="98">
      <c r="A98" s="16" t="inlineStr">
        <is>
          <t>KF-M06-SUB-0015</t>
        </is>
      </c>
      <c r="B98" s="35" t="n">
        <v>575</v>
      </c>
      <c r="C98" s="42" t="inlineStr">
        <is>
          <t>KALINA</t>
        </is>
      </c>
      <c r="D98" s="29" t="n">
        <v>8.95051947052397</v>
      </c>
      <c r="E98" s="35" t="inlineStr">
        <is>
          <t>—</t>
        </is>
      </c>
      <c r="F98" s="16" t="n"/>
      <c r="G98" s="16" t="n"/>
      <c r="H98" s="16" t="inlineStr">
        <is>
          <t>—</t>
        </is>
      </c>
    </row>
    <row r="99">
      <c r="A99" s="16" t="inlineStr">
        <is>
          <t>KF-M06-SUB-0103</t>
        </is>
      </c>
      <c r="B99" s="35" t="n">
        <v>575</v>
      </c>
      <c r="C99" s="42" t="inlineStr">
        <is>
          <t>KALINA</t>
        </is>
      </c>
      <c r="D99" s="29" t="n">
        <v>12.9680666419188</v>
      </c>
      <c r="E99" s="35" t="inlineStr">
        <is>
          <t>—</t>
        </is>
      </c>
      <c r="F99" s="16" t="n"/>
      <c r="G99" s="16" t="n"/>
      <c r="H99" s="16" t="inlineStr">
        <is>
          <t>—</t>
        </is>
      </c>
    </row>
    <row r="100">
      <c r="A100" s="16" t="inlineStr">
        <is>
          <t>KF-M06-SUB-0092</t>
        </is>
      </c>
      <c r="B100" s="35" t="n">
        <v>575</v>
      </c>
      <c r="C100" s="42" t="inlineStr">
        <is>
          <t>KALINA</t>
        </is>
      </c>
      <c r="D100" s="29" t="n">
        <v>12.9680666419188</v>
      </c>
      <c r="E100" s="35" t="inlineStr">
        <is>
          <t>—</t>
        </is>
      </c>
      <c r="F100" s="16" t="n"/>
      <c r="G100" s="16" t="n"/>
      <c r="H100" s="16" t="inlineStr">
        <is>
          <t>—</t>
        </is>
      </c>
    </row>
    <row r="101">
      <c r="A101" s="16" t="inlineStr">
        <is>
          <t>KF-M06-SUB-0026</t>
        </is>
      </c>
      <c r="B101" s="35" t="n">
        <v>575</v>
      </c>
      <c r="C101" s="42" t="inlineStr">
        <is>
          <t>KALINA</t>
        </is>
      </c>
      <c r="D101" s="29" t="n">
        <v>8.95051947052397</v>
      </c>
      <c r="E101" s="35" t="inlineStr">
        <is>
          <t>—</t>
        </is>
      </c>
      <c r="F101" s="16" t="n"/>
      <c r="G101" s="16" t="n"/>
      <c r="H101" s="16" t="inlineStr">
        <is>
          <t>—</t>
        </is>
      </c>
    </row>
    <row r="102">
      <c r="A102" s="16" t="inlineStr">
        <is>
          <t>KF-M06-SUB-0041</t>
        </is>
      </c>
      <c r="B102" s="35" t="n">
        <v>582.9545454545455</v>
      </c>
      <c r="C102" s="42" t="inlineStr">
        <is>
          <t>KALINA</t>
        </is>
      </c>
      <c r="D102" s="29" t="n">
        <v>8.31516690957559</v>
      </c>
      <c r="E102" s="35" t="inlineStr">
        <is>
          <t>—</t>
        </is>
      </c>
      <c r="F102" s="16" t="n"/>
      <c r="G102" s="16" t="n"/>
      <c r="H102" s="16" t="inlineStr">
        <is>
          <t>—</t>
        </is>
      </c>
    </row>
    <row r="103">
      <c r="A103" s="16" t="inlineStr">
        <is>
          <t>KF-M06-SUB-0042</t>
        </is>
      </c>
      <c r="B103" s="35" t="n">
        <v>592.6136363636365</v>
      </c>
      <c r="C103" s="42" t="inlineStr">
        <is>
          <t>KALINA</t>
        </is>
      </c>
      <c r="D103" s="29" t="n">
        <v>8.23368493397075</v>
      </c>
      <c r="E103" s="35" t="inlineStr">
        <is>
          <t>—</t>
        </is>
      </c>
      <c r="F103" s="16" t="n"/>
      <c r="G103" s="16" t="n"/>
      <c r="H103" s="16" t="inlineStr">
        <is>
          <t>—</t>
        </is>
      </c>
    </row>
    <row r="104">
      <c r="A104" s="16" t="inlineStr">
        <is>
          <t>KF-M06-SUB-0043</t>
        </is>
      </c>
      <c r="B104" s="35" t="n">
        <v>597.443181818182</v>
      </c>
      <c r="C104" s="42" t="inlineStr">
        <is>
          <t>KALINA</t>
        </is>
      </c>
      <c r="D104" s="29" t="n">
        <v>8.19339756867584</v>
      </c>
      <c r="E104" s="35" t="inlineStr">
        <is>
          <t>—</t>
        </is>
      </c>
      <c r="F104" s="16" t="n"/>
      <c r="G104" s="16" t="n"/>
      <c r="H104" s="16" t="inlineStr">
        <is>
          <t>—</t>
        </is>
      </c>
    </row>
    <row r="105">
      <c r="A105" s="16" t="inlineStr">
        <is>
          <t>KF-M06-SUB-0040</t>
        </is>
      </c>
      <c r="B105" s="35" t="n">
        <v>602.2727272727274</v>
      </c>
      <c r="C105" s="42" t="inlineStr">
        <is>
          <t>KALINA</t>
        </is>
      </c>
      <c r="D105" s="29" t="n">
        <v>8.1534066504303</v>
      </c>
      <c r="E105" s="35" t="inlineStr">
        <is>
          <t>—</t>
        </is>
      </c>
      <c r="F105" s="16" t="n"/>
      <c r="G105" s="16" t="n"/>
      <c r="H105" s="16" t="inlineStr">
        <is>
          <t>—</t>
        </is>
      </c>
    </row>
    <row r="106">
      <c r="A106" s="16" t="inlineStr">
        <is>
          <t>KF-M06-SUB-0039</t>
        </is>
      </c>
      <c r="B106" s="35" t="n">
        <v>640.909090909091</v>
      </c>
      <c r="C106" s="42" t="inlineStr">
        <is>
          <t>KALINA</t>
        </is>
      </c>
      <c r="D106" s="29" t="n">
        <v>7.843649391552191</v>
      </c>
      <c r="E106" s="35" t="inlineStr">
        <is>
          <t>—</t>
        </is>
      </c>
      <c r="F106" s="16" t="n"/>
      <c r="G106" s="16" t="n"/>
      <c r="H106" s="16" t="inlineStr">
        <is>
          <t>—</t>
        </is>
      </c>
    </row>
    <row r="107">
      <c r="A107" s="16" t="inlineStr">
        <is>
          <t>KF-M06-SUB-0049</t>
        </is>
      </c>
      <c r="B107" s="35" t="n">
        <v>640.909090909091</v>
      </c>
      <c r="C107" s="42" t="inlineStr">
        <is>
          <t>KALINA</t>
        </is>
      </c>
      <c r="D107" s="29" t="n">
        <v>7.843649391552191</v>
      </c>
      <c r="E107" s="35" t="inlineStr">
        <is>
          <t>—</t>
        </is>
      </c>
      <c r="F107" s="16" t="n"/>
      <c r="G107" s="16" t="n"/>
      <c r="H107" s="16" t="inlineStr">
        <is>
          <t>—</t>
        </is>
      </c>
    </row>
    <row r="108">
      <c r="A108" s="16" t="inlineStr">
        <is>
          <t>KF-M06-SUB-0053</t>
        </is>
      </c>
      <c r="B108" s="35" t="n">
        <v>645.7386363636365</v>
      </c>
      <c r="C108" s="42" t="inlineStr">
        <is>
          <t>KALINA</t>
        </is>
      </c>
      <c r="D108" s="29" t="n">
        <v>7.80614195060541</v>
      </c>
      <c r="E108" s="35" t="inlineStr">
        <is>
          <t>—</t>
        </is>
      </c>
      <c r="F108" s="16" t="n"/>
      <c r="G108" s="16" t="n"/>
      <c r="H108" s="16" t="inlineStr">
        <is>
          <t>—</t>
        </is>
      </c>
    </row>
    <row r="109">
      <c r="A109" s="16" t="inlineStr">
        <is>
          <t>KF-M06-SUB-0052</t>
        </is>
      </c>
      <c r="B109" s="35" t="n">
        <v>650.5681818181819</v>
      </c>
      <c r="C109" s="42" t="inlineStr">
        <is>
          <t>KALINA</t>
        </is>
      </c>
      <c r="D109" s="29" t="n">
        <v>7.76889153591226</v>
      </c>
      <c r="E109" s="35" t="inlineStr">
        <is>
          <t>—</t>
        </is>
      </c>
      <c r="F109" s="16" t="n"/>
      <c r="G109" s="16" t="n"/>
      <c r="H109" s="16" t="inlineStr">
        <is>
          <t>—</t>
        </is>
      </c>
    </row>
    <row r="110">
      <c r="A110" s="16" t="inlineStr">
        <is>
          <t>KF-M06-SUB-0051</t>
        </is>
      </c>
      <c r="B110" s="35" t="n">
        <v>660.2272727272727</v>
      </c>
      <c r="C110" s="42" t="inlineStr">
        <is>
          <t>KALINA</t>
        </is>
      </c>
      <c r="D110" s="29" t="n">
        <v>7.695147887821189</v>
      </c>
      <c r="E110" s="35" t="inlineStr">
        <is>
          <t>—</t>
        </is>
      </c>
      <c r="F110" s="16" t="n"/>
      <c r="G110" s="16" t="n"/>
      <c r="H110" s="16" t="inlineStr">
        <is>
          <t>—</t>
        </is>
      </c>
    </row>
    <row r="111">
      <c r="A111" s="16" t="inlineStr">
        <is>
          <t>KF-M06-SUB-0050</t>
        </is>
      </c>
      <c r="B111" s="35" t="n">
        <v>679.5454545454546</v>
      </c>
      <c r="C111" s="42" t="inlineStr">
        <is>
          <t>KALINA</t>
        </is>
      </c>
      <c r="D111" s="29" t="n">
        <v>7.55059598817112</v>
      </c>
      <c r="E111" s="35" t="inlineStr">
        <is>
          <t>—</t>
        </is>
      </c>
      <c r="F111" s="16" t="n"/>
      <c r="G111" s="16" t="n"/>
      <c r="H111" s="16" t="inlineStr">
        <is>
          <t>—</t>
        </is>
      </c>
    </row>
    <row r="112">
      <c r="A112" s="16" t="inlineStr">
        <is>
          <t>KF-M06-SUB-0048</t>
        </is>
      </c>
      <c r="B112" s="35" t="n">
        <v>718.1818181818182</v>
      </c>
      <c r="C112" s="42" t="inlineStr">
        <is>
          <t>KALINA</t>
        </is>
      </c>
      <c r="D112" s="29" t="n">
        <v>7.272541471219999</v>
      </c>
      <c r="E112" s="35" t="inlineStr">
        <is>
          <t>—</t>
        </is>
      </c>
      <c r="F112" s="16" t="n"/>
      <c r="G112" s="16" t="n"/>
      <c r="H112" s="16" t="inlineStr">
        <is>
          <t>—</t>
        </is>
      </c>
    </row>
    <row r="113">
      <c r="A113" s="16" t="inlineStr">
        <is>
          <t>KF-M06-SUB-0038</t>
        </is>
      </c>
      <c r="B113" s="35" t="n">
        <v>718.1818181818182</v>
      </c>
      <c r="C113" s="42" t="inlineStr">
        <is>
          <t>KALINA</t>
        </is>
      </c>
      <c r="D113" s="29" t="n">
        <v>7.272541471219999</v>
      </c>
      <c r="E113" s="35" t="inlineStr">
        <is>
          <t>—</t>
        </is>
      </c>
      <c r="F113" s="16" t="n"/>
      <c r="G113" s="16" t="n"/>
      <c r="H113" s="16" t="inlineStr">
        <is>
          <t>—</t>
        </is>
      </c>
    </row>
    <row r="114">
      <c r="A114" s="16" t="inlineStr">
        <is>
          <t>KF-M06-SUB-0065</t>
        </is>
      </c>
      <c r="B114" s="35" t="n">
        <v>736.3636363639999</v>
      </c>
      <c r="C114" s="42" t="inlineStr">
        <is>
          <t>KALINA</t>
        </is>
      </c>
      <c r="D114" s="29" t="n">
        <v>9.15042106800586</v>
      </c>
      <c r="E114" s="35" t="inlineStr">
        <is>
          <t>—</t>
        </is>
      </c>
      <c r="F114" s="16" t="n"/>
      <c r="G114" s="16" t="n"/>
      <c r="H114" s="16" t="inlineStr">
        <is>
          <t>—</t>
        </is>
      </c>
    </row>
    <row r="115">
      <c r="A115" s="16" t="inlineStr">
        <is>
          <t>KF-M06-SUB-0055</t>
        </is>
      </c>
      <c r="B115" s="35" t="n">
        <v>736.3636363639999</v>
      </c>
      <c r="C115" s="42" t="inlineStr">
        <is>
          <t>KALINA</t>
        </is>
      </c>
      <c r="D115" s="29" t="n">
        <v>9.15042106800586</v>
      </c>
      <c r="E115" s="35" t="inlineStr">
        <is>
          <t>—</t>
        </is>
      </c>
      <c r="F115" s="16" t="n"/>
      <c r="G115" s="16" t="n"/>
      <c r="H115" s="16" t="inlineStr">
        <is>
          <t>—</t>
        </is>
      </c>
    </row>
    <row r="116">
      <c r="A116" s="16" t="inlineStr">
        <is>
          <t>KF-M06-SUB-0113</t>
        </is>
      </c>
      <c r="B116" s="35" t="n">
        <v>745.3125</v>
      </c>
      <c r="C116" s="42" t="inlineStr">
        <is>
          <t>KALINA</t>
        </is>
      </c>
      <c r="D116" s="29" t="n">
        <v>10.89034716384622</v>
      </c>
      <c r="E116" s="35" t="inlineStr">
        <is>
          <t>—</t>
        </is>
      </c>
      <c r="F116" s="16" t="n"/>
      <c r="G116" s="16" t="n"/>
      <c r="H116" s="16" t="inlineStr">
        <is>
          <t>—</t>
        </is>
      </c>
    </row>
    <row r="117">
      <c r="A117" s="16" t="inlineStr">
        <is>
          <t>KF-M06-SUB-0014</t>
        </is>
      </c>
      <c r="B117" s="35" t="n">
        <v>750</v>
      </c>
      <c r="C117" s="42" t="inlineStr">
        <is>
          <t>KALINA</t>
        </is>
      </c>
      <c r="D117" s="29" t="n">
        <v>7.55211125581106</v>
      </c>
      <c r="E117" s="35" t="inlineStr">
        <is>
          <t>—</t>
        </is>
      </c>
      <c r="F117" s="16" t="n"/>
      <c r="G117" s="16" t="n"/>
      <c r="H117" s="16" t="inlineStr">
        <is>
          <t>—</t>
        </is>
      </c>
    </row>
    <row r="118">
      <c r="A118" s="16" t="inlineStr">
        <is>
          <t>KF-M06-SUB-0025</t>
        </is>
      </c>
      <c r="B118" s="35" t="n">
        <v>750</v>
      </c>
      <c r="C118" s="42" t="inlineStr">
        <is>
          <t>KALINA</t>
        </is>
      </c>
      <c r="D118" s="29" t="n">
        <v>7.55211125581106</v>
      </c>
      <c r="E118" s="35" t="inlineStr">
        <is>
          <t>—</t>
        </is>
      </c>
      <c r="F118" s="16" t="n"/>
      <c r="G118" s="16" t="n"/>
      <c r="H118" s="16" t="inlineStr">
        <is>
          <t>—</t>
        </is>
      </c>
    </row>
    <row r="119">
      <c r="A119" s="16" t="inlineStr">
        <is>
          <t>KF-M06-SUB-0102</t>
        </is>
      </c>
      <c r="B119" s="35" t="n">
        <v>750</v>
      </c>
      <c r="C119" s="42" t="inlineStr">
        <is>
          <t>KALINA</t>
        </is>
      </c>
      <c r="D119" s="29" t="n">
        <v>10.98075142927483</v>
      </c>
      <c r="E119" s="35" t="inlineStr">
        <is>
          <t>—</t>
        </is>
      </c>
      <c r="F119" s="16" t="n"/>
      <c r="G119" s="16" t="n"/>
      <c r="H119" s="16" t="inlineStr">
        <is>
          <t>—</t>
        </is>
      </c>
    </row>
    <row r="120">
      <c r="A120" s="16" t="inlineStr">
        <is>
          <t>KF-M06-SUB-0091</t>
        </is>
      </c>
      <c r="B120" s="35" t="n">
        <v>750</v>
      </c>
      <c r="C120" s="42" t="inlineStr">
        <is>
          <t>KALINA</t>
        </is>
      </c>
      <c r="D120" s="29" t="n">
        <v>10.98075142927483</v>
      </c>
      <c r="E120" s="35" t="inlineStr">
        <is>
          <t>—</t>
        </is>
      </c>
      <c r="F120" s="16" t="n"/>
      <c r="G120" s="16" t="n"/>
      <c r="H120" s="16" t="inlineStr">
        <is>
          <t>—</t>
        </is>
      </c>
    </row>
    <row r="121">
      <c r="A121" s="16" t="inlineStr">
        <is>
          <t>KF-M06-SUB-0061</t>
        </is>
      </c>
      <c r="B121" s="35" t="n">
        <v>769.6022727276249</v>
      </c>
      <c r="C121" s="42" t="inlineStr">
        <is>
          <t>KALINA</t>
        </is>
      </c>
      <c r="D121" s="29" t="n">
        <v>8.875313700233981</v>
      </c>
      <c r="E121" s="35" t="inlineStr">
        <is>
          <t>—</t>
        </is>
      </c>
      <c r="F121" s="16" t="n"/>
      <c r="G121" s="16" t="n"/>
      <c r="H121" s="16" t="inlineStr">
        <is>
          <t>—</t>
        </is>
      </c>
    </row>
    <row r="122">
      <c r="A122" s="16" t="inlineStr">
        <is>
          <t>KF-M06-SUB-0063</t>
        </is>
      </c>
      <c r="B122" s="35" t="n">
        <v>777.9119318185312</v>
      </c>
      <c r="C122" s="42" t="inlineStr">
        <is>
          <t>KALINA</t>
        </is>
      </c>
      <c r="D122" s="29" t="n">
        <v>8.80822262044221</v>
      </c>
      <c r="E122" s="35" t="inlineStr">
        <is>
          <t>—</t>
        </is>
      </c>
      <c r="F122" s="16" t="n"/>
      <c r="G122" s="16" t="n"/>
      <c r="H122" s="16" t="inlineStr">
        <is>
          <t>—</t>
        </is>
      </c>
    </row>
    <row r="123">
      <c r="A123" s="16" t="inlineStr">
        <is>
          <t>KF-M06-SUB-0064</t>
        </is>
      </c>
      <c r="B123" s="35" t="n">
        <v>782.0667613639844</v>
      </c>
      <c r="C123" s="42" t="inlineStr">
        <is>
          <t>KALINA</t>
        </is>
      </c>
      <c r="D123" s="29" t="n">
        <v>8.774920715441489</v>
      </c>
      <c r="E123" s="35" t="inlineStr">
        <is>
          <t>—</t>
        </is>
      </c>
      <c r="F123" s="16" t="n"/>
      <c r="G123" s="16" t="n"/>
      <c r="H123" s="16" t="inlineStr">
        <is>
          <t>—</t>
        </is>
      </c>
    </row>
    <row r="124">
      <c r="A124" s="16" t="inlineStr">
        <is>
          <t>KF-M06-SUB-0062</t>
        </is>
      </c>
      <c r="B124" s="35" t="n">
        <v>786.2215909094374</v>
      </c>
      <c r="C124" s="42" t="inlineStr">
        <is>
          <t>KALINA</t>
        </is>
      </c>
      <c r="D124" s="29" t="n">
        <v>8.74177909650391</v>
      </c>
      <c r="E124" s="35" t="inlineStr">
        <is>
          <t>—</t>
        </is>
      </c>
      <c r="F124" s="16" t="n"/>
      <c r="G124" s="16" t="n"/>
      <c r="H124" s="16" t="inlineStr">
        <is>
          <t>—</t>
        </is>
      </c>
    </row>
    <row r="125">
      <c r="A125" s="16" t="inlineStr">
        <is>
          <t>KF-M06-SUB-0060</t>
        </is>
      </c>
      <c r="B125" s="35" t="n">
        <v>802.8409090912498</v>
      </c>
      <c r="C125" s="42" t="inlineStr">
        <is>
          <t>KALINA</t>
        </is>
      </c>
      <c r="D125" s="29" t="n">
        <v>8.610784382120611</v>
      </c>
      <c r="E125" s="35" t="inlineStr">
        <is>
          <t>—</t>
        </is>
      </c>
      <c r="F125" s="16" t="n"/>
      <c r="G125" s="16" t="n"/>
      <c r="H125" s="16" t="inlineStr">
        <is>
          <t>—</t>
        </is>
      </c>
    </row>
    <row r="126">
      <c r="A126" s="16" t="inlineStr">
        <is>
          <t>KF-M06-SUB-0070</t>
        </is>
      </c>
      <c r="B126" s="35" t="n">
        <v>802.8409090912498</v>
      </c>
      <c r="C126" s="42" t="inlineStr">
        <is>
          <t>KALINA</t>
        </is>
      </c>
      <c r="D126" s="29" t="n">
        <v>8.610784382120611</v>
      </c>
      <c r="E126" s="35" t="inlineStr">
        <is>
          <t>—</t>
        </is>
      </c>
      <c r="F126" s="16" t="n"/>
      <c r="G126" s="16" t="n"/>
      <c r="H126" s="16" t="inlineStr">
        <is>
          <t>—</t>
        </is>
      </c>
    </row>
    <row r="127">
      <c r="A127" s="16" t="inlineStr">
        <is>
          <t>KF-M06-SUB-0077</t>
        </is>
      </c>
      <c r="B127" s="35" t="n">
        <v>808.3402577390962</v>
      </c>
      <c r="C127" s="42" t="inlineStr">
        <is>
          <t>KALINA</t>
        </is>
      </c>
      <c r="D127" s="29" t="n">
        <v>14.97793863825945</v>
      </c>
      <c r="E127" s="35" t="inlineStr">
        <is>
          <t>—</t>
        </is>
      </c>
      <c r="F127" s="16" t="n"/>
      <c r="G127" s="16" t="n"/>
      <c r="H127" s="16" t="inlineStr">
        <is>
          <t>—</t>
        </is>
      </c>
    </row>
    <row r="128">
      <c r="A128" s="16" t="inlineStr">
        <is>
          <t>KF-M06-SUB-0000</t>
        </is>
      </c>
      <c r="B128" s="35" t="n">
        <v>808.3402577390962</v>
      </c>
      <c r="C128" s="42" t="inlineStr">
        <is>
          <t>KALINA</t>
        </is>
      </c>
      <c r="D128" s="29" t="n">
        <v>14.97793863825945</v>
      </c>
      <c r="E128" s="35" t="inlineStr">
        <is>
          <t>—</t>
        </is>
      </c>
      <c r="F128" s="16" t="n"/>
      <c r="G128" s="16" t="n"/>
      <c r="H128" s="16" t="inlineStr">
        <is>
          <t>—</t>
        </is>
      </c>
    </row>
    <row r="129">
      <c r="A129" s="16" t="inlineStr">
        <is>
          <t>KF-M06-SUB-0071</t>
        </is>
      </c>
      <c r="B129" s="35" t="n">
        <v>836.0795454548748</v>
      </c>
      <c r="C129" s="42" t="inlineStr">
        <is>
          <t>KALINA</t>
        </is>
      </c>
      <c r="D129" s="29" t="n">
        <v>8.356032272920579</v>
      </c>
      <c r="E129" s="35" t="inlineStr">
        <is>
          <t>—</t>
        </is>
      </c>
      <c r="F129" s="16" t="n"/>
      <c r="G129" s="16" t="n"/>
      <c r="H129" s="16" t="inlineStr">
        <is>
          <t>—</t>
        </is>
      </c>
    </row>
    <row r="130">
      <c r="A130" s="16" t="inlineStr">
        <is>
          <t>KF-M06-SUB-0073</t>
        </is>
      </c>
      <c r="B130" s="35" t="n">
        <v>844.389204545781</v>
      </c>
      <c r="C130" s="42" t="inlineStr">
        <is>
          <t>KALINA</t>
        </is>
      </c>
      <c r="D130" s="29" t="n">
        <v>8.29378679188215</v>
      </c>
      <c r="E130" s="35" t="inlineStr">
        <is>
          <t>—</t>
        </is>
      </c>
      <c r="F130" s="16" t="n"/>
      <c r="G130" s="16" t="n"/>
      <c r="H130" s="16" t="inlineStr">
        <is>
          <t>—</t>
        </is>
      </c>
    </row>
    <row r="131">
      <c r="A131" s="16" t="inlineStr">
        <is>
          <t>KF-M06-SUB-0074</t>
        </is>
      </c>
      <c r="B131" s="35" t="n">
        <v>848.5440340912342</v>
      </c>
      <c r="C131" s="42" t="inlineStr">
        <is>
          <t>KALINA</t>
        </is>
      </c>
      <c r="D131" s="29" t="n">
        <v>8.26287315329362</v>
      </c>
      <c r="E131" s="35" t="inlineStr">
        <is>
          <t>—</t>
        </is>
      </c>
      <c r="F131" s="16" t="n"/>
      <c r="G131" s="16" t="n"/>
      <c r="H131" s="16" t="inlineStr">
        <is>
          <t>—</t>
        </is>
      </c>
    </row>
    <row r="132">
      <c r="A132" s="16" t="inlineStr">
        <is>
          <t>KF-M06-SUB-0072</t>
        </is>
      </c>
      <c r="B132" s="35" t="n">
        <v>852.6988636366873</v>
      </c>
      <c r="C132" s="42" t="inlineStr">
        <is>
          <t>KALINA</t>
        </is>
      </c>
      <c r="D132" s="29" t="n">
        <v>8.232097225367111</v>
      </c>
      <c r="E132" s="35" t="inlineStr">
        <is>
          <t>—</t>
        </is>
      </c>
      <c r="F132" s="16" t="n"/>
      <c r="G132" s="16" t="n"/>
      <c r="H132" s="16" t="inlineStr">
        <is>
          <t>—</t>
        </is>
      </c>
    </row>
    <row r="133">
      <c r="A133" s="16" t="inlineStr">
        <is>
          <t>KF-M06-SUB-0059</t>
        </is>
      </c>
      <c r="B133" s="35" t="n">
        <v>869.3181818184999</v>
      </c>
      <c r="C133" s="42" t="inlineStr">
        <is>
          <t>KALINA</t>
        </is>
      </c>
      <c r="D133" s="29" t="n">
        <v>8.11034595927212</v>
      </c>
      <c r="E133" s="35" t="inlineStr">
        <is>
          <t>—</t>
        </is>
      </c>
      <c r="F133" s="16" t="n"/>
      <c r="G133" s="16" t="n"/>
      <c r="H133" s="16" t="inlineStr">
        <is>
          <t>—</t>
        </is>
      </c>
    </row>
    <row r="134">
      <c r="A134" s="16" t="inlineStr">
        <is>
          <t>KF-M06-SUB-0069</t>
        </is>
      </c>
      <c r="B134" s="35" t="n">
        <v>869.3181818184999</v>
      </c>
      <c r="C134" s="42" t="inlineStr">
        <is>
          <t>KALINA</t>
        </is>
      </c>
      <c r="D134" s="29" t="n">
        <v>8.11034595927212</v>
      </c>
      <c r="E134" s="35" t="inlineStr">
        <is>
          <t>—</t>
        </is>
      </c>
      <c r="F134" s="16" t="n"/>
      <c r="G134" s="16" t="n"/>
      <c r="H134" s="16" t="inlineStr">
        <is>
          <t>—</t>
        </is>
      </c>
    </row>
    <row r="135">
      <c r="A135" s="16" t="inlineStr">
        <is>
          <t>KF-M06-SUB-0037</t>
        </is>
      </c>
      <c r="B135" s="35" t="n">
        <v>872.7272727272729</v>
      </c>
      <c r="C135" s="42" t="inlineStr">
        <is>
          <t>KALINA</t>
        </is>
      </c>
      <c r="D135" s="29" t="n">
        <v>6.28416040769159</v>
      </c>
      <c r="E135" s="35" t="inlineStr">
        <is>
          <t>—</t>
        </is>
      </c>
      <c r="F135" s="16" t="n"/>
      <c r="G135" s="16" t="n"/>
      <c r="H135" s="16" t="inlineStr">
        <is>
          <t>—</t>
        </is>
      </c>
    </row>
    <row r="136">
      <c r="A136" s="16" t="inlineStr">
        <is>
          <t>KF-M06-SUB-0047</t>
        </is>
      </c>
      <c r="B136" s="35" t="n">
        <v>872.7272727272729</v>
      </c>
      <c r="C136" s="42" t="inlineStr">
        <is>
          <t>KALINA</t>
        </is>
      </c>
      <c r="D136" s="29" t="n">
        <v>6.28416040769159</v>
      </c>
      <c r="E136" s="35" t="inlineStr">
        <is>
          <t>—</t>
        </is>
      </c>
      <c r="F136" s="16" t="n"/>
      <c r="G136" s="16" t="n"/>
      <c r="H136" s="16" t="inlineStr">
        <is>
          <t>—</t>
        </is>
      </c>
    </row>
    <row r="137">
      <c r="A137" s="16" t="inlineStr">
        <is>
          <t>KF-M06-SUB-0068</t>
        </is>
      </c>
      <c r="B137" s="35" t="n">
        <v>1002.272727273</v>
      </c>
      <c r="C137" s="42" t="inlineStr">
        <is>
          <t>KALINA</t>
        </is>
      </c>
      <c r="D137" s="29" t="n">
        <v>7.20649941725498</v>
      </c>
      <c r="E137" s="35" t="inlineStr">
        <is>
          <t>—</t>
        </is>
      </c>
      <c r="F137" s="16" t="n"/>
      <c r="G137" s="16" t="n"/>
      <c r="H137" s="16" t="inlineStr">
        <is>
          <t>—</t>
        </is>
      </c>
    </row>
    <row r="138">
      <c r="A138" s="16" t="inlineStr">
        <is>
          <t>KF-M06-SUB-0058</t>
        </is>
      </c>
      <c r="B138" s="35" t="n">
        <v>1002.272727273</v>
      </c>
      <c r="C138" s="42" t="inlineStr">
        <is>
          <t>KALINA</t>
        </is>
      </c>
      <c r="D138" s="29" t="n">
        <v>7.20649941725498</v>
      </c>
      <c r="E138" s="35" t="inlineStr">
        <is>
          <t>—</t>
        </is>
      </c>
      <c r="F138" s="16" t="n"/>
      <c r="G138" s="16" t="n"/>
      <c r="H138" s="16" t="inlineStr">
        <is>
          <t>—</t>
        </is>
      </c>
    </row>
    <row r="139">
      <c r="A139" s="16" t="inlineStr">
        <is>
          <t>KF-M06-SUB-0075</t>
        </is>
      </c>
      <c r="B139" s="35" t="n">
        <v>1022.274389807265</v>
      </c>
      <c r="C139" s="42" t="inlineStr">
        <is>
          <t>KALINA</t>
        </is>
      </c>
      <c r="D139" s="29" t="n">
        <v>11.09411449156198</v>
      </c>
      <c r="E139" s="35" t="inlineStr">
        <is>
          <t>—</t>
        </is>
      </c>
      <c r="F139" s="16" t="n"/>
      <c r="G139" s="16" t="n"/>
      <c r="H139" s="16" t="inlineStr">
        <is>
          <t>—</t>
        </is>
      </c>
    </row>
    <row r="140">
      <c r="A140" s="16" t="inlineStr">
        <is>
          <t>KF-M06-SUB-0076</t>
        </is>
      </c>
      <c r="B140" s="35" t="n">
        <v>1022.274389807265</v>
      </c>
      <c r="C140" s="42" t="inlineStr">
        <is>
          <t>KALINA</t>
        </is>
      </c>
      <c r="D140" s="29" t="n">
        <v>11.09411449156198</v>
      </c>
      <c r="E140" s="35" t="inlineStr">
        <is>
          <t>—</t>
        </is>
      </c>
      <c r="F140" s="16" t="n"/>
      <c r="G140" s="16" t="n"/>
      <c r="H140" s="16" t="inlineStr">
        <is>
          <t>—</t>
        </is>
      </c>
    </row>
    <row r="141">
      <c r="A141" s="16" t="inlineStr">
        <is>
          <t>KF-M06-SUB-0112</t>
        </is>
      </c>
      <c r="B141" s="35" t="n">
        <v>1096.875</v>
      </c>
      <c r="C141" s="42" t="inlineStr">
        <is>
          <t>KALINA</t>
        </is>
      </c>
      <c r="D141" s="29" t="n">
        <v>7.965360386917069</v>
      </c>
      <c r="E141" s="35" t="inlineStr">
        <is>
          <t>—</t>
        </is>
      </c>
      <c r="F141" s="16" t="n"/>
      <c r="G141" s="16" t="n"/>
      <c r="H141" s="16" t="inlineStr">
        <is>
          <t>—</t>
        </is>
      </c>
    </row>
    <row r="142">
      <c r="A142" s="16" t="inlineStr">
        <is>
          <t>KF-M06-SUB-0101</t>
        </is>
      </c>
      <c r="B142" s="35" t="n">
        <v>1100</v>
      </c>
      <c r="C142" s="42" t="inlineStr">
        <is>
          <t>KALINA</t>
        </is>
      </c>
      <c r="D142" s="29" t="n">
        <v>8.033674818280909</v>
      </c>
      <c r="E142" s="35" t="inlineStr">
        <is>
          <t>—</t>
        </is>
      </c>
      <c r="F142" s="16" t="n"/>
      <c r="G142" s="16" t="n"/>
      <c r="H142" s="16" t="inlineStr">
        <is>
          <t>—</t>
        </is>
      </c>
    </row>
    <row r="143">
      <c r="A143" s="16" t="inlineStr">
        <is>
          <t>KF-M06-SUB-0024</t>
        </is>
      </c>
      <c r="B143" s="35" t="n">
        <v>1100</v>
      </c>
      <c r="C143" s="42" t="inlineStr">
        <is>
          <t>KALINA</t>
        </is>
      </c>
      <c r="D143" s="29" t="n">
        <v>5.48853651360722</v>
      </c>
      <c r="E143" s="35" t="inlineStr">
        <is>
          <t>—</t>
        </is>
      </c>
      <c r="F143" s="16" t="n"/>
      <c r="G143" s="16" t="n"/>
      <c r="H143" s="16" t="inlineStr">
        <is>
          <t>—</t>
        </is>
      </c>
    </row>
    <row r="144">
      <c r="A144" s="16" t="inlineStr">
        <is>
          <t>KF-M06-SUB-0090</t>
        </is>
      </c>
      <c r="B144" s="35" t="n">
        <v>1100</v>
      </c>
      <c r="C144" s="42" t="inlineStr">
        <is>
          <t>KALINA</t>
        </is>
      </c>
      <c r="D144" s="29" t="n">
        <v>8.033674818280909</v>
      </c>
      <c r="E144" s="35" t="inlineStr">
        <is>
          <t>—</t>
        </is>
      </c>
      <c r="F144" s="16" t="n"/>
      <c r="G144" s="16" t="n"/>
      <c r="H144" s="16" t="inlineStr">
        <is>
          <t>—</t>
        </is>
      </c>
    </row>
    <row r="145">
      <c r="A145" s="16" t="inlineStr">
        <is>
          <t>KF-M06-SUB-0013</t>
        </is>
      </c>
      <c r="B145" s="35" t="n">
        <v>1100</v>
      </c>
      <c r="C145" s="42" t="inlineStr">
        <is>
          <t>KALINA</t>
        </is>
      </c>
      <c r="D145" s="29" t="n">
        <v>5.48853651360722</v>
      </c>
      <c r="E145" s="35" t="inlineStr">
        <is>
          <t>—</t>
        </is>
      </c>
      <c r="F145" s="16" t="n"/>
      <c r="G145" s="16" t="n"/>
      <c r="H145" s="16" t="inlineStr">
        <is>
          <t>—</t>
        </is>
      </c>
    </row>
    <row r="146">
      <c r="A146" s="16" t="inlineStr">
        <is>
          <t>KF-M06-SUB-0046</t>
        </is>
      </c>
      <c r="B146" s="35" t="n">
        <v>1181.818181818182</v>
      </c>
      <c r="C146" s="42" t="inlineStr">
        <is>
          <t>KALINA</t>
        </is>
      </c>
      <c r="D146" s="29" t="n">
        <v>4.72734087283683</v>
      </c>
      <c r="E146" s="35" t="inlineStr">
        <is>
          <t>—</t>
        </is>
      </c>
      <c r="F146" s="16" t="n"/>
      <c r="G146" s="16" t="n"/>
      <c r="H146" s="16" t="inlineStr">
        <is>
          <t>—</t>
        </is>
      </c>
    </row>
    <row r="147">
      <c r="A147" s="16" t="inlineStr">
        <is>
          <t>KF-M06-SUB-0036</t>
        </is>
      </c>
      <c r="B147" s="35" t="n">
        <v>1181.818181818182</v>
      </c>
      <c r="C147" s="42" t="inlineStr">
        <is>
          <t>KALINA</t>
        </is>
      </c>
      <c r="D147" s="29" t="n">
        <v>4.72734087283683</v>
      </c>
      <c r="E147" s="35" t="inlineStr">
        <is>
          <t>—</t>
        </is>
      </c>
      <c r="F147" s="16" t="n"/>
      <c r="G147" s="16" t="n"/>
      <c r="H147" s="16" t="inlineStr">
        <is>
          <t>—</t>
        </is>
      </c>
    </row>
    <row r="148">
      <c r="A148" s="16" t="inlineStr">
        <is>
          <t>KF-M06-SUB-0003</t>
        </is>
      </c>
      <c r="B148" s="35" t="n">
        <v>1231.255193304322</v>
      </c>
      <c r="C148" s="32" t="inlineStr">
        <is>
          <t>No convergió</t>
        </is>
      </c>
      <c r="D148" s="29" t="inlineStr">
        <is>
          <t>—</t>
        </is>
      </c>
      <c r="E148" s="35" t="inlineStr">
        <is>
          <t>—</t>
        </is>
      </c>
      <c r="F148" s="16" t="n"/>
      <c r="G148" s="16" t="n"/>
      <c r="H148" s="16" t="inlineStr">
        <is>
          <t>—</t>
        </is>
      </c>
    </row>
    <row r="149">
      <c r="A149" s="16" t="inlineStr">
        <is>
          <t>KF-M06-SUB-0080</t>
        </is>
      </c>
      <c r="B149" s="35" t="n">
        <v>1231.255193304322</v>
      </c>
      <c r="C149" s="32" t="inlineStr">
        <is>
          <t>No convergió</t>
        </is>
      </c>
      <c r="D149" s="29" t="inlineStr">
        <is>
          <t>—</t>
        </is>
      </c>
      <c r="E149" s="35" t="inlineStr">
        <is>
          <t>—</t>
        </is>
      </c>
      <c r="F149" s="16" t="n"/>
      <c r="G149" s="16" t="n"/>
      <c r="H149" s="16" t="inlineStr">
        <is>
          <t>—</t>
        </is>
      </c>
    </row>
    <row r="150">
      <c r="A150" s="16" t="inlineStr">
        <is>
          <t>KF-M06-SUB-0085</t>
        </is>
      </c>
      <c r="B150" s="35" t="n">
        <v>1244.471285040735</v>
      </c>
      <c r="C150" s="32" t="inlineStr">
        <is>
          <t>No convergió</t>
        </is>
      </c>
      <c r="D150" s="29" t="inlineStr">
        <is>
          <t>—</t>
        </is>
      </c>
      <c r="E150" s="35" t="inlineStr">
        <is>
          <t>—</t>
        </is>
      </c>
      <c r="F150" s="16" t="n"/>
      <c r="G150" s="16" t="n"/>
      <c r="H150" s="16" t="inlineStr">
        <is>
          <t>—</t>
        </is>
      </c>
    </row>
    <row r="151">
      <c r="A151" s="16" t="inlineStr">
        <is>
          <t>KF-M06-SUB-0008</t>
        </is>
      </c>
      <c r="B151" s="35" t="n">
        <v>1244.471285040735</v>
      </c>
      <c r="C151" s="32" t="inlineStr">
        <is>
          <t>No convergió</t>
        </is>
      </c>
      <c r="D151" s="29" t="inlineStr">
        <is>
          <t>—</t>
        </is>
      </c>
      <c r="E151" s="35" t="inlineStr">
        <is>
          <t>—</t>
        </is>
      </c>
      <c r="F151" s="16" t="n"/>
      <c r="G151" s="16" t="n"/>
      <c r="H151" s="16" t="inlineStr">
        <is>
          <t>—</t>
        </is>
      </c>
    </row>
    <row r="152">
      <c r="A152" s="16" t="inlineStr">
        <is>
          <t>KF-M06-SUB-0087</t>
        </is>
      </c>
      <c r="B152" s="35" t="n">
        <v>1247.775307974839</v>
      </c>
      <c r="C152" s="32" t="inlineStr">
        <is>
          <t>No convergió</t>
        </is>
      </c>
      <c r="D152" s="29" t="inlineStr">
        <is>
          <t>—</t>
        </is>
      </c>
      <c r="E152" s="35" t="inlineStr">
        <is>
          <t>—</t>
        </is>
      </c>
      <c r="F152" s="16" t="n"/>
      <c r="G152" s="16" t="n"/>
      <c r="H152" s="16" t="inlineStr">
        <is>
          <t>—</t>
        </is>
      </c>
    </row>
    <row r="153">
      <c r="A153" s="16" t="inlineStr">
        <is>
          <t>KF-M06-SUB-0010</t>
        </is>
      </c>
      <c r="B153" s="35" t="n">
        <v>1247.775307974839</v>
      </c>
      <c r="C153" s="32" t="inlineStr">
        <is>
          <t>No convergió</t>
        </is>
      </c>
      <c r="D153" s="29" t="inlineStr">
        <is>
          <t>—</t>
        </is>
      </c>
      <c r="E153" s="35" t="inlineStr">
        <is>
          <t>—</t>
        </is>
      </c>
      <c r="F153" s="16" t="n"/>
      <c r="G153" s="16" t="n"/>
      <c r="H153" s="16" t="inlineStr">
        <is>
          <t>—</t>
        </is>
      </c>
    </row>
    <row r="154">
      <c r="A154" s="16" t="inlineStr">
        <is>
          <t>KF-M06-SUB-0009</t>
        </is>
      </c>
      <c r="B154" s="35" t="n">
        <v>1251.079330908942</v>
      </c>
      <c r="C154" s="42" t="inlineStr">
        <is>
          <t>KALINA</t>
        </is>
      </c>
      <c r="D154" s="29" t="n">
        <v>11.30778688751344</v>
      </c>
      <c r="E154" s="35" t="inlineStr">
        <is>
          <t>—</t>
        </is>
      </c>
      <c r="F154" s="16" t="n"/>
      <c r="G154" s="16" t="n"/>
      <c r="H154" s="16" t="inlineStr">
        <is>
          <t>—</t>
        </is>
      </c>
    </row>
    <row r="155">
      <c r="A155" s="16" t="inlineStr">
        <is>
          <t>KF-M06-SUB-0086</t>
        </is>
      </c>
      <c r="B155" s="35" t="n">
        <v>1251.079330908942</v>
      </c>
      <c r="C155" s="42" t="inlineStr">
        <is>
          <t>KALINA</t>
        </is>
      </c>
      <c r="D155" s="29" t="n">
        <v>11.30778688751344</v>
      </c>
      <c r="E155" s="35" t="inlineStr">
        <is>
          <t>—</t>
        </is>
      </c>
      <c r="F155" s="16" t="n"/>
      <c r="G155" s="16" t="n"/>
      <c r="H155" s="16" t="inlineStr">
        <is>
          <t>—</t>
        </is>
      </c>
    </row>
    <row r="156">
      <c r="A156" s="16" t="inlineStr">
        <is>
          <t>KF-M06-SUB-0007</t>
        </is>
      </c>
      <c r="B156" s="35" t="n">
        <v>1257.687376777148</v>
      </c>
      <c r="C156" s="42" t="inlineStr">
        <is>
          <t>KALINA</t>
        </is>
      </c>
      <c r="D156" s="29" t="n">
        <v>11.26240788545613</v>
      </c>
      <c r="E156" s="35" t="inlineStr">
        <is>
          <t>—</t>
        </is>
      </c>
      <c r="F156" s="16" t="n"/>
      <c r="G156" s="16" t="n"/>
      <c r="H156" s="16" t="inlineStr">
        <is>
          <t>—</t>
        </is>
      </c>
    </row>
    <row r="157">
      <c r="A157" s="16" t="inlineStr">
        <is>
          <t>KF-M06-SUB-0084</t>
        </is>
      </c>
      <c r="B157" s="35" t="n">
        <v>1257.687376777148</v>
      </c>
      <c r="C157" s="42" t="inlineStr">
        <is>
          <t>KALINA</t>
        </is>
      </c>
      <c r="D157" s="29" t="n">
        <v>11.26240788545613</v>
      </c>
      <c r="E157" s="35" t="inlineStr">
        <is>
          <t>—</t>
        </is>
      </c>
      <c r="F157" s="16" t="n"/>
      <c r="G157" s="16" t="n"/>
      <c r="H157" s="16" t="inlineStr">
        <is>
          <t>—</t>
        </is>
      </c>
    </row>
    <row r="158">
      <c r="A158" s="16" t="inlineStr">
        <is>
          <t>KF-M06-SUB-0057</t>
        </is>
      </c>
      <c r="B158" s="35" t="n">
        <v>1268.181818182</v>
      </c>
      <c r="C158" s="42" t="inlineStr">
        <is>
          <t>KALINA</t>
        </is>
      </c>
      <c r="D158" s="29" t="n">
        <v>5.68989711394745</v>
      </c>
      <c r="E158" s="35" t="inlineStr">
        <is>
          <t>—</t>
        </is>
      </c>
      <c r="F158" s="16" t="n"/>
      <c r="G158" s="16" t="n"/>
      <c r="H158" s="16" t="inlineStr">
        <is>
          <t>—</t>
        </is>
      </c>
    </row>
    <row r="159">
      <c r="A159" s="16" t="inlineStr">
        <is>
          <t>KF-M06-SUB-0067</t>
        </is>
      </c>
      <c r="B159" s="35" t="n">
        <v>1268.181818182</v>
      </c>
      <c r="C159" s="42" t="inlineStr">
        <is>
          <t>KALINA</t>
        </is>
      </c>
      <c r="D159" s="29" t="n">
        <v>5.68989711394745</v>
      </c>
      <c r="E159" s="35" t="inlineStr">
        <is>
          <t>—</t>
        </is>
      </c>
      <c r="F159" s="16" t="n"/>
      <c r="G159" s="16" t="n"/>
      <c r="H159" s="16" t="inlineStr">
        <is>
          <t>—</t>
        </is>
      </c>
    </row>
    <row r="160">
      <c r="A160" s="16" t="inlineStr">
        <is>
          <t>KF-M06-SUB-0083</t>
        </is>
      </c>
      <c r="B160" s="35" t="n">
        <v>1284.119560249975</v>
      </c>
      <c r="C160" s="42" t="inlineStr">
        <is>
          <t>KALINA</t>
        </is>
      </c>
      <c r="D160" s="29" t="n">
        <v>11.08300043358875</v>
      </c>
      <c r="E160" s="35" t="inlineStr">
        <is>
          <t>—</t>
        </is>
      </c>
      <c r="F160" s="16" t="n"/>
      <c r="G160" s="16" t="n"/>
      <c r="H160" s="16" t="inlineStr">
        <is>
          <t>—</t>
        </is>
      </c>
    </row>
    <row r="161">
      <c r="A161" s="16" t="inlineStr">
        <is>
          <t>KF-M06-SUB-0006</t>
        </is>
      </c>
      <c r="B161" s="35" t="n">
        <v>1284.119560249975</v>
      </c>
      <c r="C161" s="42" t="inlineStr">
        <is>
          <t>KALINA</t>
        </is>
      </c>
      <c r="D161" s="29" t="n">
        <v>11.08300043358875</v>
      </c>
      <c r="E161" s="35" t="inlineStr">
        <is>
          <t>—</t>
        </is>
      </c>
      <c r="F161" s="16" t="n"/>
      <c r="G161" s="16" t="n"/>
      <c r="H161" s="16" t="inlineStr">
        <is>
          <t>—</t>
        </is>
      </c>
    </row>
    <row r="162">
      <c r="A162" s="16" t="inlineStr">
        <is>
          <t>KF-M06-SUB-0082</t>
        </is>
      </c>
      <c r="B162" s="35" t="n">
        <v>1336.983927195628</v>
      </c>
      <c r="C162" s="42" t="inlineStr">
        <is>
          <t>KALINA</t>
        </is>
      </c>
      <c r="D162" s="29" t="n">
        <v>10.73390308807015</v>
      </c>
      <c r="E162" s="35" t="inlineStr">
        <is>
          <t>—</t>
        </is>
      </c>
      <c r="F162" s="16" t="n"/>
      <c r="G162" s="16" t="n"/>
      <c r="H162" s="16" t="inlineStr">
        <is>
          <t>—</t>
        </is>
      </c>
    </row>
    <row r="163">
      <c r="A163" s="16" t="inlineStr">
        <is>
          <t>KF-M06-SUB-0005</t>
        </is>
      </c>
      <c r="B163" s="35" t="n">
        <v>1336.983927195628</v>
      </c>
      <c r="C163" s="42" t="inlineStr">
        <is>
          <t>KALINA</t>
        </is>
      </c>
      <c r="D163" s="29" t="n">
        <v>10.73390308807015</v>
      </c>
      <c r="E163" s="35" t="inlineStr">
        <is>
          <t>—</t>
        </is>
      </c>
      <c r="F163" s="16" t="n"/>
      <c r="G163" s="16" t="n"/>
      <c r="H163" s="16" t="inlineStr">
        <is>
          <t>—</t>
        </is>
      </c>
    </row>
    <row r="164">
      <c r="A164" s="16" t="inlineStr">
        <is>
          <t>KF-M06-SUB-0054</t>
        </is>
      </c>
      <c r="B164" s="35" t="n">
        <v>1359.556702008076</v>
      </c>
      <c r="C164" s="42" t="inlineStr">
        <is>
          <t>KALINA</t>
        </is>
      </c>
      <c r="D164" s="29" t="n">
        <v>12.73867502186853</v>
      </c>
      <c r="E164" s="35" t="inlineStr">
        <is>
          <t>—</t>
        </is>
      </c>
      <c r="F164" s="16" t="n"/>
      <c r="G164" s="16" t="n"/>
      <c r="H164" s="16" t="inlineStr">
        <is>
          <t>—</t>
        </is>
      </c>
    </row>
    <row r="165">
      <c r="A165" s="16" t="inlineStr">
        <is>
          <t>KF-M06-SUB-0121</t>
        </is>
      </c>
      <c r="B165" s="35" t="n">
        <v>1359.556702008076</v>
      </c>
      <c r="C165" s="42" t="inlineStr">
        <is>
          <t>KALINA</t>
        </is>
      </c>
      <c r="D165" s="29" t="n">
        <v>12.73867502186853</v>
      </c>
      <c r="E165" s="35" t="inlineStr">
        <is>
          <t>—</t>
        </is>
      </c>
      <c r="F165" s="16" t="n"/>
      <c r="G165" s="16" t="n"/>
      <c r="H165" s="16" t="inlineStr">
        <is>
          <t>—</t>
        </is>
      </c>
    </row>
    <row r="166">
      <c r="A166" s="16" t="inlineStr">
        <is>
          <t>KF-M06-SUB-0127</t>
        </is>
      </c>
      <c r="B166" s="35" t="n">
        <v>1395.195555070324</v>
      </c>
      <c r="C166" s="42" t="inlineStr">
        <is>
          <t>KALINA</t>
        </is>
      </c>
      <c r="D166" s="29" t="n">
        <v>12.49830534856795</v>
      </c>
      <c r="E166" s="35" t="inlineStr">
        <is>
          <t>—</t>
        </is>
      </c>
      <c r="F166" s="16" t="n"/>
      <c r="G166" s="16" t="n"/>
      <c r="H166" s="16" t="inlineStr">
        <is>
          <t>—</t>
        </is>
      </c>
    </row>
    <row r="167">
      <c r="A167" s="16" t="inlineStr">
        <is>
          <t>KF-M06-SUB-0129</t>
        </is>
      </c>
      <c r="B167" s="35" t="n">
        <v>1404.105268335886</v>
      </c>
      <c r="C167" s="42" t="inlineStr">
        <is>
          <t>KALINA</t>
        </is>
      </c>
      <c r="D167" s="29" t="n">
        <v>12.43906530169887</v>
      </c>
      <c r="E167" s="35" t="inlineStr">
        <is>
          <t>—</t>
        </is>
      </c>
      <c r="F167" s="16" t="n"/>
      <c r="G167" s="16" t="n"/>
      <c r="H167" s="16" t="inlineStr">
        <is>
          <t>—</t>
        </is>
      </c>
    </row>
    <row r="168">
      <c r="A168" s="16" t="inlineStr">
        <is>
          <t>KF-M06-SUB-0130</t>
        </is>
      </c>
      <c r="B168" s="35" t="n">
        <v>1408.560124968667</v>
      </c>
      <c r="C168" s="42" t="inlineStr">
        <is>
          <t>KALINA</t>
        </is>
      </c>
      <c r="D168" s="29" t="n">
        <v>12.40957041554624</v>
      </c>
      <c r="E168" s="35" t="inlineStr">
        <is>
          <t>—</t>
        </is>
      </c>
      <c r="F168" s="16" t="n"/>
      <c r="G168" s="16" t="n"/>
      <c r="H168" s="16" t="inlineStr">
        <is>
          <t>—</t>
        </is>
      </c>
    </row>
    <row r="169">
      <c r="A169" s="16" t="inlineStr">
        <is>
          <t>KF-M06-SUB-0128</t>
        </is>
      </c>
      <c r="B169" s="35" t="n">
        <v>1413.014981601448</v>
      </c>
      <c r="C169" s="42" t="inlineStr">
        <is>
          <t>KALINA</t>
        </is>
      </c>
      <c r="D169" s="29" t="n">
        <v>12.38015813509532</v>
      </c>
      <c r="E169" s="35" t="inlineStr">
        <is>
          <t>—</t>
        </is>
      </c>
      <c r="F169" s="16" t="n"/>
      <c r="G169" s="16" t="n"/>
      <c r="H169" s="16" t="inlineStr">
        <is>
          <t>—</t>
        </is>
      </c>
    </row>
    <row r="170">
      <c r="A170" s="16" t="inlineStr">
        <is>
          <t>KF-M06-SUB-0126</t>
        </is>
      </c>
      <c r="B170" s="35" t="n">
        <v>1430.834408132572</v>
      </c>
      <c r="C170" s="42" t="inlineStr">
        <is>
          <t>KALINA</t>
        </is>
      </c>
      <c r="D170" s="29" t="n">
        <v>12.26332752715004</v>
      </c>
      <c r="E170" s="35" t="inlineStr">
        <is>
          <t>—</t>
        </is>
      </c>
      <c r="F170" s="16" t="n"/>
      <c r="G170" s="16" t="n"/>
      <c r="H170" s="16" t="inlineStr">
        <is>
          <t>—</t>
        </is>
      </c>
    </row>
    <row r="171">
      <c r="A171" s="16" t="inlineStr">
        <is>
          <t>KF-M06-SUB-0004</t>
        </is>
      </c>
      <c r="B171" s="35" t="n">
        <v>1442.712661086935</v>
      </c>
      <c r="C171" s="42" t="inlineStr">
        <is>
          <t>KALINA</t>
        </is>
      </c>
      <c r="D171" s="29" t="n">
        <v>10.07143727684459</v>
      </c>
      <c r="E171" s="35" t="inlineStr">
        <is>
          <t>—</t>
        </is>
      </c>
      <c r="F171" s="16" t="n"/>
      <c r="G171" s="16" t="n"/>
      <c r="H171" s="16" t="inlineStr">
        <is>
          <t>—</t>
        </is>
      </c>
    </row>
    <row r="172">
      <c r="A172" s="16" t="inlineStr">
        <is>
          <t>KF-M06-SUB-0081</t>
        </is>
      </c>
      <c r="B172" s="35" t="n">
        <v>1442.712661086935</v>
      </c>
      <c r="C172" s="42" t="inlineStr">
        <is>
          <t>KALINA</t>
        </is>
      </c>
      <c r="D172" s="29" t="n">
        <v>10.07143727684459</v>
      </c>
      <c r="E172" s="35" t="inlineStr">
        <is>
          <t>—</t>
        </is>
      </c>
      <c r="F172" s="16" t="n"/>
      <c r="G172" s="16" t="n"/>
      <c r="H172" s="16" t="inlineStr">
        <is>
          <t>—</t>
        </is>
      </c>
    </row>
    <row r="173">
      <c r="A173" s="16" t="inlineStr">
        <is>
          <t>KF-M06-SUB-0125</t>
        </is>
      </c>
      <c r="B173" s="35" t="n">
        <v>1502.112114257067</v>
      </c>
      <c r="C173" s="42" t="inlineStr">
        <is>
          <t>KALINA</t>
        </is>
      </c>
      <c r="D173" s="29" t="n">
        <v>11.80859465005525</v>
      </c>
      <c r="E173" s="35" t="inlineStr">
        <is>
          <t>—</t>
        </is>
      </c>
      <c r="F173" s="16" t="n"/>
      <c r="G173" s="16" t="n"/>
      <c r="H173" s="16" t="inlineStr">
        <is>
          <t>—</t>
        </is>
      </c>
    </row>
    <row r="174">
      <c r="A174" s="16" t="inlineStr">
        <is>
          <t>KF-M06-SUB-0124</t>
        </is>
      </c>
      <c r="B174" s="35" t="n">
        <v>1644.667526506057</v>
      </c>
      <c r="C174" s="42" t="inlineStr">
        <is>
          <t>KALINA</t>
        </is>
      </c>
      <c r="D174" s="29" t="n">
        <v>10.95418079105791</v>
      </c>
      <c r="E174" s="35" t="inlineStr">
        <is>
          <t>—</t>
        </is>
      </c>
      <c r="F174" s="16" t="n"/>
      <c r="G174" s="16" t="n"/>
      <c r="H174" s="16" t="inlineStr">
        <is>
          <t>—</t>
        </is>
      </c>
    </row>
    <row r="175">
      <c r="A175" s="16" t="inlineStr">
        <is>
          <t>KF-M06-SUB-0002</t>
        </is>
      </c>
      <c r="B175" s="35" t="n">
        <v>1654.170128869548</v>
      </c>
      <c r="C175" s="42" t="inlineStr">
        <is>
          <t>KALINA</t>
        </is>
      </c>
      <c r="D175" s="29" t="n">
        <v>8.868758436132209</v>
      </c>
      <c r="E175" s="35" t="inlineStr">
        <is>
          <t>—</t>
        </is>
      </c>
      <c r="F175" s="16" t="n"/>
      <c r="G175" s="16" t="n"/>
      <c r="H175" s="16" t="inlineStr">
        <is>
          <t>—</t>
        </is>
      </c>
    </row>
    <row r="176">
      <c r="A176" s="16" t="inlineStr">
        <is>
          <t>KF-M06-SUB-0079</t>
        </is>
      </c>
      <c r="B176" s="35" t="n">
        <v>1654.170128869548</v>
      </c>
      <c r="C176" s="42" t="inlineStr">
        <is>
          <t>KALINA</t>
        </is>
      </c>
      <c r="D176" s="29" t="n">
        <v>8.868758436132209</v>
      </c>
      <c r="E176" s="35" t="inlineStr">
        <is>
          <t>—</t>
        </is>
      </c>
      <c r="F176" s="16" t="n"/>
      <c r="G176" s="16" t="n"/>
      <c r="H176" s="16" t="inlineStr">
        <is>
          <t>—</t>
        </is>
      </c>
    </row>
    <row r="177">
      <c r="A177" s="16" t="inlineStr">
        <is>
          <t>KF-M06-SUB-0023</t>
        </is>
      </c>
      <c r="B177" s="35" t="n">
        <v>1800</v>
      </c>
      <c r="C177" s="42" t="inlineStr">
        <is>
          <t>KALINA</t>
        </is>
      </c>
      <c r="D177" s="29" t="n">
        <v>2.78533132382194</v>
      </c>
      <c r="E177" s="35" t="inlineStr">
        <is>
          <t>—</t>
        </is>
      </c>
      <c r="F177" s="16" t="n"/>
      <c r="G177" s="16" t="n"/>
      <c r="H177" s="16" t="inlineStr">
        <is>
          <t>—</t>
        </is>
      </c>
    </row>
    <row r="178">
      <c r="A178" s="16" t="inlineStr">
        <is>
          <t>KF-M06-SUB-0056</t>
        </is>
      </c>
      <c r="B178" s="35" t="n">
        <v>1800</v>
      </c>
      <c r="C178" s="42" t="inlineStr">
        <is>
          <t>KALINA</t>
        </is>
      </c>
      <c r="D178" s="29" t="n">
        <v>3.39171057416444</v>
      </c>
      <c r="E178" s="35" t="inlineStr">
        <is>
          <t>—</t>
        </is>
      </c>
      <c r="F178" s="16" t="n"/>
      <c r="G178" s="16" t="n"/>
      <c r="H178" s="16" t="inlineStr">
        <is>
          <t>—</t>
        </is>
      </c>
    </row>
    <row r="179">
      <c r="A179" s="16" t="inlineStr">
        <is>
          <t>KF-M06-SUB-0100</t>
        </is>
      </c>
      <c r="B179" s="35" t="n">
        <v>1800</v>
      </c>
      <c r="C179" s="42" t="inlineStr">
        <is>
          <t>KALINA</t>
        </is>
      </c>
      <c r="D179" s="29" t="n">
        <v>4.12685258706108</v>
      </c>
      <c r="E179" s="35" t="inlineStr">
        <is>
          <t>—</t>
        </is>
      </c>
      <c r="F179" s="16" t="n"/>
      <c r="G179" s="16" t="n"/>
      <c r="H179" s="16" t="inlineStr">
        <is>
          <t>—</t>
        </is>
      </c>
    </row>
    <row r="180">
      <c r="A180" s="16" t="inlineStr">
        <is>
          <t>KF-M06-SUB-0111</t>
        </is>
      </c>
      <c r="B180" s="35" t="n">
        <v>1800</v>
      </c>
      <c r="C180" s="42" t="inlineStr">
        <is>
          <t>KALINA</t>
        </is>
      </c>
      <c r="D180" s="29" t="n">
        <v>4.08681946673487</v>
      </c>
      <c r="E180" s="35" t="inlineStr">
        <is>
          <t>—</t>
        </is>
      </c>
      <c r="F180" s="16" t="n"/>
      <c r="G180" s="16" t="n"/>
      <c r="H180" s="16" t="inlineStr">
        <is>
          <t>—</t>
        </is>
      </c>
    </row>
    <row r="181">
      <c r="A181" s="16" t="inlineStr">
        <is>
          <t>KF-M06-SUB-0066</t>
        </is>
      </c>
      <c r="B181" s="35" t="n">
        <v>1800</v>
      </c>
      <c r="C181" s="42" t="inlineStr">
        <is>
          <t>KALINA</t>
        </is>
      </c>
      <c r="D181" s="29" t="n">
        <v>3.39171057416444</v>
      </c>
      <c r="E181" s="35" t="inlineStr">
        <is>
          <t>—</t>
        </is>
      </c>
      <c r="F181" s="16" t="n"/>
      <c r="G181" s="16" t="n"/>
      <c r="H181" s="16" t="inlineStr">
        <is>
          <t>—</t>
        </is>
      </c>
    </row>
    <row r="182">
      <c r="A182" s="16" t="inlineStr">
        <is>
          <t>KF-M06-SUB-0089</t>
        </is>
      </c>
      <c r="B182" s="35" t="n">
        <v>1800</v>
      </c>
      <c r="C182" s="42" t="inlineStr">
        <is>
          <t>KALINA</t>
        </is>
      </c>
      <c r="D182" s="29" t="n">
        <v>4.12685258706108</v>
      </c>
      <c r="E182" s="35" t="inlineStr">
        <is>
          <t>—</t>
        </is>
      </c>
      <c r="F182" s="16" t="n"/>
      <c r="G182" s="16" t="n"/>
      <c r="H182" s="16" t="inlineStr">
        <is>
          <t>—</t>
        </is>
      </c>
    </row>
    <row r="183">
      <c r="A183" s="16" t="inlineStr">
        <is>
          <t>KF-M06-SUB-0035</t>
        </is>
      </c>
      <c r="B183" s="35" t="n">
        <v>1800</v>
      </c>
      <c r="C183" s="42" t="inlineStr">
        <is>
          <t>KALINA</t>
        </is>
      </c>
      <c r="D183" s="29" t="n">
        <v>2.55741415076054</v>
      </c>
      <c r="E183" s="35" t="inlineStr">
        <is>
          <t>—</t>
        </is>
      </c>
      <c r="F183" s="16" t="n"/>
      <c r="G183" s="16" t="n"/>
      <c r="H183" s="16" t="inlineStr">
        <is>
          <t>—</t>
        </is>
      </c>
    </row>
    <row r="184">
      <c r="A184" s="16" t="inlineStr">
        <is>
          <t>KF-M06-SUB-0012</t>
        </is>
      </c>
      <c r="B184" s="35" t="n">
        <v>1800</v>
      </c>
      <c r="C184" s="42" t="inlineStr">
        <is>
          <t>KALINA</t>
        </is>
      </c>
      <c r="D184" s="29" t="n">
        <v>2.78533132382194</v>
      </c>
      <c r="E184" s="35" t="inlineStr">
        <is>
          <t>—</t>
        </is>
      </c>
      <c r="F184" s="16" t="n"/>
      <c r="G184" s="16" t="n"/>
      <c r="H184" s="16" t="inlineStr">
        <is>
          <t>—</t>
        </is>
      </c>
    </row>
    <row r="185">
      <c r="A185" s="16" t="inlineStr">
        <is>
          <t>KF-M06-SUB-0045</t>
        </is>
      </c>
      <c r="B185" s="35" t="n">
        <v>1800</v>
      </c>
      <c r="C185" s="42" t="inlineStr">
        <is>
          <t>KALINA</t>
        </is>
      </c>
      <c r="D185" s="29" t="n">
        <v>2.55741415076054</v>
      </c>
      <c r="E185" s="35" t="inlineStr">
        <is>
          <t>—</t>
        </is>
      </c>
      <c r="F185" s="16" t="n"/>
      <c r="G185" s="16" t="n"/>
      <c r="H185" s="16" t="inlineStr">
        <is>
          <t>—</t>
        </is>
      </c>
    </row>
    <row r="186">
      <c r="A186" s="16" t="inlineStr">
        <is>
          <t>KF-M06-SUB-0123</t>
        </is>
      </c>
      <c r="B186" s="35" t="n">
        <v>1929.778351004038</v>
      </c>
      <c r="C186" s="42" t="inlineStr">
        <is>
          <t>KALINA</t>
        </is>
      </c>
      <c r="D186" s="29" t="n">
        <v>9.42854350543727</v>
      </c>
      <c r="E186" s="35" t="inlineStr">
        <is>
          <t>—</t>
        </is>
      </c>
      <c r="F186" s="16" t="n"/>
      <c r="G186" s="16" t="n"/>
      <c r="H186" s="16" t="inlineStr">
        <is>
          <t>—</t>
        </is>
      </c>
    </row>
    <row r="187">
      <c r="A187" s="16" t="inlineStr">
        <is>
          <t>KF-M06-SUB-0122</t>
        </is>
      </c>
      <c r="B187" s="35" t="n">
        <v>2500</v>
      </c>
      <c r="C187" s="42" t="inlineStr">
        <is>
          <t>KALINA</t>
        </is>
      </c>
      <c r="D187" s="29" t="n">
        <v>6.91183561473907</v>
      </c>
      <c r="E187" s="35" t="inlineStr">
        <is>
          <t>—</t>
        </is>
      </c>
      <c r="F187" s="16" t="n"/>
      <c r="G187" s="16" t="n"/>
      <c r="H187" s="16" t="inlineStr">
        <is>
          <t>—</t>
        </is>
      </c>
    </row>
    <row r="188">
      <c r="A188" s="16" t="inlineStr">
        <is>
          <t>KF-M06-SUB-0078</t>
        </is>
      </c>
      <c r="B188" s="35" t="n">
        <v>2500</v>
      </c>
      <c r="C188" s="42" t="inlineStr">
        <is>
          <t>KALINA</t>
        </is>
      </c>
      <c r="D188" s="29" t="n">
        <v>5.15595693953484</v>
      </c>
      <c r="E188" s="35" t="inlineStr">
        <is>
          <t>—</t>
        </is>
      </c>
      <c r="F188" s="16" t="n"/>
      <c r="G188" s="16" t="n"/>
      <c r="H188" s="16" t="inlineStr">
        <is>
          <t>—</t>
        </is>
      </c>
    </row>
    <row r="189">
      <c r="A189" s="16" t="inlineStr">
        <is>
          <t>KF-M06-SUB-0001</t>
        </is>
      </c>
      <c r="B189" s="35" t="n">
        <v>2500</v>
      </c>
      <c r="C189" s="42" t="inlineStr">
        <is>
          <t>KALINA</t>
        </is>
      </c>
      <c r="D189" s="29" t="n">
        <v>5.15595693953484</v>
      </c>
      <c r="E189" s="35" t="inlineStr">
        <is>
          <t>—</t>
        </is>
      </c>
      <c r="F189" s="16" t="n"/>
      <c r="G189" s="16" t="n"/>
      <c r="H189" s="16" t="inlineStr">
        <is>
          <t>—</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cols>
    <col width="43" customWidth="1" min="1" max="1"/>
    <col width="48" customWidth="1" min="2" max="2"/>
    <col width="14" customWidth="1" min="3" max="3"/>
    <col width="24" customWidth="1" min="4" max="4"/>
    <col width="15" customWidth="1" min="5" max="5"/>
    <col width="11" customWidth="1" min="6" max="6"/>
    <col width="21" customWidth="1" min="7" max="7"/>
    <col width="10" customWidth="1" min="8" max="8"/>
  </cols>
  <sheetData>
    <row r="1">
      <c r="A1" s="19" t="inlineStr">
        <is>
          <t>Tabla 6.2-1 · Condiciones: qué quedó fijo y qué se barrió</t>
        </is>
      </c>
    </row>
    <row r="2">
      <c r="A2" s="20" t="inlineStr">
        <is>
          <t>Estudio 6.2 · Planta real de Húsavík · Partes: 6.2a, 6.2b, 6.2c, 6.2d</t>
        </is>
      </c>
    </row>
    <row r="3">
      <c r="A3" s="20" t="inlineStr">
        <is>
          <t>Punto base: ancla de Húsavík (P_alta 3300 kPa, P_baja 690 kPa, T_fuente 394.15 K, T_sumidero 278.15 K); la parte 6.2a conserva los datos de septiembre</t>
        </is>
      </c>
    </row>
    <row r="4">
      <c r="A4" s="41" t="inlineStr">
        <is>
          <t>Parte 6.2a (Fase 3 de septiembre):</t>
        </is>
      </c>
    </row>
    <row r="5">
      <c r="A5" s="21" t="inlineStr">
        <is>
          <t>Datos fijos: T_fuente = 394.15 K; T_sumidero = 278.15 K; m_b = 1 kg/s; η_p = 0.8; ε_HRVG = 0.85; motor de propiedades = teqp.</t>
        </is>
      </c>
    </row>
    <row r="6">
      <c r="A6" s="21" t="inlineStr">
        <is>
          <t>Datos barridos: P_alta [3300–3500] kPa (3 valores); P_baja [670–1500] kPa (40 valores); x_b [0.78–0.83333] (6 valores); η_t [0.85–0.98] (8 valores); ε_reg [0.75–0.95] (12 valores); ε_cond [0.95–0.99] (5 valores); piso de O2 [283.15–303.55] K (2 valores).</t>
        </is>
      </c>
    </row>
    <row r="7">
      <c r="A7" s="41" t="inlineStr">
        <is>
          <t>Parte 6.2b (una variable a la vez):</t>
        </is>
      </c>
    </row>
    <row r="8">
      <c r="A8" s="21" t="inlineStr">
        <is>
          <t>Punto base (las demás variables quedan fijas en): T_fuente = 394.15 K; T_sumidero = 278.15 K; P_alta = 3300 kPa; P_baja = 690 kPa; x_b = 0.82; m_b = 1 kg/s; η_t = 0.9; η_p = 0.8; ε_HRVG = 0.85; ε_reg = 0.75; ε_cond = 0.95; piso de O2 = 283.15 K; motor de propiedades = teqp. Cada panel o tramo mueve solo su variable.</t>
        </is>
      </c>
    </row>
    <row r="9">
      <c r="A9" s="21" t="inlineStr">
        <is>
          <t>Datos barridos (uno a la vez): T_fuente [380–430] K (15 valores); T_sumidero [273.15–293.15] K (15 valores); P_alta [2500–4000] kPa (15 valores); P_baja [500–1200] kPa (15 valores); x_b [0.6–0.95] (15 valores); η_t [0.75–0.95] (15 valores); η_p [0.6–0.9] (15 valores); ε_HRVG [0.6–0.95] (15 valores); ε_reg [0.4–0.95] (15 valores); ε_cond [0.7–0.95] (15 valores).</t>
        </is>
      </c>
    </row>
    <row r="10">
      <c r="A10" s="41" t="inlineStr">
        <is>
          <t>Parte 6.2c (malla x_b × P_baja (x_b 0.70–0.91); malla x_b × P_baja (x_b 0.30–0.70)):</t>
        </is>
      </c>
    </row>
    <row r="11">
      <c r="A11" s="21" t="inlineStr">
        <is>
          <t>Datos fijos: T_fuente = 394.15 K; T_sumidero = 278.15 K; P_alta = 3300 kPa; m_b = 1 kg/s; η_t = 0.9; η_p = 0.8; ε_HRVG = 0.85; ε_reg = 0.75; ε_cond = 0.95; piso de O2 = 283.15 K; motor de propiedades = teqp.</t>
        </is>
      </c>
    </row>
    <row r="12">
      <c r="A12" s="21" t="inlineStr">
        <is>
          <t>Datos barridos: P_baja [200–1200] kPa (8 valores); x_b [0.3–0.91] (9 valores).</t>
        </is>
      </c>
    </row>
    <row r="13">
      <c r="A13" s="41" t="inlineStr">
        <is>
          <t>Parte 6.2d (x_b bajo (0.30–0.70)):</t>
        </is>
      </c>
    </row>
    <row r="14">
      <c r="A14" s="21" t="inlineStr">
        <is>
          <t>Punto base (las demás variables quedan fijas en): T_fuente = 394.15 K; T_sumidero = 278.15 K; P_alta = 3300 kPa; P_baja = 690 kPa; x_b = 0.3; m_b = 1 kg/s; η_t = 0.9; η_p = 0.8; ε_HRVG = 0.85; ε_reg = 0.75; ε_cond = 0.95; piso de O2 = 283.15 K; motor de propiedades = teqp. Cada panel o tramo mueve solo su variable.</t>
        </is>
      </c>
    </row>
    <row r="15">
      <c r="A15" s="21" t="inlineStr">
        <is>
          <t>Datos barridos (uno a la vez): x_b [0.3–0.7] (17 valores).</t>
        </is>
      </c>
    </row>
    <row r="16">
      <c r="A16" s="20" t="inlineStr">
        <is>
          <t>Fuente: analisis_final/00_inventario/condiciones_por_subcaso.csv</t>
        </is>
      </c>
    </row>
    <row r="18">
      <c r="A18" s="22" t="inlineStr">
        <is>
          <t>Parte</t>
        </is>
      </c>
      <c r="B18" s="22" t="inlineStr">
        <is>
          <t>Variable</t>
        </is>
      </c>
      <c r="C18" s="22" t="inlineStr">
        <is>
          <t>Estado</t>
        </is>
      </c>
      <c r="D18" s="22" t="inlineStr">
        <is>
          <t>Valor en el punto base</t>
        </is>
      </c>
      <c r="E18" s="22" t="inlineStr">
        <is>
          <t>Valor o rango</t>
        </is>
      </c>
      <c r="F18" s="22" t="inlineStr">
        <is>
          <t>n valores</t>
        </is>
      </c>
      <c r="G18" s="22" t="inlineStr">
        <is>
          <t>¿Igual al profesor?</t>
        </is>
      </c>
      <c r="H18" s="22" t="inlineStr">
        <is>
          <t>Unidad</t>
        </is>
      </c>
    </row>
    <row r="19">
      <c r="A19" s="16" t="inlineStr">
        <is>
          <t>6.2a · Fase 3 de septiembre</t>
        </is>
      </c>
      <c r="B19" s="16" t="inlineStr">
        <is>
          <t>Temperatura de la fuente, T_fuente [K]</t>
        </is>
      </c>
      <c r="C19" s="16" t="inlineStr">
        <is>
          <t>Fija</t>
        </is>
      </c>
      <c r="D19" s="16" t="n"/>
      <c r="E19" s="16" t="inlineStr">
        <is>
          <t>394.15</t>
        </is>
      </c>
      <c r="F19" s="16" t="n"/>
      <c r="G19" s="16" t="inlineStr">
        <is>
          <t>no</t>
        </is>
      </c>
      <c r="H19" s="16" t="inlineStr">
        <is>
          <t>K</t>
        </is>
      </c>
    </row>
    <row r="20">
      <c r="A20" s="16" t="inlineStr">
        <is>
          <t>6.2a · Fase 3 de septiembre</t>
        </is>
      </c>
      <c r="B20" s="16" t="inlineStr">
        <is>
          <t>Temperatura del sumidero, T_sumidero [K]</t>
        </is>
      </c>
      <c r="C20" s="16" t="inlineStr">
        <is>
          <t>Fija</t>
        </is>
      </c>
      <c r="D20" s="16" t="n"/>
      <c r="E20" s="16" t="inlineStr">
        <is>
          <t>278.15</t>
        </is>
      </c>
      <c r="F20" s="16" t="n"/>
      <c r="G20" s="16" t="inlineStr">
        <is>
          <t>no</t>
        </is>
      </c>
      <c r="H20" s="16" t="inlineStr">
        <is>
          <t>K</t>
        </is>
      </c>
    </row>
    <row r="21">
      <c r="A21" s="16" t="inlineStr">
        <is>
          <t>6.2a · Fase 3 de septiembre</t>
        </is>
      </c>
      <c r="B21" s="16" t="inlineStr">
        <is>
          <t>Presión de alta, P_alta [kPa]</t>
        </is>
      </c>
      <c r="C21" s="16" t="inlineStr">
        <is>
          <t>Barrida</t>
        </is>
      </c>
      <c r="D21" s="16" t="n"/>
      <c r="E21" s="16" t="inlineStr">
        <is>
          <t>3300 – 3500</t>
        </is>
      </c>
      <c r="F21" s="16" t="n">
        <v>3</v>
      </c>
      <c r="G21" s="16" t="n"/>
      <c r="H21" s="16" t="inlineStr">
        <is>
          <t>kPa</t>
        </is>
      </c>
    </row>
    <row r="22">
      <c r="A22" s="16" t="inlineStr">
        <is>
          <t>6.2a · Fase 3 de septiembre</t>
        </is>
      </c>
      <c r="B22" s="16" t="inlineStr">
        <is>
          <t>Presión de baja, P_baja [kPa]</t>
        </is>
      </c>
      <c r="C22" s="16" t="inlineStr">
        <is>
          <t>Barrida</t>
        </is>
      </c>
      <c r="D22" s="16" t="n"/>
      <c r="E22" s="16" t="inlineStr">
        <is>
          <t>670.0 – 1500</t>
        </is>
      </c>
      <c r="F22" s="16" t="n">
        <v>40</v>
      </c>
      <c r="G22" s="16" t="n"/>
      <c r="H22" s="16" t="inlineStr">
        <is>
          <t>kPa</t>
        </is>
      </c>
    </row>
    <row r="23">
      <c r="A23" s="16" t="inlineStr">
        <is>
          <t>6.2a · Fase 3 de septiembre</t>
        </is>
      </c>
      <c r="B23" s="16" t="inlineStr">
        <is>
          <t>Fracción de amoníaco de la mezcla base, x_b [–]</t>
        </is>
      </c>
      <c r="C23" s="16" t="inlineStr">
        <is>
          <t>Barrida</t>
        </is>
      </c>
      <c r="D23" s="16" t="n"/>
      <c r="E23" s="16" t="inlineStr">
        <is>
          <t>0.780 – 0.833</t>
        </is>
      </c>
      <c r="F23" s="16" t="n">
        <v>6</v>
      </c>
      <c r="G23" s="16" t="n"/>
      <c r="H23" s="16" t="inlineStr">
        <is>
          <t>–</t>
        </is>
      </c>
    </row>
    <row r="24">
      <c r="A24" s="16" t="inlineStr">
        <is>
          <t>6.2a · Fase 3 de septiembre</t>
        </is>
      </c>
      <c r="B24" s="16" t="inlineStr">
        <is>
          <t>Flujo másico base, m_b [kg/s]</t>
        </is>
      </c>
      <c r="C24" s="16" t="inlineStr">
        <is>
          <t>Fija</t>
        </is>
      </c>
      <c r="D24" s="16" t="n"/>
      <c r="E24" s="16" t="inlineStr">
        <is>
          <t>1.0</t>
        </is>
      </c>
      <c r="F24" s="16" t="n"/>
      <c r="G24" s="16" t="inlineStr">
        <is>
          <t>sí</t>
        </is>
      </c>
      <c r="H24" s="16" t="inlineStr">
        <is>
          <t>kg/s</t>
        </is>
      </c>
    </row>
    <row r="25">
      <c r="A25" s="16" t="inlineStr">
        <is>
          <t>6.2a · Fase 3 de septiembre</t>
        </is>
      </c>
      <c r="B25" s="16" t="inlineStr">
        <is>
          <t>Eficiencia isentrópica de la turbina, η_t [–]</t>
        </is>
      </c>
      <c r="C25" s="16" t="inlineStr">
        <is>
          <t>Barrida</t>
        </is>
      </c>
      <c r="D25" s="16" t="n"/>
      <c r="E25" s="16" t="inlineStr">
        <is>
          <t>0.850 – 0.980</t>
        </is>
      </c>
      <c r="F25" s="16" t="n">
        <v>8</v>
      </c>
      <c r="G25" s="16" t="n"/>
      <c r="H25" s="16" t="inlineStr">
        <is>
          <t>–</t>
        </is>
      </c>
    </row>
    <row r="26">
      <c r="A26" s="16" t="inlineStr">
        <is>
          <t>6.2a · Fase 3 de septiembre</t>
        </is>
      </c>
      <c r="B26" s="16" t="inlineStr">
        <is>
          <t>Eficiencia isentrópica de la bomba, η_p [–]</t>
        </is>
      </c>
      <c r="C26" s="16" t="inlineStr">
        <is>
          <t>Fija</t>
        </is>
      </c>
      <c r="D26" s="16" t="n"/>
      <c r="E26" s="16" t="inlineStr">
        <is>
          <t>0.8</t>
        </is>
      </c>
      <c r="F26" s="16" t="n"/>
      <c r="G26" s="16" t="inlineStr">
        <is>
          <t>no</t>
        </is>
      </c>
      <c r="H26" s="16" t="inlineStr">
        <is>
          <t>–</t>
        </is>
      </c>
    </row>
    <row r="27">
      <c r="A27" s="16" t="inlineStr">
        <is>
          <t>6.2a · Fase 3 de septiembre</t>
        </is>
      </c>
      <c r="B27" s="16" t="inlineStr">
        <is>
          <t>Efectividad del generador de vapor, ε_HRVG [–]</t>
        </is>
      </c>
      <c r="C27" s="16" t="inlineStr">
        <is>
          <t>Fija</t>
        </is>
      </c>
      <c r="D27" s="16" t="n"/>
      <c r="E27" s="16" t="inlineStr">
        <is>
          <t>0.85</t>
        </is>
      </c>
      <c r="F27" s="16" t="n"/>
      <c r="G27" s="16" t="inlineStr">
        <is>
          <t>sí</t>
        </is>
      </c>
      <c r="H27" s="16" t="inlineStr">
        <is>
          <t>–</t>
        </is>
      </c>
    </row>
    <row r="28">
      <c r="A28" s="16" t="inlineStr">
        <is>
          <t>6.2a · Fase 3 de septiembre</t>
        </is>
      </c>
      <c r="B28" s="16" t="inlineStr">
        <is>
          <t>Efectividad del regenerador, ε_reg [–]</t>
        </is>
      </c>
      <c r="C28" s="16" t="inlineStr">
        <is>
          <t>Barrida</t>
        </is>
      </c>
      <c r="D28" s="16" t="n"/>
      <c r="E28" s="16" t="inlineStr">
        <is>
          <t>0.750 – 0.950</t>
        </is>
      </c>
      <c r="F28" s="16" t="n">
        <v>12</v>
      </c>
      <c r="G28" s="16" t="n"/>
      <c r="H28" s="16" t="inlineStr">
        <is>
          <t>–</t>
        </is>
      </c>
    </row>
    <row r="29">
      <c r="A29" s="16" t="inlineStr">
        <is>
          <t>6.2a · Fase 3 de septiembre</t>
        </is>
      </c>
      <c r="B29" s="16" t="inlineStr">
        <is>
          <t>Efectividad del condensador, ε_cond [–]</t>
        </is>
      </c>
      <c r="C29" s="16" t="inlineStr">
        <is>
          <t>Barrida</t>
        </is>
      </c>
      <c r="D29" s="16" t="n"/>
      <c r="E29" s="16" t="inlineStr">
        <is>
          <t>0.950 – 0.990</t>
        </is>
      </c>
      <c r="F29" s="16" t="n">
        <v>5</v>
      </c>
      <c r="G29" s="16" t="n"/>
      <c r="H29" s="16" t="inlineStr">
        <is>
          <t>–</t>
        </is>
      </c>
    </row>
    <row r="30">
      <c r="A30" s="16" t="inlineStr">
        <is>
          <t>6.2a · Fase 3 de septiembre</t>
        </is>
      </c>
      <c r="B30" s="16" t="inlineStr">
        <is>
          <t>Piso de O2 (T de diseño de la bomba) [K]</t>
        </is>
      </c>
      <c r="C30" s="16" t="inlineStr">
        <is>
          <t>Barrida</t>
        </is>
      </c>
      <c r="D30" s="16" t="n"/>
      <c r="E30" s="16" t="inlineStr">
        <is>
          <t>283.1 – 303.6</t>
        </is>
      </c>
      <c r="F30" s="16" t="n">
        <v>2</v>
      </c>
      <c r="G30" s="16" t="n"/>
      <c r="H30" s="16" t="inlineStr">
        <is>
          <t>K</t>
        </is>
      </c>
    </row>
    <row r="31">
      <c r="A31" s="16" t="inlineStr">
        <is>
          <t>6.2a · Fase 3 de septiembre</t>
        </is>
      </c>
      <c r="B31" s="16" t="inlineStr">
        <is>
          <t>motor de propiedades</t>
        </is>
      </c>
      <c r="C31" s="16" t="inlineStr">
        <is>
          <t>Fija</t>
        </is>
      </c>
      <c r="D31" s="16" t="n"/>
      <c r="E31" s="16" t="inlineStr">
        <is>
          <t>teqp</t>
        </is>
      </c>
      <c r="F31" s="16" t="n"/>
      <c r="G31" s="16" t="n"/>
      <c r="H31" s="16" t="inlineStr">
        <is>
          <t>–</t>
        </is>
      </c>
    </row>
    <row r="32">
      <c r="A32" s="16" t="inlineStr">
        <is>
          <t>6.2b · una variable a la vez</t>
        </is>
      </c>
      <c r="B32" s="16" t="inlineStr">
        <is>
          <t>Temperatura de la fuente, T_fuente [K]</t>
        </is>
      </c>
      <c r="C32" s="16" t="inlineStr">
        <is>
          <t>Una a la vez</t>
        </is>
      </c>
      <c r="D32" s="16" t="n">
        <v>394.1</v>
      </c>
      <c r="E32" s="16" t="inlineStr">
        <is>
          <t>380.0 – 430.0</t>
        </is>
      </c>
      <c r="F32" s="16" t="n">
        <v>16</v>
      </c>
      <c r="G32" s="16" t="n"/>
      <c r="H32" s="16" t="inlineStr">
        <is>
          <t>K</t>
        </is>
      </c>
    </row>
    <row r="33">
      <c r="A33" s="16" t="inlineStr">
        <is>
          <t>6.2b · una variable a la vez</t>
        </is>
      </c>
      <c r="B33" s="16" t="inlineStr">
        <is>
          <t>Temperatura del sumidero, T_sumidero [K]</t>
        </is>
      </c>
      <c r="C33" s="16" t="inlineStr">
        <is>
          <t>Una a la vez</t>
        </is>
      </c>
      <c r="D33" s="16" t="n">
        <v>278.1</v>
      </c>
      <c r="E33" s="16" t="inlineStr">
        <is>
          <t>273.1 – 293.1</t>
        </is>
      </c>
      <c r="F33" s="16" t="n">
        <v>16</v>
      </c>
      <c r="G33" s="16" t="n"/>
      <c r="H33" s="16" t="inlineStr">
        <is>
          <t>K</t>
        </is>
      </c>
    </row>
    <row r="34">
      <c r="A34" s="16" t="inlineStr">
        <is>
          <t>6.2b · una variable a la vez</t>
        </is>
      </c>
      <c r="B34" s="16" t="inlineStr">
        <is>
          <t>Presión de alta, P_alta [kPa]</t>
        </is>
      </c>
      <c r="C34" s="16" t="inlineStr">
        <is>
          <t>Una a la vez</t>
        </is>
      </c>
      <c r="D34" s="16" t="n">
        <v>3300</v>
      </c>
      <c r="E34" s="16" t="inlineStr">
        <is>
          <t>2500 – 4000</t>
        </is>
      </c>
      <c r="F34" s="16" t="n">
        <v>16</v>
      </c>
      <c r="G34" s="16" t="n"/>
      <c r="H34" s="16" t="inlineStr">
        <is>
          <t>kPa</t>
        </is>
      </c>
    </row>
    <row r="35">
      <c r="A35" s="16" t="inlineStr">
        <is>
          <t>6.2b · una variable a la vez</t>
        </is>
      </c>
      <c r="B35" s="16" t="inlineStr">
        <is>
          <t>Presión de baja, P_baja [kPa]</t>
        </is>
      </c>
      <c r="C35" s="16" t="inlineStr">
        <is>
          <t>Una a la vez</t>
        </is>
      </c>
      <c r="D35" s="16" t="n">
        <v>690</v>
      </c>
      <c r="E35" s="16" t="inlineStr">
        <is>
          <t>500.0 – 1200</t>
        </is>
      </c>
      <c r="F35" s="16" t="n">
        <v>16</v>
      </c>
      <c r="G35" s="16" t="n"/>
      <c r="H35" s="16" t="inlineStr">
        <is>
          <t>kPa</t>
        </is>
      </c>
    </row>
    <row r="36">
      <c r="A36" s="16" t="inlineStr">
        <is>
          <t>6.2b · una variable a la vez</t>
        </is>
      </c>
      <c r="B36" s="16" t="inlineStr">
        <is>
          <t>Fracción de amoníaco de la mezcla base, x_b [–]</t>
        </is>
      </c>
      <c r="C36" s="16" t="inlineStr">
        <is>
          <t>Una a la vez</t>
        </is>
      </c>
      <c r="D36" s="16" t="n">
        <v>0.82</v>
      </c>
      <c r="E36" s="16" t="inlineStr">
        <is>
          <t>0.600 – 0.950</t>
        </is>
      </c>
      <c r="F36" s="16" t="n">
        <v>16</v>
      </c>
      <c r="G36" s="16" t="n"/>
      <c r="H36" s="16" t="inlineStr">
        <is>
          <t>–</t>
        </is>
      </c>
    </row>
    <row r="37">
      <c r="A37" s="16" t="inlineStr">
        <is>
          <t>6.2b · una variable a la vez</t>
        </is>
      </c>
      <c r="B37" s="16" t="inlineStr">
        <is>
          <t>Flujo másico base, m_b [kg/s]</t>
        </is>
      </c>
      <c r="C37" s="16" t="inlineStr">
        <is>
          <t>Fija</t>
        </is>
      </c>
      <c r="D37" s="16" t="n">
        <v>1</v>
      </c>
      <c r="E37" s="16" t="inlineStr">
        <is>
          <t>1.0</t>
        </is>
      </c>
      <c r="F37" s="16" t="n"/>
      <c r="G37" s="16" t="inlineStr">
        <is>
          <t>sí</t>
        </is>
      </c>
      <c r="H37" s="16" t="inlineStr">
        <is>
          <t>kg/s</t>
        </is>
      </c>
    </row>
    <row r="38">
      <c r="A38" s="16" t="inlineStr">
        <is>
          <t>6.2b · una variable a la vez</t>
        </is>
      </c>
      <c r="B38" s="16" t="inlineStr">
        <is>
          <t>Eficiencia isentrópica de la turbina, η_t [–]</t>
        </is>
      </c>
      <c r="C38" s="16" t="inlineStr">
        <is>
          <t>Una a la vez</t>
        </is>
      </c>
      <c r="D38" s="16" t="n">
        <v>0.9</v>
      </c>
      <c r="E38" s="16" t="inlineStr">
        <is>
          <t>0.750 – 0.950</t>
        </is>
      </c>
      <c r="F38" s="16" t="n">
        <v>16</v>
      </c>
      <c r="G38" s="16" t="n"/>
      <c r="H38" s="16" t="inlineStr">
        <is>
          <t>–</t>
        </is>
      </c>
    </row>
    <row r="39">
      <c r="A39" s="16" t="inlineStr">
        <is>
          <t>6.2b · una variable a la vez</t>
        </is>
      </c>
      <c r="B39" s="16" t="inlineStr">
        <is>
          <t>Eficiencia isentrópica de la bomba, η_p [–]</t>
        </is>
      </c>
      <c r="C39" s="16" t="inlineStr">
        <is>
          <t>Una a la vez</t>
        </is>
      </c>
      <c r="D39" s="16" t="n">
        <v>0.8</v>
      </c>
      <c r="E39" s="16" t="inlineStr">
        <is>
          <t>0.600 – 0.900</t>
        </is>
      </c>
      <c r="F39" s="16" t="n">
        <v>16</v>
      </c>
      <c r="G39" s="16" t="n"/>
      <c r="H39" s="16" t="inlineStr">
        <is>
          <t>–</t>
        </is>
      </c>
    </row>
    <row r="40">
      <c r="A40" s="16" t="inlineStr">
        <is>
          <t>6.2b · una variable a la vez</t>
        </is>
      </c>
      <c r="B40" s="16" t="inlineStr">
        <is>
          <t>Efectividad del generador de vapor, ε_HRVG [–]</t>
        </is>
      </c>
      <c r="C40" s="16" t="inlineStr">
        <is>
          <t>Una a la vez</t>
        </is>
      </c>
      <c r="D40" s="16" t="n">
        <v>0.85</v>
      </c>
      <c r="E40" s="16" t="inlineStr">
        <is>
          <t>0.600 – 0.950</t>
        </is>
      </c>
      <c r="F40" s="16" t="n">
        <v>15</v>
      </c>
      <c r="G40" s="16" t="n"/>
      <c r="H40" s="16" t="inlineStr">
        <is>
          <t>–</t>
        </is>
      </c>
    </row>
    <row r="41">
      <c r="A41" s="16" t="inlineStr">
        <is>
          <t>6.2b · una variable a la vez</t>
        </is>
      </c>
      <c r="B41" s="16" t="inlineStr">
        <is>
          <t>Efectividad del regenerador, ε_reg [–]</t>
        </is>
      </c>
      <c r="C41" s="16" t="inlineStr">
        <is>
          <t>Una a la vez</t>
        </is>
      </c>
      <c r="D41" s="16" t="n">
        <v>0.75</v>
      </c>
      <c r="E41" s="16" t="inlineStr">
        <is>
          <t>0.400 – 0.950</t>
        </is>
      </c>
      <c r="F41" s="16" t="n">
        <v>16</v>
      </c>
      <c r="G41" s="16" t="n"/>
      <c r="H41" s="16" t="inlineStr">
        <is>
          <t>–</t>
        </is>
      </c>
    </row>
    <row r="42">
      <c r="A42" s="16" t="inlineStr">
        <is>
          <t>6.2b · una variable a la vez</t>
        </is>
      </c>
      <c r="B42" s="16" t="inlineStr">
        <is>
          <t>Efectividad del condensador, ε_cond [–]</t>
        </is>
      </c>
      <c r="C42" s="16" t="inlineStr">
        <is>
          <t>Una a la vez</t>
        </is>
      </c>
      <c r="D42" s="16" t="n">
        <v>0.95</v>
      </c>
      <c r="E42" s="16" t="inlineStr">
        <is>
          <t>0.700 – 0.950</t>
        </is>
      </c>
      <c r="F42" s="16" t="n">
        <v>15</v>
      </c>
      <c r="G42" s="16" t="n"/>
      <c r="H42" s="16" t="inlineStr">
        <is>
          <t>–</t>
        </is>
      </c>
    </row>
    <row r="43">
      <c r="A43" s="16" t="inlineStr">
        <is>
          <t>6.2b · una variable a la vez</t>
        </is>
      </c>
      <c r="B43" s="16" t="inlineStr">
        <is>
          <t>Piso de O2 (T de diseño de la bomba) [K]</t>
        </is>
      </c>
      <c r="C43" s="16" t="inlineStr">
        <is>
          <t>Fija</t>
        </is>
      </c>
      <c r="D43" s="16" t="n">
        <v>283.1</v>
      </c>
      <c r="E43" s="16" t="inlineStr">
        <is>
          <t>283.15</t>
        </is>
      </c>
      <c r="F43" s="16" t="n"/>
      <c r="G43" s="16" t="inlineStr">
        <is>
          <t>no</t>
        </is>
      </c>
      <c r="H43" s="16" t="inlineStr">
        <is>
          <t>K</t>
        </is>
      </c>
    </row>
    <row r="44">
      <c r="A44" s="16" t="inlineStr">
        <is>
          <t>6.2b · una variable a la vez</t>
        </is>
      </c>
      <c r="B44" s="16" t="inlineStr">
        <is>
          <t>motor de propiedades</t>
        </is>
      </c>
      <c r="C44" s="16" t="inlineStr">
        <is>
          <t>Fija</t>
        </is>
      </c>
      <c r="D44" s="16" t="n"/>
      <c r="E44" s="16" t="inlineStr">
        <is>
          <t>teqp</t>
        </is>
      </c>
      <c r="F44" s="16" t="n"/>
      <c r="G44" s="16" t="n"/>
      <c r="H44" s="16" t="inlineStr">
        <is>
          <t>–</t>
        </is>
      </c>
    </row>
    <row r="45">
      <c r="A45" s="16" t="inlineStr">
        <is>
          <t>6.2c · malla x_b × P_baja (x_b 0.70–0.91)</t>
        </is>
      </c>
      <c r="B45" s="16" t="inlineStr">
        <is>
          <t>Temperatura de la fuente, T_fuente [K]</t>
        </is>
      </c>
      <c r="C45" s="16" t="inlineStr">
        <is>
          <t>Fija</t>
        </is>
      </c>
      <c r="D45" s="16" t="n"/>
      <c r="E45" s="16" t="inlineStr">
        <is>
          <t>394.15</t>
        </is>
      </c>
      <c r="F45" s="16" t="n"/>
      <c r="G45" s="16" t="inlineStr">
        <is>
          <t>no</t>
        </is>
      </c>
      <c r="H45" s="16" t="inlineStr">
        <is>
          <t>K</t>
        </is>
      </c>
    </row>
    <row r="46">
      <c r="A46" s="16" t="inlineStr">
        <is>
          <t>6.2c · malla x_b × P_baja (x_b 0.70–0.91)</t>
        </is>
      </c>
      <c r="B46" s="16" t="inlineStr">
        <is>
          <t>Temperatura del sumidero, T_sumidero [K]</t>
        </is>
      </c>
      <c r="C46" s="16" t="inlineStr">
        <is>
          <t>Fija</t>
        </is>
      </c>
      <c r="D46" s="16" t="n"/>
      <c r="E46" s="16" t="inlineStr">
        <is>
          <t>278.15</t>
        </is>
      </c>
      <c r="F46" s="16" t="n"/>
      <c r="G46" s="16" t="inlineStr">
        <is>
          <t>no</t>
        </is>
      </c>
      <c r="H46" s="16" t="inlineStr">
        <is>
          <t>K</t>
        </is>
      </c>
    </row>
    <row r="47">
      <c r="A47" s="16" t="inlineStr">
        <is>
          <t>6.2c · malla x_b × P_baja (x_b 0.70–0.91)</t>
        </is>
      </c>
      <c r="B47" s="16" t="inlineStr">
        <is>
          <t>Presión de alta, P_alta [kPa]</t>
        </is>
      </c>
      <c r="C47" s="16" t="inlineStr">
        <is>
          <t>Fija</t>
        </is>
      </c>
      <c r="D47" s="16" t="n"/>
      <c r="E47" s="16" t="inlineStr">
        <is>
          <t>3300.0</t>
        </is>
      </c>
      <c r="F47" s="16" t="n"/>
      <c r="G47" s="16" t="inlineStr">
        <is>
          <t>no</t>
        </is>
      </c>
      <c r="H47" s="16" t="inlineStr">
        <is>
          <t>kPa</t>
        </is>
      </c>
    </row>
    <row r="48">
      <c r="A48" s="16" t="inlineStr">
        <is>
          <t>6.2c · malla x_b × P_baja (x_b 0.70–0.91)</t>
        </is>
      </c>
      <c r="B48" s="16" t="inlineStr">
        <is>
          <t>Presión de baja, P_baja [kPa]</t>
        </is>
      </c>
      <c r="C48" s="16" t="inlineStr">
        <is>
          <t>Barrida</t>
        </is>
      </c>
      <c r="D48" s="16" t="n"/>
      <c r="E48" s="16" t="inlineStr">
        <is>
          <t>500.0 – 1200</t>
        </is>
      </c>
      <c r="F48" s="16" t="n">
        <v>8</v>
      </c>
      <c r="G48" s="16" t="n"/>
      <c r="H48" s="16" t="inlineStr">
        <is>
          <t>kPa</t>
        </is>
      </c>
    </row>
    <row r="49">
      <c r="A49" s="16" t="inlineStr">
        <is>
          <t>6.2c · malla x_b × P_baja (x_b 0.70–0.91)</t>
        </is>
      </c>
      <c r="B49" s="16" t="inlineStr">
        <is>
          <t>Fracción de amoníaco de la mezcla base, x_b [–]</t>
        </is>
      </c>
      <c r="C49" s="16" t="inlineStr">
        <is>
          <t>Barrida</t>
        </is>
      </c>
      <c r="D49" s="16" t="n"/>
      <c r="E49" s="16" t="inlineStr">
        <is>
          <t>0.700 – 0.910</t>
        </is>
      </c>
      <c r="F49" s="16" t="n">
        <v>8</v>
      </c>
      <c r="G49" s="16" t="n"/>
      <c r="H49" s="16" t="inlineStr">
        <is>
          <t>–</t>
        </is>
      </c>
    </row>
    <row r="50">
      <c r="A50" s="16" t="inlineStr">
        <is>
          <t>6.2c · malla x_b × P_baja (x_b 0.70–0.91)</t>
        </is>
      </c>
      <c r="B50" s="16" t="inlineStr">
        <is>
          <t>Flujo másico base, m_b [kg/s]</t>
        </is>
      </c>
      <c r="C50" s="16" t="inlineStr">
        <is>
          <t>Fija</t>
        </is>
      </c>
      <c r="D50" s="16" t="n"/>
      <c r="E50" s="16" t="inlineStr">
        <is>
          <t>1.0</t>
        </is>
      </c>
      <c r="F50" s="16" t="n"/>
      <c r="G50" s="16" t="inlineStr">
        <is>
          <t>sí</t>
        </is>
      </c>
      <c r="H50" s="16" t="inlineStr">
        <is>
          <t>kg/s</t>
        </is>
      </c>
    </row>
    <row r="51">
      <c r="A51" s="16" t="inlineStr">
        <is>
          <t>6.2c · malla x_b × P_baja (x_b 0.70–0.91)</t>
        </is>
      </c>
      <c r="B51" s="16" t="inlineStr">
        <is>
          <t>Eficiencia isentrópica de la turbina, η_t [–]</t>
        </is>
      </c>
      <c r="C51" s="16" t="inlineStr">
        <is>
          <t>Fija</t>
        </is>
      </c>
      <c r="D51" s="16" t="n"/>
      <c r="E51" s="16" t="inlineStr">
        <is>
          <t>0.9</t>
        </is>
      </c>
      <c r="F51" s="16" t="n"/>
      <c r="G51" s="16" t="inlineStr">
        <is>
          <t>no</t>
        </is>
      </c>
      <c r="H51" s="16" t="inlineStr">
        <is>
          <t>–</t>
        </is>
      </c>
    </row>
    <row r="52">
      <c r="A52" s="16" t="inlineStr">
        <is>
          <t>6.2c · malla x_b × P_baja (x_b 0.70–0.91)</t>
        </is>
      </c>
      <c r="B52" s="16" t="inlineStr">
        <is>
          <t>Eficiencia isentrópica de la bomba, η_p [–]</t>
        </is>
      </c>
      <c r="C52" s="16" t="inlineStr">
        <is>
          <t>Fija</t>
        </is>
      </c>
      <c r="D52" s="16" t="n"/>
      <c r="E52" s="16" t="inlineStr">
        <is>
          <t>0.8</t>
        </is>
      </c>
      <c r="F52" s="16" t="n"/>
      <c r="G52" s="16" t="inlineStr">
        <is>
          <t>no</t>
        </is>
      </c>
      <c r="H52" s="16" t="inlineStr">
        <is>
          <t>–</t>
        </is>
      </c>
    </row>
    <row r="53">
      <c r="A53" s="16" t="inlineStr">
        <is>
          <t>6.2c · malla x_b × P_baja (x_b 0.70–0.91)</t>
        </is>
      </c>
      <c r="B53" s="16" t="inlineStr">
        <is>
          <t>Efectividad del generador de vapor, ε_HRVG [–]</t>
        </is>
      </c>
      <c r="C53" s="16" t="inlineStr">
        <is>
          <t>Fija</t>
        </is>
      </c>
      <c r="D53" s="16" t="n"/>
      <c r="E53" s="16" t="inlineStr">
        <is>
          <t>0.85</t>
        </is>
      </c>
      <c r="F53" s="16" t="n"/>
      <c r="G53" s="16" t="inlineStr">
        <is>
          <t>sí</t>
        </is>
      </c>
      <c r="H53" s="16" t="inlineStr">
        <is>
          <t>–</t>
        </is>
      </c>
    </row>
    <row r="54">
      <c r="A54" s="16" t="inlineStr">
        <is>
          <t>6.2c · malla x_b × P_baja (x_b 0.70–0.91)</t>
        </is>
      </c>
      <c r="B54" s="16" t="inlineStr">
        <is>
          <t>Efectividad del regenerador, ε_reg [–]</t>
        </is>
      </c>
      <c r="C54" s="16" t="inlineStr">
        <is>
          <t>Fija</t>
        </is>
      </c>
      <c r="D54" s="16" t="n"/>
      <c r="E54" s="16" t="inlineStr">
        <is>
          <t>0.75</t>
        </is>
      </c>
      <c r="F54" s="16" t="n"/>
      <c r="G54" s="16" t="inlineStr">
        <is>
          <t>sí</t>
        </is>
      </c>
      <c r="H54" s="16" t="inlineStr">
        <is>
          <t>–</t>
        </is>
      </c>
    </row>
    <row r="55">
      <c r="A55" s="16" t="inlineStr">
        <is>
          <t>6.2c · malla x_b × P_baja (x_b 0.70–0.91)</t>
        </is>
      </c>
      <c r="B55" s="16" t="inlineStr">
        <is>
          <t>Efectividad del condensador, ε_cond [–]</t>
        </is>
      </c>
      <c r="C55" s="16" t="inlineStr">
        <is>
          <t>Fija</t>
        </is>
      </c>
      <c r="D55" s="16" t="n"/>
      <c r="E55" s="16" t="inlineStr">
        <is>
          <t>0.95</t>
        </is>
      </c>
      <c r="F55" s="16" t="n"/>
      <c r="G55" s="16" t="inlineStr">
        <is>
          <t>no</t>
        </is>
      </c>
      <c r="H55" s="16" t="inlineStr">
        <is>
          <t>–</t>
        </is>
      </c>
    </row>
    <row r="56">
      <c r="A56" s="16" t="inlineStr">
        <is>
          <t>6.2c · malla x_b × P_baja (x_b 0.70–0.91)</t>
        </is>
      </c>
      <c r="B56" s="16" t="inlineStr">
        <is>
          <t>Piso de O2 (T de diseño de la bomba) [K]</t>
        </is>
      </c>
      <c r="C56" s="16" t="inlineStr">
        <is>
          <t>Fija</t>
        </is>
      </c>
      <c r="D56" s="16" t="n"/>
      <c r="E56" s="16" t="inlineStr">
        <is>
          <t>283.15</t>
        </is>
      </c>
      <c r="F56" s="16" t="n"/>
      <c r="G56" s="16" t="inlineStr">
        <is>
          <t>no</t>
        </is>
      </c>
      <c r="H56" s="16" t="inlineStr">
        <is>
          <t>K</t>
        </is>
      </c>
    </row>
    <row r="57">
      <c r="A57" s="16" t="inlineStr">
        <is>
          <t>6.2c · malla x_b × P_baja (x_b 0.70–0.91)</t>
        </is>
      </c>
      <c r="B57" s="16" t="inlineStr">
        <is>
          <t>motor de propiedades</t>
        </is>
      </c>
      <c r="C57" s="16" t="inlineStr">
        <is>
          <t>Fija</t>
        </is>
      </c>
      <c r="D57" s="16" t="n"/>
      <c r="E57" s="16" t="inlineStr">
        <is>
          <t>teqp</t>
        </is>
      </c>
      <c r="F57" s="16" t="n"/>
      <c r="G57" s="16" t="n"/>
      <c r="H57" s="16" t="inlineStr">
        <is>
          <t>–</t>
        </is>
      </c>
    </row>
    <row r="58">
      <c r="A58" s="16" t="inlineStr">
        <is>
          <t>6.2d · x_b bajo (0.30–0.70)</t>
        </is>
      </c>
      <c r="B58" s="16" t="inlineStr">
        <is>
          <t>Temperatura de la fuente, T_fuente [K]</t>
        </is>
      </c>
      <c r="C58" s="16" t="inlineStr">
        <is>
          <t>Fija</t>
        </is>
      </c>
      <c r="D58" s="16" t="n">
        <v>394.1</v>
      </c>
      <c r="E58" s="16" t="inlineStr">
        <is>
          <t>394.15</t>
        </is>
      </c>
      <c r="F58" s="16" t="n"/>
      <c r="G58" s="16" t="inlineStr">
        <is>
          <t>no</t>
        </is>
      </c>
      <c r="H58" s="16" t="inlineStr">
        <is>
          <t>K</t>
        </is>
      </c>
    </row>
    <row r="59">
      <c r="A59" s="16" t="inlineStr">
        <is>
          <t>6.2d · x_b bajo (0.30–0.70)</t>
        </is>
      </c>
      <c r="B59" s="16" t="inlineStr">
        <is>
          <t>Temperatura del sumidero, T_sumidero [K]</t>
        </is>
      </c>
      <c r="C59" s="16" t="inlineStr">
        <is>
          <t>Fija</t>
        </is>
      </c>
      <c r="D59" s="16" t="n">
        <v>278.1</v>
      </c>
      <c r="E59" s="16" t="inlineStr">
        <is>
          <t>278.15</t>
        </is>
      </c>
      <c r="F59" s="16" t="n"/>
      <c r="G59" s="16" t="inlineStr">
        <is>
          <t>no</t>
        </is>
      </c>
      <c r="H59" s="16" t="inlineStr">
        <is>
          <t>K</t>
        </is>
      </c>
    </row>
    <row r="60">
      <c r="A60" s="16" t="inlineStr">
        <is>
          <t>6.2d · x_b bajo (0.30–0.70)</t>
        </is>
      </c>
      <c r="B60" s="16" t="inlineStr">
        <is>
          <t>Presión de alta, P_alta [kPa]</t>
        </is>
      </c>
      <c r="C60" s="16" t="inlineStr">
        <is>
          <t>Fija</t>
        </is>
      </c>
      <c r="D60" s="16" t="n">
        <v>3300</v>
      </c>
      <c r="E60" s="16" t="inlineStr">
        <is>
          <t>3300.0</t>
        </is>
      </c>
      <c r="F60" s="16" t="n"/>
      <c r="G60" s="16" t="inlineStr">
        <is>
          <t>no</t>
        </is>
      </c>
      <c r="H60" s="16" t="inlineStr">
        <is>
          <t>kPa</t>
        </is>
      </c>
    </row>
    <row r="61">
      <c r="A61" s="16" t="inlineStr">
        <is>
          <t>6.2d · x_b bajo (0.30–0.70)</t>
        </is>
      </c>
      <c r="B61" s="16" t="inlineStr">
        <is>
          <t>Presión de baja, P_baja [kPa]</t>
        </is>
      </c>
      <c r="C61" s="16" t="inlineStr">
        <is>
          <t>Fija</t>
        </is>
      </c>
      <c r="D61" s="16" t="n">
        <v>690</v>
      </c>
      <c r="E61" s="16" t="inlineStr">
        <is>
          <t>690.0</t>
        </is>
      </c>
      <c r="F61" s="16" t="n"/>
      <c r="G61" s="16" t="inlineStr">
        <is>
          <t>no</t>
        </is>
      </c>
      <c r="H61" s="16" t="inlineStr">
        <is>
          <t>kPa</t>
        </is>
      </c>
    </row>
    <row r="62">
      <c r="A62" s="16" t="inlineStr">
        <is>
          <t>6.2d · x_b bajo (0.30–0.70)</t>
        </is>
      </c>
      <c r="B62" s="16" t="inlineStr">
        <is>
          <t>Fracción de amoníaco de la mezcla base, x_b [–]</t>
        </is>
      </c>
      <c r="C62" s="16" t="inlineStr">
        <is>
          <t>Una a la vez</t>
        </is>
      </c>
      <c r="D62" s="16" t="n">
        <v>0.3</v>
      </c>
      <c r="E62" s="16" t="inlineStr">
        <is>
          <t>0.300 – 0.700</t>
        </is>
      </c>
      <c r="F62" s="16" t="n">
        <v>17</v>
      </c>
      <c r="G62" s="16" t="n"/>
      <c r="H62" s="16" t="inlineStr">
        <is>
          <t>–</t>
        </is>
      </c>
    </row>
    <row r="63">
      <c r="A63" s="16" t="inlineStr">
        <is>
          <t>6.2d · x_b bajo (0.30–0.70)</t>
        </is>
      </c>
      <c r="B63" s="16" t="inlineStr">
        <is>
          <t>Flujo másico base, m_b [kg/s]</t>
        </is>
      </c>
      <c r="C63" s="16" t="inlineStr">
        <is>
          <t>Fija</t>
        </is>
      </c>
      <c r="D63" s="16" t="n">
        <v>1</v>
      </c>
      <c r="E63" s="16" t="inlineStr">
        <is>
          <t>1.0</t>
        </is>
      </c>
      <c r="F63" s="16" t="n"/>
      <c r="G63" s="16" t="inlineStr">
        <is>
          <t>sí</t>
        </is>
      </c>
      <c r="H63" s="16" t="inlineStr">
        <is>
          <t>kg/s</t>
        </is>
      </c>
    </row>
    <row r="64">
      <c r="A64" s="16" t="inlineStr">
        <is>
          <t>6.2d · x_b bajo (0.30–0.70)</t>
        </is>
      </c>
      <c r="B64" s="16" t="inlineStr">
        <is>
          <t>Eficiencia isentrópica de la turbina, η_t [–]</t>
        </is>
      </c>
      <c r="C64" s="16" t="inlineStr">
        <is>
          <t>Fija</t>
        </is>
      </c>
      <c r="D64" s="16" t="n">
        <v>0.9</v>
      </c>
      <c r="E64" s="16" t="inlineStr">
        <is>
          <t>0.9</t>
        </is>
      </c>
      <c r="F64" s="16" t="n"/>
      <c r="G64" s="16" t="inlineStr">
        <is>
          <t>no</t>
        </is>
      </c>
      <c r="H64" s="16" t="inlineStr">
        <is>
          <t>–</t>
        </is>
      </c>
    </row>
    <row r="65">
      <c r="A65" s="16" t="inlineStr">
        <is>
          <t>6.2d · x_b bajo (0.30–0.70)</t>
        </is>
      </c>
      <c r="B65" s="16" t="inlineStr">
        <is>
          <t>Eficiencia isentrópica de la bomba, η_p [–]</t>
        </is>
      </c>
      <c r="C65" s="16" t="inlineStr">
        <is>
          <t>Fija</t>
        </is>
      </c>
      <c r="D65" s="16" t="n">
        <v>0.8</v>
      </c>
      <c r="E65" s="16" t="inlineStr">
        <is>
          <t>0.8</t>
        </is>
      </c>
      <c r="F65" s="16" t="n"/>
      <c r="G65" s="16" t="inlineStr">
        <is>
          <t>no</t>
        </is>
      </c>
      <c r="H65" s="16" t="inlineStr">
        <is>
          <t>–</t>
        </is>
      </c>
    </row>
    <row r="66">
      <c r="A66" s="16" t="inlineStr">
        <is>
          <t>6.2d · x_b bajo (0.30–0.70)</t>
        </is>
      </c>
      <c r="B66" s="16" t="inlineStr">
        <is>
          <t>Efectividad del generador de vapor, ε_HRVG [–]</t>
        </is>
      </c>
      <c r="C66" s="16" t="inlineStr">
        <is>
          <t>Fija</t>
        </is>
      </c>
      <c r="D66" s="16" t="n">
        <v>0.85</v>
      </c>
      <c r="E66" s="16" t="inlineStr">
        <is>
          <t>0.85</t>
        </is>
      </c>
      <c r="F66" s="16" t="n"/>
      <c r="G66" s="16" t="inlineStr">
        <is>
          <t>sí</t>
        </is>
      </c>
      <c r="H66" s="16" t="inlineStr">
        <is>
          <t>–</t>
        </is>
      </c>
    </row>
    <row r="67">
      <c r="A67" s="16" t="inlineStr">
        <is>
          <t>6.2d · x_b bajo (0.30–0.70)</t>
        </is>
      </c>
      <c r="B67" s="16" t="inlineStr">
        <is>
          <t>Efectividad del regenerador, ε_reg [–]</t>
        </is>
      </c>
      <c r="C67" s="16" t="inlineStr">
        <is>
          <t>Fija</t>
        </is>
      </c>
      <c r="D67" s="16" t="n">
        <v>0.75</v>
      </c>
      <c r="E67" s="16" t="inlineStr">
        <is>
          <t>0.75</t>
        </is>
      </c>
      <c r="F67" s="16" t="n"/>
      <c r="G67" s="16" t="inlineStr">
        <is>
          <t>sí</t>
        </is>
      </c>
      <c r="H67" s="16" t="inlineStr">
        <is>
          <t>–</t>
        </is>
      </c>
    </row>
    <row r="68">
      <c r="A68" s="16" t="inlineStr">
        <is>
          <t>6.2d · x_b bajo (0.30–0.70)</t>
        </is>
      </c>
      <c r="B68" s="16" t="inlineStr">
        <is>
          <t>Efectividad del condensador, ε_cond [–]</t>
        </is>
      </c>
      <c r="C68" s="16" t="inlineStr">
        <is>
          <t>Fija</t>
        </is>
      </c>
      <c r="D68" s="16" t="n">
        <v>0.95</v>
      </c>
      <c r="E68" s="16" t="inlineStr">
        <is>
          <t>0.95</t>
        </is>
      </c>
      <c r="F68" s="16" t="n"/>
      <c r="G68" s="16" t="inlineStr">
        <is>
          <t>no</t>
        </is>
      </c>
      <c r="H68" s="16" t="inlineStr">
        <is>
          <t>–</t>
        </is>
      </c>
    </row>
    <row r="69">
      <c r="A69" s="16" t="inlineStr">
        <is>
          <t>6.2d · x_b bajo (0.30–0.70)</t>
        </is>
      </c>
      <c r="B69" s="16" t="inlineStr">
        <is>
          <t>Piso de O2 (T de diseño de la bomba) [K]</t>
        </is>
      </c>
      <c r="C69" s="16" t="inlineStr">
        <is>
          <t>Fija</t>
        </is>
      </c>
      <c r="D69" s="16" t="n">
        <v>283.1</v>
      </c>
      <c r="E69" s="16" t="inlineStr">
        <is>
          <t>283.15</t>
        </is>
      </c>
      <c r="F69" s="16" t="n"/>
      <c r="G69" s="16" t="inlineStr">
        <is>
          <t>no</t>
        </is>
      </c>
      <c r="H69" s="16" t="inlineStr">
        <is>
          <t>K</t>
        </is>
      </c>
    </row>
    <row r="70">
      <c r="A70" s="16" t="inlineStr">
        <is>
          <t>6.2d · x_b bajo (0.30–0.70)</t>
        </is>
      </c>
      <c r="B70" s="16" t="inlineStr">
        <is>
          <t>motor de propiedades</t>
        </is>
      </c>
      <c r="C70" s="16" t="inlineStr">
        <is>
          <t>Fija</t>
        </is>
      </c>
      <c r="D70" s="16" t="n"/>
      <c r="E70" s="16" t="inlineStr">
        <is>
          <t>teqp</t>
        </is>
      </c>
      <c r="F70" s="16" t="n"/>
      <c r="G70" s="16" t="n"/>
      <c r="H70" s="16" t="inlineStr">
        <is>
          <t>–</t>
        </is>
      </c>
    </row>
    <row r="71">
      <c r="A71" s="16" t="inlineStr">
        <is>
          <t>6.2c · malla x_b × P_baja (x_b 0.30–0.70)</t>
        </is>
      </c>
      <c r="B71" s="16" t="inlineStr">
        <is>
          <t>Temperatura de la fuente, T_fuente [K]</t>
        </is>
      </c>
      <c r="C71" s="16" t="inlineStr">
        <is>
          <t>Fija</t>
        </is>
      </c>
      <c r="D71" s="16" t="n"/>
      <c r="E71" s="16" t="inlineStr">
        <is>
          <t>394.15</t>
        </is>
      </c>
      <c r="F71" s="16" t="n"/>
      <c r="G71" s="16" t="inlineStr">
        <is>
          <t>no</t>
        </is>
      </c>
      <c r="H71" s="16" t="inlineStr">
        <is>
          <t>K</t>
        </is>
      </c>
    </row>
    <row r="72">
      <c r="A72" s="16" t="inlineStr">
        <is>
          <t>6.2c · malla x_b × P_baja (x_b 0.30–0.70)</t>
        </is>
      </c>
      <c r="B72" s="16" t="inlineStr">
        <is>
          <t>Temperatura del sumidero, T_sumidero [K]</t>
        </is>
      </c>
      <c r="C72" s="16" t="inlineStr">
        <is>
          <t>Fija</t>
        </is>
      </c>
      <c r="D72" s="16" t="n"/>
      <c r="E72" s="16" t="inlineStr">
        <is>
          <t>278.15</t>
        </is>
      </c>
      <c r="F72" s="16" t="n"/>
      <c r="G72" s="16" t="inlineStr">
        <is>
          <t>no</t>
        </is>
      </c>
      <c r="H72" s="16" t="inlineStr">
        <is>
          <t>K</t>
        </is>
      </c>
    </row>
    <row r="73">
      <c r="A73" s="16" t="inlineStr">
        <is>
          <t>6.2c · malla x_b × P_baja (x_b 0.30–0.70)</t>
        </is>
      </c>
      <c r="B73" s="16" t="inlineStr">
        <is>
          <t>Presión de alta, P_alta [kPa]</t>
        </is>
      </c>
      <c r="C73" s="16" t="inlineStr">
        <is>
          <t>Fija</t>
        </is>
      </c>
      <c r="D73" s="16" t="n"/>
      <c r="E73" s="16" t="inlineStr">
        <is>
          <t>3300.0</t>
        </is>
      </c>
      <c r="F73" s="16" t="n"/>
      <c r="G73" s="16" t="inlineStr">
        <is>
          <t>no</t>
        </is>
      </c>
      <c r="H73" s="16" t="inlineStr">
        <is>
          <t>kPa</t>
        </is>
      </c>
    </row>
    <row r="74">
      <c r="A74" s="16" t="inlineStr">
        <is>
          <t>6.2c · malla x_b × P_baja (x_b 0.30–0.70)</t>
        </is>
      </c>
      <c r="B74" s="16" t="inlineStr">
        <is>
          <t>Presión de baja, P_baja [kPa]</t>
        </is>
      </c>
      <c r="C74" s="16" t="inlineStr">
        <is>
          <t>Barrida</t>
        </is>
      </c>
      <c r="D74" s="16" t="n"/>
      <c r="E74" s="16" t="inlineStr">
        <is>
          <t>200.0 – 700.0</t>
        </is>
      </c>
      <c r="F74" s="16" t="n">
        <v>6</v>
      </c>
      <c r="G74" s="16" t="n"/>
      <c r="H74" s="16" t="inlineStr">
        <is>
          <t>kPa</t>
        </is>
      </c>
    </row>
    <row r="75">
      <c r="A75" s="16" t="inlineStr">
        <is>
          <t>6.2c · malla x_b × P_baja (x_b 0.30–0.70)</t>
        </is>
      </c>
      <c r="B75" s="16" t="inlineStr">
        <is>
          <t>Fracción de amoníaco de la mezcla base, x_b [–]</t>
        </is>
      </c>
      <c r="C75" s="16" t="inlineStr">
        <is>
          <t>Barrida</t>
        </is>
      </c>
      <c r="D75" s="16" t="n"/>
      <c r="E75" s="16" t="inlineStr">
        <is>
          <t>0.300 – 0.700</t>
        </is>
      </c>
      <c r="F75" s="16" t="n">
        <v>9</v>
      </c>
      <c r="G75" s="16" t="n"/>
      <c r="H75" s="16" t="inlineStr">
        <is>
          <t>–</t>
        </is>
      </c>
    </row>
    <row r="76">
      <c r="A76" s="16" t="inlineStr">
        <is>
          <t>6.2c · malla x_b × P_baja (x_b 0.30–0.70)</t>
        </is>
      </c>
      <c r="B76" s="16" t="inlineStr">
        <is>
          <t>Flujo másico base, m_b [kg/s]</t>
        </is>
      </c>
      <c r="C76" s="16" t="inlineStr">
        <is>
          <t>Fija</t>
        </is>
      </c>
      <c r="D76" s="16" t="n"/>
      <c r="E76" s="16" t="inlineStr">
        <is>
          <t>1.0</t>
        </is>
      </c>
      <c r="F76" s="16" t="n"/>
      <c r="G76" s="16" t="inlineStr">
        <is>
          <t>sí</t>
        </is>
      </c>
      <c r="H76" s="16" t="inlineStr">
        <is>
          <t>kg/s</t>
        </is>
      </c>
    </row>
    <row r="77">
      <c r="A77" s="16" t="inlineStr">
        <is>
          <t>6.2c · malla x_b × P_baja (x_b 0.30–0.70)</t>
        </is>
      </c>
      <c r="B77" s="16" t="inlineStr">
        <is>
          <t>Eficiencia isentrópica de la turbina, η_t [–]</t>
        </is>
      </c>
      <c r="C77" s="16" t="inlineStr">
        <is>
          <t>Fija</t>
        </is>
      </c>
      <c r="D77" s="16" t="n"/>
      <c r="E77" s="16" t="inlineStr">
        <is>
          <t>0.9</t>
        </is>
      </c>
      <c r="F77" s="16" t="n"/>
      <c r="G77" s="16" t="inlineStr">
        <is>
          <t>no</t>
        </is>
      </c>
      <c r="H77" s="16" t="inlineStr">
        <is>
          <t>–</t>
        </is>
      </c>
    </row>
    <row r="78">
      <c r="A78" s="16" t="inlineStr">
        <is>
          <t>6.2c · malla x_b × P_baja (x_b 0.30–0.70)</t>
        </is>
      </c>
      <c r="B78" s="16" t="inlineStr">
        <is>
          <t>Eficiencia isentrópica de la bomba, η_p [–]</t>
        </is>
      </c>
      <c r="C78" s="16" t="inlineStr">
        <is>
          <t>Fija</t>
        </is>
      </c>
      <c r="D78" s="16" t="n"/>
      <c r="E78" s="16" t="inlineStr">
        <is>
          <t>0.8</t>
        </is>
      </c>
      <c r="F78" s="16" t="n"/>
      <c r="G78" s="16" t="inlineStr">
        <is>
          <t>no</t>
        </is>
      </c>
      <c r="H78" s="16" t="inlineStr">
        <is>
          <t>–</t>
        </is>
      </c>
    </row>
    <row r="79">
      <c r="A79" s="16" t="inlineStr">
        <is>
          <t>6.2c · malla x_b × P_baja (x_b 0.30–0.70)</t>
        </is>
      </c>
      <c r="B79" s="16" t="inlineStr">
        <is>
          <t>Efectividad del generador de vapor, ε_HRVG [–]</t>
        </is>
      </c>
      <c r="C79" s="16" t="inlineStr">
        <is>
          <t>Fija</t>
        </is>
      </c>
      <c r="D79" s="16" t="n"/>
      <c r="E79" s="16" t="inlineStr">
        <is>
          <t>0.85</t>
        </is>
      </c>
      <c r="F79" s="16" t="n"/>
      <c r="G79" s="16" t="inlineStr">
        <is>
          <t>sí</t>
        </is>
      </c>
      <c r="H79" s="16" t="inlineStr">
        <is>
          <t>–</t>
        </is>
      </c>
    </row>
    <row r="80">
      <c r="A80" s="16" t="inlineStr">
        <is>
          <t>6.2c · malla x_b × P_baja (x_b 0.30–0.70)</t>
        </is>
      </c>
      <c r="B80" s="16" t="inlineStr">
        <is>
          <t>Efectividad del regenerador, ε_reg [–]</t>
        </is>
      </c>
      <c r="C80" s="16" t="inlineStr">
        <is>
          <t>Fija</t>
        </is>
      </c>
      <c r="D80" s="16" t="n"/>
      <c r="E80" s="16" t="inlineStr">
        <is>
          <t>0.75</t>
        </is>
      </c>
      <c r="F80" s="16" t="n"/>
      <c r="G80" s="16" t="inlineStr">
        <is>
          <t>sí</t>
        </is>
      </c>
      <c r="H80" s="16" t="inlineStr">
        <is>
          <t>–</t>
        </is>
      </c>
    </row>
    <row r="81">
      <c r="A81" s="16" t="inlineStr">
        <is>
          <t>6.2c · malla x_b × P_baja (x_b 0.30–0.70)</t>
        </is>
      </c>
      <c r="B81" s="16" t="inlineStr">
        <is>
          <t>Efectividad del condensador, ε_cond [–]</t>
        </is>
      </c>
      <c r="C81" s="16" t="inlineStr">
        <is>
          <t>Fija</t>
        </is>
      </c>
      <c r="D81" s="16" t="n"/>
      <c r="E81" s="16" t="inlineStr">
        <is>
          <t>0.95</t>
        </is>
      </c>
      <c r="F81" s="16" t="n"/>
      <c r="G81" s="16" t="inlineStr">
        <is>
          <t>no</t>
        </is>
      </c>
      <c r="H81" s="16" t="inlineStr">
        <is>
          <t>–</t>
        </is>
      </c>
    </row>
    <row r="82">
      <c r="A82" s="16" t="inlineStr">
        <is>
          <t>6.2c · malla x_b × P_baja (x_b 0.30–0.70)</t>
        </is>
      </c>
      <c r="B82" s="16" t="inlineStr">
        <is>
          <t>Piso de O2 (T de diseño de la bomba) [K]</t>
        </is>
      </c>
      <c r="C82" s="16" t="inlineStr">
        <is>
          <t>Fija</t>
        </is>
      </c>
      <c r="D82" s="16" t="n"/>
      <c r="E82" s="16" t="inlineStr">
        <is>
          <t>283.15</t>
        </is>
      </c>
      <c r="F82" s="16" t="n"/>
      <c r="G82" s="16" t="inlineStr">
        <is>
          <t>no</t>
        </is>
      </c>
      <c r="H82" s="16" t="inlineStr">
        <is>
          <t>K</t>
        </is>
      </c>
    </row>
    <row r="83">
      <c r="A83" s="16" t="inlineStr">
        <is>
          <t>6.2c · malla x_b × P_baja (x_b 0.30–0.70)</t>
        </is>
      </c>
      <c r="B83" s="16" t="inlineStr">
        <is>
          <t>motor de propiedades</t>
        </is>
      </c>
      <c r="C83" s="16" t="inlineStr">
        <is>
          <t>Fija</t>
        </is>
      </c>
      <c r="D83" s="16" t="n"/>
      <c r="E83" s="16" t="inlineStr">
        <is>
          <t>teqp</t>
        </is>
      </c>
      <c r="F83" s="16" t="n"/>
      <c r="G83" s="16" t="n"/>
      <c r="H83" s="16" t="inlineStr">
        <is>
          <t>–</t>
        </is>
      </c>
    </row>
    <row r="85">
      <c r="A85" s="23" t="inlineStr">
        <is>
          <t>Notas: Filtro: cada parte y cada variable. n = 65 filas en la tabla. † = fuera del rango confiable (IAPWS G4-01); ‡ = falso convergido. Fuente: analisis_final/00_inventario/condiciones_por_subcaso.csv.</t>
        </is>
      </c>
    </row>
  </sheetData>
  <autoFilter ref="A18:H83"/>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43" customWidth="1" min="1" max="1"/>
    <col width="10" customWidth="1" min="2" max="2"/>
    <col width="10" customWidth="1" min="3" max="3"/>
    <col width="10" customWidth="1" min="4" max="4"/>
    <col width="10" customWidth="1" min="5" max="5"/>
    <col width="19" customWidth="1" min="6" max="6"/>
    <col width="13" customWidth="1" min="7" max="7"/>
    <col width="11" customWidth="1" min="8" max="8"/>
    <col width="16" customWidth="1" min="9" max="9"/>
    <col width="20" customWidth="1" min="10" max="10"/>
    <col width="16" customWidth="1" min="11" max="11"/>
  </cols>
  <sheetData>
    <row r="1">
      <c r="A1" s="19" t="inlineStr">
        <is>
          <t>Tabla 6.2-2 · Corridas por parte y por clase</t>
        </is>
      </c>
    </row>
    <row r="2">
      <c r="A2" s="20" t="inlineStr">
        <is>
          <t>Estudio 6.2 · Planta real de Húsavík · Partes: 6.2a, 6.2b, 6.2c, 6.2d</t>
        </is>
      </c>
    </row>
    <row r="3">
      <c r="A3" s="20" t="inlineStr">
        <is>
          <t>Punto base: ancla de Húsavík (P_alta 3300 kPa, P_baja 690 kPa, T_fuente 394.15 K, T_sumidero 278.15 K); la parte 6.2a conserva los datos de septiembre</t>
        </is>
      </c>
    </row>
    <row r="4">
      <c r="A4" s="41" t="inlineStr">
        <is>
          <t>Parte 6.2a (Fase 3 de septiembre):</t>
        </is>
      </c>
    </row>
    <row r="5">
      <c r="A5" s="21" t="inlineStr">
        <is>
          <t>Datos fijos: T_fuente = 394.15 K; T_sumidero = 278.15 K; m_b = 1 kg/s; η_p = 0.8; ε_HRVG = 0.85; motor de propiedades = teqp.</t>
        </is>
      </c>
    </row>
    <row r="6">
      <c r="A6" s="21" t="inlineStr">
        <is>
          <t>Datos barridos: P_alta [3300–3500] kPa (3 valores); P_baja [670–1500] kPa (40 valores); x_b [0.78–0.83333] (6 valores); η_t [0.85–0.98] (8 valores); ε_reg [0.75–0.95] (12 valores); ε_cond [0.95–0.99] (5 valores); piso de O2 [283.15–303.55] K (2 valores).</t>
        </is>
      </c>
    </row>
    <row r="7">
      <c r="A7" s="41" t="inlineStr">
        <is>
          <t>Parte 6.2b (una variable a la vez):</t>
        </is>
      </c>
    </row>
    <row r="8">
      <c r="A8" s="21" t="inlineStr">
        <is>
          <t>Punto base (las demás variables quedan fijas en): T_fuente = 394.15 K; T_sumidero = 278.15 K; P_alta = 3300 kPa; P_baja = 690 kPa; x_b = 0.82; m_b = 1 kg/s; η_t = 0.9; η_p = 0.8; ε_HRVG = 0.85; ε_reg = 0.75; ε_cond = 0.95; piso de O2 = 283.15 K; motor de propiedades = teqp. Cada panel o tramo mueve solo su variable.</t>
        </is>
      </c>
    </row>
    <row r="9">
      <c r="A9" s="21" t="inlineStr">
        <is>
          <t>Datos barridos (uno a la vez): T_fuente [380–430] K (15 valores); T_sumidero [273.15–293.15] K (15 valores); P_alta [2500–4000] kPa (15 valores); P_baja [500–1200] kPa (15 valores); x_b [0.6–0.95] (15 valores); η_t [0.75–0.95] (15 valores); η_p [0.6–0.9] (15 valores); ε_HRVG [0.6–0.95] (15 valores); ε_reg [0.4–0.95] (15 valores); ε_cond [0.7–0.95] (15 valores).</t>
        </is>
      </c>
    </row>
    <row r="10">
      <c r="A10" s="41" t="inlineStr">
        <is>
          <t>Parte 6.2c (malla x_b × P_baja (x_b 0.70–0.91); malla x_b × P_baja (x_b 0.30–0.70)):</t>
        </is>
      </c>
    </row>
    <row r="11">
      <c r="A11" s="21" t="inlineStr">
        <is>
          <t>Datos fijos: T_fuente = 394.15 K; T_sumidero = 278.15 K; P_alta = 3300 kPa; m_b = 1 kg/s; η_t = 0.9; η_p = 0.8; ε_HRVG = 0.85; ε_reg = 0.75; ε_cond = 0.95; piso de O2 = 283.15 K; motor de propiedades = teqp.</t>
        </is>
      </c>
    </row>
    <row r="12">
      <c r="A12" s="21" t="inlineStr">
        <is>
          <t>Datos barridos: P_baja [200–1200] kPa (8 valores); x_b [0.3–0.91] (9 valores).</t>
        </is>
      </c>
    </row>
    <row r="13">
      <c r="A13" s="41" t="inlineStr">
        <is>
          <t>Parte 6.2d (x_b bajo (0.30–0.70)):</t>
        </is>
      </c>
    </row>
    <row r="14">
      <c r="A14" s="21" t="inlineStr">
        <is>
          <t>Punto base (las demás variables quedan fijas en): T_fuente = 394.15 K; T_sumidero = 278.15 K; P_alta = 3300 kPa; P_baja = 690 kPa; x_b = 0.3; m_b = 1 kg/s; η_t = 0.9; η_p = 0.8; ε_HRVG = 0.85; ε_reg = 0.75; ε_cond = 0.95; piso de O2 = 283.15 K; motor de propiedades = teqp. Cada panel o tramo mueve solo su variable.</t>
        </is>
      </c>
    </row>
    <row r="15">
      <c r="A15" s="21" t="inlineStr">
        <is>
          <t>Datos barridos (uno a la vez): x_b [0.3–0.7] (17 valores).</t>
        </is>
      </c>
    </row>
    <row r="16">
      <c r="A16" s="20" t="inlineStr">
        <is>
          <t>Fuente: analisis_final/00_inventario/conteo_por_subcaso.csv</t>
        </is>
      </c>
    </row>
    <row r="18">
      <c r="A18" s="22" t="inlineStr">
        <is>
          <t>Parte</t>
        </is>
      </c>
      <c r="B18" s="22" t="inlineStr">
        <is>
          <t>Corridas</t>
        </is>
      </c>
      <c r="C18" s="22" t="inlineStr">
        <is>
          <t>Omitidos</t>
        </is>
      </c>
      <c r="D18" s="22" t="inlineStr">
        <is>
          <t>Genuinos</t>
        </is>
      </c>
      <c r="E18" s="22" t="inlineStr">
        <is>
          <t>KALINA</t>
        </is>
      </c>
      <c r="F18" s="22" t="inlineStr">
        <is>
          <t>KALINA confiables</t>
        </is>
      </c>
      <c r="G18" s="22" t="inlineStr">
        <is>
          <t>Corregibles</t>
        </is>
      </c>
      <c r="H18" s="22" t="inlineStr">
        <is>
          <t>Inviables</t>
        </is>
      </c>
      <c r="I18" s="22" t="inlineStr">
        <is>
          <t>No convergidos</t>
        </is>
      </c>
      <c r="J18" s="22" t="inlineStr">
        <is>
          <t>Falsos convergidos</t>
        </is>
      </c>
      <c r="K18" s="22" t="inlineStr">
        <is>
          <t>Fuera de rango</t>
        </is>
      </c>
    </row>
    <row r="19">
      <c r="A19" s="16" t="inlineStr">
        <is>
          <t>6.2a · Fase 3 de septiembre</t>
        </is>
      </c>
      <c r="B19" s="16" t="n">
        <v>97</v>
      </c>
      <c r="C19" s="16" t="n">
        <v>0</v>
      </c>
      <c r="D19" s="16" t="n">
        <v>97</v>
      </c>
      <c r="E19" s="16" t="n">
        <v>97</v>
      </c>
      <c r="F19" s="16" t="n">
        <v>83</v>
      </c>
      <c r="G19" s="16" t="n">
        <v>0</v>
      </c>
      <c r="H19" s="16" t="n">
        <v>0</v>
      </c>
      <c r="I19" s="16" t="n">
        <v>0</v>
      </c>
      <c r="J19" s="16" t="n">
        <v>0</v>
      </c>
      <c r="K19" s="16" t="n">
        <v>0</v>
      </c>
    </row>
    <row r="20">
      <c r="A20" s="16" t="inlineStr">
        <is>
          <t>6.2b · una variable a la vez</t>
        </is>
      </c>
      <c r="B20" s="16" t="n">
        <v>150</v>
      </c>
      <c r="C20" s="16" t="n">
        <v>0</v>
      </c>
      <c r="D20" s="16" t="n">
        <v>148</v>
      </c>
      <c r="E20" s="16" t="n">
        <v>107</v>
      </c>
      <c r="F20" s="16" t="n">
        <v>107</v>
      </c>
      <c r="G20" s="16" t="n">
        <v>41</v>
      </c>
      <c r="H20" s="16" t="n">
        <v>0</v>
      </c>
      <c r="I20" s="16" t="n">
        <v>2</v>
      </c>
      <c r="J20" s="16" t="n">
        <v>0</v>
      </c>
      <c r="K20" s="16" t="n">
        <v>0</v>
      </c>
    </row>
    <row r="21">
      <c r="A21" s="16" t="inlineStr">
        <is>
          <t>6.2c · malla x_b × P_baja (x_b 0.70–0.91)</t>
        </is>
      </c>
      <c r="B21" s="16" t="n">
        <v>64</v>
      </c>
      <c r="C21" s="16" t="n">
        <v>0</v>
      </c>
      <c r="D21" s="16" t="n">
        <v>64</v>
      </c>
      <c r="E21" s="16" t="n">
        <v>49</v>
      </c>
      <c r="F21" s="16" t="n">
        <v>49</v>
      </c>
      <c r="G21" s="16" t="n">
        <v>15</v>
      </c>
      <c r="H21" s="16" t="n">
        <v>0</v>
      </c>
      <c r="I21" s="16" t="n">
        <v>0</v>
      </c>
      <c r="J21" s="16" t="n">
        <v>0</v>
      </c>
      <c r="K21" s="16" t="n">
        <v>0</v>
      </c>
    </row>
    <row r="22">
      <c r="A22" s="16" t="inlineStr">
        <is>
          <t>6.2d · x_b bajo (0.30–0.70)</t>
        </is>
      </c>
      <c r="B22" s="16" t="n">
        <v>17</v>
      </c>
      <c r="C22" s="16" t="n">
        <v>0</v>
      </c>
      <c r="D22" s="16" t="n">
        <v>8</v>
      </c>
      <c r="E22" s="16" t="n">
        <v>8</v>
      </c>
      <c r="F22" s="16" t="n">
        <v>8</v>
      </c>
      <c r="G22" s="16" t="n">
        <v>0</v>
      </c>
      <c r="H22" s="16" t="n">
        <v>0</v>
      </c>
      <c r="I22" s="16" t="n">
        <v>5</v>
      </c>
      <c r="J22" s="16" t="n">
        <v>4</v>
      </c>
      <c r="K22" s="16" t="n">
        <v>0</v>
      </c>
    </row>
    <row r="23">
      <c r="A23" s="16" t="inlineStr">
        <is>
          <t>6.2c · malla x_b × P_baja (x_b 0.30–0.70)</t>
        </is>
      </c>
      <c r="B23" s="16" t="n">
        <v>54</v>
      </c>
      <c r="C23" s="16" t="n">
        <v>0</v>
      </c>
      <c r="D23" s="16" t="n">
        <v>30</v>
      </c>
      <c r="E23" s="16" t="n">
        <v>21</v>
      </c>
      <c r="F23" s="16" t="n">
        <v>21</v>
      </c>
      <c r="G23" s="16" t="n">
        <v>9</v>
      </c>
      <c r="H23" s="16" t="n">
        <v>0</v>
      </c>
      <c r="I23" s="16" t="n">
        <v>12</v>
      </c>
      <c r="J23" s="16" t="n">
        <v>12</v>
      </c>
      <c r="K23" s="16" t="n">
        <v>0</v>
      </c>
    </row>
    <row r="25">
      <c r="A25" s="23" t="inlineStr">
        <is>
          <t>Notas: Filtro: conteo por parte. n = 5 filas en la tabla. † = fuera del rango confiable (IAPWS G4-01); ‡ = falso convergido. Fuente: analisis_final/00_inventario/conteo_por_subcaso.csv.</t>
        </is>
      </c>
    </row>
  </sheetData>
  <autoFilter ref="A18:K23"/>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15" customWidth="1" min="1" max="1"/>
    <col width="10" customWidth="1" min="2" max="2"/>
    <col width="48" customWidth="1" min="3" max="3"/>
    <col width="16" customWidth="1" min="4" max="4"/>
    <col width="10" customWidth="1" min="5" max="5"/>
    <col width="21" customWidth="1" min="6" max="6"/>
    <col width="16" customWidth="1" min="7" max="7"/>
    <col width="18" customWidth="1" min="8" max="8"/>
    <col width="10" customWidth="1" min="9" max="9"/>
    <col width="17" customWidth="1" min="10" max="10"/>
    <col width="18" customWidth="1" min="11" max="11"/>
  </cols>
  <sheetData>
    <row r="1">
      <c r="A1" s="19" t="inlineStr">
        <is>
          <t>Tabla 6.2-3 · Catálogo Húsavík (reproducción de la Fase 3)</t>
        </is>
      </c>
    </row>
    <row r="2">
      <c r="A2" s="20" t="inlineStr">
        <is>
          <t>Estudio 6.2 · Planta real de Húsavík · Partes: 6.2a</t>
        </is>
      </c>
    </row>
    <row r="3">
      <c r="A3" s="20" t="inlineStr">
        <is>
          <t>Punto base: ancla de Húsavík (P_alta 3300 kPa, P_baja 690 kPa, T_fuente 394.15 K, T_sumidero 278.15 K); la parte 6.2a conserva los datos de septiembre</t>
        </is>
      </c>
    </row>
    <row r="4">
      <c r="A4" s="21" t="inlineStr">
        <is>
          <t>Datos fijos: T_fuente = 394.15 K; T_sumidero = 278.15 K; m_b = 1 kg/s; η_p = 0.8; ε_HRVG = 0.85; motor de propiedades = teqp.</t>
        </is>
      </c>
    </row>
    <row r="5">
      <c r="A5" s="21" t="inlineStr">
        <is>
          <t>Datos barridos: P_alta [3300–3500] kPa (3 valores); P_baja [670–1500] kPa (40 valores); x_b [0.78–0.83333] (6 valores); η_t [0.85–0.98] (8 valores); ε_reg [0.75–0.95] (12 valores); ε_cond [0.95–0.99] (5 valores); piso de O2 [283.15–303.55] K (2 valores).</t>
        </is>
      </c>
    </row>
    <row r="6">
      <c r="A6" s="20" t="inlineStr">
        <is>
          <t>Fuente: resultados/2026-10-09_final_M10_husavik/m10_catalogo.csv</t>
        </is>
      </c>
    </row>
    <row r="8">
      <c r="A8" s="22" t="inlineStr">
        <is>
          <t>Familia</t>
        </is>
      </c>
      <c r="B8" s="22" t="inlineStr">
        <is>
          <t>Origen</t>
        </is>
      </c>
      <c r="C8" s="22" t="inlineStr">
        <is>
          <t>Variables movidas</t>
        </is>
      </c>
      <c r="D8" s="22" t="inlineStr">
        <is>
          <t>Piso de O2 [K]</t>
        </is>
      </c>
      <c r="E8" s="22" t="inlineStr">
        <is>
          <t>N</t>
        </is>
      </c>
      <c r="F8" s="22" t="inlineStr">
        <is>
          <t>KALINA (septiembre)</t>
        </is>
      </c>
      <c r="G8" s="22" t="inlineStr">
        <is>
          <t>KALINA (ahora)</t>
        </is>
      </c>
      <c r="H8" s="22" t="inlineStr">
        <is>
          <t>Confiables ahora</t>
        </is>
      </c>
      <c r="I8" s="22" t="inlineStr">
        <is>
          <t>Coincide</t>
        </is>
      </c>
      <c r="J8" s="22" t="inlineStr">
        <is>
          <t>|Δη| medio [pp]</t>
        </is>
      </c>
      <c r="K8" s="22" t="inlineStr">
        <is>
          <t>|Δη| máximo [pp]</t>
        </is>
      </c>
    </row>
    <row r="9">
      <c r="A9" s="16" t="inlineStr">
        <is>
          <t>F3-A</t>
        </is>
      </c>
      <c r="B9" s="16" t="inlineStr">
        <is>
          <t>sept</t>
        </is>
      </c>
      <c r="C9" s="16" t="inlineStr">
        <is>
          <t>P_alta, P_baja, x_b, eta_t, eps_reg, eps_cond</t>
        </is>
      </c>
      <c r="D9" s="35" t="n">
        <v>303.55</v>
      </c>
      <c r="E9" s="16" t="n">
        <v>14</v>
      </c>
      <c r="F9" s="16" t="n">
        <v>14</v>
      </c>
      <c r="G9" s="16" t="n">
        <v>14</v>
      </c>
      <c r="H9" s="16" t="n">
        <v>14</v>
      </c>
      <c r="I9" s="16" t="n">
        <v>14</v>
      </c>
      <c r="J9" s="16" t="n">
        <v>0</v>
      </c>
      <c r="K9" s="16" t="n">
        <v>0</v>
      </c>
    </row>
    <row r="10">
      <c r="A10" s="16" t="inlineStr">
        <is>
          <t>F3-B</t>
        </is>
      </c>
      <c r="B10" s="16" t="inlineStr">
        <is>
          <t>sept</t>
        </is>
      </c>
      <c r="C10" s="16" t="inlineStr">
        <is>
          <t>P_baja, eps_reg, eps_cond</t>
        </is>
      </c>
      <c r="D10" s="35" t="n">
        <v>283.15</v>
      </c>
      <c r="E10" s="16" t="n">
        <v>27</v>
      </c>
      <c r="F10" s="16" t="n">
        <v>27</v>
      </c>
      <c r="G10" s="16" t="n">
        <v>27</v>
      </c>
      <c r="H10" s="16" t="n">
        <v>27</v>
      </c>
      <c r="I10" s="16" t="n">
        <v>27</v>
      </c>
      <c r="J10" s="16" t="n">
        <v>5.2006e-13</v>
      </c>
      <c r="K10" s="16" t="n">
        <v>1.4042e-11</v>
      </c>
    </row>
    <row r="11">
      <c r="A11" s="16" t="inlineStr">
        <is>
          <t>F3-C</t>
        </is>
      </c>
      <c r="B11" s="16" t="inlineStr">
        <is>
          <t>sept</t>
        </is>
      </c>
      <c r="C11" s="16" t="inlineStr">
        <is>
          <t>P_baja x eps_reg</t>
        </is>
      </c>
      <c r="D11" s="35" t="n">
        <v>283.15</v>
      </c>
      <c r="E11" s="16" t="n">
        <v>24</v>
      </c>
      <c r="F11" s="16" t="n">
        <v>24</v>
      </c>
      <c r="G11" s="16" t="n">
        <v>24</v>
      </c>
      <c r="H11" s="16" t="n">
        <v>24</v>
      </c>
      <c r="I11" s="16" t="n">
        <v>24</v>
      </c>
      <c r="J11" s="16" t="n">
        <v>3.0548e-13</v>
      </c>
      <c r="K11" s="16" t="n">
        <v>7.2581e-12</v>
      </c>
    </row>
    <row r="12">
      <c r="A12" s="16" t="inlineStr">
        <is>
          <t>F3-D</t>
        </is>
      </c>
      <c r="B12" s="16" t="inlineStr">
        <is>
          <t>sept</t>
        </is>
      </c>
      <c r="C12" s="16" t="inlineStr">
        <is>
          <t>una variable por archivo (P_baja, eps_cond, eps_reg, eta_t, x_b)</t>
        </is>
      </c>
      <c r="D12" s="35" t="n">
        <v>283.15</v>
      </c>
      <c r="E12" s="16" t="n">
        <v>26</v>
      </c>
      <c r="F12" s="16" t="n">
        <v>26</v>
      </c>
      <c r="G12" s="16" t="n">
        <v>26</v>
      </c>
      <c r="H12" s="16" t="n">
        <v>26</v>
      </c>
      <c r="I12" s="16" t="n">
        <v>26</v>
      </c>
      <c r="J12" s="16" t="n">
        <v>9.153499999999999e-13</v>
      </c>
      <c r="K12" s="16" t="n">
        <v>2.0625e-11</v>
      </c>
    </row>
    <row r="13">
      <c r="A13" s="16" t="inlineStr">
        <is>
          <t>F3-E</t>
        </is>
      </c>
      <c r="B13" s="16" t="inlineStr">
        <is>
          <t>sept</t>
        </is>
      </c>
      <c r="C13" s="16" t="inlineStr">
        <is>
          <t>una variable por archivo (P_alta, P_baja, x_b)</t>
        </is>
      </c>
      <c r="D13" s="35" t="n">
        <v>303.55</v>
      </c>
      <c r="E13" s="16" t="n">
        <v>6</v>
      </c>
      <c r="F13" s="16" t="n">
        <v>6</v>
      </c>
      <c r="G13" s="16" t="n">
        <v>6</v>
      </c>
      <c r="H13" s="16" t="n">
        <v>6</v>
      </c>
      <c r="I13" s="16" t="n">
        <v>6</v>
      </c>
      <c r="J13" s="16" t="n">
        <v>4.324e-07</v>
      </c>
      <c r="K13" s="16" t="n">
        <v>2.5944e-06</v>
      </c>
    </row>
    <row r="14">
      <c r="A14" s="16" t="inlineStr">
        <is>
          <t>B1-T_fuente</t>
        </is>
      </c>
      <c r="B14" s="16" t="inlineStr">
        <is>
          <t>nuevo</t>
        </is>
      </c>
      <c r="C14" s="16" t="inlineStr">
        <is>
          <t>T_fuente</t>
        </is>
      </c>
      <c r="D14" s="35" t="n">
        <v>283.15</v>
      </c>
      <c r="E14" s="16" t="n">
        <v>15</v>
      </c>
      <c r="F14" s="16" t="n"/>
      <c r="G14" s="16" t="n">
        <v>7</v>
      </c>
      <c r="H14" s="16" t="n">
        <v>7</v>
      </c>
      <c r="I14" s="16" t="n"/>
      <c r="J14" s="16" t="n"/>
      <c r="K14" s="16" t="n"/>
    </row>
    <row r="15">
      <c r="A15" s="16" t="inlineStr">
        <is>
          <t>B1-T_sumidero</t>
        </is>
      </c>
      <c r="B15" s="16" t="inlineStr">
        <is>
          <t>nuevo</t>
        </is>
      </c>
      <c r="C15" s="16" t="inlineStr">
        <is>
          <t>T_sumidero</t>
        </is>
      </c>
      <c r="D15" s="35" t="n">
        <v>283.15</v>
      </c>
      <c r="E15" s="16" t="n">
        <v>15</v>
      </c>
      <c r="F15" s="16" t="n"/>
      <c r="G15" s="16" t="n">
        <v>8</v>
      </c>
      <c r="H15" s="16" t="n">
        <v>8</v>
      </c>
      <c r="I15" s="16" t="n"/>
      <c r="J15" s="16" t="n"/>
      <c r="K15" s="16" t="n"/>
    </row>
    <row r="16">
      <c r="A16" s="16" t="inlineStr">
        <is>
          <t>B1-P_alta</t>
        </is>
      </c>
      <c r="B16" s="16" t="inlineStr">
        <is>
          <t>nuevo</t>
        </is>
      </c>
      <c r="C16" s="16" t="inlineStr">
        <is>
          <t>P_alta</t>
        </is>
      </c>
      <c r="D16" s="35" t="n">
        <v>283.15</v>
      </c>
      <c r="E16" s="16" t="n">
        <v>15</v>
      </c>
      <c r="F16" s="16" t="n"/>
      <c r="G16" s="16" t="n">
        <v>12</v>
      </c>
      <c r="H16" s="16" t="n">
        <v>12</v>
      </c>
      <c r="I16" s="16" t="n"/>
      <c r="J16" s="16" t="n"/>
      <c r="K16" s="16" t="n"/>
    </row>
    <row r="17">
      <c r="A17" s="16" t="inlineStr">
        <is>
          <t>B1-P_baja</t>
        </is>
      </c>
      <c r="B17" s="16" t="inlineStr">
        <is>
          <t>nuevo</t>
        </is>
      </c>
      <c r="C17" s="16" t="inlineStr">
        <is>
          <t>P_baja</t>
        </is>
      </c>
      <c r="D17" s="35" t="n">
        <v>283.15</v>
      </c>
      <c r="E17" s="16" t="n">
        <v>15</v>
      </c>
      <c r="F17" s="16" t="n"/>
      <c r="G17" s="16" t="n">
        <v>11</v>
      </c>
      <c r="H17" s="16" t="n">
        <v>11</v>
      </c>
      <c r="I17" s="16" t="n"/>
      <c r="J17" s="16" t="n"/>
      <c r="K17" s="16" t="n"/>
    </row>
    <row r="18">
      <c r="A18" s="16" t="inlineStr">
        <is>
          <t>B1-x_b</t>
        </is>
      </c>
      <c r="B18" s="16" t="inlineStr">
        <is>
          <t>nuevo</t>
        </is>
      </c>
      <c r="C18" s="16" t="inlineStr">
        <is>
          <t>x_b</t>
        </is>
      </c>
      <c r="D18" s="35" t="n">
        <v>283.15</v>
      </c>
      <c r="E18" s="16" t="n">
        <v>15</v>
      </c>
      <c r="F18" s="16" t="n"/>
      <c r="G18" s="16" t="n">
        <v>9</v>
      </c>
      <c r="H18" s="16" t="n">
        <v>9</v>
      </c>
      <c r="I18" s="16" t="n"/>
      <c r="J18" s="16" t="n"/>
      <c r="K18" s="16" t="n"/>
    </row>
    <row r="19">
      <c r="A19" s="16" t="inlineStr">
        <is>
          <t>B1-eta_t</t>
        </is>
      </c>
      <c r="B19" s="16" t="inlineStr">
        <is>
          <t>nuevo</t>
        </is>
      </c>
      <c r="C19" s="16" t="inlineStr">
        <is>
          <t>η_t</t>
        </is>
      </c>
      <c r="D19" s="35" t="n">
        <v>283.15</v>
      </c>
      <c r="E19" s="16" t="n">
        <v>15</v>
      </c>
      <c r="F19" s="16" t="n"/>
      <c r="G19" s="16" t="n">
        <v>15</v>
      </c>
      <c r="H19" s="16" t="n">
        <v>15</v>
      </c>
      <c r="I19" s="16" t="n"/>
      <c r="J19" s="16" t="n"/>
      <c r="K19" s="16" t="n"/>
    </row>
    <row r="20">
      <c r="A20" s="16" t="inlineStr">
        <is>
          <t>B1-eta_p</t>
        </is>
      </c>
      <c r="B20" s="16" t="inlineStr">
        <is>
          <t>nuevo</t>
        </is>
      </c>
      <c r="C20" s="16" t="inlineStr">
        <is>
          <t>η_p</t>
        </is>
      </c>
      <c r="D20" s="35" t="n">
        <v>283.15</v>
      </c>
      <c r="E20" s="16" t="n">
        <v>15</v>
      </c>
      <c r="F20" s="16" t="n"/>
      <c r="G20" s="16" t="n">
        <v>15</v>
      </c>
      <c r="H20" s="16" t="n">
        <v>15</v>
      </c>
      <c r="I20" s="16" t="n"/>
      <c r="J20" s="16" t="n"/>
      <c r="K20" s="16" t="n"/>
    </row>
    <row r="21">
      <c r="A21" s="16" t="inlineStr">
        <is>
          <t>B1-eps_hrvg</t>
        </is>
      </c>
      <c r="B21" s="16" t="inlineStr">
        <is>
          <t>nuevo</t>
        </is>
      </c>
      <c r="C21" s="16" t="inlineStr">
        <is>
          <t>ε_HRVG</t>
        </is>
      </c>
      <c r="D21" s="35" t="n">
        <v>283.15</v>
      </c>
      <c r="E21" s="16" t="n">
        <v>15</v>
      </c>
      <c r="F21" s="16" t="n"/>
      <c r="G21" s="16" t="n">
        <v>14</v>
      </c>
      <c r="H21" s="16" t="n">
        <v>14</v>
      </c>
      <c r="I21" s="16" t="n"/>
      <c r="J21" s="16" t="n"/>
      <c r="K21" s="16" t="n"/>
    </row>
    <row r="22">
      <c r="A22" s="16" t="inlineStr">
        <is>
          <t>B1-eps_reg</t>
        </is>
      </c>
      <c r="B22" s="16" t="inlineStr">
        <is>
          <t>nuevo</t>
        </is>
      </c>
      <c r="C22" s="16" t="inlineStr">
        <is>
          <t>ε_reg</t>
        </is>
      </c>
      <c r="D22" s="35" t="n">
        <v>283.15</v>
      </c>
      <c r="E22" s="16" t="n">
        <v>15</v>
      </c>
      <c r="F22" s="16" t="n"/>
      <c r="G22" s="16" t="n">
        <v>15</v>
      </c>
      <c r="H22" s="16" t="n">
        <v>15</v>
      </c>
      <c r="I22" s="16" t="n"/>
      <c r="J22" s="16" t="n"/>
      <c r="K22" s="16" t="n"/>
    </row>
    <row r="23">
      <c r="A23" s="16" t="inlineStr">
        <is>
          <t>B1-eps_cond</t>
        </is>
      </c>
      <c r="B23" s="16" t="inlineStr">
        <is>
          <t>nuevo</t>
        </is>
      </c>
      <c r="C23" s="16" t="inlineStr">
        <is>
          <t>ε_cond</t>
        </is>
      </c>
      <c r="D23" s="35" t="n">
        <v>283.15</v>
      </c>
      <c r="E23" s="16" t="n">
        <v>15</v>
      </c>
      <c r="F23" s="16" t="n"/>
      <c r="G23" s="16" t="n">
        <v>1</v>
      </c>
      <c r="H23" s="16" t="n">
        <v>1</v>
      </c>
      <c r="I23" s="16" t="n"/>
      <c r="J23" s="16" t="n"/>
      <c r="K23" s="16" t="n"/>
    </row>
    <row r="24">
      <c r="A24" s="16" t="inlineStr">
        <is>
          <t>B2</t>
        </is>
      </c>
      <c r="B24" s="16" t="inlineStr">
        <is>
          <t>nuevo</t>
        </is>
      </c>
      <c r="C24" s="16" t="inlineStr">
        <is>
          <t>x_b x P_baja</t>
        </is>
      </c>
      <c r="D24" s="35" t="n">
        <v>283.15</v>
      </c>
      <c r="E24" s="16" t="n">
        <v>64</v>
      </c>
      <c r="F24" s="16" t="n"/>
      <c r="G24" s="16" t="n">
        <v>49</v>
      </c>
      <c r="H24" s="16" t="n">
        <v>49</v>
      </c>
      <c r="I24" s="16" t="n"/>
      <c r="J24" s="16" t="n"/>
      <c r="K24" s="16" t="n"/>
    </row>
    <row r="26">
      <c r="A26" s="23" t="inlineStr">
        <is>
          <t>Notas: Filtro: todos los puntos de Húsavík. n = 16 filas en la tabla. † = fuera del rango confiable (IAPWS G4-01); ‡ = falso convergido. Fuente: resultados/2026-10-09_final_M10_husavik/m10_catalogo.csv.</t>
        </is>
      </c>
    </row>
  </sheetData>
  <autoFilter ref="A8:K24"/>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2" customWidth="1" min="1" max="1"/>
    <col width="15" customWidth="1" min="2" max="2"/>
    <col width="15" customWidth="1" min="3" max="3"/>
    <col width="41" customWidth="1" min="4" max="4"/>
    <col width="41" customWidth="1" min="5" max="5"/>
    <col width="14" customWidth="1" min="6" max="6"/>
    <col width="14" customWidth="1" min="7" max="7"/>
    <col width="10" customWidth="1" min="8" max="8"/>
  </cols>
  <sheetData>
    <row r="1">
      <c r="A1" s="19" t="inlineStr">
        <is>
          <t>Tabla 6.2-4 · Rangos KALINA por variable (Húsavík OFAT)</t>
        </is>
      </c>
    </row>
    <row r="2">
      <c r="A2" s="20" t="inlineStr">
        <is>
          <t>Estudio 6.2 · Planta real de Húsavík · Partes: 6.2b</t>
        </is>
      </c>
    </row>
    <row r="3">
      <c r="A3" s="20" t="inlineStr">
        <is>
          <t>Punto base: ancla de Húsavík (P_alta 3300 kPa, P_baja 690 kPa, T_fuente 394.15 K, T_sumidero 278.15 K); la parte 6.2a conserva los datos de septiembre</t>
        </is>
      </c>
    </row>
    <row r="4">
      <c r="A4" s="21" t="inlineStr">
        <is>
          <t>Punto base (las demás variables quedan fijas en): T_fuente = 394.15 K; T_sumidero = 278.15 K; P_alta = 3300 kPa; P_baja = 690 kPa; x_b = 0.82; m_b = 1 kg/s; η_t = 0.9; η_p = 0.8; ε_HRVG = 0.85; ε_reg = 0.75; ε_cond = 0.95; piso de O2 = 283.15 K; motor de propiedades = teqp. Cada panel o tramo mueve solo su variable.</t>
        </is>
      </c>
    </row>
    <row r="5">
      <c r="A5" s="21" t="inlineStr">
        <is>
          <t>Datos barridos (uno a la vez): T_fuente [380–430] K (15 valores); T_sumidero [273.15–293.15] K (15 valores); P_alta [2500–4000] kPa (15 valores); P_baja [500–1200] kPa (15 valores); x_b [0.6–0.95] (15 valores); η_t [0.75–0.95] (15 valores); η_p [0.6–0.9] (15 valores); ε_HRVG [0.6–0.95] (15 valores); ε_reg [0.4–0.95] (15 valores); ε_cond [0.7–0.95] (15 valores).</t>
        </is>
      </c>
    </row>
    <row r="6">
      <c r="A6" s="20" t="inlineStr">
        <is>
          <t>Fuente: resultados/2026-10-09_final_M10_husavik/m10_ofat_rangos.csv</t>
        </is>
      </c>
    </row>
    <row r="8">
      <c r="A8" s="22" t="inlineStr">
        <is>
          <t>Variable</t>
        </is>
      </c>
      <c r="B8" s="22" t="inlineStr">
        <is>
          <t>Mínimo KALINA</t>
        </is>
      </c>
      <c r="C8" s="22" t="inlineStr">
        <is>
          <t>Máximo KALINA</t>
        </is>
      </c>
      <c r="D8" s="22" t="inlineStr">
        <is>
          <t>Criterio que rompe al bajar la variable</t>
        </is>
      </c>
      <c r="E8" s="22" t="inlineStr">
        <is>
          <t>Criterio que rompe al subir la variable</t>
        </is>
      </c>
      <c r="F8" s="22" t="inlineStr">
        <is>
          <t>η mínima [%]</t>
        </is>
      </c>
      <c r="G8" s="22" t="inlineStr">
        <is>
          <t>η máxima [%]</t>
        </is>
      </c>
      <c r="H8" s="22" t="inlineStr">
        <is>
          <t>KALINA</t>
        </is>
      </c>
    </row>
    <row r="9">
      <c r="A9" s="16" t="inlineStr">
        <is>
          <t>T_fuente</t>
        </is>
      </c>
      <c r="B9" s="16" t="n">
        <v>380</v>
      </c>
      <c r="C9" s="16" t="n">
        <v>401.43</v>
      </c>
      <c r="D9" s="16" t="n"/>
      <c r="E9" s="16" t="inlineStr">
        <is>
          <t>CORREGIBLE (O2)</t>
        </is>
      </c>
      <c r="F9" s="29" t="n">
        <v>12.208</v>
      </c>
      <c r="G9" s="29" t="n">
        <v>12.962</v>
      </c>
      <c r="H9" s="16" t="n">
        <v>7</v>
      </c>
    </row>
    <row r="10">
      <c r="A10" s="16" t="inlineStr">
        <is>
          <t>T_sumidero</t>
        </is>
      </c>
      <c r="B10" s="16" t="n">
        <v>273.15</v>
      </c>
      <c r="C10" s="16" t="n">
        <v>283.15</v>
      </c>
      <c r="D10" s="16" t="n"/>
      <c r="E10" s="16" t="inlineStr">
        <is>
          <t>CORREGIBLE (O2)</t>
        </is>
      </c>
      <c r="F10" s="29" t="n">
        <v>12.509</v>
      </c>
      <c r="G10" s="29" t="n">
        <v>12.963</v>
      </c>
      <c r="H10" s="16" t="n">
        <v>8</v>
      </c>
    </row>
    <row r="11">
      <c r="A11" s="16" t="inlineStr">
        <is>
          <t>P_alta</t>
        </is>
      </c>
      <c r="B11" s="16" t="n">
        <v>2821.4</v>
      </c>
      <c r="C11" s="16" t="n">
        <v>4000</v>
      </c>
      <c r="D11" s="16" t="inlineStr">
        <is>
          <t>CORREGIBLE (O2)</t>
        </is>
      </c>
      <c r="E11" s="16" t="n"/>
      <c r="F11" s="29" t="n">
        <v>11.836</v>
      </c>
      <c r="G11" s="29" t="n">
        <v>13.602</v>
      </c>
      <c r="H11" s="16" t="n">
        <v>12</v>
      </c>
    </row>
    <row r="12">
      <c r="A12" s="16" t="inlineStr">
        <is>
          <t>P_baja</t>
        </is>
      </c>
      <c r="B12" s="16" t="n">
        <v>700</v>
      </c>
      <c r="C12" s="16" t="n">
        <v>1200</v>
      </c>
      <c r="D12" s="16" t="inlineStr">
        <is>
          <t>CORREGIBLE (O2)</t>
        </is>
      </c>
      <c r="E12" s="16" t="n"/>
      <c r="F12" s="29" t="n">
        <v>8.4917</v>
      </c>
      <c r="G12" s="29" t="n">
        <v>12.581</v>
      </c>
      <c r="H12" s="16" t="n">
        <v>11</v>
      </c>
    </row>
    <row r="13">
      <c r="A13" s="16" t="inlineStr">
        <is>
          <t>x_b</t>
        </is>
      </c>
      <c r="B13" s="16" t="n">
        <v>0.6</v>
      </c>
      <c r="C13" s="16" t="n">
        <v>0.825</v>
      </c>
      <c r="D13" s="16" t="n"/>
      <c r="E13" s="16" t="inlineStr">
        <is>
          <t>CORREGIBLE (O2)</t>
        </is>
      </c>
      <c r="F13" s="29" t="n">
        <v>8.8164</v>
      </c>
      <c r="G13" s="29" t="n">
        <v>12.778</v>
      </c>
      <c r="H13" s="16" t="n">
        <v>9</v>
      </c>
    </row>
    <row r="14">
      <c r="A14" s="16" t="inlineStr">
        <is>
          <t>η_t</t>
        </is>
      </c>
      <c r="B14" s="16" t="n">
        <v>0.75</v>
      </c>
      <c r="C14" s="16" t="n">
        <v>0.95</v>
      </c>
      <c r="D14" s="16" t="n"/>
      <c r="E14" s="16" t="n"/>
      <c r="F14" s="29" t="n">
        <v>10.534</v>
      </c>
      <c r="G14" s="29" t="n">
        <v>13.464</v>
      </c>
      <c r="H14" s="16" t="n">
        <v>15</v>
      </c>
    </row>
    <row r="15">
      <c r="A15" s="16" t="inlineStr">
        <is>
          <t>η_p</t>
        </is>
      </c>
      <c r="B15" s="16" t="n">
        <v>0.6</v>
      </c>
      <c r="C15" s="16" t="n">
        <v>0.9</v>
      </c>
      <c r="D15" s="16" t="n"/>
      <c r="E15" s="16" t="n"/>
      <c r="F15" s="29" t="n">
        <v>12.58</v>
      </c>
      <c r="G15" s="29" t="n">
        <v>12.783</v>
      </c>
      <c r="H15" s="16" t="n">
        <v>15</v>
      </c>
    </row>
    <row r="16">
      <c r="A16" s="16" t="inlineStr">
        <is>
          <t>ε_HRVG</t>
        </is>
      </c>
      <c r="B16" s="16" t="n">
        <v>0.6</v>
      </c>
      <c r="C16" s="16" t="n">
        <v>0.925</v>
      </c>
      <c r="D16" s="16" t="n"/>
      <c r="E16" s="16" t="inlineStr">
        <is>
          <t>CORREGIBLE (O2)</t>
        </is>
      </c>
      <c r="F16" s="29" t="n">
        <v>11.634</v>
      </c>
      <c r="G16" s="29" t="n">
        <v>12.995</v>
      </c>
      <c r="H16" s="16" t="n">
        <v>14</v>
      </c>
    </row>
    <row r="17">
      <c r="A17" s="16" t="inlineStr">
        <is>
          <t>ε_reg</t>
        </is>
      </c>
      <c r="B17" s="16" t="n">
        <v>0.4</v>
      </c>
      <c r="C17" s="16" t="n">
        <v>0.95</v>
      </c>
      <c r="D17" s="16" t="n"/>
      <c r="E17" s="16" t="n"/>
      <c r="F17" s="29" t="n">
        <v>11.941</v>
      </c>
      <c r="G17" s="29" t="n">
        <v>13.223</v>
      </c>
      <c r="H17" s="16" t="n">
        <v>15</v>
      </c>
    </row>
    <row r="18">
      <c r="A18" s="16" t="inlineStr">
        <is>
          <t>ε_cond</t>
        </is>
      </c>
      <c r="B18" s="16" t="n">
        <v>0.95</v>
      </c>
      <c r="C18" s="16" t="n">
        <v>0.95</v>
      </c>
      <c r="D18" s="16" t="inlineStr">
        <is>
          <t>CORREGIBLE (O2)</t>
        </is>
      </c>
      <c r="E18" s="16" t="n"/>
      <c r="F18" s="29" t="n">
        <v>12.732</v>
      </c>
      <c r="G18" s="29" t="n">
        <v>12.732</v>
      </c>
      <c r="H18" s="16" t="n">
        <v>1</v>
      </c>
    </row>
    <row r="20">
      <c r="A20" s="23" t="inlineStr">
        <is>
          <t>Notas: Filtro: todos los puntos por variable. n = 10 filas en la tabla. † = fuera del rango confiable (IAPWS G4-01); ‡ = falso convergido. Fuente: resultados/2026-10-09_final_M10_husavik/m10_ofat_rangos.csv.</t>
        </is>
      </c>
    </row>
  </sheetData>
  <autoFilter ref="A8:H18"/>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0" customWidth="1" min="1" max="1"/>
    <col width="28" customWidth="1" min="2" max="2"/>
    <col width="20" customWidth="1" min="3" max="3"/>
    <col width="26" customWidth="1" min="4" max="4"/>
  </cols>
  <sheetData>
    <row r="1">
      <c r="A1" s="19" t="inlineStr">
        <is>
          <t>Tabla 6.2-5 · Frontera KALINA al variar x_b (Húsavík, x_b bajo)</t>
        </is>
      </c>
    </row>
    <row r="2">
      <c r="A2" s="20" t="inlineStr">
        <is>
          <t>Estudio 6.2 · Planta real de Húsavík · Partes: 6.2c</t>
        </is>
      </c>
    </row>
    <row r="3">
      <c r="A3" s="20" t="inlineStr">
        <is>
          <t>Punto base: ancla de Húsavík con x_b de 0.30 a 0.70</t>
        </is>
      </c>
    </row>
    <row r="4">
      <c r="A4" s="21" t="inlineStr">
        <is>
          <t>Datos fijos: T_fuente = 394.15 K; T_sumidero = 278.15 K; P_alta = 3300 kPa; m_b = 1 kg/s; η_t = 0.9; η_p = 0.8; ε_HRVG = 0.85; ε_reg = 0.75; ε_cond = 0.95; piso de O2 = 283.15 K; motor de propiedades = teqp.</t>
        </is>
      </c>
    </row>
    <row r="5">
      <c r="A5" s="21" t="inlineStr">
        <is>
          <t>Datos barridos: P_baja [200–700] kPa (6 valores); x_b [0.3–0.7] (9 valores).</t>
        </is>
      </c>
    </row>
    <row r="6">
      <c r="A6" s="20" t="inlineStr">
        <is>
          <t>Fuente: canónico (6.2c)</t>
        </is>
      </c>
    </row>
    <row r="8">
      <c r="A8" s="22" t="inlineStr">
        <is>
          <t>x_b</t>
        </is>
      </c>
      <c r="B8" s="22" t="inlineStr">
        <is>
          <t>P_baja mínima KALINA [kPa]</t>
        </is>
      </c>
      <c r="C8" s="22" t="inlineStr">
        <is>
          <t>η en ese punto [%]</t>
        </is>
      </c>
      <c r="D8" s="22" t="inlineStr">
        <is>
          <t>Criterio que más bloquea</t>
        </is>
      </c>
    </row>
    <row r="9">
      <c r="A9" s="16" t="n">
        <v>0.3</v>
      </c>
      <c r="B9" s="16" t="n"/>
      <c r="C9" s="16" t="n"/>
      <c r="D9" s="16" t="n"/>
    </row>
    <row r="10">
      <c r="A10" s="16" t="n">
        <v>0.35</v>
      </c>
      <c r="B10" s="16" t="n"/>
      <c r="C10" s="16" t="n"/>
      <c r="D10" s="16" t="n"/>
    </row>
    <row r="11">
      <c r="A11" s="16" t="n">
        <v>0.4</v>
      </c>
      <c r="B11" s="16" t="n"/>
      <c r="C11" s="16" t="n"/>
      <c r="D11" s="16" t="inlineStr">
        <is>
          <t>O3</t>
        </is>
      </c>
    </row>
    <row r="12">
      <c r="A12" s="16" t="n">
        <v>0.45</v>
      </c>
      <c r="B12" s="16" t="n"/>
      <c r="C12" s="16" t="n"/>
      <c r="D12" s="16" t="inlineStr">
        <is>
          <t>O3</t>
        </is>
      </c>
    </row>
    <row r="13">
      <c r="A13" s="16" t="n">
        <v>0.5</v>
      </c>
      <c r="B13" s="35" t="n">
        <v>200</v>
      </c>
      <c r="C13" s="29" t="n">
        <v>1.2252</v>
      </c>
      <c r="D13" s="16" t="n"/>
    </row>
    <row r="14">
      <c r="A14" s="16" t="n">
        <v>0.55</v>
      </c>
      <c r="B14" s="35" t="n">
        <v>300</v>
      </c>
      <c r="C14" s="29" t="n">
        <v>9.562099999999999</v>
      </c>
      <c r="D14" s="16" t="inlineStr">
        <is>
          <t>O2</t>
        </is>
      </c>
    </row>
    <row r="15">
      <c r="A15" s="16" t="n">
        <v>0.6</v>
      </c>
      <c r="B15" s="35" t="n">
        <v>400</v>
      </c>
      <c r="C15" s="29" t="n">
        <v>11.637</v>
      </c>
      <c r="D15" s="16" t="inlineStr">
        <is>
          <t>O2</t>
        </is>
      </c>
    </row>
    <row r="16">
      <c r="A16" s="16" t="n">
        <v>0.65</v>
      </c>
      <c r="B16" s="35" t="n">
        <v>500</v>
      </c>
      <c r="C16" s="29" t="n">
        <v>12.173</v>
      </c>
      <c r="D16" s="16" t="inlineStr">
        <is>
          <t>O2</t>
        </is>
      </c>
    </row>
    <row r="17">
      <c r="A17" s="16" t="n">
        <v>0.7</v>
      </c>
      <c r="B17" s="35" t="n">
        <v>500</v>
      </c>
      <c r="C17" s="29" t="n">
        <v>13.312</v>
      </c>
      <c r="D17" s="16" t="inlineStr">
        <is>
          <t>O2</t>
        </is>
      </c>
    </row>
    <row r="19">
      <c r="A19" s="23" t="inlineStr">
        <is>
          <t>Notas: Filtro: todos los puntos de 6.2c. n = 9 filas en la tabla. † = fuera del rango confiable (IAPWS G4-01); ‡ = falso convergido. Fuente: canónico (6.2c). Una fila por valor de x_b; el criterio cuenta solo O1/O2/O3/O5.</t>
        </is>
      </c>
    </row>
  </sheetData>
  <autoFilter ref="A8:D17"/>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P506"/>
  <sheetViews>
    <sheetView workbookViewId="0">
      <selection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Resultados por barrido · Estudio 6.2 · Planta real de Húsavík</t>
        </is>
      </c>
    </row>
    <row r="2">
      <c r="A2" t="inlineStr">
        <is>
          <t>Cada fila es un punto calculado (n = 382); mismas columnas que la tabla del tablero HTML. Solo se comparan puntos de la misma parte.</t>
        </is>
      </c>
    </row>
    <row r="3">
      <c r="A3" t="inlineStr">
        <is>
          <t>Los gráficos de este estudio están en la hoja de gráficos de su pregunta; los números que dibuja cada uno, en su hoja «Datos de gráficos».</t>
        </is>
      </c>
    </row>
    <row r="4">
      <c r="A4" t="inlineStr">
        <is>
          <t>«Falso convergido»: el solver dijo que convergió pero no es un ciclo real; su η y W_net no se muestran («—»), igual que en los gráficos.</t>
        </is>
      </c>
    </row>
    <row r="6">
      <c r="A6" s="33" t="inlineStr">
        <is>
          <t>Parte 6.2a · Fase 3 de septiembre · 97 puntos</t>
        </is>
      </c>
      <c r="B6" s="31" t="n"/>
      <c r="C6" s="31" t="n"/>
      <c r="D6" s="31" t="n"/>
      <c r="E6" s="31" t="n"/>
      <c r="F6" s="31" t="n"/>
      <c r="G6" s="31" t="n"/>
      <c r="H6" s="31" t="n"/>
      <c r="I6" s="31" t="n"/>
      <c r="J6" s="31" t="n"/>
      <c r="K6" s="31" t="n"/>
    </row>
    <row r="7"/>
    <row r="8">
      <c r="A8" s="34" t="inlineStr">
        <is>
          <t>Barrido de la parte 6.2a · 97 puntos</t>
        </is>
      </c>
    </row>
    <row r="9">
      <c r="A9" s="25" t="inlineStr">
        <is>
          <t>Fijos en este barrido: T_fuente = 394.15, T_sumidero = 278.15, η_p = 0.8, ε_HRVG = 0.85.</t>
        </is>
      </c>
    </row>
    <row r="10">
      <c r="A10" s="22" t="inlineStr">
        <is>
          <t>id_punto</t>
        </is>
      </c>
      <c r="B10" s="22" t="inlineStr">
        <is>
          <t>P_alta [kPa]</t>
        </is>
      </c>
      <c r="C10" s="22" t="inlineStr">
        <is>
          <t>P_baja [kPa]</t>
        </is>
      </c>
      <c r="D10" s="22" t="inlineStr">
        <is>
          <t>x_b [–]</t>
        </is>
      </c>
      <c r="E10" s="22" t="inlineStr">
        <is>
          <t>η_t [–]</t>
        </is>
      </c>
      <c r="F10" s="22" t="inlineStr">
        <is>
          <t>ε_reg [–]</t>
        </is>
      </c>
      <c r="G10" s="22" t="inlineStr">
        <is>
          <t>ε_cond [–]</t>
        </is>
      </c>
      <c r="H10" s="22" t="inlineStr">
        <is>
          <t>Clase</t>
        </is>
      </c>
      <c r="I10" s="22" t="inlineStr">
        <is>
          <t>η [%]</t>
        </is>
      </c>
      <c r="J10" s="22" t="inlineStr">
        <is>
          <t>W_net [kW] (m_b = 1 kg/s)</t>
        </is>
      </c>
      <c r="K10" s="22" t="inlineStr">
        <is>
          <t>ΔP [kPa]</t>
        </is>
      </c>
      <c r="L10" s="22" t="inlineStr">
        <is>
          <t>r_P [–]</t>
        </is>
      </c>
      <c r="M10" s="22" t="inlineStr">
        <is>
          <t>Fuera de rango</t>
        </is>
      </c>
    </row>
    <row r="11">
      <c r="A11" s="16" t="inlineStr">
        <is>
          <t>KF-M10-F3-0000</t>
        </is>
      </c>
      <c r="B11" s="36" t="n">
        <v>3300</v>
      </c>
      <c r="C11" s="35" t="n">
        <v>1400</v>
      </c>
      <c r="D11" s="37" t="n">
        <v>0.82</v>
      </c>
      <c r="E11" s="37" t="n">
        <v>0.9</v>
      </c>
      <c r="F11" s="37" t="n">
        <v>0.9</v>
      </c>
      <c r="G11" s="37" t="n">
        <v>0.98</v>
      </c>
      <c r="H11" s="42" t="inlineStr">
        <is>
          <t>KALINA</t>
        </is>
      </c>
      <c r="I11" s="29" t="n">
        <v>7.318664681116941</v>
      </c>
      <c r="J11" s="35" t="n">
        <v>67.05250957579929</v>
      </c>
      <c r="K11" s="36" t="n">
        <v>1900</v>
      </c>
      <c r="L11" s="29" t="n">
        <v>2.357142857142857</v>
      </c>
      <c r="M11" s="16" t="inlineStr">
        <is>
          <t>no</t>
        </is>
      </c>
    </row>
    <row r="12">
      <c r="A12" s="16" t="inlineStr">
        <is>
          <t>KF-M10-F3-0001</t>
        </is>
      </c>
      <c r="B12" s="36" t="n">
        <v>3300</v>
      </c>
      <c r="C12" s="35" t="n">
        <v>1300</v>
      </c>
      <c r="D12" s="37" t="n">
        <v>0.82</v>
      </c>
      <c r="E12" s="37" t="n">
        <v>0.98</v>
      </c>
      <c r="F12" s="37" t="n">
        <v>0.95</v>
      </c>
      <c r="G12" s="37" t="n">
        <v>0.98</v>
      </c>
      <c r="H12" s="42" t="inlineStr">
        <is>
          <t>KALINA</t>
        </is>
      </c>
      <c r="I12" s="29" t="n">
        <v>8.748694249697481</v>
      </c>
      <c r="J12" s="35" t="n">
        <v>79.50435223277316</v>
      </c>
      <c r="K12" s="36" t="n">
        <v>2000</v>
      </c>
      <c r="L12" s="29" t="n">
        <v>2.538461538461538</v>
      </c>
      <c r="M12" s="16" t="inlineStr">
        <is>
          <t>no</t>
        </is>
      </c>
    </row>
    <row r="13">
      <c r="A13" s="16" t="inlineStr">
        <is>
          <t>KF-M10-F3-0002</t>
        </is>
      </c>
      <c r="B13" s="36" t="n">
        <v>3300</v>
      </c>
      <c r="C13" s="35" t="n">
        <v>1300</v>
      </c>
      <c r="D13" s="37" t="n">
        <v>0.82</v>
      </c>
      <c r="E13" s="37" t="n">
        <v>0.9</v>
      </c>
      <c r="F13" s="37" t="n">
        <v>0.95</v>
      </c>
      <c r="G13" s="37" t="n">
        <v>0.98</v>
      </c>
      <c r="H13" s="42" t="inlineStr">
        <is>
          <t>KALINA</t>
        </is>
      </c>
      <c r="I13" s="29" t="n">
        <v>8.00350461907804</v>
      </c>
      <c r="J13" s="35" t="n">
        <v>72.72654008054394</v>
      </c>
      <c r="K13" s="36" t="n">
        <v>2000</v>
      </c>
      <c r="L13" s="29" t="n">
        <v>2.538461538461538</v>
      </c>
      <c r="M13" s="16" t="inlineStr">
        <is>
          <t>no</t>
        </is>
      </c>
    </row>
    <row r="14">
      <c r="A14" s="16" t="inlineStr">
        <is>
          <t>KF-M10-F3-0003</t>
        </is>
      </c>
      <c r="B14" s="36" t="n">
        <v>3300</v>
      </c>
      <c r="C14" s="35" t="n">
        <v>1100</v>
      </c>
      <c r="D14" s="37" t="n">
        <v>0.82</v>
      </c>
      <c r="E14" s="37" t="n">
        <v>0.98</v>
      </c>
      <c r="F14" s="37" t="n">
        <v>0.95</v>
      </c>
      <c r="G14" s="37" t="n">
        <v>0.98</v>
      </c>
      <c r="H14" s="42" t="inlineStr">
        <is>
          <t>KALINA</t>
        </is>
      </c>
      <c r="I14" s="29" t="n">
        <v>10.22842032668429</v>
      </c>
      <c r="J14" s="35" t="n">
        <v>92.95517756541496</v>
      </c>
      <c r="K14" s="36" t="n">
        <v>2200</v>
      </c>
      <c r="L14" s="29" t="n">
        <v>3</v>
      </c>
      <c r="M14" s="16" t="inlineStr">
        <is>
          <t>no</t>
        </is>
      </c>
    </row>
    <row r="15">
      <c r="A15" s="16" t="inlineStr">
        <is>
          <t>KF-M10-F3-0004</t>
        </is>
      </c>
      <c r="B15" s="36" t="n">
        <v>3300</v>
      </c>
      <c r="C15" s="35" t="n">
        <v>1200</v>
      </c>
      <c r="D15" s="37" t="n">
        <v>0.82</v>
      </c>
      <c r="E15" s="37" t="n">
        <v>0.98</v>
      </c>
      <c r="F15" s="37" t="n">
        <v>0.95</v>
      </c>
      <c r="G15" s="37" t="n">
        <v>0.98</v>
      </c>
      <c r="H15" s="42" t="inlineStr">
        <is>
          <t>KALINA</t>
        </is>
      </c>
      <c r="I15" s="29" t="n">
        <v>9.46165762656058</v>
      </c>
      <c r="J15" s="35" t="n">
        <v>85.98492412080378</v>
      </c>
      <c r="K15" s="36" t="n">
        <v>2100</v>
      </c>
      <c r="L15" s="29" t="n">
        <v>2.75</v>
      </c>
      <c r="M15" s="16" t="inlineStr">
        <is>
          <t>no</t>
        </is>
      </c>
    </row>
    <row r="16">
      <c r="A16" s="16" t="inlineStr">
        <is>
          <t>KF-M10-F3-0005</t>
        </is>
      </c>
      <c r="B16" s="36" t="n">
        <v>3300</v>
      </c>
      <c r="C16" s="35" t="n">
        <v>1300</v>
      </c>
      <c r="D16" s="37" t="n">
        <v>0.82</v>
      </c>
      <c r="E16" s="37" t="n">
        <v>0.95</v>
      </c>
      <c r="F16" s="37" t="n">
        <v>0.95</v>
      </c>
      <c r="G16" s="37" t="n">
        <v>0.98</v>
      </c>
      <c r="H16" s="42" t="inlineStr">
        <is>
          <t>KALINA</t>
        </is>
      </c>
      <c r="I16" s="29" t="n">
        <v>8.469265210544739</v>
      </c>
      <c r="J16" s="35" t="n">
        <v>76.96270018258771</v>
      </c>
      <c r="K16" s="36" t="n">
        <v>2000</v>
      </c>
      <c r="L16" s="29" t="n">
        <v>2.538461538461538</v>
      </c>
      <c r="M16" s="16" t="inlineStr">
        <is>
          <t>no</t>
        </is>
      </c>
    </row>
    <row r="17">
      <c r="A17" s="16" t="inlineStr">
        <is>
          <t>KF-M10-F3-0006</t>
        </is>
      </c>
      <c r="B17" s="36" t="n">
        <v>3300</v>
      </c>
      <c r="C17" s="35" t="n">
        <v>1500</v>
      </c>
      <c r="D17" s="37" t="n">
        <v>0.82</v>
      </c>
      <c r="E17" s="37" t="n">
        <v>0.9</v>
      </c>
      <c r="F17" s="37" t="n">
        <v>0.95</v>
      </c>
      <c r="G17" s="37" t="n">
        <v>0.98</v>
      </c>
      <c r="H17" s="42" t="inlineStr">
        <is>
          <t>KALINA</t>
        </is>
      </c>
      <c r="I17" s="29" t="n">
        <v>6.819648090182249</v>
      </c>
      <c r="J17" s="35" t="n">
        <v>61.96852899526019</v>
      </c>
      <c r="K17" s="36" t="n">
        <v>1800</v>
      </c>
      <c r="L17" s="29" t="n">
        <v>2.2</v>
      </c>
      <c r="M17" s="16" t="inlineStr">
        <is>
          <t>no</t>
        </is>
      </c>
    </row>
    <row r="18">
      <c r="A18" s="16" t="inlineStr">
        <is>
          <t>KF-M10-F3-0007</t>
        </is>
      </c>
      <c r="B18" s="36" t="n">
        <v>3300</v>
      </c>
      <c r="C18" s="35" t="n">
        <v>1200</v>
      </c>
      <c r="D18" s="37" t="n">
        <v>0.82</v>
      </c>
      <c r="E18" s="37" t="n">
        <v>0.9</v>
      </c>
      <c r="F18" s="37" t="n">
        <v>0.9</v>
      </c>
      <c r="G18" s="37" t="n">
        <v>0.98</v>
      </c>
      <c r="H18" s="42" t="inlineStr">
        <is>
          <t>KALINA</t>
        </is>
      </c>
      <c r="I18" s="29" t="n">
        <v>8.569818058761349</v>
      </c>
      <c r="J18" s="35" t="n">
        <v>78.51670361172006</v>
      </c>
      <c r="K18" s="36" t="n">
        <v>2100</v>
      </c>
      <c r="L18" s="29" t="n">
        <v>2.75</v>
      </c>
      <c r="M18" s="16" t="inlineStr">
        <is>
          <t>no</t>
        </is>
      </c>
    </row>
    <row r="19">
      <c r="A19" s="16" t="inlineStr">
        <is>
          <t>KF-M10-F3-0008</t>
        </is>
      </c>
      <c r="B19" s="36" t="n">
        <v>3300</v>
      </c>
      <c r="C19" s="35" t="n">
        <v>1150</v>
      </c>
      <c r="D19" s="37" t="n">
        <v>0.82</v>
      </c>
      <c r="E19" s="37" t="n">
        <v>0.9</v>
      </c>
      <c r="F19" s="37" t="n">
        <v>0.95</v>
      </c>
      <c r="G19" s="37" t="n">
        <v>0.98</v>
      </c>
      <c r="H19" s="42" t="inlineStr">
        <is>
          <t>KALINA</t>
        </is>
      </c>
      <c r="I19" s="29" t="n">
        <v>9.00151274779215</v>
      </c>
      <c r="J19" s="35" t="n">
        <v>81.79674022759937</v>
      </c>
      <c r="K19" s="36" t="n">
        <v>2150</v>
      </c>
      <c r="L19" s="29" t="n">
        <v>2.869565217391304</v>
      </c>
      <c r="M19" s="16" t="inlineStr">
        <is>
          <t>no</t>
        </is>
      </c>
    </row>
    <row r="20">
      <c r="A20" s="16" t="inlineStr">
        <is>
          <t>KF-M10-F3-0009</t>
        </is>
      </c>
      <c r="B20" s="36" t="n">
        <v>3300</v>
      </c>
      <c r="C20" s="35" t="n">
        <v>1200</v>
      </c>
      <c r="D20" s="37" t="n">
        <v>0.82</v>
      </c>
      <c r="E20" s="37" t="n">
        <v>0.9</v>
      </c>
      <c r="F20" s="37" t="n">
        <v>0.95</v>
      </c>
      <c r="G20" s="37" t="n">
        <v>0.98</v>
      </c>
      <c r="H20" s="42" t="inlineStr">
        <is>
          <t>KALINA</t>
        </is>
      </c>
      <c r="I20" s="29" t="n">
        <v>8.656808676910819</v>
      </c>
      <c r="J20" s="35" t="n">
        <v>78.66384366460358</v>
      </c>
      <c r="K20" s="36" t="n">
        <v>2100</v>
      </c>
      <c r="L20" s="29" t="n">
        <v>2.75</v>
      </c>
      <c r="M20" s="16" t="inlineStr">
        <is>
          <t>no</t>
        </is>
      </c>
    </row>
    <row r="21">
      <c r="A21" s="16" t="inlineStr">
        <is>
          <t>KF-M10-F3-0010</t>
        </is>
      </c>
      <c r="B21" s="36" t="n">
        <v>3300</v>
      </c>
      <c r="C21" s="35" t="n">
        <v>1250</v>
      </c>
      <c r="D21" s="37" t="n">
        <v>0.82</v>
      </c>
      <c r="E21" s="37" t="n">
        <v>0.9</v>
      </c>
      <c r="F21" s="37" t="n">
        <v>0.95</v>
      </c>
      <c r="G21" s="37" t="n">
        <v>0.98</v>
      </c>
      <c r="H21" s="42" t="inlineStr">
        <is>
          <t>KALINA</t>
        </is>
      </c>
      <c r="I21" s="29" t="n">
        <v>8.324433790615741</v>
      </c>
      <c r="J21" s="35" t="n">
        <v>75.64312658813425</v>
      </c>
      <c r="K21" s="36" t="n">
        <v>2050</v>
      </c>
      <c r="L21" s="29" t="n">
        <v>2.64</v>
      </c>
      <c r="M21" s="16" t="inlineStr">
        <is>
          <t>no</t>
        </is>
      </c>
    </row>
    <row r="22">
      <c r="A22" s="16" t="inlineStr">
        <is>
          <t>KF-M10-F3-0011</t>
        </is>
      </c>
      <c r="B22" s="36" t="n">
        <v>3300</v>
      </c>
      <c r="C22" s="35" t="n">
        <v>1250</v>
      </c>
      <c r="D22" s="37" t="n">
        <v>0.82</v>
      </c>
      <c r="E22" s="37" t="n">
        <v>0.9</v>
      </c>
      <c r="F22" s="37" t="n">
        <v>0.95</v>
      </c>
      <c r="G22" s="37" t="n">
        <v>0.95</v>
      </c>
      <c r="H22" s="42" t="inlineStr">
        <is>
          <t>KALINA</t>
        </is>
      </c>
      <c r="I22" s="29" t="n">
        <v>8.479907044178251</v>
      </c>
      <c r="J22" s="35" t="n">
        <v>75.87056180764522</v>
      </c>
      <c r="K22" s="36" t="n">
        <v>2050</v>
      </c>
      <c r="L22" s="29" t="n">
        <v>2.64</v>
      </c>
      <c r="M22" s="16" t="inlineStr">
        <is>
          <t>no</t>
        </is>
      </c>
    </row>
    <row r="23">
      <c r="A23" s="16" t="inlineStr">
        <is>
          <t>KF-M10-F3-0012</t>
        </is>
      </c>
      <c r="B23" s="36" t="n">
        <v>3300</v>
      </c>
      <c r="C23" s="35" t="n">
        <v>1200</v>
      </c>
      <c r="D23" s="37" t="n">
        <v>0.82</v>
      </c>
      <c r="E23" s="37" t="n">
        <v>0.9</v>
      </c>
      <c r="F23" s="37" t="n">
        <v>0.95</v>
      </c>
      <c r="G23" s="37" t="n">
        <v>0.95</v>
      </c>
      <c r="H23" s="42" t="inlineStr">
        <is>
          <t>KALINA</t>
        </is>
      </c>
      <c r="I23" s="29" t="n">
        <v>8.817980487889161</v>
      </c>
      <c r="J23" s="35" t="n">
        <v>78.9002723996412</v>
      </c>
      <c r="K23" s="36" t="n">
        <v>2100</v>
      </c>
      <c r="L23" s="29" t="n">
        <v>2.75</v>
      </c>
      <c r="M23" s="16" t="inlineStr">
        <is>
          <t>no</t>
        </is>
      </c>
    </row>
    <row r="24">
      <c r="A24" s="16" t="inlineStr">
        <is>
          <t>KF-M10-F3-0013</t>
        </is>
      </c>
      <c r="B24" s="36" t="n">
        <v>3300</v>
      </c>
      <c r="C24" s="35" t="n">
        <v>1300</v>
      </c>
      <c r="D24" s="37" t="n">
        <v>0.82</v>
      </c>
      <c r="E24" s="37" t="n">
        <v>0.9</v>
      </c>
      <c r="F24" s="37" t="n">
        <v>0.95</v>
      </c>
      <c r="G24" s="37" t="n">
        <v>0.95</v>
      </c>
      <c r="H24" s="42" t="inlineStr">
        <is>
          <t>KALINA</t>
        </is>
      </c>
      <c r="I24" s="29" t="n">
        <v>8.15343623160134</v>
      </c>
      <c r="J24" s="35" t="n">
        <v>72.94526677258047</v>
      </c>
      <c r="K24" s="36" t="n">
        <v>2000</v>
      </c>
      <c r="L24" s="29" t="n">
        <v>2.538461538461538</v>
      </c>
      <c r="M24" s="16" t="inlineStr">
        <is>
          <t>no</t>
        </is>
      </c>
    </row>
    <row r="25">
      <c r="A25" s="16" t="inlineStr">
        <is>
          <t>KF-M10-F3-0014</t>
        </is>
      </c>
      <c r="B25" s="36" t="n">
        <v>3300</v>
      </c>
      <c r="C25" s="35" t="n">
        <v>750</v>
      </c>
      <c r="D25" s="37" t="n">
        <v>0.82</v>
      </c>
      <c r="E25" s="37" t="n">
        <v>0.9</v>
      </c>
      <c r="F25" s="37" t="n">
        <v>0.95</v>
      </c>
      <c r="G25" s="37" t="n">
        <v>0.95</v>
      </c>
      <c r="H25" s="42" t="inlineStr">
        <is>
          <t>KALINA</t>
        </is>
      </c>
      <c r="I25" s="29" t="n">
        <v>12.58015735229499</v>
      </c>
      <c r="J25" s="35" t="n">
        <v>112.6486986428784</v>
      </c>
      <c r="K25" s="36" t="n">
        <v>2550</v>
      </c>
      <c r="L25" s="29" t="n">
        <v>4.4</v>
      </c>
      <c r="M25" s="16" t="inlineStr">
        <is>
          <t>no</t>
        </is>
      </c>
    </row>
    <row r="26">
      <c r="A26" s="16" t="inlineStr">
        <is>
          <t>KF-M10-F3-0015</t>
        </is>
      </c>
      <c r="B26" s="36" t="n">
        <v>3300</v>
      </c>
      <c r="C26" s="35" t="n">
        <v>770</v>
      </c>
      <c r="D26" s="37" t="n">
        <v>0.82</v>
      </c>
      <c r="E26" s="37" t="n">
        <v>0.9</v>
      </c>
      <c r="F26" s="37" t="n">
        <v>0.95</v>
      </c>
      <c r="G26" s="37" t="n">
        <v>0.95</v>
      </c>
      <c r="H26" s="42" t="inlineStr">
        <is>
          <t>KALINA</t>
        </is>
      </c>
      <c r="I26" s="29" t="n">
        <v>12.37585536770722</v>
      </c>
      <c r="J26" s="35" t="n">
        <v>110.8143951897724</v>
      </c>
      <c r="K26" s="36" t="n">
        <v>2530</v>
      </c>
      <c r="L26" s="29" t="n">
        <v>4.285714285714286</v>
      </c>
      <c r="M26" s="16" t="inlineStr">
        <is>
          <t>no</t>
        </is>
      </c>
    </row>
    <row r="27">
      <c r="A27" s="16" t="inlineStr">
        <is>
          <t>KF-M10-F3-0016</t>
        </is>
      </c>
      <c r="B27" s="36" t="n">
        <v>3300</v>
      </c>
      <c r="C27" s="35" t="n">
        <v>710</v>
      </c>
      <c r="D27" s="37" t="n">
        <v>0.82</v>
      </c>
      <c r="E27" s="37" t="n">
        <v>0.9</v>
      </c>
      <c r="F27" s="37" t="n">
        <v>0.95</v>
      </c>
      <c r="G27" s="37" t="n">
        <v>0.95</v>
      </c>
      <c r="H27" s="42" t="inlineStr">
        <is>
          <t>KALINA</t>
        </is>
      </c>
      <c r="I27" s="29" t="n">
        <v>13.00325254469229</v>
      </c>
      <c r="J27" s="35" t="n">
        <v>116.4480294278987</v>
      </c>
      <c r="K27" s="36" t="n">
        <v>2590</v>
      </c>
      <c r="L27" s="29" t="n">
        <v>4.647887323943662</v>
      </c>
      <c r="M27" s="16" t="inlineStr">
        <is>
          <t>no</t>
        </is>
      </c>
    </row>
    <row r="28">
      <c r="A28" s="16" t="inlineStr">
        <is>
          <t>KF-M10-F3-0017</t>
        </is>
      </c>
      <c r="B28" s="36" t="n">
        <v>3300</v>
      </c>
      <c r="C28" s="35" t="n">
        <v>790</v>
      </c>
      <c r="D28" s="37" t="n">
        <v>0.82</v>
      </c>
      <c r="E28" s="37" t="n">
        <v>0.9</v>
      </c>
      <c r="F28" s="37" t="n">
        <v>0.95</v>
      </c>
      <c r="G28" s="37" t="n">
        <v>0.95</v>
      </c>
      <c r="H28" s="42" t="inlineStr">
        <is>
          <t>KALINA</t>
        </is>
      </c>
      <c r="I28" s="29" t="n">
        <v>12.17607438313962</v>
      </c>
      <c r="J28" s="35" t="n">
        <v>109.0208691274817</v>
      </c>
      <c r="K28" s="36" t="n">
        <v>2510</v>
      </c>
      <c r="L28" s="29" t="n">
        <v>4.177215189873418</v>
      </c>
      <c r="M28" s="16" t="inlineStr">
        <is>
          <t>no</t>
        </is>
      </c>
    </row>
    <row r="29">
      <c r="A29" s="16" t="inlineStr">
        <is>
          <t>KF-M10-F3-0018</t>
        </is>
      </c>
      <c r="B29" s="36" t="n">
        <v>3300</v>
      </c>
      <c r="C29" s="35" t="n">
        <v>670</v>
      </c>
      <c r="D29" s="37" t="n">
        <v>0.82</v>
      </c>
      <c r="E29" s="37" t="n">
        <v>0.9</v>
      </c>
      <c r="F29" s="37" t="n">
        <v>0.95</v>
      </c>
      <c r="G29" s="37" t="n">
        <v>0.95</v>
      </c>
      <c r="H29" s="42" t="inlineStr">
        <is>
          <t>KALINA</t>
        </is>
      </c>
      <c r="I29" s="29" t="n">
        <v>13.44741292225992</v>
      </c>
      <c r="J29" s="35" t="n">
        <v>120.4374236856653</v>
      </c>
      <c r="K29" s="36" t="n">
        <v>2630</v>
      </c>
      <c r="L29" s="29" t="n">
        <v>4.925373134328358</v>
      </c>
      <c r="M29" s="16" t="inlineStr">
        <is>
          <t>no</t>
        </is>
      </c>
    </row>
    <row r="30">
      <c r="A30" s="16" t="inlineStr">
        <is>
          <t>KF-M10-F3-0019</t>
        </is>
      </c>
      <c r="B30" s="36" t="n">
        <v>3300</v>
      </c>
      <c r="C30" s="35" t="n">
        <v>730</v>
      </c>
      <c r="D30" s="37" t="n">
        <v>0.82</v>
      </c>
      <c r="E30" s="37" t="n">
        <v>0.9</v>
      </c>
      <c r="F30" s="37" t="n">
        <v>0.95</v>
      </c>
      <c r="G30" s="37" t="n">
        <v>0.95</v>
      </c>
      <c r="H30" s="42" t="inlineStr">
        <is>
          <t>KALINA</t>
        </is>
      </c>
      <c r="I30" s="29" t="n">
        <v>12.7892077847869</v>
      </c>
      <c r="J30" s="35" t="n">
        <v>114.5258357809253</v>
      </c>
      <c r="K30" s="36" t="n">
        <v>2570</v>
      </c>
      <c r="L30" s="29" t="n">
        <v>4.52054794520548</v>
      </c>
      <c r="M30" s="16" t="inlineStr">
        <is>
          <t>no</t>
        </is>
      </c>
    </row>
    <row r="31">
      <c r="A31" s="16" t="inlineStr">
        <is>
          <t>KF-M10-F3-0020</t>
        </is>
      </c>
      <c r="B31" s="36" t="n">
        <v>3300</v>
      </c>
      <c r="C31" s="35" t="n">
        <v>690</v>
      </c>
      <c r="D31" s="37" t="n">
        <v>0.82</v>
      </c>
      <c r="E31" s="37" t="n">
        <v>0.9</v>
      </c>
      <c r="F31" s="37" t="n">
        <v>0.95</v>
      </c>
      <c r="G31" s="37" t="n">
        <v>0.95</v>
      </c>
      <c r="H31" s="42" t="inlineStr">
        <is>
          <t>KALINA</t>
        </is>
      </c>
      <c r="I31" s="29" t="n">
        <v>13.2225573486805</v>
      </c>
      <c r="J31" s="35" t="n">
        <v>118.4176852193223</v>
      </c>
      <c r="K31" s="36" t="n">
        <v>2610</v>
      </c>
      <c r="L31" s="29" t="n">
        <v>4.782608695652174</v>
      </c>
      <c r="M31" s="16" t="inlineStr">
        <is>
          <t>no</t>
        </is>
      </c>
    </row>
    <row r="32">
      <c r="A32" s="16" t="inlineStr">
        <is>
          <t>KF-M10-F3-0021</t>
        </is>
      </c>
      <c r="B32" s="36" t="n">
        <v>3300</v>
      </c>
      <c r="C32" s="35" t="n">
        <v>870</v>
      </c>
      <c r="D32" s="37" t="n">
        <v>0.82</v>
      </c>
      <c r="E32" s="37" t="n">
        <v>0.9</v>
      </c>
      <c r="F32" s="37" t="n">
        <v>0.95</v>
      </c>
      <c r="G32" s="37" t="n">
        <v>0.95</v>
      </c>
      <c r="H32" s="42" t="inlineStr">
        <is>
          <t>KALINA</t>
        </is>
      </c>
      <c r="I32" s="29" t="n">
        <v>11.41816001667537</v>
      </c>
      <c r="J32" s="35" t="n">
        <v>102.2183785319478</v>
      </c>
      <c r="K32" s="36" t="n">
        <v>2430</v>
      </c>
      <c r="L32" s="29" t="n">
        <v>3.793103448275862</v>
      </c>
      <c r="M32" s="16" t="inlineStr">
        <is>
          <t>no</t>
        </is>
      </c>
    </row>
    <row r="33">
      <c r="A33" s="16" t="inlineStr">
        <is>
          <t>KF-M10-F3-0022</t>
        </is>
      </c>
      <c r="B33" s="36" t="n">
        <v>3300</v>
      </c>
      <c r="C33" s="35" t="n">
        <v>890</v>
      </c>
      <c r="D33" s="37" t="n">
        <v>0.82</v>
      </c>
      <c r="E33" s="37" t="n">
        <v>0.9</v>
      </c>
      <c r="F33" s="37" t="n">
        <v>0.95</v>
      </c>
      <c r="G33" s="37" t="n">
        <v>0.95</v>
      </c>
      <c r="H33" s="42" t="inlineStr">
        <is>
          <t>KALINA</t>
        </is>
      </c>
      <c r="I33" s="29" t="n">
        <v>11.23810109987276</v>
      </c>
      <c r="J33" s="35" t="n">
        <v>100.6026814581572</v>
      </c>
      <c r="K33" s="36" t="n">
        <v>2410</v>
      </c>
      <c r="L33" s="29" t="n">
        <v>3.707865168539326</v>
      </c>
      <c r="M33" s="16" t="inlineStr">
        <is>
          <t>no</t>
        </is>
      </c>
    </row>
    <row r="34">
      <c r="A34" s="16" t="inlineStr">
        <is>
          <t>KF-M10-F3-0023</t>
        </is>
      </c>
      <c r="B34" s="36" t="n">
        <v>3300</v>
      </c>
      <c r="C34" s="35" t="n">
        <v>810</v>
      </c>
      <c r="D34" s="37" t="n">
        <v>0.82</v>
      </c>
      <c r="E34" s="37" t="n">
        <v>0.9</v>
      </c>
      <c r="F34" s="37" t="n">
        <v>0.95</v>
      </c>
      <c r="G34" s="37" t="n">
        <v>0.95</v>
      </c>
      <c r="H34" s="42" t="inlineStr">
        <is>
          <t>KALINA</t>
        </is>
      </c>
      <c r="I34" s="29" t="n">
        <v>11.98060350575779</v>
      </c>
      <c r="J34" s="35" t="n">
        <v>107.266214066569</v>
      </c>
      <c r="K34" s="36" t="n">
        <v>2490</v>
      </c>
      <c r="L34" s="29" t="n">
        <v>4.074074074074074</v>
      </c>
      <c r="M34" s="16" t="inlineStr">
        <is>
          <t>no</t>
        </is>
      </c>
    </row>
    <row r="35">
      <c r="A35" s="16" t="inlineStr">
        <is>
          <t>KF-M10-F3-0024</t>
        </is>
      </c>
      <c r="B35" s="36" t="n">
        <v>3300</v>
      </c>
      <c r="C35" s="35" t="n">
        <v>950</v>
      </c>
      <c r="D35" s="37" t="n">
        <v>0.82</v>
      </c>
      <c r="E35" s="37" t="n">
        <v>0.9</v>
      </c>
      <c r="F35" s="37" t="n">
        <v>0.95</v>
      </c>
      <c r="G35" s="37" t="n">
        <v>0.95</v>
      </c>
      <c r="H35" s="42" t="inlineStr">
        <is>
          <t>KALINA</t>
        </is>
      </c>
      <c r="I35" s="29" t="n">
        <v>10.71810777295186</v>
      </c>
      <c r="J35" s="35" t="n">
        <v>95.93750966229254</v>
      </c>
      <c r="K35" s="36" t="n">
        <v>2350</v>
      </c>
      <c r="L35" s="29" t="n">
        <v>3.473684210526316</v>
      </c>
      <c r="M35" s="16" t="inlineStr">
        <is>
          <t>no</t>
        </is>
      </c>
    </row>
    <row r="36">
      <c r="A36" s="16" t="inlineStr">
        <is>
          <t>KF-M10-F3-0025</t>
        </is>
      </c>
      <c r="B36" s="36" t="n">
        <v>3300</v>
      </c>
      <c r="C36" s="35" t="n">
        <v>910</v>
      </c>
      <c r="D36" s="37" t="n">
        <v>0.82</v>
      </c>
      <c r="E36" s="37" t="n">
        <v>0.9</v>
      </c>
      <c r="F36" s="37" t="n">
        <v>0.95</v>
      </c>
      <c r="G36" s="37" t="n">
        <v>0.95</v>
      </c>
      <c r="H36" s="42" t="inlineStr">
        <is>
          <t>KALINA</t>
        </is>
      </c>
      <c r="I36" s="29" t="n">
        <v>11.06149731044027</v>
      </c>
      <c r="J36" s="35" t="n">
        <v>99.01812850356551</v>
      </c>
      <c r="K36" s="36" t="n">
        <v>2390</v>
      </c>
      <c r="L36" s="29" t="n">
        <v>3.626373626373625</v>
      </c>
      <c r="M36" s="16" t="inlineStr">
        <is>
          <t>no</t>
        </is>
      </c>
    </row>
    <row r="37">
      <c r="A37" s="16" t="inlineStr">
        <is>
          <t>KF-M10-F3-0026</t>
        </is>
      </c>
      <c r="B37" s="36" t="n">
        <v>3300</v>
      </c>
      <c r="C37" s="35" t="n">
        <v>830</v>
      </c>
      <c r="D37" s="37" t="n">
        <v>0.82</v>
      </c>
      <c r="E37" s="37" t="n">
        <v>0.9</v>
      </c>
      <c r="F37" s="37" t="n">
        <v>0.95</v>
      </c>
      <c r="G37" s="37" t="n">
        <v>0.95</v>
      </c>
      <c r="H37" s="42" t="inlineStr">
        <is>
          <t>KALINA</t>
        </is>
      </c>
      <c r="I37" s="29" t="n">
        <v>11.78924696995605</v>
      </c>
      <c r="J37" s="35" t="n">
        <v>105.5486605043577</v>
      </c>
      <c r="K37" s="36" t="n">
        <v>2470</v>
      </c>
      <c r="L37" s="29" t="n">
        <v>3.975903614457832</v>
      </c>
      <c r="M37" s="16" t="inlineStr">
        <is>
          <t>no</t>
        </is>
      </c>
    </row>
    <row r="38">
      <c r="A38" s="16" t="inlineStr">
        <is>
          <t>KF-M10-F3-0027</t>
        </is>
      </c>
      <c r="B38" s="36" t="n">
        <v>3300</v>
      </c>
      <c r="C38" s="35" t="n">
        <v>850</v>
      </c>
      <c r="D38" s="37" t="n">
        <v>0.82</v>
      </c>
      <c r="E38" s="37" t="n">
        <v>0.9</v>
      </c>
      <c r="F38" s="37" t="n">
        <v>0.95</v>
      </c>
      <c r="G38" s="37" t="n">
        <v>0.95</v>
      </c>
      <c r="H38" s="42" t="inlineStr">
        <is>
          <t>KALINA</t>
        </is>
      </c>
      <c r="I38" s="29" t="n">
        <v>11.60182242740329</v>
      </c>
      <c r="J38" s="35" t="n">
        <v>103.8665603611194</v>
      </c>
      <c r="K38" s="36" t="n">
        <v>2450</v>
      </c>
      <c r="L38" s="29" t="n">
        <v>3.882352941176471</v>
      </c>
      <c r="M38" s="16" t="inlineStr">
        <is>
          <t>no</t>
        </is>
      </c>
    </row>
    <row r="39">
      <c r="A39" s="16" t="inlineStr">
        <is>
          <t>KF-M10-F3-0028</t>
        </is>
      </c>
      <c r="B39" s="36" t="n">
        <v>3300</v>
      </c>
      <c r="C39" s="35" t="n">
        <v>990</v>
      </c>
      <c r="D39" s="37" t="n">
        <v>0.82</v>
      </c>
      <c r="E39" s="37" t="n">
        <v>0.9</v>
      </c>
      <c r="F39" s="37" t="n">
        <v>0.95</v>
      </c>
      <c r="G39" s="37" t="n">
        <v>0.95</v>
      </c>
      <c r="H39" s="42" t="inlineStr">
        <is>
          <t>KALINA</t>
        </is>
      </c>
      <c r="I39" s="29" t="n">
        <v>10.38697890967883</v>
      </c>
      <c r="J39" s="35" t="n">
        <v>92.96737480190298</v>
      </c>
      <c r="K39" s="36" t="n">
        <v>2310</v>
      </c>
      <c r="L39" s="29" t="n">
        <v>3.333333333333333</v>
      </c>
      <c r="M39" s="16" t="inlineStr">
        <is>
          <t>no</t>
        </is>
      </c>
    </row>
    <row r="40">
      <c r="A40" s="16" t="inlineStr">
        <is>
          <t>KF-M10-F3-0029</t>
        </is>
      </c>
      <c r="B40" s="36" t="n">
        <v>3300</v>
      </c>
      <c r="C40" s="35" t="n">
        <v>970</v>
      </c>
      <c r="D40" s="37" t="n">
        <v>0.82</v>
      </c>
      <c r="E40" s="37" t="n">
        <v>0.9</v>
      </c>
      <c r="F40" s="37" t="n">
        <v>0.95</v>
      </c>
      <c r="G40" s="37" t="n">
        <v>0.95</v>
      </c>
      <c r="H40" s="42" t="inlineStr">
        <is>
          <t>KALINA</t>
        </is>
      </c>
      <c r="I40" s="29" t="n">
        <v>10.55106933223228</v>
      </c>
      <c r="J40" s="35" t="n">
        <v>94.4391608680568</v>
      </c>
      <c r="K40" s="36" t="n">
        <v>2330</v>
      </c>
      <c r="L40" s="29" t="n">
        <v>3.402061855670103</v>
      </c>
      <c r="M40" s="16" t="inlineStr">
        <is>
          <t>no</t>
        </is>
      </c>
    </row>
    <row r="41">
      <c r="A41" s="16" t="inlineStr">
        <is>
          <t>KF-M10-F3-0030</t>
        </is>
      </c>
      <c r="B41" s="36" t="n">
        <v>3300</v>
      </c>
      <c r="C41" s="35" t="n">
        <v>1030</v>
      </c>
      <c r="D41" s="37" t="n">
        <v>0.82</v>
      </c>
      <c r="E41" s="37" t="n">
        <v>0.9</v>
      </c>
      <c r="F41" s="37" t="n">
        <v>0.95</v>
      </c>
      <c r="G41" s="37" t="n">
        <v>0.95</v>
      </c>
      <c r="H41" s="42" t="inlineStr">
        <is>
          <t>KALINA</t>
        </is>
      </c>
      <c r="I41" s="29" t="n">
        <v>10.06721443964814</v>
      </c>
      <c r="J41" s="35" t="n">
        <v>90.09962782643896</v>
      </c>
      <c r="K41" s="36" t="n">
        <v>2270</v>
      </c>
      <c r="L41" s="29" t="n">
        <v>3.203883495145631</v>
      </c>
      <c r="M41" s="16" t="inlineStr">
        <is>
          <t>no</t>
        </is>
      </c>
    </row>
    <row r="42">
      <c r="A42" s="16" t="inlineStr">
        <is>
          <t>KF-M10-F3-0031</t>
        </is>
      </c>
      <c r="B42" s="36" t="n">
        <v>3300</v>
      </c>
      <c r="C42" s="35" t="n">
        <v>1010</v>
      </c>
      <c r="D42" s="37" t="n">
        <v>0.82</v>
      </c>
      <c r="E42" s="37" t="n">
        <v>0.9</v>
      </c>
      <c r="F42" s="37" t="n">
        <v>0.95</v>
      </c>
      <c r="G42" s="37" t="n">
        <v>0.95</v>
      </c>
      <c r="H42" s="42" t="inlineStr">
        <is>
          <t>KALINA</t>
        </is>
      </c>
      <c r="I42" s="29" t="n">
        <v>10.2257280642204</v>
      </c>
      <c r="J42" s="35" t="n">
        <v>91.52117194893589</v>
      </c>
      <c r="K42" s="36" t="n">
        <v>2290</v>
      </c>
      <c r="L42" s="29" t="n">
        <v>3.267326732673267</v>
      </c>
      <c r="M42" s="16" t="inlineStr">
        <is>
          <t>no</t>
        </is>
      </c>
    </row>
    <row r="43">
      <c r="A43" s="16" t="inlineStr">
        <is>
          <t>KF-M10-F3-0032</t>
        </is>
      </c>
      <c r="B43" s="36" t="n">
        <v>3300</v>
      </c>
      <c r="C43" s="35" t="n">
        <v>930</v>
      </c>
      <c r="D43" s="37" t="n">
        <v>0.82</v>
      </c>
      <c r="E43" s="37" t="n">
        <v>0.9</v>
      </c>
      <c r="F43" s="37" t="n">
        <v>0.95</v>
      </c>
      <c r="G43" s="37" t="n">
        <v>0.95</v>
      </c>
      <c r="H43" s="42" t="inlineStr">
        <is>
          <t>KALINA</t>
        </is>
      </c>
      <c r="I43" s="29" t="n">
        <v>10.88820966514615</v>
      </c>
      <c r="J43" s="35" t="n">
        <v>97.46346391534904</v>
      </c>
      <c r="K43" s="36" t="n">
        <v>2370</v>
      </c>
      <c r="L43" s="29" t="n">
        <v>3.548387096774193</v>
      </c>
      <c r="M43" s="16" t="inlineStr">
        <is>
          <t>no</t>
        </is>
      </c>
    </row>
    <row r="44">
      <c r="A44" s="16" t="inlineStr">
        <is>
          <t>KF-M10-F3-0033</t>
        </is>
      </c>
      <c r="B44" s="36" t="n">
        <v>3300</v>
      </c>
      <c r="C44" s="35" t="n">
        <v>1050</v>
      </c>
      <c r="D44" s="37" t="n">
        <v>0.82</v>
      </c>
      <c r="E44" s="37" t="n">
        <v>0.9</v>
      </c>
      <c r="F44" s="37" t="n">
        <v>0.95</v>
      </c>
      <c r="G44" s="37" t="n">
        <v>0.95</v>
      </c>
      <c r="H44" s="42" t="inlineStr">
        <is>
          <t>KALINA</t>
        </is>
      </c>
      <c r="I44" s="29" t="n">
        <v>9.91134138010564</v>
      </c>
      <c r="J44" s="35" t="n">
        <v>88.70186949808306</v>
      </c>
      <c r="K44" s="36" t="n">
        <v>2250</v>
      </c>
      <c r="L44" s="29" t="n">
        <v>3.142857142857143</v>
      </c>
      <c r="M44" s="16" t="inlineStr">
        <is>
          <t>no</t>
        </is>
      </c>
    </row>
    <row r="45">
      <c r="A45" s="16" t="inlineStr">
        <is>
          <t>KF-M10-F3-0034</t>
        </is>
      </c>
      <c r="B45" s="36" t="n">
        <v>3300</v>
      </c>
      <c r="C45" s="35" t="n">
        <v>1070</v>
      </c>
      <c r="D45" s="37" t="n">
        <v>0.82</v>
      </c>
      <c r="E45" s="37" t="n">
        <v>0.9</v>
      </c>
      <c r="F45" s="37" t="n">
        <v>0.95</v>
      </c>
      <c r="G45" s="37" t="n">
        <v>0.95</v>
      </c>
      <c r="H45" s="42" t="inlineStr">
        <is>
          <t>KALINA</t>
        </is>
      </c>
      <c r="I45" s="29" t="n">
        <v>9.75801750496842</v>
      </c>
      <c r="J45" s="35" t="n">
        <v>87.327071726947</v>
      </c>
      <c r="K45" s="36" t="n">
        <v>2230</v>
      </c>
      <c r="L45" s="29" t="n">
        <v>3.08411214953271</v>
      </c>
      <c r="M45" s="16" t="inlineStr">
        <is>
          <t>no</t>
        </is>
      </c>
    </row>
    <row r="46">
      <c r="A46" s="16" t="inlineStr">
        <is>
          <t>KF-M10-F3-0035</t>
        </is>
      </c>
      <c r="B46" s="36" t="n">
        <v>3300</v>
      </c>
      <c r="C46" s="35" t="n">
        <v>1090</v>
      </c>
      <c r="D46" s="37" t="n">
        <v>0.82</v>
      </c>
      <c r="E46" s="37" t="n">
        <v>0.9</v>
      </c>
      <c r="F46" s="37" t="n">
        <v>0.95</v>
      </c>
      <c r="G46" s="37" t="n">
        <v>0.95</v>
      </c>
      <c r="H46" s="42" t="inlineStr">
        <is>
          <t>KALINA</t>
        </is>
      </c>
      <c r="I46" s="29" t="n">
        <v>9.607156323050759</v>
      </c>
      <c r="J46" s="35" t="n">
        <v>85.97445348461093</v>
      </c>
      <c r="K46" s="36" t="n">
        <v>2210</v>
      </c>
      <c r="L46" s="29" t="n">
        <v>3.027522935779817</v>
      </c>
      <c r="M46" s="16" t="inlineStr">
        <is>
          <t>no</t>
        </is>
      </c>
    </row>
    <row r="47">
      <c r="A47" s="16" t="inlineStr">
        <is>
          <t>KF-M10-F3-0036</t>
        </is>
      </c>
      <c r="B47" s="36" t="n">
        <v>3300</v>
      </c>
      <c r="C47" s="35" t="n">
        <v>1110</v>
      </c>
      <c r="D47" s="37" t="n">
        <v>0.82</v>
      </c>
      <c r="E47" s="37" t="n">
        <v>0.9</v>
      </c>
      <c r="F47" s="37" t="n">
        <v>0.95</v>
      </c>
      <c r="G47" s="37" t="n">
        <v>0.95</v>
      </c>
      <c r="H47" s="42" t="inlineStr">
        <is>
          <t>KALINA</t>
        </is>
      </c>
      <c r="I47" s="29" t="n">
        <v>9.45867589015411</v>
      </c>
      <c r="J47" s="35" t="n">
        <v>84.6432748519322</v>
      </c>
      <c r="K47" s="36" t="n">
        <v>2190</v>
      </c>
      <c r="L47" s="29" t="n">
        <v>2.972972972972973</v>
      </c>
      <c r="M47" s="16" t="inlineStr">
        <is>
          <t>no</t>
        </is>
      </c>
    </row>
    <row r="48">
      <c r="A48" s="16" t="inlineStr">
        <is>
          <t>KF-M10-F3-0037</t>
        </is>
      </c>
      <c r="B48" s="36" t="n">
        <v>3300</v>
      </c>
      <c r="C48" s="35" t="n">
        <v>1150</v>
      </c>
      <c r="D48" s="37" t="n">
        <v>0.82</v>
      </c>
      <c r="E48" s="37" t="n">
        <v>0.9</v>
      </c>
      <c r="F48" s="37" t="n">
        <v>0.95</v>
      </c>
      <c r="G48" s="37" t="n">
        <v>0.95</v>
      </c>
      <c r="H48" s="42" t="inlineStr">
        <is>
          <t>KALINA</t>
        </is>
      </c>
      <c r="I48" s="29" t="n">
        <v>9.1685502486307</v>
      </c>
      <c r="J48" s="35" t="n">
        <v>82.04246436950851</v>
      </c>
      <c r="K48" s="36" t="n">
        <v>2150</v>
      </c>
      <c r="L48" s="29" t="n">
        <v>2.869565217391304</v>
      </c>
      <c r="M48" s="16" t="inlineStr">
        <is>
          <t>no</t>
        </is>
      </c>
    </row>
    <row r="49">
      <c r="A49" s="16" t="inlineStr">
        <is>
          <t>KF-M10-F3-0038</t>
        </is>
      </c>
      <c r="B49" s="36" t="n">
        <v>3300</v>
      </c>
      <c r="C49" s="35" t="n">
        <v>1130</v>
      </c>
      <c r="D49" s="37" t="n">
        <v>0.82</v>
      </c>
      <c r="E49" s="37" t="n">
        <v>0.9</v>
      </c>
      <c r="F49" s="37" t="n">
        <v>0.95</v>
      </c>
      <c r="G49" s="37" t="n">
        <v>0.95</v>
      </c>
      <c r="H49" s="42" t="inlineStr">
        <is>
          <t>KALINA</t>
        </is>
      </c>
      <c r="I49" s="29" t="n">
        <v>9.31249846834455</v>
      </c>
      <c r="J49" s="35" t="n">
        <v>83.33283393789198</v>
      </c>
      <c r="K49" s="36" t="n">
        <v>2170</v>
      </c>
      <c r="L49" s="29" t="n">
        <v>2.920353982300885</v>
      </c>
      <c r="M49" s="16" t="inlineStr">
        <is>
          <t>no</t>
        </is>
      </c>
    </row>
    <row r="50">
      <c r="A50" s="16" t="inlineStr">
        <is>
          <t>KF-M10-F3-0039</t>
        </is>
      </c>
      <c r="B50" s="36" t="n">
        <v>3300</v>
      </c>
      <c r="C50" s="35" t="n">
        <v>1170</v>
      </c>
      <c r="D50" s="37" t="n">
        <v>0.82</v>
      </c>
      <c r="E50" s="37" t="n">
        <v>0.9</v>
      </c>
      <c r="F50" s="37" t="n">
        <v>0.95</v>
      </c>
      <c r="G50" s="37" t="n">
        <v>0.95</v>
      </c>
      <c r="H50" s="42" t="inlineStr">
        <is>
          <t>KALINA</t>
        </is>
      </c>
      <c r="I50" s="29" t="n">
        <v>9.02676108811322</v>
      </c>
      <c r="J50" s="35" t="n">
        <v>80.77153291363381</v>
      </c>
      <c r="K50" s="36" t="n">
        <v>2130</v>
      </c>
      <c r="L50" s="29" t="n">
        <v>2.820512820512821</v>
      </c>
      <c r="M50" s="16" t="inlineStr">
        <is>
          <t>no</t>
        </is>
      </c>
    </row>
    <row r="51">
      <c r="A51" s="16" t="inlineStr">
        <is>
          <t>KF-M10-F3-0040</t>
        </is>
      </c>
      <c r="B51" s="36" t="n">
        <v>3300</v>
      </c>
      <c r="C51" s="35" t="n">
        <v>1190</v>
      </c>
      <c r="D51" s="37" t="n">
        <v>0.82</v>
      </c>
      <c r="E51" s="37" t="n">
        <v>0.9</v>
      </c>
      <c r="F51" s="37" t="n">
        <v>0.95</v>
      </c>
      <c r="G51" s="37" t="n">
        <v>0.95</v>
      </c>
      <c r="H51" s="42" t="inlineStr">
        <is>
          <t>KALINA</t>
        </is>
      </c>
      <c r="I51" s="29" t="n">
        <v>8.88706425623951</v>
      </c>
      <c r="J51" s="35" t="n">
        <v>79.51943718215122</v>
      </c>
      <c r="K51" s="36" t="n">
        <v>2110</v>
      </c>
      <c r="L51" s="29" t="n">
        <v>2.773109243697479</v>
      </c>
      <c r="M51" s="16" t="inlineStr">
        <is>
          <t>no</t>
        </is>
      </c>
    </row>
    <row r="52">
      <c r="A52" s="16" t="inlineStr">
        <is>
          <t>KF-M10-F3-0041</t>
        </is>
      </c>
      <c r="B52" s="36" t="n">
        <v>3300</v>
      </c>
      <c r="C52" s="35" t="n">
        <v>680</v>
      </c>
      <c r="D52" s="37" t="n">
        <v>0.82</v>
      </c>
      <c r="E52" s="37" t="n">
        <v>0.9</v>
      </c>
      <c r="F52" s="37" t="n">
        <v>0.75</v>
      </c>
      <c r="G52" s="37" t="n">
        <v>0.95</v>
      </c>
      <c r="H52" s="42" t="inlineStr">
        <is>
          <t>KALINA</t>
        </is>
      </c>
      <c r="I52" s="29" t="n">
        <v>12.83941110397515</v>
      </c>
      <c r="J52" s="35" t="n">
        <v>118.5847000383363</v>
      </c>
      <c r="K52" s="36" t="n">
        <v>2620</v>
      </c>
      <c r="L52" s="29" t="n">
        <v>4.852941176470588</v>
      </c>
      <c r="M52" s="16" t="inlineStr">
        <is>
          <t>no</t>
        </is>
      </c>
    </row>
    <row r="53">
      <c r="A53" s="16" t="inlineStr">
        <is>
          <t>KF-M10-F3-0042</t>
        </is>
      </c>
      <c r="B53" s="36" t="n">
        <v>3300</v>
      </c>
      <c r="C53" s="35" t="n">
        <v>680</v>
      </c>
      <c r="D53" s="37" t="n">
        <v>0.82</v>
      </c>
      <c r="E53" s="37" t="n">
        <v>0.9</v>
      </c>
      <c r="F53" s="37" t="n">
        <v>0.79</v>
      </c>
      <c r="G53" s="37" t="n">
        <v>0.95</v>
      </c>
      <c r="H53" s="42" t="inlineStr">
        <is>
          <t>KALINA</t>
        </is>
      </c>
      <c r="I53" s="29" t="n">
        <v>12.93598942065094</v>
      </c>
      <c r="J53" s="35" t="n">
        <v>118.7519966150162</v>
      </c>
      <c r="K53" s="36" t="n">
        <v>2620</v>
      </c>
      <c r="L53" s="29" t="n">
        <v>4.852941176470588</v>
      </c>
      <c r="M53" s="16" t="inlineStr">
        <is>
          <t>no</t>
        </is>
      </c>
    </row>
    <row r="54">
      <c r="A54" s="16" t="inlineStr">
        <is>
          <t>KF-M10-F3-0043</t>
        </is>
      </c>
      <c r="B54" s="36" t="n">
        <v>3300</v>
      </c>
      <c r="C54" s="35" t="n">
        <v>680</v>
      </c>
      <c r="D54" s="37" t="n">
        <v>0.82</v>
      </c>
      <c r="E54" s="37" t="n">
        <v>0.9</v>
      </c>
      <c r="F54" s="37" t="n">
        <v>0.83</v>
      </c>
      <c r="G54" s="37" t="n">
        <v>0.95</v>
      </c>
      <c r="H54" s="42" t="inlineStr">
        <is>
          <t>KALINA</t>
        </is>
      </c>
      <c r="I54" s="29" t="n">
        <v>13.03374353173047</v>
      </c>
      <c r="J54" s="35" t="n">
        <v>118.9192888516774</v>
      </c>
      <c r="K54" s="36" t="n">
        <v>2620</v>
      </c>
      <c r="L54" s="29" t="n">
        <v>4.852941176470588</v>
      </c>
      <c r="M54" s="16" t="inlineStr">
        <is>
          <t>no</t>
        </is>
      </c>
    </row>
    <row r="55">
      <c r="A55" s="16" t="inlineStr">
        <is>
          <t>KF-M10-F3-0044</t>
        </is>
      </c>
      <c r="B55" s="36" t="n">
        <v>3300</v>
      </c>
      <c r="C55" s="35" t="n">
        <v>680</v>
      </c>
      <c r="D55" s="37" t="n">
        <v>0.82</v>
      </c>
      <c r="E55" s="37" t="n">
        <v>0.9</v>
      </c>
      <c r="F55" s="37" t="n">
        <v>0.87</v>
      </c>
      <c r="G55" s="37" t="n">
        <v>0.95</v>
      </c>
      <c r="H55" s="42" t="inlineStr">
        <is>
          <t>KALINA</t>
        </is>
      </c>
      <c r="I55" s="29" t="n">
        <v>13.13269441346318</v>
      </c>
      <c r="J55" s="35" t="n">
        <v>119.0865753735034</v>
      </c>
      <c r="K55" s="36" t="n">
        <v>2620</v>
      </c>
      <c r="L55" s="29" t="n">
        <v>4.852941176470588</v>
      </c>
      <c r="M55" s="16" t="inlineStr">
        <is>
          <t>no</t>
        </is>
      </c>
    </row>
    <row r="56">
      <c r="A56" s="16" t="inlineStr">
        <is>
          <t>KF-M10-F3-0045</t>
        </is>
      </c>
      <c r="B56" s="36" t="n">
        <v>3300</v>
      </c>
      <c r="C56" s="35" t="n">
        <v>720</v>
      </c>
      <c r="D56" s="37" t="n">
        <v>0.82</v>
      </c>
      <c r="E56" s="37" t="n">
        <v>0.9</v>
      </c>
      <c r="F56" s="37" t="n">
        <v>0.75</v>
      </c>
      <c r="G56" s="37" t="n">
        <v>0.95</v>
      </c>
      <c r="H56" s="42" t="inlineStr">
        <is>
          <t>KALINA</t>
        </is>
      </c>
      <c r="I56" s="29" t="n">
        <v>12.41709922722876</v>
      </c>
      <c r="J56" s="35" t="n">
        <v>114.6723790313092</v>
      </c>
      <c r="K56" s="36" t="n">
        <v>2580</v>
      </c>
      <c r="L56" s="29" t="n">
        <v>4.583333333333333</v>
      </c>
      <c r="M56" s="16" t="inlineStr">
        <is>
          <t>no</t>
        </is>
      </c>
    </row>
    <row r="57">
      <c r="A57" s="16" t="inlineStr">
        <is>
          <t>KF-M10-F3-0046</t>
        </is>
      </c>
      <c r="B57" s="36" t="n">
        <v>3300</v>
      </c>
      <c r="C57" s="35" t="n">
        <v>680</v>
      </c>
      <c r="D57" s="37" t="n">
        <v>0.82</v>
      </c>
      <c r="E57" s="37" t="n">
        <v>0.9</v>
      </c>
      <c r="F57" s="37" t="n">
        <v>0.91</v>
      </c>
      <c r="G57" s="37" t="n">
        <v>0.95</v>
      </c>
      <c r="H57" s="42" t="inlineStr">
        <is>
          <t>KALINA</t>
        </is>
      </c>
      <c r="I57" s="29" t="n">
        <v>13.23286328734572</v>
      </c>
      <c r="J57" s="35" t="n">
        <v>119.2538525035736</v>
      </c>
      <c r="K57" s="36" t="n">
        <v>2620</v>
      </c>
      <c r="L57" s="29" t="n">
        <v>4.852941176470588</v>
      </c>
      <c r="M57" s="16" t="inlineStr">
        <is>
          <t>no</t>
        </is>
      </c>
    </row>
    <row r="58">
      <c r="A58" s="16" t="inlineStr">
        <is>
          <t>KF-M10-F3-0047</t>
        </is>
      </c>
      <c r="B58" s="36" t="n">
        <v>3300</v>
      </c>
      <c r="C58" s="35" t="n">
        <v>680</v>
      </c>
      <c r="D58" s="37" t="n">
        <v>0.82</v>
      </c>
      <c r="E58" s="37" t="n">
        <v>0.9</v>
      </c>
      <c r="F58" s="37" t="n">
        <v>0.95</v>
      </c>
      <c r="G58" s="37" t="n">
        <v>0.95</v>
      </c>
      <c r="H58" s="42" t="inlineStr">
        <is>
          <t>KALINA</t>
        </is>
      </c>
      <c r="I58" s="29" t="n">
        <v>13.33427260902227</v>
      </c>
      <c r="J58" s="35" t="n">
        <v>119.4211230908827</v>
      </c>
      <c r="K58" s="36" t="n">
        <v>2620</v>
      </c>
      <c r="L58" s="29" t="n">
        <v>4.852941176470588</v>
      </c>
      <c r="M58" s="16" t="inlineStr">
        <is>
          <t>no</t>
        </is>
      </c>
    </row>
    <row r="59">
      <c r="A59" s="16" t="inlineStr">
        <is>
          <t>KF-M10-F3-0048</t>
        </is>
      </c>
      <c r="B59" s="36" t="n">
        <v>3300</v>
      </c>
      <c r="C59" s="35" t="n">
        <v>720</v>
      </c>
      <c r="D59" s="37" t="n">
        <v>0.82</v>
      </c>
      <c r="E59" s="37" t="n">
        <v>0.9</v>
      </c>
      <c r="F59" s="37" t="n">
        <v>0.79</v>
      </c>
      <c r="G59" s="37" t="n">
        <v>0.95</v>
      </c>
      <c r="H59" s="42" t="inlineStr">
        <is>
          <t>KALINA</t>
        </is>
      </c>
      <c r="I59" s="29" t="n">
        <v>12.51048390967578</v>
      </c>
      <c r="J59" s="35" t="n">
        <v>114.8341533477041</v>
      </c>
      <c r="K59" s="36" t="n">
        <v>2580</v>
      </c>
      <c r="L59" s="29" t="n">
        <v>4.583333333333333</v>
      </c>
      <c r="M59" s="16" t="inlineStr">
        <is>
          <t>no</t>
        </is>
      </c>
    </row>
    <row r="60">
      <c r="A60" s="16" t="inlineStr">
        <is>
          <t>KF-M10-F3-0049</t>
        </is>
      </c>
      <c r="B60" s="36" t="n">
        <v>3300</v>
      </c>
      <c r="C60" s="35" t="n">
        <v>720</v>
      </c>
      <c r="D60" s="37" t="n">
        <v>0.82</v>
      </c>
      <c r="E60" s="37" t="n">
        <v>0.9</v>
      </c>
      <c r="F60" s="37" t="n">
        <v>0.83</v>
      </c>
      <c r="G60" s="37" t="n">
        <v>0.95</v>
      </c>
      <c r="H60" s="42" t="inlineStr">
        <is>
          <t>KALINA</t>
        </is>
      </c>
      <c r="I60" s="29" t="n">
        <v>12.60500471830827</v>
      </c>
      <c r="J60" s="35" t="n">
        <v>114.9959186952134</v>
      </c>
      <c r="K60" s="36" t="n">
        <v>2580</v>
      </c>
      <c r="L60" s="29" t="n">
        <v>4.583333333333333</v>
      </c>
      <c r="M60" s="16" t="inlineStr">
        <is>
          <t>no</t>
        </is>
      </c>
    </row>
    <row r="61">
      <c r="A61" s="16" t="inlineStr">
        <is>
          <t>KF-M10-F3-0050</t>
        </is>
      </c>
      <c r="B61" s="36" t="n">
        <v>3300</v>
      </c>
      <c r="C61" s="35" t="n">
        <v>720</v>
      </c>
      <c r="D61" s="37" t="n">
        <v>0.82</v>
      </c>
      <c r="E61" s="37" t="n">
        <v>0.9</v>
      </c>
      <c r="F61" s="37" t="n">
        <v>0.87</v>
      </c>
      <c r="G61" s="37" t="n">
        <v>0.95</v>
      </c>
      <c r="H61" s="42" t="inlineStr">
        <is>
          <t>KALINA</t>
        </is>
      </c>
      <c r="I61" s="29" t="n">
        <v>12.70068222442066</v>
      </c>
      <c r="J61" s="35" t="n">
        <v>115.1576765457555</v>
      </c>
      <c r="K61" s="36" t="n">
        <v>2580</v>
      </c>
      <c r="L61" s="29" t="n">
        <v>4.583333333333333</v>
      </c>
      <c r="M61" s="16" t="inlineStr">
        <is>
          <t>no</t>
        </is>
      </c>
    </row>
    <row r="62">
      <c r="A62" s="16" t="inlineStr">
        <is>
          <t>KF-M10-F3-0051</t>
        </is>
      </c>
      <c r="B62" s="36" t="n">
        <v>3300</v>
      </c>
      <c r="C62" s="35" t="n">
        <v>760</v>
      </c>
      <c r="D62" s="37" t="n">
        <v>0.82</v>
      </c>
      <c r="E62" s="37" t="n">
        <v>0.9</v>
      </c>
      <c r="F62" s="37" t="n">
        <v>0.75</v>
      </c>
      <c r="G62" s="37" t="n">
        <v>0.95</v>
      </c>
      <c r="H62" s="42" t="inlineStr">
        <is>
          <t>KALINA</t>
        </is>
      </c>
      <c r="I62" s="29" t="n">
        <v>12.01454900587767</v>
      </c>
      <c r="J62" s="35" t="n">
        <v>110.9440219728876</v>
      </c>
      <c r="K62" s="36" t="n">
        <v>2540</v>
      </c>
      <c r="L62" s="29" t="n">
        <v>4.342105263157895</v>
      </c>
      <c r="M62" s="16" t="inlineStr">
        <is>
          <t>no</t>
        </is>
      </c>
    </row>
    <row r="63">
      <c r="A63" s="16" t="inlineStr">
        <is>
          <t>KF-M10-F3-0052</t>
        </is>
      </c>
      <c r="B63" s="36" t="n">
        <v>3300</v>
      </c>
      <c r="C63" s="35" t="n">
        <v>720</v>
      </c>
      <c r="D63" s="37" t="n">
        <v>0.82</v>
      </c>
      <c r="E63" s="37" t="n">
        <v>0.9</v>
      </c>
      <c r="F63" s="37" t="n">
        <v>0.95</v>
      </c>
      <c r="G63" s="37" t="n">
        <v>0.95</v>
      </c>
      <c r="H63" s="42" t="inlineStr">
        <is>
          <t>KALINA</t>
        </is>
      </c>
      <c r="I63" s="29" t="n">
        <v>12.89558976779891</v>
      </c>
      <c r="J63" s="35" t="n">
        <v>115.4811548580232</v>
      </c>
      <c r="K63" s="36" t="n">
        <v>2580</v>
      </c>
      <c r="L63" s="29" t="n">
        <v>4.583333333333333</v>
      </c>
      <c r="M63" s="16" t="inlineStr">
        <is>
          <t>no</t>
        </is>
      </c>
    </row>
    <row r="64">
      <c r="A64" s="16" t="inlineStr">
        <is>
          <t>KF-M10-F3-0053</t>
        </is>
      </c>
      <c r="B64" s="36" t="n">
        <v>3300</v>
      </c>
      <c r="C64" s="35" t="n">
        <v>720</v>
      </c>
      <c r="D64" s="37" t="n">
        <v>0.82</v>
      </c>
      <c r="E64" s="37" t="n">
        <v>0.9</v>
      </c>
      <c r="F64" s="37" t="n">
        <v>0.91</v>
      </c>
      <c r="G64" s="37" t="n">
        <v>0.95</v>
      </c>
      <c r="H64" s="42" t="inlineStr">
        <is>
          <t>KALINA</t>
        </is>
      </c>
      <c r="I64" s="29" t="n">
        <v>12.79753675411507</v>
      </c>
      <c r="J64" s="35" t="n">
        <v>115.3194217191052</v>
      </c>
      <c r="K64" s="36" t="n">
        <v>2580</v>
      </c>
      <c r="L64" s="29" t="n">
        <v>4.583333333333333</v>
      </c>
      <c r="M64" s="16" t="inlineStr">
        <is>
          <t>no</t>
        </is>
      </c>
    </row>
    <row r="65">
      <c r="A65" s="16" t="inlineStr">
        <is>
          <t>KF-M10-F3-0054</t>
        </is>
      </c>
      <c r="B65" s="36" t="n">
        <v>3300</v>
      </c>
      <c r="C65" s="35" t="n">
        <v>760</v>
      </c>
      <c r="D65" s="37" t="n">
        <v>0.82</v>
      </c>
      <c r="E65" s="37" t="n">
        <v>0.9</v>
      </c>
      <c r="F65" s="37" t="n">
        <v>0.79</v>
      </c>
      <c r="G65" s="37" t="n">
        <v>0.95</v>
      </c>
      <c r="H65" s="42" t="inlineStr">
        <is>
          <t>KALINA</t>
        </is>
      </c>
      <c r="I65" s="29" t="n">
        <v>12.10488804272571</v>
      </c>
      <c r="J65" s="35" t="n">
        <v>111.1005084852433</v>
      </c>
      <c r="K65" s="36" t="n">
        <v>2540</v>
      </c>
      <c r="L65" s="29" t="n">
        <v>4.342105263157895</v>
      </c>
      <c r="M65" s="16" t="inlineStr">
        <is>
          <t>no</t>
        </is>
      </c>
    </row>
    <row r="66">
      <c r="A66" s="16" t="inlineStr">
        <is>
          <t>KF-M10-F3-0055</t>
        </is>
      </c>
      <c r="B66" s="36" t="n">
        <v>3300</v>
      </c>
      <c r="C66" s="35" t="n">
        <v>760</v>
      </c>
      <c r="D66" s="37" t="n">
        <v>0.82</v>
      </c>
      <c r="E66" s="37" t="n">
        <v>0.9</v>
      </c>
      <c r="F66" s="37" t="n">
        <v>0.83</v>
      </c>
      <c r="G66" s="37" t="n">
        <v>0.95</v>
      </c>
      <c r="H66" s="42" t="inlineStr">
        <is>
          <t>KALINA</t>
        </is>
      </c>
      <c r="I66" s="29" t="n">
        <v>12.19632565300142</v>
      </c>
      <c r="J66" s="35" t="n">
        <v>111.2569839830188</v>
      </c>
      <c r="K66" s="36" t="n">
        <v>2540</v>
      </c>
      <c r="L66" s="29" t="n">
        <v>4.342105263157895</v>
      </c>
      <c r="M66" s="16" t="inlineStr">
        <is>
          <t>no</t>
        </is>
      </c>
    </row>
    <row r="67">
      <c r="A67" s="16" t="inlineStr">
        <is>
          <t>KF-M10-F3-0056</t>
        </is>
      </c>
      <c r="B67" s="36" t="n">
        <v>3300</v>
      </c>
      <c r="C67" s="35" t="n">
        <v>760</v>
      </c>
      <c r="D67" s="37" t="n">
        <v>0.82</v>
      </c>
      <c r="E67" s="37" t="n">
        <v>0.9</v>
      </c>
      <c r="F67" s="37" t="n">
        <v>0.87</v>
      </c>
      <c r="G67" s="37" t="n">
        <v>0.95</v>
      </c>
      <c r="H67" s="42" t="inlineStr">
        <is>
          <t>KALINA</t>
        </is>
      </c>
      <c r="I67" s="29" t="n">
        <v>12.2888812124975</v>
      </c>
      <c r="J67" s="35" t="n">
        <v>111.413445239158</v>
      </c>
      <c r="K67" s="36" t="n">
        <v>2540</v>
      </c>
      <c r="L67" s="29" t="n">
        <v>4.342105263157895</v>
      </c>
      <c r="M67" s="16" t="inlineStr">
        <is>
          <t>no</t>
        </is>
      </c>
    </row>
    <row r="68">
      <c r="A68" s="16" t="inlineStr">
        <is>
          <t>KF-M10-F3-0057</t>
        </is>
      </c>
      <c r="B68" s="36" t="n">
        <v>3300</v>
      </c>
      <c r="C68" s="35" t="n">
        <v>760</v>
      </c>
      <c r="D68" s="37" t="n">
        <v>0.82</v>
      </c>
      <c r="E68" s="37" t="n">
        <v>0.9</v>
      </c>
      <c r="F68" s="37" t="n">
        <v>0.91</v>
      </c>
      <c r="G68" s="37" t="n">
        <v>0.95</v>
      </c>
      <c r="H68" s="42" t="inlineStr">
        <is>
          <t>KALINA</t>
        </is>
      </c>
      <c r="I68" s="29" t="n">
        <v>12.38257496058692</v>
      </c>
      <c r="J68" s="35" t="n">
        <v>111.5698926622025</v>
      </c>
      <c r="K68" s="36" t="n">
        <v>2540</v>
      </c>
      <c r="L68" s="29" t="n">
        <v>4.342105263157895</v>
      </c>
      <c r="M68" s="16" t="inlineStr">
        <is>
          <t>no</t>
        </is>
      </c>
    </row>
    <row r="69">
      <c r="A69" s="16" t="inlineStr">
        <is>
          <t>KF-M10-F3-0058</t>
        </is>
      </c>
      <c r="B69" s="36" t="n">
        <v>3300</v>
      </c>
      <c r="C69" s="35" t="n">
        <v>800</v>
      </c>
      <c r="D69" s="37" t="n">
        <v>0.82</v>
      </c>
      <c r="E69" s="37" t="n">
        <v>0.9</v>
      </c>
      <c r="F69" s="37" t="n">
        <v>0.75</v>
      </c>
      <c r="G69" s="37" t="n">
        <v>0.95</v>
      </c>
      <c r="H69" s="42" t="inlineStr">
        <is>
          <t>KALINA</t>
        </is>
      </c>
      <c r="I69" s="29" t="n">
        <v>11.62985863251361</v>
      </c>
      <c r="J69" s="35" t="n">
        <v>107.3818843882582</v>
      </c>
      <c r="K69" s="36" t="n">
        <v>2500</v>
      </c>
      <c r="L69" s="29" t="n">
        <v>4.125</v>
      </c>
      <c r="M69" s="16" t="inlineStr">
        <is>
          <t>no</t>
        </is>
      </c>
    </row>
    <row r="70">
      <c r="A70" s="16" t="inlineStr">
        <is>
          <t>KF-M10-F3-0059</t>
        </is>
      </c>
      <c r="B70" s="36" t="n">
        <v>3300</v>
      </c>
      <c r="C70" s="35" t="n">
        <v>760</v>
      </c>
      <c r="D70" s="37" t="n">
        <v>0.82</v>
      </c>
      <c r="E70" s="37" t="n">
        <v>0.9</v>
      </c>
      <c r="F70" s="37" t="n">
        <v>0.95</v>
      </c>
      <c r="G70" s="37" t="n">
        <v>0.95</v>
      </c>
      <c r="H70" s="42" t="inlineStr">
        <is>
          <t>KALINA</t>
        </is>
      </c>
      <c r="I70" s="29" t="n">
        <v>12.47742742567143</v>
      </c>
      <c r="J70" s="35" t="n">
        <v>111.7263249049553</v>
      </c>
      <c r="K70" s="36" t="n">
        <v>2540</v>
      </c>
      <c r="L70" s="29" t="n">
        <v>4.342105263157895</v>
      </c>
      <c r="M70" s="16" t="inlineStr">
        <is>
          <t>no</t>
        </is>
      </c>
    </row>
    <row r="71">
      <c r="A71" s="16" t="inlineStr">
        <is>
          <t>KF-M10-F3-0060</t>
        </is>
      </c>
      <c r="B71" s="36" t="n">
        <v>3300</v>
      </c>
      <c r="C71" s="35" t="n">
        <v>800</v>
      </c>
      <c r="D71" s="37" t="n">
        <v>0.82</v>
      </c>
      <c r="E71" s="37" t="n">
        <v>0.9</v>
      </c>
      <c r="F71" s="37" t="n">
        <v>0.79</v>
      </c>
      <c r="G71" s="37" t="n">
        <v>0.95</v>
      </c>
      <c r="H71" s="42" t="inlineStr">
        <is>
          <t>KALINA</t>
        </is>
      </c>
      <c r="I71" s="29" t="n">
        <v>11.71728609632495</v>
      </c>
      <c r="J71" s="35" t="n">
        <v>107.5332984953278</v>
      </c>
      <c r="K71" s="36" t="n">
        <v>2500</v>
      </c>
      <c r="L71" s="29" t="n">
        <v>4.125</v>
      </c>
      <c r="M71" s="16" t="inlineStr">
        <is>
          <t>no</t>
        </is>
      </c>
    </row>
    <row r="72">
      <c r="A72" s="16" t="inlineStr">
        <is>
          <t>KF-M10-F3-0061</t>
        </is>
      </c>
      <c r="B72" s="36" t="n">
        <v>3300</v>
      </c>
      <c r="C72" s="35" t="n">
        <v>800</v>
      </c>
      <c r="D72" s="37" t="n">
        <v>0.82</v>
      </c>
      <c r="E72" s="37" t="n">
        <v>0.9</v>
      </c>
      <c r="F72" s="37" t="n">
        <v>0.83</v>
      </c>
      <c r="G72" s="37" t="n">
        <v>0.95</v>
      </c>
      <c r="H72" s="42" t="inlineStr">
        <is>
          <t>KALINA</t>
        </is>
      </c>
      <c r="I72" s="29" t="n">
        <v>11.80577606340932</v>
      </c>
      <c r="J72" s="35" t="n">
        <v>107.6846979162316</v>
      </c>
      <c r="K72" s="36" t="n">
        <v>2500</v>
      </c>
      <c r="L72" s="29" t="n">
        <v>4.125</v>
      </c>
      <c r="M72" s="16" t="inlineStr">
        <is>
          <t>no</t>
        </is>
      </c>
    </row>
    <row r="73">
      <c r="A73" s="16" t="inlineStr">
        <is>
          <t>KF-M10-F3-0062</t>
        </is>
      </c>
      <c r="B73" s="36" t="n">
        <v>3300</v>
      </c>
      <c r="C73" s="35" t="n">
        <v>800</v>
      </c>
      <c r="D73" s="37" t="n">
        <v>0.82</v>
      </c>
      <c r="E73" s="37" t="n">
        <v>0.9</v>
      </c>
      <c r="F73" s="37" t="n">
        <v>0.87</v>
      </c>
      <c r="G73" s="37" t="n">
        <v>0.95</v>
      </c>
      <c r="H73" s="42" t="inlineStr">
        <is>
          <t>KALINA</t>
        </is>
      </c>
      <c r="I73" s="29" t="n">
        <v>11.89534748505432</v>
      </c>
      <c r="J73" s="35" t="n">
        <v>107.8360814931695</v>
      </c>
      <c r="K73" s="36" t="n">
        <v>2500</v>
      </c>
      <c r="L73" s="29" t="n">
        <v>4.125</v>
      </c>
      <c r="M73" s="16" t="inlineStr">
        <is>
          <t>no</t>
        </is>
      </c>
    </row>
    <row r="74">
      <c r="A74" s="16" t="inlineStr">
        <is>
          <t>KF-M10-F3-0063</t>
        </is>
      </c>
      <c r="B74" s="36" t="n">
        <v>3300</v>
      </c>
      <c r="C74" s="35" t="n">
        <v>800</v>
      </c>
      <c r="D74" s="37" t="n">
        <v>0.82</v>
      </c>
      <c r="E74" s="37" t="n">
        <v>0.9</v>
      </c>
      <c r="F74" s="37" t="n">
        <v>0.91</v>
      </c>
      <c r="G74" s="37" t="n">
        <v>0.95</v>
      </c>
      <c r="H74" s="42" t="inlineStr">
        <is>
          <t>KALINA</t>
        </is>
      </c>
      <c r="I74" s="29" t="n">
        <v>11.98601976291133</v>
      </c>
      <c r="J74" s="35" t="n">
        <v>107.9874480606582</v>
      </c>
      <c r="K74" s="36" t="n">
        <v>2500</v>
      </c>
      <c r="L74" s="29" t="n">
        <v>4.125</v>
      </c>
      <c r="M74" s="16" t="inlineStr">
        <is>
          <t>no</t>
        </is>
      </c>
    </row>
    <row r="75">
      <c r="A75" s="16" t="inlineStr">
        <is>
          <t>KF-M10-F3-0064</t>
        </is>
      </c>
      <c r="B75" s="36" t="n">
        <v>3300</v>
      </c>
      <c r="C75" s="35" t="n">
        <v>766.6666666667001</v>
      </c>
      <c r="D75" s="37" t="n">
        <v>0.82</v>
      </c>
      <c r="E75" s="37" t="n">
        <v>0.9</v>
      </c>
      <c r="F75" s="37" t="n">
        <v>0.75</v>
      </c>
      <c r="G75" s="37" t="n">
        <v>0.95</v>
      </c>
      <c r="H75" s="42" t="inlineStr">
        <is>
          <t>KALINA</t>
        </is>
      </c>
      <c r="I75" s="29" t="n">
        <v>11.94924077297977</v>
      </c>
      <c r="J75" s="35" t="n">
        <v>110.3392287345492</v>
      </c>
      <c r="K75" s="36" t="n">
        <v>2533.3333333333</v>
      </c>
      <c r="L75" s="29" t="n">
        <v>4.304347826086769</v>
      </c>
      <c r="M75" s="16" t="inlineStr">
        <is>
          <t>no</t>
        </is>
      </c>
    </row>
    <row r="76">
      <c r="A76" s="16" t="inlineStr">
        <is>
          <t>KF-M10-F3-0065</t>
        </is>
      </c>
      <c r="B76" s="36" t="n">
        <v>3300</v>
      </c>
      <c r="C76" s="35" t="n">
        <v>733.3333333332999</v>
      </c>
      <c r="D76" s="37" t="n">
        <v>0.82</v>
      </c>
      <c r="E76" s="37" t="n">
        <v>0.9</v>
      </c>
      <c r="F76" s="37" t="n">
        <v>0.75</v>
      </c>
      <c r="G76" s="37" t="n">
        <v>0.95</v>
      </c>
      <c r="H76" s="42" t="inlineStr">
        <is>
          <t>KALINA</t>
        </is>
      </c>
      <c r="I76" s="29" t="n">
        <v>12.2808202207297</v>
      </c>
      <c r="J76" s="35" t="n">
        <v>113.4100873165474</v>
      </c>
      <c r="K76" s="36" t="n">
        <v>2566.6666666667</v>
      </c>
      <c r="L76" s="29" t="n">
        <v>4.500000000000205</v>
      </c>
      <c r="M76" s="16" t="inlineStr">
        <is>
          <t>no</t>
        </is>
      </c>
    </row>
    <row r="77">
      <c r="A77" s="16" t="inlineStr">
        <is>
          <t>KF-M10-F3-0066</t>
        </is>
      </c>
      <c r="B77" s="36" t="n">
        <v>3300</v>
      </c>
      <c r="C77" s="35" t="n">
        <v>800</v>
      </c>
      <c r="D77" s="37" t="n">
        <v>0.82</v>
      </c>
      <c r="E77" s="37" t="n">
        <v>0.9</v>
      </c>
      <c r="F77" s="37" t="n">
        <v>0.75</v>
      </c>
      <c r="G77" s="37" t="n">
        <v>0.95</v>
      </c>
      <c r="H77" s="42" t="inlineStr">
        <is>
          <t>KALINA</t>
        </is>
      </c>
      <c r="I77" s="29" t="n">
        <v>11.62985863251361</v>
      </c>
      <c r="J77" s="35" t="n">
        <v>107.3818843882582</v>
      </c>
      <c r="K77" s="36" t="n">
        <v>2500</v>
      </c>
      <c r="L77" s="29" t="n">
        <v>4.125</v>
      </c>
      <c r="M77" s="16" t="inlineStr">
        <is>
          <t>no</t>
        </is>
      </c>
    </row>
    <row r="78">
      <c r="A78" s="16" t="inlineStr">
        <is>
          <t>KF-M10-F3-0067</t>
        </is>
      </c>
      <c r="B78" s="36" t="n">
        <v>3300</v>
      </c>
      <c r="C78" s="35" t="n">
        <v>800</v>
      </c>
      <c r="D78" s="37" t="n">
        <v>0.82</v>
      </c>
      <c r="E78" s="37" t="n">
        <v>0.9</v>
      </c>
      <c r="F78" s="37" t="n">
        <v>0.95</v>
      </c>
      <c r="G78" s="37" t="n">
        <v>0.95</v>
      </c>
      <c r="H78" s="42" t="inlineStr">
        <is>
          <t>KALINA</t>
        </is>
      </c>
      <c r="I78" s="29" t="n">
        <v>12.07781276223397</v>
      </c>
      <c r="J78" s="35" t="n">
        <v>108.138796444515</v>
      </c>
      <c r="K78" s="36" t="n">
        <v>2500</v>
      </c>
      <c r="L78" s="29" t="n">
        <v>4.125</v>
      </c>
      <c r="M78" s="16" t="inlineStr">
        <is>
          <t>no</t>
        </is>
      </c>
    </row>
    <row r="79">
      <c r="A79" s="16" t="inlineStr">
        <is>
          <t>KF-M10-F3-0068</t>
        </is>
      </c>
      <c r="B79" s="36" t="n">
        <v>3300</v>
      </c>
      <c r="C79" s="35" t="n">
        <v>700</v>
      </c>
      <c r="D79" s="37" t="n">
        <v>0.82</v>
      </c>
      <c r="E79" s="37" t="n">
        <v>0.9</v>
      </c>
      <c r="F79" s="37" t="n">
        <v>0.75</v>
      </c>
      <c r="G79" s="37" t="n">
        <v>0.95</v>
      </c>
      <c r="H79" s="42" t="inlineStr">
        <is>
          <t>KALINA</t>
        </is>
      </c>
      <c r="I79" s="29" t="n">
        <v>12.58131444606638</v>
      </c>
      <c r="J79" s="35" t="n">
        <v>116.160036609947</v>
      </c>
      <c r="K79" s="36" t="n">
        <v>2600</v>
      </c>
      <c r="L79" s="29" t="n">
        <v>4.714285714285714</v>
      </c>
      <c r="M79" s="16" t="inlineStr">
        <is>
          <t>no</t>
        </is>
      </c>
    </row>
    <row r="80">
      <c r="A80" s="16" t="inlineStr">
        <is>
          <t>KF-M10-F3-0069</t>
        </is>
      </c>
      <c r="B80" s="36" t="n">
        <v>3300</v>
      </c>
      <c r="C80" s="35" t="n">
        <v>690</v>
      </c>
      <c r="D80" s="37" t="n">
        <v>0.82</v>
      </c>
      <c r="E80" s="37" t="n">
        <v>0.9</v>
      </c>
      <c r="F80" s="37" t="n">
        <v>0.75</v>
      </c>
      <c r="G80" s="37" t="n">
        <v>0.96</v>
      </c>
      <c r="H80" s="42" t="inlineStr">
        <is>
          <t>KALINA</t>
        </is>
      </c>
      <c r="I80" s="29" t="n">
        <v>12.64617386389829</v>
      </c>
      <c r="J80" s="35" t="n">
        <v>117.4507210281464</v>
      </c>
      <c r="K80" s="36" t="n">
        <v>2610</v>
      </c>
      <c r="L80" s="29" t="n">
        <v>4.782608695652174</v>
      </c>
      <c r="M80" s="16" t="inlineStr">
        <is>
          <t>no</t>
        </is>
      </c>
    </row>
    <row r="81">
      <c r="A81" s="16" t="inlineStr">
        <is>
          <t>KF-M10-F3-0070</t>
        </is>
      </c>
      <c r="B81" s="36" t="n">
        <v>3300</v>
      </c>
      <c r="C81" s="35" t="n">
        <v>690</v>
      </c>
      <c r="D81" s="37" t="n">
        <v>0.82</v>
      </c>
      <c r="E81" s="37" t="n">
        <v>0.9</v>
      </c>
      <c r="F81" s="37" t="n">
        <v>0.75</v>
      </c>
      <c r="G81" s="37" t="n">
        <v>0.975</v>
      </c>
      <c r="H81" s="42" t="inlineStr">
        <is>
          <t>KALINA</t>
        </is>
      </c>
      <c r="I81" s="29" t="n">
        <v>12.52081134877784</v>
      </c>
      <c r="J81" s="35" t="n">
        <v>117.2464753307021</v>
      </c>
      <c r="K81" s="36" t="n">
        <v>2610</v>
      </c>
      <c r="L81" s="29" t="n">
        <v>4.782608695652174</v>
      </c>
      <c r="M81" s="16" t="inlineStr">
        <is>
          <t>no</t>
        </is>
      </c>
    </row>
    <row r="82">
      <c r="A82" s="16" t="inlineStr">
        <is>
          <t>KF-M10-F3-0071</t>
        </is>
      </c>
      <c r="B82" s="36" t="n">
        <v>3300</v>
      </c>
      <c r="C82" s="35" t="n">
        <v>690</v>
      </c>
      <c r="D82" s="37" t="n">
        <v>0.82</v>
      </c>
      <c r="E82" s="37" t="n">
        <v>0.9</v>
      </c>
      <c r="F82" s="37" t="n">
        <v>0.75</v>
      </c>
      <c r="G82" s="37" t="n">
        <v>0.99</v>
      </c>
      <c r="H82" s="42" t="inlineStr">
        <is>
          <t>KALINA</t>
        </is>
      </c>
      <c r="I82" s="29" t="n">
        <v>12.39911326368481</v>
      </c>
      <c r="J82" s="35" t="n">
        <v>117.0447384389814</v>
      </c>
      <c r="K82" s="36" t="n">
        <v>2610</v>
      </c>
      <c r="L82" s="29" t="n">
        <v>4.782608695652174</v>
      </c>
      <c r="M82" s="16" t="inlineStr">
        <is>
          <t>no</t>
        </is>
      </c>
    </row>
    <row r="83">
      <c r="A83" s="16" t="inlineStr">
        <is>
          <t>KF-M10-F3-0072</t>
        </is>
      </c>
      <c r="B83" s="36" t="n">
        <v>3300</v>
      </c>
      <c r="C83" s="35" t="n">
        <v>690</v>
      </c>
      <c r="D83" s="37" t="n">
        <v>0.82</v>
      </c>
      <c r="E83" s="37" t="n">
        <v>0.9</v>
      </c>
      <c r="F83" s="37" t="n">
        <v>0.75</v>
      </c>
      <c r="G83" s="37" t="n">
        <v>0.95</v>
      </c>
      <c r="H83" s="42" t="inlineStr">
        <is>
          <t>KALINA</t>
        </is>
      </c>
      <c r="I83" s="29" t="n">
        <v>12.73186450108127</v>
      </c>
      <c r="J83" s="35" t="n">
        <v>117.5882909120357</v>
      </c>
      <c r="K83" s="36" t="n">
        <v>2610</v>
      </c>
      <c r="L83" s="29" t="n">
        <v>4.782608695652174</v>
      </c>
      <c r="M83" s="16" t="inlineStr">
        <is>
          <t>no</t>
        </is>
      </c>
    </row>
    <row r="84">
      <c r="A84" s="16" t="inlineStr">
        <is>
          <t>KF-M10-F3-0073</t>
        </is>
      </c>
      <c r="B84" s="36" t="n">
        <v>3300</v>
      </c>
      <c r="C84" s="35" t="n">
        <v>690</v>
      </c>
      <c r="D84" s="37" t="n">
        <v>0.82</v>
      </c>
      <c r="E84" s="37" t="n">
        <v>0.9</v>
      </c>
      <c r="F84" s="37" t="n">
        <v>0.7833333333</v>
      </c>
      <c r="G84" s="37" t="n">
        <v>0.95</v>
      </c>
      <c r="H84" s="42" t="inlineStr">
        <is>
          <t>KALINA</t>
        </is>
      </c>
      <c r="I84" s="29" t="n">
        <v>12.81158845568488</v>
      </c>
      <c r="J84" s="35" t="n">
        <v>117.7265355924224</v>
      </c>
      <c r="K84" s="36" t="n">
        <v>2610</v>
      </c>
      <c r="L84" s="29" t="n">
        <v>4.782608695652174</v>
      </c>
      <c r="M84" s="16" t="inlineStr">
        <is>
          <t>no</t>
        </is>
      </c>
    </row>
    <row r="85">
      <c r="A85" s="16" t="inlineStr">
        <is>
          <t>KF-M10-F3-0074</t>
        </is>
      </c>
      <c r="B85" s="36" t="n">
        <v>3300</v>
      </c>
      <c r="C85" s="35" t="n">
        <v>690</v>
      </c>
      <c r="D85" s="37" t="n">
        <v>0.82</v>
      </c>
      <c r="E85" s="37" t="n">
        <v>0.9</v>
      </c>
      <c r="F85" s="37" t="n">
        <v>0.8166666667</v>
      </c>
      <c r="G85" s="37" t="n">
        <v>0.95</v>
      </c>
      <c r="H85" s="42" t="inlineStr">
        <is>
          <t>KALINA</t>
        </is>
      </c>
      <c r="I85" s="29" t="n">
        <v>12.89211947456586</v>
      </c>
      <c r="J85" s="35" t="n">
        <v>117.8647763676699</v>
      </c>
      <c r="K85" s="36" t="n">
        <v>2610</v>
      </c>
      <c r="L85" s="29" t="n">
        <v>4.782608695652174</v>
      </c>
      <c r="M85" s="16" t="inlineStr">
        <is>
          <t>no</t>
        </is>
      </c>
    </row>
    <row r="86">
      <c r="A86" s="16" t="inlineStr">
        <is>
          <t>KF-M10-F3-0075</t>
        </is>
      </c>
      <c r="B86" s="36" t="n">
        <v>3300</v>
      </c>
      <c r="C86" s="35" t="n">
        <v>690</v>
      </c>
      <c r="D86" s="37" t="n">
        <v>0.82</v>
      </c>
      <c r="E86" s="37" t="n">
        <v>0.9</v>
      </c>
      <c r="F86" s="37" t="n">
        <v>0.85</v>
      </c>
      <c r="G86" s="37" t="n">
        <v>0.95</v>
      </c>
      <c r="H86" s="42" t="inlineStr">
        <is>
          <t>KALINA</t>
        </is>
      </c>
      <c r="I86" s="29" t="n">
        <v>12.97346954411339</v>
      </c>
      <c r="J86" s="35" t="n">
        <v>118.0030125554704</v>
      </c>
      <c r="K86" s="36" t="n">
        <v>2610</v>
      </c>
      <c r="L86" s="29" t="n">
        <v>4.782608695652174</v>
      </c>
      <c r="M86" s="16" t="inlineStr">
        <is>
          <t>no</t>
        </is>
      </c>
    </row>
    <row r="87">
      <c r="A87" s="16" t="inlineStr">
        <is>
          <t>KF-M10-F3-0076</t>
        </is>
      </c>
      <c r="B87" s="36" t="n">
        <v>3300</v>
      </c>
      <c r="C87" s="35" t="n">
        <v>690</v>
      </c>
      <c r="D87" s="37" t="n">
        <v>0.82</v>
      </c>
      <c r="E87" s="37" t="n">
        <v>0.9</v>
      </c>
      <c r="F87" s="37" t="n">
        <v>0.8833333333</v>
      </c>
      <c r="G87" s="37" t="n">
        <v>0.95</v>
      </c>
      <c r="H87" s="42" t="inlineStr">
        <is>
          <t>KALINA</t>
        </is>
      </c>
      <c r="I87" s="29" t="n">
        <v>13.05565089610514</v>
      </c>
      <c r="J87" s="35" t="n">
        <v>118.1412434796638</v>
      </c>
      <c r="K87" s="36" t="n">
        <v>2610</v>
      </c>
      <c r="L87" s="29" t="n">
        <v>4.782608695652174</v>
      </c>
      <c r="M87" s="16" t="inlineStr">
        <is>
          <t>no</t>
        </is>
      </c>
    </row>
    <row r="88">
      <c r="A88" s="16" t="inlineStr">
        <is>
          <t>KF-M10-F3-0077</t>
        </is>
      </c>
      <c r="B88" s="36" t="n">
        <v>3300</v>
      </c>
      <c r="C88" s="35" t="n">
        <v>690</v>
      </c>
      <c r="D88" s="37" t="n">
        <v>0.82</v>
      </c>
      <c r="E88" s="37" t="n">
        <v>0.9</v>
      </c>
      <c r="F88" s="37" t="n">
        <v>0.9166666667</v>
      </c>
      <c r="G88" s="37" t="n">
        <v>0.95</v>
      </c>
      <c r="H88" s="42" t="inlineStr">
        <is>
          <t>KALINA</t>
        </is>
      </c>
      <c r="I88" s="29" t="n">
        <v>13.13867598055648</v>
      </c>
      <c r="J88" s="35" t="n">
        <v>118.2794684155773</v>
      </c>
      <c r="K88" s="36" t="n">
        <v>2610</v>
      </c>
      <c r="L88" s="29" t="n">
        <v>4.782608695652174</v>
      </c>
      <c r="M88" s="16" t="inlineStr">
        <is>
          <t>no</t>
        </is>
      </c>
    </row>
    <row r="89">
      <c r="A89" s="16" t="inlineStr">
        <is>
          <t>KF-M10-F3-0078</t>
        </is>
      </c>
      <c r="B89" s="36" t="n">
        <v>3300</v>
      </c>
      <c r="C89" s="35" t="n">
        <v>690</v>
      </c>
      <c r="D89" s="37" t="n">
        <v>0.82</v>
      </c>
      <c r="E89" s="37" t="n">
        <v>0.85</v>
      </c>
      <c r="F89" s="37" t="n">
        <v>0.75</v>
      </c>
      <c r="G89" s="37" t="n">
        <v>0.95</v>
      </c>
      <c r="H89" s="42" t="inlineStr">
        <is>
          <t>KALINA</t>
        </is>
      </c>
      <c r="I89" s="29" t="n">
        <v>11.99975518366201</v>
      </c>
      <c r="J89" s="35" t="n">
        <v>110.8017650318812</v>
      </c>
      <c r="K89" s="36" t="n">
        <v>2610</v>
      </c>
      <c r="L89" s="29" t="n">
        <v>4.782608695652174</v>
      </c>
      <c r="M89" s="16" t="inlineStr">
        <is>
          <t>no</t>
        </is>
      </c>
    </row>
    <row r="90">
      <c r="A90" s="16" t="inlineStr">
        <is>
          <t>KF-M10-F3-0079</t>
        </is>
      </c>
      <c r="B90" s="36" t="n">
        <v>3300</v>
      </c>
      <c r="C90" s="35" t="n">
        <v>690</v>
      </c>
      <c r="D90" s="37" t="n">
        <v>0.82</v>
      </c>
      <c r="E90" s="37" t="n">
        <v>0.8666666667</v>
      </c>
      <c r="F90" s="37" t="n">
        <v>0.75</v>
      </c>
      <c r="G90" s="37" t="n">
        <v>0.95</v>
      </c>
      <c r="H90" s="42" t="inlineStr">
        <is>
          <t>KALINA</t>
        </is>
      </c>
      <c r="I90" s="29" t="n">
        <v>12.24383640365483</v>
      </c>
      <c r="J90" s="35" t="n">
        <v>113.0640160296183</v>
      </c>
      <c r="K90" s="36" t="n">
        <v>2610</v>
      </c>
      <c r="L90" s="29" t="n">
        <v>4.782608695652174</v>
      </c>
      <c r="M90" s="16" t="inlineStr">
        <is>
          <t>no</t>
        </is>
      </c>
    </row>
    <row r="91">
      <c r="A91" s="16" t="inlineStr">
        <is>
          <t>KF-M10-F3-0080</t>
        </is>
      </c>
      <c r="B91" s="36" t="n">
        <v>3300</v>
      </c>
      <c r="C91" s="35" t="n">
        <v>690</v>
      </c>
      <c r="D91" s="37" t="n">
        <v>0.82</v>
      </c>
      <c r="E91" s="37" t="n">
        <v>0.9</v>
      </c>
      <c r="F91" s="37" t="n">
        <v>0.95</v>
      </c>
      <c r="G91" s="37" t="n">
        <v>0.95</v>
      </c>
      <c r="H91" s="42" t="inlineStr">
        <is>
          <t>KALINA</t>
        </is>
      </c>
      <c r="I91" s="29" t="n">
        <v>13.2225573486805</v>
      </c>
      <c r="J91" s="35" t="n">
        <v>118.4176852193223</v>
      </c>
      <c r="K91" s="36" t="n">
        <v>2610</v>
      </c>
      <c r="L91" s="29" t="n">
        <v>4.782608695652174</v>
      </c>
      <c r="M91" s="16" t="inlineStr">
        <is>
          <t>no</t>
        </is>
      </c>
    </row>
    <row r="92">
      <c r="A92" s="16" t="inlineStr">
        <is>
          <t>KF-M10-F3-0081</t>
        </is>
      </c>
      <c r="B92" s="36" t="n">
        <v>3300</v>
      </c>
      <c r="C92" s="35" t="n">
        <v>690</v>
      </c>
      <c r="D92" s="37" t="n">
        <v>0.82</v>
      </c>
      <c r="E92" s="37" t="n">
        <v>0.8833333333</v>
      </c>
      <c r="F92" s="37" t="n">
        <v>0.75</v>
      </c>
      <c r="G92" s="37" t="n">
        <v>0.95</v>
      </c>
      <c r="H92" s="42" t="inlineStr">
        <is>
          <t>KALINA</t>
        </is>
      </c>
      <c r="I92" s="29" t="n">
        <v>12.48787283730606</v>
      </c>
      <c r="J92" s="35" t="n">
        <v>115.3261913119388</v>
      </c>
      <c r="K92" s="36" t="n">
        <v>2610</v>
      </c>
      <c r="L92" s="29" t="n">
        <v>4.782608695652174</v>
      </c>
      <c r="M92" s="16" t="inlineStr">
        <is>
          <t>no</t>
        </is>
      </c>
    </row>
    <row r="93">
      <c r="A93" s="16" t="inlineStr">
        <is>
          <t>KF-M10-F3-0082</t>
        </is>
      </c>
      <c r="B93" s="36" t="n">
        <v>3300</v>
      </c>
      <c r="C93" s="35" t="n">
        <v>690</v>
      </c>
      <c r="D93" s="37" t="n">
        <v>0.82</v>
      </c>
      <c r="E93" s="37" t="n">
        <v>0.9</v>
      </c>
      <c r="F93" s="37" t="n">
        <v>0.75</v>
      </c>
      <c r="G93" s="37" t="n">
        <v>0.95</v>
      </c>
      <c r="H93" s="42" t="inlineStr">
        <is>
          <t>KALINA</t>
        </is>
      </c>
      <c r="I93" s="29" t="n">
        <v>12.73186450108127</v>
      </c>
      <c r="J93" s="35" t="n">
        <v>117.5882909120357</v>
      </c>
      <c r="K93" s="36" t="n">
        <v>2610</v>
      </c>
      <c r="L93" s="29" t="n">
        <v>4.782608695652174</v>
      </c>
      <c r="M93" s="16" t="inlineStr">
        <is>
          <t>no</t>
        </is>
      </c>
    </row>
    <row r="94">
      <c r="A94" s="16" t="inlineStr">
        <is>
          <t>KF-M10-F3-0083</t>
        </is>
      </c>
      <c r="B94" s="36" t="n">
        <v>3300</v>
      </c>
      <c r="C94" s="35" t="n">
        <v>690</v>
      </c>
      <c r="D94" s="37" t="n">
        <v>0.82</v>
      </c>
      <c r="E94" s="37" t="n">
        <v>0.9166666667</v>
      </c>
      <c r="F94" s="37" t="n">
        <v>0.75</v>
      </c>
      <c r="G94" s="37" t="n">
        <v>0.95</v>
      </c>
      <c r="H94" s="42" t="inlineStr">
        <is>
          <t>KALINA</t>
        </is>
      </c>
      <c r="I94" s="29" t="n">
        <v>12.9758114070617</v>
      </c>
      <c r="J94" s="35" t="n">
        <v>119.8503148224937</v>
      </c>
      <c r="K94" s="36" t="n">
        <v>2610</v>
      </c>
      <c r="L94" s="29" t="n">
        <v>4.782608695652174</v>
      </c>
      <c r="M94" s="16" t="inlineStr">
        <is>
          <t>no</t>
        </is>
      </c>
    </row>
    <row r="95">
      <c r="A95" s="16" t="inlineStr">
        <is>
          <t>KF-M10-F3-0084</t>
        </is>
      </c>
      <c r="B95" s="36" t="n">
        <v>3300</v>
      </c>
      <c r="C95" s="35" t="n">
        <v>690</v>
      </c>
      <c r="D95" s="37" t="n">
        <v>0.82</v>
      </c>
      <c r="E95" s="37" t="n">
        <v>0.9333333333</v>
      </c>
      <c r="F95" s="37" t="n">
        <v>0.75</v>
      </c>
      <c r="G95" s="37" t="n">
        <v>0.95</v>
      </c>
      <c r="H95" s="42" t="inlineStr">
        <is>
          <t>KALINA</t>
        </is>
      </c>
      <c r="I95" s="29" t="n">
        <v>13.21971356724838</v>
      </c>
      <c r="J95" s="35" t="n">
        <v>122.1122630351976</v>
      </c>
      <c r="K95" s="36" t="n">
        <v>2610</v>
      </c>
      <c r="L95" s="29" t="n">
        <v>4.782608695652174</v>
      </c>
      <c r="M95" s="16" t="inlineStr">
        <is>
          <t>no</t>
        </is>
      </c>
    </row>
    <row r="96">
      <c r="A96" s="16" t="inlineStr">
        <is>
          <t>KF-M10-F3-0085</t>
        </is>
      </c>
      <c r="B96" s="36" t="n">
        <v>3300</v>
      </c>
      <c r="C96" s="35" t="n">
        <v>690</v>
      </c>
      <c r="D96" s="37" t="n">
        <v>0.78</v>
      </c>
      <c r="E96" s="37" t="n">
        <v>0.9</v>
      </c>
      <c r="F96" s="37" t="n">
        <v>0.75</v>
      </c>
      <c r="G96" s="37" t="n">
        <v>0.95</v>
      </c>
      <c r="H96" s="42" t="inlineStr">
        <is>
          <t>KALINA</t>
        </is>
      </c>
      <c r="I96" s="29" t="n">
        <v>12.32455493684956</v>
      </c>
      <c r="J96" s="35" t="n">
        <v>103.3850050585167</v>
      </c>
      <c r="K96" s="36" t="n">
        <v>2610</v>
      </c>
      <c r="L96" s="29" t="n">
        <v>4.782608695652174</v>
      </c>
      <c r="M96" s="16" t="inlineStr">
        <is>
          <t>no</t>
        </is>
      </c>
    </row>
    <row r="97">
      <c r="A97" s="16" t="inlineStr">
        <is>
          <t>KF-M10-F3-0086</t>
        </is>
      </c>
      <c r="B97" s="36" t="n">
        <v>3300</v>
      </c>
      <c r="C97" s="35" t="n">
        <v>690</v>
      </c>
      <c r="D97" s="37" t="n">
        <v>0.82</v>
      </c>
      <c r="E97" s="37" t="n">
        <v>0.95</v>
      </c>
      <c r="F97" s="37" t="n">
        <v>0.75</v>
      </c>
      <c r="G97" s="37" t="n">
        <v>0.95</v>
      </c>
      <c r="H97" s="42" t="inlineStr">
        <is>
          <t>KALINA</t>
        </is>
      </c>
      <c r="I97" s="29" t="n">
        <v>13.46357099813214</v>
      </c>
      <c r="J97" s="35" t="n">
        <v>124.3741355837414</v>
      </c>
      <c r="K97" s="36" t="n">
        <v>2610</v>
      </c>
      <c r="L97" s="29" t="n">
        <v>4.782608695652174</v>
      </c>
      <c r="M97" s="16" t="inlineStr">
        <is>
          <t>no</t>
        </is>
      </c>
    </row>
    <row r="98">
      <c r="A98" s="16" t="inlineStr">
        <is>
          <t>KF-M10-F3-0087</t>
        </is>
      </c>
      <c r="B98" s="36" t="n">
        <v>3300</v>
      </c>
      <c r="C98" s="35" t="n">
        <v>690</v>
      </c>
      <c r="D98" s="37" t="n">
        <v>0.7933333333</v>
      </c>
      <c r="E98" s="37" t="n">
        <v>0.9</v>
      </c>
      <c r="F98" s="37" t="n">
        <v>0.75</v>
      </c>
      <c r="G98" s="37" t="n">
        <v>0.95</v>
      </c>
      <c r="H98" s="42" t="inlineStr">
        <is>
          <t>KALINA</t>
        </is>
      </c>
      <c r="I98" s="29" t="n">
        <v>12.35504749371974</v>
      </c>
      <c r="J98" s="35" t="n">
        <v>107.0831643659629</v>
      </c>
      <c r="K98" s="36" t="n">
        <v>2610</v>
      </c>
      <c r="L98" s="29" t="n">
        <v>4.782608695652174</v>
      </c>
      <c r="M98" s="16" t="inlineStr">
        <is>
          <t>no</t>
        </is>
      </c>
    </row>
    <row r="99">
      <c r="A99" s="16" t="inlineStr">
        <is>
          <t>KF-M10-F3-0088</t>
        </is>
      </c>
      <c r="B99" s="36" t="n">
        <v>3300</v>
      </c>
      <c r="C99" s="35" t="n">
        <v>690</v>
      </c>
      <c r="D99" s="37" t="n">
        <v>0.8066666667</v>
      </c>
      <c r="E99" s="37" t="n">
        <v>0.9</v>
      </c>
      <c r="F99" s="37" t="n">
        <v>0.75</v>
      </c>
      <c r="G99" s="37" t="n">
        <v>0.95</v>
      </c>
      <c r="H99" s="42" t="inlineStr">
        <is>
          <t>KALINA</t>
        </is>
      </c>
      <c r="I99" s="29" t="n">
        <v>12.60443656115173</v>
      </c>
      <c r="J99" s="35" t="n">
        <v>112.8829669344662</v>
      </c>
      <c r="K99" s="36" t="n">
        <v>2610</v>
      </c>
      <c r="L99" s="29" t="n">
        <v>4.782608695652174</v>
      </c>
      <c r="M99" s="16" t="inlineStr">
        <is>
          <t>no</t>
        </is>
      </c>
    </row>
    <row r="100">
      <c r="A100" s="16" t="inlineStr">
        <is>
          <t>KF-M10-F3-0089</t>
        </is>
      </c>
      <c r="B100" s="36" t="n">
        <v>3300</v>
      </c>
      <c r="C100" s="35" t="n">
        <v>690</v>
      </c>
      <c r="D100" s="37" t="n">
        <v>0.82</v>
      </c>
      <c r="E100" s="37" t="n">
        <v>0.9</v>
      </c>
      <c r="F100" s="37" t="n">
        <v>0.75</v>
      </c>
      <c r="G100" s="37" t="n">
        <v>0.95</v>
      </c>
      <c r="H100" s="42" t="inlineStr">
        <is>
          <t>KALINA</t>
        </is>
      </c>
      <c r="I100" s="29" t="n">
        <v>12.73186450108127</v>
      </c>
      <c r="J100" s="35" t="n">
        <v>117.5882909120357</v>
      </c>
      <c r="K100" s="36" t="n">
        <v>2610</v>
      </c>
      <c r="L100" s="29" t="n">
        <v>4.782608695652174</v>
      </c>
      <c r="M100" s="16" t="inlineStr">
        <is>
          <t>no</t>
        </is>
      </c>
    </row>
    <row r="101">
      <c r="A101" s="16" t="inlineStr">
        <is>
          <t>KF-M10-F3-0090</t>
        </is>
      </c>
      <c r="B101" s="36" t="n">
        <v>3400</v>
      </c>
      <c r="C101" s="35" t="n">
        <v>1200</v>
      </c>
      <c r="D101" s="37" t="n">
        <v>0.82</v>
      </c>
      <c r="E101" s="37" t="n">
        <v>0.9</v>
      </c>
      <c r="F101" s="37" t="n">
        <v>0.95</v>
      </c>
      <c r="G101" s="37" t="n">
        <v>0.95</v>
      </c>
      <c r="H101" s="42" t="inlineStr">
        <is>
          <t>KALINA</t>
        </is>
      </c>
      <c r="I101" s="29" t="n">
        <v>9.02789380588972</v>
      </c>
      <c r="J101" s="35" t="n">
        <v>79.53168137836302</v>
      </c>
      <c r="K101" s="36" t="n">
        <v>2200</v>
      </c>
      <c r="L101" s="29" t="n">
        <v>2.833333333333333</v>
      </c>
      <c r="M101" s="16" t="inlineStr">
        <is>
          <t>no</t>
        </is>
      </c>
    </row>
    <row r="102">
      <c r="A102" s="16" t="inlineStr">
        <is>
          <t>KF-M10-F3-0091</t>
        </is>
      </c>
      <c r="B102" s="36" t="n">
        <v>3500</v>
      </c>
      <c r="C102" s="35" t="n">
        <v>1200</v>
      </c>
      <c r="D102" s="37" t="n">
        <v>0.82</v>
      </c>
      <c r="E102" s="37" t="n">
        <v>0.9</v>
      </c>
      <c r="F102" s="37" t="n">
        <v>0.95</v>
      </c>
      <c r="G102" s="37" t="n">
        <v>0.95</v>
      </c>
      <c r="H102" s="42" t="inlineStr">
        <is>
          <t>KALINA</t>
        </is>
      </c>
      <c r="I102" s="29" t="n">
        <v>9.227347983678827</v>
      </c>
      <c r="J102" s="35" t="n">
        <v>80.01703323957037</v>
      </c>
      <c r="K102" s="36" t="n">
        <v>2300</v>
      </c>
      <c r="L102" s="29" t="n">
        <v>2.916666666666667</v>
      </c>
      <c r="M102" s="16" t="inlineStr">
        <is>
          <t>no</t>
        </is>
      </c>
    </row>
    <row r="103">
      <c r="A103" s="16" t="inlineStr">
        <is>
          <t>KF-M10-F3-0092</t>
        </is>
      </c>
      <c r="B103" s="36" t="n">
        <v>3300</v>
      </c>
      <c r="C103" s="35" t="n">
        <v>1250</v>
      </c>
      <c r="D103" s="37" t="n">
        <v>0.82</v>
      </c>
      <c r="E103" s="37" t="n">
        <v>0.9</v>
      </c>
      <c r="F103" s="37" t="n">
        <v>0.95</v>
      </c>
      <c r="G103" s="37" t="n">
        <v>0.95</v>
      </c>
      <c r="H103" s="42" t="inlineStr">
        <is>
          <t>KALINA</t>
        </is>
      </c>
      <c r="I103" s="29" t="n">
        <v>8.479907044178251</v>
      </c>
      <c r="J103" s="35" t="n">
        <v>75.87056180764522</v>
      </c>
      <c r="K103" s="36" t="n">
        <v>2050</v>
      </c>
      <c r="L103" s="29" t="n">
        <v>2.64</v>
      </c>
      <c r="M103" s="16" t="inlineStr">
        <is>
          <t>no</t>
        </is>
      </c>
    </row>
    <row r="104">
      <c r="A104" s="16" t="inlineStr">
        <is>
          <t>KF-M10-F3-0093</t>
        </is>
      </c>
      <c r="B104" s="36" t="n">
        <v>3300</v>
      </c>
      <c r="C104" s="35" t="n">
        <v>690</v>
      </c>
      <c r="D104" s="37" t="n">
        <v>0.8333333333</v>
      </c>
      <c r="E104" s="37" t="n">
        <v>0.9</v>
      </c>
      <c r="F104" s="37" t="n">
        <v>0.75</v>
      </c>
      <c r="G104" s="37" t="n">
        <v>0.95</v>
      </c>
      <c r="H104" s="42" t="inlineStr">
        <is>
          <t>KALINA</t>
        </is>
      </c>
      <c r="I104" s="29" t="n">
        <v>12.85148474045906</v>
      </c>
      <c r="J104" s="35" t="n">
        <v>122.2604191927015</v>
      </c>
      <c r="K104" s="36" t="n">
        <v>2610</v>
      </c>
      <c r="L104" s="29" t="n">
        <v>4.782608695652174</v>
      </c>
      <c r="M104" s="16" t="inlineStr">
        <is>
          <t>no</t>
        </is>
      </c>
    </row>
    <row r="105">
      <c r="A105" s="16" t="inlineStr">
        <is>
          <t>KF-M10-F3-0094</t>
        </is>
      </c>
      <c r="B105" s="36" t="n">
        <v>3300</v>
      </c>
      <c r="C105" s="35" t="n">
        <v>1300</v>
      </c>
      <c r="D105" s="37" t="n">
        <v>0.82</v>
      </c>
      <c r="E105" s="37" t="n">
        <v>0.9</v>
      </c>
      <c r="F105" s="37" t="n">
        <v>0.95</v>
      </c>
      <c r="G105" s="37" t="n">
        <v>0.95</v>
      </c>
      <c r="H105" s="42" t="inlineStr">
        <is>
          <t>KALINA</t>
        </is>
      </c>
      <c r="I105" s="29" t="n">
        <v>8.15343623160134</v>
      </c>
      <c r="J105" s="35" t="n">
        <v>72.94526677258047</v>
      </c>
      <c r="K105" s="36" t="n">
        <v>2000</v>
      </c>
      <c r="L105" s="29" t="n">
        <v>2.538461538461538</v>
      </c>
      <c r="M105" s="16" t="inlineStr">
        <is>
          <t>no</t>
        </is>
      </c>
    </row>
    <row r="106">
      <c r="A106" s="16" t="inlineStr">
        <is>
          <t>KF-M10-F3-0095</t>
        </is>
      </c>
      <c r="B106" s="36" t="n">
        <v>3300</v>
      </c>
      <c r="C106" s="35" t="n">
        <v>1200</v>
      </c>
      <c r="D106" s="37" t="n">
        <v>0.78</v>
      </c>
      <c r="E106" s="37" t="n">
        <v>0.9</v>
      </c>
      <c r="F106" s="37" t="n">
        <v>0.95</v>
      </c>
      <c r="G106" s="37" t="n">
        <v>0.95</v>
      </c>
      <c r="H106" s="42" t="inlineStr">
        <is>
          <t>KALINA</t>
        </is>
      </c>
      <c r="I106" s="29" t="n">
        <v>8.643894254383291</v>
      </c>
      <c r="J106" s="35" t="n">
        <v>69.44793585351235</v>
      </c>
      <c r="K106" s="36" t="n">
        <v>2100</v>
      </c>
      <c r="L106" s="29" t="n">
        <v>2.75</v>
      </c>
      <c r="M106" s="16" t="inlineStr">
        <is>
          <t>no</t>
        </is>
      </c>
    </row>
    <row r="107">
      <c r="A107" s="16" t="inlineStr">
        <is>
          <t>KF-M10-F3-0096</t>
        </is>
      </c>
      <c r="B107" s="36" t="n">
        <v>3300</v>
      </c>
      <c r="C107" s="35" t="n">
        <v>1200</v>
      </c>
      <c r="D107" s="37" t="n">
        <v>0.8</v>
      </c>
      <c r="E107" s="37" t="n">
        <v>0.9</v>
      </c>
      <c r="F107" s="37" t="n">
        <v>0.95</v>
      </c>
      <c r="G107" s="37" t="n">
        <v>0.95</v>
      </c>
      <c r="H107" s="42" t="inlineStr">
        <is>
          <t>KALINA</t>
        </is>
      </c>
      <c r="I107" s="29" t="n">
        <v>8.73497706771423</v>
      </c>
      <c r="J107" s="35" t="n">
        <v>74.19531384750783</v>
      </c>
      <c r="K107" s="36" t="n">
        <v>2100</v>
      </c>
      <c r="L107" s="29" t="n">
        <v>2.75</v>
      </c>
      <c r="M107" s="16" t="inlineStr">
        <is>
          <t>no</t>
        </is>
      </c>
    </row>
    <row r="108"/>
    <row r="109">
      <c r="A109" s="33" t="inlineStr">
        <is>
          <t>Parte 6.2b · una variable a la vez · 150 puntos</t>
        </is>
      </c>
      <c r="B109" s="31" t="n"/>
      <c r="C109" s="31" t="n"/>
      <c r="D109" s="31" t="n"/>
      <c r="E109" s="31" t="n"/>
      <c r="F109" s="31" t="n"/>
      <c r="G109" s="31" t="n"/>
      <c r="H109" s="31" t="n"/>
      <c r="I109" s="31" t="n"/>
      <c r="J109" s="31" t="n"/>
      <c r="K109" s="31" t="n"/>
    </row>
    <row r="110"/>
    <row r="111">
      <c r="A111" s="34" t="inlineStr">
        <is>
          <t>Barrido de T_fuente [K] · 15 puntos</t>
        </is>
      </c>
    </row>
    <row r="112">
      <c r="A112" s="25" t="inlineStr">
        <is>
          <t>Fijos en este barrido: T_sumidero = 278.15, P_alta = 3300, P_baja = 690, x_b = 0.82, η_t = 0.9, η_p = 0.8, ε_HRVG = 0.85, ε_reg = 0.75, ε_cond = 0.95.</t>
        </is>
      </c>
    </row>
    <row r="113">
      <c r="A113" s="22" t="inlineStr">
        <is>
          <t>id_punto</t>
        </is>
      </c>
      <c r="B113" s="22" t="inlineStr">
        <is>
          <t>T_fuente [K]</t>
        </is>
      </c>
      <c r="C113" s="22" t="inlineStr">
        <is>
          <t>Clase</t>
        </is>
      </c>
      <c r="D113" s="22" t="inlineStr">
        <is>
          <t>η [%]</t>
        </is>
      </c>
      <c r="E113" s="22" t="inlineStr">
        <is>
          <t>W_net [kW] (m_b = 1 kg/s)</t>
        </is>
      </c>
      <c r="F113" s="22" t="inlineStr">
        <is>
          <t>ΔP [kPa]</t>
        </is>
      </c>
      <c r="G113" s="22" t="inlineStr">
        <is>
          <t>r_P [–]</t>
        </is>
      </c>
      <c r="H113" s="22" t="inlineStr">
        <is>
          <t>Fuera de rango</t>
        </is>
      </c>
      <c r="I113" s="22" t="inlineStr">
        <is>
          <t>Criterios que falla</t>
        </is>
      </c>
    </row>
    <row r="114">
      <c r="A114" s="16" t="inlineStr">
        <is>
          <t>KF-M10-OFAT-0000</t>
        </is>
      </c>
      <c r="B114" s="35" t="n">
        <v>380</v>
      </c>
      <c r="C114" s="42" t="inlineStr">
        <is>
          <t>KALINA</t>
        </is>
      </c>
      <c r="D114" s="29" t="n">
        <v>12.20823127655215</v>
      </c>
      <c r="E114" s="35" t="n">
        <v>94.67805860340454</v>
      </c>
      <c r="F114" s="36" t="n">
        <v>2610</v>
      </c>
      <c r="G114" s="29" t="n">
        <v>4.782608695652174</v>
      </c>
      <c r="H114" s="16" t="inlineStr">
        <is>
          <t>no</t>
        </is>
      </c>
      <c r="I114" s="16" t="n"/>
    </row>
    <row r="115">
      <c r="A115" s="16" t="inlineStr">
        <is>
          <t>KF-M10-OFAT-0001</t>
        </is>
      </c>
      <c r="B115" s="35" t="n">
        <v>383.5714285714286</v>
      </c>
      <c r="C115" s="42" t="inlineStr">
        <is>
          <t>KALINA</t>
        </is>
      </c>
      <c r="D115" s="29" t="n">
        <v>12.35372325098048</v>
      </c>
      <c r="E115" s="35" t="n">
        <v>100.6669452782452</v>
      </c>
      <c r="F115" s="36" t="n">
        <v>2610</v>
      </c>
      <c r="G115" s="29" t="n">
        <v>4.782608695652174</v>
      </c>
      <c r="H115" s="16" t="inlineStr">
        <is>
          <t>no</t>
        </is>
      </c>
      <c r="I115" s="16" t="n"/>
    </row>
    <row r="116">
      <c r="A116" s="16" t="inlineStr">
        <is>
          <t>KF-M10-OFAT-0002</t>
        </is>
      </c>
      <c r="B116" s="35" t="n">
        <v>387.1428571428572</v>
      </c>
      <c r="C116" s="42" t="inlineStr">
        <is>
          <t>KALINA</t>
        </is>
      </c>
      <c r="D116" s="29" t="n">
        <v>12.48810964420102</v>
      </c>
      <c r="E116" s="35" t="n">
        <v>106.4491502168814</v>
      </c>
      <c r="F116" s="36" t="n">
        <v>2610</v>
      </c>
      <c r="G116" s="29" t="n">
        <v>4.782608695652174</v>
      </c>
      <c r="H116" s="16" t="inlineStr">
        <is>
          <t>no</t>
        </is>
      </c>
      <c r="I116" s="16" t="n"/>
    </row>
    <row r="117">
      <c r="A117" s="16" t="inlineStr">
        <is>
          <t>KF-M10-OFAT-0004</t>
        </is>
      </c>
      <c r="B117" s="35" t="n">
        <v>390.7142857142857</v>
      </c>
      <c r="C117" s="42" t="inlineStr">
        <is>
          <t>KALINA</t>
        </is>
      </c>
      <c r="D117" s="29" t="n">
        <v>12.61508420486608</v>
      </c>
      <c r="E117" s="35" t="n">
        <v>112.1344587875421</v>
      </c>
      <c r="F117" s="36" t="n">
        <v>2610</v>
      </c>
      <c r="G117" s="29" t="n">
        <v>4.782608695652174</v>
      </c>
      <c r="H117" s="16" t="inlineStr">
        <is>
          <t>no</t>
        </is>
      </c>
      <c r="I117" s="16" t="n"/>
    </row>
    <row r="118">
      <c r="A118" s="16" t="inlineStr">
        <is>
          <t>KF-M10-OFAT-0003</t>
        </is>
      </c>
      <c r="B118" s="35" t="n">
        <v>394.2857142857143</v>
      </c>
      <c r="C118" s="42" t="inlineStr">
        <is>
          <t>KALINA</t>
        </is>
      </c>
      <c r="D118" s="29" t="n">
        <v>12.73637660744955</v>
      </c>
      <c r="E118" s="35" t="n">
        <v>117.8042356714541</v>
      </c>
      <c r="F118" s="36" t="n">
        <v>2610</v>
      </c>
      <c r="G118" s="29" t="n">
        <v>4.782608695652174</v>
      </c>
      <c r="H118" s="16" t="inlineStr">
        <is>
          <t>no</t>
        </is>
      </c>
      <c r="I118" s="16" t="n"/>
    </row>
    <row r="119">
      <c r="A119" s="16" t="inlineStr">
        <is>
          <t>KF-M10-OFAT-0005</t>
        </is>
      </c>
      <c r="B119" s="35" t="n">
        <v>397.8571428571428</v>
      </c>
      <c r="C119" s="42" t="inlineStr">
        <is>
          <t>KALINA</t>
        </is>
      </c>
      <c r="D119" s="29" t="n">
        <v>12.85223774220491</v>
      </c>
      <c r="E119" s="35" t="n">
        <v>123.5189637189282</v>
      </c>
      <c r="F119" s="36" t="n">
        <v>2610</v>
      </c>
      <c r="G119" s="29" t="n">
        <v>4.782608695652174</v>
      </c>
      <c r="H119" s="16" t="inlineStr">
        <is>
          <t>no</t>
        </is>
      </c>
      <c r="I119" s="16" t="n"/>
    </row>
    <row r="120">
      <c r="A120" s="16" t="inlineStr">
        <is>
          <t>KF-M10-OFAT-0006</t>
        </is>
      </c>
      <c r="B120" s="35" t="n">
        <v>401.4285714285714</v>
      </c>
      <c r="C120" s="42" t="inlineStr">
        <is>
          <t>KALINA</t>
        </is>
      </c>
      <c r="D120" s="29" t="n">
        <v>12.9618409909477</v>
      </c>
      <c r="E120" s="35" t="n">
        <v>129.3238517930356</v>
      </c>
      <c r="F120" s="36" t="n">
        <v>2610</v>
      </c>
      <c r="G120" s="29" t="n">
        <v>4.782608695652174</v>
      </c>
      <c r="H120" s="16" t="inlineStr">
        <is>
          <t>no</t>
        </is>
      </c>
      <c r="I120" s="16" t="n"/>
    </row>
    <row r="121">
      <c r="A121" s="16" t="inlineStr">
        <is>
          <t>KF-M10-OFAT-0007</t>
        </is>
      </c>
      <c r="B121" s="35" t="n">
        <v>405</v>
      </c>
      <c r="C121" s="39" t="inlineStr">
        <is>
          <t>Corregible</t>
        </is>
      </c>
      <c r="D121" s="29" t="n">
        <v>13.06365776565851</v>
      </c>
      <c r="E121" s="35" t="n">
        <v>135.2537031826379</v>
      </c>
      <c r="F121" s="36" t="n">
        <v>2610</v>
      </c>
      <c r="G121" s="29" t="n">
        <v>4.782608695652174</v>
      </c>
      <c r="H121" s="16" t="inlineStr">
        <is>
          <t>no</t>
        </is>
      </c>
      <c r="I121" s="16" t="inlineStr">
        <is>
          <t>O2</t>
        </is>
      </c>
    </row>
    <row r="122">
      <c r="A122" s="16" t="inlineStr">
        <is>
          <t>KF-M10-OFAT-0008</t>
        </is>
      </c>
      <c r="B122" s="35" t="n">
        <v>408.5714285714286</v>
      </c>
      <c r="C122" s="39" t="inlineStr">
        <is>
          <t>Corregible</t>
        </is>
      </c>
      <c r="D122" s="29" t="n">
        <v>13.15580688455436</v>
      </c>
      <c r="E122" s="35" t="n">
        <v>141.337377424114</v>
      </c>
      <c r="F122" s="36" t="n">
        <v>2610</v>
      </c>
      <c r="G122" s="29" t="n">
        <v>4.782608695652174</v>
      </c>
      <c r="H122" s="16" t="inlineStr">
        <is>
          <t>no</t>
        </is>
      </c>
      <c r="I122" s="16" t="inlineStr">
        <is>
          <t>O2</t>
        </is>
      </c>
    </row>
    <row r="123">
      <c r="A123" s="16" t="inlineStr">
        <is>
          <t>KF-M10-OFAT-0009</t>
        </is>
      </c>
      <c r="B123" s="35" t="n">
        <v>412.1428571428572</v>
      </c>
      <c r="C123" s="39" t="inlineStr">
        <is>
          <t>Corregible</t>
        </is>
      </c>
      <c r="D123" s="29" t="n">
        <v>13.23637542377315</v>
      </c>
      <c r="E123" s="35" t="n">
        <v>147.6020675738194</v>
      </c>
      <c r="F123" s="36" t="n">
        <v>2610</v>
      </c>
      <c r="G123" s="29" t="n">
        <v>4.782608695652174</v>
      </c>
      <c r="H123" s="16" t="inlineStr">
        <is>
          <t>no</t>
        </is>
      </c>
      <c r="I123" s="16" t="inlineStr">
        <is>
          <t>O2</t>
        </is>
      </c>
    </row>
    <row r="124">
      <c r="A124" s="16" t="inlineStr">
        <is>
          <t>KF-M10-OFAT-0010</t>
        </is>
      </c>
      <c r="B124" s="35" t="n">
        <v>415.7142857142857</v>
      </c>
      <c r="C124" s="39" t="inlineStr">
        <is>
          <t>Corregible</t>
        </is>
      </c>
      <c r="D124" s="29" t="n">
        <v>13.30369533431542</v>
      </c>
      <c r="E124" s="35" t="n">
        <v>154.0773886323678</v>
      </c>
      <c r="F124" s="36" t="n">
        <v>2610</v>
      </c>
      <c r="G124" s="29" t="n">
        <v>4.782608695652174</v>
      </c>
      <c r="H124" s="16" t="inlineStr">
        <is>
          <t>no</t>
        </is>
      </c>
      <c r="I124" s="16" t="inlineStr">
        <is>
          <t>O2</t>
        </is>
      </c>
    </row>
    <row r="125">
      <c r="A125" s="16" t="inlineStr">
        <is>
          <t>KF-M10-OFAT-0012</t>
        </is>
      </c>
      <c r="B125" s="35" t="n">
        <v>419.2857142857143</v>
      </c>
      <c r="C125" s="39" t="inlineStr">
        <is>
          <t>Corregible</t>
        </is>
      </c>
      <c r="D125" s="29" t="n">
        <v>13.35653045690038</v>
      </c>
      <c r="E125" s="35" t="n">
        <v>160.798841100899</v>
      </c>
      <c r="F125" s="36" t="n">
        <v>2610</v>
      </c>
      <c r="G125" s="29" t="n">
        <v>4.782608695652174</v>
      </c>
      <c r="H125" s="16" t="inlineStr">
        <is>
          <t>no</t>
        </is>
      </c>
      <c r="I125" s="16" t="inlineStr">
        <is>
          <t>O2</t>
        </is>
      </c>
    </row>
    <row r="126">
      <c r="A126" s="16" t="inlineStr">
        <is>
          <t>KF-M10-OFAT-0011</t>
        </is>
      </c>
      <c r="B126" s="35" t="n">
        <v>422.8571428571429</v>
      </c>
      <c r="C126" s="39" t="inlineStr">
        <is>
          <t>Corregible</t>
        </is>
      </c>
      <c r="D126" s="29" t="n">
        <v>13.39414678813139</v>
      </c>
      <c r="E126" s="35" t="n">
        <v>167.8102832852013</v>
      </c>
      <c r="F126" s="36" t="n">
        <v>2610</v>
      </c>
      <c r="G126" s="29" t="n">
        <v>4.782608695652174</v>
      </c>
      <c r="H126" s="16" t="inlineStr">
        <is>
          <t>no</t>
        </is>
      </c>
      <c r="I126" s="16" t="inlineStr">
        <is>
          <t>O2</t>
        </is>
      </c>
    </row>
    <row r="127">
      <c r="A127" s="16" t="inlineStr">
        <is>
          <t>KF-M10-OFAT-0013</t>
        </is>
      </c>
      <c r="B127" s="35" t="n">
        <v>426.4285714285714</v>
      </c>
      <c r="C127" s="39" t="inlineStr">
        <is>
          <t>Corregible</t>
        </is>
      </c>
      <c r="D127" s="29" t="n">
        <v>13.41628354475012</v>
      </c>
      <c r="E127" s="35" t="n">
        <v>175.1654839192862</v>
      </c>
      <c r="F127" s="36" t="n">
        <v>2610</v>
      </c>
      <c r="G127" s="29" t="n">
        <v>4.782608695652174</v>
      </c>
      <c r="H127" s="16" t="inlineStr">
        <is>
          <t>no</t>
        </is>
      </c>
      <c r="I127" s="16" t="inlineStr">
        <is>
          <t>O2</t>
        </is>
      </c>
    </row>
    <row r="128">
      <c r="A128" s="16" t="inlineStr">
        <is>
          <t>KF-M10-OFAT-0015</t>
        </is>
      </c>
      <c r="B128" s="35" t="n">
        <v>430</v>
      </c>
      <c r="C128" s="39" t="inlineStr">
        <is>
          <t>Corregible</t>
        </is>
      </c>
      <c r="D128" s="29" t="n">
        <v>13.4230730280375</v>
      </c>
      <c r="E128" s="35" t="n">
        <v>182.9292323161979</v>
      </c>
      <c r="F128" s="36" t="n">
        <v>2610</v>
      </c>
      <c r="G128" s="29" t="n">
        <v>4.782608695652174</v>
      </c>
      <c r="H128" s="16" t="inlineStr">
        <is>
          <t>no</t>
        </is>
      </c>
      <c r="I128" s="16" t="inlineStr">
        <is>
          <t>O2</t>
        </is>
      </c>
    </row>
    <row r="129"/>
    <row r="130">
      <c r="A130" s="34" t="inlineStr">
        <is>
          <t>Barrido de T_sumidero [K] · 15 puntos</t>
        </is>
      </c>
    </row>
    <row r="131">
      <c r="A131" s="25" t="inlineStr">
        <is>
          <t>Fijos en este barrido: T_fuente = 394.15, P_alta = 3300, P_baja = 690, x_b = 0.82, η_t = 0.9, η_p = 0.8, ε_HRVG = 0.85, ε_reg = 0.75, ε_cond = 0.95.</t>
        </is>
      </c>
    </row>
    <row r="132">
      <c r="A132" s="22" t="inlineStr">
        <is>
          <t>id_punto</t>
        </is>
      </c>
      <c r="B132" s="22" t="inlineStr">
        <is>
          <t>T_sumidero [K]</t>
        </is>
      </c>
      <c r="C132" s="22" t="inlineStr">
        <is>
          <t>Clase</t>
        </is>
      </c>
      <c r="D132" s="22" t="inlineStr">
        <is>
          <t>η [%]</t>
        </is>
      </c>
      <c r="E132" s="22" t="inlineStr">
        <is>
          <t>W_net [kW] (m_b = 1 kg/s)</t>
        </is>
      </c>
      <c r="F132" s="22" t="inlineStr">
        <is>
          <t>ΔP [kPa]</t>
        </is>
      </c>
      <c r="G132" s="22" t="inlineStr">
        <is>
          <t>r_P [–]</t>
        </is>
      </c>
      <c r="H132" s="22" t="inlineStr">
        <is>
          <t>Fuera de rango</t>
        </is>
      </c>
      <c r="I132" s="22" t="inlineStr">
        <is>
          <t>Criterios que falla</t>
        </is>
      </c>
    </row>
    <row r="133">
      <c r="A133" s="16" t="inlineStr">
        <is>
          <t>KF-M10-OFAT-0014</t>
        </is>
      </c>
      <c r="B133" s="35" t="n">
        <v>273.15</v>
      </c>
      <c r="C133" s="42" t="inlineStr">
        <is>
          <t>KALINA</t>
        </is>
      </c>
      <c r="D133" s="29" t="n">
        <v>12.5093907482508</v>
      </c>
      <c r="E133" s="35" t="n">
        <v>117.2276897314344</v>
      </c>
      <c r="F133" s="36" t="n">
        <v>2610</v>
      </c>
      <c r="G133" s="29" t="n">
        <v>4.782608695652174</v>
      </c>
      <c r="H133" s="16" t="inlineStr">
        <is>
          <t>no</t>
        </is>
      </c>
      <c r="I133" s="16" t="n"/>
    </row>
    <row r="134">
      <c r="A134" s="16" t="inlineStr">
        <is>
          <t>KF-M10-OFAT-0016</t>
        </is>
      </c>
      <c r="B134" s="35" t="n">
        <v>274.5785714285714</v>
      </c>
      <c r="C134" s="42" t="inlineStr">
        <is>
          <t>KALINA</t>
        </is>
      </c>
      <c r="D134" s="29" t="n">
        <v>12.57211345384629</v>
      </c>
      <c r="E134" s="35" t="n">
        <v>117.3304914895599</v>
      </c>
      <c r="F134" s="36" t="n">
        <v>2610</v>
      </c>
      <c r="G134" s="29" t="n">
        <v>4.782608695652174</v>
      </c>
      <c r="H134" s="16" t="inlineStr">
        <is>
          <t>no</t>
        </is>
      </c>
      <c r="I134" s="16" t="n"/>
    </row>
    <row r="135">
      <c r="A135" s="16" t="inlineStr">
        <is>
          <t>KF-M10-OFAT-0019</t>
        </is>
      </c>
      <c r="B135" s="35" t="n">
        <v>276.0071428571428</v>
      </c>
      <c r="C135" s="42" t="inlineStr">
        <is>
          <t>KALINA</t>
        </is>
      </c>
      <c r="D135" s="29" t="n">
        <v>12.63550342842294</v>
      </c>
      <c r="E135" s="35" t="n">
        <v>117.4334751726706</v>
      </c>
      <c r="F135" s="36" t="n">
        <v>2610</v>
      </c>
      <c r="G135" s="29" t="n">
        <v>4.782608695652174</v>
      </c>
      <c r="H135" s="16" t="inlineStr">
        <is>
          <t>no</t>
        </is>
      </c>
      <c r="I135" s="16" t="n"/>
    </row>
    <row r="136">
      <c r="A136" s="16" t="inlineStr">
        <is>
          <t>KF-M10-OFAT-0017</t>
        </is>
      </c>
      <c r="B136" s="35" t="n">
        <v>277.4357142857143</v>
      </c>
      <c r="C136" s="42" t="inlineStr">
        <is>
          <t>KALINA</t>
        </is>
      </c>
      <c r="D136" s="29" t="n">
        <v>12.69957198274438</v>
      </c>
      <c r="E136" s="35" t="n">
        <v>117.5366393396027</v>
      </c>
      <c r="F136" s="36" t="n">
        <v>2610</v>
      </c>
      <c r="G136" s="29" t="n">
        <v>4.782608695652174</v>
      </c>
      <c r="H136" s="16" t="inlineStr">
        <is>
          <t>no</t>
        </is>
      </c>
      <c r="I136" s="16" t="n"/>
    </row>
    <row r="137">
      <c r="A137" s="16" t="inlineStr">
        <is>
          <t>KF-M10-OFAT-0018</t>
        </is>
      </c>
      <c r="B137" s="35" t="n">
        <v>278.8642857142857</v>
      </c>
      <c r="C137" s="42" t="inlineStr">
        <is>
          <t>KALINA</t>
        </is>
      </c>
      <c r="D137" s="29" t="n">
        <v>12.76433110190319</v>
      </c>
      <c r="E137" s="35" t="n">
        <v>117.6399882175908</v>
      </c>
      <c r="F137" s="36" t="n">
        <v>2610</v>
      </c>
      <c r="G137" s="29" t="n">
        <v>4.782608695652174</v>
      </c>
      <c r="H137" s="16" t="inlineStr">
        <is>
          <t>no</t>
        </is>
      </c>
      <c r="I137" s="16" t="n"/>
    </row>
    <row r="138">
      <c r="A138" s="16" t="inlineStr">
        <is>
          <t>KF-M10-OFAT-0020</t>
        </is>
      </c>
      <c r="B138" s="35" t="n">
        <v>280.2928571428571</v>
      </c>
      <c r="C138" s="42" t="inlineStr">
        <is>
          <t>KALINA</t>
        </is>
      </c>
      <c r="D138" s="29" t="n">
        <v>12.82979260730639</v>
      </c>
      <c r="E138" s="35" t="n">
        <v>117.7435202297443</v>
      </c>
      <c r="F138" s="36" t="n">
        <v>2610</v>
      </c>
      <c r="G138" s="29" t="n">
        <v>4.782608695652174</v>
      </c>
      <c r="H138" s="16" t="inlineStr">
        <is>
          <t>no</t>
        </is>
      </c>
      <c r="I138" s="16" t="n"/>
    </row>
    <row r="139">
      <c r="A139" s="16" t="inlineStr">
        <is>
          <t>KF-M10-OFAT-0021</t>
        </is>
      </c>
      <c r="B139" s="35" t="n">
        <v>281.7214285714285</v>
      </c>
      <c r="C139" s="42" t="inlineStr">
        <is>
          <t>KALINA</t>
        </is>
      </c>
      <c r="D139" s="29" t="n">
        <v>12.89596881634865</v>
      </c>
      <c r="E139" s="35" t="n">
        <v>117.847235801592</v>
      </c>
      <c r="F139" s="36" t="n">
        <v>2610</v>
      </c>
      <c r="G139" s="29" t="n">
        <v>4.782608695652174</v>
      </c>
      <c r="H139" s="16" t="inlineStr">
        <is>
          <t>no</t>
        </is>
      </c>
      <c r="I139" s="16" t="n"/>
    </row>
    <row r="140">
      <c r="A140" s="16" t="inlineStr">
        <is>
          <t>KF-M10-OFAT-0022</t>
        </is>
      </c>
      <c r="B140" s="35" t="n">
        <v>283.15</v>
      </c>
      <c r="C140" s="42" t="inlineStr">
        <is>
          <t>KALINA</t>
        </is>
      </c>
      <c r="D140" s="29" t="n">
        <v>12.96287238234715</v>
      </c>
      <c r="E140" s="35" t="n">
        <v>117.9511353938987</v>
      </c>
      <c r="F140" s="36" t="n">
        <v>2610</v>
      </c>
      <c r="G140" s="29" t="n">
        <v>4.782608695652174</v>
      </c>
      <c r="H140" s="16" t="inlineStr">
        <is>
          <t>no</t>
        </is>
      </c>
      <c r="I140" s="16" t="n"/>
    </row>
    <row r="141">
      <c r="A141" s="16" t="inlineStr">
        <is>
          <t>KF-M10-OFAT-0023</t>
        </is>
      </c>
      <c r="B141" s="35" t="n">
        <v>284.5785714285714</v>
      </c>
      <c r="C141" s="39" t="inlineStr">
        <is>
          <t>Corregible</t>
        </is>
      </c>
      <c r="D141" s="29" t="n">
        <v>13.03017048553408</v>
      </c>
      <c r="E141" s="35" t="n">
        <v>118.0518084956282</v>
      </c>
      <c r="F141" s="36" t="n">
        <v>2610</v>
      </c>
      <c r="G141" s="29" t="n">
        <v>4.782608695652174</v>
      </c>
      <c r="H141" s="16" t="inlineStr">
        <is>
          <t>no</t>
        </is>
      </c>
      <c r="I141" s="16" t="inlineStr">
        <is>
          <t>O2</t>
        </is>
      </c>
    </row>
    <row r="142">
      <c r="A142" s="16" t="inlineStr">
        <is>
          <t>KF-M10-OFAT-0024</t>
        </is>
      </c>
      <c r="B142" s="35" t="n">
        <v>286.0071428571428</v>
      </c>
      <c r="C142" s="39" t="inlineStr">
        <is>
          <t>Corregible</t>
        </is>
      </c>
      <c r="D142" s="29" t="n">
        <v>13.09510736092207</v>
      </c>
      <c r="E142" s="35" t="n">
        <v>118.1220856650627</v>
      </c>
      <c r="F142" s="36" t="n">
        <v>2610</v>
      </c>
      <c r="G142" s="29" t="n">
        <v>4.782608695652174</v>
      </c>
      <c r="H142" s="16" t="inlineStr">
        <is>
          <t>no</t>
        </is>
      </c>
      <c r="I142" s="16" t="inlineStr">
        <is>
          <t>O2</t>
        </is>
      </c>
    </row>
    <row r="143">
      <c r="A143" s="16" t="inlineStr">
        <is>
          <t>KF-M10-OFAT-0025</t>
        </is>
      </c>
      <c r="B143" s="35" t="n">
        <v>287.4357142857143</v>
      </c>
      <c r="C143" s="39" t="inlineStr">
        <is>
          <t>Corregible</t>
        </is>
      </c>
      <c r="D143" s="29" t="n">
        <v>13.15702847309799</v>
      </c>
      <c r="E143" s="35" t="n">
        <v>118.155781060123</v>
      </c>
      <c r="F143" s="36" t="n">
        <v>2610</v>
      </c>
      <c r="G143" s="29" t="n">
        <v>4.782608695652174</v>
      </c>
      <c r="H143" s="16" t="inlineStr">
        <is>
          <t>no</t>
        </is>
      </c>
      <c r="I143" s="16" t="inlineStr">
        <is>
          <t>O2</t>
        </is>
      </c>
    </row>
    <row r="144">
      <c r="A144" s="16" t="inlineStr">
        <is>
          <t>KF-M10-OFAT-0026</t>
        </is>
      </c>
      <c r="B144" s="35" t="n">
        <v>288.8642857142857</v>
      </c>
      <c r="C144" s="39" t="inlineStr">
        <is>
          <t>Corregible</t>
        </is>
      </c>
      <c r="D144" s="29" t="n">
        <v>13.21588588256055</v>
      </c>
      <c r="E144" s="35" t="n">
        <v>118.1527277117529</v>
      </c>
      <c r="F144" s="36" t="n">
        <v>2610</v>
      </c>
      <c r="G144" s="29" t="n">
        <v>4.782608695652174</v>
      </c>
      <c r="H144" s="16" t="inlineStr">
        <is>
          <t>no</t>
        </is>
      </c>
      <c r="I144" s="16" t="inlineStr">
        <is>
          <t>O2</t>
        </is>
      </c>
    </row>
    <row r="145">
      <c r="A145" s="16" t="inlineStr">
        <is>
          <t>KF-M10-OFAT-0027</t>
        </is>
      </c>
      <c r="B145" s="35" t="n">
        <v>290.2928571428571</v>
      </c>
      <c r="C145" s="39" t="inlineStr">
        <is>
          <t>Corregible</t>
        </is>
      </c>
      <c r="D145" s="29" t="n">
        <v>13.27161716519573</v>
      </c>
      <c r="E145" s="35" t="n">
        <v>118.112631295772</v>
      </c>
      <c r="F145" s="36" t="n">
        <v>2610</v>
      </c>
      <c r="G145" s="29" t="n">
        <v>4.782608695652174</v>
      </c>
      <c r="H145" s="16" t="inlineStr">
        <is>
          <t>no</t>
        </is>
      </c>
      <c r="I145" s="16" t="inlineStr">
        <is>
          <t>O2</t>
        </is>
      </c>
    </row>
    <row r="146">
      <c r="A146" s="16" t="inlineStr">
        <is>
          <t>KF-M10-OFAT-0028</t>
        </is>
      </c>
      <c r="B146" s="35" t="n">
        <v>291.7214285714285</v>
      </c>
      <c r="C146" s="39" t="inlineStr">
        <is>
          <t>Corregible</t>
        </is>
      </c>
      <c r="D146" s="29" t="n">
        <v>13.32416114891553</v>
      </c>
      <c r="E146" s="35" t="n">
        <v>118.0352255613104</v>
      </c>
      <c r="F146" s="36" t="n">
        <v>2610</v>
      </c>
      <c r="G146" s="29" t="n">
        <v>4.782608695652174</v>
      </c>
      <c r="H146" s="16" t="inlineStr">
        <is>
          <t>no</t>
        </is>
      </c>
      <c r="I146" s="16" t="inlineStr">
        <is>
          <t>O2</t>
        </is>
      </c>
    </row>
    <row r="147">
      <c r="A147" s="16" t="inlineStr">
        <is>
          <t>KF-M10-OFAT-0029</t>
        </is>
      </c>
      <c r="B147" s="35" t="n">
        <v>293.15</v>
      </c>
      <c r="C147" s="39" t="inlineStr">
        <is>
          <t>Corregible</t>
        </is>
      </c>
      <c r="D147" s="29" t="n">
        <v>13.6492120667962</v>
      </c>
      <c r="E147" s="35" t="n">
        <v>115.44699178468</v>
      </c>
      <c r="F147" s="36" t="n">
        <v>2610</v>
      </c>
      <c r="G147" s="29" t="n">
        <v>4.782608695652174</v>
      </c>
      <c r="H147" s="16" t="inlineStr">
        <is>
          <t>no</t>
        </is>
      </c>
      <c r="I147" s="16" t="inlineStr">
        <is>
          <t>O2</t>
        </is>
      </c>
    </row>
    <row r="148"/>
    <row r="149">
      <c r="A149" s="34" t="inlineStr">
        <is>
          <t>Barrido de P_alta [kPa] · 15 puntos</t>
        </is>
      </c>
    </row>
    <row r="150">
      <c r="A150" s="25" t="inlineStr">
        <is>
          <t>Fijos en este barrido: T_fuente = 394.15, T_sumidero = 278.15, P_baja = 690, x_b = 0.82, η_t = 0.9, η_p = 0.8, ε_HRVG = 0.85, ε_reg = 0.75, ε_cond = 0.95.</t>
        </is>
      </c>
    </row>
    <row r="151">
      <c r="A151" s="22" t="inlineStr">
        <is>
          <t>id_punto</t>
        </is>
      </c>
      <c r="B151" s="22" t="inlineStr">
        <is>
          <t>P_alta [kPa]</t>
        </is>
      </c>
      <c r="C151" s="22" t="inlineStr">
        <is>
          <t>Clase</t>
        </is>
      </c>
      <c r="D151" s="22" t="inlineStr">
        <is>
          <t>η [%]</t>
        </is>
      </c>
      <c r="E151" s="22" t="inlineStr">
        <is>
          <t>W_net [kW] (m_b = 1 kg/s)</t>
        </is>
      </c>
      <c r="F151" s="22" t="inlineStr">
        <is>
          <t>ΔP [kPa]</t>
        </is>
      </c>
      <c r="G151" s="22" t="inlineStr">
        <is>
          <t>r_P [–]</t>
        </is>
      </c>
      <c r="H151" s="22" t="inlineStr">
        <is>
          <t>Fuera de rango</t>
        </is>
      </c>
      <c r="I151" s="22" t="inlineStr">
        <is>
          <t>Criterios que falla</t>
        </is>
      </c>
    </row>
    <row r="152">
      <c r="A152" s="16" t="inlineStr">
        <is>
          <t>KF-M10-OFAT-0030</t>
        </is>
      </c>
      <c r="B152" s="36" t="n">
        <v>2500</v>
      </c>
      <c r="C152" s="39" t="inlineStr">
        <is>
          <t>Corregible</t>
        </is>
      </c>
      <c r="D152" s="29" t="n">
        <v>11.0533056471649</v>
      </c>
      <c r="E152" s="35" t="n">
        <v>114.3445361195102</v>
      </c>
      <c r="F152" s="36" t="n">
        <v>1810</v>
      </c>
      <c r="G152" s="29" t="n">
        <v>3.623188405797102</v>
      </c>
      <c r="H152" s="16" t="inlineStr">
        <is>
          <t>no</t>
        </is>
      </c>
      <c r="I152" s="16" t="inlineStr">
        <is>
          <t>O2</t>
        </is>
      </c>
    </row>
    <row r="153">
      <c r="A153" s="16" t="inlineStr">
        <is>
          <t>KF-M10-OFAT-0031</t>
        </is>
      </c>
      <c r="B153" s="36" t="n">
        <v>2607.142857142857</v>
      </c>
      <c r="C153" s="39" t="inlineStr">
        <is>
          <t>Corregible</t>
        </is>
      </c>
      <c r="D153" s="29" t="n">
        <v>11.3330600317638</v>
      </c>
      <c r="E153" s="35" t="n">
        <v>115.4240268308435</v>
      </c>
      <c r="F153" s="36" t="n">
        <v>1917.142857142857</v>
      </c>
      <c r="G153" s="29" t="n">
        <v>3.778467908902692</v>
      </c>
      <c r="H153" s="16" t="inlineStr">
        <is>
          <t>no</t>
        </is>
      </c>
      <c r="I153" s="16" t="inlineStr">
        <is>
          <t>O2</t>
        </is>
      </c>
    </row>
    <row r="154">
      <c r="A154" s="16" t="inlineStr">
        <is>
          <t>KF-M10-OFAT-0032</t>
        </is>
      </c>
      <c r="B154" s="36" t="n">
        <v>2714.285714285714</v>
      </c>
      <c r="C154" s="39" t="inlineStr">
        <is>
          <t>Corregible</t>
        </is>
      </c>
      <c r="D154" s="29" t="n">
        <v>11.59332997056927</v>
      </c>
      <c r="E154" s="35" t="n">
        <v>116.2759884602476</v>
      </c>
      <c r="F154" s="36" t="n">
        <v>2024.285714285714</v>
      </c>
      <c r="G154" s="29" t="n">
        <v>3.933747412008282</v>
      </c>
      <c r="H154" s="16" t="inlineStr">
        <is>
          <t>no</t>
        </is>
      </c>
      <c r="I154" s="16" t="inlineStr">
        <is>
          <t>O2</t>
        </is>
      </c>
    </row>
    <row r="155">
      <c r="A155" s="16" t="inlineStr">
        <is>
          <t>KF-M10-OFAT-0033</t>
        </is>
      </c>
      <c r="B155" s="36" t="n">
        <v>2821.428571428572</v>
      </c>
      <c r="C155" s="42" t="inlineStr">
        <is>
          <t>KALINA</t>
        </is>
      </c>
      <c r="D155" s="29" t="n">
        <v>11.83568349674035</v>
      </c>
      <c r="E155" s="35" t="n">
        <v>116.9185964471383</v>
      </c>
      <c r="F155" s="36" t="n">
        <v>2131.428571428572</v>
      </c>
      <c r="G155" s="29" t="n">
        <v>4.089026915113872</v>
      </c>
      <c r="H155" s="16" t="inlineStr">
        <is>
          <t>no</t>
        </is>
      </c>
      <c r="I155" s="16" t="n"/>
    </row>
    <row r="156">
      <c r="A156" s="16" t="inlineStr">
        <is>
          <t>KF-M10-OFAT-0034</t>
        </is>
      </c>
      <c r="B156" s="36" t="n">
        <v>2928.571428571428</v>
      </c>
      <c r="C156" s="42" t="inlineStr">
        <is>
          <t>KALINA</t>
        </is>
      </c>
      <c r="D156" s="29" t="n">
        <v>12.06149842836869</v>
      </c>
      <c r="E156" s="35" t="n">
        <v>117.3673179249962</v>
      </c>
      <c r="F156" s="36" t="n">
        <v>2238.571428571428</v>
      </c>
      <c r="G156" s="29" t="n">
        <v>4.244306418219462</v>
      </c>
      <c r="H156" s="16" t="inlineStr">
        <is>
          <t>no</t>
        </is>
      </c>
      <c r="I156" s="16" t="n"/>
    </row>
    <row r="157">
      <c r="A157" s="16" t="inlineStr">
        <is>
          <t>KF-M10-OFAT-0035</t>
        </is>
      </c>
      <c r="B157" s="36" t="n">
        <v>3035.714285714286</v>
      </c>
      <c r="C157" s="42" t="inlineStr">
        <is>
          <t>KALINA</t>
        </is>
      </c>
      <c r="D157" s="29" t="n">
        <v>12.27197794772116</v>
      </c>
      <c r="E157" s="35" t="n">
        <v>117.6352334089008</v>
      </c>
      <c r="F157" s="36" t="n">
        <v>2345.714285714286</v>
      </c>
      <c r="G157" s="29" t="n">
        <v>4.399585921325052</v>
      </c>
      <c r="H157" s="16" t="inlineStr">
        <is>
          <t>no</t>
        </is>
      </c>
      <c r="I157" s="16" t="n"/>
    </row>
    <row r="158">
      <c r="A158" s="16" t="inlineStr">
        <is>
          <t>KF-M10-OFAT-0036</t>
        </is>
      </c>
      <c r="B158" s="36" t="n">
        <v>3142.857142857143</v>
      </c>
      <c r="C158" s="42" t="inlineStr">
        <is>
          <t>KALINA</t>
        </is>
      </c>
      <c r="D158" s="29" t="n">
        <v>12.46816263017079</v>
      </c>
      <c r="E158" s="35" t="n">
        <v>117.7332898591234</v>
      </c>
      <c r="F158" s="36" t="n">
        <v>2452.857142857143</v>
      </c>
      <c r="G158" s="29" t="n">
        <v>4.554865424430642</v>
      </c>
      <c r="H158" s="16" t="inlineStr">
        <is>
          <t>no</t>
        </is>
      </c>
      <c r="I158" s="16" t="n"/>
    </row>
    <row r="159">
      <c r="A159" s="16" t="inlineStr">
        <is>
          <t>KF-M10-OFAT-0037</t>
        </is>
      </c>
      <c r="B159" s="36" t="n">
        <v>3250</v>
      </c>
      <c r="C159" s="42" t="inlineStr">
        <is>
          <t>KALINA</t>
        </is>
      </c>
      <c r="D159" s="29" t="n">
        <v>12.65094109088577</v>
      </c>
      <c r="E159" s="35" t="n">
        <v>117.6705155799111</v>
      </c>
      <c r="F159" s="36" t="n">
        <v>2560</v>
      </c>
      <c r="G159" s="29" t="n">
        <v>4.710144927536232</v>
      </c>
      <c r="H159" s="16" t="inlineStr">
        <is>
          <t>no</t>
        </is>
      </c>
      <c r="I159" s="16" t="n"/>
    </row>
    <row r="160">
      <c r="A160" s="16" t="inlineStr">
        <is>
          <t>KF-M10-OFAT-0038</t>
        </is>
      </c>
      <c r="B160" s="36" t="n">
        <v>3357.142857142857</v>
      </c>
      <c r="C160" s="42" t="inlineStr">
        <is>
          <t>KALINA</t>
        </is>
      </c>
      <c r="D160" s="29" t="n">
        <v>12.82105831972853</v>
      </c>
      <c r="E160" s="35" t="n">
        <v>117.4541944131528</v>
      </c>
      <c r="F160" s="36" t="n">
        <v>2667.142857142857</v>
      </c>
      <c r="G160" s="29" t="n">
        <v>4.865424430641822</v>
      </c>
      <c r="H160" s="16" t="inlineStr">
        <is>
          <t>no</t>
        </is>
      </c>
      <c r="I160" s="16" t="n"/>
    </row>
    <row r="161">
      <c r="A161" s="16" t="inlineStr">
        <is>
          <t>KF-M10-OFAT-0042</t>
        </is>
      </c>
      <c r="B161" s="36" t="n">
        <v>3464.285714285714</v>
      </c>
      <c r="C161" s="42" t="inlineStr">
        <is>
          <t>KALINA</t>
        </is>
      </c>
      <c r="D161" s="29" t="n">
        <v>12.97912414602844</v>
      </c>
      <c r="E161" s="35" t="n">
        <v>117.0900284036478</v>
      </c>
      <c r="F161" s="36" t="n">
        <v>2774.285714285714</v>
      </c>
      <c r="G161" s="29" t="n">
        <v>5.020703933747412</v>
      </c>
      <c r="H161" s="16" t="inlineStr">
        <is>
          <t>no</t>
        </is>
      </c>
      <c r="I161" s="16" t="n"/>
    </row>
    <row r="162">
      <c r="A162" s="16" t="inlineStr">
        <is>
          <t>KF-M10-OFAT-0044</t>
        </is>
      </c>
      <c r="B162" s="36" t="n">
        <v>3571.428571428572</v>
      </c>
      <c r="C162" s="42" t="inlineStr">
        <is>
          <t>KALINA</t>
        </is>
      </c>
      <c r="D162" s="29" t="n">
        <v>13.10002265725447</v>
      </c>
      <c r="E162" s="35" t="n">
        <v>116.3353109112865</v>
      </c>
      <c r="F162" s="36" t="n">
        <v>2881.428571428572</v>
      </c>
      <c r="G162" s="29" t="n">
        <v>5.175983436853003</v>
      </c>
      <c r="H162" s="16" t="inlineStr">
        <is>
          <t>no</t>
        </is>
      </c>
      <c r="I162" s="16" t="n"/>
    </row>
    <row r="163">
      <c r="A163" s="16" t="inlineStr">
        <is>
          <t>KF-M10-OFAT-0043</t>
        </is>
      </c>
      <c r="B163" s="36" t="n">
        <v>3678.571428571429</v>
      </c>
      <c r="C163" s="42" t="inlineStr">
        <is>
          <t>KALINA</t>
        </is>
      </c>
      <c r="D163" s="29" t="n">
        <v>13.14655072772617</v>
      </c>
      <c r="E163" s="35" t="n">
        <v>114.8485395422777</v>
      </c>
      <c r="F163" s="36" t="n">
        <v>2988.571428571429</v>
      </c>
      <c r="G163" s="29" t="n">
        <v>5.331262939958592</v>
      </c>
      <c r="H163" s="16" t="inlineStr">
        <is>
          <t>no</t>
        </is>
      </c>
      <c r="I163" s="16" t="n"/>
    </row>
    <row r="164">
      <c r="A164" s="16" t="inlineStr">
        <is>
          <t>KF-M10-OFAT-0040</t>
        </is>
      </c>
      <c r="B164" s="36" t="n">
        <v>3785.714285714286</v>
      </c>
      <c r="C164" s="42" t="inlineStr">
        <is>
          <t>KALINA</t>
        </is>
      </c>
      <c r="D164" s="29" t="n">
        <v>13.3852549291339</v>
      </c>
      <c r="E164" s="35" t="n">
        <v>115.1467253428534</v>
      </c>
      <c r="F164" s="36" t="n">
        <v>3095.714285714286</v>
      </c>
      <c r="G164" s="29" t="n">
        <v>5.486542443064183</v>
      </c>
      <c r="H164" s="16" t="inlineStr">
        <is>
          <t>no</t>
        </is>
      </c>
      <c r="I164" s="16" t="n"/>
    </row>
    <row r="165">
      <c r="A165" s="16" t="inlineStr">
        <is>
          <t>KF-M10-OFAT-0039</t>
        </is>
      </c>
      <c r="B165" s="36" t="n">
        <v>3892.857142857143</v>
      </c>
      <c r="C165" s="42" t="inlineStr">
        <is>
          <t>KALINA</t>
        </is>
      </c>
      <c r="D165" s="29" t="n">
        <v>13.49878734713285</v>
      </c>
      <c r="E165" s="35" t="n">
        <v>114.221396406814</v>
      </c>
      <c r="F165" s="36" t="n">
        <v>3202.857142857143</v>
      </c>
      <c r="G165" s="29" t="n">
        <v>5.641821946169773</v>
      </c>
      <c r="H165" s="16" t="inlineStr">
        <is>
          <t>no</t>
        </is>
      </c>
      <c r="I165" s="16" t="n"/>
    </row>
    <row r="166">
      <c r="A166" s="16" t="inlineStr">
        <is>
          <t>KF-M10-OFAT-0041</t>
        </is>
      </c>
      <c r="B166" s="36" t="n">
        <v>4000</v>
      </c>
      <c r="C166" s="42" t="inlineStr">
        <is>
          <t>KALINA</t>
        </is>
      </c>
      <c r="D166" s="29" t="n">
        <v>13.60155540212271</v>
      </c>
      <c r="E166" s="35" t="n">
        <v>113.1576412195144</v>
      </c>
      <c r="F166" s="36" t="n">
        <v>3310</v>
      </c>
      <c r="G166" s="29" t="n">
        <v>5.797101449275362</v>
      </c>
      <c r="H166" s="16" t="inlineStr">
        <is>
          <t>no</t>
        </is>
      </c>
      <c r="I166" s="16" t="n"/>
    </row>
    <row r="167"/>
    <row r="168">
      <c r="A168" s="34" t="inlineStr">
        <is>
          <t>Barrido de P_baja [kPa] · 15 puntos</t>
        </is>
      </c>
    </row>
    <row r="169">
      <c r="A169" s="25" t="inlineStr">
        <is>
          <t>Fijos en este barrido: T_fuente = 394.15, T_sumidero = 278.15, P_alta = 3300, x_b = 0.82, η_t = 0.9, η_p = 0.8, ε_HRVG = 0.85, ε_reg = 0.75, ε_cond = 0.95.</t>
        </is>
      </c>
    </row>
    <row r="170">
      <c r="A170" s="22" t="inlineStr">
        <is>
          <t>id_punto</t>
        </is>
      </c>
      <c r="B170" s="22" t="inlineStr">
        <is>
          <t>P_baja [kPa]</t>
        </is>
      </c>
      <c r="C170" s="22" t="inlineStr">
        <is>
          <t>Clase</t>
        </is>
      </c>
      <c r="D170" s="22" t="inlineStr">
        <is>
          <t>η [%]</t>
        </is>
      </c>
      <c r="E170" s="22" t="inlineStr">
        <is>
          <t>W_net [kW] (m_b = 1 kg/s)</t>
        </is>
      </c>
      <c r="F170" s="22" t="inlineStr">
        <is>
          <t>ΔP [kPa]</t>
        </is>
      </c>
      <c r="G170" s="22" t="inlineStr">
        <is>
          <t>r_P [–]</t>
        </is>
      </c>
      <c r="H170" s="22" t="inlineStr">
        <is>
          <t>Fuera de rango</t>
        </is>
      </c>
      <c r="I170" s="22" t="inlineStr">
        <is>
          <t>Criterios que falla</t>
        </is>
      </c>
    </row>
    <row r="171">
      <c r="A171" s="16" t="inlineStr">
        <is>
          <t>KF-M10-OFAT-0045</t>
        </is>
      </c>
      <c r="B171" s="35" t="n">
        <v>500</v>
      </c>
      <c r="C171" s="39" t="inlineStr">
        <is>
          <t>Corregible</t>
        </is>
      </c>
      <c r="D171" s="29" t="n">
        <v>15.0409968815438</v>
      </c>
      <c r="E171" s="35" t="n">
        <v>138.9826918745443</v>
      </c>
      <c r="F171" s="36" t="n">
        <v>2800</v>
      </c>
      <c r="G171" s="29" t="n">
        <v>6.6</v>
      </c>
      <c r="H171" s="16" t="inlineStr">
        <is>
          <t>no</t>
        </is>
      </c>
      <c r="I171" s="16" t="inlineStr">
        <is>
          <t>O2</t>
        </is>
      </c>
    </row>
    <row r="172">
      <c r="A172" s="16" t="inlineStr">
        <is>
          <t>KF-M10-OFAT-0047</t>
        </is>
      </c>
      <c r="B172" s="35" t="n">
        <v>550</v>
      </c>
      <c r="C172" s="39" t="inlineStr">
        <is>
          <t>Corregible</t>
        </is>
      </c>
      <c r="D172" s="29" t="n">
        <v>14.37720428144615</v>
      </c>
      <c r="E172" s="35" t="n">
        <v>132.8380136156304</v>
      </c>
      <c r="F172" s="36" t="n">
        <v>2750</v>
      </c>
      <c r="G172" s="29" t="n">
        <v>6</v>
      </c>
      <c r="H172" s="16" t="inlineStr">
        <is>
          <t>no</t>
        </is>
      </c>
      <c r="I172" s="16" t="inlineStr">
        <is>
          <t>O2</t>
        </is>
      </c>
    </row>
    <row r="173">
      <c r="A173" s="16" t="inlineStr">
        <is>
          <t>KF-M10-OFAT-0050</t>
        </is>
      </c>
      <c r="B173" s="35" t="n">
        <v>600</v>
      </c>
      <c r="C173" s="39" t="inlineStr">
        <is>
          <t>Corregible</t>
        </is>
      </c>
      <c r="D173" s="29" t="n">
        <v>13.75268677295411</v>
      </c>
      <c r="E173" s="35" t="n">
        <v>127.0486533418041</v>
      </c>
      <c r="F173" s="36" t="n">
        <v>2700</v>
      </c>
      <c r="G173" s="29" t="n">
        <v>5.5</v>
      </c>
      <c r="H173" s="16" t="inlineStr">
        <is>
          <t>no</t>
        </is>
      </c>
      <c r="I173" s="16" t="inlineStr">
        <is>
          <t>O2</t>
        </is>
      </c>
    </row>
    <row r="174">
      <c r="A174" s="16" t="inlineStr">
        <is>
          <t>KF-M10-OFAT-0046</t>
        </is>
      </c>
      <c r="B174" s="35" t="n">
        <v>650</v>
      </c>
      <c r="C174" s="39" t="inlineStr">
        <is>
          <t>Corregible</t>
        </is>
      </c>
      <c r="D174" s="29" t="n">
        <v>13.17044444625268</v>
      </c>
      <c r="E174" s="35" t="n">
        <v>121.6520866887988</v>
      </c>
      <c r="F174" s="36" t="n">
        <v>2650</v>
      </c>
      <c r="G174" s="29" t="n">
        <v>5.076923076923077</v>
      </c>
      <c r="H174" s="16" t="inlineStr">
        <is>
          <t>no</t>
        </is>
      </c>
      <c r="I174" s="16" t="inlineStr">
        <is>
          <t>O2</t>
        </is>
      </c>
    </row>
    <row r="175">
      <c r="A175" s="16" t="inlineStr">
        <is>
          <t>KF-M10-OFAT-0051</t>
        </is>
      </c>
      <c r="B175" s="35" t="n">
        <v>700</v>
      </c>
      <c r="C175" s="42" t="inlineStr">
        <is>
          <t>KALINA</t>
        </is>
      </c>
      <c r="D175" s="29" t="n">
        <v>12.58131444606638</v>
      </c>
      <c r="E175" s="35" t="n">
        <v>116.160036609947</v>
      </c>
      <c r="F175" s="36" t="n">
        <v>2600</v>
      </c>
      <c r="G175" s="29" t="n">
        <v>4.714285714285714</v>
      </c>
      <c r="H175" s="16" t="inlineStr">
        <is>
          <t>no</t>
        </is>
      </c>
      <c r="I175" s="16" t="n"/>
    </row>
    <row r="176">
      <c r="A176" s="16" t="inlineStr">
        <is>
          <t>KF-M10-OFAT-0048</t>
        </is>
      </c>
      <c r="B176" s="35" t="n">
        <v>750</v>
      </c>
      <c r="C176" s="42" t="inlineStr">
        <is>
          <t>KALINA</t>
        </is>
      </c>
      <c r="D176" s="29" t="n">
        <v>12.11344297884353</v>
      </c>
      <c r="E176" s="35" t="n">
        <v>111.8598823594628</v>
      </c>
      <c r="F176" s="36" t="n">
        <v>2550</v>
      </c>
      <c r="G176" s="29" t="n">
        <v>4.4</v>
      </c>
      <c r="H176" s="16" t="inlineStr">
        <is>
          <t>no</t>
        </is>
      </c>
      <c r="I176" s="16" t="n"/>
    </row>
    <row r="177">
      <c r="A177" s="16" t="inlineStr">
        <is>
          <t>KF-M10-OFAT-0049</t>
        </is>
      </c>
      <c r="B177" s="35" t="n">
        <v>800</v>
      </c>
      <c r="C177" s="42" t="inlineStr">
        <is>
          <t>KALINA</t>
        </is>
      </c>
      <c r="D177" s="29" t="n">
        <v>11.62985863251361</v>
      </c>
      <c r="E177" s="35" t="n">
        <v>107.3818843882582</v>
      </c>
      <c r="F177" s="36" t="n">
        <v>2500</v>
      </c>
      <c r="G177" s="29" t="n">
        <v>4.125</v>
      </c>
      <c r="H177" s="16" t="inlineStr">
        <is>
          <t>no</t>
        </is>
      </c>
      <c r="I177" s="16" t="n"/>
    </row>
    <row r="178">
      <c r="A178" s="16" t="inlineStr">
        <is>
          <t>KF-M10-OFAT-0052</t>
        </is>
      </c>
      <c r="B178" s="35" t="n">
        <v>850</v>
      </c>
      <c r="C178" s="42" t="inlineStr">
        <is>
          <t>KALINA</t>
        </is>
      </c>
      <c r="D178" s="29" t="n">
        <v>11.17164861327897</v>
      </c>
      <c r="E178" s="35" t="n">
        <v>103.139987552983</v>
      </c>
      <c r="F178" s="36" t="n">
        <v>2450</v>
      </c>
      <c r="G178" s="29" t="n">
        <v>3.882352941176471</v>
      </c>
      <c r="H178" s="16" t="inlineStr">
        <is>
          <t>no</t>
        </is>
      </c>
      <c r="I178" s="16" t="n"/>
    </row>
    <row r="179">
      <c r="A179" s="16" t="inlineStr">
        <is>
          <t>KF-M10-OFAT-0053</t>
        </is>
      </c>
      <c r="B179" s="35" t="n">
        <v>900</v>
      </c>
      <c r="C179" s="42" t="inlineStr">
        <is>
          <t>KALINA</t>
        </is>
      </c>
      <c r="D179" s="29" t="n">
        <v>10.73610439817951</v>
      </c>
      <c r="E179" s="35" t="n">
        <v>99.10893025354618</v>
      </c>
      <c r="F179" s="36" t="n">
        <v>2400</v>
      </c>
      <c r="G179" s="29" t="n">
        <v>3.666666666666667</v>
      </c>
      <c r="H179" s="16" t="inlineStr">
        <is>
          <t>no</t>
        </is>
      </c>
      <c r="I179" s="16" t="n"/>
    </row>
    <row r="180">
      <c r="A180" s="16" t="inlineStr">
        <is>
          <t>KF-M10-OFAT-0054</t>
        </is>
      </c>
      <c r="B180" s="35" t="n">
        <v>950</v>
      </c>
      <c r="C180" s="42" t="inlineStr">
        <is>
          <t>KALINA</t>
        </is>
      </c>
      <c r="D180" s="29" t="n">
        <v>10.32094550926344</v>
      </c>
      <c r="E180" s="35" t="n">
        <v>95.26744767682612</v>
      </c>
      <c r="F180" s="36" t="n">
        <v>2350</v>
      </c>
      <c r="G180" s="29" t="n">
        <v>3.473684210526316</v>
      </c>
      <c r="H180" s="16" t="inlineStr">
        <is>
          <t>no</t>
        </is>
      </c>
      <c r="I180" s="16" t="n"/>
    </row>
    <row r="181">
      <c r="A181" s="16" t="inlineStr">
        <is>
          <t>KF-M10-OFAT-0055</t>
        </is>
      </c>
      <c r="B181" s="35" t="n">
        <v>1000</v>
      </c>
      <c r="C181" s="42" t="inlineStr">
        <is>
          <t>KALINA</t>
        </is>
      </c>
      <c r="D181" s="29" t="n">
        <v>9.924233112501261</v>
      </c>
      <c r="E181" s="35" t="n">
        <v>91.59746440326164</v>
      </c>
      <c r="F181" s="36" t="n">
        <v>2300</v>
      </c>
      <c r="G181" s="29" t="n">
        <v>3.3</v>
      </c>
      <c r="H181" s="16" t="inlineStr">
        <is>
          <t>no</t>
        </is>
      </c>
      <c r="I181" s="16" t="n"/>
    </row>
    <row r="182">
      <c r="A182" s="16" t="inlineStr">
        <is>
          <t>KF-M10-OFAT-0056</t>
        </is>
      </c>
      <c r="B182" s="35" t="n">
        <v>1050</v>
      </c>
      <c r="C182" s="42" t="inlineStr">
        <is>
          <t>KALINA</t>
        </is>
      </c>
      <c r="D182" s="29" t="n">
        <v>9.544303779329489</v>
      </c>
      <c r="E182" s="35" t="n">
        <v>88.0834756057733</v>
      </c>
      <c r="F182" s="36" t="n">
        <v>2250</v>
      </c>
      <c r="G182" s="29" t="n">
        <v>3.142857142857143</v>
      </c>
      <c r="H182" s="16" t="inlineStr">
        <is>
          <t>no</t>
        </is>
      </c>
      <c r="I182" s="16" t="n"/>
    </row>
    <row r="183">
      <c r="A183" s="16" t="inlineStr">
        <is>
          <t>KF-M10-OFAT-0057</t>
        </is>
      </c>
      <c r="B183" s="35" t="n">
        <v>1100</v>
      </c>
      <c r="C183" s="42" t="inlineStr">
        <is>
          <t>KALINA</t>
        </is>
      </c>
      <c r="D183" s="29" t="n">
        <v>9.17971921388504</v>
      </c>
      <c r="E183" s="35" t="n">
        <v>84.7120774289298</v>
      </c>
      <c r="F183" s="36" t="n">
        <v>2200</v>
      </c>
      <c r="G183" s="29" t="n">
        <v>3</v>
      </c>
      <c r="H183" s="16" t="inlineStr">
        <is>
          <t>no</t>
        </is>
      </c>
      <c r="I183" s="16" t="n"/>
    </row>
    <row r="184">
      <c r="A184" s="16" t="inlineStr">
        <is>
          <t>KF-M10-OFAT-0059</t>
        </is>
      </c>
      <c r="B184" s="35" t="n">
        <v>1150</v>
      </c>
      <c r="C184" s="42" t="inlineStr">
        <is>
          <t>KALINA</t>
        </is>
      </c>
      <c r="D184" s="29" t="n">
        <v>8.829226451936819</v>
      </c>
      <c r="E184" s="35" t="n">
        <v>81.47159530197396</v>
      </c>
      <c r="F184" s="36" t="n">
        <v>2150</v>
      </c>
      <c r="G184" s="29" t="n">
        <v>2.869565217391304</v>
      </c>
      <c r="H184" s="16" t="inlineStr">
        <is>
          <t>no</t>
        </is>
      </c>
      <c r="I184" s="16" t="n"/>
    </row>
    <row r="185">
      <c r="A185" s="16" t="inlineStr">
        <is>
          <t>KF-M10-OFAT-0060</t>
        </is>
      </c>
      <c r="B185" s="35" t="n">
        <v>1200</v>
      </c>
      <c r="C185" s="42" t="inlineStr">
        <is>
          <t>KALINA</t>
        </is>
      </c>
      <c r="D185" s="29" t="n">
        <v>8.491726704207609</v>
      </c>
      <c r="E185" s="35" t="n">
        <v>78.35179300624868</v>
      </c>
      <c r="F185" s="36" t="n">
        <v>2100</v>
      </c>
      <c r="G185" s="29" t="n">
        <v>2.75</v>
      </c>
      <c r="H185" s="16" t="inlineStr">
        <is>
          <t>no</t>
        </is>
      </c>
      <c r="I185" s="16" t="n"/>
    </row>
    <row r="186"/>
    <row r="187">
      <c r="A187" s="34" t="inlineStr">
        <is>
          <t>Barrido de x_b [–] · 15 puntos</t>
        </is>
      </c>
    </row>
    <row r="188">
      <c r="A188" s="25" t="inlineStr">
        <is>
          <t>Fijos en este barrido: T_fuente = 394.15, T_sumidero = 278.15, P_alta = 3300, P_baja = 690, η_t = 0.9, η_p = 0.8, ε_HRVG = 0.85, ε_reg = 0.75, ε_cond = 0.95.</t>
        </is>
      </c>
    </row>
    <row r="189">
      <c r="A189" s="22" t="inlineStr">
        <is>
          <t>id_punto</t>
        </is>
      </c>
      <c r="B189" s="22" t="inlineStr">
        <is>
          <t>x_b [–]</t>
        </is>
      </c>
      <c r="C189" s="22" t="inlineStr">
        <is>
          <t>Clase</t>
        </is>
      </c>
      <c r="D189" s="22" t="inlineStr">
        <is>
          <t>η [%]</t>
        </is>
      </c>
      <c r="E189" s="22" t="inlineStr">
        <is>
          <t>W_net [kW] (m_b = 1 kg/s)</t>
        </is>
      </c>
      <c r="F189" s="22" t="inlineStr">
        <is>
          <t>ΔP [kPa]</t>
        </is>
      </c>
      <c r="G189" s="22" t="inlineStr">
        <is>
          <t>r_P [–]</t>
        </is>
      </c>
      <c r="H189" s="22" t="inlineStr">
        <is>
          <t>Fuera de rango</t>
        </is>
      </c>
      <c r="I189" s="22" t="inlineStr">
        <is>
          <t>Criterios que falla</t>
        </is>
      </c>
    </row>
    <row r="190">
      <c r="A190" s="16" t="inlineStr">
        <is>
          <t>KF-M10-OFAT-0061</t>
        </is>
      </c>
      <c r="B190" s="37" t="n">
        <v>0.6</v>
      </c>
      <c r="C190" s="42" t="inlineStr">
        <is>
          <t>KALINA</t>
        </is>
      </c>
      <c r="D190" s="29" t="n">
        <v>8.816445146584611</v>
      </c>
      <c r="E190" s="35" t="n">
        <v>37.41192808343354</v>
      </c>
      <c r="F190" s="36" t="n">
        <v>2610</v>
      </c>
      <c r="G190" s="29" t="n">
        <v>4.782608695652174</v>
      </c>
      <c r="H190" s="16" t="inlineStr">
        <is>
          <t>no</t>
        </is>
      </c>
      <c r="I190" s="16" t="n"/>
    </row>
    <row r="191">
      <c r="A191" s="16" t="inlineStr">
        <is>
          <t>KF-M10-OFAT-0058</t>
        </is>
      </c>
      <c r="B191" s="37" t="n">
        <v>0.625</v>
      </c>
      <c r="C191" s="32" t="inlineStr">
        <is>
          <t>No convergió</t>
        </is>
      </c>
      <c r="D191" s="29" t="inlineStr">
        <is>
          <t>—</t>
        </is>
      </c>
      <c r="E191" s="35" t="inlineStr">
        <is>
          <t>—</t>
        </is>
      </c>
      <c r="F191" s="36" t="n">
        <v>2610</v>
      </c>
      <c r="G191" s="29" t="n">
        <v>4.782608695652174</v>
      </c>
      <c r="H191" s="16" t="inlineStr">
        <is>
          <t>no</t>
        </is>
      </c>
      <c r="I191" s="16" t="n"/>
    </row>
    <row r="192">
      <c r="A192" s="16" t="inlineStr">
        <is>
          <t>KF-M10-OFAT-0062</t>
        </is>
      </c>
      <c r="B192" s="37" t="n">
        <v>0.65</v>
      </c>
      <c r="C192" s="42" t="inlineStr">
        <is>
          <t>KALINA</t>
        </is>
      </c>
      <c r="D192" s="29" t="n">
        <v>10.2518067712797</v>
      </c>
      <c r="E192" s="35" t="n">
        <v>55.9521494480426</v>
      </c>
      <c r="F192" s="36" t="n">
        <v>2610</v>
      </c>
      <c r="G192" s="29" t="n">
        <v>4.782608695652174</v>
      </c>
      <c r="H192" s="16" t="inlineStr">
        <is>
          <t>no</t>
        </is>
      </c>
      <c r="I192" s="16" t="n"/>
    </row>
    <row r="193">
      <c r="A193" s="16" t="inlineStr">
        <is>
          <t>KF-M10-OFAT-0063</t>
        </is>
      </c>
      <c r="B193" s="37" t="n">
        <v>0.6749999999999999</v>
      </c>
      <c r="C193" s="42" t="inlineStr">
        <is>
          <t>KALINA</t>
        </is>
      </c>
      <c r="D193" s="29" t="n">
        <v>10.78159574911628</v>
      </c>
      <c r="E193" s="35" t="n">
        <v>65.17775013434638</v>
      </c>
      <c r="F193" s="36" t="n">
        <v>2610</v>
      </c>
      <c r="G193" s="29" t="n">
        <v>4.782608695652174</v>
      </c>
      <c r="H193" s="16" t="inlineStr">
        <is>
          <t>no</t>
        </is>
      </c>
      <c r="I193" s="16" t="n"/>
    </row>
    <row r="194">
      <c r="A194" s="16" t="inlineStr">
        <is>
          <t>KF-M10-OFAT-0064</t>
        </is>
      </c>
      <c r="B194" s="37" t="n">
        <v>0.7</v>
      </c>
      <c r="C194" s="42" t="inlineStr">
        <is>
          <t>KALINA</t>
        </is>
      </c>
      <c r="D194" s="29" t="n">
        <v>11.23217741708438</v>
      </c>
      <c r="E194" s="35" t="n">
        <v>74.36399717804875</v>
      </c>
      <c r="F194" s="36" t="n">
        <v>2610</v>
      </c>
      <c r="G194" s="29" t="n">
        <v>4.782608695652174</v>
      </c>
      <c r="H194" s="16" t="inlineStr">
        <is>
          <t>no</t>
        </is>
      </c>
      <c r="I194" s="16" t="n"/>
    </row>
    <row r="195">
      <c r="A195" s="16" t="inlineStr">
        <is>
          <t>KF-M10-OFAT-0065</t>
        </is>
      </c>
      <c r="B195" s="37" t="n">
        <v>0.725</v>
      </c>
      <c r="C195" s="42" t="inlineStr">
        <is>
          <t>KALINA</t>
        </is>
      </c>
      <c r="D195" s="29" t="n">
        <v>11.62246847395334</v>
      </c>
      <c r="E195" s="35" t="n">
        <v>83.50221327473321</v>
      </c>
      <c r="F195" s="36" t="n">
        <v>2610</v>
      </c>
      <c r="G195" s="29" t="n">
        <v>4.782608695652174</v>
      </c>
      <c r="H195" s="16" t="inlineStr">
        <is>
          <t>no</t>
        </is>
      </c>
      <c r="I195" s="16" t="n"/>
    </row>
    <row r="196">
      <c r="A196" s="16" t="inlineStr">
        <is>
          <t>KF-M10-OFAT-0066</t>
        </is>
      </c>
      <c r="B196" s="37" t="n">
        <v>0.75</v>
      </c>
      <c r="C196" s="42" t="inlineStr">
        <is>
          <t>KALINA</t>
        </is>
      </c>
      <c r="D196" s="29" t="n">
        <v>11.96495934786356</v>
      </c>
      <c r="E196" s="35" t="n">
        <v>92.58232499337376</v>
      </c>
      <c r="F196" s="36" t="n">
        <v>2610</v>
      </c>
      <c r="G196" s="29" t="n">
        <v>4.782608695652174</v>
      </c>
      <c r="H196" s="16" t="inlineStr">
        <is>
          <t>no</t>
        </is>
      </c>
      <c r="I196" s="16" t="n"/>
    </row>
    <row r="197">
      <c r="A197" s="16" t="inlineStr">
        <is>
          <t>KF-M10-OFAT-0067</t>
        </is>
      </c>
      <c r="B197" s="37" t="n">
        <v>0.7749999999999999</v>
      </c>
      <c r="C197" s="42" t="inlineStr">
        <is>
          <t>KALINA</t>
        </is>
      </c>
      <c r="D197" s="29" t="n">
        <v>12.26810253235902</v>
      </c>
      <c r="E197" s="35" t="n">
        <v>101.5925366965901</v>
      </c>
      <c r="F197" s="36" t="n">
        <v>2610</v>
      </c>
      <c r="G197" s="29" t="n">
        <v>4.782608695652174</v>
      </c>
      <c r="H197" s="16" t="inlineStr">
        <is>
          <t>no</t>
        </is>
      </c>
      <c r="I197" s="16" t="n"/>
    </row>
    <row r="198">
      <c r="A198" s="16" t="inlineStr">
        <is>
          <t>KF-M10-OFAT-0071</t>
        </is>
      </c>
      <c r="B198" s="37" t="n">
        <v>0.7999999999999999</v>
      </c>
      <c r="C198" s="42" t="inlineStr">
        <is>
          <t>KALINA</t>
        </is>
      </c>
      <c r="D198" s="29" t="n">
        <v>12.50472537002479</v>
      </c>
      <c r="E198" s="35" t="n">
        <v>110.2048749822196</v>
      </c>
      <c r="F198" s="36" t="n">
        <v>2610</v>
      </c>
      <c r="G198" s="29" t="n">
        <v>4.782608695652174</v>
      </c>
      <c r="H198" s="16" t="inlineStr">
        <is>
          <t>no</t>
        </is>
      </c>
      <c r="I198" s="16" t="n"/>
    </row>
    <row r="199">
      <c r="A199" s="16" t="inlineStr">
        <is>
          <t>KF-M10-OFAT-0069</t>
        </is>
      </c>
      <c r="B199" s="37" t="n">
        <v>0.825</v>
      </c>
      <c r="C199" s="42" t="inlineStr">
        <is>
          <t>KALINA</t>
        </is>
      </c>
      <c r="D199" s="29" t="n">
        <v>12.77762004685831</v>
      </c>
      <c r="E199" s="35" t="n">
        <v>119.3444114122819</v>
      </c>
      <c r="F199" s="36" t="n">
        <v>2610</v>
      </c>
      <c r="G199" s="29" t="n">
        <v>4.782608695652174</v>
      </c>
      <c r="H199" s="16" t="inlineStr">
        <is>
          <t>no</t>
        </is>
      </c>
      <c r="I199" s="16" t="n"/>
    </row>
    <row r="200">
      <c r="A200" s="16" t="inlineStr">
        <is>
          <t>KF-M10-OFAT-0068</t>
        </is>
      </c>
      <c r="B200" s="37" t="n">
        <v>0.85</v>
      </c>
      <c r="C200" s="39" t="inlineStr">
        <is>
          <t>Corregible</t>
        </is>
      </c>
      <c r="D200" s="29" t="n">
        <v>12.99045063123267</v>
      </c>
      <c r="E200" s="35" t="n">
        <v>128.0484319027406</v>
      </c>
      <c r="F200" s="36" t="n">
        <v>2610</v>
      </c>
      <c r="G200" s="29" t="n">
        <v>4.782608695652174</v>
      </c>
      <c r="H200" s="16" t="inlineStr">
        <is>
          <t>no</t>
        </is>
      </c>
      <c r="I200" s="16" t="inlineStr">
        <is>
          <t>O2</t>
        </is>
      </c>
    </row>
    <row r="201">
      <c r="A201" s="16" t="inlineStr">
        <is>
          <t>KF-M10-OFAT-0070</t>
        </is>
      </c>
      <c r="B201" s="37" t="n">
        <v>0.875</v>
      </c>
      <c r="C201" s="39" t="inlineStr">
        <is>
          <t>Corregible</t>
        </is>
      </c>
      <c r="D201" s="29" t="n">
        <v>13.17755558523389</v>
      </c>
      <c r="E201" s="35" t="n">
        <v>136.6046488934358</v>
      </c>
      <c r="F201" s="36" t="n">
        <v>2610</v>
      </c>
      <c r="G201" s="29" t="n">
        <v>4.782608695652174</v>
      </c>
      <c r="H201" s="16" t="inlineStr">
        <is>
          <t>no</t>
        </is>
      </c>
      <c r="I201" s="16" t="inlineStr">
        <is>
          <t>O2</t>
        </is>
      </c>
    </row>
    <row r="202">
      <c r="A202" s="16" t="inlineStr">
        <is>
          <t>KF-M10-OFAT-0072</t>
        </is>
      </c>
      <c r="B202" s="37" t="n">
        <v>0.8999999999999999</v>
      </c>
      <c r="C202" s="39" t="inlineStr">
        <is>
          <t>Corregible</t>
        </is>
      </c>
      <c r="D202" s="29" t="n">
        <v>13.33919494068688</v>
      </c>
      <c r="E202" s="35" t="n">
        <v>144.9786109859544</v>
      </c>
      <c r="F202" s="36" t="n">
        <v>2610</v>
      </c>
      <c r="G202" s="29" t="n">
        <v>4.782608695652174</v>
      </c>
      <c r="H202" s="16" t="inlineStr">
        <is>
          <t>no</t>
        </is>
      </c>
      <c r="I202" s="16" t="inlineStr">
        <is>
          <t>O2</t>
        </is>
      </c>
    </row>
    <row r="203">
      <c r="A203" s="16" t="inlineStr">
        <is>
          <t>KF-M10-OFAT-0078</t>
        </is>
      </c>
      <c r="B203" s="37" t="n">
        <v>0.925</v>
      </c>
      <c r="C203" s="39" t="inlineStr">
        <is>
          <t>Corregible</t>
        </is>
      </c>
      <c r="D203" s="29" t="n">
        <v>13.23636872396303</v>
      </c>
      <c r="E203" s="35" t="n">
        <v>150.1179657158267</v>
      </c>
      <c r="F203" s="36" t="n">
        <v>2610</v>
      </c>
      <c r="G203" s="29" t="n">
        <v>4.782608695652174</v>
      </c>
      <c r="H203" s="16" t="inlineStr">
        <is>
          <t>no</t>
        </is>
      </c>
      <c r="I203" s="16" t="inlineStr">
        <is>
          <t>O2</t>
        </is>
      </c>
    </row>
    <row r="204">
      <c r="A204" s="16" t="inlineStr">
        <is>
          <t>KF-M10-OFAT-0076</t>
        </is>
      </c>
      <c r="B204" s="37" t="n">
        <v>0.95</v>
      </c>
      <c r="C204" s="39" t="inlineStr">
        <is>
          <t>Corregible</t>
        </is>
      </c>
      <c r="D204" s="29" t="n">
        <v>13.34349037425598</v>
      </c>
      <c r="E204" s="35" t="n">
        <v>157.8382209991424</v>
      </c>
      <c r="F204" s="36" t="n">
        <v>2610</v>
      </c>
      <c r="G204" s="29" t="n">
        <v>4.782608695652174</v>
      </c>
      <c r="H204" s="16" t="inlineStr">
        <is>
          <t>no</t>
        </is>
      </c>
      <c r="I204" s="16" t="inlineStr">
        <is>
          <t>O2</t>
        </is>
      </c>
    </row>
    <row r="205"/>
    <row r="206">
      <c r="A206" s="34" t="inlineStr">
        <is>
          <t>Barrido de η_t [–] · 15 puntos</t>
        </is>
      </c>
    </row>
    <row r="207">
      <c r="A207" s="25" t="inlineStr">
        <is>
          <t>Fijos en este barrido: T_fuente = 394.15, T_sumidero = 278.15, P_alta = 3300, P_baja = 690, x_b = 0.82, η_p = 0.8, ε_HRVG = 0.85, ε_reg = 0.75, ε_cond = 0.95.</t>
        </is>
      </c>
    </row>
    <row r="208">
      <c r="A208" s="22" t="inlineStr">
        <is>
          <t>id_punto</t>
        </is>
      </c>
      <c r="B208" s="22" t="inlineStr">
        <is>
          <t>η_t [–]</t>
        </is>
      </c>
      <c r="C208" s="22" t="inlineStr">
        <is>
          <t>Clase</t>
        </is>
      </c>
      <c r="D208" s="22" t="inlineStr">
        <is>
          <t>η [%]</t>
        </is>
      </c>
      <c r="E208" s="22" t="inlineStr">
        <is>
          <t>W_net [kW] (m_b = 1 kg/s)</t>
        </is>
      </c>
      <c r="F208" s="22" t="inlineStr">
        <is>
          <t>ΔP [kPa]</t>
        </is>
      </c>
      <c r="G208" s="22" t="inlineStr">
        <is>
          <t>r_P [–]</t>
        </is>
      </c>
      <c r="H208" s="22" t="inlineStr">
        <is>
          <t>Fuera de rango</t>
        </is>
      </c>
    </row>
    <row r="209">
      <c r="A209" s="16" t="inlineStr">
        <is>
          <t>KF-M10-OFAT-0075</t>
        </is>
      </c>
      <c r="B209" s="37" t="n">
        <v>0.75</v>
      </c>
      <c r="C209" s="42" t="inlineStr">
        <is>
          <t>KALINA</t>
        </is>
      </c>
      <c r="D209" s="29" t="n">
        <v>10.5343266263611</v>
      </c>
      <c r="E209" s="35" t="n">
        <v>97.22666900475596</v>
      </c>
      <c r="F209" s="36" t="n">
        <v>2610</v>
      </c>
      <c r="G209" s="29" t="n">
        <v>4.782608695652174</v>
      </c>
      <c r="H209" s="16" t="inlineStr">
        <is>
          <t>no</t>
        </is>
      </c>
    </row>
    <row r="210">
      <c r="A210" s="16" t="inlineStr">
        <is>
          <t>KF-M10-OFAT-0073</t>
        </is>
      </c>
      <c r="B210" s="37" t="n">
        <v>0.7642857142857142</v>
      </c>
      <c r="C210" s="42" t="inlineStr">
        <is>
          <t>KALINA</t>
        </is>
      </c>
      <c r="D210" s="29" t="n">
        <v>10.74377241335414</v>
      </c>
      <c r="E210" s="35" t="n">
        <v>99.16613535177449</v>
      </c>
      <c r="F210" s="36" t="n">
        <v>2610</v>
      </c>
      <c r="G210" s="29" t="n">
        <v>4.782608695652174</v>
      </c>
      <c r="H210" s="16" t="inlineStr">
        <is>
          <t>no</t>
        </is>
      </c>
    </row>
    <row r="211">
      <c r="A211" s="16" t="inlineStr">
        <is>
          <t>KF-M10-OFAT-0074</t>
        </is>
      </c>
      <c r="B211" s="37" t="n">
        <v>0.7785714285714286</v>
      </c>
      <c r="C211" s="42" t="inlineStr">
        <is>
          <t>KALINA</t>
        </is>
      </c>
      <c r="D211" s="29" t="n">
        <v>10.95318523603804</v>
      </c>
      <c r="E211" s="35" t="n">
        <v>101.105546054346</v>
      </c>
      <c r="F211" s="36" t="n">
        <v>2610</v>
      </c>
      <c r="G211" s="29" t="n">
        <v>4.782608695652174</v>
      </c>
      <c r="H211" s="16" t="inlineStr">
        <is>
          <t>no</t>
        </is>
      </c>
    </row>
    <row r="212">
      <c r="A212" s="16" t="inlineStr">
        <is>
          <t>KF-M10-OFAT-0079</t>
        </is>
      </c>
      <c r="B212" s="37" t="n">
        <v>0.7928571428571428</v>
      </c>
      <c r="C212" s="42" t="inlineStr">
        <is>
          <t>KALINA</t>
        </is>
      </c>
      <c r="D212" s="29" t="n">
        <v>11.16256510295724</v>
      </c>
      <c r="E212" s="35" t="n">
        <v>103.0449011162641</v>
      </c>
      <c r="F212" s="36" t="n">
        <v>2610</v>
      </c>
      <c r="G212" s="29" t="n">
        <v>4.782608695652174</v>
      </c>
      <c r="H212" s="16" t="inlineStr">
        <is>
          <t>no</t>
        </is>
      </c>
    </row>
    <row r="213">
      <c r="A213" s="16" t="inlineStr">
        <is>
          <t>KF-M10-OFAT-0077</t>
        </is>
      </c>
      <c r="B213" s="37" t="n">
        <v>0.8071428571428572</v>
      </c>
      <c r="C213" s="42" t="inlineStr">
        <is>
          <t>KALINA</t>
        </is>
      </c>
      <c r="D213" s="29" t="n">
        <v>11.37191202263904</v>
      </c>
      <c r="E213" s="35" t="n">
        <v>104.9842005411655</v>
      </c>
      <c r="F213" s="36" t="n">
        <v>2610</v>
      </c>
      <c r="G213" s="29" t="n">
        <v>4.782608695652174</v>
      </c>
      <c r="H213" s="16" t="inlineStr">
        <is>
          <t>no</t>
        </is>
      </c>
    </row>
    <row r="214">
      <c r="A214" s="16" t="inlineStr">
        <is>
          <t>KF-M10-OFAT-0080</t>
        </is>
      </c>
      <c r="B214" s="37" t="n">
        <v>0.8214285714285714</v>
      </c>
      <c r="C214" s="42" t="inlineStr">
        <is>
          <t>KALINA</t>
        </is>
      </c>
      <c r="D214" s="29" t="n">
        <v>11.58122600363627</v>
      </c>
      <c r="E214" s="35" t="n">
        <v>106.92344433296</v>
      </c>
      <c r="F214" s="36" t="n">
        <v>2610</v>
      </c>
      <c r="G214" s="29" t="n">
        <v>4.782608695652174</v>
      </c>
      <c r="H214" s="16" t="inlineStr">
        <is>
          <t>no</t>
        </is>
      </c>
    </row>
    <row r="215">
      <c r="A215" s="16" t="inlineStr">
        <is>
          <t>KF-M10-OFAT-0081</t>
        </is>
      </c>
      <c r="B215" s="37" t="n">
        <v>0.8357142857142856</v>
      </c>
      <c r="C215" s="42" t="inlineStr">
        <is>
          <t>KALINA</t>
        </is>
      </c>
      <c r="D215" s="29" t="n">
        <v>11.79050705445947</v>
      </c>
      <c r="E215" s="35" t="n">
        <v>108.8626324952112</v>
      </c>
      <c r="F215" s="36" t="n">
        <v>2610</v>
      </c>
      <c r="G215" s="29" t="n">
        <v>4.782608695652174</v>
      </c>
      <c r="H215" s="16" t="inlineStr">
        <is>
          <t>no</t>
        </is>
      </c>
    </row>
    <row r="216">
      <c r="A216" s="16" t="inlineStr">
        <is>
          <t>KF-M10-OFAT-0082</t>
        </is>
      </c>
      <c r="B216" s="37" t="n">
        <v>0.85</v>
      </c>
      <c r="C216" s="42" t="inlineStr">
        <is>
          <t>KALINA</t>
        </is>
      </c>
      <c r="D216" s="29" t="n">
        <v>11.99975518366201</v>
      </c>
      <c r="E216" s="35" t="n">
        <v>110.8017650318812</v>
      </c>
      <c r="F216" s="36" t="n">
        <v>2610</v>
      </c>
      <c r="G216" s="29" t="n">
        <v>4.782608695652174</v>
      </c>
      <c r="H216" s="16" t="inlineStr">
        <is>
          <t>no</t>
        </is>
      </c>
    </row>
    <row r="217">
      <c r="A217" s="16" t="inlineStr">
        <is>
          <t>KF-M10-OFAT-0083</t>
        </is>
      </c>
      <c r="B217" s="37" t="n">
        <v>0.8642857142857142</v>
      </c>
      <c r="C217" s="42" t="inlineStr">
        <is>
          <t>KALINA</t>
        </is>
      </c>
      <c r="D217" s="29" t="n">
        <v>12.20897039978898</v>
      </c>
      <c r="E217" s="35" t="n">
        <v>112.7408419468971</v>
      </c>
      <c r="F217" s="36" t="n">
        <v>2610</v>
      </c>
      <c r="G217" s="29" t="n">
        <v>4.782608695652174</v>
      </c>
      <c r="H217" s="16" t="inlineStr">
        <is>
          <t>no</t>
        </is>
      </c>
    </row>
    <row r="218">
      <c r="A218" s="16" t="inlineStr">
        <is>
          <t>KF-M10-OFAT-0084</t>
        </is>
      </c>
      <c r="B218" s="37" t="n">
        <v>0.8785714285714286</v>
      </c>
      <c r="C218" s="42" t="inlineStr">
        <is>
          <t>KALINA</t>
        </is>
      </c>
      <c r="D218" s="29" t="n">
        <v>12.41815271128917</v>
      </c>
      <c r="E218" s="35" t="n">
        <v>114.6798632433202</v>
      </c>
      <c r="F218" s="36" t="n">
        <v>2610</v>
      </c>
      <c r="G218" s="29" t="n">
        <v>4.782608695652174</v>
      </c>
      <c r="H218" s="16" t="inlineStr">
        <is>
          <t>no</t>
        </is>
      </c>
    </row>
    <row r="219">
      <c r="A219" s="16" t="inlineStr">
        <is>
          <t>KF-M10-OFAT-0085</t>
        </is>
      </c>
      <c r="B219" s="37" t="n">
        <v>0.8928571428571428</v>
      </c>
      <c r="C219" s="42" t="inlineStr">
        <is>
          <t>KALINA</t>
        </is>
      </c>
      <c r="D219" s="29" t="n">
        <v>12.6273021267324</v>
      </c>
      <c r="E219" s="35" t="n">
        <v>116.6188289253562</v>
      </c>
      <c r="F219" s="36" t="n">
        <v>2610</v>
      </c>
      <c r="G219" s="29" t="n">
        <v>4.782608695652174</v>
      </c>
      <c r="H219" s="16" t="inlineStr">
        <is>
          <t>no</t>
        </is>
      </c>
    </row>
    <row r="220">
      <c r="A220" s="16" t="inlineStr">
        <is>
          <t>KF-M10-OFAT-0086</t>
        </is>
      </c>
      <c r="B220" s="37" t="n">
        <v>0.9071428571428573</v>
      </c>
      <c r="C220" s="42" t="inlineStr">
        <is>
          <t>KALINA</t>
        </is>
      </c>
      <c r="D220" s="29" t="n">
        <v>12.83641865463925</v>
      </c>
      <c r="E220" s="35" t="n">
        <v>118.5577389967976</v>
      </c>
      <c r="F220" s="36" t="n">
        <v>2610</v>
      </c>
      <c r="G220" s="29" t="n">
        <v>4.782608695652174</v>
      </c>
      <c r="H220" s="16" t="inlineStr">
        <is>
          <t>no</t>
        </is>
      </c>
    </row>
    <row r="221">
      <c r="A221" s="16" t="inlineStr">
        <is>
          <t>KF-M10-OFAT-0087</t>
        </is>
      </c>
      <c r="B221" s="37" t="n">
        <v>0.9214285714285714</v>
      </c>
      <c r="C221" s="42" t="inlineStr">
        <is>
          <t>KALINA</t>
        </is>
      </c>
      <c r="D221" s="29" t="n">
        <v>13.04550230345121</v>
      </c>
      <c r="E221" s="35" t="n">
        <v>120.4965934607104</v>
      </c>
      <c r="F221" s="36" t="n">
        <v>2610</v>
      </c>
      <c r="G221" s="29" t="n">
        <v>4.782608695652174</v>
      </c>
      <c r="H221" s="16" t="inlineStr">
        <is>
          <t>no</t>
        </is>
      </c>
    </row>
    <row r="222">
      <c r="A222" s="16" t="inlineStr">
        <is>
          <t>KF-M10-OFAT-0088</t>
        </is>
      </c>
      <c r="B222" s="37" t="n">
        <v>0.9357142857142856</v>
      </c>
      <c r="C222" s="42" t="inlineStr">
        <is>
          <t>KALINA</t>
        </is>
      </c>
      <c r="D222" s="29" t="n">
        <v>13.25455308180977</v>
      </c>
      <c r="E222" s="35" t="n">
        <v>122.4353923220542</v>
      </c>
      <c r="F222" s="36" t="n">
        <v>2610</v>
      </c>
      <c r="G222" s="29" t="n">
        <v>4.782608695652174</v>
      </c>
      <c r="H222" s="16" t="inlineStr">
        <is>
          <t>no</t>
        </is>
      </c>
    </row>
    <row r="223">
      <c r="A223" s="16" t="inlineStr">
        <is>
          <t>KF-M10-OFAT-0089</t>
        </is>
      </c>
      <c r="B223" s="37" t="n">
        <v>0.95</v>
      </c>
      <c r="C223" s="42" t="inlineStr">
        <is>
          <t>KALINA</t>
        </is>
      </c>
      <c r="D223" s="29" t="n">
        <v>13.46357099813214</v>
      </c>
      <c r="E223" s="35" t="n">
        <v>124.3741355837414</v>
      </c>
      <c r="F223" s="36" t="n">
        <v>2610</v>
      </c>
      <c r="G223" s="29" t="n">
        <v>4.782608695652174</v>
      </c>
      <c r="H223" s="16" t="inlineStr">
        <is>
          <t>no</t>
        </is>
      </c>
    </row>
    <row r="224"/>
    <row r="225">
      <c r="A225" s="34" t="inlineStr">
        <is>
          <t>Barrido de η_p [–] · 15 puntos</t>
        </is>
      </c>
    </row>
    <row r="226">
      <c r="A226" s="25" t="inlineStr">
        <is>
          <t>Fijos en este barrido: T_fuente = 394.15, T_sumidero = 278.15, P_alta = 3300, P_baja = 690, x_b = 0.82, η_t = 0.9, ε_HRVG = 0.85, ε_reg = 0.75, ε_cond = 0.95.</t>
        </is>
      </c>
    </row>
    <row r="227">
      <c r="A227" s="22" t="inlineStr">
        <is>
          <t>id_punto</t>
        </is>
      </c>
      <c r="B227" s="22" t="inlineStr">
        <is>
          <t>η_p [–]</t>
        </is>
      </c>
      <c r="C227" s="22" t="inlineStr">
        <is>
          <t>Clase</t>
        </is>
      </c>
      <c r="D227" s="22" t="inlineStr">
        <is>
          <t>η [%]</t>
        </is>
      </c>
      <c r="E227" s="22" t="inlineStr">
        <is>
          <t>W_net [kW] (m_b = 1 kg/s)</t>
        </is>
      </c>
      <c r="F227" s="22" t="inlineStr">
        <is>
          <t>ΔP [kPa]</t>
        </is>
      </c>
      <c r="G227" s="22" t="inlineStr">
        <is>
          <t>r_P [–]</t>
        </is>
      </c>
      <c r="H227" s="22" t="inlineStr">
        <is>
          <t>Fuera de rango</t>
        </is>
      </c>
    </row>
    <row r="228">
      <c r="A228" s="16" t="inlineStr">
        <is>
          <t>KF-M10-OFAT-0090</t>
        </is>
      </c>
      <c r="B228" s="37" t="n">
        <v>0.6</v>
      </c>
      <c r="C228" s="42" t="inlineStr">
        <is>
          <t>KALINA</t>
        </is>
      </c>
      <c r="D228" s="29" t="n">
        <v>12.57955171117227</v>
      </c>
      <c r="E228" s="35" t="n">
        <v>116.0620709702313</v>
      </c>
      <c r="F228" s="36" t="n">
        <v>2610</v>
      </c>
      <c r="G228" s="29" t="n">
        <v>4.782608695652174</v>
      </c>
      <c r="H228" s="16" t="inlineStr">
        <is>
          <t>no</t>
        </is>
      </c>
    </row>
    <row r="229">
      <c r="A229" s="16" t="inlineStr">
        <is>
          <t>KF-M10-OFAT-0091</t>
        </is>
      </c>
      <c r="B229" s="37" t="n">
        <v>0.6214285714285714</v>
      </c>
      <c r="C229" s="42" t="inlineStr">
        <is>
          <t>KALINA</t>
        </is>
      </c>
      <c r="D229" s="29" t="n">
        <v>12.60057899281016</v>
      </c>
      <c r="E229" s="35" t="n">
        <v>116.2725857120826</v>
      </c>
      <c r="F229" s="36" t="n">
        <v>2610</v>
      </c>
      <c r="G229" s="29" t="n">
        <v>4.782608695652174</v>
      </c>
      <c r="H229" s="16" t="inlineStr">
        <is>
          <t>no</t>
        </is>
      </c>
    </row>
    <row r="230">
      <c r="A230" s="16" t="inlineStr">
        <is>
          <t>KF-M10-OFAT-0092</t>
        </is>
      </c>
      <c r="B230" s="37" t="n">
        <v>0.6428571428571428</v>
      </c>
      <c r="C230" s="42" t="inlineStr">
        <is>
          <t>KALINA</t>
        </is>
      </c>
      <c r="D230" s="29" t="n">
        <v>12.62019907503039</v>
      </c>
      <c r="E230" s="35" t="n">
        <v>116.4690656623502</v>
      </c>
      <c r="F230" s="36" t="n">
        <v>2610</v>
      </c>
      <c r="G230" s="29" t="n">
        <v>4.782608695652174</v>
      </c>
      <c r="H230" s="16" t="inlineStr">
        <is>
          <t>no</t>
        </is>
      </c>
    </row>
    <row r="231">
      <c r="A231" s="16" t="inlineStr">
        <is>
          <t>KF-M10-OFAT-0093</t>
        </is>
      </c>
      <c r="B231" s="37" t="n">
        <v>0.6642857142857143</v>
      </c>
      <c r="C231" s="42" t="inlineStr">
        <is>
          <t>KALINA</t>
        </is>
      </c>
      <c r="D231" s="29" t="n">
        <v>12.63854864448449</v>
      </c>
      <c r="E231" s="35" t="n">
        <v>116.652869071685</v>
      </c>
      <c r="F231" s="36" t="n">
        <v>2610</v>
      </c>
      <c r="G231" s="29" t="n">
        <v>4.782608695652174</v>
      </c>
      <c r="H231" s="16" t="inlineStr">
        <is>
          <t>no</t>
        </is>
      </c>
    </row>
    <row r="232">
      <c r="A232" s="16" t="inlineStr">
        <is>
          <t>KF-M10-OFAT-0094</t>
        </is>
      </c>
      <c r="B232" s="37" t="n">
        <v>0.6857142857142857</v>
      </c>
      <c r="C232" s="42" t="inlineStr">
        <is>
          <t>KALINA</t>
        </is>
      </c>
      <c r="D232" s="29" t="n">
        <v>12.65574724035371</v>
      </c>
      <c r="E232" s="35" t="n">
        <v>116.8251844029101</v>
      </c>
      <c r="F232" s="36" t="n">
        <v>2610</v>
      </c>
      <c r="G232" s="29" t="n">
        <v>4.782608695652174</v>
      </c>
      <c r="H232" s="16" t="inlineStr">
        <is>
          <t>no</t>
        </is>
      </c>
    </row>
    <row r="233">
      <c r="A233" s="16" t="inlineStr">
        <is>
          <t>KF-M10-OFAT-0095</t>
        </is>
      </c>
      <c r="B233" s="37" t="n">
        <v>0.7071428571428572</v>
      </c>
      <c r="C233" s="42" t="inlineStr">
        <is>
          <t>KALINA</t>
        </is>
      </c>
      <c r="D233" s="29" t="n">
        <v>12.67189986175041</v>
      </c>
      <c r="E233" s="35" t="n">
        <v>116.9870560593656</v>
      </c>
      <c r="F233" s="36" t="n">
        <v>2610</v>
      </c>
      <c r="G233" s="29" t="n">
        <v>4.782608695652174</v>
      </c>
      <c r="H233" s="16" t="inlineStr">
        <is>
          <t>no</t>
        </is>
      </c>
    </row>
    <row r="234">
      <c r="A234" s="16" t="inlineStr">
        <is>
          <t>KF-M10-OFAT-0096</t>
        </is>
      </c>
      <c r="B234" s="37" t="n">
        <v>0.7285714285714285</v>
      </c>
      <c r="C234" s="42" t="inlineStr">
        <is>
          <t>KALINA</t>
        </is>
      </c>
      <c r="D234" s="29" t="n">
        <v>12.68709911301307</v>
      </c>
      <c r="E234" s="35" t="n">
        <v>117.1394055689241</v>
      </c>
      <c r="F234" s="36" t="n">
        <v>2610</v>
      </c>
      <c r="G234" s="29" t="n">
        <v>4.782608695652174</v>
      </c>
      <c r="H234" s="16" t="inlineStr">
        <is>
          <t>no</t>
        </is>
      </c>
    </row>
    <row r="235">
      <c r="A235" s="16" t="inlineStr">
        <is>
          <t>KF-M10-OFAT-0097</t>
        </is>
      </c>
      <c r="B235" s="37" t="n">
        <v>0.75</v>
      </c>
      <c r="C235" s="42" t="inlineStr">
        <is>
          <t>KALINA</t>
        </is>
      </c>
      <c r="D235" s="29" t="n">
        <v>12.7014269803761</v>
      </c>
      <c r="E235" s="35" t="n">
        <v>117.2830491395838</v>
      </c>
      <c r="F235" s="36" t="n">
        <v>2610</v>
      </c>
      <c r="G235" s="29" t="n">
        <v>4.782608695652174</v>
      </c>
      <c r="H235" s="16" t="inlineStr">
        <is>
          <t>no</t>
        </is>
      </c>
    </row>
    <row r="236">
      <c r="A236" s="16" t="inlineStr">
        <is>
          <t>KF-M10-OFAT-0098</t>
        </is>
      </c>
      <c r="B236" s="37" t="n">
        <v>0.7714285714285715</v>
      </c>
      <c r="C236" s="42" t="inlineStr">
        <is>
          <t>KALINA</t>
        </is>
      </c>
      <c r="D236" s="29" t="n">
        <v>12.71495631128995</v>
      </c>
      <c r="E236" s="35" t="n">
        <v>117.4187122864168</v>
      </c>
      <c r="F236" s="36" t="n">
        <v>2610</v>
      </c>
      <c r="G236" s="29" t="n">
        <v>4.782608695652174</v>
      </c>
      <c r="H236" s="16" t="inlineStr">
        <is>
          <t>no</t>
        </is>
      </c>
    </row>
    <row r="237">
      <c r="A237" s="16" t="inlineStr">
        <is>
          <t>KF-M10-OFAT-0099</t>
        </is>
      </c>
      <c r="B237" s="37" t="n">
        <v>0.7928571428571429</v>
      </c>
      <c r="C237" s="42" t="inlineStr">
        <is>
          <t>KALINA</t>
        </is>
      </c>
      <c r="D237" s="29" t="n">
        <v>12.72775205333601</v>
      </c>
      <c r="E237" s="35" t="n">
        <v>117.5470420886111</v>
      </c>
      <c r="F237" s="36" t="n">
        <v>2610</v>
      </c>
      <c r="G237" s="29" t="n">
        <v>4.782608695652174</v>
      </c>
      <c r="H237" s="16" t="inlineStr">
        <is>
          <t>no</t>
        </is>
      </c>
    </row>
    <row r="238">
      <c r="A238" s="16" t="inlineStr">
        <is>
          <t>KF-M10-OFAT-0100</t>
        </is>
      </c>
      <c r="B238" s="37" t="n">
        <v>0.8142857142857143</v>
      </c>
      <c r="C238" s="42" t="inlineStr">
        <is>
          <t>KALINA</t>
        </is>
      </c>
      <c r="D238" s="29" t="n">
        <v>12.73987229682464</v>
      </c>
      <c r="E238" s="35" t="n">
        <v>117.6686175101852</v>
      </c>
      <c r="F238" s="36" t="n">
        <v>2610</v>
      </c>
      <c r="G238" s="29" t="n">
        <v>4.782608695652174</v>
      </c>
      <c r="H238" s="16" t="inlineStr">
        <is>
          <t>no</t>
        </is>
      </c>
    </row>
    <row r="239">
      <c r="A239" s="16" t="inlineStr">
        <is>
          <t>KF-M10-OFAT-0102</t>
        </is>
      </c>
      <c r="B239" s="37" t="n">
        <v>0.8357142857142857</v>
      </c>
      <c r="C239" s="42" t="inlineStr">
        <is>
          <t>KALINA</t>
        </is>
      </c>
      <c r="D239" s="29" t="n">
        <v>12.75136915643556</v>
      </c>
      <c r="E239" s="35" t="n">
        <v>117.7839581320599</v>
      </c>
      <c r="F239" s="36" t="n">
        <v>2610</v>
      </c>
      <c r="G239" s="29" t="n">
        <v>4.782608695652174</v>
      </c>
      <c r="H239" s="16" t="inlineStr">
        <is>
          <t>no</t>
        </is>
      </c>
    </row>
    <row r="240">
      <c r="A240" s="16" t="inlineStr">
        <is>
          <t>KF-M10-OFAT-0101</t>
        </is>
      </c>
      <c r="B240" s="37" t="n">
        <v>0.8571428571428572</v>
      </c>
      <c r="C240" s="42" t="inlineStr">
        <is>
          <t>KALINA</t>
        </is>
      </c>
      <c r="D240" s="29" t="n">
        <v>12.76228952045992</v>
      </c>
      <c r="E240" s="35" t="n">
        <v>117.8935315764344</v>
      </c>
      <c r="F240" s="36" t="n">
        <v>2610</v>
      </c>
      <c r="G240" s="29" t="n">
        <v>4.782608695652174</v>
      </c>
      <c r="H240" s="16" t="inlineStr">
        <is>
          <t>no</t>
        </is>
      </c>
    </row>
    <row r="241">
      <c r="A241" s="16" t="inlineStr">
        <is>
          <t>KF-M10-OFAT-0103</t>
        </is>
      </c>
      <c r="B241" s="37" t="n">
        <v>0.8785714285714286</v>
      </c>
      <c r="C241" s="42" t="inlineStr">
        <is>
          <t>KALINA</t>
        </is>
      </c>
      <c r="D241" s="29" t="n">
        <v>12.77267568980766</v>
      </c>
      <c r="E241" s="35" t="n">
        <v>117.9977598420031</v>
      </c>
      <c r="F241" s="36" t="n">
        <v>2610</v>
      </c>
      <c r="G241" s="29" t="n">
        <v>4.782608695652174</v>
      </c>
      <c r="H241" s="16" t="inlineStr">
        <is>
          <t>no</t>
        </is>
      </c>
    </row>
    <row r="242">
      <c r="A242" s="16" t="inlineStr">
        <is>
          <t>KF-M10-OFAT-0104</t>
        </is>
      </c>
      <c r="B242" s="37" t="n">
        <v>0.9</v>
      </c>
      <c r="C242" s="42" t="inlineStr">
        <is>
          <t>KALINA</t>
        </is>
      </c>
      <c r="D242" s="29" t="n">
        <v>12.78256592574377</v>
      </c>
      <c r="E242" s="35" t="n">
        <v>118.0970247365888</v>
      </c>
      <c r="F242" s="36" t="n">
        <v>2610</v>
      </c>
      <c r="G242" s="29" t="n">
        <v>4.782608695652174</v>
      </c>
      <c r="H242" s="16" t="inlineStr">
        <is>
          <t>no</t>
        </is>
      </c>
    </row>
    <row r="243"/>
    <row r="244">
      <c r="A244" s="34" t="inlineStr">
        <is>
          <t>Barrido de ε_HRVG [–] · 15 puntos</t>
        </is>
      </c>
    </row>
    <row r="245">
      <c r="A245" s="25" t="inlineStr">
        <is>
          <t>Fijos en este barrido: T_fuente = 394.15, T_sumidero = 278.15, P_alta = 3300, P_baja = 690, x_b = 0.82, η_t = 0.9, η_p = 0.8, ε_reg = 0.75, ε_cond = 0.95.</t>
        </is>
      </c>
    </row>
    <row r="246">
      <c r="A246" s="22" t="inlineStr">
        <is>
          <t>id_punto</t>
        </is>
      </c>
      <c r="B246" s="22" t="inlineStr">
        <is>
          <t>ε_HRVG [–]</t>
        </is>
      </c>
      <c r="C246" s="22" t="inlineStr">
        <is>
          <t>Clase</t>
        </is>
      </c>
      <c r="D246" s="22" t="inlineStr">
        <is>
          <t>η [%]</t>
        </is>
      </c>
      <c r="E246" s="22" t="inlineStr">
        <is>
          <t>W_net [kW] (m_b = 1 kg/s)</t>
        </is>
      </c>
      <c r="F246" s="22" t="inlineStr">
        <is>
          <t>ΔP [kPa]</t>
        </is>
      </c>
      <c r="G246" s="22" t="inlineStr">
        <is>
          <t>r_P [–]</t>
        </is>
      </c>
      <c r="H246" s="22" t="inlineStr">
        <is>
          <t>Fuera de rango</t>
        </is>
      </c>
      <c r="I246" s="22" t="inlineStr">
        <is>
          <t>Criterios que falla</t>
        </is>
      </c>
    </row>
    <row r="247">
      <c r="A247" s="16" t="inlineStr">
        <is>
          <t>KF-M10-OFAT-0105</t>
        </is>
      </c>
      <c r="B247" s="37" t="n">
        <v>0.6</v>
      </c>
      <c r="C247" s="42" t="inlineStr">
        <is>
          <t>KALINA</t>
        </is>
      </c>
      <c r="D247" s="29" t="n">
        <v>11.6337945350606</v>
      </c>
      <c r="E247" s="35" t="n">
        <v>74.27626682308852</v>
      </c>
      <c r="F247" s="36" t="n">
        <v>2610</v>
      </c>
      <c r="G247" s="29" t="n">
        <v>4.782608695652174</v>
      </c>
      <c r="H247" s="16" t="inlineStr">
        <is>
          <t>no</t>
        </is>
      </c>
      <c r="I247" s="16" t="n"/>
    </row>
    <row r="248">
      <c r="A248" s="16" t="inlineStr">
        <is>
          <t>KF-M10-OFAT-0106</t>
        </is>
      </c>
      <c r="B248" s="37" t="n">
        <v>0.625</v>
      </c>
      <c r="C248" s="42" t="inlineStr">
        <is>
          <t>KALINA</t>
        </is>
      </c>
      <c r="D248" s="29" t="n">
        <v>11.76548406888493</v>
      </c>
      <c r="E248" s="35" t="n">
        <v>78.4646875814758</v>
      </c>
      <c r="F248" s="36" t="n">
        <v>2610</v>
      </c>
      <c r="G248" s="29" t="n">
        <v>4.782608695652174</v>
      </c>
      <c r="H248" s="16" t="inlineStr">
        <is>
          <t>no</t>
        </is>
      </c>
      <c r="I248" s="16" t="n"/>
    </row>
    <row r="249">
      <c r="A249" s="16" t="inlineStr">
        <is>
          <t>KF-M10-OFAT-0107</t>
        </is>
      </c>
      <c r="B249" s="37" t="n">
        <v>0.65</v>
      </c>
      <c r="C249" s="42" t="inlineStr">
        <is>
          <t>KALINA</t>
        </is>
      </c>
      <c r="D249" s="29" t="n">
        <v>11.88957761422312</v>
      </c>
      <c r="E249" s="35" t="n">
        <v>82.68042677201313</v>
      </c>
      <c r="F249" s="36" t="n">
        <v>2610</v>
      </c>
      <c r="G249" s="29" t="n">
        <v>4.782608695652174</v>
      </c>
      <c r="H249" s="16" t="inlineStr">
        <is>
          <t>no</t>
        </is>
      </c>
      <c r="I249" s="16" t="n"/>
    </row>
    <row r="250">
      <c r="A250" s="16" t="inlineStr">
        <is>
          <t>KF-M10-OFAT-0109</t>
        </is>
      </c>
      <c r="B250" s="37" t="n">
        <v>0.6749999999999999</v>
      </c>
      <c r="C250" s="42" t="inlineStr">
        <is>
          <t>KALINA</t>
        </is>
      </c>
      <c r="D250" s="29" t="n">
        <v>12.00740343945165</v>
      </c>
      <c r="E250" s="35" t="n">
        <v>86.92479729218384</v>
      </c>
      <c r="F250" s="36" t="n">
        <v>2610</v>
      </c>
      <c r="G250" s="29" t="n">
        <v>4.782608695652174</v>
      </c>
      <c r="H250" s="16" t="inlineStr">
        <is>
          <t>no</t>
        </is>
      </c>
      <c r="I250" s="16" t="n"/>
    </row>
    <row r="251">
      <c r="A251" s="16" t="inlineStr">
        <is>
          <t>KF-M10-OFAT-0108</t>
        </is>
      </c>
      <c r="B251" s="37" t="n">
        <v>0.7</v>
      </c>
      <c r="C251" s="42" t="inlineStr">
        <is>
          <t>KALINA</t>
        </is>
      </c>
      <c r="D251" s="29" t="n">
        <v>12.12013477638188</v>
      </c>
      <c r="E251" s="35" t="n">
        <v>91.19961068294656</v>
      </c>
      <c r="F251" s="36" t="n">
        <v>2610</v>
      </c>
      <c r="G251" s="29" t="n">
        <v>4.782608695652174</v>
      </c>
      <c r="H251" s="16" t="inlineStr">
        <is>
          <t>no</t>
        </is>
      </c>
      <c r="I251" s="16" t="n"/>
    </row>
    <row r="252">
      <c r="A252" s="16" t="inlineStr">
        <is>
          <t>KF-M10-OFAT-0110</t>
        </is>
      </c>
      <c r="B252" s="37" t="n">
        <v>0.725</v>
      </c>
      <c r="C252" s="42" t="inlineStr">
        <is>
          <t>KALINA</t>
        </is>
      </c>
      <c r="D252" s="29" t="n">
        <v>12.22880800024798</v>
      </c>
      <c r="E252" s="35" t="n">
        <v>95.50714040151659</v>
      </c>
      <c r="F252" s="36" t="n">
        <v>2610</v>
      </c>
      <c r="G252" s="29" t="n">
        <v>4.782608695652174</v>
      </c>
      <c r="H252" s="16" t="inlineStr">
        <is>
          <t>no</t>
        </is>
      </c>
      <c r="I252" s="16" t="n"/>
    </row>
    <row r="253">
      <c r="A253" s="16" t="inlineStr">
        <is>
          <t>KF-M10-OFAT-0111</t>
        </is>
      </c>
      <c r="B253" s="37" t="n">
        <v>0.75</v>
      </c>
      <c r="C253" s="42" t="inlineStr">
        <is>
          <t>KALINA</t>
        </is>
      </c>
      <c r="D253" s="29" t="n">
        <v>12.3342750395452</v>
      </c>
      <c r="E253" s="35" t="n">
        <v>99.84976587515524</v>
      </c>
      <c r="F253" s="36" t="n">
        <v>2610</v>
      </c>
      <c r="G253" s="29" t="n">
        <v>4.782608695652174</v>
      </c>
      <c r="H253" s="16" t="inlineStr">
        <is>
          <t>no</t>
        </is>
      </c>
      <c r="I253" s="16" t="n"/>
    </row>
    <row r="254">
      <c r="A254" s="16" t="inlineStr">
        <is>
          <t>KF-M10-OFAT-0112</t>
        </is>
      </c>
      <c r="B254" s="37" t="n">
        <v>0.7749999999999999</v>
      </c>
      <c r="C254" s="42" t="inlineStr">
        <is>
          <t>KALINA</t>
        </is>
      </c>
      <c r="D254" s="29" t="n">
        <v>12.43716394587433</v>
      </c>
      <c r="E254" s="35" t="n">
        <v>104.2294714463874</v>
      </c>
      <c r="F254" s="36" t="n">
        <v>2610</v>
      </c>
      <c r="G254" s="29" t="n">
        <v>4.782608695652174</v>
      </c>
      <c r="H254" s="16" t="inlineStr">
        <is>
          <t>no</t>
        </is>
      </c>
      <c r="I254" s="16" t="n"/>
    </row>
    <row r="255">
      <c r="A255" s="16" t="inlineStr">
        <is>
          <t>KF-M10-OFAT-0113</t>
        </is>
      </c>
      <c r="B255" s="37" t="n">
        <v>0.7999999999999999</v>
      </c>
      <c r="C255" s="42" t="inlineStr">
        <is>
          <t>KALINA</t>
        </is>
      </c>
      <c r="D255" s="29" t="n">
        <v>12.41935628578808</v>
      </c>
      <c r="E255" s="35" t="n">
        <v>107.5431211181876</v>
      </c>
      <c r="F255" s="36" t="n">
        <v>2610</v>
      </c>
      <c r="G255" s="29" t="n">
        <v>4.782608695652174</v>
      </c>
      <c r="H255" s="16" t="inlineStr">
        <is>
          <t>no</t>
        </is>
      </c>
      <c r="I255" s="16" t="n"/>
    </row>
    <row r="256">
      <c r="A256" s="16" t="inlineStr">
        <is>
          <t>KF-M10-OFAT-0114</t>
        </is>
      </c>
      <c r="B256" s="37" t="n">
        <v>0.825</v>
      </c>
      <c r="C256" s="42" t="inlineStr">
        <is>
          <t>KALINA</t>
        </is>
      </c>
      <c r="D256" s="29" t="n">
        <v>12.63616400716115</v>
      </c>
      <c r="E256" s="35" t="n">
        <v>113.1013033321016</v>
      </c>
      <c r="F256" s="36" t="n">
        <v>2610</v>
      </c>
      <c r="G256" s="29" t="n">
        <v>4.782608695652174</v>
      </c>
      <c r="H256" s="16" t="inlineStr">
        <is>
          <t>no</t>
        </is>
      </c>
      <c r="I256" s="16" t="n"/>
    </row>
    <row r="257">
      <c r="A257" s="16" t="inlineStr">
        <is>
          <t>KF-M10-OFAT-0115</t>
        </is>
      </c>
      <c r="B257" s="37" t="n">
        <v>0.85</v>
      </c>
      <c r="C257" s="42" t="inlineStr">
        <is>
          <t>KALINA</t>
        </is>
      </c>
      <c r="D257" s="29" t="n">
        <v>12.73186450108127</v>
      </c>
      <c r="E257" s="35" t="n">
        <v>117.5882909120357</v>
      </c>
      <c r="F257" s="36" t="n">
        <v>2610</v>
      </c>
      <c r="G257" s="29" t="n">
        <v>4.782608695652174</v>
      </c>
      <c r="H257" s="16" t="inlineStr">
        <is>
          <t>no</t>
        </is>
      </c>
      <c r="I257" s="16" t="n"/>
    </row>
    <row r="258">
      <c r="A258" s="16" t="inlineStr">
        <is>
          <t>KF-M10-OFAT-0116</t>
        </is>
      </c>
      <c r="B258" s="37" t="n">
        <v>0.875</v>
      </c>
      <c r="C258" s="42" t="inlineStr">
        <is>
          <t>KALINA</t>
        </is>
      </c>
      <c r="D258" s="29" t="n">
        <v>12.82416714500029</v>
      </c>
      <c r="E258" s="35" t="n">
        <v>122.1011785351356</v>
      </c>
      <c r="F258" s="36" t="n">
        <v>2610</v>
      </c>
      <c r="G258" s="29" t="n">
        <v>4.782608695652174</v>
      </c>
      <c r="H258" s="16" t="inlineStr">
        <is>
          <t>no</t>
        </is>
      </c>
      <c r="I258" s="16" t="n"/>
    </row>
    <row r="259">
      <c r="A259" s="16" t="inlineStr">
        <is>
          <t>KF-M10-OFAT-0117</t>
        </is>
      </c>
      <c r="B259" s="37" t="n">
        <v>0.8999999999999999</v>
      </c>
      <c r="C259" s="42" t="inlineStr">
        <is>
          <t>KALINA</t>
        </is>
      </c>
      <c r="D259" s="29" t="n">
        <v>12.91211144795722</v>
      </c>
      <c r="E259" s="35" t="n">
        <v>126.630745784219</v>
      </c>
      <c r="F259" s="36" t="n">
        <v>2610</v>
      </c>
      <c r="G259" s="29" t="n">
        <v>4.782608695652174</v>
      </c>
      <c r="H259" s="16" t="inlineStr">
        <is>
          <t>no</t>
        </is>
      </c>
      <c r="I259" s="16" t="n"/>
    </row>
    <row r="260">
      <c r="A260" s="16" t="inlineStr">
        <is>
          <t>KF-M10-OFAT-0118</t>
        </is>
      </c>
      <c r="B260" s="37" t="n">
        <v>0.925</v>
      </c>
      <c r="C260" s="42" t="inlineStr">
        <is>
          <t>KALINA</t>
        </is>
      </c>
      <c r="D260" s="29" t="n">
        <v>12.99465453845197</v>
      </c>
      <c r="E260" s="35" t="n">
        <v>131.1664348233837</v>
      </c>
      <c r="F260" s="36" t="n">
        <v>2610</v>
      </c>
      <c r="G260" s="29" t="n">
        <v>4.782608695652174</v>
      </c>
      <c r="H260" s="16" t="inlineStr">
        <is>
          <t>no</t>
        </is>
      </c>
      <c r="I260" s="16" t="n"/>
    </row>
    <row r="261">
      <c r="A261" s="16" t="inlineStr">
        <is>
          <t>KF-M10-OFAT-0119</t>
        </is>
      </c>
      <c r="B261" s="37" t="n">
        <v>0.95</v>
      </c>
      <c r="C261" s="39" t="inlineStr">
        <is>
          <t>Corregible</t>
        </is>
      </c>
      <c r="D261" s="29" t="n">
        <v>13.07082096746137</v>
      </c>
      <c r="E261" s="35" t="n">
        <v>135.6975838708267</v>
      </c>
      <c r="F261" s="36" t="n">
        <v>2610</v>
      </c>
      <c r="G261" s="29" t="n">
        <v>4.782608695652174</v>
      </c>
      <c r="H261" s="16" t="inlineStr">
        <is>
          <t>no</t>
        </is>
      </c>
      <c r="I261" s="16" t="inlineStr">
        <is>
          <t>O2</t>
        </is>
      </c>
    </row>
    <row r="262"/>
    <row r="263">
      <c r="A263" s="34" t="inlineStr">
        <is>
          <t>Barrido de ε_reg [–] · 15 puntos</t>
        </is>
      </c>
    </row>
    <row r="264">
      <c r="A264" s="25" t="inlineStr">
        <is>
          <t>Fijos en este barrido: T_fuente = 394.15, T_sumidero = 278.15, P_alta = 3300, P_baja = 690, x_b = 0.82, η_t = 0.9, η_p = 0.8, ε_HRVG = 0.85, ε_cond = 0.95.</t>
        </is>
      </c>
    </row>
    <row r="265">
      <c r="A265" s="22" t="inlineStr">
        <is>
          <t>id_punto</t>
        </is>
      </c>
      <c r="B265" s="22" t="inlineStr">
        <is>
          <t>ε_reg [–]</t>
        </is>
      </c>
      <c r="C265" s="22" t="inlineStr">
        <is>
          <t>Clase</t>
        </is>
      </c>
      <c r="D265" s="22" t="inlineStr">
        <is>
          <t>η [%]</t>
        </is>
      </c>
      <c r="E265" s="22" t="inlineStr">
        <is>
          <t>W_net [kW] (m_b = 1 kg/s)</t>
        </is>
      </c>
      <c r="F265" s="22" t="inlineStr">
        <is>
          <t>ΔP [kPa]</t>
        </is>
      </c>
      <c r="G265" s="22" t="inlineStr">
        <is>
          <t>r_P [–]</t>
        </is>
      </c>
      <c r="H265" s="22" t="inlineStr">
        <is>
          <t>Fuera de rango</t>
        </is>
      </c>
    </row>
    <row r="266">
      <c r="A266" s="16" t="inlineStr">
        <is>
          <t>KF-M10-OFAT-0120</t>
        </is>
      </c>
      <c r="B266" s="37" t="n">
        <v>0.4</v>
      </c>
      <c r="C266" s="42" t="inlineStr">
        <is>
          <t>KALINA</t>
        </is>
      </c>
      <c r="D266" s="29" t="n">
        <v>11.94067165369184</v>
      </c>
      <c r="E266" s="35" t="n">
        <v>116.1366797191823</v>
      </c>
      <c r="F266" s="36" t="n">
        <v>2610</v>
      </c>
      <c r="G266" s="29" t="n">
        <v>4.782608695652174</v>
      </c>
      <c r="H266" s="16" t="inlineStr">
        <is>
          <t>no</t>
        </is>
      </c>
    </row>
    <row r="267">
      <c r="A267" s="16" t="inlineStr">
        <is>
          <t>KF-M10-OFAT-0121</t>
        </is>
      </c>
      <c r="B267" s="37" t="n">
        <v>0.4392857142857143</v>
      </c>
      <c r="C267" s="42" t="inlineStr">
        <is>
          <t>KALINA</t>
        </is>
      </c>
      <c r="D267" s="29" t="n">
        <v>12.02549949800052</v>
      </c>
      <c r="E267" s="35" t="n">
        <v>116.2995998333134</v>
      </c>
      <c r="F267" s="36" t="n">
        <v>2610</v>
      </c>
      <c r="G267" s="29" t="n">
        <v>4.782608695652174</v>
      </c>
      <c r="H267" s="16" t="inlineStr">
        <is>
          <t>no</t>
        </is>
      </c>
    </row>
    <row r="268">
      <c r="A268" s="16" t="inlineStr">
        <is>
          <t>KF-M10-OFAT-0122</t>
        </is>
      </c>
      <c r="B268" s="37" t="n">
        <v>0.4785714285714286</v>
      </c>
      <c r="C268" s="42" t="inlineStr">
        <is>
          <t>KALINA</t>
        </is>
      </c>
      <c r="D268" s="29" t="n">
        <v>12.11129931177198</v>
      </c>
      <c r="E268" s="35" t="n">
        <v>116.4625340202753</v>
      </c>
      <c r="F268" s="36" t="n">
        <v>2610</v>
      </c>
      <c r="G268" s="29" t="n">
        <v>4.782608695652174</v>
      </c>
      <c r="H268" s="16" t="inlineStr">
        <is>
          <t>no</t>
        </is>
      </c>
    </row>
    <row r="269">
      <c r="A269" s="16" t="inlineStr">
        <is>
          <t>KF-M10-OFAT-0123</t>
        </is>
      </c>
      <c r="B269" s="37" t="n">
        <v>0.5178571428571428</v>
      </c>
      <c r="C269" s="42" t="inlineStr">
        <is>
          <t>KALINA</t>
        </is>
      </c>
      <c r="D269" s="29" t="n">
        <v>12.19808225860011</v>
      </c>
      <c r="E269" s="35" t="n">
        <v>116.6254719772899</v>
      </c>
      <c r="F269" s="36" t="n">
        <v>2610</v>
      </c>
      <c r="G269" s="29" t="n">
        <v>4.782608695652174</v>
      </c>
      <c r="H269" s="16" t="inlineStr">
        <is>
          <t>no</t>
        </is>
      </c>
    </row>
    <row r="270">
      <c r="A270" s="16" t="inlineStr">
        <is>
          <t>KF-M10-OFAT-0124</t>
        </is>
      </c>
      <c r="B270" s="37" t="n">
        <v>0.5571428571428572</v>
      </c>
      <c r="C270" s="42" t="inlineStr">
        <is>
          <t>KALINA</t>
        </is>
      </c>
      <c r="D270" s="29" t="n">
        <v>12.28586383273484</v>
      </c>
      <c r="E270" s="35" t="n">
        <v>116.7884108136332</v>
      </c>
      <c r="F270" s="36" t="n">
        <v>2610</v>
      </c>
      <c r="G270" s="29" t="n">
        <v>4.782608695652174</v>
      </c>
      <c r="H270" s="16" t="inlineStr">
        <is>
          <t>no</t>
        </is>
      </c>
    </row>
    <row r="271">
      <c r="A271" s="16" t="inlineStr">
        <is>
          <t>KF-M10-OFAT-0125</t>
        </is>
      </c>
      <c r="B271" s="37" t="n">
        <v>0.5964285714285714</v>
      </c>
      <c r="C271" s="42" t="inlineStr">
        <is>
          <t>KALINA</t>
        </is>
      </c>
      <c r="D271" s="29" t="n">
        <v>12.37466184195206</v>
      </c>
      <c r="E271" s="35" t="n">
        <v>116.9513511512224</v>
      </c>
      <c r="F271" s="36" t="n">
        <v>2610</v>
      </c>
      <c r="G271" s="29" t="n">
        <v>4.782608695652174</v>
      </c>
      <c r="H271" s="16" t="inlineStr">
        <is>
          <t>no</t>
        </is>
      </c>
    </row>
    <row r="272">
      <c r="A272" s="16" t="inlineStr">
        <is>
          <t>KF-M10-OFAT-0126</t>
        </is>
      </c>
      <c r="B272" s="37" t="n">
        <v>0.6357142857142857</v>
      </c>
      <c r="C272" s="42" t="inlineStr">
        <is>
          <t>KALINA</t>
        </is>
      </c>
      <c r="D272" s="29" t="n">
        <v>12.4644934573175</v>
      </c>
      <c r="E272" s="35" t="n">
        <v>117.1142917534649</v>
      </c>
      <c r="F272" s="36" t="n">
        <v>2610</v>
      </c>
      <c r="G272" s="29" t="n">
        <v>4.782608695652174</v>
      </c>
      <c r="H272" s="16" t="inlineStr">
        <is>
          <t>no</t>
        </is>
      </c>
    </row>
    <row r="273">
      <c r="A273" s="16" t="inlineStr">
        <is>
          <t>KF-M10-OFAT-0127</t>
        </is>
      </c>
      <c r="B273" s="37" t="n">
        <v>0.675</v>
      </c>
      <c r="C273" s="42" t="inlineStr">
        <is>
          <t>KALINA</t>
        </is>
      </c>
      <c r="D273" s="29" t="n">
        <v>12.55537636362463</v>
      </c>
      <c r="E273" s="35" t="n">
        <v>117.2772320624355</v>
      </c>
      <c r="F273" s="36" t="n">
        <v>2610</v>
      </c>
      <c r="G273" s="29" t="n">
        <v>4.782608695652174</v>
      </c>
      <c r="H273" s="16" t="inlineStr">
        <is>
          <t>no</t>
        </is>
      </c>
    </row>
    <row r="274">
      <c r="A274" s="16" t="inlineStr">
        <is>
          <t>KF-M10-OFAT-0128</t>
        </is>
      </c>
      <c r="B274" s="37" t="n">
        <v>0.7142857142857142</v>
      </c>
      <c r="C274" s="42" t="inlineStr">
        <is>
          <t>KALINA</t>
        </is>
      </c>
      <c r="D274" s="29" t="n">
        <v>12.64732828793685</v>
      </c>
      <c r="E274" s="35" t="n">
        <v>117.4401681606785</v>
      </c>
      <c r="F274" s="36" t="n">
        <v>2610</v>
      </c>
      <c r="G274" s="29" t="n">
        <v>4.782608695652174</v>
      </c>
      <c r="H274" s="16" t="inlineStr">
        <is>
          <t>no</t>
        </is>
      </c>
    </row>
    <row r="275">
      <c r="A275" s="16" t="inlineStr">
        <is>
          <t>KF-M10-OFAT-0129</t>
        </is>
      </c>
      <c r="B275" s="37" t="n">
        <v>0.7535714285714286</v>
      </c>
      <c r="C275" s="42" t="inlineStr">
        <is>
          <t>KALINA</t>
        </is>
      </c>
      <c r="D275" s="29" t="n">
        <v>12.74036810423893</v>
      </c>
      <c r="E275" s="35" t="n">
        <v>117.6031030039645</v>
      </c>
      <c r="F275" s="36" t="n">
        <v>2610</v>
      </c>
      <c r="G275" s="29" t="n">
        <v>4.782608695652174</v>
      </c>
      <c r="H275" s="16" t="inlineStr">
        <is>
          <t>no</t>
        </is>
      </c>
    </row>
    <row r="276">
      <c r="A276" s="16" t="inlineStr">
        <is>
          <t>KF-M10-OFAT-0130</t>
        </is>
      </c>
      <c r="B276" s="37" t="n">
        <v>0.7928571428571428</v>
      </c>
      <c r="C276" s="42" t="inlineStr">
        <is>
          <t>KALINA</t>
        </is>
      </c>
      <c r="D276" s="29" t="n">
        <v>12.83451445402864</v>
      </c>
      <c r="E276" s="35" t="n">
        <v>117.7660334006544</v>
      </c>
      <c r="F276" s="36" t="n">
        <v>2610</v>
      </c>
      <c r="G276" s="29" t="n">
        <v>4.782608695652174</v>
      </c>
      <c r="H276" s="16" t="inlineStr">
        <is>
          <t>no</t>
        </is>
      </c>
    </row>
    <row r="277">
      <c r="A277" s="16" t="inlineStr">
        <is>
          <t>KF-M10-OFAT-0131</t>
        </is>
      </c>
      <c r="B277" s="37" t="n">
        <v>0.8321428571428571</v>
      </c>
      <c r="C277" s="42" t="inlineStr">
        <is>
          <t>KALINA</t>
        </is>
      </c>
      <c r="D277" s="29" t="n">
        <v>12.92978655225828</v>
      </c>
      <c r="E277" s="35" t="n">
        <v>117.9289580635061</v>
      </c>
      <c r="F277" s="36" t="n">
        <v>2610</v>
      </c>
      <c r="G277" s="29" t="n">
        <v>4.782608695652174</v>
      </c>
      <c r="H277" s="16" t="inlineStr">
        <is>
          <t>no</t>
        </is>
      </c>
    </row>
    <row r="278">
      <c r="A278" s="16" t="inlineStr">
        <is>
          <t>KF-M10-OFAT-0132</t>
        </is>
      </c>
      <c r="B278" s="37" t="n">
        <v>0.8714285714285713</v>
      </c>
      <c r="C278" s="42" t="inlineStr">
        <is>
          <t>KALINA</t>
        </is>
      </c>
      <c r="D278" s="29" t="n">
        <v>13.02620420805367</v>
      </c>
      <c r="E278" s="35" t="n">
        <v>118.0918759422341</v>
      </c>
      <c r="F278" s="36" t="n">
        <v>2610</v>
      </c>
      <c r="G278" s="29" t="n">
        <v>4.782608695652174</v>
      </c>
      <c r="H278" s="16" t="inlineStr">
        <is>
          <t>no</t>
        </is>
      </c>
    </row>
    <row r="279">
      <c r="A279" s="16" t="inlineStr">
        <is>
          <t>KF-M10-OFAT-0133</t>
        </is>
      </c>
      <c r="B279" s="37" t="n">
        <v>0.9107142857142856</v>
      </c>
      <c r="C279" s="42" t="inlineStr">
        <is>
          <t>KALINA</t>
        </is>
      </c>
      <c r="D279" s="29" t="n">
        <v>13.12378762959341</v>
      </c>
      <c r="E279" s="35" t="n">
        <v>118.2547858630789</v>
      </c>
      <c r="F279" s="36" t="n">
        <v>2610</v>
      </c>
      <c r="G279" s="29" t="n">
        <v>4.782608695652174</v>
      </c>
      <c r="H279" s="16" t="inlineStr">
        <is>
          <t>no</t>
        </is>
      </c>
    </row>
    <row r="280">
      <c r="A280" s="16" t="inlineStr">
        <is>
          <t>KF-M10-OFAT-0135</t>
        </is>
      </c>
      <c r="B280" s="37" t="n">
        <v>0.95</v>
      </c>
      <c r="C280" s="42" t="inlineStr">
        <is>
          <t>KALINA</t>
        </is>
      </c>
      <c r="D280" s="29" t="n">
        <v>13.2225573486805</v>
      </c>
      <c r="E280" s="35" t="n">
        <v>118.4176852193223</v>
      </c>
      <c r="F280" s="36" t="n">
        <v>2610</v>
      </c>
      <c r="G280" s="29" t="n">
        <v>4.782608695652174</v>
      </c>
      <c r="H280" s="16" t="inlineStr">
        <is>
          <t>no</t>
        </is>
      </c>
    </row>
    <row r="281"/>
    <row r="282">
      <c r="A282" s="34" t="inlineStr">
        <is>
          <t>Barrido de ε_cond [–] · 15 puntos</t>
        </is>
      </c>
    </row>
    <row r="283">
      <c r="A283" s="25" t="inlineStr">
        <is>
          <t>Fijos en este barrido: T_fuente = 394.15, T_sumidero = 278.15, P_alta = 3300, P_baja = 690, x_b = 0.82, η_t = 0.9, η_p = 0.8, ε_HRVG = 0.85, ε_reg = 0.75.</t>
        </is>
      </c>
    </row>
    <row r="284">
      <c r="A284" s="22" t="inlineStr">
        <is>
          <t>id_punto</t>
        </is>
      </c>
      <c r="B284" s="22" t="inlineStr">
        <is>
          <t>ε_cond [–]</t>
        </is>
      </c>
      <c r="C284" s="22" t="inlineStr">
        <is>
          <t>Clase</t>
        </is>
      </c>
      <c r="D284" s="22" t="inlineStr">
        <is>
          <t>η [%]</t>
        </is>
      </c>
      <c r="E284" s="22" t="inlineStr">
        <is>
          <t>W_net [kW] (m_b = 1 kg/s)</t>
        </is>
      </c>
      <c r="F284" s="22" t="inlineStr">
        <is>
          <t>ΔP [kPa]</t>
        </is>
      </c>
      <c r="G284" s="22" t="inlineStr">
        <is>
          <t>r_P [–]</t>
        </is>
      </c>
      <c r="H284" s="22" t="inlineStr">
        <is>
          <t>Fuera de rango</t>
        </is>
      </c>
      <c r="I284" s="22" t="inlineStr">
        <is>
          <t>Criterios que falla</t>
        </is>
      </c>
    </row>
    <row r="285">
      <c r="A285" s="16" t="inlineStr">
        <is>
          <t>KF-M10-OFAT-0137</t>
        </is>
      </c>
      <c r="B285" s="37" t="n">
        <v>0.7</v>
      </c>
      <c r="C285" s="39" t="inlineStr">
        <is>
          <t>Corregible</t>
        </is>
      </c>
      <c r="D285" s="29" t="n">
        <v>13.27270931580798</v>
      </c>
      <c r="E285" s="35" t="n">
        <v>101.2565386201739</v>
      </c>
      <c r="F285" s="36" t="n">
        <v>2610</v>
      </c>
      <c r="G285" s="29" t="n">
        <v>4.782608695652174</v>
      </c>
      <c r="H285" s="16" t="inlineStr">
        <is>
          <t>no</t>
        </is>
      </c>
      <c r="I285" s="16" t="inlineStr">
        <is>
          <t>O2</t>
        </is>
      </c>
    </row>
    <row r="286">
      <c r="A286" s="16" t="inlineStr">
        <is>
          <t>KF-M10-OFAT-0140</t>
        </is>
      </c>
      <c r="B286" s="37" t="n">
        <v>0.7178571428571429</v>
      </c>
      <c r="C286" s="39" t="inlineStr">
        <is>
          <t>Corregible</t>
        </is>
      </c>
      <c r="D286" s="29" t="n">
        <v>13.43604548696222</v>
      </c>
      <c r="E286" s="35" t="n">
        <v>104.4154083721469</v>
      </c>
      <c r="F286" s="36" t="n">
        <v>2610</v>
      </c>
      <c r="G286" s="29" t="n">
        <v>4.782608695652174</v>
      </c>
      <c r="H286" s="16" t="inlineStr">
        <is>
          <t>no</t>
        </is>
      </c>
      <c r="I286" s="16" t="inlineStr">
        <is>
          <t>O2</t>
        </is>
      </c>
    </row>
    <row r="287">
      <c r="A287" s="16" t="inlineStr">
        <is>
          <t>KF-M10-OFAT-0136</t>
        </is>
      </c>
      <c r="B287" s="37" t="n">
        <v>0.7357142857142857</v>
      </c>
      <c r="C287" s="39" t="inlineStr">
        <is>
          <t>Corregible</t>
        </is>
      </c>
      <c r="D287" s="29" t="n">
        <v>13.55485652015634</v>
      </c>
      <c r="E287" s="35" t="n">
        <v>107.1981480938235</v>
      </c>
      <c r="F287" s="36" t="n">
        <v>2610</v>
      </c>
      <c r="G287" s="29" t="n">
        <v>4.782608695652174</v>
      </c>
      <c r="H287" s="16" t="inlineStr">
        <is>
          <t>no</t>
        </is>
      </c>
      <c r="I287" s="16" t="inlineStr">
        <is>
          <t>O2</t>
        </is>
      </c>
    </row>
    <row r="288">
      <c r="A288" s="16" t="inlineStr">
        <is>
          <t>KF-M10-OFAT-0134</t>
        </is>
      </c>
      <c r="B288" s="37" t="n">
        <v>0.7535714285714286</v>
      </c>
      <c r="C288" s="32" t="inlineStr">
        <is>
          <t>No convergió</t>
        </is>
      </c>
      <c r="D288" s="29" t="inlineStr">
        <is>
          <t>—</t>
        </is>
      </c>
      <c r="E288" s="35" t="inlineStr">
        <is>
          <t>—</t>
        </is>
      </c>
      <c r="F288" s="36" t="n">
        <v>2610</v>
      </c>
      <c r="G288" s="29" t="n">
        <v>4.782608695652174</v>
      </c>
      <c r="H288" s="16" t="inlineStr">
        <is>
          <t>no</t>
        </is>
      </c>
      <c r="I288" s="16" t="n"/>
    </row>
    <row r="289">
      <c r="A289" s="16" t="inlineStr">
        <is>
          <t>KF-M10-OFAT-0139</t>
        </is>
      </c>
      <c r="B289" s="37" t="n">
        <v>0.7714285714285714</v>
      </c>
      <c r="C289" s="39" t="inlineStr">
        <is>
          <t>Corregible</t>
        </is>
      </c>
      <c r="D289" s="29" t="n">
        <v>13.67598418117441</v>
      </c>
      <c r="E289" s="35" t="n">
        <v>111.7099934619436</v>
      </c>
      <c r="F289" s="36" t="n">
        <v>2610</v>
      </c>
      <c r="G289" s="29" t="n">
        <v>4.782608695652174</v>
      </c>
      <c r="H289" s="16" t="inlineStr">
        <is>
          <t>no</t>
        </is>
      </c>
      <c r="I289" s="16" t="inlineStr">
        <is>
          <t>O2</t>
        </is>
      </c>
    </row>
    <row r="290">
      <c r="A290" s="16" t="inlineStr">
        <is>
          <t>KF-M10-OFAT-0138</t>
        </is>
      </c>
      <c r="B290" s="37" t="n">
        <v>0.7892857142857143</v>
      </c>
      <c r="C290" s="39" t="inlineStr">
        <is>
          <t>Corregible</t>
        </is>
      </c>
      <c r="D290" s="29" t="n">
        <v>13.68561535292171</v>
      </c>
      <c r="E290" s="35" t="n">
        <v>113.4744273495411</v>
      </c>
      <c r="F290" s="36" t="n">
        <v>2610</v>
      </c>
      <c r="G290" s="29" t="n">
        <v>4.782608695652174</v>
      </c>
      <c r="H290" s="16" t="inlineStr">
        <is>
          <t>no</t>
        </is>
      </c>
      <c r="I290" s="16" t="inlineStr">
        <is>
          <t>O2</t>
        </is>
      </c>
    </row>
    <row r="291">
      <c r="A291" s="16" t="inlineStr">
        <is>
          <t>KF-M10-OFAT-0141</t>
        </is>
      </c>
      <c r="B291" s="37" t="n">
        <v>0.8071428571428571</v>
      </c>
      <c r="C291" s="39" t="inlineStr">
        <is>
          <t>Corregible</t>
        </is>
      </c>
      <c r="D291" s="29" t="n">
        <v>13.66545888324331</v>
      </c>
      <c r="E291" s="35" t="n">
        <v>114.9332418953533</v>
      </c>
      <c r="F291" s="36" t="n">
        <v>2610</v>
      </c>
      <c r="G291" s="29" t="n">
        <v>4.782608695652174</v>
      </c>
      <c r="H291" s="16" t="inlineStr">
        <is>
          <t>no</t>
        </is>
      </c>
      <c r="I291" s="16" t="inlineStr">
        <is>
          <t>O2</t>
        </is>
      </c>
    </row>
    <row r="292">
      <c r="A292" s="16" t="inlineStr">
        <is>
          <t>KF-M10-OFAT-0142</t>
        </is>
      </c>
      <c r="B292" s="37" t="n">
        <v>0.825</v>
      </c>
      <c r="C292" s="39" t="inlineStr">
        <is>
          <t>Corregible</t>
        </is>
      </c>
      <c r="D292" s="29" t="n">
        <v>13.61822915051719</v>
      </c>
      <c r="E292" s="35" t="n">
        <v>116.101986482687</v>
      </c>
      <c r="F292" s="36" t="n">
        <v>2610</v>
      </c>
      <c r="G292" s="29" t="n">
        <v>4.782608695652174</v>
      </c>
      <c r="H292" s="16" t="inlineStr">
        <is>
          <t>no</t>
        </is>
      </c>
      <c r="I292" s="16" t="inlineStr">
        <is>
          <t>O2</t>
        </is>
      </c>
    </row>
    <row r="293">
      <c r="A293" s="16" t="inlineStr">
        <is>
          <t>KF-M10-OFAT-0144</t>
        </is>
      </c>
      <c r="B293" s="37" t="n">
        <v>0.8428571428571427</v>
      </c>
      <c r="C293" s="39" t="inlineStr">
        <is>
          <t>Corregible</t>
        </is>
      </c>
      <c r="D293" s="29" t="n">
        <v>13.54632205142735</v>
      </c>
      <c r="E293" s="35" t="n">
        <v>116.9952827766313</v>
      </c>
      <c r="F293" s="36" t="n">
        <v>2610</v>
      </c>
      <c r="G293" s="29" t="n">
        <v>4.782608695652174</v>
      </c>
      <c r="H293" s="16" t="inlineStr">
        <is>
          <t>no</t>
        </is>
      </c>
      <c r="I293" s="16" t="inlineStr">
        <is>
          <t>O2</t>
        </is>
      </c>
    </row>
    <row r="294">
      <c r="A294" s="16" t="inlineStr">
        <is>
          <t>KF-M10-OFAT-0145</t>
        </is>
      </c>
      <c r="B294" s="37" t="n">
        <v>0.8607142857142857</v>
      </c>
      <c r="C294" s="39" t="inlineStr">
        <is>
          <t>Corregible</t>
        </is>
      </c>
      <c r="D294" s="29" t="n">
        <v>13.45187778776944</v>
      </c>
      <c r="E294" s="35" t="n">
        <v>117.6269218125091</v>
      </c>
      <c r="F294" s="36" t="n">
        <v>2610</v>
      </c>
      <c r="G294" s="29" t="n">
        <v>4.782608695652174</v>
      </c>
      <c r="H294" s="16" t="inlineStr">
        <is>
          <t>no</t>
        </is>
      </c>
      <c r="I294" s="16" t="inlineStr">
        <is>
          <t>O2</t>
        </is>
      </c>
    </row>
    <row r="295">
      <c r="A295" s="16" t="inlineStr">
        <is>
          <t>KF-M10-OFAT-0143</t>
        </is>
      </c>
      <c r="B295" s="37" t="n">
        <v>0.8785714285714286</v>
      </c>
      <c r="C295" s="39" t="inlineStr">
        <is>
          <t>Corregible</t>
        </is>
      </c>
      <c r="D295" s="29" t="n">
        <v>13.33681054343614</v>
      </c>
      <c r="E295" s="35" t="n">
        <v>118.0099625880554</v>
      </c>
      <c r="F295" s="36" t="n">
        <v>2610</v>
      </c>
      <c r="G295" s="29" t="n">
        <v>4.782608695652174</v>
      </c>
      <c r="H295" s="16" t="inlineStr">
        <is>
          <t>no</t>
        </is>
      </c>
      <c r="I295" s="16" t="inlineStr">
        <is>
          <t>O2</t>
        </is>
      </c>
    </row>
    <row r="296">
      <c r="A296" s="16" t="inlineStr">
        <is>
          <t>KF-M10-OFAT-0146</t>
        </is>
      </c>
      <c r="B296" s="37" t="n">
        <v>0.8964285714285714</v>
      </c>
      <c r="C296" s="39" t="inlineStr">
        <is>
          <t>Corregible</t>
        </is>
      </c>
      <c r="D296" s="29" t="n">
        <v>13.20284501487816</v>
      </c>
      <c r="E296" s="35" t="n">
        <v>118.1566475888708</v>
      </c>
      <c r="F296" s="36" t="n">
        <v>2610</v>
      </c>
      <c r="G296" s="29" t="n">
        <v>4.782608695652174</v>
      </c>
      <c r="H296" s="16" t="inlineStr">
        <is>
          <t>no</t>
        </is>
      </c>
      <c r="I296" s="16" t="inlineStr">
        <is>
          <t>O2</t>
        </is>
      </c>
    </row>
    <row r="297">
      <c r="A297" s="16" t="inlineStr">
        <is>
          <t>KF-M10-OFAT-0147</t>
        </is>
      </c>
      <c r="B297" s="37" t="n">
        <v>0.9142857142857144</v>
      </c>
      <c r="C297" s="39" t="inlineStr">
        <is>
          <t>Corregible</t>
        </is>
      </c>
      <c r="D297" s="29" t="n">
        <v>13.05151877785543</v>
      </c>
      <c r="E297" s="35" t="n">
        <v>118.0785320309238</v>
      </c>
      <c r="F297" s="36" t="n">
        <v>2610</v>
      </c>
      <c r="G297" s="29" t="n">
        <v>4.782608695652174</v>
      </c>
      <c r="H297" s="16" t="inlineStr">
        <is>
          <t>no</t>
        </is>
      </c>
      <c r="I297" s="16" t="inlineStr">
        <is>
          <t>O2</t>
        </is>
      </c>
    </row>
    <row r="298">
      <c r="A298" s="16" t="inlineStr">
        <is>
          <t>KF-M10-OFAT-0148</t>
        </is>
      </c>
      <c r="B298" s="37" t="n">
        <v>0.9321428571428571</v>
      </c>
      <c r="C298" s="39" t="inlineStr">
        <is>
          <t>Corregible</t>
        </is>
      </c>
      <c r="D298" s="29" t="n">
        <v>12.88927452768026</v>
      </c>
      <c r="E298" s="35" t="n">
        <v>117.8367870762241</v>
      </c>
      <c r="F298" s="36" t="n">
        <v>2610</v>
      </c>
      <c r="G298" s="29" t="n">
        <v>4.782608695652174</v>
      </c>
      <c r="H298" s="16" t="inlineStr">
        <is>
          <t>no</t>
        </is>
      </c>
      <c r="I298" s="16" t="inlineStr">
        <is>
          <t>O2</t>
        </is>
      </c>
    </row>
    <row r="299">
      <c r="A299" s="16" t="inlineStr">
        <is>
          <t>KF-M10-OFAT-0149</t>
        </is>
      </c>
      <c r="B299" s="37" t="n">
        <v>0.95</v>
      </c>
      <c r="C299" s="42" t="inlineStr">
        <is>
          <t>KALINA</t>
        </is>
      </c>
      <c r="D299" s="29" t="n">
        <v>12.73186450108127</v>
      </c>
      <c r="E299" s="35" t="n">
        <v>117.5882909120357</v>
      </c>
      <c r="F299" s="36" t="n">
        <v>2610</v>
      </c>
      <c r="G299" s="29" t="n">
        <v>4.782608695652174</v>
      </c>
      <c r="H299" s="16" t="inlineStr">
        <is>
          <t>no</t>
        </is>
      </c>
      <c r="I299" s="16" t="n"/>
    </row>
    <row r="300"/>
    <row r="301">
      <c r="A301" s="33" t="inlineStr">
        <is>
          <t>Parte 6.2c · malla x_b × P_baja (x_b 0.70–0.91) · 118 puntos</t>
        </is>
      </c>
      <c r="B301" s="31" t="n"/>
      <c r="C301" s="31" t="n"/>
      <c r="D301" s="31" t="n"/>
      <c r="E301" s="31" t="n"/>
      <c r="F301" s="31" t="n"/>
      <c r="G301" s="31" t="n"/>
      <c r="H301" s="31" t="n"/>
      <c r="I301" s="31" t="n"/>
      <c r="J301" s="31" t="n"/>
      <c r="K301" s="31" t="n"/>
      <c r="P301" s="24" t="inlineStr">
        <is>
          <t>Figura 6.2-1 · Húsavík: la P_baja mínima de KALINA sube con la fracción de amoníaco x_b</t>
        </is>
      </c>
    </row>
    <row r="302"/>
    <row r="303">
      <c r="A303" s="34" t="inlineStr">
        <is>
          <t>Barrido de la parte 6.2c · 118 puntos</t>
        </is>
      </c>
    </row>
    <row r="304">
      <c r="A304" s="25" t="inlineStr">
        <is>
          <t>Fijos en este barrido: T_fuente = 394.15, T_sumidero = 278.15, P_alta = 3300, η_t = 0.9, η_p = 0.8, ε_HRVG = 0.85, ε_reg = 0.75, ε_cond = 0.95.</t>
        </is>
      </c>
    </row>
    <row r="305">
      <c r="A305" s="22" t="inlineStr">
        <is>
          <t>id_punto</t>
        </is>
      </c>
      <c r="B305" s="22" t="inlineStr">
        <is>
          <t>P_baja [kPa]</t>
        </is>
      </c>
      <c r="C305" s="22" t="inlineStr">
        <is>
          <t>x_b [–]</t>
        </is>
      </c>
      <c r="D305" s="22" t="inlineStr">
        <is>
          <t>Clase</t>
        </is>
      </c>
      <c r="E305" s="22" t="inlineStr">
        <is>
          <t>η [%]</t>
        </is>
      </c>
      <c r="F305" s="22" t="inlineStr">
        <is>
          <t>W_net [kW] (m_b = 1 kg/s)</t>
        </is>
      </c>
      <c r="G305" s="22" t="inlineStr">
        <is>
          <t>ΔP [kPa]</t>
        </is>
      </c>
      <c r="H305" s="22" t="inlineStr">
        <is>
          <t>r_P [–]</t>
        </is>
      </c>
      <c r="I305" s="22" t="inlineStr">
        <is>
          <t>Fuera de rango</t>
        </is>
      </c>
      <c r="J305" s="22" t="inlineStr">
        <is>
          <t>Criterios que falla</t>
        </is>
      </c>
    </row>
    <row r="306">
      <c r="A306" s="16" t="inlineStr">
        <is>
          <t>KF-M10b-MALLA-0000</t>
        </is>
      </c>
      <c r="B306" s="35" t="n">
        <v>200</v>
      </c>
      <c r="C306" s="37" t="n">
        <v>0.3</v>
      </c>
      <c r="D306" s="32" t="inlineStr">
        <is>
          <t>No convergió</t>
        </is>
      </c>
      <c r="E306" s="29" t="inlineStr">
        <is>
          <t>—</t>
        </is>
      </c>
      <c r="F306" s="35" t="inlineStr">
        <is>
          <t>—</t>
        </is>
      </c>
      <c r="G306" s="36" t="n">
        <v>3100</v>
      </c>
      <c r="H306" s="29" t="n">
        <v>16.5</v>
      </c>
      <c r="I306" s="16" t="inlineStr">
        <is>
          <t>no</t>
        </is>
      </c>
      <c r="J306" s="16" t="n"/>
    </row>
    <row r="307">
      <c r="A307" s="16" t="inlineStr">
        <is>
          <t>KF-M10b-MALLA-0006</t>
        </is>
      </c>
      <c r="B307" s="35" t="n">
        <v>200</v>
      </c>
      <c r="C307" s="37" t="n">
        <v>0.35</v>
      </c>
      <c r="D307" s="32" t="inlineStr">
        <is>
          <t>No convergió</t>
        </is>
      </c>
      <c r="E307" s="29" t="inlineStr">
        <is>
          <t>—</t>
        </is>
      </c>
      <c r="F307" s="35" t="inlineStr">
        <is>
          <t>—</t>
        </is>
      </c>
      <c r="G307" s="36" t="n">
        <v>3100</v>
      </c>
      <c r="H307" s="29" t="n">
        <v>16.5</v>
      </c>
      <c r="I307" s="16" t="inlineStr">
        <is>
          <t>no</t>
        </is>
      </c>
      <c r="J307" s="16" t="n"/>
    </row>
    <row r="308">
      <c r="A308" s="16" t="inlineStr">
        <is>
          <t>KF-M10b-MALLA-0015</t>
        </is>
      </c>
      <c r="B308" s="35" t="n">
        <v>200</v>
      </c>
      <c r="C308" s="37" t="n">
        <v>0.4</v>
      </c>
      <c r="D308" s="38" t="inlineStr">
        <is>
          <t>Falso convergido</t>
        </is>
      </c>
      <c r="E308" s="29" t="inlineStr">
        <is>
          <t>—</t>
        </is>
      </c>
      <c r="F308" s="35" t="inlineStr">
        <is>
          <t>—</t>
        </is>
      </c>
      <c r="G308" s="36" t="n">
        <v>3100</v>
      </c>
      <c r="H308" s="29" t="n">
        <v>16.5</v>
      </c>
      <c r="I308" s="16" t="inlineStr">
        <is>
          <t>no</t>
        </is>
      </c>
      <c r="J308" s="16" t="inlineStr">
        <is>
          <t>N2,S6,O3,O5,C1,C3,C3</t>
        </is>
      </c>
    </row>
    <row r="309">
      <c r="A309" s="16" t="inlineStr">
        <is>
          <t>KF-M10b-MALLA-0018</t>
        </is>
      </c>
      <c r="B309" s="35" t="n">
        <v>200</v>
      </c>
      <c r="C309" s="37" t="n">
        <v>0.45</v>
      </c>
      <c r="D309" s="38" t="inlineStr">
        <is>
          <t>Falso convergido</t>
        </is>
      </c>
      <c r="E309" s="29" t="inlineStr">
        <is>
          <t>—</t>
        </is>
      </c>
      <c r="F309" s="35" t="inlineStr">
        <is>
          <t>—</t>
        </is>
      </c>
      <c r="G309" s="36" t="n">
        <v>3100</v>
      </c>
      <c r="H309" s="29" t="n">
        <v>16.5</v>
      </c>
      <c r="I309" s="16" t="inlineStr">
        <is>
          <t>no</t>
        </is>
      </c>
      <c r="J309" s="16" t="inlineStr">
        <is>
          <t>N2,O3,O5,C1,C3,C3</t>
        </is>
      </c>
    </row>
    <row r="310">
      <c r="A310" s="16" t="inlineStr">
        <is>
          <t>KF-M10b-MALLA-0021</t>
        </is>
      </c>
      <c r="B310" s="35" t="n">
        <v>200</v>
      </c>
      <c r="C310" s="37" t="n">
        <v>0.5</v>
      </c>
      <c r="D310" s="42" t="inlineStr">
        <is>
          <t>KALINA</t>
        </is>
      </c>
      <c r="E310" s="29" t="n">
        <v>1.22518862195867</v>
      </c>
      <c r="F310" s="35" t="n">
        <v>2.007947954590099</v>
      </c>
      <c r="G310" s="36" t="n">
        <v>3100</v>
      </c>
      <c r="H310" s="29" t="n">
        <v>16.5</v>
      </c>
      <c r="I310" s="16" t="inlineStr">
        <is>
          <t>no</t>
        </is>
      </c>
      <c r="J310" s="16" t="n"/>
    </row>
    <row r="311">
      <c r="A311" s="16" t="inlineStr">
        <is>
          <t>KF-M10b-MALLA-0028</t>
        </is>
      </c>
      <c r="B311" s="35" t="n">
        <v>200</v>
      </c>
      <c r="C311" s="37" t="n">
        <v>0.55</v>
      </c>
      <c r="D311" s="39" t="inlineStr">
        <is>
          <t>Corregible</t>
        </is>
      </c>
      <c r="E311" s="29" t="n">
        <v>11.02106444303393</v>
      </c>
      <c r="F311" s="35" t="n">
        <v>32.76603777628868</v>
      </c>
      <c r="G311" s="36" t="n">
        <v>3100</v>
      </c>
      <c r="H311" s="29" t="n">
        <v>16.5</v>
      </c>
      <c r="I311" s="16" t="inlineStr">
        <is>
          <t>no</t>
        </is>
      </c>
      <c r="J311" s="16" t="inlineStr">
        <is>
          <t>O2</t>
        </is>
      </c>
    </row>
    <row r="312">
      <c r="A312" s="16" t="inlineStr">
        <is>
          <t>KF-M10b-MALLA-0033</t>
        </is>
      </c>
      <c r="B312" s="35" t="n">
        <v>200</v>
      </c>
      <c r="C312" s="37" t="n">
        <v>0.6</v>
      </c>
      <c r="D312" s="39" t="inlineStr">
        <is>
          <t>Corregible</t>
        </is>
      </c>
      <c r="E312" s="29" t="n">
        <v>13.76433844215577</v>
      </c>
      <c r="F312" s="35" t="n">
        <v>50.98026647593032</v>
      </c>
      <c r="G312" s="36" t="n">
        <v>3100</v>
      </c>
      <c r="H312" s="29" t="n">
        <v>16.5</v>
      </c>
      <c r="I312" s="16" t="inlineStr">
        <is>
          <t>no</t>
        </is>
      </c>
      <c r="J312" s="16" t="inlineStr">
        <is>
          <t>O2</t>
        </is>
      </c>
    </row>
    <row r="313">
      <c r="A313" s="16" t="inlineStr">
        <is>
          <t>KF-M10b-MALLA-0045</t>
        </is>
      </c>
      <c r="B313" s="35" t="n">
        <v>200</v>
      </c>
      <c r="C313" s="37" t="n">
        <v>0.65</v>
      </c>
      <c r="D313" s="39" t="inlineStr">
        <is>
          <t>Corregible</t>
        </is>
      </c>
      <c r="E313" s="29" t="n">
        <v>9.789696373854801</v>
      </c>
      <c r="F313" s="35" t="n">
        <v>39.07748033872716</v>
      </c>
      <c r="G313" s="36" t="n">
        <v>3100</v>
      </c>
      <c r="H313" s="29" t="n">
        <v>16.5</v>
      </c>
      <c r="I313" s="16" t="inlineStr">
        <is>
          <t>no</t>
        </is>
      </c>
      <c r="J313" s="16" t="inlineStr">
        <is>
          <t>O2</t>
        </is>
      </c>
    </row>
    <row r="314">
      <c r="A314" s="16" t="inlineStr">
        <is>
          <t>KF-M10b-MALLA-0049</t>
        </is>
      </c>
      <c r="B314" s="35" t="n">
        <v>200</v>
      </c>
      <c r="C314" s="37" t="n">
        <v>0.7</v>
      </c>
      <c r="D314" s="39" t="inlineStr">
        <is>
          <t>Corregible</t>
        </is>
      </c>
      <c r="E314" s="29" t="n">
        <v>2.66016223928986</v>
      </c>
      <c r="F314" s="35" t="n">
        <v>8.830560549161675</v>
      </c>
      <c r="G314" s="36" t="n">
        <v>3100</v>
      </c>
      <c r="H314" s="29" t="n">
        <v>16.5</v>
      </c>
      <c r="I314" s="16" t="inlineStr">
        <is>
          <t>no</t>
        </is>
      </c>
      <c r="J314" s="16" t="inlineStr">
        <is>
          <t>O2</t>
        </is>
      </c>
    </row>
    <row r="315">
      <c r="A315" s="16" t="inlineStr">
        <is>
          <t>KF-M10b-MALLA-0002</t>
        </is>
      </c>
      <c r="B315" s="35" t="n">
        <v>300</v>
      </c>
      <c r="C315" s="37" t="n">
        <v>0.3</v>
      </c>
      <c r="D315" s="32" t="inlineStr">
        <is>
          <t>No convergió</t>
        </is>
      </c>
      <c r="E315" s="29" t="inlineStr">
        <is>
          <t>—</t>
        </is>
      </c>
      <c r="F315" s="35" t="inlineStr">
        <is>
          <t>—</t>
        </is>
      </c>
      <c r="G315" s="36" t="n">
        <v>3000</v>
      </c>
      <c r="H315" s="29" t="n">
        <v>11</v>
      </c>
      <c r="I315" s="16" t="inlineStr">
        <is>
          <t>no</t>
        </is>
      </c>
      <c r="J315" s="16" t="n"/>
    </row>
    <row r="316">
      <c r="A316" s="16" t="inlineStr">
        <is>
          <t>KF-M10b-MALLA-0009</t>
        </is>
      </c>
      <c r="B316" s="35" t="n">
        <v>300</v>
      </c>
      <c r="C316" s="37" t="n">
        <v>0.35</v>
      </c>
      <c r="D316" s="32" t="inlineStr">
        <is>
          <t>No convergió</t>
        </is>
      </c>
      <c r="E316" s="29" t="inlineStr">
        <is>
          <t>—</t>
        </is>
      </c>
      <c r="F316" s="35" t="inlineStr">
        <is>
          <t>—</t>
        </is>
      </c>
      <c r="G316" s="36" t="n">
        <v>3000</v>
      </c>
      <c r="H316" s="29" t="n">
        <v>11</v>
      </c>
      <c r="I316" s="16" t="inlineStr">
        <is>
          <t>no</t>
        </is>
      </c>
      <c r="J316" s="16" t="n"/>
    </row>
    <row r="317">
      <c r="A317" s="16" t="inlineStr">
        <is>
          <t>KF-M10b-MALLA-0017</t>
        </is>
      </c>
      <c r="B317" s="35" t="n">
        <v>300</v>
      </c>
      <c r="C317" s="37" t="n">
        <v>0.4</v>
      </c>
      <c r="D317" s="38" t="inlineStr">
        <is>
          <t>Falso convergido</t>
        </is>
      </c>
      <c r="E317" s="29" t="inlineStr">
        <is>
          <t>—</t>
        </is>
      </c>
      <c r="F317" s="35" t="inlineStr">
        <is>
          <t>—</t>
        </is>
      </c>
      <c r="G317" s="36" t="n">
        <v>3000</v>
      </c>
      <c r="H317" s="29" t="n">
        <v>11</v>
      </c>
      <c r="I317" s="16" t="inlineStr">
        <is>
          <t>no</t>
        </is>
      </c>
      <c r="J317" s="16" t="inlineStr">
        <is>
          <t>N2,S6,O3,O5,C1,C3,C3</t>
        </is>
      </c>
    </row>
    <row r="318">
      <c r="A318" s="16" t="inlineStr">
        <is>
          <t>KF-M10b-MALLA-0024</t>
        </is>
      </c>
      <c r="B318" s="35" t="n">
        <v>300</v>
      </c>
      <c r="C318" s="37" t="n">
        <v>0.45</v>
      </c>
      <c r="D318" s="38" t="inlineStr">
        <is>
          <t>Falso convergido</t>
        </is>
      </c>
      <c r="E318" s="29" t="inlineStr">
        <is>
          <t>—</t>
        </is>
      </c>
      <c r="F318" s="35" t="inlineStr">
        <is>
          <t>—</t>
        </is>
      </c>
      <c r="G318" s="36" t="n">
        <v>3000</v>
      </c>
      <c r="H318" s="29" t="n">
        <v>11</v>
      </c>
      <c r="I318" s="16" t="inlineStr">
        <is>
          <t>no</t>
        </is>
      </c>
      <c r="J318" s="16" t="inlineStr">
        <is>
          <t>N2,O3,O5,C1,C3,C3</t>
        </is>
      </c>
    </row>
    <row r="319">
      <c r="A319" s="16" t="inlineStr">
        <is>
          <t>KF-M10b-MALLA-0025</t>
        </is>
      </c>
      <c r="B319" s="35" t="n">
        <v>300</v>
      </c>
      <c r="C319" s="37" t="n">
        <v>0.5</v>
      </c>
      <c r="D319" s="42" t="inlineStr">
        <is>
          <t>KALINA</t>
        </is>
      </c>
      <c r="E319" s="29" t="n">
        <v>0.8265699918770001</v>
      </c>
      <c r="F319" s="35" t="n">
        <v>1.354712574044145</v>
      </c>
      <c r="G319" s="36" t="n">
        <v>3000</v>
      </c>
      <c r="H319" s="29" t="n">
        <v>11</v>
      </c>
      <c r="I319" s="16" t="inlineStr">
        <is>
          <t>no</t>
        </is>
      </c>
      <c r="J319" s="16" t="n"/>
    </row>
    <row r="320">
      <c r="A320" s="16" t="inlineStr">
        <is>
          <t>KF-M10b-MALLA-0030</t>
        </is>
      </c>
      <c r="B320" s="35" t="n">
        <v>300</v>
      </c>
      <c r="C320" s="37" t="n">
        <v>0.55</v>
      </c>
      <c r="D320" s="42" t="inlineStr">
        <is>
          <t>KALINA</t>
        </is>
      </c>
      <c r="E320" s="29" t="n">
        <v>9.56211392853103</v>
      </c>
      <c r="F320" s="35" t="n">
        <v>28.42556380826645</v>
      </c>
      <c r="G320" s="36" t="n">
        <v>3000</v>
      </c>
      <c r="H320" s="29" t="n">
        <v>11</v>
      </c>
      <c r="I320" s="16" t="inlineStr">
        <is>
          <t>no</t>
        </is>
      </c>
      <c r="J320" s="16" t="n"/>
    </row>
    <row r="321">
      <c r="A321" s="16" t="inlineStr">
        <is>
          <t>KF-M10b-MALLA-0036</t>
        </is>
      </c>
      <c r="B321" s="35" t="n">
        <v>300</v>
      </c>
      <c r="C321" s="37" t="n">
        <v>0.6</v>
      </c>
      <c r="D321" s="39" t="inlineStr">
        <is>
          <t>Corregible</t>
        </is>
      </c>
      <c r="E321" s="29" t="n">
        <v>13.04939180461021</v>
      </c>
      <c r="F321" s="35" t="n">
        <v>55.40318195861213</v>
      </c>
      <c r="G321" s="36" t="n">
        <v>3000</v>
      </c>
      <c r="H321" s="29" t="n">
        <v>11</v>
      </c>
      <c r="I321" s="16" t="inlineStr">
        <is>
          <t>no</t>
        </is>
      </c>
      <c r="J321" s="16" t="inlineStr">
        <is>
          <t>O2</t>
        </is>
      </c>
    </row>
    <row r="322">
      <c r="A322" s="16" t="inlineStr">
        <is>
          <t>KF-M10b-MALLA-0041</t>
        </is>
      </c>
      <c r="B322" s="35" t="n">
        <v>300</v>
      </c>
      <c r="C322" s="37" t="n">
        <v>0.65</v>
      </c>
      <c r="D322" s="39" t="inlineStr">
        <is>
          <t>Corregible</t>
        </is>
      </c>
      <c r="E322" s="29" t="n">
        <v>15.02882997652884</v>
      </c>
      <c r="F322" s="35" t="n">
        <v>82.07723376825228</v>
      </c>
      <c r="G322" s="36" t="n">
        <v>3000</v>
      </c>
      <c r="H322" s="29" t="n">
        <v>11</v>
      </c>
      <c r="I322" s="16" t="inlineStr">
        <is>
          <t>no</t>
        </is>
      </c>
      <c r="J322" s="16" t="inlineStr">
        <is>
          <t>O2</t>
        </is>
      </c>
      <c r="P322" s="25" t="inlineStr">
        <is>
          <t>Estudio 6.2 · parte(s) 6.2c. Punto base: Ancla de Húsavík (Fase 3): P_alta 3300 kPa, P_baja 690 kPa, T_fuente 394.15 K, T_sumidero 278.15 K</t>
        </is>
      </c>
    </row>
    <row r="323">
      <c r="A323" s="16" t="inlineStr">
        <is>
          <t>KF-M10b-MALLA-0048</t>
        </is>
      </c>
      <c r="B323" s="35" t="n">
        <v>300</v>
      </c>
      <c r="C323" s="37" t="n">
        <v>0.7</v>
      </c>
      <c r="D323" s="39" t="inlineStr">
        <is>
          <t>Corregible</t>
        </is>
      </c>
      <c r="E323" s="29" t="n">
        <v>16.22647583673273</v>
      </c>
      <c r="F323" s="35" t="n">
        <v>95.229575711961</v>
      </c>
      <c r="G323" s="36" t="n">
        <v>3000</v>
      </c>
      <c r="H323" s="29" t="n">
        <v>11</v>
      </c>
      <c r="I323" s="16" t="inlineStr">
        <is>
          <t>no</t>
        </is>
      </c>
      <c r="J323" s="16" t="inlineStr">
        <is>
          <t>O2</t>
        </is>
      </c>
      <c r="P323" s="25" t="inlineStr">
        <is>
          <t>Datos fijos: T_fuente = 394.15 K; T_sumidero = 278.15 K; P_alta = 3300 kPa; m_b = 1 kg/s; η_t = 0.9; η_p = 0.8; ε_HRVG = 0.85; ε_reg = 0.75; ε_cond = 0.95; piso de O2 = 283.15 K; motor de propiedades = teqp.</t>
        </is>
      </c>
    </row>
    <row r="324">
      <c r="A324" s="16" t="inlineStr">
        <is>
          <t>KF-M10b-MALLA-0001</t>
        </is>
      </c>
      <c r="B324" s="35" t="n">
        <v>400</v>
      </c>
      <c r="C324" s="37" t="n">
        <v>0.3</v>
      </c>
      <c r="D324" s="32" t="inlineStr">
        <is>
          <t>No convergió</t>
        </is>
      </c>
      <c r="E324" s="29" t="inlineStr">
        <is>
          <t>—</t>
        </is>
      </c>
      <c r="F324" s="35" t="inlineStr">
        <is>
          <t>—</t>
        </is>
      </c>
      <c r="G324" s="36" t="n">
        <v>2900</v>
      </c>
      <c r="H324" s="29" t="n">
        <v>8.25</v>
      </c>
      <c r="I324" s="16" t="inlineStr">
        <is>
          <t>no</t>
        </is>
      </c>
      <c r="J324" s="16" t="n"/>
      <c r="P324" s="25" t="inlineStr">
        <is>
          <t>Datos barridos: P_baja [200–1200] kPa (8 valores); x_b [0.3–0.91] (9 valores).</t>
        </is>
      </c>
    </row>
    <row r="325">
      <c r="A325" s="16" t="inlineStr">
        <is>
          <t>KF-M10b-MALLA-0008</t>
        </is>
      </c>
      <c r="B325" s="35" t="n">
        <v>400</v>
      </c>
      <c r="C325" s="37" t="n">
        <v>0.35</v>
      </c>
      <c r="D325" s="32" t="inlineStr">
        <is>
          <t>No convergió</t>
        </is>
      </c>
      <c r="E325" s="29" t="inlineStr">
        <is>
          <t>—</t>
        </is>
      </c>
      <c r="F325" s="35" t="inlineStr">
        <is>
          <t>—</t>
        </is>
      </c>
      <c r="G325" s="36" t="n">
        <v>2900</v>
      </c>
      <c r="H325" s="29" t="n">
        <v>8.25</v>
      </c>
      <c r="I325" s="16" t="inlineStr">
        <is>
          <t>no</t>
        </is>
      </c>
      <c r="J325" s="16" t="n"/>
      <c r="P325" s="25" t="inlineStr">
        <is>
          <t>Filtro: todos los puntos de las dos mallas (mismos datos fijos); línea = P_baja mínima KALINA por x_b; x_b = 0.50 es KALINA con η &lt; 1.3 %.</t>
        </is>
      </c>
    </row>
    <row r="326">
      <c r="A326" s="16" t="inlineStr">
        <is>
          <t>KF-M10b-MALLA-0016</t>
        </is>
      </c>
      <c r="B326" s="35" t="n">
        <v>400</v>
      </c>
      <c r="C326" s="37" t="n">
        <v>0.4</v>
      </c>
      <c r="D326" s="38" t="inlineStr">
        <is>
          <t>Falso convergido</t>
        </is>
      </c>
      <c r="E326" s="29" t="inlineStr">
        <is>
          <t>—</t>
        </is>
      </c>
      <c r="F326" s="35" t="inlineStr">
        <is>
          <t>—</t>
        </is>
      </c>
      <c r="G326" s="36" t="n">
        <v>2900</v>
      </c>
      <c r="H326" s="29" t="n">
        <v>8.25</v>
      </c>
      <c r="I326" s="16" t="inlineStr">
        <is>
          <t>no</t>
        </is>
      </c>
      <c r="J326" s="16" t="inlineStr">
        <is>
          <t>N2,S6,O3,O5,C1,C3,C3</t>
        </is>
      </c>
      <c r="P326" s="25" t="inlineStr">
        <is>
          <t>n = 118. Fuente: todos_los_puntos.csv.</t>
        </is>
      </c>
    </row>
    <row r="327">
      <c r="A327" s="16" t="inlineStr">
        <is>
          <t>KF-M10b-MALLA-0023</t>
        </is>
      </c>
      <c r="B327" s="35" t="n">
        <v>400</v>
      </c>
      <c r="C327" s="37" t="n">
        <v>0.45</v>
      </c>
      <c r="D327" s="38" t="inlineStr">
        <is>
          <t>Falso convergido</t>
        </is>
      </c>
      <c r="E327" s="29" t="inlineStr">
        <is>
          <t>—</t>
        </is>
      </c>
      <c r="F327" s="35" t="inlineStr">
        <is>
          <t>—</t>
        </is>
      </c>
      <c r="G327" s="36" t="n">
        <v>2900</v>
      </c>
      <c r="H327" s="29" t="n">
        <v>8.25</v>
      </c>
      <c r="I327" s="16" t="inlineStr">
        <is>
          <t>no</t>
        </is>
      </c>
      <c r="J327" s="16" t="inlineStr">
        <is>
          <t>N2,O3,O5,C1,C3,C3</t>
        </is>
      </c>
    </row>
    <row r="328">
      <c r="A328" s="16" t="inlineStr">
        <is>
          <t>KF-M10b-MALLA-0027</t>
        </is>
      </c>
      <c r="B328" s="35" t="n">
        <v>400</v>
      </c>
      <c r="C328" s="37" t="n">
        <v>0.5</v>
      </c>
      <c r="D328" s="42" t="inlineStr">
        <is>
          <t>KALINA</t>
        </is>
      </c>
      <c r="E328" s="29" t="n">
        <v>0.5520280257115</v>
      </c>
      <c r="F328" s="35" t="n">
        <v>0.904800771357464</v>
      </c>
      <c r="G328" s="36" t="n">
        <v>2900</v>
      </c>
      <c r="H328" s="29" t="n">
        <v>8.25</v>
      </c>
      <c r="I328" s="16" t="inlineStr">
        <is>
          <t>no</t>
        </is>
      </c>
      <c r="J328" s="16" t="n"/>
    </row>
    <row r="329">
      <c r="A329" s="16" t="inlineStr">
        <is>
          <t>KF-M10b-MALLA-0032</t>
        </is>
      </c>
      <c r="B329" s="35" t="n">
        <v>400</v>
      </c>
      <c r="C329" s="37" t="n">
        <v>0.55</v>
      </c>
      <c r="D329" s="42" t="inlineStr">
        <is>
          <t>KALINA</t>
        </is>
      </c>
      <c r="E329" s="29" t="n">
        <v>8.474353485647249</v>
      </c>
      <c r="F329" s="35" t="n">
        <v>25.18953965421024</v>
      </c>
      <c r="G329" s="36" t="n">
        <v>2900</v>
      </c>
      <c r="H329" s="29" t="n">
        <v>8.25</v>
      </c>
      <c r="I329" s="16" t="inlineStr">
        <is>
          <t>no</t>
        </is>
      </c>
      <c r="J329" s="16" t="n"/>
      <c r="P329" s="24" t="inlineStr">
        <is>
          <t>Figura 6.2-2 · Húsavík: eficiencia según cada variable, una a la vez (casi todas rompen por O2)</t>
        </is>
      </c>
    </row>
    <row r="330">
      <c r="A330" s="16" t="inlineStr">
        <is>
          <t>KF-M10b-MALLA-0038</t>
        </is>
      </c>
      <c r="B330" s="35" t="n">
        <v>400</v>
      </c>
      <c r="C330" s="37" t="n">
        <v>0.6</v>
      </c>
      <c r="D330" s="42" t="inlineStr">
        <is>
          <t>KALINA</t>
        </is>
      </c>
      <c r="E330" s="29" t="n">
        <v>11.63677099229255</v>
      </c>
      <c r="F330" s="35" t="n">
        <v>49.39612624071698</v>
      </c>
      <c r="G330" s="36" t="n">
        <v>2900</v>
      </c>
      <c r="H330" s="29" t="n">
        <v>8.25</v>
      </c>
      <c r="I330" s="16" t="inlineStr">
        <is>
          <t>no</t>
        </is>
      </c>
      <c r="J330" s="16" t="n"/>
    </row>
    <row r="331">
      <c r="A331" s="16" t="inlineStr">
        <is>
          <t>KF-M10b-MALLA-0043</t>
        </is>
      </c>
      <c r="B331" s="35" t="n">
        <v>400</v>
      </c>
      <c r="C331" s="37" t="n">
        <v>0.65</v>
      </c>
      <c r="D331" s="39" t="inlineStr">
        <is>
          <t>Corregible</t>
        </is>
      </c>
      <c r="E331" s="29" t="n">
        <v>13.45686929828906</v>
      </c>
      <c r="F331" s="35" t="n">
        <v>73.48140907739659</v>
      </c>
      <c r="G331" s="36" t="n">
        <v>2900</v>
      </c>
      <c r="H331" s="29" t="n">
        <v>8.25</v>
      </c>
      <c r="I331" s="16" t="inlineStr">
        <is>
          <t>no</t>
        </is>
      </c>
      <c r="J331" s="16" t="inlineStr">
        <is>
          <t>O2</t>
        </is>
      </c>
    </row>
    <row r="332">
      <c r="A332" s="16" t="inlineStr">
        <is>
          <t>KF-M10b-MALLA-0050</t>
        </is>
      </c>
      <c r="B332" s="35" t="n">
        <v>400</v>
      </c>
      <c r="C332" s="37" t="n">
        <v>0.7</v>
      </c>
      <c r="D332" s="39" t="inlineStr">
        <is>
          <t>Corregible</t>
        </is>
      </c>
      <c r="E332" s="29" t="n">
        <v>14.69800216762693</v>
      </c>
      <c r="F332" s="35" t="n">
        <v>97.37241861472334</v>
      </c>
      <c r="G332" s="36" t="n">
        <v>2900</v>
      </c>
      <c r="H332" s="29" t="n">
        <v>8.25</v>
      </c>
      <c r="I332" s="16" t="inlineStr">
        <is>
          <t>no</t>
        </is>
      </c>
      <c r="J332" s="16" t="inlineStr">
        <is>
          <t>O2</t>
        </is>
      </c>
    </row>
    <row r="333">
      <c r="A333" s="16" t="inlineStr">
        <is>
          <t>KF-M10b-MALLA-0003</t>
        </is>
      </c>
      <c r="B333" s="35" t="n">
        <v>500</v>
      </c>
      <c r="C333" s="37" t="n">
        <v>0.3</v>
      </c>
      <c r="D333" s="32" t="inlineStr">
        <is>
          <t>No convergió</t>
        </is>
      </c>
      <c r="E333" s="29" t="inlineStr">
        <is>
          <t>—</t>
        </is>
      </c>
      <c r="F333" s="35" t="inlineStr">
        <is>
          <t>—</t>
        </is>
      </c>
      <c r="G333" s="36" t="n">
        <v>2800</v>
      </c>
      <c r="H333" s="29" t="n">
        <v>6.6</v>
      </c>
      <c r="I333" s="16" t="inlineStr">
        <is>
          <t>no</t>
        </is>
      </c>
      <c r="J333" s="16" t="n"/>
    </row>
    <row r="334">
      <c r="A334" s="16" t="inlineStr">
        <is>
          <t>KF-M10b-MALLA-0010</t>
        </is>
      </c>
      <c r="B334" s="35" t="n">
        <v>500</v>
      </c>
      <c r="C334" s="37" t="n">
        <v>0.35</v>
      </c>
      <c r="D334" s="32" t="inlineStr">
        <is>
          <t>No convergió</t>
        </is>
      </c>
      <c r="E334" s="29" t="inlineStr">
        <is>
          <t>—</t>
        </is>
      </c>
      <c r="F334" s="35" t="inlineStr">
        <is>
          <t>—</t>
        </is>
      </c>
      <c r="G334" s="36" t="n">
        <v>2800</v>
      </c>
      <c r="H334" s="29" t="n">
        <v>6.6</v>
      </c>
      <c r="I334" s="16" t="inlineStr">
        <is>
          <t>no</t>
        </is>
      </c>
      <c r="J334" s="16" t="n"/>
    </row>
    <row r="335">
      <c r="A335" s="16" t="inlineStr">
        <is>
          <t>KF-M10b-MALLA-0014</t>
        </is>
      </c>
      <c r="B335" s="35" t="n">
        <v>500</v>
      </c>
      <c r="C335" s="37" t="n">
        <v>0.4</v>
      </c>
      <c r="D335" s="38" t="inlineStr">
        <is>
          <t>Falso convergido</t>
        </is>
      </c>
      <c r="E335" s="29" t="inlineStr">
        <is>
          <t>—</t>
        </is>
      </c>
      <c r="F335" s="35" t="inlineStr">
        <is>
          <t>—</t>
        </is>
      </c>
      <c r="G335" s="36" t="n">
        <v>2800</v>
      </c>
      <c r="H335" s="29" t="n">
        <v>6.6</v>
      </c>
      <c r="I335" s="16" t="inlineStr">
        <is>
          <t>no</t>
        </is>
      </c>
      <c r="J335" s="16" t="inlineStr">
        <is>
          <t>N2,S6,O3,O5,C1,C3,C3</t>
        </is>
      </c>
    </row>
    <row r="336">
      <c r="A336" s="16" t="inlineStr">
        <is>
          <t>KF-M10b-MALLA-0022</t>
        </is>
      </c>
      <c r="B336" s="35" t="n">
        <v>500</v>
      </c>
      <c r="C336" s="37" t="n">
        <v>0.45</v>
      </c>
      <c r="D336" s="38" t="inlineStr">
        <is>
          <t>Falso convergido</t>
        </is>
      </c>
      <c r="E336" s="29" t="inlineStr">
        <is>
          <t>—</t>
        </is>
      </c>
      <c r="F336" s="35" t="inlineStr">
        <is>
          <t>—</t>
        </is>
      </c>
      <c r="G336" s="36" t="n">
        <v>2800</v>
      </c>
      <c r="H336" s="29" t="n">
        <v>6.6</v>
      </c>
      <c r="I336" s="16" t="inlineStr">
        <is>
          <t>no</t>
        </is>
      </c>
      <c r="J336" s="16" t="inlineStr">
        <is>
          <t>N2,S6,O3,O5,C1,C3,C3</t>
        </is>
      </c>
    </row>
    <row r="337">
      <c r="A337" s="16" t="inlineStr">
        <is>
          <t>KF-M10b-MALLA-0031</t>
        </is>
      </c>
      <c r="B337" s="35" t="n">
        <v>500</v>
      </c>
      <c r="C337" s="37" t="n">
        <v>0.5</v>
      </c>
      <c r="D337" s="42" t="inlineStr">
        <is>
          <t>KALINA</t>
        </is>
      </c>
      <c r="E337" s="29" t="n">
        <v>0.3483595631899</v>
      </c>
      <c r="F337" s="35" t="n">
        <v>0.5710149273461722</v>
      </c>
      <c r="G337" s="36" t="n">
        <v>2800</v>
      </c>
      <c r="H337" s="29" t="n">
        <v>6.6</v>
      </c>
      <c r="I337" s="16" t="inlineStr">
        <is>
          <t>no</t>
        </is>
      </c>
      <c r="J337" s="16" t="n"/>
    </row>
    <row r="338">
      <c r="A338" s="16" t="inlineStr">
        <is>
          <t>KF-M10b-MALLA-0037</t>
        </is>
      </c>
      <c r="B338" s="35" t="n">
        <v>500</v>
      </c>
      <c r="C338" s="37" t="n">
        <v>0.55</v>
      </c>
      <c r="D338" s="42" t="inlineStr">
        <is>
          <t>KALINA</t>
        </is>
      </c>
      <c r="E338" s="29" t="n">
        <v>7.60734767691398</v>
      </c>
      <c r="F338" s="35" t="n">
        <v>22.61099648140075</v>
      </c>
      <c r="G338" s="36" t="n">
        <v>2800</v>
      </c>
      <c r="H338" s="29" t="n">
        <v>6.6</v>
      </c>
      <c r="I338" s="16" t="inlineStr">
        <is>
          <t>no</t>
        </is>
      </c>
      <c r="J338" s="16" t="n"/>
    </row>
    <row r="339">
      <c r="A339" s="16" t="inlineStr">
        <is>
          <t>KF-M10b-MALLA-0040</t>
        </is>
      </c>
      <c r="B339" s="35" t="n">
        <v>500</v>
      </c>
      <c r="C339" s="37" t="n">
        <v>0.6</v>
      </c>
      <c r="D339" s="42" t="inlineStr">
        <is>
          <t>KALINA</t>
        </is>
      </c>
      <c r="E339" s="29" t="n">
        <v>10.50519612566251</v>
      </c>
      <c r="F339" s="35" t="n">
        <v>44.58642994377083</v>
      </c>
      <c r="G339" s="36" t="n">
        <v>2800</v>
      </c>
      <c r="H339" s="29" t="n">
        <v>6.6</v>
      </c>
      <c r="I339" s="16" t="inlineStr">
        <is>
          <t>no</t>
        </is>
      </c>
      <c r="J339" s="16" t="n"/>
    </row>
    <row r="340">
      <c r="A340" s="16" t="inlineStr">
        <is>
          <t>KF-M10b-MALLA-0044</t>
        </is>
      </c>
      <c r="B340" s="35" t="n">
        <v>500</v>
      </c>
      <c r="C340" s="37" t="n">
        <v>0.65</v>
      </c>
      <c r="D340" s="42" t="inlineStr">
        <is>
          <t>KALINA</t>
        </is>
      </c>
      <c r="E340" s="29" t="n">
        <v>12.17291894566321</v>
      </c>
      <c r="F340" s="35" t="n">
        <v>66.45644021840691</v>
      </c>
      <c r="G340" s="36" t="n">
        <v>2800</v>
      </c>
      <c r="H340" s="29" t="n">
        <v>6.6</v>
      </c>
      <c r="I340" s="16" t="inlineStr">
        <is>
          <t>no</t>
        </is>
      </c>
      <c r="J340" s="16" t="n"/>
    </row>
    <row r="341">
      <c r="A341" s="16" t="inlineStr">
        <is>
          <t>KF-M10-MALLA-0005</t>
        </is>
      </c>
      <c r="B341" s="35" t="n">
        <v>500</v>
      </c>
      <c r="C341" s="37" t="n">
        <v>0.7</v>
      </c>
      <c r="D341" s="42" t="inlineStr">
        <is>
          <t>KALINA</t>
        </is>
      </c>
      <c r="E341" s="29" t="n">
        <v>13.31174620956</v>
      </c>
      <c r="F341" s="35" t="n">
        <v>88.16571431145088</v>
      </c>
      <c r="G341" s="36" t="n">
        <v>2800</v>
      </c>
      <c r="H341" s="29" t="n">
        <v>6.6</v>
      </c>
      <c r="I341" s="16" t="inlineStr">
        <is>
          <t>no</t>
        </is>
      </c>
      <c r="J341" s="16" t="n"/>
    </row>
    <row r="342">
      <c r="A342" s="16" t="inlineStr">
        <is>
          <t>KF-M10b-MALLA-0053</t>
        </is>
      </c>
      <c r="B342" s="35" t="n">
        <v>500</v>
      </c>
      <c r="C342" s="37" t="n">
        <v>0.7</v>
      </c>
      <c r="D342" s="42" t="inlineStr">
        <is>
          <t>KALINA</t>
        </is>
      </c>
      <c r="E342" s="29" t="n">
        <v>13.31174620956</v>
      </c>
      <c r="F342" s="35" t="n">
        <v>88.16571431145088</v>
      </c>
      <c r="G342" s="36" t="n">
        <v>2800</v>
      </c>
      <c r="H342" s="29" t="n">
        <v>6.6</v>
      </c>
      <c r="I342" s="16" t="inlineStr">
        <is>
          <t>no</t>
        </is>
      </c>
      <c r="J342" s="16" t="n"/>
    </row>
    <row r="343">
      <c r="A343" s="16" t="inlineStr">
        <is>
          <t>KF-M10-MALLA-0010</t>
        </is>
      </c>
      <c r="B343" s="35" t="n">
        <v>500</v>
      </c>
      <c r="C343" s="37" t="n">
        <v>0.73</v>
      </c>
      <c r="D343" s="39" t="inlineStr">
        <is>
          <t>Corregible</t>
        </is>
      </c>
      <c r="E343" s="29" t="n">
        <v>13.84875944649204</v>
      </c>
      <c r="F343" s="35" t="n">
        <v>101.0849308077137</v>
      </c>
      <c r="G343" s="36" t="n">
        <v>2800</v>
      </c>
      <c r="H343" s="29" t="n">
        <v>6.6</v>
      </c>
      <c r="I343" s="16" t="inlineStr">
        <is>
          <t>no</t>
        </is>
      </c>
      <c r="J343" s="16" t="inlineStr">
        <is>
          <t>O2</t>
        </is>
      </c>
    </row>
    <row r="344">
      <c r="A344" s="16" t="inlineStr">
        <is>
          <t>KF-M10-MALLA-0018</t>
        </is>
      </c>
      <c r="B344" s="35" t="n">
        <v>500</v>
      </c>
      <c r="C344" s="37" t="n">
        <v>0.76</v>
      </c>
      <c r="D344" s="39" t="inlineStr">
        <is>
          <t>Corregible</t>
        </is>
      </c>
      <c r="E344" s="29" t="n">
        <v>14.30902419242798</v>
      </c>
      <c r="F344" s="35" t="n">
        <v>113.9015651262568</v>
      </c>
      <c r="G344" s="36" t="n">
        <v>2800</v>
      </c>
      <c r="H344" s="29" t="n">
        <v>6.6</v>
      </c>
      <c r="I344" s="16" t="inlineStr">
        <is>
          <t>no</t>
        </is>
      </c>
      <c r="J344" s="16" t="inlineStr">
        <is>
          <t>O2</t>
        </is>
      </c>
    </row>
    <row r="345">
      <c r="A345" s="16" t="inlineStr">
        <is>
          <t>KF-M10-MALLA-0027</t>
        </is>
      </c>
      <c r="B345" s="35" t="n">
        <v>500</v>
      </c>
      <c r="C345" s="37" t="n">
        <v>0.79</v>
      </c>
      <c r="D345" s="39" t="inlineStr">
        <is>
          <t>Corregible</t>
        </is>
      </c>
      <c r="E345" s="29" t="n">
        <v>14.70399716088671</v>
      </c>
      <c r="F345" s="35" t="n">
        <v>126.5552754520173</v>
      </c>
      <c r="G345" s="36" t="n">
        <v>2800</v>
      </c>
      <c r="H345" s="29" t="n">
        <v>6.6</v>
      </c>
      <c r="I345" s="16" t="inlineStr">
        <is>
          <t>no</t>
        </is>
      </c>
      <c r="J345" s="16" t="inlineStr">
        <is>
          <t>O2</t>
        </is>
      </c>
    </row>
    <row r="346">
      <c r="A346" s="16" t="inlineStr">
        <is>
          <t>KF-M10-MALLA-0033</t>
        </is>
      </c>
      <c r="B346" s="35" t="n">
        <v>500</v>
      </c>
      <c r="C346" s="37" t="n">
        <v>0.82</v>
      </c>
      <c r="D346" s="39" t="inlineStr">
        <is>
          <t>Corregible</t>
        </is>
      </c>
      <c r="E346" s="29" t="n">
        <v>15.0409968815438</v>
      </c>
      <c r="F346" s="35" t="n">
        <v>138.9826918745443</v>
      </c>
      <c r="G346" s="36" t="n">
        <v>2800</v>
      </c>
      <c r="H346" s="29" t="n">
        <v>6.6</v>
      </c>
      <c r="I346" s="16" t="inlineStr">
        <is>
          <t>no</t>
        </is>
      </c>
      <c r="J346" s="16" t="inlineStr">
        <is>
          <t>O2</t>
        </is>
      </c>
    </row>
    <row r="347">
      <c r="A347" s="16" t="inlineStr">
        <is>
          <t>KF-M10-MALLA-0040</t>
        </is>
      </c>
      <c r="B347" s="35" t="n">
        <v>500</v>
      </c>
      <c r="C347" s="37" t="n">
        <v>0.85</v>
      </c>
      <c r="D347" s="39" t="inlineStr">
        <is>
          <t>Corregible</t>
        </is>
      </c>
      <c r="E347" s="29" t="n">
        <v>15.32923776681198</v>
      </c>
      <c r="F347" s="35" t="n">
        <v>151.1666416380126</v>
      </c>
      <c r="G347" s="36" t="n">
        <v>2800</v>
      </c>
      <c r="H347" s="29" t="n">
        <v>6.6</v>
      </c>
      <c r="I347" s="16" t="inlineStr">
        <is>
          <t>no</t>
        </is>
      </c>
      <c r="J347" s="16" t="inlineStr">
        <is>
          <t>O2</t>
        </is>
      </c>
    </row>
    <row r="348">
      <c r="A348" s="16" t="inlineStr">
        <is>
          <t>KF-M10-MALLA-0050</t>
        </is>
      </c>
      <c r="B348" s="35" t="n">
        <v>500</v>
      </c>
      <c r="C348" s="37" t="n">
        <v>0.88</v>
      </c>
      <c r="D348" s="39" t="inlineStr">
        <is>
          <t>Corregible</t>
        </is>
      </c>
      <c r="E348" s="29" t="n">
        <v>15.57403502720696</v>
      </c>
      <c r="F348" s="35" t="n">
        <v>163.0752983575516</v>
      </c>
      <c r="G348" s="36" t="n">
        <v>2800</v>
      </c>
      <c r="H348" s="29" t="n">
        <v>6.6</v>
      </c>
      <c r="I348" s="16" t="inlineStr">
        <is>
          <t>no</t>
        </is>
      </c>
      <c r="J348" s="16" t="inlineStr">
        <is>
          <t>O2</t>
        </is>
      </c>
    </row>
    <row r="349">
      <c r="A349" s="16" t="inlineStr">
        <is>
          <t>KF-M10-MALLA-0055</t>
        </is>
      </c>
      <c r="B349" s="35" t="n">
        <v>500</v>
      </c>
      <c r="C349" s="37" t="n">
        <v>0.91</v>
      </c>
      <c r="D349" s="39" t="inlineStr">
        <is>
          <t>Corregible</t>
        </is>
      </c>
      <c r="E349" s="29" t="n">
        <v>15.75466659898578</v>
      </c>
      <c r="F349" s="35" t="n">
        <v>174.6871235596686</v>
      </c>
      <c r="G349" s="36" t="n">
        <v>2800</v>
      </c>
      <c r="H349" s="29" t="n">
        <v>6.6</v>
      </c>
      <c r="I349" s="16" t="inlineStr">
        <is>
          <t>no</t>
        </is>
      </c>
      <c r="J349" s="16" t="inlineStr">
        <is>
          <t>O2</t>
        </is>
      </c>
    </row>
    <row r="350">
      <c r="A350" s="16" t="inlineStr">
        <is>
          <t>KF-M10b-MALLA-0004</t>
        </is>
      </c>
      <c r="B350" s="35" t="n">
        <v>600</v>
      </c>
      <c r="C350" s="37" t="n">
        <v>0.3</v>
      </c>
      <c r="D350" s="32" t="inlineStr">
        <is>
          <t>No convergió</t>
        </is>
      </c>
      <c r="E350" s="29" t="inlineStr">
        <is>
          <t>—</t>
        </is>
      </c>
      <c r="F350" s="35" t="inlineStr">
        <is>
          <t>—</t>
        </is>
      </c>
      <c r="G350" s="36" t="n">
        <v>2700</v>
      </c>
      <c r="H350" s="29" t="n">
        <v>5.5</v>
      </c>
      <c r="I350" s="16" t="inlineStr">
        <is>
          <t>no</t>
        </is>
      </c>
      <c r="J350" s="16" t="n"/>
    </row>
    <row r="351">
      <c r="A351" s="16" t="inlineStr">
        <is>
          <t>KF-M10b-MALLA-0007</t>
        </is>
      </c>
      <c r="B351" s="35" t="n">
        <v>600</v>
      </c>
      <c r="C351" s="37" t="n">
        <v>0.35</v>
      </c>
      <c r="D351" s="32" t="inlineStr">
        <is>
          <t>No convergió</t>
        </is>
      </c>
      <c r="E351" s="29" t="inlineStr">
        <is>
          <t>—</t>
        </is>
      </c>
      <c r="F351" s="35" t="inlineStr">
        <is>
          <t>—</t>
        </is>
      </c>
      <c r="G351" s="36" t="n">
        <v>2700</v>
      </c>
      <c r="H351" s="29" t="n">
        <v>5.5</v>
      </c>
      <c r="I351" s="16" t="inlineStr">
        <is>
          <t>no</t>
        </is>
      </c>
      <c r="J351" s="16" t="n"/>
    </row>
    <row r="352">
      <c r="A352" s="16" t="inlineStr">
        <is>
          <t>KF-M10b-MALLA-0012</t>
        </is>
      </c>
      <c r="B352" s="35" t="n">
        <v>600</v>
      </c>
      <c r="C352" s="37" t="n">
        <v>0.4</v>
      </c>
      <c r="D352" s="38" t="inlineStr">
        <is>
          <t>Falso convergido</t>
        </is>
      </c>
      <c r="E352" s="29" t="inlineStr">
        <is>
          <t>—</t>
        </is>
      </c>
      <c r="F352" s="35" t="inlineStr">
        <is>
          <t>—</t>
        </is>
      </c>
      <c r="G352" s="36" t="n">
        <v>2700</v>
      </c>
      <c r="H352" s="29" t="n">
        <v>5.5</v>
      </c>
      <c r="I352" s="16" t="inlineStr">
        <is>
          <t>no</t>
        </is>
      </c>
      <c r="J352" s="16" t="inlineStr">
        <is>
          <t>N2,S6,O3,O5,C1,C3,C3</t>
        </is>
      </c>
    </row>
    <row r="353">
      <c r="A353" s="16" t="inlineStr">
        <is>
          <t>KF-M10b-MALLA-0019</t>
        </is>
      </c>
      <c r="B353" s="35" t="n">
        <v>600</v>
      </c>
      <c r="C353" s="37" t="n">
        <v>0.45</v>
      </c>
      <c r="D353" s="38" t="inlineStr">
        <is>
          <t>Falso convergido</t>
        </is>
      </c>
      <c r="E353" s="29" t="inlineStr">
        <is>
          <t>—</t>
        </is>
      </c>
      <c r="F353" s="35" t="inlineStr">
        <is>
          <t>—</t>
        </is>
      </c>
      <c r="G353" s="36" t="n">
        <v>2700</v>
      </c>
      <c r="H353" s="29" t="n">
        <v>5.5</v>
      </c>
      <c r="I353" s="16" t="inlineStr">
        <is>
          <t>no</t>
        </is>
      </c>
      <c r="J353" s="16" t="inlineStr">
        <is>
          <t>N2,S6,O3,O5,C1,C3,C3</t>
        </is>
      </c>
    </row>
    <row r="354">
      <c r="A354" s="16" t="inlineStr">
        <is>
          <t>KF-M10b-MALLA-0029</t>
        </is>
      </c>
      <c r="B354" s="35" t="n">
        <v>600</v>
      </c>
      <c r="C354" s="37" t="n">
        <v>0.5</v>
      </c>
      <c r="D354" s="42" t="inlineStr">
        <is>
          <t>KALINA</t>
        </is>
      </c>
      <c r="E354" s="29" t="n">
        <v>0.19109590358868</v>
      </c>
      <c r="F354" s="35" t="n">
        <v>0.3132573946828687</v>
      </c>
      <c r="G354" s="36" t="n">
        <v>2700</v>
      </c>
      <c r="H354" s="29" t="n">
        <v>5.5</v>
      </c>
      <c r="I354" s="16" t="inlineStr">
        <is>
          <t>no</t>
        </is>
      </c>
      <c r="J354" s="16" t="n"/>
    </row>
    <row r="355">
      <c r="A355" s="16" t="inlineStr">
        <is>
          <t>KF-M10b-MALLA-0035</t>
        </is>
      </c>
      <c r="B355" s="35" t="n">
        <v>600</v>
      </c>
      <c r="C355" s="37" t="n">
        <v>0.55</v>
      </c>
      <c r="D355" s="42" t="inlineStr">
        <is>
          <t>KALINA</t>
        </is>
      </c>
      <c r="E355" s="29" t="n">
        <v>6.884722507943759</v>
      </c>
      <c r="F355" s="35" t="n">
        <v>20.46232645371384</v>
      </c>
      <c r="G355" s="36" t="n">
        <v>2700</v>
      </c>
      <c r="H355" s="29" t="n">
        <v>5.5</v>
      </c>
      <c r="I355" s="16" t="inlineStr">
        <is>
          <t>no</t>
        </is>
      </c>
      <c r="J355" s="16" t="n"/>
    </row>
    <row r="356">
      <c r="A356" s="16" t="inlineStr">
        <is>
          <t>KF-M10b-MALLA-0042</t>
        </is>
      </c>
      <c r="B356" s="35" t="n">
        <v>600</v>
      </c>
      <c r="C356" s="37" t="n">
        <v>0.6</v>
      </c>
      <c r="D356" s="42" t="inlineStr">
        <is>
          <t>KALINA</t>
        </is>
      </c>
      <c r="E356" s="29" t="n">
        <v>9.23247152110995</v>
      </c>
      <c r="F356" s="35" t="n">
        <v>39.13280724834097</v>
      </c>
      <c r="G356" s="36" t="n">
        <v>2700</v>
      </c>
      <c r="H356" s="29" t="n">
        <v>5.5</v>
      </c>
      <c r="I356" s="16" t="inlineStr">
        <is>
          <t>no</t>
        </is>
      </c>
      <c r="J356" s="16" t="n"/>
    </row>
    <row r="357">
      <c r="A357" s="16" t="inlineStr">
        <is>
          <t>KF-M10b-MALLA-0047</t>
        </is>
      </c>
      <c r="B357" s="35" t="n">
        <v>600</v>
      </c>
      <c r="C357" s="37" t="n">
        <v>0.65</v>
      </c>
      <c r="D357" s="42" t="inlineStr">
        <is>
          <t>KALINA</t>
        </is>
      </c>
      <c r="E357" s="29" t="n">
        <v>11.09534924528975</v>
      </c>
      <c r="F357" s="35" t="n">
        <v>60.56350173623768</v>
      </c>
      <c r="G357" s="36" t="n">
        <v>2700</v>
      </c>
      <c r="H357" s="29" t="n">
        <v>5.5</v>
      </c>
      <c r="I357" s="16" t="inlineStr">
        <is>
          <t>no</t>
        </is>
      </c>
      <c r="J357" s="16" t="n"/>
    </row>
    <row r="358">
      <c r="A358" s="16" t="inlineStr">
        <is>
          <t>KF-M10-MALLA-0002</t>
        </is>
      </c>
      <c r="B358" s="35" t="n">
        <v>600</v>
      </c>
      <c r="C358" s="37" t="n">
        <v>0.7</v>
      </c>
      <c r="D358" s="42" t="inlineStr">
        <is>
          <t>KALINA</t>
        </is>
      </c>
      <c r="E358" s="29" t="n">
        <v>12.14573638574525</v>
      </c>
      <c r="F358" s="35" t="n">
        <v>80.42551043491936</v>
      </c>
      <c r="G358" s="36" t="n">
        <v>2700</v>
      </c>
      <c r="H358" s="29" t="n">
        <v>5.5</v>
      </c>
      <c r="I358" s="16" t="inlineStr">
        <is>
          <t>no</t>
        </is>
      </c>
      <c r="J358" s="16" t="n"/>
    </row>
    <row r="359">
      <c r="A359" s="16" t="inlineStr">
        <is>
          <t>KF-M10b-MALLA-0052</t>
        </is>
      </c>
      <c r="B359" s="35" t="n">
        <v>600</v>
      </c>
      <c r="C359" s="37" t="n">
        <v>0.7</v>
      </c>
      <c r="D359" s="42" t="inlineStr">
        <is>
          <t>KALINA</t>
        </is>
      </c>
      <c r="E359" s="29" t="n">
        <v>12.14573638574525</v>
      </c>
      <c r="F359" s="35" t="n">
        <v>80.42551043491936</v>
      </c>
      <c r="G359" s="36" t="n">
        <v>2700</v>
      </c>
      <c r="H359" s="29" t="n">
        <v>5.5</v>
      </c>
      <c r="I359" s="16" t="inlineStr">
        <is>
          <t>no</t>
        </is>
      </c>
      <c r="J359" s="16" t="n"/>
    </row>
    <row r="360">
      <c r="A360" s="16" t="inlineStr">
        <is>
          <t>KF-M10-MALLA-0012</t>
        </is>
      </c>
      <c r="B360" s="35" t="n">
        <v>600</v>
      </c>
      <c r="C360" s="37" t="n">
        <v>0.73</v>
      </c>
      <c r="D360" s="42" t="inlineStr">
        <is>
          <t>KALINA</t>
        </is>
      </c>
      <c r="E360" s="29" t="n">
        <v>12.64098328957887</v>
      </c>
      <c r="F360" s="35" t="n">
        <v>92.24626350517067</v>
      </c>
      <c r="G360" s="36" t="n">
        <v>2700</v>
      </c>
      <c r="H360" s="29" t="n">
        <v>5.5</v>
      </c>
      <c r="I360" s="16" t="inlineStr">
        <is>
          <t>no</t>
        </is>
      </c>
      <c r="J360" s="16" t="n"/>
    </row>
    <row r="361">
      <c r="A361" s="16" t="inlineStr">
        <is>
          <t>KF-M10-MALLA-0019</t>
        </is>
      </c>
      <c r="B361" s="35" t="n">
        <v>600</v>
      </c>
      <c r="C361" s="37" t="n">
        <v>0.76</v>
      </c>
      <c r="D361" s="42" t="inlineStr">
        <is>
          <t>KALINA</t>
        </is>
      </c>
      <c r="E361" s="29" t="n">
        <v>13.06531082036225</v>
      </c>
      <c r="F361" s="35" t="n">
        <v>103.9726543618569</v>
      </c>
      <c r="G361" s="36" t="n">
        <v>2700</v>
      </c>
      <c r="H361" s="29" t="n">
        <v>5.5</v>
      </c>
      <c r="I361" s="16" t="inlineStr">
        <is>
          <t>no</t>
        </is>
      </c>
      <c r="J361" s="16" t="n"/>
    </row>
    <row r="362">
      <c r="A362" s="16" t="inlineStr">
        <is>
          <t>KF-M10-MALLA-0025</t>
        </is>
      </c>
      <c r="B362" s="35" t="n">
        <v>600</v>
      </c>
      <c r="C362" s="37" t="n">
        <v>0.79</v>
      </c>
      <c r="D362" s="39" t="inlineStr">
        <is>
          <t>Corregible</t>
        </is>
      </c>
      <c r="E362" s="29" t="n">
        <v>13.43287113970725</v>
      </c>
      <c r="F362" s="35" t="n">
        <v>115.5824865081121</v>
      </c>
      <c r="G362" s="36" t="n">
        <v>2700</v>
      </c>
      <c r="H362" s="29" t="n">
        <v>5.5</v>
      </c>
      <c r="I362" s="16" t="inlineStr">
        <is>
          <t>no</t>
        </is>
      </c>
      <c r="J362" s="16" t="inlineStr">
        <is>
          <t>O2</t>
        </is>
      </c>
    </row>
    <row r="363">
      <c r="A363" s="16" t="inlineStr">
        <is>
          <t>KF-M10-MALLA-0035</t>
        </is>
      </c>
      <c r="B363" s="35" t="n">
        <v>600</v>
      </c>
      <c r="C363" s="37" t="n">
        <v>0.82</v>
      </c>
      <c r="D363" s="39" t="inlineStr">
        <is>
          <t>Corregible</t>
        </is>
      </c>
      <c r="E363" s="29" t="n">
        <v>13.75268677295411</v>
      </c>
      <c r="F363" s="35" t="n">
        <v>127.0486533418041</v>
      </c>
      <c r="G363" s="36" t="n">
        <v>2700</v>
      </c>
      <c r="H363" s="29" t="n">
        <v>5.5</v>
      </c>
      <c r="I363" s="16" t="inlineStr">
        <is>
          <t>no</t>
        </is>
      </c>
      <c r="J363" s="16" t="inlineStr">
        <is>
          <t>O2</t>
        </is>
      </c>
    </row>
    <row r="364">
      <c r="A364" s="16" t="inlineStr">
        <is>
          <t>KF-M10-MALLA-0043</t>
        </is>
      </c>
      <c r="B364" s="35" t="n">
        <v>600</v>
      </c>
      <c r="C364" s="37" t="n">
        <v>0.85</v>
      </c>
      <c r="D364" s="39" t="inlineStr">
        <is>
          <t>Corregible</t>
        </is>
      </c>
      <c r="E364" s="29" t="n">
        <v>14.03021233993964</v>
      </c>
      <c r="F364" s="35" t="n">
        <v>138.335572350241</v>
      </c>
      <c r="G364" s="36" t="n">
        <v>2700</v>
      </c>
      <c r="H364" s="29" t="n">
        <v>5.5</v>
      </c>
      <c r="I364" s="16" t="inlineStr">
        <is>
          <t>no</t>
        </is>
      </c>
      <c r="J364" s="16" t="inlineStr">
        <is>
          <t>O2</t>
        </is>
      </c>
    </row>
    <row r="365">
      <c r="A365" s="16" t="inlineStr">
        <is>
          <t>KF-M10-MALLA-0048</t>
        </is>
      </c>
      <c r="B365" s="35" t="n">
        <v>600</v>
      </c>
      <c r="C365" s="37" t="n">
        <v>0.88</v>
      </c>
      <c r="D365" s="39" t="inlineStr">
        <is>
          <t>Corregible</t>
        </is>
      </c>
      <c r="E365" s="29" t="n">
        <v>14.26522986008331</v>
      </c>
      <c r="F365" s="35" t="n">
        <v>149.3609609739813</v>
      </c>
      <c r="G365" s="36" t="n">
        <v>2700</v>
      </c>
      <c r="H365" s="29" t="n">
        <v>5.5</v>
      </c>
      <c r="I365" s="16" t="inlineStr">
        <is>
          <t>no</t>
        </is>
      </c>
      <c r="J365" s="16" t="inlineStr">
        <is>
          <t>O2</t>
        </is>
      </c>
    </row>
    <row r="366">
      <c r="A366" s="16" t="inlineStr">
        <is>
          <t>KF-M10-MALLA-0056</t>
        </is>
      </c>
      <c r="B366" s="35" t="n">
        <v>600</v>
      </c>
      <c r="C366" s="37" t="n">
        <v>0.91</v>
      </c>
      <c r="D366" s="39" t="inlineStr">
        <is>
          <t>Corregible</t>
        </is>
      </c>
      <c r="E366" s="29" t="n">
        <v>14.45823476427384</v>
      </c>
      <c r="F366" s="35" t="n">
        <v>160.0548463852235</v>
      </c>
      <c r="G366" s="36" t="n">
        <v>2700</v>
      </c>
      <c r="H366" s="29" t="n">
        <v>5.5</v>
      </c>
      <c r="I366" s="16" t="inlineStr">
        <is>
          <t>no</t>
        </is>
      </c>
      <c r="J366" s="16" t="inlineStr">
        <is>
          <t>O2</t>
        </is>
      </c>
    </row>
    <row r="367">
      <c r="A367" s="16" t="inlineStr">
        <is>
          <t>KF-M10b-MALLA-0005</t>
        </is>
      </c>
      <c r="B367" s="35" t="n">
        <v>700</v>
      </c>
      <c r="C367" s="37" t="n">
        <v>0.3</v>
      </c>
      <c r="D367" s="32" t="inlineStr">
        <is>
          <t>No convergió</t>
        </is>
      </c>
      <c r="E367" s="29" t="inlineStr">
        <is>
          <t>—</t>
        </is>
      </c>
      <c r="F367" s="35" t="inlineStr">
        <is>
          <t>—</t>
        </is>
      </c>
      <c r="G367" s="36" t="n">
        <v>2600</v>
      </c>
      <c r="H367" s="29" t="n">
        <v>4.714285714285714</v>
      </c>
      <c r="I367" s="16" t="inlineStr">
        <is>
          <t>no</t>
        </is>
      </c>
      <c r="J367" s="16" t="n"/>
    </row>
    <row r="368">
      <c r="A368" s="16" t="inlineStr">
        <is>
          <t>KF-M10b-MALLA-0011</t>
        </is>
      </c>
      <c r="B368" s="35" t="n">
        <v>700</v>
      </c>
      <c r="C368" s="37" t="n">
        <v>0.35</v>
      </c>
      <c r="D368" s="32" t="inlineStr">
        <is>
          <t>No convergió</t>
        </is>
      </c>
      <c r="E368" s="29" t="inlineStr">
        <is>
          <t>—</t>
        </is>
      </c>
      <c r="F368" s="35" t="inlineStr">
        <is>
          <t>—</t>
        </is>
      </c>
      <c r="G368" s="36" t="n">
        <v>2600</v>
      </c>
      <c r="H368" s="29" t="n">
        <v>4.714285714285714</v>
      </c>
      <c r="I368" s="16" t="inlineStr">
        <is>
          <t>no</t>
        </is>
      </c>
      <c r="J368" s="16" t="n"/>
    </row>
    <row r="369">
      <c r="A369" s="16" t="inlineStr">
        <is>
          <t>KF-M10b-MALLA-0013</t>
        </is>
      </c>
      <c r="B369" s="35" t="n">
        <v>700</v>
      </c>
      <c r="C369" s="37" t="n">
        <v>0.4</v>
      </c>
      <c r="D369" s="38" t="inlineStr">
        <is>
          <t>Falso convergido</t>
        </is>
      </c>
      <c r="E369" s="29" t="inlineStr">
        <is>
          <t>—</t>
        </is>
      </c>
      <c r="F369" s="35" t="inlineStr">
        <is>
          <t>—</t>
        </is>
      </c>
      <c r="G369" s="36" t="n">
        <v>2600</v>
      </c>
      <c r="H369" s="29" t="n">
        <v>4.714285714285714</v>
      </c>
      <c r="I369" s="16" t="inlineStr">
        <is>
          <t>no</t>
        </is>
      </c>
      <c r="J369" s="16" t="inlineStr">
        <is>
          <t>N2,S6,O3,O5,C1,C3,C3</t>
        </is>
      </c>
    </row>
    <row r="370">
      <c r="A370" s="16" t="inlineStr">
        <is>
          <t>KF-M10b-MALLA-0020</t>
        </is>
      </c>
      <c r="B370" s="35" t="n">
        <v>700</v>
      </c>
      <c r="C370" s="37" t="n">
        <v>0.45</v>
      </c>
      <c r="D370" s="38" t="inlineStr">
        <is>
          <t>Falso convergido</t>
        </is>
      </c>
      <c r="E370" s="29" t="inlineStr">
        <is>
          <t>—</t>
        </is>
      </c>
      <c r="F370" s="35" t="inlineStr">
        <is>
          <t>—</t>
        </is>
      </c>
      <c r="G370" s="36" t="n">
        <v>2600</v>
      </c>
      <c r="H370" s="29" t="n">
        <v>4.714285714285714</v>
      </c>
      <c r="I370" s="16" t="inlineStr">
        <is>
          <t>no</t>
        </is>
      </c>
      <c r="J370" s="16" t="inlineStr">
        <is>
          <t>N2,S6,O3,O5,C1,C3,C3</t>
        </is>
      </c>
    </row>
    <row r="371">
      <c r="A371" s="16" t="inlineStr">
        <is>
          <t>KF-M10b-MALLA-0026</t>
        </is>
      </c>
      <c r="B371" s="35" t="n">
        <v>700</v>
      </c>
      <c r="C371" s="37" t="n">
        <v>0.5</v>
      </c>
      <c r="D371" s="42" t="inlineStr">
        <is>
          <t>KALINA</t>
        </is>
      </c>
      <c r="E371" s="29" t="n">
        <v>0.06682914826938</v>
      </c>
      <c r="F371" s="35" t="n">
        <v>0.109558927356228</v>
      </c>
      <c r="G371" s="36" t="n">
        <v>2600</v>
      </c>
      <c r="H371" s="29" t="n">
        <v>4.714285714285714</v>
      </c>
      <c r="I371" s="16" t="inlineStr">
        <is>
          <t>no</t>
        </is>
      </c>
      <c r="J371" s="16" t="n"/>
    </row>
    <row r="372">
      <c r="A372" s="16" t="inlineStr">
        <is>
          <t>KF-M10b-MALLA-0034</t>
        </is>
      </c>
      <c r="B372" s="35" t="n">
        <v>700</v>
      </c>
      <c r="C372" s="37" t="n">
        <v>0.55</v>
      </c>
      <c r="D372" s="42" t="inlineStr">
        <is>
          <t>KALINA</t>
        </is>
      </c>
      <c r="E372" s="29" t="n">
        <v>6.26469741643319</v>
      </c>
      <c r="F372" s="35" t="n">
        <v>18.6190466705918</v>
      </c>
      <c r="G372" s="36" t="n">
        <v>2600</v>
      </c>
      <c r="H372" s="29" t="n">
        <v>4.714285714285714</v>
      </c>
      <c r="I372" s="16" t="inlineStr">
        <is>
          <t>no</t>
        </is>
      </c>
      <c r="J372" s="16" t="n"/>
    </row>
    <row r="373">
      <c r="A373" s="16" t="inlineStr">
        <is>
          <t>KF-M10b-MALLA-0039</t>
        </is>
      </c>
      <c r="B373" s="35" t="n">
        <v>700</v>
      </c>
      <c r="C373" s="37" t="n">
        <v>0.6</v>
      </c>
      <c r="D373" s="42" t="inlineStr">
        <is>
          <t>KALINA</t>
        </is>
      </c>
      <c r="E373" s="29" t="n">
        <v>8.739507768594351</v>
      </c>
      <c r="F373" s="35" t="n">
        <v>37.08516132231917</v>
      </c>
      <c r="G373" s="36" t="n">
        <v>2600</v>
      </c>
      <c r="H373" s="29" t="n">
        <v>4.714285714285714</v>
      </c>
      <c r="I373" s="16" t="inlineStr">
        <is>
          <t>no</t>
        </is>
      </c>
      <c r="J373" s="16" t="n"/>
    </row>
    <row r="374">
      <c r="A374" s="16" t="inlineStr">
        <is>
          <t>KF-M10b-MALLA-0046</t>
        </is>
      </c>
      <c r="B374" s="35" t="n">
        <v>700</v>
      </c>
      <c r="C374" s="37" t="n">
        <v>0.65</v>
      </c>
      <c r="D374" s="42" t="inlineStr">
        <is>
          <t>KALINA</t>
        </is>
      </c>
      <c r="E374" s="29" t="n">
        <v>10.16410322566261</v>
      </c>
      <c r="F374" s="35" t="n">
        <v>55.47279104848255</v>
      </c>
      <c r="G374" s="36" t="n">
        <v>2600</v>
      </c>
      <c r="H374" s="29" t="n">
        <v>4.714285714285714</v>
      </c>
      <c r="I374" s="16" t="inlineStr">
        <is>
          <t>no</t>
        </is>
      </c>
      <c r="J374" s="16" t="n"/>
    </row>
    <row r="375">
      <c r="A375" s="16" t="inlineStr">
        <is>
          <t>KF-M10-MALLA-0001</t>
        </is>
      </c>
      <c r="B375" s="35" t="n">
        <v>700</v>
      </c>
      <c r="C375" s="37" t="n">
        <v>0.7</v>
      </c>
      <c r="D375" s="42" t="inlineStr">
        <is>
          <t>KALINA</t>
        </is>
      </c>
      <c r="E375" s="29" t="n">
        <v>11.13714518689483</v>
      </c>
      <c r="F375" s="35" t="n">
        <v>73.73359517226434</v>
      </c>
      <c r="G375" s="36" t="n">
        <v>2600</v>
      </c>
      <c r="H375" s="29" t="n">
        <v>4.714285714285714</v>
      </c>
      <c r="I375" s="16" t="inlineStr">
        <is>
          <t>no</t>
        </is>
      </c>
      <c r="J375" s="16" t="n"/>
    </row>
    <row r="376">
      <c r="A376" s="16" t="inlineStr">
        <is>
          <t>KF-M10b-MALLA-0051</t>
        </is>
      </c>
      <c r="B376" s="35" t="n">
        <v>700</v>
      </c>
      <c r="C376" s="37" t="n">
        <v>0.7</v>
      </c>
      <c r="D376" s="42" t="inlineStr">
        <is>
          <t>KALINA</t>
        </is>
      </c>
      <c r="E376" s="29" t="n">
        <v>11.13714518689483</v>
      </c>
      <c r="F376" s="35" t="n">
        <v>73.73359517226434</v>
      </c>
      <c r="G376" s="36" t="n">
        <v>2600</v>
      </c>
      <c r="H376" s="29" t="n">
        <v>4.714285714285714</v>
      </c>
      <c r="I376" s="16" t="inlineStr">
        <is>
          <t>no</t>
        </is>
      </c>
      <c r="J376" s="16" t="n"/>
    </row>
    <row r="377">
      <c r="A377" s="16" t="inlineStr">
        <is>
          <t>KF-M10-MALLA-0008</t>
        </is>
      </c>
      <c r="B377" s="35" t="n">
        <v>700</v>
      </c>
      <c r="C377" s="37" t="n">
        <v>0.73</v>
      </c>
      <c r="D377" s="42" t="inlineStr">
        <is>
          <t>KALINA</t>
        </is>
      </c>
      <c r="E377" s="29" t="n">
        <v>11.59599578737516</v>
      </c>
      <c r="F377" s="35" t="n">
        <v>84.60312754070164</v>
      </c>
      <c r="G377" s="36" t="n">
        <v>2600</v>
      </c>
      <c r="H377" s="29" t="n">
        <v>4.714285714285714</v>
      </c>
      <c r="I377" s="16" t="inlineStr">
        <is>
          <t>no</t>
        </is>
      </c>
      <c r="J377" s="16" t="n"/>
    </row>
    <row r="378">
      <c r="A378" s="16" t="inlineStr">
        <is>
          <t>KF-M10-MALLA-0017</t>
        </is>
      </c>
      <c r="B378" s="35" t="n">
        <v>700</v>
      </c>
      <c r="C378" s="37" t="n">
        <v>0.76</v>
      </c>
      <c r="D378" s="42" t="inlineStr">
        <is>
          <t>KALINA</t>
        </is>
      </c>
      <c r="E378" s="29" t="n">
        <v>11.98914162146126</v>
      </c>
      <c r="F378" s="35" t="n">
        <v>95.38652936052044</v>
      </c>
      <c r="G378" s="36" t="n">
        <v>2600</v>
      </c>
      <c r="H378" s="29" t="n">
        <v>4.714285714285714</v>
      </c>
      <c r="I378" s="16" t="inlineStr">
        <is>
          <t>no</t>
        </is>
      </c>
      <c r="J378" s="16" t="n"/>
    </row>
    <row r="379">
      <c r="A379" s="16" t="inlineStr">
        <is>
          <t>KF-M10-MALLA-0024</t>
        </is>
      </c>
      <c r="B379" s="35" t="n">
        <v>700</v>
      </c>
      <c r="C379" s="37" t="n">
        <v>0.79</v>
      </c>
      <c r="D379" s="42" t="inlineStr">
        <is>
          <t>KALINA</t>
        </is>
      </c>
      <c r="E379" s="29" t="n">
        <v>12.3296143934064</v>
      </c>
      <c r="F379" s="35" t="n">
        <v>106.0624220261746</v>
      </c>
      <c r="G379" s="36" t="n">
        <v>2600</v>
      </c>
      <c r="H379" s="29" t="n">
        <v>4.714285714285714</v>
      </c>
      <c r="I379" s="16" t="inlineStr">
        <is>
          <t>no</t>
        </is>
      </c>
      <c r="J379" s="16" t="n"/>
    </row>
    <row r="380">
      <c r="A380" s="16" t="inlineStr">
        <is>
          <t>KF-M10-MALLA-0036</t>
        </is>
      </c>
      <c r="B380" s="35" t="n">
        <v>700</v>
      </c>
      <c r="C380" s="37" t="n">
        <v>0.82</v>
      </c>
      <c r="D380" s="42" t="inlineStr">
        <is>
          <t>KALINA</t>
        </is>
      </c>
      <c r="E380" s="29" t="n">
        <v>12.58131444606638</v>
      </c>
      <c r="F380" s="35" t="n">
        <v>116.160036609947</v>
      </c>
      <c r="G380" s="36" t="n">
        <v>2600</v>
      </c>
      <c r="H380" s="29" t="n">
        <v>4.714285714285714</v>
      </c>
      <c r="I380" s="16" t="inlineStr">
        <is>
          <t>no</t>
        </is>
      </c>
      <c r="J380" s="16" t="n"/>
    </row>
    <row r="381">
      <c r="A381" s="16" t="inlineStr">
        <is>
          <t>KF-M10-MALLA-0041</t>
        </is>
      </c>
      <c r="B381" s="35" t="n">
        <v>700</v>
      </c>
      <c r="C381" s="37" t="n">
        <v>0.85</v>
      </c>
      <c r="D381" s="39" t="inlineStr">
        <is>
          <t>Corregible</t>
        </is>
      </c>
      <c r="E381" s="29" t="n">
        <v>12.88227196399284</v>
      </c>
      <c r="F381" s="35" t="n">
        <v>126.9785077128962</v>
      </c>
      <c r="G381" s="36" t="n">
        <v>2600</v>
      </c>
      <c r="H381" s="29" t="n">
        <v>4.714285714285714</v>
      </c>
      <c r="I381" s="16" t="inlineStr">
        <is>
          <t>no</t>
        </is>
      </c>
      <c r="J381" s="16" t="inlineStr">
        <is>
          <t>O2</t>
        </is>
      </c>
    </row>
    <row r="382">
      <c r="A382" s="16" t="inlineStr">
        <is>
          <t>KF-M10-MALLA-0049</t>
        </is>
      </c>
      <c r="B382" s="35" t="n">
        <v>700</v>
      </c>
      <c r="C382" s="37" t="n">
        <v>0.88</v>
      </c>
      <c r="D382" s="39" t="inlineStr">
        <is>
          <t>Corregible</t>
        </is>
      </c>
      <c r="E382" s="29" t="n">
        <v>13.10200731858416</v>
      </c>
      <c r="F382" s="35" t="n">
        <v>137.1404695660498</v>
      </c>
      <c r="G382" s="36" t="n">
        <v>2600</v>
      </c>
      <c r="H382" s="29" t="n">
        <v>4.714285714285714</v>
      </c>
      <c r="I382" s="16" t="inlineStr">
        <is>
          <t>no</t>
        </is>
      </c>
      <c r="J382" s="16" t="inlineStr">
        <is>
          <t>O2</t>
        </is>
      </c>
    </row>
    <row r="383">
      <c r="A383" s="16" t="inlineStr">
        <is>
          <t>KF-M10-MALLA-0057</t>
        </is>
      </c>
      <c r="B383" s="35" t="n">
        <v>700</v>
      </c>
      <c r="C383" s="37" t="n">
        <v>0.91</v>
      </c>
      <c r="D383" s="39" t="inlineStr">
        <is>
          <t>Corregible</t>
        </is>
      </c>
      <c r="E383" s="29" t="n">
        <v>13.28503491604952</v>
      </c>
      <c r="F383" s="35" t="n">
        <v>147.0283110663034</v>
      </c>
      <c r="G383" s="36" t="n">
        <v>2600</v>
      </c>
      <c r="H383" s="29" t="n">
        <v>4.714285714285714</v>
      </c>
      <c r="I383" s="16" t="inlineStr">
        <is>
          <t>no</t>
        </is>
      </c>
      <c r="J383" s="16" t="inlineStr">
        <is>
          <t>O2</t>
        </is>
      </c>
    </row>
    <row r="384">
      <c r="A384" s="16" t="inlineStr">
        <is>
          <t>KF-M10-MALLA-0000</t>
        </is>
      </c>
      <c r="B384" s="35" t="n">
        <v>800</v>
      </c>
      <c r="C384" s="37" t="n">
        <v>0.7</v>
      </c>
      <c r="D384" s="42" t="inlineStr">
        <is>
          <t>KALINA</t>
        </is>
      </c>
      <c r="E384" s="29" t="n">
        <v>10.24650136995742</v>
      </c>
      <c r="F384" s="35" t="n">
        <v>67.82672994600385</v>
      </c>
      <c r="G384" s="36" t="n">
        <v>2500</v>
      </c>
      <c r="H384" s="29" t="n">
        <v>4.125</v>
      </c>
      <c r="I384" s="16" t="inlineStr">
        <is>
          <t>no</t>
        </is>
      </c>
      <c r="J384" s="16" t="n"/>
    </row>
    <row r="385">
      <c r="A385" s="16" t="inlineStr">
        <is>
          <t>KF-M10-MALLA-0009</t>
        </is>
      </c>
      <c r="B385" s="35" t="n">
        <v>800</v>
      </c>
      <c r="C385" s="37" t="n">
        <v>0.73</v>
      </c>
      <c r="D385" s="42" t="inlineStr">
        <is>
          <t>KALINA</t>
        </is>
      </c>
      <c r="E385" s="29" t="n">
        <v>10.67286526250645</v>
      </c>
      <c r="F385" s="35" t="n">
        <v>77.85443457569674</v>
      </c>
      <c r="G385" s="36" t="n">
        <v>2500</v>
      </c>
      <c r="H385" s="29" t="n">
        <v>4.125</v>
      </c>
      <c r="I385" s="16" t="inlineStr">
        <is>
          <t>no</t>
        </is>
      </c>
      <c r="J385" s="16" t="n"/>
    </row>
    <row r="386">
      <c r="A386" s="16" t="inlineStr">
        <is>
          <t>KF-M10-MALLA-0016</t>
        </is>
      </c>
      <c r="B386" s="35" t="n">
        <v>800</v>
      </c>
      <c r="C386" s="37" t="n">
        <v>0.76</v>
      </c>
      <c r="D386" s="42" t="inlineStr">
        <is>
          <t>KALINA</t>
        </is>
      </c>
      <c r="E386" s="29" t="n">
        <v>11.03825727291369</v>
      </c>
      <c r="F386" s="35" t="n">
        <v>87.80391615700599</v>
      </c>
      <c r="G386" s="36" t="n">
        <v>2500</v>
      </c>
      <c r="H386" s="29" t="n">
        <v>4.125</v>
      </c>
      <c r="I386" s="16" t="inlineStr">
        <is>
          <t>no</t>
        </is>
      </c>
      <c r="J386" s="16" t="n"/>
    </row>
    <row r="387">
      <c r="A387" s="16" t="inlineStr">
        <is>
          <t>KF-M10-MALLA-0026</t>
        </is>
      </c>
      <c r="B387" s="35" t="n">
        <v>800</v>
      </c>
      <c r="C387" s="37" t="n">
        <v>0.79</v>
      </c>
      <c r="D387" s="42" t="inlineStr">
        <is>
          <t>KALINA</t>
        </is>
      </c>
      <c r="E387" s="29" t="n">
        <v>11.35473201240467</v>
      </c>
      <c r="F387" s="35" t="n">
        <v>97.65488875187894</v>
      </c>
      <c r="G387" s="36" t="n">
        <v>2500</v>
      </c>
      <c r="H387" s="29" t="n">
        <v>4.125</v>
      </c>
      <c r="I387" s="16" t="inlineStr">
        <is>
          <t>no</t>
        </is>
      </c>
      <c r="J387" s="16" t="n"/>
    </row>
    <row r="388">
      <c r="A388" s="16" t="inlineStr">
        <is>
          <t>KF-M10-MALLA-0032</t>
        </is>
      </c>
      <c r="B388" s="35" t="n">
        <v>800</v>
      </c>
      <c r="C388" s="37" t="n">
        <v>0.82</v>
      </c>
      <c r="D388" s="42" t="inlineStr">
        <is>
          <t>KALINA</t>
        </is>
      </c>
      <c r="E388" s="29" t="n">
        <v>11.62985863251361</v>
      </c>
      <c r="F388" s="35" t="n">
        <v>107.3818843882582</v>
      </c>
      <c r="G388" s="36" t="n">
        <v>2500</v>
      </c>
      <c r="H388" s="29" t="n">
        <v>4.125</v>
      </c>
      <c r="I388" s="16" t="inlineStr">
        <is>
          <t>no</t>
        </is>
      </c>
      <c r="J388" s="16" t="n"/>
    </row>
    <row r="389">
      <c r="A389" s="16" t="inlineStr">
        <is>
          <t>KF-M10-MALLA-0044</t>
        </is>
      </c>
      <c r="B389" s="35" t="n">
        <v>800</v>
      </c>
      <c r="C389" s="37" t="n">
        <v>0.85</v>
      </c>
      <c r="D389" s="42" t="inlineStr">
        <is>
          <t>KALINA</t>
        </is>
      </c>
      <c r="E389" s="29" t="n">
        <v>11.86815158453672</v>
      </c>
      <c r="F389" s="35" t="n">
        <v>116.9519607280282</v>
      </c>
      <c r="G389" s="36" t="n">
        <v>2500</v>
      </c>
      <c r="H389" s="29" t="n">
        <v>4.125</v>
      </c>
      <c r="I389" s="16" t="inlineStr">
        <is>
          <t>no</t>
        </is>
      </c>
      <c r="J389" s="16" t="n"/>
    </row>
    <row r="390">
      <c r="A390" s="16" t="inlineStr">
        <is>
          <t>KF-M10-MALLA-0051</t>
        </is>
      </c>
      <c r="B390" s="35" t="n">
        <v>800</v>
      </c>
      <c r="C390" s="37" t="n">
        <v>0.88</v>
      </c>
      <c r="D390" s="42" t="inlineStr">
        <is>
          <t>KALINA</t>
        </is>
      </c>
      <c r="E390" s="29" t="n">
        <v>12.07173880328612</v>
      </c>
      <c r="F390" s="35" t="n">
        <v>126.3208858957376</v>
      </c>
      <c r="G390" s="36" t="n">
        <v>2500</v>
      </c>
      <c r="H390" s="29" t="n">
        <v>4.125</v>
      </c>
      <c r="I390" s="16" t="inlineStr">
        <is>
          <t>no</t>
        </is>
      </c>
      <c r="J390" s="16" t="n"/>
    </row>
    <row r="391">
      <c r="A391" s="16" t="inlineStr">
        <is>
          <t>KF-M10-MALLA-0060</t>
        </is>
      </c>
      <c r="B391" s="35" t="n">
        <v>800</v>
      </c>
      <c r="C391" s="37" t="n">
        <v>0.91</v>
      </c>
      <c r="D391" s="42" t="inlineStr">
        <is>
          <t>KALINA</t>
        </is>
      </c>
      <c r="E391" s="29" t="n">
        <v>12.2404179288122</v>
      </c>
      <c r="F391" s="35" t="n">
        <v>135.4262544293466</v>
      </c>
      <c r="G391" s="36" t="n">
        <v>2500</v>
      </c>
      <c r="H391" s="29" t="n">
        <v>4.125</v>
      </c>
      <c r="I391" s="16" t="inlineStr">
        <is>
          <t>no</t>
        </is>
      </c>
      <c r="J391" s="16" t="n"/>
    </row>
    <row r="392">
      <c r="A392" s="16" t="inlineStr">
        <is>
          <t>KF-M10-MALLA-0003</t>
        </is>
      </c>
      <c r="B392" s="35" t="n">
        <v>900</v>
      </c>
      <c r="C392" s="37" t="n">
        <v>0.7</v>
      </c>
      <c r="D392" s="42" t="inlineStr">
        <is>
          <t>KALINA</t>
        </is>
      </c>
      <c r="E392" s="29" t="n">
        <v>9.447926345267501</v>
      </c>
      <c r="F392" s="35" t="n">
        <v>62.53239170890871</v>
      </c>
      <c r="G392" s="36" t="n">
        <v>2400</v>
      </c>
      <c r="H392" s="29" t="n">
        <v>3.666666666666667</v>
      </c>
      <c r="I392" s="16" t="inlineStr">
        <is>
          <t>no</t>
        </is>
      </c>
      <c r="J392" s="16" t="n"/>
    </row>
    <row r="393">
      <c r="A393" s="16" t="inlineStr">
        <is>
          <t>KF-M10-MALLA-0011</t>
        </is>
      </c>
      <c r="B393" s="35" t="n">
        <v>900</v>
      </c>
      <c r="C393" s="37" t="n">
        <v>0.73</v>
      </c>
      <c r="D393" s="42" t="inlineStr">
        <is>
          <t>KALINA</t>
        </is>
      </c>
      <c r="E393" s="29" t="n">
        <v>9.844786465090319</v>
      </c>
      <c r="F393" s="35" t="n">
        <v>71.80308893823266</v>
      </c>
      <c r="G393" s="36" t="n">
        <v>2400</v>
      </c>
      <c r="H393" s="29" t="n">
        <v>3.666666666666667</v>
      </c>
      <c r="I393" s="16" t="inlineStr">
        <is>
          <t>no</t>
        </is>
      </c>
      <c r="J393" s="16" t="n"/>
    </row>
    <row r="394">
      <c r="A394" s="16" t="inlineStr">
        <is>
          <t>KF-M10-MALLA-0020</t>
        </is>
      </c>
      <c r="B394" s="35" t="n">
        <v>900</v>
      </c>
      <c r="C394" s="37" t="n">
        <v>0.76</v>
      </c>
      <c r="D394" s="42" t="inlineStr">
        <is>
          <t>KALINA</t>
        </is>
      </c>
      <c r="E394" s="29" t="n">
        <v>10.1850100700684</v>
      </c>
      <c r="F394" s="35" t="n">
        <v>81.00294714005314</v>
      </c>
      <c r="G394" s="36" t="n">
        <v>2400</v>
      </c>
      <c r="H394" s="29" t="n">
        <v>3.666666666666667</v>
      </c>
      <c r="I394" s="16" t="inlineStr">
        <is>
          <t>no</t>
        </is>
      </c>
      <c r="J394" s="16" t="n"/>
    </row>
    <row r="395">
      <c r="A395" s="16" t="inlineStr">
        <is>
          <t>KF-M10-MALLA-0028</t>
        </is>
      </c>
      <c r="B395" s="35" t="n">
        <v>900</v>
      </c>
      <c r="C395" s="37" t="n">
        <v>0.79</v>
      </c>
      <c r="D395" s="42" t="inlineStr">
        <is>
          <t>KALINA</t>
        </is>
      </c>
      <c r="E395" s="29" t="n">
        <v>10.47978617723228</v>
      </c>
      <c r="F395" s="35" t="n">
        <v>90.1129441713742</v>
      </c>
      <c r="G395" s="36" t="n">
        <v>2400</v>
      </c>
      <c r="H395" s="29" t="n">
        <v>3.666666666666667</v>
      </c>
      <c r="I395" s="16" t="inlineStr">
        <is>
          <t>no</t>
        </is>
      </c>
      <c r="J395" s="16" t="n"/>
    </row>
    <row r="396">
      <c r="A396" s="16" t="inlineStr">
        <is>
          <t>KF-M10-MALLA-0034</t>
        </is>
      </c>
      <c r="B396" s="35" t="n">
        <v>900</v>
      </c>
      <c r="C396" s="37" t="n">
        <v>0.82</v>
      </c>
      <c r="D396" s="42" t="inlineStr">
        <is>
          <t>KALINA</t>
        </is>
      </c>
      <c r="E396" s="29" t="n">
        <v>10.73610439817951</v>
      </c>
      <c r="F396" s="35" t="n">
        <v>99.10893025354618</v>
      </c>
      <c r="G396" s="36" t="n">
        <v>2400</v>
      </c>
      <c r="H396" s="29" t="n">
        <v>3.666666666666667</v>
      </c>
      <c r="I396" s="16" t="inlineStr">
        <is>
          <t>no</t>
        </is>
      </c>
      <c r="J396" s="16" t="n"/>
    </row>
    <row r="397">
      <c r="A397" s="16" t="inlineStr">
        <is>
          <t>KF-M10-MALLA-0042</t>
        </is>
      </c>
      <c r="B397" s="35" t="n">
        <v>900</v>
      </c>
      <c r="C397" s="37" t="n">
        <v>0.85</v>
      </c>
      <c r="D397" s="42" t="inlineStr">
        <is>
          <t>KALINA</t>
        </is>
      </c>
      <c r="E397" s="29" t="n">
        <v>10.95806546537045</v>
      </c>
      <c r="F397" s="35" t="n">
        <v>107.959216095541</v>
      </c>
      <c r="G397" s="36" t="n">
        <v>2400</v>
      </c>
      <c r="H397" s="29" t="n">
        <v>3.666666666666667</v>
      </c>
      <c r="I397" s="16" t="inlineStr">
        <is>
          <t>no</t>
        </is>
      </c>
      <c r="J397" s="16" t="n"/>
    </row>
    <row r="398">
      <c r="A398" s="16" t="inlineStr">
        <is>
          <t>KF-M10-MALLA-0052</t>
        </is>
      </c>
      <c r="B398" s="35" t="n">
        <v>900</v>
      </c>
      <c r="C398" s="37" t="n">
        <v>0.88</v>
      </c>
      <c r="D398" s="42" t="inlineStr">
        <is>
          <t>KALINA</t>
        </is>
      </c>
      <c r="E398" s="29" t="n">
        <v>11.14746596445409</v>
      </c>
      <c r="F398" s="35" t="n">
        <v>116.6204998417806</v>
      </c>
      <c r="G398" s="36" t="n">
        <v>2400</v>
      </c>
      <c r="H398" s="29" t="n">
        <v>3.666666666666667</v>
      </c>
      <c r="I398" s="16" t="inlineStr">
        <is>
          <t>no</t>
        </is>
      </c>
      <c r="J398" s="16" t="n"/>
    </row>
    <row r="399">
      <c r="A399" s="16" t="inlineStr">
        <is>
          <t>KF-M10-MALLA-0059</t>
        </is>
      </c>
      <c r="B399" s="35" t="n">
        <v>900</v>
      </c>
      <c r="C399" s="37" t="n">
        <v>0.91</v>
      </c>
      <c r="D399" s="42" t="inlineStr">
        <is>
          <t>KALINA</t>
        </is>
      </c>
      <c r="E399" s="29" t="n">
        <v>11.30378992761474</v>
      </c>
      <c r="F399" s="35" t="n">
        <v>125.0305435972308</v>
      </c>
      <c r="G399" s="36" t="n">
        <v>2400</v>
      </c>
      <c r="H399" s="29" t="n">
        <v>3.666666666666667</v>
      </c>
      <c r="I399" s="16" t="inlineStr">
        <is>
          <t>no</t>
        </is>
      </c>
      <c r="J399" s="16" t="n"/>
    </row>
    <row r="400">
      <c r="A400" s="16" t="inlineStr">
        <is>
          <t>KF-M10-MALLA-0004</t>
        </is>
      </c>
      <c r="B400" s="35" t="n">
        <v>1000</v>
      </c>
      <c r="C400" s="37" t="n">
        <v>0.7</v>
      </c>
      <c r="D400" s="42" t="inlineStr">
        <is>
          <t>KALINA</t>
        </is>
      </c>
      <c r="E400" s="29" t="n">
        <v>8.723466764624419</v>
      </c>
      <c r="F400" s="35" t="n">
        <v>57.73093256510222</v>
      </c>
      <c r="G400" s="36" t="n">
        <v>2300</v>
      </c>
      <c r="H400" s="29" t="n">
        <v>3.3</v>
      </c>
      <c r="I400" s="16" t="inlineStr">
        <is>
          <t>no</t>
        </is>
      </c>
      <c r="J400" s="16" t="n"/>
    </row>
    <row r="401">
      <c r="A401" s="16" t="inlineStr">
        <is>
          <t>KF-M10-MALLA-0013</t>
        </is>
      </c>
      <c r="B401" s="35" t="n">
        <v>1000</v>
      </c>
      <c r="C401" s="37" t="n">
        <v>0.73</v>
      </c>
      <c r="D401" s="42" t="inlineStr">
        <is>
          <t>KALINA</t>
        </is>
      </c>
      <c r="E401" s="29" t="n">
        <v>9.093187351032901</v>
      </c>
      <c r="F401" s="35" t="n">
        <v>66.31258271572578</v>
      </c>
      <c r="G401" s="36" t="n">
        <v>2300</v>
      </c>
      <c r="H401" s="29" t="n">
        <v>3.3</v>
      </c>
      <c r="I401" s="16" t="inlineStr">
        <is>
          <t>no</t>
        </is>
      </c>
      <c r="J401" s="16" t="n"/>
    </row>
    <row r="402">
      <c r="A402" s="16" t="inlineStr">
        <is>
          <t>KF-M10-MALLA-0021</t>
        </is>
      </c>
      <c r="B402" s="35" t="n">
        <v>1000</v>
      </c>
      <c r="C402" s="37" t="n">
        <v>0.76</v>
      </c>
      <c r="D402" s="42" t="inlineStr">
        <is>
          <t>KALINA</t>
        </is>
      </c>
      <c r="E402" s="29" t="n">
        <v>9.41027053064721</v>
      </c>
      <c r="F402" s="35" t="n">
        <v>74.83017245627109</v>
      </c>
      <c r="G402" s="36" t="n">
        <v>2300</v>
      </c>
      <c r="H402" s="29" t="n">
        <v>3.3</v>
      </c>
      <c r="I402" s="16" t="inlineStr">
        <is>
          <t>no</t>
        </is>
      </c>
      <c r="J402" s="16" t="n"/>
    </row>
    <row r="403">
      <c r="A403" s="16" t="inlineStr">
        <is>
          <t>KF-M10-MALLA-0029</t>
        </is>
      </c>
      <c r="B403" s="35" t="n">
        <v>1000</v>
      </c>
      <c r="C403" s="37" t="n">
        <v>0.79</v>
      </c>
      <c r="D403" s="42" t="inlineStr">
        <is>
          <t>KALINA</t>
        </is>
      </c>
      <c r="E403" s="29" t="n">
        <v>9.68512533962663</v>
      </c>
      <c r="F403" s="35" t="n">
        <v>83.26601489140123</v>
      </c>
      <c r="G403" s="36" t="n">
        <v>2300</v>
      </c>
      <c r="H403" s="29" t="n">
        <v>3.3</v>
      </c>
      <c r="I403" s="16" t="inlineStr">
        <is>
          <t>no</t>
        </is>
      </c>
      <c r="J403" s="16" t="n"/>
    </row>
    <row r="404">
      <c r="A404" s="16" t="inlineStr">
        <is>
          <t>KF-M10-MALLA-0037</t>
        </is>
      </c>
      <c r="B404" s="35" t="n">
        <v>1000</v>
      </c>
      <c r="C404" s="37" t="n">
        <v>0.82</v>
      </c>
      <c r="D404" s="42" t="inlineStr">
        <is>
          <t>KALINA</t>
        </is>
      </c>
      <c r="E404" s="29" t="n">
        <v>9.924233112501261</v>
      </c>
      <c r="F404" s="35" t="n">
        <v>91.59746440326164</v>
      </c>
      <c r="G404" s="36" t="n">
        <v>2300</v>
      </c>
      <c r="H404" s="29" t="n">
        <v>3.3</v>
      </c>
      <c r="I404" s="16" t="inlineStr">
        <is>
          <t>no</t>
        </is>
      </c>
      <c r="J404" s="16" t="n"/>
    </row>
    <row r="405">
      <c r="A405" s="16" t="inlineStr">
        <is>
          <t>KF-M10-MALLA-0045</t>
        </is>
      </c>
      <c r="B405" s="35" t="n">
        <v>1000</v>
      </c>
      <c r="C405" s="37" t="n">
        <v>0.85</v>
      </c>
      <c r="D405" s="42" t="inlineStr">
        <is>
          <t>KALINA</t>
        </is>
      </c>
      <c r="E405" s="29" t="n">
        <v>10.13135013936391</v>
      </c>
      <c r="F405" s="35" t="n">
        <v>99.79444679673902</v>
      </c>
      <c r="G405" s="36" t="n">
        <v>2300</v>
      </c>
      <c r="H405" s="29" t="n">
        <v>3.3</v>
      </c>
      <c r="I405" s="16" t="inlineStr">
        <is>
          <t>no</t>
        </is>
      </c>
      <c r="J405" s="16" t="n"/>
    </row>
    <row r="406">
      <c r="A406" s="16" t="inlineStr">
        <is>
          <t>KF-M10-MALLA-0053</t>
        </is>
      </c>
      <c r="B406" s="35" t="n">
        <v>1000</v>
      </c>
      <c r="C406" s="37" t="n">
        <v>0.88</v>
      </c>
      <c r="D406" s="42" t="inlineStr">
        <is>
          <t>KALINA</t>
        </is>
      </c>
      <c r="E406" s="29" t="n">
        <v>10.30801786612701</v>
      </c>
      <c r="F406" s="35" t="n">
        <v>107.8152052213274</v>
      </c>
      <c r="G406" s="36" t="n">
        <v>2300</v>
      </c>
      <c r="H406" s="29" t="n">
        <v>3.3</v>
      </c>
      <c r="I406" s="16" t="inlineStr">
        <is>
          <t>no</t>
        </is>
      </c>
      <c r="J406" s="16" t="n"/>
    </row>
    <row r="407">
      <c r="A407" s="16" t="inlineStr">
        <is>
          <t>KF-M10-MALLA-0061</t>
        </is>
      </c>
      <c r="B407" s="35" t="n">
        <v>1000</v>
      </c>
      <c r="C407" s="37" t="n">
        <v>0.91</v>
      </c>
      <c r="D407" s="42" t="inlineStr">
        <is>
          <t>KALINA</t>
        </is>
      </c>
      <c r="E407" s="29" t="n">
        <v>10.45348880657733</v>
      </c>
      <c r="F407" s="35" t="n">
        <v>115.598542500837</v>
      </c>
      <c r="G407" s="36" t="n">
        <v>2300</v>
      </c>
      <c r="H407" s="29" t="n">
        <v>3.3</v>
      </c>
      <c r="I407" s="16" t="inlineStr">
        <is>
          <t>no</t>
        </is>
      </c>
      <c r="J407" s="16" t="n"/>
    </row>
    <row r="408">
      <c r="A408" s="16" t="inlineStr">
        <is>
          <t>KF-M10-MALLA-0006</t>
        </is>
      </c>
      <c r="B408" s="35" t="n">
        <v>1100</v>
      </c>
      <c r="C408" s="37" t="n">
        <v>0.7</v>
      </c>
      <c r="D408" s="42" t="inlineStr">
        <is>
          <t>KALINA</t>
        </is>
      </c>
      <c r="E408" s="29" t="n">
        <v>8.060112582714559</v>
      </c>
      <c r="F408" s="35" t="n">
        <v>53.33567587565032</v>
      </c>
      <c r="G408" s="36" t="n">
        <v>2200</v>
      </c>
      <c r="H408" s="29" t="n">
        <v>3</v>
      </c>
      <c r="I408" s="16" t="inlineStr">
        <is>
          <t>no</t>
        </is>
      </c>
      <c r="J408" s="16" t="n"/>
    </row>
    <row r="409">
      <c r="A409" s="16" t="inlineStr">
        <is>
          <t>KF-M10-MALLA-0014</t>
        </is>
      </c>
      <c r="B409" s="35" t="n">
        <v>1100</v>
      </c>
      <c r="C409" s="37" t="n">
        <v>0.73</v>
      </c>
      <c r="D409" s="42" t="inlineStr">
        <is>
          <t>KALINA</t>
        </is>
      </c>
      <c r="E409" s="29" t="n">
        <v>8.404626148994399</v>
      </c>
      <c r="F409" s="35" t="n">
        <v>61.28414985272794</v>
      </c>
      <c r="G409" s="36" t="n">
        <v>2200</v>
      </c>
      <c r="H409" s="29" t="n">
        <v>3</v>
      </c>
      <c r="I409" s="16" t="inlineStr">
        <is>
          <t>no</t>
        </is>
      </c>
      <c r="J409" s="16" t="n"/>
    </row>
    <row r="410">
      <c r="A410" s="16" t="inlineStr">
        <is>
          <t>KF-M10-MALLA-0022</t>
        </is>
      </c>
      <c r="B410" s="35" t="n">
        <v>1100</v>
      </c>
      <c r="C410" s="37" t="n">
        <v>0.76</v>
      </c>
      <c r="D410" s="42" t="inlineStr">
        <is>
          <t>KALINA</t>
        </is>
      </c>
      <c r="E410" s="29" t="n">
        <v>8.70021231203984</v>
      </c>
      <c r="F410" s="35" t="n">
        <v>69.17472232292798</v>
      </c>
      <c r="G410" s="36" t="n">
        <v>2200</v>
      </c>
      <c r="H410" s="29" t="n">
        <v>3</v>
      </c>
      <c r="I410" s="16" t="inlineStr">
        <is>
          <t>no</t>
        </is>
      </c>
      <c r="J410" s="16" t="n"/>
    </row>
    <row r="411">
      <c r="A411" s="16" t="inlineStr">
        <is>
          <t>KF-M10-MALLA-0030</t>
        </is>
      </c>
      <c r="B411" s="35" t="n">
        <v>1100</v>
      </c>
      <c r="C411" s="37" t="n">
        <v>0.79</v>
      </c>
      <c r="D411" s="42" t="inlineStr">
        <is>
          <t>KALINA</t>
        </is>
      </c>
      <c r="E411" s="29" t="n">
        <v>8.9565676337872</v>
      </c>
      <c r="F411" s="35" t="n">
        <v>76.99105137941292</v>
      </c>
      <c r="G411" s="36" t="n">
        <v>2200</v>
      </c>
      <c r="H411" s="29" t="n">
        <v>3</v>
      </c>
      <c r="I411" s="16" t="inlineStr">
        <is>
          <t>no</t>
        </is>
      </c>
      <c r="J411" s="16" t="n"/>
    </row>
    <row r="412">
      <c r="A412" s="16" t="inlineStr">
        <is>
          <t>KF-M10-MALLA-0038</t>
        </is>
      </c>
      <c r="B412" s="35" t="n">
        <v>1100</v>
      </c>
      <c r="C412" s="37" t="n">
        <v>0.82</v>
      </c>
      <c r="D412" s="42" t="inlineStr">
        <is>
          <t>KALINA</t>
        </is>
      </c>
      <c r="E412" s="29" t="n">
        <v>9.17971921388504</v>
      </c>
      <c r="F412" s="35" t="n">
        <v>84.7120774289298</v>
      </c>
      <c r="G412" s="36" t="n">
        <v>2200</v>
      </c>
      <c r="H412" s="29" t="n">
        <v>3</v>
      </c>
      <c r="I412" s="16" t="inlineStr">
        <is>
          <t>no</t>
        </is>
      </c>
      <c r="J412" s="16" t="n"/>
    </row>
    <row r="413">
      <c r="A413" s="16" t="inlineStr">
        <is>
          <t>KF-M10-MALLA-0046</t>
        </is>
      </c>
      <c r="B413" s="35" t="n">
        <v>1100</v>
      </c>
      <c r="C413" s="37" t="n">
        <v>0.85</v>
      </c>
      <c r="D413" s="42" t="inlineStr">
        <is>
          <t>KALINA</t>
        </is>
      </c>
      <c r="E413" s="29" t="n">
        <v>9.37313210714513</v>
      </c>
      <c r="F413" s="35" t="n">
        <v>92.30956520562054</v>
      </c>
      <c r="G413" s="36" t="n">
        <v>2200</v>
      </c>
      <c r="H413" s="29" t="n">
        <v>3</v>
      </c>
      <c r="I413" s="16" t="inlineStr">
        <is>
          <t>no</t>
        </is>
      </c>
      <c r="J413" s="16" t="n"/>
    </row>
    <row r="414">
      <c r="A414" s="16" t="inlineStr">
        <is>
          <t>KF-M10-MALLA-0054</t>
        </is>
      </c>
      <c r="B414" s="35" t="n">
        <v>1100</v>
      </c>
      <c r="C414" s="37" t="n">
        <v>0.88</v>
      </c>
      <c r="D414" s="42" t="inlineStr">
        <is>
          <t>KALINA</t>
        </is>
      </c>
      <c r="E414" s="29" t="n">
        <v>9.53815722901332</v>
      </c>
      <c r="F414" s="35" t="n">
        <v>99.7437858476994</v>
      </c>
      <c r="G414" s="36" t="n">
        <v>2200</v>
      </c>
      <c r="H414" s="29" t="n">
        <v>3</v>
      </c>
      <c r="I414" s="16" t="inlineStr">
        <is>
          <t>no</t>
        </is>
      </c>
      <c r="J414" s="16" t="n"/>
    </row>
    <row r="415">
      <c r="A415" s="16" t="inlineStr">
        <is>
          <t>KF-M10-MALLA-0062</t>
        </is>
      </c>
      <c r="B415" s="35" t="n">
        <v>1100</v>
      </c>
      <c r="C415" s="37" t="n">
        <v>0.91</v>
      </c>
      <c r="D415" s="42" t="inlineStr">
        <is>
          <t>KALINA</t>
        </is>
      </c>
      <c r="E415" s="29" t="n">
        <v>9.67389921513486</v>
      </c>
      <c r="F415" s="35" t="n">
        <v>106.9554410431627</v>
      </c>
      <c r="G415" s="36" t="n">
        <v>2200</v>
      </c>
      <c r="H415" s="29" t="n">
        <v>3</v>
      </c>
      <c r="I415" s="16" t="inlineStr">
        <is>
          <t>no</t>
        </is>
      </c>
      <c r="J415" s="16" t="n"/>
    </row>
    <row r="416">
      <c r="A416" s="16" t="inlineStr">
        <is>
          <t>KF-M10-MALLA-0007</t>
        </is>
      </c>
      <c r="B416" s="35" t="n">
        <v>1200</v>
      </c>
      <c r="C416" s="37" t="n">
        <v>0.7</v>
      </c>
      <c r="D416" s="42" t="inlineStr">
        <is>
          <t>KALINA</t>
        </is>
      </c>
      <c r="E416" s="29" t="n">
        <v>7.448105419529829</v>
      </c>
      <c r="F416" s="35" t="n">
        <v>49.28162774830448</v>
      </c>
      <c r="G416" s="36" t="n">
        <v>2100</v>
      </c>
      <c r="H416" s="29" t="n">
        <v>2.75</v>
      </c>
      <c r="I416" s="16" t="inlineStr">
        <is>
          <t>no</t>
        </is>
      </c>
      <c r="J416" s="16" t="n"/>
    </row>
    <row r="417">
      <c r="A417" s="16" t="inlineStr">
        <is>
          <t>KF-M10-MALLA-0015</t>
        </is>
      </c>
      <c r="B417" s="35" t="n">
        <v>1200</v>
      </c>
      <c r="C417" s="37" t="n">
        <v>0.73</v>
      </c>
      <c r="D417" s="42" t="inlineStr">
        <is>
          <t>KALINA</t>
        </is>
      </c>
      <c r="E417" s="29" t="n">
        <v>7.76903045664815</v>
      </c>
      <c r="F417" s="35" t="n">
        <v>56.64380494893359</v>
      </c>
      <c r="G417" s="36" t="n">
        <v>2100</v>
      </c>
      <c r="H417" s="29" t="n">
        <v>2.75</v>
      </c>
      <c r="I417" s="16" t="inlineStr">
        <is>
          <t>no</t>
        </is>
      </c>
      <c r="J417" s="16" t="n"/>
    </row>
    <row r="418">
      <c r="A418" s="16" t="inlineStr">
        <is>
          <t>KF-M10-MALLA-0023</t>
        </is>
      </c>
      <c r="B418" s="35" t="n">
        <v>1200</v>
      </c>
      <c r="C418" s="37" t="n">
        <v>0.76</v>
      </c>
      <c r="D418" s="42" t="inlineStr">
        <is>
          <t>KALINA</t>
        </is>
      </c>
      <c r="E418" s="29" t="n">
        <v>8.044487947650799</v>
      </c>
      <c r="F418" s="35" t="n">
        <v>63.95365130854415</v>
      </c>
      <c r="G418" s="36" t="n">
        <v>2100</v>
      </c>
      <c r="H418" s="29" t="n">
        <v>2.75</v>
      </c>
      <c r="I418" s="16" t="inlineStr">
        <is>
          <t>no</t>
        </is>
      </c>
      <c r="J418" s="16" t="n"/>
    </row>
    <row r="419">
      <c r="A419" s="16" t="inlineStr">
        <is>
          <t>KF-M10-MALLA-0031</t>
        </is>
      </c>
      <c r="B419" s="35" t="n">
        <v>1200</v>
      </c>
      <c r="C419" s="37" t="n">
        <v>0.79</v>
      </c>
      <c r="D419" s="42" t="inlineStr">
        <is>
          <t>KALINA</t>
        </is>
      </c>
      <c r="E419" s="29" t="n">
        <v>8.283515376053</v>
      </c>
      <c r="F419" s="35" t="n">
        <v>71.19613549911668</v>
      </c>
      <c r="G419" s="36" t="n">
        <v>2100</v>
      </c>
      <c r="H419" s="29" t="n">
        <v>2.75</v>
      </c>
      <c r="I419" s="16" t="inlineStr">
        <is>
          <t>no</t>
        </is>
      </c>
      <c r="J419" s="16" t="n"/>
    </row>
    <row r="420">
      <c r="A420" s="16" t="inlineStr">
        <is>
          <t>KF-M10-MALLA-0039</t>
        </is>
      </c>
      <c r="B420" s="35" t="n">
        <v>1200</v>
      </c>
      <c r="C420" s="37" t="n">
        <v>0.82</v>
      </c>
      <c r="D420" s="42" t="inlineStr">
        <is>
          <t>KALINA</t>
        </is>
      </c>
      <c r="E420" s="29" t="n">
        <v>8.491726704207609</v>
      </c>
      <c r="F420" s="35" t="n">
        <v>78.35179300624868</v>
      </c>
      <c r="G420" s="36" t="n">
        <v>2100</v>
      </c>
      <c r="H420" s="29" t="n">
        <v>2.75</v>
      </c>
      <c r="I420" s="16" t="inlineStr">
        <is>
          <t>no</t>
        </is>
      </c>
      <c r="J420" s="16" t="n"/>
    </row>
    <row r="421">
      <c r="A421" s="16" t="inlineStr">
        <is>
          <t>KF-M10-MALLA-0047</t>
        </is>
      </c>
      <c r="B421" s="35" t="n">
        <v>1200</v>
      </c>
      <c r="C421" s="37" t="n">
        <v>0.85</v>
      </c>
      <c r="D421" s="42" t="inlineStr">
        <is>
          <t>KALINA</t>
        </is>
      </c>
      <c r="E421" s="29" t="n">
        <v>8.672335407814</v>
      </c>
      <c r="F421" s="35" t="n">
        <v>85.39433824579896</v>
      </c>
      <c r="G421" s="36" t="n">
        <v>2100</v>
      </c>
      <c r="H421" s="29" t="n">
        <v>2.75</v>
      </c>
      <c r="I421" s="16" t="inlineStr">
        <is>
          <t>no</t>
        </is>
      </c>
      <c r="J421" s="16" t="n"/>
    </row>
    <row r="422">
      <c r="A422" s="16" t="inlineStr">
        <is>
          <t>KF-M10-MALLA-0058</t>
        </is>
      </c>
      <c r="B422" s="35" t="n">
        <v>1200</v>
      </c>
      <c r="C422" s="37" t="n">
        <v>0.88</v>
      </c>
      <c r="D422" s="42" t="inlineStr">
        <is>
          <t>KALINA</t>
        </is>
      </c>
      <c r="E422" s="29" t="n">
        <v>8.82655033606776</v>
      </c>
      <c r="F422" s="35" t="n">
        <v>92.28637884245332</v>
      </c>
      <c r="G422" s="36" t="n">
        <v>2100</v>
      </c>
      <c r="H422" s="29" t="n">
        <v>2.75</v>
      </c>
      <c r="I422" s="16" t="inlineStr">
        <is>
          <t>no</t>
        </is>
      </c>
      <c r="J422" s="16" t="n"/>
    </row>
    <row r="423">
      <c r="A423" s="16" t="inlineStr">
        <is>
          <t>KF-M10-MALLA-0063</t>
        </is>
      </c>
      <c r="B423" s="35" t="n">
        <v>1200</v>
      </c>
      <c r="C423" s="37" t="n">
        <v>0.91</v>
      </c>
      <c r="D423" s="42" t="inlineStr">
        <is>
          <t>KALINA</t>
        </is>
      </c>
      <c r="E423" s="29" t="n">
        <v>8.877963168065541</v>
      </c>
      <c r="F423" s="35" t="n">
        <v>98.13464224690414</v>
      </c>
      <c r="G423" s="36" t="n">
        <v>2100</v>
      </c>
      <c r="H423" s="29" t="n">
        <v>2.75</v>
      </c>
      <c r="I423" s="16" t="inlineStr">
        <is>
          <t>no</t>
        </is>
      </c>
      <c r="J423" s="16" t="n"/>
    </row>
    <row r="424"/>
    <row r="425">
      <c r="A425" s="33" t="inlineStr">
        <is>
          <t>Parte 6.2d · x_b bajo (0.30–0.70) · 17 puntos</t>
        </is>
      </c>
      <c r="B425" s="31" t="n"/>
      <c r="C425" s="31" t="n"/>
      <c r="D425" s="31" t="n"/>
      <c r="E425" s="31" t="n"/>
      <c r="F425" s="31" t="n"/>
      <c r="G425" s="31" t="n"/>
      <c r="H425" s="31" t="n"/>
      <c r="I425" s="31" t="n"/>
      <c r="J425" s="31" t="n"/>
      <c r="K425" s="31" t="n"/>
    </row>
    <row r="426"/>
    <row r="427">
      <c r="A427" s="34" t="inlineStr">
        <is>
          <t>Barrido de la parte 6.2d · 17 puntos</t>
        </is>
      </c>
    </row>
    <row r="428">
      <c r="A428" s="25" t="inlineStr">
        <is>
          <t>Fijos en este barrido: T_fuente = 394.15, T_sumidero = 278.15, P_alta = 3300, P_baja = 690, η_t = 0.9, η_p = 0.8, ε_HRVG = 0.85, ε_reg = 0.75, ε_cond = 0.95.</t>
        </is>
      </c>
    </row>
    <row r="429">
      <c r="A429" s="22" t="inlineStr">
        <is>
          <t>id_punto</t>
        </is>
      </c>
      <c r="B429" s="22" t="inlineStr">
        <is>
          <t>x_b [–]</t>
        </is>
      </c>
      <c r="C429" s="22" t="inlineStr">
        <is>
          <t>Clase</t>
        </is>
      </c>
      <c r="D429" s="22" t="inlineStr">
        <is>
          <t>η [%]</t>
        </is>
      </c>
      <c r="E429" s="22" t="inlineStr">
        <is>
          <t>W_net [kW] (m_b = 1 kg/s)</t>
        </is>
      </c>
      <c r="F429" s="22" t="inlineStr">
        <is>
          <t>ΔP [kPa]</t>
        </is>
      </c>
      <c r="G429" s="22" t="inlineStr">
        <is>
          <t>r_P [–]</t>
        </is>
      </c>
      <c r="H429" s="22" t="inlineStr">
        <is>
          <t>Fuera de rango</t>
        </is>
      </c>
      <c r="I429" s="22" t="inlineStr">
        <is>
          <t>Criterios que falla</t>
        </is>
      </c>
    </row>
    <row r="430">
      <c r="A430" s="16" t="inlineStr">
        <is>
          <t>KF-M10b-OFAT-0000</t>
        </is>
      </c>
      <c r="B430" s="37" t="n">
        <v>0.3</v>
      </c>
      <c r="C430" s="32" t="inlineStr">
        <is>
          <t>No convergió</t>
        </is>
      </c>
      <c r="D430" s="29" t="inlineStr">
        <is>
          <t>—</t>
        </is>
      </c>
      <c r="E430" s="35" t="inlineStr">
        <is>
          <t>—</t>
        </is>
      </c>
      <c r="F430" s="36" t="n">
        <v>2610</v>
      </c>
      <c r="G430" s="29" t="n">
        <v>4.782608695652174</v>
      </c>
      <c r="H430" s="16" t="inlineStr">
        <is>
          <t>no</t>
        </is>
      </c>
      <c r="I430" s="16" t="n"/>
    </row>
    <row r="431">
      <c r="A431" s="16" t="inlineStr">
        <is>
          <t>KF-M10b-OFAT-0002</t>
        </is>
      </c>
      <c r="B431" s="37" t="n">
        <v>0.325</v>
      </c>
      <c r="C431" s="32" t="inlineStr">
        <is>
          <t>No convergió</t>
        </is>
      </c>
      <c r="D431" s="29" t="inlineStr">
        <is>
          <t>—</t>
        </is>
      </c>
      <c r="E431" s="35" t="inlineStr">
        <is>
          <t>—</t>
        </is>
      </c>
      <c r="F431" s="36" t="n">
        <v>2610</v>
      </c>
      <c r="G431" s="29" t="n">
        <v>4.782608695652174</v>
      </c>
      <c r="H431" s="16" t="inlineStr">
        <is>
          <t>no</t>
        </is>
      </c>
      <c r="I431" s="16" t="n"/>
    </row>
    <row r="432">
      <c r="A432" s="16" t="inlineStr">
        <is>
          <t>KF-M10b-OFAT-0001</t>
        </is>
      </c>
      <c r="B432" s="37" t="n">
        <v>0.35</v>
      </c>
      <c r="C432" s="32" t="inlineStr">
        <is>
          <t>No convergió</t>
        </is>
      </c>
      <c r="D432" s="29" t="inlineStr">
        <is>
          <t>—</t>
        </is>
      </c>
      <c r="E432" s="35" t="inlineStr">
        <is>
          <t>—</t>
        </is>
      </c>
      <c r="F432" s="36" t="n">
        <v>2610</v>
      </c>
      <c r="G432" s="29" t="n">
        <v>4.782608695652174</v>
      </c>
      <c r="H432" s="16" t="inlineStr">
        <is>
          <t>no</t>
        </is>
      </c>
      <c r="I432" s="16" t="n"/>
    </row>
    <row r="433">
      <c r="A433" s="16" t="inlineStr">
        <is>
          <t>KF-M10b-OFAT-0003</t>
        </is>
      </c>
      <c r="B433" s="37" t="n">
        <v>0.375</v>
      </c>
      <c r="C433" s="32" t="inlineStr">
        <is>
          <t>No convergió</t>
        </is>
      </c>
      <c r="D433" s="29" t="inlineStr">
        <is>
          <t>—</t>
        </is>
      </c>
      <c r="E433" s="35" t="inlineStr">
        <is>
          <t>—</t>
        </is>
      </c>
      <c r="F433" s="36" t="n">
        <v>2610</v>
      </c>
      <c r="G433" s="29" t="n">
        <v>4.782608695652174</v>
      </c>
      <c r="H433" s="16" t="inlineStr">
        <is>
          <t>no</t>
        </is>
      </c>
      <c r="I433" s="16" t="n"/>
    </row>
    <row r="434">
      <c r="A434" s="16" t="inlineStr">
        <is>
          <t>KF-M10b-OFAT-0006</t>
        </is>
      </c>
      <c r="B434" s="37" t="n">
        <v>0.3999999999999999</v>
      </c>
      <c r="C434" s="38" t="inlineStr">
        <is>
          <t>Falso convergido</t>
        </is>
      </c>
      <c r="D434" s="29" t="inlineStr">
        <is>
          <t>—</t>
        </is>
      </c>
      <c r="E434" s="35" t="inlineStr">
        <is>
          <t>—</t>
        </is>
      </c>
      <c r="F434" s="36" t="n">
        <v>2610</v>
      </c>
      <c r="G434" s="29" t="n">
        <v>4.782608695652174</v>
      </c>
      <c r="H434" s="16" t="inlineStr">
        <is>
          <t>no</t>
        </is>
      </c>
      <c r="I434" s="16" t="inlineStr">
        <is>
          <t>N2,S6,O3,O5,C1,C3,C3</t>
        </is>
      </c>
    </row>
    <row r="435">
      <c r="A435" s="16" t="inlineStr">
        <is>
          <t>KF-M10b-OFAT-0005</t>
        </is>
      </c>
      <c r="B435" s="37" t="n">
        <v>0.425</v>
      </c>
      <c r="C435" s="38" t="inlineStr">
        <is>
          <t>Falso convergido</t>
        </is>
      </c>
      <c r="D435" s="29" t="inlineStr">
        <is>
          <t>—</t>
        </is>
      </c>
      <c r="E435" s="35" t="inlineStr">
        <is>
          <t>—</t>
        </is>
      </c>
      <c r="F435" s="36" t="n">
        <v>2610</v>
      </c>
      <c r="G435" s="29" t="n">
        <v>4.782608695652174</v>
      </c>
      <c r="H435" s="16" t="inlineStr">
        <is>
          <t>no</t>
        </is>
      </c>
      <c r="I435" s="16" t="inlineStr">
        <is>
          <t>N2,S6,O3,O5,C1,C3,C3</t>
        </is>
      </c>
    </row>
    <row r="436">
      <c r="A436" s="16" t="inlineStr">
        <is>
          <t>KF-M10b-OFAT-0004</t>
        </is>
      </c>
      <c r="B436" s="37" t="n">
        <v>0.4499999999999999</v>
      </c>
      <c r="C436" s="38" t="inlineStr">
        <is>
          <t>Falso convergido</t>
        </is>
      </c>
      <c r="D436" s="29" t="inlineStr">
        <is>
          <t>—</t>
        </is>
      </c>
      <c r="E436" s="35" t="inlineStr">
        <is>
          <t>—</t>
        </is>
      </c>
      <c r="F436" s="36" t="n">
        <v>2610</v>
      </c>
      <c r="G436" s="29" t="n">
        <v>4.782608695652174</v>
      </c>
      <c r="H436" s="16" t="inlineStr">
        <is>
          <t>no</t>
        </is>
      </c>
      <c r="I436" s="16" t="inlineStr">
        <is>
          <t>N2,S6,O3,O5,C1,C3,C3</t>
        </is>
      </c>
    </row>
    <row r="437">
      <c r="A437" s="16" t="inlineStr">
        <is>
          <t>KF-M10b-OFAT-0011</t>
        </is>
      </c>
      <c r="B437" s="37" t="n">
        <v>0.475</v>
      </c>
      <c r="C437" s="38" t="inlineStr">
        <is>
          <t>Falso convergido</t>
        </is>
      </c>
      <c r="D437" s="29" t="inlineStr">
        <is>
          <t>—</t>
        </is>
      </c>
      <c r="E437" s="35" t="inlineStr">
        <is>
          <t>—</t>
        </is>
      </c>
      <c r="F437" s="36" t="n">
        <v>2610</v>
      </c>
      <c r="G437" s="29" t="n">
        <v>4.782608695652174</v>
      </c>
      <c r="H437" s="16" t="inlineStr">
        <is>
          <t>no</t>
        </is>
      </c>
      <c r="I437" s="16" t="inlineStr">
        <is>
          <t>N2,O3,O5,C1,C3,C3</t>
        </is>
      </c>
    </row>
    <row r="438">
      <c r="A438" s="16" t="inlineStr">
        <is>
          <t>KF-M10b-OFAT-0009</t>
        </is>
      </c>
      <c r="B438" s="37" t="n">
        <v>0.5</v>
      </c>
      <c r="C438" s="42" t="inlineStr">
        <is>
          <t>KALINA</t>
        </is>
      </c>
      <c r="D438" s="29" t="n">
        <v>0.07803175622828</v>
      </c>
      <c r="E438" s="35" t="n">
        <v>0.1279233948700948</v>
      </c>
      <c r="F438" s="36" t="n">
        <v>2610</v>
      </c>
      <c r="G438" s="29" t="n">
        <v>4.782608695652174</v>
      </c>
      <c r="H438" s="16" t="inlineStr">
        <is>
          <t>no</t>
        </is>
      </c>
      <c r="I438" s="16" t="n"/>
    </row>
    <row r="439">
      <c r="A439" s="16" t="inlineStr">
        <is>
          <t>KF-M10b-OFAT-0010</t>
        </is>
      </c>
      <c r="B439" s="37" t="n">
        <v>0.5249999999999999</v>
      </c>
      <c r="C439" s="42" t="inlineStr">
        <is>
          <t>KALINA</t>
        </is>
      </c>
      <c r="D439" s="29" t="n">
        <v>4.09051500965343</v>
      </c>
      <c r="E439" s="35" t="n">
        <v>9.463774913668122</v>
      </c>
      <c r="F439" s="36" t="n">
        <v>2610</v>
      </c>
      <c r="G439" s="29" t="n">
        <v>4.782608695652174</v>
      </c>
      <c r="H439" s="16" t="inlineStr">
        <is>
          <t>no</t>
        </is>
      </c>
      <c r="I439" s="16" t="n"/>
    </row>
    <row r="440">
      <c r="A440" s="16" t="inlineStr">
        <is>
          <t>KF-M10b-OFAT-0008</t>
        </is>
      </c>
      <c r="B440" s="37" t="n">
        <v>0.5499999999999999</v>
      </c>
      <c r="C440" s="42" t="inlineStr">
        <is>
          <t>KALINA</t>
        </is>
      </c>
      <c r="D440" s="29" t="n">
        <v>6.322894530636971</v>
      </c>
      <c r="E440" s="35" t="n">
        <v>18.79204982033403</v>
      </c>
      <c r="F440" s="36" t="n">
        <v>2610</v>
      </c>
      <c r="G440" s="29" t="n">
        <v>4.782608695652174</v>
      </c>
      <c r="H440" s="16" t="inlineStr">
        <is>
          <t>no</t>
        </is>
      </c>
      <c r="I440" s="16" t="n"/>
    </row>
    <row r="441">
      <c r="A441" s="16" t="inlineStr">
        <is>
          <t>KF-M10b-OFAT-0013</t>
        </is>
      </c>
      <c r="B441" s="37" t="n">
        <v>0.575</v>
      </c>
      <c r="C441" s="42" t="inlineStr">
        <is>
          <t>KALINA</t>
        </is>
      </c>
      <c r="D441" s="29" t="n">
        <v>7.775402464705341</v>
      </c>
      <c r="E441" s="35" t="n">
        <v>28.10944810734777</v>
      </c>
      <c r="F441" s="36" t="n">
        <v>2610</v>
      </c>
      <c r="G441" s="29" t="n">
        <v>4.782608695652174</v>
      </c>
      <c r="H441" s="16" t="inlineStr">
        <is>
          <t>no</t>
        </is>
      </c>
      <c r="I441" s="16" t="n"/>
    </row>
    <row r="442">
      <c r="A442" s="16" t="inlineStr">
        <is>
          <t>KF-M10b-OFAT-0012</t>
        </is>
      </c>
      <c r="B442" s="37" t="n">
        <v>0.6</v>
      </c>
      <c r="C442" s="42" t="inlineStr">
        <is>
          <t>KALINA</t>
        </is>
      </c>
      <c r="D442" s="29" t="n">
        <v>8.816445146584611</v>
      </c>
      <c r="E442" s="35" t="n">
        <v>37.41192808343354</v>
      </c>
      <c r="F442" s="36" t="n">
        <v>2610</v>
      </c>
      <c r="G442" s="29" t="n">
        <v>4.782608695652174</v>
      </c>
      <c r="H442" s="16" t="inlineStr">
        <is>
          <t>no</t>
        </is>
      </c>
      <c r="I442" s="16" t="n"/>
    </row>
    <row r="443">
      <c r="A443" s="16" t="inlineStr">
        <is>
          <t>KF-M10b-OFAT-0007</t>
        </is>
      </c>
      <c r="B443" s="37" t="n">
        <v>0.625</v>
      </c>
      <c r="C443" s="32" t="inlineStr">
        <is>
          <t>No convergió</t>
        </is>
      </c>
      <c r="D443" s="29" t="inlineStr">
        <is>
          <t>—</t>
        </is>
      </c>
      <c r="E443" s="35" t="inlineStr">
        <is>
          <t>—</t>
        </is>
      </c>
      <c r="F443" s="36" t="n">
        <v>2610</v>
      </c>
      <c r="G443" s="29" t="n">
        <v>4.782608695652174</v>
      </c>
      <c r="H443" s="16" t="inlineStr">
        <is>
          <t>no</t>
        </is>
      </c>
      <c r="I443" s="16" t="n"/>
    </row>
    <row r="444">
      <c r="A444" s="16" t="inlineStr">
        <is>
          <t>KF-M10b-OFAT-0014</t>
        </is>
      </c>
      <c r="B444" s="37" t="n">
        <v>0.6499999999999999</v>
      </c>
      <c r="C444" s="42" t="inlineStr">
        <is>
          <t>KALINA</t>
        </is>
      </c>
      <c r="D444" s="29" t="n">
        <v>10.25180677128446</v>
      </c>
      <c r="E444" s="35" t="n">
        <v>55.95214944806708</v>
      </c>
      <c r="F444" s="36" t="n">
        <v>2610</v>
      </c>
      <c r="G444" s="29" t="n">
        <v>4.782608695652174</v>
      </c>
      <c r="H444" s="16" t="inlineStr">
        <is>
          <t>no</t>
        </is>
      </c>
      <c r="I444" s="16" t="n"/>
    </row>
    <row r="445">
      <c r="A445" s="16" t="inlineStr">
        <is>
          <t>KF-M10b-OFAT-0015</t>
        </is>
      </c>
      <c r="B445" s="37" t="n">
        <v>0.6749999999999999</v>
      </c>
      <c r="C445" s="42" t="inlineStr">
        <is>
          <t>KALINA</t>
        </is>
      </c>
      <c r="D445" s="29" t="n">
        <v>10.78159574911628</v>
      </c>
      <c r="E445" s="35" t="n">
        <v>65.17775013434638</v>
      </c>
      <c r="F445" s="36" t="n">
        <v>2610</v>
      </c>
      <c r="G445" s="29" t="n">
        <v>4.782608695652174</v>
      </c>
      <c r="H445" s="16" t="inlineStr">
        <is>
          <t>no</t>
        </is>
      </c>
      <c r="I445" s="16" t="n"/>
    </row>
    <row r="446">
      <c r="A446" s="16" t="inlineStr">
        <is>
          <t>KF-M10b-OFAT-0016</t>
        </is>
      </c>
      <c r="B446" s="37" t="n">
        <v>0.7</v>
      </c>
      <c r="C446" s="42" t="inlineStr">
        <is>
          <t>KALINA</t>
        </is>
      </c>
      <c r="D446" s="29" t="n">
        <v>11.23217741708438</v>
      </c>
      <c r="E446" s="35" t="n">
        <v>74.36399717804875</v>
      </c>
      <c r="F446" s="36" t="n">
        <v>2610</v>
      </c>
      <c r="G446" s="29" t="n">
        <v>4.782608695652174</v>
      </c>
      <c r="H446" s="16" t="inlineStr">
        <is>
          <t>no</t>
        </is>
      </c>
      <c r="I446" s="16" t="n"/>
    </row>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c r="P480" s="25" t="inlineStr">
        <is>
          <t>Estudio 6.2 · parte(s) 6.2b. Punto base: Ancla de Húsavík (Fase 3): P_alta 3300 kPa, P_baja 690 kPa, T_fuente 394.15 K, T_sumidero 278.15 K</t>
        </is>
      </c>
    </row>
    <row r="481">
      <c r="P481" s="25" t="inlineStr">
        <is>
          <t>Punto base (las demás variables quedan fijas en): T_fuente = 394.15 K; T_sumidero = 278.15 K; P_alta = 3300 kPa; P_baja = 690 kPa; x_b = 0.82; m_b = 1 kg/s; η_t = 0.9; η_p = 0.8; ε_HRVG = 0.85; ε_reg = 0.75; ε_cond = 0.95; piso de O2 = 283.15 K; motor de propiedades = teqp. Cada panel o tramo mueve solo su variable.</t>
        </is>
      </c>
    </row>
    <row r="482">
      <c r="P482" s="25" t="inlineStr">
        <is>
          <t>Datos barridos (uno a la vez): T_fuente [380–430] K (15 valores); T_sumidero [273.15–293.15] K (15 valores); P_alta [2500–4000] kPa (15 valores); P_baja [500–1200] kPa (15 valores); x_b [0.6–0.95] (15 valores); η_t [0.75–0.95] (15 valores); η_p [0.6–0.9] (15 valores); ε_HRVG [0.6–0.95] (15 valores); ε_reg [0.4–0.95] (15 valores); ε_cond [0.7–0.95] (15 valores).</t>
        </is>
      </c>
    </row>
    <row r="483">
      <c r="P483" s="25" t="inlineStr">
        <is>
          <t>Filtro: η solo en genuinos con W_net &gt; 0; ✕ sobre el eje = no genuino.</t>
        </is>
      </c>
    </row>
    <row r="484">
      <c r="P484" s="25" t="inlineStr">
        <is>
          <t>n = 150. Fuente: todos_los_puntos.csv.</t>
        </is>
      </c>
    </row>
    <row r="487">
      <c r="P487" s="24" t="inlineStr">
        <is>
          <t>6.2d · η según x_b con P_baja = 690 kPa (ancla de Húsavík; 0 = sin η)</t>
        </is>
      </c>
    </row>
    <row r="506">
      <c r="P506" s="25" t="inlineStr">
        <is>
          <t>Caso: 6.2d (parte 6.2d). Datos fijos: ancla de Húsavík con P_baja = 690 kPa. Datos barridos: x_b 0.30–0.70 (17 valores). Por debajo de x_b = 0.50 no hay ningún punto genuino. Fuente: todos_los_puntos.csv.</t>
        </is>
      </c>
    </row>
  </sheetData>
  <pageMargins left="0.75" right="0.75" top="1" bottom="1" header="0.5" footer="0.5"/>
  <drawing xmlns:r="http://schemas.openxmlformats.org/officeDocument/2006/relationships" r:id="rId1"/>
</worksheet>
</file>

<file path=xl/worksheets/sheet88.xml><?xml version="1.0" encoding="utf-8"?>
<worksheet xmlns="http://schemas.openxmlformats.org/spreadsheetml/2006/main">
  <sheetPr>
    <outlinePr summaryBelow="1" summaryRight="1"/>
    <pageSetUpPr/>
  </sheetPr>
  <dimension ref="A1:A151"/>
  <sheetViews>
    <sheetView workbookViewId="0">
      <selection activeCell="A1" sqref="A1"/>
    </sheetView>
  </sheetViews>
  <sheetFormatPr baseColWidth="8" defaultRowHeight="15"/>
  <sheetData>
    <row r="1">
      <c r="A1" s="11" t="inlineStr">
        <is>
          <t>Pregunta 6 · ¿Son confiables los resultados?</t>
        </is>
      </c>
    </row>
    <row r="2">
      <c r="A2" t="inlineStr">
        <is>
          <t>Gráficos nativos de Excel: pase el cursor sobre un punto para ver su valor. Los números de cada gráfico están en la hoja «6 Datos de gráficos» (el subtítulo de cada figura lleva un vínculo a su bloque).</t>
        </is>
      </c>
    </row>
    <row r="4">
      <c r="A4" s="24" t="inlineStr">
        <is>
          <t>Figura 6.1-1 · teqp y el motor real coinciden en los 5 puntos que el motor real resolvió</t>
        </is>
      </c>
    </row>
    <row r="25">
      <c r="A25" s="25" t="inlineStr">
        <is>
          <t>Figura 6.1-1. teqp y el motor real coinciden en los 5 puntos que el motor real resolvió.</t>
        </is>
      </c>
    </row>
    <row r="26">
      <c r="A26" s="25" t="inlineStr">
        <is>
          <t>Estudio 6.1 · partes 6.1a y 6.1d (puntos de control, cada uno con sus propios datos, no comparables entre sí).</t>
        </is>
      </c>
    </row>
    <row r="27">
      <c r="A27" s="25" t="inlineStr">
        <is>
          <t>Puntos: P03 = estudio 4.2, presiones del profesor, techo; P08 = estudio 5.1, óptimo A4; A* = Ancla A*; A4 = Óptimo A4 de estudio 5.1; HUS = Base de Húsavík.</t>
        </is>
      </c>
    </row>
    <row r="28">
      <c r="A28" s="25" t="inlineStr">
        <is>
          <t>Sin η real (motor real cortado por el límite de 300 s, no por la física): P01, P02, P04, P05, P06, P07, P09, P10, P11, P12.</t>
        </is>
      </c>
    </row>
    <row r="29">
      <c r="A29" s="25" t="inlineStr">
        <is>
          <t>Hay 5 corridas con η real sobre 4 diseños distintos: un mismo diseño (el óptimo A4 de 5.1d) se corrió con los dos presupuestos de tiempo (300 s y 1500 s).</t>
        </is>
      </c>
    </row>
    <row r="30">
      <c r="A30" s="25" t="inlineStr">
        <is>
          <t>Filtro: pares con η de ambos motores. Marcas: recta 1:1 y banda ±0.7 pp (incertidumbre del modelo de propiedades).</t>
        </is>
      </c>
    </row>
    <row r="31">
      <c r="A31" s="25" t="inlineStr">
        <is>
          <t>n = 5. Fuente: m6_comparacion.csv y m9_motor_real.csv.</t>
        </is>
      </c>
    </row>
    <row r="34">
      <c r="A34" s="24" t="inlineStr">
        <is>
          <t>Figura 6.2-1 · Húsavík: la P_baja mínima de KALINA sube con la fracción de amoníaco x_b</t>
        </is>
      </c>
    </row>
    <row r="55">
      <c r="A55" s="25" t="inlineStr">
        <is>
          <t>Figura 6.2-1. Húsavík: la P_baja mínima de KALINA sube con la fracción de amoníaco x_b.</t>
        </is>
      </c>
    </row>
    <row r="56">
      <c r="A56" s="25" t="inlineStr">
        <is>
          <t>Estudio 6.2 · parte(s) 6.2c. Punto base: Ancla de Húsavík (Fase 3): P_alta 3300 kPa, P_baja 690 kPa, T_fuente 394.15 K, T_sumidero 278.15 K</t>
        </is>
      </c>
    </row>
    <row r="57">
      <c r="A57" s="25" t="inlineStr">
        <is>
          <t>Datos fijos: T_fuente = 394.15 K; T_sumidero = 278.15 K; P_alta = 3300 kPa; m_b = 1 kg/s; η_t = 0.9; η_p = 0.8; ε_HRVG = 0.85; ε_reg = 0.75; ε_cond = 0.95; piso de O2 = 283.15 K; motor de propiedades = teqp.</t>
        </is>
      </c>
    </row>
    <row r="58">
      <c r="A58" s="25" t="inlineStr">
        <is>
          <t>Datos barridos: P_baja [200–1200] kPa (8 valores); x_b [0.3–0.91] (9 valores).</t>
        </is>
      </c>
    </row>
    <row r="59">
      <c r="A59" s="25" t="inlineStr">
        <is>
          <t>Filtro: todos los puntos de las dos mallas (mismos datos fijos); línea = P_baja mínima KALINA por x_b; x_b = 0.50 es KALINA con η &lt; 1.3 %.</t>
        </is>
      </c>
    </row>
    <row r="60">
      <c r="A60" s="25" t="inlineStr">
        <is>
          <t>n = 118. Fuente: todos_los_puntos.csv.</t>
        </is>
      </c>
    </row>
    <row r="63">
      <c r="A63" s="24" t="inlineStr">
        <is>
          <t>Figura 6.2-2 · Húsavík: eficiencia según cada variable, una a la vez (casi todas rompen por O2)</t>
        </is>
      </c>
    </row>
    <row r="124">
      <c r="A124" s="25" t="inlineStr">
        <is>
          <t>Figura 6.2-2. Húsavík: eficiencia según cada variable, una a la vez (casi todas rompen por O2).</t>
        </is>
      </c>
    </row>
    <row r="125">
      <c r="A125" s="25" t="inlineStr">
        <is>
          <t>Estudio 6.2 · parte(s) 6.2b. Punto base: Ancla de Húsavík (Fase 3): P_alta 3300 kPa, P_baja 690 kPa, T_fuente 394.15 K, T_sumidero 278.15 K</t>
        </is>
      </c>
    </row>
    <row r="126">
      <c r="A126" s="25" t="inlineStr">
        <is>
          <t>Punto base (las demás variables quedan fijas en): T_fuente = 394.15 K; T_sumidero = 278.15 K; P_alta = 3300 kPa; P_baja = 690 kPa; x_b = 0.82; m_b = 1 kg/s; η_t = 0.9; η_p = 0.8; ε_HRVG = 0.85; ε_reg = 0.75; ε_cond = 0.95; piso de O2 = 283.15 K; motor de propiedades = teqp. Cada panel o tramo mueve solo su variable.</t>
        </is>
      </c>
    </row>
    <row r="127">
      <c r="A127" s="25" t="inlineStr">
        <is>
          <t>Datos barridos (uno a la vez): T_fuente [380–430] K (15 valores); T_sumidero [273.15–293.15] K (15 valores); P_alta [2500–4000] kPa (15 valores); P_baja [500–1200] kPa (15 valores); x_b [0.6–0.95] (15 valores); η_t [0.75–0.95] (15 valores); η_p [0.6–0.9] (15 valores); ε_HRVG [0.6–0.95] (15 valores); ε_reg [0.4–0.95] (15 valores); ε_cond [0.7–0.95] (15 valores).</t>
        </is>
      </c>
    </row>
    <row r="128">
      <c r="A128" s="25" t="inlineStr">
        <is>
          <t>Filtro: η solo en genuinos con W_net &gt; 0; ✕ sobre el eje = no genuino.</t>
        </is>
      </c>
    </row>
    <row r="129">
      <c r="A129" s="25" t="inlineStr">
        <is>
          <t>n = 150. Fuente: todos_los_puntos.csv.</t>
        </is>
      </c>
    </row>
    <row r="132">
      <c r="A132" s="24" t="inlineStr">
        <is>
          <t>6.2d · η según x_b con P_baja = 690 kPa (ancla de Húsavík; 0 = sin η)</t>
        </is>
      </c>
    </row>
    <row r="151">
      <c r="A151" s="25" t="inlineStr">
        <is>
          <t>Caso: 6.2d (parte 6.2d). Datos fijos: ancla de Húsavík con P_baja = 690 kPa. Datos barridos: x_b 0.30–0.70 (17 valores). Por debajo de x_b = 0.50 no hay ningún punto genuino. Fuente: todos_los_puntos.csv.</t>
        </is>
      </c>
    </row>
  </sheetData>
  <hyperlinks>
    <hyperlink xmlns:r="http://schemas.openxmlformats.org/officeDocument/2006/relationships" ref="A4" r:id="rId1"/>
    <hyperlink xmlns:r="http://schemas.openxmlformats.org/officeDocument/2006/relationships" ref="A34" r:id="rId2"/>
    <hyperlink xmlns:r="http://schemas.openxmlformats.org/officeDocument/2006/relationships" ref="A63" r:id="rId3"/>
    <hyperlink xmlns:r="http://schemas.openxmlformats.org/officeDocument/2006/relationships" ref="A132" r:id="rId4"/>
  </hyperlinks>
  <pageMargins left="0.75" right="0.75" top="1" bottom="1" header="0.5" footer="0.5"/>
  <drawing xmlns:r="http://schemas.openxmlformats.org/officeDocument/2006/relationships" r:id="rId5"/>
</worksheet>
</file>

<file path=xl/worksheets/sheet89.xml><?xml version="1.0" encoding="utf-8"?>
<worksheet xmlns="http://schemas.openxmlformats.org/spreadsheetml/2006/main">
  <sheetPr>
    <outlinePr summaryBelow="1" summaryRight="1"/>
    <pageSetUpPr/>
  </sheetPr>
  <dimension ref="A1:BO75"/>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2" max="62"/>
    <col width="16" customWidth="1" min="63" max="63"/>
    <col width="16" customWidth="1" min="64" max="64"/>
    <col width="16" customWidth="1" min="65" max="65"/>
    <col width="16" customWidth="1" min="66" max="66"/>
    <col width="16" customWidth="1" min="67" max="67"/>
  </cols>
  <sheetData>
    <row r="1">
      <c r="A1" s="11" t="inlineStr">
        <is>
          <t>Datos de los gráficos de la pregunta 6</t>
        </is>
      </c>
    </row>
    <row r="2">
      <c r="A2" t="inlineStr">
        <is>
          <t>Cada bloque de columnas es una figura; cada serie ocupa dos columnas (valores de x y de y, o categoría y valor).</t>
        </is>
      </c>
    </row>
    <row r="4">
      <c r="A4" s="30" t="inlineStr">
        <is>
          <t>Figura 6.1-1 · teqp y el motor real coinciden en los 5 puntos que el motor real resolvió</t>
        </is>
      </c>
      <c r="B4" s="31" t="n"/>
      <c r="C4" s="31" t="n"/>
      <c r="D4" s="31" t="n"/>
      <c r="E4" s="31" t="n"/>
      <c r="F4" s="31" t="n"/>
      <c r="G4" s="31" t="n"/>
      <c r="H4" s="31" t="n"/>
      <c r="I4" s="31" t="n"/>
      <c r="J4" s="31" t="n"/>
      <c r="L4" s="30" t="inlineStr">
        <is>
          <t>Figura 6.2-1 · Húsavík: la P_baja mínima de KALINA sube con la fracción de amoníaco x_b</t>
        </is>
      </c>
      <c r="M4" s="31" t="n"/>
      <c r="N4" s="31" t="n"/>
      <c r="O4" s="31" t="n"/>
      <c r="P4" s="31" t="n"/>
      <c r="Q4" s="31" t="n"/>
      <c r="R4" s="31" t="n"/>
      <c r="S4" s="31" t="n"/>
      <c r="T4" s="31" t="n"/>
      <c r="U4" s="31" t="n"/>
      <c r="W4" s="30" t="inlineStr">
        <is>
          <t>Figura 6.2-2 · Húsavík: eficiencia según cada variable, una a la vez (casi todas rompen por O2)</t>
        </is>
      </c>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J4" s="30" t="inlineStr">
        <is>
          <t>6.2d · η según x_b con P_baja = 690 kPa (ancla de Húsavík; 0 = sin η)</t>
        </is>
      </c>
      <c r="BK4" s="31" t="n"/>
      <c r="BL4" s="31" t="n"/>
      <c r="BM4" s="31" t="n"/>
      <c r="BN4" s="31" t="n"/>
      <c r="BO4" s="31" t="n"/>
    </row>
    <row r="5">
      <c r="A5" s="22" t="inlineStr">
        <is>
          <t>teqp y el motor real coinciden en los 5 puntos que el motor real resolvió · 1:1 · y: η con el motor real [%]</t>
        </is>
      </c>
      <c r="B5" s="22" t="inlineStr">
        <is>
          <t>teqp y el motor real coinciden en los 5 puntos que el motor real resolvió · 1:1 · x: η con teqp [%]</t>
        </is>
      </c>
      <c r="C5" s="22" t="inlineStr">
        <is>
          <t>teqp y el motor real coinciden en los 5 puntos que el motor real resolvió · +0.7 pp · y: η con el motor real [%]</t>
        </is>
      </c>
      <c r="D5" s="22" t="inlineStr">
        <is>
          <t>teqp y el motor real coinciden en los 5 puntos que el motor real resolvió · +0.7 pp · x: η con teqp [%]</t>
        </is>
      </c>
      <c r="E5" s="22" t="inlineStr">
        <is>
          <t>teqp y el motor real coinciden en los 5 puntos que el motor real resolvió · −0.7 pp · y: η con el motor real [%]</t>
        </is>
      </c>
      <c r="F5" s="22" t="inlineStr">
        <is>
          <t>teqp y el motor real coinciden en los 5 puntos que el motor real resolvió · −0.7 pp · x: η con teqp [%]</t>
        </is>
      </c>
      <c r="G5" s="22" t="inlineStr">
        <is>
          <t>teqp y el motor real coinciden en los 5 puntos que el motor real resolvió · 6.1a · motor real con 300 s (n = 2) · y: η con el motor real [%]</t>
        </is>
      </c>
      <c r="H5" s="22" t="inlineStr">
        <is>
          <t>teqp y el motor real coinciden en los 5 puntos que el motor real resolvió · 6.1a · motor real con 300 s (n = 2) · x: η con teqp [%]</t>
        </is>
      </c>
      <c r="I5" s="22" t="inlineStr">
        <is>
          <t>teqp y el motor real coinciden en los 5 puntos que el motor real resolvió · 6.1d · motor real con 1500 s (n = 3) · y: η con el motor real [%]</t>
        </is>
      </c>
      <c r="J5" s="22" t="inlineStr">
        <is>
          <t>teqp y el motor real coinciden en los 5 puntos que el motor real resolvió · 6.1d · motor real con 1500 s (n = 3) · x: η con teqp [%]</t>
        </is>
      </c>
      <c r="L5" s="22" t="inlineStr">
        <is>
          <t>Húsavík: la P_baja mínima de KALINA sube con la fracción de amoníaco x_b · KALINA (n = 70) · y: Presión de baja, P_baja [kPa]</t>
        </is>
      </c>
      <c r="M5" s="22" t="inlineStr">
        <is>
          <t>Húsavík: la P_baja mínima de KALINA sube con la fracción de amoníaco x_b · KALINA (n = 70) · x: Fracción de amoníaco de la mezcla base, x_b [–]</t>
        </is>
      </c>
      <c r="N5" s="22" t="inlineStr">
        <is>
          <t>Húsavík: la P_baja mínima de KALINA sube con la fracción de amoníaco x_b · Corregible (n = 24) · y: Presión de baja, P_baja [kPa]</t>
        </is>
      </c>
      <c r="O5" s="22" t="inlineStr">
        <is>
          <t>Húsavík: la P_baja mínima de KALINA sube con la fracción de amoníaco x_b · Corregible (n = 24) · x: Fracción de amoníaco de la mezcla base, x_b [–]</t>
        </is>
      </c>
      <c r="P5" s="22" t="inlineStr">
        <is>
          <t>Húsavík: la P_baja mínima de KALINA sube con la fracción de amoníaco x_b · No convergió (n = 12) · y: Presión de baja, P_baja [kPa]</t>
        </is>
      </c>
      <c r="Q5" s="22" t="inlineStr">
        <is>
          <t>Húsavík: la P_baja mínima de KALINA sube con la fracción de amoníaco x_b · No convergió (n = 12) · x: Fracción de amoníaco de la mezcla base, x_b [–]</t>
        </is>
      </c>
      <c r="R5" s="22" t="inlineStr">
        <is>
          <t>Húsavík: la P_baja mínima de KALINA sube con la fracción de amoníaco x_b · Falso convergido (n = 12) · y: Presión de baja, P_baja [kPa]</t>
        </is>
      </c>
      <c r="S5" s="22" t="inlineStr">
        <is>
          <t>Húsavík: la P_baja mínima de KALINA sube con la fracción de amoníaco x_b · Falso convergido (n = 12) · x: Fracción de amoníaco de la mezcla base, x_b [–]</t>
        </is>
      </c>
      <c r="T5" s="22" t="inlineStr">
        <is>
          <t xml:space="preserve">P_baja mínima KALINA · y: </t>
        </is>
      </c>
      <c r="U5" s="22" t="inlineStr">
        <is>
          <t xml:space="preserve">P_baja mínima KALINA · x: </t>
        </is>
      </c>
      <c r="W5" s="22" t="inlineStr">
        <is>
          <t>T_fuente · KALINA (n = 7) · y: η [%] (0 = sin η)</t>
        </is>
      </c>
      <c r="X5" s="22" t="inlineStr">
        <is>
          <t>T_fuente · KALINA (n = 7) · x: Temperatura de la fuente, T_fuente [K]</t>
        </is>
      </c>
      <c r="Y5" s="22" t="inlineStr">
        <is>
          <t>T_fuente · Corregible (n = 8) · y: η [%] (0 = sin η)</t>
        </is>
      </c>
      <c r="Z5" s="22" t="inlineStr">
        <is>
          <t>T_fuente · Corregible (n = 8) · x: Temperatura de la fuente, T_fuente [K]</t>
        </is>
      </c>
      <c r="AA5" s="22" t="inlineStr">
        <is>
          <t>T_sumidero · KALINA (n = 8) · y: η [%] (0 = sin η)</t>
        </is>
      </c>
      <c r="AB5" s="22" t="inlineStr">
        <is>
          <t>T_sumidero · KALINA (n = 8) · x: Temperatura del sumidero, T_sumidero [K]</t>
        </is>
      </c>
      <c r="AC5" s="22" t="inlineStr">
        <is>
          <t>T_sumidero · Corregible (n = 7) · y: η [%] (0 = sin η)</t>
        </is>
      </c>
      <c r="AD5" s="22" t="inlineStr">
        <is>
          <t>T_sumidero · Corregible (n = 7) · x: Temperatura del sumidero, T_sumidero [K]</t>
        </is>
      </c>
      <c r="AE5" s="22" t="inlineStr">
        <is>
          <t>P_alta · KALINA (n = 12) · y: η [%] (0 = sin η)</t>
        </is>
      </c>
      <c r="AF5" s="22" t="inlineStr">
        <is>
          <t>P_alta · KALINA (n = 12) · x: Presión de alta, P_alta [kPa]</t>
        </is>
      </c>
      <c r="AG5" s="22" t="inlineStr">
        <is>
          <t>P_alta · Corregible (n = 3) · y: η [%] (0 = sin η)</t>
        </is>
      </c>
      <c r="AH5" s="22" t="inlineStr">
        <is>
          <t>P_alta · Corregible (n = 3) · x: Presión de alta, P_alta [kPa]</t>
        </is>
      </c>
      <c r="AI5" s="22" t="inlineStr">
        <is>
          <t>P_baja · KALINA (n = 11) · y: η [%] (0 = sin η)</t>
        </is>
      </c>
      <c r="AJ5" s="22" t="inlineStr">
        <is>
          <t>P_baja · KALINA (n = 11) · x: Presión de baja, P_baja [kPa]</t>
        </is>
      </c>
      <c r="AK5" s="22" t="inlineStr">
        <is>
          <t>P_baja · Corregible (n = 4) · y: η [%] (0 = sin η)</t>
        </is>
      </c>
      <c r="AL5" s="22" t="inlineStr">
        <is>
          <t>P_baja · Corregible (n = 4) · x: Presión de baja, P_baja [kPa]</t>
        </is>
      </c>
      <c r="AM5" s="22" t="inlineStr">
        <is>
          <t>x_b · KALINA (n = 9) · y: η [%] (0 = sin η)</t>
        </is>
      </c>
      <c r="AN5" s="22" t="inlineStr">
        <is>
          <t>x_b · KALINA (n = 9) · x: Fracción de amoníaco de la mezcla base, x_b [–]</t>
        </is>
      </c>
      <c r="AO5" s="22" t="inlineStr">
        <is>
          <t>x_b · Corregible (n = 5) · y: η [%] (0 = sin η)</t>
        </is>
      </c>
      <c r="AP5" s="22" t="inlineStr">
        <is>
          <t>x_b · Corregible (n = 5) · x: Fracción de amoníaco de la mezcla base, x_b [–]</t>
        </is>
      </c>
      <c r="AQ5" s="22" t="inlineStr">
        <is>
          <t>x_b · No convergió (n = 1) · y: η [%] (0 = sin η)</t>
        </is>
      </c>
      <c r="AR5" s="22" t="inlineStr">
        <is>
          <t>x_b · No convergió (n = 1) · x: Fracción de amoníaco de la mezcla base, x_b [–]</t>
        </is>
      </c>
      <c r="AS5" s="22" t="inlineStr">
        <is>
          <t>η_t · KALINA (n = 15) · y: η [%] (0 = sin η)</t>
        </is>
      </c>
      <c r="AT5" s="22" t="inlineStr">
        <is>
          <t>η_t · KALINA (n = 15) · x: Eficiencia isentrópica de la turbina, η_t [–]</t>
        </is>
      </c>
      <c r="AU5" s="22" t="inlineStr">
        <is>
          <t>η_p · KALINA (n = 15) · y: η [%] (0 = sin η)</t>
        </is>
      </c>
      <c r="AV5" s="22" t="inlineStr">
        <is>
          <t>η_p · KALINA (n = 15) · x: Eficiencia isentrópica de la bomba, η_p [–]</t>
        </is>
      </c>
      <c r="AW5" s="22" t="inlineStr">
        <is>
          <t>ε_HRVG · KALINA (n = 14) · y: η [%] (0 = sin η)</t>
        </is>
      </c>
      <c r="AX5" s="22" t="inlineStr">
        <is>
          <t>ε_HRVG · KALINA (n = 14) · x: Efectividad del generador de vapor, ε_HRVG [–]</t>
        </is>
      </c>
      <c r="AY5" s="22" t="inlineStr">
        <is>
          <t>ε_HRVG · Corregible (n = 1) · y: η [%] (0 = sin η)</t>
        </is>
      </c>
      <c r="AZ5" s="22" t="inlineStr">
        <is>
          <t>ε_HRVG · Corregible (n = 1) · x: Efectividad del generador de vapor, ε_HRVG [–]</t>
        </is>
      </c>
      <c r="BA5" s="22" t="inlineStr">
        <is>
          <t>ε_reg · KALINA (n = 15) · y: η [%] (0 = sin η)</t>
        </is>
      </c>
      <c r="BB5" s="22" t="inlineStr">
        <is>
          <t>ε_reg · KALINA (n = 15) · x: Efectividad del regenerador, ε_reg [–]</t>
        </is>
      </c>
      <c r="BC5" s="22" t="inlineStr">
        <is>
          <t>ε_cond · KALINA (n = 1) · y: η [%] (0 = sin η)</t>
        </is>
      </c>
      <c r="BD5" s="22" t="inlineStr">
        <is>
          <t>ε_cond · KALINA (n = 1) · x: Efectividad del condensador, ε_cond [–]</t>
        </is>
      </c>
      <c r="BE5" s="22" t="inlineStr">
        <is>
          <t>ε_cond · Corregible (n = 13) · y: η [%] (0 = sin η)</t>
        </is>
      </c>
      <c r="BF5" s="22" t="inlineStr">
        <is>
          <t>ε_cond · Corregible (n = 13) · x: Efectividad del condensador, ε_cond [–]</t>
        </is>
      </c>
      <c r="BG5" s="22" t="inlineStr">
        <is>
          <t>ε_cond · No convergió (n = 1) · y: η [%] (0 = sin η)</t>
        </is>
      </c>
      <c r="BH5" s="22" t="inlineStr">
        <is>
          <t>ε_cond · No convergió (n = 1) · x: Efectividad del condensador, ε_cond [–]</t>
        </is>
      </c>
      <c r="BJ5" s="22" t="inlineStr">
        <is>
          <t>Húsavík con poco amoníaco: η según x_b · KALINA (n = 8) · y: η [%] (0 = sin η)</t>
        </is>
      </c>
      <c r="BK5" s="22" t="inlineStr">
        <is>
          <t>Húsavík con poco amoníaco: η según x_b · KALINA (n = 8) · x: Fracción de amoníaco de la mezcla base, x_b [–]</t>
        </is>
      </c>
      <c r="BL5" s="22" t="inlineStr">
        <is>
          <t>Húsavík con poco amoníaco: η según x_b · No convergió (n = 5) · y: η [%] (0 = sin η)</t>
        </is>
      </c>
      <c r="BM5" s="22" t="inlineStr">
        <is>
          <t>Húsavík con poco amoníaco: η según x_b · No convergió (n = 5) · x: Fracción de amoníaco de la mezcla base, x_b [–]</t>
        </is>
      </c>
      <c r="BN5" s="22" t="inlineStr">
        <is>
          <t>Húsavík con poco amoníaco: η según x_b · Falso convergido (n = 4) · y: η [%] (0 = sin η)</t>
        </is>
      </c>
      <c r="BO5" s="22" t="inlineStr">
        <is>
          <t>Húsavík con poco amoníaco: η según x_b · Falso convergido (n = 4) · x: Fracción de amoníaco de la mezcla base, x_b [–]</t>
        </is>
      </c>
    </row>
    <row r="6">
      <c r="A6" s="16" t="n">
        <v>0</v>
      </c>
      <c r="B6" s="16" t="n">
        <v>0</v>
      </c>
      <c r="C6" s="16" t="n">
        <v>0.7</v>
      </c>
      <c r="D6" s="16" t="n">
        <v>0</v>
      </c>
      <c r="E6" s="16" t="n">
        <v>-0.7</v>
      </c>
      <c r="F6" s="16" t="n">
        <v>0</v>
      </c>
      <c r="G6" s="16" t="n">
        <v>10.806609</v>
      </c>
      <c r="H6" s="16" t="n">
        <v>10.806517</v>
      </c>
      <c r="I6" s="16" t="n">
        <v>8.482036000000001</v>
      </c>
      <c r="J6" s="16" t="n">
        <v>8.481890999999999</v>
      </c>
      <c r="L6" s="16" t="n">
        <v>800</v>
      </c>
      <c r="M6" s="16" t="n">
        <v>0.7</v>
      </c>
      <c r="N6" s="16" t="n">
        <v>500</v>
      </c>
      <c r="O6" s="16" t="n">
        <v>0.73</v>
      </c>
      <c r="P6" s="16" t="n">
        <v>200</v>
      </c>
      <c r="Q6" s="16" t="n">
        <v>0.3</v>
      </c>
      <c r="R6" s="16" t="n">
        <v>600</v>
      </c>
      <c r="S6" s="16" t="n">
        <v>0.4</v>
      </c>
      <c r="T6" s="16" t="n">
        <v>200</v>
      </c>
      <c r="U6" s="16" t="n">
        <v>0.5</v>
      </c>
      <c r="W6" s="16" t="n">
        <v>12.208231</v>
      </c>
      <c r="X6" s="16" t="n">
        <v>380</v>
      </c>
      <c r="Y6" s="16" t="n">
        <v>13.063658</v>
      </c>
      <c r="Z6" s="16" t="n">
        <v>405</v>
      </c>
      <c r="AA6" s="16" t="n">
        <v>12.509391</v>
      </c>
      <c r="AB6" s="16" t="n">
        <v>273.15</v>
      </c>
      <c r="AC6" s="16" t="n">
        <v>13.03017</v>
      </c>
      <c r="AD6" s="16" t="n">
        <v>284.578571</v>
      </c>
      <c r="AE6" s="16" t="n">
        <v>11.835683</v>
      </c>
      <c r="AF6" s="16" t="n">
        <v>2821.428571</v>
      </c>
      <c r="AG6" s="16" t="n">
        <v>11.053306</v>
      </c>
      <c r="AH6" s="16" t="n">
        <v>2500</v>
      </c>
      <c r="AI6" s="16" t="n">
        <v>12.113443</v>
      </c>
      <c r="AJ6" s="16" t="n">
        <v>750</v>
      </c>
      <c r="AK6" s="16" t="n">
        <v>15.040997</v>
      </c>
      <c r="AL6" s="16" t="n">
        <v>500</v>
      </c>
      <c r="AM6" s="16" t="n">
        <v>8.816445</v>
      </c>
      <c r="AN6" s="16" t="n">
        <v>0.6</v>
      </c>
      <c r="AO6" s="16" t="n">
        <v>12.990451</v>
      </c>
      <c r="AP6" s="16" t="n">
        <v>0.85</v>
      </c>
      <c r="AQ6" s="16" t="n">
        <v>0</v>
      </c>
      <c r="AR6" s="16" t="n">
        <v>0.625</v>
      </c>
      <c r="AS6" s="16" t="n">
        <v>10.743772</v>
      </c>
      <c r="AT6" s="16" t="n">
        <v>0.764286</v>
      </c>
      <c r="AU6" s="16" t="n">
        <v>12.579552</v>
      </c>
      <c r="AV6" s="16" t="n">
        <v>0.6</v>
      </c>
      <c r="AW6" s="16" t="n">
        <v>11.633795</v>
      </c>
      <c r="AX6" s="16" t="n">
        <v>0.6</v>
      </c>
      <c r="AY6" s="16" t="n">
        <v>13.070821</v>
      </c>
      <c r="AZ6" s="16" t="n">
        <v>0.95</v>
      </c>
      <c r="BA6" s="16" t="n">
        <v>11.940672</v>
      </c>
      <c r="BB6" s="16" t="n">
        <v>0.4</v>
      </c>
      <c r="BC6" s="16" t="n">
        <v>12.731865</v>
      </c>
      <c r="BD6" s="16" t="n">
        <v>0.95</v>
      </c>
      <c r="BE6" s="16" t="n">
        <v>13.554857</v>
      </c>
      <c r="BF6" s="16" t="n">
        <v>0.735714</v>
      </c>
      <c r="BG6" s="16" t="n">
        <v>0</v>
      </c>
      <c r="BH6" s="16" t="n">
        <v>0.753571</v>
      </c>
      <c r="BJ6" s="16" t="n">
        <v>6.322895</v>
      </c>
      <c r="BK6" s="16" t="n">
        <v>0.55</v>
      </c>
      <c r="BL6" s="16" t="n">
        <v>0</v>
      </c>
      <c r="BM6" s="16" t="n">
        <v>0.3</v>
      </c>
      <c r="BN6" s="16" t="n">
        <v>0</v>
      </c>
      <c r="BO6" s="16" t="n">
        <v>0.45</v>
      </c>
    </row>
    <row r="7">
      <c r="A7" s="16" t="n">
        <v>17</v>
      </c>
      <c r="B7" s="16" t="n">
        <v>17</v>
      </c>
      <c r="C7" s="16" t="n">
        <v>17.7</v>
      </c>
      <c r="D7" s="16" t="n">
        <v>17</v>
      </c>
      <c r="E7" s="16" t="n">
        <v>16.3</v>
      </c>
      <c r="F7" s="16" t="n">
        <v>17</v>
      </c>
      <c r="G7" s="16" t="n">
        <v>15.599936</v>
      </c>
      <c r="H7" s="16" t="n">
        <v>15.599657</v>
      </c>
      <c r="I7" s="16" t="n">
        <v>15.599936</v>
      </c>
      <c r="J7" s="16" t="n">
        <v>15.599657</v>
      </c>
      <c r="L7" s="16" t="n">
        <v>700</v>
      </c>
      <c r="M7" s="16" t="n">
        <v>0.7</v>
      </c>
      <c r="N7" s="16" t="n">
        <v>500</v>
      </c>
      <c r="O7" s="16" t="n">
        <v>0.76</v>
      </c>
      <c r="P7" s="16" t="n">
        <v>400</v>
      </c>
      <c r="Q7" s="16" t="n">
        <v>0.3</v>
      </c>
      <c r="R7" s="16" t="n">
        <v>700</v>
      </c>
      <c r="S7" s="16" t="n">
        <v>0.4</v>
      </c>
      <c r="T7" s="16" t="n">
        <v>300</v>
      </c>
      <c r="U7" s="16" t="n">
        <v>0.55</v>
      </c>
      <c r="W7" s="16" t="n">
        <v>12.353723</v>
      </c>
      <c r="X7" s="16" t="n">
        <v>383.571429</v>
      </c>
      <c r="Y7" s="16" t="n">
        <v>13.155807</v>
      </c>
      <c r="Z7" s="16" t="n">
        <v>408.571429</v>
      </c>
      <c r="AA7" s="16" t="n">
        <v>12.572113</v>
      </c>
      <c r="AB7" s="16" t="n">
        <v>274.578571</v>
      </c>
      <c r="AC7" s="16" t="n">
        <v>13.095107</v>
      </c>
      <c r="AD7" s="16" t="n">
        <v>286.007143</v>
      </c>
      <c r="AE7" s="16" t="n">
        <v>12.061498</v>
      </c>
      <c r="AF7" s="16" t="n">
        <v>2928.571429</v>
      </c>
      <c r="AG7" s="16" t="n">
        <v>11.33306</v>
      </c>
      <c r="AH7" s="16" t="n">
        <v>2607.142857</v>
      </c>
      <c r="AI7" s="16" t="n">
        <v>11.629859</v>
      </c>
      <c r="AJ7" s="16" t="n">
        <v>800</v>
      </c>
      <c r="AK7" s="16" t="n">
        <v>13.170444</v>
      </c>
      <c r="AL7" s="16" t="n">
        <v>650</v>
      </c>
      <c r="AM7" s="16" t="n">
        <v>10.251807</v>
      </c>
      <c r="AN7" s="16" t="n">
        <v>0.65</v>
      </c>
      <c r="AO7" s="16" t="n">
        <v>13.177556</v>
      </c>
      <c r="AP7" s="16" t="n">
        <v>0.875</v>
      </c>
      <c r="AQ7" s="16" t="n"/>
      <c r="AR7" s="16" t="n"/>
      <c r="AS7" s="16" t="n">
        <v>10.953185</v>
      </c>
      <c r="AT7" s="16" t="n">
        <v>0.778571</v>
      </c>
      <c r="AU7" s="16" t="n">
        <v>12.600579</v>
      </c>
      <c r="AV7" s="16" t="n">
        <v>0.621429</v>
      </c>
      <c r="AW7" s="16" t="n">
        <v>11.765484</v>
      </c>
      <c r="AX7" s="16" t="n">
        <v>0.625</v>
      </c>
      <c r="AY7" s="16" t="n"/>
      <c r="AZ7" s="16" t="n"/>
      <c r="BA7" s="16" t="n">
        <v>12.025499</v>
      </c>
      <c r="BB7" s="16" t="n">
        <v>0.439286</v>
      </c>
      <c r="BC7" s="16" t="n"/>
      <c r="BD7" s="16" t="n"/>
      <c r="BE7" s="16" t="n">
        <v>13.272709</v>
      </c>
      <c r="BF7" s="16" t="n">
        <v>0.7</v>
      </c>
      <c r="BG7" s="16" t="n"/>
      <c r="BH7" s="16" t="n"/>
      <c r="BJ7" s="16" t="n">
        <v>0.078032</v>
      </c>
      <c r="BK7" s="16" t="n">
        <v>0.5</v>
      </c>
      <c r="BL7" s="16" t="n">
        <v>0</v>
      </c>
      <c r="BM7" s="16" t="n">
        <v>0.35</v>
      </c>
      <c r="BN7" s="16" t="n">
        <v>0</v>
      </c>
      <c r="BO7" s="16" t="n">
        <v>0.425</v>
      </c>
    </row>
    <row r="8">
      <c r="A8" s="16" t="n"/>
      <c r="B8" s="16" t="n"/>
      <c r="C8" s="16" t="n"/>
      <c r="D8" s="16" t="n"/>
      <c r="E8" s="16" t="n"/>
      <c r="F8" s="16" t="n"/>
      <c r="G8" s="16" t="n"/>
      <c r="H8" s="16" t="n"/>
      <c r="I8" s="16" t="n">
        <v>12.729574</v>
      </c>
      <c r="J8" s="16" t="n">
        <v>12.731865</v>
      </c>
      <c r="L8" s="16" t="n">
        <v>600</v>
      </c>
      <c r="M8" s="16" t="n">
        <v>0.7</v>
      </c>
      <c r="N8" s="16" t="n">
        <v>600</v>
      </c>
      <c r="O8" s="16" t="n">
        <v>0.79</v>
      </c>
      <c r="P8" s="16" t="n">
        <v>300</v>
      </c>
      <c r="Q8" s="16" t="n">
        <v>0.3</v>
      </c>
      <c r="R8" s="16" t="n">
        <v>500</v>
      </c>
      <c r="S8" s="16" t="n">
        <v>0.4</v>
      </c>
      <c r="T8" s="16" t="n">
        <v>400</v>
      </c>
      <c r="U8" s="16" t="n">
        <v>0.6</v>
      </c>
      <c r="W8" s="16" t="n">
        <v>12.48811</v>
      </c>
      <c r="X8" s="16" t="n">
        <v>387.142857</v>
      </c>
      <c r="Y8" s="16" t="n">
        <v>13.236375</v>
      </c>
      <c r="Z8" s="16" t="n">
        <v>412.142857</v>
      </c>
      <c r="AA8" s="16" t="n">
        <v>12.699572</v>
      </c>
      <c r="AB8" s="16" t="n">
        <v>277.435714</v>
      </c>
      <c r="AC8" s="16" t="n">
        <v>13.157028</v>
      </c>
      <c r="AD8" s="16" t="n">
        <v>287.435714</v>
      </c>
      <c r="AE8" s="16" t="n">
        <v>12.271978</v>
      </c>
      <c r="AF8" s="16" t="n">
        <v>3035.714286</v>
      </c>
      <c r="AG8" s="16" t="n">
        <v>11.59333</v>
      </c>
      <c r="AH8" s="16" t="n">
        <v>2714.285714</v>
      </c>
      <c r="AI8" s="16" t="n">
        <v>12.581314</v>
      </c>
      <c r="AJ8" s="16" t="n">
        <v>700</v>
      </c>
      <c r="AK8" s="16" t="n">
        <v>14.377204</v>
      </c>
      <c r="AL8" s="16" t="n">
        <v>550</v>
      </c>
      <c r="AM8" s="16" t="n">
        <v>10.781596</v>
      </c>
      <c r="AN8" s="16" t="n">
        <v>0.675</v>
      </c>
      <c r="AO8" s="16" t="n">
        <v>13.339195</v>
      </c>
      <c r="AP8" s="16" t="n">
        <v>0.9</v>
      </c>
      <c r="AQ8" s="16" t="n"/>
      <c r="AR8" s="16" t="n"/>
      <c r="AS8" s="16" t="n">
        <v>10.534327</v>
      </c>
      <c r="AT8" s="16" t="n">
        <v>0.75</v>
      </c>
      <c r="AU8" s="16" t="n">
        <v>12.620199</v>
      </c>
      <c r="AV8" s="16" t="n">
        <v>0.642857</v>
      </c>
      <c r="AW8" s="16" t="n">
        <v>11.889578</v>
      </c>
      <c r="AX8" s="16" t="n">
        <v>0.65</v>
      </c>
      <c r="AY8" s="16" t="n"/>
      <c r="AZ8" s="16" t="n"/>
      <c r="BA8" s="16" t="n">
        <v>12.111299</v>
      </c>
      <c r="BB8" s="16" t="n">
        <v>0.478571</v>
      </c>
      <c r="BC8" s="16" t="n"/>
      <c r="BD8" s="16" t="n"/>
      <c r="BE8" s="16" t="n">
        <v>13.685615</v>
      </c>
      <c r="BF8" s="16" t="n">
        <v>0.789286</v>
      </c>
      <c r="BG8" s="16" t="n"/>
      <c r="BH8" s="16" t="n"/>
      <c r="BJ8" s="16" t="n">
        <v>4.090515</v>
      </c>
      <c r="BK8" s="16" t="n">
        <v>0.525</v>
      </c>
      <c r="BL8" s="16" t="n">
        <v>0</v>
      </c>
      <c r="BM8" s="16" t="n">
        <v>0.325</v>
      </c>
      <c r="BN8" s="16" t="n">
        <v>0</v>
      </c>
      <c r="BO8" s="16" t="n">
        <v>0.4</v>
      </c>
    </row>
    <row r="9">
      <c r="L9" s="16" t="n">
        <v>900</v>
      </c>
      <c r="M9" s="16" t="n">
        <v>0.7</v>
      </c>
      <c r="N9" s="16" t="n">
        <v>500</v>
      </c>
      <c r="O9" s="16" t="n">
        <v>0.79</v>
      </c>
      <c r="P9" s="16" t="n">
        <v>500</v>
      </c>
      <c r="Q9" s="16" t="n">
        <v>0.3</v>
      </c>
      <c r="R9" s="16" t="n">
        <v>200</v>
      </c>
      <c r="S9" s="16" t="n">
        <v>0.4</v>
      </c>
      <c r="T9" s="16" t="n">
        <v>500</v>
      </c>
      <c r="U9" s="16" t="n">
        <v>0.65</v>
      </c>
      <c r="W9" s="16" t="n">
        <v>12.736377</v>
      </c>
      <c r="X9" s="16" t="n">
        <v>394.285714</v>
      </c>
      <c r="Y9" s="16" t="n">
        <v>13.303695</v>
      </c>
      <c r="Z9" s="16" t="n">
        <v>415.714286</v>
      </c>
      <c r="AA9" s="16" t="n">
        <v>12.764331</v>
      </c>
      <c r="AB9" s="16" t="n">
        <v>278.864286</v>
      </c>
      <c r="AC9" s="16" t="n">
        <v>13.215886</v>
      </c>
      <c r="AD9" s="16" t="n">
        <v>288.864286</v>
      </c>
      <c r="AE9" s="16" t="n">
        <v>12.468163</v>
      </c>
      <c r="AF9" s="16" t="n">
        <v>3142.857143</v>
      </c>
      <c r="AG9" s="16" t="n"/>
      <c r="AH9" s="16" t="n"/>
      <c r="AI9" s="16" t="n">
        <v>11.171649</v>
      </c>
      <c r="AJ9" s="16" t="n">
        <v>850</v>
      </c>
      <c r="AK9" s="16" t="n">
        <v>13.752687</v>
      </c>
      <c r="AL9" s="16" t="n">
        <v>600</v>
      </c>
      <c r="AM9" s="16" t="n">
        <v>11.232177</v>
      </c>
      <c r="AN9" s="16" t="n">
        <v>0.7</v>
      </c>
      <c r="AO9" s="16" t="n">
        <v>13.34349</v>
      </c>
      <c r="AP9" s="16" t="n">
        <v>0.95</v>
      </c>
      <c r="AQ9" s="16" t="n"/>
      <c r="AR9" s="16" t="n"/>
      <c r="AS9" s="16" t="n">
        <v>11.371912</v>
      </c>
      <c r="AT9" s="16" t="n">
        <v>0.8071430000000001</v>
      </c>
      <c r="AU9" s="16" t="n">
        <v>12.638549</v>
      </c>
      <c r="AV9" s="16" t="n">
        <v>0.664286</v>
      </c>
      <c r="AW9" s="16" t="n">
        <v>12.120135</v>
      </c>
      <c r="AX9" s="16" t="n">
        <v>0.7</v>
      </c>
      <c r="AY9" s="16" t="n"/>
      <c r="AZ9" s="16" t="n"/>
      <c r="BA9" s="16" t="n">
        <v>12.198082</v>
      </c>
      <c r="BB9" s="16" t="n">
        <v>0.517857</v>
      </c>
      <c r="BC9" s="16" t="n"/>
      <c r="BD9" s="16" t="n"/>
      <c r="BE9" s="16" t="n">
        <v>13.675984</v>
      </c>
      <c r="BF9" s="16" t="n">
        <v>0.771429</v>
      </c>
      <c r="BG9" s="16" t="n"/>
      <c r="BH9" s="16" t="n"/>
      <c r="BJ9" s="16" t="n">
        <v>8.816445</v>
      </c>
      <c r="BK9" s="16" t="n">
        <v>0.6</v>
      </c>
      <c r="BL9" s="16" t="n">
        <v>0</v>
      </c>
      <c r="BM9" s="16" t="n">
        <v>0.375</v>
      </c>
      <c r="BN9" s="16" t="n">
        <v>0</v>
      </c>
      <c r="BO9" s="16" t="n">
        <v>0.475</v>
      </c>
    </row>
    <row r="10">
      <c r="L10" s="16" t="n">
        <v>1000</v>
      </c>
      <c r="M10" s="16" t="n">
        <v>0.7</v>
      </c>
      <c r="N10" s="16" t="n">
        <v>500</v>
      </c>
      <c r="O10" s="16" t="n">
        <v>0.82</v>
      </c>
      <c r="P10" s="16" t="n">
        <v>600</v>
      </c>
      <c r="Q10" s="16" t="n">
        <v>0.3</v>
      </c>
      <c r="R10" s="16" t="n">
        <v>400</v>
      </c>
      <c r="S10" s="16" t="n">
        <v>0.4</v>
      </c>
      <c r="T10" s="16" t="n">
        <v>500</v>
      </c>
      <c r="U10" s="16" t="n">
        <v>0.7</v>
      </c>
      <c r="W10" s="16" t="n">
        <v>12.615084</v>
      </c>
      <c r="X10" s="16" t="n">
        <v>390.714286</v>
      </c>
      <c r="Y10" s="16" t="n">
        <v>13.394147</v>
      </c>
      <c r="Z10" s="16" t="n">
        <v>422.857143</v>
      </c>
      <c r="AA10" s="16" t="n">
        <v>12.635503</v>
      </c>
      <c r="AB10" s="16" t="n">
        <v>276.007143</v>
      </c>
      <c r="AC10" s="16" t="n">
        <v>13.271617</v>
      </c>
      <c r="AD10" s="16" t="n">
        <v>290.292857</v>
      </c>
      <c r="AE10" s="16" t="n">
        <v>12.650941</v>
      </c>
      <c r="AF10" s="16" t="n">
        <v>3250</v>
      </c>
      <c r="AG10" s="16" t="n"/>
      <c r="AH10" s="16" t="n"/>
      <c r="AI10" s="16" t="n">
        <v>10.736104</v>
      </c>
      <c r="AJ10" s="16" t="n">
        <v>900</v>
      </c>
      <c r="AK10" s="16" t="n"/>
      <c r="AL10" s="16" t="n"/>
      <c r="AM10" s="16" t="n">
        <v>11.622468</v>
      </c>
      <c r="AN10" s="16" t="n">
        <v>0.725</v>
      </c>
      <c r="AO10" s="16" t="n">
        <v>13.236369</v>
      </c>
      <c r="AP10" s="16" t="n">
        <v>0.925</v>
      </c>
      <c r="AQ10" s="16" t="n"/>
      <c r="AR10" s="16" t="n"/>
      <c r="AS10" s="16" t="n">
        <v>11.162565</v>
      </c>
      <c r="AT10" s="16" t="n">
        <v>0.792857</v>
      </c>
      <c r="AU10" s="16" t="n">
        <v>12.655747</v>
      </c>
      <c r="AV10" s="16" t="n">
        <v>0.685714</v>
      </c>
      <c r="AW10" s="16" t="n">
        <v>12.007403</v>
      </c>
      <c r="AX10" s="16" t="n">
        <v>0.675</v>
      </c>
      <c r="AY10" s="16" t="n"/>
      <c r="AZ10" s="16" t="n"/>
      <c r="BA10" s="16" t="n">
        <v>12.285864</v>
      </c>
      <c r="BB10" s="16" t="n">
        <v>0.5571430000000001</v>
      </c>
      <c r="BC10" s="16" t="n"/>
      <c r="BD10" s="16" t="n"/>
      <c r="BE10" s="16" t="n">
        <v>13.436045</v>
      </c>
      <c r="BF10" s="16" t="n">
        <v>0.717857</v>
      </c>
      <c r="BG10" s="16" t="n"/>
      <c r="BH10" s="16" t="n"/>
      <c r="BJ10" s="16" t="n">
        <v>7.775402</v>
      </c>
      <c r="BK10" s="16" t="n">
        <v>0.575</v>
      </c>
      <c r="BL10" s="16" t="n">
        <v>0</v>
      </c>
      <c r="BM10" s="16" t="n">
        <v>0.625</v>
      </c>
      <c r="BN10" s="16" t="n"/>
      <c r="BO10" s="16" t="n"/>
    </row>
    <row r="11">
      <c r="L11" s="16" t="n">
        <v>500</v>
      </c>
      <c r="M11" s="16" t="n">
        <v>0.7</v>
      </c>
      <c r="N11" s="16" t="n">
        <v>600</v>
      </c>
      <c r="O11" s="16" t="n">
        <v>0.82</v>
      </c>
      <c r="P11" s="16" t="n">
        <v>700</v>
      </c>
      <c r="Q11" s="16" t="n">
        <v>0.3</v>
      </c>
      <c r="R11" s="16" t="n">
        <v>300</v>
      </c>
      <c r="S11" s="16" t="n">
        <v>0.4</v>
      </c>
      <c r="T11" s="16" t="n">
        <v>600</v>
      </c>
      <c r="U11" s="16" t="n">
        <v>0.73</v>
      </c>
      <c r="W11" s="16" t="n">
        <v>12.852238</v>
      </c>
      <c r="X11" s="16" t="n">
        <v>397.857143</v>
      </c>
      <c r="Y11" s="16" t="n">
        <v>13.35653</v>
      </c>
      <c r="Z11" s="16" t="n">
        <v>419.285714</v>
      </c>
      <c r="AA11" s="16" t="n">
        <v>12.829793</v>
      </c>
      <c r="AB11" s="16" t="n">
        <v>280.292857</v>
      </c>
      <c r="AC11" s="16" t="n">
        <v>13.324161</v>
      </c>
      <c r="AD11" s="16" t="n">
        <v>291.721429</v>
      </c>
      <c r="AE11" s="16" t="n">
        <v>12.821058</v>
      </c>
      <c r="AF11" s="16" t="n">
        <v>3357.142857</v>
      </c>
      <c r="AG11" s="16" t="n"/>
      <c r="AH11" s="16" t="n"/>
      <c r="AI11" s="16" t="n">
        <v>10.320946</v>
      </c>
      <c r="AJ11" s="16" t="n">
        <v>950</v>
      </c>
      <c r="AK11" s="16" t="n"/>
      <c r="AL11" s="16" t="n"/>
      <c r="AM11" s="16" t="n">
        <v>11.964959</v>
      </c>
      <c r="AN11" s="16" t="n">
        <v>0.75</v>
      </c>
      <c r="AO11" s="16" t="n"/>
      <c r="AP11" s="16" t="n"/>
      <c r="AQ11" s="16" t="n"/>
      <c r="AR11" s="16" t="n"/>
      <c r="AS11" s="16" t="n">
        <v>11.581226</v>
      </c>
      <c r="AT11" s="16" t="n">
        <v>0.821429</v>
      </c>
      <c r="AU11" s="16" t="n">
        <v>12.6719</v>
      </c>
      <c r="AV11" s="16" t="n">
        <v>0.707143</v>
      </c>
      <c r="AW11" s="16" t="n">
        <v>12.228808</v>
      </c>
      <c r="AX11" s="16" t="n">
        <v>0.725</v>
      </c>
      <c r="AY11" s="16" t="n"/>
      <c r="AZ11" s="16" t="n"/>
      <c r="BA11" s="16" t="n">
        <v>12.374662</v>
      </c>
      <c r="BB11" s="16" t="n">
        <v>0.596429</v>
      </c>
      <c r="BC11" s="16" t="n"/>
      <c r="BD11" s="16" t="n"/>
      <c r="BE11" s="16" t="n">
        <v>13.665459</v>
      </c>
      <c r="BF11" s="16" t="n">
        <v>0.8071430000000001</v>
      </c>
      <c r="BG11" s="16" t="n"/>
      <c r="BH11" s="16" t="n"/>
      <c r="BJ11" s="16" t="n">
        <v>10.251807</v>
      </c>
      <c r="BK11" s="16" t="n">
        <v>0.65</v>
      </c>
      <c r="BL11" s="16" t="n"/>
      <c r="BM11" s="16" t="n"/>
      <c r="BN11" s="16" t="n"/>
      <c r="BO11" s="16" t="n"/>
    </row>
    <row r="12">
      <c r="L12" s="16" t="n">
        <v>1100</v>
      </c>
      <c r="M12" s="16" t="n">
        <v>0.7</v>
      </c>
      <c r="N12" s="16" t="n">
        <v>500</v>
      </c>
      <c r="O12" s="16" t="n">
        <v>0.85</v>
      </c>
      <c r="P12" s="16" t="n">
        <v>200</v>
      </c>
      <c r="Q12" s="16" t="n">
        <v>0.35</v>
      </c>
      <c r="R12" s="16" t="n">
        <v>200</v>
      </c>
      <c r="S12" s="16" t="n">
        <v>0.45</v>
      </c>
      <c r="T12" s="16" t="n">
        <v>600</v>
      </c>
      <c r="U12" s="16" t="n">
        <v>0.76</v>
      </c>
      <c r="W12" s="16" t="n">
        <v>12.961841</v>
      </c>
      <c r="X12" s="16" t="n">
        <v>401.428571</v>
      </c>
      <c r="Y12" s="16" t="n">
        <v>13.416284</v>
      </c>
      <c r="Z12" s="16" t="n">
        <v>426.428571</v>
      </c>
      <c r="AA12" s="16" t="n">
        <v>12.895969</v>
      </c>
      <c r="AB12" s="16" t="n">
        <v>281.721429</v>
      </c>
      <c r="AC12" s="16" t="n">
        <v>13.649212</v>
      </c>
      <c r="AD12" s="16" t="n">
        <v>293.15</v>
      </c>
      <c r="AE12" s="16" t="n">
        <v>13.498787</v>
      </c>
      <c r="AF12" s="16" t="n">
        <v>3892.857143</v>
      </c>
      <c r="AG12" s="16" t="n"/>
      <c r="AH12" s="16" t="n"/>
      <c r="AI12" s="16" t="n">
        <v>9.924232999999999</v>
      </c>
      <c r="AJ12" s="16" t="n">
        <v>1000</v>
      </c>
      <c r="AK12" s="16" t="n"/>
      <c r="AL12" s="16" t="n"/>
      <c r="AM12" s="16" t="n">
        <v>12.268103</v>
      </c>
      <c r="AN12" s="16" t="n">
        <v>0.775</v>
      </c>
      <c r="AO12" s="16" t="n"/>
      <c r="AP12" s="16" t="n"/>
      <c r="AQ12" s="16" t="n"/>
      <c r="AR12" s="16" t="n"/>
      <c r="AS12" s="16" t="n">
        <v>11.790507</v>
      </c>
      <c r="AT12" s="16" t="n">
        <v>0.835714</v>
      </c>
      <c r="AU12" s="16" t="n">
        <v>12.687099</v>
      </c>
      <c r="AV12" s="16" t="n">
        <v>0.728571</v>
      </c>
      <c r="AW12" s="16" t="n">
        <v>12.334275</v>
      </c>
      <c r="AX12" s="16" t="n">
        <v>0.75</v>
      </c>
      <c r="AY12" s="16" t="n"/>
      <c r="AZ12" s="16" t="n"/>
      <c r="BA12" s="16" t="n">
        <v>12.464493</v>
      </c>
      <c r="BB12" s="16" t="n">
        <v>0.635714</v>
      </c>
      <c r="BC12" s="16" t="n"/>
      <c r="BD12" s="16" t="n"/>
      <c r="BE12" s="16" t="n">
        <v>13.618229</v>
      </c>
      <c r="BF12" s="16" t="n">
        <v>0.825</v>
      </c>
      <c r="BG12" s="16" t="n"/>
      <c r="BH12" s="16" t="n"/>
      <c r="BJ12" s="16" t="n">
        <v>10.781596</v>
      </c>
      <c r="BK12" s="16" t="n">
        <v>0.675</v>
      </c>
      <c r="BL12" s="16" t="n"/>
      <c r="BM12" s="16" t="n"/>
      <c r="BN12" s="16" t="n"/>
      <c r="BO12" s="16" t="n"/>
    </row>
    <row r="13">
      <c r="L13" s="16" t="n">
        <v>1200</v>
      </c>
      <c r="M13" s="16" t="n">
        <v>0.7</v>
      </c>
      <c r="N13" s="16" t="n">
        <v>700</v>
      </c>
      <c r="O13" s="16" t="n">
        <v>0.85</v>
      </c>
      <c r="P13" s="16" t="n">
        <v>600</v>
      </c>
      <c r="Q13" s="16" t="n">
        <v>0.35</v>
      </c>
      <c r="R13" s="16" t="n">
        <v>600</v>
      </c>
      <c r="S13" s="16" t="n">
        <v>0.45</v>
      </c>
      <c r="T13" s="16" t="n">
        <v>700</v>
      </c>
      <c r="U13" s="16" t="n">
        <v>0.79</v>
      </c>
      <c r="W13" s="16" t="n"/>
      <c r="X13" s="16" t="n"/>
      <c r="Y13" s="16" t="n">
        <v>13.423073</v>
      </c>
      <c r="Z13" s="16" t="n">
        <v>430</v>
      </c>
      <c r="AA13" s="16" t="n">
        <v>12.962872</v>
      </c>
      <c r="AB13" s="16" t="n">
        <v>283.15</v>
      </c>
      <c r="AC13" s="16" t="n"/>
      <c r="AD13" s="16" t="n"/>
      <c r="AE13" s="16" t="n">
        <v>13.385255</v>
      </c>
      <c r="AF13" s="16" t="n">
        <v>3785.714286</v>
      </c>
      <c r="AG13" s="16" t="n"/>
      <c r="AH13" s="16" t="n"/>
      <c r="AI13" s="16" t="n">
        <v>9.544304</v>
      </c>
      <c r="AJ13" s="16" t="n">
        <v>1050</v>
      </c>
      <c r="AK13" s="16" t="n"/>
      <c r="AL13" s="16" t="n"/>
      <c r="AM13" s="16" t="n">
        <v>12.77762</v>
      </c>
      <c r="AN13" s="16" t="n">
        <v>0.825</v>
      </c>
      <c r="AO13" s="16" t="n"/>
      <c r="AP13" s="16" t="n"/>
      <c r="AQ13" s="16" t="n"/>
      <c r="AR13" s="16" t="n"/>
      <c r="AS13" s="16" t="n">
        <v>11.999755</v>
      </c>
      <c r="AT13" s="16" t="n">
        <v>0.85</v>
      </c>
      <c r="AU13" s="16" t="n">
        <v>12.701427</v>
      </c>
      <c r="AV13" s="16" t="n">
        <v>0.75</v>
      </c>
      <c r="AW13" s="16" t="n">
        <v>12.437164</v>
      </c>
      <c r="AX13" s="16" t="n">
        <v>0.775</v>
      </c>
      <c r="AY13" s="16" t="n"/>
      <c r="AZ13" s="16" t="n"/>
      <c r="BA13" s="16" t="n">
        <v>12.555376</v>
      </c>
      <c r="BB13" s="16" t="n">
        <v>0.675</v>
      </c>
      <c r="BC13" s="16" t="n"/>
      <c r="BD13" s="16" t="n"/>
      <c r="BE13" s="16" t="n">
        <v>13.336811</v>
      </c>
      <c r="BF13" s="16" t="n">
        <v>0.878571</v>
      </c>
      <c r="BG13" s="16" t="n"/>
      <c r="BH13" s="16" t="n"/>
      <c r="BJ13" s="16" t="n">
        <v>11.232177</v>
      </c>
      <c r="BK13" s="16" t="n">
        <v>0.7</v>
      </c>
      <c r="BL13" s="16" t="n"/>
      <c r="BM13" s="16" t="n"/>
      <c r="BN13" s="16" t="n"/>
      <c r="BO13" s="16" t="n"/>
    </row>
    <row r="14">
      <c r="L14" s="16" t="n">
        <v>700</v>
      </c>
      <c r="M14" s="16" t="n">
        <v>0.73</v>
      </c>
      <c r="N14" s="16" t="n">
        <v>600</v>
      </c>
      <c r="O14" s="16" t="n">
        <v>0.85</v>
      </c>
      <c r="P14" s="16" t="n">
        <v>400</v>
      </c>
      <c r="Q14" s="16" t="n">
        <v>0.35</v>
      </c>
      <c r="R14" s="16" t="n">
        <v>700</v>
      </c>
      <c r="S14" s="16" t="n">
        <v>0.45</v>
      </c>
      <c r="T14" s="16" t="n">
        <v>700</v>
      </c>
      <c r="U14" s="16" t="n">
        <v>0.82</v>
      </c>
      <c r="W14" s="16" t="n"/>
      <c r="X14" s="16" t="n"/>
      <c r="Y14" s="16" t="n"/>
      <c r="Z14" s="16" t="n"/>
      <c r="AA14" s="16" t="n"/>
      <c r="AB14" s="16" t="n"/>
      <c r="AC14" s="16" t="n"/>
      <c r="AD14" s="16" t="n"/>
      <c r="AE14" s="16" t="n">
        <v>13.601555</v>
      </c>
      <c r="AF14" s="16" t="n">
        <v>4000</v>
      </c>
      <c r="AG14" s="16" t="n"/>
      <c r="AH14" s="16" t="n"/>
      <c r="AI14" s="16" t="n">
        <v>9.179719</v>
      </c>
      <c r="AJ14" s="16" t="n">
        <v>1100</v>
      </c>
      <c r="AK14" s="16" t="n"/>
      <c r="AL14" s="16" t="n"/>
      <c r="AM14" s="16" t="n">
        <v>12.504725</v>
      </c>
      <c r="AN14" s="16" t="n">
        <v>0.8</v>
      </c>
      <c r="AO14" s="16" t="n"/>
      <c r="AP14" s="16" t="n"/>
      <c r="AQ14" s="16" t="n"/>
      <c r="AR14" s="16" t="n"/>
      <c r="AS14" s="16" t="n">
        <v>12.20897</v>
      </c>
      <c r="AT14" s="16" t="n">
        <v>0.864286</v>
      </c>
      <c r="AU14" s="16" t="n">
        <v>12.714956</v>
      </c>
      <c r="AV14" s="16" t="n">
        <v>0.771429</v>
      </c>
      <c r="AW14" s="16" t="n">
        <v>12.419356</v>
      </c>
      <c r="AX14" s="16" t="n">
        <v>0.8</v>
      </c>
      <c r="AY14" s="16" t="n"/>
      <c r="AZ14" s="16" t="n"/>
      <c r="BA14" s="16" t="n">
        <v>12.647328</v>
      </c>
      <c r="BB14" s="16" t="n">
        <v>0.714286</v>
      </c>
      <c r="BC14" s="16" t="n"/>
      <c r="BD14" s="16" t="n"/>
      <c r="BE14" s="16" t="n">
        <v>13.546322</v>
      </c>
      <c r="BF14" s="16" t="n">
        <v>0.842857</v>
      </c>
      <c r="BG14" s="16" t="n"/>
      <c r="BH14" s="16" t="n"/>
    </row>
    <row r="15">
      <c r="L15" s="16" t="n">
        <v>800</v>
      </c>
      <c r="M15" s="16" t="n">
        <v>0.73</v>
      </c>
      <c r="N15" s="16" t="n">
        <v>600</v>
      </c>
      <c r="O15" s="16" t="n">
        <v>0.88</v>
      </c>
      <c r="P15" s="16" t="n">
        <v>300</v>
      </c>
      <c r="Q15" s="16" t="n">
        <v>0.35</v>
      </c>
      <c r="R15" s="16" t="n">
        <v>500</v>
      </c>
      <c r="S15" s="16" t="n">
        <v>0.45</v>
      </c>
      <c r="T15" s="16" t="n">
        <v>800</v>
      </c>
      <c r="U15" s="16" t="n">
        <v>0.85</v>
      </c>
      <c r="W15" s="16" t="n"/>
      <c r="X15" s="16" t="n"/>
      <c r="Y15" s="16" t="n"/>
      <c r="Z15" s="16" t="n"/>
      <c r="AA15" s="16" t="n"/>
      <c r="AB15" s="16" t="n"/>
      <c r="AC15" s="16" t="n"/>
      <c r="AD15" s="16" t="n"/>
      <c r="AE15" s="16" t="n">
        <v>12.979124</v>
      </c>
      <c r="AF15" s="16" t="n">
        <v>3464.285714</v>
      </c>
      <c r="AG15" s="16" t="n"/>
      <c r="AH15" s="16" t="n"/>
      <c r="AI15" s="16" t="n">
        <v>8.829226</v>
      </c>
      <c r="AJ15" s="16" t="n">
        <v>1150</v>
      </c>
      <c r="AK15" s="16" t="n"/>
      <c r="AL15" s="16" t="n"/>
      <c r="AM15" s="16" t="n"/>
      <c r="AN15" s="16" t="n"/>
      <c r="AO15" s="16" t="n"/>
      <c r="AP15" s="16" t="n"/>
      <c r="AQ15" s="16" t="n"/>
      <c r="AR15" s="16" t="n"/>
      <c r="AS15" s="16" t="n">
        <v>12.418153</v>
      </c>
      <c r="AT15" s="16" t="n">
        <v>0.878571</v>
      </c>
      <c r="AU15" s="16" t="n">
        <v>12.727752</v>
      </c>
      <c r="AV15" s="16" t="n">
        <v>0.792857</v>
      </c>
      <c r="AW15" s="16" t="n">
        <v>12.636164</v>
      </c>
      <c r="AX15" s="16" t="n">
        <v>0.825</v>
      </c>
      <c r="AY15" s="16" t="n"/>
      <c r="AZ15" s="16" t="n"/>
      <c r="BA15" s="16" t="n">
        <v>12.740368</v>
      </c>
      <c r="BB15" s="16" t="n">
        <v>0.753571</v>
      </c>
      <c r="BC15" s="16" t="n"/>
      <c r="BD15" s="16" t="n"/>
      <c r="BE15" s="16" t="n">
        <v>13.451878</v>
      </c>
      <c r="BF15" s="16" t="n">
        <v>0.860714</v>
      </c>
      <c r="BG15" s="16" t="n"/>
      <c r="BH15" s="16" t="n"/>
    </row>
    <row r="16">
      <c r="L16" s="16" t="n">
        <v>900</v>
      </c>
      <c r="M16" s="16" t="n">
        <v>0.73</v>
      </c>
      <c r="N16" s="16" t="n">
        <v>700</v>
      </c>
      <c r="O16" s="16" t="n">
        <v>0.88</v>
      </c>
      <c r="P16" s="16" t="n">
        <v>500</v>
      </c>
      <c r="Q16" s="16" t="n">
        <v>0.35</v>
      </c>
      <c r="R16" s="16" t="n">
        <v>400</v>
      </c>
      <c r="S16" s="16" t="n">
        <v>0.45</v>
      </c>
      <c r="T16" s="16" t="n">
        <v>800</v>
      </c>
      <c r="U16" s="16" t="n">
        <v>0.88</v>
      </c>
      <c r="W16" s="16" t="n"/>
      <c r="X16" s="16" t="n"/>
      <c r="Y16" s="16" t="n"/>
      <c r="Z16" s="16" t="n"/>
      <c r="AA16" s="16" t="n"/>
      <c r="AB16" s="16" t="n"/>
      <c r="AC16" s="16" t="n"/>
      <c r="AD16" s="16" t="n"/>
      <c r="AE16" s="16" t="n">
        <v>13.146551</v>
      </c>
      <c r="AF16" s="16" t="n">
        <v>3678.571429</v>
      </c>
      <c r="AG16" s="16" t="n"/>
      <c r="AH16" s="16" t="n"/>
      <c r="AI16" s="16" t="n">
        <v>8.491726999999999</v>
      </c>
      <c r="AJ16" s="16" t="n">
        <v>1200</v>
      </c>
      <c r="AK16" s="16" t="n"/>
      <c r="AL16" s="16" t="n"/>
      <c r="AM16" s="16" t="n"/>
      <c r="AN16" s="16" t="n"/>
      <c r="AO16" s="16" t="n"/>
      <c r="AP16" s="16" t="n"/>
      <c r="AQ16" s="16" t="n"/>
      <c r="AR16" s="16" t="n"/>
      <c r="AS16" s="16" t="n">
        <v>12.627302</v>
      </c>
      <c r="AT16" s="16" t="n">
        <v>0.892857</v>
      </c>
      <c r="AU16" s="16" t="n">
        <v>12.739872</v>
      </c>
      <c r="AV16" s="16" t="n">
        <v>0.814286</v>
      </c>
      <c r="AW16" s="16" t="n">
        <v>12.731865</v>
      </c>
      <c r="AX16" s="16" t="n">
        <v>0.85</v>
      </c>
      <c r="AY16" s="16" t="n"/>
      <c r="AZ16" s="16" t="n"/>
      <c r="BA16" s="16" t="n">
        <v>12.834514</v>
      </c>
      <c r="BB16" s="16" t="n">
        <v>0.792857</v>
      </c>
      <c r="BC16" s="16" t="n"/>
      <c r="BD16" s="16" t="n"/>
      <c r="BE16" s="16" t="n">
        <v>13.202845</v>
      </c>
      <c r="BF16" s="16" t="n">
        <v>0.896429</v>
      </c>
      <c r="BG16" s="16" t="n"/>
      <c r="BH16" s="16" t="n"/>
    </row>
    <row r="17">
      <c r="L17" s="16" t="n">
        <v>600</v>
      </c>
      <c r="M17" s="16" t="n">
        <v>0.73</v>
      </c>
      <c r="N17" s="16" t="n">
        <v>500</v>
      </c>
      <c r="O17" s="16" t="n">
        <v>0.88</v>
      </c>
      <c r="P17" s="16" t="n">
        <v>700</v>
      </c>
      <c r="Q17" s="16" t="n">
        <v>0.35</v>
      </c>
      <c r="R17" s="16" t="n">
        <v>300</v>
      </c>
      <c r="S17" s="16" t="n">
        <v>0.45</v>
      </c>
      <c r="T17" s="16" t="n">
        <v>800</v>
      </c>
      <c r="U17" s="16" t="n">
        <v>0.91</v>
      </c>
      <c r="W17" s="16" t="n"/>
      <c r="X17" s="16" t="n"/>
      <c r="Y17" s="16" t="n"/>
      <c r="Z17" s="16" t="n"/>
      <c r="AA17" s="16" t="n"/>
      <c r="AB17" s="16" t="n"/>
      <c r="AC17" s="16" t="n"/>
      <c r="AD17" s="16" t="n"/>
      <c r="AE17" s="16" t="n">
        <v>13.100023</v>
      </c>
      <c r="AF17" s="16" t="n">
        <v>3571.428571</v>
      </c>
      <c r="AG17" s="16" t="n"/>
      <c r="AH17" s="16" t="n"/>
      <c r="AI17" s="16" t="n"/>
      <c r="AJ17" s="16" t="n"/>
      <c r="AK17" s="16" t="n"/>
      <c r="AL17" s="16" t="n"/>
      <c r="AM17" s="16" t="n"/>
      <c r="AN17" s="16" t="n"/>
      <c r="AO17" s="16" t="n"/>
      <c r="AP17" s="16" t="n"/>
      <c r="AQ17" s="16" t="n"/>
      <c r="AR17" s="16" t="n"/>
      <c r="AS17" s="16" t="n">
        <v>12.836419</v>
      </c>
      <c r="AT17" s="16" t="n">
        <v>0.907143</v>
      </c>
      <c r="AU17" s="16" t="n">
        <v>12.76229</v>
      </c>
      <c r="AV17" s="16" t="n">
        <v>0.857143</v>
      </c>
      <c r="AW17" s="16" t="n">
        <v>12.824167</v>
      </c>
      <c r="AX17" s="16" t="n">
        <v>0.875</v>
      </c>
      <c r="AY17" s="16" t="n"/>
      <c r="AZ17" s="16" t="n"/>
      <c r="BA17" s="16" t="n">
        <v>12.929787</v>
      </c>
      <c r="BB17" s="16" t="n">
        <v>0.832143</v>
      </c>
      <c r="BC17" s="16" t="n"/>
      <c r="BD17" s="16" t="n"/>
      <c r="BE17" s="16" t="n">
        <v>13.051519</v>
      </c>
      <c r="BF17" s="16" t="n">
        <v>0.914286</v>
      </c>
      <c r="BG17" s="16" t="n"/>
      <c r="BH17" s="16" t="n"/>
    </row>
    <row r="18">
      <c r="L18" s="16" t="n">
        <v>1000</v>
      </c>
      <c r="M18" s="16" t="n">
        <v>0.73</v>
      </c>
      <c r="N18" s="16" t="n">
        <v>500</v>
      </c>
      <c r="O18" s="16" t="n">
        <v>0.91</v>
      </c>
      <c r="P18" s="16" t="n"/>
      <c r="Q18" s="16" t="n"/>
      <c r="R18" s="16" t="n"/>
      <c r="S18" s="16" t="n"/>
      <c r="T18" s="16" t="n"/>
      <c r="U18" s="16" t="n"/>
      <c r="W18" s="16" t="n"/>
      <c r="X18" s="16" t="n"/>
      <c r="Y18" s="16" t="n"/>
      <c r="Z18" s="16" t="n"/>
      <c r="AA18" s="16" t="n"/>
      <c r="AB18" s="16" t="n"/>
      <c r="AC18" s="16" t="n"/>
      <c r="AD18" s="16" t="n"/>
      <c r="AE18" s="16" t="n"/>
      <c r="AF18" s="16" t="n"/>
      <c r="AG18" s="16" t="n"/>
      <c r="AH18" s="16" t="n"/>
      <c r="AI18" s="16" t="n"/>
      <c r="AJ18" s="16" t="n"/>
      <c r="AK18" s="16" t="n"/>
      <c r="AL18" s="16" t="n"/>
      <c r="AM18" s="16" t="n"/>
      <c r="AN18" s="16" t="n"/>
      <c r="AO18" s="16" t="n"/>
      <c r="AP18" s="16" t="n"/>
      <c r="AQ18" s="16" t="n"/>
      <c r="AR18" s="16" t="n"/>
      <c r="AS18" s="16" t="n">
        <v>13.045502</v>
      </c>
      <c r="AT18" s="16" t="n">
        <v>0.9214290000000001</v>
      </c>
      <c r="AU18" s="16" t="n">
        <v>12.751369</v>
      </c>
      <c r="AV18" s="16" t="n">
        <v>0.835714</v>
      </c>
      <c r="AW18" s="16" t="n">
        <v>12.912111</v>
      </c>
      <c r="AX18" s="16" t="n">
        <v>0.9</v>
      </c>
      <c r="AY18" s="16" t="n"/>
      <c r="AZ18" s="16" t="n"/>
      <c r="BA18" s="16" t="n">
        <v>13.026204</v>
      </c>
      <c r="BB18" s="16" t="n">
        <v>0.871429</v>
      </c>
      <c r="BC18" s="16" t="n"/>
      <c r="BD18" s="16" t="n"/>
      <c r="BE18" s="16" t="n">
        <v>12.889275</v>
      </c>
      <c r="BF18" s="16" t="n">
        <v>0.9321430000000001</v>
      </c>
      <c r="BG18" s="16" t="n"/>
      <c r="BH18" s="16" t="n"/>
    </row>
    <row r="19">
      <c r="L19" s="16" t="n">
        <v>1100</v>
      </c>
      <c r="M19" s="16" t="n">
        <v>0.73</v>
      </c>
      <c r="N19" s="16" t="n">
        <v>600</v>
      </c>
      <c r="O19" s="16" t="n">
        <v>0.91</v>
      </c>
      <c r="P19" s="16" t="n"/>
      <c r="Q19" s="16" t="n"/>
      <c r="R19" s="16" t="n"/>
      <c r="S19" s="16" t="n"/>
      <c r="T19" s="16" t="n"/>
      <c r="U19" s="16" t="n"/>
      <c r="W19" s="16" t="n"/>
      <c r="X19" s="16" t="n"/>
      <c r="Y19" s="16" t="n"/>
      <c r="Z19" s="16" t="n"/>
      <c r="AA19" s="16" t="n"/>
      <c r="AB19" s="16" t="n"/>
      <c r="AC19" s="16" t="n"/>
      <c r="AD19" s="16" t="n"/>
      <c r="AE19" s="16" t="n"/>
      <c r="AF19" s="16" t="n"/>
      <c r="AG19" s="16" t="n"/>
      <c r="AH19" s="16" t="n"/>
      <c r="AI19" s="16" t="n"/>
      <c r="AJ19" s="16" t="n"/>
      <c r="AK19" s="16" t="n"/>
      <c r="AL19" s="16" t="n"/>
      <c r="AM19" s="16" t="n"/>
      <c r="AN19" s="16" t="n"/>
      <c r="AO19" s="16" t="n"/>
      <c r="AP19" s="16" t="n"/>
      <c r="AQ19" s="16" t="n"/>
      <c r="AR19" s="16" t="n"/>
      <c r="AS19" s="16" t="n">
        <v>13.254553</v>
      </c>
      <c r="AT19" s="16" t="n">
        <v>0.935714</v>
      </c>
      <c r="AU19" s="16" t="n">
        <v>12.772676</v>
      </c>
      <c r="AV19" s="16" t="n">
        <v>0.878571</v>
      </c>
      <c r="AW19" s="16" t="n">
        <v>12.994655</v>
      </c>
      <c r="AX19" s="16" t="n">
        <v>0.925</v>
      </c>
      <c r="AY19" s="16" t="n"/>
      <c r="AZ19" s="16" t="n"/>
      <c r="BA19" s="16" t="n">
        <v>13.123788</v>
      </c>
      <c r="BB19" s="16" t="n">
        <v>0.910714</v>
      </c>
      <c r="BC19" s="16" t="n"/>
      <c r="BD19" s="16" t="n"/>
      <c r="BE19" s="16" t="n"/>
      <c r="BF19" s="16" t="n"/>
      <c r="BG19" s="16" t="n"/>
      <c r="BH19" s="16" t="n"/>
    </row>
    <row r="20">
      <c r="L20" s="16" t="n">
        <v>1200</v>
      </c>
      <c r="M20" s="16" t="n">
        <v>0.73</v>
      </c>
      <c r="N20" s="16" t="n">
        <v>700</v>
      </c>
      <c r="O20" s="16" t="n">
        <v>0.91</v>
      </c>
      <c r="P20" s="16" t="n"/>
      <c r="Q20" s="16" t="n"/>
      <c r="R20" s="16" t="n"/>
      <c r="S20" s="16" t="n"/>
      <c r="T20" s="16" t="n"/>
      <c r="U20" s="16" t="n"/>
      <c r="W20" s="16" t="n"/>
      <c r="X20" s="16" t="n"/>
      <c r="Y20" s="16" t="n"/>
      <c r="Z20" s="16" t="n"/>
      <c r="AA20" s="16" t="n"/>
      <c r="AB20" s="16" t="n"/>
      <c r="AC20" s="16" t="n"/>
      <c r="AD20" s="16" t="n"/>
      <c r="AE20" s="16" t="n"/>
      <c r="AF20" s="16" t="n"/>
      <c r="AG20" s="16" t="n"/>
      <c r="AH20" s="16" t="n"/>
      <c r="AI20" s="16" t="n"/>
      <c r="AJ20" s="16" t="n"/>
      <c r="AK20" s="16" t="n"/>
      <c r="AL20" s="16" t="n"/>
      <c r="AM20" s="16" t="n"/>
      <c r="AN20" s="16" t="n"/>
      <c r="AO20" s="16" t="n"/>
      <c r="AP20" s="16" t="n"/>
      <c r="AQ20" s="16" t="n"/>
      <c r="AR20" s="16" t="n"/>
      <c r="AS20" s="16" t="n">
        <v>13.463571</v>
      </c>
      <c r="AT20" s="16" t="n">
        <v>0.95</v>
      </c>
      <c r="AU20" s="16" t="n">
        <v>12.782566</v>
      </c>
      <c r="AV20" s="16" t="n">
        <v>0.9</v>
      </c>
      <c r="AW20" s="16" t="n"/>
      <c r="AX20" s="16" t="n"/>
      <c r="AY20" s="16" t="n"/>
      <c r="AZ20" s="16" t="n"/>
      <c r="BA20" s="16" t="n">
        <v>13.222557</v>
      </c>
      <c r="BB20" s="16" t="n">
        <v>0.95</v>
      </c>
      <c r="BC20" s="16" t="n"/>
      <c r="BD20" s="16" t="n"/>
      <c r="BE20" s="16" t="n"/>
      <c r="BF20" s="16" t="n"/>
      <c r="BG20" s="16" t="n"/>
      <c r="BH20" s="16" t="n"/>
    </row>
    <row r="21">
      <c r="L21" s="16" t="n">
        <v>800</v>
      </c>
      <c r="M21" s="16" t="n">
        <v>0.76</v>
      </c>
      <c r="N21" s="16" t="n">
        <v>200</v>
      </c>
      <c r="O21" s="16" t="n">
        <v>0.55</v>
      </c>
      <c r="P21" s="16" t="n"/>
      <c r="Q21" s="16" t="n"/>
      <c r="R21" s="16" t="n"/>
      <c r="S21" s="16" t="n"/>
      <c r="T21" s="16" t="n"/>
      <c r="U21" s="16" t="n"/>
    </row>
    <row r="22">
      <c r="L22" s="16" t="n">
        <v>700</v>
      </c>
      <c r="M22" s="16" t="n">
        <v>0.76</v>
      </c>
      <c r="N22" s="16" t="n">
        <v>200</v>
      </c>
      <c r="O22" s="16" t="n">
        <v>0.6</v>
      </c>
      <c r="P22" s="16" t="n"/>
      <c r="Q22" s="16" t="n"/>
      <c r="R22" s="16" t="n"/>
      <c r="S22" s="16" t="n"/>
      <c r="T22" s="16" t="n"/>
      <c r="U22" s="16" t="n"/>
    </row>
    <row r="23">
      <c r="L23" s="16" t="n">
        <v>600</v>
      </c>
      <c r="M23" s="16" t="n">
        <v>0.76</v>
      </c>
      <c r="N23" s="16" t="n">
        <v>300</v>
      </c>
      <c r="O23" s="16" t="n">
        <v>0.6</v>
      </c>
      <c r="P23" s="16" t="n"/>
      <c r="Q23" s="16" t="n"/>
      <c r="R23" s="16" t="n"/>
      <c r="S23" s="16" t="n"/>
      <c r="T23" s="16" t="n"/>
      <c r="U23" s="16" t="n"/>
    </row>
    <row r="24">
      <c r="L24" s="16" t="n">
        <v>900</v>
      </c>
      <c r="M24" s="16" t="n">
        <v>0.76</v>
      </c>
      <c r="N24" s="16" t="n">
        <v>300</v>
      </c>
      <c r="O24" s="16" t="n">
        <v>0.65</v>
      </c>
      <c r="P24" s="16" t="n"/>
      <c r="Q24" s="16" t="n"/>
      <c r="R24" s="16" t="n"/>
      <c r="S24" s="16" t="n"/>
      <c r="T24" s="16" t="n"/>
      <c r="U24" s="16" t="n"/>
    </row>
    <row r="25">
      <c r="L25" s="16" t="n">
        <v>1000</v>
      </c>
      <c r="M25" s="16" t="n">
        <v>0.76</v>
      </c>
      <c r="N25" s="16" t="n">
        <v>400</v>
      </c>
      <c r="O25" s="16" t="n">
        <v>0.65</v>
      </c>
      <c r="P25" s="16" t="n"/>
      <c r="Q25" s="16" t="n"/>
      <c r="R25" s="16" t="n"/>
      <c r="S25" s="16" t="n"/>
      <c r="T25" s="16" t="n"/>
      <c r="U25" s="16" t="n"/>
    </row>
    <row r="26">
      <c r="L26" s="16" t="n">
        <v>1100</v>
      </c>
      <c r="M26" s="16" t="n">
        <v>0.76</v>
      </c>
      <c r="N26" s="16" t="n">
        <v>200</v>
      </c>
      <c r="O26" s="16" t="n">
        <v>0.65</v>
      </c>
      <c r="P26" s="16" t="n"/>
      <c r="Q26" s="16" t="n"/>
      <c r="R26" s="16" t="n"/>
      <c r="S26" s="16" t="n"/>
      <c r="T26" s="16" t="n"/>
      <c r="U26" s="16" t="n"/>
    </row>
    <row r="27">
      <c r="L27" s="16" t="n">
        <v>1200</v>
      </c>
      <c r="M27" s="16" t="n">
        <v>0.76</v>
      </c>
      <c r="N27" s="16" t="n">
        <v>300</v>
      </c>
      <c r="O27" s="16" t="n">
        <v>0.7</v>
      </c>
      <c r="P27" s="16" t="n"/>
      <c r="Q27" s="16" t="n"/>
      <c r="R27" s="16" t="n"/>
      <c r="S27" s="16" t="n"/>
      <c r="T27" s="16" t="n"/>
      <c r="U27" s="16" t="n"/>
    </row>
    <row r="28">
      <c r="L28" s="16" t="n">
        <v>700</v>
      </c>
      <c r="M28" s="16" t="n">
        <v>0.79</v>
      </c>
      <c r="N28" s="16" t="n">
        <v>200</v>
      </c>
      <c r="O28" s="16" t="n">
        <v>0.7</v>
      </c>
      <c r="P28" s="16" t="n"/>
      <c r="Q28" s="16" t="n"/>
      <c r="R28" s="16" t="n"/>
      <c r="S28" s="16" t="n"/>
      <c r="T28" s="16" t="n"/>
      <c r="U28" s="16" t="n"/>
    </row>
    <row r="29">
      <c r="L29" s="16" t="n">
        <v>800</v>
      </c>
      <c r="M29" s="16" t="n">
        <v>0.79</v>
      </c>
      <c r="N29" s="16" t="n">
        <v>400</v>
      </c>
      <c r="O29" s="16" t="n">
        <v>0.7</v>
      </c>
      <c r="P29" s="16" t="n"/>
      <c r="Q29" s="16" t="n"/>
      <c r="R29" s="16" t="n"/>
      <c r="S29" s="16" t="n"/>
      <c r="T29" s="16" t="n"/>
      <c r="U29" s="16" t="n"/>
    </row>
    <row r="30">
      <c r="L30" s="16" t="n">
        <v>900</v>
      </c>
      <c r="M30" s="16" t="n">
        <v>0.79</v>
      </c>
      <c r="N30" s="16" t="n"/>
      <c r="O30" s="16" t="n"/>
      <c r="P30" s="16" t="n"/>
      <c r="Q30" s="16" t="n"/>
      <c r="R30" s="16" t="n"/>
      <c r="S30" s="16" t="n"/>
      <c r="T30" s="16" t="n"/>
      <c r="U30" s="16" t="n"/>
    </row>
    <row r="31">
      <c r="L31" s="16" t="n">
        <v>1000</v>
      </c>
      <c r="M31" s="16" t="n">
        <v>0.79</v>
      </c>
      <c r="N31" s="16" t="n"/>
      <c r="O31" s="16" t="n"/>
      <c r="P31" s="16" t="n"/>
      <c r="Q31" s="16" t="n"/>
      <c r="R31" s="16" t="n"/>
      <c r="S31" s="16" t="n"/>
      <c r="T31" s="16" t="n"/>
      <c r="U31" s="16" t="n"/>
    </row>
    <row r="32">
      <c r="L32" s="16" t="n">
        <v>1100</v>
      </c>
      <c r="M32" s="16" t="n">
        <v>0.79</v>
      </c>
      <c r="N32" s="16" t="n"/>
      <c r="O32" s="16" t="n"/>
      <c r="P32" s="16" t="n"/>
      <c r="Q32" s="16" t="n"/>
      <c r="R32" s="16" t="n"/>
      <c r="S32" s="16" t="n"/>
      <c r="T32" s="16" t="n"/>
      <c r="U32" s="16" t="n"/>
    </row>
    <row r="33">
      <c r="L33" s="16" t="n">
        <v>1200</v>
      </c>
      <c r="M33" s="16" t="n">
        <v>0.79</v>
      </c>
      <c r="N33" s="16" t="n"/>
      <c r="O33" s="16" t="n"/>
      <c r="P33" s="16" t="n"/>
      <c r="Q33" s="16" t="n"/>
      <c r="R33" s="16" t="n"/>
      <c r="S33" s="16" t="n"/>
      <c r="T33" s="16" t="n"/>
      <c r="U33" s="16" t="n"/>
    </row>
    <row r="34">
      <c r="L34" s="16" t="n">
        <v>800</v>
      </c>
      <c r="M34" s="16" t="n">
        <v>0.82</v>
      </c>
      <c r="N34" s="16" t="n"/>
      <c r="O34" s="16" t="n"/>
      <c r="P34" s="16" t="n"/>
      <c r="Q34" s="16" t="n"/>
      <c r="R34" s="16" t="n"/>
      <c r="S34" s="16" t="n"/>
      <c r="T34" s="16" t="n"/>
      <c r="U34" s="16" t="n"/>
    </row>
    <row r="35">
      <c r="L35" s="16" t="n">
        <v>900</v>
      </c>
      <c r="M35" s="16" t="n">
        <v>0.82</v>
      </c>
      <c r="N35" s="16" t="n"/>
      <c r="O35" s="16" t="n"/>
      <c r="P35" s="16" t="n"/>
      <c r="Q35" s="16" t="n"/>
      <c r="R35" s="16" t="n"/>
      <c r="S35" s="16" t="n"/>
      <c r="T35" s="16" t="n"/>
      <c r="U35" s="16" t="n"/>
    </row>
    <row r="36">
      <c r="L36" s="16" t="n">
        <v>700</v>
      </c>
      <c r="M36" s="16" t="n">
        <v>0.82</v>
      </c>
      <c r="N36" s="16" t="n"/>
      <c r="O36" s="16" t="n"/>
      <c r="P36" s="16" t="n"/>
      <c r="Q36" s="16" t="n"/>
      <c r="R36" s="16" t="n"/>
      <c r="S36" s="16" t="n"/>
      <c r="T36" s="16" t="n"/>
      <c r="U36" s="16" t="n"/>
    </row>
    <row r="37">
      <c r="L37" s="16" t="n">
        <v>1000</v>
      </c>
      <c r="M37" s="16" t="n">
        <v>0.82</v>
      </c>
      <c r="N37" s="16" t="n"/>
      <c r="O37" s="16" t="n"/>
      <c r="P37" s="16" t="n"/>
      <c r="Q37" s="16" t="n"/>
      <c r="R37" s="16" t="n"/>
      <c r="S37" s="16" t="n"/>
      <c r="T37" s="16" t="n"/>
      <c r="U37" s="16" t="n"/>
    </row>
    <row r="38">
      <c r="L38" s="16" t="n">
        <v>1100</v>
      </c>
      <c r="M38" s="16" t="n">
        <v>0.82</v>
      </c>
      <c r="N38" s="16" t="n"/>
      <c r="O38" s="16" t="n"/>
      <c r="P38" s="16" t="n"/>
      <c r="Q38" s="16" t="n"/>
      <c r="R38" s="16" t="n"/>
      <c r="S38" s="16" t="n"/>
      <c r="T38" s="16" t="n"/>
      <c r="U38" s="16" t="n"/>
    </row>
    <row r="39">
      <c r="L39" s="16" t="n">
        <v>1200</v>
      </c>
      <c r="M39" s="16" t="n">
        <v>0.82</v>
      </c>
      <c r="N39" s="16" t="n"/>
      <c r="O39" s="16" t="n"/>
      <c r="P39" s="16" t="n"/>
      <c r="Q39" s="16" t="n"/>
      <c r="R39" s="16" t="n"/>
      <c r="S39" s="16" t="n"/>
      <c r="T39" s="16" t="n"/>
      <c r="U39" s="16" t="n"/>
    </row>
    <row r="40">
      <c r="L40" s="16" t="n">
        <v>900</v>
      </c>
      <c r="M40" s="16" t="n">
        <v>0.85</v>
      </c>
      <c r="N40" s="16" t="n"/>
      <c r="O40" s="16" t="n"/>
      <c r="P40" s="16" t="n"/>
      <c r="Q40" s="16" t="n"/>
      <c r="R40" s="16" t="n"/>
      <c r="S40" s="16" t="n"/>
      <c r="T40" s="16" t="n"/>
      <c r="U40" s="16" t="n"/>
    </row>
    <row r="41">
      <c r="L41" s="16" t="n">
        <v>800</v>
      </c>
      <c r="M41" s="16" t="n">
        <v>0.85</v>
      </c>
      <c r="N41" s="16" t="n"/>
      <c r="O41" s="16" t="n"/>
      <c r="P41" s="16" t="n"/>
      <c r="Q41" s="16" t="n"/>
      <c r="R41" s="16" t="n"/>
      <c r="S41" s="16" t="n"/>
      <c r="T41" s="16" t="n"/>
      <c r="U41" s="16" t="n"/>
    </row>
    <row r="42">
      <c r="L42" s="16" t="n">
        <v>1000</v>
      </c>
      <c r="M42" s="16" t="n">
        <v>0.85</v>
      </c>
      <c r="N42" s="16" t="n"/>
      <c r="O42" s="16" t="n"/>
      <c r="P42" s="16" t="n"/>
      <c r="Q42" s="16" t="n"/>
      <c r="R42" s="16" t="n"/>
      <c r="S42" s="16" t="n"/>
      <c r="T42" s="16" t="n"/>
      <c r="U42" s="16" t="n"/>
    </row>
    <row r="43">
      <c r="L43" s="16" t="n">
        <v>1100</v>
      </c>
      <c r="M43" s="16" t="n">
        <v>0.85</v>
      </c>
      <c r="N43" s="16" t="n"/>
      <c r="O43" s="16" t="n"/>
      <c r="P43" s="16" t="n"/>
      <c r="Q43" s="16" t="n"/>
      <c r="R43" s="16" t="n"/>
      <c r="S43" s="16" t="n"/>
      <c r="T43" s="16" t="n"/>
      <c r="U43" s="16" t="n"/>
    </row>
    <row r="44">
      <c r="L44" s="16" t="n">
        <v>1200</v>
      </c>
      <c r="M44" s="16" t="n">
        <v>0.85</v>
      </c>
      <c r="N44" s="16" t="n"/>
      <c r="O44" s="16" t="n"/>
      <c r="P44" s="16" t="n"/>
      <c r="Q44" s="16" t="n"/>
      <c r="R44" s="16" t="n"/>
      <c r="S44" s="16" t="n"/>
      <c r="T44" s="16" t="n"/>
      <c r="U44" s="16" t="n"/>
    </row>
    <row r="45">
      <c r="L45" s="16" t="n">
        <v>800</v>
      </c>
      <c r="M45" s="16" t="n">
        <v>0.88</v>
      </c>
      <c r="N45" s="16" t="n"/>
      <c r="O45" s="16" t="n"/>
      <c r="P45" s="16" t="n"/>
      <c r="Q45" s="16" t="n"/>
      <c r="R45" s="16" t="n"/>
      <c r="S45" s="16" t="n"/>
      <c r="T45" s="16" t="n"/>
      <c r="U45" s="16" t="n"/>
    </row>
    <row r="46">
      <c r="L46" s="16" t="n">
        <v>900</v>
      </c>
      <c r="M46" s="16" t="n">
        <v>0.88</v>
      </c>
      <c r="N46" s="16" t="n"/>
      <c r="O46" s="16" t="n"/>
      <c r="P46" s="16" t="n"/>
      <c r="Q46" s="16" t="n"/>
      <c r="R46" s="16" t="n"/>
      <c r="S46" s="16" t="n"/>
      <c r="T46" s="16" t="n"/>
      <c r="U46" s="16" t="n"/>
    </row>
    <row r="47">
      <c r="L47" s="16" t="n">
        <v>1000</v>
      </c>
      <c r="M47" s="16" t="n">
        <v>0.88</v>
      </c>
      <c r="N47" s="16" t="n"/>
      <c r="O47" s="16" t="n"/>
      <c r="P47" s="16" t="n"/>
      <c r="Q47" s="16" t="n"/>
      <c r="R47" s="16" t="n"/>
      <c r="S47" s="16" t="n"/>
      <c r="T47" s="16" t="n"/>
      <c r="U47" s="16" t="n"/>
    </row>
    <row r="48">
      <c r="L48" s="16" t="n">
        <v>1100</v>
      </c>
      <c r="M48" s="16" t="n">
        <v>0.88</v>
      </c>
      <c r="N48" s="16" t="n"/>
      <c r="O48" s="16" t="n"/>
      <c r="P48" s="16" t="n"/>
      <c r="Q48" s="16" t="n"/>
      <c r="R48" s="16" t="n"/>
      <c r="S48" s="16" t="n"/>
      <c r="T48" s="16" t="n"/>
      <c r="U48" s="16" t="n"/>
    </row>
    <row r="49">
      <c r="L49" s="16" t="n">
        <v>1200</v>
      </c>
      <c r="M49" s="16" t="n">
        <v>0.88</v>
      </c>
      <c r="N49" s="16" t="n"/>
      <c r="O49" s="16" t="n"/>
      <c r="P49" s="16" t="n"/>
      <c r="Q49" s="16" t="n"/>
      <c r="R49" s="16" t="n"/>
      <c r="S49" s="16" t="n"/>
      <c r="T49" s="16" t="n"/>
      <c r="U49" s="16" t="n"/>
    </row>
    <row r="50">
      <c r="L50" s="16" t="n">
        <v>900</v>
      </c>
      <c r="M50" s="16" t="n">
        <v>0.91</v>
      </c>
      <c r="N50" s="16" t="n"/>
      <c r="O50" s="16" t="n"/>
      <c r="P50" s="16" t="n"/>
      <c r="Q50" s="16" t="n"/>
      <c r="R50" s="16" t="n"/>
      <c r="S50" s="16" t="n"/>
      <c r="T50" s="16" t="n"/>
      <c r="U50" s="16" t="n"/>
    </row>
    <row r="51">
      <c r="L51" s="16" t="n">
        <v>800</v>
      </c>
      <c r="M51" s="16" t="n">
        <v>0.91</v>
      </c>
      <c r="N51" s="16" t="n"/>
      <c r="O51" s="16" t="n"/>
      <c r="P51" s="16" t="n"/>
      <c r="Q51" s="16" t="n"/>
      <c r="R51" s="16" t="n"/>
      <c r="S51" s="16" t="n"/>
      <c r="T51" s="16" t="n"/>
      <c r="U51" s="16" t="n"/>
    </row>
    <row r="52">
      <c r="L52" s="16" t="n">
        <v>1000</v>
      </c>
      <c r="M52" s="16" t="n">
        <v>0.91</v>
      </c>
      <c r="N52" s="16" t="n"/>
      <c r="O52" s="16" t="n"/>
      <c r="P52" s="16" t="n"/>
      <c r="Q52" s="16" t="n"/>
      <c r="R52" s="16" t="n"/>
      <c r="S52" s="16" t="n"/>
      <c r="T52" s="16" t="n"/>
      <c r="U52" s="16" t="n"/>
    </row>
    <row r="53">
      <c r="L53" s="16" t="n">
        <v>1100</v>
      </c>
      <c r="M53" s="16" t="n">
        <v>0.91</v>
      </c>
      <c r="N53" s="16" t="n"/>
      <c r="O53" s="16" t="n"/>
      <c r="P53" s="16" t="n"/>
      <c r="Q53" s="16" t="n"/>
      <c r="R53" s="16" t="n"/>
      <c r="S53" s="16" t="n"/>
      <c r="T53" s="16" t="n"/>
      <c r="U53" s="16" t="n"/>
    </row>
    <row r="54">
      <c r="L54" s="16" t="n">
        <v>1200</v>
      </c>
      <c r="M54" s="16" t="n">
        <v>0.91</v>
      </c>
      <c r="N54" s="16" t="n"/>
      <c r="O54" s="16" t="n"/>
      <c r="P54" s="16" t="n"/>
      <c r="Q54" s="16" t="n"/>
      <c r="R54" s="16" t="n"/>
      <c r="S54" s="16" t="n"/>
      <c r="T54" s="16" t="n"/>
      <c r="U54" s="16" t="n"/>
    </row>
    <row r="55">
      <c r="L55" s="16" t="n">
        <v>200</v>
      </c>
      <c r="M55" s="16" t="n">
        <v>0.5</v>
      </c>
      <c r="N55" s="16" t="n"/>
      <c r="O55" s="16" t="n"/>
      <c r="P55" s="16" t="n"/>
      <c r="Q55" s="16" t="n"/>
      <c r="R55" s="16" t="n"/>
      <c r="S55" s="16" t="n"/>
      <c r="T55" s="16" t="n"/>
      <c r="U55" s="16" t="n"/>
    </row>
    <row r="56">
      <c r="L56" s="16" t="n">
        <v>300</v>
      </c>
      <c r="M56" s="16" t="n">
        <v>0.5</v>
      </c>
      <c r="N56" s="16" t="n"/>
      <c r="O56" s="16" t="n"/>
      <c r="P56" s="16" t="n"/>
      <c r="Q56" s="16" t="n"/>
      <c r="R56" s="16" t="n"/>
      <c r="S56" s="16" t="n"/>
      <c r="T56" s="16" t="n"/>
      <c r="U56" s="16" t="n"/>
    </row>
    <row r="57">
      <c r="L57" s="16" t="n">
        <v>700</v>
      </c>
      <c r="M57" s="16" t="n">
        <v>0.5</v>
      </c>
      <c r="N57" s="16" t="n"/>
      <c r="O57" s="16" t="n"/>
      <c r="P57" s="16" t="n"/>
      <c r="Q57" s="16" t="n"/>
      <c r="R57" s="16" t="n"/>
      <c r="S57" s="16" t="n"/>
      <c r="T57" s="16" t="n"/>
      <c r="U57" s="16" t="n"/>
    </row>
    <row r="58">
      <c r="L58" s="16" t="n">
        <v>400</v>
      </c>
      <c r="M58" s="16" t="n">
        <v>0.5</v>
      </c>
      <c r="N58" s="16" t="n"/>
      <c r="O58" s="16" t="n"/>
      <c r="P58" s="16" t="n"/>
      <c r="Q58" s="16" t="n"/>
      <c r="R58" s="16" t="n"/>
      <c r="S58" s="16" t="n"/>
      <c r="T58" s="16" t="n"/>
      <c r="U58" s="16" t="n"/>
    </row>
    <row r="59">
      <c r="L59" s="16" t="n">
        <v>600</v>
      </c>
      <c r="M59" s="16" t="n">
        <v>0.5</v>
      </c>
      <c r="N59" s="16" t="n"/>
      <c r="O59" s="16" t="n"/>
      <c r="P59" s="16" t="n"/>
      <c r="Q59" s="16" t="n"/>
      <c r="R59" s="16" t="n"/>
      <c r="S59" s="16" t="n"/>
      <c r="T59" s="16" t="n"/>
      <c r="U59" s="16" t="n"/>
    </row>
    <row r="60">
      <c r="L60" s="16" t="n">
        <v>300</v>
      </c>
      <c r="M60" s="16" t="n">
        <v>0.55</v>
      </c>
      <c r="N60" s="16" t="n"/>
      <c r="O60" s="16" t="n"/>
      <c r="P60" s="16" t="n"/>
      <c r="Q60" s="16" t="n"/>
      <c r="R60" s="16" t="n"/>
      <c r="S60" s="16" t="n"/>
      <c r="T60" s="16" t="n"/>
      <c r="U60" s="16" t="n"/>
    </row>
    <row r="61">
      <c r="L61" s="16" t="n">
        <v>500</v>
      </c>
      <c r="M61" s="16" t="n">
        <v>0.5</v>
      </c>
      <c r="N61" s="16" t="n"/>
      <c r="O61" s="16" t="n"/>
      <c r="P61" s="16" t="n"/>
      <c r="Q61" s="16" t="n"/>
      <c r="R61" s="16" t="n"/>
      <c r="S61" s="16" t="n"/>
      <c r="T61" s="16" t="n"/>
      <c r="U61" s="16" t="n"/>
    </row>
    <row r="62">
      <c r="L62" s="16" t="n">
        <v>400</v>
      </c>
      <c r="M62" s="16" t="n">
        <v>0.55</v>
      </c>
      <c r="N62" s="16" t="n"/>
      <c r="O62" s="16" t="n"/>
      <c r="P62" s="16" t="n"/>
      <c r="Q62" s="16" t="n"/>
      <c r="R62" s="16" t="n"/>
      <c r="S62" s="16" t="n"/>
      <c r="T62" s="16" t="n"/>
      <c r="U62" s="16" t="n"/>
    </row>
    <row r="63">
      <c r="L63" s="16" t="n">
        <v>700</v>
      </c>
      <c r="M63" s="16" t="n">
        <v>0.55</v>
      </c>
      <c r="N63" s="16" t="n"/>
      <c r="O63" s="16" t="n"/>
      <c r="P63" s="16" t="n"/>
      <c r="Q63" s="16" t="n"/>
      <c r="R63" s="16" t="n"/>
      <c r="S63" s="16" t="n"/>
      <c r="T63" s="16" t="n"/>
      <c r="U63" s="16" t="n"/>
    </row>
    <row r="64">
      <c r="L64" s="16" t="n">
        <v>600</v>
      </c>
      <c r="M64" s="16" t="n">
        <v>0.55</v>
      </c>
      <c r="N64" s="16" t="n"/>
      <c r="O64" s="16" t="n"/>
      <c r="P64" s="16" t="n"/>
      <c r="Q64" s="16" t="n"/>
      <c r="R64" s="16" t="n"/>
      <c r="S64" s="16" t="n"/>
      <c r="T64" s="16" t="n"/>
      <c r="U64" s="16" t="n"/>
    </row>
    <row r="65">
      <c r="L65" s="16" t="n">
        <v>500</v>
      </c>
      <c r="M65" s="16" t="n">
        <v>0.55</v>
      </c>
      <c r="N65" s="16" t="n"/>
      <c r="O65" s="16" t="n"/>
      <c r="P65" s="16" t="n"/>
      <c r="Q65" s="16" t="n"/>
      <c r="R65" s="16" t="n"/>
      <c r="S65" s="16" t="n"/>
      <c r="T65" s="16" t="n"/>
      <c r="U65" s="16" t="n"/>
    </row>
    <row r="66">
      <c r="L66" s="16" t="n">
        <v>400</v>
      </c>
      <c r="M66" s="16" t="n">
        <v>0.6</v>
      </c>
      <c r="N66" s="16" t="n"/>
      <c r="O66" s="16" t="n"/>
      <c r="P66" s="16" t="n"/>
      <c r="Q66" s="16" t="n"/>
      <c r="R66" s="16" t="n"/>
      <c r="S66" s="16" t="n"/>
      <c r="T66" s="16" t="n"/>
      <c r="U66" s="16" t="n"/>
    </row>
    <row r="67">
      <c r="L67" s="16" t="n">
        <v>700</v>
      </c>
      <c r="M67" s="16" t="n">
        <v>0.6</v>
      </c>
      <c r="N67" s="16" t="n"/>
      <c r="O67" s="16" t="n"/>
      <c r="P67" s="16" t="n"/>
      <c r="Q67" s="16" t="n"/>
      <c r="R67" s="16" t="n"/>
      <c r="S67" s="16" t="n"/>
      <c r="T67" s="16" t="n"/>
      <c r="U67" s="16" t="n"/>
    </row>
    <row r="68">
      <c r="L68" s="16" t="n">
        <v>500</v>
      </c>
      <c r="M68" s="16" t="n">
        <v>0.6</v>
      </c>
      <c r="N68" s="16" t="n"/>
      <c r="O68" s="16" t="n"/>
      <c r="P68" s="16" t="n"/>
      <c r="Q68" s="16" t="n"/>
      <c r="R68" s="16" t="n"/>
      <c r="S68" s="16" t="n"/>
      <c r="T68" s="16" t="n"/>
      <c r="U68" s="16" t="n"/>
    </row>
    <row r="69">
      <c r="L69" s="16" t="n">
        <v>600</v>
      </c>
      <c r="M69" s="16" t="n">
        <v>0.6</v>
      </c>
      <c r="N69" s="16" t="n"/>
      <c r="O69" s="16" t="n"/>
      <c r="P69" s="16" t="n"/>
      <c r="Q69" s="16" t="n"/>
      <c r="R69" s="16" t="n"/>
      <c r="S69" s="16" t="n"/>
      <c r="T69" s="16" t="n"/>
      <c r="U69" s="16" t="n"/>
    </row>
    <row r="70">
      <c r="L70" s="16" t="n">
        <v>500</v>
      </c>
      <c r="M70" s="16" t="n">
        <v>0.65</v>
      </c>
      <c r="N70" s="16" t="n"/>
      <c r="O70" s="16" t="n"/>
      <c r="P70" s="16" t="n"/>
      <c r="Q70" s="16" t="n"/>
      <c r="R70" s="16" t="n"/>
      <c r="S70" s="16" t="n"/>
      <c r="T70" s="16" t="n"/>
      <c r="U70" s="16" t="n"/>
    </row>
    <row r="71">
      <c r="L71" s="16" t="n">
        <v>700</v>
      </c>
      <c r="M71" s="16" t="n">
        <v>0.65</v>
      </c>
      <c r="N71" s="16" t="n"/>
      <c r="O71" s="16" t="n"/>
      <c r="P71" s="16" t="n"/>
      <c r="Q71" s="16" t="n"/>
      <c r="R71" s="16" t="n"/>
      <c r="S71" s="16" t="n"/>
      <c r="T71" s="16" t="n"/>
      <c r="U71" s="16" t="n"/>
    </row>
    <row r="72">
      <c r="L72" s="16" t="n">
        <v>600</v>
      </c>
      <c r="M72" s="16" t="n">
        <v>0.65</v>
      </c>
      <c r="N72" s="16" t="n"/>
      <c r="O72" s="16" t="n"/>
      <c r="P72" s="16" t="n"/>
      <c r="Q72" s="16" t="n"/>
      <c r="R72" s="16" t="n"/>
      <c r="S72" s="16" t="n"/>
      <c r="T72" s="16" t="n"/>
      <c r="U72" s="16" t="n"/>
    </row>
    <row r="73">
      <c r="L73" s="16" t="n">
        <v>700</v>
      </c>
      <c r="M73" s="16" t="n">
        <v>0.7</v>
      </c>
      <c r="N73" s="16" t="n"/>
      <c r="O73" s="16" t="n"/>
      <c r="P73" s="16" t="n"/>
      <c r="Q73" s="16" t="n"/>
      <c r="R73" s="16" t="n"/>
      <c r="S73" s="16" t="n"/>
      <c r="T73" s="16" t="n"/>
      <c r="U73" s="16" t="n"/>
    </row>
    <row r="74">
      <c r="L74" s="16" t="n">
        <v>600</v>
      </c>
      <c r="M74" s="16" t="n">
        <v>0.7</v>
      </c>
      <c r="N74" s="16" t="n"/>
      <c r="O74" s="16" t="n"/>
      <c r="P74" s="16" t="n"/>
      <c r="Q74" s="16" t="n"/>
      <c r="R74" s="16" t="n"/>
      <c r="S74" s="16" t="n"/>
      <c r="T74" s="16" t="n"/>
      <c r="U74" s="16" t="n"/>
    </row>
    <row r="75">
      <c r="L75" s="16" t="n">
        <v>500</v>
      </c>
      <c r="M75" s="16" t="n">
        <v>0.7</v>
      </c>
      <c r="N75" s="16" t="n"/>
      <c r="O75" s="16" t="n"/>
      <c r="P75" s="16" t="n"/>
      <c r="Q75" s="16" t="n"/>
      <c r="R75" s="16" t="n"/>
      <c r="S75" s="16" t="n"/>
      <c r="T75" s="16" t="n"/>
      <c r="U75" s="16" t="n"/>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43" t="inlineStr">
        <is>
          <t>ANEXO A.1 — equipos fuera del rango realista (no entra en las conclusiones)</t>
        </is>
      </c>
    </row>
    <row r="3">
      <c r="A3" t="inlineStr">
        <is>
          <t>Estudio A.1 (código de origen M08): η y ε de 0.20 a 0.99, fuera de [0.40, 0.95]. No es un resultado de diseño.</t>
        </is>
      </c>
    </row>
    <row r="5">
      <c r="A5" s="16" t="inlineStr">
        <is>
          <t>KALINA</t>
        </is>
      </c>
      <c r="B5" s="16" t="n">
        <v>84</v>
      </c>
    </row>
    <row r="6">
      <c r="A6" s="16" t="inlineStr">
        <is>
          <t>Corregible</t>
        </is>
      </c>
      <c r="B6" s="16" t="n">
        <v>60</v>
      </c>
    </row>
    <row r="7">
      <c r="A7" s="16" t="inlineStr">
        <is>
          <t>Inviable</t>
        </is>
      </c>
      <c r="B7" s="16" t="n">
        <v>7</v>
      </c>
    </row>
    <row r="8">
      <c r="A8" s="16" t="inlineStr">
        <is>
          <t>No convergió</t>
        </is>
      </c>
      <c r="B8" s="16" t="n">
        <v>7</v>
      </c>
    </row>
    <row r="9">
      <c r="A9" s="16" t="inlineStr">
        <is>
          <t>Falso convergido</t>
        </is>
      </c>
      <c r="B9" s="16" t="n">
        <v>2</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AE4582"/>
  <sheetViews>
    <sheetView workbookViewId="0">
      <selection activeCell="A1" sqref="A1"/>
    </sheetView>
  </sheetViews>
  <sheetFormatPr baseColWidth="8" defaultRowHeight="15"/>
  <sheetData>
    <row r="1">
      <c r="A1" s="8" t="inlineStr">
        <is>
          <t>id_punto</t>
        </is>
      </c>
      <c r="B1" s="8" t="inlineStr">
        <is>
          <t>Estudio</t>
        </is>
      </c>
      <c r="C1" s="8" t="inlineStr">
        <is>
          <t>Parte</t>
        </is>
      </c>
      <c r="D1" s="8" t="inlineStr">
        <is>
          <t>Nombre de la parte</t>
        </is>
      </c>
      <c r="E1" s="8" t="inlineStr">
        <is>
          <t>Caso de origen</t>
        </is>
      </c>
      <c r="F1" s="8" t="inlineStr">
        <is>
          <t>Subcaso de origen</t>
        </is>
      </c>
      <c r="G1" s="8" t="inlineStr">
        <is>
          <t>Bloque de origen</t>
        </is>
      </c>
      <c r="H1" s="8" t="inlineStr">
        <is>
          <t>tipo_punto</t>
        </is>
      </c>
      <c r="I1" s="8" t="inlineStr">
        <is>
          <t>clase_trazo</t>
        </is>
      </c>
      <c r="J1" s="8" t="inlineStr">
        <is>
          <t>clasificacion</t>
        </is>
      </c>
      <c r="K1" s="8" t="inlineStr">
        <is>
          <t>genuino</t>
        </is>
      </c>
      <c r="L1" s="8" t="inlineStr">
        <is>
          <t>kalina_confiable</t>
        </is>
      </c>
      <c r="M1" s="8" t="inlineStr">
        <is>
          <t>fuera_rango</t>
        </is>
      </c>
      <c r="N1" s="8" t="inlineStr">
        <is>
          <t>omitido</t>
        </is>
      </c>
      <c r="O1" s="8" t="inlineStr">
        <is>
          <t>T_fuente</t>
        </is>
      </c>
      <c r="P1" s="8" t="inlineStr">
        <is>
          <t>T_sumidero</t>
        </is>
      </c>
      <c r="Q1" s="8" t="inlineStr">
        <is>
          <t>P_alta</t>
        </is>
      </c>
      <c r="R1" s="8" t="inlineStr">
        <is>
          <t>P_baja</t>
        </is>
      </c>
      <c r="S1" s="8" t="inlineStr">
        <is>
          <t>x_b</t>
        </is>
      </c>
      <c r="T1" s="8" t="inlineStr">
        <is>
          <t>eta_t</t>
        </is>
      </c>
      <c r="U1" s="8" t="inlineStr">
        <is>
          <t>eta_p</t>
        </is>
      </c>
      <c r="V1" s="8" t="inlineStr">
        <is>
          <t>eps_hrvg</t>
        </is>
      </c>
      <c r="W1" s="8" t="inlineStr">
        <is>
          <t>eps_reg</t>
        </is>
      </c>
      <c r="X1" s="8" t="inlineStr">
        <is>
          <t>eps_cond</t>
        </is>
      </c>
      <c r="Y1" s="8" t="inlineStr">
        <is>
          <t>T_amb_diseno</t>
        </is>
      </c>
      <c r="Z1" s="8" t="inlineStr">
        <is>
          <t>eta_pct</t>
        </is>
      </c>
      <c r="AA1" s="8" t="inlineStr">
        <is>
          <t>Wnet</t>
        </is>
      </c>
      <c r="AB1" s="8" t="inlineStr">
        <is>
          <t>dP</t>
        </is>
      </c>
      <c r="AC1" s="8" t="inlineStr">
        <is>
          <t>rP</t>
        </is>
      </c>
      <c r="AD1" s="8" t="inlineStr">
        <is>
          <t>codigos_falla</t>
        </is>
      </c>
      <c r="AE1" s="8" t="inlineStr">
        <is>
          <t>variable</t>
        </is>
      </c>
    </row>
    <row r="2">
      <c r="A2" s="16" t="inlineStr">
        <is>
          <t>KF-M01-P_alta-0000</t>
        </is>
      </c>
      <c r="B2" s="16" t="inlineStr">
        <is>
          <t>1.1</t>
        </is>
      </c>
      <c r="C2" s="16" t="inlineStr">
        <is>
          <t>1.1b</t>
        </is>
      </c>
      <c r="D2" s="16" t="inlineStr">
        <is>
          <t>solo P_alta</t>
        </is>
      </c>
      <c r="E2" s="16" t="inlineStr">
        <is>
          <t>KF-M01</t>
        </is>
      </c>
      <c r="F2" s="16" t="inlineStr">
        <is>
          <t>KF-M01-P_alta</t>
        </is>
      </c>
      <c r="G2" s="16" t="inlineStr">
        <is>
          <t>B01</t>
        </is>
      </c>
      <c r="H2" s="16" t="inlineStr">
        <is>
          <t>malla</t>
        </is>
      </c>
      <c r="I2" s="16" t="inlineStr">
        <is>
          <t>NO_CONVERGIO</t>
        </is>
      </c>
      <c r="J2" s="16" t="inlineStr">
        <is>
          <t>NO_CONVERGIO</t>
        </is>
      </c>
      <c r="K2" s="16" t="b">
        <v>0</v>
      </c>
      <c r="L2" s="16" t="b">
        <v>0</v>
      </c>
      <c r="M2" s="16" t="b">
        <v>0</v>
      </c>
      <c r="N2" s="16" t="b">
        <v>0</v>
      </c>
      <c r="O2" s="16" t="n">
        <v>623.15</v>
      </c>
      <c r="P2" s="16" t="n">
        <v>300.032917</v>
      </c>
      <c r="Q2" s="16" t="n">
        <v>2750</v>
      </c>
      <c r="R2" s="16" t="n">
        <v>400</v>
      </c>
      <c r="S2" s="16" t="n">
        <v>0.5</v>
      </c>
      <c r="T2" s="16" t="n">
        <v>0.85</v>
      </c>
      <c r="U2" s="16" t="n">
        <v>0.75</v>
      </c>
      <c r="V2" s="16" t="n">
        <v>0.85</v>
      </c>
      <c r="W2" s="16" t="n">
        <v>0.75</v>
      </c>
      <c r="X2" s="16" t="n">
        <v>0.8</v>
      </c>
      <c r="Y2" s="16" t="n"/>
      <c r="Z2" s="16" t="n"/>
      <c r="AA2" s="16" t="n"/>
      <c r="AB2" s="16" t="n">
        <v>2350</v>
      </c>
      <c r="AC2" s="16" t="n">
        <v>6.875</v>
      </c>
      <c r="AD2" s="16" t="n"/>
      <c r="AE2" s="16" t="n"/>
    </row>
    <row r="3">
      <c r="A3" s="16" t="inlineStr">
        <is>
          <t>KF-M01-P_alta-0001</t>
        </is>
      </c>
      <c r="B3" s="16" t="inlineStr">
        <is>
          <t>1.1</t>
        </is>
      </c>
      <c r="C3" s="16" t="inlineStr">
        <is>
          <t>1.1b</t>
        </is>
      </c>
      <c r="D3" s="16" t="inlineStr">
        <is>
          <t>solo P_alta</t>
        </is>
      </c>
      <c r="E3" s="16" t="inlineStr">
        <is>
          <t>KF-M01</t>
        </is>
      </c>
      <c r="F3" s="16" t="inlineStr">
        <is>
          <t>KF-M01-P_alta</t>
        </is>
      </c>
      <c r="G3" s="16" t="inlineStr">
        <is>
          <t>B01</t>
        </is>
      </c>
      <c r="H3" s="16" t="inlineStr">
        <is>
          <t>malla</t>
        </is>
      </c>
      <c r="I3" s="16" t="inlineStr">
        <is>
          <t>NO_CONVERGIO</t>
        </is>
      </c>
      <c r="J3" s="16" t="inlineStr">
        <is>
          <t>NO_CONVERGIO</t>
        </is>
      </c>
      <c r="K3" s="16" t="b">
        <v>0</v>
      </c>
      <c r="L3" s="16" t="b">
        <v>0</v>
      </c>
      <c r="M3" s="16" t="b">
        <v>0</v>
      </c>
      <c r="N3" s="16" t="b">
        <v>0</v>
      </c>
      <c r="O3" s="16" t="n">
        <v>623.15</v>
      </c>
      <c r="P3" s="16" t="n">
        <v>300.032917</v>
      </c>
      <c r="Q3" s="16" t="n">
        <v>2250</v>
      </c>
      <c r="R3" s="16" t="n">
        <v>400</v>
      </c>
      <c r="S3" s="16" t="n">
        <v>0.5</v>
      </c>
      <c r="T3" s="16" t="n">
        <v>0.85</v>
      </c>
      <c r="U3" s="16" t="n">
        <v>0.75</v>
      </c>
      <c r="V3" s="16" t="n">
        <v>0.85</v>
      </c>
      <c r="W3" s="16" t="n">
        <v>0.75</v>
      </c>
      <c r="X3" s="16" t="n">
        <v>0.8</v>
      </c>
      <c r="Y3" s="16" t="n"/>
      <c r="Z3" s="16" t="n"/>
      <c r="AA3" s="16" t="n"/>
      <c r="AB3" s="16" t="n">
        <v>1850</v>
      </c>
      <c r="AC3" s="16" t="n">
        <v>5.625</v>
      </c>
      <c r="AD3" s="16" t="n"/>
      <c r="AE3" s="16" t="n"/>
    </row>
    <row r="4">
      <c r="A4" s="16" t="inlineStr">
        <is>
          <t>KF-M01-P_alta-0002</t>
        </is>
      </c>
      <c r="B4" s="16" t="inlineStr">
        <is>
          <t>1.1</t>
        </is>
      </c>
      <c r="C4" s="16" t="inlineStr">
        <is>
          <t>1.1b</t>
        </is>
      </c>
      <c r="D4" s="16" t="inlineStr">
        <is>
          <t>solo P_alta</t>
        </is>
      </c>
      <c r="E4" s="16" t="inlineStr">
        <is>
          <t>KF-M01</t>
        </is>
      </c>
      <c r="F4" s="16" t="inlineStr">
        <is>
          <t>KF-M01-P_alta</t>
        </is>
      </c>
      <c r="G4" s="16" t="inlineStr">
        <is>
          <t>B01</t>
        </is>
      </c>
      <c r="H4" s="16" t="inlineStr">
        <is>
          <t>malla</t>
        </is>
      </c>
      <c r="I4" s="16" t="inlineStr">
        <is>
          <t>NO_CONVERGIO</t>
        </is>
      </c>
      <c r="J4" s="16" t="inlineStr">
        <is>
          <t>NO_CONVERGIO</t>
        </is>
      </c>
      <c r="K4" s="16" t="b">
        <v>0</v>
      </c>
      <c r="L4" s="16" t="b">
        <v>0</v>
      </c>
      <c r="M4" s="16" t="b">
        <v>0</v>
      </c>
      <c r="N4" s="16" t="b">
        <v>0</v>
      </c>
      <c r="O4" s="16" t="n">
        <v>623.15</v>
      </c>
      <c r="P4" s="16" t="n">
        <v>300.032917</v>
      </c>
      <c r="Q4" s="16" t="n">
        <v>2500</v>
      </c>
      <c r="R4" s="16" t="n">
        <v>400</v>
      </c>
      <c r="S4" s="16" t="n">
        <v>0.5</v>
      </c>
      <c r="T4" s="16" t="n">
        <v>0.85</v>
      </c>
      <c r="U4" s="16" t="n">
        <v>0.75</v>
      </c>
      <c r="V4" s="16" t="n">
        <v>0.85</v>
      </c>
      <c r="W4" s="16" t="n">
        <v>0.75</v>
      </c>
      <c r="X4" s="16" t="n">
        <v>0.8</v>
      </c>
      <c r="Y4" s="16" t="n"/>
      <c r="Z4" s="16" t="n"/>
      <c r="AA4" s="16" t="n"/>
      <c r="AB4" s="16" t="n">
        <v>2100</v>
      </c>
      <c r="AC4" s="16" t="n">
        <v>6.25</v>
      </c>
      <c r="AD4" s="16" t="n"/>
      <c r="AE4" s="16" t="n"/>
    </row>
    <row r="5">
      <c r="A5" s="16" t="inlineStr">
        <is>
          <t>KF-M01-base-0000</t>
        </is>
      </c>
      <c r="B5" s="16" t="inlineStr">
        <is>
          <t>1.1</t>
        </is>
      </c>
      <c r="C5" s="16" t="inlineStr">
        <is>
          <t>1.1a</t>
        </is>
      </c>
      <c r="D5" s="16" t="inlineStr">
        <is>
          <t>punto del profesor</t>
        </is>
      </c>
      <c r="E5" s="16" t="inlineStr">
        <is>
          <t>KF-M01</t>
        </is>
      </c>
      <c r="F5" s="16" t="inlineStr">
        <is>
          <t>KF-M01-base</t>
        </is>
      </c>
      <c r="G5" s="16" t="inlineStr">
        <is>
          <t>B01</t>
        </is>
      </c>
      <c r="H5" s="16" t="inlineStr">
        <is>
          <t>malla</t>
        </is>
      </c>
      <c r="I5" s="16" t="inlineStr">
        <is>
          <t>NO_CONVERGIO</t>
        </is>
      </c>
      <c r="J5" s="16" t="inlineStr">
        <is>
          <t>NO_CONVERGIO</t>
        </is>
      </c>
      <c r="K5" s="16" t="b">
        <v>0</v>
      </c>
      <c r="L5" s="16" t="b">
        <v>0</v>
      </c>
      <c r="M5" s="16" t="b">
        <v>0</v>
      </c>
      <c r="N5" s="16" t="b">
        <v>0</v>
      </c>
      <c r="O5" s="16" t="n">
        <v>623.15</v>
      </c>
      <c r="P5" s="16" t="n">
        <v>300.032917</v>
      </c>
      <c r="Q5" s="16" t="n">
        <v>3000</v>
      </c>
      <c r="R5" s="16" t="n">
        <v>400</v>
      </c>
      <c r="S5" s="16" t="n">
        <v>0.5</v>
      </c>
      <c r="T5" s="16" t="n">
        <v>0.85</v>
      </c>
      <c r="U5" s="16" t="n">
        <v>0.75</v>
      </c>
      <c r="V5" s="16" t="n">
        <v>0.85</v>
      </c>
      <c r="W5" s="16" t="n">
        <v>0.75</v>
      </c>
      <c r="X5" s="16" t="n">
        <v>0.8</v>
      </c>
      <c r="Y5" s="16" t="n"/>
      <c r="Z5" s="16" t="n"/>
      <c r="AA5" s="16" t="n"/>
      <c r="AB5" s="16" t="n">
        <v>2600</v>
      </c>
      <c r="AC5" s="16" t="n">
        <v>7.5</v>
      </c>
      <c r="AD5" s="16" t="n"/>
      <c r="AE5" s="16" t="n"/>
    </row>
    <row r="6">
      <c r="A6" s="16" t="inlineStr">
        <is>
          <t>KF-M01-P_alta-0003</t>
        </is>
      </c>
      <c r="B6" s="16" t="inlineStr">
        <is>
          <t>1.1</t>
        </is>
      </c>
      <c r="C6" s="16" t="inlineStr">
        <is>
          <t>1.1b</t>
        </is>
      </c>
      <c r="D6" s="16" t="inlineStr">
        <is>
          <t>solo P_alta</t>
        </is>
      </c>
      <c r="E6" s="16" t="inlineStr">
        <is>
          <t>KF-M01</t>
        </is>
      </c>
      <c r="F6" s="16" t="inlineStr">
        <is>
          <t>KF-M01-P_alta</t>
        </is>
      </c>
      <c r="G6" s="16" t="inlineStr">
        <is>
          <t>B01</t>
        </is>
      </c>
      <c r="H6" s="16" t="inlineStr">
        <is>
          <t>malla</t>
        </is>
      </c>
      <c r="I6" s="16" t="inlineStr">
        <is>
          <t>NO_CONVERGIO</t>
        </is>
      </c>
      <c r="J6" s="16" t="inlineStr">
        <is>
          <t>NO_CONVERGIO</t>
        </is>
      </c>
      <c r="K6" s="16" t="b">
        <v>0</v>
      </c>
      <c r="L6" s="16" t="b">
        <v>0</v>
      </c>
      <c r="M6" s="16" t="b">
        <v>0</v>
      </c>
      <c r="N6" s="16" t="b">
        <v>0</v>
      </c>
      <c r="O6" s="16" t="n">
        <v>623.15</v>
      </c>
      <c r="P6" s="16" t="n">
        <v>300.032917</v>
      </c>
      <c r="Q6" s="16" t="n">
        <v>2000</v>
      </c>
      <c r="R6" s="16" t="n">
        <v>400</v>
      </c>
      <c r="S6" s="16" t="n">
        <v>0.5</v>
      </c>
      <c r="T6" s="16" t="n">
        <v>0.85</v>
      </c>
      <c r="U6" s="16" t="n">
        <v>0.75</v>
      </c>
      <c r="V6" s="16" t="n">
        <v>0.85</v>
      </c>
      <c r="W6" s="16" t="n">
        <v>0.75</v>
      </c>
      <c r="X6" s="16" t="n">
        <v>0.8</v>
      </c>
      <c r="Y6" s="16" t="n"/>
      <c r="Z6" s="16" t="n"/>
      <c r="AA6" s="16" t="n"/>
      <c r="AB6" s="16" t="n">
        <v>1600</v>
      </c>
      <c r="AC6" s="16" t="n">
        <v>5</v>
      </c>
      <c r="AD6" s="16" t="n"/>
      <c r="AE6" s="16" t="n"/>
    </row>
    <row r="7">
      <c r="A7" s="16" t="inlineStr">
        <is>
          <t>KF-M01-P_alta-0004</t>
        </is>
      </c>
      <c r="B7" s="16" t="inlineStr">
        <is>
          <t>1.1</t>
        </is>
      </c>
      <c r="C7" s="16" t="inlineStr">
        <is>
          <t>1.1b</t>
        </is>
      </c>
      <c r="D7" s="16" t="inlineStr">
        <is>
          <t>solo P_alta</t>
        </is>
      </c>
      <c r="E7" s="16" t="inlineStr">
        <is>
          <t>KF-M01</t>
        </is>
      </c>
      <c r="F7" s="16" t="inlineStr">
        <is>
          <t>KF-M01-P_alta</t>
        </is>
      </c>
      <c r="G7" s="16" t="inlineStr">
        <is>
          <t>B01</t>
        </is>
      </c>
      <c r="H7" s="16" t="inlineStr">
        <is>
          <t>malla</t>
        </is>
      </c>
      <c r="I7" s="16" t="inlineStr">
        <is>
          <t>NO_CONVERGIO</t>
        </is>
      </c>
      <c r="J7" s="16" t="inlineStr">
        <is>
          <t>NO_CONVERGIO</t>
        </is>
      </c>
      <c r="K7" s="16" t="b">
        <v>0</v>
      </c>
      <c r="L7" s="16" t="b">
        <v>0</v>
      </c>
      <c r="M7" s="16" t="b">
        <v>0</v>
      </c>
      <c r="N7" s="16" t="b">
        <v>0</v>
      </c>
      <c r="O7" s="16" t="n">
        <v>623.15</v>
      </c>
      <c r="P7" s="16" t="n">
        <v>300.032917</v>
      </c>
      <c r="Q7" s="16" t="n">
        <v>3250</v>
      </c>
      <c r="R7" s="16" t="n">
        <v>400</v>
      </c>
      <c r="S7" s="16" t="n">
        <v>0.5</v>
      </c>
      <c r="T7" s="16" t="n">
        <v>0.85</v>
      </c>
      <c r="U7" s="16" t="n">
        <v>0.75</v>
      </c>
      <c r="V7" s="16" t="n">
        <v>0.85</v>
      </c>
      <c r="W7" s="16" t="n">
        <v>0.75</v>
      </c>
      <c r="X7" s="16" t="n">
        <v>0.8</v>
      </c>
      <c r="Y7" s="16" t="n"/>
      <c r="Z7" s="16" t="n"/>
      <c r="AA7" s="16" t="n"/>
      <c r="AB7" s="16" t="n">
        <v>2850</v>
      </c>
      <c r="AC7" s="16" t="n">
        <v>8.125</v>
      </c>
      <c r="AD7" s="16" t="n"/>
      <c r="AE7" s="16" t="n"/>
    </row>
    <row r="8">
      <c r="A8" s="16" t="inlineStr">
        <is>
          <t>KF-M01-P_alta-0005</t>
        </is>
      </c>
      <c r="B8" s="16" t="inlineStr">
        <is>
          <t>1.1</t>
        </is>
      </c>
      <c r="C8" s="16" t="inlineStr">
        <is>
          <t>1.1b</t>
        </is>
      </c>
      <c r="D8" s="16" t="inlineStr">
        <is>
          <t>solo P_alta</t>
        </is>
      </c>
      <c r="E8" s="16" t="inlineStr">
        <is>
          <t>KF-M01</t>
        </is>
      </c>
      <c r="F8" s="16" t="inlineStr">
        <is>
          <t>KF-M01-P_alta</t>
        </is>
      </c>
      <c r="G8" s="16" t="inlineStr">
        <is>
          <t>B01</t>
        </is>
      </c>
      <c r="H8" s="16" t="inlineStr">
        <is>
          <t>malla</t>
        </is>
      </c>
      <c r="I8" s="16" t="inlineStr">
        <is>
          <t>NO_CONVERGIO</t>
        </is>
      </c>
      <c r="J8" s="16" t="inlineStr">
        <is>
          <t>NO_CONVERGIO</t>
        </is>
      </c>
      <c r="K8" s="16" t="b">
        <v>0</v>
      </c>
      <c r="L8" s="16" t="b">
        <v>0</v>
      </c>
      <c r="M8" s="16" t="b">
        <v>0</v>
      </c>
      <c r="N8" s="16" t="b">
        <v>0</v>
      </c>
      <c r="O8" s="16" t="n">
        <v>623.15</v>
      </c>
      <c r="P8" s="16" t="n">
        <v>300.032917</v>
      </c>
      <c r="Q8" s="16" t="n">
        <v>3500</v>
      </c>
      <c r="R8" s="16" t="n">
        <v>400</v>
      </c>
      <c r="S8" s="16" t="n">
        <v>0.5</v>
      </c>
      <c r="T8" s="16" t="n">
        <v>0.85</v>
      </c>
      <c r="U8" s="16" t="n">
        <v>0.75</v>
      </c>
      <c r="V8" s="16" t="n">
        <v>0.85</v>
      </c>
      <c r="W8" s="16" t="n">
        <v>0.75</v>
      </c>
      <c r="X8" s="16" t="n">
        <v>0.8</v>
      </c>
      <c r="Y8" s="16" t="n"/>
      <c r="Z8" s="16" t="n"/>
      <c r="AA8" s="16" t="n"/>
      <c r="AB8" s="16" t="n">
        <v>3100</v>
      </c>
      <c r="AC8" s="16" t="n">
        <v>8.75</v>
      </c>
      <c r="AD8" s="16" t="n"/>
      <c r="AE8" s="16" t="n"/>
    </row>
    <row r="9">
      <c r="A9" s="16" t="inlineStr">
        <is>
          <t>KF-M01-P_alta-0006</t>
        </is>
      </c>
      <c r="B9" s="16" t="inlineStr">
        <is>
          <t>1.1</t>
        </is>
      </c>
      <c r="C9" s="16" t="inlineStr">
        <is>
          <t>1.1b</t>
        </is>
      </c>
      <c r="D9" s="16" t="inlineStr">
        <is>
          <t>solo P_alta</t>
        </is>
      </c>
      <c r="E9" s="16" t="inlineStr">
        <is>
          <t>KF-M01</t>
        </is>
      </c>
      <c r="F9" s="16" t="inlineStr">
        <is>
          <t>KF-M01-P_alta</t>
        </is>
      </c>
      <c r="G9" s="16" t="inlineStr">
        <is>
          <t>B01</t>
        </is>
      </c>
      <c r="H9" s="16" t="inlineStr">
        <is>
          <t>malla</t>
        </is>
      </c>
      <c r="I9" s="16" t="inlineStr">
        <is>
          <t>NO_CONVERGIO</t>
        </is>
      </c>
      <c r="J9" s="16" t="inlineStr">
        <is>
          <t>NO_CONVERGIO</t>
        </is>
      </c>
      <c r="K9" s="16" t="b">
        <v>0</v>
      </c>
      <c r="L9" s="16" t="b">
        <v>0</v>
      </c>
      <c r="M9" s="16" t="b">
        <v>0</v>
      </c>
      <c r="N9" s="16" t="b">
        <v>0</v>
      </c>
      <c r="O9" s="16" t="n">
        <v>623.15</v>
      </c>
      <c r="P9" s="16" t="n">
        <v>300.032917</v>
      </c>
      <c r="Q9" s="16" t="n">
        <v>3000</v>
      </c>
      <c r="R9" s="16" t="n">
        <v>400</v>
      </c>
      <c r="S9" s="16" t="n">
        <v>0.5</v>
      </c>
      <c r="T9" s="16" t="n">
        <v>0.85</v>
      </c>
      <c r="U9" s="16" t="n">
        <v>0.75</v>
      </c>
      <c r="V9" s="16" t="n">
        <v>0.85</v>
      </c>
      <c r="W9" s="16" t="n">
        <v>0.75</v>
      </c>
      <c r="X9" s="16" t="n">
        <v>0.8</v>
      </c>
      <c r="Y9" s="16" t="n"/>
      <c r="Z9" s="16" t="n"/>
      <c r="AA9" s="16" t="n"/>
      <c r="AB9" s="16" t="n">
        <v>2600</v>
      </c>
      <c r="AC9" s="16" t="n">
        <v>7.5</v>
      </c>
      <c r="AD9" s="16" t="n"/>
      <c r="AE9" s="16" t="n"/>
    </row>
    <row r="10">
      <c r="A10" s="16" t="inlineStr">
        <is>
          <t>KF-M01-P_alta-0007</t>
        </is>
      </c>
      <c r="B10" s="16" t="inlineStr">
        <is>
          <t>1.1</t>
        </is>
      </c>
      <c r="C10" s="16" t="inlineStr">
        <is>
          <t>1.1b</t>
        </is>
      </c>
      <c r="D10" s="16" t="inlineStr">
        <is>
          <t>solo P_alta</t>
        </is>
      </c>
      <c r="E10" s="16" t="inlineStr">
        <is>
          <t>KF-M01</t>
        </is>
      </c>
      <c r="F10" s="16" t="inlineStr">
        <is>
          <t>KF-M01-P_alta</t>
        </is>
      </c>
      <c r="G10" s="16" t="inlineStr">
        <is>
          <t>B01</t>
        </is>
      </c>
      <c r="H10" s="16" t="inlineStr">
        <is>
          <t>malla</t>
        </is>
      </c>
      <c r="I10" s="16" t="inlineStr">
        <is>
          <t>NO_CONVERGIO</t>
        </is>
      </c>
      <c r="J10" s="16" t="inlineStr">
        <is>
          <t>NO_CONVERGIO</t>
        </is>
      </c>
      <c r="K10" s="16" t="b">
        <v>0</v>
      </c>
      <c r="L10" s="16" t="b">
        <v>0</v>
      </c>
      <c r="M10" s="16" t="b">
        <v>0</v>
      </c>
      <c r="N10" s="16" t="b">
        <v>0</v>
      </c>
      <c r="O10" s="16" t="n">
        <v>623.15</v>
      </c>
      <c r="P10" s="16" t="n">
        <v>300.032917</v>
      </c>
      <c r="Q10" s="16" t="n">
        <v>3750</v>
      </c>
      <c r="R10" s="16" t="n">
        <v>400</v>
      </c>
      <c r="S10" s="16" t="n">
        <v>0.5</v>
      </c>
      <c r="T10" s="16" t="n">
        <v>0.85</v>
      </c>
      <c r="U10" s="16" t="n">
        <v>0.75</v>
      </c>
      <c r="V10" s="16" t="n">
        <v>0.85</v>
      </c>
      <c r="W10" s="16" t="n">
        <v>0.75</v>
      </c>
      <c r="X10" s="16" t="n">
        <v>0.8</v>
      </c>
      <c r="Y10" s="16" t="n"/>
      <c r="Z10" s="16" t="n"/>
      <c r="AA10" s="16" t="n"/>
      <c r="AB10" s="16" t="n">
        <v>3350</v>
      </c>
      <c r="AC10" s="16" t="n">
        <v>9.375</v>
      </c>
      <c r="AD10" s="16" t="n"/>
      <c r="AE10" s="16" t="n"/>
    </row>
    <row r="11">
      <c r="A11" s="16" t="inlineStr">
        <is>
          <t>KF-M01-x_b-0000</t>
        </is>
      </c>
      <c r="B11" s="16" t="inlineStr">
        <is>
          <t>1.1</t>
        </is>
      </c>
      <c r="C11" s="16" t="inlineStr">
        <is>
          <t>1.1c</t>
        </is>
      </c>
      <c r="D11" s="16" t="inlineStr">
        <is>
          <t>solo x_b</t>
        </is>
      </c>
      <c r="E11" s="16" t="inlineStr">
        <is>
          <t>KF-M01</t>
        </is>
      </c>
      <c r="F11" s="16" t="inlineStr">
        <is>
          <t>KF-M01-x_b</t>
        </is>
      </c>
      <c r="G11" s="16" t="inlineStr">
        <is>
          <t>B01</t>
        </is>
      </c>
      <c r="H11" s="16" t="inlineStr">
        <is>
          <t>malla</t>
        </is>
      </c>
      <c r="I11" s="16" t="inlineStr">
        <is>
          <t>NO_CONVERGIO</t>
        </is>
      </c>
      <c r="J11" s="16" t="inlineStr">
        <is>
          <t>NO_CONVERGIO</t>
        </is>
      </c>
      <c r="K11" s="16" t="b">
        <v>0</v>
      </c>
      <c r="L11" s="16" t="b">
        <v>0</v>
      </c>
      <c r="M11" s="16" t="b">
        <v>0</v>
      </c>
      <c r="N11" s="16" t="b">
        <v>0</v>
      </c>
      <c r="O11" s="16" t="n">
        <v>623.15</v>
      </c>
      <c r="P11" s="16" t="n">
        <v>300.032917</v>
      </c>
      <c r="Q11" s="16" t="n">
        <v>3000</v>
      </c>
      <c r="R11" s="16" t="n">
        <v>400</v>
      </c>
      <c r="S11" s="16" t="n">
        <v>0.4</v>
      </c>
      <c r="T11" s="16" t="n">
        <v>0.85</v>
      </c>
      <c r="U11" s="16" t="n">
        <v>0.75</v>
      </c>
      <c r="V11" s="16" t="n">
        <v>0.85</v>
      </c>
      <c r="W11" s="16" t="n">
        <v>0.75</v>
      </c>
      <c r="X11" s="16" t="n">
        <v>0.8</v>
      </c>
      <c r="Y11" s="16" t="n"/>
      <c r="Z11" s="16" t="n"/>
      <c r="AA11" s="16" t="n"/>
      <c r="AB11" s="16" t="n">
        <v>2600</v>
      </c>
      <c r="AC11" s="16" t="n">
        <v>7.5</v>
      </c>
      <c r="AD11" s="16" t="n"/>
      <c r="AE11" s="16" t="n"/>
    </row>
    <row r="12">
      <c r="A12" s="16" t="inlineStr">
        <is>
          <t>KF-M01-P_alta-0008</t>
        </is>
      </c>
      <c r="B12" s="16" t="inlineStr">
        <is>
          <t>1.1</t>
        </is>
      </c>
      <c r="C12" s="16" t="inlineStr">
        <is>
          <t>1.1b</t>
        </is>
      </c>
      <c r="D12" s="16" t="inlineStr">
        <is>
          <t>solo P_alta</t>
        </is>
      </c>
      <c r="E12" s="16" t="inlineStr">
        <is>
          <t>KF-M01</t>
        </is>
      </c>
      <c r="F12" s="16" t="inlineStr">
        <is>
          <t>KF-M01-P_alta</t>
        </is>
      </c>
      <c r="G12" s="16" t="inlineStr">
        <is>
          <t>B01</t>
        </is>
      </c>
      <c r="H12" s="16" t="inlineStr">
        <is>
          <t>malla</t>
        </is>
      </c>
      <c r="I12" s="16" t="inlineStr">
        <is>
          <t>NO_CONVERGIO</t>
        </is>
      </c>
      <c r="J12" s="16" t="inlineStr">
        <is>
          <t>NO_CONVERGIO</t>
        </is>
      </c>
      <c r="K12" s="16" t="b">
        <v>0</v>
      </c>
      <c r="L12" s="16" t="b">
        <v>0</v>
      </c>
      <c r="M12" s="16" t="b">
        <v>0</v>
      </c>
      <c r="N12" s="16" t="b">
        <v>0</v>
      </c>
      <c r="O12" s="16" t="n">
        <v>623.15</v>
      </c>
      <c r="P12" s="16" t="n">
        <v>300.032917</v>
      </c>
      <c r="Q12" s="16" t="n">
        <v>4000</v>
      </c>
      <c r="R12" s="16" t="n">
        <v>400</v>
      </c>
      <c r="S12" s="16" t="n">
        <v>0.5</v>
      </c>
      <c r="T12" s="16" t="n">
        <v>0.85</v>
      </c>
      <c r="U12" s="16" t="n">
        <v>0.75</v>
      </c>
      <c r="V12" s="16" t="n">
        <v>0.85</v>
      </c>
      <c r="W12" s="16" t="n">
        <v>0.75</v>
      </c>
      <c r="X12" s="16" t="n">
        <v>0.8</v>
      </c>
      <c r="Y12" s="16" t="n"/>
      <c r="Z12" s="16" t="n"/>
      <c r="AA12" s="16" t="n"/>
      <c r="AB12" s="16" t="n">
        <v>3600</v>
      </c>
      <c r="AC12" s="16" t="n">
        <v>10</v>
      </c>
      <c r="AD12" s="16" t="n"/>
      <c r="AE12" s="16" t="n"/>
    </row>
    <row r="13">
      <c r="A13" s="16" t="inlineStr">
        <is>
          <t>KF-M01-x_b-0001</t>
        </is>
      </c>
      <c r="B13" s="16" t="inlineStr">
        <is>
          <t>1.1</t>
        </is>
      </c>
      <c r="C13" s="16" t="inlineStr">
        <is>
          <t>1.1c</t>
        </is>
      </c>
      <c r="D13" s="16" t="inlineStr">
        <is>
          <t>solo x_b</t>
        </is>
      </c>
      <c r="E13" s="16" t="inlineStr">
        <is>
          <t>KF-M01</t>
        </is>
      </c>
      <c r="F13" s="16" t="inlineStr">
        <is>
          <t>KF-M01-x_b</t>
        </is>
      </c>
      <c r="G13" s="16" t="inlineStr">
        <is>
          <t>B01</t>
        </is>
      </c>
      <c r="H13" s="16" t="inlineStr">
        <is>
          <t>malla</t>
        </is>
      </c>
      <c r="I13" s="16" t="inlineStr">
        <is>
          <t>NO_CONVERGIO</t>
        </is>
      </c>
      <c r="J13" s="16" t="inlineStr">
        <is>
          <t>NO_CONVERGIO</t>
        </is>
      </c>
      <c r="K13" s="16" t="b">
        <v>0</v>
      </c>
      <c r="L13" s="16" t="b">
        <v>0</v>
      </c>
      <c r="M13" s="16" t="b">
        <v>0</v>
      </c>
      <c r="N13" s="16" t="b">
        <v>0</v>
      </c>
      <c r="O13" s="16" t="n">
        <v>623.15</v>
      </c>
      <c r="P13" s="16" t="n">
        <v>300.032917</v>
      </c>
      <c r="Q13" s="16" t="n">
        <v>3000</v>
      </c>
      <c r="R13" s="16" t="n">
        <v>400</v>
      </c>
      <c r="S13" s="16" t="n">
        <v>0.45</v>
      </c>
      <c r="T13" s="16" t="n">
        <v>0.85</v>
      </c>
      <c r="U13" s="16" t="n">
        <v>0.75</v>
      </c>
      <c r="V13" s="16" t="n">
        <v>0.85</v>
      </c>
      <c r="W13" s="16" t="n">
        <v>0.75</v>
      </c>
      <c r="X13" s="16" t="n">
        <v>0.8</v>
      </c>
      <c r="Y13" s="16" t="n"/>
      <c r="Z13" s="16" t="n"/>
      <c r="AA13" s="16" t="n"/>
      <c r="AB13" s="16" t="n">
        <v>2600</v>
      </c>
      <c r="AC13" s="16" t="n">
        <v>7.5</v>
      </c>
      <c r="AD13" s="16" t="n"/>
      <c r="AE13" s="16" t="n"/>
    </row>
    <row r="14">
      <c r="A14" s="16" t="inlineStr">
        <is>
          <t>KF-M01-x_b-0002</t>
        </is>
      </c>
      <c r="B14" s="16" t="inlineStr">
        <is>
          <t>1.1</t>
        </is>
      </c>
      <c r="C14" s="16" t="inlineStr">
        <is>
          <t>1.1c</t>
        </is>
      </c>
      <c r="D14" s="16" t="inlineStr">
        <is>
          <t>solo x_b</t>
        </is>
      </c>
      <c r="E14" s="16" t="inlineStr">
        <is>
          <t>KF-M01</t>
        </is>
      </c>
      <c r="F14" s="16" t="inlineStr">
        <is>
          <t>KF-M01-x_b</t>
        </is>
      </c>
      <c r="G14" s="16" t="inlineStr">
        <is>
          <t>B01</t>
        </is>
      </c>
      <c r="H14" s="16" t="inlineStr">
        <is>
          <t>malla</t>
        </is>
      </c>
      <c r="I14" s="16" t="inlineStr">
        <is>
          <t>NO_CONVERGIO</t>
        </is>
      </c>
      <c r="J14" s="16" t="inlineStr">
        <is>
          <t>NO_CONVERGIO</t>
        </is>
      </c>
      <c r="K14" s="16" t="b">
        <v>0</v>
      </c>
      <c r="L14" s="16" t="b">
        <v>0</v>
      </c>
      <c r="M14" s="16" t="b">
        <v>0</v>
      </c>
      <c r="N14" s="16" t="b">
        <v>0</v>
      </c>
      <c r="O14" s="16" t="n">
        <v>623.15</v>
      </c>
      <c r="P14" s="16" t="n">
        <v>300.032917</v>
      </c>
      <c r="Q14" s="16" t="n">
        <v>3000</v>
      </c>
      <c r="R14" s="16" t="n">
        <v>400</v>
      </c>
      <c r="S14" s="16" t="n">
        <v>0.5</v>
      </c>
      <c r="T14" s="16" t="n">
        <v>0.85</v>
      </c>
      <c r="U14" s="16" t="n">
        <v>0.75</v>
      </c>
      <c r="V14" s="16" t="n">
        <v>0.85</v>
      </c>
      <c r="W14" s="16" t="n">
        <v>0.75</v>
      </c>
      <c r="X14" s="16" t="n">
        <v>0.8</v>
      </c>
      <c r="Y14" s="16" t="n"/>
      <c r="Z14" s="16" t="n"/>
      <c r="AA14" s="16" t="n"/>
      <c r="AB14" s="16" t="n">
        <v>2600</v>
      </c>
      <c r="AC14" s="16" t="n">
        <v>7.5</v>
      </c>
      <c r="AD14" s="16" t="n"/>
      <c r="AE14" s="16" t="n"/>
    </row>
    <row r="15">
      <c r="A15" s="16" t="inlineStr">
        <is>
          <t>KF-M01-x_b-0003</t>
        </is>
      </c>
      <c r="B15" s="16" t="inlineStr">
        <is>
          <t>1.1</t>
        </is>
      </c>
      <c r="C15" s="16" t="inlineStr">
        <is>
          <t>1.1c</t>
        </is>
      </c>
      <c r="D15" s="16" t="inlineStr">
        <is>
          <t>solo x_b</t>
        </is>
      </c>
      <c r="E15" s="16" t="inlineStr">
        <is>
          <t>KF-M01</t>
        </is>
      </c>
      <c r="F15" s="16" t="inlineStr">
        <is>
          <t>KF-M01-x_b</t>
        </is>
      </c>
      <c r="G15" s="16" t="inlineStr">
        <is>
          <t>B01</t>
        </is>
      </c>
      <c r="H15" s="16" t="inlineStr">
        <is>
          <t>malla</t>
        </is>
      </c>
      <c r="I15" s="16" t="inlineStr">
        <is>
          <t>NO_CONVERGIO</t>
        </is>
      </c>
      <c r="J15" s="16" t="inlineStr">
        <is>
          <t>NO_CONVERGIO</t>
        </is>
      </c>
      <c r="K15" s="16" t="b">
        <v>0</v>
      </c>
      <c r="L15" s="16" t="b">
        <v>0</v>
      </c>
      <c r="M15" s="16" t="b">
        <v>0</v>
      </c>
      <c r="N15" s="16" t="b">
        <v>0</v>
      </c>
      <c r="O15" s="16" t="n">
        <v>623.15</v>
      </c>
      <c r="P15" s="16" t="n">
        <v>300.032917</v>
      </c>
      <c r="Q15" s="16" t="n">
        <v>3000</v>
      </c>
      <c r="R15" s="16" t="n">
        <v>400</v>
      </c>
      <c r="S15" s="16" t="n">
        <v>0.55</v>
      </c>
      <c r="T15" s="16" t="n">
        <v>0.85</v>
      </c>
      <c r="U15" s="16" t="n">
        <v>0.75</v>
      </c>
      <c r="V15" s="16" t="n">
        <v>0.85</v>
      </c>
      <c r="W15" s="16" t="n">
        <v>0.75</v>
      </c>
      <c r="X15" s="16" t="n">
        <v>0.8</v>
      </c>
      <c r="Y15" s="16" t="n"/>
      <c r="Z15" s="16" t="n"/>
      <c r="AA15" s="16" t="n"/>
      <c r="AB15" s="16" t="n">
        <v>2600</v>
      </c>
      <c r="AC15" s="16" t="n">
        <v>7.5</v>
      </c>
      <c r="AD15" s="16" t="n"/>
      <c r="AE15" s="16" t="n"/>
    </row>
    <row r="16">
      <c r="A16" s="16" t="inlineStr">
        <is>
          <t>KF-M01-x_b-0004</t>
        </is>
      </c>
      <c r="B16" s="16" t="inlineStr">
        <is>
          <t>1.1</t>
        </is>
      </c>
      <c r="C16" s="16" t="inlineStr">
        <is>
          <t>1.1c</t>
        </is>
      </c>
      <c r="D16" s="16" t="inlineStr">
        <is>
          <t>solo x_b</t>
        </is>
      </c>
      <c r="E16" s="16" t="inlineStr">
        <is>
          <t>KF-M01</t>
        </is>
      </c>
      <c r="F16" s="16" t="inlineStr">
        <is>
          <t>KF-M01-x_b</t>
        </is>
      </c>
      <c r="G16" s="16" t="inlineStr">
        <is>
          <t>B01</t>
        </is>
      </c>
      <c r="H16" s="16" t="inlineStr">
        <is>
          <t>malla</t>
        </is>
      </c>
      <c r="I16" s="16" t="inlineStr">
        <is>
          <t>NO_CONVERGIO</t>
        </is>
      </c>
      <c r="J16" s="16" t="inlineStr">
        <is>
          <t>NO_CONVERGIO</t>
        </is>
      </c>
      <c r="K16" s="16" t="b">
        <v>0</v>
      </c>
      <c r="L16" s="16" t="b">
        <v>0</v>
      </c>
      <c r="M16" s="16" t="b">
        <v>0</v>
      </c>
      <c r="N16" s="16" t="b">
        <v>0</v>
      </c>
      <c r="O16" s="16" t="n">
        <v>623.15</v>
      </c>
      <c r="P16" s="16" t="n">
        <v>300.032917</v>
      </c>
      <c r="Q16" s="16" t="n">
        <v>3000</v>
      </c>
      <c r="R16" s="16" t="n">
        <v>400</v>
      </c>
      <c r="S16" s="16" t="n">
        <v>0.6</v>
      </c>
      <c r="T16" s="16" t="n">
        <v>0.85</v>
      </c>
      <c r="U16" s="16" t="n">
        <v>0.75</v>
      </c>
      <c r="V16" s="16" t="n">
        <v>0.85</v>
      </c>
      <c r="W16" s="16" t="n">
        <v>0.75</v>
      </c>
      <c r="X16" s="16" t="n">
        <v>0.8</v>
      </c>
      <c r="Y16" s="16" t="n"/>
      <c r="Z16" s="16" t="n"/>
      <c r="AA16" s="16" t="n"/>
      <c r="AB16" s="16" t="n">
        <v>2600</v>
      </c>
      <c r="AC16" s="16" t="n">
        <v>7.5</v>
      </c>
      <c r="AD16" s="16" t="n"/>
      <c r="AE16" s="16" t="n"/>
    </row>
    <row r="17">
      <c r="A17" s="16" t="inlineStr">
        <is>
          <t>KF-M01-x_b-0005</t>
        </is>
      </c>
      <c r="B17" s="16" t="inlineStr">
        <is>
          <t>1.1</t>
        </is>
      </c>
      <c r="C17" s="16" t="inlineStr">
        <is>
          <t>1.1c</t>
        </is>
      </c>
      <c r="D17" s="16" t="inlineStr">
        <is>
          <t>solo x_b</t>
        </is>
      </c>
      <c r="E17" s="16" t="inlineStr">
        <is>
          <t>KF-M01</t>
        </is>
      </c>
      <c r="F17" s="16" t="inlineStr">
        <is>
          <t>KF-M01-x_b</t>
        </is>
      </c>
      <c r="G17" s="16" t="inlineStr">
        <is>
          <t>B01</t>
        </is>
      </c>
      <c r="H17" s="16" t="inlineStr">
        <is>
          <t>malla</t>
        </is>
      </c>
      <c r="I17" s="16" t="inlineStr">
        <is>
          <t>NO_CONVERGIO</t>
        </is>
      </c>
      <c r="J17" s="16" t="inlineStr">
        <is>
          <t>NO_CONVERGIO</t>
        </is>
      </c>
      <c r="K17" s="16" t="b">
        <v>0</v>
      </c>
      <c r="L17" s="16" t="b">
        <v>0</v>
      </c>
      <c r="M17" s="16" t="b">
        <v>0</v>
      </c>
      <c r="N17" s="16" t="b">
        <v>0</v>
      </c>
      <c r="O17" s="16" t="n">
        <v>623.15</v>
      </c>
      <c r="P17" s="16" t="n">
        <v>300.032917</v>
      </c>
      <c r="Q17" s="16" t="n">
        <v>3000</v>
      </c>
      <c r="R17" s="16" t="n">
        <v>400</v>
      </c>
      <c r="S17" s="16" t="n">
        <v>0.65</v>
      </c>
      <c r="T17" s="16" t="n">
        <v>0.85</v>
      </c>
      <c r="U17" s="16" t="n">
        <v>0.75</v>
      </c>
      <c r="V17" s="16" t="n">
        <v>0.85</v>
      </c>
      <c r="W17" s="16" t="n">
        <v>0.75</v>
      </c>
      <c r="X17" s="16" t="n">
        <v>0.8</v>
      </c>
      <c r="Y17" s="16" t="n"/>
      <c r="Z17" s="16" t="n"/>
      <c r="AA17" s="16" t="n"/>
      <c r="AB17" s="16" t="n">
        <v>2600</v>
      </c>
      <c r="AC17" s="16" t="n">
        <v>7.5</v>
      </c>
      <c r="AD17" s="16" t="n"/>
      <c r="AE17" s="16" t="n"/>
    </row>
    <row r="18">
      <c r="A18" s="16" t="inlineStr">
        <is>
          <t>KF-M01-x_b-0006</t>
        </is>
      </c>
      <c r="B18" s="16" t="inlineStr">
        <is>
          <t>1.1</t>
        </is>
      </c>
      <c r="C18" s="16" t="inlineStr">
        <is>
          <t>1.1c</t>
        </is>
      </c>
      <c r="D18" s="16" t="inlineStr">
        <is>
          <t>solo x_b</t>
        </is>
      </c>
      <c r="E18" s="16" t="inlineStr">
        <is>
          <t>KF-M01</t>
        </is>
      </c>
      <c r="F18" s="16" t="inlineStr">
        <is>
          <t>KF-M01-x_b</t>
        </is>
      </c>
      <c r="G18" s="16" t="inlineStr">
        <is>
          <t>B01</t>
        </is>
      </c>
      <c r="H18" s="16" t="inlineStr">
        <is>
          <t>malla</t>
        </is>
      </c>
      <c r="I18" s="16" t="inlineStr">
        <is>
          <t>NO_CONVERGIO</t>
        </is>
      </c>
      <c r="J18" s="16" t="inlineStr">
        <is>
          <t>NO_CONVERGIO</t>
        </is>
      </c>
      <c r="K18" s="16" t="b">
        <v>0</v>
      </c>
      <c r="L18" s="16" t="b">
        <v>0</v>
      </c>
      <c r="M18" s="16" t="b">
        <v>0</v>
      </c>
      <c r="N18" s="16" t="b">
        <v>0</v>
      </c>
      <c r="O18" s="16" t="n">
        <v>623.15</v>
      </c>
      <c r="P18" s="16" t="n">
        <v>300.032917</v>
      </c>
      <c r="Q18" s="16" t="n">
        <v>3000</v>
      </c>
      <c r="R18" s="16" t="n">
        <v>400</v>
      </c>
      <c r="S18" s="16" t="n">
        <v>0.7</v>
      </c>
      <c r="T18" s="16" t="n">
        <v>0.85</v>
      </c>
      <c r="U18" s="16" t="n">
        <v>0.75</v>
      </c>
      <c r="V18" s="16" t="n">
        <v>0.85</v>
      </c>
      <c r="W18" s="16" t="n">
        <v>0.75</v>
      </c>
      <c r="X18" s="16" t="n">
        <v>0.8</v>
      </c>
      <c r="Y18" s="16" t="n"/>
      <c r="Z18" s="16" t="n"/>
      <c r="AA18" s="16" t="n"/>
      <c r="AB18" s="16" t="n">
        <v>2600</v>
      </c>
      <c r="AC18" s="16" t="n">
        <v>7.5</v>
      </c>
      <c r="AD18" s="16" t="n"/>
      <c r="AE18" s="16" t="n"/>
    </row>
    <row r="19">
      <c r="A19" s="16" t="inlineStr">
        <is>
          <t>KF-M01-base-0001</t>
        </is>
      </c>
      <c r="B19" s="16" t="inlineStr">
        <is>
          <t>1.1</t>
        </is>
      </c>
      <c r="C19" s="16" t="inlineStr">
        <is>
          <t>1.1a</t>
        </is>
      </c>
      <c r="D19" s="16" t="inlineStr">
        <is>
          <t>punto del profesor</t>
        </is>
      </c>
      <c r="E19" s="16" t="inlineStr">
        <is>
          <t>KF-M01</t>
        </is>
      </c>
      <c r="F19" s="16" t="inlineStr">
        <is>
          <t>KF-M01-base</t>
        </is>
      </c>
      <c r="G19" s="16" t="inlineStr">
        <is>
          <t>B01</t>
        </is>
      </c>
      <c r="H19" s="16" t="inlineStr">
        <is>
          <t>malla</t>
        </is>
      </c>
      <c r="I19" s="16" t="inlineStr">
        <is>
          <t>NO_CONVERGIO</t>
        </is>
      </c>
      <c r="J19" s="16" t="inlineStr">
        <is>
          <t>NO_CONVERGIO</t>
        </is>
      </c>
      <c r="K19" s="16" t="b">
        <v>0</v>
      </c>
      <c r="L19" s="16" t="b">
        <v>0</v>
      </c>
      <c r="M19" s="16" t="b">
        <v>0</v>
      </c>
      <c r="N19" s="16" t="b">
        <v>0</v>
      </c>
      <c r="O19" s="16" t="n">
        <v>623.15</v>
      </c>
      <c r="P19" s="16" t="n">
        <v>300.032917</v>
      </c>
      <c r="Q19" s="16" t="n">
        <v>3000</v>
      </c>
      <c r="R19" s="16" t="n">
        <v>400</v>
      </c>
      <c r="S19" s="16" t="n">
        <v>0.5</v>
      </c>
      <c r="T19" s="16" t="n">
        <v>0.85</v>
      </c>
      <c r="U19" s="16" t="n">
        <v>0.75</v>
      </c>
      <c r="V19" s="16" t="n">
        <v>0.85</v>
      </c>
      <c r="W19" s="16" t="n">
        <v>0.75</v>
      </c>
      <c r="X19" s="16" t="n">
        <v>0.8</v>
      </c>
      <c r="Y19" s="16" t="n"/>
      <c r="Z19" s="16" t="n"/>
      <c r="AA19" s="16" t="n"/>
      <c r="AB19" s="16" t="n">
        <v>2600</v>
      </c>
      <c r="AC19" s="16" t="n">
        <v>7.5</v>
      </c>
      <c r="AD19" s="16" t="n"/>
      <c r="AE19" s="16" t="n"/>
    </row>
    <row r="20">
      <c r="A20" s="16" t="inlineStr">
        <is>
          <t>KF-M01-T_amb-0000</t>
        </is>
      </c>
      <c r="B20" s="16" t="inlineStr">
        <is>
          <t>1.1</t>
        </is>
      </c>
      <c r="C20" s="16" t="inlineStr">
        <is>
          <t>1.1d</t>
        </is>
      </c>
      <c r="D20" s="16" t="inlineStr">
        <is>
          <t>temperatura ambiente hora a hora</t>
        </is>
      </c>
      <c r="E20" s="16" t="inlineStr">
        <is>
          <t>KF-M01</t>
        </is>
      </c>
      <c r="F20" s="16" t="inlineStr">
        <is>
          <t>KF-M01-T_amb</t>
        </is>
      </c>
      <c r="G20" s="16" t="inlineStr">
        <is>
          <t>B01</t>
        </is>
      </c>
      <c r="H20" s="16" t="inlineStr">
        <is>
          <t>malla</t>
        </is>
      </c>
      <c r="I20" s="16" t="inlineStr">
        <is>
          <t>NO_CONVERGIO</t>
        </is>
      </c>
      <c r="J20" s="16" t="inlineStr">
        <is>
          <t>NO_CONVERGIO</t>
        </is>
      </c>
      <c r="K20" s="16" t="b">
        <v>0</v>
      </c>
      <c r="L20" s="16" t="b">
        <v>0</v>
      </c>
      <c r="M20" s="16" t="b">
        <v>0</v>
      </c>
      <c r="N20" s="16" t="b">
        <v>0</v>
      </c>
      <c r="O20" s="16" t="n">
        <v>623.15</v>
      </c>
      <c r="P20" s="16" t="n">
        <v>299.4</v>
      </c>
      <c r="Q20" s="16" t="n">
        <v>3000</v>
      </c>
      <c r="R20" s="16" t="n">
        <v>400</v>
      </c>
      <c r="S20" s="16" t="n">
        <v>0.5</v>
      </c>
      <c r="T20" s="16" t="n">
        <v>0.85</v>
      </c>
      <c r="U20" s="16" t="n">
        <v>0.75</v>
      </c>
      <c r="V20" s="16" t="n">
        <v>0.85</v>
      </c>
      <c r="W20" s="16" t="n">
        <v>0.75</v>
      </c>
      <c r="X20" s="16" t="n">
        <v>0.8</v>
      </c>
      <c r="Y20" s="16" t="n"/>
      <c r="Z20" s="16" t="n"/>
      <c r="AA20" s="16" t="n"/>
      <c r="AB20" s="16" t="n">
        <v>2600</v>
      </c>
      <c r="AC20" s="16" t="n">
        <v>7.5</v>
      </c>
      <c r="AD20" s="16" t="n"/>
      <c r="AE20" s="16" t="n"/>
    </row>
    <row r="21">
      <c r="A21" s="16" t="inlineStr">
        <is>
          <t>KF-M01-T_amb-0001</t>
        </is>
      </c>
      <c r="B21" s="16" t="inlineStr">
        <is>
          <t>1.1</t>
        </is>
      </c>
      <c r="C21" s="16" t="inlineStr">
        <is>
          <t>1.1d</t>
        </is>
      </c>
      <c r="D21" s="16" t="inlineStr">
        <is>
          <t>temperatura ambiente hora a hora</t>
        </is>
      </c>
      <c r="E21" s="16" t="inlineStr">
        <is>
          <t>KF-M01</t>
        </is>
      </c>
      <c r="F21" s="16" t="inlineStr">
        <is>
          <t>KF-M01-T_amb</t>
        </is>
      </c>
      <c r="G21" s="16" t="inlineStr">
        <is>
          <t>B01</t>
        </is>
      </c>
      <c r="H21" s="16" t="inlineStr">
        <is>
          <t>malla</t>
        </is>
      </c>
      <c r="I21" s="16" t="inlineStr">
        <is>
          <t>NO_CONVERGIO</t>
        </is>
      </c>
      <c r="J21" s="16" t="inlineStr">
        <is>
          <t>NO_CONVERGIO</t>
        </is>
      </c>
      <c r="K21" s="16" t="b">
        <v>0</v>
      </c>
      <c r="L21" s="16" t="b">
        <v>0</v>
      </c>
      <c r="M21" s="16" t="b">
        <v>0</v>
      </c>
      <c r="N21" s="16" t="b">
        <v>0</v>
      </c>
      <c r="O21" s="16" t="n">
        <v>623.15</v>
      </c>
      <c r="P21" s="16" t="n">
        <v>299.2</v>
      </c>
      <c r="Q21" s="16" t="n">
        <v>3000</v>
      </c>
      <c r="R21" s="16" t="n">
        <v>400</v>
      </c>
      <c r="S21" s="16" t="n">
        <v>0.5</v>
      </c>
      <c r="T21" s="16" t="n">
        <v>0.85</v>
      </c>
      <c r="U21" s="16" t="n">
        <v>0.75</v>
      </c>
      <c r="V21" s="16" t="n">
        <v>0.85</v>
      </c>
      <c r="W21" s="16" t="n">
        <v>0.75</v>
      </c>
      <c r="X21" s="16" t="n">
        <v>0.8</v>
      </c>
      <c r="Y21" s="16" t="n"/>
      <c r="Z21" s="16" t="n"/>
      <c r="AA21" s="16" t="n"/>
      <c r="AB21" s="16" t="n">
        <v>2600</v>
      </c>
      <c r="AC21" s="16" t="n">
        <v>7.5</v>
      </c>
      <c r="AD21" s="16" t="n"/>
      <c r="AE21" s="16" t="n"/>
    </row>
    <row r="22">
      <c r="A22" s="16" t="inlineStr">
        <is>
          <t>KF-M01-T_amb-0002</t>
        </is>
      </c>
      <c r="B22" s="16" t="inlineStr">
        <is>
          <t>1.1</t>
        </is>
      </c>
      <c r="C22" s="16" t="inlineStr">
        <is>
          <t>1.1d</t>
        </is>
      </c>
      <c r="D22" s="16" t="inlineStr">
        <is>
          <t>temperatura ambiente hora a hora</t>
        </is>
      </c>
      <c r="E22" s="16" t="inlineStr">
        <is>
          <t>KF-M01</t>
        </is>
      </c>
      <c r="F22" s="16" t="inlineStr">
        <is>
          <t>KF-M01-T_amb</t>
        </is>
      </c>
      <c r="G22" s="16" t="inlineStr">
        <is>
          <t>B01</t>
        </is>
      </c>
      <c r="H22" s="16" t="inlineStr">
        <is>
          <t>malla</t>
        </is>
      </c>
      <c r="I22" s="16" t="inlineStr">
        <is>
          <t>NO_CONVERGIO</t>
        </is>
      </c>
      <c r="J22" s="16" t="inlineStr">
        <is>
          <t>NO_CONVERGIO</t>
        </is>
      </c>
      <c r="K22" s="16" t="b">
        <v>0</v>
      </c>
      <c r="L22" s="16" t="b">
        <v>0</v>
      </c>
      <c r="M22" s="16" t="b">
        <v>0</v>
      </c>
      <c r="N22" s="16" t="b">
        <v>0</v>
      </c>
      <c r="O22" s="16" t="n">
        <v>623.15</v>
      </c>
      <c r="P22" s="16" t="n">
        <v>299.1</v>
      </c>
      <c r="Q22" s="16" t="n">
        <v>3000</v>
      </c>
      <c r="R22" s="16" t="n">
        <v>400</v>
      </c>
      <c r="S22" s="16" t="n">
        <v>0.5</v>
      </c>
      <c r="T22" s="16" t="n">
        <v>0.85</v>
      </c>
      <c r="U22" s="16" t="n">
        <v>0.75</v>
      </c>
      <c r="V22" s="16" t="n">
        <v>0.85</v>
      </c>
      <c r="W22" s="16" t="n">
        <v>0.75</v>
      </c>
      <c r="X22" s="16" t="n">
        <v>0.8</v>
      </c>
      <c r="Y22" s="16" t="n"/>
      <c r="Z22" s="16" t="n"/>
      <c r="AA22" s="16" t="n"/>
      <c r="AB22" s="16" t="n">
        <v>2600</v>
      </c>
      <c r="AC22" s="16" t="n">
        <v>7.5</v>
      </c>
      <c r="AD22" s="16" t="n"/>
      <c r="AE22" s="16" t="n"/>
    </row>
    <row r="23">
      <c r="A23" s="16" t="inlineStr">
        <is>
          <t>KF-M01-T_amb-0003</t>
        </is>
      </c>
      <c r="B23" s="16" t="inlineStr">
        <is>
          <t>1.1</t>
        </is>
      </c>
      <c r="C23" s="16" t="inlineStr">
        <is>
          <t>1.1d</t>
        </is>
      </c>
      <c r="D23" s="16" t="inlineStr">
        <is>
          <t>temperatura ambiente hora a hora</t>
        </is>
      </c>
      <c r="E23" s="16" t="inlineStr">
        <is>
          <t>KF-M01</t>
        </is>
      </c>
      <c r="F23" s="16" t="inlineStr">
        <is>
          <t>KF-M01-T_amb</t>
        </is>
      </c>
      <c r="G23" s="16" t="inlineStr">
        <is>
          <t>B01</t>
        </is>
      </c>
      <c r="H23" s="16" t="inlineStr">
        <is>
          <t>malla</t>
        </is>
      </c>
      <c r="I23" s="16" t="inlineStr">
        <is>
          <t>NO_CONVERGIO</t>
        </is>
      </c>
      <c r="J23" s="16" t="inlineStr">
        <is>
          <t>NO_CONVERGIO</t>
        </is>
      </c>
      <c r="K23" s="16" t="b">
        <v>0</v>
      </c>
      <c r="L23" s="16" t="b">
        <v>0</v>
      </c>
      <c r="M23" s="16" t="b">
        <v>0</v>
      </c>
      <c r="N23" s="16" t="b">
        <v>0</v>
      </c>
      <c r="O23" s="16" t="n">
        <v>623.15</v>
      </c>
      <c r="P23" s="16" t="n">
        <v>298.95</v>
      </c>
      <c r="Q23" s="16" t="n">
        <v>3000</v>
      </c>
      <c r="R23" s="16" t="n">
        <v>400</v>
      </c>
      <c r="S23" s="16" t="n">
        <v>0.5</v>
      </c>
      <c r="T23" s="16" t="n">
        <v>0.85</v>
      </c>
      <c r="U23" s="16" t="n">
        <v>0.75</v>
      </c>
      <c r="V23" s="16" t="n">
        <v>0.85</v>
      </c>
      <c r="W23" s="16" t="n">
        <v>0.75</v>
      </c>
      <c r="X23" s="16" t="n">
        <v>0.8</v>
      </c>
      <c r="Y23" s="16" t="n"/>
      <c r="Z23" s="16" t="n"/>
      <c r="AA23" s="16" t="n"/>
      <c r="AB23" s="16" t="n">
        <v>2600</v>
      </c>
      <c r="AC23" s="16" t="n">
        <v>7.5</v>
      </c>
      <c r="AD23" s="16" t="n"/>
      <c r="AE23" s="16" t="n"/>
    </row>
    <row r="24">
      <c r="A24" s="16" t="inlineStr">
        <is>
          <t>KF-M01-T_amb-0004</t>
        </is>
      </c>
      <c r="B24" s="16" t="inlineStr">
        <is>
          <t>1.1</t>
        </is>
      </c>
      <c r="C24" s="16" t="inlineStr">
        <is>
          <t>1.1d</t>
        </is>
      </c>
      <c r="D24" s="16" t="inlineStr">
        <is>
          <t>temperatura ambiente hora a hora</t>
        </is>
      </c>
      <c r="E24" s="16" t="inlineStr">
        <is>
          <t>KF-M01</t>
        </is>
      </c>
      <c r="F24" s="16" t="inlineStr">
        <is>
          <t>KF-M01-T_amb</t>
        </is>
      </c>
      <c r="G24" s="16" t="inlineStr">
        <is>
          <t>B01</t>
        </is>
      </c>
      <c r="H24" s="16" t="inlineStr">
        <is>
          <t>malla</t>
        </is>
      </c>
      <c r="I24" s="16" t="inlineStr">
        <is>
          <t>NO_CONVERGIO</t>
        </is>
      </c>
      <c r="J24" s="16" t="inlineStr">
        <is>
          <t>NO_CONVERGIO</t>
        </is>
      </c>
      <c r="K24" s="16" t="b">
        <v>0</v>
      </c>
      <c r="L24" s="16" t="b">
        <v>0</v>
      </c>
      <c r="M24" s="16" t="b">
        <v>0</v>
      </c>
      <c r="N24" s="16" t="b">
        <v>0</v>
      </c>
      <c r="O24" s="16" t="n">
        <v>623.15</v>
      </c>
      <c r="P24" s="16" t="n">
        <v>298.9</v>
      </c>
      <c r="Q24" s="16" t="n">
        <v>3000</v>
      </c>
      <c r="R24" s="16" t="n">
        <v>400</v>
      </c>
      <c r="S24" s="16" t="n">
        <v>0.5</v>
      </c>
      <c r="T24" s="16" t="n">
        <v>0.85</v>
      </c>
      <c r="U24" s="16" t="n">
        <v>0.75</v>
      </c>
      <c r="V24" s="16" t="n">
        <v>0.85</v>
      </c>
      <c r="W24" s="16" t="n">
        <v>0.75</v>
      </c>
      <c r="X24" s="16" t="n">
        <v>0.8</v>
      </c>
      <c r="Y24" s="16" t="n"/>
      <c r="Z24" s="16" t="n"/>
      <c r="AA24" s="16" t="n"/>
      <c r="AB24" s="16" t="n">
        <v>2600</v>
      </c>
      <c r="AC24" s="16" t="n">
        <v>7.5</v>
      </c>
      <c r="AD24" s="16" t="n"/>
      <c r="AE24" s="16" t="n"/>
    </row>
    <row r="25">
      <c r="A25" s="16" t="inlineStr">
        <is>
          <t>KF-M01-T_amb-0005</t>
        </is>
      </c>
      <c r="B25" s="16" t="inlineStr">
        <is>
          <t>1.1</t>
        </is>
      </c>
      <c r="C25" s="16" t="inlineStr">
        <is>
          <t>1.1d</t>
        </is>
      </c>
      <c r="D25" s="16" t="inlineStr">
        <is>
          <t>temperatura ambiente hora a hora</t>
        </is>
      </c>
      <c r="E25" s="16" t="inlineStr">
        <is>
          <t>KF-M01</t>
        </is>
      </c>
      <c r="F25" s="16" t="inlineStr">
        <is>
          <t>KF-M01-T_amb</t>
        </is>
      </c>
      <c r="G25" s="16" t="inlineStr">
        <is>
          <t>B01</t>
        </is>
      </c>
      <c r="H25" s="16" t="inlineStr">
        <is>
          <t>malla</t>
        </is>
      </c>
      <c r="I25" s="16" t="inlineStr">
        <is>
          <t>NO_CONVERGIO</t>
        </is>
      </c>
      <c r="J25" s="16" t="inlineStr">
        <is>
          <t>NO_CONVERGIO</t>
        </is>
      </c>
      <c r="K25" s="16" t="b">
        <v>0</v>
      </c>
      <c r="L25" s="16" t="b">
        <v>0</v>
      </c>
      <c r="M25" s="16" t="b">
        <v>0</v>
      </c>
      <c r="N25" s="16" t="b">
        <v>0</v>
      </c>
      <c r="O25" s="16" t="n">
        <v>623.15</v>
      </c>
      <c r="P25" s="16" t="n">
        <v>298.7</v>
      </c>
      <c r="Q25" s="16" t="n">
        <v>3000</v>
      </c>
      <c r="R25" s="16" t="n">
        <v>400</v>
      </c>
      <c r="S25" s="16" t="n">
        <v>0.5</v>
      </c>
      <c r="T25" s="16" t="n">
        <v>0.85</v>
      </c>
      <c r="U25" s="16" t="n">
        <v>0.75</v>
      </c>
      <c r="V25" s="16" t="n">
        <v>0.85</v>
      </c>
      <c r="W25" s="16" t="n">
        <v>0.75</v>
      </c>
      <c r="X25" s="16" t="n">
        <v>0.8</v>
      </c>
      <c r="Y25" s="16" t="n"/>
      <c r="Z25" s="16" t="n"/>
      <c r="AA25" s="16" t="n"/>
      <c r="AB25" s="16" t="n">
        <v>2600</v>
      </c>
      <c r="AC25" s="16" t="n">
        <v>7.5</v>
      </c>
      <c r="AD25" s="16" t="n"/>
      <c r="AE25" s="16" t="n"/>
    </row>
    <row r="26">
      <c r="A26" s="16" t="inlineStr">
        <is>
          <t>KF-M01-T_amb-0006</t>
        </is>
      </c>
      <c r="B26" s="16" t="inlineStr">
        <is>
          <t>1.1</t>
        </is>
      </c>
      <c r="C26" s="16" t="inlineStr">
        <is>
          <t>1.1d</t>
        </is>
      </c>
      <c r="D26" s="16" t="inlineStr">
        <is>
          <t>temperatura ambiente hora a hora</t>
        </is>
      </c>
      <c r="E26" s="16" t="inlineStr">
        <is>
          <t>KF-M01</t>
        </is>
      </c>
      <c r="F26" s="16" t="inlineStr">
        <is>
          <t>KF-M01-T_amb</t>
        </is>
      </c>
      <c r="G26" s="16" t="inlineStr">
        <is>
          <t>B01</t>
        </is>
      </c>
      <c r="H26" s="16" t="inlineStr">
        <is>
          <t>malla</t>
        </is>
      </c>
      <c r="I26" s="16" t="inlineStr">
        <is>
          <t>NO_CONVERGIO</t>
        </is>
      </c>
      <c r="J26" s="16" t="inlineStr">
        <is>
          <t>NO_CONVERGIO</t>
        </is>
      </c>
      <c r="K26" s="16" t="b">
        <v>0</v>
      </c>
      <c r="L26" s="16" t="b">
        <v>0</v>
      </c>
      <c r="M26" s="16" t="b">
        <v>0</v>
      </c>
      <c r="N26" s="16" t="b">
        <v>0</v>
      </c>
      <c r="O26" s="16" t="n">
        <v>623.15</v>
      </c>
      <c r="P26" s="16" t="n">
        <v>298.5</v>
      </c>
      <c r="Q26" s="16" t="n">
        <v>3000</v>
      </c>
      <c r="R26" s="16" t="n">
        <v>400</v>
      </c>
      <c r="S26" s="16" t="n">
        <v>0.5</v>
      </c>
      <c r="T26" s="16" t="n">
        <v>0.85</v>
      </c>
      <c r="U26" s="16" t="n">
        <v>0.75</v>
      </c>
      <c r="V26" s="16" t="n">
        <v>0.85</v>
      </c>
      <c r="W26" s="16" t="n">
        <v>0.75</v>
      </c>
      <c r="X26" s="16" t="n">
        <v>0.8</v>
      </c>
      <c r="Y26" s="16" t="n"/>
      <c r="Z26" s="16" t="n"/>
      <c r="AA26" s="16" t="n"/>
      <c r="AB26" s="16" t="n">
        <v>2600</v>
      </c>
      <c r="AC26" s="16" t="n">
        <v>7.5</v>
      </c>
      <c r="AD26" s="16" t="n"/>
      <c r="AE26" s="16" t="n"/>
    </row>
    <row r="27">
      <c r="A27" s="16" t="inlineStr">
        <is>
          <t>KF-M01-T_amb-0007</t>
        </is>
      </c>
      <c r="B27" s="16" t="inlineStr">
        <is>
          <t>1.1</t>
        </is>
      </c>
      <c r="C27" s="16" t="inlineStr">
        <is>
          <t>1.1d</t>
        </is>
      </c>
      <c r="D27" s="16" t="inlineStr">
        <is>
          <t>temperatura ambiente hora a hora</t>
        </is>
      </c>
      <c r="E27" s="16" t="inlineStr">
        <is>
          <t>KF-M01</t>
        </is>
      </c>
      <c r="F27" s="16" t="inlineStr">
        <is>
          <t>KF-M01-T_amb</t>
        </is>
      </c>
      <c r="G27" s="16" t="inlineStr">
        <is>
          <t>B01</t>
        </is>
      </c>
      <c r="H27" s="16" t="inlineStr">
        <is>
          <t>malla</t>
        </is>
      </c>
      <c r="I27" s="16" t="inlineStr">
        <is>
          <t>NO_CONVERGIO</t>
        </is>
      </c>
      <c r="J27" s="16" t="inlineStr">
        <is>
          <t>NO_CONVERGIO</t>
        </is>
      </c>
      <c r="K27" s="16" t="b">
        <v>0</v>
      </c>
      <c r="L27" s="16" t="b">
        <v>0</v>
      </c>
      <c r="M27" s="16" t="b">
        <v>0</v>
      </c>
      <c r="N27" s="16" t="b">
        <v>0</v>
      </c>
      <c r="O27" s="16" t="n">
        <v>623.15</v>
      </c>
      <c r="P27" s="16" t="n">
        <v>298.3</v>
      </c>
      <c r="Q27" s="16" t="n">
        <v>3000</v>
      </c>
      <c r="R27" s="16" t="n">
        <v>400</v>
      </c>
      <c r="S27" s="16" t="n">
        <v>0.5</v>
      </c>
      <c r="T27" s="16" t="n">
        <v>0.85</v>
      </c>
      <c r="U27" s="16" t="n">
        <v>0.75</v>
      </c>
      <c r="V27" s="16" t="n">
        <v>0.85</v>
      </c>
      <c r="W27" s="16" t="n">
        <v>0.75</v>
      </c>
      <c r="X27" s="16" t="n">
        <v>0.8</v>
      </c>
      <c r="Y27" s="16" t="n"/>
      <c r="Z27" s="16" t="n"/>
      <c r="AA27" s="16" t="n"/>
      <c r="AB27" s="16" t="n">
        <v>2600</v>
      </c>
      <c r="AC27" s="16" t="n">
        <v>7.5</v>
      </c>
      <c r="AD27" s="16" t="n"/>
      <c r="AE27" s="16" t="n"/>
    </row>
    <row r="28">
      <c r="A28" s="16" t="inlineStr">
        <is>
          <t>KF-M01-T_amb-0008</t>
        </is>
      </c>
      <c r="B28" s="16" t="inlineStr">
        <is>
          <t>1.1</t>
        </is>
      </c>
      <c r="C28" s="16" t="inlineStr">
        <is>
          <t>1.1d</t>
        </is>
      </c>
      <c r="D28" s="16" t="inlineStr">
        <is>
          <t>temperatura ambiente hora a hora</t>
        </is>
      </c>
      <c r="E28" s="16" t="inlineStr">
        <is>
          <t>KF-M01</t>
        </is>
      </c>
      <c r="F28" s="16" t="inlineStr">
        <is>
          <t>KF-M01-T_amb</t>
        </is>
      </c>
      <c r="G28" s="16" t="inlineStr">
        <is>
          <t>B01</t>
        </is>
      </c>
      <c r="H28" s="16" t="inlineStr">
        <is>
          <t>malla</t>
        </is>
      </c>
      <c r="I28" s="16" t="inlineStr">
        <is>
          <t>NO_CONVERGIO</t>
        </is>
      </c>
      <c r="J28" s="16" t="inlineStr">
        <is>
          <t>NO_CONVERGIO</t>
        </is>
      </c>
      <c r="K28" s="16" t="b">
        <v>0</v>
      </c>
      <c r="L28" s="16" t="b">
        <v>0</v>
      </c>
      <c r="M28" s="16" t="b">
        <v>0</v>
      </c>
      <c r="N28" s="16" t="b">
        <v>0</v>
      </c>
      <c r="O28" s="16" t="n">
        <v>623.15</v>
      </c>
      <c r="P28" s="16" t="n">
        <v>298.2</v>
      </c>
      <c r="Q28" s="16" t="n">
        <v>3000</v>
      </c>
      <c r="R28" s="16" t="n">
        <v>400</v>
      </c>
      <c r="S28" s="16" t="n">
        <v>0.5</v>
      </c>
      <c r="T28" s="16" t="n">
        <v>0.85</v>
      </c>
      <c r="U28" s="16" t="n">
        <v>0.75</v>
      </c>
      <c r="V28" s="16" t="n">
        <v>0.85</v>
      </c>
      <c r="W28" s="16" t="n">
        <v>0.75</v>
      </c>
      <c r="X28" s="16" t="n">
        <v>0.8</v>
      </c>
      <c r="Y28" s="16" t="n"/>
      <c r="Z28" s="16" t="n"/>
      <c r="AA28" s="16" t="n"/>
      <c r="AB28" s="16" t="n">
        <v>2600</v>
      </c>
      <c r="AC28" s="16" t="n">
        <v>7.5</v>
      </c>
      <c r="AD28" s="16" t="n"/>
      <c r="AE28" s="16" t="n"/>
    </row>
    <row r="29">
      <c r="A29" s="16" t="inlineStr">
        <is>
          <t>KF-M01-T_amb-0009</t>
        </is>
      </c>
      <c r="B29" s="16" t="inlineStr">
        <is>
          <t>1.1</t>
        </is>
      </c>
      <c r="C29" s="16" t="inlineStr">
        <is>
          <t>1.1d</t>
        </is>
      </c>
      <c r="D29" s="16" t="inlineStr">
        <is>
          <t>temperatura ambiente hora a hora</t>
        </is>
      </c>
      <c r="E29" s="16" t="inlineStr">
        <is>
          <t>KF-M01</t>
        </is>
      </c>
      <c r="F29" s="16" t="inlineStr">
        <is>
          <t>KF-M01-T_amb</t>
        </is>
      </c>
      <c r="G29" s="16" t="inlineStr">
        <is>
          <t>B01</t>
        </is>
      </c>
      <c r="H29" s="16" t="inlineStr">
        <is>
          <t>malla</t>
        </is>
      </c>
      <c r="I29" s="16" t="inlineStr">
        <is>
          <t>NO_CONVERGIO</t>
        </is>
      </c>
      <c r="J29" s="16" t="inlineStr">
        <is>
          <t>NO_CONVERGIO</t>
        </is>
      </c>
      <c r="K29" s="16" t="b">
        <v>0</v>
      </c>
      <c r="L29" s="16" t="b">
        <v>0</v>
      </c>
      <c r="M29" s="16" t="b">
        <v>0</v>
      </c>
      <c r="N29" s="16" t="b">
        <v>0</v>
      </c>
      <c r="O29" s="16" t="n">
        <v>623.15</v>
      </c>
      <c r="P29" s="16" t="n">
        <v>298</v>
      </c>
      <c r="Q29" s="16" t="n">
        <v>3000</v>
      </c>
      <c r="R29" s="16" t="n">
        <v>400</v>
      </c>
      <c r="S29" s="16" t="n">
        <v>0.5</v>
      </c>
      <c r="T29" s="16" t="n">
        <v>0.85</v>
      </c>
      <c r="U29" s="16" t="n">
        <v>0.75</v>
      </c>
      <c r="V29" s="16" t="n">
        <v>0.85</v>
      </c>
      <c r="W29" s="16" t="n">
        <v>0.75</v>
      </c>
      <c r="X29" s="16" t="n">
        <v>0.8</v>
      </c>
      <c r="Y29" s="16" t="n"/>
      <c r="Z29" s="16" t="n"/>
      <c r="AA29" s="16" t="n"/>
      <c r="AB29" s="16" t="n">
        <v>2600</v>
      </c>
      <c r="AC29" s="16" t="n">
        <v>7.5</v>
      </c>
      <c r="AD29" s="16" t="n"/>
      <c r="AE29" s="16" t="n"/>
    </row>
    <row r="30">
      <c r="A30" s="16" t="inlineStr">
        <is>
          <t>KF-M01-T_amb-0010</t>
        </is>
      </c>
      <c r="B30" s="16" t="inlineStr">
        <is>
          <t>1.1</t>
        </is>
      </c>
      <c r="C30" s="16" t="inlineStr">
        <is>
          <t>1.1d</t>
        </is>
      </c>
      <c r="D30" s="16" t="inlineStr">
        <is>
          <t>temperatura ambiente hora a hora</t>
        </is>
      </c>
      <c r="E30" s="16" t="inlineStr">
        <is>
          <t>KF-M01</t>
        </is>
      </c>
      <c r="F30" s="16" t="inlineStr">
        <is>
          <t>KF-M01-T_amb</t>
        </is>
      </c>
      <c r="G30" s="16" t="inlineStr">
        <is>
          <t>B01</t>
        </is>
      </c>
      <c r="H30" s="16" t="inlineStr">
        <is>
          <t>malla</t>
        </is>
      </c>
      <c r="I30" s="16" t="inlineStr">
        <is>
          <t>NO_CONVERGIO</t>
        </is>
      </c>
      <c r="J30" s="16" t="inlineStr">
        <is>
          <t>NO_CONVERGIO</t>
        </is>
      </c>
      <c r="K30" s="16" t="b">
        <v>0</v>
      </c>
      <c r="L30" s="16" t="b">
        <v>0</v>
      </c>
      <c r="M30" s="16" t="b">
        <v>0</v>
      </c>
      <c r="N30" s="16" t="b">
        <v>0</v>
      </c>
      <c r="O30" s="16" t="n">
        <v>623.15</v>
      </c>
      <c r="P30" s="16" t="n">
        <v>297.95</v>
      </c>
      <c r="Q30" s="16" t="n">
        <v>3000</v>
      </c>
      <c r="R30" s="16" t="n">
        <v>400</v>
      </c>
      <c r="S30" s="16" t="n">
        <v>0.5</v>
      </c>
      <c r="T30" s="16" t="n">
        <v>0.85</v>
      </c>
      <c r="U30" s="16" t="n">
        <v>0.75</v>
      </c>
      <c r="V30" s="16" t="n">
        <v>0.85</v>
      </c>
      <c r="W30" s="16" t="n">
        <v>0.75</v>
      </c>
      <c r="X30" s="16" t="n">
        <v>0.8</v>
      </c>
      <c r="Y30" s="16" t="n"/>
      <c r="Z30" s="16" t="n"/>
      <c r="AA30" s="16" t="n"/>
      <c r="AB30" s="16" t="n">
        <v>2600</v>
      </c>
      <c r="AC30" s="16" t="n">
        <v>7.5</v>
      </c>
      <c r="AD30" s="16" t="n"/>
      <c r="AE30" s="16" t="n"/>
    </row>
    <row r="31">
      <c r="A31" s="16" t="inlineStr">
        <is>
          <t>KF-M01-T_amb-0011</t>
        </is>
      </c>
      <c r="B31" s="16" t="inlineStr">
        <is>
          <t>1.1</t>
        </is>
      </c>
      <c r="C31" s="16" t="inlineStr">
        <is>
          <t>1.1d</t>
        </is>
      </c>
      <c r="D31" s="16" t="inlineStr">
        <is>
          <t>temperatura ambiente hora a hora</t>
        </is>
      </c>
      <c r="E31" s="16" t="inlineStr">
        <is>
          <t>KF-M01</t>
        </is>
      </c>
      <c r="F31" s="16" t="inlineStr">
        <is>
          <t>KF-M01-T_amb</t>
        </is>
      </c>
      <c r="G31" s="16" t="inlineStr">
        <is>
          <t>B01</t>
        </is>
      </c>
      <c r="H31" s="16" t="inlineStr">
        <is>
          <t>malla</t>
        </is>
      </c>
      <c r="I31" s="16" t="inlineStr">
        <is>
          <t>NO_CONVERGIO</t>
        </is>
      </c>
      <c r="J31" s="16" t="inlineStr">
        <is>
          <t>NO_CONVERGIO</t>
        </is>
      </c>
      <c r="K31" s="16" t="b">
        <v>0</v>
      </c>
      <c r="L31" s="16" t="b">
        <v>0</v>
      </c>
      <c r="M31" s="16" t="b">
        <v>0</v>
      </c>
      <c r="N31" s="16" t="b">
        <v>0</v>
      </c>
      <c r="O31" s="16" t="n">
        <v>623.15</v>
      </c>
      <c r="P31" s="16" t="n">
        <v>300.485</v>
      </c>
      <c r="Q31" s="16" t="n">
        <v>3000</v>
      </c>
      <c r="R31" s="16" t="n">
        <v>400</v>
      </c>
      <c r="S31" s="16" t="n">
        <v>0.5</v>
      </c>
      <c r="T31" s="16" t="n">
        <v>0.85</v>
      </c>
      <c r="U31" s="16" t="n">
        <v>0.75</v>
      </c>
      <c r="V31" s="16" t="n">
        <v>0.85</v>
      </c>
      <c r="W31" s="16" t="n">
        <v>0.75</v>
      </c>
      <c r="X31" s="16" t="n">
        <v>0.8</v>
      </c>
      <c r="Y31" s="16" t="n"/>
      <c r="Z31" s="16" t="n"/>
      <c r="AA31" s="16" t="n"/>
      <c r="AB31" s="16" t="n">
        <v>2600</v>
      </c>
      <c r="AC31" s="16" t="n">
        <v>7.5</v>
      </c>
      <c r="AD31" s="16" t="n"/>
      <c r="AE31" s="16" t="n"/>
    </row>
    <row r="32">
      <c r="A32" s="16" t="inlineStr">
        <is>
          <t>KF-M01-T_amb-0012</t>
        </is>
      </c>
      <c r="B32" s="16" t="inlineStr">
        <is>
          <t>1.1</t>
        </is>
      </c>
      <c r="C32" s="16" t="inlineStr">
        <is>
          <t>1.1d</t>
        </is>
      </c>
      <c r="D32" s="16" t="inlineStr">
        <is>
          <t>temperatura ambiente hora a hora</t>
        </is>
      </c>
      <c r="E32" s="16" t="inlineStr">
        <is>
          <t>KF-M01</t>
        </is>
      </c>
      <c r="F32" s="16" t="inlineStr">
        <is>
          <t>KF-M01-T_amb</t>
        </is>
      </c>
      <c r="G32" s="16" t="inlineStr">
        <is>
          <t>B01</t>
        </is>
      </c>
      <c r="H32" s="16" t="inlineStr">
        <is>
          <t>malla</t>
        </is>
      </c>
      <c r="I32" s="16" t="inlineStr">
        <is>
          <t>NO_CONVERGIO</t>
        </is>
      </c>
      <c r="J32" s="16" t="inlineStr">
        <is>
          <t>NO_CONVERGIO</t>
        </is>
      </c>
      <c r="K32" s="16" t="b">
        <v>0</v>
      </c>
      <c r="L32" s="16" t="b">
        <v>0</v>
      </c>
      <c r="M32" s="16" t="b">
        <v>0</v>
      </c>
      <c r="N32" s="16" t="b">
        <v>0</v>
      </c>
      <c r="O32" s="16" t="n">
        <v>623.15</v>
      </c>
      <c r="P32" s="16" t="n">
        <v>298.65</v>
      </c>
      <c r="Q32" s="16" t="n">
        <v>3000</v>
      </c>
      <c r="R32" s="16" t="n">
        <v>400</v>
      </c>
      <c r="S32" s="16" t="n">
        <v>0.5</v>
      </c>
      <c r="T32" s="16" t="n">
        <v>0.85</v>
      </c>
      <c r="U32" s="16" t="n">
        <v>0.75</v>
      </c>
      <c r="V32" s="16" t="n">
        <v>0.85</v>
      </c>
      <c r="W32" s="16" t="n">
        <v>0.75</v>
      </c>
      <c r="X32" s="16" t="n">
        <v>0.8</v>
      </c>
      <c r="Y32" s="16" t="n"/>
      <c r="Z32" s="16" t="n"/>
      <c r="AA32" s="16" t="n"/>
      <c r="AB32" s="16" t="n">
        <v>2600</v>
      </c>
      <c r="AC32" s="16" t="n">
        <v>7.5</v>
      </c>
      <c r="AD32" s="16" t="n"/>
      <c r="AE32" s="16" t="n"/>
    </row>
    <row r="33">
      <c r="A33" s="16" t="inlineStr">
        <is>
          <t>KF-M01-T_amb-0013</t>
        </is>
      </c>
      <c r="B33" s="16" t="inlineStr">
        <is>
          <t>1.1</t>
        </is>
      </c>
      <c r="C33" s="16" t="inlineStr">
        <is>
          <t>1.1d</t>
        </is>
      </c>
      <c r="D33" s="16" t="inlineStr">
        <is>
          <t>temperatura ambiente hora a hora</t>
        </is>
      </c>
      <c r="E33" s="16" t="inlineStr">
        <is>
          <t>KF-M01</t>
        </is>
      </c>
      <c r="F33" s="16" t="inlineStr">
        <is>
          <t>KF-M01-T_amb</t>
        </is>
      </c>
      <c r="G33" s="16" t="inlineStr">
        <is>
          <t>B01</t>
        </is>
      </c>
      <c r="H33" s="16" t="inlineStr">
        <is>
          <t>malla</t>
        </is>
      </c>
      <c r="I33" s="16" t="inlineStr">
        <is>
          <t>NO_CONVERGIO</t>
        </is>
      </c>
      <c r="J33" s="16" t="inlineStr">
        <is>
          <t>NO_CONVERGIO</t>
        </is>
      </c>
      <c r="K33" s="16" t="b">
        <v>0</v>
      </c>
      <c r="L33" s="16" t="b">
        <v>0</v>
      </c>
      <c r="M33" s="16" t="b">
        <v>0</v>
      </c>
      <c r="N33" s="16" t="b">
        <v>0</v>
      </c>
      <c r="O33" s="16" t="n">
        <v>623.15</v>
      </c>
      <c r="P33" s="16" t="n">
        <v>301.55</v>
      </c>
      <c r="Q33" s="16" t="n">
        <v>3000</v>
      </c>
      <c r="R33" s="16" t="n">
        <v>400</v>
      </c>
      <c r="S33" s="16" t="n">
        <v>0.5</v>
      </c>
      <c r="T33" s="16" t="n">
        <v>0.85</v>
      </c>
      <c r="U33" s="16" t="n">
        <v>0.75</v>
      </c>
      <c r="V33" s="16" t="n">
        <v>0.85</v>
      </c>
      <c r="W33" s="16" t="n">
        <v>0.75</v>
      </c>
      <c r="X33" s="16" t="n">
        <v>0.8</v>
      </c>
      <c r="Y33" s="16" t="n"/>
      <c r="Z33" s="16" t="n"/>
      <c r="AA33" s="16" t="n"/>
      <c r="AB33" s="16" t="n">
        <v>2600</v>
      </c>
      <c r="AC33" s="16" t="n">
        <v>7.5</v>
      </c>
      <c r="AD33" s="16" t="n"/>
      <c r="AE33" s="16" t="n"/>
    </row>
    <row r="34">
      <c r="A34" s="16" t="inlineStr">
        <is>
          <t>KF-M01-T_amb-0014</t>
        </is>
      </c>
      <c r="B34" s="16" t="inlineStr">
        <is>
          <t>1.1</t>
        </is>
      </c>
      <c r="C34" s="16" t="inlineStr">
        <is>
          <t>1.1d</t>
        </is>
      </c>
      <c r="D34" s="16" t="inlineStr">
        <is>
          <t>temperatura ambiente hora a hora</t>
        </is>
      </c>
      <c r="E34" s="16" t="inlineStr">
        <is>
          <t>KF-M01</t>
        </is>
      </c>
      <c r="F34" s="16" t="inlineStr">
        <is>
          <t>KF-M01-T_amb</t>
        </is>
      </c>
      <c r="G34" s="16" t="inlineStr">
        <is>
          <t>B01</t>
        </is>
      </c>
      <c r="H34" s="16" t="inlineStr">
        <is>
          <t>malla</t>
        </is>
      </c>
      <c r="I34" s="16" t="inlineStr">
        <is>
          <t>NO_CONVERGIO</t>
        </is>
      </c>
      <c r="J34" s="16" t="inlineStr">
        <is>
          <t>NO_CONVERGIO</t>
        </is>
      </c>
      <c r="K34" s="16" t="b">
        <v>0</v>
      </c>
      <c r="L34" s="16" t="b">
        <v>0</v>
      </c>
      <c r="M34" s="16" t="b">
        <v>0</v>
      </c>
      <c r="N34" s="16" t="b">
        <v>0</v>
      </c>
      <c r="O34" s="16" t="n">
        <v>623.15</v>
      </c>
      <c r="P34" s="16" t="n">
        <v>302.4</v>
      </c>
      <c r="Q34" s="16" t="n">
        <v>3000</v>
      </c>
      <c r="R34" s="16" t="n">
        <v>400</v>
      </c>
      <c r="S34" s="16" t="n">
        <v>0.5</v>
      </c>
      <c r="T34" s="16" t="n">
        <v>0.85</v>
      </c>
      <c r="U34" s="16" t="n">
        <v>0.75</v>
      </c>
      <c r="V34" s="16" t="n">
        <v>0.85</v>
      </c>
      <c r="W34" s="16" t="n">
        <v>0.75</v>
      </c>
      <c r="X34" s="16" t="n">
        <v>0.8</v>
      </c>
      <c r="Y34" s="16" t="n"/>
      <c r="Z34" s="16" t="n"/>
      <c r="AA34" s="16" t="n"/>
      <c r="AB34" s="16" t="n">
        <v>2600</v>
      </c>
      <c r="AC34" s="16" t="n">
        <v>7.5</v>
      </c>
      <c r="AD34" s="16" t="n"/>
      <c r="AE34" s="16" t="n"/>
    </row>
    <row r="35">
      <c r="A35" s="16" t="inlineStr">
        <is>
          <t>KF-M01-T_amb-0015</t>
        </is>
      </c>
      <c r="B35" s="16" t="inlineStr">
        <is>
          <t>1.1</t>
        </is>
      </c>
      <c r="C35" s="16" t="inlineStr">
        <is>
          <t>1.1d</t>
        </is>
      </c>
      <c r="D35" s="16" t="inlineStr">
        <is>
          <t>temperatura ambiente hora a hora</t>
        </is>
      </c>
      <c r="E35" s="16" t="inlineStr">
        <is>
          <t>KF-M01</t>
        </is>
      </c>
      <c r="F35" s="16" t="inlineStr">
        <is>
          <t>KF-M01-T_amb</t>
        </is>
      </c>
      <c r="G35" s="16" t="inlineStr">
        <is>
          <t>B01</t>
        </is>
      </c>
      <c r="H35" s="16" t="inlineStr">
        <is>
          <t>malla</t>
        </is>
      </c>
      <c r="I35" s="16" t="inlineStr">
        <is>
          <t>NO_CONVERGIO</t>
        </is>
      </c>
      <c r="J35" s="16" t="inlineStr">
        <is>
          <t>NO_CONVERGIO</t>
        </is>
      </c>
      <c r="K35" s="16" t="b">
        <v>0</v>
      </c>
      <c r="L35" s="16" t="b">
        <v>0</v>
      </c>
      <c r="M35" s="16" t="b">
        <v>0</v>
      </c>
      <c r="N35" s="16" t="b">
        <v>0</v>
      </c>
      <c r="O35" s="16" t="n">
        <v>623.15</v>
      </c>
      <c r="P35" s="16" t="n">
        <v>303.1</v>
      </c>
      <c r="Q35" s="16" t="n">
        <v>3000</v>
      </c>
      <c r="R35" s="16" t="n">
        <v>400</v>
      </c>
      <c r="S35" s="16" t="n">
        <v>0.5</v>
      </c>
      <c r="T35" s="16" t="n">
        <v>0.85</v>
      </c>
      <c r="U35" s="16" t="n">
        <v>0.75</v>
      </c>
      <c r="V35" s="16" t="n">
        <v>0.85</v>
      </c>
      <c r="W35" s="16" t="n">
        <v>0.75</v>
      </c>
      <c r="X35" s="16" t="n">
        <v>0.8</v>
      </c>
      <c r="Y35" s="16" t="n"/>
      <c r="Z35" s="16" t="n"/>
      <c r="AA35" s="16" t="n"/>
      <c r="AB35" s="16" t="n">
        <v>2600</v>
      </c>
      <c r="AC35" s="16" t="n">
        <v>7.5</v>
      </c>
      <c r="AD35" s="16" t="n"/>
      <c r="AE35" s="16" t="n"/>
    </row>
    <row r="36">
      <c r="A36" s="16" t="inlineStr">
        <is>
          <t>KF-M01-T_amb-0016</t>
        </is>
      </c>
      <c r="B36" s="16" t="inlineStr">
        <is>
          <t>1.1</t>
        </is>
      </c>
      <c r="C36" s="16" t="inlineStr">
        <is>
          <t>1.1d</t>
        </is>
      </c>
      <c r="D36" s="16" t="inlineStr">
        <is>
          <t>temperatura ambiente hora a hora</t>
        </is>
      </c>
      <c r="E36" s="16" t="inlineStr">
        <is>
          <t>KF-M01</t>
        </is>
      </c>
      <c r="F36" s="16" t="inlineStr">
        <is>
          <t>KF-M01-T_amb</t>
        </is>
      </c>
      <c r="G36" s="16" t="inlineStr">
        <is>
          <t>B01</t>
        </is>
      </c>
      <c r="H36" s="16" t="inlineStr">
        <is>
          <t>malla</t>
        </is>
      </c>
      <c r="I36" s="16" t="inlineStr">
        <is>
          <t>NO_CONVERGIO</t>
        </is>
      </c>
      <c r="J36" s="16" t="inlineStr">
        <is>
          <t>NO_CONVERGIO</t>
        </is>
      </c>
      <c r="K36" s="16" t="b">
        <v>0</v>
      </c>
      <c r="L36" s="16" t="b">
        <v>0</v>
      </c>
      <c r="M36" s="16" t="b">
        <v>0</v>
      </c>
      <c r="N36" s="16" t="b">
        <v>0</v>
      </c>
      <c r="O36" s="16" t="n">
        <v>623.15</v>
      </c>
      <c r="P36" s="16" t="n">
        <v>303.55</v>
      </c>
      <c r="Q36" s="16" t="n">
        <v>3000</v>
      </c>
      <c r="R36" s="16" t="n">
        <v>400</v>
      </c>
      <c r="S36" s="16" t="n">
        <v>0.5</v>
      </c>
      <c r="T36" s="16" t="n">
        <v>0.85</v>
      </c>
      <c r="U36" s="16" t="n">
        <v>0.75</v>
      </c>
      <c r="V36" s="16" t="n">
        <v>0.85</v>
      </c>
      <c r="W36" s="16" t="n">
        <v>0.75</v>
      </c>
      <c r="X36" s="16" t="n">
        <v>0.8</v>
      </c>
      <c r="Y36" s="16" t="n"/>
      <c r="Z36" s="16" t="n"/>
      <c r="AA36" s="16" t="n"/>
      <c r="AB36" s="16" t="n">
        <v>2600</v>
      </c>
      <c r="AC36" s="16" t="n">
        <v>7.5</v>
      </c>
      <c r="AD36" s="16" t="n"/>
      <c r="AE36" s="16" t="n"/>
    </row>
    <row r="37">
      <c r="A37" s="16" t="inlineStr">
        <is>
          <t>KF-M01-T_amb-0017</t>
        </is>
      </c>
      <c r="B37" s="16" t="inlineStr">
        <is>
          <t>1.1</t>
        </is>
      </c>
      <c r="C37" s="16" t="inlineStr">
        <is>
          <t>1.1d</t>
        </is>
      </c>
      <c r="D37" s="16" t="inlineStr">
        <is>
          <t>temperatura ambiente hora a hora</t>
        </is>
      </c>
      <c r="E37" s="16" t="inlineStr">
        <is>
          <t>KF-M01</t>
        </is>
      </c>
      <c r="F37" s="16" t="inlineStr">
        <is>
          <t>KF-M01-T_amb</t>
        </is>
      </c>
      <c r="G37" s="16" t="inlineStr">
        <is>
          <t>B01</t>
        </is>
      </c>
      <c r="H37" s="16" t="inlineStr">
        <is>
          <t>malla</t>
        </is>
      </c>
      <c r="I37" s="16" t="inlineStr">
        <is>
          <t>NO_CONVERGIO</t>
        </is>
      </c>
      <c r="J37" s="16" t="inlineStr">
        <is>
          <t>NO_CONVERGIO</t>
        </is>
      </c>
      <c r="K37" s="16" t="b">
        <v>0</v>
      </c>
      <c r="L37" s="16" t="b">
        <v>0</v>
      </c>
      <c r="M37" s="16" t="b">
        <v>0</v>
      </c>
      <c r="N37" s="16" t="b">
        <v>0</v>
      </c>
      <c r="O37" s="16" t="n">
        <v>623.15</v>
      </c>
      <c r="P37" s="16" t="n">
        <v>302.9</v>
      </c>
      <c r="Q37" s="16" t="n">
        <v>3000</v>
      </c>
      <c r="R37" s="16" t="n">
        <v>400</v>
      </c>
      <c r="S37" s="16" t="n">
        <v>0.5</v>
      </c>
      <c r="T37" s="16" t="n">
        <v>0.85</v>
      </c>
      <c r="U37" s="16" t="n">
        <v>0.75</v>
      </c>
      <c r="V37" s="16" t="n">
        <v>0.85</v>
      </c>
      <c r="W37" s="16" t="n">
        <v>0.75</v>
      </c>
      <c r="X37" s="16" t="n">
        <v>0.8</v>
      </c>
      <c r="Y37" s="16" t="n"/>
      <c r="Z37" s="16" t="n"/>
      <c r="AA37" s="16" t="n"/>
      <c r="AB37" s="16" t="n">
        <v>2600</v>
      </c>
      <c r="AC37" s="16" t="n">
        <v>7.5</v>
      </c>
      <c r="AD37" s="16" t="n"/>
      <c r="AE37" s="16" t="n"/>
    </row>
    <row r="38">
      <c r="A38" s="16" t="inlineStr">
        <is>
          <t>KF-M01-T_amb-0018</t>
        </is>
      </c>
      <c r="B38" s="16" t="inlineStr">
        <is>
          <t>1.1</t>
        </is>
      </c>
      <c r="C38" s="16" t="inlineStr">
        <is>
          <t>1.1d</t>
        </is>
      </c>
      <c r="D38" s="16" t="inlineStr">
        <is>
          <t>temperatura ambiente hora a hora</t>
        </is>
      </c>
      <c r="E38" s="16" t="inlineStr">
        <is>
          <t>KF-M01</t>
        </is>
      </c>
      <c r="F38" s="16" t="inlineStr">
        <is>
          <t>KF-M01-T_amb</t>
        </is>
      </c>
      <c r="G38" s="16" t="inlineStr">
        <is>
          <t>B01</t>
        </is>
      </c>
      <c r="H38" s="16" t="inlineStr">
        <is>
          <t>malla</t>
        </is>
      </c>
      <c r="I38" s="16" t="inlineStr">
        <is>
          <t>NO_CONVERGIO</t>
        </is>
      </c>
      <c r="J38" s="16" t="inlineStr">
        <is>
          <t>NO_CONVERGIO</t>
        </is>
      </c>
      <c r="K38" s="16" t="b">
        <v>0</v>
      </c>
      <c r="L38" s="16" t="b">
        <v>0</v>
      </c>
      <c r="M38" s="16" t="b">
        <v>0</v>
      </c>
      <c r="N38" s="16" t="b">
        <v>0</v>
      </c>
      <c r="O38" s="16" t="n">
        <v>623.15</v>
      </c>
      <c r="P38" s="16" t="n">
        <v>302.25</v>
      </c>
      <c r="Q38" s="16" t="n">
        <v>3000</v>
      </c>
      <c r="R38" s="16" t="n">
        <v>400</v>
      </c>
      <c r="S38" s="16" t="n">
        <v>0.5</v>
      </c>
      <c r="T38" s="16" t="n">
        <v>0.85</v>
      </c>
      <c r="U38" s="16" t="n">
        <v>0.75</v>
      </c>
      <c r="V38" s="16" t="n">
        <v>0.85</v>
      </c>
      <c r="W38" s="16" t="n">
        <v>0.75</v>
      </c>
      <c r="X38" s="16" t="n">
        <v>0.8</v>
      </c>
      <c r="Y38" s="16" t="n"/>
      <c r="Z38" s="16" t="n"/>
      <c r="AA38" s="16" t="n"/>
      <c r="AB38" s="16" t="n">
        <v>2600</v>
      </c>
      <c r="AC38" s="16" t="n">
        <v>7.5</v>
      </c>
      <c r="AD38" s="16" t="n"/>
      <c r="AE38" s="16" t="n"/>
    </row>
    <row r="39">
      <c r="A39" s="16" t="inlineStr">
        <is>
          <t>KF-M01-T_amb-0019</t>
        </is>
      </c>
      <c r="B39" s="16" t="inlineStr">
        <is>
          <t>1.1</t>
        </is>
      </c>
      <c r="C39" s="16" t="inlineStr">
        <is>
          <t>1.1d</t>
        </is>
      </c>
      <c r="D39" s="16" t="inlineStr">
        <is>
          <t>temperatura ambiente hora a hora</t>
        </is>
      </c>
      <c r="E39" s="16" t="inlineStr">
        <is>
          <t>KF-M01</t>
        </is>
      </c>
      <c r="F39" s="16" t="inlineStr">
        <is>
          <t>KF-M01-T_amb</t>
        </is>
      </c>
      <c r="G39" s="16" t="inlineStr">
        <is>
          <t>B01</t>
        </is>
      </c>
      <c r="H39" s="16" t="inlineStr">
        <is>
          <t>malla</t>
        </is>
      </c>
      <c r="I39" s="16" t="inlineStr">
        <is>
          <t>NO_CONVERGIO</t>
        </is>
      </c>
      <c r="J39" s="16" t="inlineStr">
        <is>
          <t>NO_CONVERGIO</t>
        </is>
      </c>
      <c r="K39" s="16" t="b">
        <v>0</v>
      </c>
      <c r="L39" s="16" t="b">
        <v>0</v>
      </c>
      <c r="M39" s="16" t="b">
        <v>0</v>
      </c>
      <c r="N39" s="16" t="b">
        <v>0</v>
      </c>
      <c r="O39" s="16" t="n">
        <v>623.15</v>
      </c>
      <c r="P39" s="16" t="n">
        <v>301.655</v>
      </c>
      <c r="Q39" s="16" t="n">
        <v>3000</v>
      </c>
      <c r="R39" s="16" t="n">
        <v>400</v>
      </c>
      <c r="S39" s="16" t="n">
        <v>0.5</v>
      </c>
      <c r="T39" s="16" t="n">
        <v>0.85</v>
      </c>
      <c r="U39" s="16" t="n">
        <v>0.75</v>
      </c>
      <c r="V39" s="16" t="n">
        <v>0.85</v>
      </c>
      <c r="W39" s="16" t="n">
        <v>0.75</v>
      </c>
      <c r="X39" s="16" t="n">
        <v>0.8</v>
      </c>
      <c r="Y39" s="16" t="n"/>
      <c r="Z39" s="16" t="n"/>
      <c r="AA39" s="16" t="n"/>
      <c r="AB39" s="16" t="n">
        <v>2600</v>
      </c>
      <c r="AC39" s="16" t="n">
        <v>7.5</v>
      </c>
      <c r="AD39" s="16" t="n"/>
      <c r="AE39" s="16" t="n"/>
    </row>
    <row r="40">
      <c r="A40" s="16" t="inlineStr">
        <is>
          <t>KF-M01-T_amb-0020</t>
        </is>
      </c>
      <c r="B40" s="16" t="inlineStr">
        <is>
          <t>1.1</t>
        </is>
      </c>
      <c r="C40" s="16" t="inlineStr">
        <is>
          <t>1.1d</t>
        </is>
      </c>
      <c r="D40" s="16" t="inlineStr">
        <is>
          <t>temperatura ambiente hora a hora</t>
        </is>
      </c>
      <c r="E40" s="16" t="inlineStr">
        <is>
          <t>KF-M01</t>
        </is>
      </c>
      <c r="F40" s="16" t="inlineStr">
        <is>
          <t>KF-M01-T_amb</t>
        </is>
      </c>
      <c r="G40" s="16" t="inlineStr">
        <is>
          <t>B01</t>
        </is>
      </c>
      <c r="H40" s="16" t="inlineStr">
        <is>
          <t>malla</t>
        </is>
      </c>
      <c r="I40" s="16" t="inlineStr">
        <is>
          <t>NO_CONVERGIO</t>
        </is>
      </c>
      <c r="J40" s="16" t="inlineStr">
        <is>
          <t>NO_CONVERGIO</t>
        </is>
      </c>
      <c r="K40" s="16" t="b">
        <v>0</v>
      </c>
      <c r="L40" s="16" t="b">
        <v>0</v>
      </c>
      <c r="M40" s="16" t="b">
        <v>0</v>
      </c>
      <c r="N40" s="16" t="b">
        <v>0</v>
      </c>
      <c r="O40" s="16" t="n">
        <v>623.15</v>
      </c>
      <c r="P40" s="16" t="n">
        <v>300.9</v>
      </c>
      <c r="Q40" s="16" t="n">
        <v>3000</v>
      </c>
      <c r="R40" s="16" t="n">
        <v>400</v>
      </c>
      <c r="S40" s="16" t="n">
        <v>0.5</v>
      </c>
      <c r="T40" s="16" t="n">
        <v>0.85</v>
      </c>
      <c r="U40" s="16" t="n">
        <v>0.75</v>
      </c>
      <c r="V40" s="16" t="n">
        <v>0.85</v>
      </c>
      <c r="W40" s="16" t="n">
        <v>0.75</v>
      </c>
      <c r="X40" s="16" t="n">
        <v>0.8</v>
      </c>
      <c r="Y40" s="16" t="n"/>
      <c r="Z40" s="16" t="n"/>
      <c r="AA40" s="16" t="n"/>
      <c r="AB40" s="16" t="n">
        <v>2600</v>
      </c>
      <c r="AC40" s="16" t="n">
        <v>7.5</v>
      </c>
      <c r="AD40" s="16" t="n"/>
      <c r="AE40" s="16" t="n"/>
    </row>
    <row r="41">
      <c r="A41" s="16" t="inlineStr">
        <is>
          <t>KF-M01-T_amb-0021</t>
        </is>
      </c>
      <c r="B41" s="16" t="inlineStr">
        <is>
          <t>1.1</t>
        </is>
      </c>
      <c r="C41" s="16" t="inlineStr">
        <is>
          <t>1.1d</t>
        </is>
      </c>
      <c r="D41" s="16" t="inlineStr">
        <is>
          <t>temperatura ambiente hora a hora</t>
        </is>
      </c>
      <c r="E41" s="16" t="inlineStr">
        <is>
          <t>KF-M01</t>
        </is>
      </c>
      <c r="F41" s="16" t="inlineStr">
        <is>
          <t>KF-M01-T_amb</t>
        </is>
      </c>
      <c r="G41" s="16" t="inlineStr">
        <is>
          <t>B01</t>
        </is>
      </c>
      <c r="H41" s="16" t="inlineStr">
        <is>
          <t>malla</t>
        </is>
      </c>
      <c r="I41" s="16" t="inlineStr">
        <is>
          <t>NO_CONVERGIO</t>
        </is>
      </c>
      <c r="J41" s="16" t="inlineStr">
        <is>
          <t>NO_CONVERGIO</t>
        </is>
      </c>
      <c r="K41" s="16" t="b">
        <v>0</v>
      </c>
      <c r="L41" s="16" t="b">
        <v>0</v>
      </c>
      <c r="M41" s="16" t="b">
        <v>0</v>
      </c>
      <c r="N41" s="16" t="b">
        <v>0</v>
      </c>
      <c r="O41" s="16" t="n">
        <v>623.15</v>
      </c>
      <c r="P41" s="16" t="n">
        <v>299.8</v>
      </c>
      <c r="Q41" s="16" t="n">
        <v>3000</v>
      </c>
      <c r="R41" s="16" t="n">
        <v>400</v>
      </c>
      <c r="S41" s="16" t="n">
        <v>0.5</v>
      </c>
      <c r="T41" s="16" t="n">
        <v>0.85</v>
      </c>
      <c r="U41" s="16" t="n">
        <v>0.75</v>
      </c>
      <c r="V41" s="16" t="n">
        <v>0.85</v>
      </c>
      <c r="W41" s="16" t="n">
        <v>0.75</v>
      </c>
      <c r="X41" s="16" t="n">
        <v>0.8</v>
      </c>
      <c r="Y41" s="16" t="n"/>
      <c r="Z41" s="16" t="n"/>
      <c r="AA41" s="16" t="n"/>
      <c r="AB41" s="16" t="n">
        <v>2600</v>
      </c>
      <c r="AC41" s="16" t="n">
        <v>7.5</v>
      </c>
      <c r="AD41" s="16" t="n"/>
      <c r="AE41" s="16" t="n"/>
    </row>
    <row r="42">
      <c r="A42" s="16" t="inlineStr">
        <is>
          <t>KF-M01-T_amb-0022</t>
        </is>
      </c>
      <c r="B42" s="16" t="inlineStr">
        <is>
          <t>1.1</t>
        </is>
      </c>
      <c r="C42" s="16" t="inlineStr">
        <is>
          <t>1.1d</t>
        </is>
      </c>
      <c r="D42" s="16" t="inlineStr">
        <is>
          <t>temperatura ambiente hora a hora</t>
        </is>
      </c>
      <c r="E42" s="16" t="inlineStr">
        <is>
          <t>KF-M01</t>
        </is>
      </c>
      <c r="F42" s="16" t="inlineStr">
        <is>
          <t>KF-M01-T_amb</t>
        </is>
      </c>
      <c r="G42" s="16" t="inlineStr">
        <is>
          <t>B01</t>
        </is>
      </c>
      <c r="H42" s="16" t="inlineStr">
        <is>
          <t>malla</t>
        </is>
      </c>
      <c r="I42" s="16" t="inlineStr">
        <is>
          <t>NO_CONVERGIO</t>
        </is>
      </c>
      <c r="J42" s="16" t="inlineStr">
        <is>
          <t>NO_CONVERGIO</t>
        </is>
      </c>
      <c r="K42" s="16" t="b">
        <v>0</v>
      </c>
      <c r="L42" s="16" t="b">
        <v>0</v>
      </c>
      <c r="M42" s="16" t="b">
        <v>0</v>
      </c>
      <c r="N42" s="16" t="b">
        <v>0</v>
      </c>
      <c r="O42" s="16" t="n">
        <v>623.15</v>
      </c>
      <c r="P42" s="16" t="n">
        <v>299.2</v>
      </c>
      <c r="Q42" s="16" t="n">
        <v>3000</v>
      </c>
      <c r="R42" s="16" t="n">
        <v>400</v>
      </c>
      <c r="S42" s="16" t="n">
        <v>0.5</v>
      </c>
      <c r="T42" s="16" t="n">
        <v>0.85</v>
      </c>
      <c r="U42" s="16" t="n">
        <v>0.75</v>
      </c>
      <c r="V42" s="16" t="n">
        <v>0.85</v>
      </c>
      <c r="W42" s="16" t="n">
        <v>0.75</v>
      </c>
      <c r="X42" s="16" t="n">
        <v>0.8</v>
      </c>
      <c r="Y42" s="16" t="n"/>
      <c r="Z42" s="16" t="n"/>
      <c r="AA42" s="16" t="n"/>
      <c r="AB42" s="16" t="n">
        <v>2600</v>
      </c>
      <c r="AC42" s="16" t="n">
        <v>7.5</v>
      </c>
      <c r="AD42" s="16" t="n"/>
      <c r="AE42" s="16" t="n"/>
    </row>
    <row r="43">
      <c r="A43" s="16" t="inlineStr">
        <is>
          <t>KF-M01-T_amb-0023</t>
        </is>
      </c>
      <c r="B43" s="16" t="inlineStr">
        <is>
          <t>1.1</t>
        </is>
      </c>
      <c r="C43" s="16" t="inlineStr">
        <is>
          <t>1.1d</t>
        </is>
      </c>
      <c r="D43" s="16" t="inlineStr">
        <is>
          <t>temperatura ambiente hora a hora</t>
        </is>
      </c>
      <c r="E43" s="16" t="inlineStr">
        <is>
          <t>KF-M01</t>
        </is>
      </c>
      <c r="F43" s="16" t="inlineStr">
        <is>
          <t>KF-M01-T_amb</t>
        </is>
      </c>
      <c r="G43" s="16" t="inlineStr">
        <is>
          <t>B01</t>
        </is>
      </c>
      <c r="H43" s="16" t="inlineStr">
        <is>
          <t>malla</t>
        </is>
      </c>
      <c r="I43" s="16" t="inlineStr">
        <is>
          <t>NO_CONVERGIO</t>
        </is>
      </c>
      <c r="J43" s="16" t="inlineStr">
        <is>
          <t>NO_CONVERGIO</t>
        </is>
      </c>
      <c r="K43" s="16" t="b">
        <v>0</v>
      </c>
      <c r="L43" s="16" t="b">
        <v>0</v>
      </c>
      <c r="M43" s="16" t="b">
        <v>0</v>
      </c>
      <c r="N43" s="16" t="b">
        <v>0</v>
      </c>
      <c r="O43" s="16" t="n">
        <v>623.15</v>
      </c>
      <c r="P43" s="16" t="n">
        <v>299.15</v>
      </c>
      <c r="Q43" s="16" t="n">
        <v>3000</v>
      </c>
      <c r="R43" s="16" t="n">
        <v>400</v>
      </c>
      <c r="S43" s="16" t="n">
        <v>0.5</v>
      </c>
      <c r="T43" s="16" t="n">
        <v>0.85</v>
      </c>
      <c r="U43" s="16" t="n">
        <v>0.75</v>
      </c>
      <c r="V43" s="16" t="n">
        <v>0.85</v>
      </c>
      <c r="W43" s="16" t="n">
        <v>0.75</v>
      </c>
      <c r="X43" s="16" t="n">
        <v>0.8</v>
      </c>
      <c r="Y43" s="16" t="n"/>
      <c r="Z43" s="16" t="n"/>
      <c r="AA43" s="16" t="n"/>
      <c r="AB43" s="16" t="n">
        <v>2600</v>
      </c>
      <c r="AC43" s="16" t="n">
        <v>7.5</v>
      </c>
      <c r="AD43" s="16" t="n"/>
      <c r="AE43" s="16" t="n"/>
    </row>
    <row r="44">
      <c r="A44" s="16" t="inlineStr">
        <is>
          <t>KF-M02-N1-0000</t>
        </is>
      </c>
      <c r="B44" s="16" t="inlineStr">
        <is>
          <t>2.1</t>
        </is>
      </c>
      <c r="C44" s="16" t="inlineStr">
        <is>
          <t>2.1</t>
        </is>
      </c>
      <c r="D44" s="16" t="inlineStr">
        <is>
          <t>una variable a la vez</t>
        </is>
      </c>
      <c r="E44" s="16" t="inlineStr">
        <is>
          <t>KF-M02-N1</t>
        </is>
      </c>
      <c r="F44" s="16" t="inlineStr">
        <is>
          <t>KF-M02-N1</t>
        </is>
      </c>
      <c r="G44" s="16" t="inlineStr">
        <is>
          <t>B02</t>
        </is>
      </c>
      <c r="H44" s="16" t="inlineStr">
        <is>
          <t>malla</t>
        </is>
      </c>
      <c r="I44" s="16" t="inlineStr">
        <is>
          <t>NO_CONVERGIO</t>
        </is>
      </c>
      <c r="J44" s="16" t="inlineStr">
        <is>
          <t>NO_CONVERGIO</t>
        </is>
      </c>
      <c r="K44" s="16" t="b">
        <v>0</v>
      </c>
      <c r="L44" s="16" t="b">
        <v>0</v>
      </c>
      <c r="M44" s="16" t="b">
        <v>0</v>
      </c>
      <c r="N44" s="16" t="b">
        <v>0</v>
      </c>
      <c r="O44" s="16" t="n">
        <v>623.15</v>
      </c>
      <c r="P44" s="16" t="n">
        <v>300.032917</v>
      </c>
      <c r="Q44" s="16" t="n">
        <v>1000</v>
      </c>
      <c r="R44" s="16" t="n">
        <v>400</v>
      </c>
      <c r="S44" s="16" t="n">
        <v>0.5</v>
      </c>
      <c r="T44" s="16" t="n">
        <v>0.85</v>
      </c>
      <c r="U44" s="16" t="n">
        <v>0.75</v>
      </c>
      <c r="V44" s="16" t="n">
        <v>0.85</v>
      </c>
      <c r="W44" s="16" t="n">
        <v>0.75</v>
      </c>
      <c r="X44" s="16" t="n">
        <v>0.8</v>
      </c>
      <c r="Y44" s="16" t="n"/>
      <c r="Z44" s="16" t="n"/>
      <c r="AA44" s="16" t="n"/>
      <c r="AB44" s="16" t="n">
        <v>600</v>
      </c>
      <c r="AC44" s="16" t="n">
        <v>2.5</v>
      </c>
      <c r="AD44" s="16" t="n"/>
      <c r="AE44" s="16" t="inlineStr">
        <is>
          <t>P_alta</t>
        </is>
      </c>
    </row>
    <row r="45">
      <c r="A45" s="16" t="inlineStr">
        <is>
          <t>KF-M02-N1-0001</t>
        </is>
      </c>
      <c r="B45" s="16" t="inlineStr">
        <is>
          <t>2.1</t>
        </is>
      </c>
      <c r="C45" s="16" t="inlineStr">
        <is>
          <t>2.1</t>
        </is>
      </c>
      <c r="D45" s="16" t="inlineStr">
        <is>
          <t>una variable a la vez</t>
        </is>
      </c>
      <c r="E45" s="16" t="inlineStr">
        <is>
          <t>KF-M02-N1</t>
        </is>
      </c>
      <c r="F45" s="16" t="inlineStr">
        <is>
          <t>KF-M02-N1</t>
        </is>
      </c>
      <c r="G45" s="16" t="inlineStr">
        <is>
          <t>B02</t>
        </is>
      </c>
      <c r="H45" s="16" t="inlineStr">
        <is>
          <t>malla</t>
        </is>
      </c>
      <c r="I45" s="16" t="inlineStr">
        <is>
          <t>NO_CONVERGIO</t>
        </is>
      </c>
      <c r="J45" s="16" t="inlineStr">
        <is>
          <t>NO_CONVERGIO</t>
        </is>
      </c>
      <c r="K45" s="16" t="b">
        <v>0</v>
      </c>
      <c r="L45" s="16" t="b">
        <v>0</v>
      </c>
      <c r="M45" s="16" t="b">
        <v>0</v>
      </c>
      <c r="N45" s="16" t="b">
        <v>0</v>
      </c>
      <c r="O45" s="16" t="n">
        <v>623.15</v>
      </c>
      <c r="P45" s="16" t="n">
        <v>300.032917</v>
      </c>
      <c r="Q45" s="16" t="n">
        <v>3000</v>
      </c>
      <c r="R45" s="16" t="n">
        <v>400</v>
      </c>
      <c r="S45" s="16" t="n">
        <v>0.5</v>
      </c>
      <c r="T45" s="16" t="n">
        <v>0.85</v>
      </c>
      <c r="U45" s="16" t="n">
        <v>0.75</v>
      </c>
      <c r="V45" s="16" t="n">
        <v>0.85</v>
      </c>
      <c r="W45" s="16" t="n">
        <v>0.75</v>
      </c>
      <c r="X45" s="16" t="n">
        <v>0.8</v>
      </c>
      <c r="Y45" s="16" t="n"/>
      <c r="Z45" s="16" t="n"/>
      <c r="AA45" s="16" t="n"/>
      <c r="AB45" s="16" t="n">
        <v>2600</v>
      </c>
      <c r="AC45" s="16" t="n">
        <v>7.5</v>
      </c>
      <c r="AD45" s="16" t="n"/>
      <c r="AE45" s="16" t="inlineStr">
        <is>
          <t>P_alta</t>
        </is>
      </c>
    </row>
    <row r="46">
      <c r="A46" s="16" t="inlineStr">
        <is>
          <t>KF-M02-N1-0002</t>
        </is>
      </c>
      <c r="B46" s="16" t="inlineStr">
        <is>
          <t>2.1</t>
        </is>
      </c>
      <c r="C46" s="16" t="inlineStr">
        <is>
          <t>2.1</t>
        </is>
      </c>
      <c r="D46" s="16" t="inlineStr">
        <is>
          <t>una variable a la vez</t>
        </is>
      </c>
      <c r="E46" s="16" t="inlineStr">
        <is>
          <t>KF-M02-N1</t>
        </is>
      </c>
      <c r="F46" s="16" t="inlineStr">
        <is>
          <t>KF-M02-N1</t>
        </is>
      </c>
      <c r="G46" s="16" t="inlineStr">
        <is>
          <t>B02</t>
        </is>
      </c>
      <c r="H46" s="16" t="inlineStr">
        <is>
          <t>malla</t>
        </is>
      </c>
      <c r="I46" s="16" t="inlineStr">
        <is>
          <t>NO_CONVERGIO</t>
        </is>
      </c>
      <c r="J46" s="16" t="inlineStr">
        <is>
          <t>NO_CONVERGIO</t>
        </is>
      </c>
      <c r="K46" s="16" t="b">
        <v>0</v>
      </c>
      <c r="L46" s="16" t="b">
        <v>0</v>
      </c>
      <c r="M46" s="16" t="b">
        <v>0</v>
      </c>
      <c r="N46" s="16" t="b">
        <v>0</v>
      </c>
      <c r="O46" s="16" t="n">
        <v>623.15</v>
      </c>
      <c r="P46" s="16" t="n">
        <v>300.032917</v>
      </c>
      <c r="Q46" s="16" t="n">
        <v>2000</v>
      </c>
      <c r="R46" s="16" t="n">
        <v>400</v>
      </c>
      <c r="S46" s="16" t="n">
        <v>0.5</v>
      </c>
      <c r="T46" s="16" t="n">
        <v>0.85</v>
      </c>
      <c r="U46" s="16" t="n">
        <v>0.75</v>
      </c>
      <c r="V46" s="16" t="n">
        <v>0.85</v>
      </c>
      <c r="W46" s="16" t="n">
        <v>0.75</v>
      </c>
      <c r="X46" s="16" t="n">
        <v>0.8</v>
      </c>
      <c r="Y46" s="16" t="n"/>
      <c r="Z46" s="16" t="n"/>
      <c r="AA46" s="16" t="n"/>
      <c r="AB46" s="16" t="n">
        <v>1600</v>
      </c>
      <c r="AC46" s="16" t="n">
        <v>5</v>
      </c>
      <c r="AD46" s="16" t="n"/>
      <c r="AE46" s="16" t="inlineStr">
        <is>
          <t>P_alta</t>
        </is>
      </c>
    </row>
    <row r="47">
      <c r="A47" s="16" t="inlineStr">
        <is>
          <t>KF-M02-N1-0003</t>
        </is>
      </c>
      <c r="B47" s="16" t="inlineStr">
        <is>
          <t>2.1</t>
        </is>
      </c>
      <c r="C47" s="16" t="inlineStr">
        <is>
          <t>2.1</t>
        </is>
      </c>
      <c r="D47" s="16" t="inlineStr">
        <is>
          <t>una variable a la vez</t>
        </is>
      </c>
      <c r="E47" s="16" t="inlineStr">
        <is>
          <t>KF-M02-N1</t>
        </is>
      </c>
      <c r="F47" s="16" t="inlineStr">
        <is>
          <t>KF-M02-N1</t>
        </is>
      </c>
      <c r="G47" s="16" t="inlineStr">
        <is>
          <t>B02</t>
        </is>
      </c>
      <c r="H47" s="16" t="inlineStr">
        <is>
          <t>malla</t>
        </is>
      </c>
      <c r="I47" s="16" t="inlineStr">
        <is>
          <t>NO_CONVERGIO</t>
        </is>
      </c>
      <c r="J47" s="16" t="inlineStr">
        <is>
          <t>NO_CONVERGIO</t>
        </is>
      </c>
      <c r="K47" s="16" t="b">
        <v>0</v>
      </c>
      <c r="L47" s="16" t="b">
        <v>0</v>
      </c>
      <c r="M47" s="16" t="b">
        <v>0</v>
      </c>
      <c r="N47" s="16" t="b">
        <v>0</v>
      </c>
      <c r="O47" s="16" t="n">
        <v>623.15</v>
      </c>
      <c r="P47" s="16" t="n">
        <v>300.032917</v>
      </c>
      <c r="Q47" s="16" t="n">
        <v>5000</v>
      </c>
      <c r="R47" s="16" t="n">
        <v>400</v>
      </c>
      <c r="S47" s="16" t="n">
        <v>0.5</v>
      </c>
      <c r="T47" s="16" t="n">
        <v>0.85</v>
      </c>
      <c r="U47" s="16" t="n">
        <v>0.75</v>
      </c>
      <c r="V47" s="16" t="n">
        <v>0.85</v>
      </c>
      <c r="W47" s="16" t="n">
        <v>0.75</v>
      </c>
      <c r="X47" s="16" t="n">
        <v>0.8</v>
      </c>
      <c r="Y47" s="16" t="n"/>
      <c r="Z47" s="16" t="n"/>
      <c r="AA47" s="16" t="n"/>
      <c r="AB47" s="16" t="n">
        <v>4600</v>
      </c>
      <c r="AC47" s="16" t="n">
        <v>12.5</v>
      </c>
      <c r="AD47" s="16" t="n"/>
      <c r="AE47" s="16" t="inlineStr">
        <is>
          <t>P_alta</t>
        </is>
      </c>
    </row>
    <row r="48">
      <c r="A48" s="16" t="inlineStr">
        <is>
          <t>KF-M02-N1-0004</t>
        </is>
      </c>
      <c r="B48" s="16" t="inlineStr">
        <is>
          <t>2.1</t>
        </is>
      </c>
      <c r="C48" s="16" t="inlineStr">
        <is>
          <t>2.1</t>
        </is>
      </c>
      <c r="D48" s="16" t="inlineStr">
        <is>
          <t>una variable a la vez</t>
        </is>
      </c>
      <c r="E48" s="16" t="inlineStr">
        <is>
          <t>KF-M02-N1</t>
        </is>
      </c>
      <c r="F48" s="16" t="inlineStr">
        <is>
          <t>KF-M02-N1</t>
        </is>
      </c>
      <c r="G48" s="16" t="inlineStr">
        <is>
          <t>B02</t>
        </is>
      </c>
      <c r="H48" s="16" t="inlineStr">
        <is>
          <t>malla</t>
        </is>
      </c>
      <c r="I48" s="16" t="inlineStr">
        <is>
          <t>NO_CONVERGIO</t>
        </is>
      </c>
      <c r="J48" s="16" t="inlineStr">
        <is>
          <t>NO_CONVERGIO</t>
        </is>
      </c>
      <c r="K48" s="16" t="b">
        <v>0</v>
      </c>
      <c r="L48" s="16" t="b">
        <v>0</v>
      </c>
      <c r="M48" s="16" t="b">
        <v>0</v>
      </c>
      <c r="N48" s="16" t="b">
        <v>0</v>
      </c>
      <c r="O48" s="16" t="n">
        <v>623.15</v>
      </c>
      <c r="P48" s="16" t="n">
        <v>300.032917</v>
      </c>
      <c r="Q48" s="16" t="n">
        <v>4000</v>
      </c>
      <c r="R48" s="16" t="n">
        <v>400</v>
      </c>
      <c r="S48" s="16" t="n">
        <v>0.5</v>
      </c>
      <c r="T48" s="16" t="n">
        <v>0.85</v>
      </c>
      <c r="U48" s="16" t="n">
        <v>0.75</v>
      </c>
      <c r="V48" s="16" t="n">
        <v>0.85</v>
      </c>
      <c r="W48" s="16" t="n">
        <v>0.75</v>
      </c>
      <c r="X48" s="16" t="n">
        <v>0.8</v>
      </c>
      <c r="Y48" s="16" t="n"/>
      <c r="Z48" s="16" t="n"/>
      <c r="AA48" s="16" t="n"/>
      <c r="AB48" s="16" t="n">
        <v>3600</v>
      </c>
      <c r="AC48" s="16" t="n">
        <v>10</v>
      </c>
      <c r="AD48" s="16" t="n"/>
      <c r="AE48" s="16" t="inlineStr">
        <is>
          <t>P_alta</t>
        </is>
      </c>
    </row>
    <row r="49">
      <c r="A49" s="16" t="inlineStr">
        <is>
          <t>KF-M02-N1-0005</t>
        </is>
      </c>
      <c r="B49" s="16" t="inlineStr">
        <is>
          <t>2.1</t>
        </is>
      </c>
      <c r="C49" s="16" t="inlineStr">
        <is>
          <t>2.1</t>
        </is>
      </c>
      <c r="D49" s="16" t="inlineStr">
        <is>
          <t>una variable a la vez</t>
        </is>
      </c>
      <c r="E49" s="16" t="inlineStr">
        <is>
          <t>KF-M02-N1</t>
        </is>
      </c>
      <c r="F49" s="16" t="inlineStr">
        <is>
          <t>KF-M02-N1</t>
        </is>
      </c>
      <c r="G49" s="16" t="inlineStr">
        <is>
          <t>B02</t>
        </is>
      </c>
      <c r="H49" s="16" t="inlineStr">
        <is>
          <t>malla</t>
        </is>
      </c>
      <c r="I49" s="16" t="inlineStr">
        <is>
          <t>N2</t>
        </is>
      </c>
      <c r="J49" s="16" t="inlineStr">
        <is>
          <t>NO_CONVERGIO</t>
        </is>
      </c>
      <c r="K49" s="16" t="b">
        <v>0</v>
      </c>
      <c r="L49" s="16" t="b">
        <v>0</v>
      </c>
      <c r="M49" s="16" t="b">
        <v>1</v>
      </c>
      <c r="N49" s="16" t="b">
        <v>0</v>
      </c>
      <c r="O49" s="16" t="n">
        <v>623.15</v>
      </c>
      <c r="P49" s="16" t="n">
        <v>300.032917</v>
      </c>
      <c r="Q49" s="16" t="n">
        <v>6000</v>
      </c>
      <c r="R49" s="16" t="n">
        <v>400</v>
      </c>
      <c r="S49" s="16" t="n">
        <v>0.5</v>
      </c>
      <c r="T49" s="16" t="n">
        <v>0.85</v>
      </c>
      <c r="U49" s="16" t="n">
        <v>0.75</v>
      </c>
      <c r="V49" s="16" t="n">
        <v>0.85</v>
      </c>
      <c r="W49" s="16" t="n">
        <v>0.75</v>
      </c>
      <c r="X49" s="16" t="n">
        <v>0.8</v>
      </c>
      <c r="Y49" s="16" t="n"/>
      <c r="Z49" s="16" t="n">
        <v>22.89861918349116</v>
      </c>
      <c r="AA49" s="16" t="n">
        <v>432.7905299563339</v>
      </c>
      <c r="AB49" s="16" t="n">
        <v>5600</v>
      </c>
      <c r="AC49" s="16" t="n">
        <v>15</v>
      </c>
      <c r="AD49" s="16" t="inlineStr">
        <is>
          <t>N2,O1,O2,O5,C1,C3,C3</t>
        </is>
      </c>
      <c r="AE49" s="16" t="inlineStr">
        <is>
          <t>P_alta</t>
        </is>
      </c>
    </row>
    <row r="50">
      <c r="A50" s="16" t="inlineStr">
        <is>
          <t>KF-M02-N1-0006</t>
        </is>
      </c>
      <c r="B50" s="16" t="inlineStr">
        <is>
          <t>2.1</t>
        </is>
      </c>
      <c r="C50" s="16" t="inlineStr">
        <is>
          <t>2.1</t>
        </is>
      </c>
      <c r="D50" s="16" t="inlineStr">
        <is>
          <t>una variable a la vez</t>
        </is>
      </c>
      <c r="E50" s="16" t="inlineStr">
        <is>
          <t>KF-M02-N1</t>
        </is>
      </c>
      <c r="F50" s="16" t="inlineStr">
        <is>
          <t>KF-M02-N1</t>
        </is>
      </c>
      <c r="G50" s="16" t="inlineStr">
        <is>
          <t>B02</t>
        </is>
      </c>
      <c r="H50" s="16" t="inlineStr">
        <is>
          <t>malla</t>
        </is>
      </c>
      <c r="I50" s="16" t="inlineStr">
        <is>
          <t>NO_CONVERGIO</t>
        </is>
      </c>
      <c r="J50" s="16" t="inlineStr">
        <is>
          <t>NO_CONVERGIO</t>
        </is>
      </c>
      <c r="K50" s="16" t="b">
        <v>0</v>
      </c>
      <c r="L50" s="16" t="b">
        <v>0</v>
      </c>
      <c r="M50" s="16" t="b">
        <v>0</v>
      </c>
      <c r="N50" s="16" t="b">
        <v>0</v>
      </c>
      <c r="O50" s="16" t="n">
        <v>623.15</v>
      </c>
      <c r="P50" s="16" t="n">
        <v>300.032917</v>
      </c>
      <c r="Q50" s="16" t="n">
        <v>3000</v>
      </c>
      <c r="R50" s="16" t="n">
        <v>150</v>
      </c>
      <c r="S50" s="16" t="n">
        <v>0.5</v>
      </c>
      <c r="T50" s="16" t="n">
        <v>0.85</v>
      </c>
      <c r="U50" s="16" t="n">
        <v>0.75</v>
      </c>
      <c r="V50" s="16" t="n">
        <v>0.85</v>
      </c>
      <c r="W50" s="16" t="n">
        <v>0.75</v>
      </c>
      <c r="X50" s="16" t="n">
        <v>0.8</v>
      </c>
      <c r="Y50" s="16" t="n"/>
      <c r="Z50" s="16" t="n"/>
      <c r="AA50" s="16" t="n"/>
      <c r="AB50" s="16" t="n">
        <v>2850</v>
      </c>
      <c r="AC50" s="16" t="n">
        <v>20</v>
      </c>
      <c r="AD50" s="16" t="n"/>
      <c r="AE50" s="16" t="inlineStr">
        <is>
          <t>P_baja</t>
        </is>
      </c>
    </row>
    <row r="51">
      <c r="A51" s="16" t="inlineStr">
        <is>
          <t>KF-M02-N1-0007</t>
        </is>
      </c>
      <c r="B51" s="16" t="inlineStr">
        <is>
          <t>2.1</t>
        </is>
      </c>
      <c r="C51" s="16" t="inlineStr">
        <is>
          <t>2.1</t>
        </is>
      </c>
      <c r="D51" s="16" t="inlineStr">
        <is>
          <t>una variable a la vez</t>
        </is>
      </c>
      <c r="E51" s="16" t="inlineStr">
        <is>
          <t>KF-M02-N1</t>
        </is>
      </c>
      <c r="F51" s="16" t="inlineStr">
        <is>
          <t>KF-M02-N1</t>
        </is>
      </c>
      <c r="G51" s="16" t="inlineStr">
        <is>
          <t>B02</t>
        </is>
      </c>
      <c r="H51" s="16" t="inlineStr">
        <is>
          <t>malla</t>
        </is>
      </c>
      <c r="I51" s="16" t="inlineStr">
        <is>
          <t>NO_CONVERGIO</t>
        </is>
      </c>
      <c r="J51" s="16" t="inlineStr">
        <is>
          <t>NO_CONVERGIO</t>
        </is>
      </c>
      <c r="K51" s="16" t="b">
        <v>0</v>
      </c>
      <c r="L51" s="16" t="b">
        <v>0</v>
      </c>
      <c r="M51" s="16" t="b">
        <v>0</v>
      </c>
      <c r="N51" s="16" t="b">
        <v>0</v>
      </c>
      <c r="O51" s="16" t="n">
        <v>623.15</v>
      </c>
      <c r="P51" s="16" t="n">
        <v>300.032917</v>
      </c>
      <c r="Q51" s="16" t="n">
        <v>10000</v>
      </c>
      <c r="R51" s="16" t="n">
        <v>400</v>
      </c>
      <c r="S51" s="16" t="n">
        <v>0.5</v>
      </c>
      <c r="T51" s="16" t="n">
        <v>0.85</v>
      </c>
      <c r="U51" s="16" t="n">
        <v>0.75</v>
      </c>
      <c r="V51" s="16" t="n">
        <v>0.85</v>
      </c>
      <c r="W51" s="16" t="n">
        <v>0.75</v>
      </c>
      <c r="X51" s="16" t="n">
        <v>0.8</v>
      </c>
      <c r="Y51" s="16" t="n"/>
      <c r="Z51" s="16" t="n"/>
      <c r="AA51" s="16" t="n"/>
      <c r="AB51" s="16" t="n">
        <v>9600</v>
      </c>
      <c r="AC51" s="16" t="n">
        <v>25</v>
      </c>
      <c r="AD51" s="16" t="n"/>
      <c r="AE51" s="16" t="inlineStr">
        <is>
          <t>P_alta</t>
        </is>
      </c>
    </row>
    <row r="52">
      <c r="A52" s="16" t="inlineStr">
        <is>
          <t>KF-M02-N1-0008</t>
        </is>
      </c>
      <c r="B52" s="16" t="inlineStr">
        <is>
          <t>2.1</t>
        </is>
      </c>
      <c r="C52" s="16" t="inlineStr">
        <is>
          <t>2.1</t>
        </is>
      </c>
      <c r="D52" s="16" t="inlineStr">
        <is>
          <t>una variable a la vez</t>
        </is>
      </c>
      <c r="E52" s="16" t="inlineStr">
        <is>
          <t>KF-M02-N1</t>
        </is>
      </c>
      <c r="F52" s="16" t="inlineStr">
        <is>
          <t>KF-M02-N1</t>
        </is>
      </c>
      <c r="G52" s="16" t="inlineStr">
        <is>
          <t>B02</t>
        </is>
      </c>
      <c r="H52" s="16" t="inlineStr">
        <is>
          <t>malla</t>
        </is>
      </c>
      <c r="I52" s="16" t="inlineStr">
        <is>
          <t>N2</t>
        </is>
      </c>
      <c r="J52" s="16" t="inlineStr">
        <is>
          <t>NO_CONVERGIO</t>
        </is>
      </c>
      <c r="K52" s="16" t="b">
        <v>0</v>
      </c>
      <c r="L52" s="16" t="b">
        <v>0</v>
      </c>
      <c r="M52" s="16" t="b">
        <v>1</v>
      </c>
      <c r="N52" s="16" t="b">
        <v>0</v>
      </c>
      <c r="O52" s="16" t="n">
        <v>623.15</v>
      </c>
      <c r="P52" s="16" t="n">
        <v>300.032917</v>
      </c>
      <c r="Q52" s="16" t="n">
        <v>7000</v>
      </c>
      <c r="R52" s="16" t="n">
        <v>400</v>
      </c>
      <c r="S52" s="16" t="n">
        <v>0.5</v>
      </c>
      <c r="T52" s="16" t="n">
        <v>0.85</v>
      </c>
      <c r="U52" s="16" t="n">
        <v>0.75</v>
      </c>
      <c r="V52" s="16" t="n">
        <v>0.85</v>
      </c>
      <c r="W52" s="16" t="n">
        <v>0.75</v>
      </c>
      <c r="X52" s="16" t="n">
        <v>0.8</v>
      </c>
      <c r="Y52" s="16" t="n"/>
      <c r="Z52" s="16" t="n">
        <v>22.02460917195469</v>
      </c>
      <c r="AA52" s="16" t="n">
        <v>418.3103247476341</v>
      </c>
      <c r="AB52" s="16" t="n">
        <v>6600</v>
      </c>
      <c r="AC52" s="16" t="n">
        <v>17.5</v>
      </c>
      <c r="AD52" s="16" t="inlineStr">
        <is>
          <t>N2,O1,O2,O5,C1,C3,C3</t>
        </is>
      </c>
      <c r="AE52" s="16" t="inlineStr">
        <is>
          <t>P_alta</t>
        </is>
      </c>
    </row>
    <row r="53">
      <c r="A53" s="16" t="inlineStr">
        <is>
          <t>KF-M02-N1-0009</t>
        </is>
      </c>
      <c r="B53" s="16" t="inlineStr">
        <is>
          <t>2.1</t>
        </is>
      </c>
      <c r="C53" s="16" t="inlineStr">
        <is>
          <t>2.1</t>
        </is>
      </c>
      <c r="D53" s="16" t="inlineStr">
        <is>
          <t>una variable a la vez</t>
        </is>
      </c>
      <c r="E53" s="16" t="inlineStr">
        <is>
          <t>KF-M02-N1</t>
        </is>
      </c>
      <c r="F53" s="16" t="inlineStr">
        <is>
          <t>KF-M02-N1</t>
        </is>
      </c>
      <c r="G53" s="16" t="inlineStr">
        <is>
          <t>B02</t>
        </is>
      </c>
      <c r="H53" s="16" t="inlineStr">
        <is>
          <t>malla</t>
        </is>
      </c>
      <c r="I53" s="16" t="inlineStr">
        <is>
          <t>NO_CONVERGIO</t>
        </is>
      </c>
      <c r="J53" s="16" t="inlineStr">
        <is>
          <t>NO_CONVERGIO</t>
        </is>
      </c>
      <c r="K53" s="16" t="b">
        <v>0</v>
      </c>
      <c r="L53" s="16" t="b">
        <v>0</v>
      </c>
      <c r="M53" s="16" t="b">
        <v>0</v>
      </c>
      <c r="N53" s="16" t="b">
        <v>0</v>
      </c>
      <c r="O53" s="16" t="n">
        <v>623.15</v>
      </c>
      <c r="P53" s="16" t="n">
        <v>300.032917</v>
      </c>
      <c r="Q53" s="16" t="n">
        <v>3000</v>
      </c>
      <c r="R53" s="16" t="n">
        <v>300</v>
      </c>
      <c r="S53" s="16" t="n">
        <v>0.5</v>
      </c>
      <c r="T53" s="16" t="n">
        <v>0.85</v>
      </c>
      <c r="U53" s="16" t="n">
        <v>0.75</v>
      </c>
      <c r="V53" s="16" t="n">
        <v>0.85</v>
      </c>
      <c r="W53" s="16" t="n">
        <v>0.75</v>
      </c>
      <c r="X53" s="16" t="n">
        <v>0.8</v>
      </c>
      <c r="Y53" s="16" t="n"/>
      <c r="Z53" s="16" t="n"/>
      <c r="AA53" s="16" t="n"/>
      <c r="AB53" s="16" t="n">
        <v>2700</v>
      </c>
      <c r="AC53" s="16" t="n">
        <v>10</v>
      </c>
      <c r="AD53" s="16" t="n"/>
      <c r="AE53" s="16" t="inlineStr">
        <is>
          <t>P_baja</t>
        </is>
      </c>
    </row>
    <row r="54">
      <c r="A54" s="16" t="inlineStr">
        <is>
          <t>KF-M02-N1-0010</t>
        </is>
      </c>
      <c r="B54" s="16" t="inlineStr">
        <is>
          <t>2.1</t>
        </is>
      </c>
      <c r="C54" s="16" t="inlineStr">
        <is>
          <t>2.1</t>
        </is>
      </c>
      <c r="D54" s="16" t="inlineStr">
        <is>
          <t>una variable a la vez</t>
        </is>
      </c>
      <c r="E54" s="16" t="inlineStr">
        <is>
          <t>KF-M02-N1</t>
        </is>
      </c>
      <c r="F54" s="16" t="inlineStr">
        <is>
          <t>KF-M02-N1</t>
        </is>
      </c>
      <c r="G54" s="16" t="inlineStr">
        <is>
          <t>B02</t>
        </is>
      </c>
      <c r="H54" s="16" t="inlineStr">
        <is>
          <t>malla</t>
        </is>
      </c>
      <c r="I54" s="16" t="inlineStr">
        <is>
          <t>N2</t>
        </is>
      </c>
      <c r="J54" s="16" t="inlineStr">
        <is>
          <t>NO_CONVERGIO</t>
        </is>
      </c>
      <c r="K54" s="16" t="b">
        <v>0</v>
      </c>
      <c r="L54" s="16" t="b">
        <v>0</v>
      </c>
      <c r="M54" s="16" t="b">
        <v>1</v>
      </c>
      <c r="N54" s="16" t="b">
        <v>0</v>
      </c>
      <c r="O54" s="16" t="n">
        <v>623.15</v>
      </c>
      <c r="P54" s="16" t="n">
        <v>300.032917</v>
      </c>
      <c r="Q54" s="16" t="n">
        <v>9000</v>
      </c>
      <c r="R54" s="16" t="n">
        <v>400</v>
      </c>
      <c r="S54" s="16" t="n">
        <v>0.5</v>
      </c>
      <c r="T54" s="16" t="n">
        <v>0.85</v>
      </c>
      <c r="U54" s="16" t="n">
        <v>0.75</v>
      </c>
      <c r="V54" s="16" t="n">
        <v>0.85</v>
      </c>
      <c r="W54" s="16" t="n">
        <v>0.75</v>
      </c>
      <c r="X54" s="16" t="n">
        <v>0.8</v>
      </c>
      <c r="Y54" s="16" t="n"/>
      <c r="Z54" s="16" t="n">
        <v>22.18236104809014</v>
      </c>
      <c r="AA54" s="16" t="n">
        <v>418.9747643641038</v>
      </c>
      <c r="AB54" s="16" t="n">
        <v>8600</v>
      </c>
      <c r="AC54" s="16" t="n">
        <v>22.5</v>
      </c>
      <c r="AD54" s="16" t="inlineStr">
        <is>
          <t>N2,O1,O2,O5,C1,C3,C3</t>
        </is>
      </c>
      <c r="AE54" s="16" t="inlineStr">
        <is>
          <t>P_alta</t>
        </is>
      </c>
    </row>
    <row r="55">
      <c r="A55" s="16" t="inlineStr">
        <is>
          <t>KF-M02-N1-0011</t>
        </is>
      </c>
      <c r="B55" s="16" t="inlineStr">
        <is>
          <t>2.1</t>
        </is>
      </c>
      <c r="C55" s="16" t="inlineStr">
        <is>
          <t>2.1</t>
        </is>
      </c>
      <c r="D55" s="16" t="inlineStr">
        <is>
          <t>una variable a la vez</t>
        </is>
      </c>
      <c r="E55" s="16" t="inlineStr">
        <is>
          <t>KF-M02-N1</t>
        </is>
      </c>
      <c r="F55" s="16" t="inlineStr">
        <is>
          <t>KF-M02-N1</t>
        </is>
      </c>
      <c r="G55" s="16" t="inlineStr">
        <is>
          <t>B02</t>
        </is>
      </c>
      <c r="H55" s="16" t="inlineStr">
        <is>
          <t>malla</t>
        </is>
      </c>
      <c r="I55" s="16" t="inlineStr">
        <is>
          <t>NO_CONVERGIO</t>
        </is>
      </c>
      <c r="J55" s="16" t="inlineStr">
        <is>
          <t>NO_CONVERGIO</t>
        </is>
      </c>
      <c r="K55" s="16" t="b">
        <v>0</v>
      </c>
      <c r="L55" s="16" t="b">
        <v>0</v>
      </c>
      <c r="M55" s="16" t="b">
        <v>0</v>
      </c>
      <c r="N55" s="16" t="b">
        <v>0</v>
      </c>
      <c r="O55" s="16" t="n">
        <v>623.15</v>
      </c>
      <c r="P55" s="16" t="n">
        <v>300.032917</v>
      </c>
      <c r="Q55" s="16" t="n">
        <v>3000</v>
      </c>
      <c r="R55" s="16" t="n">
        <v>450</v>
      </c>
      <c r="S55" s="16" t="n">
        <v>0.5</v>
      </c>
      <c r="T55" s="16" t="n">
        <v>0.85</v>
      </c>
      <c r="U55" s="16" t="n">
        <v>0.75</v>
      </c>
      <c r="V55" s="16" t="n">
        <v>0.85</v>
      </c>
      <c r="W55" s="16" t="n">
        <v>0.75</v>
      </c>
      <c r="X55" s="16" t="n">
        <v>0.8</v>
      </c>
      <c r="Y55" s="16" t="n"/>
      <c r="Z55" s="16" t="n"/>
      <c r="AA55" s="16" t="n"/>
      <c r="AB55" s="16" t="n">
        <v>2550</v>
      </c>
      <c r="AC55" s="16" t="n">
        <v>6.666666666666667</v>
      </c>
      <c r="AD55" s="16" t="n"/>
      <c r="AE55" s="16" t="inlineStr">
        <is>
          <t>P_baja</t>
        </is>
      </c>
    </row>
    <row r="56">
      <c r="A56" s="16" t="inlineStr">
        <is>
          <t>KF-M02-N1-0012</t>
        </is>
      </c>
      <c r="B56" s="16" t="inlineStr">
        <is>
          <t>2.1</t>
        </is>
      </c>
      <c r="C56" s="16" t="inlineStr">
        <is>
          <t>2.1</t>
        </is>
      </c>
      <c r="D56" s="16" t="inlineStr">
        <is>
          <t>una variable a la vez</t>
        </is>
      </c>
      <c r="E56" s="16" t="inlineStr">
        <is>
          <t>KF-M02-N1</t>
        </is>
      </c>
      <c r="F56" s="16" t="inlineStr">
        <is>
          <t>KF-M02-N1</t>
        </is>
      </c>
      <c r="G56" s="16" t="inlineStr">
        <is>
          <t>B02</t>
        </is>
      </c>
      <c r="H56" s="16" t="inlineStr">
        <is>
          <t>malla</t>
        </is>
      </c>
      <c r="I56" s="16" t="inlineStr">
        <is>
          <t>NO_CONVERGIO</t>
        </is>
      </c>
      <c r="J56" s="16" t="inlineStr">
        <is>
          <t>NO_CONVERGIO</t>
        </is>
      </c>
      <c r="K56" s="16" t="b">
        <v>0</v>
      </c>
      <c r="L56" s="16" t="b">
        <v>0</v>
      </c>
      <c r="M56" s="16" t="b">
        <v>0</v>
      </c>
      <c r="N56" s="16" t="b">
        <v>0</v>
      </c>
      <c r="O56" s="16" t="n">
        <v>623.15</v>
      </c>
      <c r="P56" s="16" t="n">
        <v>300.032917</v>
      </c>
      <c r="Q56" s="16" t="n">
        <v>3000</v>
      </c>
      <c r="R56" s="16" t="n">
        <v>600</v>
      </c>
      <c r="S56" s="16" t="n">
        <v>0.5</v>
      </c>
      <c r="T56" s="16" t="n">
        <v>0.85</v>
      </c>
      <c r="U56" s="16" t="n">
        <v>0.75</v>
      </c>
      <c r="V56" s="16" t="n">
        <v>0.85</v>
      </c>
      <c r="W56" s="16" t="n">
        <v>0.75</v>
      </c>
      <c r="X56" s="16" t="n">
        <v>0.8</v>
      </c>
      <c r="Y56" s="16" t="n"/>
      <c r="Z56" s="16" t="n"/>
      <c r="AA56" s="16" t="n"/>
      <c r="AB56" s="16" t="n">
        <v>2400</v>
      </c>
      <c r="AC56" s="16" t="n">
        <v>5</v>
      </c>
      <c r="AD56" s="16" t="n"/>
      <c r="AE56" s="16" t="inlineStr">
        <is>
          <t>P_baja</t>
        </is>
      </c>
    </row>
    <row r="57">
      <c r="A57" s="16" t="inlineStr">
        <is>
          <t>KF-M02-N1-0013</t>
        </is>
      </c>
      <c r="B57" s="16" t="inlineStr">
        <is>
          <t>2.1</t>
        </is>
      </c>
      <c r="C57" s="16" t="inlineStr">
        <is>
          <t>2.1</t>
        </is>
      </c>
      <c r="D57" s="16" t="inlineStr">
        <is>
          <t>una variable a la vez</t>
        </is>
      </c>
      <c r="E57" s="16" t="inlineStr">
        <is>
          <t>KF-M02-N1</t>
        </is>
      </c>
      <c r="F57" s="16" t="inlineStr">
        <is>
          <t>KF-M02-N1</t>
        </is>
      </c>
      <c r="G57" s="16" t="inlineStr">
        <is>
          <t>B02</t>
        </is>
      </c>
      <c r="H57" s="16" t="inlineStr">
        <is>
          <t>malla</t>
        </is>
      </c>
      <c r="I57" s="16" t="inlineStr">
        <is>
          <t>N2</t>
        </is>
      </c>
      <c r="J57" s="16" t="inlineStr">
        <is>
          <t>NO_CONVERGIO</t>
        </is>
      </c>
      <c r="K57" s="16" t="b">
        <v>0</v>
      </c>
      <c r="L57" s="16" t="b">
        <v>0</v>
      </c>
      <c r="M57" s="16" t="b">
        <v>1</v>
      </c>
      <c r="N57" s="16" t="b">
        <v>0</v>
      </c>
      <c r="O57" s="16" t="n">
        <v>623.15</v>
      </c>
      <c r="P57" s="16" t="n">
        <v>300.032917</v>
      </c>
      <c r="Q57" s="16" t="n">
        <v>8000</v>
      </c>
      <c r="R57" s="16" t="n">
        <v>400</v>
      </c>
      <c r="S57" s="16" t="n">
        <v>0.5</v>
      </c>
      <c r="T57" s="16" t="n">
        <v>0.85</v>
      </c>
      <c r="U57" s="16" t="n">
        <v>0.75</v>
      </c>
      <c r="V57" s="16" t="n">
        <v>0.85</v>
      </c>
      <c r="W57" s="16" t="n">
        <v>0.75</v>
      </c>
      <c r="X57" s="16" t="n">
        <v>0.8</v>
      </c>
      <c r="Y57" s="16" t="n"/>
      <c r="Z57" s="16" t="n">
        <v>21.96139875162484</v>
      </c>
      <c r="AA57" s="16" t="n">
        <v>416.3581489211599</v>
      </c>
      <c r="AB57" s="16" t="n">
        <v>7600</v>
      </c>
      <c r="AC57" s="16" t="n">
        <v>20</v>
      </c>
      <c r="AD57" s="16" t="inlineStr">
        <is>
          <t>N2,O1,O2,O5,C1,C3,C3</t>
        </is>
      </c>
      <c r="AE57" s="16" t="inlineStr">
        <is>
          <t>P_alta</t>
        </is>
      </c>
    </row>
    <row r="58">
      <c r="A58" s="16" t="inlineStr">
        <is>
          <t>KF-M02-N1-0014</t>
        </is>
      </c>
      <c r="B58" s="16" t="inlineStr">
        <is>
          <t>2.1</t>
        </is>
      </c>
      <c r="C58" s="16" t="inlineStr">
        <is>
          <t>2.1</t>
        </is>
      </c>
      <c r="D58" s="16" t="inlineStr">
        <is>
          <t>una variable a la vez</t>
        </is>
      </c>
      <c r="E58" s="16" t="inlineStr">
        <is>
          <t>KF-M02-N1</t>
        </is>
      </c>
      <c r="F58" s="16" t="inlineStr">
        <is>
          <t>KF-M02-N1</t>
        </is>
      </c>
      <c r="G58" s="16" t="inlineStr">
        <is>
          <t>B02</t>
        </is>
      </c>
      <c r="H58" s="16" t="inlineStr">
        <is>
          <t>malla</t>
        </is>
      </c>
      <c r="I58" s="16" t="inlineStr">
        <is>
          <t>NO_CONVERGIO</t>
        </is>
      </c>
      <c r="J58" s="16" t="inlineStr">
        <is>
          <t>NO_CONVERGIO</t>
        </is>
      </c>
      <c r="K58" s="16" t="b">
        <v>0</v>
      </c>
      <c r="L58" s="16" t="b">
        <v>0</v>
      </c>
      <c r="M58" s="16" t="b">
        <v>0</v>
      </c>
      <c r="N58" s="16" t="b">
        <v>0</v>
      </c>
      <c r="O58" s="16" t="n">
        <v>623.15</v>
      </c>
      <c r="P58" s="16" t="n">
        <v>300.032917</v>
      </c>
      <c r="Q58" s="16" t="n">
        <v>3000</v>
      </c>
      <c r="R58" s="16" t="n">
        <v>1200</v>
      </c>
      <c r="S58" s="16" t="n">
        <v>0.5</v>
      </c>
      <c r="T58" s="16" t="n">
        <v>0.85</v>
      </c>
      <c r="U58" s="16" t="n">
        <v>0.75</v>
      </c>
      <c r="V58" s="16" t="n">
        <v>0.85</v>
      </c>
      <c r="W58" s="16" t="n">
        <v>0.75</v>
      </c>
      <c r="X58" s="16" t="n">
        <v>0.8</v>
      </c>
      <c r="Y58" s="16" t="n"/>
      <c r="Z58" s="16" t="n"/>
      <c r="AA58" s="16" t="n"/>
      <c r="AB58" s="16" t="n">
        <v>1800</v>
      </c>
      <c r="AC58" s="16" t="n">
        <v>2.5</v>
      </c>
      <c r="AD58" s="16" t="n"/>
      <c r="AE58" s="16" t="inlineStr">
        <is>
          <t>P_baja</t>
        </is>
      </c>
    </row>
    <row r="59">
      <c r="A59" s="16" t="inlineStr">
        <is>
          <t>KF-M02-N1-0015</t>
        </is>
      </c>
      <c r="B59" s="16" t="inlineStr">
        <is>
          <t>2.1</t>
        </is>
      </c>
      <c r="C59" s="16" t="inlineStr">
        <is>
          <t>2.1</t>
        </is>
      </c>
      <c r="D59" s="16" t="inlineStr">
        <is>
          <t>una variable a la vez</t>
        </is>
      </c>
      <c r="E59" s="16" t="inlineStr">
        <is>
          <t>KF-M02-N1</t>
        </is>
      </c>
      <c r="F59" s="16" t="inlineStr">
        <is>
          <t>KF-M02-N1</t>
        </is>
      </c>
      <c r="G59" s="16" t="inlineStr">
        <is>
          <t>B02</t>
        </is>
      </c>
      <c r="H59" s="16" t="inlineStr">
        <is>
          <t>malla</t>
        </is>
      </c>
      <c r="I59" s="16" t="inlineStr">
        <is>
          <t>NO_CONVERGIO</t>
        </is>
      </c>
      <c r="J59" s="16" t="inlineStr">
        <is>
          <t>NO_CONVERGIO</t>
        </is>
      </c>
      <c r="K59" s="16" t="b">
        <v>0</v>
      </c>
      <c r="L59" s="16" t="b">
        <v>0</v>
      </c>
      <c r="M59" s="16" t="b">
        <v>0</v>
      </c>
      <c r="N59" s="16" t="b">
        <v>0</v>
      </c>
      <c r="O59" s="16" t="n">
        <v>623.15</v>
      </c>
      <c r="P59" s="16" t="n">
        <v>300.032917</v>
      </c>
      <c r="Q59" s="16" t="n">
        <v>3000</v>
      </c>
      <c r="R59" s="16" t="n">
        <v>1050</v>
      </c>
      <c r="S59" s="16" t="n">
        <v>0.5</v>
      </c>
      <c r="T59" s="16" t="n">
        <v>0.85</v>
      </c>
      <c r="U59" s="16" t="n">
        <v>0.75</v>
      </c>
      <c r="V59" s="16" t="n">
        <v>0.85</v>
      </c>
      <c r="W59" s="16" t="n">
        <v>0.75</v>
      </c>
      <c r="X59" s="16" t="n">
        <v>0.8</v>
      </c>
      <c r="Y59" s="16" t="n"/>
      <c r="Z59" s="16" t="n"/>
      <c r="AA59" s="16" t="n"/>
      <c r="AB59" s="16" t="n">
        <v>1950</v>
      </c>
      <c r="AC59" s="16" t="n">
        <v>2.857142857142857</v>
      </c>
      <c r="AD59" s="16" t="n"/>
      <c r="AE59" s="16" t="inlineStr">
        <is>
          <t>P_baja</t>
        </is>
      </c>
    </row>
    <row r="60">
      <c r="A60" s="16" t="inlineStr">
        <is>
          <t>KF-M02-N1-0016</t>
        </is>
      </c>
      <c r="B60" s="16" t="inlineStr">
        <is>
          <t>2.1</t>
        </is>
      </c>
      <c r="C60" s="16" t="inlineStr">
        <is>
          <t>2.1</t>
        </is>
      </c>
      <c r="D60" s="16" t="inlineStr">
        <is>
          <t>una variable a la vez</t>
        </is>
      </c>
      <c r="E60" s="16" t="inlineStr">
        <is>
          <t>KF-M02-N1</t>
        </is>
      </c>
      <c r="F60" s="16" t="inlineStr">
        <is>
          <t>KF-M02-N1</t>
        </is>
      </c>
      <c r="G60" s="16" t="inlineStr">
        <is>
          <t>B02</t>
        </is>
      </c>
      <c r="H60" s="16" t="inlineStr">
        <is>
          <t>malla</t>
        </is>
      </c>
      <c r="I60" s="16" t="inlineStr">
        <is>
          <t>NO_CONVERGIO</t>
        </is>
      </c>
      <c r="J60" s="16" t="inlineStr">
        <is>
          <t>NO_CONVERGIO</t>
        </is>
      </c>
      <c r="K60" s="16" t="b">
        <v>0</v>
      </c>
      <c r="L60" s="16" t="b">
        <v>0</v>
      </c>
      <c r="M60" s="16" t="b">
        <v>0</v>
      </c>
      <c r="N60" s="16" t="b">
        <v>0</v>
      </c>
      <c r="O60" s="16" t="n">
        <v>623.15</v>
      </c>
      <c r="P60" s="16" t="n">
        <v>300.032917</v>
      </c>
      <c r="Q60" s="16" t="n">
        <v>3000</v>
      </c>
      <c r="R60" s="16" t="n">
        <v>750</v>
      </c>
      <c r="S60" s="16" t="n">
        <v>0.5</v>
      </c>
      <c r="T60" s="16" t="n">
        <v>0.85</v>
      </c>
      <c r="U60" s="16" t="n">
        <v>0.75</v>
      </c>
      <c r="V60" s="16" t="n">
        <v>0.85</v>
      </c>
      <c r="W60" s="16" t="n">
        <v>0.75</v>
      </c>
      <c r="X60" s="16" t="n">
        <v>0.8</v>
      </c>
      <c r="Y60" s="16" t="n"/>
      <c r="Z60" s="16" t="n"/>
      <c r="AA60" s="16" t="n"/>
      <c r="AB60" s="16" t="n">
        <v>2250</v>
      </c>
      <c r="AC60" s="16" t="n">
        <v>4</v>
      </c>
      <c r="AD60" s="16" t="n"/>
      <c r="AE60" s="16" t="inlineStr">
        <is>
          <t>P_baja</t>
        </is>
      </c>
    </row>
    <row r="61">
      <c r="A61" s="16" t="inlineStr">
        <is>
          <t>KF-M02-N1-0017</t>
        </is>
      </c>
      <c r="B61" s="16" t="inlineStr">
        <is>
          <t>2.1</t>
        </is>
      </c>
      <c r="C61" s="16" t="inlineStr">
        <is>
          <t>2.1</t>
        </is>
      </c>
      <c r="D61" s="16" t="inlineStr">
        <is>
          <t>una variable a la vez</t>
        </is>
      </c>
      <c r="E61" s="16" t="inlineStr">
        <is>
          <t>KF-M02-N1</t>
        </is>
      </c>
      <c r="F61" s="16" t="inlineStr">
        <is>
          <t>KF-M02-N1</t>
        </is>
      </c>
      <c r="G61" s="16" t="inlineStr">
        <is>
          <t>B02</t>
        </is>
      </c>
      <c r="H61" s="16" t="inlineStr">
        <is>
          <t>malla</t>
        </is>
      </c>
      <c r="I61" s="16" t="inlineStr">
        <is>
          <t>NO_CONVERGIO</t>
        </is>
      </c>
      <c r="J61" s="16" t="inlineStr">
        <is>
          <t>NO_CONVERGIO</t>
        </is>
      </c>
      <c r="K61" s="16" t="b">
        <v>0</v>
      </c>
      <c r="L61" s="16" t="b">
        <v>0</v>
      </c>
      <c r="M61" s="16" t="b">
        <v>0</v>
      </c>
      <c r="N61" s="16" t="b">
        <v>0</v>
      </c>
      <c r="O61" s="16" t="n">
        <v>623.15</v>
      </c>
      <c r="P61" s="16" t="n">
        <v>300.032917</v>
      </c>
      <c r="Q61" s="16" t="n">
        <v>3000</v>
      </c>
      <c r="R61" s="16" t="n">
        <v>900</v>
      </c>
      <c r="S61" s="16" t="n">
        <v>0.5</v>
      </c>
      <c r="T61" s="16" t="n">
        <v>0.85</v>
      </c>
      <c r="U61" s="16" t="n">
        <v>0.75</v>
      </c>
      <c r="V61" s="16" t="n">
        <v>0.85</v>
      </c>
      <c r="W61" s="16" t="n">
        <v>0.75</v>
      </c>
      <c r="X61" s="16" t="n">
        <v>0.8</v>
      </c>
      <c r="Y61" s="16" t="n"/>
      <c r="Z61" s="16" t="n"/>
      <c r="AA61" s="16" t="n"/>
      <c r="AB61" s="16" t="n">
        <v>2100</v>
      </c>
      <c r="AC61" s="16" t="n">
        <v>3.333333333333333</v>
      </c>
      <c r="AD61" s="16" t="n"/>
      <c r="AE61" s="16" t="inlineStr">
        <is>
          <t>P_baja</t>
        </is>
      </c>
    </row>
    <row r="62">
      <c r="A62" s="16" t="inlineStr">
        <is>
          <t>KF-M02-N1-0018</t>
        </is>
      </c>
      <c r="B62" s="16" t="inlineStr">
        <is>
          <t>2.1</t>
        </is>
      </c>
      <c r="C62" s="16" t="inlineStr">
        <is>
          <t>2.1</t>
        </is>
      </c>
      <c r="D62" s="16" t="inlineStr">
        <is>
          <t>una variable a la vez</t>
        </is>
      </c>
      <c r="E62" s="16" t="inlineStr">
        <is>
          <t>KF-M02-N1</t>
        </is>
      </c>
      <c r="F62" s="16" t="inlineStr">
        <is>
          <t>KF-M02-N1</t>
        </is>
      </c>
      <c r="G62" s="16" t="inlineStr">
        <is>
          <t>B02</t>
        </is>
      </c>
      <c r="H62" s="16" t="inlineStr">
        <is>
          <t>malla</t>
        </is>
      </c>
      <c r="I62" s="16" t="inlineStr">
        <is>
          <t>NO_CONVERGIO</t>
        </is>
      </c>
      <c r="J62" s="16" t="inlineStr">
        <is>
          <t>NO_CONVERGIO</t>
        </is>
      </c>
      <c r="K62" s="16" t="b">
        <v>0</v>
      </c>
      <c r="L62" s="16" t="b">
        <v>0</v>
      </c>
      <c r="M62" s="16" t="b">
        <v>0</v>
      </c>
      <c r="N62" s="16" t="b">
        <v>0</v>
      </c>
      <c r="O62" s="16" t="n">
        <v>623.15</v>
      </c>
      <c r="P62" s="16" t="n">
        <v>300.032917</v>
      </c>
      <c r="Q62" s="16" t="n">
        <v>3000</v>
      </c>
      <c r="R62" s="16" t="n">
        <v>1350</v>
      </c>
      <c r="S62" s="16" t="n">
        <v>0.5</v>
      </c>
      <c r="T62" s="16" t="n">
        <v>0.85</v>
      </c>
      <c r="U62" s="16" t="n">
        <v>0.75</v>
      </c>
      <c r="V62" s="16" t="n">
        <v>0.85</v>
      </c>
      <c r="W62" s="16" t="n">
        <v>0.75</v>
      </c>
      <c r="X62" s="16" t="n">
        <v>0.8</v>
      </c>
      <c r="Y62" s="16" t="n"/>
      <c r="Z62" s="16" t="n"/>
      <c r="AA62" s="16" t="n"/>
      <c r="AB62" s="16" t="n">
        <v>1650</v>
      </c>
      <c r="AC62" s="16" t="n">
        <v>2.222222222222222</v>
      </c>
      <c r="AD62" s="16" t="n"/>
      <c r="AE62" s="16" t="inlineStr">
        <is>
          <t>P_baja</t>
        </is>
      </c>
    </row>
    <row r="63">
      <c r="A63" s="16" t="inlineStr">
        <is>
          <t>KF-M02-N1-0019</t>
        </is>
      </c>
      <c r="B63" s="16" t="inlineStr">
        <is>
          <t>2.1</t>
        </is>
      </c>
      <c r="C63" s="16" t="inlineStr">
        <is>
          <t>2.1</t>
        </is>
      </c>
      <c r="D63" s="16" t="inlineStr">
        <is>
          <t>una variable a la vez</t>
        </is>
      </c>
      <c r="E63" s="16" t="inlineStr">
        <is>
          <t>KF-M02-N1</t>
        </is>
      </c>
      <c r="F63" s="16" t="inlineStr">
        <is>
          <t>KF-M02-N1</t>
        </is>
      </c>
      <c r="G63" s="16" t="inlineStr">
        <is>
          <t>B02</t>
        </is>
      </c>
      <c r="H63" s="16" t="inlineStr">
        <is>
          <t>malla</t>
        </is>
      </c>
      <c r="I63" s="16" t="inlineStr">
        <is>
          <t>NO_CONVERGIO</t>
        </is>
      </c>
      <c r="J63" s="16" t="inlineStr">
        <is>
          <t>NO_CONVERGIO</t>
        </is>
      </c>
      <c r="K63" s="16" t="b">
        <v>0</v>
      </c>
      <c r="L63" s="16" t="b">
        <v>0</v>
      </c>
      <c r="M63" s="16" t="b">
        <v>0</v>
      </c>
      <c r="N63" s="16" t="b">
        <v>0</v>
      </c>
      <c r="O63" s="16" t="n">
        <v>623.15</v>
      </c>
      <c r="P63" s="16" t="n">
        <v>300.032917</v>
      </c>
      <c r="Q63" s="16" t="n">
        <v>3000</v>
      </c>
      <c r="R63" s="16" t="n">
        <v>400</v>
      </c>
      <c r="S63" s="16" t="n">
        <v>0.3666666666666667</v>
      </c>
      <c r="T63" s="16" t="n">
        <v>0.85</v>
      </c>
      <c r="U63" s="16" t="n">
        <v>0.75</v>
      </c>
      <c r="V63" s="16" t="n">
        <v>0.85</v>
      </c>
      <c r="W63" s="16" t="n">
        <v>0.75</v>
      </c>
      <c r="X63" s="16" t="n">
        <v>0.8</v>
      </c>
      <c r="Y63" s="16" t="n"/>
      <c r="Z63" s="16" t="n"/>
      <c r="AA63" s="16" t="n"/>
      <c r="AB63" s="16" t="n">
        <v>2600</v>
      </c>
      <c r="AC63" s="16" t="n">
        <v>7.5</v>
      </c>
      <c r="AD63" s="16" t="n"/>
      <c r="AE63" s="16" t="inlineStr">
        <is>
          <t>x_b</t>
        </is>
      </c>
    </row>
    <row r="64">
      <c r="A64" s="16" t="inlineStr">
        <is>
          <t>KF-M02-N1-0020</t>
        </is>
      </c>
      <c r="B64" s="16" t="inlineStr">
        <is>
          <t>2.1</t>
        </is>
      </c>
      <c r="C64" s="16" t="inlineStr">
        <is>
          <t>2.1</t>
        </is>
      </c>
      <c r="D64" s="16" t="inlineStr">
        <is>
          <t>una variable a la vez</t>
        </is>
      </c>
      <c r="E64" s="16" t="inlineStr">
        <is>
          <t>KF-M02-N1</t>
        </is>
      </c>
      <c r="F64" s="16" t="inlineStr">
        <is>
          <t>KF-M02-N1</t>
        </is>
      </c>
      <c r="G64" s="16" t="inlineStr">
        <is>
          <t>B02</t>
        </is>
      </c>
      <c r="H64" s="16" t="inlineStr">
        <is>
          <t>malla</t>
        </is>
      </c>
      <c r="I64" s="16" t="inlineStr">
        <is>
          <t>NO_CONVERGIO</t>
        </is>
      </c>
      <c r="J64" s="16" t="inlineStr">
        <is>
          <t>NO_CONVERGIO</t>
        </is>
      </c>
      <c r="K64" s="16" t="b">
        <v>0</v>
      </c>
      <c r="L64" s="16" t="b">
        <v>0</v>
      </c>
      <c r="M64" s="16" t="b">
        <v>0</v>
      </c>
      <c r="N64" s="16" t="b">
        <v>0</v>
      </c>
      <c r="O64" s="16" t="n">
        <v>623.15</v>
      </c>
      <c r="P64" s="16" t="n">
        <v>300.032917</v>
      </c>
      <c r="Q64" s="16" t="n">
        <v>3000</v>
      </c>
      <c r="R64" s="16" t="n">
        <v>1500</v>
      </c>
      <c r="S64" s="16" t="n">
        <v>0.5</v>
      </c>
      <c r="T64" s="16" t="n">
        <v>0.85</v>
      </c>
      <c r="U64" s="16" t="n">
        <v>0.75</v>
      </c>
      <c r="V64" s="16" t="n">
        <v>0.85</v>
      </c>
      <c r="W64" s="16" t="n">
        <v>0.75</v>
      </c>
      <c r="X64" s="16" t="n">
        <v>0.8</v>
      </c>
      <c r="Y64" s="16" t="n"/>
      <c r="Z64" s="16" t="n"/>
      <c r="AA64" s="16" t="n"/>
      <c r="AB64" s="16" t="n">
        <v>1500</v>
      </c>
      <c r="AC64" s="16" t="n">
        <v>2</v>
      </c>
      <c r="AD64" s="16" t="n"/>
      <c r="AE64" s="16" t="inlineStr">
        <is>
          <t>P_baja</t>
        </is>
      </c>
    </row>
    <row r="65">
      <c r="A65" s="16" t="inlineStr">
        <is>
          <t>KF-M02-N1-0021</t>
        </is>
      </c>
      <c r="B65" s="16" t="inlineStr">
        <is>
          <t>2.1</t>
        </is>
      </c>
      <c r="C65" s="16" t="inlineStr">
        <is>
          <t>2.1</t>
        </is>
      </c>
      <c r="D65" s="16" t="inlineStr">
        <is>
          <t>una variable a la vez</t>
        </is>
      </c>
      <c r="E65" s="16" t="inlineStr">
        <is>
          <t>KF-M02-N1</t>
        </is>
      </c>
      <c r="F65" s="16" t="inlineStr">
        <is>
          <t>KF-M02-N1</t>
        </is>
      </c>
      <c r="G65" s="16" t="inlineStr">
        <is>
          <t>B02</t>
        </is>
      </c>
      <c r="H65" s="16" t="inlineStr">
        <is>
          <t>malla</t>
        </is>
      </c>
      <c r="I65" s="16" t="inlineStr">
        <is>
          <t>NO_CONVERGIO</t>
        </is>
      </c>
      <c r="J65" s="16" t="inlineStr">
        <is>
          <t>NO_CONVERGIO</t>
        </is>
      </c>
      <c r="K65" s="16" t="b">
        <v>0</v>
      </c>
      <c r="L65" s="16" t="b">
        <v>0</v>
      </c>
      <c r="M65" s="16" t="b">
        <v>0</v>
      </c>
      <c r="N65" s="16" t="b">
        <v>0</v>
      </c>
      <c r="O65" s="16" t="n">
        <v>623.15</v>
      </c>
      <c r="P65" s="16" t="n">
        <v>300.032917</v>
      </c>
      <c r="Q65" s="16" t="n">
        <v>3000</v>
      </c>
      <c r="R65" s="16" t="n">
        <v>400</v>
      </c>
      <c r="S65" s="16" t="n">
        <v>0.5</v>
      </c>
      <c r="T65" s="16" t="n">
        <v>0.85</v>
      </c>
      <c r="U65" s="16" t="n">
        <v>0.75</v>
      </c>
      <c r="V65" s="16" t="n">
        <v>0.85</v>
      </c>
      <c r="W65" s="16" t="n">
        <v>0.75</v>
      </c>
      <c r="X65" s="16" t="n">
        <v>0.8</v>
      </c>
      <c r="Y65" s="16" t="n"/>
      <c r="Z65" s="16" t="n"/>
      <c r="AA65" s="16" t="n"/>
      <c r="AB65" s="16" t="n">
        <v>2600</v>
      </c>
      <c r="AC65" s="16" t="n">
        <v>7.5</v>
      </c>
      <c r="AD65" s="16" t="n"/>
      <c r="AE65" s="16" t="inlineStr">
        <is>
          <t>x_b</t>
        </is>
      </c>
    </row>
    <row r="66">
      <c r="A66" s="16" t="inlineStr">
        <is>
          <t>KF-M02-N1-0022</t>
        </is>
      </c>
      <c r="B66" s="16" t="inlineStr">
        <is>
          <t>2.1</t>
        </is>
      </c>
      <c r="C66" s="16" t="inlineStr">
        <is>
          <t>2.1</t>
        </is>
      </c>
      <c r="D66" s="16" t="inlineStr">
        <is>
          <t>una variable a la vez</t>
        </is>
      </c>
      <c r="E66" s="16" t="inlineStr">
        <is>
          <t>KF-M02-N1</t>
        </is>
      </c>
      <c r="F66" s="16" t="inlineStr">
        <is>
          <t>KF-M02-N1</t>
        </is>
      </c>
      <c r="G66" s="16" t="inlineStr">
        <is>
          <t>B02</t>
        </is>
      </c>
      <c r="H66" s="16" t="inlineStr">
        <is>
          <t>malla</t>
        </is>
      </c>
      <c r="I66" s="16" t="inlineStr">
        <is>
          <t>NO_CONVERGIO</t>
        </is>
      </c>
      <c r="J66" s="16" t="inlineStr">
        <is>
          <t>NO_CONVERGIO</t>
        </is>
      </c>
      <c r="K66" s="16" t="b">
        <v>0</v>
      </c>
      <c r="L66" s="16" t="b">
        <v>0</v>
      </c>
      <c r="M66" s="16" t="b">
        <v>0</v>
      </c>
      <c r="N66" s="16" t="b">
        <v>0</v>
      </c>
      <c r="O66" s="16" t="n">
        <v>623.15</v>
      </c>
      <c r="P66" s="16" t="n">
        <v>300.032917</v>
      </c>
      <c r="Q66" s="16" t="n">
        <v>3000</v>
      </c>
      <c r="R66" s="16" t="n">
        <v>400</v>
      </c>
      <c r="S66" s="16" t="n">
        <v>0.4333333333333333</v>
      </c>
      <c r="T66" s="16" t="n">
        <v>0.85</v>
      </c>
      <c r="U66" s="16" t="n">
        <v>0.75</v>
      </c>
      <c r="V66" s="16" t="n">
        <v>0.85</v>
      </c>
      <c r="W66" s="16" t="n">
        <v>0.75</v>
      </c>
      <c r="X66" s="16" t="n">
        <v>0.8</v>
      </c>
      <c r="Y66" s="16" t="n"/>
      <c r="Z66" s="16" t="n"/>
      <c r="AA66" s="16" t="n"/>
      <c r="AB66" s="16" t="n">
        <v>2600</v>
      </c>
      <c r="AC66" s="16" t="n">
        <v>7.5</v>
      </c>
      <c r="AD66" s="16" t="n"/>
      <c r="AE66" s="16" t="inlineStr">
        <is>
          <t>x_b</t>
        </is>
      </c>
    </row>
    <row r="67">
      <c r="A67" s="16" t="inlineStr">
        <is>
          <t>KF-M02-N1-0023</t>
        </is>
      </c>
      <c r="B67" s="16" t="inlineStr">
        <is>
          <t>2.1</t>
        </is>
      </c>
      <c r="C67" s="16" t="inlineStr">
        <is>
          <t>2.1</t>
        </is>
      </c>
      <c r="D67" s="16" t="inlineStr">
        <is>
          <t>una variable a la vez</t>
        </is>
      </c>
      <c r="E67" s="16" t="inlineStr">
        <is>
          <t>KF-M02-N1</t>
        </is>
      </c>
      <c r="F67" s="16" t="inlineStr">
        <is>
          <t>KF-M02-N1</t>
        </is>
      </c>
      <c r="G67" s="16" t="inlineStr">
        <is>
          <t>B02</t>
        </is>
      </c>
      <c r="H67" s="16" t="inlineStr">
        <is>
          <t>malla</t>
        </is>
      </c>
      <c r="I67" s="16" t="inlineStr">
        <is>
          <t>NO_CONVERGIO</t>
        </is>
      </c>
      <c r="J67" s="16" t="inlineStr">
        <is>
          <t>NO_CONVERGIO</t>
        </is>
      </c>
      <c r="K67" s="16" t="b">
        <v>0</v>
      </c>
      <c r="L67" s="16" t="b">
        <v>0</v>
      </c>
      <c r="M67" s="16" t="b">
        <v>0</v>
      </c>
      <c r="N67" s="16" t="b">
        <v>0</v>
      </c>
      <c r="O67" s="16" t="n">
        <v>623.15</v>
      </c>
      <c r="P67" s="16" t="n">
        <v>300.032917</v>
      </c>
      <c r="Q67" s="16" t="n">
        <v>3000</v>
      </c>
      <c r="R67" s="16" t="n">
        <v>400</v>
      </c>
      <c r="S67" s="16" t="n">
        <v>0.6333333333333333</v>
      </c>
      <c r="T67" s="16" t="n">
        <v>0.85</v>
      </c>
      <c r="U67" s="16" t="n">
        <v>0.75</v>
      </c>
      <c r="V67" s="16" t="n">
        <v>0.85</v>
      </c>
      <c r="W67" s="16" t="n">
        <v>0.75</v>
      </c>
      <c r="X67" s="16" t="n">
        <v>0.8</v>
      </c>
      <c r="Y67" s="16" t="n"/>
      <c r="Z67" s="16" t="n"/>
      <c r="AA67" s="16" t="n"/>
      <c r="AB67" s="16" t="n">
        <v>2600</v>
      </c>
      <c r="AC67" s="16" t="n">
        <v>7.5</v>
      </c>
      <c r="AD67" s="16" t="n"/>
      <c r="AE67" s="16" t="inlineStr">
        <is>
          <t>x_b</t>
        </is>
      </c>
    </row>
    <row r="68">
      <c r="A68" s="16" t="inlineStr">
        <is>
          <t>KF-M02-N1-0024</t>
        </is>
      </c>
      <c r="B68" s="16" t="inlineStr">
        <is>
          <t>2.1</t>
        </is>
      </c>
      <c r="C68" s="16" t="inlineStr">
        <is>
          <t>2.1</t>
        </is>
      </c>
      <c r="D68" s="16" t="inlineStr">
        <is>
          <t>una variable a la vez</t>
        </is>
      </c>
      <c r="E68" s="16" t="inlineStr">
        <is>
          <t>KF-M02-N1</t>
        </is>
      </c>
      <c r="F68" s="16" t="inlineStr">
        <is>
          <t>KF-M02-N1</t>
        </is>
      </c>
      <c r="G68" s="16" t="inlineStr">
        <is>
          <t>B02</t>
        </is>
      </c>
      <c r="H68" s="16" t="inlineStr">
        <is>
          <t>malla</t>
        </is>
      </c>
      <c r="I68" s="16" t="inlineStr">
        <is>
          <t>NO_CONVERGIO</t>
        </is>
      </c>
      <c r="J68" s="16" t="inlineStr">
        <is>
          <t>NO_CONVERGIO</t>
        </is>
      </c>
      <c r="K68" s="16" t="b">
        <v>0</v>
      </c>
      <c r="L68" s="16" t="b">
        <v>0</v>
      </c>
      <c r="M68" s="16" t="b">
        <v>0</v>
      </c>
      <c r="N68" s="16" t="b">
        <v>0</v>
      </c>
      <c r="O68" s="16" t="n">
        <v>623.15</v>
      </c>
      <c r="P68" s="16" t="n">
        <v>300.032917</v>
      </c>
      <c r="Q68" s="16" t="n">
        <v>3000</v>
      </c>
      <c r="R68" s="16" t="n">
        <v>400</v>
      </c>
      <c r="S68" s="16" t="n">
        <v>0.5666666666666667</v>
      </c>
      <c r="T68" s="16" t="n">
        <v>0.85</v>
      </c>
      <c r="U68" s="16" t="n">
        <v>0.75</v>
      </c>
      <c r="V68" s="16" t="n">
        <v>0.85</v>
      </c>
      <c r="W68" s="16" t="n">
        <v>0.75</v>
      </c>
      <c r="X68" s="16" t="n">
        <v>0.8</v>
      </c>
      <c r="Y68" s="16" t="n"/>
      <c r="Z68" s="16" t="n"/>
      <c r="AA68" s="16" t="n"/>
      <c r="AB68" s="16" t="n">
        <v>2600</v>
      </c>
      <c r="AC68" s="16" t="n">
        <v>7.5</v>
      </c>
      <c r="AD68" s="16" t="n"/>
      <c r="AE68" s="16" t="inlineStr">
        <is>
          <t>x_b</t>
        </is>
      </c>
    </row>
    <row r="69">
      <c r="A69" s="16" t="inlineStr">
        <is>
          <t>KF-M02-N1-0025</t>
        </is>
      </c>
      <c r="B69" s="16" t="inlineStr">
        <is>
          <t>2.1</t>
        </is>
      </c>
      <c r="C69" s="16" t="inlineStr">
        <is>
          <t>2.1</t>
        </is>
      </c>
      <c r="D69" s="16" t="inlineStr">
        <is>
          <t>una variable a la vez</t>
        </is>
      </c>
      <c r="E69" s="16" t="inlineStr">
        <is>
          <t>KF-M02-N1</t>
        </is>
      </c>
      <c r="F69" s="16" t="inlineStr">
        <is>
          <t>KF-M02-N1</t>
        </is>
      </c>
      <c r="G69" s="16" t="inlineStr">
        <is>
          <t>B02</t>
        </is>
      </c>
      <c r="H69" s="16" t="inlineStr">
        <is>
          <t>malla</t>
        </is>
      </c>
      <c r="I69" s="16" t="inlineStr">
        <is>
          <t>NO_CONVERGIO</t>
        </is>
      </c>
      <c r="J69" s="16" t="inlineStr">
        <is>
          <t>NO_CONVERGIO</t>
        </is>
      </c>
      <c r="K69" s="16" t="b">
        <v>0</v>
      </c>
      <c r="L69" s="16" t="b">
        <v>0</v>
      </c>
      <c r="M69" s="16" t="b">
        <v>0</v>
      </c>
      <c r="N69" s="16" t="b">
        <v>0</v>
      </c>
      <c r="O69" s="16" t="n">
        <v>623.15</v>
      </c>
      <c r="P69" s="16" t="n">
        <v>300.032917</v>
      </c>
      <c r="Q69" s="16" t="n">
        <v>3000</v>
      </c>
      <c r="R69" s="16" t="n">
        <v>400</v>
      </c>
      <c r="S69" s="16" t="n">
        <v>0.7000000000000001</v>
      </c>
      <c r="T69" s="16" t="n">
        <v>0.85</v>
      </c>
      <c r="U69" s="16" t="n">
        <v>0.75</v>
      </c>
      <c r="V69" s="16" t="n">
        <v>0.85</v>
      </c>
      <c r="W69" s="16" t="n">
        <v>0.75</v>
      </c>
      <c r="X69" s="16" t="n">
        <v>0.8</v>
      </c>
      <c r="Y69" s="16" t="n"/>
      <c r="Z69" s="16" t="n"/>
      <c r="AA69" s="16" t="n"/>
      <c r="AB69" s="16" t="n">
        <v>2600</v>
      </c>
      <c r="AC69" s="16" t="n">
        <v>7.5</v>
      </c>
      <c r="AD69" s="16" t="n"/>
      <c r="AE69" s="16" t="inlineStr">
        <is>
          <t>x_b</t>
        </is>
      </c>
    </row>
    <row r="70">
      <c r="A70" s="16" t="inlineStr">
        <is>
          <t>KF-M02-N1-0026</t>
        </is>
      </c>
      <c r="B70" s="16" t="inlineStr">
        <is>
          <t>2.1</t>
        </is>
      </c>
      <c r="C70" s="16" t="inlineStr">
        <is>
          <t>2.1</t>
        </is>
      </c>
      <c r="D70" s="16" t="inlineStr">
        <is>
          <t>una variable a la vez</t>
        </is>
      </c>
      <c r="E70" s="16" t="inlineStr">
        <is>
          <t>KF-M02-N1</t>
        </is>
      </c>
      <c r="F70" s="16" t="inlineStr">
        <is>
          <t>KF-M02-N1</t>
        </is>
      </c>
      <c r="G70" s="16" t="inlineStr">
        <is>
          <t>B02</t>
        </is>
      </c>
      <c r="H70" s="16" t="inlineStr">
        <is>
          <t>malla</t>
        </is>
      </c>
      <c r="I70" s="16" t="inlineStr">
        <is>
          <t>NO_CONVERGIO</t>
        </is>
      </c>
      <c r="J70" s="16" t="inlineStr">
        <is>
          <t>NO_CONVERGIO</t>
        </is>
      </c>
      <c r="K70" s="16" t="b">
        <v>0</v>
      </c>
      <c r="L70" s="16" t="b">
        <v>0</v>
      </c>
      <c r="M70" s="16" t="b">
        <v>0</v>
      </c>
      <c r="N70" s="16" t="b">
        <v>0</v>
      </c>
      <c r="O70" s="16" t="n">
        <v>623.15</v>
      </c>
      <c r="P70" s="16" t="n">
        <v>300.032917</v>
      </c>
      <c r="Q70" s="16" t="n">
        <v>3000</v>
      </c>
      <c r="R70" s="16" t="n">
        <v>400</v>
      </c>
      <c r="S70" s="16" t="n">
        <v>0.7666666666666668</v>
      </c>
      <c r="T70" s="16" t="n">
        <v>0.85</v>
      </c>
      <c r="U70" s="16" t="n">
        <v>0.75</v>
      </c>
      <c r="V70" s="16" t="n">
        <v>0.85</v>
      </c>
      <c r="W70" s="16" t="n">
        <v>0.75</v>
      </c>
      <c r="X70" s="16" t="n">
        <v>0.8</v>
      </c>
      <c r="Y70" s="16" t="n"/>
      <c r="Z70" s="16" t="n"/>
      <c r="AA70" s="16" t="n"/>
      <c r="AB70" s="16" t="n">
        <v>2600</v>
      </c>
      <c r="AC70" s="16" t="n">
        <v>7.5</v>
      </c>
      <c r="AD70" s="16" t="n"/>
      <c r="AE70" s="16" t="inlineStr">
        <is>
          <t>x_b</t>
        </is>
      </c>
    </row>
    <row r="71">
      <c r="A71" s="16" t="inlineStr">
        <is>
          <t>KF-M02-N1-0027</t>
        </is>
      </c>
      <c r="B71" s="16" t="inlineStr">
        <is>
          <t>2.1</t>
        </is>
      </c>
      <c r="C71" s="16" t="inlineStr">
        <is>
          <t>2.1</t>
        </is>
      </c>
      <c r="D71" s="16" t="inlineStr">
        <is>
          <t>una variable a la vez</t>
        </is>
      </c>
      <c r="E71" s="16" t="inlineStr">
        <is>
          <t>KF-M02-N1</t>
        </is>
      </c>
      <c r="F71" s="16" t="inlineStr">
        <is>
          <t>KF-M02-N1</t>
        </is>
      </c>
      <c r="G71" s="16" t="inlineStr">
        <is>
          <t>B02</t>
        </is>
      </c>
      <c r="H71" s="16" t="inlineStr">
        <is>
          <t>malla</t>
        </is>
      </c>
      <c r="I71" s="16" t="inlineStr">
        <is>
          <t>NO_CONVERGIO</t>
        </is>
      </c>
      <c r="J71" s="16" t="inlineStr">
        <is>
          <t>NO_CONVERGIO</t>
        </is>
      </c>
      <c r="K71" s="16" t="b">
        <v>0</v>
      </c>
      <c r="L71" s="16" t="b">
        <v>0</v>
      </c>
      <c r="M71" s="16" t="b">
        <v>0</v>
      </c>
      <c r="N71" s="16" t="b">
        <v>0</v>
      </c>
      <c r="O71" s="16" t="n">
        <v>623.15</v>
      </c>
      <c r="P71" s="16" t="n">
        <v>300.032917</v>
      </c>
      <c r="Q71" s="16" t="n">
        <v>3000</v>
      </c>
      <c r="R71" s="16" t="n">
        <v>400</v>
      </c>
      <c r="S71" s="16" t="n">
        <v>0.8333333333333335</v>
      </c>
      <c r="T71" s="16" t="n">
        <v>0.85</v>
      </c>
      <c r="U71" s="16" t="n">
        <v>0.75</v>
      </c>
      <c r="V71" s="16" t="n">
        <v>0.85</v>
      </c>
      <c r="W71" s="16" t="n">
        <v>0.75</v>
      </c>
      <c r="X71" s="16" t="n">
        <v>0.8</v>
      </c>
      <c r="Y71" s="16" t="n"/>
      <c r="Z71" s="16" t="n"/>
      <c r="AA71" s="16" t="n"/>
      <c r="AB71" s="16" t="n">
        <v>2600</v>
      </c>
      <c r="AC71" s="16" t="n">
        <v>7.5</v>
      </c>
      <c r="AD71" s="16" t="n"/>
      <c r="AE71" s="16" t="inlineStr">
        <is>
          <t>x_b</t>
        </is>
      </c>
    </row>
    <row r="72">
      <c r="A72" s="16" t="inlineStr">
        <is>
          <t>KF-M02-N1-0028</t>
        </is>
      </c>
      <c r="B72" s="16" t="inlineStr">
        <is>
          <t>2.1</t>
        </is>
      </c>
      <c r="C72" s="16" t="inlineStr">
        <is>
          <t>2.1</t>
        </is>
      </c>
      <c r="D72" s="16" t="inlineStr">
        <is>
          <t>una variable a la vez</t>
        </is>
      </c>
      <c r="E72" s="16" t="inlineStr">
        <is>
          <t>KF-M02-N1</t>
        </is>
      </c>
      <c r="F72" s="16" t="inlineStr">
        <is>
          <t>KF-M02-N1</t>
        </is>
      </c>
      <c r="G72" s="16" t="inlineStr">
        <is>
          <t>B02</t>
        </is>
      </c>
      <c r="H72" s="16" t="inlineStr">
        <is>
          <t>malla</t>
        </is>
      </c>
      <c r="I72" s="16" t="inlineStr">
        <is>
          <t>NO_CONVERGIO</t>
        </is>
      </c>
      <c r="J72" s="16" t="inlineStr">
        <is>
          <t>NO_CONVERGIO</t>
        </is>
      </c>
      <c r="K72" s="16" t="b">
        <v>0</v>
      </c>
      <c r="L72" s="16" t="b">
        <v>0</v>
      </c>
      <c r="M72" s="16" t="b">
        <v>0</v>
      </c>
      <c r="N72" s="16" t="b">
        <v>0</v>
      </c>
      <c r="O72" s="16" t="n">
        <v>623.15</v>
      </c>
      <c r="P72" s="16" t="n">
        <v>300.032917</v>
      </c>
      <c r="Q72" s="16" t="n">
        <v>3000</v>
      </c>
      <c r="R72" s="16" t="n">
        <v>400</v>
      </c>
      <c r="S72" s="16" t="n">
        <v>0.9</v>
      </c>
      <c r="T72" s="16" t="n">
        <v>0.85</v>
      </c>
      <c r="U72" s="16" t="n">
        <v>0.75</v>
      </c>
      <c r="V72" s="16" t="n">
        <v>0.85</v>
      </c>
      <c r="W72" s="16" t="n">
        <v>0.75</v>
      </c>
      <c r="X72" s="16" t="n">
        <v>0.8</v>
      </c>
      <c r="Y72" s="16" t="n"/>
      <c r="Z72" s="16" t="n"/>
      <c r="AA72" s="16" t="n"/>
      <c r="AB72" s="16" t="n">
        <v>2600</v>
      </c>
      <c r="AC72" s="16" t="n">
        <v>7.5</v>
      </c>
      <c r="AD72" s="16" t="n"/>
      <c r="AE72" s="16" t="inlineStr">
        <is>
          <t>x_b</t>
        </is>
      </c>
    </row>
    <row r="73">
      <c r="A73" s="16" t="inlineStr">
        <is>
          <t>KF-M02-N1-0029</t>
        </is>
      </c>
      <c r="B73" s="16" t="inlineStr">
        <is>
          <t>2.1</t>
        </is>
      </c>
      <c r="C73" s="16" t="inlineStr">
        <is>
          <t>2.1</t>
        </is>
      </c>
      <c r="D73" s="16" t="inlineStr">
        <is>
          <t>una variable a la vez</t>
        </is>
      </c>
      <c r="E73" s="16" t="inlineStr">
        <is>
          <t>KF-M02-N1</t>
        </is>
      </c>
      <c r="F73" s="16" t="inlineStr">
        <is>
          <t>KF-M02-N1</t>
        </is>
      </c>
      <c r="G73" s="16" t="inlineStr">
        <is>
          <t>B02</t>
        </is>
      </c>
      <c r="H73" s="16" t="inlineStr">
        <is>
          <t>malla</t>
        </is>
      </c>
      <c r="I73" s="16" t="inlineStr">
        <is>
          <t>INVIABLE</t>
        </is>
      </c>
      <c r="J73" s="16" t="inlineStr">
        <is>
          <t>INVIABLE</t>
        </is>
      </c>
      <c r="K73" s="16" t="b">
        <v>1</v>
      </c>
      <c r="L73" s="16" t="b">
        <v>0</v>
      </c>
      <c r="M73" s="16" t="b">
        <v>1</v>
      </c>
      <c r="N73" s="16" t="b">
        <v>0</v>
      </c>
      <c r="O73" s="16" t="n">
        <v>623.15</v>
      </c>
      <c r="P73" s="16" t="n">
        <v>300.032917</v>
      </c>
      <c r="Q73" s="16" t="n">
        <v>3000</v>
      </c>
      <c r="R73" s="16" t="n">
        <v>400</v>
      </c>
      <c r="S73" s="16" t="n">
        <v>0.3</v>
      </c>
      <c r="T73" s="16" t="n">
        <v>0.85</v>
      </c>
      <c r="U73" s="16" t="n">
        <v>0.75</v>
      </c>
      <c r="V73" s="16" t="n">
        <v>0.85</v>
      </c>
      <c r="W73" s="16" t="n">
        <v>0.75</v>
      </c>
      <c r="X73" s="16" t="n">
        <v>0.8</v>
      </c>
      <c r="Y73" s="16" t="n"/>
      <c r="Z73" s="16" t="n">
        <v>13.51569257162524</v>
      </c>
      <c r="AA73" s="16" t="n">
        <v>279.0640322008302</v>
      </c>
      <c r="AB73" s="16" t="n">
        <v>2600</v>
      </c>
      <c r="AC73" s="16" t="n">
        <v>7.5</v>
      </c>
      <c r="AD73" s="16" t="inlineStr">
        <is>
          <t>O1,O2,O5</t>
        </is>
      </c>
      <c r="AE73" s="16" t="inlineStr">
        <is>
          <t>x_b</t>
        </is>
      </c>
    </row>
    <row r="74">
      <c r="A74" s="16" t="inlineStr">
        <is>
          <t>KF-M02-N1-0030</t>
        </is>
      </c>
      <c r="B74" s="16" t="inlineStr">
        <is>
          <t>2.1</t>
        </is>
      </c>
      <c r="C74" s="16" t="inlineStr">
        <is>
          <t>2.1</t>
        </is>
      </c>
      <c r="D74" s="16" t="inlineStr">
        <is>
          <t>una variable a la vez</t>
        </is>
      </c>
      <c r="E74" s="16" t="inlineStr">
        <is>
          <t>KF-M02-N1</t>
        </is>
      </c>
      <c r="F74" s="16" t="inlineStr">
        <is>
          <t>KF-M02-N1</t>
        </is>
      </c>
      <c r="G74" s="16" t="inlineStr">
        <is>
          <t>B02</t>
        </is>
      </c>
      <c r="H74" s="16" t="inlineStr">
        <is>
          <t>malla</t>
        </is>
      </c>
      <c r="I74" s="16" t="inlineStr">
        <is>
          <t>NO_CONVERGIO</t>
        </is>
      </c>
      <c r="J74" s="16" t="inlineStr">
        <is>
          <t>NO_CONVERGIO</t>
        </is>
      </c>
      <c r="K74" s="16" t="b">
        <v>0</v>
      </c>
      <c r="L74" s="16" t="b">
        <v>0</v>
      </c>
      <c r="M74" s="16" t="b">
        <v>0</v>
      </c>
      <c r="N74" s="16" t="b">
        <v>0</v>
      </c>
      <c r="O74" s="16" t="n">
        <v>623.15</v>
      </c>
      <c r="P74" s="16" t="n">
        <v>300.032917</v>
      </c>
      <c r="Q74" s="16" t="n">
        <v>3000</v>
      </c>
      <c r="R74" s="16" t="n">
        <v>400</v>
      </c>
      <c r="S74" s="16" t="n">
        <v>0.5</v>
      </c>
      <c r="T74" s="16" t="n">
        <v>0.7666666666666667</v>
      </c>
      <c r="U74" s="16" t="n">
        <v>0.75</v>
      </c>
      <c r="V74" s="16" t="n">
        <v>0.85</v>
      </c>
      <c r="W74" s="16" t="n">
        <v>0.75</v>
      </c>
      <c r="X74" s="16" t="n">
        <v>0.8</v>
      </c>
      <c r="Y74" s="16" t="n"/>
      <c r="Z74" s="16" t="n"/>
      <c r="AA74" s="16" t="n"/>
      <c r="AB74" s="16" t="n">
        <v>2600</v>
      </c>
      <c r="AC74" s="16" t="n">
        <v>7.5</v>
      </c>
      <c r="AD74" s="16" t="n"/>
      <c r="AE74" s="16" t="inlineStr">
        <is>
          <t>eta_t</t>
        </is>
      </c>
    </row>
    <row r="75">
      <c r="A75" s="16" t="inlineStr">
        <is>
          <t>KF-M02-N1-0031</t>
        </is>
      </c>
      <c r="B75" s="16" t="inlineStr">
        <is>
          <t>2.1</t>
        </is>
      </c>
      <c r="C75" s="16" t="inlineStr">
        <is>
          <t>2.1</t>
        </is>
      </c>
      <c r="D75" s="16" t="inlineStr">
        <is>
          <t>una variable a la vez</t>
        </is>
      </c>
      <c r="E75" s="16" t="inlineStr">
        <is>
          <t>KF-M02-N1</t>
        </is>
      </c>
      <c r="F75" s="16" t="inlineStr">
        <is>
          <t>KF-M02-N1</t>
        </is>
      </c>
      <c r="G75" s="16" t="inlineStr">
        <is>
          <t>B02</t>
        </is>
      </c>
      <c r="H75" s="16" t="inlineStr">
        <is>
          <t>malla</t>
        </is>
      </c>
      <c r="I75" s="16" t="inlineStr">
        <is>
          <t>NO_CONVERGIO</t>
        </is>
      </c>
      <c r="J75" s="16" t="inlineStr">
        <is>
          <t>NO_CONVERGIO</t>
        </is>
      </c>
      <c r="K75" s="16" t="b">
        <v>0</v>
      </c>
      <c r="L75" s="16" t="b">
        <v>0</v>
      </c>
      <c r="M75" s="16" t="b">
        <v>0</v>
      </c>
      <c r="N75" s="16" t="b">
        <v>0</v>
      </c>
      <c r="O75" s="16" t="n">
        <v>623.15</v>
      </c>
      <c r="P75" s="16" t="n">
        <v>300.032917</v>
      </c>
      <c r="Q75" s="16" t="n">
        <v>3000</v>
      </c>
      <c r="R75" s="16" t="n">
        <v>400</v>
      </c>
      <c r="S75" s="16" t="n">
        <v>0.5</v>
      </c>
      <c r="T75" s="16" t="n">
        <v>0.75</v>
      </c>
      <c r="U75" s="16" t="n">
        <v>0.75</v>
      </c>
      <c r="V75" s="16" t="n">
        <v>0.85</v>
      </c>
      <c r="W75" s="16" t="n">
        <v>0.75</v>
      </c>
      <c r="X75" s="16" t="n">
        <v>0.8</v>
      </c>
      <c r="Y75" s="16" t="n"/>
      <c r="Z75" s="16" t="n"/>
      <c r="AA75" s="16" t="n"/>
      <c r="AB75" s="16" t="n">
        <v>2600</v>
      </c>
      <c r="AC75" s="16" t="n">
        <v>7.5</v>
      </c>
      <c r="AD75" s="16" t="n"/>
      <c r="AE75" s="16" t="inlineStr">
        <is>
          <t>eta_t</t>
        </is>
      </c>
    </row>
    <row r="76">
      <c r="A76" s="16" t="inlineStr">
        <is>
          <t>KF-M02-N1-0032</t>
        </is>
      </c>
      <c r="B76" s="16" t="inlineStr">
        <is>
          <t>2.1</t>
        </is>
      </c>
      <c r="C76" s="16" t="inlineStr">
        <is>
          <t>2.1</t>
        </is>
      </c>
      <c r="D76" s="16" t="inlineStr">
        <is>
          <t>una variable a la vez</t>
        </is>
      </c>
      <c r="E76" s="16" t="inlineStr">
        <is>
          <t>KF-M02-N1</t>
        </is>
      </c>
      <c r="F76" s="16" t="inlineStr">
        <is>
          <t>KF-M02-N1</t>
        </is>
      </c>
      <c r="G76" s="16" t="inlineStr">
        <is>
          <t>B02</t>
        </is>
      </c>
      <c r="H76" s="16" t="inlineStr">
        <is>
          <t>malla</t>
        </is>
      </c>
      <c r="I76" s="16" t="inlineStr">
        <is>
          <t>NO_CONVERGIO</t>
        </is>
      </c>
      <c r="J76" s="16" t="inlineStr">
        <is>
          <t>NO_CONVERGIO</t>
        </is>
      </c>
      <c r="K76" s="16" t="b">
        <v>0</v>
      </c>
      <c r="L76" s="16" t="b">
        <v>0</v>
      </c>
      <c r="M76" s="16" t="b">
        <v>0</v>
      </c>
      <c r="N76" s="16" t="b">
        <v>0</v>
      </c>
      <c r="O76" s="16" t="n">
        <v>623.15</v>
      </c>
      <c r="P76" s="16" t="n">
        <v>300.032917</v>
      </c>
      <c r="Q76" s="16" t="n">
        <v>3000</v>
      </c>
      <c r="R76" s="16" t="n">
        <v>400</v>
      </c>
      <c r="S76" s="16" t="n">
        <v>0.5</v>
      </c>
      <c r="T76" s="16" t="n">
        <v>0.7833333333333333</v>
      </c>
      <c r="U76" s="16" t="n">
        <v>0.75</v>
      </c>
      <c r="V76" s="16" t="n">
        <v>0.85</v>
      </c>
      <c r="W76" s="16" t="n">
        <v>0.75</v>
      </c>
      <c r="X76" s="16" t="n">
        <v>0.8</v>
      </c>
      <c r="Y76" s="16" t="n"/>
      <c r="Z76" s="16" t="n"/>
      <c r="AA76" s="16" t="n"/>
      <c r="AB76" s="16" t="n">
        <v>2600</v>
      </c>
      <c r="AC76" s="16" t="n">
        <v>7.5</v>
      </c>
      <c r="AD76" s="16" t="n"/>
      <c r="AE76" s="16" t="inlineStr">
        <is>
          <t>eta_t</t>
        </is>
      </c>
    </row>
    <row r="77">
      <c r="A77" s="16" t="inlineStr">
        <is>
          <t>KF-M02-N1-0033</t>
        </is>
      </c>
      <c r="B77" s="16" t="inlineStr">
        <is>
          <t>2.1</t>
        </is>
      </c>
      <c r="C77" s="16" t="inlineStr">
        <is>
          <t>2.1</t>
        </is>
      </c>
      <c r="D77" s="16" t="inlineStr">
        <is>
          <t>una variable a la vez</t>
        </is>
      </c>
      <c r="E77" s="16" t="inlineStr">
        <is>
          <t>KF-M02-N1</t>
        </is>
      </c>
      <c r="F77" s="16" t="inlineStr">
        <is>
          <t>KF-M02-N1</t>
        </is>
      </c>
      <c r="G77" s="16" t="inlineStr">
        <is>
          <t>B02</t>
        </is>
      </c>
      <c r="H77" s="16" t="inlineStr">
        <is>
          <t>malla</t>
        </is>
      </c>
      <c r="I77" s="16" t="inlineStr">
        <is>
          <t>NO_CONVERGIO</t>
        </is>
      </c>
      <c r="J77" s="16" t="inlineStr">
        <is>
          <t>NO_CONVERGIO</t>
        </is>
      </c>
      <c r="K77" s="16" t="b">
        <v>0</v>
      </c>
      <c r="L77" s="16" t="b">
        <v>0</v>
      </c>
      <c r="M77" s="16" t="b">
        <v>0</v>
      </c>
      <c r="N77" s="16" t="b">
        <v>0</v>
      </c>
      <c r="O77" s="16" t="n">
        <v>623.15</v>
      </c>
      <c r="P77" s="16" t="n">
        <v>300.032917</v>
      </c>
      <c r="Q77" s="16" t="n">
        <v>3000</v>
      </c>
      <c r="R77" s="16" t="n">
        <v>400</v>
      </c>
      <c r="S77" s="16" t="n">
        <v>0.5</v>
      </c>
      <c r="T77" s="16" t="n">
        <v>0.8166666666666667</v>
      </c>
      <c r="U77" s="16" t="n">
        <v>0.75</v>
      </c>
      <c r="V77" s="16" t="n">
        <v>0.85</v>
      </c>
      <c r="W77" s="16" t="n">
        <v>0.75</v>
      </c>
      <c r="X77" s="16" t="n">
        <v>0.8</v>
      </c>
      <c r="Y77" s="16" t="n"/>
      <c r="Z77" s="16" t="n"/>
      <c r="AA77" s="16" t="n"/>
      <c r="AB77" s="16" t="n">
        <v>2600</v>
      </c>
      <c r="AC77" s="16" t="n">
        <v>7.5</v>
      </c>
      <c r="AD77" s="16" t="n"/>
      <c r="AE77" s="16" t="inlineStr">
        <is>
          <t>eta_t</t>
        </is>
      </c>
    </row>
    <row r="78">
      <c r="A78" s="16" t="inlineStr">
        <is>
          <t>KF-M02-N1-0034</t>
        </is>
      </c>
      <c r="B78" s="16" t="inlineStr">
        <is>
          <t>2.1</t>
        </is>
      </c>
      <c r="C78" s="16" t="inlineStr">
        <is>
          <t>2.1</t>
        </is>
      </c>
      <c r="D78" s="16" t="inlineStr">
        <is>
          <t>una variable a la vez</t>
        </is>
      </c>
      <c r="E78" s="16" t="inlineStr">
        <is>
          <t>KF-M02-N1</t>
        </is>
      </c>
      <c r="F78" s="16" t="inlineStr">
        <is>
          <t>KF-M02-N1</t>
        </is>
      </c>
      <c r="G78" s="16" t="inlineStr">
        <is>
          <t>B02</t>
        </is>
      </c>
      <c r="H78" s="16" t="inlineStr">
        <is>
          <t>malla</t>
        </is>
      </c>
      <c r="I78" s="16" t="inlineStr">
        <is>
          <t>NO_CONVERGIO</t>
        </is>
      </c>
      <c r="J78" s="16" t="inlineStr">
        <is>
          <t>NO_CONVERGIO</t>
        </is>
      </c>
      <c r="K78" s="16" t="b">
        <v>0</v>
      </c>
      <c r="L78" s="16" t="b">
        <v>0</v>
      </c>
      <c r="M78" s="16" t="b">
        <v>0</v>
      </c>
      <c r="N78" s="16" t="b">
        <v>0</v>
      </c>
      <c r="O78" s="16" t="n">
        <v>623.15</v>
      </c>
      <c r="P78" s="16" t="n">
        <v>300.032917</v>
      </c>
      <c r="Q78" s="16" t="n">
        <v>3000</v>
      </c>
      <c r="R78" s="16" t="n">
        <v>400</v>
      </c>
      <c r="S78" s="16" t="n">
        <v>0.5</v>
      </c>
      <c r="T78" s="16" t="n">
        <v>0.8</v>
      </c>
      <c r="U78" s="16" t="n">
        <v>0.75</v>
      </c>
      <c r="V78" s="16" t="n">
        <v>0.85</v>
      </c>
      <c r="W78" s="16" t="n">
        <v>0.75</v>
      </c>
      <c r="X78" s="16" t="n">
        <v>0.8</v>
      </c>
      <c r="Y78" s="16" t="n"/>
      <c r="Z78" s="16" t="n"/>
      <c r="AA78" s="16" t="n"/>
      <c r="AB78" s="16" t="n">
        <v>2600</v>
      </c>
      <c r="AC78" s="16" t="n">
        <v>7.5</v>
      </c>
      <c r="AD78" s="16" t="n"/>
      <c r="AE78" s="16" t="inlineStr">
        <is>
          <t>eta_t</t>
        </is>
      </c>
    </row>
    <row r="79">
      <c r="A79" s="16" t="inlineStr">
        <is>
          <t>KF-M02-N1-0035</t>
        </is>
      </c>
      <c r="B79" s="16" t="inlineStr">
        <is>
          <t>2.1</t>
        </is>
      </c>
      <c r="C79" s="16" t="inlineStr">
        <is>
          <t>2.1</t>
        </is>
      </c>
      <c r="D79" s="16" t="inlineStr">
        <is>
          <t>una variable a la vez</t>
        </is>
      </c>
      <c r="E79" s="16" t="inlineStr">
        <is>
          <t>KF-M02-N1</t>
        </is>
      </c>
      <c r="F79" s="16" t="inlineStr">
        <is>
          <t>KF-M02-N1</t>
        </is>
      </c>
      <c r="G79" s="16" t="inlineStr">
        <is>
          <t>B02</t>
        </is>
      </c>
      <c r="H79" s="16" t="inlineStr">
        <is>
          <t>malla</t>
        </is>
      </c>
      <c r="I79" s="16" t="inlineStr">
        <is>
          <t>NO_CONVERGIO</t>
        </is>
      </c>
      <c r="J79" s="16" t="inlineStr">
        <is>
          <t>NO_CONVERGIO</t>
        </is>
      </c>
      <c r="K79" s="16" t="b">
        <v>0</v>
      </c>
      <c r="L79" s="16" t="b">
        <v>0</v>
      </c>
      <c r="M79" s="16" t="b">
        <v>0</v>
      </c>
      <c r="N79" s="16" t="b">
        <v>0</v>
      </c>
      <c r="O79" s="16" t="n">
        <v>623.15</v>
      </c>
      <c r="P79" s="16" t="n">
        <v>300.032917</v>
      </c>
      <c r="Q79" s="16" t="n">
        <v>3000</v>
      </c>
      <c r="R79" s="16" t="n">
        <v>400</v>
      </c>
      <c r="S79" s="16" t="n">
        <v>0.5</v>
      </c>
      <c r="T79" s="16" t="n">
        <v>0.8333333333333334</v>
      </c>
      <c r="U79" s="16" t="n">
        <v>0.75</v>
      </c>
      <c r="V79" s="16" t="n">
        <v>0.85</v>
      </c>
      <c r="W79" s="16" t="n">
        <v>0.75</v>
      </c>
      <c r="X79" s="16" t="n">
        <v>0.8</v>
      </c>
      <c r="Y79" s="16" t="n"/>
      <c r="Z79" s="16" t="n"/>
      <c r="AA79" s="16" t="n"/>
      <c r="AB79" s="16" t="n">
        <v>2600</v>
      </c>
      <c r="AC79" s="16" t="n">
        <v>7.5</v>
      </c>
      <c r="AD79" s="16" t="n"/>
      <c r="AE79" s="16" t="inlineStr">
        <is>
          <t>eta_t</t>
        </is>
      </c>
    </row>
    <row r="80">
      <c r="A80" s="16" t="inlineStr">
        <is>
          <t>KF-M02-N1-0036</t>
        </is>
      </c>
      <c r="B80" s="16" t="inlineStr">
        <is>
          <t>2.1</t>
        </is>
      </c>
      <c r="C80" s="16" t="inlineStr">
        <is>
          <t>2.1</t>
        </is>
      </c>
      <c r="D80" s="16" t="inlineStr">
        <is>
          <t>una variable a la vez</t>
        </is>
      </c>
      <c r="E80" s="16" t="inlineStr">
        <is>
          <t>KF-M02-N1</t>
        </is>
      </c>
      <c r="F80" s="16" t="inlineStr">
        <is>
          <t>KF-M02-N1</t>
        </is>
      </c>
      <c r="G80" s="16" t="inlineStr">
        <is>
          <t>B02</t>
        </is>
      </c>
      <c r="H80" s="16" t="inlineStr">
        <is>
          <t>malla</t>
        </is>
      </c>
      <c r="I80" s="16" t="inlineStr">
        <is>
          <t>NO_CONVERGIO</t>
        </is>
      </c>
      <c r="J80" s="16" t="inlineStr">
        <is>
          <t>NO_CONVERGIO</t>
        </is>
      </c>
      <c r="K80" s="16" t="b">
        <v>0</v>
      </c>
      <c r="L80" s="16" t="b">
        <v>0</v>
      </c>
      <c r="M80" s="16" t="b">
        <v>0</v>
      </c>
      <c r="N80" s="16" t="b">
        <v>0</v>
      </c>
      <c r="O80" s="16" t="n">
        <v>623.15</v>
      </c>
      <c r="P80" s="16" t="n">
        <v>300.032917</v>
      </c>
      <c r="Q80" s="16" t="n">
        <v>3000</v>
      </c>
      <c r="R80" s="16" t="n">
        <v>400</v>
      </c>
      <c r="S80" s="16" t="n">
        <v>0.5</v>
      </c>
      <c r="T80" s="16" t="n">
        <v>0.85</v>
      </c>
      <c r="U80" s="16" t="n">
        <v>0.75</v>
      </c>
      <c r="V80" s="16" t="n">
        <v>0.85</v>
      </c>
      <c r="W80" s="16" t="n">
        <v>0.75</v>
      </c>
      <c r="X80" s="16" t="n">
        <v>0.8</v>
      </c>
      <c r="Y80" s="16" t="n"/>
      <c r="Z80" s="16" t="n"/>
      <c r="AA80" s="16" t="n"/>
      <c r="AB80" s="16" t="n">
        <v>2600</v>
      </c>
      <c r="AC80" s="16" t="n">
        <v>7.5</v>
      </c>
      <c r="AD80" s="16" t="n"/>
      <c r="AE80" s="16" t="inlineStr">
        <is>
          <t>eta_t</t>
        </is>
      </c>
    </row>
    <row r="81">
      <c r="A81" s="16" t="inlineStr">
        <is>
          <t>KF-M02-N1-0037</t>
        </is>
      </c>
      <c r="B81" s="16" t="inlineStr">
        <is>
          <t>2.1</t>
        </is>
      </c>
      <c r="C81" s="16" t="inlineStr">
        <is>
          <t>2.1</t>
        </is>
      </c>
      <c r="D81" s="16" t="inlineStr">
        <is>
          <t>una variable a la vez</t>
        </is>
      </c>
      <c r="E81" s="16" t="inlineStr">
        <is>
          <t>KF-M02-N1</t>
        </is>
      </c>
      <c r="F81" s="16" t="inlineStr">
        <is>
          <t>KF-M02-N1</t>
        </is>
      </c>
      <c r="G81" s="16" t="inlineStr">
        <is>
          <t>B02</t>
        </is>
      </c>
      <c r="H81" s="16" t="inlineStr">
        <is>
          <t>malla</t>
        </is>
      </c>
      <c r="I81" s="16" t="inlineStr">
        <is>
          <t>NO_CONVERGIO</t>
        </is>
      </c>
      <c r="J81" s="16" t="inlineStr">
        <is>
          <t>NO_CONVERGIO</t>
        </is>
      </c>
      <c r="K81" s="16" t="b">
        <v>0</v>
      </c>
      <c r="L81" s="16" t="b">
        <v>0</v>
      </c>
      <c r="M81" s="16" t="b">
        <v>0</v>
      </c>
      <c r="N81" s="16" t="b">
        <v>0</v>
      </c>
      <c r="O81" s="16" t="n">
        <v>623.15</v>
      </c>
      <c r="P81" s="16" t="n">
        <v>300.032917</v>
      </c>
      <c r="Q81" s="16" t="n">
        <v>3000</v>
      </c>
      <c r="R81" s="16" t="n">
        <v>400</v>
      </c>
      <c r="S81" s="16" t="n">
        <v>0.5</v>
      </c>
      <c r="T81" s="16" t="n">
        <v>0.8666666666666667</v>
      </c>
      <c r="U81" s="16" t="n">
        <v>0.75</v>
      </c>
      <c r="V81" s="16" t="n">
        <v>0.85</v>
      </c>
      <c r="W81" s="16" t="n">
        <v>0.75</v>
      </c>
      <c r="X81" s="16" t="n">
        <v>0.8</v>
      </c>
      <c r="Y81" s="16" t="n"/>
      <c r="Z81" s="16" t="n"/>
      <c r="AA81" s="16" t="n"/>
      <c r="AB81" s="16" t="n">
        <v>2600</v>
      </c>
      <c r="AC81" s="16" t="n">
        <v>7.5</v>
      </c>
      <c r="AD81" s="16" t="n"/>
      <c r="AE81" s="16" t="inlineStr">
        <is>
          <t>eta_t</t>
        </is>
      </c>
    </row>
    <row r="82">
      <c r="A82" s="16" t="inlineStr">
        <is>
          <t>KF-M02-N1-0038</t>
        </is>
      </c>
      <c r="B82" s="16" t="inlineStr">
        <is>
          <t>2.1</t>
        </is>
      </c>
      <c r="C82" s="16" t="inlineStr">
        <is>
          <t>2.1</t>
        </is>
      </c>
      <c r="D82" s="16" t="inlineStr">
        <is>
          <t>una variable a la vez</t>
        </is>
      </c>
      <c r="E82" s="16" t="inlineStr">
        <is>
          <t>KF-M02-N1</t>
        </is>
      </c>
      <c r="F82" s="16" t="inlineStr">
        <is>
          <t>KF-M02-N1</t>
        </is>
      </c>
      <c r="G82" s="16" t="inlineStr">
        <is>
          <t>B02</t>
        </is>
      </c>
      <c r="H82" s="16" t="inlineStr">
        <is>
          <t>malla</t>
        </is>
      </c>
      <c r="I82" s="16" t="inlineStr">
        <is>
          <t>NO_CONVERGIO</t>
        </is>
      </c>
      <c r="J82" s="16" t="inlineStr">
        <is>
          <t>NO_CONVERGIO</t>
        </is>
      </c>
      <c r="K82" s="16" t="b">
        <v>0</v>
      </c>
      <c r="L82" s="16" t="b">
        <v>0</v>
      </c>
      <c r="M82" s="16" t="b">
        <v>0</v>
      </c>
      <c r="N82" s="16" t="b">
        <v>0</v>
      </c>
      <c r="O82" s="16" t="n">
        <v>623.15</v>
      </c>
      <c r="P82" s="16" t="n">
        <v>300.032917</v>
      </c>
      <c r="Q82" s="16" t="n">
        <v>3000</v>
      </c>
      <c r="R82" s="16" t="n">
        <v>400</v>
      </c>
      <c r="S82" s="16" t="n">
        <v>0.5</v>
      </c>
      <c r="T82" s="16" t="n">
        <v>0.8833333333333333</v>
      </c>
      <c r="U82" s="16" t="n">
        <v>0.75</v>
      </c>
      <c r="V82" s="16" t="n">
        <v>0.85</v>
      </c>
      <c r="W82" s="16" t="n">
        <v>0.75</v>
      </c>
      <c r="X82" s="16" t="n">
        <v>0.8</v>
      </c>
      <c r="Y82" s="16" t="n"/>
      <c r="Z82" s="16" t="n"/>
      <c r="AA82" s="16" t="n"/>
      <c r="AB82" s="16" t="n">
        <v>2600</v>
      </c>
      <c r="AC82" s="16" t="n">
        <v>7.5</v>
      </c>
      <c r="AD82" s="16" t="n"/>
      <c r="AE82" s="16" t="inlineStr">
        <is>
          <t>eta_t</t>
        </is>
      </c>
    </row>
    <row r="83">
      <c r="A83" s="16" t="inlineStr">
        <is>
          <t>KF-M02-N1-0039</t>
        </is>
      </c>
      <c r="B83" s="16" t="inlineStr">
        <is>
          <t>2.1</t>
        </is>
      </c>
      <c r="C83" s="16" t="inlineStr">
        <is>
          <t>2.1</t>
        </is>
      </c>
      <c r="D83" s="16" t="inlineStr">
        <is>
          <t>una variable a la vez</t>
        </is>
      </c>
      <c r="E83" s="16" t="inlineStr">
        <is>
          <t>KF-M02-N1</t>
        </is>
      </c>
      <c r="F83" s="16" t="inlineStr">
        <is>
          <t>KF-M02-N1</t>
        </is>
      </c>
      <c r="G83" s="16" t="inlineStr">
        <is>
          <t>B02</t>
        </is>
      </c>
      <c r="H83" s="16" t="inlineStr">
        <is>
          <t>malla</t>
        </is>
      </c>
      <c r="I83" s="16" t="inlineStr">
        <is>
          <t>NO_CONVERGIO</t>
        </is>
      </c>
      <c r="J83" s="16" t="inlineStr">
        <is>
          <t>NO_CONVERGIO</t>
        </is>
      </c>
      <c r="K83" s="16" t="b">
        <v>0</v>
      </c>
      <c r="L83" s="16" t="b">
        <v>0</v>
      </c>
      <c r="M83" s="16" t="b">
        <v>0</v>
      </c>
      <c r="N83" s="16" t="b">
        <v>0</v>
      </c>
      <c r="O83" s="16" t="n">
        <v>623.15</v>
      </c>
      <c r="P83" s="16" t="n">
        <v>300.032917</v>
      </c>
      <c r="Q83" s="16" t="n">
        <v>3000</v>
      </c>
      <c r="R83" s="16" t="n">
        <v>400</v>
      </c>
      <c r="S83" s="16" t="n">
        <v>0.5</v>
      </c>
      <c r="T83" s="16" t="n">
        <v>0.85</v>
      </c>
      <c r="U83" s="16" t="n">
        <v>0.65</v>
      </c>
      <c r="V83" s="16" t="n">
        <v>0.85</v>
      </c>
      <c r="W83" s="16" t="n">
        <v>0.75</v>
      </c>
      <c r="X83" s="16" t="n">
        <v>0.8</v>
      </c>
      <c r="Y83" s="16" t="n"/>
      <c r="Z83" s="16" t="n"/>
      <c r="AA83" s="16" t="n"/>
      <c r="AB83" s="16" t="n">
        <v>2600</v>
      </c>
      <c r="AC83" s="16" t="n">
        <v>7.5</v>
      </c>
      <c r="AD83" s="16" t="n"/>
      <c r="AE83" s="16" t="inlineStr">
        <is>
          <t>eta_p</t>
        </is>
      </c>
    </row>
    <row r="84">
      <c r="A84" s="16" t="inlineStr">
        <is>
          <t>KF-M02-N1-0040</t>
        </is>
      </c>
      <c r="B84" s="16" t="inlineStr">
        <is>
          <t>2.1</t>
        </is>
      </c>
      <c r="C84" s="16" t="inlineStr">
        <is>
          <t>2.1</t>
        </is>
      </c>
      <c r="D84" s="16" t="inlineStr">
        <is>
          <t>una variable a la vez</t>
        </is>
      </c>
      <c r="E84" s="16" t="inlineStr">
        <is>
          <t>KF-M02-N1</t>
        </is>
      </c>
      <c r="F84" s="16" t="inlineStr">
        <is>
          <t>KF-M02-N1</t>
        </is>
      </c>
      <c r="G84" s="16" t="inlineStr">
        <is>
          <t>B02</t>
        </is>
      </c>
      <c r="H84" s="16" t="inlineStr">
        <is>
          <t>malla</t>
        </is>
      </c>
      <c r="I84" s="16" t="inlineStr">
        <is>
          <t>NO_CONVERGIO</t>
        </is>
      </c>
      <c r="J84" s="16" t="inlineStr">
        <is>
          <t>NO_CONVERGIO</t>
        </is>
      </c>
      <c r="K84" s="16" t="b">
        <v>0</v>
      </c>
      <c r="L84" s="16" t="b">
        <v>0</v>
      </c>
      <c r="M84" s="16" t="b">
        <v>0</v>
      </c>
      <c r="N84" s="16" t="b">
        <v>0</v>
      </c>
      <c r="O84" s="16" t="n">
        <v>623.15</v>
      </c>
      <c r="P84" s="16" t="n">
        <v>300.032917</v>
      </c>
      <c r="Q84" s="16" t="n">
        <v>3000</v>
      </c>
      <c r="R84" s="16" t="n">
        <v>400</v>
      </c>
      <c r="S84" s="16" t="n">
        <v>0.5</v>
      </c>
      <c r="T84" s="16" t="n">
        <v>0.9</v>
      </c>
      <c r="U84" s="16" t="n">
        <v>0.75</v>
      </c>
      <c r="V84" s="16" t="n">
        <v>0.85</v>
      </c>
      <c r="W84" s="16" t="n">
        <v>0.75</v>
      </c>
      <c r="X84" s="16" t="n">
        <v>0.8</v>
      </c>
      <c r="Y84" s="16" t="n"/>
      <c r="Z84" s="16" t="n"/>
      <c r="AA84" s="16" t="n"/>
      <c r="AB84" s="16" t="n">
        <v>2600</v>
      </c>
      <c r="AC84" s="16" t="n">
        <v>7.5</v>
      </c>
      <c r="AD84" s="16" t="n"/>
      <c r="AE84" s="16" t="inlineStr">
        <is>
          <t>eta_t</t>
        </is>
      </c>
    </row>
    <row r="85">
      <c r="A85" s="16" t="inlineStr">
        <is>
          <t>KF-M02-N1-0041</t>
        </is>
      </c>
      <c r="B85" s="16" t="inlineStr">
        <is>
          <t>2.1</t>
        </is>
      </c>
      <c r="C85" s="16" t="inlineStr">
        <is>
          <t>2.1</t>
        </is>
      </c>
      <c r="D85" s="16" t="inlineStr">
        <is>
          <t>una variable a la vez</t>
        </is>
      </c>
      <c r="E85" s="16" t="inlineStr">
        <is>
          <t>KF-M02-N1</t>
        </is>
      </c>
      <c r="F85" s="16" t="inlineStr">
        <is>
          <t>KF-M02-N1</t>
        </is>
      </c>
      <c r="G85" s="16" t="inlineStr">
        <is>
          <t>B02</t>
        </is>
      </c>
      <c r="H85" s="16" t="inlineStr">
        <is>
          <t>malla</t>
        </is>
      </c>
      <c r="I85" s="16" t="inlineStr">
        <is>
          <t>NO_CONVERGIO</t>
        </is>
      </c>
      <c r="J85" s="16" t="inlineStr">
        <is>
          <t>NO_CONVERGIO</t>
        </is>
      </c>
      <c r="K85" s="16" t="b">
        <v>0</v>
      </c>
      <c r="L85" s="16" t="b">
        <v>0</v>
      </c>
      <c r="M85" s="16" t="b">
        <v>0</v>
      </c>
      <c r="N85" s="16" t="b">
        <v>0</v>
      </c>
      <c r="O85" s="16" t="n">
        <v>623.15</v>
      </c>
      <c r="P85" s="16" t="n">
        <v>300.032917</v>
      </c>
      <c r="Q85" s="16" t="n">
        <v>3000</v>
      </c>
      <c r="R85" s="16" t="n">
        <v>400</v>
      </c>
      <c r="S85" s="16" t="n">
        <v>0.5</v>
      </c>
      <c r="T85" s="16" t="n">
        <v>0.85</v>
      </c>
      <c r="U85" s="16" t="n">
        <v>0.6722222222222223</v>
      </c>
      <c r="V85" s="16" t="n">
        <v>0.85</v>
      </c>
      <c r="W85" s="16" t="n">
        <v>0.75</v>
      </c>
      <c r="X85" s="16" t="n">
        <v>0.8</v>
      </c>
      <c r="Y85" s="16" t="n"/>
      <c r="Z85" s="16" t="n"/>
      <c r="AA85" s="16" t="n"/>
      <c r="AB85" s="16" t="n">
        <v>2600</v>
      </c>
      <c r="AC85" s="16" t="n">
        <v>7.5</v>
      </c>
      <c r="AD85" s="16" t="n"/>
      <c r="AE85" s="16" t="inlineStr">
        <is>
          <t>eta_p</t>
        </is>
      </c>
    </row>
    <row r="86">
      <c r="A86" s="16" t="inlineStr">
        <is>
          <t>KF-M02-N1-0042</t>
        </is>
      </c>
      <c r="B86" s="16" t="inlineStr">
        <is>
          <t>2.1</t>
        </is>
      </c>
      <c r="C86" s="16" t="inlineStr">
        <is>
          <t>2.1</t>
        </is>
      </c>
      <c r="D86" s="16" t="inlineStr">
        <is>
          <t>una variable a la vez</t>
        </is>
      </c>
      <c r="E86" s="16" t="inlineStr">
        <is>
          <t>KF-M02-N1</t>
        </is>
      </c>
      <c r="F86" s="16" t="inlineStr">
        <is>
          <t>KF-M02-N1</t>
        </is>
      </c>
      <c r="G86" s="16" t="inlineStr">
        <is>
          <t>B02</t>
        </is>
      </c>
      <c r="H86" s="16" t="inlineStr">
        <is>
          <t>malla</t>
        </is>
      </c>
      <c r="I86" s="16" t="inlineStr">
        <is>
          <t>NO_CONVERGIO</t>
        </is>
      </c>
      <c r="J86" s="16" t="inlineStr">
        <is>
          <t>NO_CONVERGIO</t>
        </is>
      </c>
      <c r="K86" s="16" t="b">
        <v>0</v>
      </c>
      <c r="L86" s="16" t="b">
        <v>0</v>
      </c>
      <c r="M86" s="16" t="b">
        <v>0</v>
      </c>
      <c r="N86" s="16" t="b">
        <v>0</v>
      </c>
      <c r="O86" s="16" t="n">
        <v>623.15</v>
      </c>
      <c r="P86" s="16" t="n">
        <v>300.032917</v>
      </c>
      <c r="Q86" s="16" t="n">
        <v>3000</v>
      </c>
      <c r="R86" s="16" t="n">
        <v>400</v>
      </c>
      <c r="S86" s="16" t="n">
        <v>0.5</v>
      </c>
      <c r="T86" s="16" t="n">
        <v>0.85</v>
      </c>
      <c r="U86" s="16" t="n">
        <v>0.6944444444444444</v>
      </c>
      <c r="V86" s="16" t="n">
        <v>0.85</v>
      </c>
      <c r="W86" s="16" t="n">
        <v>0.75</v>
      </c>
      <c r="X86" s="16" t="n">
        <v>0.8</v>
      </c>
      <c r="Y86" s="16" t="n"/>
      <c r="Z86" s="16" t="n"/>
      <c r="AA86" s="16" t="n"/>
      <c r="AB86" s="16" t="n">
        <v>2600</v>
      </c>
      <c r="AC86" s="16" t="n">
        <v>7.5</v>
      </c>
      <c r="AD86" s="16" t="n"/>
      <c r="AE86" s="16" t="inlineStr">
        <is>
          <t>eta_p</t>
        </is>
      </c>
    </row>
    <row r="87">
      <c r="A87" s="16" t="inlineStr">
        <is>
          <t>KF-M02-N1-0043</t>
        </is>
      </c>
      <c r="B87" s="16" t="inlineStr">
        <is>
          <t>2.1</t>
        </is>
      </c>
      <c r="C87" s="16" t="inlineStr">
        <is>
          <t>2.1</t>
        </is>
      </c>
      <c r="D87" s="16" t="inlineStr">
        <is>
          <t>una variable a la vez</t>
        </is>
      </c>
      <c r="E87" s="16" t="inlineStr">
        <is>
          <t>KF-M02-N1</t>
        </is>
      </c>
      <c r="F87" s="16" t="inlineStr">
        <is>
          <t>KF-M02-N1</t>
        </is>
      </c>
      <c r="G87" s="16" t="inlineStr">
        <is>
          <t>B02</t>
        </is>
      </c>
      <c r="H87" s="16" t="inlineStr">
        <is>
          <t>malla</t>
        </is>
      </c>
      <c r="I87" s="16" t="inlineStr">
        <is>
          <t>NO_CONVERGIO</t>
        </is>
      </c>
      <c r="J87" s="16" t="inlineStr">
        <is>
          <t>NO_CONVERGIO</t>
        </is>
      </c>
      <c r="K87" s="16" t="b">
        <v>0</v>
      </c>
      <c r="L87" s="16" t="b">
        <v>0</v>
      </c>
      <c r="M87" s="16" t="b">
        <v>0</v>
      </c>
      <c r="N87" s="16" t="b">
        <v>0</v>
      </c>
      <c r="O87" s="16" t="n">
        <v>623.15</v>
      </c>
      <c r="P87" s="16" t="n">
        <v>300.032917</v>
      </c>
      <c r="Q87" s="16" t="n">
        <v>3000</v>
      </c>
      <c r="R87" s="16" t="n">
        <v>400</v>
      </c>
      <c r="S87" s="16" t="n">
        <v>0.5</v>
      </c>
      <c r="T87" s="16" t="n">
        <v>0.85</v>
      </c>
      <c r="U87" s="16" t="n">
        <v>0.7388888888888889</v>
      </c>
      <c r="V87" s="16" t="n">
        <v>0.85</v>
      </c>
      <c r="W87" s="16" t="n">
        <v>0.75</v>
      </c>
      <c r="X87" s="16" t="n">
        <v>0.8</v>
      </c>
      <c r="Y87" s="16" t="n"/>
      <c r="Z87" s="16" t="n"/>
      <c r="AA87" s="16" t="n"/>
      <c r="AB87" s="16" t="n">
        <v>2600</v>
      </c>
      <c r="AC87" s="16" t="n">
        <v>7.5</v>
      </c>
      <c r="AD87" s="16" t="n"/>
      <c r="AE87" s="16" t="inlineStr">
        <is>
          <t>eta_p</t>
        </is>
      </c>
    </row>
    <row r="88">
      <c r="A88" s="16" t="inlineStr">
        <is>
          <t>KF-M02-N1-0044</t>
        </is>
      </c>
      <c r="B88" s="16" t="inlineStr">
        <is>
          <t>2.1</t>
        </is>
      </c>
      <c r="C88" s="16" t="inlineStr">
        <is>
          <t>2.1</t>
        </is>
      </c>
      <c r="D88" s="16" t="inlineStr">
        <is>
          <t>una variable a la vez</t>
        </is>
      </c>
      <c r="E88" s="16" t="inlineStr">
        <is>
          <t>KF-M02-N1</t>
        </is>
      </c>
      <c r="F88" s="16" t="inlineStr">
        <is>
          <t>KF-M02-N1</t>
        </is>
      </c>
      <c r="G88" s="16" t="inlineStr">
        <is>
          <t>B02</t>
        </is>
      </c>
      <c r="H88" s="16" t="inlineStr">
        <is>
          <t>malla</t>
        </is>
      </c>
      <c r="I88" s="16" t="inlineStr">
        <is>
          <t>NO_CONVERGIO</t>
        </is>
      </c>
      <c r="J88" s="16" t="inlineStr">
        <is>
          <t>NO_CONVERGIO</t>
        </is>
      </c>
      <c r="K88" s="16" t="b">
        <v>0</v>
      </c>
      <c r="L88" s="16" t="b">
        <v>0</v>
      </c>
      <c r="M88" s="16" t="b">
        <v>0</v>
      </c>
      <c r="N88" s="16" t="b">
        <v>0</v>
      </c>
      <c r="O88" s="16" t="n">
        <v>623.15</v>
      </c>
      <c r="P88" s="16" t="n">
        <v>300.032917</v>
      </c>
      <c r="Q88" s="16" t="n">
        <v>3000</v>
      </c>
      <c r="R88" s="16" t="n">
        <v>400</v>
      </c>
      <c r="S88" s="16" t="n">
        <v>0.5</v>
      </c>
      <c r="T88" s="16" t="n">
        <v>0.85</v>
      </c>
      <c r="U88" s="16" t="n">
        <v>0.7166666666666667</v>
      </c>
      <c r="V88" s="16" t="n">
        <v>0.85</v>
      </c>
      <c r="W88" s="16" t="n">
        <v>0.75</v>
      </c>
      <c r="X88" s="16" t="n">
        <v>0.8</v>
      </c>
      <c r="Y88" s="16" t="n"/>
      <c r="Z88" s="16" t="n"/>
      <c r="AA88" s="16" t="n"/>
      <c r="AB88" s="16" t="n">
        <v>2600</v>
      </c>
      <c r="AC88" s="16" t="n">
        <v>7.5</v>
      </c>
      <c r="AD88" s="16" t="n"/>
      <c r="AE88" s="16" t="inlineStr">
        <is>
          <t>eta_p</t>
        </is>
      </c>
    </row>
    <row r="89">
      <c r="A89" s="16" t="inlineStr">
        <is>
          <t>KF-M02-N1-0045</t>
        </is>
      </c>
      <c r="B89" s="16" t="inlineStr">
        <is>
          <t>2.1</t>
        </is>
      </c>
      <c r="C89" s="16" t="inlineStr">
        <is>
          <t>2.1</t>
        </is>
      </c>
      <c r="D89" s="16" t="inlineStr">
        <is>
          <t>una variable a la vez</t>
        </is>
      </c>
      <c r="E89" s="16" t="inlineStr">
        <is>
          <t>KF-M02-N1</t>
        </is>
      </c>
      <c r="F89" s="16" t="inlineStr">
        <is>
          <t>KF-M02-N1</t>
        </is>
      </c>
      <c r="G89" s="16" t="inlineStr">
        <is>
          <t>B02</t>
        </is>
      </c>
      <c r="H89" s="16" t="inlineStr">
        <is>
          <t>malla</t>
        </is>
      </c>
      <c r="I89" s="16" t="inlineStr">
        <is>
          <t>NO_CONVERGIO</t>
        </is>
      </c>
      <c r="J89" s="16" t="inlineStr">
        <is>
          <t>NO_CONVERGIO</t>
        </is>
      </c>
      <c r="K89" s="16" t="b">
        <v>0</v>
      </c>
      <c r="L89" s="16" t="b">
        <v>0</v>
      </c>
      <c r="M89" s="16" t="b">
        <v>0</v>
      </c>
      <c r="N89" s="16" t="b">
        <v>0</v>
      </c>
      <c r="O89" s="16" t="n">
        <v>623.15</v>
      </c>
      <c r="P89" s="16" t="n">
        <v>300.032917</v>
      </c>
      <c r="Q89" s="16" t="n">
        <v>3000</v>
      </c>
      <c r="R89" s="16" t="n">
        <v>400</v>
      </c>
      <c r="S89" s="16" t="n">
        <v>0.5</v>
      </c>
      <c r="T89" s="16" t="n">
        <v>0.85</v>
      </c>
      <c r="U89" s="16" t="n">
        <v>0.7611111111111111</v>
      </c>
      <c r="V89" s="16" t="n">
        <v>0.85</v>
      </c>
      <c r="W89" s="16" t="n">
        <v>0.75</v>
      </c>
      <c r="X89" s="16" t="n">
        <v>0.8</v>
      </c>
      <c r="Y89" s="16" t="n"/>
      <c r="Z89" s="16" t="n"/>
      <c r="AA89" s="16" t="n"/>
      <c r="AB89" s="16" t="n">
        <v>2600</v>
      </c>
      <c r="AC89" s="16" t="n">
        <v>7.5</v>
      </c>
      <c r="AD89" s="16" t="n"/>
      <c r="AE89" s="16" t="inlineStr">
        <is>
          <t>eta_p</t>
        </is>
      </c>
    </row>
    <row r="90">
      <c r="A90" s="16" t="inlineStr">
        <is>
          <t>KF-M02-N1-0046</t>
        </is>
      </c>
      <c r="B90" s="16" t="inlineStr">
        <is>
          <t>2.1</t>
        </is>
      </c>
      <c r="C90" s="16" t="inlineStr">
        <is>
          <t>2.1</t>
        </is>
      </c>
      <c r="D90" s="16" t="inlineStr">
        <is>
          <t>una variable a la vez</t>
        </is>
      </c>
      <c r="E90" s="16" t="inlineStr">
        <is>
          <t>KF-M02-N1</t>
        </is>
      </c>
      <c r="F90" s="16" t="inlineStr">
        <is>
          <t>KF-M02-N1</t>
        </is>
      </c>
      <c r="G90" s="16" t="inlineStr">
        <is>
          <t>B02</t>
        </is>
      </c>
      <c r="H90" s="16" t="inlineStr">
        <is>
          <t>malla</t>
        </is>
      </c>
      <c r="I90" s="16" t="inlineStr">
        <is>
          <t>NO_CONVERGIO</t>
        </is>
      </c>
      <c r="J90" s="16" t="inlineStr">
        <is>
          <t>NO_CONVERGIO</t>
        </is>
      </c>
      <c r="K90" s="16" t="b">
        <v>0</v>
      </c>
      <c r="L90" s="16" t="b">
        <v>0</v>
      </c>
      <c r="M90" s="16" t="b">
        <v>0</v>
      </c>
      <c r="N90" s="16" t="b">
        <v>0</v>
      </c>
      <c r="O90" s="16" t="n">
        <v>623.15</v>
      </c>
      <c r="P90" s="16" t="n">
        <v>300.032917</v>
      </c>
      <c r="Q90" s="16" t="n">
        <v>3000</v>
      </c>
      <c r="R90" s="16" t="n">
        <v>400</v>
      </c>
      <c r="S90" s="16" t="n">
        <v>0.5</v>
      </c>
      <c r="T90" s="16" t="n">
        <v>0.85</v>
      </c>
      <c r="U90" s="16" t="n">
        <v>0.7833333333333333</v>
      </c>
      <c r="V90" s="16" t="n">
        <v>0.85</v>
      </c>
      <c r="W90" s="16" t="n">
        <v>0.75</v>
      </c>
      <c r="X90" s="16" t="n">
        <v>0.8</v>
      </c>
      <c r="Y90" s="16" t="n"/>
      <c r="Z90" s="16" t="n"/>
      <c r="AA90" s="16" t="n"/>
      <c r="AB90" s="16" t="n">
        <v>2600</v>
      </c>
      <c r="AC90" s="16" t="n">
        <v>7.5</v>
      </c>
      <c r="AD90" s="16" t="n"/>
      <c r="AE90" s="16" t="inlineStr">
        <is>
          <t>eta_p</t>
        </is>
      </c>
    </row>
    <row r="91">
      <c r="A91" s="16" t="inlineStr">
        <is>
          <t>KF-M02-N1-0047</t>
        </is>
      </c>
      <c r="B91" s="16" t="inlineStr">
        <is>
          <t>2.1</t>
        </is>
      </c>
      <c r="C91" s="16" t="inlineStr">
        <is>
          <t>2.1</t>
        </is>
      </c>
      <c r="D91" s="16" t="inlineStr">
        <is>
          <t>una variable a la vez</t>
        </is>
      </c>
      <c r="E91" s="16" t="inlineStr">
        <is>
          <t>KF-M02-N1</t>
        </is>
      </c>
      <c r="F91" s="16" t="inlineStr">
        <is>
          <t>KF-M02-N1</t>
        </is>
      </c>
      <c r="G91" s="16" t="inlineStr">
        <is>
          <t>B02</t>
        </is>
      </c>
      <c r="H91" s="16" t="inlineStr">
        <is>
          <t>malla</t>
        </is>
      </c>
      <c r="I91" s="16" t="inlineStr">
        <is>
          <t>NO_CONVERGIO</t>
        </is>
      </c>
      <c r="J91" s="16" t="inlineStr">
        <is>
          <t>NO_CONVERGIO</t>
        </is>
      </c>
      <c r="K91" s="16" t="b">
        <v>0</v>
      </c>
      <c r="L91" s="16" t="b">
        <v>0</v>
      </c>
      <c r="M91" s="16" t="b">
        <v>0</v>
      </c>
      <c r="N91" s="16" t="b">
        <v>0</v>
      </c>
      <c r="O91" s="16" t="n">
        <v>623.15</v>
      </c>
      <c r="P91" s="16" t="n">
        <v>300.032917</v>
      </c>
      <c r="Q91" s="16" t="n">
        <v>3000</v>
      </c>
      <c r="R91" s="16" t="n">
        <v>400</v>
      </c>
      <c r="S91" s="16" t="n">
        <v>0.5</v>
      </c>
      <c r="T91" s="16" t="n">
        <v>0.85</v>
      </c>
      <c r="U91" s="16" t="n">
        <v>0.8055555555555556</v>
      </c>
      <c r="V91" s="16" t="n">
        <v>0.85</v>
      </c>
      <c r="W91" s="16" t="n">
        <v>0.75</v>
      </c>
      <c r="X91" s="16" t="n">
        <v>0.8</v>
      </c>
      <c r="Y91" s="16" t="n"/>
      <c r="Z91" s="16" t="n"/>
      <c r="AA91" s="16" t="n"/>
      <c r="AB91" s="16" t="n">
        <v>2600</v>
      </c>
      <c r="AC91" s="16" t="n">
        <v>7.5</v>
      </c>
      <c r="AD91" s="16" t="n"/>
      <c r="AE91" s="16" t="inlineStr">
        <is>
          <t>eta_p</t>
        </is>
      </c>
    </row>
    <row r="92">
      <c r="A92" s="16" t="inlineStr">
        <is>
          <t>KF-M02-N1-0048</t>
        </is>
      </c>
      <c r="B92" s="16" t="inlineStr">
        <is>
          <t>2.1</t>
        </is>
      </c>
      <c r="C92" s="16" t="inlineStr">
        <is>
          <t>2.1</t>
        </is>
      </c>
      <c r="D92" s="16" t="inlineStr">
        <is>
          <t>una variable a la vez</t>
        </is>
      </c>
      <c r="E92" s="16" t="inlineStr">
        <is>
          <t>KF-M02-N1</t>
        </is>
      </c>
      <c r="F92" s="16" t="inlineStr">
        <is>
          <t>KF-M02-N1</t>
        </is>
      </c>
      <c r="G92" s="16" t="inlineStr">
        <is>
          <t>B02</t>
        </is>
      </c>
      <c r="H92" s="16" t="inlineStr">
        <is>
          <t>malla</t>
        </is>
      </c>
      <c r="I92" s="16" t="inlineStr">
        <is>
          <t>NO_CONVERGIO</t>
        </is>
      </c>
      <c r="J92" s="16" t="inlineStr">
        <is>
          <t>NO_CONVERGIO</t>
        </is>
      </c>
      <c r="K92" s="16" t="b">
        <v>0</v>
      </c>
      <c r="L92" s="16" t="b">
        <v>0</v>
      </c>
      <c r="M92" s="16" t="b">
        <v>0</v>
      </c>
      <c r="N92" s="16" t="b">
        <v>0</v>
      </c>
      <c r="O92" s="16" t="n">
        <v>623.15</v>
      </c>
      <c r="P92" s="16" t="n">
        <v>300.032917</v>
      </c>
      <c r="Q92" s="16" t="n">
        <v>3000</v>
      </c>
      <c r="R92" s="16" t="n">
        <v>400</v>
      </c>
      <c r="S92" s="16" t="n">
        <v>0.5</v>
      </c>
      <c r="T92" s="16" t="n">
        <v>0.85</v>
      </c>
      <c r="U92" s="16" t="n">
        <v>0.85</v>
      </c>
      <c r="V92" s="16" t="n">
        <v>0.85</v>
      </c>
      <c r="W92" s="16" t="n">
        <v>0.75</v>
      </c>
      <c r="X92" s="16" t="n">
        <v>0.8</v>
      </c>
      <c r="Y92" s="16" t="n"/>
      <c r="Z92" s="16" t="n"/>
      <c r="AA92" s="16" t="n"/>
      <c r="AB92" s="16" t="n">
        <v>2600</v>
      </c>
      <c r="AC92" s="16" t="n">
        <v>7.5</v>
      </c>
      <c r="AD92" s="16" t="n"/>
      <c r="AE92" s="16" t="inlineStr">
        <is>
          <t>eta_p</t>
        </is>
      </c>
    </row>
    <row r="93">
      <c r="A93" s="16" t="inlineStr">
        <is>
          <t>KF-M02-N1-0049</t>
        </is>
      </c>
      <c r="B93" s="16" t="inlineStr">
        <is>
          <t>2.1</t>
        </is>
      </c>
      <c r="C93" s="16" t="inlineStr">
        <is>
          <t>2.1</t>
        </is>
      </c>
      <c r="D93" s="16" t="inlineStr">
        <is>
          <t>una variable a la vez</t>
        </is>
      </c>
      <c r="E93" s="16" t="inlineStr">
        <is>
          <t>KF-M02-N1</t>
        </is>
      </c>
      <c r="F93" s="16" t="inlineStr">
        <is>
          <t>KF-M02-N1</t>
        </is>
      </c>
      <c r="G93" s="16" t="inlineStr">
        <is>
          <t>B02</t>
        </is>
      </c>
      <c r="H93" s="16" t="inlineStr">
        <is>
          <t>malla</t>
        </is>
      </c>
      <c r="I93" s="16" t="inlineStr">
        <is>
          <t>NO_CONVERGIO</t>
        </is>
      </c>
      <c r="J93" s="16" t="inlineStr">
        <is>
          <t>NO_CONVERGIO</t>
        </is>
      </c>
      <c r="K93" s="16" t="b">
        <v>0</v>
      </c>
      <c r="L93" s="16" t="b">
        <v>0</v>
      </c>
      <c r="M93" s="16" t="b">
        <v>0</v>
      </c>
      <c r="N93" s="16" t="b">
        <v>0</v>
      </c>
      <c r="O93" s="16" t="n">
        <v>623.15</v>
      </c>
      <c r="P93" s="16" t="n">
        <v>300.032917</v>
      </c>
      <c r="Q93" s="16" t="n">
        <v>3000</v>
      </c>
      <c r="R93" s="16" t="n">
        <v>400</v>
      </c>
      <c r="S93" s="16" t="n">
        <v>0.5</v>
      </c>
      <c r="T93" s="16" t="n">
        <v>0.85</v>
      </c>
      <c r="U93" s="16" t="n">
        <v>0.8277777777777777</v>
      </c>
      <c r="V93" s="16" t="n">
        <v>0.85</v>
      </c>
      <c r="W93" s="16" t="n">
        <v>0.75</v>
      </c>
      <c r="X93" s="16" t="n">
        <v>0.8</v>
      </c>
      <c r="Y93" s="16" t="n"/>
      <c r="Z93" s="16" t="n"/>
      <c r="AA93" s="16" t="n"/>
      <c r="AB93" s="16" t="n">
        <v>2600</v>
      </c>
      <c r="AC93" s="16" t="n">
        <v>7.5</v>
      </c>
      <c r="AD93" s="16" t="n"/>
      <c r="AE93" s="16" t="inlineStr">
        <is>
          <t>eta_p</t>
        </is>
      </c>
    </row>
    <row r="94">
      <c r="A94" s="16" t="inlineStr">
        <is>
          <t>KF-M02-N1-0050</t>
        </is>
      </c>
      <c r="B94" s="16" t="inlineStr">
        <is>
          <t>2.1</t>
        </is>
      </c>
      <c r="C94" s="16" t="inlineStr">
        <is>
          <t>2.1</t>
        </is>
      </c>
      <c r="D94" s="16" t="inlineStr">
        <is>
          <t>una variable a la vez</t>
        </is>
      </c>
      <c r="E94" s="16" t="inlineStr">
        <is>
          <t>KF-M02-N1</t>
        </is>
      </c>
      <c r="F94" s="16" t="inlineStr">
        <is>
          <t>KF-M02-N1</t>
        </is>
      </c>
      <c r="G94" s="16" t="inlineStr">
        <is>
          <t>B02</t>
        </is>
      </c>
      <c r="H94" s="16" t="inlineStr">
        <is>
          <t>malla</t>
        </is>
      </c>
      <c r="I94" s="16" t="inlineStr">
        <is>
          <t>CORREGIBLE</t>
        </is>
      </c>
      <c r="J94" s="16" t="inlineStr">
        <is>
          <t>CORREGIBLE</t>
        </is>
      </c>
      <c r="K94" s="16" t="b">
        <v>1</v>
      </c>
      <c r="L94" s="16" t="b">
        <v>0</v>
      </c>
      <c r="M94" s="16" t="b">
        <v>1</v>
      </c>
      <c r="N94" s="16" t="b">
        <v>0</v>
      </c>
      <c r="O94" s="16" t="n">
        <v>623.15</v>
      </c>
      <c r="P94" s="16" t="n">
        <v>300.032917</v>
      </c>
      <c r="Q94" s="16" t="n">
        <v>3000</v>
      </c>
      <c r="R94" s="16" t="n">
        <v>400</v>
      </c>
      <c r="S94" s="16" t="n">
        <v>0.5</v>
      </c>
      <c r="T94" s="16" t="n">
        <v>0.85</v>
      </c>
      <c r="U94" s="16" t="n">
        <v>0.75</v>
      </c>
      <c r="V94" s="16" t="n">
        <v>0.75</v>
      </c>
      <c r="W94" s="16" t="n">
        <v>0.75</v>
      </c>
      <c r="X94" s="16" t="n">
        <v>0.8</v>
      </c>
      <c r="Y94" s="16" t="n"/>
      <c r="Z94" s="16" t="n">
        <v>13.08893763816603</v>
      </c>
      <c r="AA94" s="16" t="n">
        <v>224.7695265667433</v>
      </c>
      <c r="AB94" s="16" t="n">
        <v>2600</v>
      </c>
      <c r="AC94" s="16" t="n">
        <v>7.5</v>
      </c>
      <c r="AD94" s="16" t="inlineStr">
        <is>
          <t>O1,O2</t>
        </is>
      </c>
      <c r="AE94" s="16" t="inlineStr">
        <is>
          <t>eps_hrvg</t>
        </is>
      </c>
    </row>
    <row r="95">
      <c r="A95" s="16" t="inlineStr">
        <is>
          <t>KF-M02-N1-0051</t>
        </is>
      </c>
      <c r="B95" s="16" t="inlineStr">
        <is>
          <t>2.1</t>
        </is>
      </c>
      <c r="C95" s="16" t="inlineStr">
        <is>
          <t>2.1</t>
        </is>
      </c>
      <c r="D95" s="16" t="inlineStr">
        <is>
          <t>una variable a la vez</t>
        </is>
      </c>
      <c r="E95" s="16" t="inlineStr">
        <is>
          <t>KF-M02-N1</t>
        </is>
      </c>
      <c r="F95" s="16" t="inlineStr">
        <is>
          <t>KF-M02-N1</t>
        </is>
      </c>
      <c r="G95" s="16" t="inlineStr">
        <is>
          <t>B02</t>
        </is>
      </c>
      <c r="H95" s="16" t="inlineStr">
        <is>
          <t>malla</t>
        </is>
      </c>
      <c r="I95" s="16" t="inlineStr">
        <is>
          <t>CORREGIBLE</t>
        </is>
      </c>
      <c r="J95" s="16" t="inlineStr">
        <is>
          <t>CORREGIBLE</t>
        </is>
      </c>
      <c r="K95" s="16" t="b">
        <v>1</v>
      </c>
      <c r="L95" s="16" t="b">
        <v>0</v>
      </c>
      <c r="M95" s="16" t="b">
        <v>1</v>
      </c>
      <c r="N95" s="16" t="b">
        <v>0</v>
      </c>
      <c r="O95" s="16" t="n">
        <v>623.15</v>
      </c>
      <c r="P95" s="16" t="n">
        <v>300.032917</v>
      </c>
      <c r="Q95" s="16" t="n">
        <v>3000</v>
      </c>
      <c r="R95" s="16" t="n">
        <v>400</v>
      </c>
      <c r="S95" s="16" t="n">
        <v>0.5</v>
      </c>
      <c r="T95" s="16" t="n">
        <v>0.85</v>
      </c>
      <c r="U95" s="16" t="n">
        <v>0.75</v>
      </c>
      <c r="V95" s="16" t="n">
        <v>0.7722222222222223</v>
      </c>
      <c r="W95" s="16" t="n">
        <v>0.75</v>
      </c>
      <c r="X95" s="16" t="n">
        <v>0.8</v>
      </c>
      <c r="Y95" s="16" t="n"/>
      <c r="Z95" s="16" t="n">
        <v>13.07196466438397</v>
      </c>
      <c r="AA95" s="16" t="n">
        <v>230.6144156301188</v>
      </c>
      <c r="AB95" s="16" t="n">
        <v>2600</v>
      </c>
      <c r="AC95" s="16" t="n">
        <v>7.5</v>
      </c>
      <c r="AD95" s="16" t="inlineStr">
        <is>
          <t>O1,O2</t>
        </is>
      </c>
      <c r="AE95" s="16" t="inlineStr">
        <is>
          <t>eps_hrvg</t>
        </is>
      </c>
    </row>
    <row r="96">
      <c r="A96" s="16" t="inlineStr">
        <is>
          <t>KF-M02-N1-0052</t>
        </is>
      </c>
      <c r="B96" s="16" t="inlineStr">
        <is>
          <t>2.1</t>
        </is>
      </c>
      <c r="C96" s="16" t="inlineStr">
        <is>
          <t>2.1</t>
        </is>
      </c>
      <c r="D96" s="16" t="inlineStr">
        <is>
          <t>una variable a la vez</t>
        </is>
      </c>
      <c r="E96" s="16" t="inlineStr">
        <is>
          <t>KF-M02-N1</t>
        </is>
      </c>
      <c r="F96" s="16" t="inlineStr">
        <is>
          <t>KF-M02-N1</t>
        </is>
      </c>
      <c r="G96" s="16" t="inlineStr">
        <is>
          <t>B02</t>
        </is>
      </c>
      <c r="H96" s="16" t="inlineStr">
        <is>
          <t>malla</t>
        </is>
      </c>
      <c r="I96" s="16" t="inlineStr">
        <is>
          <t>CORREGIBLE</t>
        </is>
      </c>
      <c r="J96" s="16" t="inlineStr">
        <is>
          <t>CORREGIBLE</t>
        </is>
      </c>
      <c r="K96" s="16" t="b">
        <v>1</v>
      </c>
      <c r="L96" s="16" t="b">
        <v>0</v>
      </c>
      <c r="M96" s="16" t="b">
        <v>1</v>
      </c>
      <c r="N96" s="16" t="b">
        <v>0</v>
      </c>
      <c r="O96" s="16" t="n">
        <v>623.15</v>
      </c>
      <c r="P96" s="16" t="n">
        <v>300.032917</v>
      </c>
      <c r="Q96" s="16" t="n">
        <v>3000</v>
      </c>
      <c r="R96" s="16" t="n">
        <v>400</v>
      </c>
      <c r="S96" s="16" t="n">
        <v>0.5</v>
      </c>
      <c r="T96" s="16" t="n">
        <v>0.85</v>
      </c>
      <c r="U96" s="16" t="n">
        <v>0.75</v>
      </c>
      <c r="V96" s="16" t="n">
        <v>0.7611111111111111</v>
      </c>
      <c r="W96" s="16" t="n">
        <v>0.75</v>
      </c>
      <c r="X96" s="16" t="n">
        <v>0.8</v>
      </c>
      <c r="Y96" s="16" t="n"/>
      <c r="Z96" s="16" t="n">
        <v>13.08033619564443</v>
      </c>
      <c r="AA96" s="16" t="n">
        <v>227.6946652059985</v>
      </c>
      <c r="AB96" s="16" t="n">
        <v>2600</v>
      </c>
      <c r="AC96" s="16" t="n">
        <v>7.5</v>
      </c>
      <c r="AD96" s="16" t="inlineStr">
        <is>
          <t>O1,O2</t>
        </is>
      </c>
      <c r="AE96" s="16" t="inlineStr">
        <is>
          <t>eps_hrvg</t>
        </is>
      </c>
    </row>
    <row r="97">
      <c r="A97" s="16" t="inlineStr">
        <is>
          <t>KF-M02-N1-0053</t>
        </is>
      </c>
      <c r="B97" s="16" t="inlineStr">
        <is>
          <t>2.1</t>
        </is>
      </c>
      <c r="C97" s="16" t="inlineStr">
        <is>
          <t>2.1</t>
        </is>
      </c>
      <c r="D97" s="16" t="inlineStr">
        <is>
          <t>una variable a la vez</t>
        </is>
      </c>
      <c r="E97" s="16" t="inlineStr">
        <is>
          <t>KF-M02-N1</t>
        </is>
      </c>
      <c r="F97" s="16" t="inlineStr">
        <is>
          <t>KF-M02-N1</t>
        </is>
      </c>
      <c r="G97" s="16" t="inlineStr">
        <is>
          <t>B02</t>
        </is>
      </c>
      <c r="H97" s="16" t="inlineStr">
        <is>
          <t>malla</t>
        </is>
      </c>
      <c r="I97" s="16" t="inlineStr">
        <is>
          <t>CORREGIBLE</t>
        </is>
      </c>
      <c r="J97" s="16" t="inlineStr">
        <is>
          <t>CORREGIBLE</t>
        </is>
      </c>
      <c r="K97" s="16" t="b">
        <v>1</v>
      </c>
      <c r="L97" s="16" t="b">
        <v>0</v>
      </c>
      <c r="M97" s="16" t="b">
        <v>1</v>
      </c>
      <c r="N97" s="16" t="b">
        <v>0</v>
      </c>
      <c r="O97" s="16" t="n">
        <v>623.15</v>
      </c>
      <c r="P97" s="16" t="n">
        <v>300.032917</v>
      </c>
      <c r="Q97" s="16" t="n">
        <v>3000</v>
      </c>
      <c r="R97" s="16" t="n">
        <v>400</v>
      </c>
      <c r="S97" s="16" t="n">
        <v>0.5</v>
      </c>
      <c r="T97" s="16" t="n">
        <v>0.85</v>
      </c>
      <c r="U97" s="16" t="n">
        <v>0.75</v>
      </c>
      <c r="V97" s="16" t="n">
        <v>0.7833333333333333</v>
      </c>
      <c r="W97" s="16" t="n">
        <v>0.75</v>
      </c>
      <c r="X97" s="16" t="n">
        <v>0.8</v>
      </c>
      <c r="Y97" s="16" t="n"/>
      <c r="Z97" s="16" t="n">
        <v>13.06394577938044</v>
      </c>
      <c r="AA97" s="16" t="n">
        <v>233.5312795363553</v>
      </c>
      <c r="AB97" s="16" t="n">
        <v>2600</v>
      </c>
      <c r="AC97" s="16" t="n">
        <v>7.5</v>
      </c>
      <c r="AD97" s="16" t="inlineStr">
        <is>
          <t>O1,O2</t>
        </is>
      </c>
      <c r="AE97" s="16" t="inlineStr">
        <is>
          <t>eps_hrvg</t>
        </is>
      </c>
    </row>
    <row r="98">
      <c r="A98" s="16" t="inlineStr">
        <is>
          <t>KF-M02-N1-0054</t>
        </is>
      </c>
      <c r="B98" s="16" t="inlineStr">
        <is>
          <t>2.1</t>
        </is>
      </c>
      <c r="C98" s="16" t="inlineStr">
        <is>
          <t>2.1</t>
        </is>
      </c>
      <c r="D98" s="16" t="inlineStr">
        <is>
          <t>una variable a la vez</t>
        </is>
      </c>
      <c r="E98" s="16" t="inlineStr">
        <is>
          <t>KF-M02-N1</t>
        </is>
      </c>
      <c r="F98" s="16" t="inlineStr">
        <is>
          <t>KF-M02-N1</t>
        </is>
      </c>
      <c r="G98" s="16" t="inlineStr">
        <is>
          <t>B02</t>
        </is>
      </c>
      <c r="H98" s="16" t="inlineStr">
        <is>
          <t>malla</t>
        </is>
      </c>
      <c r="I98" s="16" t="inlineStr">
        <is>
          <t>NO_CONVERGIO</t>
        </is>
      </c>
      <c r="J98" s="16" t="inlineStr">
        <is>
          <t>NO_CONVERGIO</t>
        </is>
      </c>
      <c r="K98" s="16" t="b">
        <v>0</v>
      </c>
      <c r="L98" s="16" t="b">
        <v>0</v>
      </c>
      <c r="M98" s="16" t="b">
        <v>0</v>
      </c>
      <c r="N98" s="16" t="b">
        <v>0</v>
      </c>
      <c r="O98" s="16" t="n">
        <v>623.15</v>
      </c>
      <c r="P98" s="16" t="n">
        <v>300.032917</v>
      </c>
      <c r="Q98" s="16" t="n">
        <v>3000</v>
      </c>
      <c r="R98" s="16" t="n">
        <v>400</v>
      </c>
      <c r="S98" s="16" t="n">
        <v>0.5</v>
      </c>
      <c r="T98" s="16" t="n">
        <v>0.85</v>
      </c>
      <c r="U98" s="16" t="n">
        <v>0.75</v>
      </c>
      <c r="V98" s="16" t="n">
        <v>0.8277777777777777</v>
      </c>
      <c r="W98" s="16" t="n">
        <v>0.75</v>
      </c>
      <c r="X98" s="16" t="n">
        <v>0.8</v>
      </c>
      <c r="Y98" s="16" t="n"/>
      <c r="Z98" s="16" t="n"/>
      <c r="AA98" s="16" t="n"/>
      <c r="AB98" s="16" t="n">
        <v>2600</v>
      </c>
      <c r="AC98" s="16" t="n">
        <v>7.5</v>
      </c>
      <c r="AD98" s="16" t="n"/>
      <c r="AE98" s="16" t="inlineStr">
        <is>
          <t>eps_hrvg</t>
        </is>
      </c>
    </row>
    <row r="99">
      <c r="A99" s="16" t="inlineStr">
        <is>
          <t>KF-M02-N1-0055</t>
        </is>
      </c>
      <c r="B99" s="16" t="inlineStr">
        <is>
          <t>2.1</t>
        </is>
      </c>
      <c r="C99" s="16" t="inlineStr">
        <is>
          <t>2.1</t>
        </is>
      </c>
      <c r="D99" s="16" t="inlineStr">
        <is>
          <t>una variable a la vez</t>
        </is>
      </c>
      <c r="E99" s="16" t="inlineStr">
        <is>
          <t>KF-M02-N1</t>
        </is>
      </c>
      <c r="F99" s="16" t="inlineStr">
        <is>
          <t>KF-M02-N1</t>
        </is>
      </c>
      <c r="G99" s="16" t="inlineStr">
        <is>
          <t>B02</t>
        </is>
      </c>
      <c r="H99" s="16" t="inlineStr">
        <is>
          <t>malla</t>
        </is>
      </c>
      <c r="I99" s="16" t="inlineStr">
        <is>
          <t>CORREGIBLE</t>
        </is>
      </c>
      <c r="J99" s="16" t="inlineStr">
        <is>
          <t>CORREGIBLE</t>
        </is>
      </c>
      <c r="K99" s="16" t="b">
        <v>1</v>
      </c>
      <c r="L99" s="16" t="b">
        <v>0</v>
      </c>
      <c r="M99" s="16" t="b">
        <v>1</v>
      </c>
      <c r="N99" s="16" t="b">
        <v>0</v>
      </c>
      <c r="O99" s="16" t="n">
        <v>623.15</v>
      </c>
      <c r="P99" s="16" t="n">
        <v>300.032917</v>
      </c>
      <c r="Q99" s="16" t="n">
        <v>3000</v>
      </c>
      <c r="R99" s="16" t="n">
        <v>400</v>
      </c>
      <c r="S99" s="16" t="n">
        <v>0.5</v>
      </c>
      <c r="T99" s="16" t="n">
        <v>0.85</v>
      </c>
      <c r="U99" s="16" t="n">
        <v>0.75</v>
      </c>
      <c r="V99" s="16" t="n">
        <v>0.8055555555555556</v>
      </c>
      <c r="W99" s="16" t="n">
        <v>0.75</v>
      </c>
      <c r="X99" s="16" t="n">
        <v>0.8</v>
      </c>
      <c r="Y99" s="16" t="n"/>
      <c r="Z99" s="16" t="n">
        <v>13.04894913058459</v>
      </c>
      <c r="AA99" s="16" t="n">
        <v>239.3566724400604</v>
      </c>
      <c r="AB99" s="16" t="n">
        <v>2600</v>
      </c>
      <c r="AC99" s="16" t="n">
        <v>7.5</v>
      </c>
      <c r="AD99" s="16" t="inlineStr">
        <is>
          <t>O1,O2</t>
        </is>
      </c>
      <c r="AE99" s="16" t="inlineStr">
        <is>
          <t>eps_hrvg</t>
        </is>
      </c>
    </row>
    <row r="100">
      <c r="A100" s="16" t="inlineStr">
        <is>
          <t>KF-M02-N1-0056</t>
        </is>
      </c>
      <c r="B100" s="16" t="inlineStr">
        <is>
          <t>2.1</t>
        </is>
      </c>
      <c r="C100" s="16" t="inlineStr">
        <is>
          <t>2.1</t>
        </is>
      </c>
      <c r="D100" s="16" t="inlineStr">
        <is>
          <t>una variable a la vez</t>
        </is>
      </c>
      <c r="E100" s="16" t="inlineStr">
        <is>
          <t>KF-M02-N1</t>
        </is>
      </c>
      <c r="F100" s="16" t="inlineStr">
        <is>
          <t>KF-M02-N1</t>
        </is>
      </c>
      <c r="G100" s="16" t="inlineStr">
        <is>
          <t>B02</t>
        </is>
      </c>
      <c r="H100" s="16" t="inlineStr">
        <is>
          <t>malla</t>
        </is>
      </c>
      <c r="I100" s="16" t="inlineStr">
        <is>
          <t>CORREGIBLE</t>
        </is>
      </c>
      <c r="J100" s="16" t="inlineStr">
        <is>
          <t>CORREGIBLE</t>
        </is>
      </c>
      <c r="K100" s="16" t="b">
        <v>1</v>
      </c>
      <c r="L100" s="16" t="b">
        <v>0</v>
      </c>
      <c r="M100" s="16" t="b">
        <v>1</v>
      </c>
      <c r="N100" s="16" t="b">
        <v>0</v>
      </c>
      <c r="O100" s="16" t="n">
        <v>623.15</v>
      </c>
      <c r="P100" s="16" t="n">
        <v>300.032917</v>
      </c>
      <c r="Q100" s="16" t="n">
        <v>3000</v>
      </c>
      <c r="R100" s="16" t="n">
        <v>400</v>
      </c>
      <c r="S100" s="16" t="n">
        <v>0.5</v>
      </c>
      <c r="T100" s="16" t="n">
        <v>0.85</v>
      </c>
      <c r="U100" s="16" t="n">
        <v>0.75</v>
      </c>
      <c r="V100" s="16" t="n">
        <v>0.7944444444444444</v>
      </c>
      <c r="W100" s="16" t="n">
        <v>0.75</v>
      </c>
      <c r="X100" s="16" t="n">
        <v>0.8</v>
      </c>
      <c r="Y100" s="16" t="n"/>
      <c r="Z100" s="16" t="n">
        <v>13.05627553796046</v>
      </c>
      <c r="AA100" s="16" t="n">
        <v>236.4453429327573</v>
      </c>
      <c r="AB100" s="16" t="n">
        <v>2600</v>
      </c>
      <c r="AC100" s="16" t="n">
        <v>7.5</v>
      </c>
      <c r="AD100" s="16" t="inlineStr">
        <is>
          <t>O1,O2</t>
        </is>
      </c>
      <c r="AE100" s="16" t="inlineStr">
        <is>
          <t>eps_hrvg</t>
        </is>
      </c>
    </row>
    <row r="101">
      <c r="A101" s="16" t="inlineStr">
        <is>
          <t>KF-M02-N1-0057</t>
        </is>
      </c>
      <c r="B101" s="16" t="inlineStr">
        <is>
          <t>2.1</t>
        </is>
      </c>
      <c r="C101" s="16" t="inlineStr">
        <is>
          <t>2.1</t>
        </is>
      </c>
      <c r="D101" s="16" t="inlineStr">
        <is>
          <t>una variable a la vez</t>
        </is>
      </c>
      <c r="E101" s="16" t="inlineStr">
        <is>
          <t>KF-M02-N1</t>
        </is>
      </c>
      <c r="F101" s="16" t="inlineStr">
        <is>
          <t>KF-M02-N1</t>
        </is>
      </c>
      <c r="G101" s="16" t="inlineStr">
        <is>
          <t>B02</t>
        </is>
      </c>
      <c r="H101" s="16" t="inlineStr">
        <is>
          <t>malla</t>
        </is>
      </c>
      <c r="I101" s="16" t="inlineStr">
        <is>
          <t>NO_CONVERGIO</t>
        </is>
      </c>
      <c r="J101" s="16" t="inlineStr">
        <is>
          <t>NO_CONVERGIO</t>
        </is>
      </c>
      <c r="K101" s="16" t="b">
        <v>0</v>
      </c>
      <c r="L101" s="16" t="b">
        <v>0</v>
      </c>
      <c r="M101" s="16" t="b">
        <v>0</v>
      </c>
      <c r="N101" s="16" t="b">
        <v>0</v>
      </c>
      <c r="O101" s="16" t="n">
        <v>623.15</v>
      </c>
      <c r="P101" s="16" t="n">
        <v>300.032917</v>
      </c>
      <c r="Q101" s="16" t="n">
        <v>3000</v>
      </c>
      <c r="R101" s="16" t="n">
        <v>400</v>
      </c>
      <c r="S101" s="16" t="n">
        <v>0.5</v>
      </c>
      <c r="T101" s="16" t="n">
        <v>0.85</v>
      </c>
      <c r="U101" s="16" t="n">
        <v>0.75</v>
      </c>
      <c r="V101" s="16" t="n">
        <v>0.8388888888888889</v>
      </c>
      <c r="W101" s="16" t="n">
        <v>0.75</v>
      </c>
      <c r="X101" s="16" t="n">
        <v>0.8</v>
      </c>
      <c r="Y101" s="16" t="n"/>
      <c r="Z101" s="16" t="n"/>
      <c r="AA101" s="16" t="n"/>
      <c r="AB101" s="16" t="n">
        <v>2600</v>
      </c>
      <c r="AC101" s="16" t="n">
        <v>7.5</v>
      </c>
      <c r="AD101" s="16" t="n"/>
      <c r="AE101" s="16" t="inlineStr">
        <is>
          <t>eps_hrvg</t>
        </is>
      </c>
    </row>
    <row r="102">
      <c r="A102" s="16" t="inlineStr">
        <is>
          <t>KF-M02-N1-0058</t>
        </is>
      </c>
      <c r="B102" s="16" t="inlineStr">
        <is>
          <t>2.1</t>
        </is>
      </c>
      <c r="C102" s="16" t="inlineStr">
        <is>
          <t>2.1</t>
        </is>
      </c>
      <c r="D102" s="16" t="inlineStr">
        <is>
          <t>una variable a la vez</t>
        </is>
      </c>
      <c r="E102" s="16" t="inlineStr">
        <is>
          <t>KF-M02-N1</t>
        </is>
      </c>
      <c r="F102" s="16" t="inlineStr">
        <is>
          <t>KF-M02-N1</t>
        </is>
      </c>
      <c r="G102" s="16" t="inlineStr">
        <is>
          <t>B02</t>
        </is>
      </c>
      <c r="H102" s="16" t="inlineStr">
        <is>
          <t>malla</t>
        </is>
      </c>
      <c r="I102" s="16" t="inlineStr">
        <is>
          <t>NO_CONVERGIO</t>
        </is>
      </c>
      <c r="J102" s="16" t="inlineStr">
        <is>
          <t>NO_CONVERGIO</t>
        </is>
      </c>
      <c r="K102" s="16" t="b">
        <v>0</v>
      </c>
      <c r="L102" s="16" t="b">
        <v>0</v>
      </c>
      <c r="M102" s="16" t="b">
        <v>0</v>
      </c>
      <c r="N102" s="16" t="b">
        <v>0</v>
      </c>
      <c r="O102" s="16" t="n">
        <v>623.15</v>
      </c>
      <c r="P102" s="16" t="n">
        <v>300.032917</v>
      </c>
      <c r="Q102" s="16" t="n">
        <v>3000</v>
      </c>
      <c r="R102" s="16" t="n">
        <v>400</v>
      </c>
      <c r="S102" s="16" t="n">
        <v>0.5</v>
      </c>
      <c r="T102" s="16" t="n">
        <v>0.85</v>
      </c>
      <c r="U102" s="16" t="n">
        <v>0.75</v>
      </c>
      <c r="V102" s="16" t="n">
        <v>0.85</v>
      </c>
      <c r="W102" s="16" t="n">
        <v>0.75</v>
      </c>
      <c r="X102" s="16" t="n">
        <v>0.8</v>
      </c>
      <c r="Y102" s="16" t="n"/>
      <c r="Z102" s="16" t="n"/>
      <c r="AA102" s="16" t="n"/>
      <c r="AB102" s="16" t="n">
        <v>2600</v>
      </c>
      <c r="AC102" s="16" t="n">
        <v>7.5</v>
      </c>
      <c r="AD102" s="16" t="n"/>
      <c r="AE102" s="16" t="inlineStr">
        <is>
          <t>eps_hrvg</t>
        </is>
      </c>
    </row>
    <row r="103">
      <c r="A103" s="16" t="inlineStr">
        <is>
          <t>KF-M02-N1-0059</t>
        </is>
      </c>
      <c r="B103" s="16" t="inlineStr">
        <is>
          <t>2.1</t>
        </is>
      </c>
      <c r="C103" s="16" t="inlineStr">
        <is>
          <t>2.1</t>
        </is>
      </c>
      <c r="D103" s="16" t="inlineStr">
        <is>
          <t>una variable a la vez</t>
        </is>
      </c>
      <c r="E103" s="16" t="inlineStr">
        <is>
          <t>KF-M02-N1</t>
        </is>
      </c>
      <c r="F103" s="16" t="inlineStr">
        <is>
          <t>KF-M02-N1</t>
        </is>
      </c>
      <c r="G103" s="16" t="inlineStr">
        <is>
          <t>B02</t>
        </is>
      </c>
      <c r="H103" s="16" t="inlineStr">
        <is>
          <t>malla</t>
        </is>
      </c>
      <c r="I103" s="16" t="inlineStr">
        <is>
          <t>NO_CONVERGIO</t>
        </is>
      </c>
      <c r="J103" s="16" t="inlineStr">
        <is>
          <t>NO_CONVERGIO</t>
        </is>
      </c>
      <c r="K103" s="16" t="b">
        <v>0</v>
      </c>
      <c r="L103" s="16" t="b">
        <v>0</v>
      </c>
      <c r="M103" s="16" t="b">
        <v>0</v>
      </c>
      <c r="N103" s="16" t="b">
        <v>0</v>
      </c>
      <c r="O103" s="16" t="n">
        <v>623.15</v>
      </c>
      <c r="P103" s="16" t="n">
        <v>300.032917</v>
      </c>
      <c r="Q103" s="16" t="n">
        <v>3000</v>
      </c>
      <c r="R103" s="16" t="n">
        <v>400</v>
      </c>
      <c r="S103" s="16" t="n">
        <v>0.5</v>
      </c>
      <c r="T103" s="16" t="n">
        <v>0.85</v>
      </c>
      <c r="U103" s="16" t="n">
        <v>0.75</v>
      </c>
      <c r="V103" s="16" t="n">
        <v>0.85</v>
      </c>
      <c r="W103" s="16" t="n">
        <v>0.7611111111111111</v>
      </c>
      <c r="X103" s="16" t="n">
        <v>0.8</v>
      </c>
      <c r="Y103" s="16" t="n"/>
      <c r="Z103" s="16" t="n"/>
      <c r="AA103" s="16" t="n"/>
      <c r="AB103" s="16" t="n">
        <v>2600</v>
      </c>
      <c r="AC103" s="16" t="n">
        <v>7.5</v>
      </c>
      <c r="AD103" s="16" t="n"/>
      <c r="AE103" s="16" t="inlineStr">
        <is>
          <t>eps_reg</t>
        </is>
      </c>
    </row>
    <row r="104">
      <c r="A104" s="16" t="inlineStr">
        <is>
          <t>KF-M02-N1-0060</t>
        </is>
      </c>
      <c r="B104" s="16" t="inlineStr">
        <is>
          <t>2.1</t>
        </is>
      </c>
      <c r="C104" s="16" t="inlineStr">
        <is>
          <t>2.1</t>
        </is>
      </c>
      <c r="D104" s="16" t="inlineStr">
        <is>
          <t>una variable a la vez</t>
        </is>
      </c>
      <c r="E104" s="16" t="inlineStr">
        <is>
          <t>KF-M02-N1</t>
        </is>
      </c>
      <c r="F104" s="16" t="inlineStr">
        <is>
          <t>KF-M02-N1</t>
        </is>
      </c>
      <c r="G104" s="16" t="inlineStr">
        <is>
          <t>B02</t>
        </is>
      </c>
      <c r="H104" s="16" t="inlineStr">
        <is>
          <t>malla</t>
        </is>
      </c>
      <c r="I104" s="16" t="inlineStr">
        <is>
          <t>CORREGIBLE</t>
        </is>
      </c>
      <c r="J104" s="16" t="inlineStr">
        <is>
          <t>CORREGIBLE</t>
        </is>
      </c>
      <c r="K104" s="16" t="b">
        <v>1</v>
      </c>
      <c r="L104" s="16" t="b">
        <v>0</v>
      </c>
      <c r="M104" s="16" t="b">
        <v>1</v>
      </c>
      <c r="N104" s="16" t="b">
        <v>0</v>
      </c>
      <c r="O104" s="16" t="n">
        <v>623.15</v>
      </c>
      <c r="P104" s="16" t="n">
        <v>300.032917</v>
      </c>
      <c r="Q104" s="16" t="n">
        <v>3000</v>
      </c>
      <c r="R104" s="16" t="n">
        <v>400</v>
      </c>
      <c r="S104" s="16" t="n">
        <v>0.5</v>
      </c>
      <c r="T104" s="16" t="n">
        <v>0.85</v>
      </c>
      <c r="U104" s="16" t="n">
        <v>0.75</v>
      </c>
      <c r="V104" s="16" t="n">
        <v>0.8166666666666667</v>
      </c>
      <c r="W104" s="16" t="n">
        <v>0.75</v>
      </c>
      <c r="X104" s="16" t="n">
        <v>0.8</v>
      </c>
      <c r="Y104" s="16" t="n"/>
      <c r="Z104" s="16" t="n">
        <v>13.04196254281148</v>
      </c>
      <c r="AA104" s="16" t="n">
        <v>242.2653354733555</v>
      </c>
      <c r="AB104" s="16" t="n">
        <v>2600</v>
      </c>
      <c r="AC104" s="16" t="n">
        <v>7.5</v>
      </c>
      <c r="AD104" s="16" t="inlineStr">
        <is>
          <t>O1,O2</t>
        </is>
      </c>
      <c r="AE104" s="16" t="inlineStr">
        <is>
          <t>eps_hrvg</t>
        </is>
      </c>
    </row>
    <row r="105">
      <c r="A105" s="16" t="inlineStr">
        <is>
          <t>KF-M02-N1-0061</t>
        </is>
      </c>
      <c r="B105" s="16" t="inlineStr">
        <is>
          <t>2.1</t>
        </is>
      </c>
      <c r="C105" s="16" t="inlineStr">
        <is>
          <t>2.1</t>
        </is>
      </c>
      <c r="D105" s="16" t="inlineStr">
        <is>
          <t>una variable a la vez</t>
        </is>
      </c>
      <c r="E105" s="16" t="inlineStr">
        <is>
          <t>KF-M02-N1</t>
        </is>
      </c>
      <c r="F105" s="16" t="inlineStr">
        <is>
          <t>KF-M02-N1</t>
        </is>
      </c>
      <c r="G105" s="16" t="inlineStr">
        <is>
          <t>B02</t>
        </is>
      </c>
      <c r="H105" s="16" t="inlineStr">
        <is>
          <t>malla</t>
        </is>
      </c>
      <c r="I105" s="16" t="inlineStr">
        <is>
          <t>NO_CONVERGIO</t>
        </is>
      </c>
      <c r="J105" s="16" t="inlineStr">
        <is>
          <t>NO_CONVERGIO</t>
        </is>
      </c>
      <c r="K105" s="16" t="b">
        <v>0</v>
      </c>
      <c r="L105" s="16" t="b">
        <v>0</v>
      </c>
      <c r="M105" s="16" t="b">
        <v>0</v>
      </c>
      <c r="N105" s="16" t="b">
        <v>0</v>
      </c>
      <c r="O105" s="16" t="n">
        <v>623.15</v>
      </c>
      <c r="P105" s="16" t="n">
        <v>300.032917</v>
      </c>
      <c r="Q105" s="16" t="n">
        <v>3000</v>
      </c>
      <c r="R105" s="16" t="n">
        <v>400</v>
      </c>
      <c r="S105" s="16" t="n">
        <v>0.5</v>
      </c>
      <c r="T105" s="16" t="n">
        <v>0.85</v>
      </c>
      <c r="U105" s="16" t="n">
        <v>0.75</v>
      </c>
      <c r="V105" s="16" t="n">
        <v>0.85</v>
      </c>
      <c r="W105" s="16" t="n">
        <v>0.75</v>
      </c>
      <c r="X105" s="16" t="n">
        <v>0.8</v>
      </c>
      <c r="Y105" s="16" t="n"/>
      <c r="Z105" s="16" t="n"/>
      <c r="AA105" s="16" t="n"/>
      <c r="AB105" s="16" t="n">
        <v>2600</v>
      </c>
      <c r="AC105" s="16" t="n">
        <v>7.5</v>
      </c>
      <c r="AD105" s="16" t="n"/>
      <c r="AE105" s="16" t="inlineStr">
        <is>
          <t>eps_reg</t>
        </is>
      </c>
    </row>
    <row r="106">
      <c r="A106" s="16" t="inlineStr">
        <is>
          <t>KF-M02-N1-0062</t>
        </is>
      </c>
      <c r="B106" s="16" t="inlineStr">
        <is>
          <t>2.1</t>
        </is>
      </c>
      <c r="C106" s="16" t="inlineStr">
        <is>
          <t>2.1</t>
        </is>
      </c>
      <c r="D106" s="16" t="inlineStr">
        <is>
          <t>una variable a la vez</t>
        </is>
      </c>
      <c r="E106" s="16" t="inlineStr">
        <is>
          <t>KF-M02-N1</t>
        </is>
      </c>
      <c r="F106" s="16" t="inlineStr">
        <is>
          <t>KF-M02-N1</t>
        </is>
      </c>
      <c r="G106" s="16" t="inlineStr">
        <is>
          <t>B02</t>
        </is>
      </c>
      <c r="H106" s="16" t="inlineStr">
        <is>
          <t>malla</t>
        </is>
      </c>
      <c r="I106" s="16" t="inlineStr">
        <is>
          <t>NO_CONVERGIO</t>
        </is>
      </c>
      <c r="J106" s="16" t="inlineStr">
        <is>
          <t>NO_CONVERGIO</t>
        </is>
      </c>
      <c r="K106" s="16" t="b">
        <v>0</v>
      </c>
      <c r="L106" s="16" t="b">
        <v>0</v>
      </c>
      <c r="M106" s="16" t="b">
        <v>0</v>
      </c>
      <c r="N106" s="16" t="b">
        <v>0</v>
      </c>
      <c r="O106" s="16" t="n">
        <v>623.15</v>
      </c>
      <c r="P106" s="16" t="n">
        <v>300.032917</v>
      </c>
      <c r="Q106" s="16" t="n">
        <v>3000</v>
      </c>
      <c r="R106" s="16" t="n">
        <v>400</v>
      </c>
      <c r="S106" s="16" t="n">
        <v>0.5</v>
      </c>
      <c r="T106" s="16" t="n">
        <v>0.85</v>
      </c>
      <c r="U106" s="16" t="n">
        <v>0.75</v>
      </c>
      <c r="V106" s="16" t="n">
        <v>0.85</v>
      </c>
      <c r="W106" s="16" t="n">
        <v>0.7722222222222223</v>
      </c>
      <c r="X106" s="16" t="n">
        <v>0.8</v>
      </c>
      <c r="Y106" s="16" t="n"/>
      <c r="Z106" s="16" t="n"/>
      <c r="AA106" s="16" t="n"/>
      <c r="AB106" s="16" t="n">
        <v>2600</v>
      </c>
      <c r="AC106" s="16" t="n">
        <v>7.5</v>
      </c>
      <c r="AD106" s="16" t="n"/>
      <c r="AE106" s="16" t="inlineStr">
        <is>
          <t>eps_reg</t>
        </is>
      </c>
    </row>
    <row r="107">
      <c r="A107" s="16" t="inlineStr">
        <is>
          <t>KF-M02-N1-0063</t>
        </is>
      </c>
      <c r="B107" s="16" t="inlineStr">
        <is>
          <t>2.1</t>
        </is>
      </c>
      <c r="C107" s="16" t="inlineStr">
        <is>
          <t>2.1</t>
        </is>
      </c>
      <c r="D107" s="16" t="inlineStr">
        <is>
          <t>una variable a la vez</t>
        </is>
      </c>
      <c r="E107" s="16" t="inlineStr">
        <is>
          <t>KF-M02-N1</t>
        </is>
      </c>
      <c r="F107" s="16" t="inlineStr">
        <is>
          <t>KF-M02-N1</t>
        </is>
      </c>
      <c r="G107" s="16" t="inlineStr">
        <is>
          <t>B02</t>
        </is>
      </c>
      <c r="H107" s="16" t="inlineStr">
        <is>
          <t>malla</t>
        </is>
      </c>
      <c r="I107" s="16" t="inlineStr">
        <is>
          <t>NO_CONVERGIO</t>
        </is>
      </c>
      <c r="J107" s="16" t="inlineStr">
        <is>
          <t>NO_CONVERGIO</t>
        </is>
      </c>
      <c r="K107" s="16" t="b">
        <v>0</v>
      </c>
      <c r="L107" s="16" t="b">
        <v>0</v>
      </c>
      <c r="M107" s="16" t="b">
        <v>0</v>
      </c>
      <c r="N107" s="16" t="b">
        <v>0</v>
      </c>
      <c r="O107" s="16" t="n">
        <v>623.15</v>
      </c>
      <c r="P107" s="16" t="n">
        <v>300.032917</v>
      </c>
      <c r="Q107" s="16" t="n">
        <v>3000</v>
      </c>
      <c r="R107" s="16" t="n">
        <v>400</v>
      </c>
      <c r="S107" s="16" t="n">
        <v>0.5</v>
      </c>
      <c r="T107" s="16" t="n">
        <v>0.85</v>
      </c>
      <c r="U107" s="16" t="n">
        <v>0.75</v>
      </c>
      <c r="V107" s="16" t="n">
        <v>0.85</v>
      </c>
      <c r="W107" s="16" t="n">
        <v>0.7833333333333333</v>
      </c>
      <c r="X107" s="16" t="n">
        <v>0.8</v>
      </c>
      <c r="Y107" s="16" t="n"/>
      <c r="Z107" s="16" t="n"/>
      <c r="AA107" s="16" t="n"/>
      <c r="AB107" s="16" t="n">
        <v>2600</v>
      </c>
      <c r="AC107" s="16" t="n">
        <v>7.5</v>
      </c>
      <c r="AD107" s="16" t="n"/>
      <c r="AE107" s="16" t="inlineStr">
        <is>
          <t>eps_reg</t>
        </is>
      </c>
    </row>
    <row r="108">
      <c r="A108" s="16" t="inlineStr">
        <is>
          <t>KF-M02-N1-0064</t>
        </is>
      </c>
      <c r="B108" s="16" t="inlineStr">
        <is>
          <t>2.1</t>
        </is>
      </c>
      <c r="C108" s="16" t="inlineStr">
        <is>
          <t>2.1</t>
        </is>
      </c>
      <c r="D108" s="16" t="inlineStr">
        <is>
          <t>una variable a la vez</t>
        </is>
      </c>
      <c r="E108" s="16" t="inlineStr">
        <is>
          <t>KF-M02-N1</t>
        </is>
      </c>
      <c r="F108" s="16" t="inlineStr">
        <is>
          <t>KF-M02-N1</t>
        </is>
      </c>
      <c r="G108" s="16" t="inlineStr">
        <is>
          <t>B02</t>
        </is>
      </c>
      <c r="H108" s="16" t="inlineStr">
        <is>
          <t>malla</t>
        </is>
      </c>
      <c r="I108" s="16" t="inlineStr">
        <is>
          <t>NO_CONVERGIO</t>
        </is>
      </c>
      <c r="J108" s="16" t="inlineStr">
        <is>
          <t>NO_CONVERGIO</t>
        </is>
      </c>
      <c r="K108" s="16" t="b">
        <v>0</v>
      </c>
      <c r="L108" s="16" t="b">
        <v>0</v>
      </c>
      <c r="M108" s="16" t="b">
        <v>0</v>
      </c>
      <c r="N108" s="16" t="b">
        <v>0</v>
      </c>
      <c r="O108" s="16" t="n">
        <v>623.15</v>
      </c>
      <c r="P108" s="16" t="n">
        <v>300.032917</v>
      </c>
      <c r="Q108" s="16" t="n">
        <v>3000</v>
      </c>
      <c r="R108" s="16" t="n">
        <v>400</v>
      </c>
      <c r="S108" s="16" t="n">
        <v>0.5</v>
      </c>
      <c r="T108" s="16" t="n">
        <v>0.85</v>
      </c>
      <c r="U108" s="16" t="n">
        <v>0.75</v>
      </c>
      <c r="V108" s="16" t="n">
        <v>0.85</v>
      </c>
      <c r="W108" s="16" t="n">
        <v>0.7944444444444444</v>
      </c>
      <c r="X108" s="16" t="n">
        <v>0.8</v>
      </c>
      <c r="Y108" s="16" t="n"/>
      <c r="Z108" s="16" t="n"/>
      <c r="AA108" s="16" t="n"/>
      <c r="AB108" s="16" t="n">
        <v>2600</v>
      </c>
      <c r="AC108" s="16" t="n">
        <v>7.5</v>
      </c>
      <c r="AD108" s="16" t="n"/>
      <c r="AE108" s="16" t="inlineStr">
        <is>
          <t>eps_reg</t>
        </is>
      </c>
    </row>
    <row r="109">
      <c r="A109" s="16" t="inlineStr">
        <is>
          <t>KF-M02-N1-0065</t>
        </is>
      </c>
      <c r="B109" s="16" t="inlineStr">
        <is>
          <t>2.1</t>
        </is>
      </c>
      <c r="C109" s="16" t="inlineStr">
        <is>
          <t>2.1</t>
        </is>
      </c>
      <c r="D109" s="16" t="inlineStr">
        <is>
          <t>una variable a la vez</t>
        </is>
      </c>
      <c r="E109" s="16" t="inlineStr">
        <is>
          <t>KF-M02-N1</t>
        </is>
      </c>
      <c r="F109" s="16" t="inlineStr">
        <is>
          <t>KF-M02-N1</t>
        </is>
      </c>
      <c r="G109" s="16" t="inlineStr">
        <is>
          <t>B02</t>
        </is>
      </c>
      <c r="H109" s="16" t="inlineStr">
        <is>
          <t>malla</t>
        </is>
      </c>
      <c r="I109" s="16" t="inlineStr">
        <is>
          <t>NO_CONVERGIO</t>
        </is>
      </c>
      <c r="J109" s="16" t="inlineStr">
        <is>
          <t>NO_CONVERGIO</t>
        </is>
      </c>
      <c r="K109" s="16" t="b">
        <v>0</v>
      </c>
      <c r="L109" s="16" t="b">
        <v>0</v>
      </c>
      <c r="M109" s="16" t="b">
        <v>0</v>
      </c>
      <c r="N109" s="16" t="b">
        <v>0</v>
      </c>
      <c r="O109" s="16" t="n">
        <v>623.15</v>
      </c>
      <c r="P109" s="16" t="n">
        <v>300.032917</v>
      </c>
      <c r="Q109" s="16" t="n">
        <v>3000</v>
      </c>
      <c r="R109" s="16" t="n">
        <v>400</v>
      </c>
      <c r="S109" s="16" t="n">
        <v>0.5</v>
      </c>
      <c r="T109" s="16" t="n">
        <v>0.85</v>
      </c>
      <c r="U109" s="16" t="n">
        <v>0.75</v>
      </c>
      <c r="V109" s="16" t="n">
        <v>0.85</v>
      </c>
      <c r="W109" s="16" t="n">
        <v>0.8055555555555556</v>
      </c>
      <c r="X109" s="16" t="n">
        <v>0.8</v>
      </c>
      <c r="Y109" s="16" t="n"/>
      <c r="Z109" s="16" t="n"/>
      <c r="AA109" s="16" t="n"/>
      <c r="AB109" s="16" t="n">
        <v>2600</v>
      </c>
      <c r="AC109" s="16" t="n">
        <v>7.5</v>
      </c>
      <c r="AD109" s="16" t="n"/>
      <c r="AE109" s="16" t="inlineStr">
        <is>
          <t>eps_reg</t>
        </is>
      </c>
    </row>
    <row r="110">
      <c r="A110" s="16" t="inlineStr">
        <is>
          <t>KF-M02-N1-0066</t>
        </is>
      </c>
      <c r="B110" s="16" t="inlineStr">
        <is>
          <t>2.1</t>
        </is>
      </c>
      <c r="C110" s="16" t="inlineStr">
        <is>
          <t>2.1</t>
        </is>
      </c>
      <c r="D110" s="16" t="inlineStr">
        <is>
          <t>una variable a la vez</t>
        </is>
      </c>
      <c r="E110" s="16" t="inlineStr">
        <is>
          <t>KF-M02-N1</t>
        </is>
      </c>
      <c r="F110" s="16" t="inlineStr">
        <is>
          <t>KF-M02-N1</t>
        </is>
      </c>
      <c r="G110" s="16" t="inlineStr">
        <is>
          <t>B02</t>
        </is>
      </c>
      <c r="H110" s="16" t="inlineStr">
        <is>
          <t>malla</t>
        </is>
      </c>
      <c r="I110" s="16" t="inlineStr">
        <is>
          <t>NO_CONVERGIO</t>
        </is>
      </c>
      <c r="J110" s="16" t="inlineStr">
        <is>
          <t>NO_CONVERGIO</t>
        </is>
      </c>
      <c r="K110" s="16" t="b">
        <v>0</v>
      </c>
      <c r="L110" s="16" t="b">
        <v>0</v>
      </c>
      <c r="M110" s="16" t="b">
        <v>0</v>
      </c>
      <c r="N110" s="16" t="b">
        <v>0</v>
      </c>
      <c r="O110" s="16" t="n">
        <v>623.15</v>
      </c>
      <c r="P110" s="16" t="n">
        <v>300.032917</v>
      </c>
      <c r="Q110" s="16" t="n">
        <v>3000</v>
      </c>
      <c r="R110" s="16" t="n">
        <v>400</v>
      </c>
      <c r="S110" s="16" t="n">
        <v>0.5</v>
      </c>
      <c r="T110" s="16" t="n">
        <v>0.85</v>
      </c>
      <c r="U110" s="16" t="n">
        <v>0.75</v>
      </c>
      <c r="V110" s="16" t="n">
        <v>0.85</v>
      </c>
      <c r="W110" s="16" t="n">
        <v>0.8277777777777777</v>
      </c>
      <c r="X110" s="16" t="n">
        <v>0.8</v>
      </c>
      <c r="Y110" s="16" t="n"/>
      <c r="Z110" s="16" t="n"/>
      <c r="AA110" s="16" t="n"/>
      <c r="AB110" s="16" t="n">
        <v>2600</v>
      </c>
      <c r="AC110" s="16" t="n">
        <v>7.5</v>
      </c>
      <c r="AD110" s="16" t="n"/>
      <c r="AE110" s="16" t="inlineStr">
        <is>
          <t>eps_reg</t>
        </is>
      </c>
    </row>
    <row r="111">
      <c r="A111" s="16" t="inlineStr">
        <is>
          <t>KF-M02-N1-0067</t>
        </is>
      </c>
      <c r="B111" s="16" t="inlineStr">
        <is>
          <t>2.1</t>
        </is>
      </c>
      <c r="C111" s="16" t="inlineStr">
        <is>
          <t>2.1</t>
        </is>
      </c>
      <c r="D111" s="16" t="inlineStr">
        <is>
          <t>una variable a la vez</t>
        </is>
      </c>
      <c r="E111" s="16" t="inlineStr">
        <is>
          <t>KF-M02-N1</t>
        </is>
      </c>
      <c r="F111" s="16" t="inlineStr">
        <is>
          <t>KF-M02-N1</t>
        </is>
      </c>
      <c r="G111" s="16" t="inlineStr">
        <is>
          <t>B02</t>
        </is>
      </c>
      <c r="H111" s="16" t="inlineStr">
        <is>
          <t>malla</t>
        </is>
      </c>
      <c r="I111" s="16" t="inlineStr">
        <is>
          <t>NO_CONVERGIO</t>
        </is>
      </c>
      <c r="J111" s="16" t="inlineStr">
        <is>
          <t>NO_CONVERGIO</t>
        </is>
      </c>
      <c r="K111" s="16" t="b">
        <v>0</v>
      </c>
      <c r="L111" s="16" t="b">
        <v>0</v>
      </c>
      <c r="M111" s="16" t="b">
        <v>0</v>
      </c>
      <c r="N111" s="16" t="b">
        <v>0</v>
      </c>
      <c r="O111" s="16" t="n">
        <v>623.15</v>
      </c>
      <c r="P111" s="16" t="n">
        <v>300.032917</v>
      </c>
      <c r="Q111" s="16" t="n">
        <v>3000</v>
      </c>
      <c r="R111" s="16" t="n">
        <v>400</v>
      </c>
      <c r="S111" s="16" t="n">
        <v>0.5</v>
      </c>
      <c r="T111" s="16" t="n">
        <v>0.85</v>
      </c>
      <c r="U111" s="16" t="n">
        <v>0.75</v>
      </c>
      <c r="V111" s="16" t="n">
        <v>0.85</v>
      </c>
      <c r="W111" s="16" t="n">
        <v>0.8388888888888889</v>
      </c>
      <c r="X111" s="16" t="n">
        <v>0.8</v>
      </c>
      <c r="Y111" s="16" t="n"/>
      <c r="Z111" s="16" t="n"/>
      <c r="AA111" s="16" t="n"/>
      <c r="AB111" s="16" t="n">
        <v>2600</v>
      </c>
      <c r="AC111" s="16" t="n">
        <v>7.5</v>
      </c>
      <c r="AD111" s="16" t="n"/>
      <c r="AE111" s="16" t="inlineStr">
        <is>
          <t>eps_reg</t>
        </is>
      </c>
    </row>
    <row r="112">
      <c r="A112" s="16" t="inlineStr">
        <is>
          <t>KF-M02-N1-0068</t>
        </is>
      </c>
      <c r="B112" s="16" t="inlineStr">
        <is>
          <t>2.1</t>
        </is>
      </c>
      <c r="C112" s="16" t="inlineStr">
        <is>
          <t>2.1</t>
        </is>
      </c>
      <c r="D112" s="16" t="inlineStr">
        <is>
          <t>una variable a la vez</t>
        </is>
      </c>
      <c r="E112" s="16" t="inlineStr">
        <is>
          <t>KF-M02-N1</t>
        </is>
      </c>
      <c r="F112" s="16" t="inlineStr">
        <is>
          <t>KF-M02-N1</t>
        </is>
      </c>
      <c r="G112" s="16" t="inlineStr">
        <is>
          <t>B02</t>
        </is>
      </c>
      <c r="H112" s="16" t="inlineStr">
        <is>
          <t>malla</t>
        </is>
      </c>
      <c r="I112" s="16" t="inlineStr">
        <is>
          <t>NO_CONVERGIO</t>
        </is>
      </c>
      <c r="J112" s="16" t="inlineStr">
        <is>
          <t>NO_CONVERGIO</t>
        </is>
      </c>
      <c r="K112" s="16" t="b">
        <v>0</v>
      </c>
      <c r="L112" s="16" t="b">
        <v>0</v>
      </c>
      <c r="M112" s="16" t="b">
        <v>0</v>
      </c>
      <c r="N112" s="16" t="b">
        <v>0</v>
      </c>
      <c r="O112" s="16" t="n">
        <v>623.15</v>
      </c>
      <c r="P112" s="16" t="n">
        <v>300.032917</v>
      </c>
      <c r="Q112" s="16" t="n">
        <v>3000</v>
      </c>
      <c r="R112" s="16" t="n">
        <v>400</v>
      </c>
      <c r="S112" s="16" t="n">
        <v>0.5</v>
      </c>
      <c r="T112" s="16" t="n">
        <v>0.85</v>
      </c>
      <c r="U112" s="16" t="n">
        <v>0.75</v>
      </c>
      <c r="V112" s="16" t="n">
        <v>0.85</v>
      </c>
      <c r="W112" s="16" t="n">
        <v>0.8166666666666667</v>
      </c>
      <c r="X112" s="16" t="n">
        <v>0.8</v>
      </c>
      <c r="Y112" s="16" t="n"/>
      <c r="Z112" s="16" t="n"/>
      <c r="AA112" s="16" t="n"/>
      <c r="AB112" s="16" t="n">
        <v>2600</v>
      </c>
      <c r="AC112" s="16" t="n">
        <v>7.5</v>
      </c>
      <c r="AD112" s="16" t="n"/>
      <c r="AE112" s="16" t="inlineStr">
        <is>
          <t>eps_reg</t>
        </is>
      </c>
    </row>
    <row r="113">
      <c r="A113" s="16" t="inlineStr">
        <is>
          <t>KF-M02-N1-0069</t>
        </is>
      </c>
      <c r="B113" s="16" t="inlineStr">
        <is>
          <t>2.1</t>
        </is>
      </c>
      <c r="C113" s="16" t="inlineStr">
        <is>
          <t>2.1</t>
        </is>
      </c>
      <c r="D113" s="16" t="inlineStr">
        <is>
          <t>una variable a la vez</t>
        </is>
      </c>
      <c r="E113" s="16" t="inlineStr">
        <is>
          <t>KF-M02-N1</t>
        </is>
      </c>
      <c r="F113" s="16" t="inlineStr">
        <is>
          <t>KF-M02-N1</t>
        </is>
      </c>
      <c r="G113" s="16" t="inlineStr">
        <is>
          <t>B02</t>
        </is>
      </c>
      <c r="H113" s="16" t="inlineStr">
        <is>
          <t>malla</t>
        </is>
      </c>
      <c r="I113" s="16" t="inlineStr">
        <is>
          <t>NO_CONVERGIO</t>
        </is>
      </c>
      <c r="J113" s="16" t="inlineStr">
        <is>
          <t>NO_CONVERGIO</t>
        </is>
      </c>
      <c r="K113" s="16" t="b">
        <v>0</v>
      </c>
      <c r="L113" s="16" t="b">
        <v>0</v>
      </c>
      <c r="M113" s="16" t="b">
        <v>0</v>
      </c>
      <c r="N113" s="16" t="b">
        <v>0</v>
      </c>
      <c r="O113" s="16" t="n">
        <v>623.15</v>
      </c>
      <c r="P113" s="16" t="n">
        <v>300.032917</v>
      </c>
      <c r="Q113" s="16" t="n">
        <v>3000</v>
      </c>
      <c r="R113" s="16" t="n">
        <v>400</v>
      </c>
      <c r="S113" s="16" t="n">
        <v>0.5</v>
      </c>
      <c r="T113" s="16" t="n">
        <v>0.85</v>
      </c>
      <c r="U113" s="16" t="n">
        <v>0.75</v>
      </c>
      <c r="V113" s="16" t="n">
        <v>0.85</v>
      </c>
      <c r="W113" s="16" t="n">
        <v>0.85</v>
      </c>
      <c r="X113" s="16" t="n">
        <v>0.8</v>
      </c>
      <c r="Y113" s="16" t="n"/>
      <c r="Z113" s="16" t="n"/>
      <c r="AA113" s="16" t="n"/>
      <c r="AB113" s="16" t="n">
        <v>2600</v>
      </c>
      <c r="AC113" s="16" t="n">
        <v>7.5</v>
      </c>
      <c r="AD113" s="16" t="n"/>
      <c r="AE113" s="16" t="inlineStr">
        <is>
          <t>eps_reg</t>
        </is>
      </c>
    </row>
    <row r="114">
      <c r="A114" s="16" t="inlineStr">
        <is>
          <t>KF-M02-N1-0070</t>
        </is>
      </c>
      <c r="B114" s="16" t="inlineStr">
        <is>
          <t>2.1</t>
        </is>
      </c>
      <c r="C114" s="16" t="inlineStr">
        <is>
          <t>2.1</t>
        </is>
      </c>
      <c r="D114" s="16" t="inlineStr">
        <is>
          <t>una variable a la vez</t>
        </is>
      </c>
      <c r="E114" s="16" t="inlineStr">
        <is>
          <t>KF-M02-N1</t>
        </is>
      </c>
      <c r="F114" s="16" t="inlineStr">
        <is>
          <t>KF-M02-N1</t>
        </is>
      </c>
      <c r="G114" s="16" t="inlineStr">
        <is>
          <t>B02</t>
        </is>
      </c>
      <c r="H114" s="16" t="inlineStr">
        <is>
          <t>malla</t>
        </is>
      </c>
      <c r="I114" s="16" t="inlineStr">
        <is>
          <t>NO_CONVERGIO</t>
        </is>
      </c>
      <c r="J114" s="16" t="inlineStr">
        <is>
          <t>NO_CONVERGIO</t>
        </is>
      </c>
      <c r="K114" s="16" t="b">
        <v>0</v>
      </c>
      <c r="L114" s="16" t="b">
        <v>0</v>
      </c>
      <c r="M114" s="16" t="b">
        <v>0</v>
      </c>
      <c r="N114" s="16" t="b">
        <v>0</v>
      </c>
      <c r="O114" s="16" t="n">
        <v>623.15</v>
      </c>
      <c r="P114" s="16" t="n">
        <v>300.032917</v>
      </c>
      <c r="Q114" s="16" t="n">
        <v>3000</v>
      </c>
      <c r="R114" s="16" t="n">
        <v>400</v>
      </c>
      <c r="S114" s="16" t="n">
        <v>0.5</v>
      </c>
      <c r="T114" s="16" t="n">
        <v>0.85</v>
      </c>
      <c r="U114" s="16" t="n">
        <v>0.75</v>
      </c>
      <c r="V114" s="16" t="n">
        <v>0.85</v>
      </c>
      <c r="W114" s="16" t="n">
        <v>0.75</v>
      </c>
      <c r="X114" s="16" t="n">
        <v>0.75</v>
      </c>
      <c r="Y114" s="16" t="n"/>
      <c r="Z114" s="16" t="n"/>
      <c r="AA114" s="16" t="n"/>
      <c r="AB114" s="16" t="n">
        <v>2600</v>
      </c>
      <c r="AC114" s="16" t="n">
        <v>7.5</v>
      </c>
      <c r="AD114" s="16" t="n"/>
      <c r="AE114" s="16" t="inlineStr">
        <is>
          <t>eps_cond</t>
        </is>
      </c>
    </row>
    <row r="115">
      <c r="A115" s="16" t="inlineStr">
        <is>
          <t>KF-M02-N1-0071</t>
        </is>
      </c>
      <c r="B115" s="16" t="inlineStr">
        <is>
          <t>2.1</t>
        </is>
      </c>
      <c r="C115" s="16" t="inlineStr">
        <is>
          <t>2.1</t>
        </is>
      </c>
      <c r="D115" s="16" t="inlineStr">
        <is>
          <t>una variable a la vez</t>
        </is>
      </c>
      <c r="E115" s="16" t="inlineStr">
        <is>
          <t>KF-M02-N1</t>
        </is>
      </c>
      <c r="F115" s="16" t="inlineStr">
        <is>
          <t>KF-M02-N1</t>
        </is>
      </c>
      <c r="G115" s="16" t="inlineStr">
        <is>
          <t>B02</t>
        </is>
      </c>
      <c r="H115" s="16" t="inlineStr">
        <is>
          <t>malla</t>
        </is>
      </c>
      <c r="I115" s="16" t="inlineStr">
        <is>
          <t>NO_CONVERGIO</t>
        </is>
      </c>
      <c r="J115" s="16" t="inlineStr">
        <is>
          <t>NO_CONVERGIO</t>
        </is>
      </c>
      <c r="K115" s="16" t="b">
        <v>0</v>
      </c>
      <c r="L115" s="16" t="b">
        <v>0</v>
      </c>
      <c r="M115" s="16" t="b">
        <v>0</v>
      </c>
      <c r="N115" s="16" t="b">
        <v>0</v>
      </c>
      <c r="O115" s="16" t="n">
        <v>623.15</v>
      </c>
      <c r="P115" s="16" t="n">
        <v>300.032917</v>
      </c>
      <c r="Q115" s="16" t="n">
        <v>3000</v>
      </c>
      <c r="R115" s="16" t="n">
        <v>400</v>
      </c>
      <c r="S115" s="16" t="n">
        <v>0.5</v>
      </c>
      <c r="T115" s="16" t="n">
        <v>0.85</v>
      </c>
      <c r="U115" s="16" t="n">
        <v>0.75</v>
      </c>
      <c r="V115" s="16" t="n">
        <v>0.85</v>
      </c>
      <c r="W115" s="16" t="n">
        <v>0.75</v>
      </c>
      <c r="X115" s="16" t="n">
        <v>0.7611111111111111</v>
      </c>
      <c r="Y115" s="16" t="n"/>
      <c r="Z115" s="16" t="n"/>
      <c r="AA115" s="16" t="n"/>
      <c r="AB115" s="16" t="n">
        <v>2600</v>
      </c>
      <c r="AC115" s="16" t="n">
        <v>7.5</v>
      </c>
      <c r="AD115" s="16" t="n"/>
      <c r="AE115" s="16" t="inlineStr">
        <is>
          <t>eps_cond</t>
        </is>
      </c>
    </row>
    <row r="116">
      <c r="A116" s="16" t="inlineStr">
        <is>
          <t>KF-M02-N1-0072</t>
        </is>
      </c>
      <c r="B116" s="16" t="inlineStr">
        <is>
          <t>2.1</t>
        </is>
      </c>
      <c r="C116" s="16" t="inlineStr">
        <is>
          <t>2.1</t>
        </is>
      </c>
      <c r="D116" s="16" t="inlineStr">
        <is>
          <t>una variable a la vez</t>
        </is>
      </c>
      <c r="E116" s="16" t="inlineStr">
        <is>
          <t>KF-M02-N1</t>
        </is>
      </c>
      <c r="F116" s="16" t="inlineStr">
        <is>
          <t>KF-M02-N1</t>
        </is>
      </c>
      <c r="G116" s="16" t="inlineStr">
        <is>
          <t>B02</t>
        </is>
      </c>
      <c r="H116" s="16" t="inlineStr">
        <is>
          <t>malla</t>
        </is>
      </c>
      <c r="I116" s="16" t="inlineStr">
        <is>
          <t>NO_CONVERGIO</t>
        </is>
      </c>
      <c r="J116" s="16" t="inlineStr">
        <is>
          <t>NO_CONVERGIO</t>
        </is>
      </c>
      <c r="K116" s="16" t="b">
        <v>0</v>
      </c>
      <c r="L116" s="16" t="b">
        <v>0</v>
      </c>
      <c r="M116" s="16" t="b">
        <v>0</v>
      </c>
      <c r="N116" s="16" t="b">
        <v>0</v>
      </c>
      <c r="O116" s="16" t="n">
        <v>623.15</v>
      </c>
      <c r="P116" s="16" t="n">
        <v>300.032917</v>
      </c>
      <c r="Q116" s="16" t="n">
        <v>3000</v>
      </c>
      <c r="R116" s="16" t="n">
        <v>400</v>
      </c>
      <c r="S116" s="16" t="n">
        <v>0.5</v>
      </c>
      <c r="T116" s="16" t="n">
        <v>0.85</v>
      </c>
      <c r="U116" s="16" t="n">
        <v>0.75</v>
      </c>
      <c r="V116" s="16" t="n">
        <v>0.85</v>
      </c>
      <c r="W116" s="16" t="n">
        <v>0.75</v>
      </c>
      <c r="X116" s="16" t="n">
        <v>0.7833333333333333</v>
      </c>
      <c r="Y116" s="16" t="n"/>
      <c r="Z116" s="16" t="n"/>
      <c r="AA116" s="16" t="n"/>
      <c r="AB116" s="16" t="n">
        <v>2600</v>
      </c>
      <c r="AC116" s="16" t="n">
        <v>7.5</v>
      </c>
      <c r="AD116" s="16" t="n"/>
      <c r="AE116" s="16" t="inlineStr">
        <is>
          <t>eps_cond</t>
        </is>
      </c>
    </row>
    <row r="117">
      <c r="A117" s="16" t="inlineStr">
        <is>
          <t>KF-M02-N1-0073</t>
        </is>
      </c>
      <c r="B117" s="16" t="inlineStr">
        <is>
          <t>2.1</t>
        </is>
      </c>
      <c r="C117" s="16" t="inlineStr">
        <is>
          <t>2.1</t>
        </is>
      </c>
      <c r="D117" s="16" t="inlineStr">
        <is>
          <t>una variable a la vez</t>
        </is>
      </c>
      <c r="E117" s="16" t="inlineStr">
        <is>
          <t>KF-M02-N1</t>
        </is>
      </c>
      <c r="F117" s="16" t="inlineStr">
        <is>
          <t>KF-M02-N1</t>
        </is>
      </c>
      <c r="G117" s="16" t="inlineStr">
        <is>
          <t>B02</t>
        </is>
      </c>
      <c r="H117" s="16" t="inlineStr">
        <is>
          <t>malla</t>
        </is>
      </c>
      <c r="I117" s="16" t="inlineStr">
        <is>
          <t>NO_CONVERGIO</t>
        </is>
      </c>
      <c r="J117" s="16" t="inlineStr">
        <is>
          <t>NO_CONVERGIO</t>
        </is>
      </c>
      <c r="K117" s="16" t="b">
        <v>0</v>
      </c>
      <c r="L117" s="16" t="b">
        <v>0</v>
      </c>
      <c r="M117" s="16" t="b">
        <v>0</v>
      </c>
      <c r="N117" s="16" t="b">
        <v>0</v>
      </c>
      <c r="O117" s="16" t="n">
        <v>623.15</v>
      </c>
      <c r="P117" s="16" t="n">
        <v>300.032917</v>
      </c>
      <c r="Q117" s="16" t="n">
        <v>3000</v>
      </c>
      <c r="R117" s="16" t="n">
        <v>400</v>
      </c>
      <c r="S117" s="16" t="n">
        <v>0.5</v>
      </c>
      <c r="T117" s="16" t="n">
        <v>0.85</v>
      </c>
      <c r="U117" s="16" t="n">
        <v>0.75</v>
      </c>
      <c r="V117" s="16" t="n">
        <v>0.85</v>
      </c>
      <c r="W117" s="16" t="n">
        <v>0.75</v>
      </c>
      <c r="X117" s="16" t="n">
        <v>0.7722222222222223</v>
      </c>
      <c r="Y117" s="16" t="n"/>
      <c r="Z117" s="16" t="n"/>
      <c r="AA117" s="16" t="n"/>
      <c r="AB117" s="16" t="n">
        <v>2600</v>
      </c>
      <c r="AC117" s="16" t="n">
        <v>7.5</v>
      </c>
      <c r="AD117" s="16" t="n"/>
      <c r="AE117" s="16" t="inlineStr">
        <is>
          <t>eps_cond</t>
        </is>
      </c>
    </row>
    <row r="118">
      <c r="A118" s="16" t="inlineStr">
        <is>
          <t>KF-M02-N1-0074</t>
        </is>
      </c>
      <c r="B118" s="16" t="inlineStr">
        <is>
          <t>2.1</t>
        </is>
      </c>
      <c r="C118" s="16" t="inlineStr">
        <is>
          <t>2.1</t>
        </is>
      </c>
      <c r="D118" s="16" t="inlineStr">
        <is>
          <t>una variable a la vez</t>
        </is>
      </c>
      <c r="E118" s="16" t="inlineStr">
        <is>
          <t>KF-M02-N1</t>
        </is>
      </c>
      <c r="F118" s="16" t="inlineStr">
        <is>
          <t>KF-M02-N1</t>
        </is>
      </c>
      <c r="G118" s="16" t="inlineStr">
        <is>
          <t>B02</t>
        </is>
      </c>
      <c r="H118" s="16" t="inlineStr">
        <is>
          <t>malla</t>
        </is>
      </c>
      <c r="I118" s="16" t="inlineStr">
        <is>
          <t>NO_CONVERGIO</t>
        </is>
      </c>
      <c r="J118" s="16" t="inlineStr">
        <is>
          <t>NO_CONVERGIO</t>
        </is>
      </c>
      <c r="K118" s="16" t="b">
        <v>0</v>
      </c>
      <c r="L118" s="16" t="b">
        <v>0</v>
      </c>
      <c r="M118" s="16" t="b">
        <v>0</v>
      </c>
      <c r="N118" s="16" t="b">
        <v>0</v>
      </c>
      <c r="O118" s="16" t="n">
        <v>623.15</v>
      </c>
      <c r="P118" s="16" t="n">
        <v>300.032917</v>
      </c>
      <c r="Q118" s="16" t="n">
        <v>3000</v>
      </c>
      <c r="R118" s="16" t="n">
        <v>400</v>
      </c>
      <c r="S118" s="16" t="n">
        <v>0.5</v>
      </c>
      <c r="T118" s="16" t="n">
        <v>0.85</v>
      </c>
      <c r="U118" s="16" t="n">
        <v>0.75</v>
      </c>
      <c r="V118" s="16" t="n">
        <v>0.85</v>
      </c>
      <c r="W118" s="16" t="n">
        <v>0.75</v>
      </c>
      <c r="X118" s="16" t="n">
        <v>0.7944444444444444</v>
      </c>
      <c r="Y118" s="16" t="n"/>
      <c r="Z118" s="16" t="n"/>
      <c r="AA118" s="16" t="n"/>
      <c r="AB118" s="16" t="n">
        <v>2600</v>
      </c>
      <c r="AC118" s="16" t="n">
        <v>7.5</v>
      </c>
      <c r="AD118" s="16" t="n"/>
      <c r="AE118" s="16" t="inlineStr">
        <is>
          <t>eps_cond</t>
        </is>
      </c>
    </row>
    <row r="119">
      <c r="A119" s="16" t="inlineStr">
        <is>
          <t>KF-M02-N1-0075</t>
        </is>
      </c>
      <c r="B119" s="16" t="inlineStr">
        <is>
          <t>2.1</t>
        </is>
      </c>
      <c r="C119" s="16" t="inlineStr">
        <is>
          <t>2.1</t>
        </is>
      </c>
      <c r="D119" s="16" t="inlineStr">
        <is>
          <t>una variable a la vez</t>
        </is>
      </c>
      <c r="E119" s="16" t="inlineStr">
        <is>
          <t>KF-M02-N1</t>
        </is>
      </c>
      <c r="F119" s="16" t="inlineStr">
        <is>
          <t>KF-M02-N1</t>
        </is>
      </c>
      <c r="G119" s="16" t="inlineStr">
        <is>
          <t>B02</t>
        </is>
      </c>
      <c r="H119" s="16" t="inlineStr">
        <is>
          <t>malla</t>
        </is>
      </c>
      <c r="I119" s="16" t="inlineStr">
        <is>
          <t>NO_CONVERGIO</t>
        </is>
      </c>
      <c r="J119" s="16" t="inlineStr">
        <is>
          <t>NO_CONVERGIO</t>
        </is>
      </c>
      <c r="K119" s="16" t="b">
        <v>0</v>
      </c>
      <c r="L119" s="16" t="b">
        <v>0</v>
      </c>
      <c r="M119" s="16" t="b">
        <v>0</v>
      </c>
      <c r="N119" s="16" t="b">
        <v>0</v>
      </c>
      <c r="O119" s="16" t="n">
        <v>623.15</v>
      </c>
      <c r="P119" s="16" t="n">
        <v>300.032917</v>
      </c>
      <c r="Q119" s="16" t="n">
        <v>3000</v>
      </c>
      <c r="R119" s="16" t="n">
        <v>400</v>
      </c>
      <c r="S119" s="16" t="n">
        <v>0.5</v>
      </c>
      <c r="T119" s="16" t="n">
        <v>0.85</v>
      </c>
      <c r="U119" s="16" t="n">
        <v>0.75</v>
      </c>
      <c r="V119" s="16" t="n">
        <v>0.85</v>
      </c>
      <c r="W119" s="16" t="n">
        <v>0.75</v>
      </c>
      <c r="X119" s="16" t="n">
        <v>0.8055555555555556</v>
      </c>
      <c r="Y119" s="16" t="n"/>
      <c r="Z119" s="16" t="n"/>
      <c r="AA119" s="16" t="n"/>
      <c r="AB119" s="16" t="n">
        <v>2600</v>
      </c>
      <c r="AC119" s="16" t="n">
        <v>7.5</v>
      </c>
      <c r="AD119" s="16" t="n"/>
      <c r="AE119" s="16" t="inlineStr">
        <is>
          <t>eps_cond</t>
        </is>
      </c>
    </row>
    <row r="120">
      <c r="A120" s="16" t="inlineStr">
        <is>
          <t>KF-M02-N1-0076</t>
        </is>
      </c>
      <c r="B120" s="16" t="inlineStr">
        <is>
          <t>2.1</t>
        </is>
      </c>
      <c r="C120" s="16" t="inlineStr">
        <is>
          <t>2.1</t>
        </is>
      </c>
      <c r="D120" s="16" t="inlineStr">
        <is>
          <t>una variable a la vez</t>
        </is>
      </c>
      <c r="E120" s="16" t="inlineStr">
        <is>
          <t>KF-M02-N1</t>
        </is>
      </c>
      <c r="F120" s="16" t="inlineStr">
        <is>
          <t>KF-M02-N1</t>
        </is>
      </c>
      <c r="G120" s="16" t="inlineStr">
        <is>
          <t>B02</t>
        </is>
      </c>
      <c r="H120" s="16" t="inlineStr">
        <is>
          <t>malla</t>
        </is>
      </c>
      <c r="I120" s="16" t="inlineStr">
        <is>
          <t>NO_CONVERGIO</t>
        </is>
      </c>
      <c r="J120" s="16" t="inlineStr">
        <is>
          <t>NO_CONVERGIO</t>
        </is>
      </c>
      <c r="K120" s="16" t="b">
        <v>0</v>
      </c>
      <c r="L120" s="16" t="b">
        <v>0</v>
      </c>
      <c r="M120" s="16" t="b">
        <v>0</v>
      </c>
      <c r="N120" s="16" t="b">
        <v>0</v>
      </c>
      <c r="O120" s="16" t="n">
        <v>340</v>
      </c>
      <c r="P120" s="16" t="n">
        <v>300.032917</v>
      </c>
      <c r="Q120" s="16" t="n">
        <v>3000</v>
      </c>
      <c r="R120" s="16" t="n">
        <v>400</v>
      </c>
      <c r="S120" s="16" t="n">
        <v>0.5</v>
      </c>
      <c r="T120" s="16" t="n">
        <v>0.85</v>
      </c>
      <c r="U120" s="16" t="n">
        <v>0.75</v>
      </c>
      <c r="V120" s="16" t="n">
        <v>0.85</v>
      </c>
      <c r="W120" s="16" t="n">
        <v>0.75</v>
      </c>
      <c r="X120" s="16" t="n">
        <v>0.8</v>
      </c>
      <c r="Y120" s="16" t="n"/>
      <c r="Z120" s="16" t="n"/>
      <c r="AA120" s="16" t="n"/>
      <c r="AB120" s="16" t="n">
        <v>2600</v>
      </c>
      <c r="AC120" s="16" t="n">
        <v>7.5</v>
      </c>
      <c r="AD120" s="16" t="n"/>
      <c r="AE120" s="16" t="inlineStr">
        <is>
          <t>T_fuente</t>
        </is>
      </c>
    </row>
    <row r="121">
      <c r="A121" s="16" t="inlineStr">
        <is>
          <t>KF-M02-N1-0077</t>
        </is>
      </c>
      <c r="B121" s="16" t="inlineStr">
        <is>
          <t>2.1</t>
        </is>
      </c>
      <c r="C121" s="16" t="inlineStr">
        <is>
          <t>2.1</t>
        </is>
      </c>
      <c r="D121" s="16" t="inlineStr">
        <is>
          <t>una variable a la vez</t>
        </is>
      </c>
      <c r="E121" s="16" t="inlineStr">
        <is>
          <t>KF-M02-N1</t>
        </is>
      </c>
      <c r="F121" s="16" t="inlineStr">
        <is>
          <t>KF-M02-N1</t>
        </is>
      </c>
      <c r="G121" s="16" t="inlineStr">
        <is>
          <t>B02</t>
        </is>
      </c>
      <c r="H121" s="16" t="inlineStr">
        <is>
          <t>malla</t>
        </is>
      </c>
      <c r="I121" s="16" t="inlineStr">
        <is>
          <t>NO_CONVERGIO</t>
        </is>
      </c>
      <c r="J121" s="16" t="inlineStr">
        <is>
          <t>NO_CONVERGIO</t>
        </is>
      </c>
      <c r="K121" s="16" t="b">
        <v>0</v>
      </c>
      <c r="L121" s="16" t="b">
        <v>0</v>
      </c>
      <c r="M121" s="16" t="b">
        <v>0</v>
      </c>
      <c r="N121" s="16" t="b">
        <v>0</v>
      </c>
      <c r="O121" s="16" t="n">
        <v>623.15</v>
      </c>
      <c r="P121" s="16" t="n">
        <v>300.032917</v>
      </c>
      <c r="Q121" s="16" t="n">
        <v>3000</v>
      </c>
      <c r="R121" s="16" t="n">
        <v>400</v>
      </c>
      <c r="S121" s="16" t="n">
        <v>0.5</v>
      </c>
      <c r="T121" s="16" t="n">
        <v>0.85</v>
      </c>
      <c r="U121" s="16" t="n">
        <v>0.75</v>
      </c>
      <c r="V121" s="16" t="n">
        <v>0.85</v>
      </c>
      <c r="W121" s="16" t="n">
        <v>0.75</v>
      </c>
      <c r="X121" s="16" t="n">
        <v>0.8166666666666667</v>
      </c>
      <c r="Y121" s="16" t="n"/>
      <c r="Z121" s="16" t="n"/>
      <c r="AA121" s="16" t="n"/>
      <c r="AB121" s="16" t="n">
        <v>2600</v>
      </c>
      <c r="AC121" s="16" t="n">
        <v>7.5</v>
      </c>
      <c r="AD121" s="16" t="n"/>
      <c r="AE121" s="16" t="inlineStr">
        <is>
          <t>eps_cond</t>
        </is>
      </c>
    </row>
    <row r="122">
      <c r="A122" s="16" t="inlineStr">
        <is>
          <t>KF-M02-N1-0078</t>
        </is>
      </c>
      <c r="B122" s="16" t="inlineStr">
        <is>
          <t>2.1</t>
        </is>
      </c>
      <c r="C122" s="16" t="inlineStr">
        <is>
          <t>2.1</t>
        </is>
      </c>
      <c r="D122" s="16" t="inlineStr">
        <is>
          <t>una variable a la vez</t>
        </is>
      </c>
      <c r="E122" s="16" t="inlineStr">
        <is>
          <t>KF-M02-N1</t>
        </is>
      </c>
      <c r="F122" s="16" t="inlineStr">
        <is>
          <t>KF-M02-N1</t>
        </is>
      </c>
      <c r="G122" s="16" t="inlineStr">
        <is>
          <t>B02</t>
        </is>
      </c>
      <c r="H122" s="16" t="inlineStr">
        <is>
          <t>malla</t>
        </is>
      </c>
      <c r="I122" s="16" t="inlineStr">
        <is>
          <t>NO_CONVERGIO</t>
        </is>
      </c>
      <c r="J122" s="16" t="inlineStr">
        <is>
          <t>NO_CONVERGIO</t>
        </is>
      </c>
      <c r="K122" s="16" t="b">
        <v>0</v>
      </c>
      <c r="L122" s="16" t="b">
        <v>0</v>
      </c>
      <c r="M122" s="16" t="b">
        <v>0</v>
      </c>
      <c r="N122" s="16" t="b">
        <v>0</v>
      </c>
      <c r="O122" s="16" t="n">
        <v>623.15</v>
      </c>
      <c r="P122" s="16" t="n">
        <v>300.032917</v>
      </c>
      <c r="Q122" s="16" t="n">
        <v>3000</v>
      </c>
      <c r="R122" s="16" t="n">
        <v>400</v>
      </c>
      <c r="S122" s="16" t="n">
        <v>0.5</v>
      </c>
      <c r="T122" s="16" t="n">
        <v>0.85</v>
      </c>
      <c r="U122" s="16" t="n">
        <v>0.75</v>
      </c>
      <c r="V122" s="16" t="n">
        <v>0.85</v>
      </c>
      <c r="W122" s="16" t="n">
        <v>0.75</v>
      </c>
      <c r="X122" s="16" t="n">
        <v>0.8277777777777777</v>
      </c>
      <c r="Y122" s="16" t="n"/>
      <c r="Z122" s="16" t="n"/>
      <c r="AA122" s="16" t="n"/>
      <c r="AB122" s="16" t="n">
        <v>2600</v>
      </c>
      <c r="AC122" s="16" t="n">
        <v>7.5</v>
      </c>
      <c r="AD122" s="16" t="n"/>
      <c r="AE122" s="16" t="inlineStr">
        <is>
          <t>eps_cond</t>
        </is>
      </c>
    </row>
    <row r="123">
      <c r="A123" s="16" t="inlineStr">
        <is>
          <t>KF-M02-N1-0079</t>
        </is>
      </c>
      <c r="B123" s="16" t="inlineStr">
        <is>
          <t>2.1</t>
        </is>
      </c>
      <c r="C123" s="16" t="inlineStr">
        <is>
          <t>2.1</t>
        </is>
      </c>
      <c r="D123" s="16" t="inlineStr">
        <is>
          <t>una variable a la vez</t>
        </is>
      </c>
      <c r="E123" s="16" t="inlineStr">
        <is>
          <t>KF-M02-N1</t>
        </is>
      </c>
      <c r="F123" s="16" t="inlineStr">
        <is>
          <t>KF-M02-N1</t>
        </is>
      </c>
      <c r="G123" s="16" t="inlineStr">
        <is>
          <t>B02</t>
        </is>
      </c>
      <c r="H123" s="16" t="inlineStr">
        <is>
          <t>malla</t>
        </is>
      </c>
      <c r="I123" s="16" t="inlineStr">
        <is>
          <t>NO_CONVERGIO</t>
        </is>
      </c>
      <c r="J123" s="16" t="inlineStr">
        <is>
          <t>NO_CONVERGIO</t>
        </is>
      </c>
      <c r="K123" s="16" t="b">
        <v>0</v>
      </c>
      <c r="L123" s="16" t="b">
        <v>0</v>
      </c>
      <c r="M123" s="16" t="b">
        <v>0</v>
      </c>
      <c r="N123" s="16" t="b">
        <v>0</v>
      </c>
      <c r="O123" s="16" t="n">
        <v>623.15</v>
      </c>
      <c r="P123" s="16" t="n">
        <v>300.032917</v>
      </c>
      <c r="Q123" s="16" t="n">
        <v>3000</v>
      </c>
      <c r="R123" s="16" t="n">
        <v>400</v>
      </c>
      <c r="S123" s="16" t="n">
        <v>0.5</v>
      </c>
      <c r="T123" s="16" t="n">
        <v>0.85</v>
      </c>
      <c r="U123" s="16" t="n">
        <v>0.75</v>
      </c>
      <c r="V123" s="16" t="n">
        <v>0.85</v>
      </c>
      <c r="W123" s="16" t="n">
        <v>0.75</v>
      </c>
      <c r="X123" s="16" t="n">
        <v>0.8388888888888889</v>
      </c>
      <c r="Y123" s="16" t="n"/>
      <c r="Z123" s="16" t="n"/>
      <c r="AA123" s="16" t="n"/>
      <c r="AB123" s="16" t="n">
        <v>2600</v>
      </c>
      <c r="AC123" s="16" t="n">
        <v>7.5</v>
      </c>
      <c r="AD123" s="16" t="n"/>
      <c r="AE123" s="16" t="inlineStr">
        <is>
          <t>eps_cond</t>
        </is>
      </c>
    </row>
    <row r="124">
      <c r="A124" s="16" t="inlineStr">
        <is>
          <t>KF-M02-N1-0080</t>
        </is>
      </c>
      <c r="B124" s="16" t="inlineStr">
        <is>
          <t>2.1</t>
        </is>
      </c>
      <c r="C124" s="16" t="inlineStr">
        <is>
          <t>2.1</t>
        </is>
      </c>
      <c r="D124" s="16" t="inlineStr">
        <is>
          <t>una variable a la vez</t>
        </is>
      </c>
      <c r="E124" s="16" t="inlineStr">
        <is>
          <t>KF-M02-N1</t>
        </is>
      </c>
      <c r="F124" s="16" t="inlineStr">
        <is>
          <t>KF-M02-N1</t>
        </is>
      </c>
      <c r="G124" s="16" t="inlineStr">
        <is>
          <t>B02</t>
        </is>
      </c>
      <c r="H124" s="16" t="inlineStr">
        <is>
          <t>malla</t>
        </is>
      </c>
      <c r="I124" s="16" t="inlineStr">
        <is>
          <t>NO_CONVERGIO</t>
        </is>
      </c>
      <c r="J124" s="16" t="inlineStr">
        <is>
          <t>NO_CONVERGIO</t>
        </is>
      </c>
      <c r="K124" s="16" t="b">
        <v>0</v>
      </c>
      <c r="L124" s="16" t="b">
        <v>0</v>
      </c>
      <c r="M124" s="16" t="b">
        <v>0</v>
      </c>
      <c r="N124" s="16" t="b">
        <v>0</v>
      </c>
      <c r="O124" s="16" t="n">
        <v>623.15</v>
      </c>
      <c r="P124" s="16" t="n">
        <v>300.032917</v>
      </c>
      <c r="Q124" s="16" t="n">
        <v>3000</v>
      </c>
      <c r="R124" s="16" t="n">
        <v>400</v>
      </c>
      <c r="S124" s="16" t="n">
        <v>0.5</v>
      </c>
      <c r="T124" s="16" t="n">
        <v>0.85</v>
      </c>
      <c r="U124" s="16" t="n">
        <v>0.75</v>
      </c>
      <c r="V124" s="16" t="n">
        <v>0.85</v>
      </c>
      <c r="W124" s="16" t="n">
        <v>0.75</v>
      </c>
      <c r="X124" s="16" t="n">
        <v>0.85</v>
      </c>
      <c r="Y124" s="16" t="n"/>
      <c r="Z124" s="16" t="n"/>
      <c r="AA124" s="16" t="n"/>
      <c r="AB124" s="16" t="n">
        <v>2600</v>
      </c>
      <c r="AC124" s="16" t="n">
        <v>7.5</v>
      </c>
      <c r="AD124" s="16" t="n"/>
      <c r="AE124" s="16" t="inlineStr">
        <is>
          <t>eps_cond</t>
        </is>
      </c>
    </row>
    <row r="125">
      <c r="A125" s="16" t="inlineStr">
        <is>
          <t>KF-M02-N1-0081</t>
        </is>
      </c>
      <c r="B125" s="16" t="inlineStr">
        <is>
          <t>2.1</t>
        </is>
      </c>
      <c r="C125" s="16" t="inlineStr">
        <is>
          <t>2.1</t>
        </is>
      </c>
      <c r="D125" s="16" t="inlineStr">
        <is>
          <t>una variable a la vez</t>
        </is>
      </c>
      <c r="E125" s="16" t="inlineStr">
        <is>
          <t>KF-M02-N1</t>
        </is>
      </c>
      <c r="F125" s="16" t="inlineStr">
        <is>
          <t>KF-M02-N1</t>
        </is>
      </c>
      <c r="G125" s="16" t="inlineStr">
        <is>
          <t>B02</t>
        </is>
      </c>
      <c r="H125" s="16" t="inlineStr">
        <is>
          <t>malla</t>
        </is>
      </c>
      <c r="I125" s="16" t="inlineStr">
        <is>
          <t>CORREGIBLE</t>
        </is>
      </c>
      <c r="J125" s="16" t="inlineStr">
        <is>
          <t>CORREGIBLE</t>
        </is>
      </c>
      <c r="K125" s="16" t="b">
        <v>1</v>
      </c>
      <c r="L125" s="16" t="b">
        <v>0</v>
      </c>
      <c r="M125" s="16" t="b">
        <v>0</v>
      </c>
      <c r="N125" s="16" t="b">
        <v>0</v>
      </c>
      <c r="O125" s="16" t="n">
        <v>402.9222222222222</v>
      </c>
      <c r="P125" s="16" t="n">
        <v>300.032917</v>
      </c>
      <c r="Q125" s="16" t="n">
        <v>3000</v>
      </c>
      <c r="R125" s="16" t="n">
        <v>400</v>
      </c>
      <c r="S125" s="16" t="n">
        <v>0.5</v>
      </c>
      <c r="T125" s="16" t="n">
        <v>0.85</v>
      </c>
      <c r="U125" s="16" t="n">
        <v>0.75</v>
      </c>
      <c r="V125" s="16" t="n">
        <v>0.85</v>
      </c>
      <c r="W125" s="16" t="n">
        <v>0.75</v>
      </c>
      <c r="X125" s="16" t="n">
        <v>0.8</v>
      </c>
      <c r="Y125" s="16" t="n"/>
      <c r="Z125" s="16" t="n">
        <v>9.855044290489751</v>
      </c>
      <c r="AA125" s="16" t="n">
        <v>30.05368259794732</v>
      </c>
      <c r="AB125" s="16" t="n">
        <v>2600</v>
      </c>
      <c r="AC125" s="16" t="n">
        <v>7.5</v>
      </c>
      <c r="AD125" s="16" t="inlineStr">
        <is>
          <t>O2</t>
        </is>
      </c>
      <c r="AE125" s="16" t="inlineStr">
        <is>
          <t>T_fuente</t>
        </is>
      </c>
    </row>
    <row r="126">
      <c r="A126" s="16" t="inlineStr">
        <is>
          <t>KF-M02-N1-0082</t>
        </is>
      </c>
      <c r="B126" s="16" t="inlineStr">
        <is>
          <t>2.1</t>
        </is>
      </c>
      <c r="C126" s="16" t="inlineStr">
        <is>
          <t>2.1</t>
        </is>
      </c>
      <c r="D126" s="16" t="inlineStr">
        <is>
          <t>una variable a la vez</t>
        </is>
      </c>
      <c r="E126" s="16" t="inlineStr">
        <is>
          <t>KF-M02-N1</t>
        </is>
      </c>
      <c r="F126" s="16" t="inlineStr">
        <is>
          <t>KF-M02-N1</t>
        </is>
      </c>
      <c r="G126" s="16" t="inlineStr">
        <is>
          <t>B02</t>
        </is>
      </c>
      <c r="H126" s="16" t="inlineStr">
        <is>
          <t>malla</t>
        </is>
      </c>
      <c r="I126" s="16" t="inlineStr">
        <is>
          <t>CORREGIBLE</t>
        </is>
      </c>
      <c r="J126" s="16" t="inlineStr">
        <is>
          <t>CORREGIBLE</t>
        </is>
      </c>
      <c r="K126" s="16" t="b">
        <v>1</v>
      </c>
      <c r="L126" s="16" t="b">
        <v>0</v>
      </c>
      <c r="M126" s="16" t="b">
        <v>1</v>
      </c>
      <c r="N126" s="16" t="b">
        <v>0</v>
      </c>
      <c r="O126" s="16" t="n">
        <v>434.3833333333333</v>
      </c>
      <c r="P126" s="16" t="n">
        <v>300.032917</v>
      </c>
      <c r="Q126" s="16" t="n">
        <v>3000</v>
      </c>
      <c r="R126" s="16" t="n">
        <v>400</v>
      </c>
      <c r="S126" s="16" t="n">
        <v>0.5</v>
      </c>
      <c r="T126" s="16" t="n">
        <v>0.85</v>
      </c>
      <c r="U126" s="16" t="n">
        <v>0.75</v>
      </c>
      <c r="V126" s="16" t="n">
        <v>0.85</v>
      </c>
      <c r="W126" s="16" t="n">
        <v>0.75</v>
      </c>
      <c r="X126" s="16" t="n">
        <v>0.8</v>
      </c>
      <c r="Y126" s="16" t="n"/>
      <c r="Z126" s="16" t="n">
        <v>13.0341891148578</v>
      </c>
      <c r="AA126" s="16" t="n">
        <v>89.87198723802976</v>
      </c>
      <c r="AB126" s="16" t="n">
        <v>2600</v>
      </c>
      <c r="AC126" s="16" t="n">
        <v>7.5</v>
      </c>
      <c r="AD126" s="16" t="inlineStr">
        <is>
          <t>O2</t>
        </is>
      </c>
      <c r="AE126" s="16" t="inlineStr">
        <is>
          <t>T_fuente</t>
        </is>
      </c>
    </row>
    <row r="127">
      <c r="A127" s="16" t="inlineStr">
        <is>
          <t>KF-M02-N1-0083</t>
        </is>
      </c>
      <c r="B127" s="16" t="inlineStr">
        <is>
          <t>2.1</t>
        </is>
      </c>
      <c r="C127" s="16" t="inlineStr">
        <is>
          <t>2.1</t>
        </is>
      </c>
      <c r="D127" s="16" t="inlineStr">
        <is>
          <t>una variable a la vez</t>
        </is>
      </c>
      <c r="E127" s="16" t="inlineStr">
        <is>
          <t>KF-M02-N1</t>
        </is>
      </c>
      <c r="F127" s="16" t="inlineStr">
        <is>
          <t>KF-M02-N1</t>
        </is>
      </c>
      <c r="G127" s="16" t="inlineStr">
        <is>
          <t>B02</t>
        </is>
      </c>
      <c r="H127" s="16" t="inlineStr">
        <is>
          <t>malla</t>
        </is>
      </c>
      <c r="I127" s="16" t="inlineStr">
        <is>
          <t>CORREGIBLE</t>
        </is>
      </c>
      <c r="J127" s="16" t="inlineStr">
        <is>
          <t>CORREGIBLE</t>
        </is>
      </c>
      <c r="K127" s="16" t="b">
        <v>1</v>
      </c>
      <c r="L127" s="16" t="b">
        <v>0</v>
      </c>
      <c r="M127" s="16" t="b">
        <v>1</v>
      </c>
      <c r="N127" s="16" t="b">
        <v>0</v>
      </c>
      <c r="O127" s="16" t="n">
        <v>528.7666666666667</v>
      </c>
      <c r="P127" s="16" t="n">
        <v>300.032917</v>
      </c>
      <c r="Q127" s="16" t="n">
        <v>3000</v>
      </c>
      <c r="R127" s="16" t="n">
        <v>400</v>
      </c>
      <c r="S127" s="16" t="n">
        <v>0.5</v>
      </c>
      <c r="T127" s="16" t="n">
        <v>0.85</v>
      </c>
      <c r="U127" s="16" t="n">
        <v>0.75</v>
      </c>
      <c r="V127" s="16" t="n">
        <v>0.85</v>
      </c>
      <c r="W127" s="16" t="n">
        <v>0.75</v>
      </c>
      <c r="X127" s="16" t="n">
        <v>0.8</v>
      </c>
      <c r="Y127" s="16" t="n"/>
      <c r="Z127" s="16" t="n">
        <v>13.08210153012723</v>
      </c>
      <c r="AA127" s="16" t="n">
        <v>227.0947595873949</v>
      </c>
      <c r="AB127" s="16" t="n">
        <v>2600</v>
      </c>
      <c r="AC127" s="16" t="n">
        <v>7.5</v>
      </c>
      <c r="AD127" s="16" t="inlineStr">
        <is>
          <t>O1,O2</t>
        </is>
      </c>
      <c r="AE127" s="16" t="inlineStr">
        <is>
          <t>T_fuente</t>
        </is>
      </c>
    </row>
    <row r="128">
      <c r="A128" s="16" t="inlineStr">
        <is>
          <t>KF-M02-N1-0084</t>
        </is>
      </c>
      <c r="B128" s="16" t="inlineStr">
        <is>
          <t>2.1</t>
        </is>
      </c>
      <c r="C128" s="16" t="inlineStr">
        <is>
          <t>2.1</t>
        </is>
      </c>
      <c r="D128" s="16" t="inlineStr">
        <is>
          <t>una variable a la vez</t>
        </is>
      </c>
      <c r="E128" s="16" t="inlineStr">
        <is>
          <t>KF-M02-N1</t>
        </is>
      </c>
      <c r="F128" s="16" t="inlineStr">
        <is>
          <t>KF-M02-N1</t>
        </is>
      </c>
      <c r="G128" s="16" t="inlineStr">
        <is>
          <t>B02</t>
        </is>
      </c>
      <c r="H128" s="16" t="inlineStr">
        <is>
          <t>malla</t>
        </is>
      </c>
      <c r="I128" s="16" t="inlineStr">
        <is>
          <t>CORREGIBLE</t>
        </is>
      </c>
      <c r="J128" s="16" t="inlineStr">
        <is>
          <t>CORREGIBLE</t>
        </is>
      </c>
      <c r="K128" s="16" t="b">
        <v>1</v>
      </c>
      <c r="L128" s="16" t="b">
        <v>0</v>
      </c>
      <c r="M128" s="16" t="b">
        <v>1</v>
      </c>
      <c r="N128" s="16" t="b">
        <v>0</v>
      </c>
      <c r="O128" s="16" t="n">
        <v>465.8444444444444</v>
      </c>
      <c r="P128" s="16" t="n">
        <v>300.032917</v>
      </c>
      <c r="Q128" s="16" t="n">
        <v>3000</v>
      </c>
      <c r="R128" s="16" t="n">
        <v>400</v>
      </c>
      <c r="S128" s="16" t="n">
        <v>0.5</v>
      </c>
      <c r="T128" s="16" t="n">
        <v>0.85</v>
      </c>
      <c r="U128" s="16" t="n">
        <v>0.75</v>
      </c>
      <c r="V128" s="16" t="n">
        <v>0.85</v>
      </c>
      <c r="W128" s="16" t="n">
        <v>0.75</v>
      </c>
      <c r="X128" s="16" t="n">
        <v>0.8</v>
      </c>
      <c r="Y128" s="16" t="n"/>
      <c r="Z128" s="16" t="n">
        <v>13.23893393241748</v>
      </c>
      <c r="AA128" s="16" t="n">
        <v>181.9290515288232</v>
      </c>
      <c r="AB128" s="16" t="n">
        <v>2600</v>
      </c>
      <c r="AC128" s="16" t="n">
        <v>7.5</v>
      </c>
      <c r="AD128" s="16" t="inlineStr">
        <is>
          <t>O2</t>
        </is>
      </c>
      <c r="AE128" s="16" t="inlineStr">
        <is>
          <t>T_fuente</t>
        </is>
      </c>
    </row>
    <row r="129">
      <c r="A129" s="16" t="inlineStr">
        <is>
          <t>KF-M02-N1-0085</t>
        </is>
      </c>
      <c r="B129" s="16" t="inlineStr">
        <is>
          <t>2.1</t>
        </is>
      </c>
      <c r="C129" s="16" t="inlineStr">
        <is>
          <t>2.1</t>
        </is>
      </c>
      <c r="D129" s="16" t="inlineStr">
        <is>
          <t>una variable a la vez</t>
        </is>
      </c>
      <c r="E129" s="16" t="inlineStr">
        <is>
          <t>KF-M02-N1</t>
        </is>
      </c>
      <c r="F129" s="16" t="inlineStr">
        <is>
          <t>KF-M02-N1</t>
        </is>
      </c>
      <c r="G129" s="16" t="inlineStr">
        <is>
          <t>B02</t>
        </is>
      </c>
      <c r="H129" s="16" t="inlineStr">
        <is>
          <t>malla</t>
        </is>
      </c>
      <c r="I129" s="16" t="inlineStr">
        <is>
          <t>CORREGIBLE</t>
        </is>
      </c>
      <c r="J129" s="16" t="inlineStr">
        <is>
          <t>CORREGIBLE</t>
        </is>
      </c>
      <c r="K129" s="16" t="b">
        <v>1</v>
      </c>
      <c r="L129" s="16" t="b">
        <v>0</v>
      </c>
      <c r="M129" s="16" t="b">
        <v>1</v>
      </c>
      <c r="N129" s="16" t="b">
        <v>0</v>
      </c>
      <c r="O129" s="16" t="n">
        <v>497.3055555555555</v>
      </c>
      <c r="P129" s="16" t="n">
        <v>300.032917</v>
      </c>
      <c r="Q129" s="16" t="n">
        <v>3000</v>
      </c>
      <c r="R129" s="16" t="n">
        <v>400</v>
      </c>
      <c r="S129" s="16" t="n">
        <v>0.5</v>
      </c>
      <c r="T129" s="16" t="n">
        <v>0.85</v>
      </c>
      <c r="U129" s="16" t="n">
        <v>0.75</v>
      </c>
      <c r="V129" s="16" t="n">
        <v>0.85</v>
      </c>
      <c r="W129" s="16" t="n">
        <v>0.75</v>
      </c>
      <c r="X129" s="16" t="n">
        <v>0.8</v>
      </c>
      <c r="Y129" s="16" t="n"/>
      <c r="Z129" s="16" t="n">
        <v>13.10697051383622</v>
      </c>
      <c r="AA129" s="16" t="n">
        <v>218.6475972956977</v>
      </c>
      <c r="AB129" s="16" t="n">
        <v>2600</v>
      </c>
      <c r="AC129" s="16" t="n">
        <v>7.5</v>
      </c>
      <c r="AD129" s="16" t="inlineStr">
        <is>
          <t>O2</t>
        </is>
      </c>
      <c r="AE129" s="16" t="inlineStr">
        <is>
          <t>T_fuente</t>
        </is>
      </c>
    </row>
    <row r="130">
      <c r="A130" s="16" t="inlineStr">
        <is>
          <t>KF-M02-N1-0086</t>
        </is>
      </c>
      <c r="B130" s="16" t="inlineStr">
        <is>
          <t>2.1</t>
        </is>
      </c>
      <c r="C130" s="16" t="inlineStr">
        <is>
          <t>2.1</t>
        </is>
      </c>
      <c r="D130" s="16" t="inlineStr">
        <is>
          <t>una variable a la vez</t>
        </is>
      </c>
      <c r="E130" s="16" t="inlineStr">
        <is>
          <t>KF-M02-N1</t>
        </is>
      </c>
      <c r="F130" s="16" t="inlineStr">
        <is>
          <t>KF-M02-N1</t>
        </is>
      </c>
      <c r="G130" s="16" t="inlineStr">
        <is>
          <t>B02</t>
        </is>
      </c>
      <c r="H130" s="16" t="inlineStr">
        <is>
          <t>malla</t>
        </is>
      </c>
      <c r="I130" s="16" t="inlineStr">
        <is>
          <t>N2</t>
        </is>
      </c>
      <c r="J130" s="16" t="inlineStr">
        <is>
          <t>NO_CONVERGIO</t>
        </is>
      </c>
      <c r="K130" s="16" t="b">
        <v>0</v>
      </c>
      <c r="L130" s="16" t="b">
        <v>0</v>
      </c>
      <c r="M130" s="16" t="b">
        <v>0</v>
      </c>
      <c r="N130" s="16" t="b">
        <v>0</v>
      </c>
      <c r="O130" s="16" t="n">
        <v>371.4611111111111</v>
      </c>
      <c r="P130" s="16" t="n">
        <v>300.032917</v>
      </c>
      <c r="Q130" s="16" t="n">
        <v>3000</v>
      </c>
      <c r="R130" s="16" t="n">
        <v>400</v>
      </c>
      <c r="S130" s="16" t="n">
        <v>0.5</v>
      </c>
      <c r="T130" s="16" t="n">
        <v>0.85</v>
      </c>
      <c r="U130" s="16" t="n">
        <v>0.75</v>
      </c>
      <c r="V130" s="16" t="n">
        <v>0.85</v>
      </c>
      <c r="W130" s="16" t="n">
        <v>0.75</v>
      </c>
      <c r="X130" s="16" t="n">
        <v>0.8</v>
      </c>
      <c r="Y130" s="16" t="n"/>
      <c r="Z130" s="16" t="n">
        <v>-263.4922477741566</v>
      </c>
      <c r="AA130" s="16" t="n">
        <v>-56.9780847680501</v>
      </c>
      <c r="AB130" s="16" t="n">
        <v>2600</v>
      </c>
      <c r="AC130" s="16" t="n">
        <v>7.5</v>
      </c>
      <c r="AD130" s="16" t="inlineStr">
        <is>
          <t>N2,S6,O3,O5,C1,C3,C3</t>
        </is>
      </c>
      <c r="AE130" s="16" t="inlineStr">
        <is>
          <t>T_fuente</t>
        </is>
      </c>
    </row>
    <row r="131">
      <c r="A131" s="16" t="inlineStr">
        <is>
          <t>KF-M02-N1-0087</t>
        </is>
      </c>
      <c r="B131" s="16" t="inlineStr">
        <is>
          <t>2.1</t>
        </is>
      </c>
      <c r="C131" s="16" t="inlineStr">
        <is>
          <t>2.1</t>
        </is>
      </c>
      <c r="D131" s="16" t="inlineStr">
        <is>
          <t>una variable a la vez</t>
        </is>
      </c>
      <c r="E131" s="16" t="inlineStr">
        <is>
          <t>KF-M02-N1</t>
        </is>
      </c>
      <c r="F131" s="16" t="inlineStr">
        <is>
          <t>KF-M02-N1</t>
        </is>
      </c>
      <c r="G131" s="16" t="inlineStr">
        <is>
          <t>B02</t>
        </is>
      </c>
      <c r="H131" s="16" t="inlineStr">
        <is>
          <t>malla</t>
        </is>
      </c>
      <c r="I131" s="16" t="inlineStr">
        <is>
          <t>CORREGIBLE</t>
        </is>
      </c>
      <c r="J131" s="16" t="inlineStr">
        <is>
          <t>CORREGIBLE</t>
        </is>
      </c>
      <c r="K131" s="16" t="b">
        <v>1</v>
      </c>
      <c r="L131" s="16" t="b">
        <v>0</v>
      </c>
      <c r="M131" s="16" t="b">
        <v>1</v>
      </c>
      <c r="N131" s="16" t="b">
        <v>0</v>
      </c>
      <c r="O131" s="16" t="n">
        <v>560.2277777777778</v>
      </c>
      <c r="P131" s="16" t="n">
        <v>300.032917</v>
      </c>
      <c r="Q131" s="16" t="n">
        <v>3000</v>
      </c>
      <c r="R131" s="16" t="n">
        <v>400</v>
      </c>
      <c r="S131" s="16" t="n">
        <v>0.5</v>
      </c>
      <c r="T131" s="16" t="n">
        <v>0.85</v>
      </c>
      <c r="U131" s="16" t="n">
        <v>0.75</v>
      </c>
      <c r="V131" s="16" t="n">
        <v>0.85</v>
      </c>
      <c r="W131" s="16" t="n">
        <v>0.75</v>
      </c>
      <c r="X131" s="16" t="n">
        <v>0.8</v>
      </c>
      <c r="Y131" s="16" t="n"/>
      <c r="Z131" s="16" t="n">
        <v>13.05959417804741</v>
      </c>
      <c r="AA131" s="16" t="n">
        <v>235.1692687359266</v>
      </c>
      <c r="AB131" s="16" t="n">
        <v>2600</v>
      </c>
      <c r="AC131" s="16" t="n">
        <v>7.5</v>
      </c>
      <c r="AD131" s="16" t="inlineStr">
        <is>
          <t>O1,O2</t>
        </is>
      </c>
      <c r="AE131" s="16" t="inlineStr">
        <is>
          <t>T_fuente</t>
        </is>
      </c>
    </row>
    <row r="132">
      <c r="A132" s="16" t="inlineStr">
        <is>
          <t>KF-M02-N1-0088</t>
        </is>
      </c>
      <c r="B132" s="16" t="inlineStr">
        <is>
          <t>2.1</t>
        </is>
      </c>
      <c r="C132" s="16" t="inlineStr">
        <is>
          <t>2.1</t>
        </is>
      </c>
      <c r="D132" s="16" t="inlineStr">
        <is>
          <t>una variable a la vez</t>
        </is>
      </c>
      <c r="E132" s="16" t="inlineStr">
        <is>
          <t>KF-M02-N1</t>
        </is>
      </c>
      <c r="F132" s="16" t="inlineStr">
        <is>
          <t>KF-M02-N1</t>
        </is>
      </c>
      <c r="G132" s="16" t="inlineStr">
        <is>
          <t>B02</t>
        </is>
      </c>
      <c r="H132" s="16" t="inlineStr">
        <is>
          <t>malla</t>
        </is>
      </c>
      <c r="I132" s="16" t="inlineStr">
        <is>
          <t>NO_CONVERGIO</t>
        </is>
      </c>
      <c r="J132" s="16" t="inlineStr">
        <is>
          <t>NO_CONVERGIO</t>
        </is>
      </c>
      <c r="K132" s="16" t="b">
        <v>0</v>
      </c>
      <c r="L132" s="16" t="b">
        <v>0</v>
      </c>
      <c r="M132" s="16" t="b">
        <v>0</v>
      </c>
      <c r="N132" s="16" t="b">
        <v>0</v>
      </c>
      <c r="O132" s="16" t="n">
        <v>623.15</v>
      </c>
      <c r="P132" s="16" t="n">
        <v>300.032917</v>
      </c>
      <c r="Q132" s="16" t="n">
        <v>3000</v>
      </c>
      <c r="R132" s="16" t="n">
        <v>400</v>
      </c>
      <c r="S132" s="16" t="n">
        <v>0.5</v>
      </c>
      <c r="T132" s="16" t="n">
        <v>0.85</v>
      </c>
      <c r="U132" s="16" t="n">
        <v>0.75</v>
      </c>
      <c r="V132" s="16" t="n">
        <v>0.85</v>
      </c>
      <c r="W132" s="16" t="n">
        <v>0.75</v>
      </c>
      <c r="X132" s="16" t="n">
        <v>0.8</v>
      </c>
      <c r="Y132" s="16" t="n"/>
      <c r="Z132" s="16" t="n"/>
      <c r="AA132" s="16" t="n"/>
      <c r="AB132" s="16" t="n">
        <v>2600</v>
      </c>
      <c r="AC132" s="16" t="n">
        <v>7.5</v>
      </c>
      <c r="AD132" s="16" t="n"/>
      <c r="AE132" s="16" t="inlineStr">
        <is>
          <t>T_fuente</t>
        </is>
      </c>
    </row>
    <row r="133">
      <c r="A133" s="16" t="inlineStr">
        <is>
          <t>KF-M02-N1-0089</t>
        </is>
      </c>
      <c r="B133" s="16" t="inlineStr">
        <is>
          <t>2.1</t>
        </is>
      </c>
      <c r="C133" s="16" t="inlineStr">
        <is>
          <t>2.1</t>
        </is>
      </c>
      <c r="D133" s="16" t="inlineStr">
        <is>
          <t>una variable a la vez</t>
        </is>
      </c>
      <c r="E133" s="16" t="inlineStr">
        <is>
          <t>KF-M02-N1</t>
        </is>
      </c>
      <c r="F133" s="16" t="inlineStr">
        <is>
          <t>KF-M02-N1</t>
        </is>
      </c>
      <c r="G133" s="16" t="inlineStr">
        <is>
          <t>B02</t>
        </is>
      </c>
      <c r="H133" s="16" t="inlineStr">
        <is>
          <t>malla</t>
        </is>
      </c>
      <c r="I133" s="16" t="inlineStr">
        <is>
          <t>NO_CONVERGIO</t>
        </is>
      </c>
      <c r="J133" s="16" t="inlineStr">
        <is>
          <t>NO_CONVERGIO</t>
        </is>
      </c>
      <c r="K133" s="16" t="b">
        <v>0</v>
      </c>
      <c r="L133" s="16" t="b">
        <v>0</v>
      </c>
      <c r="M133" s="16" t="b">
        <v>0</v>
      </c>
      <c r="N133" s="16" t="b">
        <v>0</v>
      </c>
      <c r="O133" s="16" t="n">
        <v>623.15</v>
      </c>
      <c r="P133" s="16" t="n">
        <v>283.15</v>
      </c>
      <c r="Q133" s="16" t="n">
        <v>3000</v>
      </c>
      <c r="R133" s="16" t="n">
        <v>400</v>
      </c>
      <c r="S133" s="16" t="n">
        <v>0.5</v>
      </c>
      <c r="T133" s="16" t="n">
        <v>0.85</v>
      </c>
      <c r="U133" s="16" t="n">
        <v>0.75</v>
      </c>
      <c r="V133" s="16" t="n">
        <v>0.85</v>
      </c>
      <c r="W133" s="16" t="n">
        <v>0.75</v>
      </c>
      <c r="X133" s="16" t="n">
        <v>0.8</v>
      </c>
      <c r="Y133" s="16" t="n"/>
      <c r="Z133" s="16" t="n"/>
      <c r="AA133" s="16" t="n"/>
      <c r="AB133" s="16" t="n">
        <v>2600</v>
      </c>
      <c r="AC133" s="16" t="n">
        <v>7.5</v>
      </c>
      <c r="AD133" s="16" t="n"/>
      <c r="AE133" s="16" t="inlineStr">
        <is>
          <t>T_sumidero</t>
        </is>
      </c>
    </row>
    <row r="134">
      <c r="A134" s="16" t="inlineStr">
        <is>
          <t>KF-M02-N1-0090</t>
        </is>
      </c>
      <c r="B134" s="16" t="inlineStr">
        <is>
          <t>2.1</t>
        </is>
      </c>
      <c r="C134" s="16" t="inlineStr">
        <is>
          <t>2.1</t>
        </is>
      </c>
      <c r="D134" s="16" t="inlineStr">
        <is>
          <t>una variable a la vez</t>
        </is>
      </c>
      <c r="E134" s="16" t="inlineStr">
        <is>
          <t>KF-M02-N1</t>
        </is>
      </c>
      <c r="F134" s="16" t="inlineStr">
        <is>
          <t>KF-M02-N1</t>
        </is>
      </c>
      <c r="G134" s="16" t="inlineStr">
        <is>
          <t>B02</t>
        </is>
      </c>
      <c r="H134" s="16" t="inlineStr">
        <is>
          <t>malla</t>
        </is>
      </c>
      <c r="I134" s="16" t="inlineStr">
        <is>
          <t>INVIABLE</t>
        </is>
      </c>
      <c r="J134" s="16" t="inlineStr">
        <is>
          <t>INVIABLE</t>
        </is>
      </c>
      <c r="K134" s="16" t="b">
        <v>1</v>
      </c>
      <c r="L134" s="16" t="b">
        <v>0</v>
      </c>
      <c r="M134" s="16" t="b">
        <v>1</v>
      </c>
      <c r="N134" s="16" t="b">
        <v>0</v>
      </c>
      <c r="O134" s="16" t="n">
        <v>591.6888888888889</v>
      </c>
      <c r="P134" s="16" t="n">
        <v>300.032917</v>
      </c>
      <c r="Q134" s="16" t="n">
        <v>3000</v>
      </c>
      <c r="R134" s="16" t="n">
        <v>400</v>
      </c>
      <c r="S134" s="16" t="n">
        <v>0.5</v>
      </c>
      <c r="T134" s="16" t="n">
        <v>0.85</v>
      </c>
      <c r="U134" s="16" t="n">
        <v>0.75</v>
      </c>
      <c r="V134" s="16" t="n">
        <v>0.85</v>
      </c>
      <c r="W134" s="16" t="n">
        <v>0.75</v>
      </c>
      <c r="X134" s="16" t="n">
        <v>0.8</v>
      </c>
      <c r="Y134" s="16" t="n"/>
      <c r="Z134" s="16" t="n">
        <v>13.04002337508707</v>
      </c>
      <c r="AA134" s="16" t="n">
        <v>243.097255915752</v>
      </c>
      <c r="AB134" s="16" t="n">
        <v>2600</v>
      </c>
      <c r="AC134" s="16" t="n">
        <v>7.5</v>
      </c>
      <c r="AD134" s="16" t="inlineStr">
        <is>
          <t>O1,O2,O5</t>
        </is>
      </c>
      <c r="AE134" s="16" t="inlineStr">
        <is>
          <t>T_fuente</t>
        </is>
      </c>
    </row>
    <row r="135">
      <c r="A135" s="16" t="inlineStr">
        <is>
          <t>KF-M02-N1-0091</t>
        </is>
      </c>
      <c r="B135" s="16" t="inlineStr">
        <is>
          <t>2.1</t>
        </is>
      </c>
      <c r="C135" s="16" t="inlineStr">
        <is>
          <t>2.1</t>
        </is>
      </c>
      <c r="D135" s="16" t="inlineStr">
        <is>
          <t>una variable a la vez</t>
        </is>
      </c>
      <c r="E135" s="16" t="inlineStr">
        <is>
          <t>KF-M02-N1</t>
        </is>
      </c>
      <c r="F135" s="16" t="inlineStr">
        <is>
          <t>KF-M02-N1</t>
        </is>
      </c>
      <c r="G135" s="16" t="inlineStr">
        <is>
          <t>B02</t>
        </is>
      </c>
      <c r="H135" s="16" t="inlineStr">
        <is>
          <t>malla</t>
        </is>
      </c>
      <c r="I135" s="16" t="inlineStr">
        <is>
          <t>NO_CONVERGIO</t>
        </is>
      </c>
      <c r="J135" s="16" t="inlineStr">
        <is>
          <t>NO_CONVERGIO</t>
        </is>
      </c>
      <c r="K135" s="16" t="b">
        <v>0</v>
      </c>
      <c r="L135" s="16" t="b">
        <v>0</v>
      </c>
      <c r="M135" s="16" t="b">
        <v>0</v>
      </c>
      <c r="N135" s="16" t="b">
        <v>0</v>
      </c>
      <c r="O135" s="16" t="n">
        <v>623.15</v>
      </c>
      <c r="P135" s="16" t="n">
        <v>285.4166666666666</v>
      </c>
      <c r="Q135" s="16" t="n">
        <v>3000</v>
      </c>
      <c r="R135" s="16" t="n">
        <v>400</v>
      </c>
      <c r="S135" s="16" t="n">
        <v>0.5</v>
      </c>
      <c r="T135" s="16" t="n">
        <v>0.85</v>
      </c>
      <c r="U135" s="16" t="n">
        <v>0.75</v>
      </c>
      <c r="V135" s="16" t="n">
        <v>0.85</v>
      </c>
      <c r="W135" s="16" t="n">
        <v>0.75</v>
      </c>
      <c r="X135" s="16" t="n">
        <v>0.8</v>
      </c>
      <c r="Y135" s="16" t="n"/>
      <c r="Z135" s="16" t="n"/>
      <c r="AA135" s="16" t="n"/>
      <c r="AB135" s="16" t="n">
        <v>2600</v>
      </c>
      <c r="AC135" s="16" t="n">
        <v>7.5</v>
      </c>
      <c r="AD135" s="16" t="n"/>
      <c r="AE135" s="16" t="inlineStr">
        <is>
          <t>T_sumidero</t>
        </is>
      </c>
    </row>
    <row r="136">
      <c r="A136" s="16" t="inlineStr">
        <is>
          <t>KF-M02-N1-0092</t>
        </is>
      </c>
      <c r="B136" s="16" t="inlineStr">
        <is>
          <t>2.1</t>
        </is>
      </c>
      <c r="C136" s="16" t="inlineStr">
        <is>
          <t>2.1</t>
        </is>
      </c>
      <c r="D136" s="16" t="inlineStr">
        <is>
          <t>una variable a la vez</t>
        </is>
      </c>
      <c r="E136" s="16" t="inlineStr">
        <is>
          <t>KF-M02-N1</t>
        </is>
      </c>
      <c r="F136" s="16" t="inlineStr">
        <is>
          <t>KF-M02-N1</t>
        </is>
      </c>
      <c r="G136" s="16" t="inlineStr">
        <is>
          <t>B02</t>
        </is>
      </c>
      <c r="H136" s="16" t="inlineStr">
        <is>
          <t>malla</t>
        </is>
      </c>
      <c r="I136" s="16" t="inlineStr">
        <is>
          <t>NO_CONVERGIO</t>
        </is>
      </c>
      <c r="J136" s="16" t="inlineStr">
        <is>
          <t>NO_CONVERGIO</t>
        </is>
      </c>
      <c r="K136" s="16" t="b">
        <v>0</v>
      </c>
      <c r="L136" s="16" t="b">
        <v>0</v>
      </c>
      <c r="M136" s="16" t="b">
        <v>0</v>
      </c>
      <c r="N136" s="16" t="b">
        <v>0</v>
      </c>
      <c r="O136" s="16" t="n">
        <v>623.15</v>
      </c>
      <c r="P136" s="16" t="n">
        <v>287.6833333333333</v>
      </c>
      <c r="Q136" s="16" t="n">
        <v>3000</v>
      </c>
      <c r="R136" s="16" t="n">
        <v>400</v>
      </c>
      <c r="S136" s="16" t="n">
        <v>0.5</v>
      </c>
      <c r="T136" s="16" t="n">
        <v>0.85</v>
      </c>
      <c r="U136" s="16" t="n">
        <v>0.75</v>
      </c>
      <c r="V136" s="16" t="n">
        <v>0.85</v>
      </c>
      <c r="W136" s="16" t="n">
        <v>0.75</v>
      </c>
      <c r="X136" s="16" t="n">
        <v>0.8</v>
      </c>
      <c r="Y136" s="16" t="n"/>
      <c r="Z136" s="16" t="n"/>
      <c r="AA136" s="16" t="n"/>
      <c r="AB136" s="16" t="n">
        <v>2600</v>
      </c>
      <c r="AC136" s="16" t="n">
        <v>7.5</v>
      </c>
      <c r="AD136" s="16" t="n"/>
      <c r="AE136" s="16" t="inlineStr">
        <is>
          <t>T_sumidero</t>
        </is>
      </c>
    </row>
    <row r="137">
      <c r="A137" s="16" t="inlineStr">
        <is>
          <t>KF-M02-N1-0093</t>
        </is>
      </c>
      <c r="B137" s="16" t="inlineStr">
        <is>
          <t>2.1</t>
        </is>
      </c>
      <c r="C137" s="16" t="inlineStr">
        <is>
          <t>2.1</t>
        </is>
      </c>
      <c r="D137" s="16" t="inlineStr">
        <is>
          <t>una variable a la vez</t>
        </is>
      </c>
      <c r="E137" s="16" t="inlineStr">
        <is>
          <t>KF-M02-N1</t>
        </is>
      </c>
      <c r="F137" s="16" t="inlineStr">
        <is>
          <t>KF-M02-N1</t>
        </is>
      </c>
      <c r="G137" s="16" t="inlineStr">
        <is>
          <t>B02</t>
        </is>
      </c>
      <c r="H137" s="16" t="inlineStr">
        <is>
          <t>malla</t>
        </is>
      </c>
      <c r="I137" s="16" t="inlineStr">
        <is>
          <t>NO_CONVERGIO</t>
        </is>
      </c>
      <c r="J137" s="16" t="inlineStr">
        <is>
          <t>NO_CONVERGIO</t>
        </is>
      </c>
      <c r="K137" s="16" t="b">
        <v>0</v>
      </c>
      <c r="L137" s="16" t="b">
        <v>0</v>
      </c>
      <c r="M137" s="16" t="b">
        <v>0</v>
      </c>
      <c r="N137" s="16" t="b">
        <v>0</v>
      </c>
      <c r="O137" s="16" t="n">
        <v>623.15</v>
      </c>
      <c r="P137" s="16" t="n">
        <v>289.95</v>
      </c>
      <c r="Q137" s="16" t="n">
        <v>3000</v>
      </c>
      <c r="R137" s="16" t="n">
        <v>400</v>
      </c>
      <c r="S137" s="16" t="n">
        <v>0.5</v>
      </c>
      <c r="T137" s="16" t="n">
        <v>0.85</v>
      </c>
      <c r="U137" s="16" t="n">
        <v>0.75</v>
      </c>
      <c r="V137" s="16" t="n">
        <v>0.85</v>
      </c>
      <c r="W137" s="16" t="n">
        <v>0.75</v>
      </c>
      <c r="X137" s="16" t="n">
        <v>0.8</v>
      </c>
      <c r="Y137" s="16" t="n"/>
      <c r="Z137" s="16" t="n"/>
      <c r="AA137" s="16" t="n"/>
      <c r="AB137" s="16" t="n">
        <v>2600</v>
      </c>
      <c r="AC137" s="16" t="n">
        <v>7.5</v>
      </c>
      <c r="AD137" s="16" t="n"/>
      <c r="AE137" s="16" t="inlineStr">
        <is>
          <t>T_sumidero</t>
        </is>
      </c>
    </row>
    <row r="138">
      <c r="A138" s="16" t="inlineStr">
        <is>
          <t>KF-M02-N1-0094</t>
        </is>
      </c>
      <c r="B138" s="16" t="inlineStr">
        <is>
          <t>2.1</t>
        </is>
      </c>
      <c r="C138" s="16" t="inlineStr">
        <is>
          <t>2.1</t>
        </is>
      </c>
      <c r="D138" s="16" t="inlineStr">
        <is>
          <t>una variable a la vez</t>
        </is>
      </c>
      <c r="E138" s="16" t="inlineStr">
        <is>
          <t>KF-M02-N1</t>
        </is>
      </c>
      <c r="F138" s="16" t="inlineStr">
        <is>
          <t>KF-M02-N1</t>
        </is>
      </c>
      <c r="G138" s="16" t="inlineStr">
        <is>
          <t>B02</t>
        </is>
      </c>
      <c r="H138" s="16" t="inlineStr">
        <is>
          <t>malla</t>
        </is>
      </c>
      <c r="I138" s="16" t="inlineStr">
        <is>
          <t>NO_CONVERGIO</t>
        </is>
      </c>
      <c r="J138" s="16" t="inlineStr">
        <is>
          <t>NO_CONVERGIO</t>
        </is>
      </c>
      <c r="K138" s="16" t="b">
        <v>0</v>
      </c>
      <c r="L138" s="16" t="b">
        <v>0</v>
      </c>
      <c r="M138" s="16" t="b">
        <v>0</v>
      </c>
      <c r="N138" s="16" t="b">
        <v>0</v>
      </c>
      <c r="O138" s="16" t="n">
        <v>623.15</v>
      </c>
      <c r="P138" s="16" t="n">
        <v>292.2166666666666</v>
      </c>
      <c r="Q138" s="16" t="n">
        <v>3000</v>
      </c>
      <c r="R138" s="16" t="n">
        <v>400</v>
      </c>
      <c r="S138" s="16" t="n">
        <v>0.5</v>
      </c>
      <c r="T138" s="16" t="n">
        <v>0.85</v>
      </c>
      <c r="U138" s="16" t="n">
        <v>0.75</v>
      </c>
      <c r="V138" s="16" t="n">
        <v>0.85</v>
      </c>
      <c r="W138" s="16" t="n">
        <v>0.75</v>
      </c>
      <c r="X138" s="16" t="n">
        <v>0.8</v>
      </c>
      <c r="Y138" s="16" t="n"/>
      <c r="Z138" s="16" t="n"/>
      <c r="AA138" s="16" t="n"/>
      <c r="AB138" s="16" t="n">
        <v>2600</v>
      </c>
      <c r="AC138" s="16" t="n">
        <v>7.5</v>
      </c>
      <c r="AD138" s="16" t="n"/>
      <c r="AE138" s="16" t="inlineStr">
        <is>
          <t>T_sumidero</t>
        </is>
      </c>
    </row>
    <row r="139">
      <c r="A139" s="16" t="inlineStr">
        <is>
          <t>KF-M02-N1-0095</t>
        </is>
      </c>
      <c r="B139" s="16" t="inlineStr">
        <is>
          <t>2.1</t>
        </is>
      </c>
      <c r="C139" s="16" t="inlineStr">
        <is>
          <t>2.1</t>
        </is>
      </c>
      <c r="D139" s="16" t="inlineStr">
        <is>
          <t>una variable a la vez</t>
        </is>
      </c>
      <c r="E139" s="16" t="inlineStr">
        <is>
          <t>KF-M02-N1</t>
        </is>
      </c>
      <c r="F139" s="16" t="inlineStr">
        <is>
          <t>KF-M02-N1</t>
        </is>
      </c>
      <c r="G139" s="16" t="inlineStr">
        <is>
          <t>B02</t>
        </is>
      </c>
      <c r="H139" s="16" t="inlineStr">
        <is>
          <t>malla</t>
        </is>
      </c>
      <c r="I139" s="16" t="inlineStr">
        <is>
          <t>NO_CONVERGIO</t>
        </is>
      </c>
      <c r="J139" s="16" t="inlineStr">
        <is>
          <t>NO_CONVERGIO</t>
        </is>
      </c>
      <c r="K139" s="16" t="b">
        <v>0</v>
      </c>
      <c r="L139" s="16" t="b">
        <v>0</v>
      </c>
      <c r="M139" s="16" t="b">
        <v>0</v>
      </c>
      <c r="N139" s="16" t="b">
        <v>0</v>
      </c>
      <c r="O139" s="16" t="n">
        <v>623.15</v>
      </c>
      <c r="P139" s="16" t="n">
        <v>294.4833333333333</v>
      </c>
      <c r="Q139" s="16" t="n">
        <v>3000</v>
      </c>
      <c r="R139" s="16" t="n">
        <v>400</v>
      </c>
      <c r="S139" s="16" t="n">
        <v>0.5</v>
      </c>
      <c r="T139" s="16" t="n">
        <v>0.85</v>
      </c>
      <c r="U139" s="16" t="n">
        <v>0.75</v>
      </c>
      <c r="V139" s="16" t="n">
        <v>0.85</v>
      </c>
      <c r="W139" s="16" t="n">
        <v>0.75</v>
      </c>
      <c r="X139" s="16" t="n">
        <v>0.8</v>
      </c>
      <c r="Y139" s="16" t="n"/>
      <c r="Z139" s="16" t="n"/>
      <c r="AA139" s="16" t="n"/>
      <c r="AB139" s="16" t="n">
        <v>2600</v>
      </c>
      <c r="AC139" s="16" t="n">
        <v>7.5</v>
      </c>
      <c r="AD139" s="16" t="n"/>
      <c r="AE139" s="16" t="inlineStr">
        <is>
          <t>T_sumidero</t>
        </is>
      </c>
    </row>
    <row r="140">
      <c r="A140" s="16" t="inlineStr">
        <is>
          <t>KF-M02-N1-0096</t>
        </is>
      </c>
      <c r="B140" s="16" t="inlineStr">
        <is>
          <t>2.1</t>
        </is>
      </c>
      <c r="C140" s="16" t="inlineStr">
        <is>
          <t>2.1</t>
        </is>
      </c>
      <c r="D140" s="16" t="inlineStr">
        <is>
          <t>una variable a la vez</t>
        </is>
      </c>
      <c r="E140" s="16" t="inlineStr">
        <is>
          <t>KF-M02-N1</t>
        </is>
      </c>
      <c r="F140" s="16" t="inlineStr">
        <is>
          <t>KF-M02-N1</t>
        </is>
      </c>
      <c r="G140" s="16" t="inlineStr">
        <is>
          <t>B02</t>
        </is>
      </c>
      <c r="H140" s="16" t="inlineStr">
        <is>
          <t>malla</t>
        </is>
      </c>
      <c r="I140" s="16" t="inlineStr">
        <is>
          <t>NO_CONVERGIO</t>
        </is>
      </c>
      <c r="J140" s="16" t="inlineStr">
        <is>
          <t>NO_CONVERGIO</t>
        </is>
      </c>
      <c r="K140" s="16" t="b">
        <v>0</v>
      </c>
      <c r="L140" s="16" t="b">
        <v>0</v>
      </c>
      <c r="M140" s="16" t="b">
        <v>0</v>
      </c>
      <c r="N140" s="16" t="b">
        <v>0</v>
      </c>
      <c r="O140" s="16" t="n">
        <v>623.15</v>
      </c>
      <c r="P140" s="16" t="n">
        <v>296.75</v>
      </c>
      <c r="Q140" s="16" t="n">
        <v>3000</v>
      </c>
      <c r="R140" s="16" t="n">
        <v>400</v>
      </c>
      <c r="S140" s="16" t="n">
        <v>0.5</v>
      </c>
      <c r="T140" s="16" t="n">
        <v>0.85</v>
      </c>
      <c r="U140" s="16" t="n">
        <v>0.75</v>
      </c>
      <c r="V140" s="16" t="n">
        <v>0.85</v>
      </c>
      <c r="W140" s="16" t="n">
        <v>0.75</v>
      </c>
      <c r="X140" s="16" t="n">
        <v>0.8</v>
      </c>
      <c r="Y140" s="16" t="n"/>
      <c r="Z140" s="16" t="n"/>
      <c r="AA140" s="16" t="n"/>
      <c r="AB140" s="16" t="n">
        <v>2600</v>
      </c>
      <c r="AC140" s="16" t="n">
        <v>7.5</v>
      </c>
      <c r="AD140" s="16" t="n"/>
      <c r="AE140" s="16" t="inlineStr">
        <is>
          <t>T_sumidero</t>
        </is>
      </c>
    </row>
    <row r="141">
      <c r="A141" s="16" t="inlineStr">
        <is>
          <t>KF-M02-N1-0097</t>
        </is>
      </c>
      <c r="B141" s="16" t="inlineStr">
        <is>
          <t>2.1</t>
        </is>
      </c>
      <c r="C141" s="16" t="inlineStr">
        <is>
          <t>2.1</t>
        </is>
      </c>
      <c r="D141" s="16" t="inlineStr">
        <is>
          <t>una variable a la vez</t>
        </is>
      </c>
      <c r="E141" s="16" t="inlineStr">
        <is>
          <t>KF-M02-N1</t>
        </is>
      </c>
      <c r="F141" s="16" t="inlineStr">
        <is>
          <t>KF-M02-N1</t>
        </is>
      </c>
      <c r="G141" s="16" t="inlineStr">
        <is>
          <t>B02</t>
        </is>
      </c>
      <c r="H141" s="16" t="inlineStr">
        <is>
          <t>malla</t>
        </is>
      </c>
      <c r="I141" s="16" t="inlineStr">
        <is>
          <t>NO_CONVERGIO</t>
        </is>
      </c>
      <c r="J141" s="16" t="inlineStr">
        <is>
          <t>NO_CONVERGIO</t>
        </is>
      </c>
      <c r="K141" s="16" t="b">
        <v>0</v>
      </c>
      <c r="L141" s="16" t="b">
        <v>0</v>
      </c>
      <c r="M141" s="16" t="b">
        <v>0</v>
      </c>
      <c r="N141" s="16" t="b">
        <v>0</v>
      </c>
      <c r="O141" s="16" t="n">
        <v>623.15</v>
      </c>
      <c r="P141" s="16" t="n">
        <v>299.0166666666667</v>
      </c>
      <c r="Q141" s="16" t="n">
        <v>3000</v>
      </c>
      <c r="R141" s="16" t="n">
        <v>400</v>
      </c>
      <c r="S141" s="16" t="n">
        <v>0.5</v>
      </c>
      <c r="T141" s="16" t="n">
        <v>0.85</v>
      </c>
      <c r="U141" s="16" t="n">
        <v>0.75</v>
      </c>
      <c r="V141" s="16" t="n">
        <v>0.85</v>
      </c>
      <c r="W141" s="16" t="n">
        <v>0.75</v>
      </c>
      <c r="X141" s="16" t="n">
        <v>0.8</v>
      </c>
      <c r="Y141" s="16" t="n"/>
      <c r="Z141" s="16" t="n"/>
      <c r="AA141" s="16" t="n"/>
      <c r="AB141" s="16" t="n">
        <v>2600</v>
      </c>
      <c r="AC141" s="16" t="n">
        <v>7.5</v>
      </c>
      <c r="AD141" s="16" t="n"/>
      <c r="AE141" s="16" t="inlineStr">
        <is>
          <t>T_sumidero</t>
        </is>
      </c>
    </row>
    <row r="142">
      <c r="A142" s="16" t="inlineStr">
        <is>
          <t>KF-M02-N1-0098</t>
        </is>
      </c>
      <c r="B142" s="16" t="inlineStr">
        <is>
          <t>2.1</t>
        </is>
      </c>
      <c r="C142" s="16" t="inlineStr">
        <is>
          <t>2.1</t>
        </is>
      </c>
      <c r="D142" s="16" t="inlineStr">
        <is>
          <t>una variable a la vez</t>
        </is>
      </c>
      <c r="E142" s="16" t="inlineStr">
        <is>
          <t>KF-M02-N1</t>
        </is>
      </c>
      <c r="F142" s="16" t="inlineStr">
        <is>
          <t>KF-M02-N1</t>
        </is>
      </c>
      <c r="G142" s="16" t="inlineStr">
        <is>
          <t>B02</t>
        </is>
      </c>
      <c r="H142" s="16" t="inlineStr">
        <is>
          <t>malla</t>
        </is>
      </c>
      <c r="I142" s="16" t="inlineStr">
        <is>
          <t>NO_CONVERGIO</t>
        </is>
      </c>
      <c r="J142" s="16" t="inlineStr">
        <is>
          <t>NO_CONVERGIO</t>
        </is>
      </c>
      <c r="K142" s="16" t="b">
        <v>0</v>
      </c>
      <c r="L142" s="16" t="b">
        <v>0</v>
      </c>
      <c r="M142" s="16" t="b">
        <v>0</v>
      </c>
      <c r="N142" s="16" t="b">
        <v>0</v>
      </c>
      <c r="O142" s="16" t="n">
        <v>623.15</v>
      </c>
      <c r="P142" s="16" t="n">
        <v>301.2833333333334</v>
      </c>
      <c r="Q142" s="16" t="n">
        <v>3000</v>
      </c>
      <c r="R142" s="16" t="n">
        <v>400</v>
      </c>
      <c r="S142" s="16" t="n">
        <v>0.5</v>
      </c>
      <c r="T142" s="16" t="n">
        <v>0.85</v>
      </c>
      <c r="U142" s="16" t="n">
        <v>0.75</v>
      </c>
      <c r="V142" s="16" t="n">
        <v>0.85</v>
      </c>
      <c r="W142" s="16" t="n">
        <v>0.75</v>
      </c>
      <c r="X142" s="16" t="n">
        <v>0.8</v>
      </c>
      <c r="Y142" s="16" t="n"/>
      <c r="Z142" s="16" t="n"/>
      <c r="AA142" s="16" t="n"/>
      <c r="AB142" s="16" t="n">
        <v>2600</v>
      </c>
      <c r="AC142" s="16" t="n">
        <v>7.5</v>
      </c>
      <c r="AD142" s="16" t="n"/>
      <c r="AE142" s="16" t="inlineStr">
        <is>
          <t>T_sumidero</t>
        </is>
      </c>
    </row>
    <row r="143">
      <c r="A143" s="16" t="inlineStr">
        <is>
          <t>KF-M02-N1-0099</t>
        </is>
      </c>
      <c r="B143" s="16" t="inlineStr">
        <is>
          <t>2.1</t>
        </is>
      </c>
      <c r="C143" s="16" t="inlineStr">
        <is>
          <t>2.1</t>
        </is>
      </c>
      <c r="D143" s="16" t="inlineStr">
        <is>
          <t>una variable a la vez</t>
        </is>
      </c>
      <c r="E143" s="16" t="inlineStr">
        <is>
          <t>KF-M02-N1</t>
        </is>
      </c>
      <c r="F143" s="16" t="inlineStr">
        <is>
          <t>KF-M02-N1</t>
        </is>
      </c>
      <c r="G143" s="16" t="inlineStr">
        <is>
          <t>B02</t>
        </is>
      </c>
      <c r="H143" s="16" t="inlineStr">
        <is>
          <t>malla</t>
        </is>
      </c>
      <c r="I143" s="16" t="inlineStr">
        <is>
          <t>NO_CONVERGIO</t>
        </is>
      </c>
      <c r="J143" s="16" t="inlineStr">
        <is>
          <t>NO_CONVERGIO</t>
        </is>
      </c>
      <c r="K143" s="16" t="b">
        <v>0</v>
      </c>
      <c r="L143" s="16" t="b">
        <v>0</v>
      </c>
      <c r="M143" s="16" t="b">
        <v>0</v>
      </c>
      <c r="N143" s="16" t="b">
        <v>0</v>
      </c>
      <c r="O143" s="16" t="n">
        <v>623.15</v>
      </c>
      <c r="P143" s="16" t="n">
        <v>303.55</v>
      </c>
      <c r="Q143" s="16" t="n">
        <v>3000</v>
      </c>
      <c r="R143" s="16" t="n">
        <v>400</v>
      </c>
      <c r="S143" s="16" t="n">
        <v>0.5</v>
      </c>
      <c r="T143" s="16" t="n">
        <v>0.85</v>
      </c>
      <c r="U143" s="16" t="n">
        <v>0.75</v>
      </c>
      <c r="V143" s="16" t="n">
        <v>0.85</v>
      </c>
      <c r="W143" s="16" t="n">
        <v>0.75</v>
      </c>
      <c r="X143" s="16" t="n">
        <v>0.8</v>
      </c>
      <c r="Y143" s="16" t="n"/>
      <c r="Z143" s="16" t="n"/>
      <c r="AA143" s="16" t="n"/>
      <c r="AB143" s="16" t="n">
        <v>2600</v>
      </c>
      <c r="AC143" s="16" t="n">
        <v>7.5</v>
      </c>
      <c r="AD143" s="16" t="n"/>
      <c r="AE143" s="16" t="inlineStr">
        <is>
          <t>T_sumidero</t>
        </is>
      </c>
    </row>
    <row r="144">
      <c r="A144" s="16" t="inlineStr">
        <is>
          <t>KF-M02-N1-0100</t>
        </is>
      </c>
      <c r="B144" s="16" t="inlineStr">
        <is>
          <t>2.1</t>
        </is>
      </c>
      <c r="C144" s="16" t="inlineStr">
        <is>
          <t>2.1</t>
        </is>
      </c>
      <c r="D144" s="16" t="inlineStr">
        <is>
          <t>una variable a la vez</t>
        </is>
      </c>
      <c r="E144" s="16" t="inlineStr">
        <is>
          <t>KF-M02-N1</t>
        </is>
      </c>
      <c r="F144" s="16" t="inlineStr">
        <is>
          <t>KF-M02-N1</t>
        </is>
      </c>
      <c r="G144" s="16" t="inlineStr">
        <is>
          <t>B02</t>
        </is>
      </c>
      <c r="H144" s="16" t="inlineStr">
        <is>
          <t>biseccion</t>
        </is>
      </c>
      <c r="I144" s="16" t="inlineStr">
        <is>
          <t>NO_CONVERGIO</t>
        </is>
      </c>
      <c r="J144" s="16" t="inlineStr">
        <is>
          <t>NO_CONVERGIO</t>
        </is>
      </c>
      <c r="K144" s="16" t="b">
        <v>0</v>
      </c>
      <c r="L144" s="16" t="b">
        <v>0</v>
      </c>
      <c r="M144" s="16" t="b">
        <v>0</v>
      </c>
      <c r="N144" s="16" t="b">
        <v>0</v>
      </c>
      <c r="O144" s="16" t="n">
        <v>607.4194444444445</v>
      </c>
      <c r="P144" s="16" t="n">
        <v>300.032917</v>
      </c>
      <c r="Q144" s="16" t="n">
        <v>3000</v>
      </c>
      <c r="R144" s="16" t="n">
        <v>400</v>
      </c>
      <c r="S144" s="16" t="n">
        <v>0.5</v>
      </c>
      <c r="T144" s="16" t="n">
        <v>0.85</v>
      </c>
      <c r="U144" s="16" t="n">
        <v>0.75</v>
      </c>
      <c r="V144" s="16" t="n">
        <v>0.85</v>
      </c>
      <c r="W144" s="16" t="n">
        <v>0.75</v>
      </c>
      <c r="X144" s="16" t="n">
        <v>0.8</v>
      </c>
      <c r="Y144" s="16" t="n"/>
      <c r="Z144" s="16" t="n"/>
      <c r="AA144" s="16" t="n"/>
      <c r="AB144" s="16" t="n">
        <v>2600</v>
      </c>
      <c r="AC144" s="16" t="n">
        <v>7.5</v>
      </c>
      <c r="AD144" s="16" t="n"/>
      <c r="AE144" s="16" t="inlineStr">
        <is>
          <t>T_fuente</t>
        </is>
      </c>
    </row>
    <row r="145">
      <c r="A145" s="16" t="inlineStr">
        <is>
          <t>KF-M02-N1-0101</t>
        </is>
      </c>
      <c r="B145" s="16" t="inlineStr">
        <is>
          <t>2.1</t>
        </is>
      </c>
      <c r="C145" s="16" t="inlineStr">
        <is>
          <t>2.1</t>
        </is>
      </c>
      <c r="D145" s="16" t="inlineStr">
        <is>
          <t>una variable a la vez</t>
        </is>
      </c>
      <c r="E145" s="16" t="inlineStr">
        <is>
          <t>KF-M02-N1</t>
        </is>
      </c>
      <c r="F145" s="16" t="inlineStr">
        <is>
          <t>KF-M02-N1</t>
        </is>
      </c>
      <c r="G145" s="16" t="inlineStr">
        <is>
          <t>B02</t>
        </is>
      </c>
      <c r="H145" s="16" t="inlineStr">
        <is>
          <t>biseccion</t>
        </is>
      </c>
      <c r="I145" s="16" t="inlineStr">
        <is>
          <t>NO_CONVERGIO</t>
        </is>
      </c>
      <c r="J145" s="16" t="inlineStr">
        <is>
          <t>NO_CONVERGIO</t>
        </is>
      </c>
      <c r="K145" s="16" t="b">
        <v>0</v>
      </c>
      <c r="L145" s="16" t="b">
        <v>0</v>
      </c>
      <c r="M145" s="16" t="b">
        <v>0</v>
      </c>
      <c r="N145" s="16" t="b">
        <v>0</v>
      </c>
      <c r="O145" s="16" t="n">
        <v>623.15</v>
      </c>
      <c r="P145" s="16" t="n">
        <v>300.032917</v>
      </c>
      <c r="Q145" s="16" t="n">
        <v>3000</v>
      </c>
      <c r="R145" s="16" t="n">
        <v>400</v>
      </c>
      <c r="S145" s="16" t="n">
        <v>0.3333333333333333</v>
      </c>
      <c r="T145" s="16" t="n">
        <v>0.85</v>
      </c>
      <c r="U145" s="16" t="n">
        <v>0.75</v>
      </c>
      <c r="V145" s="16" t="n">
        <v>0.85</v>
      </c>
      <c r="W145" s="16" t="n">
        <v>0.75</v>
      </c>
      <c r="X145" s="16" t="n">
        <v>0.8</v>
      </c>
      <c r="Y145" s="16" t="n"/>
      <c r="Z145" s="16" t="n"/>
      <c r="AA145" s="16" t="n"/>
      <c r="AB145" s="16" t="n">
        <v>2600</v>
      </c>
      <c r="AC145" s="16" t="n">
        <v>7.5</v>
      </c>
      <c r="AD145" s="16" t="n"/>
      <c r="AE145" s="16" t="inlineStr">
        <is>
          <t>x_b</t>
        </is>
      </c>
    </row>
    <row r="146">
      <c r="A146" s="16" t="inlineStr">
        <is>
          <t>KF-M02-N1-0102</t>
        </is>
      </c>
      <c r="B146" s="16" t="inlineStr">
        <is>
          <t>2.1</t>
        </is>
      </c>
      <c r="C146" s="16" t="inlineStr">
        <is>
          <t>2.1</t>
        </is>
      </c>
      <c r="D146" s="16" t="inlineStr">
        <is>
          <t>una variable a la vez</t>
        </is>
      </c>
      <c r="E146" s="16" t="inlineStr">
        <is>
          <t>KF-M02-N1</t>
        </is>
      </c>
      <c r="F146" s="16" t="inlineStr">
        <is>
          <t>KF-M02-N1</t>
        </is>
      </c>
      <c r="G146" s="16" t="inlineStr">
        <is>
          <t>B02</t>
        </is>
      </c>
      <c r="H146" s="16" t="inlineStr">
        <is>
          <t>biseccion</t>
        </is>
      </c>
      <c r="I146" s="16" t="inlineStr">
        <is>
          <t>N2</t>
        </is>
      </c>
      <c r="J146" s="16" t="inlineStr">
        <is>
          <t>NO_CONVERGIO</t>
        </is>
      </c>
      <c r="K146" s="16" t="b">
        <v>0</v>
      </c>
      <c r="L146" s="16" t="b">
        <v>0</v>
      </c>
      <c r="M146" s="16" t="b">
        <v>1</v>
      </c>
      <c r="N146" s="16" t="b">
        <v>0</v>
      </c>
      <c r="O146" s="16" t="n">
        <v>623.15</v>
      </c>
      <c r="P146" s="16" t="n">
        <v>300.032917</v>
      </c>
      <c r="Q146" s="16" t="n">
        <v>3000</v>
      </c>
      <c r="R146" s="16" t="n">
        <v>400</v>
      </c>
      <c r="S146" s="16" t="n">
        <v>0.5</v>
      </c>
      <c r="T146" s="16" t="n">
        <v>0.85</v>
      </c>
      <c r="U146" s="16" t="n">
        <v>0.75</v>
      </c>
      <c r="V146" s="16" t="n">
        <v>0.8222222222222222</v>
      </c>
      <c r="W146" s="16" t="n">
        <v>0.75</v>
      </c>
      <c r="X146" s="16" t="n">
        <v>0.8</v>
      </c>
      <c r="Y146" s="16" t="n"/>
      <c r="Z146" s="16" t="n">
        <v>13.72300979723606</v>
      </c>
      <c r="AA146" s="16" t="n">
        <v>255.4064758813642</v>
      </c>
      <c r="AB146" s="16" t="n">
        <v>2600</v>
      </c>
      <c r="AC146" s="16" t="n">
        <v>7.5</v>
      </c>
      <c r="AD146" s="16" t="inlineStr">
        <is>
          <t>N2,O1,O2,O5,C1,C3,C3</t>
        </is>
      </c>
      <c r="AE146" s="16" t="inlineStr">
        <is>
          <t>eps_hrvg</t>
        </is>
      </c>
    </row>
    <row r="147">
      <c r="A147" s="16" t="inlineStr">
        <is>
          <t>KF-M02-N1-0103</t>
        </is>
      </c>
      <c r="B147" s="16" t="inlineStr">
        <is>
          <t>2.1</t>
        </is>
      </c>
      <c r="C147" s="16" t="inlineStr">
        <is>
          <t>2.1</t>
        </is>
      </c>
      <c r="D147" s="16" t="inlineStr">
        <is>
          <t>una variable a la vez</t>
        </is>
      </c>
      <c r="E147" s="16" t="inlineStr">
        <is>
          <t>KF-M02-N1</t>
        </is>
      </c>
      <c r="F147" s="16" t="inlineStr">
        <is>
          <t>KF-M02-N1</t>
        </is>
      </c>
      <c r="G147" s="16" t="inlineStr">
        <is>
          <t>B02</t>
        </is>
      </c>
      <c r="H147" s="16" t="inlineStr">
        <is>
          <t>biseccion</t>
        </is>
      </c>
      <c r="I147" s="16" t="inlineStr">
        <is>
          <t>N2</t>
        </is>
      </c>
      <c r="J147" s="16" t="inlineStr">
        <is>
          <t>NO_CONVERGIO</t>
        </is>
      </c>
      <c r="K147" s="16" t="b">
        <v>0</v>
      </c>
      <c r="L147" s="16" t="b">
        <v>0</v>
      </c>
      <c r="M147" s="16" t="b">
        <v>1</v>
      </c>
      <c r="N147" s="16" t="b">
        <v>0</v>
      </c>
      <c r="O147" s="16" t="n">
        <v>623.15</v>
      </c>
      <c r="P147" s="16" t="n">
        <v>300.032917</v>
      </c>
      <c r="Q147" s="16" t="n">
        <v>5500</v>
      </c>
      <c r="R147" s="16" t="n">
        <v>400</v>
      </c>
      <c r="S147" s="16" t="n">
        <v>0.5</v>
      </c>
      <c r="T147" s="16" t="n">
        <v>0.85</v>
      </c>
      <c r="U147" s="16" t="n">
        <v>0.75</v>
      </c>
      <c r="V147" s="16" t="n">
        <v>0.85</v>
      </c>
      <c r="W147" s="16" t="n">
        <v>0.75</v>
      </c>
      <c r="X147" s="16" t="n">
        <v>0.8</v>
      </c>
      <c r="Y147" s="16" t="n"/>
      <c r="Z147" s="16" t="n">
        <v>24.14466043374449</v>
      </c>
      <c r="AA147" s="16" t="n">
        <v>452.3754498539532</v>
      </c>
      <c r="AB147" s="16" t="n">
        <v>5100</v>
      </c>
      <c r="AC147" s="16" t="n">
        <v>13.75</v>
      </c>
      <c r="AD147" s="16" t="inlineStr">
        <is>
          <t>N2,O1,O2,O5,C1,C3,C3</t>
        </is>
      </c>
      <c r="AE147" s="16" t="inlineStr">
        <is>
          <t>P_alta</t>
        </is>
      </c>
    </row>
    <row r="148">
      <c r="A148" s="16" t="inlineStr">
        <is>
          <t>KF-M02-N1-0104</t>
        </is>
      </c>
      <c r="B148" s="16" t="inlineStr">
        <is>
          <t>2.1</t>
        </is>
      </c>
      <c r="C148" s="16" t="inlineStr">
        <is>
          <t>2.1</t>
        </is>
      </c>
      <c r="D148" s="16" t="inlineStr">
        <is>
          <t>una variable a la vez</t>
        </is>
      </c>
      <c r="E148" s="16" t="inlineStr">
        <is>
          <t>KF-M02-N1</t>
        </is>
      </c>
      <c r="F148" s="16" t="inlineStr">
        <is>
          <t>KF-M02-N1</t>
        </is>
      </c>
      <c r="G148" s="16" t="inlineStr">
        <is>
          <t>B02</t>
        </is>
      </c>
      <c r="H148" s="16" t="inlineStr">
        <is>
          <t>biseccion</t>
        </is>
      </c>
      <c r="I148" s="16" t="inlineStr">
        <is>
          <t>N2</t>
        </is>
      </c>
      <c r="J148" s="16" t="inlineStr">
        <is>
          <t>NO_CONVERGIO</t>
        </is>
      </c>
      <c r="K148" s="16" t="b">
        <v>0</v>
      </c>
      <c r="L148" s="16" t="b">
        <v>0</v>
      </c>
      <c r="M148" s="16" t="b">
        <v>1</v>
      </c>
      <c r="N148" s="16" t="b">
        <v>0</v>
      </c>
      <c r="O148" s="16" t="n">
        <v>623.15</v>
      </c>
      <c r="P148" s="16" t="n">
        <v>300.032917</v>
      </c>
      <c r="Q148" s="16" t="n">
        <v>9500</v>
      </c>
      <c r="R148" s="16" t="n">
        <v>400</v>
      </c>
      <c r="S148" s="16" t="n">
        <v>0.5</v>
      </c>
      <c r="T148" s="16" t="n">
        <v>0.85</v>
      </c>
      <c r="U148" s="16" t="n">
        <v>0.75</v>
      </c>
      <c r="V148" s="16" t="n">
        <v>0.85</v>
      </c>
      <c r="W148" s="16" t="n">
        <v>0.75</v>
      </c>
      <c r="X148" s="16" t="n">
        <v>0.8</v>
      </c>
      <c r="Y148" s="16" t="n"/>
      <c r="Z148" s="16" t="n">
        <v>22.34847668000559</v>
      </c>
      <c r="AA148" s="16" t="n">
        <v>421.225818661101</v>
      </c>
      <c r="AB148" s="16" t="n">
        <v>9100</v>
      </c>
      <c r="AC148" s="16" t="n">
        <v>23.75</v>
      </c>
      <c r="AD148" s="16" t="inlineStr">
        <is>
          <t>N2,O1,O2,O5,C1,C3,C3</t>
        </is>
      </c>
      <c r="AE148" s="16" t="inlineStr">
        <is>
          <t>P_alta</t>
        </is>
      </c>
    </row>
    <row r="149">
      <c r="A149" s="16" t="inlineStr">
        <is>
          <t>KF-M02-N1-0105</t>
        </is>
      </c>
      <c r="B149" s="16" t="inlineStr">
        <is>
          <t>2.1</t>
        </is>
      </c>
      <c r="C149" s="16" t="inlineStr">
        <is>
          <t>2.1</t>
        </is>
      </c>
      <c r="D149" s="16" t="inlineStr">
        <is>
          <t>una variable a la vez</t>
        </is>
      </c>
      <c r="E149" s="16" t="inlineStr">
        <is>
          <t>KF-M02-N1</t>
        </is>
      </c>
      <c r="F149" s="16" t="inlineStr">
        <is>
          <t>KF-M02-N1</t>
        </is>
      </c>
      <c r="G149" s="16" t="inlineStr">
        <is>
          <t>B02</t>
        </is>
      </c>
      <c r="H149" s="16" t="inlineStr">
        <is>
          <t>biseccion</t>
        </is>
      </c>
      <c r="I149" s="16" t="inlineStr">
        <is>
          <t>NO_CONVERGIO</t>
        </is>
      </c>
      <c r="J149" s="16" t="inlineStr">
        <is>
          <t>NO_CONVERGIO</t>
        </is>
      </c>
      <c r="K149" s="16" t="b">
        <v>0</v>
      </c>
      <c r="L149" s="16" t="b">
        <v>0</v>
      </c>
      <c r="M149" s="16" t="b">
        <v>0</v>
      </c>
      <c r="N149" s="16" t="b">
        <v>0</v>
      </c>
      <c r="O149" s="16" t="n">
        <v>355.7305555555556</v>
      </c>
      <c r="P149" s="16" t="n">
        <v>300.032917</v>
      </c>
      <c r="Q149" s="16" t="n">
        <v>3000</v>
      </c>
      <c r="R149" s="16" t="n">
        <v>400</v>
      </c>
      <c r="S149" s="16" t="n">
        <v>0.5</v>
      </c>
      <c r="T149" s="16" t="n">
        <v>0.85</v>
      </c>
      <c r="U149" s="16" t="n">
        <v>0.75</v>
      </c>
      <c r="V149" s="16" t="n">
        <v>0.85</v>
      </c>
      <c r="W149" s="16" t="n">
        <v>0.75</v>
      </c>
      <c r="X149" s="16" t="n">
        <v>0.8</v>
      </c>
      <c r="Y149" s="16" t="n"/>
      <c r="Z149" s="16" t="n"/>
      <c r="AA149" s="16" t="n"/>
      <c r="AB149" s="16" t="n">
        <v>2600</v>
      </c>
      <c r="AC149" s="16" t="n">
        <v>7.5</v>
      </c>
      <c r="AD149" s="16" t="n"/>
      <c r="AE149" s="16" t="inlineStr">
        <is>
          <t>T_fuente</t>
        </is>
      </c>
    </row>
    <row r="150">
      <c r="A150" s="16" t="inlineStr">
        <is>
          <t>KF-M02-N1-0106</t>
        </is>
      </c>
      <c r="B150" s="16" t="inlineStr">
        <is>
          <t>2.1</t>
        </is>
      </c>
      <c r="C150" s="16" t="inlineStr">
        <is>
          <t>2.1</t>
        </is>
      </c>
      <c r="D150" s="16" t="inlineStr">
        <is>
          <t>una variable a la vez</t>
        </is>
      </c>
      <c r="E150" s="16" t="inlineStr">
        <is>
          <t>KF-M02-N1</t>
        </is>
      </c>
      <c r="F150" s="16" t="inlineStr">
        <is>
          <t>KF-M02-N1</t>
        </is>
      </c>
      <c r="G150" s="16" t="inlineStr">
        <is>
          <t>B02</t>
        </is>
      </c>
      <c r="H150" s="16" t="inlineStr">
        <is>
          <t>biseccion</t>
        </is>
      </c>
      <c r="I150" s="16" t="inlineStr">
        <is>
          <t>NO_CONVERGIO</t>
        </is>
      </c>
      <c r="J150" s="16" t="inlineStr">
        <is>
          <t>NO_CONVERGIO</t>
        </is>
      </c>
      <c r="K150" s="16" t="b">
        <v>0</v>
      </c>
      <c r="L150" s="16" t="b">
        <v>0</v>
      </c>
      <c r="M150" s="16" t="b">
        <v>0</v>
      </c>
      <c r="N150" s="16" t="b">
        <v>0</v>
      </c>
      <c r="O150" s="16" t="n">
        <v>363.5958333333333</v>
      </c>
      <c r="P150" s="16" t="n">
        <v>300.032917</v>
      </c>
      <c r="Q150" s="16" t="n">
        <v>3000</v>
      </c>
      <c r="R150" s="16" t="n">
        <v>400</v>
      </c>
      <c r="S150" s="16" t="n">
        <v>0.5</v>
      </c>
      <c r="T150" s="16" t="n">
        <v>0.85</v>
      </c>
      <c r="U150" s="16" t="n">
        <v>0.75</v>
      </c>
      <c r="V150" s="16" t="n">
        <v>0.85</v>
      </c>
      <c r="W150" s="16" t="n">
        <v>0.75</v>
      </c>
      <c r="X150" s="16" t="n">
        <v>0.8</v>
      </c>
      <c r="Y150" s="16" t="n"/>
      <c r="Z150" s="16" t="n"/>
      <c r="AA150" s="16" t="n"/>
      <c r="AB150" s="16" t="n">
        <v>2600</v>
      </c>
      <c r="AC150" s="16" t="n">
        <v>7.5</v>
      </c>
      <c r="AD150" s="16" t="n"/>
      <c r="AE150" s="16" t="inlineStr">
        <is>
          <t>T_fuente</t>
        </is>
      </c>
    </row>
    <row r="151">
      <c r="A151" s="16" t="inlineStr">
        <is>
          <t>KF-M02-N1-0107</t>
        </is>
      </c>
      <c r="B151" s="16" t="inlineStr">
        <is>
          <t>2.1</t>
        </is>
      </c>
      <c r="C151" s="16" t="inlineStr">
        <is>
          <t>2.1</t>
        </is>
      </c>
      <c r="D151" s="16" t="inlineStr">
        <is>
          <t>una variable a la vez</t>
        </is>
      </c>
      <c r="E151" s="16" t="inlineStr">
        <is>
          <t>KF-M02-N1</t>
        </is>
      </c>
      <c r="F151" s="16" t="inlineStr">
        <is>
          <t>KF-M02-N1</t>
        </is>
      </c>
      <c r="G151" s="16" t="inlineStr">
        <is>
          <t>B02</t>
        </is>
      </c>
      <c r="H151" s="16" t="inlineStr">
        <is>
          <t>biseccion</t>
        </is>
      </c>
      <c r="I151" s="16" t="inlineStr">
        <is>
          <t>NO_CONVERGIO</t>
        </is>
      </c>
      <c r="J151" s="16" t="inlineStr">
        <is>
          <t>NO_CONVERGIO</t>
        </is>
      </c>
      <c r="K151" s="16" t="b">
        <v>0</v>
      </c>
      <c r="L151" s="16" t="b">
        <v>0</v>
      </c>
      <c r="M151" s="16" t="b">
        <v>0</v>
      </c>
      <c r="N151" s="16" t="b">
        <v>0</v>
      </c>
      <c r="O151" s="16" t="n">
        <v>623.15</v>
      </c>
      <c r="P151" s="16" t="n">
        <v>300.032917</v>
      </c>
      <c r="Q151" s="16" t="n">
        <v>5250</v>
      </c>
      <c r="R151" s="16" t="n">
        <v>400</v>
      </c>
      <c r="S151" s="16" t="n">
        <v>0.5</v>
      </c>
      <c r="T151" s="16" t="n">
        <v>0.85</v>
      </c>
      <c r="U151" s="16" t="n">
        <v>0.75</v>
      </c>
      <c r="V151" s="16" t="n">
        <v>0.85</v>
      </c>
      <c r="W151" s="16" t="n">
        <v>0.75</v>
      </c>
      <c r="X151" s="16" t="n">
        <v>0.8</v>
      </c>
      <c r="Y151" s="16" t="n"/>
      <c r="Z151" s="16" t="n"/>
      <c r="AA151" s="16" t="n"/>
      <c r="AB151" s="16" t="n">
        <v>4850</v>
      </c>
      <c r="AC151" s="16" t="n">
        <v>13.125</v>
      </c>
      <c r="AD151" s="16" t="n"/>
      <c r="AE151" s="16" t="inlineStr">
        <is>
          <t>P_alta</t>
        </is>
      </c>
    </row>
    <row r="152">
      <c r="A152" s="16" t="inlineStr">
        <is>
          <t>KF-M02-N1-0108</t>
        </is>
      </c>
      <c r="B152" s="16" t="inlineStr">
        <is>
          <t>2.1</t>
        </is>
      </c>
      <c r="C152" s="16" t="inlineStr">
        <is>
          <t>2.1</t>
        </is>
      </c>
      <c r="D152" s="16" t="inlineStr">
        <is>
          <t>una variable a la vez</t>
        </is>
      </c>
      <c r="E152" s="16" t="inlineStr">
        <is>
          <t>KF-M02-N1</t>
        </is>
      </c>
      <c r="F152" s="16" t="inlineStr">
        <is>
          <t>KF-M02-N1</t>
        </is>
      </c>
      <c r="G152" s="16" t="inlineStr">
        <is>
          <t>B02</t>
        </is>
      </c>
      <c r="H152" s="16" t="inlineStr">
        <is>
          <t>biseccion</t>
        </is>
      </c>
      <c r="I152" s="16" t="inlineStr">
        <is>
          <t>N2</t>
        </is>
      </c>
      <c r="J152" s="16" t="inlineStr">
        <is>
          <t>NO_CONVERGIO</t>
        </is>
      </c>
      <c r="K152" s="16" t="b">
        <v>0</v>
      </c>
      <c r="L152" s="16" t="b">
        <v>0</v>
      </c>
      <c r="M152" s="16" t="b">
        <v>1</v>
      </c>
      <c r="N152" s="16" t="b">
        <v>0</v>
      </c>
      <c r="O152" s="16" t="n">
        <v>599.5541666666667</v>
      </c>
      <c r="P152" s="16" t="n">
        <v>300.032917</v>
      </c>
      <c r="Q152" s="16" t="n">
        <v>3000</v>
      </c>
      <c r="R152" s="16" t="n">
        <v>400</v>
      </c>
      <c r="S152" s="16" t="n">
        <v>0.5</v>
      </c>
      <c r="T152" s="16" t="n">
        <v>0.85</v>
      </c>
      <c r="U152" s="16" t="n">
        <v>0.75</v>
      </c>
      <c r="V152" s="16" t="n">
        <v>0.85</v>
      </c>
      <c r="W152" s="16" t="n">
        <v>0.75</v>
      </c>
      <c r="X152" s="16" t="n">
        <v>0.8</v>
      </c>
      <c r="Y152" s="16" t="n"/>
      <c r="Z152" s="16" t="n">
        <v>16.57083002923604</v>
      </c>
      <c r="AA152" s="16" t="n">
        <v>304.5503190089446</v>
      </c>
      <c r="AB152" s="16" t="n">
        <v>2600</v>
      </c>
      <c r="AC152" s="16" t="n">
        <v>7.5</v>
      </c>
      <c r="AD152" s="16" t="inlineStr">
        <is>
          <t>N2,O1,O2,O5,C1,C3,C3</t>
        </is>
      </c>
      <c r="AE152" s="16" t="inlineStr">
        <is>
          <t>T_fuente</t>
        </is>
      </c>
    </row>
    <row r="153">
      <c r="A153" s="16" t="inlineStr">
        <is>
          <t>KF-M02-N1-0109</t>
        </is>
      </c>
      <c r="B153" s="16" t="inlineStr">
        <is>
          <t>2.1</t>
        </is>
      </c>
      <c r="C153" s="16" t="inlineStr">
        <is>
          <t>2.1</t>
        </is>
      </c>
      <c r="D153" s="16" t="inlineStr">
        <is>
          <t>una variable a la vez</t>
        </is>
      </c>
      <c r="E153" s="16" t="inlineStr">
        <is>
          <t>KF-M02-N1</t>
        </is>
      </c>
      <c r="F153" s="16" t="inlineStr">
        <is>
          <t>KF-M02-N1</t>
        </is>
      </c>
      <c r="G153" s="16" t="inlineStr">
        <is>
          <t>B02</t>
        </is>
      </c>
      <c r="H153" s="16" t="inlineStr">
        <is>
          <t>biseccion</t>
        </is>
      </c>
      <c r="I153" s="16" t="inlineStr">
        <is>
          <t>N2</t>
        </is>
      </c>
      <c r="J153" s="16" t="inlineStr">
        <is>
          <t>NO_CONVERGIO</t>
        </is>
      </c>
      <c r="K153" s="16" t="b">
        <v>0</v>
      </c>
      <c r="L153" s="16" t="b">
        <v>0</v>
      </c>
      <c r="M153" s="16" t="b">
        <v>1</v>
      </c>
      <c r="N153" s="16" t="b">
        <v>0</v>
      </c>
      <c r="O153" s="16" t="n">
        <v>623.15</v>
      </c>
      <c r="P153" s="16" t="n">
        <v>300.032917</v>
      </c>
      <c r="Q153" s="16" t="n">
        <v>3000</v>
      </c>
      <c r="R153" s="16" t="n">
        <v>400</v>
      </c>
      <c r="S153" s="16" t="n">
        <v>0.5</v>
      </c>
      <c r="T153" s="16" t="n">
        <v>0.85</v>
      </c>
      <c r="U153" s="16" t="n">
        <v>0.75</v>
      </c>
      <c r="V153" s="16" t="n">
        <v>0.825</v>
      </c>
      <c r="W153" s="16" t="n">
        <v>0.75</v>
      </c>
      <c r="X153" s="16" t="n">
        <v>0.8</v>
      </c>
      <c r="Y153" s="16" t="n"/>
      <c r="Z153" s="16" t="n">
        <v>15.17983580619754</v>
      </c>
      <c r="AA153" s="16" t="n">
        <v>280.8344894749771</v>
      </c>
      <c r="AB153" s="16" t="n">
        <v>2600</v>
      </c>
      <c r="AC153" s="16" t="n">
        <v>7.5</v>
      </c>
      <c r="AD153" s="16" t="inlineStr">
        <is>
          <t>N2,O1,O2,O5,C1,C3,C3</t>
        </is>
      </c>
      <c r="AE153" s="16" t="inlineStr">
        <is>
          <t>eps_hrvg</t>
        </is>
      </c>
    </row>
    <row r="154">
      <c r="A154" s="16" t="inlineStr">
        <is>
          <t>KF-M02-N1-0110</t>
        </is>
      </c>
      <c r="B154" s="16" t="inlineStr">
        <is>
          <t>2.1</t>
        </is>
      </c>
      <c r="C154" s="16" t="inlineStr">
        <is>
          <t>2.1</t>
        </is>
      </c>
      <c r="D154" s="16" t="inlineStr">
        <is>
          <t>una variable a la vez</t>
        </is>
      </c>
      <c r="E154" s="16" t="inlineStr">
        <is>
          <t>KF-M02-N1</t>
        </is>
      </c>
      <c r="F154" s="16" t="inlineStr">
        <is>
          <t>KF-M02-N1</t>
        </is>
      </c>
      <c r="G154" s="16" t="inlineStr">
        <is>
          <t>B02</t>
        </is>
      </c>
      <c r="H154" s="16" t="inlineStr">
        <is>
          <t>biseccion</t>
        </is>
      </c>
      <c r="I154" s="16" t="inlineStr">
        <is>
          <t>NO_CONVERGIO</t>
        </is>
      </c>
      <c r="J154" s="16" t="inlineStr">
        <is>
          <t>NO_CONVERGIO</t>
        </is>
      </c>
      <c r="K154" s="16" t="b">
        <v>0</v>
      </c>
      <c r="L154" s="16" t="b">
        <v>0</v>
      </c>
      <c r="M154" s="16" t="b">
        <v>0</v>
      </c>
      <c r="N154" s="16" t="b">
        <v>0</v>
      </c>
      <c r="O154" s="16" t="n">
        <v>623.15</v>
      </c>
      <c r="P154" s="16" t="n">
        <v>300.032917</v>
      </c>
      <c r="Q154" s="16" t="n">
        <v>9750</v>
      </c>
      <c r="R154" s="16" t="n">
        <v>400</v>
      </c>
      <c r="S154" s="16" t="n">
        <v>0.5</v>
      </c>
      <c r="T154" s="16" t="n">
        <v>0.85</v>
      </c>
      <c r="U154" s="16" t="n">
        <v>0.75</v>
      </c>
      <c r="V154" s="16" t="n">
        <v>0.85</v>
      </c>
      <c r="W154" s="16" t="n">
        <v>0.75</v>
      </c>
      <c r="X154" s="16" t="n">
        <v>0.8</v>
      </c>
      <c r="Y154" s="16" t="n"/>
      <c r="Z154" s="16" t="n"/>
      <c r="AA154" s="16" t="n"/>
      <c r="AB154" s="16" t="n">
        <v>9350</v>
      </c>
      <c r="AC154" s="16" t="n">
        <v>24.375</v>
      </c>
      <c r="AD154" s="16" t="n"/>
      <c r="AE154" s="16" t="inlineStr">
        <is>
          <t>P_alta</t>
        </is>
      </c>
    </row>
    <row r="155">
      <c r="A155" s="16" t="inlineStr">
        <is>
          <t>KF-M02-N1-0111</t>
        </is>
      </c>
      <c r="B155" s="16" t="inlineStr">
        <is>
          <t>2.1</t>
        </is>
      </c>
      <c r="C155" s="16" t="inlineStr">
        <is>
          <t>2.1</t>
        </is>
      </c>
      <c r="D155" s="16" t="inlineStr">
        <is>
          <t>una variable a la vez</t>
        </is>
      </c>
      <c r="E155" s="16" t="inlineStr">
        <is>
          <t>KF-M02-N1</t>
        </is>
      </c>
      <c r="F155" s="16" t="inlineStr">
        <is>
          <t>KF-M02-N1</t>
        </is>
      </c>
      <c r="G155" s="16" t="inlineStr">
        <is>
          <t>B02</t>
        </is>
      </c>
      <c r="H155" s="16" t="inlineStr">
        <is>
          <t>biseccion</t>
        </is>
      </c>
      <c r="I155" s="16" t="inlineStr">
        <is>
          <t>N2</t>
        </is>
      </c>
      <c r="J155" s="16" t="inlineStr">
        <is>
          <t>NO_CONVERGIO</t>
        </is>
      </c>
      <c r="K155" s="16" t="b">
        <v>0</v>
      </c>
      <c r="L155" s="16" t="b">
        <v>0</v>
      </c>
      <c r="M155" s="16" t="b">
        <v>1</v>
      </c>
      <c r="N155" s="16" t="b">
        <v>0</v>
      </c>
      <c r="O155" s="16" t="n">
        <v>623.15</v>
      </c>
      <c r="P155" s="16" t="n">
        <v>300.032917</v>
      </c>
      <c r="Q155" s="16" t="n">
        <v>3000</v>
      </c>
      <c r="R155" s="16" t="n">
        <v>400</v>
      </c>
      <c r="S155" s="16" t="n">
        <v>0.3166666666666666</v>
      </c>
      <c r="T155" s="16" t="n">
        <v>0.85</v>
      </c>
      <c r="U155" s="16" t="n">
        <v>0.75</v>
      </c>
      <c r="V155" s="16" t="n">
        <v>0.85</v>
      </c>
      <c r="W155" s="16" t="n">
        <v>0.75</v>
      </c>
      <c r="X155" s="16" t="n">
        <v>0.8</v>
      </c>
      <c r="Y155" s="16" t="n"/>
      <c r="Z155" s="16" t="n">
        <v>15.34757480272775</v>
      </c>
      <c r="AA155" s="16" t="n">
        <v>312.2328656863279</v>
      </c>
      <c r="AB155" s="16" t="n">
        <v>2600</v>
      </c>
      <c r="AC155" s="16" t="n">
        <v>7.5</v>
      </c>
      <c r="AD155" s="16" t="inlineStr">
        <is>
          <t>N2,O1,O2,O5,C1,C3,C3</t>
        </is>
      </c>
      <c r="AE155" s="16" t="inlineStr">
        <is>
          <t>x_b</t>
        </is>
      </c>
    </row>
    <row r="156">
      <c r="A156" s="16" t="inlineStr">
        <is>
          <t>KF-M02-N1-0112</t>
        </is>
      </c>
      <c r="B156" s="16" t="inlineStr">
        <is>
          <t>2.1</t>
        </is>
      </c>
      <c r="C156" s="16" t="inlineStr">
        <is>
          <t>2.1</t>
        </is>
      </c>
      <c r="D156" s="16" t="inlineStr">
        <is>
          <t>una variable a la vez</t>
        </is>
      </c>
      <c r="E156" s="16" t="inlineStr">
        <is>
          <t>KF-M02-N1</t>
        </is>
      </c>
      <c r="F156" s="16" t="inlineStr">
        <is>
          <t>KF-M02-N1</t>
        </is>
      </c>
      <c r="G156" s="16" t="inlineStr">
        <is>
          <t>B02</t>
        </is>
      </c>
      <c r="H156" s="16" t="inlineStr">
        <is>
          <t>biseccion</t>
        </is>
      </c>
      <c r="I156" s="16" t="inlineStr">
        <is>
          <t>NO_CONVERGIO</t>
        </is>
      </c>
      <c r="J156" s="16" t="inlineStr">
        <is>
          <t>NO_CONVERGIO</t>
        </is>
      </c>
      <c r="K156" s="16" t="b">
        <v>0</v>
      </c>
      <c r="L156" s="16" t="b">
        <v>0</v>
      </c>
      <c r="M156" s="16" t="b">
        <v>0</v>
      </c>
      <c r="N156" s="16" t="b">
        <v>0</v>
      </c>
      <c r="O156" s="16" t="n">
        <v>603.4868055555555</v>
      </c>
      <c r="P156" s="16" t="n">
        <v>300.032917</v>
      </c>
      <c r="Q156" s="16" t="n">
        <v>3000</v>
      </c>
      <c r="R156" s="16" t="n">
        <v>400</v>
      </c>
      <c r="S156" s="16" t="n">
        <v>0.5</v>
      </c>
      <c r="T156" s="16" t="n">
        <v>0.85</v>
      </c>
      <c r="U156" s="16" t="n">
        <v>0.75</v>
      </c>
      <c r="V156" s="16" t="n">
        <v>0.85</v>
      </c>
      <c r="W156" s="16" t="n">
        <v>0.75</v>
      </c>
      <c r="X156" s="16" t="n">
        <v>0.8</v>
      </c>
      <c r="Y156" s="16" t="n"/>
      <c r="Z156" s="16" t="n"/>
      <c r="AA156" s="16" t="n"/>
      <c r="AB156" s="16" t="n">
        <v>2600</v>
      </c>
      <c r="AC156" s="16" t="n">
        <v>7.5</v>
      </c>
      <c r="AD156" s="16" t="n"/>
      <c r="AE156" s="16" t="inlineStr">
        <is>
          <t>T_fuente</t>
        </is>
      </c>
    </row>
    <row r="157">
      <c r="A157" s="16" t="inlineStr">
        <is>
          <t>KF-M02-N1-0113</t>
        </is>
      </c>
      <c r="B157" s="16" t="inlineStr">
        <is>
          <t>2.1</t>
        </is>
      </c>
      <c r="C157" s="16" t="inlineStr">
        <is>
          <t>2.1</t>
        </is>
      </c>
      <c r="D157" s="16" t="inlineStr">
        <is>
          <t>una variable a la vez</t>
        </is>
      </c>
      <c r="E157" s="16" t="inlineStr">
        <is>
          <t>KF-M02-N1</t>
        </is>
      </c>
      <c r="F157" s="16" t="inlineStr">
        <is>
          <t>KF-M02-N1</t>
        </is>
      </c>
      <c r="G157" s="16" t="inlineStr">
        <is>
          <t>B02</t>
        </is>
      </c>
      <c r="H157" s="16" t="inlineStr">
        <is>
          <t>biseccion</t>
        </is>
      </c>
      <c r="I157" s="16" t="inlineStr">
        <is>
          <t>NO_CONVERGIO</t>
        </is>
      </c>
      <c r="J157" s="16" t="inlineStr">
        <is>
          <t>NO_CONVERGIO</t>
        </is>
      </c>
      <c r="K157" s="16" t="b">
        <v>0</v>
      </c>
      <c r="L157" s="16" t="b">
        <v>0</v>
      </c>
      <c r="M157" s="16" t="b">
        <v>0</v>
      </c>
      <c r="N157" s="16" t="b">
        <v>0</v>
      </c>
      <c r="O157" s="16" t="n">
        <v>623.15</v>
      </c>
      <c r="P157" s="16" t="n">
        <v>300.032917</v>
      </c>
      <c r="Q157" s="16" t="n">
        <v>3000</v>
      </c>
      <c r="R157" s="16" t="n">
        <v>400</v>
      </c>
      <c r="S157" s="16" t="n">
        <v>0.325</v>
      </c>
      <c r="T157" s="16" t="n">
        <v>0.85</v>
      </c>
      <c r="U157" s="16" t="n">
        <v>0.75</v>
      </c>
      <c r="V157" s="16" t="n">
        <v>0.85</v>
      </c>
      <c r="W157" s="16" t="n">
        <v>0.75</v>
      </c>
      <c r="X157" s="16" t="n">
        <v>0.8</v>
      </c>
      <c r="Y157" s="16" t="n"/>
      <c r="Z157" s="16" t="n"/>
      <c r="AA157" s="16" t="n"/>
      <c r="AB157" s="16" t="n">
        <v>2600</v>
      </c>
      <c r="AC157" s="16" t="n">
        <v>7.5</v>
      </c>
      <c r="AD157" s="16" t="n"/>
      <c r="AE157" s="16" t="inlineStr">
        <is>
          <t>x_b</t>
        </is>
      </c>
    </row>
    <row r="158">
      <c r="A158" s="16" t="inlineStr">
        <is>
          <t>KF-M02-N1-0114</t>
        </is>
      </c>
      <c r="B158" s="16" t="inlineStr">
        <is>
          <t>2.1</t>
        </is>
      </c>
      <c r="C158" s="16" t="inlineStr">
        <is>
          <t>2.1</t>
        </is>
      </c>
      <c r="D158" s="16" t="inlineStr">
        <is>
          <t>una variable a la vez</t>
        </is>
      </c>
      <c r="E158" s="16" t="inlineStr">
        <is>
          <t>KF-M02-N1</t>
        </is>
      </c>
      <c r="F158" s="16" t="inlineStr">
        <is>
          <t>KF-M02-N1</t>
        </is>
      </c>
      <c r="G158" s="16" t="inlineStr">
        <is>
          <t>B02</t>
        </is>
      </c>
      <c r="H158" s="16" t="inlineStr">
        <is>
          <t>biseccion</t>
        </is>
      </c>
      <c r="I158" s="16" t="inlineStr">
        <is>
          <t>NO_CONVERGIO</t>
        </is>
      </c>
      <c r="J158" s="16" t="inlineStr">
        <is>
          <t>NO_CONVERGIO</t>
        </is>
      </c>
      <c r="K158" s="16" t="b">
        <v>0</v>
      </c>
      <c r="L158" s="16" t="b">
        <v>0</v>
      </c>
      <c r="M158" s="16" t="b">
        <v>0</v>
      </c>
      <c r="N158" s="16" t="b">
        <v>0</v>
      </c>
      <c r="O158" s="16" t="n">
        <v>367.5284722222222</v>
      </c>
      <c r="P158" s="16" t="n">
        <v>300.032917</v>
      </c>
      <c r="Q158" s="16" t="n">
        <v>3000</v>
      </c>
      <c r="R158" s="16" t="n">
        <v>400</v>
      </c>
      <c r="S158" s="16" t="n">
        <v>0.5</v>
      </c>
      <c r="T158" s="16" t="n">
        <v>0.85</v>
      </c>
      <c r="U158" s="16" t="n">
        <v>0.75</v>
      </c>
      <c r="V158" s="16" t="n">
        <v>0.85</v>
      </c>
      <c r="W158" s="16" t="n">
        <v>0.75</v>
      </c>
      <c r="X158" s="16" t="n">
        <v>0.8</v>
      </c>
      <c r="Y158" s="16" t="n"/>
      <c r="Z158" s="16" t="n"/>
      <c r="AA158" s="16" t="n"/>
      <c r="AB158" s="16" t="n">
        <v>2600</v>
      </c>
      <c r="AC158" s="16" t="n">
        <v>7.5</v>
      </c>
      <c r="AD158" s="16" t="n"/>
      <c r="AE158" s="16" t="inlineStr">
        <is>
          <t>T_fuente</t>
        </is>
      </c>
    </row>
    <row r="159">
      <c r="A159" s="16" t="inlineStr">
        <is>
          <t>KF-M02-N1-0115</t>
        </is>
      </c>
      <c r="B159" s="16" t="inlineStr">
        <is>
          <t>2.1</t>
        </is>
      </c>
      <c r="C159" s="16" t="inlineStr">
        <is>
          <t>2.1</t>
        </is>
      </c>
      <c r="D159" s="16" t="inlineStr">
        <is>
          <t>una variable a la vez</t>
        </is>
      </c>
      <c r="E159" s="16" t="inlineStr">
        <is>
          <t>KF-M02-N1</t>
        </is>
      </c>
      <c r="F159" s="16" t="inlineStr">
        <is>
          <t>KF-M02-N1</t>
        </is>
      </c>
      <c r="G159" s="16" t="inlineStr">
        <is>
          <t>B02</t>
        </is>
      </c>
      <c r="H159" s="16" t="inlineStr">
        <is>
          <t>biseccion</t>
        </is>
      </c>
      <c r="I159" s="16" t="inlineStr">
        <is>
          <t>NO_CONVERGIO</t>
        </is>
      </c>
      <c r="J159" s="16" t="inlineStr">
        <is>
          <t>NO_CONVERGIO</t>
        </is>
      </c>
      <c r="K159" s="16" t="b">
        <v>0</v>
      </c>
      <c r="L159" s="16" t="b">
        <v>0</v>
      </c>
      <c r="M159" s="16" t="b">
        <v>0</v>
      </c>
      <c r="N159" s="16" t="b">
        <v>0</v>
      </c>
      <c r="O159" s="16" t="n">
        <v>623.15</v>
      </c>
      <c r="P159" s="16" t="n">
        <v>300.032917</v>
      </c>
      <c r="Q159" s="16" t="n">
        <v>5375</v>
      </c>
      <c r="R159" s="16" t="n">
        <v>400</v>
      </c>
      <c r="S159" s="16" t="n">
        <v>0.5</v>
      </c>
      <c r="T159" s="16" t="n">
        <v>0.85</v>
      </c>
      <c r="U159" s="16" t="n">
        <v>0.75</v>
      </c>
      <c r="V159" s="16" t="n">
        <v>0.85</v>
      </c>
      <c r="W159" s="16" t="n">
        <v>0.75</v>
      </c>
      <c r="X159" s="16" t="n">
        <v>0.8</v>
      </c>
      <c r="Y159" s="16" t="n"/>
      <c r="Z159" s="16" t="n"/>
      <c r="AA159" s="16" t="n"/>
      <c r="AB159" s="16" t="n">
        <v>4975</v>
      </c>
      <c r="AC159" s="16" t="n">
        <v>13.4375</v>
      </c>
      <c r="AD159" s="16" t="n"/>
      <c r="AE159" s="16" t="inlineStr">
        <is>
          <t>P_alta</t>
        </is>
      </c>
    </row>
    <row r="160">
      <c r="A160" s="16" t="inlineStr">
        <is>
          <t>KF-M02-N1-0116</t>
        </is>
      </c>
      <c r="B160" s="16" t="inlineStr">
        <is>
          <t>2.1</t>
        </is>
      </c>
      <c r="C160" s="16" t="inlineStr">
        <is>
          <t>2.1</t>
        </is>
      </c>
      <c r="D160" s="16" t="inlineStr">
        <is>
          <t>una variable a la vez</t>
        </is>
      </c>
      <c r="E160" s="16" t="inlineStr">
        <is>
          <t>KF-M02-N1</t>
        </is>
      </c>
      <c r="F160" s="16" t="inlineStr">
        <is>
          <t>KF-M02-N1</t>
        </is>
      </c>
      <c r="G160" s="16" t="inlineStr">
        <is>
          <t>B02</t>
        </is>
      </c>
      <c r="H160" s="16" t="inlineStr">
        <is>
          <t>biseccion</t>
        </is>
      </c>
      <c r="I160" s="16" t="inlineStr">
        <is>
          <t>NO_CONVERGIO</t>
        </is>
      </c>
      <c r="J160" s="16" t="inlineStr">
        <is>
          <t>NO_CONVERGIO</t>
        </is>
      </c>
      <c r="K160" s="16" t="b">
        <v>0</v>
      </c>
      <c r="L160" s="16" t="b">
        <v>0</v>
      </c>
      <c r="M160" s="16" t="b">
        <v>0</v>
      </c>
      <c r="N160" s="16" t="b">
        <v>0</v>
      </c>
      <c r="O160" s="16" t="n">
        <v>623.15</v>
      </c>
      <c r="P160" s="16" t="n">
        <v>300.032917</v>
      </c>
      <c r="Q160" s="16" t="n">
        <v>9625</v>
      </c>
      <c r="R160" s="16" t="n">
        <v>400</v>
      </c>
      <c r="S160" s="16" t="n">
        <v>0.5</v>
      </c>
      <c r="T160" s="16" t="n">
        <v>0.85</v>
      </c>
      <c r="U160" s="16" t="n">
        <v>0.75</v>
      </c>
      <c r="V160" s="16" t="n">
        <v>0.85</v>
      </c>
      <c r="W160" s="16" t="n">
        <v>0.75</v>
      </c>
      <c r="X160" s="16" t="n">
        <v>0.8</v>
      </c>
      <c r="Y160" s="16" t="n"/>
      <c r="Z160" s="16" t="n"/>
      <c r="AA160" s="16" t="n"/>
      <c r="AB160" s="16" t="n">
        <v>9225</v>
      </c>
      <c r="AC160" s="16" t="n">
        <v>24.0625</v>
      </c>
      <c r="AD160" s="16" t="n"/>
      <c r="AE160" s="16" t="inlineStr">
        <is>
          <t>P_alta</t>
        </is>
      </c>
    </row>
    <row r="161">
      <c r="A161" s="16" t="inlineStr">
        <is>
          <t>KF-M02-N1-0117</t>
        </is>
      </c>
      <c r="B161" s="16" t="inlineStr">
        <is>
          <t>2.1</t>
        </is>
      </c>
      <c r="C161" s="16" t="inlineStr">
        <is>
          <t>2.1</t>
        </is>
      </c>
      <c r="D161" s="16" t="inlineStr">
        <is>
          <t>una variable a la vez</t>
        </is>
      </c>
      <c r="E161" s="16" t="inlineStr">
        <is>
          <t>KF-M02-N1</t>
        </is>
      </c>
      <c r="F161" s="16" t="inlineStr">
        <is>
          <t>KF-M02-N1</t>
        </is>
      </c>
      <c r="G161" s="16" t="inlineStr">
        <is>
          <t>B02</t>
        </is>
      </c>
      <c r="H161" s="16" t="inlineStr">
        <is>
          <t>biseccion</t>
        </is>
      </c>
      <c r="I161" s="16" t="inlineStr">
        <is>
          <t>NO_CONVERGIO</t>
        </is>
      </c>
      <c r="J161" s="16" t="inlineStr">
        <is>
          <t>NO_CONVERGIO</t>
        </is>
      </c>
      <c r="K161" s="16" t="b">
        <v>0</v>
      </c>
      <c r="L161" s="16" t="b">
        <v>0</v>
      </c>
      <c r="M161" s="16" t="b">
        <v>0</v>
      </c>
      <c r="N161" s="16" t="b">
        <v>0</v>
      </c>
      <c r="O161" s="16" t="n">
        <v>601.520486111111</v>
      </c>
      <c r="P161" s="16" t="n">
        <v>300.032917</v>
      </c>
      <c r="Q161" s="16" t="n">
        <v>3000</v>
      </c>
      <c r="R161" s="16" t="n">
        <v>400</v>
      </c>
      <c r="S161" s="16" t="n">
        <v>0.5</v>
      </c>
      <c r="T161" s="16" t="n">
        <v>0.85</v>
      </c>
      <c r="U161" s="16" t="n">
        <v>0.75</v>
      </c>
      <c r="V161" s="16" t="n">
        <v>0.85</v>
      </c>
      <c r="W161" s="16" t="n">
        <v>0.75</v>
      </c>
      <c r="X161" s="16" t="n">
        <v>0.8</v>
      </c>
      <c r="Y161" s="16" t="n"/>
      <c r="Z161" s="16" t="n"/>
      <c r="AA161" s="16" t="n"/>
      <c r="AB161" s="16" t="n">
        <v>2600</v>
      </c>
      <c r="AC161" s="16" t="n">
        <v>7.5</v>
      </c>
      <c r="AD161" s="16" t="n"/>
      <c r="AE161" s="16" t="inlineStr">
        <is>
          <t>T_fuente</t>
        </is>
      </c>
    </row>
    <row r="162">
      <c r="A162" s="16" t="inlineStr">
        <is>
          <t>KF-M02-N1-0118</t>
        </is>
      </c>
      <c r="B162" s="16" t="inlineStr">
        <is>
          <t>2.1</t>
        </is>
      </c>
      <c r="C162" s="16" t="inlineStr">
        <is>
          <t>2.1</t>
        </is>
      </c>
      <c r="D162" s="16" t="inlineStr">
        <is>
          <t>una variable a la vez</t>
        </is>
      </c>
      <c r="E162" s="16" t="inlineStr">
        <is>
          <t>KF-M02-N1</t>
        </is>
      </c>
      <c r="F162" s="16" t="inlineStr">
        <is>
          <t>KF-M02-N1</t>
        </is>
      </c>
      <c r="G162" s="16" t="inlineStr">
        <is>
          <t>B02</t>
        </is>
      </c>
      <c r="H162" s="16" t="inlineStr">
        <is>
          <t>biseccion</t>
        </is>
      </c>
      <c r="I162" s="16" t="inlineStr">
        <is>
          <t>N2</t>
        </is>
      </c>
      <c r="J162" s="16" t="inlineStr">
        <is>
          <t>NO_CONVERGIO</t>
        </is>
      </c>
      <c r="K162" s="16" t="b">
        <v>0</v>
      </c>
      <c r="L162" s="16" t="b">
        <v>0</v>
      </c>
      <c r="M162" s="16" t="b">
        <v>1</v>
      </c>
      <c r="N162" s="16" t="b">
        <v>0</v>
      </c>
      <c r="O162" s="16" t="n">
        <v>623.15</v>
      </c>
      <c r="P162" s="16" t="n">
        <v>300.032917</v>
      </c>
      <c r="Q162" s="16" t="n">
        <v>5437.5</v>
      </c>
      <c r="R162" s="16" t="n">
        <v>400</v>
      </c>
      <c r="S162" s="16" t="n">
        <v>0.5</v>
      </c>
      <c r="T162" s="16" t="n">
        <v>0.85</v>
      </c>
      <c r="U162" s="16" t="n">
        <v>0.75</v>
      </c>
      <c r="V162" s="16" t="n">
        <v>0.85</v>
      </c>
      <c r="W162" s="16" t="n">
        <v>0.75</v>
      </c>
      <c r="X162" s="16" t="n">
        <v>0.8</v>
      </c>
      <c r="Y162" s="16" t="n"/>
      <c r="Z162" s="16" t="n">
        <v>24.33386057099016</v>
      </c>
      <c r="AA162" s="16" t="n">
        <v>455.3789087357532</v>
      </c>
      <c r="AB162" s="16" t="n">
        <v>5037.5</v>
      </c>
      <c r="AC162" s="16" t="n">
        <v>13.59375</v>
      </c>
      <c r="AD162" s="16" t="inlineStr">
        <is>
          <t>N2,O1,O2,O5,C1,C3,C3</t>
        </is>
      </c>
      <c r="AE162" s="16" t="inlineStr">
        <is>
          <t>P_alta</t>
        </is>
      </c>
    </row>
    <row r="163">
      <c r="A163" s="16" t="inlineStr">
        <is>
          <t>KF-M02-N1-0119</t>
        </is>
      </c>
      <c r="B163" s="16" t="inlineStr">
        <is>
          <t>2.1</t>
        </is>
      </c>
      <c r="C163" s="16" t="inlineStr">
        <is>
          <t>2.1</t>
        </is>
      </c>
      <c r="D163" s="16" t="inlineStr">
        <is>
          <t>una variable a la vez</t>
        </is>
      </c>
      <c r="E163" s="16" t="inlineStr">
        <is>
          <t>KF-M02-N1</t>
        </is>
      </c>
      <c r="F163" s="16" t="inlineStr">
        <is>
          <t>KF-M02-N1</t>
        </is>
      </c>
      <c r="G163" s="16" t="inlineStr">
        <is>
          <t>B02</t>
        </is>
      </c>
      <c r="H163" s="16" t="inlineStr">
        <is>
          <t>biseccion</t>
        </is>
      </c>
      <c r="I163" s="16" t="inlineStr">
        <is>
          <t>N2</t>
        </is>
      </c>
      <c r="J163" s="16" t="inlineStr">
        <is>
          <t>NO_CONVERGIO</t>
        </is>
      </c>
      <c r="K163" s="16" t="b">
        <v>0</v>
      </c>
      <c r="L163" s="16" t="b">
        <v>0</v>
      </c>
      <c r="M163" s="16" t="b">
        <v>0</v>
      </c>
      <c r="N163" s="16" t="b">
        <v>0</v>
      </c>
      <c r="O163" s="16" t="n">
        <v>369.4947916666666</v>
      </c>
      <c r="P163" s="16" t="n">
        <v>300.032917</v>
      </c>
      <c r="Q163" s="16" t="n">
        <v>3000</v>
      </c>
      <c r="R163" s="16" t="n">
        <v>400</v>
      </c>
      <c r="S163" s="16" t="n">
        <v>0.5</v>
      </c>
      <c r="T163" s="16" t="n">
        <v>0.85</v>
      </c>
      <c r="U163" s="16" t="n">
        <v>0.75</v>
      </c>
      <c r="V163" s="16" t="n">
        <v>0.85</v>
      </c>
      <c r="W163" s="16" t="n">
        <v>0.75</v>
      </c>
      <c r="X163" s="16" t="n">
        <v>0.8</v>
      </c>
      <c r="Y163" s="16" t="n"/>
      <c r="Z163" s="16" t="n">
        <v>-610.7473895600255</v>
      </c>
      <c r="AA163" s="16" t="n">
        <v>-64.63895522206977</v>
      </c>
      <c r="AB163" s="16" t="n">
        <v>2600</v>
      </c>
      <c r="AC163" s="16" t="n">
        <v>7.5</v>
      </c>
      <c r="AD163" s="16" t="inlineStr">
        <is>
          <t>N2,S6,O3,O5,C1,C3,C3</t>
        </is>
      </c>
      <c r="AE163" s="16" t="inlineStr">
        <is>
          <t>T_fuente</t>
        </is>
      </c>
    </row>
    <row r="164">
      <c r="A164" s="16" t="inlineStr">
        <is>
          <t>KF-M02-N1-0120</t>
        </is>
      </c>
      <c r="B164" s="16" t="inlineStr">
        <is>
          <t>2.1</t>
        </is>
      </c>
      <c r="C164" s="16" t="inlineStr">
        <is>
          <t>2.1</t>
        </is>
      </c>
      <c r="D164" s="16" t="inlineStr">
        <is>
          <t>una variable a la vez</t>
        </is>
      </c>
      <c r="E164" s="16" t="inlineStr">
        <is>
          <t>KF-M02-N1</t>
        </is>
      </c>
      <c r="F164" s="16" t="inlineStr">
        <is>
          <t>KF-M02-N1</t>
        </is>
      </c>
      <c r="G164" s="16" t="inlineStr">
        <is>
          <t>B02</t>
        </is>
      </c>
      <c r="H164" s="16" t="inlineStr">
        <is>
          <t>biseccion</t>
        </is>
      </c>
      <c r="I164" s="16" t="inlineStr">
        <is>
          <t>N2</t>
        </is>
      </c>
      <c r="J164" s="16" t="inlineStr">
        <is>
          <t>NO_CONVERGIO</t>
        </is>
      </c>
      <c r="K164" s="16" t="b">
        <v>0</v>
      </c>
      <c r="L164" s="16" t="b">
        <v>0</v>
      </c>
      <c r="M164" s="16" t="b">
        <v>1</v>
      </c>
      <c r="N164" s="16" t="b">
        <v>0</v>
      </c>
      <c r="O164" s="16" t="n">
        <v>623.15</v>
      </c>
      <c r="P164" s="16" t="n">
        <v>300.032917</v>
      </c>
      <c r="Q164" s="16" t="n">
        <v>9562.5</v>
      </c>
      <c r="R164" s="16" t="n">
        <v>400</v>
      </c>
      <c r="S164" s="16" t="n">
        <v>0.5</v>
      </c>
      <c r="T164" s="16" t="n">
        <v>0.85</v>
      </c>
      <c r="U164" s="16" t="n">
        <v>0.75</v>
      </c>
      <c r="V164" s="16" t="n">
        <v>0.85</v>
      </c>
      <c r="W164" s="16" t="n">
        <v>0.75</v>
      </c>
      <c r="X164" s="16" t="n">
        <v>0.8</v>
      </c>
      <c r="Y164" s="16" t="n"/>
      <c r="Z164" s="16" t="n">
        <v>22.37107174547163</v>
      </c>
      <c r="AA164" s="16" t="n">
        <v>421.5398504494122</v>
      </c>
      <c r="AB164" s="16" t="n">
        <v>9162.5</v>
      </c>
      <c r="AC164" s="16" t="n">
        <v>23.90625</v>
      </c>
      <c r="AD164" s="16" t="inlineStr">
        <is>
          <t>N2,O1,O2,O5,C1,C3,C3</t>
        </is>
      </c>
      <c r="AE164" s="16" t="inlineStr">
        <is>
          <t>P_alta</t>
        </is>
      </c>
    </row>
    <row r="165">
      <c r="A165" s="16" t="inlineStr">
        <is>
          <t>KF-M02-N1-0121</t>
        </is>
      </c>
      <c r="B165" s="16" t="inlineStr">
        <is>
          <t>2.1</t>
        </is>
      </c>
      <c r="C165" s="16" t="inlineStr">
        <is>
          <t>2.1</t>
        </is>
      </c>
      <c r="D165" s="16" t="inlineStr">
        <is>
          <t>una variable a la vez</t>
        </is>
      </c>
      <c r="E165" s="16" t="inlineStr">
        <is>
          <t>KF-M02-N1</t>
        </is>
      </c>
      <c r="F165" s="16" t="inlineStr">
        <is>
          <t>KF-M02-N1</t>
        </is>
      </c>
      <c r="G165" s="16" t="inlineStr">
        <is>
          <t>B02</t>
        </is>
      </c>
      <c r="H165" s="16" t="inlineStr">
        <is>
          <t>biseccion</t>
        </is>
      </c>
      <c r="I165" s="16" t="inlineStr">
        <is>
          <t>NO_CONVERGIO</t>
        </is>
      </c>
      <c r="J165" s="16" t="inlineStr">
        <is>
          <t>NO_CONVERGIO</t>
        </is>
      </c>
      <c r="K165" s="16" t="b">
        <v>0</v>
      </c>
      <c r="L165" s="16" t="b">
        <v>0</v>
      </c>
      <c r="M165" s="16" t="b">
        <v>0</v>
      </c>
      <c r="N165" s="16" t="b">
        <v>0</v>
      </c>
      <c r="O165" s="16" t="n">
        <v>623.15</v>
      </c>
      <c r="P165" s="16" t="n">
        <v>300.032917</v>
      </c>
      <c r="Q165" s="16" t="n">
        <v>3000</v>
      </c>
      <c r="R165" s="16" t="n">
        <v>400</v>
      </c>
      <c r="S165" s="16" t="n">
        <v>0.3208333333333333</v>
      </c>
      <c r="T165" s="16" t="n">
        <v>0.85</v>
      </c>
      <c r="U165" s="16" t="n">
        <v>0.75</v>
      </c>
      <c r="V165" s="16" t="n">
        <v>0.85</v>
      </c>
      <c r="W165" s="16" t="n">
        <v>0.75</v>
      </c>
      <c r="X165" s="16" t="n">
        <v>0.8</v>
      </c>
      <c r="Y165" s="16" t="n"/>
      <c r="Z165" s="16" t="n"/>
      <c r="AA165" s="16" t="n"/>
      <c r="AB165" s="16" t="n">
        <v>2600</v>
      </c>
      <c r="AC165" s="16" t="n">
        <v>7.5</v>
      </c>
      <c r="AD165" s="16" t="n"/>
      <c r="AE165" s="16" t="inlineStr">
        <is>
          <t>x_b</t>
        </is>
      </c>
    </row>
    <row r="166">
      <c r="A166" s="16" t="inlineStr">
        <is>
          <t>KF-M02-N1-0122</t>
        </is>
      </c>
      <c r="B166" s="16" t="inlineStr">
        <is>
          <t>2.1</t>
        </is>
      </c>
      <c r="C166" s="16" t="inlineStr">
        <is>
          <t>2.1</t>
        </is>
      </c>
      <c r="D166" s="16" t="inlineStr">
        <is>
          <t>una variable a la vez</t>
        </is>
      </c>
      <c r="E166" s="16" t="inlineStr">
        <is>
          <t>KF-M02-N1</t>
        </is>
      </c>
      <c r="F166" s="16" t="inlineStr">
        <is>
          <t>KF-M02-N1</t>
        </is>
      </c>
      <c r="G166" s="16" t="inlineStr">
        <is>
          <t>B02</t>
        </is>
      </c>
      <c r="H166" s="16" t="inlineStr">
        <is>
          <t>biseccion</t>
        </is>
      </c>
      <c r="I166" s="16" t="inlineStr">
        <is>
          <t>NO_CONVERGIO</t>
        </is>
      </c>
      <c r="J166" s="16" t="inlineStr">
        <is>
          <t>NO_CONVERGIO</t>
        </is>
      </c>
      <c r="K166" s="16" t="b">
        <v>0</v>
      </c>
      <c r="L166" s="16" t="b">
        <v>0</v>
      </c>
      <c r="M166" s="16" t="b">
        <v>0</v>
      </c>
      <c r="N166" s="16" t="b">
        <v>0</v>
      </c>
      <c r="O166" s="16" t="n">
        <v>623.15</v>
      </c>
      <c r="P166" s="16" t="n">
        <v>300.032917</v>
      </c>
      <c r="Q166" s="16" t="n">
        <v>5406.25</v>
      </c>
      <c r="R166" s="16" t="n">
        <v>400</v>
      </c>
      <c r="S166" s="16" t="n">
        <v>0.5</v>
      </c>
      <c r="T166" s="16" t="n">
        <v>0.85</v>
      </c>
      <c r="U166" s="16" t="n">
        <v>0.75</v>
      </c>
      <c r="V166" s="16" t="n">
        <v>0.85</v>
      </c>
      <c r="W166" s="16" t="n">
        <v>0.75</v>
      </c>
      <c r="X166" s="16" t="n">
        <v>0.8</v>
      </c>
      <c r="Y166" s="16" t="n"/>
      <c r="Z166" s="16" t="n"/>
      <c r="AA166" s="16" t="n"/>
      <c r="AB166" s="16" t="n">
        <v>5006.25</v>
      </c>
      <c r="AC166" s="16" t="n">
        <v>13.515625</v>
      </c>
      <c r="AD166" s="16" t="n"/>
      <c r="AE166" s="16" t="inlineStr">
        <is>
          <t>P_alta</t>
        </is>
      </c>
    </row>
    <row r="167">
      <c r="A167" s="16" t="inlineStr">
        <is>
          <t>KF-M02-N1-0123</t>
        </is>
      </c>
      <c r="B167" s="16" t="inlineStr">
        <is>
          <t>2.1</t>
        </is>
      </c>
      <c r="C167" s="16" t="inlineStr">
        <is>
          <t>2.1</t>
        </is>
      </c>
      <c r="D167" s="16" t="inlineStr">
        <is>
          <t>una variable a la vez</t>
        </is>
      </c>
      <c r="E167" s="16" t="inlineStr">
        <is>
          <t>KF-M02-N1</t>
        </is>
      </c>
      <c r="F167" s="16" t="inlineStr">
        <is>
          <t>KF-M02-N1</t>
        </is>
      </c>
      <c r="G167" s="16" t="inlineStr">
        <is>
          <t>B02</t>
        </is>
      </c>
      <c r="H167" s="16" t="inlineStr">
        <is>
          <t>biseccion</t>
        </is>
      </c>
      <c r="I167" s="16" t="inlineStr">
        <is>
          <t>NO_CONVERGIO</t>
        </is>
      </c>
      <c r="J167" s="16" t="inlineStr">
        <is>
          <t>NO_CONVERGIO</t>
        </is>
      </c>
      <c r="K167" s="16" t="b">
        <v>0</v>
      </c>
      <c r="L167" s="16" t="b">
        <v>0</v>
      </c>
      <c r="M167" s="16" t="b">
        <v>0</v>
      </c>
      <c r="N167" s="16" t="b">
        <v>0</v>
      </c>
      <c r="O167" s="16" t="n">
        <v>600.5373263888889</v>
      </c>
      <c r="P167" s="16" t="n">
        <v>300.032917</v>
      </c>
      <c r="Q167" s="16" t="n">
        <v>3000</v>
      </c>
      <c r="R167" s="16" t="n">
        <v>400</v>
      </c>
      <c r="S167" s="16" t="n">
        <v>0.5</v>
      </c>
      <c r="T167" s="16" t="n">
        <v>0.85</v>
      </c>
      <c r="U167" s="16" t="n">
        <v>0.75</v>
      </c>
      <c r="V167" s="16" t="n">
        <v>0.85</v>
      </c>
      <c r="W167" s="16" t="n">
        <v>0.75</v>
      </c>
      <c r="X167" s="16" t="n">
        <v>0.8</v>
      </c>
      <c r="Y167" s="16" t="n"/>
      <c r="Z167" s="16" t="n"/>
      <c r="AA167" s="16" t="n"/>
      <c r="AB167" s="16" t="n">
        <v>2600</v>
      </c>
      <c r="AC167" s="16" t="n">
        <v>7.5</v>
      </c>
      <c r="AD167" s="16" t="n"/>
      <c r="AE167" s="16" t="inlineStr">
        <is>
          <t>T_fuente</t>
        </is>
      </c>
    </row>
    <row r="168">
      <c r="A168" s="16" t="inlineStr">
        <is>
          <t>KF-M02-N1-0124</t>
        </is>
      </c>
      <c r="B168" s="16" t="inlineStr">
        <is>
          <t>2.1</t>
        </is>
      </c>
      <c r="C168" s="16" t="inlineStr">
        <is>
          <t>2.1</t>
        </is>
      </c>
      <c r="D168" s="16" t="inlineStr">
        <is>
          <t>una variable a la vez</t>
        </is>
      </c>
      <c r="E168" s="16" t="inlineStr">
        <is>
          <t>KF-M02-N1</t>
        </is>
      </c>
      <c r="F168" s="16" t="inlineStr">
        <is>
          <t>KF-M02-N1</t>
        </is>
      </c>
      <c r="G168" s="16" t="inlineStr">
        <is>
          <t>B02</t>
        </is>
      </c>
      <c r="H168" s="16" t="inlineStr">
        <is>
          <t>biseccion</t>
        </is>
      </c>
      <c r="I168" s="16" t="inlineStr">
        <is>
          <t>N2</t>
        </is>
      </c>
      <c r="J168" s="16" t="inlineStr">
        <is>
          <t>NO_CONVERGIO</t>
        </is>
      </c>
      <c r="K168" s="16" t="b">
        <v>0</v>
      </c>
      <c r="L168" s="16" t="b">
        <v>0</v>
      </c>
      <c r="M168" s="16" t="b">
        <v>0</v>
      </c>
      <c r="N168" s="16" t="b">
        <v>0</v>
      </c>
      <c r="O168" s="16" t="n">
        <v>368.5116319444444</v>
      </c>
      <c r="P168" s="16" t="n">
        <v>300.032917</v>
      </c>
      <c r="Q168" s="16" t="n">
        <v>3000</v>
      </c>
      <c r="R168" s="16" t="n">
        <v>400</v>
      </c>
      <c r="S168" s="16" t="n">
        <v>0.5</v>
      </c>
      <c r="T168" s="16" t="n">
        <v>0.85</v>
      </c>
      <c r="U168" s="16" t="n">
        <v>0.75</v>
      </c>
      <c r="V168" s="16" t="n">
        <v>0.85</v>
      </c>
      <c r="W168" s="16" t="n">
        <v>0.75</v>
      </c>
      <c r="X168" s="16" t="n">
        <v>0.8</v>
      </c>
      <c r="Y168" s="16" t="n"/>
      <c r="Z168" s="16" t="n">
        <v>-1455.612993932698</v>
      </c>
      <c r="AA168" s="16" t="n">
        <v>-68.65167050943714</v>
      </c>
      <c r="AB168" s="16" t="n">
        <v>2600</v>
      </c>
      <c r="AC168" s="16" t="n">
        <v>7.5</v>
      </c>
      <c r="AD168" s="16" t="inlineStr">
        <is>
          <t>N2,S6,O3,O5,C1,C3,C3</t>
        </is>
      </c>
      <c r="AE168" s="16" t="inlineStr">
        <is>
          <t>T_fuente</t>
        </is>
      </c>
    </row>
    <row r="169">
      <c r="A169" s="16" t="inlineStr">
        <is>
          <t>KF-M02-N1-0125</t>
        </is>
      </c>
      <c r="B169" s="16" t="inlineStr">
        <is>
          <t>2.1</t>
        </is>
      </c>
      <c r="C169" s="16" t="inlineStr">
        <is>
          <t>2.1</t>
        </is>
      </c>
      <c r="D169" s="16" t="inlineStr">
        <is>
          <t>una variable a la vez</t>
        </is>
      </c>
      <c r="E169" s="16" t="inlineStr">
        <is>
          <t>KF-M02-N1</t>
        </is>
      </c>
      <c r="F169" s="16" t="inlineStr">
        <is>
          <t>KF-M02-N1</t>
        </is>
      </c>
      <c r="G169" s="16" t="inlineStr">
        <is>
          <t>B02</t>
        </is>
      </c>
      <c r="H169" s="16" t="inlineStr">
        <is>
          <t>biseccion</t>
        </is>
      </c>
      <c r="I169" s="16" t="inlineStr">
        <is>
          <t>N2</t>
        </is>
      </c>
      <c r="J169" s="16" t="inlineStr">
        <is>
          <t>NO_CONVERGIO</t>
        </is>
      </c>
      <c r="K169" s="16" t="b">
        <v>0</v>
      </c>
      <c r="L169" s="16" t="b">
        <v>0</v>
      </c>
      <c r="M169" s="16" t="b">
        <v>1</v>
      </c>
      <c r="N169" s="16" t="b">
        <v>0</v>
      </c>
      <c r="O169" s="16" t="n">
        <v>623.15</v>
      </c>
      <c r="P169" s="16" t="n">
        <v>300.032917</v>
      </c>
      <c r="Q169" s="16" t="n">
        <v>9593.75</v>
      </c>
      <c r="R169" s="16" t="n">
        <v>400</v>
      </c>
      <c r="S169" s="16" t="n">
        <v>0.5</v>
      </c>
      <c r="T169" s="16" t="n">
        <v>0.85</v>
      </c>
      <c r="U169" s="16" t="n">
        <v>0.75</v>
      </c>
      <c r="V169" s="16" t="n">
        <v>0.85</v>
      </c>
      <c r="W169" s="16" t="n">
        <v>0.75</v>
      </c>
      <c r="X169" s="16" t="n">
        <v>0.8</v>
      </c>
      <c r="Y169" s="16" t="n"/>
      <c r="Z169" s="16" t="n">
        <v>22.38250510573555</v>
      </c>
      <c r="AA169" s="16" t="n">
        <v>421.6993491880007</v>
      </c>
      <c r="AB169" s="16" t="n">
        <v>9193.75</v>
      </c>
      <c r="AC169" s="16" t="n">
        <v>23.984375</v>
      </c>
      <c r="AD169" s="16" t="inlineStr">
        <is>
          <t>N2,O1,O2,O5,C1,C3,C3</t>
        </is>
      </c>
      <c r="AE169" s="16" t="inlineStr">
        <is>
          <t>P_alta</t>
        </is>
      </c>
    </row>
    <row r="170">
      <c r="A170" s="16" t="inlineStr">
        <is>
          <t>KF-M02-N1-0126</t>
        </is>
      </c>
      <c r="B170" s="16" t="inlineStr">
        <is>
          <t>2.1</t>
        </is>
      </c>
      <c r="C170" s="16" t="inlineStr">
        <is>
          <t>2.1</t>
        </is>
      </c>
      <c r="D170" s="16" t="inlineStr">
        <is>
          <t>una variable a la vez</t>
        </is>
      </c>
      <c r="E170" s="16" t="inlineStr">
        <is>
          <t>KF-M02-N1</t>
        </is>
      </c>
      <c r="F170" s="16" t="inlineStr">
        <is>
          <t>KF-M02-N1</t>
        </is>
      </c>
      <c r="G170" s="16" t="inlineStr">
        <is>
          <t>B02</t>
        </is>
      </c>
      <c r="H170" s="16" t="inlineStr">
        <is>
          <t>biseccion</t>
        </is>
      </c>
      <c r="I170" s="16" t="inlineStr">
        <is>
          <t>NO_CONVERGIO</t>
        </is>
      </c>
      <c r="J170" s="16" t="inlineStr">
        <is>
          <t>NO_CONVERGIO</t>
        </is>
      </c>
      <c r="K170" s="16" t="b">
        <v>0</v>
      </c>
      <c r="L170" s="16" t="b">
        <v>0</v>
      </c>
      <c r="M170" s="16" t="b">
        <v>0</v>
      </c>
      <c r="N170" s="16" t="b">
        <v>0</v>
      </c>
      <c r="O170" s="16" t="n">
        <v>368.0200520833333</v>
      </c>
      <c r="P170" s="16" t="n">
        <v>300.032917</v>
      </c>
      <c r="Q170" s="16" t="n">
        <v>3000</v>
      </c>
      <c r="R170" s="16" t="n">
        <v>400</v>
      </c>
      <c r="S170" s="16" t="n">
        <v>0.5</v>
      </c>
      <c r="T170" s="16" t="n">
        <v>0.85</v>
      </c>
      <c r="U170" s="16" t="n">
        <v>0.75</v>
      </c>
      <c r="V170" s="16" t="n">
        <v>0.85</v>
      </c>
      <c r="W170" s="16" t="n">
        <v>0.75</v>
      </c>
      <c r="X170" s="16" t="n">
        <v>0.8</v>
      </c>
      <c r="Y170" s="16" t="n"/>
      <c r="Z170" s="16" t="n"/>
      <c r="AA170" s="16" t="n"/>
      <c r="AB170" s="16" t="n">
        <v>2600</v>
      </c>
      <c r="AC170" s="16" t="n">
        <v>7.5</v>
      </c>
      <c r="AD170" s="16" t="n"/>
      <c r="AE170" s="16" t="inlineStr">
        <is>
          <t>T_fuente</t>
        </is>
      </c>
    </row>
    <row r="171">
      <c r="A171" s="16" t="inlineStr">
        <is>
          <t>KF-M02-N1-0127</t>
        </is>
      </c>
      <c r="B171" s="16" t="inlineStr">
        <is>
          <t>2.1</t>
        </is>
      </c>
      <c r="C171" s="16" t="inlineStr">
        <is>
          <t>2.1</t>
        </is>
      </c>
      <c r="D171" s="16" t="inlineStr">
        <is>
          <t>una variable a la vez</t>
        </is>
      </c>
      <c r="E171" s="16" t="inlineStr">
        <is>
          <t>KF-M02-N1</t>
        </is>
      </c>
      <c r="F171" s="16" t="inlineStr">
        <is>
          <t>KF-M02-N1</t>
        </is>
      </c>
      <c r="G171" s="16" t="inlineStr">
        <is>
          <t>B02</t>
        </is>
      </c>
      <c r="H171" s="16" t="inlineStr">
        <is>
          <t>biseccion</t>
        </is>
      </c>
      <c r="I171" s="16" t="inlineStr">
        <is>
          <t>N2</t>
        </is>
      </c>
      <c r="J171" s="16" t="inlineStr">
        <is>
          <t>NO_CONVERGIO</t>
        </is>
      </c>
      <c r="K171" s="16" t="b">
        <v>0</v>
      </c>
      <c r="L171" s="16" t="b">
        <v>0</v>
      </c>
      <c r="M171" s="16" t="b">
        <v>1</v>
      </c>
      <c r="N171" s="16" t="b">
        <v>0</v>
      </c>
      <c r="O171" s="16" t="n">
        <v>600.0457465277777</v>
      </c>
      <c r="P171" s="16" t="n">
        <v>300.032917</v>
      </c>
      <c r="Q171" s="16" t="n">
        <v>3000</v>
      </c>
      <c r="R171" s="16" t="n">
        <v>400</v>
      </c>
      <c r="S171" s="16" t="n">
        <v>0.5</v>
      </c>
      <c r="T171" s="16" t="n">
        <v>0.85</v>
      </c>
      <c r="U171" s="16" t="n">
        <v>0.75</v>
      </c>
      <c r="V171" s="16" t="n">
        <v>0.85</v>
      </c>
      <c r="W171" s="16" t="n">
        <v>0.75</v>
      </c>
      <c r="X171" s="16" t="n">
        <v>0.8</v>
      </c>
      <c r="Y171" s="16" t="n"/>
      <c r="Z171" s="16" t="n">
        <v>16.96950658767214</v>
      </c>
      <c r="AA171" s="16" t="n">
        <v>311.2403178398149</v>
      </c>
      <c r="AB171" s="16" t="n">
        <v>2600</v>
      </c>
      <c r="AC171" s="16" t="n">
        <v>7.5</v>
      </c>
      <c r="AD171" s="16" t="inlineStr">
        <is>
          <t>N2,O1,O2,O5,C1,C3,C3</t>
        </is>
      </c>
      <c r="AE171" s="16" t="inlineStr">
        <is>
          <t>T_fuente</t>
        </is>
      </c>
    </row>
    <row r="172">
      <c r="A172" s="16" t="inlineStr">
        <is>
          <t>KF-M02-N1-0128</t>
        </is>
      </c>
      <c r="B172" s="16" t="inlineStr">
        <is>
          <t>2.1</t>
        </is>
      </c>
      <c r="C172" s="16" t="inlineStr">
        <is>
          <t>2.1</t>
        </is>
      </c>
      <c r="D172" s="16" t="inlineStr">
        <is>
          <t>una variable a la vez</t>
        </is>
      </c>
      <c r="E172" s="16" t="inlineStr">
        <is>
          <t>KF-M02-N1</t>
        </is>
      </c>
      <c r="F172" s="16" t="inlineStr">
        <is>
          <t>KF-M02-N1</t>
        </is>
      </c>
      <c r="G172" s="16" t="inlineStr">
        <is>
          <t>B02</t>
        </is>
      </c>
      <c r="H172" s="16" t="inlineStr">
        <is>
          <t>biseccion</t>
        </is>
      </c>
      <c r="I172" s="16" t="inlineStr">
        <is>
          <t>N2</t>
        </is>
      </c>
      <c r="J172" s="16" t="inlineStr">
        <is>
          <t>NO_CONVERGIO</t>
        </is>
      </c>
      <c r="K172" s="16" t="b">
        <v>0</v>
      </c>
      <c r="L172" s="16" t="b">
        <v>0</v>
      </c>
      <c r="M172" s="16" t="b">
        <v>1</v>
      </c>
      <c r="N172" s="16" t="b">
        <v>0</v>
      </c>
      <c r="O172" s="16" t="n">
        <v>623.15</v>
      </c>
      <c r="P172" s="16" t="n">
        <v>300.032917</v>
      </c>
      <c r="Q172" s="16" t="n">
        <v>5421.875</v>
      </c>
      <c r="R172" s="16" t="n">
        <v>400</v>
      </c>
      <c r="S172" s="16" t="n">
        <v>0.5</v>
      </c>
      <c r="T172" s="16" t="n">
        <v>0.85</v>
      </c>
      <c r="U172" s="16" t="n">
        <v>0.75</v>
      </c>
      <c r="V172" s="16" t="n">
        <v>0.85</v>
      </c>
      <c r="W172" s="16" t="n">
        <v>0.75</v>
      </c>
      <c r="X172" s="16" t="n">
        <v>0.8</v>
      </c>
      <c r="Y172" s="16" t="n"/>
      <c r="Z172" s="16" t="n">
        <v>24.38460478570637</v>
      </c>
      <c r="AA172" s="16" t="n">
        <v>456.1842791358735</v>
      </c>
      <c r="AB172" s="16" t="n">
        <v>5021.875</v>
      </c>
      <c r="AC172" s="16" t="n">
        <v>13.5546875</v>
      </c>
      <c r="AD172" s="16" t="inlineStr">
        <is>
          <t>N2,O1,O2,O5,C1,C3,C3</t>
        </is>
      </c>
      <c r="AE172" s="16" t="inlineStr">
        <is>
          <t>P_alta</t>
        </is>
      </c>
    </row>
    <row r="173">
      <c r="A173" s="16" t="inlineStr">
        <is>
          <t>KF-M02-N1-0129</t>
        </is>
      </c>
      <c r="B173" s="16" t="inlineStr">
        <is>
          <t>2.1</t>
        </is>
      </c>
      <c r="C173" s="16" t="inlineStr">
        <is>
          <t>2.1</t>
        </is>
      </c>
      <c r="D173" s="16" t="inlineStr">
        <is>
          <t>una variable a la vez</t>
        </is>
      </c>
      <c r="E173" s="16" t="inlineStr">
        <is>
          <t>KF-M02-N1</t>
        </is>
      </c>
      <c r="F173" s="16" t="inlineStr">
        <is>
          <t>KF-M02-N1</t>
        </is>
      </c>
      <c r="G173" s="16" t="inlineStr">
        <is>
          <t>B02</t>
        </is>
      </c>
      <c r="H173" s="16" t="inlineStr">
        <is>
          <t>biseccion</t>
        </is>
      </c>
      <c r="I173" s="16" t="inlineStr">
        <is>
          <t>N2</t>
        </is>
      </c>
      <c r="J173" s="16" t="inlineStr">
        <is>
          <t>NO_CONVERGIO</t>
        </is>
      </c>
      <c r="K173" s="16" t="b">
        <v>0</v>
      </c>
      <c r="L173" s="16" t="b">
        <v>0</v>
      </c>
      <c r="M173" s="16" t="b">
        <v>1</v>
      </c>
      <c r="N173" s="16" t="b">
        <v>0</v>
      </c>
      <c r="O173" s="16" t="n">
        <v>623.15</v>
      </c>
      <c r="P173" s="16" t="n">
        <v>300.032917</v>
      </c>
      <c r="Q173" s="16" t="n">
        <v>9609.375</v>
      </c>
      <c r="R173" s="16" t="n">
        <v>400</v>
      </c>
      <c r="S173" s="16" t="n">
        <v>0.5</v>
      </c>
      <c r="T173" s="16" t="n">
        <v>0.85</v>
      </c>
      <c r="U173" s="16" t="n">
        <v>0.75</v>
      </c>
      <c r="V173" s="16" t="n">
        <v>0.85</v>
      </c>
      <c r="W173" s="16" t="n">
        <v>0.75</v>
      </c>
      <c r="X173" s="16" t="n">
        <v>0.8</v>
      </c>
      <c r="Y173" s="16" t="n"/>
      <c r="Z173" s="16" t="n">
        <v>22.3882548554797</v>
      </c>
      <c r="AA173" s="16" t="n">
        <v>421.7797056208285</v>
      </c>
      <c r="AB173" s="16" t="n">
        <v>9209.375</v>
      </c>
      <c r="AC173" s="16" t="n">
        <v>24.0234375</v>
      </c>
      <c r="AD173" s="16" t="inlineStr">
        <is>
          <t>N2,O1,O2,O5,C1,C3,C3</t>
        </is>
      </c>
      <c r="AE173" s="16" t="inlineStr">
        <is>
          <t>P_alta</t>
        </is>
      </c>
    </row>
    <row r="174">
      <c r="A174" s="16" t="inlineStr">
        <is>
          <t>KF-M02-N1-0130</t>
        </is>
      </c>
      <c r="B174" s="16" t="inlineStr">
        <is>
          <t>2.1</t>
        </is>
      </c>
      <c r="C174" s="16" t="inlineStr">
        <is>
          <t>2.1</t>
        </is>
      </c>
      <c r="D174" s="16" t="inlineStr">
        <is>
          <t>una variable a la vez</t>
        </is>
      </c>
      <c r="E174" s="16" t="inlineStr">
        <is>
          <t>KF-M02-N1</t>
        </is>
      </c>
      <c r="F174" s="16" t="inlineStr">
        <is>
          <t>KF-M02-N1</t>
        </is>
      </c>
      <c r="G174" s="16" t="inlineStr">
        <is>
          <t>B02</t>
        </is>
      </c>
      <c r="H174" s="16" t="inlineStr">
        <is>
          <t>biseccion</t>
        </is>
      </c>
      <c r="I174" s="16" t="inlineStr">
        <is>
          <t>N2</t>
        </is>
      </c>
      <c r="J174" s="16" t="inlineStr">
        <is>
          <t>NO_CONVERGIO</t>
        </is>
      </c>
      <c r="K174" s="16" t="b">
        <v>0</v>
      </c>
      <c r="L174" s="16" t="b">
        <v>0</v>
      </c>
      <c r="M174" s="16" t="b">
        <v>1</v>
      </c>
      <c r="N174" s="16" t="b">
        <v>0</v>
      </c>
      <c r="O174" s="16" t="n">
        <v>623.15</v>
      </c>
      <c r="P174" s="16" t="n">
        <v>300.032917</v>
      </c>
      <c r="Q174" s="16" t="n">
        <v>5414.0625</v>
      </c>
      <c r="R174" s="16" t="n">
        <v>400</v>
      </c>
      <c r="S174" s="16" t="n">
        <v>0.5</v>
      </c>
      <c r="T174" s="16" t="n">
        <v>0.85</v>
      </c>
      <c r="U174" s="16" t="n">
        <v>0.75</v>
      </c>
      <c r="V174" s="16" t="n">
        <v>0.85</v>
      </c>
      <c r="W174" s="16" t="n">
        <v>0.75</v>
      </c>
      <c r="X174" s="16" t="n">
        <v>0.8</v>
      </c>
      <c r="Y174" s="16" t="n"/>
      <c r="Z174" s="16" t="n">
        <v>24.41055726093833</v>
      </c>
      <c r="AA174" s="16" t="n">
        <v>456.5960888405417</v>
      </c>
      <c r="AB174" s="16" t="n">
        <v>5014.0625</v>
      </c>
      <c r="AC174" s="16" t="n">
        <v>13.53515625</v>
      </c>
      <c r="AD174" s="16" t="inlineStr">
        <is>
          <t>N2,O1,O2,O5,C1,C3,C3</t>
        </is>
      </c>
      <c r="AE174" s="16" t="inlineStr">
        <is>
          <t>P_alta</t>
        </is>
      </c>
    </row>
    <row r="175">
      <c r="A175" s="16" t="inlineStr">
        <is>
          <t>KF-M02-N1-0131</t>
        </is>
      </c>
      <c r="B175" s="16" t="inlineStr">
        <is>
          <t>2.1</t>
        </is>
      </c>
      <c r="C175" s="16" t="inlineStr">
        <is>
          <t>2.1</t>
        </is>
      </c>
      <c r="D175" s="16" t="inlineStr">
        <is>
          <t>una variable a la vez</t>
        </is>
      </c>
      <c r="E175" s="16" t="inlineStr">
        <is>
          <t>KF-M02-N1</t>
        </is>
      </c>
      <c r="F175" s="16" t="inlineStr">
        <is>
          <t>KF-M02-N1</t>
        </is>
      </c>
      <c r="G175" s="16" t="inlineStr">
        <is>
          <t>B02</t>
        </is>
      </c>
      <c r="H175" s="16" t="inlineStr">
        <is>
          <t>biseccion</t>
        </is>
      </c>
      <c r="I175" s="16" t="inlineStr">
        <is>
          <t>N2</t>
        </is>
      </c>
      <c r="J175" s="16" t="inlineStr">
        <is>
          <t>NO_CONVERGIO</t>
        </is>
      </c>
      <c r="K175" s="16" t="b">
        <v>0</v>
      </c>
      <c r="L175" s="16" t="b">
        <v>0</v>
      </c>
      <c r="M175" s="16" t="b">
        <v>1</v>
      </c>
      <c r="N175" s="16" t="b">
        <v>0</v>
      </c>
      <c r="O175" s="16" t="n">
        <v>623.15</v>
      </c>
      <c r="P175" s="16" t="n">
        <v>300.032917</v>
      </c>
      <c r="Q175" s="16" t="n">
        <v>9617.1875</v>
      </c>
      <c r="R175" s="16" t="n">
        <v>400</v>
      </c>
      <c r="S175" s="16" t="n">
        <v>0.5</v>
      </c>
      <c r="T175" s="16" t="n">
        <v>0.85</v>
      </c>
      <c r="U175" s="16" t="n">
        <v>0.75</v>
      </c>
      <c r="V175" s="16" t="n">
        <v>0.85</v>
      </c>
      <c r="W175" s="16" t="n">
        <v>0.75</v>
      </c>
      <c r="X175" s="16" t="n">
        <v>0.8</v>
      </c>
      <c r="Y175" s="16" t="n"/>
      <c r="Z175" s="16" t="n">
        <v>22.39113791258745</v>
      </c>
      <c r="AA175" s="16" t="n">
        <v>421.8200343785597</v>
      </c>
      <c r="AB175" s="16" t="n">
        <v>9217.1875</v>
      </c>
      <c r="AC175" s="16" t="n">
        <v>24.04296875</v>
      </c>
      <c r="AD175" s="16" t="inlineStr">
        <is>
          <t>N2,O1,O2,O5,C1,C3,C3</t>
        </is>
      </c>
      <c r="AE175" s="16" t="inlineStr">
        <is>
          <t>P_alta</t>
        </is>
      </c>
    </row>
    <row r="176">
      <c r="A176" s="16" t="inlineStr">
        <is>
          <t>KF-M02-N2-A-0000</t>
        </is>
      </c>
      <c r="B176" s="16" t="inlineStr">
        <is>
          <t>2.2</t>
        </is>
      </c>
      <c r="C176" s="16" t="inlineStr">
        <is>
          <t>2.2a</t>
        </is>
      </c>
      <c r="D176" s="16" t="inlineStr">
        <is>
          <t>conservar la fuente (ε_HRVG × P_baja)</t>
        </is>
      </c>
      <c r="E176" s="16" t="inlineStr">
        <is>
          <t>KF-M02-N2</t>
        </is>
      </c>
      <c r="F176" s="16" t="inlineStr">
        <is>
          <t>KF-M02-N2-A</t>
        </is>
      </c>
      <c r="G176" s="16" t="inlineStr">
        <is>
          <t>B03-A</t>
        </is>
      </c>
      <c r="H176" s="16" t="inlineStr">
        <is>
          <t>malla</t>
        </is>
      </c>
      <c r="I176" s="16" t="inlineStr">
        <is>
          <t>CORREGIBLE</t>
        </is>
      </c>
      <c r="J176" s="16" t="inlineStr">
        <is>
          <t>CORREGIBLE</t>
        </is>
      </c>
      <c r="K176" s="16" t="b">
        <v>1</v>
      </c>
      <c r="L176" s="16" t="b">
        <v>0</v>
      </c>
      <c r="M176" s="16" t="b">
        <v>1</v>
      </c>
      <c r="N176" s="16" t="b">
        <v>0</v>
      </c>
      <c r="O176" s="16" t="n">
        <v>623.15</v>
      </c>
      <c r="P176" s="16" t="n">
        <v>300.032917</v>
      </c>
      <c r="Q176" s="16" t="n">
        <v>3000</v>
      </c>
      <c r="R176" s="16" t="n">
        <v>400</v>
      </c>
      <c r="S176" s="16" t="n">
        <v>0.5</v>
      </c>
      <c r="T176" s="16" t="n">
        <v>0.85</v>
      </c>
      <c r="U176" s="16" t="n">
        <v>0.75</v>
      </c>
      <c r="V176" s="16" t="n">
        <v>0.75</v>
      </c>
      <c r="W176" s="16" t="n">
        <v>0.75</v>
      </c>
      <c r="X176" s="16" t="n">
        <v>0.8</v>
      </c>
      <c r="Y176" s="16" t="n"/>
      <c r="Z176" s="16" t="n">
        <v>13.08893763816603</v>
      </c>
      <c r="AA176" s="16" t="n">
        <v>224.7695265667433</v>
      </c>
      <c r="AB176" s="16" t="n">
        <v>2600</v>
      </c>
      <c r="AC176" s="16" t="n">
        <v>7.5</v>
      </c>
      <c r="AD176" s="16" t="inlineStr">
        <is>
          <t>O1,O2</t>
        </is>
      </c>
      <c r="AE176" s="16" t="n"/>
    </row>
    <row r="177">
      <c r="A177" s="16" t="inlineStr">
        <is>
          <t>KF-M02-N2-A-0001</t>
        </is>
      </c>
      <c r="B177" s="16" t="inlineStr">
        <is>
          <t>2.2</t>
        </is>
      </c>
      <c r="C177" s="16" t="inlineStr">
        <is>
          <t>2.2a</t>
        </is>
      </c>
      <c r="D177" s="16" t="inlineStr">
        <is>
          <t>conservar la fuente (ε_HRVG × P_baja)</t>
        </is>
      </c>
      <c r="E177" s="16" t="inlineStr">
        <is>
          <t>KF-M02-N2</t>
        </is>
      </c>
      <c r="F177" s="16" t="inlineStr">
        <is>
          <t>KF-M02-N2-A</t>
        </is>
      </c>
      <c r="G177" s="16" t="inlineStr">
        <is>
          <t>B03-A</t>
        </is>
      </c>
      <c r="H177" s="16" t="inlineStr">
        <is>
          <t>malla</t>
        </is>
      </c>
      <c r="I177" s="16" t="inlineStr">
        <is>
          <t>CORREGIBLE</t>
        </is>
      </c>
      <c r="J177" s="16" t="inlineStr">
        <is>
          <t>CORREGIBLE</t>
        </is>
      </c>
      <c r="K177" s="16" t="b">
        <v>1</v>
      </c>
      <c r="L177" s="16" t="b">
        <v>0</v>
      </c>
      <c r="M177" s="16" t="b">
        <v>1</v>
      </c>
      <c r="N177" s="16" t="b">
        <v>0</v>
      </c>
      <c r="O177" s="16" t="n">
        <v>623.15</v>
      </c>
      <c r="P177" s="16" t="n">
        <v>300.032917</v>
      </c>
      <c r="Q177" s="16" t="n">
        <v>3000</v>
      </c>
      <c r="R177" s="16" t="n">
        <v>545.4545454545455</v>
      </c>
      <c r="S177" s="16" t="n">
        <v>0.5</v>
      </c>
      <c r="T177" s="16" t="n">
        <v>0.85</v>
      </c>
      <c r="U177" s="16" t="n">
        <v>0.75</v>
      </c>
      <c r="V177" s="16" t="n">
        <v>0.75</v>
      </c>
      <c r="W177" s="16" t="n">
        <v>0.75</v>
      </c>
      <c r="X177" s="16" t="n">
        <v>0.8</v>
      </c>
      <c r="Y177" s="16" t="n"/>
      <c r="Z177" s="16" t="n">
        <v>11.48659119248236</v>
      </c>
      <c r="AA177" s="16" t="n">
        <v>197.5749922455601</v>
      </c>
      <c r="AB177" s="16" t="n">
        <v>2454.545454545455</v>
      </c>
      <c r="AC177" s="16" t="n">
        <v>5.5</v>
      </c>
      <c r="AD177" s="16" t="inlineStr">
        <is>
          <t>O2</t>
        </is>
      </c>
      <c r="AE177" s="16" t="n"/>
    </row>
    <row r="178">
      <c r="A178" s="16" t="inlineStr">
        <is>
          <t>KF-M02-N2-A-0002</t>
        </is>
      </c>
      <c r="B178" s="16" t="inlineStr">
        <is>
          <t>2.2</t>
        </is>
      </c>
      <c r="C178" s="16" t="inlineStr">
        <is>
          <t>2.2a</t>
        </is>
      </c>
      <c r="D178" s="16" t="inlineStr">
        <is>
          <t>conservar la fuente (ε_HRVG × P_baja)</t>
        </is>
      </c>
      <c r="E178" s="16" t="inlineStr">
        <is>
          <t>KF-M02-N2</t>
        </is>
      </c>
      <c r="F178" s="16" t="inlineStr">
        <is>
          <t>KF-M02-N2-A</t>
        </is>
      </c>
      <c r="G178" s="16" t="inlineStr">
        <is>
          <t>B03-A</t>
        </is>
      </c>
      <c r="H178" s="16" t="inlineStr">
        <is>
          <t>malla</t>
        </is>
      </c>
      <c r="I178" s="16" t="inlineStr">
        <is>
          <t>CORREGIBLE</t>
        </is>
      </c>
      <c r="J178" s="16" t="inlineStr">
        <is>
          <t>CORREGIBLE</t>
        </is>
      </c>
      <c r="K178" s="16" t="b">
        <v>1</v>
      </c>
      <c r="L178" s="16" t="b">
        <v>0</v>
      </c>
      <c r="M178" s="16" t="b">
        <v>1</v>
      </c>
      <c r="N178" s="16" t="b">
        <v>0</v>
      </c>
      <c r="O178" s="16" t="n">
        <v>623.15</v>
      </c>
      <c r="P178" s="16" t="n">
        <v>300.032917</v>
      </c>
      <c r="Q178" s="16" t="n">
        <v>3000</v>
      </c>
      <c r="R178" s="16" t="n">
        <v>690.909090909091</v>
      </c>
      <c r="S178" s="16" t="n">
        <v>0.5</v>
      </c>
      <c r="T178" s="16" t="n">
        <v>0.85</v>
      </c>
      <c r="U178" s="16" t="n">
        <v>0.75</v>
      </c>
      <c r="V178" s="16" t="n">
        <v>0.75</v>
      </c>
      <c r="W178" s="16" t="n">
        <v>0.75</v>
      </c>
      <c r="X178" s="16" t="n">
        <v>0.8</v>
      </c>
      <c r="Y178" s="16" t="n"/>
      <c r="Z178" s="16" t="n">
        <v>10.18043212230912</v>
      </c>
      <c r="AA178" s="16" t="n">
        <v>175.2529216676665</v>
      </c>
      <c r="AB178" s="16" t="n">
        <v>2309.090909090909</v>
      </c>
      <c r="AC178" s="16" t="n">
        <v>4.342105263157894</v>
      </c>
      <c r="AD178" s="16" t="inlineStr">
        <is>
          <t>O2</t>
        </is>
      </c>
      <c r="AE178" s="16" t="n"/>
    </row>
    <row r="179">
      <c r="A179" s="16" t="inlineStr">
        <is>
          <t>KF-M02-N2-A-0003</t>
        </is>
      </c>
      <c r="B179" s="16" t="inlineStr">
        <is>
          <t>2.2</t>
        </is>
      </c>
      <c r="C179" s="16" t="inlineStr">
        <is>
          <t>2.2a</t>
        </is>
      </c>
      <c r="D179" s="16" t="inlineStr">
        <is>
          <t>conservar la fuente (ε_HRVG × P_baja)</t>
        </is>
      </c>
      <c r="E179" s="16" t="inlineStr">
        <is>
          <t>KF-M02-N2</t>
        </is>
      </c>
      <c r="F179" s="16" t="inlineStr">
        <is>
          <t>KF-M02-N2-A</t>
        </is>
      </c>
      <c r="G179" s="16" t="inlineStr">
        <is>
          <t>B03-A</t>
        </is>
      </c>
      <c r="H179" s="16" t="inlineStr">
        <is>
          <t>malla</t>
        </is>
      </c>
      <c r="I179" s="16" t="inlineStr">
        <is>
          <t>CORREGIBLE</t>
        </is>
      </c>
      <c r="J179" s="16" t="inlineStr">
        <is>
          <t>CORREGIBLE</t>
        </is>
      </c>
      <c r="K179" s="16" t="b">
        <v>1</v>
      </c>
      <c r="L179" s="16" t="b">
        <v>0</v>
      </c>
      <c r="M179" s="16" t="b">
        <v>1</v>
      </c>
      <c r="N179" s="16" t="b">
        <v>0</v>
      </c>
      <c r="O179" s="16" t="n">
        <v>623.15</v>
      </c>
      <c r="P179" s="16" t="n">
        <v>300.032917</v>
      </c>
      <c r="Q179" s="16" t="n">
        <v>3000</v>
      </c>
      <c r="R179" s="16" t="n">
        <v>981.818181818182</v>
      </c>
      <c r="S179" s="16" t="n">
        <v>0.5</v>
      </c>
      <c r="T179" s="16" t="n">
        <v>0.85</v>
      </c>
      <c r="U179" s="16" t="n">
        <v>0.75</v>
      </c>
      <c r="V179" s="16" t="n">
        <v>0.75</v>
      </c>
      <c r="W179" s="16" t="n">
        <v>0.75</v>
      </c>
      <c r="X179" s="16" t="n">
        <v>0.8</v>
      </c>
      <c r="Y179" s="16" t="n"/>
      <c r="Z179" s="16" t="n">
        <v>8.089395939172601</v>
      </c>
      <c r="AA179" s="16" t="n">
        <v>139.3249915257438</v>
      </c>
      <c r="AB179" s="16" t="n">
        <v>2018.181818181818</v>
      </c>
      <c r="AC179" s="16" t="n">
        <v>3.055555555555555</v>
      </c>
      <c r="AD179" s="16" t="inlineStr">
        <is>
          <t>O2</t>
        </is>
      </c>
      <c r="AE179" s="16" t="n"/>
    </row>
    <row r="180">
      <c r="A180" s="16" t="inlineStr">
        <is>
          <t>KF-M02-N2-A-0004</t>
        </is>
      </c>
      <c r="B180" s="16" t="inlineStr">
        <is>
          <t>2.2</t>
        </is>
      </c>
      <c r="C180" s="16" t="inlineStr">
        <is>
          <t>2.2a</t>
        </is>
      </c>
      <c r="D180" s="16" t="inlineStr">
        <is>
          <t>conservar la fuente (ε_HRVG × P_baja)</t>
        </is>
      </c>
      <c r="E180" s="16" t="inlineStr">
        <is>
          <t>KF-M02-N2</t>
        </is>
      </c>
      <c r="F180" s="16" t="inlineStr">
        <is>
          <t>KF-M02-N2-A</t>
        </is>
      </c>
      <c r="G180" s="16" t="inlineStr">
        <is>
          <t>B03-A</t>
        </is>
      </c>
      <c r="H180" s="16" t="inlineStr">
        <is>
          <t>malla</t>
        </is>
      </c>
      <c r="I180" s="16" t="inlineStr">
        <is>
          <t>CORREGIBLE</t>
        </is>
      </c>
      <c r="J180" s="16" t="inlineStr">
        <is>
          <t>CORREGIBLE</t>
        </is>
      </c>
      <c r="K180" s="16" t="b">
        <v>1</v>
      </c>
      <c r="L180" s="16" t="b">
        <v>0</v>
      </c>
      <c r="M180" s="16" t="b">
        <v>1</v>
      </c>
      <c r="N180" s="16" t="b">
        <v>0</v>
      </c>
      <c r="O180" s="16" t="n">
        <v>623.15</v>
      </c>
      <c r="P180" s="16" t="n">
        <v>300.032917</v>
      </c>
      <c r="Q180" s="16" t="n">
        <v>3000</v>
      </c>
      <c r="R180" s="16" t="n">
        <v>836.3636363636364</v>
      </c>
      <c r="S180" s="16" t="n">
        <v>0.5</v>
      </c>
      <c r="T180" s="16" t="n">
        <v>0.85</v>
      </c>
      <c r="U180" s="16" t="n">
        <v>0.75</v>
      </c>
      <c r="V180" s="16" t="n">
        <v>0.75</v>
      </c>
      <c r="W180" s="16" t="n">
        <v>0.75</v>
      </c>
      <c r="X180" s="16" t="n">
        <v>0.8</v>
      </c>
      <c r="Y180" s="16" t="n"/>
      <c r="Z180" s="16" t="n">
        <v>9.06673700163218</v>
      </c>
      <c r="AA180" s="16" t="n">
        <v>156.140615273159</v>
      </c>
      <c r="AB180" s="16" t="n">
        <v>2163.636363636364</v>
      </c>
      <c r="AC180" s="16" t="n">
        <v>3.58695652173913</v>
      </c>
      <c r="AD180" s="16" t="inlineStr">
        <is>
          <t>O2</t>
        </is>
      </c>
      <c r="AE180" s="16" t="n"/>
    </row>
    <row r="181">
      <c r="A181" s="16" t="inlineStr">
        <is>
          <t>KF-M02-N2-A-0005</t>
        </is>
      </c>
      <c r="B181" s="16" t="inlineStr">
        <is>
          <t>2.2</t>
        </is>
      </c>
      <c r="C181" s="16" t="inlineStr">
        <is>
          <t>2.2a</t>
        </is>
      </c>
      <c r="D181" s="16" t="inlineStr">
        <is>
          <t>conservar la fuente (ε_HRVG × P_baja)</t>
        </is>
      </c>
      <c r="E181" s="16" t="inlineStr">
        <is>
          <t>KF-M02-N2</t>
        </is>
      </c>
      <c r="F181" s="16" t="inlineStr">
        <is>
          <t>KF-M02-N2-A</t>
        </is>
      </c>
      <c r="G181" s="16" t="inlineStr">
        <is>
          <t>B03-A</t>
        </is>
      </c>
      <c r="H181" s="16" t="inlineStr">
        <is>
          <t>malla</t>
        </is>
      </c>
      <c r="I181" s="16" t="inlineStr">
        <is>
          <t>CORREGIBLE</t>
        </is>
      </c>
      <c r="J181" s="16" t="inlineStr">
        <is>
          <t>CORREGIBLE</t>
        </is>
      </c>
      <c r="K181" s="16" t="b">
        <v>1</v>
      </c>
      <c r="L181" s="16" t="b">
        <v>0</v>
      </c>
      <c r="M181" s="16" t="b">
        <v>1</v>
      </c>
      <c r="N181" s="16" t="b">
        <v>0</v>
      </c>
      <c r="O181" s="16" t="n">
        <v>623.15</v>
      </c>
      <c r="P181" s="16" t="n">
        <v>300.032917</v>
      </c>
      <c r="Q181" s="16" t="n">
        <v>3000</v>
      </c>
      <c r="R181" s="16" t="n">
        <v>1127.272727272728</v>
      </c>
      <c r="S181" s="16" t="n">
        <v>0.5</v>
      </c>
      <c r="T181" s="16" t="n">
        <v>0.85</v>
      </c>
      <c r="U181" s="16" t="n">
        <v>0.75</v>
      </c>
      <c r="V181" s="16" t="n">
        <v>0.75</v>
      </c>
      <c r="W181" s="16" t="n">
        <v>0.75</v>
      </c>
      <c r="X181" s="16" t="n">
        <v>0.8</v>
      </c>
      <c r="Y181" s="16" t="n"/>
      <c r="Z181" s="16" t="n">
        <v>7.2143424880452</v>
      </c>
      <c r="AA181" s="16" t="n">
        <v>124.2454692123675</v>
      </c>
      <c r="AB181" s="16" t="n">
        <v>1872.727272727272</v>
      </c>
      <c r="AC181" s="16" t="n">
        <v>2.661290322580644</v>
      </c>
      <c r="AD181" s="16" t="inlineStr">
        <is>
          <t>O2</t>
        </is>
      </c>
      <c r="AE181" s="16" t="n"/>
    </row>
    <row r="182">
      <c r="A182" s="16" t="inlineStr">
        <is>
          <t>KF-M02-N2-A-0006</t>
        </is>
      </c>
      <c r="B182" s="16" t="inlineStr">
        <is>
          <t>2.2</t>
        </is>
      </c>
      <c r="C182" s="16" t="inlineStr">
        <is>
          <t>2.2a</t>
        </is>
      </c>
      <c r="D182" s="16" t="inlineStr">
        <is>
          <t>conservar la fuente (ε_HRVG × P_baja)</t>
        </is>
      </c>
      <c r="E182" s="16" t="inlineStr">
        <is>
          <t>KF-M02-N2</t>
        </is>
      </c>
      <c r="F182" s="16" t="inlineStr">
        <is>
          <t>KF-M02-N2-A</t>
        </is>
      </c>
      <c r="G182" s="16" t="inlineStr">
        <is>
          <t>B03-A</t>
        </is>
      </c>
      <c r="H182" s="16" t="inlineStr">
        <is>
          <t>malla</t>
        </is>
      </c>
      <c r="I182" s="16" t="inlineStr">
        <is>
          <t>CORREGIBLE</t>
        </is>
      </c>
      <c r="J182" s="16" t="inlineStr">
        <is>
          <t>CORREGIBLE</t>
        </is>
      </c>
      <c r="K182" s="16" t="b">
        <v>1</v>
      </c>
      <c r="L182" s="16" t="b">
        <v>0</v>
      </c>
      <c r="M182" s="16" t="b">
        <v>1</v>
      </c>
      <c r="N182" s="16" t="b">
        <v>0</v>
      </c>
      <c r="O182" s="16" t="n">
        <v>623.15</v>
      </c>
      <c r="P182" s="16" t="n">
        <v>300.032917</v>
      </c>
      <c r="Q182" s="16" t="n">
        <v>3000</v>
      </c>
      <c r="R182" s="16" t="n">
        <v>1418.181818181818</v>
      </c>
      <c r="S182" s="16" t="n">
        <v>0.5</v>
      </c>
      <c r="T182" s="16" t="n">
        <v>0.85</v>
      </c>
      <c r="U182" s="16" t="n">
        <v>0.75</v>
      </c>
      <c r="V182" s="16" t="n">
        <v>0.75</v>
      </c>
      <c r="W182" s="16" t="n">
        <v>0.75</v>
      </c>
      <c r="X182" s="16" t="n">
        <v>0.8</v>
      </c>
      <c r="Y182" s="16" t="n"/>
      <c r="Z182" s="16" t="n">
        <v>5.688511281313851</v>
      </c>
      <c r="AA182" s="16" t="n">
        <v>97.92197710589777</v>
      </c>
      <c r="AB182" s="16" t="n">
        <v>1581.818181818182</v>
      </c>
      <c r="AC182" s="16" t="n">
        <v>2.115384615384615</v>
      </c>
      <c r="AD182" s="16" t="inlineStr">
        <is>
          <t>O2</t>
        </is>
      </c>
      <c r="AE182" s="16" t="n"/>
    </row>
    <row r="183">
      <c r="A183" s="16" t="inlineStr">
        <is>
          <t>KF-M02-N2-A-0007</t>
        </is>
      </c>
      <c r="B183" s="16" t="inlineStr">
        <is>
          <t>2.2</t>
        </is>
      </c>
      <c r="C183" s="16" t="inlineStr">
        <is>
          <t>2.2a</t>
        </is>
      </c>
      <c r="D183" s="16" t="inlineStr">
        <is>
          <t>conservar la fuente (ε_HRVG × P_baja)</t>
        </is>
      </c>
      <c r="E183" s="16" t="inlineStr">
        <is>
          <t>KF-M02-N2</t>
        </is>
      </c>
      <c r="F183" s="16" t="inlineStr">
        <is>
          <t>KF-M02-N2-A</t>
        </is>
      </c>
      <c r="G183" s="16" t="inlineStr">
        <is>
          <t>B03-A</t>
        </is>
      </c>
      <c r="H183" s="16" t="inlineStr">
        <is>
          <t>malla</t>
        </is>
      </c>
      <c r="I183" s="16" t="inlineStr">
        <is>
          <t>CORREGIBLE</t>
        </is>
      </c>
      <c r="J183" s="16" t="inlineStr">
        <is>
          <t>CORREGIBLE</t>
        </is>
      </c>
      <c r="K183" s="16" t="b">
        <v>1</v>
      </c>
      <c r="L183" s="16" t="b">
        <v>0</v>
      </c>
      <c r="M183" s="16" t="b">
        <v>1</v>
      </c>
      <c r="N183" s="16" t="b">
        <v>0</v>
      </c>
      <c r="O183" s="16" t="n">
        <v>623.15</v>
      </c>
      <c r="P183" s="16" t="n">
        <v>300.032917</v>
      </c>
      <c r="Q183" s="16" t="n">
        <v>3000</v>
      </c>
      <c r="R183" s="16" t="n">
        <v>1272.727272727273</v>
      </c>
      <c r="S183" s="16" t="n">
        <v>0.5</v>
      </c>
      <c r="T183" s="16" t="n">
        <v>0.85</v>
      </c>
      <c r="U183" s="16" t="n">
        <v>0.75</v>
      </c>
      <c r="V183" s="16" t="n">
        <v>0.75</v>
      </c>
      <c r="W183" s="16" t="n">
        <v>0.75</v>
      </c>
      <c r="X183" s="16" t="n">
        <v>0.8</v>
      </c>
      <c r="Y183" s="16" t="n"/>
      <c r="Z183" s="16" t="n">
        <v>6.41922080151294</v>
      </c>
      <c r="AA183" s="16" t="n">
        <v>110.53094695087</v>
      </c>
      <c r="AB183" s="16" t="n">
        <v>1727.272727272727</v>
      </c>
      <c r="AC183" s="16" t="n">
        <v>2.357142857142857</v>
      </c>
      <c r="AD183" s="16" t="inlineStr">
        <is>
          <t>O2</t>
        </is>
      </c>
      <c r="AE183" s="16" t="n"/>
    </row>
    <row r="184">
      <c r="A184" s="16" t="inlineStr">
        <is>
          <t>KF-M02-N2-A-0008</t>
        </is>
      </c>
      <c r="B184" s="16" t="inlineStr">
        <is>
          <t>2.2</t>
        </is>
      </c>
      <c r="C184" s="16" t="inlineStr">
        <is>
          <t>2.2a</t>
        </is>
      </c>
      <c r="D184" s="16" t="inlineStr">
        <is>
          <t>conservar la fuente (ε_HRVG × P_baja)</t>
        </is>
      </c>
      <c r="E184" s="16" t="inlineStr">
        <is>
          <t>KF-M02-N2</t>
        </is>
      </c>
      <c r="F184" s="16" t="inlineStr">
        <is>
          <t>KF-M02-N2-A</t>
        </is>
      </c>
      <c r="G184" s="16" t="inlineStr">
        <is>
          <t>B03-A</t>
        </is>
      </c>
      <c r="H184" s="16" t="inlineStr">
        <is>
          <t>malla</t>
        </is>
      </c>
      <c r="I184" s="16" t="inlineStr">
        <is>
          <t>CORREGIBLE</t>
        </is>
      </c>
      <c r="J184" s="16" t="inlineStr">
        <is>
          <t>CORREGIBLE</t>
        </is>
      </c>
      <c r="K184" s="16" t="b">
        <v>1</v>
      </c>
      <c r="L184" s="16" t="b">
        <v>0</v>
      </c>
      <c r="M184" s="16" t="b">
        <v>1</v>
      </c>
      <c r="N184" s="16" t="b">
        <v>0</v>
      </c>
      <c r="O184" s="16" t="n">
        <v>623.15</v>
      </c>
      <c r="P184" s="16" t="n">
        <v>300.032917</v>
      </c>
      <c r="Q184" s="16" t="n">
        <v>3000</v>
      </c>
      <c r="R184" s="16" t="n">
        <v>1709.090909090909</v>
      </c>
      <c r="S184" s="16" t="n">
        <v>0.5</v>
      </c>
      <c r="T184" s="16" t="n">
        <v>0.85</v>
      </c>
      <c r="U184" s="16" t="n">
        <v>0.75</v>
      </c>
      <c r="V184" s="16" t="n">
        <v>0.75</v>
      </c>
      <c r="W184" s="16" t="n">
        <v>0.75</v>
      </c>
      <c r="X184" s="16" t="n">
        <v>0.8</v>
      </c>
      <c r="Y184" s="16" t="n"/>
      <c r="Z184" s="16" t="n">
        <v>4.37821318799704</v>
      </c>
      <c r="AA184" s="16" t="n">
        <v>75.31177681168668</v>
      </c>
      <c r="AB184" s="16" t="n">
        <v>1290.909090909091</v>
      </c>
      <c r="AC184" s="16" t="n">
        <v>1.75531914893617</v>
      </c>
      <c r="AD184" s="16" t="inlineStr">
        <is>
          <t>O2</t>
        </is>
      </c>
      <c r="AE184" s="16" t="n"/>
    </row>
    <row r="185">
      <c r="A185" s="16" t="inlineStr">
        <is>
          <t>KF-M02-N2-A-0009</t>
        </is>
      </c>
      <c r="B185" s="16" t="inlineStr">
        <is>
          <t>2.2</t>
        </is>
      </c>
      <c r="C185" s="16" t="inlineStr">
        <is>
          <t>2.2a</t>
        </is>
      </c>
      <c r="D185" s="16" t="inlineStr">
        <is>
          <t>conservar la fuente (ε_HRVG × P_baja)</t>
        </is>
      </c>
      <c r="E185" s="16" t="inlineStr">
        <is>
          <t>KF-M02-N2</t>
        </is>
      </c>
      <c r="F185" s="16" t="inlineStr">
        <is>
          <t>KF-M02-N2-A</t>
        </is>
      </c>
      <c r="G185" s="16" t="inlineStr">
        <is>
          <t>B03-A</t>
        </is>
      </c>
      <c r="H185" s="16" t="inlineStr">
        <is>
          <t>malla</t>
        </is>
      </c>
      <c r="I185" s="16" t="inlineStr">
        <is>
          <t>CORREGIBLE</t>
        </is>
      </c>
      <c r="J185" s="16" t="inlineStr">
        <is>
          <t>CORREGIBLE</t>
        </is>
      </c>
      <c r="K185" s="16" t="b">
        <v>1</v>
      </c>
      <c r="L185" s="16" t="b">
        <v>0</v>
      </c>
      <c r="M185" s="16" t="b">
        <v>1</v>
      </c>
      <c r="N185" s="16" t="b">
        <v>0</v>
      </c>
      <c r="O185" s="16" t="n">
        <v>623.15</v>
      </c>
      <c r="P185" s="16" t="n">
        <v>300.032917</v>
      </c>
      <c r="Q185" s="16" t="n">
        <v>3000</v>
      </c>
      <c r="R185" s="16" t="n">
        <v>1563.636363636364</v>
      </c>
      <c r="S185" s="16" t="n">
        <v>0.5</v>
      </c>
      <c r="T185" s="16" t="n">
        <v>0.85</v>
      </c>
      <c r="U185" s="16" t="n">
        <v>0.75</v>
      </c>
      <c r="V185" s="16" t="n">
        <v>0.75</v>
      </c>
      <c r="W185" s="16" t="n">
        <v>0.75</v>
      </c>
      <c r="X185" s="16" t="n">
        <v>0.8</v>
      </c>
      <c r="Y185" s="16" t="n"/>
      <c r="Z185" s="16" t="n">
        <v>5.01098841644435</v>
      </c>
      <c r="AA185" s="16" t="n">
        <v>86.2298049178731</v>
      </c>
      <c r="AB185" s="16" t="n">
        <v>1436.363636363636</v>
      </c>
      <c r="AC185" s="16" t="n">
        <v>1.918604651162791</v>
      </c>
      <c r="AD185" s="16" t="inlineStr">
        <is>
          <t>O2</t>
        </is>
      </c>
      <c r="AE185" s="16" t="n"/>
    </row>
    <row r="186">
      <c r="A186" s="16" t="inlineStr">
        <is>
          <t>KF-M02-N2-A-0010</t>
        </is>
      </c>
      <c r="B186" s="16" t="inlineStr">
        <is>
          <t>2.2</t>
        </is>
      </c>
      <c r="C186" s="16" t="inlineStr">
        <is>
          <t>2.2a</t>
        </is>
      </c>
      <c r="D186" s="16" t="inlineStr">
        <is>
          <t>conservar la fuente (ε_HRVG × P_baja)</t>
        </is>
      </c>
      <c r="E186" s="16" t="inlineStr">
        <is>
          <t>KF-M02-N2</t>
        </is>
      </c>
      <c r="F186" s="16" t="inlineStr">
        <is>
          <t>KF-M02-N2-A</t>
        </is>
      </c>
      <c r="G186" s="16" t="inlineStr">
        <is>
          <t>B03-A</t>
        </is>
      </c>
      <c r="H186" s="16" t="inlineStr">
        <is>
          <t>malla</t>
        </is>
      </c>
      <c r="I186" s="16" t="inlineStr">
        <is>
          <t>CORREGIBLE</t>
        </is>
      </c>
      <c r="J186" s="16" t="inlineStr">
        <is>
          <t>CORREGIBLE</t>
        </is>
      </c>
      <c r="K186" s="16" t="b">
        <v>1</v>
      </c>
      <c r="L186" s="16" t="b">
        <v>0</v>
      </c>
      <c r="M186" s="16" t="b">
        <v>1</v>
      </c>
      <c r="N186" s="16" t="b">
        <v>0</v>
      </c>
      <c r="O186" s="16" t="n">
        <v>623.15</v>
      </c>
      <c r="P186" s="16" t="n">
        <v>300.032917</v>
      </c>
      <c r="Q186" s="16" t="n">
        <v>3000</v>
      </c>
      <c r="R186" s="16" t="n">
        <v>1854.545454545455</v>
      </c>
      <c r="S186" s="16" t="n">
        <v>0.5</v>
      </c>
      <c r="T186" s="16" t="n">
        <v>0.85</v>
      </c>
      <c r="U186" s="16" t="n">
        <v>0.75</v>
      </c>
      <c r="V186" s="16" t="n">
        <v>0.75</v>
      </c>
      <c r="W186" s="16" t="n">
        <v>0.75</v>
      </c>
      <c r="X186" s="16" t="n">
        <v>0.8</v>
      </c>
      <c r="Y186" s="16" t="n"/>
      <c r="Z186" s="16" t="n">
        <v>3.78367624344783</v>
      </c>
      <c r="AA186" s="16" t="n">
        <v>65.05736740481774</v>
      </c>
      <c r="AB186" s="16" t="n">
        <v>1145.454545454545</v>
      </c>
      <c r="AC186" s="16" t="n">
        <v>1.617647058823529</v>
      </c>
      <c r="AD186" s="16" t="inlineStr">
        <is>
          <t>O2</t>
        </is>
      </c>
      <c r="AE186" s="16" t="n"/>
    </row>
    <row r="187">
      <c r="A187" s="16" t="inlineStr">
        <is>
          <t>KF-M02-N2-A-0011</t>
        </is>
      </c>
      <c r="B187" s="16" t="inlineStr">
        <is>
          <t>2.2</t>
        </is>
      </c>
      <c r="C187" s="16" t="inlineStr">
        <is>
          <t>2.2a</t>
        </is>
      </c>
      <c r="D187" s="16" t="inlineStr">
        <is>
          <t>conservar la fuente (ε_HRVG × P_baja)</t>
        </is>
      </c>
      <c r="E187" s="16" t="inlineStr">
        <is>
          <t>KF-M02-N2</t>
        </is>
      </c>
      <c r="F187" s="16" t="inlineStr">
        <is>
          <t>KF-M02-N2-A</t>
        </is>
      </c>
      <c r="G187" s="16" t="inlineStr">
        <is>
          <t>B03-A</t>
        </is>
      </c>
      <c r="H187" s="16" t="inlineStr">
        <is>
          <t>malla</t>
        </is>
      </c>
      <c r="I187" s="16" t="inlineStr">
        <is>
          <t>CORREGIBLE</t>
        </is>
      </c>
      <c r="J187" s="16" t="inlineStr">
        <is>
          <t>CORREGIBLE</t>
        </is>
      </c>
      <c r="K187" s="16" t="b">
        <v>1</v>
      </c>
      <c r="L187" s="16" t="b">
        <v>0</v>
      </c>
      <c r="M187" s="16" t="b">
        <v>1</v>
      </c>
      <c r="N187" s="16" t="b">
        <v>0</v>
      </c>
      <c r="O187" s="16" t="n">
        <v>623.15</v>
      </c>
      <c r="P187" s="16" t="n">
        <v>300.032917</v>
      </c>
      <c r="Q187" s="16" t="n">
        <v>3000</v>
      </c>
      <c r="R187" s="16" t="n">
        <v>2000</v>
      </c>
      <c r="S187" s="16" t="n">
        <v>0.5</v>
      </c>
      <c r="T187" s="16" t="n">
        <v>0.85</v>
      </c>
      <c r="U187" s="16" t="n">
        <v>0.75</v>
      </c>
      <c r="V187" s="16" t="n">
        <v>0.75</v>
      </c>
      <c r="W187" s="16" t="n">
        <v>0.75</v>
      </c>
      <c r="X187" s="16" t="n">
        <v>0.8</v>
      </c>
      <c r="Y187" s="16" t="n"/>
      <c r="Z187" s="16" t="n">
        <v>3.2222449257921</v>
      </c>
      <c r="AA187" s="16" t="n">
        <v>55.37908847758752</v>
      </c>
      <c r="AB187" s="16" t="n">
        <v>1000</v>
      </c>
      <c r="AC187" s="16" t="n">
        <v>1.5</v>
      </c>
      <c r="AD187" s="16" t="inlineStr">
        <is>
          <t>O2</t>
        </is>
      </c>
      <c r="AE187" s="16" t="n"/>
    </row>
    <row r="188">
      <c r="A188" s="16" t="inlineStr">
        <is>
          <t>KF-M02-N2-A-0012</t>
        </is>
      </c>
      <c r="B188" s="16" t="inlineStr">
        <is>
          <t>2.2</t>
        </is>
      </c>
      <c r="C188" s="16" t="inlineStr">
        <is>
          <t>2.2a</t>
        </is>
      </c>
      <c r="D188" s="16" t="inlineStr">
        <is>
          <t>conservar la fuente (ε_HRVG × P_baja)</t>
        </is>
      </c>
      <c r="E188" s="16" t="inlineStr">
        <is>
          <t>KF-M02-N2</t>
        </is>
      </c>
      <c r="F188" s="16" t="inlineStr">
        <is>
          <t>KF-M02-N2-A</t>
        </is>
      </c>
      <c r="G188" s="16" t="inlineStr">
        <is>
          <t>B03-A</t>
        </is>
      </c>
      <c r="H188" s="16" t="inlineStr">
        <is>
          <t>malla</t>
        </is>
      </c>
      <c r="I188" s="16" t="inlineStr">
        <is>
          <t>CORREGIBLE</t>
        </is>
      </c>
      <c r="J188" s="16" t="inlineStr">
        <is>
          <t>CORREGIBLE</t>
        </is>
      </c>
      <c r="K188" s="16" t="b">
        <v>1</v>
      </c>
      <c r="L188" s="16" t="b">
        <v>0</v>
      </c>
      <c r="M188" s="16" t="b">
        <v>1</v>
      </c>
      <c r="N188" s="16" t="b">
        <v>0</v>
      </c>
      <c r="O188" s="16" t="n">
        <v>623.15</v>
      </c>
      <c r="P188" s="16" t="n">
        <v>300.032917</v>
      </c>
      <c r="Q188" s="16" t="n">
        <v>3000</v>
      </c>
      <c r="R188" s="16" t="n">
        <v>400</v>
      </c>
      <c r="S188" s="16" t="n">
        <v>0.5</v>
      </c>
      <c r="T188" s="16" t="n">
        <v>0.85</v>
      </c>
      <c r="U188" s="16" t="n">
        <v>0.75</v>
      </c>
      <c r="V188" s="16" t="n">
        <v>0.78</v>
      </c>
      <c r="W188" s="16" t="n">
        <v>0.75</v>
      </c>
      <c r="X188" s="16" t="n">
        <v>0.8</v>
      </c>
      <c r="Y188" s="16" t="n"/>
      <c r="Z188" s="16" t="n">
        <v>13.06631462681183</v>
      </c>
      <c r="AA188" s="16" t="n">
        <v>232.6565179233497</v>
      </c>
      <c r="AB188" s="16" t="n">
        <v>2600</v>
      </c>
      <c r="AC188" s="16" t="n">
        <v>7.5</v>
      </c>
      <c r="AD188" s="16" t="inlineStr">
        <is>
          <t>O1,O2</t>
        </is>
      </c>
      <c r="AE188" s="16" t="n"/>
    </row>
    <row r="189">
      <c r="A189" s="16" t="inlineStr">
        <is>
          <t>KF-M02-N2-A-0013</t>
        </is>
      </c>
      <c r="B189" s="16" t="inlineStr">
        <is>
          <t>2.2</t>
        </is>
      </c>
      <c r="C189" s="16" t="inlineStr">
        <is>
          <t>2.2a</t>
        </is>
      </c>
      <c r="D189" s="16" t="inlineStr">
        <is>
          <t>conservar la fuente (ε_HRVG × P_baja)</t>
        </is>
      </c>
      <c r="E189" s="16" t="inlineStr">
        <is>
          <t>KF-M02-N2</t>
        </is>
      </c>
      <c r="F189" s="16" t="inlineStr">
        <is>
          <t>KF-M02-N2-A</t>
        </is>
      </c>
      <c r="G189" s="16" t="inlineStr">
        <is>
          <t>B03-A</t>
        </is>
      </c>
      <c r="H189" s="16" t="inlineStr">
        <is>
          <t>malla</t>
        </is>
      </c>
      <c r="I189" s="16" t="inlineStr">
        <is>
          <t>CORREGIBLE</t>
        </is>
      </c>
      <c r="J189" s="16" t="inlineStr">
        <is>
          <t>CORREGIBLE</t>
        </is>
      </c>
      <c r="K189" s="16" t="b">
        <v>1</v>
      </c>
      <c r="L189" s="16" t="b">
        <v>0</v>
      </c>
      <c r="M189" s="16" t="b">
        <v>1</v>
      </c>
      <c r="N189" s="16" t="b">
        <v>0</v>
      </c>
      <c r="O189" s="16" t="n">
        <v>623.15</v>
      </c>
      <c r="P189" s="16" t="n">
        <v>300.032917</v>
      </c>
      <c r="Q189" s="16" t="n">
        <v>3000</v>
      </c>
      <c r="R189" s="16" t="n">
        <v>545.4545454545455</v>
      </c>
      <c r="S189" s="16" t="n">
        <v>0.5</v>
      </c>
      <c r="T189" s="16" t="n">
        <v>0.85</v>
      </c>
      <c r="U189" s="16" t="n">
        <v>0.75</v>
      </c>
      <c r="V189" s="16" t="n">
        <v>0.78</v>
      </c>
      <c r="W189" s="16" t="n">
        <v>0.75</v>
      </c>
      <c r="X189" s="16" t="n">
        <v>0.8</v>
      </c>
      <c r="Y189" s="16" t="n"/>
      <c r="Z189" s="16" t="n">
        <v>11.45603391170996</v>
      </c>
      <c r="AA189" s="16" t="n">
        <v>204.3318635702077</v>
      </c>
      <c r="AB189" s="16" t="n">
        <v>2454.545454545455</v>
      </c>
      <c r="AC189" s="16" t="n">
        <v>5.5</v>
      </c>
      <c r="AD189" s="16" t="inlineStr">
        <is>
          <t>O2</t>
        </is>
      </c>
      <c r="AE189" s="16" t="n"/>
    </row>
    <row r="190">
      <c r="A190" s="16" t="inlineStr">
        <is>
          <t>KF-M02-N2-A-0014</t>
        </is>
      </c>
      <c r="B190" s="16" t="inlineStr">
        <is>
          <t>2.2</t>
        </is>
      </c>
      <c r="C190" s="16" t="inlineStr">
        <is>
          <t>2.2a</t>
        </is>
      </c>
      <c r="D190" s="16" t="inlineStr">
        <is>
          <t>conservar la fuente (ε_HRVG × P_baja)</t>
        </is>
      </c>
      <c r="E190" s="16" t="inlineStr">
        <is>
          <t>KF-M02-N2</t>
        </is>
      </c>
      <c r="F190" s="16" t="inlineStr">
        <is>
          <t>KF-M02-N2-A</t>
        </is>
      </c>
      <c r="G190" s="16" t="inlineStr">
        <is>
          <t>B03-A</t>
        </is>
      </c>
      <c r="H190" s="16" t="inlineStr">
        <is>
          <t>malla</t>
        </is>
      </c>
      <c r="I190" s="16" t="inlineStr">
        <is>
          <t>CORREGIBLE</t>
        </is>
      </c>
      <c r="J190" s="16" t="inlineStr">
        <is>
          <t>CORREGIBLE</t>
        </is>
      </c>
      <c r="K190" s="16" t="b">
        <v>1</v>
      </c>
      <c r="L190" s="16" t="b">
        <v>0</v>
      </c>
      <c r="M190" s="16" t="b">
        <v>1</v>
      </c>
      <c r="N190" s="16" t="b">
        <v>0</v>
      </c>
      <c r="O190" s="16" t="n">
        <v>623.15</v>
      </c>
      <c r="P190" s="16" t="n">
        <v>300.032917</v>
      </c>
      <c r="Q190" s="16" t="n">
        <v>3000</v>
      </c>
      <c r="R190" s="16" t="n">
        <v>690.909090909091</v>
      </c>
      <c r="S190" s="16" t="n">
        <v>0.5</v>
      </c>
      <c r="T190" s="16" t="n">
        <v>0.85</v>
      </c>
      <c r="U190" s="16" t="n">
        <v>0.75</v>
      </c>
      <c r="V190" s="16" t="n">
        <v>0.78</v>
      </c>
      <c r="W190" s="16" t="n">
        <v>0.75</v>
      </c>
      <c r="X190" s="16" t="n">
        <v>0.8</v>
      </c>
      <c r="Y190" s="16" t="n"/>
      <c r="Z190" s="16" t="n">
        <v>10.14589750199819</v>
      </c>
      <c r="AA190" s="16" t="n">
        <v>181.123914519855</v>
      </c>
      <c r="AB190" s="16" t="n">
        <v>2309.090909090909</v>
      </c>
      <c r="AC190" s="16" t="n">
        <v>4.342105263157894</v>
      </c>
      <c r="AD190" s="16" t="inlineStr">
        <is>
          <t>O2</t>
        </is>
      </c>
      <c r="AE190" s="16" t="n"/>
    </row>
    <row r="191">
      <c r="A191" s="16" t="inlineStr">
        <is>
          <t>KF-M02-N2-A-0015</t>
        </is>
      </c>
      <c r="B191" s="16" t="inlineStr">
        <is>
          <t>2.2</t>
        </is>
      </c>
      <c r="C191" s="16" t="inlineStr">
        <is>
          <t>2.2a</t>
        </is>
      </c>
      <c r="D191" s="16" t="inlineStr">
        <is>
          <t>conservar la fuente (ε_HRVG × P_baja)</t>
        </is>
      </c>
      <c r="E191" s="16" t="inlineStr">
        <is>
          <t>KF-M02-N2</t>
        </is>
      </c>
      <c r="F191" s="16" t="inlineStr">
        <is>
          <t>KF-M02-N2-A</t>
        </is>
      </c>
      <c r="G191" s="16" t="inlineStr">
        <is>
          <t>B03-A</t>
        </is>
      </c>
      <c r="H191" s="16" t="inlineStr">
        <is>
          <t>malla</t>
        </is>
      </c>
      <c r="I191" s="16" t="inlineStr">
        <is>
          <t>CORREGIBLE</t>
        </is>
      </c>
      <c r="J191" s="16" t="inlineStr">
        <is>
          <t>CORREGIBLE</t>
        </is>
      </c>
      <c r="K191" s="16" t="b">
        <v>1</v>
      </c>
      <c r="L191" s="16" t="b">
        <v>0</v>
      </c>
      <c r="M191" s="16" t="b">
        <v>1</v>
      </c>
      <c r="N191" s="16" t="b">
        <v>0</v>
      </c>
      <c r="O191" s="16" t="n">
        <v>623.15</v>
      </c>
      <c r="P191" s="16" t="n">
        <v>300.032917</v>
      </c>
      <c r="Q191" s="16" t="n">
        <v>3000</v>
      </c>
      <c r="R191" s="16" t="n">
        <v>1127.272727272728</v>
      </c>
      <c r="S191" s="16" t="n">
        <v>0.5</v>
      </c>
      <c r="T191" s="16" t="n">
        <v>0.85</v>
      </c>
      <c r="U191" s="16" t="n">
        <v>0.75</v>
      </c>
      <c r="V191" s="16" t="n">
        <v>0.78</v>
      </c>
      <c r="W191" s="16" t="n">
        <v>0.75</v>
      </c>
      <c r="X191" s="16" t="n">
        <v>0.8</v>
      </c>
      <c r="Y191" s="16" t="n"/>
      <c r="Z191" s="16" t="n">
        <v>7.178395759166049</v>
      </c>
      <c r="AA191" s="16" t="n">
        <v>128.2191642424418</v>
      </c>
      <c r="AB191" s="16" t="n">
        <v>1872.727272727272</v>
      </c>
      <c r="AC191" s="16" t="n">
        <v>2.661290322580644</v>
      </c>
      <c r="AD191" s="16" t="inlineStr">
        <is>
          <t>O2</t>
        </is>
      </c>
      <c r="AE191" s="16" t="n"/>
    </row>
    <row r="192">
      <c r="A192" s="16" t="inlineStr">
        <is>
          <t>KF-M02-N2-A-0016</t>
        </is>
      </c>
      <c r="B192" s="16" t="inlineStr">
        <is>
          <t>2.2</t>
        </is>
      </c>
      <c r="C192" s="16" t="inlineStr">
        <is>
          <t>2.2a</t>
        </is>
      </c>
      <c r="D192" s="16" t="inlineStr">
        <is>
          <t>conservar la fuente (ε_HRVG × P_baja)</t>
        </is>
      </c>
      <c r="E192" s="16" t="inlineStr">
        <is>
          <t>KF-M02-N2</t>
        </is>
      </c>
      <c r="F192" s="16" t="inlineStr">
        <is>
          <t>KF-M02-N2-A</t>
        </is>
      </c>
      <c r="G192" s="16" t="inlineStr">
        <is>
          <t>B03-A</t>
        </is>
      </c>
      <c r="H192" s="16" t="inlineStr">
        <is>
          <t>malla</t>
        </is>
      </c>
      <c r="I192" s="16" t="inlineStr">
        <is>
          <t>CORREGIBLE</t>
        </is>
      </c>
      <c r="J192" s="16" t="inlineStr">
        <is>
          <t>CORREGIBLE</t>
        </is>
      </c>
      <c r="K192" s="16" t="b">
        <v>1</v>
      </c>
      <c r="L192" s="16" t="b">
        <v>0</v>
      </c>
      <c r="M192" s="16" t="b">
        <v>1</v>
      </c>
      <c r="N192" s="16" t="b">
        <v>0</v>
      </c>
      <c r="O192" s="16" t="n">
        <v>623.15</v>
      </c>
      <c r="P192" s="16" t="n">
        <v>300.032917</v>
      </c>
      <c r="Q192" s="16" t="n">
        <v>3000</v>
      </c>
      <c r="R192" s="16" t="n">
        <v>836.3636363636364</v>
      </c>
      <c r="S192" s="16" t="n">
        <v>0.5</v>
      </c>
      <c r="T192" s="16" t="n">
        <v>0.85</v>
      </c>
      <c r="U192" s="16" t="n">
        <v>0.75</v>
      </c>
      <c r="V192" s="16" t="n">
        <v>0.78</v>
      </c>
      <c r="W192" s="16" t="n">
        <v>0.75</v>
      </c>
      <c r="X192" s="16" t="n">
        <v>0.8</v>
      </c>
      <c r="Y192" s="16" t="n"/>
      <c r="Z192" s="16" t="n">
        <v>9.030461436755511</v>
      </c>
      <c r="AA192" s="16" t="n">
        <v>161.2806077509465</v>
      </c>
      <c r="AB192" s="16" t="n">
        <v>2163.636363636364</v>
      </c>
      <c r="AC192" s="16" t="n">
        <v>3.58695652173913</v>
      </c>
      <c r="AD192" s="16" t="inlineStr">
        <is>
          <t>O2</t>
        </is>
      </c>
      <c r="AE192" s="16" t="n"/>
    </row>
    <row r="193">
      <c r="A193" s="16" t="inlineStr">
        <is>
          <t>KF-M02-N2-A-0017</t>
        </is>
      </c>
      <c r="B193" s="16" t="inlineStr">
        <is>
          <t>2.2</t>
        </is>
      </c>
      <c r="C193" s="16" t="inlineStr">
        <is>
          <t>2.2a</t>
        </is>
      </c>
      <c r="D193" s="16" t="inlineStr">
        <is>
          <t>conservar la fuente (ε_HRVG × P_baja)</t>
        </is>
      </c>
      <c r="E193" s="16" t="inlineStr">
        <is>
          <t>KF-M02-N2</t>
        </is>
      </c>
      <c r="F193" s="16" t="inlineStr">
        <is>
          <t>KF-M02-N2-A</t>
        </is>
      </c>
      <c r="G193" s="16" t="inlineStr">
        <is>
          <t>B03-A</t>
        </is>
      </c>
      <c r="H193" s="16" t="inlineStr">
        <is>
          <t>malla</t>
        </is>
      </c>
      <c r="I193" s="16" t="inlineStr">
        <is>
          <t>CORREGIBLE</t>
        </is>
      </c>
      <c r="J193" s="16" t="inlineStr">
        <is>
          <t>CORREGIBLE</t>
        </is>
      </c>
      <c r="K193" s="16" t="b">
        <v>1</v>
      </c>
      <c r="L193" s="16" t="b">
        <v>0</v>
      </c>
      <c r="M193" s="16" t="b">
        <v>1</v>
      </c>
      <c r="N193" s="16" t="b">
        <v>0</v>
      </c>
      <c r="O193" s="16" t="n">
        <v>623.15</v>
      </c>
      <c r="P193" s="16" t="n">
        <v>300.032917</v>
      </c>
      <c r="Q193" s="16" t="n">
        <v>3000</v>
      </c>
      <c r="R193" s="16" t="n">
        <v>981.818181818182</v>
      </c>
      <c r="S193" s="16" t="n">
        <v>0.5</v>
      </c>
      <c r="T193" s="16" t="n">
        <v>0.85</v>
      </c>
      <c r="U193" s="16" t="n">
        <v>0.75</v>
      </c>
      <c r="V193" s="16" t="n">
        <v>0.78</v>
      </c>
      <c r="W193" s="16" t="n">
        <v>0.75</v>
      </c>
      <c r="X193" s="16" t="n">
        <v>0.8</v>
      </c>
      <c r="Y193" s="16" t="n"/>
      <c r="Z193" s="16" t="n">
        <v>8.05279779868332</v>
      </c>
      <c r="AA193" s="16" t="n">
        <v>143.8418580790276</v>
      </c>
      <c r="AB193" s="16" t="n">
        <v>2018.181818181818</v>
      </c>
      <c r="AC193" s="16" t="n">
        <v>3.055555555555555</v>
      </c>
      <c r="AD193" s="16" t="inlineStr">
        <is>
          <t>O2</t>
        </is>
      </c>
      <c r="AE193" s="16" t="n"/>
    </row>
    <row r="194">
      <c r="A194" s="16" t="inlineStr">
        <is>
          <t>KF-M02-N2-A-0018</t>
        </is>
      </c>
      <c r="B194" s="16" t="inlineStr">
        <is>
          <t>2.2</t>
        </is>
      </c>
      <c r="C194" s="16" t="inlineStr">
        <is>
          <t>2.2a</t>
        </is>
      </c>
      <c r="D194" s="16" t="inlineStr">
        <is>
          <t>conservar la fuente (ε_HRVG × P_baja)</t>
        </is>
      </c>
      <c r="E194" s="16" t="inlineStr">
        <is>
          <t>KF-M02-N2</t>
        </is>
      </c>
      <c r="F194" s="16" t="inlineStr">
        <is>
          <t>KF-M02-N2-A</t>
        </is>
      </c>
      <c r="G194" s="16" t="inlineStr">
        <is>
          <t>B03-A</t>
        </is>
      </c>
      <c r="H194" s="16" t="inlineStr">
        <is>
          <t>malla</t>
        </is>
      </c>
      <c r="I194" s="16" t="inlineStr">
        <is>
          <t>CORREGIBLE</t>
        </is>
      </c>
      <c r="J194" s="16" t="inlineStr">
        <is>
          <t>CORREGIBLE</t>
        </is>
      </c>
      <c r="K194" s="16" t="b">
        <v>1</v>
      </c>
      <c r="L194" s="16" t="b">
        <v>0</v>
      </c>
      <c r="M194" s="16" t="b">
        <v>1</v>
      </c>
      <c r="N194" s="16" t="b">
        <v>0</v>
      </c>
      <c r="O194" s="16" t="n">
        <v>623.15</v>
      </c>
      <c r="P194" s="16" t="n">
        <v>300.032917</v>
      </c>
      <c r="Q194" s="16" t="n">
        <v>3000</v>
      </c>
      <c r="R194" s="16" t="n">
        <v>1272.727272727273</v>
      </c>
      <c r="S194" s="16" t="n">
        <v>0.5</v>
      </c>
      <c r="T194" s="16" t="n">
        <v>0.85</v>
      </c>
      <c r="U194" s="16" t="n">
        <v>0.75</v>
      </c>
      <c r="V194" s="16" t="n">
        <v>0.78</v>
      </c>
      <c r="W194" s="16" t="n">
        <v>0.75</v>
      </c>
      <c r="X194" s="16" t="n">
        <v>0.8</v>
      </c>
      <c r="Y194" s="16" t="n"/>
      <c r="Z194" s="16" t="n">
        <v>6.38462827866169</v>
      </c>
      <c r="AA194" s="16" t="n">
        <v>114.0232999814878</v>
      </c>
      <c r="AB194" s="16" t="n">
        <v>1727.272727272727</v>
      </c>
      <c r="AC194" s="16" t="n">
        <v>2.357142857142857</v>
      </c>
      <c r="AD194" s="16" t="inlineStr">
        <is>
          <t>O2</t>
        </is>
      </c>
      <c r="AE194" s="16" t="n"/>
    </row>
    <row r="195">
      <c r="A195" s="16" t="inlineStr">
        <is>
          <t>KF-M02-N2-A-0019</t>
        </is>
      </c>
      <c r="B195" s="16" t="inlineStr">
        <is>
          <t>2.2</t>
        </is>
      </c>
      <c r="C195" s="16" t="inlineStr">
        <is>
          <t>2.2a</t>
        </is>
      </c>
      <c r="D195" s="16" t="inlineStr">
        <is>
          <t>conservar la fuente (ε_HRVG × P_baja)</t>
        </is>
      </c>
      <c r="E195" s="16" t="inlineStr">
        <is>
          <t>KF-M02-N2</t>
        </is>
      </c>
      <c r="F195" s="16" t="inlineStr">
        <is>
          <t>KF-M02-N2-A</t>
        </is>
      </c>
      <c r="G195" s="16" t="inlineStr">
        <is>
          <t>B03-A</t>
        </is>
      </c>
      <c r="H195" s="16" t="inlineStr">
        <is>
          <t>malla</t>
        </is>
      </c>
      <c r="I195" s="16" t="inlineStr">
        <is>
          <t>CORREGIBLE</t>
        </is>
      </c>
      <c r="J195" s="16" t="inlineStr">
        <is>
          <t>CORREGIBLE</t>
        </is>
      </c>
      <c r="K195" s="16" t="b">
        <v>1</v>
      </c>
      <c r="L195" s="16" t="b">
        <v>0</v>
      </c>
      <c r="M195" s="16" t="b">
        <v>1</v>
      </c>
      <c r="N195" s="16" t="b">
        <v>0</v>
      </c>
      <c r="O195" s="16" t="n">
        <v>623.15</v>
      </c>
      <c r="P195" s="16" t="n">
        <v>300.032917</v>
      </c>
      <c r="Q195" s="16" t="n">
        <v>3000</v>
      </c>
      <c r="R195" s="16" t="n">
        <v>1418.181818181818</v>
      </c>
      <c r="S195" s="16" t="n">
        <v>0.5</v>
      </c>
      <c r="T195" s="16" t="n">
        <v>0.85</v>
      </c>
      <c r="U195" s="16" t="n">
        <v>0.75</v>
      </c>
      <c r="V195" s="16" t="n">
        <v>0.78</v>
      </c>
      <c r="W195" s="16" t="n">
        <v>0.75</v>
      </c>
      <c r="X195" s="16" t="n">
        <v>0.8</v>
      </c>
      <c r="Y195" s="16" t="n"/>
      <c r="Z195" s="16" t="n">
        <v>5.65579284612912</v>
      </c>
      <c r="AA195" s="16" t="n">
        <v>100.9822273593226</v>
      </c>
      <c r="AB195" s="16" t="n">
        <v>1581.818181818182</v>
      </c>
      <c r="AC195" s="16" t="n">
        <v>2.115384615384615</v>
      </c>
      <c r="AD195" s="16" t="inlineStr">
        <is>
          <t>O2</t>
        </is>
      </c>
      <c r="AE195" s="16" t="n"/>
    </row>
    <row r="196">
      <c r="A196" s="16" t="inlineStr">
        <is>
          <t>KF-M02-N2-A-0020</t>
        </is>
      </c>
      <c r="B196" s="16" t="inlineStr">
        <is>
          <t>2.2</t>
        </is>
      </c>
      <c r="C196" s="16" t="inlineStr">
        <is>
          <t>2.2a</t>
        </is>
      </c>
      <c r="D196" s="16" t="inlineStr">
        <is>
          <t>conservar la fuente (ε_HRVG × P_baja)</t>
        </is>
      </c>
      <c r="E196" s="16" t="inlineStr">
        <is>
          <t>KF-M02-N2</t>
        </is>
      </c>
      <c r="F196" s="16" t="inlineStr">
        <is>
          <t>KF-M02-N2-A</t>
        </is>
      </c>
      <c r="G196" s="16" t="inlineStr">
        <is>
          <t>B03-A</t>
        </is>
      </c>
      <c r="H196" s="16" t="inlineStr">
        <is>
          <t>malla</t>
        </is>
      </c>
      <c r="I196" s="16" t="inlineStr">
        <is>
          <t>CORREGIBLE</t>
        </is>
      </c>
      <c r="J196" s="16" t="inlineStr">
        <is>
          <t>CORREGIBLE</t>
        </is>
      </c>
      <c r="K196" s="16" t="b">
        <v>1</v>
      </c>
      <c r="L196" s="16" t="b">
        <v>0</v>
      </c>
      <c r="M196" s="16" t="b">
        <v>1</v>
      </c>
      <c r="N196" s="16" t="b">
        <v>0</v>
      </c>
      <c r="O196" s="16" t="n">
        <v>623.15</v>
      </c>
      <c r="P196" s="16" t="n">
        <v>300.032917</v>
      </c>
      <c r="Q196" s="16" t="n">
        <v>3000</v>
      </c>
      <c r="R196" s="16" t="n">
        <v>1563.636363636364</v>
      </c>
      <c r="S196" s="16" t="n">
        <v>0.5</v>
      </c>
      <c r="T196" s="16" t="n">
        <v>0.85</v>
      </c>
      <c r="U196" s="16" t="n">
        <v>0.75</v>
      </c>
      <c r="V196" s="16" t="n">
        <v>0.78</v>
      </c>
      <c r="W196" s="16" t="n">
        <v>0.75</v>
      </c>
      <c r="X196" s="16" t="n">
        <v>0.8</v>
      </c>
      <c r="Y196" s="16" t="n"/>
      <c r="Z196" s="16" t="n">
        <v>4.98051091335652</v>
      </c>
      <c r="AA196" s="16" t="n">
        <v>88.89764167147177</v>
      </c>
      <c r="AB196" s="16" t="n">
        <v>1436.363636363636</v>
      </c>
      <c r="AC196" s="16" t="n">
        <v>1.918604651162791</v>
      </c>
      <c r="AD196" s="16" t="inlineStr">
        <is>
          <t>O2</t>
        </is>
      </c>
      <c r="AE196" s="16" t="n"/>
    </row>
    <row r="197">
      <c r="A197" s="16" t="inlineStr">
        <is>
          <t>KF-M02-N2-A-0021</t>
        </is>
      </c>
      <c r="B197" s="16" t="inlineStr">
        <is>
          <t>2.2</t>
        </is>
      </c>
      <c r="C197" s="16" t="inlineStr">
        <is>
          <t>2.2a</t>
        </is>
      </c>
      <c r="D197" s="16" t="inlineStr">
        <is>
          <t>conservar la fuente (ε_HRVG × P_baja)</t>
        </is>
      </c>
      <c r="E197" s="16" t="inlineStr">
        <is>
          <t>KF-M02-N2</t>
        </is>
      </c>
      <c r="F197" s="16" t="inlineStr">
        <is>
          <t>KF-M02-N2-A</t>
        </is>
      </c>
      <c r="G197" s="16" t="inlineStr">
        <is>
          <t>B03-A</t>
        </is>
      </c>
      <c r="H197" s="16" t="inlineStr">
        <is>
          <t>malla</t>
        </is>
      </c>
      <c r="I197" s="16" t="inlineStr">
        <is>
          <t>CORREGIBLE</t>
        </is>
      </c>
      <c r="J197" s="16" t="inlineStr">
        <is>
          <t>CORREGIBLE</t>
        </is>
      </c>
      <c r="K197" s="16" t="b">
        <v>1</v>
      </c>
      <c r="L197" s="16" t="b">
        <v>0</v>
      </c>
      <c r="M197" s="16" t="b">
        <v>1</v>
      </c>
      <c r="N197" s="16" t="b">
        <v>0</v>
      </c>
      <c r="O197" s="16" t="n">
        <v>623.15</v>
      </c>
      <c r="P197" s="16" t="n">
        <v>300.032917</v>
      </c>
      <c r="Q197" s="16" t="n">
        <v>3000</v>
      </c>
      <c r="R197" s="16" t="n">
        <v>1854.545454545455</v>
      </c>
      <c r="S197" s="16" t="n">
        <v>0.5</v>
      </c>
      <c r="T197" s="16" t="n">
        <v>0.85</v>
      </c>
      <c r="U197" s="16" t="n">
        <v>0.75</v>
      </c>
      <c r="V197" s="16" t="n">
        <v>0.78</v>
      </c>
      <c r="W197" s="16" t="n">
        <v>0.75</v>
      </c>
      <c r="X197" s="16" t="n">
        <v>0.8</v>
      </c>
      <c r="Y197" s="16" t="n"/>
      <c r="Z197" s="16" t="n">
        <v>3.75844657133428</v>
      </c>
      <c r="AA197" s="16" t="n">
        <v>67.03406841885743</v>
      </c>
      <c r="AB197" s="16" t="n">
        <v>1145.454545454545</v>
      </c>
      <c r="AC197" s="16" t="n">
        <v>1.617647058823529</v>
      </c>
      <c r="AD197" s="16" t="inlineStr">
        <is>
          <t>O2</t>
        </is>
      </c>
      <c r="AE197" s="16" t="n"/>
    </row>
    <row r="198">
      <c r="A198" s="16" t="inlineStr">
        <is>
          <t>KF-M02-N2-A-0022</t>
        </is>
      </c>
      <c r="B198" s="16" t="inlineStr">
        <is>
          <t>2.2</t>
        </is>
      </c>
      <c r="C198" s="16" t="inlineStr">
        <is>
          <t>2.2a</t>
        </is>
      </c>
      <c r="D198" s="16" t="inlineStr">
        <is>
          <t>conservar la fuente (ε_HRVG × P_baja)</t>
        </is>
      </c>
      <c r="E198" s="16" t="inlineStr">
        <is>
          <t>KF-M02-N2</t>
        </is>
      </c>
      <c r="F198" s="16" t="inlineStr">
        <is>
          <t>KF-M02-N2-A</t>
        </is>
      </c>
      <c r="G198" s="16" t="inlineStr">
        <is>
          <t>B03-A</t>
        </is>
      </c>
      <c r="H198" s="16" t="inlineStr">
        <is>
          <t>malla</t>
        </is>
      </c>
      <c r="I198" s="16" t="inlineStr">
        <is>
          <t>CORREGIBLE</t>
        </is>
      </c>
      <c r="J198" s="16" t="inlineStr">
        <is>
          <t>CORREGIBLE</t>
        </is>
      </c>
      <c r="K198" s="16" t="b">
        <v>1</v>
      </c>
      <c r="L198" s="16" t="b">
        <v>0</v>
      </c>
      <c r="M198" s="16" t="b">
        <v>1</v>
      </c>
      <c r="N198" s="16" t="b">
        <v>0</v>
      </c>
      <c r="O198" s="16" t="n">
        <v>623.15</v>
      </c>
      <c r="P198" s="16" t="n">
        <v>300.032917</v>
      </c>
      <c r="Q198" s="16" t="n">
        <v>3000</v>
      </c>
      <c r="R198" s="16" t="n">
        <v>1709.090909090909</v>
      </c>
      <c r="S198" s="16" t="n">
        <v>0.5</v>
      </c>
      <c r="T198" s="16" t="n">
        <v>0.85</v>
      </c>
      <c r="U198" s="16" t="n">
        <v>0.75</v>
      </c>
      <c r="V198" s="16" t="n">
        <v>0.78</v>
      </c>
      <c r="W198" s="16" t="n">
        <v>0.75</v>
      </c>
      <c r="X198" s="16" t="n">
        <v>0.8</v>
      </c>
      <c r="Y198" s="16" t="n"/>
      <c r="Z198" s="16" t="n">
        <v>4.35025282994217</v>
      </c>
      <c r="AA198" s="16" t="n">
        <v>77.62013163611864</v>
      </c>
      <c r="AB198" s="16" t="n">
        <v>1290.909090909091</v>
      </c>
      <c r="AC198" s="16" t="n">
        <v>1.75531914893617</v>
      </c>
      <c r="AD198" s="16" t="inlineStr">
        <is>
          <t>O2</t>
        </is>
      </c>
      <c r="AE198" s="16" t="n"/>
    </row>
    <row r="199">
      <c r="A199" s="16" t="inlineStr">
        <is>
          <t>KF-M02-N2-A-0023</t>
        </is>
      </c>
      <c r="B199" s="16" t="inlineStr">
        <is>
          <t>2.2</t>
        </is>
      </c>
      <c r="C199" s="16" t="inlineStr">
        <is>
          <t>2.2a</t>
        </is>
      </c>
      <c r="D199" s="16" t="inlineStr">
        <is>
          <t>conservar la fuente (ε_HRVG × P_baja)</t>
        </is>
      </c>
      <c r="E199" s="16" t="inlineStr">
        <is>
          <t>KF-M02-N2</t>
        </is>
      </c>
      <c r="F199" s="16" t="inlineStr">
        <is>
          <t>KF-M02-N2-A</t>
        </is>
      </c>
      <c r="G199" s="16" t="inlineStr">
        <is>
          <t>B03-A</t>
        </is>
      </c>
      <c r="H199" s="16" t="inlineStr">
        <is>
          <t>malla</t>
        </is>
      </c>
      <c r="I199" s="16" t="inlineStr">
        <is>
          <t>CORREGIBLE</t>
        </is>
      </c>
      <c r="J199" s="16" t="inlineStr">
        <is>
          <t>CORREGIBLE</t>
        </is>
      </c>
      <c r="K199" s="16" t="b">
        <v>1</v>
      </c>
      <c r="L199" s="16" t="b">
        <v>0</v>
      </c>
      <c r="M199" s="16" t="b">
        <v>1</v>
      </c>
      <c r="N199" s="16" t="b">
        <v>0</v>
      </c>
      <c r="O199" s="16" t="n">
        <v>623.15</v>
      </c>
      <c r="P199" s="16" t="n">
        <v>300.032917</v>
      </c>
      <c r="Q199" s="16" t="n">
        <v>3000</v>
      </c>
      <c r="R199" s="16" t="n">
        <v>2000</v>
      </c>
      <c r="S199" s="16" t="n">
        <v>0.5</v>
      </c>
      <c r="T199" s="16" t="n">
        <v>0.85</v>
      </c>
      <c r="U199" s="16" t="n">
        <v>0.75</v>
      </c>
      <c r="V199" s="16" t="n">
        <v>0.78</v>
      </c>
      <c r="W199" s="16" t="n">
        <v>0.75</v>
      </c>
      <c r="X199" s="16" t="n">
        <v>0.8</v>
      </c>
      <c r="Y199" s="16" t="n"/>
      <c r="Z199" s="16" t="n">
        <v>3.19991199732034</v>
      </c>
      <c r="AA199" s="16" t="n">
        <v>57.0479587285407</v>
      </c>
      <c r="AB199" s="16" t="n">
        <v>1000</v>
      </c>
      <c r="AC199" s="16" t="n">
        <v>1.5</v>
      </c>
      <c r="AD199" s="16" t="inlineStr">
        <is>
          <t>O2</t>
        </is>
      </c>
      <c r="AE199" s="16" t="n"/>
    </row>
    <row r="200">
      <c r="A200" s="16" t="inlineStr">
        <is>
          <t>KF-M02-N2-A-0024</t>
        </is>
      </c>
      <c r="B200" s="16" t="inlineStr">
        <is>
          <t>2.2</t>
        </is>
      </c>
      <c r="C200" s="16" t="inlineStr">
        <is>
          <t>2.2a</t>
        </is>
      </c>
      <c r="D200" s="16" t="inlineStr">
        <is>
          <t>conservar la fuente (ε_HRVG × P_baja)</t>
        </is>
      </c>
      <c r="E200" s="16" t="inlineStr">
        <is>
          <t>KF-M02-N2</t>
        </is>
      </c>
      <c r="F200" s="16" t="inlineStr">
        <is>
          <t>KF-M02-N2-A</t>
        </is>
      </c>
      <c r="G200" s="16" t="inlineStr">
        <is>
          <t>B03-A</t>
        </is>
      </c>
      <c r="H200" s="16" t="inlineStr">
        <is>
          <t>malla</t>
        </is>
      </c>
      <c r="I200" s="16" t="inlineStr">
        <is>
          <t>CORREGIBLE</t>
        </is>
      </c>
      <c r="J200" s="16" t="inlineStr">
        <is>
          <t>CORREGIBLE</t>
        </is>
      </c>
      <c r="K200" s="16" t="b">
        <v>1</v>
      </c>
      <c r="L200" s="16" t="b">
        <v>0</v>
      </c>
      <c r="M200" s="16" t="b">
        <v>1</v>
      </c>
      <c r="N200" s="16" t="b">
        <v>0</v>
      </c>
      <c r="O200" s="16" t="n">
        <v>623.15</v>
      </c>
      <c r="P200" s="16" t="n">
        <v>300.032917</v>
      </c>
      <c r="Q200" s="16" t="n">
        <v>3000</v>
      </c>
      <c r="R200" s="16" t="n">
        <v>400</v>
      </c>
      <c r="S200" s="16" t="n">
        <v>0.5</v>
      </c>
      <c r="T200" s="16" t="n">
        <v>0.85</v>
      </c>
      <c r="U200" s="16" t="n">
        <v>0.75</v>
      </c>
      <c r="V200" s="16" t="n">
        <v>0.8100000000000001</v>
      </c>
      <c r="W200" s="16" t="n">
        <v>0.75</v>
      </c>
      <c r="X200" s="16" t="n">
        <v>0.8</v>
      </c>
      <c r="Y200" s="16" t="n"/>
      <c r="Z200" s="16" t="n">
        <v>13.04611385432577</v>
      </c>
      <c r="AA200" s="16" t="n">
        <v>240.5204537741912</v>
      </c>
      <c r="AB200" s="16" t="n">
        <v>2600</v>
      </c>
      <c r="AC200" s="16" t="n">
        <v>7.5</v>
      </c>
      <c r="AD200" s="16" t="inlineStr">
        <is>
          <t>O1,O2</t>
        </is>
      </c>
      <c r="AE200" s="16" t="n"/>
    </row>
    <row r="201">
      <c r="A201" s="16" t="inlineStr">
        <is>
          <t>KF-M02-N2-A-0025</t>
        </is>
      </c>
      <c r="B201" s="16" t="inlineStr">
        <is>
          <t>2.2</t>
        </is>
      </c>
      <c r="C201" s="16" t="inlineStr">
        <is>
          <t>2.2a</t>
        </is>
      </c>
      <c r="D201" s="16" t="inlineStr">
        <is>
          <t>conservar la fuente (ε_HRVG × P_baja)</t>
        </is>
      </c>
      <c r="E201" s="16" t="inlineStr">
        <is>
          <t>KF-M02-N2</t>
        </is>
      </c>
      <c r="F201" s="16" t="inlineStr">
        <is>
          <t>KF-M02-N2-A</t>
        </is>
      </c>
      <c r="G201" s="16" t="inlineStr">
        <is>
          <t>B03-A</t>
        </is>
      </c>
      <c r="H201" s="16" t="inlineStr">
        <is>
          <t>malla</t>
        </is>
      </c>
      <c r="I201" s="16" t="inlineStr">
        <is>
          <t>CORREGIBLE</t>
        </is>
      </c>
      <c r="J201" s="16" t="inlineStr">
        <is>
          <t>CORREGIBLE</t>
        </is>
      </c>
      <c r="K201" s="16" t="b">
        <v>1</v>
      </c>
      <c r="L201" s="16" t="b">
        <v>0</v>
      </c>
      <c r="M201" s="16" t="b">
        <v>1</v>
      </c>
      <c r="N201" s="16" t="b">
        <v>0</v>
      </c>
      <c r="O201" s="16" t="n">
        <v>623.15</v>
      </c>
      <c r="P201" s="16" t="n">
        <v>300.032917</v>
      </c>
      <c r="Q201" s="16" t="n">
        <v>3000</v>
      </c>
      <c r="R201" s="16" t="n">
        <v>545.4545454545455</v>
      </c>
      <c r="S201" s="16" t="n">
        <v>0.5</v>
      </c>
      <c r="T201" s="16" t="n">
        <v>0.85</v>
      </c>
      <c r="U201" s="16" t="n">
        <v>0.75</v>
      </c>
      <c r="V201" s="16" t="n">
        <v>0.8100000000000001</v>
      </c>
      <c r="W201" s="16" t="n">
        <v>0.75</v>
      </c>
      <c r="X201" s="16" t="n">
        <v>0.8</v>
      </c>
      <c r="Y201" s="16" t="n"/>
      <c r="Z201" s="16" t="n">
        <v>11.42828787356508</v>
      </c>
      <c r="AA201" s="16" t="n">
        <v>211.0685374024544</v>
      </c>
      <c r="AB201" s="16" t="n">
        <v>2454.545454545455</v>
      </c>
      <c r="AC201" s="16" t="n">
        <v>5.5</v>
      </c>
      <c r="AD201" s="16" t="inlineStr">
        <is>
          <t>O2</t>
        </is>
      </c>
      <c r="AE201" s="16" t="n"/>
    </row>
    <row r="202">
      <c r="A202" s="16" t="inlineStr">
        <is>
          <t>KF-M02-N2-A-0026</t>
        </is>
      </c>
      <c r="B202" s="16" t="inlineStr">
        <is>
          <t>2.2</t>
        </is>
      </c>
      <c r="C202" s="16" t="inlineStr">
        <is>
          <t>2.2a</t>
        </is>
      </c>
      <c r="D202" s="16" t="inlineStr">
        <is>
          <t>conservar la fuente (ε_HRVG × P_baja)</t>
        </is>
      </c>
      <c r="E202" s="16" t="inlineStr">
        <is>
          <t>KF-M02-N2</t>
        </is>
      </c>
      <c r="F202" s="16" t="inlineStr">
        <is>
          <t>KF-M02-N2-A</t>
        </is>
      </c>
      <c r="G202" s="16" t="inlineStr">
        <is>
          <t>B03-A</t>
        </is>
      </c>
      <c r="H202" s="16" t="inlineStr">
        <is>
          <t>malla</t>
        </is>
      </c>
      <c r="I202" s="16" t="inlineStr">
        <is>
          <t>CORREGIBLE</t>
        </is>
      </c>
      <c r="J202" s="16" t="inlineStr">
        <is>
          <t>CORREGIBLE</t>
        </is>
      </c>
      <c r="K202" s="16" t="b">
        <v>1</v>
      </c>
      <c r="L202" s="16" t="b">
        <v>0</v>
      </c>
      <c r="M202" s="16" t="b">
        <v>1</v>
      </c>
      <c r="N202" s="16" t="b">
        <v>0</v>
      </c>
      <c r="O202" s="16" t="n">
        <v>623.15</v>
      </c>
      <c r="P202" s="16" t="n">
        <v>300.032917</v>
      </c>
      <c r="Q202" s="16" t="n">
        <v>3000</v>
      </c>
      <c r="R202" s="16" t="n">
        <v>690.909090909091</v>
      </c>
      <c r="S202" s="16" t="n">
        <v>0.5</v>
      </c>
      <c r="T202" s="16" t="n">
        <v>0.85</v>
      </c>
      <c r="U202" s="16" t="n">
        <v>0.75</v>
      </c>
      <c r="V202" s="16" t="n">
        <v>0.8100000000000001</v>
      </c>
      <c r="W202" s="16" t="n">
        <v>0.75</v>
      </c>
      <c r="X202" s="16" t="n">
        <v>0.8</v>
      </c>
      <c r="Y202" s="16" t="n"/>
      <c r="Z202" s="16" t="n">
        <v>10.11438002475379</v>
      </c>
      <c r="AA202" s="16" t="n">
        <v>186.9780110327473</v>
      </c>
      <c r="AB202" s="16" t="n">
        <v>2309.090909090909</v>
      </c>
      <c r="AC202" s="16" t="n">
        <v>4.342105263157894</v>
      </c>
      <c r="AD202" s="16" t="inlineStr">
        <is>
          <t>O2</t>
        </is>
      </c>
      <c r="AE202" s="16" t="n"/>
    </row>
    <row r="203">
      <c r="A203" s="16" t="inlineStr">
        <is>
          <t>KF-M02-N2-A-0027</t>
        </is>
      </c>
      <c r="B203" s="16" t="inlineStr">
        <is>
          <t>2.2</t>
        </is>
      </c>
      <c r="C203" s="16" t="inlineStr">
        <is>
          <t>2.2a</t>
        </is>
      </c>
      <c r="D203" s="16" t="inlineStr">
        <is>
          <t>conservar la fuente (ε_HRVG × P_baja)</t>
        </is>
      </c>
      <c r="E203" s="16" t="inlineStr">
        <is>
          <t>KF-M02-N2</t>
        </is>
      </c>
      <c r="F203" s="16" t="inlineStr">
        <is>
          <t>KF-M02-N2-A</t>
        </is>
      </c>
      <c r="G203" s="16" t="inlineStr">
        <is>
          <t>B03-A</t>
        </is>
      </c>
      <c r="H203" s="16" t="inlineStr">
        <is>
          <t>malla</t>
        </is>
      </c>
      <c r="I203" s="16" t="inlineStr">
        <is>
          <t>CORREGIBLE</t>
        </is>
      </c>
      <c r="J203" s="16" t="inlineStr">
        <is>
          <t>CORREGIBLE</t>
        </is>
      </c>
      <c r="K203" s="16" t="b">
        <v>1</v>
      </c>
      <c r="L203" s="16" t="b">
        <v>0</v>
      </c>
      <c r="M203" s="16" t="b">
        <v>1</v>
      </c>
      <c r="N203" s="16" t="b">
        <v>0</v>
      </c>
      <c r="O203" s="16" t="n">
        <v>623.15</v>
      </c>
      <c r="P203" s="16" t="n">
        <v>300.032917</v>
      </c>
      <c r="Q203" s="16" t="n">
        <v>3000</v>
      </c>
      <c r="R203" s="16" t="n">
        <v>836.3636363636364</v>
      </c>
      <c r="S203" s="16" t="n">
        <v>0.5</v>
      </c>
      <c r="T203" s="16" t="n">
        <v>0.85</v>
      </c>
      <c r="U203" s="16" t="n">
        <v>0.75</v>
      </c>
      <c r="V203" s="16" t="n">
        <v>0.8100000000000001</v>
      </c>
      <c r="W203" s="16" t="n">
        <v>0.75</v>
      </c>
      <c r="X203" s="16" t="n">
        <v>0.8</v>
      </c>
      <c r="Y203" s="16" t="n"/>
      <c r="Z203" s="16" t="n">
        <v>8.9973105401287</v>
      </c>
      <c r="AA203" s="16" t="n">
        <v>166.4072400975795</v>
      </c>
      <c r="AB203" s="16" t="n">
        <v>2163.636363636364</v>
      </c>
      <c r="AC203" s="16" t="n">
        <v>3.58695652173913</v>
      </c>
      <c r="AD203" s="16" t="inlineStr">
        <is>
          <t>O2</t>
        </is>
      </c>
      <c r="AE203" s="16" t="n"/>
    </row>
    <row r="204">
      <c r="A204" s="16" t="inlineStr">
        <is>
          <t>KF-M02-N2-A-0028</t>
        </is>
      </c>
      <c r="B204" s="16" t="inlineStr">
        <is>
          <t>2.2</t>
        </is>
      </c>
      <c r="C204" s="16" t="inlineStr">
        <is>
          <t>2.2a</t>
        </is>
      </c>
      <c r="D204" s="16" t="inlineStr">
        <is>
          <t>conservar la fuente (ε_HRVG × P_baja)</t>
        </is>
      </c>
      <c r="E204" s="16" t="inlineStr">
        <is>
          <t>KF-M02-N2</t>
        </is>
      </c>
      <c r="F204" s="16" t="inlineStr">
        <is>
          <t>KF-M02-N2-A</t>
        </is>
      </c>
      <c r="G204" s="16" t="inlineStr">
        <is>
          <t>B03-A</t>
        </is>
      </c>
      <c r="H204" s="16" t="inlineStr">
        <is>
          <t>malla</t>
        </is>
      </c>
      <c r="I204" s="16" t="inlineStr">
        <is>
          <t>CORREGIBLE</t>
        </is>
      </c>
      <c r="J204" s="16" t="inlineStr">
        <is>
          <t>CORREGIBLE</t>
        </is>
      </c>
      <c r="K204" s="16" t="b">
        <v>1</v>
      </c>
      <c r="L204" s="16" t="b">
        <v>0</v>
      </c>
      <c r="M204" s="16" t="b">
        <v>1</v>
      </c>
      <c r="N204" s="16" t="b">
        <v>0</v>
      </c>
      <c r="O204" s="16" t="n">
        <v>623.15</v>
      </c>
      <c r="P204" s="16" t="n">
        <v>300.032917</v>
      </c>
      <c r="Q204" s="16" t="n">
        <v>3000</v>
      </c>
      <c r="R204" s="16" t="n">
        <v>981.818181818182</v>
      </c>
      <c r="S204" s="16" t="n">
        <v>0.5</v>
      </c>
      <c r="T204" s="16" t="n">
        <v>0.85</v>
      </c>
      <c r="U204" s="16" t="n">
        <v>0.75</v>
      </c>
      <c r="V204" s="16" t="n">
        <v>0.8100000000000001</v>
      </c>
      <c r="W204" s="16" t="n">
        <v>0.75</v>
      </c>
      <c r="X204" s="16" t="n">
        <v>0.8</v>
      </c>
      <c r="Y204" s="16" t="n"/>
      <c r="Z204" s="16" t="n">
        <v>8.019353512164971</v>
      </c>
      <c r="AA204" s="16" t="n">
        <v>148.3486718312671</v>
      </c>
      <c r="AB204" s="16" t="n">
        <v>2018.181818181818</v>
      </c>
      <c r="AC204" s="16" t="n">
        <v>3.055555555555555</v>
      </c>
      <c r="AD204" s="16" t="inlineStr">
        <is>
          <t>O2</t>
        </is>
      </c>
      <c r="AE204" s="16" t="n"/>
    </row>
    <row r="205">
      <c r="A205" s="16" t="inlineStr">
        <is>
          <t>KF-M02-N2-A-0029</t>
        </is>
      </c>
      <c r="B205" s="16" t="inlineStr">
        <is>
          <t>2.2</t>
        </is>
      </c>
      <c r="C205" s="16" t="inlineStr">
        <is>
          <t>2.2a</t>
        </is>
      </c>
      <c r="D205" s="16" t="inlineStr">
        <is>
          <t>conservar la fuente (ε_HRVG × P_baja)</t>
        </is>
      </c>
      <c r="E205" s="16" t="inlineStr">
        <is>
          <t>KF-M02-N2</t>
        </is>
      </c>
      <c r="F205" s="16" t="inlineStr">
        <is>
          <t>KF-M02-N2-A</t>
        </is>
      </c>
      <c r="G205" s="16" t="inlineStr">
        <is>
          <t>B03-A</t>
        </is>
      </c>
      <c r="H205" s="16" t="inlineStr">
        <is>
          <t>malla</t>
        </is>
      </c>
      <c r="I205" s="16" t="inlineStr">
        <is>
          <t>CORREGIBLE</t>
        </is>
      </c>
      <c r="J205" s="16" t="inlineStr">
        <is>
          <t>CORREGIBLE</t>
        </is>
      </c>
      <c r="K205" s="16" t="b">
        <v>1</v>
      </c>
      <c r="L205" s="16" t="b">
        <v>0</v>
      </c>
      <c r="M205" s="16" t="b">
        <v>1</v>
      </c>
      <c r="N205" s="16" t="b">
        <v>0</v>
      </c>
      <c r="O205" s="16" t="n">
        <v>623.15</v>
      </c>
      <c r="P205" s="16" t="n">
        <v>300.032917</v>
      </c>
      <c r="Q205" s="16" t="n">
        <v>3000</v>
      </c>
      <c r="R205" s="16" t="n">
        <v>1127.272727272728</v>
      </c>
      <c r="S205" s="16" t="n">
        <v>0.5</v>
      </c>
      <c r="T205" s="16" t="n">
        <v>0.85</v>
      </c>
      <c r="U205" s="16" t="n">
        <v>0.75</v>
      </c>
      <c r="V205" s="16" t="n">
        <v>0.8100000000000001</v>
      </c>
      <c r="W205" s="16" t="n">
        <v>0.75</v>
      </c>
      <c r="X205" s="16" t="n">
        <v>0.8</v>
      </c>
      <c r="Y205" s="16" t="n"/>
      <c r="Z205" s="16" t="n">
        <v>7.14555520843374</v>
      </c>
      <c r="AA205" s="16" t="n">
        <v>132.1854770973047</v>
      </c>
      <c r="AB205" s="16" t="n">
        <v>1872.727272727272</v>
      </c>
      <c r="AC205" s="16" t="n">
        <v>2.661290322580644</v>
      </c>
      <c r="AD205" s="16" t="inlineStr">
        <is>
          <t>O2</t>
        </is>
      </c>
      <c r="AE205" s="16" t="n"/>
    </row>
    <row r="206">
      <c r="A206" s="16" t="inlineStr">
        <is>
          <t>KF-M02-N2-A-0030</t>
        </is>
      </c>
      <c r="B206" s="16" t="inlineStr">
        <is>
          <t>2.2</t>
        </is>
      </c>
      <c r="C206" s="16" t="inlineStr">
        <is>
          <t>2.2a</t>
        </is>
      </c>
      <c r="D206" s="16" t="inlineStr">
        <is>
          <t>conservar la fuente (ε_HRVG × P_baja)</t>
        </is>
      </c>
      <c r="E206" s="16" t="inlineStr">
        <is>
          <t>KF-M02-N2</t>
        </is>
      </c>
      <c r="F206" s="16" t="inlineStr">
        <is>
          <t>KF-M02-N2-A</t>
        </is>
      </c>
      <c r="G206" s="16" t="inlineStr">
        <is>
          <t>B03-A</t>
        </is>
      </c>
      <c r="H206" s="16" t="inlineStr">
        <is>
          <t>malla</t>
        </is>
      </c>
      <c r="I206" s="16" t="inlineStr">
        <is>
          <t>CORREGIBLE</t>
        </is>
      </c>
      <c r="J206" s="16" t="inlineStr">
        <is>
          <t>CORREGIBLE</t>
        </is>
      </c>
      <c r="K206" s="16" t="b">
        <v>1</v>
      </c>
      <c r="L206" s="16" t="b">
        <v>0</v>
      </c>
      <c r="M206" s="16" t="b">
        <v>1</v>
      </c>
      <c r="N206" s="16" t="b">
        <v>0</v>
      </c>
      <c r="O206" s="16" t="n">
        <v>623.15</v>
      </c>
      <c r="P206" s="16" t="n">
        <v>300.032917</v>
      </c>
      <c r="Q206" s="16" t="n">
        <v>3000</v>
      </c>
      <c r="R206" s="16" t="n">
        <v>1272.727272727273</v>
      </c>
      <c r="S206" s="16" t="n">
        <v>0.5</v>
      </c>
      <c r="T206" s="16" t="n">
        <v>0.85</v>
      </c>
      <c r="U206" s="16" t="n">
        <v>0.75</v>
      </c>
      <c r="V206" s="16" t="n">
        <v>0.8100000000000001</v>
      </c>
      <c r="W206" s="16" t="n">
        <v>0.75</v>
      </c>
      <c r="X206" s="16" t="n">
        <v>0.8</v>
      </c>
      <c r="Y206" s="16" t="n"/>
      <c r="Z206" s="16" t="n">
        <v>6.35302078168082</v>
      </c>
      <c r="AA206" s="16" t="n">
        <v>117.5101168376202</v>
      </c>
      <c r="AB206" s="16" t="n">
        <v>1727.272727272727</v>
      </c>
      <c r="AC206" s="16" t="n">
        <v>2.357142857142857</v>
      </c>
      <c r="AD206" s="16" t="inlineStr">
        <is>
          <t>O2</t>
        </is>
      </c>
      <c r="AE206" s="16" t="n"/>
    </row>
    <row r="207">
      <c r="A207" s="16" t="inlineStr">
        <is>
          <t>KF-M02-N2-A-0031</t>
        </is>
      </c>
      <c r="B207" s="16" t="inlineStr">
        <is>
          <t>2.2</t>
        </is>
      </c>
      <c r="C207" s="16" t="inlineStr">
        <is>
          <t>2.2a</t>
        </is>
      </c>
      <c r="D207" s="16" t="inlineStr">
        <is>
          <t>conservar la fuente (ε_HRVG × P_baja)</t>
        </is>
      </c>
      <c r="E207" s="16" t="inlineStr">
        <is>
          <t>KF-M02-N2</t>
        </is>
      </c>
      <c r="F207" s="16" t="inlineStr">
        <is>
          <t>KF-M02-N2-A</t>
        </is>
      </c>
      <c r="G207" s="16" t="inlineStr">
        <is>
          <t>B03-A</t>
        </is>
      </c>
      <c r="H207" s="16" t="inlineStr">
        <is>
          <t>malla</t>
        </is>
      </c>
      <c r="I207" s="16" t="inlineStr">
        <is>
          <t>CORREGIBLE</t>
        </is>
      </c>
      <c r="J207" s="16" t="inlineStr">
        <is>
          <t>CORREGIBLE</t>
        </is>
      </c>
      <c r="K207" s="16" t="b">
        <v>1</v>
      </c>
      <c r="L207" s="16" t="b">
        <v>0</v>
      </c>
      <c r="M207" s="16" t="b">
        <v>1</v>
      </c>
      <c r="N207" s="16" t="b">
        <v>0</v>
      </c>
      <c r="O207" s="16" t="n">
        <v>623.15</v>
      </c>
      <c r="P207" s="16" t="n">
        <v>300.032917</v>
      </c>
      <c r="Q207" s="16" t="n">
        <v>3000</v>
      </c>
      <c r="R207" s="16" t="n">
        <v>1418.181818181818</v>
      </c>
      <c r="S207" s="16" t="n">
        <v>0.5</v>
      </c>
      <c r="T207" s="16" t="n">
        <v>0.85</v>
      </c>
      <c r="U207" s="16" t="n">
        <v>0.75</v>
      </c>
      <c r="V207" s="16" t="n">
        <v>0.8100000000000001</v>
      </c>
      <c r="W207" s="16" t="n">
        <v>0.75</v>
      </c>
      <c r="X207" s="16" t="n">
        <v>0.8</v>
      </c>
      <c r="Y207" s="16" t="n"/>
      <c r="Z207" s="16" t="n">
        <v>5.62587556863894</v>
      </c>
      <c r="AA207" s="16" t="n">
        <v>104.0380092169974</v>
      </c>
      <c r="AB207" s="16" t="n">
        <v>1581.818181818182</v>
      </c>
      <c r="AC207" s="16" t="n">
        <v>2.115384615384615</v>
      </c>
      <c r="AD207" s="16" t="inlineStr">
        <is>
          <t>O2</t>
        </is>
      </c>
      <c r="AE207" s="16" t="n"/>
    </row>
    <row r="208">
      <c r="A208" s="16" t="inlineStr">
        <is>
          <t>KF-M02-N2-A-0032</t>
        </is>
      </c>
      <c r="B208" s="16" t="inlineStr">
        <is>
          <t>2.2</t>
        </is>
      </c>
      <c r="C208" s="16" t="inlineStr">
        <is>
          <t>2.2a</t>
        </is>
      </c>
      <c r="D208" s="16" t="inlineStr">
        <is>
          <t>conservar la fuente (ε_HRVG × P_baja)</t>
        </is>
      </c>
      <c r="E208" s="16" t="inlineStr">
        <is>
          <t>KF-M02-N2</t>
        </is>
      </c>
      <c r="F208" s="16" t="inlineStr">
        <is>
          <t>KF-M02-N2-A</t>
        </is>
      </c>
      <c r="G208" s="16" t="inlineStr">
        <is>
          <t>B03-A</t>
        </is>
      </c>
      <c r="H208" s="16" t="inlineStr">
        <is>
          <t>malla</t>
        </is>
      </c>
      <c r="I208" s="16" t="inlineStr">
        <is>
          <t>CORREGIBLE</t>
        </is>
      </c>
      <c r="J208" s="16" t="inlineStr">
        <is>
          <t>CORREGIBLE</t>
        </is>
      </c>
      <c r="K208" s="16" t="b">
        <v>1</v>
      </c>
      <c r="L208" s="16" t="b">
        <v>0</v>
      </c>
      <c r="M208" s="16" t="b">
        <v>1</v>
      </c>
      <c r="N208" s="16" t="b">
        <v>0</v>
      </c>
      <c r="O208" s="16" t="n">
        <v>623.15</v>
      </c>
      <c r="P208" s="16" t="n">
        <v>300.032917</v>
      </c>
      <c r="Q208" s="16" t="n">
        <v>3000</v>
      </c>
      <c r="R208" s="16" t="n">
        <v>1563.636363636364</v>
      </c>
      <c r="S208" s="16" t="n">
        <v>0.5</v>
      </c>
      <c r="T208" s="16" t="n">
        <v>0.85</v>
      </c>
      <c r="U208" s="16" t="n">
        <v>0.75</v>
      </c>
      <c r="V208" s="16" t="n">
        <v>0.8100000000000001</v>
      </c>
      <c r="W208" s="16" t="n">
        <v>0.75</v>
      </c>
      <c r="X208" s="16" t="n">
        <v>0.8</v>
      </c>
      <c r="Y208" s="16" t="n"/>
      <c r="Z208" s="16" t="n">
        <v>4.95262475053262</v>
      </c>
      <c r="AA208" s="16" t="n">
        <v>91.56186361067532</v>
      </c>
      <c r="AB208" s="16" t="n">
        <v>1436.363636363636</v>
      </c>
      <c r="AC208" s="16" t="n">
        <v>1.918604651162791</v>
      </c>
      <c r="AD208" s="16" t="inlineStr">
        <is>
          <t>O2</t>
        </is>
      </c>
      <c r="AE208" s="16" t="n"/>
    </row>
    <row r="209">
      <c r="A209" s="16" t="inlineStr">
        <is>
          <t>KF-M02-N2-A-0033</t>
        </is>
      </c>
      <c r="B209" s="16" t="inlineStr">
        <is>
          <t>2.2</t>
        </is>
      </c>
      <c r="C209" s="16" t="inlineStr">
        <is>
          <t>2.2a</t>
        </is>
      </c>
      <c r="D209" s="16" t="inlineStr">
        <is>
          <t>conservar la fuente (ε_HRVG × P_baja)</t>
        </is>
      </c>
      <c r="E209" s="16" t="inlineStr">
        <is>
          <t>KF-M02-N2</t>
        </is>
      </c>
      <c r="F209" s="16" t="inlineStr">
        <is>
          <t>KF-M02-N2-A</t>
        </is>
      </c>
      <c r="G209" s="16" t="inlineStr">
        <is>
          <t>B03-A</t>
        </is>
      </c>
      <c r="H209" s="16" t="inlineStr">
        <is>
          <t>malla</t>
        </is>
      </c>
      <c r="I209" s="16" t="inlineStr">
        <is>
          <t>CORREGIBLE</t>
        </is>
      </c>
      <c r="J209" s="16" t="inlineStr">
        <is>
          <t>CORREGIBLE</t>
        </is>
      </c>
      <c r="K209" s="16" t="b">
        <v>1</v>
      </c>
      <c r="L209" s="16" t="b">
        <v>0</v>
      </c>
      <c r="M209" s="16" t="b">
        <v>1</v>
      </c>
      <c r="N209" s="16" t="b">
        <v>0</v>
      </c>
      <c r="O209" s="16" t="n">
        <v>623.15</v>
      </c>
      <c r="P209" s="16" t="n">
        <v>300.032917</v>
      </c>
      <c r="Q209" s="16" t="n">
        <v>3000</v>
      </c>
      <c r="R209" s="16" t="n">
        <v>1709.090909090909</v>
      </c>
      <c r="S209" s="16" t="n">
        <v>0.5</v>
      </c>
      <c r="T209" s="16" t="n">
        <v>0.85</v>
      </c>
      <c r="U209" s="16" t="n">
        <v>0.75</v>
      </c>
      <c r="V209" s="16" t="n">
        <v>0.8100000000000001</v>
      </c>
      <c r="W209" s="16" t="n">
        <v>0.75</v>
      </c>
      <c r="X209" s="16" t="n">
        <v>0.8</v>
      </c>
      <c r="Y209" s="16" t="n"/>
      <c r="Z209" s="16" t="n">
        <v>4.3246561975807</v>
      </c>
      <c r="AA209" s="16" t="n">
        <v>79.92558408542773</v>
      </c>
      <c r="AB209" s="16" t="n">
        <v>1290.909090909091</v>
      </c>
      <c r="AC209" s="16" t="n">
        <v>1.75531914893617</v>
      </c>
      <c r="AD209" s="16" t="inlineStr">
        <is>
          <t>O2</t>
        </is>
      </c>
      <c r="AE209" s="16" t="n"/>
    </row>
    <row r="210">
      <c r="A210" s="16" t="inlineStr">
        <is>
          <t>KF-M02-N2-A-0034</t>
        </is>
      </c>
      <c r="B210" s="16" t="inlineStr">
        <is>
          <t>2.2</t>
        </is>
      </c>
      <c r="C210" s="16" t="inlineStr">
        <is>
          <t>2.2a</t>
        </is>
      </c>
      <c r="D210" s="16" t="inlineStr">
        <is>
          <t>conservar la fuente (ε_HRVG × P_baja)</t>
        </is>
      </c>
      <c r="E210" s="16" t="inlineStr">
        <is>
          <t>KF-M02-N2</t>
        </is>
      </c>
      <c r="F210" s="16" t="inlineStr">
        <is>
          <t>KF-M02-N2-A</t>
        </is>
      </c>
      <c r="G210" s="16" t="inlineStr">
        <is>
          <t>B03-A</t>
        </is>
      </c>
      <c r="H210" s="16" t="inlineStr">
        <is>
          <t>malla</t>
        </is>
      </c>
      <c r="I210" s="16" t="inlineStr">
        <is>
          <t>CORREGIBLE</t>
        </is>
      </c>
      <c r="J210" s="16" t="inlineStr">
        <is>
          <t>CORREGIBLE</t>
        </is>
      </c>
      <c r="K210" s="16" t="b">
        <v>1</v>
      </c>
      <c r="L210" s="16" t="b">
        <v>0</v>
      </c>
      <c r="M210" s="16" t="b">
        <v>1</v>
      </c>
      <c r="N210" s="16" t="b">
        <v>0</v>
      </c>
      <c r="O210" s="16" t="n">
        <v>623.15</v>
      </c>
      <c r="P210" s="16" t="n">
        <v>300.032917</v>
      </c>
      <c r="Q210" s="16" t="n">
        <v>3000</v>
      </c>
      <c r="R210" s="16" t="n">
        <v>1854.545454545455</v>
      </c>
      <c r="S210" s="16" t="n">
        <v>0.5</v>
      </c>
      <c r="T210" s="16" t="n">
        <v>0.85</v>
      </c>
      <c r="U210" s="16" t="n">
        <v>0.75</v>
      </c>
      <c r="V210" s="16" t="n">
        <v>0.8100000000000001</v>
      </c>
      <c r="W210" s="16" t="n">
        <v>0.75</v>
      </c>
      <c r="X210" s="16" t="n">
        <v>0.8</v>
      </c>
      <c r="Y210" s="16" t="n"/>
      <c r="Z210" s="16" t="n">
        <v>3.7353393604471</v>
      </c>
      <c r="AA210" s="16" t="n">
        <v>69.00846189123166</v>
      </c>
      <c r="AB210" s="16" t="n">
        <v>1145.454545454545</v>
      </c>
      <c r="AC210" s="16" t="n">
        <v>1.617647058823529</v>
      </c>
      <c r="AD210" s="16" t="inlineStr">
        <is>
          <t>O2</t>
        </is>
      </c>
      <c r="AE210" s="16" t="n"/>
    </row>
    <row r="211">
      <c r="A211" s="16" t="inlineStr">
        <is>
          <t>KF-M02-N2-A-0035</t>
        </is>
      </c>
      <c r="B211" s="16" t="inlineStr">
        <is>
          <t>2.2</t>
        </is>
      </c>
      <c r="C211" s="16" t="inlineStr">
        <is>
          <t>2.2a</t>
        </is>
      </c>
      <c r="D211" s="16" t="inlineStr">
        <is>
          <t>conservar la fuente (ε_HRVG × P_baja)</t>
        </is>
      </c>
      <c r="E211" s="16" t="inlineStr">
        <is>
          <t>KF-M02-N2</t>
        </is>
      </c>
      <c r="F211" s="16" t="inlineStr">
        <is>
          <t>KF-M02-N2-A</t>
        </is>
      </c>
      <c r="G211" s="16" t="inlineStr">
        <is>
          <t>B03-A</t>
        </is>
      </c>
      <c r="H211" s="16" t="inlineStr">
        <is>
          <t>malla</t>
        </is>
      </c>
      <c r="I211" s="16" t="inlineStr">
        <is>
          <t>CORREGIBLE</t>
        </is>
      </c>
      <c r="J211" s="16" t="inlineStr">
        <is>
          <t>CORREGIBLE</t>
        </is>
      </c>
      <c r="K211" s="16" t="b">
        <v>1</v>
      </c>
      <c r="L211" s="16" t="b">
        <v>0</v>
      </c>
      <c r="M211" s="16" t="b">
        <v>1</v>
      </c>
      <c r="N211" s="16" t="b">
        <v>0</v>
      </c>
      <c r="O211" s="16" t="n">
        <v>623.15</v>
      </c>
      <c r="P211" s="16" t="n">
        <v>300.032917</v>
      </c>
      <c r="Q211" s="16" t="n">
        <v>3000</v>
      </c>
      <c r="R211" s="16" t="n">
        <v>2000</v>
      </c>
      <c r="S211" s="16" t="n">
        <v>0.5</v>
      </c>
      <c r="T211" s="16" t="n">
        <v>0.85</v>
      </c>
      <c r="U211" s="16" t="n">
        <v>0.75</v>
      </c>
      <c r="V211" s="16" t="n">
        <v>0.8100000000000001</v>
      </c>
      <c r="W211" s="16" t="n">
        <v>0.75</v>
      </c>
      <c r="X211" s="16" t="n">
        <v>0.8</v>
      </c>
      <c r="Y211" s="16" t="n"/>
      <c r="Z211" s="16" t="n">
        <v>3.17945006872843</v>
      </c>
      <c r="AA211" s="16" t="n">
        <v>58.71502437191691</v>
      </c>
      <c r="AB211" s="16" t="n">
        <v>1000</v>
      </c>
      <c r="AC211" s="16" t="n">
        <v>1.5</v>
      </c>
      <c r="AD211" s="16" t="inlineStr">
        <is>
          <t>O2</t>
        </is>
      </c>
      <c r="AE211" s="16" t="n"/>
    </row>
    <row r="212">
      <c r="A212" s="16" t="inlineStr">
        <is>
          <t>KF-M02-N2-B-0000</t>
        </is>
      </c>
      <c r="B212" s="16" t="inlineStr">
        <is>
          <t>2.2</t>
        </is>
      </c>
      <c r="C212" s="16" t="inlineStr">
        <is>
          <t>2.2b</t>
        </is>
      </c>
      <c r="D212" s="16" t="inlineStr">
        <is>
          <t>bajar la fuente (T_fuente × P_baja)</t>
        </is>
      </c>
      <c r="E212" s="16" t="inlineStr">
        <is>
          <t>KF-M02-N2</t>
        </is>
      </c>
      <c r="F212" s="16" t="inlineStr">
        <is>
          <t>KF-M02-N2-B</t>
        </is>
      </c>
      <c r="G212" s="16" t="inlineStr">
        <is>
          <t>B03-B</t>
        </is>
      </c>
      <c r="H212" s="16" t="inlineStr">
        <is>
          <t>malla</t>
        </is>
      </c>
      <c r="I212" s="16" t="inlineStr">
        <is>
          <t>N2</t>
        </is>
      </c>
      <c r="J212" s="16" t="inlineStr">
        <is>
          <t>NO_CONVERGIO</t>
        </is>
      </c>
      <c r="K212" s="16" t="b">
        <v>0</v>
      </c>
      <c r="L212" s="16" t="b">
        <v>0</v>
      </c>
      <c r="M212" s="16" t="b">
        <v>0</v>
      </c>
      <c r="N212" s="16" t="b">
        <v>0</v>
      </c>
      <c r="O212" s="16" t="n">
        <v>380</v>
      </c>
      <c r="P212" s="16" t="n">
        <v>300.032917</v>
      </c>
      <c r="Q212" s="16" t="n">
        <v>3000</v>
      </c>
      <c r="R212" s="16" t="n">
        <v>400</v>
      </c>
      <c r="S212" s="16" t="n">
        <v>0.5</v>
      </c>
      <c r="T212" s="16" t="n">
        <v>0.85</v>
      </c>
      <c r="U212" s="16" t="n">
        <v>0.75</v>
      </c>
      <c r="V212" s="16" t="n">
        <v>0.85</v>
      </c>
      <c r="W212" s="16" t="n">
        <v>0.75</v>
      </c>
      <c r="X212" s="16" t="n">
        <v>0.8</v>
      </c>
      <c r="Y212" s="16" t="n"/>
      <c r="Z212" s="16" t="n">
        <v>-45.92787193862521</v>
      </c>
      <c r="AA212" s="16" t="n">
        <v>-28.39923321724847</v>
      </c>
      <c r="AB212" s="16" t="n">
        <v>2600</v>
      </c>
      <c r="AC212" s="16" t="n">
        <v>7.5</v>
      </c>
      <c r="AD212" s="16" t="inlineStr">
        <is>
          <t>N2,S6,O3,O5,C1,C3,C3</t>
        </is>
      </c>
      <c r="AE212" s="16" t="n"/>
    </row>
    <row r="213">
      <c r="A213" s="16" t="inlineStr">
        <is>
          <t>KF-M02-N2-B-0001</t>
        </is>
      </c>
      <c r="B213" s="16" t="inlineStr">
        <is>
          <t>2.2</t>
        </is>
      </c>
      <c r="C213" s="16" t="inlineStr">
        <is>
          <t>2.2b</t>
        </is>
      </c>
      <c r="D213" s="16" t="inlineStr">
        <is>
          <t>bajar la fuente (T_fuente × P_baja)</t>
        </is>
      </c>
      <c r="E213" s="16" t="inlineStr">
        <is>
          <t>KF-M02-N2</t>
        </is>
      </c>
      <c r="F213" s="16" t="inlineStr">
        <is>
          <t>KF-M02-N2-B</t>
        </is>
      </c>
      <c r="G213" s="16" t="inlineStr">
        <is>
          <t>B03-B</t>
        </is>
      </c>
      <c r="H213" s="16" t="inlineStr">
        <is>
          <t>malla</t>
        </is>
      </c>
      <c r="I213" s="16" t="inlineStr">
        <is>
          <t>N2</t>
        </is>
      </c>
      <c r="J213" s="16" t="inlineStr">
        <is>
          <t>NO_CONVERGIO</t>
        </is>
      </c>
      <c r="K213" s="16" t="b">
        <v>0</v>
      </c>
      <c r="L213" s="16" t="b">
        <v>0</v>
      </c>
      <c r="M213" s="16" t="b">
        <v>0</v>
      </c>
      <c r="N213" s="16" t="b">
        <v>0</v>
      </c>
      <c r="O213" s="16" t="n">
        <v>380</v>
      </c>
      <c r="P213" s="16" t="n">
        <v>300.032917</v>
      </c>
      <c r="Q213" s="16" t="n">
        <v>3000</v>
      </c>
      <c r="R213" s="16" t="n">
        <v>1127.272727272728</v>
      </c>
      <c r="S213" s="16" t="n">
        <v>0.5</v>
      </c>
      <c r="T213" s="16" t="n">
        <v>0.85</v>
      </c>
      <c r="U213" s="16" t="n">
        <v>0.75</v>
      </c>
      <c r="V213" s="16" t="n">
        <v>0.85</v>
      </c>
      <c r="W213" s="16" t="n">
        <v>0.75</v>
      </c>
      <c r="X213" s="16" t="n">
        <v>0.8</v>
      </c>
      <c r="Y213" s="16" t="n"/>
      <c r="Z213" s="16" t="n">
        <v>-25.1827921539822</v>
      </c>
      <c r="AA213" s="16" t="n">
        <v>-15.6998782847889</v>
      </c>
      <c r="AB213" s="16" t="n">
        <v>1872.727272727272</v>
      </c>
      <c r="AC213" s="16" t="n">
        <v>2.661290322580644</v>
      </c>
      <c r="AD213" s="16" t="inlineStr">
        <is>
          <t>N2,S6,O3,O5,C1,C3,C3</t>
        </is>
      </c>
      <c r="AE213" s="16" t="n"/>
    </row>
    <row r="214">
      <c r="A214" s="16" t="inlineStr">
        <is>
          <t>KF-M02-N2-B-0002</t>
        </is>
      </c>
      <c r="B214" s="16" t="inlineStr">
        <is>
          <t>2.2</t>
        </is>
      </c>
      <c r="C214" s="16" t="inlineStr">
        <is>
          <t>2.2b</t>
        </is>
      </c>
      <c r="D214" s="16" t="inlineStr">
        <is>
          <t>bajar la fuente (T_fuente × P_baja)</t>
        </is>
      </c>
      <c r="E214" s="16" t="inlineStr">
        <is>
          <t>KF-M02-N2</t>
        </is>
      </c>
      <c r="F214" s="16" t="inlineStr">
        <is>
          <t>KF-M02-N2-B</t>
        </is>
      </c>
      <c r="G214" s="16" t="inlineStr">
        <is>
          <t>B03-B</t>
        </is>
      </c>
      <c r="H214" s="16" t="inlineStr">
        <is>
          <t>malla</t>
        </is>
      </c>
      <c r="I214" s="16" t="inlineStr">
        <is>
          <t>N2</t>
        </is>
      </c>
      <c r="J214" s="16" t="inlineStr">
        <is>
          <t>NO_CONVERGIO</t>
        </is>
      </c>
      <c r="K214" s="16" t="b">
        <v>0</v>
      </c>
      <c r="L214" s="16" t="b">
        <v>0</v>
      </c>
      <c r="M214" s="16" t="b">
        <v>0</v>
      </c>
      <c r="N214" s="16" t="b">
        <v>0</v>
      </c>
      <c r="O214" s="16" t="n">
        <v>380</v>
      </c>
      <c r="P214" s="16" t="n">
        <v>300.032917</v>
      </c>
      <c r="Q214" s="16" t="n">
        <v>3000</v>
      </c>
      <c r="R214" s="16" t="n">
        <v>545.4545454545455</v>
      </c>
      <c r="S214" s="16" t="n">
        <v>0.5</v>
      </c>
      <c r="T214" s="16" t="n">
        <v>0.85</v>
      </c>
      <c r="U214" s="16" t="n">
        <v>0.75</v>
      </c>
      <c r="V214" s="16" t="n">
        <v>0.85</v>
      </c>
      <c r="W214" s="16" t="n">
        <v>0.75</v>
      </c>
      <c r="X214" s="16" t="n">
        <v>0.8</v>
      </c>
      <c r="Y214" s="16" t="n"/>
      <c r="Z214" s="16" t="n">
        <v>-40.19122661230706</v>
      </c>
      <c r="AA214" s="16" t="n">
        <v>-24.9059511233206</v>
      </c>
      <c r="AB214" s="16" t="n">
        <v>2454.545454545455</v>
      </c>
      <c r="AC214" s="16" t="n">
        <v>5.5</v>
      </c>
      <c r="AD214" s="16" t="inlineStr">
        <is>
          <t>N2,S6,O3,O5,C1,C3,C3</t>
        </is>
      </c>
      <c r="AE214" s="16" t="n"/>
    </row>
    <row r="215">
      <c r="A215" s="16" t="inlineStr">
        <is>
          <t>KF-M02-N2-B-0003</t>
        </is>
      </c>
      <c r="B215" s="16" t="inlineStr">
        <is>
          <t>2.2</t>
        </is>
      </c>
      <c r="C215" s="16" t="inlineStr">
        <is>
          <t>2.2b</t>
        </is>
      </c>
      <c r="D215" s="16" t="inlineStr">
        <is>
          <t>bajar la fuente (T_fuente × P_baja)</t>
        </is>
      </c>
      <c r="E215" s="16" t="inlineStr">
        <is>
          <t>KF-M02-N2</t>
        </is>
      </c>
      <c r="F215" s="16" t="inlineStr">
        <is>
          <t>KF-M02-N2-B</t>
        </is>
      </c>
      <c r="G215" s="16" t="inlineStr">
        <is>
          <t>B03-B</t>
        </is>
      </c>
      <c r="H215" s="16" t="inlineStr">
        <is>
          <t>malla</t>
        </is>
      </c>
      <c r="I215" s="16" t="inlineStr">
        <is>
          <t>N2</t>
        </is>
      </c>
      <c r="J215" s="16" t="inlineStr">
        <is>
          <t>NO_CONVERGIO</t>
        </is>
      </c>
      <c r="K215" s="16" t="b">
        <v>0</v>
      </c>
      <c r="L215" s="16" t="b">
        <v>0</v>
      </c>
      <c r="M215" s="16" t="b">
        <v>0</v>
      </c>
      <c r="N215" s="16" t="b">
        <v>0</v>
      </c>
      <c r="O215" s="16" t="n">
        <v>380</v>
      </c>
      <c r="P215" s="16" t="n">
        <v>300.032917</v>
      </c>
      <c r="Q215" s="16" t="n">
        <v>3000</v>
      </c>
      <c r="R215" s="16" t="n">
        <v>836.3636363636364</v>
      </c>
      <c r="S215" s="16" t="n">
        <v>0.5</v>
      </c>
      <c r="T215" s="16" t="n">
        <v>0.85</v>
      </c>
      <c r="U215" s="16" t="n">
        <v>0.75</v>
      </c>
      <c r="V215" s="16" t="n">
        <v>0.85</v>
      </c>
      <c r="W215" s="16" t="n">
        <v>0.75</v>
      </c>
      <c r="X215" s="16" t="n">
        <v>0.8</v>
      </c>
      <c r="Y215" s="16" t="n"/>
      <c r="Z215" s="16" t="n">
        <v>-31.65859509535214</v>
      </c>
      <c r="AA215" s="16" t="n">
        <v>-19.68440996113364</v>
      </c>
      <c r="AB215" s="16" t="n">
        <v>2163.636363636364</v>
      </c>
      <c r="AC215" s="16" t="n">
        <v>3.58695652173913</v>
      </c>
      <c r="AD215" s="16" t="inlineStr">
        <is>
          <t>N2,S6,O3,O5,C1,C3,C3</t>
        </is>
      </c>
      <c r="AE215" s="16" t="n"/>
    </row>
    <row r="216">
      <c r="A216" s="16" t="inlineStr">
        <is>
          <t>KF-M02-N2-B-0004</t>
        </is>
      </c>
      <c r="B216" s="16" t="inlineStr">
        <is>
          <t>2.2</t>
        </is>
      </c>
      <c r="C216" s="16" t="inlineStr">
        <is>
          <t>2.2b</t>
        </is>
      </c>
      <c r="D216" s="16" t="inlineStr">
        <is>
          <t>bajar la fuente (T_fuente × P_baja)</t>
        </is>
      </c>
      <c r="E216" s="16" t="inlineStr">
        <is>
          <t>KF-M02-N2</t>
        </is>
      </c>
      <c r="F216" s="16" t="inlineStr">
        <is>
          <t>KF-M02-N2-B</t>
        </is>
      </c>
      <c r="G216" s="16" t="inlineStr">
        <is>
          <t>B03-B</t>
        </is>
      </c>
      <c r="H216" s="16" t="inlineStr">
        <is>
          <t>malla</t>
        </is>
      </c>
      <c r="I216" s="16" t="inlineStr">
        <is>
          <t>N2</t>
        </is>
      </c>
      <c r="J216" s="16" t="inlineStr">
        <is>
          <t>NO_CONVERGIO</t>
        </is>
      </c>
      <c r="K216" s="16" t="b">
        <v>0</v>
      </c>
      <c r="L216" s="16" t="b">
        <v>0</v>
      </c>
      <c r="M216" s="16" t="b">
        <v>0</v>
      </c>
      <c r="N216" s="16" t="b">
        <v>0</v>
      </c>
      <c r="O216" s="16" t="n">
        <v>380</v>
      </c>
      <c r="P216" s="16" t="n">
        <v>300.032917</v>
      </c>
      <c r="Q216" s="16" t="n">
        <v>3000</v>
      </c>
      <c r="R216" s="16" t="n">
        <v>981.818181818182</v>
      </c>
      <c r="S216" s="16" t="n">
        <v>0.5</v>
      </c>
      <c r="T216" s="16" t="n">
        <v>0.85</v>
      </c>
      <c r="U216" s="16" t="n">
        <v>0.75</v>
      </c>
      <c r="V216" s="16" t="n">
        <v>0.85</v>
      </c>
      <c r="W216" s="16" t="n">
        <v>0.75</v>
      </c>
      <c r="X216" s="16" t="n">
        <v>0.8</v>
      </c>
      <c r="Y216" s="16" t="n"/>
      <c r="Z216" s="16" t="n">
        <v>-28.23811888238236</v>
      </c>
      <c r="AA216" s="16" t="n">
        <v>-17.58222230245051</v>
      </c>
      <c r="AB216" s="16" t="n">
        <v>2018.181818181818</v>
      </c>
      <c r="AC216" s="16" t="n">
        <v>3.055555555555555</v>
      </c>
      <c r="AD216" s="16" t="inlineStr">
        <is>
          <t>N2,S6,O3,O5,C1,C3,C3</t>
        </is>
      </c>
      <c r="AE216" s="16" t="n"/>
    </row>
    <row r="217">
      <c r="A217" s="16" t="inlineStr">
        <is>
          <t>KF-M02-N2-B-0005</t>
        </is>
      </c>
      <c r="B217" s="16" t="inlineStr">
        <is>
          <t>2.2</t>
        </is>
      </c>
      <c r="C217" s="16" t="inlineStr">
        <is>
          <t>2.2b</t>
        </is>
      </c>
      <c r="D217" s="16" t="inlineStr">
        <is>
          <t>bajar la fuente (T_fuente × P_baja)</t>
        </is>
      </c>
      <c r="E217" s="16" t="inlineStr">
        <is>
          <t>KF-M02-N2</t>
        </is>
      </c>
      <c r="F217" s="16" t="inlineStr">
        <is>
          <t>KF-M02-N2-B</t>
        </is>
      </c>
      <c r="G217" s="16" t="inlineStr">
        <is>
          <t>B03-B</t>
        </is>
      </c>
      <c r="H217" s="16" t="inlineStr">
        <is>
          <t>malla</t>
        </is>
      </c>
      <c r="I217" s="16" t="inlineStr">
        <is>
          <t>N2</t>
        </is>
      </c>
      <c r="J217" s="16" t="inlineStr">
        <is>
          <t>NO_CONVERGIO</t>
        </is>
      </c>
      <c r="K217" s="16" t="b">
        <v>0</v>
      </c>
      <c r="L217" s="16" t="b">
        <v>0</v>
      </c>
      <c r="M217" s="16" t="b">
        <v>0</v>
      </c>
      <c r="N217" s="16" t="b">
        <v>0</v>
      </c>
      <c r="O217" s="16" t="n">
        <v>380</v>
      </c>
      <c r="P217" s="16" t="n">
        <v>300.032917</v>
      </c>
      <c r="Q217" s="16" t="n">
        <v>3000</v>
      </c>
      <c r="R217" s="16" t="n">
        <v>690.909090909091</v>
      </c>
      <c r="S217" s="16" t="n">
        <v>0.5</v>
      </c>
      <c r="T217" s="16" t="n">
        <v>0.85</v>
      </c>
      <c r="U217" s="16" t="n">
        <v>0.75</v>
      </c>
      <c r="V217" s="16" t="n">
        <v>0.85</v>
      </c>
      <c r="W217" s="16" t="n">
        <v>0.75</v>
      </c>
      <c r="X217" s="16" t="n">
        <v>0.8</v>
      </c>
      <c r="Y217" s="16" t="n"/>
      <c r="Z217" s="16" t="n">
        <v>-35.57140434170598</v>
      </c>
      <c r="AA217" s="16" t="n">
        <v>-22.08276051892078</v>
      </c>
      <c r="AB217" s="16" t="n">
        <v>2309.090909090909</v>
      </c>
      <c r="AC217" s="16" t="n">
        <v>4.342105263157894</v>
      </c>
      <c r="AD217" s="16" t="inlineStr">
        <is>
          <t>N2,S6,O3,O5,C1,C3,C3</t>
        </is>
      </c>
      <c r="AE217" s="16" t="n"/>
    </row>
    <row r="218">
      <c r="A218" s="16" t="inlineStr">
        <is>
          <t>KF-M02-N2-B-0006</t>
        </is>
      </c>
      <c r="B218" s="16" t="inlineStr">
        <is>
          <t>2.2</t>
        </is>
      </c>
      <c r="C218" s="16" t="inlineStr">
        <is>
          <t>2.2b</t>
        </is>
      </c>
      <c r="D218" s="16" t="inlineStr">
        <is>
          <t>bajar la fuente (T_fuente × P_baja)</t>
        </is>
      </c>
      <c r="E218" s="16" t="inlineStr">
        <is>
          <t>KF-M02-N2</t>
        </is>
      </c>
      <c r="F218" s="16" t="inlineStr">
        <is>
          <t>KF-M02-N2-B</t>
        </is>
      </c>
      <c r="G218" s="16" t="inlineStr">
        <is>
          <t>B03-B</t>
        </is>
      </c>
      <c r="H218" s="16" t="inlineStr">
        <is>
          <t>malla</t>
        </is>
      </c>
      <c r="I218" s="16" t="inlineStr">
        <is>
          <t>N2</t>
        </is>
      </c>
      <c r="J218" s="16" t="inlineStr">
        <is>
          <t>NO_CONVERGIO</t>
        </is>
      </c>
      <c r="K218" s="16" t="b">
        <v>0</v>
      </c>
      <c r="L218" s="16" t="b">
        <v>0</v>
      </c>
      <c r="M218" s="16" t="b">
        <v>0</v>
      </c>
      <c r="N218" s="16" t="b">
        <v>0</v>
      </c>
      <c r="O218" s="16" t="n">
        <v>380</v>
      </c>
      <c r="P218" s="16" t="n">
        <v>300.032917</v>
      </c>
      <c r="Q218" s="16" t="n">
        <v>3000</v>
      </c>
      <c r="R218" s="16" t="n">
        <v>1272.727272727273</v>
      </c>
      <c r="S218" s="16" t="n">
        <v>0.5</v>
      </c>
      <c r="T218" s="16" t="n">
        <v>0.85</v>
      </c>
      <c r="U218" s="16" t="n">
        <v>0.75</v>
      </c>
      <c r="V218" s="16" t="n">
        <v>0.85</v>
      </c>
      <c r="W218" s="16" t="n">
        <v>0.75</v>
      </c>
      <c r="X218" s="16" t="n">
        <v>0.8</v>
      </c>
      <c r="Y218" s="16" t="n"/>
      <c r="Z218" s="16" t="n">
        <v>-22.41053921723592</v>
      </c>
      <c r="AA218" s="16" t="n">
        <v>-13.98807984438912</v>
      </c>
      <c r="AB218" s="16" t="n">
        <v>1727.272727272727</v>
      </c>
      <c r="AC218" s="16" t="n">
        <v>2.357142857142857</v>
      </c>
      <c r="AD218" s="16" t="inlineStr">
        <is>
          <t>N2,S6,O3,O5,C1,C3,C3</t>
        </is>
      </c>
      <c r="AE218" s="16" t="n"/>
    </row>
    <row r="219">
      <c r="A219" s="16" t="inlineStr">
        <is>
          <t>KF-M02-N2-B-0007</t>
        </is>
      </c>
      <c r="B219" s="16" t="inlineStr">
        <is>
          <t>2.2</t>
        </is>
      </c>
      <c r="C219" s="16" t="inlineStr">
        <is>
          <t>2.2b</t>
        </is>
      </c>
      <c r="D219" s="16" t="inlineStr">
        <is>
          <t>bajar la fuente (T_fuente × P_baja)</t>
        </is>
      </c>
      <c r="E219" s="16" t="inlineStr">
        <is>
          <t>KF-M02-N2</t>
        </is>
      </c>
      <c r="F219" s="16" t="inlineStr">
        <is>
          <t>KF-M02-N2-B</t>
        </is>
      </c>
      <c r="G219" s="16" t="inlineStr">
        <is>
          <t>B03-B</t>
        </is>
      </c>
      <c r="H219" s="16" t="inlineStr">
        <is>
          <t>malla</t>
        </is>
      </c>
      <c r="I219" s="16" t="inlineStr">
        <is>
          <t>N2</t>
        </is>
      </c>
      <c r="J219" s="16" t="inlineStr">
        <is>
          <t>NO_CONVERGIO</t>
        </is>
      </c>
      <c r="K219" s="16" t="b">
        <v>0</v>
      </c>
      <c r="L219" s="16" t="b">
        <v>0</v>
      </c>
      <c r="M219" s="16" t="b">
        <v>0</v>
      </c>
      <c r="N219" s="16" t="b">
        <v>0</v>
      </c>
      <c r="O219" s="16" t="n">
        <v>380</v>
      </c>
      <c r="P219" s="16" t="n">
        <v>300.032917</v>
      </c>
      <c r="Q219" s="16" t="n">
        <v>3000</v>
      </c>
      <c r="R219" s="16" t="n">
        <v>1418.181818181818</v>
      </c>
      <c r="S219" s="16" t="n">
        <v>0.5</v>
      </c>
      <c r="T219" s="16" t="n">
        <v>0.85</v>
      </c>
      <c r="U219" s="16" t="n">
        <v>0.75</v>
      </c>
      <c r="V219" s="16" t="n">
        <v>0.85</v>
      </c>
      <c r="W219" s="16" t="n">
        <v>0.75</v>
      </c>
      <c r="X219" s="16" t="n">
        <v>0.8</v>
      </c>
      <c r="Y219" s="16" t="n"/>
      <c r="Z219" s="16" t="n">
        <v>-19.86498657033729</v>
      </c>
      <c r="AA219" s="16" t="n">
        <v>-12.41293766512589</v>
      </c>
      <c r="AB219" s="16" t="n">
        <v>1581.818181818182</v>
      </c>
      <c r="AC219" s="16" t="n">
        <v>2.115384615384615</v>
      </c>
      <c r="AD219" s="16" t="inlineStr">
        <is>
          <t>N2,S6,O3,O5,C1,C3,C3</t>
        </is>
      </c>
      <c r="AE219" s="16" t="n"/>
    </row>
    <row r="220">
      <c r="A220" s="16" t="inlineStr">
        <is>
          <t>KF-M02-N2-B-0008</t>
        </is>
      </c>
      <c r="B220" s="16" t="inlineStr">
        <is>
          <t>2.2</t>
        </is>
      </c>
      <c r="C220" s="16" t="inlineStr">
        <is>
          <t>2.2b</t>
        </is>
      </c>
      <c r="D220" s="16" t="inlineStr">
        <is>
          <t>bajar la fuente (T_fuente × P_baja)</t>
        </is>
      </c>
      <c r="E220" s="16" t="inlineStr">
        <is>
          <t>KF-M02-N2</t>
        </is>
      </c>
      <c r="F220" s="16" t="inlineStr">
        <is>
          <t>KF-M02-N2-B</t>
        </is>
      </c>
      <c r="G220" s="16" t="inlineStr">
        <is>
          <t>B03-B</t>
        </is>
      </c>
      <c r="H220" s="16" t="inlineStr">
        <is>
          <t>malla</t>
        </is>
      </c>
      <c r="I220" s="16" t="inlineStr">
        <is>
          <t>N2</t>
        </is>
      </c>
      <c r="J220" s="16" t="inlineStr">
        <is>
          <t>NO_CONVERGIO</t>
        </is>
      </c>
      <c r="K220" s="16" t="b">
        <v>0</v>
      </c>
      <c r="L220" s="16" t="b">
        <v>0</v>
      </c>
      <c r="M220" s="16" t="b">
        <v>0</v>
      </c>
      <c r="N220" s="16" t="b">
        <v>0</v>
      </c>
      <c r="O220" s="16" t="n">
        <v>380</v>
      </c>
      <c r="P220" s="16" t="n">
        <v>300.032917</v>
      </c>
      <c r="Q220" s="16" t="n">
        <v>3000</v>
      </c>
      <c r="R220" s="16" t="n">
        <v>1563.636363636364</v>
      </c>
      <c r="S220" s="16" t="n">
        <v>0.5</v>
      </c>
      <c r="T220" s="16" t="n">
        <v>0.85</v>
      </c>
      <c r="U220" s="16" t="n">
        <v>0.75</v>
      </c>
      <c r="V220" s="16" t="n">
        <v>0.85</v>
      </c>
      <c r="W220" s="16" t="n">
        <v>0.75</v>
      </c>
      <c r="X220" s="16" t="n">
        <v>0.8</v>
      </c>
      <c r="Y220" s="16" t="n"/>
      <c r="Z220" s="16" t="n">
        <v>-17.50555563379363</v>
      </c>
      <c r="AA220" s="16" t="n">
        <v>-10.9500397031226</v>
      </c>
      <c r="AB220" s="16" t="n">
        <v>1436.363636363636</v>
      </c>
      <c r="AC220" s="16" t="n">
        <v>1.918604651162791</v>
      </c>
      <c r="AD220" s="16" t="inlineStr">
        <is>
          <t>N2,S6,O3,O5,C1,C3,C3</t>
        </is>
      </c>
      <c r="AE220" s="16" t="n"/>
    </row>
    <row r="221">
      <c r="A221" s="16" t="inlineStr">
        <is>
          <t>KF-M02-N2-B-0009</t>
        </is>
      </c>
      <c r="B221" s="16" t="inlineStr">
        <is>
          <t>2.2</t>
        </is>
      </c>
      <c r="C221" s="16" t="inlineStr">
        <is>
          <t>2.2b</t>
        </is>
      </c>
      <c r="D221" s="16" t="inlineStr">
        <is>
          <t>bajar la fuente (T_fuente × P_baja)</t>
        </is>
      </c>
      <c r="E221" s="16" t="inlineStr">
        <is>
          <t>KF-M02-N2</t>
        </is>
      </c>
      <c r="F221" s="16" t="inlineStr">
        <is>
          <t>KF-M02-N2-B</t>
        </is>
      </c>
      <c r="G221" s="16" t="inlineStr">
        <is>
          <t>B03-B</t>
        </is>
      </c>
      <c r="H221" s="16" t="inlineStr">
        <is>
          <t>malla</t>
        </is>
      </c>
      <c r="I221" s="16" t="inlineStr">
        <is>
          <t>N2</t>
        </is>
      </c>
      <c r="J221" s="16" t="inlineStr">
        <is>
          <t>NO_CONVERGIO</t>
        </is>
      </c>
      <c r="K221" s="16" t="b">
        <v>0</v>
      </c>
      <c r="L221" s="16" t="b">
        <v>0</v>
      </c>
      <c r="M221" s="16" t="b">
        <v>0</v>
      </c>
      <c r="N221" s="16" t="b">
        <v>0</v>
      </c>
      <c r="O221" s="16" t="n">
        <v>380</v>
      </c>
      <c r="P221" s="16" t="n">
        <v>300.032917</v>
      </c>
      <c r="Q221" s="16" t="n">
        <v>3000</v>
      </c>
      <c r="R221" s="16" t="n">
        <v>1854.545454545455</v>
      </c>
      <c r="S221" s="16" t="n">
        <v>0.5</v>
      </c>
      <c r="T221" s="16" t="n">
        <v>0.85</v>
      </c>
      <c r="U221" s="16" t="n">
        <v>0.75</v>
      </c>
      <c r="V221" s="16" t="n">
        <v>0.85</v>
      </c>
      <c r="W221" s="16" t="n">
        <v>0.75</v>
      </c>
      <c r="X221" s="16" t="n">
        <v>0.8</v>
      </c>
      <c r="Y221" s="16" t="n"/>
      <c r="Z221" s="16" t="n">
        <v>-13.23095201093067</v>
      </c>
      <c r="AA221" s="16" t="n">
        <v>-8.292267251612063</v>
      </c>
      <c r="AB221" s="16" t="n">
        <v>1145.454545454545</v>
      </c>
      <c r="AC221" s="16" t="n">
        <v>1.617647058823529</v>
      </c>
      <c r="AD221" s="16" t="inlineStr">
        <is>
          <t>N2,S6,O3,O5,C1,C3,C3</t>
        </is>
      </c>
      <c r="AE221" s="16" t="n"/>
    </row>
    <row r="222">
      <c r="A222" s="16" t="inlineStr">
        <is>
          <t>KF-M02-N2-B-0010</t>
        </is>
      </c>
      <c r="B222" s="16" t="inlineStr">
        <is>
          <t>2.2</t>
        </is>
      </c>
      <c r="C222" s="16" t="inlineStr">
        <is>
          <t>2.2b</t>
        </is>
      </c>
      <c r="D222" s="16" t="inlineStr">
        <is>
          <t>bajar la fuente (T_fuente × P_baja)</t>
        </is>
      </c>
      <c r="E222" s="16" t="inlineStr">
        <is>
          <t>KF-M02-N2</t>
        </is>
      </c>
      <c r="F222" s="16" t="inlineStr">
        <is>
          <t>KF-M02-N2-B</t>
        </is>
      </c>
      <c r="G222" s="16" t="inlineStr">
        <is>
          <t>B03-B</t>
        </is>
      </c>
      <c r="H222" s="16" t="inlineStr">
        <is>
          <t>malla</t>
        </is>
      </c>
      <c r="I222" s="16" t="inlineStr">
        <is>
          <t>N2</t>
        </is>
      </c>
      <c r="J222" s="16" t="inlineStr">
        <is>
          <t>NO_CONVERGIO</t>
        </is>
      </c>
      <c r="K222" s="16" t="b">
        <v>0</v>
      </c>
      <c r="L222" s="16" t="b">
        <v>0</v>
      </c>
      <c r="M222" s="16" t="b">
        <v>0</v>
      </c>
      <c r="N222" s="16" t="b">
        <v>0</v>
      </c>
      <c r="O222" s="16" t="n">
        <v>380</v>
      </c>
      <c r="P222" s="16" t="n">
        <v>300.032917</v>
      </c>
      <c r="Q222" s="16" t="n">
        <v>3000</v>
      </c>
      <c r="R222" s="16" t="n">
        <v>1709.090909090909</v>
      </c>
      <c r="S222" s="16" t="n">
        <v>0.5</v>
      </c>
      <c r="T222" s="16" t="n">
        <v>0.85</v>
      </c>
      <c r="U222" s="16" t="n">
        <v>0.75</v>
      </c>
      <c r="V222" s="16" t="n">
        <v>0.85</v>
      </c>
      <c r="W222" s="16" t="n">
        <v>0.75</v>
      </c>
      <c r="X222" s="16" t="n">
        <v>0.8</v>
      </c>
      <c r="Y222" s="16" t="n"/>
      <c r="Z222" s="16" t="n">
        <v>-15.30196358455368</v>
      </c>
      <c r="AA222" s="16" t="n">
        <v>-9.581153634662344</v>
      </c>
      <c r="AB222" s="16" t="n">
        <v>1290.909090909091</v>
      </c>
      <c r="AC222" s="16" t="n">
        <v>1.75531914893617</v>
      </c>
      <c r="AD222" s="16" t="inlineStr">
        <is>
          <t>N2,S6,O3,O5,C1,C3,C3</t>
        </is>
      </c>
      <c r="AE222" s="16" t="n"/>
    </row>
    <row r="223">
      <c r="A223" s="16" t="inlineStr">
        <is>
          <t>KF-M02-N2-B-0011</t>
        </is>
      </c>
      <c r="B223" s="16" t="inlineStr">
        <is>
          <t>2.2</t>
        </is>
      </c>
      <c r="C223" s="16" t="inlineStr">
        <is>
          <t>2.2b</t>
        </is>
      </c>
      <c r="D223" s="16" t="inlineStr">
        <is>
          <t>bajar la fuente (T_fuente × P_baja)</t>
        </is>
      </c>
      <c r="E223" s="16" t="inlineStr">
        <is>
          <t>KF-M02-N2</t>
        </is>
      </c>
      <c r="F223" s="16" t="inlineStr">
        <is>
          <t>KF-M02-N2-B</t>
        </is>
      </c>
      <c r="G223" s="16" t="inlineStr">
        <is>
          <t>B03-B</t>
        </is>
      </c>
      <c r="H223" s="16" t="inlineStr">
        <is>
          <t>malla</t>
        </is>
      </c>
      <c r="I223" s="16" t="inlineStr">
        <is>
          <t>N2</t>
        </is>
      </c>
      <c r="J223" s="16" t="inlineStr">
        <is>
          <t>NO_CONVERGIO</t>
        </is>
      </c>
      <c r="K223" s="16" t="b">
        <v>0</v>
      </c>
      <c r="L223" s="16" t="b">
        <v>0</v>
      </c>
      <c r="M223" s="16" t="b">
        <v>0</v>
      </c>
      <c r="N223" s="16" t="b">
        <v>0</v>
      </c>
      <c r="O223" s="16" t="n">
        <v>380</v>
      </c>
      <c r="P223" s="16" t="n">
        <v>300.032917</v>
      </c>
      <c r="Q223" s="16" t="n">
        <v>3000</v>
      </c>
      <c r="R223" s="16" t="n">
        <v>2000</v>
      </c>
      <c r="S223" s="16" t="n">
        <v>0.5</v>
      </c>
      <c r="T223" s="16" t="n">
        <v>0.85</v>
      </c>
      <c r="U223" s="16" t="n">
        <v>0.75</v>
      </c>
      <c r="V223" s="16" t="n">
        <v>0.85</v>
      </c>
      <c r="W223" s="16" t="n">
        <v>0.75</v>
      </c>
      <c r="X223" s="16" t="n">
        <v>0.8</v>
      </c>
      <c r="Y223" s="16" t="n"/>
      <c r="Z223" s="16" t="n">
        <v>-11.27423659791978</v>
      </c>
      <c r="AA223" s="16" t="n">
        <v>-7.072358199195456</v>
      </c>
      <c r="AB223" s="16" t="n">
        <v>1000</v>
      </c>
      <c r="AC223" s="16" t="n">
        <v>1.5</v>
      </c>
      <c r="AD223" s="16" t="inlineStr">
        <is>
          <t>N2,S6,O3,O5,C1,C3,C3</t>
        </is>
      </c>
      <c r="AE223" s="16" t="n"/>
    </row>
    <row r="224">
      <c r="A224" s="16" t="inlineStr">
        <is>
          <t>KF-M02-N2-B-0012</t>
        </is>
      </c>
      <c r="B224" s="16" t="inlineStr">
        <is>
          <t>2.2</t>
        </is>
      </c>
      <c r="C224" s="16" t="inlineStr">
        <is>
          <t>2.2b</t>
        </is>
      </c>
      <c r="D224" s="16" t="inlineStr">
        <is>
          <t>bajar la fuente (T_fuente × P_baja)</t>
        </is>
      </c>
      <c r="E224" s="16" t="inlineStr">
        <is>
          <t>KF-M02-N2</t>
        </is>
      </c>
      <c r="F224" s="16" t="inlineStr">
        <is>
          <t>KF-M02-N2-B</t>
        </is>
      </c>
      <c r="G224" s="16" t="inlineStr">
        <is>
          <t>B03-B</t>
        </is>
      </c>
      <c r="H224" s="16" t="inlineStr">
        <is>
          <t>malla</t>
        </is>
      </c>
      <c r="I224" s="16" t="inlineStr">
        <is>
          <t>CORREGIBLE</t>
        </is>
      </c>
      <c r="J224" s="16" t="inlineStr">
        <is>
          <t>CORREGIBLE</t>
        </is>
      </c>
      <c r="K224" s="16" t="b">
        <v>1</v>
      </c>
      <c r="L224" s="16" t="b">
        <v>0</v>
      </c>
      <c r="M224" s="16" t="b">
        <v>0</v>
      </c>
      <c r="N224" s="16" t="b">
        <v>0</v>
      </c>
      <c r="O224" s="16" t="n">
        <v>390</v>
      </c>
      <c r="P224" s="16" t="n">
        <v>300.032917</v>
      </c>
      <c r="Q224" s="16" t="n">
        <v>3000</v>
      </c>
      <c r="R224" s="16" t="n">
        <v>400</v>
      </c>
      <c r="S224" s="16" t="n">
        <v>0.5</v>
      </c>
      <c r="T224" s="16" t="n">
        <v>0.85</v>
      </c>
      <c r="U224" s="16" t="n">
        <v>0.75</v>
      </c>
      <c r="V224" s="16" t="n">
        <v>0.85</v>
      </c>
      <c r="W224" s="16" t="n">
        <v>0.75</v>
      </c>
      <c r="X224" s="16" t="n">
        <v>0.8</v>
      </c>
      <c r="Y224" s="16" t="n"/>
      <c r="Z224" s="16" t="n">
        <v>2.60108461023257</v>
      </c>
      <c r="AA224" s="16" t="n">
        <v>3.770474544386383</v>
      </c>
      <c r="AB224" s="16" t="n">
        <v>2600</v>
      </c>
      <c r="AC224" s="16" t="n">
        <v>7.5</v>
      </c>
      <c r="AD224" s="16" t="inlineStr">
        <is>
          <t>O2</t>
        </is>
      </c>
      <c r="AE224" s="16" t="n"/>
    </row>
    <row r="225">
      <c r="A225" s="16" t="inlineStr">
        <is>
          <t>KF-M02-N2-B-0013</t>
        </is>
      </c>
      <c r="B225" s="16" t="inlineStr">
        <is>
          <t>2.2</t>
        </is>
      </c>
      <c r="C225" s="16" t="inlineStr">
        <is>
          <t>2.2b</t>
        </is>
      </c>
      <c r="D225" s="16" t="inlineStr">
        <is>
          <t>bajar la fuente (T_fuente × P_baja)</t>
        </is>
      </c>
      <c r="E225" s="16" t="inlineStr">
        <is>
          <t>KF-M02-N2</t>
        </is>
      </c>
      <c r="F225" s="16" t="inlineStr">
        <is>
          <t>KF-M02-N2-B</t>
        </is>
      </c>
      <c r="G225" s="16" t="inlineStr">
        <is>
          <t>B03-B</t>
        </is>
      </c>
      <c r="H225" s="16" t="inlineStr">
        <is>
          <t>malla</t>
        </is>
      </c>
      <c r="I225" s="16" t="inlineStr">
        <is>
          <t>KALINA</t>
        </is>
      </c>
      <c r="J225" s="16" t="inlineStr">
        <is>
          <t>KALINA</t>
        </is>
      </c>
      <c r="K225" s="16" t="b">
        <v>1</v>
      </c>
      <c r="L225" s="16" t="b">
        <v>1</v>
      </c>
      <c r="M225" s="16" t="b">
        <v>0</v>
      </c>
      <c r="N225" s="16" t="b">
        <v>0</v>
      </c>
      <c r="O225" s="16" t="n">
        <v>390</v>
      </c>
      <c r="P225" s="16" t="n">
        <v>300.032917</v>
      </c>
      <c r="Q225" s="16" t="n">
        <v>3000</v>
      </c>
      <c r="R225" s="16" t="n">
        <v>545.4545454545455</v>
      </c>
      <c r="S225" s="16" t="n">
        <v>0.5</v>
      </c>
      <c r="T225" s="16" t="n">
        <v>0.85</v>
      </c>
      <c r="U225" s="16" t="n">
        <v>0.75</v>
      </c>
      <c r="V225" s="16" t="n">
        <v>0.85</v>
      </c>
      <c r="W225" s="16" t="n">
        <v>0.75</v>
      </c>
      <c r="X225" s="16" t="n">
        <v>0.8</v>
      </c>
      <c r="Y225" s="16" t="n"/>
      <c r="Z225" s="16" t="n">
        <v>2.05861994605055</v>
      </c>
      <c r="AA225" s="16" t="n">
        <v>2.984151131279785</v>
      </c>
      <c r="AB225" s="16" t="n">
        <v>2454.545454545455</v>
      </c>
      <c r="AC225" s="16" t="n">
        <v>5.5</v>
      </c>
      <c r="AD225" s="16" t="n"/>
      <c r="AE225" s="16" t="n"/>
    </row>
    <row r="226">
      <c r="A226" s="16" t="inlineStr">
        <is>
          <t>KF-M02-N2-B-0014</t>
        </is>
      </c>
      <c r="B226" s="16" t="inlineStr">
        <is>
          <t>2.2</t>
        </is>
      </c>
      <c r="C226" s="16" t="inlineStr">
        <is>
          <t>2.2b</t>
        </is>
      </c>
      <c r="D226" s="16" t="inlineStr">
        <is>
          <t>bajar la fuente (T_fuente × P_baja)</t>
        </is>
      </c>
      <c r="E226" s="16" t="inlineStr">
        <is>
          <t>KF-M02-N2</t>
        </is>
      </c>
      <c r="F226" s="16" t="inlineStr">
        <is>
          <t>KF-M02-N2-B</t>
        </is>
      </c>
      <c r="G226" s="16" t="inlineStr">
        <is>
          <t>B03-B</t>
        </is>
      </c>
      <c r="H226" s="16" t="inlineStr">
        <is>
          <t>malla</t>
        </is>
      </c>
      <c r="I226" s="16" t="inlineStr">
        <is>
          <t>KALINA</t>
        </is>
      </c>
      <c r="J226" s="16" t="inlineStr">
        <is>
          <t>KALINA</t>
        </is>
      </c>
      <c r="K226" s="16" t="b">
        <v>1</v>
      </c>
      <c r="L226" s="16" t="b">
        <v>1</v>
      </c>
      <c r="M226" s="16" t="b">
        <v>0</v>
      </c>
      <c r="N226" s="16" t="b">
        <v>0</v>
      </c>
      <c r="O226" s="16" t="n">
        <v>390</v>
      </c>
      <c r="P226" s="16" t="n">
        <v>300.032917</v>
      </c>
      <c r="Q226" s="16" t="n">
        <v>3000</v>
      </c>
      <c r="R226" s="16" t="n">
        <v>836.3636363636364</v>
      </c>
      <c r="S226" s="16" t="n">
        <v>0.5</v>
      </c>
      <c r="T226" s="16" t="n">
        <v>0.85</v>
      </c>
      <c r="U226" s="16" t="n">
        <v>0.75</v>
      </c>
      <c r="V226" s="16" t="n">
        <v>0.85</v>
      </c>
      <c r="W226" s="16" t="n">
        <v>0.75</v>
      </c>
      <c r="X226" s="16" t="n">
        <v>0.8</v>
      </c>
      <c r="Y226" s="16" t="n"/>
      <c r="Z226" s="16" t="n">
        <v>1.27810257818241</v>
      </c>
      <c r="AA226" s="16" t="n">
        <v>1.852613184259928</v>
      </c>
      <c r="AB226" s="16" t="n">
        <v>2163.636363636364</v>
      </c>
      <c r="AC226" s="16" t="n">
        <v>3.58695652173913</v>
      </c>
      <c r="AD226" s="16" t="n"/>
      <c r="AE226" s="16" t="n"/>
    </row>
    <row r="227">
      <c r="A227" s="16" t="inlineStr">
        <is>
          <t>KF-M02-N2-B-0015</t>
        </is>
      </c>
      <c r="B227" s="16" t="inlineStr">
        <is>
          <t>2.2</t>
        </is>
      </c>
      <c r="C227" s="16" t="inlineStr">
        <is>
          <t>2.2b</t>
        </is>
      </c>
      <c r="D227" s="16" t="inlineStr">
        <is>
          <t>bajar la fuente (T_fuente × P_baja)</t>
        </is>
      </c>
      <c r="E227" s="16" t="inlineStr">
        <is>
          <t>KF-M02-N2</t>
        </is>
      </c>
      <c r="F227" s="16" t="inlineStr">
        <is>
          <t>KF-M02-N2-B</t>
        </is>
      </c>
      <c r="G227" s="16" t="inlineStr">
        <is>
          <t>B03-B</t>
        </is>
      </c>
      <c r="H227" s="16" t="inlineStr">
        <is>
          <t>malla</t>
        </is>
      </c>
      <c r="I227" s="16" t="inlineStr">
        <is>
          <t>KALINA</t>
        </is>
      </c>
      <c r="J227" s="16" t="inlineStr">
        <is>
          <t>KALINA</t>
        </is>
      </c>
      <c r="K227" s="16" t="b">
        <v>1</v>
      </c>
      <c r="L227" s="16" t="b">
        <v>1</v>
      </c>
      <c r="M227" s="16" t="b">
        <v>0</v>
      </c>
      <c r="N227" s="16" t="b">
        <v>0</v>
      </c>
      <c r="O227" s="16" t="n">
        <v>390</v>
      </c>
      <c r="P227" s="16" t="n">
        <v>300.032917</v>
      </c>
      <c r="Q227" s="16" t="n">
        <v>3000</v>
      </c>
      <c r="R227" s="16" t="n">
        <v>981.818181818182</v>
      </c>
      <c r="S227" s="16" t="n">
        <v>0.5</v>
      </c>
      <c r="T227" s="16" t="n">
        <v>0.85</v>
      </c>
      <c r="U227" s="16" t="n">
        <v>0.75</v>
      </c>
      <c r="V227" s="16" t="n">
        <v>0.85</v>
      </c>
      <c r="W227" s="16" t="n">
        <v>0.75</v>
      </c>
      <c r="X227" s="16" t="n">
        <v>0.8</v>
      </c>
      <c r="Y227" s="16" t="n"/>
      <c r="Z227" s="16" t="n">
        <v>1.00799513750807</v>
      </c>
      <c r="AA227" s="16" t="n">
        <v>1.461146602131517</v>
      </c>
      <c r="AB227" s="16" t="n">
        <v>2018.181818181818</v>
      </c>
      <c r="AC227" s="16" t="n">
        <v>3.055555555555555</v>
      </c>
      <c r="AD227" s="16" t="n"/>
      <c r="AE227" s="16" t="n"/>
    </row>
    <row r="228">
      <c r="A228" s="16" t="inlineStr">
        <is>
          <t>KF-M02-N2-B-0016</t>
        </is>
      </c>
      <c r="B228" s="16" t="inlineStr">
        <is>
          <t>2.2</t>
        </is>
      </c>
      <c r="C228" s="16" t="inlineStr">
        <is>
          <t>2.2b</t>
        </is>
      </c>
      <c r="D228" s="16" t="inlineStr">
        <is>
          <t>bajar la fuente (T_fuente × P_baja)</t>
        </is>
      </c>
      <c r="E228" s="16" t="inlineStr">
        <is>
          <t>KF-M02-N2</t>
        </is>
      </c>
      <c r="F228" s="16" t="inlineStr">
        <is>
          <t>KF-M02-N2-B</t>
        </is>
      </c>
      <c r="G228" s="16" t="inlineStr">
        <is>
          <t>B03-B</t>
        </is>
      </c>
      <c r="H228" s="16" t="inlineStr">
        <is>
          <t>malla</t>
        </is>
      </c>
      <c r="I228" s="16" t="inlineStr">
        <is>
          <t>KALINA</t>
        </is>
      </c>
      <c r="J228" s="16" t="inlineStr">
        <is>
          <t>KALINA</t>
        </is>
      </c>
      <c r="K228" s="16" t="b">
        <v>1</v>
      </c>
      <c r="L228" s="16" t="b">
        <v>1</v>
      </c>
      <c r="M228" s="16" t="b">
        <v>0</v>
      </c>
      <c r="N228" s="16" t="b">
        <v>0</v>
      </c>
      <c r="O228" s="16" t="n">
        <v>390</v>
      </c>
      <c r="P228" s="16" t="n">
        <v>300.032917</v>
      </c>
      <c r="Q228" s="16" t="n">
        <v>3000</v>
      </c>
      <c r="R228" s="16" t="n">
        <v>1127.272727272728</v>
      </c>
      <c r="S228" s="16" t="n">
        <v>0.5</v>
      </c>
      <c r="T228" s="16" t="n">
        <v>0.85</v>
      </c>
      <c r="U228" s="16" t="n">
        <v>0.75</v>
      </c>
      <c r="V228" s="16" t="n">
        <v>0.85</v>
      </c>
      <c r="W228" s="16" t="n">
        <v>0.75</v>
      </c>
      <c r="X228" s="16" t="n">
        <v>0.8</v>
      </c>
      <c r="Y228" s="16" t="n"/>
      <c r="Z228" s="16" t="n">
        <v>0.7900965728255299</v>
      </c>
      <c r="AA228" s="16" t="n">
        <v>1.145366512372877</v>
      </c>
      <c r="AB228" s="16" t="n">
        <v>1872.727272727272</v>
      </c>
      <c r="AC228" s="16" t="n">
        <v>2.661290322580644</v>
      </c>
      <c r="AD228" s="16" t="n"/>
      <c r="AE228" s="16" t="n"/>
    </row>
    <row r="229">
      <c r="A229" s="16" t="inlineStr">
        <is>
          <t>KF-M02-N2-B-0017</t>
        </is>
      </c>
      <c r="B229" s="16" t="inlineStr">
        <is>
          <t>2.2</t>
        </is>
      </c>
      <c r="C229" s="16" t="inlineStr">
        <is>
          <t>2.2b</t>
        </is>
      </c>
      <c r="D229" s="16" t="inlineStr">
        <is>
          <t>bajar la fuente (T_fuente × P_baja)</t>
        </is>
      </c>
      <c r="E229" s="16" t="inlineStr">
        <is>
          <t>KF-M02-N2</t>
        </is>
      </c>
      <c r="F229" s="16" t="inlineStr">
        <is>
          <t>KF-M02-N2-B</t>
        </is>
      </c>
      <c r="G229" s="16" t="inlineStr">
        <is>
          <t>B03-B</t>
        </is>
      </c>
      <c r="H229" s="16" t="inlineStr">
        <is>
          <t>malla</t>
        </is>
      </c>
      <c r="I229" s="16" t="inlineStr">
        <is>
          <t>KALINA</t>
        </is>
      </c>
      <c r="J229" s="16" t="inlineStr">
        <is>
          <t>KALINA</t>
        </is>
      </c>
      <c r="K229" s="16" t="b">
        <v>1</v>
      </c>
      <c r="L229" s="16" t="b">
        <v>1</v>
      </c>
      <c r="M229" s="16" t="b">
        <v>0</v>
      </c>
      <c r="N229" s="16" t="b">
        <v>0</v>
      </c>
      <c r="O229" s="16" t="n">
        <v>390</v>
      </c>
      <c r="P229" s="16" t="n">
        <v>300.032917</v>
      </c>
      <c r="Q229" s="16" t="n">
        <v>3000</v>
      </c>
      <c r="R229" s="16" t="n">
        <v>690.909090909091</v>
      </c>
      <c r="S229" s="16" t="n">
        <v>0.5</v>
      </c>
      <c r="T229" s="16" t="n">
        <v>0.85</v>
      </c>
      <c r="U229" s="16" t="n">
        <v>0.75</v>
      </c>
      <c r="V229" s="16" t="n">
        <v>0.85</v>
      </c>
      <c r="W229" s="16" t="n">
        <v>0.75</v>
      </c>
      <c r="X229" s="16" t="n">
        <v>0.8</v>
      </c>
      <c r="Y229" s="16" t="n"/>
      <c r="Z229" s="16" t="n">
        <v>1.61837077153163</v>
      </c>
      <c r="AA229" s="16" t="n">
        <v>2.345836525562905</v>
      </c>
      <c r="AB229" s="16" t="n">
        <v>2309.090909090909</v>
      </c>
      <c r="AC229" s="16" t="n">
        <v>4.342105263157894</v>
      </c>
      <c r="AD229" s="16" t="n"/>
      <c r="AE229" s="16" t="n"/>
    </row>
    <row r="230">
      <c r="A230" s="16" t="inlineStr">
        <is>
          <t>KF-M02-N2-B-0018</t>
        </is>
      </c>
      <c r="B230" s="16" t="inlineStr">
        <is>
          <t>2.2</t>
        </is>
      </c>
      <c r="C230" s="16" t="inlineStr">
        <is>
          <t>2.2b</t>
        </is>
      </c>
      <c r="D230" s="16" t="inlineStr">
        <is>
          <t>bajar la fuente (T_fuente × P_baja)</t>
        </is>
      </c>
      <c r="E230" s="16" t="inlineStr">
        <is>
          <t>KF-M02-N2</t>
        </is>
      </c>
      <c r="F230" s="16" t="inlineStr">
        <is>
          <t>KF-M02-N2-B</t>
        </is>
      </c>
      <c r="G230" s="16" t="inlineStr">
        <is>
          <t>B03-B</t>
        </is>
      </c>
      <c r="H230" s="16" t="inlineStr">
        <is>
          <t>malla</t>
        </is>
      </c>
      <c r="I230" s="16" t="inlineStr">
        <is>
          <t>KALINA</t>
        </is>
      </c>
      <c r="J230" s="16" t="inlineStr">
        <is>
          <t>KALINA</t>
        </is>
      </c>
      <c r="K230" s="16" t="b">
        <v>1</v>
      </c>
      <c r="L230" s="16" t="b">
        <v>1</v>
      </c>
      <c r="M230" s="16" t="b">
        <v>0</v>
      </c>
      <c r="N230" s="16" t="b">
        <v>0</v>
      </c>
      <c r="O230" s="16" t="n">
        <v>390</v>
      </c>
      <c r="P230" s="16" t="n">
        <v>300.032917</v>
      </c>
      <c r="Q230" s="16" t="n">
        <v>3000</v>
      </c>
      <c r="R230" s="16" t="n">
        <v>1272.727272727273</v>
      </c>
      <c r="S230" s="16" t="n">
        <v>0.5</v>
      </c>
      <c r="T230" s="16" t="n">
        <v>0.85</v>
      </c>
      <c r="U230" s="16" t="n">
        <v>0.75</v>
      </c>
      <c r="V230" s="16" t="n">
        <v>0.85</v>
      </c>
      <c r="W230" s="16" t="n">
        <v>0.75</v>
      </c>
      <c r="X230" s="16" t="n">
        <v>0.8</v>
      </c>
      <c r="Y230" s="16" t="n"/>
      <c r="Z230" s="16" t="n">
        <v>0.61268755555983</v>
      </c>
      <c r="AA230" s="16" t="n">
        <v>0.8882665497183218</v>
      </c>
      <c r="AB230" s="16" t="n">
        <v>1727.272727272727</v>
      </c>
      <c r="AC230" s="16" t="n">
        <v>2.357142857142857</v>
      </c>
      <c r="AD230" s="16" t="n"/>
      <c r="AE230" s="16" t="n"/>
    </row>
    <row r="231">
      <c r="A231" s="16" t="inlineStr">
        <is>
          <t>KF-M02-N2-B-0019</t>
        </is>
      </c>
      <c r="B231" s="16" t="inlineStr">
        <is>
          <t>2.2</t>
        </is>
      </c>
      <c r="C231" s="16" t="inlineStr">
        <is>
          <t>2.2b</t>
        </is>
      </c>
      <c r="D231" s="16" t="inlineStr">
        <is>
          <t>bajar la fuente (T_fuente × P_baja)</t>
        </is>
      </c>
      <c r="E231" s="16" t="inlineStr">
        <is>
          <t>KF-M02-N2</t>
        </is>
      </c>
      <c r="F231" s="16" t="inlineStr">
        <is>
          <t>KF-M02-N2-B</t>
        </is>
      </c>
      <c r="G231" s="16" t="inlineStr">
        <is>
          <t>B03-B</t>
        </is>
      </c>
      <c r="H231" s="16" t="inlineStr">
        <is>
          <t>malla</t>
        </is>
      </c>
      <c r="I231" s="16" t="inlineStr">
        <is>
          <t>KALINA</t>
        </is>
      </c>
      <c r="J231" s="16" t="inlineStr">
        <is>
          <t>KALINA</t>
        </is>
      </c>
      <c r="K231" s="16" t="b">
        <v>1</v>
      </c>
      <c r="L231" s="16" t="b">
        <v>1</v>
      </c>
      <c r="M231" s="16" t="b">
        <v>0</v>
      </c>
      <c r="N231" s="16" t="b">
        <v>0</v>
      </c>
      <c r="O231" s="16" t="n">
        <v>390</v>
      </c>
      <c r="P231" s="16" t="n">
        <v>300.032917</v>
      </c>
      <c r="Q231" s="16" t="n">
        <v>3000</v>
      </c>
      <c r="R231" s="16" t="n">
        <v>1418.181818181818</v>
      </c>
      <c r="S231" s="16" t="n">
        <v>0.5</v>
      </c>
      <c r="T231" s="16" t="n">
        <v>0.85</v>
      </c>
      <c r="U231" s="16" t="n">
        <v>0.75</v>
      </c>
      <c r="V231" s="16" t="n">
        <v>0.85</v>
      </c>
      <c r="W231" s="16" t="n">
        <v>0.75</v>
      </c>
      <c r="X231" s="16" t="n">
        <v>0.8</v>
      </c>
      <c r="Y231" s="16" t="n"/>
      <c r="Z231" s="16" t="n">
        <v>0.46768597584949</v>
      </c>
      <c r="AA231" s="16" t="n">
        <v>0.6781159169815458</v>
      </c>
      <c r="AB231" s="16" t="n">
        <v>1581.818181818182</v>
      </c>
      <c r="AC231" s="16" t="n">
        <v>2.115384615384615</v>
      </c>
      <c r="AD231" s="16" t="n"/>
      <c r="AE231" s="16" t="n"/>
    </row>
    <row r="232">
      <c r="A232" s="16" t="inlineStr">
        <is>
          <t>KF-M02-N2-B-0020</t>
        </is>
      </c>
      <c r="B232" s="16" t="inlineStr">
        <is>
          <t>2.2</t>
        </is>
      </c>
      <c r="C232" s="16" t="inlineStr">
        <is>
          <t>2.2b</t>
        </is>
      </c>
      <c r="D232" s="16" t="inlineStr">
        <is>
          <t>bajar la fuente (T_fuente × P_baja)</t>
        </is>
      </c>
      <c r="E232" s="16" t="inlineStr">
        <is>
          <t>KF-M02-N2</t>
        </is>
      </c>
      <c r="F232" s="16" t="inlineStr">
        <is>
          <t>KF-M02-N2-B</t>
        </is>
      </c>
      <c r="G232" s="16" t="inlineStr">
        <is>
          <t>B03-B</t>
        </is>
      </c>
      <c r="H232" s="16" t="inlineStr">
        <is>
          <t>malla</t>
        </is>
      </c>
      <c r="I232" s="16" t="inlineStr">
        <is>
          <t>KALINA</t>
        </is>
      </c>
      <c r="J232" s="16" t="inlineStr">
        <is>
          <t>KALINA</t>
        </is>
      </c>
      <c r="K232" s="16" t="b">
        <v>1</v>
      </c>
      <c r="L232" s="16" t="b">
        <v>1</v>
      </c>
      <c r="M232" s="16" t="b">
        <v>0</v>
      </c>
      <c r="N232" s="16" t="b">
        <v>0</v>
      </c>
      <c r="O232" s="16" t="n">
        <v>390</v>
      </c>
      <c r="P232" s="16" t="n">
        <v>300.032917</v>
      </c>
      <c r="Q232" s="16" t="n">
        <v>3000</v>
      </c>
      <c r="R232" s="16" t="n">
        <v>1563.636363636364</v>
      </c>
      <c r="S232" s="16" t="n">
        <v>0.5</v>
      </c>
      <c r="T232" s="16" t="n">
        <v>0.85</v>
      </c>
      <c r="U232" s="16" t="n">
        <v>0.75</v>
      </c>
      <c r="V232" s="16" t="n">
        <v>0.85</v>
      </c>
      <c r="W232" s="16" t="n">
        <v>0.75</v>
      </c>
      <c r="X232" s="16" t="n">
        <v>0.8</v>
      </c>
      <c r="Y232" s="16" t="n"/>
      <c r="Z232" s="16" t="n">
        <v>0.34922952965097</v>
      </c>
      <c r="AA232" s="16" t="n">
        <v>0.5064230951672126</v>
      </c>
      <c r="AB232" s="16" t="n">
        <v>1436.363636363636</v>
      </c>
      <c r="AC232" s="16" t="n">
        <v>1.918604651162791</v>
      </c>
      <c r="AD232" s="16" t="n"/>
      <c r="AE232" s="16" t="n"/>
    </row>
    <row r="233">
      <c r="A233" s="16" t="inlineStr">
        <is>
          <t>KF-M02-N2-B-0021</t>
        </is>
      </c>
      <c r="B233" s="16" t="inlineStr">
        <is>
          <t>2.2</t>
        </is>
      </c>
      <c r="C233" s="16" t="inlineStr">
        <is>
          <t>2.2b</t>
        </is>
      </c>
      <c r="D233" s="16" t="inlineStr">
        <is>
          <t>bajar la fuente (T_fuente × P_baja)</t>
        </is>
      </c>
      <c r="E233" s="16" t="inlineStr">
        <is>
          <t>KF-M02-N2</t>
        </is>
      </c>
      <c r="F233" s="16" t="inlineStr">
        <is>
          <t>KF-M02-N2-B</t>
        </is>
      </c>
      <c r="G233" s="16" t="inlineStr">
        <is>
          <t>B03-B</t>
        </is>
      </c>
      <c r="H233" s="16" t="inlineStr">
        <is>
          <t>malla</t>
        </is>
      </c>
      <c r="I233" s="16" t="inlineStr">
        <is>
          <t>KALINA</t>
        </is>
      </c>
      <c r="J233" s="16" t="inlineStr">
        <is>
          <t>KALINA</t>
        </is>
      </c>
      <c r="K233" s="16" t="b">
        <v>1</v>
      </c>
      <c r="L233" s="16" t="b">
        <v>1</v>
      </c>
      <c r="M233" s="16" t="b">
        <v>0</v>
      </c>
      <c r="N233" s="16" t="b">
        <v>0</v>
      </c>
      <c r="O233" s="16" t="n">
        <v>390</v>
      </c>
      <c r="P233" s="16" t="n">
        <v>300.032917</v>
      </c>
      <c r="Q233" s="16" t="n">
        <v>3000</v>
      </c>
      <c r="R233" s="16" t="n">
        <v>1709.090909090909</v>
      </c>
      <c r="S233" s="16" t="n">
        <v>0.5</v>
      </c>
      <c r="T233" s="16" t="n">
        <v>0.85</v>
      </c>
      <c r="U233" s="16" t="n">
        <v>0.75</v>
      </c>
      <c r="V233" s="16" t="n">
        <v>0.85</v>
      </c>
      <c r="W233" s="16" t="n">
        <v>0.75</v>
      </c>
      <c r="X233" s="16" t="n">
        <v>0.8</v>
      </c>
      <c r="Y233" s="16" t="n"/>
      <c r="Z233" s="16" t="n">
        <v>0.25295580489196</v>
      </c>
      <c r="AA233" s="16" t="n">
        <v>0.3668643288327153</v>
      </c>
      <c r="AB233" s="16" t="n">
        <v>1290.909090909091</v>
      </c>
      <c r="AC233" s="16" t="n">
        <v>1.75531914893617</v>
      </c>
      <c r="AD233" s="16" t="n"/>
      <c r="AE233" s="16" t="n"/>
    </row>
    <row r="234">
      <c r="A234" s="16" t="inlineStr">
        <is>
          <t>KF-M02-N2-B-0022</t>
        </is>
      </c>
      <c r="B234" s="16" t="inlineStr">
        <is>
          <t>2.2</t>
        </is>
      </c>
      <c r="C234" s="16" t="inlineStr">
        <is>
          <t>2.2b</t>
        </is>
      </c>
      <c r="D234" s="16" t="inlineStr">
        <is>
          <t>bajar la fuente (T_fuente × P_baja)</t>
        </is>
      </c>
      <c r="E234" s="16" t="inlineStr">
        <is>
          <t>KF-M02-N2</t>
        </is>
      </c>
      <c r="F234" s="16" t="inlineStr">
        <is>
          <t>KF-M02-N2-B</t>
        </is>
      </c>
      <c r="G234" s="16" t="inlineStr">
        <is>
          <t>B03-B</t>
        </is>
      </c>
      <c r="H234" s="16" t="inlineStr">
        <is>
          <t>malla</t>
        </is>
      </c>
      <c r="I234" s="16" t="inlineStr">
        <is>
          <t>KALINA</t>
        </is>
      </c>
      <c r="J234" s="16" t="inlineStr">
        <is>
          <t>KALINA</t>
        </is>
      </c>
      <c r="K234" s="16" t="b">
        <v>1</v>
      </c>
      <c r="L234" s="16" t="b">
        <v>1</v>
      </c>
      <c r="M234" s="16" t="b">
        <v>0</v>
      </c>
      <c r="N234" s="16" t="b">
        <v>0</v>
      </c>
      <c r="O234" s="16" t="n">
        <v>390</v>
      </c>
      <c r="P234" s="16" t="n">
        <v>300.032917</v>
      </c>
      <c r="Q234" s="16" t="n">
        <v>3000</v>
      </c>
      <c r="R234" s="16" t="n">
        <v>1854.545454545455</v>
      </c>
      <c r="S234" s="16" t="n">
        <v>0.5</v>
      </c>
      <c r="T234" s="16" t="n">
        <v>0.85</v>
      </c>
      <c r="U234" s="16" t="n">
        <v>0.75</v>
      </c>
      <c r="V234" s="16" t="n">
        <v>0.85</v>
      </c>
      <c r="W234" s="16" t="n">
        <v>0.75</v>
      </c>
      <c r="X234" s="16" t="n">
        <v>0.8</v>
      </c>
      <c r="Y234" s="16" t="n"/>
      <c r="Z234" s="16" t="n">
        <v>0.17551123679891</v>
      </c>
      <c r="AA234" s="16" t="n">
        <v>0.2545825189202051</v>
      </c>
      <c r="AB234" s="16" t="n">
        <v>1145.454545454545</v>
      </c>
      <c r="AC234" s="16" t="n">
        <v>1.617647058823529</v>
      </c>
      <c r="AD234" s="16" t="n"/>
      <c r="AE234" s="16" t="n"/>
    </row>
    <row r="235">
      <c r="A235" s="16" t="inlineStr">
        <is>
          <t>KF-M02-N2-B-0023</t>
        </is>
      </c>
      <c r="B235" s="16" t="inlineStr">
        <is>
          <t>2.2</t>
        </is>
      </c>
      <c r="C235" s="16" t="inlineStr">
        <is>
          <t>2.2b</t>
        </is>
      </c>
      <c r="D235" s="16" t="inlineStr">
        <is>
          <t>bajar la fuente (T_fuente × P_baja)</t>
        </is>
      </c>
      <c r="E235" s="16" t="inlineStr">
        <is>
          <t>KF-M02-N2</t>
        </is>
      </c>
      <c r="F235" s="16" t="inlineStr">
        <is>
          <t>KF-M02-N2-B</t>
        </is>
      </c>
      <c r="G235" s="16" t="inlineStr">
        <is>
          <t>B03-B</t>
        </is>
      </c>
      <c r="H235" s="16" t="inlineStr">
        <is>
          <t>malla</t>
        </is>
      </c>
      <c r="I235" s="16" t="inlineStr">
        <is>
          <t>KALINA</t>
        </is>
      </c>
      <c r="J235" s="16" t="inlineStr">
        <is>
          <t>KALINA</t>
        </is>
      </c>
      <c r="K235" s="16" t="b">
        <v>1</v>
      </c>
      <c r="L235" s="16" t="b">
        <v>1</v>
      </c>
      <c r="M235" s="16" t="b">
        <v>0</v>
      </c>
      <c r="N235" s="16" t="b">
        <v>0</v>
      </c>
      <c r="O235" s="16" t="n">
        <v>390</v>
      </c>
      <c r="P235" s="16" t="n">
        <v>300.032917</v>
      </c>
      <c r="Q235" s="16" t="n">
        <v>3000</v>
      </c>
      <c r="R235" s="16" t="n">
        <v>2000</v>
      </c>
      <c r="S235" s="16" t="n">
        <v>0.5</v>
      </c>
      <c r="T235" s="16" t="n">
        <v>0.85</v>
      </c>
      <c r="U235" s="16" t="n">
        <v>0.75</v>
      </c>
      <c r="V235" s="16" t="n">
        <v>0.85</v>
      </c>
      <c r="W235" s="16" t="n">
        <v>0.75</v>
      </c>
      <c r="X235" s="16" t="n">
        <v>0.8</v>
      </c>
      <c r="Y235" s="16" t="n"/>
      <c r="Z235" s="16" t="n">
        <v>0.1142618621397899</v>
      </c>
      <c r="AA235" s="16" t="n">
        <v>0.165764547269859</v>
      </c>
      <c r="AB235" s="16" t="n">
        <v>1000</v>
      </c>
      <c r="AC235" s="16" t="n">
        <v>1.5</v>
      </c>
      <c r="AD235" s="16" t="n"/>
      <c r="AE235" s="16" t="n"/>
    </row>
    <row r="236">
      <c r="A236" s="16" t="inlineStr">
        <is>
          <t>KF-M02-N2-B-0024</t>
        </is>
      </c>
      <c r="B236" s="16" t="inlineStr">
        <is>
          <t>2.2</t>
        </is>
      </c>
      <c r="C236" s="16" t="inlineStr">
        <is>
          <t>2.2b</t>
        </is>
      </c>
      <c r="D236" s="16" t="inlineStr">
        <is>
          <t>bajar la fuente (T_fuente × P_baja)</t>
        </is>
      </c>
      <c r="E236" s="16" t="inlineStr">
        <is>
          <t>KF-M02-N2</t>
        </is>
      </c>
      <c r="F236" s="16" t="inlineStr">
        <is>
          <t>KF-M02-N2-B</t>
        </is>
      </c>
      <c r="G236" s="16" t="inlineStr">
        <is>
          <t>B03-B</t>
        </is>
      </c>
      <c r="H236" s="16" t="inlineStr">
        <is>
          <t>malla</t>
        </is>
      </c>
      <c r="I236" s="16" t="inlineStr">
        <is>
          <t>CORREGIBLE</t>
        </is>
      </c>
      <c r="J236" s="16" t="inlineStr">
        <is>
          <t>CORREGIBLE</t>
        </is>
      </c>
      <c r="K236" s="16" t="b">
        <v>1</v>
      </c>
      <c r="L236" s="16" t="b">
        <v>0</v>
      </c>
      <c r="M236" s="16" t="b">
        <v>0</v>
      </c>
      <c r="N236" s="16" t="b">
        <v>0</v>
      </c>
      <c r="O236" s="16" t="n">
        <v>403</v>
      </c>
      <c r="P236" s="16" t="n">
        <v>300.032917</v>
      </c>
      <c r="Q236" s="16" t="n">
        <v>3000</v>
      </c>
      <c r="R236" s="16" t="n">
        <v>400</v>
      </c>
      <c r="S236" s="16" t="n">
        <v>0.5</v>
      </c>
      <c r="T236" s="16" t="n">
        <v>0.85</v>
      </c>
      <c r="U236" s="16" t="n">
        <v>0.75</v>
      </c>
      <c r="V236" s="16" t="n">
        <v>0.85</v>
      </c>
      <c r="W236" s="16" t="n">
        <v>0.75</v>
      </c>
      <c r="X236" s="16" t="n">
        <v>0.8</v>
      </c>
      <c r="Y236" s="16" t="n"/>
      <c r="Z236" s="16" t="n">
        <v>9.874204463369219</v>
      </c>
      <c r="AA236" s="16" t="n">
        <v>30.20164854840726</v>
      </c>
      <c r="AB236" s="16" t="n">
        <v>2600</v>
      </c>
      <c r="AC236" s="16" t="n">
        <v>7.5</v>
      </c>
      <c r="AD236" s="16" t="inlineStr">
        <is>
          <t>O2</t>
        </is>
      </c>
      <c r="AE236" s="16" t="n"/>
    </row>
    <row r="237">
      <c r="A237" s="16" t="inlineStr">
        <is>
          <t>KF-M02-N2-B-0025</t>
        </is>
      </c>
      <c r="B237" s="16" t="inlineStr">
        <is>
          <t>2.2</t>
        </is>
      </c>
      <c r="C237" s="16" t="inlineStr">
        <is>
          <t>2.2b</t>
        </is>
      </c>
      <c r="D237" s="16" t="inlineStr">
        <is>
          <t>bajar la fuente (T_fuente × P_baja)</t>
        </is>
      </c>
      <c r="E237" s="16" t="inlineStr">
        <is>
          <t>KF-M02-N2</t>
        </is>
      </c>
      <c r="F237" s="16" t="inlineStr">
        <is>
          <t>KF-M02-N2-B</t>
        </is>
      </c>
      <c r="G237" s="16" t="inlineStr">
        <is>
          <t>B03-B</t>
        </is>
      </c>
      <c r="H237" s="16" t="inlineStr">
        <is>
          <t>malla</t>
        </is>
      </c>
      <c r="I237" s="16" t="inlineStr">
        <is>
          <t>CORREGIBLE</t>
        </is>
      </c>
      <c r="J237" s="16" t="inlineStr">
        <is>
          <t>CORREGIBLE</t>
        </is>
      </c>
      <c r="K237" s="16" t="b">
        <v>1</v>
      </c>
      <c r="L237" s="16" t="b">
        <v>0</v>
      </c>
      <c r="M237" s="16" t="b">
        <v>0</v>
      </c>
      <c r="N237" s="16" t="b">
        <v>0</v>
      </c>
      <c r="O237" s="16" t="n">
        <v>403</v>
      </c>
      <c r="P237" s="16" t="n">
        <v>300.032917</v>
      </c>
      <c r="Q237" s="16" t="n">
        <v>3000</v>
      </c>
      <c r="R237" s="16" t="n">
        <v>545.4545454545455</v>
      </c>
      <c r="S237" s="16" t="n">
        <v>0.5</v>
      </c>
      <c r="T237" s="16" t="n">
        <v>0.85</v>
      </c>
      <c r="U237" s="16" t="n">
        <v>0.75</v>
      </c>
      <c r="V237" s="16" t="n">
        <v>0.85</v>
      </c>
      <c r="W237" s="16" t="n">
        <v>0.75</v>
      </c>
      <c r="X237" s="16" t="n">
        <v>0.8</v>
      </c>
      <c r="Y237" s="16" t="n"/>
      <c r="Z237" s="16" t="n">
        <v>8.642258283484662</v>
      </c>
      <c r="AA237" s="16" t="n">
        <v>26.43494173629173</v>
      </c>
      <c r="AB237" s="16" t="n">
        <v>2454.545454545455</v>
      </c>
      <c r="AC237" s="16" t="n">
        <v>5.5</v>
      </c>
      <c r="AD237" s="16" t="inlineStr">
        <is>
          <t>O2</t>
        </is>
      </c>
      <c r="AE237" s="16" t="n"/>
    </row>
    <row r="238">
      <c r="A238" s="16" t="inlineStr">
        <is>
          <t>KF-M02-N2-B-0026</t>
        </is>
      </c>
      <c r="B238" s="16" t="inlineStr">
        <is>
          <t>2.2</t>
        </is>
      </c>
      <c r="C238" s="16" t="inlineStr">
        <is>
          <t>2.2b</t>
        </is>
      </c>
      <c r="D238" s="16" t="inlineStr">
        <is>
          <t>bajar la fuente (T_fuente × P_baja)</t>
        </is>
      </c>
      <c r="E238" s="16" t="inlineStr">
        <is>
          <t>KF-M02-N2</t>
        </is>
      </c>
      <c r="F238" s="16" t="inlineStr">
        <is>
          <t>KF-M02-N2-B</t>
        </is>
      </c>
      <c r="G238" s="16" t="inlineStr">
        <is>
          <t>B03-B</t>
        </is>
      </c>
      <c r="H238" s="16" t="inlineStr">
        <is>
          <t>malla</t>
        </is>
      </c>
      <c r="I238" s="16" t="inlineStr">
        <is>
          <t>KALINA</t>
        </is>
      </c>
      <c r="J238" s="16" t="inlineStr">
        <is>
          <t>KALINA</t>
        </is>
      </c>
      <c r="K238" s="16" t="b">
        <v>1</v>
      </c>
      <c r="L238" s="16" t="b">
        <v>1</v>
      </c>
      <c r="M238" s="16" t="b">
        <v>0</v>
      </c>
      <c r="N238" s="16" t="b">
        <v>0</v>
      </c>
      <c r="O238" s="16" t="n">
        <v>403</v>
      </c>
      <c r="P238" s="16" t="n">
        <v>300.032917</v>
      </c>
      <c r="Q238" s="16" t="n">
        <v>3000</v>
      </c>
      <c r="R238" s="16" t="n">
        <v>690.909090909091</v>
      </c>
      <c r="S238" s="16" t="n">
        <v>0.5</v>
      </c>
      <c r="T238" s="16" t="n">
        <v>0.85</v>
      </c>
      <c r="U238" s="16" t="n">
        <v>0.75</v>
      </c>
      <c r="V238" s="16" t="n">
        <v>0.85</v>
      </c>
      <c r="W238" s="16" t="n">
        <v>0.75</v>
      </c>
      <c r="X238" s="16" t="n">
        <v>0.8</v>
      </c>
      <c r="Y238" s="16" t="n"/>
      <c r="Z238" s="16" t="n">
        <v>7.46732761255242</v>
      </c>
      <c r="AA238" s="16" t="n">
        <v>22.82439179483821</v>
      </c>
      <c r="AB238" s="16" t="n">
        <v>2309.090909090909</v>
      </c>
      <c r="AC238" s="16" t="n">
        <v>4.342105263157894</v>
      </c>
      <c r="AD238" s="16" t="n"/>
      <c r="AE238" s="16" t="n"/>
    </row>
    <row r="239">
      <c r="A239" s="16" t="inlineStr">
        <is>
          <t>KF-M02-N2-B-0027</t>
        </is>
      </c>
      <c r="B239" s="16" t="inlineStr">
        <is>
          <t>2.2</t>
        </is>
      </c>
      <c r="C239" s="16" t="inlineStr">
        <is>
          <t>2.2b</t>
        </is>
      </c>
      <c r="D239" s="16" t="inlineStr">
        <is>
          <t>bajar la fuente (T_fuente × P_baja)</t>
        </is>
      </c>
      <c r="E239" s="16" t="inlineStr">
        <is>
          <t>KF-M02-N2</t>
        </is>
      </c>
      <c r="F239" s="16" t="inlineStr">
        <is>
          <t>KF-M02-N2-B</t>
        </is>
      </c>
      <c r="G239" s="16" t="inlineStr">
        <is>
          <t>B03-B</t>
        </is>
      </c>
      <c r="H239" s="16" t="inlineStr">
        <is>
          <t>malla</t>
        </is>
      </c>
      <c r="I239" s="16" t="inlineStr">
        <is>
          <t>KALINA</t>
        </is>
      </c>
      <c r="J239" s="16" t="inlineStr">
        <is>
          <t>KALINA</t>
        </is>
      </c>
      <c r="K239" s="16" t="b">
        <v>1</v>
      </c>
      <c r="L239" s="16" t="b">
        <v>1</v>
      </c>
      <c r="M239" s="16" t="b">
        <v>0</v>
      </c>
      <c r="N239" s="16" t="b">
        <v>0</v>
      </c>
      <c r="O239" s="16" t="n">
        <v>403</v>
      </c>
      <c r="P239" s="16" t="n">
        <v>300.032917</v>
      </c>
      <c r="Q239" s="16" t="n">
        <v>3000</v>
      </c>
      <c r="R239" s="16" t="n">
        <v>836.3636363636364</v>
      </c>
      <c r="S239" s="16" t="n">
        <v>0.5</v>
      </c>
      <c r="T239" s="16" t="n">
        <v>0.85</v>
      </c>
      <c r="U239" s="16" t="n">
        <v>0.75</v>
      </c>
      <c r="V239" s="16" t="n">
        <v>0.85</v>
      </c>
      <c r="W239" s="16" t="n">
        <v>0.75</v>
      </c>
      <c r="X239" s="16" t="n">
        <v>0.8</v>
      </c>
      <c r="Y239" s="16" t="n"/>
      <c r="Z239" s="16" t="n">
        <v>6.50100619534111</v>
      </c>
      <c r="AA239" s="16" t="n">
        <v>19.85919509912683</v>
      </c>
      <c r="AB239" s="16" t="n">
        <v>2163.636363636364</v>
      </c>
      <c r="AC239" s="16" t="n">
        <v>3.58695652173913</v>
      </c>
      <c r="AD239" s="16" t="n"/>
      <c r="AE239" s="16" t="n"/>
    </row>
    <row r="240">
      <c r="A240" s="16" t="inlineStr">
        <is>
          <t>KF-M02-N2-B-0028</t>
        </is>
      </c>
      <c r="B240" s="16" t="inlineStr">
        <is>
          <t>2.2</t>
        </is>
      </c>
      <c r="C240" s="16" t="inlineStr">
        <is>
          <t>2.2b</t>
        </is>
      </c>
      <c r="D240" s="16" t="inlineStr">
        <is>
          <t>bajar la fuente (T_fuente × P_baja)</t>
        </is>
      </c>
      <c r="E240" s="16" t="inlineStr">
        <is>
          <t>KF-M02-N2</t>
        </is>
      </c>
      <c r="F240" s="16" t="inlineStr">
        <is>
          <t>KF-M02-N2-B</t>
        </is>
      </c>
      <c r="G240" s="16" t="inlineStr">
        <is>
          <t>B03-B</t>
        </is>
      </c>
      <c r="H240" s="16" t="inlineStr">
        <is>
          <t>malla</t>
        </is>
      </c>
      <c r="I240" s="16" t="inlineStr">
        <is>
          <t>KALINA</t>
        </is>
      </c>
      <c r="J240" s="16" t="inlineStr">
        <is>
          <t>KALINA</t>
        </is>
      </c>
      <c r="K240" s="16" t="b">
        <v>1</v>
      </c>
      <c r="L240" s="16" t="b">
        <v>1</v>
      </c>
      <c r="M240" s="16" t="b">
        <v>0</v>
      </c>
      <c r="N240" s="16" t="b">
        <v>0</v>
      </c>
      <c r="O240" s="16" t="n">
        <v>403</v>
      </c>
      <c r="P240" s="16" t="n">
        <v>300.032917</v>
      </c>
      <c r="Q240" s="16" t="n">
        <v>3000</v>
      </c>
      <c r="R240" s="16" t="n">
        <v>981.818181818182</v>
      </c>
      <c r="S240" s="16" t="n">
        <v>0.5</v>
      </c>
      <c r="T240" s="16" t="n">
        <v>0.85</v>
      </c>
      <c r="U240" s="16" t="n">
        <v>0.75</v>
      </c>
      <c r="V240" s="16" t="n">
        <v>0.85</v>
      </c>
      <c r="W240" s="16" t="n">
        <v>0.75</v>
      </c>
      <c r="X240" s="16" t="n">
        <v>0.8</v>
      </c>
      <c r="Y240" s="16" t="n"/>
      <c r="Z240" s="16" t="n">
        <v>5.68155183426597</v>
      </c>
      <c r="AA240" s="16" t="n">
        <v>17.3476836673501</v>
      </c>
      <c r="AB240" s="16" t="n">
        <v>2018.181818181818</v>
      </c>
      <c r="AC240" s="16" t="n">
        <v>3.055555555555555</v>
      </c>
      <c r="AD240" s="16" t="n"/>
      <c r="AE240" s="16" t="n"/>
    </row>
    <row r="241">
      <c r="A241" s="16" t="inlineStr">
        <is>
          <t>KF-M02-N2-B-0029</t>
        </is>
      </c>
      <c r="B241" s="16" t="inlineStr">
        <is>
          <t>2.2</t>
        </is>
      </c>
      <c r="C241" s="16" t="inlineStr">
        <is>
          <t>2.2b</t>
        </is>
      </c>
      <c r="D241" s="16" t="inlineStr">
        <is>
          <t>bajar la fuente (T_fuente × P_baja)</t>
        </is>
      </c>
      <c r="E241" s="16" t="inlineStr">
        <is>
          <t>KF-M02-N2</t>
        </is>
      </c>
      <c r="F241" s="16" t="inlineStr">
        <is>
          <t>KF-M02-N2-B</t>
        </is>
      </c>
      <c r="G241" s="16" t="inlineStr">
        <is>
          <t>B03-B</t>
        </is>
      </c>
      <c r="H241" s="16" t="inlineStr">
        <is>
          <t>malla</t>
        </is>
      </c>
      <c r="I241" s="16" t="inlineStr">
        <is>
          <t>KALINA</t>
        </is>
      </c>
      <c r="J241" s="16" t="inlineStr">
        <is>
          <t>KALINA</t>
        </is>
      </c>
      <c r="K241" s="16" t="b">
        <v>1</v>
      </c>
      <c r="L241" s="16" t="b">
        <v>1</v>
      </c>
      <c r="M241" s="16" t="b">
        <v>0</v>
      </c>
      <c r="N241" s="16" t="b">
        <v>0</v>
      </c>
      <c r="O241" s="16" t="n">
        <v>403</v>
      </c>
      <c r="P241" s="16" t="n">
        <v>300.032917</v>
      </c>
      <c r="Q241" s="16" t="n">
        <v>3000</v>
      </c>
      <c r="R241" s="16" t="n">
        <v>1127.272727272728</v>
      </c>
      <c r="S241" s="16" t="n">
        <v>0.5</v>
      </c>
      <c r="T241" s="16" t="n">
        <v>0.85</v>
      </c>
      <c r="U241" s="16" t="n">
        <v>0.75</v>
      </c>
      <c r="V241" s="16" t="n">
        <v>0.85</v>
      </c>
      <c r="W241" s="16" t="n">
        <v>0.75</v>
      </c>
      <c r="X241" s="16" t="n">
        <v>0.8</v>
      </c>
      <c r="Y241" s="16" t="n"/>
      <c r="Z241" s="16" t="n">
        <v>4.971023557417531</v>
      </c>
      <c r="AA241" s="16" t="n">
        <v>15.17219776352039</v>
      </c>
      <c r="AB241" s="16" t="n">
        <v>1872.727272727272</v>
      </c>
      <c r="AC241" s="16" t="n">
        <v>2.661290322580644</v>
      </c>
      <c r="AD241" s="16" t="n"/>
      <c r="AE241" s="16" t="n"/>
    </row>
    <row r="242">
      <c r="A242" s="16" t="inlineStr">
        <is>
          <t>KF-M02-N2-B-0030</t>
        </is>
      </c>
      <c r="B242" s="16" t="inlineStr">
        <is>
          <t>2.2</t>
        </is>
      </c>
      <c r="C242" s="16" t="inlineStr">
        <is>
          <t>2.2b</t>
        </is>
      </c>
      <c r="D242" s="16" t="inlineStr">
        <is>
          <t>bajar la fuente (T_fuente × P_baja)</t>
        </is>
      </c>
      <c r="E242" s="16" t="inlineStr">
        <is>
          <t>KF-M02-N2</t>
        </is>
      </c>
      <c r="F242" s="16" t="inlineStr">
        <is>
          <t>KF-M02-N2-B</t>
        </is>
      </c>
      <c r="G242" s="16" t="inlineStr">
        <is>
          <t>B03-B</t>
        </is>
      </c>
      <c r="H242" s="16" t="inlineStr">
        <is>
          <t>malla</t>
        </is>
      </c>
      <c r="I242" s="16" t="inlineStr">
        <is>
          <t>KALINA</t>
        </is>
      </c>
      <c r="J242" s="16" t="inlineStr">
        <is>
          <t>KALINA</t>
        </is>
      </c>
      <c r="K242" s="16" t="b">
        <v>1</v>
      </c>
      <c r="L242" s="16" t="b">
        <v>1</v>
      </c>
      <c r="M242" s="16" t="b">
        <v>0</v>
      </c>
      <c r="N242" s="16" t="b">
        <v>0</v>
      </c>
      <c r="O242" s="16" t="n">
        <v>403</v>
      </c>
      <c r="P242" s="16" t="n">
        <v>300.032917</v>
      </c>
      <c r="Q242" s="16" t="n">
        <v>3000</v>
      </c>
      <c r="R242" s="16" t="n">
        <v>1272.727272727273</v>
      </c>
      <c r="S242" s="16" t="n">
        <v>0.5</v>
      </c>
      <c r="T242" s="16" t="n">
        <v>0.85</v>
      </c>
      <c r="U242" s="16" t="n">
        <v>0.75</v>
      </c>
      <c r="V242" s="16" t="n">
        <v>0.85</v>
      </c>
      <c r="W242" s="16" t="n">
        <v>0.75</v>
      </c>
      <c r="X242" s="16" t="n">
        <v>0.8</v>
      </c>
      <c r="Y242" s="16" t="n"/>
      <c r="Z242" s="16" t="n">
        <v>4.34475077649327</v>
      </c>
      <c r="AA242" s="16" t="n">
        <v>13.25628967026665</v>
      </c>
      <c r="AB242" s="16" t="n">
        <v>1727.272727272727</v>
      </c>
      <c r="AC242" s="16" t="n">
        <v>2.357142857142857</v>
      </c>
      <c r="AD242" s="16" t="n"/>
      <c r="AE242" s="16" t="n"/>
    </row>
    <row r="243">
      <c r="A243" s="16" t="inlineStr">
        <is>
          <t>KF-M02-N2-B-0031</t>
        </is>
      </c>
      <c r="B243" s="16" t="inlineStr">
        <is>
          <t>2.2</t>
        </is>
      </c>
      <c r="C243" s="16" t="inlineStr">
        <is>
          <t>2.2b</t>
        </is>
      </c>
      <c r="D243" s="16" t="inlineStr">
        <is>
          <t>bajar la fuente (T_fuente × P_baja)</t>
        </is>
      </c>
      <c r="E243" s="16" t="inlineStr">
        <is>
          <t>KF-M02-N2</t>
        </is>
      </c>
      <c r="F243" s="16" t="inlineStr">
        <is>
          <t>KF-M02-N2-B</t>
        </is>
      </c>
      <c r="G243" s="16" t="inlineStr">
        <is>
          <t>B03-B</t>
        </is>
      </c>
      <c r="H243" s="16" t="inlineStr">
        <is>
          <t>malla</t>
        </is>
      </c>
      <c r="I243" s="16" t="inlineStr">
        <is>
          <t>KALINA</t>
        </is>
      </c>
      <c r="J243" s="16" t="inlineStr">
        <is>
          <t>KALINA</t>
        </is>
      </c>
      <c r="K243" s="16" t="b">
        <v>1</v>
      </c>
      <c r="L243" s="16" t="b">
        <v>1</v>
      </c>
      <c r="M243" s="16" t="b">
        <v>0</v>
      </c>
      <c r="N243" s="16" t="b">
        <v>0</v>
      </c>
      <c r="O243" s="16" t="n">
        <v>403</v>
      </c>
      <c r="P243" s="16" t="n">
        <v>300.032917</v>
      </c>
      <c r="Q243" s="16" t="n">
        <v>3000</v>
      </c>
      <c r="R243" s="16" t="n">
        <v>1418.181818181818</v>
      </c>
      <c r="S243" s="16" t="n">
        <v>0.5</v>
      </c>
      <c r="T243" s="16" t="n">
        <v>0.85</v>
      </c>
      <c r="U243" s="16" t="n">
        <v>0.75</v>
      </c>
      <c r="V243" s="16" t="n">
        <v>0.85</v>
      </c>
      <c r="W243" s="16" t="n">
        <v>0.75</v>
      </c>
      <c r="X243" s="16" t="n">
        <v>0.8</v>
      </c>
      <c r="Y243" s="16" t="n"/>
      <c r="Z243" s="16" t="n">
        <v>3.78572579213082</v>
      </c>
      <c r="AA243" s="16" t="n">
        <v>11.54733918697598</v>
      </c>
      <c r="AB243" s="16" t="n">
        <v>1581.818181818182</v>
      </c>
      <c r="AC243" s="16" t="n">
        <v>2.115384615384615</v>
      </c>
      <c r="AD243" s="16" t="n"/>
      <c r="AE243" s="16" t="n"/>
    </row>
    <row r="244">
      <c r="A244" s="16" t="inlineStr">
        <is>
          <t>KF-M02-N2-B-0032</t>
        </is>
      </c>
      <c r="B244" s="16" t="inlineStr">
        <is>
          <t>2.2</t>
        </is>
      </c>
      <c r="C244" s="16" t="inlineStr">
        <is>
          <t>2.2b</t>
        </is>
      </c>
      <c r="D244" s="16" t="inlineStr">
        <is>
          <t>bajar la fuente (T_fuente × P_baja)</t>
        </is>
      </c>
      <c r="E244" s="16" t="inlineStr">
        <is>
          <t>KF-M02-N2</t>
        </is>
      </c>
      <c r="F244" s="16" t="inlineStr">
        <is>
          <t>KF-M02-N2-B</t>
        </is>
      </c>
      <c r="G244" s="16" t="inlineStr">
        <is>
          <t>B03-B</t>
        </is>
      </c>
      <c r="H244" s="16" t="inlineStr">
        <is>
          <t>malla</t>
        </is>
      </c>
      <c r="I244" s="16" t="inlineStr">
        <is>
          <t>KALINA</t>
        </is>
      </c>
      <c r="J244" s="16" t="inlineStr">
        <is>
          <t>KALINA</t>
        </is>
      </c>
      <c r="K244" s="16" t="b">
        <v>1</v>
      </c>
      <c r="L244" s="16" t="b">
        <v>1</v>
      </c>
      <c r="M244" s="16" t="b">
        <v>0</v>
      </c>
      <c r="N244" s="16" t="b">
        <v>0</v>
      </c>
      <c r="O244" s="16" t="n">
        <v>403</v>
      </c>
      <c r="P244" s="16" t="n">
        <v>300.032917</v>
      </c>
      <c r="Q244" s="16" t="n">
        <v>3000</v>
      </c>
      <c r="R244" s="16" t="n">
        <v>1854.545454545455</v>
      </c>
      <c r="S244" s="16" t="n">
        <v>0.5</v>
      </c>
      <c r="T244" s="16" t="n">
        <v>0.85</v>
      </c>
      <c r="U244" s="16" t="n">
        <v>0.75</v>
      </c>
      <c r="V244" s="16" t="n">
        <v>0.85</v>
      </c>
      <c r="W244" s="16" t="n">
        <v>0.75</v>
      </c>
      <c r="X244" s="16" t="n">
        <v>0.8</v>
      </c>
      <c r="Y244" s="16" t="n"/>
      <c r="Z244" s="16" t="n">
        <v>2.40440102862088</v>
      </c>
      <c r="AA244" s="16" t="n">
        <v>7.329254545257564</v>
      </c>
      <c r="AB244" s="16" t="n">
        <v>1145.454545454545</v>
      </c>
      <c r="AC244" s="16" t="n">
        <v>1.617647058823529</v>
      </c>
      <c r="AD244" s="16" t="n"/>
      <c r="AE244" s="16" t="n"/>
    </row>
    <row r="245">
      <c r="A245" s="16" t="inlineStr">
        <is>
          <t>KF-M02-N2-B-0033</t>
        </is>
      </c>
      <c r="B245" s="16" t="inlineStr">
        <is>
          <t>2.2</t>
        </is>
      </c>
      <c r="C245" s="16" t="inlineStr">
        <is>
          <t>2.2b</t>
        </is>
      </c>
      <c r="D245" s="16" t="inlineStr">
        <is>
          <t>bajar la fuente (T_fuente × P_baja)</t>
        </is>
      </c>
      <c r="E245" s="16" t="inlineStr">
        <is>
          <t>KF-M02-N2</t>
        </is>
      </c>
      <c r="F245" s="16" t="inlineStr">
        <is>
          <t>KF-M02-N2-B</t>
        </is>
      </c>
      <c r="G245" s="16" t="inlineStr">
        <is>
          <t>B03-B</t>
        </is>
      </c>
      <c r="H245" s="16" t="inlineStr">
        <is>
          <t>malla</t>
        </is>
      </c>
      <c r="I245" s="16" t="inlineStr">
        <is>
          <t>KALINA</t>
        </is>
      </c>
      <c r="J245" s="16" t="inlineStr">
        <is>
          <t>KALINA</t>
        </is>
      </c>
      <c r="K245" s="16" t="b">
        <v>1</v>
      </c>
      <c r="L245" s="16" t="b">
        <v>1</v>
      </c>
      <c r="M245" s="16" t="b">
        <v>0</v>
      </c>
      <c r="N245" s="16" t="b">
        <v>0</v>
      </c>
      <c r="O245" s="16" t="n">
        <v>403</v>
      </c>
      <c r="P245" s="16" t="n">
        <v>300.032917</v>
      </c>
      <c r="Q245" s="16" t="n">
        <v>3000</v>
      </c>
      <c r="R245" s="16" t="n">
        <v>1709.090909090909</v>
      </c>
      <c r="S245" s="16" t="n">
        <v>0.5</v>
      </c>
      <c r="T245" s="16" t="n">
        <v>0.85</v>
      </c>
      <c r="U245" s="16" t="n">
        <v>0.75</v>
      </c>
      <c r="V245" s="16" t="n">
        <v>0.85</v>
      </c>
      <c r="W245" s="16" t="n">
        <v>0.75</v>
      </c>
      <c r="X245" s="16" t="n">
        <v>0.8</v>
      </c>
      <c r="Y245" s="16" t="n"/>
      <c r="Z245" s="16" t="n">
        <v>2.82359733610553</v>
      </c>
      <c r="AA245" s="16" t="n">
        <v>8.608668162045378</v>
      </c>
      <c r="AB245" s="16" t="n">
        <v>1290.909090909091</v>
      </c>
      <c r="AC245" s="16" t="n">
        <v>1.75531914893617</v>
      </c>
      <c r="AD245" s="16" t="n"/>
      <c r="AE245" s="16" t="n"/>
    </row>
    <row r="246">
      <c r="A246" s="16" t="inlineStr">
        <is>
          <t>KF-M02-N2-B-0034</t>
        </is>
      </c>
      <c r="B246" s="16" t="inlineStr">
        <is>
          <t>2.2</t>
        </is>
      </c>
      <c r="C246" s="16" t="inlineStr">
        <is>
          <t>2.2b</t>
        </is>
      </c>
      <c r="D246" s="16" t="inlineStr">
        <is>
          <t>bajar la fuente (T_fuente × P_baja)</t>
        </is>
      </c>
      <c r="E246" s="16" t="inlineStr">
        <is>
          <t>KF-M02-N2</t>
        </is>
      </c>
      <c r="F246" s="16" t="inlineStr">
        <is>
          <t>KF-M02-N2-B</t>
        </is>
      </c>
      <c r="G246" s="16" t="inlineStr">
        <is>
          <t>B03-B</t>
        </is>
      </c>
      <c r="H246" s="16" t="inlineStr">
        <is>
          <t>malla</t>
        </is>
      </c>
      <c r="I246" s="16" t="inlineStr">
        <is>
          <t>KALINA</t>
        </is>
      </c>
      <c r="J246" s="16" t="inlineStr">
        <is>
          <t>KALINA</t>
        </is>
      </c>
      <c r="K246" s="16" t="b">
        <v>1</v>
      </c>
      <c r="L246" s="16" t="b">
        <v>1</v>
      </c>
      <c r="M246" s="16" t="b">
        <v>0</v>
      </c>
      <c r="N246" s="16" t="b">
        <v>0</v>
      </c>
      <c r="O246" s="16" t="n">
        <v>403</v>
      </c>
      <c r="P246" s="16" t="n">
        <v>300.032917</v>
      </c>
      <c r="Q246" s="16" t="n">
        <v>3000</v>
      </c>
      <c r="R246" s="16" t="n">
        <v>1563.636363636364</v>
      </c>
      <c r="S246" s="16" t="n">
        <v>0.5</v>
      </c>
      <c r="T246" s="16" t="n">
        <v>0.85</v>
      </c>
      <c r="U246" s="16" t="n">
        <v>0.75</v>
      </c>
      <c r="V246" s="16" t="n">
        <v>0.85</v>
      </c>
      <c r="W246" s="16" t="n">
        <v>0.75</v>
      </c>
      <c r="X246" s="16" t="n">
        <v>0.8</v>
      </c>
      <c r="Y246" s="16" t="n"/>
      <c r="Z246" s="16" t="n">
        <v>3.28171252812382</v>
      </c>
      <c r="AA246" s="16" t="n">
        <v>10.0075159853411</v>
      </c>
      <c r="AB246" s="16" t="n">
        <v>1436.363636363636</v>
      </c>
      <c r="AC246" s="16" t="n">
        <v>1.918604651162791</v>
      </c>
      <c r="AD246" s="16" t="n"/>
      <c r="AE246" s="16" t="n"/>
    </row>
    <row r="247">
      <c r="A247" s="16" t="inlineStr">
        <is>
          <t>KF-M02-N2-B-0035</t>
        </is>
      </c>
      <c r="B247" s="16" t="inlineStr">
        <is>
          <t>2.2</t>
        </is>
      </c>
      <c r="C247" s="16" t="inlineStr">
        <is>
          <t>2.2b</t>
        </is>
      </c>
      <c r="D247" s="16" t="inlineStr">
        <is>
          <t>bajar la fuente (T_fuente × P_baja)</t>
        </is>
      </c>
      <c r="E247" s="16" t="inlineStr">
        <is>
          <t>KF-M02-N2</t>
        </is>
      </c>
      <c r="F247" s="16" t="inlineStr">
        <is>
          <t>KF-M02-N2-B</t>
        </is>
      </c>
      <c r="G247" s="16" t="inlineStr">
        <is>
          <t>B03-B</t>
        </is>
      </c>
      <c r="H247" s="16" t="inlineStr">
        <is>
          <t>malla</t>
        </is>
      </c>
      <c r="I247" s="16" t="inlineStr">
        <is>
          <t>KALINA</t>
        </is>
      </c>
      <c r="J247" s="16" t="inlineStr">
        <is>
          <t>KALINA</t>
        </is>
      </c>
      <c r="K247" s="16" t="b">
        <v>1</v>
      </c>
      <c r="L247" s="16" t="b">
        <v>1</v>
      </c>
      <c r="M247" s="16" t="b">
        <v>0</v>
      </c>
      <c r="N247" s="16" t="b">
        <v>0</v>
      </c>
      <c r="O247" s="16" t="n">
        <v>403</v>
      </c>
      <c r="P247" s="16" t="n">
        <v>300.032917</v>
      </c>
      <c r="Q247" s="16" t="n">
        <v>3000</v>
      </c>
      <c r="R247" s="16" t="n">
        <v>2000</v>
      </c>
      <c r="S247" s="16" t="n">
        <v>0.5</v>
      </c>
      <c r="T247" s="16" t="n">
        <v>0.85</v>
      </c>
      <c r="U247" s="16" t="n">
        <v>0.75</v>
      </c>
      <c r="V247" s="16" t="n">
        <v>0.85</v>
      </c>
      <c r="W247" s="16" t="n">
        <v>0.75</v>
      </c>
      <c r="X247" s="16" t="n">
        <v>0.8</v>
      </c>
      <c r="Y247" s="16" t="n"/>
      <c r="Z247" s="16" t="n">
        <v>2.01865480499139</v>
      </c>
      <c r="AA247" s="16" t="n">
        <v>6.152408714327831</v>
      </c>
      <c r="AB247" s="16" t="n">
        <v>1000</v>
      </c>
      <c r="AC247" s="16" t="n">
        <v>1.5</v>
      </c>
      <c r="AD247" s="16" t="n"/>
      <c r="AE247" s="16" t="n"/>
    </row>
    <row r="248">
      <c r="A248" s="16" t="inlineStr">
        <is>
          <t>KF-M02-N2-B-0036</t>
        </is>
      </c>
      <c r="B248" s="16" t="inlineStr">
        <is>
          <t>2.2</t>
        </is>
      </c>
      <c r="C248" s="16" t="inlineStr">
        <is>
          <t>2.2b</t>
        </is>
      </c>
      <c r="D248" s="16" t="inlineStr">
        <is>
          <t>bajar la fuente (T_fuente × P_baja)</t>
        </is>
      </c>
      <c r="E248" s="16" t="inlineStr">
        <is>
          <t>KF-M02-N2</t>
        </is>
      </c>
      <c r="F248" s="16" t="inlineStr">
        <is>
          <t>KF-M02-N2-B</t>
        </is>
      </c>
      <c r="G248" s="16" t="inlineStr">
        <is>
          <t>B03-B</t>
        </is>
      </c>
      <c r="H248" s="16" t="inlineStr">
        <is>
          <t>malla</t>
        </is>
      </c>
      <c r="I248" s="16" t="inlineStr">
        <is>
          <t>CORREGIBLE</t>
        </is>
      </c>
      <c r="J248" s="16" t="inlineStr">
        <is>
          <t>CORREGIBLE</t>
        </is>
      </c>
      <c r="K248" s="16" t="b">
        <v>1</v>
      </c>
      <c r="L248" s="16" t="b">
        <v>0</v>
      </c>
      <c r="M248" s="16" t="b">
        <v>0</v>
      </c>
      <c r="N248" s="16" t="b">
        <v>0</v>
      </c>
      <c r="O248" s="16" t="n">
        <v>420</v>
      </c>
      <c r="P248" s="16" t="n">
        <v>300.032917</v>
      </c>
      <c r="Q248" s="16" t="n">
        <v>3000</v>
      </c>
      <c r="R248" s="16" t="n">
        <v>400</v>
      </c>
      <c r="S248" s="16" t="n">
        <v>0.5</v>
      </c>
      <c r="T248" s="16" t="n">
        <v>0.85</v>
      </c>
      <c r="U248" s="16" t="n">
        <v>0.75</v>
      </c>
      <c r="V248" s="16" t="n">
        <v>0.85</v>
      </c>
      <c r="W248" s="16" t="n">
        <v>0.75</v>
      </c>
      <c r="X248" s="16" t="n">
        <v>0.8</v>
      </c>
      <c r="Y248" s="16" t="n"/>
      <c r="Z248" s="16" t="n">
        <v>12.26793903753299</v>
      </c>
      <c r="AA248" s="16" t="n">
        <v>61.69718943804527</v>
      </c>
      <c r="AB248" s="16" t="n">
        <v>2600</v>
      </c>
      <c r="AC248" s="16" t="n">
        <v>7.5</v>
      </c>
      <c r="AD248" s="16" t="inlineStr">
        <is>
          <t>O2</t>
        </is>
      </c>
      <c r="AE248" s="16" t="n"/>
    </row>
    <row r="249">
      <c r="A249" s="16" t="inlineStr">
        <is>
          <t>KF-M02-N2-B-0037</t>
        </is>
      </c>
      <c r="B249" s="16" t="inlineStr">
        <is>
          <t>2.2</t>
        </is>
      </c>
      <c r="C249" s="16" t="inlineStr">
        <is>
          <t>2.2b</t>
        </is>
      </c>
      <c r="D249" s="16" t="inlineStr">
        <is>
          <t>bajar la fuente (T_fuente × P_baja)</t>
        </is>
      </c>
      <c r="E249" s="16" t="inlineStr">
        <is>
          <t>KF-M02-N2</t>
        </is>
      </c>
      <c r="F249" s="16" t="inlineStr">
        <is>
          <t>KF-M02-N2-B</t>
        </is>
      </c>
      <c r="G249" s="16" t="inlineStr">
        <is>
          <t>B03-B</t>
        </is>
      </c>
      <c r="H249" s="16" t="inlineStr">
        <is>
          <t>malla</t>
        </is>
      </c>
      <c r="I249" s="16" t="inlineStr">
        <is>
          <t>CORREGIBLE</t>
        </is>
      </c>
      <c r="J249" s="16" t="inlineStr">
        <is>
          <t>CORREGIBLE</t>
        </is>
      </c>
      <c r="K249" s="16" t="b">
        <v>1</v>
      </c>
      <c r="L249" s="16" t="b">
        <v>0</v>
      </c>
      <c r="M249" s="16" t="b">
        <v>0</v>
      </c>
      <c r="N249" s="16" t="b">
        <v>0</v>
      </c>
      <c r="O249" s="16" t="n">
        <v>420</v>
      </c>
      <c r="P249" s="16" t="n">
        <v>300.032917</v>
      </c>
      <c r="Q249" s="16" t="n">
        <v>3000</v>
      </c>
      <c r="R249" s="16" t="n">
        <v>545.4545454545455</v>
      </c>
      <c r="S249" s="16" t="n">
        <v>0.5</v>
      </c>
      <c r="T249" s="16" t="n">
        <v>0.85</v>
      </c>
      <c r="U249" s="16" t="n">
        <v>0.75</v>
      </c>
      <c r="V249" s="16" t="n">
        <v>0.85</v>
      </c>
      <c r="W249" s="16" t="n">
        <v>0.75</v>
      </c>
      <c r="X249" s="16" t="n">
        <v>0.8</v>
      </c>
      <c r="Y249" s="16" t="n"/>
      <c r="Z249" s="16" t="n">
        <v>10.84795231125256</v>
      </c>
      <c r="AA249" s="16" t="n">
        <v>54.58011344007326</v>
      </c>
      <c r="AB249" s="16" t="n">
        <v>2454.545454545455</v>
      </c>
      <c r="AC249" s="16" t="n">
        <v>5.5</v>
      </c>
      <c r="AD249" s="16" t="inlineStr">
        <is>
          <t>O2</t>
        </is>
      </c>
      <c r="AE249" s="16" t="n"/>
    </row>
    <row r="250">
      <c r="A250" s="16" t="inlineStr">
        <is>
          <t>KF-M02-N2-B-0038</t>
        </is>
      </c>
      <c r="B250" s="16" t="inlineStr">
        <is>
          <t>2.2</t>
        </is>
      </c>
      <c r="C250" s="16" t="inlineStr">
        <is>
          <t>2.2b</t>
        </is>
      </c>
      <c r="D250" s="16" t="inlineStr">
        <is>
          <t>bajar la fuente (T_fuente × P_baja)</t>
        </is>
      </c>
      <c r="E250" s="16" t="inlineStr">
        <is>
          <t>KF-M02-N2</t>
        </is>
      </c>
      <c r="F250" s="16" t="inlineStr">
        <is>
          <t>KF-M02-N2-B</t>
        </is>
      </c>
      <c r="G250" s="16" t="inlineStr">
        <is>
          <t>B03-B</t>
        </is>
      </c>
      <c r="H250" s="16" t="inlineStr">
        <is>
          <t>malla</t>
        </is>
      </c>
      <c r="I250" s="16" t="inlineStr">
        <is>
          <t>CORREGIBLE</t>
        </is>
      </c>
      <c r="J250" s="16" t="inlineStr">
        <is>
          <t>CORREGIBLE</t>
        </is>
      </c>
      <c r="K250" s="16" t="b">
        <v>1</v>
      </c>
      <c r="L250" s="16" t="b">
        <v>0</v>
      </c>
      <c r="M250" s="16" t="b">
        <v>0</v>
      </c>
      <c r="N250" s="16" t="b">
        <v>0</v>
      </c>
      <c r="O250" s="16" t="n">
        <v>420</v>
      </c>
      <c r="P250" s="16" t="n">
        <v>300.032917</v>
      </c>
      <c r="Q250" s="16" t="n">
        <v>3000</v>
      </c>
      <c r="R250" s="16" t="n">
        <v>690.909090909091</v>
      </c>
      <c r="S250" s="16" t="n">
        <v>0.5</v>
      </c>
      <c r="T250" s="16" t="n">
        <v>0.85</v>
      </c>
      <c r="U250" s="16" t="n">
        <v>0.75</v>
      </c>
      <c r="V250" s="16" t="n">
        <v>0.85</v>
      </c>
      <c r="W250" s="16" t="n">
        <v>0.75</v>
      </c>
      <c r="X250" s="16" t="n">
        <v>0.8</v>
      </c>
      <c r="Y250" s="16" t="n"/>
      <c r="Z250" s="16" t="n">
        <v>9.53901738524444</v>
      </c>
      <c r="AA250" s="16" t="n">
        <v>47.9669595959498</v>
      </c>
      <c r="AB250" s="16" t="n">
        <v>2309.090909090909</v>
      </c>
      <c r="AC250" s="16" t="n">
        <v>4.342105263157894</v>
      </c>
      <c r="AD250" s="16" t="inlineStr">
        <is>
          <t>O2</t>
        </is>
      </c>
      <c r="AE250" s="16" t="n"/>
    </row>
    <row r="251">
      <c r="A251" s="16" t="inlineStr">
        <is>
          <t>KF-M02-N2-B-0039</t>
        </is>
      </c>
      <c r="B251" s="16" t="inlineStr">
        <is>
          <t>2.2</t>
        </is>
      </c>
      <c r="C251" s="16" t="inlineStr">
        <is>
          <t>2.2b</t>
        </is>
      </c>
      <c r="D251" s="16" t="inlineStr">
        <is>
          <t>bajar la fuente (T_fuente × P_baja)</t>
        </is>
      </c>
      <c r="E251" s="16" t="inlineStr">
        <is>
          <t>KF-M02-N2</t>
        </is>
      </c>
      <c r="F251" s="16" t="inlineStr">
        <is>
          <t>KF-M02-N2-B</t>
        </is>
      </c>
      <c r="G251" s="16" t="inlineStr">
        <is>
          <t>B03-B</t>
        </is>
      </c>
      <c r="H251" s="16" t="inlineStr">
        <is>
          <t>malla</t>
        </is>
      </c>
      <c r="I251" s="16" t="inlineStr">
        <is>
          <t>KALINA</t>
        </is>
      </c>
      <c r="J251" s="16" t="inlineStr">
        <is>
          <t>KALINA</t>
        </is>
      </c>
      <c r="K251" s="16" t="b">
        <v>1</v>
      </c>
      <c r="L251" s="16" t="b">
        <v>1</v>
      </c>
      <c r="M251" s="16" t="b">
        <v>0</v>
      </c>
      <c r="N251" s="16" t="b">
        <v>0</v>
      </c>
      <c r="O251" s="16" t="n">
        <v>420</v>
      </c>
      <c r="P251" s="16" t="n">
        <v>300.032917</v>
      </c>
      <c r="Q251" s="16" t="n">
        <v>3000</v>
      </c>
      <c r="R251" s="16" t="n">
        <v>836.3636363636364</v>
      </c>
      <c r="S251" s="16" t="n">
        <v>0.5</v>
      </c>
      <c r="T251" s="16" t="n">
        <v>0.85</v>
      </c>
      <c r="U251" s="16" t="n">
        <v>0.75</v>
      </c>
      <c r="V251" s="16" t="n">
        <v>0.85</v>
      </c>
      <c r="W251" s="16" t="n">
        <v>0.75</v>
      </c>
      <c r="X251" s="16" t="n">
        <v>0.8</v>
      </c>
      <c r="Y251" s="16" t="n"/>
      <c r="Z251" s="16" t="n">
        <v>8.35389493347966</v>
      </c>
      <c r="AA251" s="16" t="n">
        <v>41.96763206850535</v>
      </c>
      <c r="AB251" s="16" t="n">
        <v>2163.636363636364</v>
      </c>
      <c r="AC251" s="16" t="n">
        <v>3.58695652173913</v>
      </c>
      <c r="AD251" s="16" t="n"/>
      <c r="AE251" s="16" t="n"/>
    </row>
    <row r="252">
      <c r="A252" s="16" t="inlineStr">
        <is>
          <t>KF-M02-N2-B-0040</t>
        </is>
      </c>
      <c r="B252" s="16" t="inlineStr">
        <is>
          <t>2.2</t>
        </is>
      </c>
      <c r="C252" s="16" t="inlineStr">
        <is>
          <t>2.2b</t>
        </is>
      </c>
      <c r="D252" s="16" t="inlineStr">
        <is>
          <t>bajar la fuente (T_fuente × P_baja)</t>
        </is>
      </c>
      <c r="E252" s="16" t="inlineStr">
        <is>
          <t>KF-M02-N2</t>
        </is>
      </c>
      <c r="F252" s="16" t="inlineStr">
        <is>
          <t>KF-M02-N2-B</t>
        </is>
      </c>
      <c r="G252" s="16" t="inlineStr">
        <is>
          <t>B03-B</t>
        </is>
      </c>
      <c r="H252" s="16" t="inlineStr">
        <is>
          <t>malla</t>
        </is>
      </c>
      <c r="I252" s="16" t="inlineStr">
        <is>
          <t>KALINA</t>
        </is>
      </c>
      <c r="J252" s="16" t="inlineStr">
        <is>
          <t>KALINA</t>
        </is>
      </c>
      <c r="K252" s="16" t="b">
        <v>1</v>
      </c>
      <c r="L252" s="16" t="b">
        <v>1</v>
      </c>
      <c r="M252" s="16" t="b">
        <v>0</v>
      </c>
      <c r="N252" s="16" t="b">
        <v>0</v>
      </c>
      <c r="O252" s="16" t="n">
        <v>420</v>
      </c>
      <c r="P252" s="16" t="n">
        <v>300.032917</v>
      </c>
      <c r="Q252" s="16" t="n">
        <v>3000</v>
      </c>
      <c r="R252" s="16" t="n">
        <v>1127.272727272728</v>
      </c>
      <c r="S252" s="16" t="n">
        <v>0.5</v>
      </c>
      <c r="T252" s="16" t="n">
        <v>0.85</v>
      </c>
      <c r="U252" s="16" t="n">
        <v>0.75</v>
      </c>
      <c r="V252" s="16" t="n">
        <v>0.85</v>
      </c>
      <c r="W252" s="16" t="n">
        <v>0.75</v>
      </c>
      <c r="X252" s="16" t="n">
        <v>0.8</v>
      </c>
      <c r="Y252" s="16" t="n"/>
      <c r="Z252" s="16" t="n">
        <v>6.452255528188281</v>
      </c>
      <c r="AA252" s="16" t="n">
        <v>32.36487089531776</v>
      </c>
      <c r="AB252" s="16" t="n">
        <v>1872.727272727272</v>
      </c>
      <c r="AC252" s="16" t="n">
        <v>2.661290322580644</v>
      </c>
      <c r="AD252" s="16" t="n"/>
      <c r="AE252" s="16" t="n"/>
    </row>
    <row r="253">
      <c r="A253" s="16" t="inlineStr">
        <is>
          <t>KF-M02-N2-B-0041</t>
        </is>
      </c>
      <c r="B253" s="16" t="inlineStr">
        <is>
          <t>2.2</t>
        </is>
      </c>
      <c r="C253" s="16" t="inlineStr">
        <is>
          <t>2.2b</t>
        </is>
      </c>
      <c r="D253" s="16" t="inlineStr">
        <is>
          <t>bajar la fuente (T_fuente × P_baja)</t>
        </is>
      </c>
      <c r="E253" s="16" t="inlineStr">
        <is>
          <t>KF-M02-N2</t>
        </is>
      </c>
      <c r="F253" s="16" t="inlineStr">
        <is>
          <t>KF-M02-N2-B</t>
        </is>
      </c>
      <c r="G253" s="16" t="inlineStr">
        <is>
          <t>B03-B</t>
        </is>
      </c>
      <c r="H253" s="16" t="inlineStr">
        <is>
          <t>malla</t>
        </is>
      </c>
      <c r="I253" s="16" t="inlineStr">
        <is>
          <t>KALINA</t>
        </is>
      </c>
      <c r="J253" s="16" t="inlineStr">
        <is>
          <t>KALINA</t>
        </is>
      </c>
      <c r="K253" s="16" t="b">
        <v>1</v>
      </c>
      <c r="L253" s="16" t="b">
        <v>1</v>
      </c>
      <c r="M253" s="16" t="b">
        <v>0</v>
      </c>
      <c r="N253" s="16" t="b">
        <v>0</v>
      </c>
      <c r="O253" s="16" t="n">
        <v>420</v>
      </c>
      <c r="P253" s="16" t="n">
        <v>300.032917</v>
      </c>
      <c r="Q253" s="16" t="n">
        <v>3000</v>
      </c>
      <c r="R253" s="16" t="n">
        <v>981.818181818182</v>
      </c>
      <c r="S253" s="16" t="n">
        <v>0.5</v>
      </c>
      <c r="T253" s="16" t="n">
        <v>0.85</v>
      </c>
      <c r="U253" s="16" t="n">
        <v>0.75</v>
      </c>
      <c r="V253" s="16" t="n">
        <v>0.85</v>
      </c>
      <c r="W253" s="16" t="n">
        <v>0.75</v>
      </c>
      <c r="X253" s="16" t="n">
        <v>0.8</v>
      </c>
      <c r="Y253" s="16" t="n"/>
      <c r="Z253" s="16" t="n">
        <v>7.33811122378724</v>
      </c>
      <c r="AA253" s="16" t="n">
        <v>36.83432047793433</v>
      </c>
      <c r="AB253" s="16" t="n">
        <v>2018.181818181818</v>
      </c>
      <c r="AC253" s="16" t="n">
        <v>3.055555555555555</v>
      </c>
      <c r="AD253" s="16" t="n"/>
      <c r="AE253" s="16" t="n"/>
    </row>
    <row r="254">
      <c r="A254" s="16" t="inlineStr">
        <is>
          <t>KF-M02-N2-B-0042</t>
        </is>
      </c>
      <c r="B254" s="16" t="inlineStr">
        <is>
          <t>2.2</t>
        </is>
      </c>
      <c r="C254" s="16" t="inlineStr">
        <is>
          <t>2.2b</t>
        </is>
      </c>
      <c r="D254" s="16" t="inlineStr">
        <is>
          <t>bajar la fuente (T_fuente × P_baja)</t>
        </is>
      </c>
      <c r="E254" s="16" t="inlineStr">
        <is>
          <t>KF-M02-N2</t>
        </is>
      </c>
      <c r="F254" s="16" t="inlineStr">
        <is>
          <t>KF-M02-N2-B</t>
        </is>
      </c>
      <c r="G254" s="16" t="inlineStr">
        <is>
          <t>B03-B</t>
        </is>
      </c>
      <c r="H254" s="16" t="inlineStr">
        <is>
          <t>malla</t>
        </is>
      </c>
      <c r="I254" s="16" t="inlineStr">
        <is>
          <t>KALINA</t>
        </is>
      </c>
      <c r="J254" s="16" t="inlineStr">
        <is>
          <t>KALINA</t>
        </is>
      </c>
      <c r="K254" s="16" t="b">
        <v>1</v>
      </c>
      <c r="L254" s="16" t="b">
        <v>1</v>
      </c>
      <c r="M254" s="16" t="b">
        <v>0</v>
      </c>
      <c r="N254" s="16" t="b">
        <v>0</v>
      </c>
      <c r="O254" s="16" t="n">
        <v>420</v>
      </c>
      <c r="P254" s="16" t="n">
        <v>300.032917</v>
      </c>
      <c r="Q254" s="16" t="n">
        <v>3000</v>
      </c>
      <c r="R254" s="16" t="n">
        <v>1272.727272727273</v>
      </c>
      <c r="S254" s="16" t="n">
        <v>0.5</v>
      </c>
      <c r="T254" s="16" t="n">
        <v>0.85</v>
      </c>
      <c r="U254" s="16" t="n">
        <v>0.75</v>
      </c>
      <c r="V254" s="16" t="n">
        <v>0.85</v>
      </c>
      <c r="W254" s="16" t="n">
        <v>0.75</v>
      </c>
      <c r="X254" s="16" t="n">
        <v>0.8</v>
      </c>
      <c r="Y254" s="16" t="n"/>
      <c r="Z254" s="16" t="n">
        <v>5.66664427903135</v>
      </c>
      <c r="AA254" s="16" t="n">
        <v>28.40675139590016</v>
      </c>
      <c r="AB254" s="16" t="n">
        <v>1727.272727272727</v>
      </c>
      <c r="AC254" s="16" t="n">
        <v>2.357142857142857</v>
      </c>
      <c r="AD254" s="16" t="n"/>
      <c r="AE254" s="16" t="n"/>
    </row>
    <row r="255">
      <c r="A255" s="16" t="inlineStr">
        <is>
          <t>KF-M02-N2-B-0043</t>
        </is>
      </c>
      <c r="B255" s="16" t="inlineStr">
        <is>
          <t>2.2</t>
        </is>
      </c>
      <c r="C255" s="16" t="inlineStr">
        <is>
          <t>2.2b</t>
        </is>
      </c>
      <c r="D255" s="16" t="inlineStr">
        <is>
          <t>bajar la fuente (T_fuente × P_baja)</t>
        </is>
      </c>
      <c r="E255" s="16" t="inlineStr">
        <is>
          <t>KF-M02-N2</t>
        </is>
      </c>
      <c r="F255" s="16" t="inlineStr">
        <is>
          <t>KF-M02-N2-B</t>
        </is>
      </c>
      <c r="G255" s="16" t="inlineStr">
        <is>
          <t>B03-B</t>
        </is>
      </c>
      <c r="H255" s="16" t="inlineStr">
        <is>
          <t>malla</t>
        </is>
      </c>
      <c r="I255" s="16" t="inlineStr">
        <is>
          <t>KALINA</t>
        </is>
      </c>
      <c r="J255" s="16" t="inlineStr">
        <is>
          <t>KALINA</t>
        </is>
      </c>
      <c r="K255" s="16" t="b">
        <v>1</v>
      </c>
      <c r="L255" s="16" t="b">
        <v>1</v>
      </c>
      <c r="M255" s="16" t="b">
        <v>0</v>
      </c>
      <c r="N255" s="16" t="b">
        <v>0</v>
      </c>
      <c r="O255" s="16" t="n">
        <v>420</v>
      </c>
      <c r="P255" s="16" t="n">
        <v>300.032917</v>
      </c>
      <c r="Q255" s="16" t="n">
        <v>3000</v>
      </c>
      <c r="R255" s="16" t="n">
        <v>1418.181818181818</v>
      </c>
      <c r="S255" s="16" t="n">
        <v>0.5</v>
      </c>
      <c r="T255" s="16" t="n">
        <v>0.85</v>
      </c>
      <c r="U255" s="16" t="n">
        <v>0.75</v>
      </c>
      <c r="V255" s="16" t="n">
        <v>0.85</v>
      </c>
      <c r="W255" s="16" t="n">
        <v>0.75</v>
      </c>
      <c r="X255" s="16" t="n">
        <v>0.8</v>
      </c>
      <c r="Y255" s="16" t="n"/>
      <c r="Z255" s="16" t="n">
        <v>4.96089552117106</v>
      </c>
      <c r="AA255" s="16" t="n">
        <v>24.85537538706869</v>
      </c>
      <c r="AB255" s="16" t="n">
        <v>1581.818181818182</v>
      </c>
      <c r="AC255" s="16" t="n">
        <v>2.115384615384615</v>
      </c>
      <c r="AD255" s="16" t="n"/>
      <c r="AE255" s="16" t="n"/>
    </row>
    <row r="256">
      <c r="A256" s="16" t="inlineStr">
        <is>
          <t>KF-M02-N2-B-0044</t>
        </is>
      </c>
      <c r="B256" s="16" t="inlineStr">
        <is>
          <t>2.2</t>
        </is>
      </c>
      <c r="C256" s="16" t="inlineStr">
        <is>
          <t>2.2b</t>
        </is>
      </c>
      <c r="D256" s="16" t="inlineStr">
        <is>
          <t>bajar la fuente (T_fuente × P_baja)</t>
        </is>
      </c>
      <c r="E256" s="16" t="inlineStr">
        <is>
          <t>KF-M02-N2</t>
        </is>
      </c>
      <c r="F256" s="16" t="inlineStr">
        <is>
          <t>KF-M02-N2-B</t>
        </is>
      </c>
      <c r="G256" s="16" t="inlineStr">
        <is>
          <t>B03-B</t>
        </is>
      </c>
      <c r="H256" s="16" t="inlineStr">
        <is>
          <t>malla</t>
        </is>
      </c>
      <c r="I256" s="16" t="inlineStr">
        <is>
          <t>KALINA</t>
        </is>
      </c>
      <c r="J256" s="16" t="inlineStr">
        <is>
          <t>KALINA</t>
        </is>
      </c>
      <c r="K256" s="16" t="b">
        <v>1</v>
      </c>
      <c r="L256" s="16" t="b">
        <v>1</v>
      </c>
      <c r="M256" s="16" t="b">
        <v>0</v>
      </c>
      <c r="N256" s="16" t="b">
        <v>0</v>
      </c>
      <c r="O256" s="16" t="n">
        <v>420</v>
      </c>
      <c r="P256" s="16" t="n">
        <v>300.032917</v>
      </c>
      <c r="Q256" s="16" t="n">
        <v>3000</v>
      </c>
      <c r="R256" s="16" t="n">
        <v>1563.636363636364</v>
      </c>
      <c r="S256" s="16" t="n">
        <v>0.5</v>
      </c>
      <c r="T256" s="16" t="n">
        <v>0.85</v>
      </c>
      <c r="U256" s="16" t="n">
        <v>0.75</v>
      </c>
      <c r="V256" s="16" t="n">
        <v>0.85</v>
      </c>
      <c r="W256" s="16" t="n">
        <v>0.75</v>
      </c>
      <c r="X256" s="16" t="n">
        <v>0.8</v>
      </c>
      <c r="Y256" s="16" t="n"/>
      <c r="Z256" s="16" t="n">
        <v>4.32038018190255</v>
      </c>
      <c r="AA256" s="16" t="n">
        <v>21.63577256928385</v>
      </c>
      <c r="AB256" s="16" t="n">
        <v>1436.363636363636</v>
      </c>
      <c r="AC256" s="16" t="n">
        <v>1.918604651162791</v>
      </c>
      <c r="AD256" s="16" t="n"/>
      <c r="AE256" s="16" t="n"/>
    </row>
    <row r="257">
      <c r="A257" s="16" t="inlineStr">
        <is>
          <t>KF-M02-N2-B-0045</t>
        </is>
      </c>
      <c r="B257" s="16" t="inlineStr">
        <is>
          <t>2.2</t>
        </is>
      </c>
      <c r="C257" s="16" t="inlineStr">
        <is>
          <t>2.2b</t>
        </is>
      </c>
      <c r="D257" s="16" t="inlineStr">
        <is>
          <t>bajar la fuente (T_fuente × P_baja)</t>
        </is>
      </c>
      <c r="E257" s="16" t="inlineStr">
        <is>
          <t>KF-M02-N2</t>
        </is>
      </c>
      <c r="F257" s="16" t="inlineStr">
        <is>
          <t>KF-M02-N2-B</t>
        </is>
      </c>
      <c r="G257" s="16" t="inlineStr">
        <is>
          <t>B03-B</t>
        </is>
      </c>
      <c r="H257" s="16" t="inlineStr">
        <is>
          <t>malla</t>
        </is>
      </c>
      <c r="I257" s="16" t="inlineStr">
        <is>
          <t>KALINA</t>
        </is>
      </c>
      <c r="J257" s="16" t="inlineStr">
        <is>
          <t>KALINA</t>
        </is>
      </c>
      <c r="K257" s="16" t="b">
        <v>1</v>
      </c>
      <c r="L257" s="16" t="b">
        <v>1</v>
      </c>
      <c r="M257" s="16" t="b">
        <v>0</v>
      </c>
      <c r="N257" s="16" t="b">
        <v>0</v>
      </c>
      <c r="O257" s="16" t="n">
        <v>420</v>
      </c>
      <c r="P257" s="16" t="n">
        <v>300.032917</v>
      </c>
      <c r="Q257" s="16" t="n">
        <v>3000</v>
      </c>
      <c r="R257" s="16" t="n">
        <v>1709.090909090909</v>
      </c>
      <c r="S257" s="16" t="n">
        <v>0.5</v>
      </c>
      <c r="T257" s="16" t="n">
        <v>0.85</v>
      </c>
      <c r="U257" s="16" t="n">
        <v>0.75</v>
      </c>
      <c r="V257" s="16" t="n">
        <v>0.85</v>
      </c>
      <c r="W257" s="16" t="n">
        <v>0.75</v>
      </c>
      <c r="X257" s="16" t="n">
        <v>0.8</v>
      </c>
      <c r="Y257" s="16" t="n"/>
      <c r="Z257" s="16" t="n">
        <v>3.734226266405249</v>
      </c>
      <c r="AA257" s="16" t="n">
        <v>18.69229231868978</v>
      </c>
      <c r="AB257" s="16" t="n">
        <v>1290.909090909091</v>
      </c>
      <c r="AC257" s="16" t="n">
        <v>1.75531914893617</v>
      </c>
      <c r="AD257" s="16" t="n"/>
      <c r="AE257" s="16" t="n"/>
    </row>
    <row r="258">
      <c r="A258" s="16" t="inlineStr">
        <is>
          <t>KF-M02-N2-B-0046</t>
        </is>
      </c>
      <c r="B258" s="16" t="inlineStr">
        <is>
          <t>2.2</t>
        </is>
      </c>
      <c r="C258" s="16" t="inlineStr">
        <is>
          <t>2.2b</t>
        </is>
      </c>
      <c r="D258" s="16" t="inlineStr">
        <is>
          <t>bajar la fuente (T_fuente × P_baja)</t>
        </is>
      </c>
      <c r="E258" s="16" t="inlineStr">
        <is>
          <t>KF-M02-N2</t>
        </is>
      </c>
      <c r="F258" s="16" t="inlineStr">
        <is>
          <t>KF-M02-N2-B</t>
        </is>
      </c>
      <c r="G258" s="16" t="inlineStr">
        <is>
          <t>B03-B</t>
        </is>
      </c>
      <c r="H258" s="16" t="inlineStr">
        <is>
          <t>malla</t>
        </is>
      </c>
      <c r="I258" s="16" t="inlineStr">
        <is>
          <t>KALINA</t>
        </is>
      </c>
      <c r="J258" s="16" t="inlineStr">
        <is>
          <t>KALINA</t>
        </is>
      </c>
      <c r="K258" s="16" t="b">
        <v>1</v>
      </c>
      <c r="L258" s="16" t="b">
        <v>1</v>
      </c>
      <c r="M258" s="16" t="b">
        <v>0</v>
      </c>
      <c r="N258" s="16" t="b">
        <v>0</v>
      </c>
      <c r="O258" s="16" t="n">
        <v>420</v>
      </c>
      <c r="P258" s="16" t="n">
        <v>300.032917</v>
      </c>
      <c r="Q258" s="16" t="n">
        <v>3000</v>
      </c>
      <c r="R258" s="16" t="n">
        <v>1854.545454545455</v>
      </c>
      <c r="S258" s="16" t="n">
        <v>0.5</v>
      </c>
      <c r="T258" s="16" t="n">
        <v>0.85</v>
      </c>
      <c r="U258" s="16" t="n">
        <v>0.75</v>
      </c>
      <c r="V258" s="16" t="n">
        <v>0.85</v>
      </c>
      <c r="W258" s="16" t="n">
        <v>0.75</v>
      </c>
      <c r="X258" s="16" t="n">
        <v>0.8</v>
      </c>
      <c r="Y258" s="16" t="n"/>
      <c r="Z258" s="16" t="n">
        <v>3.19412251185007</v>
      </c>
      <c r="AA258" s="16" t="n">
        <v>15.98243792991697</v>
      </c>
      <c r="AB258" s="16" t="n">
        <v>1145.454545454545</v>
      </c>
      <c r="AC258" s="16" t="n">
        <v>1.617647058823529</v>
      </c>
      <c r="AD258" s="16" t="n"/>
      <c r="AE258" s="16" t="n"/>
    </row>
    <row r="259">
      <c r="A259" s="16" t="inlineStr">
        <is>
          <t>KF-M02-N2-B-0047</t>
        </is>
      </c>
      <c r="B259" s="16" t="inlineStr">
        <is>
          <t>2.2</t>
        </is>
      </c>
      <c r="C259" s="16" t="inlineStr">
        <is>
          <t>2.2b</t>
        </is>
      </c>
      <c r="D259" s="16" t="inlineStr">
        <is>
          <t>bajar la fuente (T_fuente × P_baja)</t>
        </is>
      </c>
      <c r="E259" s="16" t="inlineStr">
        <is>
          <t>KF-M02-N2</t>
        </is>
      </c>
      <c r="F259" s="16" t="inlineStr">
        <is>
          <t>KF-M02-N2-B</t>
        </is>
      </c>
      <c r="G259" s="16" t="inlineStr">
        <is>
          <t>B03-B</t>
        </is>
      </c>
      <c r="H259" s="16" t="inlineStr">
        <is>
          <t>malla</t>
        </is>
      </c>
      <c r="I259" s="16" t="inlineStr">
        <is>
          <t>KALINA</t>
        </is>
      </c>
      <c r="J259" s="16" t="inlineStr">
        <is>
          <t>KALINA</t>
        </is>
      </c>
      <c r="K259" s="16" t="b">
        <v>1</v>
      </c>
      <c r="L259" s="16" t="b">
        <v>1</v>
      </c>
      <c r="M259" s="16" t="b">
        <v>0</v>
      </c>
      <c r="N259" s="16" t="b">
        <v>0</v>
      </c>
      <c r="O259" s="16" t="n">
        <v>420</v>
      </c>
      <c r="P259" s="16" t="n">
        <v>300.032917</v>
      </c>
      <c r="Q259" s="16" t="n">
        <v>3000</v>
      </c>
      <c r="R259" s="16" t="n">
        <v>2000</v>
      </c>
      <c r="S259" s="16" t="n">
        <v>0.5</v>
      </c>
      <c r="T259" s="16" t="n">
        <v>0.85</v>
      </c>
      <c r="U259" s="16" t="n">
        <v>0.75</v>
      </c>
      <c r="V259" s="16" t="n">
        <v>0.85</v>
      </c>
      <c r="W259" s="16" t="n">
        <v>0.75</v>
      </c>
      <c r="X259" s="16" t="n">
        <v>0.8</v>
      </c>
      <c r="Y259" s="16" t="n"/>
      <c r="Z259" s="16" t="n">
        <v>2.69356647515933</v>
      </c>
      <c r="AA259" s="16" t="n">
        <v>13.4729951194694</v>
      </c>
      <c r="AB259" s="16" t="n">
        <v>1000</v>
      </c>
      <c r="AC259" s="16" t="n">
        <v>1.5</v>
      </c>
      <c r="AD259" s="16" t="n"/>
      <c r="AE259" s="16" t="n"/>
    </row>
    <row r="260">
      <c r="A260" s="16" t="inlineStr">
        <is>
          <t>KF-M02-N2-B-0048</t>
        </is>
      </c>
      <c r="B260" s="16" t="inlineStr">
        <is>
          <t>2.2</t>
        </is>
      </c>
      <c r="C260" s="16" t="inlineStr">
        <is>
          <t>2.2b</t>
        </is>
      </c>
      <c r="D260" s="16" t="inlineStr">
        <is>
          <t>bajar la fuente (T_fuente × P_baja)</t>
        </is>
      </c>
      <c r="E260" s="16" t="inlineStr">
        <is>
          <t>KF-M02-N2</t>
        </is>
      </c>
      <c r="F260" s="16" t="inlineStr">
        <is>
          <t>KF-M02-N2-B</t>
        </is>
      </c>
      <c r="G260" s="16" t="inlineStr">
        <is>
          <t>B03-B</t>
        </is>
      </c>
      <c r="H260" s="16" t="inlineStr">
        <is>
          <t>malla</t>
        </is>
      </c>
      <c r="I260" s="16" t="inlineStr">
        <is>
          <t>CORREGIBLE</t>
        </is>
      </c>
      <c r="J260" s="16" t="inlineStr">
        <is>
          <t>CORREGIBLE</t>
        </is>
      </c>
      <c r="K260" s="16" t="b">
        <v>1</v>
      </c>
      <c r="L260" s="16" t="b">
        <v>0</v>
      </c>
      <c r="M260" s="16" t="b">
        <v>1</v>
      </c>
      <c r="N260" s="16" t="b">
        <v>0</v>
      </c>
      <c r="O260" s="16" t="n">
        <v>434</v>
      </c>
      <c r="P260" s="16" t="n">
        <v>300.032917</v>
      </c>
      <c r="Q260" s="16" t="n">
        <v>3000</v>
      </c>
      <c r="R260" s="16" t="n">
        <v>400</v>
      </c>
      <c r="S260" s="16" t="n">
        <v>0.5</v>
      </c>
      <c r="T260" s="16" t="n">
        <v>0.85</v>
      </c>
      <c r="U260" s="16" t="n">
        <v>0.75</v>
      </c>
      <c r="V260" s="16" t="n">
        <v>0.85</v>
      </c>
      <c r="W260" s="16" t="n">
        <v>0.75</v>
      </c>
      <c r="X260" s="16" t="n">
        <v>0.8</v>
      </c>
      <c r="Y260" s="16" t="n"/>
      <c r="Z260" s="16" t="n">
        <v>13.02121102249091</v>
      </c>
      <c r="AA260" s="16" t="n">
        <v>89.06796044471984</v>
      </c>
      <c r="AB260" s="16" t="n">
        <v>2600</v>
      </c>
      <c r="AC260" s="16" t="n">
        <v>7.5</v>
      </c>
      <c r="AD260" s="16" t="inlineStr">
        <is>
          <t>O2</t>
        </is>
      </c>
      <c r="AE260" s="16" t="n"/>
    </row>
    <row r="261">
      <c r="A261" s="16" t="inlineStr">
        <is>
          <t>KF-M02-N2-B-0049</t>
        </is>
      </c>
      <c r="B261" s="16" t="inlineStr">
        <is>
          <t>2.2</t>
        </is>
      </c>
      <c r="C261" s="16" t="inlineStr">
        <is>
          <t>2.2b</t>
        </is>
      </c>
      <c r="D261" s="16" t="inlineStr">
        <is>
          <t>bajar la fuente (T_fuente × P_baja)</t>
        </is>
      </c>
      <c r="E261" s="16" t="inlineStr">
        <is>
          <t>KF-M02-N2</t>
        </is>
      </c>
      <c r="F261" s="16" t="inlineStr">
        <is>
          <t>KF-M02-N2-B</t>
        </is>
      </c>
      <c r="G261" s="16" t="inlineStr">
        <is>
          <t>B03-B</t>
        </is>
      </c>
      <c r="H261" s="16" t="inlineStr">
        <is>
          <t>malla</t>
        </is>
      </c>
      <c r="I261" s="16" t="inlineStr">
        <is>
          <t>CORREGIBLE</t>
        </is>
      </c>
      <c r="J261" s="16" t="inlineStr">
        <is>
          <t>CORREGIBLE</t>
        </is>
      </c>
      <c r="K261" s="16" t="b">
        <v>1</v>
      </c>
      <c r="L261" s="16" t="b">
        <v>0</v>
      </c>
      <c r="M261" s="16" t="b">
        <v>1</v>
      </c>
      <c r="N261" s="16" t="b">
        <v>0</v>
      </c>
      <c r="O261" s="16" t="n">
        <v>434</v>
      </c>
      <c r="P261" s="16" t="n">
        <v>300.032917</v>
      </c>
      <c r="Q261" s="16" t="n">
        <v>3000</v>
      </c>
      <c r="R261" s="16" t="n">
        <v>545.4545454545455</v>
      </c>
      <c r="S261" s="16" t="n">
        <v>0.5</v>
      </c>
      <c r="T261" s="16" t="n">
        <v>0.85</v>
      </c>
      <c r="U261" s="16" t="n">
        <v>0.75</v>
      </c>
      <c r="V261" s="16" t="n">
        <v>0.85</v>
      </c>
      <c r="W261" s="16" t="n">
        <v>0.75</v>
      </c>
      <c r="X261" s="16" t="n">
        <v>0.8</v>
      </c>
      <c r="Y261" s="16" t="n"/>
      <c r="Z261" s="16" t="n">
        <v>11.53241000737917</v>
      </c>
      <c r="AA261" s="16" t="n">
        <v>78.94026195912366</v>
      </c>
      <c r="AB261" s="16" t="n">
        <v>2454.545454545455</v>
      </c>
      <c r="AC261" s="16" t="n">
        <v>5.5</v>
      </c>
      <c r="AD261" s="16" t="inlineStr">
        <is>
          <t>O2</t>
        </is>
      </c>
      <c r="AE261" s="16" t="n"/>
    </row>
    <row r="262">
      <c r="A262" s="16" t="inlineStr">
        <is>
          <t>KF-M02-N2-B-0050</t>
        </is>
      </c>
      <c r="B262" s="16" t="inlineStr">
        <is>
          <t>2.2</t>
        </is>
      </c>
      <c r="C262" s="16" t="inlineStr">
        <is>
          <t>2.2b</t>
        </is>
      </c>
      <c r="D262" s="16" t="inlineStr">
        <is>
          <t>bajar la fuente (T_fuente × P_baja)</t>
        </is>
      </c>
      <c r="E262" s="16" t="inlineStr">
        <is>
          <t>KF-M02-N2</t>
        </is>
      </c>
      <c r="F262" s="16" t="inlineStr">
        <is>
          <t>KF-M02-N2-B</t>
        </is>
      </c>
      <c r="G262" s="16" t="inlineStr">
        <is>
          <t>B03-B</t>
        </is>
      </c>
      <c r="H262" s="16" t="inlineStr">
        <is>
          <t>malla</t>
        </is>
      </c>
      <c r="I262" s="16" t="inlineStr">
        <is>
          <t>CORREGIBLE</t>
        </is>
      </c>
      <c r="J262" s="16" t="inlineStr">
        <is>
          <t>CORREGIBLE</t>
        </is>
      </c>
      <c r="K262" s="16" t="b">
        <v>1</v>
      </c>
      <c r="L262" s="16" t="b">
        <v>0</v>
      </c>
      <c r="M262" s="16" t="b">
        <v>1</v>
      </c>
      <c r="N262" s="16" t="b">
        <v>0</v>
      </c>
      <c r="O262" s="16" t="n">
        <v>434</v>
      </c>
      <c r="P262" s="16" t="n">
        <v>300.032917</v>
      </c>
      <c r="Q262" s="16" t="n">
        <v>3000</v>
      </c>
      <c r="R262" s="16" t="n">
        <v>690.909090909091</v>
      </c>
      <c r="S262" s="16" t="n">
        <v>0.5</v>
      </c>
      <c r="T262" s="16" t="n">
        <v>0.85</v>
      </c>
      <c r="U262" s="16" t="n">
        <v>0.75</v>
      </c>
      <c r="V262" s="16" t="n">
        <v>0.85</v>
      </c>
      <c r="W262" s="16" t="n">
        <v>0.75</v>
      </c>
      <c r="X262" s="16" t="n">
        <v>0.8</v>
      </c>
      <c r="Y262" s="16" t="n"/>
      <c r="Z262" s="16" t="n">
        <v>10.22438672720781</v>
      </c>
      <c r="AA262" s="16" t="n">
        <v>69.97129303732194</v>
      </c>
      <c r="AB262" s="16" t="n">
        <v>2309.090909090909</v>
      </c>
      <c r="AC262" s="16" t="n">
        <v>4.342105263157894</v>
      </c>
      <c r="AD262" s="16" t="inlineStr">
        <is>
          <t>O2</t>
        </is>
      </c>
      <c r="AE262" s="16" t="n"/>
    </row>
    <row r="263">
      <c r="A263" s="16" t="inlineStr">
        <is>
          <t>KF-M02-N2-B-0051</t>
        </is>
      </c>
      <c r="B263" s="16" t="inlineStr">
        <is>
          <t>2.2</t>
        </is>
      </c>
      <c r="C263" s="16" t="inlineStr">
        <is>
          <t>2.2b</t>
        </is>
      </c>
      <c r="D263" s="16" t="inlineStr">
        <is>
          <t>bajar la fuente (T_fuente × P_baja)</t>
        </is>
      </c>
      <c r="E263" s="16" t="inlineStr">
        <is>
          <t>KF-M02-N2</t>
        </is>
      </c>
      <c r="F263" s="16" t="inlineStr">
        <is>
          <t>KF-M02-N2-B</t>
        </is>
      </c>
      <c r="G263" s="16" t="inlineStr">
        <is>
          <t>B03-B</t>
        </is>
      </c>
      <c r="H263" s="16" t="inlineStr">
        <is>
          <t>malla</t>
        </is>
      </c>
      <c r="I263" s="16" t="inlineStr">
        <is>
          <t>CORREGIBLE</t>
        </is>
      </c>
      <c r="J263" s="16" t="inlineStr">
        <is>
          <t>CORREGIBLE</t>
        </is>
      </c>
      <c r="K263" s="16" t="b">
        <v>1</v>
      </c>
      <c r="L263" s="16" t="b">
        <v>0</v>
      </c>
      <c r="M263" s="16" t="b">
        <v>1</v>
      </c>
      <c r="N263" s="16" t="b">
        <v>0</v>
      </c>
      <c r="O263" s="16" t="n">
        <v>434</v>
      </c>
      <c r="P263" s="16" t="n">
        <v>300.032917</v>
      </c>
      <c r="Q263" s="16" t="n">
        <v>3000</v>
      </c>
      <c r="R263" s="16" t="n">
        <v>836.3636363636364</v>
      </c>
      <c r="S263" s="16" t="n">
        <v>0.5</v>
      </c>
      <c r="T263" s="16" t="n">
        <v>0.85</v>
      </c>
      <c r="U263" s="16" t="n">
        <v>0.75</v>
      </c>
      <c r="V263" s="16" t="n">
        <v>0.85</v>
      </c>
      <c r="W263" s="16" t="n">
        <v>0.75</v>
      </c>
      <c r="X263" s="16" t="n">
        <v>0.8</v>
      </c>
      <c r="Y263" s="16" t="n"/>
      <c r="Z263" s="16" t="n">
        <v>9.048520758815879</v>
      </c>
      <c r="AA263" s="16" t="n">
        <v>61.88098284885297</v>
      </c>
      <c r="AB263" s="16" t="n">
        <v>2163.636363636364</v>
      </c>
      <c r="AC263" s="16" t="n">
        <v>3.58695652173913</v>
      </c>
      <c r="AD263" s="16" t="inlineStr">
        <is>
          <t>O2</t>
        </is>
      </c>
      <c r="AE263" s="16" t="n"/>
    </row>
    <row r="264">
      <c r="A264" s="16" t="inlineStr">
        <is>
          <t>KF-M02-N2-B-0052</t>
        </is>
      </c>
      <c r="B264" s="16" t="inlineStr">
        <is>
          <t>2.2</t>
        </is>
      </c>
      <c r="C264" s="16" t="inlineStr">
        <is>
          <t>2.2b</t>
        </is>
      </c>
      <c r="D264" s="16" t="inlineStr">
        <is>
          <t>bajar la fuente (T_fuente × P_baja)</t>
        </is>
      </c>
      <c r="E264" s="16" t="inlineStr">
        <is>
          <t>KF-M02-N2</t>
        </is>
      </c>
      <c r="F264" s="16" t="inlineStr">
        <is>
          <t>KF-M02-N2-B</t>
        </is>
      </c>
      <c r="G264" s="16" t="inlineStr">
        <is>
          <t>B03-B</t>
        </is>
      </c>
      <c r="H264" s="16" t="inlineStr">
        <is>
          <t>malla</t>
        </is>
      </c>
      <c r="I264" s="16" t="inlineStr">
        <is>
          <t>KALINA</t>
        </is>
      </c>
      <c r="J264" s="16" t="inlineStr">
        <is>
          <t>KALINA</t>
        </is>
      </c>
      <c r="K264" s="16" t="b">
        <v>1</v>
      </c>
      <c r="L264" s="16" t="b">
        <v>0</v>
      </c>
      <c r="M264" s="16" t="b">
        <v>1</v>
      </c>
      <c r="N264" s="16" t="b">
        <v>0</v>
      </c>
      <c r="O264" s="16" t="n">
        <v>434</v>
      </c>
      <c r="P264" s="16" t="n">
        <v>300.032917</v>
      </c>
      <c r="Q264" s="16" t="n">
        <v>3000</v>
      </c>
      <c r="R264" s="16" t="n">
        <v>1272.727272727273</v>
      </c>
      <c r="S264" s="16" t="n">
        <v>0.5</v>
      </c>
      <c r="T264" s="16" t="n">
        <v>0.85</v>
      </c>
      <c r="U264" s="16" t="n">
        <v>0.75</v>
      </c>
      <c r="V264" s="16" t="n">
        <v>0.85</v>
      </c>
      <c r="W264" s="16" t="n">
        <v>0.75</v>
      </c>
      <c r="X264" s="16" t="n">
        <v>0.8</v>
      </c>
      <c r="Y264" s="16" t="n"/>
      <c r="Z264" s="16" t="n">
        <v>6.17829714353014</v>
      </c>
      <c r="AA264" s="16" t="n">
        <v>42.14010232062981</v>
      </c>
      <c r="AB264" s="16" t="n">
        <v>1727.272727272727</v>
      </c>
      <c r="AC264" s="16" t="n">
        <v>2.357142857142857</v>
      </c>
      <c r="AD264" s="16" t="n"/>
      <c r="AE264" s="16" t="n"/>
    </row>
    <row r="265">
      <c r="A265" s="16" t="inlineStr">
        <is>
          <t>KF-M02-N2-B-0053</t>
        </is>
      </c>
      <c r="B265" s="16" t="inlineStr">
        <is>
          <t>2.2</t>
        </is>
      </c>
      <c r="C265" s="16" t="inlineStr">
        <is>
          <t>2.2b</t>
        </is>
      </c>
      <c r="D265" s="16" t="inlineStr">
        <is>
          <t>bajar la fuente (T_fuente × P_baja)</t>
        </is>
      </c>
      <c r="E265" s="16" t="inlineStr">
        <is>
          <t>KF-M02-N2</t>
        </is>
      </c>
      <c r="F265" s="16" t="inlineStr">
        <is>
          <t>KF-M02-N2-B</t>
        </is>
      </c>
      <c r="G265" s="16" t="inlineStr">
        <is>
          <t>B03-B</t>
        </is>
      </c>
      <c r="H265" s="16" t="inlineStr">
        <is>
          <t>malla</t>
        </is>
      </c>
      <c r="I265" s="16" t="inlineStr">
        <is>
          <t>KALINA</t>
        </is>
      </c>
      <c r="J265" s="16" t="inlineStr">
        <is>
          <t>KALINA</t>
        </is>
      </c>
      <c r="K265" s="16" t="b">
        <v>1</v>
      </c>
      <c r="L265" s="16" t="b">
        <v>0</v>
      </c>
      <c r="M265" s="16" t="b">
        <v>1</v>
      </c>
      <c r="N265" s="16" t="b">
        <v>0</v>
      </c>
      <c r="O265" s="16" t="n">
        <v>434</v>
      </c>
      <c r="P265" s="16" t="n">
        <v>300.032917</v>
      </c>
      <c r="Q265" s="16" t="n">
        <v>3000</v>
      </c>
      <c r="R265" s="16" t="n">
        <v>1127.272727272728</v>
      </c>
      <c r="S265" s="16" t="n">
        <v>0.5</v>
      </c>
      <c r="T265" s="16" t="n">
        <v>0.85</v>
      </c>
      <c r="U265" s="16" t="n">
        <v>0.75</v>
      </c>
      <c r="V265" s="16" t="n">
        <v>0.85</v>
      </c>
      <c r="W265" s="16" t="n">
        <v>0.75</v>
      </c>
      <c r="X265" s="16" t="n">
        <v>0.8</v>
      </c>
      <c r="Y265" s="16" t="n"/>
      <c r="Z265" s="16" t="n">
        <v>7.024373932793</v>
      </c>
      <c r="AA265" s="16" t="n">
        <v>47.94900858135036</v>
      </c>
      <c r="AB265" s="16" t="n">
        <v>1872.727272727272</v>
      </c>
      <c r="AC265" s="16" t="n">
        <v>2.661290322580644</v>
      </c>
      <c r="AD265" s="16" t="n"/>
      <c r="AE265" s="16" t="n"/>
    </row>
    <row r="266">
      <c r="A266" s="16" t="inlineStr">
        <is>
          <t>KF-M02-N2-B-0054</t>
        </is>
      </c>
      <c r="B266" s="16" t="inlineStr">
        <is>
          <t>2.2</t>
        </is>
      </c>
      <c r="C266" s="16" t="inlineStr">
        <is>
          <t>2.2b</t>
        </is>
      </c>
      <c r="D266" s="16" t="inlineStr">
        <is>
          <t>bajar la fuente (T_fuente × P_baja)</t>
        </is>
      </c>
      <c r="E266" s="16" t="inlineStr">
        <is>
          <t>KF-M02-N2</t>
        </is>
      </c>
      <c r="F266" s="16" t="inlineStr">
        <is>
          <t>KF-M02-N2-B</t>
        </is>
      </c>
      <c r="G266" s="16" t="inlineStr">
        <is>
          <t>B03-B</t>
        </is>
      </c>
      <c r="H266" s="16" t="inlineStr">
        <is>
          <t>malla</t>
        </is>
      </c>
      <c r="I266" s="16" t="inlineStr">
        <is>
          <t>KALINA</t>
        </is>
      </c>
      <c r="J266" s="16" t="inlineStr">
        <is>
          <t>KALINA</t>
        </is>
      </c>
      <c r="K266" s="16" t="b">
        <v>1</v>
      </c>
      <c r="L266" s="16" t="b">
        <v>0</v>
      </c>
      <c r="M266" s="16" t="b">
        <v>1</v>
      </c>
      <c r="N266" s="16" t="b">
        <v>0</v>
      </c>
      <c r="O266" s="16" t="n">
        <v>434</v>
      </c>
      <c r="P266" s="16" t="n">
        <v>300.032917</v>
      </c>
      <c r="Q266" s="16" t="n">
        <v>3000</v>
      </c>
      <c r="R266" s="16" t="n">
        <v>981.818181818182</v>
      </c>
      <c r="S266" s="16" t="n">
        <v>0.5</v>
      </c>
      <c r="T266" s="16" t="n">
        <v>0.85</v>
      </c>
      <c r="U266" s="16" t="n">
        <v>0.75</v>
      </c>
      <c r="V266" s="16" t="n">
        <v>0.85</v>
      </c>
      <c r="W266" s="16" t="n">
        <v>0.75</v>
      </c>
      <c r="X266" s="16" t="n">
        <v>0.8</v>
      </c>
      <c r="Y266" s="16" t="n"/>
      <c r="Z266" s="16" t="n">
        <v>7.97645936528993</v>
      </c>
      <c r="AA266" s="16" t="n">
        <v>54.49737091829441</v>
      </c>
      <c r="AB266" s="16" t="n">
        <v>2018.181818181818</v>
      </c>
      <c r="AC266" s="16" t="n">
        <v>3.055555555555555</v>
      </c>
      <c r="AD266" s="16" t="n"/>
      <c r="AE266" s="16" t="n"/>
    </row>
    <row r="267">
      <c r="A267" s="16" t="inlineStr">
        <is>
          <t>KF-M02-N2-B-0055</t>
        </is>
      </c>
      <c r="B267" s="16" t="inlineStr">
        <is>
          <t>2.2</t>
        </is>
      </c>
      <c r="C267" s="16" t="inlineStr">
        <is>
          <t>2.2b</t>
        </is>
      </c>
      <c r="D267" s="16" t="inlineStr">
        <is>
          <t>bajar la fuente (T_fuente × P_baja)</t>
        </is>
      </c>
      <c r="E267" s="16" t="inlineStr">
        <is>
          <t>KF-M02-N2</t>
        </is>
      </c>
      <c r="F267" s="16" t="inlineStr">
        <is>
          <t>KF-M02-N2-B</t>
        </is>
      </c>
      <c r="G267" s="16" t="inlineStr">
        <is>
          <t>B03-B</t>
        </is>
      </c>
      <c r="H267" s="16" t="inlineStr">
        <is>
          <t>malla</t>
        </is>
      </c>
      <c r="I267" s="16" t="inlineStr">
        <is>
          <t>KALINA</t>
        </is>
      </c>
      <c r="J267" s="16" t="inlineStr">
        <is>
          <t>KALINA</t>
        </is>
      </c>
      <c r="K267" s="16" t="b">
        <v>1</v>
      </c>
      <c r="L267" s="16" t="b">
        <v>0</v>
      </c>
      <c r="M267" s="16" t="b">
        <v>1</v>
      </c>
      <c r="N267" s="16" t="b">
        <v>0</v>
      </c>
      <c r="O267" s="16" t="n">
        <v>434</v>
      </c>
      <c r="P267" s="16" t="n">
        <v>300.032917</v>
      </c>
      <c r="Q267" s="16" t="n">
        <v>3000</v>
      </c>
      <c r="R267" s="16" t="n">
        <v>1418.181818181818</v>
      </c>
      <c r="S267" s="16" t="n">
        <v>0.5</v>
      </c>
      <c r="T267" s="16" t="n">
        <v>0.85</v>
      </c>
      <c r="U267" s="16" t="n">
        <v>0.75</v>
      </c>
      <c r="V267" s="16" t="n">
        <v>0.85</v>
      </c>
      <c r="W267" s="16" t="n">
        <v>0.75</v>
      </c>
      <c r="X267" s="16" t="n">
        <v>0.8</v>
      </c>
      <c r="Y267" s="16" t="n"/>
      <c r="Z267" s="16" t="n">
        <v>5.41663913689064</v>
      </c>
      <c r="AA267" s="16" t="n">
        <v>36.9189632805612</v>
      </c>
      <c r="AB267" s="16" t="n">
        <v>1581.818181818182</v>
      </c>
      <c r="AC267" s="16" t="n">
        <v>2.115384615384615</v>
      </c>
      <c r="AD267" s="16" t="n"/>
      <c r="AE267" s="16" t="n"/>
    </row>
    <row r="268">
      <c r="A268" s="16" t="inlineStr">
        <is>
          <t>KF-M02-N2-B-0056</t>
        </is>
      </c>
      <c r="B268" s="16" t="inlineStr">
        <is>
          <t>2.2</t>
        </is>
      </c>
      <c r="C268" s="16" t="inlineStr">
        <is>
          <t>2.2b</t>
        </is>
      </c>
      <c r="D268" s="16" t="inlineStr">
        <is>
          <t>bajar la fuente (T_fuente × P_baja)</t>
        </is>
      </c>
      <c r="E268" s="16" t="inlineStr">
        <is>
          <t>KF-M02-N2</t>
        </is>
      </c>
      <c r="F268" s="16" t="inlineStr">
        <is>
          <t>KF-M02-N2-B</t>
        </is>
      </c>
      <c r="G268" s="16" t="inlineStr">
        <is>
          <t>B03-B</t>
        </is>
      </c>
      <c r="H268" s="16" t="inlineStr">
        <is>
          <t>malla</t>
        </is>
      </c>
      <c r="I268" s="16" t="inlineStr">
        <is>
          <t>NO_CONVERGIO</t>
        </is>
      </c>
      <c r="J268" s="16" t="inlineStr">
        <is>
          <t>NO_CONVERGIO</t>
        </is>
      </c>
      <c r="K268" s="16" t="b">
        <v>0</v>
      </c>
      <c r="L268" s="16" t="b">
        <v>0</v>
      </c>
      <c r="M268" s="16" t="b">
        <v>0</v>
      </c>
      <c r="N268" s="16" t="b">
        <v>0</v>
      </c>
      <c r="O268" s="16" t="n">
        <v>434</v>
      </c>
      <c r="P268" s="16" t="n">
        <v>300.032917</v>
      </c>
      <c r="Q268" s="16" t="n">
        <v>3000</v>
      </c>
      <c r="R268" s="16" t="n">
        <v>1854.545454545455</v>
      </c>
      <c r="S268" s="16" t="n">
        <v>0.5</v>
      </c>
      <c r="T268" s="16" t="n">
        <v>0.85</v>
      </c>
      <c r="U268" s="16" t="n">
        <v>0.75</v>
      </c>
      <c r="V268" s="16" t="n">
        <v>0.85</v>
      </c>
      <c r="W268" s="16" t="n">
        <v>0.75</v>
      </c>
      <c r="X268" s="16" t="n">
        <v>0.8</v>
      </c>
      <c r="Y268" s="16" t="n"/>
      <c r="Z268" s="16" t="n"/>
      <c r="AA268" s="16" t="n"/>
      <c r="AB268" s="16" t="n">
        <v>1145.454545454545</v>
      </c>
      <c r="AC268" s="16" t="n">
        <v>1.617647058823529</v>
      </c>
      <c r="AD268" s="16" t="n"/>
      <c r="AE268" s="16" t="n"/>
    </row>
    <row r="269">
      <c r="A269" s="16" t="inlineStr">
        <is>
          <t>KF-M02-N2-B-0057</t>
        </is>
      </c>
      <c r="B269" s="16" t="inlineStr">
        <is>
          <t>2.2</t>
        </is>
      </c>
      <c r="C269" s="16" t="inlineStr">
        <is>
          <t>2.2b</t>
        </is>
      </c>
      <c r="D269" s="16" t="inlineStr">
        <is>
          <t>bajar la fuente (T_fuente × P_baja)</t>
        </is>
      </c>
      <c r="E269" s="16" t="inlineStr">
        <is>
          <t>KF-M02-N2</t>
        </is>
      </c>
      <c r="F269" s="16" t="inlineStr">
        <is>
          <t>KF-M02-N2-B</t>
        </is>
      </c>
      <c r="G269" s="16" t="inlineStr">
        <is>
          <t>B03-B</t>
        </is>
      </c>
      <c r="H269" s="16" t="inlineStr">
        <is>
          <t>malla</t>
        </is>
      </c>
      <c r="I269" s="16" t="inlineStr">
        <is>
          <t>NO_CONVERGIO</t>
        </is>
      </c>
      <c r="J269" s="16" t="inlineStr">
        <is>
          <t>NO_CONVERGIO</t>
        </is>
      </c>
      <c r="K269" s="16" t="b">
        <v>0</v>
      </c>
      <c r="L269" s="16" t="b">
        <v>0</v>
      </c>
      <c r="M269" s="16" t="b">
        <v>0</v>
      </c>
      <c r="N269" s="16" t="b">
        <v>0</v>
      </c>
      <c r="O269" s="16" t="n">
        <v>434</v>
      </c>
      <c r="P269" s="16" t="n">
        <v>300.032917</v>
      </c>
      <c r="Q269" s="16" t="n">
        <v>3000</v>
      </c>
      <c r="R269" s="16" t="n">
        <v>2000</v>
      </c>
      <c r="S269" s="16" t="n">
        <v>0.5</v>
      </c>
      <c r="T269" s="16" t="n">
        <v>0.85</v>
      </c>
      <c r="U269" s="16" t="n">
        <v>0.75</v>
      </c>
      <c r="V269" s="16" t="n">
        <v>0.85</v>
      </c>
      <c r="W269" s="16" t="n">
        <v>0.75</v>
      </c>
      <c r="X269" s="16" t="n">
        <v>0.8</v>
      </c>
      <c r="Y269" s="16" t="n"/>
      <c r="Z269" s="16" t="n"/>
      <c r="AA269" s="16" t="n"/>
      <c r="AB269" s="16" t="n">
        <v>1000</v>
      </c>
      <c r="AC269" s="16" t="n">
        <v>1.5</v>
      </c>
      <c r="AD269" s="16" t="n"/>
      <c r="AE269" s="16" t="n"/>
    </row>
    <row r="270">
      <c r="A270" s="16" t="inlineStr">
        <is>
          <t>KF-M02-N2-B-0058</t>
        </is>
      </c>
      <c r="B270" s="16" t="inlineStr">
        <is>
          <t>2.2</t>
        </is>
      </c>
      <c r="C270" s="16" t="inlineStr">
        <is>
          <t>2.2b</t>
        </is>
      </c>
      <c r="D270" s="16" t="inlineStr">
        <is>
          <t>bajar la fuente (T_fuente × P_baja)</t>
        </is>
      </c>
      <c r="E270" s="16" t="inlineStr">
        <is>
          <t>KF-M02-N2</t>
        </is>
      </c>
      <c r="F270" s="16" t="inlineStr">
        <is>
          <t>KF-M02-N2-B</t>
        </is>
      </c>
      <c r="G270" s="16" t="inlineStr">
        <is>
          <t>B03-B</t>
        </is>
      </c>
      <c r="H270" s="16" t="inlineStr">
        <is>
          <t>malla</t>
        </is>
      </c>
      <c r="I270" s="16" t="inlineStr">
        <is>
          <t>KALINA</t>
        </is>
      </c>
      <c r="J270" s="16" t="inlineStr">
        <is>
          <t>KALINA</t>
        </is>
      </c>
      <c r="K270" s="16" t="b">
        <v>1</v>
      </c>
      <c r="L270" s="16" t="b">
        <v>0</v>
      </c>
      <c r="M270" s="16" t="b">
        <v>1</v>
      </c>
      <c r="N270" s="16" t="b">
        <v>0</v>
      </c>
      <c r="O270" s="16" t="n">
        <v>434</v>
      </c>
      <c r="P270" s="16" t="n">
        <v>300.032917</v>
      </c>
      <c r="Q270" s="16" t="n">
        <v>3000</v>
      </c>
      <c r="R270" s="16" t="n">
        <v>1563.636363636364</v>
      </c>
      <c r="S270" s="16" t="n">
        <v>0.5</v>
      </c>
      <c r="T270" s="16" t="n">
        <v>0.85</v>
      </c>
      <c r="U270" s="16" t="n">
        <v>0.75</v>
      </c>
      <c r="V270" s="16" t="n">
        <v>0.85</v>
      </c>
      <c r="W270" s="16" t="n">
        <v>0.75</v>
      </c>
      <c r="X270" s="16" t="n">
        <v>0.8</v>
      </c>
      <c r="Y270" s="16" t="n"/>
      <c r="Z270" s="16" t="n">
        <v>4.723908355774229</v>
      </c>
      <c r="AA270" s="16" t="n">
        <v>32.1769582548876</v>
      </c>
      <c r="AB270" s="16" t="n">
        <v>1436.363636363636</v>
      </c>
      <c r="AC270" s="16" t="n">
        <v>1.918604651162791</v>
      </c>
      <c r="AD270" s="16" t="n"/>
      <c r="AE270" s="16" t="n"/>
    </row>
    <row r="271">
      <c r="A271" s="16" t="inlineStr">
        <is>
          <t>KF-M02-N2-B-0059</t>
        </is>
      </c>
      <c r="B271" s="16" t="inlineStr">
        <is>
          <t>2.2</t>
        </is>
      </c>
      <c r="C271" s="16" t="inlineStr">
        <is>
          <t>2.2b</t>
        </is>
      </c>
      <c r="D271" s="16" t="inlineStr">
        <is>
          <t>bajar la fuente (T_fuente × P_baja)</t>
        </is>
      </c>
      <c r="E271" s="16" t="inlineStr">
        <is>
          <t>KF-M02-N2</t>
        </is>
      </c>
      <c r="F271" s="16" t="inlineStr">
        <is>
          <t>KF-M02-N2-B</t>
        </is>
      </c>
      <c r="G271" s="16" t="inlineStr">
        <is>
          <t>B03-B</t>
        </is>
      </c>
      <c r="H271" s="16" t="inlineStr">
        <is>
          <t>malla</t>
        </is>
      </c>
      <c r="I271" s="16" t="inlineStr">
        <is>
          <t>KALINA</t>
        </is>
      </c>
      <c r="J271" s="16" t="inlineStr">
        <is>
          <t>KALINA</t>
        </is>
      </c>
      <c r="K271" s="16" t="b">
        <v>1</v>
      </c>
      <c r="L271" s="16" t="b">
        <v>0</v>
      </c>
      <c r="M271" s="16" t="b">
        <v>1</v>
      </c>
      <c r="N271" s="16" t="b">
        <v>0</v>
      </c>
      <c r="O271" s="16" t="n">
        <v>434</v>
      </c>
      <c r="P271" s="16" t="n">
        <v>300.032917</v>
      </c>
      <c r="Q271" s="16" t="n">
        <v>3000</v>
      </c>
      <c r="R271" s="16" t="n">
        <v>1709.090909090909</v>
      </c>
      <c r="S271" s="16" t="n">
        <v>0.5</v>
      </c>
      <c r="T271" s="16" t="n">
        <v>0.85</v>
      </c>
      <c r="U271" s="16" t="n">
        <v>0.75</v>
      </c>
      <c r="V271" s="16" t="n">
        <v>0.85</v>
      </c>
      <c r="W271" s="16" t="n">
        <v>0.75</v>
      </c>
      <c r="X271" s="16" t="n">
        <v>0.8</v>
      </c>
      <c r="Y271" s="16" t="n"/>
      <c r="Z271" s="16" t="n">
        <v>4.08859988910084</v>
      </c>
      <c r="AA271" s="16" t="n">
        <v>27.83351037473305</v>
      </c>
      <c r="AB271" s="16" t="n">
        <v>1290.909090909091</v>
      </c>
      <c r="AC271" s="16" t="n">
        <v>1.75531914893617</v>
      </c>
      <c r="AD271" s="16" t="n"/>
      <c r="AE271" s="16" t="n"/>
    </row>
    <row r="272">
      <c r="A272" s="16" t="inlineStr">
        <is>
          <t>KF-M02-N2-B-0060</t>
        </is>
      </c>
      <c r="B272" s="16" t="inlineStr">
        <is>
          <t>2.2</t>
        </is>
      </c>
      <c r="C272" s="16" t="inlineStr">
        <is>
          <t>2.2b</t>
        </is>
      </c>
      <c r="D272" s="16" t="inlineStr">
        <is>
          <t>bajar la fuente (T_fuente × P_baja)</t>
        </is>
      </c>
      <c r="E272" s="16" t="inlineStr">
        <is>
          <t>KF-M02-N2</t>
        </is>
      </c>
      <c r="F272" s="16" t="inlineStr">
        <is>
          <t>KF-M02-N2-B</t>
        </is>
      </c>
      <c r="G272" s="16" t="inlineStr">
        <is>
          <t>B03-B</t>
        </is>
      </c>
      <c r="H272" s="16" t="inlineStr">
        <is>
          <t>malla</t>
        </is>
      </c>
      <c r="I272" s="16" t="inlineStr">
        <is>
          <t>CORREGIBLE</t>
        </is>
      </c>
      <c r="J272" s="16" t="inlineStr">
        <is>
          <t>CORREGIBLE</t>
        </is>
      </c>
      <c r="K272" s="16" t="b">
        <v>1</v>
      </c>
      <c r="L272" s="16" t="b">
        <v>0</v>
      </c>
      <c r="M272" s="16" t="b">
        <v>1</v>
      </c>
      <c r="N272" s="16" t="b">
        <v>0</v>
      </c>
      <c r="O272" s="16" t="n">
        <v>466</v>
      </c>
      <c r="P272" s="16" t="n">
        <v>300.032917</v>
      </c>
      <c r="Q272" s="16" t="n">
        <v>3000</v>
      </c>
      <c r="R272" s="16" t="n">
        <v>400</v>
      </c>
      <c r="S272" s="16" t="n">
        <v>0.5</v>
      </c>
      <c r="T272" s="16" t="n">
        <v>0.85</v>
      </c>
      <c r="U272" s="16" t="n">
        <v>0.75</v>
      </c>
      <c r="V272" s="16" t="n">
        <v>0.85</v>
      </c>
      <c r="W272" s="16" t="n">
        <v>0.75</v>
      </c>
      <c r="X272" s="16" t="n">
        <v>0.8</v>
      </c>
      <c r="Y272" s="16" t="n"/>
      <c r="Z272" s="16" t="n">
        <v>13.23660705562134</v>
      </c>
      <c r="AA272" s="16" t="n">
        <v>182.6125660101059</v>
      </c>
      <c r="AB272" s="16" t="n">
        <v>2600</v>
      </c>
      <c r="AC272" s="16" t="n">
        <v>7.5</v>
      </c>
      <c r="AD272" s="16" t="inlineStr">
        <is>
          <t>O2</t>
        </is>
      </c>
      <c r="AE272" s="16" t="n"/>
    </row>
    <row r="273">
      <c r="A273" s="16" t="inlineStr">
        <is>
          <t>KF-M02-N2-B-0061</t>
        </is>
      </c>
      <c r="B273" s="16" t="inlineStr">
        <is>
          <t>2.2</t>
        </is>
      </c>
      <c r="C273" s="16" t="inlineStr">
        <is>
          <t>2.2b</t>
        </is>
      </c>
      <c r="D273" s="16" t="inlineStr">
        <is>
          <t>bajar la fuente (T_fuente × P_baja)</t>
        </is>
      </c>
      <c r="E273" s="16" t="inlineStr">
        <is>
          <t>KF-M02-N2</t>
        </is>
      </c>
      <c r="F273" s="16" t="inlineStr">
        <is>
          <t>KF-M02-N2-B</t>
        </is>
      </c>
      <c r="G273" s="16" t="inlineStr">
        <is>
          <t>B03-B</t>
        </is>
      </c>
      <c r="H273" s="16" t="inlineStr">
        <is>
          <t>malla</t>
        </is>
      </c>
      <c r="I273" s="16" t="inlineStr">
        <is>
          <t>CORREGIBLE</t>
        </is>
      </c>
      <c r="J273" s="16" t="inlineStr">
        <is>
          <t>CORREGIBLE</t>
        </is>
      </c>
      <c r="K273" s="16" t="b">
        <v>1</v>
      </c>
      <c r="L273" s="16" t="b">
        <v>0</v>
      </c>
      <c r="M273" s="16" t="b">
        <v>1</v>
      </c>
      <c r="N273" s="16" t="b">
        <v>0</v>
      </c>
      <c r="O273" s="16" t="n">
        <v>466</v>
      </c>
      <c r="P273" s="16" t="n">
        <v>300.032917</v>
      </c>
      <c r="Q273" s="16" t="n">
        <v>3000</v>
      </c>
      <c r="R273" s="16" t="n">
        <v>545.4545454545455</v>
      </c>
      <c r="S273" s="16" t="n">
        <v>0.5</v>
      </c>
      <c r="T273" s="16" t="n">
        <v>0.85</v>
      </c>
      <c r="U273" s="16" t="n">
        <v>0.75</v>
      </c>
      <c r="V273" s="16" t="n">
        <v>0.85</v>
      </c>
      <c r="W273" s="16" t="n">
        <v>0.75</v>
      </c>
      <c r="X273" s="16" t="n">
        <v>0.8</v>
      </c>
      <c r="Y273" s="16" t="n"/>
      <c r="Z273" s="16" t="n">
        <v>11.67128689067591</v>
      </c>
      <c r="AA273" s="16" t="n">
        <v>161.2572734386731</v>
      </c>
      <c r="AB273" s="16" t="n">
        <v>2454.545454545455</v>
      </c>
      <c r="AC273" s="16" t="n">
        <v>5.5</v>
      </c>
      <c r="AD273" s="16" t="inlineStr">
        <is>
          <t>O2</t>
        </is>
      </c>
      <c r="AE273" s="16" t="n"/>
    </row>
    <row r="274">
      <c r="A274" s="16" t="inlineStr">
        <is>
          <t>KF-M02-N2-B-0062</t>
        </is>
      </c>
      <c r="B274" s="16" t="inlineStr">
        <is>
          <t>2.2</t>
        </is>
      </c>
      <c r="C274" s="16" t="inlineStr">
        <is>
          <t>2.2b</t>
        </is>
      </c>
      <c r="D274" s="16" t="inlineStr">
        <is>
          <t>bajar la fuente (T_fuente × P_baja)</t>
        </is>
      </c>
      <c r="E274" s="16" t="inlineStr">
        <is>
          <t>KF-M02-N2</t>
        </is>
      </c>
      <c r="F274" s="16" t="inlineStr">
        <is>
          <t>KF-M02-N2-B</t>
        </is>
      </c>
      <c r="G274" s="16" t="inlineStr">
        <is>
          <t>B03-B</t>
        </is>
      </c>
      <c r="H274" s="16" t="inlineStr">
        <is>
          <t>malla</t>
        </is>
      </c>
      <c r="I274" s="16" t="inlineStr">
        <is>
          <t>CORREGIBLE</t>
        </is>
      </c>
      <c r="J274" s="16" t="inlineStr">
        <is>
          <t>CORREGIBLE</t>
        </is>
      </c>
      <c r="K274" s="16" t="b">
        <v>1</v>
      </c>
      <c r="L274" s="16" t="b">
        <v>0</v>
      </c>
      <c r="M274" s="16" t="b">
        <v>1</v>
      </c>
      <c r="N274" s="16" t="b">
        <v>0</v>
      </c>
      <c r="O274" s="16" t="n">
        <v>466</v>
      </c>
      <c r="P274" s="16" t="n">
        <v>300.032917</v>
      </c>
      <c r="Q274" s="16" t="n">
        <v>3000</v>
      </c>
      <c r="R274" s="16" t="n">
        <v>690.909090909091</v>
      </c>
      <c r="S274" s="16" t="n">
        <v>0.5</v>
      </c>
      <c r="T274" s="16" t="n">
        <v>0.85</v>
      </c>
      <c r="U274" s="16" t="n">
        <v>0.75</v>
      </c>
      <c r="V274" s="16" t="n">
        <v>0.85</v>
      </c>
      <c r="W274" s="16" t="n">
        <v>0.75</v>
      </c>
      <c r="X274" s="16" t="n">
        <v>0.8</v>
      </c>
      <c r="Y274" s="16" t="n"/>
      <c r="Z274" s="16" t="n">
        <v>10.37860610350595</v>
      </c>
      <c r="AA274" s="16" t="n">
        <v>143.4860789454001</v>
      </c>
      <c r="AB274" s="16" t="n">
        <v>2309.090909090909</v>
      </c>
      <c r="AC274" s="16" t="n">
        <v>4.342105263157894</v>
      </c>
      <c r="AD274" s="16" t="inlineStr">
        <is>
          <t>O2</t>
        </is>
      </c>
      <c r="AE274" s="16" t="n"/>
    </row>
    <row r="275">
      <c r="A275" s="16" t="inlineStr">
        <is>
          <t>KF-M02-N2-B-0063</t>
        </is>
      </c>
      <c r="B275" s="16" t="inlineStr">
        <is>
          <t>2.2</t>
        </is>
      </c>
      <c r="C275" s="16" t="inlineStr">
        <is>
          <t>2.2b</t>
        </is>
      </c>
      <c r="D275" s="16" t="inlineStr">
        <is>
          <t>bajar la fuente (T_fuente × P_baja)</t>
        </is>
      </c>
      <c r="E275" s="16" t="inlineStr">
        <is>
          <t>KF-M02-N2</t>
        </is>
      </c>
      <c r="F275" s="16" t="inlineStr">
        <is>
          <t>KF-M02-N2-B</t>
        </is>
      </c>
      <c r="G275" s="16" t="inlineStr">
        <is>
          <t>B03-B</t>
        </is>
      </c>
      <c r="H275" s="16" t="inlineStr">
        <is>
          <t>malla</t>
        </is>
      </c>
      <c r="I275" s="16" t="inlineStr">
        <is>
          <t>CORREGIBLE</t>
        </is>
      </c>
      <c r="J275" s="16" t="inlineStr">
        <is>
          <t>CORREGIBLE</t>
        </is>
      </c>
      <c r="K275" s="16" t="b">
        <v>1</v>
      </c>
      <c r="L275" s="16" t="b">
        <v>0</v>
      </c>
      <c r="M275" s="16" t="b">
        <v>1</v>
      </c>
      <c r="N275" s="16" t="b">
        <v>0</v>
      </c>
      <c r="O275" s="16" t="n">
        <v>466</v>
      </c>
      <c r="P275" s="16" t="n">
        <v>300.032917</v>
      </c>
      <c r="Q275" s="16" t="n">
        <v>3000</v>
      </c>
      <c r="R275" s="16" t="n">
        <v>836.3636363636364</v>
      </c>
      <c r="S275" s="16" t="n">
        <v>0.5</v>
      </c>
      <c r="T275" s="16" t="n">
        <v>0.85</v>
      </c>
      <c r="U275" s="16" t="n">
        <v>0.75</v>
      </c>
      <c r="V275" s="16" t="n">
        <v>0.85</v>
      </c>
      <c r="W275" s="16" t="n">
        <v>0.75</v>
      </c>
      <c r="X275" s="16" t="n">
        <v>0.8</v>
      </c>
      <c r="Y275" s="16" t="n"/>
      <c r="Z275" s="16" t="n">
        <v>9.2657530982995</v>
      </c>
      <c r="AA275" s="16" t="n">
        <v>128.1203400914291</v>
      </c>
      <c r="AB275" s="16" t="n">
        <v>2163.636363636364</v>
      </c>
      <c r="AC275" s="16" t="n">
        <v>3.58695652173913</v>
      </c>
      <c r="AD275" s="16" t="inlineStr">
        <is>
          <t>O2</t>
        </is>
      </c>
      <c r="AE275" s="16" t="n"/>
    </row>
    <row r="276">
      <c r="A276" s="16" t="inlineStr">
        <is>
          <t>KF-M02-N2-B-0064</t>
        </is>
      </c>
      <c r="B276" s="16" t="inlineStr">
        <is>
          <t>2.2</t>
        </is>
      </c>
      <c r="C276" s="16" t="inlineStr">
        <is>
          <t>2.2b</t>
        </is>
      </c>
      <c r="D276" s="16" t="inlineStr">
        <is>
          <t>bajar la fuente (T_fuente × P_baja)</t>
        </is>
      </c>
      <c r="E276" s="16" t="inlineStr">
        <is>
          <t>KF-M02-N2</t>
        </is>
      </c>
      <c r="F276" s="16" t="inlineStr">
        <is>
          <t>KF-M02-N2-B</t>
        </is>
      </c>
      <c r="G276" s="16" t="inlineStr">
        <is>
          <t>B03-B</t>
        </is>
      </c>
      <c r="H276" s="16" t="inlineStr">
        <is>
          <t>malla</t>
        </is>
      </c>
      <c r="I276" s="16" t="inlineStr">
        <is>
          <t>CORREGIBLE</t>
        </is>
      </c>
      <c r="J276" s="16" t="inlineStr">
        <is>
          <t>CORREGIBLE</t>
        </is>
      </c>
      <c r="K276" s="16" t="b">
        <v>1</v>
      </c>
      <c r="L276" s="16" t="b">
        <v>0</v>
      </c>
      <c r="M276" s="16" t="b">
        <v>1</v>
      </c>
      <c r="N276" s="16" t="b">
        <v>0</v>
      </c>
      <c r="O276" s="16" t="n">
        <v>466</v>
      </c>
      <c r="P276" s="16" t="n">
        <v>300.032917</v>
      </c>
      <c r="Q276" s="16" t="n">
        <v>3000</v>
      </c>
      <c r="R276" s="16" t="n">
        <v>981.818181818182</v>
      </c>
      <c r="S276" s="16" t="n">
        <v>0.5</v>
      </c>
      <c r="T276" s="16" t="n">
        <v>0.85</v>
      </c>
      <c r="U276" s="16" t="n">
        <v>0.75</v>
      </c>
      <c r="V276" s="16" t="n">
        <v>0.85</v>
      </c>
      <c r="W276" s="16" t="n">
        <v>0.75</v>
      </c>
      <c r="X276" s="16" t="n">
        <v>0.8</v>
      </c>
      <c r="Y276" s="16" t="n"/>
      <c r="Z276" s="16" t="n">
        <v>8.28171017809896</v>
      </c>
      <c r="AA276" s="16" t="n">
        <v>114.499000434134</v>
      </c>
      <c r="AB276" s="16" t="n">
        <v>2018.181818181818</v>
      </c>
      <c r="AC276" s="16" t="n">
        <v>3.055555555555555</v>
      </c>
      <c r="AD276" s="16" t="inlineStr">
        <is>
          <t>O2</t>
        </is>
      </c>
      <c r="AE276" s="16" t="n"/>
    </row>
    <row r="277">
      <c r="A277" s="16" t="inlineStr">
        <is>
          <t>KF-M02-N2-B-0065</t>
        </is>
      </c>
      <c r="B277" s="16" t="inlineStr">
        <is>
          <t>2.2</t>
        </is>
      </c>
      <c r="C277" s="16" t="inlineStr">
        <is>
          <t>2.2b</t>
        </is>
      </c>
      <c r="D277" s="16" t="inlineStr">
        <is>
          <t>bajar la fuente (T_fuente × P_baja)</t>
        </is>
      </c>
      <c r="E277" s="16" t="inlineStr">
        <is>
          <t>KF-M02-N2</t>
        </is>
      </c>
      <c r="F277" s="16" t="inlineStr">
        <is>
          <t>KF-M02-N2-B</t>
        </is>
      </c>
      <c r="G277" s="16" t="inlineStr">
        <is>
          <t>B03-B</t>
        </is>
      </c>
      <c r="H277" s="16" t="inlineStr">
        <is>
          <t>malla</t>
        </is>
      </c>
      <c r="I277" s="16" t="inlineStr">
        <is>
          <t>CORREGIBLE</t>
        </is>
      </c>
      <c r="J277" s="16" t="inlineStr">
        <is>
          <t>CORREGIBLE</t>
        </is>
      </c>
      <c r="K277" s="16" t="b">
        <v>1</v>
      </c>
      <c r="L277" s="16" t="b">
        <v>0</v>
      </c>
      <c r="M277" s="16" t="b">
        <v>1</v>
      </c>
      <c r="N277" s="16" t="b">
        <v>0</v>
      </c>
      <c r="O277" s="16" t="n">
        <v>466</v>
      </c>
      <c r="P277" s="16" t="n">
        <v>300.032917</v>
      </c>
      <c r="Q277" s="16" t="n">
        <v>3000</v>
      </c>
      <c r="R277" s="16" t="n">
        <v>1127.272727272728</v>
      </c>
      <c r="S277" s="16" t="n">
        <v>0.5</v>
      </c>
      <c r="T277" s="16" t="n">
        <v>0.85</v>
      </c>
      <c r="U277" s="16" t="n">
        <v>0.75</v>
      </c>
      <c r="V277" s="16" t="n">
        <v>0.85</v>
      </c>
      <c r="W277" s="16" t="n">
        <v>0.75</v>
      </c>
      <c r="X277" s="16" t="n">
        <v>0.8</v>
      </c>
      <c r="Y277" s="16" t="n"/>
      <c r="Z277" s="16" t="n">
        <v>7.395133434729489</v>
      </c>
      <c r="AA277" s="16" t="n">
        <v>102.2099832395387</v>
      </c>
      <c r="AB277" s="16" t="n">
        <v>1872.727272727272</v>
      </c>
      <c r="AC277" s="16" t="n">
        <v>2.661290322580644</v>
      </c>
      <c r="AD277" s="16" t="inlineStr">
        <is>
          <t>O2</t>
        </is>
      </c>
      <c r="AE277" s="16" t="n"/>
    </row>
    <row r="278">
      <c r="A278" s="16" t="inlineStr">
        <is>
          <t>KF-M02-N2-B-0066</t>
        </is>
      </c>
      <c r="B278" s="16" t="inlineStr">
        <is>
          <t>2.2</t>
        </is>
      </c>
      <c r="C278" s="16" t="inlineStr">
        <is>
          <t>2.2b</t>
        </is>
      </c>
      <c r="D278" s="16" t="inlineStr">
        <is>
          <t>bajar la fuente (T_fuente × P_baja)</t>
        </is>
      </c>
      <c r="E278" s="16" t="inlineStr">
        <is>
          <t>KF-M02-N2</t>
        </is>
      </c>
      <c r="F278" s="16" t="inlineStr">
        <is>
          <t>KF-M02-N2-B</t>
        </is>
      </c>
      <c r="G278" s="16" t="inlineStr">
        <is>
          <t>B03-B</t>
        </is>
      </c>
      <c r="H278" s="16" t="inlineStr">
        <is>
          <t>malla</t>
        </is>
      </c>
      <c r="I278" s="16" t="inlineStr">
        <is>
          <t>CORREGIBLE</t>
        </is>
      </c>
      <c r="J278" s="16" t="inlineStr">
        <is>
          <t>CORREGIBLE</t>
        </is>
      </c>
      <c r="K278" s="16" t="b">
        <v>1</v>
      </c>
      <c r="L278" s="16" t="b">
        <v>0</v>
      </c>
      <c r="M278" s="16" t="b">
        <v>1</v>
      </c>
      <c r="N278" s="16" t="b">
        <v>0</v>
      </c>
      <c r="O278" s="16" t="n">
        <v>466</v>
      </c>
      <c r="P278" s="16" t="n">
        <v>300.032917</v>
      </c>
      <c r="Q278" s="16" t="n">
        <v>3000</v>
      </c>
      <c r="R278" s="16" t="n">
        <v>1272.727272727273</v>
      </c>
      <c r="S278" s="16" t="n">
        <v>0.5</v>
      </c>
      <c r="T278" s="16" t="n">
        <v>0.85</v>
      </c>
      <c r="U278" s="16" t="n">
        <v>0.75</v>
      </c>
      <c r="V278" s="16" t="n">
        <v>0.85</v>
      </c>
      <c r="W278" s="16" t="n">
        <v>0.75</v>
      </c>
      <c r="X278" s="16" t="n">
        <v>0.8</v>
      </c>
      <c r="Y278" s="16" t="n"/>
      <c r="Z278" s="16" t="n">
        <v>6.58525706159717</v>
      </c>
      <c r="AA278" s="16" t="n">
        <v>90.97721728607134</v>
      </c>
      <c r="AB278" s="16" t="n">
        <v>1727.272727272727</v>
      </c>
      <c r="AC278" s="16" t="n">
        <v>2.357142857142857</v>
      </c>
      <c r="AD278" s="16" t="inlineStr">
        <is>
          <t>O2</t>
        </is>
      </c>
      <c r="AE278" s="16" t="n"/>
    </row>
    <row r="279">
      <c r="A279" s="16" t="inlineStr">
        <is>
          <t>KF-M02-N2-B-0067</t>
        </is>
      </c>
      <c r="B279" s="16" t="inlineStr">
        <is>
          <t>2.2</t>
        </is>
      </c>
      <c r="C279" s="16" t="inlineStr">
        <is>
          <t>2.2b</t>
        </is>
      </c>
      <c r="D279" s="16" t="inlineStr">
        <is>
          <t>bajar la fuente (T_fuente × P_baja)</t>
        </is>
      </c>
      <c r="E279" s="16" t="inlineStr">
        <is>
          <t>KF-M02-N2</t>
        </is>
      </c>
      <c r="F279" s="16" t="inlineStr">
        <is>
          <t>KF-M02-N2-B</t>
        </is>
      </c>
      <c r="G279" s="16" t="inlineStr">
        <is>
          <t>B03-B</t>
        </is>
      </c>
      <c r="H279" s="16" t="inlineStr">
        <is>
          <t>malla</t>
        </is>
      </c>
      <c r="I279" s="16" t="inlineStr">
        <is>
          <t>CORREGIBLE</t>
        </is>
      </c>
      <c r="J279" s="16" t="inlineStr">
        <is>
          <t>CORREGIBLE</t>
        </is>
      </c>
      <c r="K279" s="16" t="b">
        <v>1</v>
      </c>
      <c r="L279" s="16" t="b">
        <v>0</v>
      </c>
      <c r="M279" s="16" t="b">
        <v>1</v>
      </c>
      <c r="N279" s="16" t="b">
        <v>0</v>
      </c>
      <c r="O279" s="16" t="n">
        <v>466</v>
      </c>
      <c r="P279" s="16" t="n">
        <v>300.032917</v>
      </c>
      <c r="Q279" s="16" t="n">
        <v>3000</v>
      </c>
      <c r="R279" s="16" t="n">
        <v>1418.181818181818</v>
      </c>
      <c r="S279" s="16" t="n">
        <v>0.5</v>
      </c>
      <c r="T279" s="16" t="n">
        <v>0.85</v>
      </c>
      <c r="U279" s="16" t="n">
        <v>0.75</v>
      </c>
      <c r="V279" s="16" t="n">
        <v>0.85</v>
      </c>
      <c r="W279" s="16" t="n">
        <v>0.75</v>
      </c>
      <c r="X279" s="16" t="n">
        <v>0.8</v>
      </c>
      <c r="Y279" s="16" t="n"/>
      <c r="Z279" s="16" t="n">
        <v>5.83754180158969</v>
      </c>
      <c r="AA279" s="16" t="n">
        <v>80.60567016549136</v>
      </c>
      <c r="AB279" s="16" t="n">
        <v>1581.818181818182</v>
      </c>
      <c r="AC279" s="16" t="n">
        <v>2.115384615384615</v>
      </c>
      <c r="AD279" s="16" t="inlineStr">
        <is>
          <t>O2</t>
        </is>
      </c>
      <c r="AE279" s="16" t="n"/>
    </row>
    <row r="280">
      <c r="A280" s="16" t="inlineStr">
        <is>
          <t>KF-M02-N2-B-0068</t>
        </is>
      </c>
      <c r="B280" s="16" t="inlineStr">
        <is>
          <t>2.2</t>
        </is>
      </c>
      <c r="C280" s="16" t="inlineStr">
        <is>
          <t>2.2b</t>
        </is>
      </c>
      <c r="D280" s="16" t="inlineStr">
        <is>
          <t>bajar la fuente (T_fuente × P_baja)</t>
        </is>
      </c>
      <c r="E280" s="16" t="inlineStr">
        <is>
          <t>KF-M02-N2</t>
        </is>
      </c>
      <c r="F280" s="16" t="inlineStr">
        <is>
          <t>KF-M02-N2-B</t>
        </is>
      </c>
      <c r="G280" s="16" t="inlineStr">
        <is>
          <t>B03-B</t>
        </is>
      </c>
      <c r="H280" s="16" t="inlineStr">
        <is>
          <t>malla</t>
        </is>
      </c>
      <c r="I280" s="16" t="inlineStr">
        <is>
          <t>CORREGIBLE</t>
        </is>
      </c>
      <c r="J280" s="16" t="inlineStr">
        <is>
          <t>CORREGIBLE</t>
        </is>
      </c>
      <c r="K280" s="16" t="b">
        <v>1</v>
      </c>
      <c r="L280" s="16" t="b">
        <v>0</v>
      </c>
      <c r="M280" s="16" t="b">
        <v>1</v>
      </c>
      <c r="N280" s="16" t="b">
        <v>0</v>
      </c>
      <c r="O280" s="16" t="n">
        <v>466</v>
      </c>
      <c r="P280" s="16" t="n">
        <v>300.032917</v>
      </c>
      <c r="Q280" s="16" t="n">
        <v>3000</v>
      </c>
      <c r="R280" s="16" t="n">
        <v>1563.636363636364</v>
      </c>
      <c r="S280" s="16" t="n">
        <v>0.5</v>
      </c>
      <c r="T280" s="16" t="n">
        <v>0.85</v>
      </c>
      <c r="U280" s="16" t="n">
        <v>0.75</v>
      </c>
      <c r="V280" s="16" t="n">
        <v>0.85</v>
      </c>
      <c r="W280" s="16" t="n">
        <v>0.75</v>
      </c>
      <c r="X280" s="16" t="n">
        <v>0.8</v>
      </c>
      <c r="Y280" s="16" t="n"/>
      <c r="Z280" s="16" t="n">
        <v>5.14137984288101</v>
      </c>
      <c r="AA280" s="16" t="n">
        <v>70.95199439073831</v>
      </c>
      <c r="AB280" s="16" t="n">
        <v>1436.363636363636</v>
      </c>
      <c r="AC280" s="16" t="n">
        <v>1.918604651162791</v>
      </c>
      <c r="AD280" s="16" t="inlineStr">
        <is>
          <t>O2</t>
        </is>
      </c>
      <c r="AE280" s="16" t="n"/>
    </row>
    <row r="281">
      <c r="A281" s="16" t="inlineStr">
        <is>
          <t>KF-M02-N2-B-0069</t>
        </is>
      </c>
      <c r="B281" s="16" t="inlineStr">
        <is>
          <t>2.2</t>
        </is>
      </c>
      <c r="C281" s="16" t="inlineStr">
        <is>
          <t>2.2b</t>
        </is>
      </c>
      <c r="D281" s="16" t="inlineStr">
        <is>
          <t>bajar la fuente (T_fuente × P_baja)</t>
        </is>
      </c>
      <c r="E281" s="16" t="inlineStr">
        <is>
          <t>KF-M02-N2</t>
        </is>
      </c>
      <c r="F281" s="16" t="inlineStr">
        <is>
          <t>KF-M02-N2-B</t>
        </is>
      </c>
      <c r="G281" s="16" t="inlineStr">
        <is>
          <t>B03-B</t>
        </is>
      </c>
      <c r="H281" s="16" t="inlineStr">
        <is>
          <t>malla</t>
        </is>
      </c>
      <c r="I281" s="16" t="inlineStr">
        <is>
          <t>CORREGIBLE</t>
        </is>
      </c>
      <c r="J281" s="16" t="inlineStr">
        <is>
          <t>CORREGIBLE</t>
        </is>
      </c>
      <c r="K281" s="16" t="b">
        <v>1</v>
      </c>
      <c r="L281" s="16" t="b">
        <v>0</v>
      </c>
      <c r="M281" s="16" t="b">
        <v>1</v>
      </c>
      <c r="N281" s="16" t="b">
        <v>0</v>
      </c>
      <c r="O281" s="16" t="n">
        <v>466</v>
      </c>
      <c r="P281" s="16" t="n">
        <v>300.032917</v>
      </c>
      <c r="Q281" s="16" t="n">
        <v>3000</v>
      </c>
      <c r="R281" s="16" t="n">
        <v>1709.090909090909</v>
      </c>
      <c r="S281" s="16" t="n">
        <v>0.5</v>
      </c>
      <c r="T281" s="16" t="n">
        <v>0.85</v>
      </c>
      <c r="U281" s="16" t="n">
        <v>0.75</v>
      </c>
      <c r="V281" s="16" t="n">
        <v>0.85</v>
      </c>
      <c r="W281" s="16" t="n">
        <v>0.75</v>
      </c>
      <c r="X281" s="16" t="n">
        <v>0.8</v>
      </c>
      <c r="Y281" s="16" t="n"/>
      <c r="Z281" s="16" t="n">
        <v>4.48876666074759</v>
      </c>
      <c r="AA281" s="16" t="n">
        <v>61.90734383776326</v>
      </c>
      <c r="AB281" s="16" t="n">
        <v>1290.909090909091</v>
      </c>
      <c r="AC281" s="16" t="n">
        <v>1.75531914893617</v>
      </c>
      <c r="AD281" s="16" t="inlineStr">
        <is>
          <t>O2</t>
        </is>
      </c>
      <c r="AE281" s="16" t="n"/>
    </row>
    <row r="282">
      <c r="A282" s="16" t="inlineStr">
        <is>
          <t>KF-M02-N2-B-0070</t>
        </is>
      </c>
      <c r="B282" s="16" t="inlineStr">
        <is>
          <t>2.2</t>
        </is>
      </c>
      <c r="C282" s="16" t="inlineStr">
        <is>
          <t>2.2b</t>
        </is>
      </c>
      <c r="D282" s="16" t="inlineStr">
        <is>
          <t>bajar la fuente (T_fuente × P_baja)</t>
        </is>
      </c>
      <c r="E282" s="16" t="inlineStr">
        <is>
          <t>KF-M02-N2</t>
        </is>
      </c>
      <c r="F282" s="16" t="inlineStr">
        <is>
          <t>KF-M02-N2-B</t>
        </is>
      </c>
      <c r="G282" s="16" t="inlineStr">
        <is>
          <t>B03-B</t>
        </is>
      </c>
      <c r="H282" s="16" t="inlineStr">
        <is>
          <t>malla</t>
        </is>
      </c>
      <c r="I282" s="16" t="inlineStr">
        <is>
          <t>CORREGIBLE</t>
        </is>
      </c>
      <c r="J282" s="16" t="inlineStr">
        <is>
          <t>CORREGIBLE</t>
        </is>
      </c>
      <c r="K282" s="16" t="b">
        <v>1</v>
      </c>
      <c r="L282" s="16" t="b">
        <v>0</v>
      </c>
      <c r="M282" s="16" t="b">
        <v>1</v>
      </c>
      <c r="N282" s="16" t="b">
        <v>0</v>
      </c>
      <c r="O282" s="16" t="n">
        <v>466</v>
      </c>
      <c r="P282" s="16" t="n">
        <v>300.032917</v>
      </c>
      <c r="Q282" s="16" t="n">
        <v>3000</v>
      </c>
      <c r="R282" s="16" t="n">
        <v>1854.545454545455</v>
      </c>
      <c r="S282" s="16" t="n">
        <v>0.5</v>
      </c>
      <c r="T282" s="16" t="n">
        <v>0.85</v>
      </c>
      <c r="U282" s="16" t="n">
        <v>0.75</v>
      </c>
      <c r="V282" s="16" t="n">
        <v>0.85</v>
      </c>
      <c r="W282" s="16" t="n">
        <v>0.75</v>
      </c>
      <c r="X282" s="16" t="n">
        <v>0.8</v>
      </c>
      <c r="Y282" s="16" t="n"/>
      <c r="Z282" s="16" t="n">
        <v>3.87350210915213</v>
      </c>
      <c r="AA282" s="16" t="n">
        <v>53.3869568177933</v>
      </c>
      <c r="AB282" s="16" t="n">
        <v>1145.454545454545</v>
      </c>
      <c r="AC282" s="16" t="n">
        <v>1.617647058823529</v>
      </c>
      <c r="AD282" s="16" t="inlineStr">
        <is>
          <t>O2</t>
        </is>
      </c>
      <c r="AE282" s="16" t="n"/>
    </row>
    <row r="283">
      <c r="A283" s="16" t="inlineStr">
        <is>
          <t>KF-M02-N2-B-0071</t>
        </is>
      </c>
      <c r="B283" s="16" t="inlineStr">
        <is>
          <t>2.2</t>
        </is>
      </c>
      <c r="C283" s="16" t="inlineStr">
        <is>
          <t>2.2b</t>
        </is>
      </c>
      <c r="D283" s="16" t="inlineStr">
        <is>
          <t>bajar la fuente (T_fuente × P_baja)</t>
        </is>
      </c>
      <c r="E283" s="16" t="inlineStr">
        <is>
          <t>KF-M02-N2</t>
        </is>
      </c>
      <c r="F283" s="16" t="inlineStr">
        <is>
          <t>KF-M02-N2-B</t>
        </is>
      </c>
      <c r="G283" s="16" t="inlineStr">
        <is>
          <t>B03-B</t>
        </is>
      </c>
      <c r="H283" s="16" t="inlineStr">
        <is>
          <t>malla</t>
        </is>
      </c>
      <c r="I283" s="16" t="inlineStr">
        <is>
          <t>CORREGIBLE</t>
        </is>
      </c>
      <c r="J283" s="16" t="inlineStr">
        <is>
          <t>CORREGIBLE</t>
        </is>
      </c>
      <c r="K283" s="16" t="b">
        <v>1</v>
      </c>
      <c r="L283" s="16" t="b">
        <v>0</v>
      </c>
      <c r="M283" s="16" t="b">
        <v>1</v>
      </c>
      <c r="N283" s="16" t="b">
        <v>0</v>
      </c>
      <c r="O283" s="16" t="n">
        <v>466</v>
      </c>
      <c r="P283" s="16" t="n">
        <v>300.032917</v>
      </c>
      <c r="Q283" s="16" t="n">
        <v>3000</v>
      </c>
      <c r="R283" s="16" t="n">
        <v>2000</v>
      </c>
      <c r="S283" s="16" t="n">
        <v>0.5</v>
      </c>
      <c r="T283" s="16" t="n">
        <v>0.85</v>
      </c>
      <c r="U283" s="16" t="n">
        <v>0.75</v>
      </c>
      <c r="V283" s="16" t="n">
        <v>0.85</v>
      </c>
      <c r="W283" s="16" t="n">
        <v>0.75</v>
      </c>
      <c r="X283" s="16" t="n">
        <v>0.8</v>
      </c>
      <c r="Y283" s="16" t="n"/>
      <c r="Z283" s="16" t="n">
        <v>3.29067440764424</v>
      </c>
      <c r="AA283" s="16" t="n">
        <v>45.32337097515035</v>
      </c>
      <c r="AB283" s="16" t="n">
        <v>1000</v>
      </c>
      <c r="AC283" s="16" t="n">
        <v>1.5</v>
      </c>
      <c r="AD283" s="16" t="inlineStr">
        <is>
          <t>O2</t>
        </is>
      </c>
      <c r="AE283" s="16" t="n"/>
    </row>
    <row r="284">
      <c r="A284" s="16" t="inlineStr">
        <is>
          <t>KF-M02-N2-B-0072</t>
        </is>
      </c>
      <c r="B284" s="16" t="inlineStr">
        <is>
          <t>2.2</t>
        </is>
      </c>
      <c r="C284" s="16" t="inlineStr">
        <is>
          <t>2.2b</t>
        </is>
      </c>
      <c r="D284" s="16" t="inlineStr">
        <is>
          <t>bajar la fuente (T_fuente × P_baja)</t>
        </is>
      </c>
      <c r="E284" s="16" t="inlineStr">
        <is>
          <t>KF-M02-N2</t>
        </is>
      </c>
      <c r="F284" s="16" t="inlineStr">
        <is>
          <t>KF-M02-N2-B</t>
        </is>
      </c>
      <c r="G284" s="16" t="inlineStr">
        <is>
          <t>B03-B</t>
        </is>
      </c>
      <c r="H284" s="16" t="inlineStr">
        <is>
          <t>malla</t>
        </is>
      </c>
      <c r="I284" s="16" t="inlineStr">
        <is>
          <t>CORREGIBLE</t>
        </is>
      </c>
      <c r="J284" s="16" t="inlineStr">
        <is>
          <t>CORREGIBLE</t>
        </is>
      </c>
      <c r="K284" s="16" t="b">
        <v>1</v>
      </c>
      <c r="L284" s="16" t="b">
        <v>0</v>
      </c>
      <c r="M284" s="16" t="b">
        <v>1</v>
      </c>
      <c r="N284" s="16" t="b">
        <v>0</v>
      </c>
      <c r="O284" s="16" t="n">
        <v>497</v>
      </c>
      <c r="P284" s="16" t="n">
        <v>300.032917</v>
      </c>
      <c r="Q284" s="16" t="n">
        <v>3000</v>
      </c>
      <c r="R284" s="16" t="n">
        <v>400</v>
      </c>
      <c r="S284" s="16" t="n">
        <v>0.5</v>
      </c>
      <c r="T284" s="16" t="n">
        <v>0.85</v>
      </c>
      <c r="U284" s="16" t="n">
        <v>0.75</v>
      </c>
      <c r="V284" s="16" t="n">
        <v>0.85</v>
      </c>
      <c r="W284" s="16" t="n">
        <v>0.75</v>
      </c>
      <c r="X284" s="16" t="n">
        <v>0.8</v>
      </c>
      <c r="Y284" s="16" t="n"/>
      <c r="Z284" s="16" t="n">
        <v>13.10727299800692</v>
      </c>
      <c r="AA284" s="16" t="n">
        <v>218.5627909755436</v>
      </c>
      <c r="AB284" s="16" t="n">
        <v>2600</v>
      </c>
      <c r="AC284" s="16" t="n">
        <v>7.5</v>
      </c>
      <c r="AD284" s="16" t="inlineStr">
        <is>
          <t>O2</t>
        </is>
      </c>
      <c r="AE284" s="16" t="n"/>
    </row>
    <row r="285">
      <c r="A285" s="16" t="inlineStr">
        <is>
          <t>KF-M02-N2-B-0073</t>
        </is>
      </c>
      <c r="B285" s="16" t="inlineStr">
        <is>
          <t>2.2</t>
        </is>
      </c>
      <c r="C285" s="16" t="inlineStr">
        <is>
          <t>2.2b</t>
        </is>
      </c>
      <c r="D285" s="16" t="inlineStr">
        <is>
          <t>bajar la fuente (T_fuente × P_baja)</t>
        </is>
      </c>
      <c r="E285" s="16" t="inlineStr">
        <is>
          <t>KF-M02-N2</t>
        </is>
      </c>
      <c r="F285" s="16" t="inlineStr">
        <is>
          <t>KF-M02-N2-B</t>
        </is>
      </c>
      <c r="G285" s="16" t="inlineStr">
        <is>
          <t>B03-B</t>
        </is>
      </c>
      <c r="H285" s="16" t="inlineStr">
        <is>
          <t>malla</t>
        </is>
      </c>
      <c r="I285" s="16" t="inlineStr">
        <is>
          <t>CORREGIBLE</t>
        </is>
      </c>
      <c r="J285" s="16" t="inlineStr">
        <is>
          <t>CORREGIBLE</t>
        </is>
      </c>
      <c r="K285" s="16" t="b">
        <v>1</v>
      </c>
      <c r="L285" s="16" t="b">
        <v>0</v>
      </c>
      <c r="M285" s="16" t="b">
        <v>1</v>
      </c>
      <c r="N285" s="16" t="b">
        <v>0</v>
      </c>
      <c r="O285" s="16" t="n">
        <v>497</v>
      </c>
      <c r="P285" s="16" t="n">
        <v>300.032917</v>
      </c>
      <c r="Q285" s="16" t="n">
        <v>3000</v>
      </c>
      <c r="R285" s="16" t="n">
        <v>545.4545454545455</v>
      </c>
      <c r="S285" s="16" t="n">
        <v>0.5</v>
      </c>
      <c r="T285" s="16" t="n">
        <v>0.85</v>
      </c>
      <c r="U285" s="16" t="n">
        <v>0.75</v>
      </c>
      <c r="V285" s="16" t="n">
        <v>0.85</v>
      </c>
      <c r="W285" s="16" t="n">
        <v>0.75</v>
      </c>
      <c r="X285" s="16" t="n">
        <v>0.8</v>
      </c>
      <c r="Y285" s="16" t="n"/>
      <c r="Z285" s="16" t="n">
        <v>11.51235162788436</v>
      </c>
      <c r="AA285" s="16" t="n">
        <v>192.3004287878686</v>
      </c>
      <c r="AB285" s="16" t="n">
        <v>2454.545454545455</v>
      </c>
      <c r="AC285" s="16" t="n">
        <v>5.5</v>
      </c>
      <c r="AD285" s="16" t="inlineStr">
        <is>
          <t>O2</t>
        </is>
      </c>
      <c r="AE285" s="16" t="n"/>
    </row>
    <row r="286">
      <c r="A286" s="16" t="inlineStr">
        <is>
          <t>KF-M02-N2-B-0074</t>
        </is>
      </c>
      <c r="B286" s="16" t="inlineStr">
        <is>
          <t>2.2</t>
        </is>
      </c>
      <c r="C286" s="16" t="inlineStr">
        <is>
          <t>2.2b</t>
        </is>
      </c>
      <c r="D286" s="16" t="inlineStr">
        <is>
          <t>bajar la fuente (T_fuente × P_baja)</t>
        </is>
      </c>
      <c r="E286" s="16" t="inlineStr">
        <is>
          <t>KF-M02-N2</t>
        </is>
      </c>
      <c r="F286" s="16" t="inlineStr">
        <is>
          <t>KF-M02-N2-B</t>
        </is>
      </c>
      <c r="G286" s="16" t="inlineStr">
        <is>
          <t>B03-B</t>
        </is>
      </c>
      <c r="H286" s="16" t="inlineStr">
        <is>
          <t>malla</t>
        </is>
      </c>
      <c r="I286" s="16" t="inlineStr">
        <is>
          <t>CORREGIBLE</t>
        </is>
      </c>
      <c r="J286" s="16" t="inlineStr">
        <is>
          <t>CORREGIBLE</t>
        </is>
      </c>
      <c r="K286" s="16" t="b">
        <v>1</v>
      </c>
      <c r="L286" s="16" t="b">
        <v>0</v>
      </c>
      <c r="M286" s="16" t="b">
        <v>1</v>
      </c>
      <c r="N286" s="16" t="b">
        <v>0</v>
      </c>
      <c r="O286" s="16" t="n">
        <v>497</v>
      </c>
      <c r="P286" s="16" t="n">
        <v>300.032917</v>
      </c>
      <c r="Q286" s="16" t="n">
        <v>3000</v>
      </c>
      <c r="R286" s="16" t="n">
        <v>690.909090909091</v>
      </c>
      <c r="S286" s="16" t="n">
        <v>0.5</v>
      </c>
      <c r="T286" s="16" t="n">
        <v>0.85</v>
      </c>
      <c r="U286" s="16" t="n">
        <v>0.75</v>
      </c>
      <c r="V286" s="16" t="n">
        <v>0.85</v>
      </c>
      <c r="W286" s="16" t="n">
        <v>0.75</v>
      </c>
      <c r="X286" s="16" t="n">
        <v>0.8</v>
      </c>
      <c r="Y286" s="16" t="n"/>
      <c r="Z286" s="16" t="n">
        <v>10.2096164617051</v>
      </c>
      <c r="AA286" s="16" t="n">
        <v>170.6863666701027</v>
      </c>
      <c r="AB286" s="16" t="n">
        <v>2309.090909090909</v>
      </c>
      <c r="AC286" s="16" t="n">
        <v>4.342105263157894</v>
      </c>
      <c r="AD286" s="16" t="inlineStr">
        <is>
          <t>O2</t>
        </is>
      </c>
      <c r="AE286" s="16" t="n"/>
    </row>
    <row r="287">
      <c r="A287" s="16" t="inlineStr">
        <is>
          <t>KF-M02-N2-B-0075</t>
        </is>
      </c>
      <c r="B287" s="16" t="inlineStr">
        <is>
          <t>2.2</t>
        </is>
      </c>
      <c r="C287" s="16" t="inlineStr">
        <is>
          <t>2.2b</t>
        </is>
      </c>
      <c r="D287" s="16" t="inlineStr">
        <is>
          <t>bajar la fuente (T_fuente × P_baja)</t>
        </is>
      </c>
      <c r="E287" s="16" t="inlineStr">
        <is>
          <t>KF-M02-N2</t>
        </is>
      </c>
      <c r="F287" s="16" t="inlineStr">
        <is>
          <t>KF-M02-N2-B</t>
        </is>
      </c>
      <c r="G287" s="16" t="inlineStr">
        <is>
          <t>B03-B</t>
        </is>
      </c>
      <c r="H287" s="16" t="inlineStr">
        <is>
          <t>malla</t>
        </is>
      </c>
      <c r="I287" s="16" t="inlineStr">
        <is>
          <t>CORREGIBLE</t>
        </is>
      </c>
      <c r="J287" s="16" t="inlineStr">
        <is>
          <t>CORREGIBLE</t>
        </is>
      </c>
      <c r="K287" s="16" t="b">
        <v>1</v>
      </c>
      <c r="L287" s="16" t="b">
        <v>0</v>
      </c>
      <c r="M287" s="16" t="b">
        <v>1</v>
      </c>
      <c r="N287" s="16" t="b">
        <v>0</v>
      </c>
      <c r="O287" s="16" t="n">
        <v>497</v>
      </c>
      <c r="P287" s="16" t="n">
        <v>300.032917</v>
      </c>
      <c r="Q287" s="16" t="n">
        <v>3000</v>
      </c>
      <c r="R287" s="16" t="n">
        <v>836.3636363636364</v>
      </c>
      <c r="S287" s="16" t="n">
        <v>0.5</v>
      </c>
      <c r="T287" s="16" t="n">
        <v>0.85</v>
      </c>
      <c r="U287" s="16" t="n">
        <v>0.75</v>
      </c>
      <c r="V287" s="16" t="n">
        <v>0.85</v>
      </c>
      <c r="W287" s="16" t="n">
        <v>0.75</v>
      </c>
      <c r="X287" s="16" t="n">
        <v>0.8</v>
      </c>
      <c r="Y287" s="16" t="n"/>
      <c r="Z287" s="16" t="n">
        <v>9.097251938968579</v>
      </c>
      <c r="AA287" s="16" t="n">
        <v>152.1474627484937</v>
      </c>
      <c r="AB287" s="16" t="n">
        <v>2163.636363636364</v>
      </c>
      <c r="AC287" s="16" t="n">
        <v>3.58695652173913</v>
      </c>
      <c r="AD287" s="16" t="inlineStr">
        <is>
          <t>O2</t>
        </is>
      </c>
      <c r="AE287" s="16" t="n"/>
    </row>
    <row r="288">
      <c r="A288" s="16" t="inlineStr">
        <is>
          <t>KF-M02-N2-B-0076</t>
        </is>
      </c>
      <c r="B288" s="16" t="inlineStr">
        <is>
          <t>2.2</t>
        </is>
      </c>
      <c r="C288" s="16" t="inlineStr">
        <is>
          <t>2.2b</t>
        </is>
      </c>
      <c r="D288" s="16" t="inlineStr">
        <is>
          <t>bajar la fuente (T_fuente × P_baja)</t>
        </is>
      </c>
      <c r="E288" s="16" t="inlineStr">
        <is>
          <t>KF-M02-N2</t>
        </is>
      </c>
      <c r="F288" s="16" t="inlineStr">
        <is>
          <t>KF-M02-N2-B</t>
        </is>
      </c>
      <c r="G288" s="16" t="inlineStr">
        <is>
          <t>B03-B</t>
        </is>
      </c>
      <c r="H288" s="16" t="inlineStr">
        <is>
          <t>malla</t>
        </is>
      </c>
      <c r="I288" s="16" t="inlineStr">
        <is>
          <t>CORREGIBLE</t>
        </is>
      </c>
      <c r="J288" s="16" t="inlineStr">
        <is>
          <t>CORREGIBLE</t>
        </is>
      </c>
      <c r="K288" s="16" t="b">
        <v>1</v>
      </c>
      <c r="L288" s="16" t="b">
        <v>0</v>
      </c>
      <c r="M288" s="16" t="b">
        <v>1</v>
      </c>
      <c r="N288" s="16" t="b">
        <v>0</v>
      </c>
      <c r="O288" s="16" t="n">
        <v>497</v>
      </c>
      <c r="P288" s="16" t="n">
        <v>300.032917</v>
      </c>
      <c r="Q288" s="16" t="n">
        <v>3000</v>
      </c>
      <c r="R288" s="16" t="n">
        <v>981.818181818182</v>
      </c>
      <c r="S288" s="16" t="n">
        <v>0.5</v>
      </c>
      <c r="T288" s="16" t="n">
        <v>0.85</v>
      </c>
      <c r="U288" s="16" t="n">
        <v>0.75</v>
      </c>
      <c r="V288" s="16" t="n">
        <v>0.85</v>
      </c>
      <c r="W288" s="16" t="n">
        <v>0.75</v>
      </c>
      <c r="X288" s="16" t="n">
        <v>0.8</v>
      </c>
      <c r="Y288" s="16" t="n"/>
      <c r="Z288" s="16" t="n">
        <v>8.12001751833974</v>
      </c>
      <c r="AA288" s="16" t="n">
        <v>135.8155637883819</v>
      </c>
      <c r="AB288" s="16" t="n">
        <v>2018.181818181818</v>
      </c>
      <c r="AC288" s="16" t="n">
        <v>3.055555555555555</v>
      </c>
      <c r="AD288" s="16" t="inlineStr">
        <is>
          <t>O2</t>
        </is>
      </c>
      <c r="AE288" s="16" t="n"/>
    </row>
    <row r="289">
      <c r="A289" s="16" t="inlineStr">
        <is>
          <t>KF-M02-N2-B-0077</t>
        </is>
      </c>
      <c r="B289" s="16" t="inlineStr">
        <is>
          <t>2.2</t>
        </is>
      </c>
      <c r="C289" s="16" t="inlineStr">
        <is>
          <t>2.2b</t>
        </is>
      </c>
      <c r="D289" s="16" t="inlineStr">
        <is>
          <t>bajar la fuente (T_fuente × P_baja)</t>
        </is>
      </c>
      <c r="E289" s="16" t="inlineStr">
        <is>
          <t>KF-M02-N2</t>
        </is>
      </c>
      <c r="F289" s="16" t="inlineStr">
        <is>
          <t>KF-M02-N2-B</t>
        </is>
      </c>
      <c r="G289" s="16" t="inlineStr">
        <is>
          <t>B03-B</t>
        </is>
      </c>
      <c r="H289" s="16" t="inlineStr">
        <is>
          <t>malla</t>
        </is>
      </c>
      <c r="I289" s="16" t="inlineStr">
        <is>
          <t>CORREGIBLE</t>
        </is>
      </c>
      <c r="J289" s="16" t="inlineStr">
        <is>
          <t>CORREGIBLE</t>
        </is>
      </c>
      <c r="K289" s="16" t="b">
        <v>1</v>
      </c>
      <c r="L289" s="16" t="b">
        <v>0</v>
      </c>
      <c r="M289" s="16" t="b">
        <v>1</v>
      </c>
      <c r="N289" s="16" t="b">
        <v>0</v>
      </c>
      <c r="O289" s="16" t="n">
        <v>497</v>
      </c>
      <c r="P289" s="16" t="n">
        <v>300.032917</v>
      </c>
      <c r="Q289" s="16" t="n">
        <v>3000</v>
      </c>
      <c r="R289" s="16" t="n">
        <v>1127.272727272728</v>
      </c>
      <c r="S289" s="16" t="n">
        <v>0.5</v>
      </c>
      <c r="T289" s="16" t="n">
        <v>0.85</v>
      </c>
      <c r="U289" s="16" t="n">
        <v>0.75</v>
      </c>
      <c r="V289" s="16" t="n">
        <v>0.85</v>
      </c>
      <c r="W289" s="16" t="n">
        <v>0.75</v>
      </c>
      <c r="X289" s="16" t="n">
        <v>0.8</v>
      </c>
      <c r="Y289" s="16" t="n"/>
      <c r="Z289" s="16" t="n">
        <v>7.24430367438636</v>
      </c>
      <c r="AA289" s="16" t="n">
        <v>121.155814004116</v>
      </c>
      <c r="AB289" s="16" t="n">
        <v>1872.727272727272</v>
      </c>
      <c r="AC289" s="16" t="n">
        <v>2.661290322580644</v>
      </c>
      <c r="AD289" s="16" t="inlineStr">
        <is>
          <t>O2</t>
        </is>
      </c>
      <c r="AE289" s="16" t="n"/>
    </row>
    <row r="290">
      <c r="A290" s="16" t="inlineStr">
        <is>
          <t>KF-M02-N2-B-0078</t>
        </is>
      </c>
      <c r="B290" s="16" t="inlineStr">
        <is>
          <t>2.2</t>
        </is>
      </c>
      <c r="C290" s="16" t="inlineStr">
        <is>
          <t>2.2b</t>
        </is>
      </c>
      <c r="D290" s="16" t="inlineStr">
        <is>
          <t>bajar la fuente (T_fuente × P_baja)</t>
        </is>
      </c>
      <c r="E290" s="16" t="inlineStr">
        <is>
          <t>KF-M02-N2</t>
        </is>
      </c>
      <c r="F290" s="16" t="inlineStr">
        <is>
          <t>KF-M02-N2-B</t>
        </is>
      </c>
      <c r="G290" s="16" t="inlineStr">
        <is>
          <t>B03-B</t>
        </is>
      </c>
      <c r="H290" s="16" t="inlineStr">
        <is>
          <t>malla</t>
        </is>
      </c>
      <c r="I290" s="16" t="inlineStr">
        <is>
          <t>CORREGIBLE</t>
        </is>
      </c>
      <c r="J290" s="16" t="inlineStr">
        <is>
          <t>CORREGIBLE</t>
        </is>
      </c>
      <c r="K290" s="16" t="b">
        <v>1</v>
      </c>
      <c r="L290" s="16" t="b">
        <v>0</v>
      </c>
      <c r="M290" s="16" t="b">
        <v>1</v>
      </c>
      <c r="N290" s="16" t="b">
        <v>0</v>
      </c>
      <c r="O290" s="16" t="n">
        <v>497</v>
      </c>
      <c r="P290" s="16" t="n">
        <v>300.032917</v>
      </c>
      <c r="Q290" s="16" t="n">
        <v>3000</v>
      </c>
      <c r="R290" s="16" t="n">
        <v>1272.727272727273</v>
      </c>
      <c r="S290" s="16" t="n">
        <v>0.5</v>
      </c>
      <c r="T290" s="16" t="n">
        <v>0.85</v>
      </c>
      <c r="U290" s="16" t="n">
        <v>0.75</v>
      </c>
      <c r="V290" s="16" t="n">
        <v>0.85</v>
      </c>
      <c r="W290" s="16" t="n">
        <v>0.75</v>
      </c>
      <c r="X290" s="16" t="n">
        <v>0.8</v>
      </c>
      <c r="Y290" s="16" t="n"/>
      <c r="Z290" s="16" t="n">
        <v>6.44801446112448</v>
      </c>
      <c r="AA290" s="16" t="n">
        <v>107.8131349580682</v>
      </c>
      <c r="AB290" s="16" t="n">
        <v>1727.272727272727</v>
      </c>
      <c r="AC290" s="16" t="n">
        <v>2.357142857142857</v>
      </c>
      <c r="AD290" s="16" t="inlineStr">
        <is>
          <t>O2</t>
        </is>
      </c>
      <c r="AE290" s="16" t="n"/>
    </row>
    <row r="291">
      <c r="A291" s="16" t="inlineStr">
        <is>
          <t>KF-M02-N2-B-0079</t>
        </is>
      </c>
      <c r="B291" s="16" t="inlineStr">
        <is>
          <t>2.2</t>
        </is>
      </c>
      <c r="C291" s="16" t="inlineStr">
        <is>
          <t>2.2b</t>
        </is>
      </c>
      <c r="D291" s="16" t="inlineStr">
        <is>
          <t>bajar la fuente (T_fuente × P_baja)</t>
        </is>
      </c>
      <c r="E291" s="16" t="inlineStr">
        <is>
          <t>KF-M02-N2</t>
        </is>
      </c>
      <c r="F291" s="16" t="inlineStr">
        <is>
          <t>KF-M02-N2-B</t>
        </is>
      </c>
      <c r="G291" s="16" t="inlineStr">
        <is>
          <t>B03-B</t>
        </is>
      </c>
      <c r="H291" s="16" t="inlineStr">
        <is>
          <t>malla</t>
        </is>
      </c>
      <c r="I291" s="16" t="inlineStr">
        <is>
          <t>CORREGIBLE</t>
        </is>
      </c>
      <c r="J291" s="16" t="inlineStr">
        <is>
          <t>CORREGIBLE</t>
        </is>
      </c>
      <c r="K291" s="16" t="b">
        <v>1</v>
      </c>
      <c r="L291" s="16" t="b">
        <v>0</v>
      </c>
      <c r="M291" s="16" t="b">
        <v>1</v>
      </c>
      <c r="N291" s="16" t="b">
        <v>0</v>
      </c>
      <c r="O291" s="16" t="n">
        <v>497</v>
      </c>
      <c r="P291" s="16" t="n">
        <v>300.032917</v>
      </c>
      <c r="Q291" s="16" t="n">
        <v>3000</v>
      </c>
      <c r="R291" s="16" t="n">
        <v>1418.181818181818</v>
      </c>
      <c r="S291" s="16" t="n">
        <v>0.5</v>
      </c>
      <c r="T291" s="16" t="n">
        <v>0.85</v>
      </c>
      <c r="U291" s="16" t="n">
        <v>0.75</v>
      </c>
      <c r="V291" s="16" t="n">
        <v>0.85</v>
      </c>
      <c r="W291" s="16" t="n">
        <v>0.75</v>
      </c>
      <c r="X291" s="16" t="n">
        <v>0.8</v>
      </c>
      <c r="Y291" s="16" t="n"/>
      <c r="Z291" s="16" t="n">
        <v>5.71578056941166</v>
      </c>
      <c r="AA291" s="16" t="n">
        <v>95.53858128619426</v>
      </c>
      <c r="AB291" s="16" t="n">
        <v>1581.818181818182</v>
      </c>
      <c r="AC291" s="16" t="n">
        <v>2.115384615384615</v>
      </c>
      <c r="AD291" s="16" t="inlineStr">
        <is>
          <t>O2</t>
        </is>
      </c>
      <c r="AE291" s="16" t="n"/>
    </row>
    <row r="292">
      <c r="A292" s="16" t="inlineStr">
        <is>
          <t>KF-M02-N2-B-0080</t>
        </is>
      </c>
      <c r="B292" s="16" t="inlineStr">
        <is>
          <t>2.2</t>
        </is>
      </c>
      <c r="C292" s="16" t="inlineStr">
        <is>
          <t>2.2b</t>
        </is>
      </c>
      <c r="D292" s="16" t="inlineStr">
        <is>
          <t>bajar la fuente (T_fuente × P_baja)</t>
        </is>
      </c>
      <c r="E292" s="16" t="inlineStr">
        <is>
          <t>KF-M02-N2</t>
        </is>
      </c>
      <c r="F292" s="16" t="inlineStr">
        <is>
          <t>KF-M02-N2-B</t>
        </is>
      </c>
      <c r="G292" s="16" t="inlineStr">
        <is>
          <t>B03-B</t>
        </is>
      </c>
      <c r="H292" s="16" t="inlineStr">
        <is>
          <t>malla</t>
        </is>
      </c>
      <c r="I292" s="16" t="inlineStr">
        <is>
          <t>CORREGIBLE</t>
        </is>
      </c>
      <c r="J292" s="16" t="inlineStr">
        <is>
          <t>CORREGIBLE</t>
        </is>
      </c>
      <c r="K292" s="16" t="b">
        <v>1</v>
      </c>
      <c r="L292" s="16" t="b">
        <v>0</v>
      </c>
      <c r="M292" s="16" t="b">
        <v>1</v>
      </c>
      <c r="N292" s="16" t="b">
        <v>0</v>
      </c>
      <c r="O292" s="16" t="n">
        <v>497</v>
      </c>
      <c r="P292" s="16" t="n">
        <v>300.032917</v>
      </c>
      <c r="Q292" s="16" t="n">
        <v>3000</v>
      </c>
      <c r="R292" s="16" t="n">
        <v>1563.636363636364</v>
      </c>
      <c r="S292" s="16" t="n">
        <v>0.5</v>
      </c>
      <c r="T292" s="16" t="n">
        <v>0.85</v>
      </c>
      <c r="U292" s="16" t="n">
        <v>0.75</v>
      </c>
      <c r="V292" s="16" t="n">
        <v>0.85</v>
      </c>
      <c r="W292" s="16" t="n">
        <v>0.75</v>
      </c>
      <c r="X292" s="16" t="n">
        <v>0.8</v>
      </c>
      <c r="Y292" s="16" t="n"/>
      <c r="Z292" s="16" t="n">
        <v>5.03644334395079</v>
      </c>
      <c r="AA292" s="16" t="n">
        <v>84.15021406724168</v>
      </c>
      <c r="AB292" s="16" t="n">
        <v>1436.363636363636</v>
      </c>
      <c r="AC292" s="16" t="n">
        <v>1.918604651162791</v>
      </c>
      <c r="AD292" s="16" t="inlineStr">
        <is>
          <t>O2</t>
        </is>
      </c>
      <c r="AE292" s="16" t="n"/>
    </row>
    <row r="293">
      <c r="A293" s="16" t="inlineStr">
        <is>
          <t>KF-M02-N2-B-0081</t>
        </is>
      </c>
      <c r="B293" s="16" t="inlineStr">
        <is>
          <t>2.2</t>
        </is>
      </c>
      <c r="C293" s="16" t="inlineStr">
        <is>
          <t>2.2b</t>
        </is>
      </c>
      <c r="D293" s="16" t="inlineStr">
        <is>
          <t>bajar la fuente (T_fuente × P_baja)</t>
        </is>
      </c>
      <c r="E293" s="16" t="inlineStr">
        <is>
          <t>KF-M02-N2</t>
        </is>
      </c>
      <c r="F293" s="16" t="inlineStr">
        <is>
          <t>KF-M02-N2-B</t>
        </is>
      </c>
      <c r="G293" s="16" t="inlineStr">
        <is>
          <t>B03-B</t>
        </is>
      </c>
      <c r="H293" s="16" t="inlineStr">
        <is>
          <t>malla</t>
        </is>
      </c>
      <c r="I293" s="16" t="inlineStr">
        <is>
          <t>CORREGIBLE</t>
        </is>
      </c>
      <c r="J293" s="16" t="inlineStr">
        <is>
          <t>CORREGIBLE</t>
        </is>
      </c>
      <c r="K293" s="16" t="b">
        <v>1</v>
      </c>
      <c r="L293" s="16" t="b">
        <v>0</v>
      </c>
      <c r="M293" s="16" t="b">
        <v>1</v>
      </c>
      <c r="N293" s="16" t="b">
        <v>0</v>
      </c>
      <c r="O293" s="16" t="n">
        <v>497</v>
      </c>
      <c r="P293" s="16" t="n">
        <v>300.032917</v>
      </c>
      <c r="Q293" s="16" t="n">
        <v>3000</v>
      </c>
      <c r="R293" s="16" t="n">
        <v>1709.090909090909</v>
      </c>
      <c r="S293" s="16" t="n">
        <v>0.5</v>
      </c>
      <c r="T293" s="16" t="n">
        <v>0.85</v>
      </c>
      <c r="U293" s="16" t="n">
        <v>0.75</v>
      </c>
      <c r="V293" s="16" t="n">
        <v>0.85</v>
      </c>
      <c r="W293" s="16" t="n">
        <v>0.75</v>
      </c>
      <c r="X293" s="16" t="n">
        <v>0.8</v>
      </c>
      <c r="Y293" s="16" t="n"/>
      <c r="Z293" s="16" t="n">
        <v>4.40162662861181</v>
      </c>
      <c r="AA293" s="16" t="n">
        <v>73.51069555480363</v>
      </c>
      <c r="AB293" s="16" t="n">
        <v>1290.909090909091</v>
      </c>
      <c r="AC293" s="16" t="n">
        <v>1.75531914893617</v>
      </c>
      <c r="AD293" s="16" t="inlineStr">
        <is>
          <t>O2</t>
        </is>
      </c>
      <c r="AE293" s="16" t="n"/>
    </row>
    <row r="294">
      <c r="A294" s="16" t="inlineStr">
        <is>
          <t>KF-M02-N2-B-0082</t>
        </is>
      </c>
      <c r="B294" s="16" t="inlineStr">
        <is>
          <t>2.2</t>
        </is>
      </c>
      <c r="C294" s="16" t="inlineStr">
        <is>
          <t>2.2b</t>
        </is>
      </c>
      <c r="D294" s="16" t="inlineStr">
        <is>
          <t>bajar la fuente (T_fuente × P_baja)</t>
        </is>
      </c>
      <c r="E294" s="16" t="inlineStr">
        <is>
          <t>KF-M02-N2</t>
        </is>
      </c>
      <c r="F294" s="16" t="inlineStr">
        <is>
          <t>KF-M02-N2-B</t>
        </is>
      </c>
      <c r="G294" s="16" t="inlineStr">
        <is>
          <t>B03-B</t>
        </is>
      </c>
      <c r="H294" s="16" t="inlineStr">
        <is>
          <t>malla</t>
        </is>
      </c>
      <c r="I294" s="16" t="inlineStr">
        <is>
          <t>CORREGIBLE</t>
        </is>
      </c>
      <c r="J294" s="16" t="inlineStr">
        <is>
          <t>CORREGIBLE</t>
        </is>
      </c>
      <c r="K294" s="16" t="b">
        <v>1</v>
      </c>
      <c r="L294" s="16" t="b">
        <v>0</v>
      </c>
      <c r="M294" s="16" t="b">
        <v>1</v>
      </c>
      <c r="N294" s="16" t="b">
        <v>0</v>
      </c>
      <c r="O294" s="16" t="n">
        <v>497</v>
      </c>
      <c r="P294" s="16" t="n">
        <v>300.032917</v>
      </c>
      <c r="Q294" s="16" t="n">
        <v>3000</v>
      </c>
      <c r="R294" s="16" t="n">
        <v>1854.545454545455</v>
      </c>
      <c r="S294" s="16" t="n">
        <v>0.5</v>
      </c>
      <c r="T294" s="16" t="n">
        <v>0.85</v>
      </c>
      <c r="U294" s="16" t="n">
        <v>0.75</v>
      </c>
      <c r="V294" s="16" t="n">
        <v>0.85</v>
      </c>
      <c r="W294" s="16" t="n">
        <v>0.75</v>
      </c>
      <c r="X294" s="16" t="n">
        <v>0.8</v>
      </c>
      <c r="Y294" s="16" t="n"/>
      <c r="Z294" s="16" t="n">
        <v>3.80486632716536</v>
      </c>
      <c r="AA294" s="16" t="n">
        <v>63.51352347432531</v>
      </c>
      <c r="AB294" s="16" t="n">
        <v>1145.454545454545</v>
      </c>
      <c r="AC294" s="16" t="n">
        <v>1.617647058823529</v>
      </c>
      <c r="AD294" s="16" t="inlineStr">
        <is>
          <t>O2</t>
        </is>
      </c>
      <c r="AE294" s="16" t="n"/>
    </row>
    <row r="295">
      <c r="A295" s="16" t="inlineStr">
        <is>
          <t>KF-M02-N2-B-0083</t>
        </is>
      </c>
      <c r="B295" s="16" t="inlineStr">
        <is>
          <t>2.2</t>
        </is>
      </c>
      <c r="C295" s="16" t="inlineStr">
        <is>
          <t>2.2b</t>
        </is>
      </c>
      <c r="D295" s="16" t="inlineStr">
        <is>
          <t>bajar la fuente (T_fuente × P_baja)</t>
        </is>
      </c>
      <c r="E295" s="16" t="inlineStr">
        <is>
          <t>KF-M02-N2</t>
        </is>
      </c>
      <c r="F295" s="16" t="inlineStr">
        <is>
          <t>KF-M02-N2-B</t>
        </is>
      </c>
      <c r="G295" s="16" t="inlineStr">
        <is>
          <t>B03-B</t>
        </is>
      </c>
      <c r="H295" s="16" t="inlineStr">
        <is>
          <t>malla</t>
        </is>
      </c>
      <c r="I295" s="16" t="inlineStr">
        <is>
          <t>CORREGIBLE</t>
        </is>
      </c>
      <c r="J295" s="16" t="inlineStr">
        <is>
          <t>CORREGIBLE</t>
        </is>
      </c>
      <c r="K295" s="16" t="b">
        <v>1</v>
      </c>
      <c r="L295" s="16" t="b">
        <v>0</v>
      </c>
      <c r="M295" s="16" t="b">
        <v>1</v>
      </c>
      <c r="N295" s="16" t="b">
        <v>0</v>
      </c>
      <c r="O295" s="16" t="n">
        <v>529</v>
      </c>
      <c r="P295" s="16" t="n">
        <v>300.032917</v>
      </c>
      <c r="Q295" s="16" t="n">
        <v>3000</v>
      </c>
      <c r="R295" s="16" t="n">
        <v>400</v>
      </c>
      <c r="S295" s="16" t="n">
        <v>0.5</v>
      </c>
      <c r="T295" s="16" t="n">
        <v>0.85</v>
      </c>
      <c r="U295" s="16" t="n">
        <v>0.75</v>
      </c>
      <c r="V295" s="16" t="n">
        <v>0.85</v>
      </c>
      <c r="W295" s="16" t="n">
        <v>0.75</v>
      </c>
      <c r="X295" s="16" t="n">
        <v>0.8</v>
      </c>
      <c r="Y295" s="16" t="n"/>
      <c r="Z295" s="16" t="n">
        <v>13.08192135339253</v>
      </c>
      <c r="AA295" s="16" t="n">
        <v>227.1555409019336</v>
      </c>
      <c r="AB295" s="16" t="n">
        <v>2600</v>
      </c>
      <c r="AC295" s="16" t="n">
        <v>7.5</v>
      </c>
      <c r="AD295" s="16" t="inlineStr">
        <is>
          <t>O1,O2</t>
        </is>
      </c>
      <c r="AE295" s="16" t="n"/>
    </row>
    <row r="296">
      <c r="A296" s="16" t="inlineStr">
        <is>
          <t>KF-M02-N2-B-0084</t>
        </is>
      </c>
      <c r="B296" s="16" t="inlineStr">
        <is>
          <t>2.2</t>
        </is>
      </c>
      <c r="C296" s="16" t="inlineStr">
        <is>
          <t>2.2b</t>
        </is>
      </c>
      <c r="D296" s="16" t="inlineStr">
        <is>
          <t>bajar la fuente (T_fuente × P_baja)</t>
        </is>
      </c>
      <c r="E296" s="16" t="inlineStr">
        <is>
          <t>KF-M02-N2</t>
        </is>
      </c>
      <c r="F296" s="16" t="inlineStr">
        <is>
          <t>KF-M02-N2-B</t>
        </is>
      </c>
      <c r="G296" s="16" t="inlineStr">
        <is>
          <t>B03-B</t>
        </is>
      </c>
      <c r="H296" s="16" t="inlineStr">
        <is>
          <t>malla</t>
        </is>
      </c>
      <c r="I296" s="16" t="inlineStr">
        <is>
          <t>CORREGIBLE</t>
        </is>
      </c>
      <c r="J296" s="16" t="inlineStr">
        <is>
          <t>CORREGIBLE</t>
        </is>
      </c>
      <c r="K296" s="16" t="b">
        <v>1</v>
      </c>
      <c r="L296" s="16" t="b">
        <v>0</v>
      </c>
      <c r="M296" s="16" t="b">
        <v>1</v>
      </c>
      <c r="N296" s="16" t="b">
        <v>0</v>
      </c>
      <c r="O296" s="16" t="n">
        <v>497</v>
      </c>
      <c r="P296" s="16" t="n">
        <v>300.032917</v>
      </c>
      <c r="Q296" s="16" t="n">
        <v>3000</v>
      </c>
      <c r="R296" s="16" t="n">
        <v>2000</v>
      </c>
      <c r="S296" s="16" t="n">
        <v>0.5</v>
      </c>
      <c r="T296" s="16" t="n">
        <v>0.85</v>
      </c>
      <c r="U296" s="16" t="n">
        <v>0.75</v>
      </c>
      <c r="V296" s="16" t="n">
        <v>0.85</v>
      </c>
      <c r="W296" s="16" t="n">
        <v>0.75</v>
      </c>
      <c r="X296" s="16" t="n">
        <v>0.8</v>
      </c>
      <c r="Y296" s="16" t="n"/>
      <c r="Z296" s="16" t="n">
        <v>3.24106189719305</v>
      </c>
      <c r="AA296" s="16" t="n">
        <v>54.07430435282323</v>
      </c>
      <c r="AB296" s="16" t="n">
        <v>1000</v>
      </c>
      <c r="AC296" s="16" t="n">
        <v>1.5</v>
      </c>
      <c r="AD296" s="16" t="inlineStr">
        <is>
          <t>O2</t>
        </is>
      </c>
      <c r="AE296" s="16" t="n"/>
    </row>
    <row r="297">
      <c r="A297" s="16" t="inlineStr">
        <is>
          <t>KF-M02-N2-B-0085</t>
        </is>
      </c>
      <c r="B297" s="16" t="inlineStr">
        <is>
          <t>2.2</t>
        </is>
      </c>
      <c r="C297" s="16" t="inlineStr">
        <is>
          <t>2.2b</t>
        </is>
      </c>
      <c r="D297" s="16" t="inlineStr">
        <is>
          <t>bajar la fuente (T_fuente × P_baja)</t>
        </is>
      </c>
      <c r="E297" s="16" t="inlineStr">
        <is>
          <t>KF-M02-N2</t>
        </is>
      </c>
      <c r="F297" s="16" t="inlineStr">
        <is>
          <t>KF-M02-N2-B</t>
        </is>
      </c>
      <c r="G297" s="16" t="inlineStr">
        <is>
          <t>B03-B</t>
        </is>
      </c>
      <c r="H297" s="16" t="inlineStr">
        <is>
          <t>malla</t>
        </is>
      </c>
      <c r="I297" s="16" t="inlineStr">
        <is>
          <t>CORREGIBLE</t>
        </is>
      </c>
      <c r="J297" s="16" t="inlineStr">
        <is>
          <t>CORREGIBLE</t>
        </is>
      </c>
      <c r="K297" s="16" t="b">
        <v>1</v>
      </c>
      <c r="L297" s="16" t="b">
        <v>0</v>
      </c>
      <c r="M297" s="16" t="b">
        <v>1</v>
      </c>
      <c r="N297" s="16" t="b">
        <v>0</v>
      </c>
      <c r="O297" s="16" t="n">
        <v>529</v>
      </c>
      <c r="P297" s="16" t="n">
        <v>300.032917</v>
      </c>
      <c r="Q297" s="16" t="n">
        <v>3000</v>
      </c>
      <c r="R297" s="16" t="n">
        <v>545.4545454545455</v>
      </c>
      <c r="S297" s="16" t="n">
        <v>0.5</v>
      </c>
      <c r="T297" s="16" t="n">
        <v>0.85</v>
      </c>
      <c r="U297" s="16" t="n">
        <v>0.75</v>
      </c>
      <c r="V297" s="16" t="n">
        <v>0.85</v>
      </c>
      <c r="W297" s="16" t="n">
        <v>0.75</v>
      </c>
      <c r="X297" s="16" t="n">
        <v>0.8</v>
      </c>
      <c r="Y297" s="16" t="n"/>
      <c r="Z297" s="16" t="n">
        <v>11.47703659109098</v>
      </c>
      <c r="AA297" s="16" t="n">
        <v>199.6539905949762</v>
      </c>
      <c r="AB297" s="16" t="n">
        <v>2454.545454545455</v>
      </c>
      <c r="AC297" s="16" t="n">
        <v>5.5</v>
      </c>
      <c r="AD297" s="16" t="inlineStr">
        <is>
          <t>O2</t>
        </is>
      </c>
      <c r="AE297" s="16" t="n"/>
    </row>
    <row r="298">
      <c r="A298" s="16" t="inlineStr">
        <is>
          <t>KF-M02-N2-B-0086</t>
        </is>
      </c>
      <c r="B298" s="16" t="inlineStr">
        <is>
          <t>2.2</t>
        </is>
      </c>
      <c r="C298" s="16" t="inlineStr">
        <is>
          <t>2.2b</t>
        </is>
      </c>
      <c r="D298" s="16" t="inlineStr">
        <is>
          <t>bajar la fuente (T_fuente × P_baja)</t>
        </is>
      </c>
      <c r="E298" s="16" t="inlineStr">
        <is>
          <t>KF-M02-N2</t>
        </is>
      </c>
      <c r="F298" s="16" t="inlineStr">
        <is>
          <t>KF-M02-N2-B</t>
        </is>
      </c>
      <c r="G298" s="16" t="inlineStr">
        <is>
          <t>B03-B</t>
        </is>
      </c>
      <c r="H298" s="16" t="inlineStr">
        <is>
          <t>malla</t>
        </is>
      </c>
      <c r="I298" s="16" t="inlineStr">
        <is>
          <t>CORREGIBLE</t>
        </is>
      </c>
      <c r="J298" s="16" t="inlineStr">
        <is>
          <t>CORREGIBLE</t>
        </is>
      </c>
      <c r="K298" s="16" t="b">
        <v>1</v>
      </c>
      <c r="L298" s="16" t="b">
        <v>0</v>
      </c>
      <c r="M298" s="16" t="b">
        <v>1</v>
      </c>
      <c r="N298" s="16" t="b">
        <v>0</v>
      </c>
      <c r="O298" s="16" t="n">
        <v>529</v>
      </c>
      <c r="P298" s="16" t="n">
        <v>300.032917</v>
      </c>
      <c r="Q298" s="16" t="n">
        <v>3000</v>
      </c>
      <c r="R298" s="16" t="n">
        <v>690.909090909091</v>
      </c>
      <c r="S298" s="16" t="n">
        <v>0.5</v>
      </c>
      <c r="T298" s="16" t="n">
        <v>0.85</v>
      </c>
      <c r="U298" s="16" t="n">
        <v>0.75</v>
      </c>
      <c r="V298" s="16" t="n">
        <v>0.85</v>
      </c>
      <c r="W298" s="16" t="n">
        <v>0.75</v>
      </c>
      <c r="X298" s="16" t="n">
        <v>0.8</v>
      </c>
      <c r="Y298" s="16" t="n"/>
      <c r="Z298" s="16" t="n">
        <v>10.16954105836602</v>
      </c>
      <c r="AA298" s="16" t="n">
        <v>177.0744269549807</v>
      </c>
      <c r="AB298" s="16" t="n">
        <v>2309.090909090909</v>
      </c>
      <c r="AC298" s="16" t="n">
        <v>4.342105263157894</v>
      </c>
      <c r="AD298" s="16" t="inlineStr">
        <is>
          <t>O2</t>
        </is>
      </c>
      <c r="AE298" s="16" t="n"/>
    </row>
    <row r="299">
      <c r="A299" s="16" t="inlineStr">
        <is>
          <t>KF-M02-N2-B-0087</t>
        </is>
      </c>
      <c r="B299" s="16" t="inlineStr">
        <is>
          <t>2.2</t>
        </is>
      </c>
      <c r="C299" s="16" t="inlineStr">
        <is>
          <t>2.2b</t>
        </is>
      </c>
      <c r="D299" s="16" t="inlineStr">
        <is>
          <t>bajar la fuente (T_fuente × P_baja)</t>
        </is>
      </c>
      <c r="E299" s="16" t="inlineStr">
        <is>
          <t>KF-M02-N2</t>
        </is>
      </c>
      <c r="F299" s="16" t="inlineStr">
        <is>
          <t>KF-M02-N2-B</t>
        </is>
      </c>
      <c r="G299" s="16" t="inlineStr">
        <is>
          <t>B03-B</t>
        </is>
      </c>
      <c r="H299" s="16" t="inlineStr">
        <is>
          <t>malla</t>
        </is>
      </c>
      <c r="I299" s="16" t="inlineStr">
        <is>
          <t>CORREGIBLE</t>
        </is>
      </c>
      <c r="J299" s="16" t="inlineStr">
        <is>
          <t>CORREGIBLE</t>
        </is>
      </c>
      <c r="K299" s="16" t="b">
        <v>1</v>
      </c>
      <c r="L299" s="16" t="b">
        <v>0</v>
      </c>
      <c r="M299" s="16" t="b">
        <v>1</v>
      </c>
      <c r="N299" s="16" t="b">
        <v>0</v>
      </c>
      <c r="O299" s="16" t="n">
        <v>529</v>
      </c>
      <c r="P299" s="16" t="n">
        <v>300.032917</v>
      </c>
      <c r="Q299" s="16" t="n">
        <v>3000</v>
      </c>
      <c r="R299" s="16" t="n">
        <v>836.3636363636364</v>
      </c>
      <c r="S299" s="16" t="n">
        <v>0.5</v>
      </c>
      <c r="T299" s="16" t="n">
        <v>0.85</v>
      </c>
      <c r="U299" s="16" t="n">
        <v>0.75</v>
      </c>
      <c r="V299" s="16" t="n">
        <v>0.85</v>
      </c>
      <c r="W299" s="16" t="n">
        <v>0.75</v>
      </c>
      <c r="X299" s="16" t="n">
        <v>0.8</v>
      </c>
      <c r="Y299" s="16" t="n"/>
      <c r="Z299" s="16" t="n">
        <v>9.055216824112447</v>
      </c>
      <c r="AA299" s="16" t="n">
        <v>157.7409529669381</v>
      </c>
      <c r="AB299" s="16" t="n">
        <v>2163.636363636364</v>
      </c>
      <c r="AC299" s="16" t="n">
        <v>3.58695652173913</v>
      </c>
      <c r="AD299" s="16" t="inlineStr">
        <is>
          <t>O2</t>
        </is>
      </c>
      <c r="AE299" s="16" t="n"/>
    </row>
    <row r="300">
      <c r="A300" s="16" t="inlineStr">
        <is>
          <t>KF-M02-N2-B-0088</t>
        </is>
      </c>
      <c r="B300" s="16" t="inlineStr">
        <is>
          <t>2.2</t>
        </is>
      </c>
      <c r="C300" s="16" t="inlineStr">
        <is>
          <t>2.2b</t>
        </is>
      </c>
      <c r="D300" s="16" t="inlineStr">
        <is>
          <t>bajar la fuente (T_fuente × P_baja)</t>
        </is>
      </c>
      <c r="E300" s="16" t="inlineStr">
        <is>
          <t>KF-M02-N2</t>
        </is>
      </c>
      <c r="F300" s="16" t="inlineStr">
        <is>
          <t>KF-M02-N2-B</t>
        </is>
      </c>
      <c r="G300" s="16" t="inlineStr">
        <is>
          <t>B03-B</t>
        </is>
      </c>
      <c r="H300" s="16" t="inlineStr">
        <is>
          <t>malla</t>
        </is>
      </c>
      <c r="I300" s="16" t="inlineStr">
        <is>
          <t>CORREGIBLE</t>
        </is>
      </c>
      <c r="J300" s="16" t="inlineStr">
        <is>
          <t>CORREGIBLE</t>
        </is>
      </c>
      <c r="K300" s="16" t="b">
        <v>1</v>
      </c>
      <c r="L300" s="16" t="b">
        <v>0</v>
      </c>
      <c r="M300" s="16" t="b">
        <v>1</v>
      </c>
      <c r="N300" s="16" t="b">
        <v>0</v>
      </c>
      <c r="O300" s="16" t="n">
        <v>529</v>
      </c>
      <c r="P300" s="16" t="n">
        <v>300.032917</v>
      </c>
      <c r="Q300" s="16" t="n">
        <v>3000</v>
      </c>
      <c r="R300" s="16" t="n">
        <v>981.818181818182</v>
      </c>
      <c r="S300" s="16" t="n">
        <v>0.5</v>
      </c>
      <c r="T300" s="16" t="n">
        <v>0.85</v>
      </c>
      <c r="U300" s="16" t="n">
        <v>0.75</v>
      </c>
      <c r="V300" s="16" t="n">
        <v>0.85</v>
      </c>
      <c r="W300" s="16" t="n">
        <v>0.75</v>
      </c>
      <c r="X300" s="16" t="n">
        <v>0.8</v>
      </c>
      <c r="Y300" s="16" t="n"/>
      <c r="Z300" s="16" t="n">
        <v>8.077714158154601</v>
      </c>
      <c r="AA300" s="16" t="n">
        <v>140.7322139652546</v>
      </c>
      <c r="AB300" s="16" t="n">
        <v>2018.181818181818</v>
      </c>
      <c r="AC300" s="16" t="n">
        <v>3.055555555555555</v>
      </c>
      <c r="AD300" s="16" t="inlineStr">
        <is>
          <t>O2</t>
        </is>
      </c>
      <c r="AE300" s="16" t="n"/>
    </row>
    <row r="301">
      <c r="A301" s="16" t="inlineStr">
        <is>
          <t>KF-M02-N2-B-0089</t>
        </is>
      </c>
      <c r="B301" s="16" t="inlineStr">
        <is>
          <t>2.2</t>
        </is>
      </c>
      <c r="C301" s="16" t="inlineStr">
        <is>
          <t>2.2b</t>
        </is>
      </c>
      <c r="D301" s="16" t="inlineStr">
        <is>
          <t>bajar la fuente (T_fuente × P_baja)</t>
        </is>
      </c>
      <c r="E301" s="16" t="inlineStr">
        <is>
          <t>KF-M02-N2</t>
        </is>
      </c>
      <c r="F301" s="16" t="inlineStr">
        <is>
          <t>KF-M02-N2-B</t>
        </is>
      </c>
      <c r="G301" s="16" t="inlineStr">
        <is>
          <t>B03-B</t>
        </is>
      </c>
      <c r="H301" s="16" t="inlineStr">
        <is>
          <t>malla</t>
        </is>
      </c>
      <c r="I301" s="16" t="inlineStr">
        <is>
          <t>CORREGIBLE</t>
        </is>
      </c>
      <c r="J301" s="16" t="inlineStr">
        <is>
          <t>CORREGIBLE</t>
        </is>
      </c>
      <c r="K301" s="16" t="b">
        <v>1</v>
      </c>
      <c r="L301" s="16" t="b">
        <v>0</v>
      </c>
      <c r="M301" s="16" t="b">
        <v>1</v>
      </c>
      <c r="N301" s="16" t="b">
        <v>0</v>
      </c>
      <c r="O301" s="16" t="n">
        <v>529</v>
      </c>
      <c r="P301" s="16" t="n">
        <v>300.032917</v>
      </c>
      <c r="Q301" s="16" t="n">
        <v>3000</v>
      </c>
      <c r="R301" s="16" t="n">
        <v>1127.272727272728</v>
      </c>
      <c r="S301" s="16" t="n">
        <v>0.5</v>
      </c>
      <c r="T301" s="16" t="n">
        <v>0.85</v>
      </c>
      <c r="U301" s="16" t="n">
        <v>0.75</v>
      </c>
      <c r="V301" s="16" t="n">
        <v>0.85</v>
      </c>
      <c r="W301" s="16" t="n">
        <v>0.75</v>
      </c>
      <c r="X301" s="16" t="n">
        <v>0.8</v>
      </c>
      <c r="Y301" s="16" t="n"/>
      <c r="Z301" s="16" t="n">
        <v>7.20283915269976</v>
      </c>
      <c r="AA301" s="16" t="n">
        <v>125.4821183912989</v>
      </c>
      <c r="AB301" s="16" t="n">
        <v>1872.727272727272</v>
      </c>
      <c r="AC301" s="16" t="n">
        <v>2.661290322580644</v>
      </c>
      <c r="AD301" s="16" t="inlineStr">
        <is>
          <t>O2</t>
        </is>
      </c>
      <c r="AE301" s="16" t="n"/>
    </row>
    <row r="302">
      <c r="A302" s="16" t="inlineStr">
        <is>
          <t>KF-M02-N2-B-0090</t>
        </is>
      </c>
      <c r="B302" s="16" t="inlineStr">
        <is>
          <t>2.2</t>
        </is>
      </c>
      <c r="C302" s="16" t="inlineStr">
        <is>
          <t>2.2b</t>
        </is>
      </c>
      <c r="D302" s="16" t="inlineStr">
        <is>
          <t>bajar la fuente (T_fuente × P_baja)</t>
        </is>
      </c>
      <c r="E302" s="16" t="inlineStr">
        <is>
          <t>KF-M02-N2</t>
        </is>
      </c>
      <c r="F302" s="16" t="inlineStr">
        <is>
          <t>KF-M02-N2-B</t>
        </is>
      </c>
      <c r="G302" s="16" t="inlineStr">
        <is>
          <t>B03-B</t>
        </is>
      </c>
      <c r="H302" s="16" t="inlineStr">
        <is>
          <t>malla</t>
        </is>
      </c>
      <c r="I302" s="16" t="inlineStr">
        <is>
          <t>CORREGIBLE</t>
        </is>
      </c>
      <c r="J302" s="16" t="inlineStr">
        <is>
          <t>CORREGIBLE</t>
        </is>
      </c>
      <c r="K302" s="16" t="b">
        <v>1</v>
      </c>
      <c r="L302" s="16" t="b">
        <v>0</v>
      </c>
      <c r="M302" s="16" t="b">
        <v>1</v>
      </c>
      <c r="N302" s="16" t="b">
        <v>0</v>
      </c>
      <c r="O302" s="16" t="n">
        <v>529</v>
      </c>
      <c r="P302" s="16" t="n">
        <v>300.032917</v>
      </c>
      <c r="Q302" s="16" t="n">
        <v>3000</v>
      </c>
      <c r="R302" s="16" t="n">
        <v>1272.727272727273</v>
      </c>
      <c r="S302" s="16" t="n">
        <v>0.5</v>
      </c>
      <c r="T302" s="16" t="n">
        <v>0.85</v>
      </c>
      <c r="U302" s="16" t="n">
        <v>0.75</v>
      </c>
      <c r="V302" s="16" t="n">
        <v>0.85</v>
      </c>
      <c r="W302" s="16" t="n">
        <v>0.75</v>
      </c>
      <c r="X302" s="16" t="n">
        <v>0.8</v>
      </c>
      <c r="Y302" s="16" t="n"/>
      <c r="Z302" s="16" t="n">
        <v>6.408151159165181</v>
      </c>
      <c r="AA302" s="16" t="n">
        <v>111.6155122185231</v>
      </c>
      <c r="AB302" s="16" t="n">
        <v>1727.272727272727</v>
      </c>
      <c r="AC302" s="16" t="n">
        <v>2.357142857142857</v>
      </c>
      <c r="AD302" s="16" t="inlineStr">
        <is>
          <t>O2</t>
        </is>
      </c>
      <c r="AE302" s="16" t="n"/>
    </row>
    <row r="303">
      <c r="A303" s="16" t="inlineStr">
        <is>
          <t>KF-M02-N2-B-0091</t>
        </is>
      </c>
      <c r="B303" s="16" t="inlineStr">
        <is>
          <t>2.2</t>
        </is>
      </c>
      <c r="C303" s="16" t="inlineStr">
        <is>
          <t>2.2b</t>
        </is>
      </c>
      <c r="D303" s="16" t="inlineStr">
        <is>
          <t>bajar la fuente (T_fuente × P_baja)</t>
        </is>
      </c>
      <c r="E303" s="16" t="inlineStr">
        <is>
          <t>KF-M02-N2</t>
        </is>
      </c>
      <c r="F303" s="16" t="inlineStr">
        <is>
          <t>KF-M02-N2-B</t>
        </is>
      </c>
      <c r="G303" s="16" t="inlineStr">
        <is>
          <t>B03-B</t>
        </is>
      </c>
      <c r="H303" s="16" t="inlineStr">
        <is>
          <t>malla</t>
        </is>
      </c>
      <c r="I303" s="16" t="inlineStr">
        <is>
          <t>CORREGIBLE</t>
        </is>
      </c>
      <c r="J303" s="16" t="inlineStr">
        <is>
          <t>CORREGIBLE</t>
        </is>
      </c>
      <c r="K303" s="16" t="b">
        <v>1</v>
      </c>
      <c r="L303" s="16" t="b">
        <v>0</v>
      </c>
      <c r="M303" s="16" t="b">
        <v>1</v>
      </c>
      <c r="N303" s="16" t="b">
        <v>0</v>
      </c>
      <c r="O303" s="16" t="n">
        <v>529</v>
      </c>
      <c r="P303" s="16" t="n">
        <v>300.032917</v>
      </c>
      <c r="Q303" s="16" t="n">
        <v>3000</v>
      </c>
      <c r="R303" s="16" t="n">
        <v>1418.181818181818</v>
      </c>
      <c r="S303" s="16" t="n">
        <v>0.5</v>
      </c>
      <c r="T303" s="16" t="n">
        <v>0.85</v>
      </c>
      <c r="U303" s="16" t="n">
        <v>0.75</v>
      </c>
      <c r="V303" s="16" t="n">
        <v>0.85</v>
      </c>
      <c r="W303" s="16" t="n">
        <v>0.75</v>
      </c>
      <c r="X303" s="16" t="n">
        <v>0.8</v>
      </c>
      <c r="Y303" s="16" t="n"/>
      <c r="Z303" s="16" t="n">
        <v>5.67806886750105</v>
      </c>
      <c r="AA303" s="16" t="n">
        <v>98.86984065017084</v>
      </c>
      <c r="AB303" s="16" t="n">
        <v>1581.818181818182</v>
      </c>
      <c r="AC303" s="16" t="n">
        <v>2.115384615384615</v>
      </c>
      <c r="AD303" s="16" t="inlineStr">
        <is>
          <t>O2</t>
        </is>
      </c>
      <c r="AE303" s="16" t="n"/>
    </row>
    <row r="304">
      <c r="A304" s="16" t="inlineStr">
        <is>
          <t>KF-M02-N2-B-0092</t>
        </is>
      </c>
      <c r="B304" s="16" t="inlineStr">
        <is>
          <t>2.2</t>
        </is>
      </c>
      <c r="C304" s="16" t="inlineStr">
        <is>
          <t>2.2b</t>
        </is>
      </c>
      <c r="D304" s="16" t="inlineStr">
        <is>
          <t>bajar la fuente (T_fuente × P_baja)</t>
        </is>
      </c>
      <c r="E304" s="16" t="inlineStr">
        <is>
          <t>KF-M02-N2</t>
        </is>
      </c>
      <c r="F304" s="16" t="inlineStr">
        <is>
          <t>KF-M02-N2-B</t>
        </is>
      </c>
      <c r="G304" s="16" t="inlineStr">
        <is>
          <t>B03-B</t>
        </is>
      </c>
      <c r="H304" s="16" t="inlineStr">
        <is>
          <t>malla</t>
        </is>
      </c>
      <c r="I304" s="16" t="inlineStr">
        <is>
          <t>CORREGIBLE</t>
        </is>
      </c>
      <c r="J304" s="16" t="inlineStr">
        <is>
          <t>CORREGIBLE</t>
        </is>
      </c>
      <c r="K304" s="16" t="b">
        <v>1</v>
      </c>
      <c r="L304" s="16" t="b">
        <v>0</v>
      </c>
      <c r="M304" s="16" t="b">
        <v>1</v>
      </c>
      <c r="N304" s="16" t="b">
        <v>0</v>
      </c>
      <c r="O304" s="16" t="n">
        <v>529</v>
      </c>
      <c r="P304" s="16" t="n">
        <v>300.032917</v>
      </c>
      <c r="Q304" s="16" t="n">
        <v>3000</v>
      </c>
      <c r="R304" s="16" t="n">
        <v>1563.636363636364</v>
      </c>
      <c r="S304" s="16" t="n">
        <v>0.5</v>
      </c>
      <c r="T304" s="16" t="n">
        <v>0.85</v>
      </c>
      <c r="U304" s="16" t="n">
        <v>0.75</v>
      </c>
      <c r="V304" s="16" t="n">
        <v>0.85</v>
      </c>
      <c r="W304" s="16" t="n">
        <v>0.75</v>
      </c>
      <c r="X304" s="16" t="n">
        <v>0.8</v>
      </c>
      <c r="Y304" s="16" t="n"/>
      <c r="Z304" s="16" t="n">
        <v>5.0012937039717</v>
      </c>
      <c r="AA304" s="16" t="n">
        <v>87.0534456818469</v>
      </c>
      <c r="AB304" s="16" t="n">
        <v>1436.363636363636</v>
      </c>
      <c r="AC304" s="16" t="n">
        <v>1.918604651162791</v>
      </c>
      <c r="AD304" s="16" t="inlineStr">
        <is>
          <t>O2</t>
        </is>
      </c>
      <c r="AE304" s="16" t="n"/>
    </row>
    <row r="305">
      <c r="A305" s="16" t="inlineStr">
        <is>
          <t>KF-M02-N2-B-0093</t>
        </is>
      </c>
      <c r="B305" s="16" t="inlineStr">
        <is>
          <t>2.2</t>
        </is>
      </c>
      <c r="C305" s="16" t="inlineStr">
        <is>
          <t>2.2b</t>
        </is>
      </c>
      <c r="D305" s="16" t="inlineStr">
        <is>
          <t>bajar la fuente (T_fuente × P_baja)</t>
        </is>
      </c>
      <c r="E305" s="16" t="inlineStr">
        <is>
          <t>KF-M02-N2</t>
        </is>
      </c>
      <c r="F305" s="16" t="inlineStr">
        <is>
          <t>KF-M02-N2-B</t>
        </is>
      </c>
      <c r="G305" s="16" t="inlineStr">
        <is>
          <t>B03-B</t>
        </is>
      </c>
      <c r="H305" s="16" t="inlineStr">
        <is>
          <t>malla</t>
        </is>
      </c>
      <c r="I305" s="16" t="inlineStr">
        <is>
          <t>CORREGIBLE</t>
        </is>
      </c>
      <c r="J305" s="16" t="inlineStr">
        <is>
          <t>CORREGIBLE</t>
        </is>
      </c>
      <c r="K305" s="16" t="b">
        <v>1</v>
      </c>
      <c r="L305" s="16" t="b">
        <v>0</v>
      </c>
      <c r="M305" s="16" t="b">
        <v>1</v>
      </c>
      <c r="N305" s="16" t="b">
        <v>0</v>
      </c>
      <c r="O305" s="16" t="n">
        <v>529</v>
      </c>
      <c r="P305" s="16" t="n">
        <v>300.032917</v>
      </c>
      <c r="Q305" s="16" t="n">
        <v>3000</v>
      </c>
      <c r="R305" s="16" t="n">
        <v>1709.090909090909</v>
      </c>
      <c r="S305" s="16" t="n">
        <v>0.5</v>
      </c>
      <c r="T305" s="16" t="n">
        <v>0.85</v>
      </c>
      <c r="U305" s="16" t="n">
        <v>0.75</v>
      </c>
      <c r="V305" s="16" t="n">
        <v>0.85</v>
      </c>
      <c r="W305" s="16" t="n">
        <v>0.75</v>
      </c>
      <c r="X305" s="16" t="n">
        <v>0.8</v>
      </c>
      <c r="Y305" s="16" t="n"/>
      <c r="Z305" s="16" t="n">
        <v>4.36935265874183</v>
      </c>
      <c r="AA305" s="16" t="n">
        <v>76.0217843870502</v>
      </c>
      <c r="AB305" s="16" t="n">
        <v>1290.909090909091</v>
      </c>
      <c r="AC305" s="16" t="n">
        <v>1.75531914893617</v>
      </c>
      <c r="AD305" s="16" t="inlineStr">
        <is>
          <t>O2</t>
        </is>
      </c>
      <c r="AE305" s="16" t="n"/>
    </row>
    <row r="306">
      <c r="A306" s="16" t="inlineStr">
        <is>
          <t>KF-M02-N2-B-0094</t>
        </is>
      </c>
      <c r="B306" s="16" t="inlineStr">
        <is>
          <t>2.2</t>
        </is>
      </c>
      <c r="C306" s="16" t="inlineStr">
        <is>
          <t>2.2b</t>
        </is>
      </c>
      <c r="D306" s="16" t="inlineStr">
        <is>
          <t>bajar la fuente (T_fuente × P_baja)</t>
        </is>
      </c>
      <c r="E306" s="16" t="inlineStr">
        <is>
          <t>KF-M02-N2</t>
        </is>
      </c>
      <c r="F306" s="16" t="inlineStr">
        <is>
          <t>KF-M02-N2-B</t>
        </is>
      </c>
      <c r="G306" s="16" t="inlineStr">
        <is>
          <t>B03-B</t>
        </is>
      </c>
      <c r="H306" s="16" t="inlineStr">
        <is>
          <t>malla</t>
        </is>
      </c>
      <c r="I306" s="16" t="inlineStr">
        <is>
          <t>CORREGIBLE</t>
        </is>
      </c>
      <c r="J306" s="16" t="inlineStr">
        <is>
          <t>CORREGIBLE</t>
        </is>
      </c>
      <c r="K306" s="16" t="b">
        <v>1</v>
      </c>
      <c r="L306" s="16" t="b">
        <v>0</v>
      </c>
      <c r="M306" s="16" t="b">
        <v>1</v>
      </c>
      <c r="N306" s="16" t="b">
        <v>0</v>
      </c>
      <c r="O306" s="16" t="n">
        <v>560</v>
      </c>
      <c r="P306" s="16" t="n">
        <v>300.032917</v>
      </c>
      <c r="Q306" s="16" t="n">
        <v>3000</v>
      </c>
      <c r="R306" s="16" t="n">
        <v>400</v>
      </c>
      <c r="S306" s="16" t="n">
        <v>0.5</v>
      </c>
      <c r="T306" s="16" t="n">
        <v>0.85</v>
      </c>
      <c r="U306" s="16" t="n">
        <v>0.75</v>
      </c>
      <c r="V306" s="16" t="n">
        <v>0.85</v>
      </c>
      <c r="W306" s="16" t="n">
        <v>0.75</v>
      </c>
      <c r="X306" s="16" t="n">
        <v>0.8</v>
      </c>
      <c r="Y306" s="16" t="n"/>
      <c r="Z306" s="16" t="n">
        <v>13.05974664104891</v>
      </c>
      <c r="AA306" s="16" t="n">
        <v>235.1114890325452</v>
      </c>
      <c r="AB306" s="16" t="n">
        <v>2600</v>
      </c>
      <c r="AC306" s="16" t="n">
        <v>7.5</v>
      </c>
      <c r="AD306" s="16" t="inlineStr">
        <is>
          <t>O1,O2</t>
        </is>
      </c>
      <c r="AE306" s="16" t="n"/>
    </row>
    <row r="307">
      <c r="A307" s="16" t="inlineStr">
        <is>
          <t>KF-M02-N2-B-0095</t>
        </is>
      </c>
      <c r="B307" s="16" t="inlineStr">
        <is>
          <t>2.2</t>
        </is>
      </c>
      <c r="C307" s="16" t="inlineStr">
        <is>
          <t>2.2b</t>
        </is>
      </c>
      <c r="D307" s="16" t="inlineStr">
        <is>
          <t>bajar la fuente (T_fuente × P_baja)</t>
        </is>
      </c>
      <c r="E307" s="16" t="inlineStr">
        <is>
          <t>KF-M02-N2</t>
        </is>
      </c>
      <c r="F307" s="16" t="inlineStr">
        <is>
          <t>KF-M02-N2-B</t>
        </is>
      </c>
      <c r="G307" s="16" t="inlineStr">
        <is>
          <t>B03-B</t>
        </is>
      </c>
      <c r="H307" s="16" t="inlineStr">
        <is>
          <t>malla</t>
        </is>
      </c>
      <c r="I307" s="16" t="inlineStr">
        <is>
          <t>CORREGIBLE</t>
        </is>
      </c>
      <c r="J307" s="16" t="inlineStr">
        <is>
          <t>CORREGIBLE</t>
        </is>
      </c>
      <c r="K307" s="16" t="b">
        <v>1</v>
      </c>
      <c r="L307" s="16" t="b">
        <v>0</v>
      </c>
      <c r="M307" s="16" t="b">
        <v>1</v>
      </c>
      <c r="N307" s="16" t="b">
        <v>0</v>
      </c>
      <c r="O307" s="16" t="n">
        <v>529</v>
      </c>
      <c r="P307" s="16" t="n">
        <v>300.032917</v>
      </c>
      <c r="Q307" s="16" t="n">
        <v>3000</v>
      </c>
      <c r="R307" s="16" t="n">
        <v>1854.545454545455</v>
      </c>
      <c r="S307" s="16" t="n">
        <v>0.5</v>
      </c>
      <c r="T307" s="16" t="n">
        <v>0.85</v>
      </c>
      <c r="U307" s="16" t="n">
        <v>0.75</v>
      </c>
      <c r="V307" s="16" t="n">
        <v>0.85</v>
      </c>
      <c r="W307" s="16" t="n">
        <v>0.75</v>
      </c>
      <c r="X307" s="16" t="n">
        <v>0.8</v>
      </c>
      <c r="Y307" s="16" t="n"/>
      <c r="Z307" s="16" t="n">
        <v>3.77571403100991</v>
      </c>
      <c r="AA307" s="16" t="n">
        <v>65.66288277216357</v>
      </c>
      <c r="AB307" s="16" t="n">
        <v>1145.454545454545</v>
      </c>
      <c r="AC307" s="16" t="n">
        <v>1.617647058823529</v>
      </c>
      <c r="AD307" s="16" t="inlineStr">
        <is>
          <t>O2</t>
        </is>
      </c>
      <c r="AE307" s="16" t="n"/>
    </row>
    <row r="308">
      <c r="A308" s="16" t="inlineStr">
        <is>
          <t>KF-M02-N2-B-0096</t>
        </is>
      </c>
      <c r="B308" s="16" t="inlineStr">
        <is>
          <t>2.2</t>
        </is>
      </c>
      <c r="C308" s="16" t="inlineStr">
        <is>
          <t>2.2b</t>
        </is>
      </c>
      <c r="D308" s="16" t="inlineStr">
        <is>
          <t>bajar la fuente (T_fuente × P_baja)</t>
        </is>
      </c>
      <c r="E308" s="16" t="inlineStr">
        <is>
          <t>KF-M02-N2</t>
        </is>
      </c>
      <c r="F308" s="16" t="inlineStr">
        <is>
          <t>KF-M02-N2-B</t>
        </is>
      </c>
      <c r="G308" s="16" t="inlineStr">
        <is>
          <t>B03-B</t>
        </is>
      </c>
      <c r="H308" s="16" t="inlineStr">
        <is>
          <t>malla</t>
        </is>
      </c>
      <c r="I308" s="16" t="inlineStr">
        <is>
          <t>CORREGIBLE</t>
        </is>
      </c>
      <c r="J308" s="16" t="inlineStr">
        <is>
          <t>CORREGIBLE</t>
        </is>
      </c>
      <c r="K308" s="16" t="b">
        <v>1</v>
      </c>
      <c r="L308" s="16" t="b">
        <v>0</v>
      </c>
      <c r="M308" s="16" t="b">
        <v>1</v>
      </c>
      <c r="N308" s="16" t="b">
        <v>0</v>
      </c>
      <c r="O308" s="16" t="n">
        <v>529</v>
      </c>
      <c r="P308" s="16" t="n">
        <v>300.032917</v>
      </c>
      <c r="Q308" s="16" t="n">
        <v>3000</v>
      </c>
      <c r="R308" s="16" t="n">
        <v>2000</v>
      </c>
      <c r="S308" s="16" t="n">
        <v>0.5</v>
      </c>
      <c r="T308" s="16" t="n">
        <v>0.85</v>
      </c>
      <c r="U308" s="16" t="n">
        <v>0.75</v>
      </c>
      <c r="V308" s="16" t="n">
        <v>0.85</v>
      </c>
      <c r="W308" s="16" t="n">
        <v>0.75</v>
      </c>
      <c r="X308" s="16" t="n">
        <v>0.8</v>
      </c>
      <c r="Y308" s="16" t="n"/>
      <c r="Z308" s="16" t="n">
        <v>3.21522790934339</v>
      </c>
      <c r="AA308" s="16" t="n">
        <v>55.88807451840557</v>
      </c>
      <c r="AB308" s="16" t="n">
        <v>1000</v>
      </c>
      <c r="AC308" s="16" t="n">
        <v>1.5</v>
      </c>
      <c r="AD308" s="16" t="inlineStr">
        <is>
          <t>O2</t>
        </is>
      </c>
      <c r="AE308" s="16" t="n"/>
    </row>
    <row r="309">
      <c r="A309" s="16" t="inlineStr">
        <is>
          <t>KF-M02-N2-B-0097</t>
        </is>
      </c>
      <c r="B309" s="16" t="inlineStr">
        <is>
          <t>2.2</t>
        </is>
      </c>
      <c r="C309" s="16" t="inlineStr">
        <is>
          <t>2.2b</t>
        </is>
      </c>
      <c r="D309" s="16" t="inlineStr">
        <is>
          <t>bajar la fuente (T_fuente × P_baja)</t>
        </is>
      </c>
      <c r="E309" s="16" t="inlineStr">
        <is>
          <t>KF-M02-N2</t>
        </is>
      </c>
      <c r="F309" s="16" t="inlineStr">
        <is>
          <t>KF-M02-N2-B</t>
        </is>
      </c>
      <c r="G309" s="16" t="inlineStr">
        <is>
          <t>B03-B</t>
        </is>
      </c>
      <c r="H309" s="16" t="inlineStr">
        <is>
          <t>malla</t>
        </is>
      </c>
      <c r="I309" s="16" t="inlineStr">
        <is>
          <t>CORREGIBLE</t>
        </is>
      </c>
      <c r="J309" s="16" t="inlineStr">
        <is>
          <t>CORREGIBLE</t>
        </is>
      </c>
      <c r="K309" s="16" t="b">
        <v>1</v>
      </c>
      <c r="L309" s="16" t="b">
        <v>0</v>
      </c>
      <c r="M309" s="16" t="b">
        <v>1</v>
      </c>
      <c r="N309" s="16" t="b">
        <v>0</v>
      </c>
      <c r="O309" s="16" t="n">
        <v>560</v>
      </c>
      <c r="P309" s="16" t="n">
        <v>300.032917</v>
      </c>
      <c r="Q309" s="16" t="n">
        <v>3000</v>
      </c>
      <c r="R309" s="16" t="n">
        <v>545.4545454545455</v>
      </c>
      <c r="S309" s="16" t="n">
        <v>0.5</v>
      </c>
      <c r="T309" s="16" t="n">
        <v>0.85</v>
      </c>
      <c r="U309" s="16" t="n">
        <v>0.75</v>
      </c>
      <c r="V309" s="16" t="n">
        <v>0.85</v>
      </c>
      <c r="W309" s="16" t="n">
        <v>0.75</v>
      </c>
      <c r="X309" s="16" t="n">
        <v>0.8</v>
      </c>
      <c r="Y309" s="16" t="n"/>
      <c r="Z309" s="16" t="n">
        <v>11.44696626528743</v>
      </c>
      <c r="AA309" s="16" t="n">
        <v>206.4581024413119</v>
      </c>
      <c r="AB309" s="16" t="n">
        <v>2454.545454545455</v>
      </c>
      <c r="AC309" s="16" t="n">
        <v>5.5</v>
      </c>
      <c r="AD309" s="16" t="inlineStr">
        <is>
          <t>O2</t>
        </is>
      </c>
      <c r="AE309" s="16" t="n"/>
    </row>
    <row r="310">
      <c r="A310" s="16" t="inlineStr">
        <is>
          <t>KF-M02-N2-B-0098</t>
        </is>
      </c>
      <c r="B310" s="16" t="inlineStr">
        <is>
          <t>2.2</t>
        </is>
      </c>
      <c r="C310" s="16" t="inlineStr">
        <is>
          <t>2.2b</t>
        </is>
      </c>
      <c r="D310" s="16" t="inlineStr">
        <is>
          <t>bajar la fuente (T_fuente × P_baja)</t>
        </is>
      </c>
      <c r="E310" s="16" t="inlineStr">
        <is>
          <t>KF-M02-N2</t>
        </is>
      </c>
      <c r="F310" s="16" t="inlineStr">
        <is>
          <t>KF-M02-N2-B</t>
        </is>
      </c>
      <c r="G310" s="16" t="inlineStr">
        <is>
          <t>B03-B</t>
        </is>
      </c>
      <c r="H310" s="16" t="inlineStr">
        <is>
          <t>malla</t>
        </is>
      </c>
      <c r="I310" s="16" t="inlineStr">
        <is>
          <t>CORREGIBLE</t>
        </is>
      </c>
      <c r="J310" s="16" t="inlineStr">
        <is>
          <t>CORREGIBLE</t>
        </is>
      </c>
      <c r="K310" s="16" t="b">
        <v>1</v>
      </c>
      <c r="L310" s="16" t="b">
        <v>0</v>
      </c>
      <c r="M310" s="16" t="b">
        <v>1</v>
      </c>
      <c r="N310" s="16" t="b">
        <v>0</v>
      </c>
      <c r="O310" s="16" t="n">
        <v>560</v>
      </c>
      <c r="P310" s="16" t="n">
        <v>300.032917</v>
      </c>
      <c r="Q310" s="16" t="n">
        <v>3000</v>
      </c>
      <c r="R310" s="16" t="n">
        <v>690.909090909091</v>
      </c>
      <c r="S310" s="16" t="n">
        <v>0.5</v>
      </c>
      <c r="T310" s="16" t="n">
        <v>0.85</v>
      </c>
      <c r="U310" s="16" t="n">
        <v>0.75</v>
      </c>
      <c r="V310" s="16" t="n">
        <v>0.85</v>
      </c>
      <c r="W310" s="16" t="n">
        <v>0.75</v>
      </c>
      <c r="X310" s="16" t="n">
        <v>0.8</v>
      </c>
      <c r="Y310" s="16" t="n"/>
      <c r="Z310" s="16" t="n">
        <v>10.1355613172447</v>
      </c>
      <c r="AA310" s="16" t="n">
        <v>182.9820448216909</v>
      </c>
      <c r="AB310" s="16" t="n">
        <v>2309.090909090909</v>
      </c>
      <c r="AC310" s="16" t="n">
        <v>4.342105263157894</v>
      </c>
      <c r="AD310" s="16" t="inlineStr">
        <is>
          <t>O2</t>
        </is>
      </c>
      <c r="AE310" s="16" t="n"/>
    </row>
    <row r="311">
      <c r="A311" s="16" t="inlineStr">
        <is>
          <t>KF-M02-N2-B-0099</t>
        </is>
      </c>
      <c r="B311" s="16" t="inlineStr">
        <is>
          <t>2.2</t>
        </is>
      </c>
      <c r="C311" s="16" t="inlineStr">
        <is>
          <t>2.2b</t>
        </is>
      </c>
      <c r="D311" s="16" t="inlineStr">
        <is>
          <t>bajar la fuente (T_fuente × P_baja)</t>
        </is>
      </c>
      <c r="E311" s="16" t="inlineStr">
        <is>
          <t>KF-M02-N2</t>
        </is>
      </c>
      <c r="F311" s="16" t="inlineStr">
        <is>
          <t>KF-M02-N2-B</t>
        </is>
      </c>
      <c r="G311" s="16" t="inlineStr">
        <is>
          <t>B03-B</t>
        </is>
      </c>
      <c r="H311" s="16" t="inlineStr">
        <is>
          <t>malla</t>
        </is>
      </c>
      <c r="I311" s="16" t="inlineStr">
        <is>
          <t>CORREGIBLE</t>
        </is>
      </c>
      <c r="J311" s="16" t="inlineStr">
        <is>
          <t>CORREGIBLE</t>
        </is>
      </c>
      <c r="K311" s="16" t="b">
        <v>1</v>
      </c>
      <c r="L311" s="16" t="b">
        <v>0</v>
      </c>
      <c r="M311" s="16" t="b">
        <v>1</v>
      </c>
      <c r="N311" s="16" t="b">
        <v>0</v>
      </c>
      <c r="O311" s="16" t="n">
        <v>560</v>
      </c>
      <c r="P311" s="16" t="n">
        <v>300.032917</v>
      </c>
      <c r="Q311" s="16" t="n">
        <v>3000</v>
      </c>
      <c r="R311" s="16" t="n">
        <v>836.3636363636364</v>
      </c>
      <c r="S311" s="16" t="n">
        <v>0.5</v>
      </c>
      <c r="T311" s="16" t="n">
        <v>0.85</v>
      </c>
      <c r="U311" s="16" t="n">
        <v>0.75</v>
      </c>
      <c r="V311" s="16" t="n">
        <v>0.85</v>
      </c>
      <c r="W311" s="16" t="n">
        <v>0.75</v>
      </c>
      <c r="X311" s="16" t="n">
        <v>0.8</v>
      </c>
      <c r="Y311" s="16" t="n"/>
      <c r="Z311" s="16" t="n">
        <v>9.019568045389359</v>
      </c>
      <c r="AA311" s="16" t="n">
        <v>162.9123143311232</v>
      </c>
      <c r="AB311" s="16" t="n">
        <v>2163.636363636364</v>
      </c>
      <c r="AC311" s="16" t="n">
        <v>3.58695652173913</v>
      </c>
      <c r="AD311" s="16" t="inlineStr">
        <is>
          <t>O2</t>
        </is>
      </c>
      <c r="AE311" s="16" t="n"/>
    </row>
    <row r="312">
      <c r="A312" s="16" t="inlineStr">
        <is>
          <t>KF-M02-N2-B-0100</t>
        </is>
      </c>
      <c r="B312" s="16" t="inlineStr">
        <is>
          <t>2.2</t>
        </is>
      </c>
      <c r="C312" s="16" t="inlineStr">
        <is>
          <t>2.2b</t>
        </is>
      </c>
      <c r="D312" s="16" t="inlineStr">
        <is>
          <t>bajar la fuente (T_fuente × P_baja)</t>
        </is>
      </c>
      <c r="E312" s="16" t="inlineStr">
        <is>
          <t>KF-M02-N2</t>
        </is>
      </c>
      <c r="F312" s="16" t="inlineStr">
        <is>
          <t>KF-M02-N2-B</t>
        </is>
      </c>
      <c r="G312" s="16" t="inlineStr">
        <is>
          <t>B03-B</t>
        </is>
      </c>
      <c r="H312" s="16" t="inlineStr">
        <is>
          <t>malla</t>
        </is>
      </c>
      <c r="I312" s="16" t="inlineStr">
        <is>
          <t>CORREGIBLE</t>
        </is>
      </c>
      <c r="J312" s="16" t="inlineStr">
        <is>
          <t>CORREGIBLE</t>
        </is>
      </c>
      <c r="K312" s="16" t="b">
        <v>1</v>
      </c>
      <c r="L312" s="16" t="b">
        <v>0</v>
      </c>
      <c r="M312" s="16" t="b">
        <v>1</v>
      </c>
      <c r="N312" s="16" t="b">
        <v>0</v>
      </c>
      <c r="O312" s="16" t="n">
        <v>560</v>
      </c>
      <c r="P312" s="16" t="n">
        <v>300.032917</v>
      </c>
      <c r="Q312" s="16" t="n">
        <v>3000</v>
      </c>
      <c r="R312" s="16" t="n">
        <v>1127.272727272728</v>
      </c>
      <c r="S312" s="16" t="n">
        <v>0.5</v>
      </c>
      <c r="T312" s="16" t="n">
        <v>0.85</v>
      </c>
      <c r="U312" s="16" t="n">
        <v>0.75</v>
      </c>
      <c r="V312" s="16" t="n">
        <v>0.85</v>
      </c>
      <c r="W312" s="16" t="n">
        <v>0.75</v>
      </c>
      <c r="X312" s="16" t="n">
        <v>0.8</v>
      </c>
      <c r="Y312" s="16" t="n"/>
      <c r="Z312" s="16" t="n">
        <v>7.16760890824404</v>
      </c>
      <c r="AA312" s="16" t="n">
        <v>129.4826200370981</v>
      </c>
      <c r="AB312" s="16" t="n">
        <v>1872.727272727272</v>
      </c>
      <c r="AC312" s="16" t="n">
        <v>2.661290322580644</v>
      </c>
      <c r="AD312" s="16" t="inlineStr">
        <is>
          <t>O2</t>
        </is>
      </c>
      <c r="AE312" s="16" t="n"/>
    </row>
    <row r="313">
      <c r="A313" s="16" t="inlineStr">
        <is>
          <t>KF-M02-N2-B-0101</t>
        </is>
      </c>
      <c r="B313" s="16" t="inlineStr">
        <is>
          <t>2.2</t>
        </is>
      </c>
      <c r="C313" s="16" t="inlineStr">
        <is>
          <t>2.2b</t>
        </is>
      </c>
      <c r="D313" s="16" t="inlineStr">
        <is>
          <t>bajar la fuente (T_fuente × P_baja)</t>
        </is>
      </c>
      <c r="E313" s="16" t="inlineStr">
        <is>
          <t>KF-M02-N2</t>
        </is>
      </c>
      <c r="F313" s="16" t="inlineStr">
        <is>
          <t>KF-M02-N2-B</t>
        </is>
      </c>
      <c r="G313" s="16" t="inlineStr">
        <is>
          <t>B03-B</t>
        </is>
      </c>
      <c r="H313" s="16" t="inlineStr">
        <is>
          <t>malla</t>
        </is>
      </c>
      <c r="I313" s="16" t="inlineStr">
        <is>
          <t>CORREGIBLE</t>
        </is>
      </c>
      <c r="J313" s="16" t="inlineStr">
        <is>
          <t>CORREGIBLE</t>
        </is>
      </c>
      <c r="K313" s="16" t="b">
        <v>1</v>
      </c>
      <c r="L313" s="16" t="b">
        <v>0</v>
      </c>
      <c r="M313" s="16" t="b">
        <v>1</v>
      </c>
      <c r="N313" s="16" t="b">
        <v>0</v>
      </c>
      <c r="O313" s="16" t="n">
        <v>560</v>
      </c>
      <c r="P313" s="16" t="n">
        <v>300.032917</v>
      </c>
      <c r="Q313" s="16" t="n">
        <v>3000</v>
      </c>
      <c r="R313" s="16" t="n">
        <v>981.818181818182</v>
      </c>
      <c r="S313" s="16" t="n">
        <v>0.5</v>
      </c>
      <c r="T313" s="16" t="n">
        <v>0.85</v>
      </c>
      <c r="U313" s="16" t="n">
        <v>0.75</v>
      </c>
      <c r="V313" s="16" t="n">
        <v>0.85</v>
      </c>
      <c r="W313" s="16" t="n">
        <v>0.75</v>
      </c>
      <c r="X313" s="16" t="n">
        <v>0.8</v>
      </c>
      <c r="Y313" s="16" t="n"/>
      <c r="Z313" s="16" t="n">
        <v>8.041805625831589</v>
      </c>
      <c r="AA313" s="16" t="n">
        <v>145.2777205607617</v>
      </c>
      <c r="AB313" s="16" t="n">
        <v>2018.181818181818</v>
      </c>
      <c r="AC313" s="16" t="n">
        <v>3.055555555555555</v>
      </c>
      <c r="AD313" s="16" t="inlineStr">
        <is>
          <t>O2</t>
        </is>
      </c>
      <c r="AE313" s="16" t="n"/>
    </row>
    <row r="314">
      <c r="A314" s="16" t="inlineStr">
        <is>
          <t>KF-M02-N2-B-0102</t>
        </is>
      </c>
      <c r="B314" s="16" t="inlineStr">
        <is>
          <t>2.2</t>
        </is>
      </c>
      <c r="C314" s="16" t="inlineStr">
        <is>
          <t>2.2b</t>
        </is>
      </c>
      <c r="D314" s="16" t="inlineStr">
        <is>
          <t>bajar la fuente (T_fuente × P_baja)</t>
        </is>
      </c>
      <c r="E314" s="16" t="inlineStr">
        <is>
          <t>KF-M02-N2</t>
        </is>
      </c>
      <c r="F314" s="16" t="inlineStr">
        <is>
          <t>KF-M02-N2-B</t>
        </is>
      </c>
      <c r="G314" s="16" t="inlineStr">
        <is>
          <t>B03-B</t>
        </is>
      </c>
      <c r="H314" s="16" t="inlineStr">
        <is>
          <t>malla</t>
        </is>
      </c>
      <c r="I314" s="16" t="inlineStr">
        <is>
          <t>CORREGIBLE</t>
        </is>
      </c>
      <c r="J314" s="16" t="inlineStr">
        <is>
          <t>CORREGIBLE</t>
        </is>
      </c>
      <c r="K314" s="16" t="b">
        <v>1</v>
      </c>
      <c r="L314" s="16" t="b">
        <v>0</v>
      </c>
      <c r="M314" s="16" t="b">
        <v>1</v>
      </c>
      <c r="N314" s="16" t="b">
        <v>0</v>
      </c>
      <c r="O314" s="16" t="n">
        <v>560</v>
      </c>
      <c r="P314" s="16" t="n">
        <v>300.032917</v>
      </c>
      <c r="Q314" s="16" t="n">
        <v>3000</v>
      </c>
      <c r="R314" s="16" t="n">
        <v>1272.727272727273</v>
      </c>
      <c r="S314" s="16" t="n">
        <v>0.5</v>
      </c>
      <c r="T314" s="16" t="n">
        <v>0.85</v>
      </c>
      <c r="U314" s="16" t="n">
        <v>0.75</v>
      </c>
      <c r="V314" s="16" t="n">
        <v>0.85</v>
      </c>
      <c r="W314" s="16" t="n">
        <v>0.75</v>
      </c>
      <c r="X314" s="16" t="n">
        <v>0.8</v>
      </c>
      <c r="Y314" s="16" t="n"/>
      <c r="Z314" s="16" t="n">
        <v>6.374260421987341</v>
      </c>
      <c r="AA314" s="16" t="n">
        <v>115.1329634463087</v>
      </c>
      <c r="AB314" s="16" t="n">
        <v>1727.272727272727</v>
      </c>
      <c r="AC314" s="16" t="n">
        <v>2.357142857142857</v>
      </c>
      <c r="AD314" s="16" t="inlineStr">
        <is>
          <t>O2</t>
        </is>
      </c>
      <c r="AE314" s="16" t="n"/>
    </row>
    <row r="315">
      <c r="A315" s="16" t="inlineStr">
        <is>
          <t>KF-M02-N2-B-0103</t>
        </is>
      </c>
      <c r="B315" s="16" t="inlineStr">
        <is>
          <t>2.2</t>
        </is>
      </c>
      <c r="C315" s="16" t="inlineStr">
        <is>
          <t>2.2b</t>
        </is>
      </c>
      <c r="D315" s="16" t="inlineStr">
        <is>
          <t>bajar la fuente (T_fuente × P_baja)</t>
        </is>
      </c>
      <c r="E315" s="16" t="inlineStr">
        <is>
          <t>KF-M02-N2</t>
        </is>
      </c>
      <c r="F315" s="16" t="inlineStr">
        <is>
          <t>KF-M02-N2-B</t>
        </is>
      </c>
      <c r="G315" s="16" t="inlineStr">
        <is>
          <t>B03-B</t>
        </is>
      </c>
      <c r="H315" s="16" t="inlineStr">
        <is>
          <t>malla</t>
        </is>
      </c>
      <c r="I315" s="16" t="inlineStr">
        <is>
          <t>CORREGIBLE</t>
        </is>
      </c>
      <c r="J315" s="16" t="inlineStr">
        <is>
          <t>CORREGIBLE</t>
        </is>
      </c>
      <c r="K315" s="16" t="b">
        <v>1</v>
      </c>
      <c r="L315" s="16" t="b">
        <v>0</v>
      </c>
      <c r="M315" s="16" t="b">
        <v>1</v>
      </c>
      <c r="N315" s="16" t="b">
        <v>0</v>
      </c>
      <c r="O315" s="16" t="n">
        <v>560</v>
      </c>
      <c r="P315" s="16" t="n">
        <v>300.032917</v>
      </c>
      <c r="Q315" s="16" t="n">
        <v>3000</v>
      </c>
      <c r="R315" s="16" t="n">
        <v>1418.181818181818</v>
      </c>
      <c r="S315" s="16" t="n">
        <v>0.5</v>
      </c>
      <c r="T315" s="16" t="n">
        <v>0.85</v>
      </c>
      <c r="U315" s="16" t="n">
        <v>0.75</v>
      </c>
      <c r="V315" s="16" t="n">
        <v>0.85</v>
      </c>
      <c r="W315" s="16" t="n">
        <v>0.75</v>
      </c>
      <c r="X315" s="16" t="n">
        <v>0.8</v>
      </c>
      <c r="Y315" s="16" t="n"/>
      <c r="Z315" s="16" t="n">
        <v>5.64599679449084</v>
      </c>
      <c r="AA315" s="16" t="n">
        <v>101.953234891716</v>
      </c>
      <c r="AB315" s="16" t="n">
        <v>1581.818181818182</v>
      </c>
      <c r="AC315" s="16" t="n">
        <v>2.115384615384615</v>
      </c>
      <c r="AD315" s="16" t="inlineStr">
        <is>
          <t>O2</t>
        </is>
      </c>
      <c r="AE315" s="16" t="n"/>
    </row>
    <row r="316">
      <c r="A316" s="16" t="inlineStr">
        <is>
          <t>KF-M02-N2-B-0104</t>
        </is>
      </c>
      <c r="B316" s="16" t="inlineStr">
        <is>
          <t>2.2</t>
        </is>
      </c>
      <c r="C316" s="16" t="inlineStr">
        <is>
          <t>2.2b</t>
        </is>
      </c>
      <c r="D316" s="16" t="inlineStr">
        <is>
          <t>bajar la fuente (T_fuente × P_baja)</t>
        </is>
      </c>
      <c r="E316" s="16" t="inlineStr">
        <is>
          <t>KF-M02-N2</t>
        </is>
      </c>
      <c r="F316" s="16" t="inlineStr">
        <is>
          <t>KF-M02-N2-B</t>
        </is>
      </c>
      <c r="G316" s="16" t="inlineStr">
        <is>
          <t>B03-B</t>
        </is>
      </c>
      <c r="H316" s="16" t="inlineStr">
        <is>
          <t>malla</t>
        </is>
      </c>
      <c r="I316" s="16" t="inlineStr">
        <is>
          <t>CORREGIBLE</t>
        </is>
      </c>
      <c r="J316" s="16" t="inlineStr">
        <is>
          <t>CORREGIBLE</t>
        </is>
      </c>
      <c r="K316" s="16" t="b">
        <v>1</v>
      </c>
      <c r="L316" s="16" t="b">
        <v>0</v>
      </c>
      <c r="M316" s="16" t="b">
        <v>1</v>
      </c>
      <c r="N316" s="16" t="b">
        <v>0</v>
      </c>
      <c r="O316" s="16" t="n">
        <v>560</v>
      </c>
      <c r="P316" s="16" t="n">
        <v>300.032917</v>
      </c>
      <c r="Q316" s="16" t="n">
        <v>3000</v>
      </c>
      <c r="R316" s="16" t="n">
        <v>1563.636363636364</v>
      </c>
      <c r="S316" s="16" t="n">
        <v>0.5</v>
      </c>
      <c r="T316" s="16" t="n">
        <v>0.85</v>
      </c>
      <c r="U316" s="16" t="n">
        <v>0.75</v>
      </c>
      <c r="V316" s="16" t="n">
        <v>0.85</v>
      </c>
      <c r="W316" s="16" t="n">
        <v>0.75</v>
      </c>
      <c r="X316" s="16" t="n">
        <v>0.8</v>
      </c>
      <c r="Y316" s="16" t="n"/>
      <c r="Z316" s="16" t="n">
        <v>4.971399212737429</v>
      </c>
      <c r="AA316" s="16" t="n">
        <v>89.74257907061309</v>
      </c>
      <c r="AB316" s="16" t="n">
        <v>1436.363636363636</v>
      </c>
      <c r="AC316" s="16" t="n">
        <v>1.918604651162791</v>
      </c>
      <c r="AD316" s="16" t="inlineStr">
        <is>
          <t>O2</t>
        </is>
      </c>
      <c r="AE316" s="16" t="n"/>
    </row>
    <row r="317">
      <c r="A317" s="16" t="inlineStr">
        <is>
          <t>KF-M02-N2-B-0105</t>
        </is>
      </c>
      <c r="B317" s="16" t="inlineStr">
        <is>
          <t>2.2</t>
        </is>
      </c>
      <c r="C317" s="16" t="inlineStr">
        <is>
          <t>2.2b</t>
        </is>
      </c>
      <c r="D317" s="16" t="inlineStr">
        <is>
          <t>bajar la fuente (T_fuente × P_baja)</t>
        </is>
      </c>
      <c r="E317" s="16" t="inlineStr">
        <is>
          <t>KF-M02-N2</t>
        </is>
      </c>
      <c r="F317" s="16" t="inlineStr">
        <is>
          <t>KF-M02-N2-B</t>
        </is>
      </c>
      <c r="G317" s="16" t="inlineStr">
        <is>
          <t>B03-B</t>
        </is>
      </c>
      <c r="H317" s="16" t="inlineStr">
        <is>
          <t>malla</t>
        </is>
      </c>
      <c r="I317" s="16" t="inlineStr">
        <is>
          <t>CORREGIBLE</t>
        </is>
      </c>
      <c r="J317" s="16" t="inlineStr">
        <is>
          <t>CORREGIBLE</t>
        </is>
      </c>
      <c r="K317" s="16" t="b">
        <v>1</v>
      </c>
      <c r="L317" s="16" t="b">
        <v>0</v>
      </c>
      <c r="M317" s="16" t="b">
        <v>1</v>
      </c>
      <c r="N317" s="16" t="b">
        <v>0</v>
      </c>
      <c r="O317" s="16" t="n">
        <v>560</v>
      </c>
      <c r="P317" s="16" t="n">
        <v>300.032917</v>
      </c>
      <c r="Q317" s="16" t="n">
        <v>3000</v>
      </c>
      <c r="R317" s="16" t="n">
        <v>1709.090909090909</v>
      </c>
      <c r="S317" s="16" t="n">
        <v>0.5</v>
      </c>
      <c r="T317" s="16" t="n">
        <v>0.85</v>
      </c>
      <c r="U317" s="16" t="n">
        <v>0.75</v>
      </c>
      <c r="V317" s="16" t="n">
        <v>0.85</v>
      </c>
      <c r="W317" s="16" t="n">
        <v>0.75</v>
      </c>
      <c r="X317" s="16" t="n">
        <v>0.8</v>
      </c>
      <c r="Y317" s="16" t="n"/>
      <c r="Z317" s="16" t="n">
        <v>4.34190933211638</v>
      </c>
      <c r="AA317" s="16" t="n">
        <v>78.34963585626696</v>
      </c>
      <c r="AB317" s="16" t="n">
        <v>1290.909090909091</v>
      </c>
      <c r="AC317" s="16" t="n">
        <v>1.75531914893617</v>
      </c>
      <c r="AD317" s="16" t="inlineStr">
        <is>
          <t>O2</t>
        </is>
      </c>
      <c r="AE317" s="16" t="n"/>
    </row>
    <row r="318">
      <c r="A318" s="16" t="inlineStr">
        <is>
          <t>KF-M02-N2-B-0106</t>
        </is>
      </c>
      <c r="B318" s="16" t="inlineStr">
        <is>
          <t>2.2</t>
        </is>
      </c>
      <c r="C318" s="16" t="inlineStr">
        <is>
          <t>2.2b</t>
        </is>
      </c>
      <c r="D318" s="16" t="inlineStr">
        <is>
          <t>bajar la fuente (T_fuente × P_baja)</t>
        </is>
      </c>
      <c r="E318" s="16" t="inlineStr">
        <is>
          <t>KF-M02-N2</t>
        </is>
      </c>
      <c r="F318" s="16" t="inlineStr">
        <is>
          <t>KF-M02-N2-B</t>
        </is>
      </c>
      <c r="G318" s="16" t="inlineStr">
        <is>
          <t>B03-B</t>
        </is>
      </c>
      <c r="H318" s="16" t="inlineStr">
        <is>
          <t>malla</t>
        </is>
      </c>
      <c r="I318" s="16" t="inlineStr">
        <is>
          <t>CORREGIBLE</t>
        </is>
      </c>
      <c r="J318" s="16" t="inlineStr">
        <is>
          <t>CORREGIBLE</t>
        </is>
      </c>
      <c r="K318" s="16" t="b">
        <v>1</v>
      </c>
      <c r="L318" s="16" t="b">
        <v>0</v>
      </c>
      <c r="M318" s="16" t="b">
        <v>1</v>
      </c>
      <c r="N318" s="16" t="b">
        <v>0</v>
      </c>
      <c r="O318" s="16" t="n">
        <v>560</v>
      </c>
      <c r="P318" s="16" t="n">
        <v>300.032917</v>
      </c>
      <c r="Q318" s="16" t="n">
        <v>3000</v>
      </c>
      <c r="R318" s="16" t="n">
        <v>1854.545454545455</v>
      </c>
      <c r="S318" s="16" t="n">
        <v>0.5</v>
      </c>
      <c r="T318" s="16" t="n">
        <v>0.85</v>
      </c>
      <c r="U318" s="16" t="n">
        <v>0.75</v>
      </c>
      <c r="V318" s="16" t="n">
        <v>0.85</v>
      </c>
      <c r="W318" s="16" t="n">
        <v>0.75</v>
      </c>
      <c r="X318" s="16" t="n">
        <v>0.8</v>
      </c>
      <c r="Y318" s="16" t="n"/>
      <c r="Z318" s="16" t="n">
        <v>3.75093467009537</v>
      </c>
      <c r="AA318" s="16" t="n">
        <v>67.65725289277461</v>
      </c>
      <c r="AB318" s="16" t="n">
        <v>1145.454545454545</v>
      </c>
      <c r="AC318" s="16" t="n">
        <v>1.617647058823529</v>
      </c>
      <c r="AD318" s="16" t="inlineStr">
        <is>
          <t>O2</t>
        </is>
      </c>
      <c r="AE318" s="16" t="n"/>
    </row>
    <row r="319">
      <c r="A319" s="16" t="inlineStr">
        <is>
          <t>KF-M02-N2-B-0107</t>
        </is>
      </c>
      <c r="B319" s="16" t="inlineStr">
        <is>
          <t>2.2</t>
        </is>
      </c>
      <c r="C319" s="16" t="inlineStr">
        <is>
          <t>2.2b</t>
        </is>
      </c>
      <c r="D319" s="16" t="inlineStr">
        <is>
          <t>bajar la fuente (T_fuente × P_baja)</t>
        </is>
      </c>
      <c r="E319" s="16" t="inlineStr">
        <is>
          <t>KF-M02-N2</t>
        </is>
      </c>
      <c r="F319" s="16" t="inlineStr">
        <is>
          <t>KF-M02-N2-B</t>
        </is>
      </c>
      <c r="G319" s="16" t="inlineStr">
        <is>
          <t>B03-B</t>
        </is>
      </c>
      <c r="H319" s="16" t="inlineStr">
        <is>
          <t>malla</t>
        </is>
      </c>
      <c r="I319" s="16" t="inlineStr">
        <is>
          <t>CORREGIBLE</t>
        </is>
      </c>
      <c r="J319" s="16" t="inlineStr">
        <is>
          <t>CORREGIBLE</t>
        </is>
      </c>
      <c r="K319" s="16" t="b">
        <v>1</v>
      </c>
      <c r="L319" s="16" t="b">
        <v>0</v>
      </c>
      <c r="M319" s="16" t="b">
        <v>1</v>
      </c>
      <c r="N319" s="16" t="b">
        <v>0</v>
      </c>
      <c r="O319" s="16" t="n">
        <v>560</v>
      </c>
      <c r="P319" s="16" t="n">
        <v>300.032917</v>
      </c>
      <c r="Q319" s="16" t="n">
        <v>3000</v>
      </c>
      <c r="R319" s="16" t="n">
        <v>2000</v>
      </c>
      <c r="S319" s="16" t="n">
        <v>0.5</v>
      </c>
      <c r="T319" s="16" t="n">
        <v>0.85</v>
      </c>
      <c r="U319" s="16" t="n">
        <v>0.75</v>
      </c>
      <c r="V319" s="16" t="n">
        <v>0.85</v>
      </c>
      <c r="W319" s="16" t="n">
        <v>0.75</v>
      </c>
      <c r="X319" s="16" t="n">
        <v>0.8</v>
      </c>
      <c r="Y319" s="16" t="n"/>
      <c r="Z319" s="16" t="n">
        <v>3.19327863396819</v>
      </c>
      <c r="AA319" s="16" t="n">
        <v>57.57272474535024</v>
      </c>
      <c r="AB319" s="16" t="n">
        <v>1000</v>
      </c>
      <c r="AC319" s="16" t="n">
        <v>1.5</v>
      </c>
      <c r="AD319" s="16" t="inlineStr">
        <is>
          <t>O2</t>
        </is>
      </c>
      <c r="AE319" s="16" t="n"/>
    </row>
    <row r="320">
      <c r="A320" s="16" t="inlineStr">
        <is>
          <t>KF-M02-N2-B-0108</t>
        </is>
      </c>
      <c r="B320" s="16" t="inlineStr">
        <is>
          <t>2.2</t>
        </is>
      </c>
      <c r="C320" s="16" t="inlineStr">
        <is>
          <t>2.2b</t>
        </is>
      </c>
      <c r="D320" s="16" t="inlineStr">
        <is>
          <t>bajar la fuente (T_fuente × P_baja)</t>
        </is>
      </c>
      <c r="E320" s="16" t="inlineStr">
        <is>
          <t>KF-M02-N2</t>
        </is>
      </c>
      <c r="F320" s="16" t="inlineStr">
        <is>
          <t>KF-M02-N2-B</t>
        </is>
      </c>
      <c r="G320" s="16" t="inlineStr">
        <is>
          <t>B03-B</t>
        </is>
      </c>
      <c r="H320" s="16" t="inlineStr">
        <is>
          <t>biseccion</t>
        </is>
      </c>
      <c r="I320" s="16" t="inlineStr">
        <is>
          <t>KALINA</t>
        </is>
      </c>
      <c r="J320" s="16" t="inlineStr">
        <is>
          <t>KALINA</t>
        </is>
      </c>
      <c r="K320" s="16" t="b">
        <v>1</v>
      </c>
      <c r="L320" s="16" t="b">
        <v>1</v>
      </c>
      <c r="M320" s="16" t="b">
        <v>0</v>
      </c>
      <c r="N320" s="16" t="b">
        <v>0</v>
      </c>
      <c r="O320" s="16" t="n">
        <v>403</v>
      </c>
      <c r="P320" s="16" t="n">
        <v>300.032917</v>
      </c>
      <c r="Q320" s="16" t="n">
        <v>3000</v>
      </c>
      <c r="R320" s="16" t="n">
        <v>618.1818181818182</v>
      </c>
      <c r="S320" s="16" t="n">
        <v>0.5</v>
      </c>
      <c r="T320" s="16" t="n">
        <v>0.85</v>
      </c>
      <c r="U320" s="16" t="n">
        <v>0.75</v>
      </c>
      <c r="V320" s="16" t="n">
        <v>0.85</v>
      </c>
      <c r="W320" s="16" t="n">
        <v>0.75</v>
      </c>
      <c r="X320" s="16" t="n">
        <v>0.8</v>
      </c>
      <c r="Y320" s="16" t="n"/>
      <c r="Z320" s="16" t="n">
        <v>8.023714951508429</v>
      </c>
      <c r="AA320" s="16" t="n">
        <v>24.53347814378921</v>
      </c>
      <c r="AB320" s="16" t="n">
        <v>2381.818181818182</v>
      </c>
      <c r="AC320" s="16" t="n">
        <v>4.852941176470588</v>
      </c>
      <c r="AD320" s="16" t="n"/>
      <c r="AE320" s="16" t="n"/>
    </row>
    <row r="321">
      <c r="A321" s="16" t="inlineStr">
        <is>
          <t>KF-M02-N2-B-0109</t>
        </is>
      </c>
      <c r="B321" s="16" t="inlineStr">
        <is>
          <t>2.2</t>
        </is>
      </c>
      <c r="C321" s="16" t="inlineStr">
        <is>
          <t>2.2b</t>
        </is>
      </c>
      <c r="D321" s="16" t="inlineStr">
        <is>
          <t>bajar la fuente (T_fuente × P_baja)</t>
        </is>
      </c>
      <c r="E321" s="16" t="inlineStr">
        <is>
          <t>KF-M02-N2</t>
        </is>
      </c>
      <c r="F321" s="16" t="inlineStr">
        <is>
          <t>KF-M02-N2-B</t>
        </is>
      </c>
      <c r="G321" s="16" t="inlineStr">
        <is>
          <t>B03-B</t>
        </is>
      </c>
      <c r="H321" s="16" t="inlineStr">
        <is>
          <t>biseccion</t>
        </is>
      </c>
      <c r="I321" s="16" t="inlineStr">
        <is>
          <t>KALINA</t>
        </is>
      </c>
      <c r="J321" s="16" t="inlineStr">
        <is>
          <t>KALINA</t>
        </is>
      </c>
      <c r="K321" s="16" t="b">
        <v>1</v>
      </c>
      <c r="L321" s="16" t="b">
        <v>1</v>
      </c>
      <c r="M321" s="16" t="b">
        <v>0</v>
      </c>
      <c r="N321" s="16" t="b">
        <v>0</v>
      </c>
      <c r="O321" s="16" t="n">
        <v>403</v>
      </c>
      <c r="P321" s="16" t="n">
        <v>300.032917</v>
      </c>
      <c r="Q321" s="16" t="n">
        <v>3000</v>
      </c>
      <c r="R321" s="16" t="n">
        <v>618.1818181818182</v>
      </c>
      <c r="S321" s="16" t="n">
        <v>0.5</v>
      </c>
      <c r="T321" s="16" t="n">
        <v>0.85</v>
      </c>
      <c r="U321" s="16" t="n">
        <v>0.75</v>
      </c>
      <c r="V321" s="16" t="n">
        <v>0.85</v>
      </c>
      <c r="W321" s="16" t="n">
        <v>0.75</v>
      </c>
      <c r="X321" s="16" t="n">
        <v>0.8</v>
      </c>
      <c r="Y321" s="16" t="n"/>
      <c r="Z321" s="16" t="n">
        <v>8.023714951508429</v>
      </c>
      <c r="AA321" s="16" t="n">
        <v>24.53347814378921</v>
      </c>
      <c r="AB321" s="16" t="n">
        <v>2381.818181818182</v>
      </c>
      <c r="AC321" s="16" t="n">
        <v>4.852941176470588</v>
      </c>
      <c r="AD321" s="16" t="n"/>
      <c r="AE321" s="16" t="n"/>
    </row>
    <row r="322">
      <c r="A322" s="16" t="inlineStr">
        <is>
          <t>KF-M02-N2-B-0110</t>
        </is>
      </c>
      <c r="B322" s="16" t="inlineStr">
        <is>
          <t>2.2</t>
        </is>
      </c>
      <c r="C322" s="16" t="inlineStr">
        <is>
          <t>2.2b</t>
        </is>
      </c>
      <c r="D322" s="16" t="inlineStr">
        <is>
          <t>bajar la fuente (T_fuente × P_baja)</t>
        </is>
      </c>
      <c r="E322" s="16" t="inlineStr">
        <is>
          <t>KF-M02-N2</t>
        </is>
      </c>
      <c r="F322" s="16" t="inlineStr">
        <is>
          <t>KF-M02-N2-B</t>
        </is>
      </c>
      <c r="G322" s="16" t="inlineStr">
        <is>
          <t>B03-B</t>
        </is>
      </c>
      <c r="H322" s="16" t="inlineStr">
        <is>
          <t>biseccion</t>
        </is>
      </c>
      <c r="I322" s="16" t="inlineStr">
        <is>
          <t>KALINA</t>
        </is>
      </c>
      <c r="J322" s="16" t="inlineStr">
        <is>
          <t>KALINA</t>
        </is>
      </c>
      <c r="K322" s="16" t="b">
        <v>1</v>
      </c>
      <c r="L322" s="16" t="b">
        <v>1</v>
      </c>
      <c r="M322" s="16" t="b">
        <v>0</v>
      </c>
      <c r="N322" s="16" t="b">
        <v>0</v>
      </c>
      <c r="O322" s="16" t="n">
        <v>390</v>
      </c>
      <c r="P322" s="16" t="n">
        <v>300.032917</v>
      </c>
      <c r="Q322" s="16" t="n">
        <v>3000</v>
      </c>
      <c r="R322" s="16" t="n">
        <v>472.7272727272728</v>
      </c>
      <c r="S322" s="16" t="n">
        <v>0.5</v>
      </c>
      <c r="T322" s="16" t="n">
        <v>0.85</v>
      </c>
      <c r="U322" s="16" t="n">
        <v>0.75</v>
      </c>
      <c r="V322" s="16" t="n">
        <v>0.85</v>
      </c>
      <c r="W322" s="16" t="n">
        <v>0.75</v>
      </c>
      <c r="X322" s="16" t="n">
        <v>0.8</v>
      </c>
      <c r="Y322" s="16" t="n"/>
      <c r="Z322" s="16" t="n">
        <v>2.33189171859756</v>
      </c>
      <c r="AA322" s="16" t="n">
        <v>3.380480026732658</v>
      </c>
      <c r="AB322" s="16" t="n">
        <v>2527.272727272727</v>
      </c>
      <c r="AC322" s="16" t="n">
        <v>6.346153846153845</v>
      </c>
      <c r="AD322" s="16" t="n"/>
      <c r="AE322" s="16" t="n"/>
    </row>
    <row r="323">
      <c r="A323" s="16" t="inlineStr">
        <is>
          <t>KF-M02-N2-B-0111</t>
        </is>
      </c>
      <c r="B323" s="16" t="inlineStr">
        <is>
          <t>2.2</t>
        </is>
      </c>
      <c r="C323" s="16" t="inlineStr">
        <is>
          <t>2.2b</t>
        </is>
      </c>
      <c r="D323" s="16" t="inlineStr">
        <is>
          <t>bajar la fuente (T_fuente × P_baja)</t>
        </is>
      </c>
      <c r="E323" s="16" t="inlineStr">
        <is>
          <t>KF-M02-N2</t>
        </is>
      </c>
      <c r="F323" s="16" t="inlineStr">
        <is>
          <t>KF-M02-N2-B</t>
        </is>
      </c>
      <c r="G323" s="16" t="inlineStr">
        <is>
          <t>B03-B</t>
        </is>
      </c>
      <c r="H323" s="16" t="inlineStr">
        <is>
          <t>biseccion</t>
        </is>
      </c>
      <c r="I323" s="16" t="inlineStr">
        <is>
          <t>KALINA</t>
        </is>
      </c>
      <c r="J323" s="16" t="inlineStr">
        <is>
          <t>KALINA</t>
        </is>
      </c>
      <c r="K323" s="16" t="b">
        <v>1</v>
      </c>
      <c r="L323" s="16" t="b">
        <v>1</v>
      </c>
      <c r="M323" s="16" t="b">
        <v>0</v>
      </c>
      <c r="N323" s="16" t="b">
        <v>0</v>
      </c>
      <c r="O323" s="16" t="n">
        <v>390</v>
      </c>
      <c r="P323" s="16" t="n">
        <v>300.032917</v>
      </c>
      <c r="Q323" s="16" t="n">
        <v>3000</v>
      </c>
      <c r="R323" s="16" t="n">
        <v>472.7272727272728</v>
      </c>
      <c r="S323" s="16" t="n">
        <v>0.5</v>
      </c>
      <c r="T323" s="16" t="n">
        <v>0.85</v>
      </c>
      <c r="U323" s="16" t="n">
        <v>0.75</v>
      </c>
      <c r="V323" s="16" t="n">
        <v>0.85</v>
      </c>
      <c r="W323" s="16" t="n">
        <v>0.75</v>
      </c>
      <c r="X323" s="16" t="n">
        <v>0.8</v>
      </c>
      <c r="Y323" s="16" t="n"/>
      <c r="Z323" s="16" t="n">
        <v>2.33189171859756</v>
      </c>
      <c r="AA323" s="16" t="n">
        <v>3.380480026732658</v>
      </c>
      <c r="AB323" s="16" t="n">
        <v>2527.272727272727</v>
      </c>
      <c r="AC323" s="16" t="n">
        <v>6.346153846153845</v>
      </c>
      <c r="AD323" s="16" t="n"/>
      <c r="AE323" s="16" t="n"/>
    </row>
    <row r="324">
      <c r="A324" s="16" t="inlineStr">
        <is>
          <t>KF-M02-N2-B-0112</t>
        </is>
      </c>
      <c r="B324" s="16" t="inlineStr">
        <is>
          <t>2.2</t>
        </is>
      </c>
      <c r="C324" s="16" t="inlineStr">
        <is>
          <t>2.2b</t>
        </is>
      </c>
      <c r="D324" s="16" t="inlineStr">
        <is>
          <t>bajar la fuente (T_fuente × P_baja)</t>
        </is>
      </c>
      <c r="E324" s="16" t="inlineStr">
        <is>
          <t>KF-M02-N2</t>
        </is>
      </c>
      <c r="F324" s="16" t="inlineStr">
        <is>
          <t>KF-M02-N2-B</t>
        </is>
      </c>
      <c r="G324" s="16" t="inlineStr">
        <is>
          <t>B03-B</t>
        </is>
      </c>
      <c r="H324" s="16" t="inlineStr">
        <is>
          <t>biseccion</t>
        </is>
      </c>
      <c r="I324" s="16" t="inlineStr">
        <is>
          <t>KALINA</t>
        </is>
      </c>
      <c r="J324" s="16" t="inlineStr">
        <is>
          <t>KALINA</t>
        </is>
      </c>
      <c r="K324" s="16" t="b">
        <v>1</v>
      </c>
      <c r="L324" s="16" t="b">
        <v>1</v>
      </c>
      <c r="M324" s="16" t="b">
        <v>0</v>
      </c>
      <c r="N324" s="16" t="b">
        <v>0</v>
      </c>
      <c r="O324" s="16" t="n">
        <v>420</v>
      </c>
      <c r="P324" s="16" t="n">
        <v>300.032917</v>
      </c>
      <c r="Q324" s="16" t="n">
        <v>3000</v>
      </c>
      <c r="R324" s="16" t="n">
        <v>763.6363636363637</v>
      </c>
      <c r="S324" s="16" t="n">
        <v>0.5</v>
      </c>
      <c r="T324" s="16" t="n">
        <v>0.85</v>
      </c>
      <c r="U324" s="16" t="n">
        <v>0.75</v>
      </c>
      <c r="V324" s="16" t="n">
        <v>0.85</v>
      </c>
      <c r="W324" s="16" t="n">
        <v>0.75</v>
      </c>
      <c r="X324" s="16" t="n">
        <v>0.8</v>
      </c>
      <c r="Y324" s="16" t="n"/>
      <c r="Z324" s="16" t="n">
        <v>8.923888289858969</v>
      </c>
      <c r="AA324" s="16" t="n">
        <v>44.85207402745763</v>
      </c>
      <c r="AB324" s="16" t="n">
        <v>2236.363636363636</v>
      </c>
      <c r="AC324" s="16" t="n">
        <v>3.928571428571428</v>
      </c>
      <c r="AD324" s="16" t="n"/>
      <c r="AE324" s="16" t="n"/>
    </row>
    <row r="325">
      <c r="A325" s="16" t="inlineStr">
        <is>
          <t>KF-M02-N2-B-0113</t>
        </is>
      </c>
      <c r="B325" s="16" t="inlineStr">
        <is>
          <t>2.2</t>
        </is>
      </c>
      <c r="C325" s="16" t="inlineStr">
        <is>
          <t>2.2b</t>
        </is>
      </c>
      <c r="D325" s="16" t="inlineStr">
        <is>
          <t>bajar la fuente (T_fuente × P_baja)</t>
        </is>
      </c>
      <c r="E325" s="16" t="inlineStr">
        <is>
          <t>KF-M02-N2</t>
        </is>
      </c>
      <c r="F325" s="16" t="inlineStr">
        <is>
          <t>KF-M02-N2-B</t>
        </is>
      </c>
      <c r="G325" s="16" t="inlineStr">
        <is>
          <t>B03-B</t>
        </is>
      </c>
      <c r="H325" s="16" t="inlineStr">
        <is>
          <t>biseccion</t>
        </is>
      </c>
      <c r="I325" s="16" t="inlineStr">
        <is>
          <t>KALINA</t>
        </is>
      </c>
      <c r="J325" s="16" t="inlineStr">
        <is>
          <t>KALINA</t>
        </is>
      </c>
      <c r="K325" s="16" t="b">
        <v>1</v>
      </c>
      <c r="L325" s="16" t="b">
        <v>1</v>
      </c>
      <c r="M325" s="16" t="b">
        <v>0</v>
      </c>
      <c r="N325" s="16" t="b">
        <v>0</v>
      </c>
      <c r="O325" s="16" t="n">
        <v>420</v>
      </c>
      <c r="P325" s="16" t="n">
        <v>300.032917</v>
      </c>
      <c r="Q325" s="16" t="n">
        <v>3000</v>
      </c>
      <c r="R325" s="16" t="n">
        <v>763.6363636363637</v>
      </c>
      <c r="S325" s="16" t="n">
        <v>0.5</v>
      </c>
      <c r="T325" s="16" t="n">
        <v>0.85</v>
      </c>
      <c r="U325" s="16" t="n">
        <v>0.75</v>
      </c>
      <c r="V325" s="16" t="n">
        <v>0.85</v>
      </c>
      <c r="W325" s="16" t="n">
        <v>0.75</v>
      </c>
      <c r="X325" s="16" t="n">
        <v>0.8</v>
      </c>
      <c r="Y325" s="16" t="n"/>
      <c r="Z325" s="16" t="n">
        <v>8.923888289858969</v>
      </c>
      <c r="AA325" s="16" t="n">
        <v>44.85207402745763</v>
      </c>
      <c r="AB325" s="16" t="n">
        <v>2236.363636363636</v>
      </c>
      <c r="AC325" s="16" t="n">
        <v>3.928571428571428</v>
      </c>
      <c r="AD325" s="16" t="n"/>
      <c r="AE325" s="16" t="n"/>
    </row>
    <row r="326">
      <c r="A326" s="16" t="inlineStr">
        <is>
          <t>KF-M02-N2-B-0114</t>
        </is>
      </c>
      <c r="B326" s="16" t="inlineStr">
        <is>
          <t>2.2</t>
        </is>
      </c>
      <c r="C326" s="16" t="inlineStr">
        <is>
          <t>2.2b</t>
        </is>
      </c>
      <c r="D326" s="16" t="inlineStr">
        <is>
          <t>bajar la fuente (T_fuente × P_baja)</t>
        </is>
      </c>
      <c r="E326" s="16" t="inlineStr">
        <is>
          <t>KF-M02-N2</t>
        </is>
      </c>
      <c r="F326" s="16" t="inlineStr">
        <is>
          <t>KF-M02-N2-B</t>
        </is>
      </c>
      <c r="G326" s="16" t="inlineStr">
        <is>
          <t>B03-B</t>
        </is>
      </c>
      <c r="H326" s="16" t="inlineStr">
        <is>
          <t>biseccion</t>
        </is>
      </c>
      <c r="I326" s="16" t="inlineStr">
        <is>
          <t>CORREGIBLE</t>
        </is>
      </c>
      <c r="J326" s="16" t="inlineStr">
        <is>
          <t>CORREGIBLE</t>
        </is>
      </c>
      <c r="K326" s="16" t="b">
        <v>1</v>
      </c>
      <c r="L326" s="16" t="b">
        <v>0</v>
      </c>
      <c r="M326" s="16" t="b">
        <v>1</v>
      </c>
      <c r="N326" s="16" t="b">
        <v>0</v>
      </c>
      <c r="O326" s="16" t="n">
        <v>434</v>
      </c>
      <c r="P326" s="16" t="n">
        <v>300.032917</v>
      </c>
      <c r="Q326" s="16" t="n">
        <v>3000</v>
      </c>
      <c r="R326" s="16" t="n">
        <v>909.0909090909092</v>
      </c>
      <c r="S326" s="16" t="n">
        <v>0.5</v>
      </c>
      <c r="T326" s="16" t="n">
        <v>0.85</v>
      </c>
      <c r="U326" s="16" t="n">
        <v>0.75</v>
      </c>
      <c r="V326" s="16" t="n">
        <v>0.85</v>
      </c>
      <c r="W326" s="16" t="n">
        <v>0.75</v>
      </c>
      <c r="X326" s="16" t="n">
        <v>0.8</v>
      </c>
      <c r="Y326" s="16" t="n"/>
      <c r="Z326" s="16" t="n">
        <v>8.500070288086189</v>
      </c>
      <c r="AA326" s="16" t="n">
        <v>58.10362460974347</v>
      </c>
      <c r="AB326" s="16" t="n">
        <v>2090.909090909091</v>
      </c>
      <c r="AC326" s="16" t="n">
        <v>3.299999999999999</v>
      </c>
      <c r="AD326" s="16" t="inlineStr">
        <is>
          <t>O2</t>
        </is>
      </c>
      <c r="AE326" s="16" t="n"/>
    </row>
    <row r="327">
      <c r="A327" s="16" t="inlineStr">
        <is>
          <t>KF-M02-N2-B-0115</t>
        </is>
      </c>
      <c r="B327" s="16" t="inlineStr">
        <is>
          <t>2.2</t>
        </is>
      </c>
      <c r="C327" s="16" t="inlineStr">
        <is>
          <t>2.2b</t>
        </is>
      </c>
      <c r="D327" s="16" t="inlineStr">
        <is>
          <t>bajar la fuente (T_fuente × P_baja)</t>
        </is>
      </c>
      <c r="E327" s="16" t="inlineStr">
        <is>
          <t>KF-M02-N2</t>
        </is>
      </c>
      <c r="F327" s="16" t="inlineStr">
        <is>
          <t>KF-M02-N2-B</t>
        </is>
      </c>
      <c r="G327" s="16" t="inlineStr">
        <is>
          <t>B03-B</t>
        </is>
      </c>
      <c r="H327" s="16" t="inlineStr">
        <is>
          <t>biseccion</t>
        </is>
      </c>
      <c r="I327" s="16" t="inlineStr">
        <is>
          <t>CORREGIBLE</t>
        </is>
      </c>
      <c r="J327" s="16" t="inlineStr">
        <is>
          <t>CORREGIBLE</t>
        </is>
      </c>
      <c r="K327" s="16" t="b">
        <v>1</v>
      </c>
      <c r="L327" s="16" t="b">
        <v>0</v>
      </c>
      <c r="M327" s="16" t="b">
        <v>1</v>
      </c>
      <c r="N327" s="16" t="b">
        <v>0</v>
      </c>
      <c r="O327" s="16" t="n">
        <v>434</v>
      </c>
      <c r="P327" s="16" t="n">
        <v>300.032917</v>
      </c>
      <c r="Q327" s="16" t="n">
        <v>3000</v>
      </c>
      <c r="R327" s="16" t="n">
        <v>909.0909090909092</v>
      </c>
      <c r="S327" s="16" t="n">
        <v>0.5</v>
      </c>
      <c r="T327" s="16" t="n">
        <v>0.85</v>
      </c>
      <c r="U327" s="16" t="n">
        <v>0.75</v>
      </c>
      <c r="V327" s="16" t="n">
        <v>0.85</v>
      </c>
      <c r="W327" s="16" t="n">
        <v>0.75</v>
      </c>
      <c r="X327" s="16" t="n">
        <v>0.8</v>
      </c>
      <c r="Y327" s="16" t="n"/>
      <c r="Z327" s="16" t="n">
        <v>8.500070288086189</v>
      </c>
      <c r="AA327" s="16" t="n">
        <v>58.10362460974347</v>
      </c>
      <c r="AB327" s="16" t="n">
        <v>2090.909090909091</v>
      </c>
      <c r="AC327" s="16" t="n">
        <v>3.299999999999999</v>
      </c>
      <c r="AD327" s="16" t="inlineStr">
        <is>
          <t>O2</t>
        </is>
      </c>
      <c r="AE327" s="16" t="n"/>
    </row>
    <row r="328">
      <c r="A328" s="16" t="inlineStr">
        <is>
          <t>KF-M02-N2-B-0116</t>
        </is>
      </c>
      <c r="B328" s="16" t="inlineStr">
        <is>
          <t>2.2</t>
        </is>
      </c>
      <c r="C328" s="16" t="inlineStr">
        <is>
          <t>2.2b</t>
        </is>
      </c>
      <c r="D328" s="16" t="inlineStr">
        <is>
          <t>bajar la fuente (T_fuente × P_baja)</t>
        </is>
      </c>
      <c r="E328" s="16" t="inlineStr">
        <is>
          <t>KF-M02-N2</t>
        </is>
      </c>
      <c r="F328" s="16" t="inlineStr">
        <is>
          <t>KF-M02-N2-B</t>
        </is>
      </c>
      <c r="G328" s="16" t="inlineStr">
        <is>
          <t>B03-B</t>
        </is>
      </c>
      <c r="H328" s="16" t="inlineStr">
        <is>
          <t>biseccion</t>
        </is>
      </c>
      <c r="I328" s="16" t="inlineStr">
        <is>
          <t>KALINA</t>
        </is>
      </c>
      <c r="J328" s="16" t="inlineStr">
        <is>
          <t>KALINA</t>
        </is>
      </c>
      <c r="K328" s="16" t="b">
        <v>1</v>
      </c>
      <c r="L328" s="16" t="b">
        <v>0</v>
      </c>
      <c r="M328" s="16" t="b">
        <v>1</v>
      </c>
      <c r="N328" s="16" t="b">
        <v>0</v>
      </c>
      <c r="O328" s="16" t="n">
        <v>434</v>
      </c>
      <c r="P328" s="16" t="n">
        <v>300.032917</v>
      </c>
      <c r="Q328" s="16" t="n">
        <v>3000</v>
      </c>
      <c r="R328" s="16" t="n">
        <v>1781.818181818182</v>
      </c>
      <c r="S328" s="16" t="n">
        <v>0.5</v>
      </c>
      <c r="T328" s="16" t="n">
        <v>0.85</v>
      </c>
      <c r="U328" s="16" t="n">
        <v>0.75</v>
      </c>
      <c r="V328" s="16" t="n">
        <v>0.85</v>
      </c>
      <c r="W328" s="16" t="n">
        <v>0.75</v>
      </c>
      <c r="X328" s="16" t="n">
        <v>0.8</v>
      </c>
      <c r="Y328" s="16" t="n"/>
      <c r="Z328" s="16" t="n">
        <v>3.78965012373011</v>
      </c>
      <c r="AA328" s="16" t="n">
        <v>25.79145530999873</v>
      </c>
      <c r="AB328" s="16" t="n">
        <v>1218.181818181818</v>
      </c>
      <c r="AC328" s="16" t="n">
        <v>1.683673469387755</v>
      </c>
      <c r="AD328" s="16" t="n"/>
      <c r="AE328" s="16" t="n"/>
    </row>
    <row r="329">
      <c r="A329" s="16" t="inlineStr">
        <is>
          <t>KF-M02-N2-B-0117</t>
        </is>
      </c>
      <c r="B329" s="16" t="inlineStr">
        <is>
          <t>2.2</t>
        </is>
      </c>
      <c r="C329" s="16" t="inlineStr">
        <is>
          <t>2.2b</t>
        </is>
      </c>
      <c r="D329" s="16" t="inlineStr">
        <is>
          <t>bajar la fuente (T_fuente × P_baja)</t>
        </is>
      </c>
      <c r="E329" s="16" t="inlineStr">
        <is>
          <t>KF-M02-N2</t>
        </is>
      </c>
      <c r="F329" s="16" t="inlineStr">
        <is>
          <t>KF-M02-N2-B</t>
        </is>
      </c>
      <c r="G329" s="16" t="inlineStr">
        <is>
          <t>B03-B</t>
        </is>
      </c>
      <c r="H329" s="16" t="inlineStr">
        <is>
          <t>biseccion</t>
        </is>
      </c>
      <c r="I329" s="16" t="inlineStr">
        <is>
          <t>KALINA</t>
        </is>
      </c>
      <c r="J329" s="16" t="inlineStr">
        <is>
          <t>KALINA</t>
        </is>
      </c>
      <c r="K329" s="16" t="b">
        <v>1</v>
      </c>
      <c r="L329" s="16" t="b">
        <v>1</v>
      </c>
      <c r="M329" s="16" t="b">
        <v>0</v>
      </c>
      <c r="N329" s="16" t="b">
        <v>0</v>
      </c>
      <c r="O329" s="16" t="n">
        <v>403</v>
      </c>
      <c r="P329" s="16" t="n">
        <v>300.032917</v>
      </c>
      <c r="Q329" s="16" t="n">
        <v>3000</v>
      </c>
      <c r="R329" s="16" t="n">
        <v>581.8181818181819</v>
      </c>
      <c r="S329" s="16" t="n">
        <v>0.5</v>
      </c>
      <c r="T329" s="16" t="n">
        <v>0.85</v>
      </c>
      <c r="U329" s="16" t="n">
        <v>0.75</v>
      </c>
      <c r="V329" s="16" t="n">
        <v>0.85</v>
      </c>
      <c r="W329" s="16" t="n">
        <v>0.75</v>
      </c>
      <c r="X329" s="16" t="n">
        <v>0.8</v>
      </c>
      <c r="Y329" s="16" t="n"/>
      <c r="Z329" s="16" t="n">
        <v>8.324833852495701</v>
      </c>
      <c r="AA329" s="16" t="n">
        <v>25.45899570640634</v>
      </c>
      <c r="AB329" s="16" t="n">
        <v>2418.181818181818</v>
      </c>
      <c r="AC329" s="16" t="n">
        <v>5.156249999999999</v>
      </c>
      <c r="AD329" s="16" t="n"/>
      <c r="AE329" s="16" t="n"/>
    </row>
    <row r="330">
      <c r="A330" s="16" t="inlineStr">
        <is>
          <t>KF-M02-N2-B-0118</t>
        </is>
      </c>
      <c r="B330" s="16" t="inlineStr">
        <is>
          <t>2.2</t>
        </is>
      </c>
      <c r="C330" s="16" t="inlineStr">
        <is>
          <t>2.2b</t>
        </is>
      </c>
      <c r="D330" s="16" t="inlineStr">
        <is>
          <t>bajar la fuente (T_fuente × P_baja)</t>
        </is>
      </c>
      <c r="E330" s="16" t="inlineStr">
        <is>
          <t>KF-M02-N2</t>
        </is>
      </c>
      <c r="F330" s="16" t="inlineStr">
        <is>
          <t>KF-M02-N2-B</t>
        </is>
      </c>
      <c r="G330" s="16" t="inlineStr">
        <is>
          <t>B03-B</t>
        </is>
      </c>
      <c r="H330" s="16" t="inlineStr">
        <is>
          <t>biseccion</t>
        </is>
      </c>
      <c r="I330" s="16" t="inlineStr">
        <is>
          <t>KALINA</t>
        </is>
      </c>
      <c r="J330" s="16" t="inlineStr">
        <is>
          <t>KALINA</t>
        </is>
      </c>
      <c r="K330" s="16" t="b">
        <v>1</v>
      </c>
      <c r="L330" s="16" t="b">
        <v>1</v>
      </c>
      <c r="M330" s="16" t="b">
        <v>0</v>
      </c>
      <c r="N330" s="16" t="b">
        <v>0</v>
      </c>
      <c r="O330" s="16" t="n">
        <v>403</v>
      </c>
      <c r="P330" s="16" t="n">
        <v>300.032917</v>
      </c>
      <c r="Q330" s="16" t="n">
        <v>3000</v>
      </c>
      <c r="R330" s="16" t="n">
        <v>581.8181818181819</v>
      </c>
      <c r="S330" s="16" t="n">
        <v>0.5</v>
      </c>
      <c r="T330" s="16" t="n">
        <v>0.85</v>
      </c>
      <c r="U330" s="16" t="n">
        <v>0.75</v>
      </c>
      <c r="V330" s="16" t="n">
        <v>0.85</v>
      </c>
      <c r="W330" s="16" t="n">
        <v>0.75</v>
      </c>
      <c r="X330" s="16" t="n">
        <v>0.8</v>
      </c>
      <c r="Y330" s="16" t="n"/>
      <c r="Z330" s="16" t="n">
        <v>8.324833852495701</v>
      </c>
      <c r="AA330" s="16" t="n">
        <v>25.45899570640634</v>
      </c>
      <c r="AB330" s="16" t="n">
        <v>2418.181818181818</v>
      </c>
      <c r="AC330" s="16" t="n">
        <v>5.156249999999999</v>
      </c>
      <c r="AD330" s="16" t="n"/>
      <c r="AE330" s="16" t="n"/>
    </row>
    <row r="331">
      <c r="A331" s="16" t="inlineStr">
        <is>
          <t>KF-M02-N2-B-0119</t>
        </is>
      </c>
      <c r="B331" s="16" t="inlineStr">
        <is>
          <t>2.2</t>
        </is>
      </c>
      <c r="C331" s="16" t="inlineStr">
        <is>
          <t>2.2b</t>
        </is>
      </c>
      <c r="D331" s="16" t="inlineStr">
        <is>
          <t>bajar la fuente (T_fuente × P_baja)</t>
        </is>
      </c>
      <c r="E331" s="16" t="inlineStr">
        <is>
          <t>KF-M02-N2</t>
        </is>
      </c>
      <c r="F331" s="16" t="inlineStr">
        <is>
          <t>KF-M02-N2-B</t>
        </is>
      </c>
      <c r="G331" s="16" t="inlineStr">
        <is>
          <t>B03-B</t>
        </is>
      </c>
      <c r="H331" s="16" t="inlineStr">
        <is>
          <t>biseccion</t>
        </is>
      </c>
      <c r="I331" s="16" t="inlineStr">
        <is>
          <t>CORREGIBLE</t>
        </is>
      </c>
      <c r="J331" s="16" t="inlineStr">
        <is>
          <t>CORREGIBLE</t>
        </is>
      </c>
      <c r="K331" s="16" t="b">
        <v>1</v>
      </c>
      <c r="L331" s="16" t="b">
        <v>0</v>
      </c>
      <c r="M331" s="16" t="b">
        <v>0</v>
      </c>
      <c r="N331" s="16" t="b">
        <v>0</v>
      </c>
      <c r="O331" s="16" t="n">
        <v>390</v>
      </c>
      <c r="P331" s="16" t="n">
        <v>300.032917</v>
      </c>
      <c r="Q331" s="16" t="n">
        <v>3000</v>
      </c>
      <c r="R331" s="16" t="n">
        <v>436.3636363636364</v>
      </c>
      <c r="S331" s="16" t="n">
        <v>0.5</v>
      </c>
      <c r="T331" s="16" t="n">
        <v>0.85</v>
      </c>
      <c r="U331" s="16" t="n">
        <v>0.75</v>
      </c>
      <c r="V331" s="16" t="n">
        <v>0.85</v>
      </c>
      <c r="W331" s="16" t="n">
        <v>0.75</v>
      </c>
      <c r="X331" s="16" t="n">
        <v>0.8</v>
      </c>
      <c r="Y331" s="16" t="n"/>
      <c r="Z331" s="16" t="n">
        <v>2.48510355079249</v>
      </c>
      <c r="AA331" s="16" t="n">
        <v>3.602716710468346</v>
      </c>
      <c r="AB331" s="16" t="n">
        <v>2563.636363636364</v>
      </c>
      <c r="AC331" s="16" t="n">
        <v>6.875</v>
      </c>
      <c r="AD331" s="16" t="inlineStr">
        <is>
          <t>O2</t>
        </is>
      </c>
      <c r="AE331" s="16" t="n"/>
    </row>
    <row r="332">
      <c r="A332" s="16" t="inlineStr">
        <is>
          <t>KF-M02-N2-B-0120</t>
        </is>
      </c>
      <c r="B332" s="16" t="inlineStr">
        <is>
          <t>2.2</t>
        </is>
      </c>
      <c r="C332" s="16" t="inlineStr">
        <is>
          <t>2.2b</t>
        </is>
      </c>
      <c r="D332" s="16" t="inlineStr">
        <is>
          <t>bajar la fuente (T_fuente × P_baja)</t>
        </is>
      </c>
      <c r="E332" s="16" t="inlineStr">
        <is>
          <t>KF-M02-N2</t>
        </is>
      </c>
      <c r="F332" s="16" t="inlineStr">
        <is>
          <t>KF-M02-N2-B</t>
        </is>
      </c>
      <c r="G332" s="16" t="inlineStr">
        <is>
          <t>B03-B</t>
        </is>
      </c>
      <c r="H332" s="16" t="inlineStr">
        <is>
          <t>biseccion</t>
        </is>
      </c>
      <c r="I332" s="16" t="inlineStr">
        <is>
          <t>CORREGIBLE</t>
        </is>
      </c>
      <c r="J332" s="16" t="inlineStr">
        <is>
          <t>CORREGIBLE</t>
        </is>
      </c>
      <c r="K332" s="16" t="b">
        <v>1</v>
      </c>
      <c r="L332" s="16" t="b">
        <v>0</v>
      </c>
      <c r="M332" s="16" t="b">
        <v>0</v>
      </c>
      <c r="N332" s="16" t="b">
        <v>0</v>
      </c>
      <c r="O332" s="16" t="n">
        <v>390</v>
      </c>
      <c r="P332" s="16" t="n">
        <v>300.032917</v>
      </c>
      <c r="Q332" s="16" t="n">
        <v>3000</v>
      </c>
      <c r="R332" s="16" t="n">
        <v>436.3636363636364</v>
      </c>
      <c r="S332" s="16" t="n">
        <v>0.5</v>
      </c>
      <c r="T332" s="16" t="n">
        <v>0.85</v>
      </c>
      <c r="U332" s="16" t="n">
        <v>0.75</v>
      </c>
      <c r="V332" s="16" t="n">
        <v>0.85</v>
      </c>
      <c r="W332" s="16" t="n">
        <v>0.75</v>
      </c>
      <c r="X332" s="16" t="n">
        <v>0.8</v>
      </c>
      <c r="Y332" s="16" t="n"/>
      <c r="Z332" s="16" t="n">
        <v>2.48510355079249</v>
      </c>
      <c r="AA332" s="16" t="n">
        <v>3.602716710468346</v>
      </c>
      <c r="AB332" s="16" t="n">
        <v>2563.636363636364</v>
      </c>
      <c r="AC332" s="16" t="n">
        <v>6.875</v>
      </c>
      <c r="AD332" s="16" t="inlineStr">
        <is>
          <t>O2</t>
        </is>
      </c>
      <c r="AE332" s="16" t="n"/>
    </row>
    <row r="333">
      <c r="A333" s="16" t="inlineStr">
        <is>
          <t>KF-M02-N2-B-0121</t>
        </is>
      </c>
      <c r="B333" s="16" t="inlineStr">
        <is>
          <t>2.2</t>
        </is>
      </c>
      <c r="C333" s="16" t="inlineStr">
        <is>
          <t>2.2b</t>
        </is>
      </c>
      <c r="D333" s="16" t="inlineStr">
        <is>
          <t>bajar la fuente (T_fuente × P_baja)</t>
        </is>
      </c>
      <c r="E333" s="16" t="inlineStr">
        <is>
          <t>KF-M02-N2</t>
        </is>
      </c>
      <c r="F333" s="16" t="inlineStr">
        <is>
          <t>KF-M02-N2-B</t>
        </is>
      </c>
      <c r="G333" s="16" t="inlineStr">
        <is>
          <t>B03-B</t>
        </is>
      </c>
      <c r="H333" s="16" t="inlineStr">
        <is>
          <t>biseccion</t>
        </is>
      </c>
      <c r="I333" s="16" t="inlineStr">
        <is>
          <t>CORREGIBLE</t>
        </is>
      </c>
      <c r="J333" s="16" t="inlineStr">
        <is>
          <t>CORREGIBLE</t>
        </is>
      </c>
      <c r="K333" s="16" t="b">
        <v>1</v>
      </c>
      <c r="L333" s="16" t="b">
        <v>0</v>
      </c>
      <c r="M333" s="16" t="b">
        <v>0</v>
      </c>
      <c r="N333" s="16" t="b">
        <v>0</v>
      </c>
      <c r="O333" s="16" t="n">
        <v>420</v>
      </c>
      <c r="P333" s="16" t="n">
        <v>300.032917</v>
      </c>
      <c r="Q333" s="16" t="n">
        <v>3000</v>
      </c>
      <c r="R333" s="16" t="n">
        <v>727.2727272727274</v>
      </c>
      <c r="S333" s="16" t="n">
        <v>0.5</v>
      </c>
      <c r="T333" s="16" t="n">
        <v>0.85</v>
      </c>
      <c r="U333" s="16" t="n">
        <v>0.75</v>
      </c>
      <c r="V333" s="16" t="n">
        <v>0.85</v>
      </c>
      <c r="W333" s="16" t="n">
        <v>0.75</v>
      </c>
      <c r="X333" s="16" t="n">
        <v>0.8</v>
      </c>
      <c r="Y333" s="16" t="n"/>
      <c r="Z333" s="16" t="n">
        <v>9.227414549942029</v>
      </c>
      <c r="AA333" s="16" t="n">
        <v>46.38919673324552</v>
      </c>
      <c r="AB333" s="16" t="n">
        <v>2272.727272727273</v>
      </c>
      <c r="AC333" s="16" t="n">
        <v>4.124999999999999</v>
      </c>
      <c r="AD333" s="16" t="inlineStr">
        <is>
          <t>O2</t>
        </is>
      </c>
      <c r="AE333" s="16" t="n"/>
    </row>
    <row r="334">
      <c r="A334" s="16" t="inlineStr">
        <is>
          <t>KF-M02-N2-B-0122</t>
        </is>
      </c>
      <c r="B334" s="16" t="inlineStr">
        <is>
          <t>2.2</t>
        </is>
      </c>
      <c r="C334" s="16" t="inlineStr">
        <is>
          <t>2.2b</t>
        </is>
      </c>
      <c r="D334" s="16" t="inlineStr">
        <is>
          <t>bajar la fuente (T_fuente × P_baja)</t>
        </is>
      </c>
      <c r="E334" s="16" t="inlineStr">
        <is>
          <t>KF-M02-N2</t>
        </is>
      </c>
      <c r="F334" s="16" t="inlineStr">
        <is>
          <t>KF-M02-N2-B</t>
        </is>
      </c>
      <c r="G334" s="16" t="inlineStr">
        <is>
          <t>B03-B</t>
        </is>
      </c>
      <c r="H334" s="16" t="inlineStr">
        <is>
          <t>biseccion</t>
        </is>
      </c>
      <c r="I334" s="16" t="inlineStr">
        <is>
          <t>CORREGIBLE</t>
        </is>
      </c>
      <c r="J334" s="16" t="inlineStr">
        <is>
          <t>CORREGIBLE</t>
        </is>
      </c>
      <c r="K334" s="16" t="b">
        <v>1</v>
      </c>
      <c r="L334" s="16" t="b">
        <v>0</v>
      </c>
      <c r="M334" s="16" t="b">
        <v>0</v>
      </c>
      <c r="N334" s="16" t="b">
        <v>0</v>
      </c>
      <c r="O334" s="16" t="n">
        <v>420</v>
      </c>
      <c r="P334" s="16" t="n">
        <v>300.032917</v>
      </c>
      <c r="Q334" s="16" t="n">
        <v>3000</v>
      </c>
      <c r="R334" s="16" t="n">
        <v>727.2727272727274</v>
      </c>
      <c r="S334" s="16" t="n">
        <v>0.5</v>
      </c>
      <c r="T334" s="16" t="n">
        <v>0.85</v>
      </c>
      <c r="U334" s="16" t="n">
        <v>0.75</v>
      </c>
      <c r="V334" s="16" t="n">
        <v>0.85</v>
      </c>
      <c r="W334" s="16" t="n">
        <v>0.75</v>
      </c>
      <c r="X334" s="16" t="n">
        <v>0.8</v>
      </c>
      <c r="Y334" s="16" t="n"/>
      <c r="Z334" s="16" t="n">
        <v>9.227414549942029</v>
      </c>
      <c r="AA334" s="16" t="n">
        <v>46.38919673324552</v>
      </c>
      <c r="AB334" s="16" t="n">
        <v>2272.727272727273</v>
      </c>
      <c r="AC334" s="16" t="n">
        <v>4.124999999999999</v>
      </c>
      <c r="AD334" s="16" t="inlineStr">
        <is>
          <t>O2</t>
        </is>
      </c>
      <c r="AE334" s="16" t="n"/>
    </row>
    <row r="335">
      <c r="A335" s="16" t="inlineStr">
        <is>
          <t>KF-M02-N2-B-0123</t>
        </is>
      </c>
      <c r="B335" s="16" t="inlineStr">
        <is>
          <t>2.2</t>
        </is>
      </c>
      <c r="C335" s="16" t="inlineStr">
        <is>
          <t>2.2b</t>
        </is>
      </c>
      <c r="D335" s="16" t="inlineStr">
        <is>
          <t>bajar la fuente (T_fuente × P_baja)</t>
        </is>
      </c>
      <c r="E335" s="16" t="inlineStr">
        <is>
          <t>KF-M02-N2</t>
        </is>
      </c>
      <c r="F335" s="16" t="inlineStr">
        <is>
          <t>KF-M02-N2-B</t>
        </is>
      </c>
      <c r="G335" s="16" t="inlineStr">
        <is>
          <t>B03-B</t>
        </is>
      </c>
      <c r="H335" s="16" t="inlineStr">
        <is>
          <t>biseccion</t>
        </is>
      </c>
      <c r="I335" s="16" t="inlineStr">
        <is>
          <t>KALINA</t>
        </is>
      </c>
      <c r="J335" s="16" t="inlineStr">
        <is>
          <t>KALINA</t>
        </is>
      </c>
      <c r="K335" s="16" t="b">
        <v>1</v>
      </c>
      <c r="L335" s="16" t="b">
        <v>0</v>
      </c>
      <c r="M335" s="16" t="b">
        <v>1</v>
      </c>
      <c r="N335" s="16" t="b">
        <v>0</v>
      </c>
      <c r="O335" s="16" t="n">
        <v>434</v>
      </c>
      <c r="P335" s="16" t="n">
        <v>300.032917</v>
      </c>
      <c r="Q335" s="16" t="n">
        <v>3000</v>
      </c>
      <c r="R335" s="16" t="n">
        <v>945.4545454545456</v>
      </c>
      <c r="S335" s="16" t="n">
        <v>0.5</v>
      </c>
      <c r="T335" s="16" t="n">
        <v>0.85</v>
      </c>
      <c r="U335" s="16" t="n">
        <v>0.75</v>
      </c>
      <c r="V335" s="16" t="n">
        <v>0.85</v>
      </c>
      <c r="W335" s="16" t="n">
        <v>0.75</v>
      </c>
      <c r="X335" s="16" t="n">
        <v>0.8</v>
      </c>
      <c r="Y335" s="16" t="n"/>
      <c r="Z335" s="16" t="n">
        <v>8.234437625917231</v>
      </c>
      <c r="AA335" s="16" t="n">
        <v>56.27384950979141</v>
      </c>
      <c r="AB335" s="16" t="n">
        <v>2054.545454545455</v>
      </c>
      <c r="AC335" s="16" t="n">
        <v>3.173076923076922</v>
      </c>
      <c r="AD335" s="16" t="n"/>
      <c r="AE335" s="16" t="n"/>
    </row>
    <row r="336">
      <c r="A336" s="16" t="inlineStr">
        <is>
          <t>KF-M02-N2-B-0124</t>
        </is>
      </c>
      <c r="B336" s="16" t="inlineStr">
        <is>
          <t>2.2</t>
        </is>
      </c>
      <c r="C336" s="16" t="inlineStr">
        <is>
          <t>2.2b</t>
        </is>
      </c>
      <c r="D336" s="16" t="inlineStr">
        <is>
          <t>bajar la fuente (T_fuente × P_baja)</t>
        </is>
      </c>
      <c r="E336" s="16" t="inlineStr">
        <is>
          <t>KF-M02-N2</t>
        </is>
      </c>
      <c r="F336" s="16" t="inlineStr">
        <is>
          <t>KF-M02-N2-B</t>
        </is>
      </c>
      <c r="G336" s="16" t="inlineStr">
        <is>
          <t>B03-B</t>
        </is>
      </c>
      <c r="H336" s="16" t="inlineStr">
        <is>
          <t>biseccion</t>
        </is>
      </c>
      <c r="I336" s="16" t="inlineStr">
        <is>
          <t>KALINA</t>
        </is>
      </c>
      <c r="J336" s="16" t="inlineStr">
        <is>
          <t>KALINA</t>
        </is>
      </c>
      <c r="K336" s="16" t="b">
        <v>1</v>
      </c>
      <c r="L336" s="16" t="b">
        <v>0</v>
      </c>
      <c r="M336" s="16" t="b">
        <v>1</v>
      </c>
      <c r="N336" s="16" t="b">
        <v>0</v>
      </c>
      <c r="O336" s="16" t="n">
        <v>434</v>
      </c>
      <c r="P336" s="16" t="n">
        <v>300.032917</v>
      </c>
      <c r="Q336" s="16" t="n">
        <v>3000</v>
      </c>
      <c r="R336" s="16" t="n">
        <v>945.4545454545456</v>
      </c>
      <c r="S336" s="16" t="n">
        <v>0.5</v>
      </c>
      <c r="T336" s="16" t="n">
        <v>0.85</v>
      </c>
      <c r="U336" s="16" t="n">
        <v>0.75</v>
      </c>
      <c r="V336" s="16" t="n">
        <v>0.85</v>
      </c>
      <c r="W336" s="16" t="n">
        <v>0.75</v>
      </c>
      <c r="X336" s="16" t="n">
        <v>0.8</v>
      </c>
      <c r="Y336" s="16" t="n"/>
      <c r="Z336" s="16" t="n">
        <v>8.234437625917231</v>
      </c>
      <c r="AA336" s="16" t="n">
        <v>56.27384950979141</v>
      </c>
      <c r="AB336" s="16" t="n">
        <v>2054.545454545455</v>
      </c>
      <c r="AC336" s="16" t="n">
        <v>3.173076923076922</v>
      </c>
      <c r="AD336" s="16" t="n"/>
      <c r="AE336" s="16" t="n"/>
    </row>
    <row r="337">
      <c r="A337" s="16" t="inlineStr">
        <is>
          <t>KF-M02-N2-B-0125</t>
        </is>
      </c>
      <c r="B337" s="16" t="inlineStr">
        <is>
          <t>2.2</t>
        </is>
      </c>
      <c r="C337" s="16" t="inlineStr">
        <is>
          <t>2.2b</t>
        </is>
      </c>
      <c r="D337" s="16" t="inlineStr">
        <is>
          <t>bajar la fuente (T_fuente × P_baja)</t>
        </is>
      </c>
      <c r="E337" s="16" t="inlineStr">
        <is>
          <t>KF-M02-N2</t>
        </is>
      </c>
      <c r="F337" s="16" t="inlineStr">
        <is>
          <t>KF-M02-N2-B</t>
        </is>
      </c>
      <c r="G337" s="16" t="inlineStr">
        <is>
          <t>B03-B</t>
        </is>
      </c>
      <c r="H337" s="16" t="inlineStr">
        <is>
          <t>biseccion</t>
        </is>
      </c>
      <c r="I337" s="16" t="inlineStr">
        <is>
          <t>KALINA</t>
        </is>
      </c>
      <c r="J337" s="16" t="inlineStr">
        <is>
          <t>KALINA</t>
        </is>
      </c>
      <c r="K337" s="16" t="b">
        <v>1</v>
      </c>
      <c r="L337" s="16" t="b">
        <v>0</v>
      </c>
      <c r="M337" s="16" t="b">
        <v>1</v>
      </c>
      <c r="N337" s="16" t="b">
        <v>0</v>
      </c>
      <c r="O337" s="16" t="n">
        <v>434</v>
      </c>
      <c r="P337" s="16" t="n">
        <v>300.032917</v>
      </c>
      <c r="Q337" s="16" t="n">
        <v>3000</v>
      </c>
      <c r="R337" s="16" t="n">
        <v>1818.181818181818</v>
      </c>
      <c r="S337" s="16" t="n">
        <v>0.5</v>
      </c>
      <c r="T337" s="16" t="n">
        <v>0.85</v>
      </c>
      <c r="U337" s="16" t="n">
        <v>0.75</v>
      </c>
      <c r="V337" s="16" t="n">
        <v>0.85</v>
      </c>
      <c r="W337" s="16" t="n">
        <v>0.75</v>
      </c>
      <c r="X337" s="16" t="n">
        <v>0.8</v>
      </c>
      <c r="Y337" s="16" t="n"/>
      <c r="Z337" s="16" t="n">
        <v>3.64443644389987</v>
      </c>
      <c r="AA337" s="16" t="n">
        <v>24.7999448953234</v>
      </c>
      <c r="AB337" s="16" t="n">
        <v>1181.818181818182</v>
      </c>
      <c r="AC337" s="16" t="n">
        <v>1.65</v>
      </c>
      <c r="AD337" s="16" t="n"/>
      <c r="AE337" s="16" t="n"/>
    </row>
    <row r="338">
      <c r="A338" s="16" t="inlineStr">
        <is>
          <t>KF-M02-N2-B-0126</t>
        </is>
      </c>
      <c r="B338" s="16" t="inlineStr">
        <is>
          <t>2.2</t>
        </is>
      </c>
      <c r="C338" s="16" t="inlineStr">
        <is>
          <t>2.2b</t>
        </is>
      </c>
      <c r="D338" s="16" t="inlineStr">
        <is>
          <t>bajar la fuente (T_fuente × P_baja)</t>
        </is>
      </c>
      <c r="E338" s="16" t="inlineStr">
        <is>
          <t>KF-M02-N2</t>
        </is>
      </c>
      <c r="F338" s="16" t="inlineStr">
        <is>
          <t>KF-M02-N2-B</t>
        </is>
      </c>
      <c r="G338" s="16" t="inlineStr">
        <is>
          <t>B03-B</t>
        </is>
      </c>
      <c r="H338" s="16" t="inlineStr">
        <is>
          <t>biseccion</t>
        </is>
      </c>
      <c r="I338" s="16" t="inlineStr">
        <is>
          <t>KALINA</t>
        </is>
      </c>
      <c r="J338" s="16" t="inlineStr">
        <is>
          <t>KALINA</t>
        </is>
      </c>
      <c r="K338" s="16" t="b">
        <v>1</v>
      </c>
      <c r="L338" s="16" t="b">
        <v>1</v>
      </c>
      <c r="M338" s="16" t="b">
        <v>0</v>
      </c>
      <c r="N338" s="16" t="b">
        <v>0</v>
      </c>
      <c r="O338" s="16" t="n">
        <v>403</v>
      </c>
      <c r="P338" s="16" t="n">
        <v>300.032917</v>
      </c>
      <c r="Q338" s="16" t="n">
        <v>3000</v>
      </c>
      <c r="R338" s="16" t="n">
        <v>563.6363636363637</v>
      </c>
      <c r="S338" s="16" t="n">
        <v>0.5</v>
      </c>
      <c r="T338" s="16" t="n">
        <v>0.85</v>
      </c>
      <c r="U338" s="16" t="n">
        <v>0.75</v>
      </c>
      <c r="V338" s="16" t="n">
        <v>0.85</v>
      </c>
      <c r="W338" s="16" t="n">
        <v>0.75</v>
      </c>
      <c r="X338" s="16" t="n">
        <v>0.8</v>
      </c>
      <c r="Y338" s="16" t="n"/>
      <c r="Z338" s="16" t="n">
        <v>8.481891205006569</v>
      </c>
      <c r="AA338" s="16" t="n">
        <v>25.94188172942141</v>
      </c>
      <c r="AB338" s="16" t="n">
        <v>2436.363636363636</v>
      </c>
      <c r="AC338" s="16" t="n">
        <v>5.322580645161289</v>
      </c>
      <c r="AD338" s="16" t="n"/>
      <c r="AE338" s="16" t="n"/>
    </row>
    <row r="339">
      <c r="A339" s="16" t="inlineStr">
        <is>
          <t>KF-M02-N2-B-0127</t>
        </is>
      </c>
      <c r="B339" s="16" t="inlineStr">
        <is>
          <t>2.2</t>
        </is>
      </c>
      <c r="C339" s="16" t="inlineStr">
        <is>
          <t>2.2b</t>
        </is>
      </c>
      <c r="D339" s="16" t="inlineStr">
        <is>
          <t>bajar la fuente (T_fuente × P_baja)</t>
        </is>
      </c>
      <c r="E339" s="16" t="inlineStr">
        <is>
          <t>KF-M02-N2</t>
        </is>
      </c>
      <c r="F339" s="16" t="inlineStr">
        <is>
          <t>KF-M02-N2-B</t>
        </is>
      </c>
      <c r="G339" s="16" t="inlineStr">
        <is>
          <t>B03-B</t>
        </is>
      </c>
      <c r="H339" s="16" t="inlineStr">
        <is>
          <t>biseccion</t>
        </is>
      </c>
      <c r="I339" s="16" t="inlineStr">
        <is>
          <t>KALINA</t>
        </is>
      </c>
      <c r="J339" s="16" t="inlineStr">
        <is>
          <t>KALINA</t>
        </is>
      </c>
      <c r="K339" s="16" t="b">
        <v>1</v>
      </c>
      <c r="L339" s="16" t="b">
        <v>1</v>
      </c>
      <c r="M339" s="16" t="b">
        <v>0</v>
      </c>
      <c r="N339" s="16" t="b">
        <v>0</v>
      </c>
      <c r="O339" s="16" t="n">
        <v>403</v>
      </c>
      <c r="P339" s="16" t="n">
        <v>300.032917</v>
      </c>
      <c r="Q339" s="16" t="n">
        <v>3000</v>
      </c>
      <c r="R339" s="16" t="n">
        <v>563.6363636363637</v>
      </c>
      <c r="S339" s="16" t="n">
        <v>0.5</v>
      </c>
      <c r="T339" s="16" t="n">
        <v>0.85</v>
      </c>
      <c r="U339" s="16" t="n">
        <v>0.75</v>
      </c>
      <c r="V339" s="16" t="n">
        <v>0.85</v>
      </c>
      <c r="W339" s="16" t="n">
        <v>0.75</v>
      </c>
      <c r="X339" s="16" t="n">
        <v>0.8</v>
      </c>
      <c r="Y339" s="16" t="n"/>
      <c r="Z339" s="16" t="n">
        <v>8.481891205006569</v>
      </c>
      <c r="AA339" s="16" t="n">
        <v>25.94188172942141</v>
      </c>
      <c r="AB339" s="16" t="n">
        <v>2436.363636363636</v>
      </c>
      <c r="AC339" s="16" t="n">
        <v>5.322580645161289</v>
      </c>
      <c r="AD339" s="16" t="n"/>
      <c r="AE339" s="16" t="n"/>
    </row>
    <row r="340">
      <c r="A340" s="16" t="inlineStr">
        <is>
          <t>KF-M02-N2-B-0128</t>
        </is>
      </c>
      <c r="B340" s="16" t="inlineStr">
        <is>
          <t>2.2</t>
        </is>
      </c>
      <c r="C340" s="16" t="inlineStr">
        <is>
          <t>2.2b</t>
        </is>
      </c>
      <c r="D340" s="16" t="inlineStr">
        <is>
          <t>bajar la fuente (T_fuente × P_baja)</t>
        </is>
      </c>
      <c r="E340" s="16" t="inlineStr">
        <is>
          <t>KF-M02-N2</t>
        </is>
      </c>
      <c r="F340" s="16" t="inlineStr">
        <is>
          <t>KF-M02-N2-B</t>
        </is>
      </c>
      <c r="G340" s="16" t="inlineStr">
        <is>
          <t>B03-B</t>
        </is>
      </c>
      <c r="H340" s="16" t="inlineStr">
        <is>
          <t>biseccion</t>
        </is>
      </c>
      <c r="I340" s="16" t="inlineStr">
        <is>
          <t>KALINA</t>
        </is>
      </c>
      <c r="J340" s="16" t="inlineStr">
        <is>
          <t>KALINA</t>
        </is>
      </c>
      <c r="K340" s="16" t="b">
        <v>1</v>
      </c>
      <c r="L340" s="16" t="b">
        <v>1</v>
      </c>
      <c r="M340" s="16" t="b">
        <v>0</v>
      </c>
      <c r="N340" s="16" t="b">
        <v>0</v>
      </c>
      <c r="O340" s="16" t="n">
        <v>390</v>
      </c>
      <c r="P340" s="16" t="n">
        <v>300.032917</v>
      </c>
      <c r="Q340" s="16" t="n">
        <v>3000</v>
      </c>
      <c r="R340" s="16" t="n">
        <v>454.5454545454546</v>
      </c>
      <c r="S340" s="16" t="n">
        <v>0.5</v>
      </c>
      <c r="T340" s="16" t="n">
        <v>0.85</v>
      </c>
      <c r="U340" s="16" t="n">
        <v>0.75</v>
      </c>
      <c r="V340" s="16" t="n">
        <v>0.85</v>
      </c>
      <c r="W340" s="16" t="n">
        <v>0.75</v>
      </c>
      <c r="X340" s="16" t="n">
        <v>0.8</v>
      </c>
      <c r="Y340" s="16" t="n"/>
      <c r="Z340" s="16" t="n">
        <v>2.40739316151394</v>
      </c>
      <c r="AA340" s="16" t="n">
        <v>3.4899973622581</v>
      </c>
      <c r="AB340" s="16" t="n">
        <v>2545.454545454545</v>
      </c>
      <c r="AC340" s="16" t="n">
        <v>6.6</v>
      </c>
      <c r="AD340" s="16" t="n"/>
      <c r="AE340" s="16" t="n"/>
    </row>
    <row r="341">
      <c r="A341" s="16" t="inlineStr">
        <is>
          <t>KF-M02-N2-B-0129</t>
        </is>
      </c>
      <c r="B341" s="16" t="inlineStr">
        <is>
          <t>2.2</t>
        </is>
      </c>
      <c r="C341" s="16" t="inlineStr">
        <is>
          <t>2.2b</t>
        </is>
      </c>
      <c r="D341" s="16" t="inlineStr">
        <is>
          <t>bajar la fuente (T_fuente × P_baja)</t>
        </is>
      </c>
      <c r="E341" s="16" t="inlineStr">
        <is>
          <t>KF-M02-N2</t>
        </is>
      </c>
      <c r="F341" s="16" t="inlineStr">
        <is>
          <t>KF-M02-N2-B</t>
        </is>
      </c>
      <c r="G341" s="16" t="inlineStr">
        <is>
          <t>B03-B</t>
        </is>
      </c>
      <c r="H341" s="16" t="inlineStr">
        <is>
          <t>biseccion</t>
        </is>
      </c>
      <c r="I341" s="16" t="inlineStr">
        <is>
          <t>KALINA</t>
        </is>
      </c>
      <c r="J341" s="16" t="inlineStr">
        <is>
          <t>KALINA</t>
        </is>
      </c>
      <c r="K341" s="16" t="b">
        <v>1</v>
      </c>
      <c r="L341" s="16" t="b">
        <v>1</v>
      </c>
      <c r="M341" s="16" t="b">
        <v>0</v>
      </c>
      <c r="N341" s="16" t="b">
        <v>0</v>
      </c>
      <c r="O341" s="16" t="n">
        <v>390</v>
      </c>
      <c r="P341" s="16" t="n">
        <v>300.032917</v>
      </c>
      <c r="Q341" s="16" t="n">
        <v>3000</v>
      </c>
      <c r="R341" s="16" t="n">
        <v>454.5454545454546</v>
      </c>
      <c r="S341" s="16" t="n">
        <v>0.5</v>
      </c>
      <c r="T341" s="16" t="n">
        <v>0.85</v>
      </c>
      <c r="U341" s="16" t="n">
        <v>0.75</v>
      </c>
      <c r="V341" s="16" t="n">
        <v>0.85</v>
      </c>
      <c r="W341" s="16" t="n">
        <v>0.75</v>
      </c>
      <c r="X341" s="16" t="n">
        <v>0.8</v>
      </c>
      <c r="Y341" s="16" t="n"/>
      <c r="Z341" s="16" t="n">
        <v>2.40739316151394</v>
      </c>
      <c r="AA341" s="16" t="n">
        <v>3.4899973622581</v>
      </c>
      <c r="AB341" s="16" t="n">
        <v>2545.454545454545</v>
      </c>
      <c r="AC341" s="16" t="n">
        <v>6.6</v>
      </c>
      <c r="AD341" s="16" t="n"/>
      <c r="AE341" s="16" t="n"/>
    </row>
    <row r="342">
      <c r="A342" s="16" t="inlineStr">
        <is>
          <t>KF-M02-N2-B-0130</t>
        </is>
      </c>
      <c r="B342" s="16" t="inlineStr">
        <is>
          <t>2.2</t>
        </is>
      </c>
      <c r="C342" s="16" t="inlineStr">
        <is>
          <t>2.2b</t>
        </is>
      </c>
      <c r="D342" s="16" t="inlineStr">
        <is>
          <t>bajar la fuente (T_fuente × P_baja)</t>
        </is>
      </c>
      <c r="E342" s="16" t="inlineStr">
        <is>
          <t>KF-M02-N2</t>
        </is>
      </c>
      <c r="F342" s="16" t="inlineStr">
        <is>
          <t>KF-M02-N2-B</t>
        </is>
      </c>
      <c r="G342" s="16" t="inlineStr">
        <is>
          <t>B03-B</t>
        </is>
      </c>
      <c r="H342" s="16" t="inlineStr">
        <is>
          <t>biseccion</t>
        </is>
      </c>
      <c r="I342" s="16" t="inlineStr">
        <is>
          <t>KALINA</t>
        </is>
      </c>
      <c r="J342" s="16" t="inlineStr">
        <is>
          <t>KALINA</t>
        </is>
      </c>
      <c r="K342" s="16" t="b">
        <v>1</v>
      </c>
      <c r="L342" s="16" t="b">
        <v>1</v>
      </c>
      <c r="M342" s="16" t="b">
        <v>0</v>
      </c>
      <c r="N342" s="16" t="b">
        <v>0</v>
      </c>
      <c r="O342" s="16" t="n">
        <v>420</v>
      </c>
      <c r="P342" s="16" t="n">
        <v>300.032917</v>
      </c>
      <c r="Q342" s="16" t="n">
        <v>3000</v>
      </c>
      <c r="R342" s="16" t="n">
        <v>745.4545454545455</v>
      </c>
      <c r="S342" s="16" t="n">
        <v>0.5</v>
      </c>
      <c r="T342" s="16" t="n">
        <v>0.85</v>
      </c>
      <c r="U342" s="16" t="n">
        <v>0.75</v>
      </c>
      <c r="V342" s="16" t="n">
        <v>0.85</v>
      </c>
      <c r="W342" s="16" t="n">
        <v>0.75</v>
      </c>
      <c r="X342" s="16" t="n">
        <v>0.8</v>
      </c>
      <c r="Y342" s="16" t="n"/>
      <c r="Z342" s="16" t="n">
        <v>9.07407749101403</v>
      </c>
      <c r="AA342" s="16" t="n">
        <v>45.61258115082779</v>
      </c>
      <c r="AB342" s="16" t="n">
        <v>2254.545454545455</v>
      </c>
      <c r="AC342" s="16" t="n">
        <v>4.024390243902439</v>
      </c>
      <c r="AD342" s="16" t="n"/>
      <c r="AE342" s="16" t="n"/>
    </row>
    <row r="343">
      <c r="A343" s="16" t="inlineStr">
        <is>
          <t>KF-M02-N2-B-0131</t>
        </is>
      </c>
      <c r="B343" s="16" t="inlineStr">
        <is>
          <t>2.2</t>
        </is>
      </c>
      <c r="C343" s="16" t="inlineStr">
        <is>
          <t>2.2b</t>
        </is>
      </c>
      <c r="D343" s="16" t="inlineStr">
        <is>
          <t>bajar la fuente (T_fuente × P_baja)</t>
        </is>
      </c>
      <c r="E343" s="16" t="inlineStr">
        <is>
          <t>KF-M02-N2</t>
        </is>
      </c>
      <c r="F343" s="16" t="inlineStr">
        <is>
          <t>KF-M02-N2-B</t>
        </is>
      </c>
      <c r="G343" s="16" t="inlineStr">
        <is>
          <t>B03-B</t>
        </is>
      </c>
      <c r="H343" s="16" t="inlineStr">
        <is>
          <t>biseccion</t>
        </is>
      </c>
      <c r="I343" s="16" t="inlineStr">
        <is>
          <t>KALINA</t>
        </is>
      </c>
      <c r="J343" s="16" t="inlineStr">
        <is>
          <t>KALINA</t>
        </is>
      </c>
      <c r="K343" s="16" t="b">
        <v>1</v>
      </c>
      <c r="L343" s="16" t="b">
        <v>1</v>
      </c>
      <c r="M343" s="16" t="b">
        <v>0</v>
      </c>
      <c r="N343" s="16" t="b">
        <v>0</v>
      </c>
      <c r="O343" s="16" t="n">
        <v>420</v>
      </c>
      <c r="P343" s="16" t="n">
        <v>300.032917</v>
      </c>
      <c r="Q343" s="16" t="n">
        <v>3000</v>
      </c>
      <c r="R343" s="16" t="n">
        <v>745.4545454545455</v>
      </c>
      <c r="S343" s="16" t="n">
        <v>0.5</v>
      </c>
      <c r="T343" s="16" t="n">
        <v>0.85</v>
      </c>
      <c r="U343" s="16" t="n">
        <v>0.75</v>
      </c>
      <c r="V343" s="16" t="n">
        <v>0.85</v>
      </c>
      <c r="W343" s="16" t="n">
        <v>0.75</v>
      </c>
      <c r="X343" s="16" t="n">
        <v>0.8</v>
      </c>
      <c r="Y343" s="16" t="n"/>
      <c r="Z343" s="16" t="n">
        <v>9.07407749101403</v>
      </c>
      <c r="AA343" s="16" t="n">
        <v>45.61258115082779</v>
      </c>
      <c r="AB343" s="16" t="n">
        <v>2254.545454545455</v>
      </c>
      <c r="AC343" s="16" t="n">
        <v>4.024390243902439</v>
      </c>
      <c r="AD343" s="16" t="n"/>
      <c r="AE343" s="16" t="n"/>
    </row>
    <row r="344">
      <c r="A344" s="16" t="inlineStr">
        <is>
          <t>KF-M02-N2-B-0132</t>
        </is>
      </c>
      <c r="B344" s="16" t="inlineStr">
        <is>
          <t>2.2</t>
        </is>
      </c>
      <c r="C344" s="16" t="inlineStr">
        <is>
          <t>2.2b</t>
        </is>
      </c>
      <c r="D344" s="16" t="inlineStr">
        <is>
          <t>bajar la fuente (T_fuente × P_baja)</t>
        </is>
      </c>
      <c r="E344" s="16" t="inlineStr">
        <is>
          <t>KF-M02-N2</t>
        </is>
      </c>
      <c r="F344" s="16" t="inlineStr">
        <is>
          <t>KF-M02-N2-B</t>
        </is>
      </c>
      <c r="G344" s="16" t="inlineStr">
        <is>
          <t>B03-B</t>
        </is>
      </c>
      <c r="H344" s="16" t="inlineStr">
        <is>
          <t>biseccion</t>
        </is>
      </c>
      <c r="I344" s="16" t="inlineStr">
        <is>
          <t>NO_CONVERGIO</t>
        </is>
      </c>
      <c r="J344" s="16" t="inlineStr">
        <is>
          <t>NO_CONVERGIO</t>
        </is>
      </c>
      <c r="K344" s="16" t="b">
        <v>0</v>
      </c>
      <c r="L344" s="16" t="b">
        <v>0</v>
      </c>
      <c r="M344" s="16" t="b">
        <v>0</v>
      </c>
      <c r="N344" s="16" t="b">
        <v>0</v>
      </c>
      <c r="O344" s="16" t="n">
        <v>434</v>
      </c>
      <c r="P344" s="16" t="n">
        <v>300.032917</v>
      </c>
      <c r="Q344" s="16" t="n">
        <v>3000</v>
      </c>
      <c r="R344" s="16" t="n">
        <v>1836.363636363636</v>
      </c>
      <c r="S344" s="16" t="n">
        <v>0.5</v>
      </c>
      <c r="T344" s="16" t="n">
        <v>0.85</v>
      </c>
      <c r="U344" s="16" t="n">
        <v>0.75</v>
      </c>
      <c r="V344" s="16" t="n">
        <v>0.85</v>
      </c>
      <c r="W344" s="16" t="n">
        <v>0.75</v>
      </c>
      <c r="X344" s="16" t="n">
        <v>0.8</v>
      </c>
      <c r="Y344" s="16" t="n"/>
      <c r="Z344" s="16" t="n"/>
      <c r="AA344" s="16" t="n"/>
      <c r="AB344" s="16" t="n">
        <v>1163.636363636364</v>
      </c>
      <c r="AC344" s="16" t="n">
        <v>1.633663366336634</v>
      </c>
      <c r="AD344" s="16" t="n"/>
      <c r="AE344" s="16" t="n"/>
    </row>
    <row r="345">
      <c r="A345" s="16" t="inlineStr">
        <is>
          <t>KF-M02-N2-B-0133</t>
        </is>
      </c>
      <c r="B345" s="16" t="inlineStr">
        <is>
          <t>2.2</t>
        </is>
      </c>
      <c r="C345" s="16" t="inlineStr">
        <is>
          <t>2.2b</t>
        </is>
      </c>
      <c r="D345" s="16" t="inlineStr">
        <is>
          <t>bajar la fuente (T_fuente × P_baja)</t>
        </is>
      </c>
      <c r="E345" s="16" t="inlineStr">
        <is>
          <t>KF-M02-N2</t>
        </is>
      </c>
      <c r="F345" s="16" t="inlineStr">
        <is>
          <t>KF-M02-N2-B</t>
        </is>
      </c>
      <c r="G345" s="16" t="inlineStr">
        <is>
          <t>B03-B</t>
        </is>
      </c>
      <c r="H345" s="16" t="inlineStr">
        <is>
          <t>biseccion</t>
        </is>
      </c>
      <c r="I345" s="16" t="inlineStr">
        <is>
          <t>CORREGIBLE</t>
        </is>
      </c>
      <c r="J345" s="16" t="inlineStr">
        <is>
          <t>CORREGIBLE</t>
        </is>
      </c>
      <c r="K345" s="16" t="b">
        <v>1</v>
      </c>
      <c r="L345" s="16" t="b">
        <v>0</v>
      </c>
      <c r="M345" s="16" t="b">
        <v>1</v>
      </c>
      <c r="N345" s="16" t="b">
        <v>0</v>
      </c>
      <c r="O345" s="16" t="n">
        <v>434</v>
      </c>
      <c r="P345" s="16" t="n">
        <v>300.032917</v>
      </c>
      <c r="Q345" s="16" t="n">
        <v>3000</v>
      </c>
      <c r="R345" s="16" t="n">
        <v>927.2727272727273</v>
      </c>
      <c r="S345" s="16" t="n">
        <v>0.5</v>
      </c>
      <c r="T345" s="16" t="n">
        <v>0.85</v>
      </c>
      <c r="U345" s="16" t="n">
        <v>0.75</v>
      </c>
      <c r="V345" s="16" t="n">
        <v>0.85</v>
      </c>
      <c r="W345" s="16" t="n">
        <v>0.75</v>
      </c>
      <c r="X345" s="16" t="n">
        <v>0.8</v>
      </c>
      <c r="Y345" s="16" t="n"/>
      <c r="Z345" s="16" t="n">
        <v>8.366555443109091</v>
      </c>
      <c r="AA345" s="16" t="n">
        <v>57.18392869588193</v>
      </c>
      <c r="AB345" s="16" t="n">
        <v>2072.727272727273</v>
      </c>
      <c r="AC345" s="16" t="n">
        <v>3.235294117647059</v>
      </c>
      <c r="AD345" s="16" t="inlineStr">
        <is>
          <t>O2</t>
        </is>
      </c>
      <c r="AE345" s="16" t="n"/>
    </row>
    <row r="346">
      <c r="A346" s="16" t="inlineStr">
        <is>
          <t>KF-M02-N2-B-0134</t>
        </is>
      </c>
      <c r="B346" s="16" t="inlineStr">
        <is>
          <t>2.2</t>
        </is>
      </c>
      <c r="C346" s="16" t="inlineStr">
        <is>
          <t>2.2b</t>
        </is>
      </c>
      <c r="D346" s="16" t="inlineStr">
        <is>
          <t>bajar la fuente (T_fuente × P_baja)</t>
        </is>
      </c>
      <c r="E346" s="16" t="inlineStr">
        <is>
          <t>KF-M02-N2</t>
        </is>
      </c>
      <c r="F346" s="16" t="inlineStr">
        <is>
          <t>KF-M02-N2-B</t>
        </is>
      </c>
      <c r="G346" s="16" t="inlineStr">
        <is>
          <t>B03-B</t>
        </is>
      </c>
      <c r="H346" s="16" t="inlineStr">
        <is>
          <t>biseccion</t>
        </is>
      </c>
      <c r="I346" s="16" t="inlineStr">
        <is>
          <t>CORREGIBLE</t>
        </is>
      </c>
      <c r="J346" s="16" t="inlineStr">
        <is>
          <t>CORREGIBLE</t>
        </is>
      </c>
      <c r="K346" s="16" t="b">
        <v>1</v>
      </c>
      <c r="L346" s="16" t="b">
        <v>0</v>
      </c>
      <c r="M346" s="16" t="b">
        <v>1</v>
      </c>
      <c r="N346" s="16" t="b">
        <v>0</v>
      </c>
      <c r="O346" s="16" t="n">
        <v>434</v>
      </c>
      <c r="P346" s="16" t="n">
        <v>300.032917</v>
      </c>
      <c r="Q346" s="16" t="n">
        <v>3000</v>
      </c>
      <c r="R346" s="16" t="n">
        <v>927.2727272727273</v>
      </c>
      <c r="S346" s="16" t="n">
        <v>0.5</v>
      </c>
      <c r="T346" s="16" t="n">
        <v>0.85</v>
      </c>
      <c r="U346" s="16" t="n">
        <v>0.75</v>
      </c>
      <c r="V346" s="16" t="n">
        <v>0.85</v>
      </c>
      <c r="W346" s="16" t="n">
        <v>0.75</v>
      </c>
      <c r="X346" s="16" t="n">
        <v>0.8</v>
      </c>
      <c r="Y346" s="16" t="n"/>
      <c r="Z346" s="16" t="n">
        <v>8.366555443109091</v>
      </c>
      <c r="AA346" s="16" t="n">
        <v>57.18392869588193</v>
      </c>
      <c r="AB346" s="16" t="n">
        <v>2072.727272727273</v>
      </c>
      <c r="AC346" s="16" t="n">
        <v>3.235294117647059</v>
      </c>
      <c r="AD346" s="16" t="inlineStr">
        <is>
          <t>O2</t>
        </is>
      </c>
      <c r="AE346" s="16" t="n"/>
    </row>
    <row r="347">
      <c r="A347" s="16" t="inlineStr">
        <is>
          <t>KF-M02-N2-B-0135</t>
        </is>
      </c>
      <c r="B347" s="16" t="inlineStr">
        <is>
          <t>2.2</t>
        </is>
      </c>
      <c r="C347" s="16" t="inlineStr">
        <is>
          <t>2.2b</t>
        </is>
      </c>
      <c r="D347" s="16" t="inlineStr">
        <is>
          <t>bajar la fuente (T_fuente × P_baja)</t>
        </is>
      </c>
      <c r="E347" s="16" t="inlineStr">
        <is>
          <t>KF-M02-N2</t>
        </is>
      </c>
      <c r="F347" s="16" t="inlineStr">
        <is>
          <t>KF-M02-N2-B</t>
        </is>
      </c>
      <c r="G347" s="16" t="inlineStr">
        <is>
          <t>B03-B</t>
        </is>
      </c>
      <c r="H347" s="16" t="inlineStr">
        <is>
          <t>biseccion</t>
        </is>
      </c>
      <c r="I347" s="16" t="inlineStr">
        <is>
          <t>CORREGIBLE</t>
        </is>
      </c>
      <c r="J347" s="16" t="inlineStr">
        <is>
          <t>CORREGIBLE</t>
        </is>
      </c>
      <c r="K347" s="16" t="b">
        <v>1</v>
      </c>
      <c r="L347" s="16" t="b">
        <v>0</v>
      </c>
      <c r="M347" s="16" t="b">
        <v>0</v>
      </c>
      <c r="N347" s="16" t="b">
        <v>0</v>
      </c>
      <c r="O347" s="16" t="n">
        <v>403</v>
      </c>
      <c r="P347" s="16" t="n">
        <v>300.032917</v>
      </c>
      <c r="Q347" s="16" t="n">
        <v>3000</v>
      </c>
      <c r="R347" s="16" t="n">
        <v>554.5454545454546</v>
      </c>
      <c r="S347" s="16" t="n">
        <v>0.5</v>
      </c>
      <c r="T347" s="16" t="n">
        <v>0.85</v>
      </c>
      <c r="U347" s="16" t="n">
        <v>0.75</v>
      </c>
      <c r="V347" s="16" t="n">
        <v>0.85</v>
      </c>
      <c r="W347" s="16" t="n">
        <v>0.75</v>
      </c>
      <c r="X347" s="16" t="n">
        <v>0.8</v>
      </c>
      <c r="Y347" s="16" t="n"/>
      <c r="Z347" s="16" t="n">
        <v>8.562046045106101</v>
      </c>
      <c r="AA347" s="16" t="n">
        <v>26.18835671346365</v>
      </c>
      <c r="AB347" s="16" t="n">
        <v>2445.454545454545</v>
      </c>
      <c r="AC347" s="16" t="n">
        <v>5.40983606557377</v>
      </c>
      <c r="AD347" s="16" t="inlineStr">
        <is>
          <t>O2</t>
        </is>
      </c>
      <c r="AE347" s="16" t="n"/>
    </row>
    <row r="348">
      <c r="A348" s="16" t="inlineStr">
        <is>
          <t>KF-M02-N2-B-0136</t>
        </is>
      </c>
      <c r="B348" s="16" t="inlineStr">
        <is>
          <t>2.2</t>
        </is>
      </c>
      <c r="C348" s="16" t="inlineStr">
        <is>
          <t>2.2b</t>
        </is>
      </c>
      <c r="D348" s="16" t="inlineStr">
        <is>
          <t>bajar la fuente (T_fuente × P_baja)</t>
        </is>
      </c>
      <c r="E348" s="16" t="inlineStr">
        <is>
          <t>KF-M02-N2</t>
        </is>
      </c>
      <c r="F348" s="16" t="inlineStr">
        <is>
          <t>KF-M02-N2-B</t>
        </is>
      </c>
      <c r="G348" s="16" t="inlineStr">
        <is>
          <t>B03-B</t>
        </is>
      </c>
      <c r="H348" s="16" t="inlineStr">
        <is>
          <t>biseccion</t>
        </is>
      </c>
      <c r="I348" s="16" t="inlineStr">
        <is>
          <t>CORREGIBLE</t>
        </is>
      </c>
      <c r="J348" s="16" t="inlineStr">
        <is>
          <t>CORREGIBLE</t>
        </is>
      </c>
      <c r="K348" s="16" t="b">
        <v>1</v>
      </c>
      <c r="L348" s="16" t="b">
        <v>0</v>
      </c>
      <c r="M348" s="16" t="b">
        <v>0</v>
      </c>
      <c r="N348" s="16" t="b">
        <v>0</v>
      </c>
      <c r="O348" s="16" t="n">
        <v>403</v>
      </c>
      <c r="P348" s="16" t="n">
        <v>300.032917</v>
      </c>
      <c r="Q348" s="16" t="n">
        <v>3000</v>
      </c>
      <c r="R348" s="16" t="n">
        <v>554.5454545454546</v>
      </c>
      <c r="S348" s="16" t="n">
        <v>0.5</v>
      </c>
      <c r="T348" s="16" t="n">
        <v>0.85</v>
      </c>
      <c r="U348" s="16" t="n">
        <v>0.75</v>
      </c>
      <c r="V348" s="16" t="n">
        <v>0.85</v>
      </c>
      <c r="W348" s="16" t="n">
        <v>0.75</v>
      </c>
      <c r="X348" s="16" t="n">
        <v>0.8</v>
      </c>
      <c r="Y348" s="16" t="n"/>
      <c r="Z348" s="16" t="n">
        <v>8.562046045106101</v>
      </c>
      <c r="AA348" s="16" t="n">
        <v>26.18835671346365</v>
      </c>
      <c r="AB348" s="16" t="n">
        <v>2445.454545454545</v>
      </c>
      <c r="AC348" s="16" t="n">
        <v>5.40983606557377</v>
      </c>
      <c r="AD348" s="16" t="inlineStr">
        <is>
          <t>O2</t>
        </is>
      </c>
      <c r="AE348" s="16" t="n"/>
    </row>
    <row r="349">
      <c r="A349" s="16" t="inlineStr">
        <is>
          <t>KF-M02-N2-B-0137</t>
        </is>
      </c>
      <c r="B349" s="16" t="inlineStr">
        <is>
          <t>2.2</t>
        </is>
      </c>
      <c r="C349" s="16" t="inlineStr">
        <is>
          <t>2.2b</t>
        </is>
      </c>
      <c r="D349" s="16" t="inlineStr">
        <is>
          <t>bajar la fuente (T_fuente × P_baja)</t>
        </is>
      </c>
      <c r="E349" s="16" t="inlineStr">
        <is>
          <t>KF-M02-N2</t>
        </is>
      </c>
      <c r="F349" s="16" t="inlineStr">
        <is>
          <t>KF-M02-N2-B</t>
        </is>
      </c>
      <c r="G349" s="16" t="inlineStr">
        <is>
          <t>B03-B</t>
        </is>
      </c>
      <c r="H349" s="16" t="inlineStr">
        <is>
          <t>biseccion</t>
        </is>
      </c>
      <c r="I349" s="16" t="inlineStr">
        <is>
          <t>KALINA</t>
        </is>
      </c>
      <c r="J349" s="16" t="inlineStr">
        <is>
          <t>KALINA</t>
        </is>
      </c>
      <c r="K349" s="16" t="b">
        <v>1</v>
      </c>
      <c r="L349" s="16" t="b">
        <v>1</v>
      </c>
      <c r="M349" s="16" t="b">
        <v>0</v>
      </c>
      <c r="N349" s="16" t="b">
        <v>0</v>
      </c>
      <c r="O349" s="16" t="n">
        <v>390</v>
      </c>
      <c r="P349" s="16" t="n">
        <v>300.032917</v>
      </c>
      <c r="Q349" s="16" t="n">
        <v>3000</v>
      </c>
      <c r="R349" s="16" t="n">
        <v>445.4545454545455</v>
      </c>
      <c r="S349" s="16" t="n">
        <v>0.5</v>
      </c>
      <c r="T349" s="16" t="n">
        <v>0.85</v>
      </c>
      <c r="U349" s="16" t="n">
        <v>0.75</v>
      </c>
      <c r="V349" s="16" t="n">
        <v>0.85</v>
      </c>
      <c r="W349" s="16" t="n">
        <v>0.75</v>
      </c>
      <c r="X349" s="16" t="n">
        <v>0.8</v>
      </c>
      <c r="Y349" s="16" t="n"/>
      <c r="Z349" s="16" t="n">
        <v>2.44636612548111</v>
      </c>
      <c r="AA349" s="16" t="n">
        <v>3.546531884657098</v>
      </c>
      <c r="AB349" s="16" t="n">
        <v>2554.545454545455</v>
      </c>
      <c r="AC349" s="16" t="n">
        <v>6.734693877551019</v>
      </c>
      <c r="AD349" s="16" t="n"/>
      <c r="AE349" s="16" t="n"/>
    </row>
    <row r="350">
      <c r="A350" s="16" t="inlineStr">
        <is>
          <t>KF-M02-N2-B-0138</t>
        </is>
      </c>
      <c r="B350" s="16" t="inlineStr">
        <is>
          <t>2.2</t>
        </is>
      </c>
      <c r="C350" s="16" t="inlineStr">
        <is>
          <t>2.2b</t>
        </is>
      </c>
      <c r="D350" s="16" t="inlineStr">
        <is>
          <t>bajar la fuente (T_fuente × P_baja)</t>
        </is>
      </c>
      <c r="E350" s="16" t="inlineStr">
        <is>
          <t>KF-M02-N2</t>
        </is>
      </c>
      <c r="F350" s="16" t="inlineStr">
        <is>
          <t>KF-M02-N2-B</t>
        </is>
      </c>
      <c r="G350" s="16" t="inlineStr">
        <is>
          <t>B03-B</t>
        </is>
      </c>
      <c r="H350" s="16" t="inlineStr">
        <is>
          <t>biseccion</t>
        </is>
      </c>
      <c r="I350" s="16" t="inlineStr">
        <is>
          <t>KALINA</t>
        </is>
      </c>
      <c r="J350" s="16" t="inlineStr">
        <is>
          <t>KALINA</t>
        </is>
      </c>
      <c r="K350" s="16" t="b">
        <v>1</v>
      </c>
      <c r="L350" s="16" t="b">
        <v>1</v>
      </c>
      <c r="M350" s="16" t="b">
        <v>0</v>
      </c>
      <c r="N350" s="16" t="b">
        <v>0</v>
      </c>
      <c r="O350" s="16" t="n">
        <v>390</v>
      </c>
      <c r="P350" s="16" t="n">
        <v>300.032917</v>
      </c>
      <c r="Q350" s="16" t="n">
        <v>3000</v>
      </c>
      <c r="R350" s="16" t="n">
        <v>445.4545454545455</v>
      </c>
      <c r="S350" s="16" t="n">
        <v>0.5</v>
      </c>
      <c r="T350" s="16" t="n">
        <v>0.85</v>
      </c>
      <c r="U350" s="16" t="n">
        <v>0.75</v>
      </c>
      <c r="V350" s="16" t="n">
        <v>0.85</v>
      </c>
      <c r="W350" s="16" t="n">
        <v>0.75</v>
      </c>
      <c r="X350" s="16" t="n">
        <v>0.8</v>
      </c>
      <c r="Y350" s="16" t="n"/>
      <c r="Z350" s="16" t="n">
        <v>2.44636612548111</v>
      </c>
      <c r="AA350" s="16" t="n">
        <v>3.546531884657098</v>
      </c>
      <c r="AB350" s="16" t="n">
        <v>2554.545454545455</v>
      </c>
      <c r="AC350" s="16" t="n">
        <v>6.734693877551019</v>
      </c>
      <c r="AD350" s="16" t="n"/>
      <c r="AE350" s="16" t="n"/>
    </row>
    <row r="351">
      <c r="A351" s="16" t="inlineStr">
        <is>
          <t>KF-M02-N2-B-0139</t>
        </is>
      </c>
      <c r="B351" s="16" t="inlineStr">
        <is>
          <t>2.2</t>
        </is>
      </c>
      <c r="C351" s="16" t="inlineStr">
        <is>
          <t>2.2b</t>
        </is>
      </c>
      <c r="D351" s="16" t="inlineStr">
        <is>
          <t>bajar la fuente (T_fuente × P_baja)</t>
        </is>
      </c>
      <c r="E351" s="16" t="inlineStr">
        <is>
          <t>KF-M02-N2</t>
        </is>
      </c>
      <c r="F351" s="16" t="inlineStr">
        <is>
          <t>KF-M02-N2-B</t>
        </is>
      </c>
      <c r="G351" s="16" t="inlineStr">
        <is>
          <t>B03-B</t>
        </is>
      </c>
      <c r="H351" s="16" t="inlineStr">
        <is>
          <t>biseccion</t>
        </is>
      </c>
      <c r="I351" s="16" t="inlineStr">
        <is>
          <t>KALINA</t>
        </is>
      </c>
      <c r="J351" s="16" t="inlineStr">
        <is>
          <t>KALINA</t>
        </is>
      </c>
      <c r="K351" s="16" t="b">
        <v>1</v>
      </c>
      <c r="L351" s="16" t="b">
        <v>1</v>
      </c>
      <c r="M351" s="16" t="b">
        <v>0</v>
      </c>
      <c r="N351" s="16" t="b">
        <v>0</v>
      </c>
      <c r="O351" s="16" t="n">
        <v>420</v>
      </c>
      <c r="P351" s="16" t="n">
        <v>300.032917</v>
      </c>
      <c r="Q351" s="16" t="n">
        <v>3000</v>
      </c>
      <c r="R351" s="16" t="n">
        <v>736.3636363636365</v>
      </c>
      <c r="S351" s="16" t="n">
        <v>0.5</v>
      </c>
      <c r="T351" s="16" t="n">
        <v>0.85</v>
      </c>
      <c r="U351" s="16" t="n">
        <v>0.75</v>
      </c>
      <c r="V351" s="16" t="n">
        <v>0.85</v>
      </c>
      <c r="W351" s="16" t="n">
        <v>0.75</v>
      </c>
      <c r="X351" s="16" t="n">
        <v>0.8</v>
      </c>
      <c r="Y351" s="16" t="n"/>
      <c r="Z351" s="16" t="n">
        <v>9.15042106800243</v>
      </c>
      <c r="AA351" s="16" t="n">
        <v>45.9992356419883</v>
      </c>
      <c r="AB351" s="16" t="n">
        <v>2263.636363636364</v>
      </c>
      <c r="AC351" s="16" t="n">
        <v>4.074074074074074</v>
      </c>
      <c r="AD351" s="16" t="n"/>
      <c r="AE351" s="16" t="n"/>
    </row>
    <row r="352">
      <c r="A352" s="16" t="inlineStr">
        <is>
          <t>KF-M02-N2-B-0140</t>
        </is>
      </c>
      <c r="B352" s="16" t="inlineStr">
        <is>
          <t>2.2</t>
        </is>
      </c>
      <c r="C352" s="16" t="inlineStr">
        <is>
          <t>2.2b</t>
        </is>
      </c>
      <c r="D352" s="16" t="inlineStr">
        <is>
          <t>bajar la fuente (T_fuente × P_baja)</t>
        </is>
      </c>
      <c r="E352" s="16" t="inlineStr">
        <is>
          <t>KF-M02-N2</t>
        </is>
      </c>
      <c r="F352" s="16" t="inlineStr">
        <is>
          <t>KF-M02-N2-B</t>
        </is>
      </c>
      <c r="G352" s="16" t="inlineStr">
        <is>
          <t>B03-B</t>
        </is>
      </c>
      <c r="H352" s="16" t="inlineStr">
        <is>
          <t>biseccion</t>
        </is>
      </c>
      <c r="I352" s="16" t="inlineStr">
        <is>
          <t>KALINA</t>
        </is>
      </c>
      <c r="J352" s="16" t="inlineStr">
        <is>
          <t>KALINA</t>
        </is>
      </c>
      <c r="K352" s="16" t="b">
        <v>1</v>
      </c>
      <c r="L352" s="16" t="b">
        <v>1</v>
      </c>
      <c r="M352" s="16" t="b">
        <v>0</v>
      </c>
      <c r="N352" s="16" t="b">
        <v>0</v>
      </c>
      <c r="O352" s="16" t="n">
        <v>420</v>
      </c>
      <c r="P352" s="16" t="n">
        <v>300.032917</v>
      </c>
      <c r="Q352" s="16" t="n">
        <v>3000</v>
      </c>
      <c r="R352" s="16" t="n">
        <v>736.3636363636365</v>
      </c>
      <c r="S352" s="16" t="n">
        <v>0.5</v>
      </c>
      <c r="T352" s="16" t="n">
        <v>0.85</v>
      </c>
      <c r="U352" s="16" t="n">
        <v>0.75</v>
      </c>
      <c r="V352" s="16" t="n">
        <v>0.85</v>
      </c>
      <c r="W352" s="16" t="n">
        <v>0.75</v>
      </c>
      <c r="X352" s="16" t="n">
        <v>0.8</v>
      </c>
      <c r="Y352" s="16" t="n"/>
      <c r="Z352" s="16" t="n">
        <v>9.15042106800243</v>
      </c>
      <c r="AA352" s="16" t="n">
        <v>45.9992356419883</v>
      </c>
      <c r="AB352" s="16" t="n">
        <v>2263.636363636364</v>
      </c>
      <c r="AC352" s="16" t="n">
        <v>4.074074074074074</v>
      </c>
      <c r="AD352" s="16" t="n"/>
      <c r="AE352" s="16" t="n"/>
    </row>
    <row r="353">
      <c r="A353" s="16" t="inlineStr">
        <is>
          <t>KF-M02-N2-B-0141</t>
        </is>
      </c>
      <c r="B353" s="16" t="inlineStr">
        <is>
          <t>2.2</t>
        </is>
      </c>
      <c r="C353" s="16" t="inlineStr">
        <is>
          <t>2.2b</t>
        </is>
      </c>
      <c r="D353" s="16" t="inlineStr">
        <is>
          <t>bajar la fuente (T_fuente × P_baja)</t>
        </is>
      </c>
      <c r="E353" s="16" t="inlineStr">
        <is>
          <t>KF-M02-N2</t>
        </is>
      </c>
      <c r="F353" s="16" t="inlineStr">
        <is>
          <t>KF-M02-N2-B</t>
        </is>
      </c>
      <c r="G353" s="16" t="inlineStr">
        <is>
          <t>B03-B</t>
        </is>
      </c>
      <c r="H353" s="16" t="inlineStr">
        <is>
          <t>biseccion</t>
        </is>
      </c>
      <c r="I353" s="16" t="inlineStr">
        <is>
          <t>CORREGIBLE</t>
        </is>
      </c>
      <c r="J353" s="16" t="inlineStr">
        <is>
          <t>CORREGIBLE</t>
        </is>
      </c>
      <c r="K353" s="16" t="b">
        <v>1</v>
      </c>
      <c r="L353" s="16" t="b">
        <v>0</v>
      </c>
      <c r="M353" s="16" t="b">
        <v>1</v>
      </c>
      <c r="N353" s="16" t="b">
        <v>0</v>
      </c>
      <c r="O353" s="16" t="n">
        <v>434</v>
      </c>
      <c r="P353" s="16" t="n">
        <v>300.032917</v>
      </c>
      <c r="Q353" s="16" t="n">
        <v>3000</v>
      </c>
      <c r="R353" s="16" t="n">
        <v>936.3636363636364</v>
      </c>
      <c r="S353" s="16" t="n">
        <v>0.5</v>
      </c>
      <c r="T353" s="16" t="n">
        <v>0.85</v>
      </c>
      <c r="U353" s="16" t="n">
        <v>0.75</v>
      </c>
      <c r="V353" s="16" t="n">
        <v>0.85</v>
      </c>
      <c r="W353" s="16" t="n">
        <v>0.75</v>
      </c>
      <c r="X353" s="16" t="n">
        <v>0.8</v>
      </c>
      <c r="Y353" s="16" t="n"/>
      <c r="Z353" s="16" t="n">
        <v>8.30030992706387</v>
      </c>
      <c r="AA353" s="16" t="n">
        <v>56.72759985613434</v>
      </c>
      <c r="AB353" s="16" t="n">
        <v>2063.636363636364</v>
      </c>
      <c r="AC353" s="16" t="n">
        <v>3.203883495145631</v>
      </c>
      <c r="AD353" s="16" t="inlineStr">
        <is>
          <t>O2</t>
        </is>
      </c>
      <c r="AE353" s="16" t="n"/>
    </row>
    <row r="354">
      <c r="A354" s="16" t="inlineStr">
        <is>
          <t>KF-M02-N2-B-0142</t>
        </is>
      </c>
      <c r="B354" s="16" t="inlineStr">
        <is>
          <t>2.2</t>
        </is>
      </c>
      <c r="C354" s="16" t="inlineStr">
        <is>
          <t>2.2b</t>
        </is>
      </c>
      <c r="D354" s="16" t="inlineStr">
        <is>
          <t>bajar la fuente (T_fuente × P_baja)</t>
        </is>
      </c>
      <c r="E354" s="16" t="inlineStr">
        <is>
          <t>KF-M02-N2</t>
        </is>
      </c>
      <c r="F354" s="16" t="inlineStr">
        <is>
          <t>KF-M02-N2-B</t>
        </is>
      </c>
      <c r="G354" s="16" t="inlineStr">
        <is>
          <t>B03-B</t>
        </is>
      </c>
      <c r="H354" s="16" t="inlineStr">
        <is>
          <t>biseccion</t>
        </is>
      </c>
      <c r="I354" s="16" t="inlineStr">
        <is>
          <t>CORREGIBLE</t>
        </is>
      </c>
      <c r="J354" s="16" t="inlineStr">
        <is>
          <t>CORREGIBLE</t>
        </is>
      </c>
      <c r="K354" s="16" t="b">
        <v>1</v>
      </c>
      <c r="L354" s="16" t="b">
        <v>0</v>
      </c>
      <c r="M354" s="16" t="b">
        <v>1</v>
      </c>
      <c r="N354" s="16" t="b">
        <v>0</v>
      </c>
      <c r="O354" s="16" t="n">
        <v>434</v>
      </c>
      <c r="P354" s="16" t="n">
        <v>300.032917</v>
      </c>
      <c r="Q354" s="16" t="n">
        <v>3000</v>
      </c>
      <c r="R354" s="16" t="n">
        <v>936.3636363636364</v>
      </c>
      <c r="S354" s="16" t="n">
        <v>0.5</v>
      </c>
      <c r="T354" s="16" t="n">
        <v>0.85</v>
      </c>
      <c r="U354" s="16" t="n">
        <v>0.75</v>
      </c>
      <c r="V354" s="16" t="n">
        <v>0.85</v>
      </c>
      <c r="W354" s="16" t="n">
        <v>0.75</v>
      </c>
      <c r="X354" s="16" t="n">
        <v>0.8</v>
      </c>
      <c r="Y354" s="16" t="n"/>
      <c r="Z354" s="16" t="n">
        <v>8.30030992706387</v>
      </c>
      <c r="AA354" s="16" t="n">
        <v>56.72759985613434</v>
      </c>
      <c r="AB354" s="16" t="n">
        <v>2063.636363636364</v>
      </c>
      <c r="AC354" s="16" t="n">
        <v>3.203883495145631</v>
      </c>
      <c r="AD354" s="16" t="inlineStr">
        <is>
          <t>O2</t>
        </is>
      </c>
      <c r="AE354" s="16" t="n"/>
    </row>
    <row r="355">
      <c r="A355" s="16" t="inlineStr">
        <is>
          <t>KF-M02-N2-B-0143</t>
        </is>
      </c>
      <c r="B355" s="16" t="inlineStr">
        <is>
          <t>2.2</t>
        </is>
      </c>
      <c r="C355" s="16" t="inlineStr">
        <is>
          <t>2.2b</t>
        </is>
      </c>
      <c r="D355" s="16" t="inlineStr">
        <is>
          <t>bajar la fuente (T_fuente × P_baja)</t>
        </is>
      </c>
      <c r="E355" s="16" t="inlineStr">
        <is>
          <t>KF-M02-N2</t>
        </is>
      </c>
      <c r="F355" s="16" t="inlineStr">
        <is>
          <t>KF-M02-N2-B</t>
        </is>
      </c>
      <c r="G355" s="16" t="inlineStr">
        <is>
          <t>B03-B</t>
        </is>
      </c>
      <c r="H355" s="16" t="inlineStr">
        <is>
          <t>biseccion</t>
        </is>
      </c>
      <c r="I355" s="16" t="inlineStr">
        <is>
          <t>KALINA</t>
        </is>
      </c>
      <c r="J355" s="16" t="inlineStr">
        <is>
          <t>KALINA</t>
        </is>
      </c>
      <c r="K355" s="16" t="b">
        <v>1</v>
      </c>
      <c r="L355" s="16" t="b">
        <v>0</v>
      </c>
      <c r="M355" s="16" t="b">
        <v>1</v>
      </c>
      <c r="N355" s="16" t="b">
        <v>0</v>
      </c>
      <c r="O355" s="16" t="n">
        <v>434</v>
      </c>
      <c r="P355" s="16" t="n">
        <v>300.032917</v>
      </c>
      <c r="Q355" s="16" t="n">
        <v>3000</v>
      </c>
      <c r="R355" s="16" t="n">
        <v>1827.272727272728</v>
      </c>
      <c r="S355" s="16" t="n">
        <v>0.5</v>
      </c>
      <c r="T355" s="16" t="n">
        <v>0.85</v>
      </c>
      <c r="U355" s="16" t="n">
        <v>0.75</v>
      </c>
      <c r="V355" s="16" t="n">
        <v>0.85</v>
      </c>
      <c r="W355" s="16" t="n">
        <v>0.75</v>
      </c>
      <c r="X355" s="16" t="n">
        <v>0.8</v>
      </c>
      <c r="Y355" s="16" t="n"/>
      <c r="Z355" s="16" t="n">
        <v>3.60855893653529</v>
      </c>
      <c r="AA355" s="16" t="n">
        <v>24.55501650713047</v>
      </c>
      <c r="AB355" s="16" t="n">
        <v>1172.727272727272</v>
      </c>
      <c r="AC355" s="16" t="n">
        <v>1.641791044776119</v>
      </c>
      <c r="AD355" s="16" t="n"/>
      <c r="AE355" s="16" t="n"/>
    </row>
    <row r="356">
      <c r="A356" s="16" t="inlineStr">
        <is>
          <t>KF-M02R-n1-0000</t>
        </is>
      </c>
      <c r="B356" s="16" t="inlineStr">
        <is>
          <t>2.3</t>
        </is>
      </c>
      <c r="C356" s="16" t="inlineStr">
        <is>
          <t>2.3a</t>
        </is>
      </c>
      <c r="D356" s="16" t="inlineStr">
        <is>
          <t>un cambio</t>
        </is>
      </c>
      <c r="E356" s="16" t="inlineStr">
        <is>
          <t>KF-M02R</t>
        </is>
      </c>
      <c r="F356" s="16" t="inlineStr">
        <is>
          <t>KF-M02R-n1</t>
        </is>
      </c>
      <c r="G356" s="16" t="inlineStr">
        <is>
          <t>B04-n1</t>
        </is>
      </c>
      <c r="H356" s="16" t="inlineStr">
        <is>
          <t>malla</t>
        </is>
      </c>
      <c r="I356" s="16" t="inlineStr">
        <is>
          <t>NO_CONVERGIO</t>
        </is>
      </c>
      <c r="J356" s="16" t="inlineStr">
        <is>
          <t>NO_CONVERGIO</t>
        </is>
      </c>
      <c r="K356" s="16" t="b">
        <v>0</v>
      </c>
      <c r="L356" s="16" t="b">
        <v>0</v>
      </c>
      <c r="M356" s="16" t="b">
        <v>0</v>
      </c>
      <c r="N356" s="16" t="b">
        <v>0</v>
      </c>
      <c r="O356" s="16" t="n">
        <v>623.15</v>
      </c>
      <c r="P356" s="16" t="n">
        <v>300.032917</v>
      </c>
      <c r="Q356" s="16" t="n">
        <v>3000</v>
      </c>
      <c r="R356" s="16" t="n">
        <v>400</v>
      </c>
      <c r="S356" s="16" t="n">
        <v>0.5</v>
      </c>
      <c r="T356" s="16" t="n">
        <v>0.85</v>
      </c>
      <c r="U356" s="16" t="n">
        <v>0.75</v>
      </c>
      <c r="V356" s="16" t="n">
        <v>0.5</v>
      </c>
      <c r="W356" s="16" t="n">
        <v>0.75</v>
      </c>
      <c r="X356" s="16" t="n">
        <v>0.8</v>
      </c>
      <c r="Y356" s="16" t="n"/>
      <c r="Z356" s="16" t="n"/>
      <c r="AA356" s="16" t="n"/>
      <c r="AB356" s="16" t="n">
        <v>2600</v>
      </c>
      <c r="AC356" s="16" t="n">
        <v>7.5</v>
      </c>
      <c r="AD356" s="16" t="n"/>
      <c r="AE356" s="16" t="n"/>
    </row>
    <row r="357">
      <c r="A357" s="16" t="inlineStr">
        <is>
          <t>KF-M02R-n1-0001</t>
        </is>
      </c>
      <c r="B357" s="16" t="inlineStr">
        <is>
          <t>2.3</t>
        </is>
      </c>
      <c r="C357" s="16" t="inlineStr">
        <is>
          <t>2.3a</t>
        </is>
      </c>
      <c r="D357" s="16" t="inlineStr">
        <is>
          <t>un cambio</t>
        </is>
      </c>
      <c r="E357" s="16" t="inlineStr">
        <is>
          <t>KF-M02R</t>
        </is>
      </c>
      <c r="F357" s="16" t="inlineStr">
        <is>
          <t>KF-M02R-n1</t>
        </is>
      </c>
      <c r="G357" s="16" t="inlineStr">
        <is>
          <t>B04-n1</t>
        </is>
      </c>
      <c r="H357" s="16" t="inlineStr">
        <is>
          <t>malla</t>
        </is>
      </c>
      <c r="I357" s="16" t="inlineStr">
        <is>
          <t>CORREGIBLE</t>
        </is>
      </c>
      <c r="J357" s="16" t="inlineStr">
        <is>
          <t>CORREGIBLE</t>
        </is>
      </c>
      <c r="K357" s="16" t="b">
        <v>1</v>
      </c>
      <c r="L357" s="16" t="b">
        <v>0</v>
      </c>
      <c r="M357" s="16" t="b">
        <v>1</v>
      </c>
      <c r="N357" s="16" t="b">
        <v>0</v>
      </c>
      <c r="O357" s="16" t="n">
        <v>623.15</v>
      </c>
      <c r="P357" s="16" t="n">
        <v>300.032917</v>
      </c>
      <c r="Q357" s="16" t="n">
        <v>3000</v>
      </c>
      <c r="R357" s="16" t="n">
        <v>400</v>
      </c>
      <c r="S357" s="16" t="n">
        <v>0.5</v>
      </c>
      <c r="T357" s="16" t="n">
        <v>0.85</v>
      </c>
      <c r="U357" s="16" t="n">
        <v>0.75</v>
      </c>
      <c r="V357" s="16" t="n">
        <v>0.6</v>
      </c>
      <c r="W357" s="16" t="n">
        <v>0.75</v>
      </c>
      <c r="X357" s="16" t="n">
        <v>0.8</v>
      </c>
      <c r="Y357" s="16" t="n"/>
      <c r="Z357" s="16" t="n">
        <v>13.23191576952518</v>
      </c>
      <c r="AA357" s="16" t="n">
        <v>183.9792929010562</v>
      </c>
      <c r="AB357" s="16" t="n">
        <v>2600</v>
      </c>
      <c r="AC357" s="16" t="n">
        <v>7.5</v>
      </c>
      <c r="AD357" s="16" t="inlineStr">
        <is>
          <t>O2</t>
        </is>
      </c>
      <c r="AE357" s="16" t="n"/>
    </row>
    <row r="358">
      <c r="A358" s="16" t="inlineStr">
        <is>
          <t>KF-M02R-n1-0002</t>
        </is>
      </c>
      <c r="B358" s="16" t="inlineStr">
        <is>
          <t>2.3</t>
        </is>
      </c>
      <c r="C358" s="16" t="inlineStr">
        <is>
          <t>2.3a</t>
        </is>
      </c>
      <c r="D358" s="16" t="inlineStr">
        <is>
          <t>un cambio</t>
        </is>
      </c>
      <c r="E358" s="16" t="inlineStr">
        <is>
          <t>KF-M02R</t>
        </is>
      </c>
      <c r="F358" s="16" t="inlineStr">
        <is>
          <t>KF-M02R-n1</t>
        </is>
      </c>
      <c r="G358" s="16" t="inlineStr">
        <is>
          <t>B04-n1</t>
        </is>
      </c>
      <c r="H358" s="16" t="inlineStr">
        <is>
          <t>malla</t>
        </is>
      </c>
      <c r="I358" s="16" t="inlineStr">
        <is>
          <t>CORREGIBLE</t>
        </is>
      </c>
      <c r="J358" s="16" t="inlineStr">
        <is>
          <t>CORREGIBLE</t>
        </is>
      </c>
      <c r="K358" s="16" t="b">
        <v>1</v>
      </c>
      <c r="L358" s="16" t="b">
        <v>0</v>
      </c>
      <c r="M358" s="16" t="b">
        <v>1</v>
      </c>
      <c r="N358" s="16" t="b">
        <v>0</v>
      </c>
      <c r="O358" s="16" t="n">
        <v>623.15</v>
      </c>
      <c r="P358" s="16" t="n">
        <v>300.032917</v>
      </c>
      <c r="Q358" s="16" t="n">
        <v>3000</v>
      </c>
      <c r="R358" s="16" t="n">
        <v>400</v>
      </c>
      <c r="S358" s="16" t="n">
        <v>0.5</v>
      </c>
      <c r="T358" s="16" t="n">
        <v>0.85</v>
      </c>
      <c r="U358" s="16" t="n">
        <v>0.75</v>
      </c>
      <c r="V358" s="16" t="n">
        <v>0.4</v>
      </c>
      <c r="W358" s="16" t="n">
        <v>0.75</v>
      </c>
      <c r="X358" s="16" t="n">
        <v>0.8</v>
      </c>
      <c r="Y358" s="16" t="n"/>
      <c r="Z358" s="16" t="n">
        <v>13.31771154737231</v>
      </c>
      <c r="AA358" s="16" t="n">
        <v>124.9305023358619</v>
      </c>
      <c r="AB358" s="16" t="n">
        <v>2600</v>
      </c>
      <c r="AC358" s="16" t="n">
        <v>7.5</v>
      </c>
      <c r="AD358" s="16" t="inlineStr">
        <is>
          <t>O2</t>
        </is>
      </c>
      <c r="AE358" s="16" t="n"/>
    </row>
    <row r="359">
      <c r="A359" s="16" t="inlineStr">
        <is>
          <t>KF-M02R-n1-0003</t>
        </is>
      </c>
      <c r="B359" s="16" t="inlineStr">
        <is>
          <t>2.3</t>
        </is>
      </c>
      <c r="C359" s="16" t="inlineStr">
        <is>
          <t>2.3a</t>
        </is>
      </c>
      <c r="D359" s="16" t="inlineStr">
        <is>
          <t>un cambio</t>
        </is>
      </c>
      <c r="E359" s="16" t="inlineStr">
        <is>
          <t>KF-M02R</t>
        </is>
      </c>
      <c r="F359" s="16" t="inlineStr">
        <is>
          <t>KF-M02R-n1</t>
        </is>
      </c>
      <c r="G359" s="16" t="inlineStr">
        <is>
          <t>B04-n1</t>
        </is>
      </c>
      <c r="H359" s="16" t="inlineStr">
        <is>
          <t>malla</t>
        </is>
      </c>
      <c r="I359" s="16" t="inlineStr">
        <is>
          <t>CORREGIBLE</t>
        </is>
      </c>
      <c r="J359" s="16" t="inlineStr">
        <is>
          <t>CORREGIBLE</t>
        </is>
      </c>
      <c r="K359" s="16" t="b">
        <v>1</v>
      </c>
      <c r="L359" s="16" t="b">
        <v>0</v>
      </c>
      <c r="M359" s="16" t="b">
        <v>1</v>
      </c>
      <c r="N359" s="16" t="b">
        <v>0</v>
      </c>
      <c r="O359" s="16" t="n">
        <v>623.15</v>
      </c>
      <c r="P359" s="16" t="n">
        <v>300.032917</v>
      </c>
      <c r="Q359" s="16" t="n">
        <v>3000</v>
      </c>
      <c r="R359" s="16" t="n">
        <v>400</v>
      </c>
      <c r="S359" s="16" t="n">
        <v>0.5</v>
      </c>
      <c r="T359" s="16" t="n">
        <v>0.85</v>
      </c>
      <c r="U359" s="16" t="n">
        <v>0.75</v>
      </c>
      <c r="V359" s="16" t="n">
        <v>0.55</v>
      </c>
      <c r="W359" s="16" t="n">
        <v>0.75</v>
      </c>
      <c r="X359" s="16" t="n">
        <v>0.8</v>
      </c>
      <c r="Y359" s="16" t="n"/>
      <c r="Z359" s="16" t="n">
        <v>13.27777004320917</v>
      </c>
      <c r="AA359" s="16" t="n">
        <v>169.7656550562661</v>
      </c>
      <c r="AB359" s="16" t="n">
        <v>2600</v>
      </c>
      <c r="AC359" s="16" t="n">
        <v>7.5</v>
      </c>
      <c r="AD359" s="16" t="inlineStr">
        <is>
          <t>O2</t>
        </is>
      </c>
      <c r="AE359" s="16" t="n"/>
    </row>
    <row r="360">
      <c r="A360" s="16" t="inlineStr">
        <is>
          <t>KF-M02R-n1-0004</t>
        </is>
      </c>
      <c r="B360" s="16" t="inlineStr">
        <is>
          <t>2.3</t>
        </is>
      </c>
      <c r="C360" s="16" t="inlineStr">
        <is>
          <t>2.3a</t>
        </is>
      </c>
      <c r="D360" s="16" t="inlineStr">
        <is>
          <t>un cambio</t>
        </is>
      </c>
      <c r="E360" s="16" t="inlineStr">
        <is>
          <t>KF-M02R</t>
        </is>
      </c>
      <c r="F360" s="16" t="inlineStr">
        <is>
          <t>KF-M02R-n1</t>
        </is>
      </c>
      <c r="G360" s="16" t="inlineStr">
        <is>
          <t>B04-n1</t>
        </is>
      </c>
      <c r="H360" s="16" t="inlineStr">
        <is>
          <t>malla</t>
        </is>
      </c>
      <c r="I360" s="16" t="inlineStr">
        <is>
          <t>CORREGIBLE</t>
        </is>
      </c>
      <c r="J360" s="16" t="inlineStr">
        <is>
          <t>CORREGIBLE</t>
        </is>
      </c>
      <c r="K360" s="16" t="b">
        <v>1</v>
      </c>
      <c r="L360" s="16" t="b">
        <v>0</v>
      </c>
      <c r="M360" s="16" t="b">
        <v>1</v>
      </c>
      <c r="N360" s="16" t="b">
        <v>0</v>
      </c>
      <c r="O360" s="16" t="n">
        <v>623.15</v>
      </c>
      <c r="P360" s="16" t="n">
        <v>300.032917</v>
      </c>
      <c r="Q360" s="16" t="n">
        <v>3000</v>
      </c>
      <c r="R360" s="16" t="n">
        <v>400</v>
      </c>
      <c r="S360" s="16" t="n">
        <v>0.5</v>
      </c>
      <c r="T360" s="16" t="n">
        <v>0.85</v>
      </c>
      <c r="U360" s="16" t="n">
        <v>0.75</v>
      </c>
      <c r="V360" s="16" t="n">
        <v>0.45</v>
      </c>
      <c r="W360" s="16" t="n">
        <v>0.75</v>
      </c>
      <c r="X360" s="16" t="n">
        <v>0.8</v>
      </c>
      <c r="Y360" s="16" t="n"/>
      <c r="Z360" s="16" t="n">
        <v>13.33244779033548</v>
      </c>
      <c r="AA360" s="16" t="n">
        <v>140.2816692228818</v>
      </c>
      <c r="AB360" s="16" t="n">
        <v>2600</v>
      </c>
      <c r="AC360" s="16" t="n">
        <v>7.5</v>
      </c>
      <c r="AD360" s="16" t="inlineStr">
        <is>
          <t>O2</t>
        </is>
      </c>
      <c r="AE360" s="16" t="n"/>
    </row>
    <row r="361">
      <c r="A361" s="16" t="inlineStr">
        <is>
          <t>KF-M02R-n1-0005</t>
        </is>
      </c>
      <c r="B361" s="16" t="inlineStr">
        <is>
          <t>2.3</t>
        </is>
      </c>
      <c r="C361" s="16" t="inlineStr">
        <is>
          <t>2.3a</t>
        </is>
      </c>
      <c r="D361" s="16" t="inlineStr">
        <is>
          <t>un cambio</t>
        </is>
      </c>
      <c r="E361" s="16" t="inlineStr">
        <is>
          <t>KF-M02R</t>
        </is>
      </c>
      <c r="F361" s="16" t="inlineStr">
        <is>
          <t>KF-M02R-n1</t>
        </is>
      </c>
      <c r="G361" s="16" t="inlineStr">
        <is>
          <t>B04-n1</t>
        </is>
      </c>
      <c r="H361" s="16" t="inlineStr">
        <is>
          <t>malla</t>
        </is>
      </c>
      <c r="I361" s="16" t="inlineStr">
        <is>
          <t>CORREGIBLE</t>
        </is>
      </c>
      <c r="J361" s="16" t="inlineStr">
        <is>
          <t>CORREGIBLE</t>
        </is>
      </c>
      <c r="K361" s="16" t="b">
        <v>1</v>
      </c>
      <c r="L361" s="16" t="b">
        <v>0</v>
      </c>
      <c r="M361" s="16" t="b">
        <v>1</v>
      </c>
      <c r="N361" s="16" t="b">
        <v>0</v>
      </c>
      <c r="O361" s="16" t="n">
        <v>623.15</v>
      </c>
      <c r="P361" s="16" t="n">
        <v>300.032917</v>
      </c>
      <c r="Q361" s="16" t="n">
        <v>3000</v>
      </c>
      <c r="R361" s="16" t="n">
        <v>400</v>
      </c>
      <c r="S361" s="16" t="n">
        <v>0.5</v>
      </c>
      <c r="T361" s="16" t="n">
        <v>0.85</v>
      </c>
      <c r="U361" s="16" t="n">
        <v>0.75</v>
      </c>
      <c r="V361" s="16" t="n">
        <v>0.65</v>
      </c>
      <c r="W361" s="16" t="n">
        <v>0.75</v>
      </c>
      <c r="X361" s="16" t="n">
        <v>0.8</v>
      </c>
      <c r="Y361" s="16" t="n"/>
      <c r="Z361" s="16" t="n">
        <v>13.18240644492343</v>
      </c>
      <c r="AA361" s="16" t="n">
        <v>197.8722219438576</v>
      </c>
      <c r="AB361" s="16" t="n">
        <v>2600</v>
      </c>
      <c r="AC361" s="16" t="n">
        <v>7.5</v>
      </c>
      <c r="AD361" s="16" t="inlineStr">
        <is>
          <t>O2</t>
        </is>
      </c>
      <c r="AE361" s="16" t="n"/>
    </row>
    <row r="362">
      <c r="A362" s="16" t="inlineStr">
        <is>
          <t>KF-M02R-n1-0006</t>
        </is>
      </c>
      <c r="B362" s="16" t="inlineStr">
        <is>
          <t>2.3</t>
        </is>
      </c>
      <c r="C362" s="16" t="inlineStr">
        <is>
          <t>2.3a</t>
        </is>
      </c>
      <c r="D362" s="16" t="inlineStr">
        <is>
          <t>un cambio</t>
        </is>
      </c>
      <c r="E362" s="16" t="inlineStr">
        <is>
          <t>KF-M02R</t>
        </is>
      </c>
      <c r="F362" s="16" t="inlineStr">
        <is>
          <t>KF-M02R-n1</t>
        </is>
      </c>
      <c r="G362" s="16" t="inlineStr">
        <is>
          <t>B04-n1</t>
        </is>
      </c>
      <c r="H362" s="16" t="inlineStr">
        <is>
          <t>malla</t>
        </is>
      </c>
      <c r="I362" s="16" t="inlineStr">
        <is>
          <t>NO_CONVERGIO</t>
        </is>
      </c>
      <c r="J362" s="16" t="inlineStr">
        <is>
          <t>NO_CONVERGIO</t>
        </is>
      </c>
      <c r="K362" s="16" t="b">
        <v>0</v>
      </c>
      <c r="L362" s="16" t="b">
        <v>0</v>
      </c>
      <c r="M362" s="16" t="b">
        <v>0</v>
      </c>
      <c r="N362" s="16" t="b">
        <v>0</v>
      </c>
      <c r="O362" s="16" t="n">
        <v>623.15</v>
      </c>
      <c r="P362" s="16" t="n">
        <v>300.032917</v>
      </c>
      <c r="Q362" s="16" t="n">
        <v>3000</v>
      </c>
      <c r="R362" s="16" t="n">
        <v>400</v>
      </c>
      <c r="S362" s="16" t="n">
        <v>0.5</v>
      </c>
      <c r="T362" s="16" t="n">
        <v>0.85</v>
      </c>
      <c r="U362" s="16" t="n">
        <v>0.75</v>
      </c>
      <c r="V362" s="16" t="n">
        <v>0.8999999999999999</v>
      </c>
      <c r="W362" s="16" t="n">
        <v>0.75</v>
      </c>
      <c r="X362" s="16" t="n">
        <v>0.8</v>
      </c>
      <c r="Y362" s="16" t="n"/>
      <c r="Z362" s="16" t="n"/>
      <c r="AA362" s="16" t="n"/>
      <c r="AB362" s="16" t="n">
        <v>2600</v>
      </c>
      <c r="AC362" s="16" t="n">
        <v>7.5</v>
      </c>
      <c r="AD362" s="16" t="n"/>
      <c r="AE362" s="16" t="n"/>
    </row>
    <row r="363">
      <c r="A363" s="16" t="inlineStr">
        <is>
          <t>KF-M02R-n1-0007</t>
        </is>
      </c>
      <c r="B363" s="16" t="inlineStr">
        <is>
          <t>2.3</t>
        </is>
      </c>
      <c r="C363" s="16" t="inlineStr">
        <is>
          <t>2.3a</t>
        </is>
      </c>
      <c r="D363" s="16" t="inlineStr">
        <is>
          <t>un cambio</t>
        </is>
      </c>
      <c r="E363" s="16" t="inlineStr">
        <is>
          <t>KF-M02R</t>
        </is>
      </c>
      <c r="F363" s="16" t="inlineStr">
        <is>
          <t>KF-M02R-n1</t>
        </is>
      </c>
      <c r="G363" s="16" t="inlineStr">
        <is>
          <t>B04-n1</t>
        </is>
      </c>
      <c r="H363" s="16" t="inlineStr">
        <is>
          <t>malla</t>
        </is>
      </c>
      <c r="I363" s="16" t="inlineStr">
        <is>
          <t>NO_CONVERGIO</t>
        </is>
      </c>
      <c r="J363" s="16" t="inlineStr">
        <is>
          <t>NO_CONVERGIO</t>
        </is>
      </c>
      <c r="K363" s="16" t="b">
        <v>0</v>
      </c>
      <c r="L363" s="16" t="b">
        <v>0</v>
      </c>
      <c r="M363" s="16" t="b">
        <v>0</v>
      </c>
      <c r="N363" s="16" t="b">
        <v>0</v>
      </c>
      <c r="O363" s="16" t="n">
        <v>623.15</v>
      </c>
      <c r="P363" s="16" t="n">
        <v>300.032917</v>
      </c>
      <c r="Q363" s="16" t="n">
        <v>3000</v>
      </c>
      <c r="R363" s="16" t="n">
        <v>400</v>
      </c>
      <c r="S363" s="16" t="n">
        <v>0.5</v>
      </c>
      <c r="T363" s="16" t="n">
        <v>0.85</v>
      </c>
      <c r="U363" s="16" t="n">
        <v>0.75</v>
      </c>
      <c r="V363" s="16" t="n">
        <v>0.95</v>
      </c>
      <c r="W363" s="16" t="n">
        <v>0.75</v>
      </c>
      <c r="X363" s="16" t="n">
        <v>0.8</v>
      </c>
      <c r="Y363" s="16" t="n"/>
      <c r="Z363" s="16" t="n"/>
      <c r="AA363" s="16" t="n"/>
      <c r="AB363" s="16" t="n">
        <v>2600</v>
      </c>
      <c r="AC363" s="16" t="n">
        <v>7.5</v>
      </c>
      <c r="AD363" s="16" t="n"/>
      <c r="AE363" s="16" t="n"/>
    </row>
    <row r="364">
      <c r="A364" s="16" t="inlineStr">
        <is>
          <t>KF-M02R-n1-0008</t>
        </is>
      </c>
      <c r="B364" s="16" t="inlineStr">
        <is>
          <t>2.3</t>
        </is>
      </c>
      <c r="C364" s="16" t="inlineStr">
        <is>
          <t>2.3a</t>
        </is>
      </c>
      <c r="D364" s="16" t="inlineStr">
        <is>
          <t>un cambio</t>
        </is>
      </c>
      <c r="E364" s="16" t="inlineStr">
        <is>
          <t>KF-M02R</t>
        </is>
      </c>
      <c r="F364" s="16" t="inlineStr">
        <is>
          <t>KF-M02R-n1</t>
        </is>
      </c>
      <c r="G364" s="16" t="inlineStr">
        <is>
          <t>B04-n1</t>
        </is>
      </c>
      <c r="H364" s="16" t="inlineStr">
        <is>
          <t>malla</t>
        </is>
      </c>
      <c r="I364" s="16" t="inlineStr">
        <is>
          <t>NO_CONVERGIO</t>
        </is>
      </c>
      <c r="J364" s="16" t="inlineStr">
        <is>
          <t>NO_CONVERGIO</t>
        </is>
      </c>
      <c r="K364" s="16" t="b">
        <v>0</v>
      </c>
      <c r="L364" s="16" t="b">
        <v>0</v>
      </c>
      <c r="M364" s="16" t="b">
        <v>0</v>
      </c>
      <c r="N364" s="16" t="b">
        <v>0</v>
      </c>
      <c r="O364" s="16" t="n">
        <v>623.15</v>
      </c>
      <c r="P364" s="16" t="n">
        <v>300.032917</v>
      </c>
      <c r="Q364" s="16" t="n">
        <v>3000</v>
      </c>
      <c r="R364" s="16" t="n">
        <v>400</v>
      </c>
      <c r="S364" s="16" t="n">
        <v>0.5</v>
      </c>
      <c r="T364" s="16" t="n">
        <v>0.85</v>
      </c>
      <c r="U364" s="16" t="n">
        <v>0.75</v>
      </c>
      <c r="V364" s="16" t="n">
        <v>0.85</v>
      </c>
      <c r="W364" s="16" t="n">
        <v>0.75</v>
      </c>
      <c r="X364" s="16" t="n">
        <v>0.8</v>
      </c>
      <c r="Y364" s="16" t="n"/>
      <c r="Z364" s="16" t="n"/>
      <c r="AA364" s="16" t="n"/>
      <c r="AB364" s="16" t="n">
        <v>2600</v>
      </c>
      <c r="AC364" s="16" t="n">
        <v>7.5</v>
      </c>
      <c r="AD364" s="16" t="n"/>
      <c r="AE364" s="16" t="n"/>
    </row>
    <row r="365">
      <c r="A365" s="16" t="inlineStr">
        <is>
          <t>KF-M02R-n1-0009</t>
        </is>
      </c>
      <c r="B365" s="16" t="inlineStr">
        <is>
          <t>2.3</t>
        </is>
      </c>
      <c r="C365" s="16" t="inlineStr">
        <is>
          <t>2.3a</t>
        </is>
      </c>
      <c r="D365" s="16" t="inlineStr">
        <is>
          <t>un cambio</t>
        </is>
      </c>
      <c r="E365" s="16" t="inlineStr">
        <is>
          <t>KF-M02R</t>
        </is>
      </c>
      <c r="F365" s="16" t="inlineStr">
        <is>
          <t>KF-M02R-n1</t>
        </is>
      </c>
      <c r="G365" s="16" t="inlineStr">
        <is>
          <t>B04-n1</t>
        </is>
      </c>
      <c r="H365" s="16" t="inlineStr">
        <is>
          <t>malla</t>
        </is>
      </c>
      <c r="I365" s="16" t="inlineStr">
        <is>
          <t>CORREGIBLE</t>
        </is>
      </c>
      <c r="J365" s="16" t="inlineStr">
        <is>
          <t>CORREGIBLE</t>
        </is>
      </c>
      <c r="K365" s="16" t="b">
        <v>1</v>
      </c>
      <c r="L365" s="16" t="b">
        <v>0</v>
      </c>
      <c r="M365" s="16" t="b">
        <v>1</v>
      </c>
      <c r="N365" s="16" t="b">
        <v>0</v>
      </c>
      <c r="O365" s="16" t="n">
        <v>623.15</v>
      </c>
      <c r="P365" s="16" t="n">
        <v>300.032917</v>
      </c>
      <c r="Q365" s="16" t="n">
        <v>3000</v>
      </c>
      <c r="R365" s="16" t="n">
        <v>400</v>
      </c>
      <c r="S365" s="16" t="n">
        <v>0.5</v>
      </c>
      <c r="T365" s="16" t="n">
        <v>0.85</v>
      </c>
      <c r="U365" s="16" t="n">
        <v>0.75</v>
      </c>
      <c r="V365" s="16" t="n">
        <v>0.75</v>
      </c>
      <c r="W365" s="16" t="n">
        <v>0.75</v>
      </c>
      <c r="X365" s="16" t="n">
        <v>0.8</v>
      </c>
      <c r="Y365" s="16" t="n"/>
      <c r="Z365" s="16" t="n">
        <v>13.08893763816603</v>
      </c>
      <c r="AA365" s="16" t="n">
        <v>224.7695265667433</v>
      </c>
      <c r="AB365" s="16" t="n">
        <v>2600</v>
      </c>
      <c r="AC365" s="16" t="n">
        <v>7.5</v>
      </c>
      <c r="AD365" s="16" t="inlineStr">
        <is>
          <t>O1,O2</t>
        </is>
      </c>
      <c r="AE365" s="16" t="n"/>
    </row>
    <row r="366">
      <c r="A366" s="16" t="inlineStr">
        <is>
          <t>KF-M02R-n1-0010</t>
        </is>
      </c>
      <c r="B366" s="16" t="inlineStr">
        <is>
          <t>2.3</t>
        </is>
      </c>
      <c r="C366" s="16" t="inlineStr">
        <is>
          <t>2.3a</t>
        </is>
      </c>
      <c r="D366" s="16" t="inlineStr">
        <is>
          <t>un cambio</t>
        </is>
      </c>
      <c r="E366" s="16" t="inlineStr">
        <is>
          <t>KF-M02R</t>
        </is>
      </c>
      <c r="F366" s="16" t="inlineStr">
        <is>
          <t>KF-M02R-n1</t>
        </is>
      </c>
      <c r="G366" s="16" t="inlineStr">
        <is>
          <t>B04-n1</t>
        </is>
      </c>
      <c r="H366" s="16" t="inlineStr">
        <is>
          <t>malla</t>
        </is>
      </c>
      <c r="I366" s="16" t="inlineStr">
        <is>
          <t>CORREGIBLE</t>
        </is>
      </c>
      <c r="J366" s="16" t="inlineStr">
        <is>
          <t>CORREGIBLE</t>
        </is>
      </c>
      <c r="K366" s="16" t="b">
        <v>1</v>
      </c>
      <c r="L366" s="16" t="b">
        <v>0</v>
      </c>
      <c r="M366" s="16" t="b">
        <v>1</v>
      </c>
      <c r="N366" s="16" t="b">
        <v>0</v>
      </c>
      <c r="O366" s="16" t="n">
        <v>623.15</v>
      </c>
      <c r="P366" s="16" t="n">
        <v>300.032917</v>
      </c>
      <c r="Q366" s="16" t="n">
        <v>3000</v>
      </c>
      <c r="R366" s="16" t="n">
        <v>400</v>
      </c>
      <c r="S366" s="16" t="n">
        <v>0.5</v>
      </c>
      <c r="T366" s="16" t="n">
        <v>0.85</v>
      </c>
      <c r="U366" s="16" t="n">
        <v>0.75</v>
      </c>
      <c r="V366" s="16" t="n">
        <v>0.8</v>
      </c>
      <c r="W366" s="16" t="n">
        <v>0.75</v>
      </c>
      <c r="X366" s="16" t="n">
        <v>0.8</v>
      </c>
      <c r="Y366" s="16" t="n"/>
      <c r="Z366" s="16" t="n">
        <v>13.05256955842212</v>
      </c>
      <c r="AA366" s="16" t="n">
        <v>237.9013436150302</v>
      </c>
      <c r="AB366" s="16" t="n">
        <v>2600</v>
      </c>
      <c r="AC366" s="16" t="n">
        <v>7.5</v>
      </c>
      <c r="AD366" s="16" t="inlineStr">
        <is>
          <t>O1,O2</t>
        </is>
      </c>
      <c r="AE366" s="16" t="n"/>
    </row>
    <row r="367">
      <c r="A367" s="16" t="inlineStr">
        <is>
          <t>KF-M02R-n1-0011</t>
        </is>
      </c>
      <c r="B367" s="16" t="inlineStr">
        <is>
          <t>2.3</t>
        </is>
      </c>
      <c r="C367" s="16" t="inlineStr">
        <is>
          <t>2.3a</t>
        </is>
      </c>
      <c r="D367" s="16" t="inlineStr">
        <is>
          <t>un cambio</t>
        </is>
      </c>
      <c r="E367" s="16" t="inlineStr">
        <is>
          <t>KF-M02R</t>
        </is>
      </c>
      <c r="F367" s="16" t="inlineStr">
        <is>
          <t>KF-M02R-n1</t>
        </is>
      </c>
      <c r="G367" s="16" t="inlineStr">
        <is>
          <t>B04-n1</t>
        </is>
      </c>
      <c r="H367" s="16" t="inlineStr">
        <is>
          <t>malla</t>
        </is>
      </c>
      <c r="I367" s="16" t="inlineStr">
        <is>
          <t>NO_CONVERGIO</t>
        </is>
      </c>
      <c r="J367" s="16" t="inlineStr">
        <is>
          <t>NO_CONVERGIO</t>
        </is>
      </c>
      <c r="K367" s="16" t="b">
        <v>0</v>
      </c>
      <c r="L367" s="16" t="b">
        <v>0</v>
      </c>
      <c r="M367" s="16" t="b">
        <v>0</v>
      </c>
      <c r="N367" s="16" t="b">
        <v>0</v>
      </c>
      <c r="O367" s="16" t="n">
        <v>623.15</v>
      </c>
      <c r="P367" s="16" t="n">
        <v>300.032917</v>
      </c>
      <c r="Q367" s="16" t="n">
        <v>3000</v>
      </c>
      <c r="R367" s="16" t="n">
        <v>400</v>
      </c>
      <c r="S367" s="16" t="n">
        <v>0.5</v>
      </c>
      <c r="T367" s="16" t="n">
        <v>0.85</v>
      </c>
      <c r="U367" s="16" t="n">
        <v>0.75</v>
      </c>
      <c r="V367" s="16" t="n">
        <v>0.7</v>
      </c>
      <c r="W367" s="16" t="n">
        <v>0.75</v>
      </c>
      <c r="X367" s="16" t="n">
        <v>0.8</v>
      </c>
      <c r="Y367" s="16" t="n"/>
      <c r="Z367" s="16" t="n"/>
      <c r="AA367" s="16" t="n"/>
      <c r="AB367" s="16" t="n">
        <v>2600</v>
      </c>
      <c r="AC367" s="16" t="n">
        <v>7.5</v>
      </c>
      <c r="AD367" s="16" t="n"/>
      <c r="AE367" s="16" t="n"/>
    </row>
    <row r="368">
      <c r="A368" s="16" t="inlineStr">
        <is>
          <t>KF-M02R-n1-0012</t>
        </is>
      </c>
      <c r="B368" s="16" t="inlineStr">
        <is>
          <t>2.3</t>
        </is>
      </c>
      <c r="C368" s="16" t="inlineStr">
        <is>
          <t>2.3a</t>
        </is>
      </c>
      <c r="D368" s="16" t="inlineStr">
        <is>
          <t>un cambio</t>
        </is>
      </c>
      <c r="E368" s="16" t="inlineStr">
        <is>
          <t>KF-M02R</t>
        </is>
      </c>
      <c r="F368" s="16" t="inlineStr">
        <is>
          <t>KF-M02R-n1</t>
        </is>
      </c>
      <c r="G368" s="16" t="inlineStr">
        <is>
          <t>B04-n1</t>
        </is>
      </c>
      <c r="H368" s="16" t="inlineStr">
        <is>
          <t>malla</t>
        </is>
      </c>
      <c r="I368" s="16" t="inlineStr">
        <is>
          <t>NO_CONVERGIO</t>
        </is>
      </c>
      <c r="J368" s="16" t="inlineStr">
        <is>
          <t>NO_CONVERGIO</t>
        </is>
      </c>
      <c r="K368" s="16" t="b">
        <v>0</v>
      </c>
      <c r="L368" s="16" t="b">
        <v>0</v>
      </c>
      <c r="M368" s="16" t="b">
        <v>0</v>
      </c>
      <c r="N368" s="16" t="b">
        <v>0</v>
      </c>
      <c r="O368" s="16" t="n">
        <v>623.15</v>
      </c>
      <c r="P368" s="16" t="n">
        <v>300.032917</v>
      </c>
      <c r="Q368" s="16" t="n">
        <v>3000</v>
      </c>
      <c r="R368" s="16" t="n">
        <v>400</v>
      </c>
      <c r="S368" s="16" t="n">
        <v>0.5</v>
      </c>
      <c r="T368" s="16" t="n">
        <v>0.85</v>
      </c>
      <c r="U368" s="16" t="n">
        <v>0.75</v>
      </c>
      <c r="V368" s="16" t="n">
        <v>0.85</v>
      </c>
      <c r="W368" s="16" t="n">
        <v>0.45</v>
      </c>
      <c r="X368" s="16" t="n">
        <v>0.8</v>
      </c>
      <c r="Y368" s="16" t="n"/>
      <c r="Z368" s="16" t="n"/>
      <c r="AA368" s="16" t="n"/>
      <c r="AB368" s="16" t="n">
        <v>2600</v>
      </c>
      <c r="AC368" s="16" t="n">
        <v>7.5</v>
      </c>
      <c r="AD368" s="16" t="n"/>
      <c r="AE368" s="16" t="n"/>
    </row>
    <row r="369">
      <c r="A369" s="16" t="inlineStr">
        <is>
          <t>KF-M02R-n1-0013</t>
        </is>
      </c>
      <c r="B369" s="16" t="inlineStr">
        <is>
          <t>2.3</t>
        </is>
      </c>
      <c r="C369" s="16" t="inlineStr">
        <is>
          <t>2.3a</t>
        </is>
      </c>
      <c r="D369" s="16" t="inlineStr">
        <is>
          <t>un cambio</t>
        </is>
      </c>
      <c r="E369" s="16" t="inlineStr">
        <is>
          <t>KF-M02R</t>
        </is>
      </c>
      <c r="F369" s="16" t="inlineStr">
        <is>
          <t>KF-M02R-n1</t>
        </is>
      </c>
      <c r="G369" s="16" t="inlineStr">
        <is>
          <t>B04-n1</t>
        </is>
      </c>
      <c r="H369" s="16" t="inlineStr">
        <is>
          <t>malla</t>
        </is>
      </c>
      <c r="I369" s="16" t="inlineStr">
        <is>
          <t>NO_CONVERGIO</t>
        </is>
      </c>
      <c r="J369" s="16" t="inlineStr">
        <is>
          <t>NO_CONVERGIO</t>
        </is>
      </c>
      <c r="K369" s="16" t="b">
        <v>0</v>
      </c>
      <c r="L369" s="16" t="b">
        <v>0</v>
      </c>
      <c r="M369" s="16" t="b">
        <v>0</v>
      </c>
      <c r="N369" s="16" t="b">
        <v>0</v>
      </c>
      <c r="O369" s="16" t="n">
        <v>623.15</v>
      </c>
      <c r="P369" s="16" t="n">
        <v>300.032917</v>
      </c>
      <c r="Q369" s="16" t="n">
        <v>3000</v>
      </c>
      <c r="R369" s="16" t="n">
        <v>400</v>
      </c>
      <c r="S369" s="16" t="n">
        <v>0.5</v>
      </c>
      <c r="T369" s="16" t="n">
        <v>0.85</v>
      </c>
      <c r="U369" s="16" t="n">
        <v>0.75</v>
      </c>
      <c r="V369" s="16" t="n">
        <v>0.85</v>
      </c>
      <c r="W369" s="16" t="n">
        <v>0.4</v>
      </c>
      <c r="X369" s="16" t="n">
        <v>0.8</v>
      </c>
      <c r="Y369" s="16" t="n"/>
      <c r="Z369" s="16" t="n"/>
      <c r="AA369" s="16" t="n"/>
      <c r="AB369" s="16" t="n">
        <v>2600</v>
      </c>
      <c r="AC369" s="16" t="n">
        <v>7.5</v>
      </c>
      <c r="AD369" s="16" t="n"/>
      <c r="AE369" s="16" t="n"/>
    </row>
    <row r="370">
      <c r="A370" s="16" t="inlineStr">
        <is>
          <t>KF-M02R-n1-0014</t>
        </is>
      </c>
      <c r="B370" s="16" t="inlineStr">
        <is>
          <t>2.3</t>
        </is>
      </c>
      <c r="C370" s="16" t="inlineStr">
        <is>
          <t>2.3a</t>
        </is>
      </c>
      <c r="D370" s="16" t="inlineStr">
        <is>
          <t>un cambio</t>
        </is>
      </c>
      <c r="E370" s="16" t="inlineStr">
        <is>
          <t>KF-M02R</t>
        </is>
      </c>
      <c r="F370" s="16" t="inlineStr">
        <is>
          <t>KF-M02R-n1</t>
        </is>
      </c>
      <c r="G370" s="16" t="inlineStr">
        <is>
          <t>B04-n1</t>
        </is>
      </c>
      <c r="H370" s="16" t="inlineStr">
        <is>
          <t>malla</t>
        </is>
      </c>
      <c r="I370" s="16" t="inlineStr">
        <is>
          <t>NO_CONVERGIO</t>
        </is>
      </c>
      <c r="J370" s="16" t="inlineStr">
        <is>
          <t>NO_CONVERGIO</t>
        </is>
      </c>
      <c r="K370" s="16" t="b">
        <v>0</v>
      </c>
      <c r="L370" s="16" t="b">
        <v>0</v>
      </c>
      <c r="M370" s="16" t="b">
        <v>0</v>
      </c>
      <c r="N370" s="16" t="b">
        <v>0</v>
      </c>
      <c r="O370" s="16" t="n">
        <v>623.15</v>
      </c>
      <c r="P370" s="16" t="n">
        <v>300.032917</v>
      </c>
      <c r="Q370" s="16" t="n">
        <v>3000</v>
      </c>
      <c r="R370" s="16" t="n">
        <v>400</v>
      </c>
      <c r="S370" s="16" t="n">
        <v>0.5</v>
      </c>
      <c r="T370" s="16" t="n">
        <v>0.85</v>
      </c>
      <c r="U370" s="16" t="n">
        <v>0.75</v>
      </c>
      <c r="V370" s="16" t="n">
        <v>0.85</v>
      </c>
      <c r="W370" s="16" t="n">
        <v>0.5</v>
      </c>
      <c r="X370" s="16" t="n">
        <v>0.8</v>
      </c>
      <c r="Y370" s="16" t="n"/>
      <c r="Z370" s="16" t="n"/>
      <c r="AA370" s="16" t="n"/>
      <c r="AB370" s="16" t="n">
        <v>2600</v>
      </c>
      <c r="AC370" s="16" t="n">
        <v>7.5</v>
      </c>
      <c r="AD370" s="16" t="n"/>
      <c r="AE370" s="16" t="n"/>
    </row>
    <row r="371">
      <c r="A371" s="16" t="inlineStr">
        <is>
          <t>KF-M02R-n1-0015</t>
        </is>
      </c>
      <c r="B371" s="16" t="inlineStr">
        <is>
          <t>2.3</t>
        </is>
      </c>
      <c r="C371" s="16" t="inlineStr">
        <is>
          <t>2.3a</t>
        </is>
      </c>
      <c r="D371" s="16" t="inlineStr">
        <is>
          <t>un cambio</t>
        </is>
      </c>
      <c r="E371" s="16" t="inlineStr">
        <is>
          <t>KF-M02R</t>
        </is>
      </c>
      <c r="F371" s="16" t="inlineStr">
        <is>
          <t>KF-M02R-n1</t>
        </is>
      </c>
      <c r="G371" s="16" t="inlineStr">
        <is>
          <t>B04-n1</t>
        </is>
      </c>
      <c r="H371" s="16" t="inlineStr">
        <is>
          <t>malla</t>
        </is>
      </c>
      <c r="I371" s="16" t="inlineStr">
        <is>
          <t>NO_CONVERGIO</t>
        </is>
      </c>
      <c r="J371" s="16" t="inlineStr">
        <is>
          <t>NO_CONVERGIO</t>
        </is>
      </c>
      <c r="K371" s="16" t="b">
        <v>0</v>
      </c>
      <c r="L371" s="16" t="b">
        <v>0</v>
      </c>
      <c r="M371" s="16" t="b">
        <v>0</v>
      </c>
      <c r="N371" s="16" t="b">
        <v>0</v>
      </c>
      <c r="O371" s="16" t="n">
        <v>623.15</v>
      </c>
      <c r="P371" s="16" t="n">
        <v>300.032917</v>
      </c>
      <c r="Q371" s="16" t="n">
        <v>3000</v>
      </c>
      <c r="R371" s="16" t="n">
        <v>400</v>
      </c>
      <c r="S371" s="16" t="n">
        <v>0.5</v>
      </c>
      <c r="T371" s="16" t="n">
        <v>0.85</v>
      </c>
      <c r="U371" s="16" t="n">
        <v>0.75</v>
      </c>
      <c r="V371" s="16" t="n">
        <v>0.85</v>
      </c>
      <c r="W371" s="16" t="n">
        <v>0.6</v>
      </c>
      <c r="X371" s="16" t="n">
        <v>0.8</v>
      </c>
      <c r="Y371" s="16" t="n"/>
      <c r="Z371" s="16" t="n"/>
      <c r="AA371" s="16" t="n"/>
      <c r="AB371" s="16" t="n">
        <v>2600</v>
      </c>
      <c r="AC371" s="16" t="n">
        <v>7.5</v>
      </c>
      <c r="AD371" s="16" t="n"/>
      <c r="AE371" s="16" t="n"/>
    </row>
    <row r="372">
      <c r="A372" s="16" t="inlineStr">
        <is>
          <t>KF-M02R-n1-0016</t>
        </is>
      </c>
      <c r="B372" s="16" t="inlineStr">
        <is>
          <t>2.3</t>
        </is>
      </c>
      <c r="C372" s="16" t="inlineStr">
        <is>
          <t>2.3a</t>
        </is>
      </c>
      <c r="D372" s="16" t="inlineStr">
        <is>
          <t>un cambio</t>
        </is>
      </c>
      <c r="E372" s="16" t="inlineStr">
        <is>
          <t>KF-M02R</t>
        </is>
      </c>
      <c r="F372" s="16" t="inlineStr">
        <is>
          <t>KF-M02R-n1</t>
        </is>
      </c>
      <c r="G372" s="16" t="inlineStr">
        <is>
          <t>B04-n1</t>
        </is>
      </c>
      <c r="H372" s="16" t="inlineStr">
        <is>
          <t>malla</t>
        </is>
      </c>
      <c r="I372" s="16" t="inlineStr">
        <is>
          <t>NO_CONVERGIO</t>
        </is>
      </c>
      <c r="J372" s="16" t="inlineStr">
        <is>
          <t>NO_CONVERGIO</t>
        </is>
      </c>
      <c r="K372" s="16" t="b">
        <v>0</v>
      </c>
      <c r="L372" s="16" t="b">
        <v>0</v>
      </c>
      <c r="M372" s="16" t="b">
        <v>0</v>
      </c>
      <c r="N372" s="16" t="b">
        <v>0</v>
      </c>
      <c r="O372" s="16" t="n">
        <v>623.15</v>
      </c>
      <c r="P372" s="16" t="n">
        <v>300.032917</v>
      </c>
      <c r="Q372" s="16" t="n">
        <v>3000</v>
      </c>
      <c r="R372" s="16" t="n">
        <v>400</v>
      </c>
      <c r="S372" s="16" t="n">
        <v>0.5</v>
      </c>
      <c r="T372" s="16" t="n">
        <v>0.85</v>
      </c>
      <c r="U372" s="16" t="n">
        <v>0.75</v>
      </c>
      <c r="V372" s="16" t="n">
        <v>0.85</v>
      </c>
      <c r="W372" s="16" t="n">
        <v>0.55</v>
      </c>
      <c r="X372" s="16" t="n">
        <v>0.8</v>
      </c>
      <c r="Y372" s="16" t="n"/>
      <c r="Z372" s="16" t="n"/>
      <c r="AA372" s="16" t="n"/>
      <c r="AB372" s="16" t="n">
        <v>2600</v>
      </c>
      <c r="AC372" s="16" t="n">
        <v>7.5</v>
      </c>
      <c r="AD372" s="16" t="n"/>
      <c r="AE372" s="16" t="n"/>
    </row>
    <row r="373">
      <c r="A373" s="16" t="inlineStr">
        <is>
          <t>KF-M02R-n1-0017</t>
        </is>
      </c>
      <c r="B373" s="16" t="inlineStr">
        <is>
          <t>2.3</t>
        </is>
      </c>
      <c r="C373" s="16" t="inlineStr">
        <is>
          <t>2.3a</t>
        </is>
      </c>
      <c r="D373" s="16" t="inlineStr">
        <is>
          <t>un cambio</t>
        </is>
      </c>
      <c r="E373" s="16" t="inlineStr">
        <is>
          <t>KF-M02R</t>
        </is>
      </c>
      <c r="F373" s="16" t="inlineStr">
        <is>
          <t>KF-M02R-n1</t>
        </is>
      </c>
      <c r="G373" s="16" t="inlineStr">
        <is>
          <t>B04-n1</t>
        </is>
      </c>
      <c r="H373" s="16" t="inlineStr">
        <is>
          <t>malla</t>
        </is>
      </c>
      <c r="I373" s="16" t="inlineStr">
        <is>
          <t>NO_CONVERGIO</t>
        </is>
      </c>
      <c r="J373" s="16" t="inlineStr">
        <is>
          <t>NO_CONVERGIO</t>
        </is>
      </c>
      <c r="K373" s="16" t="b">
        <v>0</v>
      </c>
      <c r="L373" s="16" t="b">
        <v>0</v>
      </c>
      <c r="M373" s="16" t="b">
        <v>0</v>
      </c>
      <c r="N373" s="16" t="b">
        <v>0</v>
      </c>
      <c r="O373" s="16" t="n">
        <v>623.15</v>
      </c>
      <c r="P373" s="16" t="n">
        <v>300.032917</v>
      </c>
      <c r="Q373" s="16" t="n">
        <v>3000</v>
      </c>
      <c r="R373" s="16" t="n">
        <v>400</v>
      </c>
      <c r="S373" s="16" t="n">
        <v>0.5</v>
      </c>
      <c r="T373" s="16" t="n">
        <v>0.85</v>
      </c>
      <c r="U373" s="16" t="n">
        <v>0.75</v>
      </c>
      <c r="V373" s="16" t="n">
        <v>0.85</v>
      </c>
      <c r="W373" s="16" t="n">
        <v>0.65</v>
      </c>
      <c r="X373" s="16" t="n">
        <v>0.8</v>
      </c>
      <c r="Y373" s="16" t="n"/>
      <c r="Z373" s="16" t="n"/>
      <c r="AA373" s="16" t="n"/>
      <c r="AB373" s="16" t="n">
        <v>2600</v>
      </c>
      <c r="AC373" s="16" t="n">
        <v>7.5</v>
      </c>
      <c r="AD373" s="16" t="n"/>
      <c r="AE373" s="16" t="n"/>
    </row>
    <row r="374">
      <c r="A374" s="16" t="inlineStr">
        <is>
          <t>KF-M02R-n1-0018</t>
        </is>
      </c>
      <c r="B374" s="16" t="inlineStr">
        <is>
          <t>2.3</t>
        </is>
      </c>
      <c r="C374" s="16" t="inlineStr">
        <is>
          <t>2.3a</t>
        </is>
      </c>
      <c r="D374" s="16" t="inlineStr">
        <is>
          <t>un cambio</t>
        </is>
      </c>
      <c r="E374" s="16" t="inlineStr">
        <is>
          <t>KF-M02R</t>
        </is>
      </c>
      <c r="F374" s="16" t="inlineStr">
        <is>
          <t>KF-M02R-n1</t>
        </is>
      </c>
      <c r="G374" s="16" t="inlineStr">
        <is>
          <t>B04-n1</t>
        </is>
      </c>
      <c r="H374" s="16" t="inlineStr">
        <is>
          <t>malla</t>
        </is>
      </c>
      <c r="I374" s="16" t="inlineStr">
        <is>
          <t>NO_CONVERGIO</t>
        </is>
      </c>
      <c r="J374" s="16" t="inlineStr">
        <is>
          <t>NO_CONVERGIO</t>
        </is>
      </c>
      <c r="K374" s="16" t="b">
        <v>0</v>
      </c>
      <c r="L374" s="16" t="b">
        <v>0</v>
      </c>
      <c r="M374" s="16" t="b">
        <v>0</v>
      </c>
      <c r="N374" s="16" t="b">
        <v>0</v>
      </c>
      <c r="O374" s="16" t="n">
        <v>623.15</v>
      </c>
      <c r="P374" s="16" t="n">
        <v>300.032917</v>
      </c>
      <c r="Q374" s="16" t="n">
        <v>3000</v>
      </c>
      <c r="R374" s="16" t="n">
        <v>400</v>
      </c>
      <c r="S374" s="16" t="n">
        <v>0.5</v>
      </c>
      <c r="T374" s="16" t="n">
        <v>0.85</v>
      </c>
      <c r="U374" s="16" t="n">
        <v>0.75</v>
      </c>
      <c r="V374" s="16" t="n">
        <v>0.85</v>
      </c>
      <c r="W374" s="16" t="n">
        <v>0.7</v>
      </c>
      <c r="X374" s="16" t="n">
        <v>0.8</v>
      </c>
      <c r="Y374" s="16" t="n"/>
      <c r="Z374" s="16" t="n"/>
      <c r="AA374" s="16" t="n"/>
      <c r="AB374" s="16" t="n">
        <v>2600</v>
      </c>
      <c r="AC374" s="16" t="n">
        <v>7.5</v>
      </c>
      <c r="AD374" s="16" t="n"/>
      <c r="AE374" s="16" t="n"/>
    </row>
    <row r="375">
      <c r="A375" s="16" t="inlineStr">
        <is>
          <t>KF-M02R-n1-0019</t>
        </is>
      </c>
      <c r="B375" s="16" t="inlineStr">
        <is>
          <t>2.3</t>
        </is>
      </c>
      <c r="C375" s="16" t="inlineStr">
        <is>
          <t>2.3a</t>
        </is>
      </c>
      <c r="D375" s="16" t="inlineStr">
        <is>
          <t>un cambio</t>
        </is>
      </c>
      <c r="E375" s="16" t="inlineStr">
        <is>
          <t>KF-M02R</t>
        </is>
      </c>
      <c r="F375" s="16" t="inlineStr">
        <is>
          <t>KF-M02R-n1</t>
        </is>
      </c>
      <c r="G375" s="16" t="inlineStr">
        <is>
          <t>B04-n1</t>
        </is>
      </c>
      <c r="H375" s="16" t="inlineStr">
        <is>
          <t>malla</t>
        </is>
      </c>
      <c r="I375" s="16" t="inlineStr">
        <is>
          <t>NO_CONVERGIO</t>
        </is>
      </c>
      <c r="J375" s="16" t="inlineStr">
        <is>
          <t>NO_CONVERGIO</t>
        </is>
      </c>
      <c r="K375" s="16" t="b">
        <v>0</v>
      </c>
      <c r="L375" s="16" t="b">
        <v>0</v>
      </c>
      <c r="M375" s="16" t="b">
        <v>0</v>
      </c>
      <c r="N375" s="16" t="b">
        <v>0</v>
      </c>
      <c r="O375" s="16" t="n">
        <v>623.15</v>
      </c>
      <c r="P375" s="16" t="n">
        <v>300.032917</v>
      </c>
      <c r="Q375" s="16" t="n">
        <v>3000</v>
      </c>
      <c r="R375" s="16" t="n">
        <v>400</v>
      </c>
      <c r="S375" s="16" t="n">
        <v>0.5</v>
      </c>
      <c r="T375" s="16" t="n">
        <v>0.85</v>
      </c>
      <c r="U375" s="16" t="n">
        <v>0.75</v>
      </c>
      <c r="V375" s="16" t="n">
        <v>0.85</v>
      </c>
      <c r="W375" s="16" t="n">
        <v>0.75</v>
      </c>
      <c r="X375" s="16" t="n">
        <v>0.8</v>
      </c>
      <c r="Y375" s="16" t="n"/>
      <c r="Z375" s="16" t="n"/>
      <c r="AA375" s="16" t="n"/>
      <c r="AB375" s="16" t="n">
        <v>2600</v>
      </c>
      <c r="AC375" s="16" t="n">
        <v>7.5</v>
      </c>
      <c r="AD375" s="16" t="n"/>
      <c r="AE375" s="16" t="n"/>
    </row>
    <row r="376">
      <c r="A376" s="16" t="inlineStr">
        <is>
          <t>KF-M02R-n1-0020</t>
        </is>
      </c>
      <c r="B376" s="16" t="inlineStr">
        <is>
          <t>2.3</t>
        </is>
      </c>
      <c r="C376" s="16" t="inlineStr">
        <is>
          <t>2.3a</t>
        </is>
      </c>
      <c r="D376" s="16" t="inlineStr">
        <is>
          <t>un cambio</t>
        </is>
      </c>
      <c r="E376" s="16" t="inlineStr">
        <is>
          <t>KF-M02R</t>
        </is>
      </c>
      <c r="F376" s="16" t="inlineStr">
        <is>
          <t>KF-M02R-n1</t>
        </is>
      </c>
      <c r="G376" s="16" t="inlineStr">
        <is>
          <t>B04-n1</t>
        </is>
      </c>
      <c r="H376" s="16" t="inlineStr">
        <is>
          <t>malla</t>
        </is>
      </c>
      <c r="I376" s="16" t="inlineStr">
        <is>
          <t>NO_CONVERGIO</t>
        </is>
      </c>
      <c r="J376" s="16" t="inlineStr">
        <is>
          <t>NO_CONVERGIO</t>
        </is>
      </c>
      <c r="K376" s="16" t="b">
        <v>0</v>
      </c>
      <c r="L376" s="16" t="b">
        <v>0</v>
      </c>
      <c r="M376" s="16" t="b">
        <v>0</v>
      </c>
      <c r="N376" s="16" t="b">
        <v>0</v>
      </c>
      <c r="O376" s="16" t="n">
        <v>623.15</v>
      </c>
      <c r="P376" s="16" t="n">
        <v>300.032917</v>
      </c>
      <c r="Q376" s="16" t="n">
        <v>3000</v>
      </c>
      <c r="R376" s="16" t="n">
        <v>400</v>
      </c>
      <c r="S376" s="16" t="n">
        <v>0.5</v>
      </c>
      <c r="T376" s="16" t="n">
        <v>0.85</v>
      </c>
      <c r="U376" s="16" t="n">
        <v>0.75</v>
      </c>
      <c r="V376" s="16" t="n">
        <v>0.85</v>
      </c>
      <c r="W376" s="16" t="n">
        <v>0.85</v>
      </c>
      <c r="X376" s="16" t="n">
        <v>0.8</v>
      </c>
      <c r="Y376" s="16" t="n"/>
      <c r="Z376" s="16" t="n"/>
      <c r="AA376" s="16" t="n"/>
      <c r="AB376" s="16" t="n">
        <v>2600</v>
      </c>
      <c r="AC376" s="16" t="n">
        <v>7.5</v>
      </c>
      <c r="AD376" s="16" t="n"/>
      <c r="AE376" s="16" t="n"/>
    </row>
    <row r="377">
      <c r="A377" s="16" t="inlineStr">
        <is>
          <t>KF-M02R-n1-0021</t>
        </is>
      </c>
      <c r="B377" s="16" t="inlineStr">
        <is>
          <t>2.3</t>
        </is>
      </c>
      <c r="C377" s="16" t="inlineStr">
        <is>
          <t>2.3a</t>
        </is>
      </c>
      <c r="D377" s="16" t="inlineStr">
        <is>
          <t>un cambio</t>
        </is>
      </c>
      <c r="E377" s="16" t="inlineStr">
        <is>
          <t>KF-M02R</t>
        </is>
      </c>
      <c r="F377" s="16" t="inlineStr">
        <is>
          <t>KF-M02R-n1</t>
        </is>
      </c>
      <c r="G377" s="16" t="inlineStr">
        <is>
          <t>B04-n1</t>
        </is>
      </c>
      <c r="H377" s="16" t="inlineStr">
        <is>
          <t>malla</t>
        </is>
      </c>
      <c r="I377" s="16" t="inlineStr">
        <is>
          <t>NO_CONVERGIO</t>
        </is>
      </c>
      <c r="J377" s="16" t="inlineStr">
        <is>
          <t>NO_CONVERGIO</t>
        </is>
      </c>
      <c r="K377" s="16" t="b">
        <v>0</v>
      </c>
      <c r="L377" s="16" t="b">
        <v>0</v>
      </c>
      <c r="M377" s="16" t="b">
        <v>0</v>
      </c>
      <c r="N377" s="16" t="b">
        <v>0</v>
      </c>
      <c r="O377" s="16" t="n">
        <v>623.15</v>
      </c>
      <c r="P377" s="16" t="n">
        <v>300.032917</v>
      </c>
      <c r="Q377" s="16" t="n">
        <v>3000</v>
      </c>
      <c r="R377" s="16" t="n">
        <v>400</v>
      </c>
      <c r="S377" s="16" t="n">
        <v>0.5</v>
      </c>
      <c r="T377" s="16" t="n">
        <v>0.85</v>
      </c>
      <c r="U377" s="16" t="n">
        <v>0.75</v>
      </c>
      <c r="V377" s="16" t="n">
        <v>0.85</v>
      </c>
      <c r="W377" s="16" t="n">
        <v>0.8</v>
      </c>
      <c r="X377" s="16" t="n">
        <v>0.8</v>
      </c>
      <c r="Y377" s="16" t="n"/>
      <c r="Z377" s="16" t="n"/>
      <c r="AA377" s="16" t="n"/>
      <c r="AB377" s="16" t="n">
        <v>2600</v>
      </c>
      <c r="AC377" s="16" t="n">
        <v>7.5</v>
      </c>
      <c r="AD377" s="16" t="n"/>
      <c r="AE377" s="16" t="n"/>
    </row>
    <row r="378">
      <c r="A378" s="16" t="inlineStr">
        <is>
          <t>KF-M02R-n1-0022</t>
        </is>
      </c>
      <c r="B378" s="16" t="inlineStr">
        <is>
          <t>2.3</t>
        </is>
      </c>
      <c r="C378" s="16" t="inlineStr">
        <is>
          <t>2.3a</t>
        </is>
      </c>
      <c r="D378" s="16" t="inlineStr">
        <is>
          <t>un cambio</t>
        </is>
      </c>
      <c r="E378" s="16" t="inlineStr">
        <is>
          <t>KF-M02R</t>
        </is>
      </c>
      <c r="F378" s="16" t="inlineStr">
        <is>
          <t>KF-M02R-n1</t>
        </is>
      </c>
      <c r="G378" s="16" t="inlineStr">
        <is>
          <t>B04-n1</t>
        </is>
      </c>
      <c r="H378" s="16" t="inlineStr">
        <is>
          <t>malla</t>
        </is>
      </c>
      <c r="I378" s="16" t="inlineStr">
        <is>
          <t>NO_CONVERGIO</t>
        </is>
      </c>
      <c r="J378" s="16" t="inlineStr">
        <is>
          <t>NO_CONVERGIO</t>
        </is>
      </c>
      <c r="K378" s="16" t="b">
        <v>0</v>
      </c>
      <c r="L378" s="16" t="b">
        <v>0</v>
      </c>
      <c r="M378" s="16" t="b">
        <v>0</v>
      </c>
      <c r="N378" s="16" t="b">
        <v>0</v>
      </c>
      <c r="O378" s="16" t="n">
        <v>623.15</v>
      </c>
      <c r="P378" s="16" t="n">
        <v>300.032917</v>
      </c>
      <c r="Q378" s="16" t="n">
        <v>3000</v>
      </c>
      <c r="R378" s="16" t="n">
        <v>400</v>
      </c>
      <c r="S378" s="16" t="n">
        <v>0.5</v>
      </c>
      <c r="T378" s="16" t="n">
        <v>0.85</v>
      </c>
      <c r="U378" s="16" t="n">
        <v>0.75</v>
      </c>
      <c r="V378" s="16" t="n">
        <v>0.85</v>
      </c>
      <c r="W378" s="16" t="n">
        <v>0.8999999999999999</v>
      </c>
      <c r="X378" s="16" t="n">
        <v>0.8</v>
      </c>
      <c r="Y378" s="16" t="n"/>
      <c r="Z378" s="16" t="n"/>
      <c r="AA378" s="16" t="n"/>
      <c r="AB378" s="16" t="n">
        <v>2600</v>
      </c>
      <c r="AC378" s="16" t="n">
        <v>7.5</v>
      </c>
      <c r="AD378" s="16" t="n"/>
      <c r="AE378" s="16" t="n"/>
    </row>
    <row r="379">
      <c r="A379" s="16" t="inlineStr">
        <is>
          <t>KF-M02R-n1-0023</t>
        </is>
      </c>
      <c r="B379" s="16" t="inlineStr">
        <is>
          <t>2.3</t>
        </is>
      </c>
      <c r="C379" s="16" t="inlineStr">
        <is>
          <t>2.3a</t>
        </is>
      </c>
      <c r="D379" s="16" t="inlineStr">
        <is>
          <t>un cambio</t>
        </is>
      </c>
      <c r="E379" s="16" t="inlineStr">
        <is>
          <t>KF-M02R</t>
        </is>
      </c>
      <c r="F379" s="16" t="inlineStr">
        <is>
          <t>KF-M02R-n1</t>
        </is>
      </c>
      <c r="G379" s="16" t="inlineStr">
        <is>
          <t>B04-n1</t>
        </is>
      </c>
      <c r="H379" s="16" t="inlineStr">
        <is>
          <t>malla</t>
        </is>
      </c>
      <c r="I379" s="16" t="inlineStr">
        <is>
          <t>NO_CONVERGIO</t>
        </is>
      </c>
      <c r="J379" s="16" t="inlineStr">
        <is>
          <t>NO_CONVERGIO</t>
        </is>
      </c>
      <c r="K379" s="16" t="b">
        <v>0</v>
      </c>
      <c r="L379" s="16" t="b">
        <v>0</v>
      </c>
      <c r="M379" s="16" t="b">
        <v>0</v>
      </c>
      <c r="N379" s="16" t="b">
        <v>0</v>
      </c>
      <c r="O379" s="16" t="n">
        <v>623.15</v>
      </c>
      <c r="P379" s="16" t="n">
        <v>300.032917</v>
      </c>
      <c r="Q379" s="16" t="n">
        <v>3000</v>
      </c>
      <c r="R379" s="16" t="n">
        <v>400</v>
      </c>
      <c r="S379" s="16" t="n">
        <v>0.5</v>
      </c>
      <c r="T379" s="16" t="n">
        <v>0.85</v>
      </c>
      <c r="U379" s="16" t="n">
        <v>0.75</v>
      </c>
      <c r="V379" s="16" t="n">
        <v>0.85</v>
      </c>
      <c r="W379" s="16" t="n">
        <v>0.95</v>
      </c>
      <c r="X379" s="16" t="n">
        <v>0.8</v>
      </c>
      <c r="Y379" s="16" t="n"/>
      <c r="Z379" s="16" t="n"/>
      <c r="AA379" s="16" t="n"/>
      <c r="AB379" s="16" t="n">
        <v>2600</v>
      </c>
      <c r="AC379" s="16" t="n">
        <v>7.5</v>
      </c>
      <c r="AD379" s="16" t="n"/>
      <c r="AE379" s="16" t="n"/>
    </row>
    <row r="380">
      <c r="A380" s="16" t="inlineStr">
        <is>
          <t>KF-M02R-n1-0024</t>
        </is>
      </c>
      <c r="B380" s="16" t="inlineStr">
        <is>
          <t>2.3</t>
        </is>
      </c>
      <c r="C380" s="16" t="inlineStr">
        <is>
          <t>2.3a</t>
        </is>
      </c>
      <c r="D380" s="16" t="inlineStr">
        <is>
          <t>un cambio</t>
        </is>
      </c>
      <c r="E380" s="16" t="inlineStr">
        <is>
          <t>KF-M02R</t>
        </is>
      </c>
      <c r="F380" s="16" t="inlineStr">
        <is>
          <t>KF-M02R-n1</t>
        </is>
      </c>
      <c r="G380" s="16" t="inlineStr">
        <is>
          <t>B04-n1</t>
        </is>
      </c>
      <c r="H380" s="16" t="inlineStr">
        <is>
          <t>malla</t>
        </is>
      </c>
      <c r="I380" s="16" t="inlineStr">
        <is>
          <t>NO_CONVERGIO</t>
        </is>
      </c>
      <c r="J380" s="16" t="inlineStr">
        <is>
          <t>NO_CONVERGIO</t>
        </is>
      </c>
      <c r="K380" s="16" t="b">
        <v>0</v>
      </c>
      <c r="L380" s="16" t="b">
        <v>0</v>
      </c>
      <c r="M380" s="16" t="b">
        <v>0</v>
      </c>
      <c r="N380" s="16" t="b">
        <v>0</v>
      </c>
      <c r="O380" s="16" t="n">
        <v>623.15</v>
      </c>
      <c r="P380" s="16" t="n">
        <v>300.032917</v>
      </c>
      <c r="Q380" s="16" t="n">
        <v>3000</v>
      </c>
      <c r="R380" s="16" t="n">
        <v>400</v>
      </c>
      <c r="S380" s="16" t="n">
        <v>0.5</v>
      </c>
      <c r="T380" s="16" t="n">
        <v>0.85</v>
      </c>
      <c r="U380" s="16" t="n">
        <v>0.75</v>
      </c>
      <c r="V380" s="16" t="n">
        <v>0.85</v>
      </c>
      <c r="W380" s="16" t="n">
        <v>0.75</v>
      </c>
      <c r="X380" s="16" t="n">
        <v>0.5</v>
      </c>
      <c r="Y380" s="16" t="n"/>
      <c r="Z380" s="16" t="n"/>
      <c r="AA380" s="16" t="n"/>
      <c r="AB380" s="16" t="n">
        <v>2600</v>
      </c>
      <c r="AC380" s="16" t="n">
        <v>7.5</v>
      </c>
      <c r="AD380" s="16" t="n"/>
      <c r="AE380" s="16" t="n"/>
    </row>
    <row r="381">
      <c r="A381" s="16" t="inlineStr">
        <is>
          <t>KF-M02R-n1-0025</t>
        </is>
      </c>
      <c r="B381" s="16" t="inlineStr">
        <is>
          <t>2.3</t>
        </is>
      </c>
      <c r="C381" s="16" t="inlineStr">
        <is>
          <t>2.3a</t>
        </is>
      </c>
      <c r="D381" s="16" t="inlineStr">
        <is>
          <t>un cambio</t>
        </is>
      </c>
      <c r="E381" s="16" t="inlineStr">
        <is>
          <t>KF-M02R</t>
        </is>
      </c>
      <c r="F381" s="16" t="inlineStr">
        <is>
          <t>KF-M02R-n1</t>
        </is>
      </c>
      <c r="G381" s="16" t="inlineStr">
        <is>
          <t>B04-n1</t>
        </is>
      </c>
      <c r="H381" s="16" t="inlineStr">
        <is>
          <t>malla</t>
        </is>
      </c>
      <c r="I381" s="16" t="inlineStr">
        <is>
          <t>NO_CONVERGIO</t>
        </is>
      </c>
      <c r="J381" s="16" t="inlineStr">
        <is>
          <t>NO_CONVERGIO</t>
        </is>
      </c>
      <c r="K381" s="16" t="b">
        <v>0</v>
      </c>
      <c r="L381" s="16" t="b">
        <v>0</v>
      </c>
      <c r="M381" s="16" t="b">
        <v>0</v>
      </c>
      <c r="N381" s="16" t="b">
        <v>0</v>
      </c>
      <c r="O381" s="16" t="n">
        <v>623.15</v>
      </c>
      <c r="P381" s="16" t="n">
        <v>300.032917</v>
      </c>
      <c r="Q381" s="16" t="n">
        <v>3000</v>
      </c>
      <c r="R381" s="16" t="n">
        <v>400</v>
      </c>
      <c r="S381" s="16" t="n">
        <v>0.5</v>
      </c>
      <c r="T381" s="16" t="n">
        <v>0.85</v>
      </c>
      <c r="U381" s="16" t="n">
        <v>0.75</v>
      </c>
      <c r="V381" s="16" t="n">
        <v>0.85</v>
      </c>
      <c r="W381" s="16" t="n">
        <v>0.75</v>
      </c>
      <c r="X381" s="16" t="n">
        <v>0.4</v>
      </c>
      <c r="Y381" s="16" t="n"/>
      <c r="Z381" s="16" t="n"/>
      <c r="AA381" s="16" t="n"/>
      <c r="AB381" s="16" t="n">
        <v>2600</v>
      </c>
      <c r="AC381" s="16" t="n">
        <v>7.5</v>
      </c>
      <c r="AD381" s="16" t="n"/>
      <c r="AE381" s="16" t="n"/>
    </row>
    <row r="382">
      <c r="A382" s="16" t="inlineStr">
        <is>
          <t>KF-M02R-n1-0026</t>
        </is>
      </c>
      <c r="B382" s="16" t="inlineStr">
        <is>
          <t>2.3</t>
        </is>
      </c>
      <c r="C382" s="16" t="inlineStr">
        <is>
          <t>2.3a</t>
        </is>
      </c>
      <c r="D382" s="16" t="inlineStr">
        <is>
          <t>un cambio</t>
        </is>
      </c>
      <c r="E382" s="16" t="inlineStr">
        <is>
          <t>KF-M02R</t>
        </is>
      </c>
      <c r="F382" s="16" t="inlineStr">
        <is>
          <t>KF-M02R-n1</t>
        </is>
      </c>
      <c r="G382" s="16" t="inlineStr">
        <is>
          <t>B04-n1</t>
        </is>
      </c>
      <c r="H382" s="16" t="inlineStr">
        <is>
          <t>malla</t>
        </is>
      </c>
      <c r="I382" s="16" t="inlineStr">
        <is>
          <t>NO_CONVERGIO</t>
        </is>
      </c>
      <c r="J382" s="16" t="inlineStr">
        <is>
          <t>NO_CONVERGIO</t>
        </is>
      </c>
      <c r="K382" s="16" t="b">
        <v>0</v>
      </c>
      <c r="L382" s="16" t="b">
        <v>0</v>
      </c>
      <c r="M382" s="16" t="b">
        <v>0</v>
      </c>
      <c r="N382" s="16" t="b">
        <v>0</v>
      </c>
      <c r="O382" s="16" t="n">
        <v>623.15</v>
      </c>
      <c r="P382" s="16" t="n">
        <v>300.032917</v>
      </c>
      <c r="Q382" s="16" t="n">
        <v>3000</v>
      </c>
      <c r="R382" s="16" t="n">
        <v>400</v>
      </c>
      <c r="S382" s="16" t="n">
        <v>0.5</v>
      </c>
      <c r="T382" s="16" t="n">
        <v>0.85</v>
      </c>
      <c r="U382" s="16" t="n">
        <v>0.75</v>
      </c>
      <c r="V382" s="16" t="n">
        <v>0.85</v>
      </c>
      <c r="W382" s="16" t="n">
        <v>0.75</v>
      </c>
      <c r="X382" s="16" t="n">
        <v>0.45</v>
      </c>
      <c r="Y382" s="16" t="n"/>
      <c r="Z382" s="16" t="n"/>
      <c r="AA382" s="16" t="n"/>
      <c r="AB382" s="16" t="n">
        <v>2600</v>
      </c>
      <c r="AC382" s="16" t="n">
        <v>7.5</v>
      </c>
      <c r="AD382" s="16" t="n"/>
      <c r="AE382" s="16" t="n"/>
    </row>
    <row r="383">
      <c r="A383" s="16" t="inlineStr">
        <is>
          <t>KF-M02R-n1-0027</t>
        </is>
      </c>
      <c r="B383" s="16" t="inlineStr">
        <is>
          <t>2.3</t>
        </is>
      </c>
      <c r="C383" s="16" t="inlineStr">
        <is>
          <t>2.3a</t>
        </is>
      </c>
      <c r="D383" s="16" t="inlineStr">
        <is>
          <t>un cambio</t>
        </is>
      </c>
      <c r="E383" s="16" t="inlineStr">
        <is>
          <t>KF-M02R</t>
        </is>
      </c>
      <c r="F383" s="16" t="inlineStr">
        <is>
          <t>KF-M02R-n1</t>
        </is>
      </c>
      <c r="G383" s="16" t="inlineStr">
        <is>
          <t>B04-n1</t>
        </is>
      </c>
      <c r="H383" s="16" t="inlineStr">
        <is>
          <t>malla</t>
        </is>
      </c>
      <c r="I383" s="16" t="inlineStr">
        <is>
          <t>NO_CONVERGIO</t>
        </is>
      </c>
      <c r="J383" s="16" t="inlineStr">
        <is>
          <t>NO_CONVERGIO</t>
        </is>
      </c>
      <c r="K383" s="16" t="b">
        <v>0</v>
      </c>
      <c r="L383" s="16" t="b">
        <v>0</v>
      </c>
      <c r="M383" s="16" t="b">
        <v>0</v>
      </c>
      <c r="N383" s="16" t="b">
        <v>0</v>
      </c>
      <c r="O383" s="16" t="n">
        <v>623.15</v>
      </c>
      <c r="P383" s="16" t="n">
        <v>300.032917</v>
      </c>
      <c r="Q383" s="16" t="n">
        <v>3000</v>
      </c>
      <c r="R383" s="16" t="n">
        <v>400</v>
      </c>
      <c r="S383" s="16" t="n">
        <v>0.5</v>
      </c>
      <c r="T383" s="16" t="n">
        <v>0.85</v>
      </c>
      <c r="U383" s="16" t="n">
        <v>0.75</v>
      </c>
      <c r="V383" s="16" t="n">
        <v>0.85</v>
      </c>
      <c r="W383" s="16" t="n">
        <v>0.75</v>
      </c>
      <c r="X383" s="16" t="n">
        <v>0.55</v>
      </c>
      <c r="Y383" s="16" t="n"/>
      <c r="Z383" s="16" t="n"/>
      <c r="AA383" s="16" t="n"/>
      <c r="AB383" s="16" t="n">
        <v>2600</v>
      </c>
      <c r="AC383" s="16" t="n">
        <v>7.5</v>
      </c>
      <c r="AD383" s="16" t="n"/>
      <c r="AE383" s="16" t="n"/>
    </row>
    <row r="384">
      <c r="A384" s="16" t="inlineStr">
        <is>
          <t>KF-M02R-n1-0028</t>
        </is>
      </c>
      <c r="B384" s="16" t="inlineStr">
        <is>
          <t>2.3</t>
        </is>
      </c>
      <c r="C384" s="16" t="inlineStr">
        <is>
          <t>2.3a</t>
        </is>
      </c>
      <c r="D384" s="16" t="inlineStr">
        <is>
          <t>un cambio</t>
        </is>
      </c>
      <c r="E384" s="16" t="inlineStr">
        <is>
          <t>KF-M02R</t>
        </is>
      </c>
      <c r="F384" s="16" t="inlineStr">
        <is>
          <t>KF-M02R-n1</t>
        </is>
      </c>
      <c r="G384" s="16" t="inlineStr">
        <is>
          <t>B04-n1</t>
        </is>
      </c>
      <c r="H384" s="16" t="inlineStr">
        <is>
          <t>malla</t>
        </is>
      </c>
      <c r="I384" s="16" t="inlineStr">
        <is>
          <t>NO_CONVERGIO</t>
        </is>
      </c>
      <c r="J384" s="16" t="inlineStr">
        <is>
          <t>NO_CONVERGIO</t>
        </is>
      </c>
      <c r="K384" s="16" t="b">
        <v>0</v>
      </c>
      <c r="L384" s="16" t="b">
        <v>0</v>
      </c>
      <c r="M384" s="16" t="b">
        <v>0</v>
      </c>
      <c r="N384" s="16" t="b">
        <v>0</v>
      </c>
      <c r="O384" s="16" t="n">
        <v>623.15</v>
      </c>
      <c r="P384" s="16" t="n">
        <v>300.032917</v>
      </c>
      <c r="Q384" s="16" t="n">
        <v>3000</v>
      </c>
      <c r="R384" s="16" t="n">
        <v>400</v>
      </c>
      <c r="S384" s="16" t="n">
        <v>0.5</v>
      </c>
      <c r="T384" s="16" t="n">
        <v>0.85</v>
      </c>
      <c r="U384" s="16" t="n">
        <v>0.75</v>
      </c>
      <c r="V384" s="16" t="n">
        <v>0.85</v>
      </c>
      <c r="W384" s="16" t="n">
        <v>0.75</v>
      </c>
      <c r="X384" s="16" t="n">
        <v>0.6</v>
      </c>
      <c r="Y384" s="16" t="n"/>
      <c r="Z384" s="16" t="n"/>
      <c r="AA384" s="16" t="n"/>
      <c r="AB384" s="16" t="n">
        <v>2600</v>
      </c>
      <c r="AC384" s="16" t="n">
        <v>7.5</v>
      </c>
      <c r="AD384" s="16" t="n"/>
      <c r="AE384" s="16" t="n"/>
    </row>
    <row r="385">
      <c r="A385" s="16" t="inlineStr">
        <is>
          <t>KF-M02R-n1-0029</t>
        </is>
      </c>
      <c r="B385" s="16" t="inlineStr">
        <is>
          <t>2.3</t>
        </is>
      </c>
      <c r="C385" s="16" t="inlineStr">
        <is>
          <t>2.3a</t>
        </is>
      </c>
      <c r="D385" s="16" t="inlineStr">
        <is>
          <t>un cambio</t>
        </is>
      </c>
      <c r="E385" s="16" t="inlineStr">
        <is>
          <t>KF-M02R</t>
        </is>
      </c>
      <c r="F385" s="16" t="inlineStr">
        <is>
          <t>KF-M02R-n1</t>
        </is>
      </c>
      <c r="G385" s="16" t="inlineStr">
        <is>
          <t>B04-n1</t>
        </is>
      </c>
      <c r="H385" s="16" t="inlineStr">
        <is>
          <t>malla</t>
        </is>
      </c>
      <c r="I385" s="16" t="inlineStr">
        <is>
          <t>NO_CONVERGIO</t>
        </is>
      </c>
      <c r="J385" s="16" t="inlineStr">
        <is>
          <t>NO_CONVERGIO</t>
        </is>
      </c>
      <c r="K385" s="16" t="b">
        <v>0</v>
      </c>
      <c r="L385" s="16" t="b">
        <v>0</v>
      </c>
      <c r="M385" s="16" t="b">
        <v>0</v>
      </c>
      <c r="N385" s="16" t="b">
        <v>0</v>
      </c>
      <c r="O385" s="16" t="n">
        <v>623.15</v>
      </c>
      <c r="P385" s="16" t="n">
        <v>300.032917</v>
      </c>
      <c r="Q385" s="16" t="n">
        <v>3000</v>
      </c>
      <c r="R385" s="16" t="n">
        <v>400</v>
      </c>
      <c r="S385" s="16" t="n">
        <v>0.5</v>
      </c>
      <c r="T385" s="16" t="n">
        <v>0.85</v>
      </c>
      <c r="U385" s="16" t="n">
        <v>0.75</v>
      </c>
      <c r="V385" s="16" t="n">
        <v>0.85</v>
      </c>
      <c r="W385" s="16" t="n">
        <v>0.75</v>
      </c>
      <c r="X385" s="16" t="n">
        <v>0.7</v>
      </c>
      <c r="Y385" s="16" t="n"/>
      <c r="Z385" s="16" t="n"/>
      <c r="AA385" s="16" t="n"/>
      <c r="AB385" s="16" t="n">
        <v>2600</v>
      </c>
      <c r="AC385" s="16" t="n">
        <v>7.5</v>
      </c>
      <c r="AD385" s="16" t="n"/>
      <c r="AE385" s="16" t="n"/>
    </row>
    <row r="386">
      <c r="A386" s="16" t="inlineStr">
        <is>
          <t>KF-M02R-n1-0030</t>
        </is>
      </c>
      <c r="B386" s="16" t="inlineStr">
        <is>
          <t>2.3</t>
        </is>
      </c>
      <c r="C386" s="16" t="inlineStr">
        <is>
          <t>2.3a</t>
        </is>
      </c>
      <c r="D386" s="16" t="inlineStr">
        <is>
          <t>un cambio</t>
        </is>
      </c>
      <c r="E386" s="16" t="inlineStr">
        <is>
          <t>KF-M02R</t>
        </is>
      </c>
      <c r="F386" s="16" t="inlineStr">
        <is>
          <t>KF-M02R-n1</t>
        </is>
      </c>
      <c r="G386" s="16" t="inlineStr">
        <is>
          <t>B04-n1</t>
        </is>
      </c>
      <c r="H386" s="16" t="inlineStr">
        <is>
          <t>malla</t>
        </is>
      </c>
      <c r="I386" s="16" t="inlineStr">
        <is>
          <t>NO_CONVERGIO</t>
        </is>
      </c>
      <c r="J386" s="16" t="inlineStr">
        <is>
          <t>NO_CONVERGIO</t>
        </is>
      </c>
      <c r="K386" s="16" t="b">
        <v>0</v>
      </c>
      <c r="L386" s="16" t="b">
        <v>0</v>
      </c>
      <c r="M386" s="16" t="b">
        <v>0</v>
      </c>
      <c r="N386" s="16" t="b">
        <v>0</v>
      </c>
      <c r="O386" s="16" t="n">
        <v>623.15</v>
      </c>
      <c r="P386" s="16" t="n">
        <v>300.032917</v>
      </c>
      <c r="Q386" s="16" t="n">
        <v>3000</v>
      </c>
      <c r="R386" s="16" t="n">
        <v>400</v>
      </c>
      <c r="S386" s="16" t="n">
        <v>0.5</v>
      </c>
      <c r="T386" s="16" t="n">
        <v>0.85</v>
      </c>
      <c r="U386" s="16" t="n">
        <v>0.75</v>
      </c>
      <c r="V386" s="16" t="n">
        <v>0.85</v>
      </c>
      <c r="W386" s="16" t="n">
        <v>0.75</v>
      </c>
      <c r="X386" s="16" t="n">
        <v>0.75</v>
      </c>
      <c r="Y386" s="16" t="n"/>
      <c r="Z386" s="16" t="n"/>
      <c r="AA386" s="16" t="n"/>
      <c r="AB386" s="16" t="n">
        <v>2600</v>
      </c>
      <c r="AC386" s="16" t="n">
        <v>7.5</v>
      </c>
      <c r="AD386" s="16" t="n"/>
      <c r="AE386" s="16" t="n"/>
    </row>
    <row r="387">
      <c r="A387" s="16" t="inlineStr">
        <is>
          <t>KF-M02R-n1-0031</t>
        </is>
      </c>
      <c r="B387" s="16" t="inlineStr">
        <is>
          <t>2.3</t>
        </is>
      </c>
      <c r="C387" s="16" t="inlineStr">
        <is>
          <t>2.3a</t>
        </is>
      </c>
      <c r="D387" s="16" t="inlineStr">
        <is>
          <t>un cambio</t>
        </is>
      </c>
      <c r="E387" s="16" t="inlineStr">
        <is>
          <t>KF-M02R</t>
        </is>
      </c>
      <c r="F387" s="16" t="inlineStr">
        <is>
          <t>KF-M02R-n1</t>
        </is>
      </c>
      <c r="G387" s="16" t="inlineStr">
        <is>
          <t>B04-n1</t>
        </is>
      </c>
      <c r="H387" s="16" t="inlineStr">
        <is>
          <t>malla</t>
        </is>
      </c>
      <c r="I387" s="16" t="inlineStr">
        <is>
          <t>NO_CONVERGIO</t>
        </is>
      </c>
      <c r="J387" s="16" t="inlineStr">
        <is>
          <t>NO_CONVERGIO</t>
        </is>
      </c>
      <c r="K387" s="16" t="b">
        <v>0</v>
      </c>
      <c r="L387" s="16" t="b">
        <v>0</v>
      </c>
      <c r="M387" s="16" t="b">
        <v>0</v>
      </c>
      <c r="N387" s="16" t="b">
        <v>0</v>
      </c>
      <c r="O387" s="16" t="n">
        <v>623.15</v>
      </c>
      <c r="P387" s="16" t="n">
        <v>300.032917</v>
      </c>
      <c r="Q387" s="16" t="n">
        <v>3000</v>
      </c>
      <c r="R387" s="16" t="n">
        <v>400</v>
      </c>
      <c r="S387" s="16" t="n">
        <v>0.5</v>
      </c>
      <c r="T387" s="16" t="n">
        <v>0.85</v>
      </c>
      <c r="U387" s="16" t="n">
        <v>0.75</v>
      </c>
      <c r="V387" s="16" t="n">
        <v>0.85</v>
      </c>
      <c r="W387" s="16" t="n">
        <v>0.75</v>
      </c>
      <c r="X387" s="16" t="n">
        <v>0.65</v>
      </c>
      <c r="Y387" s="16" t="n"/>
      <c r="Z387" s="16" t="n"/>
      <c r="AA387" s="16" t="n"/>
      <c r="AB387" s="16" t="n">
        <v>2600</v>
      </c>
      <c r="AC387" s="16" t="n">
        <v>7.5</v>
      </c>
      <c r="AD387" s="16" t="n"/>
      <c r="AE387" s="16" t="n"/>
    </row>
    <row r="388">
      <c r="A388" s="16" t="inlineStr">
        <is>
          <t>KF-M02R-n1-0032</t>
        </is>
      </c>
      <c r="B388" s="16" t="inlineStr">
        <is>
          <t>2.3</t>
        </is>
      </c>
      <c r="C388" s="16" t="inlineStr">
        <is>
          <t>2.3a</t>
        </is>
      </c>
      <c r="D388" s="16" t="inlineStr">
        <is>
          <t>un cambio</t>
        </is>
      </c>
      <c r="E388" s="16" t="inlineStr">
        <is>
          <t>KF-M02R</t>
        </is>
      </c>
      <c r="F388" s="16" t="inlineStr">
        <is>
          <t>KF-M02R-n1</t>
        </is>
      </c>
      <c r="G388" s="16" t="inlineStr">
        <is>
          <t>B04-n1</t>
        </is>
      </c>
      <c r="H388" s="16" t="inlineStr">
        <is>
          <t>malla</t>
        </is>
      </c>
      <c r="I388" s="16" t="inlineStr">
        <is>
          <t>NO_CONVERGIO</t>
        </is>
      </c>
      <c r="J388" s="16" t="inlineStr">
        <is>
          <t>NO_CONVERGIO</t>
        </is>
      </c>
      <c r="K388" s="16" t="b">
        <v>0</v>
      </c>
      <c r="L388" s="16" t="b">
        <v>0</v>
      </c>
      <c r="M388" s="16" t="b">
        <v>0</v>
      </c>
      <c r="N388" s="16" t="b">
        <v>0</v>
      </c>
      <c r="O388" s="16" t="n">
        <v>623.15</v>
      </c>
      <c r="P388" s="16" t="n">
        <v>300.032917</v>
      </c>
      <c r="Q388" s="16" t="n">
        <v>3000</v>
      </c>
      <c r="R388" s="16" t="n">
        <v>400</v>
      </c>
      <c r="S388" s="16" t="n">
        <v>0.5</v>
      </c>
      <c r="T388" s="16" t="n">
        <v>0.85</v>
      </c>
      <c r="U388" s="16" t="n">
        <v>0.75</v>
      </c>
      <c r="V388" s="16" t="n">
        <v>0.85</v>
      </c>
      <c r="W388" s="16" t="n">
        <v>0.75</v>
      </c>
      <c r="X388" s="16" t="n">
        <v>0.8</v>
      </c>
      <c r="Y388" s="16" t="n"/>
      <c r="Z388" s="16" t="n"/>
      <c r="AA388" s="16" t="n"/>
      <c r="AB388" s="16" t="n">
        <v>2600</v>
      </c>
      <c r="AC388" s="16" t="n">
        <v>7.5</v>
      </c>
      <c r="AD388" s="16" t="n"/>
      <c r="AE388" s="16" t="n"/>
    </row>
    <row r="389">
      <c r="A389" s="16" t="inlineStr">
        <is>
          <t>KF-M02R-n1-0033</t>
        </is>
      </c>
      <c r="B389" s="16" t="inlineStr">
        <is>
          <t>2.3</t>
        </is>
      </c>
      <c r="C389" s="16" t="inlineStr">
        <is>
          <t>2.3a</t>
        </is>
      </c>
      <c r="D389" s="16" t="inlineStr">
        <is>
          <t>un cambio</t>
        </is>
      </c>
      <c r="E389" s="16" t="inlineStr">
        <is>
          <t>KF-M02R</t>
        </is>
      </c>
      <c r="F389" s="16" t="inlineStr">
        <is>
          <t>KF-M02R-n1</t>
        </is>
      </c>
      <c r="G389" s="16" t="inlineStr">
        <is>
          <t>B04-n1</t>
        </is>
      </c>
      <c r="H389" s="16" t="inlineStr">
        <is>
          <t>malla</t>
        </is>
      </c>
      <c r="I389" s="16" t="inlineStr">
        <is>
          <t>NO_CONVERGIO</t>
        </is>
      </c>
      <c r="J389" s="16" t="inlineStr">
        <is>
          <t>NO_CONVERGIO</t>
        </is>
      </c>
      <c r="K389" s="16" t="b">
        <v>0</v>
      </c>
      <c r="L389" s="16" t="b">
        <v>0</v>
      </c>
      <c r="M389" s="16" t="b">
        <v>0</v>
      </c>
      <c r="N389" s="16" t="b">
        <v>0</v>
      </c>
      <c r="O389" s="16" t="n">
        <v>623.15</v>
      </c>
      <c r="P389" s="16" t="n">
        <v>300.032917</v>
      </c>
      <c r="Q389" s="16" t="n">
        <v>3000</v>
      </c>
      <c r="R389" s="16" t="n">
        <v>400</v>
      </c>
      <c r="S389" s="16" t="n">
        <v>0.5</v>
      </c>
      <c r="T389" s="16" t="n">
        <v>0.85</v>
      </c>
      <c r="U389" s="16" t="n">
        <v>0.75</v>
      </c>
      <c r="V389" s="16" t="n">
        <v>0.85</v>
      </c>
      <c r="W389" s="16" t="n">
        <v>0.75</v>
      </c>
      <c r="X389" s="16" t="n">
        <v>0.85</v>
      </c>
      <c r="Y389" s="16" t="n"/>
      <c r="Z389" s="16" t="n"/>
      <c r="AA389" s="16" t="n"/>
      <c r="AB389" s="16" t="n">
        <v>2600</v>
      </c>
      <c r="AC389" s="16" t="n">
        <v>7.5</v>
      </c>
      <c r="AD389" s="16" t="n"/>
      <c r="AE389" s="16" t="n"/>
    </row>
    <row r="390">
      <c r="A390" s="16" t="inlineStr">
        <is>
          <t>KF-M02R-n1-0034</t>
        </is>
      </c>
      <c r="B390" s="16" t="inlineStr">
        <is>
          <t>2.3</t>
        </is>
      </c>
      <c r="C390" s="16" t="inlineStr">
        <is>
          <t>2.3a</t>
        </is>
      </c>
      <c r="D390" s="16" t="inlineStr">
        <is>
          <t>un cambio</t>
        </is>
      </c>
      <c r="E390" s="16" t="inlineStr">
        <is>
          <t>KF-M02R</t>
        </is>
      </c>
      <c r="F390" s="16" t="inlineStr">
        <is>
          <t>KF-M02R-n1</t>
        </is>
      </c>
      <c r="G390" s="16" t="inlineStr">
        <is>
          <t>B04-n1</t>
        </is>
      </c>
      <c r="H390" s="16" t="inlineStr">
        <is>
          <t>malla</t>
        </is>
      </c>
      <c r="I390" s="16" t="inlineStr">
        <is>
          <t>NO_CONVERGIO</t>
        </is>
      </c>
      <c r="J390" s="16" t="inlineStr">
        <is>
          <t>NO_CONVERGIO</t>
        </is>
      </c>
      <c r="K390" s="16" t="b">
        <v>0</v>
      </c>
      <c r="L390" s="16" t="b">
        <v>0</v>
      </c>
      <c r="M390" s="16" t="b">
        <v>0</v>
      </c>
      <c r="N390" s="16" t="b">
        <v>0</v>
      </c>
      <c r="O390" s="16" t="n">
        <v>623.15</v>
      </c>
      <c r="P390" s="16" t="n">
        <v>300.032917</v>
      </c>
      <c r="Q390" s="16" t="n">
        <v>3000</v>
      </c>
      <c r="R390" s="16" t="n">
        <v>400</v>
      </c>
      <c r="S390" s="16" t="n">
        <v>0.5</v>
      </c>
      <c r="T390" s="16" t="n">
        <v>0.4</v>
      </c>
      <c r="U390" s="16" t="n">
        <v>0.75</v>
      </c>
      <c r="V390" s="16" t="n">
        <v>0.85</v>
      </c>
      <c r="W390" s="16" t="n">
        <v>0.75</v>
      </c>
      <c r="X390" s="16" t="n">
        <v>0.8</v>
      </c>
      <c r="Y390" s="16" t="n"/>
      <c r="Z390" s="16" t="n"/>
      <c r="AA390" s="16" t="n"/>
      <c r="AB390" s="16" t="n">
        <v>2600</v>
      </c>
      <c r="AC390" s="16" t="n">
        <v>7.5</v>
      </c>
      <c r="AD390" s="16" t="n"/>
      <c r="AE390" s="16" t="n"/>
    </row>
    <row r="391">
      <c r="A391" s="16" t="inlineStr">
        <is>
          <t>KF-M02R-n1-0035</t>
        </is>
      </c>
      <c r="B391" s="16" t="inlineStr">
        <is>
          <t>2.3</t>
        </is>
      </c>
      <c r="C391" s="16" t="inlineStr">
        <is>
          <t>2.3a</t>
        </is>
      </c>
      <c r="D391" s="16" t="inlineStr">
        <is>
          <t>un cambio</t>
        </is>
      </c>
      <c r="E391" s="16" t="inlineStr">
        <is>
          <t>KF-M02R</t>
        </is>
      </c>
      <c r="F391" s="16" t="inlineStr">
        <is>
          <t>KF-M02R-n1</t>
        </is>
      </c>
      <c r="G391" s="16" t="inlineStr">
        <is>
          <t>B04-n1</t>
        </is>
      </c>
      <c r="H391" s="16" t="inlineStr">
        <is>
          <t>malla</t>
        </is>
      </c>
      <c r="I391" s="16" t="inlineStr">
        <is>
          <t>NO_CONVERGIO</t>
        </is>
      </c>
      <c r="J391" s="16" t="inlineStr">
        <is>
          <t>NO_CONVERGIO</t>
        </is>
      </c>
      <c r="K391" s="16" t="b">
        <v>0</v>
      </c>
      <c r="L391" s="16" t="b">
        <v>0</v>
      </c>
      <c r="M391" s="16" t="b">
        <v>0</v>
      </c>
      <c r="N391" s="16" t="b">
        <v>0</v>
      </c>
      <c r="O391" s="16" t="n">
        <v>623.15</v>
      </c>
      <c r="P391" s="16" t="n">
        <v>300.032917</v>
      </c>
      <c r="Q391" s="16" t="n">
        <v>3000</v>
      </c>
      <c r="R391" s="16" t="n">
        <v>400</v>
      </c>
      <c r="S391" s="16" t="n">
        <v>0.5</v>
      </c>
      <c r="T391" s="16" t="n">
        <v>0.45</v>
      </c>
      <c r="U391" s="16" t="n">
        <v>0.75</v>
      </c>
      <c r="V391" s="16" t="n">
        <v>0.85</v>
      </c>
      <c r="W391" s="16" t="n">
        <v>0.75</v>
      </c>
      <c r="X391" s="16" t="n">
        <v>0.8</v>
      </c>
      <c r="Y391" s="16" t="n"/>
      <c r="Z391" s="16" t="n"/>
      <c r="AA391" s="16" t="n"/>
      <c r="AB391" s="16" t="n">
        <v>2600</v>
      </c>
      <c r="AC391" s="16" t="n">
        <v>7.5</v>
      </c>
      <c r="AD391" s="16" t="n"/>
      <c r="AE391" s="16" t="n"/>
    </row>
    <row r="392">
      <c r="A392" s="16" t="inlineStr">
        <is>
          <t>KF-M02R-n1-0036</t>
        </is>
      </c>
      <c r="B392" s="16" t="inlineStr">
        <is>
          <t>2.3</t>
        </is>
      </c>
      <c r="C392" s="16" t="inlineStr">
        <is>
          <t>2.3a</t>
        </is>
      </c>
      <c r="D392" s="16" t="inlineStr">
        <is>
          <t>un cambio</t>
        </is>
      </c>
      <c r="E392" s="16" t="inlineStr">
        <is>
          <t>KF-M02R</t>
        </is>
      </c>
      <c r="F392" s="16" t="inlineStr">
        <is>
          <t>KF-M02R-n1</t>
        </is>
      </c>
      <c r="G392" s="16" t="inlineStr">
        <is>
          <t>B04-n1</t>
        </is>
      </c>
      <c r="H392" s="16" t="inlineStr">
        <is>
          <t>malla</t>
        </is>
      </c>
      <c r="I392" s="16" t="inlineStr">
        <is>
          <t>NO_CONVERGIO</t>
        </is>
      </c>
      <c r="J392" s="16" t="inlineStr">
        <is>
          <t>NO_CONVERGIO</t>
        </is>
      </c>
      <c r="K392" s="16" t="b">
        <v>0</v>
      </c>
      <c r="L392" s="16" t="b">
        <v>0</v>
      </c>
      <c r="M392" s="16" t="b">
        <v>0</v>
      </c>
      <c r="N392" s="16" t="b">
        <v>0</v>
      </c>
      <c r="O392" s="16" t="n">
        <v>623.15</v>
      </c>
      <c r="P392" s="16" t="n">
        <v>300.032917</v>
      </c>
      <c r="Q392" s="16" t="n">
        <v>3000</v>
      </c>
      <c r="R392" s="16" t="n">
        <v>400</v>
      </c>
      <c r="S392" s="16" t="n">
        <v>0.5</v>
      </c>
      <c r="T392" s="16" t="n">
        <v>0.5</v>
      </c>
      <c r="U392" s="16" t="n">
        <v>0.75</v>
      </c>
      <c r="V392" s="16" t="n">
        <v>0.85</v>
      </c>
      <c r="W392" s="16" t="n">
        <v>0.75</v>
      </c>
      <c r="X392" s="16" t="n">
        <v>0.8</v>
      </c>
      <c r="Y392" s="16" t="n"/>
      <c r="Z392" s="16" t="n"/>
      <c r="AA392" s="16" t="n"/>
      <c r="AB392" s="16" t="n">
        <v>2600</v>
      </c>
      <c r="AC392" s="16" t="n">
        <v>7.5</v>
      </c>
      <c r="AD392" s="16" t="n"/>
      <c r="AE392" s="16" t="n"/>
    </row>
    <row r="393">
      <c r="A393" s="16" t="inlineStr">
        <is>
          <t>KF-M02R-n1-0037</t>
        </is>
      </c>
      <c r="B393" s="16" t="inlineStr">
        <is>
          <t>2.3</t>
        </is>
      </c>
      <c r="C393" s="16" t="inlineStr">
        <is>
          <t>2.3a</t>
        </is>
      </c>
      <c r="D393" s="16" t="inlineStr">
        <is>
          <t>un cambio</t>
        </is>
      </c>
      <c r="E393" s="16" t="inlineStr">
        <is>
          <t>KF-M02R</t>
        </is>
      </c>
      <c r="F393" s="16" t="inlineStr">
        <is>
          <t>KF-M02R-n1</t>
        </is>
      </c>
      <c r="G393" s="16" t="inlineStr">
        <is>
          <t>B04-n1</t>
        </is>
      </c>
      <c r="H393" s="16" t="inlineStr">
        <is>
          <t>malla</t>
        </is>
      </c>
      <c r="I393" s="16" t="inlineStr">
        <is>
          <t>N2</t>
        </is>
      </c>
      <c r="J393" s="16" t="inlineStr">
        <is>
          <t>NO_CONVERGIO</t>
        </is>
      </c>
      <c r="K393" s="16" t="b">
        <v>0</v>
      </c>
      <c r="L393" s="16" t="b">
        <v>0</v>
      </c>
      <c r="M393" s="16" t="b">
        <v>1</v>
      </c>
      <c r="N393" s="16" t="b">
        <v>0</v>
      </c>
      <c r="O393" s="16" t="n">
        <v>623.15</v>
      </c>
      <c r="P393" s="16" t="n">
        <v>300.032917</v>
      </c>
      <c r="Q393" s="16" t="n">
        <v>3000</v>
      </c>
      <c r="R393" s="16" t="n">
        <v>400</v>
      </c>
      <c r="S393" s="16" t="n">
        <v>0.5</v>
      </c>
      <c r="T393" s="16" t="n">
        <v>0.85</v>
      </c>
      <c r="U393" s="16" t="n">
        <v>0.75</v>
      </c>
      <c r="V393" s="16" t="n">
        <v>0.85</v>
      </c>
      <c r="W393" s="16" t="n">
        <v>0.75</v>
      </c>
      <c r="X393" s="16" t="n">
        <v>0.95</v>
      </c>
      <c r="Y393" s="16" t="n"/>
      <c r="Z393" s="16" t="n">
        <v>14.21538591116549</v>
      </c>
      <c r="AA393" s="16" t="n">
        <v>321.9634812736881</v>
      </c>
      <c r="AB393" s="16" t="n">
        <v>2600</v>
      </c>
      <c r="AC393" s="16" t="n">
        <v>7.5</v>
      </c>
      <c r="AD393" s="16" t="inlineStr">
        <is>
          <t>N2,O1,O2,O5,C1,C3,C3</t>
        </is>
      </c>
      <c r="AE393" s="16" t="n"/>
    </row>
    <row r="394">
      <c r="A394" s="16" t="inlineStr">
        <is>
          <t>KF-M02R-n1-0038</t>
        </is>
      </c>
      <c r="B394" s="16" t="inlineStr">
        <is>
          <t>2.3</t>
        </is>
      </c>
      <c r="C394" s="16" t="inlineStr">
        <is>
          <t>2.3a</t>
        </is>
      </c>
      <c r="D394" s="16" t="inlineStr">
        <is>
          <t>un cambio</t>
        </is>
      </c>
      <c r="E394" s="16" t="inlineStr">
        <is>
          <t>KF-M02R</t>
        </is>
      </c>
      <c r="F394" s="16" t="inlineStr">
        <is>
          <t>KF-M02R-n1</t>
        </is>
      </c>
      <c r="G394" s="16" t="inlineStr">
        <is>
          <t>B04-n1</t>
        </is>
      </c>
      <c r="H394" s="16" t="inlineStr">
        <is>
          <t>malla</t>
        </is>
      </c>
      <c r="I394" s="16" t="inlineStr">
        <is>
          <t>N2</t>
        </is>
      </c>
      <c r="J394" s="16" t="inlineStr">
        <is>
          <t>NO_CONVERGIO</t>
        </is>
      </c>
      <c r="K394" s="16" t="b">
        <v>0</v>
      </c>
      <c r="L394" s="16" t="b">
        <v>0</v>
      </c>
      <c r="M394" s="16" t="b">
        <v>1</v>
      </c>
      <c r="N394" s="16" t="b">
        <v>0</v>
      </c>
      <c r="O394" s="16" t="n">
        <v>623.15</v>
      </c>
      <c r="P394" s="16" t="n">
        <v>300.032917</v>
      </c>
      <c r="Q394" s="16" t="n">
        <v>3000</v>
      </c>
      <c r="R394" s="16" t="n">
        <v>400</v>
      </c>
      <c r="S394" s="16" t="n">
        <v>0.5</v>
      </c>
      <c r="T394" s="16" t="n">
        <v>0.85</v>
      </c>
      <c r="U394" s="16" t="n">
        <v>0.75</v>
      </c>
      <c r="V394" s="16" t="n">
        <v>0.85</v>
      </c>
      <c r="W394" s="16" t="n">
        <v>0.75</v>
      </c>
      <c r="X394" s="16" t="n">
        <v>0.8999999999999999</v>
      </c>
      <c r="Y394" s="16" t="n"/>
      <c r="Z394" s="16" t="n">
        <v>16.6163392817652</v>
      </c>
      <c r="AA394" s="16" t="n">
        <v>362.8001550727814</v>
      </c>
      <c r="AB394" s="16" t="n">
        <v>2600</v>
      </c>
      <c r="AC394" s="16" t="n">
        <v>7.5</v>
      </c>
      <c r="AD394" s="16" t="inlineStr">
        <is>
          <t>N2,O1,O2,O5,C1,C3,C3</t>
        </is>
      </c>
      <c r="AE394" s="16" t="n"/>
    </row>
    <row r="395">
      <c r="A395" s="16" t="inlineStr">
        <is>
          <t>KF-M02R-n1-0039</t>
        </is>
      </c>
      <c r="B395" s="16" t="inlineStr">
        <is>
          <t>2.3</t>
        </is>
      </c>
      <c r="C395" s="16" t="inlineStr">
        <is>
          <t>2.3a</t>
        </is>
      </c>
      <c r="D395" s="16" t="inlineStr">
        <is>
          <t>un cambio</t>
        </is>
      </c>
      <c r="E395" s="16" t="inlineStr">
        <is>
          <t>KF-M02R</t>
        </is>
      </c>
      <c r="F395" s="16" t="inlineStr">
        <is>
          <t>KF-M02R-n1</t>
        </is>
      </c>
      <c r="G395" s="16" t="inlineStr">
        <is>
          <t>B04-n1</t>
        </is>
      </c>
      <c r="H395" s="16" t="inlineStr">
        <is>
          <t>malla</t>
        </is>
      </c>
      <c r="I395" s="16" t="inlineStr">
        <is>
          <t>NO_CONVERGIO</t>
        </is>
      </c>
      <c r="J395" s="16" t="inlineStr">
        <is>
          <t>NO_CONVERGIO</t>
        </is>
      </c>
      <c r="K395" s="16" t="b">
        <v>0</v>
      </c>
      <c r="L395" s="16" t="b">
        <v>0</v>
      </c>
      <c r="M395" s="16" t="b">
        <v>0</v>
      </c>
      <c r="N395" s="16" t="b">
        <v>0</v>
      </c>
      <c r="O395" s="16" t="n">
        <v>623.15</v>
      </c>
      <c r="P395" s="16" t="n">
        <v>300.032917</v>
      </c>
      <c r="Q395" s="16" t="n">
        <v>3000</v>
      </c>
      <c r="R395" s="16" t="n">
        <v>400</v>
      </c>
      <c r="S395" s="16" t="n">
        <v>0.5</v>
      </c>
      <c r="T395" s="16" t="n">
        <v>0.55</v>
      </c>
      <c r="U395" s="16" t="n">
        <v>0.75</v>
      </c>
      <c r="V395" s="16" t="n">
        <v>0.85</v>
      </c>
      <c r="W395" s="16" t="n">
        <v>0.75</v>
      </c>
      <c r="X395" s="16" t="n">
        <v>0.8</v>
      </c>
      <c r="Y395" s="16" t="n"/>
      <c r="Z395" s="16" t="n"/>
      <c r="AA395" s="16" t="n"/>
      <c r="AB395" s="16" t="n">
        <v>2600</v>
      </c>
      <c r="AC395" s="16" t="n">
        <v>7.5</v>
      </c>
      <c r="AD395" s="16" t="n"/>
      <c r="AE395" s="16" t="n"/>
    </row>
    <row r="396">
      <c r="A396" s="16" t="inlineStr">
        <is>
          <t>KF-M02R-n1-0040</t>
        </is>
      </c>
      <c r="B396" s="16" t="inlineStr">
        <is>
          <t>2.3</t>
        </is>
      </c>
      <c r="C396" s="16" t="inlineStr">
        <is>
          <t>2.3a</t>
        </is>
      </c>
      <c r="D396" s="16" t="inlineStr">
        <is>
          <t>un cambio</t>
        </is>
      </c>
      <c r="E396" s="16" t="inlineStr">
        <is>
          <t>KF-M02R</t>
        </is>
      </c>
      <c r="F396" s="16" t="inlineStr">
        <is>
          <t>KF-M02R-n1</t>
        </is>
      </c>
      <c r="G396" s="16" t="inlineStr">
        <is>
          <t>B04-n1</t>
        </is>
      </c>
      <c r="H396" s="16" t="inlineStr">
        <is>
          <t>malla</t>
        </is>
      </c>
      <c r="I396" s="16" t="inlineStr">
        <is>
          <t>NO_CONVERGIO</t>
        </is>
      </c>
      <c r="J396" s="16" t="inlineStr">
        <is>
          <t>NO_CONVERGIO</t>
        </is>
      </c>
      <c r="K396" s="16" t="b">
        <v>0</v>
      </c>
      <c r="L396" s="16" t="b">
        <v>0</v>
      </c>
      <c r="M396" s="16" t="b">
        <v>0</v>
      </c>
      <c r="N396" s="16" t="b">
        <v>0</v>
      </c>
      <c r="O396" s="16" t="n">
        <v>623.15</v>
      </c>
      <c r="P396" s="16" t="n">
        <v>300.032917</v>
      </c>
      <c r="Q396" s="16" t="n">
        <v>3000</v>
      </c>
      <c r="R396" s="16" t="n">
        <v>400</v>
      </c>
      <c r="S396" s="16" t="n">
        <v>0.5</v>
      </c>
      <c r="T396" s="16" t="n">
        <v>0.6</v>
      </c>
      <c r="U396" s="16" t="n">
        <v>0.75</v>
      </c>
      <c r="V396" s="16" t="n">
        <v>0.85</v>
      </c>
      <c r="W396" s="16" t="n">
        <v>0.75</v>
      </c>
      <c r="X396" s="16" t="n">
        <v>0.8</v>
      </c>
      <c r="Y396" s="16" t="n"/>
      <c r="Z396" s="16" t="n"/>
      <c r="AA396" s="16" t="n"/>
      <c r="AB396" s="16" t="n">
        <v>2600</v>
      </c>
      <c r="AC396" s="16" t="n">
        <v>7.5</v>
      </c>
      <c r="AD396" s="16" t="n"/>
      <c r="AE396" s="16" t="n"/>
    </row>
    <row r="397">
      <c r="A397" s="16" t="inlineStr">
        <is>
          <t>KF-M02R-n1-0041</t>
        </is>
      </c>
      <c r="B397" s="16" t="inlineStr">
        <is>
          <t>2.3</t>
        </is>
      </c>
      <c r="C397" s="16" t="inlineStr">
        <is>
          <t>2.3a</t>
        </is>
      </c>
      <c r="D397" s="16" t="inlineStr">
        <is>
          <t>un cambio</t>
        </is>
      </c>
      <c r="E397" s="16" t="inlineStr">
        <is>
          <t>KF-M02R</t>
        </is>
      </c>
      <c r="F397" s="16" t="inlineStr">
        <is>
          <t>KF-M02R-n1</t>
        </is>
      </c>
      <c r="G397" s="16" t="inlineStr">
        <is>
          <t>B04-n1</t>
        </is>
      </c>
      <c r="H397" s="16" t="inlineStr">
        <is>
          <t>malla</t>
        </is>
      </c>
      <c r="I397" s="16" t="inlineStr">
        <is>
          <t>NO_CONVERGIO</t>
        </is>
      </c>
      <c r="J397" s="16" t="inlineStr">
        <is>
          <t>NO_CONVERGIO</t>
        </is>
      </c>
      <c r="K397" s="16" t="b">
        <v>0</v>
      </c>
      <c r="L397" s="16" t="b">
        <v>0</v>
      </c>
      <c r="M397" s="16" t="b">
        <v>0</v>
      </c>
      <c r="N397" s="16" t="b">
        <v>0</v>
      </c>
      <c r="O397" s="16" t="n">
        <v>623.15</v>
      </c>
      <c r="P397" s="16" t="n">
        <v>300.032917</v>
      </c>
      <c r="Q397" s="16" t="n">
        <v>3000</v>
      </c>
      <c r="R397" s="16" t="n">
        <v>400</v>
      </c>
      <c r="S397" s="16" t="n">
        <v>0.5</v>
      </c>
      <c r="T397" s="16" t="n">
        <v>0.65</v>
      </c>
      <c r="U397" s="16" t="n">
        <v>0.75</v>
      </c>
      <c r="V397" s="16" t="n">
        <v>0.85</v>
      </c>
      <c r="W397" s="16" t="n">
        <v>0.75</v>
      </c>
      <c r="X397" s="16" t="n">
        <v>0.8</v>
      </c>
      <c r="Y397" s="16" t="n"/>
      <c r="Z397" s="16" t="n"/>
      <c r="AA397" s="16" t="n"/>
      <c r="AB397" s="16" t="n">
        <v>2600</v>
      </c>
      <c r="AC397" s="16" t="n">
        <v>7.5</v>
      </c>
      <c r="AD397" s="16" t="n"/>
      <c r="AE397" s="16" t="n"/>
    </row>
    <row r="398">
      <c r="A398" s="16" t="inlineStr">
        <is>
          <t>KF-M02R-n1-0042</t>
        </is>
      </c>
      <c r="B398" s="16" t="inlineStr">
        <is>
          <t>2.3</t>
        </is>
      </c>
      <c r="C398" s="16" t="inlineStr">
        <is>
          <t>2.3a</t>
        </is>
      </c>
      <c r="D398" s="16" t="inlineStr">
        <is>
          <t>un cambio</t>
        </is>
      </c>
      <c r="E398" s="16" t="inlineStr">
        <is>
          <t>KF-M02R</t>
        </is>
      </c>
      <c r="F398" s="16" t="inlineStr">
        <is>
          <t>KF-M02R-n1</t>
        </is>
      </c>
      <c r="G398" s="16" t="inlineStr">
        <is>
          <t>B04-n1</t>
        </is>
      </c>
      <c r="H398" s="16" t="inlineStr">
        <is>
          <t>malla</t>
        </is>
      </c>
      <c r="I398" s="16" t="inlineStr">
        <is>
          <t>NO_CONVERGIO</t>
        </is>
      </c>
      <c r="J398" s="16" t="inlineStr">
        <is>
          <t>NO_CONVERGIO</t>
        </is>
      </c>
      <c r="K398" s="16" t="b">
        <v>0</v>
      </c>
      <c r="L398" s="16" t="b">
        <v>0</v>
      </c>
      <c r="M398" s="16" t="b">
        <v>0</v>
      </c>
      <c r="N398" s="16" t="b">
        <v>0</v>
      </c>
      <c r="O398" s="16" t="n">
        <v>623.15</v>
      </c>
      <c r="P398" s="16" t="n">
        <v>300.032917</v>
      </c>
      <c r="Q398" s="16" t="n">
        <v>3000</v>
      </c>
      <c r="R398" s="16" t="n">
        <v>400</v>
      </c>
      <c r="S398" s="16" t="n">
        <v>0.5</v>
      </c>
      <c r="T398" s="16" t="n">
        <v>0.7</v>
      </c>
      <c r="U398" s="16" t="n">
        <v>0.75</v>
      </c>
      <c r="V398" s="16" t="n">
        <v>0.85</v>
      </c>
      <c r="W398" s="16" t="n">
        <v>0.75</v>
      </c>
      <c r="X398" s="16" t="n">
        <v>0.8</v>
      </c>
      <c r="Y398" s="16" t="n"/>
      <c r="Z398" s="16" t="n"/>
      <c r="AA398" s="16" t="n"/>
      <c r="AB398" s="16" t="n">
        <v>2600</v>
      </c>
      <c r="AC398" s="16" t="n">
        <v>7.5</v>
      </c>
      <c r="AD398" s="16" t="n"/>
      <c r="AE398" s="16" t="n"/>
    </row>
    <row r="399">
      <c r="A399" s="16" t="inlineStr">
        <is>
          <t>KF-M02R-n1-0043</t>
        </is>
      </c>
      <c r="B399" s="16" t="inlineStr">
        <is>
          <t>2.3</t>
        </is>
      </c>
      <c r="C399" s="16" t="inlineStr">
        <is>
          <t>2.3a</t>
        </is>
      </c>
      <c r="D399" s="16" t="inlineStr">
        <is>
          <t>un cambio</t>
        </is>
      </c>
      <c r="E399" s="16" t="inlineStr">
        <is>
          <t>KF-M02R</t>
        </is>
      </c>
      <c r="F399" s="16" t="inlineStr">
        <is>
          <t>KF-M02R-n1</t>
        </is>
      </c>
      <c r="G399" s="16" t="inlineStr">
        <is>
          <t>B04-n1</t>
        </is>
      </c>
      <c r="H399" s="16" t="inlineStr">
        <is>
          <t>malla</t>
        </is>
      </c>
      <c r="I399" s="16" t="inlineStr">
        <is>
          <t>NO_CONVERGIO</t>
        </is>
      </c>
      <c r="J399" s="16" t="inlineStr">
        <is>
          <t>NO_CONVERGIO</t>
        </is>
      </c>
      <c r="K399" s="16" t="b">
        <v>0</v>
      </c>
      <c r="L399" s="16" t="b">
        <v>0</v>
      </c>
      <c r="M399" s="16" t="b">
        <v>0</v>
      </c>
      <c r="N399" s="16" t="b">
        <v>0</v>
      </c>
      <c r="O399" s="16" t="n">
        <v>623.15</v>
      </c>
      <c r="P399" s="16" t="n">
        <v>300.032917</v>
      </c>
      <c r="Q399" s="16" t="n">
        <v>3000</v>
      </c>
      <c r="R399" s="16" t="n">
        <v>400</v>
      </c>
      <c r="S399" s="16" t="n">
        <v>0.5</v>
      </c>
      <c r="T399" s="16" t="n">
        <v>0.75</v>
      </c>
      <c r="U399" s="16" t="n">
        <v>0.75</v>
      </c>
      <c r="V399" s="16" t="n">
        <v>0.85</v>
      </c>
      <c r="W399" s="16" t="n">
        <v>0.75</v>
      </c>
      <c r="X399" s="16" t="n">
        <v>0.8</v>
      </c>
      <c r="Y399" s="16" t="n"/>
      <c r="Z399" s="16" t="n"/>
      <c r="AA399" s="16" t="n"/>
      <c r="AB399" s="16" t="n">
        <v>2600</v>
      </c>
      <c r="AC399" s="16" t="n">
        <v>7.5</v>
      </c>
      <c r="AD399" s="16" t="n"/>
      <c r="AE399" s="16" t="n"/>
    </row>
    <row r="400">
      <c r="A400" s="16" t="inlineStr">
        <is>
          <t>KF-M02R-n1-0044</t>
        </is>
      </c>
      <c r="B400" s="16" t="inlineStr">
        <is>
          <t>2.3</t>
        </is>
      </c>
      <c r="C400" s="16" t="inlineStr">
        <is>
          <t>2.3a</t>
        </is>
      </c>
      <c r="D400" s="16" t="inlineStr">
        <is>
          <t>un cambio</t>
        </is>
      </c>
      <c r="E400" s="16" t="inlineStr">
        <is>
          <t>KF-M02R</t>
        </is>
      </c>
      <c r="F400" s="16" t="inlineStr">
        <is>
          <t>KF-M02R-n1</t>
        </is>
      </c>
      <c r="G400" s="16" t="inlineStr">
        <is>
          <t>B04-n1</t>
        </is>
      </c>
      <c r="H400" s="16" t="inlineStr">
        <is>
          <t>malla</t>
        </is>
      </c>
      <c r="I400" s="16" t="inlineStr">
        <is>
          <t>NO_CONVERGIO</t>
        </is>
      </c>
      <c r="J400" s="16" t="inlineStr">
        <is>
          <t>NO_CONVERGIO</t>
        </is>
      </c>
      <c r="K400" s="16" t="b">
        <v>0</v>
      </c>
      <c r="L400" s="16" t="b">
        <v>0</v>
      </c>
      <c r="M400" s="16" t="b">
        <v>0</v>
      </c>
      <c r="N400" s="16" t="b">
        <v>0</v>
      </c>
      <c r="O400" s="16" t="n">
        <v>623.15</v>
      </c>
      <c r="P400" s="16" t="n">
        <v>300.032917</v>
      </c>
      <c r="Q400" s="16" t="n">
        <v>3000</v>
      </c>
      <c r="R400" s="16" t="n">
        <v>400</v>
      </c>
      <c r="S400" s="16" t="n">
        <v>0.5</v>
      </c>
      <c r="T400" s="16" t="n">
        <v>0.8</v>
      </c>
      <c r="U400" s="16" t="n">
        <v>0.75</v>
      </c>
      <c r="V400" s="16" t="n">
        <v>0.85</v>
      </c>
      <c r="W400" s="16" t="n">
        <v>0.75</v>
      </c>
      <c r="X400" s="16" t="n">
        <v>0.8</v>
      </c>
      <c r="Y400" s="16" t="n"/>
      <c r="Z400" s="16" t="n"/>
      <c r="AA400" s="16" t="n"/>
      <c r="AB400" s="16" t="n">
        <v>2600</v>
      </c>
      <c r="AC400" s="16" t="n">
        <v>7.5</v>
      </c>
      <c r="AD400" s="16" t="n"/>
      <c r="AE400" s="16" t="n"/>
    </row>
    <row r="401">
      <c r="A401" s="16" t="inlineStr">
        <is>
          <t>KF-M02R-n1-0045</t>
        </is>
      </c>
      <c r="B401" s="16" t="inlineStr">
        <is>
          <t>2.3</t>
        </is>
      </c>
      <c r="C401" s="16" t="inlineStr">
        <is>
          <t>2.3a</t>
        </is>
      </c>
      <c r="D401" s="16" t="inlineStr">
        <is>
          <t>un cambio</t>
        </is>
      </c>
      <c r="E401" s="16" t="inlineStr">
        <is>
          <t>KF-M02R</t>
        </is>
      </c>
      <c r="F401" s="16" t="inlineStr">
        <is>
          <t>KF-M02R-n1</t>
        </is>
      </c>
      <c r="G401" s="16" t="inlineStr">
        <is>
          <t>B04-n1</t>
        </is>
      </c>
      <c r="H401" s="16" t="inlineStr">
        <is>
          <t>malla</t>
        </is>
      </c>
      <c r="I401" s="16" t="inlineStr">
        <is>
          <t>NO_CONVERGIO</t>
        </is>
      </c>
      <c r="J401" s="16" t="inlineStr">
        <is>
          <t>NO_CONVERGIO</t>
        </is>
      </c>
      <c r="K401" s="16" t="b">
        <v>0</v>
      </c>
      <c r="L401" s="16" t="b">
        <v>0</v>
      </c>
      <c r="M401" s="16" t="b">
        <v>0</v>
      </c>
      <c r="N401" s="16" t="b">
        <v>0</v>
      </c>
      <c r="O401" s="16" t="n">
        <v>623.15</v>
      </c>
      <c r="P401" s="16" t="n">
        <v>300.032917</v>
      </c>
      <c r="Q401" s="16" t="n">
        <v>3000</v>
      </c>
      <c r="R401" s="16" t="n">
        <v>400</v>
      </c>
      <c r="S401" s="16" t="n">
        <v>0.5</v>
      </c>
      <c r="T401" s="16" t="n">
        <v>0.85</v>
      </c>
      <c r="U401" s="16" t="n">
        <v>0.75</v>
      </c>
      <c r="V401" s="16" t="n">
        <v>0.85</v>
      </c>
      <c r="W401" s="16" t="n">
        <v>0.75</v>
      </c>
      <c r="X401" s="16" t="n">
        <v>0.8</v>
      </c>
      <c r="Y401" s="16" t="n"/>
      <c r="Z401" s="16" t="n"/>
      <c r="AA401" s="16" t="n"/>
      <c r="AB401" s="16" t="n">
        <v>2600</v>
      </c>
      <c r="AC401" s="16" t="n">
        <v>7.5</v>
      </c>
      <c r="AD401" s="16" t="n"/>
      <c r="AE401" s="16" t="n"/>
    </row>
    <row r="402">
      <c r="A402" s="16" t="inlineStr">
        <is>
          <t>KF-M02R-n1-0046</t>
        </is>
      </c>
      <c r="B402" s="16" t="inlineStr">
        <is>
          <t>2.3</t>
        </is>
      </c>
      <c r="C402" s="16" t="inlineStr">
        <is>
          <t>2.3a</t>
        </is>
      </c>
      <c r="D402" s="16" t="inlineStr">
        <is>
          <t>un cambio</t>
        </is>
      </c>
      <c r="E402" s="16" t="inlineStr">
        <is>
          <t>KF-M02R</t>
        </is>
      </c>
      <c r="F402" s="16" t="inlineStr">
        <is>
          <t>KF-M02R-n1</t>
        </is>
      </c>
      <c r="G402" s="16" t="inlineStr">
        <is>
          <t>B04-n1</t>
        </is>
      </c>
      <c r="H402" s="16" t="inlineStr">
        <is>
          <t>malla</t>
        </is>
      </c>
      <c r="I402" s="16" t="inlineStr">
        <is>
          <t>NO_CONVERGIO</t>
        </is>
      </c>
      <c r="J402" s="16" t="inlineStr">
        <is>
          <t>NO_CONVERGIO</t>
        </is>
      </c>
      <c r="K402" s="16" t="b">
        <v>0</v>
      </c>
      <c r="L402" s="16" t="b">
        <v>0</v>
      </c>
      <c r="M402" s="16" t="b">
        <v>0</v>
      </c>
      <c r="N402" s="16" t="b">
        <v>0</v>
      </c>
      <c r="O402" s="16" t="n">
        <v>623.15</v>
      </c>
      <c r="P402" s="16" t="n">
        <v>300.032917</v>
      </c>
      <c r="Q402" s="16" t="n">
        <v>3000</v>
      </c>
      <c r="R402" s="16" t="n">
        <v>400</v>
      </c>
      <c r="S402" s="16" t="n">
        <v>0.5</v>
      </c>
      <c r="T402" s="16" t="n">
        <v>0.8999999999999999</v>
      </c>
      <c r="U402" s="16" t="n">
        <v>0.75</v>
      </c>
      <c r="V402" s="16" t="n">
        <v>0.85</v>
      </c>
      <c r="W402" s="16" t="n">
        <v>0.75</v>
      </c>
      <c r="X402" s="16" t="n">
        <v>0.8</v>
      </c>
      <c r="Y402" s="16" t="n"/>
      <c r="Z402" s="16" t="n"/>
      <c r="AA402" s="16" t="n"/>
      <c r="AB402" s="16" t="n">
        <v>2600</v>
      </c>
      <c r="AC402" s="16" t="n">
        <v>7.5</v>
      </c>
      <c r="AD402" s="16" t="n"/>
      <c r="AE402" s="16" t="n"/>
    </row>
    <row r="403">
      <c r="A403" s="16" t="inlineStr">
        <is>
          <t>KF-M02R-n1-0047</t>
        </is>
      </c>
      <c r="B403" s="16" t="inlineStr">
        <is>
          <t>2.3</t>
        </is>
      </c>
      <c r="C403" s="16" t="inlineStr">
        <is>
          <t>2.3a</t>
        </is>
      </c>
      <c r="D403" s="16" t="inlineStr">
        <is>
          <t>un cambio</t>
        </is>
      </c>
      <c r="E403" s="16" t="inlineStr">
        <is>
          <t>KF-M02R</t>
        </is>
      </c>
      <c r="F403" s="16" t="inlineStr">
        <is>
          <t>KF-M02R-n1</t>
        </is>
      </c>
      <c r="G403" s="16" t="inlineStr">
        <is>
          <t>B04-n1</t>
        </is>
      </c>
      <c r="H403" s="16" t="inlineStr">
        <is>
          <t>malla</t>
        </is>
      </c>
      <c r="I403" s="16" t="inlineStr">
        <is>
          <t>NO_CONVERGIO</t>
        </is>
      </c>
      <c r="J403" s="16" t="inlineStr">
        <is>
          <t>NO_CONVERGIO</t>
        </is>
      </c>
      <c r="K403" s="16" t="b">
        <v>0</v>
      </c>
      <c r="L403" s="16" t="b">
        <v>0</v>
      </c>
      <c r="M403" s="16" t="b">
        <v>0</v>
      </c>
      <c r="N403" s="16" t="b">
        <v>0</v>
      </c>
      <c r="O403" s="16" t="n">
        <v>623.15</v>
      </c>
      <c r="P403" s="16" t="n">
        <v>300.032917</v>
      </c>
      <c r="Q403" s="16" t="n">
        <v>3000</v>
      </c>
      <c r="R403" s="16" t="n">
        <v>400</v>
      </c>
      <c r="S403" s="16" t="n">
        <v>0.5</v>
      </c>
      <c r="T403" s="16" t="n">
        <v>0.95</v>
      </c>
      <c r="U403" s="16" t="n">
        <v>0.75</v>
      </c>
      <c r="V403" s="16" t="n">
        <v>0.85</v>
      </c>
      <c r="W403" s="16" t="n">
        <v>0.75</v>
      </c>
      <c r="X403" s="16" t="n">
        <v>0.8</v>
      </c>
      <c r="Y403" s="16" t="n"/>
      <c r="Z403" s="16" t="n"/>
      <c r="AA403" s="16" t="n"/>
      <c r="AB403" s="16" t="n">
        <v>2600</v>
      </c>
      <c r="AC403" s="16" t="n">
        <v>7.5</v>
      </c>
      <c r="AD403" s="16" t="n"/>
      <c r="AE403" s="16" t="n"/>
    </row>
    <row r="404">
      <c r="A404" s="16" t="inlineStr">
        <is>
          <t>KF-M02R-n1-0048</t>
        </is>
      </c>
      <c r="B404" s="16" t="inlineStr">
        <is>
          <t>2.3</t>
        </is>
      </c>
      <c r="C404" s="16" t="inlineStr">
        <is>
          <t>2.3a</t>
        </is>
      </c>
      <c r="D404" s="16" t="inlineStr">
        <is>
          <t>un cambio</t>
        </is>
      </c>
      <c r="E404" s="16" t="inlineStr">
        <is>
          <t>KF-M02R</t>
        </is>
      </c>
      <c r="F404" s="16" t="inlineStr">
        <is>
          <t>KF-M02R-n1</t>
        </is>
      </c>
      <c r="G404" s="16" t="inlineStr">
        <is>
          <t>B04-n1</t>
        </is>
      </c>
      <c r="H404" s="16" t="inlineStr">
        <is>
          <t>malla</t>
        </is>
      </c>
      <c r="I404" s="16" t="inlineStr">
        <is>
          <t>NO_CONVERGIO</t>
        </is>
      </c>
      <c r="J404" s="16" t="inlineStr">
        <is>
          <t>NO_CONVERGIO</t>
        </is>
      </c>
      <c r="K404" s="16" t="b">
        <v>0</v>
      </c>
      <c r="L404" s="16" t="b">
        <v>0</v>
      </c>
      <c r="M404" s="16" t="b">
        <v>0</v>
      </c>
      <c r="N404" s="16" t="b">
        <v>0</v>
      </c>
      <c r="O404" s="16" t="n">
        <v>623.15</v>
      </c>
      <c r="P404" s="16" t="n">
        <v>300.032917</v>
      </c>
      <c r="Q404" s="16" t="n">
        <v>3000</v>
      </c>
      <c r="R404" s="16" t="n">
        <v>400</v>
      </c>
      <c r="S404" s="16" t="n">
        <v>0.5</v>
      </c>
      <c r="T404" s="16" t="n">
        <v>0.85</v>
      </c>
      <c r="U404" s="16" t="n">
        <v>0.4</v>
      </c>
      <c r="V404" s="16" t="n">
        <v>0.85</v>
      </c>
      <c r="W404" s="16" t="n">
        <v>0.75</v>
      </c>
      <c r="X404" s="16" t="n">
        <v>0.8</v>
      </c>
      <c r="Y404" s="16" t="n"/>
      <c r="Z404" s="16" t="n"/>
      <c r="AA404" s="16" t="n"/>
      <c r="AB404" s="16" t="n">
        <v>2600</v>
      </c>
      <c r="AC404" s="16" t="n">
        <v>7.5</v>
      </c>
      <c r="AD404" s="16" t="n"/>
      <c r="AE404" s="16" t="n"/>
    </row>
    <row r="405">
      <c r="A405" s="16" t="inlineStr">
        <is>
          <t>KF-M02R-n1-0049</t>
        </is>
      </c>
      <c r="B405" s="16" t="inlineStr">
        <is>
          <t>2.3</t>
        </is>
      </c>
      <c r="C405" s="16" t="inlineStr">
        <is>
          <t>2.3a</t>
        </is>
      </c>
      <c r="D405" s="16" t="inlineStr">
        <is>
          <t>un cambio</t>
        </is>
      </c>
      <c r="E405" s="16" t="inlineStr">
        <is>
          <t>KF-M02R</t>
        </is>
      </c>
      <c r="F405" s="16" t="inlineStr">
        <is>
          <t>KF-M02R-n1</t>
        </is>
      </c>
      <c r="G405" s="16" t="inlineStr">
        <is>
          <t>B04-n1</t>
        </is>
      </c>
      <c r="H405" s="16" t="inlineStr">
        <is>
          <t>malla</t>
        </is>
      </c>
      <c r="I405" s="16" t="inlineStr">
        <is>
          <t>NO_CONVERGIO</t>
        </is>
      </c>
      <c r="J405" s="16" t="inlineStr">
        <is>
          <t>NO_CONVERGIO</t>
        </is>
      </c>
      <c r="K405" s="16" t="b">
        <v>0</v>
      </c>
      <c r="L405" s="16" t="b">
        <v>0</v>
      </c>
      <c r="M405" s="16" t="b">
        <v>0</v>
      </c>
      <c r="N405" s="16" t="b">
        <v>0</v>
      </c>
      <c r="O405" s="16" t="n">
        <v>623.15</v>
      </c>
      <c r="P405" s="16" t="n">
        <v>300.032917</v>
      </c>
      <c r="Q405" s="16" t="n">
        <v>3000</v>
      </c>
      <c r="R405" s="16" t="n">
        <v>400</v>
      </c>
      <c r="S405" s="16" t="n">
        <v>0.5</v>
      </c>
      <c r="T405" s="16" t="n">
        <v>0.85</v>
      </c>
      <c r="U405" s="16" t="n">
        <v>0.45</v>
      </c>
      <c r="V405" s="16" t="n">
        <v>0.85</v>
      </c>
      <c r="W405" s="16" t="n">
        <v>0.75</v>
      </c>
      <c r="X405" s="16" t="n">
        <v>0.8</v>
      </c>
      <c r="Y405" s="16" t="n"/>
      <c r="Z405" s="16" t="n"/>
      <c r="AA405" s="16" t="n"/>
      <c r="AB405" s="16" t="n">
        <v>2600</v>
      </c>
      <c r="AC405" s="16" t="n">
        <v>7.5</v>
      </c>
      <c r="AD405" s="16" t="n"/>
      <c r="AE405" s="16" t="n"/>
    </row>
    <row r="406">
      <c r="A406" s="16" t="inlineStr">
        <is>
          <t>KF-M02R-n1-0050</t>
        </is>
      </c>
      <c r="B406" s="16" t="inlineStr">
        <is>
          <t>2.3</t>
        </is>
      </c>
      <c r="C406" s="16" t="inlineStr">
        <is>
          <t>2.3a</t>
        </is>
      </c>
      <c r="D406" s="16" t="inlineStr">
        <is>
          <t>un cambio</t>
        </is>
      </c>
      <c r="E406" s="16" t="inlineStr">
        <is>
          <t>KF-M02R</t>
        </is>
      </c>
      <c r="F406" s="16" t="inlineStr">
        <is>
          <t>KF-M02R-n1</t>
        </is>
      </c>
      <c r="G406" s="16" t="inlineStr">
        <is>
          <t>B04-n1</t>
        </is>
      </c>
      <c r="H406" s="16" t="inlineStr">
        <is>
          <t>malla</t>
        </is>
      </c>
      <c r="I406" s="16" t="inlineStr">
        <is>
          <t>NO_CONVERGIO</t>
        </is>
      </c>
      <c r="J406" s="16" t="inlineStr">
        <is>
          <t>NO_CONVERGIO</t>
        </is>
      </c>
      <c r="K406" s="16" t="b">
        <v>0</v>
      </c>
      <c r="L406" s="16" t="b">
        <v>0</v>
      </c>
      <c r="M406" s="16" t="b">
        <v>0</v>
      </c>
      <c r="N406" s="16" t="b">
        <v>0</v>
      </c>
      <c r="O406" s="16" t="n">
        <v>623.15</v>
      </c>
      <c r="P406" s="16" t="n">
        <v>300.032917</v>
      </c>
      <c r="Q406" s="16" t="n">
        <v>3000</v>
      </c>
      <c r="R406" s="16" t="n">
        <v>400</v>
      </c>
      <c r="S406" s="16" t="n">
        <v>0.5</v>
      </c>
      <c r="T406" s="16" t="n">
        <v>0.85</v>
      </c>
      <c r="U406" s="16" t="n">
        <v>0.5</v>
      </c>
      <c r="V406" s="16" t="n">
        <v>0.85</v>
      </c>
      <c r="W406" s="16" t="n">
        <v>0.75</v>
      </c>
      <c r="X406" s="16" t="n">
        <v>0.8</v>
      </c>
      <c r="Y406" s="16" t="n"/>
      <c r="Z406" s="16" t="n"/>
      <c r="AA406" s="16" t="n"/>
      <c r="AB406" s="16" t="n">
        <v>2600</v>
      </c>
      <c r="AC406" s="16" t="n">
        <v>7.5</v>
      </c>
      <c r="AD406" s="16" t="n"/>
      <c r="AE406" s="16" t="n"/>
    </row>
    <row r="407">
      <c r="A407" s="16" t="inlineStr">
        <is>
          <t>KF-M02R-n1-0051</t>
        </is>
      </c>
      <c r="B407" s="16" t="inlineStr">
        <is>
          <t>2.3</t>
        </is>
      </c>
      <c r="C407" s="16" t="inlineStr">
        <is>
          <t>2.3a</t>
        </is>
      </c>
      <c r="D407" s="16" t="inlineStr">
        <is>
          <t>un cambio</t>
        </is>
      </c>
      <c r="E407" s="16" t="inlineStr">
        <is>
          <t>KF-M02R</t>
        </is>
      </c>
      <c r="F407" s="16" t="inlineStr">
        <is>
          <t>KF-M02R-n1</t>
        </is>
      </c>
      <c r="G407" s="16" t="inlineStr">
        <is>
          <t>B04-n1</t>
        </is>
      </c>
      <c r="H407" s="16" t="inlineStr">
        <is>
          <t>malla</t>
        </is>
      </c>
      <c r="I407" s="16" t="inlineStr">
        <is>
          <t>NO_CONVERGIO</t>
        </is>
      </c>
      <c r="J407" s="16" t="inlineStr">
        <is>
          <t>NO_CONVERGIO</t>
        </is>
      </c>
      <c r="K407" s="16" t="b">
        <v>0</v>
      </c>
      <c r="L407" s="16" t="b">
        <v>0</v>
      </c>
      <c r="M407" s="16" t="b">
        <v>0</v>
      </c>
      <c r="N407" s="16" t="b">
        <v>0</v>
      </c>
      <c r="O407" s="16" t="n">
        <v>623.15</v>
      </c>
      <c r="P407" s="16" t="n">
        <v>300.032917</v>
      </c>
      <c r="Q407" s="16" t="n">
        <v>3000</v>
      </c>
      <c r="R407" s="16" t="n">
        <v>400</v>
      </c>
      <c r="S407" s="16" t="n">
        <v>0.5</v>
      </c>
      <c r="T407" s="16" t="n">
        <v>0.85</v>
      </c>
      <c r="U407" s="16" t="n">
        <v>0.55</v>
      </c>
      <c r="V407" s="16" t="n">
        <v>0.85</v>
      </c>
      <c r="W407" s="16" t="n">
        <v>0.75</v>
      </c>
      <c r="X407" s="16" t="n">
        <v>0.8</v>
      </c>
      <c r="Y407" s="16" t="n"/>
      <c r="Z407" s="16" t="n"/>
      <c r="AA407" s="16" t="n"/>
      <c r="AB407" s="16" t="n">
        <v>2600</v>
      </c>
      <c r="AC407" s="16" t="n">
        <v>7.5</v>
      </c>
      <c r="AD407" s="16" t="n"/>
      <c r="AE407" s="16" t="n"/>
    </row>
    <row r="408">
      <c r="A408" s="16" t="inlineStr">
        <is>
          <t>KF-M02R-n1-0052</t>
        </is>
      </c>
      <c r="B408" s="16" t="inlineStr">
        <is>
          <t>2.3</t>
        </is>
      </c>
      <c r="C408" s="16" t="inlineStr">
        <is>
          <t>2.3a</t>
        </is>
      </c>
      <c r="D408" s="16" t="inlineStr">
        <is>
          <t>un cambio</t>
        </is>
      </c>
      <c r="E408" s="16" t="inlineStr">
        <is>
          <t>KF-M02R</t>
        </is>
      </c>
      <c r="F408" s="16" t="inlineStr">
        <is>
          <t>KF-M02R-n1</t>
        </is>
      </c>
      <c r="G408" s="16" t="inlineStr">
        <is>
          <t>B04-n1</t>
        </is>
      </c>
      <c r="H408" s="16" t="inlineStr">
        <is>
          <t>malla</t>
        </is>
      </c>
      <c r="I408" s="16" t="inlineStr">
        <is>
          <t>NO_CONVERGIO</t>
        </is>
      </c>
      <c r="J408" s="16" t="inlineStr">
        <is>
          <t>NO_CONVERGIO</t>
        </is>
      </c>
      <c r="K408" s="16" t="b">
        <v>0</v>
      </c>
      <c r="L408" s="16" t="b">
        <v>0</v>
      </c>
      <c r="M408" s="16" t="b">
        <v>0</v>
      </c>
      <c r="N408" s="16" t="b">
        <v>0</v>
      </c>
      <c r="O408" s="16" t="n">
        <v>623.15</v>
      </c>
      <c r="P408" s="16" t="n">
        <v>300.032917</v>
      </c>
      <c r="Q408" s="16" t="n">
        <v>3000</v>
      </c>
      <c r="R408" s="16" t="n">
        <v>400</v>
      </c>
      <c r="S408" s="16" t="n">
        <v>0.5</v>
      </c>
      <c r="T408" s="16" t="n">
        <v>0.85</v>
      </c>
      <c r="U408" s="16" t="n">
        <v>0.6</v>
      </c>
      <c r="V408" s="16" t="n">
        <v>0.85</v>
      </c>
      <c r="W408" s="16" t="n">
        <v>0.75</v>
      </c>
      <c r="X408" s="16" t="n">
        <v>0.8</v>
      </c>
      <c r="Y408" s="16" t="n"/>
      <c r="Z408" s="16" t="n"/>
      <c r="AA408" s="16" t="n"/>
      <c r="AB408" s="16" t="n">
        <v>2600</v>
      </c>
      <c r="AC408" s="16" t="n">
        <v>7.5</v>
      </c>
      <c r="AD408" s="16" t="n"/>
      <c r="AE408" s="16" t="n"/>
    </row>
    <row r="409">
      <c r="A409" s="16" t="inlineStr">
        <is>
          <t>KF-M02R-n1-0053</t>
        </is>
      </c>
      <c r="B409" s="16" t="inlineStr">
        <is>
          <t>2.3</t>
        </is>
      </c>
      <c r="C409" s="16" t="inlineStr">
        <is>
          <t>2.3a</t>
        </is>
      </c>
      <c r="D409" s="16" t="inlineStr">
        <is>
          <t>un cambio</t>
        </is>
      </c>
      <c r="E409" s="16" t="inlineStr">
        <is>
          <t>KF-M02R</t>
        </is>
      </c>
      <c r="F409" s="16" t="inlineStr">
        <is>
          <t>KF-M02R-n1</t>
        </is>
      </c>
      <c r="G409" s="16" t="inlineStr">
        <is>
          <t>B04-n1</t>
        </is>
      </c>
      <c r="H409" s="16" t="inlineStr">
        <is>
          <t>malla</t>
        </is>
      </c>
      <c r="I409" s="16" t="inlineStr">
        <is>
          <t>NO_CONVERGIO</t>
        </is>
      </c>
      <c r="J409" s="16" t="inlineStr">
        <is>
          <t>NO_CONVERGIO</t>
        </is>
      </c>
      <c r="K409" s="16" t="b">
        <v>0</v>
      </c>
      <c r="L409" s="16" t="b">
        <v>0</v>
      </c>
      <c r="M409" s="16" t="b">
        <v>0</v>
      </c>
      <c r="N409" s="16" t="b">
        <v>0</v>
      </c>
      <c r="O409" s="16" t="n">
        <v>623.15</v>
      </c>
      <c r="P409" s="16" t="n">
        <v>300.032917</v>
      </c>
      <c r="Q409" s="16" t="n">
        <v>3000</v>
      </c>
      <c r="R409" s="16" t="n">
        <v>400</v>
      </c>
      <c r="S409" s="16" t="n">
        <v>0.5</v>
      </c>
      <c r="T409" s="16" t="n">
        <v>0.85</v>
      </c>
      <c r="U409" s="16" t="n">
        <v>0.65</v>
      </c>
      <c r="V409" s="16" t="n">
        <v>0.85</v>
      </c>
      <c r="W409" s="16" t="n">
        <v>0.75</v>
      </c>
      <c r="X409" s="16" t="n">
        <v>0.8</v>
      </c>
      <c r="Y409" s="16" t="n"/>
      <c r="Z409" s="16" t="n"/>
      <c r="AA409" s="16" t="n"/>
      <c r="AB409" s="16" t="n">
        <v>2600</v>
      </c>
      <c r="AC409" s="16" t="n">
        <v>7.5</v>
      </c>
      <c r="AD409" s="16" t="n"/>
      <c r="AE409" s="16" t="n"/>
    </row>
    <row r="410">
      <c r="A410" s="16" t="inlineStr">
        <is>
          <t>KF-M02R-n1-0054</t>
        </is>
      </c>
      <c r="B410" s="16" t="inlineStr">
        <is>
          <t>2.3</t>
        </is>
      </c>
      <c r="C410" s="16" t="inlineStr">
        <is>
          <t>2.3a</t>
        </is>
      </c>
      <c r="D410" s="16" t="inlineStr">
        <is>
          <t>un cambio</t>
        </is>
      </c>
      <c r="E410" s="16" t="inlineStr">
        <is>
          <t>KF-M02R</t>
        </is>
      </c>
      <c r="F410" s="16" t="inlineStr">
        <is>
          <t>KF-M02R-n1</t>
        </is>
      </c>
      <c r="G410" s="16" t="inlineStr">
        <is>
          <t>B04-n1</t>
        </is>
      </c>
      <c r="H410" s="16" t="inlineStr">
        <is>
          <t>malla</t>
        </is>
      </c>
      <c r="I410" s="16" t="inlineStr">
        <is>
          <t>NO_CONVERGIO</t>
        </is>
      </c>
      <c r="J410" s="16" t="inlineStr">
        <is>
          <t>NO_CONVERGIO</t>
        </is>
      </c>
      <c r="K410" s="16" t="b">
        <v>0</v>
      </c>
      <c r="L410" s="16" t="b">
        <v>0</v>
      </c>
      <c r="M410" s="16" t="b">
        <v>0</v>
      </c>
      <c r="N410" s="16" t="b">
        <v>0</v>
      </c>
      <c r="O410" s="16" t="n">
        <v>623.15</v>
      </c>
      <c r="P410" s="16" t="n">
        <v>300.032917</v>
      </c>
      <c r="Q410" s="16" t="n">
        <v>3000</v>
      </c>
      <c r="R410" s="16" t="n">
        <v>400</v>
      </c>
      <c r="S410" s="16" t="n">
        <v>0.5</v>
      </c>
      <c r="T410" s="16" t="n">
        <v>0.85</v>
      </c>
      <c r="U410" s="16" t="n">
        <v>0.7</v>
      </c>
      <c r="V410" s="16" t="n">
        <v>0.85</v>
      </c>
      <c r="W410" s="16" t="n">
        <v>0.75</v>
      </c>
      <c r="X410" s="16" t="n">
        <v>0.8</v>
      </c>
      <c r="Y410" s="16" t="n"/>
      <c r="Z410" s="16" t="n"/>
      <c r="AA410" s="16" t="n"/>
      <c r="AB410" s="16" t="n">
        <v>2600</v>
      </c>
      <c r="AC410" s="16" t="n">
        <v>7.5</v>
      </c>
      <c r="AD410" s="16" t="n"/>
      <c r="AE410" s="16" t="n"/>
    </row>
    <row r="411">
      <c r="A411" s="16" t="inlineStr">
        <is>
          <t>KF-M02R-n1-0055</t>
        </is>
      </c>
      <c r="B411" s="16" t="inlineStr">
        <is>
          <t>2.3</t>
        </is>
      </c>
      <c r="C411" s="16" t="inlineStr">
        <is>
          <t>2.3a</t>
        </is>
      </c>
      <c r="D411" s="16" t="inlineStr">
        <is>
          <t>un cambio</t>
        </is>
      </c>
      <c r="E411" s="16" t="inlineStr">
        <is>
          <t>KF-M02R</t>
        </is>
      </c>
      <c r="F411" s="16" t="inlineStr">
        <is>
          <t>KF-M02R-n1</t>
        </is>
      </c>
      <c r="G411" s="16" t="inlineStr">
        <is>
          <t>B04-n1</t>
        </is>
      </c>
      <c r="H411" s="16" t="inlineStr">
        <is>
          <t>malla</t>
        </is>
      </c>
      <c r="I411" s="16" t="inlineStr">
        <is>
          <t>NO_CONVERGIO</t>
        </is>
      </c>
      <c r="J411" s="16" t="inlineStr">
        <is>
          <t>NO_CONVERGIO</t>
        </is>
      </c>
      <c r="K411" s="16" t="b">
        <v>0</v>
      </c>
      <c r="L411" s="16" t="b">
        <v>0</v>
      </c>
      <c r="M411" s="16" t="b">
        <v>0</v>
      </c>
      <c r="N411" s="16" t="b">
        <v>0</v>
      </c>
      <c r="O411" s="16" t="n">
        <v>623.15</v>
      </c>
      <c r="P411" s="16" t="n">
        <v>300.032917</v>
      </c>
      <c r="Q411" s="16" t="n">
        <v>3000</v>
      </c>
      <c r="R411" s="16" t="n">
        <v>400</v>
      </c>
      <c r="S411" s="16" t="n">
        <v>0.5</v>
      </c>
      <c r="T411" s="16" t="n">
        <v>0.85</v>
      </c>
      <c r="U411" s="16" t="n">
        <v>0.75</v>
      </c>
      <c r="V411" s="16" t="n">
        <v>0.85</v>
      </c>
      <c r="W411" s="16" t="n">
        <v>0.75</v>
      </c>
      <c r="X411" s="16" t="n">
        <v>0.8</v>
      </c>
      <c r="Y411" s="16" t="n"/>
      <c r="Z411" s="16" t="n"/>
      <c r="AA411" s="16" t="n"/>
      <c r="AB411" s="16" t="n">
        <v>2600</v>
      </c>
      <c r="AC411" s="16" t="n">
        <v>7.5</v>
      </c>
      <c r="AD411" s="16" t="n"/>
      <c r="AE411" s="16" t="n"/>
    </row>
    <row r="412">
      <c r="A412" s="16" t="inlineStr">
        <is>
          <t>KF-M02R-n1-0056</t>
        </is>
      </c>
      <c r="B412" s="16" t="inlineStr">
        <is>
          <t>2.3</t>
        </is>
      </c>
      <c r="C412" s="16" t="inlineStr">
        <is>
          <t>2.3a</t>
        </is>
      </c>
      <c r="D412" s="16" t="inlineStr">
        <is>
          <t>un cambio</t>
        </is>
      </c>
      <c r="E412" s="16" t="inlineStr">
        <is>
          <t>KF-M02R</t>
        </is>
      </c>
      <c r="F412" s="16" t="inlineStr">
        <is>
          <t>KF-M02R-n1</t>
        </is>
      </c>
      <c r="G412" s="16" t="inlineStr">
        <is>
          <t>B04-n1</t>
        </is>
      </c>
      <c r="H412" s="16" t="inlineStr">
        <is>
          <t>malla</t>
        </is>
      </c>
      <c r="I412" s="16" t="inlineStr">
        <is>
          <t>NO_CONVERGIO</t>
        </is>
      </c>
      <c r="J412" s="16" t="inlineStr">
        <is>
          <t>NO_CONVERGIO</t>
        </is>
      </c>
      <c r="K412" s="16" t="b">
        <v>0</v>
      </c>
      <c r="L412" s="16" t="b">
        <v>0</v>
      </c>
      <c r="M412" s="16" t="b">
        <v>0</v>
      </c>
      <c r="N412" s="16" t="b">
        <v>0</v>
      </c>
      <c r="O412" s="16" t="n">
        <v>623.15</v>
      </c>
      <c r="P412" s="16" t="n">
        <v>300.032917</v>
      </c>
      <c r="Q412" s="16" t="n">
        <v>3000</v>
      </c>
      <c r="R412" s="16" t="n">
        <v>400</v>
      </c>
      <c r="S412" s="16" t="n">
        <v>0.5</v>
      </c>
      <c r="T412" s="16" t="n">
        <v>0.85</v>
      </c>
      <c r="U412" s="16" t="n">
        <v>0.8</v>
      </c>
      <c r="V412" s="16" t="n">
        <v>0.85</v>
      </c>
      <c r="W412" s="16" t="n">
        <v>0.75</v>
      </c>
      <c r="X412" s="16" t="n">
        <v>0.8</v>
      </c>
      <c r="Y412" s="16" t="n"/>
      <c r="Z412" s="16" t="n"/>
      <c r="AA412" s="16" t="n"/>
      <c r="AB412" s="16" t="n">
        <v>2600</v>
      </c>
      <c r="AC412" s="16" t="n">
        <v>7.5</v>
      </c>
      <c r="AD412" s="16" t="n"/>
      <c r="AE412" s="16" t="n"/>
    </row>
    <row r="413">
      <c r="A413" s="16" t="inlineStr">
        <is>
          <t>KF-M02R-n1-0057</t>
        </is>
      </c>
      <c r="B413" s="16" t="inlineStr">
        <is>
          <t>2.3</t>
        </is>
      </c>
      <c r="C413" s="16" t="inlineStr">
        <is>
          <t>2.3a</t>
        </is>
      </c>
      <c r="D413" s="16" t="inlineStr">
        <is>
          <t>un cambio</t>
        </is>
      </c>
      <c r="E413" s="16" t="inlineStr">
        <is>
          <t>KF-M02R</t>
        </is>
      </c>
      <c r="F413" s="16" t="inlineStr">
        <is>
          <t>KF-M02R-n1</t>
        </is>
      </c>
      <c r="G413" s="16" t="inlineStr">
        <is>
          <t>B04-n1</t>
        </is>
      </c>
      <c r="H413" s="16" t="inlineStr">
        <is>
          <t>malla</t>
        </is>
      </c>
      <c r="I413" s="16" t="inlineStr">
        <is>
          <t>NO_CONVERGIO</t>
        </is>
      </c>
      <c r="J413" s="16" t="inlineStr">
        <is>
          <t>NO_CONVERGIO</t>
        </is>
      </c>
      <c r="K413" s="16" t="b">
        <v>0</v>
      </c>
      <c r="L413" s="16" t="b">
        <v>0</v>
      </c>
      <c r="M413" s="16" t="b">
        <v>0</v>
      </c>
      <c r="N413" s="16" t="b">
        <v>0</v>
      </c>
      <c r="O413" s="16" t="n">
        <v>623.15</v>
      </c>
      <c r="P413" s="16" t="n">
        <v>300.032917</v>
      </c>
      <c r="Q413" s="16" t="n">
        <v>3000</v>
      </c>
      <c r="R413" s="16" t="n">
        <v>400</v>
      </c>
      <c r="S413" s="16" t="n">
        <v>0.5</v>
      </c>
      <c r="T413" s="16" t="n">
        <v>0.85</v>
      </c>
      <c r="U413" s="16" t="n">
        <v>0.85</v>
      </c>
      <c r="V413" s="16" t="n">
        <v>0.85</v>
      </c>
      <c r="W413" s="16" t="n">
        <v>0.75</v>
      </c>
      <c r="X413" s="16" t="n">
        <v>0.8</v>
      </c>
      <c r="Y413" s="16" t="n"/>
      <c r="Z413" s="16" t="n"/>
      <c r="AA413" s="16" t="n"/>
      <c r="AB413" s="16" t="n">
        <v>2600</v>
      </c>
      <c r="AC413" s="16" t="n">
        <v>7.5</v>
      </c>
      <c r="AD413" s="16" t="n"/>
      <c r="AE413" s="16" t="n"/>
    </row>
    <row r="414">
      <c r="A414" s="16" t="inlineStr">
        <is>
          <t>KF-M02R-n1-0058</t>
        </is>
      </c>
      <c r="B414" s="16" t="inlineStr">
        <is>
          <t>2.3</t>
        </is>
      </c>
      <c r="C414" s="16" t="inlineStr">
        <is>
          <t>2.3a</t>
        </is>
      </c>
      <c r="D414" s="16" t="inlineStr">
        <is>
          <t>un cambio</t>
        </is>
      </c>
      <c r="E414" s="16" t="inlineStr">
        <is>
          <t>KF-M02R</t>
        </is>
      </c>
      <c r="F414" s="16" t="inlineStr">
        <is>
          <t>KF-M02R-n1</t>
        </is>
      </c>
      <c r="G414" s="16" t="inlineStr">
        <is>
          <t>B04-n1</t>
        </is>
      </c>
      <c r="H414" s="16" t="inlineStr">
        <is>
          <t>malla</t>
        </is>
      </c>
      <c r="I414" s="16" t="inlineStr">
        <is>
          <t>NO_CONVERGIO</t>
        </is>
      </c>
      <c r="J414" s="16" t="inlineStr">
        <is>
          <t>NO_CONVERGIO</t>
        </is>
      </c>
      <c r="K414" s="16" t="b">
        <v>0</v>
      </c>
      <c r="L414" s="16" t="b">
        <v>0</v>
      </c>
      <c r="M414" s="16" t="b">
        <v>0</v>
      </c>
      <c r="N414" s="16" t="b">
        <v>0</v>
      </c>
      <c r="O414" s="16" t="n">
        <v>623.15</v>
      </c>
      <c r="P414" s="16" t="n">
        <v>300.032917</v>
      </c>
      <c r="Q414" s="16" t="n">
        <v>3000</v>
      </c>
      <c r="R414" s="16" t="n">
        <v>400</v>
      </c>
      <c r="S414" s="16" t="n">
        <v>0.5</v>
      </c>
      <c r="T414" s="16" t="n">
        <v>0.85</v>
      </c>
      <c r="U414" s="16" t="n">
        <v>0.8999999999999999</v>
      </c>
      <c r="V414" s="16" t="n">
        <v>0.85</v>
      </c>
      <c r="W414" s="16" t="n">
        <v>0.75</v>
      </c>
      <c r="X414" s="16" t="n">
        <v>0.8</v>
      </c>
      <c r="Y414" s="16" t="n"/>
      <c r="Z414" s="16" t="n"/>
      <c r="AA414" s="16" t="n"/>
      <c r="AB414" s="16" t="n">
        <v>2600</v>
      </c>
      <c r="AC414" s="16" t="n">
        <v>7.5</v>
      </c>
      <c r="AD414" s="16" t="n"/>
      <c r="AE414" s="16" t="n"/>
    </row>
    <row r="415">
      <c r="A415" s="16" t="inlineStr">
        <is>
          <t>KF-M02R-n1-0059</t>
        </is>
      </c>
      <c r="B415" s="16" t="inlineStr">
        <is>
          <t>2.3</t>
        </is>
      </c>
      <c r="C415" s="16" t="inlineStr">
        <is>
          <t>2.3a</t>
        </is>
      </c>
      <c r="D415" s="16" t="inlineStr">
        <is>
          <t>un cambio</t>
        </is>
      </c>
      <c r="E415" s="16" t="inlineStr">
        <is>
          <t>KF-M02R</t>
        </is>
      </c>
      <c r="F415" s="16" t="inlineStr">
        <is>
          <t>KF-M02R-n1</t>
        </is>
      </c>
      <c r="G415" s="16" t="inlineStr">
        <is>
          <t>B04-n1</t>
        </is>
      </c>
      <c r="H415" s="16" t="inlineStr">
        <is>
          <t>malla</t>
        </is>
      </c>
      <c r="I415" s="16" t="inlineStr">
        <is>
          <t>NO_CONVERGIO</t>
        </is>
      </c>
      <c r="J415" s="16" t="inlineStr">
        <is>
          <t>NO_CONVERGIO</t>
        </is>
      </c>
      <c r="K415" s="16" t="b">
        <v>0</v>
      </c>
      <c r="L415" s="16" t="b">
        <v>0</v>
      </c>
      <c r="M415" s="16" t="b">
        <v>0</v>
      </c>
      <c r="N415" s="16" t="b">
        <v>0</v>
      </c>
      <c r="O415" s="16" t="n">
        <v>623.15</v>
      </c>
      <c r="P415" s="16" t="n">
        <v>300.032917</v>
      </c>
      <c r="Q415" s="16" t="n">
        <v>3000</v>
      </c>
      <c r="R415" s="16" t="n">
        <v>400</v>
      </c>
      <c r="S415" s="16" t="n">
        <v>0.5</v>
      </c>
      <c r="T415" s="16" t="n">
        <v>0.85</v>
      </c>
      <c r="U415" s="16" t="n">
        <v>0.95</v>
      </c>
      <c r="V415" s="16" t="n">
        <v>0.85</v>
      </c>
      <c r="W415" s="16" t="n">
        <v>0.75</v>
      </c>
      <c r="X415" s="16" t="n">
        <v>0.8</v>
      </c>
      <c r="Y415" s="16" t="n"/>
      <c r="Z415" s="16" t="n"/>
      <c r="AA415" s="16" t="n"/>
      <c r="AB415" s="16" t="n">
        <v>2600</v>
      </c>
      <c r="AC415" s="16" t="n">
        <v>7.5</v>
      </c>
      <c r="AD415" s="16" t="n"/>
      <c r="AE415" s="16" t="n"/>
    </row>
    <row r="416">
      <c r="A416" s="16" t="inlineStr">
        <is>
          <t>KF-M02R-n1-0060</t>
        </is>
      </c>
      <c r="B416" s="16" t="inlineStr">
        <is>
          <t>2.3</t>
        </is>
      </c>
      <c r="C416" s="16" t="inlineStr">
        <is>
          <t>2.3a</t>
        </is>
      </c>
      <c r="D416" s="16" t="inlineStr">
        <is>
          <t>un cambio</t>
        </is>
      </c>
      <c r="E416" s="16" t="inlineStr">
        <is>
          <t>KF-M02R</t>
        </is>
      </c>
      <c r="F416" s="16" t="inlineStr">
        <is>
          <t>KF-M02R-n1</t>
        </is>
      </c>
      <c r="G416" s="16" t="inlineStr">
        <is>
          <t>B04-n1</t>
        </is>
      </c>
      <c r="H416" s="16" t="inlineStr">
        <is>
          <t>biseccion</t>
        </is>
      </c>
      <c r="I416" s="16" t="inlineStr">
        <is>
          <t>NO_CONVERGIO</t>
        </is>
      </c>
      <c r="J416" s="16" t="inlineStr">
        <is>
          <t>NO_CONVERGIO</t>
        </is>
      </c>
      <c r="K416" s="16" t="b">
        <v>0</v>
      </c>
      <c r="L416" s="16" t="b">
        <v>0</v>
      </c>
      <c r="M416" s="16" t="b">
        <v>0</v>
      </c>
      <c r="N416" s="16" t="b">
        <v>0</v>
      </c>
      <c r="O416" s="16" t="n">
        <v>623.15</v>
      </c>
      <c r="P416" s="16" t="n">
        <v>300.032917</v>
      </c>
      <c r="Q416" s="16" t="n">
        <v>3000</v>
      </c>
      <c r="R416" s="16" t="n">
        <v>400</v>
      </c>
      <c r="S416" s="16" t="n">
        <v>0.5</v>
      </c>
      <c r="T416" s="16" t="n">
        <v>0.85</v>
      </c>
      <c r="U416" s="16" t="n">
        <v>0.75</v>
      </c>
      <c r="V416" s="16" t="n">
        <v>0.675</v>
      </c>
      <c r="W416" s="16" t="n">
        <v>0.75</v>
      </c>
      <c r="X416" s="16" t="n">
        <v>0.8</v>
      </c>
      <c r="Y416" s="16" t="n"/>
      <c r="Z416" s="16" t="n"/>
      <c r="AA416" s="16" t="n"/>
      <c r="AB416" s="16" t="n">
        <v>2600</v>
      </c>
      <c r="AC416" s="16" t="n">
        <v>7.5</v>
      </c>
      <c r="AD416" s="16" t="n"/>
      <c r="AE416" s="16" t="n"/>
    </row>
    <row r="417">
      <c r="A417" s="16" t="inlineStr">
        <is>
          <t>KF-M02R-n1-0061</t>
        </is>
      </c>
      <c r="B417" s="16" t="inlineStr">
        <is>
          <t>2.3</t>
        </is>
      </c>
      <c r="C417" s="16" t="inlineStr">
        <is>
          <t>2.3a</t>
        </is>
      </c>
      <c r="D417" s="16" t="inlineStr">
        <is>
          <t>un cambio</t>
        </is>
      </c>
      <c r="E417" s="16" t="inlineStr">
        <is>
          <t>KF-M02R</t>
        </is>
      </c>
      <c r="F417" s="16" t="inlineStr">
        <is>
          <t>KF-M02R-n1</t>
        </is>
      </c>
      <c r="G417" s="16" t="inlineStr">
        <is>
          <t>B04-n1</t>
        </is>
      </c>
      <c r="H417" s="16" t="inlineStr">
        <is>
          <t>biseccion</t>
        </is>
      </c>
      <c r="I417" s="16" t="inlineStr">
        <is>
          <t>CORREGIBLE</t>
        </is>
      </c>
      <c r="J417" s="16" t="inlineStr">
        <is>
          <t>CORREGIBLE</t>
        </is>
      </c>
      <c r="K417" s="16" t="b">
        <v>1</v>
      </c>
      <c r="L417" s="16" t="b">
        <v>0</v>
      </c>
      <c r="M417" s="16" t="b">
        <v>1</v>
      </c>
      <c r="N417" s="16" t="b">
        <v>0</v>
      </c>
      <c r="O417" s="16" t="n">
        <v>623.15</v>
      </c>
      <c r="P417" s="16" t="n">
        <v>300.032917</v>
      </c>
      <c r="Q417" s="16" t="n">
        <v>3000</v>
      </c>
      <c r="R417" s="16" t="n">
        <v>400</v>
      </c>
      <c r="S417" s="16" t="n">
        <v>0.5</v>
      </c>
      <c r="T417" s="16" t="n">
        <v>0.85</v>
      </c>
      <c r="U417" s="16" t="n">
        <v>0.75</v>
      </c>
      <c r="V417" s="16" t="n">
        <v>0.725</v>
      </c>
      <c r="W417" s="16" t="n">
        <v>0.75</v>
      </c>
      <c r="X417" s="16" t="n">
        <v>0.8</v>
      </c>
      <c r="Y417" s="16" t="n"/>
      <c r="Z417" s="16" t="n">
        <v>13.10879781251942</v>
      </c>
      <c r="AA417" s="16" t="n">
        <v>218.136124230718</v>
      </c>
      <c r="AB417" s="16" t="n">
        <v>2600</v>
      </c>
      <c r="AC417" s="16" t="n">
        <v>7.5</v>
      </c>
      <c r="AD417" s="16" t="inlineStr">
        <is>
          <t>O2</t>
        </is>
      </c>
      <c r="AE417" s="16" t="n"/>
    </row>
    <row r="418">
      <c r="A418" s="16" t="inlineStr">
        <is>
          <t>KF-M02R-n1-0062</t>
        </is>
      </c>
      <c r="B418" s="16" t="inlineStr">
        <is>
          <t>2.3</t>
        </is>
      </c>
      <c r="C418" s="16" t="inlineStr">
        <is>
          <t>2.3a</t>
        </is>
      </c>
      <c r="D418" s="16" t="inlineStr">
        <is>
          <t>un cambio</t>
        </is>
      </c>
      <c r="E418" s="16" t="inlineStr">
        <is>
          <t>KF-M02R</t>
        </is>
      </c>
      <c r="F418" s="16" t="inlineStr">
        <is>
          <t>KF-M02R-n1</t>
        </is>
      </c>
      <c r="G418" s="16" t="inlineStr">
        <is>
          <t>B04-n1</t>
        </is>
      </c>
      <c r="H418" s="16" t="inlineStr">
        <is>
          <t>biseccion</t>
        </is>
      </c>
      <c r="I418" s="16" t="inlineStr">
        <is>
          <t>CORREGIBLE</t>
        </is>
      </c>
      <c r="J418" s="16" t="inlineStr">
        <is>
          <t>CORREGIBLE</t>
        </is>
      </c>
      <c r="K418" s="16" t="b">
        <v>1</v>
      </c>
      <c r="L418" s="16" t="b">
        <v>0</v>
      </c>
      <c r="M418" s="16" t="b">
        <v>1</v>
      </c>
      <c r="N418" s="16" t="b">
        <v>0</v>
      </c>
      <c r="O418" s="16" t="n">
        <v>623.15</v>
      </c>
      <c r="P418" s="16" t="n">
        <v>300.032917</v>
      </c>
      <c r="Q418" s="16" t="n">
        <v>3000</v>
      </c>
      <c r="R418" s="16" t="n">
        <v>400</v>
      </c>
      <c r="S418" s="16" t="n">
        <v>0.5</v>
      </c>
      <c r="T418" s="16" t="n">
        <v>0.85</v>
      </c>
      <c r="U418" s="16" t="n">
        <v>0.75</v>
      </c>
      <c r="V418" s="16" t="n">
        <v>0.475</v>
      </c>
      <c r="W418" s="16" t="n">
        <v>0.75</v>
      </c>
      <c r="X418" s="16" t="n">
        <v>0.8</v>
      </c>
      <c r="Y418" s="16" t="n"/>
      <c r="Z418" s="16" t="n">
        <v>13.3263989325274</v>
      </c>
      <c r="AA418" s="16" t="n">
        <v>147.7954172694291</v>
      </c>
      <c r="AB418" s="16" t="n">
        <v>2600</v>
      </c>
      <c r="AC418" s="16" t="n">
        <v>7.5</v>
      </c>
      <c r="AD418" s="16" t="inlineStr">
        <is>
          <t>O2</t>
        </is>
      </c>
      <c r="AE418" s="16" t="n"/>
    </row>
    <row r="419">
      <c r="A419" s="16" t="inlineStr">
        <is>
          <t>KF-M02R-n1-0063</t>
        </is>
      </c>
      <c r="B419" s="16" t="inlineStr">
        <is>
          <t>2.3</t>
        </is>
      </c>
      <c r="C419" s="16" t="inlineStr">
        <is>
          <t>2.3a</t>
        </is>
      </c>
      <c r="D419" s="16" t="inlineStr">
        <is>
          <t>un cambio</t>
        </is>
      </c>
      <c r="E419" s="16" t="inlineStr">
        <is>
          <t>KF-M02R</t>
        </is>
      </c>
      <c r="F419" s="16" t="inlineStr">
        <is>
          <t>KF-M02R-n1</t>
        </is>
      </c>
      <c r="G419" s="16" t="inlineStr">
        <is>
          <t>B04-n1</t>
        </is>
      </c>
      <c r="H419" s="16" t="inlineStr">
        <is>
          <t>biseccion</t>
        </is>
      </c>
      <c r="I419" s="16" t="inlineStr">
        <is>
          <t>CORREGIBLE</t>
        </is>
      </c>
      <c r="J419" s="16" t="inlineStr">
        <is>
          <t>CORREGIBLE</t>
        </is>
      </c>
      <c r="K419" s="16" t="b">
        <v>1</v>
      </c>
      <c r="L419" s="16" t="b">
        <v>0</v>
      </c>
      <c r="M419" s="16" t="b">
        <v>1</v>
      </c>
      <c r="N419" s="16" t="b">
        <v>0</v>
      </c>
      <c r="O419" s="16" t="n">
        <v>623.15</v>
      </c>
      <c r="P419" s="16" t="n">
        <v>300.032917</v>
      </c>
      <c r="Q419" s="16" t="n">
        <v>3000</v>
      </c>
      <c r="R419" s="16" t="n">
        <v>400</v>
      </c>
      <c r="S419" s="16" t="n">
        <v>0.5</v>
      </c>
      <c r="T419" s="16" t="n">
        <v>0.85</v>
      </c>
      <c r="U419" s="16" t="n">
        <v>0.75</v>
      </c>
      <c r="V419" s="16" t="n">
        <v>0.525</v>
      </c>
      <c r="W419" s="16" t="n">
        <v>0.75</v>
      </c>
      <c r="X419" s="16" t="n">
        <v>0.8</v>
      </c>
      <c r="Y419" s="16" t="n"/>
      <c r="Z419" s="16" t="n">
        <v>13.29765859344454</v>
      </c>
      <c r="AA419" s="16" t="n">
        <v>162.532491177495</v>
      </c>
      <c r="AB419" s="16" t="n">
        <v>2600</v>
      </c>
      <c r="AC419" s="16" t="n">
        <v>7.5</v>
      </c>
      <c r="AD419" s="16" t="inlineStr">
        <is>
          <t>O2</t>
        </is>
      </c>
      <c r="AE419" s="16" t="n"/>
    </row>
    <row r="420">
      <c r="A420" s="16" t="inlineStr">
        <is>
          <t>KF-M02R-n1-0064</t>
        </is>
      </c>
      <c r="B420" s="16" t="inlineStr">
        <is>
          <t>2.3</t>
        </is>
      </c>
      <c r="C420" s="16" t="inlineStr">
        <is>
          <t>2.3a</t>
        </is>
      </c>
      <c r="D420" s="16" t="inlineStr">
        <is>
          <t>un cambio</t>
        </is>
      </c>
      <c r="E420" s="16" t="inlineStr">
        <is>
          <t>KF-M02R</t>
        </is>
      </c>
      <c r="F420" s="16" t="inlineStr">
        <is>
          <t>KF-M02R-n1</t>
        </is>
      </c>
      <c r="G420" s="16" t="inlineStr">
        <is>
          <t>B04-n1</t>
        </is>
      </c>
      <c r="H420" s="16" t="inlineStr">
        <is>
          <t>biseccion</t>
        </is>
      </c>
      <c r="I420" s="16" t="inlineStr">
        <is>
          <t>N2</t>
        </is>
      </c>
      <c r="J420" s="16" t="inlineStr">
        <is>
          <t>NO_CONVERGIO</t>
        </is>
      </c>
      <c r="K420" s="16" t="b">
        <v>0</v>
      </c>
      <c r="L420" s="16" t="b">
        <v>0</v>
      </c>
      <c r="M420" s="16" t="b">
        <v>1</v>
      </c>
      <c r="N420" s="16" t="b">
        <v>0</v>
      </c>
      <c r="O420" s="16" t="n">
        <v>623.15</v>
      </c>
      <c r="P420" s="16" t="n">
        <v>300.032917</v>
      </c>
      <c r="Q420" s="16" t="n">
        <v>3000</v>
      </c>
      <c r="R420" s="16" t="n">
        <v>400</v>
      </c>
      <c r="S420" s="16" t="n">
        <v>0.5</v>
      </c>
      <c r="T420" s="16" t="n">
        <v>0.85</v>
      </c>
      <c r="U420" s="16" t="n">
        <v>0.75</v>
      </c>
      <c r="V420" s="16" t="n">
        <v>0.825</v>
      </c>
      <c r="W420" s="16" t="n">
        <v>0.75</v>
      </c>
      <c r="X420" s="16" t="n">
        <v>0.8</v>
      </c>
      <c r="Y420" s="16" t="n"/>
      <c r="Z420" s="16" t="n">
        <v>15.17983580619754</v>
      </c>
      <c r="AA420" s="16" t="n">
        <v>280.8344894749771</v>
      </c>
      <c r="AB420" s="16" t="n">
        <v>2600</v>
      </c>
      <c r="AC420" s="16" t="n">
        <v>7.5</v>
      </c>
      <c r="AD420" s="16" t="inlineStr">
        <is>
          <t>N2,O1,O2,O5,C1,C3,C3</t>
        </is>
      </c>
      <c r="AE420" s="16" t="n"/>
    </row>
    <row r="421">
      <c r="A421" s="16" t="inlineStr">
        <is>
          <t>KF-M02R-n1-0065</t>
        </is>
      </c>
      <c r="B421" s="16" t="inlineStr">
        <is>
          <t>2.3</t>
        </is>
      </c>
      <c r="C421" s="16" t="inlineStr">
        <is>
          <t>2.3a</t>
        </is>
      </c>
      <c r="D421" s="16" t="inlineStr">
        <is>
          <t>un cambio</t>
        </is>
      </c>
      <c r="E421" s="16" t="inlineStr">
        <is>
          <t>KF-M02R</t>
        </is>
      </c>
      <c r="F421" s="16" t="inlineStr">
        <is>
          <t>KF-M02R-n1</t>
        </is>
      </c>
      <c r="G421" s="16" t="inlineStr">
        <is>
          <t>B04-n1</t>
        </is>
      </c>
      <c r="H421" s="16" t="inlineStr">
        <is>
          <t>biseccion</t>
        </is>
      </c>
      <c r="I421" s="16" t="inlineStr">
        <is>
          <t>CORREGIBLE</t>
        </is>
      </c>
      <c r="J421" s="16" t="inlineStr">
        <is>
          <t>CORREGIBLE</t>
        </is>
      </c>
      <c r="K421" s="16" t="b">
        <v>1</v>
      </c>
      <c r="L421" s="16" t="b">
        <v>0</v>
      </c>
      <c r="M421" s="16" t="b">
        <v>1</v>
      </c>
      <c r="N421" s="16" t="b">
        <v>0</v>
      </c>
      <c r="O421" s="16" t="n">
        <v>623.15</v>
      </c>
      <c r="P421" s="16" t="n">
        <v>300.032917</v>
      </c>
      <c r="Q421" s="16" t="n">
        <v>3000</v>
      </c>
      <c r="R421" s="16" t="n">
        <v>400</v>
      </c>
      <c r="S421" s="16" t="n">
        <v>0.5</v>
      </c>
      <c r="T421" s="16" t="n">
        <v>0.85</v>
      </c>
      <c r="U421" s="16" t="n">
        <v>0.75</v>
      </c>
      <c r="V421" s="16" t="n">
        <v>0.8125</v>
      </c>
      <c r="W421" s="16" t="n">
        <v>0.75</v>
      </c>
      <c r="X421" s="16" t="n">
        <v>0.8</v>
      </c>
      <c r="Y421" s="16" t="n"/>
      <c r="Z421" s="16" t="n">
        <v>13.04454266510596</v>
      </c>
      <c r="AA421" s="16" t="n">
        <v>241.1748932892872</v>
      </c>
      <c r="AB421" s="16" t="n">
        <v>2600</v>
      </c>
      <c r="AC421" s="16" t="n">
        <v>7.5</v>
      </c>
      <c r="AD421" s="16" t="inlineStr">
        <is>
          <t>O1,O2</t>
        </is>
      </c>
      <c r="AE421" s="16" t="n"/>
    </row>
    <row r="422">
      <c r="A422" s="16" t="inlineStr">
        <is>
          <t>KF-M02R-n1-0066</t>
        </is>
      </c>
      <c r="B422" s="16" t="inlineStr">
        <is>
          <t>2.3</t>
        </is>
      </c>
      <c r="C422" s="16" t="inlineStr">
        <is>
          <t>2.3a</t>
        </is>
      </c>
      <c r="D422" s="16" t="inlineStr">
        <is>
          <t>un cambio</t>
        </is>
      </c>
      <c r="E422" s="16" t="inlineStr">
        <is>
          <t>KF-M02R</t>
        </is>
      </c>
      <c r="F422" s="16" t="inlineStr">
        <is>
          <t>KF-M02R-n1</t>
        </is>
      </c>
      <c r="G422" s="16" t="inlineStr">
        <is>
          <t>B04-n1</t>
        </is>
      </c>
      <c r="H422" s="16" t="inlineStr">
        <is>
          <t>biseccion</t>
        </is>
      </c>
      <c r="I422" s="16" t="inlineStr">
        <is>
          <t>CORREGIBLE</t>
        </is>
      </c>
      <c r="J422" s="16" t="inlineStr">
        <is>
          <t>CORREGIBLE</t>
        </is>
      </c>
      <c r="K422" s="16" t="b">
        <v>1</v>
      </c>
      <c r="L422" s="16" t="b">
        <v>0</v>
      </c>
      <c r="M422" s="16" t="b">
        <v>1</v>
      </c>
      <c r="N422" s="16" t="b">
        <v>0</v>
      </c>
      <c r="O422" s="16" t="n">
        <v>623.15</v>
      </c>
      <c r="P422" s="16" t="n">
        <v>300.032917</v>
      </c>
      <c r="Q422" s="16" t="n">
        <v>3000</v>
      </c>
      <c r="R422" s="16" t="n">
        <v>400</v>
      </c>
      <c r="S422" s="16" t="n">
        <v>0.5</v>
      </c>
      <c r="T422" s="16" t="n">
        <v>0.85</v>
      </c>
      <c r="U422" s="16" t="n">
        <v>0.75</v>
      </c>
      <c r="V422" s="16" t="n">
        <v>0.7124999999999999</v>
      </c>
      <c r="W422" s="16" t="n">
        <v>0.75</v>
      </c>
      <c r="X422" s="16" t="n">
        <v>0.8</v>
      </c>
      <c r="Y422" s="16" t="n"/>
      <c r="Z422" s="16" t="n">
        <v>13.12073404060548</v>
      </c>
      <c r="AA422" s="16" t="n">
        <v>214.8058957588257</v>
      </c>
      <c r="AB422" s="16" t="n">
        <v>2600</v>
      </c>
      <c r="AC422" s="16" t="n">
        <v>7.5</v>
      </c>
      <c r="AD422" s="16" t="inlineStr">
        <is>
          <t>O2</t>
        </is>
      </c>
      <c r="AE422" s="16" t="n"/>
    </row>
    <row r="423">
      <c r="A423" s="16" t="inlineStr">
        <is>
          <t>KF-M02R-n1-0067</t>
        </is>
      </c>
      <c r="B423" s="16" t="inlineStr">
        <is>
          <t>2.3</t>
        </is>
      </c>
      <c r="C423" s="16" t="inlineStr">
        <is>
          <t>2.3a</t>
        </is>
      </c>
      <c r="D423" s="16" t="inlineStr">
        <is>
          <t>un cambio</t>
        </is>
      </c>
      <c r="E423" s="16" t="inlineStr">
        <is>
          <t>KF-M02R</t>
        </is>
      </c>
      <c r="F423" s="16" t="inlineStr">
        <is>
          <t>KF-M02R-n1</t>
        </is>
      </c>
      <c r="G423" s="16" t="inlineStr">
        <is>
          <t>B04-n1</t>
        </is>
      </c>
      <c r="H423" s="16" t="inlineStr">
        <is>
          <t>biseccion</t>
        </is>
      </c>
      <c r="I423" s="16" t="inlineStr">
        <is>
          <t>CORREGIBLE</t>
        </is>
      </c>
      <c r="J423" s="16" t="inlineStr">
        <is>
          <t>CORREGIBLE</t>
        </is>
      </c>
      <c r="K423" s="16" t="b">
        <v>1</v>
      </c>
      <c r="L423" s="16" t="b">
        <v>0</v>
      </c>
      <c r="M423" s="16" t="b">
        <v>1</v>
      </c>
      <c r="N423" s="16" t="b">
        <v>0</v>
      </c>
      <c r="O423" s="16" t="n">
        <v>623.15</v>
      </c>
      <c r="P423" s="16" t="n">
        <v>300.032917</v>
      </c>
      <c r="Q423" s="16" t="n">
        <v>3000</v>
      </c>
      <c r="R423" s="16" t="n">
        <v>400</v>
      </c>
      <c r="S423" s="16" t="n">
        <v>0.5</v>
      </c>
      <c r="T423" s="16" t="n">
        <v>0.85</v>
      </c>
      <c r="U423" s="16" t="n">
        <v>0.75</v>
      </c>
      <c r="V423" s="16" t="n">
        <v>0.6625000000000001</v>
      </c>
      <c r="W423" s="16" t="n">
        <v>0.75</v>
      </c>
      <c r="X423" s="16" t="n">
        <v>0.8</v>
      </c>
      <c r="Y423" s="16" t="n"/>
      <c r="Z423" s="16" t="n">
        <v>13.16991803119069</v>
      </c>
      <c r="AA423" s="16" t="n">
        <v>201.2969687712513</v>
      </c>
      <c r="AB423" s="16" t="n">
        <v>2600</v>
      </c>
      <c r="AC423" s="16" t="n">
        <v>7.5</v>
      </c>
      <c r="AD423" s="16" t="inlineStr">
        <is>
          <t>O2</t>
        </is>
      </c>
      <c r="AE423" s="16" t="n"/>
    </row>
    <row r="424">
      <c r="A424" s="16" t="inlineStr">
        <is>
          <t>KF-M02R-n1-0068</t>
        </is>
      </c>
      <c r="B424" s="16" t="inlineStr">
        <is>
          <t>2.3</t>
        </is>
      </c>
      <c r="C424" s="16" t="inlineStr">
        <is>
          <t>2.3a</t>
        </is>
      </c>
      <c r="D424" s="16" t="inlineStr">
        <is>
          <t>un cambio</t>
        </is>
      </c>
      <c r="E424" s="16" t="inlineStr">
        <is>
          <t>KF-M02R</t>
        </is>
      </c>
      <c r="F424" s="16" t="inlineStr">
        <is>
          <t>KF-M02R-n1</t>
        </is>
      </c>
      <c r="G424" s="16" t="inlineStr">
        <is>
          <t>B04-n1</t>
        </is>
      </c>
      <c r="H424" s="16" t="inlineStr">
        <is>
          <t>biseccion</t>
        </is>
      </c>
      <c r="I424" s="16" t="inlineStr">
        <is>
          <t>CORREGIBLE</t>
        </is>
      </c>
      <c r="J424" s="16" t="inlineStr">
        <is>
          <t>CORREGIBLE</t>
        </is>
      </c>
      <c r="K424" s="16" t="b">
        <v>1</v>
      </c>
      <c r="L424" s="16" t="b">
        <v>0</v>
      </c>
      <c r="M424" s="16" t="b">
        <v>1</v>
      </c>
      <c r="N424" s="16" t="b">
        <v>0</v>
      </c>
      <c r="O424" s="16" t="n">
        <v>623.15</v>
      </c>
      <c r="P424" s="16" t="n">
        <v>300.032917</v>
      </c>
      <c r="Q424" s="16" t="n">
        <v>3000</v>
      </c>
      <c r="R424" s="16" t="n">
        <v>400</v>
      </c>
      <c r="S424" s="16" t="n">
        <v>0.5</v>
      </c>
      <c r="T424" s="16" t="n">
        <v>0.85</v>
      </c>
      <c r="U424" s="16" t="n">
        <v>0.75</v>
      </c>
      <c r="V424" s="16" t="n">
        <v>0.5125</v>
      </c>
      <c r="W424" s="16" t="n">
        <v>0.75</v>
      </c>
      <c r="X424" s="16" t="n">
        <v>0.8</v>
      </c>
      <c r="Y424" s="16" t="n"/>
      <c r="Z424" s="16" t="n">
        <v>13.30644815595636</v>
      </c>
      <c r="AA424" s="16" t="n">
        <v>158.8828739203024</v>
      </c>
      <c r="AB424" s="16" t="n">
        <v>2600</v>
      </c>
      <c r="AC424" s="16" t="n">
        <v>7.5</v>
      </c>
      <c r="AD424" s="16" t="inlineStr">
        <is>
          <t>O2</t>
        </is>
      </c>
      <c r="AE424" s="16" t="n"/>
    </row>
    <row r="425">
      <c r="A425" s="16" t="inlineStr">
        <is>
          <t>KF-M02R-n1-0069</t>
        </is>
      </c>
      <c r="B425" s="16" t="inlineStr">
        <is>
          <t>2.3</t>
        </is>
      </c>
      <c r="C425" s="16" t="inlineStr">
        <is>
          <t>2.3a</t>
        </is>
      </c>
      <c r="D425" s="16" t="inlineStr">
        <is>
          <t>un cambio</t>
        </is>
      </c>
      <c r="E425" s="16" t="inlineStr">
        <is>
          <t>KF-M02R</t>
        </is>
      </c>
      <c r="F425" s="16" t="inlineStr">
        <is>
          <t>KF-M02R-n1</t>
        </is>
      </c>
      <c r="G425" s="16" t="inlineStr">
        <is>
          <t>B04-n1</t>
        </is>
      </c>
      <c r="H425" s="16" t="inlineStr">
        <is>
          <t>biseccion</t>
        </is>
      </c>
      <c r="I425" s="16" t="inlineStr">
        <is>
          <t>CORREGIBLE</t>
        </is>
      </c>
      <c r="J425" s="16" t="inlineStr">
        <is>
          <t>CORREGIBLE</t>
        </is>
      </c>
      <c r="K425" s="16" t="b">
        <v>1</v>
      </c>
      <c r="L425" s="16" t="b">
        <v>0</v>
      </c>
      <c r="M425" s="16" t="b">
        <v>1</v>
      </c>
      <c r="N425" s="16" t="b">
        <v>0</v>
      </c>
      <c r="O425" s="16" t="n">
        <v>623.15</v>
      </c>
      <c r="P425" s="16" t="n">
        <v>300.032917</v>
      </c>
      <c r="Q425" s="16" t="n">
        <v>3000</v>
      </c>
      <c r="R425" s="16" t="n">
        <v>400</v>
      </c>
      <c r="S425" s="16" t="n">
        <v>0.5</v>
      </c>
      <c r="T425" s="16" t="n">
        <v>0.85</v>
      </c>
      <c r="U425" s="16" t="n">
        <v>0.75</v>
      </c>
      <c r="V425" s="16" t="n">
        <v>0.4875</v>
      </c>
      <c r="W425" s="16" t="n">
        <v>0.75</v>
      </c>
      <c r="X425" s="16" t="n">
        <v>0.8</v>
      </c>
      <c r="Y425" s="16" t="n"/>
      <c r="Z425" s="16" t="n">
        <v>13.3209908375793</v>
      </c>
      <c r="AA425" s="16" t="n">
        <v>151.5149440197881</v>
      </c>
      <c r="AB425" s="16" t="n">
        <v>2600</v>
      </c>
      <c r="AC425" s="16" t="n">
        <v>7.5</v>
      </c>
      <c r="AD425" s="16" t="inlineStr">
        <is>
          <t>O2</t>
        </is>
      </c>
      <c r="AE425" s="16" t="n"/>
    </row>
    <row r="426">
      <c r="A426" s="16" t="inlineStr">
        <is>
          <t>KF-M02R-n1-0070</t>
        </is>
      </c>
      <c r="B426" s="16" t="inlineStr">
        <is>
          <t>2.3</t>
        </is>
      </c>
      <c r="C426" s="16" t="inlineStr">
        <is>
          <t>2.3a</t>
        </is>
      </c>
      <c r="D426" s="16" t="inlineStr">
        <is>
          <t>un cambio</t>
        </is>
      </c>
      <c r="E426" s="16" t="inlineStr">
        <is>
          <t>KF-M02R</t>
        </is>
      </c>
      <c r="F426" s="16" t="inlineStr">
        <is>
          <t>KF-M02R-n1</t>
        </is>
      </c>
      <c r="G426" s="16" t="inlineStr">
        <is>
          <t>B04-n1</t>
        </is>
      </c>
      <c r="H426" s="16" t="inlineStr">
        <is>
          <t>biseccion</t>
        </is>
      </c>
      <c r="I426" s="16" t="inlineStr">
        <is>
          <t>CORREGIBLE</t>
        </is>
      </c>
      <c r="J426" s="16" t="inlineStr">
        <is>
          <t>CORREGIBLE</t>
        </is>
      </c>
      <c r="K426" s="16" t="b">
        <v>1</v>
      </c>
      <c r="L426" s="16" t="b">
        <v>0</v>
      </c>
      <c r="M426" s="16" t="b">
        <v>1</v>
      </c>
      <c r="N426" s="16" t="b">
        <v>0</v>
      </c>
      <c r="O426" s="16" t="n">
        <v>623.15</v>
      </c>
      <c r="P426" s="16" t="n">
        <v>300.032917</v>
      </c>
      <c r="Q426" s="16" t="n">
        <v>3000</v>
      </c>
      <c r="R426" s="16" t="n">
        <v>400</v>
      </c>
      <c r="S426" s="16" t="n">
        <v>0.5</v>
      </c>
      <c r="T426" s="16" t="n">
        <v>0.85</v>
      </c>
      <c r="U426" s="16" t="n">
        <v>0.75</v>
      </c>
      <c r="V426" s="16" t="n">
        <v>0.81875</v>
      </c>
      <c r="W426" s="16" t="n">
        <v>0.75</v>
      </c>
      <c r="X426" s="16" t="n">
        <v>0.8</v>
      </c>
      <c r="Y426" s="16" t="n"/>
      <c r="Z426" s="16" t="n">
        <v>13.04068790808898</v>
      </c>
      <c r="AA426" s="16" t="n">
        <v>242.8104123873236</v>
      </c>
      <c r="AB426" s="16" t="n">
        <v>2600</v>
      </c>
      <c r="AC426" s="16" t="n">
        <v>7.5</v>
      </c>
      <c r="AD426" s="16" t="inlineStr">
        <is>
          <t>O1,O2</t>
        </is>
      </c>
      <c r="AE426" s="16" t="n"/>
    </row>
    <row r="427">
      <c r="A427" s="16" t="inlineStr">
        <is>
          <t>KF-M02R-n1-0071</t>
        </is>
      </c>
      <c r="B427" s="16" t="inlineStr">
        <is>
          <t>2.3</t>
        </is>
      </c>
      <c r="C427" s="16" t="inlineStr">
        <is>
          <t>2.3a</t>
        </is>
      </c>
      <c r="D427" s="16" t="inlineStr">
        <is>
          <t>un cambio</t>
        </is>
      </c>
      <c r="E427" s="16" t="inlineStr">
        <is>
          <t>KF-M02R</t>
        </is>
      </c>
      <c r="F427" s="16" t="inlineStr">
        <is>
          <t>KF-M02R-n1</t>
        </is>
      </c>
      <c r="G427" s="16" t="inlineStr">
        <is>
          <t>B04-n1</t>
        </is>
      </c>
      <c r="H427" s="16" t="inlineStr">
        <is>
          <t>biseccion</t>
        </is>
      </c>
      <c r="I427" s="16" t="inlineStr">
        <is>
          <t>CORREGIBLE</t>
        </is>
      </c>
      <c r="J427" s="16" t="inlineStr">
        <is>
          <t>CORREGIBLE</t>
        </is>
      </c>
      <c r="K427" s="16" t="b">
        <v>1</v>
      </c>
      <c r="L427" s="16" t="b">
        <v>0</v>
      </c>
      <c r="M427" s="16" t="b">
        <v>1</v>
      </c>
      <c r="N427" s="16" t="b">
        <v>0</v>
      </c>
      <c r="O427" s="16" t="n">
        <v>623.15</v>
      </c>
      <c r="P427" s="16" t="n">
        <v>300.032917</v>
      </c>
      <c r="Q427" s="16" t="n">
        <v>3000</v>
      </c>
      <c r="R427" s="16" t="n">
        <v>400</v>
      </c>
      <c r="S427" s="16" t="n">
        <v>0.5</v>
      </c>
      <c r="T427" s="16" t="n">
        <v>0.85</v>
      </c>
      <c r="U427" s="16" t="n">
        <v>0.75</v>
      </c>
      <c r="V427" s="16" t="n">
        <v>0.7062499999999999</v>
      </c>
      <c r="W427" s="16" t="n">
        <v>0.75</v>
      </c>
      <c r="X427" s="16" t="n">
        <v>0.8</v>
      </c>
      <c r="Y427" s="16" t="n"/>
      <c r="Z427" s="16" t="n">
        <v>13.12677158471556</v>
      </c>
      <c r="AA427" s="16" t="n">
        <v>213.133778999541</v>
      </c>
      <c r="AB427" s="16" t="n">
        <v>2600</v>
      </c>
      <c r="AC427" s="16" t="n">
        <v>7.5</v>
      </c>
      <c r="AD427" s="16" t="inlineStr">
        <is>
          <t>O2</t>
        </is>
      </c>
      <c r="AE427" s="16" t="n"/>
    </row>
    <row r="428">
      <c r="A428" s="16" t="inlineStr">
        <is>
          <t>KF-M02R-n1-0072</t>
        </is>
      </c>
      <c r="B428" s="16" t="inlineStr">
        <is>
          <t>2.3</t>
        </is>
      </c>
      <c r="C428" s="16" t="inlineStr">
        <is>
          <t>2.3a</t>
        </is>
      </c>
      <c r="D428" s="16" t="inlineStr">
        <is>
          <t>un cambio</t>
        </is>
      </c>
      <c r="E428" s="16" t="inlineStr">
        <is>
          <t>KF-M02R</t>
        </is>
      </c>
      <c r="F428" s="16" t="inlineStr">
        <is>
          <t>KF-M02R-n1</t>
        </is>
      </c>
      <c r="G428" s="16" t="inlineStr">
        <is>
          <t>B04-n1</t>
        </is>
      </c>
      <c r="H428" s="16" t="inlineStr">
        <is>
          <t>biseccion</t>
        </is>
      </c>
      <c r="I428" s="16" t="inlineStr">
        <is>
          <t>CORREGIBLE</t>
        </is>
      </c>
      <c r="J428" s="16" t="inlineStr">
        <is>
          <t>CORREGIBLE</t>
        </is>
      </c>
      <c r="K428" s="16" t="b">
        <v>1</v>
      </c>
      <c r="L428" s="16" t="b">
        <v>0</v>
      </c>
      <c r="M428" s="16" t="b">
        <v>1</v>
      </c>
      <c r="N428" s="16" t="b">
        <v>0</v>
      </c>
      <c r="O428" s="16" t="n">
        <v>623.15</v>
      </c>
      <c r="P428" s="16" t="n">
        <v>300.032917</v>
      </c>
      <c r="Q428" s="16" t="n">
        <v>3000</v>
      </c>
      <c r="R428" s="16" t="n">
        <v>400</v>
      </c>
      <c r="S428" s="16" t="n">
        <v>0.5</v>
      </c>
      <c r="T428" s="16" t="n">
        <v>0.85</v>
      </c>
      <c r="U428" s="16" t="n">
        <v>0.75</v>
      </c>
      <c r="V428" s="16" t="n">
        <v>0.6687500000000001</v>
      </c>
      <c r="W428" s="16" t="n">
        <v>0.75</v>
      </c>
      <c r="X428" s="16" t="n">
        <v>0.8</v>
      </c>
      <c r="Y428" s="16" t="n"/>
      <c r="Z428" s="16" t="n">
        <v>13.16368338763303</v>
      </c>
      <c r="AA428" s="16" t="n">
        <v>203.0021492382984</v>
      </c>
      <c r="AB428" s="16" t="n">
        <v>2600</v>
      </c>
      <c r="AC428" s="16" t="n">
        <v>7.5</v>
      </c>
      <c r="AD428" s="16" t="inlineStr">
        <is>
          <t>O2</t>
        </is>
      </c>
      <c r="AE428" s="16" t="n"/>
    </row>
    <row r="429">
      <c r="A429" s="16" t="inlineStr">
        <is>
          <t>KF-M02R-n1-0073</t>
        </is>
      </c>
      <c r="B429" s="16" t="inlineStr">
        <is>
          <t>2.3</t>
        </is>
      </c>
      <c r="C429" s="16" t="inlineStr">
        <is>
          <t>2.3a</t>
        </is>
      </c>
      <c r="D429" s="16" t="inlineStr">
        <is>
          <t>un cambio</t>
        </is>
      </c>
      <c r="E429" s="16" t="inlineStr">
        <is>
          <t>KF-M02R</t>
        </is>
      </c>
      <c r="F429" s="16" t="inlineStr">
        <is>
          <t>KF-M02R-n1</t>
        </is>
      </c>
      <c r="G429" s="16" t="inlineStr">
        <is>
          <t>B04-n1</t>
        </is>
      </c>
      <c r="H429" s="16" t="inlineStr">
        <is>
          <t>biseccion</t>
        </is>
      </c>
      <c r="I429" s="16" t="inlineStr">
        <is>
          <t>CORREGIBLE</t>
        </is>
      </c>
      <c r="J429" s="16" t="inlineStr">
        <is>
          <t>CORREGIBLE</t>
        </is>
      </c>
      <c r="K429" s="16" t="b">
        <v>1</v>
      </c>
      <c r="L429" s="16" t="b">
        <v>0</v>
      </c>
      <c r="M429" s="16" t="b">
        <v>1</v>
      </c>
      <c r="N429" s="16" t="b">
        <v>0</v>
      </c>
      <c r="O429" s="16" t="n">
        <v>623.15</v>
      </c>
      <c r="P429" s="16" t="n">
        <v>300.032917</v>
      </c>
      <c r="Q429" s="16" t="n">
        <v>3000</v>
      </c>
      <c r="R429" s="16" t="n">
        <v>400</v>
      </c>
      <c r="S429" s="16" t="n">
        <v>0.5</v>
      </c>
      <c r="T429" s="16" t="n">
        <v>0.85</v>
      </c>
      <c r="U429" s="16" t="n">
        <v>0.75</v>
      </c>
      <c r="V429" s="16" t="n">
        <v>0.50625</v>
      </c>
      <c r="W429" s="16" t="n">
        <v>0.75</v>
      </c>
      <c r="X429" s="16" t="n">
        <v>0.8</v>
      </c>
      <c r="Y429" s="16" t="n"/>
      <c r="Z429" s="16" t="n">
        <v>13.31049410441442</v>
      </c>
      <c r="AA429" s="16" t="n">
        <v>157.0495892988755</v>
      </c>
      <c r="AB429" s="16" t="n">
        <v>2600</v>
      </c>
      <c r="AC429" s="16" t="n">
        <v>7.5</v>
      </c>
      <c r="AD429" s="16" t="inlineStr">
        <is>
          <t>O2</t>
        </is>
      </c>
      <c r="AE429" s="16" t="n"/>
    </row>
    <row r="430">
      <c r="A430" s="16" t="inlineStr">
        <is>
          <t>KF-M02R-n1-0074</t>
        </is>
      </c>
      <c r="B430" s="16" t="inlineStr">
        <is>
          <t>2.3</t>
        </is>
      </c>
      <c r="C430" s="16" t="inlineStr">
        <is>
          <t>2.3a</t>
        </is>
      </c>
      <c r="D430" s="16" t="inlineStr">
        <is>
          <t>un cambio</t>
        </is>
      </c>
      <c r="E430" s="16" t="inlineStr">
        <is>
          <t>KF-M02R</t>
        </is>
      </c>
      <c r="F430" s="16" t="inlineStr">
        <is>
          <t>KF-M02R-n1</t>
        </is>
      </c>
      <c r="G430" s="16" t="inlineStr">
        <is>
          <t>B04-n1</t>
        </is>
      </c>
      <c r="H430" s="16" t="inlineStr">
        <is>
          <t>biseccion</t>
        </is>
      </c>
      <c r="I430" s="16" t="inlineStr">
        <is>
          <t>CORREGIBLE</t>
        </is>
      </c>
      <c r="J430" s="16" t="inlineStr">
        <is>
          <t>CORREGIBLE</t>
        </is>
      </c>
      <c r="K430" s="16" t="b">
        <v>1</v>
      </c>
      <c r="L430" s="16" t="b">
        <v>0</v>
      </c>
      <c r="M430" s="16" t="b">
        <v>1</v>
      </c>
      <c r="N430" s="16" t="b">
        <v>0</v>
      </c>
      <c r="O430" s="16" t="n">
        <v>623.15</v>
      </c>
      <c r="P430" s="16" t="n">
        <v>300.032917</v>
      </c>
      <c r="Q430" s="16" t="n">
        <v>3000</v>
      </c>
      <c r="R430" s="16" t="n">
        <v>400</v>
      </c>
      <c r="S430" s="16" t="n">
        <v>0.5</v>
      </c>
      <c r="T430" s="16" t="n">
        <v>0.85</v>
      </c>
      <c r="U430" s="16" t="n">
        <v>0.75</v>
      </c>
      <c r="V430" s="16" t="n">
        <v>0.49375</v>
      </c>
      <c r="W430" s="16" t="n">
        <v>0.75</v>
      </c>
      <c r="X430" s="16" t="n">
        <v>0.8</v>
      </c>
      <c r="Y430" s="16" t="n"/>
      <c r="Z430" s="16" t="n">
        <v>13.31778569919696</v>
      </c>
      <c r="AA430" s="16" t="n">
        <v>153.3656932576789</v>
      </c>
      <c r="AB430" s="16" t="n">
        <v>2600</v>
      </c>
      <c r="AC430" s="16" t="n">
        <v>7.5</v>
      </c>
      <c r="AD430" s="16" t="inlineStr">
        <is>
          <t>O2</t>
        </is>
      </c>
      <c r="AE430" s="16" t="n"/>
    </row>
    <row r="431">
      <c r="A431" s="16" t="inlineStr">
        <is>
          <t>KF-M02R-n1-0075</t>
        </is>
      </c>
      <c r="B431" s="16" t="inlineStr">
        <is>
          <t>2.3</t>
        </is>
      </c>
      <c r="C431" s="16" t="inlineStr">
        <is>
          <t>2.3a</t>
        </is>
      </c>
      <c r="D431" s="16" t="inlineStr">
        <is>
          <t>un cambio</t>
        </is>
      </c>
      <c r="E431" s="16" t="inlineStr">
        <is>
          <t>KF-M02R</t>
        </is>
      </c>
      <c r="F431" s="16" t="inlineStr">
        <is>
          <t>KF-M02R-n1</t>
        </is>
      </c>
      <c r="G431" s="16" t="inlineStr">
        <is>
          <t>B04-n1</t>
        </is>
      </c>
      <c r="H431" s="16" t="inlineStr">
        <is>
          <t>biseccion</t>
        </is>
      </c>
      <c r="I431" s="16" t="inlineStr">
        <is>
          <t>CORREGIBLE</t>
        </is>
      </c>
      <c r="J431" s="16" t="inlineStr">
        <is>
          <t>CORREGIBLE</t>
        </is>
      </c>
      <c r="K431" s="16" t="b">
        <v>1</v>
      </c>
      <c r="L431" s="16" t="b">
        <v>0</v>
      </c>
      <c r="M431" s="16" t="b">
        <v>1</v>
      </c>
      <c r="N431" s="16" t="b">
        <v>0</v>
      </c>
      <c r="O431" s="16" t="n">
        <v>623.15</v>
      </c>
      <c r="P431" s="16" t="n">
        <v>300.032917</v>
      </c>
      <c r="Q431" s="16" t="n">
        <v>3000</v>
      </c>
      <c r="R431" s="16" t="n">
        <v>400</v>
      </c>
      <c r="S431" s="16" t="n">
        <v>0.5</v>
      </c>
      <c r="T431" s="16" t="n">
        <v>0.85</v>
      </c>
      <c r="U431" s="16" t="n">
        <v>0.75</v>
      </c>
      <c r="V431" s="16" t="n">
        <v>0.703125</v>
      </c>
      <c r="W431" s="16" t="n">
        <v>0.75</v>
      </c>
      <c r="X431" s="16" t="n">
        <v>0.8</v>
      </c>
      <c r="Y431" s="16" t="n"/>
      <c r="Z431" s="16" t="n">
        <v>13.12980335804727</v>
      </c>
      <c r="AA431" s="16" t="n">
        <v>212.2959540917294</v>
      </c>
      <c r="AB431" s="16" t="n">
        <v>2600</v>
      </c>
      <c r="AC431" s="16" t="n">
        <v>7.5</v>
      </c>
      <c r="AD431" s="16" t="inlineStr">
        <is>
          <t>O2</t>
        </is>
      </c>
      <c r="AE431" s="16" t="n"/>
    </row>
    <row r="432">
      <c r="A432" s="16" t="inlineStr">
        <is>
          <t>KF-M02R-n1-0076</t>
        </is>
      </c>
      <c r="B432" s="16" t="inlineStr">
        <is>
          <t>2.3</t>
        </is>
      </c>
      <c r="C432" s="16" t="inlineStr">
        <is>
          <t>2.3a</t>
        </is>
      </c>
      <c r="D432" s="16" t="inlineStr">
        <is>
          <t>un cambio</t>
        </is>
      </c>
      <c r="E432" s="16" t="inlineStr">
        <is>
          <t>KF-M02R</t>
        </is>
      </c>
      <c r="F432" s="16" t="inlineStr">
        <is>
          <t>KF-M02R-n1</t>
        </is>
      </c>
      <c r="G432" s="16" t="inlineStr">
        <is>
          <t>B04-n1</t>
        </is>
      </c>
      <c r="H432" s="16" t="inlineStr">
        <is>
          <t>biseccion</t>
        </is>
      </c>
      <c r="I432" s="16" t="inlineStr">
        <is>
          <t>CORREGIBLE</t>
        </is>
      </c>
      <c r="J432" s="16" t="inlineStr">
        <is>
          <t>CORREGIBLE</t>
        </is>
      </c>
      <c r="K432" s="16" t="b">
        <v>1</v>
      </c>
      <c r="L432" s="16" t="b">
        <v>0</v>
      </c>
      <c r="M432" s="16" t="b">
        <v>1</v>
      </c>
      <c r="N432" s="16" t="b">
        <v>0</v>
      </c>
      <c r="O432" s="16" t="n">
        <v>623.15</v>
      </c>
      <c r="P432" s="16" t="n">
        <v>300.032917</v>
      </c>
      <c r="Q432" s="16" t="n">
        <v>3000</v>
      </c>
      <c r="R432" s="16" t="n">
        <v>400</v>
      </c>
      <c r="S432" s="16" t="n">
        <v>0.5</v>
      </c>
      <c r="T432" s="16" t="n">
        <v>0.85</v>
      </c>
      <c r="U432" s="16" t="n">
        <v>0.75</v>
      </c>
      <c r="V432" s="16" t="n">
        <v>0.671875</v>
      </c>
      <c r="W432" s="16" t="n">
        <v>0.75</v>
      </c>
      <c r="X432" s="16" t="n">
        <v>0.8</v>
      </c>
      <c r="Y432" s="16" t="n"/>
      <c r="Z432" s="16" t="n">
        <v>13.16057362711171</v>
      </c>
      <c r="AA432" s="16" t="n">
        <v>203.8529619675019</v>
      </c>
      <c r="AB432" s="16" t="n">
        <v>2600</v>
      </c>
      <c r="AC432" s="16" t="n">
        <v>7.5</v>
      </c>
      <c r="AD432" s="16" t="inlineStr">
        <is>
          <t>O2</t>
        </is>
      </c>
      <c r="AE432" s="16" t="n"/>
    </row>
    <row r="433">
      <c r="A433" s="16" t="inlineStr">
        <is>
          <t>KF-M02R-n1-0077</t>
        </is>
      </c>
      <c r="B433" s="16" t="inlineStr">
        <is>
          <t>2.3</t>
        </is>
      </c>
      <c r="C433" s="16" t="inlineStr">
        <is>
          <t>2.3a</t>
        </is>
      </c>
      <c r="D433" s="16" t="inlineStr">
        <is>
          <t>un cambio</t>
        </is>
      </c>
      <c r="E433" s="16" t="inlineStr">
        <is>
          <t>KF-M02R</t>
        </is>
      </c>
      <c r="F433" s="16" t="inlineStr">
        <is>
          <t>KF-M02R-n1</t>
        </is>
      </c>
      <c r="G433" s="16" t="inlineStr">
        <is>
          <t>B04-n1</t>
        </is>
      </c>
      <c r="H433" s="16" t="inlineStr">
        <is>
          <t>biseccion</t>
        </is>
      </c>
      <c r="I433" s="16" t="inlineStr">
        <is>
          <t>N2</t>
        </is>
      </c>
      <c r="J433" s="16" t="inlineStr">
        <is>
          <t>NO_CONVERGIO</t>
        </is>
      </c>
      <c r="K433" s="16" t="b">
        <v>0</v>
      </c>
      <c r="L433" s="16" t="b">
        <v>0</v>
      </c>
      <c r="M433" s="16" t="b">
        <v>1</v>
      </c>
      <c r="N433" s="16" t="b">
        <v>0</v>
      </c>
      <c r="O433" s="16" t="n">
        <v>623.15</v>
      </c>
      <c r="P433" s="16" t="n">
        <v>300.032917</v>
      </c>
      <c r="Q433" s="16" t="n">
        <v>3000</v>
      </c>
      <c r="R433" s="16" t="n">
        <v>400</v>
      </c>
      <c r="S433" s="16" t="n">
        <v>0.5</v>
      </c>
      <c r="T433" s="16" t="n">
        <v>0.85</v>
      </c>
      <c r="U433" s="16" t="n">
        <v>0.75</v>
      </c>
      <c r="V433" s="16" t="n">
        <v>0.8218749999999999</v>
      </c>
      <c r="W433" s="16" t="n">
        <v>0.75</v>
      </c>
      <c r="X433" s="16" t="n">
        <v>0.8</v>
      </c>
      <c r="Y433" s="16" t="n"/>
      <c r="Z433" s="16" t="n">
        <v>13.57088828280941</v>
      </c>
      <c r="AA433" s="16" t="n">
        <v>252.7186292589766</v>
      </c>
      <c r="AB433" s="16" t="n">
        <v>2600</v>
      </c>
      <c r="AC433" s="16" t="n">
        <v>7.5</v>
      </c>
      <c r="AD433" s="16" t="inlineStr">
        <is>
          <t>N2,O1,O2,O5,C1,C3,C3</t>
        </is>
      </c>
      <c r="AE433" s="16" t="n"/>
    </row>
    <row r="434">
      <c r="A434" s="16" t="inlineStr">
        <is>
          <t>KF-M02R-n1-0078</t>
        </is>
      </c>
      <c r="B434" s="16" t="inlineStr">
        <is>
          <t>2.3</t>
        </is>
      </c>
      <c r="C434" s="16" t="inlineStr">
        <is>
          <t>2.3a</t>
        </is>
      </c>
      <c r="D434" s="16" t="inlineStr">
        <is>
          <t>un cambio</t>
        </is>
      </c>
      <c r="E434" s="16" t="inlineStr">
        <is>
          <t>KF-M02R</t>
        </is>
      </c>
      <c r="F434" s="16" t="inlineStr">
        <is>
          <t>KF-M02R-n1</t>
        </is>
      </c>
      <c r="G434" s="16" t="inlineStr">
        <is>
          <t>B04-n1</t>
        </is>
      </c>
      <c r="H434" s="16" t="inlineStr">
        <is>
          <t>biseccion</t>
        </is>
      </c>
      <c r="I434" s="16" t="inlineStr">
        <is>
          <t>CORREGIBLE</t>
        </is>
      </c>
      <c r="J434" s="16" t="inlineStr">
        <is>
          <t>CORREGIBLE</t>
        </is>
      </c>
      <c r="K434" s="16" t="b">
        <v>1</v>
      </c>
      <c r="L434" s="16" t="b">
        <v>0</v>
      </c>
      <c r="M434" s="16" t="b">
        <v>1</v>
      </c>
      <c r="N434" s="16" t="b">
        <v>0</v>
      </c>
      <c r="O434" s="16" t="n">
        <v>623.15</v>
      </c>
      <c r="P434" s="16" t="n">
        <v>300.032917</v>
      </c>
      <c r="Q434" s="16" t="n">
        <v>3000</v>
      </c>
      <c r="R434" s="16" t="n">
        <v>400</v>
      </c>
      <c r="S434" s="16" t="n">
        <v>0.5</v>
      </c>
      <c r="T434" s="16" t="n">
        <v>0.85</v>
      </c>
      <c r="U434" s="16" t="n">
        <v>0.75</v>
      </c>
      <c r="V434" s="16" t="n">
        <v>0.503125</v>
      </c>
      <c r="W434" s="16" t="n">
        <v>0.75</v>
      </c>
      <c r="X434" s="16" t="n">
        <v>0.8</v>
      </c>
      <c r="Y434" s="16" t="n"/>
      <c r="Z434" s="16" t="n">
        <v>13.31242114230728</v>
      </c>
      <c r="AA434" s="16" t="n">
        <v>156.1307951498235</v>
      </c>
      <c r="AB434" s="16" t="n">
        <v>2600</v>
      </c>
      <c r="AC434" s="16" t="n">
        <v>7.5</v>
      </c>
      <c r="AD434" s="16" t="inlineStr">
        <is>
          <t>O2</t>
        </is>
      </c>
      <c r="AE434" s="16" t="n"/>
    </row>
    <row r="435">
      <c r="A435" s="16" t="inlineStr">
        <is>
          <t>KF-M02R-n1-0079</t>
        </is>
      </c>
      <c r="B435" s="16" t="inlineStr">
        <is>
          <t>2.3</t>
        </is>
      </c>
      <c r="C435" s="16" t="inlineStr">
        <is>
          <t>2.3a</t>
        </is>
      </c>
      <c r="D435" s="16" t="inlineStr">
        <is>
          <t>un cambio</t>
        </is>
      </c>
      <c r="E435" s="16" t="inlineStr">
        <is>
          <t>KF-M02R</t>
        </is>
      </c>
      <c r="F435" s="16" t="inlineStr">
        <is>
          <t>KF-M02R-n1</t>
        </is>
      </c>
      <c r="G435" s="16" t="inlineStr">
        <is>
          <t>B04-n1</t>
        </is>
      </c>
      <c r="H435" s="16" t="inlineStr">
        <is>
          <t>biseccion</t>
        </is>
      </c>
      <c r="I435" s="16" t="inlineStr">
        <is>
          <t>CORREGIBLE</t>
        </is>
      </c>
      <c r="J435" s="16" t="inlineStr">
        <is>
          <t>CORREGIBLE</t>
        </is>
      </c>
      <c r="K435" s="16" t="b">
        <v>1</v>
      </c>
      <c r="L435" s="16" t="b">
        <v>0</v>
      </c>
      <c r="M435" s="16" t="b">
        <v>1</v>
      </c>
      <c r="N435" s="16" t="b">
        <v>0</v>
      </c>
      <c r="O435" s="16" t="n">
        <v>623.15</v>
      </c>
      <c r="P435" s="16" t="n">
        <v>300.032917</v>
      </c>
      <c r="Q435" s="16" t="n">
        <v>3000</v>
      </c>
      <c r="R435" s="16" t="n">
        <v>400</v>
      </c>
      <c r="S435" s="16" t="n">
        <v>0.5</v>
      </c>
      <c r="T435" s="16" t="n">
        <v>0.85</v>
      </c>
      <c r="U435" s="16" t="n">
        <v>0.75</v>
      </c>
      <c r="V435" s="16" t="n">
        <v>0.496875</v>
      </c>
      <c r="W435" s="16" t="n">
        <v>0.75</v>
      </c>
      <c r="X435" s="16" t="n">
        <v>0.8</v>
      </c>
      <c r="Y435" s="16" t="n"/>
      <c r="Z435" s="16" t="n">
        <v>13.31606837895476</v>
      </c>
      <c r="AA435" s="16" t="n">
        <v>154.2888504128002</v>
      </c>
      <c r="AB435" s="16" t="n">
        <v>2600</v>
      </c>
      <c r="AC435" s="16" t="n">
        <v>7.5</v>
      </c>
      <c r="AD435" s="16" t="inlineStr">
        <is>
          <t>O2</t>
        </is>
      </c>
      <c r="AE435" s="16" t="n"/>
    </row>
    <row r="436">
      <c r="A436" s="16" t="inlineStr">
        <is>
          <t>KF-M02R-n2a-0000</t>
        </is>
      </c>
      <c r="B436" s="16" t="inlineStr">
        <is>
          <t>2.3</t>
        </is>
      </c>
      <c r="C436" s="16" t="inlineStr">
        <is>
          <t>2.3b</t>
        </is>
      </c>
      <c r="D436" s="16" t="inlineStr">
        <is>
          <t>ε_HRVG × ε_cond</t>
        </is>
      </c>
      <c r="E436" s="16" t="inlineStr">
        <is>
          <t>KF-M02R</t>
        </is>
      </c>
      <c r="F436" s="16" t="inlineStr">
        <is>
          <t>KF-M02R-n2a</t>
        </is>
      </c>
      <c r="G436" s="16" t="inlineStr">
        <is>
          <t>B04-n2a</t>
        </is>
      </c>
      <c r="H436" s="16" t="inlineStr">
        <is>
          <t>malla</t>
        </is>
      </c>
      <c r="I436" s="16" t="inlineStr">
        <is>
          <t>CORREGIBLE</t>
        </is>
      </c>
      <c r="J436" s="16" t="inlineStr">
        <is>
          <t>CORREGIBLE</t>
        </is>
      </c>
      <c r="K436" s="16" t="b">
        <v>1</v>
      </c>
      <c r="L436" s="16" t="b">
        <v>0</v>
      </c>
      <c r="M436" s="16" t="b">
        <v>1</v>
      </c>
      <c r="N436" s="16" t="b">
        <v>0</v>
      </c>
      <c r="O436" s="16" t="n">
        <v>623.15</v>
      </c>
      <c r="P436" s="16" t="n">
        <v>300.032917</v>
      </c>
      <c r="Q436" s="16" t="n">
        <v>3000</v>
      </c>
      <c r="R436" s="16" t="n">
        <v>400</v>
      </c>
      <c r="S436" s="16" t="n">
        <v>0.5</v>
      </c>
      <c r="T436" s="16" t="n">
        <v>0.85</v>
      </c>
      <c r="U436" s="16" t="n">
        <v>0.75</v>
      </c>
      <c r="V436" s="16" t="n">
        <v>0.4</v>
      </c>
      <c r="W436" s="16" t="n">
        <v>0.75</v>
      </c>
      <c r="X436" s="16" t="n">
        <v>0.4</v>
      </c>
      <c r="Y436" s="16" t="n"/>
      <c r="Z436" s="16" t="n">
        <v>3.3817135401433</v>
      </c>
      <c r="AA436" s="16" t="n">
        <v>21.551342999134</v>
      </c>
      <c r="AB436" s="16" t="n">
        <v>2600</v>
      </c>
      <c r="AC436" s="16" t="n">
        <v>7.5</v>
      </c>
      <c r="AD436" s="16" t="inlineStr">
        <is>
          <t>O2</t>
        </is>
      </c>
      <c r="AE436" s="16" t="n"/>
    </row>
    <row r="437">
      <c r="A437" s="16" t="inlineStr">
        <is>
          <t>KF-M02R-n2a-0001</t>
        </is>
      </c>
      <c r="B437" s="16" t="inlineStr">
        <is>
          <t>2.3</t>
        </is>
      </c>
      <c r="C437" s="16" t="inlineStr">
        <is>
          <t>2.3b</t>
        </is>
      </c>
      <c r="D437" s="16" t="inlineStr">
        <is>
          <t>ε_HRVG × ε_cond</t>
        </is>
      </c>
      <c r="E437" s="16" t="inlineStr">
        <is>
          <t>KF-M02R</t>
        </is>
      </c>
      <c r="F437" s="16" t="inlineStr">
        <is>
          <t>KF-M02R-n2a</t>
        </is>
      </c>
      <c r="G437" s="16" t="inlineStr">
        <is>
          <t>B04-n2a</t>
        </is>
      </c>
      <c r="H437" s="16" t="inlineStr">
        <is>
          <t>malla</t>
        </is>
      </c>
      <c r="I437" s="16" t="inlineStr">
        <is>
          <t>CORREGIBLE</t>
        </is>
      </c>
      <c r="J437" s="16" t="inlineStr">
        <is>
          <t>CORREGIBLE</t>
        </is>
      </c>
      <c r="K437" s="16" t="b">
        <v>1</v>
      </c>
      <c r="L437" s="16" t="b">
        <v>0</v>
      </c>
      <c r="M437" s="16" t="b">
        <v>1</v>
      </c>
      <c r="N437" s="16" t="b">
        <v>0</v>
      </c>
      <c r="O437" s="16" t="n">
        <v>623.15</v>
      </c>
      <c r="P437" s="16" t="n">
        <v>300.032917</v>
      </c>
      <c r="Q437" s="16" t="n">
        <v>3000</v>
      </c>
      <c r="R437" s="16" t="n">
        <v>400</v>
      </c>
      <c r="S437" s="16" t="n">
        <v>0.5</v>
      </c>
      <c r="T437" s="16" t="n">
        <v>0.85</v>
      </c>
      <c r="U437" s="16" t="n">
        <v>0.75</v>
      </c>
      <c r="V437" s="16" t="n">
        <v>0.4</v>
      </c>
      <c r="W437" s="16" t="n">
        <v>0.75</v>
      </c>
      <c r="X437" s="16" t="n">
        <v>0.55</v>
      </c>
      <c r="Y437" s="16" t="n"/>
      <c r="Z437" s="16" t="n">
        <v>8.98452193634045</v>
      </c>
      <c r="AA437" s="16" t="n">
        <v>70.952145162737</v>
      </c>
      <c r="AB437" s="16" t="n">
        <v>2600</v>
      </c>
      <c r="AC437" s="16" t="n">
        <v>7.5</v>
      </c>
      <c r="AD437" s="16" t="inlineStr">
        <is>
          <t>O2</t>
        </is>
      </c>
      <c r="AE437" s="16" t="n"/>
    </row>
    <row r="438">
      <c r="A438" s="16" t="inlineStr">
        <is>
          <t>KF-M02R-n2a-0002</t>
        </is>
      </c>
      <c r="B438" s="16" t="inlineStr">
        <is>
          <t>2.3</t>
        </is>
      </c>
      <c r="C438" s="16" t="inlineStr">
        <is>
          <t>2.3b</t>
        </is>
      </c>
      <c r="D438" s="16" t="inlineStr">
        <is>
          <t>ε_HRVG × ε_cond</t>
        </is>
      </c>
      <c r="E438" s="16" t="inlineStr">
        <is>
          <t>KF-M02R</t>
        </is>
      </c>
      <c r="F438" s="16" t="inlineStr">
        <is>
          <t>KF-M02R-n2a</t>
        </is>
      </c>
      <c r="G438" s="16" t="inlineStr">
        <is>
          <t>B04-n2a</t>
        </is>
      </c>
      <c r="H438" s="16" t="inlineStr">
        <is>
          <t>malla</t>
        </is>
      </c>
      <c r="I438" s="16" t="inlineStr">
        <is>
          <t>CORREGIBLE</t>
        </is>
      </c>
      <c r="J438" s="16" t="inlineStr">
        <is>
          <t>CORREGIBLE</t>
        </is>
      </c>
      <c r="K438" s="16" t="b">
        <v>1</v>
      </c>
      <c r="L438" s="16" t="b">
        <v>0</v>
      </c>
      <c r="M438" s="16" t="b">
        <v>1</v>
      </c>
      <c r="N438" s="16" t="b">
        <v>0</v>
      </c>
      <c r="O438" s="16" t="n">
        <v>623.15</v>
      </c>
      <c r="P438" s="16" t="n">
        <v>300.032917</v>
      </c>
      <c r="Q438" s="16" t="n">
        <v>3000</v>
      </c>
      <c r="R438" s="16" t="n">
        <v>400</v>
      </c>
      <c r="S438" s="16" t="n">
        <v>0.5</v>
      </c>
      <c r="T438" s="16" t="n">
        <v>0.85</v>
      </c>
      <c r="U438" s="16" t="n">
        <v>0.75</v>
      </c>
      <c r="V438" s="16" t="n">
        <v>0.4</v>
      </c>
      <c r="W438" s="16" t="n">
        <v>0.75</v>
      </c>
      <c r="X438" s="16" t="n">
        <v>0.5</v>
      </c>
      <c r="Y438" s="16" t="n"/>
      <c r="Z438" s="16" t="n">
        <v>7.51812080874148</v>
      </c>
      <c r="AA438" s="16" t="n">
        <v>55.98948649439654</v>
      </c>
      <c r="AB438" s="16" t="n">
        <v>2600</v>
      </c>
      <c r="AC438" s="16" t="n">
        <v>7.5</v>
      </c>
      <c r="AD438" s="16" t="inlineStr">
        <is>
          <t>O2</t>
        </is>
      </c>
      <c r="AE438" s="16" t="n"/>
    </row>
    <row r="439">
      <c r="A439" s="16" t="inlineStr">
        <is>
          <t>KF-M02R-n2a-0003</t>
        </is>
      </c>
      <c r="B439" s="16" t="inlineStr">
        <is>
          <t>2.3</t>
        </is>
      </c>
      <c r="C439" s="16" t="inlineStr">
        <is>
          <t>2.3b</t>
        </is>
      </c>
      <c r="D439" s="16" t="inlineStr">
        <is>
          <t>ε_HRVG × ε_cond</t>
        </is>
      </c>
      <c r="E439" s="16" t="inlineStr">
        <is>
          <t>KF-M02R</t>
        </is>
      </c>
      <c r="F439" s="16" t="inlineStr">
        <is>
          <t>KF-M02R-n2a</t>
        </is>
      </c>
      <c r="G439" s="16" t="inlineStr">
        <is>
          <t>B04-n2a</t>
        </is>
      </c>
      <c r="H439" s="16" t="inlineStr">
        <is>
          <t>malla</t>
        </is>
      </c>
      <c r="I439" s="16" t="inlineStr">
        <is>
          <t>CORREGIBLE</t>
        </is>
      </c>
      <c r="J439" s="16" t="inlineStr">
        <is>
          <t>CORREGIBLE</t>
        </is>
      </c>
      <c r="K439" s="16" t="b">
        <v>1</v>
      </c>
      <c r="L439" s="16" t="b">
        <v>0</v>
      </c>
      <c r="M439" s="16" t="b">
        <v>1</v>
      </c>
      <c r="N439" s="16" t="b">
        <v>0</v>
      </c>
      <c r="O439" s="16" t="n">
        <v>623.15</v>
      </c>
      <c r="P439" s="16" t="n">
        <v>300.032917</v>
      </c>
      <c r="Q439" s="16" t="n">
        <v>3000</v>
      </c>
      <c r="R439" s="16" t="n">
        <v>400</v>
      </c>
      <c r="S439" s="16" t="n">
        <v>0.5</v>
      </c>
      <c r="T439" s="16" t="n">
        <v>0.85</v>
      </c>
      <c r="U439" s="16" t="n">
        <v>0.75</v>
      </c>
      <c r="V439" s="16" t="n">
        <v>0.4</v>
      </c>
      <c r="W439" s="16" t="n">
        <v>0.75</v>
      </c>
      <c r="X439" s="16" t="n">
        <v>0.45</v>
      </c>
      <c r="Y439" s="16" t="n"/>
      <c r="Z439" s="16" t="n">
        <v>5.70201498488365</v>
      </c>
      <c r="AA439" s="16" t="n">
        <v>39.58762194788187</v>
      </c>
      <c r="AB439" s="16" t="n">
        <v>2600</v>
      </c>
      <c r="AC439" s="16" t="n">
        <v>7.5</v>
      </c>
      <c r="AD439" s="16" t="inlineStr">
        <is>
          <t>O2</t>
        </is>
      </c>
      <c r="AE439" s="16" t="n"/>
    </row>
    <row r="440">
      <c r="A440" s="16" t="inlineStr">
        <is>
          <t>KF-M02R-n2a-0004</t>
        </is>
      </c>
      <c r="B440" s="16" t="inlineStr">
        <is>
          <t>2.3</t>
        </is>
      </c>
      <c r="C440" s="16" t="inlineStr">
        <is>
          <t>2.3b</t>
        </is>
      </c>
      <c r="D440" s="16" t="inlineStr">
        <is>
          <t>ε_HRVG × ε_cond</t>
        </is>
      </c>
      <c r="E440" s="16" t="inlineStr">
        <is>
          <t>KF-M02R</t>
        </is>
      </c>
      <c r="F440" s="16" t="inlineStr">
        <is>
          <t>KF-M02R-n2a</t>
        </is>
      </c>
      <c r="G440" s="16" t="inlineStr">
        <is>
          <t>B04-n2a</t>
        </is>
      </c>
      <c r="H440" s="16" t="inlineStr">
        <is>
          <t>malla</t>
        </is>
      </c>
      <c r="I440" s="16" t="inlineStr">
        <is>
          <t>CORREGIBLE</t>
        </is>
      </c>
      <c r="J440" s="16" t="inlineStr">
        <is>
          <t>CORREGIBLE</t>
        </is>
      </c>
      <c r="K440" s="16" t="b">
        <v>1</v>
      </c>
      <c r="L440" s="16" t="b">
        <v>0</v>
      </c>
      <c r="M440" s="16" t="b">
        <v>1</v>
      </c>
      <c r="N440" s="16" t="b">
        <v>0</v>
      </c>
      <c r="O440" s="16" t="n">
        <v>623.15</v>
      </c>
      <c r="P440" s="16" t="n">
        <v>300.032917</v>
      </c>
      <c r="Q440" s="16" t="n">
        <v>3000</v>
      </c>
      <c r="R440" s="16" t="n">
        <v>400</v>
      </c>
      <c r="S440" s="16" t="n">
        <v>0.5</v>
      </c>
      <c r="T440" s="16" t="n">
        <v>0.85</v>
      </c>
      <c r="U440" s="16" t="n">
        <v>0.75</v>
      </c>
      <c r="V440" s="16" t="n">
        <v>0.4</v>
      </c>
      <c r="W440" s="16" t="n">
        <v>0.75</v>
      </c>
      <c r="X440" s="16" t="n">
        <v>0.6</v>
      </c>
      <c r="Y440" s="16" t="n"/>
      <c r="Z440" s="16" t="n">
        <v>10.19500171365987</v>
      </c>
      <c r="AA440" s="16" t="n">
        <v>84.63787122459425</v>
      </c>
      <c r="AB440" s="16" t="n">
        <v>2600</v>
      </c>
      <c r="AC440" s="16" t="n">
        <v>7.5</v>
      </c>
      <c r="AD440" s="16" t="inlineStr">
        <is>
          <t>O2</t>
        </is>
      </c>
      <c r="AE440" s="16" t="n"/>
    </row>
    <row r="441">
      <c r="A441" s="16" t="inlineStr">
        <is>
          <t>KF-M02R-n2a-0005</t>
        </is>
      </c>
      <c r="B441" s="16" t="inlineStr">
        <is>
          <t>2.3</t>
        </is>
      </c>
      <c r="C441" s="16" t="inlineStr">
        <is>
          <t>2.3b</t>
        </is>
      </c>
      <c r="D441" s="16" t="inlineStr">
        <is>
          <t>ε_HRVG × ε_cond</t>
        </is>
      </c>
      <c r="E441" s="16" t="inlineStr">
        <is>
          <t>KF-M02R</t>
        </is>
      </c>
      <c r="F441" s="16" t="inlineStr">
        <is>
          <t>KF-M02R-n2a</t>
        </is>
      </c>
      <c r="G441" s="16" t="inlineStr">
        <is>
          <t>B04-n2a</t>
        </is>
      </c>
      <c r="H441" s="16" t="inlineStr">
        <is>
          <t>malla</t>
        </is>
      </c>
      <c r="I441" s="16" t="inlineStr">
        <is>
          <t>CORREGIBLE</t>
        </is>
      </c>
      <c r="J441" s="16" t="inlineStr">
        <is>
          <t>CORREGIBLE</t>
        </is>
      </c>
      <c r="K441" s="16" t="b">
        <v>1</v>
      </c>
      <c r="L441" s="16" t="b">
        <v>0</v>
      </c>
      <c r="M441" s="16" t="b">
        <v>1</v>
      </c>
      <c r="N441" s="16" t="b">
        <v>0</v>
      </c>
      <c r="O441" s="16" t="n">
        <v>623.15</v>
      </c>
      <c r="P441" s="16" t="n">
        <v>300.032917</v>
      </c>
      <c r="Q441" s="16" t="n">
        <v>3000</v>
      </c>
      <c r="R441" s="16" t="n">
        <v>400</v>
      </c>
      <c r="S441" s="16" t="n">
        <v>0.5</v>
      </c>
      <c r="T441" s="16" t="n">
        <v>0.85</v>
      </c>
      <c r="U441" s="16" t="n">
        <v>0.75</v>
      </c>
      <c r="V441" s="16" t="n">
        <v>0.4</v>
      </c>
      <c r="W441" s="16" t="n">
        <v>0.75</v>
      </c>
      <c r="X441" s="16" t="n">
        <v>0.65</v>
      </c>
      <c r="Y441" s="16" t="n"/>
      <c r="Z441" s="16" t="n">
        <v>11.21127407020348</v>
      </c>
      <c r="AA441" s="16" t="n">
        <v>97.19499808423932</v>
      </c>
      <c r="AB441" s="16" t="n">
        <v>2600</v>
      </c>
      <c r="AC441" s="16" t="n">
        <v>7.5</v>
      </c>
      <c r="AD441" s="16" t="inlineStr">
        <is>
          <t>O2</t>
        </is>
      </c>
      <c r="AE441" s="16" t="n"/>
    </row>
    <row r="442">
      <c r="A442" s="16" t="inlineStr">
        <is>
          <t>KF-M02R-n2a-0006</t>
        </is>
      </c>
      <c r="B442" s="16" t="inlineStr">
        <is>
          <t>2.3</t>
        </is>
      </c>
      <c r="C442" s="16" t="inlineStr">
        <is>
          <t>2.3b</t>
        </is>
      </c>
      <c r="D442" s="16" t="inlineStr">
        <is>
          <t>ε_HRVG × ε_cond</t>
        </is>
      </c>
      <c r="E442" s="16" t="inlineStr">
        <is>
          <t>KF-M02R</t>
        </is>
      </c>
      <c r="F442" s="16" t="inlineStr">
        <is>
          <t>KF-M02R-n2a</t>
        </is>
      </c>
      <c r="G442" s="16" t="inlineStr">
        <is>
          <t>B04-n2a</t>
        </is>
      </c>
      <c r="H442" s="16" t="inlineStr">
        <is>
          <t>malla</t>
        </is>
      </c>
      <c r="I442" s="16" t="inlineStr">
        <is>
          <t>CORREGIBLE</t>
        </is>
      </c>
      <c r="J442" s="16" t="inlineStr">
        <is>
          <t>CORREGIBLE</t>
        </is>
      </c>
      <c r="K442" s="16" t="b">
        <v>1</v>
      </c>
      <c r="L442" s="16" t="b">
        <v>0</v>
      </c>
      <c r="M442" s="16" t="b">
        <v>1</v>
      </c>
      <c r="N442" s="16" t="b">
        <v>0</v>
      </c>
      <c r="O442" s="16" t="n">
        <v>623.15</v>
      </c>
      <c r="P442" s="16" t="n">
        <v>300.032917</v>
      </c>
      <c r="Q442" s="16" t="n">
        <v>3000</v>
      </c>
      <c r="R442" s="16" t="n">
        <v>400</v>
      </c>
      <c r="S442" s="16" t="n">
        <v>0.5</v>
      </c>
      <c r="T442" s="16" t="n">
        <v>0.85</v>
      </c>
      <c r="U442" s="16" t="n">
        <v>0.75</v>
      </c>
      <c r="V442" s="16" t="n">
        <v>0.4</v>
      </c>
      <c r="W442" s="16" t="n">
        <v>0.75</v>
      </c>
      <c r="X442" s="16" t="n">
        <v>0.8</v>
      </c>
      <c r="Y442" s="16" t="n"/>
      <c r="Z442" s="16" t="n">
        <v>13.31771154737231</v>
      </c>
      <c r="AA442" s="16" t="n">
        <v>124.9305023358619</v>
      </c>
      <c r="AB442" s="16" t="n">
        <v>2600</v>
      </c>
      <c r="AC442" s="16" t="n">
        <v>7.5</v>
      </c>
      <c r="AD442" s="16" t="inlineStr">
        <is>
          <t>O2</t>
        </is>
      </c>
      <c r="AE442" s="16" t="n"/>
    </row>
    <row r="443">
      <c r="A443" s="16" t="inlineStr">
        <is>
          <t>KF-M02R-n2a-0007</t>
        </is>
      </c>
      <c r="B443" s="16" t="inlineStr">
        <is>
          <t>2.3</t>
        </is>
      </c>
      <c r="C443" s="16" t="inlineStr">
        <is>
          <t>2.3b</t>
        </is>
      </c>
      <c r="D443" s="16" t="inlineStr">
        <is>
          <t>ε_HRVG × ε_cond</t>
        </is>
      </c>
      <c r="E443" s="16" t="inlineStr">
        <is>
          <t>KF-M02R</t>
        </is>
      </c>
      <c r="F443" s="16" t="inlineStr">
        <is>
          <t>KF-M02R-n2a</t>
        </is>
      </c>
      <c r="G443" s="16" t="inlineStr">
        <is>
          <t>B04-n2a</t>
        </is>
      </c>
      <c r="H443" s="16" t="inlineStr">
        <is>
          <t>malla</t>
        </is>
      </c>
      <c r="I443" s="16" t="inlineStr">
        <is>
          <t>CORREGIBLE</t>
        </is>
      </c>
      <c r="J443" s="16" t="inlineStr">
        <is>
          <t>CORREGIBLE</t>
        </is>
      </c>
      <c r="K443" s="16" t="b">
        <v>1</v>
      </c>
      <c r="L443" s="16" t="b">
        <v>0</v>
      </c>
      <c r="M443" s="16" t="b">
        <v>1</v>
      </c>
      <c r="N443" s="16" t="b">
        <v>0</v>
      </c>
      <c r="O443" s="16" t="n">
        <v>623.15</v>
      </c>
      <c r="P443" s="16" t="n">
        <v>300.032917</v>
      </c>
      <c r="Q443" s="16" t="n">
        <v>3000</v>
      </c>
      <c r="R443" s="16" t="n">
        <v>400</v>
      </c>
      <c r="S443" s="16" t="n">
        <v>0.5</v>
      </c>
      <c r="T443" s="16" t="n">
        <v>0.85</v>
      </c>
      <c r="U443" s="16" t="n">
        <v>0.75</v>
      </c>
      <c r="V443" s="16" t="n">
        <v>0.4</v>
      </c>
      <c r="W443" s="16" t="n">
        <v>0.75</v>
      </c>
      <c r="X443" s="16" t="n">
        <v>0.85</v>
      </c>
      <c r="Y443" s="16" t="n"/>
      <c r="Z443" s="16" t="n">
        <v>13.42578696959958</v>
      </c>
      <c r="AA443" s="16" t="n">
        <v>128.0276542286</v>
      </c>
      <c r="AB443" s="16" t="n">
        <v>2600</v>
      </c>
      <c r="AC443" s="16" t="n">
        <v>7.5</v>
      </c>
      <c r="AD443" s="16" t="inlineStr">
        <is>
          <t>O2</t>
        </is>
      </c>
      <c r="AE443" s="16" t="n"/>
    </row>
    <row r="444">
      <c r="A444" s="16" t="inlineStr">
        <is>
          <t>KF-M02R-n2a-0008</t>
        </is>
      </c>
      <c r="B444" s="16" t="inlineStr">
        <is>
          <t>2.3</t>
        </is>
      </c>
      <c r="C444" s="16" t="inlineStr">
        <is>
          <t>2.3b</t>
        </is>
      </c>
      <c r="D444" s="16" t="inlineStr">
        <is>
          <t>ε_HRVG × ε_cond</t>
        </is>
      </c>
      <c r="E444" s="16" t="inlineStr">
        <is>
          <t>KF-M02R</t>
        </is>
      </c>
      <c r="F444" s="16" t="inlineStr">
        <is>
          <t>KF-M02R-n2a</t>
        </is>
      </c>
      <c r="G444" s="16" t="inlineStr">
        <is>
          <t>B04-n2a</t>
        </is>
      </c>
      <c r="H444" s="16" t="inlineStr">
        <is>
          <t>malla</t>
        </is>
      </c>
      <c r="I444" s="16" t="inlineStr">
        <is>
          <t>CORREGIBLE</t>
        </is>
      </c>
      <c r="J444" s="16" t="inlineStr">
        <is>
          <t>CORREGIBLE</t>
        </is>
      </c>
      <c r="K444" s="16" t="b">
        <v>1</v>
      </c>
      <c r="L444" s="16" t="b">
        <v>0</v>
      </c>
      <c r="M444" s="16" t="b">
        <v>1</v>
      </c>
      <c r="N444" s="16" t="b">
        <v>0</v>
      </c>
      <c r="O444" s="16" t="n">
        <v>623.15</v>
      </c>
      <c r="P444" s="16" t="n">
        <v>300.032917</v>
      </c>
      <c r="Q444" s="16" t="n">
        <v>3000</v>
      </c>
      <c r="R444" s="16" t="n">
        <v>400</v>
      </c>
      <c r="S444" s="16" t="n">
        <v>0.5</v>
      </c>
      <c r="T444" s="16" t="n">
        <v>0.85</v>
      </c>
      <c r="U444" s="16" t="n">
        <v>0.75</v>
      </c>
      <c r="V444" s="16" t="n">
        <v>0.4</v>
      </c>
      <c r="W444" s="16" t="n">
        <v>0.75</v>
      </c>
      <c r="X444" s="16" t="n">
        <v>0.7</v>
      </c>
      <c r="Y444" s="16" t="n"/>
      <c r="Z444" s="16" t="n">
        <v>12.17114741692302</v>
      </c>
      <c r="AA444" s="16" t="n">
        <v>109.2739721044059</v>
      </c>
      <c r="AB444" s="16" t="n">
        <v>2600</v>
      </c>
      <c r="AC444" s="16" t="n">
        <v>7.5</v>
      </c>
      <c r="AD444" s="16" t="inlineStr">
        <is>
          <t>O2</t>
        </is>
      </c>
      <c r="AE444" s="16" t="n"/>
    </row>
    <row r="445">
      <c r="A445" s="16" t="inlineStr">
        <is>
          <t>KF-M02R-n2a-0009</t>
        </is>
      </c>
      <c r="B445" s="16" t="inlineStr">
        <is>
          <t>2.3</t>
        </is>
      </c>
      <c r="C445" s="16" t="inlineStr">
        <is>
          <t>2.3b</t>
        </is>
      </c>
      <c r="D445" s="16" t="inlineStr">
        <is>
          <t>ε_HRVG × ε_cond</t>
        </is>
      </c>
      <c r="E445" s="16" t="inlineStr">
        <is>
          <t>KF-M02R</t>
        </is>
      </c>
      <c r="F445" s="16" t="inlineStr">
        <is>
          <t>KF-M02R-n2a</t>
        </is>
      </c>
      <c r="G445" s="16" t="inlineStr">
        <is>
          <t>B04-n2a</t>
        </is>
      </c>
      <c r="H445" s="16" t="inlineStr">
        <is>
          <t>malla</t>
        </is>
      </c>
      <c r="I445" s="16" t="inlineStr">
        <is>
          <t>CORREGIBLE</t>
        </is>
      </c>
      <c r="J445" s="16" t="inlineStr">
        <is>
          <t>CORREGIBLE</t>
        </is>
      </c>
      <c r="K445" s="16" t="b">
        <v>1</v>
      </c>
      <c r="L445" s="16" t="b">
        <v>0</v>
      </c>
      <c r="M445" s="16" t="b">
        <v>1</v>
      </c>
      <c r="N445" s="16" t="b">
        <v>0</v>
      </c>
      <c r="O445" s="16" t="n">
        <v>623.15</v>
      </c>
      <c r="P445" s="16" t="n">
        <v>300.032917</v>
      </c>
      <c r="Q445" s="16" t="n">
        <v>3000</v>
      </c>
      <c r="R445" s="16" t="n">
        <v>400</v>
      </c>
      <c r="S445" s="16" t="n">
        <v>0.5</v>
      </c>
      <c r="T445" s="16" t="n">
        <v>0.85</v>
      </c>
      <c r="U445" s="16" t="n">
        <v>0.75</v>
      </c>
      <c r="V445" s="16" t="n">
        <v>0.4</v>
      </c>
      <c r="W445" s="16" t="n">
        <v>0.75</v>
      </c>
      <c r="X445" s="16" t="n">
        <v>0.75</v>
      </c>
      <c r="Y445" s="16" t="n"/>
      <c r="Z445" s="16" t="n">
        <v>12.93406457442636</v>
      </c>
      <c r="AA445" s="16" t="n">
        <v>118.9637163461163</v>
      </c>
      <c r="AB445" s="16" t="n">
        <v>2600</v>
      </c>
      <c r="AC445" s="16" t="n">
        <v>7.5</v>
      </c>
      <c r="AD445" s="16" t="inlineStr">
        <is>
          <t>O2</t>
        </is>
      </c>
      <c r="AE445" s="16" t="n"/>
    </row>
    <row r="446">
      <c r="A446" s="16" t="inlineStr">
        <is>
          <t>KF-M02R-n2a-0010</t>
        </is>
      </c>
      <c r="B446" s="16" t="inlineStr">
        <is>
          <t>2.3</t>
        </is>
      </c>
      <c r="C446" s="16" t="inlineStr">
        <is>
          <t>2.3b</t>
        </is>
      </c>
      <c r="D446" s="16" t="inlineStr">
        <is>
          <t>ε_HRVG × ε_cond</t>
        </is>
      </c>
      <c r="E446" s="16" t="inlineStr">
        <is>
          <t>KF-M02R</t>
        </is>
      </c>
      <c r="F446" s="16" t="inlineStr">
        <is>
          <t>KF-M02R-n2a</t>
        </is>
      </c>
      <c r="G446" s="16" t="inlineStr">
        <is>
          <t>B04-n2a</t>
        </is>
      </c>
      <c r="H446" s="16" t="inlineStr">
        <is>
          <t>malla</t>
        </is>
      </c>
      <c r="I446" s="16" t="inlineStr">
        <is>
          <t>CORREGIBLE</t>
        </is>
      </c>
      <c r="J446" s="16" t="inlineStr">
        <is>
          <t>CORREGIBLE</t>
        </is>
      </c>
      <c r="K446" s="16" t="b">
        <v>1</v>
      </c>
      <c r="L446" s="16" t="b">
        <v>0</v>
      </c>
      <c r="M446" s="16" t="b">
        <v>1</v>
      </c>
      <c r="N446" s="16" t="b">
        <v>0</v>
      </c>
      <c r="O446" s="16" t="n">
        <v>623.15</v>
      </c>
      <c r="P446" s="16" t="n">
        <v>300.032917</v>
      </c>
      <c r="Q446" s="16" t="n">
        <v>3000</v>
      </c>
      <c r="R446" s="16" t="n">
        <v>400</v>
      </c>
      <c r="S446" s="16" t="n">
        <v>0.5</v>
      </c>
      <c r="T446" s="16" t="n">
        <v>0.85</v>
      </c>
      <c r="U446" s="16" t="n">
        <v>0.75</v>
      </c>
      <c r="V446" s="16" t="n">
        <v>0.4</v>
      </c>
      <c r="W446" s="16" t="n">
        <v>0.75</v>
      </c>
      <c r="X446" s="16" t="n">
        <v>0.8999999999999999</v>
      </c>
      <c r="Y446" s="16" t="n"/>
      <c r="Z446" s="16" t="n">
        <v>13.32992390009096</v>
      </c>
      <c r="AA446" s="16" t="n">
        <v>128.8920613605194</v>
      </c>
      <c r="AB446" s="16" t="n">
        <v>2600</v>
      </c>
      <c r="AC446" s="16" t="n">
        <v>7.5</v>
      </c>
      <c r="AD446" s="16" t="inlineStr">
        <is>
          <t>O2</t>
        </is>
      </c>
      <c r="AE446" s="16" t="n"/>
    </row>
    <row r="447">
      <c r="A447" s="16" t="inlineStr">
        <is>
          <t>KF-M02R-n2a-0011</t>
        </is>
      </c>
      <c r="B447" s="16" t="inlineStr">
        <is>
          <t>2.3</t>
        </is>
      </c>
      <c r="C447" s="16" t="inlineStr">
        <is>
          <t>2.3b</t>
        </is>
      </c>
      <c r="D447" s="16" t="inlineStr">
        <is>
          <t>ε_HRVG × ε_cond</t>
        </is>
      </c>
      <c r="E447" s="16" t="inlineStr">
        <is>
          <t>KF-M02R</t>
        </is>
      </c>
      <c r="F447" s="16" t="inlineStr">
        <is>
          <t>KF-M02R-n2a</t>
        </is>
      </c>
      <c r="G447" s="16" t="inlineStr">
        <is>
          <t>B04-n2a</t>
        </is>
      </c>
      <c r="H447" s="16" t="inlineStr">
        <is>
          <t>malla</t>
        </is>
      </c>
      <c r="I447" s="16" t="inlineStr">
        <is>
          <t>CORREGIBLE</t>
        </is>
      </c>
      <c r="J447" s="16" t="inlineStr">
        <is>
          <t>CORREGIBLE</t>
        </is>
      </c>
      <c r="K447" s="16" t="b">
        <v>1</v>
      </c>
      <c r="L447" s="16" t="b">
        <v>0</v>
      </c>
      <c r="M447" s="16" t="b">
        <v>1</v>
      </c>
      <c r="N447" s="16" t="b">
        <v>0</v>
      </c>
      <c r="O447" s="16" t="n">
        <v>623.15</v>
      </c>
      <c r="P447" s="16" t="n">
        <v>300.032917</v>
      </c>
      <c r="Q447" s="16" t="n">
        <v>3000</v>
      </c>
      <c r="R447" s="16" t="n">
        <v>400</v>
      </c>
      <c r="S447" s="16" t="n">
        <v>0.5</v>
      </c>
      <c r="T447" s="16" t="n">
        <v>0.85</v>
      </c>
      <c r="U447" s="16" t="n">
        <v>0.75</v>
      </c>
      <c r="V447" s="16" t="n">
        <v>0.4</v>
      </c>
      <c r="W447" s="16" t="n">
        <v>0.75</v>
      </c>
      <c r="X447" s="16" t="n">
        <v>0.95</v>
      </c>
      <c r="Y447" s="16" t="n"/>
      <c r="Z447" s="16" t="n">
        <v>13.08065387970183</v>
      </c>
      <c r="AA447" s="16" t="n">
        <v>128.0011975388459</v>
      </c>
      <c r="AB447" s="16" t="n">
        <v>2600</v>
      </c>
      <c r="AC447" s="16" t="n">
        <v>7.5</v>
      </c>
      <c r="AD447" s="16" t="inlineStr">
        <is>
          <t>O2</t>
        </is>
      </c>
      <c r="AE447" s="16" t="n"/>
    </row>
    <row r="448">
      <c r="A448" s="16" t="inlineStr">
        <is>
          <t>KF-M02R-n2a-0012</t>
        </is>
      </c>
      <c r="B448" s="16" t="inlineStr">
        <is>
          <t>2.3</t>
        </is>
      </c>
      <c r="C448" s="16" t="inlineStr">
        <is>
          <t>2.3b</t>
        </is>
      </c>
      <c r="D448" s="16" t="inlineStr">
        <is>
          <t>ε_HRVG × ε_cond</t>
        </is>
      </c>
      <c r="E448" s="16" t="inlineStr">
        <is>
          <t>KF-M02R</t>
        </is>
      </c>
      <c r="F448" s="16" t="inlineStr">
        <is>
          <t>KF-M02R-n2a</t>
        </is>
      </c>
      <c r="G448" s="16" t="inlineStr">
        <is>
          <t>B04-n2a</t>
        </is>
      </c>
      <c r="H448" s="16" t="inlineStr">
        <is>
          <t>malla</t>
        </is>
      </c>
      <c r="I448" s="16" t="inlineStr">
        <is>
          <t>CORREGIBLE</t>
        </is>
      </c>
      <c r="J448" s="16" t="inlineStr">
        <is>
          <t>CORREGIBLE</t>
        </is>
      </c>
      <c r="K448" s="16" t="b">
        <v>1</v>
      </c>
      <c r="L448" s="16" t="b">
        <v>0</v>
      </c>
      <c r="M448" s="16" t="b">
        <v>1</v>
      </c>
      <c r="N448" s="16" t="b">
        <v>0</v>
      </c>
      <c r="O448" s="16" t="n">
        <v>623.15</v>
      </c>
      <c r="P448" s="16" t="n">
        <v>300.032917</v>
      </c>
      <c r="Q448" s="16" t="n">
        <v>3000</v>
      </c>
      <c r="R448" s="16" t="n">
        <v>400</v>
      </c>
      <c r="S448" s="16" t="n">
        <v>0.5</v>
      </c>
      <c r="T448" s="16" t="n">
        <v>0.85</v>
      </c>
      <c r="U448" s="16" t="n">
        <v>0.75</v>
      </c>
      <c r="V448" s="16" t="n">
        <v>0.5</v>
      </c>
      <c r="W448" s="16" t="n">
        <v>0.75</v>
      </c>
      <c r="X448" s="16" t="n">
        <v>0.45</v>
      </c>
      <c r="Y448" s="16" t="n"/>
      <c r="Z448" s="16" t="n">
        <v>5.89576707267563</v>
      </c>
      <c r="AA448" s="16" t="n">
        <v>47.21332187882916</v>
      </c>
      <c r="AB448" s="16" t="n">
        <v>2600</v>
      </c>
      <c r="AC448" s="16" t="n">
        <v>7.5</v>
      </c>
      <c r="AD448" s="16" t="inlineStr">
        <is>
          <t>O2</t>
        </is>
      </c>
      <c r="AE448" s="16" t="n"/>
    </row>
    <row r="449">
      <c r="A449" s="16" t="inlineStr">
        <is>
          <t>KF-M02R-n2a-0013</t>
        </is>
      </c>
      <c r="B449" s="16" t="inlineStr">
        <is>
          <t>2.3</t>
        </is>
      </c>
      <c r="C449" s="16" t="inlineStr">
        <is>
          <t>2.3b</t>
        </is>
      </c>
      <c r="D449" s="16" t="inlineStr">
        <is>
          <t>ε_HRVG × ε_cond</t>
        </is>
      </c>
      <c r="E449" s="16" t="inlineStr">
        <is>
          <t>KF-M02R</t>
        </is>
      </c>
      <c r="F449" s="16" t="inlineStr">
        <is>
          <t>KF-M02R-n2a</t>
        </is>
      </c>
      <c r="G449" s="16" t="inlineStr">
        <is>
          <t>B04-n2a</t>
        </is>
      </c>
      <c r="H449" s="16" t="inlineStr">
        <is>
          <t>malla</t>
        </is>
      </c>
      <c r="I449" s="16" t="inlineStr">
        <is>
          <t>CORREGIBLE</t>
        </is>
      </c>
      <c r="J449" s="16" t="inlineStr">
        <is>
          <t>CORREGIBLE</t>
        </is>
      </c>
      <c r="K449" s="16" t="b">
        <v>1</v>
      </c>
      <c r="L449" s="16" t="b">
        <v>0</v>
      </c>
      <c r="M449" s="16" t="b">
        <v>1</v>
      </c>
      <c r="N449" s="16" t="b">
        <v>0</v>
      </c>
      <c r="O449" s="16" t="n">
        <v>623.15</v>
      </c>
      <c r="P449" s="16" t="n">
        <v>300.032917</v>
      </c>
      <c r="Q449" s="16" t="n">
        <v>3000</v>
      </c>
      <c r="R449" s="16" t="n">
        <v>400</v>
      </c>
      <c r="S449" s="16" t="n">
        <v>0.5</v>
      </c>
      <c r="T449" s="16" t="n">
        <v>0.85</v>
      </c>
      <c r="U449" s="16" t="n">
        <v>0.75</v>
      </c>
      <c r="V449" s="16" t="n">
        <v>0.5</v>
      </c>
      <c r="W449" s="16" t="n">
        <v>0.75</v>
      </c>
      <c r="X449" s="16" t="n">
        <v>0.5</v>
      </c>
      <c r="Y449" s="16" t="n"/>
      <c r="Z449" s="16" t="n">
        <v>7.634313557788889</v>
      </c>
      <c r="AA449" s="16" t="n">
        <v>66.38803027148614</v>
      </c>
      <c r="AB449" s="16" t="n">
        <v>2600</v>
      </c>
      <c r="AC449" s="16" t="n">
        <v>7.5</v>
      </c>
      <c r="AD449" s="16" t="inlineStr">
        <is>
          <t>O2</t>
        </is>
      </c>
      <c r="AE449" s="16" t="n"/>
    </row>
    <row r="450">
      <c r="A450" s="16" t="inlineStr">
        <is>
          <t>KF-M02R-n2a-0014</t>
        </is>
      </c>
      <c r="B450" s="16" t="inlineStr">
        <is>
          <t>2.3</t>
        </is>
      </c>
      <c r="C450" s="16" t="inlineStr">
        <is>
          <t>2.3b</t>
        </is>
      </c>
      <c r="D450" s="16" t="inlineStr">
        <is>
          <t>ε_HRVG × ε_cond</t>
        </is>
      </c>
      <c r="E450" s="16" t="inlineStr">
        <is>
          <t>KF-M02R</t>
        </is>
      </c>
      <c r="F450" s="16" t="inlineStr">
        <is>
          <t>KF-M02R-n2a</t>
        </is>
      </c>
      <c r="G450" s="16" t="inlineStr">
        <is>
          <t>B04-n2a</t>
        </is>
      </c>
      <c r="H450" s="16" t="inlineStr">
        <is>
          <t>malla</t>
        </is>
      </c>
      <c r="I450" s="16" t="inlineStr">
        <is>
          <t>CORREGIBLE</t>
        </is>
      </c>
      <c r="J450" s="16" t="inlineStr">
        <is>
          <t>CORREGIBLE</t>
        </is>
      </c>
      <c r="K450" s="16" t="b">
        <v>1</v>
      </c>
      <c r="L450" s="16" t="b">
        <v>0</v>
      </c>
      <c r="M450" s="16" t="b">
        <v>1</v>
      </c>
      <c r="N450" s="16" t="b">
        <v>0</v>
      </c>
      <c r="O450" s="16" t="n">
        <v>623.15</v>
      </c>
      <c r="P450" s="16" t="n">
        <v>300.032917</v>
      </c>
      <c r="Q450" s="16" t="n">
        <v>3000</v>
      </c>
      <c r="R450" s="16" t="n">
        <v>400</v>
      </c>
      <c r="S450" s="16" t="n">
        <v>0.5</v>
      </c>
      <c r="T450" s="16" t="n">
        <v>0.85</v>
      </c>
      <c r="U450" s="16" t="n">
        <v>0.75</v>
      </c>
      <c r="V450" s="16" t="n">
        <v>0.5</v>
      </c>
      <c r="W450" s="16" t="n">
        <v>0.75</v>
      </c>
      <c r="X450" s="16" t="n">
        <v>0.4</v>
      </c>
      <c r="Y450" s="16" t="n"/>
      <c r="Z450" s="16" t="n">
        <v>3.6552004148864</v>
      </c>
      <c r="AA450" s="16" t="n">
        <v>26.50809925427546</v>
      </c>
      <c r="AB450" s="16" t="n">
        <v>2600</v>
      </c>
      <c r="AC450" s="16" t="n">
        <v>7.5</v>
      </c>
      <c r="AD450" s="16" t="inlineStr">
        <is>
          <t>O2</t>
        </is>
      </c>
      <c r="AE450" s="16" t="n"/>
    </row>
    <row r="451">
      <c r="A451" s="16" t="inlineStr">
        <is>
          <t>KF-M02R-n2a-0015</t>
        </is>
      </c>
      <c r="B451" s="16" t="inlineStr">
        <is>
          <t>2.3</t>
        </is>
      </c>
      <c r="C451" s="16" t="inlineStr">
        <is>
          <t>2.3b</t>
        </is>
      </c>
      <c r="D451" s="16" t="inlineStr">
        <is>
          <t>ε_HRVG × ε_cond</t>
        </is>
      </c>
      <c r="E451" s="16" t="inlineStr">
        <is>
          <t>KF-M02R</t>
        </is>
      </c>
      <c r="F451" s="16" t="inlineStr">
        <is>
          <t>KF-M02R-n2a</t>
        </is>
      </c>
      <c r="G451" s="16" t="inlineStr">
        <is>
          <t>B04-n2a</t>
        </is>
      </c>
      <c r="H451" s="16" t="inlineStr">
        <is>
          <t>malla</t>
        </is>
      </c>
      <c r="I451" s="16" t="inlineStr">
        <is>
          <t>CORREGIBLE</t>
        </is>
      </c>
      <c r="J451" s="16" t="inlineStr">
        <is>
          <t>CORREGIBLE</t>
        </is>
      </c>
      <c r="K451" s="16" t="b">
        <v>1</v>
      </c>
      <c r="L451" s="16" t="b">
        <v>0</v>
      </c>
      <c r="M451" s="16" t="b">
        <v>1</v>
      </c>
      <c r="N451" s="16" t="b">
        <v>0</v>
      </c>
      <c r="O451" s="16" t="n">
        <v>623.15</v>
      </c>
      <c r="P451" s="16" t="n">
        <v>300.032917</v>
      </c>
      <c r="Q451" s="16" t="n">
        <v>3000</v>
      </c>
      <c r="R451" s="16" t="n">
        <v>400</v>
      </c>
      <c r="S451" s="16" t="n">
        <v>0.5</v>
      </c>
      <c r="T451" s="16" t="n">
        <v>0.85</v>
      </c>
      <c r="U451" s="16" t="n">
        <v>0.75</v>
      </c>
      <c r="V451" s="16" t="n">
        <v>0.5</v>
      </c>
      <c r="W451" s="16" t="n">
        <v>0.75</v>
      </c>
      <c r="X451" s="16" t="n">
        <v>0.6</v>
      </c>
      <c r="Y451" s="16" t="n"/>
      <c r="Z451" s="16" t="n">
        <v>10.18887247799777</v>
      </c>
      <c r="AA451" s="16" t="n">
        <v>100.8427748880817</v>
      </c>
      <c r="AB451" s="16" t="n">
        <v>2600</v>
      </c>
      <c r="AC451" s="16" t="n">
        <v>7.5</v>
      </c>
      <c r="AD451" s="16" t="inlineStr">
        <is>
          <t>O2</t>
        </is>
      </c>
      <c r="AE451" s="16" t="n"/>
    </row>
    <row r="452">
      <c r="A452" s="16" t="inlineStr">
        <is>
          <t>KF-M02R-n2a-0016</t>
        </is>
      </c>
      <c r="B452" s="16" t="inlineStr">
        <is>
          <t>2.3</t>
        </is>
      </c>
      <c r="C452" s="16" t="inlineStr">
        <is>
          <t>2.3b</t>
        </is>
      </c>
      <c r="D452" s="16" t="inlineStr">
        <is>
          <t>ε_HRVG × ε_cond</t>
        </is>
      </c>
      <c r="E452" s="16" t="inlineStr">
        <is>
          <t>KF-M02R</t>
        </is>
      </c>
      <c r="F452" s="16" t="inlineStr">
        <is>
          <t>KF-M02R-n2a</t>
        </is>
      </c>
      <c r="G452" s="16" t="inlineStr">
        <is>
          <t>B04-n2a</t>
        </is>
      </c>
      <c r="H452" s="16" t="inlineStr">
        <is>
          <t>malla</t>
        </is>
      </c>
      <c r="I452" s="16" t="inlineStr">
        <is>
          <t>CORREGIBLE</t>
        </is>
      </c>
      <c r="J452" s="16" t="inlineStr">
        <is>
          <t>CORREGIBLE</t>
        </is>
      </c>
      <c r="K452" s="16" t="b">
        <v>1</v>
      </c>
      <c r="L452" s="16" t="b">
        <v>0</v>
      </c>
      <c r="M452" s="16" t="b">
        <v>1</v>
      </c>
      <c r="N452" s="16" t="b">
        <v>0</v>
      </c>
      <c r="O452" s="16" t="n">
        <v>623.15</v>
      </c>
      <c r="P452" s="16" t="n">
        <v>300.032917</v>
      </c>
      <c r="Q452" s="16" t="n">
        <v>3000</v>
      </c>
      <c r="R452" s="16" t="n">
        <v>400</v>
      </c>
      <c r="S452" s="16" t="n">
        <v>0.5</v>
      </c>
      <c r="T452" s="16" t="n">
        <v>0.85</v>
      </c>
      <c r="U452" s="16" t="n">
        <v>0.75</v>
      </c>
      <c r="V452" s="16" t="n">
        <v>0.5</v>
      </c>
      <c r="W452" s="16" t="n">
        <v>0.75</v>
      </c>
      <c r="X452" s="16" t="n">
        <v>0.55</v>
      </c>
      <c r="Y452" s="16" t="n"/>
      <c r="Z452" s="16" t="n">
        <v>9.032724017666769</v>
      </c>
      <c r="AA452" s="16" t="n">
        <v>84.21465065904673</v>
      </c>
      <c r="AB452" s="16" t="n">
        <v>2600</v>
      </c>
      <c r="AC452" s="16" t="n">
        <v>7.5</v>
      </c>
      <c r="AD452" s="16" t="inlineStr">
        <is>
          <t>O2</t>
        </is>
      </c>
      <c r="AE452" s="16" t="n"/>
    </row>
    <row r="453">
      <c r="A453" s="16" t="inlineStr">
        <is>
          <t>KF-M02R-n2a-0017</t>
        </is>
      </c>
      <c r="B453" s="16" t="inlineStr">
        <is>
          <t>2.3</t>
        </is>
      </c>
      <c r="C453" s="16" t="inlineStr">
        <is>
          <t>2.3b</t>
        </is>
      </c>
      <c r="D453" s="16" t="inlineStr">
        <is>
          <t>ε_HRVG × ε_cond</t>
        </is>
      </c>
      <c r="E453" s="16" t="inlineStr">
        <is>
          <t>KF-M02R</t>
        </is>
      </c>
      <c r="F453" s="16" t="inlineStr">
        <is>
          <t>KF-M02R-n2a</t>
        </is>
      </c>
      <c r="G453" s="16" t="inlineStr">
        <is>
          <t>B04-n2a</t>
        </is>
      </c>
      <c r="H453" s="16" t="inlineStr">
        <is>
          <t>malla</t>
        </is>
      </c>
      <c r="I453" s="16" t="inlineStr">
        <is>
          <t>CORREGIBLE</t>
        </is>
      </c>
      <c r="J453" s="16" t="inlineStr">
        <is>
          <t>CORREGIBLE</t>
        </is>
      </c>
      <c r="K453" s="16" t="b">
        <v>1</v>
      </c>
      <c r="L453" s="16" t="b">
        <v>0</v>
      </c>
      <c r="M453" s="16" t="b">
        <v>1</v>
      </c>
      <c r="N453" s="16" t="b">
        <v>0</v>
      </c>
      <c r="O453" s="16" t="n">
        <v>623.15</v>
      </c>
      <c r="P453" s="16" t="n">
        <v>300.032917</v>
      </c>
      <c r="Q453" s="16" t="n">
        <v>3000</v>
      </c>
      <c r="R453" s="16" t="n">
        <v>400</v>
      </c>
      <c r="S453" s="16" t="n">
        <v>0.5</v>
      </c>
      <c r="T453" s="16" t="n">
        <v>0.85</v>
      </c>
      <c r="U453" s="16" t="n">
        <v>0.75</v>
      </c>
      <c r="V453" s="16" t="n">
        <v>0.5</v>
      </c>
      <c r="W453" s="16" t="n">
        <v>0.75</v>
      </c>
      <c r="X453" s="16" t="n">
        <v>0.65</v>
      </c>
      <c r="Y453" s="16" t="n"/>
      <c r="Z453" s="16" t="n">
        <v>11.16475145945314</v>
      </c>
      <c r="AA453" s="16" t="n">
        <v>116.3991624514971</v>
      </c>
      <c r="AB453" s="16" t="n">
        <v>2600</v>
      </c>
      <c r="AC453" s="16" t="n">
        <v>7.5</v>
      </c>
      <c r="AD453" s="16" t="inlineStr">
        <is>
          <t>O2</t>
        </is>
      </c>
      <c r="AE453" s="16" t="n"/>
    </row>
    <row r="454">
      <c r="A454" s="16" t="inlineStr">
        <is>
          <t>KF-M02R-n2a-0018</t>
        </is>
      </c>
      <c r="B454" s="16" t="inlineStr">
        <is>
          <t>2.3</t>
        </is>
      </c>
      <c r="C454" s="16" t="inlineStr">
        <is>
          <t>2.3b</t>
        </is>
      </c>
      <c r="D454" s="16" t="inlineStr">
        <is>
          <t>ε_HRVG × ε_cond</t>
        </is>
      </c>
      <c r="E454" s="16" t="inlineStr">
        <is>
          <t>KF-M02R</t>
        </is>
      </c>
      <c r="F454" s="16" t="inlineStr">
        <is>
          <t>KF-M02R-n2a</t>
        </is>
      </c>
      <c r="G454" s="16" t="inlineStr">
        <is>
          <t>B04-n2a</t>
        </is>
      </c>
      <c r="H454" s="16" t="inlineStr">
        <is>
          <t>malla</t>
        </is>
      </c>
      <c r="I454" s="16" t="inlineStr">
        <is>
          <t>CORREGIBLE</t>
        </is>
      </c>
      <c r="J454" s="16" t="inlineStr">
        <is>
          <t>CORREGIBLE</t>
        </is>
      </c>
      <c r="K454" s="16" t="b">
        <v>1</v>
      </c>
      <c r="L454" s="16" t="b">
        <v>0</v>
      </c>
      <c r="M454" s="16" t="b">
        <v>1</v>
      </c>
      <c r="N454" s="16" t="b">
        <v>0</v>
      </c>
      <c r="O454" s="16" t="n">
        <v>623.15</v>
      </c>
      <c r="P454" s="16" t="n">
        <v>300.032917</v>
      </c>
      <c r="Q454" s="16" t="n">
        <v>3000</v>
      </c>
      <c r="R454" s="16" t="n">
        <v>400</v>
      </c>
      <c r="S454" s="16" t="n">
        <v>0.5</v>
      </c>
      <c r="T454" s="16" t="n">
        <v>0.85</v>
      </c>
      <c r="U454" s="16" t="n">
        <v>0.75</v>
      </c>
      <c r="V454" s="16" t="n">
        <v>0.5</v>
      </c>
      <c r="W454" s="16" t="n">
        <v>0.75</v>
      </c>
      <c r="X454" s="16" t="n">
        <v>0.7</v>
      </c>
      <c r="Y454" s="16" t="n"/>
      <c r="Z454" s="16" t="n">
        <v>12.00193679779533</v>
      </c>
      <c r="AA454" s="16" t="n">
        <v>130.9976465548214</v>
      </c>
      <c r="AB454" s="16" t="n">
        <v>2600</v>
      </c>
      <c r="AC454" s="16" t="n">
        <v>7.5</v>
      </c>
      <c r="AD454" s="16" t="inlineStr">
        <is>
          <t>O2</t>
        </is>
      </c>
      <c r="AE454" s="16" t="n"/>
    </row>
    <row r="455">
      <c r="A455" s="16" t="inlineStr">
        <is>
          <t>KF-M02R-n2a-0019</t>
        </is>
      </c>
      <c r="B455" s="16" t="inlineStr">
        <is>
          <t>2.3</t>
        </is>
      </c>
      <c r="C455" s="16" t="inlineStr">
        <is>
          <t>2.3b</t>
        </is>
      </c>
      <c r="D455" s="16" t="inlineStr">
        <is>
          <t>ε_HRVG × ε_cond</t>
        </is>
      </c>
      <c r="E455" s="16" t="inlineStr">
        <is>
          <t>KF-M02R</t>
        </is>
      </c>
      <c r="F455" s="16" t="inlineStr">
        <is>
          <t>KF-M02R-n2a</t>
        </is>
      </c>
      <c r="G455" s="16" t="inlineStr">
        <is>
          <t>B04-n2a</t>
        </is>
      </c>
      <c r="H455" s="16" t="inlineStr">
        <is>
          <t>malla</t>
        </is>
      </c>
      <c r="I455" s="16" t="inlineStr">
        <is>
          <t>CORREGIBLE</t>
        </is>
      </c>
      <c r="J455" s="16" t="inlineStr">
        <is>
          <t>CORREGIBLE</t>
        </is>
      </c>
      <c r="K455" s="16" t="b">
        <v>1</v>
      </c>
      <c r="L455" s="16" t="b">
        <v>0</v>
      </c>
      <c r="M455" s="16" t="b">
        <v>1</v>
      </c>
      <c r="N455" s="16" t="b">
        <v>0</v>
      </c>
      <c r="O455" s="16" t="n">
        <v>623.15</v>
      </c>
      <c r="P455" s="16" t="n">
        <v>300.032917</v>
      </c>
      <c r="Q455" s="16" t="n">
        <v>3000</v>
      </c>
      <c r="R455" s="16" t="n">
        <v>400</v>
      </c>
      <c r="S455" s="16" t="n">
        <v>0.5</v>
      </c>
      <c r="T455" s="16" t="n">
        <v>0.85</v>
      </c>
      <c r="U455" s="16" t="n">
        <v>0.75</v>
      </c>
      <c r="V455" s="16" t="n">
        <v>0.5</v>
      </c>
      <c r="W455" s="16" t="n">
        <v>0.75</v>
      </c>
      <c r="X455" s="16" t="n">
        <v>0.75</v>
      </c>
      <c r="Y455" s="16" t="n"/>
      <c r="Z455" s="16" t="n">
        <v>12.7829292505345</v>
      </c>
      <c r="AA455" s="16" t="n">
        <v>144.8837478266545</v>
      </c>
      <c r="AB455" s="16" t="n">
        <v>2600</v>
      </c>
      <c r="AC455" s="16" t="n">
        <v>7.5</v>
      </c>
      <c r="AD455" s="16" t="inlineStr">
        <is>
          <t>O2</t>
        </is>
      </c>
      <c r="AE455" s="16" t="n"/>
    </row>
    <row r="456">
      <c r="A456" s="16" t="inlineStr">
        <is>
          <t>KF-M02R-n2a-0020</t>
        </is>
      </c>
      <c r="B456" s="16" t="inlineStr">
        <is>
          <t>2.3</t>
        </is>
      </c>
      <c r="C456" s="16" t="inlineStr">
        <is>
          <t>2.3b</t>
        </is>
      </c>
      <c r="D456" s="16" t="inlineStr">
        <is>
          <t>ε_HRVG × ε_cond</t>
        </is>
      </c>
      <c r="E456" s="16" t="inlineStr">
        <is>
          <t>KF-M02R</t>
        </is>
      </c>
      <c r="F456" s="16" t="inlineStr">
        <is>
          <t>KF-M02R-n2a</t>
        </is>
      </c>
      <c r="G456" s="16" t="inlineStr">
        <is>
          <t>B04-n2a</t>
        </is>
      </c>
      <c r="H456" s="16" t="inlineStr">
        <is>
          <t>malla</t>
        </is>
      </c>
      <c r="I456" s="16" t="inlineStr">
        <is>
          <t>NO_CONVERGIO</t>
        </is>
      </c>
      <c r="J456" s="16" t="inlineStr">
        <is>
          <t>NO_CONVERGIO</t>
        </is>
      </c>
      <c r="K456" s="16" t="b">
        <v>0</v>
      </c>
      <c r="L456" s="16" t="b">
        <v>0</v>
      </c>
      <c r="M456" s="16" t="b">
        <v>0</v>
      </c>
      <c r="N456" s="16" t="b">
        <v>0</v>
      </c>
      <c r="O456" s="16" t="n">
        <v>623.15</v>
      </c>
      <c r="P456" s="16" t="n">
        <v>300.032917</v>
      </c>
      <c r="Q456" s="16" t="n">
        <v>3000</v>
      </c>
      <c r="R456" s="16" t="n">
        <v>400</v>
      </c>
      <c r="S456" s="16" t="n">
        <v>0.5</v>
      </c>
      <c r="T456" s="16" t="n">
        <v>0.85</v>
      </c>
      <c r="U456" s="16" t="n">
        <v>0.75</v>
      </c>
      <c r="V456" s="16" t="n">
        <v>0.5</v>
      </c>
      <c r="W456" s="16" t="n">
        <v>0.75</v>
      </c>
      <c r="X456" s="16" t="n">
        <v>0.8</v>
      </c>
      <c r="Y456" s="16" t="n"/>
      <c r="Z456" s="16" t="n"/>
      <c r="AA456" s="16" t="n"/>
      <c r="AB456" s="16" t="n">
        <v>2600</v>
      </c>
      <c r="AC456" s="16" t="n">
        <v>7.5</v>
      </c>
      <c r="AD456" s="16" t="n"/>
      <c r="AE456" s="16" t="n"/>
    </row>
    <row r="457">
      <c r="A457" s="16" t="inlineStr">
        <is>
          <t>KF-M02R-n2a-0021</t>
        </is>
      </c>
      <c r="B457" s="16" t="inlineStr">
        <is>
          <t>2.3</t>
        </is>
      </c>
      <c r="C457" s="16" t="inlineStr">
        <is>
          <t>2.3b</t>
        </is>
      </c>
      <c r="D457" s="16" t="inlineStr">
        <is>
          <t>ε_HRVG × ε_cond</t>
        </is>
      </c>
      <c r="E457" s="16" t="inlineStr">
        <is>
          <t>KF-M02R</t>
        </is>
      </c>
      <c r="F457" s="16" t="inlineStr">
        <is>
          <t>KF-M02R-n2a</t>
        </is>
      </c>
      <c r="G457" s="16" t="inlineStr">
        <is>
          <t>B04-n2a</t>
        </is>
      </c>
      <c r="H457" s="16" t="inlineStr">
        <is>
          <t>malla</t>
        </is>
      </c>
      <c r="I457" s="16" t="inlineStr">
        <is>
          <t>CORREGIBLE</t>
        </is>
      </c>
      <c r="J457" s="16" t="inlineStr">
        <is>
          <t>CORREGIBLE</t>
        </is>
      </c>
      <c r="K457" s="16" t="b">
        <v>1</v>
      </c>
      <c r="L457" s="16" t="b">
        <v>0</v>
      </c>
      <c r="M457" s="16" t="b">
        <v>1</v>
      </c>
      <c r="N457" s="16" t="b">
        <v>0</v>
      </c>
      <c r="O457" s="16" t="n">
        <v>623.15</v>
      </c>
      <c r="P457" s="16" t="n">
        <v>300.032917</v>
      </c>
      <c r="Q457" s="16" t="n">
        <v>3000</v>
      </c>
      <c r="R457" s="16" t="n">
        <v>400</v>
      </c>
      <c r="S457" s="16" t="n">
        <v>0.5</v>
      </c>
      <c r="T457" s="16" t="n">
        <v>0.85</v>
      </c>
      <c r="U457" s="16" t="n">
        <v>0.75</v>
      </c>
      <c r="V457" s="16" t="n">
        <v>0.5</v>
      </c>
      <c r="W457" s="16" t="n">
        <v>0.75</v>
      </c>
      <c r="X457" s="16" t="n">
        <v>0.85</v>
      </c>
      <c r="Y457" s="16" t="n"/>
      <c r="Z457" s="16" t="n">
        <v>13.51753374845229</v>
      </c>
      <c r="AA457" s="16" t="n">
        <v>161.3028785089412</v>
      </c>
      <c r="AB457" s="16" t="n">
        <v>2600</v>
      </c>
      <c r="AC457" s="16" t="n">
        <v>7.5</v>
      </c>
      <c r="AD457" s="16" t="inlineStr">
        <is>
          <t>O2</t>
        </is>
      </c>
      <c r="AE457" s="16" t="n"/>
    </row>
    <row r="458">
      <c r="A458" s="16" t="inlineStr">
        <is>
          <t>KF-M02R-n2a-0022</t>
        </is>
      </c>
      <c r="B458" s="16" t="inlineStr">
        <is>
          <t>2.3</t>
        </is>
      </c>
      <c r="C458" s="16" t="inlineStr">
        <is>
          <t>2.3b</t>
        </is>
      </c>
      <c r="D458" s="16" t="inlineStr">
        <is>
          <t>ε_HRVG × ε_cond</t>
        </is>
      </c>
      <c r="E458" s="16" t="inlineStr">
        <is>
          <t>KF-M02R</t>
        </is>
      </c>
      <c r="F458" s="16" t="inlineStr">
        <is>
          <t>KF-M02R-n2a</t>
        </is>
      </c>
      <c r="G458" s="16" t="inlineStr">
        <is>
          <t>B04-n2a</t>
        </is>
      </c>
      <c r="H458" s="16" t="inlineStr">
        <is>
          <t>malla</t>
        </is>
      </c>
      <c r="I458" s="16" t="inlineStr">
        <is>
          <t>CORREGIBLE</t>
        </is>
      </c>
      <c r="J458" s="16" t="inlineStr">
        <is>
          <t>CORREGIBLE</t>
        </is>
      </c>
      <c r="K458" s="16" t="b">
        <v>1</v>
      </c>
      <c r="L458" s="16" t="b">
        <v>0</v>
      </c>
      <c r="M458" s="16" t="b">
        <v>1</v>
      </c>
      <c r="N458" s="16" t="b">
        <v>0</v>
      </c>
      <c r="O458" s="16" t="n">
        <v>623.15</v>
      </c>
      <c r="P458" s="16" t="n">
        <v>300.032917</v>
      </c>
      <c r="Q458" s="16" t="n">
        <v>3000</v>
      </c>
      <c r="R458" s="16" t="n">
        <v>400</v>
      </c>
      <c r="S458" s="16" t="n">
        <v>0.5</v>
      </c>
      <c r="T458" s="16" t="n">
        <v>0.85</v>
      </c>
      <c r="U458" s="16" t="n">
        <v>0.75</v>
      </c>
      <c r="V458" s="16" t="n">
        <v>0.5</v>
      </c>
      <c r="W458" s="16" t="n">
        <v>0.75</v>
      </c>
      <c r="X458" s="16" t="n">
        <v>0.8999999999999999</v>
      </c>
      <c r="Y458" s="16" t="n"/>
      <c r="Z458" s="16" t="n">
        <v>13.47134770416277</v>
      </c>
      <c r="AA458" s="16" t="n">
        <v>163.9486531534034</v>
      </c>
      <c r="AB458" s="16" t="n">
        <v>2600</v>
      </c>
      <c r="AC458" s="16" t="n">
        <v>7.5</v>
      </c>
      <c r="AD458" s="16" t="inlineStr">
        <is>
          <t>O2</t>
        </is>
      </c>
      <c r="AE458" s="16" t="n"/>
    </row>
    <row r="459">
      <c r="A459" s="16" t="inlineStr">
        <is>
          <t>KF-M02R-n2a-0023</t>
        </is>
      </c>
      <c r="B459" s="16" t="inlineStr">
        <is>
          <t>2.3</t>
        </is>
      </c>
      <c r="C459" s="16" t="inlineStr">
        <is>
          <t>2.3b</t>
        </is>
      </c>
      <c r="D459" s="16" t="inlineStr">
        <is>
          <t>ε_HRVG × ε_cond</t>
        </is>
      </c>
      <c r="E459" s="16" t="inlineStr">
        <is>
          <t>KF-M02R</t>
        </is>
      </c>
      <c r="F459" s="16" t="inlineStr">
        <is>
          <t>KF-M02R-n2a</t>
        </is>
      </c>
      <c r="G459" s="16" t="inlineStr">
        <is>
          <t>B04-n2a</t>
        </is>
      </c>
      <c r="H459" s="16" t="inlineStr">
        <is>
          <t>malla</t>
        </is>
      </c>
      <c r="I459" s="16" t="inlineStr">
        <is>
          <t>CORREGIBLE</t>
        </is>
      </c>
      <c r="J459" s="16" t="inlineStr">
        <is>
          <t>CORREGIBLE</t>
        </is>
      </c>
      <c r="K459" s="16" t="b">
        <v>1</v>
      </c>
      <c r="L459" s="16" t="b">
        <v>0</v>
      </c>
      <c r="M459" s="16" t="b">
        <v>1</v>
      </c>
      <c r="N459" s="16" t="b">
        <v>0</v>
      </c>
      <c r="O459" s="16" t="n">
        <v>623.15</v>
      </c>
      <c r="P459" s="16" t="n">
        <v>300.032917</v>
      </c>
      <c r="Q459" s="16" t="n">
        <v>3000</v>
      </c>
      <c r="R459" s="16" t="n">
        <v>400</v>
      </c>
      <c r="S459" s="16" t="n">
        <v>0.5</v>
      </c>
      <c r="T459" s="16" t="n">
        <v>0.85</v>
      </c>
      <c r="U459" s="16" t="n">
        <v>0.75</v>
      </c>
      <c r="V459" s="16" t="n">
        <v>0.5</v>
      </c>
      <c r="W459" s="16" t="n">
        <v>0.75</v>
      </c>
      <c r="X459" s="16" t="n">
        <v>0.95</v>
      </c>
      <c r="Y459" s="16" t="n"/>
      <c r="Z459" s="16" t="n">
        <v>13.23268893058398</v>
      </c>
      <c r="AA459" s="16" t="n">
        <v>163.7781859789521</v>
      </c>
      <c r="AB459" s="16" t="n">
        <v>2600</v>
      </c>
      <c r="AC459" s="16" t="n">
        <v>7.5</v>
      </c>
      <c r="AD459" s="16" t="inlineStr">
        <is>
          <t>O2</t>
        </is>
      </c>
      <c r="AE459" s="16" t="n"/>
    </row>
    <row r="460">
      <c r="A460" s="16" t="inlineStr">
        <is>
          <t>KF-M02R-n2a-0024</t>
        </is>
      </c>
      <c r="B460" s="16" t="inlineStr">
        <is>
          <t>2.3</t>
        </is>
      </c>
      <c r="C460" s="16" t="inlineStr">
        <is>
          <t>2.3b</t>
        </is>
      </c>
      <c r="D460" s="16" t="inlineStr">
        <is>
          <t>ε_HRVG × ε_cond</t>
        </is>
      </c>
      <c r="E460" s="16" t="inlineStr">
        <is>
          <t>KF-M02R</t>
        </is>
      </c>
      <c r="F460" s="16" t="inlineStr">
        <is>
          <t>KF-M02R-n2a</t>
        </is>
      </c>
      <c r="G460" s="16" t="inlineStr">
        <is>
          <t>B04-n2a</t>
        </is>
      </c>
      <c r="H460" s="16" t="inlineStr">
        <is>
          <t>malla</t>
        </is>
      </c>
      <c r="I460" s="16" t="inlineStr">
        <is>
          <t>CORREGIBLE</t>
        </is>
      </c>
      <c r="J460" s="16" t="inlineStr">
        <is>
          <t>CORREGIBLE</t>
        </is>
      </c>
      <c r="K460" s="16" t="b">
        <v>1</v>
      </c>
      <c r="L460" s="16" t="b">
        <v>0</v>
      </c>
      <c r="M460" s="16" t="b">
        <v>1</v>
      </c>
      <c r="N460" s="16" t="b">
        <v>0</v>
      </c>
      <c r="O460" s="16" t="n">
        <v>623.15</v>
      </c>
      <c r="P460" s="16" t="n">
        <v>300.032917</v>
      </c>
      <c r="Q460" s="16" t="n">
        <v>3000</v>
      </c>
      <c r="R460" s="16" t="n">
        <v>400</v>
      </c>
      <c r="S460" s="16" t="n">
        <v>0.5</v>
      </c>
      <c r="T460" s="16" t="n">
        <v>0.85</v>
      </c>
      <c r="U460" s="16" t="n">
        <v>0.75</v>
      </c>
      <c r="V460" s="16" t="n">
        <v>0.6</v>
      </c>
      <c r="W460" s="16" t="n">
        <v>0.75</v>
      </c>
      <c r="X460" s="16" t="n">
        <v>0.4</v>
      </c>
      <c r="Y460" s="16" t="n"/>
      <c r="Z460" s="16" t="n">
        <v>3.87839767518243</v>
      </c>
      <c r="AA460" s="16" t="n">
        <v>30.96268708873095</v>
      </c>
      <c r="AB460" s="16" t="n">
        <v>2600</v>
      </c>
      <c r="AC460" s="16" t="n">
        <v>7.5</v>
      </c>
      <c r="AD460" s="16" t="inlineStr">
        <is>
          <t>O1,O2</t>
        </is>
      </c>
      <c r="AE460" s="16" t="n"/>
    </row>
    <row r="461">
      <c r="A461" s="16" t="inlineStr">
        <is>
          <t>KF-M02R-n2a-0025</t>
        </is>
      </c>
      <c r="B461" s="16" t="inlineStr">
        <is>
          <t>2.3</t>
        </is>
      </c>
      <c r="C461" s="16" t="inlineStr">
        <is>
          <t>2.3b</t>
        </is>
      </c>
      <c r="D461" s="16" t="inlineStr">
        <is>
          <t>ε_HRVG × ε_cond</t>
        </is>
      </c>
      <c r="E461" s="16" t="inlineStr">
        <is>
          <t>KF-M02R</t>
        </is>
      </c>
      <c r="F461" s="16" t="inlineStr">
        <is>
          <t>KF-M02R-n2a</t>
        </is>
      </c>
      <c r="G461" s="16" t="inlineStr">
        <is>
          <t>B04-n2a</t>
        </is>
      </c>
      <c r="H461" s="16" t="inlineStr">
        <is>
          <t>malla</t>
        </is>
      </c>
      <c r="I461" s="16" t="inlineStr">
        <is>
          <t>CORREGIBLE</t>
        </is>
      </c>
      <c r="J461" s="16" t="inlineStr">
        <is>
          <t>CORREGIBLE</t>
        </is>
      </c>
      <c r="K461" s="16" t="b">
        <v>1</v>
      </c>
      <c r="L461" s="16" t="b">
        <v>0</v>
      </c>
      <c r="M461" s="16" t="b">
        <v>1</v>
      </c>
      <c r="N461" s="16" t="b">
        <v>0</v>
      </c>
      <c r="O461" s="16" t="n">
        <v>623.15</v>
      </c>
      <c r="P461" s="16" t="n">
        <v>300.032917</v>
      </c>
      <c r="Q461" s="16" t="n">
        <v>3000</v>
      </c>
      <c r="R461" s="16" t="n">
        <v>400</v>
      </c>
      <c r="S461" s="16" t="n">
        <v>0.5</v>
      </c>
      <c r="T461" s="16" t="n">
        <v>0.85</v>
      </c>
      <c r="U461" s="16" t="n">
        <v>0.75</v>
      </c>
      <c r="V461" s="16" t="n">
        <v>0.6</v>
      </c>
      <c r="W461" s="16" t="n">
        <v>0.75</v>
      </c>
      <c r="X461" s="16" t="n">
        <v>0.45</v>
      </c>
      <c r="Y461" s="16" t="n"/>
      <c r="Z461" s="16" t="n">
        <v>6.07210653511889</v>
      </c>
      <c r="AA461" s="16" t="n">
        <v>54.14458248656462</v>
      </c>
      <c r="AB461" s="16" t="n">
        <v>2600</v>
      </c>
      <c r="AC461" s="16" t="n">
        <v>7.5</v>
      </c>
      <c r="AD461" s="16" t="inlineStr">
        <is>
          <t>O2</t>
        </is>
      </c>
      <c r="AE461" s="16" t="n"/>
    </row>
    <row r="462">
      <c r="A462" s="16" t="inlineStr">
        <is>
          <t>KF-M02R-n2a-0026</t>
        </is>
      </c>
      <c r="B462" s="16" t="inlineStr">
        <is>
          <t>2.3</t>
        </is>
      </c>
      <c r="C462" s="16" t="inlineStr">
        <is>
          <t>2.3b</t>
        </is>
      </c>
      <c r="D462" s="16" t="inlineStr">
        <is>
          <t>ε_HRVG × ε_cond</t>
        </is>
      </c>
      <c r="E462" s="16" t="inlineStr">
        <is>
          <t>KF-M02R</t>
        </is>
      </c>
      <c r="F462" s="16" t="inlineStr">
        <is>
          <t>KF-M02R-n2a</t>
        </is>
      </c>
      <c r="G462" s="16" t="inlineStr">
        <is>
          <t>B04-n2a</t>
        </is>
      </c>
      <c r="H462" s="16" t="inlineStr">
        <is>
          <t>malla</t>
        </is>
      </c>
      <c r="I462" s="16" t="inlineStr">
        <is>
          <t>CORREGIBLE</t>
        </is>
      </c>
      <c r="J462" s="16" t="inlineStr">
        <is>
          <t>CORREGIBLE</t>
        </is>
      </c>
      <c r="K462" s="16" t="b">
        <v>1</v>
      </c>
      <c r="L462" s="16" t="b">
        <v>0</v>
      </c>
      <c r="M462" s="16" t="b">
        <v>1</v>
      </c>
      <c r="N462" s="16" t="b">
        <v>0</v>
      </c>
      <c r="O462" s="16" t="n">
        <v>623.15</v>
      </c>
      <c r="P462" s="16" t="n">
        <v>300.032917</v>
      </c>
      <c r="Q462" s="16" t="n">
        <v>3000</v>
      </c>
      <c r="R462" s="16" t="n">
        <v>400</v>
      </c>
      <c r="S462" s="16" t="n">
        <v>0.5</v>
      </c>
      <c r="T462" s="16" t="n">
        <v>0.85</v>
      </c>
      <c r="U462" s="16" t="n">
        <v>0.75</v>
      </c>
      <c r="V462" s="16" t="n">
        <v>0.6</v>
      </c>
      <c r="W462" s="16" t="n">
        <v>0.75</v>
      </c>
      <c r="X462" s="16" t="n">
        <v>0.5</v>
      </c>
      <c r="Y462" s="16" t="n"/>
      <c r="Z462" s="16" t="n">
        <v>7.757536543281569</v>
      </c>
      <c r="AA462" s="16" t="n">
        <v>75.93723447482347</v>
      </c>
      <c r="AB462" s="16" t="n">
        <v>2600</v>
      </c>
      <c r="AC462" s="16" t="n">
        <v>7.5</v>
      </c>
      <c r="AD462" s="16" t="inlineStr">
        <is>
          <t>O2</t>
        </is>
      </c>
      <c r="AE462" s="16" t="n"/>
    </row>
    <row r="463">
      <c r="A463" s="16" t="inlineStr">
        <is>
          <t>KF-M02R-n2a-0027</t>
        </is>
      </c>
      <c r="B463" s="16" t="inlineStr">
        <is>
          <t>2.3</t>
        </is>
      </c>
      <c r="C463" s="16" t="inlineStr">
        <is>
          <t>2.3b</t>
        </is>
      </c>
      <c r="D463" s="16" t="inlineStr">
        <is>
          <t>ε_HRVG × ε_cond</t>
        </is>
      </c>
      <c r="E463" s="16" t="inlineStr">
        <is>
          <t>KF-M02R</t>
        </is>
      </c>
      <c r="F463" s="16" t="inlineStr">
        <is>
          <t>KF-M02R-n2a</t>
        </is>
      </c>
      <c r="G463" s="16" t="inlineStr">
        <is>
          <t>B04-n2a</t>
        </is>
      </c>
      <c r="H463" s="16" t="inlineStr">
        <is>
          <t>malla</t>
        </is>
      </c>
      <c r="I463" s="16" t="inlineStr">
        <is>
          <t>CORREGIBLE</t>
        </is>
      </c>
      <c r="J463" s="16" t="inlineStr">
        <is>
          <t>CORREGIBLE</t>
        </is>
      </c>
      <c r="K463" s="16" t="b">
        <v>1</v>
      </c>
      <c r="L463" s="16" t="b">
        <v>0</v>
      </c>
      <c r="M463" s="16" t="b">
        <v>1</v>
      </c>
      <c r="N463" s="16" t="b">
        <v>0</v>
      </c>
      <c r="O463" s="16" t="n">
        <v>623.15</v>
      </c>
      <c r="P463" s="16" t="n">
        <v>300.032917</v>
      </c>
      <c r="Q463" s="16" t="n">
        <v>3000</v>
      </c>
      <c r="R463" s="16" t="n">
        <v>400</v>
      </c>
      <c r="S463" s="16" t="n">
        <v>0.5</v>
      </c>
      <c r="T463" s="16" t="n">
        <v>0.85</v>
      </c>
      <c r="U463" s="16" t="n">
        <v>0.75</v>
      </c>
      <c r="V463" s="16" t="n">
        <v>0.6</v>
      </c>
      <c r="W463" s="16" t="n">
        <v>0.75</v>
      </c>
      <c r="X463" s="16" t="n">
        <v>0.55</v>
      </c>
      <c r="Y463" s="16" t="n"/>
      <c r="Z463" s="16" t="n">
        <v>9.10016213522751</v>
      </c>
      <c r="AA463" s="16" t="n">
        <v>96.485661637056</v>
      </c>
      <c r="AB463" s="16" t="n">
        <v>2600</v>
      </c>
      <c r="AC463" s="16" t="n">
        <v>7.5</v>
      </c>
      <c r="AD463" s="16" t="inlineStr">
        <is>
          <t>O2</t>
        </is>
      </c>
      <c r="AE463" s="16" t="n"/>
    </row>
    <row r="464">
      <c r="A464" s="16" t="inlineStr">
        <is>
          <t>KF-M02R-n2a-0028</t>
        </is>
      </c>
      <c r="B464" s="16" t="inlineStr">
        <is>
          <t>2.3</t>
        </is>
      </c>
      <c r="C464" s="16" t="inlineStr">
        <is>
          <t>2.3b</t>
        </is>
      </c>
      <c r="D464" s="16" t="inlineStr">
        <is>
          <t>ε_HRVG × ε_cond</t>
        </is>
      </c>
      <c r="E464" s="16" t="inlineStr">
        <is>
          <t>KF-M02R</t>
        </is>
      </c>
      <c r="F464" s="16" t="inlineStr">
        <is>
          <t>KF-M02R-n2a</t>
        </is>
      </c>
      <c r="G464" s="16" t="inlineStr">
        <is>
          <t>B04-n2a</t>
        </is>
      </c>
      <c r="H464" s="16" t="inlineStr">
        <is>
          <t>malla</t>
        </is>
      </c>
      <c r="I464" s="16" t="inlineStr">
        <is>
          <t>CORREGIBLE</t>
        </is>
      </c>
      <c r="J464" s="16" t="inlineStr">
        <is>
          <t>CORREGIBLE</t>
        </is>
      </c>
      <c r="K464" s="16" t="b">
        <v>1</v>
      </c>
      <c r="L464" s="16" t="b">
        <v>0</v>
      </c>
      <c r="M464" s="16" t="b">
        <v>1</v>
      </c>
      <c r="N464" s="16" t="b">
        <v>0</v>
      </c>
      <c r="O464" s="16" t="n">
        <v>623.15</v>
      </c>
      <c r="P464" s="16" t="n">
        <v>300.032917</v>
      </c>
      <c r="Q464" s="16" t="n">
        <v>3000</v>
      </c>
      <c r="R464" s="16" t="n">
        <v>400</v>
      </c>
      <c r="S464" s="16" t="n">
        <v>0.5</v>
      </c>
      <c r="T464" s="16" t="n">
        <v>0.85</v>
      </c>
      <c r="U464" s="16" t="n">
        <v>0.75</v>
      </c>
      <c r="V464" s="16" t="n">
        <v>0.6</v>
      </c>
      <c r="W464" s="16" t="n">
        <v>0.75</v>
      </c>
      <c r="X464" s="16" t="n">
        <v>0.6</v>
      </c>
      <c r="Y464" s="16" t="n"/>
      <c r="Z464" s="16" t="n">
        <v>10.20264412832031</v>
      </c>
      <c r="AA464" s="16" t="n">
        <v>115.9280167278564</v>
      </c>
      <c r="AB464" s="16" t="n">
        <v>2600</v>
      </c>
      <c r="AC464" s="16" t="n">
        <v>7.5</v>
      </c>
      <c r="AD464" s="16" t="inlineStr">
        <is>
          <t>O2</t>
        </is>
      </c>
      <c r="AE464" s="16" t="n"/>
    </row>
    <row r="465">
      <c r="A465" s="16" t="inlineStr">
        <is>
          <t>KF-M02R-n2a-0029</t>
        </is>
      </c>
      <c r="B465" s="16" t="inlineStr">
        <is>
          <t>2.3</t>
        </is>
      </c>
      <c r="C465" s="16" t="inlineStr">
        <is>
          <t>2.3b</t>
        </is>
      </c>
      <c r="D465" s="16" t="inlineStr">
        <is>
          <t>ε_HRVG × ε_cond</t>
        </is>
      </c>
      <c r="E465" s="16" t="inlineStr">
        <is>
          <t>KF-M02R</t>
        </is>
      </c>
      <c r="F465" s="16" t="inlineStr">
        <is>
          <t>KF-M02R-n2a</t>
        </is>
      </c>
      <c r="G465" s="16" t="inlineStr">
        <is>
          <t>B04-n2a</t>
        </is>
      </c>
      <c r="H465" s="16" t="inlineStr">
        <is>
          <t>malla</t>
        </is>
      </c>
      <c r="I465" s="16" t="inlineStr">
        <is>
          <t>CORREGIBLE</t>
        </is>
      </c>
      <c r="J465" s="16" t="inlineStr">
        <is>
          <t>CORREGIBLE</t>
        </is>
      </c>
      <c r="K465" s="16" t="b">
        <v>1</v>
      </c>
      <c r="L465" s="16" t="b">
        <v>0</v>
      </c>
      <c r="M465" s="16" t="b">
        <v>1</v>
      </c>
      <c r="N465" s="16" t="b">
        <v>0</v>
      </c>
      <c r="O465" s="16" t="n">
        <v>623.15</v>
      </c>
      <c r="P465" s="16" t="n">
        <v>300.032917</v>
      </c>
      <c r="Q465" s="16" t="n">
        <v>3000</v>
      </c>
      <c r="R465" s="16" t="n">
        <v>400</v>
      </c>
      <c r="S465" s="16" t="n">
        <v>0.5</v>
      </c>
      <c r="T465" s="16" t="n">
        <v>0.85</v>
      </c>
      <c r="U465" s="16" t="n">
        <v>0.75</v>
      </c>
      <c r="V465" s="16" t="n">
        <v>0.6</v>
      </c>
      <c r="W465" s="16" t="n">
        <v>0.75</v>
      </c>
      <c r="X465" s="16" t="n">
        <v>0.65</v>
      </c>
      <c r="Y465" s="16" t="n"/>
      <c r="Z465" s="16" t="n">
        <v>11.13089724299766</v>
      </c>
      <c r="AA465" s="16" t="n">
        <v>134.3897115435192</v>
      </c>
      <c r="AB465" s="16" t="n">
        <v>2600</v>
      </c>
      <c r="AC465" s="16" t="n">
        <v>7.5</v>
      </c>
      <c r="AD465" s="16" t="inlineStr">
        <is>
          <t>O2</t>
        </is>
      </c>
      <c r="AE465" s="16" t="n"/>
    </row>
    <row r="466">
      <c r="A466" s="16" t="inlineStr">
        <is>
          <t>KF-M02R-n2a-0030</t>
        </is>
      </c>
      <c r="B466" s="16" t="inlineStr">
        <is>
          <t>2.3</t>
        </is>
      </c>
      <c r="C466" s="16" t="inlineStr">
        <is>
          <t>2.3b</t>
        </is>
      </c>
      <c r="D466" s="16" t="inlineStr">
        <is>
          <t>ε_HRVG × ε_cond</t>
        </is>
      </c>
      <c r="E466" s="16" t="inlineStr">
        <is>
          <t>KF-M02R</t>
        </is>
      </c>
      <c r="F466" s="16" t="inlineStr">
        <is>
          <t>KF-M02R-n2a</t>
        </is>
      </c>
      <c r="G466" s="16" t="inlineStr">
        <is>
          <t>B04-n2a</t>
        </is>
      </c>
      <c r="H466" s="16" t="inlineStr">
        <is>
          <t>malla</t>
        </is>
      </c>
      <c r="I466" s="16" t="inlineStr">
        <is>
          <t>CORREGIBLE</t>
        </is>
      </c>
      <c r="J466" s="16" t="inlineStr">
        <is>
          <t>CORREGIBLE</t>
        </is>
      </c>
      <c r="K466" s="16" t="b">
        <v>1</v>
      </c>
      <c r="L466" s="16" t="b">
        <v>0</v>
      </c>
      <c r="M466" s="16" t="b">
        <v>1</v>
      </c>
      <c r="N466" s="16" t="b">
        <v>0</v>
      </c>
      <c r="O466" s="16" t="n">
        <v>623.15</v>
      </c>
      <c r="P466" s="16" t="n">
        <v>300.032917</v>
      </c>
      <c r="Q466" s="16" t="n">
        <v>3000</v>
      </c>
      <c r="R466" s="16" t="n">
        <v>400</v>
      </c>
      <c r="S466" s="16" t="n">
        <v>0.5</v>
      </c>
      <c r="T466" s="16" t="n">
        <v>0.85</v>
      </c>
      <c r="U466" s="16" t="n">
        <v>0.75</v>
      </c>
      <c r="V466" s="16" t="n">
        <v>0.6</v>
      </c>
      <c r="W466" s="16" t="n">
        <v>0.75</v>
      </c>
      <c r="X466" s="16" t="n">
        <v>0.7</v>
      </c>
      <c r="Y466" s="16" t="n"/>
      <c r="Z466" s="16" t="n">
        <v>11.92841523401774</v>
      </c>
      <c r="AA466" s="16" t="n">
        <v>151.9815806902649</v>
      </c>
      <c r="AB466" s="16" t="n">
        <v>2600</v>
      </c>
      <c r="AC466" s="16" t="n">
        <v>7.5</v>
      </c>
      <c r="AD466" s="16" t="inlineStr">
        <is>
          <t>O2</t>
        </is>
      </c>
      <c r="AE466" s="16" t="n"/>
    </row>
    <row r="467">
      <c r="A467" s="16" t="inlineStr">
        <is>
          <t>KF-M02R-n2a-0031</t>
        </is>
      </c>
      <c r="B467" s="16" t="inlineStr">
        <is>
          <t>2.3</t>
        </is>
      </c>
      <c r="C467" s="16" t="inlineStr">
        <is>
          <t>2.3b</t>
        </is>
      </c>
      <c r="D467" s="16" t="inlineStr">
        <is>
          <t>ε_HRVG × ε_cond</t>
        </is>
      </c>
      <c r="E467" s="16" t="inlineStr">
        <is>
          <t>KF-M02R</t>
        </is>
      </c>
      <c r="F467" s="16" t="inlineStr">
        <is>
          <t>KF-M02R-n2a</t>
        </is>
      </c>
      <c r="G467" s="16" t="inlineStr">
        <is>
          <t>B04-n2a</t>
        </is>
      </c>
      <c r="H467" s="16" t="inlineStr">
        <is>
          <t>malla</t>
        </is>
      </c>
      <c r="I467" s="16" t="inlineStr">
        <is>
          <t>CORREGIBLE</t>
        </is>
      </c>
      <c r="J467" s="16" t="inlineStr">
        <is>
          <t>CORREGIBLE</t>
        </is>
      </c>
      <c r="K467" s="16" t="b">
        <v>1</v>
      </c>
      <c r="L467" s="16" t="b">
        <v>0</v>
      </c>
      <c r="M467" s="16" t="b">
        <v>1</v>
      </c>
      <c r="N467" s="16" t="b">
        <v>0</v>
      </c>
      <c r="O467" s="16" t="n">
        <v>623.15</v>
      </c>
      <c r="P467" s="16" t="n">
        <v>300.032917</v>
      </c>
      <c r="Q467" s="16" t="n">
        <v>3000</v>
      </c>
      <c r="R467" s="16" t="n">
        <v>400</v>
      </c>
      <c r="S467" s="16" t="n">
        <v>0.5</v>
      </c>
      <c r="T467" s="16" t="n">
        <v>0.85</v>
      </c>
      <c r="U467" s="16" t="n">
        <v>0.75</v>
      </c>
      <c r="V467" s="16" t="n">
        <v>0.6</v>
      </c>
      <c r="W467" s="16" t="n">
        <v>0.75</v>
      </c>
      <c r="X467" s="16" t="n">
        <v>0.75</v>
      </c>
      <c r="Y467" s="16" t="n"/>
      <c r="Z467" s="16" t="n">
        <v>12.62497642623755</v>
      </c>
      <c r="AA467" s="16" t="n">
        <v>168.801751124919</v>
      </c>
      <c r="AB467" s="16" t="n">
        <v>2600</v>
      </c>
      <c r="AC467" s="16" t="n">
        <v>7.5</v>
      </c>
      <c r="AD467" s="16" t="inlineStr">
        <is>
          <t>O2</t>
        </is>
      </c>
      <c r="AE467" s="16" t="n"/>
    </row>
    <row r="468">
      <c r="A468" s="16" t="inlineStr">
        <is>
          <t>KF-M02R-n2a-0032</t>
        </is>
      </c>
      <c r="B468" s="16" t="inlineStr">
        <is>
          <t>2.3</t>
        </is>
      </c>
      <c r="C468" s="16" t="inlineStr">
        <is>
          <t>2.3b</t>
        </is>
      </c>
      <c r="D468" s="16" t="inlineStr">
        <is>
          <t>ε_HRVG × ε_cond</t>
        </is>
      </c>
      <c r="E468" s="16" t="inlineStr">
        <is>
          <t>KF-M02R</t>
        </is>
      </c>
      <c r="F468" s="16" t="inlineStr">
        <is>
          <t>KF-M02R-n2a</t>
        </is>
      </c>
      <c r="G468" s="16" t="inlineStr">
        <is>
          <t>B04-n2a</t>
        </is>
      </c>
      <c r="H468" s="16" t="inlineStr">
        <is>
          <t>malla</t>
        </is>
      </c>
      <c r="I468" s="16" t="inlineStr">
        <is>
          <t>CORREGIBLE</t>
        </is>
      </c>
      <c r="J468" s="16" t="inlineStr">
        <is>
          <t>CORREGIBLE</t>
        </is>
      </c>
      <c r="K468" s="16" t="b">
        <v>1</v>
      </c>
      <c r="L468" s="16" t="b">
        <v>0</v>
      </c>
      <c r="M468" s="16" t="b">
        <v>1</v>
      </c>
      <c r="N468" s="16" t="b">
        <v>0</v>
      </c>
      <c r="O468" s="16" t="n">
        <v>623.15</v>
      </c>
      <c r="P468" s="16" t="n">
        <v>300.032917</v>
      </c>
      <c r="Q468" s="16" t="n">
        <v>3000</v>
      </c>
      <c r="R468" s="16" t="n">
        <v>400</v>
      </c>
      <c r="S468" s="16" t="n">
        <v>0.5</v>
      </c>
      <c r="T468" s="16" t="n">
        <v>0.85</v>
      </c>
      <c r="U468" s="16" t="n">
        <v>0.75</v>
      </c>
      <c r="V468" s="16" t="n">
        <v>0.6</v>
      </c>
      <c r="W468" s="16" t="n">
        <v>0.75</v>
      </c>
      <c r="X468" s="16" t="n">
        <v>0.8</v>
      </c>
      <c r="Y468" s="16" t="n"/>
      <c r="Z468" s="16" t="n">
        <v>13.23191576952518</v>
      </c>
      <c r="AA468" s="16" t="n">
        <v>183.9792929010562</v>
      </c>
      <c r="AB468" s="16" t="n">
        <v>2600</v>
      </c>
      <c r="AC468" s="16" t="n">
        <v>7.5</v>
      </c>
      <c r="AD468" s="16" t="inlineStr">
        <is>
          <t>O2</t>
        </is>
      </c>
      <c r="AE468" s="16" t="n"/>
    </row>
    <row r="469">
      <c r="A469" s="16" t="inlineStr">
        <is>
          <t>KF-M02R-n2a-0033</t>
        </is>
      </c>
      <c r="B469" s="16" t="inlineStr">
        <is>
          <t>2.3</t>
        </is>
      </c>
      <c r="C469" s="16" t="inlineStr">
        <is>
          <t>2.3b</t>
        </is>
      </c>
      <c r="D469" s="16" t="inlineStr">
        <is>
          <t>ε_HRVG × ε_cond</t>
        </is>
      </c>
      <c r="E469" s="16" t="inlineStr">
        <is>
          <t>KF-M02R</t>
        </is>
      </c>
      <c r="F469" s="16" t="inlineStr">
        <is>
          <t>KF-M02R-n2a</t>
        </is>
      </c>
      <c r="G469" s="16" t="inlineStr">
        <is>
          <t>B04-n2a</t>
        </is>
      </c>
      <c r="H469" s="16" t="inlineStr">
        <is>
          <t>malla</t>
        </is>
      </c>
      <c r="I469" s="16" t="inlineStr">
        <is>
          <t>CORREGIBLE</t>
        </is>
      </c>
      <c r="J469" s="16" t="inlineStr">
        <is>
          <t>CORREGIBLE</t>
        </is>
      </c>
      <c r="K469" s="16" t="b">
        <v>1</v>
      </c>
      <c r="L469" s="16" t="b">
        <v>0</v>
      </c>
      <c r="M469" s="16" t="b">
        <v>1</v>
      </c>
      <c r="N469" s="16" t="b">
        <v>0</v>
      </c>
      <c r="O469" s="16" t="n">
        <v>623.15</v>
      </c>
      <c r="P469" s="16" t="n">
        <v>300.032917</v>
      </c>
      <c r="Q469" s="16" t="n">
        <v>3000</v>
      </c>
      <c r="R469" s="16" t="n">
        <v>400</v>
      </c>
      <c r="S469" s="16" t="n">
        <v>0.5</v>
      </c>
      <c r="T469" s="16" t="n">
        <v>0.85</v>
      </c>
      <c r="U469" s="16" t="n">
        <v>0.75</v>
      </c>
      <c r="V469" s="16" t="n">
        <v>0.6</v>
      </c>
      <c r="W469" s="16" t="n">
        <v>0.75</v>
      </c>
      <c r="X469" s="16" t="n">
        <v>0.95</v>
      </c>
      <c r="Y469" s="16" t="n"/>
      <c r="Z469" s="16" t="n">
        <v>13.286304818876</v>
      </c>
      <c r="AA469" s="16" t="n">
        <v>200.3342253030847</v>
      </c>
      <c r="AB469" s="16" t="n">
        <v>2600</v>
      </c>
      <c r="AC469" s="16" t="n">
        <v>7.5</v>
      </c>
      <c r="AD469" s="16" t="inlineStr">
        <is>
          <t>O2</t>
        </is>
      </c>
      <c r="AE469" s="16" t="n"/>
    </row>
    <row r="470">
      <c r="A470" s="16" t="inlineStr">
        <is>
          <t>KF-M02R-n2a-0034</t>
        </is>
      </c>
      <c r="B470" s="16" t="inlineStr">
        <is>
          <t>2.3</t>
        </is>
      </c>
      <c r="C470" s="16" t="inlineStr">
        <is>
          <t>2.3b</t>
        </is>
      </c>
      <c r="D470" s="16" t="inlineStr">
        <is>
          <t>ε_HRVG × ε_cond</t>
        </is>
      </c>
      <c r="E470" s="16" t="inlineStr">
        <is>
          <t>KF-M02R</t>
        </is>
      </c>
      <c r="F470" s="16" t="inlineStr">
        <is>
          <t>KF-M02R-n2a</t>
        </is>
      </c>
      <c r="G470" s="16" t="inlineStr">
        <is>
          <t>B04-n2a</t>
        </is>
      </c>
      <c r="H470" s="16" t="inlineStr">
        <is>
          <t>malla</t>
        </is>
      </c>
      <c r="I470" s="16" t="inlineStr">
        <is>
          <t>CORREGIBLE</t>
        </is>
      </c>
      <c r="J470" s="16" t="inlineStr">
        <is>
          <t>CORREGIBLE</t>
        </is>
      </c>
      <c r="K470" s="16" t="b">
        <v>1</v>
      </c>
      <c r="L470" s="16" t="b">
        <v>0</v>
      </c>
      <c r="M470" s="16" t="b">
        <v>1</v>
      </c>
      <c r="N470" s="16" t="b">
        <v>0</v>
      </c>
      <c r="O470" s="16" t="n">
        <v>623.15</v>
      </c>
      <c r="P470" s="16" t="n">
        <v>300.032917</v>
      </c>
      <c r="Q470" s="16" t="n">
        <v>3000</v>
      </c>
      <c r="R470" s="16" t="n">
        <v>400</v>
      </c>
      <c r="S470" s="16" t="n">
        <v>0.5</v>
      </c>
      <c r="T470" s="16" t="n">
        <v>0.85</v>
      </c>
      <c r="U470" s="16" t="n">
        <v>0.75</v>
      </c>
      <c r="V470" s="16" t="n">
        <v>0.6</v>
      </c>
      <c r="W470" s="16" t="n">
        <v>0.75</v>
      </c>
      <c r="X470" s="16" t="n">
        <v>0.8999999999999999</v>
      </c>
      <c r="Y470" s="16" t="n"/>
      <c r="Z470" s="16" t="n">
        <v>13.5168036173414</v>
      </c>
      <c r="AA470" s="16" t="n">
        <v>199.2219158582272</v>
      </c>
      <c r="AB470" s="16" t="n">
        <v>2600</v>
      </c>
      <c r="AC470" s="16" t="n">
        <v>7.5</v>
      </c>
      <c r="AD470" s="16" t="inlineStr">
        <is>
          <t>O2</t>
        </is>
      </c>
      <c r="AE470" s="16" t="n"/>
    </row>
    <row r="471">
      <c r="A471" s="16" t="inlineStr">
        <is>
          <t>KF-M02R-n2a-0035</t>
        </is>
      </c>
      <c r="B471" s="16" t="inlineStr">
        <is>
          <t>2.3</t>
        </is>
      </c>
      <c r="C471" s="16" t="inlineStr">
        <is>
          <t>2.3b</t>
        </is>
      </c>
      <c r="D471" s="16" t="inlineStr">
        <is>
          <t>ε_HRVG × ε_cond</t>
        </is>
      </c>
      <c r="E471" s="16" t="inlineStr">
        <is>
          <t>KF-M02R</t>
        </is>
      </c>
      <c r="F471" s="16" t="inlineStr">
        <is>
          <t>KF-M02R-n2a</t>
        </is>
      </c>
      <c r="G471" s="16" t="inlineStr">
        <is>
          <t>B04-n2a</t>
        </is>
      </c>
      <c r="H471" s="16" t="inlineStr">
        <is>
          <t>malla</t>
        </is>
      </c>
      <c r="I471" s="16" t="inlineStr">
        <is>
          <t>CORREGIBLE</t>
        </is>
      </c>
      <c r="J471" s="16" t="inlineStr">
        <is>
          <t>CORREGIBLE</t>
        </is>
      </c>
      <c r="K471" s="16" t="b">
        <v>1</v>
      </c>
      <c r="L471" s="16" t="b">
        <v>0</v>
      </c>
      <c r="M471" s="16" t="b">
        <v>1</v>
      </c>
      <c r="N471" s="16" t="b">
        <v>0</v>
      </c>
      <c r="O471" s="16" t="n">
        <v>623.15</v>
      </c>
      <c r="P471" s="16" t="n">
        <v>300.032917</v>
      </c>
      <c r="Q471" s="16" t="n">
        <v>3000</v>
      </c>
      <c r="R471" s="16" t="n">
        <v>400</v>
      </c>
      <c r="S471" s="16" t="n">
        <v>0.5</v>
      </c>
      <c r="T471" s="16" t="n">
        <v>0.85</v>
      </c>
      <c r="U471" s="16" t="n">
        <v>0.75</v>
      </c>
      <c r="V471" s="16" t="n">
        <v>0.6</v>
      </c>
      <c r="W471" s="16" t="n">
        <v>0.75</v>
      </c>
      <c r="X471" s="16" t="n">
        <v>0.85</v>
      </c>
      <c r="Y471" s="16" t="n"/>
      <c r="Z471" s="16" t="n">
        <v>13.5184591814869</v>
      </c>
      <c r="AA471" s="16" t="n">
        <v>194.0008338779038</v>
      </c>
      <c r="AB471" s="16" t="n">
        <v>2600</v>
      </c>
      <c r="AC471" s="16" t="n">
        <v>7.5</v>
      </c>
      <c r="AD471" s="16" t="inlineStr">
        <is>
          <t>O2</t>
        </is>
      </c>
      <c r="AE471" s="16" t="n"/>
    </row>
    <row r="472">
      <c r="A472" s="16" t="inlineStr">
        <is>
          <t>KF-M02R-n2a-0036</t>
        </is>
      </c>
      <c r="B472" s="16" t="inlineStr">
        <is>
          <t>2.3</t>
        </is>
      </c>
      <c r="C472" s="16" t="inlineStr">
        <is>
          <t>2.3b</t>
        </is>
      </c>
      <c r="D472" s="16" t="inlineStr">
        <is>
          <t>ε_HRVG × ε_cond</t>
        </is>
      </c>
      <c r="E472" s="16" t="inlineStr">
        <is>
          <t>KF-M02R</t>
        </is>
      </c>
      <c r="F472" s="16" t="inlineStr">
        <is>
          <t>KF-M02R-n2a</t>
        </is>
      </c>
      <c r="G472" s="16" t="inlineStr">
        <is>
          <t>B04-n2a</t>
        </is>
      </c>
      <c r="H472" s="16" t="inlineStr">
        <is>
          <t>malla</t>
        </is>
      </c>
      <c r="I472" s="16" t="inlineStr">
        <is>
          <t>NO_CONVERGIO</t>
        </is>
      </c>
      <c r="J472" s="16" t="inlineStr">
        <is>
          <t>NO_CONVERGIO</t>
        </is>
      </c>
      <c r="K472" s="16" t="b">
        <v>0</v>
      </c>
      <c r="L472" s="16" t="b">
        <v>0</v>
      </c>
      <c r="M472" s="16" t="b">
        <v>0</v>
      </c>
      <c r="N472" s="16" t="b">
        <v>0</v>
      </c>
      <c r="O472" s="16" t="n">
        <v>623.15</v>
      </c>
      <c r="P472" s="16" t="n">
        <v>300.032917</v>
      </c>
      <c r="Q472" s="16" t="n">
        <v>3000</v>
      </c>
      <c r="R472" s="16" t="n">
        <v>400</v>
      </c>
      <c r="S472" s="16" t="n">
        <v>0.5</v>
      </c>
      <c r="T472" s="16" t="n">
        <v>0.85</v>
      </c>
      <c r="U472" s="16" t="n">
        <v>0.75</v>
      </c>
      <c r="V472" s="16" t="n">
        <v>0.7</v>
      </c>
      <c r="W472" s="16" t="n">
        <v>0.75</v>
      </c>
      <c r="X472" s="16" t="n">
        <v>0.4</v>
      </c>
      <c r="Y472" s="16" t="n"/>
      <c r="Z472" s="16" t="n"/>
      <c r="AA472" s="16" t="n"/>
      <c r="AB472" s="16" t="n">
        <v>2600</v>
      </c>
      <c r="AC472" s="16" t="n">
        <v>7.5</v>
      </c>
      <c r="AD472" s="16" t="n"/>
      <c r="AE472" s="16" t="n"/>
    </row>
    <row r="473">
      <c r="A473" s="16" t="inlineStr">
        <is>
          <t>KF-M02R-n2a-0037</t>
        </is>
      </c>
      <c r="B473" s="16" t="inlineStr">
        <is>
          <t>2.3</t>
        </is>
      </c>
      <c r="C473" s="16" t="inlineStr">
        <is>
          <t>2.3b</t>
        </is>
      </c>
      <c r="D473" s="16" t="inlineStr">
        <is>
          <t>ε_HRVG × ε_cond</t>
        </is>
      </c>
      <c r="E473" s="16" t="inlineStr">
        <is>
          <t>KF-M02R</t>
        </is>
      </c>
      <c r="F473" s="16" t="inlineStr">
        <is>
          <t>KF-M02R-n2a</t>
        </is>
      </c>
      <c r="G473" s="16" t="inlineStr">
        <is>
          <t>B04-n2a</t>
        </is>
      </c>
      <c r="H473" s="16" t="inlineStr">
        <is>
          <t>malla</t>
        </is>
      </c>
      <c r="I473" s="16" t="inlineStr">
        <is>
          <t>NO_CONVERGIO</t>
        </is>
      </c>
      <c r="J473" s="16" t="inlineStr">
        <is>
          <t>NO_CONVERGIO</t>
        </is>
      </c>
      <c r="K473" s="16" t="b">
        <v>0</v>
      </c>
      <c r="L473" s="16" t="b">
        <v>0</v>
      </c>
      <c r="M473" s="16" t="b">
        <v>0</v>
      </c>
      <c r="N473" s="16" t="b">
        <v>0</v>
      </c>
      <c r="O473" s="16" t="n">
        <v>623.15</v>
      </c>
      <c r="P473" s="16" t="n">
        <v>300.032917</v>
      </c>
      <c r="Q473" s="16" t="n">
        <v>3000</v>
      </c>
      <c r="R473" s="16" t="n">
        <v>400</v>
      </c>
      <c r="S473" s="16" t="n">
        <v>0.5</v>
      </c>
      <c r="T473" s="16" t="n">
        <v>0.85</v>
      </c>
      <c r="U473" s="16" t="n">
        <v>0.75</v>
      </c>
      <c r="V473" s="16" t="n">
        <v>0.7</v>
      </c>
      <c r="W473" s="16" t="n">
        <v>0.75</v>
      </c>
      <c r="X473" s="16" t="n">
        <v>0.45</v>
      </c>
      <c r="Y473" s="16" t="n"/>
      <c r="Z473" s="16" t="n"/>
      <c r="AA473" s="16" t="n"/>
      <c r="AB473" s="16" t="n">
        <v>2600</v>
      </c>
      <c r="AC473" s="16" t="n">
        <v>7.5</v>
      </c>
      <c r="AD473" s="16" t="n"/>
      <c r="AE473" s="16" t="n"/>
    </row>
    <row r="474">
      <c r="A474" s="16" t="inlineStr">
        <is>
          <t>KF-M02R-n2a-0038</t>
        </is>
      </c>
      <c r="B474" s="16" t="inlineStr">
        <is>
          <t>2.3</t>
        </is>
      </c>
      <c r="C474" s="16" t="inlineStr">
        <is>
          <t>2.3b</t>
        </is>
      </c>
      <c r="D474" s="16" t="inlineStr">
        <is>
          <t>ε_HRVG × ε_cond</t>
        </is>
      </c>
      <c r="E474" s="16" t="inlineStr">
        <is>
          <t>KF-M02R</t>
        </is>
      </c>
      <c r="F474" s="16" t="inlineStr">
        <is>
          <t>KF-M02R-n2a</t>
        </is>
      </c>
      <c r="G474" s="16" t="inlineStr">
        <is>
          <t>B04-n2a</t>
        </is>
      </c>
      <c r="H474" s="16" t="inlineStr">
        <is>
          <t>malla</t>
        </is>
      </c>
      <c r="I474" s="16" t="inlineStr">
        <is>
          <t>NO_CONVERGIO</t>
        </is>
      </c>
      <c r="J474" s="16" t="inlineStr">
        <is>
          <t>NO_CONVERGIO</t>
        </is>
      </c>
      <c r="K474" s="16" t="b">
        <v>0</v>
      </c>
      <c r="L474" s="16" t="b">
        <v>0</v>
      </c>
      <c r="M474" s="16" t="b">
        <v>0</v>
      </c>
      <c r="N474" s="16" t="b">
        <v>0</v>
      </c>
      <c r="O474" s="16" t="n">
        <v>623.15</v>
      </c>
      <c r="P474" s="16" t="n">
        <v>300.032917</v>
      </c>
      <c r="Q474" s="16" t="n">
        <v>3000</v>
      </c>
      <c r="R474" s="16" t="n">
        <v>400</v>
      </c>
      <c r="S474" s="16" t="n">
        <v>0.5</v>
      </c>
      <c r="T474" s="16" t="n">
        <v>0.85</v>
      </c>
      <c r="U474" s="16" t="n">
        <v>0.75</v>
      </c>
      <c r="V474" s="16" t="n">
        <v>0.7</v>
      </c>
      <c r="W474" s="16" t="n">
        <v>0.75</v>
      </c>
      <c r="X474" s="16" t="n">
        <v>0.5</v>
      </c>
      <c r="Y474" s="16" t="n"/>
      <c r="Z474" s="16" t="n"/>
      <c r="AA474" s="16" t="n"/>
      <c r="AB474" s="16" t="n">
        <v>2600</v>
      </c>
      <c r="AC474" s="16" t="n">
        <v>7.5</v>
      </c>
      <c r="AD474" s="16" t="n"/>
      <c r="AE474" s="16" t="n"/>
    </row>
    <row r="475">
      <c r="A475" s="16" t="inlineStr">
        <is>
          <t>KF-M02R-n2a-0039</t>
        </is>
      </c>
      <c r="B475" s="16" t="inlineStr">
        <is>
          <t>2.3</t>
        </is>
      </c>
      <c r="C475" s="16" t="inlineStr">
        <is>
          <t>2.3b</t>
        </is>
      </c>
      <c r="D475" s="16" t="inlineStr">
        <is>
          <t>ε_HRVG × ε_cond</t>
        </is>
      </c>
      <c r="E475" s="16" t="inlineStr">
        <is>
          <t>KF-M02R</t>
        </is>
      </c>
      <c r="F475" s="16" t="inlineStr">
        <is>
          <t>KF-M02R-n2a</t>
        </is>
      </c>
      <c r="G475" s="16" t="inlineStr">
        <is>
          <t>B04-n2a</t>
        </is>
      </c>
      <c r="H475" s="16" t="inlineStr">
        <is>
          <t>malla</t>
        </is>
      </c>
      <c r="I475" s="16" t="inlineStr">
        <is>
          <t>CORREGIBLE</t>
        </is>
      </c>
      <c r="J475" s="16" t="inlineStr">
        <is>
          <t>CORREGIBLE</t>
        </is>
      </c>
      <c r="K475" s="16" t="b">
        <v>1</v>
      </c>
      <c r="L475" s="16" t="b">
        <v>0</v>
      </c>
      <c r="M475" s="16" t="b">
        <v>1</v>
      </c>
      <c r="N475" s="16" t="b">
        <v>0</v>
      </c>
      <c r="O475" s="16" t="n">
        <v>623.15</v>
      </c>
      <c r="P475" s="16" t="n">
        <v>300.032917</v>
      </c>
      <c r="Q475" s="16" t="n">
        <v>3000</v>
      </c>
      <c r="R475" s="16" t="n">
        <v>400</v>
      </c>
      <c r="S475" s="16" t="n">
        <v>0.5</v>
      </c>
      <c r="T475" s="16" t="n">
        <v>0.85</v>
      </c>
      <c r="U475" s="16" t="n">
        <v>0.75</v>
      </c>
      <c r="V475" s="16" t="n">
        <v>0.7</v>
      </c>
      <c r="W475" s="16" t="n">
        <v>0.75</v>
      </c>
      <c r="X475" s="16" t="n">
        <v>0.6</v>
      </c>
      <c r="Y475" s="16" t="n"/>
      <c r="Z475" s="16" t="n">
        <v>10.24462477811426</v>
      </c>
      <c r="AA475" s="16" t="n">
        <v>130.1659612436682</v>
      </c>
      <c r="AB475" s="16" t="n">
        <v>2600</v>
      </c>
      <c r="AC475" s="16" t="n">
        <v>7.5</v>
      </c>
      <c r="AD475" s="16" t="inlineStr">
        <is>
          <t>O1,O2</t>
        </is>
      </c>
      <c r="AE475" s="16" t="n"/>
    </row>
    <row r="476">
      <c r="A476" s="16" t="inlineStr">
        <is>
          <t>KF-M02R-n2a-0040</t>
        </is>
      </c>
      <c r="B476" s="16" t="inlineStr">
        <is>
          <t>2.3</t>
        </is>
      </c>
      <c r="C476" s="16" t="inlineStr">
        <is>
          <t>2.3b</t>
        </is>
      </c>
      <c r="D476" s="16" t="inlineStr">
        <is>
          <t>ε_HRVG × ε_cond</t>
        </is>
      </c>
      <c r="E476" s="16" t="inlineStr">
        <is>
          <t>KF-M02R</t>
        </is>
      </c>
      <c r="F476" s="16" t="inlineStr">
        <is>
          <t>KF-M02R-n2a</t>
        </is>
      </c>
      <c r="G476" s="16" t="inlineStr">
        <is>
          <t>B04-n2a</t>
        </is>
      </c>
      <c r="H476" s="16" t="inlineStr">
        <is>
          <t>malla</t>
        </is>
      </c>
      <c r="I476" s="16" t="inlineStr">
        <is>
          <t>CORREGIBLE</t>
        </is>
      </c>
      <c r="J476" s="16" t="inlineStr">
        <is>
          <t>CORREGIBLE</t>
        </is>
      </c>
      <c r="K476" s="16" t="b">
        <v>1</v>
      </c>
      <c r="L476" s="16" t="b">
        <v>0</v>
      </c>
      <c r="M476" s="16" t="b">
        <v>1</v>
      </c>
      <c r="N476" s="16" t="b">
        <v>0</v>
      </c>
      <c r="O476" s="16" t="n">
        <v>623.15</v>
      </c>
      <c r="P476" s="16" t="n">
        <v>300.032917</v>
      </c>
      <c r="Q476" s="16" t="n">
        <v>3000</v>
      </c>
      <c r="R476" s="16" t="n">
        <v>400</v>
      </c>
      <c r="S476" s="16" t="n">
        <v>0.5</v>
      </c>
      <c r="T476" s="16" t="n">
        <v>0.85</v>
      </c>
      <c r="U476" s="16" t="n">
        <v>0.75</v>
      </c>
      <c r="V476" s="16" t="n">
        <v>0.7</v>
      </c>
      <c r="W476" s="16" t="n">
        <v>0.75</v>
      </c>
      <c r="X476" s="16" t="n">
        <v>0.55</v>
      </c>
      <c r="Y476" s="16" t="n"/>
      <c r="Z476" s="16" t="n">
        <v>9.18501872224245</v>
      </c>
      <c r="AA476" s="16" t="n">
        <v>107.9333952168754</v>
      </c>
      <c r="AB476" s="16" t="n">
        <v>2600</v>
      </c>
      <c r="AC476" s="16" t="n">
        <v>7.5</v>
      </c>
      <c r="AD476" s="16" t="inlineStr">
        <is>
          <t>O1,O2</t>
        </is>
      </c>
      <c r="AE476" s="16" t="n"/>
    </row>
    <row r="477">
      <c r="A477" s="16" t="inlineStr">
        <is>
          <t>KF-M02R-n2a-0041</t>
        </is>
      </c>
      <c r="B477" s="16" t="inlineStr">
        <is>
          <t>2.3</t>
        </is>
      </c>
      <c r="C477" s="16" t="inlineStr">
        <is>
          <t>2.3b</t>
        </is>
      </c>
      <c r="D477" s="16" t="inlineStr">
        <is>
          <t>ε_HRVG × ε_cond</t>
        </is>
      </c>
      <c r="E477" s="16" t="inlineStr">
        <is>
          <t>KF-M02R</t>
        </is>
      </c>
      <c r="F477" s="16" t="inlineStr">
        <is>
          <t>KF-M02R-n2a</t>
        </is>
      </c>
      <c r="G477" s="16" t="inlineStr">
        <is>
          <t>B04-n2a</t>
        </is>
      </c>
      <c r="H477" s="16" t="inlineStr">
        <is>
          <t>malla</t>
        </is>
      </c>
      <c r="I477" s="16" t="inlineStr">
        <is>
          <t>CORREGIBLE</t>
        </is>
      </c>
      <c r="J477" s="16" t="inlineStr">
        <is>
          <t>CORREGIBLE</t>
        </is>
      </c>
      <c r="K477" s="16" t="b">
        <v>1</v>
      </c>
      <c r="L477" s="16" t="b">
        <v>0</v>
      </c>
      <c r="M477" s="16" t="b">
        <v>1</v>
      </c>
      <c r="N477" s="16" t="b">
        <v>0</v>
      </c>
      <c r="O477" s="16" t="n">
        <v>623.15</v>
      </c>
      <c r="P477" s="16" t="n">
        <v>300.032917</v>
      </c>
      <c r="Q477" s="16" t="n">
        <v>3000</v>
      </c>
      <c r="R477" s="16" t="n">
        <v>400</v>
      </c>
      <c r="S477" s="16" t="n">
        <v>0.5</v>
      </c>
      <c r="T477" s="16" t="n">
        <v>0.85</v>
      </c>
      <c r="U477" s="16" t="n">
        <v>0.75</v>
      </c>
      <c r="V477" s="16" t="n">
        <v>0.7</v>
      </c>
      <c r="W477" s="16" t="n">
        <v>0.75</v>
      </c>
      <c r="X477" s="16" t="n">
        <v>0.65</v>
      </c>
      <c r="Y477" s="16" t="n"/>
      <c r="Z477" s="16" t="n">
        <v>11.12919413163956</v>
      </c>
      <c r="AA477" s="16" t="n">
        <v>151.5339320494096</v>
      </c>
      <c r="AB477" s="16" t="n">
        <v>2600</v>
      </c>
      <c r="AC477" s="16" t="n">
        <v>7.5</v>
      </c>
      <c r="AD477" s="16" t="inlineStr">
        <is>
          <t>O1,O2</t>
        </is>
      </c>
      <c r="AE477" s="16" t="n"/>
    </row>
    <row r="478">
      <c r="A478" s="16" t="inlineStr">
        <is>
          <t>KF-M02R-n2a-0042</t>
        </is>
      </c>
      <c r="B478" s="16" t="inlineStr">
        <is>
          <t>2.3</t>
        </is>
      </c>
      <c r="C478" s="16" t="inlineStr">
        <is>
          <t>2.3b</t>
        </is>
      </c>
      <c r="D478" s="16" t="inlineStr">
        <is>
          <t>ε_HRVG × ε_cond</t>
        </is>
      </c>
      <c r="E478" s="16" t="inlineStr">
        <is>
          <t>KF-M02R</t>
        </is>
      </c>
      <c r="F478" s="16" t="inlineStr">
        <is>
          <t>KF-M02R-n2a</t>
        </is>
      </c>
      <c r="G478" s="16" t="inlineStr">
        <is>
          <t>B04-n2a</t>
        </is>
      </c>
      <c r="H478" s="16" t="inlineStr">
        <is>
          <t>malla</t>
        </is>
      </c>
      <c r="I478" s="16" t="inlineStr">
        <is>
          <t>CORREGIBLE</t>
        </is>
      </c>
      <c r="J478" s="16" t="inlineStr">
        <is>
          <t>CORREGIBLE</t>
        </is>
      </c>
      <c r="K478" s="16" t="b">
        <v>1</v>
      </c>
      <c r="L478" s="16" t="b">
        <v>0</v>
      </c>
      <c r="M478" s="16" t="b">
        <v>1</v>
      </c>
      <c r="N478" s="16" t="b">
        <v>0</v>
      </c>
      <c r="O478" s="16" t="n">
        <v>623.15</v>
      </c>
      <c r="P478" s="16" t="n">
        <v>300.032917</v>
      </c>
      <c r="Q478" s="16" t="n">
        <v>3000</v>
      </c>
      <c r="R478" s="16" t="n">
        <v>400</v>
      </c>
      <c r="S478" s="16" t="n">
        <v>0.5</v>
      </c>
      <c r="T478" s="16" t="n">
        <v>0.85</v>
      </c>
      <c r="U478" s="16" t="n">
        <v>0.75</v>
      </c>
      <c r="V478" s="16" t="n">
        <v>0.7</v>
      </c>
      <c r="W478" s="16" t="n">
        <v>0.75</v>
      </c>
      <c r="X478" s="16" t="n">
        <v>0.7</v>
      </c>
      <c r="Y478" s="16" t="n"/>
      <c r="Z478" s="16" t="n">
        <v>11.8856261712432</v>
      </c>
      <c r="AA478" s="16" t="n">
        <v>172.1555920929179</v>
      </c>
      <c r="AB478" s="16" t="n">
        <v>2600</v>
      </c>
      <c r="AC478" s="16" t="n">
        <v>7.5</v>
      </c>
      <c r="AD478" s="16" t="inlineStr">
        <is>
          <t>O2</t>
        </is>
      </c>
      <c r="AE478" s="16" t="n"/>
    </row>
    <row r="479">
      <c r="A479" s="16" t="inlineStr">
        <is>
          <t>KF-M02R-n2a-0043</t>
        </is>
      </c>
      <c r="B479" s="16" t="inlineStr">
        <is>
          <t>2.3</t>
        </is>
      </c>
      <c r="C479" s="16" t="inlineStr">
        <is>
          <t>2.3b</t>
        </is>
      </c>
      <c r="D479" s="16" t="inlineStr">
        <is>
          <t>ε_HRVG × ε_cond</t>
        </is>
      </c>
      <c r="E479" s="16" t="inlineStr">
        <is>
          <t>KF-M02R</t>
        </is>
      </c>
      <c r="F479" s="16" t="inlineStr">
        <is>
          <t>KF-M02R-n2a</t>
        </is>
      </c>
      <c r="G479" s="16" t="inlineStr">
        <is>
          <t>B04-n2a</t>
        </is>
      </c>
      <c r="H479" s="16" t="inlineStr">
        <is>
          <t>malla</t>
        </is>
      </c>
      <c r="I479" s="16" t="inlineStr">
        <is>
          <t>CORREGIBLE</t>
        </is>
      </c>
      <c r="J479" s="16" t="inlineStr">
        <is>
          <t>CORREGIBLE</t>
        </is>
      </c>
      <c r="K479" s="16" t="b">
        <v>1</v>
      </c>
      <c r="L479" s="16" t="b">
        <v>0</v>
      </c>
      <c r="M479" s="16" t="b">
        <v>1</v>
      </c>
      <c r="N479" s="16" t="b">
        <v>0</v>
      </c>
      <c r="O479" s="16" t="n">
        <v>623.15</v>
      </c>
      <c r="P479" s="16" t="n">
        <v>300.032917</v>
      </c>
      <c r="Q479" s="16" t="n">
        <v>3000</v>
      </c>
      <c r="R479" s="16" t="n">
        <v>400</v>
      </c>
      <c r="S479" s="16" t="n">
        <v>0.5</v>
      </c>
      <c r="T479" s="16" t="n">
        <v>0.85</v>
      </c>
      <c r="U479" s="16" t="n">
        <v>0.75</v>
      </c>
      <c r="V479" s="16" t="n">
        <v>0.7</v>
      </c>
      <c r="W479" s="16" t="n">
        <v>0.75</v>
      </c>
      <c r="X479" s="16" t="n">
        <v>0.75</v>
      </c>
      <c r="Y479" s="16" t="n"/>
      <c r="Z479" s="16" t="n">
        <v>12.54605090564169</v>
      </c>
      <c r="AA479" s="16" t="n">
        <v>192.1394053250799</v>
      </c>
      <c r="AB479" s="16" t="n">
        <v>2600</v>
      </c>
      <c r="AC479" s="16" t="n">
        <v>7.5</v>
      </c>
      <c r="AD479" s="16" t="inlineStr">
        <is>
          <t>O2</t>
        </is>
      </c>
      <c r="AE479" s="16" t="n"/>
    </row>
    <row r="480">
      <c r="A480" s="16" t="inlineStr">
        <is>
          <t>KF-M02R-n2a-0044</t>
        </is>
      </c>
      <c r="B480" s="16" t="inlineStr">
        <is>
          <t>2.3</t>
        </is>
      </c>
      <c r="C480" s="16" t="inlineStr">
        <is>
          <t>2.3b</t>
        </is>
      </c>
      <c r="D480" s="16" t="inlineStr">
        <is>
          <t>ε_HRVG × ε_cond</t>
        </is>
      </c>
      <c r="E480" s="16" t="inlineStr">
        <is>
          <t>KF-M02R</t>
        </is>
      </c>
      <c r="F480" s="16" t="inlineStr">
        <is>
          <t>KF-M02R-n2a</t>
        </is>
      </c>
      <c r="G480" s="16" t="inlineStr">
        <is>
          <t>B04-n2a</t>
        </is>
      </c>
      <c r="H480" s="16" t="inlineStr">
        <is>
          <t>malla</t>
        </is>
      </c>
      <c r="I480" s="16" t="inlineStr">
        <is>
          <t>NO_CONVERGIO</t>
        </is>
      </c>
      <c r="J480" s="16" t="inlineStr">
        <is>
          <t>NO_CONVERGIO</t>
        </is>
      </c>
      <c r="K480" s="16" t="b">
        <v>0</v>
      </c>
      <c r="L480" s="16" t="b">
        <v>0</v>
      </c>
      <c r="M480" s="16" t="b">
        <v>0</v>
      </c>
      <c r="N480" s="16" t="b">
        <v>0</v>
      </c>
      <c r="O480" s="16" t="n">
        <v>623.15</v>
      </c>
      <c r="P480" s="16" t="n">
        <v>300.032917</v>
      </c>
      <c r="Q480" s="16" t="n">
        <v>3000</v>
      </c>
      <c r="R480" s="16" t="n">
        <v>400</v>
      </c>
      <c r="S480" s="16" t="n">
        <v>0.5</v>
      </c>
      <c r="T480" s="16" t="n">
        <v>0.85</v>
      </c>
      <c r="U480" s="16" t="n">
        <v>0.75</v>
      </c>
      <c r="V480" s="16" t="n">
        <v>0.8</v>
      </c>
      <c r="W480" s="16" t="n">
        <v>0.75</v>
      </c>
      <c r="X480" s="16" t="n">
        <v>0.4</v>
      </c>
      <c r="Y480" s="16" t="n"/>
      <c r="Z480" s="16" t="n"/>
      <c r="AA480" s="16" t="n"/>
      <c r="AB480" s="16" t="n">
        <v>2600</v>
      </c>
      <c r="AC480" s="16" t="n">
        <v>7.5</v>
      </c>
      <c r="AD480" s="16" t="n"/>
      <c r="AE480" s="16" t="n"/>
    </row>
    <row r="481">
      <c r="A481" s="16" t="inlineStr">
        <is>
          <t>KF-M02R-n2a-0045</t>
        </is>
      </c>
      <c r="B481" s="16" t="inlineStr">
        <is>
          <t>2.3</t>
        </is>
      </c>
      <c r="C481" s="16" t="inlineStr">
        <is>
          <t>2.3b</t>
        </is>
      </c>
      <c r="D481" s="16" t="inlineStr">
        <is>
          <t>ε_HRVG × ε_cond</t>
        </is>
      </c>
      <c r="E481" s="16" t="inlineStr">
        <is>
          <t>KF-M02R</t>
        </is>
      </c>
      <c r="F481" s="16" t="inlineStr">
        <is>
          <t>KF-M02R-n2a</t>
        </is>
      </c>
      <c r="G481" s="16" t="inlineStr">
        <is>
          <t>B04-n2a</t>
        </is>
      </c>
      <c r="H481" s="16" t="inlineStr">
        <is>
          <t>malla</t>
        </is>
      </c>
      <c r="I481" s="16" t="inlineStr">
        <is>
          <t>NO_CONVERGIO</t>
        </is>
      </c>
      <c r="J481" s="16" t="inlineStr">
        <is>
          <t>NO_CONVERGIO</t>
        </is>
      </c>
      <c r="K481" s="16" t="b">
        <v>0</v>
      </c>
      <c r="L481" s="16" t="b">
        <v>0</v>
      </c>
      <c r="M481" s="16" t="b">
        <v>0</v>
      </c>
      <c r="N481" s="16" t="b">
        <v>0</v>
      </c>
      <c r="O481" s="16" t="n">
        <v>623.15</v>
      </c>
      <c r="P481" s="16" t="n">
        <v>300.032917</v>
      </c>
      <c r="Q481" s="16" t="n">
        <v>3000</v>
      </c>
      <c r="R481" s="16" t="n">
        <v>400</v>
      </c>
      <c r="S481" s="16" t="n">
        <v>0.5</v>
      </c>
      <c r="T481" s="16" t="n">
        <v>0.85</v>
      </c>
      <c r="U481" s="16" t="n">
        <v>0.75</v>
      </c>
      <c r="V481" s="16" t="n">
        <v>0.8</v>
      </c>
      <c r="W481" s="16" t="n">
        <v>0.75</v>
      </c>
      <c r="X481" s="16" t="n">
        <v>0.45</v>
      </c>
      <c r="Y481" s="16" t="n"/>
      <c r="Z481" s="16" t="n"/>
      <c r="AA481" s="16" t="n"/>
      <c r="AB481" s="16" t="n">
        <v>2600</v>
      </c>
      <c r="AC481" s="16" t="n">
        <v>7.5</v>
      </c>
      <c r="AD481" s="16" t="n"/>
      <c r="AE481" s="16" t="n"/>
    </row>
    <row r="482">
      <c r="A482" s="16" t="inlineStr">
        <is>
          <t>KF-M02R-n2a-0046</t>
        </is>
      </c>
      <c r="B482" s="16" t="inlineStr">
        <is>
          <t>2.3</t>
        </is>
      </c>
      <c r="C482" s="16" t="inlineStr">
        <is>
          <t>2.3b</t>
        </is>
      </c>
      <c r="D482" s="16" t="inlineStr">
        <is>
          <t>ε_HRVG × ε_cond</t>
        </is>
      </c>
      <c r="E482" s="16" t="inlineStr">
        <is>
          <t>KF-M02R</t>
        </is>
      </c>
      <c r="F482" s="16" t="inlineStr">
        <is>
          <t>KF-M02R-n2a</t>
        </is>
      </c>
      <c r="G482" s="16" t="inlineStr">
        <is>
          <t>B04-n2a</t>
        </is>
      </c>
      <c r="H482" s="16" t="inlineStr">
        <is>
          <t>malla</t>
        </is>
      </c>
      <c r="I482" s="16" t="inlineStr">
        <is>
          <t>CORREGIBLE</t>
        </is>
      </c>
      <c r="J482" s="16" t="inlineStr">
        <is>
          <t>CORREGIBLE</t>
        </is>
      </c>
      <c r="K482" s="16" t="b">
        <v>1</v>
      </c>
      <c r="L482" s="16" t="b">
        <v>0</v>
      </c>
      <c r="M482" s="16" t="b">
        <v>1</v>
      </c>
      <c r="N482" s="16" t="b">
        <v>0</v>
      </c>
      <c r="O482" s="16" t="n">
        <v>623.15</v>
      </c>
      <c r="P482" s="16" t="n">
        <v>300.032917</v>
      </c>
      <c r="Q482" s="16" t="n">
        <v>3000</v>
      </c>
      <c r="R482" s="16" t="n">
        <v>400</v>
      </c>
      <c r="S482" s="16" t="n">
        <v>0.5</v>
      </c>
      <c r="T482" s="16" t="n">
        <v>0.85</v>
      </c>
      <c r="U482" s="16" t="n">
        <v>0.75</v>
      </c>
      <c r="V482" s="16" t="n">
        <v>0.7</v>
      </c>
      <c r="W482" s="16" t="n">
        <v>0.75</v>
      </c>
      <c r="X482" s="16" t="n">
        <v>0.8999999999999999</v>
      </c>
      <c r="Y482" s="16" t="n"/>
      <c r="Z482" s="16" t="n">
        <v>13.52697651742395</v>
      </c>
      <c r="AA482" s="16" t="n">
        <v>235.0224875225786</v>
      </c>
      <c r="AB482" s="16" t="n">
        <v>2600</v>
      </c>
      <c r="AC482" s="16" t="n">
        <v>7.5</v>
      </c>
      <c r="AD482" s="16" t="inlineStr">
        <is>
          <t>O2</t>
        </is>
      </c>
      <c r="AE482" s="16" t="n"/>
    </row>
    <row r="483">
      <c r="A483" s="16" t="inlineStr">
        <is>
          <t>KF-M02R-n2a-0047</t>
        </is>
      </c>
      <c r="B483" s="16" t="inlineStr">
        <is>
          <t>2.3</t>
        </is>
      </c>
      <c r="C483" s="16" t="inlineStr">
        <is>
          <t>2.3b</t>
        </is>
      </c>
      <c r="D483" s="16" t="inlineStr">
        <is>
          <t>ε_HRVG × ε_cond</t>
        </is>
      </c>
      <c r="E483" s="16" t="inlineStr">
        <is>
          <t>KF-M02R</t>
        </is>
      </c>
      <c r="F483" s="16" t="inlineStr">
        <is>
          <t>KF-M02R-n2a</t>
        </is>
      </c>
      <c r="G483" s="16" t="inlineStr">
        <is>
          <t>B04-n2a</t>
        </is>
      </c>
      <c r="H483" s="16" t="inlineStr">
        <is>
          <t>malla</t>
        </is>
      </c>
      <c r="I483" s="16" t="inlineStr">
        <is>
          <t>CORREGIBLE</t>
        </is>
      </c>
      <c r="J483" s="16" t="inlineStr">
        <is>
          <t>CORREGIBLE</t>
        </is>
      </c>
      <c r="K483" s="16" t="b">
        <v>1</v>
      </c>
      <c r="L483" s="16" t="b">
        <v>0</v>
      </c>
      <c r="M483" s="16" t="b">
        <v>1</v>
      </c>
      <c r="N483" s="16" t="b">
        <v>0</v>
      </c>
      <c r="O483" s="16" t="n">
        <v>623.15</v>
      </c>
      <c r="P483" s="16" t="n">
        <v>300.032917</v>
      </c>
      <c r="Q483" s="16" t="n">
        <v>3000</v>
      </c>
      <c r="R483" s="16" t="n">
        <v>400</v>
      </c>
      <c r="S483" s="16" t="n">
        <v>0.5</v>
      </c>
      <c r="T483" s="16" t="n">
        <v>0.85</v>
      </c>
      <c r="U483" s="16" t="n">
        <v>0.75</v>
      </c>
      <c r="V483" s="16" t="n">
        <v>0.7</v>
      </c>
      <c r="W483" s="16" t="n">
        <v>0.75</v>
      </c>
      <c r="X483" s="16" t="n">
        <v>0.85</v>
      </c>
      <c r="Y483" s="16" t="n"/>
      <c r="Z483" s="16" t="n">
        <v>13.48984340457229</v>
      </c>
      <c r="AA483" s="16" t="n">
        <v>226.3285932543758</v>
      </c>
      <c r="AB483" s="16" t="n">
        <v>2600</v>
      </c>
      <c r="AC483" s="16" t="n">
        <v>7.5</v>
      </c>
      <c r="AD483" s="16" t="inlineStr">
        <is>
          <t>O2</t>
        </is>
      </c>
      <c r="AE483" s="16" t="n"/>
    </row>
    <row r="484">
      <c r="A484" s="16" t="inlineStr">
        <is>
          <t>KF-M02R-n2a-0048</t>
        </is>
      </c>
      <c r="B484" s="16" t="inlineStr">
        <is>
          <t>2.3</t>
        </is>
      </c>
      <c r="C484" s="16" t="inlineStr">
        <is>
          <t>2.3b</t>
        </is>
      </c>
      <c r="D484" s="16" t="inlineStr">
        <is>
          <t>ε_HRVG × ε_cond</t>
        </is>
      </c>
      <c r="E484" s="16" t="inlineStr">
        <is>
          <t>KF-M02R</t>
        </is>
      </c>
      <c r="F484" s="16" t="inlineStr">
        <is>
          <t>KF-M02R-n2a</t>
        </is>
      </c>
      <c r="G484" s="16" t="inlineStr">
        <is>
          <t>B04-n2a</t>
        </is>
      </c>
      <c r="H484" s="16" t="inlineStr">
        <is>
          <t>malla</t>
        </is>
      </c>
      <c r="I484" s="16" t="inlineStr">
        <is>
          <t>CORREGIBLE</t>
        </is>
      </c>
      <c r="J484" s="16" t="inlineStr">
        <is>
          <t>CORREGIBLE</t>
        </is>
      </c>
      <c r="K484" s="16" t="b">
        <v>1</v>
      </c>
      <c r="L484" s="16" t="b">
        <v>0</v>
      </c>
      <c r="M484" s="16" t="b">
        <v>1</v>
      </c>
      <c r="N484" s="16" t="b">
        <v>0</v>
      </c>
      <c r="O484" s="16" t="n">
        <v>623.15</v>
      </c>
      <c r="P484" s="16" t="n">
        <v>300.032917</v>
      </c>
      <c r="Q484" s="16" t="n">
        <v>3000</v>
      </c>
      <c r="R484" s="16" t="n">
        <v>400</v>
      </c>
      <c r="S484" s="16" t="n">
        <v>0.5</v>
      </c>
      <c r="T484" s="16" t="n">
        <v>0.85</v>
      </c>
      <c r="U484" s="16" t="n">
        <v>0.75</v>
      </c>
      <c r="V484" s="16" t="n">
        <v>0.7</v>
      </c>
      <c r="W484" s="16" t="n">
        <v>0.75</v>
      </c>
      <c r="X484" s="16" t="n">
        <v>0.8</v>
      </c>
      <c r="Y484" s="16" t="n"/>
      <c r="Z484" s="16" t="n">
        <v>13.13284705594226</v>
      </c>
      <c r="AA484" s="16" t="n">
        <v>211.4569646865727</v>
      </c>
      <c r="AB484" s="16" t="n">
        <v>2600</v>
      </c>
      <c r="AC484" s="16" t="n">
        <v>7.5</v>
      </c>
      <c r="AD484" s="16" t="inlineStr">
        <is>
          <t>O2</t>
        </is>
      </c>
      <c r="AE484" s="16" t="n"/>
    </row>
    <row r="485">
      <c r="A485" s="16" t="inlineStr">
        <is>
          <t>KF-M02R-n2a-0049</t>
        </is>
      </c>
      <c r="B485" s="16" t="inlineStr">
        <is>
          <t>2.3</t>
        </is>
      </c>
      <c r="C485" s="16" t="inlineStr">
        <is>
          <t>2.3b</t>
        </is>
      </c>
      <c r="D485" s="16" t="inlineStr">
        <is>
          <t>ε_HRVG × ε_cond</t>
        </is>
      </c>
      <c r="E485" s="16" t="inlineStr">
        <is>
          <t>KF-M02R</t>
        </is>
      </c>
      <c r="F485" s="16" t="inlineStr">
        <is>
          <t>KF-M02R-n2a</t>
        </is>
      </c>
      <c r="G485" s="16" t="inlineStr">
        <is>
          <t>B04-n2a</t>
        </is>
      </c>
      <c r="H485" s="16" t="inlineStr">
        <is>
          <t>malla</t>
        </is>
      </c>
      <c r="I485" s="16" t="inlineStr">
        <is>
          <t>CORREGIBLE</t>
        </is>
      </c>
      <c r="J485" s="16" t="inlineStr">
        <is>
          <t>CORREGIBLE</t>
        </is>
      </c>
      <c r="K485" s="16" t="b">
        <v>1</v>
      </c>
      <c r="L485" s="16" t="b">
        <v>0</v>
      </c>
      <c r="M485" s="16" t="b">
        <v>1</v>
      </c>
      <c r="N485" s="16" t="b">
        <v>0</v>
      </c>
      <c r="O485" s="16" t="n">
        <v>623.15</v>
      </c>
      <c r="P485" s="16" t="n">
        <v>300.032917</v>
      </c>
      <c r="Q485" s="16" t="n">
        <v>3000</v>
      </c>
      <c r="R485" s="16" t="n">
        <v>400</v>
      </c>
      <c r="S485" s="16" t="n">
        <v>0.5</v>
      </c>
      <c r="T485" s="16" t="n">
        <v>0.85</v>
      </c>
      <c r="U485" s="16" t="n">
        <v>0.75</v>
      </c>
      <c r="V485" s="16" t="n">
        <v>0.7</v>
      </c>
      <c r="W485" s="16" t="n">
        <v>0.75</v>
      </c>
      <c r="X485" s="16" t="n">
        <v>0.95</v>
      </c>
      <c r="Y485" s="16" t="n"/>
      <c r="Z485" s="16" t="n">
        <v>13.30186839143493</v>
      </c>
      <c r="AA485" s="16" t="n">
        <v>238.1266541164387</v>
      </c>
      <c r="AB485" s="16" t="n">
        <v>2600</v>
      </c>
      <c r="AC485" s="16" t="n">
        <v>7.5</v>
      </c>
      <c r="AD485" s="16" t="inlineStr">
        <is>
          <t>O2</t>
        </is>
      </c>
      <c r="AE485" s="16" t="n"/>
    </row>
    <row r="486">
      <c r="A486" s="16" t="inlineStr">
        <is>
          <t>KF-M02R-n2a-0050</t>
        </is>
      </c>
      <c r="B486" s="16" t="inlineStr">
        <is>
          <t>2.3</t>
        </is>
      </c>
      <c r="C486" s="16" t="inlineStr">
        <is>
          <t>2.3b</t>
        </is>
      </c>
      <c r="D486" s="16" t="inlineStr">
        <is>
          <t>ε_HRVG × ε_cond</t>
        </is>
      </c>
      <c r="E486" s="16" t="inlineStr">
        <is>
          <t>KF-M02R</t>
        </is>
      </c>
      <c r="F486" s="16" t="inlineStr">
        <is>
          <t>KF-M02R-n2a</t>
        </is>
      </c>
      <c r="G486" s="16" t="inlineStr">
        <is>
          <t>B04-n2a</t>
        </is>
      </c>
      <c r="H486" s="16" t="inlineStr">
        <is>
          <t>malla</t>
        </is>
      </c>
      <c r="I486" s="16" t="inlineStr">
        <is>
          <t>NO_CONVERGIO</t>
        </is>
      </c>
      <c r="J486" s="16" t="inlineStr">
        <is>
          <t>NO_CONVERGIO</t>
        </is>
      </c>
      <c r="K486" s="16" t="b">
        <v>0</v>
      </c>
      <c r="L486" s="16" t="b">
        <v>0</v>
      </c>
      <c r="M486" s="16" t="b">
        <v>0</v>
      </c>
      <c r="N486" s="16" t="b">
        <v>0</v>
      </c>
      <c r="O486" s="16" t="n">
        <v>623.15</v>
      </c>
      <c r="P486" s="16" t="n">
        <v>300.032917</v>
      </c>
      <c r="Q486" s="16" t="n">
        <v>3000</v>
      </c>
      <c r="R486" s="16" t="n">
        <v>400</v>
      </c>
      <c r="S486" s="16" t="n">
        <v>0.5</v>
      </c>
      <c r="T486" s="16" t="n">
        <v>0.85</v>
      </c>
      <c r="U486" s="16" t="n">
        <v>0.75</v>
      </c>
      <c r="V486" s="16" t="n">
        <v>0.8</v>
      </c>
      <c r="W486" s="16" t="n">
        <v>0.75</v>
      </c>
      <c r="X486" s="16" t="n">
        <v>0.55</v>
      </c>
      <c r="Y486" s="16" t="n"/>
      <c r="Z486" s="16" t="n"/>
      <c r="AA486" s="16" t="n"/>
      <c r="AB486" s="16" t="n">
        <v>2600</v>
      </c>
      <c r="AC486" s="16" t="n">
        <v>7.5</v>
      </c>
      <c r="AD486" s="16" t="n"/>
      <c r="AE486" s="16" t="n"/>
    </row>
    <row r="487">
      <c r="A487" s="16" t="inlineStr">
        <is>
          <t>KF-M02R-n2a-0051</t>
        </is>
      </c>
      <c r="B487" s="16" t="inlineStr">
        <is>
          <t>2.3</t>
        </is>
      </c>
      <c r="C487" s="16" t="inlineStr">
        <is>
          <t>2.3b</t>
        </is>
      </c>
      <c r="D487" s="16" t="inlineStr">
        <is>
          <t>ε_HRVG × ε_cond</t>
        </is>
      </c>
      <c r="E487" s="16" t="inlineStr">
        <is>
          <t>KF-M02R</t>
        </is>
      </c>
      <c r="F487" s="16" t="inlineStr">
        <is>
          <t>KF-M02R-n2a</t>
        </is>
      </c>
      <c r="G487" s="16" t="inlineStr">
        <is>
          <t>B04-n2a</t>
        </is>
      </c>
      <c r="H487" s="16" t="inlineStr">
        <is>
          <t>malla</t>
        </is>
      </c>
      <c r="I487" s="16" t="inlineStr">
        <is>
          <t>NO_CONVERGIO</t>
        </is>
      </c>
      <c r="J487" s="16" t="inlineStr">
        <is>
          <t>NO_CONVERGIO</t>
        </is>
      </c>
      <c r="K487" s="16" t="b">
        <v>0</v>
      </c>
      <c r="L487" s="16" t="b">
        <v>0</v>
      </c>
      <c r="M487" s="16" t="b">
        <v>0</v>
      </c>
      <c r="N487" s="16" t="b">
        <v>0</v>
      </c>
      <c r="O487" s="16" t="n">
        <v>623.15</v>
      </c>
      <c r="P487" s="16" t="n">
        <v>300.032917</v>
      </c>
      <c r="Q487" s="16" t="n">
        <v>3000</v>
      </c>
      <c r="R487" s="16" t="n">
        <v>400</v>
      </c>
      <c r="S487" s="16" t="n">
        <v>0.5</v>
      </c>
      <c r="T487" s="16" t="n">
        <v>0.85</v>
      </c>
      <c r="U487" s="16" t="n">
        <v>0.75</v>
      </c>
      <c r="V487" s="16" t="n">
        <v>0.8</v>
      </c>
      <c r="W487" s="16" t="n">
        <v>0.75</v>
      </c>
      <c r="X487" s="16" t="n">
        <v>0.6</v>
      </c>
      <c r="Y487" s="16" t="n"/>
      <c r="Z487" s="16" t="n"/>
      <c r="AA487" s="16" t="n"/>
      <c r="AB487" s="16" t="n">
        <v>2600</v>
      </c>
      <c r="AC487" s="16" t="n">
        <v>7.5</v>
      </c>
      <c r="AD487" s="16" t="n"/>
      <c r="AE487" s="16" t="n"/>
    </row>
    <row r="488">
      <c r="A488" s="16" t="inlineStr">
        <is>
          <t>KF-M02R-n2a-0052</t>
        </is>
      </c>
      <c r="B488" s="16" t="inlineStr">
        <is>
          <t>2.3</t>
        </is>
      </c>
      <c r="C488" s="16" t="inlineStr">
        <is>
          <t>2.3b</t>
        </is>
      </c>
      <c r="D488" s="16" t="inlineStr">
        <is>
          <t>ε_HRVG × ε_cond</t>
        </is>
      </c>
      <c r="E488" s="16" t="inlineStr">
        <is>
          <t>KF-M02R</t>
        </is>
      </c>
      <c r="F488" s="16" t="inlineStr">
        <is>
          <t>KF-M02R-n2a</t>
        </is>
      </c>
      <c r="G488" s="16" t="inlineStr">
        <is>
          <t>B04-n2a</t>
        </is>
      </c>
      <c r="H488" s="16" t="inlineStr">
        <is>
          <t>malla</t>
        </is>
      </c>
      <c r="I488" s="16" t="inlineStr">
        <is>
          <t>NO_CONVERGIO</t>
        </is>
      </c>
      <c r="J488" s="16" t="inlineStr">
        <is>
          <t>NO_CONVERGIO</t>
        </is>
      </c>
      <c r="K488" s="16" t="b">
        <v>0</v>
      </c>
      <c r="L488" s="16" t="b">
        <v>0</v>
      </c>
      <c r="M488" s="16" t="b">
        <v>0</v>
      </c>
      <c r="N488" s="16" t="b">
        <v>0</v>
      </c>
      <c r="O488" s="16" t="n">
        <v>623.15</v>
      </c>
      <c r="P488" s="16" t="n">
        <v>300.032917</v>
      </c>
      <c r="Q488" s="16" t="n">
        <v>3000</v>
      </c>
      <c r="R488" s="16" t="n">
        <v>400</v>
      </c>
      <c r="S488" s="16" t="n">
        <v>0.5</v>
      </c>
      <c r="T488" s="16" t="n">
        <v>0.85</v>
      </c>
      <c r="U488" s="16" t="n">
        <v>0.75</v>
      </c>
      <c r="V488" s="16" t="n">
        <v>0.8</v>
      </c>
      <c r="W488" s="16" t="n">
        <v>0.75</v>
      </c>
      <c r="X488" s="16" t="n">
        <v>0.5</v>
      </c>
      <c r="Y488" s="16" t="n"/>
      <c r="Z488" s="16" t="n"/>
      <c r="AA488" s="16" t="n"/>
      <c r="AB488" s="16" t="n">
        <v>2600</v>
      </c>
      <c r="AC488" s="16" t="n">
        <v>7.5</v>
      </c>
      <c r="AD488" s="16" t="n"/>
      <c r="AE488" s="16" t="n"/>
    </row>
    <row r="489">
      <c r="A489" s="16" t="inlineStr">
        <is>
          <t>KF-M02R-n2a-0053</t>
        </is>
      </c>
      <c r="B489" s="16" t="inlineStr">
        <is>
          <t>2.3</t>
        </is>
      </c>
      <c r="C489" s="16" t="inlineStr">
        <is>
          <t>2.3b</t>
        </is>
      </c>
      <c r="D489" s="16" t="inlineStr">
        <is>
          <t>ε_HRVG × ε_cond</t>
        </is>
      </c>
      <c r="E489" s="16" t="inlineStr">
        <is>
          <t>KF-M02R</t>
        </is>
      </c>
      <c r="F489" s="16" t="inlineStr">
        <is>
          <t>KF-M02R-n2a</t>
        </is>
      </c>
      <c r="G489" s="16" t="inlineStr">
        <is>
          <t>B04-n2a</t>
        </is>
      </c>
      <c r="H489" s="16" t="inlineStr">
        <is>
          <t>malla</t>
        </is>
      </c>
      <c r="I489" s="16" t="inlineStr">
        <is>
          <t>NO_CONVERGIO</t>
        </is>
      </c>
      <c r="J489" s="16" t="inlineStr">
        <is>
          <t>NO_CONVERGIO</t>
        </is>
      </c>
      <c r="K489" s="16" t="b">
        <v>0</v>
      </c>
      <c r="L489" s="16" t="b">
        <v>0</v>
      </c>
      <c r="M489" s="16" t="b">
        <v>0</v>
      </c>
      <c r="N489" s="16" t="b">
        <v>0</v>
      </c>
      <c r="O489" s="16" t="n">
        <v>623.15</v>
      </c>
      <c r="P489" s="16" t="n">
        <v>300.032917</v>
      </c>
      <c r="Q489" s="16" t="n">
        <v>3000</v>
      </c>
      <c r="R489" s="16" t="n">
        <v>400</v>
      </c>
      <c r="S489" s="16" t="n">
        <v>0.5</v>
      </c>
      <c r="T489" s="16" t="n">
        <v>0.85</v>
      </c>
      <c r="U489" s="16" t="n">
        <v>0.75</v>
      </c>
      <c r="V489" s="16" t="n">
        <v>0.8</v>
      </c>
      <c r="W489" s="16" t="n">
        <v>0.75</v>
      </c>
      <c r="X489" s="16" t="n">
        <v>0.65</v>
      </c>
      <c r="Y489" s="16" t="n"/>
      <c r="Z489" s="16" t="n"/>
      <c r="AA489" s="16" t="n"/>
      <c r="AB489" s="16" t="n">
        <v>2600</v>
      </c>
      <c r="AC489" s="16" t="n">
        <v>7.5</v>
      </c>
      <c r="AD489" s="16" t="n"/>
      <c r="AE489" s="16" t="n"/>
    </row>
    <row r="490">
      <c r="A490" s="16" t="inlineStr">
        <is>
          <t>KF-M02R-n2a-0054</t>
        </is>
      </c>
      <c r="B490" s="16" t="inlineStr">
        <is>
          <t>2.3</t>
        </is>
      </c>
      <c r="C490" s="16" t="inlineStr">
        <is>
          <t>2.3b</t>
        </is>
      </c>
      <c r="D490" s="16" t="inlineStr">
        <is>
          <t>ε_HRVG × ε_cond</t>
        </is>
      </c>
      <c r="E490" s="16" t="inlineStr">
        <is>
          <t>KF-M02R</t>
        </is>
      </c>
      <c r="F490" s="16" t="inlineStr">
        <is>
          <t>KF-M02R-n2a</t>
        </is>
      </c>
      <c r="G490" s="16" t="inlineStr">
        <is>
          <t>B04-n2a</t>
        </is>
      </c>
      <c r="H490" s="16" t="inlineStr">
        <is>
          <t>malla</t>
        </is>
      </c>
      <c r="I490" s="16" t="inlineStr">
        <is>
          <t>NO_CONVERGIO</t>
        </is>
      </c>
      <c r="J490" s="16" t="inlineStr">
        <is>
          <t>NO_CONVERGIO</t>
        </is>
      </c>
      <c r="K490" s="16" t="b">
        <v>0</v>
      </c>
      <c r="L490" s="16" t="b">
        <v>0</v>
      </c>
      <c r="M490" s="16" t="b">
        <v>0</v>
      </c>
      <c r="N490" s="16" t="b">
        <v>0</v>
      </c>
      <c r="O490" s="16" t="n">
        <v>623.15</v>
      </c>
      <c r="P490" s="16" t="n">
        <v>300.032917</v>
      </c>
      <c r="Q490" s="16" t="n">
        <v>3000</v>
      </c>
      <c r="R490" s="16" t="n">
        <v>400</v>
      </c>
      <c r="S490" s="16" t="n">
        <v>0.5</v>
      </c>
      <c r="T490" s="16" t="n">
        <v>0.85</v>
      </c>
      <c r="U490" s="16" t="n">
        <v>0.75</v>
      </c>
      <c r="V490" s="16" t="n">
        <v>0.8</v>
      </c>
      <c r="W490" s="16" t="n">
        <v>0.75</v>
      </c>
      <c r="X490" s="16" t="n">
        <v>0.7</v>
      </c>
      <c r="Y490" s="16" t="n"/>
      <c r="Z490" s="16" t="n"/>
      <c r="AA490" s="16" t="n"/>
      <c r="AB490" s="16" t="n">
        <v>2600</v>
      </c>
      <c r="AC490" s="16" t="n">
        <v>7.5</v>
      </c>
      <c r="AD490" s="16" t="n"/>
      <c r="AE490" s="16" t="n"/>
    </row>
    <row r="491">
      <c r="A491" s="16" t="inlineStr">
        <is>
          <t>KF-M02R-n2a-0055</t>
        </is>
      </c>
      <c r="B491" s="16" t="inlineStr">
        <is>
          <t>2.3</t>
        </is>
      </c>
      <c r="C491" s="16" t="inlineStr">
        <is>
          <t>2.3b</t>
        </is>
      </c>
      <c r="D491" s="16" t="inlineStr">
        <is>
          <t>ε_HRVG × ε_cond</t>
        </is>
      </c>
      <c r="E491" s="16" t="inlineStr">
        <is>
          <t>KF-M02R</t>
        </is>
      </c>
      <c r="F491" s="16" t="inlineStr">
        <is>
          <t>KF-M02R-n2a</t>
        </is>
      </c>
      <c r="G491" s="16" t="inlineStr">
        <is>
          <t>B04-n2a</t>
        </is>
      </c>
      <c r="H491" s="16" t="inlineStr">
        <is>
          <t>malla</t>
        </is>
      </c>
      <c r="I491" s="16" t="inlineStr">
        <is>
          <t>NO_CONVERGIO</t>
        </is>
      </c>
      <c r="J491" s="16" t="inlineStr">
        <is>
          <t>NO_CONVERGIO</t>
        </is>
      </c>
      <c r="K491" s="16" t="b">
        <v>0</v>
      </c>
      <c r="L491" s="16" t="b">
        <v>0</v>
      </c>
      <c r="M491" s="16" t="b">
        <v>0</v>
      </c>
      <c r="N491" s="16" t="b">
        <v>0</v>
      </c>
      <c r="O491" s="16" t="n">
        <v>623.15</v>
      </c>
      <c r="P491" s="16" t="n">
        <v>300.032917</v>
      </c>
      <c r="Q491" s="16" t="n">
        <v>3000</v>
      </c>
      <c r="R491" s="16" t="n">
        <v>400</v>
      </c>
      <c r="S491" s="16" t="n">
        <v>0.5</v>
      </c>
      <c r="T491" s="16" t="n">
        <v>0.85</v>
      </c>
      <c r="U491" s="16" t="n">
        <v>0.75</v>
      </c>
      <c r="V491" s="16" t="n">
        <v>0.8</v>
      </c>
      <c r="W491" s="16" t="n">
        <v>0.75</v>
      </c>
      <c r="X491" s="16" t="n">
        <v>0.95</v>
      </c>
      <c r="Y491" s="16" t="n"/>
      <c r="Z491" s="16" t="n"/>
      <c r="AA491" s="16" t="n"/>
      <c r="AB491" s="16" t="n">
        <v>2600</v>
      </c>
      <c r="AC491" s="16" t="n">
        <v>7.5</v>
      </c>
      <c r="AD491" s="16" t="n"/>
      <c r="AE491" s="16" t="n"/>
    </row>
    <row r="492">
      <c r="A492" s="16" t="inlineStr">
        <is>
          <t>KF-M02R-n2a-0056</t>
        </is>
      </c>
      <c r="B492" s="16" t="inlineStr">
        <is>
          <t>2.3</t>
        </is>
      </c>
      <c r="C492" s="16" t="inlineStr">
        <is>
          <t>2.3b</t>
        </is>
      </c>
      <c r="D492" s="16" t="inlineStr">
        <is>
          <t>ε_HRVG × ε_cond</t>
        </is>
      </c>
      <c r="E492" s="16" t="inlineStr">
        <is>
          <t>KF-M02R</t>
        </is>
      </c>
      <c r="F492" s="16" t="inlineStr">
        <is>
          <t>KF-M02R-n2a</t>
        </is>
      </c>
      <c r="G492" s="16" t="inlineStr">
        <is>
          <t>B04-n2a</t>
        </is>
      </c>
      <c r="H492" s="16" t="inlineStr">
        <is>
          <t>malla</t>
        </is>
      </c>
      <c r="I492" s="16" t="inlineStr">
        <is>
          <t>CORREGIBLE</t>
        </is>
      </c>
      <c r="J492" s="16" t="inlineStr">
        <is>
          <t>CORREGIBLE</t>
        </is>
      </c>
      <c r="K492" s="16" t="b">
        <v>1</v>
      </c>
      <c r="L492" s="16" t="b">
        <v>0</v>
      </c>
      <c r="M492" s="16" t="b">
        <v>1</v>
      </c>
      <c r="N492" s="16" t="b">
        <v>0</v>
      </c>
      <c r="O492" s="16" t="n">
        <v>623.15</v>
      </c>
      <c r="P492" s="16" t="n">
        <v>300.032917</v>
      </c>
      <c r="Q492" s="16" t="n">
        <v>3000</v>
      </c>
      <c r="R492" s="16" t="n">
        <v>400</v>
      </c>
      <c r="S492" s="16" t="n">
        <v>0.5</v>
      </c>
      <c r="T492" s="16" t="n">
        <v>0.85</v>
      </c>
      <c r="U492" s="16" t="n">
        <v>0.75</v>
      </c>
      <c r="V492" s="16" t="n">
        <v>0.8</v>
      </c>
      <c r="W492" s="16" t="n">
        <v>0.75</v>
      </c>
      <c r="X492" s="16" t="n">
        <v>0.8</v>
      </c>
      <c r="Y492" s="16" t="n"/>
      <c r="Z492" s="16" t="n">
        <v>13.05256955921826</v>
      </c>
      <c r="AA492" s="16" t="n">
        <v>237.901343628812</v>
      </c>
      <c r="AB492" s="16" t="n">
        <v>2600</v>
      </c>
      <c r="AC492" s="16" t="n">
        <v>7.5</v>
      </c>
      <c r="AD492" s="16" t="inlineStr">
        <is>
          <t>O1,O2</t>
        </is>
      </c>
      <c r="AE492" s="16" t="n"/>
    </row>
    <row r="493">
      <c r="A493" s="16" t="inlineStr">
        <is>
          <t>KF-M02R-n2a-0057</t>
        </is>
      </c>
      <c r="B493" s="16" t="inlineStr">
        <is>
          <t>2.3</t>
        </is>
      </c>
      <c r="C493" s="16" t="inlineStr">
        <is>
          <t>2.3b</t>
        </is>
      </c>
      <c r="D493" s="16" t="inlineStr">
        <is>
          <t>ε_HRVG × ε_cond</t>
        </is>
      </c>
      <c r="E493" s="16" t="inlineStr">
        <is>
          <t>KF-M02R</t>
        </is>
      </c>
      <c r="F493" s="16" t="inlineStr">
        <is>
          <t>KF-M02R-n2a</t>
        </is>
      </c>
      <c r="G493" s="16" t="inlineStr">
        <is>
          <t>B04-n2a</t>
        </is>
      </c>
      <c r="H493" s="16" t="inlineStr">
        <is>
          <t>malla</t>
        </is>
      </c>
      <c r="I493" s="16" t="inlineStr">
        <is>
          <t>CORREGIBLE</t>
        </is>
      </c>
      <c r="J493" s="16" t="inlineStr">
        <is>
          <t>CORREGIBLE</t>
        </is>
      </c>
      <c r="K493" s="16" t="b">
        <v>1</v>
      </c>
      <c r="L493" s="16" t="b">
        <v>0</v>
      </c>
      <c r="M493" s="16" t="b">
        <v>1</v>
      </c>
      <c r="N493" s="16" t="b">
        <v>0</v>
      </c>
      <c r="O493" s="16" t="n">
        <v>623.15</v>
      </c>
      <c r="P493" s="16" t="n">
        <v>300.032917</v>
      </c>
      <c r="Q493" s="16" t="n">
        <v>3000</v>
      </c>
      <c r="R493" s="16" t="n">
        <v>400</v>
      </c>
      <c r="S493" s="16" t="n">
        <v>0.5</v>
      </c>
      <c r="T493" s="16" t="n">
        <v>0.85</v>
      </c>
      <c r="U493" s="16" t="n">
        <v>0.75</v>
      </c>
      <c r="V493" s="16" t="n">
        <v>0.8</v>
      </c>
      <c r="W493" s="16" t="n">
        <v>0.75</v>
      </c>
      <c r="X493" s="16" t="n">
        <v>0.75</v>
      </c>
      <c r="Y493" s="16" t="n"/>
      <c r="Z493" s="16" t="n">
        <v>12.4983232542936</v>
      </c>
      <c r="AA493" s="16" t="n">
        <v>214.9616977183475</v>
      </c>
      <c r="AB493" s="16" t="n">
        <v>2600</v>
      </c>
      <c r="AC493" s="16" t="n">
        <v>7.5</v>
      </c>
      <c r="AD493" s="16" t="inlineStr">
        <is>
          <t>O1,O2</t>
        </is>
      </c>
      <c r="AE493" s="16" t="n"/>
    </row>
    <row r="494">
      <c r="A494" s="16" t="inlineStr">
        <is>
          <t>KF-M02R-n2a-0058</t>
        </is>
      </c>
      <c r="B494" s="16" t="inlineStr">
        <is>
          <t>2.3</t>
        </is>
      </c>
      <c r="C494" s="16" t="inlineStr">
        <is>
          <t>2.3b</t>
        </is>
      </c>
      <c r="D494" s="16" t="inlineStr">
        <is>
          <t>ε_HRVG × ε_cond</t>
        </is>
      </c>
      <c r="E494" s="16" t="inlineStr">
        <is>
          <t>KF-M02R</t>
        </is>
      </c>
      <c r="F494" s="16" t="inlineStr">
        <is>
          <t>KF-M02R-n2a</t>
        </is>
      </c>
      <c r="G494" s="16" t="inlineStr">
        <is>
          <t>B04-n2a</t>
        </is>
      </c>
      <c r="H494" s="16" t="inlineStr">
        <is>
          <t>malla</t>
        </is>
      </c>
      <c r="I494" s="16" t="inlineStr">
        <is>
          <t>CORREGIBLE</t>
        </is>
      </c>
      <c r="J494" s="16" t="inlineStr">
        <is>
          <t>CORREGIBLE</t>
        </is>
      </c>
      <c r="K494" s="16" t="b">
        <v>1</v>
      </c>
      <c r="L494" s="16" t="b">
        <v>0</v>
      </c>
      <c r="M494" s="16" t="b">
        <v>1</v>
      </c>
      <c r="N494" s="16" t="b">
        <v>0</v>
      </c>
      <c r="O494" s="16" t="n">
        <v>623.15</v>
      </c>
      <c r="P494" s="16" t="n">
        <v>300.032917</v>
      </c>
      <c r="Q494" s="16" t="n">
        <v>3000</v>
      </c>
      <c r="R494" s="16" t="n">
        <v>400</v>
      </c>
      <c r="S494" s="16" t="n">
        <v>0.5</v>
      </c>
      <c r="T494" s="16" t="n">
        <v>0.85</v>
      </c>
      <c r="U494" s="16" t="n">
        <v>0.75</v>
      </c>
      <c r="V494" s="16" t="n">
        <v>0.8</v>
      </c>
      <c r="W494" s="16" t="n">
        <v>0.75</v>
      </c>
      <c r="X494" s="16" t="n">
        <v>0.85</v>
      </c>
      <c r="Y494" s="16" t="n"/>
      <c r="Z494" s="16" t="n">
        <v>13.45666226449551</v>
      </c>
      <c r="AA494" s="16" t="n">
        <v>258.318098609209</v>
      </c>
      <c r="AB494" s="16" t="n">
        <v>2600</v>
      </c>
      <c r="AC494" s="16" t="n">
        <v>7.5</v>
      </c>
      <c r="AD494" s="16" t="inlineStr">
        <is>
          <t>O1,O2</t>
        </is>
      </c>
      <c r="AE494" s="16" t="n"/>
    </row>
    <row r="495">
      <c r="A495" s="16" t="inlineStr">
        <is>
          <t>KF-M02R-n2a-0059</t>
        </is>
      </c>
      <c r="B495" s="16" t="inlineStr">
        <is>
          <t>2.3</t>
        </is>
      </c>
      <c r="C495" s="16" t="inlineStr">
        <is>
          <t>2.3b</t>
        </is>
      </c>
      <c r="D495" s="16" t="inlineStr">
        <is>
          <t>ε_HRVG × ε_cond</t>
        </is>
      </c>
      <c r="E495" s="16" t="inlineStr">
        <is>
          <t>KF-M02R</t>
        </is>
      </c>
      <c r="F495" s="16" t="inlineStr">
        <is>
          <t>KF-M02R-n2a</t>
        </is>
      </c>
      <c r="G495" s="16" t="inlineStr">
        <is>
          <t>B04-n2a</t>
        </is>
      </c>
      <c r="H495" s="16" t="inlineStr">
        <is>
          <t>malla</t>
        </is>
      </c>
      <c r="I495" s="16" t="inlineStr">
        <is>
          <t>CORREGIBLE</t>
        </is>
      </c>
      <c r="J495" s="16" t="inlineStr">
        <is>
          <t>CORREGIBLE</t>
        </is>
      </c>
      <c r="K495" s="16" t="b">
        <v>1</v>
      </c>
      <c r="L495" s="16" t="b">
        <v>0</v>
      </c>
      <c r="M495" s="16" t="b">
        <v>1</v>
      </c>
      <c r="N495" s="16" t="b">
        <v>0</v>
      </c>
      <c r="O495" s="16" t="n">
        <v>623.15</v>
      </c>
      <c r="P495" s="16" t="n">
        <v>300.032917</v>
      </c>
      <c r="Q495" s="16" t="n">
        <v>3000</v>
      </c>
      <c r="R495" s="16" t="n">
        <v>400</v>
      </c>
      <c r="S495" s="16" t="n">
        <v>0.5</v>
      </c>
      <c r="T495" s="16" t="n">
        <v>0.85</v>
      </c>
      <c r="U495" s="16" t="n">
        <v>0.75</v>
      </c>
      <c r="V495" s="16" t="n">
        <v>0.8</v>
      </c>
      <c r="W495" s="16" t="n">
        <v>0.75</v>
      </c>
      <c r="X495" s="16" t="n">
        <v>0.8999999999999999</v>
      </c>
      <c r="Y495" s="16" t="n"/>
      <c r="Z495" s="16" t="n">
        <v>13.52674731048322</v>
      </c>
      <c r="AA495" s="16" t="n">
        <v>271.4765289500496</v>
      </c>
      <c r="AB495" s="16" t="n">
        <v>2600</v>
      </c>
      <c r="AC495" s="16" t="n">
        <v>7.5</v>
      </c>
      <c r="AD495" s="16" t="inlineStr">
        <is>
          <t>O1,O2</t>
        </is>
      </c>
      <c r="AE495" s="16" t="n"/>
    </row>
    <row r="496">
      <c r="A496" s="16" t="inlineStr">
        <is>
          <t>KF-M02R-n2b-0000</t>
        </is>
      </c>
      <c r="B496" s="16" t="inlineStr">
        <is>
          <t>2.3</t>
        </is>
      </c>
      <c r="C496" s="16" t="inlineStr">
        <is>
          <t>2.3c</t>
        </is>
      </c>
      <c r="D496" s="16" t="inlineStr">
        <is>
          <t>ε_HRVG × P_baja</t>
        </is>
      </c>
      <c r="E496" s="16" t="inlineStr">
        <is>
          <t>KF-M02R</t>
        </is>
      </c>
      <c r="F496" s="16" t="inlineStr">
        <is>
          <t>KF-M02R-n2b</t>
        </is>
      </c>
      <c r="G496" s="16" t="inlineStr">
        <is>
          <t>B04-n2b</t>
        </is>
      </c>
      <c r="H496" s="16" t="inlineStr">
        <is>
          <t>malla</t>
        </is>
      </c>
      <c r="I496" s="16" t="inlineStr">
        <is>
          <t>CORREGIBLE</t>
        </is>
      </c>
      <c r="J496" s="16" t="inlineStr">
        <is>
          <t>CORREGIBLE</t>
        </is>
      </c>
      <c r="K496" s="16" t="b">
        <v>1</v>
      </c>
      <c r="L496" s="16" t="b">
        <v>0</v>
      </c>
      <c r="M496" s="16" t="b">
        <v>1</v>
      </c>
      <c r="N496" s="16" t="b">
        <v>0</v>
      </c>
      <c r="O496" s="16" t="n">
        <v>623.15</v>
      </c>
      <c r="P496" s="16" t="n">
        <v>300.032917</v>
      </c>
      <c r="Q496" s="16" t="n">
        <v>3000</v>
      </c>
      <c r="R496" s="16" t="n">
        <v>400</v>
      </c>
      <c r="S496" s="16" t="n">
        <v>0.5</v>
      </c>
      <c r="T496" s="16" t="n">
        <v>0.85</v>
      </c>
      <c r="U496" s="16" t="n">
        <v>0.75</v>
      </c>
      <c r="V496" s="16" t="n">
        <v>0.4</v>
      </c>
      <c r="W496" s="16" t="n">
        <v>0.75</v>
      </c>
      <c r="X496" s="16" t="n">
        <v>0.8</v>
      </c>
      <c r="Y496" s="16" t="n"/>
      <c r="Z496" s="16" t="n">
        <v>13.31771154737231</v>
      </c>
      <c r="AA496" s="16" t="n">
        <v>124.9305023358619</v>
      </c>
      <c r="AB496" s="16" t="n">
        <v>2600</v>
      </c>
      <c r="AC496" s="16" t="n">
        <v>7.5</v>
      </c>
      <c r="AD496" s="16" t="inlineStr">
        <is>
          <t>O2</t>
        </is>
      </c>
      <c r="AE496" s="16" t="n"/>
    </row>
    <row r="497">
      <c r="A497" s="16" t="inlineStr">
        <is>
          <t>KF-M02R-n2b-0001</t>
        </is>
      </c>
      <c r="B497" s="16" t="inlineStr">
        <is>
          <t>2.3</t>
        </is>
      </c>
      <c r="C497" s="16" t="inlineStr">
        <is>
          <t>2.3c</t>
        </is>
      </c>
      <c r="D497" s="16" t="inlineStr">
        <is>
          <t>ε_HRVG × P_baja</t>
        </is>
      </c>
      <c r="E497" s="16" t="inlineStr">
        <is>
          <t>KF-M02R</t>
        </is>
      </c>
      <c r="F497" s="16" t="inlineStr">
        <is>
          <t>KF-M02R-n2b</t>
        </is>
      </c>
      <c r="G497" s="16" t="inlineStr">
        <is>
          <t>B04-n2b</t>
        </is>
      </c>
      <c r="H497" s="16" t="inlineStr">
        <is>
          <t>malla</t>
        </is>
      </c>
      <c r="I497" s="16" t="inlineStr">
        <is>
          <t>CORREGIBLE</t>
        </is>
      </c>
      <c r="J497" s="16" t="inlineStr">
        <is>
          <t>CORREGIBLE</t>
        </is>
      </c>
      <c r="K497" s="16" t="b">
        <v>1</v>
      </c>
      <c r="L497" s="16" t="b">
        <v>0</v>
      </c>
      <c r="M497" s="16" t="b">
        <v>1</v>
      </c>
      <c r="N497" s="16" t="b">
        <v>0</v>
      </c>
      <c r="O497" s="16" t="n">
        <v>623.15</v>
      </c>
      <c r="P497" s="16" t="n">
        <v>300.032917</v>
      </c>
      <c r="Q497" s="16" t="n">
        <v>3000</v>
      </c>
      <c r="R497" s="16" t="n">
        <v>545.4545454545455</v>
      </c>
      <c r="S497" s="16" t="n">
        <v>0.5</v>
      </c>
      <c r="T497" s="16" t="n">
        <v>0.85</v>
      </c>
      <c r="U497" s="16" t="n">
        <v>0.75</v>
      </c>
      <c r="V497" s="16" t="n">
        <v>0.4</v>
      </c>
      <c r="W497" s="16" t="n">
        <v>0.75</v>
      </c>
      <c r="X497" s="16" t="n">
        <v>0.8</v>
      </c>
      <c r="Y497" s="16" t="n"/>
      <c r="Z497" s="16" t="n">
        <v>11.78969836323735</v>
      </c>
      <c r="AA497" s="16" t="n">
        <v>110.651555870585</v>
      </c>
      <c r="AB497" s="16" t="n">
        <v>2454.545454545455</v>
      </c>
      <c r="AC497" s="16" t="n">
        <v>5.5</v>
      </c>
      <c r="AD497" s="16" t="inlineStr">
        <is>
          <t>O2</t>
        </is>
      </c>
      <c r="AE497" s="16" t="n"/>
    </row>
    <row r="498">
      <c r="A498" s="16" t="inlineStr">
        <is>
          <t>KF-M02R-n2b-0002</t>
        </is>
      </c>
      <c r="B498" s="16" t="inlineStr">
        <is>
          <t>2.3</t>
        </is>
      </c>
      <c r="C498" s="16" t="inlineStr">
        <is>
          <t>2.3c</t>
        </is>
      </c>
      <c r="D498" s="16" t="inlineStr">
        <is>
          <t>ε_HRVG × P_baja</t>
        </is>
      </c>
      <c r="E498" s="16" t="inlineStr">
        <is>
          <t>KF-M02R</t>
        </is>
      </c>
      <c r="F498" s="16" t="inlineStr">
        <is>
          <t>KF-M02R-n2b</t>
        </is>
      </c>
      <c r="G498" s="16" t="inlineStr">
        <is>
          <t>B04-n2b</t>
        </is>
      </c>
      <c r="H498" s="16" t="inlineStr">
        <is>
          <t>malla</t>
        </is>
      </c>
      <c r="I498" s="16" t="inlineStr">
        <is>
          <t>CORREGIBLE</t>
        </is>
      </c>
      <c r="J498" s="16" t="inlineStr">
        <is>
          <t>CORREGIBLE</t>
        </is>
      </c>
      <c r="K498" s="16" t="b">
        <v>1</v>
      </c>
      <c r="L498" s="16" t="b">
        <v>0</v>
      </c>
      <c r="M498" s="16" t="b">
        <v>1</v>
      </c>
      <c r="N498" s="16" t="b">
        <v>0</v>
      </c>
      <c r="O498" s="16" t="n">
        <v>623.15</v>
      </c>
      <c r="P498" s="16" t="n">
        <v>300.032917</v>
      </c>
      <c r="Q498" s="16" t="n">
        <v>3000</v>
      </c>
      <c r="R498" s="16" t="n">
        <v>690.909090909091</v>
      </c>
      <c r="S498" s="16" t="n">
        <v>0.5</v>
      </c>
      <c r="T498" s="16" t="n">
        <v>0.85</v>
      </c>
      <c r="U498" s="16" t="n">
        <v>0.75</v>
      </c>
      <c r="V498" s="16" t="n">
        <v>0.4</v>
      </c>
      <c r="W498" s="16" t="n">
        <v>0.75</v>
      </c>
      <c r="X498" s="16" t="n">
        <v>0.8</v>
      </c>
      <c r="Y498" s="16" t="n"/>
      <c r="Z498" s="16" t="n">
        <v>10.49147869952683</v>
      </c>
      <c r="AA498" s="16" t="n">
        <v>98.47420350618302</v>
      </c>
      <c r="AB498" s="16" t="n">
        <v>2309.090909090909</v>
      </c>
      <c r="AC498" s="16" t="n">
        <v>4.342105263157894</v>
      </c>
      <c r="AD498" s="16" t="inlineStr">
        <is>
          <t>O2</t>
        </is>
      </c>
      <c r="AE498" s="16" t="n"/>
    </row>
    <row r="499">
      <c r="A499" s="16" t="inlineStr">
        <is>
          <t>KF-M02R-n2b-0003</t>
        </is>
      </c>
      <c r="B499" s="16" t="inlineStr">
        <is>
          <t>2.3</t>
        </is>
      </c>
      <c r="C499" s="16" t="inlineStr">
        <is>
          <t>2.3c</t>
        </is>
      </c>
      <c r="D499" s="16" t="inlineStr">
        <is>
          <t>ε_HRVG × P_baja</t>
        </is>
      </c>
      <c r="E499" s="16" t="inlineStr">
        <is>
          <t>KF-M02R</t>
        </is>
      </c>
      <c r="F499" s="16" t="inlineStr">
        <is>
          <t>KF-M02R-n2b</t>
        </is>
      </c>
      <c r="G499" s="16" t="inlineStr">
        <is>
          <t>B04-n2b</t>
        </is>
      </c>
      <c r="H499" s="16" t="inlineStr">
        <is>
          <t>malla</t>
        </is>
      </c>
      <c r="I499" s="16" t="inlineStr">
        <is>
          <t>CORREGIBLE</t>
        </is>
      </c>
      <c r="J499" s="16" t="inlineStr">
        <is>
          <t>CORREGIBLE</t>
        </is>
      </c>
      <c r="K499" s="16" t="b">
        <v>1</v>
      </c>
      <c r="L499" s="16" t="b">
        <v>0</v>
      </c>
      <c r="M499" s="16" t="b">
        <v>1</v>
      </c>
      <c r="N499" s="16" t="b">
        <v>0</v>
      </c>
      <c r="O499" s="16" t="n">
        <v>623.15</v>
      </c>
      <c r="P499" s="16" t="n">
        <v>300.032917</v>
      </c>
      <c r="Q499" s="16" t="n">
        <v>3000</v>
      </c>
      <c r="R499" s="16" t="n">
        <v>836.3636363636364</v>
      </c>
      <c r="S499" s="16" t="n">
        <v>0.5</v>
      </c>
      <c r="T499" s="16" t="n">
        <v>0.85</v>
      </c>
      <c r="U499" s="16" t="n">
        <v>0.75</v>
      </c>
      <c r="V499" s="16" t="n">
        <v>0.4</v>
      </c>
      <c r="W499" s="16" t="n">
        <v>0.75</v>
      </c>
      <c r="X499" s="16" t="n">
        <v>0.8</v>
      </c>
      <c r="Y499" s="16" t="n"/>
      <c r="Z499" s="16" t="n">
        <v>9.350757126524387</v>
      </c>
      <c r="AA499" s="16" t="n">
        <v>87.75395292187814</v>
      </c>
      <c r="AB499" s="16" t="n">
        <v>2163.636363636364</v>
      </c>
      <c r="AC499" s="16" t="n">
        <v>3.58695652173913</v>
      </c>
      <c r="AD499" s="16" t="inlineStr">
        <is>
          <t>O2</t>
        </is>
      </c>
      <c r="AE499" s="16" t="n"/>
    </row>
    <row r="500">
      <c r="A500" s="16" t="inlineStr">
        <is>
          <t>KF-M02R-n2b-0004</t>
        </is>
      </c>
      <c r="B500" s="16" t="inlineStr">
        <is>
          <t>2.3</t>
        </is>
      </c>
      <c r="C500" s="16" t="inlineStr">
        <is>
          <t>2.3c</t>
        </is>
      </c>
      <c r="D500" s="16" t="inlineStr">
        <is>
          <t>ε_HRVG × P_baja</t>
        </is>
      </c>
      <c r="E500" s="16" t="inlineStr">
        <is>
          <t>KF-M02R</t>
        </is>
      </c>
      <c r="F500" s="16" t="inlineStr">
        <is>
          <t>KF-M02R-n2b</t>
        </is>
      </c>
      <c r="G500" s="16" t="inlineStr">
        <is>
          <t>B04-n2b</t>
        </is>
      </c>
      <c r="H500" s="16" t="inlineStr">
        <is>
          <t>malla</t>
        </is>
      </c>
      <c r="I500" s="16" t="inlineStr">
        <is>
          <t>CORREGIBLE</t>
        </is>
      </c>
      <c r="J500" s="16" t="inlineStr">
        <is>
          <t>CORREGIBLE</t>
        </is>
      </c>
      <c r="K500" s="16" t="b">
        <v>1</v>
      </c>
      <c r="L500" s="16" t="b">
        <v>0</v>
      </c>
      <c r="M500" s="16" t="b">
        <v>1</v>
      </c>
      <c r="N500" s="16" t="b">
        <v>0</v>
      </c>
      <c r="O500" s="16" t="n">
        <v>623.15</v>
      </c>
      <c r="P500" s="16" t="n">
        <v>300.032917</v>
      </c>
      <c r="Q500" s="16" t="n">
        <v>3000</v>
      </c>
      <c r="R500" s="16" t="n">
        <v>981.818181818182</v>
      </c>
      <c r="S500" s="16" t="n">
        <v>0.5</v>
      </c>
      <c r="T500" s="16" t="n">
        <v>0.85</v>
      </c>
      <c r="U500" s="16" t="n">
        <v>0.75</v>
      </c>
      <c r="V500" s="16" t="n">
        <v>0.4</v>
      </c>
      <c r="W500" s="16" t="n">
        <v>0.75</v>
      </c>
      <c r="X500" s="16" t="n">
        <v>0.8</v>
      </c>
      <c r="Y500" s="16" t="n"/>
      <c r="Z500" s="16" t="n">
        <v>8.32602106335041</v>
      </c>
      <c r="AA500" s="16" t="n">
        <v>78.11516732905453</v>
      </c>
      <c r="AB500" s="16" t="n">
        <v>2018.181818181818</v>
      </c>
      <c r="AC500" s="16" t="n">
        <v>3.055555555555555</v>
      </c>
      <c r="AD500" s="16" t="inlineStr">
        <is>
          <t>O2</t>
        </is>
      </c>
      <c r="AE500" s="16" t="n"/>
    </row>
    <row r="501">
      <c r="A501" s="16" t="inlineStr">
        <is>
          <t>KF-M02R-n2b-0005</t>
        </is>
      </c>
      <c r="B501" s="16" t="inlineStr">
        <is>
          <t>2.3</t>
        </is>
      </c>
      <c r="C501" s="16" t="inlineStr">
        <is>
          <t>2.3c</t>
        </is>
      </c>
      <c r="D501" s="16" t="inlineStr">
        <is>
          <t>ε_HRVG × P_baja</t>
        </is>
      </c>
      <c r="E501" s="16" t="inlineStr">
        <is>
          <t>KF-M02R</t>
        </is>
      </c>
      <c r="F501" s="16" t="inlineStr">
        <is>
          <t>KF-M02R-n2b</t>
        </is>
      </c>
      <c r="G501" s="16" t="inlineStr">
        <is>
          <t>B04-n2b</t>
        </is>
      </c>
      <c r="H501" s="16" t="inlineStr">
        <is>
          <t>malla</t>
        </is>
      </c>
      <c r="I501" s="16" t="inlineStr">
        <is>
          <t>CORREGIBLE</t>
        </is>
      </c>
      <c r="J501" s="16" t="inlineStr">
        <is>
          <t>CORREGIBLE</t>
        </is>
      </c>
      <c r="K501" s="16" t="b">
        <v>1</v>
      </c>
      <c r="L501" s="16" t="b">
        <v>0</v>
      </c>
      <c r="M501" s="16" t="b">
        <v>1</v>
      </c>
      <c r="N501" s="16" t="b">
        <v>0</v>
      </c>
      <c r="O501" s="16" t="n">
        <v>623.15</v>
      </c>
      <c r="P501" s="16" t="n">
        <v>300.032917</v>
      </c>
      <c r="Q501" s="16" t="n">
        <v>3000</v>
      </c>
      <c r="R501" s="16" t="n">
        <v>1127.272727272728</v>
      </c>
      <c r="S501" s="16" t="n">
        <v>0.5</v>
      </c>
      <c r="T501" s="16" t="n">
        <v>0.85</v>
      </c>
      <c r="U501" s="16" t="n">
        <v>0.75</v>
      </c>
      <c r="V501" s="16" t="n">
        <v>0.4</v>
      </c>
      <c r="W501" s="16" t="n">
        <v>0.75</v>
      </c>
      <c r="X501" s="16" t="n">
        <v>0.8</v>
      </c>
      <c r="Y501" s="16" t="n"/>
      <c r="Z501" s="16" t="n">
        <v>7.39094201993303</v>
      </c>
      <c r="AA501" s="16" t="n">
        <v>69.31719048280738</v>
      </c>
      <c r="AB501" s="16" t="n">
        <v>1872.727272727272</v>
      </c>
      <c r="AC501" s="16" t="n">
        <v>2.661290322580644</v>
      </c>
      <c r="AD501" s="16" t="inlineStr">
        <is>
          <t>O2</t>
        </is>
      </c>
      <c r="AE501" s="16" t="n"/>
    </row>
    <row r="502">
      <c r="A502" s="16" t="inlineStr">
        <is>
          <t>KF-M02R-n2b-0006</t>
        </is>
      </c>
      <c r="B502" s="16" t="inlineStr">
        <is>
          <t>2.3</t>
        </is>
      </c>
      <c r="C502" s="16" t="inlineStr">
        <is>
          <t>2.3c</t>
        </is>
      </c>
      <c r="D502" s="16" t="inlineStr">
        <is>
          <t>ε_HRVG × P_baja</t>
        </is>
      </c>
      <c r="E502" s="16" t="inlineStr">
        <is>
          <t>KF-M02R</t>
        </is>
      </c>
      <c r="F502" s="16" t="inlineStr">
        <is>
          <t>KF-M02R-n2b</t>
        </is>
      </c>
      <c r="G502" s="16" t="inlineStr">
        <is>
          <t>B04-n2b</t>
        </is>
      </c>
      <c r="H502" s="16" t="inlineStr">
        <is>
          <t>malla</t>
        </is>
      </c>
      <c r="I502" s="16" t="inlineStr">
        <is>
          <t>CORREGIBLE</t>
        </is>
      </c>
      <c r="J502" s="16" t="inlineStr">
        <is>
          <t>CORREGIBLE</t>
        </is>
      </c>
      <c r="K502" s="16" t="b">
        <v>1</v>
      </c>
      <c r="L502" s="16" t="b">
        <v>0</v>
      </c>
      <c r="M502" s="16" t="b">
        <v>1</v>
      </c>
      <c r="N502" s="16" t="b">
        <v>0</v>
      </c>
      <c r="O502" s="16" t="n">
        <v>623.15</v>
      </c>
      <c r="P502" s="16" t="n">
        <v>300.032917</v>
      </c>
      <c r="Q502" s="16" t="n">
        <v>3000</v>
      </c>
      <c r="R502" s="16" t="n">
        <v>1272.727272727273</v>
      </c>
      <c r="S502" s="16" t="n">
        <v>0.5</v>
      </c>
      <c r="T502" s="16" t="n">
        <v>0.85</v>
      </c>
      <c r="U502" s="16" t="n">
        <v>0.75</v>
      </c>
      <c r="V502" s="16" t="n">
        <v>0.4</v>
      </c>
      <c r="W502" s="16" t="n">
        <v>0.75</v>
      </c>
      <c r="X502" s="16" t="n">
        <v>0.8</v>
      </c>
      <c r="Y502" s="16" t="n"/>
      <c r="Z502" s="16" t="n">
        <v>6.52764816560204</v>
      </c>
      <c r="AA502" s="16" t="n">
        <v>61.19541000074664</v>
      </c>
      <c r="AB502" s="16" t="n">
        <v>1727.272727272727</v>
      </c>
      <c r="AC502" s="16" t="n">
        <v>2.357142857142857</v>
      </c>
      <c r="AD502" s="16" t="inlineStr">
        <is>
          <t>O2</t>
        </is>
      </c>
      <c r="AE502" s="16" t="n"/>
    </row>
    <row r="503">
      <c r="A503" s="16" t="inlineStr">
        <is>
          <t>KF-M02R-n2b-0007</t>
        </is>
      </c>
      <c r="B503" s="16" t="inlineStr">
        <is>
          <t>2.3</t>
        </is>
      </c>
      <c r="C503" s="16" t="inlineStr">
        <is>
          <t>2.3c</t>
        </is>
      </c>
      <c r="D503" s="16" t="inlineStr">
        <is>
          <t>ε_HRVG × P_baja</t>
        </is>
      </c>
      <c r="E503" s="16" t="inlineStr">
        <is>
          <t>KF-M02R</t>
        </is>
      </c>
      <c r="F503" s="16" t="inlineStr">
        <is>
          <t>KF-M02R-n2b</t>
        </is>
      </c>
      <c r="G503" s="16" t="inlineStr">
        <is>
          <t>B04-n2b</t>
        </is>
      </c>
      <c r="H503" s="16" t="inlineStr">
        <is>
          <t>malla</t>
        </is>
      </c>
      <c r="I503" s="16" t="inlineStr">
        <is>
          <t>KALINA</t>
        </is>
      </c>
      <c r="J503" s="16" t="inlineStr">
        <is>
          <t>KALINA</t>
        </is>
      </c>
      <c r="K503" s="16" t="b">
        <v>1</v>
      </c>
      <c r="L503" s="16" t="b">
        <v>0</v>
      </c>
      <c r="M503" s="16" t="b">
        <v>1</v>
      </c>
      <c r="N503" s="16" t="b">
        <v>0</v>
      </c>
      <c r="O503" s="16" t="n">
        <v>623.15</v>
      </c>
      <c r="P503" s="16" t="n">
        <v>300.032917</v>
      </c>
      <c r="Q503" s="16" t="n">
        <v>3000</v>
      </c>
      <c r="R503" s="16" t="n">
        <v>1418.181818181818</v>
      </c>
      <c r="S503" s="16" t="n">
        <v>0.5</v>
      </c>
      <c r="T503" s="16" t="n">
        <v>0.85</v>
      </c>
      <c r="U503" s="16" t="n">
        <v>0.75</v>
      </c>
      <c r="V503" s="16" t="n">
        <v>0.4</v>
      </c>
      <c r="W503" s="16" t="n">
        <v>0.75</v>
      </c>
      <c r="X503" s="16" t="n">
        <v>0.8</v>
      </c>
      <c r="Y503" s="16" t="n"/>
      <c r="Z503" s="16" t="n">
        <v>5.73009311641862</v>
      </c>
      <c r="AA503" s="16" t="n">
        <v>53.69560460772871</v>
      </c>
      <c r="AB503" s="16" t="n">
        <v>1581.818181818182</v>
      </c>
      <c r="AC503" s="16" t="n">
        <v>2.115384615384615</v>
      </c>
      <c r="AD503" s="16" t="n"/>
      <c r="AE503" s="16" t="n"/>
    </row>
    <row r="504">
      <c r="A504" s="16" t="inlineStr">
        <is>
          <t>KF-M02R-n2b-0008</t>
        </is>
      </c>
      <c r="B504" s="16" t="inlineStr">
        <is>
          <t>2.3</t>
        </is>
      </c>
      <c r="C504" s="16" t="inlineStr">
        <is>
          <t>2.3c</t>
        </is>
      </c>
      <c r="D504" s="16" t="inlineStr">
        <is>
          <t>ε_HRVG × P_baja</t>
        </is>
      </c>
      <c r="E504" s="16" t="inlineStr">
        <is>
          <t>KF-M02R</t>
        </is>
      </c>
      <c r="F504" s="16" t="inlineStr">
        <is>
          <t>KF-M02R-n2b</t>
        </is>
      </c>
      <c r="G504" s="16" t="inlineStr">
        <is>
          <t>B04-n2b</t>
        </is>
      </c>
      <c r="H504" s="16" t="inlineStr">
        <is>
          <t>malla</t>
        </is>
      </c>
      <c r="I504" s="16" t="inlineStr">
        <is>
          <t>KALINA</t>
        </is>
      </c>
      <c r="J504" s="16" t="inlineStr">
        <is>
          <t>KALINA</t>
        </is>
      </c>
      <c r="K504" s="16" t="b">
        <v>1</v>
      </c>
      <c r="L504" s="16" t="b">
        <v>0</v>
      </c>
      <c r="M504" s="16" t="b">
        <v>1</v>
      </c>
      <c r="N504" s="16" t="b">
        <v>0</v>
      </c>
      <c r="O504" s="16" t="n">
        <v>623.15</v>
      </c>
      <c r="P504" s="16" t="n">
        <v>300.032917</v>
      </c>
      <c r="Q504" s="16" t="n">
        <v>3000</v>
      </c>
      <c r="R504" s="16" t="n">
        <v>1563.636363636364</v>
      </c>
      <c r="S504" s="16" t="n">
        <v>0.5</v>
      </c>
      <c r="T504" s="16" t="n">
        <v>0.85</v>
      </c>
      <c r="U504" s="16" t="n">
        <v>0.75</v>
      </c>
      <c r="V504" s="16" t="n">
        <v>0.4</v>
      </c>
      <c r="W504" s="16" t="n">
        <v>0.75</v>
      </c>
      <c r="X504" s="16" t="n">
        <v>0.8</v>
      </c>
      <c r="Y504" s="16" t="n"/>
      <c r="Z504" s="16" t="n">
        <v>5.002660365157681</v>
      </c>
      <c r="AA504" s="16" t="n">
        <v>46.86080674384915</v>
      </c>
      <c r="AB504" s="16" t="n">
        <v>1436.363636363636</v>
      </c>
      <c r="AC504" s="16" t="n">
        <v>1.918604651162791</v>
      </c>
      <c r="AD504" s="16" t="n"/>
      <c r="AE504" s="16" t="n"/>
    </row>
    <row r="505">
      <c r="A505" s="16" t="inlineStr">
        <is>
          <t>KF-M02R-n2b-0009</t>
        </is>
      </c>
      <c r="B505" s="16" t="inlineStr">
        <is>
          <t>2.3</t>
        </is>
      </c>
      <c r="C505" s="16" t="inlineStr">
        <is>
          <t>2.3c</t>
        </is>
      </c>
      <c r="D505" s="16" t="inlineStr">
        <is>
          <t>ε_HRVG × P_baja</t>
        </is>
      </c>
      <c r="E505" s="16" t="inlineStr">
        <is>
          <t>KF-M02R</t>
        </is>
      </c>
      <c r="F505" s="16" t="inlineStr">
        <is>
          <t>KF-M02R-n2b</t>
        </is>
      </c>
      <c r="G505" s="16" t="inlineStr">
        <is>
          <t>B04-n2b</t>
        </is>
      </c>
      <c r="H505" s="16" t="inlineStr">
        <is>
          <t>malla</t>
        </is>
      </c>
      <c r="I505" s="16" t="inlineStr">
        <is>
          <t>KALINA</t>
        </is>
      </c>
      <c r="J505" s="16" t="inlineStr">
        <is>
          <t>KALINA</t>
        </is>
      </c>
      <c r="K505" s="16" t="b">
        <v>1</v>
      </c>
      <c r="L505" s="16" t="b">
        <v>0</v>
      </c>
      <c r="M505" s="16" t="b">
        <v>1</v>
      </c>
      <c r="N505" s="16" t="b">
        <v>0</v>
      </c>
      <c r="O505" s="16" t="n">
        <v>623.15</v>
      </c>
      <c r="P505" s="16" t="n">
        <v>300.032917</v>
      </c>
      <c r="Q505" s="16" t="n">
        <v>3000</v>
      </c>
      <c r="R505" s="16" t="n">
        <v>1709.090909090909</v>
      </c>
      <c r="S505" s="16" t="n">
        <v>0.5</v>
      </c>
      <c r="T505" s="16" t="n">
        <v>0.85</v>
      </c>
      <c r="U505" s="16" t="n">
        <v>0.75</v>
      </c>
      <c r="V505" s="16" t="n">
        <v>0.4</v>
      </c>
      <c r="W505" s="16" t="n">
        <v>0.75</v>
      </c>
      <c r="X505" s="16" t="n">
        <v>0.8</v>
      </c>
      <c r="Y505" s="16" t="n"/>
      <c r="Z505" s="16" t="n">
        <v>4.33436905107377</v>
      </c>
      <c r="AA505" s="16" t="n">
        <v>40.58645638012815</v>
      </c>
      <c r="AB505" s="16" t="n">
        <v>1290.909090909091</v>
      </c>
      <c r="AC505" s="16" t="n">
        <v>1.75531914893617</v>
      </c>
      <c r="AD505" s="16" t="n"/>
      <c r="AE505" s="16" t="n"/>
    </row>
    <row r="506">
      <c r="A506" s="16" t="inlineStr">
        <is>
          <t>KF-M02R-n2b-0010</t>
        </is>
      </c>
      <c r="B506" s="16" t="inlineStr">
        <is>
          <t>2.3</t>
        </is>
      </c>
      <c r="C506" s="16" t="inlineStr">
        <is>
          <t>2.3c</t>
        </is>
      </c>
      <c r="D506" s="16" t="inlineStr">
        <is>
          <t>ε_HRVG × P_baja</t>
        </is>
      </c>
      <c r="E506" s="16" t="inlineStr">
        <is>
          <t>KF-M02R</t>
        </is>
      </c>
      <c r="F506" s="16" t="inlineStr">
        <is>
          <t>KF-M02R-n2b</t>
        </is>
      </c>
      <c r="G506" s="16" t="inlineStr">
        <is>
          <t>B04-n2b</t>
        </is>
      </c>
      <c r="H506" s="16" t="inlineStr">
        <is>
          <t>malla</t>
        </is>
      </c>
      <c r="I506" s="16" t="inlineStr">
        <is>
          <t>NO_CONVERGIO</t>
        </is>
      </c>
      <c r="J506" s="16" t="inlineStr">
        <is>
          <t>NO_CONVERGIO</t>
        </is>
      </c>
      <c r="K506" s="16" t="b">
        <v>0</v>
      </c>
      <c r="L506" s="16" t="b">
        <v>0</v>
      </c>
      <c r="M506" s="16" t="b">
        <v>0</v>
      </c>
      <c r="N506" s="16" t="b">
        <v>0</v>
      </c>
      <c r="O506" s="16" t="n">
        <v>623.15</v>
      </c>
      <c r="P506" s="16" t="n">
        <v>300.032917</v>
      </c>
      <c r="Q506" s="16" t="n">
        <v>3000</v>
      </c>
      <c r="R506" s="16" t="n">
        <v>400</v>
      </c>
      <c r="S506" s="16" t="n">
        <v>0.5</v>
      </c>
      <c r="T506" s="16" t="n">
        <v>0.85</v>
      </c>
      <c r="U506" s="16" t="n">
        <v>0.75</v>
      </c>
      <c r="V506" s="16" t="n">
        <v>0.5</v>
      </c>
      <c r="W506" s="16" t="n">
        <v>0.75</v>
      </c>
      <c r="X506" s="16" t="n">
        <v>0.8</v>
      </c>
      <c r="Y506" s="16" t="n"/>
      <c r="Z506" s="16" t="n"/>
      <c r="AA506" s="16" t="n"/>
      <c r="AB506" s="16" t="n">
        <v>2600</v>
      </c>
      <c r="AC506" s="16" t="n">
        <v>7.5</v>
      </c>
      <c r="AD506" s="16" t="n"/>
      <c r="AE506" s="16" t="n"/>
    </row>
    <row r="507">
      <c r="A507" s="16" t="inlineStr">
        <is>
          <t>KF-M02R-n2b-0011</t>
        </is>
      </c>
      <c r="B507" s="16" t="inlineStr">
        <is>
          <t>2.3</t>
        </is>
      </c>
      <c r="C507" s="16" t="inlineStr">
        <is>
          <t>2.3c</t>
        </is>
      </c>
      <c r="D507" s="16" t="inlineStr">
        <is>
          <t>ε_HRVG × P_baja</t>
        </is>
      </c>
      <c r="E507" s="16" t="inlineStr">
        <is>
          <t>KF-M02R</t>
        </is>
      </c>
      <c r="F507" s="16" t="inlineStr">
        <is>
          <t>KF-M02R-n2b</t>
        </is>
      </c>
      <c r="G507" s="16" t="inlineStr">
        <is>
          <t>B04-n2b</t>
        </is>
      </c>
      <c r="H507" s="16" t="inlineStr">
        <is>
          <t>malla</t>
        </is>
      </c>
      <c r="I507" s="16" t="inlineStr">
        <is>
          <t>KALINA</t>
        </is>
      </c>
      <c r="J507" s="16" t="inlineStr">
        <is>
          <t>KALINA</t>
        </is>
      </c>
      <c r="K507" s="16" t="b">
        <v>1</v>
      </c>
      <c r="L507" s="16" t="b">
        <v>0</v>
      </c>
      <c r="M507" s="16" t="b">
        <v>1</v>
      </c>
      <c r="N507" s="16" t="b">
        <v>0</v>
      </c>
      <c r="O507" s="16" t="n">
        <v>623.15</v>
      </c>
      <c r="P507" s="16" t="n">
        <v>300.032917</v>
      </c>
      <c r="Q507" s="16" t="n">
        <v>3000</v>
      </c>
      <c r="R507" s="16" t="n">
        <v>1854.545454545455</v>
      </c>
      <c r="S507" s="16" t="n">
        <v>0.5</v>
      </c>
      <c r="T507" s="16" t="n">
        <v>0.85</v>
      </c>
      <c r="U507" s="16" t="n">
        <v>0.75</v>
      </c>
      <c r="V507" s="16" t="n">
        <v>0.4</v>
      </c>
      <c r="W507" s="16" t="n">
        <v>0.75</v>
      </c>
      <c r="X507" s="16" t="n">
        <v>0.8</v>
      </c>
      <c r="Y507" s="16" t="n"/>
      <c r="Z507" s="16" t="n">
        <v>3.71616954643605</v>
      </c>
      <c r="AA507" s="16" t="n">
        <v>34.78643279200253</v>
      </c>
      <c r="AB507" s="16" t="n">
        <v>1145.454545454545</v>
      </c>
      <c r="AC507" s="16" t="n">
        <v>1.617647058823529</v>
      </c>
      <c r="AD507" s="16" t="n"/>
      <c r="AE507" s="16" t="n"/>
    </row>
    <row r="508">
      <c r="A508" s="16" t="inlineStr">
        <is>
          <t>KF-M02R-n2b-0012</t>
        </is>
      </c>
      <c r="B508" s="16" t="inlineStr">
        <is>
          <t>2.3</t>
        </is>
      </c>
      <c r="C508" s="16" t="inlineStr">
        <is>
          <t>2.3c</t>
        </is>
      </c>
      <c r="D508" s="16" t="inlineStr">
        <is>
          <t>ε_HRVG × P_baja</t>
        </is>
      </c>
      <c r="E508" s="16" t="inlineStr">
        <is>
          <t>KF-M02R</t>
        </is>
      </c>
      <c r="F508" s="16" t="inlineStr">
        <is>
          <t>KF-M02R-n2b</t>
        </is>
      </c>
      <c r="G508" s="16" t="inlineStr">
        <is>
          <t>B04-n2b</t>
        </is>
      </c>
      <c r="H508" s="16" t="inlineStr">
        <is>
          <t>malla</t>
        </is>
      </c>
      <c r="I508" s="16" t="inlineStr">
        <is>
          <t>KALINA</t>
        </is>
      </c>
      <c r="J508" s="16" t="inlineStr">
        <is>
          <t>KALINA</t>
        </is>
      </c>
      <c r="K508" s="16" t="b">
        <v>1</v>
      </c>
      <c r="L508" s="16" t="b">
        <v>0</v>
      </c>
      <c r="M508" s="16" t="b">
        <v>1</v>
      </c>
      <c r="N508" s="16" t="b">
        <v>0</v>
      </c>
      <c r="O508" s="16" t="n">
        <v>623.15</v>
      </c>
      <c r="P508" s="16" t="n">
        <v>300.032917</v>
      </c>
      <c r="Q508" s="16" t="n">
        <v>3000</v>
      </c>
      <c r="R508" s="16" t="n">
        <v>2000</v>
      </c>
      <c r="S508" s="16" t="n">
        <v>0.5</v>
      </c>
      <c r="T508" s="16" t="n">
        <v>0.85</v>
      </c>
      <c r="U508" s="16" t="n">
        <v>0.75</v>
      </c>
      <c r="V508" s="16" t="n">
        <v>0.4</v>
      </c>
      <c r="W508" s="16" t="n">
        <v>0.75</v>
      </c>
      <c r="X508" s="16" t="n">
        <v>0.8</v>
      </c>
      <c r="Y508" s="16" t="n"/>
      <c r="Z508" s="16" t="n">
        <v>3.14098685358879</v>
      </c>
      <c r="AA508" s="16" t="n">
        <v>29.39344267065869</v>
      </c>
      <c r="AB508" s="16" t="n">
        <v>1000</v>
      </c>
      <c r="AC508" s="16" t="n">
        <v>1.5</v>
      </c>
      <c r="AD508" s="16" t="n"/>
      <c r="AE508" s="16" t="n"/>
    </row>
    <row r="509">
      <c r="A509" s="16" t="inlineStr">
        <is>
          <t>KF-M02R-n2b-0013</t>
        </is>
      </c>
      <c r="B509" s="16" t="inlineStr">
        <is>
          <t>2.3</t>
        </is>
      </c>
      <c r="C509" s="16" t="inlineStr">
        <is>
          <t>2.3c</t>
        </is>
      </c>
      <c r="D509" s="16" t="inlineStr">
        <is>
          <t>ε_HRVG × P_baja</t>
        </is>
      </c>
      <c r="E509" s="16" t="inlineStr">
        <is>
          <t>KF-M02R</t>
        </is>
      </c>
      <c r="F509" s="16" t="inlineStr">
        <is>
          <t>KF-M02R-n2b</t>
        </is>
      </c>
      <c r="G509" s="16" t="inlineStr">
        <is>
          <t>B04-n2b</t>
        </is>
      </c>
      <c r="H509" s="16" t="inlineStr">
        <is>
          <t>malla</t>
        </is>
      </c>
      <c r="I509" s="16" t="inlineStr">
        <is>
          <t>CORREGIBLE</t>
        </is>
      </c>
      <c r="J509" s="16" t="inlineStr">
        <is>
          <t>CORREGIBLE</t>
        </is>
      </c>
      <c r="K509" s="16" t="b">
        <v>1</v>
      </c>
      <c r="L509" s="16" t="b">
        <v>0</v>
      </c>
      <c r="M509" s="16" t="b">
        <v>1</v>
      </c>
      <c r="N509" s="16" t="b">
        <v>0</v>
      </c>
      <c r="O509" s="16" t="n">
        <v>623.15</v>
      </c>
      <c r="P509" s="16" t="n">
        <v>300.032917</v>
      </c>
      <c r="Q509" s="16" t="n">
        <v>3000</v>
      </c>
      <c r="R509" s="16" t="n">
        <v>545.4545454545455</v>
      </c>
      <c r="S509" s="16" t="n">
        <v>0.5</v>
      </c>
      <c r="T509" s="16" t="n">
        <v>0.85</v>
      </c>
      <c r="U509" s="16" t="n">
        <v>0.75</v>
      </c>
      <c r="V509" s="16" t="n">
        <v>0.5</v>
      </c>
      <c r="W509" s="16" t="n">
        <v>0.75</v>
      </c>
      <c r="X509" s="16" t="n">
        <v>0.8</v>
      </c>
      <c r="Y509" s="16" t="n"/>
      <c r="Z509" s="16" t="n">
        <v>11.76709895467043</v>
      </c>
      <c r="AA509" s="16" t="n">
        <v>137.2796215690566</v>
      </c>
      <c r="AB509" s="16" t="n">
        <v>2454.545454545455</v>
      </c>
      <c r="AC509" s="16" t="n">
        <v>5.5</v>
      </c>
      <c r="AD509" s="16" t="inlineStr">
        <is>
          <t>O2</t>
        </is>
      </c>
      <c r="AE509" s="16" t="n"/>
    </row>
    <row r="510">
      <c r="A510" s="16" t="inlineStr">
        <is>
          <t>KF-M02R-n2b-0014</t>
        </is>
      </c>
      <c r="B510" s="16" t="inlineStr">
        <is>
          <t>2.3</t>
        </is>
      </c>
      <c r="C510" s="16" t="inlineStr">
        <is>
          <t>2.3c</t>
        </is>
      </c>
      <c r="D510" s="16" t="inlineStr">
        <is>
          <t>ε_HRVG × P_baja</t>
        </is>
      </c>
      <c r="E510" s="16" t="inlineStr">
        <is>
          <t>KF-M02R</t>
        </is>
      </c>
      <c r="F510" s="16" t="inlineStr">
        <is>
          <t>KF-M02R-n2b</t>
        </is>
      </c>
      <c r="G510" s="16" t="inlineStr">
        <is>
          <t>B04-n2b</t>
        </is>
      </c>
      <c r="H510" s="16" t="inlineStr">
        <is>
          <t>malla</t>
        </is>
      </c>
      <c r="I510" s="16" t="inlineStr">
        <is>
          <t>NO_CONVERGIO</t>
        </is>
      </c>
      <c r="J510" s="16" t="inlineStr">
        <is>
          <t>NO_CONVERGIO</t>
        </is>
      </c>
      <c r="K510" s="16" t="b">
        <v>0</v>
      </c>
      <c r="L510" s="16" t="b">
        <v>0</v>
      </c>
      <c r="M510" s="16" t="b">
        <v>0</v>
      </c>
      <c r="N510" s="16" t="b">
        <v>0</v>
      </c>
      <c r="O510" s="16" t="n">
        <v>623.15</v>
      </c>
      <c r="P510" s="16" t="n">
        <v>300.032917</v>
      </c>
      <c r="Q510" s="16" t="n">
        <v>3000</v>
      </c>
      <c r="R510" s="16" t="n">
        <v>836.3636363636364</v>
      </c>
      <c r="S510" s="16" t="n">
        <v>0.5</v>
      </c>
      <c r="T510" s="16" t="n">
        <v>0.85</v>
      </c>
      <c r="U510" s="16" t="n">
        <v>0.75</v>
      </c>
      <c r="V510" s="16" t="n">
        <v>0.5</v>
      </c>
      <c r="W510" s="16" t="n">
        <v>0.75</v>
      </c>
      <c r="X510" s="16" t="n">
        <v>0.8</v>
      </c>
      <c r="Y510" s="16" t="n"/>
      <c r="Z510" s="16" t="n"/>
      <c r="AA510" s="16" t="n"/>
      <c r="AB510" s="16" t="n">
        <v>2163.636363636364</v>
      </c>
      <c r="AC510" s="16" t="n">
        <v>3.58695652173913</v>
      </c>
      <c r="AD510" s="16" t="n"/>
      <c r="AE510" s="16" t="n"/>
    </row>
    <row r="511">
      <c r="A511" s="16" t="inlineStr">
        <is>
          <t>KF-M02R-n2b-0015</t>
        </is>
      </c>
      <c r="B511" s="16" t="inlineStr">
        <is>
          <t>2.3</t>
        </is>
      </c>
      <c r="C511" s="16" t="inlineStr">
        <is>
          <t>2.3c</t>
        </is>
      </c>
      <c r="D511" s="16" t="inlineStr">
        <is>
          <t>ε_HRVG × P_baja</t>
        </is>
      </c>
      <c r="E511" s="16" t="inlineStr">
        <is>
          <t>KF-M02R</t>
        </is>
      </c>
      <c r="F511" s="16" t="inlineStr">
        <is>
          <t>KF-M02R-n2b</t>
        </is>
      </c>
      <c r="G511" s="16" t="inlineStr">
        <is>
          <t>B04-n2b</t>
        </is>
      </c>
      <c r="H511" s="16" t="inlineStr">
        <is>
          <t>malla</t>
        </is>
      </c>
      <c r="I511" s="16" t="inlineStr">
        <is>
          <t>CORREGIBLE</t>
        </is>
      </c>
      <c r="J511" s="16" t="inlineStr">
        <is>
          <t>CORREGIBLE</t>
        </is>
      </c>
      <c r="K511" s="16" t="b">
        <v>1</v>
      </c>
      <c r="L511" s="16" t="b">
        <v>0</v>
      </c>
      <c r="M511" s="16" t="b">
        <v>1</v>
      </c>
      <c r="N511" s="16" t="b">
        <v>0</v>
      </c>
      <c r="O511" s="16" t="n">
        <v>623.15</v>
      </c>
      <c r="P511" s="16" t="n">
        <v>300.032917</v>
      </c>
      <c r="Q511" s="16" t="n">
        <v>3000</v>
      </c>
      <c r="R511" s="16" t="n">
        <v>690.909090909091</v>
      </c>
      <c r="S511" s="16" t="n">
        <v>0.5</v>
      </c>
      <c r="T511" s="16" t="n">
        <v>0.85</v>
      </c>
      <c r="U511" s="16" t="n">
        <v>0.75</v>
      </c>
      <c r="V511" s="16" t="n">
        <v>0.5</v>
      </c>
      <c r="W511" s="16" t="n">
        <v>0.75</v>
      </c>
      <c r="X511" s="16" t="n">
        <v>0.8</v>
      </c>
      <c r="Y511" s="16" t="n"/>
      <c r="Z511" s="16" t="n">
        <v>10.47487205054168</v>
      </c>
      <c r="AA511" s="16" t="n">
        <v>122.2341217055296</v>
      </c>
      <c r="AB511" s="16" t="n">
        <v>2309.090909090909</v>
      </c>
      <c r="AC511" s="16" t="n">
        <v>4.342105263157894</v>
      </c>
      <c r="AD511" s="16" t="inlineStr">
        <is>
          <t>O2</t>
        </is>
      </c>
      <c r="AE511" s="16" t="n"/>
    </row>
    <row r="512">
      <c r="A512" s="16" t="inlineStr">
        <is>
          <t>KF-M02R-n2b-0016</t>
        </is>
      </c>
      <c r="B512" s="16" t="inlineStr">
        <is>
          <t>2.3</t>
        </is>
      </c>
      <c r="C512" s="16" t="inlineStr">
        <is>
          <t>2.3c</t>
        </is>
      </c>
      <c r="D512" s="16" t="inlineStr">
        <is>
          <t>ε_HRVG × P_baja</t>
        </is>
      </c>
      <c r="E512" s="16" t="inlineStr">
        <is>
          <t>KF-M02R</t>
        </is>
      </c>
      <c r="F512" s="16" t="inlineStr">
        <is>
          <t>KF-M02R-n2b</t>
        </is>
      </c>
      <c r="G512" s="16" t="inlineStr">
        <is>
          <t>B04-n2b</t>
        </is>
      </c>
      <c r="H512" s="16" t="inlineStr">
        <is>
          <t>malla</t>
        </is>
      </c>
      <c r="I512" s="16" t="inlineStr">
        <is>
          <t>CORREGIBLE</t>
        </is>
      </c>
      <c r="J512" s="16" t="inlineStr">
        <is>
          <t>CORREGIBLE</t>
        </is>
      </c>
      <c r="K512" s="16" t="b">
        <v>1</v>
      </c>
      <c r="L512" s="16" t="b">
        <v>0</v>
      </c>
      <c r="M512" s="16" t="b">
        <v>1</v>
      </c>
      <c r="N512" s="16" t="b">
        <v>0</v>
      </c>
      <c r="O512" s="16" t="n">
        <v>623.15</v>
      </c>
      <c r="P512" s="16" t="n">
        <v>300.032917</v>
      </c>
      <c r="Q512" s="16" t="n">
        <v>3000</v>
      </c>
      <c r="R512" s="16" t="n">
        <v>981.818181818182</v>
      </c>
      <c r="S512" s="16" t="n">
        <v>0.5</v>
      </c>
      <c r="T512" s="16" t="n">
        <v>0.85</v>
      </c>
      <c r="U512" s="16" t="n">
        <v>0.75</v>
      </c>
      <c r="V512" s="16" t="n">
        <v>0.5</v>
      </c>
      <c r="W512" s="16" t="n">
        <v>0.75</v>
      </c>
      <c r="X512" s="16" t="n">
        <v>0.8</v>
      </c>
      <c r="Y512" s="16" t="n"/>
      <c r="Z512" s="16" t="n">
        <v>8.35481880252075</v>
      </c>
      <c r="AA512" s="16" t="n">
        <v>97.47268843758276</v>
      </c>
      <c r="AB512" s="16" t="n">
        <v>2018.181818181818</v>
      </c>
      <c r="AC512" s="16" t="n">
        <v>3.055555555555555</v>
      </c>
      <c r="AD512" s="16" t="inlineStr">
        <is>
          <t>O2</t>
        </is>
      </c>
      <c r="AE512" s="16" t="n"/>
    </row>
    <row r="513">
      <c r="A513" s="16" t="inlineStr">
        <is>
          <t>KF-M02R-n2b-0017</t>
        </is>
      </c>
      <c r="B513" s="16" t="inlineStr">
        <is>
          <t>2.3</t>
        </is>
      </c>
      <c r="C513" s="16" t="inlineStr">
        <is>
          <t>2.3c</t>
        </is>
      </c>
      <c r="D513" s="16" t="inlineStr">
        <is>
          <t>ε_HRVG × P_baja</t>
        </is>
      </c>
      <c r="E513" s="16" t="inlineStr">
        <is>
          <t>KF-M02R</t>
        </is>
      </c>
      <c r="F513" s="16" t="inlineStr">
        <is>
          <t>KF-M02R-n2b</t>
        </is>
      </c>
      <c r="G513" s="16" t="inlineStr">
        <is>
          <t>B04-n2b</t>
        </is>
      </c>
      <c r="H513" s="16" t="inlineStr">
        <is>
          <t>malla</t>
        </is>
      </c>
      <c r="I513" s="16" t="inlineStr">
        <is>
          <t>CORREGIBLE</t>
        </is>
      </c>
      <c r="J513" s="16" t="inlineStr">
        <is>
          <t>CORREGIBLE</t>
        </is>
      </c>
      <c r="K513" s="16" t="b">
        <v>1</v>
      </c>
      <c r="L513" s="16" t="b">
        <v>0</v>
      </c>
      <c r="M513" s="16" t="b">
        <v>1</v>
      </c>
      <c r="N513" s="16" t="b">
        <v>0</v>
      </c>
      <c r="O513" s="16" t="n">
        <v>623.15</v>
      </c>
      <c r="P513" s="16" t="n">
        <v>300.032917</v>
      </c>
      <c r="Q513" s="16" t="n">
        <v>3000</v>
      </c>
      <c r="R513" s="16" t="n">
        <v>1127.272727272728</v>
      </c>
      <c r="S513" s="16" t="n">
        <v>0.5</v>
      </c>
      <c r="T513" s="16" t="n">
        <v>0.85</v>
      </c>
      <c r="U513" s="16" t="n">
        <v>0.75</v>
      </c>
      <c r="V513" s="16" t="n">
        <v>0.5</v>
      </c>
      <c r="W513" s="16" t="n">
        <v>0.75</v>
      </c>
      <c r="X513" s="16" t="n">
        <v>0.8</v>
      </c>
      <c r="Y513" s="16" t="n"/>
      <c r="Z513" s="16" t="n">
        <v>7.45063183628684</v>
      </c>
      <c r="AA513" s="16" t="n">
        <v>86.89793751695656</v>
      </c>
      <c r="AB513" s="16" t="n">
        <v>1872.727272727272</v>
      </c>
      <c r="AC513" s="16" t="n">
        <v>2.661290322580644</v>
      </c>
      <c r="AD513" s="16" t="inlineStr">
        <is>
          <t>O2</t>
        </is>
      </c>
      <c r="AE513" s="16" t="n"/>
    </row>
    <row r="514">
      <c r="A514" s="16" t="inlineStr">
        <is>
          <t>KF-M02R-n2b-0018</t>
        </is>
      </c>
      <c r="B514" s="16" t="inlineStr">
        <is>
          <t>2.3</t>
        </is>
      </c>
      <c r="C514" s="16" t="inlineStr">
        <is>
          <t>2.3c</t>
        </is>
      </c>
      <c r="D514" s="16" t="inlineStr">
        <is>
          <t>ε_HRVG × P_baja</t>
        </is>
      </c>
      <c r="E514" s="16" t="inlineStr">
        <is>
          <t>KF-M02R</t>
        </is>
      </c>
      <c r="F514" s="16" t="inlineStr">
        <is>
          <t>KF-M02R-n2b</t>
        </is>
      </c>
      <c r="G514" s="16" t="inlineStr">
        <is>
          <t>B04-n2b</t>
        </is>
      </c>
      <c r="H514" s="16" t="inlineStr">
        <is>
          <t>malla</t>
        </is>
      </c>
      <c r="I514" s="16" t="inlineStr">
        <is>
          <t>CORREGIBLE</t>
        </is>
      </c>
      <c r="J514" s="16" t="inlineStr">
        <is>
          <t>CORREGIBLE</t>
        </is>
      </c>
      <c r="K514" s="16" t="b">
        <v>1</v>
      </c>
      <c r="L514" s="16" t="b">
        <v>0</v>
      </c>
      <c r="M514" s="16" t="b">
        <v>1</v>
      </c>
      <c r="N514" s="16" t="b">
        <v>0</v>
      </c>
      <c r="O514" s="16" t="n">
        <v>623.15</v>
      </c>
      <c r="P514" s="16" t="n">
        <v>300.032917</v>
      </c>
      <c r="Q514" s="16" t="n">
        <v>3000</v>
      </c>
      <c r="R514" s="16" t="n">
        <v>1418.181818181818</v>
      </c>
      <c r="S514" s="16" t="n">
        <v>0.5</v>
      </c>
      <c r="T514" s="16" t="n">
        <v>0.85</v>
      </c>
      <c r="U514" s="16" t="n">
        <v>0.75</v>
      </c>
      <c r="V514" s="16" t="n">
        <v>0.5</v>
      </c>
      <c r="W514" s="16" t="n">
        <v>0.75</v>
      </c>
      <c r="X514" s="16" t="n">
        <v>0.8</v>
      </c>
      <c r="Y514" s="16" t="n"/>
      <c r="Z514" s="16" t="n">
        <v>5.85221180486492</v>
      </c>
      <c r="AA514" s="16" t="n">
        <v>68.20208903701854</v>
      </c>
      <c r="AB514" s="16" t="n">
        <v>1581.818181818182</v>
      </c>
      <c r="AC514" s="16" t="n">
        <v>2.115384615384615</v>
      </c>
      <c r="AD514" s="16" t="inlineStr">
        <is>
          <t>O2</t>
        </is>
      </c>
      <c r="AE514" s="16" t="n"/>
    </row>
    <row r="515">
      <c r="A515" s="16" t="inlineStr">
        <is>
          <t>KF-M02R-n2b-0019</t>
        </is>
      </c>
      <c r="B515" s="16" t="inlineStr">
        <is>
          <t>2.3</t>
        </is>
      </c>
      <c r="C515" s="16" t="inlineStr">
        <is>
          <t>2.3c</t>
        </is>
      </c>
      <c r="D515" s="16" t="inlineStr">
        <is>
          <t>ε_HRVG × P_baja</t>
        </is>
      </c>
      <c r="E515" s="16" t="inlineStr">
        <is>
          <t>KF-M02R</t>
        </is>
      </c>
      <c r="F515" s="16" t="inlineStr">
        <is>
          <t>KF-M02R-n2b</t>
        </is>
      </c>
      <c r="G515" s="16" t="inlineStr">
        <is>
          <t>B04-n2b</t>
        </is>
      </c>
      <c r="H515" s="16" t="inlineStr">
        <is>
          <t>malla</t>
        </is>
      </c>
      <c r="I515" s="16" t="inlineStr">
        <is>
          <t>CORREGIBLE</t>
        </is>
      </c>
      <c r="J515" s="16" t="inlineStr">
        <is>
          <t>CORREGIBLE</t>
        </is>
      </c>
      <c r="K515" s="16" t="b">
        <v>1</v>
      </c>
      <c r="L515" s="16" t="b">
        <v>0</v>
      </c>
      <c r="M515" s="16" t="b">
        <v>1</v>
      </c>
      <c r="N515" s="16" t="b">
        <v>0</v>
      </c>
      <c r="O515" s="16" t="n">
        <v>623.15</v>
      </c>
      <c r="P515" s="16" t="n">
        <v>300.032917</v>
      </c>
      <c r="Q515" s="16" t="n">
        <v>3000</v>
      </c>
      <c r="R515" s="16" t="n">
        <v>1272.727272727273</v>
      </c>
      <c r="S515" s="16" t="n">
        <v>0.5</v>
      </c>
      <c r="T515" s="16" t="n">
        <v>0.85</v>
      </c>
      <c r="U515" s="16" t="n">
        <v>0.75</v>
      </c>
      <c r="V515" s="16" t="n">
        <v>0.5</v>
      </c>
      <c r="W515" s="16" t="n">
        <v>0.75</v>
      </c>
      <c r="X515" s="16" t="n">
        <v>0.8</v>
      </c>
      <c r="Y515" s="16" t="n"/>
      <c r="Z515" s="16" t="n">
        <v>6.62102496803315</v>
      </c>
      <c r="AA515" s="16" t="n">
        <v>77.19378859460414</v>
      </c>
      <c r="AB515" s="16" t="n">
        <v>1727.272727272727</v>
      </c>
      <c r="AC515" s="16" t="n">
        <v>2.357142857142857</v>
      </c>
      <c r="AD515" s="16" t="inlineStr">
        <is>
          <t>O2</t>
        </is>
      </c>
      <c r="AE515" s="16" t="n"/>
    </row>
    <row r="516">
      <c r="A516" s="16" t="inlineStr">
        <is>
          <t>KF-M02R-n2b-0020</t>
        </is>
      </c>
      <c r="B516" s="16" t="inlineStr">
        <is>
          <t>2.3</t>
        </is>
      </c>
      <c r="C516" s="16" t="inlineStr">
        <is>
          <t>2.3c</t>
        </is>
      </c>
      <c r="D516" s="16" t="inlineStr">
        <is>
          <t>ε_HRVG × P_baja</t>
        </is>
      </c>
      <c r="E516" s="16" t="inlineStr">
        <is>
          <t>KF-M02R</t>
        </is>
      </c>
      <c r="F516" s="16" t="inlineStr">
        <is>
          <t>KF-M02R-n2b</t>
        </is>
      </c>
      <c r="G516" s="16" t="inlineStr">
        <is>
          <t>B04-n2b</t>
        </is>
      </c>
      <c r="H516" s="16" t="inlineStr">
        <is>
          <t>malla</t>
        </is>
      </c>
      <c r="I516" s="16" t="inlineStr">
        <is>
          <t>CORREGIBLE</t>
        </is>
      </c>
      <c r="J516" s="16" t="inlineStr">
        <is>
          <t>CORREGIBLE</t>
        </is>
      </c>
      <c r="K516" s="16" t="b">
        <v>1</v>
      </c>
      <c r="L516" s="16" t="b">
        <v>0</v>
      </c>
      <c r="M516" s="16" t="b">
        <v>1</v>
      </c>
      <c r="N516" s="16" t="b">
        <v>0</v>
      </c>
      <c r="O516" s="16" t="n">
        <v>623.15</v>
      </c>
      <c r="P516" s="16" t="n">
        <v>300.032917</v>
      </c>
      <c r="Q516" s="16" t="n">
        <v>3000</v>
      </c>
      <c r="R516" s="16" t="n">
        <v>1563.636363636364</v>
      </c>
      <c r="S516" s="16" t="n">
        <v>0.5</v>
      </c>
      <c r="T516" s="16" t="n">
        <v>0.85</v>
      </c>
      <c r="U516" s="16" t="n">
        <v>0.75</v>
      </c>
      <c r="V516" s="16" t="n">
        <v>0.5</v>
      </c>
      <c r="W516" s="16" t="n">
        <v>0.75</v>
      </c>
      <c r="X516" s="16" t="n">
        <v>0.8</v>
      </c>
      <c r="Y516" s="16" t="n"/>
      <c r="Z516" s="16" t="n">
        <v>5.13406589759925</v>
      </c>
      <c r="AA516" s="16" t="n">
        <v>59.80610529556989</v>
      </c>
      <c r="AB516" s="16" t="n">
        <v>1436.363636363636</v>
      </c>
      <c r="AC516" s="16" t="n">
        <v>1.918604651162791</v>
      </c>
      <c r="AD516" s="16" t="inlineStr">
        <is>
          <t>O2</t>
        </is>
      </c>
      <c r="AE516" s="16" t="n"/>
    </row>
    <row r="517">
      <c r="A517" s="16" t="inlineStr">
        <is>
          <t>KF-M02R-n2b-0021</t>
        </is>
      </c>
      <c r="B517" s="16" t="inlineStr">
        <is>
          <t>2.3</t>
        </is>
      </c>
      <c r="C517" s="16" t="inlineStr">
        <is>
          <t>2.3c</t>
        </is>
      </c>
      <c r="D517" s="16" t="inlineStr">
        <is>
          <t>ε_HRVG × P_baja</t>
        </is>
      </c>
      <c r="E517" s="16" t="inlineStr">
        <is>
          <t>KF-M02R</t>
        </is>
      </c>
      <c r="F517" s="16" t="inlineStr">
        <is>
          <t>KF-M02R-n2b</t>
        </is>
      </c>
      <c r="G517" s="16" t="inlineStr">
        <is>
          <t>B04-n2b</t>
        </is>
      </c>
      <c r="H517" s="16" t="inlineStr">
        <is>
          <t>malla</t>
        </is>
      </c>
      <c r="I517" s="16" t="inlineStr">
        <is>
          <t>CORREGIBLE</t>
        </is>
      </c>
      <c r="J517" s="16" t="inlineStr">
        <is>
          <t>CORREGIBLE</t>
        </is>
      </c>
      <c r="K517" s="16" t="b">
        <v>1</v>
      </c>
      <c r="L517" s="16" t="b">
        <v>0</v>
      </c>
      <c r="M517" s="16" t="b">
        <v>1</v>
      </c>
      <c r="N517" s="16" t="b">
        <v>0</v>
      </c>
      <c r="O517" s="16" t="n">
        <v>623.15</v>
      </c>
      <c r="P517" s="16" t="n">
        <v>300.032917</v>
      </c>
      <c r="Q517" s="16" t="n">
        <v>3000</v>
      </c>
      <c r="R517" s="16" t="n">
        <v>1709.090909090909</v>
      </c>
      <c r="S517" s="16" t="n">
        <v>0.5</v>
      </c>
      <c r="T517" s="16" t="n">
        <v>0.85</v>
      </c>
      <c r="U517" s="16" t="n">
        <v>0.75</v>
      </c>
      <c r="V517" s="16" t="n">
        <v>0.5</v>
      </c>
      <c r="W517" s="16" t="n">
        <v>0.75</v>
      </c>
      <c r="X517" s="16" t="n">
        <v>0.8</v>
      </c>
      <c r="Y517" s="16" t="n"/>
      <c r="Z517" s="16" t="n">
        <v>4.45890790703914</v>
      </c>
      <c r="AA517" s="16" t="n">
        <v>51.91694697842705</v>
      </c>
      <c r="AB517" s="16" t="n">
        <v>1290.909090909091</v>
      </c>
      <c r="AC517" s="16" t="n">
        <v>1.75531914893617</v>
      </c>
      <c r="AD517" s="16" t="inlineStr">
        <is>
          <t>O2</t>
        </is>
      </c>
      <c r="AE517" s="16" t="n"/>
    </row>
    <row r="518">
      <c r="A518" s="16" t="inlineStr">
        <is>
          <t>KF-M02R-n2b-0022</t>
        </is>
      </c>
      <c r="B518" s="16" t="inlineStr">
        <is>
          <t>2.3</t>
        </is>
      </c>
      <c r="C518" s="16" t="inlineStr">
        <is>
          <t>2.3c</t>
        </is>
      </c>
      <c r="D518" s="16" t="inlineStr">
        <is>
          <t>ε_HRVG × P_baja</t>
        </is>
      </c>
      <c r="E518" s="16" t="inlineStr">
        <is>
          <t>KF-M02R</t>
        </is>
      </c>
      <c r="F518" s="16" t="inlineStr">
        <is>
          <t>KF-M02R-n2b</t>
        </is>
      </c>
      <c r="G518" s="16" t="inlineStr">
        <is>
          <t>B04-n2b</t>
        </is>
      </c>
      <c r="H518" s="16" t="inlineStr">
        <is>
          <t>malla</t>
        </is>
      </c>
      <c r="I518" s="16" t="inlineStr">
        <is>
          <t>CORREGIBLE</t>
        </is>
      </c>
      <c r="J518" s="16" t="inlineStr">
        <is>
          <t>CORREGIBLE</t>
        </is>
      </c>
      <c r="K518" s="16" t="b">
        <v>1</v>
      </c>
      <c r="L518" s="16" t="b">
        <v>0</v>
      </c>
      <c r="M518" s="16" t="b">
        <v>1</v>
      </c>
      <c r="N518" s="16" t="b">
        <v>0</v>
      </c>
      <c r="O518" s="16" t="n">
        <v>623.15</v>
      </c>
      <c r="P518" s="16" t="n">
        <v>300.032917</v>
      </c>
      <c r="Q518" s="16" t="n">
        <v>3000</v>
      </c>
      <c r="R518" s="16" t="n">
        <v>400</v>
      </c>
      <c r="S518" s="16" t="n">
        <v>0.5</v>
      </c>
      <c r="T518" s="16" t="n">
        <v>0.85</v>
      </c>
      <c r="U518" s="16" t="n">
        <v>0.75</v>
      </c>
      <c r="V518" s="16" t="n">
        <v>0.6</v>
      </c>
      <c r="W518" s="16" t="n">
        <v>0.75</v>
      </c>
      <c r="X518" s="16" t="n">
        <v>0.8</v>
      </c>
      <c r="Y518" s="16" t="n"/>
      <c r="Z518" s="16" t="n">
        <v>13.23191576952518</v>
      </c>
      <c r="AA518" s="16" t="n">
        <v>183.9792929010562</v>
      </c>
      <c r="AB518" s="16" t="n">
        <v>2600</v>
      </c>
      <c r="AC518" s="16" t="n">
        <v>7.5</v>
      </c>
      <c r="AD518" s="16" t="inlineStr">
        <is>
          <t>O2</t>
        </is>
      </c>
      <c r="AE518" s="16" t="n"/>
    </row>
    <row r="519">
      <c r="A519" s="16" t="inlineStr">
        <is>
          <t>KF-M02R-n2b-0023</t>
        </is>
      </c>
      <c r="B519" s="16" t="inlineStr">
        <is>
          <t>2.3</t>
        </is>
      </c>
      <c r="C519" s="16" t="inlineStr">
        <is>
          <t>2.3c</t>
        </is>
      </c>
      <c r="D519" s="16" t="inlineStr">
        <is>
          <t>ε_HRVG × P_baja</t>
        </is>
      </c>
      <c r="E519" s="16" t="inlineStr">
        <is>
          <t>KF-M02R</t>
        </is>
      </c>
      <c r="F519" s="16" t="inlineStr">
        <is>
          <t>KF-M02R-n2b</t>
        </is>
      </c>
      <c r="G519" s="16" t="inlineStr">
        <is>
          <t>B04-n2b</t>
        </is>
      </c>
      <c r="H519" s="16" t="inlineStr">
        <is>
          <t>malla</t>
        </is>
      </c>
      <c r="I519" s="16" t="inlineStr">
        <is>
          <t>CORREGIBLE</t>
        </is>
      </c>
      <c r="J519" s="16" t="inlineStr">
        <is>
          <t>CORREGIBLE</t>
        </is>
      </c>
      <c r="K519" s="16" t="b">
        <v>1</v>
      </c>
      <c r="L519" s="16" t="b">
        <v>0</v>
      </c>
      <c r="M519" s="16" t="b">
        <v>1</v>
      </c>
      <c r="N519" s="16" t="b">
        <v>0</v>
      </c>
      <c r="O519" s="16" t="n">
        <v>623.15</v>
      </c>
      <c r="P519" s="16" t="n">
        <v>300.032917</v>
      </c>
      <c r="Q519" s="16" t="n">
        <v>3000</v>
      </c>
      <c r="R519" s="16" t="n">
        <v>545.4545454545455</v>
      </c>
      <c r="S519" s="16" t="n">
        <v>0.5</v>
      </c>
      <c r="T519" s="16" t="n">
        <v>0.85</v>
      </c>
      <c r="U519" s="16" t="n">
        <v>0.75</v>
      </c>
      <c r="V519" s="16" t="n">
        <v>0.6</v>
      </c>
      <c r="W519" s="16" t="n">
        <v>0.75</v>
      </c>
      <c r="X519" s="16" t="n">
        <v>0.8</v>
      </c>
      <c r="Y519" s="16" t="n"/>
      <c r="Z519" s="16" t="n">
        <v>11.66592557766146</v>
      </c>
      <c r="AA519" s="16" t="n">
        <v>162.3798694967656</v>
      </c>
      <c r="AB519" s="16" t="n">
        <v>2454.545454545455</v>
      </c>
      <c r="AC519" s="16" t="n">
        <v>5.5</v>
      </c>
      <c r="AD519" s="16" t="inlineStr">
        <is>
          <t>O2</t>
        </is>
      </c>
      <c r="AE519" s="16" t="n"/>
    </row>
    <row r="520">
      <c r="A520" s="16" t="inlineStr">
        <is>
          <t>KF-M02R-n2b-0024</t>
        </is>
      </c>
      <c r="B520" s="16" t="inlineStr">
        <is>
          <t>2.3</t>
        </is>
      </c>
      <c r="C520" s="16" t="inlineStr">
        <is>
          <t>2.3c</t>
        </is>
      </c>
      <c r="D520" s="16" t="inlineStr">
        <is>
          <t>ε_HRVG × P_baja</t>
        </is>
      </c>
      <c r="E520" s="16" t="inlineStr">
        <is>
          <t>KF-M02R</t>
        </is>
      </c>
      <c r="F520" s="16" t="inlineStr">
        <is>
          <t>KF-M02R-n2b</t>
        </is>
      </c>
      <c r="G520" s="16" t="inlineStr">
        <is>
          <t>B04-n2b</t>
        </is>
      </c>
      <c r="H520" s="16" t="inlineStr">
        <is>
          <t>malla</t>
        </is>
      </c>
      <c r="I520" s="16" t="inlineStr">
        <is>
          <t>KALINA</t>
        </is>
      </c>
      <c r="J520" s="16" t="inlineStr">
        <is>
          <t>KALINA</t>
        </is>
      </c>
      <c r="K520" s="16" t="b">
        <v>1</v>
      </c>
      <c r="L520" s="16" t="b">
        <v>0</v>
      </c>
      <c r="M520" s="16" t="b">
        <v>1</v>
      </c>
      <c r="N520" s="16" t="b">
        <v>0</v>
      </c>
      <c r="O520" s="16" t="n">
        <v>623.15</v>
      </c>
      <c r="P520" s="16" t="n">
        <v>300.032917</v>
      </c>
      <c r="Q520" s="16" t="n">
        <v>3000</v>
      </c>
      <c r="R520" s="16" t="n">
        <v>1854.545454545455</v>
      </c>
      <c r="S520" s="16" t="n">
        <v>0.5</v>
      </c>
      <c r="T520" s="16" t="n">
        <v>0.85</v>
      </c>
      <c r="U520" s="16" t="n">
        <v>0.75</v>
      </c>
      <c r="V520" s="16" t="n">
        <v>0.5</v>
      </c>
      <c r="W520" s="16" t="n">
        <v>0.75</v>
      </c>
      <c r="X520" s="16" t="n">
        <v>0.8</v>
      </c>
      <c r="Y520" s="16" t="n"/>
      <c r="Z520" s="16" t="n">
        <v>3.82505595574722</v>
      </c>
      <c r="AA520" s="16" t="n">
        <v>44.51595170631099</v>
      </c>
      <c r="AB520" s="16" t="n">
        <v>1145.454545454545</v>
      </c>
      <c r="AC520" s="16" t="n">
        <v>1.617647058823529</v>
      </c>
      <c r="AD520" s="16" t="n"/>
      <c r="AE520" s="16" t="n"/>
    </row>
    <row r="521">
      <c r="A521" s="16" t="inlineStr">
        <is>
          <t>KF-M02R-n2b-0025</t>
        </is>
      </c>
      <c r="B521" s="16" t="inlineStr">
        <is>
          <t>2.3</t>
        </is>
      </c>
      <c r="C521" s="16" t="inlineStr">
        <is>
          <t>2.3c</t>
        </is>
      </c>
      <c r="D521" s="16" t="inlineStr">
        <is>
          <t>ε_HRVG × P_baja</t>
        </is>
      </c>
      <c r="E521" s="16" t="inlineStr">
        <is>
          <t>KF-M02R</t>
        </is>
      </c>
      <c r="F521" s="16" t="inlineStr">
        <is>
          <t>KF-M02R-n2b</t>
        </is>
      </c>
      <c r="G521" s="16" t="inlineStr">
        <is>
          <t>B04-n2b</t>
        </is>
      </c>
      <c r="H521" s="16" t="inlineStr">
        <is>
          <t>malla</t>
        </is>
      </c>
      <c r="I521" s="16" t="inlineStr">
        <is>
          <t>KALINA</t>
        </is>
      </c>
      <c r="J521" s="16" t="inlineStr">
        <is>
          <t>KALINA</t>
        </is>
      </c>
      <c r="K521" s="16" t="b">
        <v>1</v>
      </c>
      <c r="L521" s="16" t="b">
        <v>0</v>
      </c>
      <c r="M521" s="16" t="b">
        <v>1</v>
      </c>
      <c r="N521" s="16" t="b">
        <v>0</v>
      </c>
      <c r="O521" s="16" t="n">
        <v>623.15</v>
      </c>
      <c r="P521" s="16" t="n">
        <v>300.032917</v>
      </c>
      <c r="Q521" s="16" t="n">
        <v>3000</v>
      </c>
      <c r="R521" s="16" t="n">
        <v>2000</v>
      </c>
      <c r="S521" s="16" t="n">
        <v>0.5</v>
      </c>
      <c r="T521" s="16" t="n">
        <v>0.85</v>
      </c>
      <c r="U521" s="16" t="n">
        <v>0.75</v>
      </c>
      <c r="V521" s="16" t="n">
        <v>0.5</v>
      </c>
      <c r="W521" s="16" t="n">
        <v>0.75</v>
      </c>
      <c r="X521" s="16" t="n">
        <v>0.8</v>
      </c>
      <c r="Y521" s="16" t="n"/>
      <c r="Z521" s="16" t="n">
        <v>3.23460535861897</v>
      </c>
      <c r="AA521" s="16" t="n">
        <v>37.62800811252101</v>
      </c>
      <c r="AB521" s="16" t="n">
        <v>1000</v>
      </c>
      <c r="AC521" s="16" t="n">
        <v>1.5</v>
      </c>
      <c r="AD521" s="16" t="n"/>
      <c r="AE521" s="16" t="n"/>
    </row>
    <row r="522">
      <c r="A522" s="16" t="inlineStr">
        <is>
          <t>KF-M02R-n2b-0026</t>
        </is>
      </c>
      <c r="B522" s="16" t="inlineStr">
        <is>
          <t>2.3</t>
        </is>
      </c>
      <c r="C522" s="16" t="inlineStr">
        <is>
          <t>2.3c</t>
        </is>
      </c>
      <c r="D522" s="16" t="inlineStr">
        <is>
          <t>ε_HRVG × P_baja</t>
        </is>
      </c>
      <c r="E522" s="16" t="inlineStr">
        <is>
          <t>KF-M02R</t>
        </is>
      </c>
      <c r="F522" s="16" t="inlineStr">
        <is>
          <t>KF-M02R-n2b</t>
        </is>
      </c>
      <c r="G522" s="16" t="inlineStr">
        <is>
          <t>B04-n2b</t>
        </is>
      </c>
      <c r="H522" s="16" t="inlineStr">
        <is>
          <t>malla</t>
        </is>
      </c>
      <c r="I522" s="16" t="inlineStr">
        <is>
          <t>CORREGIBLE</t>
        </is>
      </c>
      <c r="J522" s="16" t="inlineStr">
        <is>
          <t>CORREGIBLE</t>
        </is>
      </c>
      <c r="K522" s="16" t="b">
        <v>1</v>
      </c>
      <c r="L522" s="16" t="b">
        <v>0</v>
      </c>
      <c r="M522" s="16" t="b">
        <v>1</v>
      </c>
      <c r="N522" s="16" t="b">
        <v>0</v>
      </c>
      <c r="O522" s="16" t="n">
        <v>623.15</v>
      </c>
      <c r="P522" s="16" t="n">
        <v>300.032917</v>
      </c>
      <c r="Q522" s="16" t="n">
        <v>3000</v>
      </c>
      <c r="R522" s="16" t="n">
        <v>690.909090909091</v>
      </c>
      <c r="S522" s="16" t="n">
        <v>0.5</v>
      </c>
      <c r="T522" s="16" t="n">
        <v>0.85</v>
      </c>
      <c r="U522" s="16" t="n">
        <v>0.75</v>
      </c>
      <c r="V522" s="16" t="n">
        <v>0.6</v>
      </c>
      <c r="W522" s="16" t="n">
        <v>0.75</v>
      </c>
      <c r="X522" s="16" t="n">
        <v>0.8</v>
      </c>
      <c r="Y522" s="16" t="n"/>
      <c r="Z522" s="16" t="n">
        <v>10.37320681520062</v>
      </c>
      <c r="AA522" s="16" t="n">
        <v>144.4516549839209</v>
      </c>
      <c r="AB522" s="16" t="n">
        <v>2309.090909090909</v>
      </c>
      <c r="AC522" s="16" t="n">
        <v>4.342105263157894</v>
      </c>
      <c r="AD522" s="16" t="inlineStr">
        <is>
          <t>O2</t>
        </is>
      </c>
      <c r="AE522" s="16" t="n"/>
    </row>
    <row r="523">
      <c r="A523" s="16" t="inlineStr">
        <is>
          <t>KF-M02R-n2b-0027</t>
        </is>
      </c>
      <c r="B523" s="16" t="inlineStr">
        <is>
          <t>2.3</t>
        </is>
      </c>
      <c r="C523" s="16" t="inlineStr">
        <is>
          <t>2.3c</t>
        </is>
      </c>
      <c r="D523" s="16" t="inlineStr">
        <is>
          <t>ε_HRVG × P_baja</t>
        </is>
      </c>
      <c r="E523" s="16" t="inlineStr">
        <is>
          <t>KF-M02R</t>
        </is>
      </c>
      <c r="F523" s="16" t="inlineStr">
        <is>
          <t>KF-M02R-n2b</t>
        </is>
      </c>
      <c r="G523" s="16" t="inlineStr">
        <is>
          <t>B04-n2b</t>
        </is>
      </c>
      <c r="H523" s="16" t="inlineStr">
        <is>
          <t>malla</t>
        </is>
      </c>
      <c r="I523" s="16" t="inlineStr">
        <is>
          <t>CORREGIBLE</t>
        </is>
      </c>
      <c r="J523" s="16" t="inlineStr">
        <is>
          <t>CORREGIBLE</t>
        </is>
      </c>
      <c r="K523" s="16" t="b">
        <v>1</v>
      </c>
      <c r="L523" s="16" t="b">
        <v>0</v>
      </c>
      <c r="M523" s="16" t="b">
        <v>1</v>
      </c>
      <c r="N523" s="16" t="b">
        <v>0</v>
      </c>
      <c r="O523" s="16" t="n">
        <v>623.15</v>
      </c>
      <c r="P523" s="16" t="n">
        <v>300.032917</v>
      </c>
      <c r="Q523" s="16" t="n">
        <v>3000</v>
      </c>
      <c r="R523" s="16" t="n">
        <v>836.3636363636364</v>
      </c>
      <c r="S523" s="16" t="n">
        <v>0.5</v>
      </c>
      <c r="T523" s="16" t="n">
        <v>0.85</v>
      </c>
      <c r="U523" s="16" t="n">
        <v>0.75</v>
      </c>
      <c r="V523" s="16" t="n">
        <v>0.6</v>
      </c>
      <c r="W523" s="16" t="n">
        <v>0.75</v>
      </c>
      <c r="X523" s="16" t="n">
        <v>0.8</v>
      </c>
      <c r="Y523" s="16" t="n"/>
      <c r="Z523" s="16" t="n">
        <v>9.26060897884142</v>
      </c>
      <c r="AA523" s="16" t="n">
        <v>128.9731950230692</v>
      </c>
      <c r="AB523" s="16" t="n">
        <v>2163.636363636364</v>
      </c>
      <c r="AC523" s="16" t="n">
        <v>3.58695652173913</v>
      </c>
      <c r="AD523" s="16" t="inlineStr">
        <is>
          <t>O2</t>
        </is>
      </c>
      <c r="AE523" s="16" t="n"/>
    </row>
    <row r="524">
      <c r="A524" s="16" t="inlineStr">
        <is>
          <t>KF-M02R-n2b-0028</t>
        </is>
      </c>
      <c r="B524" s="16" t="inlineStr">
        <is>
          <t>2.3</t>
        </is>
      </c>
      <c r="C524" s="16" t="inlineStr">
        <is>
          <t>2.3c</t>
        </is>
      </c>
      <c r="D524" s="16" t="inlineStr">
        <is>
          <t>ε_HRVG × P_baja</t>
        </is>
      </c>
      <c r="E524" s="16" t="inlineStr">
        <is>
          <t>KF-M02R</t>
        </is>
      </c>
      <c r="F524" s="16" t="inlineStr">
        <is>
          <t>KF-M02R-n2b</t>
        </is>
      </c>
      <c r="G524" s="16" t="inlineStr">
        <is>
          <t>B04-n2b</t>
        </is>
      </c>
      <c r="H524" s="16" t="inlineStr">
        <is>
          <t>malla</t>
        </is>
      </c>
      <c r="I524" s="16" t="inlineStr">
        <is>
          <t>CORREGIBLE</t>
        </is>
      </c>
      <c r="J524" s="16" t="inlineStr">
        <is>
          <t>CORREGIBLE</t>
        </is>
      </c>
      <c r="K524" s="16" t="b">
        <v>1</v>
      </c>
      <c r="L524" s="16" t="b">
        <v>0</v>
      </c>
      <c r="M524" s="16" t="b">
        <v>1</v>
      </c>
      <c r="N524" s="16" t="b">
        <v>0</v>
      </c>
      <c r="O524" s="16" t="n">
        <v>623.15</v>
      </c>
      <c r="P524" s="16" t="n">
        <v>300.032917</v>
      </c>
      <c r="Q524" s="16" t="n">
        <v>3000</v>
      </c>
      <c r="R524" s="16" t="n">
        <v>981.818181818182</v>
      </c>
      <c r="S524" s="16" t="n">
        <v>0.5</v>
      </c>
      <c r="T524" s="16" t="n">
        <v>0.85</v>
      </c>
      <c r="U524" s="16" t="n">
        <v>0.75</v>
      </c>
      <c r="V524" s="16" t="n">
        <v>0.6</v>
      </c>
      <c r="W524" s="16" t="n">
        <v>0.75</v>
      </c>
      <c r="X524" s="16" t="n">
        <v>0.8</v>
      </c>
      <c r="Y524" s="16" t="n"/>
      <c r="Z524" s="16" t="n">
        <v>8.27699311502626</v>
      </c>
      <c r="AA524" s="16" t="n">
        <v>115.2644003794789</v>
      </c>
      <c r="AB524" s="16" t="n">
        <v>2018.181818181818</v>
      </c>
      <c r="AC524" s="16" t="n">
        <v>3.055555555555555</v>
      </c>
      <c r="AD524" s="16" t="inlineStr">
        <is>
          <t>O2</t>
        </is>
      </c>
      <c r="AE524" s="16" t="n"/>
    </row>
    <row r="525">
      <c r="A525" s="16" t="inlineStr">
        <is>
          <t>KF-M02R-n2b-0029</t>
        </is>
      </c>
      <c r="B525" s="16" t="inlineStr">
        <is>
          <t>2.3</t>
        </is>
      </c>
      <c r="C525" s="16" t="inlineStr">
        <is>
          <t>2.3c</t>
        </is>
      </c>
      <c r="D525" s="16" t="inlineStr">
        <is>
          <t>ε_HRVG × P_baja</t>
        </is>
      </c>
      <c r="E525" s="16" t="inlineStr">
        <is>
          <t>KF-M02R</t>
        </is>
      </c>
      <c r="F525" s="16" t="inlineStr">
        <is>
          <t>KF-M02R-n2b</t>
        </is>
      </c>
      <c r="G525" s="16" t="inlineStr">
        <is>
          <t>B04-n2b</t>
        </is>
      </c>
      <c r="H525" s="16" t="inlineStr">
        <is>
          <t>malla</t>
        </is>
      </c>
      <c r="I525" s="16" t="inlineStr">
        <is>
          <t>CORREGIBLE</t>
        </is>
      </c>
      <c r="J525" s="16" t="inlineStr">
        <is>
          <t>CORREGIBLE</t>
        </is>
      </c>
      <c r="K525" s="16" t="b">
        <v>1</v>
      </c>
      <c r="L525" s="16" t="b">
        <v>0</v>
      </c>
      <c r="M525" s="16" t="b">
        <v>1</v>
      </c>
      <c r="N525" s="16" t="b">
        <v>0</v>
      </c>
      <c r="O525" s="16" t="n">
        <v>623.15</v>
      </c>
      <c r="P525" s="16" t="n">
        <v>300.032917</v>
      </c>
      <c r="Q525" s="16" t="n">
        <v>3000</v>
      </c>
      <c r="R525" s="16" t="n">
        <v>1127.272727272728</v>
      </c>
      <c r="S525" s="16" t="n">
        <v>0.5</v>
      </c>
      <c r="T525" s="16" t="n">
        <v>0.85</v>
      </c>
      <c r="U525" s="16" t="n">
        <v>0.75</v>
      </c>
      <c r="V525" s="16" t="n">
        <v>0.6</v>
      </c>
      <c r="W525" s="16" t="n">
        <v>0.75</v>
      </c>
      <c r="X525" s="16" t="n">
        <v>0.8</v>
      </c>
      <c r="Y525" s="16" t="n"/>
      <c r="Z525" s="16" t="n">
        <v>7.39096395151905</v>
      </c>
      <c r="AA525" s="16" t="n">
        <v>102.9034565568593</v>
      </c>
      <c r="AB525" s="16" t="n">
        <v>1872.727272727272</v>
      </c>
      <c r="AC525" s="16" t="n">
        <v>2.661290322580644</v>
      </c>
      <c r="AD525" s="16" t="inlineStr">
        <is>
          <t>O2</t>
        </is>
      </c>
      <c r="AE525" s="16" t="n"/>
    </row>
    <row r="526">
      <c r="A526" s="16" t="inlineStr">
        <is>
          <t>KF-M02R-n2b-0030</t>
        </is>
      </c>
      <c r="B526" s="16" t="inlineStr">
        <is>
          <t>2.3</t>
        </is>
      </c>
      <c r="C526" s="16" t="inlineStr">
        <is>
          <t>2.3c</t>
        </is>
      </c>
      <c r="D526" s="16" t="inlineStr">
        <is>
          <t>ε_HRVG × P_baja</t>
        </is>
      </c>
      <c r="E526" s="16" t="inlineStr">
        <is>
          <t>KF-M02R</t>
        </is>
      </c>
      <c r="F526" s="16" t="inlineStr">
        <is>
          <t>KF-M02R-n2b</t>
        </is>
      </c>
      <c r="G526" s="16" t="inlineStr">
        <is>
          <t>B04-n2b</t>
        </is>
      </c>
      <c r="H526" s="16" t="inlineStr">
        <is>
          <t>malla</t>
        </is>
      </c>
      <c r="I526" s="16" t="inlineStr">
        <is>
          <t>CORREGIBLE</t>
        </is>
      </c>
      <c r="J526" s="16" t="inlineStr">
        <is>
          <t>CORREGIBLE</t>
        </is>
      </c>
      <c r="K526" s="16" t="b">
        <v>1</v>
      </c>
      <c r="L526" s="16" t="b">
        <v>0</v>
      </c>
      <c r="M526" s="16" t="b">
        <v>1</v>
      </c>
      <c r="N526" s="16" t="b">
        <v>0</v>
      </c>
      <c r="O526" s="16" t="n">
        <v>623.15</v>
      </c>
      <c r="P526" s="16" t="n">
        <v>300.032917</v>
      </c>
      <c r="Q526" s="16" t="n">
        <v>3000</v>
      </c>
      <c r="R526" s="16" t="n">
        <v>1272.727272727273</v>
      </c>
      <c r="S526" s="16" t="n">
        <v>0.5</v>
      </c>
      <c r="T526" s="16" t="n">
        <v>0.85</v>
      </c>
      <c r="U526" s="16" t="n">
        <v>0.75</v>
      </c>
      <c r="V526" s="16" t="n">
        <v>0.6</v>
      </c>
      <c r="W526" s="16" t="n">
        <v>0.75</v>
      </c>
      <c r="X526" s="16" t="n">
        <v>0.8</v>
      </c>
      <c r="Y526" s="16" t="n"/>
      <c r="Z526" s="16" t="n">
        <v>6.581728771798841</v>
      </c>
      <c r="AA526" s="16" t="n">
        <v>91.60878625736829</v>
      </c>
      <c r="AB526" s="16" t="n">
        <v>1727.272727272727</v>
      </c>
      <c r="AC526" s="16" t="n">
        <v>2.357142857142857</v>
      </c>
      <c r="AD526" s="16" t="inlineStr">
        <is>
          <t>O2</t>
        </is>
      </c>
      <c r="AE526" s="16" t="n"/>
    </row>
    <row r="527">
      <c r="A527" s="16" t="inlineStr">
        <is>
          <t>KF-M02R-n2b-0031</t>
        </is>
      </c>
      <c r="B527" s="16" t="inlineStr">
        <is>
          <t>2.3</t>
        </is>
      </c>
      <c r="C527" s="16" t="inlineStr">
        <is>
          <t>2.3c</t>
        </is>
      </c>
      <c r="D527" s="16" t="inlineStr">
        <is>
          <t>ε_HRVG × P_baja</t>
        </is>
      </c>
      <c r="E527" s="16" t="inlineStr">
        <is>
          <t>KF-M02R</t>
        </is>
      </c>
      <c r="F527" s="16" t="inlineStr">
        <is>
          <t>KF-M02R-n2b</t>
        </is>
      </c>
      <c r="G527" s="16" t="inlineStr">
        <is>
          <t>B04-n2b</t>
        </is>
      </c>
      <c r="H527" s="16" t="inlineStr">
        <is>
          <t>malla</t>
        </is>
      </c>
      <c r="I527" s="16" t="inlineStr">
        <is>
          <t>CORREGIBLE</t>
        </is>
      </c>
      <c r="J527" s="16" t="inlineStr">
        <is>
          <t>CORREGIBLE</t>
        </is>
      </c>
      <c r="K527" s="16" t="b">
        <v>1</v>
      </c>
      <c r="L527" s="16" t="b">
        <v>0</v>
      </c>
      <c r="M527" s="16" t="b">
        <v>1</v>
      </c>
      <c r="N527" s="16" t="b">
        <v>0</v>
      </c>
      <c r="O527" s="16" t="n">
        <v>623.15</v>
      </c>
      <c r="P527" s="16" t="n">
        <v>300.032917</v>
      </c>
      <c r="Q527" s="16" t="n">
        <v>3000</v>
      </c>
      <c r="R527" s="16" t="n">
        <v>1418.181818181818</v>
      </c>
      <c r="S527" s="16" t="n">
        <v>0.5</v>
      </c>
      <c r="T527" s="16" t="n">
        <v>0.85</v>
      </c>
      <c r="U527" s="16" t="n">
        <v>0.75</v>
      </c>
      <c r="V527" s="16" t="n">
        <v>0.6</v>
      </c>
      <c r="W527" s="16" t="n">
        <v>0.75</v>
      </c>
      <c r="X527" s="16" t="n">
        <v>0.8</v>
      </c>
      <c r="Y527" s="16" t="n"/>
      <c r="Z527" s="16" t="n">
        <v>5.83473782982811</v>
      </c>
      <c r="AA527" s="16" t="n">
        <v>81.18209773599472</v>
      </c>
      <c r="AB527" s="16" t="n">
        <v>1581.818181818182</v>
      </c>
      <c r="AC527" s="16" t="n">
        <v>2.115384615384615</v>
      </c>
      <c r="AD527" s="16" t="inlineStr">
        <is>
          <t>O2</t>
        </is>
      </c>
      <c r="AE527" s="16" t="n"/>
    </row>
    <row r="528">
      <c r="A528" s="16" t="inlineStr">
        <is>
          <t>KF-M02R-n2b-0032</t>
        </is>
      </c>
      <c r="B528" s="16" t="inlineStr">
        <is>
          <t>2.3</t>
        </is>
      </c>
      <c r="C528" s="16" t="inlineStr">
        <is>
          <t>2.3c</t>
        </is>
      </c>
      <c r="D528" s="16" t="inlineStr">
        <is>
          <t>ε_HRVG × P_baja</t>
        </is>
      </c>
      <c r="E528" s="16" t="inlineStr">
        <is>
          <t>KF-M02R</t>
        </is>
      </c>
      <c r="F528" s="16" t="inlineStr">
        <is>
          <t>KF-M02R-n2b</t>
        </is>
      </c>
      <c r="G528" s="16" t="inlineStr">
        <is>
          <t>B04-n2b</t>
        </is>
      </c>
      <c r="H528" s="16" t="inlineStr">
        <is>
          <t>malla</t>
        </is>
      </c>
      <c r="I528" s="16" t="inlineStr">
        <is>
          <t>CORREGIBLE</t>
        </is>
      </c>
      <c r="J528" s="16" t="inlineStr">
        <is>
          <t>CORREGIBLE</t>
        </is>
      </c>
      <c r="K528" s="16" t="b">
        <v>1</v>
      </c>
      <c r="L528" s="16" t="b">
        <v>0</v>
      </c>
      <c r="M528" s="16" t="b">
        <v>1</v>
      </c>
      <c r="N528" s="16" t="b">
        <v>0</v>
      </c>
      <c r="O528" s="16" t="n">
        <v>623.15</v>
      </c>
      <c r="P528" s="16" t="n">
        <v>300.032917</v>
      </c>
      <c r="Q528" s="16" t="n">
        <v>3000</v>
      </c>
      <c r="R528" s="16" t="n">
        <v>1563.636363636364</v>
      </c>
      <c r="S528" s="16" t="n">
        <v>0.5</v>
      </c>
      <c r="T528" s="16" t="n">
        <v>0.85</v>
      </c>
      <c r="U528" s="16" t="n">
        <v>0.75</v>
      </c>
      <c r="V528" s="16" t="n">
        <v>0.6</v>
      </c>
      <c r="W528" s="16" t="n">
        <v>0.75</v>
      </c>
      <c r="X528" s="16" t="n">
        <v>0.8</v>
      </c>
      <c r="Y528" s="16" t="n"/>
      <c r="Z528" s="16" t="n">
        <v>5.139371729320351</v>
      </c>
      <c r="AA528" s="16" t="n">
        <v>71.47791833621412</v>
      </c>
      <c r="AB528" s="16" t="n">
        <v>1436.363636363636</v>
      </c>
      <c r="AC528" s="16" t="n">
        <v>1.918604651162791</v>
      </c>
      <c r="AD528" s="16" t="inlineStr">
        <is>
          <t>O2</t>
        </is>
      </c>
      <c r="AE528" s="16" t="n"/>
    </row>
    <row r="529">
      <c r="A529" s="16" t="inlineStr">
        <is>
          <t>KF-M02R-n2b-0033</t>
        </is>
      </c>
      <c r="B529" s="16" t="inlineStr">
        <is>
          <t>2.3</t>
        </is>
      </c>
      <c r="C529" s="16" t="inlineStr">
        <is>
          <t>2.3c</t>
        </is>
      </c>
      <c r="D529" s="16" t="inlineStr">
        <is>
          <t>ε_HRVG × P_baja</t>
        </is>
      </c>
      <c r="E529" s="16" t="inlineStr">
        <is>
          <t>KF-M02R</t>
        </is>
      </c>
      <c r="F529" s="16" t="inlineStr">
        <is>
          <t>KF-M02R-n2b</t>
        </is>
      </c>
      <c r="G529" s="16" t="inlineStr">
        <is>
          <t>B04-n2b</t>
        </is>
      </c>
      <c r="H529" s="16" t="inlineStr">
        <is>
          <t>malla</t>
        </is>
      </c>
      <c r="I529" s="16" t="inlineStr">
        <is>
          <t>CORREGIBLE</t>
        </is>
      </c>
      <c r="J529" s="16" t="inlineStr">
        <is>
          <t>CORREGIBLE</t>
        </is>
      </c>
      <c r="K529" s="16" t="b">
        <v>1</v>
      </c>
      <c r="L529" s="16" t="b">
        <v>0</v>
      </c>
      <c r="M529" s="16" t="b">
        <v>1</v>
      </c>
      <c r="N529" s="16" t="b">
        <v>0</v>
      </c>
      <c r="O529" s="16" t="n">
        <v>623.15</v>
      </c>
      <c r="P529" s="16" t="n">
        <v>300.032917</v>
      </c>
      <c r="Q529" s="16" t="n">
        <v>3000</v>
      </c>
      <c r="R529" s="16" t="n">
        <v>1709.090909090909</v>
      </c>
      <c r="S529" s="16" t="n">
        <v>0.5</v>
      </c>
      <c r="T529" s="16" t="n">
        <v>0.85</v>
      </c>
      <c r="U529" s="16" t="n">
        <v>0.75</v>
      </c>
      <c r="V529" s="16" t="n">
        <v>0.6</v>
      </c>
      <c r="W529" s="16" t="n">
        <v>0.75</v>
      </c>
      <c r="X529" s="16" t="n">
        <v>0.8</v>
      </c>
      <c r="Y529" s="16" t="n"/>
      <c r="Z529" s="16" t="n">
        <v>4.48762297561172</v>
      </c>
      <c r="AA529" s="16" t="n">
        <v>62.38604604739797</v>
      </c>
      <c r="AB529" s="16" t="n">
        <v>1290.909090909091</v>
      </c>
      <c r="AC529" s="16" t="n">
        <v>1.75531914893617</v>
      </c>
      <c r="AD529" s="16" t="inlineStr">
        <is>
          <t>O2</t>
        </is>
      </c>
      <c r="AE529" s="16" t="n"/>
    </row>
    <row r="530">
      <c r="A530" s="16" t="inlineStr">
        <is>
          <t>KF-M02R-n2b-0034</t>
        </is>
      </c>
      <c r="B530" s="16" t="inlineStr">
        <is>
          <t>2.3</t>
        </is>
      </c>
      <c r="C530" s="16" t="inlineStr">
        <is>
          <t>2.3c</t>
        </is>
      </c>
      <c r="D530" s="16" t="inlineStr">
        <is>
          <t>ε_HRVG × P_baja</t>
        </is>
      </c>
      <c r="E530" s="16" t="inlineStr">
        <is>
          <t>KF-M02R</t>
        </is>
      </c>
      <c r="F530" s="16" t="inlineStr">
        <is>
          <t>KF-M02R-n2b</t>
        </is>
      </c>
      <c r="G530" s="16" t="inlineStr">
        <is>
          <t>B04-n2b</t>
        </is>
      </c>
      <c r="H530" s="16" t="inlineStr">
        <is>
          <t>malla</t>
        </is>
      </c>
      <c r="I530" s="16" t="inlineStr">
        <is>
          <t>CORREGIBLE</t>
        </is>
      </c>
      <c r="J530" s="16" t="inlineStr">
        <is>
          <t>CORREGIBLE</t>
        </is>
      </c>
      <c r="K530" s="16" t="b">
        <v>1</v>
      </c>
      <c r="L530" s="16" t="b">
        <v>0</v>
      </c>
      <c r="M530" s="16" t="b">
        <v>1</v>
      </c>
      <c r="N530" s="16" t="b">
        <v>0</v>
      </c>
      <c r="O530" s="16" t="n">
        <v>623.15</v>
      </c>
      <c r="P530" s="16" t="n">
        <v>300.032917</v>
      </c>
      <c r="Q530" s="16" t="n">
        <v>3000</v>
      </c>
      <c r="R530" s="16" t="n">
        <v>1854.545454545455</v>
      </c>
      <c r="S530" s="16" t="n">
        <v>0.5</v>
      </c>
      <c r="T530" s="16" t="n">
        <v>0.85</v>
      </c>
      <c r="U530" s="16" t="n">
        <v>0.75</v>
      </c>
      <c r="V530" s="16" t="n">
        <v>0.6</v>
      </c>
      <c r="W530" s="16" t="n">
        <v>0.75</v>
      </c>
      <c r="X530" s="16" t="n">
        <v>0.8</v>
      </c>
      <c r="Y530" s="16" t="n"/>
      <c r="Z530" s="16" t="n">
        <v>3.87328606422889</v>
      </c>
      <c r="AA530" s="16" t="n">
        <v>53.82076674495153</v>
      </c>
      <c r="AB530" s="16" t="n">
        <v>1145.454545454545</v>
      </c>
      <c r="AC530" s="16" t="n">
        <v>1.617647058823529</v>
      </c>
      <c r="AD530" s="16" t="inlineStr">
        <is>
          <t>O2</t>
        </is>
      </c>
      <c r="AE530" s="16" t="n"/>
    </row>
    <row r="531">
      <c r="A531" s="16" t="inlineStr">
        <is>
          <t>KF-M02R-n2b-0035</t>
        </is>
      </c>
      <c r="B531" s="16" t="inlineStr">
        <is>
          <t>2.3</t>
        </is>
      </c>
      <c r="C531" s="16" t="inlineStr">
        <is>
          <t>2.3c</t>
        </is>
      </c>
      <c r="D531" s="16" t="inlineStr">
        <is>
          <t>ε_HRVG × P_baja</t>
        </is>
      </c>
      <c r="E531" s="16" t="inlineStr">
        <is>
          <t>KF-M02R</t>
        </is>
      </c>
      <c r="F531" s="16" t="inlineStr">
        <is>
          <t>KF-M02R-n2b</t>
        </is>
      </c>
      <c r="G531" s="16" t="inlineStr">
        <is>
          <t>B04-n2b</t>
        </is>
      </c>
      <c r="H531" s="16" t="inlineStr">
        <is>
          <t>malla</t>
        </is>
      </c>
      <c r="I531" s="16" t="inlineStr">
        <is>
          <t>CORREGIBLE</t>
        </is>
      </c>
      <c r="J531" s="16" t="inlineStr">
        <is>
          <t>CORREGIBLE</t>
        </is>
      </c>
      <c r="K531" s="16" t="b">
        <v>1</v>
      </c>
      <c r="L531" s="16" t="b">
        <v>0</v>
      </c>
      <c r="M531" s="16" t="b">
        <v>1</v>
      </c>
      <c r="N531" s="16" t="b">
        <v>0</v>
      </c>
      <c r="O531" s="16" t="n">
        <v>623.15</v>
      </c>
      <c r="P531" s="16" t="n">
        <v>300.032917</v>
      </c>
      <c r="Q531" s="16" t="n">
        <v>3000</v>
      </c>
      <c r="R531" s="16" t="n">
        <v>2000</v>
      </c>
      <c r="S531" s="16" t="n">
        <v>0.5</v>
      </c>
      <c r="T531" s="16" t="n">
        <v>0.85</v>
      </c>
      <c r="U531" s="16" t="n">
        <v>0.75</v>
      </c>
      <c r="V531" s="16" t="n">
        <v>0.6</v>
      </c>
      <c r="W531" s="16" t="n">
        <v>0.75</v>
      </c>
      <c r="X531" s="16" t="n">
        <v>0.8</v>
      </c>
      <c r="Y531" s="16" t="n"/>
      <c r="Z531" s="16" t="n">
        <v>3.29144677890976</v>
      </c>
      <c r="AA531" s="16" t="n">
        <v>45.71397302688568</v>
      </c>
      <c r="AB531" s="16" t="n">
        <v>1000</v>
      </c>
      <c r="AC531" s="16" t="n">
        <v>1.5</v>
      </c>
      <c r="AD531" s="16" t="inlineStr">
        <is>
          <t>O2</t>
        </is>
      </c>
      <c r="AE531" s="16" t="n"/>
    </row>
    <row r="532">
      <c r="A532" s="16" t="inlineStr">
        <is>
          <t>KF-M02R-n2b-0036</t>
        </is>
      </c>
      <c r="B532" s="16" t="inlineStr">
        <is>
          <t>2.3</t>
        </is>
      </c>
      <c r="C532" s="16" t="inlineStr">
        <is>
          <t>2.3c</t>
        </is>
      </c>
      <c r="D532" s="16" t="inlineStr">
        <is>
          <t>ε_HRVG × P_baja</t>
        </is>
      </c>
      <c r="E532" s="16" t="inlineStr">
        <is>
          <t>KF-M02R</t>
        </is>
      </c>
      <c r="F532" s="16" t="inlineStr">
        <is>
          <t>KF-M02R-n2b</t>
        </is>
      </c>
      <c r="G532" s="16" t="inlineStr">
        <is>
          <t>B04-n2b</t>
        </is>
      </c>
      <c r="H532" s="16" t="inlineStr">
        <is>
          <t>malla</t>
        </is>
      </c>
      <c r="I532" s="16" t="inlineStr">
        <is>
          <t>CORREGIBLE</t>
        </is>
      </c>
      <c r="J532" s="16" t="inlineStr">
        <is>
          <t>CORREGIBLE</t>
        </is>
      </c>
      <c r="K532" s="16" t="b">
        <v>1</v>
      </c>
      <c r="L532" s="16" t="b">
        <v>0</v>
      </c>
      <c r="M532" s="16" t="b">
        <v>1</v>
      </c>
      <c r="N532" s="16" t="b">
        <v>0</v>
      </c>
      <c r="O532" s="16" t="n">
        <v>623.15</v>
      </c>
      <c r="P532" s="16" t="n">
        <v>300.032917</v>
      </c>
      <c r="Q532" s="16" t="n">
        <v>3000</v>
      </c>
      <c r="R532" s="16" t="n">
        <v>400</v>
      </c>
      <c r="S532" s="16" t="n">
        <v>0.5</v>
      </c>
      <c r="T532" s="16" t="n">
        <v>0.85</v>
      </c>
      <c r="U532" s="16" t="n">
        <v>0.75</v>
      </c>
      <c r="V532" s="16" t="n">
        <v>0.7</v>
      </c>
      <c r="W532" s="16" t="n">
        <v>0.75</v>
      </c>
      <c r="X532" s="16" t="n">
        <v>0.8</v>
      </c>
      <c r="Y532" s="16" t="n"/>
      <c r="Z532" s="16" t="n">
        <v>13.13284705594226</v>
      </c>
      <c r="AA532" s="16" t="n">
        <v>211.4569646865727</v>
      </c>
      <c r="AB532" s="16" t="n">
        <v>2600</v>
      </c>
      <c r="AC532" s="16" t="n">
        <v>7.5</v>
      </c>
      <c r="AD532" s="16" t="inlineStr">
        <is>
          <t>O2</t>
        </is>
      </c>
      <c r="AE532" s="16" t="n"/>
    </row>
    <row r="533">
      <c r="A533" s="16" t="inlineStr">
        <is>
          <t>KF-M02R-n2b-0037</t>
        </is>
      </c>
      <c r="B533" s="16" t="inlineStr">
        <is>
          <t>2.3</t>
        </is>
      </c>
      <c r="C533" s="16" t="inlineStr">
        <is>
          <t>2.3c</t>
        </is>
      </c>
      <c r="D533" s="16" t="inlineStr">
        <is>
          <t>ε_HRVG × P_baja</t>
        </is>
      </c>
      <c r="E533" s="16" t="inlineStr">
        <is>
          <t>KF-M02R</t>
        </is>
      </c>
      <c r="F533" s="16" t="inlineStr">
        <is>
          <t>KF-M02R-n2b</t>
        </is>
      </c>
      <c r="G533" s="16" t="inlineStr">
        <is>
          <t>B04-n2b</t>
        </is>
      </c>
      <c r="H533" s="16" t="inlineStr">
        <is>
          <t>malla</t>
        </is>
      </c>
      <c r="I533" s="16" t="inlineStr">
        <is>
          <t>CORREGIBLE</t>
        </is>
      </c>
      <c r="J533" s="16" t="inlineStr">
        <is>
          <t>CORREGIBLE</t>
        </is>
      </c>
      <c r="K533" s="16" t="b">
        <v>1</v>
      </c>
      <c r="L533" s="16" t="b">
        <v>0</v>
      </c>
      <c r="M533" s="16" t="b">
        <v>1</v>
      </c>
      <c r="N533" s="16" t="b">
        <v>0</v>
      </c>
      <c r="O533" s="16" t="n">
        <v>623.15</v>
      </c>
      <c r="P533" s="16" t="n">
        <v>300.032917</v>
      </c>
      <c r="Q533" s="16" t="n">
        <v>3000</v>
      </c>
      <c r="R533" s="16" t="n">
        <v>545.4545454545455</v>
      </c>
      <c r="S533" s="16" t="n">
        <v>0.5</v>
      </c>
      <c r="T533" s="16" t="n">
        <v>0.85</v>
      </c>
      <c r="U533" s="16" t="n">
        <v>0.75</v>
      </c>
      <c r="V533" s="16" t="n">
        <v>0.7</v>
      </c>
      <c r="W533" s="16" t="n">
        <v>0.75</v>
      </c>
      <c r="X533" s="16" t="n">
        <v>0.8</v>
      </c>
      <c r="Y533" s="16" t="n"/>
      <c r="Z533" s="16" t="n">
        <v>11.54469437517447</v>
      </c>
      <c r="AA533" s="16" t="n">
        <v>186.1471640645814</v>
      </c>
      <c r="AB533" s="16" t="n">
        <v>2454.545454545455</v>
      </c>
      <c r="AC533" s="16" t="n">
        <v>5.5</v>
      </c>
      <c r="AD533" s="16" t="inlineStr">
        <is>
          <t>O2</t>
        </is>
      </c>
      <c r="AE533" s="16" t="n"/>
    </row>
    <row r="534">
      <c r="A534" s="16" t="inlineStr">
        <is>
          <t>KF-M02R-n2b-0038</t>
        </is>
      </c>
      <c r="B534" s="16" t="inlineStr">
        <is>
          <t>2.3</t>
        </is>
      </c>
      <c r="C534" s="16" t="inlineStr">
        <is>
          <t>2.3c</t>
        </is>
      </c>
      <c r="D534" s="16" t="inlineStr">
        <is>
          <t>ε_HRVG × P_baja</t>
        </is>
      </c>
      <c r="E534" s="16" t="inlineStr">
        <is>
          <t>KF-M02R</t>
        </is>
      </c>
      <c r="F534" s="16" t="inlineStr">
        <is>
          <t>KF-M02R-n2b</t>
        </is>
      </c>
      <c r="G534" s="16" t="inlineStr">
        <is>
          <t>B04-n2b</t>
        </is>
      </c>
      <c r="H534" s="16" t="inlineStr">
        <is>
          <t>malla</t>
        </is>
      </c>
      <c r="I534" s="16" t="inlineStr">
        <is>
          <t>CORREGIBLE</t>
        </is>
      </c>
      <c r="J534" s="16" t="inlineStr">
        <is>
          <t>CORREGIBLE</t>
        </is>
      </c>
      <c r="K534" s="16" t="b">
        <v>1</v>
      </c>
      <c r="L534" s="16" t="b">
        <v>0</v>
      </c>
      <c r="M534" s="16" t="b">
        <v>1</v>
      </c>
      <c r="N534" s="16" t="b">
        <v>0</v>
      </c>
      <c r="O534" s="16" t="n">
        <v>623.15</v>
      </c>
      <c r="P534" s="16" t="n">
        <v>300.032917</v>
      </c>
      <c r="Q534" s="16" t="n">
        <v>3000</v>
      </c>
      <c r="R534" s="16" t="n">
        <v>690.909090909091</v>
      </c>
      <c r="S534" s="16" t="n">
        <v>0.5</v>
      </c>
      <c r="T534" s="16" t="n">
        <v>0.85</v>
      </c>
      <c r="U534" s="16" t="n">
        <v>0.75</v>
      </c>
      <c r="V534" s="16" t="n">
        <v>0.7</v>
      </c>
      <c r="W534" s="16" t="n">
        <v>0.75</v>
      </c>
      <c r="X534" s="16" t="n">
        <v>0.8</v>
      </c>
      <c r="Y534" s="16" t="n"/>
      <c r="Z534" s="16" t="n">
        <v>10.24493916279407</v>
      </c>
      <c r="AA534" s="16" t="n">
        <v>165.3022014520104</v>
      </c>
      <c r="AB534" s="16" t="n">
        <v>2309.090909090909</v>
      </c>
      <c r="AC534" s="16" t="n">
        <v>4.342105263157894</v>
      </c>
      <c r="AD534" s="16" t="inlineStr">
        <is>
          <t>O2</t>
        </is>
      </c>
      <c r="AE534" s="16" t="n"/>
    </row>
    <row r="535">
      <c r="A535" s="16" t="inlineStr">
        <is>
          <t>KF-M02R-n2b-0039</t>
        </is>
      </c>
      <c r="B535" s="16" t="inlineStr">
        <is>
          <t>2.3</t>
        </is>
      </c>
      <c r="C535" s="16" t="inlineStr">
        <is>
          <t>2.3c</t>
        </is>
      </c>
      <c r="D535" s="16" t="inlineStr">
        <is>
          <t>ε_HRVG × P_baja</t>
        </is>
      </c>
      <c r="E535" s="16" t="inlineStr">
        <is>
          <t>KF-M02R</t>
        </is>
      </c>
      <c r="F535" s="16" t="inlineStr">
        <is>
          <t>KF-M02R-n2b</t>
        </is>
      </c>
      <c r="G535" s="16" t="inlineStr">
        <is>
          <t>B04-n2b</t>
        </is>
      </c>
      <c r="H535" s="16" t="inlineStr">
        <is>
          <t>malla</t>
        </is>
      </c>
      <c r="I535" s="16" t="inlineStr">
        <is>
          <t>CORREGIBLE</t>
        </is>
      </c>
      <c r="J535" s="16" t="inlineStr">
        <is>
          <t>CORREGIBLE</t>
        </is>
      </c>
      <c r="K535" s="16" t="b">
        <v>1</v>
      </c>
      <c r="L535" s="16" t="b">
        <v>0</v>
      </c>
      <c r="M535" s="16" t="b">
        <v>1</v>
      </c>
      <c r="N535" s="16" t="b">
        <v>0</v>
      </c>
      <c r="O535" s="16" t="n">
        <v>623.15</v>
      </c>
      <c r="P535" s="16" t="n">
        <v>300.032917</v>
      </c>
      <c r="Q535" s="16" t="n">
        <v>3000</v>
      </c>
      <c r="R535" s="16" t="n">
        <v>836.3636363636364</v>
      </c>
      <c r="S535" s="16" t="n">
        <v>0.5</v>
      </c>
      <c r="T535" s="16" t="n">
        <v>0.85</v>
      </c>
      <c r="U535" s="16" t="n">
        <v>0.75</v>
      </c>
      <c r="V535" s="16" t="n">
        <v>0.7</v>
      </c>
      <c r="W535" s="16" t="n">
        <v>0.75</v>
      </c>
      <c r="X535" s="16" t="n">
        <v>0.8</v>
      </c>
      <c r="Y535" s="16" t="n"/>
      <c r="Z535" s="16" t="n">
        <v>9.13345737695724</v>
      </c>
      <c r="AA535" s="16" t="n">
        <v>147.4099561849084</v>
      </c>
      <c r="AB535" s="16" t="n">
        <v>2163.636363636364</v>
      </c>
      <c r="AC535" s="16" t="n">
        <v>3.58695652173913</v>
      </c>
      <c r="AD535" s="16" t="inlineStr">
        <is>
          <t>O2</t>
        </is>
      </c>
      <c r="AE535" s="16" t="n"/>
    </row>
    <row r="536">
      <c r="A536" s="16" t="inlineStr">
        <is>
          <t>KF-M02R-n2b-0040</t>
        </is>
      </c>
      <c r="B536" s="16" t="inlineStr">
        <is>
          <t>2.3</t>
        </is>
      </c>
      <c r="C536" s="16" t="inlineStr">
        <is>
          <t>2.3c</t>
        </is>
      </c>
      <c r="D536" s="16" t="inlineStr">
        <is>
          <t>ε_HRVG × P_baja</t>
        </is>
      </c>
      <c r="E536" s="16" t="inlineStr">
        <is>
          <t>KF-M02R</t>
        </is>
      </c>
      <c r="F536" s="16" t="inlineStr">
        <is>
          <t>KF-M02R-n2b</t>
        </is>
      </c>
      <c r="G536" s="16" t="inlineStr">
        <is>
          <t>B04-n2b</t>
        </is>
      </c>
      <c r="H536" s="16" t="inlineStr">
        <is>
          <t>malla</t>
        </is>
      </c>
      <c r="I536" s="16" t="inlineStr">
        <is>
          <t>CORREGIBLE</t>
        </is>
      </c>
      <c r="J536" s="16" t="inlineStr">
        <is>
          <t>CORREGIBLE</t>
        </is>
      </c>
      <c r="K536" s="16" t="b">
        <v>1</v>
      </c>
      <c r="L536" s="16" t="b">
        <v>0</v>
      </c>
      <c r="M536" s="16" t="b">
        <v>1</v>
      </c>
      <c r="N536" s="16" t="b">
        <v>0</v>
      </c>
      <c r="O536" s="16" t="n">
        <v>623.15</v>
      </c>
      <c r="P536" s="16" t="n">
        <v>300.032917</v>
      </c>
      <c r="Q536" s="16" t="n">
        <v>3000</v>
      </c>
      <c r="R536" s="16" t="n">
        <v>981.818181818182</v>
      </c>
      <c r="S536" s="16" t="n">
        <v>0.5</v>
      </c>
      <c r="T536" s="16" t="n">
        <v>0.85</v>
      </c>
      <c r="U536" s="16" t="n">
        <v>0.75</v>
      </c>
      <c r="V536" s="16" t="n">
        <v>0.7</v>
      </c>
      <c r="W536" s="16" t="n">
        <v>0.75</v>
      </c>
      <c r="X536" s="16" t="n">
        <v>0.8</v>
      </c>
      <c r="Y536" s="16" t="n"/>
      <c r="Z536" s="16" t="n">
        <v>8.15581844489194</v>
      </c>
      <c r="AA536" s="16" t="n">
        <v>131.6365391606126</v>
      </c>
      <c r="AB536" s="16" t="n">
        <v>2018.181818181818</v>
      </c>
      <c r="AC536" s="16" t="n">
        <v>3.055555555555555</v>
      </c>
      <c r="AD536" s="16" t="inlineStr">
        <is>
          <t>O2</t>
        </is>
      </c>
      <c r="AE536" s="16" t="n"/>
    </row>
    <row r="537">
      <c r="A537" s="16" t="inlineStr">
        <is>
          <t>KF-M02R-n2b-0041</t>
        </is>
      </c>
      <c r="B537" s="16" t="inlineStr">
        <is>
          <t>2.3</t>
        </is>
      </c>
      <c r="C537" s="16" t="inlineStr">
        <is>
          <t>2.3c</t>
        </is>
      </c>
      <c r="D537" s="16" t="inlineStr">
        <is>
          <t>ε_HRVG × P_baja</t>
        </is>
      </c>
      <c r="E537" s="16" t="inlineStr">
        <is>
          <t>KF-M02R</t>
        </is>
      </c>
      <c r="F537" s="16" t="inlineStr">
        <is>
          <t>KF-M02R-n2b</t>
        </is>
      </c>
      <c r="G537" s="16" t="inlineStr">
        <is>
          <t>B04-n2b</t>
        </is>
      </c>
      <c r="H537" s="16" t="inlineStr">
        <is>
          <t>malla</t>
        </is>
      </c>
      <c r="I537" s="16" t="inlineStr">
        <is>
          <t>CORREGIBLE</t>
        </is>
      </c>
      <c r="J537" s="16" t="inlineStr">
        <is>
          <t>CORREGIBLE</t>
        </is>
      </c>
      <c r="K537" s="16" t="b">
        <v>1</v>
      </c>
      <c r="L537" s="16" t="b">
        <v>0</v>
      </c>
      <c r="M537" s="16" t="b">
        <v>1</v>
      </c>
      <c r="N537" s="16" t="b">
        <v>0</v>
      </c>
      <c r="O537" s="16" t="n">
        <v>623.15</v>
      </c>
      <c r="P537" s="16" t="n">
        <v>300.032917</v>
      </c>
      <c r="Q537" s="16" t="n">
        <v>3000</v>
      </c>
      <c r="R537" s="16" t="n">
        <v>1127.272727272728</v>
      </c>
      <c r="S537" s="16" t="n">
        <v>0.5</v>
      </c>
      <c r="T537" s="16" t="n">
        <v>0.85</v>
      </c>
      <c r="U537" s="16" t="n">
        <v>0.75</v>
      </c>
      <c r="V537" s="16" t="n">
        <v>0.7</v>
      </c>
      <c r="W537" s="16" t="n">
        <v>0.75</v>
      </c>
      <c r="X537" s="16" t="n">
        <v>0.8</v>
      </c>
      <c r="Y537" s="16" t="n"/>
      <c r="Z537" s="16" t="n">
        <v>7.278863276646411</v>
      </c>
      <c r="AA537" s="16" t="n">
        <v>117.4684689202751</v>
      </c>
      <c r="AB537" s="16" t="n">
        <v>1872.727272727272</v>
      </c>
      <c r="AC537" s="16" t="n">
        <v>2.661290322580644</v>
      </c>
      <c r="AD537" s="16" t="inlineStr">
        <is>
          <t>O2</t>
        </is>
      </c>
      <c r="AE537" s="16" t="n"/>
    </row>
    <row r="538">
      <c r="A538" s="16" t="inlineStr">
        <is>
          <t>KF-M02R-n2b-0042</t>
        </is>
      </c>
      <c r="B538" s="16" t="inlineStr">
        <is>
          <t>2.3</t>
        </is>
      </c>
      <c r="C538" s="16" t="inlineStr">
        <is>
          <t>2.3c</t>
        </is>
      </c>
      <c r="D538" s="16" t="inlineStr">
        <is>
          <t>ε_HRVG × P_baja</t>
        </is>
      </c>
      <c r="E538" s="16" t="inlineStr">
        <is>
          <t>KF-M02R</t>
        </is>
      </c>
      <c r="F538" s="16" t="inlineStr">
        <is>
          <t>KF-M02R-n2b</t>
        </is>
      </c>
      <c r="G538" s="16" t="inlineStr">
        <is>
          <t>B04-n2b</t>
        </is>
      </c>
      <c r="H538" s="16" t="inlineStr">
        <is>
          <t>malla</t>
        </is>
      </c>
      <c r="I538" s="16" t="inlineStr">
        <is>
          <t>CORREGIBLE</t>
        </is>
      </c>
      <c r="J538" s="16" t="inlineStr">
        <is>
          <t>CORREGIBLE</t>
        </is>
      </c>
      <c r="K538" s="16" t="b">
        <v>1</v>
      </c>
      <c r="L538" s="16" t="b">
        <v>0</v>
      </c>
      <c r="M538" s="16" t="b">
        <v>1</v>
      </c>
      <c r="N538" s="16" t="b">
        <v>0</v>
      </c>
      <c r="O538" s="16" t="n">
        <v>623.15</v>
      </c>
      <c r="P538" s="16" t="n">
        <v>300.032917</v>
      </c>
      <c r="Q538" s="16" t="n">
        <v>3000</v>
      </c>
      <c r="R538" s="16" t="n">
        <v>1272.727272727273</v>
      </c>
      <c r="S538" s="16" t="n">
        <v>0.5</v>
      </c>
      <c r="T538" s="16" t="n">
        <v>0.85</v>
      </c>
      <c r="U538" s="16" t="n">
        <v>0.75</v>
      </c>
      <c r="V538" s="16" t="n">
        <v>0.7</v>
      </c>
      <c r="W538" s="16" t="n">
        <v>0.75</v>
      </c>
      <c r="X538" s="16" t="n">
        <v>0.8</v>
      </c>
      <c r="Y538" s="16" t="n"/>
      <c r="Z538" s="16" t="n">
        <v>6.480765045341021</v>
      </c>
      <c r="AA538" s="16" t="n">
        <v>104.5649344112481</v>
      </c>
      <c r="AB538" s="16" t="n">
        <v>1727.272727272727</v>
      </c>
      <c r="AC538" s="16" t="n">
        <v>2.357142857142857</v>
      </c>
      <c r="AD538" s="16" t="inlineStr">
        <is>
          <t>O2</t>
        </is>
      </c>
      <c r="AE538" s="16" t="n"/>
    </row>
    <row r="539">
      <c r="A539" s="16" t="inlineStr">
        <is>
          <t>KF-M02R-n2b-0043</t>
        </is>
      </c>
      <c r="B539" s="16" t="inlineStr">
        <is>
          <t>2.3</t>
        </is>
      </c>
      <c r="C539" s="16" t="inlineStr">
        <is>
          <t>2.3c</t>
        </is>
      </c>
      <c r="D539" s="16" t="inlineStr">
        <is>
          <t>ε_HRVG × P_baja</t>
        </is>
      </c>
      <c r="E539" s="16" t="inlineStr">
        <is>
          <t>KF-M02R</t>
        </is>
      </c>
      <c r="F539" s="16" t="inlineStr">
        <is>
          <t>KF-M02R-n2b</t>
        </is>
      </c>
      <c r="G539" s="16" t="inlineStr">
        <is>
          <t>B04-n2b</t>
        </is>
      </c>
      <c r="H539" s="16" t="inlineStr">
        <is>
          <t>malla</t>
        </is>
      </c>
      <c r="I539" s="16" t="inlineStr">
        <is>
          <t>CORREGIBLE</t>
        </is>
      </c>
      <c r="J539" s="16" t="inlineStr">
        <is>
          <t>CORREGIBLE</t>
        </is>
      </c>
      <c r="K539" s="16" t="b">
        <v>1</v>
      </c>
      <c r="L539" s="16" t="b">
        <v>0</v>
      </c>
      <c r="M539" s="16" t="b">
        <v>1</v>
      </c>
      <c r="N539" s="16" t="b">
        <v>0</v>
      </c>
      <c r="O539" s="16" t="n">
        <v>623.15</v>
      </c>
      <c r="P539" s="16" t="n">
        <v>300.032917</v>
      </c>
      <c r="Q539" s="16" t="n">
        <v>3000</v>
      </c>
      <c r="R539" s="16" t="n">
        <v>1418.181818181818</v>
      </c>
      <c r="S539" s="16" t="n">
        <v>0.5</v>
      </c>
      <c r="T539" s="16" t="n">
        <v>0.85</v>
      </c>
      <c r="U539" s="16" t="n">
        <v>0.75</v>
      </c>
      <c r="V539" s="16" t="n">
        <v>0.7</v>
      </c>
      <c r="W539" s="16" t="n">
        <v>0.75</v>
      </c>
      <c r="X539" s="16" t="n">
        <v>0.8</v>
      </c>
      <c r="Y539" s="16" t="n"/>
      <c r="Z539" s="16" t="n">
        <v>5.74632549904127</v>
      </c>
      <c r="AA539" s="16" t="n">
        <v>92.68702465459256</v>
      </c>
      <c r="AB539" s="16" t="n">
        <v>1581.818181818182</v>
      </c>
      <c r="AC539" s="16" t="n">
        <v>2.115384615384615</v>
      </c>
      <c r="AD539" s="16" t="inlineStr">
        <is>
          <t>O2</t>
        </is>
      </c>
      <c r="AE539" s="16" t="n"/>
    </row>
    <row r="540">
      <c r="A540" s="16" t="inlineStr">
        <is>
          <t>KF-M02R-n2b-0044</t>
        </is>
      </c>
      <c r="B540" s="16" t="inlineStr">
        <is>
          <t>2.3</t>
        </is>
      </c>
      <c r="C540" s="16" t="inlineStr">
        <is>
          <t>2.3c</t>
        </is>
      </c>
      <c r="D540" s="16" t="inlineStr">
        <is>
          <t>ε_HRVG × P_baja</t>
        </is>
      </c>
      <c r="E540" s="16" t="inlineStr">
        <is>
          <t>KF-M02R</t>
        </is>
      </c>
      <c r="F540" s="16" t="inlineStr">
        <is>
          <t>KF-M02R-n2b</t>
        </is>
      </c>
      <c r="G540" s="16" t="inlineStr">
        <is>
          <t>B04-n2b</t>
        </is>
      </c>
      <c r="H540" s="16" t="inlineStr">
        <is>
          <t>malla</t>
        </is>
      </c>
      <c r="I540" s="16" t="inlineStr">
        <is>
          <t>CORREGIBLE</t>
        </is>
      </c>
      <c r="J540" s="16" t="inlineStr">
        <is>
          <t>CORREGIBLE</t>
        </is>
      </c>
      <c r="K540" s="16" t="b">
        <v>1</v>
      </c>
      <c r="L540" s="16" t="b">
        <v>0</v>
      </c>
      <c r="M540" s="16" t="b">
        <v>1</v>
      </c>
      <c r="N540" s="16" t="b">
        <v>0</v>
      </c>
      <c r="O540" s="16" t="n">
        <v>623.15</v>
      </c>
      <c r="P540" s="16" t="n">
        <v>300.032917</v>
      </c>
      <c r="Q540" s="16" t="n">
        <v>3000</v>
      </c>
      <c r="R540" s="16" t="n">
        <v>1563.636363636364</v>
      </c>
      <c r="S540" s="16" t="n">
        <v>0.5</v>
      </c>
      <c r="T540" s="16" t="n">
        <v>0.85</v>
      </c>
      <c r="U540" s="16" t="n">
        <v>0.75</v>
      </c>
      <c r="V540" s="16" t="n">
        <v>0.7</v>
      </c>
      <c r="W540" s="16" t="n">
        <v>0.75</v>
      </c>
      <c r="X540" s="16" t="n">
        <v>0.8</v>
      </c>
      <c r="Y540" s="16" t="n"/>
      <c r="Z540" s="16" t="n">
        <v>5.06450168634845</v>
      </c>
      <c r="AA540" s="16" t="n">
        <v>81.6601758979827</v>
      </c>
      <c r="AB540" s="16" t="n">
        <v>1436.363636363636</v>
      </c>
      <c r="AC540" s="16" t="n">
        <v>1.918604651162791</v>
      </c>
      <c r="AD540" s="16" t="inlineStr">
        <is>
          <t>O2</t>
        </is>
      </c>
      <c r="AE540" s="16" t="n"/>
    </row>
    <row r="541">
      <c r="A541" s="16" t="inlineStr">
        <is>
          <t>KF-M02R-n2b-0045</t>
        </is>
      </c>
      <c r="B541" s="16" t="inlineStr">
        <is>
          <t>2.3</t>
        </is>
      </c>
      <c r="C541" s="16" t="inlineStr">
        <is>
          <t>2.3c</t>
        </is>
      </c>
      <c r="D541" s="16" t="inlineStr">
        <is>
          <t>ε_HRVG × P_baja</t>
        </is>
      </c>
      <c r="E541" s="16" t="inlineStr">
        <is>
          <t>KF-M02R</t>
        </is>
      </c>
      <c r="F541" s="16" t="inlineStr">
        <is>
          <t>KF-M02R-n2b</t>
        </is>
      </c>
      <c r="G541" s="16" t="inlineStr">
        <is>
          <t>B04-n2b</t>
        </is>
      </c>
      <c r="H541" s="16" t="inlineStr">
        <is>
          <t>malla</t>
        </is>
      </c>
      <c r="I541" s="16" t="inlineStr">
        <is>
          <t>CORREGIBLE</t>
        </is>
      </c>
      <c r="J541" s="16" t="inlineStr">
        <is>
          <t>CORREGIBLE</t>
        </is>
      </c>
      <c r="K541" s="16" t="b">
        <v>1</v>
      </c>
      <c r="L541" s="16" t="b">
        <v>0</v>
      </c>
      <c r="M541" s="16" t="b">
        <v>1</v>
      </c>
      <c r="N541" s="16" t="b">
        <v>0</v>
      </c>
      <c r="O541" s="16" t="n">
        <v>623.15</v>
      </c>
      <c r="P541" s="16" t="n">
        <v>300.032917</v>
      </c>
      <c r="Q541" s="16" t="n">
        <v>3000</v>
      </c>
      <c r="R541" s="16" t="n">
        <v>1709.090909090909</v>
      </c>
      <c r="S541" s="16" t="n">
        <v>0.5</v>
      </c>
      <c r="T541" s="16" t="n">
        <v>0.85</v>
      </c>
      <c r="U541" s="16" t="n">
        <v>0.75</v>
      </c>
      <c r="V541" s="16" t="n">
        <v>0.7</v>
      </c>
      <c r="W541" s="16" t="n">
        <v>0.75</v>
      </c>
      <c r="X541" s="16" t="n">
        <v>0.8</v>
      </c>
      <c r="Y541" s="16" t="n"/>
      <c r="Z541" s="16" t="n">
        <v>4.42699559335111</v>
      </c>
      <c r="AA541" s="16" t="n">
        <v>71.35259095951422</v>
      </c>
      <c r="AB541" s="16" t="n">
        <v>1290.909090909091</v>
      </c>
      <c r="AC541" s="16" t="n">
        <v>1.75531914893617</v>
      </c>
      <c r="AD541" s="16" t="inlineStr">
        <is>
          <t>O2</t>
        </is>
      </c>
      <c r="AE541" s="16" t="n"/>
    </row>
    <row r="542">
      <c r="A542" s="16" t="inlineStr">
        <is>
          <t>KF-M02R-n2b-0046</t>
        </is>
      </c>
      <c r="B542" s="16" t="inlineStr">
        <is>
          <t>2.3</t>
        </is>
      </c>
      <c r="C542" s="16" t="inlineStr">
        <is>
          <t>2.3c</t>
        </is>
      </c>
      <c r="D542" s="16" t="inlineStr">
        <is>
          <t>ε_HRVG × P_baja</t>
        </is>
      </c>
      <c r="E542" s="16" t="inlineStr">
        <is>
          <t>KF-M02R</t>
        </is>
      </c>
      <c r="F542" s="16" t="inlineStr">
        <is>
          <t>KF-M02R-n2b</t>
        </is>
      </c>
      <c r="G542" s="16" t="inlineStr">
        <is>
          <t>B04-n2b</t>
        </is>
      </c>
      <c r="H542" s="16" t="inlineStr">
        <is>
          <t>malla</t>
        </is>
      </c>
      <c r="I542" s="16" t="inlineStr">
        <is>
          <t>CORREGIBLE</t>
        </is>
      </c>
      <c r="J542" s="16" t="inlineStr">
        <is>
          <t>CORREGIBLE</t>
        </is>
      </c>
      <c r="K542" s="16" t="b">
        <v>1</v>
      </c>
      <c r="L542" s="16" t="b">
        <v>0</v>
      </c>
      <c r="M542" s="16" t="b">
        <v>1</v>
      </c>
      <c r="N542" s="16" t="b">
        <v>0</v>
      </c>
      <c r="O542" s="16" t="n">
        <v>623.15</v>
      </c>
      <c r="P542" s="16" t="n">
        <v>300.032917</v>
      </c>
      <c r="Q542" s="16" t="n">
        <v>3000</v>
      </c>
      <c r="R542" s="16" t="n">
        <v>1854.545454545455</v>
      </c>
      <c r="S542" s="16" t="n">
        <v>0.5</v>
      </c>
      <c r="T542" s="16" t="n">
        <v>0.85</v>
      </c>
      <c r="U542" s="16" t="n">
        <v>0.75</v>
      </c>
      <c r="V542" s="16" t="n">
        <v>0.7</v>
      </c>
      <c r="W542" s="16" t="n">
        <v>0.75</v>
      </c>
      <c r="X542" s="16" t="n">
        <v>0.8</v>
      </c>
      <c r="Y542" s="16" t="n"/>
      <c r="Z542" s="16" t="n">
        <v>3.82739947679371</v>
      </c>
      <c r="AA542" s="16" t="n">
        <v>61.6620771603712</v>
      </c>
      <c r="AB542" s="16" t="n">
        <v>1145.454545454545</v>
      </c>
      <c r="AC542" s="16" t="n">
        <v>1.617647058823529</v>
      </c>
      <c r="AD542" s="16" t="inlineStr">
        <is>
          <t>O2</t>
        </is>
      </c>
      <c r="AE542" s="16" t="n"/>
    </row>
    <row r="543">
      <c r="A543" s="16" t="inlineStr">
        <is>
          <t>KF-M02R-n2b-0047</t>
        </is>
      </c>
      <c r="B543" s="16" t="inlineStr">
        <is>
          <t>2.3</t>
        </is>
      </c>
      <c r="C543" s="16" t="inlineStr">
        <is>
          <t>2.3c</t>
        </is>
      </c>
      <c r="D543" s="16" t="inlineStr">
        <is>
          <t>ε_HRVG × P_baja</t>
        </is>
      </c>
      <c r="E543" s="16" t="inlineStr">
        <is>
          <t>KF-M02R</t>
        </is>
      </c>
      <c r="F543" s="16" t="inlineStr">
        <is>
          <t>KF-M02R-n2b</t>
        </is>
      </c>
      <c r="G543" s="16" t="inlineStr">
        <is>
          <t>B04-n2b</t>
        </is>
      </c>
      <c r="H543" s="16" t="inlineStr">
        <is>
          <t>malla</t>
        </is>
      </c>
      <c r="I543" s="16" t="inlineStr">
        <is>
          <t>CORREGIBLE</t>
        </is>
      </c>
      <c r="J543" s="16" t="inlineStr">
        <is>
          <t>CORREGIBLE</t>
        </is>
      </c>
      <c r="K543" s="16" t="b">
        <v>1</v>
      </c>
      <c r="L543" s="16" t="b">
        <v>0</v>
      </c>
      <c r="M543" s="16" t="b">
        <v>1</v>
      </c>
      <c r="N543" s="16" t="b">
        <v>0</v>
      </c>
      <c r="O543" s="16" t="n">
        <v>623.15</v>
      </c>
      <c r="P543" s="16" t="n">
        <v>300.032917</v>
      </c>
      <c r="Q543" s="16" t="n">
        <v>3000</v>
      </c>
      <c r="R543" s="16" t="n">
        <v>2000</v>
      </c>
      <c r="S543" s="16" t="n">
        <v>0.5</v>
      </c>
      <c r="T543" s="16" t="n">
        <v>0.85</v>
      </c>
      <c r="U543" s="16" t="n">
        <v>0.75</v>
      </c>
      <c r="V543" s="16" t="n">
        <v>0.7</v>
      </c>
      <c r="W543" s="16" t="n">
        <v>0.75</v>
      </c>
      <c r="X543" s="16" t="n">
        <v>0.8</v>
      </c>
      <c r="Y543" s="16" t="n"/>
      <c r="Z543" s="16" t="n">
        <v>3.26065408971742</v>
      </c>
      <c r="AA543" s="16" t="n">
        <v>52.50765832771361</v>
      </c>
      <c r="AB543" s="16" t="n">
        <v>1000</v>
      </c>
      <c r="AC543" s="16" t="n">
        <v>1.5</v>
      </c>
      <c r="AD543" s="16" t="inlineStr">
        <is>
          <t>O2</t>
        </is>
      </c>
      <c r="AE543" s="16" t="n"/>
    </row>
    <row r="544">
      <c r="A544" s="16" t="inlineStr">
        <is>
          <t>KF-M02R-n2b-0048</t>
        </is>
      </c>
      <c r="B544" s="16" t="inlineStr">
        <is>
          <t>2.3</t>
        </is>
      </c>
      <c r="C544" s="16" t="inlineStr">
        <is>
          <t>2.3c</t>
        </is>
      </c>
      <c r="D544" s="16" t="inlineStr">
        <is>
          <t>ε_HRVG × P_baja</t>
        </is>
      </c>
      <c r="E544" s="16" t="inlineStr">
        <is>
          <t>KF-M02R</t>
        </is>
      </c>
      <c r="F544" s="16" t="inlineStr">
        <is>
          <t>KF-M02R-n2b</t>
        </is>
      </c>
      <c r="G544" s="16" t="inlineStr">
        <is>
          <t>B04-n2b</t>
        </is>
      </c>
      <c r="H544" s="16" t="inlineStr">
        <is>
          <t>biseccion</t>
        </is>
      </c>
      <c r="I544" s="16" t="inlineStr">
        <is>
          <t>KALINA</t>
        </is>
      </c>
      <c r="J544" s="16" t="inlineStr">
        <is>
          <t>KALINA</t>
        </is>
      </c>
      <c r="K544" s="16" t="b">
        <v>1</v>
      </c>
      <c r="L544" s="16" t="b">
        <v>0</v>
      </c>
      <c r="M544" s="16" t="b">
        <v>1</v>
      </c>
      <c r="N544" s="16" t="b">
        <v>0</v>
      </c>
      <c r="O544" s="16" t="n">
        <v>623.15</v>
      </c>
      <c r="P544" s="16" t="n">
        <v>300.032917</v>
      </c>
      <c r="Q544" s="16" t="n">
        <v>3000</v>
      </c>
      <c r="R544" s="16" t="n">
        <v>1345.454545454545</v>
      </c>
      <c r="S544" s="16" t="n">
        <v>0.5</v>
      </c>
      <c r="T544" s="16" t="n">
        <v>0.85</v>
      </c>
      <c r="U544" s="16" t="n">
        <v>0.75</v>
      </c>
      <c r="V544" s="16" t="n">
        <v>0.4</v>
      </c>
      <c r="W544" s="16" t="n">
        <v>0.75</v>
      </c>
      <c r="X544" s="16" t="n">
        <v>0.8</v>
      </c>
      <c r="Y544" s="16" t="n"/>
      <c r="Z544" s="16" t="n">
        <v>6.11954664190893</v>
      </c>
      <c r="AA544" s="16" t="n">
        <v>57.35706808372316</v>
      </c>
      <c r="AB544" s="16" t="n">
        <v>1654.545454545455</v>
      </c>
      <c r="AC544" s="16" t="n">
        <v>2.22972972972973</v>
      </c>
      <c r="AD544" s="16" t="n"/>
      <c r="AE544" s="16" t="n"/>
    </row>
    <row r="545">
      <c r="A545" s="16" t="inlineStr">
        <is>
          <t>KF-M02R-n2b-0049</t>
        </is>
      </c>
      <c r="B545" s="16" t="inlineStr">
        <is>
          <t>2.3</t>
        </is>
      </c>
      <c r="C545" s="16" t="inlineStr">
        <is>
          <t>2.3c</t>
        </is>
      </c>
      <c r="D545" s="16" t="inlineStr">
        <is>
          <t>ε_HRVG × P_baja</t>
        </is>
      </c>
      <c r="E545" s="16" t="inlineStr">
        <is>
          <t>KF-M02R</t>
        </is>
      </c>
      <c r="F545" s="16" t="inlineStr">
        <is>
          <t>KF-M02R-n2b</t>
        </is>
      </c>
      <c r="G545" s="16" t="inlineStr">
        <is>
          <t>B04-n2b</t>
        </is>
      </c>
      <c r="H545" s="16" t="inlineStr">
        <is>
          <t>biseccion</t>
        </is>
      </c>
      <c r="I545" s="16" t="inlineStr">
        <is>
          <t>KALINA</t>
        </is>
      </c>
      <c r="J545" s="16" t="inlineStr">
        <is>
          <t>KALINA</t>
        </is>
      </c>
      <c r="K545" s="16" t="b">
        <v>1</v>
      </c>
      <c r="L545" s="16" t="b">
        <v>0</v>
      </c>
      <c r="M545" s="16" t="b">
        <v>1</v>
      </c>
      <c r="N545" s="16" t="b">
        <v>0</v>
      </c>
      <c r="O545" s="16" t="n">
        <v>623.15</v>
      </c>
      <c r="P545" s="16" t="n">
        <v>300.032917</v>
      </c>
      <c r="Q545" s="16" t="n">
        <v>3000</v>
      </c>
      <c r="R545" s="16" t="n">
        <v>1345.454545454545</v>
      </c>
      <c r="S545" s="16" t="n">
        <v>0.5</v>
      </c>
      <c r="T545" s="16" t="n">
        <v>0.85</v>
      </c>
      <c r="U545" s="16" t="n">
        <v>0.75</v>
      </c>
      <c r="V545" s="16" t="n">
        <v>0.4</v>
      </c>
      <c r="W545" s="16" t="n">
        <v>0.75</v>
      </c>
      <c r="X545" s="16" t="n">
        <v>0.8</v>
      </c>
      <c r="Y545" s="16" t="n"/>
      <c r="Z545" s="16" t="n">
        <v>6.11954664190893</v>
      </c>
      <c r="AA545" s="16" t="n">
        <v>57.35706808372316</v>
      </c>
      <c r="AB545" s="16" t="n">
        <v>1654.545454545455</v>
      </c>
      <c r="AC545" s="16" t="n">
        <v>2.22972972972973</v>
      </c>
      <c r="AD545" s="16" t="n"/>
      <c r="AE545" s="16" t="n"/>
    </row>
    <row r="546">
      <c r="A546" s="16" t="inlineStr">
        <is>
          <t>KF-M02R-n2b-0050</t>
        </is>
      </c>
      <c r="B546" s="16" t="inlineStr">
        <is>
          <t>2.3</t>
        </is>
      </c>
      <c r="C546" s="16" t="inlineStr">
        <is>
          <t>2.3c</t>
        </is>
      </c>
      <c r="D546" s="16" t="inlineStr">
        <is>
          <t>ε_HRVG × P_baja</t>
        </is>
      </c>
      <c r="E546" s="16" t="inlineStr">
        <is>
          <t>KF-M02R</t>
        </is>
      </c>
      <c r="F546" s="16" t="inlineStr">
        <is>
          <t>KF-M02R-n2b</t>
        </is>
      </c>
      <c r="G546" s="16" t="inlineStr">
        <is>
          <t>B04-n2b</t>
        </is>
      </c>
      <c r="H546" s="16" t="inlineStr">
        <is>
          <t>biseccion</t>
        </is>
      </c>
      <c r="I546" s="16" t="inlineStr">
        <is>
          <t>KALINA</t>
        </is>
      </c>
      <c r="J546" s="16" t="inlineStr">
        <is>
          <t>KALINA</t>
        </is>
      </c>
      <c r="K546" s="16" t="b">
        <v>1</v>
      </c>
      <c r="L546" s="16" t="b">
        <v>0</v>
      </c>
      <c r="M546" s="16" t="b">
        <v>1</v>
      </c>
      <c r="N546" s="16" t="b">
        <v>0</v>
      </c>
      <c r="O546" s="16" t="n">
        <v>623.15</v>
      </c>
      <c r="P546" s="16" t="n">
        <v>300.032917</v>
      </c>
      <c r="Q546" s="16" t="n">
        <v>3000</v>
      </c>
      <c r="R546" s="16" t="n">
        <v>1781.818181818182</v>
      </c>
      <c r="S546" s="16" t="n">
        <v>0.5</v>
      </c>
      <c r="T546" s="16" t="n">
        <v>0.85</v>
      </c>
      <c r="U546" s="16" t="n">
        <v>0.75</v>
      </c>
      <c r="V546" s="16" t="n">
        <v>0.5</v>
      </c>
      <c r="W546" s="16" t="n">
        <v>0.75</v>
      </c>
      <c r="X546" s="16" t="n">
        <v>0.8</v>
      </c>
      <c r="Y546" s="16" t="n"/>
      <c r="Z546" s="16" t="n">
        <v>4.13622295842556</v>
      </c>
      <c r="AA546" s="16" t="n">
        <v>48.14834270825792</v>
      </c>
      <c r="AB546" s="16" t="n">
        <v>1218.181818181818</v>
      </c>
      <c r="AC546" s="16" t="n">
        <v>1.683673469387755</v>
      </c>
      <c r="AD546" s="16" t="n"/>
      <c r="AE546" s="16" t="n"/>
    </row>
    <row r="547">
      <c r="A547" s="16" t="inlineStr">
        <is>
          <t>KF-M02R-n2b-0051</t>
        </is>
      </c>
      <c r="B547" s="16" t="inlineStr">
        <is>
          <t>2.3</t>
        </is>
      </c>
      <c r="C547" s="16" t="inlineStr">
        <is>
          <t>2.3c</t>
        </is>
      </c>
      <c r="D547" s="16" t="inlineStr">
        <is>
          <t>ε_HRVG × P_baja</t>
        </is>
      </c>
      <c r="E547" s="16" t="inlineStr">
        <is>
          <t>KF-M02R</t>
        </is>
      </c>
      <c r="F547" s="16" t="inlineStr">
        <is>
          <t>KF-M02R-n2b</t>
        </is>
      </c>
      <c r="G547" s="16" t="inlineStr">
        <is>
          <t>B04-n2b</t>
        </is>
      </c>
      <c r="H547" s="16" t="inlineStr">
        <is>
          <t>biseccion</t>
        </is>
      </c>
      <c r="I547" s="16" t="inlineStr">
        <is>
          <t>KALINA</t>
        </is>
      </c>
      <c r="J547" s="16" t="inlineStr">
        <is>
          <t>KALINA</t>
        </is>
      </c>
      <c r="K547" s="16" t="b">
        <v>1</v>
      </c>
      <c r="L547" s="16" t="b">
        <v>0</v>
      </c>
      <c r="M547" s="16" t="b">
        <v>1</v>
      </c>
      <c r="N547" s="16" t="b">
        <v>0</v>
      </c>
      <c r="O547" s="16" t="n">
        <v>623.15</v>
      </c>
      <c r="P547" s="16" t="n">
        <v>300.032917</v>
      </c>
      <c r="Q547" s="16" t="n">
        <v>3000</v>
      </c>
      <c r="R547" s="16" t="n">
        <v>1781.818181818182</v>
      </c>
      <c r="S547" s="16" t="n">
        <v>0.5</v>
      </c>
      <c r="T547" s="16" t="n">
        <v>0.85</v>
      </c>
      <c r="U547" s="16" t="n">
        <v>0.75</v>
      </c>
      <c r="V547" s="16" t="n">
        <v>0.5</v>
      </c>
      <c r="W547" s="16" t="n">
        <v>0.75</v>
      </c>
      <c r="X547" s="16" t="n">
        <v>0.8</v>
      </c>
      <c r="Y547" s="16" t="n"/>
      <c r="Z547" s="16" t="n">
        <v>4.13622295842556</v>
      </c>
      <c r="AA547" s="16" t="n">
        <v>48.14834270825792</v>
      </c>
      <c r="AB547" s="16" t="n">
        <v>1218.181818181818</v>
      </c>
      <c r="AC547" s="16" t="n">
        <v>1.683673469387755</v>
      </c>
      <c r="AD547" s="16" t="n"/>
      <c r="AE547" s="16" t="n"/>
    </row>
    <row r="548">
      <c r="A548" s="16" t="inlineStr">
        <is>
          <t>KF-M02R-n2b-0052</t>
        </is>
      </c>
      <c r="B548" s="16" t="inlineStr">
        <is>
          <t>2.3</t>
        </is>
      </c>
      <c r="C548" s="16" t="inlineStr">
        <is>
          <t>2.3c</t>
        </is>
      </c>
      <c r="D548" s="16" t="inlineStr">
        <is>
          <t>ε_HRVG × P_baja</t>
        </is>
      </c>
      <c r="E548" s="16" t="inlineStr">
        <is>
          <t>KF-M02R</t>
        </is>
      </c>
      <c r="F548" s="16" t="inlineStr">
        <is>
          <t>KF-M02R-n2b</t>
        </is>
      </c>
      <c r="G548" s="16" t="inlineStr">
        <is>
          <t>B04-n2b</t>
        </is>
      </c>
      <c r="H548" s="16" t="inlineStr">
        <is>
          <t>biseccion</t>
        </is>
      </c>
      <c r="I548" s="16" t="inlineStr">
        <is>
          <t>CORREGIBLE</t>
        </is>
      </c>
      <c r="J548" s="16" t="inlineStr">
        <is>
          <t>CORREGIBLE</t>
        </is>
      </c>
      <c r="K548" s="16" t="b">
        <v>1</v>
      </c>
      <c r="L548" s="16" t="b">
        <v>0</v>
      </c>
      <c r="M548" s="16" t="b">
        <v>1</v>
      </c>
      <c r="N548" s="16" t="b">
        <v>0</v>
      </c>
      <c r="O548" s="16" t="n">
        <v>623.15</v>
      </c>
      <c r="P548" s="16" t="n">
        <v>300.032917</v>
      </c>
      <c r="Q548" s="16" t="n">
        <v>3000</v>
      </c>
      <c r="R548" s="16" t="n">
        <v>1309.090909090909</v>
      </c>
      <c r="S548" s="16" t="n">
        <v>0.5</v>
      </c>
      <c r="T548" s="16" t="n">
        <v>0.85</v>
      </c>
      <c r="U548" s="16" t="n">
        <v>0.75</v>
      </c>
      <c r="V548" s="16" t="n">
        <v>0.4</v>
      </c>
      <c r="W548" s="16" t="n">
        <v>0.75</v>
      </c>
      <c r="X548" s="16" t="n">
        <v>0.8</v>
      </c>
      <c r="Y548" s="16" t="n"/>
      <c r="Z548" s="16" t="n">
        <v>6.321463225667739</v>
      </c>
      <c r="AA548" s="16" t="n">
        <v>59.25601407353928</v>
      </c>
      <c r="AB548" s="16" t="n">
        <v>1690.909090909091</v>
      </c>
      <c r="AC548" s="16" t="n">
        <v>2.291666666666667</v>
      </c>
      <c r="AD548" s="16" t="inlineStr">
        <is>
          <t>O2</t>
        </is>
      </c>
      <c r="AE548" s="16" t="n"/>
    </row>
    <row r="549">
      <c r="A549" s="16" t="inlineStr">
        <is>
          <t>KF-M02R-n2b-0053</t>
        </is>
      </c>
      <c r="B549" s="16" t="inlineStr">
        <is>
          <t>2.3</t>
        </is>
      </c>
      <c r="C549" s="16" t="inlineStr">
        <is>
          <t>2.3c</t>
        </is>
      </c>
      <c r="D549" s="16" t="inlineStr">
        <is>
          <t>ε_HRVG × P_baja</t>
        </is>
      </c>
      <c r="E549" s="16" t="inlineStr">
        <is>
          <t>KF-M02R</t>
        </is>
      </c>
      <c r="F549" s="16" t="inlineStr">
        <is>
          <t>KF-M02R-n2b</t>
        </is>
      </c>
      <c r="G549" s="16" t="inlineStr">
        <is>
          <t>B04-n2b</t>
        </is>
      </c>
      <c r="H549" s="16" t="inlineStr">
        <is>
          <t>biseccion</t>
        </is>
      </c>
      <c r="I549" s="16" t="inlineStr">
        <is>
          <t>CORREGIBLE</t>
        </is>
      </c>
      <c r="J549" s="16" t="inlineStr">
        <is>
          <t>CORREGIBLE</t>
        </is>
      </c>
      <c r="K549" s="16" t="b">
        <v>1</v>
      </c>
      <c r="L549" s="16" t="b">
        <v>0</v>
      </c>
      <c r="M549" s="16" t="b">
        <v>1</v>
      </c>
      <c r="N549" s="16" t="b">
        <v>0</v>
      </c>
      <c r="O549" s="16" t="n">
        <v>623.15</v>
      </c>
      <c r="P549" s="16" t="n">
        <v>300.032917</v>
      </c>
      <c r="Q549" s="16" t="n">
        <v>3000</v>
      </c>
      <c r="R549" s="16" t="n">
        <v>1309.090909090909</v>
      </c>
      <c r="S549" s="16" t="n">
        <v>0.5</v>
      </c>
      <c r="T549" s="16" t="n">
        <v>0.85</v>
      </c>
      <c r="U549" s="16" t="n">
        <v>0.75</v>
      </c>
      <c r="V549" s="16" t="n">
        <v>0.4</v>
      </c>
      <c r="W549" s="16" t="n">
        <v>0.75</v>
      </c>
      <c r="X549" s="16" t="n">
        <v>0.8</v>
      </c>
      <c r="Y549" s="16" t="n"/>
      <c r="Z549" s="16" t="n">
        <v>6.321463225667739</v>
      </c>
      <c r="AA549" s="16" t="n">
        <v>59.25601407353928</v>
      </c>
      <c r="AB549" s="16" t="n">
        <v>1690.909090909091</v>
      </c>
      <c r="AC549" s="16" t="n">
        <v>2.291666666666667</v>
      </c>
      <c r="AD549" s="16" t="inlineStr">
        <is>
          <t>O2</t>
        </is>
      </c>
      <c r="AE549" s="16" t="n"/>
    </row>
    <row r="550">
      <c r="A550" s="16" t="inlineStr">
        <is>
          <t>KF-M02R-n2b-0054</t>
        </is>
      </c>
      <c r="B550" s="16" t="inlineStr">
        <is>
          <t>2.3</t>
        </is>
      </c>
      <c r="C550" s="16" t="inlineStr">
        <is>
          <t>2.3c</t>
        </is>
      </c>
      <c r="D550" s="16" t="inlineStr">
        <is>
          <t>ε_HRVG × P_baja</t>
        </is>
      </c>
      <c r="E550" s="16" t="inlineStr">
        <is>
          <t>KF-M02R</t>
        </is>
      </c>
      <c r="F550" s="16" t="inlineStr">
        <is>
          <t>KF-M02R-n2b</t>
        </is>
      </c>
      <c r="G550" s="16" t="inlineStr">
        <is>
          <t>B04-n2b</t>
        </is>
      </c>
      <c r="H550" s="16" t="inlineStr">
        <is>
          <t>biseccion</t>
        </is>
      </c>
      <c r="I550" s="16" t="inlineStr">
        <is>
          <t>KALINA</t>
        </is>
      </c>
      <c r="J550" s="16" t="inlineStr">
        <is>
          <t>KALINA</t>
        </is>
      </c>
      <c r="K550" s="16" t="b">
        <v>1</v>
      </c>
      <c r="L550" s="16" t="b">
        <v>0</v>
      </c>
      <c r="M550" s="16" t="b">
        <v>1</v>
      </c>
      <c r="N550" s="16" t="b">
        <v>0</v>
      </c>
      <c r="O550" s="16" t="n">
        <v>623.15</v>
      </c>
      <c r="P550" s="16" t="n">
        <v>300.032917</v>
      </c>
      <c r="Q550" s="16" t="n">
        <v>3000</v>
      </c>
      <c r="R550" s="16" t="n">
        <v>1745.454545454545</v>
      </c>
      <c r="S550" s="16" t="n">
        <v>0.5</v>
      </c>
      <c r="T550" s="16" t="n">
        <v>0.85</v>
      </c>
      <c r="U550" s="16" t="n">
        <v>0.75</v>
      </c>
      <c r="V550" s="16" t="n">
        <v>0.5</v>
      </c>
      <c r="W550" s="16" t="n">
        <v>0.75</v>
      </c>
      <c r="X550" s="16" t="n">
        <v>0.8</v>
      </c>
      <c r="Y550" s="16" t="n"/>
      <c r="Z550" s="16" t="n">
        <v>4.29614425208792</v>
      </c>
      <c r="AA550" s="16" t="n">
        <v>50.01583546261396</v>
      </c>
      <c r="AB550" s="16" t="n">
        <v>1254.545454545455</v>
      </c>
      <c r="AC550" s="16" t="n">
        <v>1.71875</v>
      </c>
      <c r="AD550" s="16" t="n"/>
      <c r="AE550" s="16" t="n"/>
    </row>
    <row r="551">
      <c r="A551" s="16" t="inlineStr">
        <is>
          <t>KF-M02R-n2b-0055</t>
        </is>
      </c>
      <c r="B551" s="16" t="inlineStr">
        <is>
          <t>2.3</t>
        </is>
      </c>
      <c r="C551" s="16" t="inlineStr">
        <is>
          <t>2.3c</t>
        </is>
      </c>
      <c r="D551" s="16" t="inlineStr">
        <is>
          <t>ε_HRVG × P_baja</t>
        </is>
      </c>
      <c r="E551" s="16" t="inlineStr">
        <is>
          <t>KF-M02R</t>
        </is>
      </c>
      <c r="F551" s="16" t="inlineStr">
        <is>
          <t>KF-M02R-n2b</t>
        </is>
      </c>
      <c r="G551" s="16" t="inlineStr">
        <is>
          <t>B04-n2b</t>
        </is>
      </c>
      <c r="H551" s="16" t="inlineStr">
        <is>
          <t>biseccion</t>
        </is>
      </c>
      <c r="I551" s="16" t="inlineStr">
        <is>
          <t>KALINA</t>
        </is>
      </c>
      <c r="J551" s="16" t="inlineStr">
        <is>
          <t>KALINA</t>
        </is>
      </c>
      <c r="K551" s="16" t="b">
        <v>1</v>
      </c>
      <c r="L551" s="16" t="b">
        <v>0</v>
      </c>
      <c r="M551" s="16" t="b">
        <v>1</v>
      </c>
      <c r="N551" s="16" t="b">
        <v>0</v>
      </c>
      <c r="O551" s="16" t="n">
        <v>623.15</v>
      </c>
      <c r="P551" s="16" t="n">
        <v>300.032917</v>
      </c>
      <c r="Q551" s="16" t="n">
        <v>3000</v>
      </c>
      <c r="R551" s="16" t="n">
        <v>1745.454545454545</v>
      </c>
      <c r="S551" s="16" t="n">
        <v>0.5</v>
      </c>
      <c r="T551" s="16" t="n">
        <v>0.85</v>
      </c>
      <c r="U551" s="16" t="n">
        <v>0.75</v>
      </c>
      <c r="V551" s="16" t="n">
        <v>0.5</v>
      </c>
      <c r="W551" s="16" t="n">
        <v>0.75</v>
      </c>
      <c r="X551" s="16" t="n">
        <v>0.8</v>
      </c>
      <c r="Y551" s="16" t="n"/>
      <c r="Z551" s="16" t="n">
        <v>4.29614425208792</v>
      </c>
      <c r="AA551" s="16" t="n">
        <v>50.01583546261396</v>
      </c>
      <c r="AB551" s="16" t="n">
        <v>1254.545454545455</v>
      </c>
      <c r="AC551" s="16" t="n">
        <v>1.71875</v>
      </c>
      <c r="AD551" s="16" t="n"/>
      <c r="AE551" s="16" t="n"/>
    </row>
    <row r="552">
      <c r="A552" s="16" t="inlineStr">
        <is>
          <t>KF-M02R-n2b-0056</t>
        </is>
      </c>
      <c r="B552" s="16" t="inlineStr">
        <is>
          <t>2.3</t>
        </is>
      </c>
      <c r="C552" s="16" t="inlineStr">
        <is>
          <t>2.3c</t>
        </is>
      </c>
      <c r="D552" s="16" t="inlineStr">
        <is>
          <t>ε_HRVG × P_baja</t>
        </is>
      </c>
      <c r="E552" s="16" t="inlineStr">
        <is>
          <t>KF-M02R</t>
        </is>
      </c>
      <c r="F552" s="16" t="inlineStr">
        <is>
          <t>KF-M02R-n2b</t>
        </is>
      </c>
      <c r="G552" s="16" t="inlineStr">
        <is>
          <t>B04-n2b</t>
        </is>
      </c>
      <c r="H552" s="16" t="inlineStr">
        <is>
          <t>biseccion</t>
        </is>
      </c>
      <c r="I552" s="16" t="inlineStr">
        <is>
          <t>KALINA</t>
        </is>
      </c>
      <c r="J552" s="16" t="inlineStr">
        <is>
          <t>KALINA</t>
        </is>
      </c>
      <c r="K552" s="16" t="b">
        <v>1</v>
      </c>
      <c r="L552" s="16" t="b">
        <v>0</v>
      </c>
      <c r="M552" s="16" t="b">
        <v>1</v>
      </c>
      <c r="N552" s="16" t="b">
        <v>0</v>
      </c>
      <c r="O552" s="16" t="n">
        <v>623.15</v>
      </c>
      <c r="P552" s="16" t="n">
        <v>300.032917</v>
      </c>
      <c r="Q552" s="16" t="n">
        <v>3000</v>
      </c>
      <c r="R552" s="16" t="n">
        <v>1327.272727272727</v>
      </c>
      <c r="S552" s="16" t="n">
        <v>0.5</v>
      </c>
      <c r="T552" s="16" t="n">
        <v>0.85</v>
      </c>
      <c r="U552" s="16" t="n">
        <v>0.75</v>
      </c>
      <c r="V552" s="16" t="n">
        <v>0.4</v>
      </c>
      <c r="W552" s="16" t="n">
        <v>0.75</v>
      </c>
      <c r="X552" s="16" t="n">
        <v>0.8</v>
      </c>
      <c r="Y552" s="16" t="n"/>
      <c r="Z552" s="16" t="n">
        <v>6.21988092710759</v>
      </c>
      <c r="AA552" s="16" t="n">
        <v>58.30061963934936</v>
      </c>
      <c r="AB552" s="16" t="n">
        <v>1672.727272727273</v>
      </c>
      <c r="AC552" s="16" t="n">
        <v>2.26027397260274</v>
      </c>
      <c r="AD552" s="16" t="n"/>
      <c r="AE552" s="16" t="n"/>
    </row>
    <row r="553">
      <c r="A553" s="16" t="inlineStr">
        <is>
          <t>KF-M02R-n2b-0057</t>
        </is>
      </c>
      <c r="B553" s="16" t="inlineStr">
        <is>
          <t>2.3</t>
        </is>
      </c>
      <c r="C553" s="16" t="inlineStr">
        <is>
          <t>2.3c</t>
        </is>
      </c>
      <c r="D553" s="16" t="inlineStr">
        <is>
          <t>ε_HRVG × P_baja</t>
        </is>
      </c>
      <c r="E553" s="16" t="inlineStr">
        <is>
          <t>KF-M02R</t>
        </is>
      </c>
      <c r="F553" s="16" t="inlineStr">
        <is>
          <t>KF-M02R-n2b</t>
        </is>
      </c>
      <c r="G553" s="16" t="inlineStr">
        <is>
          <t>B04-n2b</t>
        </is>
      </c>
      <c r="H553" s="16" t="inlineStr">
        <is>
          <t>biseccion</t>
        </is>
      </c>
      <c r="I553" s="16" t="inlineStr">
        <is>
          <t>KALINA</t>
        </is>
      </c>
      <c r="J553" s="16" t="inlineStr">
        <is>
          <t>KALINA</t>
        </is>
      </c>
      <c r="K553" s="16" t="b">
        <v>1</v>
      </c>
      <c r="L553" s="16" t="b">
        <v>0</v>
      </c>
      <c r="M553" s="16" t="b">
        <v>1</v>
      </c>
      <c r="N553" s="16" t="b">
        <v>0</v>
      </c>
      <c r="O553" s="16" t="n">
        <v>623.15</v>
      </c>
      <c r="P553" s="16" t="n">
        <v>300.032917</v>
      </c>
      <c r="Q553" s="16" t="n">
        <v>3000</v>
      </c>
      <c r="R553" s="16" t="n">
        <v>1327.272727272727</v>
      </c>
      <c r="S553" s="16" t="n">
        <v>0.5</v>
      </c>
      <c r="T553" s="16" t="n">
        <v>0.85</v>
      </c>
      <c r="U553" s="16" t="n">
        <v>0.75</v>
      </c>
      <c r="V553" s="16" t="n">
        <v>0.4</v>
      </c>
      <c r="W553" s="16" t="n">
        <v>0.75</v>
      </c>
      <c r="X553" s="16" t="n">
        <v>0.8</v>
      </c>
      <c r="Y553" s="16" t="n"/>
      <c r="Z553" s="16" t="n">
        <v>6.21988092710759</v>
      </c>
      <c r="AA553" s="16" t="n">
        <v>58.30061963934936</v>
      </c>
      <c r="AB553" s="16" t="n">
        <v>1672.727272727273</v>
      </c>
      <c r="AC553" s="16" t="n">
        <v>2.26027397260274</v>
      </c>
      <c r="AD553" s="16" t="n"/>
      <c r="AE553" s="16" t="n"/>
    </row>
    <row r="554">
      <c r="A554" s="16" t="inlineStr">
        <is>
          <t>KF-M02R-n2b-0058</t>
        </is>
      </c>
      <c r="B554" s="16" t="inlineStr">
        <is>
          <t>2.3</t>
        </is>
      </c>
      <c r="C554" s="16" t="inlineStr">
        <is>
          <t>2.3c</t>
        </is>
      </c>
      <c r="D554" s="16" t="inlineStr">
        <is>
          <t>ε_HRVG × P_baja</t>
        </is>
      </c>
      <c r="E554" s="16" t="inlineStr">
        <is>
          <t>KF-M02R</t>
        </is>
      </c>
      <c r="F554" s="16" t="inlineStr">
        <is>
          <t>KF-M02R-n2b</t>
        </is>
      </c>
      <c r="G554" s="16" t="inlineStr">
        <is>
          <t>B04-n2b</t>
        </is>
      </c>
      <c r="H554" s="16" t="inlineStr">
        <is>
          <t>biseccion</t>
        </is>
      </c>
      <c r="I554" s="16" t="inlineStr">
        <is>
          <t>CORREGIBLE</t>
        </is>
      </c>
      <c r="J554" s="16" t="inlineStr">
        <is>
          <t>CORREGIBLE</t>
        </is>
      </c>
      <c r="K554" s="16" t="b">
        <v>1</v>
      </c>
      <c r="L554" s="16" t="b">
        <v>0</v>
      </c>
      <c r="M554" s="16" t="b">
        <v>1</v>
      </c>
      <c r="N554" s="16" t="b">
        <v>0</v>
      </c>
      <c r="O554" s="16" t="n">
        <v>623.15</v>
      </c>
      <c r="P554" s="16" t="n">
        <v>300.032917</v>
      </c>
      <c r="Q554" s="16" t="n">
        <v>3000</v>
      </c>
      <c r="R554" s="16" t="n">
        <v>1727.272727272728</v>
      </c>
      <c r="S554" s="16" t="n">
        <v>0.5</v>
      </c>
      <c r="T554" s="16" t="n">
        <v>0.85</v>
      </c>
      <c r="U554" s="16" t="n">
        <v>0.75</v>
      </c>
      <c r="V554" s="16" t="n">
        <v>0.5</v>
      </c>
      <c r="W554" s="16" t="n">
        <v>0.75</v>
      </c>
      <c r="X554" s="16" t="n">
        <v>0.8</v>
      </c>
      <c r="Y554" s="16" t="n"/>
      <c r="Z554" s="16" t="n">
        <v>4.37722311799738</v>
      </c>
      <c r="AA554" s="16" t="n">
        <v>50.96280906826788</v>
      </c>
      <c r="AB554" s="16" t="n">
        <v>1272.727272727272</v>
      </c>
      <c r="AC554" s="16" t="n">
        <v>1.736842105263158</v>
      </c>
      <c r="AD554" s="16" t="inlineStr">
        <is>
          <t>O2</t>
        </is>
      </c>
      <c r="AE554" s="16" t="n"/>
    </row>
    <row r="555">
      <c r="A555" s="16" t="inlineStr">
        <is>
          <t>KF-M02R-n2b-0059</t>
        </is>
      </c>
      <c r="B555" s="16" t="inlineStr">
        <is>
          <t>2.3</t>
        </is>
      </c>
      <c r="C555" s="16" t="inlineStr">
        <is>
          <t>2.3c</t>
        </is>
      </c>
      <c r="D555" s="16" t="inlineStr">
        <is>
          <t>ε_HRVG × P_baja</t>
        </is>
      </c>
      <c r="E555" s="16" t="inlineStr">
        <is>
          <t>KF-M02R</t>
        </is>
      </c>
      <c r="F555" s="16" t="inlineStr">
        <is>
          <t>KF-M02R-n2b</t>
        </is>
      </c>
      <c r="G555" s="16" t="inlineStr">
        <is>
          <t>B04-n2b</t>
        </is>
      </c>
      <c r="H555" s="16" t="inlineStr">
        <is>
          <t>biseccion</t>
        </is>
      </c>
      <c r="I555" s="16" t="inlineStr">
        <is>
          <t>CORREGIBLE</t>
        </is>
      </c>
      <c r="J555" s="16" t="inlineStr">
        <is>
          <t>CORREGIBLE</t>
        </is>
      </c>
      <c r="K555" s="16" t="b">
        <v>1</v>
      </c>
      <c r="L555" s="16" t="b">
        <v>0</v>
      </c>
      <c r="M555" s="16" t="b">
        <v>1</v>
      </c>
      <c r="N555" s="16" t="b">
        <v>0</v>
      </c>
      <c r="O555" s="16" t="n">
        <v>623.15</v>
      </c>
      <c r="P555" s="16" t="n">
        <v>300.032917</v>
      </c>
      <c r="Q555" s="16" t="n">
        <v>3000</v>
      </c>
      <c r="R555" s="16" t="n">
        <v>1727.272727272728</v>
      </c>
      <c r="S555" s="16" t="n">
        <v>0.5</v>
      </c>
      <c r="T555" s="16" t="n">
        <v>0.85</v>
      </c>
      <c r="U555" s="16" t="n">
        <v>0.75</v>
      </c>
      <c r="V555" s="16" t="n">
        <v>0.5</v>
      </c>
      <c r="W555" s="16" t="n">
        <v>0.75</v>
      </c>
      <c r="X555" s="16" t="n">
        <v>0.8</v>
      </c>
      <c r="Y555" s="16" t="n"/>
      <c r="Z555" s="16" t="n">
        <v>4.37722311799738</v>
      </c>
      <c r="AA555" s="16" t="n">
        <v>50.96280906826788</v>
      </c>
      <c r="AB555" s="16" t="n">
        <v>1272.727272727272</v>
      </c>
      <c r="AC555" s="16" t="n">
        <v>1.736842105263158</v>
      </c>
      <c r="AD555" s="16" t="inlineStr">
        <is>
          <t>O2</t>
        </is>
      </c>
      <c r="AE555" s="16" t="n"/>
    </row>
    <row r="556">
      <c r="A556" s="16" t="inlineStr">
        <is>
          <t>KF-M02R-n2b-0060</t>
        </is>
      </c>
      <c r="B556" s="16" t="inlineStr">
        <is>
          <t>2.3</t>
        </is>
      </c>
      <c r="C556" s="16" t="inlineStr">
        <is>
          <t>2.3c</t>
        </is>
      </c>
      <c r="D556" s="16" t="inlineStr">
        <is>
          <t>ε_HRVG × P_baja</t>
        </is>
      </c>
      <c r="E556" s="16" t="inlineStr">
        <is>
          <t>KF-M02R</t>
        </is>
      </c>
      <c r="F556" s="16" t="inlineStr">
        <is>
          <t>KF-M02R-n2b</t>
        </is>
      </c>
      <c r="G556" s="16" t="inlineStr">
        <is>
          <t>B04-n2b</t>
        </is>
      </c>
      <c r="H556" s="16" t="inlineStr">
        <is>
          <t>biseccion</t>
        </is>
      </c>
      <c r="I556" s="16" t="inlineStr">
        <is>
          <t>KALINA</t>
        </is>
      </c>
      <c r="J556" s="16" t="inlineStr">
        <is>
          <t>KALINA</t>
        </is>
      </c>
      <c r="K556" s="16" t="b">
        <v>1</v>
      </c>
      <c r="L556" s="16" t="b">
        <v>0</v>
      </c>
      <c r="M556" s="16" t="b">
        <v>1</v>
      </c>
      <c r="N556" s="16" t="b">
        <v>0</v>
      </c>
      <c r="O556" s="16" t="n">
        <v>623.15</v>
      </c>
      <c r="P556" s="16" t="n">
        <v>300.032917</v>
      </c>
      <c r="Q556" s="16" t="n">
        <v>3000</v>
      </c>
      <c r="R556" s="16" t="n">
        <v>1318.181818181818</v>
      </c>
      <c r="S556" s="16" t="n">
        <v>0.5</v>
      </c>
      <c r="T556" s="16" t="n">
        <v>0.85</v>
      </c>
      <c r="U556" s="16" t="n">
        <v>0.75</v>
      </c>
      <c r="V556" s="16" t="n">
        <v>0.4</v>
      </c>
      <c r="W556" s="16" t="n">
        <v>0.75</v>
      </c>
      <c r="X556" s="16" t="n">
        <v>0.8</v>
      </c>
      <c r="Y556" s="16" t="n"/>
      <c r="Z556" s="16" t="n">
        <v>6.27051412972602</v>
      </c>
      <c r="AA556" s="16" t="n">
        <v>58.77681796738493</v>
      </c>
      <c r="AB556" s="16" t="n">
        <v>1681.818181818182</v>
      </c>
      <c r="AC556" s="16" t="n">
        <v>2.275862068965517</v>
      </c>
      <c r="AD556" s="16" t="n"/>
      <c r="AE556" s="16" t="n"/>
    </row>
    <row r="557">
      <c r="A557" s="16" t="inlineStr">
        <is>
          <t>KF-M02R-n2b-0061</t>
        </is>
      </c>
      <c r="B557" s="16" t="inlineStr">
        <is>
          <t>2.3</t>
        </is>
      </c>
      <c r="C557" s="16" t="inlineStr">
        <is>
          <t>2.3c</t>
        </is>
      </c>
      <c r="D557" s="16" t="inlineStr">
        <is>
          <t>ε_HRVG × P_baja</t>
        </is>
      </c>
      <c r="E557" s="16" t="inlineStr">
        <is>
          <t>KF-M02R</t>
        </is>
      </c>
      <c r="F557" s="16" t="inlineStr">
        <is>
          <t>KF-M02R-n2b</t>
        </is>
      </c>
      <c r="G557" s="16" t="inlineStr">
        <is>
          <t>B04-n2b</t>
        </is>
      </c>
      <c r="H557" s="16" t="inlineStr">
        <is>
          <t>biseccion</t>
        </is>
      </c>
      <c r="I557" s="16" t="inlineStr">
        <is>
          <t>KALINA</t>
        </is>
      </c>
      <c r="J557" s="16" t="inlineStr">
        <is>
          <t>KALINA</t>
        </is>
      </c>
      <c r="K557" s="16" t="b">
        <v>1</v>
      </c>
      <c r="L557" s="16" t="b">
        <v>0</v>
      </c>
      <c r="M557" s="16" t="b">
        <v>1</v>
      </c>
      <c r="N557" s="16" t="b">
        <v>0</v>
      </c>
      <c r="O557" s="16" t="n">
        <v>623.15</v>
      </c>
      <c r="P557" s="16" t="n">
        <v>300.032917</v>
      </c>
      <c r="Q557" s="16" t="n">
        <v>3000</v>
      </c>
      <c r="R557" s="16" t="n">
        <v>1318.181818181818</v>
      </c>
      <c r="S557" s="16" t="n">
        <v>0.5</v>
      </c>
      <c r="T557" s="16" t="n">
        <v>0.85</v>
      </c>
      <c r="U557" s="16" t="n">
        <v>0.75</v>
      </c>
      <c r="V557" s="16" t="n">
        <v>0.4</v>
      </c>
      <c r="W557" s="16" t="n">
        <v>0.75</v>
      </c>
      <c r="X557" s="16" t="n">
        <v>0.8</v>
      </c>
      <c r="Y557" s="16" t="n"/>
      <c r="Z557" s="16" t="n">
        <v>6.27051412972602</v>
      </c>
      <c r="AA557" s="16" t="n">
        <v>58.77681796738493</v>
      </c>
      <c r="AB557" s="16" t="n">
        <v>1681.818181818182</v>
      </c>
      <c r="AC557" s="16" t="n">
        <v>2.275862068965517</v>
      </c>
      <c r="AD557" s="16" t="n"/>
      <c r="AE557" s="16" t="n"/>
    </row>
    <row r="558">
      <c r="A558" s="16" t="inlineStr">
        <is>
          <t>KF-M02R-n2b-0062</t>
        </is>
      </c>
      <c r="B558" s="16" t="inlineStr">
        <is>
          <t>2.3</t>
        </is>
      </c>
      <c r="C558" s="16" t="inlineStr">
        <is>
          <t>2.3c</t>
        </is>
      </c>
      <c r="D558" s="16" t="inlineStr">
        <is>
          <t>ε_HRVG × P_baja</t>
        </is>
      </c>
      <c r="E558" s="16" t="inlineStr">
        <is>
          <t>KF-M02R</t>
        </is>
      </c>
      <c r="F558" s="16" t="inlineStr">
        <is>
          <t>KF-M02R-n2b</t>
        </is>
      </c>
      <c r="G558" s="16" t="inlineStr">
        <is>
          <t>B04-n2b</t>
        </is>
      </c>
      <c r="H558" s="16" t="inlineStr">
        <is>
          <t>biseccion</t>
        </is>
      </c>
      <c r="I558" s="16" t="inlineStr">
        <is>
          <t>KALINA</t>
        </is>
      </c>
      <c r="J558" s="16" t="inlineStr">
        <is>
          <t>KALINA</t>
        </is>
      </c>
      <c r="K558" s="16" t="b">
        <v>1</v>
      </c>
      <c r="L558" s="16" t="b">
        <v>0</v>
      </c>
      <c r="M558" s="16" t="b">
        <v>1</v>
      </c>
      <c r="N558" s="16" t="b">
        <v>0</v>
      </c>
      <c r="O558" s="16" t="n">
        <v>623.15</v>
      </c>
      <c r="P558" s="16" t="n">
        <v>300.032917</v>
      </c>
      <c r="Q558" s="16" t="n">
        <v>3000</v>
      </c>
      <c r="R558" s="16" t="n">
        <v>1736.363636363636</v>
      </c>
      <c r="S558" s="16" t="n">
        <v>0.5</v>
      </c>
      <c r="T558" s="16" t="n">
        <v>0.85</v>
      </c>
      <c r="U558" s="16" t="n">
        <v>0.75</v>
      </c>
      <c r="V558" s="16" t="n">
        <v>0.5</v>
      </c>
      <c r="W558" s="16" t="n">
        <v>0.75</v>
      </c>
      <c r="X558" s="16" t="n">
        <v>0.8</v>
      </c>
      <c r="Y558" s="16" t="n"/>
      <c r="Z558" s="16" t="n">
        <v>4.3365952716162</v>
      </c>
      <c r="AA558" s="16" t="n">
        <v>50.48827645963719</v>
      </c>
      <c r="AB558" s="16" t="n">
        <v>1263.636363636364</v>
      </c>
      <c r="AC558" s="16" t="n">
        <v>1.727748691099476</v>
      </c>
      <c r="AD558" s="16" t="n"/>
      <c r="AE558" s="16" t="n"/>
    </row>
    <row r="559">
      <c r="A559" s="16" t="inlineStr">
        <is>
          <t>KF-M02R-n2b-0063</t>
        </is>
      </c>
      <c r="B559" s="16" t="inlineStr">
        <is>
          <t>2.3</t>
        </is>
      </c>
      <c r="C559" s="16" t="inlineStr">
        <is>
          <t>2.3c</t>
        </is>
      </c>
      <c r="D559" s="16" t="inlineStr">
        <is>
          <t>ε_HRVG × P_baja</t>
        </is>
      </c>
      <c r="E559" s="16" t="inlineStr">
        <is>
          <t>KF-M02R</t>
        </is>
      </c>
      <c r="F559" s="16" t="inlineStr">
        <is>
          <t>KF-M02R-n2b</t>
        </is>
      </c>
      <c r="G559" s="16" t="inlineStr">
        <is>
          <t>B04-n2b</t>
        </is>
      </c>
      <c r="H559" s="16" t="inlineStr">
        <is>
          <t>biseccion</t>
        </is>
      </c>
      <c r="I559" s="16" t="inlineStr">
        <is>
          <t>KALINA</t>
        </is>
      </c>
      <c r="J559" s="16" t="inlineStr">
        <is>
          <t>KALINA</t>
        </is>
      </c>
      <c r="K559" s="16" t="b">
        <v>1</v>
      </c>
      <c r="L559" s="16" t="b">
        <v>0</v>
      </c>
      <c r="M559" s="16" t="b">
        <v>1</v>
      </c>
      <c r="N559" s="16" t="b">
        <v>0</v>
      </c>
      <c r="O559" s="16" t="n">
        <v>623.15</v>
      </c>
      <c r="P559" s="16" t="n">
        <v>300.032917</v>
      </c>
      <c r="Q559" s="16" t="n">
        <v>3000</v>
      </c>
      <c r="R559" s="16" t="n">
        <v>1736.363636363636</v>
      </c>
      <c r="S559" s="16" t="n">
        <v>0.5</v>
      </c>
      <c r="T559" s="16" t="n">
        <v>0.85</v>
      </c>
      <c r="U559" s="16" t="n">
        <v>0.75</v>
      </c>
      <c r="V559" s="16" t="n">
        <v>0.5</v>
      </c>
      <c r="W559" s="16" t="n">
        <v>0.75</v>
      </c>
      <c r="X559" s="16" t="n">
        <v>0.8</v>
      </c>
      <c r="Y559" s="16" t="n"/>
      <c r="Z559" s="16" t="n">
        <v>4.3365952716162</v>
      </c>
      <c r="AA559" s="16" t="n">
        <v>50.48827645963719</v>
      </c>
      <c r="AB559" s="16" t="n">
        <v>1263.636363636364</v>
      </c>
      <c r="AC559" s="16" t="n">
        <v>1.727748691099476</v>
      </c>
      <c r="AD559" s="16" t="n"/>
      <c r="AE559" s="16" t="n"/>
    </row>
    <row r="560">
      <c r="A560" s="16" t="inlineStr">
        <is>
          <t>KF-M02R-n3-0000</t>
        </is>
      </c>
      <c r="B560" s="16" t="inlineStr">
        <is>
          <t>2.3</t>
        </is>
      </c>
      <c r="C560" s="16" t="inlineStr">
        <is>
          <t>2.3d</t>
        </is>
      </c>
      <c r="D560" s="16" t="inlineStr">
        <is>
          <t>T_fuente × ε_cond</t>
        </is>
      </c>
      <c r="E560" s="16" t="inlineStr">
        <is>
          <t>KF-M02R</t>
        </is>
      </c>
      <c r="F560" s="16" t="inlineStr">
        <is>
          <t>KF-M02R-n3</t>
        </is>
      </c>
      <c r="G560" s="16" t="inlineStr">
        <is>
          <t>B04-n3</t>
        </is>
      </c>
      <c r="H560" s="16" t="inlineStr">
        <is>
          <t>malla</t>
        </is>
      </c>
      <c r="I560" s="16" t="inlineStr">
        <is>
          <t>CORREGIBLE</t>
        </is>
      </c>
      <c r="J560" s="16" t="inlineStr">
        <is>
          <t>CORREGIBLE</t>
        </is>
      </c>
      <c r="K560" s="16" t="b">
        <v>1</v>
      </c>
      <c r="L560" s="16" t="b">
        <v>0</v>
      </c>
      <c r="M560" s="16" t="b">
        <v>0</v>
      </c>
      <c r="N560" s="16" t="b">
        <v>0</v>
      </c>
      <c r="O560" s="16" t="n">
        <v>403</v>
      </c>
      <c r="P560" s="16" t="n">
        <v>300.032917</v>
      </c>
      <c r="Q560" s="16" t="n">
        <v>3000</v>
      </c>
      <c r="R560" s="16" t="n">
        <v>400</v>
      </c>
      <c r="S560" s="16" t="n">
        <v>0.5</v>
      </c>
      <c r="T560" s="16" t="n">
        <v>0.85</v>
      </c>
      <c r="U560" s="16" t="n">
        <v>0.75</v>
      </c>
      <c r="V560" s="16" t="n">
        <v>0.85</v>
      </c>
      <c r="W560" s="16" t="n">
        <v>0.75</v>
      </c>
      <c r="X560" s="16" t="n">
        <v>0.9</v>
      </c>
      <c r="Y560" s="16" t="n"/>
      <c r="Z560" s="16" t="n">
        <v>9.682158158492973</v>
      </c>
      <c r="AA560" s="16" t="n">
        <v>30.75216541949138</v>
      </c>
      <c r="AB560" s="16" t="n">
        <v>2600</v>
      </c>
      <c r="AC560" s="16" t="n">
        <v>7.5</v>
      </c>
      <c r="AD560" s="16" t="inlineStr">
        <is>
          <t>O2</t>
        </is>
      </c>
      <c r="AE560" s="16" t="n"/>
    </row>
    <row r="561">
      <c r="A561" s="16" t="inlineStr">
        <is>
          <t>KF-M02R-n3-0001</t>
        </is>
      </c>
      <c r="B561" s="16" t="inlineStr">
        <is>
          <t>2.3</t>
        </is>
      </c>
      <c r="C561" s="16" t="inlineStr">
        <is>
          <t>2.3d</t>
        </is>
      </c>
      <c r="D561" s="16" t="inlineStr">
        <is>
          <t>T_fuente × ε_cond</t>
        </is>
      </c>
      <c r="E561" s="16" t="inlineStr">
        <is>
          <t>KF-M02R</t>
        </is>
      </c>
      <c r="F561" s="16" t="inlineStr">
        <is>
          <t>KF-M02R-n3</t>
        </is>
      </c>
      <c r="G561" s="16" t="inlineStr">
        <is>
          <t>B04-n3</t>
        </is>
      </c>
      <c r="H561" s="16" t="inlineStr">
        <is>
          <t>malla</t>
        </is>
      </c>
      <c r="I561" s="16" t="inlineStr">
        <is>
          <t>CORREGIBLE</t>
        </is>
      </c>
      <c r="J561" s="16" t="inlineStr">
        <is>
          <t>CORREGIBLE</t>
        </is>
      </c>
      <c r="K561" s="16" t="b">
        <v>1</v>
      </c>
      <c r="L561" s="16" t="b">
        <v>0</v>
      </c>
      <c r="M561" s="16" t="b">
        <v>0</v>
      </c>
      <c r="N561" s="16" t="b">
        <v>0</v>
      </c>
      <c r="O561" s="16" t="n">
        <v>403</v>
      </c>
      <c r="P561" s="16" t="n">
        <v>300.032917</v>
      </c>
      <c r="Q561" s="16" t="n">
        <v>3000</v>
      </c>
      <c r="R561" s="16" t="n">
        <v>400</v>
      </c>
      <c r="S561" s="16" t="n">
        <v>0.5</v>
      </c>
      <c r="T561" s="16" t="n">
        <v>0.85</v>
      </c>
      <c r="U561" s="16" t="n">
        <v>0.75</v>
      </c>
      <c r="V561" s="16" t="n">
        <v>0.85</v>
      </c>
      <c r="W561" s="16" t="n">
        <v>0.75</v>
      </c>
      <c r="X561" s="16" t="n">
        <v>0.85</v>
      </c>
      <c r="Y561" s="16" t="n"/>
      <c r="Z561" s="16" t="n">
        <v>9.81249139263646</v>
      </c>
      <c r="AA561" s="16" t="n">
        <v>30.61691944063476</v>
      </c>
      <c r="AB561" s="16" t="n">
        <v>2600</v>
      </c>
      <c r="AC561" s="16" t="n">
        <v>7.5</v>
      </c>
      <c r="AD561" s="16" t="inlineStr">
        <is>
          <t>O2</t>
        </is>
      </c>
      <c r="AE561" s="16" t="n"/>
    </row>
    <row r="562">
      <c r="A562" s="16" t="inlineStr">
        <is>
          <t>KF-M02R-n3-0002</t>
        </is>
      </c>
      <c r="B562" s="16" t="inlineStr">
        <is>
          <t>2.3</t>
        </is>
      </c>
      <c r="C562" s="16" t="inlineStr">
        <is>
          <t>2.3d</t>
        </is>
      </c>
      <c r="D562" s="16" t="inlineStr">
        <is>
          <t>T_fuente × ε_cond</t>
        </is>
      </c>
      <c r="E562" s="16" t="inlineStr">
        <is>
          <t>KF-M02R</t>
        </is>
      </c>
      <c r="F562" s="16" t="inlineStr">
        <is>
          <t>KF-M02R-n3</t>
        </is>
      </c>
      <c r="G562" s="16" t="inlineStr">
        <is>
          <t>B04-n3</t>
        </is>
      </c>
      <c r="H562" s="16" t="inlineStr">
        <is>
          <t>malla</t>
        </is>
      </c>
      <c r="I562" s="16" t="inlineStr">
        <is>
          <t>KALINA</t>
        </is>
      </c>
      <c r="J562" s="16" t="inlineStr">
        <is>
          <t>KALINA</t>
        </is>
      </c>
      <c r="K562" s="16" t="b">
        <v>1</v>
      </c>
      <c r="L562" s="16" t="b">
        <v>1</v>
      </c>
      <c r="M562" s="16" t="b">
        <v>0</v>
      </c>
      <c r="N562" s="16" t="b">
        <v>0</v>
      </c>
      <c r="O562" s="16" t="n">
        <v>403</v>
      </c>
      <c r="P562" s="16" t="n">
        <v>300.032917</v>
      </c>
      <c r="Q562" s="16" t="n">
        <v>3000</v>
      </c>
      <c r="R562" s="16" t="n">
        <v>400</v>
      </c>
      <c r="S562" s="16" t="n">
        <v>0.5</v>
      </c>
      <c r="T562" s="16" t="n">
        <v>0.85</v>
      </c>
      <c r="U562" s="16" t="n">
        <v>0.75</v>
      </c>
      <c r="V562" s="16" t="n">
        <v>0.85</v>
      </c>
      <c r="W562" s="16" t="n">
        <v>0.75</v>
      </c>
      <c r="X562" s="16" t="n">
        <v>0.95</v>
      </c>
      <c r="Y562" s="16" t="n"/>
      <c r="Z562" s="16" t="n">
        <v>9.504720128032099</v>
      </c>
      <c r="AA562" s="16" t="n">
        <v>30.67541128254607</v>
      </c>
      <c r="AB562" s="16" t="n">
        <v>2600</v>
      </c>
      <c r="AC562" s="16" t="n">
        <v>7.5</v>
      </c>
      <c r="AD562" s="16" t="n"/>
      <c r="AE562" s="16" t="n"/>
    </row>
    <row r="563">
      <c r="A563" s="16" t="inlineStr">
        <is>
          <t>KF-M02R-n3-0003</t>
        </is>
      </c>
      <c r="B563" s="16" t="inlineStr">
        <is>
          <t>2.3</t>
        </is>
      </c>
      <c r="C563" s="16" t="inlineStr">
        <is>
          <t>2.3d</t>
        </is>
      </c>
      <c r="D563" s="16" t="inlineStr">
        <is>
          <t>T_fuente × ε_cond</t>
        </is>
      </c>
      <c r="E563" s="16" t="inlineStr">
        <is>
          <t>KF-M02R</t>
        </is>
      </c>
      <c r="F563" s="16" t="inlineStr">
        <is>
          <t>KF-M02R-n3</t>
        </is>
      </c>
      <c r="G563" s="16" t="inlineStr">
        <is>
          <t>B04-n3</t>
        </is>
      </c>
      <c r="H563" s="16" t="inlineStr">
        <is>
          <t>malla</t>
        </is>
      </c>
      <c r="I563" s="16" t="inlineStr">
        <is>
          <t>INVIABLE</t>
        </is>
      </c>
      <c r="J563" s="16" t="inlineStr">
        <is>
          <t>INVIABLE</t>
        </is>
      </c>
      <c r="K563" s="16" t="b">
        <v>1</v>
      </c>
      <c r="L563" s="16" t="b">
        <v>0</v>
      </c>
      <c r="M563" s="16" t="b">
        <v>0</v>
      </c>
      <c r="N563" s="16" t="b">
        <v>0</v>
      </c>
      <c r="O563" s="16" t="n">
        <v>420</v>
      </c>
      <c r="P563" s="16" t="n">
        <v>300.032917</v>
      </c>
      <c r="Q563" s="16" t="n">
        <v>3000</v>
      </c>
      <c r="R563" s="16" t="n">
        <v>400</v>
      </c>
      <c r="S563" s="16" t="n">
        <v>0.5</v>
      </c>
      <c r="T563" s="16" t="n">
        <v>0.85</v>
      </c>
      <c r="U563" s="16" t="n">
        <v>0.75</v>
      </c>
      <c r="V563" s="16" t="n">
        <v>0.85</v>
      </c>
      <c r="W563" s="16" t="n">
        <v>0.75</v>
      </c>
      <c r="X563" s="16" t="n">
        <v>0.9</v>
      </c>
      <c r="Y563" s="16" t="n"/>
      <c r="Z563" s="16" t="n">
        <v>12.10530013815789</v>
      </c>
      <c r="AA563" s="16" t="n">
        <v>63.79155462709105</v>
      </c>
      <c r="AB563" s="16" t="n">
        <v>2600</v>
      </c>
      <c r="AC563" s="16" t="n">
        <v>7.5</v>
      </c>
      <c r="AD563" s="16" t="inlineStr">
        <is>
          <t>S3,O2</t>
        </is>
      </c>
      <c r="AE563" s="16" t="n"/>
    </row>
    <row r="564">
      <c r="A564" s="16" t="inlineStr">
        <is>
          <t>KF-M02R-n3-0004</t>
        </is>
      </c>
      <c r="B564" s="16" t="inlineStr">
        <is>
          <t>2.3</t>
        </is>
      </c>
      <c r="C564" s="16" t="inlineStr">
        <is>
          <t>2.3d</t>
        </is>
      </c>
      <c r="D564" s="16" t="inlineStr">
        <is>
          <t>T_fuente × ε_cond</t>
        </is>
      </c>
      <c r="E564" s="16" t="inlineStr">
        <is>
          <t>KF-M02R</t>
        </is>
      </c>
      <c r="F564" s="16" t="inlineStr">
        <is>
          <t>KF-M02R-n3</t>
        </is>
      </c>
      <c r="G564" s="16" t="inlineStr">
        <is>
          <t>B04-n3</t>
        </is>
      </c>
      <c r="H564" s="16" t="inlineStr">
        <is>
          <t>malla</t>
        </is>
      </c>
      <c r="I564" s="16" t="inlineStr">
        <is>
          <t>CORREGIBLE</t>
        </is>
      </c>
      <c r="J564" s="16" t="inlineStr">
        <is>
          <t>CORREGIBLE</t>
        </is>
      </c>
      <c r="K564" s="16" t="b">
        <v>1</v>
      </c>
      <c r="L564" s="16" t="b">
        <v>0</v>
      </c>
      <c r="M564" s="16" t="b">
        <v>0</v>
      </c>
      <c r="N564" s="16" t="b">
        <v>0</v>
      </c>
      <c r="O564" s="16" t="n">
        <v>420</v>
      </c>
      <c r="P564" s="16" t="n">
        <v>300.032917</v>
      </c>
      <c r="Q564" s="16" t="n">
        <v>3000</v>
      </c>
      <c r="R564" s="16" t="n">
        <v>400</v>
      </c>
      <c r="S564" s="16" t="n">
        <v>0.5</v>
      </c>
      <c r="T564" s="16" t="n">
        <v>0.85</v>
      </c>
      <c r="U564" s="16" t="n">
        <v>0.75</v>
      </c>
      <c r="V564" s="16" t="n">
        <v>0.85</v>
      </c>
      <c r="W564" s="16" t="n">
        <v>0.75</v>
      </c>
      <c r="X564" s="16" t="n">
        <v>0.95</v>
      </c>
      <c r="Y564" s="16" t="n"/>
      <c r="Z564" s="16" t="n">
        <v>11.88681952682181</v>
      </c>
      <c r="AA564" s="16" t="n">
        <v>63.88573397176583</v>
      </c>
      <c r="AB564" s="16" t="n">
        <v>2600</v>
      </c>
      <c r="AC564" s="16" t="n">
        <v>7.5</v>
      </c>
      <c r="AD564" s="16" t="inlineStr">
        <is>
          <t>O2</t>
        </is>
      </c>
      <c r="AE564" s="16" t="n"/>
    </row>
    <row r="565">
      <c r="A565" s="16" t="inlineStr">
        <is>
          <t>KF-M02R-n3-0005</t>
        </is>
      </c>
      <c r="B565" s="16" t="inlineStr">
        <is>
          <t>2.3</t>
        </is>
      </c>
      <c r="C565" s="16" t="inlineStr">
        <is>
          <t>2.3d</t>
        </is>
      </c>
      <c r="D565" s="16" t="inlineStr">
        <is>
          <t>T_fuente × ε_cond</t>
        </is>
      </c>
      <c r="E565" s="16" t="inlineStr">
        <is>
          <t>KF-M02R</t>
        </is>
      </c>
      <c r="F565" s="16" t="inlineStr">
        <is>
          <t>KF-M02R-n3</t>
        </is>
      </c>
      <c r="G565" s="16" t="inlineStr">
        <is>
          <t>B04-n3</t>
        </is>
      </c>
      <c r="H565" s="16" t="inlineStr">
        <is>
          <t>malla</t>
        </is>
      </c>
      <c r="I565" s="16" t="inlineStr">
        <is>
          <t>CORREGIBLE</t>
        </is>
      </c>
      <c r="J565" s="16" t="inlineStr">
        <is>
          <t>CORREGIBLE</t>
        </is>
      </c>
      <c r="K565" s="16" t="b">
        <v>1</v>
      </c>
      <c r="L565" s="16" t="b">
        <v>0</v>
      </c>
      <c r="M565" s="16" t="b">
        <v>0</v>
      </c>
      <c r="N565" s="16" t="b">
        <v>0</v>
      </c>
      <c r="O565" s="16" t="n">
        <v>420</v>
      </c>
      <c r="P565" s="16" t="n">
        <v>300.032917</v>
      </c>
      <c r="Q565" s="16" t="n">
        <v>3000</v>
      </c>
      <c r="R565" s="16" t="n">
        <v>400</v>
      </c>
      <c r="S565" s="16" t="n">
        <v>0.5</v>
      </c>
      <c r="T565" s="16" t="n">
        <v>0.85</v>
      </c>
      <c r="U565" s="16" t="n">
        <v>0.75</v>
      </c>
      <c r="V565" s="16" t="n">
        <v>0.85</v>
      </c>
      <c r="W565" s="16" t="n">
        <v>0.75</v>
      </c>
      <c r="X565" s="16" t="n">
        <v>0.85</v>
      </c>
      <c r="Y565" s="16" t="n"/>
      <c r="Z565" s="16" t="n">
        <v>12.24117691913457</v>
      </c>
      <c r="AA565" s="16" t="n">
        <v>63.10505886495541</v>
      </c>
      <c r="AB565" s="16" t="n">
        <v>2600</v>
      </c>
      <c r="AC565" s="16" t="n">
        <v>7.5</v>
      </c>
      <c r="AD565" s="16" t="inlineStr">
        <is>
          <t>O2</t>
        </is>
      </c>
      <c r="AE565" s="16" t="n"/>
    </row>
    <row r="566">
      <c r="A566" s="16" t="inlineStr">
        <is>
          <t>KF-M02R-n3-0006</t>
        </is>
      </c>
      <c r="B566" s="16" t="inlineStr">
        <is>
          <t>2.3</t>
        </is>
      </c>
      <c r="C566" s="16" t="inlineStr">
        <is>
          <t>2.3d</t>
        </is>
      </c>
      <c r="D566" s="16" t="inlineStr">
        <is>
          <t>T_fuente × ε_cond</t>
        </is>
      </c>
      <c r="E566" s="16" t="inlineStr">
        <is>
          <t>KF-M02R</t>
        </is>
      </c>
      <c r="F566" s="16" t="inlineStr">
        <is>
          <t>KF-M02R-n3</t>
        </is>
      </c>
      <c r="G566" s="16" t="inlineStr">
        <is>
          <t>B04-n3</t>
        </is>
      </c>
      <c r="H566" s="16" t="inlineStr">
        <is>
          <t>malla</t>
        </is>
      </c>
      <c r="I566" s="16" t="inlineStr">
        <is>
          <t>CORREGIBLE</t>
        </is>
      </c>
      <c r="J566" s="16" t="inlineStr">
        <is>
          <t>CORREGIBLE</t>
        </is>
      </c>
      <c r="K566" s="16" t="b">
        <v>1</v>
      </c>
      <c r="L566" s="16" t="b">
        <v>0</v>
      </c>
      <c r="M566" s="16" t="b">
        <v>1</v>
      </c>
      <c r="N566" s="16" t="b">
        <v>0</v>
      </c>
      <c r="O566" s="16" t="n">
        <v>434</v>
      </c>
      <c r="P566" s="16" t="n">
        <v>300.032917</v>
      </c>
      <c r="Q566" s="16" t="n">
        <v>3000</v>
      </c>
      <c r="R566" s="16" t="n">
        <v>400</v>
      </c>
      <c r="S566" s="16" t="n">
        <v>0.5</v>
      </c>
      <c r="T566" s="16" t="n">
        <v>0.85</v>
      </c>
      <c r="U566" s="16" t="n">
        <v>0.75</v>
      </c>
      <c r="V566" s="16" t="n">
        <v>0.85</v>
      </c>
      <c r="W566" s="16" t="n">
        <v>0.75</v>
      </c>
      <c r="X566" s="16" t="n">
        <v>0.85</v>
      </c>
      <c r="Y566" s="16" t="n"/>
      <c r="Z566" s="16" t="n">
        <v>13.04932485530815</v>
      </c>
      <c r="AA566" s="16" t="n">
        <v>91.88020964080395</v>
      </c>
      <c r="AB566" s="16" t="n">
        <v>2600</v>
      </c>
      <c r="AC566" s="16" t="n">
        <v>7.5</v>
      </c>
      <c r="AD566" s="16" t="inlineStr">
        <is>
          <t>O2</t>
        </is>
      </c>
      <c r="AE566" s="16" t="n"/>
    </row>
    <row r="567">
      <c r="A567" s="16" t="inlineStr">
        <is>
          <t>KF-M02R-n3-0007</t>
        </is>
      </c>
      <c r="B567" s="16" t="inlineStr">
        <is>
          <t>2.3</t>
        </is>
      </c>
      <c r="C567" s="16" t="inlineStr">
        <is>
          <t>2.3d</t>
        </is>
      </c>
      <c r="D567" s="16" t="inlineStr">
        <is>
          <t>T_fuente × ε_cond</t>
        </is>
      </c>
      <c r="E567" s="16" t="inlineStr">
        <is>
          <t>KF-M02R</t>
        </is>
      </c>
      <c r="F567" s="16" t="inlineStr">
        <is>
          <t>KF-M02R-n3</t>
        </is>
      </c>
      <c r="G567" s="16" t="inlineStr">
        <is>
          <t>B04-n3</t>
        </is>
      </c>
      <c r="H567" s="16" t="inlineStr">
        <is>
          <t>malla</t>
        </is>
      </c>
      <c r="I567" s="16" t="inlineStr">
        <is>
          <t>CORREGIBLE</t>
        </is>
      </c>
      <c r="J567" s="16" t="inlineStr">
        <is>
          <t>CORREGIBLE</t>
        </is>
      </c>
      <c r="K567" s="16" t="b">
        <v>1</v>
      </c>
      <c r="L567" s="16" t="b">
        <v>0</v>
      </c>
      <c r="M567" s="16" t="b">
        <v>1</v>
      </c>
      <c r="N567" s="16" t="b">
        <v>0</v>
      </c>
      <c r="O567" s="16" t="n">
        <v>434</v>
      </c>
      <c r="P567" s="16" t="n">
        <v>300.032917</v>
      </c>
      <c r="Q567" s="16" t="n">
        <v>3000</v>
      </c>
      <c r="R567" s="16" t="n">
        <v>400</v>
      </c>
      <c r="S567" s="16" t="n">
        <v>0.5</v>
      </c>
      <c r="T567" s="16" t="n">
        <v>0.85</v>
      </c>
      <c r="U567" s="16" t="n">
        <v>0.75</v>
      </c>
      <c r="V567" s="16" t="n">
        <v>0.85</v>
      </c>
      <c r="W567" s="16" t="n">
        <v>0.75</v>
      </c>
      <c r="X567" s="16" t="n">
        <v>0.9</v>
      </c>
      <c r="Y567" s="16" t="n"/>
      <c r="Z567" s="16" t="n">
        <v>12.93034535367472</v>
      </c>
      <c r="AA567" s="16" t="n">
        <v>93.40022495842264</v>
      </c>
      <c r="AB567" s="16" t="n">
        <v>2600</v>
      </c>
      <c r="AC567" s="16" t="n">
        <v>7.5</v>
      </c>
      <c r="AD567" s="16" t="inlineStr">
        <is>
          <t>O2</t>
        </is>
      </c>
      <c r="AE567" s="16" t="n"/>
    </row>
    <row r="568">
      <c r="A568" s="16" t="inlineStr">
        <is>
          <t>KF-M02R-n3-0008</t>
        </is>
      </c>
      <c r="B568" s="16" t="inlineStr">
        <is>
          <t>2.3</t>
        </is>
      </c>
      <c r="C568" s="16" t="inlineStr">
        <is>
          <t>2.3d</t>
        </is>
      </c>
      <c r="D568" s="16" t="inlineStr">
        <is>
          <t>T_fuente × ε_cond</t>
        </is>
      </c>
      <c r="E568" s="16" t="inlineStr">
        <is>
          <t>KF-M02R</t>
        </is>
      </c>
      <c r="F568" s="16" t="inlineStr">
        <is>
          <t>KF-M02R-n3</t>
        </is>
      </c>
      <c r="G568" s="16" t="inlineStr">
        <is>
          <t>B04-n3</t>
        </is>
      </c>
      <c r="H568" s="16" t="inlineStr">
        <is>
          <t>malla</t>
        </is>
      </c>
      <c r="I568" s="16" t="inlineStr">
        <is>
          <t>CORREGIBLE</t>
        </is>
      </c>
      <c r="J568" s="16" t="inlineStr">
        <is>
          <t>CORREGIBLE</t>
        </is>
      </c>
      <c r="K568" s="16" t="b">
        <v>1</v>
      </c>
      <c r="L568" s="16" t="b">
        <v>0</v>
      </c>
      <c r="M568" s="16" t="b">
        <v>1</v>
      </c>
      <c r="N568" s="16" t="b">
        <v>0</v>
      </c>
      <c r="O568" s="16" t="n">
        <v>434</v>
      </c>
      <c r="P568" s="16" t="n">
        <v>300.032917</v>
      </c>
      <c r="Q568" s="16" t="n">
        <v>3000</v>
      </c>
      <c r="R568" s="16" t="n">
        <v>400</v>
      </c>
      <c r="S568" s="16" t="n">
        <v>0.5</v>
      </c>
      <c r="T568" s="16" t="n">
        <v>0.85</v>
      </c>
      <c r="U568" s="16" t="n">
        <v>0.75</v>
      </c>
      <c r="V568" s="16" t="n">
        <v>0.85</v>
      </c>
      <c r="W568" s="16" t="n">
        <v>0.75</v>
      </c>
      <c r="X568" s="16" t="n">
        <v>0.95</v>
      </c>
      <c r="Y568" s="16" t="n"/>
      <c r="Z568" s="16" t="n">
        <v>12.69780134293553</v>
      </c>
      <c r="AA568" s="16" t="n">
        <v>93.83578315118169</v>
      </c>
      <c r="AB568" s="16" t="n">
        <v>2600</v>
      </c>
      <c r="AC568" s="16" t="n">
        <v>7.5</v>
      </c>
      <c r="AD568" s="16" t="inlineStr">
        <is>
          <t>O2</t>
        </is>
      </c>
      <c r="AE568" s="16" t="n"/>
    </row>
    <row r="569">
      <c r="A569" s="16" t="inlineStr">
        <is>
          <t>KF-M02R-n3-0009</t>
        </is>
      </c>
      <c r="B569" s="16" t="inlineStr">
        <is>
          <t>2.3</t>
        </is>
      </c>
      <c r="C569" s="16" t="inlineStr">
        <is>
          <t>2.3d</t>
        </is>
      </c>
      <c r="D569" s="16" t="inlineStr">
        <is>
          <t>T_fuente × ε_cond</t>
        </is>
      </c>
      <c r="E569" s="16" t="inlineStr">
        <is>
          <t>KF-M02R</t>
        </is>
      </c>
      <c r="F569" s="16" t="inlineStr">
        <is>
          <t>KF-M02R-n3</t>
        </is>
      </c>
      <c r="G569" s="16" t="inlineStr">
        <is>
          <t>B04-n3</t>
        </is>
      </c>
      <c r="H569" s="16" t="inlineStr">
        <is>
          <t>malla</t>
        </is>
      </c>
      <c r="I569" s="16" t="inlineStr">
        <is>
          <t>CORREGIBLE</t>
        </is>
      </c>
      <c r="J569" s="16" t="inlineStr">
        <is>
          <t>CORREGIBLE</t>
        </is>
      </c>
      <c r="K569" s="16" t="b">
        <v>1</v>
      </c>
      <c r="L569" s="16" t="b">
        <v>0</v>
      </c>
      <c r="M569" s="16" t="b">
        <v>1</v>
      </c>
      <c r="N569" s="16" t="b">
        <v>0</v>
      </c>
      <c r="O569" s="16" t="n">
        <v>466</v>
      </c>
      <c r="P569" s="16" t="n">
        <v>300.032917</v>
      </c>
      <c r="Q569" s="16" t="n">
        <v>3000</v>
      </c>
      <c r="R569" s="16" t="n">
        <v>400</v>
      </c>
      <c r="S569" s="16" t="n">
        <v>0.5</v>
      </c>
      <c r="T569" s="16" t="n">
        <v>0.85</v>
      </c>
      <c r="U569" s="16" t="n">
        <v>0.75</v>
      </c>
      <c r="V569" s="16" t="n">
        <v>0.85</v>
      </c>
      <c r="W569" s="16" t="n">
        <v>0.75</v>
      </c>
      <c r="X569" s="16" t="n">
        <v>0.9</v>
      </c>
      <c r="Y569" s="16" t="n"/>
      <c r="Z569" s="16" t="n">
        <v>13.51877433333378</v>
      </c>
      <c r="AA569" s="16" t="n">
        <v>202.679190762492</v>
      </c>
      <c r="AB569" s="16" t="n">
        <v>2600</v>
      </c>
      <c r="AC569" s="16" t="n">
        <v>7.5</v>
      </c>
      <c r="AD569" s="16" t="inlineStr">
        <is>
          <t>O2</t>
        </is>
      </c>
      <c r="AE569" s="16" t="n"/>
    </row>
    <row r="570">
      <c r="A570" s="16" t="inlineStr">
        <is>
          <t>KF-M02R-n3-0010</t>
        </is>
      </c>
      <c r="B570" s="16" t="inlineStr">
        <is>
          <t>2.3</t>
        </is>
      </c>
      <c r="C570" s="16" t="inlineStr">
        <is>
          <t>2.3d</t>
        </is>
      </c>
      <c r="D570" s="16" t="inlineStr">
        <is>
          <t>T_fuente × ε_cond</t>
        </is>
      </c>
      <c r="E570" s="16" t="inlineStr">
        <is>
          <t>KF-M02R</t>
        </is>
      </c>
      <c r="F570" s="16" t="inlineStr">
        <is>
          <t>KF-M02R-n3</t>
        </is>
      </c>
      <c r="G570" s="16" t="inlineStr">
        <is>
          <t>B04-n3</t>
        </is>
      </c>
      <c r="H570" s="16" t="inlineStr">
        <is>
          <t>malla</t>
        </is>
      </c>
      <c r="I570" s="16" t="inlineStr">
        <is>
          <t>CORREGIBLE</t>
        </is>
      </c>
      <c r="J570" s="16" t="inlineStr">
        <is>
          <t>CORREGIBLE</t>
        </is>
      </c>
      <c r="K570" s="16" t="b">
        <v>1</v>
      </c>
      <c r="L570" s="16" t="b">
        <v>0</v>
      </c>
      <c r="M570" s="16" t="b">
        <v>1</v>
      </c>
      <c r="N570" s="16" t="b">
        <v>0</v>
      </c>
      <c r="O570" s="16" t="n">
        <v>466</v>
      </c>
      <c r="P570" s="16" t="n">
        <v>300.032917</v>
      </c>
      <c r="Q570" s="16" t="n">
        <v>3000</v>
      </c>
      <c r="R570" s="16" t="n">
        <v>400</v>
      </c>
      <c r="S570" s="16" t="n">
        <v>0.5</v>
      </c>
      <c r="T570" s="16" t="n">
        <v>0.85</v>
      </c>
      <c r="U570" s="16" t="n">
        <v>0.75</v>
      </c>
      <c r="V570" s="16" t="n">
        <v>0.85</v>
      </c>
      <c r="W570" s="16" t="n">
        <v>0.75</v>
      </c>
      <c r="X570" s="16" t="n">
        <v>0.85</v>
      </c>
      <c r="Y570" s="16" t="n"/>
      <c r="Z570" s="16" t="n">
        <v>13.51784773689981</v>
      </c>
      <c r="AA570" s="16" t="n">
        <v>194.979258389766</v>
      </c>
      <c r="AB570" s="16" t="n">
        <v>2600</v>
      </c>
      <c r="AC570" s="16" t="n">
        <v>7.5</v>
      </c>
      <c r="AD570" s="16" t="inlineStr">
        <is>
          <t>O2</t>
        </is>
      </c>
      <c r="AE570" s="16" t="n"/>
    </row>
    <row r="571">
      <c r="A571" s="16" t="inlineStr">
        <is>
          <t>KF-M02R-n3-0011</t>
        </is>
      </c>
      <c r="B571" s="16" t="inlineStr">
        <is>
          <t>2.3</t>
        </is>
      </c>
      <c r="C571" s="16" t="inlineStr">
        <is>
          <t>2.3d</t>
        </is>
      </c>
      <c r="D571" s="16" t="inlineStr">
        <is>
          <t>T_fuente × ε_cond</t>
        </is>
      </c>
      <c r="E571" s="16" t="inlineStr">
        <is>
          <t>KF-M02R</t>
        </is>
      </c>
      <c r="F571" s="16" t="inlineStr">
        <is>
          <t>KF-M02R-n3</t>
        </is>
      </c>
      <c r="G571" s="16" t="inlineStr">
        <is>
          <t>B04-n3</t>
        </is>
      </c>
      <c r="H571" s="16" t="inlineStr">
        <is>
          <t>malla</t>
        </is>
      </c>
      <c r="I571" s="16" t="inlineStr">
        <is>
          <t>CORREGIBLE</t>
        </is>
      </c>
      <c r="J571" s="16" t="inlineStr">
        <is>
          <t>CORREGIBLE</t>
        </is>
      </c>
      <c r="K571" s="16" t="b">
        <v>1</v>
      </c>
      <c r="L571" s="16" t="b">
        <v>0</v>
      </c>
      <c r="M571" s="16" t="b">
        <v>1</v>
      </c>
      <c r="N571" s="16" t="b">
        <v>0</v>
      </c>
      <c r="O571" s="16" t="n">
        <v>466</v>
      </c>
      <c r="P571" s="16" t="n">
        <v>300.032917</v>
      </c>
      <c r="Q571" s="16" t="n">
        <v>3000</v>
      </c>
      <c r="R571" s="16" t="n">
        <v>400</v>
      </c>
      <c r="S571" s="16" t="n">
        <v>0.5</v>
      </c>
      <c r="T571" s="16" t="n">
        <v>0.85</v>
      </c>
      <c r="U571" s="16" t="n">
        <v>0.75</v>
      </c>
      <c r="V571" s="16" t="n">
        <v>0.85</v>
      </c>
      <c r="W571" s="16" t="n">
        <v>0.75</v>
      </c>
      <c r="X571" s="16" t="n">
        <v>0.95</v>
      </c>
      <c r="Y571" s="16" t="n"/>
      <c r="Z571" s="16" t="n">
        <v>13.29033086806876</v>
      </c>
      <c r="AA571" s="16" t="n">
        <v>206.1081493268724</v>
      </c>
      <c r="AB571" s="16" t="n">
        <v>2600</v>
      </c>
      <c r="AC571" s="16" t="n">
        <v>7.5</v>
      </c>
      <c r="AD571" s="16" t="inlineStr">
        <is>
          <t>O2</t>
        </is>
      </c>
      <c r="AE571" s="16" t="n"/>
    </row>
    <row r="572">
      <c r="A572" s="16" t="inlineStr">
        <is>
          <t>KF-M02R-n3-0012</t>
        </is>
      </c>
      <c r="B572" s="16" t="inlineStr">
        <is>
          <t>2.3</t>
        </is>
      </c>
      <c r="C572" s="16" t="inlineStr">
        <is>
          <t>2.3d</t>
        </is>
      </c>
      <c r="D572" s="16" t="inlineStr">
        <is>
          <t>T_fuente × ε_cond</t>
        </is>
      </c>
      <c r="E572" s="16" t="inlineStr">
        <is>
          <t>KF-M02R</t>
        </is>
      </c>
      <c r="F572" s="16" t="inlineStr">
        <is>
          <t>KF-M02R-n3</t>
        </is>
      </c>
      <c r="G572" s="16" t="inlineStr">
        <is>
          <t>B04-n3</t>
        </is>
      </c>
      <c r="H572" s="16" t="inlineStr">
        <is>
          <t>malla</t>
        </is>
      </c>
      <c r="I572" s="16" t="inlineStr">
        <is>
          <t>NO_CONVERGIO</t>
        </is>
      </c>
      <c r="J572" s="16" t="inlineStr">
        <is>
          <t>NO_CONVERGIO</t>
        </is>
      </c>
      <c r="K572" s="16" t="b">
        <v>0</v>
      </c>
      <c r="L572" s="16" t="b">
        <v>0</v>
      </c>
      <c r="M572" s="16" t="b">
        <v>0</v>
      </c>
      <c r="N572" s="16" t="b">
        <v>0</v>
      </c>
      <c r="O572" s="16" t="n">
        <v>497</v>
      </c>
      <c r="P572" s="16" t="n">
        <v>300.032917</v>
      </c>
      <c r="Q572" s="16" t="n">
        <v>3000</v>
      </c>
      <c r="R572" s="16" t="n">
        <v>400</v>
      </c>
      <c r="S572" s="16" t="n">
        <v>0.5</v>
      </c>
      <c r="T572" s="16" t="n">
        <v>0.85</v>
      </c>
      <c r="U572" s="16" t="n">
        <v>0.75</v>
      </c>
      <c r="V572" s="16" t="n">
        <v>0.85</v>
      </c>
      <c r="W572" s="16" t="n">
        <v>0.75</v>
      </c>
      <c r="X572" s="16" t="n">
        <v>0.9</v>
      </c>
      <c r="Y572" s="16" t="n"/>
      <c r="Z572" s="16" t="n"/>
      <c r="AA572" s="16" t="n"/>
      <c r="AB572" s="16" t="n">
        <v>2600</v>
      </c>
      <c r="AC572" s="16" t="n">
        <v>7.5</v>
      </c>
      <c r="AD572" s="16" t="n"/>
      <c r="AE572" s="16" t="n"/>
    </row>
    <row r="573">
      <c r="A573" s="16" t="inlineStr">
        <is>
          <t>KF-M02R-n3-0013</t>
        </is>
      </c>
      <c r="B573" s="16" t="inlineStr">
        <is>
          <t>2.3</t>
        </is>
      </c>
      <c r="C573" s="16" t="inlineStr">
        <is>
          <t>2.3d</t>
        </is>
      </c>
      <c r="D573" s="16" t="inlineStr">
        <is>
          <t>T_fuente × ε_cond</t>
        </is>
      </c>
      <c r="E573" s="16" t="inlineStr">
        <is>
          <t>KF-M02R</t>
        </is>
      </c>
      <c r="F573" s="16" t="inlineStr">
        <is>
          <t>KF-M02R-n3</t>
        </is>
      </c>
      <c r="G573" s="16" t="inlineStr">
        <is>
          <t>B04-n3</t>
        </is>
      </c>
      <c r="H573" s="16" t="inlineStr">
        <is>
          <t>malla</t>
        </is>
      </c>
      <c r="I573" s="16" t="inlineStr">
        <is>
          <t>CORREGIBLE</t>
        </is>
      </c>
      <c r="J573" s="16" t="inlineStr">
        <is>
          <t>CORREGIBLE</t>
        </is>
      </c>
      <c r="K573" s="16" t="b">
        <v>1</v>
      </c>
      <c r="L573" s="16" t="b">
        <v>0</v>
      </c>
      <c r="M573" s="16" t="b">
        <v>1</v>
      </c>
      <c r="N573" s="16" t="b">
        <v>0</v>
      </c>
      <c r="O573" s="16" t="n">
        <v>497</v>
      </c>
      <c r="P573" s="16" t="n">
        <v>300.032917</v>
      </c>
      <c r="Q573" s="16" t="n">
        <v>3000</v>
      </c>
      <c r="R573" s="16" t="n">
        <v>400</v>
      </c>
      <c r="S573" s="16" t="n">
        <v>0.5</v>
      </c>
      <c r="T573" s="16" t="n">
        <v>0.85</v>
      </c>
      <c r="U573" s="16" t="n">
        <v>0.75</v>
      </c>
      <c r="V573" s="16" t="n">
        <v>0.85</v>
      </c>
      <c r="W573" s="16" t="n">
        <v>0.75</v>
      </c>
      <c r="X573" s="16" t="n">
        <v>0.85</v>
      </c>
      <c r="Y573" s="16" t="n"/>
      <c r="Z573" s="16" t="n">
        <v>13.47906423717677</v>
      </c>
      <c r="AA573" s="16" t="n">
        <v>236.575629387504</v>
      </c>
      <c r="AB573" s="16" t="n">
        <v>2600</v>
      </c>
      <c r="AC573" s="16" t="n">
        <v>7.5</v>
      </c>
      <c r="AD573" s="16" t="inlineStr">
        <is>
          <t>O2</t>
        </is>
      </c>
      <c r="AE573" s="16" t="n"/>
    </row>
    <row r="574">
      <c r="A574" s="16" t="inlineStr">
        <is>
          <t>KF-M02R-n3-0014</t>
        </is>
      </c>
      <c r="B574" s="16" t="inlineStr">
        <is>
          <t>2.3</t>
        </is>
      </c>
      <c r="C574" s="16" t="inlineStr">
        <is>
          <t>2.3d</t>
        </is>
      </c>
      <c r="D574" s="16" t="inlineStr">
        <is>
          <t>T_fuente × ε_cond</t>
        </is>
      </c>
      <c r="E574" s="16" t="inlineStr">
        <is>
          <t>KF-M02R</t>
        </is>
      </c>
      <c r="F574" s="16" t="inlineStr">
        <is>
          <t>KF-M02R-n3</t>
        </is>
      </c>
      <c r="G574" s="16" t="inlineStr">
        <is>
          <t>B04-n3</t>
        </is>
      </c>
      <c r="H574" s="16" t="inlineStr">
        <is>
          <t>malla</t>
        </is>
      </c>
      <c r="I574" s="16" t="inlineStr">
        <is>
          <t>CORREGIBLE</t>
        </is>
      </c>
      <c r="J574" s="16" t="inlineStr">
        <is>
          <t>CORREGIBLE</t>
        </is>
      </c>
      <c r="K574" s="16" t="b">
        <v>1</v>
      </c>
      <c r="L574" s="16" t="b">
        <v>0</v>
      </c>
      <c r="M574" s="16" t="b">
        <v>1</v>
      </c>
      <c r="N574" s="16" t="b">
        <v>0</v>
      </c>
      <c r="O574" s="16" t="n">
        <v>497</v>
      </c>
      <c r="P574" s="16" t="n">
        <v>300.032917</v>
      </c>
      <c r="Q574" s="16" t="n">
        <v>3000</v>
      </c>
      <c r="R574" s="16" t="n">
        <v>400</v>
      </c>
      <c r="S574" s="16" t="n">
        <v>0.5</v>
      </c>
      <c r="T574" s="16" t="n">
        <v>0.85</v>
      </c>
      <c r="U574" s="16" t="n">
        <v>0.75</v>
      </c>
      <c r="V574" s="16" t="n">
        <v>0.85</v>
      </c>
      <c r="W574" s="16" t="n">
        <v>0.75</v>
      </c>
      <c r="X574" s="16" t="n">
        <v>0.95</v>
      </c>
      <c r="Y574" s="16" t="n"/>
      <c r="Z574" s="16" t="n">
        <v>13.30362027159367</v>
      </c>
      <c r="AA574" s="16" t="n">
        <v>253.7002277302801</v>
      </c>
      <c r="AB574" s="16" t="n">
        <v>2600</v>
      </c>
      <c r="AC574" s="16" t="n">
        <v>7.5</v>
      </c>
      <c r="AD574" s="16" t="inlineStr">
        <is>
          <t>O2</t>
        </is>
      </c>
      <c r="AE574" s="16" t="n"/>
    </row>
    <row r="575">
      <c r="A575" s="16" t="inlineStr">
        <is>
          <t>KF-M02R-n3-0015</t>
        </is>
      </c>
      <c r="B575" s="16" t="inlineStr">
        <is>
          <t>2.3</t>
        </is>
      </c>
      <c r="C575" s="16" t="inlineStr">
        <is>
          <t>2.3d</t>
        </is>
      </c>
      <c r="D575" s="16" t="inlineStr">
        <is>
          <t>T_fuente × ε_cond</t>
        </is>
      </c>
      <c r="E575" s="16" t="inlineStr">
        <is>
          <t>KF-M02R</t>
        </is>
      </c>
      <c r="F575" s="16" t="inlineStr">
        <is>
          <t>KF-M02R-n3</t>
        </is>
      </c>
      <c r="G575" s="16" t="inlineStr">
        <is>
          <t>B04-n3</t>
        </is>
      </c>
      <c r="H575" s="16" t="inlineStr">
        <is>
          <t>malla</t>
        </is>
      </c>
      <c r="I575" s="16" t="inlineStr">
        <is>
          <t>CORREGIBLE</t>
        </is>
      </c>
      <c r="J575" s="16" t="inlineStr">
        <is>
          <t>CORREGIBLE</t>
        </is>
      </c>
      <c r="K575" s="16" t="b">
        <v>1</v>
      </c>
      <c r="L575" s="16" t="b">
        <v>0</v>
      </c>
      <c r="M575" s="16" t="b">
        <v>1</v>
      </c>
      <c r="N575" s="16" t="b">
        <v>0</v>
      </c>
      <c r="O575" s="16" t="n">
        <v>529</v>
      </c>
      <c r="P575" s="16" t="n">
        <v>300.032917</v>
      </c>
      <c r="Q575" s="16" t="n">
        <v>3000</v>
      </c>
      <c r="R575" s="16" t="n">
        <v>400</v>
      </c>
      <c r="S575" s="16" t="n">
        <v>0.5</v>
      </c>
      <c r="T575" s="16" t="n">
        <v>0.85</v>
      </c>
      <c r="U575" s="16" t="n">
        <v>0.75</v>
      </c>
      <c r="V575" s="16" t="n">
        <v>0.85</v>
      </c>
      <c r="W575" s="16" t="n">
        <v>0.75</v>
      </c>
      <c r="X575" s="16" t="n">
        <v>0.85</v>
      </c>
      <c r="Y575" s="16" t="n"/>
      <c r="Z575" s="16" t="n">
        <v>13.46852302021738</v>
      </c>
      <c r="AA575" s="16" t="n">
        <v>246.61390309703</v>
      </c>
      <c r="AB575" s="16" t="n">
        <v>2600</v>
      </c>
      <c r="AC575" s="16" t="n">
        <v>7.5</v>
      </c>
      <c r="AD575" s="16" t="inlineStr">
        <is>
          <t>O1,O2</t>
        </is>
      </c>
      <c r="AE575" s="16" t="n"/>
    </row>
    <row r="576">
      <c r="A576" s="16" t="inlineStr">
        <is>
          <t>KF-M02R-n3-0016</t>
        </is>
      </c>
      <c r="B576" s="16" t="inlineStr">
        <is>
          <t>2.3</t>
        </is>
      </c>
      <c r="C576" s="16" t="inlineStr">
        <is>
          <t>2.3d</t>
        </is>
      </c>
      <c r="D576" s="16" t="inlineStr">
        <is>
          <t>T_fuente × ε_cond</t>
        </is>
      </c>
      <c r="E576" s="16" t="inlineStr">
        <is>
          <t>KF-M02R</t>
        </is>
      </c>
      <c r="F576" s="16" t="inlineStr">
        <is>
          <t>KF-M02R-n3</t>
        </is>
      </c>
      <c r="G576" s="16" t="inlineStr">
        <is>
          <t>B04-n3</t>
        </is>
      </c>
      <c r="H576" s="16" t="inlineStr">
        <is>
          <t>malla</t>
        </is>
      </c>
      <c r="I576" s="16" t="inlineStr">
        <is>
          <t>CORREGIBLE</t>
        </is>
      </c>
      <c r="J576" s="16" t="inlineStr">
        <is>
          <t>CORREGIBLE</t>
        </is>
      </c>
      <c r="K576" s="16" t="b">
        <v>1</v>
      </c>
      <c r="L576" s="16" t="b">
        <v>0</v>
      </c>
      <c r="M576" s="16" t="b">
        <v>1</v>
      </c>
      <c r="N576" s="16" t="b">
        <v>0</v>
      </c>
      <c r="O576" s="16" t="n">
        <v>529</v>
      </c>
      <c r="P576" s="16" t="n">
        <v>300.032917</v>
      </c>
      <c r="Q576" s="16" t="n">
        <v>3000</v>
      </c>
      <c r="R576" s="16" t="n">
        <v>400</v>
      </c>
      <c r="S576" s="16" t="n">
        <v>0.5</v>
      </c>
      <c r="T576" s="16" t="n">
        <v>0.85</v>
      </c>
      <c r="U576" s="16" t="n">
        <v>0.75</v>
      </c>
      <c r="V576" s="16" t="n">
        <v>0.85</v>
      </c>
      <c r="W576" s="16" t="n">
        <v>0.75</v>
      </c>
      <c r="X576" s="16" t="n">
        <v>0.95</v>
      </c>
      <c r="Y576" s="16" t="n"/>
      <c r="Z576" s="16" t="n">
        <v>13.3041489632741</v>
      </c>
      <c r="AA576" s="16" t="n">
        <v>265.3722925278876</v>
      </c>
      <c r="AB576" s="16" t="n">
        <v>2600</v>
      </c>
      <c r="AC576" s="16" t="n">
        <v>7.5</v>
      </c>
      <c r="AD576" s="16" t="inlineStr">
        <is>
          <t>O2</t>
        </is>
      </c>
      <c r="AE576" s="16" t="n"/>
    </row>
    <row r="577">
      <c r="A577" s="16" t="inlineStr">
        <is>
          <t>KF-M02R-n3-0017</t>
        </is>
      </c>
      <c r="B577" s="16" t="inlineStr">
        <is>
          <t>2.3</t>
        </is>
      </c>
      <c r="C577" s="16" t="inlineStr">
        <is>
          <t>2.3d</t>
        </is>
      </c>
      <c r="D577" s="16" t="inlineStr">
        <is>
          <t>T_fuente × ε_cond</t>
        </is>
      </c>
      <c r="E577" s="16" t="inlineStr">
        <is>
          <t>KF-M02R</t>
        </is>
      </c>
      <c r="F577" s="16" t="inlineStr">
        <is>
          <t>KF-M02R-n3</t>
        </is>
      </c>
      <c r="G577" s="16" t="inlineStr">
        <is>
          <t>B04-n3</t>
        </is>
      </c>
      <c r="H577" s="16" t="inlineStr">
        <is>
          <t>malla</t>
        </is>
      </c>
      <c r="I577" s="16" t="inlineStr">
        <is>
          <t>CORREGIBLE</t>
        </is>
      </c>
      <c r="J577" s="16" t="inlineStr">
        <is>
          <t>CORREGIBLE</t>
        </is>
      </c>
      <c r="K577" s="16" t="b">
        <v>1</v>
      </c>
      <c r="L577" s="16" t="b">
        <v>0</v>
      </c>
      <c r="M577" s="16" t="b">
        <v>1</v>
      </c>
      <c r="N577" s="16" t="b">
        <v>0</v>
      </c>
      <c r="O577" s="16" t="n">
        <v>529</v>
      </c>
      <c r="P577" s="16" t="n">
        <v>300.032917</v>
      </c>
      <c r="Q577" s="16" t="n">
        <v>3000</v>
      </c>
      <c r="R577" s="16" t="n">
        <v>400</v>
      </c>
      <c r="S577" s="16" t="n">
        <v>0.5</v>
      </c>
      <c r="T577" s="16" t="n">
        <v>0.85</v>
      </c>
      <c r="U577" s="16" t="n">
        <v>0.75</v>
      </c>
      <c r="V577" s="16" t="n">
        <v>0.85</v>
      </c>
      <c r="W577" s="16" t="n">
        <v>0.75</v>
      </c>
      <c r="X577" s="16" t="n">
        <v>0.9</v>
      </c>
      <c r="Y577" s="16" t="n"/>
      <c r="Z577" s="16" t="n">
        <v>13.52714485431687</v>
      </c>
      <c r="AA577" s="16" t="n">
        <v>259.2926139323614</v>
      </c>
      <c r="AB577" s="16" t="n">
        <v>2600</v>
      </c>
      <c r="AC577" s="16" t="n">
        <v>7.5</v>
      </c>
      <c r="AD577" s="16" t="inlineStr">
        <is>
          <t>O1,O2</t>
        </is>
      </c>
      <c r="AE577" s="16" t="n"/>
    </row>
    <row r="578">
      <c r="A578" s="16" t="inlineStr">
        <is>
          <t>KF-M02R-n3-0018</t>
        </is>
      </c>
      <c r="B578" s="16" t="inlineStr">
        <is>
          <t>2.3</t>
        </is>
      </c>
      <c r="C578" s="16" t="inlineStr">
        <is>
          <t>2.3d</t>
        </is>
      </c>
      <c r="D578" s="16" t="inlineStr">
        <is>
          <t>T_fuente × ε_cond</t>
        </is>
      </c>
      <c r="E578" s="16" t="inlineStr">
        <is>
          <t>KF-M02R</t>
        </is>
      </c>
      <c r="F578" s="16" t="inlineStr">
        <is>
          <t>KF-M02R-n3</t>
        </is>
      </c>
      <c r="G578" s="16" t="inlineStr">
        <is>
          <t>B04-n3</t>
        </is>
      </c>
      <c r="H578" s="16" t="inlineStr">
        <is>
          <t>malla</t>
        </is>
      </c>
      <c r="I578" s="16" t="inlineStr">
        <is>
          <t>CORREGIBLE</t>
        </is>
      </c>
      <c r="J578" s="16" t="inlineStr">
        <is>
          <t>CORREGIBLE</t>
        </is>
      </c>
      <c r="K578" s="16" t="b">
        <v>1</v>
      </c>
      <c r="L578" s="16" t="b">
        <v>0</v>
      </c>
      <c r="M578" s="16" t="b">
        <v>1</v>
      </c>
      <c r="N578" s="16" t="b">
        <v>0</v>
      </c>
      <c r="O578" s="16" t="n">
        <v>560</v>
      </c>
      <c r="P578" s="16" t="n">
        <v>300.032917</v>
      </c>
      <c r="Q578" s="16" t="n">
        <v>3000</v>
      </c>
      <c r="R578" s="16" t="n">
        <v>400</v>
      </c>
      <c r="S578" s="16" t="n">
        <v>0.5</v>
      </c>
      <c r="T578" s="16" t="n">
        <v>0.85</v>
      </c>
      <c r="U578" s="16" t="n">
        <v>0.75</v>
      </c>
      <c r="V578" s="16" t="n">
        <v>0.85</v>
      </c>
      <c r="W578" s="16" t="n">
        <v>0.75</v>
      </c>
      <c r="X578" s="16" t="n">
        <v>0.85</v>
      </c>
      <c r="Y578" s="16" t="n"/>
      <c r="Z578" s="16" t="n">
        <v>13.45907014942185</v>
      </c>
      <c r="AA578" s="16" t="n">
        <v>255.8867154782596</v>
      </c>
      <c r="AB578" s="16" t="n">
        <v>2600</v>
      </c>
      <c r="AC578" s="16" t="n">
        <v>7.5</v>
      </c>
      <c r="AD578" s="16" t="inlineStr">
        <is>
          <t>O1,O2</t>
        </is>
      </c>
      <c r="AE578" s="16" t="n"/>
    </row>
    <row r="579">
      <c r="A579" s="16" t="inlineStr">
        <is>
          <t>KF-M02R-n3-0019</t>
        </is>
      </c>
      <c r="B579" s="16" t="inlineStr">
        <is>
          <t>2.3</t>
        </is>
      </c>
      <c r="C579" s="16" t="inlineStr">
        <is>
          <t>2.3d</t>
        </is>
      </c>
      <c r="D579" s="16" t="inlineStr">
        <is>
          <t>T_fuente × ε_cond</t>
        </is>
      </c>
      <c r="E579" s="16" t="inlineStr">
        <is>
          <t>KF-M02R</t>
        </is>
      </c>
      <c r="F579" s="16" t="inlineStr">
        <is>
          <t>KF-M02R-n3</t>
        </is>
      </c>
      <c r="G579" s="16" t="inlineStr">
        <is>
          <t>B04-n3</t>
        </is>
      </c>
      <c r="H579" s="16" t="inlineStr">
        <is>
          <t>malla</t>
        </is>
      </c>
      <c r="I579" s="16" t="inlineStr">
        <is>
          <t>CORREGIBLE</t>
        </is>
      </c>
      <c r="J579" s="16" t="inlineStr">
        <is>
          <t>CORREGIBLE</t>
        </is>
      </c>
      <c r="K579" s="16" t="b">
        <v>1</v>
      </c>
      <c r="L579" s="16" t="b">
        <v>0</v>
      </c>
      <c r="M579" s="16" t="b">
        <v>1</v>
      </c>
      <c r="N579" s="16" t="b">
        <v>0</v>
      </c>
      <c r="O579" s="16" t="n">
        <v>560</v>
      </c>
      <c r="P579" s="16" t="n">
        <v>300.032917</v>
      </c>
      <c r="Q579" s="16" t="n">
        <v>3000</v>
      </c>
      <c r="R579" s="16" t="n">
        <v>400</v>
      </c>
      <c r="S579" s="16" t="n">
        <v>0.5</v>
      </c>
      <c r="T579" s="16" t="n">
        <v>0.85</v>
      </c>
      <c r="U579" s="16" t="n">
        <v>0.75</v>
      </c>
      <c r="V579" s="16" t="n">
        <v>0.85</v>
      </c>
      <c r="W579" s="16" t="n">
        <v>0.75</v>
      </c>
      <c r="X579" s="16" t="n">
        <v>0.95</v>
      </c>
      <c r="Y579" s="16" t="n"/>
      <c r="Z579" s="16" t="n">
        <v>13.3043092116722</v>
      </c>
      <c r="AA579" s="16" t="n">
        <v>276.2159540448791</v>
      </c>
      <c r="AB579" s="16" t="n">
        <v>2600</v>
      </c>
      <c r="AC579" s="16" t="n">
        <v>7.5</v>
      </c>
      <c r="AD579" s="16" t="inlineStr">
        <is>
          <t>O1,O2</t>
        </is>
      </c>
      <c r="AE579" s="16" t="n"/>
    </row>
    <row r="580">
      <c r="A580" s="16" t="inlineStr">
        <is>
          <t>KF-M02R-n3-0020</t>
        </is>
      </c>
      <c r="B580" s="16" t="inlineStr">
        <is>
          <t>2.3</t>
        </is>
      </c>
      <c r="C580" s="16" t="inlineStr">
        <is>
          <t>2.3d</t>
        </is>
      </c>
      <c r="D580" s="16" t="inlineStr">
        <is>
          <t>T_fuente × ε_cond</t>
        </is>
      </c>
      <c r="E580" s="16" t="inlineStr">
        <is>
          <t>KF-M02R</t>
        </is>
      </c>
      <c r="F580" s="16" t="inlineStr">
        <is>
          <t>KF-M02R-n3</t>
        </is>
      </c>
      <c r="G580" s="16" t="inlineStr">
        <is>
          <t>B04-n3</t>
        </is>
      </c>
      <c r="H580" s="16" t="inlineStr">
        <is>
          <t>malla</t>
        </is>
      </c>
      <c r="I580" s="16" t="inlineStr">
        <is>
          <t>CORREGIBLE</t>
        </is>
      </c>
      <c r="J580" s="16" t="inlineStr">
        <is>
          <t>CORREGIBLE</t>
        </is>
      </c>
      <c r="K580" s="16" t="b">
        <v>1</v>
      </c>
      <c r="L580" s="16" t="b">
        <v>0</v>
      </c>
      <c r="M580" s="16" t="b">
        <v>1</v>
      </c>
      <c r="N580" s="16" t="b">
        <v>0</v>
      </c>
      <c r="O580" s="16" t="n">
        <v>560</v>
      </c>
      <c r="P580" s="16" t="n">
        <v>300.032917</v>
      </c>
      <c r="Q580" s="16" t="n">
        <v>3000</v>
      </c>
      <c r="R580" s="16" t="n">
        <v>400</v>
      </c>
      <c r="S580" s="16" t="n">
        <v>0.5</v>
      </c>
      <c r="T580" s="16" t="n">
        <v>0.85</v>
      </c>
      <c r="U580" s="16" t="n">
        <v>0.75</v>
      </c>
      <c r="V580" s="16" t="n">
        <v>0.85</v>
      </c>
      <c r="W580" s="16" t="n">
        <v>0.75</v>
      </c>
      <c r="X580" s="16" t="n">
        <v>0.9</v>
      </c>
      <c r="Y580" s="16" t="n"/>
      <c r="Z580" s="16" t="n">
        <v>13.52680973304125</v>
      </c>
      <c r="AA580" s="16" t="n">
        <v>269.5785938288598</v>
      </c>
      <c r="AB580" s="16" t="n">
        <v>2600</v>
      </c>
      <c r="AC580" s="16" t="n">
        <v>7.5</v>
      </c>
      <c r="AD580" s="16" t="inlineStr">
        <is>
          <t>O1,O2</t>
        </is>
      </c>
      <c r="AE580" s="16" t="n"/>
    </row>
    <row r="581">
      <c r="A581" s="16" t="inlineStr">
        <is>
          <t>KF-M02S-B1-0000</t>
        </is>
      </c>
      <c r="B581" s="16" t="inlineStr">
        <is>
          <t>2.4</t>
        </is>
      </c>
      <c r="C581" s="16" t="inlineStr">
        <is>
          <t>2.4a</t>
        </is>
      </c>
      <c r="D581" s="16" t="inlineStr">
        <is>
          <t>fuente a 403 K</t>
        </is>
      </c>
      <c r="E581" s="16" t="inlineStr">
        <is>
          <t>KF-M02S</t>
        </is>
      </c>
      <c r="F581" s="16" t="inlineStr">
        <is>
          <t>KF-M02S-B1</t>
        </is>
      </c>
      <c r="G581" s="16" t="inlineStr">
        <is>
          <t>B05-B1</t>
        </is>
      </c>
      <c r="H581" s="16" t="inlineStr">
        <is>
          <t>malla</t>
        </is>
      </c>
      <c r="I581" s="16" t="inlineStr">
        <is>
          <t>CORREGIBLE</t>
        </is>
      </c>
      <c r="J581" s="16" t="inlineStr">
        <is>
          <t>CORREGIBLE</t>
        </is>
      </c>
      <c r="K581" s="16" t="b">
        <v>1</v>
      </c>
      <c r="L581" s="16" t="b">
        <v>0</v>
      </c>
      <c r="M581" s="16" t="b">
        <v>0</v>
      </c>
      <c r="N581" s="16" t="b">
        <v>0</v>
      </c>
      <c r="O581" s="16" t="n">
        <v>403</v>
      </c>
      <c r="P581" s="16" t="n">
        <v>278.15</v>
      </c>
      <c r="Q581" s="16" t="n">
        <v>3000</v>
      </c>
      <c r="R581" s="16" t="n">
        <v>150</v>
      </c>
      <c r="S581" s="16" t="n">
        <v>0.5</v>
      </c>
      <c r="T581" s="16" t="n">
        <v>0.85</v>
      </c>
      <c r="U581" s="16" t="n">
        <v>0.75</v>
      </c>
      <c r="V581" s="16" t="n">
        <v>0.85</v>
      </c>
      <c r="W581" s="16" t="n">
        <v>0.75</v>
      </c>
      <c r="X581" s="16" t="n">
        <v>0.8</v>
      </c>
      <c r="Y581" s="16" t="n">
        <v>278.15</v>
      </c>
      <c r="Z581" s="16" t="n">
        <v>12.32626504822476</v>
      </c>
      <c r="AA581" s="16" t="n">
        <v>41.19930066589606</v>
      </c>
      <c r="AB581" s="16" t="n">
        <v>2850</v>
      </c>
      <c r="AC581" s="16" t="n">
        <v>20</v>
      </c>
      <c r="AD581" s="16" t="inlineStr">
        <is>
          <t>O2</t>
        </is>
      </c>
      <c r="AE581" s="16" t="n"/>
    </row>
    <row r="582">
      <c r="A582" s="16" t="inlineStr">
        <is>
          <t>KF-M02S-B1-0001</t>
        </is>
      </c>
      <c r="B582" s="16" t="inlineStr">
        <is>
          <t>2.4</t>
        </is>
      </c>
      <c r="C582" s="16" t="inlineStr">
        <is>
          <t>2.4a</t>
        </is>
      </c>
      <c r="D582" s="16" t="inlineStr">
        <is>
          <t>fuente a 403 K</t>
        </is>
      </c>
      <c r="E582" s="16" t="inlineStr">
        <is>
          <t>KF-M02S</t>
        </is>
      </c>
      <c r="F582" s="16" t="inlineStr">
        <is>
          <t>KF-M02S-B1</t>
        </is>
      </c>
      <c r="G582" s="16" t="inlineStr">
        <is>
          <t>B05-B1</t>
        </is>
      </c>
      <c r="H582" s="16" t="inlineStr">
        <is>
          <t>malla</t>
        </is>
      </c>
      <c r="I582" s="16" t="inlineStr">
        <is>
          <t>KALINA</t>
        </is>
      </c>
      <c r="J582" s="16" t="inlineStr">
        <is>
          <t>KALINA</t>
        </is>
      </c>
      <c r="K582" s="16" t="b">
        <v>1</v>
      </c>
      <c r="L582" s="16" t="b">
        <v>1</v>
      </c>
      <c r="M582" s="16" t="b">
        <v>0</v>
      </c>
      <c r="N582" s="16" t="b">
        <v>0</v>
      </c>
      <c r="O582" s="16" t="n">
        <v>403</v>
      </c>
      <c r="P582" s="16" t="n">
        <v>278.15</v>
      </c>
      <c r="Q582" s="16" t="n">
        <v>3000</v>
      </c>
      <c r="R582" s="16" t="n">
        <v>300</v>
      </c>
      <c r="S582" s="16" t="n">
        <v>0.5</v>
      </c>
      <c r="T582" s="16" t="n">
        <v>0.85</v>
      </c>
      <c r="U582" s="16" t="n">
        <v>0.75</v>
      </c>
      <c r="V582" s="16" t="n">
        <v>0.85</v>
      </c>
      <c r="W582" s="16" t="n">
        <v>0.75</v>
      </c>
      <c r="X582" s="16" t="n">
        <v>0.8</v>
      </c>
      <c r="Y582" s="16" t="n">
        <v>278.15</v>
      </c>
      <c r="Z582" s="16" t="n">
        <v>10.27793412092901</v>
      </c>
      <c r="AA582" s="16" t="n">
        <v>34.45290997869488</v>
      </c>
      <c r="AB582" s="16" t="n">
        <v>2700</v>
      </c>
      <c r="AC582" s="16" t="n">
        <v>10</v>
      </c>
      <c r="AD582" s="16" t="n"/>
      <c r="AE582" s="16" t="n"/>
    </row>
    <row r="583">
      <c r="A583" s="16" t="inlineStr">
        <is>
          <t>KF-M02S-B1-0002</t>
        </is>
      </c>
      <c r="B583" s="16" t="inlineStr">
        <is>
          <t>2.4</t>
        </is>
      </c>
      <c r="C583" s="16" t="inlineStr">
        <is>
          <t>2.4a</t>
        </is>
      </c>
      <c r="D583" s="16" t="inlineStr">
        <is>
          <t>fuente a 403 K</t>
        </is>
      </c>
      <c r="E583" s="16" t="inlineStr">
        <is>
          <t>KF-M02S</t>
        </is>
      </c>
      <c r="F583" s="16" t="inlineStr">
        <is>
          <t>KF-M02S-B1</t>
        </is>
      </c>
      <c r="G583" s="16" t="inlineStr">
        <is>
          <t>B05-B1</t>
        </is>
      </c>
      <c r="H583" s="16" t="inlineStr">
        <is>
          <t>malla</t>
        </is>
      </c>
      <c r="I583" s="16" t="inlineStr">
        <is>
          <t>KALINA</t>
        </is>
      </c>
      <c r="J583" s="16" t="inlineStr">
        <is>
          <t>KALINA</t>
        </is>
      </c>
      <c r="K583" s="16" t="b">
        <v>1</v>
      </c>
      <c r="L583" s="16" t="b">
        <v>1</v>
      </c>
      <c r="M583" s="16" t="b">
        <v>0</v>
      </c>
      <c r="N583" s="16" t="b">
        <v>0</v>
      </c>
      <c r="O583" s="16" t="n">
        <v>403</v>
      </c>
      <c r="P583" s="16" t="n">
        <v>278.15</v>
      </c>
      <c r="Q583" s="16" t="n">
        <v>3000</v>
      </c>
      <c r="R583" s="16" t="n">
        <v>450</v>
      </c>
      <c r="S583" s="16" t="n">
        <v>0.5</v>
      </c>
      <c r="T583" s="16" t="n">
        <v>0.85</v>
      </c>
      <c r="U583" s="16" t="n">
        <v>0.75</v>
      </c>
      <c r="V583" s="16" t="n">
        <v>0.85</v>
      </c>
      <c r="W583" s="16" t="n">
        <v>0.75</v>
      </c>
      <c r="X583" s="16" t="n">
        <v>0.8</v>
      </c>
      <c r="Y583" s="16" t="n">
        <v>278.15</v>
      </c>
      <c r="Z583" s="16" t="n">
        <v>8.56524501552747</v>
      </c>
      <c r="AA583" s="16" t="n">
        <v>28.67921663714574</v>
      </c>
      <c r="AB583" s="16" t="n">
        <v>2550</v>
      </c>
      <c r="AC583" s="16" t="n">
        <v>6.666666666666667</v>
      </c>
      <c r="AD583" s="16" t="n"/>
      <c r="AE583" s="16" t="n"/>
    </row>
    <row r="584">
      <c r="A584" s="16" t="inlineStr">
        <is>
          <t>KF-M02S-B1-0003</t>
        </is>
      </c>
      <c r="B584" s="16" t="inlineStr">
        <is>
          <t>2.4</t>
        </is>
      </c>
      <c r="C584" s="16" t="inlineStr">
        <is>
          <t>2.4a</t>
        </is>
      </c>
      <c r="D584" s="16" t="inlineStr">
        <is>
          <t>fuente a 403 K</t>
        </is>
      </c>
      <c r="E584" s="16" t="inlineStr">
        <is>
          <t>KF-M02S</t>
        </is>
      </c>
      <c r="F584" s="16" t="inlineStr">
        <is>
          <t>KF-M02S-B1</t>
        </is>
      </c>
      <c r="G584" s="16" t="inlineStr">
        <is>
          <t>B05-B1</t>
        </is>
      </c>
      <c r="H584" s="16" t="inlineStr">
        <is>
          <t>malla</t>
        </is>
      </c>
      <c r="I584" s="16" t="inlineStr">
        <is>
          <t>KALINA</t>
        </is>
      </c>
      <c r="J584" s="16" t="inlineStr">
        <is>
          <t>KALINA</t>
        </is>
      </c>
      <c r="K584" s="16" t="b">
        <v>1</v>
      </c>
      <c r="L584" s="16" t="b">
        <v>1</v>
      </c>
      <c r="M584" s="16" t="b">
        <v>0</v>
      </c>
      <c r="N584" s="16" t="b">
        <v>0</v>
      </c>
      <c r="O584" s="16" t="n">
        <v>403</v>
      </c>
      <c r="P584" s="16" t="n">
        <v>278.15</v>
      </c>
      <c r="Q584" s="16" t="n">
        <v>3000</v>
      </c>
      <c r="R584" s="16" t="n">
        <v>750</v>
      </c>
      <c r="S584" s="16" t="n">
        <v>0.5</v>
      </c>
      <c r="T584" s="16" t="n">
        <v>0.85</v>
      </c>
      <c r="U584" s="16" t="n">
        <v>0.75</v>
      </c>
      <c r="V584" s="16" t="n">
        <v>0.85</v>
      </c>
      <c r="W584" s="16" t="n">
        <v>0.75</v>
      </c>
      <c r="X584" s="16" t="n">
        <v>0.8</v>
      </c>
      <c r="Y584" s="16" t="n">
        <v>278.15</v>
      </c>
      <c r="Z584" s="16" t="n">
        <v>6.304920487273261</v>
      </c>
      <c r="AA584" s="16" t="n">
        <v>21.08082575407569</v>
      </c>
      <c r="AB584" s="16" t="n">
        <v>2250</v>
      </c>
      <c r="AC584" s="16" t="n">
        <v>4</v>
      </c>
      <c r="AD584" s="16" t="n"/>
      <c r="AE584" s="16" t="n"/>
    </row>
    <row r="585">
      <c r="A585" s="16" t="inlineStr">
        <is>
          <t>KF-M02S-B1-0004</t>
        </is>
      </c>
      <c r="B585" s="16" t="inlineStr">
        <is>
          <t>2.4</t>
        </is>
      </c>
      <c r="C585" s="16" t="inlineStr">
        <is>
          <t>2.4a</t>
        </is>
      </c>
      <c r="D585" s="16" t="inlineStr">
        <is>
          <t>fuente a 403 K</t>
        </is>
      </c>
      <c r="E585" s="16" t="inlineStr">
        <is>
          <t>KF-M02S</t>
        </is>
      </c>
      <c r="F585" s="16" t="inlineStr">
        <is>
          <t>KF-M02S-B1</t>
        </is>
      </c>
      <c r="G585" s="16" t="inlineStr">
        <is>
          <t>B05-B1</t>
        </is>
      </c>
      <c r="H585" s="16" t="inlineStr">
        <is>
          <t>malla</t>
        </is>
      </c>
      <c r="I585" s="16" t="inlineStr">
        <is>
          <t>KALINA</t>
        </is>
      </c>
      <c r="J585" s="16" t="inlineStr">
        <is>
          <t>KALINA</t>
        </is>
      </c>
      <c r="K585" s="16" t="b">
        <v>1</v>
      </c>
      <c r="L585" s="16" t="b">
        <v>1</v>
      </c>
      <c r="M585" s="16" t="b">
        <v>0</v>
      </c>
      <c r="N585" s="16" t="b">
        <v>0</v>
      </c>
      <c r="O585" s="16" t="n">
        <v>403</v>
      </c>
      <c r="P585" s="16" t="n">
        <v>278.15</v>
      </c>
      <c r="Q585" s="16" t="n">
        <v>3000</v>
      </c>
      <c r="R585" s="16" t="n">
        <v>600</v>
      </c>
      <c r="S585" s="16" t="n">
        <v>0.5</v>
      </c>
      <c r="T585" s="16" t="n">
        <v>0.85</v>
      </c>
      <c r="U585" s="16" t="n">
        <v>0.75</v>
      </c>
      <c r="V585" s="16" t="n">
        <v>0.85</v>
      </c>
      <c r="W585" s="16" t="n">
        <v>0.75</v>
      </c>
      <c r="X585" s="16" t="n">
        <v>0.8</v>
      </c>
      <c r="Y585" s="16" t="n">
        <v>278.15</v>
      </c>
      <c r="Z585" s="16" t="n">
        <v>7.30467585906953</v>
      </c>
      <c r="AA585" s="16" t="n">
        <v>24.43868283198353</v>
      </c>
      <c r="AB585" s="16" t="n">
        <v>2400</v>
      </c>
      <c r="AC585" s="16" t="n">
        <v>5</v>
      </c>
      <c r="AD585" s="16" t="n"/>
      <c r="AE585" s="16" t="n"/>
    </row>
    <row r="586">
      <c r="A586" s="16" t="inlineStr">
        <is>
          <t>KF-M02S-B1-0005</t>
        </is>
      </c>
      <c r="B586" s="16" t="inlineStr">
        <is>
          <t>2.4</t>
        </is>
      </c>
      <c r="C586" s="16" t="inlineStr">
        <is>
          <t>2.4a</t>
        </is>
      </c>
      <c r="D586" s="16" t="inlineStr">
        <is>
          <t>fuente a 403 K</t>
        </is>
      </c>
      <c r="E586" s="16" t="inlineStr">
        <is>
          <t>KF-M02S</t>
        </is>
      </c>
      <c r="F586" s="16" t="inlineStr">
        <is>
          <t>KF-M02S-B1</t>
        </is>
      </c>
      <c r="G586" s="16" t="inlineStr">
        <is>
          <t>B05-B1</t>
        </is>
      </c>
      <c r="H586" s="16" t="inlineStr">
        <is>
          <t>malla</t>
        </is>
      </c>
      <c r="I586" s="16" t="inlineStr">
        <is>
          <t>KALINA</t>
        </is>
      </c>
      <c r="J586" s="16" t="inlineStr">
        <is>
          <t>KALINA</t>
        </is>
      </c>
      <c r="K586" s="16" t="b">
        <v>1</v>
      </c>
      <c r="L586" s="16" t="b">
        <v>1</v>
      </c>
      <c r="M586" s="16" t="b">
        <v>0</v>
      </c>
      <c r="N586" s="16" t="b">
        <v>0</v>
      </c>
      <c r="O586" s="16" t="n">
        <v>403</v>
      </c>
      <c r="P586" s="16" t="n">
        <v>278.15</v>
      </c>
      <c r="Q586" s="16" t="n">
        <v>3000</v>
      </c>
      <c r="R586" s="16" t="n">
        <v>900</v>
      </c>
      <c r="S586" s="16" t="n">
        <v>0.5</v>
      </c>
      <c r="T586" s="16" t="n">
        <v>0.85</v>
      </c>
      <c r="U586" s="16" t="n">
        <v>0.75</v>
      </c>
      <c r="V586" s="16" t="n">
        <v>0.85</v>
      </c>
      <c r="W586" s="16" t="n">
        <v>0.75</v>
      </c>
      <c r="X586" s="16" t="n">
        <v>0.8</v>
      </c>
      <c r="Y586" s="16" t="n">
        <v>278.15</v>
      </c>
      <c r="Z586" s="16" t="n">
        <v>5.4765447016791</v>
      </c>
      <c r="AA586" s="16" t="n">
        <v>18.30203197576216</v>
      </c>
      <c r="AB586" s="16" t="n">
        <v>2100</v>
      </c>
      <c r="AC586" s="16" t="n">
        <v>3.333333333333333</v>
      </c>
      <c r="AD586" s="16" t="n"/>
      <c r="AE586" s="16" t="n"/>
    </row>
    <row r="587">
      <c r="A587" s="16" t="inlineStr">
        <is>
          <t>KF-M02S-B1-0006</t>
        </is>
      </c>
      <c r="B587" s="16" t="inlineStr">
        <is>
          <t>2.4</t>
        </is>
      </c>
      <c r="C587" s="16" t="inlineStr">
        <is>
          <t>2.4a</t>
        </is>
      </c>
      <c r="D587" s="16" t="inlineStr">
        <is>
          <t>fuente a 403 K</t>
        </is>
      </c>
      <c r="E587" s="16" t="inlineStr">
        <is>
          <t>KF-M02S</t>
        </is>
      </c>
      <c r="F587" s="16" t="inlineStr">
        <is>
          <t>KF-M02S-B1</t>
        </is>
      </c>
      <c r="G587" s="16" t="inlineStr">
        <is>
          <t>B05-B1</t>
        </is>
      </c>
      <c r="H587" s="16" t="inlineStr">
        <is>
          <t>malla</t>
        </is>
      </c>
      <c r="I587" s="16" t="inlineStr">
        <is>
          <t>KALINA</t>
        </is>
      </c>
      <c r="J587" s="16" t="inlineStr">
        <is>
          <t>KALINA</t>
        </is>
      </c>
      <c r="K587" s="16" t="b">
        <v>1</v>
      </c>
      <c r="L587" s="16" t="b">
        <v>1</v>
      </c>
      <c r="M587" s="16" t="b">
        <v>0</v>
      </c>
      <c r="N587" s="16" t="b">
        <v>0</v>
      </c>
      <c r="O587" s="16" t="n">
        <v>403</v>
      </c>
      <c r="P587" s="16" t="n">
        <v>278.15</v>
      </c>
      <c r="Q587" s="16" t="n">
        <v>3000</v>
      </c>
      <c r="R587" s="16" t="n">
        <v>1050</v>
      </c>
      <c r="S587" s="16" t="n">
        <v>0.5</v>
      </c>
      <c r="T587" s="16" t="n">
        <v>0.85</v>
      </c>
      <c r="U587" s="16" t="n">
        <v>0.75</v>
      </c>
      <c r="V587" s="16" t="n">
        <v>0.85</v>
      </c>
      <c r="W587" s="16" t="n">
        <v>0.75</v>
      </c>
      <c r="X587" s="16" t="n">
        <v>0.8</v>
      </c>
      <c r="Y587" s="16" t="n">
        <v>278.15</v>
      </c>
      <c r="Z587" s="16" t="n">
        <v>4.77004223127892</v>
      </c>
      <c r="AA587" s="16" t="n">
        <v>15.93449147593715</v>
      </c>
      <c r="AB587" s="16" t="n">
        <v>1950</v>
      </c>
      <c r="AC587" s="16" t="n">
        <v>2.857142857142857</v>
      </c>
      <c r="AD587" s="16" t="n"/>
      <c r="AE587" s="16" t="n"/>
    </row>
    <row r="588">
      <c r="A588" s="16" t="inlineStr">
        <is>
          <t>KF-M02S-B1-0007</t>
        </is>
      </c>
      <c r="B588" s="16" t="inlineStr">
        <is>
          <t>2.4</t>
        </is>
      </c>
      <c r="C588" s="16" t="inlineStr">
        <is>
          <t>2.4a</t>
        </is>
      </c>
      <c r="D588" s="16" t="inlineStr">
        <is>
          <t>fuente a 403 K</t>
        </is>
      </c>
      <c r="E588" s="16" t="inlineStr">
        <is>
          <t>KF-M02S</t>
        </is>
      </c>
      <c r="F588" s="16" t="inlineStr">
        <is>
          <t>KF-M02S-B1</t>
        </is>
      </c>
      <c r="G588" s="16" t="inlineStr">
        <is>
          <t>B05-B1</t>
        </is>
      </c>
      <c r="H588" s="16" t="inlineStr">
        <is>
          <t>malla</t>
        </is>
      </c>
      <c r="I588" s="16" t="inlineStr">
        <is>
          <t>KALINA</t>
        </is>
      </c>
      <c r="J588" s="16" t="inlineStr">
        <is>
          <t>KALINA</t>
        </is>
      </c>
      <c r="K588" s="16" t="b">
        <v>1</v>
      </c>
      <c r="L588" s="16" t="b">
        <v>1</v>
      </c>
      <c r="M588" s="16" t="b">
        <v>0</v>
      </c>
      <c r="N588" s="16" t="b">
        <v>0</v>
      </c>
      <c r="O588" s="16" t="n">
        <v>403</v>
      </c>
      <c r="P588" s="16" t="n">
        <v>278.15</v>
      </c>
      <c r="Q588" s="16" t="n">
        <v>3000</v>
      </c>
      <c r="R588" s="16" t="n">
        <v>1200</v>
      </c>
      <c r="S588" s="16" t="n">
        <v>0.5</v>
      </c>
      <c r="T588" s="16" t="n">
        <v>0.85</v>
      </c>
      <c r="U588" s="16" t="n">
        <v>0.75</v>
      </c>
      <c r="V588" s="16" t="n">
        <v>0.85</v>
      </c>
      <c r="W588" s="16" t="n">
        <v>0.75</v>
      </c>
      <c r="X588" s="16" t="n">
        <v>0.8</v>
      </c>
      <c r="Y588" s="16" t="n">
        <v>278.15</v>
      </c>
      <c r="Z588" s="16" t="n">
        <v>4.15499863881567</v>
      </c>
      <c r="AA588" s="16" t="n">
        <v>13.87517721406423</v>
      </c>
      <c r="AB588" s="16" t="n">
        <v>1800</v>
      </c>
      <c r="AC588" s="16" t="n">
        <v>2.5</v>
      </c>
      <c r="AD588" s="16" t="n"/>
      <c r="AE588" s="16" t="n"/>
    </row>
    <row r="589">
      <c r="A589" s="16" t="inlineStr">
        <is>
          <t>KF-M02S-B1-0008</t>
        </is>
      </c>
      <c r="B589" s="16" t="inlineStr">
        <is>
          <t>2.4</t>
        </is>
      </c>
      <c r="C589" s="16" t="inlineStr">
        <is>
          <t>2.4a</t>
        </is>
      </c>
      <c r="D589" s="16" t="inlineStr">
        <is>
          <t>fuente a 403 K</t>
        </is>
      </c>
      <c r="E589" s="16" t="inlineStr">
        <is>
          <t>KF-M02S</t>
        </is>
      </c>
      <c r="F589" s="16" t="inlineStr">
        <is>
          <t>KF-M02S-B1</t>
        </is>
      </c>
      <c r="G589" s="16" t="inlineStr">
        <is>
          <t>B05-B1</t>
        </is>
      </c>
      <c r="H589" s="16" t="inlineStr">
        <is>
          <t>malla</t>
        </is>
      </c>
      <c r="I589" s="16" t="inlineStr">
        <is>
          <t>KALINA</t>
        </is>
      </c>
      <c r="J589" s="16" t="inlineStr">
        <is>
          <t>KALINA</t>
        </is>
      </c>
      <c r="K589" s="16" t="b">
        <v>1</v>
      </c>
      <c r="L589" s="16" t="b">
        <v>1</v>
      </c>
      <c r="M589" s="16" t="b">
        <v>0</v>
      </c>
      <c r="N589" s="16" t="b">
        <v>0</v>
      </c>
      <c r="O589" s="16" t="n">
        <v>403</v>
      </c>
      <c r="P589" s="16" t="n">
        <v>278.15</v>
      </c>
      <c r="Q589" s="16" t="n">
        <v>3000</v>
      </c>
      <c r="R589" s="16" t="n">
        <v>1350</v>
      </c>
      <c r="S589" s="16" t="n">
        <v>0.5</v>
      </c>
      <c r="T589" s="16" t="n">
        <v>0.85</v>
      </c>
      <c r="U589" s="16" t="n">
        <v>0.75</v>
      </c>
      <c r="V589" s="16" t="n">
        <v>0.85</v>
      </c>
      <c r="W589" s="16" t="n">
        <v>0.75</v>
      </c>
      <c r="X589" s="16" t="n">
        <v>0.8</v>
      </c>
      <c r="Y589" s="16" t="n">
        <v>278.15</v>
      </c>
      <c r="Z589" s="16" t="n">
        <v>3.61129846627593</v>
      </c>
      <c r="AA589" s="16" t="n">
        <v>12.05604958317661</v>
      </c>
      <c r="AB589" s="16" t="n">
        <v>1650</v>
      </c>
      <c r="AC589" s="16" t="n">
        <v>2.222222222222222</v>
      </c>
      <c r="AD589" s="16" t="n"/>
      <c r="AE589" s="16" t="n"/>
    </row>
    <row r="590">
      <c r="A590" s="16" t="inlineStr">
        <is>
          <t>KF-M02S-B1-0009</t>
        </is>
      </c>
      <c r="B590" s="16" t="inlineStr">
        <is>
          <t>2.4</t>
        </is>
      </c>
      <c r="C590" s="16" t="inlineStr">
        <is>
          <t>2.4a</t>
        </is>
      </c>
      <c r="D590" s="16" t="inlineStr">
        <is>
          <t>fuente a 403 K</t>
        </is>
      </c>
      <c r="E590" s="16" t="inlineStr">
        <is>
          <t>KF-M02S</t>
        </is>
      </c>
      <c r="F590" s="16" t="inlineStr">
        <is>
          <t>KF-M02S-B1</t>
        </is>
      </c>
      <c r="G590" s="16" t="inlineStr">
        <is>
          <t>B05-B1</t>
        </is>
      </c>
      <c r="H590" s="16" t="inlineStr">
        <is>
          <t>malla</t>
        </is>
      </c>
      <c r="I590" s="16" t="inlineStr">
        <is>
          <t>KALINA</t>
        </is>
      </c>
      <c r="J590" s="16" t="inlineStr">
        <is>
          <t>KALINA</t>
        </is>
      </c>
      <c r="K590" s="16" t="b">
        <v>1</v>
      </c>
      <c r="L590" s="16" t="b">
        <v>1</v>
      </c>
      <c r="M590" s="16" t="b">
        <v>0</v>
      </c>
      <c r="N590" s="16" t="b">
        <v>0</v>
      </c>
      <c r="O590" s="16" t="n">
        <v>403</v>
      </c>
      <c r="P590" s="16" t="n">
        <v>278.15</v>
      </c>
      <c r="Q590" s="16" t="n">
        <v>3000</v>
      </c>
      <c r="R590" s="16" t="n">
        <v>1500</v>
      </c>
      <c r="S590" s="16" t="n">
        <v>0.5</v>
      </c>
      <c r="T590" s="16" t="n">
        <v>0.85</v>
      </c>
      <c r="U590" s="16" t="n">
        <v>0.75</v>
      </c>
      <c r="V590" s="16" t="n">
        <v>0.85</v>
      </c>
      <c r="W590" s="16" t="n">
        <v>0.75</v>
      </c>
      <c r="X590" s="16" t="n">
        <v>0.8</v>
      </c>
      <c r="Y590" s="16" t="n">
        <v>278.15</v>
      </c>
      <c r="Z590" s="16" t="n">
        <v>3.12492058419203</v>
      </c>
      <c r="AA590" s="16" t="n">
        <v>10.42971737598545</v>
      </c>
      <c r="AB590" s="16" t="n">
        <v>1500</v>
      </c>
      <c r="AC590" s="16" t="n">
        <v>2</v>
      </c>
      <c r="AD590" s="16" t="n"/>
      <c r="AE590" s="16" t="n"/>
    </row>
    <row r="591">
      <c r="A591" s="16" t="inlineStr">
        <is>
          <t>KF-M02S-B1-0010</t>
        </is>
      </c>
      <c r="B591" s="16" t="inlineStr">
        <is>
          <t>2.4</t>
        </is>
      </c>
      <c r="C591" s="16" t="inlineStr">
        <is>
          <t>2.4a</t>
        </is>
      </c>
      <c r="D591" s="16" t="inlineStr">
        <is>
          <t>fuente a 403 K</t>
        </is>
      </c>
      <c r="E591" s="16" t="inlineStr">
        <is>
          <t>KF-M02S</t>
        </is>
      </c>
      <c r="F591" s="16" t="inlineStr">
        <is>
          <t>KF-M02S-B1</t>
        </is>
      </c>
      <c r="G591" s="16" t="inlineStr">
        <is>
          <t>B05-B1</t>
        </is>
      </c>
      <c r="H591" s="16" t="inlineStr">
        <is>
          <t>malla</t>
        </is>
      </c>
      <c r="I591" s="16" t="inlineStr">
        <is>
          <t>CORREGIBLE</t>
        </is>
      </c>
      <c r="J591" s="16" t="inlineStr">
        <is>
          <t>CORREGIBLE</t>
        </is>
      </c>
      <c r="K591" s="16" t="b">
        <v>1</v>
      </c>
      <c r="L591" s="16" t="b">
        <v>0</v>
      </c>
      <c r="M591" s="16" t="b">
        <v>0</v>
      </c>
      <c r="N591" s="16" t="b">
        <v>0</v>
      </c>
      <c r="O591" s="16" t="n">
        <v>403</v>
      </c>
      <c r="P591" s="16" t="n">
        <v>283.15</v>
      </c>
      <c r="Q591" s="16" t="n">
        <v>3000</v>
      </c>
      <c r="R591" s="16" t="n">
        <v>150</v>
      </c>
      <c r="S591" s="16" t="n">
        <v>0.5</v>
      </c>
      <c r="T591" s="16" t="n">
        <v>0.85</v>
      </c>
      <c r="U591" s="16" t="n">
        <v>0.75</v>
      </c>
      <c r="V591" s="16" t="n">
        <v>0.85</v>
      </c>
      <c r="W591" s="16" t="n">
        <v>0.75</v>
      </c>
      <c r="X591" s="16" t="n">
        <v>0.8</v>
      </c>
      <c r="Y591" s="16" t="n">
        <v>283.15</v>
      </c>
      <c r="Z591" s="16" t="n">
        <v>9.757353520377251</v>
      </c>
      <c r="AA591" s="16" t="n">
        <v>28.6168667258741</v>
      </c>
      <c r="AB591" s="16" t="n">
        <v>2850</v>
      </c>
      <c r="AC591" s="16" t="n">
        <v>20</v>
      </c>
      <c r="AD591" s="16" t="inlineStr">
        <is>
          <t>O2</t>
        </is>
      </c>
      <c r="AE591" s="16" t="n"/>
    </row>
    <row r="592">
      <c r="A592" s="16" t="inlineStr">
        <is>
          <t>KF-M02S-B1-0011</t>
        </is>
      </c>
      <c r="B592" s="16" t="inlineStr">
        <is>
          <t>2.4</t>
        </is>
      </c>
      <c r="C592" s="16" t="inlineStr">
        <is>
          <t>2.4a</t>
        </is>
      </c>
      <c r="D592" s="16" t="inlineStr">
        <is>
          <t>fuente a 403 K</t>
        </is>
      </c>
      <c r="E592" s="16" t="inlineStr">
        <is>
          <t>KF-M02S</t>
        </is>
      </c>
      <c r="F592" s="16" t="inlineStr">
        <is>
          <t>KF-M02S-B1</t>
        </is>
      </c>
      <c r="G592" s="16" t="inlineStr">
        <is>
          <t>B05-B1</t>
        </is>
      </c>
      <c r="H592" s="16" t="inlineStr">
        <is>
          <t>malla</t>
        </is>
      </c>
      <c r="I592" s="16" t="inlineStr">
        <is>
          <t>CORREGIBLE</t>
        </is>
      </c>
      <c r="J592" s="16" t="inlineStr">
        <is>
          <t>CORREGIBLE</t>
        </is>
      </c>
      <c r="K592" s="16" t="b">
        <v>1</v>
      </c>
      <c r="L592" s="16" t="b">
        <v>0</v>
      </c>
      <c r="M592" s="16" t="b">
        <v>0</v>
      </c>
      <c r="N592" s="16" t="b">
        <v>0</v>
      </c>
      <c r="O592" s="16" t="n">
        <v>403</v>
      </c>
      <c r="P592" s="16" t="n">
        <v>283.15</v>
      </c>
      <c r="Q592" s="16" t="n">
        <v>3000</v>
      </c>
      <c r="R592" s="16" t="n">
        <v>300</v>
      </c>
      <c r="S592" s="16" t="n">
        <v>0.5</v>
      </c>
      <c r="T592" s="16" t="n">
        <v>0.85</v>
      </c>
      <c r="U592" s="16" t="n">
        <v>0.75</v>
      </c>
      <c r="V592" s="16" t="n">
        <v>0.85</v>
      </c>
      <c r="W592" s="16" t="n">
        <v>0.75</v>
      </c>
      <c r="X592" s="16" t="n">
        <v>0.8</v>
      </c>
      <c r="Y592" s="16" t="n">
        <v>283.15</v>
      </c>
      <c r="Z592" s="16" t="n">
        <v>10.51248364340477</v>
      </c>
      <c r="AA592" s="16" t="n">
        <v>34.55353433689377</v>
      </c>
      <c r="AB592" s="16" t="n">
        <v>2700</v>
      </c>
      <c r="AC592" s="16" t="n">
        <v>10</v>
      </c>
      <c r="AD592" s="16" t="inlineStr">
        <is>
          <t>O2</t>
        </is>
      </c>
      <c r="AE592" s="16" t="n"/>
    </row>
    <row r="593">
      <c r="A593" s="16" t="inlineStr">
        <is>
          <t>KF-M02S-B1-0012</t>
        </is>
      </c>
      <c r="B593" s="16" t="inlineStr">
        <is>
          <t>2.4</t>
        </is>
      </c>
      <c r="C593" s="16" t="inlineStr">
        <is>
          <t>2.4a</t>
        </is>
      </c>
      <c r="D593" s="16" t="inlineStr">
        <is>
          <t>fuente a 403 K</t>
        </is>
      </c>
      <c r="E593" s="16" t="inlineStr">
        <is>
          <t>KF-M02S</t>
        </is>
      </c>
      <c r="F593" s="16" t="inlineStr">
        <is>
          <t>KF-M02S-B1</t>
        </is>
      </c>
      <c r="G593" s="16" t="inlineStr">
        <is>
          <t>B05-B1</t>
        </is>
      </c>
      <c r="H593" s="16" t="inlineStr">
        <is>
          <t>malla</t>
        </is>
      </c>
      <c r="I593" s="16" t="inlineStr">
        <is>
          <t>KALINA</t>
        </is>
      </c>
      <c r="J593" s="16" t="inlineStr">
        <is>
          <t>KALINA</t>
        </is>
      </c>
      <c r="K593" s="16" t="b">
        <v>1</v>
      </c>
      <c r="L593" s="16" t="b">
        <v>1</v>
      </c>
      <c r="M593" s="16" t="b">
        <v>0</v>
      </c>
      <c r="N593" s="16" t="b">
        <v>0</v>
      </c>
      <c r="O593" s="16" t="n">
        <v>403</v>
      </c>
      <c r="P593" s="16" t="n">
        <v>283.15</v>
      </c>
      <c r="Q593" s="16" t="n">
        <v>3000</v>
      </c>
      <c r="R593" s="16" t="n">
        <v>450</v>
      </c>
      <c r="S593" s="16" t="n">
        <v>0.5</v>
      </c>
      <c r="T593" s="16" t="n">
        <v>0.85</v>
      </c>
      <c r="U593" s="16" t="n">
        <v>0.75</v>
      </c>
      <c r="V593" s="16" t="n">
        <v>0.85</v>
      </c>
      <c r="W593" s="16" t="n">
        <v>0.75</v>
      </c>
      <c r="X593" s="16" t="n">
        <v>0.8</v>
      </c>
      <c r="Y593" s="16" t="n">
        <v>283.15</v>
      </c>
      <c r="Z593" s="16" t="n">
        <v>8.779542659631801</v>
      </c>
      <c r="AA593" s="16" t="n">
        <v>28.82643193664205</v>
      </c>
      <c r="AB593" s="16" t="n">
        <v>2550</v>
      </c>
      <c r="AC593" s="16" t="n">
        <v>6.666666666666667</v>
      </c>
      <c r="AD593" s="16" t="n"/>
      <c r="AE593" s="16" t="n"/>
    </row>
    <row r="594">
      <c r="A594" s="16" t="inlineStr">
        <is>
          <t>KF-M02S-B1-0013</t>
        </is>
      </c>
      <c r="B594" s="16" t="inlineStr">
        <is>
          <t>2.4</t>
        </is>
      </c>
      <c r="C594" s="16" t="inlineStr">
        <is>
          <t>2.4a</t>
        </is>
      </c>
      <c r="D594" s="16" t="inlineStr">
        <is>
          <t>fuente a 403 K</t>
        </is>
      </c>
      <c r="E594" s="16" t="inlineStr">
        <is>
          <t>KF-M02S</t>
        </is>
      </c>
      <c r="F594" s="16" t="inlineStr">
        <is>
          <t>KF-M02S-B1</t>
        </is>
      </c>
      <c r="G594" s="16" t="inlineStr">
        <is>
          <t>B05-B1</t>
        </is>
      </c>
      <c r="H594" s="16" t="inlineStr">
        <is>
          <t>malla</t>
        </is>
      </c>
      <c r="I594" s="16" t="inlineStr">
        <is>
          <t>KALINA</t>
        </is>
      </c>
      <c r="J594" s="16" t="inlineStr">
        <is>
          <t>KALINA</t>
        </is>
      </c>
      <c r="K594" s="16" t="b">
        <v>1</v>
      </c>
      <c r="L594" s="16" t="b">
        <v>1</v>
      </c>
      <c r="M594" s="16" t="b">
        <v>0</v>
      </c>
      <c r="N594" s="16" t="b">
        <v>0</v>
      </c>
      <c r="O594" s="16" t="n">
        <v>403</v>
      </c>
      <c r="P594" s="16" t="n">
        <v>283.15</v>
      </c>
      <c r="Q594" s="16" t="n">
        <v>3000</v>
      </c>
      <c r="R594" s="16" t="n">
        <v>750</v>
      </c>
      <c r="S594" s="16" t="n">
        <v>0.5</v>
      </c>
      <c r="T594" s="16" t="n">
        <v>0.85</v>
      </c>
      <c r="U594" s="16" t="n">
        <v>0.75</v>
      </c>
      <c r="V594" s="16" t="n">
        <v>0.85</v>
      </c>
      <c r="W594" s="16" t="n">
        <v>0.75</v>
      </c>
      <c r="X594" s="16" t="n">
        <v>0.8</v>
      </c>
      <c r="Y594" s="16" t="n">
        <v>283.15</v>
      </c>
      <c r="Z594" s="16" t="n">
        <v>6.46271623892625</v>
      </c>
      <c r="AA594" s="16" t="n">
        <v>21.18847731023126</v>
      </c>
      <c r="AB594" s="16" t="n">
        <v>2250</v>
      </c>
      <c r="AC594" s="16" t="n">
        <v>4</v>
      </c>
      <c r="AD594" s="16" t="n"/>
      <c r="AE594" s="16" t="n"/>
    </row>
    <row r="595">
      <c r="A595" s="16" t="inlineStr">
        <is>
          <t>KF-M02S-B1-0014</t>
        </is>
      </c>
      <c r="B595" s="16" t="inlineStr">
        <is>
          <t>2.4</t>
        </is>
      </c>
      <c r="C595" s="16" t="inlineStr">
        <is>
          <t>2.4a</t>
        </is>
      </c>
      <c r="D595" s="16" t="inlineStr">
        <is>
          <t>fuente a 403 K</t>
        </is>
      </c>
      <c r="E595" s="16" t="inlineStr">
        <is>
          <t>KF-M02S</t>
        </is>
      </c>
      <c r="F595" s="16" t="inlineStr">
        <is>
          <t>KF-M02S-B1</t>
        </is>
      </c>
      <c r="G595" s="16" t="inlineStr">
        <is>
          <t>B05-B1</t>
        </is>
      </c>
      <c r="H595" s="16" t="inlineStr">
        <is>
          <t>malla</t>
        </is>
      </c>
      <c r="I595" s="16" t="inlineStr">
        <is>
          <t>KALINA</t>
        </is>
      </c>
      <c r="J595" s="16" t="inlineStr">
        <is>
          <t>KALINA</t>
        </is>
      </c>
      <c r="K595" s="16" t="b">
        <v>1</v>
      </c>
      <c r="L595" s="16" t="b">
        <v>1</v>
      </c>
      <c r="M595" s="16" t="b">
        <v>0</v>
      </c>
      <c r="N595" s="16" t="b">
        <v>0</v>
      </c>
      <c r="O595" s="16" t="n">
        <v>403</v>
      </c>
      <c r="P595" s="16" t="n">
        <v>283.15</v>
      </c>
      <c r="Q595" s="16" t="n">
        <v>3000</v>
      </c>
      <c r="R595" s="16" t="n">
        <v>600</v>
      </c>
      <c r="S595" s="16" t="n">
        <v>0.5</v>
      </c>
      <c r="T595" s="16" t="n">
        <v>0.85</v>
      </c>
      <c r="U595" s="16" t="n">
        <v>0.75</v>
      </c>
      <c r="V595" s="16" t="n">
        <v>0.85</v>
      </c>
      <c r="W595" s="16" t="n">
        <v>0.75</v>
      </c>
      <c r="X595" s="16" t="n">
        <v>0.8</v>
      </c>
      <c r="Y595" s="16" t="n">
        <v>283.15</v>
      </c>
      <c r="Z595" s="16" t="n">
        <v>7.48746651887819</v>
      </c>
      <c r="AA595" s="16" t="n">
        <v>24.56375597821157</v>
      </c>
      <c r="AB595" s="16" t="n">
        <v>2400</v>
      </c>
      <c r="AC595" s="16" t="n">
        <v>5</v>
      </c>
      <c r="AD595" s="16" t="n"/>
      <c r="AE595" s="16" t="n"/>
    </row>
    <row r="596">
      <c r="A596" s="16" t="inlineStr">
        <is>
          <t>KF-M02S-B1-0015</t>
        </is>
      </c>
      <c r="B596" s="16" t="inlineStr">
        <is>
          <t>2.4</t>
        </is>
      </c>
      <c r="C596" s="16" t="inlineStr">
        <is>
          <t>2.4a</t>
        </is>
      </c>
      <c r="D596" s="16" t="inlineStr">
        <is>
          <t>fuente a 403 K</t>
        </is>
      </c>
      <c r="E596" s="16" t="inlineStr">
        <is>
          <t>KF-M02S</t>
        </is>
      </c>
      <c r="F596" s="16" t="inlineStr">
        <is>
          <t>KF-M02S-B1</t>
        </is>
      </c>
      <c r="G596" s="16" t="inlineStr">
        <is>
          <t>B05-B1</t>
        </is>
      </c>
      <c r="H596" s="16" t="inlineStr">
        <is>
          <t>malla</t>
        </is>
      </c>
      <c r="I596" s="16" t="inlineStr">
        <is>
          <t>KALINA</t>
        </is>
      </c>
      <c r="J596" s="16" t="inlineStr">
        <is>
          <t>KALINA</t>
        </is>
      </c>
      <c r="K596" s="16" t="b">
        <v>1</v>
      </c>
      <c r="L596" s="16" t="b">
        <v>1</v>
      </c>
      <c r="M596" s="16" t="b">
        <v>0</v>
      </c>
      <c r="N596" s="16" t="b">
        <v>0</v>
      </c>
      <c r="O596" s="16" t="n">
        <v>403</v>
      </c>
      <c r="P596" s="16" t="n">
        <v>283.15</v>
      </c>
      <c r="Q596" s="16" t="n">
        <v>3000</v>
      </c>
      <c r="R596" s="16" t="n">
        <v>900</v>
      </c>
      <c r="S596" s="16" t="n">
        <v>0.5</v>
      </c>
      <c r="T596" s="16" t="n">
        <v>0.85</v>
      </c>
      <c r="U596" s="16" t="n">
        <v>0.75</v>
      </c>
      <c r="V596" s="16" t="n">
        <v>0.85</v>
      </c>
      <c r="W596" s="16" t="n">
        <v>0.75</v>
      </c>
      <c r="X596" s="16" t="n">
        <v>0.8</v>
      </c>
      <c r="Y596" s="16" t="n">
        <v>283.15</v>
      </c>
      <c r="Z596" s="16" t="n">
        <v>5.61361998494764</v>
      </c>
      <c r="AA596" s="16" t="n">
        <v>18.3953302271266</v>
      </c>
      <c r="AB596" s="16" t="n">
        <v>2100</v>
      </c>
      <c r="AC596" s="16" t="n">
        <v>3.333333333333333</v>
      </c>
      <c r="AD596" s="16" t="n"/>
      <c r="AE596" s="16" t="n"/>
    </row>
    <row r="597">
      <c r="A597" s="16" t="inlineStr">
        <is>
          <t>KF-M02S-B1-0016</t>
        </is>
      </c>
      <c r="B597" s="16" t="inlineStr">
        <is>
          <t>2.4</t>
        </is>
      </c>
      <c r="C597" s="16" t="inlineStr">
        <is>
          <t>2.4a</t>
        </is>
      </c>
      <c r="D597" s="16" t="inlineStr">
        <is>
          <t>fuente a 403 K</t>
        </is>
      </c>
      <c r="E597" s="16" t="inlineStr">
        <is>
          <t>KF-M02S</t>
        </is>
      </c>
      <c r="F597" s="16" t="inlineStr">
        <is>
          <t>KF-M02S-B1</t>
        </is>
      </c>
      <c r="G597" s="16" t="inlineStr">
        <is>
          <t>B05-B1</t>
        </is>
      </c>
      <c r="H597" s="16" t="inlineStr">
        <is>
          <t>malla</t>
        </is>
      </c>
      <c r="I597" s="16" t="inlineStr">
        <is>
          <t>KALINA</t>
        </is>
      </c>
      <c r="J597" s="16" t="inlineStr">
        <is>
          <t>KALINA</t>
        </is>
      </c>
      <c r="K597" s="16" t="b">
        <v>1</v>
      </c>
      <c r="L597" s="16" t="b">
        <v>1</v>
      </c>
      <c r="M597" s="16" t="b">
        <v>0</v>
      </c>
      <c r="N597" s="16" t="b">
        <v>0</v>
      </c>
      <c r="O597" s="16" t="n">
        <v>403</v>
      </c>
      <c r="P597" s="16" t="n">
        <v>283.15</v>
      </c>
      <c r="Q597" s="16" t="n">
        <v>3000</v>
      </c>
      <c r="R597" s="16" t="n">
        <v>1050</v>
      </c>
      <c r="S597" s="16" t="n">
        <v>0.5</v>
      </c>
      <c r="T597" s="16" t="n">
        <v>0.85</v>
      </c>
      <c r="U597" s="16" t="n">
        <v>0.75</v>
      </c>
      <c r="V597" s="16" t="n">
        <v>0.85</v>
      </c>
      <c r="W597" s="16" t="n">
        <v>0.75</v>
      </c>
      <c r="X597" s="16" t="n">
        <v>0.8</v>
      </c>
      <c r="Y597" s="16" t="n">
        <v>283.15</v>
      </c>
      <c r="Z597" s="16" t="n">
        <v>4.88944749913399</v>
      </c>
      <c r="AA597" s="16" t="n">
        <v>16.01560960660471</v>
      </c>
      <c r="AB597" s="16" t="n">
        <v>1950</v>
      </c>
      <c r="AC597" s="16" t="n">
        <v>2.857142857142857</v>
      </c>
      <c r="AD597" s="16" t="n"/>
      <c r="AE597" s="16" t="n"/>
    </row>
    <row r="598">
      <c r="A598" s="16" t="inlineStr">
        <is>
          <t>KF-M02S-B1-0017</t>
        </is>
      </c>
      <c r="B598" s="16" t="inlineStr">
        <is>
          <t>2.4</t>
        </is>
      </c>
      <c r="C598" s="16" t="inlineStr">
        <is>
          <t>2.4a</t>
        </is>
      </c>
      <c r="D598" s="16" t="inlineStr">
        <is>
          <t>fuente a 403 K</t>
        </is>
      </c>
      <c r="E598" s="16" t="inlineStr">
        <is>
          <t>KF-M02S</t>
        </is>
      </c>
      <c r="F598" s="16" t="inlineStr">
        <is>
          <t>KF-M02S-B1</t>
        </is>
      </c>
      <c r="G598" s="16" t="inlineStr">
        <is>
          <t>B05-B1</t>
        </is>
      </c>
      <c r="H598" s="16" t="inlineStr">
        <is>
          <t>malla</t>
        </is>
      </c>
      <c r="I598" s="16" t="inlineStr">
        <is>
          <t>KALINA</t>
        </is>
      </c>
      <c r="J598" s="16" t="inlineStr">
        <is>
          <t>KALINA</t>
        </is>
      </c>
      <c r="K598" s="16" t="b">
        <v>1</v>
      </c>
      <c r="L598" s="16" t="b">
        <v>1</v>
      </c>
      <c r="M598" s="16" t="b">
        <v>0</v>
      </c>
      <c r="N598" s="16" t="b">
        <v>0</v>
      </c>
      <c r="O598" s="16" t="n">
        <v>403</v>
      </c>
      <c r="P598" s="16" t="n">
        <v>283.15</v>
      </c>
      <c r="Q598" s="16" t="n">
        <v>3000</v>
      </c>
      <c r="R598" s="16" t="n">
        <v>1200</v>
      </c>
      <c r="S598" s="16" t="n">
        <v>0.5</v>
      </c>
      <c r="T598" s="16" t="n">
        <v>0.85</v>
      </c>
      <c r="U598" s="16" t="n">
        <v>0.75</v>
      </c>
      <c r="V598" s="16" t="n">
        <v>0.85</v>
      </c>
      <c r="W598" s="16" t="n">
        <v>0.75</v>
      </c>
      <c r="X598" s="16" t="n">
        <v>0.8</v>
      </c>
      <c r="Y598" s="16" t="n">
        <v>283.15</v>
      </c>
      <c r="Z598" s="16" t="n">
        <v>4.25901336067443</v>
      </c>
      <c r="AA598" s="16" t="n">
        <v>13.94572780440843</v>
      </c>
      <c r="AB598" s="16" t="n">
        <v>1800</v>
      </c>
      <c r="AC598" s="16" t="n">
        <v>2.5</v>
      </c>
      <c r="AD598" s="16" t="n"/>
      <c r="AE598" s="16" t="n"/>
    </row>
    <row r="599">
      <c r="A599" s="16" t="inlineStr">
        <is>
          <t>KF-M02S-B1-0018</t>
        </is>
      </c>
      <c r="B599" s="16" t="inlineStr">
        <is>
          <t>2.4</t>
        </is>
      </c>
      <c r="C599" s="16" t="inlineStr">
        <is>
          <t>2.4a</t>
        </is>
      </c>
      <c r="D599" s="16" t="inlineStr">
        <is>
          <t>fuente a 403 K</t>
        </is>
      </c>
      <c r="E599" s="16" t="inlineStr">
        <is>
          <t>KF-M02S</t>
        </is>
      </c>
      <c r="F599" s="16" t="inlineStr">
        <is>
          <t>KF-M02S-B1</t>
        </is>
      </c>
      <c r="G599" s="16" t="inlineStr">
        <is>
          <t>B05-B1</t>
        </is>
      </c>
      <c r="H599" s="16" t="inlineStr">
        <is>
          <t>malla</t>
        </is>
      </c>
      <c r="I599" s="16" t="inlineStr">
        <is>
          <t>KALINA</t>
        </is>
      </c>
      <c r="J599" s="16" t="inlineStr">
        <is>
          <t>KALINA</t>
        </is>
      </c>
      <c r="K599" s="16" t="b">
        <v>1</v>
      </c>
      <c r="L599" s="16" t="b">
        <v>1</v>
      </c>
      <c r="M599" s="16" t="b">
        <v>0</v>
      </c>
      <c r="N599" s="16" t="b">
        <v>0</v>
      </c>
      <c r="O599" s="16" t="n">
        <v>403</v>
      </c>
      <c r="P599" s="16" t="n">
        <v>283.15</v>
      </c>
      <c r="Q599" s="16" t="n">
        <v>3000</v>
      </c>
      <c r="R599" s="16" t="n">
        <v>1350</v>
      </c>
      <c r="S599" s="16" t="n">
        <v>0.5</v>
      </c>
      <c r="T599" s="16" t="n">
        <v>0.85</v>
      </c>
      <c r="U599" s="16" t="n">
        <v>0.75</v>
      </c>
      <c r="V599" s="16" t="n">
        <v>0.85</v>
      </c>
      <c r="W599" s="16" t="n">
        <v>0.75</v>
      </c>
      <c r="X599" s="16" t="n">
        <v>0.8</v>
      </c>
      <c r="Y599" s="16" t="n">
        <v>283.15</v>
      </c>
      <c r="Z599" s="16" t="n">
        <v>3.70170500338981</v>
      </c>
      <c r="AA599" s="16" t="n">
        <v>12.117287015291</v>
      </c>
      <c r="AB599" s="16" t="n">
        <v>1650</v>
      </c>
      <c r="AC599" s="16" t="n">
        <v>2.222222222222222</v>
      </c>
      <c r="AD599" s="16" t="n"/>
      <c r="AE599" s="16" t="n"/>
    </row>
    <row r="600">
      <c r="A600" s="16" t="inlineStr">
        <is>
          <t>KF-M02S-B1-0019</t>
        </is>
      </c>
      <c r="B600" s="16" t="inlineStr">
        <is>
          <t>2.4</t>
        </is>
      </c>
      <c r="C600" s="16" t="inlineStr">
        <is>
          <t>2.4a</t>
        </is>
      </c>
      <c r="D600" s="16" t="inlineStr">
        <is>
          <t>fuente a 403 K</t>
        </is>
      </c>
      <c r="E600" s="16" t="inlineStr">
        <is>
          <t>KF-M02S</t>
        </is>
      </c>
      <c r="F600" s="16" t="inlineStr">
        <is>
          <t>KF-M02S-B1</t>
        </is>
      </c>
      <c r="G600" s="16" t="inlineStr">
        <is>
          <t>B05-B1</t>
        </is>
      </c>
      <c r="H600" s="16" t="inlineStr">
        <is>
          <t>malla</t>
        </is>
      </c>
      <c r="I600" s="16" t="inlineStr">
        <is>
          <t>KALINA</t>
        </is>
      </c>
      <c r="J600" s="16" t="inlineStr">
        <is>
          <t>KALINA</t>
        </is>
      </c>
      <c r="K600" s="16" t="b">
        <v>1</v>
      </c>
      <c r="L600" s="16" t="b">
        <v>1</v>
      </c>
      <c r="M600" s="16" t="b">
        <v>0</v>
      </c>
      <c r="N600" s="16" t="b">
        <v>0</v>
      </c>
      <c r="O600" s="16" t="n">
        <v>403</v>
      </c>
      <c r="P600" s="16" t="n">
        <v>283.15</v>
      </c>
      <c r="Q600" s="16" t="n">
        <v>3000</v>
      </c>
      <c r="R600" s="16" t="n">
        <v>1500</v>
      </c>
      <c r="S600" s="16" t="n">
        <v>0.5</v>
      </c>
      <c r="T600" s="16" t="n">
        <v>0.85</v>
      </c>
      <c r="U600" s="16" t="n">
        <v>0.75</v>
      </c>
      <c r="V600" s="16" t="n">
        <v>0.85</v>
      </c>
      <c r="W600" s="16" t="n">
        <v>0.75</v>
      </c>
      <c r="X600" s="16" t="n">
        <v>0.8</v>
      </c>
      <c r="Y600" s="16" t="n">
        <v>283.15</v>
      </c>
      <c r="Z600" s="16" t="n">
        <v>3.20315161609658</v>
      </c>
      <c r="AA600" s="16" t="n">
        <v>10.48264529935328</v>
      </c>
      <c r="AB600" s="16" t="n">
        <v>1500</v>
      </c>
      <c r="AC600" s="16" t="n">
        <v>2</v>
      </c>
      <c r="AD600" s="16" t="n"/>
      <c r="AE600" s="16" t="n"/>
    </row>
    <row r="601">
      <c r="A601" s="16" t="inlineStr">
        <is>
          <t>KF-M02S-B1-0020</t>
        </is>
      </c>
      <c r="B601" s="16" t="inlineStr">
        <is>
          <t>2.4</t>
        </is>
      </c>
      <c r="C601" s="16" t="inlineStr">
        <is>
          <t>2.4a</t>
        </is>
      </c>
      <c r="D601" s="16" t="inlineStr">
        <is>
          <t>fuente a 403 K</t>
        </is>
      </c>
      <c r="E601" s="16" t="inlineStr">
        <is>
          <t>KF-M02S</t>
        </is>
      </c>
      <c r="F601" s="16" t="inlineStr">
        <is>
          <t>KF-M02S-B1</t>
        </is>
      </c>
      <c r="G601" s="16" t="inlineStr">
        <is>
          <t>B05-B1</t>
        </is>
      </c>
      <c r="H601" s="16" t="inlineStr">
        <is>
          <t>malla</t>
        </is>
      </c>
      <c r="I601" s="16" t="inlineStr">
        <is>
          <t>CORREGIBLE</t>
        </is>
      </c>
      <c r="J601" s="16" t="inlineStr">
        <is>
          <t>CORREGIBLE</t>
        </is>
      </c>
      <c r="K601" s="16" t="b">
        <v>1</v>
      </c>
      <c r="L601" s="16" t="b">
        <v>0</v>
      </c>
      <c r="M601" s="16" t="b">
        <v>0</v>
      </c>
      <c r="N601" s="16" t="b">
        <v>0</v>
      </c>
      <c r="O601" s="16" t="n">
        <v>403</v>
      </c>
      <c r="P601" s="16" t="n">
        <v>288.15</v>
      </c>
      <c r="Q601" s="16" t="n">
        <v>3000</v>
      </c>
      <c r="R601" s="16" t="n">
        <v>300</v>
      </c>
      <c r="S601" s="16" t="n">
        <v>0.5</v>
      </c>
      <c r="T601" s="16" t="n">
        <v>0.85</v>
      </c>
      <c r="U601" s="16" t="n">
        <v>0.75</v>
      </c>
      <c r="V601" s="16" t="n">
        <v>0.85</v>
      </c>
      <c r="W601" s="16" t="n">
        <v>0.75</v>
      </c>
      <c r="X601" s="16" t="n">
        <v>0.8</v>
      </c>
      <c r="Y601" s="16" t="n">
        <v>288.15</v>
      </c>
      <c r="Z601" s="16" t="n">
        <v>10.65848112233135</v>
      </c>
      <c r="AA601" s="16" t="n">
        <v>34.32047951050086</v>
      </c>
      <c r="AB601" s="16" t="n">
        <v>2700</v>
      </c>
      <c r="AC601" s="16" t="n">
        <v>10</v>
      </c>
      <c r="AD601" s="16" t="inlineStr">
        <is>
          <t>O2</t>
        </is>
      </c>
      <c r="AE601" s="16" t="n"/>
    </row>
    <row r="602">
      <c r="A602" s="16" t="inlineStr">
        <is>
          <t>KF-M02S-B1-0021</t>
        </is>
      </c>
      <c r="B602" s="16" t="inlineStr">
        <is>
          <t>2.4</t>
        </is>
      </c>
      <c r="C602" s="16" t="inlineStr">
        <is>
          <t>2.4a</t>
        </is>
      </c>
      <c r="D602" s="16" t="inlineStr">
        <is>
          <t>fuente a 403 K</t>
        </is>
      </c>
      <c r="E602" s="16" t="inlineStr">
        <is>
          <t>KF-M02S</t>
        </is>
      </c>
      <c r="F602" s="16" t="inlineStr">
        <is>
          <t>KF-M02S-B1</t>
        </is>
      </c>
      <c r="G602" s="16" t="inlineStr">
        <is>
          <t>B05-B1</t>
        </is>
      </c>
      <c r="H602" s="16" t="inlineStr">
        <is>
          <t>malla</t>
        </is>
      </c>
      <c r="I602" s="16" t="inlineStr">
        <is>
          <t>KALINA</t>
        </is>
      </c>
      <c r="J602" s="16" t="inlineStr">
        <is>
          <t>KALINA</t>
        </is>
      </c>
      <c r="K602" s="16" t="b">
        <v>1</v>
      </c>
      <c r="L602" s="16" t="b">
        <v>1</v>
      </c>
      <c r="M602" s="16" t="b">
        <v>0</v>
      </c>
      <c r="N602" s="16" t="b">
        <v>0</v>
      </c>
      <c r="O602" s="16" t="n">
        <v>403</v>
      </c>
      <c r="P602" s="16" t="n">
        <v>288.15</v>
      </c>
      <c r="Q602" s="16" t="n">
        <v>3000</v>
      </c>
      <c r="R602" s="16" t="n">
        <v>450</v>
      </c>
      <c r="S602" s="16" t="n">
        <v>0.5</v>
      </c>
      <c r="T602" s="16" t="n">
        <v>0.85</v>
      </c>
      <c r="U602" s="16" t="n">
        <v>0.75</v>
      </c>
      <c r="V602" s="16" t="n">
        <v>0.85</v>
      </c>
      <c r="W602" s="16" t="n">
        <v>0.75</v>
      </c>
      <c r="X602" s="16" t="n">
        <v>0.8</v>
      </c>
      <c r="Y602" s="16" t="n">
        <v>288.15</v>
      </c>
      <c r="Z602" s="16" t="n">
        <v>9.00398199146481</v>
      </c>
      <c r="AA602" s="16" t="n">
        <v>28.97430737673782</v>
      </c>
      <c r="AB602" s="16" t="n">
        <v>2550</v>
      </c>
      <c r="AC602" s="16" t="n">
        <v>6.666666666666667</v>
      </c>
      <c r="AD602" s="16" t="n"/>
      <c r="AE602" s="16" t="n"/>
    </row>
    <row r="603">
      <c r="A603" s="16" t="inlineStr">
        <is>
          <t>KF-M02S-B1-0022</t>
        </is>
      </c>
      <c r="B603" s="16" t="inlineStr">
        <is>
          <t>2.4</t>
        </is>
      </c>
      <c r="C603" s="16" t="inlineStr">
        <is>
          <t>2.4a</t>
        </is>
      </c>
      <c r="D603" s="16" t="inlineStr">
        <is>
          <t>fuente a 403 K</t>
        </is>
      </c>
      <c r="E603" s="16" t="inlineStr">
        <is>
          <t>KF-M02S</t>
        </is>
      </c>
      <c r="F603" s="16" t="inlineStr">
        <is>
          <t>KF-M02S-B1</t>
        </is>
      </c>
      <c r="G603" s="16" t="inlineStr">
        <is>
          <t>B05-B1</t>
        </is>
      </c>
      <c r="H603" s="16" t="inlineStr">
        <is>
          <t>malla</t>
        </is>
      </c>
      <c r="I603" s="16" t="inlineStr">
        <is>
          <t>KALINA</t>
        </is>
      </c>
      <c r="J603" s="16" t="inlineStr">
        <is>
          <t>KALINA</t>
        </is>
      </c>
      <c r="K603" s="16" t="b">
        <v>1</v>
      </c>
      <c r="L603" s="16" t="b">
        <v>1</v>
      </c>
      <c r="M603" s="16" t="b">
        <v>0</v>
      </c>
      <c r="N603" s="16" t="b">
        <v>0</v>
      </c>
      <c r="O603" s="16" t="n">
        <v>403</v>
      </c>
      <c r="P603" s="16" t="n">
        <v>288.15</v>
      </c>
      <c r="Q603" s="16" t="n">
        <v>3000</v>
      </c>
      <c r="R603" s="16" t="n">
        <v>600</v>
      </c>
      <c r="S603" s="16" t="n">
        <v>0.5</v>
      </c>
      <c r="T603" s="16" t="n">
        <v>0.85</v>
      </c>
      <c r="U603" s="16" t="n">
        <v>0.75</v>
      </c>
      <c r="V603" s="16" t="n">
        <v>0.85</v>
      </c>
      <c r="W603" s="16" t="n">
        <v>0.75</v>
      </c>
      <c r="X603" s="16" t="n">
        <v>0.8</v>
      </c>
      <c r="Y603" s="16" t="n">
        <v>288.15</v>
      </c>
      <c r="Z603" s="16" t="n">
        <v>7.67890936591449</v>
      </c>
      <c r="AA603" s="16" t="n">
        <v>24.68935655388631</v>
      </c>
      <c r="AB603" s="16" t="n">
        <v>2400</v>
      </c>
      <c r="AC603" s="16" t="n">
        <v>5</v>
      </c>
      <c r="AD603" s="16" t="n"/>
      <c r="AE603" s="16" t="n"/>
    </row>
    <row r="604">
      <c r="A604" s="16" t="inlineStr">
        <is>
          <t>KF-M02S-B1-0023</t>
        </is>
      </c>
      <c r="B604" s="16" t="inlineStr">
        <is>
          <t>2.4</t>
        </is>
      </c>
      <c r="C604" s="16" t="inlineStr">
        <is>
          <t>2.4a</t>
        </is>
      </c>
      <c r="D604" s="16" t="inlineStr">
        <is>
          <t>fuente a 403 K</t>
        </is>
      </c>
      <c r="E604" s="16" t="inlineStr">
        <is>
          <t>KF-M02S</t>
        </is>
      </c>
      <c r="F604" s="16" t="inlineStr">
        <is>
          <t>KF-M02S-B1</t>
        </is>
      </c>
      <c r="G604" s="16" t="inlineStr">
        <is>
          <t>B05-B1</t>
        </is>
      </c>
      <c r="H604" s="16" t="inlineStr">
        <is>
          <t>malla</t>
        </is>
      </c>
      <c r="I604" s="16" t="inlineStr">
        <is>
          <t>CORREGIBLE</t>
        </is>
      </c>
      <c r="J604" s="16" t="inlineStr">
        <is>
          <t>CORREGIBLE</t>
        </is>
      </c>
      <c r="K604" s="16" t="b">
        <v>1</v>
      </c>
      <c r="L604" s="16" t="b">
        <v>0</v>
      </c>
      <c r="M604" s="16" t="b">
        <v>0</v>
      </c>
      <c r="N604" s="16" t="b">
        <v>0</v>
      </c>
      <c r="O604" s="16" t="n">
        <v>403</v>
      </c>
      <c r="P604" s="16" t="n">
        <v>288.15</v>
      </c>
      <c r="Q604" s="16" t="n">
        <v>3000</v>
      </c>
      <c r="R604" s="16" t="n">
        <v>150</v>
      </c>
      <c r="S604" s="16" t="n">
        <v>0.5</v>
      </c>
      <c r="T604" s="16" t="n">
        <v>0.85</v>
      </c>
      <c r="U604" s="16" t="n">
        <v>0.75</v>
      </c>
      <c r="V604" s="16" t="n">
        <v>0.85</v>
      </c>
      <c r="W604" s="16" t="n">
        <v>0.75</v>
      </c>
      <c r="X604" s="16" t="n">
        <v>0.8</v>
      </c>
      <c r="Y604" s="16" t="n">
        <v>288.15</v>
      </c>
      <c r="Z604" s="16" t="n">
        <v>3.13201795914914</v>
      </c>
      <c r="AA604" s="16" t="n">
        <v>7.95289447810697</v>
      </c>
      <c r="AB604" s="16" t="n">
        <v>2850</v>
      </c>
      <c r="AC604" s="16" t="n">
        <v>20</v>
      </c>
      <c r="AD604" s="16" t="inlineStr">
        <is>
          <t>O2</t>
        </is>
      </c>
      <c r="AE604" s="16" t="n"/>
    </row>
    <row r="605">
      <c r="A605" s="16" t="inlineStr">
        <is>
          <t>KF-M02S-B1-0024</t>
        </is>
      </c>
      <c r="B605" s="16" t="inlineStr">
        <is>
          <t>2.4</t>
        </is>
      </c>
      <c r="C605" s="16" t="inlineStr">
        <is>
          <t>2.4a</t>
        </is>
      </c>
      <c r="D605" s="16" t="inlineStr">
        <is>
          <t>fuente a 403 K</t>
        </is>
      </c>
      <c r="E605" s="16" t="inlineStr">
        <is>
          <t>KF-M02S</t>
        </is>
      </c>
      <c r="F605" s="16" t="inlineStr">
        <is>
          <t>KF-M02S-B1</t>
        </is>
      </c>
      <c r="G605" s="16" t="inlineStr">
        <is>
          <t>B05-B1</t>
        </is>
      </c>
      <c r="H605" s="16" t="inlineStr">
        <is>
          <t>malla</t>
        </is>
      </c>
      <c r="I605" s="16" t="inlineStr">
        <is>
          <t>KALINA</t>
        </is>
      </c>
      <c r="J605" s="16" t="inlineStr">
        <is>
          <t>KALINA</t>
        </is>
      </c>
      <c r="K605" s="16" t="b">
        <v>1</v>
      </c>
      <c r="L605" s="16" t="b">
        <v>1</v>
      </c>
      <c r="M605" s="16" t="b">
        <v>0</v>
      </c>
      <c r="N605" s="16" t="b">
        <v>0</v>
      </c>
      <c r="O605" s="16" t="n">
        <v>403</v>
      </c>
      <c r="P605" s="16" t="n">
        <v>288.15</v>
      </c>
      <c r="Q605" s="16" t="n">
        <v>3000</v>
      </c>
      <c r="R605" s="16" t="n">
        <v>750</v>
      </c>
      <c r="S605" s="16" t="n">
        <v>0.5</v>
      </c>
      <c r="T605" s="16" t="n">
        <v>0.85</v>
      </c>
      <c r="U605" s="16" t="n">
        <v>0.75</v>
      </c>
      <c r="V605" s="16" t="n">
        <v>0.85</v>
      </c>
      <c r="W605" s="16" t="n">
        <v>0.75</v>
      </c>
      <c r="X605" s="16" t="n">
        <v>0.8</v>
      </c>
      <c r="Y605" s="16" t="n">
        <v>288.15</v>
      </c>
      <c r="Z605" s="16" t="n">
        <v>6.627977996100411</v>
      </c>
      <c r="AA605" s="16" t="n">
        <v>21.29655463159476</v>
      </c>
      <c r="AB605" s="16" t="n">
        <v>2250</v>
      </c>
      <c r="AC605" s="16" t="n">
        <v>4</v>
      </c>
      <c r="AD605" s="16" t="n"/>
      <c r="AE605" s="16" t="n"/>
    </row>
    <row r="606">
      <c r="A606" s="16" t="inlineStr">
        <is>
          <t>KF-M02S-B1-0025</t>
        </is>
      </c>
      <c r="B606" s="16" t="inlineStr">
        <is>
          <t>2.4</t>
        </is>
      </c>
      <c r="C606" s="16" t="inlineStr">
        <is>
          <t>2.4a</t>
        </is>
      </c>
      <c r="D606" s="16" t="inlineStr">
        <is>
          <t>fuente a 403 K</t>
        </is>
      </c>
      <c r="E606" s="16" t="inlineStr">
        <is>
          <t>KF-M02S</t>
        </is>
      </c>
      <c r="F606" s="16" t="inlineStr">
        <is>
          <t>KF-M02S-B1</t>
        </is>
      </c>
      <c r="G606" s="16" t="inlineStr">
        <is>
          <t>B05-B1</t>
        </is>
      </c>
      <c r="H606" s="16" t="inlineStr">
        <is>
          <t>malla</t>
        </is>
      </c>
      <c r="I606" s="16" t="inlineStr">
        <is>
          <t>KALINA</t>
        </is>
      </c>
      <c r="J606" s="16" t="inlineStr">
        <is>
          <t>KALINA</t>
        </is>
      </c>
      <c r="K606" s="16" t="b">
        <v>1</v>
      </c>
      <c r="L606" s="16" t="b">
        <v>1</v>
      </c>
      <c r="M606" s="16" t="b">
        <v>0</v>
      </c>
      <c r="N606" s="16" t="b">
        <v>0</v>
      </c>
      <c r="O606" s="16" t="n">
        <v>403</v>
      </c>
      <c r="P606" s="16" t="n">
        <v>288.15</v>
      </c>
      <c r="Q606" s="16" t="n">
        <v>3000</v>
      </c>
      <c r="R606" s="16" t="n">
        <v>900</v>
      </c>
      <c r="S606" s="16" t="n">
        <v>0.5</v>
      </c>
      <c r="T606" s="16" t="n">
        <v>0.85</v>
      </c>
      <c r="U606" s="16" t="n">
        <v>0.75</v>
      </c>
      <c r="V606" s="16" t="n">
        <v>0.85</v>
      </c>
      <c r="W606" s="16" t="n">
        <v>0.75</v>
      </c>
      <c r="X606" s="16" t="n">
        <v>0.8</v>
      </c>
      <c r="Y606" s="16" t="n">
        <v>288.15</v>
      </c>
      <c r="Z606" s="16" t="n">
        <v>5.75718112684901</v>
      </c>
      <c r="AA606" s="16" t="n">
        <v>18.48897739931245</v>
      </c>
      <c r="AB606" s="16" t="n">
        <v>2100</v>
      </c>
      <c r="AC606" s="16" t="n">
        <v>3.333333333333333</v>
      </c>
      <c r="AD606" s="16" t="n"/>
      <c r="AE606" s="16" t="n"/>
    </row>
    <row r="607">
      <c r="A607" s="16" t="inlineStr">
        <is>
          <t>KF-M02S-B1-0026</t>
        </is>
      </c>
      <c r="B607" s="16" t="inlineStr">
        <is>
          <t>2.4</t>
        </is>
      </c>
      <c r="C607" s="16" t="inlineStr">
        <is>
          <t>2.4a</t>
        </is>
      </c>
      <c r="D607" s="16" t="inlineStr">
        <is>
          <t>fuente a 403 K</t>
        </is>
      </c>
      <c r="E607" s="16" t="inlineStr">
        <is>
          <t>KF-M02S</t>
        </is>
      </c>
      <c r="F607" s="16" t="inlineStr">
        <is>
          <t>KF-M02S-B1</t>
        </is>
      </c>
      <c r="G607" s="16" t="inlineStr">
        <is>
          <t>B05-B1</t>
        </is>
      </c>
      <c r="H607" s="16" t="inlineStr">
        <is>
          <t>malla</t>
        </is>
      </c>
      <c r="I607" s="16" t="inlineStr">
        <is>
          <t>KALINA</t>
        </is>
      </c>
      <c r="J607" s="16" t="inlineStr">
        <is>
          <t>KALINA</t>
        </is>
      </c>
      <c r="K607" s="16" t="b">
        <v>1</v>
      </c>
      <c r="L607" s="16" t="b">
        <v>1</v>
      </c>
      <c r="M607" s="16" t="b">
        <v>0</v>
      </c>
      <c r="N607" s="16" t="b">
        <v>0</v>
      </c>
      <c r="O607" s="16" t="n">
        <v>403</v>
      </c>
      <c r="P607" s="16" t="n">
        <v>288.15</v>
      </c>
      <c r="Q607" s="16" t="n">
        <v>3000</v>
      </c>
      <c r="R607" s="16" t="n">
        <v>1350</v>
      </c>
      <c r="S607" s="16" t="n">
        <v>0.5</v>
      </c>
      <c r="T607" s="16" t="n">
        <v>0.85</v>
      </c>
      <c r="U607" s="16" t="n">
        <v>0.75</v>
      </c>
      <c r="V607" s="16" t="n">
        <v>0.85</v>
      </c>
      <c r="W607" s="16" t="n">
        <v>0.75</v>
      </c>
      <c r="X607" s="16" t="n">
        <v>0.8</v>
      </c>
      <c r="Y607" s="16" t="n">
        <v>288.15</v>
      </c>
      <c r="Z607" s="16" t="n">
        <v>3.79637831149736</v>
      </c>
      <c r="AA607" s="16" t="n">
        <v>12.17871037856786</v>
      </c>
      <c r="AB607" s="16" t="n">
        <v>1650</v>
      </c>
      <c r="AC607" s="16" t="n">
        <v>2.222222222222222</v>
      </c>
      <c r="AD607" s="16" t="n"/>
      <c r="AE607" s="16" t="n"/>
    </row>
    <row r="608">
      <c r="A608" s="16" t="inlineStr">
        <is>
          <t>KF-M02S-B1-0027</t>
        </is>
      </c>
      <c r="B608" s="16" t="inlineStr">
        <is>
          <t>2.4</t>
        </is>
      </c>
      <c r="C608" s="16" t="inlineStr">
        <is>
          <t>2.4a</t>
        </is>
      </c>
      <c r="D608" s="16" t="inlineStr">
        <is>
          <t>fuente a 403 K</t>
        </is>
      </c>
      <c r="E608" s="16" t="inlineStr">
        <is>
          <t>KF-M02S</t>
        </is>
      </c>
      <c r="F608" s="16" t="inlineStr">
        <is>
          <t>KF-M02S-B1</t>
        </is>
      </c>
      <c r="G608" s="16" t="inlineStr">
        <is>
          <t>B05-B1</t>
        </is>
      </c>
      <c r="H608" s="16" t="inlineStr">
        <is>
          <t>malla</t>
        </is>
      </c>
      <c r="I608" s="16" t="inlineStr">
        <is>
          <t>KALINA</t>
        </is>
      </c>
      <c r="J608" s="16" t="inlineStr">
        <is>
          <t>KALINA</t>
        </is>
      </c>
      <c r="K608" s="16" t="b">
        <v>1</v>
      </c>
      <c r="L608" s="16" t="b">
        <v>1</v>
      </c>
      <c r="M608" s="16" t="b">
        <v>0</v>
      </c>
      <c r="N608" s="16" t="b">
        <v>0</v>
      </c>
      <c r="O608" s="16" t="n">
        <v>403</v>
      </c>
      <c r="P608" s="16" t="n">
        <v>288.15</v>
      </c>
      <c r="Q608" s="16" t="n">
        <v>3000</v>
      </c>
      <c r="R608" s="16" t="n">
        <v>1050</v>
      </c>
      <c r="S608" s="16" t="n">
        <v>0.5</v>
      </c>
      <c r="T608" s="16" t="n">
        <v>0.85</v>
      </c>
      <c r="U608" s="16" t="n">
        <v>0.75</v>
      </c>
      <c r="V608" s="16" t="n">
        <v>0.85</v>
      </c>
      <c r="W608" s="16" t="n">
        <v>0.75</v>
      </c>
      <c r="X608" s="16" t="n">
        <v>0.8</v>
      </c>
      <c r="Y608" s="16" t="n">
        <v>288.15</v>
      </c>
      <c r="Z608" s="16" t="n">
        <v>5.01449531407823</v>
      </c>
      <c r="AA608" s="16" t="n">
        <v>16.09700932498765</v>
      </c>
      <c r="AB608" s="16" t="n">
        <v>1950</v>
      </c>
      <c r="AC608" s="16" t="n">
        <v>2.857142857142857</v>
      </c>
      <c r="AD608" s="16" t="n"/>
      <c r="AE608" s="16" t="n"/>
    </row>
    <row r="609">
      <c r="A609" s="16" t="inlineStr">
        <is>
          <t>KF-M02S-B1-0028</t>
        </is>
      </c>
      <c r="B609" s="16" t="inlineStr">
        <is>
          <t>2.4</t>
        </is>
      </c>
      <c r="C609" s="16" t="inlineStr">
        <is>
          <t>2.4a</t>
        </is>
      </c>
      <c r="D609" s="16" t="inlineStr">
        <is>
          <t>fuente a 403 K</t>
        </is>
      </c>
      <c r="E609" s="16" t="inlineStr">
        <is>
          <t>KF-M02S</t>
        </is>
      </c>
      <c r="F609" s="16" t="inlineStr">
        <is>
          <t>KF-M02S-B1</t>
        </is>
      </c>
      <c r="G609" s="16" t="inlineStr">
        <is>
          <t>B05-B1</t>
        </is>
      </c>
      <c r="H609" s="16" t="inlineStr">
        <is>
          <t>malla</t>
        </is>
      </c>
      <c r="I609" s="16" t="inlineStr">
        <is>
          <t>KALINA</t>
        </is>
      </c>
      <c r="J609" s="16" t="inlineStr">
        <is>
          <t>KALINA</t>
        </is>
      </c>
      <c r="K609" s="16" t="b">
        <v>1</v>
      </c>
      <c r="L609" s="16" t="b">
        <v>1</v>
      </c>
      <c r="M609" s="16" t="b">
        <v>0</v>
      </c>
      <c r="N609" s="16" t="b">
        <v>0</v>
      </c>
      <c r="O609" s="16" t="n">
        <v>403</v>
      </c>
      <c r="P609" s="16" t="n">
        <v>288.15</v>
      </c>
      <c r="Q609" s="16" t="n">
        <v>3000</v>
      </c>
      <c r="R609" s="16" t="n">
        <v>1500</v>
      </c>
      <c r="S609" s="16" t="n">
        <v>0.5</v>
      </c>
      <c r="T609" s="16" t="n">
        <v>0.85</v>
      </c>
      <c r="U609" s="16" t="n">
        <v>0.75</v>
      </c>
      <c r="V609" s="16" t="n">
        <v>0.85</v>
      </c>
      <c r="W609" s="16" t="n">
        <v>0.75</v>
      </c>
      <c r="X609" s="16" t="n">
        <v>0.8</v>
      </c>
      <c r="Y609" s="16" t="n">
        <v>288.15</v>
      </c>
      <c r="Z609" s="16" t="n">
        <v>3.28507223356427</v>
      </c>
      <c r="AA609" s="16" t="n">
        <v>10.53572289228107</v>
      </c>
      <c r="AB609" s="16" t="n">
        <v>1500</v>
      </c>
      <c r="AC609" s="16" t="n">
        <v>2</v>
      </c>
      <c r="AD609" s="16" t="n"/>
      <c r="AE609" s="16" t="n"/>
    </row>
    <row r="610">
      <c r="A610" s="16" t="inlineStr">
        <is>
          <t>KF-M02S-B1-0029</t>
        </is>
      </c>
      <c r="B610" s="16" t="inlineStr">
        <is>
          <t>2.4</t>
        </is>
      </c>
      <c r="C610" s="16" t="inlineStr">
        <is>
          <t>2.4a</t>
        </is>
      </c>
      <c r="D610" s="16" t="inlineStr">
        <is>
          <t>fuente a 403 K</t>
        </is>
      </c>
      <c r="E610" s="16" t="inlineStr">
        <is>
          <t>KF-M02S</t>
        </is>
      </c>
      <c r="F610" s="16" t="inlineStr">
        <is>
          <t>KF-M02S-B1</t>
        </is>
      </c>
      <c r="G610" s="16" t="inlineStr">
        <is>
          <t>B05-B1</t>
        </is>
      </c>
      <c r="H610" s="16" t="inlineStr">
        <is>
          <t>malla</t>
        </is>
      </c>
      <c r="I610" s="16" t="inlineStr">
        <is>
          <t>KALINA</t>
        </is>
      </c>
      <c r="J610" s="16" t="inlineStr">
        <is>
          <t>KALINA</t>
        </is>
      </c>
      <c r="K610" s="16" t="b">
        <v>1</v>
      </c>
      <c r="L610" s="16" t="b">
        <v>1</v>
      </c>
      <c r="M610" s="16" t="b">
        <v>0</v>
      </c>
      <c r="N610" s="16" t="b">
        <v>0</v>
      </c>
      <c r="O610" s="16" t="n">
        <v>403</v>
      </c>
      <c r="P610" s="16" t="n">
        <v>288.15</v>
      </c>
      <c r="Q610" s="16" t="n">
        <v>3000</v>
      </c>
      <c r="R610" s="16" t="n">
        <v>1200</v>
      </c>
      <c r="S610" s="16" t="n">
        <v>0.5</v>
      </c>
      <c r="T610" s="16" t="n">
        <v>0.85</v>
      </c>
      <c r="U610" s="16" t="n">
        <v>0.75</v>
      </c>
      <c r="V610" s="16" t="n">
        <v>0.85</v>
      </c>
      <c r="W610" s="16" t="n">
        <v>0.75</v>
      </c>
      <c r="X610" s="16" t="n">
        <v>0.8</v>
      </c>
      <c r="Y610" s="16" t="n">
        <v>288.15</v>
      </c>
      <c r="Z610" s="16" t="n">
        <v>4.36794032575431</v>
      </c>
      <c r="AA610" s="16" t="n">
        <v>14.01650770112492</v>
      </c>
      <c r="AB610" s="16" t="n">
        <v>1800</v>
      </c>
      <c r="AC610" s="16" t="n">
        <v>2.5</v>
      </c>
      <c r="AD610" s="16" t="n"/>
      <c r="AE610" s="16" t="n"/>
    </row>
    <row r="611">
      <c r="A611" s="16" t="inlineStr">
        <is>
          <t>KF-M02S-B1-0030</t>
        </is>
      </c>
      <c r="B611" s="16" t="inlineStr">
        <is>
          <t>2.4</t>
        </is>
      </c>
      <c r="C611" s="16" t="inlineStr">
        <is>
          <t>2.4a</t>
        </is>
      </c>
      <c r="D611" s="16" t="inlineStr">
        <is>
          <t>fuente a 403 K</t>
        </is>
      </c>
      <c r="E611" s="16" t="inlineStr">
        <is>
          <t>KF-M02S</t>
        </is>
      </c>
      <c r="F611" s="16" t="inlineStr">
        <is>
          <t>KF-M02S-B1</t>
        </is>
      </c>
      <c r="G611" s="16" t="inlineStr">
        <is>
          <t>B05-B1</t>
        </is>
      </c>
      <c r="H611" s="16" t="inlineStr">
        <is>
          <t>malla</t>
        </is>
      </c>
      <c r="I611" s="16" t="inlineStr">
        <is>
          <t>CORREGIBLE</t>
        </is>
      </c>
      <c r="J611" s="16" t="inlineStr">
        <is>
          <t>CORREGIBLE</t>
        </is>
      </c>
      <c r="K611" s="16" t="b">
        <v>1</v>
      </c>
      <c r="L611" s="16" t="b">
        <v>0</v>
      </c>
      <c r="M611" s="16" t="b">
        <v>0</v>
      </c>
      <c r="N611" s="16" t="b">
        <v>0</v>
      </c>
      <c r="O611" s="16" t="n">
        <v>403</v>
      </c>
      <c r="P611" s="16" t="n">
        <v>293.15</v>
      </c>
      <c r="Q611" s="16" t="n">
        <v>3000</v>
      </c>
      <c r="R611" s="16" t="n">
        <v>300</v>
      </c>
      <c r="S611" s="16" t="n">
        <v>0.5</v>
      </c>
      <c r="T611" s="16" t="n">
        <v>0.85</v>
      </c>
      <c r="U611" s="16" t="n">
        <v>0.75</v>
      </c>
      <c r="V611" s="16" t="n">
        <v>0.85</v>
      </c>
      <c r="W611" s="16" t="n">
        <v>0.75</v>
      </c>
      <c r="X611" s="16" t="n">
        <v>0.8</v>
      </c>
      <c r="Y611" s="16" t="n">
        <v>293.15</v>
      </c>
      <c r="Z611" s="16" t="n">
        <v>10.70218492853048</v>
      </c>
      <c r="AA611" s="16" t="n">
        <v>33.7264345081734</v>
      </c>
      <c r="AB611" s="16" t="n">
        <v>2700</v>
      </c>
      <c r="AC611" s="16" t="n">
        <v>10</v>
      </c>
      <c r="AD611" s="16" t="inlineStr">
        <is>
          <t>O2</t>
        </is>
      </c>
      <c r="AE611" s="16" t="n"/>
    </row>
    <row r="612">
      <c r="A612" s="16" t="inlineStr">
        <is>
          <t>KF-M02S-B1-0031</t>
        </is>
      </c>
      <c r="B612" s="16" t="inlineStr">
        <is>
          <t>2.4</t>
        </is>
      </c>
      <c r="C612" s="16" t="inlineStr">
        <is>
          <t>2.4a</t>
        </is>
      </c>
      <c r="D612" s="16" t="inlineStr">
        <is>
          <t>fuente a 403 K</t>
        </is>
      </c>
      <c r="E612" s="16" t="inlineStr">
        <is>
          <t>KF-M02S</t>
        </is>
      </c>
      <c r="F612" s="16" t="inlineStr">
        <is>
          <t>KF-M02S-B1</t>
        </is>
      </c>
      <c r="G612" s="16" t="inlineStr">
        <is>
          <t>B05-B1</t>
        </is>
      </c>
      <c r="H612" s="16" t="inlineStr">
        <is>
          <t>malla</t>
        </is>
      </c>
      <c r="I612" s="16" t="inlineStr">
        <is>
          <t>CORREGIBLE</t>
        </is>
      </c>
      <c r="J612" s="16" t="inlineStr">
        <is>
          <t>CORREGIBLE</t>
        </is>
      </c>
      <c r="K612" s="16" t="b">
        <v>1</v>
      </c>
      <c r="L612" s="16" t="b">
        <v>0</v>
      </c>
      <c r="M612" s="16" t="b">
        <v>0</v>
      </c>
      <c r="N612" s="16" t="b">
        <v>0</v>
      </c>
      <c r="O612" s="16" t="n">
        <v>403</v>
      </c>
      <c r="P612" s="16" t="n">
        <v>293.15</v>
      </c>
      <c r="Q612" s="16" t="n">
        <v>3000</v>
      </c>
      <c r="R612" s="16" t="n">
        <v>450</v>
      </c>
      <c r="S612" s="16" t="n">
        <v>0.5</v>
      </c>
      <c r="T612" s="16" t="n">
        <v>0.85</v>
      </c>
      <c r="U612" s="16" t="n">
        <v>0.75</v>
      </c>
      <c r="V612" s="16" t="n">
        <v>0.85</v>
      </c>
      <c r="W612" s="16" t="n">
        <v>0.75</v>
      </c>
      <c r="X612" s="16" t="n">
        <v>0.8</v>
      </c>
      <c r="Y612" s="16" t="n">
        <v>293.15</v>
      </c>
      <c r="Z612" s="16" t="n">
        <v>9.23879494144408</v>
      </c>
      <c r="AA612" s="16" t="n">
        <v>29.12130104228657</v>
      </c>
      <c r="AB612" s="16" t="n">
        <v>2550</v>
      </c>
      <c r="AC612" s="16" t="n">
        <v>6.666666666666667</v>
      </c>
      <c r="AD612" s="16" t="inlineStr">
        <is>
          <t>O2</t>
        </is>
      </c>
      <c r="AE612" s="16" t="n"/>
    </row>
    <row r="613">
      <c r="A613" s="16" t="inlineStr">
        <is>
          <t>KF-M02S-B1-0032</t>
        </is>
      </c>
      <c r="B613" s="16" t="inlineStr">
        <is>
          <t>2.4</t>
        </is>
      </c>
      <c r="C613" s="16" t="inlineStr">
        <is>
          <t>2.4a</t>
        </is>
      </c>
      <c r="D613" s="16" t="inlineStr">
        <is>
          <t>fuente a 403 K</t>
        </is>
      </c>
      <c r="E613" s="16" t="inlineStr">
        <is>
          <t>KF-M02S</t>
        </is>
      </c>
      <c r="F613" s="16" t="inlineStr">
        <is>
          <t>KF-M02S-B1</t>
        </is>
      </c>
      <c r="G613" s="16" t="inlineStr">
        <is>
          <t>B05-B1</t>
        </is>
      </c>
      <c r="H613" s="16" t="inlineStr">
        <is>
          <t>malla</t>
        </is>
      </c>
      <c r="I613" s="16" t="inlineStr">
        <is>
          <t>KALINA</t>
        </is>
      </c>
      <c r="J613" s="16" t="inlineStr">
        <is>
          <t>KALINA</t>
        </is>
      </c>
      <c r="K613" s="16" t="b">
        <v>1</v>
      </c>
      <c r="L613" s="16" t="b">
        <v>1</v>
      </c>
      <c r="M613" s="16" t="b">
        <v>0</v>
      </c>
      <c r="N613" s="16" t="b">
        <v>0</v>
      </c>
      <c r="O613" s="16" t="n">
        <v>403</v>
      </c>
      <c r="P613" s="16" t="n">
        <v>293.15</v>
      </c>
      <c r="Q613" s="16" t="n">
        <v>3000</v>
      </c>
      <c r="R613" s="16" t="n">
        <v>600</v>
      </c>
      <c r="S613" s="16" t="n">
        <v>0.5</v>
      </c>
      <c r="T613" s="16" t="n">
        <v>0.85</v>
      </c>
      <c r="U613" s="16" t="n">
        <v>0.75</v>
      </c>
      <c r="V613" s="16" t="n">
        <v>0.85</v>
      </c>
      <c r="W613" s="16" t="n">
        <v>0.75</v>
      </c>
      <c r="X613" s="16" t="n">
        <v>0.8</v>
      </c>
      <c r="Y613" s="16" t="n">
        <v>293.15</v>
      </c>
      <c r="Z613" s="16" t="n">
        <v>7.87959028658678</v>
      </c>
      <c r="AA613" s="16" t="n">
        <v>24.81544763357127</v>
      </c>
      <c r="AB613" s="16" t="n">
        <v>2400</v>
      </c>
      <c r="AC613" s="16" t="n">
        <v>5</v>
      </c>
      <c r="AD613" s="16" t="n"/>
      <c r="AE613" s="16" t="n"/>
    </row>
    <row r="614">
      <c r="A614" s="16" t="inlineStr">
        <is>
          <t>KF-M02S-B1-0033</t>
        </is>
      </c>
      <c r="B614" s="16" t="inlineStr">
        <is>
          <t>2.4</t>
        </is>
      </c>
      <c r="C614" s="16" t="inlineStr">
        <is>
          <t>2.4a</t>
        </is>
      </c>
      <c r="D614" s="16" t="inlineStr">
        <is>
          <t>fuente a 403 K</t>
        </is>
      </c>
      <c r="E614" s="16" t="inlineStr">
        <is>
          <t>KF-M02S</t>
        </is>
      </c>
      <c r="F614" s="16" t="inlineStr">
        <is>
          <t>KF-M02S-B1</t>
        </is>
      </c>
      <c r="G614" s="16" t="inlineStr">
        <is>
          <t>B05-B1</t>
        </is>
      </c>
      <c r="H614" s="16" t="inlineStr">
        <is>
          <t>malla</t>
        </is>
      </c>
      <c r="I614" s="16" t="inlineStr">
        <is>
          <t>KALINA</t>
        </is>
      </c>
      <c r="J614" s="16" t="inlineStr">
        <is>
          <t>KALINA</t>
        </is>
      </c>
      <c r="K614" s="16" t="b">
        <v>1</v>
      </c>
      <c r="L614" s="16" t="b">
        <v>1</v>
      </c>
      <c r="M614" s="16" t="b">
        <v>0</v>
      </c>
      <c r="N614" s="16" t="b">
        <v>0</v>
      </c>
      <c r="O614" s="16" t="n">
        <v>403</v>
      </c>
      <c r="P614" s="16" t="n">
        <v>293.15</v>
      </c>
      <c r="Q614" s="16" t="n">
        <v>3000</v>
      </c>
      <c r="R614" s="16" t="n">
        <v>750</v>
      </c>
      <c r="S614" s="16" t="n">
        <v>0.5</v>
      </c>
      <c r="T614" s="16" t="n">
        <v>0.85</v>
      </c>
      <c r="U614" s="16" t="n">
        <v>0.75</v>
      </c>
      <c r="V614" s="16" t="n">
        <v>0.85</v>
      </c>
      <c r="W614" s="16" t="n">
        <v>0.75</v>
      </c>
      <c r="X614" s="16" t="n">
        <v>0.8</v>
      </c>
      <c r="Y614" s="16" t="n">
        <v>293.15</v>
      </c>
      <c r="Z614" s="16" t="n">
        <v>6.801211374533351</v>
      </c>
      <c r="AA614" s="16" t="n">
        <v>21.40502459549124</v>
      </c>
      <c r="AB614" s="16" t="n">
        <v>2250</v>
      </c>
      <c r="AC614" s="16" t="n">
        <v>4</v>
      </c>
      <c r="AD614" s="16" t="n"/>
      <c r="AE614" s="16" t="n"/>
    </row>
    <row r="615">
      <c r="A615" s="16" t="inlineStr">
        <is>
          <t>KF-M02S-B1-0034</t>
        </is>
      </c>
      <c r="B615" s="16" t="inlineStr">
        <is>
          <t>2.4</t>
        </is>
      </c>
      <c r="C615" s="16" t="inlineStr">
        <is>
          <t>2.4a</t>
        </is>
      </c>
      <c r="D615" s="16" t="inlineStr">
        <is>
          <t>fuente a 403 K</t>
        </is>
      </c>
      <c r="E615" s="16" t="inlineStr">
        <is>
          <t>KF-M02S</t>
        </is>
      </c>
      <c r="F615" s="16" t="inlineStr">
        <is>
          <t>KF-M02S-B1</t>
        </is>
      </c>
      <c r="G615" s="16" t="inlineStr">
        <is>
          <t>B05-B1</t>
        </is>
      </c>
      <c r="H615" s="16" t="inlineStr">
        <is>
          <t>malla</t>
        </is>
      </c>
      <c r="I615" s="16" t="inlineStr">
        <is>
          <t>INVIABLE</t>
        </is>
      </c>
      <c r="J615" s="16" t="inlineStr">
        <is>
          <t>INVIABLE</t>
        </is>
      </c>
      <c r="K615" s="16" t="b">
        <v>1</v>
      </c>
      <c r="L615" s="16" t="b">
        <v>0</v>
      </c>
      <c r="M615" s="16" t="b">
        <v>0</v>
      </c>
      <c r="N615" s="16" t="b">
        <v>0</v>
      </c>
      <c r="O615" s="16" t="n">
        <v>403</v>
      </c>
      <c r="P615" s="16" t="n">
        <v>293.15</v>
      </c>
      <c r="Q615" s="16" t="n">
        <v>3000</v>
      </c>
      <c r="R615" s="16" t="n">
        <v>150</v>
      </c>
      <c r="S615" s="16" t="n">
        <v>0.5</v>
      </c>
      <c r="T615" s="16" t="n">
        <v>0.85</v>
      </c>
      <c r="U615" s="16" t="n">
        <v>0.75</v>
      </c>
      <c r="V615" s="16" t="n">
        <v>0.85</v>
      </c>
      <c r="W615" s="16" t="n">
        <v>0.75</v>
      </c>
      <c r="X615" s="16" t="n">
        <v>0.8</v>
      </c>
      <c r="Y615" s="16" t="n">
        <v>293.15</v>
      </c>
      <c r="Z615" s="16" t="n">
        <v>-8.35157713807928</v>
      </c>
      <c r="AA615" s="16" t="n">
        <v>-17.99855788303107</v>
      </c>
      <c r="AB615" s="16" t="n">
        <v>2850</v>
      </c>
      <c r="AC615" s="16" t="n">
        <v>20</v>
      </c>
      <c r="AD615" s="16" t="inlineStr">
        <is>
          <t>O2,O3</t>
        </is>
      </c>
      <c r="AE615" s="16" t="n"/>
    </row>
    <row r="616">
      <c r="A616" s="16" t="inlineStr">
        <is>
          <t>KF-M02S-B1-0035</t>
        </is>
      </c>
      <c r="B616" s="16" t="inlineStr">
        <is>
          <t>2.4</t>
        </is>
      </c>
      <c r="C616" s="16" t="inlineStr">
        <is>
          <t>2.4a</t>
        </is>
      </c>
      <c r="D616" s="16" t="inlineStr">
        <is>
          <t>fuente a 403 K</t>
        </is>
      </c>
      <c r="E616" s="16" t="inlineStr">
        <is>
          <t>KF-M02S</t>
        </is>
      </c>
      <c r="F616" s="16" t="inlineStr">
        <is>
          <t>KF-M02S-B1</t>
        </is>
      </c>
      <c r="G616" s="16" t="inlineStr">
        <is>
          <t>B05-B1</t>
        </is>
      </c>
      <c r="H616" s="16" t="inlineStr">
        <is>
          <t>malla</t>
        </is>
      </c>
      <c r="I616" s="16" t="inlineStr">
        <is>
          <t>KALINA</t>
        </is>
      </c>
      <c r="J616" s="16" t="inlineStr">
        <is>
          <t>KALINA</t>
        </is>
      </c>
      <c r="K616" s="16" t="b">
        <v>1</v>
      </c>
      <c r="L616" s="16" t="b">
        <v>1</v>
      </c>
      <c r="M616" s="16" t="b">
        <v>0</v>
      </c>
      <c r="N616" s="16" t="b">
        <v>0</v>
      </c>
      <c r="O616" s="16" t="n">
        <v>403</v>
      </c>
      <c r="P616" s="16" t="n">
        <v>293.15</v>
      </c>
      <c r="Q616" s="16" t="n">
        <v>3000</v>
      </c>
      <c r="R616" s="16" t="n">
        <v>900</v>
      </c>
      <c r="S616" s="16" t="n">
        <v>0.5</v>
      </c>
      <c r="T616" s="16" t="n">
        <v>0.85</v>
      </c>
      <c r="U616" s="16" t="n">
        <v>0.75</v>
      </c>
      <c r="V616" s="16" t="n">
        <v>0.85</v>
      </c>
      <c r="W616" s="16" t="n">
        <v>0.75</v>
      </c>
      <c r="X616" s="16" t="n">
        <v>0.8</v>
      </c>
      <c r="Y616" s="16" t="n">
        <v>293.15</v>
      </c>
      <c r="Z616" s="16" t="n">
        <v>5.907663730663789</v>
      </c>
      <c r="AA616" s="16" t="n">
        <v>18.58294102001982</v>
      </c>
      <c r="AB616" s="16" t="n">
        <v>2100</v>
      </c>
      <c r="AC616" s="16" t="n">
        <v>3.333333333333333</v>
      </c>
      <c r="AD616" s="16" t="n"/>
      <c r="AE616" s="16" t="n"/>
    </row>
    <row r="617">
      <c r="A617" s="16" t="inlineStr">
        <is>
          <t>KF-M02S-B1-0036</t>
        </is>
      </c>
      <c r="B617" s="16" t="inlineStr">
        <is>
          <t>2.4</t>
        </is>
      </c>
      <c r="C617" s="16" t="inlineStr">
        <is>
          <t>2.4a</t>
        </is>
      </c>
      <c r="D617" s="16" t="inlineStr">
        <is>
          <t>fuente a 403 K</t>
        </is>
      </c>
      <c r="E617" s="16" t="inlineStr">
        <is>
          <t>KF-M02S</t>
        </is>
      </c>
      <c r="F617" s="16" t="inlineStr">
        <is>
          <t>KF-M02S-B1</t>
        </is>
      </c>
      <c r="G617" s="16" t="inlineStr">
        <is>
          <t>B05-B1</t>
        </is>
      </c>
      <c r="H617" s="16" t="inlineStr">
        <is>
          <t>malla</t>
        </is>
      </c>
      <c r="I617" s="16" t="inlineStr">
        <is>
          <t>KALINA</t>
        </is>
      </c>
      <c r="J617" s="16" t="inlineStr">
        <is>
          <t>KALINA</t>
        </is>
      </c>
      <c r="K617" s="16" t="b">
        <v>1</v>
      </c>
      <c r="L617" s="16" t="b">
        <v>1</v>
      </c>
      <c r="M617" s="16" t="b">
        <v>0</v>
      </c>
      <c r="N617" s="16" t="b">
        <v>0</v>
      </c>
      <c r="O617" s="16" t="n">
        <v>403</v>
      </c>
      <c r="P617" s="16" t="n">
        <v>293.15</v>
      </c>
      <c r="Q617" s="16" t="n">
        <v>3000</v>
      </c>
      <c r="R617" s="16" t="n">
        <v>1050</v>
      </c>
      <c r="S617" s="16" t="n">
        <v>0.5</v>
      </c>
      <c r="T617" s="16" t="n">
        <v>0.85</v>
      </c>
      <c r="U617" s="16" t="n">
        <v>0.75</v>
      </c>
      <c r="V617" s="16" t="n">
        <v>0.85</v>
      </c>
      <c r="W617" s="16" t="n">
        <v>0.75</v>
      </c>
      <c r="X617" s="16" t="n">
        <v>0.8</v>
      </c>
      <c r="Y617" s="16" t="n">
        <v>293.15</v>
      </c>
      <c r="Z617" s="16" t="n">
        <v>5.14556859603598</v>
      </c>
      <c r="AA617" s="16" t="n">
        <v>16.1786644969544</v>
      </c>
      <c r="AB617" s="16" t="n">
        <v>1950</v>
      </c>
      <c r="AC617" s="16" t="n">
        <v>2.857142857142857</v>
      </c>
      <c r="AD617" s="16" t="n"/>
      <c r="AE617" s="16" t="n"/>
    </row>
    <row r="618">
      <c r="A618" s="16" t="inlineStr">
        <is>
          <t>KF-M02S-B1-0037</t>
        </is>
      </c>
      <c r="B618" s="16" t="inlineStr">
        <is>
          <t>2.4</t>
        </is>
      </c>
      <c r="C618" s="16" t="inlineStr">
        <is>
          <t>2.4a</t>
        </is>
      </c>
      <c r="D618" s="16" t="inlineStr">
        <is>
          <t>fuente a 403 K</t>
        </is>
      </c>
      <c r="E618" s="16" t="inlineStr">
        <is>
          <t>KF-M02S</t>
        </is>
      </c>
      <c r="F618" s="16" t="inlineStr">
        <is>
          <t>KF-M02S-B1</t>
        </is>
      </c>
      <c r="G618" s="16" t="inlineStr">
        <is>
          <t>B05-B1</t>
        </is>
      </c>
      <c r="H618" s="16" t="inlineStr">
        <is>
          <t>malla</t>
        </is>
      </c>
      <c r="I618" s="16" t="inlineStr">
        <is>
          <t>KALINA</t>
        </is>
      </c>
      <c r="J618" s="16" t="inlineStr">
        <is>
          <t>KALINA</t>
        </is>
      </c>
      <c r="K618" s="16" t="b">
        <v>1</v>
      </c>
      <c r="L618" s="16" t="b">
        <v>1</v>
      </c>
      <c r="M618" s="16" t="b">
        <v>0</v>
      </c>
      <c r="N618" s="16" t="b">
        <v>0</v>
      </c>
      <c r="O618" s="16" t="n">
        <v>403</v>
      </c>
      <c r="P618" s="16" t="n">
        <v>293.15</v>
      </c>
      <c r="Q618" s="16" t="n">
        <v>3000</v>
      </c>
      <c r="R618" s="16" t="n">
        <v>1200</v>
      </c>
      <c r="S618" s="16" t="n">
        <v>0.5</v>
      </c>
      <c r="T618" s="16" t="n">
        <v>0.85</v>
      </c>
      <c r="U618" s="16" t="n">
        <v>0.75</v>
      </c>
      <c r="V618" s="16" t="n">
        <v>0.85</v>
      </c>
      <c r="W618" s="16" t="n">
        <v>0.75</v>
      </c>
      <c r="X618" s="16" t="n">
        <v>0.8</v>
      </c>
      <c r="Y618" s="16" t="n">
        <v>293.15</v>
      </c>
      <c r="Z618" s="16" t="n">
        <v>4.48211270099348</v>
      </c>
      <c r="AA618" s="16" t="n">
        <v>14.08749335462489</v>
      </c>
      <c r="AB618" s="16" t="n">
        <v>1800</v>
      </c>
      <c r="AC618" s="16" t="n">
        <v>2.5</v>
      </c>
      <c r="AD618" s="16" t="n"/>
      <c r="AE618" s="16" t="n"/>
    </row>
    <row r="619">
      <c r="A619" s="16" t="inlineStr">
        <is>
          <t>KF-M02S-B1-0038</t>
        </is>
      </c>
      <c r="B619" s="16" t="inlineStr">
        <is>
          <t>2.4</t>
        </is>
      </c>
      <c r="C619" s="16" t="inlineStr">
        <is>
          <t>2.4a</t>
        </is>
      </c>
      <c r="D619" s="16" t="inlineStr">
        <is>
          <t>fuente a 403 K</t>
        </is>
      </c>
      <c r="E619" s="16" t="inlineStr">
        <is>
          <t>KF-M02S</t>
        </is>
      </c>
      <c r="F619" s="16" t="inlineStr">
        <is>
          <t>KF-M02S-B1</t>
        </is>
      </c>
      <c r="G619" s="16" t="inlineStr">
        <is>
          <t>B05-B1</t>
        </is>
      </c>
      <c r="H619" s="16" t="inlineStr">
        <is>
          <t>malla</t>
        </is>
      </c>
      <c r="I619" s="16" t="inlineStr">
        <is>
          <t>KALINA</t>
        </is>
      </c>
      <c r="J619" s="16" t="inlineStr">
        <is>
          <t>KALINA</t>
        </is>
      </c>
      <c r="K619" s="16" t="b">
        <v>1</v>
      </c>
      <c r="L619" s="16" t="b">
        <v>1</v>
      </c>
      <c r="M619" s="16" t="b">
        <v>0</v>
      </c>
      <c r="N619" s="16" t="b">
        <v>0</v>
      </c>
      <c r="O619" s="16" t="n">
        <v>403</v>
      </c>
      <c r="P619" s="16" t="n">
        <v>293.15</v>
      </c>
      <c r="Q619" s="16" t="n">
        <v>3000</v>
      </c>
      <c r="R619" s="16" t="n">
        <v>1350</v>
      </c>
      <c r="S619" s="16" t="n">
        <v>0.5</v>
      </c>
      <c r="T619" s="16" t="n">
        <v>0.85</v>
      </c>
      <c r="U619" s="16" t="n">
        <v>0.75</v>
      </c>
      <c r="V619" s="16" t="n">
        <v>0.85</v>
      </c>
      <c r="W619" s="16" t="n">
        <v>0.75</v>
      </c>
      <c r="X619" s="16" t="n">
        <v>0.8</v>
      </c>
      <c r="Y619" s="16" t="n">
        <v>293.15</v>
      </c>
      <c r="Z619" s="16" t="n">
        <v>3.89560759737661</v>
      </c>
      <c r="AA619" s="16" t="n">
        <v>12.24029854552899</v>
      </c>
      <c r="AB619" s="16" t="n">
        <v>1650</v>
      </c>
      <c r="AC619" s="16" t="n">
        <v>2.222222222222222</v>
      </c>
      <c r="AD619" s="16" t="n"/>
      <c r="AE619" s="16" t="n"/>
    </row>
    <row r="620">
      <c r="A620" s="16" t="inlineStr">
        <is>
          <t>KF-M02S-B1-0039</t>
        </is>
      </c>
      <c r="B620" s="16" t="inlineStr">
        <is>
          <t>2.4</t>
        </is>
      </c>
      <c r="C620" s="16" t="inlineStr">
        <is>
          <t>2.4a</t>
        </is>
      </c>
      <c r="D620" s="16" t="inlineStr">
        <is>
          <t>fuente a 403 K</t>
        </is>
      </c>
      <c r="E620" s="16" t="inlineStr">
        <is>
          <t>KF-M02S</t>
        </is>
      </c>
      <c r="F620" s="16" t="inlineStr">
        <is>
          <t>KF-M02S-B1</t>
        </is>
      </c>
      <c r="G620" s="16" t="inlineStr">
        <is>
          <t>B05-B1</t>
        </is>
      </c>
      <c r="H620" s="16" t="inlineStr">
        <is>
          <t>malla</t>
        </is>
      </c>
      <c r="I620" s="16" t="inlineStr">
        <is>
          <t>KALINA</t>
        </is>
      </c>
      <c r="J620" s="16" t="inlineStr">
        <is>
          <t>KALINA</t>
        </is>
      </c>
      <c r="K620" s="16" t="b">
        <v>1</v>
      </c>
      <c r="L620" s="16" t="b">
        <v>1</v>
      </c>
      <c r="M620" s="16" t="b">
        <v>0</v>
      </c>
      <c r="N620" s="16" t="b">
        <v>0</v>
      </c>
      <c r="O620" s="16" t="n">
        <v>403</v>
      </c>
      <c r="P620" s="16" t="n">
        <v>293.15</v>
      </c>
      <c r="Q620" s="16" t="n">
        <v>3000</v>
      </c>
      <c r="R620" s="16" t="n">
        <v>1500</v>
      </c>
      <c r="S620" s="16" t="n">
        <v>0.5</v>
      </c>
      <c r="T620" s="16" t="n">
        <v>0.85</v>
      </c>
      <c r="U620" s="16" t="n">
        <v>0.75</v>
      </c>
      <c r="V620" s="16" t="n">
        <v>0.85</v>
      </c>
      <c r="W620" s="16" t="n">
        <v>0.75</v>
      </c>
      <c r="X620" s="16" t="n">
        <v>0.8</v>
      </c>
      <c r="Y620" s="16" t="n">
        <v>293.15</v>
      </c>
      <c r="Z620" s="16" t="n">
        <v>3.37093060808711</v>
      </c>
      <c r="AA620" s="16" t="n">
        <v>10.58893005737616</v>
      </c>
      <c r="AB620" s="16" t="n">
        <v>1500</v>
      </c>
      <c r="AC620" s="16" t="n">
        <v>2</v>
      </c>
      <c r="AD620" s="16" t="n"/>
      <c r="AE620" s="16" t="n"/>
    </row>
    <row r="621">
      <c r="A621" s="16" t="inlineStr">
        <is>
          <t>KF-M02S-B1-0040</t>
        </is>
      </c>
      <c r="B621" s="16" t="inlineStr">
        <is>
          <t>2.4</t>
        </is>
      </c>
      <c r="C621" s="16" t="inlineStr">
        <is>
          <t>2.4a</t>
        </is>
      </c>
      <c r="D621" s="16" t="inlineStr">
        <is>
          <t>fuente a 403 K</t>
        </is>
      </c>
      <c r="E621" s="16" t="inlineStr">
        <is>
          <t>KF-M02S</t>
        </is>
      </c>
      <c r="F621" s="16" t="inlineStr">
        <is>
          <t>KF-M02S-B1</t>
        </is>
      </c>
      <c r="G621" s="16" t="inlineStr">
        <is>
          <t>B05-B1</t>
        </is>
      </c>
      <c r="H621" s="16" t="inlineStr">
        <is>
          <t>malla</t>
        </is>
      </c>
      <c r="I621" s="16" t="inlineStr">
        <is>
          <t>INVIABLE</t>
        </is>
      </c>
      <c r="J621" s="16" t="inlineStr">
        <is>
          <t>INVIABLE</t>
        </is>
      </c>
      <c r="K621" s="16" t="b">
        <v>1</v>
      </c>
      <c r="L621" s="16" t="b">
        <v>0</v>
      </c>
      <c r="M621" s="16" t="b">
        <v>0</v>
      </c>
      <c r="N621" s="16" t="b">
        <v>0</v>
      </c>
      <c r="O621" s="16" t="n">
        <v>403</v>
      </c>
      <c r="P621" s="16" t="n">
        <v>300.032917</v>
      </c>
      <c r="Q621" s="16" t="n">
        <v>3000</v>
      </c>
      <c r="R621" s="16" t="n">
        <v>150</v>
      </c>
      <c r="S621" s="16" t="n">
        <v>0.5</v>
      </c>
      <c r="T621" s="16" t="n">
        <v>0.85</v>
      </c>
      <c r="U621" s="16" t="n">
        <v>0.75</v>
      </c>
      <c r="V621" s="16" t="n">
        <v>0.85</v>
      </c>
      <c r="W621" s="16" t="n">
        <v>0.75</v>
      </c>
      <c r="X621" s="16" t="n">
        <v>0.8</v>
      </c>
      <c r="Y621" s="16" t="n">
        <v>300.032917</v>
      </c>
      <c r="Z621" s="16" t="n">
        <v>-40.37130861728543</v>
      </c>
      <c r="AA621" s="16" t="n">
        <v>-53.8293307599943</v>
      </c>
      <c r="AB621" s="16" t="n">
        <v>2850</v>
      </c>
      <c r="AC621" s="16" t="n">
        <v>20</v>
      </c>
      <c r="AD621" s="16" t="inlineStr">
        <is>
          <t>O2,O3</t>
        </is>
      </c>
      <c r="AE621" s="16" t="n"/>
    </row>
    <row r="622">
      <c r="A622" s="16" t="inlineStr">
        <is>
          <t>KF-M02S-B1-0041</t>
        </is>
      </c>
      <c r="B622" s="16" t="inlineStr">
        <is>
          <t>2.4</t>
        </is>
      </c>
      <c r="C622" s="16" t="inlineStr">
        <is>
          <t>2.4a</t>
        </is>
      </c>
      <c r="D622" s="16" t="inlineStr">
        <is>
          <t>fuente a 403 K</t>
        </is>
      </c>
      <c r="E622" s="16" t="inlineStr">
        <is>
          <t>KF-M02S</t>
        </is>
      </c>
      <c r="F622" s="16" t="inlineStr">
        <is>
          <t>KF-M02S-B1</t>
        </is>
      </c>
      <c r="G622" s="16" t="inlineStr">
        <is>
          <t>B05-B1</t>
        </is>
      </c>
      <c r="H622" s="16" t="inlineStr">
        <is>
          <t>malla</t>
        </is>
      </c>
      <c r="I622" s="16" t="inlineStr">
        <is>
          <t>CORREGIBLE</t>
        </is>
      </c>
      <c r="J622" s="16" t="inlineStr">
        <is>
          <t>CORREGIBLE</t>
        </is>
      </c>
      <c r="K622" s="16" t="b">
        <v>1</v>
      </c>
      <c r="L622" s="16" t="b">
        <v>0</v>
      </c>
      <c r="M622" s="16" t="b">
        <v>0</v>
      </c>
      <c r="N622" s="16" t="b">
        <v>0</v>
      </c>
      <c r="O622" s="16" t="n">
        <v>403</v>
      </c>
      <c r="P622" s="16" t="n">
        <v>300.032917</v>
      </c>
      <c r="Q622" s="16" t="n">
        <v>3000</v>
      </c>
      <c r="R622" s="16" t="n">
        <v>300</v>
      </c>
      <c r="S622" s="16" t="n">
        <v>0.5</v>
      </c>
      <c r="T622" s="16" t="n">
        <v>0.85</v>
      </c>
      <c r="U622" s="16" t="n">
        <v>0.75</v>
      </c>
      <c r="V622" s="16" t="n">
        <v>0.85</v>
      </c>
      <c r="W622" s="16" t="n">
        <v>0.75</v>
      </c>
      <c r="X622" s="16" t="n">
        <v>0.8</v>
      </c>
      <c r="Y622" s="16" t="n">
        <v>300.032917</v>
      </c>
      <c r="Z622" s="16" t="n">
        <v>9.31735608031927</v>
      </c>
      <c r="AA622" s="16" t="n">
        <v>26.21501198323617</v>
      </c>
      <c r="AB622" s="16" t="n">
        <v>2700</v>
      </c>
      <c r="AC622" s="16" t="n">
        <v>10</v>
      </c>
      <c r="AD622" s="16" t="inlineStr">
        <is>
          <t>O2</t>
        </is>
      </c>
      <c r="AE622" s="16" t="n"/>
    </row>
    <row r="623">
      <c r="A623" s="16" t="inlineStr">
        <is>
          <t>KF-M02S-B1-0042</t>
        </is>
      </c>
      <c r="B623" s="16" t="inlineStr">
        <is>
          <t>2.4</t>
        </is>
      </c>
      <c r="C623" s="16" t="inlineStr">
        <is>
          <t>2.4a</t>
        </is>
      </c>
      <c r="D623" s="16" t="inlineStr">
        <is>
          <t>fuente a 403 K</t>
        </is>
      </c>
      <c r="E623" s="16" t="inlineStr">
        <is>
          <t>KF-M02S</t>
        </is>
      </c>
      <c r="F623" s="16" t="inlineStr">
        <is>
          <t>KF-M02S-B1</t>
        </is>
      </c>
      <c r="G623" s="16" t="inlineStr">
        <is>
          <t>B05-B1</t>
        </is>
      </c>
      <c r="H623" s="16" t="inlineStr">
        <is>
          <t>malla</t>
        </is>
      </c>
      <c r="I623" s="16" t="inlineStr">
        <is>
          <t>CORREGIBLE</t>
        </is>
      </c>
      <c r="J623" s="16" t="inlineStr">
        <is>
          <t>CORREGIBLE</t>
        </is>
      </c>
      <c r="K623" s="16" t="b">
        <v>1</v>
      </c>
      <c r="L623" s="16" t="b">
        <v>0</v>
      </c>
      <c r="M623" s="16" t="b">
        <v>0</v>
      </c>
      <c r="N623" s="16" t="b">
        <v>0</v>
      </c>
      <c r="O623" s="16" t="n">
        <v>403</v>
      </c>
      <c r="P623" s="16" t="n">
        <v>300.032917</v>
      </c>
      <c r="Q623" s="16" t="n">
        <v>3000</v>
      </c>
      <c r="R623" s="16" t="n">
        <v>450</v>
      </c>
      <c r="S623" s="16" t="n">
        <v>0.5</v>
      </c>
      <c r="T623" s="16" t="n">
        <v>0.85</v>
      </c>
      <c r="U623" s="16" t="n">
        <v>0.75</v>
      </c>
      <c r="V623" s="16" t="n">
        <v>0.85</v>
      </c>
      <c r="W623" s="16" t="n">
        <v>0.75</v>
      </c>
      <c r="X623" s="16" t="n">
        <v>0.8</v>
      </c>
      <c r="Y623" s="16" t="n">
        <v>300.032917</v>
      </c>
      <c r="Z623" s="16" t="n">
        <v>9.46623090994277</v>
      </c>
      <c r="AA623" s="16" t="n">
        <v>28.96031107589675</v>
      </c>
      <c r="AB623" s="16" t="n">
        <v>2550</v>
      </c>
      <c r="AC623" s="16" t="n">
        <v>6.666666666666667</v>
      </c>
      <c r="AD623" s="16" t="inlineStr">
        <is>
          <t>O2</t>
        </is>
      </c>
      <c r="AE623" s="16" t="n"/>
    </row>
    <row r="624">
      <c r="A624" s="16" t="inlineStr">
        <is>
          <t>KF-M02S-B1-0043</t>
        </is>
      </c>
      <c r="B624" s="16" t="inlineStr">
        <is>
          <t>2.4</t>
        </is>
      </c>
      <c r="C624" s="16" t="inlineStr">
        <is>
          <t>2.4a</t>
        </is>
      </c>
      <c r="D624" s="16" t="inlineStr">
        <is>
          <t>fuente a 403 K</t>
        </is>
      </c>
      <c r="E624" s="16" t="inlineStr">
        <is>
          <t>KF-M02S</t>
        </is>
      </c>
      <c r="F624" s="16" t="inlineStr">
        <is>
          <t>KF-M02S-B1</t>
        </is>
      </c>
      <c r="G624" s="16" t="inlineStr">
        <is>
          <t>B05-B1</t>
        </is>
      </c>
      <c r="H624" s="16" t="inlineStr">
        <is>
          <t>malla</t>
        </is>
      </c>
      <c r="I624" s="16" t="inlineStr">
        <is>
          <t>KALINA</t>
        </is>
      </c>
      <c r="J624" s="16" t="inlineStr">
        <is>
          <t>KALINA</t>
        </is>
      </c>
      <c r="K624" s="16" t="b">
        <v>1</v>
      </c>
      <c r="L624" s="16" t="b">
        <v>1</v>
      </c>
      <c r="M624" s="16" t="b">
        <v>0</v>
      </c>
      <c r="N624" s="16" t="b">
        <v>0</v>
      </c>
      <c r="O624" s="16" t="n">
        <v>403</v>
      </c>
      <c r="P624" s="16" t="n">
        <v>300.032917</v>
      </c>
      <c r="Q624" s="16" t="n">
        <v>3000</v>
      </c>
      <c r="R624" s="16" t="n">
        <v>600</v>
      </c>
      <c r="S624" s="16" t="n">
        <v>0.5</v>
      </c>
      <c r="T624" s="16" t="n">
        <v>0.85</v>
      </c>
      <c r="U624" s="16" t="n">
        <v>0.75</v>
      </c>
      <c r="V624" s="16" t="n">
        <v>0.85</v>
      </c>
      <c r="W624" s="16" t="n">
        <v>0.75</v>
      </c>
      <c r="X624" s="16" t="n">
        <v>0.8</v>
      </c>
      <c r="Y624" s="16" t="n">
        <v>300.032917</v>
      </c>
      <c r="Z624" s="16" t="n">
        <v>8.1721892568799</v>
      </c>
      <c r="AA624" s="16" t="n">
        <v>24.98977919628529</v>
      </c>
      <c r="AB624" s="16" t="n">
        <v>2400</v>
      </c>
      <c r="AC624" s="16" t="n">
        <v>5</v>
      </c>
      <c r="AD624" s="16" t="n"/>
      <c r="AE624" s="16" t="n"/>
    </row>
    <row r="625">
      <c r="A625" s="16" t="inlineStr">
        <is>
          <t>KF-M02S-B1-0044</t>
        </is>
      </c>
      <c r="B625" s="16" t="inlineStr">
        <is>
          <t>2.4</t>
        </is>
      </c>
      <c r="C625" s="16" t="inlineStr">
        <is>
          <t>2.4a</t>
        </is>
      </c>
      <c r="D625" s="16" t="inlineStr">
        <is>
          <t>fuente a 403 K</t>
        </is>
      </c>
      <c r="E625" s="16" t="inlineStr">
        <is>
          <t>KF-M02S</t>
        </is>
      </c>
      <c r="F625" s="16" t="inlineStr">
        <is>
          <t>KF-M02S-B1</t>
        </is>
      </c>
      <c r="G625" s="16" t="inlineStr">
        <is>
          <t>B05-B1</t>
        </is>
      </c>
      <c r="H625" s="16" t="inlineStr">
        <is>
          <t>malla</t>
        </is>
      </c>
      <c r="I625" s="16" t="inlineStr">
        <is>
          <t>KALINA</t>
        </is>
      </c>
      <c r="J625" s="16" t="inlineStr">
        <is>
          <t>KALINA</t>
        </is>
      </c>
      <c r="K625" s="16" t="b">
        <v>1</v>
      </c>
      <c r="L625" s="16" t="b">
        <v>1</v>
      </c>
      <c r="M625" s="16" t="b">
        <v>0</v>
      </c>
      <c r="N625" s="16" t="b">
        <v>0</v>
      </c>
      <c r="O625" s="16" t="n">
        <v>403</v>
      </c>
      <c r="P625" s="16" t="n">
        <v>300.032917</v>
      </c>
      <c r="Q625" s="16" t="n">
        <v>3000</v>
      </c>
      <c r="R625" s="16" t="n">
        <v>750</v>
      </c>
      <c r="S625" s="16" t="n">
        <v>0.5</v>
      </c>
      <c r="T625" s="16" t="n">
        <v>0.85</v>
      </c>
      <c r="U625" s="16" t="n">
        <v>0.75</v>
      </c>
      <c r="V625" s="16" t="n">
        <v>0.85</v>
      </c>
      <c r="W625" s="16" t="n">
        <v>0.75</v>
      </c>
      <c r="X625" s="16" t="n">
        <v>0.8</v>
      </c>
      <c r="Y625" s="16" t="n">
        <v>300.032917</v>
      </c>
      <c r="Z625" s="16" t="n">
        <v>7.05378552173042</v>
      </c>
      <c r="AA625" s="16" t="n">
        <v>21.55494256812118</v>
      </c>
      <c r="AB625" s="16" t="n">
        <v>2250</v>
      </c>
      <c r="AC625" s="16" t="n">
        <v>4</v>
      </c>
      <c r="AD625" s="16" t="n"/>
      <c r="AE625" s="16" t="n"/>
    </row>
    <row r="626">
      <c r="A626" s="16" t="inlineStr">
        <is>
          <t>KF-M02S-B1-0045</t>
        </is>
      </c>
      <c r="B626" s="16" t="inlineStr">
        <is>
          <t>2.4</t>
        </is>
      </c>
      <c r="C626" s="16" t="inlineStr">
        <is>
          <t>2.4a</t>
        </is>
      </c>
      <c r="D626" s="16" t="inlineStr">
        <is>
          <t>fuente a 403 K</t>
        </is>
      </c>
      <c r="E626" s="16" t="inlineStr">
        <is>
          <t>KF-M02S</t>
        </is>
      </c>
      <c r="F626" s="16" t="inlineStr">
        <is>
          <t>KF-M02S-B1</t>
        </is>
      </c>
      <c r="G626" s="16" t="inlineStr">
        <is>
          <t>B05-B1</t>
        </is>
      </c>
      <c r="H626" s="16" t="inlineStr">
        <is>
          <t>malla</t>
        </is>
      </c>
      <c r="I626" s="16" t="inlineStr">
        <is>
          <t>KALINA</t>
        </is>
      </c>
      <c r="J626" s="16" t="inlineStr">
        <is>
          <t>KALINA</t>
        </is>
      </c>
      <c r="K626" s="16" t="b">
        <v>1</v>
      </c>
      <c r="L626" s="16" t="b">
        <v>1</v>
      </c>
      <c r="M626" s="16" t="b">
        <v>0</v>
      </c>
      <c r="N626" s="16" t="b">
        <v>0</v>
      </c>
      <c r="O626" s="16" t="n">
        <v>403</v>
      </c>
      <c r="P626" s="16" t="n">
        <v>300.032917</v>
      </c>
      <c r="Q626" s="16" t="n">
        <v>3000</v>
      </c>
      <c r="R626" s="16" t="n">
        <v>900</v>
      </c>
      <c r="S626" s="16" t="n">
        <v>0.5</v>
      </c>
      <c r="T626" s="16" t="n">
        <v>0.85</v>
      </c>
      <c r="U626" s="16" t="n">
        <v>0.75</v>
      </c>
      <c r="V626" s="16" t="n">
        <v>0.85</v>
      </c>
      <c r="W626" s="16" t="n">
        <v>0.75</v>
      </c>
      <c r="X626" s="16" t="n">
        <v>0.8</v>
      </c>
      <c r="Y626" s="16" t="n">
        <v>300.032917</v>
      </c>
      <c r="Z626" s="16" t="n">
        <v>6.12706118441853</v>
      </c>
      <c r="AA626" s="16" t="n">
        <v>18.7127684232278</v>
      </c>
      <c r="AB626" s="16" t="n">
        <v>2100</v>
      </c>
      <c r="AC626" s="16" t="n">
        <v>3.333333333333333</v>
      </c>
      <c r="AD626" s="16" t="n"/>
      <c r="AE626" s="16" t="n"/>
    </row>
    <row r="627">
      <c r="A627" s="16" t="inlineStr">
        <is>
          <t>KF-M02S-B1-0046</t>
        </is>
      </c>
      <c r="B627" s="16" t="inlineStr">
        <is>
          <t>2.4</t>
        </is>
      </c>
      <c r="C627" s="16" t="inlineStr">
        <is>
          <t>2.4a</t>
        </is>
      </c>
      <c r="D627" s="16" t="inlineStr">
        <is>
          <t>fuente a 403 K</t>
        </is>
      </c>
      <c r="E627" s="16" t="inlineStr">
        <is>
          <t>KF-M02S</t>
        </is>
      </c>
      <c r="F627" s="16" t="inlineStr">
        <is>
          <t>KF-M02S-B1</t>
        </is>
      </c>
      <c r="G627" s="16" t="inlineStr">
        <is>
          <t>B05-B1</t>
        </is>
      </c>
      <c r="H627" s="16" t="inlineStr">
        <is>
          <t>malla</t>
        </is>
      </c>
      <c r="I627" s="16" t="inlineStr">
        <is>
          <t>KALINA</t>
        </is>
      </c>
      <c r="J627" s="16" t="inlineStr">
        <is>
          <t>KALINA</t>
        </is>
      </c>
      <c r="K627" s="16" t="b">
        <v>1</v>
      </c>
      <c r="L627" s="16" t="b">
        <v>1</v>
      </c>
      <c r="M627" s="16" t="b">
        <v>0</v>
      </c>
      <c r="N627" s="16" t="b">
        <v>0</v>
      </c>
      <c r="O627" s="16" t="n">
        <v>403</v>
      </c>
      <c r="P627" s="16" t="n">
        <v>300.032917</v>
      </c>
      <c r="Q627" s="16" t="n">
        <v>3000</v>
      </c>
      <c r="R627" s="16" t="n">
        <v>1050</v>
      </c>
      <c r="S627" s="16" t="n">
        <v>0.5</v>
      </c>
      <c r="T627" s="16" t="n">
        <v>0.85</v>
      </c>
      <c r="U627" s="16" t="n">
        <v>0.75</v>
      </c>
      <c r="V627" s="16" t="n">
        <v>0.85</v>
      </c>
      <c r="W627" s="16" t="n">
        <v>0.75</v>
      </c>
      <c r="X627" s="16" t="n">
        <v>0.8</v>
      </c>
      <c r="Y627" s="16" t="n">
        <v>300.032917</v>
      </c>
      <c r="Z627" s="16" t="n">
        <v>5.33666192853466</v>
      </c>
      <c r="AA627" s="16" t="n">
        <v>16.29145166031817</v>
      </c>
      <c r="AB627" s="16" t="n">
        <v>1950</v>
      </c>
      <c r="AC627" s="16" t="n">
        <v>2.857142857142857</v>
      </c>
      <c r="AD627" s="16" t="n"/>
      <c r="AE627" s="16" t="n"/>
    </row>
    <row r="628">
      <c r="A628" s="16" t="inlineStr">
        <is>
          <t>KF-M02S-B1-0047</t>
        </is>
      </c>
      <c r="B628" s="16" t="inlineStr">
        <is>
          <t>2.4</t>
        </is>
      </c>
      <c r="C628" s="16" t="inlineStr">
        <is>
          <t>2.4a</t>
        </is>
      </c>
      <c r="D628" s="16" t="inlineStr">
        <is>
          <t>fuente a 403 K</t>
        </is>
      </c>
      <c r="E628" s="16" t="inlineStr">
        <is>
          <t>KF-M02S</t>
        </is>
      </c>
      <c r="F628" s="16" t="inlineStr">
        <is>
          <t>KF-M02S-B1</t>
        </is>
      </c>
      <c r="G628" s="16" t="inlineStr">
        <is>
          <t>B05-B1</t>
        </is>
      </c>
      <c r="H628" s="16" t="inlineStr">
        <is>
          <t>malla</t>
        </is>
      </c>
      <c r="I628" s="16" t="inlineStr">
        <is>
          <t>KALINA</t>
        </is>
      </c>
      <c r="J628" s="16" t="inlineStr">
        <is>
          <t>KALINA</t>
        </is>
      </c>
      <c r="K628" s="16" t="b">
        <v>1</v>
      </c>
      <c r="L628" s="16" t="b">
        <v>1</v>
      </c>
      <c r="M628" s="16" t="b">
        <v>0</v>
      </c>
      <c r="N628" s="16" t="b">
        <v>0</v>
      </c>
      <c r="O628" s="16" t="n">
        <v>403</v>
      </c>
      <c r="P628" s="16" t="n">
        <v>300.032917</v>
      </c>
      <c r="Q628" s="16" t="n">
        <v>3000</v>
      </c>
      <c r="R628" s="16" t="n">
        <v>1200</v>
      </c>
      <c r="S628" s="16" t="n">
        <v>0.5</v>
      </c>
      <c r="T628" s="16" t="n">
        <v>0.85</v>
      </c>
      <c r="U628" s="16" t="n">
        <v>0.75</v>
      </c>
      <c r="V628" s="16" t="n">
        <v>0.85</v>
      </c>
      <c r="W628" s="16" t="n">
        <v>0.75</v>
      </c>
      <c r="X628" s="16" t="n">
        <v>0.8</v>
      </c>
      <c r="Y628" s="16" t="n">
        <v>300.032917</v>
      </c>
      <c r="Z628" s="16" t="n">
        <v>4.64855599585817</v>
      </c>
      <c r="AA628" s="16" t="n">
        <v>14.18551201394656</v>
      </c>
      <c r="AB628" s="16" t="n">
        <v>1800</v>
      </c>
      <c r="AC628" s="16" t="n">
        <v>2.5</v>
      </c>
      <c r="AD628" s="16" t="n"/>
      <c r="AE628" s="16" t="n"/>
    </row>
    <row r="629">
      <c r="A629" s="16" t="inlineStr">
        <is>
          <t>KF-M02S-B1-0048</t>
        </is>
      </c>
      <c r="B629" s="16" t="inlineStr">
        <is>
          <t>2.4</t>
        </is>
      </c>
      <c r="C629" s="16" t="inlineStr">
        <is>
          <t>2.4a</t>
        </is>
      </c>
      <c r="D629" s="16" t="inlineStr">
        <is>
          <t>fuente a 403 K</t>
        </is>
      </c>
      <c r="E629" s="16" t="inlineStr">
        <is>
          <t>KF-M02S</t>
        </is>
      </c>
      <c r="F629" s="16" t="inlineStr">
        <is>
          <t>KF-M02S-B1</t>
        </is>
      </c>
      <c r="G629" s="16" t="inlineStr">
        <is>
          <t>B05-B1</t>
        </is>
      </c>
      <c r="H629" s="16" t="inlineStr">
        <is>
          <t>malla</t>
        </is>
      </c>
      <c r="I629" s="16" t="inlineStr">
        <is>
          <t>KALINA</t>
        </is>
      </c>
      <c r="J629" s="16" t="inlineStr">
        <is>
          <t>KALINA</t>
        </is>
      </c>
      <c r="K629" s="16" t="b">
        <v>1</v>
      </c>
      <c r="L629" s="16" t="b">
        <v>1</v>
      </c>
      <c r="M629" s="16" t="b">
        <v>0</v>
      </c>
      <c r="N629" s="16" t="b">
        <v>0</v>
      </c>
      <c r="O629" s="16" t="n">
        <v>403</v>
      </c>
      <c r="P629" s="16" t="n">
        <v>300.032917</v>
      </c>
      <c r="Q629" s="16" t="n">
        <v>3000</v>
      </c>
      <c r="R629" s="16" t="n">
        <v>1350</v>
      </c>
      <c r="S629" s="16" t="n">
        <v>0.5</v>
      </c>
      <c r="T629" s="16" t="n">
        <v>0.85</v>
      </c>
      <c r="U629" s="16" t="n">
        <v>0.75</v>
      </c>
      <c r="V629" s="16" t="n">
        <v>0.85</v>
      </c>
      <c r="W629" s="16" t="n">
        <v>0.75</v>
      </c>
      <c r="X629" s="16" t="n">
        <v>0.8</v>
      </c>
      <c r="Y629" s="16" t="n">
        <v>300.032917</v>
      </c>
      <c r="Z629" s="16" t="n">
        <v>4.04026088358925</v>
      </c>
      <c r="AA629" s="16" t="n">
        <v>12.32531702263673</v>
      </c>
      <c r="AB629" s="16" t="n">
        <v>1650</v>
      </c>
      <c r="AC629" s="16" t="n">
        <v>2.222222222222222</v>
      </c>
      <c r="AD629" s="16" t="n"/>
      <c r="AE629" s="16" t="n"/>
    </row>
    <row r="630">
      <c r="A630" s="16" t="inlineStr">
        <is>
          <t>KF-M02S-B1-0049</t>
        </is>
      </c>
      <c r="B630" s="16" t="inlineStr">
        <is>
          <t>2.4</t>
        </is>
      </c>
      <c r="C630" s="16" t="inlineStr">
        <is>
          <t>2.4a</t>
        </is>
      </c>
      <c r="D630" s="16" t="inlineStr">
        <is>
          <t>fuente a 403 K</t>
        </is>
      </c>
      <c r="E630" s="16" t="inlineStr">
        <is>
          <t>KF-M02S</t>
        </is>
      </c>
      <c r="F630" s="16" t="inlineStr">
        <is>
          <t>KF-M02S-B1</t>
        </is>
      </c>
      <c r="G630" s="16" t="inlineStr">
        <is>
          <t>B05-B1</t>
        </is>
      </c>
      <c r="H630" s="16" t="inlineStr">
        <is>
          <t>malla</t>
        </is>
      </c>
      <c r="I630" s="16" t="inlineStr">
        <is>
          <t>KALINA</t>
        </is>
      </c>
      <c r="J630" s="16" t="inlineStr">
        <is>
          <t>KALINA</t>
        </is>
      </c>
      <c r="K630" s="16" t="b">
        <v>1</v>
      </c>
      <c r="L630" s="16" t="b">
        <v>1</v>
      </c>
      <c r="M630" s="16" t="b">
        <v>0</v>
      </c>
      <c r="N630" s="16" t="b">
        <v>0</v>
      </c>
      <c r="O630" s="16" t="n">
        <v>403</v>
      </c>
      <c r="P630" s="16" t="n">
        <v>300.032917</v>
      </c>
      <c r="Q630" s="16" t="n">
        <v>3000</v>
      </c>
      <c r="R630" s="16" t="n">
        <v>1500</v>
      </c>
      <c r="S630" s="16" t="n">
        <v>0.5</v>
      </c>
      <c r="T630" s="16" t="n">
        <v>0.85</v>
      </c>
      <c r="U630" s="16" t="n">
        <v>0.75</v>
      </c>
      <c r="V630" s="16" t="n">
        <v>0.85</v>
      </c>
      <c r="W630" s="16" t="n">
        <v>0.75</v>
      </c>
      <c r="X630" s="16" t="n">
        <v>0.8</v>
      </c>
      <c r="Y630" s="16" t="n">
        <v>300.032917</v>
      </c>
      <c r="Z630" s="16" t="n">
        <v>3.49609139100652</v>
      </c>
      <c r="AA630" s="16" t="n">
        <v>10.66236197414988</v>
      </c>
      <c r="AB630" s="16" t="n">
        <v>1500</v>
      </c>
      <c r="AC630" s="16" t="n">
        <v>2</v>
      </c>
      <c r="AD630" s="16" t="n"/>
      <c r="AE630" s="16" t="n"/>
    </row>
    <row r="631">
      <c r="A631" s="16" t="inlineStr">
        <is>
          <t>KF-M02S-B2-0000</t>
        </is>
      </c>
      <c r="B631" s="16" t="inlineStr">
        <is>
          <t>2.4</t>
        </is>
      </c>
      <c r="C631" s="16" t="inlineStr">
        <is>
          <t>2.4b</t>
        </is>
      </c>
      <c r="D631" s="16" t="inlineStr">
        <is>
          <t>fuente a 420 K</t>
        </is>
      </c>
      <c r="E631" s="16" t="inlineStr">
        <is>
          <t>KF-M02S</t>
        </is>
      </c>
      <c r="F631" s="16" t="inlineStr">
        <is>
          <t>KF-M02S-B2</t>
        </is>
      </c>
      <c r="G631" s="16" t="inlineStr">
        <is>
          <t>B05-B2</t>
        </is>
      </c>
      <c r="H631" s="16" t="inlineStr">
        <is>
          <t>malla</t>
        </is>
      </c>
      <c r="I631" s="16" t="inlineStr">
        <is>
          <t>CORREGIBLE</t>
        </is>
      </c>
      <c r="J631" s="16" t="inlineStr">
        <is>
          <t>CORREGIBLE</t>
        </is>
      </c>
      <c r="K631" s="16" t="b">
        <v>1</v>
      </c>
      <c r="L631" s="16" t="b">
        <v>0</v>
      </c>
      <c r="M631" s="16" t="b">
        <v>0</v>
      </c>
      <c r="N631" s="16" t="b">
        <v>0</v>
      </c>
      <c r="O631" s="16" t="n">
        <v>420</v>
      </c>
      <c r="P631" s="16" t="n">
        <v>278.15</v>
      </c>
      <c r="Q631" s="16" t="n">
        <v>3000</v>
      </c>
      <c r="R631" s="16" t="n">
        <v>150</v>
      </c>
      <c r="S631" s="16" t="n">
        <v>0.5</v>
      </c>
      <c r="T631" s="16" t="n">
        <v>0.85</v>
      </c>
      <c r="U631" s="16" t="n">
        <v>0.75</v>
      </c>
      <c r="V631" s="16" t="n">
        <v>0.85</v>
      </c>
      <c r="W631" s="16" t="n">
        <v>0.75</v>
      </c>
      <c r="X631" s="16" t="n">
        <v>0.8</v>
      </c>
      <c r="Y631" s="16" t="n">
        <v>278.15</v>
      </c>
      <c r="Z631" s="16" t="n">
        <v>15.82706115287613</v>
      </c>
      <c r="AA631" s="16" t="n">
        <v>85.26535830834251</v>
      </c>
      <c r="AB631" s="16" t="n">
        <v>2850</v>
      </c>
      <c r="AC631" s="16" t="n">
        <v>20</v>
      </c>
      <c r="AD631" s="16" t="inlineStr">
        <is>
          <t>O1,O2</t>
        </is>
      </c>
      <c r="AE631" s="16" t="n"/>
    </row>
    <row r="632">
      <c r="A632" s="16" t="inlineStr">
        <is>
          <t>KF-M02S-B2-0001</t>
        </is>
      </c>
      <c r="B632" s="16" t="inlineStr">
        <is>
          <t>2.4</t>
        </is>
      </c>
      <c r="C632" s="16" t="inlineStr">
        <is>
          <t>2.4b</t>
        </is>
      </c>
      <c r="D632" s="16" t="inlineStr">
        <is>
          <t>fuente a 420 K</t>
        </is>
      </c>
      <c r="E632" s="16" t="inlineStr">
        <is>
          <t>KF-M02S</t>
        </is>
      </c>
      <c r="F632" s="16" t="inlineStr">
        <is>
          <t>KF-M02S-B2</t>
        </is>
      </c>
      <c r="G632" s="16" t="inlineStr">
        <is>
          <t>B05-B2</t>
        </is>
      </c>
      <c r="H632" s="16" t="inlineStr">
        <is>
          <t>malla</t>
        </is>
      </c>
      <c r="I632" s="16" t="inlineStr">
        <is>
          <t>CORREGIBLE</t>
        </is>
      </c>
      <c r="J632" s="16" t="inlineStr">
        <is>
          <t>CORREGIBLE</t>
        </is>
      </c>
      <c r="K632" s="16" t="b">
        <v>1</v>
      </c>
      <c r="L632" s="16" t="b">
        <v>0</v>
      </c>
      <c r="M632" s="16" t="b">
        <v>0</v>
      </c>
      <c r="N632" s="16" t="b">
        <v>0</v>
      </c>
      <c r="O632" s="16" t="n">
        <v>420</v>
      </c>
      <c r="P632" s="16" t="n">
        <v>278.15</v>
      </c>
      <c r="Q632" s="16" t="n">
        <v>3000</v>
      </c>
      <c r="R632" s="16" t="n">
        <v>300</v>
      </c>
      <c r="S632" s="16" t="n">
        <v>0.5</v>
      </c>
      <c r="T632" s="16" t="n">
        <v>0.85</v>
      </c>
      <c r="U632" s="16" t="n">
        <v>0.75</v>
      </c>
      <c r="V632" s="16" t="n">
        <v>0.85</v>
      </c>
      <c r="W632" s="16" t="n">
        <v>0.75</v>
      </c>
      <c r="X632" s="16" t="n">
        <v>0.8</v>
      </c>
      <c r="Y632" s="16" t="n">
        <v>278.15</v>
      </c>
      <c r="Z632" s="16" t="n">
        <v>13.26199479913055</v>
      </c>
      <c r="AA632" s="16" t="n">
        <v>71.66275833828891</v>
      </c>
      <c r="AB632" s="16" t="n">
        <v>2700</v>
      </c>
      <c r="AC632" s="16" t="n">
        <v>10</v>
      </c>
      <c r="AD632" s="16" t="inlineStr">
        <is>
          <t>O2</t>
        </is>
      </c>
      <c r="AE632" s="16" t="n"/>
    </row>
    <row r="633">
      <c r="A633" s="16" t="inlineStr">
        <is>
          <t>KF-M02S-B2-0002</t>
        </is>
      </c>
      <c r="B633" s="16" t="inlineStr">
        <is>
          <t>2.4</t>
        </is>
      </c>
      <c r="C633" s="16" t="inlineStr">
        <is>
          <t>2.4b</t>
        </is>
      </c>
      <c r="D633" s="16" t="inlineStr">
        <is>
          <t>fuente a 420 K</t>
        </is>
      </c>
      <c r="E633" s="16" t="inlineStr">
        <is>
          <t>KF-M02S</t>
        </is>
      </c>
      <c r="F633" s="16" t="inlineStr">
        <is>
          <t>KF-M02S-B2</t>
        </is>
      </c>
      <c r="G633" s="16" t="inlineStr">
        <is>
          <t>B05-B2</t>
        </is>
      </c>
      <c r="H633" s="16" t="inlineStr">
        <is>
          <t>malla</t>
        </is>
      </c>
      <c r="I633" s="16" t="inlineStr">
        <is>
          <t>KALINA</t>
        </is>
      </c>
      <c r="J633" s="16" t="inlineStr">
        <is>
          <t>KALINA</t>
        </is>
      </c>
      <c r="K633" s="16" t="b">
        <v>1</v>
      </c>
      <c r="L633" s="16" t="b">
        <v>1</v>
      </c>
      <c r="M633" s="16" t="b">
        <v>0</v>
      </c>
      <c r="N633" s="16" t="b">
        <v>0</v>
      </c>
      <c r="O633" s="16" t="n">
        <v>420</v>
      </c>
      <c r="P633" s="16" t="n">
        <v>278.15</v>
      </c>
      <c r="Q633" s="16" t="n">
        <v>3000</v>
      </c>
      <c r="R633" s="16" t="n">
        <v>450</v>
      </c>
      <c r="S633" s="16" t="n">
        <v>0.5</v>
      </c>
      <c r="T633" s="16" t="n">
        <v>0.85</v>
      </c>
      <c r="U633" s="16" t="n">
        <v>0.75</v>
      </c>
      <c r="V633" s="16" t="n">
        <v>0.85</v>
      </c>
      <c r="W633" s="16" t="n">
        <v>0.75</v>
      </c>
      <c r="X633" s="16" t="n">
        <v>0.8</v>
      </c>
      <c r="Y633" s="16" t="n">
        <v>278.15</v>
      </c>
      <c r="Z633" s="16" t="n">
        <v>11.18628477389919</v>
      </c>
      <c r="AA633" s="16" t="n">
        <v>60.35823851124148</v>
      </c>
      <c r="AB633" s="16" t="n">
        <v>2550</v>
      </c>
      <c r="AC633" s="16" t="n">
        <v>6.666666666666667</v>
      </c>
      <c r="AD633" s="16" t="n"/>
      <c r="AE633" s="16" t="n"/>
    </row>
    <row r="634">
      <c r="A634" s="16" t="inlineStr">
        <is>
          <t>KF-M02S-B2-0003</t>
        </is>
      </c>
      <c r="B634" s="16" t="inlineStr">
        <is>
          <t>2.4</t>
        </is>
      </c>
      <c r="C634" s="16" t="inlineStr">
        <is>
          <t>2.4b</t>
        </is>
      </c>
      <c r="D634" s="16" t="inlineStr">
        <is>
          <t>fuente a 420 K</t>
        </is>
      </c>
      <c r="E634" s="16" t="inlineStr">
        <is>
          <t>KF-M02S</t>
        </is>
      </c>
      <c r="F634" s="16" t="inlineStr">
        <is>
          <t>KF-M02S-B2</t>
        </is>
      </c>
      <c r="G634" s="16" t="inlineStr">
        <is>
          <t>B05-B2</t>
        </is>
      </c>
      <c r="H634" s="16" t="inlineStr">
        <is>
          <t>malla</t>
        </is>
      </c>
      <c r="I634" s="16" t="inlineStr">
        <is>
          <t>KALINA</t>
        </is>
      </c>
      <c r="J634" s="16" t="inlineStr">
        <is>
          <t>KALINA</t>
        </is>
      </c>
      <c r="K634" s="16" t="b">
        <v>1</v>
      </c>
      <c r="L634" s="16" t="b">
        <v>1</v>
      </c>
      <c r="M634" s="16" t="b">
        <v>0</v>
      </c>
      <c r="N634" s="16" t="b">
        <v>0</v>
      </c>
      <c r="O634" s="16" t="n">
        <v>420</v>
      </c>
      <c r="P634" s="16" t="n">
        <v>278.15</v>
      </c>
      <c r="Q634" s="16" t="n">
        <v>3000</v>
      </c>
      <c r="R634" s="16" t="n">
        <v>600</v>
      </c>
      <c r="S634" s="16" t="n">
        <v>0.5</v>
      </c>
      <c r="T634" s="16" t="n">
        <v>0.85</v>
      </c>
      <c r="U634" s="16" t="n">
        <v>0.75</v>
      </c>
      <c r="V634" s="16" t="n">
        <v>0.85</v>
      </c>
      <c r="W634" s="16" t="n">
        <v>0.75</v>
      </c>
      <c r="X634" s="16" t="n">
        <v>0.8</v>
      </c>
      <c r="Y634" s="16" t="n">
        <v>278.15</v>
      </c>
      <c r="Z634" s="16" t="n">
        <v>9.59448327912876</v>
      </c>
      <c r="AA634" s="16" t="n">
        <v>51.69967163726868</v>
      </c>
      <c r="AB634" s="16" t="n">
        <v>2400</v>
      </c>
      <c r="AC634" s="16" t="n">
        <v>5</v>
      </c>
      <c r="AD634" s="16" t="n"/>
      <c r="AE634" s="16" t="n"/>
    </row>
    <row r="635">
      <c r="A635" s="16" t="inlineStr">
        <is>
          <t>KF-M02S-B2-0004</t>
        </is>
      </c>
      <c r="B635" s="16" t="inlineStr">
        <is>
          <t>2.4</t>
        </is>
      </c>
      <c r="C635" s="16" t="inlineStr">
        <is>
          <t>2.4b</t>
        </is>
      </c>
      <c r="D635" s="16" t="inlineStr">
        <is>
          <t>fuente a 420 K</t>
        </is>
      </c>
      <c r="E635" s="16" t="inlineStr">
        <is>
          <t>KF-M02S</t>
        </is>
      </c>
      <c r="F635" s="16" t="inlineStr">
        <is>
          <t>KF-M02S-B2</t>
        </is>
      </c>
      <c r="G635" s="16" t="inlineStr">
        <is>
          <t>B05-B2</t>
        </is>
      </c>
      <c r="H635" s="16" t="inlineStr">
        <is>
          <t>malla</t>
        </is>
      </c>
      <c r="I635" s="16" t="inlineStr">
        <is>
          <t>KALINA</t>
        </is>
      </c>
      <c r="J635" s="16" t="inlineStr">
        <is>
          <t>KALINA</t>
        </is>
      </c>
      <c r="K635" s="16" t="b">
        <v>1</v>
      </c>
      <c r="L635" s="16" t="b">
        <v>1</v>
      </c>
      <c r="M635" s="16" t="b">
        <v>0</v>
      </c>
      <c r="N635" s="16" t="b">
        <v>0</v>
      </c>
      <c r="O635" s="16" t="n">
        <v>420</v>
      </c>
      <c r="P635" s="16" t="n">
        <v>278.15</v>
      </c>
      <c r="Q635" s="16" t="n">
        <v>3000</v>
      </c>
      <c r="R635" s="16" t="n">
        <v>750</v>
      </c>
      <c r="S635" s="16" t="n">
        <v>0.5</v>
      </c>
      <c r="T635" s="16" t="n">
        <v>0.85</v>
      </c>
      <c r="U635" s="16" t="n">
        <v>0.75</v>
      </c>
      <c r="V635" s="16" t="n">
        <v>0.85</v>
      </c>
      <c r="W635" s="16" t="n">
        <v>0.75</v>
      </c>
      <c r="X635" s="16" t="n">
        <v>0.8</v>
      </c>
      <c r="Y635" s="16" t="n">
        <v>278.15</v>
      </c>
      <c r="Z635" s="16" t="n">
        <v>8.32717851616929</v>
      </c>
      <c r="AA635" s="16" t="n">
        <v>44.82357909795613</v>
      </c>
      <c r="AB635" s="16" t="n">
        <v>2250</v>
      </c>
      <c r="AC635" s="16" t="n">
        <v>4</v>
      </c>
      <c r="AD635" s="16" t="n"/>
      <c r="AE635" s="16" t="n"/>
    </row>
    <row r="636">
      <c r="A636" s="16" t="inlineStr">
        <is>
          <t>KF-M02S-B2-0005</t>
        </is>
      </c>
      <c r="B636" s="16" t="inlineStr">
        <is>
          <t>2.4</t>
        </is>
      </c>
      <c r="C636" s="16" t="inlineStr">
        <is>
          <t>2.4b</t>
        </is>
      </c>
      <c r="D636" s="16" t="inlineStr">
        <is>
          <t>fuente a 420 K</t>
        </is>
      </c>
      <c r="E636" s="16" t="inlineStr">
        <is>
          <t>KF-M02S</t>
        </is>
      </c>
      <c r="F636" s="16" t="inlineStr">
        <is>
          <t>KF-M02S-B2</t>
        </is>
      </c>
      <c r="G636" s="16" t="inlineStr">
        <is>
          <t>B05-B2</t>
        </is>
      </c>
      <c r="H636" s="16" t="inlineStr">
        <is>
          <t>malla</t>
        </is>
      </c>
      <c r="I636" s="16" t="inlineStr">
        <is>
          <t>KALINA</t>
        </is>
      </c>
      <c r="J636" s="16" t="inlineStr">
        <is>
          <t>KALINA</t>
        </is>
      </c>
      <c r="K636" s="16" t="b">
        <v>1</v>
      </c>
      <c r="L636" s="16" t="b">
        <v>1</v>
      </c>
      <c r="M636" s="16" t="b">
        <v>0</v>
      </c>
      <c r="N636" s="16" t="b">
        <v>0</v>
      </c>
      <c r="O636" s="16" t="n">
        <v>420</v>
      </c>
      <c r="P636" s="16" t="n">
        <v>278.15</v>
      </c>
      <c r="Q636" s="16" t="n">
        <v>3000</v>
      </c>
      <c r="R636" s="16" t="n">
        <v>900</v>
      </c>
      <c r="S636" s="16" t="n">
        <v>0.5</v>
      </c>
      <c r="T636" s="16" t="n">
        <v>0.85</v>
      </c>
      <c r="U636" s="16" t="n">
        <v>0.75</v>
      </c>
      <c r="V636" s="16" t="n">
        <v>0.85</v>
      </c>
      <c r="W636" s="16" t="n">
        <v>0.75</v>
      </c>
      <c r="X636" s="16" t="n">
        <v>0.8</v>
      </c>
      <c r="Y636" s="16" t="n">
        <v>278.15</v>
      </c>
      <c r="Z636" s="16" t="n">
        <v>7.27186493535278</v>
      </c>
      <c r="AA636" s="16" t="n">
        <v>39.10925058835644</v>
      </c>
      <c r="AB636" s="16" t="n">
        <v>2100</v>
      </c>
      <c r="AC636" s="16" t="n">
        <v>3.333333333333333</v>
      </c>
      <c r="AD636" s="16" t="n"/>
      <c r="AE636" s="16" t="n"/>
    </row>
    <row r="637">
      <c r="A637" s="16" t="inlineStr">
        <is>
          <t>KF-M02S-B2-0006</t>
        </is>
      </c>
      <c r="B637" s="16" t="inlineStr">
        <is>
          <t>2.4</t>
        </is>
      </c>
      <c r="C637" s="16" t="inlineStr">
        <is>
          <t>2.4b</t>
        </is>
      </c>
      <c r="D637" s="16" t="inlineStr">
        <is>
          <t>fuente a 420 K</t>
        </is>
      </c>
      <c r="E637" s="16" t="inlineStr">
        <is>
          <t>KF-M02S</t>
        </is>
      </c>
      <c r="F637" s="16" t="inlineStr">
        <is>
          <t>KF-M02S-B2</t>
        </is>
      </c>
      <c r="G637" s="16" t="inlineStr">
        <is>
          <t>B05-B2</t>
        </is>
      </c>
      <c r="H637" s="16" t="inlineStr">
        <is>
          <t>malla</t>
        </is>
      </c>
      <c r="I637" s="16" t="inlineStr">
        <is>
          <t>KALINA</t>
        </is>
      </c>
      <c r="J637" s="16" t="inlineStr">
        <is>
          <t>KALINA</t>
        </is>
      </c>
      <c r="K637" s="16" t="b">
        <v>1</v>
      </c>
      <c r="L637" s="16" t="b">
        <v>1</v>
      </c>
      <c r="M637" s="16" t="b">
        <v>0</v>
      </c>
      <c r="N637" s="16" t="b">
        <v>0</v>
      </c>
      <c r="O637" s="16" t="n">
        <v>420</v>
      </c>
      <c r="P637" s="16" t="n">
        <v>278.15</v>
      </c>
      <c r="Q637" s="16" t="n">
        <v>3000</v>
      </c>
      <c r="R637" s="16" t="n">
        <v>1050</v>
      </c>
      <c r="S637" s="16" t="n">
        <v>0.5</v>
      </c>
      <c r="T637" s="16" t="n">
        <v>0.85</v>
      </c>
      <c r="U637" s="16" t="n">
        <v>0.75</v>
      </c>
      <c r="V637" s="16" t="n">
        <v>0.85</v>
      </c>
      <c r="W637" s="16" t="n">
        <v>0.75</v>
      </c>
      <c r="X637" s="16" t="n">
        <v>0.8</v>
      </c>
      <c r="Y637" s="16" t="n">
        <v>278.15</v>
      </c>
      <c r="Z637" s="16" t="n">
        <v>6.36669461877723</v>
      </c>
      <c r="AA637" s="16" t="n">
        <v>34.21616220345279</v>
      </c>
      <c r="AB637" s="16" t="n">
        <v>1950</v>
      </c>
      <c r="AC637" s="16" t="n">
        <v>2.857142857142857</v>
      </c>
      <c r="AD637" s="16" t="n"/>
      <c r="AE637" s="16" t="n"/>
    </row>
    <row r="638">
      <c r="A638" s="16" t="inlineStr">
        <is>
          <t>KF-M02S-B2-0007</t>
        </is>
      </c>
      <c r="B638" s="16" t="inlineStr">
        <is>
          <t>2.4</t>
        </is>
      </c>
      <c r="C638" s="16" t="inlineStr">
        <is>
          <t>2.4b</t>
        </is>
      </c>
      <c r="D638" s="16" t="inlineStr">
        <is>
          <t>fuente a 420 K</t>
        </is>
      </c>
      <c r="E638" s="16" t="inlineStr">
        <is>
          <t>KF-M02S</t>
        </is>
      </c>
      <c r="F638" s="16" t="inlineStr">
        <is>
          <t>KF-M02S-B2</t>
        </is>
      </c>
      <c r="G638" s="16" t="inlineStr">
        <is>
          <t>B05-B2</t>
        </is>
      </c>
      <c r="H638" s="16" t="inlineStr">
        <is>
          <t>malla</t>
        </is>
      </c>
      <c r="I638" s="16" t="inlineStr">
        <is>
          <t>KALINA</t>
        </is>
      </c>
      <c r="J638" s="16" t="inlineStr">
        <is>
          <t>KALINA</t>
        </is>
      </c>
      <c r="K638" s="16" t="b">
        <v>1</v>
      </c>
      <c r="L638" s="16" t="b">
        <v>1</v>
      </c>
      <c r="M638" s="16" t="b">
        <v>0</v>
      </c>
      <c r="N638" s="16" t="b">
        <v>0</v>
      </c>
      <c r="O638" s="16" t="n">
        <v>420</v>
      </c>
      <c r="P638" s="16" t="n">
        <v>278.15</v>
      </c>
      <c r="Q638" s="16" t="n">
        <v>3000</v>
      </c>
      <c r="R638" s="16" t="n">
        <v>1200</v>
      </c>
      <c r="S638" s="16" t="n">
        <v>0.5</v>
      </c>
      <c r="T638" s="16" t="n">
        <v>0.85</v>
      </c>
      <c r="U638" s="16" t="n">
        <v>0.75</v>
      </c>
      <c r="V638" s="16" t="n">
        <v>0.85</v>
      </c>
      <c r="W638" s="16" t="n">
        <v>0.75</v>
      </c>
      <c r="X638" s="16" t="n">
        <v>0.8</v>
      </c>
      <c r="Y638" s="16" t="n">
        <v>278.15</v>
      </c>
      <c r="Z638" s="16" t="n">
        <v>5.57384642590648</v>
      </c>
      <c r="AA638" s="16" t="n">
        <v>29.93640409365369</v>
      </c>
      <c r="AB638" s="16" t="n">
        <v>1800</v>
      </c>
      <c r="AC638" s="16" t="n">
        <v>2.5</v>
      </c>
      <c r="AD638" s="16" t="n"/>
      <c r="AE638" s="16" t="n"/>
    </row>
    <row r="639">
      <c r="A639" s="16" t="inlineStr">
        <is>
          <t>KF-M02S-B2-0008</t>
        </is>
      </c>
      <c r="B639" s="16" t="inlineStr">
        <is>
          <t>2.4</t>
        </is>
      </c>
      <c r="C639" s="16" t="inlineStr">
        <is>
          <t>2.4b</t>
        </is>
      </c>
      <c r="D639" s="16" t="inlineStr">
        <is>
          <t>fuente a 420 K</t>
        </is>
      </c>
      <c r="E639" s="16" t="inlineStr">
        <is>
          <t>KF-M02S</t>
        </is>
      </c>
      <c r="F639" s="16" t="inlineStr">
        <is>
          <t>KF-M02S-B2</t>
        </is>
      </c>
      <c r="G639" s="16" t="inlineStr">
        <is>
          <t>B05-B2</t>
        </is>
      </c>
      <c r="H639" s="16" t="inlineStr">
        <is>
          <t>malla</t>
        </is>
      </c>
      <c r="I639" s="16" t="inlineStr">
        <is>
          <t>KALINA</t>
        </is>
      </c>
      <c r="J639" s="16" t="inlineStr">
        <is>
          <t>KALINA</t>
        </is>
      </c>
      <c r="K639" s="16" t="b">
        <v>1</v>
      </c>
      <c r="L639" s="16" t="b">
        <v>1</v>
      </c>
      <c r="M639" s="16" t="b">
        <v>0</v>
      </c>
      <c r="N639" s="16" t="b">
        <v>0</v>
      </c>
      <c r="O639" s="16" t="n">
        <v>420</v>
      </c>
      <c r="P639" s="16" t="n">
        <v>278.15</v>
      </c>
      <c r="Q639" s="16" t="n">
        <v>3000</v>
      </c>
      <c r="R639" s="16" t="n">
        <v>1350</v>
      </c>
      <c r="S639" s="16" t="n">
        <v>0.5</v>
      </c>
      <c r="T639" s="16" t="n">
        <v>0.85</v>
      </c>
      <c r="U639" s="16" t="n">
        <v>0.75</v>
      </c>
      <c r="V639" s="16" t="n">
        <v>0.85</v>
      </c>
      <c r="W639" s="16" t="n">
        <v>0.75</v>
      </c>
      <c r="X639" s="16" t="n">
        <v>0.8</v>
      </c>
      <c r="Y639" s="16" t="n">
        <v>278.15</v>
      </c>
      <c r="Z639" s="16" t="n">
        <v>4.86842073094225</v>
      </c>
      <c r="AA639" s="16" t="n">
        <v>26.13329304626955</v>
      </c>
      <c r="AB639" s="16" t="n">
        <v>1650</v>
      </c>
      <c r="AC639" s="16" t="n">
        <v>2.222222222222222</v>
      </c>
      <c r="AD639" s="16" t="n"/>
      <c r="AE639" s="16" t="n"/>
    </row>
    <row r="640">
      <c r="A640" s="16" t="inlineStr">
        <is>
          <t>KF-M02S-B2-0009</t>
        </is>
      </c>
      <c r="B640" s="16" t="inlineStr">
        <is>
          <t>2.4</t>
        </is>
      </c>
      <c r="C640" s="16" t="inlineStr">
        <is>
          <t>2.4b</t>
        </is>
      </c>
      <c r="D640" s="16" t="inlineStr">
        <is>
          <t>fuente a 420 K</t>
        </is>
      </c>
      <c r="E640" s="16" t="inlineStr">
        <is>
          <t>KF-M02S</t>
        </is>
      </c>
      <c r="F640" s="16" t="inlineStr">
        <is>
          <t>KF-M02S-B2</t>
        </is>
      </c>
      <c r="G640" s="16" t="inlineStr">
        <is>
          <t>B05-B2</t>
        </is>
      </c>
      <c r="H640" s="16" t="inlineStr">
        <is>
          <t>malla</t>
        </is>
      </c>
      <c r="I640" s="16" t="inlineStr">
        <is>
          <t>KALINA</t>
        </is>
      </c>
      <c r="J640" s="16" t="inlineStr">
        <is>
          <t>KALINA</t>
        </is>
      </c>
      <c r="K640" s="16" t="b">
        <v>1</v>
      </c>
      <c r="L640" s="16" t="b">
        <v>1</v>
      </c>
      <c r="M640" s="16" t="b">
        <v>0</v>
      </c>
      <c r="N640" s="16" t="b">
        <v>0</v>
      </c>
      <c r="O640" s="16" t="n">
        <v>420</v>
      </c>
      <c r="P640" s="16" t="n">
        <v>278.15</v>
      </c>
      <c r="Q640" s="16" t="n">
        <v>3000</v>
      </c>
      <c r="R640" s="16" t="n">
        <v>1500</v>
      </c>
      <c r="S640" s="16" t="n">
        <v>0.5</v>
      </c>
      <c r="T640" s="16" t="n">
        <v>0.85</v>
      </c>
      <c r="U640" s="16" t="n">
        <v>0.75</v>
      </c>
      <c r="V640" s="16" t="n">
        <v>0.85</v>
      </c>
      <c r="W640" s="16" t="n">
        <v>0.75</v>
      </c>
      <c r="X640" s="16" t="n">
        <v>0.8</v>
      </c>
      <c r="Y640" s="16" t="n">
        <v>278.15</v>
      </c>
      <c r="Z640" s="16" t="n">
        <v>4.23311203857378</v>
      </c>
      <c r="AA640" s="16" t="n">
        <v>22.71195339234582</v>
      </c>
      <c r="AB640" s="16" t="n">
        <v>1500</v>
      </c>
      <c r="AC640" s="16" t="n">
        <v>2</v>
      </c>
      <c r="AD640" s="16" t="n"/>
      <c r="AE640" s="16" t="n"/>
    </row>
    <row r="641">
      <c r="A641" s="16" t="inlineStr">
        <is>
          <t>KF-M02S-B2-0010</t>
        </is>
      </c>
      <c r="B641" s="16" t="inlineStr">
        <is>
          <t>2.4</t>
        </is>
      </c>
      <c r="C641" s="16" t="inlineStr">
        <is>
          <t>2.4b</t>
        </is>
      </c>
      <c r="D641" s="16" t="inlineStr">
        <is>
          <t>fuente a 420 K</t>
        </is>
      </c>
      <c r="E641" s="16" t="inlineStr">
        <is>
          <t>KF-M02S</t>
        </is>
      </c>
      <c r="F641" s="16" t="inlineStr">
        <is>
          <t>KF-M02S-B2</t>
        </is>
      </c>
      <c r="G641" s="16" t="inlineStr">
        <is>
          <t>B05-B2</t>
        </is>
      </c>
      <c r="H641" s="16" t="inlineStr">
        <is>
          <t>malla</t>
        </is>
      </c>
      <c r="I641" s="16" t="inlineStr">
        <is>
          <t>CORREGIBLE</t>
        </is>
      </c>
      <c r="J641" s="16" t="inlineStr">
        <is>
          <t>CORREGIBLE</t>
        </is>
      </c>
      <c r="K641" s="16" t="b">
        <v>1</v>
      </c>
      <c r="L641" s="16" t="b">
        <v>0</v>
      </c>
      <c r="M641" s="16" t="b">
        <v>0</v>
      </c>
      <c r="N641" s="16" t="b">
        <v>0</v>
      </c>
      <c r="O641" s="16" t="n">
        <v>420</v>
      </c>
      <c r="P641" s="16" t="n">
        <v>283.15</v>
      </c>
      <c r="Q641" s="16" t="n">
        <v>3000</v>
      </c>
      <c r="R641" s="16" t="n">
        <v>150</v>
      </c>
      <c r="S641" s="16" t="n">
        <v>0.5</v>
      </c>
      <c r="T641" s="16" t="n">
        <v>0.85</v>
      </c>
      <c r="U641" s="16" t="n">
        <v>0.75</v>
      </c>
      <c r="V641" s="16" t="n">
        <v>0.85</v>
      </c>
      <c r="W641" s="16" t="n">
        <v>0.75</v>
      </c>
      <c r="X641" s="16" t="n">
        <v>0.8</v>
      </c>
      <c r="Y641" s="16" t="n">
        <v>283.15</v>
      </c>
      <c r="Z641" s="16" t="n">
        <v>14.27001577144364</v>
      </c>
      <c r="AA641" s="16" t="n">
        <v>69.41010602709171</v>
      </c>
      <c r="AB641" s="16" t="n">
        <v>2850</v>
      </c>
      <c r="AC641" s="16" t="n">
        <v>20</v>
      </c>
      <c r="AD641" s="16" t="inlineStr">
        <is>
          <t>O1,O2</t>
        </is>
      </c>
      <c r="AE641" s="16" t="n"/>
    </row>
    <row r="642">
      <c r="A642" s="16" t="inlineStr">
        <is>
          <t>KF-M02S-B2-0011</t>
        </is>
      </c>
      <c r="B642" s="16" t="inlineStr">
        <is>
          <t>2.4</t>
        </is>
      </c>
      <c r="C642" s="16" t="inlineStr">
        <is>
          <t>2.4b</t>
        </is>
      </c>
      <c r="D642" s="16" t="inlineStr">
        <is>
          <t>fuente a 420 K</t>
        </is>
      </c>
      <c r="E642" s="16" t="inlineStr">
        <is>
          <t>KF-M02S</t>
        </is>
      </c>
      <c r="F642" s="16" t="inlineStr">
        <is>
          <t>KF-M02S-B2</t>
        </is>
      </c>
      <c r="G642" s="16" t="inlineStr">
        <is>
          <t>B05-B2</t>
        </is>
      </c>
      <c r="H642" s="16" t="inlineStr">
        <is>
          <t>malla</t>
        </is>
      </c>
      <c r="I642" s="16" t="inlineStr">
        <is>
          <t>CORREGIBLE</t>
        </is>
      </c>
      <c r="J642" s="16" t="inlineStr">
        <is>
          <t>CORREGIBLE</t>
        </is>
      </c>
      <c r="K642" s="16" t="b">
        <v>1</v>
      </c>
      <c r="L642" s="16" t="b">
        <v>0</v>
      </c>
      <c r="M642" s="16" t="b">
        <v>0</v>
      </c>
      <c r="N642" s="16" t="b">
        <v>0</v>
      </c>
      <c r="O642" s="16" t="n">
        <v>420</v>
      </c>
      <c r="P642" s="16" t="n">
        <v>283.15</v>
      </c>
      <c r="Q642" s="16" t="n">
        <v>3000</v>
      </c>
      <c r="R642" s="16" t="n">
        <v>300</v>
      </c>
      <c r="S642" s="16" t="n">
        <v>0.5</v>
      </c>
      <c r="T642" s="16" t="n">
        <v>0.85</v>
      </c>
      <c r="U642" s="16" t="n">
        <v>0.75</v>
      </c>
      <c r="V642" s="16" t="n">
        <v>0.85</v>
      </c>
      <c r="W642" s="16" t="n">
        <v>0.75</v>
      </c>
      <c r="X642" s="16" t="n">
        <v>0.8</v>
      </c>
      <c r="Y642" s="16" t="n">
        <v>283.15</v>
      </c>
      <c r="Z642" s="16" t="n">
        <v>13.37383610674018</v>
      </c>
      <c r="AA642" s="16" t="n">
        <v>71.1475310296666</v>
      </c>
      <c r="AB642" s="16" t="n">
        <v>2700</v>
      </c>
      <c r="AC642" s="16" t="n">
        <v>10</v>
      </c>
      <c r="AD642" s="16" t="inlineStr">
        <is>
          <t>O2</t>
        </is>
      </c>
      <c r="AE642" s="16" t="n"/>
    </row>
    <row r="643">
      <c r="A643" s="16" t="inlineStr">
        <is>
          <t>KF-M02S-B2-0012</t>
        </is>
      </c>
      <c r="B643" s="16" t="inlineStr">
        <is>
          <t>2.4</t>
        </is>
      </c>
      <c r="C643" s="16" t="inlineStr">
        <is>
          <t>2.4b</t>
        </is>
      </c>
      <c r="D643" s="16" t="inlineStr">
        <is>
          <t>fuente a 420 K</t>
        </is>
      </c>
      <c r="E643" s="16" t="inlineStr">
        <is>
          <t>KF-M02S</t>
        </is>
      </c>
      <c r="F643" s="16" t="inlineStr">
        <is>
          <t>KF-M02S-B2</t>
        </is>
      </c>
      <c r="G643" s="16" t="inlineStr">
        <is>
          <t>B05-B2</t>
        </is>
      </c>
      <c r="H643" s="16" t="inlineStr">
        <is>
          <t>malla</t>
        </is>
      </c>
      <c r="I643" s="16" t="inlineStr">
        <is>
          <t>CORREGIBLE</t>
        </is>
      </c>
      <c r="J643" s="16" t="inlineStr">
        <is>
          <t>CORREGIBLE</t>
        </is>
      </c>
      <c r="K643" s="16" t="b">
        <v>1</v>
      </c>
      <c r="L643" s="16" t="b">
        <v>0</v>
      </c>
      <c r="M643" s="16" t="b">
        <v>0</v>
      </c>
      <c r="N643" s="16" t="b">
        <v>0</v>
      </c>
      <c r="O643" s="16" t="n">
        <v>420</v>
      </c>
      <c r="P643" s="16" t="n">
        <v>283.15</v>
      </c>
      <c r="Q643" s="16" t="n">
        <v>3000</v>
      </c>
      <c r="R643" s="16" t="n">
        <v>450</v>
      </c>
      <c r="S643" s="16" t="n">
        <v>0.5</v>
      </c>
      <c r="T643" s="16" t="n">
        <v>0.85</v>
      </c>
      <c r="U643" s="16" t="n">
        <v>0.75</v>
      </c>
      <c r="V643" s="16" t="n">
        <v>0.85</v>
      </c>
      <c r="W643" s="16" t="n">
        <v>0.75</v>
      </c>
      <c r="X643" s="16" t="n">
        <v>0.8</v>
      </c>
      <c r="Y643" s="16" t="n">
        <v>283.15</v>
      </c>
      <c r="Z643" s="16" t="n">
        <v>11.3899526804246</v>
      </c>
      <c r="AA643" s="16" t="n">
        <v>60.54087937739679</v>
      </c>
      <c r="AB643" s="16" t="n">
        <v>2550</v>
      </c>
      <c r="AC643" s="16" t="n">
        <v>6.666666666666667</v>
      </c>
      <c r="AD643" s="16" t="inlineStr">
        <is>
          <t>O2</t>
        </is>
      </c>
      <c r="AE643" s="16" t="n"/>
    </row>
    <row r="644">
      <c r="A644" s="16" t="inlineStr">
        <is>
          <t>KF-M02S-B2-0013</t>
        </is>
      </c>
      <c r="B644" s="16" t="inlineStr">
        <is>
          <t>2.4</t>
        </is>
      </c>
      <c r="C644" s="16" t="inlineStr">
        <is>
          <t>2.4b</t>
        </is>
      </c>
      <c r="D644" s="16" t="inlineStr">
        <is>
          <t>fuente a 420 K</t>
        </is>
      </c>
      <c r="E644" s="16" t="inlineStr">
        <is>
          <t>KF-M02S</t>
        </is>
      </c>
      <c r="F644" s="16" t="inlineStr">
        <is>
          <t>KF-M02S-B2</t>
        </is>
      </c>
      <c r="G644" s="16" t="inlineStr">
        <is>
          <t>B05-B2</t>
        </is>
      </c>
      <c r="H644" s="16" t="inlineStr">
        <is>
          <t>malla</t>
        </is>
      </c>
      <c r="I644" s="16" t="inlineStr">
        <is>
          <t>KALINA</t>
        </is>
      </c>
      <c r="J644" s="16" t="inlineStr">
        <is>
          <t>KALINA</t>
        </is>
      </c>
      <c r="K644" s="16" t="b">
        <v>1</v>
      </c>
      <c r="L644" s="16" t="b">
        <v>1</v>
      </c>
      <c r="M644" s="16" t="b">
        <v>0</v>
      </c>
      <c r="N644" s="16" t="b">
        <v>0</v>
      </c>
      <c r="O644" s="16" t="n">
        <v>420</v>
      </c>
      <c r="P644" s="16" t="n">
        <v>283.15</v>
      </c>
      <c r="Q644" s="16" t="n">
        <v>3000</v>
      </c>
      <c r="R644" s="16" t="n">
        <v>600</v>
      </c>
      <c r="S644" s="16" t="n">
        <v>0.5</v>
      </c>
      <c r="T644" s="16" t="n">
        <v>0.85</v>
      </c>
      <c r="U644" s="16" t="n">
        <v>0.75</v>
      </c>
      <c r="V644" s="16" t="n">
        <v>0.85</v>
      </c>
      <c r="W644" s="16" t="n">
        <v>0.75</v>
      </c>
      <c r="X644" s="16" t="n">
        <v>0.8</v>
      </c>
      <c r="Y644" s="16" t="n">
        <v>283.15</v>
      </c>
      <c r="Z644" s="16" t="n">
        <v>9.769545446446951</v>
      </c>
      <c r="AA644" s="16" t="n">
        <v>51.85691753239725</v>
      </c>
      <c r="AB644" s="16" t="n">
        <v>2400</v>
      </c>
      <c r="AC644" s="16" t="n">
        <v>5</v>
      </c>
      <c r="AD644" s="16" t="n"/>
      <c r="AE644" s="16" t="n"/>
    </row>
    <row r="645">
      <c r="A645" s="16" t="inlineStr">
        <is>
          <t>KF-M02S-B2-0014</t>
        </is>
      </c>
      <c r="B645" s="16" t="inlineStr">
        <is>
          <t>2.4</t>
        </is>
      </c>
      <c r="C645" s="16" t="inlineStr">
        <is>
          <t>2.4b</t>
        </is>
      </c>
      <c r="D645" s="16" t="inlineStr">
        <is>
          <t>fuente a 420 K</t>
        </is>
      </c>
      <c r="E645" s="16" t="inlineStr">
        <is>
          <t>KF-M02S</t>
        </is>
      </c>
      <c r="F645" s="16" t="inlineStr">
        <is>
          <t>KF-M02S-B2</t>
        </is>
      </c>
      <c r="G645" s="16" t="inlineStr">
        <is>
          <t>B05-B2</t>
        </is>
      </c>
      <c r="H645" s="16" t="inlineStr">
        <is>
          <t>malla</t>
        </is>
      </c>
      <c r="I645" s="16" t="inlineStr">
        <is>
          <t>KALINA</t>
        </is>
      </c>
      <c r="J645" s="16" t="inlineStr">
        <is>
          <t>KALINA</t>
        </is>
      </c>
      <c r="K645" s="16" t="b">
        <v>1</v>
      </c>
      <c r="L645" s="16" t="b">
        <v>1</v>
      </c>
      <c r="M645" s="16" t="b">
        <v>0</v>
      </c>
      <c r="N645" s="16" t="b">
        <v>0</v>
      </c>
      <c r="O645" s="16" t="n">
        <v>420</v>
      </c>
      <c r="P645" s="16" t="n">
        <v>283.15</v>
      </c>
      <c r="Q645" s="16" t="n">
        <v>3000</v>
      </c>
      <c r="R645" s="16" t="n">
        <v>750</v>
      </c>
      <c r="S645" s="16" t="n">
        <v>0.5</v>
      </c>
      <c r="T645" s="16" t="n">
        <v>0.85</v>
      </c>
      <c r="U645" s="16" t="n">
        <v>0.75</v>
      </c>
      <c r="V645" s="16" t="n">
        <v>0.85</v>
      </c>
      <c r="W645" s="16" t="n">
        <v>0.75</v>
      </c>
      <c r="X645" s="16" t="n">
        <v>0.8</v>
      </c>
      <c r="Y645" s="16" t="n">
        <v>283.15</v>
      </c>
      <c r="Z645" s="16" t="n">
        <v>8.479133613969161</v>
      </c>
      <c r="AA645" s="16" t="n">
        <v>44.95911976086182</v>
      </c>
      <c r="AB645" s="16" t="n">
        <v>2250</v>
      </c>
      <c r="AC645" s="16" t="n">
        <v>4</v>
      </c>
      <c r="AD645" s="16" t="n"/>
      <c r="AE645" s="16" t="n"/>
    </row>
    <row r="646">
      <c r="A646" s="16" t="inlineStr">
        <is>
          <t>KF-M02S-B2-0015</t>
        </is>
      </c>
      <c r="B646" s="16" t="inlineStr">
        <is>
          <t>2.4</t>
        </is>
      </c>
      <c r="C646" s="16" t="inlineStr">
        <is>
          <t>2.4b</t>
        </is>
      </c>
      <c r="D646" s="16" t="inlineStr">
        <is>
          <t>fuente a 420 K</t>
        </is>
      </c>
      <c r="E646" s="16" t="inlineStr">
        <is>
          <t>KF-M02S</t>
        </is>
      </c>
      <c r="F646" s="16" t="inlineStr">
        <is>
          <t>KF-M02S-B2</t>
        </is>
      </c>
      <c r="G646" s="16" t="inlineStr">
        <is>
          <t>B05-B2</t>
        </is>
      </c>
      <c r="H646" s="16" t="inlineStr">
        <is>
          <t>malla</t>
        </is>
      </c>
      <c r="I646" s="16" t="inlineStr">
        <is>
          <t>KALINA</t>
        </is>
      </c>
      <c r="J646" s="16" t="inlineStr">
        <is>
          <t>KALINA</t>
        </is>
      </c>
      <c r="K646" s="16" t="b">
        <v>1</v>
      </c>
      <c r="L646" s="16" t="b">
        <v>1</v>
      </c>
      <c r="M646" s="16" t="b">
        <v>0</v>
      </c>
      <c r="N646" s="16" t="b">
        <v>0</v>
      </c>
      <c r="O646" s="16" t="n">
        <v>420</v>
      </c>
      <c r="P646" s="16" t="n">
        <v>283.15</v>
      </c>
      <c r="Q646" s="16" t="n">
        <v>3000</v>
      </c>
      <c r="R646" s="16" t="n">
        <v>900</v>
      </c>
      <c r="S646" s="16" t="n">
        <v>0.5</v>
      </c>
      <c r="T646" s="16" t="n">
        <v>0.85</v>
      </c>
      <c r="U646" s="16" t="n">
        <v>0.75</v>
      </c>
      <c r="V646" s="16" t="n">
        <v>0.85</v>
      </c>
      <c r="W646" s="16" t="n">
        <v>0.75</v>
      </c>
      <c r="X646" s="16" t="n">
        <v>0.8</v>
      </c>
      <c r="Y646" s="16" t="n">
        <v>283.15</v>
      </c>
      <c r="Z646" s="16" t="n">
        <v>7.40456146818481</v>
      </c>
      <c r="AA646" s="16" t="n">
        <v>39.22690150412661</v>
      </c>
      <c r="AB646" s="16" t="n">
        <v>2100</v>
      </c>
      <c r="AC646" s="16" t="n">
        <v>3.333333333333333</v>
      </c>
      <c r="AD646" s="16" t="n"/>
      <c r="AE646" s="16" t="n"/>
    </row>
    <row r="647">
      <c r="A647" s="16" t="inlineStr">
        <is>
          <t>KF-M02S-B2-0016</t>
        </is>
      </c>
      <c r="B647" s="16" t="inlineStr">
        <is>
          <t>2.4</t>
        </is>
      </c>
      <c r="C647" s="16" t="inlineStr">
        <is>
          <t>2.4b</t>
        </is>
      </c>
      <c r="D647" s="16" t="inlineStr">
        <is>
          <t>fuente a 420 K</t>
        </is>
      </c>
      <c r="E647" s="16" t="inlineStr">
        <is>
          <t>KF-M02S</t>
        </is>
      </c>
      <c r="F647" s="16" t="inlineStr">
        <is>
          <t>KF-M02S-B2</t>
        </is>
      </c>
      <c r="G647" s="16" t="inlineStr">
        <is>
          <t>B05-B2</t>
        </is>
      </c>
      <c r="H647" s="16" t="inlineStr">
        <is>
          <t>malla</t>
        </is>
      </c>
      <c r="I647" s="16" t="inlineStr">
        <is>
          <t>KALINA</t>
        </is>
      </c>
      <c r="J647" s="16" t="inlineStr">
        <is>
          <t>KALINA</t>
        </is>
      </c>
      <c r="K647" s="16" t="b">
        <v>1</v>
      </c>
      <c r="L647" s="16" t="b">
        <v>1</v>
      </c>
      <c r="M647" s="16" t="b">
        <v>0</v>
      </c>
      <c r="N647" s="16" t="b">
        <v>0</v>
      </c>
      <c r="O647" s="16" t="n">
        <v>420</v>
      </c>
      <c r="P647" s="16" t="n">
        <v>283.15</v>
      </c>
      <c r="Q647" s="16" t="n">
        <v>3000</v>
      </c>
      <c r="R647" s="16" t="n">
        <v>1050</v>
      </c>
      <c r="S647" s="16" t="n">
        <v>0.5</v>
      </c>
      <c r="T647" s="16" t="n">
        <v>0.85</v>
      </c>
      <c r="U647" s="16" t="n">
        <v>0.75</v>
      </c>
      <c r="V647" s="16" t="n">
        <v>0.85</v>
      </c>
      <c r="W647" s="16" t="n">
        <v>0.75</v>
      </c>
      <c r="X647" s="16" t="n">
        <v>0.8</v>
      </c>
      <c r="Y647" s="16" t="n">
        <v>283.15</v>
      </c>
      <c r="Z647" s="16" t="n">
        <v>6.482864930520189</v>
      </c>
      <c r="AA647" s="16" t="n">
        <v>34.31860903615208</v>
      </c>
      <c r="AB647" s="16" t="n">
        <v>1950</v>
      </c>
      <c r="AC647" s="16" t="n">
        <v>2.857142857142857</v>
      </c>
      <c r="AD647" s="16" t="n"/>
      <c r="AE647" s="16" t="n"/>
    </row>
    <row r="648">
      <c r="A648" s="16" t="inlineStr">
        <is>
          <t>KF-M02S-B2-0017</t>
        </is>
      </c>
      <c r="B648" s="16" t="inlineStr">
        <is>
          <t>2.4</t>
        </is>
      </c>
      <c r="C648" s="16" t="inlineStr">
        <is>
          <t>2.4b</t>
        </is>
      </c>
      <c r="D648" s="16" t="inlineStr">
        <is>
          <t>fuente a 420 K</t>
        </is>
      </c>
      <c r="E648" s="16" t="inlineStr">
        <is>
          <t>KF-M02S</t>
        </is>
      </c>
      <c r="F648" s="16" t="inlineStr">
        <is>
          <t>KF-M02S-B2</t>
        </is>
      </c>
      <c r="G648" s="16" t="inlineStr">
        <is>
          <t>B05-B2</t>
        </is>
      </c>
      <c r="H648" s="16" t="inlineStr">
        <is>
          <t>malla</t>
        </is>
      </c>
      <c r="I648" s="16" t="inlineStr">
        <is>
          <t>KALINA</t>
        </is>
      </c>
      <c r="J648" s="16" t="inlineStr">
        <is>
          <t>KALINA</t>
        </is>
      </c>
      <c r="K648" s="16" t="b">
        <v>1</v>
      </c>
      <c r="L648" s="16" t="b">
        <v>1</v>
      </c>
      <c r="M648" s="16" t="b">
        <v>0</v>
      </c>
      <c r="N648" s="16" t="b">
        <v>0</v>
      </c>
      <c r="O648" s="16" t="n">
        <v>420</v>
      </c>
      <c r="P648" s="16" t="n">
        <v>283.15</v>
      </c>
      <c r="Q648" s="16" t="n">
        <v>3000</v>
      </c>
      <c r="R648" s="16" t="n">
        <v>1200</v>
      </c>
      <c r="S648" s="16" t="n">
        <v>0.5</v>
      </c>
      <c r="T648" s="16" t="n">
        <v>0.85</v>
      </c>
      <c r="U648" s="16" t="n">
        <v>0.75</v>
      </c>
      <c r="V648" s="16" t="n">
        <v>0.85</v>
      </c>
      <c r="W648" s="16" t="n">
        <v>0.75</v>
      </c>
      <c r="X648" s="16" t="n">
        <v>0.8</v>
      </c>
      <c r="Y648" s="16" t="n">
        <v>283.15</v>
      </c>
      <c r="Z648" s="16" t="n">
        <v>5.67553705973351</v>
      </c>
      <c r="AA648" s="16" t="n">
        <v>30.02564451421101</v>
      </c>
      <c r="AB648" s="16" t="n">
        <v>1800</v>
      </c>
      <c r="AC648" s="16" t="n">
        <v>2.5</v>
      </c>
      <c r="AD648" s="16" t="n"/>
      <c r="AE648" s="16" t="n"/>
    </row>
    <row r="649">
      <c r="A649" s="16" t="inlineStr">
        <is>
          <t>KF-M02S-B2-0018</t>
        </is>
      </c>
      <c r="B649" s="16" t="inlineStr">
        <is>
          <t>2.4</t>
        </is>
      </c>
      <c r="C649" s="16" t="inlineStr">
        <is>
          <t>2.4b</t>
        </is>
      </c>
      <c r="D649" s="16" t="inlineStr">
        <is>
          <t>fuente a 420 K</t>
        </is>
      </c>
      <c r="E649" s="16" t="inlineStr">
        <is>
          <t>KF-M02S</t>
        </is>
      </c>
      <c r="F649" s="16" t="inlineStr">
        <is>
          <t>KF-M02S-B2</t>
        </is>
      </c>
      <c r="G649" s="16" t="inlineStr">
        <is>
          <t>B05-B2</t>
        </is>
      </c>
      <c r="H649" s="16" t="inlineStr">
        <is>
          <t>malla</t>
        </is>
      </c>
      <c r="I649" s="16" t="inlineStr">
        <is>
          <t>KALINA</t>
        </is>
      </c>
      <c r="J649" s="16" t="inlineStr">
        <is>
          <t>KALINA</t>
        </is>
      </c>
      <c r="K649" s="16" t="b">
        <v>1</v>
      </c>
      <c r="L649" s="16" t="b">
        <v>1</v>
      </c>
      <c r="M649" s="16" t="b">
        <v>0</v>
      </c>
      <c r="N649" s="16" t="b">
        <v>0</v>
      </c>
      <c r="O649" s="16" t="n">
        <v>420</v>
      </c>
      <c r="P649" s="16" t="n">
        <v>283.15</v>
      </c>
      <c r="Q649" s="16" t="n">
        <v>3000</v>
      </c>
      <c r="R649" s="16" t="n">
        <v>1350</v>
      </c>
      <c r="S649" s="16" t="n">
        <v>0.5</v>
      </c>
      <c r="T649" s="16" t="n">
        <v>0.85</v>
      </c>
      <c r="U649" s="16" t="n">
        <v>0.75</v>
      </c>
      <c r="V649" s="16" t="n">
        <v>0.85</v>
      </c>
      <c r="W649" s="16" t="n">
        <v>0.75</v>
      </c>
      <c r="X649" s="16" t="n">
        <v>0.8</v>
      </c>
      <c r="Y649" s="16" t="n">
        <v>283.15</v>
      </c>
      <c r="Z649" s="16" t="n">
        <v>4.95722642388793</v>
      </c>
      <c r="AA649" s="16" t="n">
        <v>26.21087468576227</v>
      </c>
      <c r="AB649" s="16" t="n">
        <v>1650</v>
      </c>
      <c r="AC649" s="16" t="n">
        <v>2.222222222222222</v>
      </c>
      <c r="AD649" s="16" t="n"/>
      <c r="AE649" s="16" t="n"/>
    </row>
    <row r="650">
      <c r="A650" s="16" t="inlineStr">
        <is>
          <t>KF-M02S-B2-0019</t>
        </is>
      </c>
      <c r="B650" s="16" t="inlineStr">
        <is>
          <t>2.4</t>
        </is>
      </c>
      <c r="C650" s="16" t="inlineStr">
        <is>
          <t>2.4b</t>
        </is>
      </c>
      <c r="D650" s="16" t="inlineStr">
        <is>
          <t>fuente a 420 K</t>
        </is>
      </c>
      <c r="E650" s="16" t="inlineStr">
        <is>
          <t>KF-M02S</t>
        </is>
      </c>
      <c r="F650" s="16" t="inlineStr">
        <is>
          <t>KF-M02S-B2</t>
        </is>
      </c>
      <c r="G650" s="16" t="inlineStr">
        <is>
          <t>B05-B2</t>
        </is>
      </c>
      <c r="H650" s="16" t="inlineStr">
        <is>
          <t>malla</t>
        </is>
      </c>
      <c r="I650" s="16" t="inlineStr">
        <is>
          <t>KALINA</t>
        </is>
      </c>
      <c r="J650" s="16" t="inlineStr">
        <is>
          <t>KALINA</t>
        </is>
      </c>
      <c r="K650" s="16" t="b">
        <v>1</v>
      </c>
      <c r="L650" s="16" t="b">
        <v>1</v>
      </c>
      <c r="M650" s="16" t="b">
        <v>0</v>
      </c>
      <c r="N650" s="16" t="b">
        <v>0</v>
      </c>
      <c r="O650" s="16" t="n">
        <v>420</v>
      </c>
      <c r="P650" s="16" t="n">
        <v>283.15</v>
      </c>
      <c r="Q650" s="16" t="n">
        <v>3000</v>
      </c>
      <c r="R650" s="16" t="n">
        <v>1500</v>
      </c>
      <c r="S650" s="16" t="n">
        <v>0.5</v>
      </c>
      <c r="T650" s="16" t="n">
        <v>0.85</v>
      </c>
      <c r="U650" s="16" t="n">
        <v>0.75</v>
      </c>
      <c r="V650" s="16" t="n">
        <v>0.85</v>
      </c>
      <c r="W650" s="16" t="n">
        <v>0.75</v>
      </c>
      <c r="X650" s="16" t="n">
        <v>0.8</v>
      </c>
      <c r="Y650" s="16" t="n">
        <v>283.15</v>
      </c>
      <c r="Z650" s="16" t="n">
        <v>4.31031329679835</v>
      </c>
      <c r="AA650" s="16" t="n">
        <v>22.77911273840071</v>
      </c>
      <c r="AB650" s="16" t="n">
        <v>1500</v>
      </c>
      <c r="AC650" s="16" t="n">
        <v>2</v>
      </c>
      <c r="AD650" s="16" t="n"/>
      <c r="AE650" s="16" t="n"/>
    </row>
    <row r="651">
      <c r="A651" s="16" t="inlineStr">
        <is>
          <t>KF-M02S-B2-0020</t>
        </is>
      </c>
      <c r="B651" s="16" t="inlineStr">
        <is>
          <t>2.4</t>
        </is>
      </c>
      <c r="C651" s="16" t="inlineStr">
        <is>
          <t>2.4b</t>
        </is>
      </c>
      <c r="D651" s="16" t="inlineStr">
        <is>
          <t>fuente a 420 K</t>
        </is>
      </c>
      <c r="E651" s="16" t="inlineStr">
        <is>
          <t>KF-M02S</t>
        </is>
      </c>
      <c r="F651" s="16" t="inlineStr">
        <is>
          <t>KF-M02S-B2</t>
        </is>
      </c>
      <c r="G651" s="16" t="inlineStr">
        <is>
          <t>B05-B2</t>
        </is>
      </c>
      <c r="H651" s="16" t="inlineStr">
        <is>
          <t>malla</t>
        </is>
      </c>
      <c r="I651" s="16" t="inlineStr">
        <is>
          <t>CORREGIBLE</t>
        </is>
      </c>
      <c r="J651" s="16" t="inlineStr">
        <is>
          <t>CORREGIBLE</t>
        </is>
      </c>
      <c r="K651" s="16" t="b">
        <v>1</v>
      </c>
      <c r="L651" s="16" t="b">
        <v>0</v>
      </c>
      <c r="M651" s="16" t="b">
        <v>0</v>
      </c>
      <c r="N651" s="16" t="b">
        <v>0</v>
      </c>
      <c r="O651" s="16" t="n">
        <v>420</v>
      </c>
      <c r="P651" s="16" t="n">
        <v>288.15</v>
      </c>
      <c r="Q651" s="16" t="n">
        <v>3000</v>
      </c>
      <c r="R651" s="16" t="n">
        <v>150</v>
      </c>
      <c r="S651" s="16" t="n">
        <v>0.5</v>
      </c>
      <c r="T651" s="16" t="n">
        <v>0.85</v>
      </c>
      <c r="U651" s="16" t="n">
        <v>0.75</v>
      </c>
      <c r="V651" s="16" t="n">
        <v>0.85</v>
      </c>
      <c r="W651" s="16" t="n">
        <v>0.75</v>
      </c>
      <c r="X651" s="16" t="n">
        <v>0.8</v>
      </c>
      <c r="Y651" s="16" t="n">
        <v>288.15</v>
      </c>
      <c r="Z651" s="16" t="n">
        <v>10.63374661508692</v>
      </c>
      <c r="AA651" s="16" t="n">
        <v>46.41788554666806</v>
      </c>
      <c r="AB651" s="16" t="n">
        <v>2850</v>
      </c>
      <c r="AC651" s="16" t="n">
        <v>20</v>
      </c>
      <c r="AD651" s="16" t="inlineStr">
        <is>
          <t>O1,O2</t>
        </is>
      </c>
      <c r="AE651" s="16" t="n"/>
    </row>
    <row r="652">
      <c r="A652" s="16" t="inlineStr">
        <is>
          <t>KF-M02S-B2-0021</t>
        </is>
      </c>
      <c r="B652" s="16" t="inlineStr">
        <is>
          <t>2.4</t>
        </is>
      </c>
      <c r="C652" s="16" t="inlineStr">
        <is>
          <t>2.4b</t>
        </is>
      </c>
      <c r="D652" s="16" t="inlineStr">
        <is>
          <t>fuente a 420 K</t>
        </is>
      </c>
      <c r="E652" s="16" t="inlineStr">
        <is>
          <t>KF-M02S</t>
        </is>
      </c>
      <c r="F652" s="16" t="inlineStr">
        <is>
          <t>KF-M02S-B2</t>
        </is>
      </c>
      <c r="G652" s="16" t="inlineStr">
        <is>
          <t>B05-B2</t>
        </is>
      </c>
      <c r="H652" s="16" t="inlineStr">
        <is>
          <t>malla</t>
        </is>
      </c>
      <c r="I652" s="16" t="inlineStr">
        <is>
          <t>CORREGIBLE</t>
        </is>
      </c>
      <c r="J652" s="16" t="inlineStr">
        <is>
          <t>CORREGIBLE</t>
        </is>
      </c>
      <c r="K652" s="16" t="b">
        <v>1</v>
      </c>
      <c r="L652" s="16" t="b">
        <v>0</v>
      </c>
      <c r="M652" s="16" t="b">
        <v>0</v>
      </c>
      <c r="N652" s="16" t="b">
        <v>0</v>
      </c>
      <c r="O652" s="16" t="n">
        <v>420</v>
      </c>
      <c r="P652" s="16" t="n">
        <v>288.15</v>
      </c>
      <c r="Q652" s="16" t="n">
        <v>3000</v>
      </c>
      <c r="R652" s="16" t="n">
        <v>300</v>
      </c>
      <c r="S652" s="16" t="n">
        <v>0.5</v>
      </c>
      <c r="T652" s="16" t="n">
        <v>0.85</v>
      </c>
      <c r="U652" s="16" t="n">
        <v>0.75</v>
      </c>
      <c r="V652" s="16" t="n">
        <v>0.85</v>
      </c>
      <c r="W652" s="16" t="n">
        <v>0.75</v>
      </c>
      <c r="X652" s="16" t="n">
        <v>0.8</v>
      </c>
      <c r="Y652" s="16" t="n">
        <v>288.15</v>
      </c>
      <c r="Z652" s="16" t="n">
        <v>13.42871243542744</v>
      </c>
      <c r="AA652" s="16" t="n">
        <v>70.28683008702366</v>
      </c>
      <c r="AB652" s="16" t="n">
        <v>2700</v>
      </c>
      <c r="AC652" s="16" t="n">
        <v>10</v>
      </c>
      <c r="AD652" s="16" t="inlineStr">
        <is>
          <t>O2</t>
        </is>
      </c>
      <c r="AE652" s="16" t="n"/>
    </row>
    <row r="653">
      <c r="A653" s="16" t="inlineStr">
        <is>
          <t>KF-M02S-B2-0022</t>
        </is>
      </c>
      <c r="B653" s="16" t="inlineStr">
        <is>
          <t>2.4</t>
        </is>
      </c>
      <c r="C653" s="16" t="inlineStr">
        <is>
          <t>2.4b</t>
        </is>
      </c>
      <c r="D653" s="16" t="inlineStr">
        <is>
          <t>fuente a 420 K</t>
        </is>
      </c>
      <c r="E653" s="16" t="inlineStr">
        <is>
          <t>KF-M02S</t>
        </is>
      </c>
      <c r="F653" s="16" t="inlineStr">
        <is>
          <t>KF-M02S-B2</t>
        </is>
      </c>
      <c r="G653" s="16" t="inlineStr">
        <is>
          <t>B05-B2</t>
        </is>
      </c>
      <c r="H653" s="16" t="inlineStr">
        <is>
          <t>malla</t>
        </is>
      </c>
      <c r="I653" s="16" t="inlineStr">
        <is>
          <t>CORREGIBLE</t>
        </is>
      </c>
      <c r="J653" s="16" t="inlineStr">
        <is>
          <t>CORREGIBLE</t>
        </is>
      </c>
      <c r="K653" s="16" t="b">
        <v>1</v>
      </c>
      <c r="L653" s="16" t="b">
        <v>0</v>
      </c>
      <c r="M653" s="16" t="b">
        <v>0</v>
      </c>
      <c r="N653" s="16" t="b">
        <v>0</v>
      </c>
      <c r="O653" s="16" t="n">
        <v>420</v>
      </c>
      <c r="P653" s="16" t="n">
        <v>288.15</v>
      </c>
      <c r="Q653" s="16" t="n">
        <v>3000</v>
      </c>
      <c r="R653" s="16" t="n">
        <v>450</v>
      </c>
      <c r="S653" s="16" t="n">
        <v>0.5</v>
      </c>
      <c r="T653" s="16" t="n">
        <v>0.85</v>
      </c>
      <c r="U653" s="16" t="n">
        <v>0.75</v>
      </c>
      <c r="V653" s="16" t="n">
        <v>0.85</v>
      </c>
      <c r="W653" s="16" t="n">
        <v>0.75</v>
      </c>
      <c r="X653" s="16" t="n">
        <v>0.8</v>
      </c>
      <c r="Y653" s="16" t="n">
        <v>288.15</v>
      </c>
      <c r="Z653" s="16" t="n">
        <v>11.56591701456847</v>
      </c>
      <c r="AA653" s="16" t="n">
        <v>60.52917007503767</v>
      </c>
      <c r="AB653" s="16" t="n">
        <v>2550</v>
      </c>
      <c r="AC653" s="16" t="n">
        <v>6.666666666666667</v>
      </c>
      <c r="AD653" s="16" t="inlineStr">
        <is>
          <t>O2</t>
        </is>
      </c>
      <c r="AE653" s="16" t="n"/>
    </row>
    <row r="654">
      <c r="A654" s="16" t="inlineStr">
        <is>
          <t>KF-M02S-B2-0023</t>
        </is>
      </c>
      <c r="B654" s="16" t="inlineStr">
        <is>
          <t>2.4</t>
        </is>
      </c>
      <c r="C654" s="16" t="inlineStr">
        <is>
          <t>2.4b</t>
        </is>
      </c>
      <c r="D654" s="16" t="inlineStr">
        <is>
          <t>fuente a 420 K</t>
        </is>
      </c>
      <c r="E654" s="16" t="inlineStr">
        <is>
          <t>KF-M02S</t>
        </is>
      </c>
      <c r="F654" s="16" t="inlineStr">
        <is>
          <t>KF-M02S-B2</t>
        </is>
      </c>
      <c r="G654" s="16" t="inlineStr">
        <is>
          <t>B05-B2</t>
        </is>
      </c>
      <c r="H654" s="16" t="inlineStr">
        <is>
          <t>malla</t>
        </is>
      </c>
      <c r="I654" s="16" t="inlineStr">
        <is>
          <t>KALINA</t>
        </is>
      </c>
      <c r="J654" s="16" t="inlineStr">
        <is>
          <t>KALINA</t>
        </is>
      </c>
      <c r="K654" s="16" t="b">
        <v>1</v>
      </c>
      <c r="L654" s="16" t="b">
        <v>1</v>
      </c>
      <c r="M654" s="16" t="b">
        <v>0</v>
      </c>
      <c r="N654" s="16" t="b">
        <v>0</v>
      </c>
      <c r="O654" s="16" t="n">
        <v>420</v>
      </c>
      <c r="P654" s="16" t="n">
        <v>288.15</v>
      </c>
      <c r="Q654" s="16" t="n">
        <v>3000</v>
      </c>
      <c r="R654" s="16" t="n">
        <v>750</v>
      </c>
      <c r="S654" s="16" t="n">
        <v>0.5</v>
      </c>
      <c r="T654" s="16" t="n">
        <v>0.85</v>
      </c>
      <c r="U654" s="16" t="n">
        <v>0.75</v>
      </c>
      <c r="V654" s="16" t="n">
        <v>0.85</v>
      </c>
      <c r="W654" s="16" t="n">
        <v>0.75</v>
      </c>
      <c r="X654" s="16" t="n">
        <v>0.8</v>
      </c>
      <c r="Y654" s="16" t="n">
        <v>288.15</v>
      </c>
      <c r="Z654" s="16" t="n">
        <v>8.636805595675929</v>
      </c>
      <c r="AA654" s="16" t="n">
        <v>45.09524456955386</v>
      </c>
      <c r="AB654" s="16" t="n">
        <v>2250</v>
      </c>
      <c r="AC654" s="16" t="n">
        <v>4</v>
      </c>
      <c r="AD654" s="16" t="n"/>
      <c r="AE654" s="16" t="n"/>
    </row>
    <row r="655">
      <c r="A655" s="16" t="inlineStr">
        <is>
          <t>KF-M02S-B2-0024</t>
        </is>
      </c>
      <c r="B655" s="16" t="inlineStr">
        <is>
          <t>2.4</t>
        </is>
      </c>
      <c r="C655" s="16" t="inlineStr">
        <is>
          <t>2.4b</t>
        </is>
      </c>
      <c r="D655" s="16" t="inlineStr">
        <is>
          <t>fuente a 420 K</t>
        </is>
      </c>
      <c r="E655" s="16" t="inlineStr">
        <is>
          <t>KF-M02S</t>
        </is>
      </c>
      <c r="F655" s="16" t="inlineStr">
        <is>
          <t>KF-M02S-B2</t>
        </is>
      </c>
      <c r="G655" s="16" t="inlineStr">
        <is>
          <t>B05-B2</t>
        </is>
      </c>
      <c r="H655" s="16" t="inlineStr">
        <is>
          <t>malla</t>
        </is>
      </c>
      <c r="I655" s="16" t="inlineStr">
        <is>
          <t>KALINA</t>
        </is>
      </c>
      <c r="J655" s="16" t="inlineStr">
        <is>
          <t>KALINA</t>
        </is>
      </c>
      <c r="K655" s="16" t="b">
        <v>1</v>
      </c>
      <c r="L655" s="16" t="b">
        <v>1</v>
      </c>
      <c r="M655" s="16" t="b">
        <v>0</v>
      </c>
      <c r="N655" s="16" t="b">
        <v>0</v>
      </c>
      <c r="O655" s="16" t="n">
        <v>420</v>
      </c>
      <c r="P655" s="16" t="n">
        <v>288.15</v>
      </c>
      <c r="Q655" s="16" t="n">
        <v>3000</v>
      </c>
      <c r="R655" s="16" t="n">
        <v>600</v>
      </c>
      <c r="S655" s="16" t="n">
        <v>0.5</v>
      </c>
      <c r="T655" s="16" t="n">
        <v>0.85</v>
      </c>
      <c r="U655" s="16" t="n">
        <v>0.75</v>
      </c>
      <c r="V655" s="16" t="n">
        <v>0.85</v>
      </c>
      <c r="W655" s="16" t="n">
        <v>0.75</v>
      </c>
      <c r="X655" s="16" t="n">
        <v>0.8</v>
      </c>
      <c r="Y655" s="16" t="n">
        <v>288.15</v>
      </c>
      <c r="Z655" s="16" t="n">
        <v>9.951195242028971</v>
      </c>
      <c r="AA655" s="16" t="n">
        <v>52.01487719919917</v>
      </c>
      <c r="AB655" s="16" t="n">
        <v>2400</v>
      </c>
      <c r="AC655" s="16" t="n">
        <v>5</v>
      </c>
      <c r="AD655" s="16" t="n"/>
      <c r="AE655" s="16" t="n"/>
    </row>
    <row r="656">
      <c r="A656" s="16" t="inlineStr">
        <is>
          <t>KF-M02S-B2-0025</t>
        </is>
      </c>
      <c r="B656" s="16" t="inlineStr">
        <is>
          <t>2.4</t>
        </is>
      </c>
      <c r="C656" s="16" t="inlineStr">
        <is>
          <t>2.4b</t>
        </is>
      </c>
      <c r="D656" s="16" t="inlineStr">
        <is>
          <t>fuente a 420 K</t>
        </is>
      </c>
      <c r="E656" s="16" t="inlineStr">
        <is>
          <t>KF-M02S</t>
        </is>
      </c>
      <c r="F656" s="16" t="inlineStr">
        <is>
          <t>KF-M02S-B2</t>
        </is>
      </c>
      <c r="G656" s="16" t="inlineStr">
        <is>
          <t>B05-B2</t>
        </is>
      </c>
      <c r="H656" s="16" t="inlineStr">
        <is>
          <t>malla</t>
        </is>
      </c>
      <c r="I656" s="16" t="inlineStr">
        <is>
          <t>KALINA</t>
        </is>
      </c>
      <c r="J656" s="16" t="inlineStr">
        <is>
          <t>KALINA</t>
        </is>
      </c>
      <c r="K656" s="16" t="b">
        <v>1</v>
      </c>
      <c r="L656" s="16" t="b">
        <v>1</v>
      </c>
      <c r="M656" s="16" t="b">
        <v>0</v>
      </c>
      <c r="N656" s="16" t="b">
        <v>0</v>
      </c>
      <c r="O656" s="16" t="n">
        <v>420</v>
      </c>
      <c r="P656" s="16" t="n">
        <v>288.15</v>
      </c>
      <c r="Q656" s="16" t="n">
        <v>3000</v>
      </c>
      <c r="R656" s="16" t="n">
        <v>900</v>
      </c>
      <c r="S656" s="16" t="n">
        <v>0.5</v>
      </c>
      <c r="T656" s="16" t="n">
        <v>0.85</v>
      </c>
      <c r="U656" s="16" t="n">
        <v>0.75</v>
      </c>
      <c r="V656" s="16" t="n">
        <v>0.85</v>
      </c>
      <c r="W656" s="16" t="n">
        <v>0.75</v>
      </c>
      <c r="X656" s="16" t="n">
        <v>0.8</v>
      </c>
      <c r="Y656" s="16" t="n">
        <v>288.15</v>
      </c>
      <c r="Z656" s="16" t="n">
        <v>7.54225176383516</v>
      </c>
      <c r="AA656" s="16" t="n">
        <v>39.34503726195055</v>
      </c>
      <c r="AB656" s="16" t="n">
        <v>2100</v>
      </c>
      <c r="AC656" s="16" t="n">
        <v>3.333333333333333</v>
      </c>
      <c r="AD656" s="16" t="n"/>
      <c r="AE656" s="16" t="n"/>
    </row>
    <row r="657">
      <c r="A657" s="16" t="inlineStr">
        <is>
          <t>KF-M02S-B2-0026</t>
        </is>
      </c>
      <c r="B657" s="16" t="inlineStr">
        <is>
          <t>2.4</t>
        </is>
      </c>
      <c r="C657" s="16" t="inlineStr">
        <is>
          <t>2.4b</t>
        </is>
      </c>
      <c r="D657" s="16" t="inlineStr">
        <is>
          <t>fuente a 420 K</t>
        </is>
      </c>
      <c r="E657" s="16" t="inlineStr">
        <is>
          <t>KF-M02S</t>
        </is>
      </c>
      <c r="F657" s="16" t="inlineStr">
        <is>
          <t>KF-M02S-B2</t>
        </is>
      </c>
      <c r="G657" s="16" t="inlineStr">
        <is>
          <t>B05-B2</t>
        </is>
      </c>
      <c r="H657" s="16" t="inlineStr">
        <is>
          <t>malla</t>
        </is>
      </c>
      <c r="I657" s="16" t="inlineStr">
        <is>
          <t>KALINA</t>
        </is>
      </c>
      <c r="J657" s="16" t="inlineStr">
        <is>
          <t>KALINA</t>
        </is>
      </c>
      <c r="K657" s="16" t="b">
        <v>1</v>
      </c>
      <c r="L657" s="16" t="b">
        <v>1</v>
      </c>
      <c r="M657" s="16" t="b">
        <v>0</v>
      </c>
      <c r="N657" s="16" t="b">
        <v>0</v>
      </c>
      <c r="O657" s="16" t="n">
        <v>420</v>
      </c>
      <c r="P657" s="16" t="n">
        <v>288.15</v>
      </c>
      <c r="Q657" s="16" t="n">
        <v>3000</v>
      </c>
      <c r="R657" s="16" t="n">
        <v>1050</v>
      </c>
      <c r="S657" s="16" t="n">
        <v>0.5</v>
      </c>
      <c r="T657" s="16" t="n">
        <v>0.85</v>
      </c>
      <c r="U657" s="16" t="n">
        <v>0.75</v>
      </c>
      <c r="V657" s="16" t="n">
        <v>0.85</v>
      </c>
      <c r="W657" s="16" t="n">
        <v>0.75</v>
      </c>
      <c r="X657" s="16" t="n">
        <v>0.8</v>
      </c>
      <c r="Y657" s="16" t="n">
        <v>288.15</v>
      </c>
      <c r="Z657" s="16" t="n">
        <v>6.60340764545448</v>
      </c>
      <c r="AA657" s="16" t="n">
        <v>34.42145956774781</v>
      </c>
      <c r="AB657" s="16" t="n">
        <v>1950</v>
      </c>
      <c r="AC657" s="16" t="n">
        <v>2.857142857142857</v>
      </c>
      <c r="AD657" s="16" t="n"/>
      <c r="AE657" s="16" t="n"/>
    </row>
    <row r="658">
      <c r="A658" s="16" t="inlineStr">
        <is>
          <t>KF-M02S-B2-0027</t>
        </is>
      </c>
      <c r="B658" s="16" t="inlineStr">
        <is>
          <t>2.4</t>
        </is>
      </c>
      <c r="C658" s="16" t="inlineStr">
        <is>
          <t>2.4b</t>
        </is>
      </c>
      <c r="D658" s="16" t="inlineStr">
        <is>
          <t>fuente a 420 K</t>
        </is>
      </c>
      <c r="E658" s="16" t="inlineStr">
        <is>
          <t>KF-M02S</t>
        </is>
      </c>
      <c r="F658" s="16" t="inlineStr">
        <is>
          <t>KF-M02S-B2</t>
        </is>
      </c>
      <c r="G658" s="16" t="inlineStr">
        <is>
          <t>B05-B2</t>
        </is>
      </c>
      <c r="H658" s="16" t="inlineStr">
        <is>
          <t>malla</t>
        </is>
      </c>
      <c r="I658" s="16" t="inlineStr">
        <is>
          <t>KALINA</t>
        </is>
      </c>
      <c r="J658" s="16" t="inlineStr">
        <is>
          <t>KALINA</t>
        </is>
      </c>
      <c r="K658" s="16" t="b">
        <v>1</v>
      </c>
      <c r="L658" s="16" t="b">
        <v>1</v>
      </c>
      <c r="M658" s="16" t="b">
        <v>0</v>
      </c>
      <c r="N658" s="16" t="b">
        <v>0</v>
      </c>
      <c r="O658" s="16" t="n">
        <v>420</v>
      </c>
      <c r="P658" s="16" t="n">
        <v>288.15</v>
      </c>
      <c r="Q658" s="16" t="n">
        <v>3000</v>
      </c>
      <c r="R658" s="16" t="n">
        <v>1200</v>
      </c>
      <c r="S658" s="16" t="n">
        <v>0.5</v>
      </c>
      <c r="T658" s="16" t="n">
        <v>0.85</v>
      </c>
      <c r="U658" s="16" t="n">
        <v>0.75</v>
      </c>
      <c r="V658" s="16" t="n">
        <v>0.85</v>
      </c>
      <c r="W658" s="16" t="n">
        <v>0.75</v>
      </c>
      <c r="X658" s="16" t="n">
        <v>0.8</v>
      </c>
      <c r="Y658" s="16" t="n">
        <v>288.15</v>
      </c>
      <c r="Z658" s="16" t="n">
        <v>5.78105231080368</v>
      </c>
      <c r="AA658" s="16" t="n">
        <v>30.11521832322888</v>
      </c>
      <c r="AB658" s="16" t="n">
        <v>1800</v>
      </c>
      <c r="AC658" s="16" t="n">
        <v>2.5</v>
      </c>
      <c r="AD658" s="16" t="n"/>
      <c r="AE658" s="16" t="n"/>
    </row>
    <row r="659">
      <c r="A659" s="16" t="inlineStr">
        <is>
          <t>KF-M02S-B2-0028</t>
        </is>
      </c>
      <c r="B659" s="16" t="inlineStr">
        <is>
          <t>2.4</t>
        </is>
      </c>
      <c r="C659" s="16" t="inlineStr">
        <is>
          <t>2.4b</t>
        </is>
      </c>
      <c r="D659" s="16" t="inlineStr">
        <is>
          <t>fuente a 420 K</t>
        </is>
      </c>
      <c r="E659" s="16" t="inlineStr">
        <is>
          <t>KF-M02S</t>
        </is>
      </c>
      <c r="F659" s="16" t="inlineStr">
        <is>
          <t>KF-M02S-B2</t>
        </is>
      </c>
      <c r="G659" s="16" t="inlineStr">
        <is>
          <t>B05-B2</t>
        </is>
      </c>
      <c r="H659" s="16" t="inlineStr">
        <is>
          <t>malla</t>
        </is>
      </c>
      <c r="I659" s="16" t="inlineStr">
        <is>
          <t>KALINA</t>
        </is>
      </c>
      <c r="J659" s="16" t="inlineStr">
        <is>
          <t>KALINA</t>
        </is>
      </c>
      <c r="K659" s="16" t="b">
        <v>1</v>
      </c>
      <c r="L659" s="16" t="b">
        <v>1</v>
      </c>
      <c r="M659" s="16" t="b">
        <v>0</v>
      </c>
      <c r="N659" s="16" t="b">
        <v>0</v>
      </c>
      <c r="O659" s="16" t="n">
        <v>420</v>
      </c>
      <c r="P659" s="16" t="n">
        <v>288.15</v>
      </c>
      <c r="Q659" s="16" t="n">
        <v>3000</v>
      </c>
      <c r="R659" s="16" t="n">
        <v>1350</v>
      </c>
      <c r="S659" s="16" t="n">
        <v>0.5</v>
      </c>
      <c r="T659" s="16" t="n">
        <v>0.85</v>
      </c>
      <c r="U659" s="16" t="n">
        <v>0.75</v>
      </c>
      <c r="V659" s="16" t="n">
        <v>0.85</v>
      </c>
      <c r="W659" s="16" t="n">
        <v>0.75</v>
      </c>
      <c r="X659" s="16" t="n">
        <v>0.8</v>
      </c>
      <c r="Y659" s="16" t="n">
        <v>288.15</v>
      </c>
      <c r="Z659" s="16" t="n">
        <v>5.04937187861442</v>
      </c>
      <c r="AA659" s="16" t="n">
        <v>26.28873303658052</v>
      </c>
      <c r="AB659" s="16" t="n">
        <v>1650</v>
      </c>
      <c r="AC659" s="16" t="n">
        <v>2.222222222222222</v>
      </c>
      <c r="AD659" s="16" t="n"/>
      <c r="AE659" s="16" t="n"/>
    </row>
    <row r="660">
      <c r="A660" s="16" t="inlineStr">
        <is>
          <t>KF-M02S-B2-0029</t>
        </is>
      </c>
      <c r="B660" s="16" t="inlineStr">
        <is>
          <t>2.4</t>
        </is>
      </c>
      <c r="C660" s="16" t="inlineStr">
        <is>
          <t>2.4b</t>
        </is>
      </c>
      <c r="D660" s="16" t="inlineStr">
        <is>
          <t>fuente a 420 K</t>
        </is>
      </c>
      <c r="E660" s="16" t="inlineStr">
        <is>
          <t>KF-M02S</t>
        </is>
      </c>
      <c r="F660" s="16" t="inlineStr">
        <is>
          <t>KF-M02S-B2</t>
        </is>
      </c>
      <c r="G660" s="16" t="inlineStr">
        <is>
          <t>B05-B2</t>
        </is>
      </c>
      <c r="H660" s="16" t="inlineStr">
        <is>
          <t>malla</t>
        </is>
      </c>
      <c r="I660" s="16" t="inlineStr">
        <is>
          <t>KALINA</t>
        </is>
      </c>
      <c r="J660" s="16" t="inlineStr">
        <is>
          <t>KALINA</t>
        </is>
      </c>
      <c r="K660" s="16" t="b">
        <v>1</v>
      </c>
      <c r="L660" s="16" t="b">
        <v>1</v>
      </c>
      <c r="M660" s="16" t="b">
        <v>0</v>
      </c>
      <c r="N660" s="16" t="b">
        <v>0</v>
      </c>
      <c r="O660" s="16" t="n">
        <v>420</v>
      </c>
      <c r="P660" s="16" t="n">
        <v>288.15</v>
      </c>
      <c r="Q660" s="16" t="n">
        <v>3000</v>
      </c>
      <c r="R660" s="16" t="n">
        <v>1500</v>
      </c>
      <c r="S660" s="16" t="n">
        <v>0.5</v>
      </c>
      <c r="T660" s="16" t="n">
        <v>0.85</v>
      </c>
      <c r="U660" s="16" t="n">
        <v>0.75</v>
      </c>
      <c r="V660" s="16" t="n">
        <v>0.85</v>
      </c>
      <c r="W660" s="16" t="n">
        <v>0.75</v>
      </c>
      <c r="X660" s="16" t="n">
        <v>0.8</v>
      </c>
      <c r="Y660" s="16" t="n">
        <v>288.15</v>
      </c>
      <c r="Z660" s="16" t="n">
        <v>4.3904173963407</v>
      </c>
      <c r="AA660" s="16" t="n">
        <v>22.84650043618621</v>
      </c>
      <c r="AB660" s="16" t="n">
        <v>1500</v>
      </c>
      <c r="AC660" s="16" t="n">
        <v>2</v>
      </c>
      <c r="AD660" s="16" t="n"/>
      <c r="AE660" s="16" t="n"/>
    </row>
    <row r="661">
      <c r="A661" s="16" t="inlineStr">
        <is>
          <t>KF-M02S-B2-0030</t>
        </is>
      </c>
      <c r="B661" s="16" t="inlineStr">
        <is>
          <t>2.4</t>
        </is>
      </c>
      <c r="C661" s="16" t="inlineStr">
        <is>
          <t>2.4b</t>
        </is>
      </c>
      <c r="D661" s="16" t="inlineStr">
        <is>
          <t>fuente a 420 K</t>
        </is>
      </c>
      <c r="E661" s="16" t="inlineStr">
        <is>
          <t>KF-M02S</t>
        </is>
      </c>
      <c r="F661" s="16" t="inlineStr">
        <is>
          <t>KF-M02S-B2</t>
        </is>
      </c>
      <c r="G661" s="16" t="inlineStr">
        <is>
          <t>B05-B2</t>
        </is>
      </c>
      <c r="H661" s="16" t="inlineStr">
        <is>
          <t>malla</t>
        </is>
      </c>
      <c r="I661" s="16" t="inlineStr">
        <is>
          <t>CORREGIBLE</t>
        </is>
      </c>
      <c r="J661" s="16" t="inlineStr">
        <is>
          <t>CORREGIBLE</t>
        </is>
      </c>
      <c r="K661" s="16" t="b">
        <v>1</v>
      </c>
      <c r="L661" s="16" t="b">
        <v>0</v>
      </c>
      <c r="M661" s="16" t="b">
        <v>0</v>
      </c>
      <c r="N661" s="16" t="b">
        <v>0</v>
      </c>
      <c r="O661" s="16" t="n">
        <v>420</v>
      </c>
      <c r="P661" s="16" t="n">
        <v>293.15</v>
      </c>
      <c r="Q661" s="16" t="n">
        <v>3000</v>
      </c>
      <c r="R661" s="16" t="n">
        <v>300</v>
      </c>
      <c r="S661" s="16" t="n">
        <v>0.5</v>
      </c>
      <c r="T661" s="16" t="n">
        <v>0.85</v>
      </c>
      <c r="U661" s="16" t="n">
        <v>0.75</v>
      </c>
      <c r="V661" s="16" t="n">
        <v>0.85</v>
      </c>
      <c r="W661" s="16" t="n">
        <v>0.75</v>
      </c>
      <c r="X661" s="16" t="n">
        <v>0.8</v>
      </c>
      <c r="Y661" s="16" t="n">
        <v>293.15</v>
      </c>
      <c r="Z661" s="16" t="n">
        <v>13.42268303819938</v>
      </c>
      <c r="AA661" s="16" t="n">
        <v>69.07444009676553</v>
      </c>
      <c r="AB661" s="16" t="n">
        <v>2700</v>
      </c>
      <c r="AC661" s="16" t="n">
        <v>10</v>
      </c>
      <c r="AD661" s="16" t="inlineStr">
        <is>
          <t>O2</t>
        </is>
      </c>
      <c r="AE661" s="16" t="n"/>
    </row>
    <row r="662">
      <c r="A662" s="16" t="inlineStr">
        <is>
          <t>KF-M02S-B2-0031</t>
        </is>
      </c>
      <c r="B662" s="16" t="inlineStr">
        <is>
          <t>2.4</t>
        </is>
      </c>
      <c r="C662" s="16" t="inlineStr">
        <is>
          <t>2.4b</t>
        </is>
      </c>
      <c r="D662" s="16" t="inlineStr">
        <is>
          <t>fuente a 420 K</t>
        </is>
      </c>
      <c r="E662" s="16" t="inlineStr">
        <is>
          <t>KF-M02S</t>
        </is>
      </c>
      <c r="F662" s="16" t="inlineStr">
        <is>
          <t>KF-M02S-B2</t>
        </is>
      </c>
      <c r="G662" s="16" t="inlineStr">
        <is>
          <t>B05-B2</t>
        </is>
      </c>
      <c r="H662" s="16" t="inlineStr">
        <is>
          <t>malla</t>
        </is>
      </c>
      <c r="I662" s="16" t="inlineStr">
        <is>
          <t>CORREGIBLE</t>
        </is>
      </c>
      <c r="J662" s="16" t="inlineStr">
        <is>
          <t>CORREGIBLE</t>
        </is>
      </c>
      <c r="K662" s="16" t="b">
        <v>1</v>
      </c>
      <c r="L662" s="16" t="b">
        <v>0</v>
      </c>
      <c r="M662" s="16" t="b">
        <v>0</v>
      </c>
      <c r="N662" s="16" t="b">
        <v>0</v>
      </c>
      <c r="O662" s="16" t="n">
        <v>420</v>
      </c>
      <c r="P662" s="16" t="n">
        <v>293.15</v>
      </c>
      <c r="Q662" s="16" t="n">
        <v>3000</v>
      </c>
      <c r="R662" s="16" t="n">
        <v>450</v>
      </c>
      <c r="S662" s="16" t="n">
        <v>0.5</v>
      </c>
      <c r="T662" s="16" t="n">
        <v>0.85</v>
      </c>
      <c r="U662" s="16" t="n">
        <v>0.75</v>
      </c>
      <c r="V662" s="16" t="n">
        <v>0.85</v>
      </c>
      <c r="W662" s="16" t="n">
        <v>0.75</v>
      </c>
      <c r="X662" s="16" t="n">
        <v>0.8</v>
      </c>
      <c r="Y662" s="16" t="n">
        <v>293.15</v>
      </c>
      <c r="Z662" s="16" t="n">
        <v>11.68930740367206</v>
      </c>
      <c r="AA662" s="16" t="n">
        <v>60.19449865751274</v>
      </c>
      <c r="AB662" s="16" t="n">
        <v>2550</v>
      </c>
      <c r="AC662" s="16" t="n">
        <v>6.666666666666667</v>
      </c>
      <c r="AD662" s="16" t="inlineStr">
        <is>
          <t>O2</t>
        </is>
      </c>
      <c r="AE662" s="16" t="n"/>
    </row>
    <row r="663">
      <c r="A663" s="16" t="inlineStr">
        <is>
          <t>KF-M02S-B2-0032</t>
        </is>
      </c>
      <c r="B663" s="16" t="inlineStr">
        <is>
          <t>2.4</t>
        </is>
      </c>
      <c r="C663" s="16" t="inlineStr">
        <is>
          <t>2.4b</t>
        </is>
      </c>
      <c r="D663" s="16" t="inlineStr">
        <is>
          <t>fuente a 420 K</t>
        </is>
      </c>
      <c r="E663" s="16" t="inlineStr">
        <is>
          <t>KF-M02S</t>
        </is>
      </c>
      <c r="F663" s="16" t="inlineStr">
        <is>
          <t>KF-M02S-B2</t>
        </is>
      </c>
      <c r="G663" s="16" t="inlineStr">
        <is>
          <t>B05-B2</t>
        </is>
      </c>
      <c r="H663" s="16" t="inlineStr">
        <is>
          <t>malla</t>
        </is>
      </c>
      <c r="I663" s="16" t="inlineStr">
        <is>
          <t>CORREGIBLE</t>
        </is>
      </c>
      <c r="J663" s="16" t="inlineStr">
        <is>
          <t>CORREGIBLE</t>
        </is>
      </c>
      <c r="K663" s="16" t="b">
        <v>1</v>
      </c>
      <c r="L663" s="16" t="b">
        <v>0</v>
      </c>
      <c r="M663" s="16" t="b">
        <v>0</v>
      </c>
      <c r="N663" s="16" t="b">
        <v>0</v>
      </c>
      <c r="O663" s="16" t="n">
        <v>420</v>
      </c>
      <c r="P663" s="16" t="n">
        <v>293.15</v>
      </c>
      <c r="Q663" s="16" t="n">
        <v>3000</v>
      </c>
      <c r="R663" s="16" t="n">
        <v>150</v>
      </c>
      <c r="S663" s="16" t="n">
        <v>0.5</v>
      </c>
      <c r="T663" s="16" t="n">
        <v>0.85</v>
      </c>
      <c r="U663" s="16" t="n">
        <v>0.75</v>
      </c>
      <c r="V663" s="16" t="n">
        <v>0.85</v>
      </c>
      <c r="W663" s="16" t="n">
        <v>0.75</v>
      </c>
      <c r="X663" s="16" t="n">
        <v>0.8</v>
      </c>
      <c r="Y663" s="16" t="n">
        <v>293.15</v>
      </c>
      <c r="Z663" s="16" t="n">
        <v>4.86781407487201</v>
      </c>
      <c r="AA663" s="16" t="n">
        <v>18.89530417583678</v>
      </c>
      <c r="AB663" s="16" t="n">
        <v>2850</v>
      </c>
      <c r="AC663" s="16" t="n">
        <v>20</v>
      </c>
      <c r="AD663" s="16" t="inlineStr">
        <is>
          <t>O1,O2</t>
        </is>
      </c>
      <c r="AE663" s="16" t="n"/>
    </row>
    <row r="664">
      <c r="A664" s="16" t="inlineStr">
        <is>
          <t>KF-M02S-B2-0033</t>
        </is>
      </c>
      <c r="B664" s="16" t="inlineStr">
        <is>
          <t>2.4</t>
        </is>
      </c>
      <c r="C664" s="16" t="inlineStr">
        <is>
          <t>2.4b</t>
        </is>
      </c>
      <c r="D664" s="16" t="inlineStr">
        <is>
          <t>fuente a 420 K</t>
        </is>
      </c>
      <c r="E664" s="16" t="inlineStr">
        <is>
          <t>KF-M02S</t>
        </is>
      </c>
      <c r="F664" s="16" t="inlineStr">
        <is>
          <t>KF-M02S-B2</t>
        </is>
      </c>
      <c r="G664" s="16" t="inlineStr">
        <is>
          <t>B05-B2</t>
        </is>
      </c>
      <c r="H664" s="16" t="inlineStr">
        <is>
          <t>malla</t>
        </is>
      </c>
      <c r="I664" s="16" t="inlineStr">
        <is>
          <t>CORREGIBLE</t>
        </is>
      </c>
      <c r="J664" s="16" t="inlineStr">
        <is>
          <t>CORREGIBLE</t>
        </is>
      </c>
      <c r="K664" s="16" t="b">
        <v>1</v>
      </c>
      <c r="L664" s="16" t="b">
        <v>0</v>
      </c>
      <c r="M664" s="16" t="b">
        <v>0</v>
      </c>
      <c r="N664" s="16" t="b">
        <v>0</v>
      </c>
      <c r="O664" s="16" t="n">
        <v>420</v>
      </c>
      <c r="P664" s="16" t="n">
        <v>293.15</v>
      </c>
      <c r="Q664" s="16" t="n">
        <v>3000</v>
      </c>
      <c r="R664" s="16" t="n">
        <v>600</v>
      </c>
      <c r="S664" s="16" t="n">
        <v>0.5</v>
      </c>
      <c r="T664" s="16" t="n">
        <v>0.85</v>
      </c>
      <c r="U664" s="16" t="n">
        <v>0.75</v>
      </c>
      <c r="V664" s="16" t="n">
        <v>0.85</v>
      </c>
      <c r="W664" s="16" t="n">
        <v>0.75</v>
      </c>
      <c r="X664" s="16" t="n">
        <v>0.8</v>
      </c>
      <c r="Y664" s="16" t="n">
        <v>293.15</v>
      </c>
      <c r="Z664" s="16" t="n">
        <v>10.13930752454878</v>
      </c>
      <c r="AA664" s="16" t="n">
        <v>52.1710580024439</v>
      </c>
      <c r="AB664" s="16" t="n">
        <v>2400</v>
      </c>
      <c r="AC664" s="16" t="n">
        <v>5</v>
      </c>
      <c r="AD664" s="16" t="inlineStr">
        <is>
          <t>O2</t>
        </is>
      </c>
      <c r="AE664" s="16" t="n"/>
    </row>
    <row r="665">
      <c r="A665" s="16" t="inlineStr">
        <is>
          <t>KF-M02S-B2-0034</t>
        </is>
      </c>
      <c r="B665" s="16" t="inlineStr">
        <is>
          <t>2.4</t>
        </is>
      </c>
      <c r="C665" s="16" t="inlineStr">
        <is>
          <t>2.4b</t>
        </is>
      </c>
      <c r="D665" s="16" t="inlineStr">
        <is>
          <t>fuente a 420 K</t>
        </is>
      </c>
      <c r="E665" s="16" t="inlineStr">
        <is>
          <t>KF-M02S</t>
        </is>
      </c>
      <c r="F665" s="16" t="inlineStr">
        <is>
          <t>KF-M02S-B2</t>
        </is>
      </c>
      <c r="G665" s="16" t="inlineStr">
        <is>
          <t>B05-B2</t>
        </is>
      </c>
      <c r="H665" s="16" t="inlineStr">
        <is>
          <t>malla</t>
        </is>
      </c>
      <c r="I665" s="16" t="inlineStr">
        <is>
          <t>KALINA</t>
        </is>
      </c>
      <c r="J665" s="16" t="inlineStr">
        <is>
          <t>KALINA</t>
        </is>
      </c>
      <c r="K665" s="16" t="b">
        <v>1</v>
      </c>
      <c r="L665" s="16" t="b">
        <v>1</v>
      </c>
      <c r="M665" s="16" t="b">
        <v>0</v>
      </c>
      <c r="N665" s="16" t="b">
        <v>0</v>
      </c>
      <c r="O665" s="16" t="n">
        <v>420</v>
      </c>
      <c r="P665" s="16" t="n">
        <v>293.15</v>
      </c>
      <c r="Q665" s="16" t="n">
        <v>3000</v>
      </c>
      <c r="R665" s="16" t="n">
        <v>750</v>
      </c>
      <c r="S665" s="16" t="n">
        <v>0.5</v>
      </c>
      <c r="T665" s="16" t="n">
        <v>0.85</v>
      </c>
      <c r="U665" s="16" t="n">
        <v>0.75</v>
      </c>
      <c r="V665" s="16" t="n">
        <v>0.85</v>
      </c>
      <c r="W665" s="16" t="n">
        <v>0.75</v>
      </c>
      <c r="X665" s="16" t="n">
        <v>0.8</v>
      </c>
      <c r="Y665" s="16" t="n">
        <v>293.15</v>
      </c>
      <c r="Z665" s="16" t="n">
        <v>8.800478358867259</v>
      </c>
      <c r="AA665" s="16" t="n">
        <v>45.23190699487393</v>
      </c>
      <c r="AB665" s="16" t="n">
        <v>2250</v>
      </c>
      <c r="AC665" s="16" t="n">
        <v>4</v>
      </c>
      <c r="AD665" s="16" t="n"/>
      <c r="AE665" s="16" t="n"/>
    </row>
    <row r="666">
      <c r="A666" s="16" t="inlineStr">
        <is>
          <t>KF-M02S-B2-0035</t>
        </is>
      </c>
      <c r="B666" s="16" t="inlineStr">
        <is>
          <t>2.4</t>
        </is>
      </c>
      <c r="C666" s="16" t="inlineStr">
        <is>
          <t>2.4b</t>
        </is>
      </c>
      <c r="D666" s="16" t="inlineStr">
        <is>
          <t>fuente a 420 K</t>
        </is>
      </c>
      <c r="E666" s="16" t="inlineStr">
        <is>
          <t>KF-M02S</t>
        </is>
      </c>
      <c r="F666" s="16" t="inlineStr">
        <is>
          <t>KF-M02S-B2</t>
        </is>
      </c>
      <c r="G666" s="16" t="inlineStr">
        <is>
          <t>B05-B2</t>
        </is>
      </c>
      <c r="H666" s="16" t="inlineStr">
        <is>
          <t>malla</t>
        </is>
      </c>
      <c r="I666" s="16" t="inlineStr">
        <is>
          <t>KALINA</t>
        </is>
      </c>
      <c r="J666" s="16" t="inlineStr">
        <is>
          <t>KALINA</t>
        </is>
      </c>
      <c r="K666" s="16" t="b">
        <v>1</v>
      </c>
      <c r="L666" s="16" t="b">
        <v>1</v>
      </c>
      <c r="M666" s="16" t="b">
        <v>0</v>
      </c>
      <c r="N666" s="16" t="b">
        <v>0</v>
      </c>
      <c r="O666" s="16" t="n">
        <v>420</v>
      </c>
      <c r="P666" s="16" t="n">
        <v>293.15</v>
      </c>
      <c r="Q666" s="16" t="n">
        <v>3000</v>
      </c>
      <c r="R666" s="16" t="n">
        <v>900</v>
      </c>
      <c r="S666" s="16" t="n">
        <v>0.5</v>
      </c>
      <c r="T666" s="16" t="n">
        <v>0.85</v>
      </c>
      <c r="U666" s="16" t="n">
        <v>0.75</v>
      </c>
      <c r="V666" s="16" t="n">
        <v>0.85</v>
      </c>
      <c r="W666" s="16" t="n">
        <v>0.75</v>
      </c>
      <c r="X666" s="16" t="n">
        <v>0.8</v>
      </c>
      <c r="Y666" s="16" t="n">
        <v>293.15</v>
      </c>
      <c r="Z666" s="16" t="n">
        <v>7.685183535959079</v>
      </c>
      <c r="AA666" s="16" t="n">
        <v>39.46361576137853</v>
      </c>
      <c r="AB666" s="16" t="n">
        <v>2100</v>
      </c>
      <c r="AC666" s="16" t="n">
        <v>3.333333333333333</v>
      </c>
      <c r="AD666" s="16" t="n"/>
      <c r="AE666" s="16" t="n"/>
    </row>
    <row r="667">
      <c r="A667" s="16" t="inlineStr">
        <is>
          <t>KF-M02S-B2-0036</t>
        </is>
      </c>
      <c r="B667" s="16" t="inlineStr">
        <is>
          <t>2.4</t>
        </is>
      </c>
      <c r="C667" s="16" t="inlineStr">
        <is>
          <t>2.4b</t>
        </is>
      </c>
      <c r="D667" s="16" t="inlineStr">
        <is>
          <t>fuente a 420 K</t>
        </is>
      </c>
      <c r="E667" s="16" t="inlineStr">
        <is>
          <t>KF-M02S</t>
        </is>
      </c>
      <c r="F667" s="16" t="inlineStr">
        <is>
          <t>KF-M02S-B2</t>
        </is>
      </c>
      <c r="G667" s="16" t="inlineStr">
        <is>
          <t>B05-B2</t>
        </is>
      </c>
      <c r="H667" s="16" t="inlineStr">
        <is>
          <t>malla</t>
        </is>
      </c>
      <c r="I667" s="16" t="inlineStr">
        <is>
          <t>KALINA</t>
        </is>
      </c>
      <c r="J667" s="16" t="inlineStr">
        <is>
          <t>KALINA</t>
        </is>
      </c>
      <c r="K667" s="16" t="b">
        <v>1</v>
      </c>
      <c r="L667" s="16" t="b">
        <v>1</v>
      </c>
      <c r="M667" s="16" t="b">
        <v>0</v>
      </c>
      <c r="N667" s="16" t="b">
        <v>0</v>
      </c>
      <c r="O667" s="16" t="n">
        <v>420</v>
      </c>
      <c r="P667" s="16" t="n">
        <v>293.15</v>
      </c>
      <c r="Q667" s="16" t="n">
        <v>3000</v>
      </c>
      <c r="R667" s="16" t="n">
        <v>1050</v>
      </c>
      <c r="S667" s="16" t="n">
        <v>0.5</v>
      </c>
      <c r="T667" s="16" t="n">
        <v>0.85</v>
      </c>
      <c r="U667" s="16" t="n">
        <v>0.75</v>
      </c>
      <c r="V667" s="16" t="n">
        <v>0.85</v>
      </c>
      <c r="W667" s="16" t="n">
        <v>0.75</v>
      </c>
      <c r="X667" s="16" t="n">
        <v>0.8</v>
      </c>
      <c r="Y667" s="16" t="n">
        <v>293.15</v>
      </c>
      <c r="Z667" s="16" t="n">
        <v>6.7285393377506</v>
      </c>
      <c r="AA667" s="16" t="n">
        <v>34.52467565994112</v>
      </c>
      <c r="AB667" s="16" t="n">
        <v>1950</v>
      </c>
      <c r="AC667" s="16" t="n">
        <v>2.857142857142857</v>
      </c>
      <c r="AD667" s="16" t="n"/>
      <c r="AE667" s="16" t="n"/>
    </row>
    <row r="668">
      <c r="A668" s="16" t="inlineStr">
        <is>
          <t>KF-M02S-B2-0037</t>
        </is>
      </c>
      <c r="B668" s="16" t="inlineStr">
        <is>
          <t>2.4</t>
        </is>
      </c>
      <c r="C668" s="16" t="inlineStr">
        <is>
          <t>2.4b</t>
        </is>
      </c>
      <c r="D668" s="16" t="inlineStr">
        <is>
          <t>fuente a 420 K</t>
        </is>
      </c>
      <c r="E668" s="16" t="inlineStr">
        <is>
          <t>KF-M02S</t>
        </is>
      </c>
      <c r="F668" s="16" t="inlineStr">
        <is>
          <t>KF-M02S-B2</t>
        </is>
      </c>
      <c r="G668" s="16" t="inlineStr">
        <is>
          <t>B05-B2</t>
        </is>
      </c>
      <c r="H668" s="16" t="inlineStr">
        <is>
          <t>malla</t>
        </is>
      </c>
      <c r="I668" s="16" t="inlineStr">
        <is>
          <t>KALINA</t>
        </is>
      </c>
      <c r="J668" s="16" t="inlineStr">
        <is>
          <t>KALINA</t>
        </is>
      </c>
      <c r="K668" s="16" t="b">
        <v>1</v>
      </c>
      <c r="L668" s="16" t="b">
        <v>1</v>
      </c>
      <c r="M668" s="16" t="b">
        <v>0</v>
      </c>
      <c r="N668" s="16" t="b">
        <v>0</v>
      </c>
      <c r="O668" s="16" t="n">
        <v>420</v>
      </c>
      <c r="P668" s="16" t="n">
        <v>293.15</v>
      </c>
      <c r="Q668" s="16" t="n">
        <v>3000</v>
      </c>
      <c r="R668" s="16" t="n">
        <v>1200</v>
      </c>
      <c r="S668" s="16" t="n">
        <v>0.5</v>
      </c>
      <c r="T668" s="16" t="n">
        <v>0.85</v>
      </c>
      <c r="U668" s="16" t="n">
        <v>0.75</v>
      </c>
      <c r="V668" s="16" t="n">
        <v>0.85</v>
      </c>
      <c r="W668" s="16" t="n">
        <v>0.75</v>
      </c>
      <c r="X668" s="16" t="n">
        <v>0.8</v>
      </c>
      <c r="Y668" s="16" t="n">
        <v>293.15</v>
      </c>
      <c r="Z668" s="16" t="n">
        <v>5.89059006282291</v>
      </c>
      <c r="AA668" s="16" t="n">
        <v>30.20509924967617</v>
      </c>
      <c r="AB668" s="16" t="n">
        <v>1800</v>
      </c>
      <c r="AC668" s="16" t="n">
        <v>2.5</v>
      </c>
      <c r="AD668" s="16" t="n"/>
      <c r="AE668" s="16" t="n"/>
    </row>
    <row r="669">
      <c r="A669" s="16" t="inlineStr">
        <is>
          <t>KF-M02S-B2-0038</t>
        </is>
      </c>
      <c r="B669" s="16" t="inlineStr">
        <is>
          <t>2.4</t>
        </is>
      </c>
      <c r="C669" s="16" t="inlineStr">
        <is>
          <t>2.4b</t>
        </is>
      </c>
      <c r="D669" s="16" t="inlineStr">
        <is>
          <t>fuente a 420 K</t>
        </is>
      </c>
      <c r="E669" s="16" t="inlineStr">
        <is>
          <t>KF-M02S</t>
        </is>
      </c>
      <c r="F669" s="16" t="inlineStr">
        <is>
          <t>KF-M02S-B2</t>
        </is>
      </c>
      <c r="G669" s="16" t="inlineStr">
        <is>
          <t>B05-B2</t>
        </is>
      </c>
      <c r="H669" s="16" t="inlineStr">
        <is>
          <t>malla</t>
        </is>
      </c>
      <c r="I669" s="16" t="inlineStr">
        <is>
          <t>KALINA</t>
        </is>
      </c>
      <c r="J669" s="16" t="inlineStr">
        <is>
          <t>KALINA</t>
        </is>
      </c>
      <c r="K669" s="16" t="b">
        <v>1</v>
      </c>
      <c r="L669" s="16" t="b">
        <v>1</v>
      </c>
      <c r="M669" s="16" t="b">
        <v>0</v>
      </c>
      <c r="N669" s="16" t="b">
        <v>0</v>
      </c>
      <c r="O669" s="16" t="n">
        <v>420</v>
      </c>
      <c r="P669" s="16" t="n">
        <v>293.15</v>
      </c>
      <c r="Q669" s="16" t="n">
        <v>3000</v>
      </c>
      <c r="R669" s="16" t="n">
        <v>1350</v>
      </c>
      <c r="S669" s="16" t="n">
        <v>0.5</v>
      </c>
      <c r="T669" s="16" t="n">
        <v>0.85</v>
      </c>
      <c r="U669" s="16" t="n">
        <v>0.75</v>
      </c>
      <c r="V669" s="16" t="n">
        <v>0.85</v>
      </c>
      <c r="W669" s="16" t="n">
        <v>0.75</v>
      </c>
      <c r="X669" s="16" t="n">
        <v>0.8</v>
      </c>
      <c r="Y669" s="16" t="n">
        <v>293.15</v>
      </c>
      <c r="Z669" s="16" t="n">
        <v>5.14502967000857</v>
      </c>
      <c r="AA669" s="16" t="n">
        <v>26.36684427013838</v>
      </c>
      <c r="AB669" s="16" t="n">
        <v>1650</v>
      </c>
      <c r="AC669" s="16" t="n">
        <v>2.222222222222222</v>
      </c>
      <c r="AD669" s="16" t="n"/>
      <c r="AE669" s="16" t="n"/>
    </row>
    <row r="670">
      <c r="A670" s="16" t="inlineStr">
        <is>
          <t>KF-M02S-B2-0039</t>
        </is>
      </c>
      <c r="B670" s="16" t="inlineStr">
        <is>
          <t>2.4</t>
        </is>
      </c>
      <c r="C670" s="16" t="inlineStr">
        <is>
          <t>2.4b</t>
        </is>
      </c>
      <c r="D670" s="16" t="inlineStr">
        <is>
          <t>fuente a 420 K</t>
        </is>
      </c>
      <c r="E670" s="16" t="inlineStr">
        <is>
          <t>KF-M02S</t>
        </is>
      </c>
      <c r="F670" s="16" t="inlineStr">
        <is>
          <t>KF-M02S-B2</t>
        </is>
      </c>
      <c r="G670" s="16" t="inlineStr">
        <is>
          <t>B05-B2</t>
        </is>
      </c>
      <c r="H670" s="16" t="inlineStr">
        <is>
          <t>malla</t>
        </is>
      </c>
      <c r="I670" s="16" t="inlineStr">
        <is>
          <t>KALINA</t>
        </is>
      </c>
      <c r="J670" s="16" t="inlineStr">
        <is>
          <t>KALINA</t>
        </is>
      </c>
      <c r="K670" s="16" t="b">
        <v>1</v>
      </c>
      <c r="L670" s="16" t="b">
        <v>1</v>
      </c>
      <c r="M670" s="16" t="b">
        <v>0</v>
      </c>
      <c r="N670" s="16" t="b">
        <v>0</v>
      </c>
      <c r="O670" s="16" t="n">
        <v>420</v>
      </c>
      <c r="P670" s="16" t="n">
        <v>293.15</v>
      </c>
      <c r="Q670" s="16" t="n">
        <v>3000</v>
      </c>
      <c r="R670" s="16" t="n">
        <v>1500</v>
      </c>
      <c r="S670" s="16" t="n">
        <v>0.5</v>
      </c>
      <c r="T670" s="16" t="n">
        <v>0.85</v>
      </c>
      <c r="U670" s="16" t="n">
        <v>0.75</v>
      </c>
      <c r="V670" s="16" t="n">
        <v>0.85</v>
      </c>
      <c r="W670" s="16" t="n">
        <v>0.75</v>
      </c>
      <c r="X670" s="16" t="n">
        <v>0.8</v>
      </c>
      <c r="Y670" s="16" t="n">
        <v>293.15</v>
      </c>
      <c r="Z670" s="16" t="n">
        <v>4.4735743872176</v>
      </c>
      <c r="AA670" s="16" t="n">
        <v>22.91409523924154</v>
      </c>
      <c r="AB670" s="16" t="n">
        <v>1500</v>
      </c>
      <c r="AC670" s="16" t="n">
        <v>2</v>
      </c>
      <c r="AD670" s="16" t="n"/>
      <c r="AE670" s="16" t="n"/>
    </row>
    <row r="671">
      <c r="A671" s="16" t="inlineStr">
        <is>
          <t>KF-M02S-B2-0040</t>
        </is>
      </c>
      <c r="B671" s="16" t="inlineStr">
        <is>
          <t>2.4</t>
        </is>
      </c>
      <c r="C671" s="16" t="inlineStr">
        <is>
          <t>2.4b</t>
        </is>
      </c>
      <c r="D671" s="16" t="inlineStr">
        <is>
          <t>fuente a 420 K</t>
        </is>
      </c>
      <c r="E671" s="16" t="inlineStr">
        <is>
          <t>KF-M02S</t>
        </is>
      </c>
      <c r="F671" s="16" t="inlineStr">
        <is>
          <t>KF-M02S-B2</t>
        </is>
      </c>
      <c r="G671" s="16" t="inlineStr">
        <is>
          <t>B05-B2</t>
        </is>
      </c>
      <c r="H671" s="16" t="inlineStr">
        <is>
          <t>malla</t>
        </is>
      </c>
      <c r="I671" s="16" t="inlineStr">
        <is>
          <t>INVIABLE</t>
        </is>
      </c>
      <c r="J671" s="16" t="inlineStr">
        <is>
          <t>INVIABLE</t>
        </is>
      </c>
      <c r="K671" s="16" t="b">
        <v>1</v>
      </c>
      <c r="L671" s="16" t="b">
        <v>0</v>
      </c>
      <c r="M671" s="16" t="b">
        <v>0</v>
      </c>
      <c r="N671" s="16" t="b">
        <v>0</v>
      </c>
      <c r="O671" s="16" t="n">
        <v>420</v>
      </c>
      <c r="P671" s="16" t="n">
        <v>300.032917</v>
      </c>
      <c r="Q671" s="16" t="n">
        <v>3000</v>
      </c>
      <c r="R671" s="16" t="n">
        <v>150</v>
      </c>
      <c r="S671" s="16" t="n">
        <v>0.5</v>
      </c>
      <c r="T671" s="16" t="n">
        <v>0.85</v>
      </c>
      <c r="U671" s="16" t="n">
        <v>0.75</v>
      </c>
      <c r="V671" s="16" t="n">
        <v>0.85</v>
      </c>
      <c r="W671" s="16" t="n">
        <v>0.75</v>
      </c>
      <c r="X671" s="16" t="n">
        <v>0.8</v>
      </c>
      <c r="Y671" s="16" t="n">
        <v>300.032917</v>
      </c>
      <c r="Z671" s="16" t="n">
        <v>-5.389705593465</v>
      </c>
      <c r="AA671" s="16" t="n">
        <v>-15.58216950655182</v>
      </c>
      <c r="AB671" s="16" t="n">
        <v>2850</v>
      </c>
      <c r="AC671" s="16" t="n">
        <v>20</v>
      </c>
      <c r="AD671" s="16" t="inlineStr">
        <is>
          <t>O1,O2,O3</t>
        </is>
      </c>
      <c r="AE671" s="16" t="n"/>
    </row>
    <row r="672">
      <c r="A672" s="16" t="inlineStr">
        <is>
          <t>KF-M02S-B2-0041</t>
        </is>
      </c>
      <c r="B672" s="16" t="inlineStr">
        <is>
          <t>2.4</t>
        </is>
      </c>
      <c r="C672" s="16" t="inlineStr">
        <is>
          <t>2.4b</t>
        </is>
      </c>
      <c r="D672" s="16" t="inlineStr">
        <is>
          <t>fuente a 420 K</t>
        </is>
      </c>
      <c r="E672" s="16" t="inlineStr">
        <is>
          <t>KF-M02S</t>
        </is>
      </c>
      <c r="F672" s="16" t="inlineStr">
        <is>
          <t>KF-M02S-B2</t>
        </is>
      </c>
      <c r="G672" s="16" t="inlineStr">
        <is>
          <t>B05-B2</t>
        </is>
      </c>
      <c r="H672" s="16" t="inlineStr">
        <is>
          <t>malla</t>
        </is>
      </c>
      <c r="I672" s="16" t="inlineStr">
        <is>
          <t>CORREGIBLE</t>
        </is>
      </c>
      <c r="J672" s="16" t="inlineStr">
        <is>
          <t>CORREGIBLE</t>
        </is>
      </c>
      <c r="K672" s="16" t="b">
        <v>1</v>
      </c>
      <c r="L672" s="16" t="b">
        <v>0</v>
      </c>
      <c r="M672" s="16" t="b">
        <v>0</v>
      </c>
      <c r="N672" s="16" t="b">
        <v>0</v>
      </c>
      <c r="O672" s="16" t="n">
        <v>420</v>
      </c>
      <c r="P672" s="16" t="n">
        <v>300.032917</v>
      </c>
      <c r="Q672" s="16" t="n">
        <v>3000</v>
      </c>
      <c r="R672" s="16" t="n">
        <v>450</v>
      </c>
      <c r="S672" s="16" t="n">
        <v>0.5</v>
      </c>
      <c r="T672" s="16" t="n">
        <v>0.85</v>
      </c>
      <c r="U672" s="16" t="n">
        <v>0.75</v>
      </c>
      <c r="V672" s="16" t="n">
        <v>0.85</v>
      </c>
      <c r="W672" s="16" t="n">
        <v>0.75</v>
      </c>
      <c r="X672" s="16" t="n">
        <v>0.8</v>
      </c>
      <c r="Y672" s="16" t="n">
        <v>300.032917</v>
      </c>
      <c r="Z672" s="16" t="n">
        <v>11.7667307988599</v>
      </c>
      <c r="AA672" s="16" t="n">
        <v>59.19558716156818</v>
      </c>
      <c r="AB672" s="16" t="n">
        <v>2550</v>
      </c>
      <c r="AC672" s="16" t="n">
        <v>6.666666666666667</v>
      </c>
      <c r="AD672" s="16" t="inlineStr">
        <is>
          <t>O2</t>
        </is>
      </c>
      <c r="AE672" s="16" t="n"/>
    </row>
    <row r="673">
      <c r="A673" s="16" t="inlineStr">
        <is>
          <t>KF-M02S-B2-0042</t>
        </is>
      </c>
      <c r="B673" s="16" t="inlineStr">
        <is>
          <t>2.4</t>
        </is>
      </c>
      <c r="C673" s="16" t="inlineStr">
        <is>
          <t>2.4b</t>
        </is>
      </c>
      <c r="D673" s="16" t="inlineStr">
        <is>
          <t>fuente a 420 K</t>
        </is>
      </c>
      <c r="E673" s="16" t="inlineStr">
        <is>
          <t>KF-M02S</t>
        </is>
      </c>
      <c r="F673" s="16" t="inlineStr">
        <is>
          <t>KF-M02S-B2</t>
        </is>
      </c>
      <c r="G673" s="16" t="inlineStr">
        <is>
          <t>B05-B2</t>
        </is>
      </c>
      <c r="H673" s="16" t="inlineStr">
        <is>
          <t>malla</t>
        </is>
      </c>
      <c r="I673" s="16" t="inlineStr">
        <is>
          <t>CORREGIBLE</t>
        </is>
      </c>
      <c r="J673" s="16" t="inlineStr">
        <is>
          <t>CORREGIBLE</t>
        </is>
      </c>
      <c r="K673" s="16" t="b">
        <v>1</v>
      </c>
      <c r="L673" s="16" t="b">
        <v>0</v>
      </c>
      <c r="M673" s="16" t="b">
        <v>0</v>
      </c>
      <c r="N673" s="16" t="b">
        <v>0</v>
      </c>
      <c r="O673" s="16" t="n">
        <v>420</v>
      </c>
      <c r="P673" s="16" t="n">
        <v>300.032917</v>
      </c>
      <c r="Q673" s="16" t="n">
        <v>3000</v>
      </c>
      <c r="R673" s="16" t="n">
        <v>300</v>
      </c>
      <c r="S673" s="16" t="n">
        <v>0.5</v>
      </c>
      <c r="T673" s="16" t="n">
        <v>0.85</v>
      </c>
      <c r="U673" s="16" t="n">
        <v>0.75</v>
      </c>
      <c r="V673" s="16" t="n">
        <v>0.85</v>
      </c>
      <c r="W673" s="16" t="n">
        <v>0.75</v>
      </c>
      <c r="X673" s="16" t="n">
        <v>0.8</v>
      </c>
      <c r="Y673" s="16" t="n">
        <v>300.032917</v>
      </c>
      <c r="Z673" s="16" t="n">
        <v>12.48919850487911</v>
      </c>
      <c r="AA673" s="16" t="n">
        <v>58.88724473422816</v>
      </c>
      <c r="AB673" s="16" t="n">
        <v>2700</v>
      </c>
      <c r="AC673" s="16" t="n">
        <v>10</v>
      </c>
      <c r="AD673" s="16" t="inlineStr">
        <is>
          <t>O2</t>
        </is>
      </c>
      <c r="AE673" s="16" t="n"/>
    </row>
    <row r="674">
      <c r="A674" s="16" t="inlineStr">
        <is>
          <t>KF-M02S-B2-0043</t>
        </is>
      </c>
      <c r="B674" s="16" t="inlineStr">
        <is>
          <t>2.4</t>
        </is>
      </c>
      <c r="C674" s="16" t="inlineStr">
        <is>
          <t>2.4b</t>
        </is>
      </c>
      <c r="D674" s="16" t="inlineStr">
        <is>
          <t>fuente a 420 K</t>
        </is>
      </c>
      <c r="E674" s="16" t="inlineStr">
        <is>
          <t>KF-M02S</t>
        </is>
      </c>
      <c r="F674" s="16" t="inlineStr">
        <is>
          <t>KF-M02S-B2</t>
        </is>
      </c>
      <c r="G674" s="16" t="inlineStr">
        <is>
          <t>B05-B2</t>
        </is>
      </c>
      <c r="H674" s="16" t="inlineStr">
        <is>
          <t>malla</t>
        </is>
      </c>
      <c r="I674" s="16" t="inlineStr">
        <is>
          <t>CORREGIBLE</t>
        </is>
      </c>
      <c r="J674" s="16" t="inlineStr">
        <is>
          <t>CORREGIBLE</t>
        </is>
      </c>
      <c r="K674" s="16" t="b">
        <v>1</v>
      </c>
      <c r="L674" s="16" t="b">
        <v>0</v>
      </c>
      <c r="M674" s="16" t="b">
        <v>0</v>
      </c>
      <c r="N674" s="16" t="b">
        <v>0</v>
      </c>
      <c r="O674" s="16" t="n">
        <v>420</v>
      </c>
      <c r="P674" s="16" t="n">
        <v>300.032917</v>
      </c>
      <c r="Q674" s="16" t="n">
        <v>3000</v>
      </c>
      <c r="R674" s="16" t="n">
        <v>600</v>
      </c>
      <c r="S674" s="16" t="n">
        <v>0.5</v>
      </c>
      <c r="T674" s="16" t="n">
        <v>0.85</v>
      </c>
      <c r="U674" s="16" t="n">
        <v>0.75</v>
      </c>
      <c r="V674" s="16" t="n">
        <v>0.85</v>
      </c>
      <c r="W674" s="16" t="n">
        <v>0.75</v>
      </c>
      <c r="X674" s="16" t="n">
        <v>0.8</v>
      </c>
      <c r="Y674" s="16" t="n">
        <v>300.032917</v>
      </c>
      <c r="Z674" s="16" t="n">
        <v>10.34480083843099</v>
      </c>
      <c r="AA674" s="16" t="n">
        <v>52.04170751239253</v>
      </c>
      <c r="AB674" s="16" t="n">
        <v>2400</v>
      </c>
      <c r="AC674" s="16" t="n">
        <v>5</v>
      </c>
      <c r="AD674" s="16" t="inlineStr">
        <is>
          <t>O2</t>
        </is>
      </c>
      <c r="AE674" s="16" t="n"/>
    </row>
    <row r="675">
      <c r="A675" s="16" t="inlineStr">
        <is>
          <t>KF-M02S-B2-0044</t>
        </is>
      </c>
      <c r="B675" s="16" t="inlineStr">
        <is>
          <t>2.4</t>
        </is>
      </c>
      <c r="C675" s="16" t="inlineStr">
        <is>
          <t>2.4b</t>
        </is>
      </c>
      <c r="D675" s="16" t="inlineStr">
        <is>
          <t>fuente a 420 K</t>
        </is>
      </c>
      <c r="E675" s="16" t="inlineStr">
        <is>
          <t>KF-M02S</t>
        </is>
      </c>
      <c r="F675" s="16" t="inlineStr">
        <is>
          <t>KF-M02S-B2</t>
        </is>
      </c>
      <c r="G675" s="16" t="inlineStr">
        <is>
          <t>B05-B2</t>
        </is>
      </c>
      <c r="H675" s="16" t="inlineStr">
        <is>
          <t>malla</t>
        </is>
      </c>
      <c r="I675" s="16" t="inlineStr">
        <is>
          <t>KALINA</t>
        </is>
      </c>
      <c r="J675" s="16" t="inlineStr">
        <is>
          <t>KALINA</t>
        </is>
      </c>
      <c r="K675" s="16" t="b">
        <v>1</v>
      </c>
      <c r="L675" s="16" t="b">
        <v>1</v>
      </c>
      <c r="M675" s="16" t="b">
        <v>0</v>
      </c>
      <c r="N675" s="16" t="b">
        <v>0</v>
      </c>
      <c r="O675" s="16" t="n">
        <v>420</v>
      </c>
      <c r="P675" s="16" t="n">
        <v>300.032917</v>
      </c>
      <c r="Q675" s="16" t="n">
        <v>3000</v>
      </c>
      <c r="R675" s="16" t="n">
        <v>750</v>
      </c>
      <c r="S675" s="16" t="n">
        <v>0.5</v>
      </c>
      <c r="T675" s="16" t="n">
        <v>0.85</v>
      </c>
      <c r="U675" s="16" t="n">
        <v>0.75</v>
      </c>
      <c r="V675" s="16" t="n">
        <v>0.85</v>
      </c>
      <c r="W675" s="16" t="n">
        <v>0.75</v>
      </c>
      <c r="X675" s="16" t="n">
        <v>0.8</v>
      </c>
      <c r="Y675" s="16" t="n">
        <v>300.032917</v>
      </c>
      <c r="Z675" s="16" t="n">
        <v>9.036221420092231</v>
      </c>
      <c r="AA675" s="16" t="n">
        <v>45.42087204143432</v>
      </c>
      <c r="AB675" s="16" t="n">
        <v>2250</v>
      </c>
      <c r="AC675" s="16" t="n">
        <v>4</v>
      </c>
      <c r="AD675" s="16" t="n"/>
      <c r="AE675" s="16" t="n"/>
    </row>
    <row r="676">
      <c r="A676" s="16" t="inlineStr">
        <is>
          <t>KF-M02S-B2-0045</t>
        </is>
      </c>
      <c r="B676" s="16" t="inlineStr">
        <is>
          <t>2.4</t>
        </is>
      </c>
      <c r="C676" s="16" t="inlineStr">
        <is>
          <t>2.4b</t>
        </is>
      </c>
      <c r="D676" s="16" t="inlineStr">
        <is>
          <t>fuente a 420 K</t>
        </is>
      </c>
      <c r="E676" s="16" t="inlineStr">
        <is>
          <t>KF-M02S</t>
        </is>
      </c>
      <c r="F676" s="16" t="inlineStr">
        <is>
          <t>KF-M02S-B2</t>
        </is>
      </c>
      <c r="G676" s="16" t="inlineStr">
        <is>
          <t>B05-B2</t>
        </is>
      </c>
      <c r="H676" s="16" t="inlineStr">
        <is>
          <t>malla</t>
        </is>
      </c>
      <c r="I676" s="16" t="inlineStr">
        <is>
          <t>KALINA</t>
        </is>
      </c>
      <c r="J676" s="16" t="inlineStr">
        <is>
          <t>KALINA</t>
        </is>
      </c>
      <c r="K676" s="16" t="b">
        <v>1</v>
      </c>
      <c r="L676" s="16" t="b">
        <v>1</v>
      </c>
      <c r="M676" s="16" t="b">
        <v>0</v>
      </c>
      <c r="N676" s="16" t="b">
        <v>0</v>
      </c>
      <c r="O676" s="16" t="n">
        <v>420</v>
      </c>
      <c r="P676" s="16" t="n">
        <v>300.032917</v>
      </c>
      <c r="Q676" s="16" t="n">
        <v>3000</v>
      </c>
      <c r="R676" s="16" t="n">
        <v>900</v>
      </c>
      <c r="S676" s="16" t="n">
        <v>0.5</v>
      </c>
      <c r="T676" s="16" t="n">
        <v>0.85</v>
      </c>
      <c r="U676" s="16" t="n">
        <v>0.75</v>
      </c>
      <c r="V676" s="16" t="n">
        <v>0.85</v>
      </c>
      <c r="W676" s="16" t="n">
        <v>0.75</v>
      </c>
      <c r="X676" s="16" t="n">
        <v>0.8</v>
      </c>
      <c r="Y676" s="16" t="n">
        <v>300.032917</v>
      </c>
      <c r="Z676" s="16" t="n">
        <v>7.891055063020031</v>
      </c>
      <c r="AA676" s="16" t="n">
        <v>39.62753542687533</v>
      </c>
      <c r="AB676" s="16" t="n">
        <v>2100</v>
      </c>
      <c r="AC676" s="16" t="n">
        <v>3.333333333333333</v>
      </c>
      <c r="AD676" s="16" t="n"/>
      <c r="AE676" s="16" t="n"/>
    </row>
    <row r="677">
      <c r="A677" s="16" t="inlineStr">
        <is>
          <t>KF-M02S-B2-0046</t>
        </is>
      </c>
      <c r="B677" s="16" t="inlineStr">
        <is>
          <t>2.4</t>
        </is>
      </c>
      <c r="C677" s="16" t="inlineStr">
        <is>
          <t>2.4b</t>
        </is>
      </c>
      <c r="D677" s="16" t="inlineStr">
        <is>
          <t>fuente a 420 K</t>
        </is>
      </c>
      <c r="E677" s="16" t="inlineStr">
        <is>
          <t>KF-M02S</t>
        </is>
      </c>
      <c r="F677" s="16" t="inlineStr">
        <is>
          <t>KF-M02S-B2</t>
        </is>
      </c>
      <c r="G677" s="16" t="inlineStr">
        <is>
          <t>B05-B2</t>
        </is>
      </c>
      <c r="H677" s="16" t="inlineStr">
        <is>
          <t>malla</t>
        </is>
      </c>
      <c r="I677" s="16" t="inlineStr">
        <is>
          <t>KALINA</t>
        </is>
      </c>
      <c r="J677" s="16" t="inlineStr">
        <is>
          <t>KALINA</t>
        </is>
      </c>
      <c r="K677" s="16" t="b">
        <v>1</v>
      </c>
      <c r="L677" s="16" t="b">
        <v>1</v>
      </c>
      <c r="M677" s="16" t="b">
        <v>0</v>
      </c>
      <c r="N677" s="16" t="b">
        <v>0</v>
      </c>
      <c r="O677" s="16" t="n">
        <v>420</v>
      </c>
      <c r="P677" s="16" t="n">
        <v>300.032917</v>
      </c>
      <c r="Q677" s="16" t="n">
        <v>3000</v>
      </c>
      <c r="R677" s="16" t="n">
        <v>1050</v>
      </c>
      <c r="S677" s="16" t="n">
        <v>0.5</v>
      </c>
      <c r="T677" s="16" t="n">
        <v>0.85</v>
      </c>
      <c r="U677" s="16" t="n">
        <v>0.75</v>
      </c>
      <c r="V677" s="16" t="n">
        <v>0.85</v>
      </c>
      <c r="W677" s="16" t="n">
        <v>0.75</v>
      </c>
      <c r="X677" s="16" t="n">
        <v>0.8</v>
      </c>
      <c r="Y677" s="16" t="n">
        <v>300.032917</v>
      </c>
      <c r="Z677" s="16" t="n">
        <v>6.90877355791581</v>
      </c>
      <c r="AA677" s="16" t="n">
        <v>34.66732531190164</v>
      </c>
      <c r="AB677" s="16" t="n">
        <v>1950</v>
      </c>
      <c r="AC677" s="16" t="n">
        <v>2.857142857142857</v>
      </c>
      <c r="AD677" s="16" t="n"/>
      <c r="AE677" s="16" t="n"/>
    </row>
    <row r="678">
      <c r="A678" s="16" t="inlineStr">
        <is>
          <t>KF-M02S-B2-0047</t>
        </is>
      </c>
      <c r="B678" s="16" t="inlineStr">
        <is>
          <t>2.4</t>
        </is>
      </c>
      <c r="C678" s="16" t="inlineStr">
        <is>
          <t>2.4b</t>
        </is>
      </c>
      <c r="D678" s="16" t="inlineStr">
        <is>
          <t>fuente a 420 K</t>
        </is>
      </c>
      <c r="E678" s="16" t="inlineStr">
        <is>
          <t>KF-M02S</t>
        </is>
      </c>
      <c r="F678" s="16" t="inlineStr">
        <is>
          <t>KF-M02S-B2</t>
        </is>
      </c>
      <c r="G678" s="16" t="inlineStr">
        <is>
          <t>B05-B2</t>
        </is>
      </c>
      <c r="H678" s="16" t="inlineStr">
        <is>
          <t>malla</t>
        </is>
      </c>
      <c r="I678" s="16" t="inlineStr">
        <is>
          <t>KALINA</t>
        </is>
      </c>
      <c r="J678" s="16" t="inlineStr">
        <is>
          <t>KALINA</t>
        </is>
      </c>
      <c r="K678" s="16" t="b">
        <v>1</v>
      </c>
      <c r="L678" s="16" t="b">
        <v>1</v>
      </c>
      <c r="M678" s="16" t="b">
        <v>0</v>
      </c>
      <c r="N678" s="16" t="b">
        <v>0</v>
      </c>
      <c r="O678" s="16" t="n">
        <v>420</v>
      </c>
      <c r="P678" s="16" t="n">
        <v>300.032917</v>
      </c>
      <c r="Q678" s="16" t="n">
        <v>3000</v>
      </c>
      <c r="R678" s="16" t="n">
        <v>1200</v>
      </c>
      <c r="S678" s="16" t="n">
        <v>0.5</v>
      </c>
      <c r="T678" s="16" t="n">
        <v>0.85</v>
      </c>
      <c r="U678" s="16" t="n">
        <v>0.75</v>
      </c>
      <c r="V678" s="16" t="n">
        <v>0.85</v>
      </c>
      <c r="W678" s="16" t="n">
        <v>0.75</v>
      </c>
      <c r="X678" s="16" t="n">
        <v>0.8</v>
      </c>
      <c r="Y678" s="16" t="n">
        <v>300.032917</v>
      </c>
      <c r="Z678" s="16" t="n">
        <v>6.048359362806989</v>
      </c>
      <c r="AA678" s="16" t="n">
        <v>30.32928722951075</v>
      </c>
      <c r="AB678" s="16" t="n">
        <v>1800</v>
      </c>
      <c r="AC678" s="16" t="n">
        <v>2.5</v>
      </c>
      <c r="AD678" s="16" t="n"/>
      <c r="AE678" s="16" t="n"/>
    </row>
    <row r="679">
      <c r="A679" s="16" t="inlineStr">
        <is>
          <t>KF-M02S-B2-0048</t>
        </is>
      </c>
      <c r="B679" s="16" t="inlineStr">
        <is>
          <t>2.4</t>
        </is>
      </c>
      <c r="C679" s="16" t="inlineStr">
        <is>
          <t>2.4b</t>
        </is>
      </c>
      <c r="D679" s="16" t="inlineStr">
        <is>
          <t>fuente a 420 K</t>
        </is>
      </c>
      <c r="E679" s="16" t="inlineStr">
        <is>
          <t>KF-M02S</t>
        </is>
      </c>
      <c r="F679" s="16" t="inlineStr">
        <is>
          <t>KF-M02S-B2</t>
        </is>
      </c>
      <c r="G679" s="16" t="inlineStr">
        <is>
          <t>B05-B2</t>
        </is>
      </c>
      <c r="H679" s="16" t="inlineStr">
        <is>
          <t>malla</t>
        </is>
      </c>
      <c r="I679" s="16" t="inlineStr">
        <is>
          <t>KALINA</t>
        </is>
      </c>
      <c r="J679" s="16" t="inlineStr">
        <is>
          <t>KALINA</t>
        </is>
      </c>
      <c r="K679" s="16" t="b">
        <v>1</v>
      </c>
      <c r="L679" s="16" t="b">
        <v>1</v>
      </c>
      <c r="M679" s="16" t="b">
        <v>0</v>
      </c>
      <c r="N679" s="16" t="b">
        <v>0</v>
      </c>
      <c r="O679" s="16" t="n">
        <v>420</v>
      </c>
      <c r="P679" s="16" t="n">
        <v>300.032917</v>
      </c>
      <c r="Q679" s="16" t="n">
        <v>3000</v>
      </c>
      <c r="R679" s="16" t="n">
        <v>1350</v>
      </c>
      <c r="S679" s="16" t="n">
        <v>0.5</v>
      </c>
      <c r="T679" s="16" t="n">
        <v>0.85</v>
      </c>
      <c r="U679" s="16" t="n">
        <v>0.75</v>
      </c>
      <c r="V679" s="16" t="n">
        <v>0.85</v>
      </c>
      <c r="W679" s="16" t="n">
        <v>0.75</v>
      </c>
      <c r="X679" s="16" t="n">
        <v>0.8</v>
      </c>
      <c r="Y679" s="16" t="n">
        <v>300.032917</v>
      </c>
      <c r="Z679" s="16" t="n">
        <v>5.28280675866074</v>
      </c>
      <c r="AA679" s="16" t="n">
        <v>26.47474643080694</v>
      </c>
      <c r="AB679" s="16" t="n">
        <v>1650</v>
      </c>
      <c r="AC679" s="16" t="n">
        <v>2.222222222222222</v>
      </c>
      <c r="AD679" s="16" t="n"/>
      <c r="AE679" s="16" t="n"/>
    </row>
    <row r="680">
      <c r="A680" s="16" t="inlineStr">
        <is>
          <t>KF-M02S-B3-0000</t>
        </is>
      </c>
      <c r="B680" s="16" t="inlineStr">
        <is>
          <t>2.4</t>
        </is>
      </c>
      <c r="C680" s="16" t="inlineStr">
        <is>
          <t>2.4c</t>
        </is>
      </c>
      <c r="D680" s="16" t="inlineStr">
        <is>
          <t>ε_HRVG = 0.40 (fuente del profesor)</t>
        </is>
      </c>
      <c r="E680" s="16" t="inlineStr">
        <is>
          <t>KF-M02S</t>
        </is>
      </c>
      <c r="F680" s="16" t="inlineStr">
        <is>
          <t>KF-M02S-B3</t>
        </is>
      </c>
      <c r="G680" s="16" t="inlineStr">
        <is>
          <t>B05-B3</t>
        </is>
      </c>
      <c r="H680" s="16" t="inlineStr">
        <is>
          <t>malla</t>
        </is>
      </c>
      <c r="I680" s="16" t="inlineStr">
        <is>
          <t>NO_CONVERGIO</t>
        </is>
      </c>
      <c r="J680" s="16" t="inlineStr">
        <is>
          <t>NO_CONVERGIO</t>
        </is>
      </c>
      <c r="K680" s="16" t="b">
        <v>0</v>
      </c>
      <c r="L680" s="16" t="b">
        <v>0</v>
      </c>
      <c r="M680" s="16" t="b">
        <v>0</v>
      </c>
      <c r="N680" s="16" t="b">
        <v>0</v>
      </c>
      <c r="O680" s="16" t="n">
        <v>623.15</v>
      </c>
      <c r="P680" s="16" t="n">
        <v>278.15</v>
      </c>
      <c r="Q680" s="16" t="n">
        <v>3000</v>
      </c>
      <c r="R680" s="16" t="n">
        <v>300</v>
      </c>
      <c r="S680" s="16" t="n">
        <v>0.5</v>
      </c>
      <c r="T680" s="16" t="n">
        <v>0.85</v>
      </c>
      <c r="U680" s="16" t="n">
        <v>0.75</v>
      </c>
      <c r="V680" s="16" t="n">
        <v>0.4</v>
      </c>
      <c r="W680" s="16" t="n">
        <v>0.75</v>
      </c>
      <c r="X680" s="16" t="n">
        <v>0.8</v>
      </c>
      <c r="Y680" s="16" t="n">
        <v>278.15</v>
      </c>
      <c r="Z680" s="16" t="n"/>
      <c r="AA680" s="16" t="n"/>
      <c r="AB680" s="16" t="n">
        <v>2700</v>
      </c>
      <c r="AC680" s="16" t="n">
        <v>10</v>
      </c>
      <c r="AD680" s="16" t="n"/>
      <c r="AE680" s="16" t="n"/>
    </row>
    <row r="681">
      <c r="A681" s="16" t="inlineStr">
        <is>
          <t>KF-M02S-B3-0001</t>
        </is>
      </c>
      <c r="B681" s="16" t="inlineStr">
        <is>
          <t>2.4</t>
        </is>
      </c>
      <c r="C681" s="16" t="inlineStr">
        <is>
          <t>2.4c</t>
        </is>
      </c>
      <c r="D681" s="16" t="inlineStr">
        <is>
          <t>ε_HRVG = 0.40 (fuente del profesor)</t>
        </is>
      </c>
      <c r="E681" s="16" t="inlineStr">
        <is>
          <t>KF-M02S</t>
        </is>
      </c>
      <c r="F681" s="16" t="inlineStr">
        <is>
          <t>KF-M02S-B3</t>
        </is>
      </c>
      <c r="G681" s="16" t="inlineStr">
        <is>
          <t>B05-B3</t>
        </is>
      </c>
      <c r="H681" s="16" t="inlineStr">
        <is>
          <t>malla</t>
        </is>
      </c>
      <c r="I681" s="16" t="inlineStr">
        <is>
          <t>CORREGIBLE</t>
        </is>
      </c>
      <c r="J681" s="16" t="inlineStr">
        <is>
          <t>CORREGIBLE</t>
        </is>
      </c>
      <c r="K681" s="16" t="b">
        <v>1</v>
      </c>
      <c r="L681" s="16" t="b">
        <v>0</v>
      </c>
      <c r="M681" s="16" t="b">
        <v>1</v>
      </c>
      <c r="N681" s="16" t="b">
        <v>0</v>
      </c>
      <c r="O681" s="16" t="n">
        <v>623.15</v>
      </c>
      <c r="P681" s="16" t="n">
        <v>278.15</v>
      </c>
      <c r="Q681" s="16" t="n">
        <v>3000</v>
      </c>
      <c r="R681" s="16" t="n">
        <v>150</v>
      </c>
      <c r="S681" s="16" t="n">
        <v>0.5</v>
      </c>
      <c r="T681" s="16" t="n">
        <v>0.85</v>
      </c>
      <c r="U681" s="16" t="n">
        <v>0.75</v>
      </c>
      <c r="V681" s="16" t="n">
        <v>0.4</v>
      </c>
      <c r="W681" s="16" t="n">
        <v>0.75</v>
      </c>
      <c r="X681" s="16" t="n">
        <v>0.8</v>
      </c>
      <c r="Y681" s="16" t="n">
        <v>278.15</v>
      </c>
      <c r="Z681" s="16" t="n">
        <v>17.71476905821945</v>
      </c>
      <c r="AA681" s="16" t="n">
        <v>170.3449956795498</v>
      </c>
      <c r="AB681" s="16" t="n">
        <v>2850</v>
      </c>
      <c r="AC681" s="16" t="n">
        <v>20</v>
      </c>
      <c r="AD681" s="16" t="inlineStr">
        <is>
          <t>O1,O2</t>
        </is>
      </c>
      <c r="AE681" s="16" t="n"/>
    </row>
    <row r="682">
      <c r="A682" s="16" t="inlineStr">
        <is>
          <t>KF-M02S-B2-0049</t>
        </is>
      </c>
      <c r="B682" s="16" t="inlineStr">
        <is>
          <t>2.4</t>
        </is>
      </c>
      <c r="C682" s="16" t="inlineStr">
        <is>
          <t>2.4b</t>
        </is>
      </c>
      <c r="D682" s="16" t="inlineStr">
        <is>
          <t>fuente a 420 K</t>
        </is>
      </c>
      <c r="E682" s="16" t="inlineStr">
        <is>
          <t>KF-M02S</t>
        </is>
      </c>
      <c r="F682" s="16" t="inlineStr">
        <is>
          <t>KF-M02S-B2</t>
        </is>
      </c>
      <c r="G682" s="16" t="inlineStr">
        <is>
          <t>B05-B2</t>
        </is>
      </c>
      <c r="H682" s="16" t="inlineStr">
        <is>
          <t>malla</t>
        </is>
      </c>
      <c r="I682" s="16" t="inlineStr">
        <is>
          <t>KALINA</t>
        </is>
      </c>
      <c r="J682" s="16" t="inlineStr">
        <is>
          <t>KALINA</t>
        </is>
      </c>
      <c r="K682" s="16" t="b">
        <v>1</v>
      </c>
      <c r="L682" s="16" t="b">
        <v>1</v>
      </c>
      <c r="M682" s="16" t="b">
        <v>0</v>
      </c>
      <c r="N682" s="16" t="b">
        <v>0</v>
      </c>
      <c r="O682" s="16" t="n">
        <v>420</v>
      </c>
      <c r="P682" s="16" t="n">
        <v>300.032917</v>
      </c>
      <c r="Q682" s="16" t="n">
        <v>3000</v>
      </c>
      <c r="R682" s="16" t="n">
        <v>1500</v>
      </c>
      <c r="S682" s="16" t="n">
        <v>0.5</v>
      </c>
      <c r="T682" s="16" t="n">
        <v>0.85</v>
      </c>
      <c r="U682" s="16" t="n">
        <v>0.75</v>
      </c>
      <c r="V682" s="16" t="n">
        <v>0.85</v>
      </c>
      <c r="W682" s="16" t="n">
        <v>0.75</v>
      </c>
      <c r="X682" s="16" t="n">
        <v>0.8</v>
      </c>
      <c r="Y682" s="16" t="n">
        <v>300.032917</v>
      </c>
      <c r="Z682" s="16" t="n">
        <v>4.593345365401779</v>
      </c>
      <c r="AA682" s="16" t="n">
        <v>23.00745000209272</v>
      </c>
      <c r="AB682" s="16" t="n">
        <v>1500</v>
      </c>
      <c r="AC682" s="16" t="n">
        <v>2</v>
      </c>
      <c r="AD682" s="16" t="n"/>
      <c r="AE682" s="16" t="n"/>
    </row>
    <row r="683">
      <c r="A683" s="16" t="inlineStr">
        <is>
          <t>KF-M02S-B3-0002</t>
        </is>
      </c>
      <c r="B683" s="16" t="inlineStr">
        <is>
          <t>2.4</t>
        </is>
      </c>
      <c r="C683" s="16" t="inlineStr">
        <is>
          <t>2.4c</t>
        </is>
      </c>
      <c r="D683" s="16" t="inlineStr">
        <is>
          <t>ε_HRVG = 0.40 (fuente del profesor)</t>
        </is>
      </c>
      <c r="E683" s="16" t="inlineStr">
        <is>
          <t>KF-M02S</t>
        </is>
      </c>
      <c r="F683" s="16" t="inlineStr">
        <is>
          <t>KF-M02S-B3</t>
        </is>
      </c>
      <c r="G683" s="16" t="inlineStr">
        <is>
          <t>B05-B3</t>
        </is>
      </c>
      <c r="H683" s="16" t="inlineStr">
        <is>
          <t>malla</t>
        </is>
      </c>
      <c r="I683" s="16" t="inlineStr">
        <is>
          <t>CORREGIBLE</t>
        </is>
      </c>
      <c r="J683" s="16" t="inlineStr">
        <is>
          <t>CORREGIBLE</t>
        </is>
      </c>
      <c r="K683" s="16" t="b">
        <v>1</v>
      </c>
      <c r="L683" s="16" t="b">
        <v>0</v>
      </c>
      <c r="M683" s="16" t="b">
        <v>1</v>
      </c>
      <c r="N683" s="16" t="b">
        <v>0</v>
      </c>
      <c r="O683" s="16" t="n">
        <v>623.15</v>
      </c>
      <c r="P683" s="16" t="n">
        <v>278.15</v>
      </c>
      <c r="Q683" s="16" t="n">
        <v>3000</v>
      </c>
      <c r="R683" s="16" t="n">
        <v>450</v>
      </c>
      <c r="S683" s="16" t="n">
        <v>0.5</v>
      </c>
      <c r="T683" s="16" t="n">
        <v>0.85</v>
      </c>
      <c r="U683" s="16" t="n">
        <v>0.75</v>
      </c>
      <c r="V683" s="16" t="n">
        <v>0.4</v>
      </c>
      <c r="W683" s="16" t="n">
        <v>0.75</v>
      </c>
      <c r="X683" s="16" t="n">
        <v>0.8</v>
      </c>
      <c r="Y683" s="16" t="n">
        <v>278.15</v>
      </c>
      <c r="Z683" s="16" t="n">
        <v>12.74521290492908</v>
      </c>
      <c r="AA683" s="16" t="n">
        <v>122.7426027021334</v>
      </c>
      <c r="AB683" s="16" t="n">
        <v>2550</v>
      </c>
      <c r="AC683" s="16" t="n">
        <v>6.666666666666667</v>
      </c>
      <c r="AD683" s="16" t="inlineStr">
        <is>
          <t>O2</t>
        </is>
      </c>
      <c r="AE683" s="16" t="n"/>
    </row>
    <row r="684">
      <c r="A684" s="16" t="inlineStr">
        <is>
          <t>KF-M02S-B3-0003</t>
        </is>
      </c>
      <c r="B684" s="16" t="inlineStr">
        <is>
          <t>2.4</t>
        </is>
      </c>
      <c r="C684" s="16" t="inlineStr">
        <is>
          <t>2.4c</t>
        </is>
      </c>
      <c r="D684" s="16" t="inlineStr">
        <is>
          <t>ε_HRVG = 0.40 (fuente del profesor)</t>
        </is>
      </c>
      <c r="E684" s="16" t="inlineStr">
        <is>
          <t>KF-M02S</t>
        </is>
      </c>
      <c r="F684" s="16" t="inlineStr">
        <is>
          <t>KF-M02S-B3</t>
        </is>
      </c>
      <c r="G684" s="16" t="inlineStr">
        <is>
          <t>B05-B3</t>
        </is>
      </c>
      <c r="H684" s="16" t="inlineStr">
        <is>
          <t>malla</t>
        </is>
      </c>
      <c r="I684" s="16" t="inlineStr">
        <is>
          <t>CORREGIBLE</t>
        </is>
      </c>
      <c r="J684" s="16" t="inlineStr">
        <is>
          <t>CORREGIBLE</t>
        </is>
      </c>
      <c r="K684" s="16" t="b">
        <v>1</v>
      </c>
      <c r="L684" s="16" t="b">
        <v>0</v>
      </c>
      <c r="M684" s="16" t="b">
        <v>1</v>
      </c>
      <c r="N684" s="16" t="b">
        <v>0</v>
      </c>
      <c r="O684" s="16" t="n">
        <v>623.15</v>
      </c>
      <c r="P684" s="16" t="n">
        <v>278.15</v>
      </c>
      <c r="Q684" s="16" t="n">
        <v>3000</v>
      </c>
      <c r="R684" s="16" t="n">
        <v>600</v>
      </c>
      <c r="S684" s="16" t="n">
        <v>0.5</v>
      </c>
      <c r="T684" s="16" t="n">
        <v>0.85</v>
      </c>
      <c r="U684" s="16" t="n">
        <v>0.75</v>
      </c>
      <c r="V684" s="16" t="n">
        <v>0.4</v>
      </c>
      <c r="W684" s="16" t="n">
        <v>0.75</v>
      </c>
      <c r="X684" s="16" t="n">
        <v>0.8</v>
      </c>
      <c r="Y684" s="16" t="n">
        <v>278.15</v>
      </c>
      <c r="Z684" s="16" t="n">
        <v>11.08981672328147</v>
      </c>
      <c r="AA684" s="16" t="n">
        <v>106.7432741251097</v>
      </c>
      <c r="AB684" s="16" t="n">
        <v>2400</v>
      </c>
      <c r="AC684" s="16" t="n">
        <v>5</v>
      </c>
      <c r="AD684" s="16" t="inlineStr">
        <is>
          <t>O2</t>
        </is>
      </c>
      <c r="AE684" s="16" t="n"/>
    </row>
    <row r="685">
      <c r="A685" s="16" t="inlineStr">
        <is>
          <t>KF-M02S-B3-0004</t>
        </is>
      </c>
      <c r="B685" s="16" t="inlineStr">
        <is>
          <t>2.4</t>
        </is>
      </c>
      <c r="C685" s="16" t="inlineStr">
        <is>
          <t>2.4c</t>
        </is>
      </c>
      <c r="D685" s="16" t="inlineStr">
        <is>
          <t>ε_HRVG = 0.40 (fuente del profesor)</t>
        </is>
      </c>
      <c r="E685" s="16" t="inlineStr">
        <is>
          <t>KF-M02S</t>
        </is>
      </c>
      <c r="F685" s="16" t="inlineStr">
        <is>
          <t>KF-M02S-B3</t>
        </is>
      </c>
      <c r="G685" s="16" t="inlineStr">
        <is>
          <t>B05-B3</t>
        </is>
      </c>
      <c r="H685" s="16" t="inlineStr">
        <is>
          <t>malla</t>
        </is>
      </c>
      <c r="I685" s="16" t="inlineStr">
        <is>
          <t>KALINA</t>
        </is>
      </c>
      <c r="J685" s="16" t="inlineStr">
        <is>
          <t>KALINA</t>
        </is>
      </c>
      <c r="K685" s="16" t="b">
        <v>1</v>
      </c>
      <c r="L685" s="16" t="b">
        <v>0</v>
      </c>
      <c r="M685" s="16" t="b">
        <v>1</v>
      </c>
      <c r="N685" s="16" t="b">
        <v>0</v>
      </c>
      <c r="O685" s="16" t="n">
        <v>623.15</v>
      </c>
      <c r="P685" s="16" t="n">
        <v>278.15</v>
      </c>
      <c r="Q685" s="16" t="n">
        <v>3000</v>
      </c>
      <c r="R685" s="16" t="n">
        <v>750</v>
      </c>
      <c r="S685" s="16" t="n">
        <v>0.5</v>
      </c>
      <c r="T685" s="16" t="n">
        <v>0.85</v>
      </c>
      <c r="U685" s="16" t="n">
        <v>0.75</v>
      </c>
      <c r="V685" s="16" t="n">
        <v>0.4</v>
      </c>
      <c r="W685" s="16" t="n">
        <v>0.75</v>
      </c>
      <c r="X685" s="16" t="n">
        <v>0.8</v>
      </c>
      <c r="Y685" s="16" t="n">
        <v>278.15</v>
      </c>
      <c r="Z685" s="16" t="n">
        <v>9.68679592819989</v>
      </c>
      <c r="AA685" s="16" t="n">
        <v>93.17642645251124</v>
      </c>
      <c r="AB685" s="16" t="n">
        <v>2250</v>
      </c>
      <c r="AC685" s="16" t="n">
        <v>4</v>
      </c>
      <c r="AD685" s="16" t="n"/>
      <c r="AE685" s="16" t="n"/>
    </row>
    <row r="686">
      <c r="A686" s="16" t="inlineStr">
        <is>
          <t>KF-M02S-B3-0005</t>
        </is>
      </c>
      <c r="B686" s="16" t="inlineStr">
        <is>
          <t>2.4</t>
        </is>
      </c>
      <c r="C686" s="16" t="inlineStr">
        <is>
          <t>2.4c</t>
        </is>
      </c>
      <c r="D686" s="16" t="inlineStr">
        <is>
          <t>ε_HRVG = 0.40 (fuente del profesor)</t>
        </is>
      </c>
      <c r="E686" s="16" t="inlineStr">
        <is>
          <t>KF-M02S</t>
        </is>
      </c>
      <c r="F686" s="16" t="inlineStr">
        <is>
          <t>KF-M02S-B3</t>
        </is>
      </c>
      <c r="G686" s="16" t="inlineStr">
        <is>
          <t>B05-B3</t>
        </is>
      </c>
      <c r="H686" s="16" t="inlineStr">
        <is>
          <t>malla</t>
        </is>
      </c>
      <c r="I686" s="16" t="inlineStr">
        <is>
          <t>KALINA</t>
        </is>
      </c>
      <c r="J686" s="16" t="inlineStr">
        <is>
          <t>KALINA</t>
        </is>
      </c>
      <c r="K686" s="16" t="b">
        <v>1</v>
      </c>
      <c r="L686" s="16" t="b">
        <v>0</v>
      </c>
      <c r="M686" s="16" t="b">
        <v>1</v>
      </c>
      <c r="N686" s="16" t="b">
        <v>0</v>
      </c>
      <c r="O686" s="16" t="n">
        <v>623.15</v>
      </c>
      <c r="P686" s="16" t="n">
        <v>278.15</v>
      </c>
      <c r="Q686" s="16" t="n">
        <v>3000</v>
      </c>
      <c r="R686" s="16" t="n">
        <v>1050</v>
      </c>
      <c r="S686" s="16" t="n">
        <v>0.5</v>
      </c>
      <c r="T686" s="16" t="n">
        <v>0.85</v>
      </c>
      <c r="U686" s="16" t="n">
        <v>0.75</v>
      </c>
      <c r="V686" s="16" t="n">
        <v>0.4</v>
      </c>
      <c r="W686" s="16" t="n">
        <v>0.75</v>
      </c>
      <c r="X686" s="16" t="n">
        <v>0.8</v>
      </c>
      <c r="Y686" s="16" t="n">
        <v>278.15</v>
      </c>
      <c r="Z686" s="16" t="n">
        <v>7.44937566512872</v>
      </c>
      <c r="AA686" s="16" t="n">
        <v>71.56944346144168</v>
      </c>
      <c r="AB686" s="16" t="n">
        <v>1950</v>
      </c>
      <c r="AC686" s="16" t="n">
        <v>2.857142857142857</v>
      </c>
      <c r="AD686" s="16" t="n"/>
      <c r="AE686" s="16" t="n"/>
    </row>
    <row r="687">
      <c r="A687" s="16" t="inlineStr">
        <is>
          <t>KF-M02S-B3-0006</t>
        </is>
      </c>
      <c r="B687" s="16" t="inlineStr">
        <is>
          <t>2.4</t>
        </is>
      </c>
      <c r="C687" s="16" t="inlineStr">
        <is>
          <t>2.4c</t>
        </is>
      </c>
      <c r="D687" s="16" t="inlineStr">
        <is>
          <t>ε_HRVG = 0.40 (fuente del profesor)</t>
        </is>
      </c>
      <c r="E687" s="16" t="inlineStr">
        <is>
          <t>KF-M02S</t>
        </is>
      </c>
      <c r="F687" s="16" t="inlineStr">
        <is>
          <t>KF-M02S-B3</t>
        </is>
      </c>
      <c r="G687" s="16" t="inlineStr">
        <is>
          <t>B05-B3</t>
        </is>
      </c>
      <c r="H687" s="16" t="inlineStr">
        <is>
          <t>malla</t>
        </is>
      </c>
      <c r="I687" s="16" t="inlineStr">
        <is>
          <t>KALINA</t>
        </is>
      </c>
      <c r="J687" s="16" t="inlineStr">
        <is>
          <t>KALINA</t>
        </is>
      </c>
      <c r="K687" s="16" t="b">
        <v>1</v>
      </c>
      <c r="L687" s="16" t="b">
        <v>0</v>
      </c>
      <c r="M687" s="16" t="b">
        <v>1</v>
      </c>
      <c r="N687" s="16" t="b">
        <v>0</v>
      </c>
      <c r="O687" s="16" t="n">
        <v>623.15</v>
      </c>
      <c r="P687" s="16" t="n">
        <v>278.15</v>
      </c>
      <c r="Q687" s="16" t="n">
        <v>3000</v>
      </c>
      <c r="R687" s="16" t="n">
        <v>900</v>
      </c>
      <c r="S687" s="16" t="n">
        <v>0.5</v>
      </c>
      <c r="T687" s="16" t="n">
        <v>0.85</v>
      </c>
      <c r="U687" s="16" t="n">
        <v>0.75</v>
      </c>
      <c r="V687" s="16" t="n">
        <v>0.4</v>
      </c>
      <c r="W687" s="16" t="n">
        <v>0.75</v>
      </c>
      <c r="X687" s="16" t="n">
        <v>0.8</v>
      </c>
      <c r="Y687" s="16" t="n">
        <v>278.15</v>
      </c>
      <c r="Z687" s="16" t="n">
        <v>8.48445510744544</v>
      </c>
      <c r="AA687" s="16" t="n">
        <v>81.55873517214428</v>
      </c>
      <c r="AB687" s="16" t="n">
        <v>2100</v>
      </c>
      <c r="AC687" s="16" t="n">
        <v>3.333333333333333</v>
      </c>
      <c r="AD687" s="16" t="n"/>
      <c r="AE687" s="16" t="n"/>
    </row>
    <row r="688">
      <c r="A688" s="16" t="inlineStr">
        <is>
          <t>KF-M02S-B3-0007</t>
        </is>
      </c>
      <c r="B688" s="16" t="inlineStr">
        <is>
          <t>2.4</t>
        </is>
      </c>
      <c r="C688" s="16" t="inlineStr">
        <is>
          <t>2.4c</t>
        </is>
      </c>
      <c r="D688" s="16" t="inlineStr">
        <is>
          <t>ε_HRVG = 0.40 (fuente del profesor)</t>
        </is>
      </c>
      <c r="E688" s="16" t="inlineStr">
        <is>
          <t>KF-M02S</t>
        </is>
      </c>
      <c r="F688" s="16" t="inlineStr">
        <is>
          <t>KF-M02S-B3</t>
        </is>
      </c>
      <c r="G688" s="16" t="inlineStr">
        <is>
          <t>B05-B3</t>
        </is>
      </c>
      <c r="H688" s="16" t="inlineStr">
        <is>
          <t>malla</t>
        </is>
      </c>
      <c r="I688" s="16" t="inlineStr">
        <is>
          <t>KALINA</t>
        </is>
      </c>
      <c r="J688" s="16" t="inlineStr">
        <is>
          <t>KALINA</t>
        </is>
      </c>
      <c r="K688" s="16" t="b">
        <v>1</v>
      </c>
      <c r="L688" s="16" t="b">
        <v>0</v>
      </c>
      <c r="M688" s="16" t="b">
        <v>1</v>
      </c>
      <c r="N688" s="16" t="b">
        <v>0</v>
      </c>
      <c r="O688" s="16" t="n">
        <v>623.15</v>
      </c>
      <c r="P688" s="16" t="n">
        <v>278.15</v>
      </c>
      <c r="Q688" s="16" t="n">
        <v>3000</v>
      </c>
      <c r="R688" s="16" t="n">
        <v>1200</v>
      </c>
      <c r="S688" s="16" t="n">
        <v>0.5</v>
      </c>
      <c r="T688" s="16" t="n">
        <v>0.85</v>
      </c>
      <c r="U688" s="16" t="n">
        <v>0.75</v>
      </c>
      <c r="V688" s="16" t="n">
        <v>0.4</v>
      </c>
      <c r="W688" s="16" t="n">
        <v>0.75</v>
      </c>
      <c r="X688" s="16" t="n">
        <v>0.8</v>
      </c>
      <c r="Y688" s="16" t="n">
        <v>278.15</v>
      </c>
      <c r="Z688" s="16" t="n">
        <v>6.539321870643549</v>
      </c>
      <c r="AA688" s="16" t="n">
        <v>62.79601497876374</v>
      </c>
      <c r="AB688" s="16" t="n">
        <v>1800</v>
      </c>
      <c r="AC688" s="16" t="n">
        <v>2.5</v>
      </c>
      <c r="AD688" s="16" t="n"/>
      <c r="AE688" s="16" t="n"/>
    </row>
    <row r="689">
      <c r="A689" s="16" t="inlineStr">
        <is>
          <t>KF-M02S-B3-0008</t>
        </is>
      </c>
      <c r="B689" s="16" t="inlineStr">
        <is>
          <t>2.4</t>
        </is>
      </c>
      <c r="C689" s="16" t="inlineStr">
        <is>
          <t>2.4c</t>
        </is>
      </c>
      <c r="D689" s="16" t="inlineStr">
        <is>
          <t>ε_HRVG = 0.40 (fuente del profesor)</t>
        </is>
      </c>
      <c r="E689" s="16" t="inlineStr">
        <is>
          <t>KF-M02S</t>
        </is>
      </c>
      <c r="F689" s="16" t="inlineStr">
        <is>
          <t>KF-M02S-B3</t>
        </is>
      </c>
      <c r="G689" s="16" t="inlineStr">
        <is>
          <t>B05-B3</t>
        </is>
      </c>
      <c r="H689" s="16" t="inlineStr">
        <is>
          <t>malla</t>
        </is>
      </c>
      <c r="I689" s="16" t="inlineStr">
        <is>
          <t>KALINA</t>
        </is>
      </c>
      <c r="J689" s="16" t="inlineStr">
        <is>
          <t>KALINA</t>
        </is>
      </c>
      <c r="K689" s="16" t="b">
        <v>1</v>
      </c>
      <c r="L689" s="16" t="b">
        <v>0</v>
      </c>
      <c r="M689" s="16" t="b">
        <v>1</v>
      </c>
      <c r="N689" s="16" t="b">
        <v>0</v>
      </c>
      <c r="O689" s="16" t="n">
        <v>623.15</v>
      </c>
      <c r="P689" s="16" t="n">
        <v>278.15</v>
      </c>
      <c r="Q689" s="16" t="n">
        <v>3000</v>
      </c>
      <c r="R689" s="16" t="n">
        <v>1350</v>
      </c>
      <c r="S689" s="16" t="n">
        <v>0.5</v>
      </c>
      <c r="T689" s="16" t="n">
        <v>0.85</v>
      </c>
      <c r="U689" s="16" t="n">
        <v>0.75</v>
      </c>
      <c r="V689" s="16" t="n">
        <v>0.4</v>
      </c>
      <c r="W689" s="16" t="n">
        <v>0.75</v>
      </c>
      <c r="X689" s="16" t="n">
        <v>0.8</v>
      </c>
      <c r="Y689" s="16" t="n">
        <v>278.15</v>
      </c>
      <c r="Z689" s="16" t="n">
        <v>5.72652402565444</v>
      </c>
      <c r="AA689" s="16" t="n">
        <v>54.96746295894801</v>
      </c>
      <c r="AB689" s="16" t="n">
        <v>1650</v>
      </c>
      <c r="AC689" s="16" t="n">
        <v>2.222222222222222</v>
      </c>
      <c r="AD689" s="16" t="n"/>
      <c r="AE689" s="16" t="n"/>
    </row>
    <row r="690">
      <c r="A690" s="16" t="inlineStr">
        <is>
          <t>KF-M02S-B3-0009</t>
        </is>
      </c>
      <c r="B690" s="16" t="inlineStr">
        <is>
          <t>2.4</t>
        </is>
      </c>
      <c r="C690" s="16" t="inlineStr">
        <is>
          <t>2.4c</t>
        </is>
      </c>
      <c r="D690" s="16" t="inlineStr">
        <is>
          <t>ε_HRVG = 0.40 (fuente del profesor)</t>
        </is>
      </c>
      <c r="E690" s="16" t="inlineStr">
        <is>
          <t>KF-M02S</t>
        </is>
      </c>
      <c r="F690" s="16" t="inlineStr">
        <is>
          <t>KF-M02S-B3</t>
        </is>
      </c>
      <c r="G690" s="16" t="inlineStr">
        <is>
          <t>B05-B3</t>
        </is>
      </c>
      <c r="H690" s="16" t="inlineStr">
        <is>
          <t>malla</t>
        </is>
      </c>
      <c r="I690" s="16" t="inlineStr">
        <is>
          <t>KALINA</t>
        </is>
      </c>
      <c r="J690" s="16" t="inlineStr">
        <is>
          <t>KALINA</t>
        </is>
      </c>
      <c r="K690" s="16" t="b">
        <v>1</v>
      </c>
      <c r="L690" s="16" t="b">
        <v>0</v>
      </c>
      <c r="M690" s="16" t="b">
        <v>1</v>
      </c>
      <c r="N690" s="16" t="b">
        <v>0</v>
      </c>
      <c r="O690" s="16" t="n">
        <v>623.15</v>
      </c>
      <c r="P690" s="16" t="n">
        <v>278.15</v>
      </c>
      <c r="Q690" s="16" t="n">
        <v>3000</v>
      </c>
      <c r="R690" s="16" t="n">
        <v>1500</v>
      </c>
      <c r="S690" s="16" t="n">
        <v>0.5</v>
      </c>
      <c r="T690" s="16" t="n">
        <v>0.85</v>
      </c>
      <c r="U690" s="16" t="n">
        <v>0.75</v>
      </c>
      <c r="V690" s="16" t="n">
        <v>0.4</v>
      </c>
      <c r="W690" s="16" t="n">
        <v>0.75</v>
      </c>
      <c r="X690" s="16" t="n">
        <v>0.8</v>
      </c>
      <c r="Y690" s="16" t="n">
        <v>278.15</v>
      </c>
      <c r="Z690" s="16" t="n">
        <v>4.99170048056182</v>
      </c>
      <c r="AA690" s="16" t="n">
        <v>47.89578633964617</v>
      </c>
      <c r="AB690" s="16" t="n">
        <v>1500</v>
      </c>
      <c r="AC690" s="16" t="n">
        <v>2</v>
      </c>
      <c r="AD690" s="16" t="n"/>
      <c r="AE690" s="16" t="n"/>
    </row>
    <row r="691">
      <c r="A691" s="16" t="inlineStr">
        <is>
          <t>KF-M02S-B3-0010</t>
        </is>
      </c>
      <c r="B691" s="16" t="inlineStr">
        <is>
          <t>2.4</t>
        </is>
      </c>
      <c r="C691" s="16" t="inlineStr">
        <is>
          <t>2.4c</t>
        </is>
      </c>
      <c r="D691" s="16" t="inlineStr">
        <is>
          <t>ε_HRVG = 0.40 (fuente del profesor)</t>
        </is>
      </c>
      <c r="E691" s="16" t="inlineStr">
        <is>
          <t>KF-M02S</t>
        </is>
      </c>
      <c r="F691" s="16" t="inlineStr">
        <is>
          <t>KF-M02S-B3</t>
        </is>
      </c>
      <c r="G691" s="16" t="inlineStr">
        <is>
          <t>B05-B3</t>
        </is>
      </c>
      <c r="H691" s="16" t="inlineStr">
        <is>
          <t>malla</t>
        </is>
      </c>
      <c r="I691" s="16" t="inlineStr">
        <is>
          <t>CORREGIBLE</t>
        </is>
      </c>
      <c r="J691" s="16" t="inlineStr">
        <is>
          <t>CORREGIBLE</t>
        </is>
      </c>
      <c r="K691" s="16" t="b">
        <v>1</v>
      </c>
      <c r="L691" s="16" t="b">
        <v>0</v>
      </c>
      <c r="M691" s="16" t="b">
        <v>1</v>
      </c>
      <c r="N691" s="16" t="b">
        <v>0</v>
      </c>
      <c r="O691" s="16" t="n">
        <v>623.15</v>
      </c>
      <c r="P691" s="16" t="n">
        <v>283.15</v>
      </c>
      <c r="Q691" s="16" t="n">
        <v>3000</v>
      </c>
      <c r="R691" s="16" t="n">
        <v>300</v>
      </c>
      <c r="S691" s="16" t="n">
        <v>0.5</v>
      </c>
      <c r="T691" s="16" t="n">
        <v>0.85</v>
      </c>
      <c r="U691" s="16" t="n">
        <v>0.75</v>
      </c>
      <c r="V691" s="16" t="n">
        <v>0.4</v>
      </c>
      <c r="W691" s="16" t="n">
        <v>0.75</v>
      </c>
      <c r="X691" s="16" t="n">
        <v>0.8</v>
      </c>
      <c r="Y691" s="16" t="n">
        <v>283.15</v>
      </c>
      <c r="Z691" s="16" t="n">
        <v>14.81374403706624</v>
      </c>
      <c r="AA691" s="16" t="n">
        <v>141.8579261484158</v>
      </c>
      <c r="AB691" s="16" t="n">
        <v>2700</v>
      </c>
      <c r="AC691" s="16" t="n">
        <v>10</v>
      </c>
      <c r="AD691" s="16" t="inlineStr">
        <is>
          <t>O1,O2</t>
        </is>
      </c>
      <c r="AE691" s="16" t="n"/>
    </row>
    <row r="692">
      <c r="A692" s="16" t="inlineStr">
        <is>
          <t>KF-M02S-B3-0011</t>
        </is>
      </c>
      <c r="B692" s="16" t="inlineStr">
        <is>
          <t>2.4</t>
        </is>
      </c>
      <c r="C692" s="16" t="inlineStr">
        <is>
          <t>2.4c</t>
        </is>
      </c>
      <c r="D692" s="16" t="inlineStr">
        <is>
          <t>ε_HRVG = 0.40 (fuente del profesor)</t>
        </is>
      </c>
      <c r="E692" s="16" t="inlineStr">
        <is>
          <t>KF-M02S</t>
        </is>
      </c>
      <c r="F692" s="16" t="inlineStr">
        <is>
          <t>KF-M02S-B3</t>
        </is>
      </c>
      <c r="G692" s="16" t="inlineStr">
        <is>
          <t>B05-B3</t>
        </is>
      </c>
      <c r="H692" s="16" t="inlineStr">
        <is>
          <t>malla</t>
        </is>
      </c>
      <c r="I692" s="16" t="inlineStr">
        <is>
          <t>CORREGIBLE</t>
        </is>
      </c>
      <c r="J692" s="16" t="inlineStr">
        <is>
          <t>CORREGIBLE</t>
        </is>
      </c>
      <c r="K692" s="16" t="b">
        <v>1</v>
      </c>
      <c r="L692" s="16" t="b">
        <v>0</v>
      </c>
      <c r="M692" s="16" t="b">
        <v>1</v>
      </c>
      <c r="N692" s="16" t="b">
        <v>0</v>
      </c>
      <c r="O692" s="16" t="n">
        <v>623.15</v>
      </c>
      <c r="P692" s="16" t="n">
        <v>283.15</v>
      </c>
      <c r="Q692" s="16" t="n">
        <v>3000</v>
      </c>
      <c r="R692" s="16" t="n">
        <v>150</v>
      </c>
      <c r="S692" s="16" t="n">
        <v>0.5</v>
      </c>
      <c r="T692" s="16" t="n">
        <v>0.85</v>
      </c>
      <c r="U692" s="16" t="n">
        <v>0.75</v>
      </c>
      <c r="V692" s="16" t="n">
        <v>0.4</v>
      </c>
      <c r="W692" s="16" t="n">
        <v>0.75</v>
      </c>
      <c r="X692" s="16" t="n">
        <v>0.8</v>
      </c>
      <c r="Y692" s="16" t="n">
        <v>283.15</v>
      </c>
      <c r="Z692" s="16" t="n">
        <v>16.71134471055502</v>
      </c>
      <c r="AA692" s="16" t="n">
        <v>154.7303694307556</v>
      </c>
      <c r="AB692" s="16" t="n">
        <v>2850</v>
      </c>
      <c r="AC692" s="16" t="n">
        <v>20</v>
      </c>
      <c r="AD692" s="16" t="inlineStr">
        <is>
          <t>O1,O2</t>
        </is>
      </c>
      <c r="AE692" s="16" t="n"/>
    </row>
    <row r="693">
      <c r="A693" s="16" t="inlineStr">
        <is>
          <t>KF-M02S-B3-0012</t>
        </is>
      </c>
      <c r="B693" s="16" t="inlineStr">
        <is>
          <t>2.4</t>
        </is>
      </c>
      <c r="C693" s="16" t="inlineStr">
        <is>
          <t>2.4c</t>
        </is>
      </c>
      <c r="D693" s="16" t="inlineStr">
        <is>
          <t>ε_HRVG = 0.40 (fuente del profesor)</t>
        </is>
      </c>
      <c r="E693" s="16" t="inlineStr">
        <is>
          <t>KF-M02S</t>
        </is>
      </c>
      <c r="F693" s="16" t="inlineStr">
        <is>
          <t>KF-M02S-B3</t>
        </is>
      </c>
      <c r="G693" s="16" t="inlineStr">
        <is>
          <t>B05-B3</t>
        </is>
      </c>
      <c r="H693" s="16" t="inlineStr">
        <is>
          <t>malla</t>
        </is>
      </c>
      <c r="I693" s="16" t="inlineStr">
        <is>
          <t>CORREGIBLE</t>
        </is>
      </c>
      <c r="J693" s="16" t="inlineStr">
        <is>
          <t>CORREGIBLE</t>
        </is>
      </c>
      <c r="K693" s="16" t="b">
        <v>1</v>
      </c>
      <c r="L693" s="16" t="b">
        <v>0</v>
      </c>
      <c r="M693" s="16" t="b">
        <v>1</v>
      </c>
      <c r="N693" s="16" t="b">
        <v>0</v>
      </c>
      <c r="O693" s="16" t="n">
        <v>623.15</v>
      </c>
      <c r="P693" s="16" t="n">
        <v>283.15</v>
      </c>
      <c r="Q693" s="16" t="n">
        <v>3000</v>
      </c>
      <c r="R693" s="16" t="n">
        <v>450</v>
      </c>
      <c r="S693" s="16" t="n">
        <v>0.5</v>
      </c>
      <c r="T693" s="16" t="n">
        <v>0.85</v>
      </c>
      <c r="U693" s="16" t="n">
        <v>0.75</v>
      </c>
      <c r="V693" s="16" t="n">
        <v>0.4</v>
      </c>
      <c r="W693" s="16" t="n">
        <v>0.75</v>
      </c>
      <c r="X693" s="16" t="n">
        <v>0.8</v>
      </c>
      <c r="Y693" s="16" t="n">
        <v>283.15</v>
      </c>
      <c r="Z693" s="16" t="n">
        <v>12.80052872407388</v>
      </c>
      <c r="AA693" s="16" t="n">
        <v>122.5884147707805</v>
      </c>
      <c r="AB693" s="16" t="n">
        <v>2550</v>
      </c>
      <c r="AC693" s="16" t="n">
        <v>6.666666666666667</v>
      </c>
      <c r="AD693" s="16" t="inlineStr">
        <is>
          <t>O2</t>
        </is>
      </c>
      <c r="AE693" s="16" t="n"/>
    </row>
    <row r="694">
      <c r="A694" s="16" t="inlineStr">
        <is>
          <t>KF-M02S-B3-0013</t>
        </is>
      </c>
      <c r="B694" s="16" t="inlineStr">
        <is>
          <t>2.4</t>
        </is>
      </c>
      <c r="C694" s="16" t="inlineStr">
        <is>
          <t>2.4c</t>
        </is>
      </c>
      <c r="D694" s="16" t="inlineStr">
        <is>
          <t>ε_HRVG = 0.40 (fuente del profesor)</t>
        </is>
      </c>
      <c r="E694" s="16" t="inlineStr">
        <is>
          <t>KF-M02S</t>
        </is>
      </c>
      <c r="F694" s="16" t="inlineStr">
        <is>
          <t>KF-M02S-B3</t>
        </is>
      </c>
      <c r="G694" s="16" t="inlineStr">
        <is>
          <t>B05-B3</t>
        </is>
      </c>
      <c r="H694" s="16" t="inlineStr">
        <is>
          <t>malla</t>
        </is>
      </c>
      <c r="I694" s="16" t="inlineStr">
        <is>
          <t>CORREGIBLE</t>
        </is>
      </c>
      <c r="J694" s="16" t="inlineStr">
        <is>
          <t>CORREGIBLE</t>
        </is>
      </c>
      <c r="K694" s="16" t="b">
        <v>1</v>
      </c>
      <c r="L694" s="16" t="b">
        <v>0</v>
      </c>
      <c r="M694" s="16" t="b">
        <v>1</v>
      </c>
      <c r="N694" s="16" t="b">
        <v>0</v>
      </c>
      <c r="O694" s="16" t="n">
        <v>623.15</v>
      </c>
      <c r="P694" s="16" t="n">
        <v>283.15</v>
      </c>
      <c r="Q694" s="16" t="n">
        <v>3000</v>
      </c>
      <c r="R694" s="16" t="n">
        <v>600</v>
      </c>
      <c r="S694" s="16" t="n">
        <v>0.5</v>
      </c>
      <c r="T694" s="16" t="n">
        <v>0.85</v>
      </c>
      <c r="U694" s="16" t="n">
        <v>0.75</v>
      </c>
      <c r="V694" s="16" t="n">
        <v>0.4</v>
      </c>
      <c r="W694" s="16" t="n">
        <v>0.75</v>
      </c>
      <c r="X694" s="16" t="n">
        <v>0.8</v>
      </c>
      <c r="Y694" s="16" t="n">
        <v>283.15</v>
      </c>
      <c r="Z694" s="16" t="n">
        <v>11.18272680023349</v>
      </c>
      <c r="AA694" s="16" t="n">
        <v>107.0566354064998</v>
      </c>
      <c r="AB694" s="16" t="n">
        <v>2400</v>
      </c>
      <c r="AC694" s="16" t="n">
        <v>5</v>
      </c>
      <c r="AD694" s="16" t="inlineStr">
        <is>
          <t>O2</t>
        </is>
      </c>
      <c r="AE694" s="16" t="n"/>
    </row>
    <row r="695">
      <c r="A695" s="16" t="inlineStr">
        <is>
          <t>KF-M02S-B3-0014</t>
        </is>
      </c>
      <c r="B695" s="16" t="inlineStr">
        <is>
          <t>2.4</t>
        </is>
      </c>
      <c r="C695" s="16" t="inlineStr">
        <is>
          <t>2.4c</t>
        </is>
      </c>
      <c r="D695" s="16" t="inlineStr">
        <is>
          <t>ε_HRVG = 0.40 (fuente del profesor)</t>
        </is>
      </c>
      <c r="E695" s="16" t="inlineStr">
        <is>
          <t>KF-M02S</t>
        </is>
      </c>
      <c r="F695" s="16" t="inlineStr">
        <is>
          <t>KF-M02S-B3</t>
        </is>
      </c>
      <c r="G695" s="16" t="inlineStr">
        <is>
          <t>B05-B3</t>
        </is>
      </c>
      <c r="H695" s="16" t="inlineStr">
        <is>
          <t>malla</t>
        </is>
      </c>
      <c r="I695" s="16" t="inlineStr">
        <is>
          <t>CORREGIBLE</t>
        </is>
      </c>
      <c r="J695" s="16" t="inlineStr">
        <is>
          <t>CORREGIBLE</t>
        </is>
      </c>
      <c r="K695" s="16" t="b">
        <v>1</v>
      </c>
      <c r="L695" s="16" t="b">
        <v>0</v>
      </c>
      <c r="M695" s="16" t="b">
        <v>1</v>
      </c>
      <c r="N695" s="16" t="b">
        <v>0</v>
      </c>
      <c r="O695" s="16" t="n">
        <v>623.15</v>
      </c>
      <c r="P695" s="16" t="n">
        <v>283.15</v>
      </c>
      <c r="Q695" s="16" t="n">
        <v>3000</v>
      </c>
      <c r="R695" s="16" t="n">
        <v>750</v>
      </c>
      <c r="S695" s="16" t="n">
        <v>0.5</v>
      </c>
      <c r="T695" s="16" t="n">
        <v>0.85</v>
      </c>
      <c r="U695" s="16" t="n">
        <v>0.75</v>
      </c>
      <c r="V695" s="16" t="n">
        <v>0.4</v>
      </c>
      <c r="W695" s="16" t="n">
        <v>0.75</v>
      </c>
      <c r="X695" s="16" t="n">
        <v>0.8</v>
      </c>
      <c r="Y695" s="16" t="n">
        <v>283.15</v>
      </c>
      <c r="Z695" s="16" t="n">
        <v>9.80832427010527</v>
      </c>
      <c r="AA695" s="16" t="n">
        <v>93.8485392819383</v>
      </c>
      <c r="AB695" s="16" t="n">
        <v>2250</v>
      </c>
      <c r="AC695" s="16" t="n">
        <v>4</v>
      </c>
      <c r="AD695" s="16" t="inlineStr">
        <is>
          <t>O2</t>
        </is>
      </c>
      <c r="AE695" s="16" t="n"/>
    </row>
    <row r="696">
      <c r="A696" s="16" t="inlineStr">
        <is>
          <t>KF-M02S-B3-0015</t>
        </is>
      </c>
      <c r="B696" s="16" t="inlineStr">
        <is>
          <t>2.4</t>
        </is>
      </c>
      <c r="C696" s="16" t="inlineStr">
        <is>
          <t>2.4c</t>
        </is>
      </c>
      <c r="D696" s="16" t="inlineStr">
        <is>
          <t>ε_HRVG = 0.40 (fuente del profesor)</t>
        </is>
      </c>
      <c r="E696" s="16" t="inlineStr">
        <is>
          <t>KF-M02S</t>
        </is>
      </c>
      <c r="F696" s="16" t="inlineStr">
        <is>
          <t>KF-M02S-B3</t>
        </is>
      </c>
      <c r="G696" s="16" t="inlineStr">
        <is>
          <t>B05-B3</t>
        </is>
      </c>
      <c r="H696" s="16" t="inlineStr">
        <is>
          <t>malla</t>
        </is>
      </c>
      <c r="I696" s="16" t="inlineStr">
        <is>
          <t>KALINA</t>
        </is>
      </c>
      <c r="J696" s="16" t="inlineStr">
        <is>
          <t>KALINA</t>
        </is>
      </c>
      <c r="K696" s="16" t="b">
        <v>1</v>
      </c>
      <c r="L696" s="16" t="b">
        <v>0</v>
      </c>
      <c r="M696" s="16" t="b">
        <v>1</v>
      </c>
      <c r="N696" s="16" t="b">
        <v>0</v>
      </c>
      <c r="O696" s="16" t="n">
        <v>623.15</v>
      </c>
      <c r="P696" s="16" t="n">
        <v>283.15</v>
      </c>
      <c r="Q696" s="16" t="n">
        <v>3000</v>
      </c>
      <c r="R696" s="16" t="n">
        <v>900</v>
      </c>
      <c r="S696" s="16" t="n">
        <v>0.5</v>
      </c>
      <c r="T696" s="16" t="n">
        <v>0.85</v>
      </c>
      <c r="U696" s="16" t="n">
        <v>0.75</v>
      </c>
      <c r="V696" s="16" t="n">
        <v>0.4</v>
      </c>
      <c r="W696" s="16" t="n">
        <v>0.75</v>
      </c>
      <c r="X696" s="16" t="n">
        <v>0.8</v>
      </c>
      <c r="Y696" s="16" t="n">
        <v>283.15</v>
      </c>
      <c r="Z696" s="16" t="n">
        <v>8.60360545034694</v>
      </c>
      <c r="AA696" s="16" t="n">
        <v>82.27095427374084</v>
      </c>
      <c r="AB696" s="16" t="n">
        <v>2100</v>
      </c>
      <c r="AC696" s="16" t="n">
        <v>3.333333333333333</v>
      </c>
      <c r="AD696" s="16" t="n"/>
      <c r="AE696" s="16" t="n"/>
    </row>
    <row r="697">
      <c r="A697" s="16" t="inlineStr">
        <is>
          <t>KF-M02S-B3-0016</t>
        </is>
      </c>
      <c r="B697" s="16" t="inlineStr">
        <is>
          <t>2.4</t>
        </is>
      </c>
      <c r="C697" s="16" t="inlineStr">
        <is>
          <t>2.4c</t>
        </is>
      </c>
      <c r="D697" s="16" t="inlineStr">
        <is>
          <t>ε_HRVG = 0.40 (fuente del profesor)</t>
        </is>
      </c>
      <c r="E697" s="16" t="inlineStr">
        <is>
          <t>KF-M02S</t>
        </is>
      </c>
      <c r="F697" s="16" t="inlineStr">
        <is>
          <t>KF-M02S-B3</t>
        </is>
      </c>
      <c r="G697" s="16" t="inlineStr">
        <is>
          <t>B05-B3</t>
        </is>
      </c>
      <c r="H697" s="16" t="inlineStr">
        <is>
          <t>malla</t>
        </is>
      </c>
      <c r="I697" s="16" t="inlineStr">
        <is>
          <t>KALINA</t>
        </is>
      </c>
      <c r="J697" s="16" t="inlineStr">
        <is>
          <t>KALINA</t>
        </is>
      </c>
      <c r="K697" s="16" t="b">
        <v>1</v>
      </c>
      <c r="L697" s="16" t="b">
        <v>0</v>
      </c>
      <c r="M697" s="16" t="b">
        <v>1</v>
      </c>
      <c r="N697" s="16" t="b">
        <v>0</v>
      </c>
      <c r="O697" s="16" t="n">
        <v>623.15</v>
      </c>
      <c r="P697" s="16" t="n">
        <v>283.15</v>
      </c>
      <c r="Q697" s="16" t="n">
        <v>3000</v>
      </c>
      <c r="R697" s="16" t="n">
        <v>1050</v>
      </c>
      <c r="S697" s="16" t="n">
        <v>0.5</v>
      </c>
      <c r="T697" s="16" t="n">
        <v>0.85</v>
      </c>
      <c r="U697" s="16" t="n">
        <v>0.75</v>
      </c>
      <c r="V697" s="16" t="n">
        <v>0.4</v>
      </c>
      <c r="W697" s="16" t="n">
        <v>0.75</v>
      </c>
      <c r="X697" s="16" t="n">
        <v>0.8</v>
      </c>
      <c r="Y697" s="16" t="n">
        <v>283.15</v>
      </c>
      <c r="Z697" s="16" t="n">
        <v>7.554170103940271</v>
      </c>
      <c r="AA697" s="16" t="n">
        <v>72.19533155377343</v>
      </c>
      <c r="AB697" s="16" t="n">
        <v>1950</v>
      </c>
      <c r="AC697" s="16" t="n">
        <v>2.857142857142857</v>
      </c>
      <c r="AD697" s="16" t="n"/>
      <c r="AE697" s="16" t="n"/>
    </row>
    <row r="698">
      <c r="A698" s="16" t="inlineStr">
        <is>
          <t>KF-M02S-B3-0017</t>
        </is>
      </c>
      <c r="B698" s="16" t="inlineStr">
        <is>
          <t>2.4</t>
        </is>
      </c>
      <c r="C698" s="16" t="inlineStr">
        <is>
          <t>2.4c</t>
        </is>
      </c>
      <c r="D698" s="16" t="inlineStr">
        <is>
          <t>ε_HRVG = 0.40 (fuente del profesor)</t>
        </is>
      </c>
      <c r="E698" s="16" t="inlineStr">
        <is>
          <t>KF-M02S</t>
        </is>
      </c>
      <c r="F698" s="16" t="inlineStr">
        <is>
          <t>KF-M02S-B3</t>
        </is>
      </c>
      <c r="G698" s="16" t="inlineStr">
        <is>
          <t>B05-B3</t>
        </is>
      </c>
      <c r="H698" s="16" t="inlineStr">
        <is>
          <t>malla</t>
        </is>
      </c>
      <c r="I698" s="16" t="inlineStr">
        <is>
          <t>KALINA</t>
        </is>
      </c>
      <c r="J698" s="16" t="inlineStr">
        <is>
          <t>KALINA</t>
        </is>
      </c>
      <c r="K698" s="16" t="b">
        <v>1</v>
      </c>
      <c r="L698" s="16" t="b">
        <v>0</v>
      </c>
      <c r="M698" s="16" t="b">
        <v>1</v>
      </c>
      <c r="N698" s="16" t="b">
        <v>0</v>
      </c>
      <c r="O698" s="16" t="n">
        <v>623.15</v>
      </c>
      <c r="P698" s="16" t="n">
        <v>283.15</v>
      </c>
      <c r="Q698" s="16" t="n">
        <v>3000</v>
      </c>
      <c r="R698" s="16" t="n">
        <v>1200</v>
      </c>
      <c r="S698" s="16" t="n">
        <v>0.5</v>
      </c>
      <c r="T698" s="16" t="n">
        <v>0.85</v>
      </c>
      <c r="U698" s="16" t="n">
        <v>0.75</v>
      </c>
      <c r="V698" s="16" t="n">
        <v>0.4</v>
      </c>
      <c r="W698" s="16" t="n">
        <v>0.75</v>
      </c>
      <c r="X698" s="16" t="n">
        <v>0.8</v>
      </c>
      <c r="Y698" s="16" t="n">
        <v>283.15</v>
      </c>
      <c r="Z698" s="16" t="n">
        <v>6.631455660888371</v>
      </c>
      <c r="AA698" s="16" t="n">
        <v>63.34590413625431</v>
      </c>
      <c r="AB698" s="16" t="n">
        <v>1800</v>
      </c>
      <c r="AC698" s="16" t="n">
        <v>2.5</v>
      </c>
      <c r="AD698" s="16" t="n"/>
      <c r="AE698" s="16" t="n"/>
    </row>
    <row r="699">
      <c r="A699" s="16" t="inlineStr">
        <is>
          <t>KF-M02S-B3-0018</t>
        </is>
      </c>
      <c r="B699" s="16" t="inlineStr">
        <is>
          <t>2.4</t>
        </is>
      </c>
      <c r="C699" s="16" t="inlineStr">
        <is>
          <t>2.4c</t>
        </is>
      </c>
      <c r="D699" s="16" t="inlineStr">
        <is>
          <t>ε_HRVG = 0.40 (fuente del profesor)</t>
        </is>
      </c>
      <c r="E699" s="16" t="inlineStr">
        <is>
          <t>KF-M02S</t>
        </is>
      </c>
      <c r="F699" s="16" t="inlineStr">
        <is>
          <t>KF-M02S-B3</t>
        </is>
      </c>
      <c r="G699" s="16" t="inlineStr">
        <is>
          <t>B05-B3</t>
        </is>
      </c>
      <c r="H699" s="16" t="inlineStr">
        <is>
          <t>malla</t>
        </is>
      </c>
      <c r="I699" s="16" t="inlineStr">
        <is>
          <t>KALINA</t>
        </is>
      </c>
      <c r="J699" s="16" t="inlineStr">
        <is>
          <t>KALINA</t>
        </is>
      </c>
      <c r="K699" s="16" t="b">
        <v>1</v>
      </c>
      <c r="L699" s="16" t="b">
        <v>0</v>
      </c>
      <c r="M699" s="16" t="b">
        <v>1</v>
      </c>
      <c r="N699" s="16" t="b">
        <v>0</v>
      </c>
      <c r="O699" s="16" t="n">
        <v>623.15</v>
      </c>
      <c r="P699" s="16" t="n">
        <v>283.15</v>
      </c>
      <c r="Q699" s="16" t="n">
        <v>3000</v>
      </c>
      <c r="R699" s="16" t="n">
        <v>1350</v>
      </c>
      <c r="S699" s="16" t="n">
        <v>0.5</v>
      </c>
      <c r="T699" s="16" t="n">
        <v>0.85</v>
      </c>
      <c r="U699" s="16" t="n">
        <v>0.75</v>
      </c>
      <c r="V699" s="16" t="n">
        <v>0.4</v>
      </c>
      <c r="W699" s="16" t="n">
        <v>0.75</v>
      </c>
      <c r="X699" s="16" t="n">
        <v>0.8</v>
      </c>
      <c r="Y699" s="16" t="n">
        <v>283.15</v>
      </c>
      <c r="Z699" s="16" t="n">
        <v>5.80731882435003</v>
      </c>
      <c r="AA699" s="16" t="n">
        <v>55.44939092883935</v>
      </c>
      <c r="AB699" s="16" t="n">
        <v>1650</v>
      </c>
      <c r="AC699" s="16" t="n">
        <v>2.222222222222222</v>
      </c>
      <c r="AD699" s="16" t="n"/>
      <c r="AE699" s="16" t="n"/>
    </row>
    <row r="700">
      <c r="A700" s="16" t="inlineStr">
        <is>
          <t>KF-M02S-B3-0019</t>
        </is>
      </c>
      <c r="B700" s="16" t="inlineStr">
        <is>
          <t>2.4</t>
        </is>
      </c>
      <c r="C700" s="16" t="inlineStr">
        <is>
          <t>2.4c</t>
        </is>
      </c>
      <c r="D700" s="16" t="inlineStr">
        <is>
          <t>ε_HRVG = 0.40 (fuente del profesor)</t>
        </is>
      </c>
      <c r="E700" s="16" t="inlineStr">
        <is>
          <t>KF-M02S</t>
        </is>
      </c>
      <c r="F700" s="16" t="inlineStr">
        <is>
          <t>KF-M02S-B3</t>
        </is>
      </c>
      <c r="G700" s="16" t="inlineStr">
        <is>
          <t>B05-B3</t>
        </is>
      </c>
      <c r="H700" s="16" t="inlineStr">
        <is>
          <t>malla</t>
        </is>
      </c>
      <c r="I700" s="16" t="inlineStr">
        <is>
          <t>KALINA</t>
        </is>
      </c>
      <c r="J700" s="16" t="inlineStr">
        <is>
          <t>KALINA</t>
        </is>
      </c>
      <c r="K700" s="16" t="b">
        <v>1</v>
      </c>
      <c r="L700" s="16" t="b">
        <v>0</v>
      </c>
      <c r="M700" s="16" t="b">
        <v>1</v>
      </c>
      <c r="N700" s="16" t="b">
        <v>0</v>
      </c>
      <c r="O700" s="16" t="n">
        <v>623.15</v>
      </c>
      <c r="P700" s="16" t="n">
        <v>283.15</v>
      </c>
      <c r="Q700" s="16" t="n">
        <v>3000</v>
      </c>
      <c r="R700" s="16" t="n">
        <v>1500</v>
      </c>
      <c r="S700" s="16" t="n">
        <v>0.5</v>
      </c>
      <c r="T700" s="16" t="n">
        <v>0.85</v>
      </c>
      <c r="U700" s="16" t="n">
        <v>0.75</v>
      </c>
      <c r="V700" s="16" t="n">
        <v>0.4</v>
      </c>
      <c r="W700" s="16" t="n">
        <v>0.75</v>
      </c>
      <c r="X700" s="16" t="n">
        <v>0.8</v>
      </c>
      <c r="Y700" s="16" t="n">
        <v>283.15</v>
      </c>
      <c r="Z700" s="16" t="n">
        <v>5.06221778971868</v>
      </c>
      <c r="AA700" s="16" t="n">
        <v>48.31619522373508</v>
      </c>
      <c r="AB700" s="16" t="n">
        <v>1500</v>
      </c>
      <c r="AC700" s="16" t="n">
        <v>2</v>
      </c>
      <c r="AD700" s="16" t="n"/>
      <c r="AE700" s="16" t="n"/>
    </row>
    <row r="701">
      <c r="A701" s="16" t="inlineStr">
        <is>
          <t>KF-M02S-B3-0020</t>
        </is>
      </c>
      <c r="B701" s="16" t="inlineStr">
        <is>
          <t>2.4</t>
        </is>
      </c>
      <c r="C701" s="16" t="inlineStr">
        <is>
          <t>2.4c</t>
        </is>
      </c>
      <c r="D701" s="16" t="inlineStr">
        <is>
          <t>ε_HRVG = 0.40 (fuente del profesor)</t>
        </is>
      </c>
      <c r="E701" s="16" t="inlineStr">
        <is>
          <t>KF-M02S</t>
        </is>
      </c>
      <c r="F701" s="16" t="inlineStr">
        <is>
          <t>KF-M02S-B3</t>
        </is>
      </c>
      <c r="G701" s="16" t="inlineStr">
        <is>
          <t>B05-B3</t>
        </is>
      </c>
      <c r="H701" s="16" t="inlineStr">
        <is>
          <t>malla</t>
        </is>
      </c>
      <c r="I701" s="16" t="inlineStr">
        <is>
          <t>CORREGIBLE</t>
        </is>
      </c>
      <c r="J701" s="16" t="inlineStr">
        <is>
          <t>CORREGIBLE</t>
        </is>
      </c>
      <c r="K701" s="16" t="b">
        <v>1</v>
      </c>
      <c r="L701" s="16" t="b">
        <v>0</v>
      </c>
      <c r="M701" s="16" t="b">
        <v>1</v>
      </c>
      <c r="N701" s="16" t="b">
        <v>0</v>
      </c>
      <c r="O701" s="16" t="n">
        <v>623.15</v>
      </c>
      <c r="P701" s="16" t="n">
        <v>288.15</v>
      </c>
      <c r="Q701" s="16" t="n">
        <v>3000</v>
      </c>
      <c r="R701" s="16" t="n">
        <v>300</v>
      </c>
      <c r="S701" s="16" t="n">
        <v>0.5</v>
      </c>
      <c r="T701" s="16" t="n">
        <v>0.85</v>
      </c>
      <c r="U701" s="16" t="n">
        <v>0.75</v>
      </c>
      <c r="V701" s="16" t="n">
        <v>0.4</v>
      </c>
      <c r="W701" s="16" t="n">
        <v>0.75</v>
      </c>
      <c r="X701" s="16" t="n">
        <v>0.8</v>
      </c>
      <c r="Y701" s="16" t="n">
        <v>288.15</v>
      </c>
      <c r="Z701" s="16" t="n">
        <v>14.78228805630939</v>
      </c>
      <c r="AA701" s="16" t="n">
        <v>140.699748663281</v>
      </c>
      <c r="AB701" s="16" t="n">
        <v>2700</v>
      </c>
      <c r="AC701" s="16" t="n">
        <v>10</v>
      </c>
      <c r="AD701" s="16" t="inlineStr">
        <is>
          <t>O1,O2</t>
        </is>
      </c>
      <c r="AE701" s="16" t="n"/>
    </row>
    <row r="702">
      <c r="A702" s="16" t="inlineStr">
        <is>
          <t>KF-M02S-B3-0021</t>
        </is>
      </c>
      <c r="B702" s="16" t="inlineStr">
        <is>
          <t>2.4</t>
        </is>
      </c>
      <c r="C702" s="16" t="inlineStr">
        <is>
          <t>2.4c</t>
        </is>
      </c>
      <c r="D702" s="16" t="inlineStr">
        <is>
          <t>ε_HRVG = 0.40 (fuente del profesor)</t>
        </is>
      </c>
      <c r="E702" s="16" t="inlineStr">
        <is>
          <t>KF-M02S</t>
        </is>
      </c>
      <c r="F702" s="16" t="inlineStr">
        <is>
          <t>KF-M02S-B3</t>
        </is>
      </c>
      <c r="G702" s="16" t="inlineStr">
        <is>
          <t>B05-B3</t>
        </is>
      </c>
      <c r="H702" s="16" t="inlineStr">
        <is>
          <t>malla</t>
        </is>
      </c>
      <c r="I702" s="16" t="inlineStr">
        <is>
          <t>CORREGIBLE</t>
        </is>
      </c>
      <c r="J702" s="16" t="inlineStr">
        <is>
          <t>CORREGIBLE</t>
        </is>
      </c>
      <c r="K702" s="16" t="b">
        <v>1</v>
      </c>
      <c r="L702" s="16" t="b">
        <v>0</v>
      </c>
      <c r="M702" s="16" t="b">
        <v>1</v>
      </c>
      <c r="N702" s="16" t="b">
        <v>0</v>
      </c>
      <c r="O702" s="16" t="n">
        <v>623.15</v>
      </c>
      <c r="P702" s="16" t="n">
        <v>288.15</v>
      </c>
      <c r="Q702" s="16" t="n">
        <v>3000</v>
      </c>
      <c r="R702" s="16" t="n">
        <v>150</v>
      </c>
      <c r="S702" s="16" t="n">
        <v>0.5</v>
      </c>
      <c r="T702" s="16" t="n">
        <v>0.85</v>
      </c>
      <c r="U702" s="16" t="n">
        <v>0.75</v>
      </c>
      <c r="V702" s="16" t="n">
        <v>0.4</v>
      </c>
      <c r="W702" s="16" t="n">
        <v>0.75</v>
      </c>
      <c r="X702" s="16" t="n">
        <v>0.8</v>
      </c>
      <c r="Y702" s="16" t="n">
        <v>288.15</v>
      </c>
      <c r="Z702" s="16" t="n">
        <v>14.92271363616219</v>
      </c>
      <c r="AA702" s="16" t="n">
        <v>132.9084569061059</v>
      </c>
      <c r="AB702" s="16" t="n">
        <v>2850</v>
      </c>
      <c r="AC702" s="16" t="n">
        <v>20</v>
      </c>
      <c r="AD702" s="16" t="inlineStr">
        <is>
          <t>O1,O2</t>
        </is>
      </c>
      <c r="AE702" s="16" t="n"/>
    </row>
    <row r="703">
      <c r="A703" s="16" t="inlineStr">
        <is>
          <t>KF-M02S-B3-0022</t>
        </is>
      </c>
      <c r="B703" s="16" t="inlineStr">
        <is>
          <t>2.4</t>
        </is>
      </c>
      <c r="C703" s="16" t="inlineStr">
        <is>
          <t>2.4c</t>
        </is>
      </c>
      <c r="D703" s="16" t="inlineStr">
        <is>
          <t>ε_HRVG = 0.40 (fuente del profesor)</t>
        </is>
      </c>
      <c r="E703" s="16" t="inlineStr">
        <is>
          <t>KF-M02S</t>
        </is>
      </c>
      <c r="F703" s="16" t="inlineStr">
        <is>
          <t>KF-M02S-B3</t>
        </is>
      </c>
      <c r="G703" s="16" t="inlineStr">
        <is>
          <t>B05-B3</t>
        </is>
      </c>
      <c r="H703" s="16" t="inlineStr">
        <is>
          <t>malla</t>
        </is>
      </c>
      <c r="I703" s="16" t="inlineStr">
        <is>
          <t>CORREGIBLE</t>
        </is>
      </c>
      <c r="J703" s="16" t="inlineStr">
        <is>
          <t>CORREGIBLE</t>
        </is>
      </c>
      <c r="K703" s="16" t="b">
        <v>1</v>
      </c>
      <c r="L703" s="16" t="b">
        <v>0</v>
      </c>
      <c r="M703" s="16" t="b">
        <v>1</v>
      </c>
      <c r="N703" s="16" t="b">
        <v>0</v>
      </c>
      <c r="O703" s="16" t="n">
        <v>623.15</v>
      </c>
      <c r="P703" s="16" t="n">
        <v>288.15</v>
      </c>
      <c r="Q703" s="16" t="n">
        <v>3000</v>
      </c>
      <c r="R703" s="16" t="n">
        <v>450</v>
      </c>
      <c r="S703" s="16" t="n">
        <v>0.5</v>
      </c>
      <c r="T703" s="16" t="n">
        <v>0.85</v>
      </c>
      <c r="U703" s="16" t="n">
        <v>0.75</v>
      </c>
      <c r="V703" s="16" t="n">
        <v>0.4</v>
      </c>
      <c r="W703" s="16" t="n">
        <v>0.75</v>
      </c>
      <c r="X703" s="16" t="n">
        <v>0.8</v>
      </c>
      <c r="Y703" s="16" t="n">
        <v>288.15</v>
      </c>
      <c r="Z703" s="16" t="n">
        <v>12.82576633162863</v>
      </c>
      <c r="AA703" s="16" t="n">
        <v>122.1203480615631</v>
      </c>
      <c r="AB703" s="16" t="n">
        <v>2550</v>
      </c>
      <c r="AC703" s="16" t="n">
        <v>6.666666666666667</v>
      </c>
      <c r="AD703" s="16" t="inlineStr">
        <is>
          <t>O2</t>
        </is>
      </c>
      <c r="AE703" s="16" t="n"/>
    </row>
    <row r="704">
      <c r="A704" s="16" t="inlineStr">
        <is>
          <t>KF-M02S-B3-0023</t>
        </is>
      </c>
      <c r="B704" s="16" t="inlineStr">
        <is>
          <t>2.4</t>
        </is>
      </c>
      <c r="C704" s="16" t="inlineStr">
        <is>
          <t>2.4c</t>
        </is>
      </c>
      <c r="D704" s="16" t="inlineStr">
        <is>
          <t>ε_HRVG = 0.40 (fuente del profesor)</t>
        </is>
      </c>
      <c r="E704" s="16" t="inlineStr">
        <is>
          <t>KF-M02S</t>
        </is>
      </c>
      <c r="F704" s="16" t="inlineStr">
        <is>
          <t>KF-M02S-B3</t>
        </is>
      </c>
      <c r="G704" s="16" t="inlineStr">
        <is>
          <t>B05-B3</t>
        </is>
      </c>
      <c r="H704" s="16" t="inlineStr">
        <is>
          <t>malla</t>
        </is>
      </c>
      <c r="I704" s="16" t="inlineStr">
        <is>
          <t>CORREGIBLE</t>
        </is>
      </c>
      <c r="J704" s="16" t="inlineStr">
        <is>
          <t>CORREGIBLE</t>
        </is>
      </c>
      <c r="K704" s="16" t="b">
        <v>1</v>
      </c>
      <c r="L704" s="16" t="b">
        <v>0</v>
      </c>
      <c r="M704" s="16" t="b">
        <v>1</v>
      </c>
      <c r="N704" s="16" t="b">
        <v>0</v>
      </c>
      <c r="O704" s="16" t="n">
        <v>623.15</v>
      </c>
      <c r="P704" s="16" t="n">
        <v>288.15</v>
      </c>
      <c r="Q704" s="16" t="n">
        <v>3000</v>
      </c>
      <c r="R704" s="16" t="n">
        <v>600</v>
      </c>
      <c r="S704" s="16" t="n">
        <v>0.5</v>
      </c>
      <c r="T704" s="16" t="n">
        <v>0.85</v>
      </c>
      <c r="U704" s="16" t="n">
        <v>0.75</v>
      </c>
      <c r="V704" s="16" t="n">
        <v>0.4</v>
      </c>
      <c r="W704" s="16" t="n">
        <v>0.75</v>
      </c>
      <c r="X704" s="16" t="n">
        <v>0.8</v>
      </c>
      <c r="Y704" s="16" t="n">
        <v>288.15</v>
      </c>
      <c r="Z704" s="16" t="n">
        <v>11.24712849167695</v>
      </c>
      <c r="AA704" s="16" t="n">
        <v>107.0709850064417</v>
      </c>
      <c r="AB704" s="16" t="n">
        <v>2400</v>
      </c>
      <c r="AC704" s="16" t="n">
        <v>5</v>
      </c>
      <c r="AD704" s="16" t="inlineStr">
        <is>
          <t>O2</t>
        </is>
      </c>
      <c r="AE704" s="16" t="n"/>
    </row>
    <row r="705">
      <c r="A705" s="16" t="inlineStr">
        <is>
          <t>KF-M02S-B3-0024</t>
        </is>
      </c>
      <c r="B705" s="16" t="inlineStr">
        <is>
          <t>2.4</t>
        </is>
      </c>
      <c r="C705" s="16" t="inlineStr">
        <is>
          <t>2.4c</t>
        </is>
      </c>
      <c r="D705" s="16" t="inlineStr">
        <is>
          <t>ε_HRVG = 0.40 (fuente del profesor)</t>
        </is>
      </c>
      <c r="E705" s="16" t="inlineStr">
        <is>
          <t>KF-M02S</t>
        </is>
      </c>
      <c r="F705" s="16" t="inlineStr">
        <is>
          <t>KF-M02S-B3</t>
        </is>
      </c>
      <c r="G705" s="16" t="inlineStr">
        <is>
          <t>B05-B3</t>
        </is>
      </c>
      <c r="H705" s="16" t="inlineStr">
        <is>
          <t>malla</t>
        </is>
      </c>
      <c r="I705" s="16" t="inlineStr">
        <is>
          <t>CORREGIBLE</t>
        </is>
      </c>
      <c r="J705" s="16" t="inlineStr">
        <is>
          <t>CORREGIBLE</t>
        </is>
      </c>
      <c r="K705" s="16" t="b">
        <v>1</v>
      </c>
      <c r="L705" s="16" t="b">
        <v>0</v>
      </c>
      <c r="M705" s="16" t="b">
        <v>1</v>
      </c>
      <c r="N705" s="16" t="b">
        <v>0</v>
      </c>
      <c r="O705" s="16" t="n">
        <v>623.15</v>
      </c>
      <c r="P705" s="16" t="n">
        <v>288.15</v>
      </c>
      <c r="Q705" s="16" t="n">
        <v>3000</v>
      </c>
      <c r="R705" s="16" t="n">
        <v>750</v>
      </c>
      <c r="S705" s="16" t="n">
        <v>0.5</v>
      </c>
      <c r="T705" s="16" t="n">
        <v>0.85</v>
      </c>
      <c r="U705" s="16" t="n">
        <v>0.75</v>
      </c>
      <c r="V705" s="16" t="n">
        <v>0.4</v>
      </c>
      <c r="W705" s="16" t="n">
        <v>0.75</v>
      </c>
      <c r="X705" s="16" t="n">
        <v>0.8</v>
      </c>
      <c r="Y705" s="16" t="n">
        <v>288.15</v>
      </c>
      <c r="Z705" s="16" t="n">
        <v>9.902526770980829</v>
      </c>
      <c r="AA705" s="16" t="n">
        <v>94.23310511276038</v>
      </c>
      <c r="AB705" s="16" t="n">
        <v>2250</v>
      </c>
      <c r="AC705" s="16" t="n">
        <v>4</v>
      </c>
      <c r="AD705" s="16" t="inlineStr">
        <is>
          <t>O2</t>
        </is>
      </c>
      <c r="AE705" s="16" t="n"/>
    </row>
    <row r="706">
      <c r="A706" s="16" t="inlineStr">
        <is>
          <t>KF-M02S-B3-0025</t>
        </is>
      </c>
      <c r="B706" s="16" t="inlineStr">
        <is>
          <t>2.4</t>
        </is>
      </c>
      <c r="C706" s="16" t="inlineStr">
        <is>
          <t>2.4c</t>
        </is>
      </c>
      <c r="D706" s="16" t="inlineStr">
        <is>
          <t>ε_HRVG = 0.40 (fuente del profesor)</t>
        </is>
      </c>
      <c r="E706" s="16" t="inlineStr">
        <is>
          <t>KF-M02S</t>
        </is>
      </c>
      <c r="F706" s="16" t="inlineStr">
        <is>
          <t>KF-M02S-B3</t>
        </is>
      </c>
      <c r="G706" s="16" t="inlineStr">
        <is>
          <t>B05-B3</t>
        </is>
      </c>
      <c r="H706" s="16" t="inlineStr">
        <is>
          <t>malla</t>
        </is>
      </c>
      <c r="I706" s="16" t="inlineStr">
        <is>
          <t>CORREGIBLE</t>
        </is>
      </c>
      <c r="J706" s="16" t="inlineStr">
        <is>
          <t>CORREGIBLE</t>
        </is>
      </c>
      <c r="K706" s="16" t="b">
        <v>1</v>
      </c>
      <c r="L706" s="16" t="b">
        <v>0</v>
      </c>
      <c r="M706" s="16" t="b">
        <v>1</v>
      </c>
      <c r="N706" s="16" t="b">
        <v>0</v>
      </c>
      <c r="O706" s="16" t="n">
        <v>623.15</v>
      </c>
      <c r="P706" s="16" t="n">
        <v>288.15</v>
      </c>
      <c r="Q706" s="16" t="n">
        <v>3000</v>
      </c>
      <c r="R706" s="16" t="n">
        <v>900</v>
      </c>
      <c r="S706" s="16" t="n">
        <v>0.5</v>
      </c>
      <c r="T706" s="16" t="n">
        <v>0.85</v>
      </c>
      <c r="U706" s="16" t="n">
        <v>0.75</v>
      </c>
      <c r="V706" s="16" t="n">
        <v>0.4</v>
      </c>
      <c r="W706" s="16" t="n">
        <v>0.75</v>
      </c>
      <c r="X706" s="16" t="n">
        <v>0.8</v>
      </c>
      <c r="Y706" s="16" t="n">
        <v>288.15</v>
      </c>
      <c r="Z706" s="16" t="n">
        <v>8.71974766134211</v>
      </c>
      <c r="AA706" s="16" t="n">
        <v>82.93541299078834</v>
      </c>
      <c r="AB706" s="16" t="n">
        <v>2100</v>
      </c>
      <c r="AC706" s="16" t="n">
        <v>3.333333333333333</v>
      </c>
      <c r="AD706" s="16" t="inlineStr">
        <is>
          <t>O2</t>
        </is>
      </c>
      <c r="AE706" s="16" t="n"/>
    </row>
    <row r="707">
      <c r="A707" s="16" t="inlineStr">
        <is>
          <t>KF-M02S-B3-0026</t>
        </is>
      </c>
      <c r="B707" s="16" t="inlineStr">
        <is>
          <t>2.4</t>
        </is>
      </c>
      <c r="C707" s="16" t="inlineStr">
        <is>
          <t>2.4c</t>
        </is>
      </c>
      <c r="D707" s="16" t="inlineStr">
        <is>
          <t>ε_HRVG = 0.40 (fuente del profesor)</t>
        </is>
      </c>
      <c r="E707" s="16" t="inlineStr">
        <is>
          <t>KF-M02S</t>
        </is>
      </c>
      <c r="F707" s="16" t="inlineStr">
        <is>
          <t>KF-M02S-B3</t>
        </is>
      </c>
      <c r="G707" s="16" t="inlineStr">
        <is>
          <t>B05-B3</t>
        </is>
      </c>
      <c r="H707" s="16" t="inlineStr">
        <is>
          <t>malla</t>
        </is>
      </c>
      <c r="I707" s="16" t="inlineStr">
        <is>
          <t>KALINA</t>
        </is>
      </c>
      <c r="J707" s="16" t="inlineStr">
        <is>
          <t>KALINA</t>
        </is>
      </c>
      <c r="K707" s="16" t="b">
        <v>1</v>
      </c>
      <c r="L707" s="16" t="b">
        <v>0</v>
      </c>
      <c r="M707" s="16" t="b">
        <v>1</v>
      </c>
      <c r="N707" s="16" t="b">
        <v>0</v>
      </c>
      <c r="O707" s="16" t="n">
        <v>623.15</v>
      </c>
      <c r="P707" s="16" t="n">
        <v>288.15</v>
      </c>
      <c r="Q707" s="16" t="n">
        <v>3000</v>
      </c>
      <c r="R707" s="16" t="n">
        <v>1050</v>
      </c>
      <c r="S707" s="16" t="n">
        <v>0.5</v>
      </c>
      <c r="T707" s="16" t="n">
        <v>0.85</v>
      </c>
      <c r="U707" s="16" t="n">
        <v>0.75</v>
      </c>
      <c r="V707" s="16" t="n">
        <v>0.4</v>
      </c>
      <c r="W707" s="16" t="n">
        <v>0.75</v>
      </c>
      <c r="X707" s="16" t="n">
        <v>0.8</v>
      </c>
      <c r="Y707" s="16" t="n">
        <v>288.15</v>
      </c>
      <c r="Z707" s="16" t="n">
        <v>7.66146691903602</v>
      </c>
      <c r="AA707" s="16" t="n">
        <v>72.82941872197982</v>
      </c>
      <c r="AB707" s="16" t="n">
        <v>1950</v>
      </c>
      <c r="AC707" s="16" t="n">
        <v>2.857142857142857</v>
      </c>
      <c r="AD707" s="16" t="n"/>
      <c r="AE707" s="16" t="n"/>
    </row>
    <row r="708">
      <c r="A708" s="16" t="inlineStr">
        <is>
          <t>KF-M02S-B3-0027</t>
        </is>
      </c>
      <c r="B708" s="16" t="inlineStr">
        <is>
          <t>2.4</t>
        </is>
      </c>
      <c r="C708" s="16" t="inlineStr">
        <is>
          <t>2.4c</t>
        </is>
      </c>
      <c r="D708" s="16" t="inlineStr">
        <is>
          <t>ε_HRVG = 0.40 (fuente del profesor)</t>
        </is>
      </c>
      <c r="E708" s="16" t="inlineStr">
        <is>
          <t>KF-M02S</t>
        </is>
      </c>
      <c r="F708" s="16" t="inlineStr">
        <is>
          <t>KF-M02S-B3</t>
        </is>
      </c>
      <c r="G708" s="16" t="inlineStr">
        <is>
          <t>B05-B3</t>
        </is>
      </c>
      <c r="H708" s="16" t="inlineStr">
        <is>
          <t>malla</t>
        </is>
      </c>
      <c r="I708" s="16" t="inlineStr">
        <is>
          <t>KALINA</t>
        </is>
      </c>
      <c r="J708" s="16" t="inlineStr">
        <is>
          <t>KALINA</t>
        </is>
      </c>
      <c r="K708" s="16" t="b">
        <v>1</v>
      </c>
      <c r="L708" s="16" t="b">
        <v>0</v>
      </c>
      <c r="M708" s="16" t="b">
        <v>1</v>
      </c>
      <c r="N708" s="16" t="b">
        <v>0</v>
      </c>
      <c r="O708" s="16" t="n">
        <v>623.15</v>
      </c>
      <c r="P708" s="16" t="n">
        <v>288.15</v>
      </c>
      <c r="Q708" s="16" t="n">
        <v>3000</v>
      </c>
      <c r="R708" s="16" t="n">
        <v>1200</v>
      </c>
      <c r="S708" s="16" t="n">
        <v>0.5</v>
      </c>
      <c r="T708" s="16" t="n">
        <v>0.85</v>
      </c>
      <c r="U708" s="16" t="n">
        <v>0.75</v>
      </c>
      <c r="V708" s="16" t="n">
        <v>0.4</v>
      </c>
      <c r="W708" s="16" t="n">
        <v>0.75</v>
      </c>
      <c r="X708" s="16" t="n">
        <v>0.8</v>
      </c>
      <c r="Y708" s="16" t="n">
        <v>288.15</v>
      </c>
      <c r="Z708" s="16" t="n">
        <v>6.725791827790061</v>
      </c>
      <c r="AA708" s="16" t="n">
        <v>63.90299539940116</v>
      </c>
      <c r="AB708" s="16" t="n">
        <v>1800</v>
      </c>
      <c r="AC708" s="16" t="n">
        <v>2.5</v>
      </c>
      <c r="AD708" s="16" t="n"/>
      <c r="AE708" s="16" t="n"/>
    </row>
    <row r="709">
      <c r="A709" s="16" t="inlineStr">
        <is>
          <t>KF-M02S-B3-0028</t>
        </is>
      </c>
      <c r="B709" s="16" t="inlineStr">
        <is>
          <t>2.4</t>
        </is>
      </c>
      <c r="C709" s="16" t="inlineStr">
        <is>
          <t>2.4c</t>
        </is>
      </c>
      <c r="D709" s="16" t="inlineStr">
        <is>
          <t>ε_HRVG = 0.40 (fuente del profesor)</t>
        </is>
      </c>
      <c r="E709" s="16" t="inlineStr">
        <is>
          <t>KF-M02S</t>
        </is>
      </c>
      <c r="F709" s="16" t="inlineStr">
        <is>
          <t>KF-M02S-B3</t>
        </is>
      </c>
      <c r="G709" s="16" t="inlineStr">
        <is>
          <t>B05-B3</t>
        </is>
      </c>
      <c r="H709" s="16" t="inlineStr">
        <is>
          <t>malla</t>
        </is>
      </c>
      <c r="I709" s="16" t="inlineStr">
        <is>
          <t>CORREGIBLE</t>
        </is>
      </c>
      <c r="J709" s="16" t="inlineStr">
        <is>
          <t>CORREGIBLE</t>
        </is>
      </c>
      <c r="K709" s="16" t="b">
        <v>1</v>
      </c>
      <c r="L709" s="16" t="b">
        <v>0</v>
      </c>
      <c r="M709" s="16" t="b">
        <v>1</v>
      </c>
      <c r="N709" s="16" t="b">
        <v>0</v>
      </c>
      <c r="O709" s="16" t="n">
        <v>623.15</v>
      </c>
      <c r="P709" s="16" t="n">
        <v>293.15</v>
      </c>
      <c r="Q709" s="16" t="n">
        <v>3000</v>
      </c>
      <c r="R709" s="16" t="n">
        <v>150</v>
      </c>
      <c r="S709" s="16" t="n">
        <v>0.5</v>
      </c>
      <c r="T709" s="16" t="n">
        <v>0.85</v>
      </c>
      <c r="U709" s="16" t="n">
        <v>0.75</v>
      </c>
      <c r="V709" s="16" t="n">
        <v>0.4</v>
      </c>
      <c r="W709" s="16" t="n">
        <v>0.75</v>
      </c>
      <c r="X709" s="16" t="n">
        <v>0.8</v>
      </c>
      <c r="Y709" s="16" t="n">
        <v>293.15</v>
      </c>
      <c r="Z709" s="16" t="n">
        <v>13.39073428545905</v>
      </c>
      <c r="AA709" s="16" t="n">
        <v>113.4967634149443</v>
      </c>
      <c r="AB709" s="16" t="n">
        <v>2850</v>
      </c>
      <c r="AC709" s="16" t="n">
        <v>20</v>
      </c>
      <c r="AD709" s="16" t="inlineStr">
        <is>
          <t>O1,O2</t>
        </is>
      </c>
      <c r="AE709" s="16" t="n"/>
    </row>
    <row r="710">
      <c r="A710" s="16" t="inlineStr">
        <is>
          <t>KF-M02S-B3-0029</t>
        </is>
      </c>
      <c r="B710" s="16" t="inlineStr">
        <is>
          <t>2.4</t>
        </is>
      </c>
      <c r="C710" s="16" t="inlineStr">
        <is>
          <t>2.4c</t>
        </is>
      </c>
      <c r="D710" s="16" t="inlineStr">
        <is>
          <t>ε_HRVG = 0.40 (fuente del profesor)</t>
        </is>
      </c>
      <c r="E710" s="16" t="inlineStr">
        <is>
          <t>KF-M02S</t>
        </is>
      </c>
      <c r="F710" s="16" t="inlineStr">
        <is>
          <t>KF-M02S-B3</t>
        </is>
      </c>
      <c r="G710" s="16" t="inlineStr">
        <is>
          <t>B05-B3</t>
        </is>
      </c>
      <c r="H710" s="16" t="inlineStr">
        <is>
          <t>malla</t>
        </is>
      </c>
      <c r="I710" s="16" t="inlineStr">
        <is>
          <t>KALINA</t>
        </is>
      </c>
      <c r="J710" s="16" t="inlineStr">
        <is>
          <t>KALINA</t>
        </is>
      </c>
      <c r="K710" s="16" t="b">
        <v>1</v>
      </c>
      <c r="L710" s="16" t="b">
        <v>0</v>
      </c>
      <c r="M710" s="16" t="b">
        <v>1</v>
      </c>
      <c r="N710" s="16" t="b">
        <v>0</v>
      </c>
      <c r="O710" s="16" t="n">
        <v>623.15</v>
      </c>
      <c r="P710" s="16" t="n">
        <v>288.15</v>
      </c>
      <c r="Q710" s="16" t="n">
        <v>3000</v>
      </c>
      <c r="R710" s="16" t="n">
        <v>1350</v>
      </c>
      <c r="S710" s="16" t="n">
        <v>0.5</v>
      </c>
      <c r="T710" s="16" t="n">
        <v>0.85</v>
      </c>
      <c r="U710" s="16" t="n">
        <v>0.75</v>
      </c>
      <c r="V710" s="16" t="n">
        <v>0.4</v>
      </c>
      <c r="W710" s="16" t="n">
        <v>0.75</v>
      </c>
      <c r="X710" s="16" t="n">
        <v>0.8</v>
      </c>
      <c r="Y710" s="16" t="n">
        <v>288.15</v>
      </c>
      <c r="Z710" s="16" t="n">
        <v>5.89004825674193</v>
      </c>
      <c r="AA710" s="16" t="n">
        <v>55.93763833958747</v>
      </c>
      <c r="AB710" s="16" t="n">
        <v>1650</v>
      </c>
      <c r="AC710" s="16" t="n">
        <v>2.222222222222222</v>
      </c>
      <c r="AD710" s="16" t="n"/>
      <c r="AE710" s="16" t="n"/>
    </row>
    <row r="711">
      <c r="A711" s="16" t="inlineStr">
        <is>
          <t>KF-M02S-B3-0030</t>
        </is>
      </c>
      <c r="B711" s="16" t="inlineStr">
        <is>
          <t>2.4</t>
        </is>
      </c>
      <c r="C711" s="16" t="inlineStr">
        <is>
          <t>2.4c</t>
        </is>
      </c>
      <c r="D711" s="16" t="inlineStr">
        <is>
          <t>ε_HRVG = 0.40 (fuente del profesor)</t>
        </is>
      </c>
      <c r="E711" s="16" t="inlineStr">
        <is>
          <t>KF-M02S</t>
        </is>
      </c>
      <c r="F711" s="16" t="inlineStr">
        <is>
          <t>KF-M02S-B3</t>
        </is>
      </c>
      <c r="G711" s="16" t="inlineStr">
        <is>
          <t>B05-B3</t>
        </is>
      </c>
      <c r="H711" s="16" t="inlineStr">
        <is>
          <t>malla</t>
        </is>
      </c>
      <c r="I711" s="16" t="inlineStr">
        <is>
          <t>KALINA</t>
        </is>
      </c>
      <c r="J711" s="16" t="inlineStr">
        <is>
          <t>KALINA</t>
        </is>
      </c>
      <c r="K711" s="16" t="b">
        <v>1</v>
      </c>
      <c r="L711" s="16" t="b">
        <v>0</v>
      </c>
      <c r="M711" s="16" t="b">
        <v>1</v>
      </c>
      <c r="N711" s="16" t="b">
        <v>0</v>
      </c>
      <c r="O711" s="16" t="n">
        <v>623.15</v>
      </c>
      <c r="P711" s="16" t="n">
        <v>288.15</v>
      </c>
      <c r="Q711" s="16" t="n">
        <v>3000</v>
      </c>
      <c r="R711" s="16" t="n">
        <v>1500</v>
      </c>
      <c r="S711" s="16" t="n">
        <v>0.5</v>
      </c>
      <c r="T711" s="16" t="n">
        <v>0.85</v>
      </c>
      <c r="U711" s="16" t="n">
        <v>0.75</v>
      </c>
      <c r="V711" s="16" t="n">
        <v>0.4</v>
      </c>
      <c r="W711" s="16" t="n">
        <v>0.75</v>
      </c>
      <c r="X711" s="16" t="n">
        <v>0.8</v>
      </c>
      <c r="Y711" s="16" t="n">
        <v>288.15</v>
      </c>
      <c r="Z711" s="16" t="n">
        <v>5.13442490244629</v>
      </c>
      <c r="AA711" s="16" t="n">
        <v>48.74211476928103</v>
      </c>
      <c r="AB711" s="16" t="n">
        <v>1500</v>
      </c>
      <c r="AC711" s="16" t="n">
        <v>2</v>
      </c>
      <c r="AD711" s="16" t="n"/>
      <c r="AE711" s="16" t="n"/>
    </row>
    <row r="712">
      <c r="A712" s="16" t="inlineStr">
        <is>
          <t>KF-M02S-B3-0031</t>
        </is>
      </c>
      <c r="B712" s="16" t="inlineStr">
        <is>
          <t>2.4</t>
        </is>
      </c>
      <c r="C712" s="16" t="inlineStr">
        <is>
          <t>2.4c</t>
        </is>
      </c>
      <c r="D712" s="16" t="inlineStr">
        <is>
          <t>ε_HRVG = 0.40 (fuente del profesor)</t>
        </is>
      </c>
      <c r="E712" s="16" t="inlineStr">
        <is>
          <t>KF-M02S</t>
        </is>
      </c>
      <c r="F712" s="16" t="inlineStr">
        <is>
          <t>KF-M02S-B3</t>
        </is>
      </c>
      <c r="G712" s="16" t="inlineStr">
        <is>
          <t>B05-B3</t>
        </is>
      </c>
      <c r="H712" s="16" t="inlineStr">
        <is>
          <t>malla</t>
        </is>
      </c>
      <c r="I712" s="16" t="inlineStr">
        <is>
          <t>CORREGIBLE</t>
        </is>
      </c>
      <c r="J712" s="16" t="inlineStr">
        <is>
          <t>CORREGIBLE</t>
        </is>
      </c>
      <c r="K712" s="16" t="b">
        <v>1</v>
      </c>
      <c r="L712" s="16" t="b">
        <v>0</v>
      </c>
      <c r="M712" s="16" t="b">
        <v>1</v>
      </c>
      <c r="N712" s="16" t="b">
        <v>0</v>
      </c>
      <c r="O712" s="16" t="n">
        <v>623.15</v>
      </c>
      <c r="P712" s="16" t="n">
        <v>293.15</v>
      </c>
      <c r="Q712" s="16" t="n">
        <v>3000</v>
      </c>
      <c r="R712" s="16" t="n">
        <v>300</v>
      </c>
      <c r="S712" s="16" t="n">
        <v>0.5</v>
      </c>
      <c r="T712" s="16" t="n">
        <v>0.85</v>
      </c>
      <c r="U712" s="16" t="n">
        <v>0.75</v>
      </c>
      <c r="V712" s="16" t="n">
        <v>0.4</v>
      </c>
      <c r="W712" s="16" t="n">
        <v>0.75</v>
      </c>
      <c r="X712" s="16" t="n">
        <v>0.8</v>
      </c>
      <c r="Y712" s="16" t="n">
        <v>293.15</v>
      </c>
      <c r="Z712" s="16" t="n">
        <v>14.71746652777934</v>
      </c>
      <c r="AA712" s="16" t="n">
        <v>139.2025059825027</v>
      </c>
      <c r="AB712" s="16" t="n">
        <v>2700</v>
      </c>
      <c r="AC712" s="16" t="n">
        <v>10</v>
      </c>
      <c r="AD712" s="16" t="inlineStr">
        <is>
          <t>O1,O2</t>
        </is>
      </c>
      <c r="AE712" s="16" t="n"/>
    </row>
    <row r="713">
      <c r="A713" s="16" t="inlineStr">
        <is>
          <t>KF-M02S-B3-0032</t>
        </is>
      </c>
      <c r="B713" s="16" t="inlineStr">
        <is>
          <t>2.4</t>
        </is>
      </c>
      <c r="C713" s="16" t="inlineStr">
        <is>
          <t>2.4c</t>
        </is>
      </c>
      <c r="D713" s="16" t="inlineStr">
        <is>
          <t>ε_HRVG = 0.40 (fuente del profesor)</t>
        </is>
      </c>
      <c r="E713" s="16" t="inlineStr">
        <is>
          <t>KF-M02S</t>
        </is>
      </c>
      <c r="F713" s="16" t="inlineStr">
        <is>
          <t>KF-M02S-B3</t>
        </is>
      </c>
      <c r="G713" s="16" t="inlineStr">
        <is>
          <t>B05-B3</t>
        </is>
      </c>
      <c r="H713" s="16" t="inlineStr">
        <is>
          <t>malla</t>
        </is>
      </c>
      <c r="I713" s="16" t="inlineStr">
        <is>
          <t>CORREGIBLE</t>
        </is>
      </c>
      <c r="J713" s="16" t="inlineStr">
        <is>
          <t>CORREGIBLE</t>
        </is>
      </c>
      <c r="K713" s="16" t="b">
        <v>1</v>
      </c>
      <c r="L713" s="16" t="b">
        <v>0</v>
      </c>
      <c r="M713" s="16" t="b">
        <v>1</v>
      </c>
      <c r="N713" s="16" t="b">
        <v>0</v>
      </c>
      <c r="O713" s="16" t="n">
        <v>623.15</v>
      </c>
      <c r="P713" s="16" t="n">
        <v>293.15</v>
      </c>
      <c r="Q713" s="16" t="n">
        <v>3000</v>
      </c>
      <c r="R713" s="16" t="n">
        <v>450</v>
      </c>
      <c r="S713" s="16" t="n">
        <v>0.5</v>
      </c>
      <c r="T713" s="16" t="n">
        <v>0.85</v>
      </c>
      <c r="U713" s="16" t="n">
        <v>0.75</v>
      </c>
      <c r="V713" s="16" t="n">
        <v>0.4</v>
      </c>
      <c r="W713" s="16" t="n">
        <v>0.75</v>
      </c>
      <c r="X713" s="16" t="n">
        <v>0.8</v>
      </c>
      <c r="Y713" s="16" t="n">
        <v>293.15</v>
      </c>
      <c r="Z713" s="16" t="n">
        <v>12.81720755044012</v>
      </c>
      <c r="AA713" s="16" t="n">
        <v>121.3165966925522</v>
      </c>
      <c r="AB713" s="16" t="n">
        <v>2550</v>
      </c>
      <c r="AC713" s="16" t="n">
        <v>6.666666666666667</v>
      </c>
      <c r="AD713" s="16" t="inlineStr">
        <is>
          <t>O2</t>
        </is>
      </c>
      <c r="AE713" s="16" t="n"/>
    </row>
    <row r="714">
      <c r="A714" s="16" t="inlineStr">
        <is>
          <t>KF-M02S-B3-0033</t>
        </is>
      </c>
      <c r="B714" s="16" t="inlineStr">
        <is>
          <t>2.4</t>
        </is>
      </c>
      <c r="C714" s="16" t="inlineStr">
        <is>
          <t>2.4c</t>
        </is>
      </c>
      <c r="D714" s="16" t="inlineStr">
        <is>
          <t>ε_HRVG = 0.40 (fuente del profesor)</t>
        </is>
      </c>
      <c r="E714" s="16" t="inlineStr">
        <is>
          <t>KF-M02S</t>
        </is>
      </c>
      <c r="F714" s="16" t="inlineStr">
        <is>
          <t>KF-M02S-B3</t>
        </is>
      </c>
      <c r="G714" s="16" t="inlineStr">
        <is>
          <t>B05-B3</t>
        </is>
      </c>
      <c r="H714" s="16" t="inlineStr">
        <is>
          <t>malla</t>
        </is>
      </c>
      <c r="I714" s="16" t="inlineStr">
        <is>
          <t>CORREGIBLE</t>
        </is>
      </c>
      <c r="J714" s="16" t="inlineStr">
        <is>
          <t>CORREGIBLE</t>
        </is>
      </c>
      <c r="K714" s="16" t="b">
        <v>1</v>
      </c>
      <c r="L714" s="16" t="b">
        <v>0</v>
      </c>
      <c r="M714" s="16" t="b">
        <v>1</v>
      </c>
      <c r="N714" s="16" t="b">
        <v>0</v>
      </c>
      <c r="O714" s="16" t="n">
        <v>623.15</v>
      </c>
      <c r="P714" s="16" t="n">
        <v>293.15</v>
      </c>
      <c r="Q714" s="16" t="n">
        <v>3000</v>
      </c>
      <c r="R714" s="16" t="n">
        <v>600</v>
      </c>
      <c r="S714" s="16" t="n">
        <v>0.5</v>
      </c>
      <c r="T714" s="16" t="n">
        <v>0.85</v>
      </c>
      <c r="U714" s="16" t="n">
        <v>0.75</v>
      </c>
      <c r="V714" s="16" t="n">
        <v>0.4</v>
      </c>
      <c r="W714" s="16" t="n">
        <v>0.75</v>
      </c>
      <c r="X714" s="16" t="n">
        <v>0.8</v>
      </c>
      <c r="Y714" s="16" t="n">
        <v>293.15</v>
      </c>
      <c r="Z714" s="16" t="n">
        <v>11.27931071993894</v>
      </c>
      <c r="AA714" s="16" t="n">
        <v>106.7644816388417</v>
      </c>
      <c r="AB714" s="16" t="n">
        <v>2400</v>
      </c>
      <c r="AC714" s="16" t="n">
        <v>5</v>
      </c>
      <c r="AD714" s="16" t="inlineStr">
        <is>
          <t>O2</t>
        </is>
      </c>
      <c r="AE714" s="16" t="n"/>
    </row>
    <row r="715">
      <c r="A715" s="16" t="inlineStr">
        <is>
          <t>KF-M02S-B3-0034</t>
        </is>
      </c>
      <c r="B715" s="16" t="inlineStr">
        <is>
          <t>2.4</t>
        </is>
      </c>
      <c r="C715" s="16" t="inlineStr">
        <is>
          <t>2.4c</t>
        </is>
      </c>
      <c r="D715" s="16" t="inlineStr">
        <is>
          <t>ε_HRVG = 0.40 (fuente del profesor)</t>
        </is>
      </c>
      <c r="E715" s="16" t="inlineStr">
        <is>
          <t>KF-M02S</t>
        </is>
      </c>
      <c r="F715" s="16" t="inlineStr">
        <is>
          <t>KF-M02S-B3</t>
        </is>
      </c>
      <c r="G715" s="16" t="inlineStr">
        <is>
          <t>B05-B3</t>
        </is>
      </c>
      <c r="H715" s="16" t="inlineStr">
        <is>
          <t>malla</t>
        </is>
      </c>
      <c r="I715" s="16" t="inlineStr">
        <is>
          <t>CORREGIBLE</t>
        </is>
      </c>
      <c r="J715" s="16" t="inlineStr">
        <is>
          <t>CORREGIBLE</t>
        </is>
      </c>
      <c r="K715" s="16" t="b">
        <v>1</v>
      </c>
      <c r="L715" s="16" t="b">
        <v>0</v>
      </c>
      <c r="M715" s="16" t="b">
        <v>1</v>
      </c>
      <c r="N715" s="16" t="b">
        <v>0</v>
      </c>
      <c r="O715" s="16" t="n">
        <v>623.15</v>
      </c>
      <c r="P715" s="16" t="n">
        <v>293.15</v>
      </c>
      <c r="Q715" s="16" t="n">
        <v>3000</v>
      </c>
      <c r="R715" s="16" t="n">
        <v>900</v>
      </c>
      <c r="S715" s="16" t="n">
        <v>0.5</v>
      </c>
      <c r="T715" s="16" t="n">
        <v>0.85</v>
      </c>
      <c r="U715" s="16" t="n">
        <v>0.75</v>
      </c>
      <c r="V715" s="16" t="n">
        <v>0.4</v>
      </c>
      <c r="W715" s="16" t="n">
        <v>0.75</v>
      </c>
      <c r="X715" s="16" t="n">
        <v>0.8</v>
      </c>
      <c r="Y715" s="16" t="n">
        <v>293.15</v>
      </c>
      <c r="Z715" s="16" t="n">
        <v>8.8107160997212</v>
      </c>
      <c r="AA715" s="16" t="n">
        <v>83.33706408560762</v>
      </c>
      <c r="AB715" s="16" t="n">
        <v>2100</v>
      </c>
      <c r="AC715" s="16" t="n">
        <v>3.333333333333333</v>
      </c>
      <c r="AD715" s="16" t="inlineStr">
        <is>
          <t>O2</t>
        </is>
      </c>
      <c r="AE715" s="16" t="n"/>
    </row>
    <row r="716">
      <c r="A716" s="16" t="inlineStr">
        <is>
          <t>KF-M02S-B3-0035</t>
        </is>
      </c>
      <c r="B716" s="16" t="inlineStr">
        <is>
          <t>2.4</t>
        </is>
      </c>
      <c r="C716" s="16" t="inlineStr">
        <is>
          <t>2.4c</t>
        </is>
      </c>
      <c r="D716" s="16" t="inlineStr">
        <is>
          <t>ε_HRVG = 0.40 (fuente del profesor)</t>
        </is>
      </c>
      <c r="E716" s="16" t="inlineStr">
        <is>
          <t>KF-M02S</t>
        </is>
      </c>
      <c r="F716" s="16" t="inlineStr">
        <is>
          <t>KF-M02S-B3</t>
        </is>
      </c>
      <c r="G716" s="16" t="inlineStr">
        <is>
          <t>B05-B3</t>
        </is>
      </c>
      <c r="H716" s="16" t="inlineStr">
        <is>
          <t>malla</t>
        </is>
      </c>
      <c r="I716" s="16" t="inlineStr">
        <is>
          <t>CORREGIBLE</t>
        </is>
      </c>
      <c r="J716" s="16" t="inlineStr">
        <is>
          <t>CORREGIBLE</t>
        </is>
      </c>
      <c r="K716" s="16" t="b">
        <v>1</v>
      </c>
      <c r="L716" s="16" t="b">
        <v>0</v>
      </c>
      <c r="M716" s="16" t="b">
        <v>1</v>
      </c>
      <c r="N716" s="16" t="b">
        <v>0</v>
      </c>
      <c r="O716" s="16" t="n">
        <v>623.15</v>
      </c>
      <c r="P716" s="16" t="n">
        <v>293.15</v>
      </c>
      <c r="Q716" s="16" t="n">
        <v>3000</v>
      </c>
      <c r="R716" s="16" t="n">
        <v>750</v>
      </c>
      <c r="S716" s="16" t="n">
        <v>0.5</v>
      </c>
      <c r="T716" s="16" t="n">
        <v>0.85</v>
      </c>
      <c r="U716" s="16" t="n">
        <v>0.75</v>
      </c>
      <c r="V716" s="16" t="n">
        <v>0.4</v>
      </c>
      <c r="W716" s="16" t="n">
        <v>0.75</v>
      </c>
      <c r="X716" s="16" t="n">
        <v>0.8</v>
      </c>
      <c r="Y716" s="16" t="n">
        <v>293.15</v>
      </c>
      <c r="Z716" s="16" t="n">
        <v>9.861823300056049</v>
      </c>
      <c r="AA716" s="16" t="n">
        <v>93.28542392054452</v>
      </c>
      <c r="AB716" s="16" t="n">
        <v>2250</v>
      </c>
      <c r="AC716" s="16" t="n">
        <v>4</v>
      </c>
      <c r="AD716" s="16" t="inlineStr">
        <is>
          <t>O2</t>
        </is>
      </c>
      <c r="AE716" s="16" t="n"/>
    </row>
    <row r="717">
      <c r="A717" s="16" t="inlineStr">
        <is>
          <t>KF-M02S-B3-0036</t>
        </is>
      </c>
      <c r="B717" s="16" t="inlineStr">
        <is>
          <t>2.4</t>
        </is>
      </c>
      <c r="C717" s="16" t="inlineStr">
        <is>
          <t>2.4c</t>
        </is>
      </c>
      <c r="D717" s="16" t="inlineStr">
        <is>
          <t>ε_HRVG = 0.40 (fuente del profesor)</t>
        </is>
      </c>
      <c r="E717" s="16" t="inlineStr">
        <is>
          <t>KF-M02S</t>
        </is>
      </c>
      <c r="F717" s="16" t="inlineStr">
        <is>
          <t>KF-M02S-B3</t>
        </is>
      </c>
      <c r="G717" s="16" t="inlineStr">
        <is>
          <t>B05-B3</t>
        </is>
      </c>
      <c r="H717" s="16" t="inlineStr">
        <is>
          <t>malla</t>
        </is>
      </c>
      <c r="I717" s="16" t="inlineStr">
        <is>
          <t>CORREGIBLE</t>
        </is>
      </c>
      <c r="J717" s="16" t="inlineStr">
        <is>
          <t>CORREGIBLE</t>
        </is>
      </c>
      <c r="K717" s="16" t="b">
        <v>1</v>
      </c>
      <c r="L717" s="16" t="b">
        <v>0</v>
      </c>
      <c r="M717" s="16" t="b">
        <v>1</v>
      </c>
      <c r="N717" s="16" t="b">
        <v>0</v>
      </c>
      <c r="O717" s="16" t="n">
        <v>623.15</v>
      </c>
      <c r="P717" s="16" t="n">
        <v>293.15</v>
      </c>
      <c r="Q717" s="16" t="n">
        <v>3000</v>
      </c>
      <c r="R717" s="16" t="n">
        <v>1050</v>
      </c>
      <c r="S717" s="16" t="n">
        <v>0.5</v>
      </c>
      <c r="T717" s="16" t="n">
        <v>0.85</v>
      </c>
      <c r="U717" s="16" t="n">
        <v>0.75</v>
      </c>
      <c r="V717" s="16" t="n">
        <v>0.4</v>
      </c>
      <c r="W717" s="16" t="n">
        <v>0.75</v>
      </c>
      <c r="X717" s="16" t="n">
        <v>0.8</v>
      </c>
      <c r="Y717" s="16" t="n">
        <v>293.15</v>
      </c>
      <c r="Z717" s="16" t="n">
        <v>7.76854439491249</v>
      </c>
      <c r="AA717" s="16" t="n">
        <v>73.44481292654123</v>
      </c>
      <c r="AB717" s="16" t="n">
        <v>1950</v>
      </c>
      <c r="AC717" s="16" t="n">
        <v>2.857142857142857</v>
      </c>
      <c r="AD717" s="16" t="inlineStr">
        <is>
          <t>O2</t>
        </is>
      </c>
      <c r="AE717" s="16" t="n"/>
    </row>
    <row r="718">
      <c r="A718" s="16" t="inlineStr">
        <is>
          <t>KF-M02S-B3-0037</t>
        </is>
      </c>
      <c r="B718" s="16" t="inlineStr">
        <is>
          <t>2.4</t>
        </is>
      </c>
      <c r="C718" s="16" t="inlineStr">
        <is>
          <t>2.4c</t>
        </is>
      </c>
      <c r="D718" s="16" t="inlineStr">
        <is>
          <t>ε_HRVG = 0.40 (fuente del profesor)</t>
        </is>
      </c>
      <c r="E718" s="16" t="inlineStr">
        <is>
          <t>KF-M02S</t>
        </is>
      </c>
      <c r="F718" s="16" t="inlineStr">
        <is>
          <t>KF-M02S-B3</t>
        </is>
      </c>
      <c r="G718" s="16" t="inlineStr">
        <is>
          <t>B05-B3</t>
        </is>
      </c>
      <c r="H718" s="16" t="inlineStr">
        <is>
          <t>malla</t>
        </is>
      </c>
      <c r="I718" s="16" t="inlineStr">
        <is>
          <t>KALINA</t>
        </is>
      </c>
      <c r="J718" s="16" t="inlineStr">
        <is>
          <t>KALINA</t>
        </is>
      </c>
      <c r="K718" s="16" t="b">
        <v>1</v>
      </c>
      <c r="L718" s="16" t="b">
        <v>0</v>
      </c>
      <c r="M718" s="16" t="b">
        <v>1</v>
      </c>
      <c r="N718" s="16" t="b">
        <v>0</v>
      </c>
      <c r="O718" s="16" t="n">
        <v>623.15</v>
      </c>
      <c r="P718" s="16" t="n">
        <v>293.15</v>
      </c>
      <c r="Q718" s="16" t="n">
        <v>3000</v>
      </c>
      <c r="R718" s="16" t="n">
        <v>1200</v>
      </c>
      <c r="S718" s="16" t="n">
        <v>0.5</v>
      </c>
      <c r="T718" s="16" t="n">
        <v>0.85</v>
      </c>
      <c r="U718" s="16" t="n">
        <v>0.75</v>
      </c>
      <c r="V718" s="16" t="n">
        <v>0.4</v>
      </c>
      <c r="W718" s="16" t="n">
        <v>0.75</v>
      </c>
      <c r="X718" s="16" t="n">
        <v>0.8</v>
      </c>
      <c r="Y718" s="16" t="n">
        <v>293.15</v>
      </c>
      <c r="Z718" s="16" t="n">
        <v>6.822374677449609</v>
      </c>
      <c r="AA718" s="16" t="n">
        <v>64.46722149301937</v>
      </c>
      <c r="AB718" s="16" t="n">
        <v>1800</v>
      </c>
      <c r="AC718" s="16" t="n">
        <v>2.5</v>
      </c>
      <c r="AD718" s="16" t="n"/>
      <c r="AE718" s="16" t="n"/>
    </row>
    <row r="719">
      <c r="A719" s="16" t="inlineStr">
        <is>
          <t>KF-M02S-B3-0038</t>
        </is>
      </c>
      <c r="B719" s="16" t="inlineStr">
        <is>
          <t>2.4</t>
        </is>
      </c>
      <c r="C719" s="16" t="inlineStr">
        <is>
          <t>2.4c</t>
        </is>
      </c>
      <c r="D719" s="16" t="inlineStr">
        <is>
          <t>ε_HRVG = 0.40 (fuente del profesor)</t>
        </is>
      </c>
      <c r="E719" s="16" t="inlineStr">
        <is>
          <t>KF-M02S</t>
        </is>
      </c>
      <c r="F719" s="16" t="inlineStr">
        <is>
          <t>KF-M02S-B3</t>
        </is>
      </c>
      <c r="G719" s="16" t="inlineStr">
        <is>
          <t>B05-B3</t>
        </is>
      </c>
      <c r="H719" s="16" t="inlineStr">
        <is>
          <t>malla</t>
        </is>
      </c>
      <c r="I719" s="16" t="inlineStr">
        <is>
          <t>CORREGIBLE</t>
        </is>
      </c>
      <c r="J719" s="16" t="inlineStr">
        <is>
          <t>CORREGIBLE</t>
        </is>
      </c>
      <c r="K719" s="16" t="b">
        <v>1</v>
      </c>
      <c r="L719" s="16" t="b">
        <v>0</v>
      </c>
      <c r="M719" s="16" t="b">
        <v>1</v>
      </c>
      <c r="N719" s="16" t="b">
        <v>0</v>
      </c>
      <c r="O719" s="16" t="n">
        <v>623.15</v>
      </c>
      <c r="P719" s="16" t="n">
        <v>300.032917</v>
      </c>
      <c r="Q719" s="16" t="n">
        <v>3000</v>
      </c>
      <c r="R719" s="16" t="n">
        <v>150</v>
      </c>
      <c r="S719" s="16" t="n">
        <v>0.5</v>
      </c>
      <c r="T719" s="16" t="n">
        <v>0.85</v>
      </c>
      <c r="U719" s="16" t="n">
        <v>0.75</v>
      </c>
      <c r="V719" s="16" t="n">
        <v>0.4</v>
      </c>
      <c r="W719" s="16" t="n">
        <v>0.75</v>
      </c>
      <c r="X719" s="16" t="n">
        <v>0.8</v>
      </c>
      <c r="Y719" s="16" t="n">
        <v>300.032917</v>
      </c>
      <c r="Z719" s="16" t="n">
        <v>11.32517138193039</v>
      </c>
      <c r="AA719" s="16" t="n">
        <v>89.91318338680395</v>
      </c>
      <c r="AB719" s="16" t="n">
        <v>2850</v>
      </c>
      <c r="AC719" s="16" t="n">
        <v>20</v>
      </c>
      <c r="AD719" s="16" t="inlineStr">
        <is>
          <t>O1,O2</t>
        </is>
      </c>
      <c r="AE719" s="16" t="n"/>
    </row>
    <row r="720">
      <c r="A720" s="16" t="inlineStr">
        <is>
          <t>KF-M02S-B3-0039</t>
        </is>
      </c>
      <c r="B720" s="16" t="inlineStr">
        <is>
          <t>2.4</t>
        </is>
      </c>
      <c r="C720" s="16" t="inlineStr">
        <is>
          <t>2.4c</t>
        </is>
      </c>
      <c r="D720" s="16" t="inlineStr">
        <is>
          <t>ε_HRVG = 0.40 (fuente del profesor)</t>
        </is>
      </c>
      <c r="E720" s="16" t="inlineStr">
        <is>
          <t>KF-M02S</t>
        </is>
      </c>
      <c r="F720" s="16" t="inlineStr">
        <is>
          <t>KF-M02S-B3</t>
        </is>
      </c>
      <c r="G720" s="16" t="inlineStr">
        <is>
          <t>B05-B3</t>
        </is>
      </c>
      <c r="H720" s="16" t="inlineStr">
        <is>
          <t>malla</t>
        </is>
      </c>
      <c r="I720" s="16" t="inlineStr">
        <is>
          <t>KALINA</t>
        </is>
      </c>
      <c r="J720" s="16" t="inlineStr">
        <is>
          <t>KALINA</t>
        </is>
      </c>
      <c r="K720" s="16" t="b">
        <v>1</v>
      </c>
      <c r="L720" s="16" t="b">
        <v>0</v>
      </c>
      <c r="M720" s="16" t="b">
        <v>1</v>
      </c>
      <c r="N720" s="16" t="b">
        <v>0</v>
      </c>
      <c r="O720" s="16" t="n">
        <v>623.15</v>
      </c>
      <c r="P720" s="16" t="n">
        <v>293.15</v>
      </c>
      <c r="Q720" s="16" t="n">
        <v>3000</v>
      </c>
      <c r="R720" s="16" t="n">
        <v>1350</v>
      </c>
      <c r="S720" s="16" t="n">
        <v>0.5</v>
      </c>
      <c r="T720" s="16" t="n">
        <v>0.85</v>
      </c>
      <c r="U720" s="16" t="n">
        <v>0.75</v>
      </c>
      <c r="V720" s="16" t="n">
        <v>0.4</v>
      </c>
      <c r="W720" s="16" t="n">
        <v>0.75</v>
      </c>
      <c r="X720" s="16" t="n">
        <v>0.8</v>
      </c>
      <c r="Y720" s="16" t="n">
        <v>293.15</v>
      </c>
      <c r="Z720" s="16" t="n">
        <v>5.97474657425476</v>
      </c>
      <c r="AA720" s="16" t="n">
        <v>56.43211794360493</v>
      </c>
      <c r="AB720" s="16" t="n">
        <v>1650</v>
      </c>
      <c r="AC720" s="16" t="n">
        <v>2.222222222222222</v>
      </c>
      <c r="AD720" s="16" t="n"/>
      <c r="AE720" s="16" t="n"/>
    </row>
    <row r="721">
      <c r="A721" s="16" t="inlineStr">
        <is>
          <t>KF-M02S-B3-0040</t>
        </is>
      </c>
      <c r="B721" s="16" t="inlineStr">
        <is>
          <t>2.4</t>
        </is>
      </c>
      <c r="C721" s="16" t="inlineStr">
        <is>
          <t>2.4c</t>
        </is>
      </c>
      <c r="D721" s="16" t="inlineStr">
        <is>
          <t>ε_HRVG = 0.40 (fuente del profesor)</t>
        </is>
      </c>
      <c r="E721" s="16" t="inlineStr">
        <is>
          <t>KF-M02S</t>
        </is>
      </c>
      <c r="F721" s="16" t="inlineStr">
        <is>
          <t>KF-M02S-B3</t>
        </is>
      </c>
      <c r="G721" s="16" t="inlineStr">
        <is>
          <t>B05-B3</t>
        </is>
      </c>
      <c r="H721" s="16" t="inlineStr">
        <is>
          <t>malla</t>
        </is>
      </c>
      <c r="I721" s="16" t="inlineStr">
        <is>
          <t>KALINA</t>
        </is>
      </c>
      <c r="J721" s="16" t="inlineStr">
        <is>
          <t>KALINA</t>
        </is>
      </c>
      <c r="K721" s="16" t="b">
        <v>1</v>
      </c>
      <c r="L721" s="16" t="b">
        <v>0</v>
      </c>
      <c r="M721" s="16" t="b">
        <v>1</v>
      </c>
      <c r="N721" s="16" t="b">
        <v>0</v>
      </c>
      <c r="O721" s="16" t="n">
        <v>623.15</v>
      </c>
      <c r="P721" s="16" t="n">
        <v>293.15</v>
      </c>
      <c r="Q721" s="16" t="n">
        <v>3000</v>
      </c>
      <c r="R721" s="16" t="n">
        <v>1500</v>
      </c>
      <c r="S721" s="16" t="n">
        <v>0.5</v>
      </c>
      <c r="T721" s="16" t="n">
        <v>0.85</v>
      </c>
      <c r="U721" s="16" t="n">
        <v>0.75</v>
      </c>
      <c r="V721" s="16" t="n">
        <v>0.4</v>
      </c>
      <c r="W721" s="16" t="n">
        <v>0.75</v>
      </c>
      <c r="X721" s="16" t="n">
        <v>0.8</v>
      </c>
      <c r="Y721" s="16" t="n">
        <v>293.15</v>
      </c>
      <c r="Z721" s="16" t="n">
        <v>5.20835188335498</v>
      </c>
      <c r="AA721" s="16" t="n">
        <v>49.17346890841297</v>
      </c>
      <c r="AB721" s="16" t="n">
        <v>1500</v>
      </c>
      <c r="AC721" s="16" t="n">
        <v>2</v>
      </c>
      <c r="AD721" s="16" t="n"/>
      <c r="AE721" s="16" t="n"/>
    </row>
    <row r="722">
      <c r="A722" s="16" t="inlineStr">
        <is>
          <t>KF-M02S-B3-0041</t>
        </is>
      </c>
      <c r="B722" s="16" t="inlineStr">
        <is>
          <t>2.4</t>
        </is>
      </c>
      <c r="C722" s="16" t="inlineStr">
        <is>
          <t>2.4c</t>
        </is>
      </c>
      <c r="D722" s="16" t="inlineStr">
        <is>
          <t>ε_HRVG = 0.40 (fuente del profesor)</t>
        </is>
      </c>
      <c r="E722" s="16" t="inlineStr">
        <is>
          <t>KF-M02S</t>
        </is>
      </c>
      <c r="F722" s="16" t="inlineStr">
        <is>
          <t>KF-M02S-B3</t>
        </is>
      </c>
      <c r="G722" s="16" t="inlineStr">
        <is>
          <t>B05-B3</t>
        </is>
      </c>
      <c r="H722" s="16" t="inlineStr">
        <is>
          <t>malla</t>
        </is>
      </c>
      <c r="I722" s="16" t="inlineStr">
        <is>
          <t>CORREGIBLE</t>
        </is>
      </c>
      <c r="J722" s="16" t="inlineStr">
        <is>
          <t>CORREGIBLE</t>
        </is>
      </c>
      <c r="K722" s="16" t="b">
        <v>1</v>
      </c>
      <c r="L722" s="16" t="b">
        <v>0</v>
      </c>
      <c r="M722" s="16" t="b">
        <v>1</v>
      </c>
      <c r="N722" s="16" t="b">
        <v>0</v>
      </c>
      <c r="O722" s="16" t="n">
        <v>623.15</v>
      </c>
      <c r="P722" s="16" t="n">
        <v>300.032917</v>
      </c>
      <c r="Q722" s="16" t="n">
        <v>3000</v>
      </c>
      <c r="R722" s="16" t="n">
        <v>300</v>
      </c>
      <c r="S722" s="16" t="n">
        <v>0.5</v>
      </c>
      <c r="T722" s="16" t="n">
        <v>0.85</v>
      </c>
      <c r="U722" s="16" t="n">
        <v>0.75</v>
      </c>
      <c r="V722" s="16" t="n">
        <v>0.4</v>
      </c>
      <c r="W722" s="16" t="n">
        <v>0.75</v>
      </c>
      <c r="X722" s="16" t="n">
        <v>0.8</v>
      </c>
      <c r="Y722" s="16" t="n">
        <v>300.032917</v>
      </c>
      <c r="Z722" s="16" t="n">
        <v>13.96874186499611</v>
      </c>
      <c r="AA722" s="16" t="n">
        <v>127.949390389116</v>
      </c>
      <c r="AB722" s="16" t="n">
        <v>2700</v>
      </c>
      <c r="AC722" s="16" t="n">
        <v>10</v>
      </c>
      <c r="AD722" s="16" t="inlineStr">
        <is>
          <t>O1,O2</t>
        </is>
      </c>
      <c r="AE722" s="16" t="n"/>
    </row>
    <row r="723">
      <c r="A723" s="16" t="inlineStr">
        <is>
          <t>KF-M02S-B3-0042</t>
        </is>
      </c>
      <c r="B723" s="16" t="inlineStr">
        <is>
          <t>2.4</t>
        </is>
      </c>
      <c r="C723" s="16" t="inlineStr">
        <is>
          <t>2.4c</t>
        </is>
      </c>
      <c r="D723" s="16" t="inlineStr">
        <is>
          <t>ε_HRVG = 0.40 (fuente del profesor)</t>
        </is>
      </c>
      <c r="E723" s="16" t="inlineStr">
        <is>
          <t>KF-M02S</t>
        </is>
      </c>
      <c r="F723" s="16" t="inlineStr">
        <is>
          <t>KF-M02S-B3</t>
        </is>
      </c>
      <c r="G723" s="16" t="inlineStr">
        <is>
          <t>B05-B3</t>
        </is>
      </c>
      <c r="H723" s="16" t="inlineStr">
        <is>
          <t>malla</t>
        </is>
      </c>
      <c r="I723" s="16" t="inlineStr">
        <is>
          <t>CORREGIBLE</t>
        </is>
      </c>
      <c r="J723" s="16" t="inlineStr">
        <is>
          <t>CORREGIBLE</t>
        </is>
      </c>
      <c r="K723" s="16" t="b">
        <v>1</v>
      </c>
      <c r="L723" s="16" t="b">
        <v>0</v>
      </c>
      <c r="M723" s="16" t="b">
        <v>1</v>
      </c>
      <c r="N723" s="16" t="b">
        <v>0</v>
      </c>
      <c r="O723" s="16" t="n">
        <v>623.15</v>
      </c>
      <c r="P723" s="16" t="n">
        <v>300.032917</v>
      </c>
      <c r="Q723" s="16" t="n">
        <v>3000</v>
      </c>
      <c r="R723" s="16" t="n">
        <v>450</v>
      </c>
      <c r="S723" s="16" t="n">
        <v>0.5</v>
      </c>
      <c r="T723" s="16" t="n">
        <v>0.85</v>
      </c>
      <c r="U723" s="16" t="n">
        <v>0.75</v>
      </c>
      <c r="V723" s="16" t="n">
        <v>0.4</v>
      </c>
      <c r="W723" s="16" t="n">
        <v>0.75</v>
      </c>
      <c r="X723" s="16" t="n">
        <v>0.8</v>
      </c>
      <c r="Y723" s="16" t="n">
        <v>300.032917</v>
      </c>
      <c r="Z723" s="16" t="n">
        <v>12.75982514104871</v>
      </c>
      <c r="AA723" s="16" t="n">
        <v>119.7259012752679</v>
      </c>
      <c r="AB723" s="16" t="n">
        <v>2550</v>
      </c>
      <c r="AC723" s="16" t="n">
        <v>6.666666666666667</v>
      </c>
      <c r="AD723" s="16" t="inlineStr">
        <is>
          <t>O2</t>
        </is>
      </c>
      <c r="AE723" s="16" t="n"/>
    </row>
    <row r="724">
      <c r="A724" s="16" t="inlineStr">
        <is>
          <t>KF-M02S-B3-0043</t>
        </is>
      </c>
      <c r="B724" s="16" t="inlineStr">
        <is>
          <t>2.4</t>
        </is>
      </c>
      <c r="C724" s="16" t="inlineStr">
        <is>
          <t>2.4c</t>
        </is>
      </c>
      <c r="D724" s="16" t="inlineStr">
        <is>
          <t>ε_HRVG = 0.40 (fuente del profesor)</t>
        </is>
      </c>
      <c r="E724" s="16" t="inlineStr">
        <is>
          <t>KF-M02S</t>
        </is>
      </c>
      <c r="F724" s="16" t="inlineStr">
        <is>
          <t>KF-M02S-B3</t>
        </is>
      </c>
      <c r="G724" s="16" t="inlineStr">
        <is>
          <t>B05-B3</t>
        </is>
      </c>
      <c r="H724" s="16" t="inlineStr">
        <is>
          <t>malla</t>
        </is>
      </c>
      <c r="I724" s="16" t="inlineStr">
        <is>
          <t>CORREGIBLE</t>
        </is>
      </c>
      <c r="J724" s="16" t="inlineStr">
        <is>
          <t>CORREGIBLE</t>
        </is>
      </c>
      <c r="K724" s="16" t="b">
        <v>1</v>
      </c>
      <c r="L724" s="16" t="b">
        <v>0</v>
      </c>
      <c r="M724" s="16" t="b">
        <v>1</v>
      </c>
      <c r="N724" s="16" t="b">
        <v>0</v>
      </c>
      <c r="O724" s="16" t="n">
        <v>623.15</v>
      </c>
      <c r="P724" s="16" t="n">
        <v>300.032917</v>
      </c>
      <c r="Q724" s="16" t="n">
        <v>3000</v>
      </c>
      <c r="R724" s="16" t="n">
        <v>600</v>
      </c>
      <c r="S724" s="16" t="n">
        <v>0.5</v>
      </c>
      <c r="T724" s="16" t="n">
        <v>0.85</v>
      </c>
      <c r="U724" s="16" t="n">
        <v>0.75</v>
      </c>
      <c r="V724" s="16" t="n">
        <v>0.4</v>
      </c>
      <c r="W724" s="16" t="n">
        <v>0.75</v>
      </c>
      <c r="X724" s="16" t="n">
        <v>0.8</v>
      </c>
      <c r="Y724" s="16" t="n">
        <v>300.032917</v>
      </c>
      <c r="Z724" s="16" t="n">
        <v>11.28078200816002</v>
      </c>
      <c r="AA724" s="16" t="n">
        <v>105.8817161928283</v>
      </c>
      <c r="AB724" s="16" t="n">
        <v>2400</v>
      </c>
      <c r="AC724" s="16" t="n">
        <v>5</v>
      </c>
      <c r="AD724" s="16" t="inlineStr">
        <is>
          <t>O2</t>
        </is>
      </c>
      <c r="AE724" s="16" t="n"/>
    </row>
    <row r="725">
      <c r="A725" s="16" t="inlineStr">
        <is>
          <t>KF-M02S-B3-0044</t>
        </is>
      </c>
      <c r="B725" s="16" t="inlineStr">
        <is>
          <t>2.4</t>
        </is>
      </c>
      <c r="C725" s="16" t="inlineStr">
        <is>
          <t>2.4c</t>
        </is>
      </c>
      <c r="D725" s="16" t="inlineStr">
        <is>
          <t>ε_HRVG = 0.40 (fuente del profesor)</t>
        </is>
      </c>
      <c r="E725" s="16" t="inlineStr">
        <is>
          <t>KF-M02S</t>
        </is>
      </c>
      <c r="F725" s="16" t="inlineStr">
        <is>
          <t>KF-M02S-B3</t>
        </is>
      </c>
      <c r="G725" s="16" t="inlineStr">
        <is>
          <t>B05-B3</t>
        </is>
      </c>
      <c r="H725" s="16" t="inlineStr">
        <is>
          <t>malla</t>
        </is>
      </c>
      <c r="I725" s="16" t="inlineStr">
        <is>
          <t>CORREGIBLE</t>
        </is>
      </c>
      <c r="J725" s="16" t="inlineStr">
        <is>
          <t>CORREGIBLE</t>
        </is>
      </c>
      <c r="K725" s="16" t="b">
        <v>1</v>
      </c>
      <c r="L725" s="16" t="b">
        <v>0</v>
      </c>
      <c r="M725" s="16" t="b">
        <v>1</v>
      </c>
      <c r="N725" s="16" t="b">
        <v>0</v>
      </c>
      <c r="O725" s="16" t="n">
        <v>623.15</v>
      </c>
      <c r="P725" s="16" t="n">
        <v>300.032917</v>
      </c>
      <c r="Q725" s="16" t="n">
        <v>3000</v>
      </c>
      <c r="R725" s="16" t="n">
        <v>750</v>
      </c>
      <c r="S725" s="16" t="n">
        <v>0.5</v>
      </c>
      <c r="T725" s="16" t="n">
        <v>0.85</v>
      </c>
      <c r="U725" s="16" t="n">
        <v>0.75</v>
      </c>
      <c r="V725" s="16" t="n">
        <v>0.4</v>
      </c>
      <c r="W725" s="16" t="n">
        <v>0.75</v>
      </c>
      <c r="X725" s="16" t="n">
        <v>0.8</v>
      </c>
      <c r="Y725" s="16" t="n">
        <v>300.032917</v>
      </c>
      <c r="Z725" s="16" t="n">
        <v>10.01187318231557</v>
      </c>
      <c r="AA725" s="16" t="n">
        <v>93.96867616091116</v>
      </c>
      <c r="AB725" s="16" t="n">
        <v>2250</v>
      </c>
      <c r="AC725" s="16" t="n">
        <v>4</v>
      </c>
      <c r="AD725" s="16" t="inlineStr">
        <is>
          <t>O2</t>
        </is>
      </c>
      <c r="AE725" s="16" t="n"/>
    </row>
    <row r="726">
      <c r="A726" s="16" t="inlineStr">
        <is>
          <t>KF-M02S-B3-0045</t>
        </is>
      </c>
      <c r="B726" s="16" t="inlineStr">
        <is>
          <t>2.4</t>
        </is>
      </c>
      <c r="C726" s="16" t="inlineStr">
        <is>
          <t>2.4c</t>
        </is>
      </c>
      <c r="D726" s="16" t="inlineStr">
        <is>
          <t>ε_HRVG = 0.40 (fuente del profesor)</t>
        </is>
      </c>
      <c r="E726" s="16" t="inlineStr">
        <is>
          <t>KF-M02S</t>
        </is>
      </c>
      <c r="F726" s="16" t="inlineStr">
        <is>
          <t>KF-M02S-B3</t>
        </is>
      </c>
      <c r="G726" s="16" t="inlineStr">
        <is>
          <t>B05-B3</t>
        </is>
      </c>
      <c r="H726" s="16" t="inlineStr">
        <is>
          <t>malla</t>
        </is>
      </c>
      <c r="I726" s="16" t="inlineStr">
        <is>
          <t>CORREGIBLE</t>
        </is>
      </c>
      <c r="J726" s="16" t="inlineStr">
        <is>
          <t>CORREGIBLE</t>
        </is>
      </c>
      <c r="K726" s="16" t="b">
        <v>1</v>
      </c>
      <c r="L726" s="16" t="b">
        <v>0</v>
      </c>
      <c r="M726" s="16" t="b">
        <v>1</v>
      </c>
      <c r="N726" s="16" t="b">
        <v>0</v>
      </c>
      <c r="O726" s="16" t="n">
        <v>623.15</v>
      </c>
      <c r="P726" s="16" t="n">
        <v>300.032917</v>
      </c>
      <c r="Q726" s="16" t="n">
        <v>3000</v>
      </c>
      <c r="R726" s="16" t="n">
        <v>900</v>
      </c>
      <c r="S726" s="16" t="n">
        <v>0.5</v>
      </c>
      <c r="T726" s="16" t="n">
        <v>0.85</v>
      </c>
      <c r="U726" s="16" t="n">
        <v>0.75</v>
      </c>
      <c r="V726" s="16" t="n">
        <v>0.4</v>
      </c>
      <c r="W726" s="16" t="n">
        <v>0.75</v>
      </c>
      <c r="X726" s="16" t="n">
        <v>0.8</v>
      </c>
      <c r="Y726" s="16" t="n">
        <v>300.032917</v>
      </c>
      <c r="Z726" s="16" t="n">
        <v>8.8899683808202</v>
      </c>
      <c r="AA726" s="16" t="n">
        <v>83.42036075819711</v>
      </c>
      <c r="AB726" s="16" t="n">
        <v>2100</v>
      </c>
      <c r="AC726" s="16" t="n">
        <v>3.333333333333333</v>
      </c>
      <c r="AD726" s="16" t="inlineStr">
        <is>
          <t>O2</t>
        </is>
      </c>
      <c r="AE726" s="16" t="n"/>
    </row>
    <row r="727">
      <c r="A727" s="16" t="inlineStr">
        <is>
          <t>KF-M02S-B3-0046</t>
        </is>
      </c>
      <c r="B727" s="16" t="inlineStr">
        <is>
          <t>2.4</t>
        </is>
      </c>
      <c r="C727" s="16" t="inlineStr">
        <is>
          <t>2.4c</t>
        </is>
      </c>
      <c r="D727" s="16" t="inlineStr">
        <is>
          <t>ε_HRVG = 0.40 (fuente del profesor)</t>
        </is>
      </c>
      <c r="E727" s="16" t="inlineStr">
        <is>
          <t>KF-M02S</t>
        </is>
      </c>
      <c r="F727" s="16" t="inlineStr">
        <is>
          <t>KF-M02S-B3</t>
        </is>
      </c>
      <c r="G727" s="16" t="inlineStr">
        <is>
          <t>B05-B3</t>
        </is>
      </c>
      <c r="H727" s="16" t="inlineStr">
        <is>
          <t>malla</t>
        </is>
      </c>
      <c r="I727" s="16" t="inlineStr">
        <is>
          <t>CORREGIBLE</t>
        </is>
      </c>
      <c r="J727" s="16" t="inlineStr">
        <is>
          <t>CORREGIBLE</t>
        </is>
      </c>
      <c r="K727" s="16" t="b">
        <v>1</v>
      </c>
      <c r="L727" s="16" t="b">
        <v>0</v>
      </c>
      <c r="M727" s="16" t="b">
        <v>1</v>
      </c>
      <c r="N727" s="16" t="b">
        <v>0</v>
      </c>
      <c r="O727" s="16" t="n">
        <v>623.15</v>
      </c>
      <c r="P727" s="16" t="n">
        <v>300.032917</v>
      </c>
      <c r="Q727" s="16" t="n">
        <v>3000</v>
      </c>
      <c r="R727" s="16" t="n">
        <v>1050</v>
      </c>
      <c r="S727" s="16" t="n">
        <v>0.5</v>
      </c>
      <c r="T727" s="16" t="n">
        <v>0.85</v>
      </c>
      <c r="U727" s="16" t="n">
        <v>0.75</v>
      </c>
      <c r="V727" s="16" t="n">
        <v>0.4</v>
      </c>
      <c r="W727" s="16" t="n">
        <v>0.75</v>
      </c>
      <c r="X727" s="16" t="n">
        <v>0.8</v>
      </c>
      <c r="Y727" s="16" t="n">
        <v>300.032917</v>
      </c>
      <c r="Z727" s="16" t="n">
        <v>7.8777772209997</v>
      </c>
      <c r="AA727" s="16" t="n">
        <v>73.89780225569271</v>
      </c>
      <c r="AB727" s="16" t="n">
        <v>1950</v>
      </c>
      <c r="AC727" s="16" t="n">
        <v>2.857142857142857</v>
      </c>
      <c r="AD727" s="16" t="inlineStr">
        <is>
          <t>O2</t>
        </is>
      </c>
      <c r="AE727" s="16" t="n"/>
    </row>
    <row r="728">
      <c r="A728" s="16" t="inlineStr">
        <is>
          <t>KF-M02S-B3-0047</t>
        </is>
      </c>
      <c r="B728" s="16" t="inlineStr">
        <is>
          <t>2.4</t>
        </is>
      </c>
      <c r="C728" s="16" t="inlineStr">
        <is>
          <t>2.4c</t>
        </is>
      </c>
      <c r="D728" s="16" t="inlineStr">
        <is>
          <t>ε_HRVG = 0.40 (fuente del profesor)</t>
        </is>
      </c>
      <c r="E728" s="16" t="inlineStr">
        <is>
          <t>KF-M02S</t>
        </is>
      </c>
      <c r="F728" s="16" t="inlineStr">
        <is>
          <t>KF-M02S-B3</t>
        </is>
      </c>
      <c r="G728" s="16" t="inlineStr">
        <is>
          <t>B05-B3</t>
        </is>
      </c>
      <c r="H728" s="16" t="inlineStr">
        <is>
          <t>malla</t>
        </is>
      </c>
      <c r="I728" s="16" t="inlineStr">
        <is>
          <t>CORREGIBLE</t>
        </is>
      </c>
      <c r="J728" s="16" t="inlineStr">
        <is>
          <t>CORREGIBLE</t>
        </is>
      </c>
      <c r="K728" s="16" t="b">
        <v>1</v>
      </c>
      <c r="L728" s="16" t="b">
        <v>0</v>
      </c>
      <c r="M728" s="16" t="b">
        <v>1</v>
      </c>
      <c r="N728" s="16" t="b">
        <v>0</v>
      </c>
      <c r="O728" s="16" t="n">
        <v>623.15</v>
      </c>
      <c r="P728" s="16" t="n">
        <v>300.032917</v>
      </c>
      <c r="Q728" s="16" t="n">
        <v>3000</v>
      </c>
      <c r="R728" s="16" t="n">
        <v>1200</v>
      </c>
      <c r="S728" s="16" t="n">
        <v>0.5</v>
      </c>
      <c r="T728" s="16" t="n">
        <v>0.85</v>
      </c>
      <c r="U728" s="16" t="n">
        <v>0.75</v>
      </c>
      <c r="V728" s="16" t="n">
        <v>0.4</v>
      </c>
      <c r="W728" s="16" t="n">
        <v>0.75</v>
      </c>
      <c r="X728" s="16" t="n">
        <v>0.8</v>
      </c>
      <c r="Y728" s="16" t="n">
        <v>300.032917</v>
      </c>
      <c r="Z728" s="16" t="n">
        <v>6.951213083978231</v>
      </c>
      <c r="AA728" s="16" t="n">
        <v>65.180017384366</v>
      </c>
      <c r="AB728" s="16" t="n">
        <v>1800</v>
      </c>
      <c r="AC728" s="16" t="n">
        <v>2.5</v>
      </c>
      <c r="AD728" s="16" t="inlineStr">
        <is>
          <t>O2</t>
        </is>
      </c>
      <c r="AE728" s="16" t="n"/>
    </row>
    <row r="729">
      <c r="A729" s="16" t="inlineStr">
        <is>
          <t>KF-M02S-B3-0048</t>
        </is>
      </c>
      <c r="B729" s="16" t="inlineStr">
        <is>
          <t>2.4</t>
        </is>
      </c>
      <c r="C729" s="16" t="inlineStr">
        <is>
          <t>2.4c</t>
        </is>
      </c>
      <c r="D729" s="16" t="inlineStr">
        <is>
          <t>ε_HRVG = 0.40 (fuente del profesor)</t>
        </is>
      </c>
      <c r="E729" s="16" t="inlineStr">
        <is>
          <t>KF-M02S</t>
        </is>
      </c>
      <c r="F729" s="16" t="inlineStr">
        <is>
          <t>KF-M02S-B3</t>
        </is>
      </c>
      <c r="G729" s="16" t="inlineStr">
        <is>
          <t>B05-B3</t>
        </is>
      </c>
      <c r="H729" s="16" t="inlineStr">
        <is>
          <t>malla</t>
        </is>
      </c>
      <c r="I729" s="16" t="inlineStr">
        <is>
          <t>KALINA</t>
        </is>
      </c>
      <c r="J729" s="16" t="inlineStr">
        <is>
          <t>KALINA</t>
        </is>
      </c>
      <c r="K729" s="16" t="b">
        <v>1</v>
      </c>
      <c r="L729" s="16" t="b">
        <v>0</v>
      </c>
      <c r="M729" s="16" t="b">
        <v>1</v>
      </c>
      <c r="N729" s="16" t="b">
        <v>0</v>
      </c>
      <c r="O729" s="16" t="n">
        <v>623.15</v>
      </c>
      <c r="P729" s="16" t="n">
        <v>300.032917</v>
      </c>
      <c r="Q729" s="16" t="n">
        <v>3000</v>
      </c>
      <c r="R729" s="16" t="n">
        <v>1350</v>
      </c>
      <c r="S729" s="16" t="n">
        <v>0.5</v>
      </c>
      <c r="T729" s="16" t="n">
        <v>0.85</v>
      </c>
      <c r="U729" s="16" t="n">
        <v>0.75</v>
      </c>
      <c r="V729" s="16" t="n">
        <v>0.4</v>
      </c>
      <c r="W729" s="16" t="n">
        <v>0.75</v>
      </c>
      <c r="X729" s="16" t="n">
        <v>0.8</v>
      </c>
      <c r="Y729" s="16" t="n">
        <v>300.032917</v>
      </c>
      <c r="Z729" s="16" t="n">
        <v>6.09465489612694</v>
      </c>
      <c r="AA729" s="16" t="n">
        <v>57.12300031034861</v>
      </c>
      <c r="AB729" s="16" t="n">
        <v>1650</v>
      </c>
      <c r="AC729" s="16" t="n">
        <v>2.222222222222222</v>
      </c>
      <c r="AD729" s="16" t="n"/>
      <c r="AE729" s="16" t="n"/>
    </row>
    <row r="730">
      <c r="A730" s="16" t="inlineStr">
        <is>
          <t>KF-M02S-B4-0000</t>
        </is>
      </c>
      <c r="B730" s="16" t="inlineStr">
        <is>
          <t>2.4</t>
        </is>
      </c>
      <c r="C730" s="16" t="inlineStr">
        <is>
          <t>2.4d</t>
        </is>
      </c>
      <c r="D730" s="16" t="inlineStr">
        <is>
          <t>datos exactos del profesor</t>
        </is>
      </c>
      <c r="E730" s="16" t="inlineStr">
        <is>
          <t>KF-M02S</t>
        </is>
      </c>
      <c r="F730" s="16" t="inlineStr">
        <is>
          <t>KF-M02S-B4</t>
        </is>
      </c>
      <c r="G730" s="16" t="inlineStr">
        <is>
          <t>B05-B4</t>
        </is>
      </c>
      <c r="H730" s="16" t="inlineStr">
        <is>
          <t>malla</t>
        </is>
      </c>
      <c r="I730" s="16" t="inlineStr">
        <is>
          <t>NO_CONVERGIO</t>
        </is>
      </c>
      <c r="J730" s="16" t="inlineStr">
        <is>
          <t>NO_CONVERGIO</t>
        </is>
      </c>
      <c r="K730" s="16" t="b">
        <v>0</v>
      </c>
      <c r="L730" s="16" t="b">
        <v>0</v>
      </c>
      <c r="M730" s="16" t="b">
        <v>0</v>
      </c>
      <c r="N730" s="16" t="b">
        <v>0</v>
      </c>
      <c r="O730" s="16" t="n">
        <v>623.15</v>
      </c>
      <c r="P730" s="16" t="n">
        <v>278.15</v>
      </c>
      <c r="Q730" s="16" t="n">
        <v>3000</v>
      </c>
      <c r="R730" s="16" t="n">
        <v>150</v>
      </c>
      <c r="S730" s="16" t="n">
        <v>0.5</v>
      </c>
      <c r="T730" s="16" t="n">
        <v>0.85</v>
      </c>
      <c r="U730" s="16" t="n">
        <v>0.75</v>
      </c>
      <c r="V730" s="16" t="n">
        <v>0.85</v>
      </c>
      <c r="W730" s="16" t="n">
        <v>0.75</v>
      </c>
      <c r="X730" s="16" t="n">
        <v>0.8</v>
      </c>
      <c r="Y730" s="16" t="n">
        <v>278.15</v>
      </c>
      <c r="Z730" s="16" t="n"/>
      <c r="AA730" s="16" t="n"/>
      <c r="AB730" s="16" t="n">
        <v>2850</v>
      </c>
      <c r="AC730" s="16" t="n">
        <v>20</v>
      </c>
      <c r="AD730" s="16" t="n"/>
      <c r="AE730" s="16" t="n"/>
    </row>
    <row r="731">
      <c r="A731" s="16" t="inlineStr">
        <is>
          <t>KF-M02S-B4-0001</t>
        </is>
      </c>
      <c r="B731" s="16" t="inlineStr">
        <is>
          <t>2.4</t>
        </is>
      </c>
      <c r="C731" s="16" t="inlineStr">
        <is>
          <t>2.4d</t>
        </is>
      </c>
      <c r="D731" s="16" t="inlineStr">
        <is>
          <t>datos exactos del profesor</t>
        </is>
      </c>
      <c r="E731" s="16" t="inlineStr">
        <is>
          <t>KF-M02S</t>
        </is>
      </c>
      <c r="F731" s="16" t="inlineStr">
        <is>
          <t>KF-M02S-B4</t>
        </is>
      </c>
      <c r="G731" s="16" t="inlineStr">
        <is>
          <t>B05-B4</t>
        </is>
      </c>
      <c r="H731" s="16" t="inlineStr">
        <is>
          <t>malla</t>
        </is>
      </c>
      <c r="I731" s="16" t="inlineStr">
        <is>
          <t>NO_CONVERGIO</t>
        </is>
      </c>
      <c r="J731" s="16" t="inlineStr">
        <is>
          <t>NO_CONVERGIO</t>
        </is>
      </c>
      <c r="K731" s="16" t="b">
        <v>0</v>
      </c>
      <c r="L731" s="16" t="b">
        <v>0</v>
      </c>
      <c r="M731" s="16" t="b">
        <v>0</v>
      </c>
      <c r="N731" s="16" t="b">
        <v>0</v>
      </c>
      <c r="O731" s="16" t="n">
        <v>623.15</v>
      </c>
      <c r="P731" s="16" t="n">
        <v>278.15</v>
      </c>
      <c r="Q731" s="16" t="n">
        <v>3000</v>
      </c>
      <c r="R731" s="16" t="n">
        <v>300</v>
      </c>
      <c r="S731" s="16" t="n">
        <v>0.5</v>
      </c>
      <c r="T731" s="16" t="n">
        <v>0.85</v>
      </c>
      <c r="U731" s="16" t="n">
        <v>0.75</v>
      </c>
      <c r="V731" s="16" t="n">
        <v>0.85</v>
      </c>
      <c r="W731" s="16" t="n">
        <v>0.75</v>
      </c>
      <c r="X731" s="16" t="n">
        <v>0.8</v>
      </c>
      <c r="Y731" s="16" t="n">
        <v>278.15</v>
      </c>
      <c r="Z731" s="16" t="n"/>
      <c r="AA731" s="16" t="n"/>
      <c r="AB731" s="16" t="n">
        <v>2700</v>
      </c>
      <c r="AC731" s="16" t="n">
        <v>10</v>
      </c>
      <c r="AD731" s="16" t="n"/>
      <c r="AE731" s="16" t="n"/>
    </row>
    <row r="732">
      <c r="A732" s="16" t="inlineStr">
        <is>
          <t>KF-M02S-B3-0049</t>
        </is>
      </c>
      <c r="B732" s="16" t="inlineStr">
        <is>
          <t>2.4</t>
        </is>
      </c>
      <c r="C732" s="16" t="inlineStr">
        <is>
          <t>2.4c</t>
        </is>
      </c>
      <c r="D732" s="16" t="inlineStr">
        <is>
          <t>ε_HRVG = 0.40 (fuente del profesor)</t>
        </is>
      </c>
      <c r="E732" s="16" t="inlineStr">
        <is>
          <t>KF-M02S</t>
        </is>
      </c>
      <c r="F732" s="16" t="inlineStr">
        <is>
          <t>KF-M02S-B3</t>
        </is>
      </c>
      <c r="G732" s="16" t="inlineStr">
        <is>
          <t>B05-B3</t>
        </is>
      </c>
      <c r="H732" s="16" t="inlineStr">
        <is>
          <t>malla</t>
        </is>
      </c>
      <c r="I732" s="16" t="inlineStr">
        <is>
          <t>KALINA</t>
        </is>
      </c>
      <c r="J732" s="16" t="inlineStr">
        <is>
          <t>KALINA</t>
        </is>
      </c>
      <c r="K732" s="16" t="b">
        <v>1</v>
      </c>
      <c r="L732" s="16" t="b">
        <v>0</v>
      </c>
      <c r="M732" s="16" t="b">
        <v>1</v>
      </c>
      <c r="N732" s="16" t="b">
        <v>0</v>
      </c>
      <c r="O732" s="16" t="n">
        <v>623.15</v>
      </c>
      <c r="P732" s="16" t="n">
        <v>300.032917</v>
      </c>
      <c r="Q732" s="16" t="n">
        <v>3000</v>
      </c>
      <c r="R732" s="16" t="n">
        <v>1500</v>
      </c>
      <c r="S732" s="16" t="n">
        <v>0.5</v>
      </c>
      <c r="T732" s="16" t="n">
        <v>0.85</v>
      </c>
      <c r="U732" s="16" t="n">
        <v>0.75</v>
      </c>
      <c r="V732" s="16" t="n">
        <v>0.4</v>
      </c>
      <c r="W732" s="16" t="n">
        <v>0.75</v>
      </c>
      <c r="X732" s="16" t="n">
        <v>0.8</v>
      </c>
      <c r="Y732" s="16" t="n">
        <v>300.032917</v>
      </c>
      <c r="Z732" s="16" t="n">
        <v>5.313013436435679</v>
      </c>
      <c r="AA732" s="16" t="n">
        <v>49.77614931777247</v>
      </c>
      <c r="AB732" s="16" t="n">
        <v>1500</v>
      </c>
      <c r="AC732" s="16" t="n">
        <v>2</v>
      </c>
      <c r="AD732" s="16" t="n"/>
      <c r="AE732" s="16" t="n"/>
    </row>
    <row r="733">
      <c r="A733" s="16" t="inlineStr">
        <is>
          <t>KF-M02S-B4-0002</t>
        </is>
      </c>
      <c r="B733" s="16" t="inlineStr">
        <is>
          <t>2.4</t>
        </is>
      </c>
      <c r="C733" s="16" t="inlineStr">
        <is>
          <t>2.4d</t>
        </is>
      </c>
      <c r="D733" s="16" t="inlineStr">
        <is>
          <t>datos exactos del profesor</t>
        </is>
      </c>
      <c r="E733" s="16" t="inlineStr">
        <is>
          <t>KF-M02S</t>
        </is>
      </c>
      <c r="F733" s="16" t="inlineStr">
        <is>
          <t>KF-M02S-B4</t>
        </is>
      </c>
      <c r="G733" s="16" t="inlineStr">
        <is>
          <t>B05-B4</t>
        </is>
      </c>
      <c r="H733" s="16" t="inlineStr">
        <is>
          <t>malla</t>
        </is>
      </c>
      <c r="I733" s="16" t="inlineStr">
        <is>
          <t>NO_CONVERGIO</t>
        </is>
      </c>
      <c r="J733" s="16" t="inlineStr">
        <is>
          <t>NO_CONVERGIO</t>
        </is>
      </c>
      <c r="K733" s="16" t="b">
        <v>0</v>
      </c>
      <c r="L733" s="16" t="b">
        <v>0</v>
      </c>
      <c r="M733" s="16" t="b">
        <v>0</v>
      </c>
      <c r="N733" s="16" t="b">
        <v>0</v>
      </c>
      <c r="O733" s="16" t="n">
        <v>623.15</v>
      </c>
      <c r="P733" s="16" t="n">
        <v>278.15</v>
      </c>
      <c r="Q733" s="16" t="n">
        <v>3000</v>
      </c>
      <c r="R733" s="16" t="n">
        <v>450</v>
      </c>
      <c r="S733" s="16" t="n">
        <v>0.5</v>
      </c>
      <c r="T733" s="16" t="n">
        <v>0.85</v>
      </c>
      <c r="U733" s="16" t="n">
        <v>0.75</v>
      </c>
      <c r="V733" s="16" t="n">
        <v>0.85</v>
      </c>
      <c r="W733" s="16" t="n">
        <v>0.75</v>
      </c>
      <c r="X733" s="16" t="n">
        <v>0.8</v>
      </c>
      <c r="Y733" s="16" t="n">
        <v>278.15</v>
      </c>
      <c r="Z733" s="16" t="n"/>
      <c r="AA733" s="16" t="n"/>
      <c r="AB733" s="16" t="n">
        <v>2550</v>
      </c>
      <c r="AC733" s="16" t="n">
        <v>6.666666666666667</v>
      </c>
      <c r="AD733" s="16" t="n"/>
      <c r="AE733" s="16" t="n"/>
    </row>
    <row r="734">
      <c r="A734" s="16" t="inlineStr">
        <is>
          <t>KF-M02S-B4-0003</t>
        </is>
      </c>
      <c r="B734" s="16" t="inlineStr">
        <is>
          <t>2.4</t>
        </is>
      </c>
      <c r="C734" s="16" t="inlineStr">
        <is>
          <t>2.4d</t>
        </is>
      </c>
      <c r="D734" s="16" t="inlineStr">
        <is>
          <t>datos exactos del profesor</t>
        </is>
      </c>
      <c r="E734" s="16" t="inlineStr">
        <is>
          <t>KF-M02S</t>
        </is>
      </c>
      <c r="F734" s="16" t="inlineStr">
        <is>
          <t>KF-M02S-B4</t>
        </is>
      </c>
      <c r="G734" s="16" t="inlineStr">
        <is>
          <t>B05-B4</t>
        </is>
      </c>
      <c r="H734" s="16" t="inlineStr">
        <is>
          <t>malla</t>
        </is>
      </c>
      <c r="I734" s="16" t="inlineStr">
        <is>
          <t>NO_CONVERGIO</t>
        </is>
      </c>
      <c r="J734" s="16" t="inlineStr">
        <is>
          <t>NO_CONVERGIO</t>
        </is>
      </c>
      <c r="K734" s="16" t="b">
        <v>0</v>
      </c>
      <c r="L734" s="16" t="b">
        <v>0</v>
      </c>
      <c r="M734" s="16" t="b">
        <v>0</v>
      </c>
      <c r="N734" s="16" t="b">
        <v>0</v>
      </c>
      <c r="O734" s="16" t="n">
        <v>623.15</v>
      </c>
      <c r="P734" s="16" t="n">
        <v>278.15</v>
      </c>
      <c r="Q734" s="16" t="n">
        <v>3000</v>
      </c>
      <c r="R734" s="16" t="n">
        <v>600</v>
      </c>
      <c r="S734" s="16" t="n">
        <v>0.5</v>
      </c>
      <c r="T734" s="16" t="n">
        <v>0.85</v>
      </c>
      <c r="U734" s="16" t="n">
        <v>0.75</v>
      </c>
      <c r="V734" s="16" t="n">
        <v>0.85</v>
      </c>
      <c r="W734" s="16" t="n">
        <v>0.75</v>
      </c>
      <c r="X734" s="16" t="n">
        <v>0.8</v>
      </c>
      <c r="Y734" s="16" t="n">
        <v>278.15</v>
      </c>
      <c r="Z734" s="16" t="n"/>
      <c r="AA734" s="16" t="n"/>
      <c r="AB734" s="16" t="n">
        <v>2400</v>
      </c>
      <c r="AC734" s="16" t="n">
        <v>5</v>
      </c>
      <c r="AD734" s="16" t="n"/>
      <c r="AE734" s="16" t="n"/>
    </row>
    <row r="735">
      <c r="A735" s="16" t="inlineStr">
        <is>
          <t>KF-M02S-B4-0004</t>
        </is>
      </c>
      <c r="B735" s="16" t="inlineStr">
        <is>
          <t>2.4</t>
        </is>
      </c>
      <c r="C735" s="16" t="inlineStr">
        <is>
          <t>2.4d</t>
        </is>
      </c>
      <c r="D735" s="16" t="inlineStr">
        <is>
          <t>datos exactos del profesor</t>
        </is>
      </c>
      <c r="E735" s="16" t="inlineStr">
        <is>
          <t>KF-M02S</t>
        </is>
      </c>
      <c r="F735" s="16" t="inlineStr">
        <is>
          <t>KF-M02S-B4</t>
        </is>
      </c>
      <c r="G735" s="16" t="inlineStr">
        <is>
          <t>B05-B4</t>
        </is>
      </c>
      <c r="H735" s="16" t="inlineStr">
        <is>
          <t>malla</t>
        </is>
      </c>
      <c r="I735" s="16" t="inlineStr">
        <is>
          <t>NO_CONVERGIO</t>
        </is>
      </c>
      <c r="J735" s="16" t="inlineStr">
        <is>
          <t>NO_CONVERGIO</t>
        </is>
      </c>
      <c r="K735" s="16" t="b">
        <v>0</v>
      </c>
      <c r="L735" s="16" t="b">
        <v>0</v>
      </c>
      <c r="M735" s="16" t="b">
        <v>0</v>
      </c>
      <c r="N735" s="16" t="b">
        <v>0</v>
      </c>
      <c r="O735" s="16" t="n">
        <v>623.15</v>
      </c>
      <c r="P735" s="16" t="n">
        <v>278.15</v>
      </c>
      <c r="Q735" s="16" t="n">
        <v>3000</v>
      </c>
      <c r="R735" s="16" t="n">
        <v>1050</v>
      </c>
      <c r="S735" s="16" t="n">
        <v>0.5</v>
      </c>
      <c r="T735" s="16" t="n">
        <v>0.85</v>
      </c>
      <c r="U735" s="16" t="n">
        <v>0.75</v>
      </c>
      <c r="V735" s="16" t="n">
        <v>0.85</v>
      </c>
      <c r="W735" s="16" t="n">
        <v>0.75</v>
      </c>
      <c r="X735" s="16" t="n">
        <v>0.8</v>
      </c>
      <c r="Y735" s="16" t="n">
        <v>278.15</v>
      </c>
      <c r="Z735" s="16" t="n"/>
      <c r="AA735" s="16" t="n"/>
      <c r="AB735" s="16" t="n">
        <v>1950</v>
      </c>
      <c r="AC735" s="16" t="n">
        <v>2.857142857142857</v>
      </c>
      <c r="AD735" s="16" t="n"/>
      <c r="AE735" s="16" t="n"/>
    </row>
    <row r="736">
      <c r="A736" s="16" t="inlineStr">
        <is>
          <t>KF-M02S-B4-0005</t>
        </is>
      </c>
      <c r="B736" s="16" t="inlineStr">
        <is>
          <t>2.4</t>
        </is>
      </c>
      <c r="C736" s="16" t="inlineStr">
        <is>
          <t>2.4d</t>
        </is>
      </c>
      <c r="D736" s="16" t="inlineStr">
        <is>
          <t>datos exactos del profesor</t>
        </is>
      </c>
      <c r="E736" s="16" t="inlineStr">
        <is>
          <t>KF-M02S</t>
        </is>
      </c>
      <c r="F736" s="16" t="inlineStr">
        <is>
          <t>KF-M02S-B4</t>
        </is>
      </c>
      <c r="G736" s="16" t="inlineStr">
        <is>
          <t>B05-B4</t>
        </is>
      </c>
      <c r="H736" s="16" t="inlineStr">
        <is>
          <t>malla</t>
        </is>
      </c>
      <c r="I736" s="16" t="inlineStr">
        <is>
          <t>NO_CONVERGIO</t>
        </is>
      </c>
      <c r="J736" s="16" t="inlineStr">
        <is>
          <t>NO_CONVERGIO</t>
        </is>
      </c>
      <c r="K736" s="16" t="b">
        <v>0</v>
      </c>
      <c r="L736" s="16" t="b">
        <v>0</v>
      </c>
      <c r="M736" s="16" t="b">
        <v>0</v>
      </c>
      <c r="N736" s="16" t="b">
        <v>0</v>
      </c>
      <c r="O736" s="16" t="n">
        <v>623.15</v>
      </c>
      <c r="P736" s="16" t="n">
        <v>278.15</v>
      </c>
      <c r="Q736" s="16" t="n">
        <v>3000</v>
      </c>
      <c r="R736" s="16" t="n">
        <v>750</v>
      </c>
      <c r="S736" s="16" t="n">
        <v>0.5</v>
      </c>
      <c r="T736" s="16" t="n">
        <v>0.85</v>
      </c>
      <c r="U736" s="16" t="n">
        <v>0.75</v>
      </c>
      <c r="V736" s="16" t="n">
        <v>0.85</v>
      </c>
      <c r="W736" s="16" t="n">
        <v>0.75</v>
      </c>
      <c r="X736" s="16" t="n">
        <v>0.8</v>
      </c>
      <c r="Y736" s="16" t="n">
        <v>278.15</v>
      </c>
      <c r="Z736" s="16" t="n"/>
      <c r="AA736" s="16" t="n"/>
      <c r="AB736" s="16" t="n">
        <v>2250</v>
      </c>
      <c r="AC736" s="16" t="n">
        <v>4</v>
      </c>
      <c r="AD736" s="16" t="n"/>
      <c r="AE736" s="16" t="n"/>
    </row>
    <row r="737">
      <c r="A737" s="16" t="inlineStr">
        <is>
          <t>KF-M02S-B4-0006</t>
        </is>
      </c>
      <c r="B737" s="16" t="inlineStr">
        <is>
          <t>2.4</t>
        </is>
      </c>
      <c r="C737" s="16" t="inlineStr">
        <is>
          <t>2.4d</t>
        </is>
      </c>
      <c r="D737" s="16" t="inlineStr">
        <is>
          <t>datos exactos del profesor</t>
        </is>
      </c>
      <c r="E737" s="16" t="inlineStr">
        <is>
          <t>KF-M02S</t>
        </is>
      </c>
      <c r="F737" s="16" t="inlineStr">
        <is>
          <t>KF-M02S-B4</t>
        </is>
      </c>
      <c r="G737" s="16" t="inlineStr">
        <is>
          <t>B05-B4</t>
        </is>
      </c>
      <c r="H737" s="16" t="inlineStr">
        <is>
          <t>malla</t>
        </is>
      </c>
      <c r="I737" s="16" t="inlineStr">
        <is>
          <t>NO_CONVERGIO</t>
        </is>
      </c>
      <c r="J737" s="16" t="inlineStr">
        <is>
          <t>NO_CONVERGIO</t>
        </is>
      </c>
      <c r="K737" s="16" t="b">
        <v>0</v>
      </c>
      <c r="L737" s="16" t="b">
        <v>0</v>
      </c>
      <c r="M737" s="16" t="b">
        <v>0</v>
      </c>
      <c r="N737" s="16" t="b">
        <v>0</v>
      </c>
      <c r="O737" s="16" t="n">
        <v>623.15</v>
      </c>
      <c r="P737" s="16" t="n">
        <v>278.15</v>
      </c>
      <c r="Q737" s="16" t="n">
        <v>3000</v>
      </c>
      <c r="R737" s="16" t="n">
        <v>900</v>
      </c>
      <c r="S737" s="16" t="n">
        <v>0.5</v>
      </c>
      <c r="T737" s="16" t="n">
        <v>0.85</v>
      </c>
      <c r="U737" s="16" t="n">
        <v>0.75</v>
      </c>
      <c r="V737" s="16" t="n">
        <v>0.85</v>
      </c>
      <c r="W737" s="16" t="n">
        <v>0.75</v>
      </c>
      <c r="X737" s="16" t="n">
        <v>0.8</v>
      </c>
      <c r="Y737" s="16" t="n">
        <v>278.15</v>
      </c>
      <c r="Z737" s="16" t="n"/>
      <c r="AA737" s="16" t="n"/>
      <c r="AB737" s="16" t="n">
        <v>2100</v>
      </c>
      <c r="AC737" s="16" t="n">
        <v>3.333333333333333</v>
      </c>
      <c r="AD737" s="16" t="n"/>
      <c r="AE737" s="16" t="n"/>
    </row>
    <row r="738">
      <c r="A738" s="16" t="inlineStr">
        <is>
          <t>KF-M02S-B4-0007</t>
        </is>
      </c>
      <c r="B738" s="16" t="inlineStr">
        <is>
          <t>2.4</t>
        </is>
      </c>
      <c r="C738" s="16" t="inlineStr">
        <is>
          <t>2.4d</t>
        </is>
      </c>
      <c r="D738" s="16" t="inlineStr">
        <is>
          <t>datos exactos del profesor</t>
        </is>
      </c>
      <c r="E738" s="16" t="inlineStr">
        <is>
          <t>KF-M02S</t>
        </is>
      </c>
      <c r="F738" s="16" t="inlineStr">
        <is>
          <t>KF-M02S-B4</t>
        </is>
      </c>
      <c r="G738" s="16" t="inlineStr">
        <is>
          <t>B05-B4</t>
        </is>
      </c>
      <c r="H738" s="16" t="inlineStr">
        <is>
          <t>malla</t>
        </is>
      </c>
      <c r="I738" s="16" t="inlineStr">
        <is>
          <t>NO_CONVERGIO</t>
        </is>
      </c>
      <c r="J738" s="16" t="inlineStr">
        <is>
          <t>NO_CONVERGIO</t>
        </is>
      </c>
      <c r="K738" s="16" t="b">
        <v>0</v>
      </c>
      <c r="L738" s="16" t="b">
        <v>0</v>
      </c>
      <c r="M738" s="16" t="b">
        <v>0</v>
      </c>
      <c r="N738" s="16" t="b">
        <v>0</v>
      </c>
      <c r="O738" s="16" t="n">
        <v>623.15</v>
      </c>
      <c r="P738" s="16" t="n">
        <v>278.15</v>
      </c>
      <c r="Q738" s="16" t="n">
        <v>3000</v>
      </c>
      <c r="R738" s="16" t="n">
        <v>1200</v>
      </c>
      <c r="S738" s="16" t="n">
        <v>0.5</v>
      </c>
      <c r="T738" s="16" t="n">
        <v>0.85</v>
      </c>
      <c r="U738" s="16" t="n">
        <v>0.75</v>
      </c>
      <c r="V738" s="16" t="n">
        <v>0.85</v>
      </c>
      <c r="W738" s="16" t="n">
        <v>0.75</v>
      </c>
      <c r="X738" s="16" t="n">
        <v>0.8</v>
      </c>
      <c r="Y738" s="16" t="n">
        <v>278.15</v>
      </c>
      <c r="Z738" s="16" t="n"/>
      <c r="AA738" s="16" t="n"/>
      <c r="AB738" s="16" t="n">
        <v>1800</v>
      </c>
      <c r="AC738" s="16" t="n">
        <v>2.5</v>
      </c>
      <c r="AD738" s="16" t="n"/>
      <c r="AE738" s="16" t="n"/>
    </row>
    <row r="739">
      <c r="A739" s="16" t="inlineStr">
        <is>
          <t>KF-M02S-B4-0008</t>
        </is>
      </c>
      <c r="B739" s="16" t="inlineStr">
        <is>
          <t>2.4</t>
        </is>
      </c>
      <c r="C739" s="16" t="inlineStr">
        <is>
          <t>2.4d</t>
        </is>
      </c>
      <c r="D739" s="16" t="inlineStr">
        <is>
          <t>datos exactos del profesor</t>
        </is>
      </c>
      <c r="E739" s="16" t="inlineStr">
        <is>
          <t>KF-M02S</t>
        </is>
      </c>
      <c r="F739" s="16" t="inlineStr">
        <is>
          <t>KF-M02S-B4</t>
        </is>
      </c>
      <c r="G739" s="16" t="inlineStr">
        <is>
          <t>B05-B4</t>
        </is>
      </c>
      <c r="H739" s="16" t="inlineStr">
        <is>
          <t>malla</t>
        </is>
      </c>
      <c r="I739" s="16" t="inlineStr">
        <is>
          <t>NO_CONVERGIO</t>
        </is>
      </c>
      <c r="J739" s="16" t="inlineStr">
        <is>
          <t>NO_CONVERGIO</t>
        </is>
      </c>
      <c r="K739" s="16" t="b">
        <v>0</v>
      </c>
      <c r="L739" s="16" t="b">
        <v>0</v>
      </c>
      <c r="M739" s="16" t="b">
        <v>0</v>
      </c>
      <c r="N739" s="16" t="b">
        <v>0</v>
      </c>
      <c r="O739" s="16" t="n">
        <v>623.15</v>
      </c>
      <c r="P739" s="16" t="n">
        <v>278.15</v>
      </c>
      <c r="Q739" s="16" t="n">
        <v>3000</v>
      </c>
      <c r="R739" s="16" t="n">
        <v>1350</v>
      </c>
      <c r="S739" s="16" t="n">
        <v>0.5</v>
      </c>
      <c r="T739" s="16" t="n">
        <v>0.85</v>
      </c>
      <c r="U739" s="16" t="n">
        <v>0.75</v>
      </c>
      <c r="V739" s="16" t="n">
        <v>0.85</v>
      </c>
      <c r="W739" s="16" t="n">
        <v>0.75</v>
      </c>
      <c r="X739" s="16" t="n">
        <v>0.8</v>
      </c>
      <c r="Y739" s="16" t="n">
        <v>278.15</v>
      </c>
      <c r="Z739" s="16" t="n"/>
      <c r="AA739" s="16" t="n"/>
      <c r="AB739" s="16" t="n">
        <v>1650</v>
      </c>
      <c r="AC739" s="16" t="n">
        <v>2.222222222222222</v>
      </c>
      <c r="AD739" s="16" t="n"/>
      <c r="AE739" s="16" t="n"/>
    </row>
    <row r="740">
      <c r="A740" s="16" t="inlineStr">
        <is>
          <t>KF-M02S-B4-0009</t>
        </is>
      </c>
      <c r="B740" s="16" t="inlineStr">
        <is>
          <t>2.4</t>
        </is>
      </c>
      <c r="C740" s="16" t="inlineStr">
        <is>
          <t>2.4d</t>
        </is>
      </c>
      <c r="D740" s="16" t="inlineStr">
        <is>
          <t>datos exactos del profesor</t>
        </is>
      </c>
      <c r="E740" s="16" t="inlineStr">
        <is>
          <t>KF-M02S</t>
        </is>
      </c>
      <c r="F740" s="16" t="inlineStr">
        <is>
          <t>KF-M02S-B4</t>
        </is>
      </c>
      <c r="G740" s="16" t="inlineStr">
        <is>
          <t>B05-B4</t>
        </is>
      </c>
      <c r="H740" s="16" t="inlineStr">
        <is>
          <t>malla</t>
        </is>
      </c>
      <c r="I740" s="16" t="inlineStr">
        <is>
          <t>NO_CONVERGIO</t>
        </is>
      </c>
      <c r="J740" s="16" t="inlineStr">
        <is>
          <t>NO_CONVERGIO</t>
        </is>
      </c>
      <c r="K740" s="16" t="b">
        <v>0</v>
      </c>
      <c r="L740" s="16" t="b">
        <v>0</v>
      </c>
      <c r="M740" s="16" t="b">
        <v>0</v>
      </c>
      <c r="N740" s="16" t="b">
        <v>0</v>
      </c>
      <c r="O740" s="16" t="n">
        <v>623.15</v>
      </c>
      <c r="P740" s="16" t="n">
        <v>278.15</v>
      </c>
      <c r="Q740" s="16" t="n">
        <v>3000</v>
      </c>
      <c r="R740" s="16" t="n">
        <v>1500</v>
      </c>
      <c r="S740" s="16" t="n">
        <v>0.5</v>
      </c>
      <c r="T740" s="16" t="n">
        <v>0.85</v>
      </c>
      <c r="U740" s="16" t="n">
        <v>0.75</v>
      </c>
      <c r="V740" s="16" t="n">
        <v>0.85</v>
      </c>
      <c r="W740" s="16" t="n">
        <v>0.75</v>
      </c>
      <c r="X740" s="16" t="n">
        <v>0.8</v>
      </c>
      <c r="Y740" s="16" t="n">
        <v>278.15</v>
      </c>
      <c r="Z740" s="16" t="n"/>
      <c r="AA740" s="16" t="n"/>
      <c r="AB740" s="16" t="n">
        <v>1500</v>
      </c>
      <c r="AC740" s="16" t="n">
        <v>2</v>
      </c>
      <c r="AD740" s="16" t="n"/>
      <c r="AE740" s="16" t="n"/>
    </row>
    <row r="741">
      <c r="A741" s="16" t="inlineStr">
        <is>
          <t>KF-M02S-B4-0010</t>
        </is>
      </c>
      <c r="B741" s="16" t="inlineStr">
        <is>
          <t>2.4</t>
        </is>
      </c>
      <c r="C741" s="16" t="inlineStr">
        <is>
          <t>2.4d</t>
        </is>
      </c>
      <c r="D741" s="16" t="inlineStr">
        <is>
          <t>datos exactos del profesor</t>
        </is>
      </c>
      <c r="E741" s="16" t="inlineStr">
        <is>
          <t>KF-M02S</t>
        </is>
      </c>
      <c r="F741" s="16" t="inlineStr">
        <is>
          <t>KF-M02S-B4</t>
        </is>
      </c>
      <c r="G741" s="16" t="inlineStr">
        <is>
          <t>B05-B4</t>
        </is>
      </c>
      <c r="H741" s="16" t="inlineStr">
        <is>
          <t>malla</t>
        </is>
      </c>
      <c r="I741" s="16" t="inlineStr">
        <is>
          <t>NO_CONVERGIO</t>
        </is>
      </c>
      <c r="J741" s="16" t="inlineStr">
        <is>
          <t>NO_CONVERGIO</t>
        </is>
      </c>
      <c r="K741" s="16" t="b">
        <v>0</v>
      </c>
      <c r="L741" s="16" t="b">
        <v>0</v>
      </c>
      <c r="M741" s="16" t="b">
        <v>0</v>
      </c>
      <c r="N741" s="16" t="b">
        <v>0</v>
      </c>
      <c r="O741" s="16" t="n">
        <v>623.15</v>
      </c>
      <c r="P741" s="16" t="n">
        <v>283.15</v>
      </c>
      <c r="Q741" s="16" t="n">
        <v>3000</v>
      </c>
      <c r="R741" s="16" t="n">
        <v>300</v>
      </c>
      <c r="S741" s="16" t="n">
        <v>0.5</v>
      </c>
      <c r="T741" s="16" t="n">
        <v>0.85</v>
      </c>
      <c r="U741" s="16" t="n">
        <v>0.75</v>
      </c>
      <c r="V741" s="16" t="n">
        <v>0.85</v>
      </c>
      <c r="W741" s="16" t="n">
        <v>0.75</v>
      </c>
      <c r="X741" s="16" t="n">
        <v>0.8</v>
      </c>
      <c r="Y741" s="16" t="n">
        <v>283.15</v>
      </c>
      <c r="Z741" s="16" t="n"/>
      <c r="AA741" s="16" t="n"/>
      <c r="AB741" s="16" t="n">
        <v>2700</v>
      </c>
      <c r="AC741" s="16" t="n">
        <v>10</v>
      </c>
      <c r="AD741" s="16" t="n"/>
      <c r="AE741" s="16" t="n"/>
    </row>
    <row r="742">
      <c r="A742" s="16" t="inlineStr">
        <is>
          <t>KF-M02S-B4-0011</t>
        </is>
      </c>
      <c r="B742" s="16" t="inlineStr">
        <is>
          <t>2.4</t>
        </is>
      </c>
      <c r="C742" s="16" t="inlineStr">
        <is>
          <t>2.4d</t>
        </is>
      </c>
      <c r="D742" s="16" t="inlineStr">
        <is>
          <t>datos exactos del profesor</t>
        </is>
      </c>
      <c r="E742" s="16" t="inlineStr">
        <is>
          <t>KF-M02S</t>
        </is>
      </c>
      <c r="F742" s="16" t="inlineStr">
        <is>
          <t>KF-M02S-B4</t>
        </is>
      </c>
      <c r="G742" s="16" t="inlineStr">
        <is>
          <t>B05-B4</t>
        </is>
      </c>
      <c r="H742" s="16" t="inlineStr">
        <is>
          <t>malla</t>
        </is>
      </c>
      <c r="I742" s="16" t="inlineStr">
        <is>
          <t>NO_CONVERGIO</t>
        </is>
      </c>
      <c r="J742" s="16" t="inlineStr">
        <is>
          <t>NO_CONVERGIO</t>
        </is>
      </c>
      <c r="K742" s="16" t="b">
        <v>0</v>
      </c>
      <c r="L742" s="16" t="b">
        <v>0</v>
      </c>
      <c r="M742" s="16" t="b">
        <v>0</v>
      </c>
      <c r="N742" s="16" t="b">
        <v>0</v>
      </c>
      <c r="O742" s="16" t="n">
        <v>623.15</v>
      </c>
      <c r="P742" s="16" t="n">
        <v>283.15</v>
      </c>
      <c r="Q742" s="16" t="n">
        <v>3000</v>
      </c>
      <c r="R742" s="16" t="n">
        <v>150</v>
      </c>
      <c r="S742" s="16" t="n">
        <v>0.5</v>
      </c>
      <c r="T742" s="16" t="n">
        <v>0.85</v>
      </c>
      <c r="U742" s="16" t="n">
        <v>0.75</v>
      </c>
      <c r="V742" s="16" t="n">
        <v>0.85</v>
      </c>
      <c r="W742" s="16" t="n">
        <v>0.75</v>
      </c>
      <c r="X742" s="16" t="n">
        <v>0.8</v>
      </c>
      <c r="Y742" s="16" t="n">
        <v>283.15</v>
      </c>
      <c r="Z742" s="16" t="n"/>
      <c r="AA742" s="16" t="n"/>
      <c r="AB742" s="16" t="n">
        <v>2850</v>
      </c>
      <c r="AC742" s="16" t="n">
        <v>20</v>
      </c>
      <c r="AD742" s="16" t="n"/>
      <c r="AE742" s="16" t="n"/>
    </row>
    <row r="743">
      <c r="A743" s="16" t="inlineStr">
        <is>
          <t>KF-M02S-B4-0012</t>
        </is>
      </c>
      <c r="B743" s="16" t="inlineStr">
        <is>
          <t>2.4</t>
        </is>
      </c>
      <c r="C743" s="16" t="inlineStr">
        <is>
          <t>2.4d</t>
        </is>
      </c>
      <c r="D743" s="16" t="inlineStr">
        <is>
          <t>datos exactos del profesor</t>
        </is>
      </c>
      <c r="E743" s="16" t="inlineStr">
        <is>
          <t>KF-M02S</t>
        </is>
      </c>
      <c r="F743" s="16" t="inlineStr">
        <is>
          <t>KF-M02S-B4</t>
        </is>
      </c>
      <c r="G743" s="16" t="inlineStr">
        <is>
          <t>B05-B4</t>
        </is>
      </c>
      <c r="H743" s="16" t="inlineStr">
        <is>
          <t>malla</t>
        </is>
      </c>
      <c r="I743" s="16" t="inlineStr">
        <is>
          <t>NO_CONVERGIO</t>
        </is>
      </c>
      <c r="J743" s="16" t="inlineStr">
        <is>
          <t>NO_CONVERGIO</t>
        </is>
      </c>
      <c r="K743" s="16" t="b">
        <v>0</v>
      </c>
      <c r="L743" s="16" t="b">
        <v>0</v>
      </c>
      <c r="M743" s="16" t="b">
        <v>0</v>
      </c>
      <c r="N743" s="16" t="b">
        <v>0</v>
      </c>
      <c r="O743" s="16" t="n">
        <v>623.15</v>
      </c>
      <c r="P743" s="16" t="n">
        <v>283.15</v>
      </c>
      <c r="Q743" s="16" t="n">
        <v>3000</v>
      </c>
      <c r="R743" s="16" t="n">
        <v>450</v>
      </c>
      <c r="S743" s="16" t="n">
        <v>0.5</v>
      </c>
      <c r="T743" s="16" t="n">
        <v>0.85</v>
      </c>
      <c r="U743" s="16" t="n">
        <v>0.75</v>
      </c>
      <c r="V743" s="16" t="n">
        <v>0.85</v>
      </c>
      <c r="W743" s="16" t="n">
        <v>0.75</v>
      </c>
      <c r="X743" s="16" t="n">
        <v>0.8</v>
      </c>
      <c r="Y743" s="16" t="n">
        <v>283.15</v>
      </c>
      <c r="Z743" s="16" t="n"/>
      <c r="AA743" s="16" t="n"/>
      <c r="AB743" s="16" t="n">
        <v>2550</v>
      </c>
      <c r="AC743" s="16" t="n">
        <v>6.666666666666667</v>
      </c>
      <c r="AD743" s="16" t="n"/>
      <c r="AE743" s="16" t="n"/>
    </row>
    <row r="744">
      <c r="A744" s="16" t="inlineStr">
        <is>
          <t>KF-M02S-B4-0013</t>
        </is>
      </c>
      <c r="B744" s="16" t="inlineStr">
        <is>
          <t>2.4</t>
        </is>
      </c>
      <c r="C744" s="16" t="inlineStr">
        <is>
          <t>2.4d</t>
        </is>
      </c>
      <c r="D744" s="16" t="inlineStr">
        <is>
          <t>datos exactos del profesor</t>
        </is>
      </c>
      <c r="E744" s="16" t="inlineStr">
        <is>
          <t>KF-M02S</t>
        </is>
      </c>
      <c r="F744" s="16" t="inlineStr">
        <is>
          <t>KF-M02S-B4</t>
        </is>
      </c>
      <c r="G744" s="16" t="inlineStr">
        <is>
          <t>B05-B4</t>
        </is>
      </c>
      <c r="H744" s="16" t="inlineStr">
        <is>
          <t>malla</t>
        </is>
      </c>
      <c r="I744" s="16" t="inlineStr">
        <is>
          <t>NO_CONVERGIO</t>
        </is>
      </c>
      <c r="J744" s="16" t="inlineStr">
        <is>
          <t>NO_CONVERGIO</t>
        </is>
      </c>
      <c r="K744" s="16" t="b">
        <v>0</v>
      </c>
      <c r="L744" s="16" t="b">
        <v>0</v>
      </c>
      <c r="M744" s="16" t="b">
        <v>0</v>
      </c>
      <c r="N744" s="16" t="b">
        <v>0</v>
      </c>
      <c r="O744" s="16" t="n">
        <v>623.15</v>
      </c>
      <c r="P744" s="16" t="n">
        <v>283.15</v>
      </c>
      <c r="Q744" s="16" t="n">
        <v>3000</v>
      </c>
      <c r="R744" s="16" t="n">
        <v>600</v>
      </c>
      <c r="S744" s="16" t="n">
        <v>0.5</v>
      </c>
      <c r="T744" s="16" t="n">
        <v>0.85</v>
      </c>
      <c r="U744" s="16" t="n">
        <v>0.75</v>
      </c>
      <c r="V744" s="16" t="n">
        <v>0.85</v>
      </c>
      <c r="W744" s="16" t="n">
        <v>0.75</v>
      </c>
      <c r="X744" s="16" t="n">
        <v>0.8</v>
      </c>
      <c r="Y744" s="16" t="n">
        <v>283.15</v>
      </c>
      <c r="Z744" s="16" t="n"/>
      <c r="AA744" s="16" t="n"/>
      <c r="AB744" s="16" t="n">
        <v>2400</v>
      </c>
      <c r="AC744" s="16" t="n">
        <v>5</v>
      </c>
      <c r="AD744" s="16" t="n"/>
      <c r="AE744" s="16" t="n"/>
    </row>
    <row r="745">
      <c r="A745" s="16" t="inlineStr">
        <is>
          <t>KF-M02S-B4-0014</t>
        </is>
      </c>
      <c r="B745" s="16" t="inlineStr">
        <is>
          <t>2.4</t>
        </is>
      </c>
      <c r="C745" s="16" t="inlineStr">
        <is>
          <t>2.4d</t>
        </is>
      </c>
      <c r="D745" s="16" t="inlineStr">
        <is>
          <t>datos exactos del profesor</t>
        </is>
      </c>
      <c r="E745" s="16" t="inlineStr">
        <is>
          <t>KF-M02S</t>
        </is>
      </c>
      <c r="F745" s="16" t="inlineStr">
        <is>
          <t>KF-M02S-B4</t>
        </is>
      </c>
      <c r="G745" s="16" t="inlineStr">
        <is>
          <t>B05-B4</t>
        </is>
      </c>
      <c r="H745" s="16" t="inlineStr">
        <is>
          <t>malla</t>
        </is>
      </c>
      <c r="I745" s="16" t="inlineStr">
        <is>
          <t>NO_CONVERGIO</t>
        </is>
      </c>
      <c r="J745" s="16" t="inlineStr">
        <is>
          <t>NO_CONVERGIO</t>
        </is>
      </c>
      <c r="K745" s="16" t="b">
        <v>0</v>
      </c>
      <c r="L745" s="16" t="b">
        <v>0</v>
      </c>
      <c r="M745" s="16" t="b">
        <v>0</v>
      </c>
      <c r="N745" s="16" t="b">
        <v>0</v>
      </c>
      <c r="O745" s="16" t="n">
        <v>623.15</v>
      </c>
      <c r="P745" s="16" t="n">
        <v>283.15</v>
      </c>
      <c r="Q745" s="16" t="n">
        <v>3000</v>
      </c>
      <c r="R745" s="16" t="n">
        <v>1050</v>
      </c>
      <c r="S745" s="16" t="n">
        <v>0.5</v>
      </c>
      <c r="T745" s="16" t="n">
        <v>0.85</v>
      </c>
      <c r="U745" s="16" t="n">
        <v>0.75</v>
      </c>
      <c r="V745" s="16" t="n">
        <v>0.85</v>
      </c>
      <c r="W745" s="16" t="n">
        <v>0.75</v>
      </c>
      <c r="X745" s="16" t="n">
        <v>0.8</v>
      </c>
      <c r="Y745" s="16" t="n">
        <v>283.15</v>
      </c>
      <c r="Z745" s="16" t="n"/>
      <c r="AA745" s="16" t="n"/>
      <c r="AB745" s="16" t="n">
        <v>1950</v>
      </c>
      <c r="AC745" s="16" t="n">
        <v>2.857142857142857</v>
      </c>
      <c r="AD745" s="16" t="n"/>
      <c r="AE745" s="16" t="n"/>
    </row>
    <row r="746">
      <c r="A746" s="16" t="inlineStr">
        <is>
          <t>KF-M02S-B4-0015</t>
        </is>
      </c>
      <c r="B746" s="16" t="inlineStr">
        <is>
          <t>2.4</t>
        </is>
      </c>
      <c r="C746" s="16" t="inlineStr">
        <is>
          <t>2.4d</t>
        </is>
      </c>
      <c r="D746" s="16" t="inlineStr">
        <is>
          <t>datos exactos del profesor</t>
        </is>
      </c>
      <c r="E746" s="16" t="inlineStr">
        <is>
          <t>KF-M02S</t>
        </is>
      </c>
      <c r="F746" s="16" t="inlineStr">
        <is>
          <t>KF-M02S-B4</t>
        </is>
      </c>
      <c r="G746" s="16" t="inlineStr">
        <is>
          <t>B05-B4</t>
        </is>
      </c>
      <c r="H746" s="16" t="inlineStr">
        <is>
          <t>malla</t>
        </is>
      </c>
      <c r="I746" s="16" t="inlineStr">
        <is>
          <t>NO_CONVERGIO</t>
        </is>
      </c>
      <c r="J746" s="16" t="inlineStr">
        <is>
          <t>NO_CONVERGIO</t>
        </is>
      </c>
      <c r="K746" s="16" t="b">
        <v>0</v>
      </c>
      <c r="L746" s="16" t="b">
        <v>0</v>
      </c>
      <c r="M746" s="16" t="b">
        <v>0</v>
      </c>
      <c r="N746" s="16" t="b">
        <v>0</v>
      </c>
      <c r="O746" s="16" t="n">
        <v>623.15</v>
      </c>
      <c r="P746" s="16" t="n">
        <v>283.15</v>
      </c>
      <c r="Q746" s="16" t="n">
        <v>3000</v>
      </c>
      <c r="R746" s="16" t="n">
        <v>900</v>
      </c>
      <c r="S746" s="16" t="n">
        <v>0.5</v>
      </c>
      <c r="T746" s="16" t="n">
        <v>0.85</v>
      </c>
      <c r="U746" s="16" t="n">
        <v>0.75</v>
      </c>
      <c r="V746" s="16" t="n">
        <v>0.85</v>
      </c>
      <c r="W746" s="16" t="n">
        <v>0.75</v>
      </c>
      <c r="X746" s="16" t="n">
        <v>0.8</v>
      </c>
      <c r="Y746" s="16" t="n">
        <v>283.15</v>
      </c>
      <c r="Z746" s="16" t="n"/>
      <c r="AA746" s="16" t="n"/>
      <c r="AB746" s="16" t="n">
        <v>2100</v>
      </c>
      <c r="AC746" s="16" t="n">
        <v>3.333333333333333</v>
      </c>
      <c r="AD746" s="16" t="n"/>
      <c r="AE746" s="16" t="n"/>
    </row>
    <row r="747">
      <c r="A747" s="16" t="inlineStr">
        <is>
          <t>KF-M02S-B4-0016</t>
        </is>
      </c>
      <c r="B747" s="16" t="inlineStr">
        <is>
          <t>2.4</t>
        </is>
      </c>
      <c r="C747" s="16" t="inlineStr">
        <is>
          <t>2.4d</t>
        </is>
      </c>
      <c r="D747" s="16" t="inlineStr">
        <is>
          <t>datos exactos del profesor</t>
        </is>
      </c>
      <c r="E747" s="16" t="inlineStr">
        <is>
          <t>KF-M02S</t>
        </is>
      </c>
      <c r="F747" s="16" t="inlineStr">
        <is>
          <t>KF-M02S-B4</t>
        </is>
      </c>
      <c r="G747" s="16" t="inlineStr">
        <is>
          <t>B05-B4</t>
        </is>
      </c>
      <c r="H747" s="16" t="inlineStr">
        <is>
          <t>malla</t>
        </is>
      </c>
      <c r="I747" s="16" t="inlineStr">
        <is>
          <t>NO_CONVERGIO</t>
        </is>
      </c>
      <c r="J747" s="16" t="inlineStr">
        <is>
          <t>NO_CONVERGIO</t>
        </is>
      </c>
      <c r="K747" s="16" t="b">
        <v>0</v>
      </c>
      <c r="L747" s="16" t="b">
        <v>0</v>
      </c>
      <c r="M747" s="16" t="b">
        <v>0</v>
      </c>
      <c r="N747" s="16" t="b">
        <v>0</v>
      </c>
      <c r="O747" s="16" t="n">
        <v>623.15</v>
      </c>
      <c r="P747" s="16" t="n">
        <v>283.15</v>
      </c>
      <c r="Q747" s="16" t="n">
        <v>3000</v>
      </c>
      <c r="R747" s="16" t="n">
        <v>750</v>
      </c>
      <c r="S747" s="16" t="n">
        <v>0.5</v>
      </c>
      <c r="T747" s="16" t="n">
        <v>0.85</v>
      </c>
      <c r="U747" s="16" t="n">
        <v>0.75</v>
      </c>
      <c r="V747" s="16" t="n">
        <v>0.85</v>
      </c>
      <c r="W747" s="16" t="n">
        <v>0.75</v>
      </c>
      <c r="X747" s="16" t="n">
        <v>0.8</v>
      </c>
      <c r="Y747" s="16" t="n">
        <v>283.15</v>
      </c>
      <c r="Z747" s="16" t="n"/>
      <c r="AA747" s="16" t="n"/>
      <c r="AB747" s="16" t="n">
        <v>2250</v>
      </c>
      <c r="AC747" s="16" t="n">
        <v>4</v>
      </c>
      <c r="AD747" s="16" t="n"/>
      <c r="AE747" s="16" t="n"/>
    </row>
    <row r="748">
      <c r="A748" s="16" t="inlineStr">
        <is>
          <t>KF-M02S-B4-0017</t>
        </is>
      </c>
      <c r="B748" s="16" t="inlineStr">
        <is>
          <t>2.4</t>
        </is>
      </c>
      <c r="C748" s="16" t="inlineStr">
        <is>
          <t>2.4d</t>
        </is>
      </c>
      <c r="D748" s="16" t="inlineStr">
        <is>
          <t>datos exactos del profesor</t>
        </is>
      </c>
      <c r="E748" s="16" t="inlineStr">
        <is>
          <t>KF-M02S</t>
        </is>
      </c>
      <c r="F748" s="16" t="inlineStr">
        <is>
          <t>KF-M02S-B4</t>
        </is>
      </c>
      <c r="G748" s="16" t="inlineStr">
        <is>
          <t>B05-B4</t>
        </is>
      </c>
      <c r="H748" s="16" t="inlineStr">
        <is>
          <t>malla</t>
        </is>
      </c>
      <c r="I748" s="16" t="inlineStr">
        <is>
          <t>NO_CONVERGIO</t>
        </is>
      </c>
      <c r="J748" s="16" t="inlineStr">
        <is>
          <t>NO_CONVERGIO</t>
        </is>
      </c>
      <c r="K748" s="16" t="b">
        <v>0</v>
      </c>
      <c r="L748" s="16" t="b">
        <v>0</v>
      </c>
      <c r="M748" s="16" t="b">
        <v>0</v>
      </c>
      <c r="N748" s="16" t="b">
        <v>0</v>
      </c>
      <c r="O748" s="16" t="n">
        <v>623.15</v>
      </c>
      <c r="P748" s="16" t="n">
        <v>283.15</v>
      </c>
      <c r="Q748" s="16" t="n">
        <v>3000</v>
      </c>
      <c r="R748" s="16" t="n">
        <v>1200</v>
      </c>
      <c r="S748" s="16" t="n">
        <v>0.5</v>
      </c>
      <c r="T748" s="16" t="n">
        <v>0.85</v>
      </c>
      <c r="U748" s="16" t="n">
        <v>0.75</v>
      </c>
      <c r="V748" s="16" t="n">
        <v>0.85</v>
      </c>
      <c r="W748" s="16" t="n">
        <v>0.75</v>
      </c>
      <c r="X748" s="16" t="n">
        <v>0.8</v>
      </c>
      <c r="Y748" s="16" t="n">
        <v>283.15</v>
      </c>
      <c r="Z748" s="16" t="n"/>
      <c r="AA748" s="16" t="n"/>
      <c r="AB748" s="16" t="n">
        <v>1800</v>
      </c>
      <c r="AC748" s="16" t="n">
        <v>2.5</v>
      </c>
      <c r="AD748" s="16" t="n"/>
      <c r="AE748" s="16" t="n"/>
    </row>
    <row r="749">
      <c r="A749" s="16" t="inlineStr">
        <is>
          <t>KF-M02S-B4-0018</t>
        </is>
      </c>
      <c r="B749" s="16" t="inlineStr">
        <is>
          <t>2.4</t>
        </is>
      </c>
      <c r="C749" s="16" t="inlineStr">
        <is>
          <t>2.4d</t>
        </is>
      </c>
      <c r="D749" s="16" t="inlineStr">
        <is>
          <t>datos exactos del profesor</t>
        </is>
      </c>
      <c r="E749" s="16" t="inlineStr">
        <is>
          <t>KF-M02S</t>
        </is>
      </c>
      <c r="F749" s="16" t="inlineStr">
        <is>
          <t>KF-M02S-B4</t>
        </is>
      </c>
      <c r="G749" s="16" t="inlineStr">
        <is>
          <t>B05-B4</t>
        </is>
      </c>
      <c r="H749" s="16" t="inlineStr">
        <is>
          <t>malla</t>
        </is>
      </c>
      <c r="I749" s="16" t="inlineStr">
        <is>
          <t>NO_CONVERGIO</t>
        </is>
      </c>
      <c r="J749" s="16" t="inlineStr">
        <is>
          <t>NO_CONVERGIO</t>
        </is>
      </c>
      <c r="K749" s="16" t="b">
        <v>0</v>
      </c>
      <c r="L749" s="16" t="b">
        <v>0</v>
      </c>
      <c r="M749" s="16" t="b">
        <v>0</v>
      </c>
      <c r="N749" s="16" t="b">
        <v>0</v>
      </c>
      <c r="O749" s="16" t="n">
        <v>623.15</v>
      </c>
      <c r="P749" s="16" t="n">
        <v>283.15</v>
      </c>
      <c r="Q749" s="16" t="n">
        <v>3000</v>
      </c>
      <c r="R749" s="16" t="n">
        <v>1350</v>
      </c>
      <c r="S749" s="16" t="n">
        <v>0.5</v>
      </c>
      <c r="T749" s="16" t="n">
        <v>0.85</v>
      </c>
      <c r="U749" s="16" t="n">
        <v>0.75</v>
      </c>
      <c r="V749" s="16" t="n">
        <v>0.85</v>
      </c>
      <c r="W749" s="16" t="n">
        <v>0.75</v>
      </c>
      <c r="X749" s="16" t="n">
        <v>0.8</v>
      </c>
      <c r="Y749" s="16" t="n">
        <v>283.15</v>
      </c>
      <c r="Z749" s="16" t="n"/>
      <c r="AA749" s="16" t="n"/>
      <c r="AB749" s="16" t="n">
        <v>1650</v>
      </c>
      <c r="AC749" s="16" t="n">
        <v>2.222222222222222</v>
      </c>
      <c r="AD749" s="16" t="n"/>
      <c r="AE749" s="16" t="n"/>
    </row>
    <row r="750">
      <c r="A750" s="16" t="inlineStr">
        <is>
          <t>KF-M02S-B4-0019</t>
        </is>
      </c>
      <c r="B750" s="16" t="inlineStr">
        <is>
          <t>2.4</t>
        </is>
      </c>
      <c r="C750" s="16" t="inlineStr">
        <is>
          <t>2.4d</t>
        </is>
      </c>
      <c r="D750" s="16" t="inlineStr">
        <is>
          <t>datos exactos del profesor</t>
        </is>
      </c>
      <c r="E750" s="16" t="inlineStr">
        <is>
          <t>KF-M02S</t>
        </is>
      </c>
      <c r="F750" s="16" t="inlineStr">
        <is>
          <t>KF-M02S-B4</t>
        </is>
      </c>
      <c r="G750" s="16" t="inlineStr">
        <is>
          <t>B05-B4</t>
        </is>
      </c>
      <c r="H750" s="16" t="inlineStr">
        <is>
          <t>malla</t>
        </is>
      </c>
      <c r="I750" s="16" t="inlineStr">
        <is>
          <t>NO_CONVERGIO</t>
        </is>
      </c>
      <c r="J750" s="16" t="inlineStr">
        <is>
          <t>NO_CONVERGIO</t>
        </is>
      </c>
      <c r="K750" s="16" t="b">
        <v>0</v>
      </c>
      <c r="L750" s="16" t="b">
        <v>0</v>
      </c>
      <c r="M750" s="16" t="b">
        <v>0</v>
      </c>
      <c r="N750" s="16" t="b">
        <v>0</v>
      </c>
      <c r="O750" s="16" t="n">
        <v>623.15</v>
      </c>
      <c r="P750" s="16" t="n">
        <v>283.15</v>
      </c>
      <c r="Q750" s="16" t="n">
        <v>3000</v>
      </c>
      <c r="R750" s="16" t="n">
        <v>1500</v>
      </c>
      <c r="S750" s="16" t="n">
        <v>0.5</v>
      </c>
      <c r="T750" s="16" t="n">
        <v>0.85</v>
      </c>
      <c r="U750" s="16" t="n">
        <v>0.75</v>
      </c>
      <c r="V750" s="16" t="n">
        <v>0.85</v>
      </c>
      <c r="W750" s="16" t="n">
        <v>0.75</v>
      </c>
      <c r="X750" s="16" t="n">
        <v>0.8</v>
      </c>
      <c r="Y750" s="16" t="n">
        <v>283.15</v>
      </c>
      <c r="Z750" s="16" t="n"/>
      <c r="AA750" s="16" t="n"/>
      <c r="AB750" s="16" t="n">
        <v>1500</v>
      </c>
      <c r="AC750" s="16" t="n">
        <v>2</v>
      </c>
      <c r="AD750" s="16" t="n"/>
      <c r="AE750" s="16" t="n"/>
    </row>
    <row r="751">
      <c r="A751" s="16" t="inlineStr">
        <is>
          <t>KF-M02S-B4-0020</t>
        </is>
      </c>
      <c r="B751" s="16" t="inlineStr">
        <is>
          <t>2.4</t>
        </is>
      </c>
      <c r="C751" s="16" t="inlineStr">
        <is>
          <t>2.4d</t>
        </is>
      </c>
      <c r="D751" s="16" t="inlineStr">
        <is>
          <t>datos exactos del profesor</t>
        </is>
      </c>
      <c r="E751" s="16" t="inlineStr">
        <is>
          <t>KF-M02S</t>
        </is>
      </c>
      <c r="F751" s="16" t="inlineStr">
        <is>
          <t>KF-M02S-B4</t>
        </is>
      </c>
      <c r="G751" s="16" t="inlineStr">
        <is>
          <t>B05-B4</t>
        </is>
      </c>
      <c r="H751" s="16" t="inlineStr">
        <is>
          <t>malla</t>
        </is>
      </c>
      <c r="I751" s="16" t="inlineStr">
        <is>
          <t>NO_CONVERGIO</t>
        </is>
      </c>
      <c r="J751" s="16" t="inlineStr">
        <is>
          <t>NO_CONVERGIO</t>
        </is>
      </c>
      <c r="K751" s="16" t="b">
        <v>0</v>
      </c>
      <c r="L751" s="16" t="b">
        <v>0</v>
      </c>
      <c r="M751" s="16" t="b">
        <v>0</v>
      </c>
      <c r="N751" s="16" t="b">
        <v>0</v>
      </c>
      <c r="O751" s="16" t="n">
        <v>623.15</v>
      </c>
      <c r="P751" s="16" t="n">
        <v>288.15</v>
      </c>
      <c r="Q751" s="16" t="n">
        <v>3000</v>
      </c>
      <c r="R751" s="16" t="n">
        <v>300</v>
      </c>
      <c r="S751" s="16" t="n">
        <v>0.5</v>
      </c>
      <c r="T751" s="16" t="n">
        <v>0.85</v>
      </c>
      <c r="U751" s="16" t="n">
        <v>0.75</v>
      </c>
      <c r="V751" s="16" t="n">
        <v>0.85</v>
      </c>
      <c r="W751" s="16" t="n">
        <v>0.75</v>
      </c>
      <c r="X751" s="16" t="n">
        <v>0.8</v>
      </c>
      <c r="Y751" s="16" t="n">
        <v>288.15</v>
      </c>
      <c r="Z751" s="16" t="n"/>
      <c r="AA751" s="16" t="n"/>
      <c r="AB751" s="16" t="n">
        <v>2700</v>
      </c>
      <c r="AC751" s="16" t="n">
        <v>10</v>
      </c>
      <c r="AD751" s="16" t="n"/>
      <c r="AE751" s="16" t="n"/>
    </row>
    <row r="752">
      <c r="A752" s="16" t="inlineStr">
        <is>
          <t>KF-M02S-B4-0021</t>
        </is>
      </c>
      <c r="B752" s="16" t="inlineStr">
        <is>
          <t>2.4</t>
        </is>
      </c>
      <c r="C752" s="16" t="inlineStr">
        <is>
          <t>2.4d</t>
        </is>
      </c>
      <c r="D752" s="16" t="inlineStr">
        <is>
          <t>datos exactos del profesor</t>
        </is>
      </c>
      <c r="E752" s="16" t="inlineStr">
        <is>
          <t>KF-M02S</t>
        </is>
      </c>
      <c r="F752" s="16" t="inlineStr">
        <is>
          <t>KF-M02S-B4</t>
        </is>
      </c>
      <c r="G752" s="16" t="inlineStr">
        <is>
          <t>B05-B4</t>
        </is>
      </c>
      <c r="H752" s="16" t="inlineStr">
        <is>
          <t>malla</t>
        </is>
      </c>
      <c r="I752" s="16" t="inlineStr">
        <is>
          <t>NO_CONVERGIO</t>
        </is>
      </c>
      <c r="J752" s="16" t="inlineStr">
        <is>
          <t>NO_CONVERGIO</t>
        </is>
      </c>
      <c r="K752" s="16" t="b">
        <v>0</v>
      </c>
      <c r="L752" s="16" t="b">
        <v>0</v>
      </c>
      <c r="M752" s="16" t="b">
        <v>0</v>
      </c>
      <c r="N752" s="16" t="b">
        <v>0</v>
      </c>
      <c r="O752" s="16" t="n">
        <v>623.15</v>
      </c>
      <c r="P752" s="16" t="n">
        <v>288.15</v>
      </c>
      <c r="Q752" s="16" t="n">
        <v>3000</v>
      </c>
      <c r="R752" s="16" t="n">
        <v>150</v>
      </c>
      <c r="S752" s="16" t="n">
        <v>0.5</v>
      </c>
      <c r="T752" s="16" t="n">
        <v>0.85</v>
      </c>
      <c r="U752" s="16" t="n">
        <v>0.75</v>
      </c>
      <c r="V752" s="16" t="n">
        <v>0.85</v>
      </c>
      <c r="W752" s="16" t="n">
        <v>0.75</v>
      </c>
      <c r="X752" s="16" t="n">
        <v>0.8</v>
      </c>
      <c r="Y752" s="16" t="n">
        <v>288.15</v>
      </c>
      <c r="Z752" s="16" t="n"/>
      <c r="AA752" s="16" t="n"/>
      <c r="AB752" s="16" t="n">
        <v>2850</v>
      </c>
      <c r="AC752" s="16" t="n">
        <v>20</v>
      </c>
      <c r="AD752" s="16" t="n"/>
      <c r="AE752" s="16" t="n"/>
    </row>
    <row r="753">
      <c r="A753" s="16" t="inlineStr">
        <is>
          <t>KF-M02S-B4-0022</t>
        </is>
      </c>
      <c r="B753" s="16" t="inlineStr">
        <is>
          <t>2.4</t>
        </is>
      </c>
      <c r="C753" s="16" t="inlineStr">
        <is>
          <t>2.4d</t>
        </is>
      </c>
      <c r="D753" s="16" t="inlineStr">
        <is>
          <t>datos exactos del profesor</t>
        </is>
      </c>
      <c r="E753" s="16" t="inlineStr">
        <is>
          <t>KF-M02S</t>
        </is>
      </c>
      <c r="F753" s="16" t="inlineStr">
        <is>
          <t>KF-M02S-B4</t>
        </is>
      </c>
      <c r="G753" s="16" t="inlineStr">
        <is>
          <t>B05-B4</t>
        </is>
      </c>
      <c r="H753" s="16" t="inlineStr">
        <is>
          <t>malla</t>
        </is>
      </c>
      <c r="I753" s="16" t="inlineStr">
        <is>
          <t>NO_CONVERGIO</t>
        </is>
      </c>
      <c r="J753" s="16" t="inlineStr">
        <is>
          <t>NO_CONVERGIO</t>
        </is>
      </c>
      <c r="K753" s="16" t="b">
        <v>0</v>
      </c>
      <c r="L753" s="16" t="b">
        <v>0</v>
      </c>
      <c r="M753" s="16" t="b">
        <v>0</v>
      </c>
      <c r="N753" s="16" t="b">
        <v>0</v>
      </c>
      <c r="O753" s="16" t="n">
        <v>623.15</v>
      </c>
      <c r="P753" s="16" t="n">
        <v>288.15</v>
      </c>
      <c r="Q753" s="16" t="n">
        <v>3000</v>
      </c>
      <c r="R753" s="16" t="n">
        <v>450</v>
      </c>
      <c r="S753" s="16" t="n">
        <v>0.5</v>
      </c>
      <c r="T753" s="16" t="n">
        <v>0.85</v>
      </c>
      <c r="U753" s="16" t="n">
        <v>0.75</v>
      </c>
      <c r="V753" s="16" t="n">
        <v>0.85</v>
      </c>
      <c r="W753" s="16" t="n">
        <v>0.75</v>
      </c>
      <c r="X753" s="16" t="n">
        <v>0.8</v>
      </c>
      <c r="Y753" s="16" t="n">
        <v>288.15</v>
      </c>
      <c r="Z753" s="16" t="n"/>
      <c r="AA753" s="16" t="n"/>
      <c r="AB753" s="16" t="n">
        <v>2550</v>
      </c>
      <c r="AC753" s="16" t="n">
        <v>6.666666666666667</v>
      </c>
      <c r="AD753" s="16" t="n"/>
      <c r="AE753" s="16" t="n"/>
    </row>
    <row r="754">
      <c r="A754" s="16" t="inlineStr">
        <is>
          <t>KF-M02S-B4-0023</t>
        </is>
      </c>
      <c r="B754" s="16" t="inlineStr">
        <is>
          <t>2.4</t>
        </is>
      </c>
      <c r="C754" s="16" t="inlineStr">
        <is>
          <t>2.4d</t>
        </is>
      </c>
      <c r="D754" s="16" t="inlineStr">
        <is>
          <t>datos exactos del profesor</t>
        </is>
      </c>
      <c r="E754" s="16" t="inlineStr">
        <is>
          <t>KF-M02S</t>
        </is>
      </c>
      <c r="F754" s="16" t="inlineStr">
        <is>
          <t>KF-M02S-B4</t>
        </is>
      </c>
      <c r="G754" s="16" t="inlineStr">
        <is>
          <t>B05-B4</t>
        </is>
      </c>
      <c r="H754" s="16" t="inlineStr">
        <is>
          <t>malla</t>
        </is>
      </c>
      <c r="I754" s="16" t="inlineStr">
        <is>
          <t>NO_CONVERGIO</t>
        </is>
      </c>
      <c r="J754" s="16" t="inlineStr">
        <is>
          <t>NO_CONVERGIO</t>
        </is>
      </c>
      <c r="K754" s="16" t="b">
        <v>0</v>
      </c>
      <c r="L754" s="16" t="b">
        <v>0</v>
      </c>
      <c r="M754" s="16" t="b">
        <v>0</v>
      </c>
      <c r="N754" s="16" t="b">
        <v>0</v>
      </c>
      <c r="O754" s="16" t="n">
        <v>623.15</v>
      </c>
      <c r="P754" s="16" t="n">
        <v>288.15</v>
      </c>
      <c r="Q754" s="16" t="n">
        <v>3000</v>
      </c>
      <c r="R754" s="16" t="n">
        <v>600</v>
      </c>
      <c r="S754" s="16" t="n">
        <v>0.5</v>
      </c>
      <c r="T754" s="16" t="n">
        <v>0.85</v>
      </c>
      <c r="U754" s="16" t="n">
        <v>0.75</v>
      </c>
      <c r="V754" s="16" t="n">
        <v>0.85</v>
      </c>
      <c r="W754" s="16" t="n">
        <v>0.75</v>
      </c>
      <c r="X754" s="16" t="n">
        <v>0.8</v>
      </c>
      <c r="Y754" s="16" t="n">
        <v>288.15</v>
      </c>
      <c r="Z754" s="16" t="n"/>
      <c r="AA754" s="16" t="n"/>
      <c r="AB754" s="16" t="n">
        <v>2400</v>
      </c>
      <c r="AC754" s="16" t="n">
        <v>5</v>
      </c>
      <c r="AD754" s="16" t="n"/>
      <c r="AE754" s="16" t="n"/>
    </row>
    <row r="755">
      <c r="A755" s="16" t="inlineStr">
        <is>
          <t>KF-M02S-B4-0024</t>
        </is>
      </c>
      <c r="B755" s="16" t="inlineStr">
        <is>
          <t>2.4</t>
        </is>
      </c>
      <c r="C755" s="16" t="inlineStr">
        <is>
          <t>2.4d</t>
        </is>
      </c>
      <c r="D755" s="16" t="inlineStr">
        <is>
          <t>datos exactos del profesor</t>
        </is>
      </c>
      <c r="E755" s="16" t="inlineStr">
        <is>
          <t>KF-M02S</t>
        </is>
      </c>
      <c r="F755" s="16" t="inlineStr">
        <is>
          <t>KF-M02S-B4</t>
        </is>
      </c>
      <c r="G755" s="16" t="inlineStr">
        <is>
          <t>B05-B4</t>
        </is>
      </c>
      <c r="H755" s="16" t="inlineStr">
        <is>
          <t>malla</t>
        </is>
      </c>
      <c r="I755" s="16" t="inlineStr">
        <is>
          <t>NO_CONVERGIO</t>
        </is>
      </c>
      <c r="J755" s="16" t="inlineStr">
        <is>
          <t>NO_CONVERGIO</t>
        </is>
      </c>
      <c r="K755" s="16" t="b">
        <v>0</v>
      </c>
      <c r="L755" s="16" t="b">
        <v>0</v>
      </c>
      <c r="M755" s="16" t="b">
        <v>0</v>
      </c>
      <c r="N755" s="16" t="b">
        <v>0</v>
      </c>
      <c r="O755" s="16" t="n">
        <v>623.15</v>
      </c>
      <c r="P755" s="16" t="n">
        <v>288.15</v>
      </c>
      <c r="Q755" s="16" t="n">
        <v>3000</v>
      </c>
      <c r="R755" s="16" t="n">
        <v>750</v>
      </c>
      <c r="S755" s="16" t="n">
        <v>0.5</v>
      </c>
      <c r="T755" s="16" t="n">
        <v>0.85</v>
      </c>
      <c r="U755" s="16" t="n">
        <v>0.75</v>
      </c>
      <c r="V755" s="16" t="n">
        <v>0.85</v>
      </c>
      <c r="W755" s="16" t="n">
        <v>0.75</v>
      </c>
      <c r="X755" s="16" t="n">
        <v>0.8</v>
      </c>
      <c r="Y755" s="16" t="n">
        <v>288.15</v>
      </c>
      <c r="Z755" s="16" t="n"/>
      <c r="AA755" s="16" t="n"/>
      <c r="AB755" s="16" t="n">
        <v>2250</v>
      </c>
      <c r="AC755" s="16" t="n">
        <v>4</v>
      </c>
      <c r="AD755" s="16" t="n"/>
      <c r="AE755" s="16" t="n"/>
    </row>
    <row r="756">
      <c r="A756" s="16" t="inlineStr">
        <is>
          <t>KF-M02S-B4-0025</t>
        </is>
      </c>
      <c r="B756" s="16" t="inlineStr">
        <is>
          <t>2.4</t>
        </is>
      </c>
      <c r="C756" s="16" t="inlineStr">
        <is>
          <t>2.4d</t>
        </is>
      </c>
      <c r="D756" s="16" t="inlineStr">
        <is>
          <t>datos exactos del profesor</t>
        </is>
      </c>
      <c r="E756" s="16" t="inlineStr">
        <is>
          <t>KF-M02S</t>
        </is>
      </c>
      <c r="F756" s="16" t="inlineStr">
        <is>
          <t>KF-M02S-B4</t>
        </is>
      </c>
      <c r="G756" s="16" t="inlineStr">
        <is>
          <t>B05-B4</t>
        </is>
      </c>
      <c r="H756" s="16" t="inlineStr">
        <is>
          <t>malla</t>
        </is>
      </c>
      <c r="I756" s="16" t="inlineStr">
        <is>
          <t>NO_CONVERGIO</t>
        </is>
      </c>
      <c r="J756" s="16" t="inlineStr">
        <is>
          <t>NO_CONVERGIO</t>
        </is>
      </c>
      <c r="K756" s="16" t="b">
        <v>0</v>
      </c>
      <c r="L756" s="16" t="b">
        <v>0</v>
      </c>
      <c r="M756" s="16" t="b">
        <v>0</v>
      </c>
      <c r="N756" s="16" t="b">
        <v>0</v>
      </c>
      <c r="O756" s="16" t="n">
        <v>623.15</v>
      </c>
      <c r="P756" s="16" t="n">
        <v>288.15</v>
      </c>
      <c r="Q756" s="16" t="n">
        <v>3000</v>
      </c>
      <c r="R756" s="16" t="n">
        <v>1050</v>
      </c>
      <c r="S756" s="16" t="n">
        <v>0.5</v>
      </c>
      <c r="T756" s="16" t="n">
        <v>0.85</v>
      </c>
      <c r="U756" s="16" t="n">
        <v>0.75</v>
      </c>
      <c r="V756" s="16" t="n">
        <v>0.85</v>
      </c>
      <c r="W756" s="16" t="n">
        <v>0.75</v>
      </c>
      <c r="X756" s="16" t="n">
        <v>0.8</v>
      </c>
      <c r="Y756" s="16" t="n">
        <v>288.15</v>
      </c>
      <c r="Z756" s="16" t="n"/>
      <c r="AA756" s="16" t="n"/>
      <c r="AB756" s="16" t="n">
        <v>1950</v>
      </c>
      <c r="AC756" s="16" t="n">
        <v>2.857142857142857</v>
      </c>
      <c r="AD756" s="16" t="n"/>
      <c r="AE756" s="16" t="n"/>
    </row>
    <row r="757">
      <c r="A757" s="16" t="inlineStr">
        <is>
          <t>KF-M02S-B4-0026</t>
        </is>
      </c>
      <c r="B757" s="16" t="inlineStr">
        <is>
          <t>2.4</t>
        </is>
      </c>
      <c r="C757" s="16" t="inlineStr">
        <is>
          <t>2.4d</t>
        </is>
      </c>
      <c r="D757" s="16" t="inlineStr">
        <is>
          <t>datos exactos del profesor</t>
        </is>
      </c>
      <c r="E757" s="16" t="inlineStr">
        <is>
          <t>KF-M02S</t>
        </is>
      </c>
      <c r="F757" s="16" t="inlineStr">
        <is>
          <t>KF-M02S-B4</t>
        </is>
      </c>
      <c r="G757" s="16" t="inlineStr">
        <is>
          <t>B05-B4</t>
        </is>
      </c>
      <c r="H757" s="16" t="inlineStr">
        <is>
          <t>malla</t>
        </is>
      </c>
      <c r="I757" s="16" t="inlineStr">
        <is>
          <t>NO_CONVERGIO</t>
        </is>
      </c>
      <c r="J757" s="16" t="inlineStr">
        <is>
          <t>NO_CONVERGIO</t>
        </is>
      </c>
      <c r="K757" s="16" t="b">
        <v>0</v>
      </c>
      <c r="L757" s="16" t="b">
        <v>0</v>
      </c>
      <c r="M757" s="16" t="b">
        <v>0</v>
      </c>
      <c r="N757" s="16" t="b">
        <v>0</v>
      </c>
      <c r="O757" s="16" t="n">
        <v>623.15</v>
      </c>
      <c r="P757" s="16" t="n">
        <v>288.15</v>
      </c>
      <c r="Q757" s="16" t="n">
        <v>3000</v>
      </c>
      <c r="R757" s="16" t="n">
        <v>900</v>
      </c>
      <c r="S757" s="16" t="n">
        <v>0.5</v>
      </c>
      <c r="T757" s="16" t="n">
        <v>0.85</v>
      </c>
      <c r="U757" s="16" t="n">
        <v>0.75</v>
      </c>
      <c r="V757" s="16" t="n">
        <v>0.85</v>
      </c>
      <c r="W757" s="16" t="n">
        <v>0.75</v>
      </c>
      <c r="X757" s="16" t="n">
        <v>0.8</v>
      </c>
      <c r="Y757" s="16" t="n">
        <v>288.15</v>
      </c>
      <c r="Z757" s="16" t="n"/>
      <c r="AA757" s="16" t="n"/>
      <c r="AB757" s="16" t="n">
        <v>2100</v>
      </c>
      <c r="AC757" s="16" t="n">
        <v>3.333333333333333</v>
      </c>
      <c r="AD757" s="16" t="n"/>
      <c r="AE757" s="16" t="n"/>
    </row>
    <row r="758">
      <c r="A758" s="16" t="inlineStr">
        <is>
          <t>KF-M02S-B4-0027</t>
        </is>
      </c>
      <c r="B758" s="16" t="inlineStr">
        <is>
          <t>2.4</t>
        </is>
      </c>
      <c r="C758" s="16" t="inlineStr">
        <is>
          <t>2.4d</t>
        </is>
      </c>
      <c r="D758" s="16" t="inlineStr">
        <is>
          <t>datos exactos del profesor</t>
        </is>
      </c>
      <c r="E758" s="16" t="inlineStr">
        <is>
          <t>KF-M02S</t>
        </is>
      </c>
      <c r="F758" s="16" t="inlineStr">
        <is>
          <t>KF-M02S-B4</t>
        </is>
      </c>
      <c r="G758" s="16" t="inlineStr">
        <is>
          <t>B05-B4</t>
        </is>
      </c>
      <c r="H758" s="16" t="inlineStr">
        <is>
          <t>malla</t>
        </is>
      </c>
      <c r="I758" s="16" t="inlineStr">
        <is>
          <t>NO_CONVERGIO</t>
        </is>
      </c>
      <c r="J758" s="16" t="inlineStr">
        <is>
          <t>NO_CONVERGIO</t>
        </is>
      </c>
      <c r="K758" s="16" t="b">
        <v>0</v>
      </c>
      <c r="L758" s="16" t="b">
        <v>0</v>
      </c>
      <c r="M758" s="16" t="b">
        <v>0</v>
      </c>
      <c r="N758" s="16" t="b">
        <v>0</v>
      </c>
      <c r="O758" s="16" t="n">
        <v>623.15</v>
      </c>
      <c r="P758" s="16" t="n">
        <v>288.15</v>
      </c>
      <c r="Q758" s="16" t="n">
        <v>3000</v>
      </c>
      <c r="R758" s="16" t="n">
        <v>1200</v>
      </c>
      <c r="S758" s="16" t="n">
        <v>0.5</v>
      </c>
      <c r="T758" s="16" t="n">
        <v>0.85</v>
      </c>
      <c r="U758" s="16" t="n">
        <v>0.75</v>
      </c>
      <c r="V758" s="16" t="n">
        <v>0.85</v>
      </c>
      <c r="W758" s="16" t="n">
        <v>0.75</v>
      </c>
      <c r="X758" s="16" t="n">
        <v>0.8</v>
      </c>
      <c r="Y758" s="16" t="n">
        <v>288.15</v>
      </c>
      <c r="Z758" s="16" t="n"/>
      <c r="AA758" s="16" t="n"/>
      <c r="AB758" s="16" t="n">
        <v>1800</v>
      </c>
      <c r="AC758" s="16" t="n">
        <v>2.5</v>
      </c>
      <c r="AD758" s="16" t="n"/>
      <c r="AE758" s="16" t="n"/>
    </row>
    <row r="759">
      <c r="A759" s="16" t="inlineStr">
        <is>
          <t>KF-M02S-B4-0028</t>
        </is>
      </c>
      <c r="B759" s="16" t="inlineStr">
        <is>
          <t>2.4</t>
        </is>
      </c>
      <c r="C759" s="16" t="inlineStr">
        <is>
          <t>2.4d</t>
        </is>
      </c>
      <c r="D759" s="16" t="inlineStr">
        <is>
          <t>datos exactos del profesor</t>
        </is>
      </c>
      <c r="E759" s="16" t="inlineStr">
        <is>
          <t>KF-M02S</t>
        </is>
      </c>
      <c r="F759" s="16" t="inlineStr">
        <is>
          <t>KF-M02S-B4</t>
        </is>
      </c>
      <c r="G759" s="16" t="inlineStr">
        <is>
          <t>B05-B4</t>
        </is>
      </c>
      <c r="H759" s="16" t="inlineStr">
        <is>
          <t>malla</t>
        </is>
      </c>
      <c r="I759" s="16" t="inlineStr">
        <is>
          <t>NO_CONVERGIO</t>
        </is>
      </c>
      <c r="J759" s="16" t="inlineStr">
        <is>
          <t>NO_CONVERGIO</t>
        </is>
      </c>
      <c r="K759" s="16" t="b">
        <v>0</v>
      </c>
      <c r="L759" s="16" t="b">
        <v>0</v>
      </c>
      <c r="M759" s="16" t="b">
        <v>0</v>
      </c>
      <c r="N759" s="16" t="b">
        <v>0</v>
      </c>
      <c r="O759" s="16" t="n">
        <v>623.15</v>
      </c>
      <c r="P759" s="16" t="n">
        <v>288.15</v>
      </c>
      <c r="Q759" s="16" t="n">
        <v>3000</v>
      </c>
      <c r="R759" s="16" t="n">
        <v>1350</v>
      </c>
      <c r="S759" s="16" t="n">
        <v>0.5</v>
      </c>
      <c r="T759" s="16" t="n">
        <v>0.85</v>
      </c>
      <c r="U759" s="16" t="n">
        <v>0.75</v>
      </c>
      <c r="V759" s="16" t="n">
        <v>0.85</v>
      </c>
      <c r="W759" s="16" t="n">
        <v>0.75</v>
      </c>
      <c r="X759" s="16" t="n">
        <v>0.8</v>
      </c>
      <c r="Y759" s="16" t="n">
        <v>288.15</v>
      </c>
      <c r="Z759" s="16" t="n"/>
      <c r="AA759" s="16" t="n"/>
      <c r="AB759" s="16" t="n">
        <v>1650</v>
      </c>
      <c r="AC759" s="16" t="n">
        <v>2.222222222222222</v>
      </c>
      <c r="AD759" s="16" t="n"/>
      <c r="AE759" s="16" t="n"/>
    </row>
    <row r="760">
      <c r="A760" s="16" t="inlineStr">
        <is>
          <t>KF-M02S-B4-0029</t>
        </is>
      </c>
      <c r="B760" s="16" t="inlineStr">
        <is>
          <t>2.4</t>
        </is>
      </c>
      <c r="C760" s="16" t="inlineStr">
        <is>
          <t>2.4d</t>
        </is>
      </c>
      <c r="D760" s="16" t="inlineStr">
        <is>
          <t>datos exactos del profesor</t>
        </is>
      </c>
      <c r="E760" s="16" t="inlineStr">
        <is>
          <t>KF-M02S</t>
        </is>
      </c>
      <c r="F760" s="16" t="inlineStr">
        <is>
          <t>KF-M02S-B4</t>
        </is>
      </c>
      <c r="G760" s="16" t="inlineStr">
        <is>
          <t>B05-B4</t>
        </is>
      </c>
      <c r="H760" s="16" t="inlineStr">
        <is>
          <t>malla</t>
        </is>
      </c>
      <c r="I760" s="16" t="inlineStr">
        <is>
          <t>NO_CONVERGIO</t>
        </is>
      </c>
      <c r="J760" s="16" t="inlineStr">
        <is>
          <t>NO_CONVERGIO</t>
        </is>
      </c>
      <c r="K760" s="16" t="b">
        <v>0</v>
      </c>
      <c r="L760" s="16" t="b">
        <v>0</v>
      </c>
      <c r="M760" s="16" t="b">
        <v>0</v>
      </c>
      <c r="N760" s="16" t="b">
        <v>0</v>
      </c>
      <c r="O760" s="16" t="n">
        <v>623.15</v>
      </c>
      <c r="P760" s="16" t="n">
        <v>288.15</v>
      </c>
      <c r="Q760" s="16" t="n">
        <v>3000</v>
      </c>
      <c r="R760" s="16" t="n">
        <v>1500</v>
      </c>
      <c r="S760" s="16" t="n">
        <v>0.5</v>
      </c>
      <c r="T760" s="16" t="n">
        <v>0.85</v>
      </c>
      <c r="U760" s="16" t="n">
        <v>0.75</v>
      </c>
      <c r="V760" s="16" t="n">
        <v>0.85</v>
      </c>
      <c r="W760" s="16" t="n">
        <v>0.75</v>
      </c>
      <c r="X760" s="16" t="n">
        <v>0.8</v>
      </c>
      <c r="Y760" s="16" t="n">
        <v>288.15</v>
      </c>
      <c r="Z760" s="16" t="n"/>
      <c r="AA760" s="16" t="n"/>
      <c r="AB760" s="16" t="n">
        <v>1500</v>
      </c>
      <c r="AC760" s="16" t="n">
        <v>2</v>
      </c>
      <c r="AD760" s="16" t="n"/>
      <c r="AE760" s="16" t="n"/>
    </row>
    <row r="761">
      <c r="A761" s="16" t="inlineStr">
        <is>
          <t>KF-M02S-B4-0030</t>
        </is>
      </c>
      <c r="B761" s="16" t="inlineStr">
        <is>
          <t>2.4</t>
        </is>
      </c>
      <c r="C761" s="16" t="inlineStr">
        <is>
          <t>2.4d</t>
        </is>
      </c>
      <c r="D761" s="16" t="inlineStr">
        <is>
          <t>datos exactos del profesor</t>
        </is>
      </c>
      <c r="E761" s="16" t="inlineStr">
        <is>
          <t>KF-M02S</t>
        </is>
      </c>
      <c r="F761" s="16" t="inlineStr">
        <is>
          <t>KF-M02S-B4</t>
        </is>
      </c>
      <c r="G761" s="16" t="inlineStr">
        <is>
          <t>B05-B4</t>
        </is>
      </c>
      <c r="H761" s="16" t="inlineStr">
        <is>
          <t>malla</t>
        </is>
      </c>
      <c r="I761" s="16" t="inlineStr">
        <is>
          <t>NO_CONVERGIO</t>
        </is>
      </c>
      <c r="J761" s="16" t="inlineStr">
        <is>
          <t>NO_CONVERGIO</t>
        </is>
      </c>
      <c r="K761" s="16" t="b">
        <v>0</v>
      </c>
      <c r="L761" s="16" t="b">
        <v>0</v>
      </c>
      <c r="M761" s="16" t="b">
        <v>0</v>
      </c>
      <c r="N761" s="16" t="b">
        <v>0</v>
      </c>
      <c r="O761" s="16" t="n">
        <v>623.15</v>
      </c>
      <c r="P761" s="16" t="n">
        <v>293.15</v>
      </c>
      <c r="Q761" s="16" t="n">
        <v>3000</v>
      </c>
      <c r="R761" s="16" t="n">
        <v>300</v>
      </c>
      <c r="S761" s="16" t="n">
        <v>0.5</v>
      </c>
      <c r="T761" s="16" t="n">
        <v>0.85</v>
      </c>
      <c r="U761" s="16" t="n">
        <v>0.75</v>
      </c>
      <c r="V761" s="16" t="n">
        <v>0.85</v>
      </c>
      <c r="W761" s="16" t="n">
        <v>0.75</v>
      </c>
      <c r="X761" s="16" t="n">
        <v>0.8</v>
      </c>
      <c r="Y761" s="16" t="n">
        <v>293.15</v>
      </c>
      <c r="Z761" s="16" t="n"/>
      <c r="AA761" s="16" t="n"/>
      <c r="AB761" s="16" t="n">
        <v>2700</v>
      </c>
      <c r="AC761" s="16" t="n">
        <v>10</v>
      </c>
      <c r="AD761" s="16" t="n"/>
      <c r="AE761" s="16" t="n"/>
    </row>
    <row r="762">
      <c r="A762" s="16" t="inlineStr">
        <is>
          <t>KF-M02S-B4-0031</t>
        </is>
      </c>
      <c r="B762" s="16" t="inlineStr">
        <is>
          <t>2.4</t>
        </is>
      </c>
      <c r="C762" s="16" t="inlineStr">
        <is>
          <t>2.4d</t>
        </is>
      </c>
      <c r="D762" s="16" t="inlineStr">
        <is>
          <t>datos exactos del profesor</t>
        </is>
      </c>
      <c r="E762" s="16" t="inlineStr">
        <is>
          <t>KF-M02S</t>
        </is>
      </c>
      <c r="F762" s="16" t="inlineStr">
        <is>
          <t>KF-M02S-B4</t>
        </is>
      </c>
      <c r="G762" s="16" t="inlineStr">
        <is>
          <t>B05-B4</t>
        </is>
      </c>
      <c r="H762" s="16" t="inlineStr">
        <is>
          <t>malla</t>
        </is>
      </c>
      <c r="I762" s="16" t="inlineStr">
        <is>
          <t>NO_CONVERGIO</t>
        </is>
      </c>
      <c r="J762" s="16" t="inlineStr">
        <is>
          <t>NO_CONVERGIO</t>
        </is>
      </c>
      <c r="K762" s="16" t="b">
        <v>0</v>
      </c>
      <c r="L762" s="16" t="b">
        <v>0</v>
      </c>
      <c r="M762" s="16" t="b">
        <v>0</v>
      </c>
      <c r="N762" s="16" t="b">
        <v>0</v>
      </c>
      <c r="O762" s="16" t="n">
        <v>623.15</v>
      </c>
      <c r="P762" s="16" t="n">
        <v>293.15</v>
      </c>
      <c r="Q762" s="16" t="n">
        <v>3000</v>
      </c>
      <c r="R762" s="16" t="n">
        <v>150</v>
      </c>
      <c r="S762" s="16" t="n">
        <v>0.5</v>
      </c>
      <c r="T762" s="16" t="n">
        <v>0.85</v>
      </c>
      <c r="U762" s="16" t="n">
        <v>0.75</v>
      </c>
      <c r="V762" s="16" t="n">
        <v>0.85</v>
      </c>
      <c r="W762" s="16" t="n">
        <v>0.75</v>
      </c>
      <c r="X762" s="16" t="n">
        <v>0.8</v>
      </c>
      <c r="Y762" s="16" t="n">
        <v>293.15</v>
      </c>
      <c r="Z762" s="16" t="n"/>
      <c r="AA762" s="16" t="n"/>
      <c r="AB762" s="16" t="n">
        <v>2850</v>
      </c>
      <c r="AC762" s="16" t="n">
        <v>20</v>
      </c>
      <c r="AD762" s="16" t="n"/>
      <c r="AE762" s="16" t="n"/>
    </row>
    <row r="763">
      <c r="A763" s="16" t="inlineStr">
        <is>
          <t>KF-M02S-B4-0032</t>
        </is>
      </c>
      <c r="B763" s="16" t="inlineStr">
        <is>
          <t>2.4</t>
        </is>
      </c>
      <c r="C763" s="16" t="inlineStr">
        <is>
          <t>2.4d</t>
        </is>
      </c>
      <c r="D763" s="16" t="inlineStr">
        <is>
          <t>datos exactos del profesor</t>
        </is>
      </c>
      <c r="E763" s="16" t="inlineStr">
        <is>
          <t>KF-M02S</t>
        </is>
      </c>
      <c r="F763" s="16" t="inlineStr">
        <is>
          <t>KF-M02S-B4</t>
        </is>
      </c>
      <c r="G763" s="16" t="inlineStr">
        <is>
          <t>B05-B4</t>
        </is>
      </c>
      <c r="H763" s="16" t="inlineStr">
        <is>
          <t>malla</t>
        </is>
      </c>
      <c r="I763" s="16" t="inlineStr">
        <is>
          <t>NO_CONVERGIO</t>
        </is>
      </c>
      <c r="J763" s="16" t="inlineStr">
        <is>
          <t>NO_CONVERGIO</t>
        </is>
      </c>
      <c r="K763" s="16" t="b">
        <v>0</v>
      </c>
      <c r="L763" s="16" t="b">
        <v>0</v>
      </c>
      <c r="M763" s="16" t="b">
        <v>0</v>
      </c>
      <c r="N763" s="16" t="b">
        <v>0</v>
      </c>
      <c r="O763" s="16" t="n">
        <v>623.15</v>
      </c>
      <c r="P763" s="16" t="n">
        <v>293.15</v>
      </c>
      <c r="Q763" s="16" t="n">
        <v>3000</v>
      </c>
      <c r="R763" s="16" t="n">
        <v>450</v>
      </c>
      <c r="S763" s="16" t="n">
        <v>0.5</v>
      </c>
      <c r="T763" s="16" t="n">
        <v>0.85</v>
      </c>
      <c r="U763" s="16" t="n">
        <v>0.75</v>
      </c>
      <c r="V763" s="16" t="n">
        <v>0.85</v>
      </c>
      <c r="W763" s="16" t="n">
        <v>0.75</v>
      </c>
      <c r="X763" s="16" t="n">
        <v>0.8</v>
      </c>
      <c r="Y763" s="16" t="n">
        <v>293.15</v>
      </c>
      <c r="Z763" s="16" t="n"/>
      <c r="AA763" s="16" t="n"/>
      <c r="AB763" s="16" t="n">
        <v>2550</v>
      </c>
      <c r="AC763" s="16" t="n">
        <v>6.666666666666667</v>
      </c>
      <c r="AD763" s="16" t="n"/>
      <c r="AE763" s="16" t="n"/>
    </row>
    <row r="764">
      <c r="A764" s="16" t="inlineStr">
        <is>
          <t>KF-M02S-B4-0033</t>
        </is>
      </c>
      <c r="B764" s="16" t="inlineStr">
        <is>
          <t>2.4</t>
        </is>
      </c>
      <c r="C764" s="16" t="inlineStr">
        <is>
          <t>2.4d</t>
        </is>
      </c>
      <c r="D764" s="16" t="inlineStr">
        <is>
          <t>datos exactos del profesor</t>
        </is>
      </c>
      <c r="E764" s="16" t="inlineStr">
        <is>
          <t>KF-M02S</t>
        </is>
      </c>
      <c r="F764" s="16" t="inlineStr">
        <is>
          <t>KF-M02S-B4</t>
        </is>
      </c>
      <c r="G764" s="16" t="inlineStr">
        <is>
          <t>B05-B4</t>
        </is>
      </c>
      <c r="H764" s="16" t="inlineStr">
        <is>
          <t>malla</t>
        </is>
      </c>
      <c r="I764" s="16" t="inlineStr">
        <is>
          <t>NO_CONVERGIO</t>
        </is>
      </c>
      <c r="J764" s="16" t="inlineStr">
        <is>
          <t>NO_CONVERGIO</t>
        </is>
      </c>
      <c r="K764" s="16" t="b">
        <v>0</v>
      </c>
      <c r="L764" s="16" t="b">
        <v>0</v>
      </c>
      <c r="M764" s="16" t="b">
        <v>0</v>
      </c>
      <c r="N764" s="16" t="b">
        <v>0</v>
      </c>
      <c r="O764" s="16" t="n">
        <v>623.15</v>
      </c>
      <c r="P764" s="16" t="n">
        <v>293.15</v>
      </c>
      <c r="Q764" s="16" t="n">
        <v>3000</v>
      </c>
      <c r="R764" s="16" t="n">
        <v>600</v>
      </c>
      <c r="S764" s="16" t="n">
        <v>0.5</v>
      </c>
      <c r="T764" s="16" t="n">
        <v>0.85</v>
      </c>
      <c r="U764" s="16" t="n">
        <v>0.75</v>
      </c>
      <c r="V764" s="16" t="n">
        <v>0.85</v>
      </c>
      <c r="W764" s="16" t="n">
        <v>0.75</v>
      </c>
      <c r="X764" s="16" t="n">
        <v>0.8</v>
      </c>
      <c r="Y764" s="16" t="n">
        <v>293.15</v>
      </c>
      <c r="Z764" s="16" t="n"/>
      <c r="AA764" s="16" t="n"/>
      <c r="AB764" s="16" t="n">
        <v>2400</v>
      </c>
      <c r="AC764" s="16" t="n">
        <v>5</v>
      </c>
      <c r="AD764" s="16" t="n"/>
      <c r="AE764" s="16" t="n"/>
    </row>
    <row r="765">
      <c r="A765" s="16" t="inlineStr">
        <is>
          <t>KF-M02S-B4-0034</t>
        </is>
      </c>
      <c r="B765" s="16" t="inlineStr">
        <is>
          <t>2.4</t>
        </is>
      </c>
      <c r="C765" s="16" t="inlineStr">
        <is>
          <t>2.4d</t>
        </is>
      </c>
      <c r="D765" s="16" t="inlineStr">
        <is>
          <t>datos exactos del profesor</t>
        </is>
      </c>
      <c r="E765" s="16" t="inlineStr">
        <is>
          <t>KF-M02S</t>
        </is>
      </c>
      <c r="F765" s="16" t="inlineStr">
        <is>
          <t>KF-M02S-B4</t>
        </is>
      </c>
      <c r="G765" s="16" t="inlineStr">
        <is>
          <t>B05-B4</t>
        </is>
      </c>
      <c r="H765" s="16" t="inlineStr">
        <is>
          <t>malla</t>
        </is>
      </c>
      <c r="I765" s="16" t="inlineStr">
        <is>
          <t>NO_CONVERGIO</t>
        </is>
      </c>
      <c r="J765" s="16" t="inlineStr">
        <is>
          <t>NO_CONVERGIO</t>
        </is>
      </c>
      <c r="K765" s="16" t="b">
        <v>0</v>
      </c>
      <c r="L765" s="16" t="b">
        <v>0</v>
      </c>
      <c r="M765" s="16" t="b">
        <v>0</v>
      </c>
      <c r="N765" s="16" t="b">
        <v>0</v>
      </c>
      <c r="O765" s="16" t="n">
        <v>623.15</v>
      </c>
      <c r="P765" s="16" t="n">
        <v>293.15</v>
      </c>
      <c r="Q765" s="16" t="n">
        <v>3000</v>
      </c>
      <c r="R765" s="16" t="n">
        <v>1050</v>
      </c>
      <c r="S765" s="16" t="n">
        <v>0.5</v>
      </c>
      <c r="T765" s="16" t="n">
        <v>0.85</v>
      </c>
      <c r="U765" s="16" t="n">
        <v>0.75</v>
      </c>
      <c r="V765" s="16" t="n">
        <v>0.85</v>
      </c>
      <c r="W765" s="16" t="n">
        <v>0.75</v>
      </c>
      <c r="X765" s="16" t="n">
        <v>0.8</v>
      </c>
      <c r="Y765" s="16" t="n">
        <v>293.15</v>
      </c>
      <c r="Z765" s="16" t="n"/>
      <c r="AA765" s="16" t="n"/>
      <c r="AB765" s="16" t="n">
        <v>1950</v>
      </c>
      <c r="AC765" s="16" t="n">
        <v>2.857142857142857</v>
      </c>
      <c r="AD765" s="16" t="n"/>
      <c r="AE765" s="16" t="n"/>
    </row>
    <row r="766">
      <c r="A766" s="16" t="inlineStr">
        <is>
          <t>KF-M02S-B4-0035</t>
        </is>
      </c>
      <c r="B766" s="16" t="inlineStr">
        <is>
          <t>2.4</t>
        </is>
      </c>
      <c r="C766" s="16" t="inlineStr">
        <is>
          <t>2.4d</t>
        </is>
      </c>
      <c r="D766" s="16" t="inlineStr">
        <is>
          <t>datos exactos del profesor</t>
        </is>
      </c>
      <c r="E766" s="16" t="inlineStr">
        <is>
          <t>KF-M02S</t>
        </is>
      </c>
      <c r="F766" s="16" t="inlineStr">
        <is>
          <t>KF-M02S-B4</t>
        </is>
      </c>
      <c r="G766" s="16" t="inlineStr">
        <is>
          <t>B05-B4</t>
        </is>
      </c>
      <c r="H766" s="16" t="inlineStr">
        <is>
          <t>malla</t>
        </is>
      </c>
      <c r="I766" s="16" t="inlineStr">
        <is>
          <t>NO_CONVERGIO</t>
        </is>
      </c>
      <c r="J766" s="16" t="inlineStr">
        <is>
          <t>NO_CONVERGIO</t>
        </is>
      </c>
      <c r="K766" s="16" t="b">
        <v>0</v>
      </c>
      <c r="L766" s="16" t="b">
        <v>0</v>
      </c>
      <c r="M766" s="16" t="b">
        <v>0</v>
      </c>
      <c r="N766" s="16" t="b">
        <v>0</v>
      </c>
      <c r="O766" s="16" t="n">
        <v>623.15</v>
      </c>
      <c r="P766" s="16" t="n">
        <v>293.15</v>
      </c>
      <c r="Q766" s="16" t="n">
        <v>3000</v>
      </c>
      <c r="R766" s="16" t="n">
        <v>1200</v>
      </c>
      <c r="S766" s="16" t="n">
        <v>0.5</v>
      </c>
      <c r="T766" s="16" t="n">
        <v>0.85</v>
      </c>
      <c r="U766" s="16" t="n">
        <v>0.75</v>
      </c>
      <c r="V766" s="16" t="n">
        <v>0.85</v>
      </c>
      <c r="W766" s="16" t="n">
        <v>0.75</v>
      </c>
      <c r="X766" s="16" t="n">
        <v>0.8</v>
      </c>
      <c r="Y766" s="16" t="n">
        <v>293.15</v>
      </c>
      <c r="Z766" s="16" t="n"/>
      <c r="AA766" s="16" t="n"/>
      <c r="AB766" s="16" t="n">
        <v>1800</v>
      </c>
      <c r="AC766" s="16" t="n">
        <v>2.5</v>
      </c>
      <c r="AD766" s="16" t="n"/>
      <c r="AE766" s="16" t="n"/>
    </row>
    <row r="767">
      <c r="A767" s="16" t="inlineStr">
        <is>
          <t>KF-M02S-B4-0036</t>
        </is>
      </c>
      <c r="B767" s="16" t="inlineStr">
        <is>
          <t>2.4</t>
        </is>
      </c>
      <c r="C767" s="16" t="inlineStr">
        <is>
          <t>2.4d</t>
        </is>
      </c>
      <c r="D767" s="16" t="inlineStr">
        <is>
          <t>datos exactos del profesor</t>
        </is>
      </c>
      <c r="E767" s="16" t="inlineStr">
        <is>
          <t>KF-M02S</t>
        </is>
      </c>
      <c r="F767" s="16" t="inlineStr">
        <is>
          <t>KF-M02S-B4</t>
        </is>
      </c>
      <c r="G767" s="16" t="inlineStr">
        <is>
          <t>B05-B4</t>
        </is>
      </c>
      <c r="H767" s="16" t="inlineStr">
        <is>
          <t>malla</t>
        </is>
      </c>
      <c r="I767" s="16" t="inlineStr">
        <is>
          <t>NO_CONVERGIO</t>
        </is>
      </c>
      <c r="J767" s="16" t="inlineStr">
        <is>
          <t>NO_CONVERGIO</t>
        </is>
      </c>
      <c r="K767" s="16" t="b">
        <v>0</v>
      </c>
      <c r="L767" s="16" t="b">
        <v>0</v>
      </c>
      <c r="M767" s="16" t="b">
        <v>0</v>
      </c>
      <c r="N767" s="16" t="b">
        <v>0</v>
      </c>
      <c r="O767" s="16" t="n">
        <v>623.15</v>
      </c>
      <c r="P767" s="16" t="n">
        <v>293.15</v>
      </c>
      <c r="Q767" s="16" t="n">
        <v>3000</v>
      </c>
      <c r="R767" s="16" t="n">
        <v>750</v>
      </c>
      <c r="S767" s="16" t="n">
        <v>0.5</v>
      </c>
      <c r="T767" s="16" t="n">
        <v>0.85</v>
      </c>
      <c r="U767" s="16" t="n">
        <v>0.75</v>
      </c>
      <c r="V767" s="16" t="n">
        <v>0.85</v>
      </c>
      <c r="W767" s="16" t="n">
        <v>0.75</v>
      </c>
      <c r="X767" s="16" t="n">
        <v>0.8</v>
      </c>
      <c r="Y767" s="16" t="n">
        <v>293.15</v>
      </c>
      <c r="Z767" s="16" t="n"/>
      <c r="AA767" s="16" t="n"/>
      <c r="AB767" s="16" t="n">
        <v>2250</v>
      </c>
      <c r="AC767" s="16" t="n">
        <v>4</v>
      </c>
      <c r="AD767" s="16" t="n"/>
      <c r="AE767" s="16" t="n"/>
    </row>
    <row r="768">
      <c r="A768" s="16" t="inlineStr">
        <is>
          <t>KF-M02S-B4-0037</t>
        </is>
      </c>
      <c r="B768" s="16" t="inlineStr">
        <is>
          <t>2.4</t>
        </is>
      </c>
      <c r="C768" s="16" t="inlineStr">
        <is>
          <t>2.4d</t>
        </is>
      </c>
      <c r="D768" s="16" t="inlineStr">
        <is>
          <t>datos exactos del profesor</t>
        </is>
      </c>
      <c r="E768" s="16" t="inlineStr">
        <is>
          <t>KF-M02S</t>
        </is>
      </c>
      <c r="F768" s="16" t="inlineStr">
        <is>
          <t>KF-M02S-B4</t>
        </is>
      </c>
      <c r="G768" s="16" t="inlineStr">
        <is>
          <t>B05-B4</t>
        </is>
      </c>
      <c r="H768" s="16" t="inlineStr">
        <is>
          <t>malla</t>
        </is>
      </c>
      <c r="I768" s="16" t="inlineStr">
        <is>
          <t>NO_CONVERGIO</t>
        </is>
      </c>
      <c r="J768" s="16" t="inlineStr">
        <is>
          <t>NO_CONVERGIO</t>
        </is>
      </c>
      <c r="K768" s="16" t="b">
        <v>0</v>
      </c>
      <c r="L768" s="16" t="b">
        <v>0</v>
      </c>
      <c r="M768" s="16" t="b">
        <v>0</v>
      </c>
      <c r="N768" s="16" t="b">
        <v>0</v>
      </c>
      <c r="O768" s="16" t="n">
        <v>623.15</v>
      </c>
      <c r="P768" s="16" t="n">
        <v>293.15</v>
      </c>
      <c r="Q768" s="16" t="n">
        <v>3000</v>
      </c>
      <c r="R768" s="16" t="n">
        <v>900</v>
      </c>
      <c r="S768" s="16" t="n">
        <v>0.5</v>
      </c>
      <c r="T768" s="16" t="n">
        <v>0.85</v>
      </c>
      <c r="U768" s="16" t="n">
        <v>0.75</v>
      </c>
      <c r="V768" s="16" t="n">
        <v>0.85</v>
      </c>
      <c r="W768" s="16" t="n">
        <v>0.75</v>
      </c>
      <c r="X768" s="16" t="n">
        <v>0.8</v>
      </c>
      <c r="Y768" s="16" t="n">
        <v>293.15</v>
      </c>
      <c r="Z768" s="16" t="n"/>
      <c r="AA768" s="16" t="n"/>
      <c r="AB768" s="16" t="n">
        <v>2100</v>
      </c>
      <c r="AC768" s="16" t="n">
        <v>3.333333333333333</v>
      </c>
      <c r="AD768" s="16" t="n"/>
      <c r="AE768" s="16" t="n"/>
    </row>
    <row r="769">
      <c r="A769" s="16" t="inlineStr">
        <is>
          <t>KF-M02S-B4-0038</t>
        </is>
      </c>
      <c r="B769" s="16" t="inlineStr">
        <is>
          <t>2.4</t>
        </is>
      </c>
      <c r="C769" s="16" t="inlineStr">
        <is>
          <t>2.4d</t>
        </is>
      </c>
      <c r="D769" s="16" t="inlineStr">
        <is>
          <t>datos exactos del profesor</t>
        </is>
      </c>
      <c r="E769" s="16" t="inlineStr">
        <is>
          <t>KF-M02S</t>
        </is>
      </c>
      <c r="F769" s="16" t="inlineStr">
        <is>
          <t>KF-M02S-B4</t>
        </is>
      </c>
      <c r="G769" s="16" t="inlineStr">
        <is>
          <t>B05-B4</t>
        </is>
      </c>
      <c r="H769" s="16" t="inlineStr">
        <is>
          <t>malla</t>
        </is>
      </c>
      <c r="I769" s="16" t="inlineStr">
        <is>
          <t>NO_CONVERGIO</t>
        </is>
      </c>
      <c r="J769" s="16" t="inlineStr">
        <is>
          <t>NO_CONVERGIO</t>
        </is>
      </c>
      <c r="K769" s="16" t="b">
        <v>0</v>
      </c>
      <c r="L769" s="16" t="b">
        <v>0</v>
      </c>
      <c r="M769" s="16" t="b">
        <v>0</v>
      </c>
      <c r="N769" s="16" t="b">
        <v>0</v>
      </c>
      <c r="O769" s="16" t="n">
        <v>623.15</v>
      </c>
      <c r="P769" s="16" t="n">
        <v>293.15</v>
      </c>
      <c r="Q769" s="16" t="n">
        <v>3000</v>
      </c>
      <c r="R769" s="16" t="n">
        <v>1350</v>
      </c>
      <c r="S769" s="16" t="n">
        <v>0.5</v>
      </c>
      <c r="T769" s="16" t="n">
        <v>0.85</v>
      </c>
      <c r="U769" s="16" t="n">
        <v>0.75</v>
      </c>
      <c r="V769" s="16" t="n">
        <v>0.85</v>
      </c>
      <c r="W769" s="16" t="n">
        <v>0.75</v>
      </c>
      <c r="X769" s="16" t="n">
        <v>0.8</v>
      </c>
      <c r="Y769" s="16" t="n">
        <v>293.15</v>
      </c>
      <c r="Z769" s="16" t="n"/>
      <c r="AA769" s="16" t="n"/>
      <c r="AB769" s="16" t="n">
        <v>1650</v>
      </c>
      <c r="AC769" s="16" t="n">
        <v>2.222222222222222</v>
      </c>
      <c r="AD769" s="16" t="n"/>
      <c r="AE769" s="16" t="n"/>
    </row>
    <row r="770">
      <c r="A770" s="16" t="inlineStr">
        <is>
          <t>KF-M02S-B4-0039</t>
        </is>
      </c>
      <c r="B770" s="16" t="inlineStr">
        <is>
          <t>2.4</t>
        </is>
      </c>
      <c r="C770" s="16" t="inlineStr">
        <is>
          <t>2.4d</t>
        </is>
      </c>
      <c r="D770" s="16" t="inlineStr">
        <is>
          <t>datos exactos del profesor</t>
        </is>
      </c>
      <c r="E770" s="16" t="inlineStr">
        <is>
          <t>KF-M02S</t>
        </is>
      </c>
      <c r="F770" s="16" t="inlineStr">
        <is>
          <t>KF-M02S-B4</t>
        </is>
      </c>
      <c r="G770" s="16" t="inlineStr">
        <is>
          <t>B05-B4</t>
        </is>
      </c>
      <c r="H770" s="16" t="inlineStr">
        <is>
          <t>malla</t>
        </is>
      </c>
      <c r="I770" s="16" t="inlineStr">
        <is>
          <t>NO_CONVERGIO</t>
        </is>
      </c>
      <c r="J770" s="16" t="inlineStr">
        <is>
          <t>NO_CONVERGIO</t>
        </is>
      </c>
      <c r="K770" s="16" t="b">
        <v>0</v>
      </c>
      <c r="L770" s="16" t="b">
        <v>0</v>
      </c>
      <c r="M770" s="16" t="b">
        <v>0</v>
      </c>
      <c r="N770" s="16" t="b">
        <v>0</v>
      </c>
      <c r="O770" s="16" t="n">
        <v>623.15</v>
      </c>
      <c r="P770" s="16" t="n">
        <v>293.15</v>
      </c>
      <c r="Q770" s="16" t="n">
        <v>3000</v>
      </c>
      <c r="R770" s="16" t="n">
        <v>1500</v>
      </c>
      <c r="S770" s="16" t="n">
        <v>0.5</v>
      </c>
      <c r="T770" s="16" t="n">
        <v>0.85</v>
      </c>
      <c r="U770" s="16" t="n">
        <v>0.75</v>
      </c>
      <c r="V770" s="16" t="n">
        <v>0.85</v>
      </c>
      <c r="W770" s="16" t="n">
        <v>0.75</v>
      </c>
      <c r="X770" s="16" t="n">
        <v>0.8</v>
      </c>
      <c r="Y770" s="16" t="n">
        <v>293.15</v>
      </c>
      <c r="Z770" s="16" t="n"/>
      <c r="AA770" s="16" t="n"/>
      <c r="AB770" s="16" t="n">
        <v>1500</v>
      </c>
      <c r="AC770" s="16" t="n">
        <v>2</v>
      </c>
      <c r="AD770" s="16" t="n"/>
      <c r="AE770" s="16" t="n"/>
    </row>
    <row r="771">
      <c r="A771" s="16" t="inlineStr">
        <is>
          <t>KF-M02S-B4-0040</t>
        </is>
      </c>
      <c r="B771" s="16" t="inlineStr">
        <is>
          <t>2.4</t>
        </is>
      </c>
      <c r="C771" s="16" t="inlineStr">
        <is>
          <t>2.4d</t>
        </is>
      </c>
      <c r="D771" s="16" t="inlineStr">
        <is>
          <t>datos exactos del profesor</t>
        </is>
      </c>
      <c r="E771" s="16" t="inlineStr">
        <is>
          <t>KF-M02S</t>
        </is>
      </c>
      <c r="F771" s="16" t="inlineStr">
        <is>
          <t>KF-M02S-B4</t>
        </is>
      </c>
      <c r="G771" s="16" t="inlineStr">
        <is>
          <t>B05-B4</t>
        </is>
      </c>
      <c r="H771" s="16" t="inlineStr">
        <is>
          <t>malla</t>
        </is>
      </c>
      <c r="I771" s="16" t="inlineStr">
        <is>
          <t>NO_CONVERGIO</t>
        </is>
      </c>
      <c r="J771" s="16" t="inlineStr">
        <is>
          <t>NO_CONVERGIO</t>
        </is>
      </c>
      <c r="K771" s="16" t="b">
        <v>0</v>
      </c>
      <c r="L771" s="16" t="b">
        <v>0</v>
      </c>
      <c r="M771" s="16" t="b">
        <v>0</v>
      </c>
      <c r="N771" s="16" t="b">
        <v>0</v>
      </c>
      <c r="O771" s="16" t="n">
        <v>623.15</v>
      </c>
      <c r="P771" s="16" t="n">
        <v>300.032917</v>
      </c>
      <c r="Q771" s="16" t="n">
        <v>3000</v>
      </c>
      <c r="R771" s="16" t="n">
        <v>450</v>
      </c>
      <c r="S771" s="16" t="n">
        <v>0.5</v>
      </c>
      <c r="T771" s="16" t="n">
        <v>0.85</v>
      </c>
      <c r="U771" s="16" t="n">
        <v>0.75</v>
      </c>
      <c r="V771" s="16" t="n">
        <v>0.85</v>
      </c>
      <c r="W771" s="16" t="n">
        <v>0.75</v>
      </c>
      <c r="X771" s="16" t="n">
        <v>0.8</v>
      </c>
      <c r="Y771" s="16" t="n">
        <v>300.032917</v>
      </c>
      <c r="Z771" s="16" t="n"/>
      <c r="AA771" s="16" t="n"/>
      <c r="AB771" s="16" t="n">
        <v>2550</v>
      </c>
      <c r="AC771" s="16" t="n">
        <v>6.666666666666667</v>
      </c>
      <c r="AD771" s="16" t="n"/>
      <c r="AE771" s="16" t="n"/>
    </row>
    <row r="772">
      <c r="A772" s="16" t="inlineStr">
        <is>
          <t>KF-M02S-B4-0041</t>
        </is>
      </c>
      <c r="B772" s="16" t="inlineStr">
        <is>
          <t>2.4</t>
        </is>
      </c>
      <c r="C772" s="16" t="inlineStr">
        <is>
          <t>2.4d</t>
        </is>
      </c>
      <c r="D772" s="16" t="inlineStr">
        <is>
          <t>datos exactos del profesor</t>
        </is>
      </c>
      <c r="E772" s="16" t="inlineStr">
        <is>
          <t>KF-M02S</t>
        </is>
      </c>
      <c r="F772" s="16" t="inlineStr">
        <is>
          <t>KF-M02S-B4</t>
        </is>
      </c>
      <c r="G772" s="16" t="inlineStr">
        <is>
          <t>B05-B4</t>
        </is>
      </c>
      <c r="H772" s="16" t="inlineStr">
        <is>
          <t>malla</t>
        </is>
      </c>
      <c r="I772" s="16" t="inlineStr">
        <is>
          <t>NO_CONVERGIO</t>
        </is>
      </c>
      <c r="J772" s="16" t="inlineStr">
        <is>
          <t>NO_CONVERGIO</t>
        </is>
      </c>
      <c r="K772" s="16" t="b">
        <v>0</v>
      </c>
      <c r="L772" s="16" t="b">
        <v>0</v>
      </c>
      <c r="M772" s="16" t="b">
        <v>0</v>
      </c>
      <c r="N772" s="16" t="b">
        <v>0</v>
      </c>
      <c r="O772" s="16" t="n">
        <v>623.15</v>
      </c>
      <c r="P772" s="16" t="n">
        <v>300.032917</v>
      </c>
      <c r="Q772" s="16" t="n">
        <v>3000</v>
      </c>
      <c r="R772" s="16" t="n">
        <v>300</v>
      </c>
      <c r="S772" s="16" t="n">
        <v>0.5</v>
      </c>
      <c r="T772" s="16" t="n">
        <v>0.85</v>
      </c>
      <c r="U772" s="16" t="n">
        <v>0.75</v>
      </c>
      <c r="V772" s="16" t="n">
        <v>0.85</v>
      </c>
      <c r="W772" s="16" t="n">
        <v>0.75</v>
      </c>
      <c r="X772" s="16" t="n">
        <v>0.8</v>
      </c>
      <c r="Y772" s="16" t="n">
        <v>300.032917</v>
      </c>
      <c r="Z772" s="16" t="n"/>
      <c r="AA772" s="16" t="n"/>
      <c r="AB772" s="16" t="n">
        <v>2700</v>
      </c>
      <c r="AC772" s="16" t="n">
        <v>10</v>
      </c>
      <c r="AD772" s="16" t="n"/>
      <c r="AE772" s="16" t="n"/>
    </row>
    <row r="773">
      <c r="A773" s="16" t="inlineStr">
        <is>
          <t>KF-M02S-B4-0042</t>
        </is>
      </c>
      <c r="B773" s="16" t="inlineStr">
        <is>
          <t>2.4</t>
        </is>
      </c>
      <c r="C773" s="16" t="inlineStr">
        <is>
          <t>2.4d</t>
        </is>
      </c>
      <c r="D773" s="16" t="inlineStr">
        <is>
          <t>datos exactos del profesor</t>
        </is>
      </c>
      <c r="E773" s="16" t="inlineStr">
        <is>
          <t>KF-M02S</t>
        </is>
      </c>
      <c r="F773" s="16" t="inlineStr">
        <is>
          <t>KF-M02S-B4</t>
        </is>
      </c>
      <c r="G773" s="16" t="inlineStr">
        <is>
          <t>B05-B4</t>
        </is>
      </c>
      <c r="H773" s="16" t="inlineStr">
        <is>
          <t>malla</t>
        </is>
      </c>
      <c r="I773" s="16" t="inlineStr">
        <is>
          <t>NO_CONVERGIO</t>
        </is>
      </c>
      <c r="J773" s="16" t="inlineStr">
        <is>
          <t>NO_CONVERGIO</t>
        </is>
      </c>
      <c r="K773" s="16" t="b">
        <v>0</v>
      </c>
      <c r="L773" s="16" t="b">
        <v>0</v>
      </c>
      <c r="M773" s="16" t="b">
        <v>0</v>
      </c>
      <c r="N773" s="16" t="b">
        <v>0</v>
      </c>
      <c r="O773" s="16" t="n">
        <v>623.15</v>
      </c>
      <c r="P773" s="16" t="n">
        <v>300.032917</v>
      </c>
      <c r="Q773" s="16" t="n">
        <v>3000</v>
      </c>
      <c r="R773" s="16" t="n">
        <v>150</v>
      </c>
      <c r="S773" s="16" t="n">
        <v>0.5</v>
      </c>
      <c r="T773" s="16" t="n">
        <v>0.85</v>
      </c>
      <c r="U773" s="16" t="n">
        <v>0.75</v>
      </c>
      <c r="V773" s="16" t="n">
        <v>0.85</v>
      </c>
      <c r="W773" s="16" t="n">
        <v>0.75</v>
      </c>
      <c r="X773" s="16" t="n">
        <v>0.8</v>
      </c>
      <c r="Y773" s="16" t="n">
        <v>300.032917</v>
      </c>
      <c r="Z773" s="16" t="n"/>
      <c r="AA773" s="16" t="n"/>
      <c r="AB773" s="16" t="n">
        <v>2850</v>
      </c>
      <c r="AC773" s="16" t="n">
        <v>20</v>
      </c>
      <c r="AD773" s="16" t="n"/>
      <c r="AE773" s="16" t="n"/>
    </row>
    <row r="774">
      <c r="A774" s="16" t="inlineStr">
        <is>
          <t>KF-M02S-B4-0043</t>
        </is>
      </c>
      <c r="B774" s="16" t="inlineStr">
        <is>
          <t>2.4</t>
        </is>
      </c>
      <c r="C774" s="16" t="inlineStr">
        <is>
          <t>2.4d</t>
        </is>
      </c>
      <c r="D774" s="16" t="inlineStr">
        <is>
          <t>datos exactos del profesor</t>
        </is>
      </c>
      <c r="E774" s="16" t="inlineStr">
        <is>
          <t>KF-M02S</t>
        </is>
      </c>
      <c r="F774" s="16" t="inlineStr">
        <is>
          <t>KF-M02S-B4</t>
        </is>
      </c>
      <c r="G774" s="16" t="inlineStr">
        <is>
          <t>B05-B4</t>
        </is>
      </c>
      <c r="H774" s="16" t="inlineStr">
        <is>
          <t>malla</t>
        </is>
      </c>
      <c r="I774" s="16" t="inlineStr">
        <is>
          <t>NO_CONVERGIO</t>
        </is>
      </c>
      <c r="J774" s="16" t="inlineStr">
        <is>
          <t>NO_CONVERGIO</t>
        </is>
      </c>
      <c r="K774" s="16" t="b">
        <v>0</v>
      </c>
      <c r="L774" s="16" t="b">
        <v>0</v>
      </c>
      <c r="M774" s="16" t="b">
        <v>0</v>
      </c>
      <c r="N774" s="16" t="b">
        <v>0</v>
      </c>
      <c r="O774" s="16" t="n">
        <v>623.15</v>
      </c>
      <c r="P774" s="16" t="n">
        <v>300.032917</v>
      </c>
      <c r="Q774" s="16" t="n">
        <v>3000</v>
      </c>
      <c r="R774" s="16" t="n">
        <v>600</v>
      </c>
      <c r="S774" s="16" t="n">
        <v>0.5</v>
      </c>
      <c r="T774" s="16" t="n">
        <v>0.85</v>
      </c>
      <c r="U774" s="16" t="n">
        <v>0.75</v>
      </c>
      <c r="V774" s="16" t="n">
        <v>0.85</v>
      </c>
      <c r="W774" s="16" t="n">
        <v>0.75</v>
      </c>
      <c r="X774" s="16" t="n">
        <v>0.8</v>
      </c>
      <c r="Y774" s="16" t="n">
        <v>300.032917</v>
      </c>
      <c r="Z774" s="16" t="n"/>
      <c r="AA774" s="16" t="n"/>
      <c r="AB774" s="16" t="n">
        <v>2400</v>
      </c>
      <c r="AC774" s="16" t="n">
        <v>5</v>
      </c>
      <c r="AD774" s="16" t="n"/>
      <c r="AE774" s="16" t="n"/>
    </row>
    <row r="775">
      <c r="A775" s="16" t="inlineStr">
        <is>
          <t>KF-M02S-B4-0044</t>
        </is>
      </c>
      <c r="B775" s="16" t="inlineStr">
        <is>
          <t>2.4</t>
        </is>
      </c>
      <c r="C775" s="16" t="inlineStr">
        <is>
          <t>2.4d</t>
        </is>
      </c>
      <c r="D775" s="16" t="inlineStr">
        <is>
          <t>datos exactos del profesor</t>
        </is>
      </c>
      <c r="E775" s="16" t="inlineStr">
        <is>
          <t>KF-M02S</t>
        </is>
      </c>
      <c r="F775" s="16" t="inlineStr">
        <is>
          <t>KF-M02S-B4</t>
        </is>
      </c>
      <c r="G775" s="16" t="inlineStr">
        <is>
          <t>B05-B4</t>
        </is>
      </c>
      <c r="H775" s="16" t="inlineStr">
        <is>
          <t>malla</t>
        </is>
      </c>
      <c r="I775" s="16" t="inlineStr">
        <is>
          <t>NO_CONVERGIO</t>
        </is>
      </c>
      <c r="J775" s="16" t="inlineStr">
        <is>
          <t>NO_CONVERGIO</t>
        </is>
      </c>
      <c r="K775" s="16" t="b">
        <v>0</v>
      </c>
      <c r="L775" s="16" t="b">
        <v>0</v>
      </c>
      <c r="M775" s="16" t="b">
        <v>0</v>
      </c>
      <c r="N775" s="16" t="b">
        <v>0</v>
      </c>
      <c r="O775" s="16" t="n">
        <v>623.15</v>
      </c>
      <c r="P775" s="16" t="n">
        <v>300.032917</v>
      </c>
      <c r="Q775" s="16" t="n">
        <v>3000</v>
      </c>
      <c r="R775" s="16" t="n">
        <v>1050</v>
      </c>
      <c r="S775" s="16" t="n">
        <v>0.5</v>
      </c>
      <c r="T775" s="16" t="n">
        <v>0.85</v>
      </c>
      <c r="U775" s="16" t="n">
        <v>0.75</v>
      </c>
      <c r="V775" s="16" t="n">
        <v>0.85</v>
      </c>
      <c r="W775" s="16" t="n">
        <v>0.75</v>
      </c>
      <c r="X775" s="16" t="n">
        <v>0.8</v>
      </c>
      <c r="Y775" s="16" t="n">
        <v>300.032917</v>
      </c>
      <c r="Z775" s="16" t="n"/>
      <c r="AA775" s="16" t="n"/>
      <c r="AB775" s="16" t="n">
        <v>1950</v>
      </c>
      <c r="AC775" s="16" t="n">
        <v>2.857142857142857</v>
      </c>
      <c r="AD775" s="16" t="n"/>
      <c r="AE775" s="16" t="n"/>
    </row>
    <row r="776">
      <c r="A776" s="16" t="inlineStr">
        <is>
          <t>KF-M02S-B4-0045</t>
        </is>
      </c>
      <c r="B776" s="16" t="inlineStr">
        <is>
          <t>2.4</t>
        </is>
      </c>
      <c r="C776" s="16" t="inlineStr">
        <is>
          <t>2.4d</t>
        </is>
      </c>
      <c r="D776" s="16" t="inlineStr">
        <is>
          <t>datos exactos del profesor</t>
        </is>
      </c>
      <c r="E776" s="16" t="inlineStr">
        <is>
          <t>KF-M02S</t>
        </is>
      </c>
      <c r="F776" s="16" t="inlineStr">
        <is>
          <t>KF-M02S-B4</t>
        </is>
      </c>
      <c r="G776" s="16" t="inlineStr">
        <is>
          <t>B05-B4</t>
        </is>
      </c>
      <c r="H776" s="16" t="inlineStr">
        <is>
          <t>malla</t>
        </is>
      </c>
      <c r="I776" s="16" t="inlineStr">
        <is>
          <t>NO_CONVERGIO</t>
        </is>
      </c>
      <c r="J776" s="16" t="inlineStr">
        <is>
          <t>NO_CONVERGIO</t>
        </is>
      </c>
      <c r="K776" s="16" t="b">
        <v>0</v>
      </c>
      <c r="L776" s="16" t="b">
        <v>0</v>
      </c>
      <c r="M776" s="16" t="b">
        <v>0</v>
      </c>
      <c r="N776" s="16" t="b">
        <v>0</v>
      </c>
      <c r="O776" s="16" t="n">
        <v>623.15</v>
      </c>
      <c r="P776" s="16" t="n">
        <v>300.032917</v>
      </c>
      <c r="Q776" s="16" t="n">
        <v>3000</v>
      </c>
      <c r="R776" s="16" t="n">
        <v>1200</v>
      </c>
      <c r="S776" s="16" t="n">
        <v>0.5</v>
      </c>
      <c r="T776" s="16" t="n">
        <v>0.85</v>
      </c>
      <c r="U776" s="16" t="n">
        <v>0.75</v>
      </c>
      <c r="V776" s="16" t="n">
        <v>0.85</v>
      </c>
      <c r="W776" s="16" t="n">
        <v>0.75</v>
      </c>
      <c r="X776" s="16" t="n">
        <v>0.8</v>
      </c>
      <c r="Y776" s="16" t="n">
        <v>300.032917</v>
      </c>
      <c r="Z776" s="16" t="n"/>
      <c r="AA776" s="16" t="n"/>
      <c r="AB776" s="16" t="n">
        <v>1800</v>
      </c>
      <c r="AC776" s="16" t="n">
        <v>2.5</v>
      </c>
      <c r="AD776" s="16" t="n"/>
      <c r="AE776" s="16" t="n"/>
    </row>
    <row r="777">
      <c r="A777" s="16" t="inlineStr">
        <is>
          <t>KF-M02S-B4-0046</t>
        </is>
      </c>
      <c r="B777" s="16" t="inlineStr">
        <is>
          <t>2.4</t>
        </is>
      </c>
      <c r="C777" s="16" t="inlineStr">
        <is>
          <t>2.4d</t>
        </is>
      </c>
      <c r="D777" s="16" t="inlineStr">
        <is>
          <t>datos exactos del profesor</t>
        </is>
      </c>
      <c r="E777" s="16" t="inlineStr">
        <is>
          <t>KF-M02S</t>
        </is>
      </c>
      <c r="F777" s="16" t="inlineStr">
        <is>
          <t>KF-M02S-B4</t>
        </is>
      </c>
      <c r="G777" s="16" t="inlineStr">
        <is>
          <t>B05-B4</t>
        </is>
      </c>
      <c r="H777" s="16" t="inlineStr">
        <is>
          <t>malla</t>
        </is>
      </c>
      <c r="I777" s="16" t="inlineStr">
        <is>
          <t>NO_CONVERGIO</t>
        </is>
      </c>
      <c r="J777" s="16" t="inlineStr">
        <is>
          <t>NO_CONVERGIO</t>
        </is>
      </c>
      <c r="K777" s="16" t="b">
        <v>0</v>
      </c>
      <c r="L777" s="16" t="b">
        <v>0</v>
      </c>
      <c r="M777" s="16" t="b">
        <v>0</v>
      </c>
      <c r="N777" s="16" t="b">
        <v>0</v>
      </c>
      <c r="O777" s="16" t="n">
        <v>623.15</v>
      </c>
      <c r="P777" s="16" t="n">
        <v>300.032917</v>
      </c>
      <c r="Q777" s="16" t="n">
        <v>3000</v>
      </c>
      <c r="R777" s="16" t="n">
        <v>900</v>
      </c>
      <c r="S777" s="16" t="n">
        <v>0.5</v>
      </c>
      <c r="T777" s="16" t="n">
        <v>0.85</v>
      </c>
      <c r="U777" s="16" t="n">
        <v>0.75</v>
      </c>
      <c r="V777" s="16" t="n">
        <v>0.85</v>
      </c>
      <c r="W777" s="16" t="n">
        <v>0.75</v>
      </c>
      <c r="X777" s="16" t="n">
        <v>0.8</v>
      </c>
      <c r="Y777" s="16" t="n">
        <v>300.032917</v>
      </c>
      <c r="Z777" s="16" t="n"/>
      <c r="AA777" s="16" t="n"/>
      <c r="AB777" s="16" t="n">
        <v>2100</v>
      </c>
      <c r="AC777" s="16" t="n">
        <v>3.333333333333333</v>
      </c>
      <c r="AD777" s="16" t="n"/>
      <c r="AE777" s="16" t="n"/>
    </row>
    <row r="778">
      <c r="A778" s="16" t="inlineStr">
        <is>
          <t>KF-M02S-B4-0047</t>
        </is>
      </c>
      <c r="B778" s="16" t="inlineStr">
        <is>
          <t>2.4</t>
        </is>
      </c>
      <c r="C778" s="16" t="inlineStr">
        <is>
          <t>2.4d</t>
        </is>
      </c>
      <c r="D778" s="16" t="inlineStr">
        <is>
          <t>datos exactos del profesor</t>
        </is>
      </c>
      <c r="E778" s="16" t="inlineStr">
        <is>
          <t>KF-M02S</t>
        </is>
      </c>
      <c r="F778" s="16" t="inlineStr">
        <is>
          <t>KF-M02S-B4</t>
        </is>
      </c>
      <c r="G778" s="16" t="inlineStr">
        <is>
          <t>B05-B4</t>
        </is>
      </c>
      <c r="H778" s="16" t="inlineStr">
        <is>
          <t>malla</t>
        </is>
      </c>
      <c r="I778" s="16" t="inlineStr">
        <is>
          <t>NO_CONVERGIO</t>
        </is>
      </c>
      <c r="J778" s="16" t="inlineStr">
        <is>
          <t>NO_CONVERGIO</t>
        </is>
      </c>
      <c r="K778" s="16" t="b">
        <v>0</v>
      </c>
      <c r="L778" s="16" t="b">
        <v>0</v>
      </c>
      <c r="M778" s="16" t="b">
        <v>0</v>
      </c>
      <c r="N778" s="16" t="b">
        <v>0</v>
      </c>
      <c r="O778" s="16" t="n">
        <v>623.15</v>
      </c>
      <c r="P778" s="16" t="n">
        <v>300.032917</v>
      </c>
      <c r="Q778" s="16" t="n">
        <v>3000</v>
      </c>
      <c r="R778" s="16" t="n">
        <v>750</v>
      </c>
      <c r="S778" s="16" t="n">
        <v>0.5</v>
      </c>
      <c r="T778" s="16" t="n">
        <v>0.85</v>
      </c>
      <c r="U778" s="16" t="n">
        <v>0.75</v>
      </c>
      <c r="V778" s="16" t="n">
        <v>0.85</v>
      </c>
      <c r="W778" s="16" t="n">
        <v>0.75</v>
      </c>
      <c r="X778" s="16" t="n">
        <v>0.8</v>
      </c>
      <c r="Y778" s="16" t="n">
        <v>300.032917</v>
      </c>
      <c r="Z778" s="16" t="n"/>
      <c r="AA778" s="16" t="n"/>
      <c r="AB778" s="16" t="n">
        <v>2250</v>
      </c>
      <c r="AC778" s="16" t="n">
        <v>4</v>
      </c>
      <c r="AD778" s="16" t="n"/>
      <c r="AE778" s="16" t="n"/>
    </row>
    <row r="779">
      <c r="A779" s="16" t="inlineStr">
        <is>
          <t>KF-M02S-B4-0048</t>
        </is>
      </c>
      <c r="B779" s="16" t="inlineStr">
        <is>
          <t>2.4</t>
        </is>
      </c>
      <c r="C779" s="16" t="inlineStr">
        <is>
          <t>2.4d</t>
        </is>
      </c>
      <c r="D779" s="16" t="inlineStr">
        <is>
          <t>datos exactos del profesor</t>
        </is>
      </c>
      <c r="E779" s="16" t="inlineStr">
        <is>
          <t>KF-M02S</t>
        </is>
      </c>
      <c r="F779" s="16" t="inlineStr">
        <is>
          <t>KF-M02S-B4</t>
        </is>
      </c>
      <c r="G779" s="16" t="inlineStr">
        <is>
          <t>B05-B4</t>
        </is>
      </c>
      <c r="H779" s="16" t="inlineStr">
        <is>
          <t>malla</t>
        </is>
      </c>
      <c r="I779" s="16" t="inlineStr">
        <is>
          <t>NO_CONVERGIO</t>
        </is>
      </c>
      <c r="J779" s="16" t="inlineStr">
        <is>
          <t>NO_CONVERGIO</t>
        </is>
      </c>
      <c r="K779" s="16" t="b">
        <v>0</v>
      </c>
      <c r="L779" s="16" t="b">
        <v>0</v>
      </c>
      <c r="M779" s="16" t="b">
        <v>0</v>
      </c>
      <c r="N779" s="16" t="b">
        <v>0</v>
      </c>
      <c r="O779" s="16" t="n">
        <v>623.15</v>
      </c>
      <c r="P779" s="16" t="n">
        <v>300.032917</v>
      </c>
      <c r="Q779" s="16" t="n">
        <v>3000</v>
      </c>
      <c r="R779" s="16" t="n">
        <v>1350</v>
      </c>
      <c r="S779" s="16" t="n">
        <v>0.5</v>
      </c>
      <c r="T779" s="16" t="n">
        <v>0.85</v>
      </c>
      <c r="U779" s="16" t="n">
        <v>0.75</v>
      </c>
      <c r="V779" s="16" t="n">
        <v>0.85</v>
      </c>
      <c r="W779" s="16" t="n">
        <v>0.75</v>
      </c>
      <c r="X779" s="16" t="n">
        <v>0.8</v>
      </c>
      <c r="Y779" s="16" t="n">
        <v>300.032917</v>
      </c>
      <c r="Z779" s="16" t="n"/>
      <c r="AA779" s="16" t="n"/>
      <c r="AB779" s="16" t="n">
        <v>1650</v>
      </c>
      <c r="AC779" s="16" t="n">
        <v>2.222222222222222</v>
      </c>
      <c r="AD779" s="16" t="n"/>
      <c r="AE779" s="16" t="n"/>
    </row>
    <row r="780">
      <c r="A780" s="16" t="inlineStr">
        <is>
          <t>KF-M02S-B4-0049</t>
        </is>
      </c>
      <c r="B780" s="16" t="inlineStr">
        <is>
          <t>2.4</t>
        </is>
      </c>
      <c r="C780" s="16" t="inlineStr">
        <is>
          <t>2.4d</t>
        </is>
      </c>
      <c r="D780" s="16" t="inlineStr">
        <is>
          <t>datos exactos del profesor</t>
        </is>
      </c>
      <c r="E780" s="16" t="inlineStr">
        <is>
          <t>KF-M02S</t>
        </is>
      </c>
      <c r="F780" s="16" t="inlineStr">
        <is>
          <t>KF-M02S-B4</t>
        </is>
      </c>
      <c r="G780" s="16" t="inlineStr">
        <is>
          <t>B05-B4</t>
        </is>
      </c>
      <c r="H780" s="16" t="inlineStr">
        <is>
          <t>malla</t>
        </is>
      </c>
      <c r="I780" s="16" t="inlineStr">
        <is>
          <t>NO_CONVERGIO</t>
        </is>
      </c>
      <c r="J780" s="16" t="inlineStr">
        <is>
          <t>NO_CONVERGIO</t>
        </is>
      </c>
      <c r="K780" s="16" t="b">
        <v>0</v>
      </c>
      <c r="L780" s="16" t="b">
        <v>0</v>
      </c>
      <c r="M780" s="16" t="b">
        <v>0</v>
      </c>
      <c r="N780" s="16" t="b">
        <v>0</v>
      </c>
      <c r="O780" s="16" t="n">
        <v>623.15</v>
      </c>
      <c r="P780" s="16" t="n">
        <v>300.032917</v>
      </c>
      <c r="Q780" s="16" t="n">
        <v>3000</v>
      </c>
      <c r="R780" s="16" t="n">
        <v>1500</v>
      </c>
      <c r="S780" s="16" t="n">
        <v>0.5</v>
      </c>
      <c r="T780" s="16" t="n">
        <v>0.85</v>
      </c>
      <c r="U780" s="16" t="n">
        <v>0.75</v>
      </c>
      <c r="V780" s="16" t="n">
        <v>0.85</v>
      </c>
      <c r="W780" s="16" t="n">
        <v>0.75</v>
      </c>
      <c r="X780" s="16" t="n">
        <v>0.8</v>
      </c>
      <c r="Y780" s="16" t="n">
        <v>300.032917</v>
      </c>
      <c r="Z780" s="16" t="n"/>
      <c r="AA780" s="16" t="n"/>
      <c r="AB780" s="16" t="n">
        <v>1500</v>
      </c>
      <c r="AC780" s="16" t="n">
        <v>2</v>
      </c>
      <c r="AD780" s="16" t="n"/>
      <c r="AE780" s="16" t="n"/>
    </row>
    <row r="781">
      <c r="A781" s="16" t="inlineStr">
        <is>
          <t>KF-M02S-B1-0050</t>
        </is>
      </c>
      <c r="B781" s="16" t="inlineStr">
        <is>
          <t>2.4</t>
        </is>
      </c>
      <c r="C781" s="16" t="inlineStr">
        <is>
          <t>2.4a</t>
        </is>
      </c>
      <c r="D781" s="16" t="inlineStr">
        <is>
          <t>fuente a 403 K</t>
        </is>
      </c>
      <c r="E781" s="16" t="inlineStr">
        <is>
          <t>KF-M02S</t>
        </is>
      </c>
      <c r="F781" s="16" t="inlineStr">
        <is>
          <t>KF-M02S-B1</t>
        </is>
      </c>
      <c r="G781" s="16" t="inlineStr">
        <is>
          <t>B05-B1</t>
        </is>
      </c>
      <c r="H781" s="16" t="inlineStr">
        <is>
          <t>biseccion</t>
        </is>
      </c>
      <c r="I781" s="16" t="inlineStr">
        <is>
          <t>CORREGIBLE</t>
        </is>
      </c>
      <c r="J781" s="16" t="inlineStr">
        <is>
          <t>CORREGIBLE</t>
        </is>
      </c>
      <c r="K781" s="16" t="b">
        <v>1</v>
      </c>
      <c r="L781" s="16" t="b">
        <v>0</v>
      </c>
      <c r="M781" s="16" t="b">
        <v>0</v>
      </c>
      <c r="N781" s="16" t="b">
        <v>0</v>
      </c>
      <c r="O781" s="16" t="n">
        <v>403</v>
      </c>
      <c r="P781" s="16" t="n">
        <v>288.15</v>
      </c>
      <c r="Q781" s="16" t="n">
        <v>3000</v>
      </c>
      <c r="R781" s="16" t="n">
        <v>375</v>
      </c>
      <c r="S781" s="16" t="n">
        <v>0.5</v>
      </c>
      <c r="T781" s="16" t="n">
        <v>0.85</v>
      </c>
      <c r="U781" s="16" t="n">
        <v>0.75</v>
      </c>
      <c r="V781" s="16" t="n">
        <v>0.85</v>
      </c>
      <c r="W781" s="16" t="n">
        <v>0.75</v>
      </c>
      <c r="X781" s="16" t="n">
        <v>0.8</v>
      </c>
      <c r="Y781" s="16" t="n">
        <v>288.15</v>
      </c>
      <c r="Z781" s="16" t="n">
        <v>9.819807123998279</v>
      </c>
      <c r="AA781" s="16" t="n">
        <v>31.61611467795632</v>
      </c>
      <c r="AB781" s="16" t="n">
        <v>2625</v>
      </c>
      <c r="AC781" s="16" t="n">
        <v>8</v>
      </c>
      <c r="AD781" s="16" t="inlineStr">
        <is>
          <t>O2</t>
        </is>
      </c>
      <c r="AE781" s="16" t="n"/>
    </row>
    <row r="782">
      <c r="A782" s="16" t="inlineStr">
        <is>
          <t>KF-M02S-B1-0051</t>
        </is>
      </c>
      <c r="B782" s="16" t="inlineStr">
        <is>
          <t>2.4</t>
        </is>
      </c>
      <c r="C782" s="16" t="inlineStr">
        <is>
          <t>2.4a</t>
        </is>
      </c>
      <c r="D782" s="16" t="inlineStr">
        <is>
          <t>fuente a 403 K</t>
        </is>
      </c>
      <c r="E782" s="16" t="inlineStr">
        <is>
          <t>KF-M02S</t>
        </is>
      </c>
      <c r="F782" s="16" t="inlineStr">
        <is>
          <t>KF-M02S-B1</t>
        </is>
      </c>
      <c r="G782" s="16" t="inlineStr">
        <is>
          <t>B05-B1</t>
        </is>
      </c>
      <c r="H782" s="16" t="inlineStr">
        <is>
          <t>biseccion</t>
        </is>
      </c>
      <c r="I782" s="16" t="inlineStr">
        <is>
          <t>CORREGIBLE</t>
        </is>
      </c>
      <c r="J782" s="16" t="inlineStr">
        <is>
          <t>CORREGIBLE</t>
        </is>
      </c>
      <c r="K782" s="16" t="b">
        <v>1</v>
      </c>
      <c r="L782" s="16" t="b">
        <v>0</v>
      </c>
      <c r="M782" s="16" t="b">
        <v>0</v>
      </c>
      <c r="N782" s="16" t="b">
        <v>0</v>
      </c>
      <c r="O782" s="16" t="n">
        <v>403</v>
      </c>
      <c r="P782" s="16" t="n">
        <v>278.15</v>
      </c>
      <c r="Q782" s="16" t="n">
        <v>3000</v>
      </c>
      <c r="R782" s="16" t="n">
        <v>225</v>
      </c>
      <c r="S782" s="16" t="n">
        <v>0.5</v>
      </c>
      <c r="T782" s="16" t="n">
        <v>0.85</v>
      </c>
      <c r="U782" s="16" t="n">
        <v>0.75</v>
      </c>
      <c r="V782" s="16" t="n">
        <v>0.85</v>
      </c>
      <c r="W782" s="16" t="n">
        <v>0.75</v>
      </c>
      <c r="X782" s="16" t="n">
        <v>0.8</v>
      </c>
      <c r="Y782" s="16" t="n">
        <v>278.15</v>
      </c>
      <c r="Z782" s="16" t="n">
        <v>11.34985665852915</v>
      </c>
      <c r="AA782" s="16" t="n">
        <v>38.06284705470508</v>
      </c>
      <c r="AB782" s="16" t="n">
        <v>2775</v>
      </c>
      <c r="AC782" s="16" t="n">
        <v>13.33333333333333</v>
      </c>
      <c r="AD782" s="16" t="inlineStr">
        <is>
          <t>O2</t>
        </is>
      </c>
      <c r="AE782" s="16" t="n"/>
    </row>
    <row r="783">
      <c r="A783" s="16" t="inlineStr">
        <is>
          <t>KF-M02S-B1-0052</t>
        </is>
      </c>
      <c r="B783" s="16" t="inlineStr">
        <is>
          <t>2.4</t>
        </is>
      </c>
      <c r="C783" s="16" t="inlineStr">
        <is>
          <t>2.4a</t>
        </is>
      </c>
      <c r="D783" s="16" t="inlineStr">
        <is>
          <t>fuente a 403 K</t>
        </is>
      </c>
      <c r="E783" s="16" t="inlineStr">
        <is>
          <t>KF-M02S</t>
        </is>
      </c>
      <c r="F783" s="16" t="inlineStr">
        <is>
          <t>KF-M02S-B1</t>
        </is>
      </c>
      <c r="G783" s="16" t="inlineStr">
        <is>
          <t>B05-B1</t>
        </is>
      </c>
      <c r="H783" s="16" t="inlineStr">
        <is>
          <t>biseccion</t>
        </is>
      </c>
      <c r="I783" s="16" t="inlineStr">
        <is>
          <t>CORREGIBLE</t>
        </is>
      </c>
      <c r="J783" s="16" t="inlineStr">
        <is>
          <t>CORREGIBLE</t>
        </is>
      </c>
      <c r="K783" s="16" t="b">
        <v>1</v>
      </c>
      <c r="L783" s="16" t="b">
        <v>0</v>
      </c>
      <c r="M783" s="16" t="b">
        <v>0</v>
      </c>
      <c r="N783" s="16" t="b">
        <v>0</v>
      </c>
      <c r="O783" s="16" t="n">
        <v>403</v>
      </c>
      <c r="P783" s="16" t="n">
        <v>278.15</v>
      </c>
      <c r="Q783" s="16" t="n">
        <v>3000</v>
      </c>
      <c r="R783" s="16" t="n">
        <v>225</v>
      </c>
      <c r="S783" s="16" t="n">
        <v>0.5</v>
      </c>
      <c r="T783" s="16" t="n">
        <v>0.85</v>
      </c>
      <c r="U783" s="16" t="n">
        <v>0.75</v>
      </c>
      <c r="V783" s="16" t="n">
        <v>0.85</v>
      </c>
      <c r="W783" s="16" t="n">
        <v>0.75</v>
      </c>
      <c r="X783" s="16" t="n">
        <v>0.8</v>
      </c>
      <c r="Y783" s="16" t="n">
        <v>278.15</v>
      </c>
      <c r="Z783" s="16" t="n">
        <v>11.34985665852915</v>
      </c>
      <c r="AA783" s="16" t="n">
        <v>38.06284705470508</v>
      </c>
      <c r="AB783" s="16" t="n">
        <v>2775</v>
      </c>
      <c r="AC783" s="16" t="n">
        <v>13.33333333333333</v>
      </c>
      <c r="AD783" s="16" t="inlineStr">
        <is>
          <t>O2</t>
        </is>
      </c>
      <c r="AE783" s="16" t="n"/>
    </row>
    <row r="784">
      <c r="A784" s="16" t="inlineStr">
        <is>
          <t>KF-M02S-B1-0053</t>
        </is>
      </c>
      <c r="B784" s="16" t="inlineStr">
        <is>
          <t>2.4</t>
        </is>
      </c>
      <c r="C784" s="16" t="inlineStr">
        <is>
          <t>2.4a</t>
        </is>
      </c>
      <c r="D784" s="16" t="inlineStr">
        <is>
          <t>fuente a 403 K</t>
        </is>
      </c>
      <c r="E784" s="16" t="inlineStr">
        <is>
          <t>KF-M02S</t>
        </is>
      </c>
      <c r="F784" s="16" t="inlineStr">
        <is>
          <t>KF-M02S-B1</t>
        </is>
      </c>
      <c r="G784" s="16" t="inlineStr">
        <is>
          <t>B05-B1</t>
        </is>
      </c>
      <c r="H784" s="16" t="inlineStr">
        <is>
          <t>biseccion</t>
        </is>
      </c>
      <c r="I784" s="16" t="inlineStr">
        <is>
          <t>KALINA</t>
        </is>
      </c>
      <c r="J784" s="16" t="inlineStr">
        <is>
          <t>KALINA</t>
        </is>
      </c>
      <c r="K784" s="16" t="b">
        <v>1</v>
      </c>
      <c r="L784" s="16" t="b">
        <v>1</v>
      </c>
      <c r="M784" s="16" t="b">
        <v>0</v>
      </c>
      <c r="N784" s="16" t="b">
        <v>0</v>
      </c>
      <c r="O784" s="16" t="n">
        <v>403</v>
      </c>
      <c r="P784" s="16" t="n">
        <v>283.15</v>
      </c>
      <c r="Q784" s="16" t="n">
        <v>3000</v>
      </c>
      <c r="R784" s="16" t="n">
        <v>375</v>
      </c>
      <c r="S784" s="16" t="n">
        <v>0.5</v>
      </c>
      <c r="T784" s="16" t="n">
        <v>0.85</v>
      </c>
      <c r="U784" s="16" t="n">
        <v>0.75</v>
      </c>
      <c r="V784" s="16" t="n">
        <v>0.85</v>
      </c>
      <c r="W784" s="16" t="n">
        <v>0.75</v>
      </c>
      <c r="X784" s="16" t="n">
        <v>0.8</v>
      </c>
      <c r="Y784" s="16" t="n">
        <v>283.15</v>
      </c>
      <c r="Z784" s="16" t="n">
        <v>9.578980660541561</v>
      </c>
      <c r="AA784" s="16" t="n">
        <v>31.46778024796109</v>
      </c>
      <c r="AB784" s="16" t="n">
        <v>2625</v>
      </c>
      <c r="AC784" s="16" t="n">
        <v>8</v>
      </c>
      <c r="AD784" s="16" t="n"/>
      <c r="AE784" s="16" t="n"/>
    </row>
    <row r="785">
      <c r="A785" s="16" t="inlineStr">
        <is>
          <t>KF-M02S-B1-0054</t>
        </is>
      </c>
      <c r="B785" s="16" t="inlineStr">
        <is>
          <t>2.4</t>
        </is>
      </c>
      <c r="C785" s="16" t="inlineStr">
        <is>
          <t>2.4a</t>
        </is>
      </c>
      <c r="D785" s="16" t="inlineStr">
        <is>
          <t>fuente a 403 K</t>
        </is>
      </c>
      <c r="E785" s="16" t="inlineStr">
        <is>
          <t>KF-M02S</t>
        </is>
      </c>
      <c r="F785" s="16" t="inlineStr">
        <is>
          <t>KF-M02S-B1</t>
        </is>
      </c>
      <c r="G785" s="16" t="inlineStr">
        <is>
          <t>B05-B1</t>
        </is>
      </c>
      <c r="H785" s="16" t="inlineStr">
        <is>
          <t>biseccion</t>
        </is>
      </c>
      <c r="I785" s="16" t="inlineStr">
        <is>
          <t>KALINA</t>
        </is>
      </c>
      <c r="J785" s="16" t="inlineStr">
        <is>
          <t>KALINA</t>
        </is>
      </c>
      <c r="K785" s="16" t="b">
        <v>1</v>
      </c>
      <c r="L785" s="16" t="b">
        <v>1</v>
      </c>
      <c r="M785" s="16" t="b">
        <v>0</v>
      </c>
      <c r="N785" s="16" t="b">
        <v>0</v>
      </c>
      <c r="O785" s="16" t="n">
        <v>403</v>
      </c>
      <c r="P785" s="16" t="n">
        <v>283.15</v>
      </c>
      <c r="Q785" s="16" t="n">
        <v>3000</v>
      </c>
      <c r="R785" s="16" t="n">
        <v>375</v>
      </c>
      <c r="S785" s="16" t="n">
        <v>0.5</v>
      </c>
      <c r="T785" s="16" t="n">
        <v>0.85</v>
      </c>
      <c r="U785" s="16" t="n">
        <v>0.75</v>
      </c>
      <c r="V785" s="16" t="n">
        <v>0.85</v>
      </c>
      <c r="W785" s="16" t="n">
        <v>0.75</v>
      </c>
      <c r="X785" s="16" t="n">
        <v>0.8</v>
      </c>
      <c r="Y785" s="16" t="n">
        <v>283.15</v>
      </c>
      <c r="Z785" s="16" t="n">
        <v>9.578980660541561</v>
      </c>
      <c r="AA785" s="16" t="n">
        <v>31.46778024796109</v>
      </c>
      <c r="AB785" s="16" t="n">
        <v>2625</v>
      </c>
      <c r="AC785" s="16" t="n">
        <v>8</v>
      </c>
      <c r="AD785" s="16" t="n"/>
      <c r="AE785" s="16" t="n"/>
    </row>
    <row r="786">
      <c r="A786" s="16" t="inlineStr">
        <is>
          <t>KF-M02S-B1-0055</t>
        </is>
      </c>
      <c r="B786" s="16" t="inlineStr">
        <is>
          <t>2.4</t>
        </is>
      </c>
      <c r="C786" s="16" t="inlineStr">
        <is>
          <t>2.4a</t>
        </is>
      </c>
      <c r="D786" s="16" t="inlineStr">
        <is>
          <t>fuente a 403 K</t>
        </is>
      </c>
      <c r="E786" s="16" t="inlineStr">
        <is>
          <t>KF-M02S</t>
        </is>
      </c>
      <c r="F786" s="16" t="inlineStr">
        <is>
          <t>KF-M02S-B1</t>
        </is>
      </c>
      <c r="G786" s="16" t="inlineStr">
        <is>
          <t>B05-B1</t>
        </is>
      </c>
      <c r="H786" s="16" t="inlineStr">
        <is>
          <t>biseccion</t>
        </is>
      </c>
      <c r="I786" s="16" t="inlineStr">
        <is>
          <t>CORREGIBLE</t>
        </is>
      </c>
      <c r="J786" s="16" t="inlineStr">
        <is>
          <t>CORREGIBLE</t>
        </is>
      </c>
      <c r="K786" s="16" t="b">
        <v>1</v>
      </c>
      <c r="L786" s="16" t="b">
        <v>0</v>
      </c>
      <c r="M786" s="16" t="b">
        <v>0</v>
      </c>
      <c r="N786" s="16" t="b">
        <v>0</v>
      </c>
      <c r="O786" s="16" t="n">
        <v>403</v>
      </c>
      <c r="P786" s="16" t="n">
        <v>288.15</v>
      </c>
      <c r="Q786" s="16" t="n">
        <v>3000</v>
      </c>
      <c r="R786" s="16" t="n">
        <v>375</v>
      </c>
      <c r="S786" s="16" t="n">
        <v>0.5</v>
      </c>
      <c r="T786" s="16" t="n">
        <v>0.85</v>
      </c>
      <c r="U786" s="16" t="n">
        <v>0.75</v>
      </c>
      <c r="V786" s="16" t="n">
        <v>0.85</v>
      </c>
      <c r="W786" s="16" t="n">
        <v>0.75</v>
      </c>
      <c r="X786" s="16" t="n">
        <v>0.8</v>
      </c>
      <c r="Y786" s="16" t="n">
        <v>288.15</v>
      </c>
      <c r="Z786" s="16" t="n">
        <v>9.819807123998279</v>
      </c>
      <c r="AA786" s="16" t="n">
        <v>31.61611467795632</v>
      </c>
      <c r="AB786" s="16" t="n">
        <v>2625</v>
      </c>
      <c r="AC786" s="16" t="n">
        <v>8</v>
      </c>
      <c r="AD786" s="16" t="inlineStr">
        <is>
          <t>O2</t>
        </is>
      </c>
      <c r="AE786" s="16" t="n"/>
    </row>
    <row r="787">
      <c r="A787" s="16" t="inlineStr">
        <is>
          <t>KF-M02S-B1-0056</t>
        </is>
      </c>
      <c r="B787" s="16" t="inlineStr">
        <is>
          <t>2.4</t>
        </is>
      </c>
      <c r="C787" s="16" t="inlineStr">
        <is>
          <t>2.4a</t>
        </is>
      </c>
      <c r="D787" s="16" t="inlineStr">
        <is>
          <t>fuente a 403 K</t>
        </is>
      </c>
      <c r="E787" s="16" t="inlineStr">
        <is>
          <t>KF-M02S</t>
        </is>
      </c>
      <c r="F787" s="16" t="inlineStr">
        <is>
          <t>KF-M02S-B1</t>
        </is>
      </c>
      <c r="G787" s="16" t="inlineStr">
        <is>
          <t>B05-B1</t>
        </is>
      </c>
      <c r="H787" s="16" t="inlineStr">
        <is>
          <t>biseccion</t>
        </is>
      </c>
      <c r="I787" s="16" t="inlineStr">
        <is>
          <t>KALINA</t>
        </is>
      </c>
      <c r="J787" s="16" t="inlineStr">
        <is>
          <t>KALINA</t>
        </is>
      </c>
      <c r="K787" s="16" t="b">
        <v>1</v>
      </c>
      <c r="L787" s="16" t="b">
        <v>1</v>
      </c>
      <c r="M787" s="16" t="b">
        <v>0</v>
      </c>
      <c r="N787" s="16" t="b">
        <v>0</v>
      </c>
      <c r="O787" s="16" t="n">
        <v>403</v>
      </c>
      <c r="P787" s="16" t="n">
        <v>293.15</v>
      </c>
      <c r="Q787" s="16" t="n">
        <v>3000</v>
      </c>
      <c r="R787" s="16" t="n">
        <v>525</v>
      </c>
      <c r="S787" s="16" t="n">
        <v>0.5</v>
      </c>
      <c r="T787" s="16" t="n">
        <v>0.85</v>
      </c>
      <c r="U787" s="16" t="n">
        <v>0.75</v>
      </c>
      <c r="V787" s="16" t="n">
        <v>0.85</v>
      </c>
      <c r="W787" s="16" t="n">
        <v>0.75</v>
      </c>
      <c r="X787" s="16" t="n">
        <v>0.8</v>
      </c>
      <c r="Y787" s="16" t="n">
        <v>293.15</v>
      </c>
      <c r="Z787" s="16" t="n">
        <v>8.51534220419717</v>
      </c>
      <c r="AA787" s="16" t="n">
        <v>26.82844731547565</v>
      </c>
      <c r="AB787" s="16" t="n">
        <v>2475</v>
      </c>
      <c r="AC787" s="16" t="n">
        <v>5.714285714285714</v>
      </c>
      <c r="AD787" s="16" t="n"/>
      <c r="AE787" s="16" t="n"/>
    </row>
    <row r="788">
      <c r="A788" s="16" t="inlineStr">
        <is>
          <t>KF-M02S-B1-0057</t>
        </is>
      </c>
      <c r="B788" s="16" t="inlineStr">
        <is>
          <t>2.4</t>
        </is>
      </c>
      <c r="C788" s="16" t="inlineStr">
        <is>
          <t>2.4a</t>
        </is>
      </c>
      <c r="D788" s="16" t="inlineStr">
        <is>
          <t>fuente a 403 K</t>
        </is>
      </c>
      <c r="E788" s="16" t="inlineStr">
        <is>
          <t>KF-M02S</t>
        </is>
      </c>
      <c r="F788" s="16" t="inlineStr">
        <is>
          <t>KF-M02S-B1</t>
        </is>
      </c>
      <c r="G788" s="16" t="inlineStr">
        <is>
          <t>B05-B1</t>
        </is>
      </c>
      <c r="H788" s="16" t="inlineStr">
        <is>
          <t>biseccion</t>
        </is>
      </c>
      <c r="I788" s="16" t="inlineStr">
        <is>
          <t>KALINA</t>
        </is>
      </c>
      <c r="J788" s="16" t="inlineStr">
        <is>
          <t>KALINA</t>
        </is>
      </c>
      <c r="K788" s="16" t="b">
        <v>1</v>
      </c>
      <c r="L788" s="16" t="b">
        <v>1</v>
      </c>
      <c r="M788" s="16" t="b">
        <v>0</v>
      </c>
      <c r="N788" s="16" t="b">
        <v>0</v>
      </c>
      <c r="O788" s="16" t="n">
        <v>403</v>
      </c>
      <c r="P788" s="16" t="n">
        <v>293.15</v>
      </c>
      <c r="Q788" s="16" t="n">
        <v>3000</v>
      </c>
      <c r="R788" s="16" t="n">
        <v>525</v>
      </c>
      <c r="S788" s="16" t="n">
        <v>0.5</v>
      </c>
      <c r="T788" s="16" t="n">
        <v>0.85</v>
      </c>
      <c r="U788" s="16" t="n">
        <v>0.75</v>
      </c>
      <c r="V788" s="16" t="n">
        <v>0.85</v>
      </c>
      <c r="W788" s="16" t="n">
        <v>0.75</v>
      </c>
      <c r="X788" s="16" t="n">
        <v>0.8</v>
      </c>
      <c r="Y788" s="16" t="n">
        <v>293.15</v>
      </c>
      <c r="Z788" s="16" t="n">
        <v>8.51534220419717</v>
      </c>
      <c r="AA788" s="16" t="n">
        <v>26.82844731547565</v>
      </c>
      <c r="AB788" s="16" t="n">
        <v>2475</v>
      </c>
      <c r="AC788" s="16" t="n">
        <v>5.714285714285714</v>
      </c>
      <c r="AD788" s="16" t="n"/>
      <c r="AE788" s="16" t="n"/>
    </row>
    <row r="789">
      <c r="A789" s="16" t="inlineStr">
        <is>
          <t>KF-M02S-B1-0058</t>
        </is>
      </c>
      <c r="B789" s="16" t="inlineStr">
        <is>
          <t>2.4</t>
        </is>
      </c>
      <c r="C789" s="16" t="inlineStr">
        <is>
          <t>2.4a</t>
        </is>
      </c>
      <c r="D789" s="16" t="inlineStr">
        <is>
          <t>fuente a 403 K</t>
        </is>
      </c>
      <c r="E789" s="16" t="inlineStr">
        <is>
          <t>KF-M02S</t>
        </is>
      </c>
      <c r="F789" s="16" t="inlineStr">
        <is>
          <t>KF-M02S-B1</t>
        </is>
      </c>
      <c r="G789" s="16" t="inlineStr">
        <is>
          <t>B05-B1</t>
        </is>
      </c>
      <c r="H789" s="16" t="inlineStr">
        <is>
          <t>biseccion</t>
        </is>
      </c>
      <c r="I789" s="16" t="inlineStr">
        <is>
          <t>CORREGIBLE</t>
        </is>
      </c>
      <c r="J789" s="16" t="inlineStr">
        <is>
          <t>CORREGIBLE</t>
        </is>
      </c>
      <c r="K789" s="16" t="b">
        <v>1</v>
      </c>
      <c r="L789" s="16" t="b">
        <v>0</v>
      </c>
      <c r="M789" s="16" t="b">
        <v>0</v>
      </c>
      <c r="N789" s="16" t="b">
        <v>0</v>
      </c>
      <c r="O789" s="16" t="n">
        <v>403</v>
      </c>
      <c r="P789" s="16" t="n">
        <v>300.032917</v>
      </c>
      <c r="Q789" s="16" t="n">
        <v>3000</v>
      </c>
      <c r="R789" s="16" t="n">
        <v>525</v>
      </c>
      <c r="S789" s="16" t="n">
        <v>0.5</v>
      </c>
      <c r="T789" s="16" t="n">
        <v>0.85</v>
      </c>
      <c r="U789" s="16" t="n">
        <v>0.75</v>
      </c>
      <c r="V789" s="16" t="n">
        <v>0.85</v>
      </c>
      <c r="W789" s="16" t="n">
        <v>0.75</v>
      </c>
      <c r="X789" s="16" t="n">
        <v>0.8</v>
      </c>
      <c r="Y789" s="16" t="n">
        <v>300.032917</v>
      </c>
      <c r="Z789" s="16" t="n">
        <v>8.821944050599249</v>
      </c>
      <c r="AA789" s="16" t="n">
        <v>26.98696544866856</v>
      </c>
      <c r="AB789" s="16" t="n">
        <v>2475</v>
      </c>
      <c r="AC789" s="16" t="n">
        <v>5.714285714285714</v>
      </c>
      <c r="AD789" s="16" t="inlineStr">
        <is>
          <t>O2</t>
        </is>
      </c>
      <c r="AE789" s="16" t="n"/>
    </row>
    <row r="790">
      <c r="A790" s="16" t="inlineStr">
        <is>
          <t>KF-M02S-B1-0059</t>
        </is>
      </c>
      <c r="B790" s="16" t="inlineStr">
        <is>
          <t>2.4</t>
        </is>
      </c>
      <c r="C790" s="16" t="inlineStr">
        <is>
          <t>2.4a</t>
        </is>
      </c>
      <c r="D790" s="16" t="inlineStr">
        <is>
          <t>fuente a 403 K</t>
        </is>
      </c>
      <c r="E790" s="16" t="inlineStr">
        <is>
          <t>KF-M02S</t>
        </is>
      </c>
      <c r="F790" s="16" t="inlineStr">
        <is>
          <t>KF-M02S-B1</t>
        </is>
      </c>
      <c r="G790" s="16" t="inlineStr">
        <is>
          <t>B05-B1</t>
        </is>
      </c>
      <c r="H790" s="16" t="inlineStr">
        <is>
          <t>biseccion</t>
        </is>
      </c>
      <c r="I790" s="16" t="inlineStr">
        <is>
          <t>CORREGIBLE</t>
        </is>
      </c>
      <c r="J790" s="16" t="inlineStr">
        <is>
          <t>CORREGIBLE</t>
        </is>
      </c>
      <c r="K790" s="16" t="b">
        <v>1</v>
      </c>
      <c r="L790" s="16" t="b">
        <v>0</v>
      </c>
      <c r="M790" s="16" t="b">
        <v>0</v>
      </c>
      <c r="N790" s="16" t="b">
        <v>0</v>
      </c>
      <c r="O790" s="16" t="n">
        <v>403</v>
      </c>
      <c r="P790" s="16" t="n">
        <v>300.032917</v>
      </c>
      <c r="Q790" s="16" t="n">
        <v>3000</v>
      </c>
      <c r="R790" s="16" t="n">
        <v>525</v>
      </c>
      <c r="S790" s="16" t="n">
        <v>0.5</v>
      </c>
      <c r="T790" s="16" t="n">
        <v>0.85</v>
      </c>
      <c r="U790" s="16" t="n">
        <v>0.75</v>
      </c>
      <c r="V790" s="16" t="n">
        <v>0.85</v>
      </c>
      <c r="W790" s="16" t="n">
        <v>0.75</v>
      </c>
      <c r="X790" s="16" t="n">
        <v>0.8</v>
      </c>
      <c r="Y790" s="16" t="n">
        <v>300.032917</v>
      </c>
      <c r="Z790" s="16" t="n">
        <v>8.821944050599249</v>
      </c>
      <c r="AA790" s="16" t="n">
        <v>26.98696544866856</v>
      </c>
      <c r="AB790" s="16" t="n">
        <v>2475</v>
      </c>
      <c r="AC790" s="16" t="n">
        <v>5.714285714285714</v>
      </c>
      <c r="AD790" s="16" t="inlineStr">
        <is>
          <t>O2</t>
        </is>
      </c>
      <c r="AE790" s="16" t="n"/>
    </row>
    <row r="791">
      <c r="A791" s="16" t="inlineStr">
        <is>
          <t>KF-M02S-B2-0050</t>
        </is>
      </c>
      <c r="B791" s="16" t="inlineStr">
        <is>
          <t>2.4</t>
        </is>
      </c>
      <c r="C791" s="16" t="inlineStr">
        <is>
          <t>2.4b</t>
        </is>
      </c>
      <c r="D791" s="16" t="inlineStr">
        <is>
          <t>fuente a 420 K</t>
        </is>
      </c>
      <c r="E791" s="16" t="inlineStr">
        <is>
          <t>KF-M02S</t>
        </is>
      </c>
      <c r="F791" s="16" t="inlineStr">
        <is>
          <t>KF-M02S-B2</t>
        </is>
      </c>
      <c r="G791" s="16" t="inlineStr">
        <is>
          <t>B05-B2</t>
        </is>
      </c>
      <c r="H791" s="16" t="inlineStr">
        <is>
          <t>biseccion</t>
        </is>
      </c>
      <c r="I791" s="16" t="inlineStr">
        <is>
          <t>CORREGIBLE</t>
        </is>
      </c>
      <c r="J791" s="16" t="inlineStr">
        <is>
          <t>CORREGIBLE</t>
        </is>
      </c>
      <c r="K791" s="16" t="b">
        <v>1</v>
      </c>
      <c r="L791" s="16" t="b">
        <v>0</v>
      </c>
      <c r="M791" s="16" t="b">
        <v>0</v>
      </c>
      <c r="N791" s="16" t="b">
        <v>0</v>
      </c>
      <c r="O791" s="16" t="n">
        <v>420</v>
      </c>
      <c r="P791" s="16" t="n">
        <v>278.15</v>
      </c>
      <c r="Q791" s="16" t="n">
        <v>3000</v>
      </c>
      <c r="R791" s="16" t="n">
        <v>375</v>
      </c>
      <c r="S791" s="16" t="n">
        <v>0.5</v>
      </c>
      <c r="T791" s="16" t="n">
        <v>0.85</v>
      </c>
      <c r="U791" s="16" t="n">
        <v>0.75</v>
      </c>
      <c r="V791" s="16" t="n">
        <v>0.85</v>
      </c>
      <c r="W791" s="16" t="n">
        <v>0.75</v>
      </c>
      <c r="X791" s="16" t="n">
        <v>0.8</v>
      </c>
      <c r="Y791" s="16" t="n">
        <v>278.15</v>
      </c>
      <c r="Z791" s="16" t="n">
        <v>12.16685960262816</v>
      </c>
      <c r="AA791" s="16" t="n">
        <v>65.70359496565666</v>
      </c>
      <c r="AB791" s="16" t="n">
        <v>2625</v>
      </c>
      <c r="AC791" s="16" t="n">
        <v>8</v>
      </c>
      <c r="AD791" s="16" t="inlineStr">
        <is>
          <t>O2</t>
        </is>
      </c>
      <c r="AE791" s="16" t="n"/>
    </row>
    <row r="792">
      <c r="A792" s="16" t="inlineStr">
        <is>
          <t>KF-M02S-B2-0051</t>
        </is>
      </c>
      <c r="B792" s="16" t="inlineStr">
        <is>
          <t>2.4</t>
        </is>
      </c>
      <c r="C792" s="16" t="inlineStr">
        <is>
          <t>2.4b</t>
        </is>
      </c>
      <c r="D792" s="16" t="inlineStr">
        <is>
          <t>fuente a 420 K</t>
        </is>
      </c>
      <c r="E792" s="16" t="inlineStr">
        <is>
          <t>KF-M02S</t>
        </is>
      </c>
      <c r="F792" s="16" t="inlineStr">
        <is>
          <t>KF-M02S-B2</t>
        </is>
      </c>
      <c r="G792" s="16" t="inlineStr">
        <is>
          <t>B05-B2</t>
        </is>
      </c>
      <c r="H792" s="16" t="inlineStr">
        <is>
          <t>biseccion</t>
        </is>
      </c>
      <c r="I792" s="16" t="inlineStr">
        <is>
          <t>CORREGIBLE</t>
        </is>
      </c>
      <c r="J792" s="16" t="inlineStr">
        <is>
          <t>CORREGIBLE</t>
        </is>
      </c>
      <c r="K792" s="16" t="b">
        <v>1</v>
      </c>
      <c r="L792" s="16" t="b">
        <v>0</v>
      </c>
      <c r="M792" s="16" t="b">
        <v>0</v>
      </c>
      <c r="N792" s="16" t="b">
        <v>0</v>
      </c>
      <c r="O792" s="16" t="n">
        <v>420</v>
      </c>
      <c r="P792" s="16" t="n">
        <v>278.15</v>
      </c>
      <c r="Q792" s="16" t="n">
        <v>3000</v>
      </c>
      <c r="R792" s="16" t="n">
        <v>375</v>
      </c>
      <c r="S792" s="16" t="n">
        <v>0.5</v>
      </c>
      <c r="T792" s="16" t="n">
        <v>0.85</v>
      </c>
      <c r="U792" s="16" t="n">
        <v>0.75</v>
      </c>
      <c r="V792" s="16" t="n">
        <v>0.85</v>
      </c>
      <c r="W792" s="16" t="n">
        <v>0.75</v>
      </c>
      <c r="X792" s="16" t="n">
        <v>0.8</v>
      </c>
      <c r="Y792" s="16" t="n">
        <v>278.15</v>
      </c>
      <c r="Z792" s="16" t="n">
        <v>12.16685960262816</v>
      </c>
      <c r="AA792" s="16" t="n">
        <v>65.70359496565666</v>
      </c>
      <c r="AB792" s="16" t="n">
        <v>2625</v>
      </c>
      <c r="AC792" s="16" t="n">
        <v>8</v>
      </c>
      <c r="AD792" s="16" t="inlineStr">
        <is>
          <t>O2</t>
        </is>
      </c>
      <c r="AE792" s="16" t="n"/>
    </row>
    <row r="793">
      <c r="A793" s="16" t="inlineStr">
        <is>
          <t>KF-M02S-B2-0052</t>
        </is>
      </c>
      <c r="B793" s="16" t="inlineStr">
        <is>
          <t>2.4</t>
        </is>
      </c>
      <c r="C793" s="16" t="inlineStr">
        <is>
          <t>2.4b</t>
        </is>
      </c>
      <c r="D793" s="16" t="inlineStr">
        <is>
          <t>fuente a 420 K</t>
        </is>
      </c>
      <c r="E793" s="16" t="inlineStr">
        <is>
          <t>KF-M02S</t>
        </is>
      </c>
      <c r="F793" s="16" t="inlineStr">
        <is>
          <t>KF-M02S-B2</t>
        </is>
      </c>
      <c r="G793" s="16" t="inlineStr">
        <is>
          <t>B05-B2</t>
        </is>
      </c>
      <c r="H793" s="16" t="inlineStr">
        <is>
          <t>biseccion</t>
        </is>
      </c>
      <c r="I793" s="16" t="inlineStr">
        <is>
          <t>KALINA</t>
        </is>
      </c>
      <c r="J793" s="16" t="inlineStr">
        <is>
          <t>KALINA</t>
        </is>
      </c>
      <c r="K793" s="16" t="b">
        <v>1</v>
      </c>
      <c r="L793" s="16" t="b">
        <v>1</v>
      </c>
      <c r="M793" s="16" t="b">
        <v>0</v>
      </c>
      <c r="N793" s="16" t="b">
        <v>0</v>
      </c>
      <c r="O793" s="16" t="n">
        <v>420</v>
      </c>
      <c r="P793" s="16" t="n">
        <v>283.15</v>
      </c>
      <c r="Q793" s="16" t="n">
        <v>3000</v>
      </c>
      <c r="R793" s="16" t="n">
        <v>525</v>
      </c>
      <c r="S793" s="16" t="n">
        <v>0.5</v>
      </c>
      <c r="T793" s="16" t="n">
        <v>0.85</v>
      </c>
      <c r="U793" s="16" t="n">
        <v>0.75</v>
      </c>
      <c r="V793" s="16" t="n">
        <v>0.85</v>
      </c>
      <c r="W793" s="16" t="n">
        <v>0.75</v>
      </c>
      <c r="X793" s="16" t="n">
        <v>0.8</v>
      </c>
      <c r="Y793" s="16" t="n">
        <v>283.15</v>
      </c>
      <c r="Z793" s="16" t="n">
        <v>10.52801024548572</v>
      </c>
      <c r="AA793" s="16" t="n">
        <v>55.91855643641483</v>
      </c>
      <c r="AB793" s="16" t="n">
        <v>2475</v>
      </c>
      <c r="AC793" s="16" t="n">
        <v>5.714285714285714</v>
      </c>
      <c r="AD793" s="16" t="n"/>
      <c r="AE793" s="16" t="n"/>
    </row>
    <row r="794">
      <c r="A794" s="16" t="inlineStr">
        <is>
          <t>KF-M02S-B2-0053</t>
        </is>
      </c>
      <c r="B794" s="16" t="inlineStr">
        <is>
          <t>2.4</t>
        </is>
      </c>
      <c r="C794" s="16" t="inlineStr">
        <is>
          <t>2.4b</t>
        </is>
      </c>
      <c r="D794" s="16" t="inlineStr">
        <is>
          <t>fuente a 420 K</t>
        </is>
      </c>
      <c r="E794" s="16" t="inlineStr">
        <is>
          <t>KF-M02S</t>
        </is>
      </c>
      <c r="F794" s="16" t="inlineStr">
        <is>
          <t>KF-M02S-B2</t>
        </is>
      </c>
      <c r="G794" s="16" t="inlineStr">
        <is>
          <t>B05-B2</t>
        </is>
      </c>
      <c r="H794" s="16" t="inlineStr">
        <is>
          <t>biseccion</t>
        </is>
      </c>
      <c r="I794" s="16" t="inlineStr">
        <is>
          <t>CORREGIBLE</t>
        </is>
      </c>
      <c r="J794" s="16" t="inlineStr">
        <is>
          <t>CORREGIBLE</t>
        </is>
      </c>
      <c r="K794" s="16" t="b">
        <v>1</v>
      </c>
      <c r="L794" s="16" t="b">
        <v>0</v>
      </c>
      <c r="M794" s="16" t="b">
        <v>0</v>
      </c>
      <c r="N794" s="16" t="b">
        <v>0</v>
      </c>
      <c r="O794" s="16" t="n">
        <v>420</v>
      </c>
      <c r="P794" s="16" t="n">
        <v>288.15</v>
      </c>
      <c r="Q794" s="16" t="n">
        <v>3000</v>
      </c>
      <c r="R794" s="16" t="n">
        <v>525</v>
      </c>
      <c r="S794" s="16" t="n">
        <v>0.5</v>
      </c>
      <c r="T794" s="16" t="n">
        <v>0.85</v>
      </c>
      <c r="U794" s="16" t="n">
        <v>0.75</v>
      </c>
      <c r="V794" s="16" t="n">
        <v>0.85</v>
      </c>
      <c r="W794" s="16" t="n">
        <v>0.75</v>
      </c>
      <c r="X794" s="16" t="n">
        <v>0.8</v>
      </c>
      <c r="Y794" s="16" t="n">
        <v>288.15</v>
      </c>
      <c r="Z794" s="16" t="n">
        <v>10.72361039564103</v>
      </c>
      <c r="AA794" s="16" t="n">
        <v>56.0887336979534</v>
      </c>
      <c r="AB794" s="16" t="n">
        <v>2475</v>
      </c>
      <c r="AC794" s="16" t="n">
        <v>5.714285714285714</v>
      </c>
      <c r="AD794" s="16" t="inlineStr">
        <is>
          <t>O2</t>
        </is>
      </c>
      <c r="AE794" s="16" t="n"/>
    </row>
    <row r="795">
      <c r="A795" s="16" t="inlineStr">
        <is>
          <t>KF-M02S-B2-0054</t>
        </is>
      </c>
      <c r="B795" s="16" t="inlineStr">
        <is>
          <t>2.4</t>
        </is>
      </c>
      <c r="C795" s="16" t="inlineStr">
        <is>
          <t>2.4b</t>
        </is>
      </c>
      <c r="D795" s="16" t="inlineStr">
        <is>
          <t>fuente a 420 K</t>
        </is>
      </c>
      <c r="E795" s="16" t="inlineStr">
        <is>
          <t>KF-M02S</t>
        </is>
      </c>
      <c r="F795" s="16" t="inlineStr">
        <is>
          <t>KF-M02S-B2</t>
        </is>
      </c>
      <c r="G795" s="16" t="inlineStr">
        <is>
          <t>B05-B2</t>
        </is>
      </c>
      <c r="H795" s="16" t="inlineStr">
        <is>
          <t>biseccion</t>
        </is>
      </c>
      <c r="I795" s="16" t="inlineStr">
        <is>
          <t>KALINA</t>
        </is>
      </c>
      <c r="J795" s="16" t="inlineStr">
        <is>
          <t>KALINA</t>
        </is>
      </c>
      <c r="K795" s="16" t="b">
        <v>1</v>
      </c>
      <c r="L795" s="16" t="b">
        <v>1</v>
      </c>
      <c r="M795" s="16" t="b">
        <v>0</v>
      </c>
      <c r="N795" s="16" t="b">
        <v>0</v>
      </c>
      <c r="O795" s="16" t="n">
        <v>420</v>
      </c>
      <c r="P795" s="16" t="n">
        <v>283.15</v>
      </c>
      <c r="Q795" s="16" t="n">
        <v>3000</v>
      </c>
      <c r="R795" s="16" t="n">
        <v>525</v>
      </c>
      <c r="S795" s="16" t="n">
        <v>0.5</v>
      </c>
      <c r="T795" s="16" t="n">
        <v>0.85</v>
      </c>
      <c r="U795" s="16" t="n">
        <v>0.75</v>
      </c>
      <c r="V795" s="16" t="n">
        <v>0.85</v>
      </c>
      <c r="W795" s="16" t="n">
        <v>0.75</v>
      </c>
      <c r="X795" s="16" t="n">
        <v>0.8</v>
      </c>
      <c r="Y795" s="16" t="n">
        <v>283.15</v>
      </c>
      <c r="Z795" s="16" t="n">
        <v>10.52801024548572</v>
      </c>
      <c r="AA795" s="16" t="n">
        <v>55.91855643641483</v>
      </c>
      <c r="AB795" s="16" t="n">
        <v>2475</v>
      </c>
      <c r="AC795" s="16" t="n">
        <v>5.714285714285714</v>
      </c>
      <c r="AD795" s="16" t="n"/>
      <c r="AE795" s="16" t="n"/>
    </row>
    <row r="796">
      <c r="A796" s="16" t="inlineStr">
        <is>
          <t>KF-M02S-B2-0055</t>
        </is>
      </c>
      <c r="B796" s="16" t="inlineStr">
        <is>
          <t>2.4</t>
        </is>
      </c>
      <c r="C796" s="16" t="inlineStr">
        <is>
          <t>2.4b</t>
        </is>
      </c>
      <c r="D796" s="16" t="inlineStr">
        <is>
          <t>fuente a 420 K</t>
        </is>
      </c>
      <c r="E796" s="16" t="inlineStr">
        <is>
          <t>KF-M02S</t>
        </is>
      </c>
      <c r="F796" s="16" t="inlineStr">
        <is>
          <t>KF-M02S-B2</t>
        </is>
      </c>
      <c r="G796" s="16" t="inlineStr">
        <is>
          <t>B05-B2</t>
        </is>
      </c>
      <c r="H796" s="16" t="inlineStr">
        <is>
          <t>biseccion</t>
        </is>
      </c>
      <c r="I796" s="16" t="inlineStr">
        <is>
          <t>CORREGIBLE</t>
        </is>
      </c>
      <c r="J796" s="16" t="inlineStr">
        <is>
          <t>CORREGIBLE</t>
        </is>
      </c>
      <c r="K796" s="16" t="b">
        <v>1</v>
      </c>
      <c r="L796" s="16" t="b">
        <v>0</v>
      </c>
      <c r="M796" s="16" t="b">
        <v>0</v>
      </c>
      <c r="N796" s="16" t="b">
        <v>0</v>
      </c>
      <c r="O796" s="16" t="n">
        <v>420</v>
      </c>
      <c r="P796" s="16" t="n">
        <v>288.15</v>
      </c>
      <c r="Q796" s="16" t="n">
        <v>3000</v>
      </c>
      <c r="R796" s="16" t="n">
        <v>525</v>
      </c>
      <c r="S796" s="16" t="n">
        <v>0.5</v>
      </c>
      <c r="T796" s="16" t="n">
        <v>0.85</v>
      </c>
      <c r="U796" s="16" t="n">
        <v>0.75</v>
      </c>
      <c r="V796" s="16" t="n">
        <v>0.85</v>
      </c>
      <c r="W796" s="16" t="n">
        <v>0.75</v>
      </c>
      <c r="X796" s="16" t="n">
        <v>0.8</v>
      </c>
      <c r="Y796" s="16" t="n">
        <v>288.15</v>
      </c>
      <c r="Z796" s="16" t="n">
        <v>10.72361039564103</v>
      </c>
      <c r="AA796" s="16" t="n">
        <v>56.0887336979534</v>
      </c>
      <c r="AB796" s="16" t="n">
        <v>2475</v>
      </c>
      <c r="AC796" s="16" t="n">
        <v>5.714285714285714</v>
      </c>
      <c r="AD796" s="16" t="inlineStr">
        <is>
          <t>O2</t>
        </is>
      </c>
      <c r="AE796" s="16" t="n"/>
    </row>
    <row r="797">
      <c r="A797" s="16" t="inlineStr">
        <is>
          <t>KF-M02S-B2-0056</t>
        </is>
      </c>
      <c r="B797" s="16" t="inlineStr">
        <is>
          <t>2.4</t>
        </is>
      </c>
      <c r="C797" s="16" t="inlineStr">
        <is>
          <t>2.4b</t>
        </is>
      </c>
      <c r="D797" s="16" t="inlineStr">
        <is>
          <t>fuente a 420 K</t>
        </is>
      </c>
      <c r="E797" s="16" t="inlineStr">
        <is>
          <t>KF-M02S</t>
        </is>
      </c>
      <c r="F797" s="16" t="inlineStr">
        <is>
          <t>KF-M02S-B2</t>
        </is>
      </c>
      <c r="G797" s="16" t="inlineStr">
        <is>
          <t>B05-B2</t>
        </is>
      </c>
      <c r="H797" s="16" t="inlineStr">
        <is>
          <t>biseccion</t>
        </is>
      </c>
      <c r="I797" s="16" t="inlineStr">
        <is>
          <t>KALINA</t>
        </is>
      </c>
      <c r="J797" s="16" t="inlineStr">
        <is>
          <t>KALINA</t>
        </is>
      </c>
      <c r="K797" s="16" t="b">
        <v>1</v>
      </c>
      <c r="L797" s="16" t="b">
        <v>1</v>
      </c>
      <c r="M797" s="16" t="b">
        <v>0</v>
      </c>
      <c r="N797" s="16" t="b">
        <v>0</v>
      </c>
      <c r="O797" s="16" t="n">
        <v>420</v>
      </c>
      <c r="P797" s="16" t="n">
        <v>293.15</v>
      </c>
      <c r="Q797" s="16" t="n">
        <v>3000</v>
      </c>
      <c r="R797" s="16" t="n">
        <v>675</v>
      </c>
      <c r="S797" s="16" t="n">
        <v>0.5</v>
      </c>
      <c r="T797" s="16" t="n">
        <v>0.85</v>
      </c>
      <c r="U797" s="16" t="n">
        <v>0.75</v>
      </c>
      <c r="V797" s="16" t="n">
        <v>0.85</v>
      </c>
      <c r="W797" s="16" t="n">
        <v>0.75</v>
      </c>
      <c r="X797" s="16" t="n">
        <v>0.8</v>
      </c>
      <c r="Y797" s="16" t="n">
        <v>293.15</v>
      </c>
      <c r="Z797" s="16" t="n">
        <v>9.436478322075011</v>
      </c>
      <c r="AA797" s="16" t="n">
        <v>48.52631216931114</v>
      </c>
      <c r="AB797" s="16" t="n">
        <v>2325</v>
      </c>
      <c r="AC797" s="16" t="n">
        <v>4.444444444444445</v>
      </c>
      <c r="AD797" s="16" t="n"/>
      <c r="AE797" s="16" t="n"/>
    </row>
    <row r="798">
      <c r="A798" s="16" t="inlineStr">
        <is>
          <t>KF-M02S-B2-0057</t>
        </is>
      </c>
      <c r="B798" s="16" t="inlineStr">
        <is>
          <t>2.4</t>
        </is>
      </c>
      <c r="C798" s="16" t="inlineStr">
        <is>
          <t>2.4b</t>
        </is>
      </c>
      <c r="D798" s="16" t="inlineStr">
        <is>
          <t>fuente a 420 K</t>
        </is>
      </c>
      <c r="E798" s="16" t="inlineStr">
        <is>
          <t>KF-M02S</t>
        </is>
      </c>
      <c r="F798" s="16" t="inlineStr">
        <is>
          <t>KF-M02S-B2</t>
        </is>
      </c>
      <c r="G798" s="16" t="inlineStr">
        <is>
          <t>B05-B2</t>
        </is>
      </c>
      <c r="H798" s="16" t="inlineStr">
        <is>
          <t>biseccion</t>
        </is>
      </c>
      <c r="I798" s="16" t="inlineStr">
        <is>
          <t>CORREGIBLE</t>
        </is>
      </c>
      <c r="J798" s="16" t="inlineStr">
        <is>
          <t>CORREGIBLE</t>
        </is>
      </c>
      <c r="K798" s="16" t="b">
        <v>1</v>
      </c>
      <c r="L798" s="16" t="b">
        <v>0</v>
      </c>
      <c r="M798" s="16" t="b">
        <v>0</v>
      </c>
      <c r="N798" s="16" t="b">
        <v>0</v>
      </c>
      <c r="O798" s="16" t="n">
        <v>420</v>
      </c>
      <c r="P798" s="16" t="n">
        <v>300.032917</v>
      </c>
      <c r="Q798" s="16" t="n">
        <v>3000</v>
      </c>
      <c r="R798" s="16" t="n">
        <v>675</v>
      </c>
      <c r="S798" s="16" t="n">
        <v>0.5</v>
      </c>
      <c r="T798" s="16" t="n">
        <v>0.85</v>
      </c>
      <c r="U798" s="16" t="n">
        <v>0.75</v>
      </c>
      <c r="V798" s="16" t="n">
        <v>0.85</v>
      </c>
      <c r="W798" s="16" t="n">
        <v>0.75</v>
      </c>
      <c r="X798" s="16" t="n">
        <v>0.8</v>
      </c>
      <c r="Y798" s="16" t="n">
        <v>300.032917</v>
      </c>
      <c r="Z798" s="16" t="n">
        <v>9.67721079973065</v>
      </c>
      <c r="AA798" s="16" t="n">
        <v>48.66639637912365</v>
      </c>
      <c r="AB798" s="16" t="n">
        <v>2325</v>
      </c>
      <c r="AC798" s="16" t="n">
        <v>4.444444444444445</v>
      </c>
      <c r="AD798" s="16" t="inlineStr">
        <is>
          <t>O2</t>
        </is>
      </c>
      <c r="AE798" s="16" t="n"/>
    </row>
    <row r="799">
      <c r="A799" s="16" t="inlineStr">
        <is>
          <t>KF-M02S-B2-0058</t>
        </is>
      </c>
      <c r="B799" s="16" t="inlineStr">
        <is>
          <t>2.4</t>
        </is>
      </c>
      <c r="C799" s="16" t="inlineStr">
        <is>
          <t>2.4b</t>
        </is>
      </c>
      <c r="D799" s="16" t="inlineStr">
        <is>
          <t>fuente a 420 K</t>
        </is>
      </c>
      <c r="E799" s="16" t="inlineStr">
        <is>
          <t>KF-M02S</t>
        </is>
      </c>
      <c r="F799" s="16" t="inlineStr">
        <is>
          <t>KF-M02S-B2</t>
        </is>
      </c>
      <c r="G799" s="16" t="inlineStr">
        <is>
          <t>B05-B2</t>
        </is>
      </c>
      <c r="H799" s="16" t="inlineStr">
        <is>
          <t>biseccion</t>
        </is>
      </c>
      <c r="I799" s="16" t="inlineStr">
        <is>
          <t>KALINA</t>
        </is>
      </c>
      <c r="J799" s="16" t="inlineStr">
        <is>
          <t>KALINA</t>
        </is>
      </c>
      <c r="K799" s="16" t="b">
        <v>1</v>
      </c>
      <c r="L799" s="16" t="b">
        <v>1</v>
      </c>
      <c r="M799" s="16" t="b">
        <v>0</v>
      </c>
      <c r="N799" s="16" t="b">
        <v>0</v>
      </c>
      <c r="O799" s="16" t="n">
        <v>420</v>
      </c>
      <c r="P799" s="16" t="n">
        <v>293.15</v>
      </c>
      <c r="Q799" s="16" t="n">
        <v>3000</v>
      </c>
      <c r="R799" s="16" t="n">
        <v>675</v>
      </c>
      <c r="S799" s="16" t="n">
        <v>0.5</v>
      </c>
      <c r="T799" s="16" t="n">
        <v>0.85</v>
      </c>
      <c r="U799" s="16" t="n">
        <v>0.75</v>
      </c>
      <c r="V799" s="16" t="n">
        <v>0.85</v>
      </c>
      <c r="W799" s="16" t="n">
        <v>0.75</v>
      </c>
      <c r="X799" s="16" t="n">
        <v>0.8</v>
      </c>
      <c r="Y799" s="16" t="n">
        <v>293.15</v>
      </c>
      <c r="Z799" s="16" t="n">
        <v>9.436478322075011</v>
      </c>
      <c r="AA799" s="16" t="n">
        <v>48.52631216931114</v>
      </c>
      <c r="AB799" s="16" t="n">
        <v>2325</v>
      </c>
      <c r="AC799" s="16" t="n">
        <v>4.444444444444445</v>
      </c>
      <c r="AD799" s="16" t="n"/>
      <c r="AE799" s="16" t="n"/>
    </row>
    <row r="800">
      <c r="A800" s="16" t="inlineStr">
        <is>
          <t>KF-M02S-B2-0059</t>
        </is>
      </c>
      <c r="B800" s="16" t="inlineStr">
        <is>
          <t>2.4</t>
        </is>
      </c>
      <c r="C800" s="16" t="inlineStr">
        <is>
          <t>2.4b</t>
        </is>
      </c>
      <c r="D800" s="16" t="inlineStr">
        <is>
          <t>fuente a 420 K</t>
        </is>
      </c>
      <c r="E800" s="16" t="inlineStr">
        <is>
          <t>KF-M02S</t>
        </is>
      </c>
      <c r="F800" s="16" t="inlineStr">
        <is>
          <t>KF-M02S-B2</t>
        </is>
      </c>
      <c r="G800" s="16" t="inlineStr">
        <is>
          <t>B05-B2</t>
        </is>
      </c>
      <c r="H800" s="16" t="inlineStr">
        <is>
          <t>biseccion</t>
        </is>
      </c>
      <c r="I800" s="16" t="inlineStr">
        <is>
          <t>CORREGIBLE</t>
        </is>
      </c>
      <c r="J800" s="16" t="inlineStr">
        <is>
          <t>CORREGIBLE</t>
        </is>
      </c>
      <c r="K800" s="16" t="b">
        <v>1</v>
      </c>
      <c r="L800" s="16" t="b">
        <v>0</v>
      </c>
      <c r="M800" s="16" t="b">
        <v>0</v>
      </c>
      <c r="N800" s="16" t="b">
        <v>0</v>
      </c>
      <c r="O800" s="16" t="n">
        <v>420</v>
      </c>
      <c r="P800" s="16" t="n">
        <v>300.032917</v>
      </c>
      <c r="Q800" s="16" t="n">
        <v>3000</v>
      </c>
      <c r="R800" s="16" t="n">
        <v>675</v>
      </c>
      <c r="S800" s="16" t="n">
        <v>0.5</v>
      </c>
      <c r="T800" s="16" t="n">
        <v>0.85</v>
      </c>
      <c r="U800" s="16" t="n">
        <v>0.75</v>
      </c>
      <c r="V800" s="16" t="n">
        <v>0.85</v>
      </c>
      <c r="W800" s="16" t="n">
        <v>0.75</v>
      </c>
      <c r="X800" s="16" t="n">
        <v>0.8</v>
      </c>
      <c r="Y800" s="16" t="n">
        <v>300.032917</v>
      </c>
      <c r="Z800" s="16" t="n">
        <v>9.67721079973065</v>
      </c>
      <c r="AA800" s="16" t="n">
        <v>48.66639637912365</v>
      </c>
      <c r="AB800" s="16" t="n">
        <v>2325</v>
      </c>
      <c r="AC800" s="16" t="n">
        <v>4.444444444444445</v>
      </c>
      <c r="AD800" s="16" t="inlineStr">
        <is>
          <t>O2</t>
        </is>
      </c>
      <c r="AE800" s="16" t="n"/>
    </row>
    <row r="801">
      <c r="A801" s="16" t="inlineStr">
        <is>
          <t>KF-M02S-B3-0050</t>
        </is>
      </c>
      <c r="B801" s="16" t="inlineStr">
        <is>
          <t>2.4</t>
        </is>
      </c>
      <c r="C801" s="16" t="inlineStr">
        <is>
          <t>2.4c</t>
        </is>
      </c>
      <c r="D801" s="16" t="inlineStr">
        <is>
          <t>ε_HRVG = 0.40 (fuente del profesor)</t>
        </is>
      </c>
      <c r="E801" s="16" t="inlineStr">
        <is>
          <t>KF-M02S</t>
        </is>
      </c>
      <c r="F801" s="16" t="inlineStr">
        <is>
          <t>KF-M02S-B3</t>
        </is>
      </c>
      <c r="G801" s="16" t="inlineStr">
        <is>
          <t>B05-B3</t>
        </is>
      </c>
      <c r="H801" s="16" t="inlineStr">
        <is>
          <t>biseccion</t>
        </is>
      </c>
      <c r="I801" s="16" t="inlineStr">
        <is>
          <t>CORREGIBLE</t>
        </is>
      </c>
      <c r="J801" s="16" t="inlineStr">
        <is>
          <t>CORREGIBLE</t>
        </is>
      </c>
      <c r="K801" s="16" t="b">
        <v>1</v>
      </c>
      <c r="L801" s="16" t="b">
        <v>0</v>
      </c>
      <c r="M801" s="16" t="b">
        <v>1</v>
      </c>
      <c r="N801" s="16" t="b">
        <v>0</v>
      </c>
      <c r="O801" s="16" t="n">
        <v>623.15</v>
      </c>
      <c r="P801" s="16" t="n">
        <v>278.15</v>
      </c>
      <c r="Q801" s="16" t="n">
        <v>3000</v>
      </c>
      <c r="R801" s="16" t="n">
        <v>675</v>
      </c>
      <c r="S801" s="16" t="n">
        <v>0.5</v>
      </c>
      <c r="T801" s="16" t="n">
        <v>0.85</v>
      </c>
      <c r="U801" s="16" t="n">
        <v>0.75</v>
      </c>
      <c r="V801" s="16" t="n">
        <v>0.4</v>
      </c>
      <c r="W801" s="16" t="n">
        <v>0.75</v>
      </c>
      <c r="X801" s="16" t="n">
        <v>0.8</v>
      </c>
      <c r="Y801" s="16" t="n">
        <v>278.15</v>
      </c>
      <c r="Z801" s="16" t="n">
        <v>10.36279975182519</v>
      </c>
      <c r="AA801" s="16" t="n">
        <v>99.71318752655824</v>
      </c>
      <c r="AB801" s="16" t="n">
        <v>2325</v>
      </c>
      <c r="AC801" s="16" t="n">
        <v>4.444444444444445</v>
      </c>
      <c r="AD801" s="16" t="inlineStr">
        <is>
          <t>O2</t>
        </is>
      </c>
      <c r="AE801" s="16" t="n"/>
    </row>
    <row r="802">
      <c r="A802" s="16" t="inlineStr">
        <is>
          <t>KF-M02S-B3-0051</t>
        </is>
      </c>
      <c r="B802" s="16" t="inlineStr">
        <is>
          <t>2.4</t>
        </is>
      </c>
      <c r="C802" s="16" t="inlineStr">
        <is>
          <t>2.4c</t>
        </is>
      </c>
      <c r="D802" s="16" t="inlineStr">
        <is>
          <t>ε_HRVG = 0.40 (fuente del profesor)</t>
        </is>
      </c>
      <c r="E802" s="16" t="inlineStr">
        <is>
          <t>KF-M02S</t>
        </is>
      </c>
      <c r="F802" s="16" t="inlineStr">
        <is>
          <t>KF-M02S-B3</t>
        </is>
      </c>
      <c r="G802" s="16" t="inlineStr">
        <is>
          <t>B05-B3</t>
        </is>
      </c>
      <c r="H802" s="16" t="inlineStr">
        <is>
          <t>biseccion</t>
        </is>
      </c>
      <c r="I802" s="16" t="inlineStr">
        <is>
          <t>CORREGIBLE</t>
        </is>
      </c>
      <c r="J802" s="16" t="inlineStr">
        <is>
          <t>CORREGIBLE</t>
        </is>
      </c>
      <c r="K802" s="16" t="b">
        <v>1</v>
      </c>
      <c r="L802" s="16" t="b">
        <v>0</v>
      </c>
      <c r="M802" s="16" t="b">
        <v>1</v>
      </c>
      <c r="N802" s="16" t="b">
        <v>0</v>
      </c>
      <c r="O802" s="16" t="n">
        <v>623.15</v>
      </c>
      <c r="P802" s="16" t="n">
        <v>278.15</v>
      </c>
      <c r="Q802" s="16" t="n">
        <v>3000</v>
      </c>
      <c r="R802" s="16" t="n">
        <v>675</v>
      </c>
      <c r="S802" s="16" t="n">
        <v>0.5</v>
      </c>
      <c r="T802" s="16" t="n">
        <v>0.85</v>
      </c>
      <c r="U802" s="16" t="n">
        <v>0.75</v>
      </c>
      <c r="V802" s="16" t="n">
        <v>0.4</v>
      </c>
      <c r="W802" s="16" t="n">
        <v>0.75</v>
      </c>
      <c r="X802" s="16" t="n">
        <v>0.8</v>
      </c>
      <c r="Y802" s="16" t="n">
        <v>278.15</v>
      </c>
      <c r="Z802" s="16" t="n">
        <v>10.36279975182519</v>
      </c>
      <c r="AA802" s="16" t="n">
        <v>99.71318752655824</v>
      </c>
      <c r="AB802" s="16" t="n">
        <v>2325</v>
      </c>
      <c r="AC802" s="16" t="n">
        <v>4.444444444444445</v>
      </c>
      <c r="AD802" s="16" t="inlineStr">
        <is>
          <t>O2</t>
        </is>
      </c>
      <c r="AE802" s="16" t="n"/>
    </row>
    <row r="803">
      <c r="A803" s="16" t="inlineStr">
        <is>
          <t>KF-M02S-B3-0052</t>
        </is>
      </c>
      <c r="B803" s="16" t="inlineStr">
        <is>
          <t>2.4</t>
        </is>
      </c>
      <c r="C803" s="16" t="inlineStr">
        <is>
          <t>2.4c</t>
        </is>
      </c>
      <c r="D803" s="16" t="inlineStr">
        <is>
          <t>ε_HRVG = 0.40 (fuente del profesor)</t>
        </is>
      </c>
      <c r="E803" s="16" t="inlineStr">
        <is>
          <t>KF-M02S</t>
        </is>
      </c>
      <c r="F803" s="16" t="inlineStr">
        <is>
          <t>KF-M02S-B3</t>
        </is>
      </c>
      <c r="G803" s="16" t="inlineStr">
        <is>
          <t>B05-B3</t>
        </is>
      </c>
      <c r="H803" s="16" t="inlineStr">
        <is>
          <t>biseccion</t>
        </is>
      </c>
      <c r="I803" s="16" t="inlineStr">
        <is>
          <t>CORREGIBLE</t>
        </is>
      </c>
      <c r="J803" s="16" t="inlineStr">
        <is>
          <t>CORREGIBLE</t>
        </is>
      </c>
      <c r="K803" s="16" t="b">
        <v>1</v>
      </c>
      <c r="L803" s="16" t="b">
        <v>0</v>
      </c>
      <c r="M803" s="16" t="b">
        <v>1</v>
      </c>
      <c r="N803" s="16" t="b">
        <v>0</v>
      </c>
      <c r="O803" s="16" t="n">
        <v>623.15</v>
      </c>
      <c r="P803" s="16" t="n">
        <v>283.15</v>
      </c>
      <c r="Q803" s="16" t="n">
        <v>3000</v>
      </c>
      <c r="R803" s="16" t="n">
        <v>825</v>
      </c>
      <c r="S803" s="16" t="n">
        <v>0.5</v>
      </c>
      <c r="T803" s="16" t="n">
        <v>0.85</v>
      </c>
      <c r="U803" s="16" t="n">
        <v>0.75</v>
      </c>
      <c r="V803" s="16" t="n">
        <v>0.4</v>
      </c>
      <c r="W803" s="16" t="n">
        <v>0.75</v>
      </c>
      <c r="X803" s="16" t="n">
        <v>0.8</v>
      </c>
      <c r="Y803" s="16" t="n">
        <v>283.15</v>
      </c>
      <c r="Z803" s="16" t="n">
        <v>9.187223347122609</v>
      </c>
      <c r="AA803" s="16" t="n">
        <v>87.8790523955897</v>
      </c>
      <c r="AB803" s="16" t="n">
        <v>2175</v>
      </c>
      <c r="AC803" s="16" t="n">
        <v>3.636363636363636</v>
      </c>
      <c r="AD803" s="16" t="inlineStr">
        <is>
          <t>O2</t>
        </is>
      </c>
      <c r="AE803" s="16" t="n"/>
    </row>
    <row r="804">
      <c r="A804" s="16" t="inlineStr">
        <is>
          <t>KF-M02S-B3-0053</t>
        </is>
      </c>
      <c r="B804" s="16" t="inlineStr">
        <is>
          <t>2.4</t>
        </is>
      </c>
      <c r="C804" s="16" t="inlineStr">
        <is>
          <t>2.4c</t>
        </is>
      </c>
      <c r="D804" s="16" t="inlineStr">
        <is>
          <t>ε_HRVG = 0.40 (fuente del profesor)</t>
        </is>
      </c>
      <c r="E804" s="16" t="inlineStr">
        <is>
          <t>KF-M02S</t>
        </is>
      </c>
      <c r="F804" s="16" t="inlineStr">
        <is>
          <t>KF-M02S-B3</t>
        </is>
      </c>
      <c r="G804" s="16" t="inlineStr">
        <is>
          <t>B05-B3</t>
        </is>
      </c>
      <c r="H804" s="16" t="inlineStr">
        <is>
          <t>biseccion</t>
        </is>
      </c>
      <c r="I804" s="16" t="inlineStr">
        <is>
          <t>CORREGIBLE</t>
        </is>
      </c>
      <c r="J804" s="16" t="inlineStr">
        <is>
          <t>CORREGIBLE</t>
        </is>
      </c>
      <c r="K804" s="16" t="b">
        <v>1</v>
      </c>
      <c r="L804" s="16" t="b">
        <v>0</v>
      </c>
      <c r="M804" s="16" t="b">
        <v>1</v>
      </c>
      <c r="N804" s="16" t="b">
        <v>0</v>
      </c>
      <c r="O804" s="16" t="n">
        <v>623.15</v>
      </c>
      <c r="P804" s="16" t="n">
        <v>283.15</v>
      </c>
      <c r="Q804" s="16" t="n">
        <v>3000</v>
      </c>
      <c r="R804" s="16" t="n">
        <v>825</v>
      </c>
      <c r="S804" s="16" t="n">
        <v>0.5</v>
      </c>
      <c r="T804" s="16" t="n">
        <v>0.85</v>
      </c>
      <c r="U804" s="16" t="n">
        <v>0.75</v>
      </c>
      <c r="V804" s="16" t="n">
        <v>0.4</v>
      </c>
      <c r="W804" s="16" t="n">
        <v>0.75</v>
      </c>
      <c r="X804" s="16" t="n">
        <v>0.8</v>
      </c>
      <c r="Y804" s="16" t="n">
        <v>283.15</v>
      </c>
      <c r="Z804" s="16" t="n">
        <v>9.187223347122609</v>
      </c>
      <c r="AA804" s="16" t="n">
        <v>87.8790523955897</v>
      </c>
      <c r="AB804" s="16" t="n">
        <v>2175</v>
      </c>
      <c r="AC804" s="16" t="n">
        <v>3.636363636363636</v>
      </c>
      <c r="AD804" s="16" t="inlineStr">
        <is>
          <t>O2</t>
        </is>
      </c>
      <c r="AE804" s="16" t="n"/>
    </row>
    <row r="805">
      <c r="A805" s="16" t="inlineStr">
        <is>
          <t>KF-M02S-B3-0054</t>
        </is>
      </c>
      <c r="B805" s="16" t="inlineStr">
        <is>
          <t>2.4</t>
        </is>
      </c>
      <c r="C805" s="16" t="inlineStr">
        <is>
          <t>2.4c</t>
        </is>
      </c>
      <c r="D805" s="16" t="inlineStr">
        <is>
          <t>ε_HRVG = 0.40 (fuente del profesor)</t>
        </is>
      </c>
      <c r="E805" s="16" t="inlineStr">
        <is>
          <t>KF-M02S</t>
        </is>
      </c>
      <c r="F805" s="16" t="inlineStr">
        <is>
          <t>KF-M02S-B3</t>
        </is>
      </c>
      <c r="G805" s="16" t="inlineStr">
        <is>
          <t>B05-B3</t>
        </is>
      </c>
      <c r="H805" s="16" t="inlineStr">
        <is>
          <t>biseccion</t>
        </is>
      </c>
      <c r="I805" s="16" t="inlineStr">
        <is>
          <t>CORREGIBLE</t>
        </is>
      </c>
      <c r="J805" s="16" t="inlineStr">
        <is>
          <t>CORREGIBLE</t>
        </is>
      </c>
      <c r="K805" s="16" t="b">
        <v>1</v>
      </c>
      <c r="L805" s="16" t="b">
        <v>0</v>
      </c>
      <c r="M805" s="16" t="b">
        <v>1</v>
      </c>
      <c r="N805" s="16" t="b">
        <v>0</v>
      </c>
      <c r="O805" s="16" t="n">
        <v>623.15</v>
      </c>
      <c r="P805" s="16" t="n">
        <v>288.15</v>
      </c>
      <c r="Q805" s="16" t="n">
        <v>3000</v>
      </c>
      <c r="R805" s="16" t="n">
        <v>975</v>
      </c>
      <c r="S805" s="16" t="n">
        <v>0.5</v>
      </c>
      <c r="T805" s="16" t="n">
        <v>0.85</v>
      </c>
      <c r="U805" s="16" t="n">
        <v>0.75</v>
      </c>
      <c r="V805" s="16" t="n">
        <v>0.4</v>
      </c>
      <c r="W805" s="16" t="n">
        <v>0.75</v>
      </c>
      <c r="X805" s="16" t="n">
        <v>0.8</v>
      </c>
      <c r="Y805" s="16" t="n">
        <v>288.15</v>
      </c>
      <c r="Z805" s="16" t="n">
        <v>8.175212193272479</v>
      </c>
      <c r="AA805" s="16" t="n">
        <v>77.73450230186089</v>
      </c>
      <c r="AB805" s="16" t="n">
        <v>2025</v>
      </c>
      <c r="AC805" s="16" t="n">
        <v>3.076923076923077</v>
      </c>
      <c r="AD805" s="16" t="inlineStr">
        <is>
          <t>O2</t>
        </is>
      </c>
      <c r="AE805" s="16" t="n"/>
    </row>
    <row r="806">
      <c r="A806" s="16" t="inlineStr">
        <is>
          <t>KF-M02S-B3-0055</t>
        </is>
      </c>
      <c r="B806" s="16" t="inlineStr">
        <is>
          <t>2.4</t>
        </is>
      </c>
      <c r="C806" s="16" t="inlineStr">
        <is>
          <t>2.4c</t>
        </is>
      </c>
      <c r="D806" s="16" t="inlineStr">
        <is>
          <t>ε_HRVG = 0.40 (fuente del profesor)</t>
        </is>
      </c>
      <c r="E806" s="16" t="inlineStr">
        <is>
          <t>KF-M02S</t>
        </is>
      </c>
      <c r="F806" s="16" t="inlineStr">
        <is>
          <t>KF-M02S-B3</t>
        </is>
      </c>
      <c r="G806" s="16" t="inlineStr">
        <is>
          <t>B05-B3</t>
        </is>
      </c>
      <c r="H806" s="16" t="inlineStr">
        <is>
          <t>biseccion</t>
        </is>
      </c>
      <c r="I806" s="16" t="inlineStr">
        <is>
          <t>CORREGIBLE</t>
        </is>
      </c>
      <c r="J806" s="16" t="inlineStr">
        <is>
          <t>CORREGIBLE</t>
        </is>
      </c>
      <c r="K806" s="16" t="b">
        <v>1</v>
      </c>
      <c r="L806" s="16" t="b">
        <v>0</v>
      </c>
      <c r="M806" s="16" t="b">
        <v>1</v>
      </c>
      <c r="N806" s="16" t="b">
        <v>0</v>
      </c>
      <c r="O806" s="16" t="n">
        <v>623.15</v>
      </c>
      <c r="P806" s="16" t="n">
        <v>288.15</v>
      </c>
      <c r="Q806" s="16" t="n">
        <v>3000</v>
      </c>
      <c r="R806" s="16" t="n">
        <v>975</v>
      </c>
      <c r="S806" s="16" t="n">
        <v>0.5</v>
      </c>
      <c r="T806" s="16" t="n">
        <v>0.85</v>
      </c>
      <c r="U806" s="16" t="n">
        <v>0.75</v>
      </c>
      <c r="V806" s="16" t="n">
        <v>0.4</v>
      </c>
      <c r="W806" s="16" t="n">
        <v>0.75</v>
      </c>
      <c r="X806" s="16" t="n">
        <v>0.8</v>
      </c>
      <c r="Y806" s="16" t="n">
        <v>288.15</v>
      </c>
      <c r="Z806" s="16" t="n">
        <v>8.175212193272479</v>
      </c>
      <c r="AA806" s="16" t="n">
        <v>77.73450230186089</v>
      </c>
      <c r="AB806" s="16" t="n">
        <v>2025</v>
      </c>
      <c r="AC806" s="16" t="n">
        <v>3.076923076923077</v>
      </c>
      <c r="AD806" s="16" t="inlineStr">
        <is>
          <t>O2</t>
        </is>
      </c>
      <c r="AE806" s="16" t="n"/>
    </row>
    <row r="807">
      <c r="A807" s="16" t="inlineStr">
        <is>
          <t>KF-M02S-B3-0056</t>
        </is>
      </c>
      <c r="B807" s="16" t="inlineStr">
        <is>
          <t>2.4</t>
        </is>
      </c>
      <c r="C807" s="16" t="inlineStr">
        <is>
          <t>2.4c</t>
        </is>
      </c>
      <c r="D807" s="16" t="inlineStr">
        <is>
          <t>ε_HRVG = 0.40 (fuente del profesor)</t>
        </is>
      </c>
      <c r="E807" s="16" t="inlineStr">
        <is>
          <t>KF-M02S</t>
        </is>
      </c>
      <c r="F807" s="16" t="inlineStr">
        <is>
          <t>KF-M02S-B3</t>
        </is>
      </c>
      <c r="G807" s="16" t="inlineStr">
        <is>
          <t>B05-B3</t>
        </is>
      </c>
      <c r="H807" s="16" t="inlineStr">
        <is>
          <t>biseccion</t>
        </is>
      </c>
      <c r="I807" s="16" t="inlineStr">
        <is>
          <t>KALINA</t>
        </is>
      </c>
      <c r="J807" s="16" t="inlineStr">
        <is>
          <t>KALINA</t>
        </is>
      </c>
      <c r="K807" s="16" t="b">
        <v>1</v>
      </c>
      <c r="L807" s="16" t="b">
        <v>0</v>
      </c>
      <c r="M807" s="16" t="b">
        <v>1</v>
      </c>
      <c r="N807" s="16" t="b">
        <v>0</v>
      </c>
      <c r="O807" s="16" t="n">
        <v>623.15</v>
      </c>
      <c r="P807" s="16" t="n">
        <v>293.15</v>
      </c>
      <c r="Q807" s="16" t="n">
        <v>3000</v>
      </c>
      <c r="R807" s="16" t="n">
        <v>1125</v>
      </c>
      <c r="S807" s="16" t="n">
        <v>0.5</v>
      </c>
      <c r="T807" s="16" t="n">
        <v>0.85</v>
      </c>
      <c r="U807" s="16" t="n">
        <v>0.75</v>
      </c>
      <c r="V807" s="16" t="n">
        <v>0.4</v>
      </c>
      <c r="W807" s="16" t="n">
        <v>0.75</v>
      </c>
      <c r="X807" s="16" t="n">
        <v>0.8</v>
      </c>
      <c r="Y807" s="16" t="n">
        <v>293.15</v>
      </c>
      <c r="Z807" s="16" t="n">
        <v>7.282634232065829</v>
      </c>
      <c r="AA807" s="16" t="n">
        <v>68.83339716114969</v>
      </c>
      <c r="AB807" s="16" t="n">
        <v>1875</v>
      </c>
      <c r="AC807" s="16" t="n">
        <v>2.666666666666667</v>
      </c>
      <c r="AD807" s="16" t="n"/>
      <c r="AE807" s="16" t="n"/>
    </row>
    <row r="808">
      <c r="A808" s="16" t="inlineStr">
        <is>
          <t>KF-M02S-B3-0057</t>
        </is>
      </c>
      <c r="B808" s="16" t="inlineStr">
        <is>
          <t>2.4</t>
        </is>
      </c>
      <c r="C808" s="16" t="inlineStr">
        <is>
          <t>2.4c</t>
        </is>
      </c>
      <c r="D808" s="16" t="inlineStr">
        <is>
          <t>ε_HRVG = 0.40 (fuente del profesor)</t>
        </is>
      </c>
      <c r="E808" s="16" t="inlineStr">
        <is>
          <t>KF-M02S</t>
        </is>
      </c>
      <c r="F808" s="16" t="inlineStr">
        <is>
          <t>KF-M02S-B3</t>
        </is>
      </c>
      <c r="G808" s="16" t="inlineStr">
        <is>
          <t>B05-B3</t>
        </is>
      </c>
      <c r="H808" s="16" t="inlineStr">
        <is>
          <t>biseccion</t>
        </is>
      </c>
      <c r="I808" s="16" t="inlineStr">
        <is>
          <t>CORREGIBLE</t>
        </is>
      </c>
      <c r="J808" s="16" t="inlineStr">
        <is>
          <t>CORREGIBLE</t>
        </is>
      </c>
      <c r="K808" s="16" t="b">
        <v>1</v>
      </c>
      <c r="L808" s="16" t="b">
        <v>0</v>
      </c>
      <c r="M808" s="16" t="b">
        <v>1</v>
      </c>
      <c r="N808" s="16" t="b">
        <v>0</v>
      </c>
      <c r="O808" s="16" t="n">
        <v>623.15</v>
      </c>
      <c r="P808" s="16" t="n">
        <v>300.032917</v>
      </c>
      <c r="Q808" s="16" t="n">
        <v>3000</v>
      </c>
      <c r="R808" s="16" t="n">
        <v>1275</v>
      </c>
      <c r="S808" s="16" t="n">
        <v>0.5</v>
      </c>
      <c r="T808" s="16" t="n">
        <v>0.85</v>
      </c>
      <c r="U808" s="16" t="n">
        <v>0.75</v>
      </c>
      <c r="V808" s="16" t="n">
        <v>0.4</v>
      </c>
      <c r="W808" s="16" t="n">
        <v>0.75</v>
      </c>
      <c r="X808" s="16" t="n">
        <v>0.8</v>
      </c>
      <c r="Y808" s="16" t="n">
        <v>300.032917</v>
      </c>
      <c r="Z808" s="16" t="n">
        <v>6.51465576378263</v>
      </c>
      <c r="AA808" s="16" t="n">
        <v>61.07319676035566</v>
      </c>
      <c r="AB808" s="16" t="n">
        <v>1725</v>
      </c>
      <c r="AC808" s="16" t="n">
        <v>2.352941176470588</v>
      </c>
      <c r="AD808" s="16" t="inlineStr">
        <is>
          <t>O2</t>
        </is>
      </c>
      <c r="AE808" s="16" t="n"/>
    </row>
    <row r="809">
      <c r="A809" s="16" t="inlineStr">
        <is>
          <t>KF-M02S-B3-0058</t>
        </is>
      </c>
      <c r="B809" s="16" t="inlineStr">
        <is>
          <t>2.4</t>
        </is>
      </c>
      <c r="C809" s="16" t="inlineStr">
        <is>
          <t>2.4c</t>
        </is>
      </c>
      <c r="D809" s="16" t="inlineStr">
        <is>
          <t>ε_HRVG = 0.40 (fuente del profesor)</t>
        </is>
      </c>
      <c r="E809" s="16" t="inlineStr">
        <is>
          <t>KF-M02S</t>
        </is>
      </c>
      <c r="F809" s="16" t="inlineStr">
        <is>
          <t>KF-M02S-B3</t>
        </is>
      </c>
      <c r="G809" s="16" t="inlineStr">
        <is>
          <t>B05-B3</t>
        </is>
      </c>
      <c r="H809" s="16" t="inlineStr">
        <is>
          <t>biseccion</t>
        </is>
      </c>
      <c r="I809" s="16" t="inlineStr">
        <is>
          <t>CORREGIBLE</t>
        </is>
      </c>
      <c r="J809" s="16" t="inlineStr">
        <is>
          <t>CORREGIBLE</t>
        </is>
      </c>
      <c r="K809" s="16" t="b">
        <v>1</v>
      </c>
      <c r="L809" s="16" t="b">
        <v>0</v>
      </c>
      <c r="M809" s="16" t="b">
        <v>1</v>
      </c>
      <c r="N809" s="16" t="b">
        <v>0</v>
      </c>
      <c r="O809" s="16" t="n">
        <v>623.15</v>
      </c>
      <c r="P809" s="16" t="n">
        <v>300.032917</v>
      </c>
      <c r="Q809" s="16" t="n">
        <v>3000</v>
      </c>
      <c r="R809" s="16" t="n">
        <v>1275</v>
      </c>
      <c r="S809" s="16" t="n">
        <v>0.5</v>
      </c>
      <c r="T809" s="16" t="n">
        <v>0.85</v>
      </c>
      <c r="U809" s="16" t="n">
        <v>0.75</v>
      </c>
      <c r="V809" s="16" t="n">
        <v>0.4</v>
      </c>
      <c r="W809" s="16" t="n">
        <v>0.75</v>
      </c>
      <c r="X809" s="16" t="n">
        <v>0.8</v>
      </c>
      <c r="Y809" s="16" t="n">
        <v>300.032917</v>
      </c>
      <c r="Z809" s="16" t="n">
        <v>6.51465576378263</v>
      </c>
      <c r="AA809" s="16" t="n">
        <v>61.07319676035566</v>
      </c>
      <c r="AB809" s="16" t="n">
        <v>1725</v>
      </c>
      <c r="AC809" s="16" t="n">
        <v>2.352941176470588</v>
      </c>
      <c r="AD809" s="16" t="inlineStr">
        <is>
          <t>O2</t>
        </is>
      </c>
      <c r="AE809" s="16" t="n"/>
    </row>
    <row r="810">
      <c r="A810" s="16" t="inlineStr">
        <is>
          <t>KF-M02S-B3-0059</t>
        </is>
      </c>
      <c r="B810" s="16" t="inlineStr">
        <is>
          <t>2.4</t>
        </is>
      </c>
      <c r="C810" s="16" t="inlineStr">
        <is>
          <t>2.4c</t>
        </is>
      </c>
      <c r="D810" s="16" t="inlineStr">
        <is>
          <t>ε_HRVG = 0.40 (fuente del profesor)</t>
        </is>
      </c>
      <c r="E810" s="16" t="inlineStr">
        <is>
          <t>KF-M02S</t>
        </is>
      </c>
      <c r="F810" s="16" t="inlineStr">
        <is>
          <t>KF-M02S-B3</t>
        </is>
      </c>
      <c r="G810" s="16" t="inlineStr">
        <is>
          <t>B05-B3</t>
        </is>
      </c>
      <c r="H810" s="16" t="inlineStr">
        <is>
          <t>biseccion</t>
        </is>
      </c>
      <c r="I810" s="16" t="inlineStr">
        <is>
          <t>KALINA</t>
        </is>
      </c>
      <c r="J810" s="16" t="inlineStr">
        <is>
          <t>KALINA</t>
        </is>
      </c>
      <c r="K810" s="16" t="b">
        <v>1</v>
      </c>
      <c r="L810" s="16" t="b">
        <v>0</v>
      </c>
      <c r="M810" s="16" t="b">
        <v>1</v>
      </c>
      <c r="N810" s="16" t="b">
        <v>0</v>
      </c>
      <c r="O810" s="16" t="n">
        <v>623.15</v>
      </c>
      <c r="P810" s="16" t="n">
        <v>293.15</v>
      </c>
      <c r="Q810" s="16" t="n">
        <v>3000</v>
      </c>
      <c r="R810" s="16" t="n">
        <v>1125</v>
      </c>
      <c r="S810" s="16" t="n">
        <v>0.5</v>
      </c>
      <c r="T810" s="16" t="n">
        <v>0.85</v>
      </c>
      <c r="U810" s="16" t="n">
        <v>0.75</v>
      </c>
      <c r="V810" s="16" t="n">
        <v>0.4</v>
      </c>
      <c r="W810" s="16" t="n">
        <v>0.75</v>
      </c>
      <c r="X810" s="16" t="n">
        <v>0.8</v>
      </c>
      <c r="Y810" s="16" t="n">
        <v>293.15</v>
      </c>
      <c r="Z810" s="16" t="n">
        <v>7.282634232065829</v>
      </c>
      <c r="AA810" s="16" t="n">
        <v>68.83339716114969</v>
      </c>
      <c r="AB810" s="16" t="n">
        <v>1875</v>
      </c>
      <c r="AC810" s="16" t="n">
        <v>2.666666666666667</v>
      </c>
      <c r="AD810" s="16" t="n"/>
      <c r="AE810" s="16" t="n"/>
    </row>
    <row r="811">
      <c r="A811" s="16" t="inlineStr">
        <is>
          <t>KF-M02S-B1-0060</t>
        </is>
      </c>
      <c r="B811" s="16" t="inlineStr">
        <is>
          <t>2.4</t>
        </is>
      </c>
      <c r="C811" s="16" t="inlineStr">
        <is>
          <t>2.4a</t>
        </is>
      </c>
      <c r="D811" s="16" t="inlineStr">
        <is>
          <t>fuente a 403 K</t>
        </is>
      </c>
      <c r="E811" s="16" t="inlineStr">
        <is>
          <t>KF-M02S</t>
        </is>
      </c>
      <c r="F811" s="16" t="inlineStr">
        <is>
          <t>KF-M02S-B1</t>
        </is>
      </c>
      <c r="G811" s="16" t="inlineStr">
        <is>
          <t>B05-B1</t>
        </is>
      </c>
      <c r="H811" s="16" t="inlineStr">
        <is>
          <t>biseccion</t>
        </is>
      </c>
      <c r="I811" s="16" t="inlineStr">
        <is>
          <t>CORREGIBLE</t>
        </is>
      </c>
      <c r="J811" s="16" t="inlineStr">
        <is>
          <t>CORREGIBLE</t>
        </is>
      </c>
      <c r="K811" s="16" t="b">
        <v>1</v>
      </c>
      <c r="L811" s="16" t="b">
        <v>0</v>
      </c>
      <c r="M811" s="16" t="b">
        <v>0</v>
      </c>
      <c r="N811" s="16" t="b">
        <v>0</v>
      </c>
      <c r="O811" s="16" t="n">
        <v>403</v>
      </c>
      <c r="P811" s="16" t="n">
        <v>278.15</v>
      </c>
      <c r="Q811" s="16" t="n">
        <v>3000</v>
      </c>
      <c r="R811" s="16" t="n">
        <v>262.5</v>
      </c>
      <c r="S811" s="16" t="n">
        <v>0.5</v>
      </c>
      <c r="T811" s="16" t="n">
        <v>0.85</v>
      </c>
      <c r="U811" s="16" t="n">
        <v>0.75</v>
      </c>
      <c r="V811" s="16" t="n">
        <v>0.85</v>
      </c>
      <c r="W811" s="16" t="n">
        <v>0.75</v>
      </c>
      <c r="X811" s="16" t="n">
        <v>0.8</v>
      </c>
      <c r="Y811" s="16" t="n">
        <v>278.15</v>
      </c>
      <c r="Z811" s="16" t="n">
        <v>10.81350480672232</v>
      </c>
      <c r="AA811" s="16" t="n">
        <v>36.26014267619018</v>
      </c>
      <c r="AB811" s="16" t="n">
        <v>2737.5</v>
      </c>
      <c r="AC811" s="16" t="n">
        <v>11.42857142857143</v>
      </c>
      <c r="AD811" s="16" t="inlineStr">
        <is>
          <t>O2</t>
        </is>
      </c>
      <c r="AE811" s="16" t="n"/>
    </row>
    <row r="812">
      <c r="A812" s="16" t="inlineStr">
        <is>
          <t>KF-M02S-B1-0061</t>
        </is>
      </c>
      <c r="B812" s="16" t="inlineStr">
        <is>
          <t>2.4</t>
        </is>
      </c>
      <c r="C812" s="16" t="inlineStr">
        <is>
          <t>2.4a</t>
        </is>
      </c>
      <c r="D812" s="16" t="inlineStr">
        <is>
          <t>fuente a 403 K</t>
        </is>
      </c>
      <c r="E812" s="16" t="inlineStr">
        <is>
          <t>KF-M02S</t>
        </is>
      </c>
      <c r="F812" s="16" t="inlineStr">
        <is>
          <t>KF-M02S-B1</t>
        </is>
      </c>
      <c r="G812" s="16" t="inlineStr">
        <is>
          <t>B05-B1</t>
        </is>
      </c>
      <c r="H812" s="16" t="inlineStr">
        <is>
          <t>biseccion</t>
        </is>
      </c>
      <c r="I812" s="16" t="inlineStr">
        <is>
          <t>CORREGIBLE</t>
        </is>
      </c>
      <c r="J812" s="16" t="inlineStr">
        <is>
          <t>CORREGIBLE</t>
        </is>
      </c>
      <c r="K812" s="16" t="b">
        <v>1</v>
      </c>
      <c r="L812" s="16" t="b">
        <v>0</v>
      </c>
      <c r="M812" s="16" t="b">
        <v>0</v>
      </c>
      <c r="N812" s="16" t="b">
        <v>0</v>
      </c>
      <c r="O812" s="16" t="n">
        <v>403</v>
      </c>
      <c r="P812" s="16" t="n">
        <v>278.15</v>
      </c>
      <c r="Q812" s="16" t="n">
        <v>3000</v>
      </c>
      <c r="R812" s="16" t="n">
        <v>262.5</v>
      </c>
      <c r="S812" s="16" t="n">
        <v>0.5</v>
      </c>
      <c r="T812" s="16" t="n">
        <v>0.85</v>
      </c>
      <c r="U812" s="16" t="n">
        <v>0.75</v>
      </c>
      <c r="V812" s="16" t="n">
        <v>0.85</v>
      </c>
      <c r="W812" s="16" t="n">
        <v>0.75</v>
      </c>
      <c r="X812" s="16" t="n">
        <v>0.8</v>
      </c>
      <c r="Y812" s="16" t="n">
        <v>278.15</v>
      </c>
      <c r="Z812" s="16" t="n">
        <v>10.81350480672232</v>
      </c>
      <c r="AA812" s="16" t="n">
        <v>36.26014267619018</v>
      </c>
      <c r="AB812" s="16" t="n">
        <v>2737.5</v>
      </c>
      <c r="AC812" s="16" t="n">
        <v>11.42857142857143</v>
      </c>
      <c r="AD812" s="16" t="inlineStr">
        <is>
          <t>O2</t>
        </is>
      </c>
      <c r="AE812" s="16" t="n"/>
    </row>
    <row r="813">
      <c r="A813" s="16" t="inlineStr">
        <is>
          <t>KF-M02S-B1-0062</t>
        </is>
      </c>
      <c r="B813" s="16" t="inlineStr">
        <is>
          <t>2.4</t>
        </is>
      </c>
      <c r="C813" s="16" t="inlineStr">
        <is>
          <t>2.4a</t>
        </is>
      </c>
      <c r="D813" s="16" t="inlineStr">
        <is>
          <t>fuente a 403 K</t>
        </is>
      </c>
      <c r="E813" s="16" t="inlineStr">
        <is>
          <t>KF-M02S</t>
        </is>
      </c>
      <c r="F813" s="16" t="inlineStr">
        <is>
          <t>KF-M02S-B1</t>
        </is>
      </c>
      <c r="G813" s="16" t="inlineStr">
        <is>
          <t>B05-B1</t>
        </is>
      </c>
      <c r="H813" s="16" t="inlineStr">
        <is>
          <t>biseccion</t>
        </is>
      </c>
      <c r="I813" s="16" t="inlineStr">
        <is>
          <t>KALINA</t>
        </is>
      </c>
      <c r="J813" s="16" t="inlineStr">
        <is>
          <t>KALINA</t>
        </is>
      </c>
      <c r="K813" s="16" t="b">
        <v>1</v>
      </c>
      <c r="L813" s="16" t="b">
        <v>1</v>
      </c>
      <c r="M813" s="16" t="b">
        <v>0</v>
      </c>
      <c r="N813" s="16" t="b">
        <v>0</v>
      </c>
      <c r="O813" s="16" t="n">
        <v>403</v>
      </c>
      <c r="P813" s="16" t="n">
        <v>283.15</v>
      </c>
      <c r="Q813" s="16" t="n">
        <v>3000</v>
      </c>
      <c r="R813" s="16" t="n">
        <v>337.5</v>
      </c>
      <c r="S813" s="16" t="n">
        <v>0.5</v>
      </c>
      <c r="T813" s="16" t="n">
        <v>0.85</v>
      </c>
      <c r="U813" s="16" t="n">
        <v>0.75</v>
      </c>
      <c r="V813" s="16" t="n">
        <v>0.85</v>
      </c>
      <c r="W813" s="16" t="n">
        <v>0.75</v>
      </c>
      <c r="X813" s="16" t="n">
        <v>0.8</v>
      </c>
      <c r="Y813" s="16" t="n">
        <v>283.15</v>
      </c>
      <c r="Z813" s="16" t="n">
        <v>10.03354235296544</v>
      </c>
      <c r="AA813" s="16" t="n">
        <v>32.97101044720274</v>
      </c>
      <c r="AB813" s="16" t="n">
        <v>2662.5</v>
      </c>
      <c r="AC813" s="16" t="n">
        <v>8.888888888888889</v>
      </c>
      <c r="AD813" s="16" t="n"/>
      <c r="AE813" s="16" t="n"/>
    </row>
    <row r="814">
      <c r="A814" s="16" t="inlineStr">
        <is>
          <t>KF-M02S-B1-0063</t>
        </is>
      </c>
      <c r="B814" s="16" t="inlineStr">
        <is>
          <t>2.4</t>
        </is>
      </c>
      <c r="C814" s="16" t="inlineStr">
        <is>
          <t>2.4a</t>
        </is>
      </c>
      <c r="D814" s="16" t="inlineStr">
        <is>
          <t>fuente a 403 K</t>
        </is>
      </c>
      <c r="E814" s="16" t="inlineStr">
        <is>
          <t>KF-M02S</t>
        </is>
      </c>
      <c r="F814" s="16" t="inlineStr">
        <is>
          <t>KF-M02S-B1</t>
        </is>
      </c>
      <c r="G814" s="16" t="inlineStr">
        <is>
          <t>B05-B1</t>
        </is>
      </c>
      <c r="H814" s="16" t="inlineStr">
        <is>
          <t>biseccion</t>
        </is>
      </c>
      <c r="I814" s="16" t="inlineStr">
        <is>
          <t>KALINA</t>
        </is>
      </c>
      <c r="J814" s="16" t="inlineStr">
        <is>
          <t>KALINA</t>
        </is>
      </c>
      <c r="K814" s="16" t="b">
        <v>1</v>
      </c>
      <c r="L814" s="16" t="b">
        <v>1</v>
      </c>
      <c r="M814" s="16" t="b">
        <v>0</v>
      </c>
      <c r="N814" s="16" t="b">
        <v>0</v>
      </c>
      <c r="O814" s="16" t="n">
        <v>403</v>
      </c>
      <c r="P814" s="16" t="n">
        <v>288.15</v>
      </c>
      <c r="Q814" s="16" t="n">
        <v>3000</v>
      </c>
      <c r="R814" s="16" t="n">
        <v>412.5</v>
      </c>
      <c r="S814" s="16" t="n">
        <v>0.5</v>
      </c>
      <c r="T814" s="16" t="n">
        <v>0.85</v>
      </c>
      <c r="U814" s="16" t="n">
        <v>0.75</v>
      </c>
      <c r="V814" s="16" t="n">
        <v>0.85</v>
      </c>
      <c r="W814" s="16" t="n">
        <v>0.75</v>
      </c>
      <c r="X814" s="16" t="n">
        <v>0.8</v>
      </c>
      <c r="Y814" s="16" t="n">
        <v>288.15</v>
      </c>
      <c r="Z814" s="16" t="n">
        <v>9.397284267035969</v>
      </c>
      <c r="AA814" s="16" t="n">
        <v>30.24770286732903</v>
      </c>
      <c r="AB814" s="16" t="n">
        <v>2587.5</v>
      </c>
      <c r="AC814" s="16" t="n">
        <v>7.272727272727272</v>
      </c>
      <c r="AD814" s="16" t="n"/>
      <c r="AE814" s="16" t="n"/>
    </row>
    <row r="815">
      <c r="A815" s="16" t="inlineStr">
        <is>
          <t>KF-M02S-B1-0064</t>
        </is>
      </c>
      <c r="B815" s="16" t="inlineStr">
        <is>
          <t>2.4</t>
        </is>
      </c>
      <c r="C815" s="16" t="inlineStr">
        <is>
          <t>2.4a</t>
        </is>
      </c>
      <c r="D815" s="16" t="inlineStr">
        <is>
          <t>fuente a 403 K</t>
        </is>
      </c>
      <c r="E815" s="16" t="inlineStr">
        <is>
          <t>KF-M02S</t>
        </is>
      </c>
      <c r="F815" s="16" t="inlineStr">
        <is>
          <t>KF-M02S-B1</t>
        </is>
      </c>
      <c r="G815" s="16" t="inlineStr">
        <is>
          <t>B05-B1</t>
        </is>
      </c>
      <c r="H815" s="16" t="inlineStr">
        <is>
          <t>biseccion</t>
        </is>
      </c>
      <c r="I815" s="16" t="inlineStr">
        <is>
          <t>KALINA</t>
        </is>
      </c>
      <c r="J815" s="16" t="inlineStr">
        <is>
          <t>KALINA</t>
        </is>
      </c>
      <c r="K815" s="16" t="b">
        <v>1</v>
      </c>
      <c r="L815" s="16" t="b">
        <v>1</v>
      </c>
      <c r="M815" s="16" t="b">
        <v>0</v>
      </c>
      <c r="N815" s="16" t="b">
        <v>0</v>
      </c>
      <c r="O815" s="16" t="n">
        <v>403</v>
      </c>
      <c r="P815" s="16" t="n">
        <v>283.15</v>
      </c>
      <c r="Q815" s="16" t="n">
        <v>3000</v>
      </c>
      <c r="R815" s="16" t="n">
        <v>337.5</v>
      </c>
      <c r="S815" s="16" t="n">
        <v>0.5</v>
      </c>
      <c r="T815" s="16" t="n">
        <v>0.85</v>
      </c>
      <c r="U815" s="16" t="n">
        <v>0.75</v>
      </c>
      <c r="V815" s="16" t="n">
        <v>0.85</v>
      </c>
      <c r="W815" s="16" t="n">
        <v>0.75</v>
      </c>
      <c r="X815" s="16" t="n">
        <v>0.8</v>
      </c>
      <c r="Y815" s="16" t="n">
        <v>283.15</v>
      </c>
      <c r="Z815" s="16" t="n">
        <v>10.03354235296544</v>
      </c>
      <c r="AA815" s="16" t="n">
        <v>32.97101044720274</v>
      </c>
      <c r="AB815" s="16" t="n">
        <v>2662.5</v>
      </c>
      <c r="AC815" s="16" t="n">
        <v>8.888888888888889</v>
      </c>
      <c r="AD815" s="16" t="n"/>
      <c r="AE815" s="16" t="n"/>
    </row>
    <row r="816">
      <c r="A816" s="16" t="inlineStr">
        <is>
          <t>KF-M02S-B1-0065</t>
        </is>
      </c>
      <c r="B816" s="16" t="inlineStr">
        <is>
          <t>2.4</t>
        </is>
      </c>
      <c r="C816" s="16" t="inlineStr">
        <is>
          <t>2.4a</t>
        </is>
      </c>
      <c r="D816" s="16" t="inlineStr">
        <is>
          <t>fuente a 403 K</t>
        </is>
      </c>
      <c r="E816" s="16" t="inlineStr">
        <is>
          <t>KF-M02S</t>
        </is>
      </c>
      <c r="F816" s="16" t="inlineStr">
        <is>
          <t>KF-M02S-B1</t>
        </is>
      </c>
      <c r="G816" s="16" t="inlineStr">
        <is>
          <t>B05-B1</t>
        </is>
      </c>
      <c r="H816" s="16" t="inlineStr">
        <is>
          <t>biseccion</t>
        </is>
      </c>
      <c r="I816" s="16" t="inlineStr">
        <is>
          <t>KALINA</t>
        </is>
      </c>
      <c r="J816" s="16" t="inlineStr">
        <is>
          <t>KALINA</t>
        </is>
      </c>
      <c r="K816" s="16" t="b">
        <v>1</v>
      </c>
      <c r="L816" s="16" t="b">
        <v>1</v>
      </c>
      <c r="M816" s="16" t="b">
        <v>0</v>
      </c>
      <c r="N816" s="16" t="b">
        <v>0</v>
      </c>
      <c r="O816" s="16" t="n">
        <v>403</v>
      </c>
      <c r="P816" s="16" t="n">
        <v>293.15</v>
      </c>
      <c r="Q816" s="16" t="n">
        <v>3000</v>
      </c>
      <c r="R816" s="16" t="n">
        <v>487.5</v>
      </c>
      <c r="S816" s="16" t="n">
        <v>0.5</v>
      </c>
      <c r="T816" s="16" t="n">
        <v>0.85</v>
      </c>
      <c r="U816" s="16" t="n">
        <v>0.75</v>
      </c>
      <c r="V816" s="16" t="n">
        <v>0.85</v>
      </c>
      <c r="W816" s="16" t="n">
        <v>0.75</v>
      </c>
      <c r="X816" s="16" t="n">
        <v>0.8</v>
      </c>
      <c r="Y816" s="16" t="n">
        <v>293.15</v>
      </c>
      <c r="Z816" s="16" t="n">
        <v>8.864755004818189</v>
      </c>
      <c r="AA816" s="16" t="n">
        <v>27.93557384109969</v>
      </c>
      <c r="AB816" s="16" t="n">
        <v>2512.5</v>
      </c>
      <c r="AC816" s="16" t="n">
        <v>6.153846153846154</v>
      </c>
      <c r="AD816" s="16" t="n"/>
      <c r="AE816" s="16" t="n"/>
    </row>
    <row r="817">
      <c r="A817" s="16" t="inlineStr">
        <is>
          <t>KF-M02S-B1-0066</t>
        </is>
      </c>
      <c r="B817" s="16" t="inlineStr">
        <is>
          <t>2.4</t>
        </is>
      </c>
      <c r="C817" s="16" t="inlineStr">
        <is>
          <t>2.4a</t>
        </is>
      </c>
      <c r="D817" s="16" t="inlineStr">
        <is>
          <t>fuente a 403 K</t>
        </is>
      </c>
      <c r="E817" s="16" t="inlineStr">
        <is>
          <t>KF-M02S</t>
        </is>
      </c>
      <c r="F817" s="16" t="inlineStr">
        <is>
          <t>KF-M02S-B1</t>
        </is>
      </c>
      <c r="G817" s="16" t="inlineStr">
        <is>
          <t>B05-B1</t>
        </is>
      </c>
      <c r="H817" s="16" t="inlineStr">
        <is>
          <t>biseccion</t>
        </is>
      </c>
      <c r="I817" s="16" t="inlineStr">
        <is>
          <t>KALINA</t>
        </is>
      </c>
      <c r="J817" s="16" t="inlineStr">
        <is>
          <t>KALINA</t>
        </is>
      </c>
      <c r="K817" s="16" t="b">
        <v>1</v>
      </c>
      <c r="L817" s="16" t="b">
        <v>1</v>
      </c>
      <c r="M817" s="16" t="b">
        <v>0</v>
      </c>
      <c r="N817" s="16" t="b">
        <v>0</v>
      </c>
      <c r="O817" s="16" t="n">
        <v>403</v>
      </c>
      <c r="P817" s="16" t="n">
        <v>293.15</v>
      </c>
      <c r="Q817" s="16" t="n">
        <v>3000</v>
      </c>
      <c r="R817" s="16" t="n">
        <v>487.5</v>
      </c>
      <c r="S817" s="16" t="n">
        <v>0.5</v>
      </c>
      <c r="T817" s="16" t="n">
        <v>0.85</v>
      </c>
      <c r="U817" s="16" t="n">
        <v>0.75</v>
      </c>
      <c r="V817" s="16" t="n">
        <v>0.85</v>
      </c>
      <c r="W817" s="16" t="n">
        <v>0.75</v>
      </c>
      <c r="X817" s="16" t="n">
        <v>0.8</v>
      </c>
      <c r="Y817" s="16" t="n">
        <v>293.15</v>
      </c>
      <c r="Z817" s="16" t="n">
        <v>8.864755004818189</v>
      </c>
      <c r="AA817" s="16" t="n">
        <v>27.93557384109969</v>
      </c>
      <c r="AB817" s="16" t="n">
        <v>2512.5</v>
      </c>
      <c r="AC817" s="16" t="n">
        <v>6.153846153846154</v>
      </c>
      <c r="AD817" s="16" t="n"/>
      <c r="AE817" s="16" t="n"/>
    </row>
    <row r="818">
      <c r="A818" s="16" t="inlineStr">
        <is>
          <t>KF-M02S-B1-0067</t>
        </is>
      </c>
      <c r="B818" s="16" t="inlineStr">
        <is>
          <t>2.4</t>
        </is>
      </c>
      <c r="C818" s="16" t="inlineStr">
        <is>
          <t>2.4a</t>
        </is>
      </c>
      <c r="D818" s="16" t="inlineStr">
        <is>
          <t>fuente a 403 K</t>
        </is>
      </c>
      <c r="E818" s="16" t="inlineStr">
        <is>
          <t>KF-M02S</t>
        </is>
      </c>
      <c r="F818" s="16" t="inlineStr">
        <is>
          <t>KF-M02S-B1</t>
        </is>
      </c>
      <c r="G818" s="16" t="inlineStr">
        <is>
          <t>B05-B1</t>
        </is>
      </c>
      <c r="H818" s="16" t="inlineStr">
        <is>
          <t>biseccion</t>
        </is>
      </c>
      <c r="I818" s="16" t="inlineStr">
        <is>
          <t>KALINA</t>
        </is>
      </c>
      <c r="J818" s="16" t="inlineStr">
        <is>
          <t>KALINA</t>
        </is>
      </c>
      <c r="K818" s="16" t="b">
        <v>1</v>
      </c>
      <c r="L818" s="16" t="b">
        <v>1</v>
      </c>
      <c r="M818" s="16" t="b">
        <v>0</v>
      </c>
      <c r="N818" s="16" t="b">
        <v>0</v>
      </c>
      <c r="O818" s="16" t="n">
        <v>403</v>
      </c>
      <c r="P818" s="16" t="n">
        <v>288.15</v>
      </c>
      <c r="Q818" s="16" t="n">
        <v>3000</v>
      </c>
      <c r="R818" s="16" t="n">
        <v>412.5</v>
      </c>
      <c r="S818" s="16" t="n">
        <v>0.5</v>
      </c>
      <c r="T818" s="16" t="n">
        <v>0.85</v>
      </c>
      <c r="U818" s="16" t="n">
        <v>0.75</v>
      </c>
      <c r="V818" s="16" t="n">
        <v>0.85</v>
      </c>
      <c r="W818" s="16" t="n">
        <v>0.75</v>
      </c>
      <c r="X818" s="16" t="n">
        <v>0.8</v>
      </c>
      <c r="Y818" s="16" t="n">
        <v>288.15</v>
      </c>
      <c r="Z818" s="16" t="n">
        <v>9.397284267035969</v>
      </c>
      <c r="AA818" s="16" t="n">
        <v>30.24770286732903</v>
      </c>
      <c r="AB818" s="16" t="n">
        <v>2587.5</v>
      </c>
      <c r="AC818" s="16" t="n">
        <v>7.272727272727272</v>
      </c>
      <c r="AD818" s="16" t="n"/>
      <c r="AE818" s="16" t="n"/>
    </row>
    <row r="819">
      <c r="A819" s="16" t="inlineStr">
        <is>
          <t>KF-M02S-B1-0068</t>
        </is>
      </c>
      <c r="B819" s="16" t="inlineStr">
        <is>
          <t>2.4</t>
        </is>
      </c>
      <c r="C819" s="16" t="inlineStr">
        <is>
          <t>2.4a</t>
        </is>
      </c>
      <c r="D819" s="16" t="inlineStr">
        <is>
          <t>fuente a 403 K</t>
        </is>
      </c>
      <c r="E819" s="16" t="inlineStr">
        <is>
          <t>KF-M02S</t>
        </is>
      </c>
      <c r="F819" s="16" t="inlineStr">
        <is>
          <t>KF-M02S-B1</t>
        </is>
      </c>
      <c r="G819" s="16" t="inlineStr">
        <is>
          <t>B05-B1</t>
        </is>
      </c>
      <c r="H819" s="16" t="inlineStr">
        <is>
          <t>biseccion</t>
        </is>
      </c>
      <c r="I819" s="16" t="inlineStr">
        <is>
          <t>KALINA</t>
        </is>
      </c>
      <c r="J819" s="16" t="inlineStr">
        <is>
          <t>KALINA</t>
        </is>
      </c>
      <c r="K819" s="16" t="b">
        <v>1</v>
      </c>
      <c r="L819" s="16" t="b">
        <v>1</v>
      </c>
      <c r="M819" s="16" t="b">
        <v>0</v>
      </c>
      <c r="N819" s="16" t="b">
        <v>0</v>
      </c>
      <c r="O819" s="16" t="n">
        <v>403</v>
      </c>
      <c r="P819" s="16" t="n">
        <v>300.032917</v>
      </c>
      <c r="Q819" s="16" t="n">
        <v>3000</v>
      </c>
      <c r="R819" s="16" t="n">
        <v>562.5</v>
      </c>
      <c r="S819" s="16" t="n">
        <v>0.5</v>
      </c>
      <c r="T819" s="16" t="n">
        <v>0.85</v>
      </c>
      <c r="U819" s="16" t="n">
        <v>0.75</v>
      </c>
      <c r="V819" s="16" t="n">
        <v>0.85</v>
      </c>
      <c r="W819" s="16" t="n">
        <v>0.75</v>
      </c>
      <c r="X819" s="16" t="n">
        <v>0.8</v>
      </c>
      <c r="Y819" s="16" t="n">
        <v>300.032917</v>
      </c>
      <c r="Z819" s="16" t="n">
        <v>8.49185963787032</v>
      </c>
      <c r="AA819" s="16" t="n">
        <v>25.97253411041291</v>
      </c>
      <c r="AB819" s="16" t="n">
        <v>2437.5</v>
      </c>
      <c r="AC819" s="16" t="n">
        <v>5.333333333333333</v>
      </c>
      <c r="AD819" s="16" t="n"/>
      <c r="AE819" s="16" t="n"/>
    </row>
    <row r="820">
      <c r="A820" s="16" t="inlineStr">
        <is>
          <t>KF-M02S-B1-0069</t>
        </is>
      </c>
      <c r="B820" s="16" t="inlineStr">
        <is>
          <t>2.4</t>
        </is>
      </c>
      <c r="C820" s="16" t="inlineStr">
        <is>
          <t>2.4a</t>
        </is>
      </c>
      <c r="D820" s="16" t="inlineStr">
        <is>
          <t>fuente a 403 K</t>
        </is>
      </c>
      <c r="E820" s="16" t="inlineStr">
        <is>
          <t>KF-M02S</t>
        </is>
      </c>
      <c r="F820" s="16" t="inlineStr">
        <is>
          <t>KF-M02S-B1</t>
        </is>
      </c>
      <c r="G820" s="16" t="inlineStr">
        <is>
          <t>B05-B1</t>
        </is>
      </c>
      <c r="H820" s="16" t="inlineStr">
        <is>
          <t>biseccion</t>
        </is>
      </c>
      <c r="I820" s="16" t="inlineStr">
        <is>
          <t>KALINA</t>
        </is>
      </c>
      <c r="J820" s="16" t="inlineStr">
        <is>
          <t>KALINA</t>
        </is>
      </c>
      <c r="K820" s="16" t="b">
        <v>1</v>
      </c>
      <c r="L820" s="16" t="b">
        <v>1</v>
      </c>
      <c r="M820" s="16" t="b">
        <v>0</v>
      </c>
      <c r="N820" s="16" t="b">
        <v>0</v>
      </c>
      <c r="O820" s="16" t="n">
        <v>403</v>
      </c>
      <c r="P820" s="16" t="n">
        <v>300.032917</v>
      </c>
      <c r="Q820" s="16" t="n">
        <v>3000</v>
      </c>
      <c r="R820" s="16" t="n">
        <v>562.5</v>
      </c>
      <c r="S820" s="16" t="n">
        <v>0.5</v>
      </c>
      <c r="T820" s="16" t="n">
        <v>0.85</v>
      </c>
      <c r="U820" s="16" t="n">
        <v>0.75</v>
      </c>
      <c r="V820" s="16" t="n">
        <v>0.85</v>
      </c>
      <c r="W820" s="16" t="n">
        <v>0.75</v>
      </c>
      <c r="X820" s="16" t="n">
        <v>0.8</v>
      </c>
      <c r="Y820" s="16" t="n">
        <v>300.032917</v>
      </c>
      <c r="Z820" s="16" t="n">
        <v>8.49185963787032</v>
      </c>
      <c r="AA820" s="16" t="n">
        <v>25.97253411041291</v>
      </c>
      <c r="AB820" s="16" t="n">
        <v>2437.5</v>
      </c>
      <c r="AC820" s="16" t="n">
        <v>5.333333333333333</v>
      </c>
      <c r="AD820" s="16" t="n"/>
      <c r="AE820" s="16" t="n"/>
    </row>
    <row r="821">
      <c r="A821" s="16" t="inlineStr">
        <is>
          <t>KF-M02S-B2-0060</t>
        </is>
      </c>
      <c r="B821" s="16" t="inlineStr">
        <is>
          <t>2.4</t>
        </is>
      </c>
      <c r="C821" s="16" t="inlineStr">
        <is>
          <t>2.4b</t>
        </is>
      </c>
      <c r="D821" s="16" t="inlineStr">
        <is>
          <t>fuente a 420 K</t>
        </is>
      </c>
      <c r="E821" s="16" t="inlineStr">
        <is>
          <t>KF-M02S</t>
        </is>
      </c>
      <c r="F821" s="16" t="inlineStr">
        <is>
          <t>KF-M02S-B2</t>
        </is>
      </c>
      <c r="G821" s="16" t="inlineStr">
        <is>
          <t>B05-B2</t>
        </is>
      </c>
      <c r="H821" s="16" t="inlineStr">
        <is>
          <t>biseccion</t>
        </is>
      </c>
      <c r="I821" s="16" t="inlineStr">
        <is>
          <t>KALINA</t>
        </is>
      </c>
      <c r="J821" s="16" t="inlineStr">
        <is>
          <t>KALINA</t>
        </is>
      </c>
      <c r="K821" s="16" t="b">
        <v>1</v>
      </c>
      <c r="L821" s="16" t="b">
        <v>1</v>
      </c>
      <c r="M821" s="16" t="b">
        <v>0</v>
      </c>
      <c r="N821" s="16" t="b">
        <v>0</v>
      </c>
      <c r="O821" s="16" t="n">
        <v>420</v>
      </c>
      <c r="P821" s="16" t="n">
        <v>278.15</v>
      </c>
      <c r="Q821" s="16" t="n">
        <v>3000</v>
      </c>
      <c r="R821" s="16" t="n">
        <v>412.5</v>
      </c>
      <c r="S821" s="16" t="n">
        <v>0.5</v>
      </c>
      <c r="T821" s="16" t="n">
        <v>0.85</v>
      </c>
      <c r="U821" s="16" t="n">
        <v>0.75</v>
      </c>
      <c r="V821" s="16" t="n">
        <v>0.85</v>
      </c>
      <c r="W821" s="16" t="n">
        <v>0.75</v>
      </c>
      <c r="X821" s="16" t="n">
        <v>0.8</v>
      </c>
      <c r="Y821" s="16" t="n">
        <v>278.15</v>
      </c>
      <c r="Z821" s="16" t="n">
        <v>11.6580602899474</v>
      </c>
      <c r="AA821" s="16" t="n">
        <v>62.92916526972017</v>
      </c>
      <c r="AB821" s="16" t="n">
        <v>2587.5</v>
      </c>
      <c r="AC821" s="16" t="n">
        <v>7.272727272727272</v>
      </c>
      <c r="AD821" s="16" t="n"/>
      <c r="AE821" s="16" t="n"/>
    </row>
    <row r="822">
      <c r="A822" s="16" t="inlineStr">
        <is>
          <t>KF-M02S-B2-0061</t>
        </is>
      </c>
      <c r="B822" s="16" t="inlineStr">
        <is>
          <t>2.4</t>
        </is>
      </c>
      <c r="C822" s="16" t="inlineStr">
        <is>
          <t>2.4b</t>
        </is>
      </c>
      <c r="D822" s="16" t="inlineStr">
        <is>
          <t>fuente a 420 K</t>
        </is>
      </c>
      <c r="E822" s="16" t="inlineStr">
        <is>
          <t>KF-M02S</t>
        </is>
      </c>
      <c r="F822" s="16" t="inlineStr">
        <is>
          <t>KF-M02S-B2</t>
        </is>
      </c>
      <c r="G822" s="16" t="inlineStr">
        <is>
          <t>B05-B2</t>
        </is>
      </c>
      <c r="H822" s="16" t="inlineStr">
        <is>
          <t>biseccion</t>
        </is>
      </c>
      <c r="I822" s="16" t="inlineStr">
        <is>
          <t>KALINA</t>
        </is>
      </c>
      <c r="J822" s="16" t="inlineStr">
        <is>
          <t>KALINA</t>
        </is>
      </c>
      <c r="K822" s="16" t="b">
        <v>1</v>
      </c>
      <c r="L822" s="16" t="b">
        <v>1</v>
      </c>
      <c r="M822" s="16" t="b">
        <v>0</v>
      </c>
      <c r="N822" s="16" t="b">
        <v>0</v>
      </c>
      <c r="O822" s="16" t="n">
        <v>420</v>
      </c>
      <c r="P822" s="16" t="n">
        <v>278.15</v>
      </c>
      <c r="Q822" s="16" t="n">
        <v>3000</v>
      </c>
      <c r="R822" s="16" t="n">
        <v>412.5</v>
      </c>
      <c r="S822" s="16" t="n">
        <v>0.5</v>
      </c>
      <c r="T822" s="16" t="n">
        <v>0.85</v>
      </c>
      <c r="U822" s="16" t="n">
        <v>0.75</v>
      </c>
      <c r="V822" s="16" t="n">
        <v>0.85</v>
      </c>
      <c r="W822" s="16" t="n">
        <v>0.75</v>
      </c>
      <c r="X822" s="16" t="n">
        <v>0.8</v>
      </c>
      <c r="Y822" s="16" t="n">
        <v>278.15</v>
      </c>
      <c r="Z822" s="16" t="n">
        <v>11.6580602899474</v>
      </c>
      <c r="AA822" s="16" t="n">
        <v>62.92916526972017</v>
      </c>
      <c r="AB822" s="16" t="n">
        <v>2587.5</v>
      </c>
      <c r="AC822" s="16" t="n">
        <v>7.272727272727272</v>
      </c>
      <c r="AD822" s="16" t="n"/>
      <c r="AE822" s="16" t="n"/>
    </row>
    <row r="823">
      <c r="A823" s="16" t="inlineStr">
        <is>
          <t>KF-M02S-B2-0062</t>
        </is>
      </c>
      <c r="B823" s="16" t="inlineStr">
        <is>
          <t>2.4</t>
        </is>
      </c>
      <c r="C823" s="16" t="inlineStr">
        <is>
          <t>2.4b</t>
        </is>
      </c>
      <c r="D823" s="16" t="inlineStr">
        <is>
          <t>fuente a 420 K</t>
        </is>
      </c>
      <c r="E823" s="16" t="inlineStr">
        <is>
          <t>KF-M02S</t>
        </is>
      </c>
      <c r="F823" s="16" t="inlineStr">
        <is>
          <t>KF-M02S-B2</t>
        </is>
      </c>
      <c r="G823" s="16" t="inlineStr">
        <is>
          <t>B05-B2</t>
        </is>
      </c>
      <c r="H823" s="16" t="inlineStr">
        <is>
          <t>biseccion</t>
        </is>
      </c>
      <c r="I823" s="16" t="inlineStr">
        <is>
          <t>KALINA</t>
        </is>
      </c>
      <c r="J823" s="16" t="inlineStr">
        <is>
          <t>KALINA</t>
        </is>
      </c>
      <c r="K823" s="16" t="b">
        <v>1</v>
      </c>
      <c r="L823" s="16" t="b">
        <v>1</v>
      </c>
      <c r="M823" s="16" t="b">
        <v>0</v>
      </c>
      <c r="N823" s="16" t="b">
        <v>0</v>
      </c>
      <c r="O823" s="16" t="n">
        <v>420</v>
      </c>
      <c r="P823" s="16" t="n">
        <v>288.15</v>
      </c>
      <c r="Q823" s="16" t="n">
        <v>3000</v>
      </c>
      <c r="R823" s="16" t="n">
        <v>562.5</v>
      </c>
      <c r="S823" s="16" t="n">
        <v>0.5</v>
      </c>
      <c r="T823" s="16" t="n">
        <v>0.85</v>
      </c>
      <c r="U823" s="16" t="n">
        <v>0.75</v>
      </c>
      <c r="V823" s="16" t="n">
        <v>0.85</v>
      </c>
      <c r="W823" s="16" t="n">
        <v>0.75</v>
      </c>
      <c r="X823" s="16" t="n">
        <v>0.8</v>
      </c>
      <c r="Y823" s="16" t="n">
        <v>288.15</v>
      </c>
      <c r="Z823" s="16" t="n">
        <v>10.32592167862772</v>
      </c>
      <c r="AA823" s="16" t="n">
        <v>53.99056945692303</v>
      </c>
      <c r="AB823" s="16" t="n">
        <v>2437.5</v>
      </c>
      <c r="AC823" s="16" t="n">
        <v>5.333333333333333</v>
      </c>
      <c r="AD823" s="16" t="n"/>
      <c r="AE823" s="16" t="n"/>
    </row>
    <row r="824">
      <c r="A824" s="16" t="inlineStr">
        <is>
          <t>KF-M02S-B2-0063</t>
        </is>
      </c>
      <c r="B824" s="16" t="inlineStr">
        <is>
          <t>2.4</t>
        </is>
      </c>
      <c r="C824" s="16" t="inlineStr">
        <is>
          <t>2.4b</t>
        </is>
      </c>
      <c r="D824" s="16" t="inlineStr">
        <is>
          <t>fuente a 420 K</t>
        </is>
      </c>
      <c r="E824" s="16" t="inlineStr">
        <is>
          <t>KF-M02S</t>
        </is>
      </c>
      <c r="F824" s="16" t="inlineStr">
        <is>
          <t>KF-M02S-B2</t>
        </is>
      </c>
      <c r="G824" s="16" t="inlineStr">
        <is>
          <t>B05-B2</t>
        </is>
      </c>
      <c r="H824" s="16" t="inlineStr">
        <is>
          <t>biseccion</t>
        </is>
      </c>
      <c r="I824" s="16" t="inlineStr">
        <is>
          <t>KALINA</t>
        </is>
      </c>
      <c r="J824" s="16" t="inlineStr">
        <is>
          <t>KALINA</t>
        </is>
      </c>
      <c r="K824" s="16" t="b">
        <v>1</v>
      </c>
      <c r="L824" s="16" t="b">
        <v>1</v>
      </c>
      <c r="M824" s="16" t="b">
        <v>0</v>
      </c>
      <c r="N824" s="16" t="b">
        <v>0</v>
      </c>
      <c r="O824" s="16" t="n">
        <v>420</v>
      </c>
      <c r="P824" s="16" t="n">
        <v>283.15</v>
      </c>
      <c r="Q824" s="16" t="n">
        <v>3000</v>
      </c>
      <c r="R824" s="16" t="n">
        <v>487.5</v>
      </c>
      <c r="S824" s="16" t="n">
        <v>0.5</v>
      </c>
      <c r="T824" s="16" t="n">
        <v>0.85</v>
      </c>
      <c r="U824" s="16" t="n">
        <v>0.75</v>
      </c>
      <c r="V824" s="16" t="n">
        <v>0.85</v>
      </c>
      <c r="W824" s="16" t="n">
        <v>0.75</v>
      </c>
      <c r="X824" s="16" t="n">
        <v>0.8</v>
      </c>
      <c r="Y824" s="16" t="n">
        <v>283.15</v>
      </c>
      <c r="Z824" s="16" t="n">
        <v>10.94437193385668</v>
      </c>
      <c r="AA824" s="16" t="n">
        <v>58.1505307232755</v>
      </c>
      <c r="AB824" s="16" t="n">
        <v>2512.5</v>
      </c>
      <c r="AC824" s="16" t="n">
        <v>6.153846153846154</v>
      </c>
      <c r="AD824" s="16" t="n"/>
      <c r="AE824" s="16" t="n"/>
    </row>
    <row r="825">
      <c r="A825" s="16" t="inlineStr">
        <is>
          <t>KF-M02S-B2-0064</t>
        </is>
      </c>
      <c r="B825" s="16" t="inlineStr">
        <is>
          <t>2.4</t>
        </is>
      </c>
      <c r="C825" s="16" t="inlineStr">
        <is>
          <t>2.4b</t>
        </is>
      </c>
      <c r="D825" s="16" t="inlineStr">
        <is>
          <t>fuente a 420 K</t>
        </is>
      </c>
      <c r="E825" s="16" t="inlineStr">
        <is>
          <t>KF-M02S</t>
        </is>
      </c>
      <c r="F825" s="16" t="inlineStr">
        <is>
          <t>KF-M02S-B2</t>
        </is>
      </c>
      <c r="G825" s="16" t="inlineStr">
        <is>
          <t>B05-B2</t>
        </is>
      </c>
      <c r="H825" s="16" t="inlineStr">
        <is>
          <t>biseccion</t>
        </is>
      </c>
      <c r="I825" s="16" t="inlineStr">
        <is>
          <t>KALINA</t>
        </is>
      </c>
      <c r="J825" s="16" t="inlineStr">
        <is>
          <t>KALINA</t>
        </is>
      </c>
      <c r="K825" s="16" t="b">
        <v>1</v>
      </c>
      <c r="L825" s="16" t="b">
        <v>1</v>
      </c>
      <c r="M825" s="16" t="b">
        <v>0</v>
      </c>
      <c r="N825" s="16" t="b">
        <v>0</v>
      </c>
      <c r="O825" s="16" t="n">
        <v>420</v>
      </c>
      <c r="P825" s="16" t="n">
        <v>283.15</v>
      </c>
      <c r="Q825" s="16" t="n">
        <v>3000</v>
      </c>
      <c r="R825" s="16" t="n">
        <v>487.5</v>
      </c>
      <c r="S825" s="16" t="n">
        <v>0.5</v>
      </c>
      <c r="T825" s="16" t="n">
        <v>0.85</v>
      </c>
      <c r="U825" s="16" t="n">
        <v>0.75</v>
      </c>
      <c r="V825" s="16" t="n">
        <v>0.85</v>
      </c>
      <c r="W825" s="16" t="n">
        <v>0.75</v>
      </c>
      <c r="X825" s="16" t="n">
        <v>0.8</v>
      </c>
      <c r="Y825" s="16" t="n">
        <v>283.15</v>
      </c>
      <c r="Z825" s="16" t="n">
        <v>10.94437193385668</v>
      </c>
      <c r="AA825" s="16" t="n">
        <v>58.1505307232755</v>
      </c>
      <c r="AB825" s="16" t="n">
        <v>2512.5</v>
      </c>
      <c r="AC825" s="16" t="n">
        <v>6.153846153846154</v>
      </c>
      <c r="AD825" s="16" t="n"/>
      <c r="AE825" s="16" t="n"/>
    </row>
    <row r="826">
      <c r="A826" s="16" t="inlineStr">
        <is>
          <t>KF-M02S-B2-0065</t>
        </is>
      </c>
      <c r="B826" s="16" t="inlineStr">
        <is>
          <t>2.4</t>
        </is>
      </c>
      <c r="C826" s="16" t="inlineStr">
        <is>
          <t>2.4b</t>
        </is>
      </c>
      <c r="D826" s="16" t="inlineStr">
        <is>
          <t>fuente a 420 K</t>
        </is>
      </c>
      <c r="E826" s="16" t="inlineStr">
        <is>
          <t>KF-M02S</t>
        </is>
      </c>
      <c r="F826" s="16" t="inlineStr">
        <is>
          <t>KF-M02S-B2</t>
        </is>
      </c>
      <c r="G826" s="16" t="inlineStr">
        <is>
          <t>B05-B2</t>
        </is>
      </c>
      <c r="H826" s="16" t="inlineStr">
        <is>
          <t>biseccion</t>
        </is>
      </c>
      <c r="I826" s="16" t="inlineStr">
        <is>
          <t>KALINA</t>
        </is>
      </c>
      <c r="J826" s="16" t="inlineStr">
        <is>
          <t>KALINA</t>
        </is>
      </c>
      <c r="K826" s="16" t="b">
        <v>1</v>
      </c>
      <c r="L826" s="16" t="b">
        <v>1</v>
      </c>
      <c r="M826" s="16" t="b">
        <v>0</v>
      </c>
      <c r="N826" s="16" t="b">
        <v>0</v>
      </c>
      <c r="O826" s="16" t="n">
        <v>420</v>
      </c>
      <c r="P826" s="16" t="n">
        <v>288.15</v>
      </c>
      <c r="Q826" s="16" t="n">
        <v>3000</v>
      </c>
      <c r="R826" s="16" t="n">
        <v>562.5</v>
      </c>
      <c r="S826" s="16" t="n">
        <v>0.5</v>
      </c>
      <c r="T826" s="16" t="n">
        <v>0.85</v>
      </c>
      <c r="U826" s="16" t="n">
        <v>0.75</v>
      </c>
      <c r="V826" s="16" t="n">
        <v>0.85</v>
      </c>
      <c r="W826" s="16" t="n">
        <v>0.75</v>
      </c>
      <c r="X826" s="16" t="n">
        <v>0.8</v>
      </c>
      <c r="Y826" s="16" t="n">
        <v>288.15</v>
      </c>
      <c r="Z826" s="16" t="n">
        <v>10.32592167862772</v>
      </c>
      <c r="AA826" s="16" t="n">
        <v>53.99056945692303</v>
      </c>
      <c r="AB826" s="16" t="n">
        <v>2437.5</v>
      </c>
      <c r="AC826" s="16" t="n">
        <v>5.333333333333333</v>
      </c>
      <c r="AD826" s="16" t="n"/>
      <c r="AE826" s="16" t="n"/>
    </row>
    <row r="827">
      <c r="A827" s="16" t="inlineStr">
        <is>
          <t>KF-M02S-B2-0066</t>
        </is>
      </c>
      <c r="B827" s="16" t="inlineStr">
        <is>
          <t>2.4</t>
        </is>
      </c>
      <c r="C827" s="16" t="inlineStr">
        <is>
          <t>2.4b</t>
        </is>
      </c>
      <c r="D827" s="16" t="inlineStr">
        <is>
          <t>fuente a 420 K</t>
        </is>
      </c>
      <c r="E827" s="16" t="inlineStr">
        <is>
          <t>KF-M02S</t>
        </is>
      </c>
      <c r="F827" s="16" t="inlineStr">
        <is>
          <t>KF-M02S-B2</t>
        </is>
      </c>
      <c r="G827" s="16" t="inlineStr">
        <is>
          <t>B05-B2</t>
        </is>
      </c>
      <c r="H827" s="16" t="inlineStr">
        <is>
          <t>biseccion</t>
        </is>
      </c>
      <c r="I827" s="16" t="inlineStr">
        <is>
          <t>CORREGIBLE</t>
        </is>
      </c>
      <c r="J827" s="16" t="inlineStr">
        <is>
          <t>CORREGIBLE</t>
        </is>
      </c>
      <c r="K827" s="16" t="b">
        <v>1</v>
      </c>
      <c r="L827" s="16" t="b">
        <v>0</v>
      </c>
      <c r="M827" s="16" t="b">
        <v>0</v>
      </c>
      <c r="N827" s="16" t="b">
        <v>0</v>
      </c>
      <c r="O827" s="16" t="n">
        <v>420</v>
      </c>
      <c r="P827" s="16" t="n">
        <v>300.032917</v>
      </c>
      <c r="Q827" s="16" t="n">
        <v>3000</v>
      </c>
      <c r="R827" s="16" t="n">
        <v>712.5</v>
      </c>
      <c r="S827" s="16" t="n">
        <v>0.5</v>
      </c>
      <c r="T827" s="16" t="n">
        <v>0.85</v>
      </c>
      <c r="U827" s="16" t="n">
        <v>0.75</v>
      </c>
      <c r="V827" s="16" t="n">
        <v>0.85</v>
      </c>
      <c r="W827" s="16" t="n">
        <v>0.75</v>
      </c>
      <c r="X827" s="16" t="n">
        <v>0.8</v>
      </c>
      <c r="Y827" s="16" t="n">
        <v>300.032917</v>
      </c>
      <c r="Z827" s="16" t="n">
        <v>9.353297901348061</v>
      </c>
      <c r="AA827" s="16" t="n">
        <v>47.0266882518628</v>
      </c>
      <c r="AB827" s="16" t="n">
        <v>2287.5</v>
      </c>
      <c r="AC827" s="16" t="n">
        <v>4.210526315789473</v>
      </c>
      <c r="AD827" s="16" t="inlineStr">
        <is>
          <t>O2</t>
        </is>
      </c>
      <c r="AE827" s="16" t="n"/>
    </row>
    <row r="828">
      <c r="A828" s="16" t="inlineStr">
        <is>
          <t>KF-M02S-B2-0067</t>
        </is>
      </c>
      <c r="B828" s="16" t="inlineStr">
        <is>
          <t>2.4</t>
        </is>
      </c>
      <c r="C828" s="16" t="inlineStr">
        <is>
          <t>2.4b</t>
        </is>
      </c>
      <c r="D828" s="16" t="inlineStr">
        <is>
          <t>fuente a 420 K</t>
        </is>
      </c>
      <c r="E828" s="16" t="inlineStr">
        <is>
          <t>KF-M02S</t>
        </is>
      </c>
      <c r="F828" s="16" t="inlineStr">
        <is>
          <t>KF-M02S-B2</t>
        </is>
      </c>
      <c r="G828" s="16" t="inlineStr">
        <is>
          <t>B05-B2</t>
        </is>
      </c>
      <c r="H828" s="16" t="inlineStr">
        <is>
          <t>biseccion</t>
        </is>
      </c>
      <c r="I828" s="16" t="inlineStr">
        <is>
          <t>CORREGIBLE</t>
        </is>
      </c>
      <c r="J828" s="16" t="inlineStr">
        <is>
          <t>CORREGIBLE</t>
        </is>
      </c>
      <c r="K828" s="16" t="b">
        <v>1</v>
      </c>
      <c r="L828" s="16" t="b">
        <v>0</v>
      </c>
      <c r="M828" s="16" t="b">
        <v>0</v>
      </c>
      <c r="N828" s="16" t="b">
        <v>0</v>
      </c>
      <c r="O828" s="16" t="n">
        <v>420</v>
      </c>
      <c r="P828" s="16" t="n">
        <v>300.032917</v>
      </c>
      <c r="Q828" s="16" t="n">
        <v>3000</v>
      </c>
      <c r="R828" s="16" t="n">
        <v>712.5</v>
      </c>
      <c r="S828" s="16" t="n">
        <v>0.5</v>
      </c>
      <c r="T828" s="16" t="n">
        <v>0.85</v>
      </c>
      <c r="U828" s="16" t="n">
        <v>0.75</v>
      </c>
      <c r="V828" s="16" t="n">
        <v>0.85</v>
      </c>
      <c r="W828" s="16" t="n">
        <v>0.75</v>
      </c>
      <c r="X828" s="16" t="n">
        <v>0.8</v>
      </c>
      <c r="Y828" s="16" t="n">
        <v>300.032917</v>
      </c>
      <c r="Z828" s="16" t="n">
        <v>9.3532979011986</v>
      </c>
      <c r="AA828" s="16" t="n">
        <v>47.02668825119597</v>
      </c>
      <c r="AB828" s="16" t="n">
        <v>2287.5</v>
      </c>
      <c r="AC828" s="16" t="n">
        <v>4.210526315789473</v>
      </c>
      <c r="AD828" s="16" t="inlineStr">
        <is>
          <t>O2</t>
        </is>
      </c>
      <c r="AE828" s="16" t="n"/>
    </row>
    <row r="829">
      <c r="A829" s="16" t="inlineStr">
        <is>
          <t>KF-M02S-B2-0068</t>
        </is>
      </c>
      <c r="B829" s="16" t="inlineStr">
        <is>
          <t>2.4</t>
        </is>
      </c>
      <c r="C829" s="16" t="inlineStr">
        <is>
          <t>2.4b</t>
        </is>
      </c>
      <c r="D829" s="16" t="inlineStr">
        <is>
          <t>fuente a 420 K</t>
        </is>
      </c>
      <c r="E829" s="16" t="inlineStr">
        <is>
          <t>KF-M02S</t>
        </is>
      </c>
      <c r="F829" s="16" t="inlineStr">
        <is>
          <t>KF-M02S-B2</t>
        </is>
      </c>
      <c r="G829" s="16" t="inlineStr">
        <is>
          <t>B05-B2</t>
        </is>
      </c>
      <c r="H829" s="16" t="inlineStr">
        <is>
          <t>biseccion</t>
        </is>
      </c>
      <c r="I829" s="16" t="inlineStr">
        <is>
          <t>KALINA</t>
        </is>
      </c>
      <c r="J829" s="16" t="inlineStr">
        <is>
          <t>KALINA</t>
        </is>
      </c>
      <c r="K829" s="16" t="b">
        <v>1</v>
      </c>
      <c r="L829" s="16" t="b">
        <v>1</v>
      </c>
      <c r="M829" s="16" t="b">
        <v>0</v>
      </c>
      <c r="N829" s="16" t="b">
        <v>0</v>
      </c>
      <c r="O829" s="16" t="n">
        <v>420</v>
      </c>
      <c r="P829" s="16" t="n">
        <v>293.15</v>
      </c>
      <c r="Q829" s="16" t="n">
        <v>3000</v>
      </c>
      <c r="R829" s="16" t="n">
        <v>637.5</v>
      </c>
      <c r="S829" s="16" t="n">
        <v>0.5</v>
      </c>
      <c r="T829" s="16" t="n">
        <v>0.85</v>
      </c>
      <c r="U829" s="16" t="n">
        <v>0.75</v>
      </c>
      <c r="V829" s="16" t="n">
        <v>0.85</v>
      </c>
      <c r="W829" s="16" t="n">
        <v>0.75</v>
      </c>
      <c r="X829" s="16" t="n">
        <v>0.8</v>
      </c>
      <c r="Y829" s="16" t="n">
        <v>293.15</v>
      </c>
      <c r="Z829" s="16" t="n">
        <v>9.77880519120062</v>
      </c>
      <c r="AA829" s="16" t="n">
        <v>50.30102763957688</v>
      </c>
      <c r="AB829" s="16" t="n">
        <v>2362.5</v>
      </c>
      <c r="AC829" s="16" t="n">
        <v>4.705882352941177</v>
      </c>
      <c r="AD829" s="16" t="n"/>
      <c r="AE829" s="16" t="n"/>
    </row>
    <row r="830">
      <c r="A830" s="16" t="inlineStr">
        <is>
          <t>KF-M02S-B2-0069</t>
        </is>
      </c>
      <c r="B830" s="16" t="inlineStr">
        <is>
          <t>2.4</t>
        </is>
      </c>
      <c r="C830" s="16" t="inlineStr">
        <is>
          <t>2.4b</t>
        </is>
      </c>
      <c r="D830" s="16" t="inlineStr">
        <is>
          <t>fuente a 420 K</t>
        </is>
      </c>
      <c r="E830" s="16" t="inlineStr">
        <is>
          <t>KF-M02S</t>
        </is>
      </c>
      <c r="F830" s="16" t="inlineStr">
        <is>
          <t>KF-M02S-B2</t>
        </is>
      </c>
      <c r="G830" s="16" t="inlineStr">
        <is>
          <t>B05-B2</t>
        </is>
      </c>
      <c r="H830" s="16" t="inlineStr">
        <is>
          <t>biseccion</t>
        </is>
      </c>
      <c r="I830" s="16" t="inlineStr">
        <is>
          <t>KALINA</t>
        </is>
      </c>
      <c r="J830" s="16" t="inlineStr">
        <is>
          <t>KALINA</t>
        </is>
      </c>
      <c r="K830" s="16" t="b">
        <v>1</v>
      </c>
      <c r="L830" s="16" t="b">
        <v>1</v>
      </c>
      <c r="M830" s="16" t="b">
        <v>0</v>
      </c>
      <c r="N830" s="16" t="b">
        <v>0</v>
      </c>
      <c r="O830" s="16" t="n">
        <v>420</v>
      </c>
      <c r="P830" s="16" t="n">
        <v>293.15</v>
      </c>
      <c r="Q830" s="16" t="n">
        <v>3000</v>
      </c>
      <c r="R830" s="16" t="n">
        <v>637.5</v>
      </c>
      <c r="S830" s="16" t="n">
        <v>0.5</v>
      </c>
      <c r="T830" s="16" t="n">
        <v>0.85</v>
      </c>
      <c r="U830" s="16" t="n">
        <v>0.75</v>
      </c>
      <c r="V830" s="16" t="n">
        <v>0.85</v>
      </c>
      <c r="W830" s="16" t="n">
        <v>0.75</v>
      </c>
      <c r="X830" s="16" t="n">
        <v>0.8</v>
      </c>
      <c r="Y830" s="16" t="n">
        <v>293.15</v>
      </c>
      <c r="Z830" s="16" t="n">
        <v>9.77880519120062</v>
      </c>
      <c r="AA830" s="16" t="n">
        <v>50.30102763957688</v>
      </c>
      <c r="AB830" s="16" t="n">
        <v>2362.5</v>
      </c>
      <c r="AC830" s="16" t="n">
        <v>4.705882352941177</v>
      </c>
      <c r="AD830" s="16" t="n"/>
      <c r="AE830" s="16" t="n"/>
    </row>
    <row r="831">
      <c r="A831" s="16" t="inlineStr">
        <is>
          <t>KF-M02S-B3-0060</t>
        </is>
      </c>
      <c r="B831" s="16" t="inlineStr">
        <is>
          <t>2.4</t>
        </is>
      </c>
      <c r="C831" s="16" t="inlineStr">
        <is>
          <t>2.4c</t>
        </is>
      </c>
      <c r="D831" s="16" t="inlineStr">
        <is>
          <t>ε_HRVG = 0.40 (fuente del profesor)</t>
        </is>
      </c>
      <c r="E831" s="16" t="inlineStr">
        <is>
          <t>KF-M02S</t>
        </is>
      </c>
      <c r="F831" s="16" t="inlineStr">
        <is>
          <t>KF-M02S-B3</t>
        </is>
      </c>
      <c r="G831" s="16" t="inlineStr">
        <is>
          <t>B05-B3</t>
        </is>
      </c>
      <c r="H831" s="16" t="inlineStr">
        <is>
          <t>biseccion</t>
        </is>
      </c>
      <c r="I831" s="16" t="inlineStr">
        <is>
          <t>CORREGIBLE</t>
        </is>
      </c>
      <c r="J831" s="16" t="inlineStr">
        <is>
          <t>CORREGIBLE</t>
        </is>
      </c>
      <c r="K831" s="16" t="b">
        <v>1</v>
      </c>
      <c r="L831" s="16" t="b">
        <v>0</v>
      </c>
      <c r="M831" s="16" t="b">
        <v>1</v>
      </c>
      <c r="N831" s="16" t="b">
        <v>0</v>
      </c>
      <c r="O831" s="16" t="n">
        <v>623.15</v>
      </c>
      <c r="P831" s="16" t="n">
        <v>278.15</v>
      </c>
      <c r="Q831" s="16" t="n">
        <v>3000</v>
      </c>
      <c r="R831" s="16" t="n">
        <v>712.5</v>
      </c>
      <c r="S831" s="16" t="n">
        <v>0.5</v>
      </c>
      <c r="T831" s="16" t="n">
        <v>0.85</v>
      </c>
      <c r="U831" s="16" t="n">
        <v>0.75</v>
      </c>
      <c r="V831" s="16" t="n">
        <v>0.4</v>
      </c>
      <c r="W831" s="16" t="n">
        <v>0.75</v>
      </c>
      <c r="X831" s="16" t="n">
        <v>0.8</v>
      </c>
      <c r="Y831" s="16" t="n">
        <v>278.15</v>
      </c>
      <c r="Z831" s="16" t="n">
        <v>10.01898750983844</v>
      </c>
      <c r="AA831" s="16" t="n">
        <v>96.38852935112672</v>
      </c>
      <c r="AB831" s="16" t="n">
        <v>2287.5</v>
      </c>
      <c r="AC831" s="16" t="n">
        <v>4.210526315789473</v>
      </c>
      <c r="AD831" s="16" t="inlineStr">
        <is>
          <t>O2</t>
        </is>
      </c>
      <c r="AE831" s="16" t="n"/>
    </row>
    <row r="832">
      <c r="A832" s="16" t="inlineStr">
        <is>
          <t>KF-M02S-B3-0061</t>
        </is>
      </c>
      <c r="B832" s="16" t="inlineStr">
        <is>
          <t>2.4</t>
        </is>
      </c>
      <c r="C832" s="16" t="inlineStr">
        <is>
          <t>2.4c</t>
        </is>
      </c>
      <c r="D832" s="16" t="inlineStr">
        <is>
          <t>ε_HRVG = 0.40 (fuente del profesor)</t>
        </is>
      </c>
      <c r="E832" s="16" t="inlineStr">
        <is>
          <t>KF-M02S</t>
        </is>
      </c>
      <c r="F832" s="16" t="inlineStr">
        <is>
          <t>KF-M02S-B3</t>
        </is>
      </c>
      <c r="G832" s="16" t="inlineStr">
        <is>
          <t>B05-B3</t>
        </is>
      </c>
      <c r="H832" s="16" t="inlineStr">
        <is>
          <t>biseccion</t>
        </is>
      </c>
      <c r="I832" s="16" t="inlineStr">
        <is>
          <t>KALINA</t>
        </is>
      </c>
      <c r="J832" s="16" t="inlineStr">
        <is>
          <t>KALINA</t>
        </is>
      </c>
      <c r="K832" s="16" t="b">
        <v>1</v>
      </c>
      <c r="L832" s="16" t="b">
        <v>0</v>
      </c>
      <c r="M832" s="16" t="b">
        <v>1</v>
      </c>
      <c r="N832" s="16" t="b">
        <v>0</v>
      </c>
      <c r="O832" s="16" t="n">
        <v>623.15</v>
      </c>
      <c r="P832" s="16" t="n">
        <v>283.15</v>
      </c>
      <c r="Q832" s="16" t="n">
        <v>3000</v>
      </c>
      <c r="R832" s="16" t="n">
        <v>862.5</v>
      </c>
      <c r="S832" s="16" t="n">
        <v>0.5</v>
      </c>
      <c r="T832" s="16" t="n">
        <v>0.85</v>
      </c>
      <c r="U832" s="16" t="n">
        <v>0.75</v>
      </c>
      <c r="V832" s="16" t="n">
        <v>0.4</v>
      </c>
      <c r="W832" s="16" t="n">
        <v>0.75</v>
      </c>
      <c r="X832" s="16" t="n">
        <v>0.8</v>
      </c>
      <c r="Y832" s="16" t="n">
        <v>283.15</v>
      </c>
      <c r="Z832" s="16" t="n">
        <v>8.890322063636059</v>
      </c>
      <c r="AA832" s="16" t="n">
        <v>85.02574063311332</v>
      </c>
      <c r="AB832" s="16" t="n">
        <v>2137.5</v>
      </c>
      <c r="AC832" s="16" t="n">
        <v>3.478260869565217</v>
      </c>
      <c r="AD832" s="16" t="n"/>
      <c r="AE832" s="16" t="n"/>
    </row>
    <row r="833">
      <c r="A833" s="16" t="inlineStr">
        <is>
          <t>KF-M02S-B3-0062</t>
        </is>
      </c>
      <c r="B833" s="16" t="inlineStr">
        <is>
          <t>2.4</t>
        </is>
      </c>
      <c r="C833" s="16" t="inlineStr">
        <is>
          <t>2.4c</t>
        </is>
      </c>
      <c r="D833" s="16" t="inlineStr">
        <is>
          <t>ε_HRVG = 0.40 (fuente del profesor)</t>
        </is>
      </c>
      <c r="E833" s="16" t="inlineStr">
        <is>
          <t>KF-M02S</t>
        </is>
      </c>
      <c r="F833" s="16" t="inlineStr">
        <is>
          <t>KF-M02S-B3</t>
        </is>
      </c>
      <c r="G833" s="16" t="inlineStr">
        <is>
          <t>B05-B3</t>
        </is>
      </c>
      <c r="H833" s="16" t="inlineStr">
        <is>
          <t>biseccion</t>
        </is>
      </c>
      <c r="I833" s="16" t="inlineStr">
        <is>
          <t>KALINA</t>
        </is>
      </c>
      <c r="J833" s="16" t="inlineStr">
        <is>
          <t>KALINA</t>
        </is>
      </c>
      <c r="K833" s="16" t="b">
        <v>1</v>
      </c>
      <c r="L833" s="16" t="b">
        <v>0</v>
      </c>
      <c r="M833" s="16" t="b">
        <v>1</v>
      </c>
      <c r="N833" s="16" t="b">
        <v>0</v>
      </c>
      <c r="O833" s="16" t="n">
        <v>623.15</v>
      </c>
      <c r="P833" s="16" t="n">
        <v>283.15</v>
      </c>
      <c r="Q833" s="16" t="n">
        <v>3000</v>
      </c>
      <c r="R833" s="16" t="n">
        <v>862.5</v>
      </c>
      <c r="S833" s="16" t="n">
        <v>0.5</v>
      </c>
      <c r="T833" s="16" t="n">
        <v>0.85</v>
      </c>
      <c r="U833" s="16" t="n">
        <v>0.75</v>
      </c>
      <c r="V833" s="16" t="n">
        <v>0.4</v>
      </c>
      <c r="W833" s="16" t="n">
        <v>0.75</v>
      </c>
      <c r="X833" s="16" t="n">
        <v>0.8</v>
      </c>
      <c r="Y833" s="16" t="n">
        <v>283.15</v>
      </c>
      <c r="Z833" s="16" t="n">
        <v>8.890322063636059</v>
      </c>
      <c r="AA833" s="16" t="n">
        <v>85.02574063311332</v>
      </c>
      <c r="AB833" s="16" t="n">
        <v>2137.5</v>
      </c>
      <c r="AC833" s="16" t="n">
        <v>3.478260869565217</v>
      </c>
      <c r="AD833" s="16" t="n"/>
      <c r="AE833" s="16" t="n"/>
    </row>
    <row r="834">
      <c r="A834" s="16" t="inlineStr">
        <is>
          <t>KF-M02S-B3-0063</t>
        </is>
      </c>
      <c r="B834" s="16" t="inlineStr">
        <is>
          <t>2.4</t>
        </is>
      </c>
      <c r="C834" s="16" t="inlineStr">
        <is>
          <t>2.4c</t>
        </is>
      </c>
      <c r="D834" s="16" t="inlineStr">
        <is>
          <t>ε_HRVG = 0.40 (fuente del profesor)</t>
        </is>
      </c>
      <c r="E834" s="16" t="inlineStr">
        <is>
          <t>KF-M02S</t>
        </is>
      </c>
      <c r="F834" s="16" t="inlineStr">
        <is>
          <t>KF-M02S-B3</t>
        </is>
      </c>
      <c r="G834" s="16" t="inlineStr">
        <is>
          <t>B05-B3</t>
        </is>
      </c>
      <c r="H834" s="16" t="inlineStr">
        <is>
          <t>biseccion</t>
        </is>
      </c>
      <c r="I834" s="16" t="inlineStr">
        <is>
          <t>CORREGIBLE</t>
        </is>
      </c>
      <c r="J834" s="16" t="inlineStr">
        <is>
          <t>CORREGIBLE</t>
        </is>
      </c>
      <c r="K834" s="16" t="b">
        <v>1</v>
      </c>
      <c r="L834" s="16" t="b">
        <v>0</v>
      </c>
      <c r="M834" s="16" t="b">
        <v>1</v>
      </c>
      <c r="N834" s="16" t="b">
        <v>0</v>
      </c>
      <c r="O834" s="16" t="n">
        <v>623.15</v>
      </c>
      <c r="P834" s="16" t="n">
        <v>278.15</v>
      </c>
      <c r="Q834" s="16" t="n">
        <v>3000</v>
      </c>
      <c r="R834" s="16" t="n">
        <v>712.5</v>
      </c>
      <c r="S834" s="16" t="n">
        <v>0.5</v>
      </c>
      <c r="T834" s="16" t="n">
        <v>0.85</v>
      </c>
      <c r="U834" s="16" t="n">
        <v>0.75</v>
      </c>
      <c r="V834" s="16" t="n">
        <v>0.4</v>
      </c>
      <c r="W834" s="16" t="n">
        <v>0.75</v>
      </c>
      <c r="X834" s="16" t="n">
        <v>0.8</v>
      </c>
      <c r="Y834" s="16" t="n">
        <v>278.15</v>
      </c>
      <c r="Z834" s="16" t="n">
        <v>10.01898750983844</v>
      </c>
      <c r="AA834" s="16" t="n">
        <v>96.38852935112672</v>
      </c>
      <c r="AB834" s="16" t="n">
        <v>2287.5</v>
      </c>
      <c r="AC834" s="16" t="n">
        <v>4.210526315789473</v>
      </c>
      <c r="AD834" s="16" t="inlineStr">
        <is>
          <t>O2</t>
        </is>
      </c>
      <c r="AE834" s="16" t="n"/>
    </row>
    <row r="835">
      <c r="A835" s="16" t="inlineStr">
        <is>
          <t>KF-M02S-B3-0064</t>
        </is>
      </c>
      <c r="B835" s="16" t="inlineStr">
        <is>
          <t>2.4</t>
        </is>
      </c>
      <c r="C835" s="16" t="inlineStr">
        <is>
          <t>2.4c</t>
        </is>
      </c>
      <c r="D835" s="16" t="inlineStr">
        <is>
          <t>ε_HRVG = 0.40 (fuente del profesor)</t>
        </is>
      </c>
      <c r="E835" s="16" t="inlineStr">
        <is>
          <t>KF-M02S</t>
        </is>
      </c>
      <c r="F835" s="16" t="inlineStr">
        <is>
          <t>KF-M02S-B3</t>
        </is>
      </c>
      <c r="G835" s="16" t="inlineStr">
        <is>
          <t>B05-B3</t>
        </is>
      </c>
      <c r="H835" s="16" t="inlineStr">
        <is>
          <t>biseccion</t>
        </is>
      </c>
      <c r="I835" s="16" t="inlineStr">
        <is>
          <t>KALINA</t>
        </is>
      </c>
      <c r="J835" s="16" t="inlineStr">
        <is>
          <t>KALINA</t>
        </is>
      </c>
      <c r="K835" s="16" t="b">
        <v>1</v>
      </c>
      <c r="L835" s="16" t="b">
        <v>0</v>
      </c>
      <c r="M835" s="16" t="b">
        <v>1</v>
      </c>
      <c r="N835" s="16" t="b">
        <v>0</v>
      </c>
      <c r="O835" s="16" t="n">
        <v>623.15</v>
      </c>
      <c r="P835" s="16" t="n">
        <v>288.15</v>
      </c>
      <c r="Q835" s="16" t="n">
        <v>3000</v>
      </c>
      <c r="R835" s="16" t="n">
        <v>1012.5</v>
      </c>
      <c r="S835" s="16" t="n">
        <v>0.5</v>
      </c>
      <c r="T835" s="16" t="n">
        <v>0.85</v>
      </c>
      <c r="U835" s="16" t="n">
        <v>0.75</v>
      </c>
      <c r="V835" s="16" t="n">
        <v>0.4</v>
      </c>
      <c r="W835" s="16" t="n">
        <v>0.75</v>
      </c>
      <c r="X835" s="16" t="n">
        <v>0.8</v>
      </c>
      <c r="Y835" s="16" t="n">
        <v>288.15</v>
      </c>
      <c r="Z835" s="16" t="n">
        <v>7.91408156963825</v>
      </c>
      <c r="AA835" s="16" t="n">
        <v>75.2409594447676</v>
      </c>
      <c r="AB835" s="16" t="n">
        <v>1987.5</v>
      </c>
      <c r="AC835" s="16" t="n">
        <v>2.962962962962963</v>
      </c>
      <c r="AD835" s="16" t="n"/>
      <c r="AE835" s="16" t="n"/>
    </row>
    <row r="836">
      <c r="A836" s="16" t="inlineStr">
        <is>
          <t>KF-M02S-B3-0065</t>
        </is>
      </c>
      <c r="B836" s="16" t="inlineStr">
        <is>
          <t>2.4</t>
        </is>
      </c>
      <c r="C836" s="16" t="inlineStr">
        <is>
          <t>2.4c</t>
        </is>
      </c>
      <c r="D836" s="16" t="inlineStr">
        <is>
          <t>ε_HRVG = 0.40 (fuente del profesor)</t>
        </is>
      </c>
      <c r="E836" s="16" t="inlineStr">
        <is>
          <t>KF-M02S</t>
        </is>
      </c>
      <c r="F836" s="16" t="inlineStr">
        <is>
          <t>KF-M02S-B3</t>
        </is>
      </c>
      <c r="G836" s="16" t="inlineStr">
        <is>
          <t>B05-B3</t>
        </is>
      </c>
      <c r="H836" s="16" t="inlineStr">
        <is>
          <t>biseccion</t>
        </is>
      </c>
      <c r="I836" s="16" t="inlineStr">
        <is>
          <t>KALINA</t>
        </is>
      </c>
      <c r="J836" s="16" t="inlineStr">
        <is>
          <t>KALINA</t>
        </is>
      </c>
      <c r="K836" s="16" t="b">
        <v>1</v>
      </c>
      <c r="L836" s="16" t="b">
        <v>0</v>
      </c>
      <c r="M836" s="16" t="b">
        <v>1</v>
      </c>
      <c r="N836" s="16" t="b">
        <v>0</v>
      </c>
      <c r="O836" s="16" t="n">
        <v>623.15</v>
      </c>
      <c r="P836" s="16" t="n">
        <v>288.15</v>
      </c>
      <c r="Q836" s="16" t="n">
        <v>3000</v>
      </c>
      <c r="R836" s="16" t="n">
        <v>1012.5</v>
      </c>
      <c r="S836" s="16" t="n">
        <v>0.5</v>
      </c>
      <c r="T836" s="16" t="n">
        <v>0.85</v>
      </c>
      <c r="U836" s="16" t="n">
        <v>0.75</v>
      </c>
      <c r="V836" s="16" t="n">
        <v>0.4</v>
      </c>
      <c r="W836" s="16" t="n">
        <v>0.75</v>
      </c>
      <c r="X836" s="16" t="n">
        <v>0.8</v>
      </c>
      <c r="Y836" s="16" t="n">
        <v>288.15</v>
      </c>
      <c r="Z836" s="16" t="n">
        <v>7.91408156963825</v>
      </c>
      <c r="AA836" s="16" t="n">
        <v>75.2409594447676</v>
      </c>
      <c r="AB836" s="16" t="n">
        <v>1987.5</v>
      </c>
      <c r="AC836" s="16" t="n">
        <v>2.962962962962963</v>
      </c>
      <c r="AD836" s="16" t="n"/>
      <c r="AE836" s="16" t="n"/>
    </row>
    <row r="837">
      <c r="A837" s="16" t="inlineStr">
        <is>
          <t>KF-M02S-B3-0066</t>
        </is>
      </c>
      <c r="B837" s="16" t="inlineStr">
        <is>
          <t>2.4</t>
        </is>
      </c>
      <c r="C837" s="16" t="inlineStr">
        <is>
          <t>2.4c</t>
        </is>
      </c>
      <c r="D837" s="16" t="inlineStr">
        <is>
          <t>ε_HRVG = 0.40 (fuente del profesor)</t>
        </is>
      </c>
      <c r="E837" s="16" t="inlineStr">
        <is>
          <t>KF-M02S</t>
        </is>
      </c>
      <c r="F837" s="16" t="inlineStr">
        <is>
          <t>KF-M02S-B3</t>
        </is>
      </c>
      <c r="G837" s="16" t="inlineStr">
        <is>
          <t>B05-B3</t>
        </is>
      </c>
      <c r="H837" s="16" t="inlineStr">
        <is>
          <t>biseccion</t>
        </is>
      </c>
      <c r="I837" s="16" t="inlineStr">
        <is>
          <t>CORREGIBLE</t>
        </is>
      </c>
      <c r="J837" s="16" t="inlineStr">
        <is>
          <t>CORREGIBLE</t>
        </is>
      </c>
      <c r="K837" s="16" t="b">
        <v>1</v>
      </c>
      <c r="L837" s="16" t="b">
        <v>0</v>
      </c>
      <c r="M837" s="16" t="b">
        <v>1</v>
      </c>
      <c r="N837" s="16" t="b">
        <v>0</v>
      </c>
      <c r="O837" s="16" t="n">
        <v>623.15</v>
      </c>
      <c r="P837" s="16" t="n">
        <v>293.15</v>
      </c>
      <c r="Q837" s="16" t="n">
        <v>3000</v>
      </c>
      <c r="R837" s="16" t="n">
        <v>1087.5</v>
      </c>
      <c r="S837" s="16" t="n">
        <v>0.5</v>
      </c>
      <c r="T837" s="16" t="n">
        <v>0.85</v>
      </c>
      <c r="U837" s="16" t="n">
        <v>0.75</v>
      </c>
      <c r="V837" s="16" t="n">
        <v>0.4</v>
      </c>
      <c r="W837" s="16" t="n">
        <v>0.75</v>
      </c>
      <c r="X837" s="16" t="n">
        <v>0.8</v>
      </c>
      <c r="Y837" s="16" t="n">
        <v>293.15</v>
      </c>
      <c r="Z837" s="16" t="n">
        <v>7.522848351241721</v>
      </c>
      <c r="AA837" s="16" t="n">
        <v>71.1129692937198</v>
      </c>
      <c r="AB837" s="16" t="n">
        <v>1912.5</v>
      </c>
      <c r="AC837" s="16" t="n">
        <v>2.758620689655173</v>
      </c>
      <c r="AD837" s="16" t="inlineStr">
        <is>
          <t>O2</t>
        </is>
      </c>
      <c r="AE837" s="16" t="n"/>
    </row>
    <row r="838">
      <c r="A838" s="16" t="inlineStr">
        <is>
          <t>KF-M02S-B3-0067</t>
        </is>
      </c>
      <c r="B838" s="16" t="inlineStr">
        <is>
          <t>2.4</t>
        </is>
      </c>
      <c r="C838" s="16" t="inlineStr">
        <is>
          <t>2.4c</t>
        </is>
      </c>
      <c r="D838" s="16" t="inlineStr">
        <is>
          <t>ε_HRVG = 0.40 (fuente del profesor)</t>
        </is>
      </c>
      <c r="E838" s="16" t="inlineStr">
        <is>
          <t>KF-M02S</t>
        </is>
      </c>
      <c r="F838" s="16" t="inlineStr">
        <is>
          <t>KF-M02S-B3</t>
        </is>
      </c>
      <c r="G838" s="16" t="inlineStr">
        <is>
          <t>B05-B3</t>
        </is>
      </c>
      <c r="H838" s="16" t="inlineStr">
        <is>
          <t>biseccion</t>
        </is>
      </c>
      <c r="I838" s="16" t="inlineStr">
        <is>
          <t>CORREGIBLE</t>
        </is>
      </c>
      <c r="J838" s="16" t="inlineStr">
        <is>
          <t>CORREGIBLE</t>
        </is>
      </c>
      <c r="K838" s="16" t="b">
        <v>1</v>
      </c>
      <c r="L838" s="16" t="b">
        <v>0</v>
      </c>
      <c r="M838" s="16" t="b">
        <v>1</v>
      </c>
      <c r="N838" s="16" t="b">
        <v>0</v>
      </c>
      <c r="O838" s="16" t="n">
        <v>623.15</v>
      </c>
      <c r="P838" s="16" t="n">
        <v>293.15</v>
      </c>
      <c r="Q838" s="16" t="n">
        <v>3000</v>
      </c>
      <c r="R838" s="16" t="n">
        <v>1087.5</v>
      </c>
      <c r="S838" s="16" t="n">
        <v>0.5</v>
      </c>
      <c r="T838" s="16" t="n">
        <v>0.85</v>
      </c>
      <c r="U838" s="16" t="n">
        <v>0.75</v>
      </c>
      <c r="V838" s="16" t="n">
        <v>0.4</v>
      </c>
      <c r="W838" s="16" t="n">
        <v>0.75</v>
      </c>
      <c r="X838" s="16" t="n">
        <v>0.8</v>
      </c>
      <c r="Y838" s="16" t="n">
        <v>293.15</v>
      </c>
      <c r="Z838" s="16" t="n">
        <v>7.522848351241721</v>
      </c>
      <c r="AA838" s="16" t="n">
        <v>71.1129692937198</v>
      </c>
      <c r="AB838" s="16" t="n">
        <v>1912.5</v>
      </c>
      <c r="AC838" s="16" t="n">
        <v>2.758620689655173</v>
      </c>
      <c r="AD838" s="16" t="inlineStr">
        <is>
          <t>O2</t>
        </is>
      </c>
      <c r="AE838" s="16" t="n"/>
    </row>
    <row r="839">
      <c r="A839" s="16" t="inlineStr">
        <is>
          <t>KF-M02S-B3-0068</t>
        </is>
      </c>
      <c r="B839" s="16" t="inlineStr">
        <is>
          <t>2.4</t>
        </is>
      </c>
      <c r="C839" s="16" t="inlineStr">
        <is>
          <t>2.4c</t>
        </is>
      </c>
      <c r="D839" s="16" t="inlineStr">
        <is>
          <t>ε_HRVG = 0.40 (fuente del profesor)</t>
        </is>
      </c>
      <c r="E839" s="16" t="inlineStr">
        <is>
          <t>KF-M02S</t>
        </is>
      </c>
      <c r="F839" s="16" t="inlineStr">
        <is>
          <t>KF-M02S-B3</t>
        </is>
      </c>
      <c r="G839" s="16" t="inlineStr">
        <is>
          <t>B05-B3</t>
        </is>
      </c>
      <c r="H839" s="16" t="inlineStr">
        <is>
          <t>biseccion</t>
        </is>
      </c>
      <c r="I839" s="16" t="inlineStr">
        <is>
          <t>KALINA</t>
        </is>
      </c>
      <c r="J839" s="16" t="inlineStr">
        <is>
          <t>KALINA</t>
        </is>
      </c>
      <c r="K839" s="16" t="b">
        <v>1</v>
      </c>
      <c r="L839" s="16" t="b">
        <v>0</v>
      </c>
      <c r="M839" s="16" t="b">
        <v>1</v>
      </c>
      <c r="N839" s="16" t="b">
        <v>0</v>
      </c>
      <c r="O839" s="16" t="n">
        <v>623.15</v>
      </c>
      <c r="P839" s="16" t="n">
        <v>300.032917</v>
      </c>
      <c r="Q839" s="16" t="n">
        <v>3000</v>
      </c>
      <c r="R839" s="16" t="n">
        <v>1312.5</v>
      </c>
      <c r="S839" s="16" t="n">
        <v>0.5</v>
      </c>
      <c r="T839" s="16" t="n">
        <v>0.85</v>
      </c>
      <c r="U839" s="16" t="n">
        <v>0.75</v>
      </c>
      <c r="V839" s="16" t="n">
        <v>0.4</v>
      </c>
      <c r="W839" s="16" t="n">
        <v>0.75</v>
      </c>
      <c r="X839" s="16" t="n">
        <v>0.8</v>
      </c>
      <c r="Y839" s="16" t="n">
        <v>300.032917</v>
      </c>
      <c r="Z839" s="16" t="n">
        <v>6.302320204312569</v>
      </c>
      <c r="AA839" s="16" t="n">
        <v>59.07596336169758</v>
      </c>
      <c r="AB839" s="16" t="n">
        <v>1687.5</v>
      </c>
      <c r="AC839" s="16" t="n">
        <v>2.285714285714286</v>
      </c>
      <c r="AD839" s="16" t="n"/>
      <c r="AE839" s="16" t="n"/>
    </row>
    <row r="840">
      <c r="A840" s="16" t="inlineStr">
        <is>
          <t>KF-M02S-B3-0069</t>
        </is>
      </c>
      <c r="B840" s="16" t="inlineStr">
        <is>
          <t>2.4</t>
        </is>
      </c>
      <c r="C840" s="16" t="inlineStr">
        <is>
          <t>2.4c</t>
        </is>
      </c>
      <c r="D840" s="16" t="inlineStr">
        <is>
          <t>ε_HRVG = 0.40 (fuente del profesor)</t>
        </is>
      </c>
      <c r="E840" s="16" t="inlineStr">
        <is>
          <t>KF-M02S</t>
        </is>
      </c>
      <c r="F840" s="16" t="inlineStr">
        <is>
          <t>KF-M02S-B3</t>
        </is>
      </c>
      <c r="G840" s="16" t="inlineStr">
        <is>
          <t>B05-B3</t>
        </is>
      </c>
      <c r="H840" s="16" t="inlineStr">
        <is>
          <t>biseccion</t>
        </is>
      </c>
      <c r="I840" s="16" t="inlineStr">
        <is>
          <t>KALINA</t>
        </is>
      </c>
      <c r="J840" s="16" t="inlineStr">
        <is>
          <t>KALINA</t>
        </is>
      </c>
      <c r="K840" s="16" t="b">
        <v>1</v>
      </c>
      <c r="L840" s="16" t="b">
        <v>0</v>
      </c>
      <c r="M840" s="16" t="b">
        <v>1</v>
      </c>
      <c r="N840" s="16" t="b">
        <v>0</v>
      </c>
      <c r="O840" s="16" t="n">
        <v>623.15</v>
      </c>
      <c r="P840" s="16" t="n">
        <v>300.032917</v>
      </c>
      <c r="Q840" s="16" t="n">
        <v>3000</v>
      </c>
      <c r="R840" s="16" t="n">
        <v>1312.5</v>
      </c>
      <c r="S840" s="16" t="n">
        <v>0.5</v>
      </c>
      <c r="T840" s="16" t="n">
        <v>0.85</v>
      </c>
      <c r="U840" s="16" t="n">
        <v>0.75</v>
      </c>
      <c r="V840" s="16" t="n">
        <v>0.4</v>
      </c>
      <c r="W840" s="16" t="n">
        <v>0.75</v>
      </c>
      <c r="X840" s="16" t="n">
        <v>0.8</v>
      </c>
      <c r="Y840" s="16" t="n">
        <v>300.032917</v>
      </c>
      <c r="Z840" s="16" t="n">
        <v>6.302320204312569</v>
      </c>
      <c r="AA840" s="16" t="n">
        <v>59.07596336169758</v>
      </c>
      <c r="AB840" s="16" t="n">
        <v>1687.5</v>
      </c>
      <c r="AC840" s="16" t="n">
        <v>2.285714285714286</v>
      </c>
      <c r="AD840" s="16" t="n"/>
      <c r="AE840" s="16" t="n"/>
    </row>
    <row r="841">
      <c r="A841" s="16" t="inlineStr">
        <is>
          <t>KF-M02S-B1-0070</t>
        </is>
      </c>
      <c r="B841" s="16" t="inlineStr">
        <is>
          <t>2.4</t>
        </is>
      </c>
      <c r="C841" s="16" t="inlineStr">
        <is>
          <t>2.4a</t>
        </is>
      </c>
      <c r="D841" s="16" t="inlineStr">
        <is>
          <t>fuente a 403 K</t>
        </is>
      </c>
      <c r="E841" s="16" t="inlineStr">
        <is>
          <t>KF-M02S</t>
        </is>
      </c>
      <c r="F841" s="16" t="inlineStr">
        <is>
          <t>KF-M02S-B1</t>
        </is>
      </c>
      <c r="G841" s="16" t="inlineStr">
        <is>
          <t>B05-B1</t>
        </is>
      </c>
      <c r="H841" s="16" t="inlineStr">
        <is>
          <t>biseccion</t>
        </is>
      </c>
      <c r="I841" s="16" t="inlineStr">
        <is>
          <t>CORREGIBLE</t>
        </is>
      </c>
      <c r="J841" s="16" t="inlineStr">
        <is>
          <t>CORREGIBLE</t>
        </is>
      </c>
      <c r="K841" s="16" t="b">
        <v>1</v>
      </c>
      <c r="L841" s="16" t="b">
        <v>0</v>
      </c>
      <c r="M841" s="16" t="b">
        <v>0</v>
      </c>
      <c r="N841" s="16" t="b">
        <v>0</v>
      </c>
      <c r="O841" s="16" t="n">
        <v>403</v>
      </c>
      <c r="P841" s="16" t="n">
        <v>278.15</v>
      </c>
      <c r="Q841" s="16" t="n">
        <v>3000</v>
      </c>
      <c r="R841" s="16" t="n">
        <v>281.25</v>
      </c>
      <c r="S841" s="16" t="n">
        <v>0.5</v>
      </c>
      <c r="T841" s="16" t="n">
        <v>0.85</v>
      </c>
      <c r="U841" s="16" t="n">
        <v>0.75</v>
      </c>
      <c r="V841" s="16" t="n">
        <v>0.85</v>
      </c>
      <c r="W841" s="16" t="n">
        <v>0.75</v>
      </c>
      <c r="X841" s="16" t="n">
        <v>0.8</v>
      </c>
      <c r="Y841" s="16" t="n">
        <v>278.15</v>
      </c>
      <c r="Z841" s="16" t="n">
        <v>10.542921081408</v>
      </c>
      <c r="AA841" s="16" t="n">
        <v>35.34747836723507</v>
      </c>
      <c r="AB841" s="16" t="n">
        <v>2718.75</v>
      </c>
      <c r="AC841" s="16" t="n">
        <v>10.66666666666667</v>
      </c>
      <c r="AD841" s="16" t="inlineStr">
        <is>
          <t>O2</t>
        </is>
      </c>
      <c r="AE841" s="16" t="n"/>
    </row>
    <row r="842">
      <c r="A842" s="16" t="inlineStr">
        <is>
          <t>KF-M02S-B1-0071</t>
        </is>
      </c>
      <c r="B842" s="16" t="inlineStr">
        <is>
          <t>2.4</t>
        </is>
      </c>
      <c r="C842" s="16" t="inlineStr">
        <is>
          <t>2.4a</t>
        </is>
      </c>
      <c r="D842" s="16" t="inlineStr">
        <is>
          <t>fuente a 403 K</t>
        </is>
      </c>
      <c r="E842" s="16" t="inlineStr">
        <is>
          <t>KF-M02S</t>
        </is>
      </c>
      <c r="F842" s="16" t="inlineStr">
        <is>
          <t>KF-M02S-B1</t>
        </is>
      </c>
      <c r="G842" s="16" t="inlineStr">
        <is>
          <t>B05-B1</t>
        </is>
      </c>
      <c r="H842" s="16" t="inlineStr">
        <is>
          <t>biseccion</t>
        </is>
      </c>
      <c r="I842" s="16" t="inlineStr">
        <is>
          <t>CORREGIBLE</t>
        </is>
      </c>
      <c r="J842" s="16" t="inlineStr">
        <is>
          <t>CORREGIBLE</t>
        </is>
      </c>
      <c r="K842" s="16" t="b">
        <v>1</v>
      </c>
      <c r="L842" s="16" t="b">
        <v>0</v>
      </c>
      <c r="M842" s="16" t="b">
        <v>0</v>
      </c>
      <c r="N842" s="16" t="b">
        <v>0</v>
      </c>
      <c r="O842" s="16" t="n">
        <v>403</v>
      </c>
      <c r="P842" s="16" t="n">
        <v>283.15</v>
      </c>
      <c r="Q842" s="16" t="n">
        <v>3000</v>
      </c>
      <c r="R842" s="16" t="n">
        <v>318.75</v>
      </c>
      <c r="S842" s="16" t="n">
        <v>0.5</v>
      </c>
      <c r="T842" s="16" t="n">
        <v>0.85</v>
      </c>
      <c r="U842" s="16" t="n">
        <v>0.75</v>
      </c>
      <c r="V842" s="16" t="n">
        <v>0.85</v>
      </c>
      <c r="W842" s="16" t="n">
        <v>0.75</v>
      </c>
      <c r="X842" s="16" t="n">
        <v>0.8</v>
      </c>
      <c r="Y842" s="16" t="n">
        <v>283.15</v>
      </c>
      <c r="Z842" s="16" t="n">
        <v>10.27338965095361</v>
      </c>
      <c r="AA842" s="16" t="n">
        <v>33.76412316888072</v>
      </c>
      <c r="AB842" s="16" t="n">
        <v>2681.25</v>
      </c>
      <c r="AC842" s="16" t="n">
        <v>9.411764705882351</v>
      </c>
      <c r="AD842" s="16" t="inlineStr">
        <is>
          <t>O2</t>
        </is>
      </c>
      <c r="AE842" s="16" t="n"/>
    </row>
    <row r="843">
      <c r="A843" s="16" t="inlineStr">
        <is>
          <t>KF-M02S-B1-0072</t>
        </is>
      </c>
      <c r="B843" s="16" t="inlineStr">
        <is>
          <t>2.4</t>
        </is>
      </c>
      <c r="C843" s="16" t="inlineStr">
        <is>
          <t>2.4a</t>
        </is>
      </c>
      <c r="D843" s="16" t="inlineStr">
        <is>
          <t>fuente a 403 K</t>
        </is>
      </c>
      <c r="E843" s="16" t="inlineStr">
        <is>
          <t>KF-M02S</t>
        </is>
      </c>
      <c r="F843" s="16" t="inlineStr">
        <is>
          <t>KF-M02S-B1</t>
        </is>
      </c>
      <c r="G843" s="16" t="inlineStr">
        <is>
          <t>B05-B1</t>
        </is>
      </c>
      <c r="H843" s="16" t="inlineStr">
        <is>
          <t>biseccion</t>
        </is>
      </c>
      <c r="I843" s="16" t="inlineStr">
        <is>
          <t>CORREGIBLE</t>
        </is>
      </c>
      <c r="J843" s="16" t="inlineStr">
        <is>
          <t>CORREGIBLE</t>
        </is>
      </c>
      <c r="K843" s="16" t="b">
        <v>1</v>
      </c>
      <c r="L843" s="16" t="b">
        <v>0</v>
      </c>
      <c r="M843" s="16" t="b">
        <v>0</v>
      </c>
      <c r="N843" s="16" t="b">
        <v>0</v>
      </c>
      <c r="O843" s="16" t="n">
        <v>403</v>
      </c>
      <c r="P843" s="16" t="n">
        <v>283.15</v>
      </c>
      <c r="Q843" s="16" t="n">
        <v>3000</v>
      </c>
      <c r="R843" s="16" t="n">
        <v>318.75</v>
      </c>
      <c r="S843" s="16" t="n">
        <v>0.5</v>
      </c>
      <c r="T843" s="16" t="n">
        <v>0.85</v>
      </c>
      <c r="U843" s="16" t="n">
        <v>0.75</v>
      </c>
      <c r="V843" s="16" t="n">
        <v>0.85</v>
      </c>
      <c r="W843" s="16" t="n">
        <v>0.75</v>
      </c>
      <c r="X843" s="16" t="n">
        <v>0.8</v>
      </c>
      <c r="Y843" s="16" t="n">
        <v>283.15</v>
      </c>
      <c r="Z843" s="16" t="n">
        <v>10.27338965095361</v>
      </c>
      <c r="AA843" s="16" t="n">
        <v>33.76412316888072</v>
      </c>
      <c r="AB843" s="16" t="n">
        <v>2681.25</v>
      </c>
      <c r="AC843" s="16" t="n">
        <v>9.411764705882351</v>
      </c>
      <c r="AD843" s="16" t="inlineStr">
        <is>
          <t>O2</t>
        </is>
      </c>
      <c r="AE843" s="16" t="n"/>
    </row>
    <row r="844">
      <c r="A844" s="16" t="inlineStr">
        <is>
          <t>KF-M02S-B1-0073</t>
        </is>
      </c>
      <c r="B844" s="16" t="inlineStr">
        <is>
          <t>2.4</t>
        </is>
      </c>
      <c r="C844" s="16" t="inlineStr">
        <is>
          <t>2.4a</t>
        </is>
      </c>
      <c r="D844" s="16" t="inlineStr">
        <is>
          <t>fuente a 403 K</t>
        </is>
      </c>
      <c r="E844" s="16" t="inlineStr">
        <is>
          <t>KF-M02S</t>
        </is>
      </c>
      <c r="F844" s="16" t="inlineStr">
        <is>
          <t>KF-M02S-B1</t>
        </is>
      </c>
      <c r="G844" s="16" t="inlineStr">
        <is>
          <t>B05-B1</t>
        </is>
      </c>
      <c r="H844" s="16" t="inlineStr">
        <is>
          <t>biseccion</t>
        </is>
      </c>
      <c r="I844" s="16" t="inlineStr">
        <is>
          <t>CORREGIBLE</t>
        </is>
      </c>
      <c r="J844" s="16" t="inlineStr">
        <is>
          <t>CORREGIBLE</t>
        </is>
      </c>
      <c r="K844" s="16" t="b">
        <v>1</v>
      </c>
      <c r="L844" s="16" t="b">
        <v>0</v>
      </c>
      <c r="M844" s="16" t="b">
        <v>0</v>
      </c>
      <c r="N844" s="16" t="b">
        <v>0</v>
      </c>
      <c r="O844" s="16" t="n">
        <v>403</v>
      </c>
      <c r="P844" s="16" t="n">
        <v>278.15</v>
      </c>
      <c r="Q844" s="16" t="n">
        <v>3000</v>
      </c>
      <c r="R844" s="16" t="n">
        <v>281.25</v>
      </c>
      <c r="S844" s="16" t="n">
        <v>0.5</v>
      </c>
      <c r="T844" s="16" t="n">
        <v>0.85</v>
      </c>
      <c r="U844" s="16" t="n">
        <v>0.75</v>
      </c>
      <c r="V844" s="16" t="n">
        <v>0.85</v>
      </c>
      <c r="W844" s="16" t="n">
        <v>0.75</v>
      </c>
      <c r="X844" s="16" t="n">
        <v>0.8</v>
      </c>
      <c r="Y844" s="16" t="n">
        <v>278.15</v>
      </c>
      <c r="Z844" s="16" t="n">
        <v>10.542921081408</v>
      </c>
      <c r="AA844" s="16" t="n">
        <v>35.34747836723507</v>
      </c>
      <c r="AB844" s="16" t="n">
        <v>2718.75</v>
      </c>
      <c r="AC844" s="16" t="n">
        <v>10.66666666666667</v>
      </c>
      <c r="AD844" s="16" t="inlineStr">
        <is>
          <t>O2</t>
        </is>
      </c>
      <c r="AE844" s="16" t="n"/>
    </row>
    <row r="845">
      <c r="A845" s="16" t="inlineStr">
        <is>
          <t>KF-M02S-B1-0074</t>
        </is>
      </c>
      <c r="B845" s="16" t="inlineStr">
        <is>
          <t>2.4</t>
        </is>
      </c>
      <c r="C845" s="16" t="inlineStr">
        <is>
          <t>2.4a</t>
        </is>
      </c>
      <c r="D845" s="16" t="inlineStr">
        <is>
          <t>fuente a 403 K</t>
        </is>
      </c>
      <c r="E845" s="16" t="inlineStr">
        <is>
          <t>KF-M02S</t>
        </is>
      </c>
      <c r="F845" s="16" t="inlineStr">
        <is>
          <t>KF-M02S-B1</t>
        </is>
      </c>
      <c r="G845" s="16" t="inlineStr">
        <is>
          <t>B05-B1</t>
        </is>
      </c>
      <c r="H845" s="16" t="inlineStr">
        <is>
          <t>biseccion</t>
        </is>
      </c>
      <c r="I845" s="16" t="inlineStr">
        <is>
          <t>KALINA</t>
        </is>
      </c>
      <c r="J845" s="16" t="inlineStr">
        <is>
          <t>KALINA</t>
        </is>
      </c>
      <c r="K845" s="16" t="b">
        <v>1</v>
      </c>
      <c r="L845" s="16" t="b">
        <v>1</v>
      </c>
      <c r="M845" s="16" t="b">
        <v>0</v>
      </c>
      <c r="N845" s="16" t="b">
        <v>0</v>
      </c>
      <c r="O845" s="16" t="n">
        <v>403</v>
      </c>
      <c r="P845" s="16" t="n">
        <v>288.15</v>
      </c>
      <c r="Q845" s="16" t="n">
        <v>3000</v>
      </c>
      <c r="R845" s="16" t="n">
        <v>393.75</v>
      </c>
      <c r="S845" s="16" t="n">
        <v>0.5</v>
      </c>
      <c r="T845" s="16" t="n">
        <v>0.85</v>
      </c>
      <c r="U845" s="16" t="n">
        <v>0.75</v>
      </c>
      <c r="V845" s="16" t="n">
        <v>0.85</v>
      </c>
      <c r="W845" s="16" t="n">
        <v>0.75</v>
      </c>
      <c r="X845" s="16" t="n">
        <v>0.8</v>
      </c>
      <c r="Y845" s="16" t="n">
        <v>288.15</v>
      </c>
      <c r="Z845" s="16" t="n">
        <v>9.606043872636221</v>
      </c>
      <c r="AA845" s="16" t="n">
        <v>30.92389613161344</v>
      </c>
      <c r="AB845" s="16" t="n">
        <v>2606.25</v>
      </c>
      <c r="AC845" s="16" t="n">
        <v>7.619047619047619</v>
      </c>
      <c r="AD845" s="16" t="n"/>
      <c r="AE845" s="16" t="n"/>
    </row>
    <row r="846">
      <c r="A846" s="16" t="inlineStr">
        <is>
          <t>KF-M02S-B1-0075</t>
        </is>
      </c>
      <c r="B846" s="16" t="inlineStr">
        <is>
          <t>2.4</t>
        </is>
      </c>
      <c r="C846" s="16" t="inlineStr">
        <is>
          <t>2.4a</t>
        </is>
      </c>
      <c r="D846" s="16" t="inlineStr">
        <is>
          <t>fuente a 403 K</t>
        </is>
      </c>
      <c r="E846" s="16" t="inlineStr">
        <is>
          <t>KF-M02S</t>
        </is>
      </c>
      <c r="F846" s="16" t="inlineStr">
        <is>
          <t>KF-M02S-B1</t>
        </is>
      </c>
      <c r="G846" s="16" t="inlineStr">
        <is>
          <t>B05-B1</t>
        </is>
      </c>
      <c r="H846" s="16" t="inlineStr">
        <is>
          <t>biseccion</t>
        </is>
      </c>
      <c r="I846" s="16" t="inlineStr">
        <is>
          <t>CORREGIBLE</t>
        </is>
      </c>
      <c r="J846" s="16" t="inlineStr">
        <is>
          <t>CORREGIBLE</t>
        </is>
      </c>
      <c r="K846" s="16" t="b">
        <v>1</v>
      </c>
      <c r="L846" s="16" t="b">
        <v>0</v>
      </c>
      <c r="M846" s="16" t="b">
        <v>0</v>
      </c>
      <c r="N846" s="16" t="b">
        <v>0</v>
      </c>
      <c r="O846" s="16" t="n">
        <v>403</v>
      </c>
      <c r="P846" s="16" t="n">
        <v>300.032917</v>
      </c>
      <c r="Q846" s="16" t="n">
        <v>3000</v>
      </c>
      <c r="R846" s="16" t="n">
        <v>543.75</v>
      </c>
      <c r="S846" s="16" t="n">
        <v>0.5</v>
      </c>
      <c r="T846" s="16" t="n">
        <v>0.85</v>
      </c>
      <c r="U846" s="16" t="n">
        <v>0.75</v>
      </c>
      <c r="V846" s="16" t="n">
        <v>0.85</v>
      </c>
      <c r="W846" s="16" t="n">
        <v>0.75</v>
      </c>
      <c r="X846" s="16" t="n">
        <v>0.8</v>
      </c>
      <c r="Y846" s="16" t="n">
        <v>300.032917</v>
      </c>
      <c r="Z846" s="16" t="n">
        <v>8.65727600002319</v>
      </c>
      <c r="AA846" s="16" t="n">
        <v>26.48109832429025</v>
      </c>
      <c r="AB846" s="16" t="n">
        <v>2456.25</v>
      </c>
      <c r="AC846" s="16" t="n">
        <v>5.517241379310345</v>
      </c>
      <c r="AD846" s="16" t="inlineStr">
        <is>
          <t>O2</t>
        </is>
      </c>
      <c r="AE846" s="16" t="n"/>
    </row>
    <row r="847">
      <c r="A847" s="16" t="inlineStr">
        <is>
          <t>KF-M02S-B1-0076</t>
        </is>
      </c>
      <c r="B847" s="16" t="inlineStr">
        <is>
          <t>2.4</t>
        </is>
      </c>
      <c r="C847" s="16" t="inlineStr">
        <is>
          <t>2.4a</t>
        </is>
      </c>
      <c r="D847" s="16" t="inlineStr">
        <is>
          <t>fuente a 403 K</t>
        </is>
      </c>
      <c r="E847" s="16" t="inlineStr">
        <is>
          <t>KF-M02S</t>
        </is>
      </c>
      <c r="F847" s="16" t="inlineStr">
        <is>
          <t>KF-M02S-B1</t>
        </is>
      </c>
      <c r="G847" s="16" t="inlineStr">
        <is>
          <t>B05-B1</t>
        </is>
      </c>
      <c r="H847" s="16" t="inlineStr">
        <is>
          <t>biseccion</t>
        </is>
      </c>
      <c r="I847" s="16" t="inlineStr">
        <is>
          <t>KALINA</t>
        </is>
      </c>
      <c r="J847" s="16" t="inlineStr">
        <is>
          <t>KALINA</t>
        </is>
      </c>
      <c r="K847" s="16" t="b">
        <v>1</v>
      </c>
      <c r="L847" s="16" t="b">
        <v>1</v>
      </c>
      <c r="M847" s="16" t="b">
        <v>0</v>
      </c>
      <c r="N847" s="16" t="b">
        <v>0</v>
      </c>
      <c r="O847" s="16" t="n">
        <v>403</v>
      </c>
      <c r="P847" s="16" t="n">
        <v>293.15</v>
      </c>
      <c r="Q847" s="16" t="n">
        <v>3000</v>
      </c>
      <c r="R847" s="16" t="n">
        <v>468.75</v>
      </c>
      <c r="S847" s="16" t="n">
        <v>0.5</v>
      </c>
      <c r="T847" s="16" t="n">
        <v>0.85</v>
      </c>
      <c r="U847" s="16" t="n">
        <v>0.75</v>
      </c>
      <c r="V847" s="16" t="n">
        <v>0.85</v>
      </c>
      <c r="W847" s="16" t="n">
        <v>0.75</v>
      </c>
      <c r="X847" s="16" t="n">
        <v>0.8</v>
      </c>
      <c r="Y847" s="16" t="n">
        <v>293.15</v>
      </c>
      <c r="Z847" s="16" t="n">
        <v>9.048642251879761</v>
      </c>
      <c r="AA847" s="16" t="n">
        <v>28.51844792204543</v>
      </c>
      <c r="AB847" s="16" t="n">
        <v>2531.25</v>
      </c>
      <c r="AC847" s="16" t="n">
        <v>6.4</v>
      </c>
      <c r="AD847" s="16" t="n"/>
      <c r="AE847" s="16" t="n"/>
    </row>
    <row r="848">
      <c r="A848" s="16" t="inlineStr">
        <is>
          <t>KF-M02S-B1-0077</t>
        </is>
      </c>
      <c r="B848" s="16" t="inlineStr">
        <is>
          <t>2.4</t>
        </is>
      </c>
      <c r="C848" s="16" t="inlineStr">
        <is>
          <t>2.4a</t>
        </is>
      </c>
      <c r="D848" s="16" t="inlineStr">
        <is>
          <t>fuente a 403 K</t>
        </is>
      </c>
      <c r="E848" s="16" t="inlineStr">
        <is>
          <t>KF-M02S</t>
        </is>
      </c>
      <c r="F848" s="16" t="inlineStr">
        <is>
          <t>KF-M02S-B1</t>
        </is>
      </c>
      <c r="G848" s="16" t="inlineStr">
        <is>
          <t>B05-B1</t>
        </is>
      </c>
      <c r="H848" s="16" t="inlineStr">
        <is>
          <t>biseccion</t>
        </is>
      </c>
      <c r="I848" s="16" t="inlineStr">
        <is>
          <t>KALINA</t>
        </is>
      </c>
      <c r="J848" s="16" t="inlineStr">
        <is>
          <t>KALINA</t>
        </is>
      </c>
      <c r="K848" s="16" t="b">
        <v>1</v>
      </c>
      <c r="L848" s="16" t="b">
        <v>1</v>
      </c>
      <c r="M848" s="16" t="b">
        <v>0</v>
      </c>
      <c r="N848" s="16" t="b">
        <v>0</v>
      </c>
      <c r="O848" s="16" t="n">
        <v>403</v>
      </c>
      <c r="P848" s="16" t="n">
        <v>293.15</v>
      </c>
      <c r="Q848" s="16" t="n">
        <v>3000</v>
      </c>
      <c r="R848" s="16" t="n">
        <v>468.75</v>
      </c>
      <c r="S848" s="16" t="n">
        <v>0.5</v>
      </c>
      <c r="T848" s="16" t="n">
        <v>0.85</v>
      </c>
      <c r="U848" s="16" t="n">
        <v>0.75</v>
      </c>
      <c r="V848" s="16" t="n">
        <v>0.85</v>
      </c>
      <c r="W848" s="16" t="n">
        <v>0.75</v>
      </c>
      <c r="X848" s="16" t="n">
        <v>0.8</v>
      </c>
      <c r="Y848" s="16" t="n">
        <v>293.15</v>
      </c>
      <c r="Z848" s="16" t="n">
        <v>9.048642251879761</v>
      </c>
      <c r="AA848" s="16" t="n">
        <v>28.51844792204543</v>
      </c>
      <c r="AB848" s="16" t="n">
        <v>2531.25</v>
      </c>
      <c r="AC848" s="16" t="n">
        <v>6.4</v>
      </c>
      <c r="AD848" s="16" t="n"/>
      <c r="AE848" s="16" t="n"/>
    </row>
    <row r="849">
      <c r="A849" s="16" t="inlineStr">
        <is>
          <t>KF-M02S-B1-0078</t>
        </is>
      </c>
      <c r="B849" s="16" t="inlineStr">
        <is>
          <t>2.4</t>
        </is>
      </c>
      <c r="C849" s="16" t="inlineStr">
        <is>
          <t>2.4a</t>
        </is>
      </c>
      <c r="D849" s="16" t="inlineStr">
        <is>
          <t>fuente a 403 K</t>
        </is>
      </c>
      <c r="E849" s="16" t="inlineStr">
        <is>
          <t>KF-M02S</t>
        </is>
      </c>
      <c r="F849" s="16" t="inlineStr">
        <is>
          <t>KF-M02S-B1</t>
        </is>
      </c>
      <c r="G849" s="16" t="inlineStr">
        <is>
          <t>B05-B1</t>
        </is>
      </c>
      <c r="H849" s="16" t="inlineStr">
        <is>
          <t>biseccion</t>
        </is>
      </c>
      <c r="I849" s="16" t="inlineStr">
        <is>
          <t>CORREGIBLE</t>
        </is>
      </c>
      <c r="J849" s="16" t="inlineStr">
        <is>
          <t>CORREGIBLE</t>
        </is>
      </c>
      <c r="K849" s="16" t="b">
        <v>1</v>
      </c>
      <c r="L849" s="16" t="b">
        <v>0</v>
      </c>
      <c r="M849" s="16" t="b">
        <v>0</v>
      </c>
      <c r="N849" s="16" t="b">
        <v>0</v>
      </c>
      <c r="O849" s="16" t="n">
        <v>403</v>
      </c>
      <c r="P849" s="16" t="n">
        <v>300.032917</v>
      </c>
      <c r="Q849" s="16" t="n">
        <v>3000</v>
      </c>
      <c r="R849" s="16" t="n">
        <v>543.75</v>
      </c>
      <c r="S849" s="16" t="n">
        <v>0.5</v>
      </c>
      <c r="T849" s="16" t="n">
        <v>0.85</v>
      </c>
      <c r="U849" s="16" t="n">
        <v>0.75</v>
      </c>
      <c r="V849" s="16" t="n">
        <v>0.85</v>
      </c>
      <c r="W849" s="16" t="n">
        <v>0.75</v>
      </c>
      <c r="X849" s="16" t="n">
        <v>0.8</v>
      </c>
      <c r="Y849" s="16" t="n">
        <v>300.032917</v>
      </c>
      <c r="Z849" s="16" t="n">
        <v>8.65727600002319</v>
      </c>
      <c r="AA849" s="16" t="n">
        <v>26.48109832429025</v>
      </c>
      <c r="AB849" s="16" t="n">
        <v>2456.25</v>
      </c>
      <c r="AC849" s="16" t="n">
        <v>5.517241379310345</v>
      </c>
      <c r="AD849" s="16" t="inlineStr">
        <is>
          <t>O2</t>
        </is>
      </c>
      <c r="AE849" s="16" t="n"/>
    </row>
    <row r="850">
      <c r="A850" s="16" t="inlineStr">
        <is>
          <t>KF-M02S-B1-0079</t>
        </is>
      </c>
      <c r="B850" s="16" t="inlineStr">
        <is>
          <t>2.4</t>
        </is>
      </c>
      <c r="C850" s="16" t="inlineStr">
        <is>
          <t>2.4a</t>
        </is>
      </c>
      <c r="D850" s="16" t="inlineStr">
        <is>
          <t>fuente a 403 K</t>
        </is>
      </c>
      <c r="E850" s="16" t="inlineStr">
        <is>
          <t>KF-M02S</t>
        </is>
      </c>
      <c r="F850" s="16" t="inlineStr">
        <is>
          <t>KF-M02S-B1</t>
        </is>
      </c>
      <c r="G850" s="16" t="inlineStr">
        <is>
          <t>B05-B1</t>
        </is>
      </c>
      <c r="H850" s="16" t="inlineStr">
        <is>
          <t>biseccion</t>
        </is>
      </c>
      <c r="I850" s="16" t="inlineStr">
        <is>
          <t>KALINA</t>
        </is>
      </c>
      <c r="J850" s="16" t="inlineStr">
        <is>
          <t>KALINA</t>
        </is>
      </c>
      <c r="K850" s="16" t="b">
        <v>1</v>
      </c>
      <c r="L850" s="16" t="b">
        <v>1</v>
      </c>
      <c r="M850" s="16" t="b">
        <v>0</v>
      </c>
      <c r="N850" s="16" t="b">
        <v>0</v>
      </c>
      <c r="O850" s="16" t="n">
        <v>403</v>
      </c>
      <c r="P850" s="16" t="n">
        <v>288.15</v>
      </c>
      <c r="Q850" s="16" t="n">
        <v>3000</v>
      </c>
      <c r="R850" s="16" t="n">
        <v>393.75</v>
      </c>
      <c r="S850" s="16" t="n">
        <v>0.5</v>
      </c>
      <c r="T850" s="16" t="n">
        <v>0.85</v>
      </c>
      <c r="U850" s="16" t="n">
        <v>0.75</v>
      </c>
      <c r="V850" s="16" t="n">
        <v>0.85</v>
      </c>
      <c r="W850" s="16" t="n">
        <v>0.75</v>
      </c>
      <c r="X850" s="16" t="n">
        <v>0.8</v>
      </c>
      <c r="Y850" s="16" t="n">
        <v>288.15</v>
      </c>
      <c r="Z850" s="16" t="n">
        <v>9.606043872636221</v>
      </c>
      <c r="AA850" s="16" t="n">
        <v>30.92389613161344</v>
      </c>
      <c r="AB850" s="16" t="n">
        <v>2606.25</v>
      </c>
      <c r="AC850" s="16" t="n">
        <v>7.619047619047619</v>
      </c>
      <c r="AD850" s="16" t="n"/>
      <c r="AE850" s="16" t="n"/>
    </row>
    <row r="851">
      <c r="A851" s="16" t="inlineStr">
        <is>
          <t>KF-M02S-B2-0070</t>
        </is>
      </c>
      <c r="B851" s="16" t="inlineStr">
        <is>
          <t>2.4</t>
        </is>
      </c>
      <c r="C851" s="16" t="inlineStr">
        <is>
          <t>2.4b</t>
        </is>
      </c>
      <c r="D851" s="16" t="inlineStr">
        <is>
          <t>fuente a 420 K</t>
        </is>
      </c>
      <c r="E851" s="16" t="inlineStr">
        <is>
          <t>KF-M02S</t>
        </is>
      </c>
      <c r="F851" s="16" t="inlineStr">
        <is>
          <t>KF-M02S-B2</t>
        </is>
      </c>
      <c r="G851" s="16" t="inlineStr">
        <is>
          <t>B05-B2</t>
        </is>
      </c>
      <c r="H851" s="16" t="inlineStr">
        <is>
          <t>biseccion</t>
        </is>
      </c>
      <c r="I851" s="16" t="inlineStr">
        <is>
          <t>KALINA</t>
        </is>
      </c>
      <c r="J851" s="16" t="inlineStr">
        <is>
          <t>KALINA</t>
        </is>
      </c>
      <c r="K851" s="16" t="b">
        <v>1</v>
      </c>
      <c r="L851" s="16" t="b">
        <v>1</v>
      </c>
      <c r="M851" s="16" t="b">
        <v>0</v>
      </c>
      <c r="N851" s="16" t="b">
        <v>0</v>
      </c>
      <c r="O851" s="16" t="n">
        <v>420</v>
      </c>
      <c r="P851" s="16" t="n">
        <v>278.15</v>
      </c>
      <c r="Q851" s="16" t="n">
        <v>3000</v>
      </c>
      <c r="R851" s="16" t="n">
        <v>393.75</v>
      </c>
      <c r="S851" s="16" t="n">
        <v>0.5</v>
      </c>
      <c r="T851" s="16" t="n">
        <v>0.85</v>
      </c>
      <c r="U851" s="16" t="n">
        <v>0.75</v>
      </c>
      <c r="V851" s="16" t="n">
        <v>0.85</v>
      </c>
      <c r="W851" s="16" t="n">
        <v>0.75</v>
      </c>
      <c r="X851" s="16" t="n">
        <v>0.8</v>
      </c>
      <c r="Y851" s="16" t="n">
        <v>278.15</v>
      </c>
      <c r="Z851" s="16" t="n">
        <v>11.90841397447066</v>
      </c>
      <c r="AA851" s="16" t="n">
        <v>64.29434111942909</v>
      </c>
      <c r="AB851" s="16" t="n">
        <v>2606.25</v>
      </c>
      <c r="AC851" s="16" t="n">
        <v>7.619047619047619</v>
      </c>
      <c r="AD851" s="16" t="n"/>
      <c r="AE851" s="16" t="n"/>
    </row>
    <row r="852">
      <c r="A852" s="16" t="inlineStr">
        <is>
          <t>KF-M02S-B2-0071</t>
        </is>
      </c>
      <c r="B852" s="16" t="inlineStr">
        <is>
          <t>2.4</t>
        </is>
      </c>
      <c r="C852" s="16" t="inlineStr">
        <is>
          <t>2.4b</t>
        </is>
      </c>
      <c r="D852" s="16" t="inlineStr">
        <is>
          <t>fuente a 420 K</t>
        </is>
      </c>
      <c r="E852" s="16" t="inlineStr">
        <is>
          <t>KF-M02S</t>
        </is>
      </c>
      <c r="F852" s="16" t="inlineStr">
        <is>
          <t>KF-M02S-B2</t>
        </is>
      </c>
      <c r="G852" s="16" t="inlineStr">
        <is>
          <t>B05-B2</t>
        </is>
      </c>
      <c r="H852" s="16" t="inlineStr">
        <is>
          <t>biseccion</t>
        </is>
      </c>
      <c r="I852" s="16" t="inlineStr">
        <is>
          <t>KALINA</t>
        </is>
      </c>
      <c r="J852" s="16" t="inlineStr">
        <is>
          <t>KALINA</t>
        </is>
      </c>
      <c r="K852" s="16" t="b">
        <v>1</v>
      </c>
      <c r="L852" s="16" t="b">
        <v>1</v>
      </c>
      <c r="M852" s="16" t="b">
        <v>0</v>
      </c>
      <c r="N852" s="16" t="b">
        <v>0</v>
      </c>
      <c r="O852" s="16" t="n">
        <v>420</v>
      </c>
      <c r="P852" s="16" t="n">
        <v>278.15</v>
      </c>
      <c r="Q852" s="16" t="n">
        <v>3000</v>
      </c>
      <c r="R852" s="16" t="n">
        <v>393.75</v>
      </c>
      <c r="S852" s="16" t="n">
        <v>0.5</v>
      </c>
      <c r="T852" s="16" t="n">
        <v>0.85</v>
      </c>
      <c r="U852" s="16" t="n">
        <v>0.75</v>
      </c>
      <c r="V852" s="16" t="n">
        <v>0.85</v>
      </c>
      <c r="W852" s="16" t="n">
        <v>0.75</v>
      </c>
      <c r="X852" s="16" t="n">
        <v>0.8</v>
      </c>
      <c r="Y852" s="16" t="n">
        <v>278.15</v>
      </c>
      <c r="Z852" s="16" t="n">
        <v>11.90841397447066</v>
      </c>
      <c r="AA852" s="16" t="n">
        <v>64.29434111942909</v>
      </c>
      <c r="AB852" s="16" t="n">
        <v>2606.25</v>
      </c>
      <c r="AC852" s="16" t="n">
        <v>7.619047619047619</v>
      </c>
      <c r="AD852" s="16" t="n"/>
      <c r="AE852" s="16" t="n"/>
    </row>
    <row r="853">
      <c r="A853" s="16" t="inlineStr">
        <is>
          <t>KF-M02S-B2-0072</t>
        </is>
      </c>
      <c r="B853" s="16" t="inlineStr">
        <is>
          <t>2.4</t>
        </is>
      </c>
      <c r="C853" s="16" t="inlineStr">
        <is>
          <t>2.4b</t>
        </is>
      </c>
      <c r="D853" s="16" t="inlineStr">
        <is>
          <t>fuente a 420 K</t>
        </is>
      </c>
      <c r="E853" s="16" t="inlineStr">
        <is>
          <t>KF-M02S</t>
        </is>
      </c>
      <c r="F853" s="16" t="inlineStr">
        <is>
          <t>KF-M02S-B2</t>
        </is>
      </c>
      <c r="G853" s="16" t="inlineStr">
        <is>
          <t>B05-B2</t>
        </is>
      </c>
      <c r="H853" s="16" t="inlineStr">
        <is>
          <t>biseccion</t>
        </is>
      </c>
      <c r="I853" s="16" t="inlineStr">
        <is>
          <t>KALINA</t>
        </is>
      </c>
      <c r="J853" s="16" t="inlineStr">
        <is>
          <t>KALINA</t>
        </is>
      </c>
      <c r="K853" s="16" t="b">
        <v>1</v>
      </c>
      <c r="L853" s="16" t="b">
        <v>1</v>
      </c>
      <c r="M853" s="16" t="b">
        <v>0</v>
      </c>
      <c r="N853" s="16" t="b">
        <v>0</v>
      </c>
      <c r="O853" s="16" t="n">
        <v>420</v>
      </c>
      <c r="P853" s="16" t="n">
        <v>283.15</v>
      </c>
      <c r="Q853" s="16" t="n">
        <v>3000</v>
      </c>
      <c r="R853" s="16" t="n">
        <v>468.75</v>
      </c>
      <c r="S853" s="16" t="n">
        <v>0.5</v>
      </c>
      <c r="T853" s="16" t="n">
        <v>0.85</v>
      </c>
      <c r="U853" s="16" t="n">
        <v>0.75</v>
      </c>
      <c r="V853" s="16" t="n">
        <v>0.85</v>
      </c>
      <c r="W853" s="16" t="n">
        <v>0.75</v>
      </c>
      <c r="X853" s="16" t="n">
        <v>0.8</v>
      </c>
      <c r="Y853" s="16" t="n">
        <v>283.15</v>
      </c>
      <c r="Z853" s="16" t="n">
        <v>11.16338605466932</v>
      </c>
      <c r="AA853" s="16" t="n">
        <v>59.32525534557198</v>
      </c>
      <c r="AB853" s="16" t="n">
        <v>2531.25</v>
      </c>
      <c r="AC853" s="16" t="n">
        <v>6.4</v>
      </c>
      <c r="AD853" s="16" t="n"/>
      <c r="AE853" s="16" t="n"/>
    </row>
    <row r="854">
      <c r="A854" s="16" t="inlineStr">
        <is>
          <t>KF-M02S-B2-0073</t>
        </is>
      </c>
      <c r="B854" s="16" t="inlineStr">
        <is>
          <t>2.4</t>
        </is>
      </c>
      <c r="C854" s="16" t="inlineStr">
        <is>
          <t>2.4b</t>
        </is>
      </c>
      <c r="D854" s="16" t="inlineStr">
        <is>
          <t>fuente a 420 K</t>
        </is>
      </c>
      <c r="E854" s="16" t="inlineStr">
        <is>
          <t>KF-M02S</t>
        </is>
      </c>
      <c r="F854" s="16" t="inlineStr">
        <is>
          <t>KF-M02S-B2</t>
        </is>
      </c>
      <c r="G854" s="16" t="inlineStr">
        <is>
          <t>B05-B2</t>
        </is>
      </c>
      <c r="H854" s="16" t="inlineStr">
        <is>
          <t>biseccion</t>
        </is>
      </c>
      <c r="I854" s="16" t="inlineStr">
        <is>
          <t>KALINA</t>
        </is>
      </c>
      <c r="J854" s="16" t="inlineStr">
        <is>
          <t>KALINA</t>
        </is>
      </c>
      <c r="K854" s="16" t="b">
        <v>1</v>
      </c>
      <c r="L854" s="16" t="b">
        <v>1</v>
      </c>
      <c r="M854" s="16" t="b">
        <v>0</v>
      </c>
      <c r="N854" s="16" t="b">
        <v>0</v>
      </c>
      <c r="O854" s="16" t="n">
        <v>420</v>
      </c>
      <c r="P854" s="16" t="n">
        <v>288.15</v>
      </c>
      <c r="Q854" s="16" t="n">
        <v>3000</v>
      </c>
      <c r="R854" s="16" t="n">
        <v>543.75</v>
      </c>
      <c r="S854" s="16" t="n">
        <v>0.5</v>
      </c>
      <c r="T854" s="16" t="n">
        <v>0.85</v>
      </c>
      <c r="U854" s="16" t="n">
        <v>0.75</v>
      </c>
      <c r="V854" s="16" t="n">
        <v>0.85</v>
      </c>
      <c r="W854" s="16" t="n">
        <v>0.75</v>
      </c>
      <c r="X854" s="16" t="n">
        <v>0.8</v>
      </c>
      <c r="Y854" s="16" t="n">
        <v>288.15</v>
      </c>
      <c r="Z854" s="16" t="n">
        <v>10.52176226022545</v>
      </c>
      <c r="AA854" s="16" t="n">
        <v>55.02363311518772</v>
      </c>
      <c r="AB854" s="16" t="n">
        <v>2456.25</v>
      </c>
      <c r="AC854" s="16" t="n">
        <v>5.517241379310345</v>
      </c>
      <c r="AD854" s="16" t="n"/>
      <c r="AE854" s="16" t="n"/>
    </row>
    <row r="855">
      <c r="A855" s="16" t="inlineStr">
        <is>
          <t>KF-M02S-B2-0074</t>
        </is>
      </c>
      <c r="B855" s="16" t="inlineStr">
        <is>
          <t>2.4</t>
        </is>
      </c>
      <c r="C855" s="16" t="inlineStr">
        <is>
          <t>2.4b</t>
        </is>
      </c>
      <c r="D855" s="16" t="inlineStr">
        <is>
          <t>fuente a 420 K</t>
        </is>
      </c>
      <c r="E855" s="16" t="inlineStr">
        <is>
          <t>KF-M02S</t>
        </is>
      </c>
      <c r="F855" s="16" t="inlineStr">
        <is>
          <t>KF-M02S-B2</t>
        </is>
      </c>
      <c r="G855" s="16" t="inlineStr">
        <is>
          <t>B05-B2</t>
        </is>
      </c>
      <c r="H855" s="16" t="inlineStr">
        <is>
          <t>biseccion</t>
        </is>
      </c>
      <c r="I855" s="16" t="inlineStr">
        <is>
          <t>KALINA</t>
        </is>
      </c>
      <c r="J855" s="16" t="inlineStr">
        <is>
          <t>KALINA</t>
        </is>
      </c>
      <c r="K855" s="16" t="b">
        <v>1</v>
      </c>
      <c r="L855" s="16" t="b">
        <v>1</v>
      </c>
      <c r="M855" s="16" t="b">
        <v>0</v>
      </c>
      <c r="N855" s="16" t="b">
        <v>0</v>
      </c>
      <c r="O855" s="16" t="n">
        <v>420</v>
      </c>
      <c r="P855" s="16" t="n">
        <v>283.15</v>
      </c>
      <c r="Q855" s="16" t="n">
        <v>3000</v>
      </c>
      <c r="R855" s="16" t="n">
        <v>468.75</v>
      </c>
      <c r="S855" s="16" t="n">
        <v>0.5</v>
      </c>
      <c r="T855" s="16" t="n">
        <v>0.85</v>
      </c>
      <c r="U855" s="16" t="n">
        <v>0.75</v>
      </c>
      <c r="V855" s="16" t="n">
        <v>0.85</v>
      </c>
      <c r="W855" s="16" t="n">
        <v>0.75</v>
      </c>
      <c r="X855" s="16" t="n">
        <v>0.8</v>
      </c>
      <c r="Y855" s="16" t="n">
        <v>283.15</v>
      </c>
      <c r="Z855" s="16" t="n">
        <v>11.16338605466932</v>
      </c>
      <c r="AA855" s="16" t="n">
        <v>59.32525534557198</v>
      </c>
      <c r="AB855" s="16" t="n">
        <v>2531.25</v>
      </c>
      <c r="AC855" s="16" t="n">
        <v>6.4</v>
      </c>
      <c r="AD855" s="16" t="n"/>
      <c r="AE855" s="16" t="n"/>
    </row>
    <row r="856">
      <c r="A856" s="16" t="inlineStr">
        <is>
          <t>KF-M02S-B2-0075</t>
        </is>
      </c>
      <c r="B856" s="16" t="inlineStr">
        <is>
          <t>2.4</t>
        </is>
      </c>
      <c r="C856" s="16" t="inlineStr">
        <is>
          <t>2.4b</t>
        </is>
      </c>
      <c r="D856" s="16" t="inlineStr">
        <is>
          <t>fuente a 420 K</t>
        </is>
      </c>
      <c r="E856" s="16" t="inlineStr">
        <is>
          <t>KF-M02S</t>
        </is>
      </c>
      <c r="F856" s="16" t="inlineStr">
        <is>
          <t>KF-M02S-B2</t>
        </is>
      </c>
      <c r="G856" s="16" t="inlineStr">
        <is>
          <t>B05-B2</t>
        </is>
      </c>
      <c r="H856" s="16" t="inlineStr">
        <is>
          <t>biseccion</t>
        </is>
      </c>
      <c r="I856" s="16" t="inlineStr">
        <is>
          <t>KALINA</t>
        </is>
      </c>
      <c r="J856" s="16" t="inlineStr">
        <is>
          <t>KALINA</t>
        </is>
      </c>
      <c r="K856" s="16" t="b">
        <v>1</v>
      </c>
      <c r="L856" s="16" t="b">
        <v>1</v>
      </c>
      <c r="M856" s="16" t="b">
        <v>0</v>
      </c>
      <c r="N856" s="16" t="b">
        <v>0</v>
      </c>
      <c r="O856" s="16" t="n">
        <v>420</v>
      </c>
      <c r="P856" s="16" t="n">
        <v>288.15</v>
      </c>
      <c r="Q856" s="16" t="n">
        <v>3000</v>
      </c>
      <c r="R856" s="16" t="n">
        <v>543.75</v>
      </c>
      <c r="S856" s="16" t="n">
        <v>0.5</v>
      </c>
      <c r="T856" s="16" t="n">
        <v>0.85</v>
      </c>
      <c r="U856" s="16" t="n">
        <v>0.75</v>
      </c>
      <c r="V856" s="16" t="n">
        <v>0.85</v>
      </c>
      <c r="W856" s="16" t="n">
        <v>0.75</v>
      </c>
      <c r="X856" s="16" t="n">
        <v>0.8</v>
      </c>
      <c r="Y856" s="16" t="n">
        <v>288.15</v>
      </c>
      <c r="Z856" s="16" t="n">
        <v>10.52176226022545</v>
      </c>
      <c r="AA856" s="16" t="n">
        <v>55.02363311518772</v>
      </c>
      <c r="AB856" s="16" t="n">
        <v>2456.25</v>
      </c>
      <c r="AC856" s="16" t="n">
        <v>5.517241379310345</v>
      </c>
      <c r="AD856" s="16" t="n"/>
      <c r="AE856" s="16" t="n"/>
    </row>
    <row r="857">
      <c r="A857" s="16" t="inlineStr">
        <is>
          <t>KF-M02S-B2-0076</t>
        </is>
      </c>
      <c r="B857" s="16" t="inlineStr">
        <is>
          <t>2.4</t>
        </is>
      </c>
      <c r="C857" s="16" t="inlineStr">
        <is>
          <t>2.4b</t>
        </is>
      </c>
      <c r="D857" s="16" t="inlineStr">
        <is>
          <t>fuente a 420 K</t>
        </is>
      </c>
      <c r="E857" s="16" t="inlineStr">
        <is>
          <t>KF-M02S</t>
        </is>
      </c>
      <c r="F857" s="16" t="inlineStr">
        <is>
          <t>KF-M02S-B2</t>
        </is>
      </c>
      <c r="G857" s="16" t="inlineStr">
        <is>
          <t>B05-B2</t>
        </is>
      </c>
      <c r="H857" s="16" t="inlineStr">
        <is>
          <t>biseccion</t>
        </is>
      </c>
      <c r="I857" s="16" t="inlineStr">
        <is>
          <t>KALINA</t>
        </is>
      </c>
      <c r="J857" s="16" t="inlineStr">
        <is>
          <t>KALINA</t>
        </is>
      </c>
      <c r="K857" s="16" t="b">
        <v>1</v>
      </c>
      <c r="L857" s="16" t="b">
        <v>1</v>
      </c>
      <c r="M857" s="16" t="b">
        <v>0</v>
      </c>
      <c r="N857" s="16" t="b">
        <v>0</v>
      </c>
      <c r="O857" s="16" t="n">
        <v>420</v>
      </c>
      <c r="P857" s="16" t="n">
        <v>293.15</v>
      </c>
      <c r="Q857" s="16" t="n">
        <v>3000</v>
      </c>
      <c r="R857" s="16" t="n">
        <v>618.75</v>
      </c>
      <c r="S857" s="16" t="n">
        <v>0.5</v>
      </c>
      <c r="T857" s="16" t="n">
        <v>0.85</v>
      </c>
      <c r="U857" s="16" t="n">
        <v>0.75</v>
      </c>
      <c r="V857" s="16" t="n">
        <v>0.85</v>
      </c>
      <c r="W857" s="16" t="n">
        <v>0.75</v>
      </c>
      <c r="X857" s="16" t="n">
        <v>0.8</v>
      </c>
      <c r="Y857" s="16" t="n">
        <v>293.15</v>
      </c>
      <c r="Z857" s="16" t="n">
        <v>9.95682336587444</v>
      </c>
      <c r="AA857" s="16" t="n">
        <v>51.22435583255326</v>
      </c>
      <c r="AB857" s="16" t="n">
        <v>2381.25</v>
      </c>
      <c r="AC857" s="16" t="n">
        <v>4.848484848484849</v>
      </c>
      <c r="AD857" s="16" t="n"/>
      <c r="AE857" s="16" t="n"/>
    </row>
    <row r="858">
      <c r="A858" s="16" t="inlineStr">
        <is>
          <t>KF-M02S-B2-0077</t>
        </is>
      </c>
      <c r="B858" s="16" t="inlineStr">
        <is>
          <t>2.4</t>
        </is>
      </c>
      <c r="C858" s="16" t="inlineStr">
        <is>
          <t>2.4b</t>
        </is>
      </c>
      <c r="D858" s="16" t="inlineStr">
        <is>
          <t>fuente a 420 K</t>
        </is>
      </c>
      <c r="E858" s="16" t="inlineStr">
        <is>
          <t>KF-M02S</t>
        </is>
      </c>
      <c r="F858" s="16" t="inlineStr">
        <is>
          <t>KF-M02S-B2</t>
        </is>
      </c>
      <c r="G858" s="16" t="inlineStr">
        <is>
          <t>B05-B2</t>
        </is>
      </c>
      <c r="H858" s="16" t="inlineStr">
        <is>
          <t>biseccion</t>
        </is>
      </c>
      <c r="I858" s="16" t="inlineStr">
        <is>
          <t>CORREGIBLE</t>
        </is>
      </c>
      <c r="J858" s="16" t="inlineStr">
        <is>
          <t>CORREGIBLE</t>
        </is>
      </c>
      <c r="K858" s="16" t="b">
        <v>1</v>
      </c>
      <c r="L858" s="16" t="b">
        <v>0</v>
      </c>
      <c r="M858" s="16" t="b">
        <v>0</v>
      </c>
      <c r="N858" s="16" t="b">
        <v>0</v>
      </c>
      <c r="O858" s="16" t="n">
        <v>420</v>
      </c>
      <c r="P858" s="16" t="n">
        <v>300.032917</v>
      </c>
      <c r="Q858" s="16" t="n">
        <v>3000</v>
      </c>
      <c r="R858" s="16" t="n">
        <v>731.25</v>
      </c>
      <c r="S858" s="16" t="n">
        <v>0.5</v>
      </c>
      <c r="T858" s="16" t="n">
        <v>0.85</v>
      </c>
      <c r="U858" s="16" t="n">
        <v>0.75</v>
      </c>
      <c r="V858" s="16" t="n">
        <v>0.85</v>
      </c>
      <c r="W858" s="16" t="n">
        <v>0.75</v>
      </c>
      <c r="X858" s="16" t="n">
        <v>0.8</v>
      </c>
      <c r="Y858" s="16" t="n">
        <v>300.032917</v>
      </c>
      <c r="Z858" s="16" t="n">
        <v>9.193685031361589</v>
      </c>
      <c r="AA858" s="16" t="n">
        <v>46.21836613710254</v>
      </c>
      <c r="AB858" s="16" t="n">
        <v>2268.75</v>
      </c>
      <c r="AC858" s="16" t="n">
        <v>4.102564102564102</v>
      </c>
      <c r="AD858" s="16" t="inlineStr">
        <is>
          <t>O2</t>
        </is>
      </c>
      <c r="AE858" s="16" t="n"/>
    </row>
    <row r="859">
      <c r="A859" s="16" t="inlineStr">
        <is>
          <t>KF-M02S-B2-0078</t>
        </is>
      </c>
      <c r="B859" s="16" t="inlineStr">
        <is>
          <t>2.4</t>
        </is>
      </c>
      <c r="C859" s="16" t="inlineStr">
        <is>
          <t>2.4b</t>
        </is>
      </c>
      <c r="D859" s="16" t="inlineStr">
        <is>
          <t>fuente a 420 K</t>
        </is>
      </c>
      <c r="E859" s="16" t="inlineStr">
        <is>
          <t>KF-M02S</t>
        </is>
      </c>
      <c r="F859" s="16" t="inlineStr">
        <is>
          <t>KF-M02S-B2</t>
        </is>
      </c>
      <c r="G859" s="16" t="inlineStr">
        <is>
          <t>B05-B2</t>
        </is>
      </c>
      <c r="H859" s="16" t="inlineStr">
        <is>
          <t>biseccion</t>
        </is>
      </c>
      <c r="I859" s="16" t="inlineStr">
        <is>
          <t>KALINA</t>
        </is>
      </c>
      <c r="J859" s="16" t="inlineStr">
        <is>
          <t>KALINA</t>
        </is>
      </c>
      <c r="K859" s="16" t="b">
        <v>1</v>
      </c>
      <c r="L859" s="16" t="b">
        <v>1</v>
      </c>
      <c r="M859" s="16" t="b">
        <v>0</v>
      </c>
      <c r="N859" s="16" t="b">
        <v>0</v>
      </c>
      <c r="O859" s="16" t="n">
        <v>420</v>
      </c>
      <c r="P859" s="16" t="n">
        <v>293.15</v>
      </c>
      <c r="Q859" s="16" t="n">
        <v>3000</v>
      </c>
      <c r="R859" s="16" t="n">
        <v>618.75</v>
      </c>
      <c r="S859" s="16" t="n">
        <v>0.5</v>
      </c>
      <c r="T859" s="16" t="n">
        <v>0.85</v>
      </c>
      <c r="U859" s="16" t="n">
        <v>0.75</v>
      </c>
      <c r="V859" s="16" t="n">
        <v>0.85</v>
      </c>
      <c r="W859" s="16" t="n">
        <v>0.75</v>
      </c>
      <c r="X859" s="16" t="n">
        <v>0.8</v>
      </c>
      <c r="Y859" s="16" t="n">
        <v>293.15</v>
      </c>
      <c r="Z859" s="16" t="n">
        <v>9.95682336587444</v>
      </c>
      <c r="AA859" s="16" t="n">
        <v>51.22435583255326</v>
      </c>
      <c r="AB859" s="16" t="n">
        <v>2381.25</v>
      </c>
      <c r="AC859" s="16" t="n">
        <v>4.848484848484849</v>
      </c>
      <c r="AD859" s="16" t="n"/>
      <c r="AE859" s="16" t="n"/>
    </row>
    <row r="860">
      <c r="A860" s="16" t="inlineStr">
        <is>
          <t>KF-M02S-B2-0079</t>
        </is>
      </c>
      <c r="B860" s="16" t="inlineStr">
        <is>
          <t>2.4</t>
        </is>
      </c>
      <c r="C860" s="16" t="inlineStr">
        <is>
          <t>2.4b</t>
        </is>
      </c>
      <c r="D860" s="16" t="inlineStr">
        <is>
          <t>fuente a 420 K</t>
        </is>
      </c>
      <c r="E860" s="16" t="inlineStr">
        <is>
          <t>KF-M02S</t>
        </is>
      </c>
      <c r="F860" s="16" t="inlineStr">
        <is>
          <t>KF-M02S-B2</t>
        </is>
      </c>
      <c r="G860" s="16" t="inlineStr">
        <is>
          <t>B05-B2</t>
        </is>
      </c>
      <c r="H860" s="16" t="inlineStr">
        <is>
          <t>biseccion</t>
        </is>
      </c>
      <c r="I860" s="16" t="inlineStr">
        <is>
          <t>CORREGIBLE</t>
        </is>
      </c>
      <c r="J860" s="16" t="inlineStr">
        <is>
          <t>CORREGIBLE</t>
        </is>
      </c>
      <c r="K860" s="16" t="b">
        <v>1</v>
      </c>
      <c r="L860" s="16" t="b">
        <v>0</v>
      </c>
      <c r="M860" s="16" t="b">
        <v>0</v>
      </c>
      <c r="N860" s="16" t="b">
        <v>0</v>
      </c>
      <c r="O860" s="16" t="n">
        <v>420</v>
      </c>
      <c r="P860" s="16" t="n">
        <v>300.032917</v>
      </c>
      <c r="Q860" s="16" t="n">
        <v>3000</v>
      </c>
      <c r="R860" s="16" t="n">
        <v>731.25</v>
      </c>
      <c r="S860" s="16" t="n">
        <v>0.5</v>
      </c>
      <c r="T860" s="16" t="n">
        <v>0.85</v>
      </c>
      <c r="U860" s="16" t="n">
        <v>0.75</v>
      </c>
      <c r="V860" s="16" t="n">
        <v>0.85</v>
      </c>
      <c r="W860" s="16" t="n">
        <v>0.75</v>
      </c>
      <c r="X860" s="16" t="n">
        <v>0.8</v>
      </c>
      <c r="Y860" s="16" t="n">
        <v>300.032917</v>
      </c>
      <c r="Z860" s="16" t="n">
        <v>9.193685031361589</v>
      </c>
      <c r="AA860" s="16" t="n">
        <v>46.21836613710254</v>
      </c>
      <c r="AB860" s="16" t="n">
        <v>2268.75</v>
      </c>
      <c r="AC860" s="16" t="n">
        <v>4.102564102564102</v>
      </c>
      <c r="AD860" s="16" t="inlineStr">
        <is>
          <t>O2</t>
        </is>
      </c>
      <c r="AE860" s="16" t="n"/>
    </row>
    <row r="861">
      <c r="A861" s="16" t="inlineStr">
        <is>
          <t>KF-M02S-B3-0070</t>
        </is>
      </c>
      <c r="B861" s="16" t="inlineStr">
        <is>
          <t>2.4</t>
        </is>
      </c>
      <c r="C861" s="16" t="inlineStr">
        <is>
          <t>2.4c</t>
        </is>
      </c>
      <c r="D861" s="16" t="inlineStr">
        <is>
          <t>ε_HRVG = 0.40 (fuente del profesor)</t>
        </is>
      </c>
      <c r="E861" s="16" t="inlineStr">
        <is>
          <t>KF-M02S</t>
        </is>
      </c>
      <c r="F861" s="16" t="inlineStr">
        <is>
          <t>KF-M02S-B3</t>
        </is>
      </c>
      <c r="G861" s="16" t="inlineStr">
        <is>
          <t>B05-B3</t>
        </is>
      </c>
      <c r="H861" s="16" t="inlineStr">
        <is>
          <t>biseccion</t>
        </is>
      </c>
      <c r="I861" s="16" t="inlineStr">
        <is>
          <t>CORREGIBLE</t>
        </is>
      </c>
      <c r="J861" s="16" t="inlineStr">
        <is>
          <t>CORREGIBLE</t>
        </is>
      </c>
      <c r="K861" s="16" t="b">
        <v>1</v>
      </c>
      <c r="L861" s="16" t="b">
        <v>0</v>
      </c>
      <c r="M861" s="16" t="b">
        <v>1</v>
      </c>
      <c r="N861" s="16" t="b">
        <v>0</v>
      </c>
      <c r="O861" s="16" t="n">
        <v>623.15</v>
      </c>
      <c r="P861" s="16" t="n">
        <v>278.15</v>
      </c>
      <c r="Q861" s="16" t="n">
        <v>3000</v>
      </c>
      <c r="R861" s="16" t="n">
        <v>731.25</v>
      </c>
      <c r="S861" s="16" t="n">
        <v>0.5</v>
      </c>
      <c r="T861" s="16" t="n">
        <v>0.85</v>
      </c>
      <c r="U861" s="16" t="n">
        <v>0.75</v>
      </c>
      <c r="V861" s="16" t="n">
        <v>0.4</v>
      </c>
      <c r="W861" s="16" t="n">
        <v>0.75</v>
      </c>
      <c r="X861" s="16" t="n">
        <v>0.8</v>
      </c>
      <c r="Y861" s="16" t="n">
        <v>278.15</v>
      </c>
      <c r="Z861" s="16" t="n">
        <v>9.8514941118141</v>
      </c>
      <c r="AA861" s="16" t="n">
        <v>94.7689429413265</v>
      </c>
      <c r="AB861" s="16" t="n">
        <v>2268.75</v>
      </c>
      <c r="AC861" s="16" t="n">
        <v>4.102564102564102</v>
      </c>
      <c r="AD861" s="16" t="inlineStr">
        <is>
          <t>O2</t>
        </is>
      </c>
      <c r="AE861" s="16" t="n"/>
    </row>
    <row r="862">
      <c r="A862" s="16" t="inlineStr">
        <is>
          <t>KF-M02S-B3-0071</t>
        </is>
      </c>
      <c r="B862" s="16" t="inlineStr">
        <is>
          <t>2.4</t>
        </is>
      </c>
      <c r="C862" s="16" t="inlineStr">
        <is>
          <t>2.4c</t>
        </is>
      </c>
      <c r="D862" s="16" t="inlineStr">
        <is>
          <t>ε_HRVG = 0.40 (fuente del profesor)</t>
        </is>
      </c>
      <c r="E862" s="16" t="inlineStr">
        <is>
          <t>KF-M02S</t>
        </is>
      </c>
      <c r="F862" s="16" t="inlineStr">
        <is>
          <t>KF-M02S-B3</t>
        </is>
      </c>
      <c r="G862" s="16" t="inlineStr">
        <is>
          <t>B05-B3</t>
        </is>
      </c>
      <c r="H862" s="16" t="inlineStr">
        <is>
          <t>biseccion</t>
        </is>
      </c>
      <c r="I862" s="16" t="inlineStr">
        <is>
          <t>CORREGIBLE</t>
        </is>
      </c>
      <c r="J862" s="16" t="inlineStr">
        <is>
          <t>CORREGIBLE</t>
        </is>
      </c>
      <c r="K862" s="16" t="b">
        <v>1</v>
      </c>
      <c r="L862" s="16" t="b">
        <v>0</v>
      </c>
      <c r="M862" s="16" t="b">
        <v>1</v>
      </c>
      <c r="N862" s="16" t="b">
        <v>0</v>
      </c>
      <c r="O862" s="16" t="n">
        <v>623.15</v>
      </c>
      <c r="P862" s="16" t="n">
        <v>278.15</v>
      </c>
      <c r="Q862" s="16" t="n">
        <v>3000</v>
      </c>
      <c r="R862" s="16" t="n">
        <v>731.25</v>
      </c>
      <c r="S862" s="16" t="n">
        <v>0.5</v>
      </c>
      <c r="T862" s="16" t="n">
        <v>0.85</v>
      </c>
      <c r="U862" s="16" t="n">
        <v>0.75</v>
      </c>
      <c r="V862" s="16" t="n">
        <v>0.4</v>
      </c>
      <c r="W862" s="16" t="n">
        <v>0.75</v>
      </c>
      <c r="X862" s="16" t="n">
        <v>0.8</v>
      </c>
      <c r="Y862" s="16" t="n">
        <v>278.15</v>
      </c>
      <c r="Z862" s="16" t="n">
        <v>9.8514941118141</v>
      </c>
      <c r="AA862" s="16" t="n">
        <v>94.7689429413265</v>
      </c>
      <c r="AB862" s="16" t="n">
        <v>2268.75</v>
      </c>
      <c r="AC862" s="16" t="n">
        <v>4.102564102564102</v>
      </c>
      <c r="AD862" s="16" t="inlineStr">
        <is>
          <t>O2</t>
        </is>
      </c>
      <c r="AE862" s="16" t="n"/>
    </row>
    <row r="863">
      <c r="A863" s="16" t="inlineStr">
        <is>
          <t>KF-M02S-B3-0072</t>
        </is>
      </c>
      <c r="B863" s="16" t="inlineStr">
        <is>
          <t>2.4</t>
        </is>
      </c>
      <c r="C863" s="16" t="inlineStr">
        <is>
          <t>2.4c</t>
        </is>
      </c>
      <c r="D863" s="16" t="inlineStr">
        <is>
          <t>ε_HRVG = 0.40 (fuente del profesor)</t>
        </is>
      </c>
      <c r="E863" s="16" t="inlineStr">
        <is>
          <t>KF-M02S</t>
        </is>
      </c>
      <c r="F863" s="16" t="inlineStr">
        <is>
          <t>KF-M02S-B3</t>
        </is>
      </c>
      <c r="G863" s="16" t="inlineStr">
        <is>
          <t>B05-B3</t>
        </is>
      </c>
      <c r="H863" s="16" t="inlineStr">
        <is>
          <t>biseccion</t>
        </is>
      </c>
      <c r="I863" s="16" t="inlineStr">
        <is>
          <t>CORREGIBLE</t>
        </is>
      </c>
      <c r="J863" s="16" t="inlineStr">
        <is>
          <t>CORREGIBLE</t>
        </is>
      </c>
      <c r="K863" s="16" t="b">
        <v>1</v>
      </c>
      <c r="L863" s="16" t="b">
        <v>0</v>
      </c>
      <c r="M863" s="16" t="b">
        <v>1</v>
      </c>
      <c r="N863" s="16" t="b">
        <v>0</v>
      </c>
      <c r="O863" s="16" t="n">
        <v>623.15</v>
      </c>
      <c r="P863" s="16" t="n">
        <v>283.15</v>
      </c>
      <c r="Q863" s="16" t="n">
        <v>3000</v>
      </c>
      <c r="R863" s="16" t="n">
        <v>843.75</v>
      </c>
      <c r="S863" s="16" t="n">
        <v>0.5</v>
      </c>
      <c r="T863" s="16" t="n">
        <v>0.85</v>
      </c>
      <c r="U863" s="16" t="n">
        <v>0.75</v>
      </c>
      <c r="V863" s="16" t="n">
        <v>0.4</v>
      </c>
      <c r="W863" s="16" t="n">
        <v>0.75</v>
      </c>
      <c r="X863" s="16" t="n">
        <v>0.8</v>
      </c>
      <c r="Y863" s="16" t="n">
        <v>283.15</v>
      </c>
      <c r="Z863" s="16" t="n">
        <v>9.037688292980391</v>
      </c>
      <c r="AA863" s="16" t="n">
        <v>86.44194169636614</v>
      </c>
      <c r="AB863" s="16" t="n">
        <v>2156.25</v>
      </c>
      <c r="AC863" s="16" t="n">
        <v>3.555555555555556</v>
      </c>
      <c r="AD863" s="16" t="inlineStr">
        <is>
          <t>O2</t>
        </is>
      </c>
      <c r="AE863" s="16" t="n"/>
    </row>
    <row r="864">
      <c r="A864" s="16" t="inlineStr">
        <is>
          <t>KF-M02S-B3-0073</t>
        </is>
      </c>
      <c r="B864" s="16" t="inlineStr">
        <is>
          <t>2.4</t>
        </is>
      </c>
      <c r="C864" s="16" t="inlineStr">
        <is>
          <t>2.4c</t>
        </is>
      </c>
      <c r="D864" s="16" t="inlineStr">
        <is>
          <t>ε_HRVG = 0.40 (fuente del profesor)</t>
        </is>
      </c>
      <c r="E864" s="16" t="inlineStr">
        <is>
          <t>KF-M02S</t>
        </is>
      </c>
      <c r="F864" s="16" t="inlineStr">
        <is>
          <t>KF-M02S-B3</t>
        </is>
      </c>
      <c r="G864" s="16" t="inlineStr">
        <is>
          <t>B05-B3</t>
        </is>
      </c>
      <c r="H864" s="16" t="inlineStr">
        <is>
          <t>biseccion</t>
        </is>
      </c>
      <c r="I864" s="16" t="inlineStr">
        <is>
          <t>CORREGIBLE</t>
        </is>
      </c>
      <c r="J864" s="16" t="inlineStr">
        <is>
          <t>CORREGIBLE</t>
        </is>
      </c>
      <c r="K864" s="16" t="b">
        <v>1</v>
      </c>
      <c r="L864" s="16" t="b">
        <v>0</v>
      </c>
      <c r="M864" s="16" t="b">
        <v>1</v>
      </c>
      <c r="N864" s="16" t="b">
        <v>0</v>
      </c>
      <c r="O864" s="16" t="n">
        <v>623.15</v>
      </c>
      <c r="P864" s="16" t="n">
        <v>283.15</v>
      </c>
      <c r="Q864" s="16" t="n">
        <v>3000</v>
      </c>
      <c r="R864" s="16" t="n">
        <v>843.75</v>
      </c>
      <c r="S864" s="16" t="n">
        <v>0.5</v>
      </c>
      <c r="T864" s="16" t="n">
        <v>0.85</v>
      </c>
      <c r="U864" s="16" t="n">
        <v>0.75</v>
      </c>
      <c r="V864" s="16" t="n">
        <v>0.4</v>
      </c>
      <c r="W864" s="16" t="n">
        <v>0.75</v>
      </c>
      <c r="X864" s="16" t="n">
        <v>0.8</v>
      </c>
      <c r="Y864" s="16" t="n">
        <v>283.15</v>
      </c>
      <c r="Z864" s="16" t="n">
        <v>9.037688292980391</v>
      </c>
      <c r="AA864" s="16" t="n">
        <v>86.44194169636614</v>
      </c>
      <c r="AB864" s="16" t="n">
        <v>2156.25</v>
      </c>
      <c r="AC864" s="16" t="n">
        <v>3.555555555555556</v>
      </c>
      <c r="AD864" s="16" t="inlineStr">
        <is>
          <t>O2</t>
        </is>
      </c>
      <c r="AE864" s="16" t="n"/>
    </row>
    <row r="865">
      <c r="A865" s="16" t="inlineStr">
        <is>
          <t>KF-M02S-B3-0074</t>
        </is>
      </c>
      <c r="B865" s="16" t="inlineStr">
        <is>
          <t>2.4</t>
        </is>
      </c>
      <c r="C865" s="16" t="inlineStr">
        <is>
          <t>2.4c</t>
        </is>
      </c>
      <c r="D865" s="16" t="inlineStr">
        <is>
          <t>ε_HRVG = 0.40 (fuente del profesor)</t>
        </is>
      </c>
      <c r="E865" s="16" t="inlineStr">
        <is>
          <t>KF-M02S</t>
        </is>
      </c>
      <c r="F865" s="16" t="inlineStr">
        <is>
          <t>KF-M02S-B3</t>
        </is>
      </c>
      <c r="G865" s="16" t="inlineStr">
        <is>
          <t>B05-B3</t>
        </is>
      </c>
      <c r="H865" s="16" t="inlineStr">
        <is>
          <t>biseccion</t>
        </is>
      </c>
      <c r="I865" s="16" t="inlineStr">
        <is>
          <t>KALINA</t>
        </is>
      </c>
      <c r="J865" s="16" t="inlineStr">
        <is>
          <t>KALINA</t>
        </is>
      </c>
      <c r="K865" s="16" t="b">
        <v>1</v>
      </c>
      <c r="L865" s="16" t="b">
        <v>0</v>
      </c>
      <c r="M865" s="16" t="b">
        <v>1</v>
      </c>
      <c r="N865" s="16" t="b">
        <v>0</v>
      </c>
      <c r="O865" s="16" t="n">
        <v>623.15</v>
      </c>
      <c r="P865" s="16" t="n">
        <v>288.15</v>
      </c>
      <c r="Q865" s="16" t="n">
        <v>3000</v>
      </c>
      <c r="R865" s="16" t="n">
        <v>993.75</v>
      </c>
      <c r="S865" s="16" t="n">
        <v>0.5</v>
      </c>
      <c r="T865" s="16" t="n">
        <v>0.85</v>
      </c>
      <c r="U865" s="16" t="n">
        <v>0.75</v>
      </c>
      <c r="V865" s="16" t="n">
        <v>0.4</v>
      </c>
      <c r="W865" s="16" t="n">
        <v>0.75</v>
      </c>
      <c r="X865" s="16" t="n">
        <v>0.8</v>
      </c>
      <c r="Y865" s="16" t="n">
        <v>288.15</v>
      </c>
      <c r="Z865" s="16" t="n">
        <v>8.043546001888121</v>
      </c>
      <c r="AA865" s="16" t="n">
        <v>76.47712898036526</v>
      </c>
      <c r="AB865" s="16" t="n">
        <v>2006.25</v>
      </c>
      <c r="AC865" s="16" t="n">
        <v>3.018867924528302</v>
      </c>
      <c r="AD865" s="16" t="n"/>
      <c r="AE865" s="16" t="n"/>
    </row>
    <row r="866">
      <c r="A866" s="16" t="inlineStr">
        <is>
          <t>KF-M02S-B3-0075</t>
        </is>
      </c>
      <c r="B866" s="16" t="inlineStr">
        <is>
          <t>2.4</t>
        </is>
      </c>
      <c r="C866" s="16" t="inlineStr">
        <is>
          <t>2.4c</t>
        </is>
      </c>
      <c r="D866" s="16" t="inlineStr">
        <is>
          <t>ε_HRVG = 0.40 (fuente del profesor)</t>
        </is>
      </c>
      <c r="E866" s="16" t="inlineStr">
        <is>
          <t>KF-M02S</t>
        </is>
      </c>
      <c r="F866" s="16" t="inlineStr">
        <is>
          <t>KF-M02S-B3</t>
        </is>
      </c>
      <c r="G866" s="16" t="inlineStr">
        <is>
          <t>B05-B3</t>
        </is>
      </c>
      <c r="H866" s="16" t="inlineStr">
        <is>
          <t>biseccion</t>
        </is>
      </c>
      <c r="I866" s="16" t="inlineStr">
        <is>
          <t>KALINA</t>
        </is>
      </c>
      <c r="J866" s="16" t="inlineStr">
        <is>
          <t>KALINA</t>
        </is>
      </c>
      <c r="K866" s="16" t="b">
        <v>1</v>
      </c>
      <c r="L866" s="16" t="b">
        <v>0</v>
      </c>
      <c r="M866" s="16" t="b">
        <v>1</v>
      </c>
      <c r="N866" s="16" t="b">
        <v>0</v>
      </c>
      <c r="O866" s="16" t="n">
        <v>623.15</v>
      </c>
      <c r="P866" s="16" t="n">
        <v>288.15</v>
      </c>
      <c r="Q866" s="16" t="n">
        <v>3000</v>
      </c>
      <c r="R866" s="16" t="n">
        <v>993.75</v>
      </c>
      <c r="S866" s="16" t="n">
        <v>0.5</v>
      </c>
      <c r="T866" s="16" t="n">
        <v>0.85</v>
      </c>
      <c r="U866" s="16" t="n">
        <v>0.75</v>
      </c>
      <c r="V866" s="16" t="n">
        <v>0.4</v>
      </c>
      <c r="W866" s="16" t="n">
        <v>0.75</v>
      </c>
      <c r="X866" s="16" t="n">
        <v>0.8</v>
      </c>
      <c r="Y866" s="16" t="n">
        <v>288.15</v>
      </c>
      <c r="Z866" s="16" t="n">
        <v>8.043546001888121</v>
      </c>
      <c r="AA866" s="16" t="n">
        <v>76.47712898036526</v>
      </c>
      <c r="AB866" s="16" t="n">
        <v>2006.25</v>
      </c>
      <c r="AC866" s="16" t="n">
        <v>3.018867924528302</v>
      </c>
      <c r="AD866" s="16" t="n"/>
      <c r="AE866" s="16" t="n"/>
    </row>
    <row r="867">
      <c r="A867" s="16" t="inlineStr">
        <is>
          <t>KF-M02S-B3-0076</t>
        </is>
      </c>
      <c r="B867" s="16" t="inlineStr">
        <is>
          <t>2.4</t>
        </is>
      </c>
      <c r="C867" s="16" t="inlineStr">
        <is>
          <t>2.4c</t>
        </is>
      </c>
      <c r="D867" s="16" t="inlineStr">
        <is>
          <t>ε_HRVG = 0.40 (fuente del profesor)</t>
        </is>
      </c>
      <c r="E867" s="16" t="inlineStr">
        <is>
          <t>KF-M02S</t>
        </is>
      </c>
      <c r="F867" s="16" t="inlineStr">
        <is>
          <t>KF-M02S-B3</t>
        </is>
      </c>
      <c r="G867" s="16" t="inlineStr">
        <is>
          <t>B05-B3</t>
        </is>
      </c>
      <c r="H867" s="16" t="inlineStr">
        <is>
          <t>biseccion</t>
        </is>
      </c>
      <c r="I867" s="16" t="inlineStr">
        <is>
          <t>CORREGIBLE</t>
        </is>
      </c>
      <c r="J867" s="16" t="inlineStr">
        <is>
          <t>CORREGIBLE</t>
        </is>
      </c>
      <c r="K867" s="16" t="b">
        <v>1</v>
      </c>
      <c r="L867" s="16" t="b">
        <v>0</v>
      </c>
      <c r="M867" s="16" t="b">
        <v>1</v>
      </c>
      <c r="N867" s="16" t="b">
        <v>0</v>
      </c>
      <c r="O867" s="16" t="n">
        <v>623.15</v>
      </c>
      <c r="P867" s="16" t="n">
        <v>293.15</v>
      </c>
      <c r="Q867" s="16" t="n">
        <v>3000</v>
      </c>
      <c r="R867" s="16" t="n">
        <v>1106.25</v>
      </c>
      <c r="S867" s="16" t="n">
        <v>0.5</v>
      </c>
      <c r="T867" s="16" t="n">
        <v>0.85</v>
      </c>
      <c r="U867" s="16" t="n">
        <v>0.75</v>
      </c>
      <c r="V867" s="16" t="n">
        <v>0.4</v>
      </c>
      <c r="W867" s="16" t="n">
        <v>0.75</v>
      </c>
      <c r="X867" s="16" t="n">
        <v>0.8</v>
      </c>
      <c r="Y867" s="16" t="n">
        <v>293.15</v>
      </c>
      <c r="Z867" s="16" t="n">
        <v>7.40199616947115</v>
      </c>
      <c r="AA867" s="16" t="n">
        <v>69.96606597275012</v>
      </c>
      <c r="AB867" s="16" t="n">
        <v>1893.75</v>
      </c>
      <c r="AC867" s="16" t="n">
        <v>2.711864406779661</v>
      </c>
      <c r="AD867" s="16" t="inlineStr">
        <is>
          <t>O2</t>
        </is>
      </c>
      <c r="AE867" s="16" t="n"/>
    </row>
    <row r="868">
      <c r="A868" s="16" t="inlineStr">
        <is>
          <t>KF-M02S-B3-0077</t>
        </is>
      </c>
      <c r="B868" s="16" t="inlineStr">
        <is>
          <t>2.4</t>
        </is>
      </c>
      <c r="C868" s="16" t="inlineStr">
        <is>
          <t>2.4c</t>
        </is>
      </c>
      <c r="D868" s="16" t="inlineStr">
        <is>
          <t>ε_HRVG = 0.40 (fuente del profesor)</t>
        </is>
      </c>
      <c r="E868" s="16" t="inlineStr">
        <is>
          <t>KF-M02S</t>
        </is>
      </c>
      <c r="F868" s="16" t="inlineStr">
        <is>
          <t>KF-M02S-B3</t>
        </is>
      </c>
      <c r="G868" s="16" t="inlineStr">
        <is>
          <t>B05-B3</t>
        </is>
      </c>
      <c r="H868" s="16" t="inlineStr">
        <is>
          <t>biseccion</t>
        </is>
      </c>
      <c r="I868" s="16" t="inlineStr">
        <is>
          <t>CORREGIBLE</t>
        </is>
      </c>
      <c r="J868" s="16" t="inlineStr">
        <is>
          <t>CORREGIBLE</t>
        </is>
      </c>
      <c r="K868" s="16" t="b">
        <v>1</v>
      </c>
      <c r="L868" s="16" t="b">
        <v>0</v>
      </c>
      <c r="M868" s="16" t="b">
        <v>1</v>
      </c>
      <c r="N868" s="16" t="b">
        <v>0</v>
      </c>
      <c r="O868" s="16" t="n">
        <v>623.15</v>
      </c>
      <c r="P868" s="16" t="n">
        <v>300.032917</v>
      </c>
      <c r="Q868" s="16" t="n">
        <v>3000</v>
      </c>
      <c r="R868" s="16" t="n">
        <v>1293.75</v>
      </c>
      <c r="S868" s="16" t="n">
        <v>0.5</v>
      </c>
      <c r="T868" s="16" t="n">
        <v>0.85</v>
      </c>
      <c r="U868" s="16" t="n">
        <v>0.75</v>
      </c>
      <c r="V868" s="16" t="n">
        <v>0.4</v>
      </c>
      <c r="W868" s="16" t="n">
        <v>0.75</v>
      </c>
      <c r="X868" s="16" t="n">
        <v>0.8</v>
      </c>
      <c r="Y868" s="16" t="n">
        <v>300.032917</v>
      </c>
      <c r="Z868" s="16" t="n">
        <v>6.408010104336791</v>
      </c>
      <c r="AA868" s="16" t="n">
        <v>60.07005961257376</v>
      </c>
      <c r="AB868" s="16" t="n">
        <v>1706.25</v>
      </c>
      <c r="AC868" s="16" t="n">
        <v>2.318840579710145</v>
      </c>
      <c r="AD868" s="16" t="inlineStr">
        <is>
          <t>O2</t>
        </is>
      </c>
      <c r="AE868" s="16" t="n"/>
    </row>
    <row r="869">
      <c r="A869" s="16" t="inlineStr">
        <is>
          <t>KF-M02S-B3-0078</t>
        </is>
      </c>
      <c r="B869" s="16" t="inlineStr">
        <is>
          <t>2.4</t>
        </is>
      </c>
      <c r="C869" s="16" t="inlineStr">
        <is>
          <t>2.4c</t>
        </is>
      </c>
      <c r="D869" s="16" t="inlineStr">
        <is>
          <t>ε_HRVG = 0.40 (fuente del profesor)</t>
        </is>
      </c>
      <c r="E869" s="16" t="inlineStr">
        <is>
          <t>KF-M02S</t>
        </is>
      </c>
      <c r="F869" s="16" t="inlineStr">
        <is>
          <t>KF-M02S-B3</t>
        </is>
      </c>
      <c r="G869" s="16" t="inlineStr">
        <is>
          <t>B05-B3</t>
        </is>
      </c>
      <c r="H869" s="16" t="inlineStr">
        <is>
          <t>biseccion</t>
        </is>
      </c>
      <c r="I869" s="16" t="inlineStr">
        <is>
          <t>CORREGIBLE</t>
        </is>
      </c>
      <c r="J869" s="16" t="inlineStr">
        <is>
          <t>CORREGIBLE</t>
        </is>
      </c>
      <c r="K869" s="16" t="b">
        <v>1</v>
      </c>
      <c r="L869" s="16" t="b">
        <v>0</v>
      </c>
      <c r="M869" s="16" t="b">
        <v>1</v>
      </c>
      <c r="N869" s="16" t="b">
        <v>0</v>
      </c>
      <c r="O869" s="16" t="n">
        <v>623.15</v>
      </c>
      <c r="P869" s="16" t="n">
        <v>293.15</v>
      </c>
      <c r="Q869" s="16" t="n">
        <v>3000</v>
      </c>
      <c r="R869" s="16" t="n">
        <v>1106.25</v>
      </c>
      <c r="S869" s="16" t="n">
        <v>0.5</v>
      </c>
      <c r="T869" s="16" t="n">
        <v>0.85</v>
      </c>
      <c r="U869" s="16" t="n">
        <v>0.75</v>
      </c>
      <c r="V869" s="16" t="n">
        <v>0.4</v>
      </c>
      <c r="W869" s="16" t="n">
        <v>0.75</v>
      </c>
      <c r="X869" s="16" t="n">
        <v>0.8</v>
      </c>
      <c r="Y869" s="16" t="n">
        <v>293.15</v>
      </c>
      <c r="Z869" s="16" t="n">
        <v>7.40199616947115</v>
      </c>
      <c r="AA869" s="16" t="n">
        <v>69.96606597275012</v>
      </c>
      <c r="AB869" s="16" t="n">
        <v>1893.75</v>
      </c>
      <c r="AC869" s="16" t="n">
        <v>2.711864406779661</v>
      </c>
      <c r="AD869" s="16" t="inlineStr">
        <is>
          <t>O2</t>
        </is>
      </c>
      <c r="AE869" s="16" t="n"/>
    </row>
    <row r="870">
      <c r="A870" s="16" t="inlineStr">
        <is>
          <t>KF-M02S-B3-0079</t>
        </is>
      </c>
      <c r="B870" s="16" t="inlineStr">
        <is>
          <t>2.4</t>
        </is>
      </c>
      <c r="C870" s="16" t="inlineStr">
        <is>
          <t>2.4c</t>
        </is>
      </c>
      <c r="D870" s="16" t="inlineStr">
        <is>
          <t>ε_HRVG = 0.40 (fuente del profesor)</t>
        </is>
      </c>
      <c r="E870" s="16" t="inlineStr">
        <is>
          <t>KF-M02S</t>
        </is>
      </c>
      <c r="F870" s="16" t="inlineStr">
        <is>
          <t>KF-M02S-B3</t>
        </is>
      </c>
      <c r="G870" s="16" t="inlineStr">
        <is>
          <t>B05-B3</t>
        </is>
      </c>
      <c r="H870" s="16" t="inlineStr">
        <is>
          <t>biseccion</t>
        </is>
      </c>
      <c r="I870" s="16" t="inlineStr">
        <is>
          <t>CORREGIBLE</t>
        </is>
      </c>
      <c r="J870" s="16" t="inlineStr">
        <is>
          <t>CORREGIBLE</t>
        </is>
      </c>
      <c r="K870" s="16" t="b">
        <v>1</v>
      </c>
      <c r="L870" s="16" t="b">
        <v>0</v>
      </c>
      <c r="M870" s="16" t="b">
        <v>1</v>
      </c>
      <c r="N870" s="16" t="b">
        <v>0</v>
      </c>
      <c r="O870" s="16" t="n">
        <v>623.15</v>
      </c>
      <c r="P870" s="16" t="n">
        <v>300.032917</v>
      </c>
      <c r="Q870" s="16" t="n">
        <v>3000</v>
      </c>
      <c r="R870" s="16" t="n">
        <v>1293.75</v>
      </c>
      <c r="S870" s="16" t="n">
        <v>0.5</v>
      </c>
      <c r="T870" s="16" t="n">
        <v>0.85</v>
      </c>
      <c r="U870" s="16" t="n">
        <v>0.75</v>
      </c>
      <c r="V870" s="16" t="n">
        <v>0.4</v>
      </c>
      <c r="W870" s="16" t="n">
        <v>0.75</v>
      </c>
      <c r="X870" s="16" t="n">
        <v>0.8</v>
      </c>
      <c r="Y870" s="16" t="n">
        <v>300.032917</v>
      </c>
      <c r="Z870" s="16" t="n">
        <v>6.408010104336791</v>
      </c>
      <c r="AA870" s="16" t="n">
        <v>60.07005961257376</v>
      </c>
      <c r="AB870" s="16" t="n">
        <v>1706.25</v>
      </c>
      <c r="AC870" s="16" t="n">
        <v>2.318840579710145</v>
      </c>
      <c r="AD870" s="16" t="inlineStr">
        <is>
          <t>O2</t>
        </is>
      </c>
      <c r="AE870" s="16" t="n"/>
    </row>
    <row r="871">
      <c r="A871" s="16" t="inlineStr">
        <is>
          <t>KF-M02S-B1-0080</t>
        </is>
      </c>
      <c r="B871" s="16" t="inlineStr">
        <is>
          <t>2.4</t>
        </is>
      </c>
      <c r="C871" s="16" t="inlineStr">
        <is>
          <t>2.4a</t>
        </is>
      </c>
      <c r="D871" s="16" t="inlineStr">
        <is>
          <t>fuente a 403 K</t>
        </is>
      </c>
      <c r="E871" s="16" t="inlineStr">
        <is>
          <t>KF-M02S</t>
        </is>
      </c>
      <c r="F871" s="16" t="inlineStr">
        <is>
          <t>KF-M02S-B1</t>
        </is>
      </c>
      <c r="G871" s="16" t="inlineStr">
        <is>
          <t>B05-B1</t>
        </is>
      </c>
      <c r="H871" s="16" t="inlineStr">
        <is>
          <t>biseccion</t>
        </is>
      </c>
      <c r="I871" s="16" t="inlineStr">
        <is>
          <t>CORREGIBLE</t>
        </is>
      </c>
      <c r="J871" s="16" t="inlineStr">
        <is>
          <t>CORREGIBLE</t>
        </is>
      </c>
      <c r="K871" s="16" t="b">
        <v>1</v>
      </c>
      <c r="L871" s="16" t="b">
        <v>0</v>
      </c>
      <c r="M871" s="16" t="b">
        <v>0</v>
      </c>
      <c r="N871" s="16" t="b">
        <v>0</v>
      </c>
      <c r="O871" s="16" t="n">
        <v>403</v>
      </c>
      <c r="P871" s="16" t="n">
        <v>288.15</v>
      </c>
      <c r="Q871" s="16" t="n">
        <v>3000</v>
      </c>
      <c r="R871" s="16" t="n">
        <v>384.375</v>
      </c>
      <c r="S871" s="16" t="n">
        <v>0.5</v>
      </c>
      <c r="T871" s="16" t="n">
        <v>0.85</v>
      </c>
      <c r="U871" s="16" t="n">
        <v>0.75</v>
      </c>
      <c r="V871" s="16" t="n">
        <v>0.85</v>
      </c>
      <c r="W871" s="16" t="n">
        <v>0.75</v>
      </c>
      <c r="X871" s="16" t="n">
        <v>0.8</v>
      </c>
      <c r="Y871" s="16" t="n">
        <v>288.15</v>
      </c>
      <c r="Z871" s="16" t="n">
        <v>9.71299299102539</v>
      </c>
      <c r="AA871" s="16" t="n">
        <v>31.27031981834736</v>
      </c>
      <c r="AB871" s="16" t="n">
        <v>2615.625</v>
      </c>
      <c r="AC871" s="16" t="n">
        <v>7.804878048780488</v>
      </c>
      <c r="AD871" s="16" t="inlineStr">
        <is>
          <t>O2</t>
        </is>
      </c>
      <c r="AE871" s="16" t="n"/>
    </row>
    <row r="872">
      <c r="A872" s="16" t="inlineStr">
        <is>
          <t>KF-M02S-B1-0081</t>
        </is>
      </c>
      <c r="B872" s="16" t="inlineStr">
        <is>
          <t>2.4</t>
        </is>
      </c>
      <c r="C872" s="16" t="inlineStr">
        <is>
          <t>2.4a</t>
        </is>
      </c>
      <c r="D872" s="16" t="inlineStr">
        <is>
          <t>fuente a 403 K</t>
        </is>
      </c>
      <c r="E872" s="16" t="inlineStr">
        <is>
          <t>KF-M02S</t>
        </is>
      </c>
      <c r="F872" s="16" t="inlineStr">
        <is>
          <t>KF-M02S-B1</t>
        </is>
      </c>
      <c r="G872" s="16" t="inlineStr">
        <is>
          <t>B05-B1</t>
        </is>
      </c>
      <c r="H872" s="16" t="inlineStr">
        <is>
          <t>biseccion</t>
        </is>
      </c>
      <c r="I872" s="16" t="inlineStr">
        <is>
          <t>CORREGIBLE</t>
        </is>
      </c>
      <c r="J872" s="16" t="inlineStr">
        <is>
          <t>CORREGIBLE</t>
        </is>
      </c>
      <c r="K872" s="16" t="b">
        <v>1</v>
      </c>
      <c r="L872" s="16" t="b">
        <v>0</v>
      </c>
      <c r="M872" s="16" t="b">
        <v>0</v>
      </c>
      <c r="N872" s="16" t="b">
        <v>0</v>
      </c>
      <c r="O872" s="16" t="n">
        <v>403</v>
      </c>
      <c r="P872" s="16" t="n">
        <v>283.15</v>
      </c>
      <c r="Q872" s="16" t="n">
        <v>3000</v>
      </c>
      <c r="R872" s="16" t="n">
        <v>328.125</v>
      </c>
      <c r="S872" s="16" t="n">
        <v>0.5</v>
      </c>
      <c r="T872" s="16" t="n">
        <v>0.85</v>
      </c>
      <c r="U872" s="16" t="n">
        <v>0.75</v>
      </c>
      <c r="V872" s="16" t="n">
        <v>0.85</v>
      </c>
      <c r="W872" s="16" t="n">
        <v>0.75</v>
      </c>
      <c r="X872" s="16" t="n">
        <v>0.8</v>
      </c>
      <c r="Y872" s="16" t="n">
        <v>283.15</v>
      </c>
      <c r="Z872" s="16" t="n">
        <v>10.15345080197827</v>
      </c>
      <c r="AA872" s="16" t="n">
        <v>33.36764105716199</v>
      </c>
      <c r="AB872" s="16" t="n">
        <v>2671.875</v>
      </c>
      <c r="AC872" s="16" t="n">
        <v>9.142857142857142</v>
      </c>
      <c r="AD872" s="16" t="inlineStr">
        <is>
          <t>O2</t>
        </is>
      </c>
      <c r="AE872" s="16" t="n"/>
    </row>
    <row r="873">
      <c r="A873" s="16" t="inlineStr">
        <is>
          <t>KF-M02S-B1-0082</t>
        </is>
      </c>
      <c r="B873" s="16" t="inlineStr">
        <is>
          <t>2.4</t>
        </is>
      </c>
      <c r="C873" s="16" t="inlineStr">
        <is>
          <t>2.4a</t>
        </is>
      </c>
      <c r="D873" s="16" t="inlineStr">
        <is>
          <t>fuente a 403 K</t>
        </is>
      </c>
      <c r="E873" s="16" t="inlineStr">
        <is>
          <t>KF-M02S</t>
        </is>
      </c>
      <c r="F873" s="16" t="inlineStr">
        <is>
          <t>KF-M02S-B1</t>
        </is>
      </c>
      <c r="G873" s="16" t="inlineStr">
        <is>
          <t>B05-B1</t>
        </is>
      </c>
      <c r="H873" s="16" t="inlineStr">
        <is>
          <t>biseccion</t>
        </is>
      </c>
      <c r="I873" s="16" t="inlineStr">
        <is>
          <t>CORREGIBLE</t>
        </is>
      </c>
      <c r="J873" s="16" t="inlineStr">
        <is>
          <t>CORREGIBLE</t>
        </is>
      </c>
      <c r="K873" s="16" t="b">
        <v>1</v>
      </c>
      <c r="L873" s="16" t="b">
        <v>0</v>
      </c>
      <c r="M873" s="16" t="b">
        <v>0</v>
      </c>
      <c r="N873" s="16" t="b">
        <v>0</v>
      </c>
      <c r="O873" s="16" t="n">
        <v>403</v>
      </c>
      <c r="P873" s="16" t="n">
        <v>283.15</v>
      </c>
      <c r="Q873" s="16" t="n">
        <v>3000</v>
      </c>
      <c r="R873" s="16" t="n">
        <v>328.125</v>
      </c>
      <c r="S873" s="16" t="n">
        <v>0.5</v>
      </c>
      <c r="T873" s="16" t="n">
        <v>0.85</v>
      </c>
      <c r="U873" s="16" t="n">
        <v>0.75</v>
      </c>
      <c r="V873" s="16" t="n">
        <v>0.85</v>
      </c>
      <c r="W873" s="16" t="n">
        <v>0.75</v>
      </c>
      <c r="X873" s="16" t="n">
        <v>0.8</v>
      </c>
      <c r="Y873" s="16" t="n">
        <v>283.15</v>
      </c>
      <c r="Z873" s="16" t="n">
        <v>10.15345080197827</v>
      </c>
      <c r="AA873" s="16" t="n">
        <v>33.36764105716199</v>
      </c>
      <c r="AB873" s="16" t="n">
        <v>2671.875</v>
      </c>
      <c r="AC873" s="16" t="n">
        <v>9.142857142857142</v>
      </c>
      <c r="AD873" s="16" t="inlineStr">
        <is>
          <t>O2</t>
        </is>
      </c>
      <c r="AE873" s="16" t="n"/>
    </row>
    <row r="874">
      <c r="A874" s="16" t="inlineStr">
        <is>
          <t>KF-M02S-B1-0083</t>
        </is>
      </c>
      <c r="B874" s="16" t="inlineStr">
        <is>
          <t>2.4</t>
        </is>
      </c>
      <c r="C874" s="16" t="inlineStr">
        <is>
          <t>2.4a</t>
        </is>
      </c>
      <c r="D874" s="16" t="inlineStr">
        <is>
          <t>fuente a 403 K</t>
        </is>
      </c>
      <c r="E874" s="16" t="inlineStr">
        <is>
          <t>KF-M02S</t>
        </is>
      </c>
      <c r="F874" s="16" t="inlineStr">
        <is>
          <t>KF-M02S-B1</t>
        </is>
      </c>
      <c r="G874" s="16" t="inlineStr">
        <is>
          <t>B05-B1</t>
        </is>
      </c>
      <c r="H874" s="16" t="inlineStr">
        <is>
          <t>biseccion</t>
        </is>
      </c>
      <c r="I874" s="16" t="inlineStr">
        <is>
          <t>KALINA</t>
        </is>
      </c>
      <c r="J874" s="16" t="inlineStr">
        <is>
          <t>KALINA</t>
        </is>
      </c>
      <c r="K874" s="16" t="b">
        <v>1</v>
      </c>
      <c r="L874" s="16" t="b">
        <v>1</v>
      </c>
      <c r="M874" s="16" t="b">
        <v>0</v>
      </c>
      <c r="N874" s="16" t="b">
        <v>0</v>
      </c>
      <c r="O874" s="16" t="n">
        <v>403</v>
      </c>
      <c r="P874" s="16" t="n">
        <v>278.15</v>
      </c>
      <c r="Q874" s="16" t="n">
        <v>3000</v>
      </c>
      <c r="R874" s="16" t="n">
        <v>290.625</v>
      </c>
      <c r="S874" s="16" t="n">
        <v>0.5</v>
      </c>
      <c r="T874" s="16" t="n">
        <v>0.85</v>
      </c>
      <c r="U874" s="16" t="n">
        <v>0.75</v>
      </c>
      <c r="V874" s="16" t="n">
        <v>0.85</v>
      </c>
      <c r="W874" s="16" t="n">
        <v>0.75</v>
      </c>
      <c r="X874" s="16" t="n">
        <v>0.8</v>
      </c>
      <c r="Y874" s="16" t="n">
        <v>278.15</v>
      </c>
      <c r="Z874" s="16" t="n">
        <v>10.40861607895899</v>
      </c>
      <c r="AA874" s="16" t="n">
        <v>34.89404219106095</v>
      </c>
      <c r="AB874" s="16" t="n">
        <v>2709.375</v>
      </c>
      <c r="AC874" s="16" t="n">
        <v>10.32258064516129</v>
      </c>
      <c r="AD874" s="16" t="n"/>
      <c r="AE874" s="16" t="n"/>
    </row>
    <row r="875">
      <c r="A875" s="16" t="inlineStr">
        <is>
          <t>KF-M02S-B1-0084</t>
        </is>
      </c>
      <c r="B875" s="16" t="inlineStr">
        <is>
          <t>2.4</t>
        </is>
      </c>
      <c r="C875" s="16" t="inlineStr">
        <is>
          <t>2.4a</t>
        </is>
      </c>
      <c r="D875" s="16" t="inlineStr">
        <is>
          <t>fuente a 403 K</t>
        </is>
      </c>
      <c r="E875" s="16" t="inlineStr">
        <is>
          <t>KF-M02S</t>
        </is>
      </c>
      <c r="F875" s="16" t="inlineStr">
        <is>
          <t>KF-M02S-B1</t>
        </is>
      </c>
      <c r="G875" s="16" t="inlineStr">
        <is>
          <t>B05-B1</t>
        </is>
      </c>
      <c r="H875" s="16" t="inlineStr">
        <is>
          <t>biseccion</t>
        </is>
      </c>
      <c r="I875" s="16" t="inlineStr">
        <is>
          <t>KALINA</t>
        </is>
      </c>
      <c r="J875" s="16" t="inlineStr">
        <is>
          <t>KALINA</t>
        </is>
      </c>
      <c r="K875" s="16" t="b">
        <v>1</v>
      </c>
      <c r="L875" s="16" t="b">
        <v>1</v>
      </c>
      <c r="M875" s="16" t="b">
        <v>0</v>
      </c>
      <c r="N875" s="16" t="b">
        <v>0</v>
      </c>
      <c r="O875" s="16" t="n">
        <v>403</v>
      </c>
      <c r="P875" s="16" t="n">
        <v>278.15</v>
      </c>
      <c r="Q875" s="16" t="n">
        <v>3000</v>
      </c>
      <c r="R875" s="16" t="n">
        <v>290.625</v>
      </c>
      <c r="S875" s="16" t="n">
        <v>0.5</v>
      </c>
      <c r="T875" s="16" t="n">
        <v>0.85</v>
      </c>
      <c r="U875" s="16" t="n">
        <v>0.75</v>
      </c>
      <c r="V875" s="16" t="n">
        <v>0.85</v>
      </c>
      <c r="W875" s="16" t="n">
        <v>0.75</v>
      </c>
      <c r="X875" s="16" t="n">
        <v>0.8</v>
      </c>
      <c r="Y875" s="16" t="n">
        <v>278.15</v>
      </c>
      <c r="Z875" s="16" t="n">
        <v>10.40861607895899</v>
      </c>
      <c r="AA875" s="16" t="n">
        <v>34.89404219106095</v>
      </c>
      <c r="AB875" s="16" t="n">
        <v>2709.375</v>
      </c>
      <c r="AC875" s="16" t="n">
        <v>10.32258064516129</v>
      </c>
      <c r="AD875" s="16" t="n"/>
      <c r="AE875" s="16" t="n"/>
    </row>
    <row r="876">
      <c r="A876" s="16" t="inlineStr">
        <is>
          <t>KF-M02S-B1-0085</t>
        </is>
      </c>
      <c r="B876" s="16" t="inlineStr">
        <is>
          <t>2.4</t>
        </is>
      </c>
      <c r="C876" s="16" t="inlineStr">
        <is>
          <t>2.4a</t>
        </is>
      </c>
      <c r="D876" s="16" t="inlineStr">
        <is>
          <t>fuente a 403 K</t>
        </is>
      </c>
      <c r="E876" s="16" t="inlineStr">
        <is>
          <t>KF-M02S</t>
        </is>
      </c>
      <c r="F876" s="16" t="inlineStr">
        <is>
          <t>KF-M02S-B1</t>
        </is>
      </c>
      <c r="G876" s="16" t="inlineStr">
        <is>
          <t>B05-B1</t>
        </is>
      </c>
      <c r="H876" s="16" t="inlineStr">
        <is>
          <t>biseccion</t>
        </is>
      </c>
      <c r="I876" s="16" t="inlineStr">
        <is>
          <t>CORREGIBLE</t>
        </is>
      </c>
      <c r="J876" s="16" t="inlineStr">
        <is>
          <t>CORREGIBLE</t>
        </is>
      </c>
      <c r="K876" s="16" t="b">
        <v>1</v>
      </c>
      <c r="L876" s="16" t="b">
        <v>0</v>
      </c>
      <c r="M876" s="16" t="b">
        <v>0</v>
      </c>
      <c r="N876" s="16" t="b">
        <v>0</v>
      </c>
      <c r="O876" s="16" t="n">
        <v>403</v>
      </c>
      <c r="P876" s="16" t="n">
        <v>288.15</v>
      </c>
      <c r="Q876" s="16" t="n">
        <v>3000</v>
      </c>
      <c r="R876" s="16" t="n">
        <v>384.375</v>
      </c>
      <c r="S876" s="16" t="n">
        <v>0.5</v>
      </c>
      <c r="T876" s="16" t="n">
        <v>0.85</v>
      </c>
      <c r="U876" s="16" t="n">
        <v>0.75</v>
      </c>
      <c r="V876" s="16" t="n">
        <v>0.85</v>
      </c>
      <c r="W876" s="16" t="n">
        <v>0.75</v>
      </c>
      <c r="X876" s="16" t="n">
        <v>0.8</v>
      </c>
      <c r="Y876" s="16" t="n">
        <v>288.15</v>
      </c>
      <c r="Z876" s="16" t="n">
        <v>9.71299299102539</v>
      </c>
      <c r="AA876" s="16" t="n">
        <v>31.27031981834736</v>
      </c>
      <c r="AB876" s="16" t="n">
        <v>2615.625</v>
      </c>
      <c r="AC876" s="16" t="n">
        <v>7.804878048780488</v>
      </c>
      <c r="AD876" s="16" t="inlineStr">
        <is>
          <t>O2</t>
        </is>
      </c>
      <c r="AE876" s="16" t="n"/>
    </row>
    <row r="877">
      <c r="A877" s="16" t="inlineStr">
        <is>
          <t>KF-M02S-B1-0086</t>
        </is>
      </c>
      <c r="B877" s="16" t="inlineStr">
        <is>
          <t>2.4</t>
        </is>
      </c>
      <c r="C877" s="16" t="inlineStr">
        <is>
          <t>2.4a</t>
        </is>
      </c>
      <c r="D877" s="16" t="inlineStr">
        <is>
          <t>fuente a 403 K</t>
        </is>
      </c>
      <c r="E877" s="16" t="inlineStr">
        <is>
          <t>KF-M02S</t>
        </is>
      </c>
      <c r="F877" s="16" t="inlineStr">
        <is>
          <t>KF-M02S-B1</t>
        </is>
      </c>
      <c r="G877" s="16" t="inlineStr">
        <is>
          <t>B05-B1</t>
        </is>
      </c>
      <c r="H877" s="16" t="inlineStr">
        <is>
          <t>biseccion</t>
        </is>
      </c>
      <c r="I877" s="16" t="inlineStr">
        <is>
          <t>CORREGIBLE</t>
        </is>
      </c>
      <c r="J877" s="16" t="inlineStr">
        <is>
          <t>CORREGIBLE</t>
        </is>
      </c>
      <c r="K877" s="16" t="b">
        <v>1</v>
      </c>
      <c r="L877" s="16" t="b">
        <v>0</v>
      </c>
      <c r="M877" s="16" t="b">
        <v>0</v>
      </c>
      <c r="N877" s="16" t="b">
        <v>0</v>
      </c>
      <c r="O877" s="16" t="n">
        <v>403</v>
      </c>
      <c r="P877" s="16" t="n">
        <v>300.032917</v>
      </c>
      <c r="Q877" s="16" t="n">
        <v>3000</v>
      </c>
      <c r="R877" s="16" t="n">
        <v>553.125</v>
      </c>
      <c r="S877" s="16" t="n">
        <v>0.5</v>
      </c>
      <c r="T877" s="16" t="n">
        <v>0.85</v>
      </c>
      <c r="U877" s="16" t="n">
        <v>0.75</v>
      </c>
      <c r="V877" s="16" t="n">
        <v>0.85</v>
      </c>
      <c r="W877" s="16" t="n">
        <v>0.75</v>
      </c>
      <c r="X877" s="16" t="n">
        <v>0.8</v>
      </c>
      <c r="Y877" s="16" t="n">
        <v>300.032917</v>
      </c>
      <c r="Z877" s="16" t="n">
        <v>8.57459118386744</v>
      </c>
      <c r="AA877" s="16" t="n">
        <v>26.22692825973288</v>
      </c>
      <c r="AB877" s="16" t="n">
        <v>2446.875</v>
      </c>
      <c r="AC877" s="16" t="n">
        <v>5.423728813559322</v>
      </c>
      <c r="AD877" s="16" t="inlineStr">
        <is>
          <t>O2</t>
        </is>
      </c>
      <c r="AE877" s="16" t="n"/>
    </row>
    <row r="878">
      <c r="A878" s="16" t="inlineStr">
        <is>
          <t>KF-M02S-B1-0087</t>
        </is>
      </c>
      <c r="B878" s="16" t="inlineStr">
        <is>
          <t>2.4</t>
        </is>
      </c>
      <c r="C878" s="16" t="inlineStr">
        <is>
          <t>2.4a</t>
        </is>
      </c>
      <c r="D878" s="16" t="inlineStr">
        <is>
          <t>fuente a 403 K</t>
        </is>
      </c>
      <c r="E878" s="16" t="inlineStr">
        <is>
          <t>KF-M02S</t>
        </is>
      </c>
      <c r="F878" s="16" t="inlineStr">
        <is>
          <t>KF-M02S-B1</t>
        </is>
      </c>
      <c r="G878" s="16" t="inlineStr">
        <is>
          <t>B05-B1</t>
        </is>
      </c>
      <c r="H878" s="16" t="inlineStr">
        <is>
          <t>biseccion</t>
        </is>
      </c>
      <c r="I878" s="16" t="inlineStr">
        <is>
          <t>CORREGIBLE</t>
        </is>
      </c>
      <c r="J878" s="16" t="inlineStr">
        <is>
          <t>CORREGIBLE</t>
        </is>
      </c>
      <c r="K878" s="16" t="b">
        <v>1</v>
      </c>
      <c r="L878" s="16" t="b">
        <v>0</v>
      </c>
      <c r="M878" s="16" t="b">
        <v>0</v>
      </c>
      <c r="N878" s="16" t="b">
        <v>0</v>
      </c>
      <c r="O878" s="16" t="n">
        <v>403</v>
      </c>
      <c r="P878" s="16" t="n">
        <v>300.032917</v>
      </c>
      <c r="Q878" s="16" t="n">
        <v>3000</v>
      </c>
      <c r="R878" s="16" t="n">
        <v>553.125</v>
      </c>
      <c r="S878" s="16" t="n">
        <v>0.5</v>
      </c>
      <c r="T878" s="16" t="n">
        <v>0.85</v>
      </c>
      <c r="U878" s="16" t="n">
        <v>0.75</v>
      </c>
      <c r="V878" s="16" t="n">
        <v>0.85</v>
      </c>
      <c r="W878" s="16" t="n">
        <v>0.75</v>
      </c>
      <c r="X878" s="16" t="n">
        <v>0.8</v>
      </c>
      <c r="Y878" s="16" t="n">
        <v>300.032917</v>
      </c>
      <c r="Z878" s="16" t="n">
        <v>8.57459118386744</v>
      </c>
      <c r="AA878" s="16" t="n">
        <v>26.22692825973288</v>
      </c>
      <c r="AB878" s="16" t="n">
        <v>2446.875</v>
      </c>
      <c r="AC878" s="16" t="n">
        <v>5.423728813559322</v>
      </c>
      <c r="AD878" s="16" t="inlineStr">
        <is>
          <t>O2</t>
        </is>
      </c>
      <c r="AE878" s="16" t="n"/>
    </row>
    <row r="879">
      <c r="A879" s="16" t="inlineStr">
        <is>
          <t>KF-M02S-B1-0088</t>
        </is>
      </c>
      <c r="B879" s="16" t="inlineStr">
        <is>
          <t>2.4</t>
        </is>
      </c>
      <c r="C879" s="16" t="inlineStr">
        <is>
          <t>2.4a</t>
        </is>
      </c>
      <c r="D879" s="16" t="inlineStr">
        <is>
          <t>fuente a 403 K</t>
        </is>
      </c>
      <c r="E879" s="16" t="inlineStr">
        <is>
          <t>KF-M02S</t>
        </is>
      </c>
      <c r="F879" s="16" t="inlineStr">
        <is>
          <t>KF-M02S-B1</t>
        </is>
      </c>
      <c r="G879" s="16" t="inlineStr">
        <is>
          <t>B05-B1</t>
        </is>
      </c>
      <c r="H879" s="16" t="inlineStr">
        <is>
          <t>biseccion</t>
        </is>
      </c>
      <c r="I879" s="16" t="inlineStr">
        <is>
          <t>KALINA</t>
        </is>
      </c>
      <c r="J879" s="16" t="inlineStr">
        <is>
          <t>KALINA</t>
        </is>
      </c>
      <c r="K879" s="16" t="b">
        <v>1</v>
      </c>
      <c r="L879" s="16" t="b">
        <v>1</v>
      </c>
      <c r="M879" s="16" t="b">
        <v>0</v>
      </c>
      <c r="N879" s="16" t="b">
        <v>0</v>
      </c>
      <c r="O879" s="16" t="n">
        <v>403</v>
      </c>
      <c r="P879" s="16" t="n">
        <v>293.15</v>
      </c>
      <c r="Q879" s="16" t="n">
        <v>3000</v>
      </c>
      <c r="R879" s="16" t="n">
        <v>459.375</v>
      </c>
      <c r="S879" s="16" t="n">
        <v>0.5</v>
      </c>
      <c r="T879" s="16" t="n">
        <v>0.85</v>
      </c>
      <c r="U879" s="16" t="n">
        <v>0.75</v>
      </c>
      <c r="V879" s="16" t="n">
        <v>0.85</v>
      </c>
      <c r="W879" s="16" t="n">
        <v>0.75</v>
      </c>
      <c r="X879" s="16" t="n">
        <v>0.8</v>
      </c>
      <c r="Y879" s="16" t="n">
        <v>293.15</v>
      </c>
      <c r="Z879" s="16" t="n">
        <v>9.143077277027931</v>
      </c>
      <c r="AA879" s="16" t="n">
        <v>28.81784144601271</v>
      </c>
      <c r="AB879" s="16" t="n">
        <v>2540.625</v>
      </c>
      <c r="AC879" s="16" t="n">
        <v>6.530612244897959</v>
      </c>
      <c r="AD879" s="16" t="n"/>
      <c r="AE879" s="16" t="n"/>
    </row>
    <row r="880">
      <c r="A880" s="16" t="inlineStr">
        <is>
          <t>KF-M02S-B1-0089</t>
        </is>
      </c>
      <c r="B880" s="16" t="inlineStr">
        <is>
          <t>2.4</t>
        </is>
      </c>
      <c r="C880" s="16" t="inlineStr">
        <is>
          <t>2.4a</t>
        </is>
      </c>
      <c r="D880" s="16" t="inlineStr">
        <is>
          <t>fuente a 403 K</t>
        </is>
      </c>
      <c r="E880" s="16" t="inlineStr">
        <is>
          <t>KF-M02S</t>
        </is>
      </c>
      <c r="F880" s="16" t="inlineStr">
        <is>
          <t>KF-M02S-B1</t>
        </is>
      </c>
      <c r="G880" s="16" t="inlineStr">
        <is>
          <t>B05-B1</t>
        </is>
      </c>
      <c r="H880" s="16" t="inlineStr">
        <is>
          <t>biseccion</t>
        </is>
      </c>
      <c r="I880" s="16" t="inlineStr">
        <is>
          <t>KALINA</t>
        </is>
      </c>
      <c r="J880" s="16" t="inlineStr">
        <is>
          <t>KALINA</t>
        </is>
      </c>
      <c r="K880" s="16" t="b">
        <v>1</v>
      </c>
      <c r="L880" s="16" t="b">
        <v>1</v>
      </c>
      <c r="M880" s="16" t="b">
        <v>0</v>
      </c>
      <c r="N880" s="16" t="b">
        <v>0</v>
      </c>
      <c r="O880" s="16" t="n">
        <v>403</v>
      </c>
      <c r="P880" s="16" t="n">
        <v>293.15</v>
      </c>
      <c r="Q880" s="16" t="n">
        <v>3000</v>
      </c>
      <c r="R880" s="16" t="n">
        <v>459.375</v>
      </c>
      <c r="S880" s="16" t="n">
        <v>0.5</v>
      </c>
      <c r="T880" s="16" t="n">
        <v>0.85</v>
      </c>
      <c r="U880" s="16" t="n">
        <v>0.75</v>
      </c>
      <c r="V880" s="16" t="n">
        <v>0.85</v>
      </c>
      <c r="W880" s="16" t="n">
        <v>0.75</v>
      </c>
      <c r="X880" s="16" t="n">
        <v>0.8</v>
      </c>
      <c r="Y880" s="16" t="n">
        <v>293.15</v>
      </c>
      <c r="Z880" s="16" t="n">
        <v>9.143077277027931</v>
      </c>
      <c r="AA880" s="16" t="n">
        <v>28.81784144601271</v>
      </c>
      <c r="AB880" s="16" t="n">
        <v>2540.625</v>
      </c>
      <c r="AC880" s="16" t="n">
        <v>6.530612244897959</v>
      </c>
      <c r="AD880" s="16" t="n"/>
      <c r="AE880" s="16" t="n"/>
    </row>
    <row r="881">
      <c r="A881" s="16" t="inlineStr">
        <is>
          <t>KF-M02S-B2-0080</t>
        </is>
      </c>
      <c r="B881" s="16" t="inlineStr">
        <is>
          <t>2.4</t>
        </is>
      </c>
      <c r="C881" s="16" t="inlineStr">
        <is>
          <t>2.4b</t>
        </is>
      </c>
      <c r="D881" s="16" t="inlineStr">
        <is>
          <t>fuente a 420 K</t>
        </is>
      </c>
      <c r="E881" s="16" t="inlineStr">
        <is>
          <t>KF-M02S</t>
        </is>
      </c>
      <c r="F881" s="16" t="inlineStr">
        <is>
          <t>KF-M02S-B2</t>
        </is>
      </c>
      <c r="G881" s="16" t="inlineStr">
        <is>
          <t>B05-B2</t>
        </is>
      </c>
      <c r="H881" s="16" t="inlineStr">
        <is>
          <t>biseccion</t>
        </is>
      </c>
      <c r="I881" s="16" t="inlineStr">
        <is>
          <t>CORREGIBLE</t>
        </is>
      </c>
      <c r="J881" s="16" t="inlineStr">
        <is>
          <t>CORREGIBLE</t>
        </is>
      </c>
      <c r="K881" s="16" t="b">
        <v>1</v>
      </c>
      <c r="L881" s="16" t="b">
        <v>0</v>
      </c>
      <c r="M881" s="16" t="b">
        <v>0</v>
      </c>
      <c r="N881" s="16" t="b">
        <v>0</v>
      </c>
      <c r="O881" s="16" t="n">
        <v>420</v>
      </c>
      <c r="P881" s="16" t="n">
        <v>278.15</v>
      </c>
      <c r="Q881" s="16" t="n">
        <v>3000</v>
      </c>
      <c r="R881" s="16" t="n">
        <v>384.375</v>
      </c>
      <c r="S881" s="16" t="n">
        <v>0.5</v>
      </c>
      <c r="T881" s="16" t="n">
        <v>0.85</v>
      </c>
      <c r="U881" s="16" t="n">
        <v>0.75</v>
      </c>
      <c r="V881" s="16" t="n">
        <v>0.85</v>
      </c>
      <c r="W881" s="16" t="n">
        <v>0.75</v>
      </c>
      <c r="X881" s="16" t="n">
        <v>0.8</v>
      </c>
      <c r="Y881" s="16" t="n">
        <v>278.15</v>
      </c>
      <c r="Z881" s="16" t="n">
        <v>12.03693394844753</v>
      </c>
      <c r="AA881" s="16" t="n">
        <v>64.99523417133774</v>
      </c>
      <c r="AB881" s="16" t="n">
        <v>2615.625</v>
      </c>
      <c r="AC881" s="16" t="n">
        <v>7.804878048780488</v>
      </c>
      <c r="AD881" s="16" t="inlineStr">
        <is>
          <t>O2</t>
        </is>
      </c>
      <c r="AE881" s="16" t="n"/>
    </row>
    <row r="882">
      <c r="A882" s="16" t="inlineStr">
        <is>
          <t>KF-M02S-B2-0081</t>
        </is>
      </c>
      <c r="B882" s="16" t="inlineStr">
        <is>
          <t>2.4</t>
        </is>
      </c>
      <c r="C882" s="16" t="inlineStr">
        <is>
          <t>2.4b</t>
        </is>
      </c>
      <c r="D882" s="16" t="inlineStr">
        <is>
          <t>fuente a 420 K</t>
        </is>
      </c>
      <c r="E882" s="16" t="inlineStr">
        <is>
          <t>KF-M02S</t>
        </is>
      </c>
      <c r="F882" s="16" t="inlineStr">
        <is>
          <t>KF-M02S-B2</t>
        </is>
      </c>
      <c r="G882" s="16" t="inlineStr">
        <is>
          <t>B05-B2</t>
        </is>
      </c>
      <c r="H882" s="16" t="inlineStr">
        <is>
          <t>biseccion</t>
        </is>
      </c>
      <c r="I882" s="16" t="inlineStr">
        <is>
          <t>CORREGIBLE</t>
        </is>
      </c>
      <c r="J882" s="16" t="inlineStr">
        <is>
          <t>CORREGIBLE</t>
        </is>
      </c>
      <c r="K882" s="16" t="b">
        <v>1</v>
      </c>
      <c r="L882" s="16" t="b">
        <v>0</v>
      </c>
      <c r="M882" s="16" t="b">
        <v>0</v>
      </c>
      <c r="N882" s="16" t="b">
        <v>0</v>
      </c>
      <c r="O882" s="16" t="n">
        <v>420</v>
      </c>
      <c r="P882" s="16" t="n">
        <v>278.15</v>
      </c>
      <c r="Q882" s="16" t="n">
        <v>3000</v>
      </c>
      <c r="R882" s="16" t="n">
        <v>384.375</v>
      </c>
      <c r="S882" s="16" t="n">
        <v>0.5</v>
      </c>
      <c r="T882" s="16" t="n">
        <v>0.85</v>
      </c>
      <c r="U882" s="16" t="n">
        <v>0.75</v>
      </c>
      <c r="V882" s="16" t="n">
        <v>0.85</v>
      </c>
      <c r="W882" s="16" t="n">
        <v>0.75</v>
      </c>
      <c r="X882" s="16" t="n">
        <v>0.8</v>
      </c>
      <c r="Y882" s="16" t="n">
        <v>278.15</v>
      </c>
      <c r="Z882" s="16" t="n">
        <v>12.03693394844753</v>
      </c>
      <c r="AA882" s="16" t="n">
        <v>64.99523417133774</v>
      </c>
      <c r="AB882" s="16" t="n">
        <v>2615.625</v>
      </c>
      <c r="AC882" s="16" t="n">
        <v>7.804878048780488</v>
      </c>
      <c r="AD882" s="16" t="inlineStr">
        <is>
          <t>O2</t>
        </is>
      </c>
      <c r="AE882" s="16" t="n"/>
    </row>
    <row r="883">
      <c r="A883" s="16" t="inlineStr">
        <is>
          <t>KF-M02S-B2-0082</t>
        </is>
      </c>
      <c r="B883" s="16" t="inlineStr">
        <is>
          <t>2.4</t>
        </is>
      </c>
      <c r="C883" s="16" t="inlineStr">
        <is>
          <t>2.4b</t>
        </is>
      </c>
      <c r="D883" s="16" t="inlineStr">
        <is>
          <t>fuente a 420 K</t>
        </is>
      </c>
      <c r="E883" s="16" t="inlineStr">
        <is>
          <t>KF-M02S</t>
        </is>
      </c>
      <c r="F883" s="16" t="inlineStr">
        <is>
          <t>KF-M02S-B2</t>
        </is>
      </c>
      <c r="G883" s="16" t="inlineStr">
        <is>
          <t>B05-B2</t>
        </is>
      </c>
      <c r="H883" s="16" t="inlineStr">
        <is>
          <t>biseccion</t>
        </is>
      </c>
      <c r="I883" s="16" t="inlineStr">
        <is>
          <t>KALINA</t>
        </is>
      </c>
      <c r="J883" s="16" t="inlineStr">
        <is>
          <t>KALINA</t>
        </is>
      </c>
      <c r="K883" s="16" t="b">
        <v>1</v>
      </c>
      <c r="L883" s="16" t="b">
        <v>1</v>
      </c>
      <c r="M883" s="16" t="b">
        <v>0</v>
      </c>
      <c r="N883" s="16" t="b">
        <v>0</v>
      </c>
      <c r="O883" s="16" t="n">
        <v>420</v>
      </c>
      <c r="P883" s="16" t="n">
        <v>283.15</v>
      </c>
      <c r="Q883" s="16" t="n">
        <v>3000</v>
      </c>
      <c r="R883" s="16" t="n">
        <v>459.375</v>
      </c>
      <c r="S883" s="16" t="n">
        <v>0.5</v>
      </c>
      <c r="T883" s="16" t="n">
        <v>0.85</v>
      </c>
      <c r="U883" s="16" t="n">
        <v>0.75</v>
      </c>
      <c r="V883" s="16" t="n">
        <v>0.85</v>
      </c>
      <c r="W883" s="16" t="n">
        <v>0.75</v>
      </c>
      <c r="X883" s="16" t="n">
        <v>0.8</v>
      </c>
      <c r="Y883" s="16" t="n">
        <v>283.15</v>
      </c>
      <c r="Z883" s="16" t="n">
        <v>11.27583657674989</v>
      </c>
      <c r="AA883" s="16" t="n">
        <v>59.92858369708472</v>
      </c>
      <c r="AB883" s="16" t="n">
        <v>2540.625</v>
      </c>
      <c r="AC883" s="16" t="n">
        <v>6.530612244897959</v>
      </c>
      <c r="AD883" s="16" t="n"/>
      <c r="AE883" s="16" t="n"/>
    </row>
    <row r="884">
      <c r="A884" s="16" t="inlineStr">
        <is>
          <t>KF-M02S-B2-0083</t>
        </is>
      </c>
      <c r="B884" s="16" t="inlineStr">
        <is>
          <t>2.4</t>
        </is>
      </c>
      <c r="C884" s="16" t="inlineStr">
        <is>
          <t>2.4b</t>
        </is>
      </c>
      <c r="D884" s="16" t="inlineStr">
        <is>
          <t>fuente a 420 K</t>
        </is>
      </c>
      <c r="E884" s="16" t="inlineStr">
        <is>
          <t>KF-M02S</t>
        </is>
      </c>
      <c r="F884" s="16" t="inlineStr">
        <is>
          <t>KF-M02S-B2</t>
        </is>
      </c>
      <c r="G884" s="16" t="inlineStr">
        <is>
          <t>B05-B2</t>
        </is>
      </c>
      <c r="H884" s="16" t="inlineStr">
        <is>
          <t>biseccion</t>
        </is>
      </c>
      <c r="I884" s="16" t="inlineStr">
        <is>
          <t>KALINA</t>
        </is>
      </c>
      <c r="J884" s="16" t="inlineStr">
        <is>
          <t>KALINA</t>
        </is>
      </c>
      <c r="K884" s="16" t="b">
        <v>1</v>
      </c>
      <c r="L884" s="16" t="b">
        <v>1</v>
      </c>
      <c r="M884" s="16" t="b">
        <v>0</v>
      </c>
      <c r="N884" s="16" t="b">
        <v>0</v>
      </c>
      <c r="O884" s="16" t="n">
        <v>420</v>
      </c>
      <c r="P884" s="16" t="n">
        <v>288.15</v>
      </c>
      <c r="Q884" s="16" t="n">
        <v>3000</v>
      </c>
      <c r="R884" s="16" t="n">
        <v>534.375</v>
      </c>
      <c r="S884" s="16" t="n">
        <v>0.5</v>
      </c>
      <c r="T884" s="16" t="n">
        <v>0.85</v>
      </c>
      <c r="U884" s="16" t="n">
        <v>0.75</v>
      </c>
      <c r="V884" s="16" t="n">
        <v>0.85</v>
      </c>
      <c r="W884" s="16" t="n">
        <v>0.75</v>
      </c>
      <c r="X884" s="16" t="n">
        <v>0.8</v>
      </c>
      <c r="Y884" s="16" t="n">
        <v>288.15</v>
      </c>
      <c r="Z884" s="16" t="n">
        <v>10.62196052106462</v>
      </c>
      <c r="AA884" s="16" t="n">
        <v>55.55232011661489</v>
      </c>
      <c r="AB884" s="16" t="n">
        <v>2465.625</v>
      </c>
      <c r="AC884" s="16" t="n">
        <v>5.614035087719298</v>
      </c>
      <c r="AD884" s="16" t="n"/>
      <c r="AE884" s="16" t="n"/>
    </row>
    <row r="885">
      <c r="A885" s="16" t="inlineStr">
        <is>
          <t>KF-M02S-B2-0084</t>
        </is>
      </c>
      <c r="B885" s="16" t="inlineStr">
        <is>
          <t>2.4</t>
        </is>
      </c>
      <c r="C885" s="16" t="inlineStr">
        <is>
          <t>2.4b</t>
        </is>
      </c>
      <c r="D885" s="16" t="inlineStr">
        <is>
          <t>fuente a 420 K</t>
        </is>
      </c>
      <c r="E885" s="16" t="inlineStr">
        <is>
          <t>KF-M02S</t>
        </is>
      </c>
      <c r="F885" s="16" t="inlineStr">
        <is>
          <t>KF-M02S-B2</t>
        </is>
      </c>
      <c r="G885" s="16" t="inlineStr">
        <is>
          <t>B05-B2</t>
        </is>
      </c>
      <c r="H885" s="16" t="inlineStr">
        <is>
          <t>biseccion</t>
        </is>
      </c>
      <c r="I885" s="16" t="inlineStr">
        <is>
          <t>KALINA</t>
        </is>
      </c>
      <c r="J885" s="16" t="inlineStr">
        <is>
          <t>KALINA</t>
        </is>
      </c>
      <c r="K885" s="16" t="b">
        <v>1</v>
      </c>
      <c r="L885" s="16" t="b">
        <v>1</v>
      </c>
      <c r="M885" s="16" t="b">
        <v>0</v>
      </c>
      <c r="N885" s="16" t="b">
        <v>0</v>
      </c>
      <c r="O885" s="16" t="n">
        <v>420</v>
      </c>
      <c r="P885" s="16" t="n">
        <v>283.15</v>
      </c>
      <c r="Q885" s="16" t="n">
        <v>3000</v>
      </c>
      <c r="R885" s="16" t="n">
        <v>459.375</v>
      </c>
      <c r="S885" s="16" t="n">
        <v>0.5</v>
      </c>
      <c r="T885" s="16" t="n">
        <v>0.85</v>
      </c>
      <c r="U885" s="16" t="n">
        <v>0.75</v>
      </c>
      <c r="V885" s="16" t="n">
        <v>0.85</v>
      </c>
      <c r="W885" s="16" t="n">
        <v>0.75</v>
      </c>
      <c r="X885" s="16" t="n">
        <v>0.8</v>
      </c>
      <c r="Y885" s="16" t="n">
        <v>283.15</v>
      </c>
      <c r="Z885" s="16" t="n">
        <v>11.27583657674989</v>
      </c>
      <c r="AA885" s="16" t="n">
        <v>59.92858369708472</v>
      </c>
      <c r="AB885" s="16" t="n">
        <v>2540.625</v>
      </c>
      <c r="AC885" s="16" t="n">
        <v>6.530612244897959</v>
      </c>
      <c r="AD885" s="16" t="n"/>
      <c r="AE885" s="16" t="n"/>
    </row>
    <row r="886">
      <c r="A886" s="16" t="inlineStr">
        <is>
          <t>KF-M02S-B2-0085</t>
        </is>
      </c>
      <c r="B886" s="16" t="inlineStr">
        <is>
          <t>2.4</t>
        </is>
      </c>
      <c r="C886" s="16" t="inlineStr">
        <is>
          <t>2.4b</t>
        </is>
      </c>
      <c r="D886" s="16" t="inlineStr">
        <is>
          <t>fuente a 420 K</t>
        </is>
      </c>
      <c r="E886" s="16" t="inlineStr">
        <is>
          <t>KF-M02S</t>
        </is>
      </c>
      <c r="F886" s="16" t="inlineStr">
        <is>
          <t>KF-M02S-B2</t>
        </is>
      </c>
      <c r="G886" s="16" t="inlineStr">
        <is>
          <t>B05-B2</t>
        </is>
      </c>
      <c r="H886" s="16" t="inlineStr">
        <is>
          <t>biseccion</t>
        </is>
      </c>
      <c r="I886" s="16" t="inlineStr">
        <is>
          <t>KALINA</t>
        </is>
      </c>
      <c r="J886" s="16" t="inlineStr">
        <is>
          <t>KALINA</t>
        </is>
      </c>
      <c r="K886" s="16" t="b">
        <v>1</v>
      </c>
      <c r="L886" s="16" t="b">
        <v>1</v>
      </c>
      <c r="M886" s="16" t="b">
        <v>0</v>
      </c>
      <c r="N886" s="16" t="b">
        <v>0</v>
      </c>
      <c r="O886" s="16" t="n">
        <v>420</v>
      </c>
      <c r="P886" s="16" t="n">
        <v>288.15</v>
      </c>
      <c r="Q886" s="16" t="n">
        <v>3000</v>
      </c>
      <c r="R886" s="16" t="n">
        <v>534.375</v>
      </c>
      <c r="S886" s="16" t="n">
        <v>0.5</v>
      </c>
      <c r="T886" s="16" t="n">
        <v>0.85</v>
      </c>
      <c r="U886" s="16" t="n">
        <v>0.75</v>
      </c>
      <c r="V886" s="16" t="n">
        <v>0.85</v>
      </c>
      <c r="W886" s="16" t="n">
        <v>0.75</v>
      </c>
      <c r="X886" s="16" t="n">
        <v>0.8</v>
      </c>
      <c r="Y886" s="16" t="n">
        <v>288.15</v>
      </c>
      <c r="Z886" s="16" t="n">
        <v>10.62196052106462</v>
      </c>
      <c r="AA886" s="16" t="n">
        <v>55.55232011661489</v>
      </c>
      <c r="AB886" s="16" t="n">
        <v>2465.625</v>
      </c>
      <c r="AC886" s="16" t="n">
        <v>5.614035087719298</v>
      </c>
      <c r="AD886" s="16" t="n"/>
      <c r="AE886" s="16" t="n"/>
    </row>
    <row r="887">
      <c r="A887" s="16" t="inlineStr">
        <is>
          <t>KF-M02S-B2-0086</t>
        </is>
      </c>
      <c r="B887" s="16" t="inlineStr">
        <is>
          <t>2.4</t>
        </is>
      </c>
      <c r="C887" s="16" t="inlineStr">
        <is>
          <t>2.4b</t>
        </is>
      </c>
      <c r="D887" s="16" t="inlineStr">
        <is>
          <t>fuente a 420 K</t>
        </is>
      </c>
      <c r="E887" s="16" t="inlineStr">
        <is>
          <t>KF-M02S</t>
        </is>
      </c>
      <c r="F887" s="16" t="inlineStr">
        <is>
          <t>KF-M02S-B2</t>
        </is>
      </c>
      <c r="G887" s="16" t="inlineStr">
        <is>
          <t>B05-B2</t>
        </is>
      </c>
      <c r="H887" s="16" t="inlineStr">
        <is>
          <t>biseccion</t>
        </is>
      </c>
      <c r="I887" s="16" t="inlineStr">
        <is>
          <t>CORREGIBLE</t>
        </is>
      </c>
      <c r="J887" s="16" t="inlineStr">
        <is>
          <t>CORREGIBLE</t>
        </is>
      </c>
      <c r="K887" s="16" t="b">
        <v>1</v>
      </c>
      <c r="L887" s="16" t="b">
        <v>0</v>
      </c>
      <c r="M887" s="16" t="b">
        <v>0</v>
      </c>
      <c r="N887" s="16" t="b">
        <v>0</v>
      </c>
      <c r="O887" s="16" t="n">
        <v>420</v>
      </c>
      <c r="P887" s="16" t="n">
        <v>293.15</v>
      </c>
      <c r="Q887" s="16" t="n">
        <v>3000</v>
      </c>
      <c r="R887" s="16" t="n">
        <v>609.375</v>
      </c>
      <c r="S887" s="16" t="n">
        <v>0.5</v>
      </c>
      <c r="T887" s="16" t="n">
        <v>0.85</v>
      </c>
      <c r="U887" s="16" t="n">
        <v>0.75</v>
      </c>
      <c r="V887" s="16" t="n">
        <v>0.85</v>
      </c>
      <c r="W887" s="16" t="n">
        <v>0.75</v>
      </c>
      <c r="X887" s="16" t="n">
        <v>0.8</v>
      </c>
      <c r="Y887" s="16" t="n">
        <v>293.15</v>
      </c>
      <c r="Z887" s="16" t="n">
        <v>10.04765433055355</v>
      </c>
      <c r="AA887" s="16" t="n">
        <v>51.69558026028981</v>
      </c>
      <c r="AB887" s="16" t="n">
        <v>2390.625</v>
      </c>
      <c r="AC887" s="16" t="n">
        <v>4.923076923076923</v>
      </c>
      <c r="AD887" s="16" t="inlineStr">
        <is>
          <t>O2</t>
        </is>
      </c>
      <c r="AE887" s="16" t="n"/>
    </row>
    <row r="888">
      <c r="A888" s="16" t="inlineStr">
        <is>
          <t>KF-M02S-B2-0087</t>
        </is>
      </c>
      <c r="B888" s="16" t="inlineStr">
        <is>
          <t>2.4</t>
        </is>
      </c>
      <c r="C888" s="16" t="inlineStr">
        <is>
          <t>2.4b</t>
        </is>
      </c>
      <c r="D888" s="16" t="inlineStr">
        <is>
          <t>fuente a 420 K</t>
        </is>
      </c>
      <c r="E888" s="16" t="inlineStr">
        <is>
          <t>KF-M02S</t>
        </is>
      </c>
      <c r="F888" s="16" t="inlineStr">
        <is>
          <t>KF-M02S-B2</t>
        </is>
      </c>
      <c r="G888" s="16" t="inlineStr">
        <is>
          <t>B05-B2</t>
        </is>
      </c>
      <c r="H888" s="16" t="inlineStr">
        <is>
          <t>biseccion</t>
        </is>
      </c>
      <c r="I888" s="16" t="inlineStr">
        <is>
          <t>CORREGIBLE</t>
        </is>
      </c>
      <c r="J888" s="16" t="inlineStr">
        <is>
          <t>CORREGIBLE</t>
        </is>
      </c>
      <c r="K888" s="16" t="b">
        <v>1</v>
      </c>
      <c r="L888" s="16" t="b">
        <v>0</v>
      </c>
      <c r="M888" s="16" t="b">
        <v>0</v>
      </c>
      <c r="N888" s="16" t="b">
        <v>0</v>
      </c>
      <c r="O888" s="16" t="n">
        <v>420</v>
      </c>
      <c r="P888" s="16" t="n">
        <v>293.15</v>
      </c>
      <c r="Q888" s="16" t="n">
        <v>3000</v>
      </c>
      <c r="R888" s="16" t="n">
        <v>609.375</v>
      </c>
      <c r="S888" s="16" t="n">
        <v>0.5</v>
      </c>
      <c r="T888" s="16" t="n">
        <v>0.85</v>
      </c>
      <c r="U888" s="16" t="n">
        <v>0.75</v>
      </c>
      <c r="V888" s="16" t="n">
        <v>0.85</v>
      </c>
      <c r="W888" s="16" t="n">
        <v>0.75</v>
      </c>
      <c r="X888" s="16" t="n">
        <v>0.8</v>
      </c>
      <c r="Y888" s="16" t="n">
        <v>293.15</v>
      </c>
      <c r="Z888" s="16" t="n">
        <v>10.04765433055355</v>
      </c>
      <c r="AA888" s="16" t="n">
        <v>51.69558026028981</v>
      </c>
      <c r="AB888" s="16" t="n">
        <v>2390.625</v>
      </c>
      <c r="AC888" s="16" t="n">
        <v>4.923076923076923</v>
      </c>
      <c r="AD888" s="16" t="inlineStr">
        <is>
          <t>O2</t>
        </is>
      </c>
      <c r="AE888" s="16" t="n"/>
    </row>
    <row r="889">
      <c r="A889" s="16" t="inlineStr">
        <is>
          <t>KF-M02S-B2-0088</t>
        </is>
      </c>
      <c r="B889" s="16" t="inlineStr">
        <is>
          <t>2.4</t>
        </is>
      </c>
      <c r="C889" s="16" t="inlineStr">
        <is>
          <t>2.4b</t>
        </is>
      </c>
      <c r="D889" s="16" t="inlineStr">
        <is>
          <t>fuente a 420 K</t>
        </is>
      </c>
      <c r="E889" s="16" t="inlineStr">
        <is>
          <t>KF-M02S</t>
        </is>
      </c>
      <c r="F889" s="16" t="inlineStr">
        <is>
          <t>KF-M02S-B2</t>
        </is>
      </c>
      <c r="G889" s="16" t="inlineStr">
        <is>
          <t>B05-B2</t>
        </is>
      </c>
      <c r="H889" s="16" t="inlineStr">
        <is>
          <t>biseccion</t>
        </is>
      </c>
      <c r="I889" s="16" t="inlineStr">
        <is>
          <t>KALINA</t>
        </is>
      </c>
      <c r="J889" s="16" t="inlineStr">
        <is>
          <t>KALINA</t>
        </is>
      </c>
      <c r="K889" s="16" t="b">
        <v>1</v>
      </c>
      <c r="L889" s="16" t="b">
        <v>1</v>
      </c>
      <c r="M889" s="16" t="b">
        <v>0</v>
      </c>
      <c r="N889" s="16" t="b">
        <v>0</v>
      </c>
      <c r="O889" s="16" t="n">
        <v>420</v>
      </c>
      <c r="P889" s="16" t="n">
        <v>300.032917</v>
      </c>
      <c r="Q889" s="16" t="n">
        <v>3000</v>
      </c>
      <c r="R889" s="16" t="n">
        <v>740.625</v>
      </c>
      <c r="S889" s="16" t="n">
        <v>0.5</v>
      </c>
      <c r="T889" s="16" t="n">
        <v>0.85</v>
      </c>
      <c r="U889" s="16" t="n">
        <v>0.75</v>
      </c>
      <c r="V889" s="16" t="n">
        <v>0.85</v>
      </c>
      <c r="W889" s="16" t="n">
        <v>0.75</v>
      </c>
      <c r="X889" s="16" t="n">
        <v>0.8</v>
      </c>
      <c r="Y889" s="16" t="n">
        <v>300.032917</v>
      </c>
      <c r="Z889" s="16" t="n">
        <v>9.11452943989682</v>
      </c>
      <c r="AA889" s="16" t="n">
        <v>45.817450225626</v>
      </c>
      <c r="AB889" s="16" t="n">
        <v>2259.375</v>
      </c>
      <c r="AC889" s="16" t="n">
        <v>4.050632911392405</v>
      </c>
      <c r="AD889" s="16" t="n"/>
      <c r="AE889" s="16" t="n"/>
    </row>
    <row r="890">
      <c r="A890" s="16" t="inlineStr">
        <is>
          <t>KF-M02S-B2-0089</t>
        </is>
      </c>
      <c r="B890" s="16" t="inlineStr">
        <is>
          <t>2.4</t>
        </is>
      </c>
      <c r="C890" s="16" t="inlineStr">
        <is>
          <t>2.4b</t>
        </is>
      </c>
      <c r="D890" s="16" t="inlineStr">
        <is>
          <t>fuente a 420 K</t>
        </is>
      </c>
      <c r="E890" s="16" t="inlineStr">
        <is>
          <t>KF-M02S</t>
        </is>
      </c>
      <c r="F890" s="16" t="inlineStr">
        <is>
          <t>KF-M02S-B2</t>
        </is>
      </c>
      <c r="G890" s="16" t="inlineStr">
        <is>
          <t>B05-B2</t>
        </is>
      </c>
      <c r="H890" s="16" t="inlineStr">
        <is>
          <t>biseccion</t>
        </is>
      </c>
      <c r="I890" s="16" t="inlineStr">
        <is>
          <t>KALINA</t>
        </is>
      </c>
      <c r="J890" s="16" t="inlineStr">
        <is>
          <t>KALINA</t>
        </is>
      </c>
      <c r="K890" s="16" t="b">
        <v>1</v>
      </c>
      <c r="L890" s="16" t="b">
        <v>1</v>
      </c>
      <c r="M890" s="16" t="b">
        <v>0</v>
      </c>
      <c r="N890" s="16" t="b">
        <v>0</v>
      </c>
      <c r="O890" s="16" t="n">
        <v>420</v>
      </c>
      <c r="P890" s="16" t="n">
        <v>300.032917</v>
      </c>
      <c r="Q890" s="16" t="n">
        <v>3000</v>
      </c>
      <c r="R890" s="16" t="n">
        <v>740.625</v>
      </c>
      <c r="S890" s="16" t="n">
        <v>0.5</v>
      </c>
      <c r="T890" s="16" t="n">
        <v>0.85</v>
      </c>
      <c r="U890" s="16" t="n">
        <v>0.75</v>
      </c>
      <c r="V890" s="16" t="n">
        <v>0.85</v>
      </c>
      <c r="W890" s="16" t="n">
        <v>0.75</v>
      </c>
      <c r="X890" s="16" t="n">
        <v>0.8</v>
      </c>
      <c r="Y890" s="16" t="n">
        <v>300.032917</v>
      </c>
      <c r="Z890" s="16" t="n">
        <v>9.11452943989682</v>
      </c>
      <c r="AA890" s="16" t="n">
        <v>45.817450225626</v>
      </c>
      <c r="AB890" s="16" t="n">
        <v>2259.375</v>
      </c>
      <c r="AC890" s="16" t="n">
        <v>4.050632911392405</v>
      </c>
      <c r="AD890" s="16" t="n"/>
      <c r="AE890" s="16" t="n"/>
    </row>
    <row r="891">
      <c r="A891" s="16" t="inlineStr">
        <is>
          <t>KF-M02S-B3-0080</t>
        </is>
      </c>
      <c r="B891" s="16" t="inlineStr">
        <is>
          <t>2.4</t>
        </is>
      </c>
      <c r="C891" s="16" t="inlineStr">
        <is>
          <t>2.4c</t>
        </is>
      </c>
      <c r="D891" s="16" t="inlineStr">
        <is>
          <t>ε_HRVG = 0.40 (fuente del profesor)</t>
        </is>
      </c>
      <c r="E891" s="16" t="inlineStr">
        <is>
          <t>KF-M02S</t>
        </is>
      </c>
      <c r="F891" s="16" t="inlineStr">
        <is>
          <t>KF-M02S-B3</t>
        </is>
      </c>
      <c r="G891" s="16" t="inlineStr">
        <is>
          <t>B05-B3</t>
        </is>
      </c>
      <c r="H891" s="16" t="inlineStr">
        <is>
          <t>biseccion</t>
        </is>
      </c>
      <c r="I891" s="16" t="inlineStr">
        <is>
          <t>CORREGIBLE</t>
        </is>
      </c>
      <c r="J891" s="16" t="inlineStr">
        <is>
          <t>CORREGIBLE</t>
        </is>
      </c>
      <c r="K891" s="16" t="b">
        <v>1</v>
      </c>
      <c r="L891" s="16" t="b">
        <v>0</v>
      </c>
      <c r="M891" s="16" t="b">
        <v>1</v>
      </c>
      <c r="N891" s="16" t="b">
        <v>0</v>
      </c>
      <c r="O891" s="16" t="n">
        <v>623.15</v>
      </c>
      <c r="P891" s="16" t="n">
        <v>278.15</v>
      </c>
      <c r="Q891" s="16" t="n">
        <v>3000</v>
      </c>
      <c r="R891" s="16" t="n">
        <v>740.625</v>
      </c>
      <c r="S891" s="16" t="n">
        <v>0.5</v>
      </c>
      <c r="T891" s="16" t="n">
        <v>0.85</v>
      </c>
      <c r="U891" s="16" t="n">
        <v>0.75</v>
      </c>
      <c r="V891" s="16" t="n">
        <v>0.4</v>
      </c>
      <c r="W891" s="16" t="n">
        <v>0.75</v>
      </c>
      <c r="X891" s="16" t="n">
        <v>0.8</v>
      </c>
      <c r="Y891" s="16" t="n">
        <v>278.15</v>
      </c>
      <c r="Z891" s="16" t="n">
        <v>9.768800000106779</v>
      </c>
      <c r="AA891" s="16" t="n">
        <v>93.96933987294987</v>
      </c>
      <c r="AB891" s="16" t="n">
        <v>2259.375</v>
      </c>
      <c r="AC891" s="16" t="n">
        <v>4.050632911392405</v>
      </c>
      <c r="AD891" s="16" t="inlineStr">
        <is>
          <t>O2</t>
        </is>
      </c>
      <c r="AE891" s="16" t="n"/>
    </row>
    <row r="892">
      <c r="A892" s="16" t="inlineStr">
        <is>
          <t>KF-M02S-B3-0081</t>
        </is>
      </c>
      <c r="B892" s="16" t="inlineStr">
        <is>
          <t>2.4</t>
        </is>
      </c>
      <c r="C892" s="16" t="inlineStr">
        <is>
          <t>2.4c</t>
        </is>
      </c>
      <c r="D892" s="16" t="inlineStr">
        <is>
          <t>ε_HRVG = 0.40 (fuente del profesor)</t>
        </is>
      </c>
      <c r="E892" s="16" t="inlineStr">
        <is>
          <t>KF-M02S</t>
        </is>
      </c>
      <c r="F892" s="16" t="inlineStr">
        <is>
          <t>KF-M02S-B3</t>
        </is>
      </c>
      <c r="G892" s="16" t="inlineStr">
        <is>
          <t>B05-B3</t>
        </is>
      </c>
      <c r="H892" s="16" t="inlineStr">
        <is>
          <t>biseccion</t>
        </is>
      </c>
      <c r="I892" s="16" t="inlineStr">
        <is>
          <t>CORREGIBLE</t>
        </is>
      </c>
      <c r="J892" s="16" t="inlineStr">
        <is>
          <t>CORREGIBLE</t>
        </is>
      </c>
      <c r="K892" s="16" t="b">
        <v>1</v>
      </c>
      <c r="L892" s="16" t="b">
        <v>0</v>
      </c>
      <c r="M892" s="16" t="b">
        <v>1</v>
      </c>
      <c r="N892" s="16" t="b">
        <v>0</v>
      </c>
      <c r="O892" s="16" t="n">
        <v>623.15</v>
      </c>
      <c r="P892" s="16" t="n">
        <v>278.15</v>
      </c>
      <c r="Q892" s="16" t="n">
        <v>3000</v>
      </c>
      <c r="R892" s="16" t="n">
        <v>740.625</v>
      </c>
      <c r="S892" s="16" t="n">
        <v>0.5</v>
      </c>
      <c r="T892" s="16" t="n">
        <v>0.85</v>
      </c>
      <c r="U892" s="16" t="n">
        <v>0.75</v>
      </c>
      <c r="V892" s="16" t="n">
        <v>0.4</v>
      </c>
      <c r="W892" s="16" t="n">
        <v>0.75</v>
      </c>
      <c r="X892" s="16" t="n">
        <v>0.8</v>
      </c>
      <c r="Y892" s="16" t="n">
        <v>278.15</v>
      </c>
      <c r="Z892" s="16" t="n">
        <v>9.768800000106779</v>
      </c>
      <c r="AA892" s="16" t="n">
        <v>93.96933987294987</v>
      </c>
      <c r="AB892" s="16" t="n">
        <v>2259.375</v>
      </c>
      <c r="AC892" s="16" t="n">
        <v>4.050632911392405</v>
      </c>
      <c r="AD892" s="16" t="inlineStr">
        <is>
          <t>O2</t>
        </is>
      </c>
      <c r="AE892" s="16" t="n"/>
    </row>
    <row r="893">
      <c r="A893" s="16" t="inlineStr">
        <is>
          <t>KF-M02S-B3-0082</t>
        </is>
      </c>
      <c r="B893" s="16" t="inlineStr">
        <is>
          <t>2.4</t>
        </is>
      </c>
      <c r="C893" s="16" t="inlineStr">
        <is>
          <t>2.4c</t>
        </is>
      </c>
      <c r="D893" s="16" t="inlineStr">
        <is>
          <t>ε_HRVG = 0.40 (fuente del profesor)</t>
        </is>
      </c>
      <c r="E893" s="16" t="inlineStr">
        <is>
          <t>KF-M02S</t>
        </is>
      </c>
      <c r="F893" s="16" t="inlineStr">
        <is>
          <t>KF-M02S-B3</t>
        </is>
      </c>
      <c r="G893" s="16" t="inlineStr">
        <is>
          <t>B05-B3</t>
        </is>
      </c>
      <c r="H893" s="16" t="inlineStr">
        <is>
          <t>biseccion</t>
        </is>
      </c>
      <c r="I893" s="16" t="inlineStr">
        <is>
          <t>CORREGIBLE</t>
        </is>
      </c>
      <c r="J893" s="16" t="inlineStr">
        <is>
          <t>CORREGIBLE</t>
        </is>
      </c>
      <c r="K893" s="16" t="b">
        <v>1</v>
      </c>
      <c r="L893" s="16" t="b">
        <v>0</v>
      </c>
      <c r="M893" s="16" t="b">
        <v>1</v>
      </c>
      <c r="N893" s="16" t="b">
        <v>0</v>
      </c>
      <c r="O893" s="16" t="n">
        <v>623.15</v>
      </c>
      <c r="P893" s="16" t="n">
        <v>283.15</v>
      </c>
      <c r="Q893" s="16" t="n">
        <v>3000</v>
      </c>
      <c r="R893" s="16" t="n">
        <v>853.125</v>
      </c>
      <c r="S893" s="16" t="n">
        <v>0.5</v>
      </c>
      <c r="T893" s="16" t="n">
        <v>0.85</v>
      </c>
      <c r="U893" s="16" t="n">
        <v>0.75</v>
      </c>
      <c r="V893" s="16" t="n">
        <v>0.4</v>
      </c>
      <c r="W893" s="16" t="n">
        <v>0.75</v>
      </c>
      <c r="X893" s="16" t="n">
        <v>0.8</v>
      </c>
      <c r="Y893" s="16" t="n">
        <v>283.15</v>
      </c>
      <c r="Z893" s="16" t="n">
        <v>8.9637237375662</v>
      </c>
      <c r="AA893" s="16" t="n">
        <v>85.7311243550529</v>
      </c>
      <c r="AB893" s="16" t="n">
        <v>2146.875</v>
      </c>
      <c r="AC893" s="16" t="n">
        <v>3.516483516483516</v>
      </c>
      <c r="AD893" s="16" t="inlineStr">
        <is>
          <t>O2</t>
        </is>
      </c>
      <c r="AE893" s="16" t="n"/>
    </row>
    <row r="894">
      <c r="A894" s="16" t="inlineStr">
        <is>
          <t>KF-M02S-B3-0083</t>
        </is>
      </c>
      <c r="B894" s="16" t="inlineStr">
        <is>
          <t>2.4</t>
        </is>
      </c>
      <c r="C894" s="16" t="inlineStr">
        <is>
          <t>2.4c</t>
        </is>
      </c>
      <c r="D894" s="16" t="inlineStr">
        <is>
          <t>ε_HRVG = 0.40 (fuente del profesor)</t>
        </is>
      </c>
      <c r="E894" s="16" t="inlineStr">
        <is>
          <t>KF-M02S</t>
        </is>
      </c>
      <c r="F894" s="16" t="inlineStr">
        <is>
          <t>KF-M02S-B3</t>
        </is>
      </c>
      <c r="G894" s="16" t="inlineStr">
        <is>
          <t>B05-B3</t>
        </is>
      </c>
      <c r="H894" s="16" t="inlineStr">
        <is>
          <t>biseccion</t>
        </is>
      </c>
      <c r="I894" s="16" t="inlineStr">
        <is>
          <t>CORREGIBLE</t>
        </is>
      </c>
      <c r="J894" s="16" t="inlineStr">
        <is>
          <t>CORREGIBLE</t>
        </is>
      </c>
      <c r="K894" s="16" t="b">
        <v>1</v>
      </c>
      <c r="L894" s="16" t="b">
        <v>0</v>
      </c>
      <c r="M894" s="16" t="b">
        <v>1</v>
      </c>
      <c r="N894" s="16" t="b">
        <v>0</v>
      </c>
      <c r="O894" s="16" t="n">
        <v>623.15</v>
      </c>
      <c r="P894" s="16" t="n">
        <v>283.15</v>
      </c>
      <c r="Q894" s="16" t="n">
        <v>3000</v>
      </c>
      <c r="R894" s="16" t="n">
        <v>853.125</v>
      </c>
      <c r="S894" s="16" t="n">
        <v>0.5</v>
      </c>
      <c r="T894" s="16" t="n">
        <v>0.85</v>
      </c>
      <c r="U894" s="16" t="n">
        <v>0.75</v>
      </c>
      <c r="V894" s="16" t="n">
        <v>0.4</v>
      </c>
      <c r="W894" s="16" t="n">
        <v>0.75</v>
      </c>
      <c r="X894" s="16" t="n">
        <v>0.8</v>
      </c>
      <c r="Y894" s="16" t="n">
        <v>283.15</v>
      </c>
      <c r="Z894" s="16" t="n">
        <v>8.9637237375662</v>
      </c>
      <c r="AA894" s="16" t="n">
        <v>85.7311243550529</v>
      </c>
      <c r="AB894" s="16" t="n">
        <v>2146.875</v>
      </c>
      <c r="AC894" s="16" t="n">
        <v>3.516483516483516</v>
      </c>
      <c r="AD894" s="16" t="inlineStr">
        <is>
          <t>O2</t>
        </is>
      </c>
      <c r="AE894" s="16" t="n"/>
    </row>
    <row r="895">
      <c r="A895" s="16" t="inlineStr">
        <is>
          <t>KF-M02S-B3-0084</t>
        </is>
      </c>
      <c r="B895" s="16" t="inlineStr">
        <is>
          <t>2.4</t>
        </is>
      </c>
      <c r="C895" s="16" t="inlineStr">
        <is>
          <t>2.4c</t>
        </is>
      </c>
      <c r="D895" s="16" t="inlineStr">
        <is>
          <t>ε_HRVG = 0.40 (fuente del profesor)</t>
        </is>
      </c>
      <c r="E895" s="16" t="inlineStr">
        <is>
          <t>KF-M02S</t>
        </is>
      </c>
      <c r="F895" s="16" t="inlineStr">
        <is>
          <t>KF-M02S-B3</t>
        </is>
      </c>
      <c r="G895" s="16" t="inlineStr">
        <is>
          <t>B05-B3</t>
        </is>
      </c>
      <c r="H895" s="16" t="inlineStr">
        <is>
          <t>biseccion</t>
        </is>
      </c>
      <c r="I895" s="16" t="inlineStr">
        <is>
          <t>KALINA</t>
        </is>
      </c>
      <c r="J895" s="16" t="inlineStr">
        <is>
          <t>KALINA</t>
        </is>
      </c>
      <c r="K895" s="16" t="b">
        <v>1</v>
      </c>
      <c r="L895" s="16" t="b">
        <v>0</v>
      </c>
      <c r="M895" s="16" t="b">
        <v>1</v>
      </c>
      <c r="N895" s="16" t="b">
        <v>0</v>
      </c>
      <c r="O895" s="16" t="n">
        <v>623.15</v>
      </c>
      <c r="P895" s="16" t="n">
        <v>288.15</v>
      </c>
      <c r="Q895" s="16" t="n">
        <v>3000</v>
      </c>
      <c r="R895" s="16" t="n">
        <v>984.375</v>
      </c>
      <c r="S895" s="16" t="n">
        <v>0.5</v>
      </c>
      <c r="T895" s="16" t="n">
        <v>0.85</v>
      </c>
      <c r="U895" s="16" t="n">
        <v>0.75</v>
      </c>
      <c r="V895" s="16" t="n">
        <v>0.4</v>
      </c>
      <c r="W895" s="16" t="n">
        <v>0.75</v>
      </c>
      <c r="X895" s="16" t="n">
        <v>0.8</v>
      </c>
      <c r="Y895" s="16" t="n">
        <v>288.15</v>
      </c>
      <c r="Z895" s="16" t="n">
        <v>8.10910026551915</v>
      </c>
      <c r="AA895" s="16" t="n">
        <v>77.10313029762087</v>
      </c>
      <c r="AB895" s="16" t="n">
        <v>2015.625</v>
      </c>
      <c r="AC895" s="16" t="n">
        <v>3.047619047619047</v>
      </c>
      <c r="AD895" s="16" t="n"/>
      <c r="AE895" s="16" t="n"/>
    </row>
    <row r="896">
      <c r="A896" s="16" t="inlineStr">
        <is>
          <t>KF-M02S-B3-0085</t>
        </is>
      </c>
      <c r="B896" s="16" t="inlineStr">
        <is>
          <t>2.4</t>
        </is>
      </c>
      <c r="C896" s="16" t="inlineStr">
        <is>
          <t>2.4c</t>
        </is>
      </c>
      <c r="D896" s="16" t="inlineStr">
        <is>
          <t>ε_HRVG = 0.40 (fuente del profesor)</t>
        </is>
      </c>
      <c r="E896" s="16" t="inlineStr">
        <is>
          <t>KF-M02S</t>
        </is>
      </c>
      <c r="F896" s="16" t="inlineStr">
        <is>
          <t>KF-M02S-B3</t>
        </is>
      </c>
      <c r="G896" s="16" t="inlineStr">
        <is>
          <t>B05-B3</t>
        </is>
      </c>
      <c r="H896" s="16" t="inlineStr">
        <is>
          <t>biseccion</t>
        </is>
      </c>
      <c r="I896" s="16" t="inlineStr">
        <is>
          <t>KALINA</t>
        </is>
      </c>
      <c r="J896" s="16" t="inlineStr">
        <is>
          <t>KALINA</t>
        </is>
      </c>
      <c r="K896" s="16" t="b">
        <v>1</v>
      </c>
      <c r="L896" s="16" t="b">
        <v>0</v>
      </c>
      <c r="M896" s="16" t="b">
        <v>1</v>
      </c>
      <c r="N896" s="16" t="b">
        <v>0</v>
      </c>
      <c r="O896" s="16" t="n">
        <v>623.15</v>
      </c>
      <c r="P896" s="16" t="n">
        <v>288.15</v>
      </c>
      <c r="Q896" s="16" t="n">
        <v>3000</v>
      </c>
      <c r="R896" s="16" t="n">
        <v>984.375</v>
      </c>
      <c r="S896" s="16" t="n">
        <v>0.5</v>
      </c>
      <c r="T896" s="16" t="n">
        <v>0.85</v>
      </c>
      <c r="U896" s="16" t="n">
        <v>0.75</v>
      </c>
      <c r="V896" s="16" t="n">
        <v>0.4</v>
      </c>
      <c r="W896" s="16" t="n">
        <v>0.75</v>
      </c>
      <c r="X896" s="16" t="n">
        <v>0.8</v>
      </c>
      <c r="Y896" s="16" t="n">
        <v>288.15</v>
      </c>
      <c r="Z896" s="16" t="n">
        <v>8.10910026551915</v>
      </c>
      <c r="AA896" s="16" t="n">
        <v>77.10313029762087</v>
      </c>
      <c r="AB896" s="16" t="n">
        <v>2015.625</v>
      </c>
      <c r="AC896" s="16" t="n">
        <v>3.047619047619047</v>
      </c>
      <c r="AD896" s="16" t="n"/>
      <c r="AE896" s="16" t="n"/>
    </row>
    <row r="897">
      <c r="A897" s="16" t="inlineStr">
        <is>
          <t>KF-M02S-B3-0086</t>
        </is>
      </c>
      <c r="B897" s="16" t="inlineStr">
        <is>
          <t>2.4</t>
        </is>
      </c>
      <c r="C897" s="16" t="inlineStr">
        <is>
          <t>2.4c</t>
        </is>
      </c>
      <c r="D897" s="16" t="inlineStr">
        <is>
          <t>ε_HRVG = 0.40 (fuente del profesor)</t>
        </is>
      </c>
      <c r="E897" s="16" t="inlineStr">
        <is>
          <t>KF-M02S</t>
        </is>
      </c>
      <c r="F897" s="16" t="inlineStr">
        <is>
          <t>KF-M02S-B3</t>
        </is>
      </c>
      <c r="G897" s="16" t="inlineStr">
        <is>
          <t>B05-B3</t>
        </is>
      </c>
      <c r="H897" s="16" t="inlineStr">
        <is>
          <t>biseccion</t>
        </is>
      </c>
      <c r="I897" s="16" t="inlineStr">
        <is>
          <t>KALINA</t>
        </is>
      </c>
      <c r="J897" s="16" t="inlineStr">
        <is>
          <t>KALINA</t>
        </is>
      </c>
      <c r="K897" s="16" t="b">
        <v>1</v>
      </c>
      <c r="L897" s="16" t="b">
        <v>0</v>
      </c>
      <c r="M897" s="16" t="b">
        <v>1</v>
      </c>
      <c r="N897" s="16" t="b">
        <v>0</v>
      </c>
      <c r="O897" s="16" t="n">
        <v>623.15</v>
      </c>
      <c r="P897" s="16" t="n">
        <v>293.15</v>
      </c>
      <c r="Q897" s="16" t="n">
        <v>3000</v>
      </c>
      <c r="R897" s="16" t="n">
        <v>1115.625</v>
      </c>
      <c r="S897" s="16" t="n">
        <v>0.5</v>
      </c>
      <c r="T897" s="16" t="n">
        <v>0.85</v>
      </c>
      <c r="U897" s="16" t="n">
        <v>0.75</v>
      </c>
      <c r="V897" s="16" t="n">
        <v>0.4</v>
      </c>
      <c r="W897" s="16" t="n">
        <v>0.75</v>
      </c>
      <c r="X897" s="16" t="n">
        <v>0.8</v>
      </c>
      <c r="Y897" s="16" t="n">
        <v>293.15</v>
      </c>
      <c r="Z897" s="16" t="n">
        <v>7.34209204174651</v>
      </c>
      <c r="AA897" s="16" t="n">
        <v>69.39759559373886</v>
      </c>
      <c r="AB897" s="16" t="n">
        <v>1884.375</v>
      </c>
      <c r="AC897" s="16" t="n">
        <v>2.689075630252101</v>
      </c>
      <c r="AD897" s="16" t="n"/>
      <c r="AE897" s="16" t="n"/>
    </row>
    <row r="898">
      <c r="A898" s="16" t="inlineStr">
        <is>
          <t>KF-M02S-B3-0087</t>
        </is>
      </c>
      <c r="B898" s="16" t="inlineStr">
        <is>
          <t>2.4</t>
        </is>
      </c>
      <c r="C898" s="16" t="inlineStr">
        <is>
          <t>2.4c</t>
        </is>
      </c>
      <c r="D898" s="16" t="inlineStr">
        <is>
          <t>ε_HRVG = 0.40 (fuente del profesor)</t>
        </is>
      </c>
      <c r="E898" s="16" t="inlineStr">
        <is>
          <t>KF-M02S</t>
        </is>
      </c>
      <c r="F898" s="16" t="inlineStr">
        <is>
          <t>KF-M02S-B3</t>
        </is>
      </c>
      <c r="G898" s="16" t="inlineStr">
        <is>
          <t>B05-B3</t>
        </is>
      </c>
      <c r="H898" s="16" t="inlineStr">
        <is>
          <t>biseccion</t>
        </is>
      </c>
      <c r="I898" s="16" t="inlineStr">
        <is>
          <t>CORREGIBLE</t>
        </is>
      </c>
      <c r="J898" s="16" t="inlineStr">
        <is>
          <t>CORREGIBLE</t>
        </is>
      </c>
      <c r="K898" s="16" t="b">
        <v>1</v>
      </c>
      <c r="L898" s="16" t="b">
        <v>0</v>
      </c>
      <c r="M898" s="16" t="b">
        <v>1</v>
      </c>
      <c r="N898" s="16" t="b">
        <v>0</v>
      </c>
      <c r="O898" s="16" t="n">
        <v>623.15</v>
      </c>
      <c r="P898" s="16" t="n">
        <v>300.032917</v>
      </c>
      <c r="Q898" s="16" t="n">
        <v>3000</v>
      </c>
      <c r="R898" s="16" t="n">
        <v>1303.125</v>
      </c>
      <c r="S898" s="16" t="n">
        <v>0.5</v>
      </c>
      <c r="T898" s="16" t="n">
        <v>0.85</v>
      </c>
      <c r="U898" s="16" t="n">
        <v>0.75</v>
      </c>
      <c r="V898" s="16" t="n">
        <v>0.4</v>
      </c>
      <c r="W898" s="16" t="n">
        <v>0.75</v>
      </c>
      <c r="X898" s="16" t="n">
        <v>0.8</v>
      </c>
      <c r="Y898" s="16" t="n">
        <v>300.032917</v>
      </c>
      <c r="Z898" s="16" t="n">
        <v>6.35504551443406</v>
      </c>
      <c r="AA898" s="16" t="n">
        <v>59.57187939014052</v>
      </c>
      <c r="AB898" s="16" t="n">
        <v>1696.875</v>
      </c>
      <c r="AC898" s="16" t="n">
        <v>2.302158273381295</v>
      </c>
      <c r="AD898" s="16" t="inlineStr">
        <is>
          <t>O2</t>
        </is>
      </c>
      <c r="AE898" s="16" t="n"/>
    </row>
    <row r="899">
      <c r="A899" s="16" t="inlineStr">
        <is>
          <t>KF-M02S-B3-0088</t>
        </is>
      </c>
      <c r="B899" s="16" t="inlineStr">
        <is>
          <t>2.4</t>
        </is>
      </c>
      <c r="C899" s="16" t="inlineStr">
        <is>
          <t>2.4c</t>
        </is>
      </c>
      <c r="D899" s="16" t="inlineStr">
        <is>
          <t>ε_HRVG = 0.40 (fuente del profesor)</t>
        </is>
      </c>
      <c r="E899" s="16" t="inlineStr">
        <is>
          <t>KF-M02S</t>
        </is>
      </c>
      <c r="F899" s="16" t="inlineStr">
        <is>
          <t>KF-M02S-B3</t>
        </is>
      </c>
      <c r="G899" s="16" t="inlineStr">
        <is>
          <t>B05-B3</t>
        </is>
      </c>
      <c r="H899" s="16" t="inlineStr">
        <is>
          <t>biseccion</t>
        </is>
      </c>
      <c r="I899" s="16" t="inlineStr">
        <is>
          <t>KALINA</t>
        </is>
      </c>
      <c r="J899" s="16" t="inlineStr">
        <is>
          <t>KALINA</t>
        </is>
      </c>
      <c r="K899" s="16" t="b">
        <v>1</v>
      </c>
      <c r="L899" s="16" t="b">
        <v>0</v>
      </c>
      <c r="M899" s="16" t="b">
        <v>1</v>
      </c>
      <c r="N899" s="16" t="b">
        <v>0</v>
      </c>
      <c r="O899" s="16" t="n">
        <v>623.15</v>
      </c>
      <c r="P899" s="16" t="n">
        <v>293.15</v>
      </c>
      <c r="Q899" s="16" t="n">
        <v>3000</v>
      </c>
      <c r="R899" s="16" t="n">
        <v>1115.625</v>
      </c>
      <c r="S899" s="16" t="n">
        <v>0.5</v>
      </c>
      <c r="T899" s="16" t="n">
        <v>0.85</v>
      </c>
      <c r="U899" s="16" t="n">
        <v>0.75</v>
      </c>
      <c r="V899" s="16" t="n">
        <v>0.4</v>
      </c>
      <c r="W899" s="16" t="n">
        <v>0.75</v>
      </c>
      <c r="X899" s="16" t="n">
        <v>0.8</v>
      </c>
      <c r="Y899" s="16" t="n">
        <v>293.15</v>
      </c>
      <c r="Z899" s="16" t="n">
        <v>7.34209204174651</v>
      </c>
      <c r="AA899" s="16" t="n">
        <v>69.39759559373886</v>
      </c>
      <c r="AB899" s="16" t="n">
        <v>1884.375</v>
      </c>
      <c r="AC899" s="16" t="n">
        <v>2.689075630252101</v>
      </c>
      <c r="AD899" s="16" t="n"/>
      <c r="AE899" s="16" t="n"/>
    </row>
    <row r="900">
      <c r="A900" s="16" t="inlineStr">
        <is>
          <t>KF-M02S-B3-0089</t>
        </is>
      </c>
      <c r="B900" s="16" t="inlineStr">
        <is>
          <t>2.4</t>
        </is>
      </c>
      <c r="C900" s="16" t="inlineStr">
        <is>
          <t>2.4c</t>
        </is>
      </c>
      <c r="D900" s="16" t="inlineStr">
        <is>
          <t>ε_HRVG = 0.40 (fuente del profesor)</t>
        </is>
      </c>
      <c r="E900" s="16" t="inlineStr">
        <is>
          <t>KF-M02S</t>
        </is>
      </c>
      <c r="F900" s="16" t="inlineStr">
        <is>
          <t>KF-M02S-B3</t>
        </is>
      </c>
      <c r="G900" s="16" t="inlineStr">
        <is>
          <t>B05-B3</t>
        </is>
      </c>
      <c r="H900" s="16" t="inlineStr">
        <is>
          <t>biseccion</t>
        </is>
      </c>
      <c r="I900" s="16" t="inlineStr">
        <is>
          <t>CORREGIBLE</t>
        </is>
      </c>
      <c r="J900" s="16" t="inlineStr">
        <is>
          <t>CORREGIBLE</t>
        </is>
      </c>
      <c r="K900" s="16" t="b">
        <v>1</v>
      </c>
      <c r="L900" s="16" t="b">
        <v>0</v>
      </c>
      <c r="M900" s="16" t="b">
        <v>1</v>
      </c>
      <c r="N900" s="16" t="b">
        <v>0</v>
      </c>
      <c r="O900" s="16" t="n">
        <v>623.15</v>
      </c>
      <c r="P900" s="16" t="n">
        <v>300.032917</v>
      </c>
      <c r="Q900" s="16" t="n">
        <v>3000</v>
      </c>
      <c r="R900" s="16" t="n">
        <v>1303.125</v>
      </c>
      <c r="S900" s="16" t="n">
        <v>0.5</v>
      </c>
      <c r="T900" s="16" t="n">
        <v>0.85</v>
      </c>
      <c r="U900" s="16" t="n">
        <v>0.75</v>
      </c>
      <c r="V900" s="16" t="n">
        <v>0.4</v>
      </c>
      <c r="W900" s="16" t="n">
        <v>0.75</v>
      </c>
      <c r="X900" s="16" t="n">
        <v>0.8</v>
      </c>
      <c r="Y900" s="16" t="n">
        <v>300.032917</v>
      </c>
      <c r="Z900" s="16" t="n">
        <v>6.35504551443406</v>
      </c>
      <c r="AA900" s="16" t="n">
        <v>59.57187939014052</v>
      </c>
      <c r="AB900" s="16" t="n">
        <v>1696.875</v>
      </c>
      <c r="AC900" s="16" t="n">
        <v>2.302158273381295</v>
      </c>
      <c r="AD900" s="16" t="inlineStr">
        <is>
          <t>O2</t>
        </is>
      </c>
      <c r="AE900" s="16" t="n"/>
    </row>
    <row r="901">
      <c r="A901" s="16" t="inlineStr">
        <is>
          <t>KF-M03-0000</t>
        </is>
      </c>
      <c r="B901" s="16" t="inlineStr">
        <is>
          <t>3.1</t>
        </is>
      </c>
      <c r="C901" s="16" t="inlineStr">
        <is>
          <t>3.1</t>
        </is>
      </c>
      <c r="D901" s="16" t="inlineStr">
        <is>
          <t>alrededor de A*</t>
        </is>
      </c>
      <c r="E901" s="16" t="inlineStr">
        <is>
          <t>KF-M03</t>
        </is>
      </c>
      <c r="F901" s="16" t="inlineStr">
        <is>
          <t>KF-M03</t>
        </is>
      </c>
      <c r="G901" s="16" t="inlineStr">
        <is>
          <t>B06</t>
        </is>
      </c>
      <c r="H901" s="16" t="inlineStr">
        <is>
          <t>malla</t>
        </is>
      </c>
      <c r="I901" s="16" t="inlineStr">
        <is>
          <t>NO_CONVERGIO</t>
        </is>
      </c>
      <c r="J901" s="16" t="inlineStr">
        <is>
          <t>NO_CONVERGIO</t>
        </is>
      </c>
      <c r="K901" s="16" t="b">
        <v>0</v>
      </c>
      <c r="L901" s="16" t="b">
        <v>0</v>
      </c>
      <c r="M901" s="16" t="b">
        <v>0</v>
      </c>
      <c r="N901" s="16" t="b">
        <v>0</v>
      </c>
      <c r="O901" s="16" t="n">
        <v>340</v>
      </c>
      <c r="P901" s="16" t="n">
        <v>300.032917</v>
      </c>
      <c r="Q901" s="16" t="n">
        <v>3000</v>
      </c>
      <c r="R901" s="16" t="n">
        <v>563.6363636363637</v>
      </c>
      <c r="S901" s="16" t="n">
        <v>0.5</v>
      </c>
      <c r="T901" s="16" t="n">
        <v>0.85</v>
      </c>
      <c r="U901" s="16" t="n">
        <v>0.75</v>
      </c>
      <c r="V901" s="16" t="n">
        <v>0.85</v>
      </c>
      <c r="W901" s="16" t="n">
        <v>0.75</v>
      </c>
      <c r="X901" s="16" t="n">
        <v>0.8</v>
      </c>
      <c r="Y901" s="16" t="n"/>
      <c r="Z901" s="16" t="n"/>
      <c r="AA901" s="16" t="n"/>
      <c r="AB901" s="16" t="n">
        <v>2436.363636363636</v>
      </c>
      <c r="AC901" s="16" t="n">
        <v>5.322580645161289</v>
      </c>
      <c r="AD901" s="16" t="n"/>
      <c r="AE901" s="16" t="inlineStr">
        <is>
          <t>T_fuente</t>
        </is>
      </c>
    </row>
    <row r="902">
      <c r="A902" s="16" t="inlineStr">
        <is>
          <t>KF-M03-0001</t>
        </is>
      </c>
      <c r="B902" s="16" t="inlineStr">
        <is>
          <t>3.1</t>
        </is>
      </c>
      <c r="C902" s="16" t="inlineStr">
        <is>
          <t>3.1</t>
        </is>
      </c>
      <c r="D902" s="16" t="inlineStr">
        <is>
          <t>alrededor de A*</t>
        </is>
      </c>
      <c r="E902" s="16" t="inlineStr">
        <is>
          <t>KF-M03</t>
        </is>
      </c>
      <c r="F902" s="16" t="inlineStr">
        <is>
          <t>KF-M03</t>
        </is>
      </c>
      <c r="G902" s="16" t="inlineStr">
        <is>
          <t>B06</t>
        </is>
      </c>
      <c r="H902" s="16" t="inlineStr">
        <is>
          <t>malla</t>
        </is>
      </c>
      <c r="I902" s="16" t="inlineStr">
        <is>
          <t>KALINA</t>
        </is>
      </c>
      <c r="J902" s="16" t="inlineStr">
        <is>
          <t>KALINA</t>
        </is>
      </c>
      <c r="K902" s="16" t="b">
        <v>1</v>
      </c>
      <c r="L902" s="16" t="b">
        <v>1</v>
      </c>
      <c r="M902" s="16" t="b">
        <v>0</v>
      </c>
      <c r="N902" s="16" t="b">
        <v>0</v>
      </c>
      <c r="O902" s="16" t="n">
        <v>400.675</v>
      </c>
      <c r="P902" s="16" t="n">
        <v>300.032917</v>
      </c>
      <c r="Q902" s="16" t="n">
        <v>3000</v>
      </c>
      <c r="R902" s="16" t="n">
        <v>563.6363636363637</v>
      </c>
      <c r="S902" s="16" t="n">
        <v>0.5</v>
      </c>
      <c r="T902" s="16" t="n">
        <v>0.85</v>
      </c>
      <c r="U902" s="16" t="n">
        <v>0.75</v>
      </c>
      <c r="V902" s="16" t="n">
        <v>0.85</v>
      </c>
      <c r="W902" s="16" t="n">
        <v>0.75</v>
      </c>
      <c r="X902" s="16" t="n">
        <v>0.8</v>
      </c>
      <c r="Y902" s="16" t="n"/>
      <c r="Z902" s="16" t="n">
        <v>7.901241058317191</v>
      </c>
      <c r="AA902" s="16" t="n">
        <v>22.0086405435175</v>
      </c>
      <c r="AB902" s="16" t="n">
        <v>2436.363636363636</v>
      </c>
      <c r="AC902" s="16" t="n">
        <v>5.322580645161289</v>
      </c>
      <c r="AD902" s="16" t="n"/>
      <c r="AE902" s="16" t="inlineStr">
        <is>
          <t>T_fuente</t>
        </is>
      </c>
    </row>
    <row r="903">
      <c r="A903" s="16" t="inlineStr">
        <is>
          <t>KF-M03-0002</t>
        </is>
      </c>
      <c r="B903" s="16" t="inlineStr">
        <is>
          <t>3.1</t>
        </is>
      </c>
      <c r="C903" s="16" t="inlineStr">
        <is>
          <t>3.1</t>
        </is>
      </c>
      <c r="D903" s="16" t="inlineStr">
        <is>
          <t>alrededor de A*</t>
        </is>
      </c>
      <c r="E903" s="16" t="inlineStr">
        <is>
          <t>KF-M03</t>
        </is>
      </c>
      <c r="F903" s="16" t="inlineStr">
        <is>
          <t>KF-M03</t>
        </is>
      </c>
      <c r="G903" s="16" t="inlineStr">
        <is>
          <t>B06</t>
        </is>
      </c>
      <c r="H903" s="16" t="inlineStr">
        <is>
          <t>ancla</t>
        </is>
      </c>
      <c r="I903" s="16" t="inlineStr">
        <is>
          <t>KALINA</t>
        </is>
      </c>
      <c r="J903" s="16" t="inlineStr">
        <is>
          <t>KALINA</t>
        </is>
      </c>
      <c r="K903" s="16" t="b">
        <v>1</v>
      </c>
      <c r="L903" s="16" t="b">
        <v>1</v>
      </c>
      <c r="M903" s="16" t="b">
        <v>0</v>
      </c>
      <c r="N903" s="16" t="b">
        <v>0</v>
      </c>
      <c r="O903" s="16" t="n">
        <v>403</v>
      </c>
      <c r="P903" s="16" t="n">
        <v>300.032917</v>
      </c>
      <c r="Q903" s="16" t="n">
        <v>3000</v>
      </c>
      <c r="R903" s="16" t="n">
        <v>563.6363636363637</v>
      </c>
      <c r="S903" s="16" t="n">
        <v>0.5</v>
      </c>
      <c r="T903" s="16" t="n">
        <v>0.85</v>
      </c>
      <c r="U903" s="16" t="n">
        <v>0.75</v>
      </c>
      <c r="V903" s="16" t="n">
        <v>0.85</v>
      </c>
      <c r="W903" s="16" t="n">
        <v>0.75</v>
      </c>
      <c r="X903" s="16" t="n">
        <v>0.8</v>
      </c>
      <c r="Y903" s="16" t="n"/>
      <c r="Z903" s="16" t="n">
        <v>8.481891205006569</v>
      </c>
      <c r="AA903" s="16" t="n">
        <v>25.94188172942141</v>
      </c>
      <c r="AB903" s="16" t="n">
        <v>2436.363636363636</v>
      </c>
      <c r="AC903" s="16" t="n">
        <v>5.322580645161289</v>
      </c>
      <c r="AD903" s="16" t="n"/>
      <c r="AE903" s="16" t="n"/>
    </row>
    <row r="904">
      <c r="A904" s="16" t="inlineStr">
        <is>
          <t>KF-M03-0003</t>
        </is>
      </c>
      <c r="B904" s="16" t="inlineStr">
        <is>
          <t>3.1</t>
        </is>
      </c>
      <c r="C904" s="16" t="inlineStr">
        <is>
          <t>3.1</t>
        </is>
      </c>
      <c r="D904" s="16" t="inlineStr">
        <is>
          <t>alrededor de A*</t>
        </is>
      </c>
      <c r="E904" s="16" t="inlineStr">
        <is>
          <t>KF-M03</t>
        </is>
      </c>
      <c r="F904" s="16" t="inlineStr">
        <is>
          <t>KF-M03</t>
        </is>
      </c>
      <c r="G904" s="16" t="inlineStr">
        <is>
          <t>B06</t>
        </is>
      </c>
      <c r="H904" s="16" t="inlineStr">
        <is>
          <t>malla</t>
        </is>
      </c>
      <c r="I904" s="16" t="inlineStr">
        <is>
          <t>NO_CONVERGIO</t>
        </is>
      </c>
      <c r="J904" s="16" t="inlineStr">
        <is>
          <t>NO_CONVERGIO</t>
        </is>
      </c>
      <c r="K904" s="16" t="b">
        <v>0</v>
      </c>
      <c r="L904" s="16" t="b">
        <v>0</v>
      </c>
      <c r="M904" s="16" t="b">
        <v>0</v>
      </c>
      <c r="N904" s="16" t="b">
        <v>0</v>
      </c>
      <c r="O904" s="16" t="n">
        <v>360.225</v>
      </c>
      <c r="P904" s="16" t="n">
        <v>300.032917</v>
      </c>
      <c r="Q904" s="16" t="n">
        <v>3000</v>
      </c>
      <c r="R904" s="16" t="n">
        <v>563.6363636363637</v>
      </c>
      <c r="S904" s="16" t="n">
        <v>0.5</v>
      </c>
      <c r="T904" s="16" t="n">
        <v>0.85</v>
      </c>
      <c r="U904" s="16" t="n">
        <v>0.75</v>
      </c>
      <c r="V904" s="16" t="n">
        <v>0.85</v>
      </c>
      <c r="W904" s="16" t="n">
        <v>0.75</v>
      </c>
      <c r="X904" s="16" t="n">
        <v>0.8</v>
      </c>
      <c r="Y904" s="16" t="n"/>
      <c r="Z904" s="16" t="n"/>
      <c r="AA904" s="16" t="n"/>
      <c r="AB904" s="16" t="n">
        <v>2436.363636363636</v>
      </c>
      <c r="AC904" s="16" t="n">
        <v>5.322580645161289</v>
      </c>
      <c r="AD904" s="16" t="n"/>
      <c r="AE904" s="16" t="inlineStr">
        <is>
          <t>T_fuente</t>
        </is>
      </c>
    </row>
    <row r="905">
      <c r="A905" s="16" t="inlineStr">
        <is>
          <t>KF-M03-0004</t>
        </is>
      </c>
      <c r="B905" s="16" t="inlineStr">
        <is>
          <t>3.1</t>
        </is>
      </c>
      <c r="C905" s="16" t="inlineStr">
        <is>
          <t>3.1</t>
        </is>
      </c>
      <c r="D905" s="16" t="inlineStr">
        <is>
          <t>alrededor de A*</t>
        </is>
      </c>
      <c r="E905" s="16" t="inlineStr">
        <is>
          <t>KF-M03</t>
        </is>
      </c>
      <c r="F905" s="16" t="inlineStr">
        <is>
          <t>KF-M03</t>
        </is>
      </c>
      <c r="G905" s="16" t="inlineStr">
        <is>
          <t>B06</t>
        </is>
      </c>
      <c r="H905" s="16" t="inlineStr">
        <is>
          <t>malla</t>
        </is>
      </c>
      <c r="I905" s="16" t="inlineStr">
        <is>
          <t>N2</t>
        </is>
      </c>
      <c r="J905" s="16" t="inlineStr">
        <is>
          <t>NO_CONVERGIO</t>
        </is>
      </c>
      <c r="K905" s="16" t="b">
        <v>0</v>
      </c>
      <c r="L905" s="16" t="b">
        <v>0</v>
      </c>
      <c r="M905" s="16" t="b">
        <v>0</v>
      </c>
      <c r="N905" s="16" t="b">
        <v>0</v>
      </c>
      <c r="O905" s="16" t="n">
        <v>380.45</v>
      </c>
      <c r="P905" s="16" t="n">
        <v>300.032917</v>
      </c>
      <c r="Q905" s="16" t="n">
        <v>3000</v>
      </c>
      <c r="R905" s="16" t="n">
        <v>563.6363636363637</v>
      </c>
      <c r="S905" s="16" t="n">
        <v>0.5</v>
      </c>
      <c r="T905" s="16" t="n">
        <v>0.85</v>
      </c>
      <c r="U905" s="16" t="n">
        <v>0.75</v>
      </c>
      <c r="V905" s="16" t="n">
        <v>0.85</v>
      </c>
      <c r="W905" s="16" t="n">
        <v>0.75</v>
      </c>
      <c r="X905" s="16" t="n">
        <v>0.8</v>
      </c>
      <c r="Y905" s="16" t="n"/>
      <c r="Z905" s="16" t="n">
        <v>-36.62951760211237</v>
      </c>
      <c r="AA905" s="16" t="n">
        <v>-23.38892851206415</v>
      </c>
      <c r="AB905" s="16" t="n">
        <v>2436.363636363636</v>
      </c>
      <c r="AC905" s="16" t="n">
        <v>5.322580645161289</v>
      </c>
      <c r="AD905" s="16" t="inlineStr">
        <is>
          <t>N2,S6,O3,O5,C1,C3,C3</t>
        </is>
      </c>
      <c r="AE905" s="16" t="inlineStr">
        <is>
          <t>T_fuente</t>
        </is>
      </c>
    </row>
    <row r="906">
      <c r="A906" s="16" t="inlineStr">
        <is>
          <t>KF-M03-0005</t>
        </is>
      </c>
      <c r="B906" s="16" t="inlineStr">
        <is>
          <t>3.1</t>
        </is>
      </c>
      <c r="C906" s="16" t="inlineStr">
        <is>
          <t>3.1</t>
        </is>
      </c>
      <c r="D906" s="16" t="inlineStr">
        <is>
          <t>alrededor de A*</t>
        </is>
      </c>
      <c r="E906" s="16" t="inlineStr">
        <is>
          <t>KF-M03</t>
        </is>
      </c>
      <c r="F906" s="16" t="inlineStr">
        <is>
          <t>KF-M03</t>
        </is>
      </c>
      <c r="G906" s="16" t="inlineStr">
        <is>
          <t>B06</t>
        </is>
      </c>
      <c r="H906" s="16" t="inlineStr">
        <is>
          <t>malla</t>
        </is>
      </c>
      <c r="I906" s="16" t="inlineStr">
        <is>
          <t>CORREGIBLE</t>
        </is>
      </c>
      <c r="J906" s="16" t="inlineStr">
        <is>
          <t>CORREGIBLE</t>
        </is>
      </c>
      <c r="K906" s="16" t="b">
        <v>1</v>
      </c>
      <c r="L906" s="16" t="b">
        <v>0</v>
      </c>
      <c r="M906" s="16" t="b">
        <v>0</v>
      </c>
      <c r="N906" s="16" t="b">
        <v>0</v>
      </c>
      <c r="O906" s="16" t="n">
        <v>420.9</v>
      </c>
      <c r="P906" s="16" t="n">
        <v>300.032917</v>
      </c>
      <c r="Q906" s="16" t="n">
        <v>3000</v>
      </c>
      <c r="R906" s="16" t="n">
        <v>563.6363636363637</v>
      </c>
      <c r="S906" s="16" t="n">
        <v>0.5</v>
      </c>
      <c r="T906" s="16" t="n">
        <v>0.85</v>
      </c>
      <c r="U906" s="16" t="n">
        <v>0.75</v>
      </c>
      <c r="V906" s="16" t="n">
        <v>0.85</v>
      </c>
      <c r="W906" s="16" t="n">
        <v>0.75</v>
      </c>
      <c r="X906" s="16" t="n">
        <v>0.8</v>
      </c>
      <c r="Y906" s="16" t="n"/>
      <c r="Z906" s="16" t="n">
        <v>10.74105785424298</v>
      </c>
      <c r="AA906" s="16" t="n">
        <v>55.20238945868856</v>
      </c>
      <c r="AB906" s="16" t="n">
        <v>2436.363636363636</v>
      </c>
      <c r="AC906" s="16" t="n">
        <v>5.322580645161289</v>
      </c>
      <c r="AD906" s="16" t="inlineStr">
        <is>
          <t>O2</t>
        </is>
      </c>
      <c r="AE906" s="16" t="inlineStr">
        <is>
          <t>T_fuente</t>
        </is>
      </c>
    </row>
    <row r="907">
      <c r="A907" s="16" t="inlineStr">
        <is>
          <t>KF-M03-0006</t>
        </is>
      </c>
      <c r="B907" s="16" t="inlineStr">
        <is>
          <t>3.1</t>
        </is>
      </c>
      <c r="C907" s="16" t="inlineStr">
        <is>
          <t>3.1</t>
        </is>
      </c>
      <c r="D907" s="16" t="inlineStr">
        <is>
          <t>alrededor de A*</t>
        </is>
      </c>
      <c r="E907" s="16" t="inlineStr">
        <is>
          <t>KF-M03</t>
        </is>
      </c>
      <c r="F907" s="16" t="inlineStr">
        <is>
          <t>KF-M03</t>
        </is>
      </c>
      <c r="G907" s="16" t="inlineStr">
        <is>
          <t>B06</t>
        </is>
      </c>
      <c r="H907" s="16" t="inlineStr">
        <is>
          <t>malla</t>
        </is>
      </c>
      <c r="I907" s="16" t="inlineStr">
        <is>
          <t>CORREGIBLE</t>
        </is>
      </c>
      <c r="J907" s="16" t="inlineStr">
        <is>
          <t>CORREGIBLE</t>
        </is>
      </c>
      <c r="K907" s="16" t="b">
        <v>1</v>
      </c>
      <c r="L907" s="16" t="b">
        <v>0</v>
      </c>
      <c r="M907" s="16" t="b">
        <v>1</v>
      </c>
      <c r="N907" s="16" t="b">
        <v>0</v>
      </c>
      <c r="O907" s="16" t="n">
        <v>441.125</v>
      </c>
      <c r="P907" s="16" t="n">
        <v>300.032917</v>
      </c>
      <c r="Q907" s="16" t="n">
        <v>3000</v>
      </c>
      <c r="R907" s="16" t="n">
        <v>563.6363636363637</v>
      </c>
      <c r="S907" s="16" t="n">
        <v>0.5</v>
      </c>
      <c r="T907" s="16" t="n">
        <v>0.85</v>
      </c>
      <c r="U907" s="16" t="n">
        <v>0.75</v>
      </c>
      <c r="V907" s="16" t="n">
        <v>0.85</v>
      </c>
      <c r="W907" s="16" t="n">
        <v>0.75</v>
      </c>
      <c r="X907" s="16" t="n">
        <v>0.8</v>
      </c>
      <c r="Y907" s="16" t="n"/>
      <c r="Z907" s="16" t="n">
        <v>11.52975398831265</v>
      </c>
      <c r="AA907" s="16" t="n">
        <v>91.4890191654396</v>
      </c>
      <c r="AB907" s="16" t="n">
        <v>2436.363636363636</v>
      </c>
      <c r="AC907" s="16" t="n">
        <v>5.322580645161289</v>
      </c>
      <c r="AD907" s="16" t="inlineStr">
        <is>
          <t>O2</t>
        </is>
      </c>
      <c r="AE907" s="16" t="inlineStr">
        <is>
          <t>T_fuente</t>
        </is>
      </c>
    </row>
    <row r="908">
      <c r="A908" s="16" t="inlineStr">
        <is>
          <t>KF-M03-0007</t>
        </is>
      </c>
      <c r="B908" s="16" t="inlineStr">
        <is>
          <t>3.1</t>
        </is>
      </c>
      <c r="C908" s="16" t="inlineStr">
        <is>
          <t>3.1</t>
        </is>
      </c>
      <c r="D908" s="16" t="inlineStr">
        <is>
          <t>alrededor de A*</t>
        </is>
      </c>
      <c r="E908" s="16" t="inlineStr">
        <is>
          <t>KF-M03</t>
        </is>
      </c>
      <c r="F908" s="16" t="inlineStr">
        <is>
          <t>KF-M03</t>
        </is>
      </c>
      <c r="G908" s="16" t="inlineStr">
        <is>
          <t>B06</t>
        </is>
      </c>
      <c r="H908" s="16" t="inlineStr">
        <is>
          <t>malla</t>
        </is>
      </c>
      <c r="I908" s="16" t="inlineStr">
        <is>
          <t>CORREGIBLE</t>
        </is>
      </c>
      <c r="J908" s="16" t="inlineStr">
        <is>
          <t>CORREGIBLE</t>
        </is>
      </c>
      <c r="K908" s="16" t="b">
        <v>1</v>
      </c>
      <c r="L908" s="16" t="b">
        <v>0</v>
      </c>
      <c r="M908" s="16" t="b">
        <v>1</v>
      </c>
      <c r="N908" s="16" t="b">
        <v>0</v>
      </c>
      <c r="O908" s="16" t="n">
        <v>461.35</v>
      </c>
      <c r="P908" s="16" t="n">
        <v>300.032917</v>
      </c>
      <c r="Q908" s="16" t="n">
        <v>3000</v>
      </c>
      <c r="R908" s="16" t="n">
        <v>563.6363636363637</v>
      </c>
      <c r="S908" s="16" t="n">
        <v>0.5</v>
      </c>
      <c r="T908" s="16" t="n">
        <v>0.85</v>
      </c>
      <c r="U908" s="16" t="n">
        <v>0.75</v>
      </c>
      <c r="V908" s="16" t="n">
        <v>0.85</v>
      </c>
      <c r="W908" s="16" t="n">
        <v>0.75</v>
      </c>
      <c r="X908" s="16" t="n">
        <v>0.8</v>
      </c>
      <c r="Y908" s="16" t="n"/>
      <c r="Z908" s="16" t="n">
        <v>11.56863506159118</v>
      </c>
      <c r="AA908" s="16" t="n">
        <v>142.6469708584337</v>
      </c>
      <c r="AB908" s="16" t="n">
        <v>2436.363636363636</v>
      </c>
      <c r="AC908" s="16" t="n">
        <v>5.322580645161289</v>
      </c>
      <c r="AD908" s="16" t="inlineStr">
        <is>
          <t>O2</t>
        </is>
      </c>
      <c r="AE908" s="16" t="inlineStr">
        <is>
          <t>T_fuente</t>
        </is>
      </c>
    </row>
    <row r="909">
      <c r="A909" s="16" t="inlineStr">
        <is>
          <t>KF-M03-0008</t>
        </is>
      </c>
      <c r="B909" s="16" t="inlineStr">
        <is>
          <t>3.1</t>
        </is>
      </c>
      <c r="C909" s="16" t="inlineStr">
        <is>
          <t>3.1</t>
        </is>
      </c>
      <c r="D909" s="16" t="inlineStr">
        <is>
          <t>alrededor de A*</t>
        </is>
      </c>
      <c r="E909" s="16" t="inlineStr">
        <is>
          <t>KF-M03</t>
        </is>
      </c>
      <c r="F909" s="16" t="inlineStr">
        <is>
          <t>KF-M03</t>
        </is>
      </c>
      <c r="G909" s="16" t="inlineStr">
        <is>
          <t>B06</t>
        </is>
      </c>
      <c r="H909" s="16" t="inlineStr">
        <is>
          <t>malla</t>
        </is>
      </c>
      <c r="I909" s="16" t="inlineStr">
        <is>
          <t>CORREGIBLE</t>
        </is>
      </c>
      <c r="J909" s="16" t="inlineStr">
        <is>
          <t>CORREGIBLE</t>
        </is>
      </c>
      <c r="K909" s="16" t="b">
        <v>1</v>
      </c>
      <c r="L909" s="16" t="b">
        <v>0</v>
      </c>
      <c r="M909" s="16" t="b">
        <v>1</v>
      </c>
      <c r="N909" s="16" t="b">
        <v>0</v>
      </c>
      <c r="O909" s="16" t="n">
        <v>481.575</v>
      </c>
      <c r="P909" s="16" t="n">
        <v>300.032917</v>
      </c>
      <c r="Q909" s="16" t="n">
        <v>3000</v>
      </c>
      <c r="R909" s="16" t="n">
        <v>563.6363636363637</v>
      </c>
      <c r="S909" s="16" t="n">
        <v>0.5</v>
      </c>
      <c r="T909" s="16" t="n">
        <v>0.85</v>
      </c>
      <c r="U909" s="16" t="n">
        <v>0.75</v>
      </c>
      <c r="V909" s="16" t="n">
        <v>0.85</v>
      </c>
      <c r="W909" s="16" t="n">
        <v>0.75</v>
      </c>
      <c r="X909" s="16" t="n">
        <v>0.8</v>
      </c>
      <c r="Y909" s="16" t="n"/>
      <c r="Z909" s="16" t="n">
        <v>11.35643745671123</v>
      </c>
      <c r="AA909" s="16" t="n">
        <v>185.6840031438072</v>
      </c>
      <c r="AB909" s="16" t="n">
        <v>2436.363636363636</v>
      </c>
      <c r="AC909" s="16" t="n">
        <v>5.322580645161289</v>
      </c>
      <c r="AD909" s="16" t="inlineStr">
        <is>
          <t>O2</t>
        </is>
      </c>
      <c r="AE909" s="16" t="inlineStr">
        <is>
          <t>T_fuente</t>
        </is>
      </c>
    </row>
    <row r="910">
      <c r="A910" s="16" t="inlineStr">
        <is>
          <t>KF-M03-0009</t>
        </is>
      </c>
      <c r="B910" s="16" t="inlineStr">
        <is>
          <t>3.1</t>
        </is>
      </c>
      <c r="C910" s="16" t="inlineStr">
        <is>
          <t>3.1</t>
        </is>
      </c>
      <c r="D910" s="16" t="inlineStr">
        <is>
          <t>alrededor de A*</t>
        </is>
      </c>
      <c r="E910" s="16" t="inlineStr">
        <is>
          <t>KF-M03</t>
        </is>
      </c>
      <c r="F910" s="16" t="inlineStr">
        <is>
          <t>KF-M03</t>
        </is>
      </c>
      <c r="G910" s="16" t="inlineStr">
        <is>
          <t>B06</t>
        </is>
      </c>
      <c r="H910" s="16" t="inlineStr">
        <is>
          <t>malla</t>
        </is>
      </c>
      <c r="I910" s="16" t="inlineStr">
        <is>
          <t>CORREGIBLE</t>
        </is>
      </c>
      <c r="J910" s="16" t="inlineStr">
        <is>
          <t>CORREGIBLE</t>
        </is>
      </c>
      <c r="K910" s="16" t="b">
        <v>1</v>
      </c>
      <c r="L910" s="16" t="b">
        <v>0</v>
      </c>
      <c r="M910" s="16" t="b">
        <v>1</v>
      </c>
      <c r="N910" s="16" t="b">
        <v>0</v>
      </c>
      <c r="O910" s="16" t="n">
        <v>522.025</v>
      </c>
      <c r="P910" s="16" t="n">
        <v>300.032917</v>
      </c>
      <c r="Q910" s="16" t="n">
        <v>3000</v>
      </c>
      <c r="R910" s="16" t="n">
        <v>563.6363636363637</v>
      </c>
      <c r="S910" s="16" t="n">
        <v>0.5</v>
      </c>
      <c r="T910" s="16" t="n">
        <v>0.85</v>
      </c>
      <c r="U910" s="16" t="n">
        <v>0.75</v>
      </c>
      <c r="V910" s="16" t="n">
        <v>0.85</v>
      </c>
      <c r="W910" s="16" t="n">
        <v>0.75</v>
      </c>
      <c r="X910" s="16" t="n">
        <v>0.8</v>
      </c>
      <c r="Y910" s="16" t="n"/>
      <c r="Z910" s="16" t="n">
        <v>11.30755460645939</v>
      </c>
      <c r="AA910" s="16" t="n">
        <v>195.0735218895358</v>
      </c>
      <c r="AB910" s="16" t="n">
        <v>2436.363636363636</v>
      </c>
      <c r="AC910" s="16" t="n">
        <v>5.322580645161289</v>
      </c>
      <c r="AD910" s="16" t="inlineStr">
        <is>
          <t>O2</t>
        </is>
      </c>
      <c r="AE910" s="16" t="inlineStr">
        <is>
          <t>T_fuente</t>
        </is>
      </c>
    </row>
    <row r="911">
      <c r="A911" s="16" t="inlineStr">
        <is>
          <t>KF-M03-0010</t>
        </is>
      </c>
      <c r="B911" s="16" t="inlineStr">
        <is>
          <t>3.1</t>
        </is>
      </c>
      <c r="C911" s="16" t="inlineStr">
        <is>
          <t>3.1</t>
        </is>
      </c>
      <c r="D911" s="16" t="inlineStr">
        <is>
          <t>alrededor de A*</t>
        </is>
      </c>
      <c r="E911" s="16" t="inlineStr">
        <is>
          <t>KF-M03</t>
        </is>
      </c>
      <c r="F911" s="16" t="inlineStr">
        <is>
          <t>KF-M03</t>
        </is>
      </c>
      <c r="G911" s="16" t="inlineStr">
        <is>
          <t>B06</t>
        </is>
      </c>
      <c r="H911" s="16" t="inlineStr">
        <is>
          <t>malla</t>
        </is>
      </c>
      <c r="I911" s="16" t="inlineStr">
        <is>
          <t>CORREGIBLE</t>
        </is>
      </c>
      <c r="J911" s="16" t="inlineStr">
        <is>
          <t>CORREGIBLE</t>
        </is>
      </c>
      <c r="K911" s="16" t="b">
        <v>1</v>
      </c>
      <c r="L911" s="16" t="b">
        <v>0</v>
      </c>
      <c r="M911" s="16" t="b">
        <v>1</v>
      </c>
      <c r="N911" s="16" t="b">
        <v>0</v>
      </c>
      <c r="O911" s="16" t="n">
        <v>501.8</v>
      </c>
      <c r="P911" s="16" t="n">
        <v>300.032917</v>
      </c>
      <c r="Q911" s="16" t="n">
        <v>3000</v>
      </c>
      <c r="R911" s="16" t="n">
        <v>563.6363636363637</v>
      </c>
      <c r="S911" s="16" t="n">
        <v>0.5</v>
      </c>
      <c r="T911" s="16" t="n">
        <v>0.85</v>
      </c>
      <c r="U911" s="16" t="n">
        <v>0.75</v>
      </c>
      <c r="V911" s="16" t="n">
        <v>0.85</v>
      </c>
      <c r="W911" s="16" t="n">
        <v>0.75</v>
      </c>
      <c r="X911" s="16" t="n">
        <v>0.8</v>
      </c>
      <c r="Y911" s="16" t="n"/>
      <c r="Z911" s="16" t="n">
        <v>11.330252813248</v>
      </c>
      <c r="AA911" s="16" t="n">
        <v>190.5026723860033</v>
      </c>
      <c r="AB911" s="16" t="n">
        <v>2436.363636363636</v>
      </c>
      <c r="AC911" s="16" t="n">
        <v>5.322580645161289</v>
      </c>
      <c r="AD911" s="16" t="inlineStr">
        <is>
          <t>O2</t>
        </is>
      </c>
      <c r="AE911" s="16" t="inlineStr">
        <is>
          <t>T_fuente</t>
        </is>
      </c>
    </row>
    <row r="912">
      <c r="A912" s="16" t="inlineStr">
        <is>
          <t>KF-M03-0011</t>
        </is>
      </c>
      <c r="B912" s="16" t="inlineStr">
        <is>
          <t>3.1</t>
        </is>
      </c>
      <c r="C912" s="16" t="inlineStr">
        <is>
          <t>3.1</t>
        </is>
      </c>
      <c r="D912" s="16" t="inlineStr">
        <is>
          <t>alrededor de A*</t>
        </is>
      </c>
      <c r="E912" s="16" t="inlineStr">
        <is>
          <t>KF-M03</t>
        </is>
      </c>
      <c r="F912" s="16" t="inlineStr">
        <is>
          <t>KF-M03</t>
        </is>
      </c>
      <c r="G912" s="16" t="inlineStr">
        <is>
          <t>B06</t>
        </is>
      </c>
      <c r="H912" s="16" t="inlineStr">
        <is>
          <t>malla</t>
        </is>
      </c>
      <c r="I912" s="16" t="inlineStr">
        <is>
          <t>CORREGIBLE</t>
        </is>
      </c>
      <c r="J912" s="16" t="inlineStr">
        <is>
          <t>CORREGIBLE</t>
        </is>
      </c>
      <c r="K912" s="16" t="b">
        <v>1</v>
      </c>
      <c r="L912" s="16" t="b">
        <v>0</v>
      </c>
      <c r="M912" s="16" t="b">
        <v>1</v>
      </c>
      <c r="N912" s="16" t="b">
        <v>0</v>
      </c>
      <c r="O912" s="16" t="n">
        <v>542.25</v>
      </c>
      <c r="P912" s="16" t="n">
        <v>300.032917</v>
      </c>
      <c r="Q912" s="16" t="n">
        <v>3000</v>
      </c>
      <c r="R912" s="16" t="n">
        <v>563.6363636363637</v>
      </c>
      <c r="S912" s="16" t="n">
        <v>0.5</v>
      </c>
      <c r="T912" s="16" t="n">
        <v>0.85</v>
      </c>
      <c r="U912" s="16" t="n">
        <v>0.75</v>
      </c>
      <c r="V912" s="16" t="n">
        <v>0.85</v>
      </c>
      <c r="W912" s="16" t="n">
        <v>0.75</v>
      </c>
      <c r="X912" s="16" t="n">
        <v>0.8</v>
      </c>
      <c r="Y912" s="16" t="n"/>
      <c r="Z912" s="16" t="n">
        <v>11.28657037253576</v>
      </c>
      <c r="AA912" s="16" t="n">
        <v>199.4849814759846</v>
      </c>
      <c r="AB912" s="16" t="n">
        <v>2436.363636363636</v>
      </c>
      <c r="AC912" s="16" t="n">
        <v>5.322580645161289</v>
      </c>
      <c r="AD912" s="16" t="inlineStr">
        <is>
          <t>O2</t>
        </is>
      </c>
      <c r="AE912" s="16" t="inlineStr">
        <is>
          <t>T_fuente</t>
        </is>
      </c>
    </row>
    <row r="913">
      <c r="A913" s="16" t="inlineStr">
        <is>
          <t>KF-M03-0012</t>
        </is>
      </c>
      <c r="B913" s="16" t="inlineStr">
        <is>
          <t>3.1</t>
        </is>
      </c>
      <c r="C913" s="16" t="inlineStr">
        <is>
          <t>3.1</t>
        </is>
      </c>
      <c r="D913" s="16" t="inlineStr">
        <is>
          <t>alrededor de A*</t>
        </is>
      </c>
      <c r="E913" s="16" t="inlineStr">
        <is>
          <t>KF-M03</t>
        </is>
      </c>
      <c r="F913" s="16" t="inlineStr">
        <is>
          <t>KF-M03</t>
        </is>
      </c>
      <c r="G913" s="16" t="inlineStr">
        <is>
          <t>B06</t>
        </is>
      </c>
      <c r="H913" s="16" t="inlineStr">
        <is>
          <t>malla</t>
        </is>
      </c>
      <c r="I913" s="16" t="inlineStr">
        <is>
          <t>NO_CONVERGIO</t>
        </is>
      </c>
      <c r="J913" s="16" t="inlineStr">
        <is>
          <t>NO_CONVERGIO</t>
        </is>
      </c>
      <c r="K913" s="16" t="b">
        <v>0</v>
      </c>
      <c r="L913" s="16" t="b">
        <v>0</v>
      </c>
      <c r="M913" s="16" t="b">
        <v>0</v>
      </c>
      <c r="N913" s="16" t="b">
        <v>0</v>
      </c>
      <c r="O913" s="16" t="n">
        <v>602.925</v>
      </c>
      <c r="P913" s="16" t="n">
        <v>300.032917</v>
      </c>
      <c r="Q913" s="16" t="n">
        <v>3000</v>
      </c>
      <c r="R913" s="16" t="n">
        <v>563.6363636363637</v>
      </c>
      <c r="S913" s="16" t="n">
        <v>0.5</v>
      </c>
      <c r="T913" s="16" t="n">
        <v>0.85</v>
      </c>
      <c r="U913" s="16" t="n">
        <v>0.75</v>
      </c>
      <c r="V913" s="16" t="n">
        <v>0.85</v>
      </c>
      <c r="W913" s="16" t="n">
        <v>0.75</v>
      </c>
      <c r="X913" s="16" t="n">
        <v>0.8</v>
      </c>
      <c r="Y913" s="16" t="n"/>
      <c r="Z913" s="16" t="n"/>
      <c r="AA913" s="16" t="n"/>
      <c r="AB913" s="16" t="n">
        <v>2436.363636363636</v>
      </c>
      <c r="AC913" s="16" t="n">
        <v>5.322580645161289</v>
      </c>
      <c r="AD913" s="16" t="n"/>
      <c r="AE913" s="16" t="inlineStr">
        <is>
          <t>T_fuente</t>
        </is>
      </c>
    </row>
    <row r="914">
      <c r="A914" s="16" t="inlineStr">
        <is>
          <t>KF-M03-0013</t>
        </is>
      </c>
      <c r="B914" s="16" t="inlineStr">
        <is>
          <t>3.1</t>
        </is>
      </c>
      <c r="C914" s="16" t="inlineStr">
        <is>
          <t>3.1</t>
        </is>
      </c>
      <c r="D914" s="16" t="inlineStr">
        <is>
          <t>alrededor de A*</t>
        </is>
      </c>
      <c r="E914" s="16" t="inlineStr">
        <is>
          <t>KF-M03</t>
        </is>
      </c>
      <c r="F914" s="16" t="inlineStr">
        <is>
          <t>KF-M03</t>
        </is>
      </c>
      <c r="G914" s="16" t="inlineStr">
        <is>
          <t>B06</t>
        </is>
      </c>
      <c r="H914" s="16" t="inlineStr">
        <is>
          <t>malla</t>
        </is>
      </c>
      <c r="I914" s="16" t="inlineStr">
        <is>
          <t>CORREGIBLE</t>
        </is>
      </c>
      <c r="J914" s="16" t="inlineStr">
        <is>
          <t>CORREGIBLE</t>
        </is>
      </c>
      <c r="K914" s="16" t="b">
        <v>1</v>
      </c>
      <c r="L914" s="16" t="b">
        <v>0</v>
      </c>
      <c r="M914" s="16" t="b">
        <v>1</v>
      </c>
      <c r="N914" s="16" t="b">
        <v>0</v>
      </c>
      <c r="O914" s="16" t="n">
        <v>562.4749999999999</v>
      </c>
      <c r="P914" s="16" t="n">
        <v>300.032917</v>
      </c>
      <c r="Q914" s="16" t="n">
        <v>3000</v>
      </c>
      <c r="R914" s="16" t="n">
        <v>563.6363636363637</v>
      </c>
      <c r="S914" s="16" t="n">
        <v>0.5</v>
      </c>
      <c r="T914" s="16" t="n">
        <v>0.85</v>
      </c>
      <c r="U914" s="16" t="n">
        <v>0.75</v>
      </c>
      <c r="V914" s="16" t="n">
        <v>0.85</v>
      </c>
      <c r="W914" s="16" t="n">
        <v>0.75</v>
      </c>
      <c r="X914" s="16" t="n">
        <v>0.8</v>
      </c>
      <c r="Y914" s="16" t="n"/>
      <c r="Z914" s="16" t="n">
        <v>11.26716403941931</v>
      </c>
      <c r="AA914" s="16" t="n">
        <v>203.8154959014158</v>
      </c>
      <c r="AB914" s="16" t="n">
        <v>2436.363636363636</v>
      </c>
      <c r="AC914" s="16" t="n">
        <v>5.322580645161289</v>
      </c>
      <c r="AD914" s="16" t="inlineStr">
        <is>
          <t>O2</t>
        </is>
      </c>
      <c r="AE914" s="16" t="inlineStr">
        <is>
          <t>T_fuente</t>
        </is>
      </c>
    </row>
    <row r="915">
      <c r="A915" s="16" t="inlineStr">
        <is>
          <t>KF-M03-0014</t>
        </is>
      </c>
      <c r="B915" s="16" t="inlineStr">
        <is>
          <t>3.1</t>
        </is>
      </c>
      <c r="C915" s="16" t="inlineStr">
        <is>
          <t>3.1</t>
        </is>
      </c>
      <c r="D915" s="16" t="inlineStr">
        <is>
          <t>alrededor de A*</t>
        </is>
      </c>
      <c r="E915" s="16" t="inlineStr">
        <is>
          <t>KF-M03</t>
        </is>
      </c>
      <c r="F915" s="16" t="inlineStr">
        <is>
          <t>KF-M03</t>
        </is>
      </c>
      <c r="G915" s="16" t="inlineStr">
        <is>
          <t>B06</t>
        </is>
      </c>
      <c r="H915" s="16" t="inlineStr">
        <is>
          <t>malla</t>
        </is>
      </c>
      <c r="I915" s="16" t="inlineStr">
        <is>
          <t>CORREGIBLE</t>
        </is>
      </c>
      <c r="J915" s="16" t="inlineStr">
        <is>
          <t>CORREGIBLE</t>
        </is>
      </c>
      <c r="K915" s="16" t="b">
        <v>1</v>
      </c>
      <c r="L915" s="16" t="b">
        <v>0</v>
      </c>
      <c r="M915" s="16" t="b">
        <v>1</v>
      </c>
      <c r="N915" s="16" t="b">
        <v>0</v>
      </c>
      <c r="O915" s="16" t="n">
        <v>582.7</v>
      </c>
      <c r="P915" s="16" t="n">
        <v>300.032917</v>
      </c>
      <c r="Q915" s="16" t="n">
        <v>3000</v>
      </c>
      <c r="R915" s="16" t="n">
        <v>563.6363636363637</v>
      </c>
      <c r="S915" s="16" t="n">
        <v>0.5</v>
      </c>
      <c r="T915" s="16" t="n">
        <v>0.85</v>
      </c>
      <c r="U915" s="16" t="n">
        <v>0.75</v>
      </c>
      <c r="V915" s="16" t="n">
        <v>0.85</v>
      </c>
      <c r="W915" s="16" t="n">
        <v>0.75</v>
      </c>
      <c r="X915" s="16" t="n">
        <v>0.8</v>
      </c>
      <c r="Y915" s="16" t="n"/>
      <c r="Z915" s="16" t="n">
        <v>11.24919898631345</v>
      </c>
      <c r="AA915" s="16" t="n">
        <v>208.0997623953892</v>
      </c>
      <c r="AB915" s="16" t="n">
        <v>2436.363636363636</v>
      </c>
      <c r="AC915" s="16" t="n">
        <v>5.322580645161289</v>
      </c>
      <c r="AD915" s="16" t="inlineStr">
        <is>
          <t>O2</t>
        </is>
      </c>
      <c r="AE915" s="16" t="inlineStr">
        <is>
          <t>T_fuente</t>
        </is>
      </c>
    </row>
    <row r="916">
      <c r="A916" s="16" t="inlineStr">
        <is>
          <t>KF-M03-0015</t>
        </is>
      </c>
      <c r="B916" s="16" t="inlineStr">
        <is>
          <t>3.1</t>
        </is>
      </c>
      <c r="C916" s="16" t="inlineStr">
        <is>
          <t>3.1</t>
        </is>
      </c>
      <c r="D916" s="16" t="inlineStr">
        <is>
          <t>alrededor de A*</t>
        </is>
      </c>
      <c r="E916" s="16" t="inlineStr">
        <is>
          <t>KF-M03</t>
        </is>
      </c>
      <c r="F916" s="16" t="inlineStr">
        <is>
          <t>KF-M03</t>
        </is>
      </c>
      <c r="G916" s="16" t="inlineStr">
        <is>
          <t>B06</t>
        </is>
      </c>
      <c r="H916" s="16" t="inlineStr">
        <is>
          <t>malla</t>
        </is>
      </c>
      <c r="I916" s="16" t="inlineStr">
        <is>
          <t>NO_CONVERGIO</t>
        </is>
      </c>
      <c r="J916" s="16" t="inlineStr">
        <is>
          <t>NO_CONVERGIO</t>
        </is>
      </c>
      <c r="K916" s="16" t="b">
        <v>0</v>
      </c>
      <c r="L916" s="16" t="b">
        <v>0</v>
      </c>
      <c r="M916" s="16" t="b">
        <v>0</v>
      </c>
      <c r="N916" s="16" t="b">
        <v>0</v>
      </c>
      <c r="O916" s="16" t="n">
        <v>623.15</v>
      </c>
      <c r="P916" s="16" t="n">
        <v>300.032917</v>
      </c>
      <c r="Q916" s="16" t="n">
        <v>3000</v>
      </c>
      <c r="R916" s="16" t="n">
        <v>563.6363636363637</v>
      </c>
      <c r="S916" s="16" t="n">
        <v>0.5</v>
      </c>
      <c r="T916" s="16" t="n">
        <v>0.85</v>
      </c>
      <c r="U916" s="16" t="n">
        <v>0.75</v>
      </c>
      <c r="V916" s="16" t="n">
        <v>0.85</v>
      </c>
      <c r="W916" s="16" t="n">
        <v>0.75</v>
      </c>
      <c r="X916" s="16" t="n">
        <v>0.8</v>
      </c>
      <c r="Y916" s="16" t="n"/>
      <c r="Z916" s="16" t="n"/>
      <c r="AA916" s="16" t="n"/>
      <c r="AB916" s="16" t="n">
        <v>2436.363636363636</v>
      </c>
      <c r="AC916" s="16" t="n">
        <v>5.322580645161289</v>
      </c>
      <c r="AD916" s="16" t="n"/>
      <c r="AE916" s="16" t="inlineStr">
        <is>
          <t>T_fuente</t>
        </is>
      </c>
    </row>
    <row r="917">
      <c r="A917" s="16" t="inlineStr">
        <is>
          <t>KF-M03-0016</t>
        </is>
      </c>
      <c r="B917" s="16" t="inlineStr">
        <is>
          <t>3.1</t>
        </is>
      </c>
      <c r="C917" s="16" t="inlineStr">
        <is>
          <t>3.1</t>
        </is>
      </c>
      <c r="D917" s="16" t="inlineStr">
        <is>
          <t>alrededor de A*</t>
        </is>
      </c>
      <c r="E917" s="16" t="inlineStr">
        <is>
          <t>KF-M03</t>
        </is>
      </c>
      <c r="F917" s="16" t="inlineStr">
        <is>
          <t>KF-M03</t>
        </is>
      </c>
      <c r="G917" s="16" t="inlineStr">
        <is>
          <t>B06</t>
        </is>
      </c>
      <c r="H917" s="16" t="inlineStr">
        <is>
          <t>vecino</t>
        </is>
      </c>
      <c r="I917" s="16" t="inlineStr">
        <is>
          <t>KALINA</t>
        </is>
      </c>
      <c r="J917" s="16" t="inlineStr">
        <is>
          <t>KALINA</t>
        </is>
      </c>
      <c r="K917" s="16" t="b">
        <v>1</v>
      </c>
      <c r="L917" s="16" t="b">
        <v>1</v>
      </c>
      <c r="M917" s="16" t="b">
        <v>0</v>
      </c>
      <c r="N917" s="16" t="b">
        <v>0</v>
      </c>
      <c r="O917" s="16" t="n">
        <v>400.1685</v>
      </c>
      <c r="P917" s="16" t="n">
        <v>300.032917</v>
      </c>
      <c r="Q917" s="16" t="n">
        <v>3000</v>
      </c>
      <c r="R917" s="16" t="n">
        <v>563.6363636363637</v>
      </c>
      <c r="S917" s="16" t="n">
        <v>0.5</v>
      </c>
      <c r="T917" s="16" t="n">
        <v>0.85</v>
      </c>
      <c r="U917" s="16" t="n">
        <v>0.75</v>
      </c>
      <c r="V917" s="16" t="n">
        <v>0.85</v>
      </c>
      <c r="W917" s="16" t="n">
        <v>0.75</v>
      </c>
      <c r="X917" s="16" t="n">
        <v>0.8</v>
      </c>
      <c r="Y917" s="16" t="n"/>
      <c r="Z917" s="16" t="n">
        <v>7.758199477466101</v>
      </c>
      <c r="AA917" s="16" t="n">
        <v>21.14445194646854</v>
      </c>
      <c r="AB917" s="16" t="n">
        <v>2436.363636363636</v>
      </c>
      <c r="AC917" s="16" t="n">
        <v>5.322580645161289</v>
      </c>
      <c r="AD917" s="16" t="n"/>
      <c r="AE917" s="16" t="inlineStr">
        <is>
          <t>T_fuente</t>
        </is>
      </c>
    </row>
    <row r="918">
      <c r="A918" s="16" t="inlineStr">
        <is>
          <t>KF-M03-0017</t>
        </is>
      </c>
      <c r="B918" s="16" t="inlineStr">
        <is>
          <t>3.1</t>
        </is>
      </c>
      <c r="C918" s="16" t="inlineStr">
        <is>
          <t>3.1</t>
        </is>
      </c>
      <c r="D918" s="16" t="inlineStr">
        <is>
          <t>alrededor de A*</t>
        </is>
      </c>
      <c r="E918" s="16" t="inlineStr">
        <is>
          <t>KF-M03</t>
        </is>
      </c>
      <c r="F918" s="16" t="inlineStr">
        <is>
          <t>KF-M03</t>
        </is>
      </c>
      <c r="G918" s="16" t="inlineStr">
        <is>
          <t>B06</t>
        </is>
      </c>
      <c r="H918" s="16" t="inlineStr">
        <is>
          <t>malla</t>
        </is>
      </c>
      <c r="I918" s="16" t="inlineStr">
        <is>
          <t>KALINA</t>
        </is>
      </c>
      <c r="J918" s="16" t="inlineStr">
        <is>
          <t>KALINA</t>
        </is>
      </c>
      <c r="K918" s="16" t="b">
        <v>1</v>
      </c>
      <c r="L918" s="16" t="b">
        <v>1</v>
      </c>
      <c r="M918" s="16" t="b">
        <v>0</v>
      </c>
      <c r="N918" s="16" t="b">
        <v>0</v>
      </c>
      <c r="O918" s="16" t="n">
        <v>403</v>
      </c>
      <c r="P918" s="16" t="n">
        <v>284.6071428571428</v>
      </c>
      <c r="Q918" s="16" t="n">
        <v>3000</v>
      </c>
      <c r="R918" s="16" t="n">
        <v>563.6363636363637</v>
      </c>
      <c r="S918" s="16" t="n">
        <v>0.5</v>
      </c>
      <c r="T918" s="16" t="n">
        <v>0.85</v>
      </c>
      <c r="U918" s="16" t="n">
        <v>0.75</v>
      </c>
      <c r="V918" s="16" t="n">
        <v>0.85</v>
      </c>
      <c r="W918" s="16" t="n">
        <v>0.75</v>
      </c>
      <c r="X918" s="16" t="n">
        <v>0.8</v>
      </c>
      <c r="Y918" s="16" t="n"/>
      <c r="Z918" s="16" t="n">
        <v>7.82819168388212</v>
      </c>
      <c r="AA918" s="16" t="n">
        <v>25.53725530158006</v>
      </c>
      <c r="AB918" s="16" t="n">
        <v>2436.363636363636</v>
      </c>
      <c r="AC918" s="16" t="n">
        <v>5.322580645161289</v>
      </c>
      <c r="AD918" s="16" t="n"/>
      <c r="AE918" s="16" t="inlineStr">
        <is>
          <t>T_sumidero</t>
        </is>
      </c>
    </row>
    <row r="919">
      <c r="A919" s="16" t="inlineStr">
        <is>
          <t>KF-M03-0018</t>
        </is>
      </c>
      <c r="B919" s="16" t="inlineStr">
        <is>
          <t>3.1</t>
        </is>
      </c>
      <c r="C919" s="16" t="inlineStr">
        <is>
          <t>3.1</t>
        </is>
      </c>
      <c r="D919" s="16" t="inlineStr">
        <is>
          <t>alrededor de A*</t>
        </is>
      </c>
      <c r="E919" s="16" t="inlineStr">
        <is>
          <t>KF-M03</t>
        </is>
      </c>
      <c r="F919" s="16" t="inlineStr">
        <is>
          <t>KF-M03</t>
        </is>
      </c>
      <c r="G919" s="16" t="inlineStr">
        <is>
          <t>B06</t>
        </is>
      </c>
      <c r="H919" s="16" t="inlineStr">
        <is>
          <t>vecino</t>
        </is>
      </c>
      <c r="I919" s="16" t="inlineStr">
        <is>
          <t>CORREGIBLE</t>
        </is>
      </c>
      <c r="J919" s="16" t="inlineStr">
        <is>
          <t>CORREGIBLE</t>
        </is>
      </c>
      <c r="K919" s="16" t="b">
        <v>1</v>
      </c>
      <c r="L919" s="16" t="b">
        <v>0</v>
      </c>
      <c r="M919" s="16" t="b">
        <v>0</v>
      </c>
      <c r="N919" s="16" t="b">
        <v>0</v>
      </c>
      <c r="O919" s="16" t="n">
        <v>405.8315</v>
      </c>
      <c r="P919" s="16" t="n">
        <v>300.032917</v>
      </c>
      <c r="Q919" s="16" t="n">
        <v>3000</v>
      </c>
      <c r="R919" s="16" t="n">
        <v>563.6363636363637</v>
      </c>
      <c r="S919" s="16" t="n">
        <v>0.5</v>
      </c>
      <c r="T919" s="16" t="n">
        <v>0.85</v>
      </c>
      <c r="U919" s="16" t="n">
        <v>0.75</v>
      </c>
      <c r="V919" s="16" t="n">
        <v>0.85</v>
      </c>
      <c r="W919" s="16" t="n">
        <v>0.75</v>
      </c>
      <c r="X919" s="16" t="n">
        <v>0.8</v>
      </c>
      <c r="Y919" s="16" t="n"/>
      <c r="Z919" s="16" t="n">
        <v>9.05391542175971</v>
      </c>
      <c r="AA919" s="16" t="n">
        <v>30.66372902819186</v>
      </c>
      <c r="AB919" s="16" t="n">
        <v>2436.363636363636</v>
      </c>
      <c r="AC919" s="16" t="n">
        <v>5.322580645161289</v>
      </c>
      <c r="AD919" s="16" t="inlineStr">
        <is>
          <t>O2</t>
        </is>
      </c>
      <c r="AE919" s="16" t="inlineStr">
        <is>
          <t>T_fuente</t>
        </is>
      </c>
    </row>
    <row r="920">
      <c r="A920" s="16" t="inlineStr">
        <is>
          <t>KF-M03-0019</t>
        </is>
      </c>
      <c r="B920" s="16" t="inlineStr">
        <is>
          <t>3.1</t>
        </is>
      </c>
      <c r="C920" s="16" t="inlineStr">
        <is>
          <t>3.1</t>
        </is>
      </c>
      <c r="D920" s="16" t="inlineStr">
        <is>
          <t>alrededor de A*</t>
        </is>
      </c>
      <c r="E920" s="16" t="inlineStr">
        <is>
          <t>KF-M03</t>
        </is>
      </c>
      <c r="F920" s="16" t="inlineStr">
        <is>
          <t>KF-M03</t>
        </is>
      </c>
      <c r="G920" s="16" t="inlineStr">
        <is>
          <t>B06</t>
        </is>
      </c>
      <c r="H920" s="16" t="inlineStr">
        <is>
          <t>malla</t>
        </is>
      </c>
      <c r="I920" s="16" t="inlineStr">
        <is>
          <t>KALINA</t>
        </is>
      </c>
      <c r="J920" s="16" t="inlineStr">
        <is>
          <t>KALINA</t>
        </is>
      </c>
      <c r="K920" s="16" t="b">
        <v>1</v>
      </c>
      <c r="L920" s="16" t="b">
        <v>1</v>
      </c>
      <c r="M920" s="16" t="b">
        <v>0</v>
      </c>
      <c r="N920" s="16" t="b">
        <v>0</v>
      </c>
      <c r="O920" s="16" t="n">
        <v>403</v>
      </c>
      <c r="P920" s="16" t="n">
        <v>283.15</v>
      </c>
      <c r="Q920" s="16" t="n">
        <v>3000</v>
      </c>
      <c r="R920" s="16" t="n">
        <v>563.6363636363637</v>
      </c>
      <c r="S920" s="16" t="n">
        <v>0.5</v>
      </c>
      <c r="T920" s="16" t="n">
        <v>0.85</v>
      </c>
      <c r="U920" s="16" t="n">
        <v>0.75</v>
      </c>
      <c r="V920" s="16" t="n">
        <v>0.85</v>
      </c>
      <c r="W920" s="16" t="n">
        <v>0.75</v>
      </c>
      <c r="X920" s="16" t="n">
        <v>0.8</v>
      </c>
      <c r="Y920" s="16" t="n"/>
      <c r="Z920" s="16" t="n">
        <v>7.77124008573107</v>
      </c>
      <c r="AA920" s="16" t="n">
        <v>25.49928657081651</v>
      </c>
      <c r="AB920" s="16" t="n">
        <v>2436.363636363636</v>
      </c>
      <c r="AC920" s="16" t="n">
        <v>5.322580645161289</v>
      </c>
      <c r="AD920" s="16" t="n"/>
      <c r="AE920" s="16" t="inlineStr">
        <is>
          <t>T_sumidero</t>
        </is>
      </c>
    </row>
    <row r="921">
      <c r="A921" s="16" t="inlineStr">
        <is>
          <t>KF-M03-0020</t>
        </is>
      </c>
      <c r="B921" s="16" t="inlineStr">
        <is>
          <t>3.1</t>
        </is>
      </c>
      <c r="C921" s="16" t="inlineStr">
        <is>
          <t>3.1</t>
        </is>
      </c>
      <c r="D921" s="16" t="inlineStr">
        <is>
          <t>alrededor de A*</t>
        </is>
      </c>
      <c r="E921" s="16" t="inlineStr">
        <is>
          <t>KF-M03</t>
        </is>
      </c>
      <c r="F921" s="16" t="inlineStr">
        <is>
          <t>KF-M03</t>
        </is>
      </c>
      <c r="G921" s="16" t="inlineStr">
        <is>
          <t>B06</t>
        </is>
      </c>
      <c r="H921" s="16" t="inlineStr">
        <is>
          <t>malla</t>
        </is>
      </c>
      <c r="I921" s="16" t="inlineStr">
        <is>
          <t>KALINA</t>
        </is>
      </c>
      <c r="J921" s="16" t="inlineStr">
        <is>
          <t>KALINA</t>
        </is>
      </c>
      <c r="K921" s="16" t="b">
        <v>1</v>
      </c>
      <c r="L921" s="16" t="b">
        <v>1</v>
      </c>
      <c r="M921" s="16" t="b">
        <v>0</v>
      </c>
      <c r="N921" s="16" t="b">
        <v>0</v>
      </c>
      <c r="O921" s="16" t="n">
        <v>403</v>
      </c>
      <c r="P921" s="16" t="n">
        <v>287.5214285714285</v>
      </c>
      <c r="Q921" s="16" t="n">
        <v>3000</v>
      </c>
      <c r="R921" s="16" t="n">
        <v>563.6363636363637</v>
      </c>
      <c r="S921" s="16" t="n">
        <v>0.5</v>
      </c>
      <c r="T921" s="16" t="n">
        <v>0.85</v>
      </c>
      <c r="U921" s="16" t="n">
        <v>0.75</v>
      </c>
      <c r="V921" s="16" t="n">
        <v>0.85</v>
      </c>
      <c r="W921" s="16" t="n">
        <v>0.75</v>
      </c>
      <c r="X921" s="16" t="n">
        <v>0.8</v>
      </c>
      <c r="Y921" s="16" t="n"/>
      <c r="Z921" s="16" t="n">
        <v>7.944439444895619</v>
      </c>
      <c r="AA921" s="16" t="n">
        <v>25.61333002774528</v>
      </c>
      <c r="AB921" s="16" t="n">
        <v>2436.363636363636</v>
      </c>
      <c r="AC921" s="16" t="n">
        <v>5.322580645161289</v>
      </c>
      <c r="AD921" s="16" t="n"/>
      <c r="AE921" s="16" t="inlineStr">
        <is>
          <t>T_sumidero</t>
        </is>
      </c>
    </row>
    <row r="922">
      <c r="A922" s="16" t="inlineStr">
        <is>
          <t>KF-M03-0021</t>
        </is>
      </c>
      <c r="B922" s="16" t="inlineStr">
        <is>
          <t>3.1</t>
        </is>
      </c>
      <c r="C922" s="16" t="inlineStr">
        <is>
          <t>3.1</t>
        </is>
      </c>
      <c r="D922" s="16" t="inlineStr">
        <is>
          <t>alrededor de A*</t>
        </is>
      </c>
      <c r="E922" s="16" t="inlineStr">
        <is>
          <t>KF-M03</t>
        </is>
      </c>
      <c r="F922" s="16" t="inlineStr">
        <is>
          <t>KF-M03</t>
        </is>
      </c>
      <c r="G922" s="16" t="inlineStr">
        <is>
          <t>B06</t>
        </is>
      </c>
      <c r="H922" s="16" t="inlineStr">
        <is>
          <t>malla</t>
        </is>
      </c>
      <c r="I922" s="16" t="inlineStr">
        <is>
          <t>KALINA</t>
        </is>
      </c>
      <c r="J922" s="16" t="inlineStr">
        <is>
          <t>KALINA</t>
        </is>
      </c>
      <c r="K922" s="16" t="b">
        <v>1</v>
      </c>
      <c r="L922" s="16" t="b">
        <v>1</v>
      </c>
      <c r="M922" s="16" t="b">
        <v>0</v>
      </c>
      <c r="N922" s="16" t="b">
        <v>0</v>
      </c>
      <c r="O922" s="16" t="n">
        <v>403</v>
      </c>
      <c r="P922" s="16" t="n">
        <v>286.0642857142857</v>
      </c>
      <c r="Q922" s="16" t="n">
        <v>3000</v>
      </c>
      <c r="R922" s="16" t="n">
        <v>563.6363636363637</v>
      </c>
      <c r="S922" s="16" t="n">
        <v>0.5</v>
      </c>
      <c r="T922" s="16" t="n">
        <v>0.85</v>
      </c>
      <c r="U922" s="16" t="n">
        <v>0.75</v>
      </c>
      <c r="V922" s="16" t="n">
        <v>0.85</v>
      </c>
      <c r="W922" s="16" t="n">
        <v>0.75</v>
      </c>
      <c r="X922" s="16" t="n">
        <v>0.8</v>
      </c>
      <c r="Y922" s="16" t="n"/>
      <c r="Z922" s="16" t="n">
        <v>7.88591981406722</v>
      </c>
      <c r="AA922" s="16" t="n">
        <v>25.57527009071268</v>
      </c>
      <c r="AB922" s="16" t="n">
        <v>2436.363636363636</v>
      </c>
      <c r="AC922" s="16" t="n">
        <v>5.322580645161289</v>
      </c>
      <c r="AD922" s="16" t="n"/>
      <c r="AE922" s="16" t="inlineStr">
        <is>
          <t>T_sumidero</t>
        </is>
      </c>
    </row>
    <row r="923">
      <c r="A923" s="16" t="inlineStr">
        <is>
          <t>KF-M03-0022</t>
        </is>
      </c>
      <c r="B923" s="16" t="inlineStr">
        <is>
          <t>3.1</t>
        </is>
      </c>
      <c r="C923" s="16" t="inlineStr">
        <is>
          <t>3.1</t>
        </is>
      </c>
      <c r="D923" s="16" t="inlineStr">
        <is>
          <t>alrededor de A*</t>
        </is>
      </c>
      <c r="E923" s="16" t="inlineStr">
        <is>
          <t>KF-M03</t>
        </is>
      </c>
      <c r="F923" s="16" t="inlineStr">
        <is>
          <t>KF-M03</t>
        </is>
      </c>
      <c r="G923" s="16" t="inlineStr">
        <is>
          <t>B06</t>
        </is>
      </c>
      <c r="H923" s="16" t="inlineStr">
        <is>
          <t>malla</t>
        </is>
      </c>
      <c r="I923" s="16" t="inlineStr">
        <is>
          <t>KALINA</t>
        </is>
      </c>
      <c r="J923" s="16" t="inlineStr">
        <is>
          <t>KALINA</t>
        </is>
      </c>
      <c r="K923" s="16" t="b">
        <v>1</v>
      </c>
      <c r="L923" s="16" t="b">
        <v>1</v>
      </c>
      <c r="M923" s="16" t="b">
        <v>0</v>
      </c>
      <c r="N923" s="16" t="b">
        <v>0</v>
      </c>
      <c r="O923" s="16" t="n">
        <v>403</v>
      </c>
      <c r="P923" s="16" t="n">
        <v>288.9785714285714</v>
      </c>
      <c r="Q923" s="16" t="n">
        <v>3000</v>
      </c>
      <c r="R923" s="16" t="n">
        <v>563.6363636363637</v>
      </c>
      <c r="S923" s="16" t="n">
        <v>0.5</v>
      </c>
      <c r="T923" s="16" t="n">
        <v>0.85</v>
      </c>
      <c r="U923" s="16" t="n">
        <v>0.75</v>
      </c>
      <c r="V923" s="16" t="n">
        <v>0.85</v>
      </c>
      <c r="W923" s="16" t="n">
        <v>0.75</v>
      </c>
      <c r="X923" s="16" t="n">
        <v>0.8</v>
      </c>
      <c r="Y923" s="16" t="n"/>
      <c r="Z923" s="16" t="n">
        <v>8.00376608012461</v>
      </c>
      <c r="AA923" s="16" t="n">
        <v>25.65143428218371</v>
      </c>
      <c r="AB923" s="16" t="n">
        <v>2436.363636363636</v>
      </c>
      <c r="AC923" s="16" t="n">
        <v>5.322580645161289</v>
      </c>
      <c r="AD923" s="16" t="n"/>
      <c r="AE923" s="16" t="inlineStr">
        <is>
          <t>T_sumidero</t>
        </is>
      </c>
    </row>
    <row r="924">
      <c r="A924" s="16" t="inlineStr">
        <is>
          <t>KF-M03-0023</t>
        </is>
      </c>
      <c r="B924" s="16" t="inlineStr">
        <is>
          <t>3.1</t>
        </is>
      </c>
      <c r="C924" s="16" t="inlineStr">
        <is>
          <t>3.1</t>
        </is>
      </c>
      <c r="D924" s="16" t="inlineStr">
        <is>
          <t>alrededor de A*</t>
        </is>
      </c>
      <c r="E924" s="16" t="inlineStr">
        <is>
          <t>KF-M03</t>
        </is>
      </c>
      <c r="F924" s="16" t="inlineStr">
        <is>
          <t>KF-M03</t>
        </is>
      </c>
      <c r="G924" s="16" t="inlineStr">
        <is>
          <t>B06</t>
        </is>
      </c>
      <c r="H924" s="16" t="inlineStr">
        <is>
          <t>malla</t>
        </is>
      </c>
      <c r="I924" s="16" t="inlineStr">
        <is>
          <t>KALINA</t>
        </is>
      </c>
      <c r="J924" s="16" t="inlineStr">
        <is>
          <t>KALINA</t>
        </is>
      </c>
      <c r="K924" s="16" t="b">
        <v>1</v>
      </c>
      <c r="L924" s="16" t="b">
        <v>1</v>
      </c>
      <c r="M924" s="16" t="b">
        <v>0</v>
      </c>
      <c r="N924" s="16" t="b">
        <v>0</v>
      </c>
      <c r="O924" s="16" t="n">
        <v>403</v>
      </c>
      <c r="P924" s="16" t="n">
        <v>290.4357142857143</v>
      </c>
      <c r="Q924" s="16" t="n">
        <v>3000</v>
      </c>
      <c r="R924" s="16" t="n">
        <v>563.6363636363637</v>
      </c>
      <c r="S924" s="16" t="n">
        <v>0.5</v>
      </c>
      <c r="T924" s="16" t="n">
        <v>0.85</v>
      </c>
      <c r="U924" s="16" t="n">
        <v>0.75</v>
      </c>
      <c r="V924" s="16" t="n">
        <v>0.85</v>
      </c>
      <c r="W924" s="16" t="n">
        <v>0.75</v>
      </c>
      <c r="X924" s="16" t="n">
        <v>0.8</v>
      </c>
      <c r="Y924" s="16" t="n"/>
      <c r="Z924" s="16" t="n">
        <v>8.06391577457363</v>
      </c>
      <c r="AA924" s="16" t="n">
        <v>25.6895820999942</v>
      </c>
      <c r="AB924" s="16" t="n">
        <v>2436.363636363636</v>
      </c>
      <c r="AC924" s="16" t="n">
        <v>5.322580645161289</v>
      </c>
      <c r="AD924" s="16" t="n"/>
      <c r="AE924" s="16" t="inlineStr">
        <is>
          <t>T_sumidero</t>
        </is>
      </c>
    </row>
    <row r="925">
      <c r="A925" s="16" t="inlineStr">
        <is>
          <t>KF-M03-0024</t>
        </is>
      </c>
      <c r="B925" s="16" t="inlineStr">
        <is>
          <t>3.1</t>
        </is>
      </c>
      <c r="C925" s="16" t="inlineStr">
        <is>
          <t>3.1</t>
        </is>
      </c>
      <c r="D925" s="16" t="inlineStr">
        <is>
          <t>alrededor de A*</t>
        </is>
      </c>
      <c r="E925" s="16" t="inlineStr">
        <is>
          <t>KF-M03</t>
        </is>
      </c>
      <c r="F925" s="16" t="inlineStr">
        <is>
          <t>KF-M03</t>
        </is>
      </c>
      <c r="G925" s="16" t="inlineStr">
        <is>
          <t>B06</t>
        </is>
      </c>
      <c r="H925" s="16" t="inlineStr">
        <is>
          <t>malla</t>
        </is>
      </c>
      <c r="I925" s="16" t="inlineStr">
        <is>
          <t>KALINA</t>
        </is>
      </c>
      <c r="J925" s="16" t="inlineStr">
        <is>
          <t>KALINA</t>
        </is>
      </c>
      <c r="K925" s="16" t="b">
        <v>1</v>
      </c>
      <c r="L925" s="16" t="b">
        <v>1</v>
      </c>
      <c r="M925" s="16" t="b">
        <v>0</v>
      </c>
      <c r="N925" s="16" t="b">
        <v>0</v>
      </c>
      <c r="O925" s="16" t="n">
        <v>403</v>
      </c>
      <c r="P925" s="16" t="n">
        <v>291.8928571428571</v>
      </c>
      <c r="Q925" s="16" t="n">
        <v>3000</v>
      </c>
      <c r="R925" s="16" t="n">
        <v>563.6363636363637</v>
      </c>
      <c r="S925" s="16" t="n">
        <v>0.5</v>
      </c>
      <c r="T925" s="16" t="n">
        <v>0.85</v>
      </c>
      <c r="U925" s="16" t="n">
        <v>0.75</v>
      </c>
      <c r="V925" s="16" t="n">
        <v>0.85</v>
      </c>
      <c r="W925" s="16" t="n">
        <v>0.75</v>
      </c>
      <c r="X925" s="16" t="n">
        <v>0.8</v>
      </c>
      <c r="Y925" s="16" t="n"/>
      <c r="Z925" s="16" t="n">
        <v>8.124905143525279</v>
      </c>
      <c r="AA925" s="16" t="n">
        <v>25.72777278615488</v>
      </c>
      <c r="AB925" s="16" t="n">
        <v>2436.363636363636</v>
      </c>
      <c r="AC925" s="16" t="n">
        <v>5.322580645161289</v>
      </c>
      <c r="AD925" s="16" t="n"/>
      <c r="AE925" s="16" t="inlineStr">
        <is>
          <t>T_sumidero</t>
        </is>
      </c>
    </row>
    <row r="926">
      <c r="A926" s="16" t="inlineStr">
        <is>
          <t>KF-M03-0025</t>
        </is>
      </c>
      <c r="B926" s="16" t="inlineStr">
        <is>
          <t>3.1</t>
        </is>
      </c>
      <c r="C926" s="16" t="inlineStr">
        <is>
          <t>3.1</t>
        </is>
      </c>
      <c r="D926" s="16" t="inlineStr">
        <is>
          <t>alrededor de A*</t>
        </is>
      </c>
      <c r="E926" s="16" t="inlineStr">
        <is>
          <t>KF-M03</t>
        </is>
      </c>
      <c r="F926" s="16" t="inlineStr">
        <is>
          <t>KF-M03</t>
        </is>
      </c>
      <c r="G926" s="16" t="inlineStr">
        <is>
          <t>B06</t>
        </is>
      </c>
      <c r="H926" s="16" t="inlineStr">
        <is>
          <t>malla</t>
        </is>
      </c>
      <c r="I926" s="16" t="inlineStr">
        <is>
          <t>KALINA</t>
        </is>
      </c>
      <c r="J926" s="16" t="inlineStr">
        <is>
          <t>KALINA</t>
        </is>
      </c>
      <c r="K926" s="16" t="b">
        <v>1</v>
      </c>
      <c r="L926" s="16" t="b">
        <v>1</v>
      </c>
      <c r="M926" s="16" t="b">
        <v>0</v>
      </c>
      <c r="N926" s="16" t="b">
        <v>0</v>
      </c>
      <c r="O926" s="16" t="n">
        <v>403</v>
      </c>
      <c r="P926" s="16" t="n">
        <v>294.8071428571429</v>
      </c>
      <c r="Q926" s="16" t="n">
        <v>3000</v>
      </c>
      <c r="R926" s="16" t="n">
        <v>563.6363636363637</v>
      </c>
      <c r="S926" s="16" t="n">
        <v>0.5</v>
      </c>
      <c r="T926" s="16" t="n">
        <v>0.85</v>
      </c>
      <c r="U926" s="16" t="n">
        <v>0.75</v>
      </c>
      <c r="V926" s="16" t="n">
        <v>0.85</v>
      </c>
      <c r="W926" s="16" t="n">
        <v>0.75</v>
      </c>
      <c r="X926" s="16" t="n">
        <v>0.8</v>
      </c>
      <c r="Y926" s="16" t="n"/>
      <c r="Z926" s="16" t="n">
        <v>8.24947232257384</v>
      </c>
      <c r="AA926" s="16" t="n">
        <v>25.80428042206708</v>
      </c>
      <c r="AB926" s="16" t="n">
        <v>2436.363636363636</v>
      </c>
      <c r="AC926" s="16" t="n">
        <v>5.322580645161289</v>
      </c>
      <c r="AD926" s="16" t="n"/>
      <c r="AE926" s="16" t="inlineStr">
        <is>
          <t>T_sumidero</t>
        </is>
      </c>
    </row>
    <row r="927">
      <c r="A927" s="16" t="inlineStr">
        <is>
          <t>KF-M03-0026</t>
        </is>
      </c>
      <c r="B927" s="16" t="inlineStr">
        <is>
          <t>3.1</t>
        </is>
      </c>
      <c r="C927" s="16" t="inlineStr">
        <is>
          <t>3.1</t>
        </is>
      </c>
      <c r="D927" s="16" t="inlineStr">
        <is>
          <t>alrededor de A*</t>
        </is>
      </c>
      <c r="E927" s="16" t="inlineStr">
        <is>
          <t>KF-M03</t>
        </is>
      </c>
      <c r="F927" s="16" t="inlineStr">
        <is>
          <t>KF-M03</t>
        </is>
      </c>
      <c r="G927" s="16" t="inlineStr">
        <is>
          <t>B06</t>
        </is>
      </c>
      <c r="H927" s="16" t="inlineStr">
        <is>
          <t>malla</t>
        </is>
      </c>
      <c r="I927" s="16" t="inlineStr">
        <is>
          <t>KALINA</t>
        </is>
      </c>
      <c r="J927" s="16" t="inlineStr">
        <is>
          <t>KALINA</t>
        </is>
      </c>
      <c r="K927" s="16" t="b">
        <v>1</v>
      </c>
      <c r="L927" s="16" t="b">
        <v>1</v>
      </c>
      <c r="M927" s="16" t="b">
        <v>0</v>
      </c>
      <c r="N927" s="16" t="b">
        <v>0</v>
      </c>
      <c r="O927" s="16" t="n">
        <v>403</v>
      </c>
      <c r="P927" s="16" t="n">
        <v>293.35</v>
      </c>
      <c r="Q927" s="16" t="n">
        <v>3000</v>
      </c>
      <c r="R927" s="16" t="n">
        <v>563.6363636363637</v>
      </c>
      <c r="S927" s="16" t="n">
        <v>0.5</v>
      </c>
      <c r="T927" s="16" t="n">
        <v>0.85</v>
      </c>
      <c r="U927" s="16" t="n">
        <v>0.75</v>
      </c>
      <c r="V927" s="16" t="n">
        <v>0.85</v>
      </c>
      <c r="W927" s="16" t="n">
        <v>0.75</v>
      </c>
      <c r="X927" s="16" t="n">
        <v>0.8</v>
      </c>
      <c r="Y927" s="16" t="n"/>
      <c r="Z927" s="16" t="n">
        <v>8.18675139559317</v>
      </c>
      <c r="AA927" s="16" t="n">
        <v>25.76600575145878</v>
      </c>
      <c r="AB927" s="16" t="n">
        <v>2436.363636363636</v>
      </c>
      <c r="AC927" s="16" t="n">
        <v>5.322580645161289</v>
      </c>
      <c r="AD927" s="16" t="n"/>
      <c r="AE927" s="16" t="inlineStr">
        <is>
          <t>T_sumidero</t>
        </is>
      </c>
    </row>
    <row r="928">
      <c r="A928" s="16" t="inlineStr">
        <is>
          <t>KF-M03-0027</t>
        </is>
      </c>
      <c r="B928" s="16" t="inlineStr">
        <is>
          <t>3.1</t>
        </is>
      </c>
      <c r="C928" s="16" t="inlineStr">
        <is>
          <t>3.1</t>
        </is>
      </c>
      <c r="D928" s="16" t="inlineStr">
        <is>
          <t>alrededor de A*</t>
        </is>
      </c>
      <c r="E928" s="16" t="inlineStr">
        <is>
          <t>KF-M03</t>
        </is>
      </c>
      <c r="F928" s="16" t="inlineStr">
        <is>
          <t>KF-M03</t>
        </is>
      </c>
      <c r="G928" s="16" t="inlineStr">
        <is>
          <t>B06</t>
        </is>
      </c>
      <c r="H928" s="16" t="inlineStr">
        <is>
          <t>malla</t>
        </is>
      </c>
      <c r="I928" s="16" t="inlineStr">
        <is>
          <t>KALINA</t>
        </is>
      </c>
      <c r="J928" s="16" t="inlineStr">
        <is>
          <t>KALINA</t>
        </is>
      </c>
      <c r="K928" s="16" t="b">
        <v>1</v>
      </c>
      <c r="L928" s="16" t="b">
        <v>1</v>
      </c>
      <c r="M928" s="16" t="b">
        <v>0</v>
      </c>
      <c r="N928" s="16" t="b">
        <v>0</v>
      </c>
      <c r="O928" s="16" t="n">
        <v>403</v>
      </c>
      <c r="P928" s="16" t="n">
        <v>296.2642857142857</v>
      </c>
      <c r="Q928" s="16" t="n">
        <v>3000</v>
      </c>
      <c r="R928" s="16" t="n">
        <v>563.6363636363637</v>
      </c>
      <c r="S928" s="16" t="n">
        <v>0.5</v>
      </c>
      <c r="T928" s="16" t="n">
        <v>0.85</v>
      </c>
      <c r="U928" s="16" t="n">
        <v>0.75</v>
      </c>
      <c r="V928" s="16" t="n">
        <v>0.85</v>
      </c>
      <c r="W928" s="16" t="n">
        <v>0.75</v>
      </c>
      <c r="X928" s="16" t="n">
        <v>0.8</v>
      </c>
      <c r="Y928" s="16" t="n"/>
      <c r="Z928" s="16" t="n">
        <v>8.31308633878894</v>
      </c>
      <c r="AA928" s="16" t="n">
        <v>25.84259630207274</v>
      </c>
      <c r="AB928" s="16" t="n">
        <v>2436.363636363636</v>
      </c>
      <c r="AC928" s="16" t="n">
        <v>5.322580645161289</v>
      </c>
      <c r="AD928" s="16" t="n"/>
      <c r="AE928" s="16" t="inlineStr">
        <is>
          <t>T_sumidero</t>
        </is>
      </c>
    </row>
    <row r="929">
      <c r="A929" s="16" t="inlineStr">
        <is>
          <t>KF-M03-0028</t>
        </is>
      </c>
      <c r="B929" s="16" t="inlineStr">
        <is>
          <t>3.1</t>
        </is>
      </c>
      <c r="C929" s="16" t="inlineStr">
        <is>
          <t>3.1</t>
        </is>
      </c>
      <c r="D929" s="16" t="inlineStr">
        <is>
          <t>alrededor de A*</t>
        </is>
      </c>
      <c r="E929" s="16" t="inlineStr">
        <is>
          <t>KF-M03</t>
        </is>
      </c>
      <c r="F929" s="16" t="inlineStr">
        <is>
          <t>KF-M03</t>
        </is>
      </c>
      <c r="G929" s="16" t="inlineStr">
        <is>
          <t>B06</t>
        </is>
      </c>
      <c r="H929" s="16" t="inlineStr">
        <is>
          <t>malla</t>
        </is>
      </c>
      <c r="I929" s="16" t="inlineStr">
        <is>
          <t>KALINA</t>
        </is>
      </c>
      <c r="J929" s="16" t="inlineStr">
        <is>
          <t>KALINA</t>
        </is>
      </c>
      <c r="K929" s="16" t="b">
        <v>1</v>
      </c>
      <c r="L929" s="16" t="b">
        <v>1</v>
      </c>
      <c r="M929" s="16" t="b">
        <v>0</v>
      </c>
      <c r="N929" s="16" t="b">
        <v>0</v>
      </c>
      <c r="O929" s="16" t="n">
        <v>403</v>
      </c>
      <c r="P929" s="16" t="n">
        <v>297.7214285714286</v>
      </c>
      <c r="Q929" s="16" t="n">
        <v>3000</v>
      </c>
      <c r="R929" s="16" t="n">
        <v>563.6363636363637</v>
      </c>
      <c r="S929" s="16" t="n">
        <v>0.5</v>
      </c>
      <c r="T929" s="16" t="n">
        <v>0.85</v>
      </c>
      <c r="U929" s="16" t="n">
        <v>0.75</v>
      </c>
      <c r="V929" s="16" t="n">
        <v>0.85</v>
      </c>
      <c r="W929" s="16" t="n">
        <v>0.75</v>
      </c>
      <c r="X929" s="16" t="n">
        <v>0.8</v>
      </c>
      <c r="Y929" s="16" t="n"/>
      <c r="Z929" s="16" t="n">
        <v>8.377612494883891</v>
      </c>
      <c r="AA929" s="16" t="n">
        <v>25.88095295261229</v>
      </c>
      <c r="AB929" s="16" t="n">
        <v>2436.363636363636</v>
      </c>
      <c r="AC929" s="16" t="n">
        <v>5.322580645161289</v>
      </c>
      <c r="AD929" s="16" t="n"/>
      <c r="AE929" s="16" t="inlineStr">
        <is>
          <t>T_sumidero</t>
        </is>
      </c>
    </row>
    <row r="930">
      <c r="A930" s="16" t="inlineStr">
        <is>
          <t>KF-M03-0029</t>
        </is>
      </c>
      <c r="B930" s="16" t="inlineStr">
        <is>
          <t>3.1</t>
        </is>
      </c>
      <c r="C930" s="16" t="inlineStr">
        <is>
          <t>3.1</t>
        </is>
      </c>
      <c r="D930" s="16" t="inlineStr">
        <is>
          <t>alrededor de A*</t>
        </is>
      </c>
      <c r="E930" s="16" t="inlineStr">
        <is>
          <t>KF-M03</t>
        </is>
      </c>
      <c r="F930" s="16" t="inlineStr">
        <is>
          <t>KF-M03</t>
        </is>
      </c>
      <c r="G930" s="16" t="inlineStr">
        <is>
          <t>B06</t>
        </is>
      </c>
      <c r="H930" s="16" t="inlineStr">
        <is>
          <t>malla</t>
        </is>
      </c>
      <c r="I930" s="16" t="inlineStr">
        <is>
          <t>KALINA</t>
        </is>
      </c>
      <c r="J930" s="16" t="inlineStr">
        <is>
          <t>KALINA</t>
        </is>
      </c>
      <c r="K930" s="16" t="b">
        <v>1</v>
      </c>
      <c r="L930" s="16" t="b">
        <v>1</v>
      </c>
      <c r="M930" s="16" t="b">
        <v>0</v>
      </c>
      <c r="N930" s="16" t="b">
        <v>0</v>
      </c>
      <c r="O930" s="16" t="n">
        <v>403</v>
      </c>
      <c r="P930" s="16" t="n">
        <v>299.1785714285714</v>
      </c>
      <c r="Q930" s="16" t="n">
        <v>3000</v>
      </c>
      <c r="R930" s="16" t="n">
        <v>563.6363636363637</v>
      </c>
      <c r="S930" s="16" t="n">
        <v>0.5</v>
      </c>
      <c r="T930" s="16" t="n">
        <v>0.85</v>
      </c>
      <c r="U930" s="16" t="n">
        <v>0.75</v>
      </c>
      <c r="V930" s="16" t="n">
        <v>0.85</v>
      </c>
      <c r="W930" s="16" t="n">
        <v>0.75</v>
      </c>
      <c r="X930" s="16" t="n">
        <v>0.8</v>
      </c>
      <c r="Y930" s="16" t="n"/>
      <c r="Z930" s="16" t="n">
        <v>8.44307052419768</v>
      </c>
      <c r="AA930" s="16" t="n">
        <v>25.91935000098482</v>
      </c>
      <c r="AB930" s="16" t="n">
        <v>2436.363636363636</v>
      </c>
      <c r="AC930" s="16" t="n">
        <v>5.322580645161289</v>
      </c>
      <c r="AD930" s="16" t="n"/>
      <c r="AE930" s="16" t="inlineStr">
        <is>
          <t>T_sumidero</t>
        </is>
      </c>
    </row>
    <row r="931">
      <c r="A931" s="16" t="inlineStr">
        <is>
          <t>KF-M03-0030</t>
        </is>
      </c>
      <c r="B931" s="16" t="inlineStr">
        <is>
          <t>3.1</t>
        </is>
      </c>
      <c r="C931" s="16" t="inlineStr">
        <is>
          <t>3.1</t>
        </is>
      </c>
      <c r="D931" s="16" t="inlineStr">
        <is>
          <t>alrededor de A*</t>
        </is>
      </c>
      <c r="E931" s="16" t="inlineStr">
        <is>
          <t>KF-M03</t>
        </is>
      </c>
      <c r="F931" s="16" t="inlineStr">
        <is>
          <t>KF-M03</t>
        </is>
      </c>
      <c r="G931" s="16" t="inlineStr">
        <is>
          <t>B06</t>
        </is>
      </c>
      <c r="H931" s="16" t="inlineStr">
        <is>
          <t>malla</t>
        </is>
      </c>
      <c r="I931" s="16" t="inlineStr">
        <is>
          <t>CORREGIBLE</t>
        </is>
      </c>
      <c r="J931" s="16" t="inlineStr">
        <is>
          <t>CORREGIBLE</t>
        </is>
      </c>
      <c r="K931" s="16" t="b">
        <v>1</v>
      </c>
      <c r="L931" s="16" t="b">
        <v>0</v>
      </c>
      <c r="M931" s="16" t="b">
        <v>0</v>
      </c>
      <c r="N931" s="16" t="b">
        <v>0</v>
      </c>
      <c r="O931" s="16" t="n">
        <v>403</v>
      </c>
      <c r="P931" s="16" t="n">
        <v>300.6357142857143</v>
      </c>
      <c r="Q931" s="16" t="n">
        <v>3000</v>
      </c>
      <c r="R931" s="16" t="n">
        <v>563.6363636363637</v>
      </c>
      <c r="S931" s="16" t="n">
        <v>0.5</v>
      </c>
      <c r="T931" s="16" t="n">
        <v>0.85</v>
      </c>
      <c r="U931" s="16" t="n">
        <v>0.75</v>
      </c>
      <c r="V931" s="16" t="n">
        <v>0.85</v>
      </c>
      <c r="W931" s="16" t="n">
        <v>0.75</v>
      </c>
      <c r="X931" s="16" t="n">
        <v>0.8</v>
      </c>
      <c r="Y931" s="16" t="n"/>
      <c r="Z931" s="16" t="n">
        <v>8.50933638220649</v>
      </c>
      <c r="AA931" s="16" t="n">
        <v>25.95733234941006</v>
      </c>
      <c r="AB931" s="16" t="n">
        <v>2436.363636363636</v>
      </c>
      <c r="AC931" s="16" t="n">
        <v>5.322580645161289</v>
      </c>
      <c r="AD931" s="16" t="inlineStr">
        <is>
          <t>O2</t>
        </is>
      </c>
      <c r="AE931" s="16" t="inlineStr">
        <is>
          <t>T_sumidero</t>
        </is>
      </c>
    </row>
    <row r="932">
      <c r="A932" s="16" t="inlineStr">
        <is>
          <t>KF-M03-0031</t>
        </is>
      </c>
      <c r="B932" s="16" t="inlineStr">
        <is>
          <t>3.1</t>
        </is>
      </c>
      <c r="C932" s="16" t="inlineStr">
        <is>
          <t>3.1</t>
        </is>
      </c>
      <c r="D932" s="16" t="inlineStr">
        <is>
          <t>alrededor de A*</t>
        </is>
      </c>
      <c r="E932" s="16" t="inlineStr">
        <is>
          <t>KF-M03</t>
        </is>
      </c>
      <c r="F932" s="16" t="inlineStr">
        <is>
          <t>KF-M03</t>
        </is>
      </c>
      <c r="G932" s="16" t="inlineStr">
        <is>
          <t>B06</t>
        </is>
      </c>
      <c r="H932" s="16" t="inlineStr">
        <is>
          <t>malla</t>
        </is>
      </c>
      <c r="I932" s="16" t="inlineStr">
        <is>
          <t>CORREGIBLE</t>
        </is>
      </c>
      <c r="J932" s="16" t="inlineStr">
        <is>
          <t>CORREGIBLE</t>
        </is>
      </c>
      <c r="K932" s="16" t="b">
        <v>1</v>
      </c>
      <c r="L932" s="16" t="b">
        <v>0</v>
      </c>
      <c r="M932" s="16" t="b">
        <v>0</v>
      </c>
      <c r="N932" s="16" t="b">
        <v>0</v>
      </c>
      <c r="O932" s="16" t="n">
        <v>403</v>
      </c>
      <c r="P932" s="16" t="n">
        <v>302.0928571428572</v>
      </c>
      <c r="Q932" s="16" t="n">
        <v>3000</v>
      </c>
      <c r="R932" s="16" t="n">
        <v>563.6363636363637</v>
      </c>
      <c r="S932" s="16" t="n">
        <v>0.5</v>
      </c>
      <c r="T932" s="16" t="n">
        <v>0.85</v>
      </c>
      <c r="U932" s="16" t="n">
        <v>0.75</v>
      </c>
      <c r="V932" s="16" t="n">
        <v>0.85</v>
      </c>
      <c r="W932" s="16" t="n">
        <v>0.75</v>
      </c>
      <c r="X932" s="16" t="n">
        <v>0.8</v>
      </c>
      <c r="Y932" s="16" t="n"/>
      <c r="Z932" s="16" t="n">
        <v>8.57062342199162</v>
      </c>
      <c r="AA932" s="16" t="n">
        <v>25.97673986762005</v>
      </c>
      <c r="AB932" s="16" t="n">
        <v>2436.363636363636</v>
      </c>
      <c r="AC932" s="16" t="n">
        <v>5.322580645161289</v>
      </c>
      <c r="AD932" s="16" t="inlineStr">
        <is>
          <t>O2</t>
        </is>
      </c>
      <c r="AE932" s="16" t="inlineStr">
        <is>
          <t>T_sumidero</t>
        </is>
      </c>
    </row>
    <row r="933">
      <c r="A933" s="16" t="inlineStr">
        <is>
          <t>KF-M03-0032</t>
        </is>
      </c>
      <c r="B933" s="16" t="inlineStr">
        <is>
          <t>3.1</t>
        </is>
      </c>
      <c r="C933" s="16" t="inlineStr">
        <is>
          <t>3.1</t>
        </is>
      </c>
      <c r="D933" s="16" t="inlineStr">
        <is>
          <t>alrededor de A*</t>
        </is>
      </c>
      <c r="E933" s="16" t="inlineStr">
        <is>
          <t>KF-M03</t>
        </is>
      </c>
      <c r="F933" s="16" t="inlineStr">
        <is>
          <t>KF-M03</t>
        </is>
      </c>
      <c r="G933" s="16" t="inlineStr">
        <is>
          <t>B06</t>
        </is>
      </c>
      <c r="H933" s="16" t="inlineStr">
        <is>
          <t>malla</t>
        </is>
      </c>
      <c r="I933" s="16" t="inlineStr">
        <is>
          <t>CORREGIBLE</t>
        </is>
      </c>
      <c r="J933" s="16" t="inlineStr">
        <is>
          <t>CORREGIBLE</t>
        </is>
      </c>
      <c r="K933" s="16" t="b">
        <v>1</v>
      </c>
      <c r="L933" s="16" t="b">
        <v>0</v>
      </c>
      <c r="M933" s="16" t="b">
        <v>0</v>
      </c>
      <c r="N933" s="16" t="b">
        <v>0</v>
      </c>
      <c r="O933" s="16" t="n">
        <v>403</v>
      </c>
      <c r="P933" s="16" t="n">
        <v>303.55</v>
      </c>
      <c r="Q933" s="16" t="n">
        <v>3000</v>
      </c>
      <c r="R933" s="16" t="n">
        <v>563.6363636363637</v>
      </c>
      <c r="S933" s="16" t="n">
        <v>0.5</v>
      </c>
      <c r="T933" s="16" t="n">
        <v>0.85</v>
      </c>
      <c r="U933" s="16" t="n">
        <v>0.75</v>
      </c>
      <c r="V933" s="16" t="n">
        <v>0.85</v>
      </c>
      <c r="W933" s="16" t="n">
        <v>0.75</v>
      </c>
      <c r="X933" s="16" t="n">
        <v>0.8</v>
      </c>
      <c r="Y933" s="16" t="n"/>
      <c r="Z933" s="16" t="n">
        <v>8.623774447903509</v>
      </c>
      <c r="AA933" s="16" t="n">
        <v>25.96805576894423</v>
      </c>
      <c r="AB933" s="16" t="n">
        <v>2436.363636363636</v>
      </c>
      <c r="AC933" s="16" t="n">
        <v>5.322580645161289</v>
      </c>
      <c r="AD933" s="16" t="inlineStr">
        <is>
          <t>O2</t>
        </is>
      </c>
      <c r="AE933" s="16" t="inlineStr">
        <is>
          <t>T_sumidero</t>
        </is>
      </c>
    </row>
    <row r="934">
      <c r="A934" s="16" t="inlineStr">
        <is>
          <t>KF-M03-0033</t>
        </is>
      </c>
      <c r="B934" s="16" t="inlineStr">
        <is>
          <t>3.1</t>
        </is>
      </c>
      <c r="C934" s="16" t="inlineStr">
        <is>
          <t>3.1</t>
        </is>
      </c>
      <c r="D934" s="16" t="inlineStr">
        <is>
          <t>alrededor de A*</t>
        </is>
      </c>
      <c r="E934" s="16" t="inlineStr">
        <is>
          <t>KF-M03</t>
        </is>
      </c>
      <c r="F934" s="16" t="inlineStr">
        <is>
          <t>KF-M03</t>
        </is>
      </c>
      <c r="G934" s="16" t="inlineStr">
        <is>
          <t>B06</t>
        </is>
      </c>
      <c r="H934" s="16" t="inlineStr">
        <is>
          <t>vecino</t>
        </is>
      </c>
      <c r="I934" s="16" t="inlineStr">
        <is>
          <t>KALINA</t>
        </is>
      </c>
      <c r="J934" s="16" t="inlineStr">
        <is>
          <t>KALINA</t>
        </is>
      </c>
      <c r="K934" s="16" t="b">
        <v>1</v>
      </c>
      <c r="L934" s="16" t="b">
        <v>1</v>
      </c>
      <c r="M934" s="16" t="b">
        <v>0</v>
      </c>
      <c r="N934" s="16" t="b">
        <v>0</v>
      </c>
      <c r="O934" s="16" t="n">
        <v>403</v>
      </c>
      <c r="P934" s="16" t="n">
        <v>299.828917</v>
      </c>
      <c r="Q934" s="16" t="n">
        <v>3000</v>
      </c>
      <c r="R934" s="16" t="n">
        <v>563.6363636363637</v>
      </c>
      <c r="S934" s="16" t="n">
        <v>0.5</v>
      </c>
      <c r="T934" s="16" t="n">
        <v>0.85</v>
      </c>
      <c r="U934" s="16" t="n">
        <v>0.75</v>
      </c>
      <c r="V934" s="16" t="n">
        <v>0.85</v>
      </c>
      <c r="W934" s="16" t="n">
        <v>0.75</v>
      </c>
      <c r="X934" s="16" t="n">
        <v>0.8</v>
      </c>
      <c r="Y934" s="16" t="n"/>
      <c r="Z934" s="16" t="n">
        <v>8.472591590692589</v>
      </c>
      <c r="AA934" s="16" t="n">
        <v>25.93650016275108</v>
      </c>
      <c r="AB934" s="16" t="n">
        <v>2436.363636363636</v>
      </c>
      <c r="AC934" s="16" t="n">
        <v>5.322580645161289</v>
      </c>
      <c r="AD934" s="16" t="n"/>
      <c r="AE934" s="16" t="inlineStr">
        <is>
          <t>T_sumidero</t>
        </is>
      </c>
    </row>
    <row r="935">
      <c r="A935" s="16" t="inlineStr">
        <is>
          <t>KF-M03-0034</t>
        </is>
      </c>
      <c r="B935" s="16" t="inlineStr">
        <is>
          <t>3.1</t>
        </is>
      </c>
      <c r="C935" s="16" t="inlineStr">
        <is>
          <t>3.1</t>
        </is>
      </c>
      <c r="D935" s="16" t="inlineStr">
        <is>
          <t>alrededor de A*</t>
        </is>
      </c>
      <c r="E935" s="16" t="inlineStr">
        <is>
          <t>KF-M03</t>
        </is>
      </c>
      <c r="F935" s="16" t="inlineStr">
        <is>
          <t>KF-M03</t>
        </is>
      </c>
      <c r="G935" s="16" t="inlineStr">
        <is>
          <t>B06</t>
        </is>
      </c>
      <c r="H935" s="16" t="inlineStr">
        <is>
          <t>malla</t>
        </is>
      </c>
      <c r="I935" s="16" t="inlineStr">
        <is>
          <t>CORREGIBLE</t>
        </is>
      </c>
      <c r="J935" s="16" t="inlineStr">
        <is>
          <t>CORREGIBLE</t>
        </is>
      </c>
      <c r="K935" s="16" t="b">
        <v>1</v>
      </c>
      <c r="L935" s="16" t="b">
        <v>0</v>
      </c>
      <c r="M935" s="16" t="b">
        <v>0</v>
      </c>
      <c r="N935" s="16" t="b">
        <v>0</v>
      </c>
      <c r="O935" s="16" t="n">
        <v>403</v>
      </c>
      <c r="P935" s="16" t="n">
        <v>300.032917</v>
      </c>
      <c r="Q935" s="16" t="n">
        <v>1000</v>
      </c>
      <c r="R935" s="16" t="n">
        <v>563.6363636363637</v>
      </c>
      <c r="S935" s="16" t="n">
        <v>0.5</v>
      </c>
      <c r="T935" s="16" t="n">
        <v>0.85</v>
      </c>
      <c r="U935" s="16" t="n">
        <v>0.75</v>
      </c>
      <c r="V935" s="16" t="n">
        <v>0.85</v>
      </c>
      <c r="W935" s="16" t="n">
        <v>0.75</v>
      </c>
      <c r="X935" s="16" t="n">
        <v>0.8</v>
      </c>
      <c r="Y935" s="16" t="n"/>
      <c r="Z935" s="16" t="n">
        <v>4.04756560467498</v>
      </c>
      <c r="AA935" s="16" t="n">
        <v>34.8619214092379</v>
      </c>
      <c r="AB935" s="16" t="n">
        <v>436.3636363636363</v>
      </c>
      <c r="AC935" s="16" t="n">
        <v>1.774193548387096</v>
      </c>
      <c r="AD935" s="16" t="inlineStr">
        <is>
          <t>O2</t>
        </is>
      </c>
      <c r="AE935" s="16" t="inlineStr">
        <is>
          <t>P_alta</t>
        </is>
      </c>
    </row>
    <row r="936">
      <c r="A936" s="16" t="inlineStr">
        <is>
          <t>KF-M03-0035</t>
        </is>
      </c>
      <c r="B936" s="16" t="inlineStr">
        <is>
          <t>3.1</t>
        </is>
      </c>
      <c r="C936" s="16" t="inlineStr">
        <is>
          <t>3.1</t>
        </is>
      </c>
      <c r="D936" s="16" t="inlineStr">
        <is>
          <t>alrededor de A*</t>
        </is>
      </c>
      <c r="E936" s="16" t="inlineStr">
        <is>
          <t>KF-M03</t>
        </is>
      </c>
      <c r="F936" s="16" t="inlineStr">
        <is>
          <t>KF-M03</t>
        </is>
      </c>
      <c r="G936" s="16" t="inlineStr">
        <is>
          <t>B06</t>
        </is>
      </c>
      <c r="H936" s="16" t="inlineStr">
        <is>
          <t>vecino</t>
        </is>
      </c>
      <c r="I936" s="16" t="inlineStr">
        <is>
          <t>KALINA</t>
        </is>
      </c>
      <c r="J936" s="16" t="inlineStr">
        <is>
          <t>KALINA</t>
        </is>
      </c>
      <c r="K936" s="16" t="b">
        <v>1</v>
      </c>
      <c r="L936" s="16" t="b">
        <v>1</v>
      </c>
      <c r="M936" s="16" t="b">
        <v>0</v>
      </c>
      <c r="N936" s="16" t="b">
        <v>0</v>
      </c>
      <c r="O936" s="16" t="n">
        <v>403</v>
      </c>
      <c r="P936" s="16" t="n">
        <v>300.236917</v>
      </c>
      <c r="Q936" s="16" t="n">
        <v>3000</v>
      </c>
      <c r="R936" s="16" t="n">
        <v>563.6363636363637</v>
      </c>
      <c r="S936" s="16" t="n">
        <v>0.5</v>
      </c>
      <c r="T936" s="16" t="n">
        <v>0.85</v>
      </c>
      <c r="U936" s="16" t="n">
        <v>0.75</v>
      </c>
      <c r="V936" s="16" t="n">
        <v>0.85</v>
      </c>
      <c r="W936" s="16" t="n">
        <v>0.75</v>
      </c>
      <c r="X936" s="16" t="n">
        <v>0.8</v>
      </c>
      <c r="Y936" s="16" t="n"/>
      <c r="Z936" s="16" t="n">
        <v>8.491209553756059</v>
      </c>
      <c r="AA936" s="16" t="n">
        <v>25.94726353826813</v>
      </c>
      <c r="AB936" s="16" t="n">
        <v>2436.363636363636</v>
      </c>
      <c r="AC936" s="16" t="n">
        <v>5.322580645161289</v>
      </c>
      <c r="AD936" s="16" t="n"/>
      <c r="AE936" s="16" t="inlineStr">
        <is>
          <t>T_sumidero</t>
        </is>
      </c>
    </row>
    <row r="937">
      <c r="A937" s="16" t="inlineStr">
        <is>
          <t>KF-M03-0036</t>
        </is>
      </c>
      <c r="B937" s="16" t="inlineStr">
        <is>
          <t>3.1</t>
        </is>
      </c>
      <c r="C937" s="16" t="inlineStr">
        <is>
          <t>3.1</t>
        </is>
      </c>
      <c r="D937" s="16" t="inlineStr">
        <is>
          <t>alrededor de A*</t>
        </is>
      </c>
      <c r="E937" s="16" t="inlineStr">
        <is>
          <t>KF-M03</t>
        </is>
      </c>
      <c r="F937" s="16" t="inlineStr">
        <is>
          <t>KF-M03</t>
        </is>
      </c>
      <c r="G937" s="16" t="inlineStr">
        <is>
          <t>B06</t>
        </is>
      </c>
      <c r="H937" s="16" t="inlineStr">
        <is>
          <t>malla</t>
        </is>
      </c>
      <c r="I937" s="16" t="inlineStr">
        <is>
          <t>CORREGIBLE</t>
        </is>
      </c>
      <c r="J937" s="16" t="inlineStr">
        <is>
          <t>CORREGIBLE</t>
        </is>
      </c>
      <c r="K937" s="16" t="b">
        <v>1</v>
      </c>
      <c r="L937" s="16" t="b">
        <v>0</v>
      </c>
      <c r="M937" s="16" t="b">
        <v>0</v>
      </c>
      <c r="N937" s="16" t="b">
        <v>0</v>
      </c>
      <c r="O937" s="16" t="n">
        <v>403</v>
      </c>
      <c r="P937" s="16" t="n">
        <v>300.032917</v>
      </c>
      <c r="Q937" s="16" t="n">
        <v>2285.714285714286</v>
      </c>
      <c r="R937" s="16" t="n">
        <v>563.6363636363637</v>
      </c>
      <c r="S937" s="16" t="n">
        <v>0.5</v>
      </c>
      <c r="T937" s="16" t="n">
        <v>0.85</v>
      </c>
      <c r="U937" s="16" t="n">
        <v>0.75</v>
      </c>
      <c r="V937" s="16" t="n">
        <v>0.85</v>
      </c>
      <c r="W937" s="16" t="n">
        <v>0.75</v>
      </c>
      <c r="X937" s="16" t="n">
        <v>0.8</v>
      </c>
      <c r="Y937" s="16" t="n"/>
      <c r="Z937" s="16" t="n">
        <v>9.19223572015537</v>
      </c>
      <c r="AA937" s="16" t="n">
        <v>41.1878915714872</v>
      </c>
      <c r="AB937" s="16" t="n">
        <v>1722.077922077922</v>
      </c>
      <c r="AC937" s="16" t="n">
        <v>4.055299539170506</v>
      </c>
      <c r="AD937" s="16" t="inlineStr">
        <is>
          <t>O2</t>
        </is>
      </c>
      <c r="AE937" s="16" t="inlineStr">
        <is>
          <t>P_alta</t>
        </is>
      </c>
    </row>
    <row r="938">
      <c r="A938" s="16" t="inlineStr">
        <is>
          <t>KF-M03-0037</t>
        </is>
      </c>
      <c r="B938" s="16" t="inlineStr">
        <is>
          <t>3.1</t>
        </is>
      </c>
      <c r="C938" s="16" t="inlineStr">
        <is>
          <t>3.1</t>
        </is>
      </c>
      <c r="D938" s="16" t="inlineStr">
        <is>
          <t>alrededor de A*</t>
        </is>
      </c>
      <c r="E938" s="16" t="inlineStr">
        <is>
          <t>KF-M03</t>
        </is>
      </c>
      <c r="F938" s="16" t="inlineStr">
        <is>
          <t>KF-M03</t>
        </is>
      </c>
      <c r="G938" s="16" t="inlineStr">
        <is>
          <t>B06</t>
        </is>
      </c>
      <c r="H938" s="16" t="inlineStr">
        <is>
          <t>malla</t>
        </is>
      </c>
      <c r="I938" s="16" t="inlineStr">
        <is>
          <t>CORREGIBLE</t>
        </is>
      </c>
      <c r="J938" s="16" t="inlineStr">
        <is>
          <t>CORREGIBLE</t>
        </is>
      </c>
      <c r="K938" s="16" t="b">
        <v>1</v>
      </c>
      <c r="L938" s="16" t="b">
        <v>0</v>
      </c>
      <c r="M938" s="16" t="b">
        <v>0</v>
      </c>
      <c r="N938" s="16" t="b">
        <v>0</v>
      </c>
      <c r="O938" s="16" t="n">
        <v>403</v>
      </c>
      <c r="P938" s="16" t="n">
        <v>300.032917</v>
      </c>
      <c r="Q938" s="16" t="n">
        <v>2928.571428571428</v>
      </c>
      <c r="R938" s="16" t="n">
        <v>563.6363636363637</v>
      </c>
      <c r="S938" s="16" t="n">
        <v>0.5</v>
      </c>
      <c r="T938" s="16" t="n">
        <v>0.85</v>
      </c>
      <c r="U938" s="16" t="n">
        <v>0.75</v>
      </c>
      <c r="V938" s="16" t="n">
        <v>0.85</v>
      </c>
      <c r="W938" s="16" t="n">
        <v>0.75</v>
      </c>
      <c r="X938" s="16" t="n">
        <v>0.8</v>
      </c>
      <c r="Y938" s="16" t="n"/>
      <c r="Z938" s="16" t="n">
        <v>8.695909975091149</v>
      </c>
      <c r="AA938" s="16" t="n">
        <v>27.78092729003665</v>
      </c>
      <c r="AB938" s="16" t="n">
        <v>2364.935064935064</v>
      </c>
      <c r="AC938" s="16" t="n">
        <v>5.195852534562211</v>
      </c>
      <c r="AD938" s="16" t="inlineStr">
        <is>
          <t>O2</t>
        </is>
      </c>
      <c r="AE938" s="16" t="inlineStr">
        <is>
          <t>P_alta</t>
        </is>
      </c>
    </row>
    <row r="939">
      <c r="A939" s="16" t="inlineStr">
        <is>
          <t>KF-M03-0038</t>
        </is>
      </c>
      <c r="B939" s="16" t="inlineStr">
        <is>
          <t>3.1</t>
        </is>
      </c>
      <c r="C939" s="16" t="inlineStr">
        <is>
          <t>3.1</t>
        </is>
      </c>
      <c r="D939" s="16" t="inlineStr">
        <is>
          <t>alrededor de A*</t>
        </is>
      </c>
      <c r="E939" s="16" t="inlineStr">
        <is>
          <t>KF-M03</t>
        </is>
      </c>
      <c r="F939" s="16" t="inlineStr">
        <is>
          <t>KF-M03</t>
        </is>
      </c>
      <c r="G939" s="16" t="inlineStr">
        <is>
          <t>B06</t>
        </is>
      </c>
      <c r="H939" s="16" t="inlineStr">
        <is>
          <t>malla</t>
        </is>
      </c>
      <c r="I939" s="16" t="inlineStr">
        <is>
          <t>CORREGIBLE</t>
        </is>
      </c>
      <c r="J939" s="16" t="inlineStr">
        <is>
          <t>CORREGIBLE</t>
        </is>
      </c>
      <c r="K939" s="16" t="b">
        <v>1</v>
      </c>
      <c r="L939" s="16" t="b">
        <v>0</v>
      </c>
      <c r="M939" s="16" t="b">
        <v>0</v>
      </c>
      <c r="N939" s="16" t="b">
        <v>0</v>
      </c>
      <c r="O939" s="16" t="n">
        <v>403</v>
      </c>
      <c r="P939" s="16" t="n">
        <v>300.032917</v>
      </c>
      <c r="Q939" s="16" t="n">
        <v>1642.857142857143</v>
      </c>
      <c r="R939" s="16" t="n">
        <v>563.6363636363637</v>
      </c>
      <c r="S939" s="16" t="n">
        <v>0.5</v>
      </c>
      <c r="T939" s="16" t="n">
        <v>0.85</v>
      </c>
      <c r="U939" s="16" t="n">
        <v>0.75</v>
      </c>
      <c r="V939" s="16" t="n">
        <v>0.85</v>
      </c>
      <c r="W939" s="16" t="n">
        <v>0.75</v>
      </c>
      <c r="X939" s="16" t="n">
        <v>0.8</v>
      </c>
      <c r="Y939" s="16" t="n"/>
      <c r="Z939" s="16" t="n">
        <v>7.73560545666684</v>
      </c>
      <c r="AA939" s="16" t="n">
        <v>46.80130168982937</v>
      </c>
      <c r="AB939" s="16" t="n">
        <v>1079.220779220779</v>
      </c>
      <c r="AC939" s="16" t="n">
        <v>2.914746543778801</v>
      </c>
      <c r="AD939" s="16" t="inlineStr">
        <is>
          <t>O2</t>
        </is>
      </c>
      <c r="AE939" s="16" t="inlineStr">
        <is>
          <t>P_alta</t>
        </is>
      </c>
    </row>
    <row r="940">
      <c r="A940" s="16" t="inlineStr">
        <is>
          <t>KF-M03-0039</t>
        </is>
      </c>
      <c r="B940" s="16" t="inlineStr">
        <is>
          <t>3.1</t>
        </is>
      </c>
      <c r="C940" s="16" t="inlineStr">
        <is>
          <t>3.1</t>
        </is>
      </c>
      <c r="D940" s="16" t="inlineStr">
        <is>
          <t>alrededor de A*</t>
        </is>
      </c>
      <c r="E940" s="16" t="inlineStr">
        <is>
          <t>KF-M03</t>
        </is>
      </c>
      <c r="F940" s="16" t="inlineStr">
        <is>
          <t>KF-M03</t>
        </is>
      </c>
      <c r="G940" s="16" t="inlineStr">
        <is>
          <t>B06</t>
        </is>
      </c>
      <c r="H940" s="16" t="inlineStr">
        <is>
          <t>malla</t>
        </is>
      </c>
      <c r="I940" s="16" t="inlineStr">
        <is>
          <t>KALINA</t>
        </is>
      </c>
      <c r="J940" s="16" t="inlineStr">
        <is>
          <t>KALINA</t>
        </is>
      </c>
      <c r="K940" s="16" t="b">
        <v>1</v>
      </c>
      <c r="L940" s="16" t="b">
        <v>1</v>
      </c>
      <c r="M940" s="16" t="b">
        <v>0</v>
      </c>
      <c r="N940" s="16" t="b">
        <v>0</v>
      </c>
      <c r="O940" s="16" t="n">
        <v>403</v>
      </c>
      <c r="P940" s="16" t="n">
        <v>300.032917</v>
      </c>
      <c r="Q940" s="16" t="n">
        <v>3571.428571428572</v>
      </c>
      <c r="R940" s="16" t="n">
        <v>563.6363636363637</v>
      </c>
      <c r="S940" s="16" t="n">
        <v>0.5</v>
      </c>
      <c r="T940" s="16" t="n">
        <v>0.85</v>
      </c>
      <c r="U940" s="16" t="n">
        <v>0.75</v>
      </c>
      <c r="V940" s="16" t="n">
        <v>0.85</v>
      </c>
      <c r="W940" s="16" t="n">
        <v>0.75</v>
      </c>
      <c r="X940" s="16" t="n">
        <v>0.8</v>
      </c>
      <c r="Y940" s="16" t="n"/>
      <c r="Z940" s="16" t="n">
        <v>4.65503737373214</v>
      </c>
      <c r="AA940" s="16" t="n">
        <v>9.212568154305528</v>
      </c>
      <c r="AB940" s="16" t="n">
        <v>3007.792207792209</v>
      </c>
      <c r="AC940" s="16" t="n">
        <v>6.336405529953917</v>
      </c>
      <c r="AD940" s="16" t="n"/>
      <c r="AE940" s="16" t="inlineStr">
        <is>
          <t>P_alta</t>
        </is>
      </c>
    </row>
    <row r="941">
      <c r="A941" s="16" t="inlineStr">
        <is>
          <t>KF-M03-0040</t>
        </is>
      </c>
      <c r="B941" s="16" t="inlineStr">
        <is>
          <t>3.1</t>
        </is>
      </c>
      <c r="C941" s="16" t="inlineStr">
        <is>
          <t>3.1</t>
        </is>
      </c>
      <c r="D941" s="16" t="inlineStr">
        <is>
          <t>alrededor de A*</t>
        </is>
      </c>
      <c r="E941" s="16" t="inlineStr">
        <is>
          <t>KF-M03</t>
        </is>
      </c>
      <c r="F941" s="16" t="inlineStr">
        <is>
          <t>KF-M03</t>
        </is>
      </c>
      <c r="G941" s="16" t="inlineStr">
        <is>
          <t>B06</t>
        </is>
      </c>
      <c r="H941" s="16" t="inlineStr">
        <is>
          <t>malla</t>
        </is>
      </c>
      <c r="I941" s="16" t="inlineStr">
        <is>
          <t>N2</t>
        </is>
      </c>
      <c r="J941" s="16" t="inlineStr">
        <is>
          <t>NO_CONVERGIO</t>
        </is>
      </c>
      <c r="K941" s="16" t="b">
        <v>0</v>
      </c>
      <c r="L941" s="16" t="b">
        <v>0</v>
      </c>
      <c r="M941" s="16" t="b">
        <v>0</v>
      </c>
      <c r="N941" s="16" t="b">
        <v>0</v>
      </c>
      <c r="O941" s="16" t="n">
        <v>403</v>
      </c>
      <c r="P941" s="16" t="n">
        <v>300.032917</v>
      </c>
      <c r="Q941" s="16" t="n">
        <v>4214.285714285714</v>
      </c>
      <c r="R941" s="16" t="n">
        <v>563.6363636363637</v>
      </c>
      <c r="S941" s="16" t="n">
        <v>0.5</v>
      </c>
      <c r="T941" s="16" t="n">
        <v>0.85</v>
      </c>
      <c r="U941" s="16" t="n">
        <v>0.75</v>
      </c>
      <c r="V941" s="16" t="n">
        <v>0.85</v>
      </c>
      <c r="W941" s="16" t="n">
        <v>0.75</v>
      </c>
      <c r="X941" s="16" t="n">
        <v>0.8</v>
      </c>
      <c r="Y941" s="16" t="n"/>
      <c r="Z941" s="16" t="n">
        <v>-23.13140974075618</v>
      </c>
      <c r="AA941" s="16" t="n">
        <v>-21.399609966981</v>
      </c>
      <c r="AB941" s="16" t="n">
        <v>3650.64935064935</v>
      </c>
      <c r="AC941" s="16" t="n">
        <v>7.47695852534562</v>
      </c>
      <c r="AD941" s="16" t="inlineStr">
        <is>
          <t>N2,O3,O5,C1,C3,C3</t>
        </is>
      </c>
      <c r="AE941" s="16" t="inlineStr">
        <is>
          <t>P_alta</t>
        </is>
      </c>
    </row>
    <row r="942">
      <c r="A942" s="16" t="inlineStr">
        <is>
          <t>KF-M03-0041</t>
        </is>
      </c>
      <c r="B942" s="16" t="inlineStr">
        <is>
          <t>3.1</t>
        </is>
      </c>
      <c r="C942" s="16" t="inlineStr">
        <is>
          <t>3.1</t>
        </is>
      </c>
      <c r="D942" s="16" t="inlineStr">
        <is>
          <t>alrededor de A*</t>
        </is>
      </c>
      <c r="E942" s="16" t="inlineStr">
        <is>
          <t>KF-M03</t>
        </is>
      </c>
      <c r="F942" s="16" t="inlineStr">
        <is>
          <t>KF-M03</t>
        </is>
      </c>
      <c r="G942" s="16" t="inlineStr">
        <is>
          <t>B06</t>
        </is>
      </c>
      <c r="H942" s="16" t="inlineStr">
        <is>
          <t>malla</t>
        </is>
      </c>
      <c r="I942" s="16" t="inlineStr">
        <is>
          <t>NO_CONVERGIO</t>
        </is>
      </c>
      <c r="J942" s="16" t="inlineStr">
        <is>
          <t>NO_CONVERGIO</t>
        </is>
      </c>
      <c r="K942" s="16" t="b">
        <v>0</v>
      </c>
      <c r="L942" s="16" t="b">
        <v>0</v>
      </c>
      <c r="M942" s="16" t="b">
        <v>0</v>
      </c>
      <c r="N942" s="16" t="b">
        <v>0</v>
      </c>
      <c r="O942" s="16" t="n">
        <v>403</v>
      </c>
      <c r="P942" s="16" t="n">
        <v>300.032917</v>
      </c>
      <c r="Q942" s="16" t="n">
        <v>6142.857142857143</v>
      </c>
      <c r="R942" s="16" t="n">
        <v>563.6363636363637</v>
      </c>
      <c r="S942" s="16" t="n">
        <v>0.5</v>
      </c>
      <c r="T942" s="16" t="n">
        <v>0.85</v>
      </c>
      <c r="U942" s="16" t="n">
        <v>0.75</v>
      </c>
      <c r="V942" s="16" t="n">
        <v>0.85</v>
      </c>
      <c r="W942" s="16" t="n">
        <v>0.75</v>
      </c>
      <c r="X942" s="16" t="n">
        <v>0.8</v>
      </c>
      <c r="Y942" s="16" t="n"/>
      <c r="Z942" s="16" t="n"/>
      <c r="AA942" s="16" t="n"/>
      <c r="AB942" s="16" t="n">
        <v>5579.220779220779</v>
      </c>
      <c r="AC942" s="16" t="n">
        <v>10.89861751152074</v>
      </c>
      <c r="AD942" s="16" t="n"/>
      <c r="AE942" s="16" t="inlineStr">
        <is>
          <t>P_alta</t>
        </is>
      </c>
    </row>
    <row r="943">
      <c r="A943" s="16" t="inlineStr">
        <is>
          <t>KF-M03-0042</t>
        </is>
      </c>
      <c r="B943" s="16" t="inlineStr">
        <is>
          <t>3.1</t>
        </is>
      </c>
      <c r="C943" s="16" t="inlineStr">
        <is>
          <t>3.1</t>
        </is>
      </c>
      <c r="D943" s="16" t="inlineStr">
        <is>
          <t>alrededor de A*</t>
        </is>
      </c>
      <c r="E943" s="16" t="inlineStr">
        <is>
          <t>KF-M03</t>
        </is>
      </c>
      <c r="F943" s="16" t="inlineStr">
        <is>
          <t>KF-M03</t>
        </is>
      </c>
      <c r="G943" s="16" t="inlineStr">
        <is>
          <t>B06</t>
        </is>
      </c>
      <c r="H943" s="16" t="inlineStr">
        <is>
          <t>malla</t>
        </is>
      </c>
      <c r="I943" s="16" t="inlineStr">
        <is>
          <t>NO_CONVERGIO</t>
        </is>
      </c>
      <c r="J943" s="16" t="inlineStr">
        <is>
          <t>NO_CONVERGIO</t>
        </is>
      </c>
      <c r="K943" s="16" t="b">
        <v>0</v>
      </c>
      <c r="L943" s="16" t="b">
        <v>0</v>
      </c>
      <c r="M943" s="16" t="b">
        <v>0</v>
      </c>
      <c r="N943" s="16" t="b">
        <v>0</v>
      </c>
      <c r="O943" s="16" t="n">
        <v>403</v>
      </c>
      <c r="P943" s="16" t="n">
        <v>300.032917</v>
      </c>
      <c r="Q943" s="16" t="n">
        <v>5500</v>
      </c>
      <c r="R943" s="16" t="n">
        <v>563.6363636363637</v>
      </c>
      <c r="S943" s="16" t="n">
        <v>0.5</v>
      </c>
      <c r="T943" s="16" t="n">
        <v>0.85</v>
      </c>
      <c r="U943" s="16" t="n">
        <v>0.75</v>
      </c>
      <c r="V943" s="16" t="n">
        <v>0.85</v>
      </c>
      <c r="W943" s="16" t="n">
        <v>0.75</v>
      </c>
      <c r="X943" s="16" t="n">
        <v>0.8</v>
      </c>
      <c r="Y943" s="16" t="n"/>
      <c r="Z943" s="16" t="n"/>
      <c r="AA943" s="16" t="n"/>
      <c r="AB943" s="16" t="n">
        <v>4936.363636363636</v>
      </c>
      <c r="AC943" s="16" t="n">
        <v>9.75806451612903</v>
      </c>
      <c r="AD943" s="16" t="n"/>
      <c r="AE943" s="16" t="inlineStr">
        <is>
          <t>P_alta</t>
        </is>
      </c>
    </row>
    <row r="944">
      <c r="A944" s="16" t="inlineStr">
        <is>
          <t>KF-M03-0043</t>
        </is>
      </c>
      <c r="B944" s="16" t="inlineStr">
        <is>
          <t>3.1</t>
        </is>
      </c>
      <c r="C944" s="16" t="inlineStr">
        <is>
          <t>3.1</t>
        </is>
      </c>
      <c r="D944" s="16" t="inlineStr">
        <is>
          <t>alrededor de A*</t>
        </is>
      </c>
      <c r="E944" s="16" t="inlineStr">
        <is>
          <t>KF-M03</t>
        </is>
      </c>
      <c r="F944" s="16" t="inlineStr">
        <is>
          <t>KF-M03</t>
        </is>
      </c>
      <c r="G944" s="16" t="inlineStr">
        <is>
          <t>B06</t>
        </is>
      </c>
      <c r="H944" s="16" t="inlineStr">
        <is>
          <t>malla</t>
        </is>
      </c>
      <c r="I944" s="16" t="inlineStr">
        <is>
          <t>NO_CONVERGIO</t>
        </is>
      </c>
      <c r="J944" s="16" t="inlineStr">
        <is>
          <t>NO_CONVERGIO</t>
        </is>
      </c>
      <c r="K944" s="16" t="b">
        <v>0</v>
      </c>
      <c r="L944" s="16" t="b">
        <v>0</v>
      </c>
      <c r="M944" s="16" t="b">
        <v>0</v>
      </c>
      <c r="N944" s="16" t="b">
        <v>0</v>
      </c>
      <c r="O944" s="16" t="n">
        <v>403</v>
      </c>
      <c r="P944" s="16" t="n">
        <v>300.032917</v>
      </c>
      <c r="Q944" s="16" t="n">
        <v>6785.714285714285</v>
      </c>
      <c r="R944" s="16" t="n">
        <v>563.6363636363637</v>
      </c>
      <c r="S944" s="16" t="n">
        <v>0.5</v>
      </c>
      <c r="T944" s="16" t="n">
        <v>0.85</v>
      </c>
      <c r="U944" s="16" t="n">
        <v>0.75</v>
      </c>
      <c r="V944" s="16" t="n">
        <v>0.85</v>
      </c>
      <c r="W944" s="16" t="n">
        <v>0.75</v>
      </c>
      <c r="X944" s="16" t="n">
        <v>0.8</v>
      </c>
      <c r="Y944" s="16" t="n"/>
      <c r="Z944" s="16" t="n"/>
      <c r="AA944" s="16" t="n"/>
      <c r="AB944" s="16" t="n">
        <v>6222.077922077921</v>
      </c>
      <c r="AC944" s="16" t="n">
        <v>12.03917050691244</v>
      </c>
      <c r="AD944" s="16" t="n"/>
      <c r="AE944" s="16" t="inlineStr">
        <is>
          <t>P_alta</t>
        </is>
      </c>
    </row>
    <row r="945">
      <c r="A945" s="16" t="inlineStr">
        <is>
          <t>KF-M03-0044</t>
        </is>
      </c>
      <c r="B945" s="16" t="inlineStr">
        <is>
          <t>3.1</t>
        </is>
      </c>
      <c r="C945" s="16" t="inlineStr">
        <is>
          <t>3.1</t>
        </is>
      </c>
      <c r="D945" s="16" t="inlineStr">
        <is>
          <t>alrededor de A*</t>
        </is>
      </c>
      <c r="E945" s="16" t="inlineStr">
        <is>
          <t>KF-M03</t>
        </is>
      </c>
      <c r="F945" s="16" t="inlineStr">
        <is>
          <t>KF-M03</t>
        </is>
      </c>
      <c r="G945" s="16" t="inlineStr">
        <is>
          <t>B06</t>
        </is>
      </c>
      <c r="H945" s="16" t="inlineStr">
        <is>
          <t>malla</t>
        </is>
      </c>
      <c r="I945" s="16" t="inlineStr">
        <is>
          <t>N2</t>
        </is>
      </c>
      <c r="J945" s="16" t="inlineStr">
        <is>
          <t>NO_CONVERGIO</t>
        </is>
      </c>
      <c r="K945" s="16" t="b">
        <v>0</v>
      </c>
      <c r="L945" s="16" t="b">
        <v>0</v>
      </c>
      <c r="M945" s="16" t="b">
        <v>0</v>
      </c>
      <c r="N945" s="16" t="b">
        <v>0</v>
      </c>
      <c r="O945" s="16" t="n">
        <v>403</v>
      </c>
      <c r="P945" s="16" t="n">
        <v>300.032917</v>
      </c>
      <c r="Q945" s="16" t="n">
        <v>4857.142857142857</v>
      </c>
      <c r="R945" s="16" t="n">
        <v>563.6363636363637</v>
      </c>
      <c r="S945" s="16" t="n">
        <v>0.5</v>
      </c>
      <c r="T945" s="16" t="n">
        <v>0.85</v>
      </c>
      <c r="U945" s="16" t="n">
        <v>0.75</v>
      </c>
      <c r="V945" s="16" t="n">
        <v>0.85</v>
      </c>
      <c r="W945" s="16" t="n">
        <v>0.75</v>
      </c>
      <c r="X945" s="16" t="n">
        <v>0.8</v>
      </c>
      <c r="Y945" s="16" t="n"/>
      <c r="Z945" s="16" t="n">
        <v>-99.24457646427112</v>
      </c>
      <c r="AA945" s="16" t="n">
        <v>-51.47373991631569</v>
      </c>
      <c r="AB945" s="16" t="n">
        <v>4293.506493506493</v>
      </c>
      <c r="AC945" s="16" t="n">
        <v>8.617511520737326</v>
      </c>
      <c r="AD945" s="16" t="inlineStr">
        <is>
          <t>N2,S6,O3,O5,C1,C3,C3</t>
        </is>
      </c>
      <c r="AE945" s="16" t="inlineStr">
        <is>
          <t>P_alta</t>
        </is>
      </c>
    </row>
    <row r="946">
      <c r="A946" s="16" t="inlineStr">
        <is>
          <t>KF-M03-0045</t>
        </is>
      </c>
      <c r="B946" s="16" t="inlineStr">
        <is>
          <t>3.1</t>
        </is>
      </c>
      <c r="C946" s="16" t="inlineStr">
        <is>
          <t>3.1</t>
        </is>
      </c>
      <c r="D946" s="16" t="inlineStr">
        <is>
          <t>alrededor de A*</t>
        </is>
      </c>
      <c r="E946" s="16" t="inlineStr">
        <is>
          <t>KF-M03</t>
        </is>
      </c>
      <c r="F946" s="16" t="inlineStr">
        <is>
          <t>KF-M03</t>
        </is>
      </c>
      <c r="G946" s="16" t="inlineStr">
        <is>
          <t>B06</t>
        </is>
      </c>
      <c r="H946" s="16" t="inlineStr">
        <is>
          <t>malla</t>
        </is>
      </c>
      <c r="I946" s="16" t="inlineStr">
        <is>
          <t>NO_CONVERGIO</t>
        </is>
      </c>
      <c r="J946" s="16" t="inlineStr">
        <is>
          <t>NO_CONVERGIO</t>
        </is>
      </c>
      <c r="K946" s="16" t="b">
        <v>0</v>
      </c>
      <c r="L946" s="16" t="b">
        <v>0</v>
      </c>
      <c r="M946" s="16" t="b">
        <v>0</v>
      </c>
      <c r="N946" s="16" t="b">
        <v>0</v>
      </c>
      <c r="O946" s="16" t="n">
        <v>403</v>
      </c>
      <c r="P946" s="16" t="n">
        <v>300.032917</v>
      </c>
      <c r="Q946" s="16" t="n">
        <v>7428.571428571428</v>
      </c>
      <c r="R946" s="16" t="n">
        <v>563.6363636363637</v>
      </c>
      <c r="S946" s="16" t="n">
        <v>0.5</v>
      </c>
      <c r="T946" s="16" t="n">
        <v>0.85</v>
      </c>
      <c r="U946" s="16" t="n">
        <v>0.75</v>
      </c>
      <c r="V946" s="16" t="n">
        <v>0.85</v>
      </c>
      <c r="W946" s="16" t="n">
        <v>0.75</v>
      </c>
      <c r="X946" s="16" t="n">
        <v>0.8</v>
      </c>
      <c r="Y946" s="16" t="n"/>
      <c r="Z946" s="16" t="n"/>
      <c r="AA946" s="16" t="n"/>
      <c r="AB946" s="16" t="n">
        <v>6864.935064935064</v>
      </c>
      <c r="AC946" s="16" t="n">
        <v>13.17972350230414</v>
      </c>
      <c r="AD946" s="16" t="n"/>
      <c r="AE946" s="16" t="inlineStr">
        <is>
          <t>P_alta</t>
        </is>
      </c>
    </row>
    <row r="947">
      <c r="A947" s="16" t="inlineStr">
        <is>
          <t>KF-M03-0046</t>
        </is>
      </c>
      <c r="B947" s="16" t="inlineStr">
        <is>
          <t>3.1</t>
        </is>
      </c>
      <c r="C947" s="16" t="inlineStr">
        <is>
          <t>3.1</t>
        </is>
      </c>
      <c r="D947" s="16" t="inlineStr">
        <is>
          <t>alrededor de A*</t>
        </is>
      </c>
      <c r="E947" s="16" t="inlineStr">
        <is>
          <t>KF-M03</t>
        </is>
      </c>
      <c r="F947" s="16" t="inlineStr">
        <is>
          <t>KF-M03</t>
        </is>
      </c>
      <c r="G947" s="16" t="inlineStr">
        <is>
          <t>B06</t>
        </is>
      </c>
      <c r="H947" s="16" t="inlineStr">
        <is>
          <t>malla</t>
        </is>
      </c>
      <c r="I947" s="16" t="inlineStr">
        <is>
          <t>NO_CONVERGIO</t>
        </is>
      </c>
      <c r="J947" s="16" t="inlineStr">
        <is>
          <t>NO_CONVERGIO</t>
        </is>
      </c>
      <c r="K947" s="16" t="b">
        <v>0</v>
      </c>
      <c r="L947" s="16" t="b">
        <v>0</v>
      </c>
      <c r="M947" s="16" t="b">
        <v>0</v>
      </c>
      <c r="N947" s="16" t="b">
        <v>0</v>
      </c>
      <c r="O947" s="16" t="n">
        <v>403</v>
      </c>
      <c r="P947" s="16" t="n">
        <v>300.032917</v>
      </c>
      <c r="Q947" s="16" t="n">
        <v>8071.428571428572</v>
      </c>
      <c r="R947" s="16" t="n">
        <v>563.6363636363637</v>
      </c>
      <c r="S947" s="16" t="n">
        <v>0.5</v>
      </c>
      <c r="T947" s="16" t="n">
        <v>0.85</v>
      </c>
      <c r="U947" s="16" t="n">
        <v>0.75</v>
      </c>
      <c r="V947" s="16" t="n">
        <v>0.85</v>
      </c>
      <c r="W947" s="16" t="n">
        <v>0.75</v>
      </c>
      <c r="X947" s="16" t="n">
        <v>0.8</v>
      </c>
      <c r="Y947" s="16" t="n"/>
      <c r="Z947" s="16" t="n"/>
      <c r="AA947" s="16" t="n"/>
      <c r="AB947" s="16" t="n">
        <v>7507.792207792208</v>
      </c>
      <c r="AC947" s="16" t="n">
        <v>14.32027649769585</v>
      </c>
      <c r="AD947" s="16" t="n"/>
      <c r="AE947" s="16" t="inlineStr">
        <is>
          <t>P_alta</t>
        </is>
      </c>
    </row>
    <row r="948">
      <c r="A948" s="16" t="inlineStr">
        <is>
          <t>KF-M03-0047</t>
        </is>
      </c>
      <c r="B948" s="16" t="inlineStr">
        <is>
          <t>3.1</t>
        </is>
      </c>
      <c r="C948" s="16" t="inlineStr">
        <is>
          <t>3.1</t>
        </is>
      </c>
      <c r="D948" s="16" t="inlineStr">
        <is>
          <t>alrededor de A*</t>
        </is>
      </c>
      <c r="E948" s="16" t="inlineStr">
        <is>
          <t>KF-M03</t>
        </is>
      </c>
      <c r="F948" s="16" t="inlineStr">
        <is>
          <t>KF-M03</t>
        </is>
      </c>
      <c r="G948" s="16" t="inlineStr">
        <is>
          <t>B06</t>
        </is>
      </c>
      <c r="H948" s="16" t="inlineStr">
        <is>
          <t>malla</t>
        </is>
      </c>
      <c r="I948" s="16" t="inlineStr">
        <is>
          <t>NO_CONVERGIO</t>
        </is>
      </c>
      <c r="J948" s="16" t="inlineStr">
        <is>
          <t>NO_CONVERGIO</t>
        </is>
      </c>
      <c r="K948" s="16" t="b">
        <v>0</v>
      </c>
      <c r="L948" s="16" t="b">
        <v>0</v>
      </c>
      <c r="M948" s="16" t="b">
        <v>0</v>
      </c>
      <c r="N948" s="16" t="b">
        <v>0</v>
      </c>
      <c r="O948" s="16" t="n">
        <v>403</v>
      </c>
      <c r="P948" s="16" t="n">
        <v>300.032917</v>
      </c>
      <c r="Q948" s="16" t="n">
        <v>8714.285714285714</v>
      </c>
      <c r="R948" s="16" t="n">
        <v>563.6363636363637</v>
      </c>
      <c r="S948" s="16" t="n">
        <v>0.5</v>
      </c>
      <c r="T948" s="16" t="n">
        <v>0.85</v>
      </c>
      <c r="U948" s="16" t="n">
        <v>0.75</v>
      </c>
      <c r="V948" s="16" t="n">
        <v>0.85</v>
      </c>
      <c r="W948" s="16" t="n">
        <v>0.75</v>
      </c>
      <c r="X948" s="16" t="n">
        <v>0.8</v>
      </c>
      <c r="Y948" s="16" t="n"/>
      <c r="Z948" s="16" t="n"/>
      <c r="AA948" s="16" t="n"/>
      <c r="AB948" s="16" t="n">
        <v>8150.64935064935</v>
      </c>
      <c r="AC948" s="16" t="n">
        <v>15.46082949308755</v>
      </c>
      <c r="AD948" s="16" t="n"/>
      <c r="AE948" s="16" t="inlineStr">
        <is>
          <t>P_alta</t>
        </is>
      </c>
    </row>
    <row r="949">
      <c r="A949" s="16" t="inlineStr">
        <is>
          <t>KF-M03-0048</t>
        </is>
      </c>
      <c r="B949" s="16" t="inlineStr">
        <is>
          <t>3.1</t>
        </is>
      </c>
      <c r="C949" s="16" t="inlineStr">
        <is>
          <t>3.1</t>
        </is>
      </c>
      <c r="D949" s="16" t="inlineStr">
        <is>
          <t>alrededor de A*</t>
        </is>
      </c>
      <c r="E949" s="16" t="inlineStr">
        <is>
          <t>KF-M03</t>
        </is>
      </c>
      <c r="F949" s="16" t="inlineStr">
        <is>
          <t>KF-M03</t>
        </is>
      </c>
      <c r="G949" s="16" t="inlineStr">
        <is>
          <t>B06</t>
        </is>
      </c>
      <c r="H949" s="16" t="inlineStr">
        <is>
          <t>malla</t>
        </is>
      </c>
      <c r="I949" s="16" t="inlineStr">
        <is>
          <t>NO_CONVERGIO</t>
        </is>
      </c>
      <c r="J949" s="16" t="inlineStr">
        <is>
          <t>NO_CONVERGIO</t>
        </is>
      </c>
      <c r="K949" s="16" t="b">
        <v>0</v>
      </c>
      <c r="L949" s="16" t="b">
        <v>0</v>
      </c>
      <c r="M949" s="16" t="b">
        <v>0</v>
      </c>
      <c r="N949" s="16" t="b">
        <v>0</v>
      </c>
      <c r="O949" s="16" t="n">
        <v>403</v>
      </c>
      <c r="P949" s="16" t="n">
        <v>300.032917</v>
      </c>
      <c r="Q949" s="16" t="n">
        <v>9357.142857142857</v>
      </c>
      <c r="R949" s="16" t="n">
        <v>563.6363636363637</v>
      </c>
      <c r="S949" s="16" t="n">
        <v>0.5</v>
      </c>
      <c r="T949" s="16" t="n">
        <v>0.85</v>
      </c>
      <c r="U949" s="16" t="n">
        <v>0.75</v>
      </c>
      <c r="V949" s="16" t="n">
        <v>0.85</v>
      </c>
      <c r="W949" s="16" t="n">
        <v>0.75</v>
      </c>
      <c r="X949" s="16" t="n">
        <v>0.8</v>
      </c>
      <c r="Y949" s="16" t="n"/>
      <c r="Z949" s="16" t="n"/>
      <c r="AA949" s="16" t="n"/>
      <c r="AB949" s="16" t="n">
        <v>8793.506493506493</v>
      </c>
      <c r="AC949" s="16" t="n">
        <v>16.60138248847926</v>
      </c>
      <c r="AD949" s="16" t="n"/>
      <c r="AE949" s="16" t="inlineStr">
        <is>
          <t>P_alta</t>
        </is>
      </c>
    </row>
    <row r="950">
      <c r="A950" s="16" t="inlineStr">
        <is>
          <t>KF-M03-0049</t>
        </is>
      </c>
      <c r="B950" s="16" t="inlineStr">
        <is>
          <t>3.1</t>
        </is>
      </c>
      <c r="C950" s="16" t="inlineStr">
        <is>
          <t>3.1</t>
        </is>
      </c>
      <c r="D950" s="16" t="inlineStr">
        <is>
          <t>alrededor de A*</t>
        </is>
      </c>
      <c r="E950" s="16" t="inlineStr">
        <is>
          <t>KF-M03</t>
        </is>
      </c>
      <c r="F950" s="16" t="inlineStr">
        <is>
          <t>KF-M03</t>
        </is>
      </c>
      <c r="G950" s="16" t="inlineStr">
        <is>
          <t>B06</t>
        </is>
      </c>
      <c r="H950" s="16" t="inlineStr">
        <is>
          <t>malla</t>
        </is>
      </c>
      <c r="I950" s="16" t="inlineStr">
        <is>
          <t>NO_CONVERGIO</t>
        </is>
      </c>
      <c r="J950" s="16" t="inlineStr">
        <is>
          <t>NO_CONVERGIO</t>
        </is>
      </c>
      <c r="K950" s="16" t="b">
        <v>0</v>
      </c>
      <c r="L950" s="16" t="b">
        <v>0</v>
      </c>
      <c r="M950" s="16" t="b">
        <v>0</v>
      </c>
      <c r="N950" s="16" t="b">
        <v>0</v>
      </c>
      <c r="O950" s="16" t="n">
        <v>403</v>
      </c>
      <c r="P950" s="16" t="n">
        <v>300.032917</v>
      </c>
      <c r="Q950" s="16" t="n">
        <v>10000</v>
      </c>
      <c r="R950" s="16" t="n">
        <v>563.6363636363637</v>
      </c>
      <c r="S950" s="16" t="n">
        <v>0.5</v>
      </c>
      <c r="T950" s="16" t="n">
        <v>0.85</v>
      </c>
      <c r="U950" s="16" t="n">
        <v>0.75</v>
      </c>
      <c r="V950" s="16" t="n">
        <v>0.85</v>
      </c>
      <c r="W950" s="16" t="n">
        <v>0.75</v>
      </c>
      <c r="X950" s="16" t="n">
        <v>0.8</v>
      </c>
      <c r="Y950" s="16" t="n"/>
      <c r="Z950" s="16" t="n"/>
      <c r="AA950" s="16" t="n"/>
      <c r="AB950" s="16" t="n">
        <v>9436.363636363636</v>
      </c>
      <c r="AC950" s="16" t="n">
        <v>17.74193548387096</v>
      </c>
      <c r="AD950" s="16" t="n"/>
      <c r="AE950" s="16" t="inlineStr">
        <is>
          <t>P_alta</t>
        </is>
      </c>
    </row>
    <row r="951">
      <c r="A951" s="16" t="inlineStr">
        <is>
          <t>KF-M03-0050</t>
        </is>
      </c>
      <c r="B951" s="16" t="inlineStr">
        <is>
          <t>3.1</t>
        </is>
      </c>
      <c r="C951" s="16" t="inlineStr">
        <is>
          <t>3.1</t>
        </is>
      </c>
      <c r="D951" s="16" t="inlineStr">
        <is>
          <t>alrededor de A*</t>
        </is>
      </c>
      <c r="E951" s="16" t="inlineStr">
        <is>
          <t>KF-M03</t>
        </is>
      </c>
      <c r="F951" s="16" t="inlineStr">
        <is>
          <t>KF-M03</t>
        </is>
      </c>
      <c r="G951" s="16" t="inlineStr">
        <is>
          <t>B06</t>
        </is>
      </c>
      <c r="H951" s="16" t="inlineStr">
        <is>
          <t>malla</t>
        </is>
      </c>
      <c r="I951" s="16" t="inlineStr">
        <is>
          <t>INVIABLE</t>
        </is>
      </c>
      <c r="J951" s="16" t="inlineStr">
        <is>
          <t>INVIABLE</t>
        </is>
      </c>
      <c r="K951" s="16" t="b">
        <v>1</v>
      </c>
      <c r="L951" s="16" t="b">
        <v>0</v>
      </c>
      <c r="M951" s="16" t="b">
        <v>0</v>
      </c>
      <c r="N951" s="16" t="b">
        <v>0</v>
      </c>
      <c r="O951" s="16" t="n">
        <v>403</v>
      </c>
      <c r="P951" s="16" t="n">
        <v>300.032917</v>
      </c>
      <c r="Q951" s="16" t="n">
        <v>3000</v>
      </c>
      <c r="R951" s="16" t="n">
        <v>150</v>
      </c>
      <c r="S951" s="16" t="n">
        <v>0.5</v>
      </c>
      <c r="T951" s="16" t="n">
        <v>0.85</v>
      </c>
      <c r="U951" s="16" t="n">
        <v>0.75</v>
      </c>
      <c r="V951" s="16" t="n">
        <v>0.85</v>
      </c>
      <c r="W951" s="16" t="n">
        <v>0.75</v>
      </c>
      <c r="X951" s="16" t="n">
        <v>0.8</v>
      </c>
      <c r="Y951" s="16" t="n"/>
      <c r="Z951" s="16" t="n">
        <v>-40.37130861728543</v>
      </c>
      <c r="AA951" s="16" t="n">
        <v>-53.8293307599943</v>
      </c>
      <c r="AB951" s="16" t="n">
        <v>2850</v>
      </c>
      <c r="AC951" s="16" t="n">
        <v>20</v>
      </c>
      <c r="AD951" s="16" t="inlineStr">
        <is>
          <t>O2,O3</t>
        </is>
      </c>
      <c r="AE951" s="16" t="inlineStr">
        <is>
          <t>P_baja</t>
        </is>
      </c>
    </row>
    <row r="952">
      <c r="A952" s="16" t="inlineStr">
        <is>
          <t>KF-M03-0051</t>
        </is>
      </c>
      <c r="B952" s="16" t="inlineStr">
        <is>
          <t>3.1</t>
        </is>
      </c>
      <c r="C952" s="16" t="inlineStr">
        <is>
          <t>3.1</t>
        </is>
      </c>
      <c r="D952" s="16" t="inlineStr">
        <is>
          <t>alrededor de A*</t>
        </is>
      </c>
      <c r="E952" s="16" t="inlineStr">
        <is>
          <t>KF-M03</t>
        </is>
      </c>
      <c r="F952" s="16" t="inlineStr">
        <is>
          <t>KF-M03</t>
        </is>
      </c>
      <c r="G952" s="16" t="inlineStr">
        <is>
          <t>B06</t>
        </is>
      </c>
      <c r="H952" s="16" t="inlineStr">
        <is>
          <t>vecino</t>
        </is>
      </c>
      <c r="I952" s="16" t="inlineStr">
        <is>
          <t>KALINA</t>
        </is>
      </c>
      <c r="J952" s="16" t="inlineStr">
        <is>
          <t>KALINA</t>
        </is>
      </c>
      <c r="K952" s="16" t="b">
        <v>1</v>
      </c>
      <c r="L952" s="16" t="b">
        <v>1</v>
      </c>
      <c r="M952" s="16" t="b">
        <v>0</v>
      </c>
      <c r="N952" s="16" t="b">
        <v>0</v>
      </c>
      <c r="O952" s="16" t="n">
        <v>403</v>
      </c>
      <c r="P952" s="16" t="n">
        <v>300.032917</v>
      </c>
      <c r="Q952" s="16" t="n">
        <v>3090</v>
      </c>
      <c r="R952" s="16" t="n">
        <v>563.6363636363637</v>
      </c>
      <c r="S952" s="16" t="n">
        <v>0.5</v>
      </c>
      <c r="T952" s="16" t="n">
        <v>0.85</v>
      </c>
      <c r="U952" s="16" t="n">
        <v>0.75</v>
      </c>
      <c r="V952" s="16" t="n">
        <v>0.85</v>
      </c>
      <c r="W952" s="16" t="n">
        <v>0.75</v>
      </c>
      <c r="X952" s="16" t="n">
        <v>0.8</v>
      </c>
      <c r="Y952" s="16" t="n"/>
      <c r="Z952" s="16" t="n">
        <v>8.15243477879863</v>
      </c>
      <c r="AA952" s="16" t="n">
        <v>23.5422546531335</v>
      </c>
      <c r="AB952" s="16" t="n">
        <v>2526.363636363636</v>
      </c>
      <c r="AC952" s="16" t="n">
        <v>5.482258064516128</v>
      </c>
      <c r="AD952" s="16" t="n"/>
      <c r="AE952" s="16" t="inlineStr">
        <is>
          <t>P_alta</t>
        </is>
      </c>
    </row>
    <row r="953">
      <c r="A953" s="16" t="inlineStr">
        <is>
          <t>KF-M03-0052</t>
        </is>
      </c>
      <c r="B953" s="16" t="inlineStr">
        <is>
          <t>3.1</t>
        </is>
      </c>
      <c r="C953" s="16" t="inlineStr">
        <is>
          <t>3.1</t>
        </is>
      </c>
      <c r="D953" s="16" t="inlineStr">
        <is>
          <t>alrededor de A*</t>
        </is>
      </c>
      <c r="E953" s="16" t="inlineStr">
        <is>
          <t>KF-M03</t>
        </is>
      </c>
      <c r="F953" s="16" t="inlineStr">
        <is>
          <t>KF-M03</t>
        </is>
      </c>
      <c r="G953" s="16" t="inlineStr">
        <is>
          <t>B06</t>
        </is>
      </c>
      <c r="H953" s="16" t="inlineStr">
        <is>
          <t>vecino</t>
        </is>
      </c>
      <c r="I953" s="16" t="inlineStr">
        <is>
          <t>CORREGIBLE</t>
        </is>
      </c>
      <c r="J953" s="16" t="inlineStr">
        <is>
          <t>CORREGIBLE</t>
        </is>
      </c>
      <c r="K953" s="16" t="b">
        <v>1</v>
      </c>
      <c r="L953" s="16" t="b">
        <v>0</v>
      </c>
      <c r="M953" s="16" t="b">
        <v>0</v>
      </c>
      <c r="N953" s="16" t="b">
        <v>0</v>
      </c>
      <c r="O953" s="16" t="n">
        <v>403</v>
      </c>
      <c r="P953" s="16" t="n">
        <v>300.032917</v>
      </c>
      <c r="Q953" s="16" t="n">
        <v>2910</v>
      </c>
      <c r="R953" s="16" t="n">
        <v>563.6363636363637</v>
      </c>
      <c r="S953" s="16" t="n">
        <v>0.5</v>
      </c>
      <c r="T953" s="16" t="n">
        <v>0.85</v>
      </c>
      <c r="U953" s="16" t="n">
        <v>0.75</v>
      </c>
      <c r="V953" s="16" t="n">
        <v>0.85</v>
      </c>
      <c r="W953" s="16" t="n">
        <v>0.75</v>
      </c>
      <c r="X953" s="16" t="n">
        <v>0.8</v>
      </c>
      <c r="Y953" s="16" t="n"/>
      <c r="Z953" s="16" t="n">
        <v>8.74507634097869</v>
      </c>
      <c r="AA953" s="16" t="n">
        <v>28.24875921802043</v>
      </c>
      <c r="AB953" s="16" t="n">
        <v>2346.363636363636</v>
      </c>
      <c r="AC953" s="16" t="n">
        <v>5.162903225806451</v>
      </c>
      <c r="AD953" s="16" t="inlineStr">
        <is>
          <t>O2</t>
        </is>
      </c>
      <c r="AE953" s="16" t="inlineStr">
        <is>
          <t>P_alta</t>
        </is>
      </c>
    </row>
    <row r="954">
      <c r="A954" s="16" t="inlineStr">
        <is>
          <t>KF-M03-0053</t>
        </is>
      </c>
      <c r="B954" s="16" t="inlineStr">
        <is>
          <t>3.1</t>
        </is>
      </c>
      <c r="C954" s="16" t="inlineStr">
        <is>
          <t>3.1</t>
        </is>
      </c>
      <c r="D954" s="16" t="inlineStr">
        <is>
          <t>alrededor de A*</t>
        </is>
      </c>
      <c r="E954" s="16" t="inlineStr">
        <is>
          <t>KF-M03</t>
        </is>
      </c>
      <c r="F954" s="16" t="inlineStr">
        <is>
          <t>KF-M03</t>
        </is>
      </c>
      <c r="G954" s="16" t="inlineStr">
        <is>
          <t>B06</t>
        </is>
      </c>
      <c r="H954" s="16" t="inlineStr">
        <is>
          <t>malla</t>
        </is>
      </c>
      <c r="I954" s="16" t="inlineStr">
        <is>
          <t>CORREGIBLE</t>
        </is>
      </c>
      <c r="J954" s="16" t="inlineStr">
        <is>
          <t>CORREGIBLE</t>
        </is>
      </c>
      <c r="K954" s="16" t="b">
        <v>1</v>
      </c>
      <c r="L954" s="16" t="b">
        <v>0</v>
      </c>
      <c r="M954" s="16" t="b">
        <v>0</v>
      </c>
      <c r="N954" s="16" t="b">
        <v>0</v>
      </c>
      <c r="O954" s="16" t="n">
        <v>403</v>
      </c>
      <c r="P954" s="16" t="n">
        <v>300.032917</v>
      </c>
      <c r="Q954" s="16" t="n">
        <v>3000</v>
      </c>
      <c r="R954" s="16" t="n">
        <v>246.4285714285714</v>
      </c>
      <c r="S954" s="16" t="n">
        <v>0.5</v>
      </c>
      <c r="T954" s="16" t="n">
        <v>0.85</v>
      </c>
      <c r="U954" s="16" t="n">
        <v>0.75</v>
      </c>
      <c r="V954" s="16" t="n">
        <v>0.85</v>
      </c>
      <c r="W954" s="16" t="n">
        <v>0.75</v>
      </c>
      <c r="X954" s="16" t="n">
        <v>0.8</v>
      </c>
      <c r="Y954" s="16" t="n"/>
      <c r="Z954" s="16" t="n">
        <v>4.19925749131601</v>
      </c>
      <c r="AA954" s="16" t="n">
        <v>10.39162737870946</v>
      </c>
      <c r="AB954" s="16" t="n">
        <v>2753.571428571428</v>
      </c>
      <c r="AC954" s="16" t="n">
        <v>12.17391304347826</v>
      </c>
      <c r="AD954" s="16" t="inlineStr">
        <is>
          <t>O2</t>
        </is>
      </c>
      <c r="AE954" s="16" t="inlineStr">
        <is>
          <t>P_baja</t>
        </is>
      </c>
    </row>
    <row r="955">
      <c r="A955" s="16" t="inlineStr">
        <is>
          <t>KF-M03-0054</t>
        </is>
      </c>
      <c r="B955" s="16" t="inlineStr">
        <is>
          <t>3.1</t>
        </is>
      </c>
      <c r="C955" s="16" t="inlineStr">
        <is>
          <t>3.1</t>
        </is>
      </c>
      <c r="D955" s="16" t="inlineStr">
        <is>
          <t>alrededor de A*</t>
        </is>
      </c>
      <c r="E955" s="16" t="inlineStr">
        <is>
          <t>KF-M03</t>
        </is>
      </c>
      <c r="F955" s="16" t="inlineStr">
        <is>
          <t>KF-M03</t>
        </is>
      </c>
      <c r="G955" s="16" t="inlineStr">
        <is>
          <t>B06</t>
        </is>
      </c>
      <c r="H955" s="16" t="inlineStr">
        <is>
          <t>malla</t>
        </is>
      </c>
      <c r="I955" s="16" t="inlineStr">
        <is>
          <t>CORREGIBLE</t>
        </is>
      </c>
      <c r="J955" s="16" t="inlineStr">
        <is>
          <t>CORREGIBLE</t>
        </is>
      </c>
      <c r="K955" s="16" t="b">
        <v>1</v>
      </c>
      <c r="L955" s="16" t="b">
        <v>0</v>
      </c>
      <c r="M955" s="16" t="b">
        <v>0</v>
      </c>
      <c r="N955" s="16" t="b">
        <v>0</v>
      </c>
      <c r="O955" s="16" t="n">
        <v>403</v>
      </c>
      <c r="P955" s="16" t="n">
        <v>300.032917</v>
      </c>
      <c r="Q955" s="16" t="n">
        <v>3000</v>
      </c>
      <c r="R955" s="16" t="n">
        <v>342.8571428571429</v>
      </c>
      <c r="S955" s="16" t="n">
        <v>0.5</v>
      </c>
      <c r="T955" s="16" t="n">
        <v>0.85</v>
      </c>
      <c r="U955" s="16" t="n">
        <v>0.75</v>
      </c>
      <c r="V955" s="16" t="n">
        <v>0.85</v>
      </c>
      <c r="W955" s="16" t="n">
        <v>0.75</v>
      </c>
      <c r="X955" s="16" t="n">
        <v>0.8</v>
      </c>
      <c r="Y955" s="16" t="n"/>
      <c r="Z955" s="16" t="n">
        <v>10.29690767870775</v>
      </c>
      <c r="AA955" s="16" t="n">
        <v>31.43012724228364</v>
      </c>
      <c r="AB955" s="16" t="n">
        <v>2657.142857142857</v>
      </c>
      <c r="AC955" s="16" t="n">
        <v>8.75</v>
      </c>
      <c r="AD955" s="16" t="inlineStr">
        <is>
          <t>O2</t>
        </is>
      </c>
      <c r="AE955" s="16" t="inlineStr">
        <is>
          <t>P_baja</t>
        </is>
      </c>
    </row>
    <row r="956">
      <c r="A956" s="16" t="inlineStr">
        <is>
          <t>KF-M03-0055</t>
        </is>
      </c>
      <c r="B956" s="16" t="inlineStr">
        <is>
          <t>3.1</t>
        </is>
      </c>
      <c r="C956" s="16" t="inlineStr">
        <is>
          <t>3.1</t>
        </is>
      </c>
      <c r="D956" s="16" t="inlineStr">
        <is>
          <t>alrededor de A*</t>
        </is>
      </c>
      <c r="E956" s="16" t="inlineStr">
        <is>
          <t>KF-M03</t>
        </is>
      </c>
      <c r="F956" s="16" t="inlineStr">
        <is>
          <t>KF-M03</t>
        </is>
      </c>
      <c r="G956" s="16" t="inlineStr">
        <is>
          <t>B06</t>
        </is>
      </c>
      <c r="H956" s="16" t="inlineStr">
        <is>
          <t>malla</t>
        </is>
      </c>
      <c r="I956" s="16" t="inlineStr">
        <is>
          <t>CORREGIBLE</t>
        </is>
      </c>
      <c r="J956" s="16" t="inlineStr">
        <is>
          <t>CORREGIBLE</t>
        </is>
      </c>
      <c r="K956" s="16" t="b">
        <v>1</v>
      </c>
      <c r="L956" s="16" t="b">
        <v>0</v>
      </c>
      <c r="M956" s="16" t="b">
        <v>0</v>
      </c>
      <c r="N956" s="16" t="b">
        <v>0</v>
      </c>
      <c r="O956" s="16" t="n">
        <v>403</v>
      </c>
      <c r="P956" s="16" t="n">
        <v>300.032917</v>
      </c>
      <c r="Q956" s="16" t="n">
        <v>3000</v>
      </c>
      <c r="R956" s="16" t="n">
        <v>439.2857142857143</v>
      </c>
      <c r="S956" s="16" t="n">
        <v>0.5</v>
      </c>
      <c r="T956" s="16" t="n">
        <v>0.85</v>
      </c>
      <c r="U956" s="16" t="n">
        <v>0.75</v>
      </c>
      <c r="V956" s="16" t="n">
        <v>0.85</v>
      </c>
      <c r="W956" s="16" t="n">
        <v>0.75</v>
      </c>
      <c r="X956" s="16" t="n">
        <v>0.8</v>
      </c>
      <c r="Y956" s="16" t="n"/>
      <c r="Z956" s="16" t="n">
        <v>9.55554378291599</v>
      </c>
      <c r="AA956" s="16" t="n">
        <v>29.23278984961429</v>
      </c>
      <c r="AB956" s="16" t="n">
        <v>2560.714285714286</v>
      </c>
      <c r="AC956" s="16" t="n">
        <v>6.829268292682927</v>
      </c>
      <c r="AD956" s="16" t="inlineStr">
        <is>
          <t>O2</t>
        </is>
      </c>
      <c r="AE956" s="16" t="inlineStr">
        <is>
          <t>P_baja</t>
        </is>
      </c>
    </row>
    <row r="957">
      <c r="A957" s="16" t="inlineStr">
        <is>
          <t>KF-M03-0056</t>
        </is>
      </c>
      <c r="B957" s="16" t="inlineStr">
        <is>
          <t>3.1</t>
        </is>
      </c>
      <c r="C957" s="16" t="inlineStr">
        <is>
          <t>3.1</t>
        </is>
      </c>
      <c r="D957" s="16" t="inlineStr">
        <is>
          <t>alrededor de A*</t>
        </is>
      </c>
      <c r="E957" s="16" t="inlineStr">
        <is>
          <t>KF-M03</t>
        </is>
      </c>
      <c r="F957" s="16" t="inlineStr">
        <is>
          <t>KF-M03</t>
        </is>
      </c>
      <c r="G957" s="16" t="inlineStr">
        <is>
          <t>B06</t>
        </is>
      </c>
      <c r="H957" s="16" t="inlineStr">
        <is>
          <t>malla</t>
        </is>
      </c>
      <c r="I957" s="16" t="inlineStr">
        <is>
          <t>CORREGIBLE</t>
        </is>
      </c>
      <c r="J957" s="16" t="inlineStr">
        <is>
          <t>CORREGIBLE</t>
        </is>
      </c>
      <c r="K957" s="16" t="b">
        <v>1</v>
      </c>
      <c r="L957" s="16" t="b">
        <v>0</v>
      </c>
      <c r="M957" s="16" t="b">
        <v>0</v>
      </c>
      <c r="N957" s="16" t="b">
        <v>0</v>
      </c>
      <c r="O957" s="16" t="n">
        <v>403</v>
      </c>
      <c r="P957" s="16" t="n">
        <v>300.032917</v>
      </c>
      <c r="Q957" s="16" t="n">
        <v>3000</v>
      </c>
      <c r="R957" s="16" t="n">
        <v>535.7142857142858</v>
      </c>
      <c r="S957" s="16" t="n">
        <v>0.5</v>
      </c>
      <c r="T957" s="16" t="n">
        <v>0.85</v>
      </c>
      <c r="U957" s="16" t="n">
        <v>0.75</v>
      </c>
      <c r="V957" s="16" t="n">
        <v>0.85</v>
      </c>
      <c r="W957" s="16" t="n">
        <v>0.75</v>
      </c>
      <c r="X957" s="16" t="n">
        <v>0.8</v>
      </c>
      <c r="Y957" s="16" t="n"/>
      <c r="Z957" s="16" t="n">
        <v>8.727970988748721</v>
      </c>
      <c r="AA957" s="16" t="n">
        <v>26.69833115034501</v>
      </c>
      <c r="AB957" s="16" t="n">
        <v>2464.285714285714</v>
      </c>
      <c r="AC957" s="16" t="n">
        <v>5.6</v>
      </c>
      <c r="AD957" s="16" t="inlineStr">
        <is>
          <t>O2</t>
        </is>
      </c>
      <c r="AE957" s="16" t="inlineStr">
        <is>
          <t>P_baja</t>
        </is>
      </c>
    </row>
    <row r="958">
      <c r="A958" s="16" t="inlineStr">
        <is>
          <t>KF-M03-0057</t>
        </is>
      </c>
      <c r="B958" s="16" t="inlineStr">
        <is>
          <t>3.1</t>
        </is>
      </c>
      <c r="C958" s="16" t="inlineStr">
        <is>
          <t>3.1</t>
        </is>
      </c>
      <c r="D958" s="16" t="inlineStr">
        <is>
          <t>alrededor de A*</t>
        </is>
      </c>
      <c r="E958" s="16" t="inlineStr">
        <is>
          <t>KF-M03</t>
        </is>
      </c>
      <c r="F958" s="16" t="inlineStr">
        <is>
          <t>KF-M03</t>
        </is>
      </c>
      <c r="G958" s="16" t="inlineStr">
        <is>
          <t>B06</t>
        </is>
      </c>
      <c r="H958" s="16" t="inlineStr">
        <is>
          <t>malla</t>
        </is>
      </c>
      <c r="I958" s="16" t="inlineStr">
        <is>
          <t>KALINA</t>
        </is>
      </c>
      <c r="J958" s="16" t="inlineStr">
        <is>
          <t>KALINA</t>
        </is>
      </c>
      <c r="K958" s="16" t="b">
        <v>1</v>
      </c>
      <c r="L958" s="16" t="b">
        <v>1</v>
      </c>
      <c r="M958" s="16" t="b">
        <v>0</v>
      </c>
      <c r="N958" s="16" t="b">
        <v>0</v>
      </c>
      <c r="O958" s="16" t="n">
        <v>403</v>
      </c>
      <c r="P958" s="16" t="n">
        <v>300.032917</v>
      </c>
      <c r="Q958" s="16" t="n">
        <v>3000</v>
      </c>
      <c r="R958" s="16" t="n">
        <v>632.1428571428571</v>
      </c>
      <c r="S958" s="16" t="n">
        <v>0.5</v>
      </c>
      <c r="T958" s="16" t="n">
        <v>0.85</v>
      </c>
      <c r="U958" s="16" t="n">
        <v>0.75</v>
      </c>
      <c r="V958" s="16" t="n">
        <v>0.85</v>
      </c>
      <c r="W958" s="16" t="n">
        <v>0.75</v>
      </c>
      <c r="X958" s="16" t="n">
        <v>0.8</v>
      </c>
      <c r="Y958" s="16" t="n"/>
      <c r="Z958" s="16" t="n">
        <v>7.912398443030209</v>
      </c>
      <c r="AA958" s="16" t="n">
        <v>24.19143504426692</v>
      </c>
      <c r="AB958" s="16" t="n">
        <v>2367.857142857143</v>
      </c>
      <c r="AC958" s="16" t="n">
        <v>4.745762711864408</v>
      </c>
      <c r="AD958" s="16" t="n"/>
      <c r="AE958" s="16" t="inlineStr">
        <is>
          <t>P_baja</t>
        </is>
      </c>
    </row>
    <row r="959">
      <c r="A959" s="16" t="inlineStr">
        <is>
          <t>KF-M03-0058</t>
        </is>
      </c>
      <c r="B959" s="16" t="inlineStr">
        <is>
          <t>3.1</t>
        </is>
      </c>
      <c r="C959" s="16" t="inlineStr">
        <is>
          <t>3.1</t>
        </is>
      </c>
      <c r="D959" s="16" t="inlineStr">
        <is>
          <t>alrededor de A*</t>
        </is>
      </c>
      <c r="E959" s="16" t="inlineStr">
        <is>
          <t>KF-M03</t>
        </is>
      </c>
      <c r="F959" s="16" t="inlineStr">
        <is>
          <t>KF-M03</t>
        </is>
      </c>
      <c r="G959" s="16" t="inlineStr">
        <is>
          <t>B06</t>
        </is>
      </c>
      <c r="H959" s="16" t="inlineStr">
        <is>
          <t>malla</t>
        </is>
      </c>
      <c r="I959" s="16" t="inlineStr">
        <is>
          <t>KALINA</t>
        </is>
      </c>
      <c r="J959" s="16" t="inlineStr">
        <is>
          <t>KALINA</t>
        </is>
      </c>
      <c r="K959" s="16" t="b">
        <v>1</v>
      </c>
      <c r="L959" s="16" t="b">
        <v>1</v>
      </c>
      <c r="M959" s="16" t="b">
        <v>0</v>
      </c>
      <c r="N959" s="16" t="b">
        <v>0</v>
      </c>
      <c r="O959" s="16" t="n">
        <v>403</v>
      </c>
      <c r="P959" s="16" t="n">
        <v>300.032917</v>
      </c>
      <c r="Q959" s="16" t="n">
        <v>3000</v>
      </c>
      <c r="R959" s="16" t="n">
        <v>728.5714285714286</v>
      </c>
      <c r="S959" s="16" t="n">
        <v>0.5</v>
      </c>
      <c r="T959" s="16" t="n">
        <v>0.85</v>
      </c>
      <c r="U959" s="16" t="n">
        <v>0.75</v>
      </c>
      <c r="V959" s="16" t="n">
        <v>0.85</v>
      </c>
      <c r="W959" s="16" t="n">
        <v>0.75</v>
      </c>
      <c r="X959" s="16" t="n">
        <v>0.8</v>
      </c>
      <c r="Y959" s="16" t="n"/>
      <c r="Z959" s="16" t="n">
        <v>7.200137066499971</v>
      </c>
      <c r="AA959" s="16" t="n">
        <v>22.00411517687212</v>
      </c>
      <c r="AB959" s="16" t="n">
        <v>2271.428571428572</v>
      </c>
      <c r="AC959" s="16" t="n">
        <v>4.11764705882353</v>
      </c>
      <c r="AD959" s="16" t="n"/>
      <c r="AE959" s="16" t="inlineStr">
        <is>
          <t>P_baja</t>
        </is>
      </c>
    </row>
    <row r="960">
      <c r="A960" s="16" t="inlineStr">
        <is>
          <t>KF-M03-0059</t>
        </is>
      </c>
      <c r="B960" s="16" t="inlineStr">
        <is>
          <t>3.1</t>
        </is>
      </c>
      <c r="C960" s="16" t="inlineStr">
        <is>
          <t>3.1</t>
        </is>
      </c>
      <c r="D960" s="16" t="inlineStr">
        <is>
          <t>alrededor de A*</t>
        </is>
      </c>
      <c r="E960" s="16" t="inlineStr">
        <is>
          <t>KF-M03</t>
        </is>
      </c>
      <c r="F960" s="16" t="inlineStr">
        <is>
          <t>KF-M03</t>
        </is>
      </c>
      <c r="G960" s="16" t="inlineStr">
        <is>
          <t>B06</t>
        </is>
      </c>
      <c r="H960" s="16" t="inlineStr">
        <is>
          <t>malla</t>
        </is>
      </c>
      <c r="I960" s="16" t="inlineStr">
        <is>
          <t>KALINA</t>
        </is>
      </c>
      <c r="J960" s="16" t="inlineStr">
        <is>
          <t>KALINA</t>
        </is>
      </c>
      <c r="K960" s="16" t="b">
        <v>1</v>
      </c>
      <c r="L960" s="16" t="b">
        <v>1</v>
      </c>
      <c r="M960" s="16" t="b">
        <v>0</v>
      </c>
      <c r="N960" s="16" t="b">
        <v>0</v>
      </c>
      <c r="O960" s="16" t="n">
        <v>403</v>
      </c>
      <c r="P960" s="16" t="n">
        <v>300.032917</v>
      </c>
      <c r="Q960" s="16" t="n">
        <v>3000</v>
      </c>
      <c r="R960" s="16" t="n">
        <v>825</v>
      </c>
      <c r="S960" s="16" t="n">
        <v>0.5</v>
      </c>
      <c r="T960" s="16" t="n">
        <v>0.85</v>
      </c>
      <c r="U960" s="16" t="n">
        <v>0.75</v>
      </c>
      <c r="V960" s="16" t="n">
        <v>0.85</v>
      </c>
      <c r="W960" s="16" t="n">
        <v>0.75</v>
      </c>
      <c r="X960" s="16" t="n">
        <v>0.8</v>
      </c>
      <c r="Y960" s="16" t="n"/>
      <c r="Z960" s="16" t="n">
        <v>6.570595209173161</v>
      </c>
      <c r="AA960" s="16" t="n">
        <v>20.07260185867142</v>
      </c>
      <c r="AB960" s="16" t="n">
        <v>2175</v>
      </c>
      <c r="AC960" s="16" t="n">
        <v>3.636363636363636</v>
      </c>
      <c r="AD960" s="16" t="n"/>
      <c r="AE960" s="16" t="inlineStr">
        <is>
          <t>P_baja</t>
        </is>
      </c>
    </row>
    <row r="961">
      <c r="A961" s="16" t="inlineStr">
        <is>
          <t>KF-M03-0060</t>
        </is>
      </c>
      <c r="B961" s="16" t="inlineStr">
        <is>
          <t>3.1</t>
        </is>
      </c>
      <c r="C961" s="16" t="inlineStr">
        <is>
          <t>3.1</t>
        </is>
      </c>
      <c r="D961" s="16" t="inlineStr">
        <is>
          <t>alrededor de A*</t>
        </is>
      </c>
      <c r="E961" s="16" t="inlineStr">
        <is>
          <t>KF-M03</t>
        </is>
      </c>
      <c r="F961" s="16" t="inlineStr">
        <is>
          <t>KF-M03</t>
        </is>
      </c>
      <c r="G961" s="16" t="inlineStr">
        <is>
          <t>B06</t>
        </is>
      </c>
      <c r="H961" s="16" t="inlineStr">
        <is>
          <t>malla</t>
        </is>
      </c>
      <c r="I961" s="16" t="inlineStr">
        <is>
          <t>KALINA</t>
        </is>
      </c>
      <c r="J961" s="16" t="inlineStr">
        <is>
          <t>KALINA</t>
        </is>
      </c>
      <c r="K961" s="16" t="b">
        <v>1</v>
      </c>
      <c r="L961" s="16" t="b">
        <v>1</v>
      </c>
      <c r="M961" s="16" t="b">
        <v>0</v>
      </c>
      <c r="N961" s="16" t="b">
        <v>0</v>
      </c>
      <c r="O961" s="16" t="n">
        <v>403</v>
      </c>
      <c r="P961" s="16" t="n">
        <v>300.032917</v>
      </c>
      <c r="Q961" s="16" t="n">
        <v>3000</v>
      </c>
      <c r="R961" s="16" t="n">
        <v>921.4285714285714</v>
      </c>
      <c r="S961" s="16" t="n">
        <v>0.5</v>
      </c>
      <c r="T961" s="16" t="n">
        <v>0.85</v>
      </c>
      <c r="U961" s="16" t="n">
        <v>0.75</v>
      </c>
      <c r="V961" s="16" t="n">
        <v>0.85</v>
      </c>
      <c r="W961" s="16" t="n">
        <v>0.75</v>
      </c>
      <c r="X961" s="16" t="n">
        <v>0.8</v>
      </c>
      <c r="Y961" s="16" t="n"/>
      <c r="Z961" s="16" t="n">
        <v>6.00676273927461</v>
      </c>
      <c r="AA961" s="16" t="n">
        <v>18.34408315197642</v>
      </c>
      <c r="AB961" s="16" t="n">
        <v>2078.571428571428</v>
      </c>
      <c r="AC961" s="16" t="n">
        <v>3.255813953488372</v>
      </c>
      <c r="AD961" s="16" t="n"/>
      <c r="AE961" s="16" t="inlineStr">
        <is>
          <t>P_baja</t>
        </is>
      </c>
    </row>
    <row r="962">
      <c r="A962" s="16" t="inlineStr">
        <is>
          <t>KF-M03-0061</t>
        </is>
      </c>
      <c r="B962" s="16" t="inlineStr">
        <is>
          <t>3.1</t>
        </is>
      </c>
      <c r="C962" s="16" t="inlineStr">
        <is>
          <t>3.1</t>
        </is>
      </c>
      <c r="D962" s="16" t="inlineStr">
        <is>
          <t>alrededor de A*</t>
        </is>
      </c>
      <c r="E962" s="16" t="inlineStr">
        <is>
          <t>KF-M03</t>
        </is>
      </c>
      <c r="F962" s="16" t="inlineStr">
        <is>
          <t>KF-M03</t>
        </is>
      </c>
      <c r="G962" s="16" t="inlineStr">
        <is>
          <t>B06</t>
        </is>
      </c>
      <c r="H962" s="16" t="inlineStr">
        <is>
          <t>malla</t>
        </is>
      </c>
      <c r="I962" s="16" t="inlineStr">
        <is>
          <t>KALINA</t>
        </is>
      </c>
      <c r="J962" s="16" t="inlineStr">
        <is>
          <t>KALINA</t>
        </is>
      </c>
      <c r="K962" s="16" t="b">
        <v>1</v>
      </c>
      <c r="L962" s="16" t="b">
        <v>1</v>
      </c>
      <c r="M962" s="16" t="b">
        <v>0</v>
      </c>
      <c r="N962" s="16" t="b">
        <v>0</v>
      </c>
      <c r="O962" s="16" t="n">
        <v>403</v>
      </c>
      <c r="P962" s="16" t="n">
        <v>300.032917</v>
      </c>
      <c r="Q962" s="16" t="n">
        <v>3000</v>
      </c>
      <c r="R962" s="16" t="n">
        <v>1114.285714285714</v>
      </c>
      <c r="S962" s="16" t="n">
        <v>0.5</v>
      </c>
      <c r="T962" s="16" t="n">
        <v>0.85</v>
      </c>
      <c r="U962" s="16" t="n">
        <v>0.75</v>
      </c>
      <c r="V962" s="16" t="n">
        <v>0.85</v>
      </c>
      <c r="W962" s="16" t="n">
        <v>0.75</v>
      </c>
      <c r="X962" s="16" t="n">
        <v>0.8</v>
      </c>
      <c r="Y962" s="16" t="n"/>
      <c r="Z962" s="16" t="n">
        <v>5.03073881448352</v>
      </c>
      <c r="AA962" s="16" t="n">
        <v>15.35495820818113</v>
      </c>
      <c r="AB962" s="16" t="n">
        <v>1885.714285714286</v>
      </c>
      <c r="AC962" s="16" t="n">
        <v>2.692307692307693</v>
      </c>
      <c r="AD962" s="16" t="n"/>
      <c r="AE962" s="16" t="inlineStr">
        <is>
          <t>P_baja</t>
        </is>
      </c>
    </row>
    <row r="963">
      <c r="A963" s="16" t="inlineStr">
        <is>
          <t>KF-M03-0062</t>
        </is>
      </c>
      <c r="B963" s="16" t="inlineStr">
        <is>
          <t>3.1</t>
        </is>
      </c>
      <c r="C963" s="16" t="inlineStr">
        <is>
          <t>3.1</t>
        </is>
      </c>
      <c r="D963" s="16" t="inlineStr">
        <is>
          <t>alrededor de A*</t>
        </is>
      </c>
      <c r="E963" s="16" t="inlineStr">
        <is>
          <t>KF-M03</t>
        </is>
      </c>
      <c r="F963" s="16" t="inlineStr">
        <is>
          <t>KF-M03</t>
        </is>
      </c>
      <c r="G963" s="16" t="inlineStr">
        <is>
          <t>B06</t>
        </is>
      </c>
      <c r="H963" s="16" t="inlineStr">
        <is>
          <t>malla</t>
        </is>
      </c>
      <c r="I963" s="16" t="inlineStr">
        <is>
          <t>KALINA</t>
        </is>
      </c>
      <c r="J963" s="16" t="inlineStr">
        <is>
          <t>KALINA</t>
        </is>
      </c>
      <c r="K963" s="16" t="b">
        <v>1</v>
      </c>
      <c r="L963" s="16" t="b">
        <v>1</v>
      </c>
      <c r="M963" s="16" t="b">
        <v>0</v>
      </c>
      <c r="N963" s="16" t="b">
        <v>0</v>
      </c>
      <c r="O963" s="16" t="n">
        <v>403</v>
      </c>
      <c r="P963" s="16" t="n">
        <v>300.032917</v>
      </c>
      <c r="Q963" s="16" t="n">
        <v>3000</v>
      </c>
      <c r="R963" s="16" t="n">
        <v>1017.857142857143</v>
      </c>
      <c r="S963" s="16" t="n">
        <v>0.5</v>
      </c>
      <c r="T963" s="16" t="n">
        <v>0.85</v>
      </c>
      <c r="U963" s="16" t="n">
        <v>0.75</v>
      </c>
      <c r="V963" s="16" t="n">
        <v>0.85</v>
      </c>
      <c r="W963" s="16" t="n">
        <v>0.75</v>
      </c>
      <c r="X963" s="16" t="n">
        <v>0.8</v>
      </c>
      <c r="Y963" s="16" t="n"/>
      <c r="Z963" s="16" t="n">
        <v>5.496481271906021</v>
      </c>
      <c r="AA963" s="16" t="n">
        <v>16.78084291933079</v>
      </c>
      <c r="AB963" s="16" t="n">
        <v>1982.142857142857</v>
      </c>
      <c r="AC963" s="16" t="n">
        <v>2.947368421052632</v>
      </c>
      <c r="AD963" s="16" t="n"/>
      <c r="AE963" s="16" t="inlineStr">
        <is>
          <t>P_baja</t>
        </is>
      </c>
    </row>
    <row r="964">
      <c r="A964" s="16" t="inlineStr">
        <is>
          <t>KF-M03-0063</t>
        </is>
      </c>
      <c r="B964" s="16" t="inlineStr">
        <is>
          <t>3.1</t>
        </is>
      </c>
      <c r="C964" s="16" t="inlineStr">
        <is>
          <t>3.1</t>
        </is>
      </c>
      <c r="D964" s="16" t="inlineStr">
        <is>
          <t>alrededor de A*</t>
        </is>
      </c>
      <c r="E964" s="16" t="inlineStr">
        <is>
          <t>KF-M03</t>
        </is>
      </c>
      <c r="F964" s="16" t="inlineStr">
        <is>
          <t>KF-M03</t>
        </is>
      </c>
      <c r="G964" s="16" t="inlineStr">
        <is>
          <t>B06</t>
        </is>
      </c>
      <c r="H964" s="16" t="inlineStr">
        <is>
          <t>malla</t>
        </is>
      </c>
      <c r="I964" s="16" t="inlineStr">
        <is>
          <t>KALINA</t>
        </is>
      </c>
      <c r="J964" s="16" t="inlineStr">
        <is>
          <t>KALINA</t>
        </is>
      </c>
      <c r="K964" s="16" t="b">
        <v>1</v>
      </c>
      <c r="L964" s="16" t="b">
        <v>1</v>
      </c>
      <c r="M964" s="16" t="b">
        <v>0</v>
      </c>
      <c r="N964" s="16" t="b">
        <v>0</v>
      </c>
      <c r="O964" s="16" t="n">
        <v>403</v>
      </c>
      <c r="P964" s="16" t="n">
        <v>300.032917</v>
      </c>
      <c r="Q964" s="16" t="n">
        <v>3000</v>
      </c>
      <c r="R964" s="16" t="n">
        <v>1210.714285714286</v>
      </c>
      <c r="S964" s="16" t="n">
        <v>0.5</v>
      </c>
      <c r="T964" s="16" t="n">
        <v>0.85</v>
      </c>
      <c r="U964" s="16" t="n">
        <v>0.75</v>
      </c>
      <c r="V964" s="16" t="n">
        <v>0.85</v>
      </c>
      <c r="W964" s="16" t="n">
        <v>0.75</v>
      </c>
      <c r="X964" s="16" t="n">
        <v>0.8</v>
      </c>
      <c r="Y964" s="16" t="n"/>
      <c r="Z964" s="16" t="n">
        <v>4.60267662806774</v>
      </c>
      <c r="AA964" s="16" t="n">
        <v>14.04516258146169</v>
      </c>
      <c r="AB964" s="16" t="n">
        <v>1789.285714285714</v>
      </c>
      <c r="AC964" s="16" t="n">
        <v>2.47787610619469</v>
      </c>
      <c r="AD964" s="16" t="n"/>
      <c r="AE964" s="16" t="inlineStr">
        <is>
          <t>P_baja</t>
        </is>
      </c>
    </row>
    <row r="965">
      <c r="A965" s="16" t="inlineStr">
        <is>
          <t>KF-M03-0064</t>
        </is>
      </c>
      <c r="B965" s="16" t="inlineStr">
        <is>
          <t>3.1</t>
        </is>
      </c>
      <c r="C965" s="16" t="inlineStr">
        <is>
          <t>3.1</t>
        </is>
      </c>
      <c r="D965" s="16" t="inlineStr">
        <is>
          <t>alrededor de A*</t>
        </is>
      </c>
      <c r="E965" s="16" t="inlineStr">
        <is>
          <t>KF-M03</t>
        </is>
      </c>
      <c r="F965" s="16" t="inlineStr">
        <is>
          <t>KF-M03</t>
        </is>
      </c>
      <c r="G965" s="16" t="inlineStr">
        <is>
          <t>B06</t>
        </is>
      </c>
      <c r="H965" s="16" t="inlineStr">
        <is>
          <t>malla</t>
        </is>
      </c>
      <c r="I965" s="16" t="inlineStr">
        <is>
          <t>KALINA</t>
        </is>
      </c>
      <c r="J965" s="16" t="inlineStr">
        <is>
          <t>KALINA</t>
        </is>
      </c>
      <c r="K965" s="16" t="b">
        <v>1</v>
      </c>
      <c r="L965" s="16" t="b">
        <v>1</v>
      </c>
      <c r="M965" s="16" t="b">
        <v>0</v>
      </c>
      <c r="N965" s="16" t="b">
        <v>0</v>
      </c>
      <c r="O965" s="16" t="n">
        <v>403</v>
      </c>
      <c r="P965" s="16" t="n">
        <v>300.032917</v>
      </c>
      <c r="Q965" s="16" t="n">
        <v>3000</v>
      </c>
      <c r="R965" s="16" t="n">
        <v>1307.142857142857</v>
      </c>
      <c r="S965" s="16" t="n">
        <v>0.5</v>
      </c>
      <c r="T965" s="16" t="n">
        <v>0.85</v>
      </c>
      <c r="U965" s="16" t="n">
        <v>0.75</v>
      </c>
      <c r="V965" s="16" t="n">
        <v>0.85</v>
      </c>
      <c r="W965" s="16" t="n">
        <v>0.75</v>
      </c>
      <c r="X965" s="16" t="n">
        <v>0.8</v>
      </c>
      <c r="Y965" s="16" t="n"/>
      <c r="Z965" s="16" t="n">
        <v>4.20692686410182</v>
      </c>
      <c r="AA965" s="16" t="n">
        <v>12.83485319313774</v>
      </c>
      <c r="AB965" s="16" t="n">
        <v>1692.857142857143</v>
      </c>
      <c r="AC965" s="16" t="n">
        <v>2.295081967213114</v>
      </c>
      <c r="AD965" s="16" t="n"/>
      <c r="AE965" s="16" t="inlineStr">
        <is>
          <t>P_baja</t>
        </is>
      </c>
    </row>
    <row r="966">
      <c r="A966" s="16" t="inlineStr">
        <is>
          <t>KF-M03-0065</t>
        </is>
      </c>
      <c r="B966" s="16" t="inlineStr">
        <is>
          <t>3.1</t>
        </is>
      </c>
      <c r="C966" s="16" t="inlineStr">
        <is>
          <t>3.1</t>
        </is>
      </c>
      <c r="D966" s="16" t="inlineStr">
        <is>
          <t>alrededor de A*</t>
        </is>
      </c>
      <c r="E966" s="16" t="inlineStr">
        <is>
          <t>KF-M03</t>
        </is>
      </c>
      <c r="F966" s="16" t="inlineStr">
        <is>
          <t>KF-M03</t>
        </is>
      </c>
      <c r="G966" s="16" t="inlineStr">
        <is>
          <t>B06</t>
        </is>
      </c>
      <c r="H966" s="16" t="inlineStr">
        <is>
          <t>malla</t>
        </is>
      </c>
      <c r="I966" s="16" t="inlineStr">
        <is>
          <t>KALINA</t>
        </is>
      </c>
      <c r="J966" s="16" t="inlineStr">
        <is>
          <t>KALINA</t>
        </is>
      </c>
      <c r="K966" s="16" t="b">
        <v>1</v>
      </c>
      <c r="L966" s="16" t="b">
        <v>1</v>
      </c>
      <c r="M966" s="16" t="b">
        <v>0</v>
      </c>
      <c r="N966" s="16" t="b">
        <v>0</v>
      </c>
      <c r="O966" s="16" t="n">
        <v>403</v>
      </c>
      <c r="P966" s="16" t="n">
        <v>300.032917</v>
      </c>
      <c r="Q966" s="16" t="n">
        <v>3000</v>
      </c>
      <c r="R966" s="16" t="n">
        <v>1403.571428571429</v>
      </c>
      <c r="S966" s="16" t="n">
        <v>0.5</v>
      </c>
      <c r="T966" s="16" t="n">
        <v>0.85</v>
      </c>
      <c r="U966" s="16" t="n">
        <v>0.75</v>
      </c>
      <c r="V966" s="16" t="n">
        <v>0.85</v>
      </c>
      <c r="W966" s="16" t="n">
        <v>0.75</v>
      </c>
      <c r="X966" s="16" t="n">
        <v>0.8</v>
      </c>
      <c r="Y966" s="16" t="n"/>
      <c r="Z966" s="16" t="n">
        <v>3.83921841178707</v>
      </c>
      <c r="AA966" s="16" t="n">
        <v>11.71081824031368</v>
      </c>
      <c r="AB966" s="16" t="n">
        <v>1596.428571428571</v>
      </c>
      <c r="AC966" s="16" t="n">
        <v>2.137404580152672</v>
      </c>
      <c r="AD966" s="16" t="n"/>
      <c r="AE966" s="16" t="inlineStr">
        <is>
          <t>P_baja</t>
        </is>
      </c>
    </row>
    <row r="967">
      <c r="A967" s="16" t="inlineStr">
        <is>
          <t>KF-M03-0066</t>
        </is>
      </c>
      <c r="B967" s="16" t="inlineStr">
        <is>
          <t>3.1</t>
        </is>
      </c>
      <c r="C967" s="16" t="inlineStr">
        <is>
          <t>3.1</t>
        </is>
      </c>
      <c r="D967" s="16" t="inlineStr">
        <is>
          <t>alrededor de A*</t>
        </is>
      </c>
      <c r="E967" s="16" t="inlineStr">
        <is>
          <t>KF-M03</t>
        </is>
      </c>
      <c r="F967" s="16" t="inlineStr">
        <is>
          <t>KF-M03</t>
        </is>
      </c>
      <c r="G967" s="16" t="inlineStr">
        <is>
          <t>B06</t>
        </is>
      </c>
      <c r="H967" s="16" t="inlineStr">
        <is>
          <t>vecino</t>
        </is>
      </c>
      <c r="I967" s="16" t="inlineStr">
        <is>
          <t>CORREGIBLE</t>
        </is>
      </c>
      <c r="J967" s="16" t="inlineStr">
        <is>
          <t>CORREGIBLE</t>
        </is>
      </c>
      <c r="K967" s="16" t="b">
        <v>1</v>
      </c>
      <c r="L967" s="16" t="b">
        <v>0</v>
      </c>
      <c r="M967" s="16" t="b">
        <v>0</v>
      </c>
      <c r="N967" s="16" t="b">
        <v>0</v>
      </c>
      <c r="O967" s="16" t="n">
        <v>403</v>
      </c>
      <c r="P967" s="16" t="n">
        <v>300.032917</v>
      </c>
      <c r="Q967" s="16" t="n">
        <v>3000</v>
      </c>
      <c r="R967" s="16" t="n">
        <v>550.1363636363637</v>
      </c>
      <c r="S967" s="16" t="n">
        <v>0.5</v>
      </c>
      <c r="T967" s="16" t="n">
        <v>0.85</v>
      </c>
      <c r="U967" s="16" t="n">
        <v>0.75</v>
      </c>
      <c r="V967" s="16" t="n">
        <v>0.85</v>
      </c>
      <c r="W967" s="16" t="n">
        <v>0.75</v>
      </c>
      <c r="X967" s="16" t="n">
        <v>0.8</v>
      </c>
      <c r="Y967" s="16" t="n"/>
      <c r="Z967" s="16" t="n">
        <v>8.60097244864404</v>
      </c>
      <c r="AA967" s="16" t="n">
        <v>26.30803377608057</v>
      </c>
      <c r="AB967" s="16" t="n">
        <v>2449.863636363636</v>
      </c>
      <c r="AC967" s="16" t="n">
        <v>5.453193423118234</v>
      </c>
      <c r="AD967" s="16" t="inlineStr">
        <is>
          <t>O2</t>
        </is>
      </c>
      <c r="AE967" s="16" t="inlineStr">
        <is>
          <t>P_baja</t>
        </is>
      </c>
    </row>
    <row r="968">
      <c r="A968" s="16" t="inlineStr">
        <is>
          <t>KF-M03-0067</t>
        </is>
      </c>
      <c r="B968" s="16" t="inlineStr">
        <is>
          <t>3.1</t>
        </is>
      </c>
      <c r="C968" s="16" t="inlineStr">
        <is>
          <t>3.1</t>
        </is>
      </c>
      <c r="D968" s="16" t="inlineStr">
        <is>
          <t>alrededor de A*</t>
        </is>
      </c>
      <c r="E968" s="16" t="inlineStr">
        <is>
          <t>KF-M03</t>
        </is>
      </c>
      <c r="F968" s="16" t="inlineStr">
        <is>
          <t>KF-M03</t>
        </is>
      </c>
      <c r="G968" s="16" t="inlineStr">
        <is>
          <t>B06</t>
        </is>
      </c>
      <c r="H968" s="16" t="inlineStr">
        <is>
          <t>malla</t>
        </is>
      </c>
      <c r="I968" s="16" t="inlineStr">
        <is>
          <t>KALINA</t>
        </is>
      </c>
      <c r="J968" s="16" t="inlineStr">
        <is>
          <t>KALINA</t>
        </is>
      </c>
      <c r="K968" s="16" t="b">
        <v>1</v>
      </c>
      <c r="L968" s="16" t="b">
        <v>1</v>
      </c>
      <c r="M968" s="16" t="b">
        <v>0</v>
      </c>
      <c r="N968" s="16" t="b">
        <v>0</v>
      </c>
      <c r="O968" s="16" t="n">
        <v>403</v>
      </c>
      <c r="P968" s="16" t="n">
        <v>300.032917</v>
      </c>
      <c r="Q968" s="16" t="n">
        <v>3000</v>
      </c>
      <c r="R968" s="16" t="n">
        <v>1500</v>
      </c>
      <c r="S968" s="16" t="n">
        <v>0.5</v>
      </c>
      <c r="T968" s="16" t="n">
        <v>0.85</v>
      </c>
      <c r="U968" s="16" t="n">
        <v>0.75</v>
      </c>
      <c r="V968" s="16" t="n">
        <v>0.85</v>
      </c>
      <c r="W968" s="16" t="n">
        <v>0.75</v>
      </c>
      <c r="X968" s="16" t="n">
        <v>0.8</v>
      </c>
      <c r="Y968" s="16" t="n"/>
      <c r="Z968" s="16" t="n">
        <v>3.49609139100652</v>
      </c>
      <c r="AA968" s="16" t="n">
        <v>10.66236197414988</v>
      </c>
      <c r="AB968" s="16" t="n">
        <v>1500</v>
      </c>
      <c r="AC968" s="16" t="n">
        <v>2</v>
      </c>
      <c r="AD968" s="16" t="n"/>
      <c r="AE968" s="16" t="inlineStr">
        <is>
          <t>P_baja</t>
        </is>
      </c>
    </row>
    <row r="969">
      <c r="A969" s="16" t="inlineStr">
        <is>
          <t>KF-M03-0068</t>
        </is>
      </c>
      <c r="B969" s="16" t="inlineStr">
        <is>
          <t>3.1</t>
        </is>
      </c>
      <c r="C969" s="16" t="inlineStr">
        <is>
          <t>3.1</t>
        </is>
      </c>
      <c r="D969" s="16" t="inlineStr">
        <is>
          <t>alrededor de A*</t>
        </is>
      </c>
      <c r="E969" s="16" t="inlineStr">
        <is>
          <t>KF-M03</t>
        </is>
      </c>
      <c r="F969" s="16" t="inlineStr">
        <is>
          <t>KF-M03</t>
        </is>
      </c>
      <c r="G969" s="16" t="inlineStr">
        <is>
          <t>B06</t>
        </is>
      </c>
      <c r="H969" s="16" t="inlineStr">
        <is>
          <t>vecino</t>
        </is>
      </c>
      <c r="I969" s="16" t="inlineStr">
        <is>
          <t>KALINA</t>
        </is>
      </c>
      <c r="J969" s="16" t="inlineStr">
        <is>
          <t>KALINA</t>
        </is>
      </c>
      <c r="K969" s="16" t="b">
        <v>1</v>
      </c>
      <c r="L969" s="16" t="b">
        <v>1</v>
      </c>
      <c r="M969" s="16" t="b">
        <v>0</v>
      </c>
      <c r="N969" s="16" t="b">
        <v>0</v>
      </c>
      <c r="O969" s="16" t="n">
        <v>403</v>
      </c>
      <c r="P969" s="16" t="n">
        <v>300.032917</v>
      </c>
      <c r="Q969" s="16" t="n">
        <v>3000</v>
      </c>
      <c r="R969" s="16" t="n">
        <v>577.1363636363637</v>
      </c>
      <c r="S969" s="16" t="n">
        <v>0.5</v>
      </c>
      <c r="T969" s="16" t="n">
        <v>0.85</v>
      </c>
      <c r="U969" s="16" t="n">
        <v>0.75</v>
      </c>
      <c r="V969" s="16" t="n">
        <v>0.85</v>
      </c>
      <c r="W969" s="16" t="n">
        <v>0.75</v>
      </c>
      <c r="X969" s="16" t="n">
        <v>0.8</v>
      </c>
      <c r="Y969" s="16" t="n"/>
      <c r="Z969" s="16" t="n">
        <v>8.36484406395253</v>
      </c>
      <c r="AA969" s="16" t="n">
        <v>25.58200033195054</v>
      </c>
      <c r="AB969" s="16" t="n">
        <v>2422.863636363636</v>
      </c>
      <c r="AC969" s="16" t="n">
        <v>5.19807828620934</v>
      </c>
      <c r="AD969" s="16" t="n"/>
      <c r="AE969" s="16" t="inlineStr">
        <is>
          <t>P_baja</t>
        </is>
      </c>
    </row>
    <row r="970">
      <c r="A970" s="16" t="inlineStr">
        <is>
          <t>KF-M03-0069</t>
        </is>
      </c>
      <c r="B970" s="16" t="inlineStr">
        <is>
          <t>3.1</t>
        </is>
      </c>
      <c r="C970" s="16" t="inlineStr">
        <is>
          <t>3.1</t>
        </is>
      </c>
      <c r="D970" s="16" t="inlineStr">
        <is>
          <t>alrededor de A*</t>
        </is>
      </c>
      <c r="E970" s="16" t="inlineStr">
        <is>
          <t>KF-M03</t>
        </is>
      </c>
      <c r="F970" s="16" t="inlineStr">
        <is>
          <t>KF-M03</t>
        </is>
      </c>
      <c r="G970" s="16" t="inlineStr">
        <is>
          <t>B06</t>
        </is>
      </c>
      <c r="H970" s="16" t="inlineStr">
        <is>
          <t>malla</t>
        </is>
      </c>
      <c r="I970" s="16" t="inlineStr">
        <is>
          <t>INVIABLE</t>
        </is>
      </c>
      <c r="J970" s="16" t="inlineStr">
        <is>
          <t>INVIABLE</t>
        </is>
      </c>
      <c r="K970" s="16" t="b">
        <v>1</v>
      </c>
      <c r="L970" s="16" t="b">
        <v>0</v>
      </c>
      <c r="M970" s="16" t="b">
        <v>0</v>
      </c>
      <c r="N970" s="16" t="b">
        <v>0</v>
      </c>
      <c r="O970" s="16" t="n">
        <v>403</v>
      </c>
      <c r="P970" s="16" t="n">
        <v>300.032917</v>
      </c>
      <c r="Q970" s="16" t="n">
        <v>3000</v>
      </c>
      <c r="R970" s="16" t="n">
        <v>563.6363636363637</v>
      </c>
      <c r="S970" s="16" t="n">
        <v>0.4285714285714286</v>
      </c>
      <c r="T970" s="16" t="n">
        <v>0.85</v>
      </c>
      <c r="U970" s="16" t="n">
        <v>0.75</v>
      </c>
      <c r="V970" s="16" t="n">
        <v>0.85</v>
      </c>
      <c r="W970" s="16" t="n">
        <v>0.75</v>
      </c>
      <c r="X970" s="16" t="n">
        <v>0.8</v>
      </c>
      <c r="Y970" s="16" t="n"/>
      <c r="Z970" s="16" t="n">
        <v>-0.20893550751728</v>
      </c>
      <c r="AA970" s="16" t="n">
        <v>-0.2868075641876011</v>
      </c>
      <c r="AB970" s="16" t="n">
        <v>2436.363636363636</v>
      </c>
      <c r="AC970" s="16" t="n">
        <v>5.322580645161289</v>
      </c>
      <c r="AD970" s="16" t="inlineStr">
        <is>
          <t>O3</t>
        </is>
      </c>
      <c r="AE970" s="16" t="inlineStr">
        <is>
          <t>x_b</t>
        </is>
      </c>
    </row>
    <row r="971">
      <c r="A971" s="16" t="inlineStr">
        <is>
          <t>KF-M03-0070</t>
        </is>
      </c>
      <c r="B971" s="16" t="inlineStr">
        <is>
          <t>3.1</t>
        </is>
      </c>
      <c r="C971" s="16" t="inlineStr">
        <is>
          <t>3.1</t>
        </is>
      </c>
      <c r="D971" s="16" t="inlineStr">
        <is>
          <t>alrededor de A*</t>
        </is>
      </c>
      <c r="E971" s="16" t="inlineStr">
        <is>
          <t>KF-M03</t>
        </is>
      </c>
      <c r="F971" s="16" t="inlineStr">
        <is>
          <t>KF-M03</t>
        </is>
      </c>
      <c r="G971" s="16" t="inlineStr">
        <is>
          <t>B06</t>
        </is>
      </c>
      <c r="H971" s="16" t="inlineStr">
        <is>
          <t>malla</t>
        </is>
      </c>
      <c r="I971" s="16" t="inlineStr">
        <is>
          <t>N2</t>
        </is>
      </c>
      <c r="J971" s="16" t="inlineStr">
        <is>
          <t>NO_CONVERGIO</t>
        </is>
      </c>
      <c r="K971" s="16" t="b">
        <v>0</v>
      </c>
      <c r="L971" s="16" t="b">
        <v>0</v>
      </c>
      <c r="M971" s="16" t="b">
        <v>0</v>
      </c>
      <c r="N971" s="16" t="b">
        <v>0</v>
      </c>
      <c r="O971" s="16" t="n">
        <v>403</v>
      </c>
      <c r="P971" s="16" t="n">
        <v>300.032917</v>
      </c>
      <c r="Q971" s="16" t="n">
        <v>3000</v>
      </c>
      <c r="R971" s="16" t="n">
        <v>563.6363636363637</v>
      </c>
      <c r="S971" s="16" t="n">
        <v>0.3428571428571428</v>
      </c>
      <c r="T971" s="16" t="n">
        <v>0.85</v>
      </c>
      <c r="U971" s="16" t="n">
        <v>0.75</v>
      </c>
      <c r="V971" s="16" t="n">
        <v>0.85</v>
      </c>
      <c r="W971" s="16" t="n">
        <v>0.75</v>
      </c>
      <c r="X971" s="16" t="n">
        <v>0.8</v>
      </c>
      <c r="Y971" s="16" t="n"/>
      <c r="Z971" s="16" t="n">
        <v>-67.54981397596659</v>
      </c>
      <c r="AA971" s="16" t="n">
        <v>-37.51407783703424</v>
      </c>
      <c r="AB971" s="16" t="n">
        <v>2436.363636363636</v>
      </c>
      <c r="AC971" s="16" t="n">
        <v>5.322580645161289</v>
      </c>
      <c r="AD971" s="16" t="inlineStr">
        <is>
          <t>N2,S6,O3,O5,C1,C3,C3</t>
        </is>
      </c>
      <c r="AE971" s="16" t="inlineStr">
        <is>
          <t>x_b</t>
        </is>
      </c>
    </row>
    <row r="972">
      <c r="A972" s="16" t="inlineStr">
        <is>
          <t>KF-M03-0071</t>
        </is>
      </c>
      <c r="B972" s="16" t="inlineStr">
        <is>
          <t>3.1</t>
        </is>
      </c>
      <c r="C972" s="16" t="inlineStr">
        <is>
          <t>3.1</t>
        </is>
      </c>
      <c r="D972" s="16" t="inlineStr">
        <is>
          <t>alrededor de A*</t>
        </is>
      </c>
      <c r="E972" s="16" t="inlineStr">
        <is>
          <t>KF-M03</t>
        </is>
      </c>
      <c r="F972" s="16" t="inlineStr">
        <is>
          <t>KF-M03</t>
        </is>
      </c>
      <c r="G972" s="16" t="inlineStr">
        <is>
          <t>B06</t>
        </is>
      </c>
      <c r="H972" s="16" t="inlineStr">
        <is>
          <t>malla</t>
        </is>
      </c>
      <c r="I972" s="16" t="inlineStr">
        <is>
          <t>N2</t>
        </is>
      </c>
      <c r="J972" s="16" t="inlineStr">
        <is>
          <t>NO_CONVERGIO</t>
        </is>
      </c>
      <c r="K972" s="16" t="b">
        <v>0</v>
      </c>
      <c r="L972" s="16" t="b">
        <v>0</v>
      </c>
      <c r="M972" s="16" t="b">
        <v>0</v>
      </c>
      <c r="N972" s="16" t="b">
        <v>0</v>
      </c>
      <c r="O972" s="16" t="n">
        <v>403</v>
      </c>
      <c r="P972" s="16" t="n">
        <v>300.032917</v>
      </c>
      <c r="Q972" s="16" t="n">
        <v>3000</v>
      </c>
      <c r="R972" s="16" t="n">
        <v>563.6363636363637</v>
      </c>
      <c r="S972" s="16" t="n">
        <v>0.3857142857142857</v>
      </c>
      <c r="T972" s="16" t="n">
        <v>0.85</v>
      </c>
      <c r="U972" s="16" t="n">
        <v>0.75</v>
      </c>
      <c r="V972" s="16" t="n">
        <v>0.85</v>
      </c>
      <c r="W972" s="16" t="n">
        <v>0.75</v>
      </c>
      <c r="X972" s="16" t="n">
        <v>0.8</v>
      </c>
      <c r="Y972" s="16" t="n"/>
      <c r="Z972" s="16" t="n">
        <v>-25.407390074155</v>
      </c>
      <c r="AA972" s="16" t="n">
        <v>-21.29890130397096</v>
      </c>
      <c r="AB972" s="16" t="n">
        <v>2436.363636363636</v>
      </c>
      <c r="AC972" s="16" t="n">
        <v>5.322580645161289</v>
      </c>
      <c r="AD972" s="16" t="inlineStr">
        <is>
          <t>N2,O3,O5,C1,C3,C3</t>
        </is>
      </c>
      <c r="AE972" s="16" t="inlineStr">
        <is>
          <t>x_b</t>
        </is>
      </c>
    </row>
    <row r="973">
      <c r="A973" s="16" t="inlineStr">
        <is>
          <t>KF-M03-0072</t>
        </is>
      </c>
      <c r="B973" s="16" t="inlineStr">
        <is>
          <t>3.1</t>
        </is>
      </c>
      <c r="C973" s="16" t="inlineStr">
        <is>
          <t>3.1</t>
        </is>
      </c>
      <c r="D973" s="16" t="inlineStr">
        <is>
          <t>alrededor de A*</t>
        </is>
      </c>
      <c r="E973" s="16" t="inlineStr">
        <is>
          <t>KF-M03</t>
        </is>
      </c>
      <c r="F973" s="16" t="inlineStr">
        <is>
          <t>KF-M03</t>
        </is>
      </c>
      <c r="G973" s="16" t="inlineStr">
        <is>
          <t>B06</t>
        </is>
      </c>
      <c r="H973" s="16" t="inlineStr">
        <is>
          <t>malla</t>
        </is>
      </c>
      <c r="I973" s="16" t="inlineStr">
        <is>
          <t>N2</t>
        </is>
      </c>
      <c r="J973" s="16" t="inlineStr">
        <is>
          <t>NO_CONVERGIO</t>
        </is>
      </c>
      <c r="K973" s="16" t="b">
        <v>0</v>
      </c>
      <c r="L973" s="16" t="b">
        <v>0</v>
      </c>
      <c r="M973" s="16" t="b">
        <v>0</v>
      </c>
      <c r="N973" s="16" t="b">
        <v>0</v>
      </c>
      <c r="O973" s="16" t="n">
        <v>403</v>
      </c>
      <c r="P973" s="16" t="n">
        <v>300.032917</v>
      </c>
      <c r="Q973" s="16" t="n">
        <v>3000</v>
      </c>
      <c r="R973" s="16" t="n">
        <v>563.6363636363637</v>
      </c>
      <c r="S973" s="16" t="n">
        <v>0.3</v>
      </c>
      <c r="T973" s="16" t="n">
        <v>0.85</v>
      </c>
      <c r="U973" s="16" t="n">
        <v>0.75</v>
      </c>
      <c r="V973" s="16" t="n">
        <v>0.85</v>
      </c>
      <c r="W973" s="16" t="n">
        <v>0.75</v>
      </c>
      <c r="X973" s="16" t="n">
        <v>0.8</v>
      </c>
      <c r="Y973" s="16" t="n"/>
      <c r="Z973" s="16" t="n">
        <v>-220.5117692860215</v>
      </c>
      <c r="AA973" s="16" t="n">
        <v>-53.44143416079174</v>
      </c>
      <c r="AB973" s="16" t="n">
        <v>2436.363636363636</v>
      </c>
      <c r="AC973" s="16" t="n">
        <v>5.322580645161289</v>
      </c>
      <c r="AD973" s="16" t="inlineStr">
        <is>
          <t>N2,S6,O3,O5,C1,C3,C3</t>
        </is>
      </c>
      <c r="AE973" s="16" t="inlineStr">
        <is>
          <t>x_b</t>
        </is>
      </c>
    </row>
    <row r="974">
      <c r="A974" s="16" t="inlineStr">
        <is>
          <t>KF-M03-0073</t>
        </is>
      </c>
      <c r="B974" s="16" t="inlineStr">
        <is>
          <t>3.1</t>
        </is>
      </c>
      <c r="C974" s="16" t="inlineStr">
        <is>
          <t>3.1</t>
        </is>
      </c>
      <c r="D974" s="16" t="inlineStr">
        <is>
          <t>alrededor de A*</t>
        </is>
      </c>
      <c r="E974" s="16" t="inlineStr">
        <is>
          <t>KF-M03</t>
        </is>
      </c>
      <c r="F974" s="16" t="inlineStr">
        <is>
          <t>KF-M03</t>
        </is>
      </c>
      <c r="G974" s="16" t="inlineStr">
        <is>
          <t>B06</t>
        </is>
      </c>
      <c r="H974" s="16" t="inlineStr">
        <is>
          <t>malla</t>
        </is>
      </c>
      <c r="I974" s="16" t="inlineStr">
        <is>
          <t>KALINA</t>
        </is>
      </c>
      <c r="J974" s="16" t="inlineStr">
        <is>
          <t>KALINA</t>
        </is>
      </c>
      <c r="K974" s="16" t="b">
        <v>1</v>
      </c>
      <c r="L974" s="16" t="b">
        <v>1</v>
      </c>
      <c r="M974" s="16" t="b">
        <v>0</v>
      </c>
      <c r="N974" s="16" t="b">
        <v>0</v>
      </c>
      <c r="O974" s="16" t="n">
        <v>403</v>
      </c>
      <c r="P974" s="16" t="n">
        <v>300.032917</v>
      </c>
      <c r="Q974" s="16" t="n">
        <v>3000</v>
      </c>
      <c r="R974" s="16" t="n">
        <v>563.6363636363637</v>
      </c>
      <c r="S974" s="16" t="n">
        <v>0.4714285714285714</v>
      </c>
      <c r="T974" s="16" t="n">
        <v>0.85</v>
      </c>
      <c r="U974" s="16" t="n">
        <v>0.75</v>
      </c>
      <c r="V974" s="16" t="n">
        <v>0.85</v>
      </c>
      <c r="W974" s="16" t="n">
        <v>0.75</v>
      </c>
      <c r="X974" s="16" t="n">
        <v>0.8</v>
      </c>
      <c r="Y974" s="16" t="n"/>
      <c r="Z974" s="16" t="n">
        <v>6.424405071997589</v>
      </c>
      <c r="AA974" s="16" t="n">
        <v>15.4415590158656</v>
      </c>
      <c r="AB974" s="16" t="n">
        <v>2436.363636363636</v>
      </c>
      <c r="AC974" s="16" t="n">
        <v>5.322580645161289</v>
      </c>
      <c r="AD974" s="16" t="n"/>
      <c r="AE974" s="16" t="inlineStr">
        <is>
          <t>x_b</t>
        </is>
      </c>
    </row>
    <row r="975">
      <c r="A975" s="16" t="inlineStr">
        <is>
          <t>KF-M03-0074</t>
        </is>
      </c>
      <c r="B975" s="16" t="inlineStr">
        <is>
          <t>3.1</t>
        </is>
      </c>
      <c r="C975" s="16" t="inlineStr">
        <is>
          <t>3.1</t>
        </is>
      </c>
      <c r="D975" s="16" t="inlineStr">
        <is>
          <t>alrededor de A*</t>
        </is>
      </c>
      <c r="E975" s="16" t="inlineStr">
        <is>
          <t>KF-M03</t>
        </is>
      </c>
      <c r="F975" s="16" t="inlineStr">
        <is>
          <t>KF-M03</t>
        </is>
      </c>
      <c r="G975" s="16" t="inlineStr">
        <is>
          <t>B06</t>
        </is>
      </c>
      <c r="H975" s="16" t="inlineStr">
        <is>
          <t>malla</t>
        </is>
      </c>
      <c r="I975" s="16" t="inlineStr">
        <is>
          <t>CORREGIBLE</t>
        </is>
      </c>
      <c r="J975" s="16" t="inlineStr">
        <is>
          <t>CORREGIBLE</t>
        </is>
      </c>
      <c r="K975" s="16" t="b">
        <v>1</v>
      </c>
      <c r="L975" s="16" t="b">
        <v>0</v>
      </c>
      <c r="M975" s="16" t="b">
        <v>0</v>
      </c>
      <c r="N975" s="16" t="b">
        <v>0</v>
      </c>
      <c r="O975" s="16" t="n">
        <v>403</v>
      </c>
      <c r="P975" s="16" t="n">
        <v>300.032917</v>
      </c>
      <c r="Q975" s="16" t="n">
        <v>3000</v>
      </c>
      <c r="R975" s="16" t="n">
        <v>563.6363636363637</v>
      </c>
      <c r="S975" s="16" t="n">
        <v>0.5142857142857143</v>
      </c>
      <c r="T975" s="16" t="n">
        <v>0.85</v>
      </c>
      <c r="U975" s="16" t="n">
        <v>0.75</v>
      </c>
      <c r="V975" s="16" t="n">
        <v>0.85</v>
      </c>
      <c r="W975" s="16" t="n">
        <v>0.75</v>
      </c>
      <c r="X975" s="16" t="n">
        <v>0.8</v>
      </c>
      <c r="Y975" s="16" t="n"/>
      <c r="Z975" s="16" t="n">
        <v>9.21585411481627</v>
      </c>
      <c r="AA975" s="16" t="n">
        <v>31.11546760380181</v>
      </c>
      <c r="AB975" s="16" t="n">
        <v>2436.363636363636</v>
      </c>
      <c r="AC975" s="16" t="n">
        <v>5.322580645161289</v>
      </c>
      <c r="AD975" s="16" t="inlineStr">
        <is>
          <t>O2</t>
        </is>
      </c>
      <c r="AE975" s="16" t="inlineStr">
        <is>
          <t>x_b</t>
        </is>
      </c>
    </row>
    <row r="976">
      <c r="A976" s="16" t="inlineStr">
        <is>
          <t>KF-M03-0075</t>
        </is>
      </c>
      <c r="B976" s="16" t="inlineStr">
        <is>
          <t>3.1</t>
        </is>
      </c>
      <c r="C976" s="16" t="inlineStr">
        <is>
          <t>3.1</t>
        </is>
      </c>
      <c r="D976" s="16" t="inlineStr">
        <is>
          <t>alrededor de A*</t>
        </is>
      </c>
      <c r="E976" s="16" t="inlineStr">
        <is>
          <t>KF-M03</t>
        </is>
      </c>
      <c r="F976" s="16" t="inlineStr">
        <is>
          <t>KF-M03</t>
        </is>
      </c>
      <c r="G976" s="16" t="inlineStr">
        <is>
          <t>B06</t>
        </is>
      </c>
      <c r="H976" s="16" t="inlineStr">
        <is>
          <t>malla</t>
        </is>
      </c>
      <c r="I976" s="16" t="inlineStr">
        <is>
          <t>CORREGIBLE</t>
        </is>
      </c>
      <c r="J976" s="16" t="inlineStr">
        <is>
          <t>CORREGIBLE</t>
        </is>
      </c>
      <c r="K976" s="16" t="b">
        <v>1</v>
      </c>
      <c r="L976" s="16" t="b">
        <v>0</v>
      </c>
      <c r="M976" s="16" t="b">
        <v>0</v>
      </c>
      <c r="N976" s="16" t="b">
        <v>0</v>
      </c>
      <c r="O976" s="16" t="n">
        <v>403</v>
      </c>
      <c r="P976" s="16" t="n">
        <v>300.032917</v>
      </c>
      <c r="Q976" s="16" t="n">
        <v>3000</v>
      </c>
      <c r="R976" s="16" t="n">
        <v>563.6363636363637</v>
      </c>
      <c r="S976" s="16" t="n">
        <v>0.6000000000000001</v>
      </c>
      <c r="T976" s="16" t="n">
        <v>0.85</v>
      </c>
      <c r="U976" s="16" t="n">
        <v>0.75</v>
      </c>
      <c r="V976" s="16" t="n">
        <v>0.85</v>
      </c>
      <c r="W976" s="16" t="n">
        <v>0.75</v>
      </c>
      <c r="X976" s="16" t="n">
        <v>0.8</v>
      </c>
      <c r="Y976" s="16" t="n"/>
      <c r="Z976" s="16" t="n">
        <v>11.38236741595711</v>
      </c>
      <c r="AA976" s="16" t="n">
        <v>58.52212991587111</v>
      </c>
      <c r="AB976" s="16" t="n">
        <v>2436.363636363636</v>
      </c>
      <c r="AC976" s="16" t="n">
        <v>5.322580645161289</v>
      </c>
      <c r="AD976" s="16" t="inlineStr">
        <is>
          <t>O2</t>
        </is>
      </c>
      <c r="AE976" s="16" t="inlineStr">
        <is>
          <t>x_b</t>
        </is>
      </c>
    </row>
    <row r="977">
      <c r="A977" s="16" t="inlineStr">
        <is>
          <t>KF-M03-0076</t>
        </is>
      </c>
      <c r="B977" s="16" t="inlineStr">
        <is>
          <t>3.1</t>
        </is>
      </c>
      <c r="C977" s="16" t="inlineStr">
        <is>
          <t>3.1</t>
        </is>
      </c>
      <c r="D977" s="16" t="inlineStr">
        <is>
          <t>alrededor de A*</t>
        </is>
      </c>
      <c r="E977" s="16" t="inlineStr">
        <is>
          <t>KF-M03</t>
        </is>
      </c>
      <c r="F977" s="16" t="inlineStr">
        <is>
          <t>KF-M03</t>
        </is>
      </c>
      <c r="G977" s="16" t="inlineStr">
        <is>
          <t>B06</t>
        </is>
      </c>
      <c r="H977" s="16" t="inlineStr">
        <is>
          <t>malla</t>
        </is>
      </c>
      <c r="I977" s="16" t="inlineStr">
        <is>
          <t>CORREGIBLE</t>
        </is>
      </c>
      <c r="J977" s="16" t="inlineStr">
        <is>
          <t>CORREGIBLE</t>
        </is>
      </c>
      <c r="K977" s="16" t="b">
        <v>1</v>
      </c>
      <c r="L977" s="16" t="b">
        <v>0</v>
      </c>
      <c r="M977" s="16" t="b">
        <v>0</v>
      </c>
      <c r="N977" s="16" t="b">
        <v>0</v>
      </c>
      <c r="O977" s="16" t="n">
        <v>403</v>
      </c>
      <c r="P977" s="16" t="n">
        <v>300.032917</v>
      </c>
      <c r="Q977" s="16" t="n">
        <v>3000</v>
      </c>
      <c r="R977" s="16" t="n">
        <v>563.6363636363637</v>
      </c>
      <c r="S977" s="16" t="n">
        <v>0.6857142857142857</v>
      </c>
      <c r="T977" s="16" t="n">
        <v>0.85</v>
      </c>
      <c r="U977" s="16" t="n">
        <v>0.75</v>
      </c>
      <c r="V977" s="16" t="n">
        <v>0.85</v>
      </c>
      <c r="W977" s="16" t="n">
        <v>0.75</v>
      </c>
      <c r="X977" s="16" t="n">
        <v>0.8</v>
      </c>
      <c r="Y977" s="16" t="n"/>
      <c r="Z977" s="16" t="n">
        <v>8.237009477609181</v>
      </c>
      <c r="AA977" s="16" t="n">
        <v>42.63041701722622</v>
      </c>
      <c r="AB977" s="16" t="n">
        <v>2436.363636363636</v>
      </c>
      <c r="AC977" s="16" t="n">
        <v>5.322580645161289</v>
      </c>
      <c r="AD977" s="16" t="inlineStr">
        <is>
          <t>O2</t>
        </is>
      </c>
      <c r="AE977" s="16" t="inlineStr">
        <is>
          <t>x_b</t>
        </is>
      </c>
    </row>
    <row r="978">
      <c r="A978" s="16" t="inlineStr">
        <is>
          <t>KF-M03-0077</t>
        </is>
      </c>
      <c r="B978" s="16" t="inlineStr">
        <is>
          <t>3.1</t>
        </is>
      </c>
      <c r="C978" s="16" t="inlineStr">
        <is>
          <t>3.1</t>
        </is>
      </c>
      <c r="D978" s="16" t="inlineStr">
        <is>
          <t>alrededor de A*</t>
        </is>
      </c>
      <c r="E978" s="16" t="inlineStr">
        <is>
          <t>KF-M03</t>
        </is>
      </c>
      <c r="F978" s="16" t="inlineStr">
        <is>
          <t>KF-M03</t>
        </is>
      </c>
      <c r="G978" s="16" t="inlineStr">
        <is>
          <t>B06</t>
        </is>
      </c>
      <c r="H978" s="16" t="inlineStr">
        <is>
          <t>malla</t>
        </is>
      </c>
      <c r="I978" s="16" t="inlineStr">
        <is>
          <t>CORREGIBLE</t>
        </is>
      </c>
      <c r="J978" s="16" t="inlineStr">
        <is>
          <t>CORREGIBLE</t>
        </is>
      </c>
      <c r="K978" s="16" t="b">
        <v>1</v>
      </c>
      <c r="L978" s="16" t="b">
        <v>0</v>
      </c>
      <c r="M978" s="16" t="b">
        <v>0</v>
      </c>
      <c r="N978" s="16" t="b">
        <v>0</v>
      </c>
      <c r="O978" s="16" t="n">
        <v>403</v>
      </c>
      <c r="P978" s="16" t="n">
        <v>300.032917</v>
      </c>
      <c r="Q978" s="16" t="n">
        <v>3000</v>
      </c>
      <c r="R978" s="16" t="n">
        <v>563.6363636363637</v>
      </c>
      <c r="S978" s="16" t="n">
        <v>0.5571428571428572</v>
      </c>
      <c r="T978" s="16" t="n">
        <v>0.85</v>
      </c>
      <c r="U978" s="16" t="n">
        <v>0.75</v>
      </c>
      <c r="V978" s="16" t="n">
        <v>0.85</v>
      </c>
      <c r="W978" s="16" t="n">
        <v>0.75</v>
      </c>
      <c r="X978" s="16" t="n">
        <v>0.8</v>
      </c>
      <c r="Y978" s="16" t="n"/>
      <c r="Z978" s="16" t="n">
        <v>10.62093803633538</v>
      </c>
      <c r="AA978" s="16" t="n">
        <v>45.5507463879058</v>
      </c>
      <c r="AB978" s="16" t="n">
        <v>2436.363636363636</v>
      </c>
      <c r="AC978" s="16" t="n">
        <v>5.322580645161289</v>
      </c>
      <c r="AD978" s="16" t="inlineStr">
        <is>
          <t>O2</t>
        </is>
      </c>
      <c r="AE978" s="16" t="inlineStr">
        <is>
          <t>x_b</t>
        </is>
      </c>
    </row>
    <row r="979">
      <c r="A979" s="16" t="inlineStr">
        <is>
          <t>KF-M03-0078</t>
        </is>
      </c>
      <c r="B979" s="16" t="inlineStr">
        <is>
          <t>3.1</t>
        </is>
      </c>
      <c r="C979" s="16" t="inlineStr">
        <is>
          <t>3.1</t>
        </is>
      </c>
      <c r="D979" s="16" t="inlineStr">
        <is>
          <t>alrededor de A*</t>
        </is>
      </c>
      <c r="E979" s="16" t="inlineStr">
        <is>
          <t>KF-M03</t>
        </is>
      </c>
      <c r="F979" s="16" t="inlineStr">
        <is>
          <t>KF-M03</t>
        </is>
      </c>
      <c r="G979" s="16" t="inlineStr">
        <is>
          <t>B06</t>
        </is>
      </c>
      <c r="H979" s="16" t="inlineStr">
        <is>
          <t>malla</t>
        </is>
      </c>
      <c r="I979" s="16" t="inlineStr">
        <is>
          <t>CORREGIBLE</t>
        </is>
      </c>
      <c r="J979" s="16" t="inlineStr">
        <is>
          <t>CORREGIBLE</t>
        </is>
      </c>
      <c r="K979" s="16" t="b">
        <v>1</v>
      </c>
      <c r="L979" s="16" t="b">
        <v>0</v>
      </c>
      <c r="M979" s="16" t="b">
        <v>0</v>
      </c>
      <c r="N979" s="16" t="b">
        <v>0</v>
      </c>
      <c r="O979" s="16" t="n">
        <v>403</v>
      </c>
      <c r="P979" s="16" t="n">
        <v>300.032917</v>
      </c>
      <c r="Q979" s="16" t="n">
        <v>3000</v>
      </c>
      <c r="R979" s="16" t="n">
        <v>563.6363636363637</v>
      </c>
      <c r="S979" s="16" t="n">
        <v>0.6428571428571429</v>
      </c>
      <c r="T979" s="16" t="n">
        <v>0.85</v>
      </c>
      <c r="U979" s="16" t="n">
        <v>0.75</v>
      </c>
      <c r="V979" s="16" t="n">
        <v>0.85</v>
      </c>
      <c r="W979" s="16" t="n">
        <v>0.75</v>
      </c>
      <c r="X979" s="16" t="n">
        <v>0.8</v>
      </c>
      <c r="Y979" s="16" t="n"/>
      <c r="Z979" s="16" t="n">
        <v>11.03992643067335</v>
      </c>
      <c r="AA979" s="16" t="n">
        <v>61.64540083530903</v>
      </c>
      <c r="AB979" s="16" t="n">
        <v>2436.363636363636</v>
      </c>
      <c r="AC979" s="16" t="n">
        <v>5.322580645161289</v>
      </c>
      <c r="AD979" s="16" t="inlineStr">
        <is>
          <t>O2</t>
        </is>
      </c>
      <c r="AE979" s="16" t="inlineStr">
        <is>
          <t>x_b</t>
        </is>
      </c>
    </row>
    <row r="980">
      <c r="A980" s="16" t="inlineStr">
        <is>
          <t>KF-M03-0079</t>
        </is>
      </c>
      <c r="B980" s="16" t="inlineStr">
        <is>
          <t>3.1</t>
        </is>
      </c>
      <c r="C980" s="16" t="inlineStr">
        <is>
          <t>3.1</t>
        </is>
      </c>
      <c r="D980" s="16" t="inlineStr">
        <is>
          <t>alrededor de A*</t>
        </is>
      </c>
      <c r="E980" s="16" t="inlineStr">
        <is>
          <t>KF-M03</t>
        </is>
      </c>
      <c r="F980" s="16" t="inlineStr">
        <is>
          <t>KF-M03</t>
        </is>
      </c>
      <c r="G980" s="16" t="inlineStr">
        <is>
          <t>B06</t>
        </is>
      </c>
      <c r="H980" s="16" t="inlineStr">
        <is>
          <t>malla</t>
        </is>
      </c>
      <c r="I980" s="16" t="inlineStr">
        <is>
          <t>CORREGIBLE</t>
        </is>
      </c>
      <c r="J980" s="16" t="inlineStr">
        <is>
          <t>CORREGIBLE</t>
        </is>
      </c>
      <c r="K980" s="16" t="b">
        <v>1</v>
      </c>
      <c r="L980" s="16" t="b">
        <v>0</v>
      </c>
      <c r="M980" s="16" t="b">
        <v>0</v>
      </c>
      <c r="N980" s="16" t="b">
        <v>0</v>
      </c>
      <c r="O980" s="16" t="n">
        <v>403</v>
      </c>
      <c r="P980" s="16" t="n">
        <v>300.032917</v>
      </c>
      <c r="Q980" s="16" t="n">
        <v>3000</v>
      </c>
      <c r="R980" s="16" t="n">
        <v>563.6363636363637</v>
      </c>
      <c r="S980" s="16" t="n">
        <v>0.7285714285714286</v>
      </c>
      <c r="T980" s="16" t="n">
        <v>0.85</v>
      </c>
      <c r="U980" s="16" t="n">
        <v>0.75</v>
      </c>
      <c r="V980" s="16" t="n">
        <v>0.85</v>
      </c>
      <c r="W980" s="16" t="n">
        <v>0.75</v>
      </c>
      <c r="X980" s="16" t="n">
        <v>0.8</v>
      </c>
      <c r="Y980" s="16" t="n"/>
      <c r="Z980" s="16" t="n">
        <v>5.01150148093083</v>
      </c>
      <c r="AA980" s="16" t="n">
        <v>22.51741326276222</v>
      </c>
      <c r="AB980" s="16" t="n">
        <v>2436.363636363636</v>
      </c>
      <c r="AC980" s="16" t="n">
        <v>5.322580645161289</v>
      </c>
      <c r="AD980" s="16" t="inlineStr">
        <is>
          <t>O2</t>
        </is>
      </c>
      <c r="AE980" s="16" t="inlineStr">
        <is>
          <t>x_b</t>
        </is>
      </c>
    </row>
    <row r="981">
      <c r="A981" s="16" t="inlineStr">
        <is>
          <t>KF-M03-0080</t>
        </is>
      </c>
      <c r="B981" s="16" t="inlineStr">
        <is>
          <t>3.1</t>
        </is>
      </c>
      <c r="C981" s="16" t="inlineStr">
        <is>
          <t>3.1</t>
        </is>
      </c>
      <c r="D981" s="16" t="inlineStr">
        <is>
          <t>alrededor de A*</t>
        </is>
      </c>
      <c r="E981" s="16" t="inlineStr">
        <is>
          <t>KF-M03</t>
        </is>
      </c>
      <c r="F981" s="16" t="inlineStr">
        <is>
          <t>KF-M03</t>
        </is>
      </c>
      <c r="G981" s="16" t="inlineStr">
        <is>
          <t>B06</t>
        </is>
      </c>
      <c r="H981" s="16" t="inlineStr">
        <is>
          <t>malla</t>
        </is>
      </c>
      <c r="I981" s="16" t="inlineStr">
        <is>
          <t>NO_CONVERGIO</t>
        </is>
      </c>
      <c r="J981" s="16" t="inlineStr">
        <is>
          <t>NO_CONVERGIO</t>
        </is>
      </c>
      <c r="K981" s="16" t="b">
        <v>0</v>
      </c>
      <c r="L981" s="16" t="b">
        <v>0</v>
      </c>
      <c r="M981" s="16" t="b">
        <v>0</v>
      </c>
      <c r="N981" s="16" t="b">
        <v>0</v>
      </c>
      <c r="O981" s="16" t="n">
        <v>403</v>
      </c>
      <c r="P981" s="16" t="n">
        <v>300.032917</v>
      </c>
      <c r="Q981" s="16" t="n">
        <v>3000</v>
      </c>
      <c r="R981" s="16" t="n">
        <v>563.6363636363637</v>
      </c>
      <c r="S981" s="16" t="n">
        <v>0.8571428571428572</v>
      </c>
      <c r="T981" s="16" t="n">
        <v>0.85</v>
      </c>
      <c r="U981" s="16" t="n">
        <v>0.75</v>
      </c>
      <c r="V981" s="16" t="n">
        <v>0.85</v>
      </c>
      <c r="W981" s="16" t="n">
        <v>0.75</v>
      </c>
      <c r="X981" s="16" t="n">
        <v>0.8</v>
      </c>
      <c r="Y981" s="16" t="n"/>
      <c r="Z981" s="16" t="n"/>
      <c r="AA981" s="16" t="n"/>
      <c r="AB981" s="16" t="n">
        <v>2436.363636363636</v>
      </c>
      <c r="AC981" s="16" t="n">
        <v>5.322580645161289</v>
      </c>
      <c r="AD981" s="16" t="n"/>
      <c r="AE981" s="16" t="inlineStr">
        <is>
          <t>x_b</t>
        </is>
      </c>
    </row>
    <row r="982">
      <c r="A982" s="16" t="inlineStr">
        <is>
          <t>KF-M03-0081</t>
        </is>
      </c>
      <c r="B982" s="16" t="inlineStr">
        <is>
          <t>3.1</t>
        </is>
      </c>
      <c r="C982" s="16" t="inlineStr">
        <is>
          <t>3.1</t>
        </is>
      </c>
      <c r="D982" s="16" t="inlineStr">
        <is>
          <t>alrededor de A*</t>
        </is>
      </c>
      <c r="E982" s="16" t="inlineStr">
        <is>
          <t>KF-M03</t>
        </is>
      </c>
      <c r="F982" s="16" t="inlineStr">
        <is>
          <t>KF-M03</t>
        </is>
      </c>
      <c r="G982" s="16" t="inlineStr">
        <is>
          <t>B06</t>
        </is>
      </c>
      <c r="H982" s="16" t="inlineStr">
        <is>
          <t>malla</t>
        </is>
      </c>
      <c r="I982" s="16" t="inlineStr">
        <is>
          <t>CORREGIBLE</t>
        </is>
      </c>
      <c r="J982" s="16" t="inlineStr">
        <is>
          <t>CORREGIBLE</t>
        </is>
      </c>
      <c r="K982" s="16" t="b">
        <v>1</v>
      </c>
      <c r="L982" s="16" t="b">
        <v>0</v>
      </c>
      <c r="M982" s="16" t="b">
        <v>0</v>
      </c>
      <c r="N982" s="16" t="b">
        <v>0</v>
      </c>
      <c r="O982" s="16" t="n">
        <v>403</v>
      </c>
      <c r="P982" s="16" t="n">
        <v>300.032917</v>
      </c>
      <c r="Q982" s="16" t="n">
        <v>3000</v>
      </c>
      <c r="R982" s="16" t="n">
        <v>563.6363636363637</v>
      </c>
      <c r="S982" s="16" t="n">
        <v>0.7714285714285716</v>
      </c>
      <c r="T982" s="16" t="n">
        <v>0.85</v>
      </c>
      <c r="U982" s="16" t="n">
        <v>0.75</v>
      </c>
      <c r="V982" s="16" t="n">
        <v>0.85</v>
      </c>
      <c r="W982" s="16" t="n">
        <v>0.75</v>
      </c>
      <c r="X982" s="16" t="n">
        <v>0.8</v>
      </c>
      <c r="Y982" s="16" t="n"/>
      <c r="Z982" s="16" t="n">
        <v>0.60712276201791</v>
      </c>
      <c r="AA982" s="16" t="n">
        <v>2.313653435223017</v>
      </c>
      <c r="AB982" s="16" t="n">
        <v>2436.363636363636</v>
      </c>
      <c r="AC982" s="16" t="n">
        <v>5.322580645161289</v>
      </c>
      <c r="AD982" s="16" t="inlineStr">
        <is>
          <t>O2</t>
        </is>
      </c>
      <c r="AE982" s="16" t="inlineStr">
        <is>
          <t>x_b</t>
        </is>
      </c>
    </row>
    <row r="983">
      <c r="A983" s="16" t="inlineStr">
        <is>
          <t>KF-M03-0082</t>
        </is>
      </c>
      <c r="B983" s="16" t="inlineStr">
        <is>
          <t>3.1</t>
        </is>
      </c>
      <c r="C983" s="16" t="inlineStr">
        <is>
          <t>3.1</t>
        </is>
      </c>
      <c r="D983" s="16" t="inlineStr">
        <is>
          <t>alrededor de A*</t>
        </is>
      </c>
      <c r="E983" s="16" t="inlineStr">
        <is>
          <t>KF-M03</t>
        </is>
      </c>
      <c r="F983" s="16" t="inlineStr">
        <is>
          <t>KF-M03</t>
        </is>
      </c>
      <c r="G983" s="16" t="inlineStr">
        <is>
          <t>B06</t>
        </is>
      </c>
      <c r="H983" s="16" t="inlineStr">
        <is>
          <t>malla</t>
        </is>
      </c>
      <c r="I983" s="16" t="inlineStr">
        <is>
          <t>INVIABLE</t>
        </is>
      </c>
      <c r="J983" s="16" t="inlineStr">
        <is>
          <t>INVIABLE</t>
        </is>
      </c>
      <c r="K983" s="16" t="b">
        <v>1</v>
      </c>
      <c r="L983" s="16" t="b">
        <v>0</v>
      </c>
      <c r="M983" s="16" t="b">
        <v>0</v>
      </c>
      <c r="N983" s="16" t="b">
        <v>0</v>
      </c>
      <c r="O983" s="16" t="n">
        <v>403</v>
      </c>
      <c r="P983" s="16" t="n">
        <v>300.032917</v>
      </c>
      <c r="Q983" s="16" t="n">
        <v>3000</v>
      </c>
      <c r="R983" s="16" t="n">
        <v>563.6363636363637</v>
      </c>
      <c r="S983" s="16" t="n">
        <v>0.8142857142857143</v>
      </c>
      <c r="T983" s="16" t="n">
        <v>0.85</v>
      </c>
      <c r="U983" s="16" t="n">
        <v>0.75</v>
      </c>
      <c r="V983" s="16" t="n">
        <v>0.85</v>
      </c>
      <c r="W983" s="16" t="n">
        <v>0.75</v>
      </c>
      <c r="X983" s="16" t="n">
        <v>0.8</v>
      </c>
      <c r="Y983" s="16" t="n"/>
      <c r="Z983" s="16" t="n">
        <v>-5.77645911027341</v>
      </c>
      <c r="AA983" s="16" t="n">
        <v>-18.05936956942336</v>
      </c>
      <c r="AB983" s="16" t="n">
        <v>2436.363636363636</v>
      </c>
      <c r="AC983" s="16" t="n">
        <v>5.322580645161289</v>
      </c>
      <c r="AD983" s="16" t="inlineStr">
        <is>
          <t>O2,O3</t>
        </is>
      </c>
      <c r="AE983" s="16" t="inlineStr">
        <is>
          <t>x_b</t>
        </is>
      </c>
    </row>
    <row r="984">
      <c r="A984" s="16" t="inlineStr">
        <is>
          <t>KF-M03-0083</t>
        </is>
      </c>
      <c r="B984" s="16" t="inlineStr">
        <is>
          <t>3.1</t>
        </is>
      </c>
      <c r="C984" s="16" t="inlineStr">
        <is>
          <t>3.1</t>
        </is>
      </c>
      <c r="D984" s="16" t="inlineStr">
        <is>
          <t>alrededor de A*</t>
        </is>
      </c>
      <c r="E984" s="16" t="inlineStr">
        <is>
          <t>KF-M03</t>
        </is>
      </c>
      <c r="F984" s="16" t="inlineStr">
        <is>
          <t>KF-M03</t>
        </is>
      </c>
      <c r="G984" s="16" t="inlineStr">
        <is>
          <t>B06</t>
        </is>
      </c>
      <c r="H984" s="16" t="inlineStr">
        <is>
          <t>malla</t>
        </is>
      </c>
      <c r="I984" s="16" t="inlineStr">
        <is>
          <t>INVIABLE</t>
        </is>
      </c>
      <c r="J984" s="16" t="inlineStr">
        <is>
          <t>INVIABLE</t>
        </is>
      </c>
      <c r="K984" s="16" t="b">
        <v>1</v>
      </c>
      <c r="L984" s="16" t="b">
        <v>0</v>
      </c>
      <c r="M984" s="16" t="b">
        <v>0</v>
      </c>
      <c r="N984" s="16" t="b">
        <v>0</v>
      </c>
      <c r="O984" s="16" t="n">
        <v>403</v>
      </c>
      <c r="P984" s="16" t="n">
        <v>300.032917</v>
      </c>
      <c r="Q984" s="16" t="n">
        <v>3000</v>
      </c>
      <c r="R984" s="16" t="n">
        <v>563.6363636363637</v>
      </c>
      <c r="S984" s="16" t="n">
        <v>0.9000000000000001</v>
      </c>
      <c r="T984" s="16" t="n">
        <v>0.85</v>
      </c>
      <c r="U984" s="16" t="n">
        <v>0.75</v>
      </c>
      <c r="V984" s="16" t="n">
        <v>0.85</v>
      </c>
      <c r="W984" s="16" t="n">
        <v>0.75</v>
      </c>
      <c r="X984" s="16" t="n">
        <v>0.8</v>
      </c>
      <c r="Y984" s="16" t="n"/>
      <c r="Z984" s="16" t="n">
        <v>-34.83013203944058</v>
      </c>
      <c r="AA984" s="16" t="n">
        <v>-59.95239184324146</v>
      </c>
      <c r="AB984" s="16" t="n">
        <v>2436.363636363636</v>
      </c>
      <c r="AC984" s="16" t="n">
        <v>5.322580645161289</v>
      </c>
      <c r="AD984" s="16" t="inlineStr">
        <is>
          <t>O2,O3</t>
        </is>
      </c>
      <c r="AE984" s="16" t="inlineStr">
        <is>
          <t>x_b</t>
        </is>
      </c>
    </row>
    <row r="985">
      <c r="A985" s="16" t="inlineStr">
        <is>
          <t>KF-M03-0084</t>
        </is>
      </c>
      <c r="B985" s="16" t="inlineStr">
        <is>
          <t>3.1</t>
        </is>
      </c>
      <c r="C985" s="16" t="inlineStr">
        <is>
          <t>3.1</t>
        </is>
      </c>
      <c r="D985" s="16" t="inlineStr">
        <is>
          <t>alrededor de A*</t>
        </is>
      </c>
      <c r="E985" s="16" t="inlineStr">
        <is>
          <t>KF-M03</t>
        </is>
      </c>
      <c r="F985" s="16" t="inlineStr">
        <is>
          <t>KF-M03</t>
        </is>
      </c>
      <c r="G985" s="16" t="inlineStr">
        <is>
          <t>B06</t>
        </is>
      </c>
      <c r="H985" s="16" t="inlineStr">
        <is>
          <t>vecino</t>
        </is>
      </c>
      <c r="I985" s="16" t="inlineStr">
        <is>
          <t>KALINA</t>
        </is>
      </c>
      <c r="J985" s="16" t="inlineStr">
        <is>
          <t>KALINA</t>
        </is>
      </c>
      <c r="K985" s="16" t="b">
        <v>1</v>
      </c>
      <c r="L985" s="16" t="b">
        <v>1</v>
      </c>
      <c r="M985" s="16" t="b">
        <v>0</v>
      </c>
      <c r="N985" s="16" t="b">
        <v>0</v>
      </c>
      <c r="O985" s="16" t="n">
        <v>403</v>
      </c>
      <c r="P985" s="16" t="n">
        <v>300.032917</v>
      </c>
      <c r="Q985" s="16" t="n">
        <v>3000</v>
      </c>
      <c r="R985" s="16" t="n">
        <v>563.6363636363637</v>
      </c>
      <c r="S985" s="16" t="n">
        <v>0.494</v>
      </c>
      <c r="T985" s="16" t="n">
        <v>0.85</v>
      </c>
      <c r="U985" s="16" t="n">
        <v>0.75</v>
      </c>
      <c r="V985" s="16" t="n">
        <v>0.85</v>
      </c>
      <c r="W985" s="16" t="n">
        <v>0.75</v>
      </c>
      <c r="X985" s="16" t="n">
        <v>0.8</v>
      </c>
      <c r="Y985" s="16" t="n"/>
      <c r="Z985" s="16" t="n">
        <v>8.12026905547512</v>
      </c>
      <c r="AA985" s="16" t="n">
        <v>23.73601578814699</v>
      </c>
      <c r="AB985" s="16" t="n">
        <v>2436.363636363636</v>
      </c>
      <c r="AC985" s="16" t="n">
        <v>5.322580645161289</v>
      </c>
      <c r="AD985" s="16" t="n"/>
      <c r="AE985" s="16" t="inlineStr">
        <is>
          <t>x_b</t>
        </is>
      </c>
    </row>
    <row r="986">
      <c r="A986" s="16" t="inlineStr">
        <is>
          <t>KF-M03-0085</t>
        </is>
      </c>
      <c r="B986" s="16" t="inlineStr">
        <is>
          <t>3.1</t>
        </is>
      </c>
      <c r="C986" s="16" t="inlineStr">
        <is>
          <t>3.1</t>
        </is>
      </c>
      <c r="D986" s="16" t="inlineStr">
        <is>
          <t>alrededor de A*</t>
        </is>
      </c>
      <c r="E986" s="16" t="inlineStr">
        <is>
          <t>KF-M03</t>
        </is>
      </c>
      <c r="F986" s="16" t="inlineStr">
        <is>
          <t>KF-M03</t>
        </is>
      </c>
      <c r="G986" s="16" t="inlineStr">
        <is>
          <t>B06</t>
        </is>
      </c>
      <c r="H986" s="16" t="inlineStr">
        <is>
          <t>vecino</t>
        </is>
      </c>
      <c r="I986" s="16" t="inlineStr">
        <is>
          <t>CORREGIBLE</t>
        </is>
      </c>
      <c r="J986" s="16" t="inlineStr">
        <is>
          <t>CORREGIBLE</t>
        </is>
      </c>
      <c r="K986" s="16" t="b">
        <v>1</v>
      </c>
      <c r="L986" s="16" t="b">
        <v>0</v>
      </c>
      <c r="M986" s="16" t="b">
        <v>0</v>
      </c>
      <c r="N986" s="16" t="b">
        <v>0</v>
      </c>
      <c r="O986" s="16" t="n">
        <v>403</v>
      </c>
      <c r="P986" s="16" t="n">
        <v>300.032917</v>
      </c>
      <c r="Q986" s="16" t="n">
        <v>3000</v>
      </c>
      <c r="R986" s="16" t="n">
        <v>563.6363636363637</v>
      </c>
      <c r="S986" s="16" t="n">
        <v>0.506</v>
      </c>
      <c r="T986" s="16" t="n">
        <v>0.85</v>
      </c>
      <c r="U986" s="16" t="n">
        <v>0.75</v>
      </c>
      <c r="V986" s="16" t="n">
        <v>0.85</v>
      </c>
      <c r="W986" s="16" t="n">
        <v>0.75</v>
      </c>
      <c r="X986" s="16" t="n">
        <v>0.8</v>
      </c>
      <c r="Y986" s="16" t="n"/>
      <c r="Z986" s="16" t="n">
        <v>8.81275395183912</v>
      </c>
      <c r="AA986" s="16" t="n">
        <v>28.13747046338373</v>
      </c>
      <c r="AB986" s="16" t="n">
        <v>2436.363636363636</v>
      </c>
      <c r="AC986" s="16" t="n">
        <v>5.322580645161289</v>
      </c>
      <c r="AD986" s="16" t="inlineStr">
        <is>
          <t>O2</t>
        </is>
      </c>
      <c r="AE986" s="16" t="inlineStr">
        <is>
          <t>x_b</t>
        </is>
      </c>
    </row>
    <row r="987">
      <c r="A987" s="16" t="inlineStr">
        <is>
          <t>KF-M03-0086</t>
        </is>
      </c>
      <c r="B987" s="16" t="inlineStr">
        <is>
          <t>3.1</t>
        </is>
      </c>
      <c r="C987" s="16" t="inlineStr">
        <is>
          <t>3.1</t>
        </is>
      </c>
      <c r="D987" s="16" t="inlineStr">
        <is>
          <t>alrededor de A*</t>
        </is>
      </c>
      <c r="E987" s="16" t="inlineStr">
        <is>
          <t>KF-M03</t>
        </is>
      </c>
      <c r="F987" s="16" t="inlineStr">
        <is>
          <t>KF-M03</t>
        </is>
      </c>
      <c r="G987" s="16" t="inlineStr">
        <is>
          <t>B06</t>
        </is>
      </c>
      <c r="H987" s="16" t="inlineStr">
        <is>
          <t>malla</t>
        </is>
      </c>
      <c r="I987" s="16" t="inlineStr">
        <is>
          <t>CORREGIBLE</t>
        </is>
      </c>
      <c r="J987" s="16" t="inlineStr">
        <is>
          <t>CORREGIBLE</t>
        </is>
      </c>
      <c r="K987" s="16" t="b">
        <v>1</v>
      </c>
      <c r="L987" s="16" t="b">
        <v>0</v>
      </c>
      <c r="M987" s="16" t="b">
        <v>0</v>
      </c>
      <c r="N987" s="16" t="b">
        <v>0</v>
      </c>
      <c r="O987" s="16" t="n">
        <v>403</v>
      </c>
      <c r="P987" s="16" t="n">
        <v>300.032917</v>
      </c>
      <c r="Q987" s="16" t="n">
        <v>3000</v>
      </c>
      <c r="R987" s="16" t="n">
        <v>563.6363636363637</v>
      </c>
      <c r="S987" s="16" t="n">
        <v>0.5</v>
      </c>
      <c r="T987" s="16" t="n">
        <v>0.4</v>
      </c>
      <c r="U987" s="16" t="n">
        <v>0.75</v>
      </c>
      <c r="V987" s="16" t="n">
        <v>0.85</v>
      </c>
      <c r="W987" s="16" t="n">
        <v>0.75</v>
      </c>
      <c r="X987" s="16" t="n">
        <v>0.8</v>
      </c>
      <c r="Y987" s="16" t="n"/>
      <c r="Z987" s="16" t="n">
        <v>3.30949795641721</v>
      </c>
      <c r="AA987" s="16" t="n">
        <v>10.08423651758285</v>
      </c>
      <c r="AB987" s="16" t="n">
        <v>2436.363636363636</v>
      </c>
      <c r="AC987" s="16" t="n">
        <v>5.322580645161289</v>
      </c>
      <c r="AD987" s="16" t="inlineStr">
        <is>
          <t>O2</t>
        </is>
      </c>
      <c r="AE987" s="16" t="inlineStr">
        <is>
          <t>eta_t</t>
        </is>
      </c>
    </row>
    <row r="988">
      <c r="A988" s="16" t="inlineStr">
        <is>
          <t>KF-M03-0087</t>
        </is>
      </c>
      <c r="B988" s="16" t="inlineStr">
        <is>
          <t>3.1</t>
        </is>
      </c>
      <c r="C988" s="16" t="inlineStr">
        <is>
          <t>3.1</t>
        </is>
      </c>
      <c r="D988" s="16" t="inlineStr">
        <is>
          <t>alrededor de A*</t>
        </is>
      </c>
      <c r="E988" s="16" t="inlineStr">
        <is>
          <t>KF-M03</t>
        </is>
      </c>
      <c r="F988" s="16" t="inlineStr">
        <is>
          <t>KF-M03</t>
        </is>
      </c>
      <c r="G988" s="16" t="inlineStr">
        <is>
          <t>B06</t>
        </is>
      </c>
      <c r="H988" s="16" t="inlineStr">
        <is>
          <t>malla</t>
        </is>
      </c>
      <c r="I988" s="16" t="inlineStr">
        <is>
          <t>CORREGIBLE</t>
        </is>
      </c>
      <c r="J988" s="16" t="inlineStr">
        <is>
          <t>CORREGIBLE</t>
        </is>
      </c>
      <c r="K988" s="16" t="b">
        <v>1</v>
      </c>
      <c r="L988" s="16" t="b">
        <v>0</v>
      </c>
      <c r="M988" s="16" t="b">
        <v>0</v>
      </c>
      <c r="N988" s="16" t="b">
        <v>0</v>
      </c>
      <c r="O988" s="16" t="n">
        <v>403</v>
      </c>
      <c r="P988" s="16" t="n">
        <v>300.032917</v>
      </c>
      <c r="Q988" s="16" t="n">
        <v>3000</v>
      </c>
      <c r="R988" s="16" t="n">
        <v>563.6363636363637</v>
      </c>
      <c r="S988" s="16" t="n">
        <v>0.5</v>
      </c>
      <c r="T988" s="16" t="n">
        <v>0.4392857142857143</v>
      </c>
      <c r="U988" s="16" t="n">
        <v>0.75</v>
      </c>
      <c r="V988" s="16" t="n">
        <v>0.85</v>
      </c>
      <c r="W988" s="16" t="n">
        <v>0.75</v>
      </c>
      <c r="X988" s="16" t="n">
        <v>0.8</v>
      </c>
      <c r="Y988" s="16" t="n"/>
      <c r="Z988" s="16" t="n">
        <v>3.76307179403484</v>
      </c>
      <c r="AA988" s="16" t="n">
        <v>11.47007072069912</v>
      </c>
      <c r="AB988" s="16" t="n">
        <v>2436.363636363636</v>
      </c>
      <c r="AC988" s="16" t="n">
        <v>5.322580645161289</v>
      </c>
      <c r="AD988" s="16" t="inlineStr">
        <is>
          <t>O2</t>
        </is>
      </c>
      <c r="AE988" s="16" t="inlineStr">
        <is>
          <t>eta_t</t>
        </is>
      </c>
    </row>
    <row r="989">
      <c r="A989" s="16" t="inlineStr">
        <is>
          <t>KF-M03-0088</t>
        </is>
      </c>
      <c r="B989" s="16" t="inlineStr">
        <is>
          <t>3.1</t>
        </is>
      </c>
      <c r="C989" s="16" t="inlineStr">
        <is>
          <t>3.1</t>
        </is>
      </c>
      <c r="D989" s="16" t="inlineStr">
        <is>
          <t>alrededor de A*</t>
        </is>
      </c>
      <c r="E989" s="16" t="inlineStr">
        <is>
          <t>KF-M03</t>
        </is>
      </c>
      <c r="F989" s="16" t="inlineStr">
        <is>
          <t>KF-M03</t>
        </is>
      </c>
      <c r="G989" s="16" t="inlineStr">
        <is>
          <t>B06</t>
        </is>
      </c>
      <c r="H989" s="16" t="inlineStr">
        <is>
          <t>malla</t>
        </is>
      </c>
      <c r="I989" s="16" t="inlineStr">
        <is>
          <t>CORREGIBLE</t>
        </is>
      </c>
      <c r="J989" s="16" t="inlineStr">
        <is>
          <t>CORREGIBLE</t>
        </is>
      </c>
      <c r="K989" s="16" t="b">
        <v>1</v>
      </c>
      <c r="L989" s="16" t="b">
        <v>0</v>
      </c>
      <c r="M989" s="16" t="b">
        <v>0</v>
      </c>
      <c r="N989" s="16" t="b">
        <v>0</v>
      </c>
      <c r="O989" s="16" t="n">
        <v>403</v>
      </c>
      <c r="P989" s="16" t="n">
        <v>300.032917</v>
      </c>
      <c r="Q989" s="16" t="n">
        <v>3000</v>
      </c>
      <c r="R989" s="16" t="n">
        <v>563.6363636363637</v>
      </c>
      <c r="S989" s="16" t="n">
        <v>0.5</v>
      </c>
      <c r="T989" s="16" t="n">
        <v>0.4785714285714286</v>
      </c>
      <c r="U989" s="16" t="n">
        <v>0.75</v>
      </c>
      <c r="V989" s="16" t="n">
        <v>0.85</v>
      </c>
      <c r="W989" s="16" t="n">
        <v>0.75</v>
      </c>
      <c r="X989" s="16" t="n">
        <v>0.8</v>
      </c>
      <c r="Y989" s="16" t="n"/>
      <c r="Z989" s="16" t="n">
        <v>4.21625451051302</v>
      </c>
      <c r="AA989" s="16" t="n">
        <v>12.85561877136164</v>
      </c>
      <c r="AB989" s="16" t="n">
        <v>2436.363636363636</v>
      </c>
      <c r="AC989" s="16" t="n">
        <v>5.322580645161289</v>
      </c>
      <c r="AD989" s="16" t="inlineStr">
        <is>
          <t>O2</t>
        </is>
      </c>
      <c r="AE989" s="16" t="inlineStr">
        <is>
          <t>eta_t</t>
        </is>
      </c>
    </row>
    <row r="990">
      <c r="A990" s="16" t="inlineStr">
        <is>
          <t>KF-M03-0089</t>
        </is>
      </c>
      <c r="B990" s="16" t="inlineStr">
        <is>
          <t>3.1</t>
        </is>
      </c>
      <c r="C990" s="16" t="inlineStr">
        <is>
          <t>3.1</t>
        </is>
      </c>
      <c r="D990" s="16" t="inlineStr">
        <is>
          <t>alrededor de A*</t>
        </is>
      </c>
      <c r="E990" s="16" t="inlineStr">
        <is>
          <t>KF-M03</t>
        </is>
      </c>
      <c r="F990" s="16" t="inlineStr">
        <is>
          <t>KF-M03</t>
        </is>
      </c>
      <c r="G990" s="16" t="inlineStr">
        <is>
          <t>B06</t>
        </is>
      </c>
      <c r="H990" s="16" t="inlineStr">
        <is>
          <t>malla</t>
        </is>
      </c>
      <c r="I990" s="16" t="inlineStr">
        <is>
          <t>CORREGIBLE</t>
        </is>
      </c>
      <c r="J990" s="16" t="inlineStr">
        <is>
          <t>CORREGIBLE</t>
        </is>
      </c>
      <c r="K990" s="16" t="b">
        <v>1</v>
      </c>
      <c r="L990" s="16" t="b">
        <v>0</v>
      </c>
      <c r="M990" s="16" t="b">
        <v>0</v>
      </c>
      <c r="N990" s="16" t="b">
        <v>0</v>
      </c>
      <c r="O990" s="16" t="n">
        <v>403</v>
      </c>
      <c r="P990" s="16" t="n">
        <v>300.032917</v>
      </c>
      <c r="Q990" s="16" t="n">
        <v>3000</v>
      </c>
      <c r="R990" s="16" t="n">
        <v>563.6363636363637</v>
      </c>
      <c r="S990" s="16" t="n">
        <v>0.5</v>
      </c>
      <c r="T990" s="16" t="n">
        <v>0.5178571428571429</v>
      </c>
      <c r="U990" s="16" t="n">
        <v>0.75</v>
      </c>
      <c r="V990" s="16" t="n">
        <v>0.85</v>
      </c>
      <c r="W990" s="16" t="n">
        <v>0.75</v>
      </c>
      <c r="X990" s="16" t="n">
        <v>0.8</v>
      </c>
      <c r="Y990" s="16" t="n"/>
      <c r="Z990" s="16" t="n">
        <v>4.66904435487793</v>
      </c>
      <c r="AA990" s="16" t="n">
        <v>14.24087341985586</v>
      </c>
      <c r="AB990" s="16" t="n">
        <v>2436.363636363636</v>
      </c>
      <c r="AC990" s="16" t="n">
        <v>5.322580645161289</v>
      </c>
      <c r="AD990" s="16" t="inlineStr">
        <is>
          <t>O2</t>
        </is>
      </c>
      <c r="AE990" s="16" t="inlineStr">
        <is>
          <t>eta_t</t>
        </is>
      </c>
    </row>
    <row r="991">
      <c r="A991" s="16" t="inlineStr">
        <is>
          <t>KF-M03-0090</t>
        </is>
      </c>
      <c r="B991" s="16" t="inlineStr">
        <is>
          <t>3.1</t>
        </is>
      </c>
      <c r="C991" s="16" t="inlineStr">
        <is>
          <t>3.1</t>
        </is>
      </c>
      <c r="D991" s="16" t="inlineStr">
        <is>
          <t>alrededor de A*</t>
        </is>
      </c>
      <c r="E991" s="16" t="inlineStr">
        <is>
          <t>KF-M03</t>
        </is>
      </c>
      <c r="F991" s="16" t="inlineStr">
        <is>
          <t>KF-M03</t>
        </is>
      </c>
      <c r="G991" s="16" t="inlineStr">
        <is>
          <t>B06</t>
        </is>
      </c>
      <c r="H991" s="16" t="inlineStr">
        <is>
          <t>malla</t>
        </is>
      </c>
      <c r="I991" s="16" t="inlineStr">
        <is>
          <t>CORREGIBLE</t>
        </is>
      </c>
      <c r="J991" s="16" t="inlineStr">
        <is>
          <t>CORREGIBLE</t>
        </is>
      </c>
      <c r="K991" s="16" t="b">
        <v>1</v>
      </c>
      <c r="L991" s="16" t="b">
        <v>0</v>
      </c>
      <c r="M991" s="16" t="b">
        <v>0</v>
      </c>
      <c r="N991" s="16" t="b">
        <v>0</v>
      </c>
      <c r="O991" s="16" t="n">
        <v>403</v>
      </c>
      <c r="P991" s="16" t="n">
        <v>300.032917</v>
      </c>
      <c r="Q991" s="16" t="n">
        <v>3000</v>
      </c>
      <c r="R991" s="16" t="n">
        <v>563.6363636363637</v>
      </c>
      <c r="S991" s="16" t="n">
        <v>0.5</v>
      </c>
      <c r="T991" s="16" t="n">
        <v>0.5964285714285714</v>
      </c>
      <c r="U991" s="16" t="n">
        <v>0.75</v>
      </c>
      <c r="V991" s="16" t="n">
        <v>0.85</v>
      </c>
      <c r="W991" s="16" t="n">
        <v>0.75</v>
      </c>
      <c r="X991" s="16" t="n">
        <v>0.8</v>
      </c>
      <c r="Y991" s="16" t="n"/>
      <c r="Z991" s="16" t="n">
        <v>5.57346055189469</v>
      </c>
      <c r="AA991" s="16" t="n">
        <v>17.01053058396107</v>
      </c>
      <c r="AB991" s="16" t="n">
        <v>2436.363636363636</v>
      </c>
      <c r="AC991" s="16" t="n">
        <v>5.322580645161289</v>
      </c>
      <c r="AD991" s="16" t="inlineStr">
        <is>
          <t>O2</t>
        </is>
      </c>
      <c r="AE991" s="16" t="inlineStr">
        <is>
          <t>eta_t</t>
        </is>
      </c>
    </row>
    <row r="992">
      <c r="A992" s="16" t="inlineStr">
        <is>
          <t>KF-M03-0091</t>
        </is>
      </c>
      <c r="B992" s="16" t="inlineStr">
        <is>
          <t>3.1</t>
        </is>
      </c>
      <c r="C992" s="16" t="inlineStr">
        <is>
          <t>3.1</t>
        </is>
      </c>
      <c r="D992" s="16" t="inlineStr">
        <is>
          <t>alrededor de A*</t>
        </is>
      </c>
      <c r="E992" s="16" t="inlineStr">
        <is>
          <t>KF-M03</t>
        </is>
      </c>
      <c r="F992" s="16" t="inlineStr">
        <is>
          <t>KF-M03</t>
        </is>
      </c>
      <c r="G992" s="16" t="inlineStr">
        <is>
          <t>B06</t>
        </is>
      </c>
      <c r="H992" s="16" t="inlineStr">
        <is>
          <t>malla</t>
        </is>
      </c>
      <c r="I992" s="16" t="inlineStr">
        <is>
          <t>CORREGIBLE</t>
        </is>
      </c>
      <c r="J992" s="16" t="inlineStr">
        <is>
          <t>CORREGIBLE</t>
        </is>
      </c>
      <c r="K992" s="16" t="b">
        <v>1</v>
      </c>
      <c r="L992" s="16" t="b">
        <v>0</v>
      </c>
      <c r="M992" s="16" t="b">
        <v>0</v>
      </c>
      <c r="N992" s="16" t="b">
        <v>0</v>
      </c>
      <c r="O992" s="16" t="n">
        <v>403</v>
      </c>
      <c r="P992" s="16" t="n">
        <v>300.032917</v>
      </c>
      <c r="Q992" s="16" t="n">
        <v>3000</v>
      </c>
      <c r="R992" s="16" t="n">
        <v>563.6363636363637</v>
      </c>
      <c r="S992" s="16" t="n">
        <v>0.5</v>
      </c>
      <c r="T992" s="16" t="n">
        <v>0.5571428571428572</v>
      </c>
      <c r="U992" s="16" t="n">
        <v>0.75</v>
      </c>
      <c r="V992" s="16" t="n">
        <v>0.85</v>
      </c>
      <c r="W992" s="16" t="n">
        <v>0.75</v>
      </c>
      <c r="X992" s="16" t="n">
        <v>0.8</v>
      </c>
      <c r="Y992" s="16" t="n"/>
      <c r="Z992" s="16" t="n">
        <v>5.12144414153169</v>
      </c>
      <c r="AA992" s="16" t="n">
        <v>15.62584173958471</v>
      </c>
      <c r="AB992" s="16" t="n">
        <v>2436.363636363636</v>
      </c>
      <c r="AC992" s="16" t="n">
        <v>5.322580645161289</v>
      </c>
      <c r="AD992" s="16" t="inlineStr">
        <is>
          <t>O2</t>
        </is>
      </c>
      <c r="AE992" s="16" t="inlineStr">
        <is>
          <t>eta_t</t>
        </is>
      </c>
    </row>
    <row r="993">
      <c r="A993" s="16" t="inlineStr">
        <is>
          <t>KF-M03-0092</t>
        </is>
      </c>
      <c r="B993" s="16" t="inlineStr">
        <is>
          <t>3.1</t>
        </is>
      </c>
      <c r="C993" s="16" t="inlineStr">
        <is>
          <t>3.1</t>
        </is>
      </c>
      <c r="D993" s="16" t="inlineStr">
        <is>
          <t>alrededor de A*</t>
        </is>
      </c>
      <c r="E993" s="16" t="inlineStr">
        <is>
          <t>KF-M03</t>
        </is>
      </c>
      <c r="F993" s="16" t="inlineStr">
        <is>
          <t>KF-M03</t>
        </is>
      </c>
      <c r="G993" s="16" t="inlineStr">
        <is>
          <t>B06</t>
        </is>
      </c>
      <c r="H993" s="16" t="inlineStr">
        <is>
          <t>malla</t>
        </is>
      </c>
      <c r="I993" s="16" t="inlineStr">
        <is>
          <t>CORREGIBLE</t>
        </is>
      </c>
      <c r="J993" s="16" t="inlineStr">
        <is>
          <t>CORREGIBLE</t>
        </is>
      </c>
      <c r="K993" s="16" t="b">
        <v>1</v>
      </c>
      <c r="L993" s="16" t="b">
        <v>0</v>
      </c>
      <c r="M993" s="16" t="b">
        <v>0</v>
      </c>
      <c r="N993" s="16" t="b">
        <v>0</v>
      </c>
      <c r="O993" s="16" t="n">
        <v>403</v>
      </c>
      <c r="P993" s="16" t="n">
        <v>300.032917</v>
      </c>
      <c r="Q993" s="16" t="n">
        <v>3000</v>
      </c>
      <c r="R993" s="16" t="n">
        <v>563.6363636363637</v>
      </c>
      <c r="S993" s="16" t="n">
        <v>0.5</v>
      </c>
      <c r="T993" s="16" t="n">
        <v>0.6357142857142857</v>
      </c>
      <c r="U993" s="16" t="n">
        <v>0.75</v>
      </c>
      <c r="V993" s="16" t="n">
        <v>0.85</v>
      </c>
      <c r="W993" s="16" t="n">
        <v>0.75</v>
      </c>
      <c r="X993" s="16" t="n">
        <v>0.8</v>
      </c>
      <c r="Y993" s="16" t="n"/>
      <c r="Z993" s="16" t="n">
        <v>6.02508196426002</v>
      </c>
      <c r="AA993" s="16" t="n">
        <v>18.39492498355384</v>
      </c>
      <c r="AB993" s="16" t="n">
        <v>2436.363636363636</v>
      </c>
      <c r="AC993" s="16" t="n">
        <v>5.322580645161289</v>
      </c>
      <c r="AD993" s="16" t="inlineStr">
        <is>
          <t>O2</t>
        </is>
      </c>
      <c r="AE993" s="16" t="inlineStr">
        <is>
          <t>eta_t</t>
        </is>
      </c>
    </row>
    <row r="994">
      <c r="A994" s="16" t="inlineStr">
        <is>
          <t>KF-M03-0093</t>
        </is>
      </c>
      <c r="B994" s="16" t="inlineStr">
        <is>
          <t>3.1</t>
        </is>
      </c>
      <c r="C994" s="16" t="inlineStr">
        <is>
          <t>3.1</t>
        </is>
      </c>
      <c r="D994" s="16" t="inlineStr">
        <is>
          <t>alrededor de A*</t>
        </is>
      </c>
      <c r="E994" s="16" t="inlineStr">
        <is>
          <t>KF-M03</t>
        </is>
      </c>
      <c r="F994" s="16" t="inlineStr">
        <is>
          <t>KF-M03</t>
        </is>
      </c>
      <c r="G994" s="16" t="inlineStr">
        <is>
          <t>B06</t>
        </is>
      </c>
      <c r="H994" s="16" t="inlineStr">
        <is>
          <t>malla</t>
        </is>
      </c>
      <c r="I994" s="16" t="inlineStr">
        <is>
          <t>KALINA</t>
        </is>
      </c>
      <c r="J994" s="16" t="inlineStr">
        <is>
          <t>KALINA</t>
        </is>
      </c>
      <c r="K994" s="16" t="b">
        <v>1</v>
      </c>
      <c r="L994" s="16" t="b">
        <v>1</v>
      </c>
      <c r="M994" s="16" t="b">
        <v>0</v>
      </c>
      <c r="N994" s="16" t="b">
        <v>0</v>
      </c>
      <c r="O994" s="16" t="n">
        <v>403</v>
      </c>
      <c r="P994" s="16" t="n">
        <v>300.032917</v>
      </c>
      <c r="Q994" s="16" t="n">
        <v>3000</v>
      </c>
      <c r="R994" s="16" t="n">
        <v>563.6363636363637</v>
      </c>
      <c r="S994" s="16" t="n">
        <v>0.5</v>
      </c>
      <c r="T994" s="16" t="n">
        <v>0.675</v>
      </c>
      <c r="U994" s="16" t="n">
        <v>0.75</v>
      </c>
      <c r="V994" s="16" t="n">
        <v>0.85</v>
      </c>
      <c r="W994" s="16" t="n">
        <v>0.75</v>
      </c>
      <c r="X994" s="16" t="n">
        <v>0.8</v>
      </c>
      <c r="Y994" s="16" t="n"/>
      <c r="Z994" s="16" t="n">
        <v>6.47631544223253</v>
      </c>
      <c r="AA994" s="16" t="n">
        <v>19.77903412152411</v>
      </c>
      <c r="AB994" s="16" t="n">
        <v>2436.363636363636</v>
      </c>
      <c r="AC994" s="16" t="n">
        <v>5.322580645161289</v>
      </c>
      <c r="AD994" s="16" t="n"/>
      <c r="AE994" s="16" t="inlineStr">
        <is>
          <t>eta_t</t>
        </is>
      </c>
    </row>
    <row r="995">
      <c r="A995" s="16" t="inlineStr">
        <is>
          <t>KF-M03-0094</t>
        </is>
      </c>
      <c r="B995" s="16" t="inlineStr">
        <is>
          <t>3.1</t>
        </is>
      </c>
      <c r="C995" s="16" t="inlineStr">
        <is>
          <t>3.1</t>
        </is>
      </c>
      <c r="D995" s="16" t="inlineStr">
        <is>
          <t>alrededor de A*</t>
        </is>
      </c>
      <c r="E995" s="16" t="inlineStr">
        <is>
          <t>KF-M03</t>
        </is>
      </c>
      <c r="F995" s="16" t="inlineStr">
        <is>
          <t>KF-M03</t>
        </is>
      </c>
      <c r="G995" s="16" t="inlineStr">
        <is>
          <t>B06</t>
        </is>
      </c>
      <c r="H995" s="16" t="inlineStr">
        <is>
          <t>malla</t>
        </is>
      </c>
      <c r="I995" s="16" t="inlineStr">
        <is>
          <t>KALINA</t>
        </is>
      </c>
      <c r="J995" s="16" t="inlineStr">
        <is>
          <t>KALINA</t>
        </is>
      </c>
      <c r="K995" s="16" t="b">
        <v>1</v>
      </c>
      <c r="L995" s="16" t="b">
        <v>1</v>
      </c>
      <c r="M995" s="16" t="b">
        <v>0</v>
      </c>
      <c r="N995" s="16" t="b">
        <v>0</v>
      </c>
      <c r="O995" s="16" t="n">
        <v>403</v>
      </c>
      <c r="P995" s="16" t="n">
        <v>300.032917</v>
      </c>
      <c r="Q995" s="16" t="n">
        <v>3000</v>
      </c>
      <c r="R995" s="16" t="n">
        <v>563.6363636363637</v>
      </c>
      <c r="S995" s="16" t="n">
        <v>0.5</v>
      </c>
      <c r="T995" s="16" t="n">
        <v>0.7142857142857142</v>
      </c>
      <c r="U995" s="16" t="n">
        <v>0.75</v>
      </c>
      <c r="V995" s="16" t="n">
        <v>0.85</v>
      </c>
      <c r="W995" s="16" t="n">
        <v>0.75</v>
      </c>
      <c r="X995" s="16" t="n">
        <v>0.8</v>
      </c>
      <c r="Y995" s="16" t="n"/>
      <c r="Z995" s="16" t="n">
        <v>6.927174565481151</v>
      </c>
      <c r="AA995" s="16" t="n">
        <v>21.16289865884195</v>
      </c>
      <c r="AB995" s="16" t="n">
        <v>2436.363636363636</v>
      </c>
      <c r="AC995" s="16" t="n">
        <v>5.322580645161289</v>
      </c>
      <c r="AD995" s="16" t="n"/>
      <c r="AE995" s="16" t="inlineStr">
        <is>
          <t>eta_t</t>
        </is>
      </c>
    </row>
    <row r="996">
      <c r="A996" s="16" t="inlineStr">
        <is>
          <t>KF-M03-0095</t>
        </is>
      </c>
      <c r="B996" s="16" t="inlineStr">
        <is>
          <t>3.1</t>
        </is>
      </c>
      <c r="C996" s="16" t="inlineStr">
        <is>
          <t>3.1</t>
        </is>
      </c>
      <c r="D996" s="16" t="inlineStr">
        <is>
          <t>alrededor de A*</t>
        </is>
      </c>
      <c r="E996" s="16" t="inlineStr">
        <is>
          <t>KF-M03</t>
        </is>
      </c>
      <c r="F996" s="16" t="inlineStr">
        <is>
          <t>KF-M03</t>
        </is>
      </c>
      <c r="G996" s="16" t="inlineStr">
        <is>
          <t>B06</t>
        </is>
      </c>
      <c r="H996" s="16" t="inlineStr">
        <is>
          <t>malla</t>
        </is>
      </c>
      <c r="I996" s="16" t="inlineStr">
        <is>
          <t>KALINA</t>
        </is>
      </c>
      <c r="J996" s="16" t="inlineStr">
        <is>
          <t>KALINA</t>
        </is>
      </c>
      <c r="K996" s="16" t="b">
        <v>1</v>
      </c>
      <c r="L996" s="16" t="b">
        <v>1</v>
      </c>
      <c r="M996" s="16" t="b">
        <v>0</v>
      </c>
      <c r="N996" s="16" t="b">
        <v>0</v>
      </c>
      <c r="O996" s="16" t="n">
        <v>403</v>
      </c>
      <c r="P996" s="16" t="n">
        <v>300.032917</v>
      </c>
      <c r="Q996" s="16" t="n">
        <v>3000</v>
      </c>
      <c r="R996" s="16" t="n">
        <v>563.6363636363637</v>
      </c>
      <c r="S996" s="16" t="n">
        <v>0.5</v>
      </c>
      <c r="T996" s="16" t="n">
        <v>0.7928571428571428</v>
      </c>
      <c r="U996" s="16" t="n">
        <v>0.75</v>
      </c>
      <c r="V996" s="16" t="n">
        <v>0.85</v>
      </c>
      <c r="W996" s="16" t="n">
        <v>0.75</v>
      </c>
      <c r="X996" s="16" t="n">
        <v>0.8</v>
      </c>
      <c r="Y996" s="16" t="n"/>
      <c r="Z996" s="16" t="n">
        <v>7.82780188218461</v>
      </c>
      <c r="AA996" s="16" t="n">
        <v>23.92998881054222</v>
      </c>
      <c r="AB996" s="16" t="n">
        <v>2436.363636363636</v>
      </c>
      <c r="AC996" s="16" t="n">
        <v>5.322580645161289</v>
      </c>
      <c r="AD996" s="16" t="n"/>
      <c r="AE996" s="16" t="inlineStr">
        <is>
          <t>eta_t</t>
        </is>
      </c>
    </row>
    <row r="997">
      <c r="A997" s="16" t="inlineStr">
        <is>
          <t>KF-M03-0096</t>
        </is>
      </c>
      <c r="B997" s="16" t="inlineStr">
        <is>
          <t>3.1</t>
        </is>
      </c>
      <c r="C997" s="16" t="inlineStr">
        <is>
          <t>3.1</t>
        </is>
      </c>
      <c r="D997" s="16" t="inlineStr">
        <is>
          <t>alrededor de A*</t>
        </is>
      </c>
      <c r="E997" s="16" t="inlineStr">
        <is>
          <t>KF-M03</t>
        </is>
      </c>
      <c r="F997" s="16" t="inlineStr">
        <is>
          <t>KF-M03</t>
        </is>
      </c>
      <c r="G997" s="16" t="inlineStr">
        <is>
          <t>B06</t>
        </is>
      </c>
      <c r="H997" s="16" t="inlineStr">
        <is>
          <t>malla</t>
        </is>
      </c>
      <c r="I997" s="16" t="inlineStr">
        <is>
          <t>KALINA</t>
        </is>
      </c>
      <c r="J997" s="16" t="inlineStr">
        <is>
          <t>KALINA</t>
        </is>
      </c>
      <c r="K997" s="16" t="b">
        <v>1</v>
      </c>
      <c r="L997" s="16" t="b">
        <v>1</v>
      </c>
      <c r="M997" s="16" t="b">
        <v>0</v>
      </c>
      <c r="N997" s="16" t="b">
        <v>0</v>
      </c>
      <c r="O997" s="16" t="n">
        <v>403</v>
      </c>
      <c r="P997" s="16" t="n">
        <v>300.032917</v>
      </c>
      <c r="Q997" s="16" t="n">
        <v>3000</v>
      </c>
      <c r="R997" s="16" t="n">
        <v>563.6363636363637</v>
      </c>
      <c r="S997" s="16" t="n">
        <v>0.5</v>
      </c>
      <c r="T997" s="16" t="n">
        <v>0.7535714285714286</v>
      </c>
      <c r="U997" s="16" t="n">
        <v>0.75</v>
      </c>
      <c r="V997" s="16" t="n">
        <v>0.85</v>
      </c>
      <c r="W997" s="16" t="n">
        <v>0.75</v>
      </c>
      <c r="X997" s="16" t="n">
        <v>0.8</v>
      </c>
      <c r="Y997" s="16" t="n"/>
      <c r="Z997" s="16" t="n">
        <v>7.377669830826441</v>
      </c>
      <c r="AA997" s="16" t="n">
        <v>22.54655000770246</v>
      </c>
      <c r="AB997" s="16" t="n">
        <v>2436.363636363636</v>
      </c>
      <c r="AC997" s="16" t="n">
        <v>5.322580645161289</v>
      </c>
      <c r="AD997" s="16" t="n"/>
      <c r="AE997" s="16" t="inlineStr">
        <is>
          <t>eta_t</t>
        </is>
      </c>
    </row>
    <row r="998">
      <c r="A998" s="16" t="inlineStr">
        <is>
          <t>KF-M03-0097</t>
        </is>
      </c>
      <c r="B998" s="16" t="inlineStr">
        <is>
          <t>3.1</t>
        </is>
      </c>
      <c r="C998" s="16" t="inlineStr">
        <is>
          <t>3.1</t>
        </is>
      </c>
      <c r="D998" s="16" t="inlineStr">
        <is>
          <t>alrededor de A*</t>
        </is>
      </c>
      <c r="E998" s="16" t="inlineStr">
        <is>
          <t>KF-M03</t>
        </is>
      </c>
      <c r="F998" s="16" t="inlineStr">
        <is>
          <t>KF-M03</t>
        </is>
      </c>
      <c r="G998" s="16" t="inlineStr">
        <is>
          <t>B06</t>
        </is>
      </c>
      <c r="H998" s="16" t="inlineStr">
        <is>
          <t>malla</t>
        </is>
      </c>
      <c r="I998" s="16" t="inlineStr">
        <is>
          <t>KALINA</t>
        </is>
      </c>
      <c r="J998" s="16" t="inlineStr">
        <is>
          <t>KALINA</t>
        </is>
      </c>
      <c r="K998" s="16" t="b">
        <v>1</v>
      </c>
      <c r="L998" s="16" t="b">
        <v>1</v>
      </c>
      <c r="M998" s="16" t="b">
        <v>0</v>
      </c>
      <c r="N998" s="16" t="b">
        <v>0</v>
      </c>
      <c r="O998" s="16" t="n">
        <v>403</v>
      </c>
      <c r="P998" s="16" t="n">
        <v>300.032917</v>
      </c>
      <c r="Q998" s="16" t="n">
        <v>3000</v>
      </c>
      <c r="R998" s="16" t="n">
        <v>563.6363636363637</v>
      </c>
      <c r="S998" s="16" t="n">
        <v>0.5</v>
      </c>
      <c r="T998" s="16" t="n">
        <v>0.8321428571428571</v>
      </c>
      <c r="U998" s="16" t="n">
        <v>0.75</v>
      </c>
      <c r="V998" s="16" t="n">
        <v>0.85</v>
      </c>
      <c r="W998" s="16" t="n">
        <v>0.75</v>
      </c>
      <c r="X998" s="16" t="n">
        <v>0.8</v>
      </c>
      <c r="Y998" s="16" t="n"/>
      <c r="Z998" s="16" t="n">
        <v>8.27757092101935</v>
      </c>
      <c r="AA998" s="16" t="n">
        <v>25.31321432495384</v>
      </c>
      <c r="AB998" s="16" t="n">
        <v>2436.363636363636</v>
      </c>
      <c r="AC998" s="16" t="n">
        <v>5.322580645161289</v>
      </c>
      <c r="AD998" s="16" t="n"/>
      <c r="AE998" s="16" t="inlineStr">
        <is>
          <t>eta_t</t>
        </is>
      </c>
    </row>
    <row r="999">
      <c r="A999" s="16" t="inlineStr">
        <is>
          <t>KF-M03-0098</t>
        </is>
      </c>
      <c r="B999" s="16" t="inlineStr">
        <is>
          <t>3.1</t>
        </is>
      </c>
      <c r="C999" s="16" t="inlineStr">
        <is>
          <t>3.1</t>
        </is>
      </c>
      <c r="D999" s="16" t="inlineStr">
        <is>
          <t>alrededor de A*</t>
        </is>
      </c>
      <c r="E999" s="16" t="inlineStr">
        <is>
          <t>KF-M03</t>
        </is>
      </c>
      <c r="F999" s="16" t="inlineStr">
        <is>
          <t>KF-M03</t>
        </is>
      </c>
      <c r="G999" s="16" t="inlineStr">
        <is>
          <t>B06</t>
        </is>
      </c>
      <c r="H999" s="16" t="inlineStr">
        <is>
          <t>malla</t>
        </is>
      </c>
      <c r="I999" s="16" t="inlineStr">
        <is>
          <t>KALINA</t>
        </is>
      </c>
      <c r="J999" s="16" t="inlineStr">
        <is>
          <t>KALINA</t>
        </is>
      </c>
      <c r="K999" s="16" t="b">
        <v>1</v>
      </c>
      <c r="L999" s="16" t="b">
        <v>1</v>
      </c>
      <c r="M999" s="16" t="b">
        <v>0</v>
      </c>
      <c r="N999" s="16" t="b">
        <v>0</v>
      </c>
      <c r="O999" s="16" t="n">
        <v>403</v>
      </c>
      <c r="P999" s="16" t="n">
        <v>300.032917</v>
      </c>
      <c r="Q999" s="16" t="n">
        <v>3000</v>
      </c>
      <c r="R999" s="16" t="n">
        <v>563.6363636363637</v>
      </c>
      <c r="S999" s="16" t="n">
        <v>0.5</v>
      </c>
      <c r="T999" s="16" t="n">
        <v>0.8714285714285714</v>
      </c>
      <c r="U999" s="16" t="n">
        <v>0.75</v>
      </c>
      <c r="V999" s="16" t="n">
        <v>0.85</v>
      </c>
      <c r="W999" s="16" t="n">
        <v>0.75</v>
      </c>
      <c r="X999" s="16" t="n">
        <v>0.8</v>
      </c>
      <c r="Y999" s="16" t="n"/>
      <c r="Z999" s="16" t="n">
        <v>8.726976964647172</v>
      </c>
      <c r="AA999" s="16" t="n">
        <v>26.69622521563681</v>
      </c>
      <c r="AB999" s="16" t="n">
        <v>2436.363636363636</v>
      </c>
      <c r="AC999" s="16" t="n">
        <v>5.322580645161289</v>
      </c>
      <c r="AD999" s="16" t="n"/>
      <c r="AE999" s="16" t="inlineStr">
        <is>
          <t>eta_t</t>
        </is>
      </c>
    </row>
    <row r="1000">
      <c r="A1000" s="16" t="inlineStr">
        <is>
          <t>KF-M03-0099</t>
        </is>
      </c>
      <c r="B1000" s="16" t="inlineStr">
        <is>
          <t>3.1</t>
        </is>
      </c>
      <c r="C1000" s="16" t="inlineStr">
        <is>
          <t>3.1</t>
        </is>
      </c>
      <c r="D1000" s="16" t="inlineStr">
        <is>
          <t>alrededor de A*</t>
        </is>
      </c>
      <c r="E1000" s="16" t="inlineStr">
        <is>
          <t>KF-M03</t>
        </is>
      </c>
      <c r="F1000" s="16" t="inlineStr">
        <is>
          <t>KF-M03</t>
        </is>
      </c>
      <c r="G1000" s="16" t="inlineStr">
        <is>
          <t>B06</t>
        </is>
      </c>
      <c r="H1000" s="16" t="inlineStr">
        <is>
          <t>malla</t>
        </is>
      </c>
      <c r="I1000" s="16" t="inlineStr">
        <is>
          <t>KALINA</t>
        </is>
      </c>
      <c r="J1000" s="16" t="inlineStr">
        <is>
          <t>KALINA</t>
        </is>
      </c>
      <c r="K1000" s="16" t="b">
        <v>1</v>
      </c>
      <c r="L1000" s="16" t="b">
        <v>1</v>
      </c>
      <c r="M1000" s="16" t="b">
        <v>0</v>
      </c>
      <c r="N1000" s="16" t="b">
        <v>0</v>
      </c>
      <c r="O1000" s="16" t="n">
        <v>403</v>
      </c>
      <c r="P1000" s="16" t="n">
        <v>300.032917</v>
      </c>
      <c r="Q1000" s="16" t="n">
        <v>3000</v>
      </c>
      <c r="R1000" s="16" t="n">
        <v>563.6363636363637</v>
      </c>
      <c r="S1000" s="16" t="n">
        <v>0.5</v>
      </c>
      <c r="T1000" s="16" t="n">
        <v>0.9107142857142856</v>
      </c>
      <c r="U1000" s="16" t="n">
        <v>0.75</v>
      </c>
      <c r="V1000" s="16" t="n">
        <v>0.85</v>
      </c>
      <c r="W1000" s="16" t="n">
        <v>0.75</v>
      </c>
      <c r="X1000" s="16" t="n">
        <v>0.8</v>
      </c>
      <c r="Y1000" s="16" t="n"/>
      <c r="Z1000" s="16" t="n">
        <v>9.176021304402679</v>
      </c>
      <c r="AA1000" s="16" t="n">
        <v>28.079024180318</v>
      </c>
      <c r="AB1000" s="16" t="n">
        <v>2436.363636363636</v>
      </c>
      <c r="AC1000" s="16" t="n">
        <v>5.322580645161289</v>
      </c>
      <c r="AD1000" s="16" t="n"/>
      <c r="AE1000" s="16" t="inlineStr">
        <is>
          <t>eta_t</t>
        </is>
      </c>
    </row>
    <row r="1001">
      <c r="A1001" s="16" t="inlineStr">
        <is>
          <t>KF-M03-0100</t>
        </is>
      </c>
      <c r="B1001" s="16" t="inlineStr">
        <is>
          <t>3.1</t>
        </is>
      </c>
      <c r="C1001" s="16" t="inlineStr">
        <is>
          <t>3.1</t>
        </is>
      </c>
      <c r="D1001" s="16" t="inlineStr">
        <is>
          <t>alrededor de A*</t>
        </is>
      </c>
      <c r="E1001" s="16" t="inlineStr">
        <is>
          <t>KF-M03</t>
        </is>
      </c>
      <c r="F1001" s="16" t="inlineStr">
        <is>
          <t>KF-M03</t>
        </is>
      </c>
      <c r="G1001" s="16" t="inlineStr">
        <is>
          <t>B06</t>
        </is>
      </c>
      <c r="H1001" s="16" t="inlineStr">
        <is>
          <t>vecino</t>
        </is>
      </c>
      <c r="I1001" s="16" t="inlineStr">
        <is>
          <t>KALINA</t>
        </is>
      </c>
      <c r="J1001" s="16" t="inlineStr">
        <is>
          <t>KALINA</t>
        </is>
      </c>
      <c r="K1001" s="16" t="b">
        <v>1</v>
      </c>
      <c r="L1001" s="16" t="b">
        <v>1</v>
      </c>
      <c r="M1001" s="16" t="b">
        <v>0</v>
      </c>
      <c r="N1001" s="16" t="b">
        <v>0</v>
      </c>
      <c r="O1001" s="16" t="n">
        <v>403</v>
      </c>
      <c r="P1001" s="16" t="n">
        <v>300.032917</v>
      </c>
      <c r="Q1001" s="16" t="n">
        <v>3000</v>
      </c>
      <c r="R1001" s="16" t="n">
        <v>563.6363636363637</v>
      </c>
      <c r="S1001" s="16" t="n">
        <v>0.5</v>
      </c>
      <c r="T1001" s="16" t="n">
        <v>0.8445</v>
      </c>
      <c r="U1001" s="16" t="n">
        <v>0.75</v>
      </c>
      <c r="V1001" s="16" t="n">
        <v>0.85</v>
      </c>
      <c r="W1001" s="16" t="n">
        <v>0.75</v>
      </c>
      <c r="X1001" s="16" t="n">
        <v>0.8</v>
      </c>
      <c r="Y1001" s="16" t="n"/>
      <c r="Z1001" s="16" t="n">
        <v>8.418968371579739</v>
      </c>
      <c r="AA1001" s="16" t="n">
        <v>25.74825633857399</v>
      </c>
      <c r="AB1001" s="16" t="n">
        <v>2436.363636363636</v>
      </c>
      <c r="AC1001" s="16" t="n">
        <v>5.322580645161289</v>
      </c>
      <c r="AD1001" s="16" t="n"/>
      <c r="AE1001" s="16" t="inlineStr">
        <is>
          <t>eta_t</t>
        </is>
      </c>
    </row>
    <row r="1002">
      <c r="A1002" s="16" t="inlineStr">
        <is>
          <t>KF-M03-0101</t>
        </is>
      </c>
      <c r="B1002" s="16" t="inlineStr">
        <is>
          <t>3.1</t>
        </is>
      </c>
      <c r="C1002" s="16" t="inlineStr">
        <is>
          <t>3.1</t>
        </is>
      </c>
      <c r="D1002" s="16" t="inlineStr">
        <is>
          <t>alrededor de A*</t>
        </is>
      </c>
      <c r="E1002" s="16" t="inlineStr">
        <is>
          <t>KF-M03</t>
        </is>
      </c>
      <c r="F1002" s="16" t="inlineStr">
        <is>
          <t>KF-M03</t>
        </is>
      </c>
      <c r="G1002" s="16" t="inlineStr">
        <is>
          <t>B06</t>
        </is>
      </c>
      <c r="H1002" s="16" t="inlineStr">
        <is>
          <t>malla</t>
        </is>
      </c>
      <c r="I1002" s="16" t="inlineStr">
        <is>
          <t>KALINA</t>
        </is>
      </c>
      <c r="J1002" s="16" t="inlineStr">
        <is>
          <t>KALINA</t>
        </is>
      </c>
      <c r="K1002" s="16" t="b">
        <v>1</v>
      </c>
      <c r="L1002" s="16" t="b">
        <v>1</v>
      </c>
      <c r="M1002" s="16" t="b">
        <v>0</v>
      </c>
      <c r="N1002" s="16" t="b">
        <v>0</v>
      </c>
      <c r="O1002" s="16" t="n">
        <v>403</v>
      </c>
      <c r="P1002" s="16" t="n">
        <v>300.032917</v>
      </c>
      <c r="Q1002" s="16" t="n">
        <v>3000</v>
      </c>
      <c r="R1002" s="16" t="n">
        <v>563.6363636363637</v>
      </c>
      <c r="S1002" s="16" t="n">
        <v>0.5</v>
      </c>
      <c r="T1002" s="16" t="n">
        <v>0.95</v>
      </c>
      <c r="U1002" s="16" t="n">
        <v>0.75</v>
      </c>
      <c r="V1002" s="16" t="n">
        <v>0.85</v>
      </c>
      <c r="W1002" s="16" t="n">
        <v>0.75</v>
      </c>
      <c r="X1002" s="16" t="n">
        <v>0.8</v>
      </c>
      <c r="Y1002" s="16" t="n"/>
      <c r="Z1002" s="16" t="n">
        <v>9.62470405138532</v>
      </c>
      <c r="AA1002" s="16" t="n">
        <v>29.46161019170828</v>
      </c>
      <c r="AB1002" s="16" t="n">
        <v>2436.363636363636</v>
      </c>
      <c r="AC1002" s="16" t="n">
        <v>5.322580645161289</v>
      </c>
      <c r="AD1002" s="16" t="n"/>
      <c r="AE1002" s="16" t="inlineStr">
        <is>
          <t>eta_t</t>
        </is>
      </c>
    </row>
    <row r="1003">
      <c r="A1003" s="16" t="inlineStr">
        <is>
          <t>KF-M03-0102</t>
        </is>
      </c>
      <c r="B1003" s="16" t="inlineStr">
        <is>
          <t>3.1</t>
        </is>
      </c>
      <c r="C1003" s="16" t="inlineStr">
        <is>
          <t>3.1</t>
        </is>
      </c>
      <c r="D1003" s="16" t="inlineStr">
        <is>
          <t>alrededor de A*</t>
        </is>
      </c>
      <c r="E1003" s="16" t="inlineStr">
        <is>
          <t>KF-M03</t>
        </is>
      </c>
      <c r="F1003" s="16" t="inlineStr">
        <is>
          <t>KF-M03</t>
        </is>
      </c>
      <c r="G1003" s="16" t="inlineStr">
        <is>
          <t>B06</t>
        </is>
      </c>
      <c r="H1003" s="16" t="inlineStr">
        <is>
          <t>vecino</t>
        </is>
      </c>
      <c r="I1003" s="16" t="inlineStr">
        <is>
          <t>KALINA</t>
        </is>
      </c>
      <c r="J1003" s="16" t="inlineStr">
        <is>
          <t>KALINA</t>
        </is>
      </c>
      <c r="K1003" s="16" t="b">
        <v>1</v>
      </c>
      <c r="L1003" s="16" t="b">
        <v>1</v>
      </c>
      <c r="M1003" s="16" t="b">
        <v>0</v>
      </c>
      <c r="N1003" s="16" t="b">
        <v>0</v>
      </c>
      <c r="O1003" s="16" t="n">
        <v>403</v>
      </c>
      <c r="P1003" s="16" t="n">
        <v>300.032917</v>
      </c>
      <c r="Q1003" s="16" t="n">
        <v>3000</v>
      </c>
      <c r="R1003" s="16" t="n">
        <v>563.6363636363637</v>
      </c>
      <c r="S1003" s="16" t="n">
        <v>0.5</v>
      </c>
      <c r="T1003" s="16" t="n">
        <v>0.8554999999999999</v>
      </c>
      <c r="U1003" s="16" t="n">
        <v>0.75</v>
      </c>
      <c r="V1003" s="16" t="n">
        <v>0.85</v>
      </c>
      <c r="W1003" s="16" t="n">
        <v>0.75</v>
      </c>
      <c r="X1003" s="16" t="n">
        <v>0.8</v>
      </c>
      <c r="Y1003" s="16" t="n"/>
      <c r="Z1003" s="16" t="n">
        <v>8.544806765753931</v>
      </c>
      <c r="AA1003" s="16" t="n">
        <v>26.13550240097425</v>
      </c>
      <c r="AB1003" s="16" t="n">
        <v>2436.363636363636</v>
      </c>
      <c r="AC1003" s="16" t="n">
        <v>5.322580645161289</v>
      </c>
      <c r="AD1003" s="16" t="n"/>
      <c r="AE1003" s="16" t="inlineStr">
        <is>
          <t>eta_t</t>
        </is>
      </c>
    </row>
    <row r="1004">
      <c r="A1004" s="16" t="inlineStr">
        <is>
          <t>KF-M03-0103</t>
        </is>
      </c>
      <c r="B1004" s="16" t="inlineStr">
        <is>
          <t>3.1</t>
        </is>
      </c>
      <c r="C1004" s="16" t="inlineStr">
        <is>
          <t>3.1</t>
        </is>
      </c>
      <c r="D1004" s="16" t="inlineStr">
        <is>
          <t>alrededor de A*</t>
        </is>
      </c>
      <c r="E1004" s="16" t="inlineStr">
        <is>
          <t>KF-M03</t>
        </is>
      </c>
      <c r="F1004" s="16" t="inlineStr">
        <is>
          <t>KF-M03</t>
        </is>
      </c>
      <c r="G1004" s="16" t="inlineStr">
        <is>
          <t>B06</t>
        </is>
      </c>
      <c r="H1004" s="16" t="inlineStr">
        <is>
          <t>malla</t>
        </is>
      </c>
      <c r="I1004" s="16" t="inlineStr">
        <is>
          <t>KALINA</t>
        </is>
      </c>
      <c r="J1004" s="16" t="inlineStr">
        <is>
          <t>KALINA</t>
        </is>
      </c>
      <c r="K1004" s="16" t="b">
        <v>1</v>
      </c>
      <c r="L1004" s="16" t="b">
        <v>1</v>
      </c>
      <c r="M1004" s="16" t="b">
        <v>0</v>
      </c>
      <c r="N1004" s="16" t="b">
        <v>0</v>
      </c>
      <c r="O1004" s="16" t="n">
        <v>403</v>
      </c>
      <c r="P1004" s="16" t="n">
        <v>300.032917</v>
      </c>
      <c r="Q1004" s="16" t="n">
        <v>3000</v>
      </c>
      <c r="R1004" s="16" t="n">
        <v>563.6363636363637</v>
      </c>
      <c r="S1004" s="16" t="n">
        <v>0.5</v>
      </c>
      <c r="T1004" s="16" t="n">
        <v>0.85</v>
      </c>
      <c r="U1004" s="16" t="n">
        <v>0.4</v>
      </c>
      <c r="V1004" s="16" t="n">
        <v>0.85</v>
      </c>
      <c r="W1004" s="16" t="n">
        <v>0.75</v>
      </c>
      <c r="X1004" s="16" t="n">
        <v>0.8</v>
      </c>
      <c r="Y1004" s="16" t="n"/>
      <c r="Z1004" s="16" t="n">
        <v>7.37033739451995</v>
      </c>
      <c r="AA1004" s="16" t="n">
        <v>22.44879866154887</v>
      </c>
      <c r="AB1004" s="16" t="n">
        <v>2436.363636363636</v>
      </c>
      <c r="AC1004" s="16" t="n">
        <v>5.322580645161289</v>
      </c>
      <c r="AD1004" s="16" t="n"/>
      <c r="AE1004" s="16" t="inlineStr">
        <is>
          <t>eta_p</t>
        </is>
      </c>
    </row>
    <row r="1005">
      <c r="A1005" s="16" t="inlineStr">
        <is>
          <t>KF-M03-0104</t>
        </is>
      </c>
      <c r="B1005" s="16" t="inlineStr">
        <is>
          <t>3.1</t>
        </is>
      </c>
      <c r="C1005" s="16" t="inlineStr">
        <is>
          <t>3.1</t>
        </is>
      </c>
      <c r="D1005" s="16" t="inlineStr">
        <is>
          <t>alrededor de A*</t>
        </is>
      </c>
      <c r="E1005" s="16" t="inlineStr">
        <is>
          <t>KF-M03</t>
        </is>
      </c>
      <c r="F1005" s="16" t="inlineStr">
        <is>
          <t>KF-M03</t>
        </is>
      </c>
      <c r="G1005" s="16" t="inlineStr">
        <is>
          <t>B06</t>
        </is>
      </c>
      <c r="H1005" s="16" t="inlineStr">
        <is>
          <t>malla</t>
        </is>
      </c>
      <c r="I1005" s="16" t="inlineStr">
        <is>
          <t>KALINA</t>
        </is>
      </c>
      <c r="J1005" s="16" t="inlineStr">
        <is>
          <t>KALINA</t>
        </is>
      </c>
      <c r="K1005" s="16" t="b">
        <v>1</v>
      </c>
      <c r="L1005" s="16" t="b">
        <v>1</v>
      </c>
      <c r="M1005" s="16" t="b">
        <v>0</v>
      </c>
      <c r="N1005" s="16" t="b">
        <v>0</v>
      </c>
      <c r="O1005" s="16" t="n">
        <v>403</v>
      </c>
      <c r="P1005" s="16" t="n">
        <v>300.032917</v>
      </c>
      <c r="Q1005" s="16" t="n">
        <v>3000</v>
      </c>
      <c r="R1005" s="16" t="n">
        <v>563.6363636363637</v>
      </c>
      <c r="S1005" s="16" t="n">
        <v>0.5</v>
      </c>
      <c r="T1005" s="16" t="n">
        <v>0.85</v>
      </c>
      <c r="U1005" s="16" t="n">
        <v>0.4392857142857143</v>
      </c>
      <c r="V1005" s="16" t="n">
        <v>0.85</v>
      </c>
      <c r="W1005" s="16" t="n">
        <v>0.75</v>
      </c>
      <c r="X1005" s="16" t="n">
        <v>0.8</v>
      </c>
      <c r="Y1005" s="16" t="n"/>
      <c r="Z1005" s="16" t="n">
        <v>7.584093282183669</v>
      </c>
      <c r="AA1005" s="16" t="n">
        <v>23.11828495568127</v>
      </c>
      <c r="AB1005" s="16" t="n">
        <v>2436.363636363636</v>
      </c>
      <c r="AC1005" s="16" t="n">
        <v>5.322580645161289</v>
      </c>
      <c r="AD1005" s="16" t="n"/>
      <c r="AE1005" s="16" t="inlineStr">
        <is>
          <t>eta_p</t>
        </is>
      </c>
    </row>
    <row r="1006">
      <c r="A1006" s="16" t="inlineStr">
        <is>
          <t>KF-M03-0105</t>
        </is>
      </c>
      <c r="B1006" s="16" t="inlineStr">
        <is>
          <t>3.1</t>
        </is>
      </c>
      <c r="C1006" s="16" t="inlineStr">
        <is>
          <t>3.1</t>
        </is>
      </c>
      <c r="D1006" s="16" t="inlineStr">
        <is>
          <t>alrededor de A*</t>
        </is>
      </c>
      <c r="E1006" s="16" t="inlineStr">
        <is>
          <t>KF-M03</t>
        </is>
      </c>
      <c r="F1006" s="16" t="inlineStr">
        <is>
          <t>KF-M03</t>
        </is>
      </c>
      <c r="G1006" s="16" t="inlineStr">
        <is>
          <t>B06</t>
        </is>
      </c>
      <c r="H1006" s="16" t="inlineStr">
        <is>
          <t>malla</t>
        </is>
      </c>
      <c r="I1006" s="16" t="inlineStr">
        <is>
          <t>KALINA</t>
        </is>
      </c>
      <c r="J1006" s="16" t="inlineStr">
        <is>
          <t>KALINA</t>
        </is>
      </c>
      <c r="K1006" s="16" t="b">
        <v>1</v>
      </c>
      <c r="L1006" s="16" t="b">
        <v>1</v>
      </c>
      <c r="M1006" s="16" t="b">
        <v>0</v>
      </c>
      <c r="N1006" s="16" t="b">
        <v>0</v>
      </c>
      <c r="O1006" s="16" t="n">
        <v>403</v>
      </c>
      <c r="P1006" s="16" t="n">
        <v>300.032917</v>
      </c>
      <c r="Q1006" s="16" t="n">
        <v>3000</v>
      </c>
      <c r="R1006" s="16" t="n">
        <v>563.6363636363637</v>
      </c>
      <c r="S1006" s="16" t="n">
        <v>0.5</v>
      </c>
      <c r="T1006" s="16" t="n">
        <v>0.85</v>
      </c>
      <c r="U1006" s="16" t="n">
        <v>0.4785714285714286</v>
      </c>
      <c r="V1006" s="16" t="n">
        <v>0.85</v>
      </c>
      <c r="W1006" s="16" t="n">
        <v>0.75</v>
      </c>
      <c r="X1006" s="16" t="n">
        <v>0.8</v>
      </c>
      <c r="Y1006" s="16" t="n"/>
      <c r="Z1006" s="16" t="n">
        <v>7.76248406841679</v>
      </c>
      <c r="AA1006" s="16" t="n">
        <v>23.67782406894001</v>
      </c>
      <c r="AB1006" s="16" t="n">
        <v>2436.363636363636</v>
      </c>
      <c r="AC1006" s="16" t="n">
        <v>5.322580645161289</v>
      </c>
      <c r="AD1006" s="16" t="n"/>
      <c r="AE1006" s="16" t="inlineStr">
        <is>
          <t>eta_p</t>
        </is>
      </c>
    </row>
    <row r="1007">
      <c r="A1007" s="16" t="inlineStr">
        <is>
          <t>KF-M03-0106</t>
        </is>
      </c>
      <c r="B1007" s="16" t="inlineStr">
        <is>
          <t>3.1</t>
        </is>
      </c>
      <c r="C1007" s="16" t="inlineStr">
        <is>
          <t>3.1</t>
        </is>
      </c>
      <c r="D1007" s="16" t="inlineStr">
        <is>
          <t>alrededor de A*</t>
        </is>
      </c>
      <c r="E1007" s="16" t="inlineStr">
        <is>
          <t>KF-M03</t>
        </is>
      </c>
      <c r="F1007" s="16" t="inlineStr">
        <is>
          <t>KF-M03</t>
        </is>
      </c>
      <c r="G1007" s="16" t="inlineStr">
        <is>
          <t>B06</t>
        </is>
      </c>
      <c r="H1007" s="16" t="inlineStr">
        <is>
          <t>malla</t>
        </is>
      </c>
      <c r="I1007" s="16" t="inlineStr">
        <is>
          <t>KALINA</t>
        </is>
      </c>
      <c r="J1007" s="16" t="inlineStr">
        <is>
          <t>KALINA</t>
        </is>
      </c>
      <c r="K1007" s="16" t="b">
        <v>1</v>
      </c>
      <c r="L1007" s="16" t="b">
        <v>1</v>
      </c>
      <c r="M1007" s="16" t="b">
        <v>0</v>
      </c>
      <c r="N1007" s="16" t="b">
        <v>0</v>
      </c>
      <c r="O1007" s="16" t="n">
        <v>403</v>
      </c>
      <c r="P1007" s="16" t="n">
        <v>300.032917</v>
      </c>
      <c r="Q1007" s="16" t="n">
        <v>3000</v>
      </c>
      <c r="R1007" s="16" t="n">
        <v>563.6363636363637</v>
      </c>
      <c r="S1007" s="16" t="n">
        <v>0.5</v>
      </c>
      <c r="T1007" s="16" t="n">
        <v>0.85</v>
      </c>
      <c r="U1007" s="16" t="n">
        <v>0.5178571428571429</v>
      </c>
      <c r="V1007" s="16" t="n">
        <v>0.85</v>
      </c>
      <c r="W1007" s="16" t="n">
        <v>0.75</v>
      </c>
      <c r="X1007" s="16" t="n">
        <v>0.8</v>
      </c>
      <c r="Y1007" s="16" t="n"/>
      <c r="Z1007" s="16" t="n">
        <v>7.913616649830931</v>
      </c>
      <c r="AA1007" s="16" t="n">
        <v>24.15244791209221</v>
      </c>
      <c r="AB1007" s="16" t="n">
        <v>2436.363636363636</v>
      </c>
      <c r="AC1007" s="16" t="n">
        <v>5.322580645161289</v>
      </c>
      <c r="AD1007" s="16" t="n"/>
      <c r="AE1007" s="16" t="inlineStr">
        <is>
          <t>eta_p</t>
        </is>
      </c>
    </row>
    <row r="1008">
      <c r="A1008" s="16" t="inlineStr">
        <is>
          <t>KF-M03-0107</t>
        </is>
      </c>
      <c r="B1008" s="16" t="inlineStr">
        <is>
          <t>3.1</t>
        </is>
      </c>
      <c r="C1008" s="16" t="inlineStr">
        <is>
          <t>3.1</t>
        </is>
      </c>
      <c r="D1008" s="16" t="inlineStr">
        <is>
          <t>alrededor de A*</t>
        </is>
      </c>
      <c r="E1008" s="16" t="inlineStr">
        <is>
          <t>KF-M03</t>
        </is>
      </c>
      <c r="F1008" s="16" t="inlineStr">
        <is>
          <t>KF-M03</t>
        </is>
      </c>
      <c r="G1008" s="16" t="inlineStr">
        <is>
          <t>B06</t>
        </is>
      </c>
      <c r="H1008" s="16" t="inlineStr">
        <is>
          <t>malla</t>
        </is>
      </c>
      <c r="I1008" s="16" t="inlineStr">
        <is>
          <t>KALINA</t>
        </is>
      </c>
      <c r="J1008" s="16" t="inlineStr">
        <is>
          <t>KALINA</t>
        </is>
      </c>
      <c r="K1008" s="16" t="b">
        <v>1</v>
      </c>
      <c r="L1008" s="16" t="b">
        <v>1</v>
      </c>
      <c r="M1008" s="16" t="b">
        <v>0</v>
      </c>
      <c r="N1008" s="16" t="b">
        <v>0</v>
      </c>
      <c r="O1008" s="16" t="n">
        <v>403</v>
      </c>
      <c r="P1008" s="16" t="n">
        <v>300.032917</v>
      </c>
      <c r="Q1008" s="16" t="n">
        <v>3000</v>
      </c>
      <c r="R1008" s="16" t="n">
        <v>563.6363636363637</v>
      </c>
      <c r="S1008" s="16" t="n">
        <v>0.5</v>
      </c>
      <c r="T1008" s="16" t="n">
        <v>0.85</v>
      </c>
      <c r="U1008" s="16" t="n">
        <v>0.5571428571428572</v>
      </c>
      <c r="V1008" s="16" t="n">
        <v>0.85</v>
      </c>
      <c r="W1008" s="16" t="n">
        <v>0.75</v>
      </c>
      <c r="X1008" s="16" t="n">
        <v>0.8</v>
      </c>
      <c r="Y1008" s="16" t="n"/>
      <c r="Z1008" s="16" t="n">
        <v>8.043295132575979</v>
      </c>
      <c r="AA1008" s="16" t="n">
        <v>24.56012298806583</v>
      </c>
      <c r="AB1008" s="16" t="n">
        <v>2436.363636363636</v>
      </c>
      <c r="AC1008" s="16" t="n">
        <v>5.322580645161289</v>
      </c>
      <c r="AD1008" s="16" t="n"/>
      <c r="AE1008" s="16" t="inlineStr">
        <is>
          <t>eta_p</t>
        </is>
      </c>
    </row>
    <row r="1009">
      <c r="A1009" s="16" t="inlineStr">
        <is>
          <t>KF-M03-0108</t>
        </is>
      </c>
      <c r="B1009" s="16" t="inlineStr">
        <is>
          <t>3.1</t>
        </is>
      </c>
      <c r="C1009" s="16" t="inlineStr">
        <is>
          <t>3.1</t>
        </is>
      </c>
      <c r="D1009" s="16" t="inlineStr">
        <is>
          <t>alrededor de A*</t>
        </is>
      </c>
      <c r="E1009" s="16" t="inlineStr">
        <is>
          <t>KF-M03</t>
        </is>
      </c>
      <c r="F1009" s="16" t="inlineStr">
        <is>
          <t>KF-M03</t>
        </is>
      </c>
      <c r="G1009" s="16" t="inlineStr">
        <is>
          <t>B06</t>
        </is>
      </c>
      <c r="H1009" s="16" t="inlineStr">
        <is>
          <t>malla</t>
        </is>
      </c>
      <c r="I1009" s="16" t="inlineStr">
        <is>
          <t>KALINA</t>
        </is>
      </c>
      <c r="J1009" s="16" t="inlineStr">
        <is>
          <t>KALINA</t>
        </is>
      </c>
      <c r="K1009" s="16" t="b">
        <v>1</v>
      </c>
      <c r="L1009" s="16" t="b">
        <v>1</v>
      </c>
      <c r="M1009" s="16" t="b">
        <v>0</v>
      </c>
      <c r="N1009" s="16" t="b">
        <v>0</v>
      </c>
      <c r="O1009" s="16" t="n">
        <v>403</v>
      </c>
      <c r="P1009" s="16" t="n">
        <v>300.032917</v>
      </c>
      <c r="Q1009" s="16" t="n">
        <v>3000</v>
      </c>
      <c r="R1009" s="16" t="n">
        <v>563.6363636363637</v>
      </c>
      <c r="S1009" s="16" t="n">
        <v>0.5</v>
      </c>
      <c r="T1009" s="16" t="n">
        <v>0.85</v>
      </c>
      <c r="U1009" s="16" t="n">
        <v>0.5964285714285714</v>
      </c>
      <c r="V1009" s="16" t="n">
        <v>0.85</v>
      </c>
      <c r="W1009" s="16" t="n">
        <v>0.75</v>
      </c>
      <c r="X1009" s="16" t="n">
        <v>0.8</v>
      </c>
      <c r="Y1009" s="16" t="n"/>
      <c r="Z1009" s="16" t="n">
        <v>8.155784612503069</v>
      </c>
      <c r="AA1009" s="16" t="n">
        <v>24.91407999854049</v>
      </c>
      <c r="AB1009" s="16" t="n">
        <v>2436.363636363636</v>
      </c>
      <c r="AC1009" s="16" t="n">
        <v>5.322580645161289</v>
      </c>
      <c r="AD1009" s="16" t="n"/>
      <c r="AE1009" s="16" t="inlineStr">
        <is>
          <t>eta_p</t>
        </is>
      </c>
    </row>
    <row r="1010">
      <c r="A1010" s="16" t="inlineStr">
        <is>
          <t>KF-M03-0109</t>
        </is>
      </c>
      <c r="B1010" s="16" t="inlineStr">
        <is>
          <t>3.1</t>
        </is>
      </c>
      <c r="C1010" s="16" t="inlineStr">
        <is>
          <t>3.1</t>
        </is>
      </c>
      <c r="D1010" s="16" t="inlineStr">
        <is>
          <t>alrededor de A*</t>
        </is>
      </c>
      <c r="E1010" s="16" t="inlineStr">
        <is>
          <t>KF-M03</t>
        </is>
      </c>
      <c r="F1010" s="16" t="inlineStr">
        <is>
          <t>KF-M03</t>
        </is>
      </c>
      <c r="G1010" s="16" t="inlineStr">
        <is>
          <t>B06</t>
        </is>
      </c>
      <c r="H1010" s="16" t="inlineStr">
        <is>
          <t>malla</t>
        </is>
      </c>
      <c r="I1010" s="16" t="inlineStr">
        <is>
          <t>KALINA</t>
        </is>
      </c>
      <c r="J1010" s="16" t="inlineStr">
        <is>
          <t>KALINA</t>
        </is>
      </c>
      <c r="K1010" s="16" t="b">
        <v>1</v>
      </c>
      <c r="L1010" s="16" t="b">
        <v>1</v>
      </c>
      <c r="M1010" s="16" t="b">
        <v>0</v>
      </c>
      <c r="N1010" s="16" t="b">
        <v>0</v>
      </c>
      <c r="O1010" s="16" t="n">
        <v>403</v>
      </c>
      <c r="P1010" s="16" t="n">
        <v>300.032917</v>
      </c>
      <c r="Q1010" s="16" t="n">
        <v>3000</v>
      </c>
      <c r="R1010" s="16" t="n">
        <v>563.6363636363637</v>
      </c>
      <c r="S1010" s="16" t="n">
        <v>0.5</v>
      </c>
      <c r="T1010" s="16" t="n">
        <v>0.85</v>
      </c>
      <c r="U1010" s="16" t="n">
        <v>0.6357142857142857</v>
      </c>
      <c r="V1010" s="16" t="n">
        <v>0.85</v>
      </c>
      <c r="W1010" s="16" t="n">
        <v>0.75</v>
      </c>
      <c r="X1010" s="16" t="n">
        <v>0.8</v>
      </c>
      <c r="Y1010" s="16" t="n"/>
      <c r="Z1010" s="16" t="n">
        <v>8.254291524622159</v>
      </c>
      <c r="AA1010" s="16" t="n">
        <v>25.22428393310418</v>
      </c>
      <c r="AB1010" s="16" t="n">
        <v>2436.363636363636</v>
      </c>
      <c r="AC1010" s="16" t="n">
        <v>5.322580645161289</v>
      </c>
      <c r="AD1010" s="16" t="n"/>
      <c r="AE1010" s="16" t="inlineStr">
        <is>
          <t>eta_p</t>
        </is>
      </c>
    </row>
    <row r="1011">
      <c r="A1011" s="16" t="inlineStr">
        <is>
          <t>KF-M03-0110</t>
        </is>
      </c>
      <c r="B1011" s="16" t="inlineStr">
        <is>
          <t>3.1</t>
        </is>
      </c>
      <c r="C1011" s="16" t="inlineStr">
        <is>
          <t>3.1</t>
        </is>
      </c>
      <c r="D1011" s="16" t="inlineStr">
        <is>
          <t>alrededor de A*</t>
        </is>
      </c>
      <c r="E1011" s="16" t="inlineStr">
        <is>
          <t>KF-M03</t>
        </is>
      </c>
      <c r="F1011" s="16" t="inlineStr">
        <is>
          <t>KF-M03</t>
        </is>
      </c>
      <c r="G1011" s="16" t="inlineStr">
        <is>
          <t>B06</t>
        </is>
      </c>
      <c r="H1011" s="16" t="inlineStr">
        <is>
          <t>malla</t>
        </is>
      </c>
      <c r="I1011" s="16" t="inlineStr">
        <is>
          <t>KALINA</t>
        </is>
      </c>
      <c r="J1011" s="16" t="inlineStr">
        <is>
          <t>KALINA</t>
        </is>
      </c>
      <c r="K1011" s="16" t="b">
        <v>1</v>
      </c>
      <c r="L1011" s="16" t="b">
        <v>1</v>
      </c>
      <c r="M1011" s="16" t="b">
        <v>0</v>
      </c>
      <c r="N1011" s="16" t="b">
        <v>0</v>
      </c>
      <c r="O1011" s="16" t="n">
        <v>403</v>
      </c>
      <c r="P1011" s="16" t="n">
        <v>300.032917</v>
      </c>
      <c r="Q1011" s="16" t="n">
        <v>3000</v>
      </c>
      <c r="R1011" s="16" t="n">
        <v>563.6363636363637</v>
      </c>
      <c r="S1011" s="16" t="n">
        <v>0.5</v>
      </c>
      <c r="T1011" s="16" t="n">
        <v>0.85</v>
      </c>
      <c r="U1011" s="16" t="n">
        <v>0.675</v>
      </c>
      <c r="V1011" s="16" t="n">
        <v>0.85</v>
      </c>
      <c r="W1011" s="16" t="n">
        <v>0.75</v>
      </c>
      <c r="X1011" s="16" t="n">
        <v>0.8</v>
      </c>
      <c r="Y1011" s="16" t="n"/>
      <c r="Z1011" s="16" t="n">
        <v>8.34126912035506</v>
      </c>
      <c r="AA1011" s="16" t="n">
        <v>25.49837111469379</v>
      </c>
      <c r="AB1011" s="16" t="n">
        <v>2436.363636363636</v>
      </c>
      <c r="AC1011" s="16" t="n">
        <v>5.322580645161289</v>
      </c>
      <c r="AD1011" s="16" t="n"/>
      <c r="AE1011" s="16" t="inlineStr">
        <is>
          <t>eta_p</t>
        </is>
      </c>
    </row>
    <row r="1012">
      <c r="A1012" s="16" t="inlineStr">
        <is>
          <t>KF-M03-0111</t>
        </is>
      </c>
      <c r="B1012" s="16" t="inlineStr">
        <is>
          <t>3.1</t>
        </is>
      </c>
      <c r="C1012" s="16" t="inlineStr">
        <is>
          <t>3.1</t>
        </is>
      </c>
      <c r="D1012" s="16" t="inlineStr">
        <is>
          <t>alrededor de A*</t>
        </is>
      </c>
      <c r="E1012" s="16" t="inlineStr">
        <is>
          <t>KF-M03</t>
        </is>
      </c>
      <c r="F1012" s="16" t="inlineStr">
        <is>
          <t>KF-M03</t>
        </is>
      </c>
      <c r="G1012" s="16" t="inlineStr">
        <is>
          <t>B06</t>
        </is>
      </c>
      <c r="H1012" s="16" t="inlineStr">
        <is>
          <t>malla</t>
        </is>
      </c>
      <c r="I1012" s="16" t="inlineStr">
        <is>
          <t>KALINA</t>
        </is>
      </c>
      <c r="J1012" s="16" t="inlineStr">
        <is>
          <t>KALINA</t>
        </is>
      </c>
      <c r="K1012" s="16" t="b">
        <v>1</v>
      </c>
      <c r="L1012" s="16" t="b">
        <v>1</v>
      </c>
      <c r="M1012" s="16" t="b">
        <v>0</v>
      </c>
      <c r="N1012" s="16" t="b">
        <v>0</v>
      </c>
      <c r="O1012" s="16" t="n">
        <v>403</v>
      </c>
      <c r="P1012" s="16" t="n">
        <v>300.032917</v>
      </c>
      <c r="Q1012" s="16" t="n">
        <v>3000</v>
      </c>
      <c r="R1012" s="16" t="n">
        <v>563.6363636363637</v>
      </c>
      <c r="S1012" s="16" t="n">
        <v>0.5</v>
      </c>
      <c r="T1012" s="16" t="n">
        <v>0.85</v>
      </c>
      <c r="U1012" s="16" t="n">
        <v>0.7142857142857142</v>
      </c>
      <c r="V1012" s="16" t="n">
        <v>0.85</v>
      </c>
      <c r="W1012" s="16" t="n">
        <v>0.75</v>
      </c>
      <c r="X1012" s="16" t="n">
        <v>0.8</v>
      </c>
      <c r="Y1012" s="16" t="n"/>
      <c r="Z1012" s="16" t="n">
        <v>8.4186301286119</v>
      </c>
      <c r="AA1012" s="16" t="n">
        <v>25.74230378624861</v>
      </c>
      <c r="AB1012" s="16" t="n">
        <v>2436.363636363636</v>
      </c>
      <c r="AC1012" s="16" t="n">
        <v>5.322580645161289</v>
      </c>
      <c r="AD1012" s="16" t="n"/>
      <c r="AE1012" s="16" t="inlineStr">
        <is>
          <t>eta_p</t>
        </is>
      </c>
    </row>
    <row r="1013">
      <c r="A1013" s="16" t="inlineStr">
        <is>
          <t>KF-M03-0112</t>
        </is>
      </c>
      <c r="B1013" s="16" t="inlineStr">
        <is>
          <t>3.1</t>
        </is>
      </c>
      <c r="C1013" s="16" t="inlineStr">
        <is>
          <t>3.1</t>
        </is>
      </c>
      <c r="D1013" s="16" t="inlineStr">
        <is>
          <t>alrededor de A*</t>
        </is>
      </c>
      <c r="E1013" s="16" t="inlineStr">
        <is>
          <t>KF-M03</t>
        </is>
      </c>
      <c r="F1013" s="16" t="inlineStr">
        <is>
          <t>KF-M03</t>
        </is>
      </c>
      <c r="G1013" s="16" t="inlineStr">
        <is>
          <t>B06</t>
        </is>
      </c>
      <c r="H1013" s="16" t="inlineStr">
        <is>
          <t>malla</t>
        </is>
      </c>
      <c r="I1013" s="16" t="inlineStr">
        <is>
          <t>KALINA</t>
        </is>
      </c>
      <c r="J1013" s="16" t="inlineStr">
        <is>
          <t>KALINA</t>
        </is>
      </c>
      <c r="K1013" s="16" t="b">
        <v>1</v>
      </c>
      <c r="L1013" s="16" t="b">
        <v>1</v>
      </c>
      <c r="M1013" s="16" t="b">
        <v>0</v>
      </c>
      <c r="N1013" s="16" t="b">
        <v>0</v>
      </c>
      <c r="O1013" s="16" t="n">
        <v>403</v>
      </c>
      <c r="P1013" s="16" t="n">
        <v>300.032917</v>
      </c>
      <c r="Q1013" s="16" t="n">
        <v>3000</v>
      </c>
      <c r="R1013" s="16" t="n">
        <v>563.6363636363637</v>
      </c>
      <c r="S1013" s="16" t="n">
        <v>0.5</v>
      </c>
      <c r="T1013" s="16" t="n">
        <v>0.85</v>
      </c>
      <c r="U1013" s="16" t="n">
        <v>0.7535714285714286</v>
      </c>
      <c r="V1013" s="16" t="n">
        <v>0.85</v>
      </c>
      <c r="W1013" s="16" t="n">
        <v>0.75</v>
      </c>
      <c r="X1013" s="16" t="n">
        <v>0.8</v>
      </c>
      <c r="Y1013" s="16" t="n"/>
      <c r="Z1013" s="16" t="n">
        <v>8.48788587311315</v>
      </c>
      <c r="AA1013" s="16" t="n">
        <v>25.96079878162418</v>
      </c>
      <c r="AB1013" s="16" t="n">
        <v>2436.363636363636</v>
      </c>
      <c r="AC1013" s="16" t="n">
        <v>5.322580645161289</v>
      </c>
      <c r="AD1013" s="16" t="n"/>
      <c r="AE1013" s="16" t="inlineStr">
        <is>
          <t>eta_p</t>
        </is>
      </c>
    </row>
    <row r="1014">
      <c r="A1014" s="16" t="inlineStr">
        <is>
          <t>KF-M03-0113</t>
        </is>
      </c>
      <c r="B1014" s="16" t="inlineStr">
        <is>
          <t>3.1</t>
        </is>
      </c>
      <c r="C1014" s="16" t="inlineStr">
        <is>
          <t>3.1</t>
        </is>
      </c>
      <c r="D1014" s="16" t="inlineStr">
        <is>
          <t>alrededor de A*</t>
        </is>
      </c>
      <c r="E1014" s="16" t="inlineStr">
        <is>
          <t>KF-M03</t>
        </is>
      </c>
      <c r="F1014" s="16" t="inlineStr">
        <is>
          <t>KF-M03</t>
        </is>
      </c>
      <c r="G1014" s="16" t="inlineStr">
        <is>
          <t>B06</t>
        </is>
      </c>
      <c r="H1014" s="16" t="inlineStr">
        <is>
          <t>malla</t>
        </is>
      </c>
      <c r="I1014" s="16" t="inlineStr">
        <is>
          <t>KALINA</t>
        </is>
      </c>
      <c r="J1014" s="16" t="inlineStr">
        <is>
          <t>KALINA</t>
        </is>
      </c>
      <c r="K1014" s="16" t="b">
        <v>1</v>
      </c>
      <c r="L1014" s="16" t="b">
        <v>1</v>
      </c>
      <c r="M1014" s="16" t="b">
        <v>0</v>
      </c>
      <c r="N1014" s="16" t="b">
        <v>0</v>
      </c>
      <c r="O1014" s="16" t="n">
        <v>403</v>
      </c>
      <c r="P1014" s="16" t="n">
        <v>300.032917</v>
      </c>
      <c r="Q1014" s="16" t="n">
        <v>3000</v>
      </c>
      <c r="R1014" s="16" t="n">
        <v>563.6363636363637</v>
      </c>
      <c r="S1014" s="16" t="n">
        <v>0.5</v>
      </c>
      <c r="T1014" s="16" t="n">
        <v>0.85</v>
      </c>
      <c r="U1014" s="16" t="n">
        <v>0.7928571428571428</v>
      </c>
      <c r="V1014" s="16" t="n">
        <v>0.85</v>
      </c>
      <c r="W1014" s="16" t="n">
        <v>0.75</v>
      </c>
      <c r="X1014" s="16" t="n">
        <v>0.8</v>
      </c>
      <c r="Y1014" s="16" t="n"/>
      <c r="Z1014" s="16" t="n">
        <v>8.550246194716459</v>
      </c>
      <c r="AA1014" s="16" t="n">
        <v>26.1576360397432</v>
      </c>
      <c r="AB1014" s="16" t="n">
        <v>2436.363636363636</v>
      </c>
      <c r="AC1014" s="16" t="n">
        <v>5.322580645161289</v>
      </c>
      <c r="AD1014" s="16" t="n"/>
      <c r="AE1014" s="16" t="inlineStr">
        <is>
          <t>eta_p</t>
        </is>
      </c>
    </row>
    <row r="1015">
      <c r="A1015" s="16" t="inlineStr">
        <is>
          <t>KF-M03-0114</t>
        </is>
      </c>
      <c r="B1015" s="16" t="inlineStr">
        <is>
          <t>3.1</t>
        </is>
      </c>
      <c r="C1015" s="16" t="inlineStr">
        <is>
          <t>3.1</t>
        </is>
      </c>
      <c r="D1015" s="16" t="inlineStr">
        <is>
          <t>alrededor de A*</t>
        </is>
      </c>
      <c r="E1015" s="16" t="inlineStr">
        <is>
          <t>KF-M03</t>
        </is>
      </c>
      <c r="F1015" s="16" t="inlineStr">
        <is>
          <t>KF-M03</t>
        </is>
      </c>
      <c r="G1015" s="16" t="inlineStr">
        <is>
          <t>B06</t>
        </is>
      </c>
      <c r="H1015" s="16" t="inlineStr">
        <is>
          <t>malla</t>
        </is>
      </c>
      <c r="I1015" s="16" t="inlineStr">
        <is>
          <t>KALINA</t>
        </is>
      </c>
      <c r="J1015" s="16" t="inlineStr">
        <is>
          <t>KALINA</t>
        </is>
      </c>
      <c r="K1015" s="16" t="b">
        <v>1</v>
      </c>
      <c r="L1015" s="16" t="b">
        <v>1</v>
      </c>
      <c r="M1015" s="16" t="b">
        <v>0</v>
      </c>
      <c r="N1015" s="16" t="b">
        <v>0</v>
      </c>
      <c r="O1015" s="16" t="n">
        <v>403</v>
      </c>
      <c r="P1015" s="16" t="n">
        <v>300.032917</v>
      </c>
      <c r="Q1015" s="16" t="n">
        <v>3000</v>
      </c>
      <c r="R1015" s="16" t="n">
        <v>563.6363636363637</v>
      </c>
      <c r="S1015" s="16" t="n">
        <v>0.5</v>
      </c>
      <c r="T1015" s="16" t="n">
        <v>0.85</v>
      </c>
      <c r="U1015" s="16" t="n">
        <v>0.8321428571428571</v>
      </c>
      <c r="V1015" s="16" t="n">
        <v>0.85</v>
      </c>
      <c r="W1015" s="16" t="n">
        <v>0.75</v>
      </c>
      <c r="X1015" s="16" t="n">
        <v>0.8</v>
      </c>
      <c r="Y1015" s="16" t="n"/>
      <c r="Z1015" s="16" t="n">
        <v>8.606693297074559</v>
      </c>
      <c r="AA1015" s="16" t="n">
        <v>26.33588787893637</v>
      </c>
      <c r="AB1015" s="16" t="n">
        <v>2436.363636363636</v>
      </c>
      <c r="AC1015" s="16" t="n">
        <v>5.322580645161289</v>
      </c>
      <c r="AD1015" s="16" t="n"/>
      <c r="AE1015" s="16" t="inlineStr">
        <is>
          <t>eta_p</t>
        </is>
      </c>
    </row>
    <row r="1016">
      <c r="A1016" s="16" t="inlineStr">
        <is>
          <t>KF-M03-0115</t>
        </is>
      </c>
      <c r="B1016" s="16" t="inlineStr">
        <is>
          <t>3.1</t>
        </is>
      </c>
      <c r="C1016" s="16" t="inlineStr">
        <is>
          <t>3.1</t>
        </is>
      </c>
      <c r="D1016" s="16" t="inlineStr">
        <is>
          <t>alrededor de A*</t>
        </is>
      </c>
      <c r="E1016" s="16" t="inlineStr">
        <is>
          <t>KF-M03</t>
        </is>
      </c>
      <c r="F1016" s="16" t="inlineStr">
        <is>
          <t>KF-M03</t>
        </is>
      </c>
      <c r="G1016" s="16" t="inlineStr">
        <is>
          <t>B06</t>
        </is>
      </c>
      <c r="H1016" s="16" t="inlineStr">
        <is>
          <t>malla</t>
        </is>
      </c>
      <c r="I1016" s="16" t="inlineStr">
        <is>
          <t>KALINA</t>
        </is>
      </c>
      <c r="J1016" s="16" t="inlineStr">
        <is>
          <t>KALINA</t>
        </is>
      </c>
      <c r="K1016" s="16" t="b">
        <v>1</v>
      </c>
      <c r="L1016" s="16" t="b">
        <v>1</v>
      </c>
      <c r="M1016" s="16" t="b">
        <v>0</v>
      </c>
      <c r="N1016" s="16" t="b">
        <v>0</v>
      </c>
      <c r="O1016" s="16" t="n">
        <v>403</v>
      </c>
      <c r="P1016" s="16" t="n">
        <v>300.032917</v>
      </c>
      <c r="Q1016" s="16" t="n">
        <v>3000</v>
      </c>
      <c r="R1016" s="16" t="n">
        <v>563.6363636363637</v>
      </c>
      <c r="S1016" s="16" t="n">
        <v>0.5</v>
      </c>
      <c r="T1016" s="16" t="n">
        <v>0.85</v>
      </c>
      <c r="U1016" s="16" t="n">
        <v>0.8714285714285714</v>
      </c>
      <c r="V1016" s="16" t="n">
        <v>0.85</v>
      </c>
      <c r="W1016" s="16" t="n">
        <v>0.75</v>
      </c>
      <c r="X1016" s="16" t="n">
        <v>0.8</v>
      </c>
      <c r="Y1016" s="16" t="n"/>
      <c r="Z1016" s="16" t="n">
        <v>8.658029142848141</v>
      </c>
      <c r="AA1016" s="16" t="n">
        <v>26.49806430500769</v>
      </c>
      <c r="AB1016" s="16" t="n">
        <v>2436.363636363636</v>
      </c>
      <c r="AC1016" s="16" t="n">
        <v>5.322580645161289</v>
      </c>
      <c r="AD1016" s="16" t="n"/>
      <c r="AE1016" s="16" t="inlineStr">
        <is>
          <t>eta_p</t>
        </is>
      </c>
    </row>
    <row r="1017">
      <c r="A1017" s="16" t="inlineStr">
        <is>
          <t>KF-M03-0116</t>
        </is>
      </c>
      <c r="B1017" s="16" t="inlineStr">
        <is>
          <t>3.1</t>
        </is>
      </c>
      <c r="C1017" s="16" t="inlineStr">
        <is>
          <t>3.1</t>
        </is>
      </c>
      <c r="D1017" s="16" t="inlineStr">
        <is>
          <t>alrededor de A*</t>
        </is>
      </c>
      <c r="E1017" s="16" t="inlineStr">
        <is>
          <t>KF-M03</t>
        </is>
      </c>
      <c r="F1017" s="16" t="inlineStr">
        <is>
          <t>KF-M03</t>
        </is>
      </c>
      <c r="G1017" s="16" t="inlineStr">
        <is>
          <t>B06</t>
        </is>
      </c>
      <c r="H1017" s="16" t="inlineStr">
        <is>
          <t>malla</t>
        </is>
      </c>
      <c r="I1017" s="16" t="inlineStr">
        <is>
          <t>KALINA</t>
        </is>
      </c>
      <c r="J1017" s="16" t="inlineStr">
        <is>
          <t>KALINA</t>
        </is>
      </c>
      <c r="K1017" s="16" t="b">
        <v>1</v>
      </c>
      <c r="L1017" s="16" t="b">
        <v>1</v>
      </c>
      <c r="M1017" s="16" t="b">
        <v>0</v>
      </c>
      <c r="N1017" s="16" t="b">
        <v>0</v>
      </c>
      <c r="O1017" s="16" t="n">
        <v>403</v>
      </c>
      <c r="P1017" s="16" t="n">
        <v>300.032917</v>
      </c>
      <c r="Q1017" s="16" t="n">
        <v>3000</v>
      </c>
      <c r="R1017" s="16" t="n">
        <v>563.6363636363637</v>
      </c>
      <c r="S1017" s="16" t="n">
        <v>0.5</v>
      </c>
      <c r="T1017" s="16" t="n">
        <v>0.85</v>
      </c>
      <c r="U1017" s="16" t="n">
        <v>0.9107142857142856</v>
      </c>
      <c r="V1017" s="16" t="n">
        <v>0.85</v>
      </c>
      <c r="W1017" s="16" t="n">
        <v>0.75</v>
      </c>
      <c r="X1017" s="16" t="n">
        <v>0.8</v>
      </c>
      <c r="Y1017" s="16" t="n"/>
      <c r="Z1017" s="16" t="n">
        <v>8.7049181977993</v>
      </c>
      <c r="AA1017" s="16" t="n">
        <v>26.64624715573856</v>
      </c>
      <c r="AB1017" s="16" t="n">
        <v>2436.363636363636</v>
      </c>
      <c r="AC1017" s="16" t="n">
        <v>5.322580645161289</v>
      </c>
      <c r="AD1017" s="16" t="n"/>
      <c r="AE1017" s="16" t="inlineStr">
        <is>
          <t>eta_p</t>
        </is>
      </c>
    </row>
    <row r="1018">
      <c r="A1018" s="16" t="inlineStr">
        <is>
          <t>KF-M03-0117</t>
        </is>
      </c>
      <c r="B1018" s="16" t="inlineStr">
        <is>
          <t>3.1</t>
        </is>
      </c>
      <c r="C1018" s="16" t="inlineStr">
        <is>
          <t>3.1</t>
        </is>
      </c>
      <c r="D1018" s="16" t="inlineStr">
        <is>
          <t>alrededor de A*</t>
        </is>
      </c>
      <c r="E1018" s="16" t="inlineStr">
        <is>
          <t>KF-M03</t>
        </is>
      </c>
      <c r="F1018" s="16" t="inlineStr">
        <is>
          <t>KF-M03</t>
        </is>
      </c>
      <c r="G1018" s="16" t="inlineStr">
        <is>
          <t>B06</t>
        </is>
      </c>
      <c r="H1018" s="16" t="inlineStr">
        <is>
          <t>malla</t>
        </is>
      </c>
      <c r="I1018" s="16" t="inlineStr">
        <is>
          <t>KALINA</t>
        </is>
      </c>
      <c r="J1018" s="16" t="inlineStr">
        <is>
          <t>KALINA</t>
        </is>
      </c>
      <c r="K1018" s="16" t="b">
        <v>1</v>
      </c>
      <c r="L1018" s="16" t="b">
        <v>1</v>
      </c>
      <c r="M1018" s="16" t="b">
        <v>0</v>
      </c>
      <c r="N1018" s="16" t="b">
        <v>0</v>
      </c>
      <c r="O1018" s="16" t="n">
        <v>403</v>
      </c>
      <c r="P1018" s="16" t="n">
        <v>300.032917</v>
      </c>
      <c r="Q1018" s="16" t="n">
        <v>3000</v>
      </c>
      <c r="R1018" s="16" t="n">
        <v>563.6363636363637</v>
      </c>
      <c r="S1018" s="16" t="n">
        <v>0.5</v>
      </c>
      <c r="T1018" s="16" t="n">
        <v>0.85</v>
      </c>
      <c r="U1018" s="16" t="n">
        <v>0.95</v>
      </c>
      <c r="V1018" s="16" t="n">
        <v>0.85</v>
      </c>
      <c r="W1018" s="16" t="n">
        <v>0.75</v>
      </c>
      <c r="X1018" s="16" t="n">
        <v>0.8</v>
      </c>
      <c r="Y1018" s="16" t="n"/>
      <c r="Z1018" s="16" t="n">
        <v>8.747914258849409</v>
      </c>
      <c r="AA1018" s="16" t="n">
        <v>26.7821727001356</v>
      </c>
      <c r="AB1018" s="16" t="n">
        <v>2436.363636363636</v>
      </c>
      <c r="AC1018" s="16" t="n">
        <v>5.322580645161289</v>
      </c>
      <c r="AD1018" s="16" t="n"/>
      <c r="AE1018" s="16" t="inlineStr">
        <is>
          <t>eta_p</t>
        </is>
      </c>
    </row>
    <row r="1019">
      <c r="A1019" s="16" t="inlineStr">
        <is>
          <t>KF-M03-0118</t>
        </is>
      </c>
      <c r="B1019" s="16" t="inlineStr">
        <is>
          <t>3.1</t>
        </is>
      </c>
      <c r="C1019" s="16" t="inlineStr">
        <is>
          <t>3.1</t>
        </is>
      </c>
      <c r="D1019" s="16" t="inlineStr">
        <is>
          <t>alrededor de A*</t>
        </is>
      </c>
      <c r="E1019" s="16" t="inlineStr">
        <is>
          <t>KF-M03</t>
        </is>
      </c>
      <c r="F1019" s="16" t="inlineStr">
        <is>
          <t>KF-M03</t>
        </is>
      </c>
      <c r="G1019" s="16" t="inlineStr">
        <is>
          <t>B06</t>
        </is>
      </c>
      <c r="H1019" s="16" t="inlineStr">
        <is>
          <t>vecino</t>
        </is>
      </c>
      <c r="I1019" s="16" t="inlineStr">
        <is>
          <t>KALINA</t>
        </is>
      </c>
      <c r="J1019" s="16" t="inlineStr">
        <is>
          <t>KALINA</t>
        </is>
      </c>
      <c r="K1019" s="16" t="b">
        <v>1</v>
      </c>
      <c r="L1019" s="16" t="b">
        <v>1</v>
      </c>
      <c r="M1019" s="16" t="b">
        <v>0</v>
      </c>
      <c r="N1019" s="16" t="b">
        <v>0</v>
      </c>
      <c r="O1019" s="16" t="n">
        <v>403</v>
      </c>
      <c r="P1019" s="16" t="n">
        <v>300.032917</v>
      </c>
      <c r="Q1019" s="16" t="n">
        <v>3000</v>
      </c>
      <c r="R1019" s="16" t="n">
        <v>563.6363636363637</v>
      </c>
      <c r="S1019" s="16" t="n">
        <v>0.5</v>
      </c>
      <c r="T1019" s="16" t="n">
        <v>0.85</v>
      </c>
      <c r="U1019" s="16" t="n">
        <v>0.7445000000000001</v>
      </c>
      <c r="V1019" s="16" t="n">
        <v>0.85</v>
      </c>
      <c r="W1019" s="16" t="n">
        <v>0.75</v>
      </c>
      <c r="X1019" s="16" t="n">
        <v>0.8</v>
      </c>
      <c r="Y1019" s="16" t="n"/>
      <c r="Z1019" s="16" t="n">
        <v>8.472546400277629</v>
      </c>
      <c r="AA1019" s="16" t="n">
        <v>25.91239452105285</v>
      </c>
      <c r="AB1019" s="16" t="n">
        <v>2436.363636363636</v>
      </c>
      <c r="AC1019" s="16" t="n">
        <v>5.322580645161289</v>
      </c>
      <c r="AD1019" s="16" t="n"/>
      <c r="AE1019" s="16" t="inlineStr">
        <is>
          <t>eta_p</t>
        </is>
      </c>
    </row>
    <row r="1020">
      <c r="A1020" s="16" t="inlineStr">
        <is>
          <t>KF-M03-0119</t>
        </is>
      </c>
      <c r="B1020" s="16" t="inlineStr">
        <is>
          <t>3.1</t>
        </is>
      </c>
      <c r="C1020" s="16" t="inlineStr">
        <is>
          <t>3.1</t>
        </is>
      </c>
      <c r="D1020" s="16" t="inlineStr">
        <is>
          <t>alrededor de A*</t>
        </is>
      </c>
      <c r="E1020" s="16" t="inlineStr">
        <is>
          <t>KF-M03</t>
        </is>
      </c>
      <c r="F1020" s="16" t="inlineStr">
        <is>
          <t>KF-M03</t>
        </is>
      </c>
      <c r="G1020" s="16" t="inlineStr">
        <is>
          <t>B06</t>
        </is>
      </c>
      <c r="H1020" s="16" t="inlineStr">
        <is>
          <t>vecino</t>
        </is>
      </c>
      <c r="I1020" s="16" t="inlineStr">
        <is>
          <t>KALINA</t>
        </is>
      </c>
      <c r="J1020" s="16" t="inlineStr">
        <is>
          <t>KALINA</t>
        </is>
      </c>
      <c r="K1020" s="16" t="b">
        <v>1</v>
      </c>
      <c r="L1020" s="16" t="b">
        <v>1</v>
      </c>
      <c r="M1020" s="16" t="b">
        <v>0</v>
      </c>
      <c r="N1020" s="16" t="b">
        <v>0</v>
      </c>
      <c r="O1020" s="16" t="n">
        <v>403</v>
      </c>
      <c r="P1020" s="16" t="n">
        <v>300.032917</v>
      </c>
      <c r="Q1020" s="16" t="n">
        <v>3000</v>
      </c>
      <c r="R1020" s="16" t="n">
        <v>563.6363636363637</v>
      </c>
      <c r="S1020" s="16" t="n">
        <v>0.5</v>
      </c>
      <c r="T1020" s="16" t="n">
        <v>0.85</v>
      </c>
      <c r="U1020" s="16" t="n">
        <v>0.7554999999999999</v>
      </c>
      <c r="V1020" s="16" t="n">
        <v>0.85</v>
      </c>
      <c r="W1020" s="16" t="n">
        <v>0.75</v>
      </c>
      <c r="X1020" s="16" t="n">
        <v>0.8</v>
      </c>
      <c r="Y1020" s="16" t="n"/>
      <c r="Z1020" s="16" t="n">
        <v>8.491099317278831</v>
      </c>
      <c r="AA1020" s="16" t="n">
        <v>25.9709396236731</v>
      </c>
      <c r="AB1020" s="16" t="n">
        <v>2436.363636363636</v>
      </c>
      <c r="AC1020" s="16" t="n">
        <v>5.322580645161289</v>
      </c>
      <c r="AD1020" s="16" t="n"/>
      <c r="AE1020" s="16" t="inlineStr">
        <is>
          <t>eta_p</t>
        </is>
      </c>
    </row>
    <row r="1021">
      <c r="A1021" s="16" t="inlineStr">
        <is>
          <t>KF-M03-0120</t>
        </is>
      </c>
      <c r="B1021" s="16" t="inlineStr">
        <is>
          <t>3.1</t>
        </is>
      </c>
      <c r="C1021" s="16" t="inlineStr">
        <is>
          <t>3.1</t>
        </is>
      </c>
      <c r="D1021" s="16" t="inlineStr">
        <is>
          <t>alrededor de A*</t>
        </is>
      </c>
      <c r="E1021" s="16" t="inlineStr">
        <is>
          <t>KF-M03</t>
        </is>
      </c>
      <c r="F1021" s="16" t="inlineStr">
        <is>
          <t>KF-M03</t>
        </is>
      </c>
      <c r="G1021" s="16" t="inlineStr">
        <is>
          <t>B06</t>
        </is>
      </c>
      <c r="H1021" s="16" t="inlineStr">
        <is>
          <t>malla</t>
        </is>
      </c>
      <c r="I1021" s="16" t="inlineStr">
        <is>
          <t>KALINA</t>
        </is>
      </c>
      <c r="J1021" s="16" t="inlineStr">
        <is>
          <t>KALINA</t>
        </is>
      </c>
      <c r="K1021" s="16" t="b">
        <v>1</v>
      </c>
      <c r="L1021" s="16" t="b">
        <v>1</v>
      </c>
      <c r="M1021" s="16" t="b">
        <v>0</v>
      </c>
      <c r="N1021" s="16" t="b">
        <v>0</v>
      </c>
      <c r="O1021" s="16" t="n">
        <v>403</v>
      </c>
      <c r="P1021" s="16" t="n">
        <v>300.032917</v>
      </c>
      <c r="Q1021" s="16" t="n">
        <v>3000</v>
      </c>
      <c r="R1021" s="16" t="n">
        <v>563.6363636363637</v>
      </c>
      <c r="S1021" s="16" t="n">
        <v>0.5</v>
      </c>
      <c r="T1021" s="16" t="n">
        <v>0.85</v>
      </c>
      <c r="U1021" s="16" t="n">
        <v>0.75</v>
      </c>
      <c r="V1021" s="16" t="n">
        <v>0.4392857142857143</v>
      </c>
      <c r="W1021" s="16" t="n">
        <v>0.75</v>
      </c>
      <c r="X1021" s="16" t="n">
        <v>0.8</v>
      </c>
      <c r="Y1021" s="16" t="n"/>
      <c r="Z1021" s="16" t="n">
        <v>3.39160324764729</v>
      </c>
      <c r="AA1021" s="16" t="n">
        <v>5.550657999740649</v>
      </c>
      <c r="AB1021" s="16" t="n">
        <v>2436.363636363636</v>
      </c>
      <c r="AC1021" s="16" t="n">
        <v>5.322580645161289</v>
      </c>
      <c r="AD1021" s="16" t="n"/>
      <c r="AE1021" s="16" t="inlineStr">
        <is>
          <t>eps_hrvg</t>
        </is>
      </c>
    </row>
    <row r="1022">
      <c r="A1022" s="16" t="inlineStr">
        <is>
          <t>KF-M03-0121</t>
        </is>
      </c>
      <c r="B1022" s="16" t="inlineStr">
        <is>
          <t>3.1</t>
        </is>
      </c>
      <c r="C1022" s="16" t="inlineStr">
        <is>
          <t>3.1</t>
        </is>
      </c>
      <c r="D1022" s="16" t="inlineStr">
        <is>
          <t>alrededor de A*</t>
        </is>
      </c>
      <c r="E1022" s="16" t="inlineStr">
        <is>
          <t>KF-M03</t>
        </is>
      </c>
      <c r="F1022" s="16" t="inlineStr">
        <is>
          <t>KF-M03</t>
        </is>
      </c>
      <c r="G1022" s="16" t="inlineStr">
        <is>
          <t>B06</t>
        </is>
      </c>
      <c r="H1022" s="16" t="inlineStr">
        <is>
          <t>malla</t>
        </is>
      </c>
      <c r="I1022" s="16" t="inlineStr">
        <is>
          <t>KALINA</t>
        </is>
      </c>
      <c r="J1022" s="16" t="inlineStr">
        <is>
          <t>KALINA</t>
        </is>
      </c>
      <c r="K1022" s="16" t="b">
        <v>1</v>
      </c>
      <c r="L1022" s="16" t="b">
        <v>1</v>
      </c>
      <c r="M1022" s="16" t="b">
        <v>0</v>
      </c>
      <c r="N1022" s="16" t="b">
        <v>0</v>
      </c>
      <c r="O1022" s="16" t="n">
        <v>403</v>
      </c>
      <c r="P1022" s="16" t="n">
        <v>300.032917</v>
      </c>
      <c r="Q1022" s="16" t="n">
        <v>3000</v>
      </c>
      <c r="R1022" s="16" t="n">
        <v>563.6363636363637</v>
      </c>
      <c r="S1022" s="16" t="n">
        <v>0.5</v>
      </c>
      <c r="T1022" s="16" t="n">
        <v>0.85</v>
      </c>
      <c r="U1022" s="16" t="n">
        <v>0.75</v>
      </c>
      <c r="V1022" s="16" t="n">
        <v>0.4</v>
      </c>
      <c r="W1022" s="16" t="n">
        <v>0.75</v>
      </c>
      <c r="X1022" s="16" t="n">
        <v>0.8</v>
      </c>
      <c r="Y1022" s="16" t="n"/>
      <c r="Z1022" s="16" t="n">
        <v>2.36204912319494</v>
      </c>
      <c r="AA1022" s="16" t="n">
        <v>3.529762933367045</v>
      </c>
      <c r="AB1022" s="16" t="n">
        <v>2436.363636363636</v>
      </c>
      <c r="AC1022" s="16" t="n">
        <v>5.322580645161289</v>
      </c>
      <c r="AD1022" s="16" t="n"/>
      <c r="AE1022" s="16" t="inlineStr">
        <is>
          <t>eps_hrvg</t>
        </is>
      </c>
    </row>
    <row r="1023">
      <c r="A1023" s="16" t="inlineStr">
        <is>
          <t>KF-M03-0122</t>
        </is>
      </c>
      <c r="B1023" s="16" t="inlineStr">
        <is>
          <t>3.1</t>
        </is>
      </c>
      <c r="C1023" s="16" t="inlineStr">
        <is>
          <t>3.1</t>
        </is>
      </c>
      <c r="D1023" s="16" t="inlineStr">
        <is>
          <t>alrededor de A*</t>
        </is>
      </c>
      <c r="E1023" s="16" t="inlineStr">
        <is>
          <t>KF-M03</t>
        </is>
      </c>
      <c r="F1023" s="16" t="inlineStr">
        <is>
          <t>KF-M03</t>
        </is>
      </c>
      <c r="G1023" s="16" t="inlineStr">
        <is>
          <t>B06</t>
        </is>
      </c>
      <c r="H1023" s="16" t="inlineStr">
        <is>
          <t>malla</t>
        </is>
      </c>
      <c r="I1023" s="16" t="inlineStr">
        <is>
          <t>KALINA</t>
        </is>
      </c>
      <c r="J1023" s="16" t="inlineStr">
        <is>
          <t>KALINA</t>
        </is>
      </c>
      <c r="K1023" s="16" t="b">
        <v>1</v>
      </c>
      <c r="L1023" s="16" t="b">
        <v>1</v>
      </c>
      <c r="M1023" s="16" t="b">
        <v>0</v>
      </c>
      <c r="N1023" s="16" t="b">
        <v>0</v>
      </c>
      <c r="O1023" s="16" t="n">
        <v>403</v>
      </c>
      <c r="P1023" s="16" t="n">
        <v>300.032917</v>
      </c>
      <c r="Q1023" s="16" t="n">
        <v>3000</v>
      </c>
      <c r="R1023" s="16" t="n">
        <v>563.6363636363637</v>
      </c>
      <c r="S1023" s="16" t="n">
        <v>0.5</v>
      </c>
      <c r="T1023" s="16" t="n">
        <v>0.85</v>
      </c>
      <c r="U1023" s="16" t="n">
        <v>0.75</v>
      </c>
      <c r="V1023" s="16" t="n">
        <v>0.4785714285714286</v>
      </c>
      <c r="W1023" s="16" t="n">
        <v>0.75</v>
      </c>
      <c r="X1023" s="16" t="n">
        <v>0.8</v>
      </c>
      <c r="Y1023" s="16" t="n"/>
      <c r="Z1023" s="16" t="n">
        <v>4.25324576927303</v>
      </c>
      <c r="AA1023" s="16" t="n">
        <v>7.561384403876184</v>
      </c>
      <c r="AB1023" s="16" t="n">
        <v>2436.363636363636</v>
      </c>
      <c r="AC1023" s="16" t="n">
        <v>5.322580645161289</v>
      </c>
      <c r="AD1023" s="16" t="n"/>
      <c r="AE1023" s="16" t="inlineStr">
        <is>
          <t>eps_hrvg</t>
        </is>
      </c>
    </row>
    <row r="1024">
      <c r="A1024" s="16" t="inlineStr">
        <is>
          <t>KF-M03-0123</t>
        </is>
      </c>
      <c r="B1024" s="16" t="inlineStr">
        <is>
          <t>3.1</t>
        </is>
      </c>
      <c r="C1024" s="16" t="inlineStr">
        <is>
          <t>3.1</t>
        </is>
      </c>
      <c r="D1024" s="16" t="inlineStr">
        <is>
          <t>alrededor de A*</t>
        </is>
      </c>
      <c r="E1024" s="16" t="inlineStr">
        <is>
          <t>KF-M03</t>
        </is>
      </c>
      <c r="F1024" s="16" t="inlineStr">
        <is>
          <t>KF-M03</t>
        </is>
      </c>
      <c r="G1024" s="16" t="inlineStr">
        <is>
          <t>B06</t>
        </is>
      </c>
      <c r="H1024" s="16" t="inlineStr">
        <is>
          <t>malla</t>
        </is>
      </c>
      <c r="I1024" s="16" t="inlineStr">
        <is>
          <t>KALINA</t>
        </is>
      </c>
      <c r="J1024" s="16" t="inlineStr">
        <is>
          <t>KALINA</t>
        </is>
      </c>
      <c r="K1024" s="16" t="b">
        <v>1</v>
      </c>
      <c r="L1024" s="16" t="b">
        <v>1</v>
      </c>
      <c r="M1024" s="16" t="b">
        <v>0</v>
      </c>
      <c r="N1024" s="16" t="b">
        <v>0</v>
      </c>
      <c r="O1024" s="16" t="n">
        <v>403</v>
      </c>
      <c r="P1024" s="16" t="n">
        <v>300.032917</v>
      </c>
      <c r="Q1024" s="16" t="n">
        <v>3000</v>
      </c>
      <c r="R1024" s="16" t="n">
        <v>563.6363636363637</v>
      </c>
      <c r="S1024" s="16" t="n">
        <v>0.5</v>
      </c>
      <c r="T1024" s="16" t="n">
        <v>0.85</v>
      </c>
      <c r="U1024" s="16" t="n">
        <v>0.75</v>
      </c>
      <c r="V1024" s="16" t="n">
        <v>0.5178571428571429</v>
      </c>
      <c r="W1024" s="16" t="n">
        <v>0.75</v>
      </c>
      <c r="X1024" s="16" t="n">
        <v>0.8</v>
      </c>
      <c r="Y1024" s="16" t="n"/>
      <c r="Z1024" s="16" t="n">
        <v>4.98511165795313</v>
      </c>
      <c r="AA1024" s="16" t="n">
        <v>9.561145949152213</v>
      </c>
      <c r="AB1024" s="16" t="n">
        <v>2436.363636363636</v>
      </c>
      <c r="AC1024" s="16" t="n">
        <v>5.322580645161289</v>
      </c>
      <c r="AD1024" s="16" t="n"/>
      <c r="AE1024" s="16" t="inlineStr">
        <is>
          <t>eps_hrvg</t>
        </is>
      </c>
    </row>
    <row r="1025">
      <c r="A1025" s="16" t="inlineStr">
        <is>
          <t>KF-M03-0124</t>
        </is>
      </c>
      <c r="B1025" s="16" t="inlineStr">
        <is>
          <t>3.1</t>
        </is>
      </c>
      <c r="C1025" s="16" t="inlineStr">
        <is>
          <t>3.1</t>
        </is>
      </c>
      <c r="D1025" s="16" t="inlineStr">
        <is>
          <t>alrededor de A*</t>
        </is>
      </c>
      <c r="E1025" s="16" t="inlineStr">
        <is>
          <t>KF-M03</t>
        </is>
      </c>
      <c r="F1025" s="16" t="inlineStr">
        <is>
          <t>KF-M03</t>
        </is>
      </c>
      <c r="G1025" s="16" t="inlineStr">
        <is>
          <t>B06</t>
        </is>
      </c>
      <c r="H1025" s="16" t="inlineStr">
        <is>
          <t>malla</t>
        </is>
      </c>
      <c r="I1025" s="16" t="inlineStr">
        <is>
          <t>KALINA</t>
        </is>
      </c>
      <c r="J1025" s="16" t="inlineStr">
        <is>
          <t>KALINA</t>
        </is>
      </c>
      <c r="K1025" s="16" t="b">
        <v>1</v>
      </c>
      <c r="L1025" s="16" t="b">
        <v>1</v>
      </c>
      <c r="M1025" s="16" t="b">
        <v>0</v>
      </c>
      <c r="N1025" s="16" t="b">
        <v>0</v>
      </c>
      <c r="O1025" s="16" t="n">
        <v>403</v>
      </c>
      <c r="P1025" s="16" t="n">
        <v>300.032917</v>
      </c>
      <c r="Q1025" s="16" t="n">
        <v>3000</v>
      </c>
      <c r="R1025" s="16" t="n">
        <v>563.6363636363637</v>
      </c>
      <c r="S1025" s="16" t="n">
        <v>0.5</v>
      </c>
      <c r="T1025" s="16" t="n">
        <v>0.85</v>
      </c>
      <c r="U1025" s="16" t="n">
        <v>0.75</v>
      </c>
      <c r="V1025" s="16" t="n">
        <v>0.5571428571428572</v>
      </c>
      <c r="W1025" s="16" t="n">
        <v>0.75</v>
      </c>
      <c r="X1025" s="16" t="n">
        <v>0.8</v>
      </c>
      <c r="Y1025" s="16" t="n"/>
      <c r="Z1025" s="16" t="n">
        <v>5.61454009977555</v>
      </c>
      <c r="AA1025" s="16" t="n">
        <v>11.54915938353207</v>
      </c>
      <c r="AB1025" s="16" t="n">
        <v>2436.363636363636</v>
      </c>
      <c r="AC1025" s="16" t="n">
        <v>5.322580645161289</v>
      </c>
      <c r="AD1025" s="16" t="n"/>
      <c r="AE1025" s="16" t="inlineStr">
        <is>
          <t>eps_hrvg</t>
        </is>
      </c>
    </row>
    <row r="1026">
      <c r="A1026" s="16" t="inlineStr">
        <is>
          <t>KF-M03-0125</t>
        </is>
      </c>
      <c r="B1026" s="16" t="inlineStr">
        <is>
          <t>3.1</t>
        </is>
      </c>
      <c r="C1026" s="16" t="inlineStr">
        <is>
          <t>3.1</t>
        </is>
      </c>
      <c r="D1026" s="16" t="inlineStr">
        <is>
          <t>alrededor de A*</t>
        </is>
      </c>
      <c r="E1026" s="16" t="inlineStr">
        <is>
          <t>KF-M03</t>
        </is>
      </c>
      <c r="F1026" s="16" t="inlineStr">
        <is>
          <t>KF-M03</t>
        </is>
      </c>
      <c r="G1026" s="16" t="inlineStr">
        <is>
          <t>B06</t>
        </is>
      </c>
      <c r="H1026" s="16" t="inlineStr">
        <is>
          <t>malla</t>
        </is>
      </c>
      <c r="I1026" s="16" t="inlineStr">
        <is>
          <t>KALINA</t>
        </is>
      </c>
      <c r="J1026" s="16" t="inlineStr">
        <is>
          <t>KALINA</t>
        </is>
      </c>
      <c r="K1026" s="16" t="b">
        <v>1</v>
      </c>
      <c r="L1026" s="16" t="b">
        <v>1</v>
      </c>
      <c r="M1026" s="16" t="b">
        <v>0</v>
      </c>
      <c r="N1026" s="16" t="b">
        <v>0</v>
      </c>
      <c r="O1026" s="16" t="n">
        <v>403</v>
      </c>
      <c r="P1026" s="16" t="n">
        <v>300.032917</v>
      </c>
      <c r="Q1026" s="16" t="n">
        <v>3000</v>
      </c>
      <c r="R1026" s="16" t="n">
        <v>563.6363636363637</v>
      </c>
      <c r="S1026" s="16" t="n">
        <v>0.5</v>
      </c>
      <c r="T1026" s="16" t="n">
        <v>0.85</v>
      </c>
      <c r="U1026" s="16" t="n">
        <v>0.75</v>
      </c>
      <c r="V1026" s="16" t="n">
        <v>0.6357142857142857</v>
      </c>
      <c r="W1026" s="16" t="n">
        <v>0.75</v>
      </c>
      <c r="X1026" s="16" t="n">
        <v>0.8</v>
      </c>
      <c r="Y1026" s="16" t="n"/>
      <c r="Z1026" s="16" t="n">
        <v>6.641646835838209</v>
      </c>
      <c r="AA1026" s="16" t="n">
        <v>15.48721670089076</v>
      </c>
      <c r="AB1026" s="16" t="n">
        <v>2436.363636363636</v>
      </c>
      <c r="AC1026" s="16" t="n">
        <v>5.322580645161289</v>
      </c>
      <c r="AD1026" s="16" t="n"/>
      <c r="AE1026" s="16" t="inlineStr">
        <is>
          <t>eps_hrvg</t>
        </is>
      </c>
    </row>
    <row r="1027">
      <c r="A1027" s="16" t="inlineStr">
        <is>
          <t>KF-M03-0126</t>
        </is>
      </c>
      <c r="B1027" s="16" t="inlineStr">
        <is>
          <t>3.1</t>
        </is>
      </c>
      <c r="C1027" s="16" t="inlineStr">
        <is>
          <t>3.1</t>
        </is>
      </c>
      <c r="D1027" s="16" t="inlineStr">
        <is>
          <t>alrededor de A*</t>
        </is>
      </c>
      <c r="E1027" s="16" t="inlineStr">
        <is>
          <t>KF-M03</t>
        </is>
      </c>
      <c r="F1027" s="16" t="inlineStr">
        <is>
          <t>KF-M03</t>
        </is>
      </c>
      <c r="G1027" s="16" t="inlineStr">
        <is>
          <t>B06</t>
        </is>
      </c>
      <c r="H1027" s="16" t="inlineStr">
        <is>
          <t>malla</t>
        </is>
      </c>
      <c r="I1027" s="16" t="inlineStr">
        <is>
          <t>KALINA</t>
        </is>
      </c>
      <c r="J1027" s="16" t="inlineStr">
        <is>
          <t>KALINA</t>
        </is>
      </c>
      <c r="K1027" s="16" t="b">
        <v>1</v>
      </c>
      <c r="L1027" s="16" t="b">
        <v>1</v>
      </c>
      <c r="M1027" s="16" t="b">
        <v>0</v>
      </c>
      <c r="N1027" s="16" t="b">
        <v>0</v>
      </c>
      <c r="O1027" s="16" t="n">
        <v>403</v>
      </c>
      <c r="P1027" s="16" t="n">
        <v>300.032917</v>
      </c>
      <c r="Q1027" s="16" t="n">
        <v>3000</v>
      </c>
      <c r="R1027" s="16" t="n">
        <v>563.6363636363637</v>
      </c>
      <c r="S1027" s="16" t="n">
        <v>0.5</v>
      </c>
      <c r="T1027" s="16" t="n">
        <v>0.85</v>
      </c>
      <c r="U1027" s="16" t="n">
        <v>0.75</v>
      </c>
      <c r="V1027" s="16" t="n">
        <v>0.5964285714285714</v>
      </c>
      <c r="W1027" s="16" t="n">
        <v>0.75</v>
      </c>
      <c r="X1027" s="16" t="n">
        <v>0.8</v>
      </c>
      <c r="Y1027" s="16" t="n"/>
      <c r="Z1027" s="16" t="n">
        <v>6.16165751957585</v>
      </c>
      <c r="AA1027" s="16" t="n">
        <v>13.52471199139795</v>
      </c>
      <c r="AB1027" s="16" t="n">
        <v>2436.363636363636</v>
      </c>
      <c r="AC1027" s="16" t="n">
        <v>5.322580645161289</v>
      </c>
      <c r="AD1027" s="16" t="n"/>
      <c r="AE1027" s="16" t="inlineStr">
        <is>
          <t>eps_hrvg</t>
        </is>
      </c>
    </row>
    <row r="1028">
      <c r="A1028" s="16" t="inlineStr">
        <is>
          <t>KF-M03-0127</t>
        </is>
      </c>
      <c r="B1028" s="16" t="inlineStr">
        <is>
          <t>3.1</t>
        </is>
      </c>
      <c r="C1028" s="16" t="inlineStr">
        <is>
          <t>3.1</t>
        </is>
      </c>
      <c r="D1028" s="16" t="inlineStr">
        <is>
          <t>alrededor de A*</t>
        </is>
      </c>
      <c r="E1028" s="16" t="inlineStr">
        <is>
          <t>KF-M03</t>
        </is>
      </c>
      <c r="F1028" s="16" t="inlineStr">
        <is>
          <t>KF-M03</t>
        </is>
      </c>
      <c r="G1028" s="16" t="inlineStr">
        <is>
          <t>B06</t>
        </is>
      </c>
      <c r="H1028" s="16" t="inlineStr">
        <is>
          <t>malla</t>
        </is>
      </c>
      <c r="I1028" s="16" t="inlineStr">
        <is>
          <t>KALINA</t>
        </is>
      </c>
      <c r="J1028" s="16" t="inlineStr">
        <is>
          <t>KALINA</t>
        </is>
      </c>
      <c r="K1028" s="16" t="b">
        <v>1</v>
      </c>
      <c r="L1028" s="16" t="b">
        <v>1</v>
      </c>
      <c r="M1028" s="16" t="b">
        <v>0</v>
      </c>
      <c r="N1028" s="16" t="b">
        <v>0</v>
      </c>
      <c r="O1028" s="16" t="n">
        <v>403</v>
      </c>
      <c r="P1028" s="16" t="n">
        <v>300.032917</v>
      </c>
      <c r="Q1028" s="16" t="n">
        <v>3000</v>
      </c>
      <c r="R1028" s="16" t="n">
        <v>563.6363636363637</v>
      </c>
      <c r="S1028" s="16" t="n">
        <v>0.5</v>
      </c>
      <c r="T1028" s="16" t="n">
        <v>0.85</v>
      </c>
      <c r="U1028" s="16" t="n">
        <v>0.75</v>
      </c>
      <c r="V1028" s="16" t="n">
        <v>0.675</v>
      </c>
      <c r="W1028" s="16" t="n">
        <v>0.75</v>
      </c>
      <c r="X1028" s="16" t="n">
        <v>0.8</v>
      </c>
      <c r="Y1028" s="16" t="n"/>
      <c r="Z1028" s="16" t="n">
        <v>7.06612225238943</v>
      </c>
      <c r="AA1028" s="16" t="n">
        <v>17.43611224051258</v>
      </c>
      <c r="AB1028" s="16" t="n">
        <v>2436.363636363636</v>
      </c>
      <c r="AC1028" s="16" t="n">
        <v>5.322580645161289</v>
      </c>
      <c r="AD1028" s="16" t="n"/>
      <c r="AE1028" s="16" t="inlineStr">
        <is>
          <t>eps_hrvg</t>
        </is>
      </c>
    </row>
    <row r="1029">
      <c r="A1029" s="16" t="inlineStr">
        <is>
          <t>KF-M03-0128</t>
        </is>
      </c>
      <c r="B1029" s="16" t="inlineStr">
        <is>
          <t>3.1</t>
        </is>
      </c>
      <c r="C1029" s="16" t="inlineStr">
        <is>
          <t>3.1</t>
        </is>
      </c>
      <c r="D1029" s="16" t="inlineStr">
        <is>
          <t>alrededor de A*</t>
        </is>
      </c>
      <c r="E1029" s="16" t="inlineStr">
        <is>
          <t>KF-M03</t>
        </is>
      </c>
      <c r="F1029" s="16" t="inlineStr">
        <is>
          <t>KF-M03</t>
        </is>
      </c>
      <c r="G1029" s="16" t="inlineStr">
        <is>
          <t>B06</t>
        </is>
      </c>
      <c r="H1029" s="16" t="inlineStr">
        <is>
          <t>malla</t>
        </is>
      </c>
      <c r="I1029" s="16" t="inlineStr">
        <is>
          <t>KALINA</t>
        </is>
      </c>
      <c r="J1029" s="16" t="inlineStr">
        <is>
          <t>KALINA</t>
        </is>
      </c>
      <c r="K1029" s="16" t="b">
        <v>1</v>
      </c>
      <c r="L1029" s="16" t="b">
        <v>1</v>
      </c>
      <c r="M1029" s="16" t="b">
        <v>0</v>
      </c>
      <c r="N1029" s="16" t="b">
        <v>0</v>
      </c>
      <c r="O1029" s="16" t="n">
        <v>403</v>
      </c>
      <c r="P1029" s="16" t="n">
        <v>300.032917</v>
      </c>
      <c r="Q1029" s="16" t="n">
        <v>3000</v>
      </c>
      <c r="R1029" s="16" t="n">
        <v>563.6363636363637</v>
      </c>
      <c r="S1029" s="16" t="n">
        <v>0.5</v>
      </c>
      <c r="T1029" s="16" t="n">
        <v>0.85</v>
      </c>
      <c r="U1029" s="16" t="n">
        <v>0.75</v>
      </c>
      <c r="V1029" s="16" t="n">
        <v>0.7142857142857142</v>
      </c>
      <c r="W1029" s="16" t="n">
        <v>0.75</v>
      </c>
      <c r="X1029" s="16" t="n">
        <v>0.8</v>
      </c>
      <c r="Y1029" s="16" t="n"/>
      <c r="Z1029" s="16" t="n">
        <v>7.44416267265906</v>
      </c>
      <c r="AA1029" s="16" t="n">
        <v>19.37094358013634</v>
      </c>
      <c r="AB1029" s="16" t="n">
        <v>2436.363636363636</v>
      </c>
      <c r="AC1029" s="16" t="n">
        <v>5.322580645161289</v>
      </c>
      <c r="AD1029" s="16" t="n"/>
      <c r="AE1029" s="16" t="inlineStr">
        <is>
          <t>eps_hrvg</t>
        </is>
      </c>
    </row>
    <row r="1030">
      <c r="A1030" s="16" t="inlineStr">
        <is>
          <t>KF-M03-0129</t>
        </is>
      </c>
      <c r="B1030" s="16" t="inlineStr">
        <is>
          <t>3.1</t>
        </is>
      </c>
      <c r="C1030" s="16" t="inlineStr">
        <is>
          <t>3.1</t>
        </is>
      </c>
      <c r="D1030" s="16" t="inlineStr">
        <is>
          <t>alrededor de A*</t>
        </is>
      </c>
      <c r="E1030" s="16" t="inlineStr">
        <is>
          <t>KF-M03</t>
        </is>
      </c>
      <c r="F1030" s="16" t="inlineStr">
        <is>
          <t>KF-M03</t>
        </is>
      </c>
      <c r="G1030" s="16" t="inlineStr">
        <is>
          <t>B06</t>
        </is>
      </c>
      <c r="H1030" s="16" t="inlineStr">
        <is>
          <t>malla</t>
        </is>
      </c>
      <c r="I1030" s="16" t="inlineStr">
        <is>
          <t>KALINA</t>
        </is>
      </c>
      <c r="J1030" s="16" t="inlineStr">
        <is>
          <t>KALINA</t>
        </is>
      </c>
      <c r="K1030" s="16" t="b">
        <v>1</v>
      </c>
      <c r="L1030" s="16" t="b">
        <v>1</v>
      </c>
      <c r="M1030" s="16" t="b">
        <v>0</v>
      </c>
      <c r="N1030" s="16" t="b">
        <v>0</v>
      </c>
      <c r="O1030" s="16" t="n">
        <v>403</v>
      </c>
      <c r="P1030" s="16" t="n">
        <v>300.032917</v>
      </c>
      <c r="Q1030" s="16" t="n">
        <v>3000</v>
      </c>
      <c r="R1030" s="16" t="n">
        <v>563.6363636363637</v>
      </c>
      <c r="S1030" s="16" t="n">
        <v>0.5</v>
      </c>
      <c r="T1030" s="16" t="n">
        <v>0.85</v>
      </c>
      <c r="U1030" s="16" t="n">
        <v>0.75</v>
      </c>
      <c r="V1030" s="16" t="n">
        <v>0.7535714285714286</v>
      </c>
      <c r="W1030" s="16" t="n">
        <v>0.75</v>
      </c>
      <c r="X1030" s="16" t="n">
        <v>0.8</v>
      </c>
      <c r="Y1030" s="16" t="n"/>
      <c r="Z1030" s="16" t="n">
        <v>7.782946115089199</v>
      </c>
      <c r="AA1030" s="16" t="n">
        <v>21.29131919875457</v>
      </c>
      <c r="AB1030" s="16" t="n">
        <v>2436.363636363636</v>
      </c>
      <c r="AC1030" s="16" t="n">
        <v>5.322580645161289</v>
      </c>
      <c r="AD1030" s="16" t="n"/>
      <c r="AE1030" s="16" t="inlineStr">
        <is>
          <t>eps_hrvg</t>
        </is>
      </c>
    </row>
    <row r="1031">
      <c r="A1031" s="16" t="inlineStr">
        <is>
          <t>KF-M03-0130</t>
        </is>
      </c>
      <c r="B1031" s="16" t="inlineStr">
        <is>
          <t>3.1</t>
        </is>
      </c>
      <c r="C1031" s="16" t="inlineStr">
        <is>
          <t>3.1</t>
        </is>
      </c>
      <c r="D1031" s="16" t="inlineStr">
        <is>
          <t>alrededor de A*</t>
        </is>
      </c>
      <c r="E1031" s="16" t="inlineStr">
        <is>
          <t>KF-M03</t>
        </is>
      </c>
      <c r="F1031" s="16" t="inlineStr">
        <is>
          <t>KF-M03</t>
        </is>
      </c>
      <c r="G1031" s="16" t="inlineStr">
        <is>
          <t>B06</t>
        </is>
      </c>
      <c r="H1031" s="16" t="inlineStr">
        <is>
          <t>malla</t>
        </is>
      </c>
      <c r="I1031" s="16" t="inlineStr">
        <is>
          <t>CORREGIBLE</t>
        </is>
      </c>
      <c r="J1031" s="16" t="inlineStr">
        <is>
          <t>CORREGIBLE</t>
        </is>
      </c>
      <c r="K1031" s="16" t="b">
        <v>1</v>
      </c>
      <c r="L1031" s="16" t="b">
        <v>0</v>
      </c>
      <c r="M1031" s="16" t="b">
        <v>0</v>
      </c>
      <c r="N1031" s="16" t="b">
        <v>0</v>
      </c>
      <c r="O1031" s="16" t="n">
        <v>403</v>
      </c>
      <c r="P1031" s="16" t="n">
        <v>300.032917</v>
      </c>
      <c r="Q1031" s="16" t="n">
        <v>3000</v>
      </c>
      <c r="R1031" s="16" t="n">
        <v>563.6363636363637</v>
      </c>
      <c r="S1031" s="16" t="n">
        <v>0.5</v>
      </c>
      <c r="T1031" s="16" t="n">
        <v>0.85</v>
      </c>
      <c r="U1031" s="16" t="n">
        <v>0.75</v>
      </c>
      <c r="V1031" s="16" t="n">
        <v>0.8714285714285714</v>
      </c>
      <c r="W1031" s="16" t="n">
        <v>0.75</v>
      </c>
      <c r="X1031" s="16" t="n">
        <v>0.8</v>
      </c>
      <c r="Y1031" s="16" t="n"/>
      <c r="Z1031" s="16" t="n">
        <v>8.61616161384956</v>
      </c>
      <c r="AA1031" s="16" t="n">
        <v>26.96295125074012</v>
      </c>
      <c r="AB1031" s="16" t="n">
        <v>2436.363636363636</v>
      </c>
      <c r="AC1031" s="16" t="n">
        <v>5.322580645161289</v>
      </c>
      <c r="AD1031" s="16" t="inlineStr">
        <is>
          <t>O2</t>
        </is>
      </c>
      <c r="AE1031" s="16" t="inlineStr">
        <is>
          <t>eps_hrvg</t>
        </is>
      </c>
    </row>
    <row r="1032">
      <c r="A1032" s="16" t="inlineStr">
        <is>
          <t>KF-M03-0131</t>
        </is>
      </c>
      <c r="B1032" s="16" t="inlineStr">
        <is>
          <t>3.1</t>
        </is>
      </c>
      <c r="C1032" s="16" t="inlineStr">
        <is>
          <t>3.1</t>
        </is>
      </c>
      <c r="D1032" s="16" t="inlineStr">
        <is>
          <t>alrededor de A*</t>
        </is>
      </c>
      <c r="E1032" s="16" t="inlineStr">
        <is>
          <t>KF-M03</t>
        </is>
      </c>
      <c r="F1032" s="16" t="inlineStr">
        <is>
          <t>KF-M03</t>
        </is>
      </c>
      <c r="G1032" s="16" t="inlineStr">
        <is>
          <t>B06</t>
        </is>
      </c>
      <c r="H1032" s="16" t="inlineStr">
        <is>
          <t>malla</t>
        </is>
      </c>
      <c r="I1032" s="16" t="inlineStr">
        <is>
          <t>KALINA</t>
        </is>
      </c>
      <c r="J1032" s="16" t="inlineStr">
        <is>
          <t>KALINA</t>
        </is>
      </c>
      <c r="K1032" s="16" t="b">
        <v>1</v>
      </c>
      <c r="L1032" s="16" t="b">
        <v>1</v>
      </c>
      <c r="M1032" s="16" t="b">
        <v>0</v>
      </c>
      <c r="N1032" s="16" t="b">
        <v>0</v>
      </c>
      <c r="O1032" s="16" t="n">
        <v>403</v>
      </c>
      <c r="P1032" s="16" t="n">
        <v>300.032917</v>
      </c>
      <c r="Q1032" s="16" t="n">
        <v>3000</v>
      </c>
      <c r="R1032" s="16" t="n">
        <v>563.6363636363637</v>
      </c>
      <c r="S1032" s="16" t="n">
        <v>0.5</v>
      </c>
      <c r="T1032" s="16" t="n">
        <v>0.85</v>
      </c>
      <c r="U1032" s="16" t="n">
        <v>0.75</v>
      </c>
      <c r="V1032" s="16" t="n">
        <v>0.8321428571428571</v>
      </c>
      <c r="W1032" s="16" t="n">
        <v>0.75</v>
      </c>
      <c r="X1032" s="16" t="n">
        <v>0.8</v>
      </c>
      <c r="Y1032" s="16" t="n"/>
      <c r="Z1032" s="16" t="n">
        <v>8.364688414671621</v>
      </c>
      <c r="AA1032" s="16" t="n">
        <v>25.08752365912554</v>
      </c>
      <c r="AB1032" s="16" t="n">
        <v>2436.363636363636</v>
      </c>
      <c r="AC1032" s="16" t="n">
        <v>5.322580645161289</v>
      </c>
      <c r="AD1032" s="16" t="n"/>
      <c r="AE1032" s="16" t="inlineStr">
        <is>
          <t>eps_hrvg</t>
        </is>
      </c>
    </row>
    <row r="1033">
      <c r="A1033" s="16" t="inlineStr">
        <is>
          <t>KF-M03-0132</t>
        </is>
      </c>
      <c r="B1033" s="16" t="inlineStr">
        <is>
          <t>3.1</t>
        </is>
      </c>
      <c r="C1033" s="16" t="inlineStr">
        <is>
          <t>3.1</t>
        </is>
      </c>
      <c r="D1033" s="16" t="inlineStr">
        <is>
          <t>alrededor de A*</t>
        </is>
      </c>
      <c r="E1033" s="16" t="inlineStr">
        <is>
          <t>KF-M03</t>
        </is>
      </c>
      <c r="F1033" s="16" t="inlineStr">
        <is>
          <t>KF-M03</t>
        </is>
      </c>
      <c r="G1033" s="16" t="inlineStr">
        <is>
          <t>B06</t>
        </is>
      </c>
      <c r="H1033" s="16" t="inlineStr">
        <is>
          <t>malla</t>
        </is>
      </c>
      <c r="I1033" s="16" t="inlineStr">
        <is>
          <t>KALINA</t>
        </is>
      </c>
      <c r="J1033" s="16" t="inlineStr">
        <is>
          <t>KALINA</t>
        </is>
      </c>
      <c r="K1033" s="16" t="b">
        <v>1</v>
      </c>
      <c r="L1033" s="16" t="b">
        <v>1</v>
      </c>
      <c r="M1033" s="16" t="b">
        <v>0</v>
      </c>
      <c r="N1033" s="16" t="b">
        <v>0</v>
      </c>
      <c r="O1033" s="16" t="n">
        <v>403</v>
      </c>
      <c r="P1033" s="16" t="n">
        <v>300.032917</v>
      </c>
      <c r="Q1033" s="16" t="n">
        <v>3000</v>
      </c>
      <c r="R1033" s="16" t="n">
        <v>563.6363636363637</v>
      </c>
      <c r="S1033" s="16" t="n">
        <v>0.5</v>
      </c>
      <c r="T1033" s="16" t="n">
        <v>0.85</v>
      </c>
      <c r="U1033" s="16" t="n">
        <v>0.75</v>
      </c>
      <c r="V1033" s="16" t="n">
        <v>0.7928571428571428</v>
      </c>
      <c r="W1033" s="16" t="n">
        <v>0.75</v>
      </c>
      <c r="X1033" s="16" t="n">
        <v>0.8</v>
      </c>
      <c r="Y1033" s="16" t="n"/>
      <c r="Z1033" s="16" t="n">
        <v>8.08823043652083</v>
      </c>
      <c r="AA1033" s="16" t="n">
        <v>23.1969256405766</v>
      </c>
      <c r="AB1033" s="16" t="n">
        <v>2436.363636363636</v>
      </c>
      <c r="AC1033" s="16" t="n">
        <v>5.322580645161289</v>
      </c>
      <c r="AD1033" s="16" t="n"/>
      <c r="AE1033" s="16" t="inlineStr">
        <is>
          <t>eps_hrvg</t>
        </is>
      </c>
    </row>
    <row r="1034">
      <c r="A1034" s="16" t="inlineStr">
        <is>
          <t>KF-M03-0133</t>
        </is>
      </c>
      <c r="B1034" s="16" t="inlineStr">
        <is>
          <t>3.1</t>
        </is>
      </c>
      <c r="C1034" s="16" t="inlineStr">
        <is>
          <t>3.1</t>
        </is>
      </c>
      <c r="D1034" s="16" t="inlineStr">
        <is>
          <t>alrededor de A*</t>
        </is>
      </c>
      <c r="E1034" s="16" t="inlineStr">
        <is>
          <t>KF-M03</t>
        </is>
      </c>
      <c r="F1034" s="16" t="inlineStr">
        <is>
          <t>KF-M03</t>
        </is>
      </c>
      <c r="G1034" s="16" t="inlineStr">
        <is>
          <t>B06</t>
        </is>
      </c>
      <c r="H1034" s="16" t="inlineStr">
        <is>
          <t>malla</t>
        </is>
      </c>
      <c r="I1034" s="16" t="inlineStr">
        <is>
          <t>INVIABLE</t>
        </is>
      </c>
      <c r="J1034" s="16" t="inlineStr">
        <is>
          <t>INVIABLE</t>
        </is>
      </c>
      <c r="K1034" s="16" t="b">
        <v>1</v>
      </c>
      <c r="L1034" s="16" t="b">
        <v>0</v>
      </c>
      <c r="M1034" s="16" t="b">
        <v>0</v>
      </c>
      <c r="N1034" s="16" t="b">
        <v>0</v>
      </c>
      <c r="O1034" s="16" t="n">
        <v>403</v>
      </c>
      <c r="P1034" s="16" t="n">
        <v>300.032917</v>
      </c>
      <c r="Q1034" s="16" t="n">
        <v>3000</v>
      </c>
      <c r="R1034" s="16" t="n">
        <v>563.6363636363637</v>
      </c>
      <c r="S1034" s="16" t="n">
        <v>0.5</v>
      </c>
      <c r="T1034" s="16" t="n">
        <v>0.85</v>
      </c>
      <c r="U1034" s="16" t="n">
        <v>0.75</v>
      </c>
      <c r="V1034" s="16" t="n">
        <v>0.9107142857142856</v>
      </c>
      <c r="W1034" s="16" t="n">
        <v>0.75</v>
      </c>
      <c r="X1034" s="16" t="n">
        <v>0.8</v>
      </c>
      <c r="Y1034" s="16" t="n"/>
      <c r="Z1034" s="16" t="n">
        <v>8.84497483230737</v>
      </c>
      <c r="AA1034" s="16" t="n">
        <v>28.82026071227799</v>
      </c>
      <c r="AB1034" s="16" t="n">
        <v>2436.363636363636</v>
      </c>
      <c r="AC1034" s="16" t="n">
        <v>5.322580645161289</v>
      </c>
      <c r="AD1034" s="16" t="inlineStr">
        <is>
          <t>S3,O2</t>
        </is>
      </c>
      <c r="AE1034" s="16" t="inlineStr">
        <is>
          <t>eps_hrvg</t>
        </is>
      </c>
    </row>
    <row r="1035">
      <c r="A1035" s="16" t="inlineStr">
        <is>
          <t>KF-M03-0134</t>
        </is>
      </c>
      <c r="B1035" s="16" t="inlineStr">
        <is>
          <t>3.1</t>
        </is>
      </c>
      <c r="C1035" s="16" t="inlineStr">
        <is>
          <t>3.1</t>
        </is>
      </c>
      <c r="D1035" s="16" t="inlineStr">
        <is>
          <t>alrededor de A*</t>
        </is>
      </c>
      <c r="E1035" s="16" t="inlineStr">
        <is>
          <t>KF-M03</t>
        </is>
      </c>
      <c r="F1035" s="16" t="inlineStr">
        <is>
          <t>KF-M03</t>
        </is>
      </c>
      <c r="G1035" s="16" t="inlineStr">
        <is>
          <t>B06</t>
        </is>
      </c>
      <c r="H1035" s="16" t="inlineStr">
        <is>
          <t>malla</t>
        </is>
      </c>
      <c r="I1035" s="16" t="inlineStr">
        <is>
          <t>CORREGIBLE</t>
        </is>
      </c>
      <c r="J1035" s="16" t="inlineStr">
        <is>
          <t>CORREGIBLE</t>
        </is>
      </c>
      <c r="K1035" s="16" t="b">
        <v>1</v>
      </c>
      <c r="L1035" s="16" t="b">
        <v>0</v>
      </c>
      <c r="M1035" s="16" t="b">
        <v>0</v>
      </c>
      <c r="N1035" s="16" t="b">
        <v>0</v>
      </c>
      <c r="O1035" s="16" t="n">
        <v>403</v>
      </c>
      <c r="P1035" s="16" t="n">
        <v>300.032917</v>
      </c>
      <c r="Q1035" s="16" t="n">
        <v>3000</v>
      </c>
      <c r="R1035" s="16" t="n">
        <v>563.6363636363637</v>
      </c>
      <c r="S1035" s="16" t="n">
        <v>0.5</v>
      </c>
      <c r="T1035" s="16" t="n">
        <v>0.85</v>
      </c>
      <c r="U1035" s="16" t="n">
        <v>0.75</v>
      </c>
      <c r="V1035" s="16" t="n">
        <v>0.95</v>
      </c>
      <c r="W1035" s="16" t="n">
        <v>0.75</v>
      </c>
      <c r="X1035" s="16" t="n">
        <v>0.8</v>
      </c>
      <c r="Y1035" s="16" t="n"/>
      <c r="Z1035" s="16" t="n">
        <v>9.05317242655784</v>
      </c>
      <c r="AA1035" s="16" t="n">
        <v>30.65686718267041</v>
      </c>
      <c r="AB1035" s="16" t="n">
        <v>2436.363636363636</v>
      </c>
      <c r="AC1035" s="16" t="n">
        <v>5.322580645161289</v>
      </c>
      <c r="AD1035" s="16" t="inlineStr">
        <is>
          <t>O2</t>
        </is>
      </c>
      <c r="AE1035" s="16" t="inlineStr">
        <is>
          <t>eps_hrvg</t>
        </is>
      </c>
    </row>
    <row r="1036">
      <c r="A1036" s="16" t="inlineStr">
        <is>
          <t>KF-M03-0135</t>
        </is>
      </c>
      <c r="B1036" s="16" t="inlineStr">
        <is>
          <t>3.1</t>
        </is>
      </c>
      <c r="C1036" s="16" t="inlineStr">
        <is>
          <t>3.1</t>
        </is>
      </c>
      <c r="D1036" s="16" t="inlineStr">
        <is>
          <t>alrededor de A*</t>
        </is>
      </c>
      <c r="E1036" s="16" t="inlineStr">
        <is>
          <t>KF-M03</t>
        </is>
      </c>
      <c r="F1036" s="16" t="inlineStr">
        <is>
          <t>KF-M03</t>
        </is>
      </c>
      <c r="G1036" s="16" t="inlineStr">
        <is>
          <t>B06</t>
        </is>
      </c>
      <c r="H1036" s="16" t="inlineStr">
        <is>
          <t>vecino</t>
        </is>
      </c>
      <c r="I1036" s="16" t="inlineStr">
        <is>
          <t>KALINA</t>
        </is>
      </c>
      <c r="J1036" s="16" t="inlineStr">
        <is>
          <t>KALINA</t>
        </is>
      </c>
      <c r="K1036" s="16" t="b">
        <v>1</v>
      </c>
      <c r="L1036" s="16" t="b">
        <v>1</v>
      </c>
      <c r="M1036" s="16" t="b">
        <v>0</v>
      </c>
      <c r="N1036" s="16" t="b">
        <v>0</v>
      </c>
      <c r="O1036" s="16" t="n">
        <v>403</v>
      </c>
      <c r="P1036" s="16" t="n">
        <v>300.032917</v>
      </c>
      <c r="Q1036" s="16" t="n">
        <v>3000</v>
      </c>
      <c r="R1036" s="16" t="n">
        <v>563.6363636363637</v>
      </c>
      <c r="S1036" s="16" t="n">
        <v>0.5</v>
      </c>
      <c r="T1036" s="16" t="n">
        <v>0.85</v>
      </c>
      <c r="U1036" s="16" t="n">
        <v>0.75</v>
      </c>
      <c r="V1036" s="16" t="n">
        <v>0.8445</v>
      </c>
      <c r="W1036" s="16" t="n">
        <v>0.75</v>
      </c>
      <c r="X1036" s="16" t="n">
        <v>0.8</v>
      </c>
      <c r="Y1036" s="16" t="n"/>
      <c r="Z1036" s="16" t="n">
        <v>8.4463252359851</v>
      </c>
      <c r="AA1036" s="16" t="n">
        <v>25.67907595676939</v>
      </c>
      <c r="AB1036" s="16" t="n">
        <v>2436.363636363636</v>
      </c>
      <c r="AC1036" s="16" t="n">
        <v>5.322580645161289</v>
      </c>
      <c r="AD1036" s="16" t="n"/>
      <c r="AE1036" s="16" t="inlineStr">
        <is>
          <t>eps_hrvg</t>
        </is>
      </c>
    </row>
    <row r="1037">
      <c r="A1037" s="16" t="inlineStr">
        <is>
          <t>KF-M03-0136</t>
        </is>
      </c>
      <c r="B1037" s="16" t="inlineStr">
        <is>
          <t>3.1</t>
        </is>
      </c>
      <c r="C1037" s="16" t="inlineStr">
        <is>
          <t>3.1</t>
        </is>
      </c>
      <c r="D1037" s="16" t="inlineStr">
        <is>
          <t>alrededor de A*</t>
        </is>
      </c>
      <c r="E1037" s="16" t="inlineStr">
        <is>
          <t>KF-M03</t>
        </is>
      </c>
      <c r="F1037" s="16" t="inlineStr">
        <is>
          <t>KF-M03</t>
        </is>
      </c>
      <c r="G1037" s="16" t="inlineStr">
        <is>
          <t>B06</t>
        </is>
      </c>
      <c r="H1037" s="16" t="inlineStr">
        <is>
          <t>vecino</t>
        </is>
      </c>
      <c r="I1037" s="16" t="inlineStr">
        <is>
          <t>KALINA</t>
        </is>
      </c>
      <c r="J1037" s="16" t="inlineStr">
        <is>
          <t>KALINA</t>
        </is>
      </c>
      <c r="K1037" s="16" t="b">
        <v>1</v>
      </c>
      <c r="L1037" s="16" t="b">
        <v>1</v>
      </c>
      <c r="M1037" s="16" t="b">
        <v>0</v>
      </c>
      <c r="N1037" s="16" t="b">
        <v>0</v>
      </c>
      <c r="O1037" s="16" t="n">
        <v>403</v>
      </c>
      <c r="P1037" s="16" t="n">
        <v>300.032917</v>
      </c>
      <c r="Q1037" s="16" t="n">
        <v>3000</v>
      </c>
      <c r="R1037" s="16" t="n">
        <v>563.6363636363637</v>
      </c>
      <c r="S1037" s="16" t="n">
        <v>0.5</v>
      </c>
      <c r="T1037" s="16" t="n">
        <v>0.85</v>
      </c>
      <c r="U1037" s="16" t="n">
        <v>0.75</v>
      </c>
      <c r="V1037" s="16" t="n">
        <v>0.8554999999999999</v>
      </c>
      <c r="W1037" s="16" t="n">
        <v>0.75</v>
      </c>
      <c r="X1037" s="16" t="n">
        <v>0.8</v>
      </c>
      <c r="Y1037" s="16" t="n"/>
      <c r="Z1037" s="16" t="n">
        <v>8.51699805241268</v>
      </c>
      <c r="AA1037" s="16" t="n">
        <v>26.20438873839784</v>
      </c>
      <c r="AB1037" s="16" t="n">
        <v>2436.363636363636</v>
      </c>
      <c r="AC1037" s="16" t="n">
        <v>5.322580645161289</v>
      </c>
      <c r="AD1037" s="16" t="n"/>
      <c r="AE1037" s="16" t="inlineStr">
        <is>
          <t>eps_hrvg</t>
        </is>
      </c>
    </row>
    <row r="1038">
      <c r="A1038" s="16" t="inlineStr">
        <is>
          <t>KF-M03-0137</t>
        </is>
      </c>
      <c r="B1038" s="16" t="inlineStr">
        <is>
          <t>3.1</t>
        </is>
      </c>
      <c r="C1038" s="16" t="inlineStr">
        <is>
          <t>3.1</t>
        </is>
      </c>
      <c r="D1038" s="16" t="inlineStr">
        <is>
          <t>alrededor de A*</t>
        </is>
      </c>
      <c r="E1038" s="16" t="inlineStr">
        <is>
          <t>KF-M03</t>
        </is>
      </c>
      <c r="F1038" s="16" t="inlineStr">
        <is>
          <t>KF-M03</t>
        </is>
      </c>
      <c r="G1038" s="16" t="inlineStr">
        <is>
          <t>B06</t>
        </is>
      </c>
      <c r="H1038" s="16" t="inlineStr">
        <is>
          <t>malla</t>
        </is>
      </c>
      <c r="I1038" s="16" t="inlineStr">
        <is>
          <t>CORREGIBLE</t>
        </is>
      </c>
      <c r="J1038" s="16" t="inlineStr">
        <is>
          <t>CORREGIBLE</t>
        </is>
      </c>
      <c r="K1038" s="16" t="b">
        <v>1</v>
      </c>
      <c r="L1038" s="16" t="b">
        <v>0</v>
      </c>
      <c r="M1038" s="16" t="b">
        <v>0</v>
      </c>
      <c r="N1038" s="16" t="b">
        <v>0</v>
      </c>
      <c r="O1038" s="16" t="n">
        <v>403</v>
      </c>
      <c r="P1038" s="16" t="n">
        <v>300.032917</v>
      </c>
      <c r="Q1038" s="16" t="n">
        <v>3000</v>
      </c>
      <c r="R1038" s="16" t="n">
        <v>563.6363636363637</v>
      </c>
      <c r="S1038" s="16" t="n">
        <v>0.5</v>
      </c>
      <c r="T1038" s="16" t="n">
        <v>0.85</v>
      </c>
      <c r="U1038" s="16" t="n">
        <v>0.75</v>
      </c>
      <c r="V1038" s="16" t="n">
        <v>0.85</v>
      </c>
      <c r="W1038" s="16" t="n">
        <v>0.4</v>
      </c>
      <c r="X1038" s="16" t="n">
        <v>0.8</v>
      </c>
      <c r="Y1038" s="16" t="n"/>
      <c r="Z1038" s="16" t="n">
        <v>5.96461268203815</v>
      </c>
      <c r="AA1038" s="16" t="n">
        <v>23.64877096080515</v>
      </c>
      <c r="AB1038" s="16" t="n">
        <v>2436.363636363636</v>
      </c>
      <c r="AC1038" s="16" t="n">
        <v>5.322580645161289</v>
      </c>
      <c r="AD1038" s="16" t="inlineStr">
        <is>
          <t>O2</t>
        </is>
      </c>
      <c r="AE1038" s="16" t="inlineStr">
        <is>
          <t>eps_reg</t>
        </is>
      </c>
    </row>
    <row r="1039">
      <c r="A1039" s="16" t="inlineStr">
        <is>
          <t>KF-M03-0138</t>
        </is>
      </c>
      <c r="B1039" s="16" t="inlineStr">
        <is>
          <t>3.1</t>
        </is>
      </c>
      <c r="C1039" s="16" t="inlineStr">
        <is>
          <t>3.1</t>
        </is>
      </c>
      <c r="D1039" s="16" t="inlineStr">
        <is>
          <t>alrededor de A*</t>
        </is>
      </c>
      <c r="E1039" s="16" t="inlineStr">
        <is>
          <t>KF-M03</t>
        </is>
      </c>
      <c r="F1039" s="16" t="inlineStr">
        <is>
          <t>KF-M03</t>
        </is>
      </c>
      <c r="G1039" s="16" t="inlineStr">
        <is>
          <t>B06</t>
        </is>
      </c>
      <c r="H1039" s="16" t="inlineStr">
        <is>
          <t>malla</t>
        </is>
      </c>
      <c r="I1039" s="16" t="inlineStr">
        <is>
          <t>CORREGIBLE</t>
        </is>
      </c>
      <c r="J1039" s="16" t="inlineStr">
        <is>
          <t>CORREGIBLE</t>
        </is>
      </c>
      <c r="K1039" s="16" t="b">
        <v>1</v>
      </c>
      <c r="L1039" s="16" t="b">
        <v>0</v>
      </c>
      <c r="M1039" s="16" t="b">
        <v>0</v>
      </c>
      <c r="N1039" s="16" t="b">
        <v>0</v>
      </c>
      <c r="O1039" s="16" t="n">
        <v>403</v>
      </c>
      <c r="P1039" s="16" t="n">
        <v>300.032917</v>
      </c>
      <c r="Q1039" s="16" t="n">
        <v>3000</v>
      </c>
      <c r="R1039" s="16" t="n">
        <v>563.6363636363637</v>
      </c>
      <c r="S1039" s="16" t="n">
        <v>0.5</v>
      </c>
      <c r="T1039" s="16" t="n">
        <v>0.85</v>
      </c>
      <c r="U1039" s="16" t="n">
        <v>0.75</v>
      </c>
      <c r="V1039" s="16" t="n">
        <v>0.85</v>
      </c>
      <c r="W1039" s="16" t="n">
        <v>0.4392857142857143</v>
      </c>
      <c r="X1039" s="16" t="n">
        <v>0.8</v>
      </c>
      <c r="Y1039" s="16" t="n"/>
      <c r="Z1039" s="16" t="n">
        <v>6.18094896905352</v>
      </c>
      <c r="AA1039" s="16" t="n">
        <v>23.91106093641224</v>
      </c>
      <c r="AB1039" s="16" t="n">
        <v>2436.363636363636</v>
      </c>
      <c r="AC1039" s="16" t="n">
        <v>5.322580645161289</v>
      </c>
      <c r="AD1039" s="16" t="inlineStr">
        <is>
          <t>O2</t>
        </is>
      </c>
      <c r="AE1039" s="16" t="inlineStr">
        <is>
          <t>eps_reg</t>
        </is>
      </c>
    </row>
    <row r="1040">
      <c r="A1040" s="16" t="inlineStr">
        <is>
          <t>KF-M03-0139</t>
        </is>
      </c>
      <c r="B1040" s="16" t="inlineStr">
        <is>
          <t>3.1</t>
        </is>
      </c>
      <c r="C1040" s="16" t="inlineStr">
        <is>
          <t>3.1</t>
        </is>
      </c>
      <c r="D1040" s="16" t="inlineStr">
        <is>
          <t>alrededor de A*</t>
        </is>
      </c>
      <c r="E1040" s="16" t="inlineStr">
        <is>
          <t>KF-M03</t>
        </is>
      </c>
      <c r="F1040" s="16" t="inlineStr">
        <is>
          <t>KF-M03</t>
        </is>
      </c>
      <c r="G1040" s="16" t="inlineStr">
        <is>
          <t>B06</t>
        </is>
      </c>
      <c r="H1040" s="16" t="inlineStr">
        <is>
          <t>malla</t>
        </is>
      </c>
      <c r="I1040" s="16" t="inlineStr">
        <is>
          <t>CORREGIBLE</t>
        </is>
      </c>
      <c r="J1040" s="16" t="inlineStr">
        <is>
          <t>CORREGIBLE</t>
        </is>
      </c>
      <c r="K1040" s="16" t="b">
        <v>1</v>
      </c>
      <c r="L1040" s="16" t="b">
        <v>0</v>
      </c>
      <c r="M1040" s="16" t="b">
        <v>0</v>
      </c>
      <c r="N1040" s="16" t="b">
        <v>0</v>
      </c>
      <c r="O1040" s="16" t="n">
        <v>403</v>
      </c>
      <c r="P1040" s="16" t="n">
        <v>300.032917</v>
      </c>
      <c r="Q1040" s="16" t="n">
        <v>3000</v>
      </c>
      <c r="R1040" s="16" t="n">
        <v>563.6363636363637</v>
      </c>
      <c r="S1040" s="16" t="n">
        <v>0.5</v>
      </c>
      <c r="T1040" s="16" t="n">
        <v>0.85</v>
      </c>
      <c r="U1040" s="16" t="n">
        <v>0.75</v>
      </c>
      <c r="V1040" s="16" t="n">
        <v>0.85</v>
      </c>
      <c r="W1040" s="16" t="n">
        <v>0.4785714285714286</v>
      </c>
      <c r="X1040" s="16" t="n">
        <v>0.8</v>
      </c>
      <c r="Y1040" s="16" t="n"/>
      <c r="Z1040" s="16" t="n">
        <v>6.41033394829755</v>
      </c>
      <c r="AA1040" s="16" t="n">
        <v>24.17241741750884</v>
      </c>
      <c r="AB1040" s="16" t="n">
        <v>2436.363636363636</v>
      </c>
      <c r="AC1040" s="16" t="n">
        <v>5.322580645161289</v>
      </c>
      <c r="AD1040" s="16" t="inlineStr">
        <is>
          <t>O2</t>
        </is>
      </c>
      <c r="AE1040" s="16" t="inlineStr">
        <is>
          <t>eps_reg</t>
        </is>
      </c>
    </row>
    <row r="1041">
      <c r="A1041" s="16" t="inlineStr">
        <is>
          <t>KF-M03-0140</t>
        </is>
      </c>
      <c r="B1041" s="16" t="inlineStr">
        <is>
          <t>3.1</t>
        </is>
      </c>
      <c r="C1041" s="16" t="inlineStr">
        <is>
          <t>3.1</t>
        </is>
      </c>
      <c r="D1041" s="16" t="inlineStr">
        <is>
          <t>alrededor de A*</t>
        </is>
      </c>
      <c r="E1041" s="16" t="inlineStr">
        <is>
          <t>KF-M03</t>
        </is>
      </c>
      <c r="F1041" s="16" t="inlineStr">
        <is>
          <t>KF-M03</t>
        </is>
      </c>
      <c r="G1041" s="16" t="inlineStr">
        <is>
          <t>B06</t>
        </is>
      </c>
      <c r="H1041" s="16" t="inlineStr">
        <is>
          <t>malla</t>
        </is>
      </c>
      <c r="I1041" s="16" t="inlineStr">
        <is>
          <t>CORREGIBLE</t>
        </is>
      </c>
      <c r="J1041" s="16" t="inlineStr">
        <is>
          <t>CORREGIBLE</t>
        </is>
      </c>
      <c r="K1041" s="16" t="b">
        <v>1</v>
      </c>
      <c r="L1041" s="16" t="b">
        <v>0</v>
      </c>
      <c r="M1041" s="16" t="b">
        <v>0</v>
      </c>
      <c r="N1041" s="16" t="b">
        <v>0</v>
      </c>
      <c r="O1041" s="16" t="n">
        <v>403</v>
      </c>
      <c r="P1041" s="16" t="n">
        <v>300.032917</v>
      </c>
      <c r="Q1041" s="16" t="n">
        <v>3000</v>
      </c>
      <c r="R1041" s="16" t="n">
        <v>563.6363636363637</v>
      </c>
      <c r="S1041" s="16" t="n">
        <v>0.5</v>
      </c>
      <c r="T1041" s="16" t="n">
        <v>0.85</v>
      </c>
      <c r="U1041" s="16" t="n">
        <v>0.75</v>
      </c>
      <c r="V1041" s="16" t="n">
        <v>0.85</v>
      </c>
      <c r="W1041" s="16" t="n">
        <v>0.5178571428571429</v>
      </c>
      <c r="X1041" s="16" t="n">
        <v>0.8</v>
      </c>
      <c r="Y1041" s="16" t="n"/>
      <c r="Z1041" s="16" t="n">
        <v>6.65406219751193</v>
      </c>
      <c r="AA1041" s="16" t="n">
        <v>24.43271379240901</v>
      </c>
      <c r="AB1041" s="16" t="n">
        <v>2436.363636363636</v>
      </c>
      <c r="AC1041" s="16" t="n">
        <v>5.322580645161289</v>
      </c>
      <c r="AD1041" s="16" t="inlineStr">
        <is>
          <t>O2</t>
        </is>
      </c>
      <c r="AE1041" s="16" t="inlineStr">
        <is>
          <t>eps_reg</t>
        </is>
      </c>
    </row>
    <row r="1042">
      <c r="A1042" s="16" t="inlineStr">
        <is>
          <t>KF-M03-0141</t>
        </is>
      </c>
      <c r="B1042" s="16" t="inlineStr">
        <is>
          <t>3.1</t>
        </is>
      </c>
      <c r="C1042" s="16" t="inlineStr">
        <is>
          <t>3.1</t>
        </is>
      </c>
      <c r="D1042" s="16" t="inlineStr">
        <is>
          <t>alrededor de A*</t>
        </is>
      </c>
      <c r="E1042" s="16" t="inlineStr">
        <is>
          <t>KF-M03</t>
        </is>
      </c>
      <c r="F1042" s="16" t="inlineStr">
        <is>
          <t>KF-M03</t>
        </is>
      </c>
      <c r="G1042" s="16" t="inlineStr">
        <is>
          <t>B06</t>
        </is>
      </c>
      <c r="H1042" s="16" t="inlineStr">
        <is>
          <t>malla</t>
        </is>
      </c>
      <c r="I1042" s="16" t="inlineStr">
        <is>
          <t>CORREGIBLE</t>
        </is>
      </c>
      <c r="J1042" s="16" t="inlineStr">
        <is>
          <t>CORREGIBLE</t>
        </is>
      </c>
      <c r="K1042" s="16" t="b">
        <v>1</v>
      </c>
      <c r="L1042" s="16" t="b">
        <v>0</v>
      </c>
      <c r="M1042" s="16" t="b">
        <v>0</v>
      </c>
      <c r="N1042" s="16" t="b">
        <v>0</v>
      </c>
      <c r="O1042" s="16" t="n">
        <v>403</v>
      </c>
      <c r="P1042" s="16" t="n">
        <v>300.032917</v>
      </c>
      <c r="Q1042" s="16" t="n">
        <v>3000</v>
      </c>
      <c r="R1042" s="16" t="n">
        <v>563.6363636363637</v>
      </c>
      <c r="S1042" s="16" t="n">
        <v>0.5</v>
      </c>
      <c r="T1042" s="16" t="n">
        <v>0.85</v>
      </c>
      <c r="U1042" s="16" t="n">
        <v>0.75</v>
      </c>
      <c r="V1042" s="16" t="n">
        <v>0.85</v>
      </c>
      <c r="W1042" s="16" t="n">
        <v>0.5571428571428572</v>
      </c>
      <c r="X1042" s="16" t="n">
        <v>0.8</v>
      </c>
      <c r="Y1042" s="16" t="n"/>
      <c r="Z1042" s="16" t="n">
        <v>6.913587330346769</v>
      </c>
      <c r="AA1042" s="16" t="n">
        <v>24.69180144531409</v>
      </c>
      <c r="AB1042" s="16" t="n">
        <v>2436.363636363636</v>
      </c>
      <c r="AC1042" s="16" t="n">
        <v>5.322580645161289</v>
      </c>
      <c r="AD1042" s="16" t="inlineStr">
        <is>
          <t>O2</t>
        </is>
      </c>
      <c r="AE1042" s="16" t="inlineStr">
        <is>
          <t>eps_reg</t>
        </is>
      </c>
    </row>
    <row r="1043">
      <c r="A1043" s="16" t="inlineStr">
        <is>
          <t>KF-M03-0142</t>
        </is>
      </c>
      <c r="B1043" s="16" t="inlineStr">
        <is>
          <t>3.1</t>
        </is>
      </c>
      <c r="C1043" s="16" t="inlineStr">
        <is>
          <t>3.1</t>
        </is>
      </c>
      <c r="D1043" s="16" t="inlineStr">
        <is>
          <t>alrededor de A*</t>
        </is>
      </c>
      <c r="E1043" s="16" t="inlineStr">
        <is>
          <t>KF-M03</t>
        </is>
      </c>
      <c r="F1043" s="16" t="inlineStr">
        <is>
          <t>KF-M03</t>
        </is>
      </c>
      <c r="G1043" s="16" t="inlineStr">
        <is>
          <t>B06</t>
        </is>
      </c>
      <c r="H1043" s="16" t="inlineStr">
        <is>
          <t>malla</t>
        </is>
      </c>
      <c r="I1043" s="16" t="inlineStr">
        <is>
          <t>CORREGIBLE</t>
        </is>
      </c>
      <c r="J1043" s="16" t="inlineStr">
        <is>
          <t>CORREGIBLE</t>
        </is>
      </c>
      <c r="K1043" s="16" t="b">
        <v>1</v>
      </c>
      <c r="L1043" s="16" t="b">
        <v>0</v>
      </c>
      <c r="M1043" s="16" t="b">
        <v>0</v>
      </c>
      <c r="N1043" s="16" t="b">
        <v>0</v>
      </c>
      <c r="O1043" s="16" t="n">
        <v>403</v>
      </c>
      <c r="P1043" s="16" t="n">
        <v>300.032917</v>
      </c>
      <c r="Q1043" s="16" t="n">
        <v>3000</v>
      </c>
      <c r="R1043" s="16" t="n">
        <v>563.6363636363637</v>
      </c>
      <c r="S1043" s="16" t="n">
        <v>0.5</v>
      </c>
      <c r="T1043" s="16" t="n">
        <v>0.85</v>
      </c>
      <c r="U1043" s="16" t="n">
        <v>0.75</v>
      </c>
      <c r="V1043" s="16" t="n">
        <v>0.85</v>
      </c>
      <c r="W1043" s="16" t="n">
        <v>0.5964285714285714</v>
      </c>
      <c r="X1043" s="16" t="n">
        <v>0.8</v>
      </c>
      <c r="Y1043" s="16" t="n"/>
      <c r="Z1043" s="16" t="n">
        <v>7.19058403427672</v>
      </c>
      <c r="AA1043" s="16" t="n">
        <v>24.9495377599196</v>
      </c>
      <c r="AB1043" s="16" t="n">
        <v>2436.363636363636</v>
      </c>
      <c r="AC1043" s="16" t="n">
        <v>5.322580645161289</v>
      </c>
      <c r="AD1043" s="16" t="inlineStr">
        <is>
          <t>O2</t>
        </is>
      </c>
      <c r="AE1043" s="16" t="inlineStr">
        <is>
          <t>eps_reg</t>
        </is>
      </c>
    </row>
    <row r="1044">
      <c r="A1044" s="16" t="inlineStr">
        <is>
          <t>KF-M03-0143</t>
        </is>
      </c>
      <c r="B1044" s="16" t="inlineStr">
        <is>
          <t>3.1</t>
        </is>
      </c>
      <c r="C1044" s="16" t="inlineStr">
        <is>
          <t>3.1</t>
        </is>
      </c>
      <c r="D1044" s="16" t="inlineStr">
        <is>
          <t>alrededor de A*</t>
        </is>
      </c>
      <c r="E1044" s="16" t="inlineStr">
        <is>
          <t>KF-M03</t>
        </is>
      </c>
      <c r="F1044" s="16" t="inlineStr">
        <is>
          <t>KF-M03</t>
        </is>
      </c>
      <c r="G1044" s="16" t="inlineStr">
        <is>
          <t>B06</t>
        </is>
      </c>
      <c r="H1044" s="16" t="inlineStr">
        <is>
          <t>malla</t>
        </is>
      </c>
      <c r="I1044" s="16" t="inlineStr">
        <is>
          <t>CORREGIBLE</t>
        </is>
      </c>
      <c r="J1044" s="16" t="inlineStr">
        <is>
          <t>CORREGIBLE</t>
        </is>
      </c>
      <c r="K1044" s="16" t="b">
        <v>1</v>
      </c>
      <c r="L1044" s="16" t="b">
        <v>0</v>
      </c>
      <c r="M1044" s="16" t="b">
        <v>0</v>
      </c>
      <c r="N1044" s="16" t="b">
        <v>0</v>
      </c>
      <c r="O1044" s="16" t="n">
        <v>403</v>
      </c>
      <c r="P1044" s="16" t="n">
        <v>300.032917</v>
      </c>
      <c r="Q1044" s="16" t="n">
        <v>3000</v>
      </c>
      <c r="R1044" s="16" t="n">
        <v>563.6363636363637</v>
      </c>
      <c r="S1044" s="16" t="n">
        <v>0.5</v>
      </c>
      <c r="T1044" s="16" t="n">
        <v>0.85</v>
      </c>
      <c r="U1044" s="16" t="n">
        <v>0.75</v>
      </c>
      <c r="V1044" s="16" t="n">
        <v>0.85</v>
      </c>
      <c r="W1044" s="16" t="n">
        <v>0.6357142857142857</v>
      </c>
      <c r="X1044" s="16" t="n">
        <v>0.8</v>
      </c>
      <c r="Y1044" s="16" t="n"/>
      <c r="Z1044" s="16" t="n">
        <v>7.486964141851179</v>
      </c>
      <c r="AA1044" s="16" t="n">
        <v>25.20576472201851</v>
      </c>
      <c r="AB1044" s="16" t="n">
        <v>2436.363636363636</v>
      </c>
      <c r="AC1044" s="16" t="n">
        <v>5.322580645161289</v>
      </c>
      <c r="AD1044" s="16" t="inlineStr">
        <is>
          <t>O2</t>
        </is>
      </c>
      <c r="AE1044" s="16" t="inlineStr">
        <is>
          <t>eps_reg</t>
        </is>
      </c>
    </row>
    <row r="1045">
      <c r="A1045" s="16" t="inlineStr">
        <is>
          <t>KF-M03-0144</t>
        </is>
      </c>
      <c r="B1045" s="16" t="inlineStr">
        <is>
          <t>3.1</t>
        </is>
      </c>
      <c r="C1045" s="16" t="inlineStr">
        <is>
          <t>3.1</t>
        </is>
      </c>
      <c r="D1045" s="16" t="inlineStr">
        <is>
          <t>alrededor de A*</t>
        </is>
      </c>
      <c r="E1045" s="16" t="inlineStr">
        <is>
          <t>KF-M03</t>
        </is>
      </c>
      <c r="F1045" s="16" t="inlineStr">
        <is>
          <t>KF-M03</t>
        </is>
      </c>
      <c r="G1045" s="16" t="inlineStr">
        <is>
          <t>B06</t>
        </is>
      </c>
      <c r="H1045" s="16" t="inlineStr">
        <is>
          <t>malla</t>
        </is>
      </c>
      <c r="I1045" s="16" t="inlineStr">
        <is>
          <t>CORREGIBLE</t>
        </is>
      </c>
      <c r="J1045" s="16" t="inlineStr">
        <is>
          <t>CORREGIBLE</t>
        </is>
      </c>
      <c r="K1045" s="16" t="b">
        <v>1</v>
      </c>
      <c r="L1045" s="16" t="b">
        <v>0</v>
      </c>
      <c r="M1045" s="16" t="b">
        <v>0</v>
      </c>
      <c r="N1045" s="16" t="b">
        <v>0</v>
      </c>
      <c r="O1045" s="16" t="n">
        <v>403</v>
      </c>
      <c r="P1045" s="16" t="n">
        <v>300.032917</v>
      </c>
      <c r="Q1045" s="16" t="n">
        <v>3000</v>
      </c>
      <c r="R1045" s="16" t="n">
        <v>563.6363636363637</v>
      </c>
      <c r="S1045" s="16" t="n">
        <v>0.5</v>
      </c>
      <c r="T1045" s="16" t="n">
        <v>0.85</v>
      </c>
      <c r="U1045" s="16" t="n">
        <v>0.75</v>
      </c>
      <c r="V1045" s="16" t="n">
        <v>0.85</v>
      </c>
      <c r="W1045" s="16" t="n">
        <v>0.675</v>
      </c>
      <c r="X1045" s="16" t="n">
        <v>0.8</v>
      </c>
      <c r="Y1045" s="16" t="n"/>
      <c r="Z1045" s="16" t="n">
        <v>7.8049532334983</v>
      </c>
      <c r="AA1045" s="16" t="n">
        <v>25.46033631352596</v>
      </c>
      <c r="AB1045" s="16" t="n">
        <v>2436.363636363636</v>
      </c>
      <c r="AC1045" s="16" t="n">
        <v>5.322580645161289</v>
      </c>
      <c r="AD1045" s="16" t="inlineStr">
        <is>
          <t>O2</t>
        </is>
      </c>
      <c r="AE1045" s="16" t="inlineStr">
        <is>
          <t>eps_reg</t>
        </is>
      </c>
    </row>
    <row r="1046">
      <c r="A1046" s="16" t="inlineStr">
        <is>
          <t>KF-M03-0145</t>
        </is>
      </c>
      <c r="B1046" s="16" t="inlineStr">
        <is>
          <t>3.1</t>
        </is>
      </c>
      <c r="C1046" s="16" t="inlineStr">
        <is>
          <t>3.1</t>
        </is>
      </c>
      <c r="D1046" s="16" t="inlineStr">
        <is>
          <t>alrededor de A*</t>
        </is>
      </c>
      <c r="E1046" s="16" t="inlineStr">
        <is>
          <t>KF-M03</t>
        </is>
      </c>
      <c r="F1046" s="16" t="inlineStr">
        <is>
          <t>KF-M03</t>
        </is>
      </c>
      <c r="G1046" s="16" t="inlineStr">
        <is>
          <t>B06</t>
        </is>
      </c>
      <c r="H1046" s="16" t="inlineStr">
        <is>
          <t>malla</t>
        </is>
      </c>
      <c r="I1046" s="16" t="inlineStr">
        <is>
          <t>CORREGIBLE</t>
        </is>
      </c>
      <c r="J1046" s="16" t="inlineStr">
        <is>
          <t>CORREGIBLE</t>
        </is>
      </c>
      <c r="K1046" s="16" t="b">
        <v>1</v>
      </c>
      <c r="L1046" s="16" t="b">
        <v>0</v>
      </c>
      <c r="M1046" s="16" t="b">
        <v>0</v>
      </c>
      <c r="N1046" s="16" t="b">
        <v>0</v>
      </c>
      <c r="O1046" s="16" t="n">
        <v>403</v>
      </c>
      <c r="P1046" s="16" t="n">
        <v>300.032917</v>
      </c>
      <c r="Q1046" s="16" t="n">
        <v>3000</v>
      </c>
      <c r="R1046" s="16" t="n">
        <v>563.6363636363637</v>
      </c>
      <c r="S1046" s="16" t="n">
        <v>0.5</v>
      </c>
      <c r="T1046" s="16" t="n">
        <v>0.85</v>
      </c>
      <c r="U1046" s="16" t="n">
        <v>0.75</v>
      </c>
      <c r="V1046" s="16" t="n">
        <v>0.85</v>
      </c>
      <c r="W1046" s="16" t="n">
        <v>0.7142857142857142</v>
      </c>
      <c r="X1046" s="16" t="n">
        <v>0.8</v>
      </c>
      <c r="Y1046" s="16" t="n"/>
      <c r="Z1046" s="16" t="n">
        <v>8.14711193476818</v>
      </c>
      <c r="AA1046" s="16" t="n">
        <v>25.71308064969283</v>
      </c>
      <c r="AB1046" s="16" t="n">
        <v>2436.363636363636</v>
      </c>
      <c r="AC1046" s="16" t="n">
        <v>5.322580645161289</v>
      </c>
      <c r="AD1046" s="16" t="inlineStr">
        <is>
          <t>O2</t>
        </is>
      </c>
      <c r="AE1046" s="16" t="inlineStr">
        <is>
          <t>eps_reg</t>
        </is>
      </c>
    </row>
    <row r="1047">
      <c r="A1047" s="16" t="inlineStr">
        <is>
          <t>KF-M03-0146</t>
        </is>
      </c>
      <c r="B1047" s="16" t="inlineStr">
        <is>
          <t>3.1</t>
        </is>
      </c>
      <c r="C1047" s="16" t="inlineStr">
        <is>
          <t>3.1</t>
        </is>
      </c>
      <c r="D1047" s="16" t="inlineStr">
        <is>
          <t>alrededor de A*</t>
        </is>
      </c>
      <c r="E1047" s="16" t="inlineStr">
        <is>
          <t>KF-M03</t>
        </is>
      </c>
      <c r="F1047" s="16" t="inlineStr">
        <is>
          <t>KF-M03</t>
        </is>
      </c>
      <c r="G1047" s="16" t="inlineStr">
        <is>
          <t>B06</t>
        </is>
      </c>
      <c r="H1047" s="16" t="inlineStr">
        <is>
          <t>malla</t>
        </is>
      </c>
      <c r="I1047" s="16" t="inlineStr">
        <is>
          <t>KALINA</t>
        </is>
      </c>
      <c r="J1047" s="16" t="inlineStr">
        <is>
          <t>KALINA</t>
        </is>
      </c>
      <c r="K1047" s="16" t="b">
        <v>1</v>
      </c>
      <c r="L1047" s="16" t="b">
        <v>1</v>
      </c>
      <c r="M1047" s="16" t="b">
        <v>0</v>
      </c>
      <c r="N1047" s="16" t="b">
        <v>0</v>
      </c>
      <c r="O1047" s="16" t="n">
        <v>403</v>
      </c>
      <c r="P1047" s="16" t="n">
        <v>300.032917</v>
      </c>
      <c r="Q1047" s="16" t="n">
        <v>3000</v>
      </c>
      <c r="R1047" s="16" t="n">
        <v>563.6363636363637</v>
      </c>
      <c r="S1047" s="16" t="n">
        <v>0.5</v>
      </c>
      <c r="T1047" s="16" t="n">
        <v>0.85</v>
      </c>
      <c r="U1047" s="16" t="n">
        <v>0.75</v>
      </c>
      <c r="V1047" s="16" t="n">
        <v>0.85</v>
      </c>
      <c r="W1047" s="16" t="n">
        <v>0.7928571428571428</v>
      </c>
      <c r="X1047" s="16" t="n">
        <v>0.8</v>
      </c>
      <c r="Y1047" s="16" t="n"/>
      <c r="Z1047" s="16" t="n">
        <v>8.918826493926559</v>
      </c>
      <c r="AA1047" s="16" t="n">
        <v>26.21963091660453</v>
      </c>
      <c r="AB1047" s="16" t="n">
        <v>2436.363636363636</v>
      </c>
      <c r="AC1047" s="16" t="n">
        <v>5.322580645161289</v>
      </c>
      <c r="AD1047" s="16" t="n"/>
      <c r="AE1047" s="16" t="inlineStr">
        <is>
          <t>eps_reg</t>
        </is>
      </c>
    </row>
    <row r="1048">
      <c r="A1048" s="16" t="inlineStr">
        <is>
          <t>KF-M03-0147</t>
        </is>
      </c>
      <c r="B1048" s="16" t="inlineStr">
        <is>
          <t>3.1</t>
        </is>
      </c>
      <c r="C1048" s="16" t="inlineStr">
        <is>
          <t>3.1</t>
        </is>
      </c>
      <c r="D1048" s="16" t="inlineStr">
        <is>
          <t>alrededor de A*</t>
        </is>
      </c>
      <c r="E1048" s="16" t="inlineStr">
        <is>
          <t>KF-M03</t>
        </is>
      </c>
      <c r="F1048" s="16" t="inlineStr">
        <is>
          <t>KF-M03</t>
        </is>
      </c>
      <c r="G1048" s="16" t="inlineStr">
        <is>
          <t>B06</t>
        </is>
      </c>
      <c r="H1048" s="16" t="inlineStr">
        <is>
          <t>malla</t>
        </is>
      </c>
      <c r="I1048" s="16" t="inlineStr">
        <is>
          <t>KALINA</t>
        </is>
      </c>
      <c r="J1048" s="16" t="inlineStr">
        <is>
          <t>KALINA</t>
        </is>
      </c>
      <c r="K1048" s="16" t="b">
        <v>1</v>
      </c>
      <c r="L1048" s="16" t="b">
        <v>1</v>
      </c>
      <c r="M1048" s="16" t="b">
        <v>0</v>
      </c>
      <c r="N1048" s="16" t="b">
        <v>0</v>
      </c>
      <c r="O1048" s="16" t="n">
        <v>403</v>
      </c>
      <c r="P1048" s="16" t="n">
        <v>300.032917</v>
      </c>
      <c r="Q1048" s="16" t="n">
        <v>3000</v>
      </c>
      <c r="R1048" s="16" t="n">
        <v>563.6363636363637</v>
      </c>
      <c r="S1048" s="16" t="n">
        <v>0.5</v>
      </c>
      <c r="T1048" s="16" t="n">
        <v>0.85</v>
      </c>
      <c r="U1048" s="16" t="n">
        <v>0.75</v>
      </c>
      <c r="V1048" s="16" t="n">
        <v>0.85</v>
      </c>
      <c r="W1048" s="16" t="n">
        <v>0.7535714285714286</v>
      </c>
      <c r="X1048" s="16" t="n">
        <v>0.8</v>
      </c>
      <c r="Y1048" s="16" t="n"/>
      <c r="Z1048" s="16" t="n">
        <v>8.51676815007875</v>
      </c>
      <c r="AA1048" s="16" t="n">
        <v>25.96487444183758</v>
      </c>
      <c r="AB1048" s="16" t="n">
        <v>2436.363636363636</v>
      </c>
      <c r="AC1048" s="16" t="n">
        <v>5.322580645161289</v>
      </c>
      <c r="AD1048" s="16" t="n"/>
      <c r="AE1048" s="16" t="inlineStr">
        <is>
          <t>eps_reg</t>
        </is>
      </c>
    </row>
    <row r="1049">
      <c r="A1049" s="16" t="inlineStr">
        <is>
          <t>KF-M03-0148</t>
        </is>
      </c>
      <c r="B1049" s="16" t="inlineStr">
        <is>
          <t>3.1</t>
        </is>
      </c>
      <c r="C1049" s="16" t="inlineStr">
        <is>
          <t>3.1</t>
        </is>
      </c>
      <c r="D1049" s="16" t="inlineStr">
        <is>
          <t>alrededor de A*</t>
        </is>
      </c>
      <c r="E1049" s="16" t="inlineStr">
        <is>
          <t>KF-M03</t>
        </is>
      </c>
      <c r="F1049" s="16" t="inlineStr">
        <is>
          <t>KF-M03</t>
        </is>
      </c>
      <c r="G1049" s="16" t="inlineStr">
        <is>
          <t>B06</t>
        </is>
      </c>
      <c r="H1049" s="16" t="inlineStr">
        <is>
          <t>malla</t>
        </is>
      </c>
      <c r="I1049" s="16" t="inlineStr">
        <is>
          <t>KALINA</t>
        </is>
      </c>
      <c r="J1049" s="16" t="inlineStr">
        <is>
          <t>KALINA</t>
        </is>
      </c>
      <c r="K1049" s="16" t="b">
        <v>1</v>
      </c>
      <c r="L1049" s="16" t="b">
        <v>1</v>
      </c>
      <c r="M1049" s="16" t="b">
        <v>0</v>
      </c>
      <c r="N1049" s="16" t="b">
        <v>0</v>
      </c>
      <c r="O1049" s="16" t="n">
        <v>403</v>
      </c>
      <c r="P1049" s="16" t="n">
        <v>300.032917</v>
      </c>
      <c r="Q1049" s="16" t="n">
        <v>3000</v>
      </c>
      <c r="R1049" s="16" t="n">
        <v>563.6363636363637</v>
      </c>
      <c r="S1049" s="16" t="n">
        <v>0.5</v>
      </c>
      <c r="T1049" s="16" t="n">
        <v>0.85</v>
      </c>
      <c r="U1049" s="16" t="n">
        <v>0.75</v>
      </c>
      <c r="V1049" s="16" t="n">
        <v>0.85</v>
      </c>
      <c r="W1049" s="16" t="n">
        <v>0.8321428571428571</v>
      </c>
      <c r="X1049" s="16" t="n">
        <v>0.8</v>
      </c>
      <c r="Y1049" s="16" t="n"/>
      <c r="Z1049" s="16" t="n">
        <v>9.35786403356537</v>
      </c>
      <c r="AA1049" s="16" t="n">
        <v>26.47778313263867</v>
      </c>
      <c r="AB1049" s="16" t="n">
        <v>2436.363636363636</v>
      </c>
      <c r="AC1049" s="16" t="n">
        <v>5.322580645161289</v>
      </c>
      <c r="AD1049" s="16" t="n"/>
      <c r="AE1049" s="16" t="inlineStr">
        <is>
          <t>eps_reg</t>
        </is>
      </c>
    </row>
    <row r="1050">
      <c r="A1050" s="16" t="inlineStr">
        <is>
          <t>KF-M03-0149</t>
        </is>
      </c>
      <c r="B1050" s="16" t="inlineStr">
        <is>
          <t>3.1</t>
        </is>
      </c>
      <c r="C1050" s="16" t="inlineStr">
        <is>
          <t>3.1</t>
        </is>
      </c>
      <c r="D1050" s="16" t="inlineStr">
        <is>
          <t>alrededor de A*</t>
        </is>
      </c>
      <c r="E1050" s="16" t="inlineStr">
        <is>
          <t>KF-M03</t>
        </is>
      </c>
      <c r="F1050" s="16" t="inlineStr">
        <is>
          <t>KF-M03</t>
        </is>
      </c>
      <c r="G1050" s="16" t="inlineStr">
        <is>
          <t>B06</t>
        </is>
      </c>
      <c r="H1050" s="16" t="inlineStr">
        <is>
          <t>malla</t>
        </is>
      </c>
      <c r="I1050" s="16" t="inlineStr">
        <is>
          <t>KALINA</t>
        </is>
      </c>
      <c r="J1050" s="16" t="inlineStr">
        <is>
          <t>KALINA</t>
        </is>
      </c>
      <c r="K1050" s="16" t="b">
        <v>1</v>
      </c>
      <c r="L1050" s="16" t="b">
        <v>1</v>
      </c>
      <c r="M1050" s="16" t="b">
        <v>0</v>
      </c>
      <c r="N1050" s="16" t="b">
        <v>0</v>
      </c>
      <c r="O1050" s="16" t="n">
        <v>403</v>
      </c>
      <c r="P1050" s="16" t="n">
        <v>300.032917</v>
      </c>
      <c r="Q1050" s="16" t="n">
        <v>3000</v>
      </c>
      <c r="R1050" s="16" t="n">
        <v>563.6363636363637</v>
      </c>
      <c r="S1050" s="16" t="n">
        <v>0.5</v>
      </c>
      <c r="T1050" s="16" t="n">
        <v>0.85</v>
      </c>
      <c r="U1050" s="16" t="n">
        <v>0.75</v>
      </c>
      <c r="V1050" s="16" t="n">
        <v>0.85</v>
      </c>
      <c r="W1050" s="16" t="n">
        <v>0.8714285714285714</v>
      </c>
      <c r="X1050" s="16" t="n">
        <v>0.8</v>
      </c>
      <c r="Y1050" s="16" t="n"/>
      <c r="Z1050" s="16" t="n">
        <v>9.839183704744951</v>
      </c>
      <c r="AA1050" s="16" t="n">
        <v>26.73937524815587</v>
      </c>
      <c r="AB1050" s="16" t="n">
        <v>2436.363636363636</v>
      </c>
      <c r="AC1050" s="16" t="n">
        <v>5.322580645161289</v>
      </c>
      <c r="AD1050" s="16" t="n"/>
      <c r="AE1050" s="16" t="inlineStr">
        <is>
          <t>eps_reg</t>
        </is>
      </c>
    </row>
    <row r="1051">
      <c r="A1051" s="16" t="inlineStr">
        <is>
          <t>KF-M03-0150</t>
        </is>
      </c>
      <c r="B1051" s="16" t="inlineStr">
        <is>
          <t>3.1</t>
        </is>
      </c>
      <c r="C1051" s="16" t="inlineStr">
        <is>
          <t>3.1</t>
        </is>
      </c>
      <c r="D1051" s="16" t="inlineStr">
        <is>
          <t>alrededor de A*</t>
        </is>
      </c>
      <c r="E1051" s="16" t="inlineStr">
        <is>
          <t>KF-M03</t>
        </is>
      </c>
      <c r="F1051" s="16" t="inlineStr">
        <is>
          <t>KF-M03</t>
        </is>
      </c>
      <c r="G1051" s="16" t="inlineStr">
        <is>
          <t>B06</t>
        </is>
      </c>
      <c r="H1051" s="16" t="inlineStr">
        <is>
          <t>malla</t>
        </is>
      </c>
      <c r="I1051" s="16" t="inlineStr">
        <is>
          <t>KALINA</t>
        </is>
      </c>
      <c r="J1051" s="16" t="inlineStr">
        <is>
          <t>KALINA</t>
        </is>
      </c>
      <c r="K1051" s="16" t="b">
        <v>1</v>
      </c>
      <c r="L1051" s="16" t="b">
        <v>1</v>
      </c>
      <c r="M1051" s="16" t="b">
        <v>0</v>
      </c>
      <c r="N1051" s="16" t="b">
        <v>0</v>
      </c>
      <c r="O1051" s="16" t="n">
        <v>403</v>
      </c>
      <c r="P1051" s="16" t="n">
        <v>300.032917</v>
      </c>
      <c r="Q1051" s="16" t="n">
        <v>3000</v>
      </c>
      <c r="R1051" s="16" t="n">
        <v>563.6363636363637</v>
      </c>
      <c r="S1051" s="16" t="n">
        <v>0.5</v>
      </c>
      <c r="T1051" s="16" t="n">
        <v>0.85</v>
      </c>
      <c r="U1051" s="16" t="n">
        <v>0.75</v>
      </c>
      <c r="V1051" s="16" t="n">
        <v>0.85</v>
      </c>
      <c r="W1051" s="16" t="n">
        <v>0.9107142857142856</v>
      </c>
      <c r="X1051" s="16" t="n">
        <v>0.8</v>
      </c>
      <c r="Y1051" s="16" t="n"/>
      <c r="Z1051" s="16" t="n">
        <v>10.36918392525467</v>
      </c>
      <c r="AA1051" s="16" t="n">
        <v>27.00446731440402</v>
      </c>
      <c r="AB1051" s="16" t="n">
        <v>2436.363636363636</v>
      </c>
      <c r="AC1051" s="16" t="n">
        <v>5.322580645161289</v>
      </c>
      <c r="AD1051" s="16" t="n"/>
      <c r="AE1051" s="16" t="inlineStr">
        <is>
          <t>eps_reg</t>
        </is>
      </c>
    </row>
    <row r="1052">
      <c r="A1052" s="16" t="inlineStr">
        <is>
          <t>KF-M03-0151</t>
        </is>
      </c>
      <c r="B1052" s="16" t="inlineStr">
        <is>
          <t>3.1</t>
        </is>
      </c>
      <c r="C1052" s="16" t="inlineStr">
        <is>
          <t>3.1</t>
        </is>
      </c>
      <c r="D1052" s="16" t="inlineStr">
        <is>
          <t>alrededor de A*</t>
        </is>
      </c>
      <c r="E1052" s="16" t="inlineStr">
        <is>
          <t>KF-M03</t>
        </is>
      </c>
      <c r="F1052" s="16" t="inlineStr">
        <is>
          <t>KF-M03</t>
        </is>
      </c>
      <c r="G1052" s="16" t="inlineStr">
        <is>
          <t>B06</t>
        </is>
      </c>
      <c r="H1052" s="16" t="inlineStr">
        <is>
          <t>malla</t>
        </is>
      </c>
      <c r="I1052" s="16" t="inlineStr">
        <is>
          <t>KALINA</t>
        </is>
      </c>
      <c r="J1052" s="16" t="inlineStr">
        <is>
          <t>KALINA</t>
        </is>
      </c>
      <c r="K1052" s="16" t="b">
        <v>1</v>
      </c>
      <c r="L1052" s="16" t="b">
        <v>1</v>
      </c>
      <c r="M1052" s="16" t="b">
        <v>0</v>
      </c>
      <c r="N1052" s="16" t="b">
        <v>0</v>
      </c>
      <c r="O1052" s="16" t="n">
        <v>403</v>
      </c>
      <c r="P1052" s="16" t="n">
        <v>300.032917</v>
      </c>
      <c r="Q1052" s="16" t="n">
        <v>3000</v>
      </c>
      <c r="R1052" s="16" t="n">
        <v>563.6363636363637</v>
      </c>
      <c r="S1052" s="16" t="n">
        <v>0.5</v>
      </c>
      <c r="T1052" s="16" t="n">
        <v>0.85</v>
      </c>
      <c r="U1052" s="16" t="n">
        <v>0.75</v>
      </c>
      <c r="V1052" s="16" t="n">
        <v>0.85</v>
      </c>
      <c r="W1052" s="16" t="n">
        <v>0.95</v>
      </c>
      <c r="X1052" s="16" t="n">
        <v>0.8</v>
      </c>
      <c r="Y1052" s="16" t="n"/>
      <c r="Z1052" s="16" t="n">
        <v>10.95558550051489</v>
      </c>
      <c r="AA1052" s="16" t="n">
        <v>27.27310214985478</v>
      </c>
      <c r="AB1052" s="16" t="n">
        <v>2436.363636363636</v>
      </c>
      <c r="AC1052" s="16" t="n">
        <v>5.322580645161289</v>
      </c>
      <c r="AD1052" s="16" t="n"/>
      <c r="AE1052" s="16" t="inlineStr">
        <is>
          <t>eps_reg</t>
        </is>
      </c>
    </row>
    <row r="1053">
      <c r="A1053" s="16" t="inlineStr">
        <is>
          <t>KF-M03-0152</t>
        </is>
      </c>
      <c r="B1053" s="16" t="inlineStr">
        <is>
          <t>3.1</t>
        </is>
      </c>
      <c r="C1053" s="16" t="inlineStr">
        <is>
          <t>3.1</t>
        </is>
      </c>
      <c r="D1053" s="16" t="inlineStr">
        <is>
          <t>alrededor de A*</t>
        </is>
      </c>
      <c r="E1053" s="16" t="inlineStr">
        <is>
          <t>KF-M03</t>
        </is>
      </c>
      <c r="F1053" s="16" t="inlineStr">
        <is>
          <t>KF-M03</t>
        </is>
      </c>
      <c r="G1053" s="16" t="inlineStr">
        <is>
          <t>B06</t>
        </is>
      </c>
      <c r="H1053" s="16" t="inlineStr">
        <is>
          <t>vecino</t>
        </is>
      </c>
      <c r="I1053" s="16" t="inlineStr">
        <is>
          <t>KALINA</t>
        </is>
      </c>
      <c r="J1053" s="16" t="inlineStr">
        <is>
          <t>KALINA</t>
        </is>
      </c>
      <c r="K1053" s="16" t="b">
        <v>1</v>
      </c>
      <c r="L1053" s="16" t="b">
        <v>1</v>
      </c>
      <c r="M1053" s="16" t="b">
        <v>0</v>
      </c>
      <c r="N1053" s="16" t="b">
        <v>0</v>
      </c>
      <c r="O1053" s="16" t="n">
        <v>403</v>
      </c>
      <c r="P1053" s="16" t="n">
        <v>300.032917</v>
      </c>
      <c r="Q1053" s="16" t="n">
        <v>3000</v>
      </c>
      <c r="R1053" s="16" t="n">
        <v>563.6363636363637</v>
      </c>
      <c r="S1053" s="16" t="n">
        <v>0.5</v>
      </c>
      <c r="T1053" s="16" t="n">
        <v>0.85</v>
      </c>
      <c r="U1053" s="16" t="n">
        <v>0.75</v>
      </c>
      <c r="V1053" s="16" t="n">
        <v>0.85</v>
      </c>
      <c r="W1053" s="16" t="n">
        <v>0.7445000000000001</v>
      </c>
      <c r="X1053" s="16" t="n">
        <v>0.8</v>
      </c>
      <c r="Y1053" s="16" t="n"/>
      <c r="Z1053" s="16" t="n">
        <v>8.42869826937515</v>
      </c>
      <c r="AA1053" s="16" t="n">
        <v>25.90652644832958</v>
      </c>
      <c r="AB1053" s="16" t="n">
        <v>2436.363636363636</v>
      </c>
      <c r="AC1053" s="16" t="n">
        <v>5.322580645161289</v>
      </c>
      <c r="AD1053" s="16" t="n"/>
      <c r="AE1053" s="16" t="inlineStr">
        <is>
          <t>eps_reg</t>
        </is>
      </c>
    </row>
    <row r="1054">
      <c r="A1054" s="16" t="inlineStr">
        <is>
          <t>KF-M03-0153</t>
        </is>
      </c>
      <c r="B1054" s="16" t="inlineStr">
        <is>
          <t>3.1</t>
        </is>
      </c>
      <c r="C1054" s="16" t="inlineStr">
        <is>
          <t>3.1</t>
        </is>
      </c>
      <c r="D1054" s="16" t="inlineStr">
        <is>
          <t>alrededor de A*</t>
        </is>
      </c>
      <c r="E1054" s="16" t="inlineStr">
        <is>
          <t>KF-M03</t>
        </is>
      </c>
      <c r="F1054" s="16" t="inlineStr">
        <is>
          <t>KF-M03</t>
        </is>
      </c>
      <c r="G1054" s="16" t="inlineStr">
        <is>
          <t>B06</t>
        </is>
      </c>
      <c r="H1054" s="16" t="inlineStr">
        <is>
          <t>vecino</t>
        </is>
      </c>
      <c r="I1054" s="16" t="inlineStr">
        <is>
          <t>KALINA</t>
        </is>
      </c>
      <c r="J1054" s="16" t="inlineStr">
        <is>
          <t>KALINA</t>
        </is>
      </c>
      <c r="K1054" s="16" t="b">
        <v>1</v>
      </c>
      <c r="L1054" s="16" t="b">
        <v>1</v>
      </c>
      <c r="M1054" s="16" t="b">
        <v>0</v>
      </c>
      <c r="N1054" s="16" t="b">
        <v>0</v>
      </c>
      <c r="O1054" s="16" t="n">
        <v>403</v>
      </c>
      <c r="P1054" s="16" t="n">
        <v>300.032917</v>
      </c>
      <c r="Q1054" s="16" t="n">
        <v>3000</v>
      </c>
      <c r="R1054" s="16" t="n">
        <v>563.6363636363637</v>
      </c>
      <c r="S1054" s="16" t="n">
        <v>0.5</v>
      </c>
      <c r="T1054" s="16" t="n">
        <v>0.85</v>
      </c>
      <c r="U1054" s="16" t="n">
        <v>0.75</v>
      </c>
      <c r="V1054" s="16" t="n">
        <v>0.85</v>
      </c>
      <c r="W1054" s="16" t="n">
        <v>0.7554999999999999</v>
      </c>
      <c r="X1054" s="16" t="n">
        <v>0.8</v>
      </c>
      <c r="Y1054" s="16" t="n"/>
      <c r="Z1054" s="16" t="n">
        <v>8.535713107749201</v>
      </c>
      <c r="AA1054" s="16" t="n">
        <v>25.97730215299762</v>
      </c>
      <c r="AB1054" s="16" t="n">
        <v>2436.363636363636</v>
      </c>
      <c r="AC1054" s="16" t="n">
        <v>5.322580645161289</v>
      </c>
      <c r="AD1054" s="16" t="n"/>
      <c r="AE1054" s="16" t="inlineStr">
        <is>
          <t>eps_reg</t>
        </is>
      </c>
    </row>
    <row r="1055">
      <c r="A1055" s="16" t="inlineStr">
        <is>
          <t>KF-M03-0154</t>
        </is>
      </c>
      <c r="B1055" s="16" t="inlineStr">
        <is>
          <t>3.1</t>
        </is>
      </c>
      <c r="C1055" s="16" t="inlineStr">
        <is>
          <t>3.1</t>
        </is>
      </c>
      <c r="D1055" s="16" t="inlineStr">
        <is>
          <t>alrededor de A*</t>
        </is>
      </c>
      <c r="E1055" s="16" t="inlineStr">
        <is>
          <t>KF-M03</t>
        </is>
      </c>
      <c r="F1055" s="16" t="inlineStr">
        <is>
          <t>KF-M03</t>
        </is>
      </c>
      <c r="G1055" s="16" t="inlineStr">
        <is>
          <t>B06</t>
        </is>
      </c>
      <c r="H1055" s="16" t="inlineStr">
        <is>
          <t>malla</t>
        </is>
      </c>
      <c r="I1055" s="16" t="inlineStr">
        <is>
          <t>NO_CONVERGIO</t>
        </is>
      </c>
      <c r="J1055" s="16" t="inlineStr">
        <is>
          <t>NO_CONVERGIO</t>
        </is>
      </c>
      <c r="K1055" s="16" t="b">
        <v>0</v>
      </c>
      <c r="L1055" s="16" t="b">
        <v>0</v>
      </c>
      <c r="M1055" s="16" t="b">
        <v>0</v>
      </c>
      <c r="N1055" s="16" t="b">
        <v>0</v>
      </c>
      <c r="O1055" s="16" t="n">
        <v>403</v>
      </c>
      <c r="P1055" s="16" t="n">
        <v>300.032917</v>
      </c>
      <c r="Q1055" s="16" t="n">
        <v>3000</v>
      </c>
      <c r="R1055" s="16" t="n">
        <v>563.6363636363637</v>
      </c>
      <c r="S1055" s="16" t="n">
        <v>0.5</v>
      </c>
      <c r="T1055" s="16" t="n">
        <v>0.85</v>
      </c>
      <c r="U1055" s="16" t="n">
        <v>0.75</v>
      </c>
      <c r="V1055" s="16" t="n">
        <v>0.85</v>
      </c>
      <c r="W1055" s="16" t="n">
        <v>0.75</v>
      </c>
      <c r="X1055" s="16" t="n">
        <v>0.4</v>
      </c>
      <c r="Y1055" s="16" t="n"/>
      <c r="Z1055" s="16" t="n"/>
      <c r="AA1055" s="16" t="n"/>
      <c r="AB1055" s="16" t="n">
        <v>2436.363636363636</v>
      </c>
      <c r="AC1055" s="16" t="n">
        <v>5.322580645161289</v>
      </c>
      <c r="AD1055" s="16" t="n"/>
      <c r="AE1055" s="16" t="inlineStr">
        <is>
          <t>eps_cond</t>
        </is>
      </c>
    </row>
    <row r="1056">
      <c r="A1056" s="16" t="inlineStr">
        <is>
          <t>KF-M03-0155</t>
        </is>
      </c>
      <c r="B1056" s="16" t="inlineStr">
        <is>
          <t>3.1</t>
        </is>
      </c>
      <c r="C1056" s="16" t="inlineStr">
        <is>
          <t>3.1</t>
        </is>
      </c>
      <c r="D1056" s="16" t="inlineStr">
        <is>
          <t>alrededor de A*</t>
        </is>
      </c>
      <c r="E1056" s="16" t="inlineStr">
        <is>
          <t>KF-M03</t>
        </is>
      </c>
      <c r="F1056" s="16" t="inlineStr">
        <is>
          <t>KF-M03</t>
        </is>
      </c>
      <c r="G1056" s="16" t="inlineStr">
        <is>
          <t>B06</t>
        </is>
      </c>
      <c r="H1056" s="16" t="inlineStr">
        <is>
          <t>malla</t>
        </is>
      </c>
      <c r="I1056" s="16" t="inlineStr">
        <is>
          <t>NO_CONVERGIO</t>
        </is>
      </c>
      <c r="J1056" s="16" t="inlineStr">
        <is>
          <t>NO_CONVERGIO</t>
        </is>
      </c>
      <c r="K1056" s="16" t="b">
        <v>0</v>
      </c>
      <c r="L1056" s="16" t="b">
        <v>0</v>
      </c>
      <c r="M1056" s="16" t="b">
        <v>0</v>
      </c>
      <c r="N1056" s="16" t="b">
        <v>0</v>
      </c>
      <c r="O1056" s="16" t="n">
        <v>403</v>
      </c>
      <c r="P1056" s="16" t="n">
        <v>300.032917</v>
      </c>
      <c r="Q1056" s="16" t="n">
        <v>3000</v>
      </c>
      <c r="R1056" s="16" t="n">
        <v>563.6363636363637</v>
      </c>
      <c r="S1056" s="16" t="n">
        <v>0.5</v>
      </c>
      <c r="T1056" s="16" t="n">
        <v>0.85</v>
      </c>
      <c r="U1056" s="16" t="n">
        <v>0.75</v>
      </c>
      <c r="V1056" s="16" t="n">
        <v>0.85</v>
      </c>
      <c r="W1056" s="16" t="n">
        <v>0.75</v>
      </c>
      <c r="X1056" s="16" t="n">
        <v>0.4392857142857143</v>
      </c>
      <c r="Y1056" s="16" t="n"/>
      <c r="Z1056" s="16" t="n"/>
      <c r="AA1056" s="16" t="n"/>
      <c r="AB1056" s="16" t="n">
        <v>2436.363636363636</v>
      </c>
      <c r="AC1056" s="16" t="n">
        <v>5.322580645161289</v>
      </c>
      <c r="AD1056" s="16" t="n"/>
      <c r="AE1056" s="16" t="inlineStr">
        <is>
          <t>eps_cond</t>
        </is>
      </c>
    </row>
    <row r="1057">
      <c r="A1057" s="16" t="inlineStr">
        <is>
          <t>KF-M03-0156</t>
        </is>
      </c>
      <c r="B1057" s="16" t="inlineStr">
        <is>
          <t>3.1</t>
        </is>
      </c>
      <c r="C1057" s="16" t="inlineStr">
        <is>
          <t>3.1</t>
        </is>
      </c>
      <c r="D1057" s="16" t="inlineStr">
        <is>
          <t>alrededor de A*</t>
        </is>
      </c>
      <c r="E1057" s="16" t="inlineStr">
        <is>
          <t>KF-M03</t>
        </is>
      </c>
      <c r="F1057" s="16" t="inlineStr">
        <is>
          <t>KF-M03</t>
        </is>
      </c>
      <c r="G1057" s="16" t="inlineStr">
        <is>
          <t>B06</t>
        </is>
      </c>
      <c r="H1057" s="16" t="inlineStr">
        <is>
          <t>malla</t>
        </is>
      </c>
      <c r="I1057" s="16" t="inlineStr">
        <is>
          <t>NO_CONVERGIO</t>
        </is>
      </c>
      <c r="J1057" s="16" t="inlineStr">
        <is>
          <t>NO_CONVERGIO</t>
        </is>
      </c>
      <c r="K1057" s="16" t="b">
        <v>0</v>
      </c>
      <c r="L1057" s="16" t="b">
        <v>0</v>
      </c>
      <c r="M1057" s="16" t="b">
        <v>0</v>
      </c>
      <c r="N1057" s="16" t="b">
        <v>0</v>
      </c>
      <c r="O1057" s="16" t="n">
        <v>403</v>
      </c>
      <c r="P1057" s="16" t="n">
        <v>300.032917</v>
      </c>
      <c r="Q1057" s="16" t="n">
        <v>3000</v>
      </c>
      <c r="R1057" s="16" t="n">
        <v>563.6363636363637</v>
      </c>
      <c r="S1057" s="16" t="n">
        <v>0.5</v>
      </c>
      <c r="T1057" s="16" t="n">
        <v>0.85</v>
      </c>
      <c r="U1057" s="16" t="n">
        <v>0.75</v>
      </c>
      <c r="V1057" s="16" t="n">
        <v>0.85</v>
      </c>
      <c r="W1057" s="16" t="n">
        <v>0.75</v>
      </c>
      <c r="X1057" s="16" t="n">
        <v>0.4785714285714286</v>
      </c>
      <c r="Y1057" s="16" t="n"/>
      <c r="Z1057" s="16" t="n"/>
      <c r="AA1057" s="16" t="n"/>
      <c r="AB1057" s="16" t="n">
        <v>2436.363636363636</v>
      </c>
      <c r="AC1057" s="16" t="n">
        <v>5.322580645161289</v>
      </c>
      <c r="AD1057" s="16" t="n"/>
      <c r="AE1057" s="16" t="inlineStr">
        <is>
          <t>eps_cond</t>
        </is>
      </c>
    </row>
    <row r="1058">
      <c r="A1058" s="16" t="inlineStr">
        <is>
          <t>KF-M03-0157</t>
        </is>
      </c>
      <c r="B1058" s="16" t="inlineStr">
        <is>
          <t>3.1</t>
        </is>
      </c>
      <c r="C1058" s="16" t="inlineStr">
        <is>
          <t>3.1</t>
        </is>
      </c>
      <c r="D1058" s="16" t="inlineStr">
        <is>
          <t>alrededor de A*</t>
        </is>
      </c>
      <c r="E1058" s="16" t="inlineStr">
        <is>
          <t>KF-M03</t>
        </is>
      </c>
      <c r="F1058" s="16" t="inlineStr">
        <is>
          <t>KF-M03</t>
        </is>
      </c>
      <c r="G1058" s="16" t="inlineStr">
        <is>
          <t>B06</t>
        </is>
      </c>
      <c r="H1058" s="16" t="inlineStr">
        <is>
          <t>malla</t>
        </is>
      </c>
      <c r="I1058" s="16" t="inlineStr">
        <is>
          <t>NO_CONVERGIO</t>
        </is>
      </c>
      <c r="J1058" s="16" t="inlineStr">
        <is>
          <t>NO_CONVERGIO</t>
        </is>
      </c>
      <c r="K1058" s="16" t="b">
        <v>0</v>
      </c>
      <c r="L1058" s="16" t="b">
        <v>0</v>
      </c>
      <c r="M1058" s="16" t="b">
        <v>0</v>
      </c>
      <c r="N1058" s="16" t="b">
        <v>0</v>
      </c>
      <c r="O1058" s="16" t="n">
        <v>403</v>
      </c>
      <c r="P1058" s="16" t="n">
        <v>300.032917</v>
      </c>
      <c r="Q1058" s="16" t="n">
        <v>3000</v>
      </c>
      <c r="R1058" s="16" t="n">
        <v>563.6363636363637</v>
      </c>
      <c r="S1058" s="16" t="n">
        <v>0.5</v>
      </c>
      <c r="T1058" s="16" t="n">
        <v>0.85</v>
      </c>
      <c r="U1058" s="16" t="n">
        <v>0.75</v>
      </c>
      <c r="V1058" s="16" t="n">
        <v>0.85</v>
      </c>
      <c r="W1058" s="16" t="n">
        <v>0.75</v>
      </c>
      <c r="X1058" s="16" t="n">
        <v>0.5178571428571429</v>
      </c>
      <c r="Y1058" s="16" t="n"/>
      <c r="Z1058" s="16" t="n"/>
      <c r="AA1058" s="16" t="n"/>
      <c r="AB1058" s="16" t="n">
        <v>2436.363636363636</v>
      </c>
      <c r="AC1058" s="16" t="n">
        <v>5.322580645161289</v>
      </c>
      <c r="AD1058" s="16" t="n"/>
      <c r="AE1058" s="16" t="inlineStr">
        <is>
          <t>eps_cond</t>
        </is>
      </c>
    </row>
    <row r="1059">
      <c r="A1059" s="16" t="inlineStr">
        <is>
          <t>KF-M03-0158</t>
        </is>
      </c>
      <c r="B1059" s="16" t="inlineStr">
        <is>
          <t>3.1</t>
        </is>
      </c>
      <c r="C1059" s="16" t="inlineStr">
        <is>
          <t>3.1</t>
        </is>
      </c>
      <c r="D1059" s="16" t="inlineStr">
        <is>
          <t>alrededor de A*</t>
        </is>
      </c>
      <c r="E1059" s="16" t="inlineStr">
        <is>
          <t>KF-M03</t>
        </is>
      </c>
      <c r="F1059" s="16" t="inlineStr">
        <is>
          <t>KF-M03</t>
        </is>
      </c>
      <c r="G1059" s="16" t="inlineStr">
        <is>
          <t>B06</t>
        </is>
      </c>
      <c r="H1059" s="16" t="inlineStr">
        <is>
          <t>malla</t>
        </is>
      </c>
      <c r="I1059" s="16" t="inlineStr">
        <is>
          <t>CORREGIBLE</t>
        </is>
      </c>
      <c r="J1059" s="16" t="inlineStr">
        <is>
          <t>CORREGIBLE</t>
        </is>
      </c>
      <c r="K1059" s="16" t="b">
        <v>1</v>
      </c>
      <c r="L1059" s="16" t="b">
        <v>0</v>
      </c>
      <c r="M1059" s="16" t="b">
        <v>0</v>
      </c>
      <c r="N1059" s="16" t="b">
        <v>0</v>
      </c>
      <c r="O1059" s="16" t="n">
        <v>403</v>
      </c>
      <c r="P1059" s="16" t="n">
        <v>300.032917</v>
      </c>
      <c r="Q1059" s="16" t="n">
        <v>3000</v>
      </c>
      <c r="R1059" s="16" t="n">
        <v>563.6363636363637</v>
      </c>
      <c r="S1059" s="16" t="n">
        <v>0.5</v>
      </c>
      <c r="T1059" s="16" t="n">
        <v>0.85</v>
      </c>
      <c r="U1059" s="16" t="n">
        <v>0.75</v>
      </c>
      <c r="V1059" s="16" t="n">
        <v>0.85</v>
      </c>
      <c r="W1059" s="16" t="n">
        <v>0.75</v>
      </c>
      <c r="X1059" s="16" t="n">
        <v>0.5571428571428572</v>
      </c>
      <c r="Y1059" s="16" t="n"/>
      <c r="Z1059" s="16" t="n">
        <v>8.05915961983532</v>
      </c>
      <c r="AA1059" s="16" t="n">
        <v>21.38319548981796</v>
      </c>
      <c r="AB1059" s="16" t="n">
        <v>2436.363636363636</v>
      </c>
      <c r="AC1059" s="16" t="n">
        <v>5.322580645161289</v>
      </c>
      <c r="AD1059" s="16" t="inlineStr">
        <is>
          <t>O2</t>
        </is>
      </c>
      <c r="AE1059" s="16" t="inlineStr">
        <is>
          <t>eps_cond</t>
        </is>
      </c>
    </row>
    <row r="1060">
      <c r="A1060" s="16" t="inlineStr">
        <is>
          <t>KF-M03-0159</t>
        </is>
      </c>
      <c r="B1060" s="16" t="inlineStr">
        <is>
          <t>3.1</t>
        </is>
      </c>
      <c r="C1060" s="16" t="inlineStr">
        <is>
          <t>3.1</t>
        </is>
      </c>
      <c r="D1060" s="16" t="inlineStr">
        <is>
          <t>alrededor de A*</t>
        </is>
      </c>
      <c r="E1060" s="16" t="inlineStr">
        <is>
          <t>KF-M03</t>
        </is>
      </c>
      <c r="F1060" s="16" t="inlineStr">
        <is>
          <t>KF-M03</t>
        </is>
      </c>
      <c r="G1060" s="16" t="inlineStr">
        <is>
          <t>B06</t>
        </is>
      </c>
      <c r="H1060" s="16" t="inlineStr">
        <is>
          <t>malla</t>
        </is>
      </c>
      <c r="I1060" s="16" t="inlineStr">
        <is>
          <t>CORREGIBLE</t>
        </is>
      </c>
      <c r="J1060" s="16" t="inlineStr">
        <is>
          <t>CORREGIBLE</t>
        </is>
      </c>
      <c r="K1060" s="16" t="b">
        <v>1</v>
      </c>
      <c r="L1060" s="16" t="b">
        <v>0</v>
      </c>
      <c r="M1060" s="16" t="b">
        <v>0</v>
      </c>
      <c r="N1060" s="16" t="b">
        <v>0</v>
      </c>
      <c r="O1060" s="16" t="n">
        <v>403</v>
      </c>
      <c r="P1060" s="16" t="n">
        <v>300.032917</v>
      </c>
      <c r="Q1060" s="16" t="n">
        <v>3000</v>
      </c>
      <c r="R1060" s="16" t="n">
        <v>563.6363636363637</v>
      </c>
      <c r="S1060" s="16" t="n">
        <v>0.5</v>
      </c>
      <c r="T1060" s="16" t="n">
        <v>0.85</v>
      </c>
      <c r="U1060" s="16" t="n">
        <v>0.75</v>
      </c>
      <c r="V1060" s="16" t="n">
        <v>0.85</v>
      </c>
      <c r="W1060" s="16" t="n">
        <v>0.75</v>
      </c>
      <c r="X1060" s="16" t="n">
        <v>0.7535714285714286</v>
      </c>
      <c r="Y1060" s="16" t="n"/>
      <c r="Z1060" s="16" t="n">
        <v>8.656208110141851</v>
      </c>
      <c r="AA1060" s="16" t="n">
        <v>25.94503263935774</v>
      </c>
      <c r="AB1060" s="16" t="n">
        <v>2436.363636363636</v>
      </c>
      <c r="AC1060" s="16" t="n">
        <v>5.322580645161289</v>
      </c>
      <c r="AD1060" s="16" t="inlineStr">
        <is>
          <t>O2</t>
        </is>
      </c>
      <c r="AE1060" s="16" t="inlineStr">
        <is>
          <t>eps_cond</t>
        </is>
      </c>
    </row>
    <row r="1061">
      <c r="A1061" s="16" t="inlineStr">
        <is>
          <t>KF-M03-0160</t>
        </is>
      </c>
      <c r="B1061" s="16" t="inlineStr">
        <is>
          <t>3.1</t>
        </is>
      </c>
      <c r="C1061" s="16" t="inlineStr">
        <is>
          <t>3.1</t>
        </is>
      </c>
      <c r="D1061" s="16" t="inlineStr">
        <is>
          <t>alrededor de A*</t>
        </is>
      </c>
      <c r="E1061" s="16" t="inlineStr">
        <is>
          <t>KF-M03</t>
        </is>
      </c>
      <c r="F1061" s="16" t="inlineStr">
        <is>
          <t>KF-M03</t>
        </is>
      </c>
      <c r="G1061" s="16" t="inlineStr">
        <is>
          <t>B06</t>
        </is>
      </c>
      <c r="H1061" s="16" t="inlineStr">
        <is>
          <t>malla</t>
        </is>
      </c>
      <c r="I1061" s="16" t="inlineStr">
        <is>
          <t>CORREGIBLE</t>
        </is>
      </c>
      <c r="J1061" s="16" t="inlineStr">
        <is>
          <t>CORREGIBLE</t>
        </is>
      </c>
      <c r="K1061" s="16" t="b">
        <v>1</v>
      </c>
      <c r="L1061" s="16" t="b">
        <v>0</v>
      </c>
      <c r="M1061" s="16" t="b">
        <v>0</v>
      </c>
      <c r="N1061" s="16" t="b">
        <v>0</v>
      </c>
      <c r="O1061" s="16" t="n">
        <v>403</v>
      </c>
      <c r="P1061" s="16" t="n">
        <v>300.032917</v>
      </c>
      <c r="Q1061" s="16" t="n">
        <v>3000</v>
      </c>
      <c r="R1061" s="16" t="n">
        <v>563.6363636363637</v>
      </c>
      <c r="S1061" s="16" t="n">
        <v>0.5</v>
      </c>
      <c r="T1061" s="16" t="n">
        <v>0.85</v>
      </c>
      <c r="U1061" s="16" t="n">
        <v>0.75</v>
      </c>
      <c r="V1061" s="16" t="n">
        <v>0.85</v>
      </c>
      <c r="W1061" s="16" t="n">
        <v>0.75</v>
      </c>
      <c r="X1061" s="16" t="n">
        <v>0.675</v>
      </c>
      <c r="Y1061" s="16" t="n"/>
      <c r="Z1061" s="16" t="n">
        <v>8.7565764230869</v>
      </c>
      <c r="AA1061" s="16" t="n">
        <v>25.20897935325275</v>
      </c>
      <c r="AB1061" s="16" t="n">
        <v>2436.363636363636</v>
      </c>
      <c r="AC1061" s="16" t="n">
        <v>5.322580645161289</v>
      </c>
      <c r="AD1061" s="16" t="inlineStr">
        <is>
          <t>O2</t>
        </is>
      </c>
      <c r="AE1061" s="16" t="inlineStr">
        <is>
          <t>eps_cond</t>
        </is>
      </c>
    </row>
    <row r="1062">
      <c r="A1062" s="16" t="inlineStr">
        <is>
          <t>KF-M03-0161</t>
        </is>
      </c>
      <c r="B1062" s="16" t="inlineStr">
        <is>
          <t>3.1</t>
        </is>
      </c>
      <c r="C1062" s="16" t="inlineStr">
        <is>
          <t>3.1</t>
        </is>
      </c>
      <c r="D1062" s="16" t="inlineStr">
        <is>
          <t>alrededor de A*</t>
        </is>
      </c>
      <c r="E1062" s="16" t="inlineStr">
        <is>
          <t>KF-M03</t>
        </is>
      </c>
      <c r="F1062" s="16" t="inlineStr">
        <is>
          <t>KF-M03</t>
        </is>
      </c>
      <c r="G1062" s="16" t="inlineStr">
        <is>
          <t>B06</t>
        </is>
      </c>
      <c r="H1062" s="16" t="inlineStr">
        <is>
          <t>malla</t>
        </is>
      </c>
      <c r="I1062" s="16" t="inlineStr">
        <is>
          <t>CORREGIBLE</t>
        </is>
      </c>
      <c r="J1062" s="16" t="inlineStr">
        <is>
          <t>CORREGIBLE</t>
        </is>
      </c>
      <c r="K1062" s="16" t="b">
        <v>1</v>
      </c>
      <c r="L1062" s="16" t="b">
        <v>0</v>
      </c>
      <c r="M1062" s="16" t="b">
        <v>0</v>
      </c>
      <c r="N1062" s="16" t="b">
        <v>0</v>
      </c>
      <c r="O1062" s="16" t="n">
        <v>403</v>
      </c>
      <c r="P1062" s="16" t="n">
        <v>300.032917</v>
      </c>
      <c r="Q1062" s="16" t="n">
        <v>3000</v>
      </c>
      <c r="R1062" s="16" t="n">
        <v>563.6363636363637</v>
      </c>
      <c r="S1062" s="16" t="n">
        <v>0.5</v>
      </c>
      <c r="T1062" s="16" t="n">
        <v>0.85</v>
      </c>
      <c r="U1062" s="16" t="n">
        <v>0.75</v>
      </c>
      <c r="V1062" s="16" t="n">
        <v>0.85</v>
      </c>
      <c r="W1062" s="16" t="n">
        <v>0.75</v>
      </c>
      <c r="X1062" s="16" t="n">
        <v>0.5964285714285714</v>
      </c>
      <c r="Y1062" s="16" t="n"/>
      <c r="Z1062" s="16" t="n">
        <v>8.45485400866505</v>
      </c>
      <c r="AA1062" s="16" t="n">
        <v>23.13548903339925</v>
      </c>
      <c r="AB1062" s="16" t="n">
        <v>2436.363636363636</v>
      </c>
      <c r="AC1062" s="16" t="n">
        <v>5.322580645161289</v>
      </c>
      <c r="AD1062" s="16" t="inlineStr">
        <is>
          <t>O2</t>
        </is>
      </c>
      <c r="AE1062" s="16" t="inlineStr">
        <is>
          <t>eps_cond</t>
        </is>
      </c>
    </row>
    <row r="1063">
      <c r="A1063" s="16" t="inlineStr">
        <is>
          <t>KF-M03-0162</t>
        </is>
      </c>
      <c r="B1063" s="16" t="inlineStr">
        <is>
          <t>3.1</t>
        </is>
      </c>
      <c r="C1063" s="16" t="inlineStr">
        <is>
          <t>3.1</t>
        </is>
      </c>
      <c r="D1063" s="16" t="inlineStr">
        <is>
          <t>alrededor de A*</t>
        </is>
      </c>
      <c r="E1063" s="16" t="inlineStr">
        <is>
          <t>KF-M03</t>
        </is>
      </c>
      <c r="F1063" s="16" t="inlineStr">
        <is>
          <t>KF-M03</t>
        </is>
      </c>
      <c r="G1063" s="16" t="inlineStr">
        <is>
          <t>B06</t>
        </is>
      </c>
      <c r="H1063" s="16" t="inlineStr">
        <is>
          <t>malla</t>
        </is>
      </c>
      <c r="I1063" s="16" t="inlineStr">
        <is>
          <t>CORREGIBLE</t>
        </is>
      </c>
      <c r="J1063" s="16" t="inlineStr">
        <is>
          <t>CORREGIBLE</t>
        </is>
      </c>
      <c r="K1063" s="16" t="b">
        <v>1</v>
      </c>
      <c r="L1063" s="16" t="b">
        <v>0</v>
      </c>
      <c r="M1063" s="16" t="b">
        <v>0</v>
      </c>
      <c r="N1063" s="16" t="b">
        <v>0</v>
      </c>
      <c r="O1063" s="16" t="n">
        <v>403</v>
      </c>
      <c r="P1063" s="16" t="n">
        <v>300.032917</v>
      </c>
      <c r="Q1063" s="16" t="n">
        <v>3000</v>
      </c>
      <c r="R1063" s="16" t="n">
        <v>563.6363636363637</v>
      </c>
      <c r="S1063" s="16" t="n">
        <v>0.5</v>
      </c>
      <c r="T1063" s="16" t="n">
        <v>0.85</v>
      </c>
      <c r="U1063" s="16" t="n">
        <v>0.75</v>
      </c>
      <c r="V1063" s="16" t="n">
        <v>0.85</v>
      </c>
      <c r="W1063" s="16" t="n">
        <v>0.75</v>
      </c>
      <c r="X1063" s="16" t="n">
        <v>0.7142857142857142</v>
      </c>
      <c r="Y1063" s="16" t="n"/>
      <c r="Z1063" s="16" t="n">
        <v>8.743420674580129</v>
      </c>
      <c r="AA1063" s="16" t="n">
        <v>25.71124702423145</v>
      </c>
      <c r="AB1063" s="16" t="n">
        <v>2436.363636363636</v>
      </c>
      <c r="AC1063" s="16" t="n">
        <v>5.322580645161289</v>
      </c>
      <c r="AD1063" s="16" t="inlineStr">
        <is>
          <t>O2</t>
        </is>
      </c>
      <c r="AE1063" s="16" t="inlineStr">
        <is>
          <t>eps_cond</t>
        </is>
      </c>
    </row>
    <row r="1064">
      <c r="A1064" s="16" t="inlineStr">
        <is>
          <t>KF-M03-0163</t>
        </is>
      </c>
      <c r="B1064" s="16" t="inlineStr">
        <is>
          <t>3.1</t>
        </is>
      </c>
      <c r="C1064" s="16" t="inlineStr">
        <is>
          <t>3.1</t>
        </is>
      </c>
      <c r="D1064" s="16" t="inlineStr">
        <is>
          <t>alrededor de A*</t>
        </is>
      </c>
      <c r="E1064" s="16" t="inlineStr">
        <is>
          <t>KF-M03</t>
        </is>
      </c>
      <c r="F1064" s="16" t="inlineStr">
        <is>
          <t>KF-M03</t>
        </is>
      </c>
      <c r="G1064" s="16" t="inlineStr">
        <is>
          <t>B06</t>
        </is>
      </c>
      <c r="H1064" s="16" t="inlineStr">
        <is>
          <t>malla</t>
        </is>
      </c>
      <c r="I1064" s="16" t="inlineStr">
        <is>
          <t>CORREGIBLE</t>
        </is>
      </c>
      <c r="J1064" s="16" t="inlineStr">
        <is>
          <t>CORREGIBLE</t>
        </is>
      </c>
      <c r="K1064" s="16" t="b">
        <v>1</v>
      </c>
      <c r="L1064" s="16" t="b">
        <v>0</v>
      </c>
      <c r="M1064" s="16" t="b">
        <v>0</v>
      </c>
      <c r="N1064" s="16" t="b">
        <v>0</v>
      </c>
      <c r="O1064" s="16" t="n">
        <v>403</v>
      </c>
      <c r="P1064" s="16" t="n">
        <v>300.032917</v>
      </c>
      <c r="Q1064" s="16" t="n">
        <v>3000</v>
      </c>
      <c r="R1064" s="16" t="n">
        <v>563.6363636363637</v>
      </c>
      <c r="S1064" s="16" t="n">
        <v>0.5</v>
      </c>
      <c r="T1064" s="16" t="n">
        <v>0.85</v>
      </c>
      <c r="U1064" s="16" t="n">
        <v>0.75</v>
      </c>
      <c r="V1064" s="16" t="n">
        <v>0.85</v>
      </c>
      <c r="W1064" s="16" t="n">
        <v>0.75</v>
      </c>
      <c r="X1064" s="16" t="n">
        <v>0.6357142857142857</v>
      </c>
      <c r="Y1064" s="16" t="n"/>
      <c r="Z1064" s="16" t="n">
        <v>8.67152951239059</v>
      </c>
      <c r="AA1064" s="16" t="n">
        <v>24.37665711592302</v>
      </c>
      <c r="AB1064" s="16" t="n">
        <v>2436.363636363636</v>
      </c>
      <c r="AC1064" s="16" t="n">
        <v>5.322580645161289</v>
      </c>
      <c r="AD1064" s="16" t="inlineStr">
        <is>
          <t>O2</t>
        </is>
      </c>
      <c r="AE1064" s="16" t="inlineStr">
        <is>
          <t>eps_cond</t>
        </is>
      </c>
    </row>
    <row r="1065">
      <c r="A1065" s="16" t="inlineStr">
        <is>
          <t>KF-M03-0164</t>
        </is>
      </c>
      <c r="B1065" s="16" t="inlineStr">
        <is>
          <t>3.1</t>
        </is>
      </c>
      <c r="C1065" s="16" t="inlineStr">
        <is>
          <t>3.1</t>
        </is>
      </c>
      <c r="D1065" s="16" t="inlineStr">
        <is>
          <t>alrededor de A*</t>
        </is>
      </c>
      <c r="E1065" s="16" t="inlineStr">
        <is>
          <t>KF-M03</t>
        </is>
      </c>
      <c r="F1065" s="16" t="inlineStr">
        <is>
          <t>KF-M03</t>
        </is>
      </c>
      <c r="G1065" s="16" t="inlineStr">
        <is>
          <t>B06</t>
        </is>
      </c>
      <c r="H1065" s="16" t="inlineStr">
        <is>
          <t>malla</t>
        </is>
      </c>
      <c r="I1065" s="16" t="inlineStr">
        <is>
          <t>KALINA</t>
        </is>
      </c>
      <c r="J1065" s="16" t="inlineStr">
        <is>
          <t>KALINA</t>
        </is>
      </c>
      <c r="K1065" s="16" t="b">
        <v>1</v>
      </c>
      <c r="L1065" s="16" t="b">
        <v>1</v>
      </c>
      <c r="M1065" s="16" t="b">
        <v>0</v>
      </c>
      <c r="N1065" s="16" t="b">
        <v>0</v>
      </c>
      <c r="O1065" s="16" t="n">
        <v>403</v>
      </c>
      <c r="P1065" s="16" t="n">
        <v>300.032917</v>
      </c>
      <c r="Q1065" s="16" t="n">
        <v>3000</v>
      </c>
      <c r="R1065" s="16" t="n">
        <v>563.6363636363637</v>
      </c>
      <c r="S1065" s="16" t="n">
        <v>0.5</v>
      </c>
      <c r="T1065" s="16" t="n">
        <v>0.85</v>
      </c>
      <c r="U1065" s="16" t="n">
        <v>0.75</v>
      </c>
      <c r="V1065" s="16" t="n">
        <v>0.85</v>
      </c>
      <c r="W1065" s="16" t="n">
        <v>0.75</v>
      </c>
      <c r="X1065" s="16" t="n">
        <v>0.9107142857142856</v>
      </c>
      <c r="Y1065" s="16" t="n"/>
      <c r="Z1065" s="16" t="n">
        <v>8.06154362570844</v>
      </c>
      <c r="AA1065" s="16" t="n">
        <v>25.6880869636638</v>
      </c>
      <c r="AB1065" s="16" t="n">
        <v>2436.363636363636</v>
      </c>
      <c r="AC1065" s="16" t="n">
        <v>5.322580645161289</v>
      </c>
      <c r="AD1065" s="16" t="n"/>
      <c r="AE1065" s="16" t="inlineStr">
        <is>
          <t>eps_cond</t>
        </is>
      </c>
    </row>
    <row r="1066">
      <c r="A1066" s="16" t="inlineStr">
        <is>
          <t>KF-M03-0165</t>
        </is>
      </c>
      <c r="B1066" s="16" t="inlineStr">
        <is>
          <t>3.1</t>
        </is>
      </c>
      <c r="C1066" s="16" t="inlineStr">
        <is>
          <t>3.1</t>
        </is>
      </c>
      <c r="D1066" s="16" t="inlineStr">
        <is>
          <t>alrededor de A*</t>
        </is>
      </c>
      <c r="E1066" s="16" t="inlineStr">
        <is>
          <t>KF-M03</t>
        </is>
      </c>
      <c r="F1066" s="16" t="inlineStr">
        <is>
          <t>KF-M03</t>
        </is>
      </c>
      <c r="G1066" s="16" t="inlineStr">
        <is>
          <t>B06</t>
        </is>
      </c>
      <c r="H1066" s="16" t="inlineStr">
        <is>
          <t>malla</t>
        </is>
      </c>
      <c r="I1066" s="16" t="inlineStr">
        <is>
          <t>KALINA</t>
        </is>
      </c>
      <c r="J1066" s="16" t="inlineStr">
        <is>
          <t>KALINA</t>
        </is>
      </c>
      <c r="K1066" s="16" t="b">
        <v>1</v>
      </c>
      <c r="L1066" s="16" t="b">
        <v>1</v>
      </c>
      <c r="M1066" s="16" t="b">
        <v>0</v>
      </c>
      <c r="N1066" s="16" t="b">
        <v>0</v>
      </c>
      <c r="O1066" s="16" t="n">
        <v>403</v>
      </c>
      <c r="P1066" s="16" t="n">
        <v>300.032917</v>
      </c>
      <c r="Q1066" s="16" t="n">
        <v>3000</v>
      </c>
      <c r="R1066" s="16" t="n">
        <v>563.6363636363637</v>
      </c>
      <c r="S1066" s="16" t="n">
        <v>0.5</v>
      </c>
      <c r="T1066" s="16" t="n">
        <v>0.85</v>
      </c>
      <c r="U1066" s="16" t="n">
        <v>0.75</v>
      </c>
      <c r="V1066" s="16" t="n">
        <v>0.85</v>
      </c>
      <c r="W1066" s="16" t="n">
        <v>0.75</v>
      </c>
      <c r="X1066" s="16" t="n">
        <v>0.8321428571428571</v>
      </c>
      <c r="Y1066" s="16" t="n"/>
      <c r="Z1066" s="16" t="n">
        <v>8.348620022014739</v>
      </c>
      <c r="AA1066" s="16" t="n">
        <v>25.86378151122852</v>
      </c>
      <c r="AB1066" s="16" t="n">
        <v>2436.363636363636</v>
      </c>
      <c r="AC1066" s="16" t="n">
        <v>5.322580645161289</v>
      </c>
      <c r="AD1066" s="16" t="n"/>
      <c r="AE1066" s="16" t="inlineStr">
        <is>
          <t>eps_cond</t>
        </is>
      </c>
    </row>
    <row r="1067">
      <c r="A1067" s="16" t="inlineStr">
        <is>
          <t>KF-M03-0166</t>
        </is>
      </c>
      <c r="B1067" s="16" t="inlineStr">
        <is>
          <t>3.1</t>
        </is>
      </c>
      <c r="C1067" s="16" t="inlineStr">
        <is>
          <t>3.1</t>
        </is>
      </c>
      <c r="D1067" s="16" t="inlineStr">
        <is>
          <t>alrededor de A*</t>
        </is>
      </c>
      <c r="E1067" s="16" t="inlineStr">
        <is>
          <t>KF-M03</t>
        </is>
      </c>
      <c r="F1067" s="16" t="inlineStr">
        <is>
          <t>KF-M03</t>
        </is>
      </c>
      <c r="G1067" s="16" t="inlineStr">
        <is>
          <t>B06</t>
        </is>
      </c>
      <c r="H1067" s="16" t="inlineStr">
        <is>
          <t>malla</t>
        </is>
      </c>
      <c r="I1067" s="16" t="inlineStr">
        <is>
          <t>KALINA</t>
        </is>
      </c>
      <c r="J1067" s="16" t="inlineStr">
        <is>
          <t>KALINA</t>
        </is>
      </c>
      <c r="K1067" s="16" t="b">
        <v>1</v>
      </c>
      <c r="L1067" s="16" t="b">
        <v>1</v>
      </c>
      <c r="M1067" s="16" t="b">
        <v>0</v>
      </c>
      <c r="N1067" s="16" t="b">
        <v>0</v>
      </c>
      <c r="O1067" s="16" t="n">
        <v>403</v>
      </c>
      <c r="P1067" s="16" t="n">
        <v>300.032917</v>
      </c>
      <c r="Q1067" s="16" t="n">
        <v>3000</v>
      </c>
      <c r="R1067" s="16" t="n">
        <v>563.6363636363637</v>
      </c>
      <c r="S1067" s="16" t="n">
        <v>0.5</v>
      </c>
      <c r="T1067" s="16" t="n">
        <v>0.85</v>
      </c>
      <c r="U1067" s="16" t="n">
        <v>0.75</v>
      </c>
      <c r="V1067" s="16" t="n">
        <v>0.85</v>
      </c>
      <c r="W1067" s="16" t="n">
        <v>0.75</v>
      </c>
      <c r="X1067" s="16" t="n">
        <v>0.8714285714285714</v>
      </c>
      <c r="Y1067" s="16" t="n"/>
      <c r="Z1067" s="16" t="n">
        <v>8.19877054451339</v>
      </c>
      <c r="AA1067" s="16" t="n">
        <v>25.77337922825318</v>
      </c>
      <c r="AB1067" s="16" t="n">
        <v>2436.363636363636</v>
      </c>
      <c r="AC1067" s="16" t="n">
        <v>5.322580645161289</v>
      </c>
      <c r="AD1067" s="16" t="n"/>
      <c r="AE1067" s="16" t="inlineStr">
        <is>
          <t>eps_cond</t>
        </is>
      </c>
    </row>
    <row r="1068">
      <c r="A1068" s="16" t="inlineStr">
        <is>
          <t>KF-M03-0167</t>
        </is>
      </c>
      <c r="B1068" s="16" t="inlineStr">
        <is>
          <t>3.1</t>
        </is>
      </c>
      <c r="C1068" s="16" t="inlineStr">
        <is>
          <t>3.1</t>
        </is>
      </c>
      <c r="D1068" s="16" t="inlineStr">
        <is>
          <t>alrededor de A*</t>
        </is>
      </c>
      <c r="E1068" s="16" t="inlineStr">
        <is>
          <t>KF-M03</t>
        </is>
      </c>
      <c r="F1068" s="16" t="inlineStr">
        <is>
          <t>KF-M03</t>
        </is>
      </c>
      <c r="G1068" s="16" t="inlineStr">
        <is>
          <t>B06</t>
        </is>
      </c>
      <c r="H1068" s="16" t="inlineStr">
        <is>
          <t>malla</t>
        </is>
      </c>
      <c r="I1068" s="16" t="inlineStr">
        <is>
          <t>CORREGIBLE</t>
        </is>
      </c>
      <c r="J1068" s="16" t="inlineStr">
        <is>
          <t>CORREGIBLE</t>
        </is>
      </c>
      <c r="K1068" s="16" t="b">
        <v>1</v>
      </c>
      <c r="L1068" s="16" t="b">
        <v>0</v>
      </c>
      <c r="M1068" s="16" t="b">
        <v>0</v>
      </c>
      <c r="N1068" s="16" t="b">
        <v>0</v>
      </c>
      <c r="O1068" s="16" t="n">
        <v>403</v>
      </c>
      <c r="P1068" s="16" t="n">
        <v>300.032917</v>
      </c>
      <c r="Q1068" s="16" t="n">
        <v>3000</v>
      </c>
      <c r="R1068" s="16" t="n">
        <v>563.6363636363637</v>
      </c>
      <c r="S1068" s="16" t="n">
        <v>0.5</v>
      </c>
      <c r="T1068" s="16" t="n">
        <v>0.85</v>
      </c>
      <c r="U1068" s="16" t="n">
        <v>0.75</v>
      </c>
      <c r="V1068" s="16" t="n">
        <v>0.85</v>
      </c>
      <c r="W1068" s="16" t="n">
        <v>0.75</v>
      </c>
      <c r="X1068" s="16" t="n">
        <v>0.7928571428571428</v>
      </c>
      <c r="Y1068" s="16" t="n"/>
      <c r="Z1068" s="16" t="n">
        <v>8.51269627068916</v>
      </c>
      <c r="AA1068" s="16" t="n">
        <v>25.95901527592077</v>
      </c>
      <c r="AB1068" s="16" t="n">
        <v>2436.363636363636</v>
      </c>
      <c r="AC1068" s="16" t="n">
        <v>5.322580645161289</v>
      </c>
      <c r="AD1068" s="16" t="inlineStr">
        <is>
          <t>O2</t>
        </is>
      </c>
      <c r="AE1068" s="16" t="inlineStr">
        <is>
          <t>eps_cond</t>
        </is>
      </c>
    </row>
    <row r="1069">
      <c r="A1069" s="16" t="inlineStr">
        <is>
          <t>KF-M03-0168</t>
        </is>
      </c>
      <c r="B1069" s="16" t="inlineStr">
        <is>
          <t>3.1</t>
        </is>
      </c>
      <c r="C1069" s="16" t="inlineStr">
        <is>
          <t>3.1</t>
        </is>
      </c>
      <c r="D1069" s="16" t="inlineStr">
        <is>
          <t>alrededor de A*</t>
        </is>
      </c>
      <c r="E1069" s="16" t="inlineStr">
        <is>
          <t>KF-M03</t>
        </is>
      </c>
      <c r="F1069" s="16" t="inlineStr">
        <is>
          <t>KF-M03</t>
        </is>
      </c>
      <c r="G1069" s="16" t="inlineStr">
        <is>
          <t>B06</t>
        </is>
      </c>
      <c r="H1069" s="16" t="inlineStr">
        <is>
          <t>malla</t>
        </is>
      </c>
      <c r="I1069" s="16" t="inlineStr">
        <is>
          <t>KALINA</t>
        </is>
      </c>
      <c r="J1069" s="16" t="inlineStr">
        <is>
          <t>KALINA</t>
        </is>
      </c>
      <c r="K1069" s="16" t="b">
        <v>1</v>
      </c>
      <c r="L1069" s="16" t="b">
        <v>1</v>
      </c>
      <c r="M1069" s="16" t="b">
        <v>0</v>
      </c>
      <c r="N1069" s="16" t="b">
        <v>0</v>
      </c>
      <c r="O1069" s="16" t="n">
        <v>403</v>
      </c>
      <c r="P1069" s="16" t="n">
        <v>300.032917</v>
      </c>
      <c r="Q1069" s="16" t="n">
        <v>3000</v>
      </c>
      <c r="R1069" s="16" t="n">
        <v>563.6363636363637</v>
      </c>
      <c r="S1069" s="16" t="n">
        <v>0.5</v>
      </c>
      <c r="T1069" s="16" t="n">
        <v>0.85</v>
      </c>
      <c r="U1069" s="16" t="n">
        <v>0.75</v>
      </c>
      <c r="V1069" s="16" t="n">
        <v>0.85</v>
      </c>
      <c r="W1069" s="16" t="n">
        <v>0.75</v>
      </c>
      <c r="X1069" s="16" t="n">
        <v>0.95</v>
      </c>
      <c r="Y1069" s="16" t="n"/>
      <c r="Z1069" s="16" t="n">
        <v>7.9354097060929</v>
      </c>
      <c r="AA1069" s="16" t="n">
        <v>25.60748833924379</v>
      </c>
      <c r="AB1069" s="16" t="n">
        <v>2436.363636363636</v>
      </c>
      <c r="AC1069" s="16" t="n">
        <v>5.322580645161289</v>
      </c>
      <c r="AD1069" s="16" t="n"/>
      <c r="AE1069" s="16" t="inlineStr">
        <is>
          <t>eps_cond</t>
        </is>
      </c>
    </row>
    <row r="1070">
      <c r="A1070" s="16" t="inlineStr">
        <is>
          <t>KF-M03-0169</t>
        </is>
      </c>
      <c r="B1070" s="16" t="inlineStr">
        <is>
          <t>3.1</t>
        </is>
      </c>
      <c r="C1070" s="16" t="inlineStr">
        <is>
          <t>3.1</t>
        </is>
      </c>
      <c r="D1070" s="16" t="inlineStr">
        <is>
          <t>alrededor de A*</t>
        </is>
      </c>
      <c r="E1070" s="16" t="inlineStr">
        <is>
          <t>KF-M03</t>
        </is>
      </c>
      <c r="F1070" s="16" t="inlineStr">
        <is>
          <t>KF-M03</t>
        </is>
      </c>
      <c r="G1070" s="16" t="inlineStr">
        <is>
          <t>B06</t>
        </is>
      </c>
      <c r="H1070" s="16" t="inlineStr">
        <is>
          <t>vecino</t>
        </is>
      </c>
      <c r="I1070" s="16" t="inlineStr">
        <is>
          <t>CORREGIBLE</t>
        </is>
      </c>
      <c r="J1070" s="16" t="inlineStr">
        <is>
          <t>CORREGIBLE</t>
        </is>
      </c>
      <c r="K1070" s="16" t="b">
        <v>1</v>
      </c>
      <c r="L1070" s="16" t="b">
        <v>0</v>
      </c>
      <c r="M1070" s="16" t="b">
        <v>0</v>
      </c>
      <c r="N1070" s="16" t="b">
        <v>0</v>
      </c>
      <c r="O1070" s="16" t="n">
        <v>403</v>
      </c>
      <c r="P1070" s="16" t="n">
        <v>300.032917</v>
      </c>
      <c r="Q1070" s="16" t="n">
        <v>3000</v>
      </c>
      <c r="R1070" s="16" t="n">
        <v>563.6363636363637</v>
      </c>
      <c r="S1070" s="16" t="n">
        <v>0.5</v>
      </c>
      <c r="T1070" s="16" t="n">
        <v>0.85</v>
      </c>
      <c r="U1070" s="16" t="n">
        <v>0.75</v>
      </c>
      <c r="V1070" s="16" t="n">
        <v>0.85</v>
      </c>
      <c r="W1070" s="16" t="n">
        <v>0.75</v>
      </c>
      <c r="X1070" s="16" t="n">
        <v>0.7945000000000001</v>
      </c>
      <c r="Y1070" s="16" t="n"/>
      <c r="Z1070" s="16" t="n">
        <v>8.505679590558019</v>
      </c>
      <c r="AA1070" s="16" t="n">
        <v>25.95542374624111</v>
      </c>
      <c r="AB1070" s="16" t="n">
        <v>2436.363636363636</v>
      </c>
      <c r="AC1070" s="16" t="n">
        <v>5.322580645161289</v>
      </c>
      <c r="AD1070" s="16" t="inlineStr">
        <is>
          <t>O2</t>
        </is>
      </c>
      <c r="AE1070" s="16" t="inlineStr">
        <is>
          <t>eps_cond</t>
        </is>
      </c>
    </row>
    <row r="1071">
      <c r="A1071" s="16" t="inlineStr">
        <is>
          <t>KF-M03-0170</t>
        </is>
      </c>
      <c r="B1071" s="16" t="inlineStr">
        <is>
          <t>3.1</t>
        </is>
      </c>
      <c r="C1071" s="16" t="inlineStr">
        <is>
          <t>3.1</t>
        </is>
      </c>
      <c r="D1071" s="16" t="inlineStr">
        <is>
          <t>alrededor de A*</t>
        </is>
      </c>
      <c r="E1071" s="16" t="inlineStr">
        <is>
          <t>KF-M03</t>
        </is>
      </c>
      <c r="F1071" s="16" t="inlineStr">
        <is>
          <t>KF-M03</t>
        </is>
      </c>
      <c r="G1071" s="16" t="inlineStr">
        <is>
          <t>B06</t>
        </is>
      </c>
      <c r="H1071" s="16" t="inlineStr">
        <is>
          <t>vecino</t>
        </is>
      </c>
      <c r="I1071" s="16" t="inlineStr">
        <is>
          <t>KALINA</t>
        </is>
      </c>
      <c r="J1071" s="16" t="inlineStr">
        <is>
          <t>KALINA</t>
        </is>
      </c>
      <c r="K1071" s="16" t="b">
        <v>1</v>
      </c>
      <c r="L1071" s="16" t="b">
        <v>1</v>
      </c>
      <c r="M1071" s="16" t="b">
        <v>0</v>
      </c>
      <c r="N1071" s="16" t="b">
        <v>0</v>
      </c>
      <c r="O1071" s="16" t="n">
        <v>403</v>
      </c>
      <c r="P1071" s="16" t="n">
        <v>300.032917</v>
      </c>
      <c r="Q1071" s="16" t="n">
        <v>3000</v>
      </c>
      <c r="R1071" s="16" t="n">
        <v>563.6363636363637</v>
      </c>
      <c r="S1071" s="16" t="n">
        <v>0.5</v>
      </c>
      <c r="T1071" s="16" t="n">
        <v>0.85</v>
      </c>
      <c r="U1071" s="16" t="n">
        <v>0.75</v>
      </c>
      <c r="V1071" s="16" t="n">
        <v>0.85</v>
      </c>
      <c r="W1071" s="16" t="n">
        <v>0.75</v>
      </c>
      <c r="X1071" s="16" t="n">
        <v>0.8055</v>
      </c>
      <c r="Y1071" s="16" t="n"/>
      <c r="Z1071" s="16" t="n">
        <v>8.45835133203032</v>
      </c>
      <c r="AA1071" s="16" t="n">
        <v>25.92824010536252</v>
      </c>
      <c r="AB1071" s="16" t="n">
        <v>2436.363636363636</v>
      </c>
      <c r="AC1071" s="16" t="n">
        <v>5.322580645161289</v>
      </c>
      <c r="AD1071" s="16" t="n"/>
      <c r="AE1071" s="16" t="inlineStr">
        <is>
          <t>eps_cond</t>
        </is>
      </c>
    </row>
    <row r="1072">
      <c r="A1072" s="16" t="inlineStr">
        <is>
          <t>KF-M04-0000</t>
        </is>
      </c>
      <c r="B1072" s="16" t="inlineStr">
        <is>
          <t>3.2</t>
        </is>
      </c>
      <c r="C1072" s="16" t="inlineStr">
        <is>
          <t>3.2</t>
        </is>
      </c>
      <c r="D1072" s="16" t="inlineStr">
        <is>
          <t>muestra de 300 puntos</t>
        </is>
      </c>
      <c r="E1072" s="16" t="inlineStr">
        <is>
          <t>KF-M04</t>
        </is>
      </c>
      <c r="F1072" s="16" t="inlineStr">
        <is>
          <t>KF-M04</t>
        </is>
      </c>
      <c r="G1072" s="16" t="inlineStr">
        <is>
          <t>B07</t>
        </is>
      </c>
      <c r="H1072" s="16" t="inlineStr">
        <is>
          <t>lhs</t>
        </is>
      </c>
      <c r="I1072" s="16" t="inlineStr">
        <is>
          <t>KALINA</t>
        </is>
      </c>
      <c r="J1072" s="16" t="inlineStr">
        <is>
          <t>KALINA</t>
        </is>
      </c>
      <c r="K1072" s="16" t="b">
        <v>1</v>
      </c>
      <c r="L1072" s="16" t="b">
        <v>1</v>
      </c>
      <c r="M1072" s="16" t="b">
        <v>0</v>
      </c>
      <c r="N1072" s="16" t="b">
        <v>0</v>
      </c>
      <c r="O1072" s="16" t="n">
        <v>407.1340416411023</v>
      </c>
      <c r="P1072" s="16" t="n">
        <v>281.3414881998739</v>
      </c>
      <c r="Q1072" s="16" t="n">
        <v>4011.037294084613</v>
      </c>
      <c r="R1072" s="16" t="n">
        <v>1460.712585145145</v>
      </c>
      <c r="S1072" s="16" t="n">
        <v>0.5110070960268633</v>
      </c>
      <c r="T1072" s="16" t="n">
        <v>0.8763691609388118</v>
      </c>
      <c r="U1072" s="16" t="n">
        <v>0.8666441069626174</v>
      </c>
      <c r="V1072" s="16" t="n">
        <v>0.8112875416892159</v>
      </c>
      <c r="W1072" s="16" t="n">
        <v>0.9213041607672976</v>
      </c>
      <c r="X1072" s="16" t="n">
        <v>0.7797292180065749</v>
      </c>
      <c r="Y1072" s="16" t="n">
        <v>281.3414881998739</v>
      </c>
      <c r="Z1072" s="16" t="n">
        <v>3.26916177390642</v>
      </c>
      <c r="AA1072" s="16" t="n">
        <v>4.541993467445174</v>
      </c>
      <c r="AB1072" s="16" t="n">
        <v>2550.324708939468</v>
      </c>
      <c r="AC1072" s="16" t="n">
        <v>2.745945598658652</v>
      </c>
      <c r="AD1072" s="16" t="n"/>
      <c r="AE1072" s="16" t="n"/>
    </row>
    <row r="1073">
      <c r="A1073" s="16" t="inlineStr">
        <is>
          <t>KF-M04-0001</t>
        </is>
      </c>
      <c r="B1073" s="16" t="inlineStr">
        <is>
          <t>3.2</t>
        </is>
      </c>
      <c r="C1073" s="16" t="inlineStr">
        <is>
          <t>3.2</t>
        </is>
      </c>
      <c r="D1073" s="16" t="inlineStr">
        <is>
          <t>muestra de 300 puntos</t>
        </is>
      </c>
      <c r="E1073" s="16" t="inlineStr">
        <is>
          <t>KF-M04</t>
        </is>
      </c>
      <c r="F1073" s="16" t="inlineStr">
        <is>
          <t>KF-M04</t>
        </is>
      </c>
      <c r="G1073" s="16" t="inlineStr">
        <is>
          <t>B07</t>
        </is>
      </c>
      <c r="H1073" s="16" t="inlineStr">
        <is>
          <t>lhs</t>
        </is>
      </c>
      <c r="I1073" s="16" t="inlineStr">
        <is>
          <t>CORREGIBLE</t>
        </is>
      </c>
      <c r="J1073" s="16" t="inlineStr">
        <is>
          <t>CORREGIBLE</t>
        </is>
      </c>
      <c r="K1073" s="16" t="b">
        <v>1</v>
      </c>
      <c r="L1073" s="16" t="b">
        <v>0</v>
      </c>
      <c r="M1073" s="16" t="b">
        <v>1</v>
      </c>
      <c r="N1073" s="16" t="b">
        <v>0</v>
      </c>
      <c r="O1073" s="16" t="n">
        <v>451.4877506265385</v>
      </c>
      <c r="P1073" s="16" t="n">
        <v>286.5744248868691</v>
      </c>
      <c r="Q1073" s="16" t="n">
        <v>3665.962676103748</v>
      </c>
      <c r="R1073" s="16" t="n">
        <v>662.4103119374483</v>
      </c>
      <c r="S1073" s="16" t="n">
        <v>0.8219756898095861</v>
      </c>
      <c r="T1073" s="16" t="n">
        <v>0.7913495176669476</v>
      </c>
      <c r="U1073" s="16" t="n">
        <v>0.7271676099957175</v>
      </c>
      <c r="V1073" s="16" t="n">
        <v>0.842419755403758</v>
      </c>
      <c r="W1073" s="16" t="n">
        <v>0.6631644370492918</v>
      </c>
      <c r="X1073" s="16" t="n">
        <v>0.912392918553581</v>
      </c>
      <c r="Y1073" s="16" t="n">
        <v>286.5744248868691</v>
      </c>
      <c r="Z1073" s="16" t="n">
        <v>13.07843876470006</v>
      </c>
      <c r="AA1073" s="16" t="n">
        <v>187.0893139673974</v>
      </c>
      <c r="AB1073" s="16" t="n">
        <v>3003.552364166299</v>
      </c>
      <c r="AC1073" s="16" t="n">
        <v>5.534277788311252</v>
      </c>
      <c r="AD1073" s="16" t="inlineStr">
        <is>
          <t>O2</t>
        </is>
      </c>
      <c r="AE1073" s="16" t="n"/>
    </row>
    <row r="1074">
      <c r="A1074" s="16" t="inlineStr">
        <is>
          <t>KF-M04-0002</t>
        </is>
      </c>
      <c r="B1074" s="16" t="inlineStr">
        <is>
          <t>3.2</t>
        </is>
      </c>
      <c r="C1074" s="16" t="inlineStr">
        <is>
          <t>3.2</t>
        </is>
      </c>
      <c r="D1074" s="16" t="inlineStr">
        <is>
          <t>muestra de 300 puntos</t>
        </is>
      </c>
      <c r="E1074" s="16" t="inlineStr">
        <is>
          <t>KF-M04</t>
        </is>
      </c>
      <c r="F1074" s="16" t="inlineStr">
        <is>
          <t>KF-M04</t>
        </is>
      </c>
      <c r="G1074" s="16" t="inlineStr">
        <is>
          <t>B07</t>
        </is>
      </c>
      <c r="H1074" s="16" t="inlineStr">
        <is>
          <t>lhs</t>
        </is>
      </c>
      <c r="I1074" s="16" t="inlineStr">
        <is>
          <t>KALINA</t>
        </is>
      </c>
      <c r="J1074" s="16" t="inlineStr">
        <is>
          <t>KALINA</t>
        </is>
      </c>
      <c r="K1074" s="16" t="b">
        <v>1</v>
      </c>
      <c r="L1074" s="16" t="b">
        <v>1</v>
      </c>
      <c r="M1074" s="16" t="b">
        <v>0</v>
      </c>
      <c r="N1074" s="16" t="b">
        <v>0</v>
      </c>
      <c r="O1074" s="16" t="n">
        <v>386.1807303910927</v>
      </c>
      <c r="P1074" s="16" t="n">
        <v>293.7027289078923</v>
      </c>
      <c r="Q1074" s="16" t="n">
        <v>2967.685564843559</v>
      </c>
      <c r="R1074" s="16" t="n">
        <v>885.5900633145619</v>
      </c>
      <c r="S1074" s="16" t="n">
        <v>0.5564416284709504</v>
      </c>
      <c r="T1074" s="16" t="n">
        <v>0.848154575125184</v>
      </c>
      <c r="U1074" s="16" t="n">
        <v>0.8951385639828898</v>
      </c>
      <c r="V1074" s="16" t="n">
        <v>0.7833279717292597</v>
      </c>
      <c r="W1074" s="16" t="n">
        <v>0.6526669076160373</v>
      </c>
      <c r="X1074" s="16" t="n">
        <v>0.8367858543782041</v>
      </c>
      <c r="Y1074" s="16" t="n">
        <v>293.7027289078923</v>
      </c>
      <c r="Z1074" s="16" t="n">
        <v>4.162919322197451</v>
      </c>
      <c r="AA1074" s="16" t="n">
        <v>10.5170162896404</v>
      </c>
      <c r="AB1074" s="16" t="n">
        <v>2082.095501528997</v>
      </c>
      <c r="AC1074" s="16" t="n">
        <v>3.351082727527665</v>
      </c>
      <c r="AD1074" s="16" t="n"/>
      <c r="AE1074" s="16" t="n"/>
    </row>
    <row r="1075">
      <c r="A1075" s="16" t="inlineStr">
        <is>
          <t>KF-M04-0003</t>
        </is>
      </c>
      <c r="B1075" s="16" t="inlineStr">
        <is>
          <t>3.2</t>
        </is>
      </c>
      <c r="C1075" s="16" t="inlineStr">
        <is>
          <t>3.2</t>
        </is>
      </c>
      <c r="D1075" s="16" t="inlineStr">
        <is>
          <t>muestra de 300 puntos</t>
        </is>
      </c>
      <c r="E1075" s="16" t="inlineStr">
        <is>
          <t>KF-M04</t>
        </is>
      </c>
      <c r="F1075" s="16" t="inlineStr">
        <is>
          <t>KF-M04</t>
        </is>
      </c>
      <c r="G1075" s="16" t="inlineStr">
        <is>
          <t>B07</t>
        </is>
      </c>
      <c r="H1075" s="16" t="inlineStr">
        <is>
          <t>lhs</t>
        </is>
      </c>
      <c r="I1075" s="16" t="inlineStr">
        <is>
          <t>NO_CONVERGIO</t>
        </is>
      </c>
      <c r="J1075" s="16" t="inlineStr">
        <is>
          <t>NO_CONVERGIO</t>
        </is>
      </c>
      <c r="K1075" s="16" t="b">
        <v>0</v>
      </c>
      <c r="L1075" s="16" t="b">
        <v>0</v>
      </c>
      <c r="M1075" s="16" t="b">
        <v>0</v>
      </c>
      <c r="N1075" s="16" t="b">
        <v>0</v>
      </c>
      <c r="O1075" s="16" t="n">
        <v>396.75109566561</v>
      </c>
      <c r="P1075" s="16" t="n">
        <v>302.1602674119912</v>
      </c>
      <c r="Q1075" s="16" t="n">
        <v>4932.994104981873</v>
      </c>
      <c r="R1075" s="16" t="n">
        <v>405.240349881691</v>
      </c>
      <c r="S1075" s="16" t="n">
        <v>0.7871881235381006</v>
      </c>
      <c r="T1075" s="16" t="n">
        <v>0.9104784732245352</v>
      </c>
      <c r="U1075" s="16" t="n">
        <v>0.8358038608432342</v>
      </c>
      <c r="V1075" s="16" t="n">
        <v>0.6062077812942049</v>
      </c>
      <c r="W1075" s="16" t="n">
        <v>0.7938305415557918</v>
      </c>
      <c r="X1075" s="16" t="n">
        <v>0.9280154784846282</v>
      </c>
      <c r="Y1075" s="16" t="n">
        <v>302.1602674119912</v>
      </c>
      <c r="Z1075" s="16" t="n"/>
      <c r="AA1075" s="16" t="n"/>
      <c r="AB1075" s="16" t="n">
        <v>4527.753755100181</v>
      </c>
      <c r="AC1075" s="16" t="n">
        <v>12.17300820715916</v>
      </c>
      <c r="AD1075" s="16" t="n"/>
      <c r="AE1075" s="16" t="n"/>
    </row>
    <row r="1076">
      <c r="A1076" s="16" t="inlineStr">
        <is>
          <t>KF-M04-0004</t>
        </is>
      </c>
      <c r="B1076" s="16" t="inlineStr">
        <is>
          <t>3.2</t>
        </is>
      </c>
      <c r="C1076" s="16" t="inlineStr">
        <is>
          <t>3.2</t>
        </is>
      </c>
      <c r="D1076" s="16" t="inlineStr">
        <is>
          <t>muestra de 300 puntos</t>
        </is>
      </c>
      <c r="E1076" s="16" t="inlineStr">
        <is>
          <t>KF-M04</t>
        </is>
      </c>
      <c r="F1076" s="16" t="inlineStr">
        <is>
          <t>KF-M04</t>
        </is>
      </c>
      <c r="G1076" s="16" t="inlineStr">
        <is>
          <t>B07</t>
        </is>
      </c>
      <c r="H1076" s="16" t="inlineStr">
        <is>
          <t>lhs</t>
        </is>
      </c>
      <c r="I1076" s="16" t="inlineStr">
        <is>
          <t>CORREGIBLE</t>
        </is>
      </c>
      <c r="J1076" s="16" t="inlineStr">
        <is>
          <t>CORREGIBLE</t>
        </is>
      </c>
      <c r="K1076" s="16" t="b">
        <v>1</v>
      </c>
      <c r="L1076" s="16" t="b">
        <v>0</v>
      </c>
      <c r="M1076" s="16" t="b">
        <v>1</v>
      </c>
      <c r="N1076" s="16" t="b">
        <v>0</v>
      </c>
      <c r="O1076" s="16" t="n">
        <v>479.6754951075901</v>
      </c>
      <c r="P1076" s="16" t="n">
        <v>298.5273680035384</v>
      </c>
      <c r="Q1076" s="16" t="n">
        <v>4020.057055564708</v>
      </c>
      <c r="R1076" s="16" t="n">
        <v>1483.107052397032</v>
      </c>
      <c r="S1076" s="16" t="n">
        <v>0.5950267464089529</v>
      </c>
      <c r="T1076" s="16" t="n">
        <v>0.8688806141947087</v>
      </c>
      <c r="U1076" s="16" t="n">
        <v>0.8595083334931408</v>
      </c>
      <c r="V1076" s="16" t="n">
        <v>0.9170174704859276</v>
      </c>
      <c r="W1076" s="16" t="n">
        <v>0.852130514853453</v>
      </c>
      <c r="X1076" s="16" t="n">
        <v>0.8467420262506328</v>
      </c>
      <c r="Y1076" s="16" t="n">
        <v>298.5273680035384</v>
      </c>
      <c r="Z1076" s="16" t="n">
        <v>8.096570388386411</v>
      </c>
      <c r="AA1076" s="16" t="n">
        <v>139.8761883528681</v>
      </c>
      <c r="AB1076" s="16" t="n">
        <v>2536.950003167676</v>
      </c>
      <c r="AC1076" s="16" t="n">
        <v>2.710564317705454</v>
      </c>
      <c r="AD1076" s="16" t="inlineStr">
        <is>
          <t>O2</t>
        </is>
      </c>
      <c r="AE1076" s="16" t="n"/>
    </row>
    <row r="1077">
      <c r="A1077" s="16" t="inlineStr">
        <is>
          <t>KF-M04-0005</t>
        </is>
      </c>
      <c r="B1077" s="16" t="inlineStr">
        <is>
          <t>3.2</t>
        </is>
      </c>
      <c r="C1077" s="16" t="inlineStr">
        <is>
          <t>3.2</t>
        </is>
      </c>
      <c r="D1077" s="16" t="inlineStr">
        <is>
          <t>muestra de 300 puntos</t>
        </is>
      </c>
      <c r="E1077" s="16" t="inlineStr">
        <is>
          <t>KF-M04</t>
        </is>
      </c>
      <c r="F1077" s="16" t="inlineStr">
        <is>
          <t>KF-M04</t>
        </is>
      </c>
      <c r="G1077" s="16" t="inlineStr">
        <is>
          <t>B07</t>
        </is>
      </c>
      <c r="H1077" s="16" t="inlineStr">
        <is>
          <t>lhs</t>
        </is>
      </c>
      <c r="I1077" s="16" t="inlineStr">
        <is>
          <t>CORREGIBLE</t>
        </is>
      </c>
      <c r="J1077" s="16" t="inlineStr">
        <is>
          <t>CORREGIBLE</t>
        </is>
      </c>
      <c r="K1077" s="16" t="b">
        <v>1</v>
      </c>
      <c r="L1077" s="16" t="b">
        <v>0</v>
      </c>
      <c r="M1077" s="16" t="b">
        <v>1</v>
      </c>
      <c r="N1077" s="16" t="b">
        <v>0</v>
      </c>
      <c r="O1077" s="16" t="n">
        <v>487.1796610979839</v>
      </c>
      <c r="P1077" s="16" t="n">
        <v>287.2441386112029</v>
      </c>
      <c r="Q1077" s="16" t="n">
        <v>3440.010095524289</v>
      </c>
      <c r="R1077" s="16" t="n">
        <v>1334.233868431916</v>
      </c>
      <c r="S1077" s="16" t="n">
        <v>0.6644820432197892</v>
      </c>
      <c r="T1077" s="16" t="n">
        <v>0.7800044475207355</v>
      </c>
      <c r="U1077" s="16" t="n">
        <v>0.8809567209794431</v>
      </c>
      <c r="V1077" s="16" t="n">
        <v>0.7319672186009154</v>
      </c>
      <c r="W1077" s="16" t="n">
        <v>0.6035785688928544</v>
      </c>
      <c r="X1077" s="16" t="n">
        <v>0.7744272407920841</v>
      </c>
      <c r="Y1077" s="16" t="n">
        <v>287.2441386112029</v>
      </c>
      <c r="Z1077" s="16" t="n">
        <v>7.02144386346804</v>
      </c>
      <c r="AA1077" s="16" t="n">
        <v>92.45149179103124</v>
      </c>
      <c r="AB1077" s="16" t="n">
        <v>2105.776227092373</v>
      </c>
      <c r="AC1077" s="16" t="n">
        <v>2.578266207233389</v>
      </c>
      <c r="AD1077" s="16" t="inlineStr">
        <is>
          <t>O2</t>
        </is>
      </c>
      <c r="AE1077" s="16" t="n"/>
    </row>
    <row r="1078">
      <c r="A1078" s="16" t="inlineStr">
        <is>
          <t>KF-M04-0006</t>
        </is>
      </c>
      <c r="B1078" s="16" t="inlineStr">
        <is>
          <t>3.2</t>
        </is>
      </c>
      <c r="C1078" s="16" t="inlineStr">
        <is>
          <t>3.2</t>
        </is>
      </c>
      <c r="D1078" s="16" t="inlineStr">
        <is>
          <t>muestra de 300 puntos</t>
        </is>
      </c>
      <c r="E1078" s="16" t="inlineStr">
        <is>
          <t>KF-M04</t>
        </is>
      </c>
      <c r="F1078" s="16" t="inlineStr">
        <is>
          <t>KF-M04</t>
        </is>
      </c>
      <c r="G1078" s="16" t="inlineStr">
        <is>
          <t>B07</t>
        </is>
      </c>
      <c r="H1078" s="16" t="inlineStr">
        <is>
          <t>lhs</t>
        </is>
      </c>
      <c r="I1078" s="16" t="inlineStr">
        <is>
          <t>CORREGIBLE</t>
        </is>
      </c>
      <c r="J1078" s="16" t="inlineStr">
        <is>
          <t>CORREGIBLE</t>
        </is>
      </c>
      <c r="K1078" s="16" t="b">
        <v>1</v>
      </c>
      <c r="L1078" s="16" t="b">
        <v>0</v>
      </c>
      <c r="M1078" s="16" t="b">
        <v>0</v>
      </c>
      <c r="N1078" s="16" t="b">
        <v>0</v>
      </c>
      <c r="O1078" s="16" t="n">
        <v>398.5335160217198</v>
      </c>
      <c r="P1078" s="16" t="n">
        <v>293.8739498803942</v>
      </c>
      <c r="Q1078" s="16" t="n">
        <v>3659.899746223215</v>
      </c>
      <c r="R1078" s="16" t="n">
        <v>1152.091132516594</v>
      </c>
      <c r="S1078" s="16" t="n">
        <v>0.6957730360753672</v>
      </c>
      <c r="T1078" s="16" t="n">
        <v>0.7833377606679555</v>
      </c>
      <c r="U1078" s="16" t="n">
        <v>0.8210504208550347</v>
      </c>
      <c r="V1078" s="16" t="n">
        <v>0.7777237689702584</v>
      </c>
      <c r="W1078" s="16" t="n">
        <v>0.7078869448285835</v>
      </c>
      <c r="X1078" s="16" t="n">
        <v>0.7328223017651218</v>
      </c>
      <c r="Y1078" s="16" t="n">
        <v>293.8739498803942</v>
      </c>
      <c r="Z1078" s="16" t="n">
        <v>8.14884571726583</v>
      </c>
      <c r="AA1078" s="16" t="n">
        <v>41.31799946164396</v>
      </c>
      <c r="AB1078" s="16" t="n">
        <v>2507.808613706621</v>
      </c>
      <c r="AC1078" s="16" t="n">
        <v>3.176745001264473</v>
      </c>
      <c r="AD1078" s="16" t="inlineStr">
        <is>
          <t>O2</t>
        </is>
      </c>
      <c r="AE1078" s="16" t="n"/>
    </row>
    <row r="1079">
      <c r="A1079" s="16" t="inlineStr">
        <is>
          <t>KF-M04-0007</t>
        </is>
      </c>
      <c r="B1079" s="16" t="inlineStr">
        <is>
          <t>3.2</t>
        </is>
      </c>
      <c r="C1079" s="16" t="inlineStr">
        <is>
          <t>3.2</t>
        </is>
      </c>
      <c r="D1079" s="16" t="inlineStr">
        <is>
          <t>muestra de 300 puntos</t>
        </is>
      </c>
      <c r="E1079" s="16" t="inlineStr">
        <is>
          <t>KF-M04</t>
        </is>
      </c>
      <c r="F1079" s="16" t="inlineStr">
        <is>
          <t>KF-M04</t>
        </is>
      </c>
      <c r="G1079" s="16" t="inlineStr">
        <is>
          <t>B07</t>
        </is>
      </c>
      <c r="H1079" s="16" t="inlineStr">
        <is>
          <t>lhs</t>
        </is>
      </c>
      <c r="I1079" s="16" t="inlineStr">
        <is>
          <t>CORREGIBLE</t>
        </is>
      </c>
      <c r="J1079" s="16" t="inlineStr">
        <is>
          <t>CORREGIBLE</t>
        </is>
      </c>
      <c r="K1079" s="16" t="b">
        <v>1</v>
      </c>
      <c r="L1079" s="16" t="b">
        <v>0</v>
      </c>
      <c r="M1079" s="16" t="b">
        <v>0</v>
      </c>
      <c r="N1079" s="16" t="b">
        <v>0</v>
      </c>
      <c r="O1079" s="16" t="n">
        <v>420.366601264874</v>
      </c>
      <c r="P1079" s="16" t="n">
        <v>299.8712779038219</v>
      </c>
      <c r="Q1079" s="16" t="n">
        <v>2317.767297101228</v>
      </c>
      <c r="R1079" s="16" t="n">
        <v>1489.610249973807</v>
      </c>
      <c r="S1079" s="16" t="n">
        <v>0.7939555783761802</v>
      </c>
      <c r="T1079" s="16" t="n">
        <v>0.7619686264359115</v>
      </c>
      <c r="U1079" s="16" t="n">
        <v>0.7332959954016336</v>
      </c>
      <c r="V1079" s="16" t="n">
        <v>0.7904850980823586</v>
      </c>
      <c r="W1079" s="16" t="n">
        <v>0.72352981190632</v>
      </c>
      <c r="X1079" s="16" t="n">
        <v>0.7772121624984167</v>
      </c>
      <c r="Y1079" s="16" t="n">
        <v>299.8712779038219</v>
      </c>
      <c r="Z1079" s="16" t="n">
        <v>3.28577252164435</v>
      </c>
      <c r="AA1079" s="16" t="n">
        <v>34.12638774131963</v>
      </c>
      <c r="AB1079" s="16" t="n">
        <v>828.1570471274206</v>
      </c>
      <c r="AC1079" s="16" t="n">
        <v>1.555955524031862</v>
      </c>
      <c r="AD1079" s="16" t="inlineStr">
        <is>
          <t>O2</t>
        </is>
      </c>
      <c r="AE1079" s="16" t="n"/>
    </row>
    <row r="1080">
      <c r="A1080" s="16" t="inlineStr">
        <is>
          <t>KF-M04-0008</t>
        </is>
      </c>
      <c r="B1080" s="16" t="inlineStr">
        <is>
          <t>3.2</t>
        </is>
      </c>
      <c r="C1080" s="16" t="inlineStr">
        <is>
          <t>3.2</t>
        </is>
      </c>
      <c r="D1080" s="16" t="inlineStr">
        <is>
          <t>muestra de 300 puntos</t>
        </is>
      </c>
      <c r="E1080" s="16" t="inlineStr">
        <is>
          <t>KF-M04</t>
        </is>
      </c>
      <c r="F1080" s="16" t="inlineStr">
        <is>
          <t>KF-M04</t>
        </is>
      </c>
      <c r="G1080" s="16" t="inlineStr">
        <is>
          <t>B07</t>
        </is>
      </c>
      <c r="H1080" s="16" t="inlineStr">
        <is>
          <t>lhs</t>
        </is>
      </c>
      <c r="I1080" s="16" t="inlineStr">
        <is>
          <t>CORREGIBLE</t>
        </is>
      </c>
      <c r="J1080" s="16" t="inlineStr">
        <is>
          <t>CORREGIBLE</t>
        </is>
      </c>
      <c r="K1080" s="16" t="b">
        <v>1</v>
      </c>
      <c r="L1080" s="16" t="b">
        <v>0</v>
      </c>
      <c r="M1080" s="16" t="b">
        <v>1</v>
      </c>
      <c r="N1080" s="16" t="b">
        <v>0</v>
      </c>
      <c r="O1080" s="16" t="n">
        <v>444.7377726544881</v>
      </c>
      <c r="P1080" s="16" t="n">
        <v>298.4292569814256</v>
      </c>
      <c r="Q1080" s="16" t="n">
        <v>2081.421554425518</v>
      </c>
      <c r="R1080" s="16" t="n">
        <v>366.2307988962121</v>
      </c>
      <c r="S1080" s="16" t="n">
        <v>0.571498005099502</v>
      </c>
      <c r="T1080" s="16" t="n">
        <v>0.8222541235519705</v>
      </c>
      <c r="U1080" s="16" t="n">
        <v>0.8934280885636271</v>
      </c>
      <c r="V1080" s="16" t="n">
        <v>0.7821175428461492</v>
      </c>
      <c r="W1080" s="16" t="n">
        <v>0.8822671853512101</v>
      </c>
      <c r="X1080" s="16" t="n">
        <v>0.7356002972588127</v>
      </c>
      <c r="Y1080" s="16" t="n">
        <v>298.4292569814256</v>
      </c>
      <c r="Z1080" s="16" t="n">
        <v>10.19403471116266</v>
      </c>
      <c r="AA1080" s="16" t="n">
        <v>110.7332816096698</v>
      </c>
      <c r="AB1080" s="16" t="n">
        <v>1715.190755529306</v>
      </c>
      <c r="AC1080" s="16" t="n">
        <v>5.683360221747439</v>
      </c>
      <c r="AD1080" s="16" t="inlineStr">
        <is>
          <t>O2</t>
        </is>
      </c>
      <c r="AE1080" s="16" t="n"/>
    </row>
    <row r="1081">
      <c r="A1081" s="16" t="inlineStr">
        <is>
          <t>KF-M04-0009</t>
        </is>
      </c>
      <c r="B1081" s="16" t="inlineStr">
        <is>
          <t>3.2</t>
        </is>
      </c>
      <c r="C1081" s="16" t="inlineStr">
        <is>
          <t>3.2</t>
        </is>
      </c>
      <c r="D1081" s="16" t="inlineStr">
        <is>
          <t>muestra de 300 puntos</t>
        </is>
      </c>
      <c r="E1081" s="16" t="inlineStr">
        <is>
          <t>KF-M04</t>
        </is>
      </c>
      <c r="F1081" s="16" t="inlineStr">
        <is>
          <t>KF-M04</t>
        </is>
      </c>
      <c r="G1081" s="16" t="inlineStr">
        <is>
          <t>B07</t>
        </is>
      </c>
      <c r="H1081" s="16" t="inlineStr">
        <is>
          <t>lhs</t>
        </is>
      </c>
      <c r="I1081" s="16" t="inlineStr">
        <is>
          <t>CORREGIBLE</t>
        </is>
      </c>
      <c r="J1081" s="16" t="inlineStr">
        <is>
          <t>CORREGIBLE</t>
        </is>
      </c>
      <c r="K1081" s="16" t="b">
        <v>1</v>
      </c>
      <c r="L1081" s="16" t="b">
        <v>0</v>
      </c>
      <c r="M1081" s="16" t="b">
        <v>1</v>
      </c>
      <c r="N1081" s="16" t="b">
        <v>0</v>
      </c>
      <c r="O1081" s="16" t="n">
        <v>499.3504266043101</v>
      </c>
      <c r="P1081" s="16" t="n">
        <v>284.2378823230073</v>
      </c>
      <c r="Q1081" s="16" t="n">
        <v>3959.411072656219</v>
      </c>
      <c r="R1081" s="16" t="n">
        <v>551.5503390206027</v>
      </c>
      <c r="S1081" s="16" t="n">
        <v>0.568141164804299</v>
      </c>
      <c r="T1081" s="16" t="n">
        <v>0.816376322139074</v>
      </c>
      <c r="U1081" s="16" t="n">
        <v>0.6526919888452196</v>
      </c>
      <c r="V1081" s="16" t="n">
        <v>0.8655649542293777</v>
      </c>
      <c r="W1081" s="16" t="n">
        <v>0.7601906255465478</v>
      </c>
      <c r="X1081" s="16" t="n">
        <v>0.9289245604877914</v>
      </c>
      <c r="Y1081" s="16" t="n">
        <v>284.2378823230073</v>
      </c>
      <c r="Z1081" s="16" t="n">
        <v>12.78816711244389</v>
      </c>
      <c r="AA1081" s="16" t="n">
        <v>240.8791773471982</v>
      </c>
      <c r="AB1081" s="16" t="n">
        <v>3407.860733635617</v>
      </c>
      <c r="AC1081" s="16" t="n">
        <v>7.178693933335284</v>
      </c>
      <c r="AD1081" s="16" t="inlineStr">
        <is>
          <t>O2</t>
        </is>
      </c>
      <c r="AE1081" s="16" t="n"/>
    </row>
    <row r="1082">
      <c r="A1082" s="16" t="inlineStr">
        <is>
          <t>KF-M04-0010</t>
        </is>
      </c>
      <c r="B1082" s="16" t="inlineStr">
        <is>
          <t>3.2</t>
        </is>
      </c>
      <c r="C1082" s="16" t="inlineStr">
        <is>
          <t>3.2</t>
        </is>
      </c>
      <c r="D1082" s="16" t="inlineStr">
        <is>
          <t>muestra de 300 puntos</t>
        </is>
      </c>
      <c r="E1082" s="16" t="inlineStr">
        <is>
          <t>KF-M04</t>
        </is>
      </c>
      <c r="F1082" s="16" t="inlineStr">
        <is>
          <t>KF-M04</t>
        </is>
      </c>
      <c r="G1082" s="16" t="inlineStr">
        <is>
          <t>B07</t>
        </is>
      </c>
      <c r="H1082" s="16" t="inlineStr">
        <is>
          <t>lhs</t>
        </is>
      </c>
      <c r="I1082" s="16" t="inlineStr">
        <is>
          <t>KALINA</t>
        </is>
      </c>
      <c r="J1082" s="16" t="inlineStr">
        <is>
          <t>KALINA</t>
        </is>
      </c>
      <c r="K1082" s="16" t="b">
        <v>1</v>
      </c>
      <c r="L1082" s="16" t="b">
        <v>0</v>
      </c>
      <c r="M1082" s="16" t="b">
        <v>1</v>
      </c>
      <c r="N1082" s="16" t="b">
        <v>0</v>
      </c>
      <c r="O1082" s="16" t="n">
        <v>448.329887271656</v>
      </c>
      <c r="P1082" s="16" t="n">
        <v>295.6464758963889</v>
      </c>
      <c r="Q1082" s="16" t="n">
        <v>2367.202377294724</v>
      </c>
      <c r="R1082" s="16" t="n">
        <v>1372.230738766301</v>
      </c>
      <c r="S1082" s="16" t="n">
        <v>0.6055933834579269</v>
      </c>
      <c r="T1082" s="16" t="n">
        <v>0.8706602474225658</v>
      </c>
      <c r="U1082" s="16" t="n">
        <v>0.8206970340029189</v>
      </c>
      <c r="V1082" s="16" t="n">
        <v>0.9416047454090508</v>
      </c>
      <c r="W1082" s="16" t="n">
        <v>0.6214017214737237</v>
      </c>
      <c r="X1082" s="16" t="n">
        <v>0.9433582504798624</v>
      </c>
      <c r="Y1082" s="16" t="n">
        <v>295.6464758963889</v>
      </c>
      <c r="Z1082" s="16" t="n">
        <v>4.23251244494196</v>
      </c>
      <c r="AA1082" s="16" t="n">
        <v>76.13539150459626</v>
      </c>
      <c r="AB1082" s="16" t="n">
        <v>994.971638528423</v>
      </c>
      <c r="AC1082" s="16" t="n">
        <v>1.725076046192456</v>
      </c>
      <c r="AD1082" s="16" t="n"/>
      <c r="AE1082" s="16" t="n"/>
    </row>
    <row r="1083">
      <c r="A1083" s="16" t="inlineStr">
        <is>
          <t>KF-M04-0011</t>
        </is>
      </c>
      <c r="B1083" s="16" t="inlineStr">
        <is>
          <t>3.2</t>
        </is>
      </c>
      <c r="C1083" s="16" t="inlineStr">
        <is>
          <t>3.2</t>
        </is>
      </c>
      <c r="D1083" s="16" t="inlineStr">
        <is>
          <t>muestra de 300 puntos</t>
        </is>
      </c>
      <c r="E1083" s="16" t="inlineStr">
        <is>
          <t>KF-M04</t>
        </is>
      </c>
      <c r="F1083" s="16" t="inlineStr">
        <is>
          <t>KF-M04</t>
        </is>
      </c>
      <c r="G1083" s="16" t="inlineStr">
        <is>
          <t>B07</t>
        </is>
      </c>
      <c r="H1083" s="16" t="inlineStr">
        <is>
          <t>lhs</t>
        </is>
      </c>
      <c r="I1083" s="16" t="inlineStr">
        <is>
          <t>CORREGIBLE</t>
        </is>
      </c>
      <c r="J1083" s="16" t="inlineStr">
        <is>
          <t>CORREGIBLE</t>
        </is>
      </c>
      <c r="K1083" s="16" t="b">
        <v>1</v>
      </c>
      <c r="L1083" s="16" t="b">
        <v>0</v>
      </c>
      <c r="M1083" s="16" t="b">
        <v>0</v>
      </c>
      <c r="N1083" s="16" t="b">
        <v>0</v>
      </c>
      <c r="O1083" s="16" t="n">
        <v>393.0748910558003</v>
      </c>
      <c r="P1083" s="16" t="n">
        <v>300.0078082063647</v>
      </c>
      <c r="Q1083" s="16" t="n">
        <v>4074.385291768395</v>
      </c>
      <c r="R1083" s="16" t="n">
        <v>752.4503944049836</v>
      </c>
      <c r="S1083" s="16" t="n">
        <v>0.8465625365981719</v>
      </c>
      <c r="T1083" s="16" t="n">
        <v>0.9064468360771684</v>
      </c>
      <c r="U1083" s="16" t="n">
        <v>0.8644298012490181</v>
      </c>
      <c r="V1083" s="16" t="n">
        <v>0.914719531723836</v>
      </c>
      <c r="W1083" s="16" t="n">
        <v>0.6173186619270103</v>
      </c>
      <c r="X1083" s="16" t="n">
        <v>0.7287889334499165</v>
      </c>
      <c r="Y1083" s="16" t="n">
        <v>300.0078082063647</v>
      </c>
      <c r="Z1083" s="16" t="n">
        <v>5.06431591212764</v>
      </c>
      <c r="AA1083" s="16" t="n">
        <v>15.78208748758712</v>
      </c>
      <c r="AB1083" s="16" t="n">
        <v>3321.934897363411</v>
      </c>
      <c r="AC1083" s="16" t="n">
        <v>5.414822454828139</v>
      </c>
      <c r="AD1083" s="16" t="inlineStr">
        <is>
          <t>O2</t>
        </is>
      </c>
      <c r="AE1083" s="16" t="n"/>
    </row>
    <row r="1084">
      <c r="A1084" s="16" t="inlineStr">
        <is>
          <t>KF-M04-0012</t>
        </is>
      </c>
      <c r="B1084" s="16" t="inlineStr">
        <is>
          <t>3.2</t>
        </is>
      </c>
      <c r="C1084" s="16" t="inlineStr">
        <is>
          <t>3.2</t>
        </is>
      </c>
      <c r="D1084" s="16" t="inlineStr">
        <is>
          <t>muestra de 300 puntos</t>
        </is>
      </c>
      <c r="E1084" s="16" t="inlineStr">
        <is>
          <t>KF-M04</t>
        </is>
      </c>
      <c r="F1084" s="16" t="inlineStr">
        <is>
          <t>KF-M04</t>
        </is>
      </c>
      <c r="G1084" s="16" t="inlineStr">
        <is>
          <t>B07</t>
        </is>
      </c>
      <c r="H1084" s="16" t="inlineStr">
        <is>
          <t>lhs</t>
        </is>
      </c>
      <c r="I1084" s="16" t="inlineStr">
        <is>
          <t>NO_CONVERGIO</t>
        </is>
      </c>
      <c r="J1084" s="16" t="inlineStr">
        <is>
          <t>NO_CONVERGIO</t>
        </is>
      </c>
      <c r="K1084" s="16" t="b">
        <v>0</v>
      </c>
      <c r="L1084" s="16" t="b">
        <v>0</v>
      </c>
      <c r="M1084" s="16" t="b">
        <v>0</v>
      </c>
      <c r="N1084" s="16" t="b">
        <v>0</v>
      </c>
      <c r="O1084" s="16" t="n">
        <v>492.9726402795517</v>
      </c>
      <c r="P1084" s="16" t="n">
        <v>282.6757405852386</v>
      </c>
      <c r="Q1084" s="16" t="n">
        <v>3466.398943143784</v>
      </c>
      <c r="R1084" s="16" t="n">
        <v>1350.208152409668</v>
      </c>
      <c r="S1084" s="16" t="n">
        <v>0.7997068792004672</v>
      </c>
      <c r="T1084" s="16" t="n">
        <v>0.8911109075794137</v>
      </c>
      <c r="U1084" s="16" t="n">
        <v>0.7842533279683477</v>
      </c>
      <c r="V1084" s="16" t="n">
        <v>0.9490472752785788</v>
      </c>
      <c r="W1084" s="16" t="n">
        <v>0.6890258460816664</v>
      </c>
      <c r="X1084" s="16" t="n">
        <v>0.9100898504111889</v>
      </c>
      <c r="Y1084" s="16" t="n">
        <v>282.6757405852386</v>
      </c>
      <c r="Z1084" s="16" t="n"/>
      <c r="AA1084" s="16" t="n"/>
      <c r="AB1084" s="16" t="n">
        <v>2116.190790734116</v>
      </c>
      <c r="AC1084" s="16" t="n">
        <v>2.567307075547889</v>
      </c>
      <c r="AD1084" s="16" t="n"/>
      <c r="AE1084" s="16" t="n"/>
    </row>
    <row r="1085">
      <c r="A1085" s="16" t="inlineStr">
        <is>
          <t>KF-M04-0013</t>
        </is>
      </c>
      <c r="B1085" s="16" t="inlineStr">
        <is>
          <t>3.2</t>
        </is>
      </c>
      <c r="C1085" s="16" t="inlineStr">
        <is>
          <t>3.2</t>
        </is>
      </c>
      <c r="D1085" s="16" t="inlineStr">
        <is>
          <t>muestra de 300 puntos</t>
        </is>
      </c>
      <c r="E1085" s="16" t="inlineStr">
        <is>
          <t>KF-M04</t>
        </is>
      </c>
      <c r="F1085" s="16" t="inlineStr">
        <is>
          <t>KF-M04</t>
        </is>
      </c>
      <c r="G1085" s="16" t="inlineStr">
        <is>
          <t>B07</t>
        </is>
      </c>
      <c r="H1085" s="16" t="inlineStr">
        <is>
          <t>lhs</t>
        </is>
      </c>
      <c r="I1085" s="16" t="inlineStr">
        <is>
          <t>CORREGIBLE</t>
        </is>
      </c>
      <c r="J1085" s="16" t="inlineStr">
        <is>
          <t>CORREGIBLE</t>
        </is>
      </c>
      <c r="K1085" s="16" t="b">
        <v>1</v>
      </c>
      <c r="L1085" s="16" t="b">
        <v>0</v>
      </c>
      <c r="M1085" s="16" t="b">
        <v>1</v>
      </c>
      <c r="N1085" s="16" t="b">
        <v>0</v>
      </c>
      <c r="O1085" s="16" t="n">
        <v>458.4589517493552</v>
      </c>
      <c r="P1085" s="16" t="n">
        <v>280.3616755625405</v>
      </c>
      <c r="Q1085" s="16" t="n">
        <v>4887.596702919715</v>
      </c>
      <c r="R1085" s="16" t="n">
        <v>1145.696865142446</v>
      </c>
      <c r="S1085" s="16" t="n">
        <v>0.5989928000371841</v>
      </c>
      <c r="T1085" s="16" t="n">
        <v>0.8173438430770014</v>
      </c>
      <c r="U1085" s="16" t="n">
        <v>0.7563686298506922</v>
      </c>
      <c r="V1085" s="16" t="n">
        <v>0.7269972269359757</v>
      </c>
      <c r="W1085" s="16" t="n">
        <v>0.6308665149554195</v>
      </c>
      <c r="X1085" s="16" t="n">
        <v>0.7192219836861274</v>
      </c>
      <c r="Y1085" s="16" t="n">
        <v>280.3616755625405</v>
      </c>
      <c r="Z1085" s="16" t="n">
        <v>10.03052934258199</v>
      </c>
      <c r="AA1085" s="16" t="n">
        <v>81.2887631579685</v>
      </c>
      <c r="AB1085" s="16" t="n">
        <v>3741.899837777268</v>
      </c>
      <c r="AC1085" s="16" t="n">
        <v>4.266047024848961</v>
      </c>
      <c r="AD1085" s="16" t="inlineStr">
        <is>
          <t>O2</t>
        </is>
      </c>
      <c r="AE1085" s="16" t="n"/>
    </row>
    <row r="1086">
      <c r="A1086" s="16" t="inlineStr">
        <is>
          <t>KF-M04-0014</t>
        </is>
      </c>
      <c r="B1086" s="16" t="inlineStr">
        <is>
          <t>3.2</t>
        </is>
      </c>
      <c r="C1086" s="16" t="inlineStr">
        <is>
          <t>3.2</t>
        </is>
      </c>
      <c r="D1086" s="16" t="inlineStr">
        <is>
          <t>muestra de 300 puntos</t>
        </is>
      </c>
      <c r="E1086" s="16" t="inlineStr">
        <is>
          <t>KF-M04</t>
        </is>
      </c>
      <c r="F1086" s="16" t="inlineStr">
        <is>
          <t>KF-M04</t>
        </is>
      </c>
      <c r="G1086" s="16" t="inlineStr">
        <is>
          <t>B07</t>
        </is>
      </c>
      <c r="H1086" s="16" t="inlineStr">
        <is>
          <t>lhs</t>
        </is>
      </c>
      <c r="I1086" s="16" t="inlineStr">
        <is>
          <t>CORREGIBLE</t>
        </is>
      </c>
      <c r="J1086" s="16" t="inlineStr">
        <is>
          <t>CORREGIBLE</t>
        </is>
      </c>
      <c r="K1086" s="16" t="b">
        <v>1</v>
      </c>
      <c r="L1086" s="16" t="b">
        <v>0</v>
      </c>
      <c r="M1086" s="16" t="b">
        <v>0</v>
      </c>
      <c r="N1086" s="16" t="b">
        <v>0</v>
      </c>
      <c r="O1086" s="16" t="n">
        <v>402.2711209191971</v>
      </c>
      <c r="P1086" s="16" t="n">
        <v>299.7648548066754</v>
      </c>
      <c r="Q1086" s="16" t="n">
        <v>3368.976964654717</v>
      </c>
      <c r="R1086" s="16" t="n">
        <v>853.3544276712398</v>
      </c>
      <c r="S1086" s="16" t="n">
        <v>0.7396694379997305</v>
      </c>
      <c r="T1086" s="16" t="n">
        <v>0.8679902905037116</v>
      </c>
      <c r="U1086" s="16" t="n">
        <v>0.7601444565316198</v>
      </c>
      <c r="V1086" s="16" t="n">
        <v>0.8587955981505073</v>
      </c>
      <c r="W1086" s="16" t="n">
        <v>0.6318074125391835</v>
      </c>
      <c r="X1086" s="16" t="n">
        <v>0.8138862568574596</v>
      </c>
      <c r="Y1086" s="16" t="n">
        <v>299.7648548066754</v>
      </c>
      <c r="Z1086" s="16" t="n">
        <v>11.11998469574395</v>
      </c>
      <c r="AA1086" s="16" t="n">
        <v>81.57936138722921</v>
      </c>
      <c r="AB1086" s="16" t="n">
        <v>2515.622536983476</v>
      </c>
      <c r="AC1086" s="16" t="n">
        <v>3.947922288103058</v>
      </c>
      <c r="AD1086" s="16" t="inlineStr">
        <is>
          <t>O2</t>
        </is>
      </c>
      <c r="AE1086" s="16" t="n"/>
    </row>
    <row r="1087">
      <c r="A1087" s="16" t="inlineStr">
        <is>
          <t>KF-M04-0015</t>
        </is>
      </c>
      <c r="B1087" s="16" t="inlineStr">
        <is>
          <t>3.2</t>
        </is>
      </c>
      <c r="C1087" s="16" t="inlineStr">
        <is>
          <t>3.2</t>
        </is>
      </c>
      <c r="D1087" s="16" t="inlineStr">
        <is>
          <t>muestra de 300 puntos</t>
        </is>
      </c>
      <c r="E1087" s="16" t="inlineStr">
        <is>
          <t>KF-M04</t>
        </is>
      </c>
      <c r="F1087" s="16" t="inlineStr">
        <is>
          <t>KF-M04</t>
        </is>
      </c>
      <c r="G1087" s="16" t="inlineStr">
        <is>
          <t>B07</t>
        </is>
      </c>
      <c r="H1087" s="16" t="inlineStr">
        <is>
          <t>lhs</t>
        </is>
      </c>
      <c r="I1087" s="16" t="inlineStr">
        <is>
          <t>KALINA</t>
        </is>
      </c>
      <c r="J1087" s="16" t="inlineStr">
        <is>
          <t>KALINA</t>
        </is>
      </c>
      <c r="K1087" s="16" t="b">
        <v>1</v>
      </c>
      <c r="L1087" s="16" t="b">
        <v>1</v>
      </c>
      <c r="M1087" s="16" t="b">
        <v>0</v>
      </c>
      <c r="N1087" s="16" t="b">
        <v>0</v>
      </c>
      <c r="O1087" s="16" t="n">
        <v>410.4815830686125</v>
      </c>
      <c r="P1087" s="16" t="n">
        <v>287.6115228905517</v>
      </c>
      <c r="Q1087" s="16" t="n">
        <v>3682.617964392429</v>
      </c>
      <c r="R1087" s="16" t="n">
        <v>1434.311362270726</v>
      </c>
      <c r="S1087" s="16" t="n">
        <v>0.752231868266695</v>
      </c>
      <c r="T1087" s="16" t="n">
        <v>0.784044991241699</v>
      </c>
      <c r="U1087" s="16" t="n">
        <v>0.8323328932790151</v>
      </c>
      <c r="V1087" s="16" t="n">
        <v>0.8296422914641496</v>
      </c>
      <c r="W1087" s="16" t="n">
        <v>0.8262379636349058</v>
      </c>
      <c r="X1087" s="16" t="n">
        <v>0.9264710250434078</v>
      </c>
      <c r="Y1087" s="16" t="n">
        <v>287.6115228905517</v>
      </c>
      <c r="Z1087" s="16" t="n">
        <v>7.0284516347669</v>
      </c>
      <c r="AA1087" s="16" t="n">
        <v>58.70640588734442</v>
      </c>
      <c r="AB1087" s="16" t="n">
        <v>2248.306602121702</v>
      </c>
      <c r="AC1087" s="16" t="n">
        <v>2.567516413285816</v>
      </c>
      <c r="AD1087" s="16" t="n"/>
      <c r="AE1087" s="16" t="n"/>
    </row>
    <row r="1088">
      <c r="A1088" s="16" t="inlineStr">
        <is>
          <t>KF-M04-0016</t>
        </is>
      </c>
      <c r="B1088" s="16" t="inlineStr">
        <is>
          <t>3.2</t>
        </is>
      </c>
      <c r="C1088" s="16" t="inlineStr">
        <is>
          <t>3.2</t>
        </is>
      </c>
      <c r="D1088" s="16" t="inlineStr">
        <is>
          <t>muestra de 300 puntos</t>
        </is>
      </c>
      <c r="E1088" s="16" t="inlineStr">
        <is>
          <t>KF-M04</t>
        </is>
      </c>
      <c r="F1088" s="16" t="inlineStr">
        <is>
          <t>KF-M04</t>
        </is>
      </c>
      <c r="G1088" s="16" t="inlineStr">
        <is>
          <t>B07</t>
        </is>
      </c>
      <c r="H1088" s="16" t="inlineStr">
        <is>
          <t>lhs</t>
        </is>
      </c>
      <c r="I1088" s="16" t="inlineStr">
        <is>
          <t>KALINA</t>
        </is>
      </c>
      <c r="J1088" s="16" t="inlineStr">
        <is>
          <t>KALINA</t>
        </is>
      </c>
      <c r="K1088" s="16" t="b">
        <v>1</v>
      </c>
      <c r="L1088" s="16" t="b">
        <v>1</v>
      </c>
      <c r="M1088" s="16" t="b">
        <v>0</v>
      </c>
      <c r="N1088" s="16" t="b">
        <v>0</v>
      </c>
      <c r="O1088" s="16" t="n">
        <v>384.3990057833748</v>
      </c>
      <c r="P1088" s="16" t="n">
        <v>291.5388486684531</v>
      </c>
      <c r="Q1088" s="16" t="n">
        <v>3558.443204699293</v>
      </c>
      <c r="R1088" s="16" t="n">
        <v>668.3467653773705</v>
      </c>
      <c r="S1088" s="16" t="n">
        <v>0.6751227700922948</v>
      </c>
      <c r="T1088" s="16" t="n">
        <v>0.8627095096780527</v>
      </c>
      <c r="U1088" s="16" t="n">
        <v>0.7552450887734984</v>
      </c>
      <c r="V1088" s="16" t="n">
        <v>0.6232330857316662</v>
      </c>
      <c r="W1088" s="16" t="n">
        <v>0.9130523290981232</v>
      </c>
      <c r="X1088" s="16" t="n">
        <v>0.8664956479731942</v>
      </c>
      <c r="Y1088" s="16" t="n">
        <v>291.5388486684531</v>
      </c>
      <c r="Z1088" s="16" t="n">
        <v>10.5402201105646</v>
      </c>
      <c r="AA1088" s="16" t="n">
        <v>26.53351412425448</v>
      </c>
      <c r="AB1088" s="16" t="n">
        <v>2890.096439321923</v>
      </c>
      <c r="AC1088" s="16" t="n">
        <v>5.324246916479172</v>
      </c>
      <c r="AD1088" s="16" t="n"/>
      <c r="AE1088" s="16" t="n"/>
    </row>
    <row r="1089">
      <c r="A1089" s="16" t="inlineStr">
        <is>
          <t>KF-M04-0017</t>
        </is>
      </c>
      <c r="B1089" s="16" t="inlineStr">
        <is>
          <t>3.2</t>
        </is>
      </c>
      <c r="C1089" s="16" t="inlineStr">
        <is>
          <t>3.2</t>
        </is>
      </c>
      <c r="D1089" s="16" t="inlineStr">
        <is>
          <t>muestra de 300 puntos</t>
        </is>
      </c>
      <c r="E1089" s="16" t="inlineStr">
        <is>
          <t>KF-M04</t>
        </is>
      </c>
      <c r="F1089" s="16" t="inlineStr">
        <is>
          <t>KF-M04</t>
        </is>
      </c>
      <c r="G1089" s="16" t="inlineStr">
        <is>
          <t>B07</t>
        </is>
      </c>
      <c r="H1089" s="16" t="inlineStr">
        <is>
          <t>lhs</t>
        </is>
      </c>
      <c r="I1089" s="16" t="inlineStr">
        <is>
          <t>KALINA</t>
        </is>
      </c>
      <c r="J1089" s="16" t="inlineStr">
        <is>
          <t>KALINA</t>
        </is>
      </c>
      <c r="K1089" s="16" t="b">
        <v>1</v>
      </c>
      <c r="L1089" s="16" t="b">
        <v>0</v>
      </c>
      <c r="M1089" s="16" t="b">
        <v>1</v>
      </c>
      <c r="N1089" s="16" t="b">
        <v>0</v>
      </c>
      <c r="O1089" s="16" t="n">
        <v>445.6085236065686</v>
      </c>
      <c r="P1089" s="16" t="n">
        <v>285.7021288891295</v>
      </c>
      <c r="Q1089" s="16" t="n">
        <v>3600.243700547929</v>
      </c>
      <c r="R1089" s="16" t="n">
        <v>1228.609862350464</v>
      </c>
      <c r="S1089" s="16" t="n">
        <v>0.5164047065797122</v>
      </c>
      <c r="T1089" s="16" t="n">
        <v>0.8212279064170683</v>
      </c>
      <c r="U1089" s="16" t="n">
        <v>0.7231882265218526</v>
      </c>
      <c r="V1089" s="16" t="n">
        <v>0.7618599445575309</v>
      </c>
      <c r="W1089" s="16" t="n">
        <v>0.9086205620082192</v>
      </c>
      <c r="X1089" s="16" t="n">
        <v>0.8636043263353845</v>
      </c>
      <c r="Y1089" s="16" t="n">
        <v>285.7021288891295</v>
      </c>
      <c r="Z1089" s="16" t="n">
        <v>7.28108201701882</v>
      </c>
      <c r="AA1089" s="16" t="n">
        <v>50.76972984446494</v>
      </c>
      <c r="AB1089" s="16" t="n">
        <v>2371.633838197465</v>
      </c>
      <c r="AC1089" s="16" t="n">
        <v>2.930339248343875</v>
      </c>
      <c r="AD1089" s="16" t="n"/>
      <c r="AE1089" s="16" t="n"/>
    </row>
    <row r="1090">
      <c r="A1090" s="16" t="inlineStr">
        <is>
          <t>KF-M04-0018</t>
        </is>
      </c>
      <c r="B1090" s="16" t="inlineStr">
        <is>
          <t>3.2</t>
        </is>
      </c>
      <c r="C1090" s="16" t="inlineStr">
        <is>
          <t>3.2</t>
        </is>
      </c>
      <c r="D1090" s="16" t="inlineStr">
        <is>
          <t>muestra de 300 puntos</t>
        </is>
      </c>
      <c r="E1090" s="16" t="inlineStr">
        <is>
          <t>KF-M04</t>
        </is>
      </c>
      <c r="F1090" s="16" t="inlineStr">
        <is>
          <t>KF-M04</t>
        </is>
      </c>
      <c r="G1090" s="16" t="inlineStr">
        <is>
          <t>B07</t>
        </is>
      </c>
      <c r="H1090" s="16" t="inlineStr">
        <is>
          <t>lhs</t>
        </is>
      </c>
      <c r="I1090" s="16" t="inlineStr">
        <is>
          <t>CORREGIBLE</t>
        </is>
      </c>
      <c r="J1090" s="16" t="inlineStr">
        <is>
          <t>CORREGIBLE</t>
        </is>
      </c>
      <c r="K1090" s="16" t="b">
        <v>1</v>
      </c>
      <c r="L1090" s="16" t="b">
        <v>0</v>
      </c>
      <c r="M1090" s="16" t="b">
        <v>1</v>
      </c>
      <c r="N1090" s="16" t="b">
        <v>0</v>
      </c>
      <c r="O1090" s="16" t="n">
        <v>460.7960385328633</v>
      </c>
      <c r="P1090" s="16" t="n">
        <v>283.7434464280537</v>
      </c>
      <c r="Q1090" s="16" t="n">
        <v>2092.479305809892</v>
      </c>
      <c r="R1090" s="16" t="n">
        <v>1165.177264282256</v>
      </c>
      <c r="S1090" s="16" t="n">
        <v>0.5015728011296993</v>
      </c>
      <c r="T1090" s="16" t="n">
        <v>0.8110089865729434</v>
      </c>
      <c r="U1090" s="16" t="n">
        <v>0.8132821030401718</v>
      </c>
      <c r="V1090" s="16" t="n">
        <v>0.8257415588838218</v>
      </c>
      <c r="W1090" s="16" t="n">
        <v>0.8675492684641708</v>
      </c>
      <c r="X1090" s="16" t="n">
        <v>0.7102358006180424</v>
      </c>
      <c r="Y1090" s="16" t="n">
        <v>283.7434464280537</v>
      </c>
      <c r="Z1090" s="16" t="n">
        <v>3.95147207169215</v>
      </c>
      <c r="AA1090" s="16" t="n">
        <v>57.92545273094045</v>
      </c>
      <c r="AB1090" s="16" t="n">
        <v>927.3020415276364</v>
      </c>
      <c r="AC1090" s="16" t="n">
        <v>1.795846323090462</v>
      </c>
      <c r="AD1090" s="16" t="inlineStr">
        <is>
          <t>O2</t>
        </is>
      </c>
      <c r="AE1090" s="16" t="n"/>
    </row>
    <row r="1091">
      <c r="A1091" s="16" t="inlineStr">
        <is>
          <t>KF-M04-0019</t>
        </is>
      </c>
      <c r="B1091" s="16" t="inlineStr">
        <is>
          <t>3.2</t>
        </is>
      </c>
      <c r="C1091" s="16" t="inlineStr">
        <is>
          <t>3.2</t>
        </is>
      </c>
      <c r="D1091" s="16" t="inlineStr">
        <is>
          <t>muestra de 300 puntos</t>
        </is>
      </c>
      <c r="E1091" s="16" t="inlineStr">
        <is>
          <t>KF-M04</t>
        </is>
      </c>
      <c r="F1091" s="16" t="inlineStr">
        <is>
          <t>KF-M04</t>
        </is>
      </c>
      <c r="G1091" s="16" t="inlineStr">
        <is>
          <t>B07</t>
        </is>
      </c>
      <c r="H1091" s="16" t="inlineStr">
        <is>
          <t>lhs</t>
        </is>
      </c>
      <c r="I1091" s="16" t="inlineStr">
        <is>
          <t>N2</t>
        </is>
      </c>
      <c r="J1091" s="16" t="inlineStr">
        <is>
          <t>NO_CONVERGIO</t>
        </is>
      </c>
      <c r="K1091" s="16" t="b">
        <v>0</v>
      </c>
      <c r="L1091" s="16" t="b">
        <v>0</v>
      </c>
      <c r="M1091" s="16" t="b">
        <v>0</v>
      </c>
      <c r="N1091" s="16" t="b">
        <v>0</v>
      </c>
      <c r="O1091" s="16" t="n">
        <v>381.517040722862</v>
      </c>
      <c r="P1091" s="16" t="n">
        <v>298.9508409352265</v>
      </c>
      <c r="Q1091" s="16" t="n">
        <v>3885.397077479057</v>
      </c>
      <c r="R1091" s="16" t="n">
        <v>490.8435874415852</v>
      </c>
      <c r="S1091" s="16" t="n">
        <v>0.5791611087308084</v>
      </c>
      <c r="T1091" s="16" t="n">
        <v>0.7804222913748103</v>
      </c>
      <c r="U1091" s="16" t="n">
        <v>0.8633979644197292</v>
      </c>
      <c r="V1091" s="16" t="n">
        <v>0.900531642858731</v>
      </c>
      <c r="W1091" s="16" t="n">
        <v>0.7701046190816374</v>
      </c>
      <c r="X1091" s="16" t="n">
        <v>0.7160732823484239</v>
      </c>
      <c r="Y1091" s="16" t="n">
        <v>298.9508409352265</v>
      </c>
      <c r="Z1091" s="16" t="n">
        <v>-56.25314946096948</v>
      </c>
      <c r="AA1091" s="16" t="n">
        <v>-30.20505302547069</v>
      </c>
      <c r="AB1091" s="16" t="n">
        <v>3394.553490037471</v>
      </c>
      <c r="AC1091" s="16" t="n">
        <v>7.915753973136002</v>
      </c>
      <c r="AD1091" s="16" t="inlineStr">
        <is>
          <t>N2,S6,O3,O5,C1,C3,C3</t>
        </is>
      </c>
      <c r="AE1091" s="16" t="n"/>
    </row>
    <row r="1092">
      <c r="A1092" s="16" t="inlineStr">
        <is>
          <t>KF-M04-0020</t>
        </is>
      </c>
      <c r="B1092" s="16" t="inlineStr">
        <is>
          <t>3.2</t>
        </is>
      </c>
      <c r="C1092" s="16" t="inlineStr">
        <is>
          <t>3.2</t>
        </is>
      </c>
      <c r="D1092" s="16" t="inlineStr">
        <is>
          <t>muestra de 300 puntos</t>
        </is>
      </c>
      <c r="E1092" s="16" t="inlineStr">
        <is>
          <t>KF-M04</t>
        </is>
      </c>
      <c r="F1092" s="16" t="inlineStr">
        <is>
          <t>KF-M04</t>
        </is>
      </c>
      <c r="G1092" s="16" t="inlineStr">
        <is>
          <t>B07</t>
        </is>
      </c>
      <c r="H1092" s="16" t="inlineStr">
        <is>
          <t>lhs</t>
        </is>
      </c>
      <c r="I1092" s="16" t="inlineStr">
        <is>
          <t>KALINA</t>
        </is>
      </c>
      <c r="J1092" s="16" t="inlineStr">
        <is>
          <t>KALINA</t>
        </is>
      </c>
      <c r="K1092" s="16" t="b">
        <v>1</v>
      </c>
      <c r="L1092" s="16" t="b">
        <v>1</v>
      </c>
      <c r="M1092" s="16" t="b">
        <v>0</v>
      </c>
      <c r="N1092" s="16" t="b">
        <v>0</v>
      </c>
      <c r="O1092" s="16" t="n">
        <v>414.2648055273476</v>
      </c>
      <c r="P1092" s="16" t="n">
        <v>287.8220545118322</v>
      </c>
      <c r="Q1092" s="16" t="n">
        <v>4841.777082605592</v>
      </c>
      <c r="R1092" s="16" t="n">
        <v>1106.653520282203</v>
      </c>
      <c r="S1092" s="16" t="n">
        <v>0.6766789211455704</v>
      </c>
      <c r="T1092" s="16" t="n">
        <v>0.8264975762861092</v>
      </c>
      <c r="U1092" s="16" t="n">
        <v>0.8182122291936239</v>
      </c>
      <c r="V1092" s="16" t="n">
        <v>0.8691641120843575</v>
      </c>
      <c r="W1092" s="16" t="n">
        <v>0.9043697258301904</v>
      </c>
      <c r="X1092" s="16" t="n">
        <v>0.7948620035718433</v>
      </c>
      <c r="Y1092" s="16" t="n">
        <v>287.8220545118322</v>
      </c>
      <c r="Z1092" s="16" t="n">
        <v>10.90847078288936</v>
      </c>
      <c r="AA1092" s="16" t="n">
        <v>57.83586001465822</v>
      </c>
      <c r="AB1092" s="16" t="n">
        <v>3735.123562323389</v>
      </c>
      <c r="AC1092" s="16" t="n">
        <v>4.375151747017361</v>
      </c>
      <c r="AD1092" s="16" t="n"/>
      <c r="AE1092" s="16" t="n"/>
    </row>
    <row r="1093">
      <c r="A1093" s="16" t="inlineStr">
        <is>
          <t>KF-M04-0021</t>
        </is>
      </c>
      <c r="B1093" s="16" t="inlineStr">
        <is>
          <t>3.2</t>
        </is>
      </c>
      <c r="C1093" s="16" t="inlineStr">
        <is>
          <t>3.2</t>
        </is>
      </c>
      <c r="D1093" s="16" t="inlineStr">
        <is>
          <t>muestra de 300 puntos</t>
        </is>
      </c>
      <c r="E1093" s="16" t="inlineStr">
        <is>
          <t>KF-M04</t>
        </is>
      </c>
      <c r="F1093" s="16" t="inlineStr">
        <is>
          <t>KF-M04</t>
        </is>
      </c>
      <c r="G1093" s="16" t="inlineStr">
        <is>
          <t>B07</t>
        </is>
      </c>
      <c r="H1093" s="16" t="inlineStr">
        <is>
          <t>lhs</t>
        </is>
      </c>
      <c r="I1093" s="16" t="inlineStr">
        <is>
          <t>CORREGIBLE</t>
        </is>
      </c>
      <c r="J1093" s="16" t="inlineStr">
        <is>
          <t>CORREGIBLE</t>
        </is>
      </c>
      <c r="K1093" s="16" t="b">
        <v>1</v>
      </c>
      <c r="L1093" s="16" t="b">
        <v>0</v>
      </c>
      <c r="M1093" s="16" t="b">
        <v>1</v>
      </c>
      <c r="N1093" s="16" t="b">
        <v>0</v>
      </c>
      <c r="O1093" s="16" t="n">
        <v>468.4687376957637</v>
      </c>
      <c r="P1093" s="16" t="n">
        <v>291.1877568543284</v>
      </c>
      <c r="Q1093" s="16" t="n">
        <v>4360.074008942871</v>
      </c>
      <c r="R1093" s="16" t="n">
        <v>1363.548173592592</v>
      </c>
      <c r="S1093" s="16" t="n">
        <v>0.5499123819102221</v>
      </c>
      <c r="T1093" s="16" t="n">
        <v>0.8183216320714576</v>
      </c>
      <c r="U1093" s="16" t="n">
        <v>0.7090068115225405</v>
      </c>
      <c r="V1093" s="16" t="n">
        <v>0.6692121173168507</v>
      </c>
      <c r="W1093" s="16" t="n">
        <v>0.9473670996620904</v>
      </c>
      <c r="X1093" s="16" t="n">
        <v>0.7655162364017868</v>
      </c>
      <c r="Y1093" s="16" t="n">
        <v>291.1877568543284</v>
      </c>
      <c r="Z1093" s="16" t="n">
        <v>8.831474528965339</v>
      </c>
      <c r="AA1093" s="16" t="n">
        <v>74.19554880396677</v>
      </c>
      <c r="AB1093" s="16" t="n">
        <v>2996.52583535028</v>
      </c>
      <c r="AC1093" s="16" t="n">
        <v>3.197594403617747</v>
      </c>
      <c r="AD1093" s="16" t="inlineStr">
        <is>
          <t>O2</t>
        </is>
      </c>
      <c r="AE1093" s="16" t="n"/>
    </row>
    <row r="1094">
      <c r="A1094" s="16" t="inlineStr">
        <is>
          <t>KF-M04-0022</t>
        </is>
      </c>
      <c r="B1094" s="16" t="inlineStr">
        <is>
          <t>3.2</t>
        </is>
      </c>
      <c r="C1094" s="16" t="inlineStr">
        <is>
          <t>3.2</t>
        </is>
      </c>
      <c r="D1094" s="16" t="inlineStr">
        <is>
          <t>muestra de 300 puntos</t>
        </is>
      </c>
      <c r="E1094" s="16" t="inlineStr">
        <is>
          <t>KF-M04</t>
        </is>
      </c>
      <c r="F1094" s="16" t="inlineStr">
        <is>
          <t>KF-M04</t>
        </is>
      </c>
      <c r="G1094" s="16" t="inlineStr">
        <is>
          <t>B07</t>
        </is>
      </c>
      <c r="H1094" s="16" t="inlineStr">
        <is>
          <t>lhs</t>
        </is>
      </c>
      <c r="I1094" s="16" t="inlineStr">
        <is>
          <t>CORREGIBLE</t>
        </is>
      </c>
      <c r="J1094" s="16" t="inlineStr">
        <is>
          <t>CORREGIBLE</t>
        </is>
      </c>
      <c r="K1094" s="16" t="b">
        <v>1</v>
      </c>
      <c r="L1094" s="16" t="b">
        <v>0</v>
      </c>
      <c r="M1094" s="16" t="b">
        <v>1</v>
      </c>
      <c r="N1094" s="16" t="b">
        <v>0</v>
      </c>
      <c r="O1094" s="16" t="n">
        <v>481.2095367996525</v>
      </c>
      <c r="P1094" s="16" t="n">
        <v>296.0791881843862</v>
      </c>
      <c r="Q1094" s="16" t="n">
        <v>2419.567795477219</v>
      </c>
      <c r="R1094" s="16" t="n">
        <v>376.8283965048228</v>
      </c>
      <c r="S1094" s="16" t="n">
        <v>0.5043508925254866</v>
      </c>
      <c r="T1094" s="16" t="n">
        <v>0.8095544758290588</v>
      </c>
      <c r="U1094" s="16" t="n">
        <v>0.714459882917308</v>
      </c>
      <c r="V1094" s="16" t="n">
        <v>0.8191304907889105</v>
      </c>
      <c r="W1094" s="16" t="n">
        <v>0.7189516991265359</v>
      </c>
      <c r="X1094" s="16" t="n">
        <v>0.8791922918854649</v>
      </c>
      <c r="Y1094" s="16" t="n">
        <v>296.0791881843862</v>
      </c>
      <c r="Z1094" s="16" t="n">
        <v>11.82017515147912</v>
      </c>
      <c r="AA1094" s="16" t="n">
        <v>204.1373156039437</v>
      </c>
      <c r="AB1094" s="16" t="n">
        <v>2042.739398972396</v>
      </c>
      <c r="AC1094" s="16" t="n">
        <v>6.420874376557904</v>
      </c>
      <c r="AD1094" s="16" t="inlineStr">
        <is>
          <t>O2</t>
        </is>
      </c>
      <c r="AE1094" s="16" t="n"/>
    </row>
    <row r="1095">
      <c r="A1095" s="16" t="inlineStr">
        <is>
          <t>KF-M04-0023</t>
        </is>
      </c>
      <c r="B1095" s="16" t="inlineStr">
        <is>
          <t>3.2</t>
        </is>
      </c>
      <c r="C1095" s="16" t="inlineStr">
        <is>
          <t>3.2</t>
        </is>
      </c>
      <c r="D1095" s="16" t="inlineStr">
        <is>
          <t>muestra de 300 puntos</t>
        </is>
      </c>
      <c r="E1095" s="16" t="inlineStr">
        <is>
          <t>KF-M04</t>
        </is>
      </c>
      <c r="F1095" s="16" t="inlineStr">
        <is>
          <t>KF-M04</t>
        </is>
      </c>
      <c r="G1095" s="16" t="inlineStr">
        <is>
          <t>B07</t>
        </is>
      </c>
      <c r="H1095" s="16" t="inlineStr">
        <is>
          <t>lhs</t>
        </is>
      </c>
      <c r="I1095" s="16" t="inlineStr">
        <is>
          <t>CORREGIBLE</t>
        </is>
      </c>
      <c r="J1095" s="16" t="inlineStr">
        <is>
          <t>CORREGIBLE</t>
        </is>
      </c>
      <c r="K1095" s="16" t="b">
        <v>1</v>
      </c>
      <c r="L1095" s="16" t="b">
        <v>0</v>
      </c>
      <c r="M1095" s="16" t="b">
        <v>0</v>
      </c>
      <c r="N1095" s="16" t="b">
        <v>0</v>
      </c>
      <c r="O1095" s="16" t="n">
        <v>435.5194320411548</v>
      </c>
      <c r="P1095" s="16" t="n">
        <v>279.233717190693</v>
      </c>
      <c r="Q1095" s="16" t="n">
        <v>4185.140844201076</v>
      </c>
      <c r="R1095" s="16" t="n">
        <v>425.1559511397466</v>
      </c>
      <c r="S1095" s="16" t="n">
        <v>0.8049419050400812</v>
      </c>
      <c r="T1095" s="16" t="n">
        <v>0.8290774165978586</v>
      </c>
      <c r="U1095" s="16" t="n">
        <v>0.8391173125735742</v>
      </c>
      <c r="V1095" s="16" t="n">
        <v>0.6840591950103064</v>
      </c>
      <c r="W1095" s="16" t="n">
        <v>0.8481262763794548</v>
      </c>
      <c r="X1095" s="16" t="n">
        <v>0.8972580002784932</v>
      </c>
      <c r="Y1095" s="16" t="n">
        <v>279.233717190693</v>
      </c>
      <c r="Z1095" s="16" t="n">
        <v>17.21868506121507</v>
      </c>
      <c r="AA1095" s="16" t="n">
        <v>164.7354337172538</v>
      </c>
      <c r="AB1095" s="16" t="n">
        <v>3759.984893061329</v>
      </c>
      <c r="AC1095" s="16" t="n">
        <v>9.843778107731206</v>
      </c>
      <c r="AD1095" s="16" t="inlineStr">
        <is>
          <t>O2</t>
        </is>
      </c>
      <c r="AE1095" s="16" t="n"/>
    </row>
    <row r="1096">
      <c r="A1096" s="16" t="inlineStr">
        <is>
          <t>KF-M04-0024</t>
        </is>
      </c>
      <c r="B1096" s="16" t="inlineStr">
        <is>
          <t>3.2</t>
        </is>
      </c>
      <c r="C1096" s="16" t="inlineStr">
        <is>
          <t>3.2</t>
        </is>
      </c>
      <c r="D1096" s="16" t="inlineStr">
        <is>
          <t>muestra de 300 puntos</t>
        </is>
      </c>
      <c r="E1096" s="16" t="inlineStr">
        <is>
          <t>KF-M04</t>
        </is>
      </c>
      <c r="F1096" s="16" t="inlineStr">
        <is>
          <t>KF-M04</t>
        </is>
      </c>
      <c r="G1096" s="16" t="inlineStr">
        <is>
          <t>B07</t>
        </is>
      </c>
      <c r="H1096" s="16" t="inlineStr">
        <is>
          <t>lhs</t>
        </is>
      </c>
      <c r="I1096" s="16" t="inlineStr">
        <is>
          <t>CORREGIBLE</t>
        </is>
      </c>
      <c r="J1096" s="16" t="inlineStr">
        <is>
          <t>CORREGIBLE</t>
        </is>
      </c>
      <c r="K1096" s="16" t="b">
        <v>1</v>
      </c>
      <c r="L1096" s="16" t="b">
        <v>0</v>
      </c>
      <c r="M1096" s="16" t="b">
        <v>0</v>
      </c>
      <c r="N1096" s="16" t="b">
        <v>0</v>
      </c>
      <c r="O1096" s="16" t="n">
        <v>392.2904056254739</v>
      </c>
      <c r="P1096" s="16" t="n">
        <v>297.7231829079629</v>
      </c>
      <c r="Q1096" s="16" t="n">
        <v>2596.987028322553</v>
      </c>
      <c r="R1096" s="16" t="n">
        <v>1392.940294092044</v>
      </c>
      <c r="S1096" s="16" t="n">
        <v>0.8291528055280766</v>
      </c>
      <c r="T1096" s="16" t="n">
        <v>0.8586511313333115</v>
      </c>
      <c r="U1096" s="16" t="n">
        <v>0.6598080991381683</v>
      </c>
      <c r="V1096" s="16" t="n">
        <v>0.659383732022264</v>
      </c>
      <c r="W1096" s="16" t="n">
        <v>0.8154770952282242</v>
      </c>
      <c r="X1096" s="16" t="n">
        <v>0.7150851697964457</v>
      </c>
      <c r="Y1096" s="16" t="n">
        <v>297.7231829079629</v>
      </c>
      <c r="Z1096" s="16" t="n">
        <v>5.14272240646867</v>
      </c>
      <c r="AA1096" s="16" t="n">
        <v>32.79882711082332</v>
      </c>
      <c r="AB1096" s="16" t="n">
        <v>1204.046734230508</v>
      </c>
      <c r="AC1096" s="16" t="n">
        <v>1.864392206426434</v>
      </c>
      <c r="AD1096" s="16" t="inlineStr">
        <is>
          <t>O2</t>
        </is>
      </c>
      <c r="AE1096" s="16" t="n"/>
    </row>
    <row r="1097">
      <c r="A1097" s="16" t="inlineStr">
        <is>
          <t>KF-M04-0025</t>
        </is>
      </c>
      <c r="B1097" s="16" t="inlineStr">
        <is>
          <t>3.2</t>
        </is>
      </c>
      <c r="C1097" s="16" t="inlineStr">
        <is>
          <t>3.2</t>
        </is>
      </c>
      <c r="D1097" s="16" t="inlineStr">
        <is>
          <t>muestra de 300 puntos</t>
        </is>
      </c>
      <c r="E1097" s="16" t="inlineStr">
        <is>
          <t>KF-M04</t>
        </is>
      </c>
      <c r="F1097" s="16" t="inlineStr">
        <is>
          <t>KF-M04</t>
        </is>
      </c>
      <c r="G1097" s="16" t="inlineStr">
        <is>
          <t>B07</t>
        </is>
      </c>
      <c r="H1097" s="16" t="inlineStr">
        <is>
          <t>lhs</t>
        </is>
      </c>
      <c r="I1097" s="16" t="inlineStr">
        <is>
          <t>CORREGIBLE</t>
        </is>
      </c>
      <c r="J1097" s="16" t="inlineStr">
        <is>
          <t>CORREGIBLE</t>
        </is>
      </c>
      <c r="K1097" s="16" t="b">
        <v>1</v>
      </c>
      <c r="L1097" s="16" t="b">
        <v>0</v>
      </c>
      <c r="M1097" s="16" t="b">
        <v>0</v>
      </c>
      <c r="N1097" s="16" t="b">
        <v>0</v>
      </c>
      <c r="O1097" s="16" t="n">
        <v>393.6668502509162</v>
      </c>
      <c r="P1097" s="16" t="n">
        <v>286.7617418817978</v>
      </c>
      <c r="Q1097" s="16" t="n">
        <v>3569.578832265039</v>
      </c>
      <c r="R1097" s="16" t="n">
        <v>649.1854608000708</v>
      </c>
      <c r="S1097" s="16" t="n">
        <v>0.8221417356174029</v>
      </c>
      <c r="T1097" s="16" t="n">
        <v>0.911651944270523</v>
      </c>
      <c r="U1097" s="16" t="n">
        <v>0.8572457168646404</v>
      </c>
      <c r="V1097" s="16" t="n">
        <v>0.6619101028005296</v>
      </c>
      <c r="W1097" s="16" t="n">
        <v>0.8947650750272844</v>
      </c>
      <c r="X1097" s="16" t="n">
        <v>0.7047059452838946</v>
      </c>
      <c r="Y1097" s="16" t="n">
        <v>286.7617418817978</v>
      </c>
      <c r="Z1097" s="16" t="n">
        <v>14.10222542661204</v>
      </c>
      <c r="AA1097" s="16" t="n">
        <v>81.58516492283111</v>
      </c>
      <c r="AB1097" s="16" t="n">
        <v>2920.393371464968</v>
      </c>
      <c r="AC1097" s="16" t="n">
        <v>5.498550179891289</v>
      </c>
      <c r="AD1097" s="16" t="inlineStr">
        <is>
          <t>O2</t>
        </is>
      </c>
      <c r="AE1097" s="16" t="n"/>
    </row>
    <row r="1098">
      <c r="A1098" s="16" t="inlineStr">
        <is>
          <t>KF-M04-0026</t>
        </is>
      </c>
      <c r="B1098" s="16" t="inlineStr">
        <is>
          <t>3.2</t>
        </is>
      </c>
      <c r="C1098" s="16" t="inlineStr">
        <is>
          <t>3.2</t>
        </is>
      </c>
      <c r="D1098" s="16" t="inlineStr">
        <is>
          <t>muestra de 300 puntos</t>
        </is>
      </c>
      <c r="E1098" s="16" t="inlineStr">
        <is>
          <t>KF-M04</t>
        </is>
      </c>
      <c r="F1098" s="16" t="inlineStr">
        <is>
          <t>KF-M04</t>
        </is>
      </c>
      <c r="G1098" s="16" t="inlineStr">
        <is>
          <t>B07</t>
        </is>
      </c>
      <c r="H1098" s="16" t="inlineStr">
        <is>
          <t>lhs</t>
        </is>
      </c>
      <c r="I1098" s="16" t="inlineStr">
        <is>
          <t>CORREGIBLE</t>
        </is>
      </c>
      <c r="J1098" s="16" t="inlineStr">
        <is>
          <t>CORREGIBLE</t>
        </is>
      </c>
      <c r="K1098" s="16" t="b">
        <v>1</v>
      </c>
      <c r="L1098" s="16" t="b">
        <v>0</v>
      </c>
      <c r="M1098" s="16" t="b">
        <v>1</v>
      </c>
      <c r="N1098" s="16" t="b">
        <v>0</v>
      </c>
      <c r="O1098" s="16" t="n">
        <v>469.9999780974126</v>
      </c>
      <c r="P1098" s="16" t="n">
        <v>292.256543372837</v>
      </c>
      <c r="Q1098" s="16" t="n">
        <v>4430.809266456108</v>
      </c>
      <c r="R1098" s="16" t="n">
        <v>440.8911787289314</v>
      </c>
      <c r="S1098" s="16" t="n">
        <v>0.5804817754448367</v>
      </c>
      <c r="T1098" s="16" t="n">
        <v>0.8532856150542854</v>
      </c>
      <c r="U1098" s="16" t="n">
        <v>0.8276431257613591</v>
      </c>
      <c r="V1098" s="16" t="n">
        <v>0.8234699380609934</v>
      </c>
      <c r="W1098" s="16" t="n">
        <v>0.6524251169217826</v>
      </c>
      <c r="X1098" s="16" t="n">
        <v>0.8839146552701898</v>
      </c>
      <c r="Y1098" s="16" t="n">
        <v>292.256543372837</v>
      </c>
      <c r="Z1098" s="16" t="n">
        <v>15.59378728806765</v>
      </c>
      <c r="AA1098" s="16" t="n">
        <v>197.8723592150954</v>
      </c>
      <c r="AB1098" s="16" t="n">
        <v>3989.918087727177</v>
      </c>
      <c r="AC1098" s="16" t="n">
        <v>10.04966640346474</v>
      </c>
      <c r="AD1098" s="16" t="inlineStr">
        <is>
          <t>O1,O2</t>
        </is>
      </c>
      <c r="AE1098" s="16" t="n"/>
    </row>
    <row r="1099">
      <c r="A1099" s="16" t="inlineStr">
        <is>
          <t>KF-M04-0027</t>
        </is>
      </c>
      <c r="B1099" s="16" t="inlineStr">
        <is>
          <t>3.2</t>
        </is>
      </c>
      <c r="C1099" s="16" t="inlineStr">
        <is>
          <t>3.2</t>
        </is>
      </c>
      <c r="D1099" s="16" t="inlineStr">
        <is>
          <t>muestra de 300 puntos</t>
        </is>
      </c>
      <c r="E1099" s="16" t="inlineStr">
        <is>
          <t>KF-M04</t>
        </is>
      </c>
      <c r="F1099" s="16" t="inlineStr">
        <is>
          <t>KF-M04</t>
        </is>
      </c>
      <c r="G1099" s="16" t="inlineStr">
        <is>
          <t>B07</t>
        </is>
      </c>
      <c r="H1099" s="16" t="inlineStr">
        <is>
          <t>lhs</t>
        </is>
      </c>
      <c r="I1099" s="16" t="inlineStr">
        <is>
          <t>CORREGIBLE</t>
        </is>
      </c>
      <c r="J1099" s="16" t="inlineStr">
        <is>
          <t>CORREGIBLE</t>
        </is>
      </c>
      <c r="K1099" s="16" t="b">
        <v>1</v>
      </c>
      <c r="L1099" s="16" t="b">
        <v>0</v>
      </c>
      <c r="M1099" s="16" t="b">
        <v>1</v>
      </c>
      <c r="N1099" s="16" t="b">
        <v>0</v>
      </c>
      <c r="O1099" s="16" t="n">
        <v>437.3384646431107</v>
      </c>
      <c r="P1099" s="16" t="n">
        <v>295.3142762724335</v>
      </c>
      <c r="Q1099" s="16" t="n">
        <v>2551.739378621204</v>
      </c>
      <c r="R1099" s="16" t="n">
        <v>705.0432321114513</v>
      </c>
      <c r="S1099" s="16" t="n">
        <v>0.7702097777705513</v>
      </c>
      <c r="T1099" s="16" t="n">
        <v>0.8363741910550332</v>
      </c>
      <c r="U1099" s="16" t="n">
        <v>0.7673916227347499</v>
      </c>
      <c r="V1099" s="16" t="n">
        <v>0.9462895100609232</v>
      </c>
      <c r="W1099" s="16" t="n">
        <v>0.7766967879722532</v>
      </c>
      <c r="X1099" s="16" t="n">
        <v>0.7309507932656528</v>
      </c>
      <c r="Y1099" s="16" t="n">
        <v>295.3142762724335</v>
      </c>
      <c r="Z1099" s="16" t="n">
        <v>8.65798429166359</v>
      </c>
      <c r="AA1099" s="16" t="n">
        <v>113.5776010331161</v>
      </c>
      <c r="AB1099" s="16" t="n">
        <v>1846.696146509753</v>
      </c>
      <c r="AC1099" s="16" t="n">
        <v>3.619266539130231</v>
      </c>
      <c r="AD1099" s="16" t="inlineStr">
        <is>
          <t>O2</t>
        </is>
      </c>
      <c r="AE1099" s="16" t="n"/>
    </row>
    <row r="1100">
      <c r="A1100" s="16" t="inlineStr">
        <is>
          <t>KF-M04-0028</t>
        </is>
      </c>
      <c r="B1100" s="16" t="inlineStr">
        <is>
          <t>3.2</t>
        </is>
      </c>
      <c r="C1100" s="16" t="inlineStr">
        <is>
          <t>3.2</t>
        </is>
      </c>
      <c r="D1100" s="16" t="inlineStr">
        <is>
          <t>muestra de 300 puntos</t>
        </is>
      </c>
      <c r="E1100" s="16" t="inlineStr">
        <is>
          <t>KF-M04</t>
        </is>
      </c>
      <c r="F1100" s="16" t="inlineStr">
        <is>
          <t>KF-M04</t>
        </is>
      </c>
      <c r="G1100" s="16" t="inlineStr">
        <is>
          <t>B07</t>
        </is>
      </c>
      <c r="H1100" s="16" t="inlineStr">
        <is>
          <t>lhs</t>
        </is>
      </c>
      <c r="I1100" s="16" t="inlineStr">
        <is>
          <t>CORREGIBLE</t>
        </is>
      </c>
      <c r="J1100" s="16" t="inlineStr">
        <is>
          <t>CORREGIBLE</t>
        </is>
      </c>
      <c r="K1100" s="16" t="b">
        <v>1</v>
      </c>
      <c r="L1100" s="16" t="b">
        <v>0</v>
      </c>
      <c r="M1100" s="16" t="b">
        <v>0</v>
      </c>
      <c r="N1100" s="16" t="b">
        <v>0</v>
      </c>
      <c r="O1100" s="16" t="n">
        <v>385.0173082371893</v>
      </c>
      <c r="P1100" s="16" t="n">
        <v>287.3743664806587</v>
      </c>
      <c r="Q1100" s="16" t="n">
        <v>3540.032699498654</v>
      </c>
      <c r="R1100" s="16" t="n">
        <v>665.9320005381501</v>
      </c>
      <c r="S1100" s="16" t="n">
        <v>0.753271089816677</v>
      </c>
      <c r="T1100" s="16" t="n">
        <v>0.7786906292897584</v>
      </c>
      <c r="U1100" s="16" t="n">
        <v>0.6736800555644287</v>
      </c>
      <c r="V1100" s="16" t="n">
        <v>0.6828621581967723</v>
      </c>
      <c r="W1100" s="16" t="n">
        <v>0.8290830936684517</v>
      </c>
      <c r="X1100" s="16" t="n">
        <v>0.723256866088802</v>
      </c>
      <c r="Y1100" s="16" t="n">
        <v>287.3743664806587</v>
      </c>
      <c r="Z1100" s="16" t="n">
        <v>10.10545759849014</v>
      </c>
      <c r="AA1100" s="16" t="n">
        <v>43.77056925345025</v>
      </c>
      <c r="AB1100" s="16" t="n">
        <v>2874.100698960504</v>
      </c>
      <c r="AC1100" s="16" t="n">
        <v>5.315907174663326</v>
      </c>
      <c r="AD1100" s="16" t="inlineStr">
        <is>
          <t>O2</t>
        </is>
      </c>
      <c r="AE1100" s="16" t="n"/>
    </row>
    <row r="1101">
      <c r="A1101" s="16" t="inlineStr">
        <is>
          <t>KF-M04-0029</t>
        </is>
      </c>
      <c r="B1101" s="16" t="inlineStr">
        <is>
          <t>3.2</t>
        </is>
      </c>
      <c r="C1101" s="16" t="inlineStr">
        <is>
          <t>3.2</t>
        </is>
      </c>
      <c r="D1101" s="16" t="inlineStr">
        <is>
          <t>muestra de 300 puntos</t>
        </is>
      </c>
      <c r="E1101" s="16" t="inlineStr">
        <is>
          <t>KF-M04</t>
        </is>
      </c>
      <c r="F1101" s="16" t="inlineStr">
        <is>
          <t>KF-M04</t>
        </is>
      </c>
      <c r="G1101" s="16" t="inlineStr">
        <is>
          <t>B07</t>
        </is>
      </c>
      <c r="H1101" s="16" t="inlineStr">
        <is>
          <t>lhs</t>
        </is>
      </c>
      <c r="I1101" s="16" t="inlineStr">
        <is>
          <t>CORREGIBLE</t>
        </is>
      </c>
      <c r="J1101" s="16" t="inlineStr">
        <is>
          <t>CORREGIBLE</t>
        </is>
      </c>
      <c r="K1101" s="16" t="b">
        <v>1</v>
      </c>
      <c r="L1101" s="16" t="b">
        <v>0</v>
      </c>
      <c r="M1101" s="16" t="b">
        <v>1</v>
      </c>
      <c r="N1101" s="16" t="b">
        <v>0</v>
      </c>
      <c r="O1101" s="16" t="n">
        <v>480.7006963136511</v>
      </c>
      <c r="P1101" s="16" t="n">
        <v>286.4946709019569</v>
      </c>
      <c r="Q1101" s="16" t="n">
        <v>3206.440936249397</v>
      </c>
      <c r="R1101" s="16" t="n">
        <v>577.3755443674788</v>
      </c>
      <c r="S1101" s="16" t="n">
        <v>0.6994056719673754</v>
      </c>
      <c r="T1101" s="16" t="n">
        <v>0.8952621664713077</v>
      </c>
      <c r="U1101" s="16" t="n">
        <v>0.8169526703643966</v>
      </c>
      <c r="V1101" s="16" t="n">
        <v>0.9123131578248984</v>
      </c>
      <c r="W1101" s="16" t="n">
        <v>0.6770708312582564</v>
      </c>
      <c r="X1101" s="16" t="n">
        <v>0.7378213671227706</v>
      </c>
      <c r="Y1101" s="16" t="n">
        <v>286.4946709019569</v>
      </c>
      <c r="Z1101" s="16" t="n">
        <v>12.73555589222774</v>
      </c>
      <c r="AA1101" s="16" t="n">
        <v>188.3983104155379</v>
      </c>
      <c r="AB1101" s="16" t="n">
        <v>2629.065391881918</v>
      </c>
      <c r="AC1101" s="16" t="n">
        <v>5.553475493601114</v>
      </c>
      <c r="AD1101" s="16" t="inlineStr">
        <is>
          <t>O2</t>
        </is>
      </c>
      <c r="AE1101" s="16" t="n"/>
    </row>
    <row r="1102">
      <c r="A1102" s="16" t="inlineStr">
        <is>
          <t>KF-M04-0030</t>
        </is>
      </c>
      <c r="B1102" s="16" t="inlineStr">
        <is>
          <t>3.2</t>
        </is>
      </c>
      <c r="C1102" s="16" t="inlineStr">
        <is>
          <t>3.2</t>
        </is>
      </c>
      <c r="D1102" s="16" t="inlineStr">
        <is>
          <t>muestra de 300 puntos</t>
        </is>
      </c>
      <c r="E1102" s="16" t="inlineStr">
        <is>
          <t>KF-M04</t>
        </is>
      </c>
      <c r="F1102" s="16" t="inlineStr">
        <is>
          <t>KF-M04</t>
        </is>
      </c>
      <c r="G1102" s="16" t="inlineStr">
        <is>
          <t>B07</t>
        </is>
      </c>
      <c r="H1102" s="16" t="inlineStr">
        <is>
          <t>lhs</t>
        </is>
      </c>
      <c r="I1102" s="16" t="inlineStr">
        <is>
          <t>CORREGIBLE</t>
        </is>
      </c>
      <c r="J1102" s="16" t="inlineStr">
        <is>
          <t>CORREGIBLE</t>
        </is>
      </c>
      <c r="K1102" s="16" t="b">
        <v>1</v>
      </c>
      <c r="L1102" s="16" t="b">
        <v>0</v>
      </c>
      <c r="M1102" s="16" t="b">
        <v>1</v>
      </c>
      <c r="N1102" s="16" t="b">
        <v>0</v>
      </c>
      <c r="O1102" s="16" t="n">
        <v>487.8912921339268</v>
      </c>
      <c r="P1102" s="16" t="n">
        <v>302.7014821042908</v>
      </c>
      <c r="Q1102" s="16" t="n">
        <v>3899.225122832088</v>
      </c>
      <c r="R1102" s="16" t="n">
        <v>987.854612020384</v>
      </c>
      <c r="S1102" s="16" t="n">
        <v>0.6905916761792669</v>
      </c>
      <c r="T1102" s="16" t="n">
        <v>0.8892067669250205</v>
      </c>
      <c r="U1102" s="16" t="n">
        <v>0.6622896146425568</v>
      </c>
      <c r="V1102" s="16" t="n">
        <v>0.9308641328735816</v>
      </c>
      <c r="W1102" s="16" t="n">
        <v>0.8869199224676667</v>
      </c>
      <c r="X1102" s="16" t="n">
        <v>0.8523696632061704</v>
      </c>
      <c r="Y1102" s="16" t="n">
        <v>302.7014821042908</v>
      </c>
      <c r="Z1102" s="16" t="n">
        <v>11.07413374942874</v>
      </c>
      <c r="AA1102" s="16" t="n">
        <v>185.6634072077904</v>
      </c>
      <c r="AB1102" s="16" t="n">
        <v>2911.370510811704</v>
      </c>
      <c r="AC1102" s="16" t="n">
        <v>3.947164972846864</v>
      </c>
      <c r="AD1102" s="16" t="inlineStr">
        <is>
          <t>O2</t>
        </is>
      </c>
      <c r="AE1102" s="16" t="n"/>
    </row>
    <row r="1103">
      <c r="A1103" s="16" t="inlineStr">
        <is>
          <t>KF-M04-0031</t>
        </is>
      </c>
      <c r="B1103" s="16" t="inlineStr">
        <is>
          <t>3.2</t>
        </is>
      </c>
      <c r="C1103" s="16" t="inlineStr">
        <is>
          <t>3.2</t>
        </is>
      </c>
      <c r="D1103" s="16" t="inlineStr">
        <is>
          <t>muestra de 300 puntos</t>
        </is>
      </c>
      <c r="E1103" s="16" t="inlineStr">
        <is>
          <t>KF-M04</t>
        </is>
      </c>
      <c r="F1103" s="16" t="inlineStr">
        <is>
          <t>KF-M04</t>
        </is>
      </c>
      <c r="G1103" s="16" t="inlineStr">
        <is>
          <t>B07</t>
        </is>
      </c>
      <c r="H1103" s="16" t="inlineStr">
        <is>
          <t>lhs</t>
        </is>
      </c>
      <c r="I1103" s="16" t="inlineStr">
        <is>
          <t>CORREGIBLE</t>
        </is>
      </c>
      <c r="J1103" s="16" t="inlineStr">
        <is>
          <t>CORREGIBLE</t>
        </is>
      </c>
      <c r="K1103" s="16" t="b">
        <v>1</v>
      </c>
      <c r="L1103" s="16" t="b">
        <v>0</v>
      </c>
      <c r="M1103" s="16" t="b">
        <v>1</v>
      </c>
      <c r="N1103" s="16" t="b">
        <v>0</v>
      </c>
      <c r="O1103" s="16" t="n">
        <v>494.3217628451121</v>
      </c>
      <c r="P1103" s="16" t="n">
        <v>282.7954125644885</v>
      </c>
      <c r="Q1103" s="16" t="n">
        <v>3514.701368988619</v>
      </c>
      <c r="R1103" s="16" t="n">
        <v>586.9384338881721</v>
      </c>
      <c r="S1103" s="16" t="n">
        <v>0.534283312314304</v>
      </c>
      <c r="T1103" s="16" t="n">
        <v>0.773309877010983</v>
      </c>
      <c r="U1103" s="16" t="n">
        <v>0.7826133865144773</v>
      </c>
      <c r="V1103" s="16" t="n">
        <v>0.7234800035441454</v>
      </c>
      <c r="W1103" s="16" t="n">
        <v>0.8562549186889343</v>
      </c>
      <c r="X1103" s="16" t="n">
        <v>0.7719075974323282</v>
      </c>
      <c r="Y1103" s="16" t="n">
        <v>282.7954125644885</v>
      </c>
      <c r="Z1103" s="16" t="n">
        <v>11.34769036547371</v>
      </c>
      <c r="AA1103" s="16" t="n">
        <v>158.5088845462313</v>
      </c>
      <c r="AB1103" s="16" t="n">
        <v>2927.762935100447</v>
      </c>
      <c r="AC1103" s="16" t="n">
        <v>5.988194273981155</v>
      </c>
      <c r="AD1103" s="16" t="inlineStr">
        <is>
          <t>O2</t>
        </is>
      </c>
      <c r="AE1103" s="16" t="n"/>
    </row>
    <row r="1104">
      <c r="A1104" s="16" t="inlineStr">
        <is>
          <t>KF-M04-0032</t>
        </is>
      </c>
      <c r="B1104" s="16" t="inlineStr">
        <is>
          <t>3.2</t>
        </is>
      </c>
      <c r="C1104" s="16" t="inlineStr">
        <is>
          <t>3.2</t>
        </is>
      </c>
      <c r="D1104" s="16" t="inlineStr">
        <is>
          <t>muestra de 300 puntos</t>
        </is>
      </c>
      <c r="E1104" s="16" t="inlineStr">
        <is>
          <t>KF-M04</t>
        </is>
      </c>
      <c r="F1104" s="16" t="inlineStr">
        <is>
          <t>KF-M04</t>
        </is>
      </c>
      <c r="G1104" s="16" t="inlineStr">
        <is>
          <t>B07</t>
        </is>
      </c>
      <c r="H1104" s="16" t="inlineStr">
        <is>
          <t>lhs</t>
        </is>
      </c>
      <c r="I1104" s="16" t="inlineStr">
        <is>
          <t>CORREGIBLE</t>
        </is>
      </c>
      <c r="J1104" s="16" t="inlineStr">
        <is>
          <t>CORREGIBLE</t>
        </is>
      </c>
      <c r="K1104" s="16" t="b">
        <v>1</v>
      </c>
      <c r="L1104" s="16" t="b">
        <v>0</v>
      </c>
      <c r="M1104" s="16" t="b">
        <v>1</v>
      </c>
      <c r="N1104" s="16" t="b">
        <v>0</v>
      </c>
      <c r="O1104" s="16" t="n">
        <v>447.5403059817739</v>
      </c>
      <c r="P1104" s="16" t="n">
        <v>297.1113249852779</v>
      </c>
      <c r="Q1104" s="16" t="n">
        <v>4546.340013162568</v>
      </c>
      <c r="R1104" s="16" t="n">
        <v>495.370174083842</v>
      </c>
      <c r="S1104" s="16" t="n">
        <v>0.6164259823671855</v>
      </c>
      <c r="T1104" s="16" t="n">
        <v>0.7561683441302542</v>
      </c>
      <c r="U1104" s="16" t="n">
        <v>0.8881691002974871</v>
      </c>
      <c r="V1104" s="16" t="n">
        <v>0.702889277733699</v>
      </c>
      <c r="W1104" s="16" t="n">
        <v>0.609384898288126</v>
      </c>
      <c r="X1104" s="16" t="n">
        <v>0.8276351070796421</v>
      </c>
      <c r="Y1104" s="16" t="n">
        <v>297.1113249852779</v>
      </c>
      <c r="Z1104" s="16" t="n">
        <v>12.58898481019944</v>
      </c>
      <c r="AA1104" s="16" t="n">
        <v>93.16990986427696</v>
      </c>
      <c r="AB1104" s="16" t="n">
        <v>4050.969839078726</v>
      </c>
      <c r="AC1104" s="16" t="n">
        <v>9.177661980902981</v>
      </c>
      <c r="AD1104" s="16" t="inlineStr">
        <is>
          <t>O2</t>
        </is>
      </c>
      <c r="AE1104" s="16" t="n"/>
    </row>
    <row r="1105">
      <c r="A1105" s="16" t="inlineStr">
        <is>
          <t>KF-M04-0033</t>
        </is>
      </c>
      <c r="B1105" s="16" t="inlineStr">
        <is>
          <t>3.2</t>
        </is>
      </c>
      <c r="C1105" s="16" t="inlineStr">
        <is>
          <t>3.2</t>
        </is>
      </c>
      <c r="D1105" s="16" t="inlineStr">
        <is>
          <t>muestra de 300 puntos</t>
        </is>
      </c>
      <c r="E1105" s="16" t="inlineStr">
        <is>
          <t>KF-M04</t>
        </is>
      </c>
      <c r="F1105" s="16" t="inlineStr">
        <is>
          <t>KF-M04</t>
        </is>
      </c>
      <c r="G1105" s="16" t="inlineStr">
        <is>
          <t>B07</t>
        </is>
      </c>
      <c r="H1105" s="16" t="inlineStr">
        <is>
          <t>lhs</t>
        </is>
      </c>
      <c r="I1105" s="16" t="inlineStr">
        <is>
          <t>CORREGIBLE</t>
        </is>
      </c>
      <c r="J1105" s="16" t="inlineStr">
        <is>
          <t>CORREGIBLE</t>
        </is>
      </c>
      <c r="K1105" s="16" t="b">
        <v>1</v>
      </c>
      <c r="L1105" s="16" t="b">
        <v>0</v>
      </c>
      <c r="M1105" s="16" t="b">
        <v>0</v>
      </c>
      <c r="N1105" s="16" t="b">
        <v>0</v>
      </c>
      <c r="O1105" s="16" t="n">
        <v>433.6243058999922</v>
      </c>
      <c r="P1105" s="16" t="n">
        <v>279.9231031154966</v>
      </c>
      <c r="Q1105" s="16" t="n">
        <v>2160.485723338179</v>
      </c>
      <c r="R1105" s="16" t="n">
        <v>451.1849669195475</v>
      </c>
      <c r="S1105" s="16" t="n">
        <v>0.7747804631629771</v>
      </c>
      <c r="T1105" s="16" t="n">
        <v>0.8080517039182611</v>
      </c>
      <c r="U1105" s="16" t="n">
        <v>0.6788980739827942</v>
      </c>
      <c r="V1105" s="16" t="n">
        <v>0.6031970463922085</v>
      </c>
      <c r="W1105" s="16" t="n">
        <v>0.8279250336907824</v>
      </c>
      <c r="X1105" s="16" t="n">
        <v>0.7581480882321279</v>
      </c>
      <c r="Y1105" s="16" t="n">
        <v>279.9231031154966</v>
      </c>
      <c r="Z1105" s="16" t="n">
        <v>10.55836234269646</v>
      </c>
      <c r="AA1105" s="16" t="n">
        <v>101.5809955264819</v>
      </c>
      <c r="AB1105" s="16" t="n">
        <v>1709.300756418631</v>
      </c>
      <c r="AC1105" s="16" t="n">
        <v>4.788470099278427</v>
      </c>
      <c r="AD1105" s="16" t="inlineStr">
        <is>
          <t>O2</t>
        </is>
      </c>
      <c r="AE1105" s="16" t="n"/>
    </row>
    <row r="1106">
      <c r="A1106" s="16" t="inlineStr">
        <is>
          <t>KF-M04-0034</t>
        </is>
      </c>
      <c r="B1106" s="16" t="inlineStr">
        <is>
          <t>3.2</t>
        </is>
      </c>
      <c r="C1106" s="16" t="inlineStr">
        <is>
          <t>3.2</t>
        </is>
      </c>
      <c r="D1106" s="16" t="inlineStr">
        <is>
          <t>muestra de 300 puntos</t>
        </is>
      </c>
      <c r="E1106" s="16" t="inlineStr">
        <is>
          <t>KF-M04</t>
        </is>
      </c>
      <c r="F1106" s="16" t="inlineStr">
        <is>
          <t>KF-M04</t>
        </is>
      </c>
      <c r="G1106" s="16" t="inlineStr">
        <is>
          <t>B07</t>
        </is>
      </c>
      <c r="H1106" s="16" t="inlineStr">
        <is>
          <t>lhs</t>
        </is>
      </c>
      <c r="I1106" s="16" t="inlineStr">
        <is>
          <t>CORREGIBLE</t>
        </is>
      </c>
      <c r="J1106" s="16" t="inlineStr">
        <is>
          <t>CORREGIBLE</t>
        </is>
      </c>
      <c r="K1106" s="16" t="b">
        <v>1</v>
      </c>
      <c r="L1106" s="16" t="b">
        <v>0</v>
      </c>
      <c r="M1106" s="16" t="b">
        <v>1</v>
      </c>
      <c r="N1106" s="16" t="b">
        <v>0</v>
      </c>
      <c r="O1106" s="16" t="n">
        <v>498.73187817156</v>
      </c>
      <c r="P1106" s="16" t="n">
        <v>301.3808703268818</v>
      </c>
      <c r="Q1106" s="16" t="n">
        <v>4238.795622881742</v>
      </c>
      <c r="R1106" s="16" t="n">
        <v>1208.258783111841</v>
      </c>
      <c r="S1106" s="16" t="n">
        <v>0.7374648205983418</v>
      </c>
      <c r="T1106" s="16" t="n">
        <v>0.8091518481050851</v>
      </c>
      <c r="U1106" s="16" t="n">
        <v>0.8450516985031936</v>
      </c>
      <c r="V1106" s="16" t="n">
        <v>0.8955761854767197</v>
      </c>
      <c r="W1106" s="16" t="n">
        <v>0.7592678962172132</v>
      </c>
      <c r="X1106" s="16" t="n">
        <v>0.7243673056913783</v>
      </c>
      <c r="Y1106" s="16" t="n">
        <v>301.3808703268818</v>
      </c>
      <c r="Z1106" s="16" t="n">
        <v>8.857948089085641</v>
      </c>
      <c r="AA1106" s="16" t="n">
        <v>120.7152932802979</v>
      </c>
      <c r="AB1106" s="16" t="n">
        <v>3030.536839769901</v>
      </c>
      <c r="AC1106" s="16" t="n">
        <v>3.508185234925277</v>
      </c>
      <c r="AD1106" s="16" t="inlineStr">
        <is>
          <t>O2</t>
        </is>
      </c>
      <c r="AE1106" s="16" t="n"/>
    </row>
    <row r="1107">
      <c r="A1107" s="16" t="inlineStr">
        <is>
          <t>KF-M04-0035</t>
        </is>
      </c>
      <c r="B1107" s="16" t="inlineStr">
        <is>
          <t>3.2</t>
        </is>
      </c>
      <c r="C1107" s="16" t="inlineStr">
        <is>
          <t>3.2</t>
        </is>
      </c>
      <c r="D1107" s="16" t="inlineStr">
        <is>
          <t>muestra de 300 puntos</t>
        </is>
      </c>
      <c r="E1107" s="16" t="inlineStr">
        <is>
          <t>KF-M04</t>
        </is>
      </c>
      <c r="F1107" s="16" t="inlineStr">
        <is>
          <t>KF-M04</t>
        </is>
      </c>
      <c r="G1107" s="16" t="inlineStr">
        <is>
          <t>B07</t>
        </is>
      </c>
      <c r="H1107" s="16" t="inlineStr">
        <is>
          <t>lhs</t>
        </is>
      </c>
      <c r="I1107" s="16" t="inlineStr">
        <is>
          <t>KALINA</t>
        </is>
      </c>
      <c r="J1107" s="16" t="inlineStr">
        <is>
          <t>KALINA</t>
        </is>
      </c>
      <c r="K1107" s="16" t="b">
        <v>1</v>
      </c>
      <c r="L1107" s="16" t="b">
        <v>1</v>
      </c>
      <c r="M1107" s="16" t="b">
        <v>0</v>
      </c>
      <c r="N1107" s="16" t="b">
        <v>0</v>
      </c>
      <c r="O1107" s="16" t="n">
        <v>429.5178477405406</v>
      </c>
      <c r="P1107" s="16" t="n">
        <v>300.6589462832984</v>
      </c>
      <c r="Q1107" s="16" t="n">
        <v>4160.685291819645</v>
      </c>
      <c r="R1107" s="16" t="n">
        <v>1168.545778067049</v>
      </c>
      <c r="S1107" s="16" t="n">
        <v>0.6457098375575764</v>
      </c>
      <c r="T1107" s="16" t="n">
        <v>0.7822351197000063</v>
      </c>
      <c r="U1107" s="16" t="n">
        <v>0.7734764014595111</v>
      </c>
      <c r="V1107" s="16" t="n">
        <v>0.6943068706449426</v>
      </c>
      <c r="W1107" s="16" t="n">
        <v>0.8219133016140339</v>
      </c>
      <c r="X1107" s="16" t="n">
        <v>0.9425472838676124</v>
      </c>
      <c r="Y1107" s="16" t="n">
        <v>300.6589462832984</v>
      </c>
      <c r="Z1107" s="16" t="n">
        <v>8.44314300208435</v>
      </c>
      <c r="AA1107" s="16" t="n">
        <v>52.66526671570394</v>
      </c>
      <c r="AB1107" s="16" t="n">
        <v>2992.139513752596</v>
      </c>
      <c r="AC1107" s="16" t="n">
        <v>3.560566791574093</v>
      </c>
      <c r="AD1107" s="16" t="n"/>
      <c r="AE1107" s="16" t="n"/>
    </row>
    <row r="1108">
      <c r="A1108" s="16" t="inlineStr">
        <is>
          <t>KF-M04-0036</t>
        </is>
      </c>
      <c r="B1108" s="16" t="inlineStr">
        <is>
          <t>3.2</t>
        </is>
      </c>
      <c r="C1108" s="16" t="inlineStr">
        <is>
          <t>3.2</t>
        </is>
      </c>
      <c r="D1108" s="16" t="inlineStr">
        <is>
          <t>muestra de 300 puntos</t>
        </is>
      </c>
      <c r="E1108" s="16" t="inlineStr">
        <is>
          <t>KF-M04</t>
        </is>
      </c>
      <c r="F1108" s="16" t="inlineStr">
        <is>
          <t>KF-M04</t>
        </is>
      </c>
      <c r="G1108" s="16" t="inlineStr">
        <is>
          <t>B07</t>
        </is>
      </c>
      <c r="H1108" s="16" t="inlineStr">
        <is>
          <t>lhs</t>
        </is>
      </c>
      <c r="I1108" s="16" t="inlineStr">
        <is>
          <t>CORREGIBLE</t>
        </is>
      </c>
      <c r="J1108" s="16" t="inlineStr">
        <is>
          <t>CORREGIBLE</t>
        </is>
      </c>
      <c r="K1108" s="16" t="b">
        <v>1</v>
      </c>
      <c r="L1108" s="16" t="b">
        <v>0</v>
      </c>
      <c r="M1108" s="16" t="b">
        <v>0</v>
      </c>
      <c r="N1108" s="16" t="b">
        <v>0</v>
      </c>
      <c r="O1108" s="16" t="n">
        <v>418.0014386282538</v>
      </c>
      <c r="P1108" s="16" t="n">
        <v>300.3809008495073</v>
      </c>
      <c r="Q1108" s="16" t="n">
        <v>4680.893184247408</v>
      </c>
      <c r="R1108" s="16" t="n">
        <v>1389.747100071894</v>
      </c>
      <c r="S1108" s="16" t="n">
        <v>0.7076743171285149</v>
      </c>
      <c r="T1108" s="16" t="n">
        <v>0.8924645955035786</v>
      </c>
      <c r="U1108" s="16" t="n">
        <v>0.8303172235867229</v>
      </c>
      <c r="V1108" s="16" t="n">
        <v>0.7753716855577533</v>
      </c>
      <c r="W1108" s="16" t="n">
        <v>0.6687830978321061</v>
      </c>
      <c r="X1108" s="16" t="n">
        <v>0.7519399318309548</v>
      </c>
      <c r="Y1108" s="16" t="n">
        <v>300.3809008495073</v>
      </c>
      <c r="Z1108" s="16" t="n">
        <v>10.09598604534723</v>
      </c>
      <c r="AA1108" s="16" t="n">
        <v>59.99824933803005</v>
      </c>
      <c r="AB1108" s="16" t="n">
        <v>3291.146084175514</v>
      </c>
      <c r="AC1108" s="16" t="n">
        <v>3.368161864849553</v>
      </c>
      <c r="AD1108" s="16" t="inlineStr">
        <is>
          <t>O2</t>
        </is>
      </c>
      <c r="AE1108" s="16" t="n"/>
    </row>
    <row r="1109">
      <c r="A1109" s="16" t="inlineStr">
        <is>
          <t>KF-M04-0037</t>
        </is>
      </c>
      <c r="B1109" s="16" t="inlineStr">
        <is>
          <t>3.2</t>
        </is>
      </c>
      <c r="C1109" s="16" t="inlineStr">
        <is>
          <t>3.2</t>
        </is>
      </c>
      <c r="D1109" s="16" t="inlineStr">
        <is>
          <t>muestra de 300 puntos</t>
        </is>
      </c>
      <c r="E1109" s="16" t="inlineStr">
        <is>
          <t>KF-M04</t>
        </is>
      </c>
      <c r="F1109" s="16" t="inlineStr">
        <is>
          <t>KF-M04</t>
        </is>
      </c>
      <c r="G1109" s="16" t="inlineStr">
        <is>
          <t>B07</t>
        </is>
      </c>
      <c r="H1109" s="16" t="inlineStr">
        <is>
          <t>lhs</t>
        </is>
      </c>
      <c r="I1109" s="16" t="inlineStr">
        <is>
          <t>NO_CONVERGIO</t>
        </is>
      </c>
      <c r="J1109" s="16" t="inlineStr">
        <is>
          <t>NO_CONVERGIO</t>
        </is>
      </c>
      <c r="K1109" s="16" t="b">
        <v>0</v>
      </c>
      <c r="L1109" s="16" t="b">
        <v>0</v>
      </c>
      <c r="M1109" s="16" t="b">
        <v>0</v>
      </c>
      <c r="N1109" s="16" t="b">
        <v>0</v>
      </c>
      <c r="O1109" s="16" t="n">
        <v>484.1067035039137</v>
      </c>
      <c r="P1109" s="16" t="n">
        <v>290.7531596240299</v>
      </c>
      <c r="Q1109" s="16" t="n">
        <v>4631.03513582728</v>
      </c>
      <c r="R1109" s="16" t="n">
        <v>1377.514596345878</v>
      </c>
      <c r="S1109" s="16" t="n">
        <v>0.5838640578515436</v>
      </c>
      <c r="T1109" s="16" t="n">
        <v>0.9189514725777194</v>
      </c>
      <c r="U1109" s="16" t="n">
        <v>0.836659809347415</v>
      </c>
      <c r="V1109" s="16" t="n">
        <v>0.6579134657054716</v>
      </c>
      <c r="W1109" s="16" t="n">
        <v>0.8790129754984701</v>
      </c>
      <c r="X1109" s="16" t="n">
        <v>0.918377052447521</v>
      </c>
      <c r="Y1109" s="16" t="n">
        <v>290.7531596240299</v>
      </c>
      <c r="Z1109" s="16" t="n"/>
      <c r="AA1109" s="16" t="n"/>
      <c r="AB1109" s="16" t="n">
        <v>3253.520539481402</v>
      </c>
      <c r="AC1109" s="16" t="n">
        <v>3.361877360945567</v>
      </c>
      <c r="AD1109" s="16" t="n"/>
      <c r="AE1109" s="16" t="n"/>
    </row>
    <row r="1110">
      <c r="A1110" s="16" t="inlineStr">
        <is>
          <t>KF-M04-0038</t>
        </is>
      </c>
      <c r="B1110" s="16" t="inlineStr">
        <is>
          <t>3.2</t>
        </is>
      </c>
      <c r="C1110" s="16" t="inlineStr">
        <is>
          <t>3.2</t>
        </is>
      </c>
      <c r="D1110" s="16" t="inlineStr">
        <is>
          <t>muestra de 300 puntos</t>
        </is>
      </c>
      <c r="E1110" s="16" t="inlineStr">
        <is>
          <t>KF-M04</t>
        </is>
      </c>
      <c r="F1110" s="16" t="inlineStr">
        <is>
          <t>KF-M04</t>
        </is>
      </c>
      <c r="G1110" s="16" t="inlineStr">
        <is>
          <t>B07</t>
        </is>
      </c>
      <c r="H1110" s="16" t="inlineStr">
        <is>
          <t>lhs</t>
        </is>
      </c>
      <c r="I1110" s="16" t="inlineStr">
        <is>
          <t>INVIABLE</t>
        </is>
      </c>
      <c r="J1110" s="16" t="inlineStr">
        <is>
          <t>INVIABLE</t>
        </is>
      </c>
      <c r="K1110" s="16" t="b">
        <v>1</v>
      </c>
      <c r="L1110" s="16" t="b">
        <v>0</v>
      </c>
      <c r="M1110" s="16" t="b">
        <v>0</v>
      </c>
      <c r="N1110" s="16" t="b">
        <v>0</v>
      </c>
      <c r="O1110" s="16" t="n">
        <v>396.9513354784034</v>
      </c>
      <c r="P1110" s="16" t="n">
        <v>300.9856576660762</v>
      </c>
      <c r="Q1110" s="16" t="n">
        <v>2805.799739663207</v>
      </c>
      <c r="R1110" s="16" t="n">
        <v>395.2402416887172</v>
      </c>
      <c r="S1110" s="16" t="n">
        <v>0.7177108633868277</v>
      </c>
      <c r="T1110" s="16" t="n">
        <v>0.8243697705088174</v>
      </c>
      <c r="U1110" s="16" t="n">
        <v>0.846743494847048</v>
      </c>
      <c r="V1110" s="16" t="n">
        <v>0.7876283408771486</v>
      </c>
      <c r="W1110" s="16" t="n">
        <v>0.7561767878215887</v>
      </c>
      <c r="X1110" s="16" t="n">
        <v>0.7712453349726458</v>
      </c>
      <c r="Y1110" s="16" t="n">
        <v>300.9856576660762</v>
      </c>
      <c r="Z1110" s="16" t="n">
        <v>-9.02084917080232</v>
      </c>
      <c r="AA1110" s="16" t="n">
        <v>-20.10177972327241</v>
      </c>
      <c r="AB1110" s="16" t="n">
        <v>2410.55949797449</v>
      </c>
      <c r="AC1110" s="16" t="n">
        <v>7.098972836558974</v>
      </c>
      <c r="AD1110" s="16" t="inlineStr">
        <is>
          <t>O2,O3</t>
        </is>
      </c>
      <c r="AE1110" s="16" t="n"/>
    </row>
    <row r="1111">
      <c r="A1111" s="16" t="inlineStr">
        <is>
          <t>KF-M04-0039</t>
        </is>
      </c>
      <c r="B1111" s="16" t="inlineStr">
        <is>
          <t>3.2</t>
        </is>
      </c>
      <c r="C1111" s="16" t="inlineStr">
        <is>
          <t>3.2</t>
        </is>
      </c>
      <c r="D1111" s="16" t="inlineStr">
        <is>
          <t>muestra de 300 puntos</t>
        </is>
      </c>
      <c r="E1111" s="16" t="inlineStr">
        <is>
          <t>KF-M04</t>
        </is>
      </c>
      <c r="F1111" s="16" t="inlineStr">
        <is>
          <t>KF-M04</t>
        </is>
      </c>
      <c r="G1111" s="16" t="inlineStr">
        <is>
          <t>B07</t>
        </is>
      </c>
      <c r="H1111" s="16" t="inlineStr">
        <is>
          <t>lhs</t>
        </is>
      </c>
      <c r="I1111" s="16" t="inlineStr">
        <is>
          <t>CORREGIBLE</t>
        </is>
      </c>
      <c r="J1111" s="16" t="inlineStr">
        <is>
          <t>CORREGIBLE</t>
        </is>
      </c>
      <c r="K1111" s="16" t="b">
        <v>1</v>
      </c>
      <c r="L1111" s="16" t="b">
        <v>0</v>
      </c>
      <c r="M1111" s="16" t="b">
        <v>1</v>
      </c>
      <c r="N1111" s="16" t="b">
        <v>0</v>
      </c>
      <c r="O1111" s="16" t="n">
        <v>479.3008572538333</v>
      </c>
      <c r="P1111" s="16" t="n">
        <v>283.2546233219593</v>
      </c>
      <c r="Q1111" s="16" t="n">
        <v>4294.967237002176</v>
      </c>
      <c r="R1111" s="16" t="n">
        <v>1497.996504854212</v>
      </c>
      <c r="S1111" s="16" t="n">
        <v>0.8440099275819304</v>
      </c>
      <c r="T1111" s="16" t="n">
        <v>0.8612805668166088</v>
      </c>
      <c r="U1111" s="16" t="n">
        <v>0.8991941805626534</v>
      </c>
      <c r="V1111" s="16" t="n">
        <v>0.8628960897448319</v>
      </c>
      <c r="W1111" s="16" t="n">
        <v>0.7145408471448373</v>
      </c>
      <c r="X1111" s="16" t="n">
        <v>0.7359268738804577</v>
      </c>
      <c r="Y1111" s="16" t="n">
        <v>283.2546233219593</v>
      </c>
      <c r="Z1111" s="16" t="n">
        <v>9.74642606231706</v>
      </c>
      <c r="AA1111" s="16" t="n">
        <v>123.4473666892658</v>
      </c>
      <c r="AB1111" s="16" t="n">
        <v>2796.970732147965</v>
      </c>
      <c r="AC1111" s="16" t="n">
        <v>2.86714102675438</v>
      </c>
      <c r="AD1111" s="16" t="inlineStr">
        <is>
          <t>O2</t>
        </is>
      </c>
      <c r="AE1111" s="16" t="n"/>
    </row>
    <row r="1112">
      <c r="A1112" s="16" t="inlineStr">
        <is>
          <t>KF-M04-0040</t>
        </is>
      </c>
      <c r="B1112" s="16" t="inlineStr">
        <is>
          <t>3.2</t>
        </is>
      </c>
      <c r="C1112" s="16" t="inlineStr">
        <is>
          <t>3.2</t>
        </is>
      </c>
      <c r="D1112" s="16" t="inlineStr">
        <is>
          <t>muestra de 300 puntos</t>
        </is>
      </c>
      <c r="E1112" s="16" t="inlineStr">
        <is>
          <t>KF-M04</t>
        </is>
      </c>
      <c r="F1112" s="16" t="inlineStr">
        <is>
          <t>KF-M04</t>
        </is>
      </c>
      <c r="G1112" s="16" t="inlineStr">
        <is>
          <t>B07</t>
        </is>
      </c>
      <c r="H1112" s="16" t="inlineStr">
        <is>
          <t>lhs</t>
        </is>
      </c>
      <c r="I1112" s="16" t="inlineStr">
        <is>
          <t>KALINA</t>
        </is>
      </c>
      <c r="J1112" s="16" t="inlineStr">
        <is>
          <t>KALINA</t>
        </is>
      </c>
      <c r="K1112" s="16" t="b">
        <v>1</v>
      </c>
      <c r="L1112" s="16" t="b">
        <v>1</v>
      </c>
      <c r="M1112" s="16" t="b">
        <v>0</v>
      </c>
      <c r="N1112" s="16" t="b">
        <v>0</v>
      </c>
      <c r="O1112" s="16" t="n">
        <v>401.5836716181839</v>
      </c>
      <c r="P1112" s="16" t="n">
        <v>281.3777939046265</v>
      </c>
      <c r="Q1112" s="16" t="n">
        <v>3732.069032390479</v>
      </c>
      <c r="R1112" s="16" t="n">
        <v>858.7185183401663</v>
      </c>
      <c r="S1112" s="16" t="n">
        <v>0.5764890308091185</v>
      </c>
      <c r="T1112" s="16" t="n">
        <v>0.7862964373413974</v>
      </c>
      <c r="U1112" s="16" t="n">
        <v>0.7995239097195601</v>
      </c>
      <c r="V1112" s="16" t="n">
        <v>0.7939665631876108</v>
      </c>
      <c r="W1112" s="16" t="n">
        <v>0.7440796506048581</v>
      </c>
      <c r="X1112" s="16" t="n">
        <v>0.867505300338779</v>
      </c>
      <c r="Y1112" s="16" t="n">
        <v>281.3777939046265</v>
      </c>
      <c r="Z1112" s="16" t="n">
        <v>6.09659948836227</v>
      </c>
      <c r="AA1112" s="16" t="n">
        <v>20.88822185191836</v>
      </c>
      <c r="AB1112" s="16" t="n">
        <v>2873.350514050313</v>
      </c>
      <c r="AC1112" s="16" t="n">
        <v>4.34609124256953</v>
      </c>
      <c r="AD1112" s="16" t="n"/>
      <c r="AE1112" s="16" t="n"/>
    </row>
    <row r="1113">
      <c r="A1113" s="16" t="inlineStr">
        <is>
          <t>KF-M04-0041</t>
        </is>
      </c>
      <c r="B1113" s="16" t="inlineStr">
        <is>
          <t>3.2</t>
        </is>
      </c>
      <c r="C1113" s="16" t="inlineStr">
        <is>
          <t>3.2</t>
        </is>
      </c>
      <c r="D1113" s="16" t="inlineStr">
        <is>
          <t>muestra de 300 puntos</t>
        </is>
      </c>
      <c r="E1113" s="16" t="inlineStr">
        <is>
          <t>KF-M04</t>
        </is>
      </c>
      <c r="F1113" s="16" t="inlineStr">
        <is>
          <t>KF-M04</t>
        </is>
      </c>
      <c r="G1113" s="16" t="inlineStr">
        <is>
          <t>B07</t>
        </is>
      </c>
      <c r="H1113" s="16" t="inlineStr">
        <is>
          <t>lhs</t>
        </is>
      </c>
      <c r="I1113" s="16" t="inlineStr">
        <is>
          <t>CORREGIBLE</t>
        </is>
      </c>
      <c r="J1113" s="16" t="inlineStr">
        <is>
          <t>CORREGIBLE</t>
        </is>
      </c>
      <c r="K1113" s="16" t="b">
        <v>1</v>
      </c>
      <c r="L1113" s="16" t="b">
        <v>0</v>
      </c>
      <c r="M1113" s="16" t="b">
        <v>1</v>
      </c>
      <c r="N1113" s="16" t="b">
        <v>0</v>
      </c>
      <c r="O1113" s="16" t="n">
        <v>460.3669111443588</v>
      </c>
      <c r="P1113" s="16" t="n">
        <v>294.3989336558033</v>
      </c>
      <c r="Q1113" s="16" t="n">
        <v>4249.633474856335</v>
      </c>
      <c r="R1113" s="16" t="n">
        <v>759.8630801584197</v>
      </c>
      <c r="S1113" s="16" t="n">
        <v>0.6851642035957565</v>
      </c>
      <c r="T1113" s="16" t="n">
        <v>0.7770092817925025</v>
      </c>
      <c r="U1113" s="16" t="n">
        <v>0.8806025504532341</v>
      </c>
      <c r="V1113" s="16" t="n">
        <v>0.814703564515652</v>
      </c>
      <c r="W1113" s="16" t="n">
        <v>0.8428509298267234</v>
      </c>
      <c r="X1113" s="16" t="n">
        <v>0.7280568912782855</v>
      </c>
      <c r="Y1113" s="16" t="n">
        <v>294.3989336558033</v>
      </c>
      <c r="Z1113" s="16" t="n">
        <v>11.5046396129952</v>
      </c>
      <c r="AA1113" s="16" t="n">
        <v>129.2029091882912</v>
      </c>
      <c r="AB1113" s="16" t="n">
        <v>3489.770394697915</v>
      </c>
      <c r="AC1113" s="16" t="n">
        <v>5.592630548611932</v>
      </c>
      <c r="AD1113" s="16" t="inlineStr">
        <is>
          <t>O2</t>
        </is>
      </c>
      <c r="AE1113" s="16" t="n"/>
    </row>
    <row r="1114">
      <c r="A1114" s="16" t="inlineStr">
        <is>
          <t>KF-M04-0042</t>
        </is>
      </c>
      <c r="B1114" s="16" t="inlineStr">
        <is>
          <t>3.2</t>
        </is>
      </c>
      <c r="C1114" s="16" t="inlineStr">
        <is>
          <t>3.2</t>
        </is>
      </c>
      <c r="D1114" s="16" t="inlineStr">
        <is>
          <t>muestra de 300 puntos</t>
        </is>
      </c>
      <c r="E1114" s="16" t="inlineStr">
        <is>
          <t>KF-M04</t>
        </is>
      </c>
      <c r="F1114" s="16" t="inlineStr">
        <is>
          <t>KF-M04</t>
        </is>
      </c>
      <c r="G1114" s="16" t="inlineStr">
        <is>
          <t>B07</t>
        </is>
      </c>
      <c r="H1114" s="16" t="inlineStr">
        <is>
          <t>lhs</t>
        </is>
      </c>
      <c r="I1114" s="16" t="inlineStr">
        <is>
          <t>KALINA</t>
        </is>
      </c>
      <c r="J1114" s="16" t="inlineStr">
        <is>
          <t>KALINA</t>
        </is>
      </c>
      <c r="K1114" s="16" t="b">
        <v>1</v>
      </c>
      <c r="L1114" s="16" t="b">
        <v>1</v>
      </c>
      <c r="M1114" s="16" t="b">
        <v>0</v>
      </c>
      <c r="N1114" s="16" t="b">
        <v>0</v>
      </c>
      <c r="O1114" s="16" t="n">
        <v>395.676971806121</v>
      </c>
      <c r="P1114" s="16" t="n">
        <v>286.6957162137164</v>
      </c>
      <c r="Q1114" s="16" t="n">
        <v>3160.356416844596</v>
      </c>
      <c r="R1114" s="16" t="n">
        <v>930.494149877678</v>
      </c>
      <c r="S1114" s="16" t="n">
        <v>0.5961702593981435</v>
      </c>
      <c r="T1114" s="16" t="n">
        <v>0.8254766014101839</v>
      </c>
      <c r="U1114" s="16" t="n">
        <v>0.6548745282396067</v>
      </c>
      <c r="V1114" s="16" t="n">
        <v>0.6111115790288563</v>
      </c>
      <c r="W1114" s="16" t="n">
        <v>0.6053042882670805</v>
      </c>
      <c r="X1114" s="16" t="n">
        <v>0.8402185438704587</v>
      </c>
      <c r="Y1114" s="16" t="n">
        <v>286.6957162137164</v>
      </c>
      <c r="Z1114" s="16" t="n">
        <v>4.72446627638378</v>
      </c>
      <c r="AA1114" s="16" t="n">
        <v>16.05308390285159</v>
      </c>
      <c r="AB1114" s="16" t="n">
        <v>2229.862266966918</v>
      </c>
      <c r="AC1114" s="16" t="n">
        <v>3.396428034781362</v>
      </c>
      <c r="AD1114" s="16" t="n"/>
      <c r="AE1114" s="16" t="n"/>
    </row>
    <row r="1115">
      <c r="A1115" s="16" t="inlineStr">
        <is>
          <t>KF-M04-0043</t>
        </is>
      </c>
      <c r="B1115" s="16" t="inlineStr">
        <is>
          <t>3.2</t>
        </is>
      </c>
      <c r="C1115" s="16" t="inlineStr">
        <is>
          <t>3.2</t>
        </is>
      </c>
      <c r="D1115" s="16" t="inlineStr">
        <is>
          <t>muestra de 300 puntos</t>
        </is>
      </c>
      <c r="E1115" s="16" t="inlineStr">
        <is>
          <t>KF-M04</t>
        </is>
      </c>
      <c r="F1115" s="16" t="inlineStr">
        <is>
          <t>KF-M04</t>
        </is>
      </c>
      <c r="G1115" s="16" t="inlineStr">
        <is>
          <t>B07</t>
        </is>
      </c>
      <c r="H1115" s="16" t="inlineStr">
        <is>
          <t>lhs</t>
        </is>
      </c>
      <c r="I1115" s="16" t="inlineStr">
        <is>
          <t>CORREGIBLE</t>
        </is>
      </c>
      <c r="J1115" s="16" t="inlineStr">
        <is>
          <t>CORREGIBLE</t>
        </is>
      </c>
      <c r="K1115" s="16" t="b">
        <v>1</v>
      </c>
      <c r="L1115" s="16" t="b">
        <v>0</v>
      </c>
      <c r="M1115" s="16" t="b">
        <v>1</v>
      </c>
      <c r="N1115" s="16" t="b">
        <v>0</v>
      </c>
      <c r="O1115" s="16" t="n">
        <v>447.6665273317632</v>
      </c>
      <c r="P1115" s="16" t="n">
        <v>291.288176367962</v>
      </c>
      <c r="Q1115" s="16" t="n">
        <v>4991.234240886499</v>
      </c>
      <c r="R1115" s="16" t="n">
        <v>516.1798614917014</v>
      </c>
      <c r="S1115" s="16" t="n">
        <v>0.790885841875296</v>
      </c>
      <c r="T1115" s="16" t="n">
        <v>0.8672646795531308</v>
      </c>
      <c r="U1115" s="16" t="n">
        <v>0.763131315409029</v>
      </c>
      <c r="V1115" s="16" t="n">
        <v>0.8697538917379968</v>
      </c>
      <c r="W1115" s="16" t="n">
        <v>0.8204729853905594</v>
      </c>
      <c r="X1115" s="16" t="n">
        <v>0.7220140149880154</v>
      </c>
      <c r="Y1115" s="16" t="n">
        <v>291.288176367962</v>
      </c>
      <c r="Z1115" s="16" t="n">
        <v>10.35387206617621</v>
      </c>
      <c r="AA1115" s="16" t="n">
        <v>71.66534840905962</v>
      </c>
      <c r="AB1115" s="16" t="n">
        <v>4475.054379394797</v>
      </c>
      <c r="AC1115" s="16" t="n">
        <v>9.66956406718851</v>
      </c>
      <c r="AD1115" s="16" t="inlineStr">
        <is>
          <t>O1,O2</t>
        </is>
      </c>
      <c r="AE1115" s="16" t="n"/>
    </row>
    <row r="1116">
      <c r="A1116" s="16" t="inlineStr">
        <is>
          <t>KF-M04-0044</t>
        </is>
      </c>
      <c r="B1116" s="16" t="inlineStr">
        <is>
          <t>3.2</t>
        </is>
      </c>
      <c r="C1116" s="16" t="inlineStr">
        <is>
          <t>3.2</t>
        </is>
      </c>
      <c r="D1116" s="16" t="inlineStr">
        <is>
          <t>muestra de 300 puntos</t>
        </is>
      </c>
      <c r="E1116" s="16" t="inlineStr">
        <is>
          <t>KF-M04</t>
        </is>
      </c>
      <c r="F1116" s="16" t="inlineStr">
        <is>
          <t>KF-M04</t>
        </is>
      </c>
      <c r="G1116" s="16" t="inlineStr">
        <is>
          <t>B07</t>
        </is>
      </c>
      <c r="H1116" s="16" t="inlineStr">
        <is>
          <t>lhs</t>
        </is>
      </c>
      <c r="I1116" s="16" t="inlineStr">
        <is>
          <t>CORREGIBLE</t>
        </is>
      </c>
      <c r="J1116" s="16" t="inlineStr">
        <is>
          <t>CORREGIBLE</t>
        </is>
      </c>
      <c r="K1116" s="16" t="b">
        <v>1</v>
      </c>
      <c r="L1116" s="16" t="b">
        <v>0</v>
      </c>
      <c r="M1116" s="16" t="b">
        <v>1</v>
      </c>
      <c r="N1116" s="16" t="b">
        <v>0</v>
      </c>
      <c r="O1116" s="16" t="n">
        <v>466.7804142153307</v>
      </c>
      <c r="P1116" s="16" t="n">
        <v>278.5538874241547</v>
      </c>
      <c r="Q1116" s="16" t="n">
        <v>3922.458561675325</v>
      </c>
      <c r="R1116" s="16" t="n">
        <v>1248.24885800572</v>
      </c>
      <c r="S1116" s="16" t="n">
        <v>0.8273342088888622</v>
      </c>
      <c r="T1116" s="16" t="n">
        <v>0.8153679854966273</v>
      </c>
      <c r="U1116" s="16" t="n">
        <v>0.8690599377857189</v>
      </c>
      <c r="V1116" s="16" t="n">
        <v>0.8123526088340405</v>
      </c>
      <c r="W1116" s="16" t="n">
        <v>0.9499651907206834</v>
      </c>
      <c r="X1116" s="16" t="n">
        <v>0.7181020982343854</v>
      </c>
      <c r="Y1116" s="16" t="n">
        <v>278.5538874241547</v>
      </c>
      <c r="Z1116" s="16" t="n">
        <v>9.60966539388108</v>
      </c>
      <c r="AA1116" s="16" t="n">
        <v>113.6421880448725</v>
      </c>
      <c r="AB1116" s="16" t="n">
        <v>2674.209703669605</v>
      </c>
      <c r="AC1116" s="16" t="n">
        <v>3.142369036845816</v>
      </c>
      <c r="AD1116" s="16" t="inlineStr">
        <is>
          <t>O2</t>
        </is>
      </c>
      <c r="AE1116" s="16" t="n"/>
    </row>
    <row r="1117">
      <c r="A1117" s="16" t="inlineStr">
        <is>
          <t>KF-M04-0045</t>
        </is>
      </c>
      <c r="B1117" s="16" t="inlineStr">
        <is>
          <t>3.2</t>
        </is>
      </c>
      <c r="C1117" s="16" t="inlineStr">
        <is>
          <t>3.2</t>
        </is>
      </c>
      <c r="D1117" s="16" t="inlineStr">
        <is>
          <t>muestra de 300 puntos</t>
        </is>
      </c>
      <c r="E1117" s="16" t="inlineStr">
        <is>
          <t>KF-M04</t>
        </is>
      </c>
      <c r="F1117" s="16" t="inlineStr">
        <is>
          <t>KF-M04</t>
        </is>
      </c>
      <c r="G1117" s="16" t="inlineStr">
        <is>
          <t>B07</t>
        </is>
      </c>
      <c r="H1117" s="16" t="inlineStr">
        <is>
          <t>lhs</t>
        </is>
      </c>
      <c r="I1117" s="16" t="inlineStr">
        <is>
          <t>CORREGIBLE</t>
        </is>
      </c>
      <c r="J1117" s="16" t="inlineStr">
        <is>
          <t>CORREGIBLE</t>
        </is>
      </c>
      <c r="K1117" s="16" t="b">
        <v>1</v>
      </c>
      <c r="L1117" s="16" t="b">
        <v>0</v>
      </c>
      <c r="M1117" s="16" t="b">
        <v>1</v>
      </c>
      <c r="N1117" s="16" t="b">
        <v>0</v>
      </c>
      <c r="O1117" s="16" t="n">
        <v>466.0350615415864</v>
      </c>
      <c r="P1117" s="16" t="n">
        <v>285.4161220580795</v>
      </c>
      <c r="Q1117" s="16" t="n">
        <v>3078.579956871261</v>
      </c>
      <c r="R1117" s="16" t="n">
        <v>352.9775294322192</v>
      </c>
      <c r="S1117" s="16" t="n">
        <v>0.7688199788535048</v>
      </c>
      <c r="T1117" s="16" t="n">
        <v>0.7551560193969694</v>
      </c>
      <c r="U1117" s="16" t="n">
        <v>0.797267225013916</v>
      </c>
      <c r="V1117" s="16" t="n">
        <v>0.7433811491634654</v>
      </c>
      <c r="W1117" s="16" t="n">
        <v>0.8046557964724861</v>
      </c>
      <c r="X1117" s="16" t="n">
        <v>0.7323779137175982</v>
      </c>
      <c r="Y1117" s="16" t="n">
        <v>285.4161220580795</v>
      </c>
      <c r="Z1117" s="16" t="n">
        <v>4.50708975271851</v>
      </c>
      <c r="AA1117" s="16" t="n">
        <v>34.57886839810914</v>
      </c>
      <c r="AB1117" s="16" t="n">
        <v>2725.602427439041</v>
      </c>
      <c r="AC1117" s="16" t="n">
        <v>8.721744870908072</v>
      </c>
      <c r="AD1117" s="16" t="inlineStr">
        <is>
          <t>O2</t>
        </is>
      </c>
      <c r="AE1117" s="16" t="n"/>
    </row>
    <row r="1118">
      <c r="A1118" s="16" t="inlineStr">
        <is>
          <t>KF-M04-0046</t>
        </is>
      </c>
      <c r="B1118" s="16" t="inlineStr">
        <is>
          <t>3.2</t>
        </is>
      </c>
      <c r="C1118" s="16" t="inlineStr">
        <is>
          <t>3.2</t>
        </is>
      </c>
      <c r="D1118" s="16" t="inlineStr">
        <is>
          <t>muestra de 300 puntos</t>
        </is>
      </c>
      <c r="E1118" s="16" t="inlineStr">
        <is>
          <t>KF-M04</t>
        </is>
      </c>
      <c r="F1118" s="16" t="inlineStr">
        <is>
          <t>KF-M04</t>
        </is>
      </c>
      <c r="G1118" s="16" t="inlineStr">
        <is>
          <t>B07</t>
        </is>
      </c>
      <c r="H1118" s="16" t="inlineStr">
        <is>
          <t>lhs</t>
        </is>
      </c>
      <c r="I1118" s="16" t="inlineStr">
        <is>
          <t>KALINA</t>
        </is>
      </c>
      <c r="J1118" s="16" t="inlineStr">
        <is>
          <t>KALINA</t>
        </is>
      </c>
      <c r="K1118" s="16" t="b">
        <v>1</v>
      </c>
      <c r="L1118" s="16" t="b">
        <v>1</v>
      </c>
      <c r="M1118" s="16" t="b">
        <v>0</v>
      </c>
      <c r="N1118" s="16" t="b">
        <v>0</v>
      </c>
      <c r="O1118" s="16" t="n">
        <v>401.0183646473832</v>
      </c>
      <c r="P1118" s="16" t="n">
        <v>293.7711133866571</v>
      </c>
      <c r="Q1118" s="16" t="n">
        <v>2867.307731638073</v>
      </c>
      <c r="R1118" s="16" t="n">
        <v>683.1653366024228</v>
      </c>
      <c r="S1118" s="16" t="n">
        <v>0.6631892258220868</v>
      </c>
      <c r="T1118" s="16" t="n">
        <v>0.775476197856405</v>
      </c>
      <c r="U1118" s="16" t="n">
        <v>0.7697905616124896</v>
      </c>
      <c r="V1118" s="16" t="n">
        <v>0.6259791487526769</v>
      </c>
      <c r="W1118" s="16" t="n">
        <v>0.9027133344471832</v>
      </c>
      <c r="X1118" s="16" t="n">
        <v>0.9400288519209792</v>
      </c>
      <c r="Y1118" s="16" t="n">
        <v>293.7711133866571</v>
      </c>
      <c r="Z1118" s="16" t="n">
        <v>9.7055335668519</v>
      </c>
      <c r="AA1118" s="16" t="n">
        <v>47.58112849168716</v>
      </c>
      <c r="AB1118" s="16" t="n">
        <v>2184.14239503565</v>
      </c>
      <c r="AC1118" s="16" t="n">
        <v>4.197091945411072</v>
      </c>
      <c r="AD1118" s="16" t="n"/>
      <c r="AE1118" s="16" t="n"/>
    </row>
    <row r="1119">
      <c r="A1119" s="16" t="inlineStr">
        <is>
          <t>KF-M04-0047</t>
        </is>
      </c>
      <c r="B1119" s="16" t="inlineStr">
        <is>
          <t>3.2</t>
        </is>
      </c>
      <c r="C1119" s="16" t="inlineStr">
        <is>
          <t>3.2</t>
        </is>
      </c>
      <c r="D1119" s="16" t="inlineStr">
        <is>
          <t>muestra de 300 puntos</t>
        </is>
      </c>
      <c r="E1119" s="16" t="inlineStr">
        <is>
          <t>KF-M04</t>
        </is>
      </c>
      <c r="F1119" s="16" t="inlineStr">
        <is>
          <t>KF-M04</t>
        </is>
      </c>
      <c r="G1119" s="16" t="inlineStr">
        <is>
          <t>B07</t>
        </is>
      </c>
      <c r="H1119" s="16" t="inlineStr">
        <is>
          <t>lhs</t>
        </is>
      </c>
      <c r="I1119" s="16" t="inlineStr">
        <is>
          <t>CORREGIBLE</t>
        </is>
      </c>
      <c r="J1119" s="16" t="inlineStr">
        <is>
          <t>CORREGIBLE</t>
        </is>
      </c>
      <c r="K1119" s="16" t="b">
        <v>1</v>
      </c>
      <c r="L1119" s="16" t="b">
        <v>0</v>
      </c>
      <c r="M1119" s="16" t="b">
        <v>1</v>
      </c>
      <c r="N1119" s="16" t="b">
        <v>0</v>
      </c>
      <c r="O1119" s="16" t="n">
        <v>431.9705958069541</v>
      </c>
      <c r="P1119" s="16" t="n">
        <v>300.2046878698165</v>
      </c>
      <c r="Q1119" s="16" t="n">
        <v>2400.070852990964</v>
      </c>
      <c r="R1119" s="16" t="n">
        <v>420.327283379683</v>
      </c>
      <c r="S1119" s="16" t="n">
        <v>0.7606048629171405</v>
      </c>
      <c r="T1119" s="16" t="n">
        <v>0.7743198222497649</v>
      </c>
      <c r="U1119" s="16" t="n">
        <v>0.8369382843927968</v>
      </c>
      <c r="V1119" s="16" t="n">
        <v>0.7966919514299738</v>
      </c>
      <c r="W1119" s="16" t="n">
        <v>0.7797320220262007</v>
      </c>
      <c r="X1119" s="16" t="n">
        <v>0.7903542428114568</v>
      </c>
      <c r="Y1119" s="16" t="n">
        <v>300.2046878698165</v>
      </c>
      <c r="Z1119" s="16" t="n">
        <v>3.18148000405937</v>
      </c>
      <c r="AA1119" s="16" t="n">
        <v>21.4584152729914</v>
      </c>
      <c r="AB1119" s="16" t="n">
        <v>1979.743569611281</v>
      </c>
      <c r="AC1119" s="16" t="n">
        <v>5.710004912583731</v>
      </c>
      <c r="AD1119" s="16" t="inlineStr">
        <is>
          <t>O2</t>
        </is>
      </c>
      <c r="AE1119" s="16" t="n"/>
    </row>
    <row r="1120">
      <c r="A1120" s="16" t="inlineStr">
        <is>
          <t>KF-M04-0048</t>
        </is>
      </c>
      <c r="B1120" s="16" t="inlineStr">
        <is>
          <t>3.2</t>
        </is>
      </c>
      <c r="C1120" s="16" t="inlineStr">
        <is>
          <t>3.2</t>
        </is>
      </c>
      <c r="D1120" s="16" t="inlineStr">
        <is>
          <t>muestra de 300 puntos</t>
        </is>
      </c>
      <c r="E1120" s="16" t="inlineStr">
        <is>
          <t>KF-M04</t>
        </is>
      </c>
      <c r="F1120" s="16" t="inlineStr">
        <is>
          <t>KF-M04</t>
        </is>
      </c>
      <c r="G1120" s="16" t="inlineStr">
        <is>
          <t>B07</t>
        </is>
      </c>
      <c r="H1120" s="16" t="inlineStr">
        <is>
          <t>lhs</t>
        </is>
      </c>
      <c r="I1120" s="16" t="inlineStr">
        <is>
          <t>CORREGIBLE</t>
        </is>
      </c>
      <c r="J1120" s="16" t="inlineStr">
        <is>
          <t>CORREGIBLE</t>
        </is>
      </c>
      <c r="K1120" s="16" t="b">
        <v>1</v>
      </c>
      <c r="L1120" s="16" t="b">
        <v>0</v>
      </c>
      <c r="M1120" s="16" t="b">
        <v>1</v>
      </c>
      <c r="N1120" s="16" t="b">
        <v>0</v>
      </c>
      <c r="O1120" s="16" t="n">
        <v>448.9135094046675</v>
      </c>
      <c r="P1120" s="16" t="n">
        <v>297.8531980501525</v>
      </c>
      <c r="Q1120" s="16" t="n">
        <v>3405.599188785769</v>
      </c>
      <c r="R1120" s="16" t="n">
        <v>360.8034507215937</v>
      </c>
      <c r="S1120" s="16" t="n">
        <v>0.6384033115605754</v>
      </c>
      <c r="T1120" s="16" t="n">
        <v>0.915870323399786</v>
      </c>
      <c r="U1120" s="16" t="n">
        <v>0.8785328634630405</v>
      </c>
      <c r="V1120" s="16" t="n">
        <v>0.7181148669709033</v>
      </c>
      <c r="W1120" s="16" t="n">
        <v>0.8661370844968821</v>
      </c>
      <c r="X1120" s="16" t="n">
        <v>0.9494093711927932</v>
      </c>
      <c r="Y1120" s="16" t="n">
        <v>297.8531980501525</v>
      </c>
      <c r="Z1120" s="16" t="n">
        <v>15.86934188551473</v>
      </c>
      <c r="AA1120" s="16" t="n">
        <v>132.7561702743388</v>
      </c>
      <c r="AB1120" s="16" t="n">
        <v>3044.795738064175</v>
      </c>
      <c r="AC1120" s="16" t="n">
        <v>9.438931867127918</v>
      </c>
      <c r="AD1120" s="16" t="inlineStr">
        <is>
          <t>O1,O2</t>
        </is>
      </c>
      <c r="AE1120" s="16" t="n"/>
    </row>
    <row r="1121">
      <c r="A1121" s="16" t="inlineStr">
        <is>
          <t>KF-M04-0049</t>
        </is>
      </c>
      <c r="B1121" s="16" t="inlineStr">
        <is>
          <t>3.2</t>
        </is>
      </c>
      <c r="C1121" s="16" t="inlineStr">
        <is>
          <t>3.2</t>
        </is>
      </c>
      <c r="D1121" s="16" t="inlineStr">
        <is>
          <t>muestra de 300 puntos</t>
        </is>
      </c>
      <c r="E1121" s="16" t="inlineStr">
        <is>
          <t>KF-M04</t>
        </is>
      </c>
      <c r="F1121" s="16" t="inlineStr">
        <is>
          <t>KF-M04</t>
        </is>
      </c>
      <c r="G1121" s="16" t="inlineStr">
        <is>
          <t>B07</t>
        </is>
      </c>
      <c r="H1121" s="16" t="inlineStr">
        <is>
          <t>lhs</t>
        </is>
      </c>
      <c r="I1121" s="16" t="inlineStr">
        <is>
          <t>CORREGIBLE</t>
        </is>
      </c>
      <c r="J1121" s="16" t="inlineStr">
        <is>
          <t>CORREGIBLE</t>
        </is>
      </c>
      <c r="K1121" s="16" t="b">
        <v>1</v>
      </c>
      <c r="L1121" s="16" t="b">
        <v>0</v>
      </c>
      <c r="M1121" s="16" t="b">
        <v>0</v>
      </c>
      <c r="N1121" s="16" t="b">
        <v>0</v>
      </c>
      <c r="O1121" s="16" t="n">
        <v>413.0687111219252</v>
      </c>
      <c r="P1121" s="16" t="n">
        <v>299.4157416586254</v>
      </c>
      <c r="Q1121" s="16" t="n">
        <v>2513.999872790016</v>
      </c>
      <c r="R1121" s="16" t="n">
        <v>1369.564473386392</v>
      </c>
      <c r="S1121" s="16" t="n">
        <v>0.6340765514626279</v>
      </c>
      <c r="T1121" s="16" t="n">
        <v>0.7644180839104568</v>
      </c>
      <c r="U1121" s="16" t="n">
        <v>0.7336790855830703</v>
      </c>
      <c r="V1121" s="16" t="n">
        <v>0.8521204599482552</v>
      </c>
      <c r="W1121" s="16" t="n">
        <v>0.9106255412024288</v>
      </c>
      <c r="X1121" s="16" t="n">
        <v>0.7800210849071755</v>
      </c>
      <c r="Y1121" s="16" t="n">
        <v>299.4157416586254</v>
      </c>
      <c r="Z1121" s="16" t="n">
        <v>4.81682331184163</v>
      </c>
      <c r="AA1121" s="16" t="n">
        <v>35.58875679901028</v>
      </c>
      <c r="AB1121" s="16" t="n">
        <v>1144.435399403624</v>
      </c>
      <c r="AC1121" s="16" t="n">
        <v>1.835619951920837</v>
      </c>
      <c r="AD1121" s="16" t="inlineStr">
        <is>
          <t>O2</t>
        </is>
      </c>
      <c r="AE1121" s="16" t="n"/>
    </row>
    <row r="1122">
      <c r="A1122" s="16" t="inlineStr">
        <is>
          <t>KF-M04-0050</t>
        </is>
      </c>
      <c r="B1122" s="16" t="inlineStr">
        <is>
          <t>3.2</t>
        </is>
      </c>
      <c r="C1122" s="16" t="inlineStr">
        <is>
          <t>3.2</t>
        </is>
      </c>
      <c r="D1122" s="16" t="inlineStr">
        <is>
          <t>muestra de 300 puntos</t>
        </is>
      </c>
      <c r="E1122" s="16" t="inlineStr">
        <is>
          <t>KF-M04</t>
        </is>
      </c>
      <c r="F1122" s="16" t="inlineStr">
        <is>
          <t>KF-M04</t>
        </is>
      </c>
      <c r="G1122" s="16" t="inlineStr">
        <is>
          <t>B07</t>
        </is>
      </c>
      <c r="H1122" s="16" t="inlineStr">
        <is>
          <t>lhs</t>
        </is>
      </c>
      <c r="I1122" s="16" t="inlineStr">
        <is>
          <t>CORREGIBLE</t>
        </is>
      </c>
      <c r="J1122" s="16" t="inlineStr">
        <is>
          <t>CORREGIBLE</t>
        </is>
      </c>
      <c r="K1122" s="16" t="b">
        <v>1</v>
      </c>
      <c r="L1122" s="16" t="b">
        <v>0</v>
      </c>
      <c r="M1122" s="16" t="b">
        <v>1</v>
      </c>
      <c r="N1122" s="16" t="b">
        <v>0</v>
      </c>
      <c r="O1122" s="16" t="n">
        <v>481.6066659360639</v>
      </c>
      <c r="P1122" s="16" t="n">
        <v>303.5403871532023</v>
      </c>
      <c r="Q1122" s="16" t="n">
        <v>3030.708687305246</v>
      </c>
      <c r="R1122" s="16" t="n">
        <v>646.8009595769654</v>
      </c>
      <c r="S1122" s="16" t="n">
        <v>0.729331690692004</v>
      </c>
      <c r="T1122" s="16" t="n">
        <v>0.7533783271158493</v>
      </c>
      <c r="U1122" s="16" t="n">
        <v>0.69609712245696</v>
      </c>
      <c r="V1122" s="16" t="n">
        <v>0.7735089549851204</v>
      </c>
      <c r="W1122" s="16" t="n">
        <v>0.8633909049164121</v>
      </c>
      <c r="X1122" s="16" t="n">
        <v>0.8871660262977987</v>
      </c>
      <c r="Y1122" s="16" t="n">
        <v>303.5403871532023</v>
      </c>
      <c r="Z1122" s="16" t="n">
        <v>6.920280832670341</v>
      </c>
      <c r="AA1122" s="16" t="n">
        <v>77.03532129916243</v>
      </c>
      <c r="AB1122" s="16" t="n">
        <v>2383.90772772828</v>
      </c>
      <c r="AC1122" s="16" t="n">
        <v>4.685689843885598</v>
      </c>
      <c r="AD1122" s="16" t="inlineStr">
        <is>
          <t>O2</t>
        </is>
      </c>
      <c r="AE1122" s="16" t="n"/>
    </row>
    <row r="1123">
      <c r="A1123" s="16" t="inlineStr">
        <is>
          <t>KF-M04-0051</t>
        </is>
      </c>
      <c r="B1123" s="16" t="inlineStr">
        <is>
          <t>3.2</t>
        </is>
      </c>
      <c r="C1123" s="16" t="inlineStr">
        <is>
          <t>3.2</t>
        </is>
      </c>
      <c r="D1123" s="16" t="inlineStr">
        <is>
          <t>muestra de 300 puntos</t>
        </is>
      </c>
      <c r="E1123" s="16" t="inlineStr">
        <is>
          <t>KF-M04</t>
        </is>
      </c>
      <c r="F1123" s="16" t="inlineStr">
        <is>
          <t>KF-M04</t>
        </is>
      </c>
      <c r="G1123" s="16" t="inlineStr">
        <is>
          <t>B07</t>
        </is>
      </c>
      <c r="H1123" s="16" t="inlineStr">
        <is>
          <t>lhs</t>
        </is>
      </c>
      <c r="I1123" s="16" t="inlineStr">
        <is>
          <t>CORREGIBLE</t>
        </is>
      </c>
      <c r="J1123" s="16" t="inlineStr">
        <is>
          <t>CORREGIBLE</t>
        </is>
      </c>
      <c r="K1123" s="16" t="b">
        <v>1</v>
      </c>
      <c r="L1123" s="16" t="b">
        <v>0</v>
      </c>
      <c r="M1123" s="16" t="b">
        <v>0</v>
      </c>
      <c r="N1123" s="16" t="b">
        <v>0</v>
      </c>
      <c r="O1123" s="16" t="n">
        <v>454.4524045634307</v>
      </c>
      <c r="P1123" s="16" t="n">
        <v>284.9216731112575</v>
      </c>
      <c r="Q1123" s="16" t="n">
        <v>2450.961550052699</v>
      </c>
      <c r="R1123" s="16" t="n">
        <v>558.5324202654344</v>
      </c>
      <c r="S1123" s="16" t="n">
        <v>0.8336586903821034</v>
      </c>
      <c r="T1123" s="16" t="n">
        <v>0.8233006077442313</v>
      </c>
      <c r="U1123" s="16" t="n">
        <v>0.7067685056734802</v>
      </c>
      <c r="V1123" s="16" t="n">
        <v>0.6455156915563316</v>
      </c>
      <c r="W1123" s="16" t="n">
        <v>0.6762260250073405</v>
      </c>
      <c r="X1123" s="16" t="n">
        <v>0.8061493134662547</v>
      </c>
      <c r="Y1123" s="16" t="n">
        <v>284.9216731112575</v>
      </c>
      <c r="Z1123" s="16" t="n">
        <v>11.39867510913616</v>
      </c>
      <c r="AA1123" s="16" t="n">
        <v>118.5232719100042</v>
      </c>
      <c r="AB1123" s="16" t="n">
        <v>1892.429129787264</v>
      </c>
      <c r="AC1123" s="16" t="n">
        <v>4.388217158258986</v>
      </c>
      <c r="AD1123" s="16" t="inlineStr">
        <is>
          <t>O2</t>
        </is>
      </c>
      <c r="AE1123" s="16" t="n"/>
    </row>
    <row r="1124">
      <c r="A1124" s="16" t="inlineStr">
        <is>
          <t>KF-M04-0052</t>
        </is>
      </c>
      <c r="B1124" s="16" t="inlineStr">
        <is>
          <t>3.2</t>
        </is>
      </c>
      <c r="C1124" s="16" t="inlineStr">
        <is>
          <t>3.2</t>
        </is>
      </c>
      <c r="D1124" s="16" t="inlineStr">
        <is>
          <t>muestra de 300 puntos</t>
        </is>
      </c>
      <c r="E1124" s="16" t="inlineStr">
        <is>
          <t>KF-M04</t>
        </is>
      </c>
      <c r="F1124" s="16" t="inlineStr">
        <is>
          <t>KF-M04</t>
        </is>
      </c>
      <c r="G1124" s="16" t="inlineStr">
        <is>
          <t>B07</t>
        </is>
      </c>
      <c r="H1124" s="16" t="inlineStr">
        <is>
          <t>lhs</t>
        </is>
      </c>
      <c r="I1124" s="16" t="inlineStr">
        <is>
          <t>CORREGIBLE</t>
        </is>
      </c>
      <c r="J1124" s="16" t="inlineStr">
        <is>
          <t>CORREGIBLE</t>
        </is>
      </c>
      <c r="K1124" s="16" t="b">
        <v>1</v>
      </c>
      <c r="L1124" s="16" t="b">
        <v>0</v>
      </c>
      <c r="M1124" s="16" t="b">
        <v>1</v>
      </c>
      <c r="N1124" s="16" t="b">
        <v>0</v>
      </c>
      <c r="O1124" s="16" t="n">
        <v>465.6467574820703</v>
      </c>
      <c r="P1124" s="16" t="n">
        <v>282.2670984829656</v>
      </c>
      <c r="Q1124" s="16" t="n">
        <v>2481.439707073466</v>
      </c>
      <c r="R1124" s="16" t="n">
        <v>563.0065988906886</v>
      </c>
      <c r="S1124" s="16" t="n">
        <v>0.5534766571537423</v>
      </c>
      <c r="T1124" s="16" t="n">
        <v>0.8787538075205473</v>
      </c>
      <c r="U1124" s="16" t="n">
        <v>0.7345172217580278</v>
      </c>
      <c r="V1124" s="16" t="n">
        <v>0.8384746840278483</v>
      </c>
      <c r="W1124" s="16" t="n">
        <v>0.7646764697044111</v>
      </c>
      <c r="X1124" s="16" t="n">
        <v>0.845734610730803</v>
      </c>
      <c r="Y1124" s="16" t="n">
        <v>282.2670984829656</v>
      </c>
      <c r="Z1124" s="16" t="n">
        <v>10.93110261728568</v>
      </c>
      <c r="AA1124" s="16" t="n">
        <v>184.3470968875613</v>
      </c>
      <c r="AB1124" s="16" t="n">
        <v>1918.433108182777</v>
      </c>
      <c r="AC1124" s="16" t="n">
        <v>4.407478903378277</v>
      </c>
      <c r="AD1124" s="16" t="inlineStr">
        <is>
          <t>O2</t>
        </is>
      </c>
      <c r="AE1124" s="16" t="n"/>
    </row>
    <row r="1125">
      <c r="A1125" s="16" t="inlineStr">
        <is>
          <t>KF-M04-0053</t>
        </is>
      </c>
      <c r="B1125" s="16" t="inlineStr">
        <is>
          <t>3.2</t>
        </is>
      </c>
      <c r="C1125" s="16" t="inlineStr">
        <is>
          <t>3.2</t>
        </is>
      </c>
      <c r="D1125" s="16" t="inlineStr">
        <is>
          <t>muestra de 300 puntos</t>
        </is>
      </c>
      <c r="E1125" s="16" t="inlineStr">
        <is>
          <t>KF-M04</t>
        </is>
      </c>
      <c r="F1125" s="16" t="inlineStr">
        <is>
          <t>KF-M04</t>
        </is>
      </c>
      <c r="G1125" s="16" t="inlineStr">
        <is>
          <t>B07</t>
        </is>
      </c>
      <c r="H1125" s="16" t="inlineStr">
        <is>
          <t>lhs</t>
        </is>
      </c>
      <c r="I1125" s="16" t="inlineStr">
        <is>
          <t>CORREGIBLE</t>
        </is>
      </c>
      <c r="J1125" s="16" t="inlineStr">
        <is>
          <t>CORREGIBLE</t>
        </is>
      </c>
      <c r="K1125" s="16" t="b">
        <v>1</v>
      </c>
      <c r="L1125" s="16" t="b">
        <v>0</v>
      </c>
      <c r="M1125" s="16" t="b">
        <v>1</v>
      </c>
      <c r="N1125" s="16" t="b">
        <v>0</v>
      </c>
      <c r="O1125" s="16" t="n">
        <v>497.6431982644042</v>
      </c>
      <c r="P1125" s="16" t="n">
        <v>281.8018075939418</v>
      </c>
      <c r="Q1125" s="16" t="n">
        <v>2443.769872928237</v>
      </c>
      <c r="R1125" s="16" t="n">
        <v>867.7538884489124</v>
      </c>
      <c r="S1125" s="16" t="n">
        <v>0.5625615277652998</v>
      </c>
      <c r="T1125" s="16" t="n">
        <v>0.7846487934727513</v>
      </c>
      <c r="U1125" s="16" t="n">
        <v>0.7439813570048186</v>
      </c>
      <c r="V1125" s="16" t="n">
        <v>0.7990692220826269</v>
      </c>
      <c r="W1125" s="16" t="n">
        <v>0.779324121139729</v>
      </c>
      <c r="X1125" s="16" t="n">
        <v>0.8167209067408945</v>
      </c>
      <c r="Y1125" s="16" t="n">
        <v>281.8018075939418</v>
      </c>
      <c r="Z1125" s="16" t="n">
        <v>7.070850031084509</v>
      </c>
      <c r="AA1125" s="16" t="n">
        <v>115.0382191381277</v>
      </c>
      <c r="AB1125" s="16" t="n">
        <v>1576.015984479324</v>
      </c>
      <c r="AC1125" s="16" t="n">
        <v>2.816201581414302</v>
      </c>
      <c r="AD1125" s="16" t="inlineStr">
        <is>
          <t>O2</t>
        </is>
      </c>
      <c r="AE1125" s="16" t="n"/>
    </row>
    <row r="1126">
      <c r="A1126" s="16" t="inlineStr">
        <is>
          <t>KF-M04-0054</t>
        </is>
      </c>
      <c r="B1126" s="16" t="inlineStr">
        <is>
          <t>3.2</t>
        </is>
      </c>
      <c r="C1126" s="16" t="inlineStr">
        <is>
          <t>3.2</t>
        </is>
      </c>
      <c r="D1126" s="16" t="inlineStr">
        <is>
          <t>muestra de 300 puntos</t>
        </is>
      </c>
      <c r="E1126" s="16" t="inlineStr">
        <is>
          <t>KF-M04</t>
        </is>
      </c>
      <c r="F1126" s="16" t="inlineStr">
        <is>
          <t>KF-M04</t>
        </is>
      </c>
      <c r="G1126" s="16" t="inlineStr">
        <is>
          <t>B07</t>
        </is>
      </c>
      <c r="H1126" s="16" t="inlineStr">
        <is>
          <t>lhs</t>
        </is>
      </c>
      <c r="I1126" s="16" t="inlineStr">
        <is>
          <t>KALINA</t>
        </is>
      </c>
      <c r="J1126" s="16" t="inlineStr">
        <is>
          <t>KALINA</t>
        </is>
      </c>
      <c r="K1126" s="16" t="b">
        <v>1</v>
      </c>
      <c r="L1126" s="16" t="b">
        <v>1</v>
      </c>
      <c r="M1126" s="16" t="b">
        <v>0</v>
      </c>
      <c r="N1126" s="16" t="b">
        <v>0</v>
      </c>
      <c r="O1126" s="16" t="n">
        <v>442.581649298424</v>
      </c>
      <c r="P1126" s="16" t="n">
        <v>286.1519398002105</v>
      </c>
      <c r="Q1126" s="16" t="n">
        <v>2017.489853570583</v>
      </c>
      <c r="R1126" s="16" t="n">
        <v>1032.654294721409</v>
      </c>
      <c r="S1126" s="16" t="n">
        <v>0.7235830504858638</v>
      </c>
      <c r="T1126" s="16" t="n">
        <v>0.7882533720560152</v>
      </c>
      <c r="U1126" s="16" t="n">
        <v>0.7397615014985012</v>
      </c>
      <c r="V1126" s="16" t="n">
        <v>0.6807163880278051</v>
      </c>
      <c r="W1126" s="16" t="n">
        <v>0.8011904639823846</v>
      </c>
      <c r="X1126" s="16" t="n">
        <v>0.9148256759603082</v>
      </c>
      <c r="Y1126" s="16" t="n">
        <v>286.1519398002105</v>
      </c>
      <c r="Z1126" s="16" t="n">
        <v>5.23508402117855</v>
      </c>
      <c r="AA1126" s="16" t="n">
        <v>65.83221187760853</v>
      </c>
      <c r="AB1126" s="16" t="n">
        <v>984.835558849174</v>
      </c>
      <c r="AC1126" s="16" t="n">
        <v>1.953693374329949</v>
      </c>
      <c r="AD1126" s="16" t="n"/>
      <c r="AE1126" s="16" t="n"/>
    </row>
    <row r="1127">
      <c r="A1127" s="16" t="inlineStr">
        <is>
          <t>KF-M04-0055</t>
        </is>
      </c>
      <c r="B1127" s="16" t="inlineStr">
        <is>
          <t>3.2</t>
        </is>
      </c>
      <c r="C1127" s="16" t="inlineStr">
        <is>
          <t>3.2</t>
        </is>
      </c>
      <c r="D1127" s="16" t="inlineStr">
        <is>
          <t>muestra de 300 puntos</t>
        </is>
      </c>
      <c r="E1127" s="16" t="inlineStr">
        <is>
          <t>KF-M04</t>
        </is>
      </c>
      <c r="F1127" s="16" t="inlineStr">
        <is>
          <t>KF-M04</t>
        </is>
      </c>
      <c r="G1127" s="16" t="inlineStr">
        <is>
          <t>B07</t>
        </is>
      </c>
      <c r="H1127" s="16" t="inlineStr">
        <is>
          <t>lhs</t>
        </is>
      </c>
      <c r="I1127" s="16" t="inlineStr">
        <is>
          <t>CORREGIBLE</t>
        </is>
      </c>
      <c r="J1127" s="16" t="inlineStr">
        <is>
          <t>CORREGIBLE</t>
        </is>
      </c>
      <c r="K1127" s="16" t="b">
        <v>1</v>
      </c>
      <c r="L1127" s="16" t="b">
        <v>0</v>
      </c>
      <c r="M1127" s="16" t="b">
        <v>0</v>
      </c>
      <c r="N1127" s="16" t="b">
        <v>0</v>
      </c>
      <c r="O1127" s="16" t="n">
        <v>431.4348799026089</v>
      </c>
      <c r="P1127" s="16" t="n">
        <v>288.9564020624617</v>
      </c>
      <c r="Q1127" s="16" t="n">
        <v>4255.139848551047</v>
      </c>
      <c r="R1127" s="16" t="n">
        <v>1356.462328255324</v>
      </c>
      <c r="S1127" s="16" t="n">
        <v>0.7651069310076768</v>
      </c>
      <c r="T1127" s="16" t="n">
        <v>0.8819244848451793</v>
      </c>
      <c r="U1127" s="16" t="n">
        <v>0.8654596152830603</v>
      </c>
      <c r="V1127" s="16" t="n">
        <v>0.6412624175816226</v>
      </c>
      <c r="W1127" s="16" t="n">
        <v>0.6345869285775521</v>
      </c>
      <c r="X1127" s="16" t="n">
        <v>0.7060263983723891</v>
      </c>
      <c r="Y1127" s="16" t="n">
        <v>288.9564020624617</v>
      </c>
      <c r="Z1127" s="16" t="n">
        <v>10.24494733598503</v>
      </c>
      <c r="AA1127" s="16" t="n">
        <v>73.47662770320231</v>
      </c>
      <c r="AB1127" s="16" t="n">
        <v>2898.677520295724</v>
      </c>
      <c r="AC1127" s="16" t="n">
        <v>3.13693919832185</v>
      </c>
      <c r="AD1127" s="16" t="inlineStr">
        <is>
          <t>O2</t>
        </is>
      </c>
      <c r="AE1127" s="16" t="n"/>
    </row>
    <row r="1128">
      <c r="A1128" s="16" t="inlineStr">
        <is>
          <t>KF-M04-0056</t>
        </is>
      </c>
      <c r="B1128" s="16" t="inlineStr">
        <is>
          <t>3.2</t>
        </is>
      </c>
      <c r="C1128" s="16" t="inlineStr">
        <is>
          <t>3.2</t>
        </is>
      </c>
      <c r="D1128" s="16" t="inlineStr">
        <is>
          <t>muestra de 300 puntos</t>
        </is>
      </c>
      <c r="E1128" s="16" t="inlineStr">
        <is>
          <t>KF-M04</t>
        </is>
      </c>
      <c r="F1128" s="16" t="inlineStr">
        <is>
          <t>KF-M04</t>
        </is>
      </c>
      <c r="G1128" s="16" t="inlineStr">
        <is>
          <t>B07</t>
        </is>
      </c>
      <c r="H1128" s="16" t="inlineStr">
        <is>
          <t>lhs</t>
        </is>
      </c>
      <c r="I1128" s="16" t="inlineStr">
        <is>
          <t>KALINA</t>
        </is>
      </c>
      <c r="J1128" s="16" t="inlineStr">
        <is>
          <t>KALINA</t>
        </is>
      </c>
      <c r="K1128" s="16" t="b">
        <v>1</v>
      </c>
      <c r="L1128" s="16" t="b">
        <v>0</v>
      </c>
      <c r="M1128" s="16" t="b">
        <v>1</v>
      </c>
      <c r="N1128" s="16" t="b">
        <v>0</v>
      </c>
      <c r="O1128" s="16" t="n">
        <v>441.6389389471661</v>
      </c>
      <c r="P1128" s="16" t="n">
        <v>296.2469282064162</v>
      </c>
      <c r="Q1128" s="16" t="n">
        <v>3704.873890662413</v>
      </c>
      <c r="R1128" s="16" t="n">
        <v>920.1414585720509</v>
      </c>
      <c r="S1128" s="16" t="n">
        <v>0.5991824144255893</v>
      </c>
      <c r="T1128" s="16" t="n">
        <v>0.7693549781127424</v>
      </c>
      <c r="U1128" s="16" t="n">
        <v>0.6561623362659015</v>
      </c>
      <c r="V1128" s="16" t="n">
        <v>0.8246877687770225</v>
      </c>
      <c r="W1128" s="16" t="n">
        <v>0.8939641371115318</v>
      </c>
      <c r="X1128" s="16" t="n">
        <v>0.9293690742913056</v>
      </c>
      <c r="Y1128" s="16" t="n">
        <v>296.2469282064162</v>
      </c>
      <c r="Z1128" s="16" t="n">
        <v>9.31763803581058</v>
      </c>
      <c r="AA1128" s="16" t="n">
        <v>82.07874509156505</v>
      </c>
      <c r="AB1128" s="16" t="n">
        <v>2784.732432090362</v>
      </c>
      <c r="AC1128" s="16" t="n">
        <v>4.026417738433319</v>
      </c>
      <c r="AD1128" s="16" t="n"/>
      <c r="AE1128" s="16" t="n"/>
    </row>
    <row r="1129">
      <c r="A1129" s="16" t="inlineStr">
        <is>
          <t>KF-M04-0057</t>
        </is>
      </c>
      <c r="B1129" s="16" t="inlineStr">
        <is>
          <t>3.2</t>
        </is>
      </c>
      <c r="C1129" s="16" t="inlineStr">
        <is>
          <t>3.2</t>
        </is>
      </c>
      <c r="D1129" s="16" t="inlineStr">
        <is>
          <t>muestra de 300 puntos</t>
        </is>
      </c>
      <c r="E1129" s="16" t="inlineStr">
        <is>
          <t>KF-M04</t>
        </is>
      </c>
      <c r="F1129" s="16" t="inlineStr">
        <is>
          <t>KF-M04</t>
        </is>
      </c>
      <c r="G1129" s="16" t="inlineStr">
        <is>
          <t>B07</t>
        </is>
      </c>
      <c r="H1129" s="16" t="inlineStr">
        <is>
          <t>lhs</t>
        </is>
      </c>
      <c r="I1129" s="16" t="inlineStr">
        <is>
          <t>N2</t>
        </is>
      </c>
      <c r="J1129" s="16" t="inlineStr">
        <is>
          <t>NO_CONVERGIO</t>
        </is>
      </c>
      <c r="K1129" s="16" t="b">
        <v>0</v>
      </c>
      <c r="L1129" s="16" t="b">
        <v>0</v>
      </c>
      <c r="M1129" s="16" t="b">
        <v>1</v>
      </c>
      <c r="N1129" s="16" t="b">
        <v>0</v>
      </c>
      <c r="O1129" s="16" t="n">
        <v>485.4722257718874</v>
      </c>
      <c r="P1129" s="16" t="n">
        <v>300.9078308091403</v>
      </c>
      <c r="Q1129" s="16" t="n">
        <v>4629.425047427362</v>
      </c>
      <c r="R1129" s="16" t="n">
        <v>473.4522710708325</v>
      </c>
      <c r="S1129" s="16" t="n">
        <v>0.8096434659089193</v>
      </c>
      <c r="T1129" s="16" t="n">
        <v>0.8894384481436201</v>
      </c>
      <c r="U1129" s="16" t="n">
        <v>0.8012818557201955</v>
      </c>
      <c r="V1129" s="16" t="n">
        <v>0.9328008289237424</v>
      </c>
      <c r="W1129" s="16" t="n">
        <v>0.7973349610823929</v>
      </c>
      <c r="X1129" s="16" t="n">
        <v>0.8095458415044224</v>
      </c>
      <c r="Y1129" s="16" t="n">
        <v>300.9078308091403</v>
      </c>
      <c r="Z1129" s="16" t="n">
        <v>18.2622909306732</v>
      </c>
      <c r="AA1129" s="16" t="n">
        <v>120.6399215902034</v>
      </c>
      <c r="AB1129" s="16" t="n">
        <v>4155.97277635653</v>
      </c>
      <c r="AC1129" s="16" t="n">
        <v>9.778018462044216</v>
      </c>
      <c r="AD1129" s="16" t="inlineStr">
        <is>
          <t>N2,O1,O2,O5,C1,C3,C3</t>
        </is>
      </c>
      <c r="AE1129" s="16" t="n"/>
    </row>
    <row r="1130">
      <c r="A1130" s="16" t="inlineStr">
        <is>
          <t>KF-M04-0058</t>
        </is>
      </c>
      <c r="B1130" s="16" t="inlineStr">
        <is>
          <t>3.2</t>
        </is>
      </c>
      <c r="C1130" s="16" t="inlineStr">
        <is>
          <t>3.2</t>
        </is>
      </c>
      <c r="D1130" s="16" t="inlineStr">
        <is>
          <t>muestra de 300 puntos</t>
        </is>
      </c>
      <c r="E1130" s="16" t="inlineStr">
        <is>
          <t>KF-M04</t>
        </is>
      </c>
      <c r="F1130" s="16" t="inlineStr">
        <is>
          <t>KF-M04</t>
        </is>
      </c>
      <c r="G1130" s="16" t="inlineStr">
        <is>
          <t>B07</t>
        </is>
      </c>
      <c r="H1130" s="16" t="inlineStr">
        <is>
          <t>lhs</t>
        </is>
      </c>
      <c r="I1130" s="16" t="inlineStr">
        <is>
          <t>KALINA</t>
        </is>
      </c>
      <c r="J1130" s="16" t="inlineStr">
        <is>
          <t>KALINA</t>
        </is>
      </c>
      <c r="K1130" s="16" t="b">
        <v>1</v>
      </c>
      <c r="L1130" s="16" t="b">
        <v>0</v>
      </c>
      <c r="M1130" s="16" t="b">
        <v>1</v>
      </c>
      <c r="N1130" s="16" t="b">
        <v>0</v>
      </c>
      <c r="O1130" s="16" t="n">
        <v>449.9462098904523</v>
      </c>
      <c r="P1130" s="16" t="n">
        <v>281.9825684848797</v>
      </c>
      <c r="Q1130" s="16" t="n">
        <v>3850.001483062305</v>
      </c>
      <c r="R1130" s="16" t="n">
        <v>1479.809375298441</v>
      </c>
      <c r="S1130" s="16" t="n">
        <v>0.7120866220277036</v>
      </c>
      <c r="T1130" s="16" t="n">
        <v>0.8666513938482879</v>
      </c>
      <c r="U1130" s="16" t="n">
        <v>0.7811627987326794</v>
      </c>
      <c r="V1130" s="16" t="n">
        <v>0.8919502895082624</v>
      </c>
      <c r="W1130" s="16" t="n">
        <v>0.7300301725270746</v>
      </c>
      <c r="X1130" s="16" t="n">
        <v>0.924185483891858</v>
      </c>
      <c r="Y1130" s="16" t="n">
        <v>281.9825684848797</v>
      </c>
      <c r="Z1130" s="16" t="n">
        <v>7.6398972120168</v>
      </c>
      <c r="AA1130" s="16" t="n">
        <v>109.6457030644014</v>
      </c>
      <c r="AB1130" s="16" t="n">
        <v>2370.192107763864</v>
      </c>
      <c r="AC1130" s="16" t="n">
        <v>2.601687451997562</v>
      </c>
      <c r="AD1130" s="16" t="n"/>
      <c r="AE1130" s="16" t="n"/>
    </row>
    <row r="1131">
      <c r="A1131" s="16" t="inlineStr">
        <is>
          <t>KF-M04-0059</t>
        </is>
      </c>
      <c r="B1131" s="16" t="inlineStr">
        <is>
          <t>3.2</t>
        </is>
      </c>
      <c r="C1131" s="16" t="inlineStr">
        <is>
          <t>3.2</t>
        </is>
      </c>
      <c r="D1131" s="16" t="inlineStr">
        <is>
          <t>muestra de 300 puntos</t>
        </is>
      </c>
      <c r="E1131" s="16" t="inlineStr">
        <is>
          <t>KF-M04</t>
        </is>
      </c>
      <c r="F1131" s="16" t="inlineStr">
        <is>
          <t>KF-M04</t>
        </is>
      </c>
      <c r="G1131" s="16" t="inlineStr">
        <is>
          <t>B07</t>
        </is>
      </c>
      <c r="H1131" s="16" t="inlineStr">
        <is>
          <t>lhs</t>
        </is>
      </c>
      <c r="I1131" s="16" t="inlineStr">
        <is>
          <t>CORREGIBLE</t>
        </is>
      </c>
      <c r="J1131" s="16" t="inlineStr">
        <is>
          <t>CORREGIBLE</t>
        </is>
      </c>
      <c r="K1131" s="16" t="b">
        <v>1</v>
      </c>
      <c r="L1131" s="16" t="b">
        <v>0</v>
      </c>
      <c r="M1131" s="16" t="b">
        <v>0</v>
      </c>
      <c r="N1131" s="16" t="b">
        <v>0</v>
      </c>
      <c r="O1131" s="16" t="n">
        <v>388.0504086470886</v>
      </c>
      <c r="P1131" s="16" t="n">
        <v>292.3335787182065</v>
      </c>
      <c r="Q1131" s="16" t="n">
        <v>3574.837438754253</v>
      </c>
      <c r="R1131" s="16" t="n">
        <v>692.9450418666499</v>
      </c>
      <c r="S1131" s="16" t="n">
        <v>0.7550545443117485</v>
      </c>
      <c r="T1131" s="16" t="n">
        <v>0.7815520877123797</v>
      </c>
      <c r="U1131" s="16" t="n">
        <v>0.7798823706787497</v>
      </c>
      <c r="V1131" s="16" t="n">
        <v>0.8479918089342253</v>
      </c>
      <c r="W1131" s="16" t="n">
        <v>0.6069622906904949</v>
      </c>
      <c r="X1131" s="16" t="n">
        <v>0.9384095632816156</v>
      </c>
      <c r="Y1131" s="16" t="n">
        <v>292.3335787182065</v>
      </c>
      <c r="Z1131" s="16" t="n">
        <v>10.37810494276915</v>
      </c>
      <c r="AA1131" s="16" t="n">
        <v>68.46742656752691</v>
      </c>
      <c r="AB1131" s="16" t="n">
        <v>2881.892396887602</v>
      </c>
      <c r="AC1131" s="16" t="n">
        <v>5.158904707831351</v>
      </c>
      <c r="AD1131" s="16" t="inlineStr">
        <is>
          <t>O2</t>
        </is>
      </c>
      <c r="AE1131" s="16" t="n"/>
    </row>
    <row r="1132">
      <c r="A1132" s="16" t="inlineStr">
        <is>
          <t>KF-M04-0060</t>
        </is>
      </c>
      <c r="B1132" s="16" t="inlineStr">
        <is>
          <t>3.2</t>
        </is>
      </c>
      <c r="C1132" s="16" t="inlineStr">
        <is>
          <t>3.2</t>
        </is>
      </c>
      <c r="D1132" s="16" t="inlineStr">
        <is>
          <t>muestra de 300 puntos</t>
        </is>
      </c>
      <c r="E1132" s="16" t="inlineStr">
        <is>
          <t>KF-M04</t>
        </is>
      </c>
      <c r="F1132" s="16" t="inlineStr">
        <is>
          <t>KF-M04</t>
        </is>
      </c>
      <c r="G1132" s="16" t="inlineStr">
        <is>
          <t>B07</t>
        </is>
      </c>
      <c r="H1132" s="16" t="inlineStr">
        <is>
          <t>lhs</t>
        </is>
      </c>
      <c r="I1132" s="16" t="inlineStr">
        <is>
          <t>CORREGIBLE</t>
        </is>
      </c>
      <c r="J1132" s="16" t="inlineStr">
        <is>
          <t>CORREGIBLE</t>
        </is>
      </c>
      <c r="K1132" s="16" t="b">
        <v>1</v>
      </c>
      <c r="L1132" s="16" t="b">
        <v>0</v>
      </c>
      <c r="M1132" s="16" t="b">
        <v>1</v>
      </c>
      <c r="N1132" s="16" t="b">
        <v>0</v>
      </c>
      <c r="O1132" s="16" t="n">
        <v>450.1510747841302</v>
      </c>
      <c r="P1132" s="16" t="n">
        <v>302.4623431955463</v>
      </c>
      <c r="Q1132" s="16" t="n">
        <v>3018.433359479952</v>
      </c>
      <c r="R1132" s="16" t="n">
        <v>1078.952669389513</v>
      </c>
      <c r="S1132" s="16" t="n">
        <v>0.6406330522281973</v>
      </c>
      <c r="T1132" s="16" t="n">
        <v>0.8544297971807808</v>
      </c>
      <c r="U1132" s="16" t="n">
        <v>0.7659873738700598</v>
      </c>
      <c r="V1132" s="16" t="n">
        <v>0.7250626074540591</v>
      </c>
      <c r="W1132" s="16" t="n">
        <v>0.7811154960415949</v>
      </c>
      <c r="X1132" s="16" t="n">
        <v>0.8644227980468264</v>
      </c>
      <c r="Y1132" s="16" t="n">
        <v>302.4623431955463</v>
      </c>
      <c r="Z1132" s="16" t="n">
        <v>8.43271437468346</v>
      </c>
      <c r="AA1132" s="16" t="n">
        <v>94.80679154083978</v>
      </c>
      <c r="AB1132" s="16" t="n">
        <v>1939.480690090439</v>
      </c>
      <c r="AC1132" s="16" t="n">
        <v>2.797558637292055</v>
      </c>
      <c r="AD1132" s="16" t="inlineStr">
        <is>
          <t>O2</t>
        </is>
      </c>
      <c r="AE1132" s="16" t="n"/>
    </row>
    <row r="1133">
      <c r="A1133" s="16" t="inlineStr">
        <is>
          <t>KF-M04-0061</t>
        </is>
      </c>
      <c r="B1133" s="16" t="inlineStr">
        <is>
          <t>3.2</t>
        </is>
      </c>
      <c r="C1133" s="16" t="inlineStr">
        <is>
          <t>3.2</t>
        </is>
      </c>
      <c r="D1133" s="16" t="inlineStr">
        <is>
          <t>muestra de 300 puntos</t>
        </is>
      </c>
      <c r="E1133" s="16" t="inlineStr">
        <is>
          <t>KF-M04</t>
        </is>
      </c>
      <c r="F1133" s="16" t="inlineStr">
        <is>
          <t>KF-M04</t>
        </is>
      </c>
      <c r="G1133" s="16" t="inlineStr">
        <is>
          <t>B07</t>
        </is>
      </c>
      <c r="H1133" s="16" t="inlineStr">
        <is>
          <t>lhs</t>
        </is>
      </c>
      <c r="I1133" s="16" t="inlineStr">
        <is>
          <t>CORREGIBLE</t>
        </is>
      </c>
      <c r="J1133" s="16" t="inlineStr">
        <is>
          <t>CORREGIBLE</t>
        </is>
      </c>
      <c r="K1133" s="16" t="b">
        <v>1</v>
      </c>
      <c r="L1133" s="16" t="b">
        <v>0</v>
      </c>
      <c r="M1133" s="16" t="b">
        <v>1</v>
      </c>
      <c r="N1133" s="16" t="b">
        <v>0</v>
      </c>
      <c r="O1133" s="16" t="n">
        <v>472.0814298913929</v>
      </c>
      <c r="P1133" s="16" t="n">
        <v>293.591474769426</v>
      </c>
      <c r="Q1133" s="16" t="n">
        <v>3281.067918031492</v>
      </c>
      <c r="R1133" s="16" t="n">
        <v>817.3380022375281</v>
      </c>
      <c r="S1133" s="16" t="n">
        <v>0.6488115428558308</v>
      </c>
      <c r="T1133" s="16" t="n">
        <v>0.8714649450334933</v>
      </c>
      <c r="U1133" s="16" t="n">
        <v>0.8065912865577901</v>
      </c>
      <c r="V1133" s="16" t="n">
        <v>0.6540511038231496</v>
      </c>
      <c r="W1133" s="16" t="n">
        <v>0.6449764885027288</v>
      </c>
      <c r="X1133" s="16" t="n">
        <v>0.8381304023683068</v>
      </c>
      <c r="Y1133" s="16" t="n">
        <v>293.591474769426</v>
      </c>
      <c r="Z1133" s="16" t="n">
        <v>11.04252673461333</v>
      </c>
      <c r="AA1133" s="16" t="n">
        <v>134.1811215641151</v>
      </c>
      <c r="AB1133" s="16" t="n">
        <v>2463.729915793964</v>
      </c>
      <c r="AC1133" s="16" t="n">
        <v>4.014334227760494</v>
      </c>
      <c r="AD1133" s="16" t="inlineStr">
        <is>
          <t>O2</t>
        </is>
      </c>
      <c r="AE1133" s="16" t="n"/>
    </row>
    <row r="1134">
      <c r="A1134" s="16" t="inlineStr">
        <is>
          <t>KF-M04-0062</t>
        </is>
      </c>
      <c r="B1134" s="16" t="inlineStr">
        <is>
          <t>3.2</t>
        </is>
      </c>
      <c r="C1134" s="16" t="inlineStr">
        <is>
          <t>3.2</t>
        </is>
      </c>
      <c r="D1134" s="16" t="inlineStr">
        <is>
          <t>muestra de 300 puntos</t>
        </is>
      </c>
      <c r="E1134" s="16" t="inlineStr">
        <is>
          <t>KF-M04</t>
        </is>
      </c>
      <c r="F1134" s="16" t="inlineStr">
        <is>
          <t>KF-M04</t>
        </is>
      </c>
      <c r="G1134" s="16" t="inlineStr">
        <is>
          <t>B07</t>
        </is>
      </c>
      <c r="H1134" s="16" t="inlineStr">
        <is>
          <t>lhs</t>
        </is>
      </c>
      <c r="I1134" s="16" t="inlineStr">
        <is>
          <t>NO_CONVERGIO</t>
        </is>
      </c>
      <c r="J1134" s="16" t="inlineStr">
        <is>
          <t>NO_CONVERGIO</t>
        </is>
      </c>
      <c r="K1134" s="16" t="b">
        <v>0</v>
      </c>
      <c r="L1134" s="16" t="b">
        <v>0</v>
      </c>
      <c r="M1134" s="16" t="b">
        <v>0</v>
      </c>
      <c r="N1134" s="16" t="b">
        <v>0</v>
      </c>
      <c r="O1134" s="16" t="n">
        <v>467.7697722358823</v>
      </c>
      <c r="P1134" s="16" t="n">
        <v>290.6503877262643</v>
      </c>
      <c r="Q1134" s="16" t="n">
        <v>2851.532116984768</v>
      </c>
      <c r="R1134" s="16" t="n">
        <v>790.348167997955</v>
      </c>
      <c r="S1134" s="16" t="n">
        <v>0.710075190104513</v>
      </c>
      <c r="T1134" s="16" t="n">
        <v>0.8943881503955935</v>
      </c>
      <c r="U1134" s="16" t="n">
        <v>0.7025375879266849</v>
      </c>
      <c r="V1134" s="16" t="n">
        <v>0.8563482252902362</v>
      </c>
      <c r="W1134" s="16" t="n">
        <v>0.9317963625333956</v>
      </c>
      <c r="X1134" s="16" t="n">
        <v>0.9334080529796168</v>
      </c>
      <c r="Y1134" s="16" t="n">
        <v>290.6503877262643</v>
      </c>
      <c r="Z1134" s="16" t="n"/>
      <c r="AA1134" s="16" t="n"/>
      <c r="AB1134" s="16" t="n">
        <v>2061.183948986813</v>
      </c>
      <c r="AC1134" s="16" t="n">
        <v>3.607944235776538</v>
      </c>
      <c r="AD1134" s="16" t="n"/>
      <c r="AE1134" s="16" t="n"/>
    </row>
    <row r="1135">
      <c r="A1135" s="16" t="inlineStr">
        <is>
          <t>KF-M04-0063</t>
        </is>
      </c>
      <c r="B1135" s="16" t="inlineStr">
        <is>
          <t>3.2</t>
        </is>
      </c>
      <c r="C1135" s="16" t="inlineStr">
        <is>
          <t>3.2</t>
        </is>
      </c>
      <c r="D1135" s="16" t="inlineStr">
        <is>
          <t>muestra de 300 puntos</t>
        </is>
      </c>
      <c r="E1135" s="16" t="inlineStr">
        <is>
          <t>KF-M04</t>
        </is>
      </c>
      <c r="F1135" s="16" t="inlineStr">
        <is>
          <t>KF-M04</t>
        </is>
      </c>
      <c r="G1135" s="16" t="inlineStr">
        <is>
          <t>B07</t>
        </is>
      </c>
      <c r="H1135" s="16" t="inlineStr">
        <is>
          <t>lhs</t>
        </is>
      </c>
      <c r="I1135" s="16" t="inlineStr">
        <is>
          <t>CORREGIBLE</t>
        </is>
      </c>
      <c r="J1135" s="16" t="inlineStr">
        <is>
          <t>CORREGIBLE</t>
        </is>
      </c>
      <c r="K1135" s="16" t="b">
        <v>1</v>
      </c>
      <c r="L1135" s="16" t="b">
        <v>0</v>
      </c>
      <c r="M1135" s="16" t="b">
        <v>1</v>
      </c>
      <c r="N1135" s="16" t="b">
        <v>0</v>
      </c>
      <c r="O1135" s="16" t="n">
        <v>480.8593833638887</v>
      </c>
      <c r="P1135" s="16" t="n">
        <v>282.2095591049209</v>
      </c>
      <c r="Q1135" s="16" t="n">
        <v>4005.086734735974</v>
      </c>
      <c r="R1135" s="16" t="n">
        <v>455.2746919145687</v>
      </c>
      <c r="S1135" s="16" t="n">
        <v>0.8288118851231965</v>
      </c>
      <c r="T1135" s="16" t="n">
        <v>0.7682637070347775</v>
      </c>
      <c r="U1135" s="16" t="n">
        <v>0.765715678173197</v>
      </c>
      <c r="V1135" s="16" t="n">
        <v>0.7332425527342035</v>
      </c>
      <c r="W1135" s="16" t="n">
        <v>0.7177940744370952</v>
      </c>
      <c r="X1135" s="16" t="n">
        <v>0.7826582715702768</v>
      </c>
      <c r="Y1135" s="16" t="n">
        <v>282.2095591049209</v>
      </c>
      <c r="Z1135" s="16" t="n">
        <v>11.10847990198581</v>
      </c>
      <c r="AA1135" s="16" t="n">
        <v>104.5945645598695</v>
      </c>
      <c r="AB1135" s="16" t="n">
        <v>3549.812042821405</v>
      </c>
      <c r="AC1135" s="16" t="n">
        <v>8.797077469633473</v>
      </c>
      <c r="AD1135" s="16" t="inlineStr">
        <is>
          <t>O2</t>
        </is>
      </c>
      <c r="AE1135" s="16" t="n"/>
    </row>
    <row r="1136">
      <c r="A1136" s="16" t="inlineStr">
        <is>
          <t>KF-M04-0064</t>
        </is>
      </c>
      <c r="B1136" s="16" t="inlineStr">
        <is>
          <t>3.2</t>
        </is>
      </c>
      <c r="C1136" s="16" t="inlineStr">
        <is>
          <t>3.2</t>
        </is>
      </c>
      <c r="D1136" s="16" t="inlineStr">
        <is>
          <t>muestra de 300 puntos</t>
        </is>
      </c>
      <c r="E1136" s="16" t="inlineStr">
        <is>
          <t>KF-M04</t>
        </is>
      </c>
      <c r="F1136" s="16" t="inlineStr">
        <is>
          <t>KF-M04</t>
        </is>
      </c>
      <c r="G1136" s="16" t="inlineStr">
        <is>
          <t>B07</t>
        </is>
      </c>
      <c r="H1136" s="16" t="inlineStr">
        <is>
          <t>lhs</t>
        </is>
      </c>
      <c r="I1136" s="16" t="inlineStr">
        <is>
          <t>CORREGIBLE</t>
        </is>
      </c>
      <c r="J1136" s="16" t="inlineStr">
        <is>
          <t>CORREGIBLE</t>
        </is>
      </c>
      <c r="K1136" s="16" t="b">
        <v>1</v>
      </c>
      <c r="L1136" s="16" t="b">
        <v>0</v>
      </c>
      <c r="M1136" s="16" t="b">
        <v>1</v>
      </c>
      <c r="N1136" s="16" t="b">
        <v>0</v>
      </c>
      <c r="O1136" s="16" t="n">
        <v>467.5972586561853</v>
      </c>
      <c r="P1136" s="16" t="n">
        <v>288.1028215325082</v>
      </c>
      <c r="Q1136" s="16" t="n">
        <v>3228.728334354167</v>
      </c>
      <c r="R1136" s="16" t="n">
        <v>905.0515052357212</v>
      </c>
      <c r="S1136" s="16" t="n">
        <v>0.776987611691229</v>
      </c>
      <c r="T1136" s="16" t="n">
        <v>0.8200923806056249</v>
      </c>
      <c r="U1136" s="16" t="n">
        <v>0.8185899506813021</v>
      </c>
      <c r="V1136" s="16" t="n">
        <v>0.8834220512221207</v>
      </c>
      <c r="W1136" s="16" t="n">
        <v>0.6390943813332384</v>
      </c>
      <c r="X1136" s="16" t="n">
        <v>0.7824844345107167</v>
      </c>
      <c r="Y1136" s="16" t="n">
        <v>288.1028215325082</v>
      </c>
      <c r="Z1136" s="16" t="n">
        <v>9.729250001988749</v>
      </c>
      <c r="AA1136" s="16" t="n">
        <v>136.8672072474068</v>
      </c>
      <c r="AB1136" s="16" t="n">
        <v>2323.676829118445</v>
      </c>
      <c r="AC1136" s="16" t="n">
        <v>3.567452587699131</v>
      </c>
      <c r="AD1136" s="16" t="inlineStr">
        <is>
          <t>O2</t>
        </is>
      </c>
      <c r="AE1136" s="16" t="n"/>
    </row>
    <row r="1137">
      <c r="A1137" s="16" t="inlineStr">
        <is>
          <t>KF-M04-0065</t>
        </is>
      </c>
      <c r="B1137" s="16" t="inlineStr">
        <is>
          <t>3.2</t>
        </is>
      </c>
      <c r="C1137" s="16" t="inlineStr">
        <is>
          <t>3.2</t>
        </is>
      </c>
      <c r="D1137" s="16" t="inlineStr">
        <is>
          <t>muestra de 300 puntos</t>
        </is>
      </c>
      <c r="E1137" s="16" t="inlineStr">
        <is>
          <t>KF-M04</t>
        </is>
      </c>
      <c r="F1137" s="16" t="inlineStr">
        <is>
          <t>KF-M04</t>
        </is>
      </c>
      <c r="G1137" s="16" t="inlineStr">
        <is>
          <t>B07</t>
        </is>
      </c>
      <c r="H1137" s="16" t="inlineStr">
        <is>
          <t>lhs</t>
        </is>
      </c>
      <c r="I1137" s="16" t="inlineStr">
        <is>
          <t>NO_CONVERGIO</t>
        </is>
      </c>
      <c r="J1137" s="16" t="inlineStr">
        <is>
          <t>NO_CONVERGIO</t>
        </is>
      </c>
      <c r="K1137" s="16" t="b">
        <v>0</v>
      </c>
      <c r="L1137" s="16" t="b">
        <v>0</v>
      </c>
      <c r="M1137" s="16" t="b">
        <v>0</v>
      </c>
      <c r="N1137" s="16" t="b">
        <v>0</v>
      </c>
      <c r="O1137" s="16" t="n">
        <v>429.9353671450692</v>
      </c>
      <c r="P1137" s="16" t="n">
        <v>278.8592804824678</v>
      </c>
      <c r="Q1137" s="16" t="n">
        <v>2791.884670335216</v>
      </c>
      <c r="R1137" s="16" t="n">
        <v>1344.89126144369</v>
      </c>
      <c r="S1137" s="16" t="n">
        <v>0.7712681071272205</v>
      </c>
      <c r="T1137" s="16" t="n">
        <v>0.7875052356543569</v>
      </c>
      <c r="U1137" s="16" t="n">
        <v>0.8817627776942802</v>
      </c>
      <c r="V1137" s="16" t="n">
        <v>0.8612825626572577</v>
      </c>
      <c r="W1137" s="16" t="n">
        <v>0.9165702804304316</v>
      </c>
      <c r="X1137" s="16" t="n">
        <v>0.8563619477555122</v>
      </c>
      <c r="Y1137" s="16" t="n">
        <v>278.8592804824678</v>
      </c>
      <c r="Z1137" s="16" t="n"/>
      <c r="AA1137" s="16" t="n"/>
      <c r="AB1137" s="16" t="n">
        <v>1446.993408891526</v>
      </c>
      <c r="AC1137" s="16" t="n">
        <v>2.075918515031642</v>
      </c>
      <c r="AD1137" s="16" t="n"/>
      <c r="AE1137" s="16" t="n"/>
    </row>
    <row r="1138">
      <c r="A1138" s="16" t="inlineStr">
        <is>
          <t>KF-M04-0066</t>
        </is>
      </c>
      <c r="B1138" s="16" t="inlineStr">
        <is>
          <t>3.2</t>
        </is>
      </c>
      <c r="C1138" s="16" t="inlineStr">
        <is>
          <t>3.2</t>
        </is>
      </c>
      <c r="D1138" s="16" t="inlineStr">
        <is>
          <t>muestra de 300 puntos</t>
        </is>
      </c>
      <c r="E1138" s="16" t="inlineStr">
        <is>
          <t>KF-M04</t>
        </is>
      </c>
      <c r="F1138" s="16" t="inlineStr">
        <is>
          <t>KF-M04</t>
        </is>
      </c>
      <c r="G1138" s="16" t="inlineStr">
        <is>
          <t>B07</t>
        </is>
      </c>
      <c r="H1138" s="16" t="inlineStr">
        <is>
          <t>lhs</t>
        </is>
      </c>
      <c r="I1138" s="16" t="inlineStr">
        <is>
          <t>CORREGIBLE</t>
        </is>
      </c>
      <c r="J1138" s="16" t="inlineStr">
        <is>
          <t>CORREGIBLE</t>
        </is>
      </c>
      <c r="K1138" s="16" t="b">
        <v>1</v>
      </c>
      <c r="L1138" s="16" t="b">
        <v>0</v>
      </c>
      <c r="M1138" s="16" t="b">
        <v>1</v>
      </c>
      <c r="N1138" s="16" t="b">
        <v>0</v>
      </c>
      <c r="O1138" s="16" t="n">
        <v>499.1027210654145</v>
      </c>
      <c r="P1138" s="16" t="n">
        <v>298.0994531838887</v>
      </c>
      <c r="Q1138" s="16" t="n">
        <v>4928.023437908886</v>
      </c>
      <c r="R1138" s="16" t="n">
        <v>642.7835658994754</v>
      </c>
      <c r="S1138" s="16" t="n">
        <v>0.6314258620866475</v>
      </c>
      <c r="T1138" s="16" t="n">
        <v>0.7545178898809785</v>
      </c>
      <c r="U1138" s="16" t="n">
        <v>0.7114372493646737</v>
      </c>
      <c r="V1138" s="16" t="n">
        <v>0.6784870982793419</v>
      </c>
      <c r="W1138" s="16" t="n">
        <v>0.6733654793561269</v>
      </c>
      <c r="X1138" s="16" t="n">
        <v>0.7698307502524733</v>
      </c>
      <c r="Y1138" s="16" t="n">
        <v>298.0994531838887</v>
      </c>
      <c r="Z1138" s="16" t="n">
        <v>12.07365798840095</v>
      </c>
      <c r="AA1138" s="16" t="n">
        <v>144.16995698987</v>
      </c>
      <c r="AB1138" s="16" t="n">
        <v>4285.239872009411</v>
      </c>
      <c r="AC1138" s="16" t="n">
        <v>7.666691712960778</v>
      </c>
      <c r="AD1138" s="16" t="inlineStr">
        <is>
          <t>O2</t>
        </is>
      </c>
      <c r="AE1138" s="16" t="n"/>
    </row>
    <row r="1139">
      <c r="A1139" s="16" t="inlineStr">
        <is>
          <t>KF-M04-0067</t>
        </is>
      </c>
      <c r="B1139" s="16" t="inlineStr">
        <is>
          <t>3.2</t>
        </is>
      </c>
      <c r="C1139" s="16" t="inlineStr">
        <is>
          <t>3.2</t>
        </is>
      </c>
      <c r="D1139" s="16" t="inlineStr">
        <is>
          <t>muestra de 300 puntos</t>
        </is>
      </c>
      <c r="E1139" s="16" t="inlineStr">
        <is>
          <t>KF-M04</t>
        </is>
      </c>
      <c r="F1139" s="16" t="inlineStr">
        <is>
          <t>KF-M04</t>
        </is>
      </c>
      <c r="G1139" s="16" t="inlineStr">
        <is>
          <t>B07</t>
        </is>
      </c>
      <c r="H1139" s="16" t="inlineStr">
        <is>
          <t>lhs</t>
        </is>
      </c>
      <c r="I1139" s="16" t="inlineStr">
        <is>
          <t>CORREGIBLE</t>
        </is>
      </c>
      <c r="J1139" s="16" t="inlineStr">
        <is>
          <t>CORREGIBLE</t>
        </is>
      </c>
      <c r="K1139" s="16" t="b">
        <v>1</v>
      </c>
      <c r="L1139" s="16" t="b">
        <v>0</v>
      </c>
      <c r="M1139" s="16" t="b">
        <v>0</v>
      </c>
      <c r="N1139" s="16" t="b">
        <v>0</v>
      </c>
      <c r="O1139" s="16" t="n">
        <v>415.6943251831133</v>
      </c>
      <c r="P1139" s="16" t="n">
        <v>292.6168400955293</v>
      </c>
      <c r="Q1139" s="16" t="n">
        <v>3303.802097730111</v>
      </c>
      <c r="R1139" s="16" t="n">
        <v>1291.098246882884</v>
      </c>
      <c r="S1139" s="16" t="n">
        <v>0.7787644973326966</v>
      </c>
      <c r="T1139" s="16" t="n">
        <v>0.8963498330659128</v>
      </c>
      <c r="U1139" s="16" t="n">
        <v>0.7478276319958933</v>
      </c>
      <c r="V1139" s="16" t="n">
        <v>0.947006153193472</v>
      </c>
      <c r="W1139" s="16" t="n">
        <v>0.6612437976065836</v>
      </c>
      <c r="X1139" s="16" t="n">
        <v>0.7026891564359882</v>
      </c>
      <c r="Y1139" s="16" t="n">
        <v>292.6168400955293</v>
      </c>
      <c r="Z1139" s="16" t="n">
        <v>8.221903928932409</v>
      </c>
      <c r="AA1139" s="16" t="n">
        <v>74.80469852494274</v>
      </c>
      <c r="AB1139" s="16" t="n">
        <v>2012.703850847228</v>
      </c>
      <c r="AC1139" s="16" t="n">
        <v>2.558908360155028</v>
      </c>
      <c r="AD1139" s="16" t="inlineStr">
        <is>
          <t>O2</t>
        </is>
      </c>
      <c r="AE1139" s="16" t="n"/>
    </row>
    <row r="1140">
      <c r="A1140" s="16" t="inlineStr">
        <is>
          <t>KF-M04-0068</t>
        </is>
      </c>
      <c r="B1140" s="16" t="inlineStr">
        <is>
          <t>3.2</t>
        </is>
      </c>
      <c r="C1140" s="16" t="inlineStr">
        <is>
          <t>3.2</t>
        </is>
      </c>
      <c r="D1140" s="16" t="inlineStr">
        <is>
          <t>muestra de 300 puntos</t>
        </is>
      </c>
      <c r="E1140" s="16" t="inlineStr">
        <is>
          <t>KF-M04</t>
        </is>
      </c>
      <c r="F1140" s="16" t="inlineStr">
        <is>
          <t>KF-M04</t>
        </is>
      </c>
      <c r="G1140" s="16" t="inlineStr">
        <is>
          <t>B07</t>
        </is>
      </c>
      <c r="H1140" s="16" t="inlineStr">
        <is>
          <t>lhs</t>
        </is>
      </c>
      <c r="I1140" s="16" t="inlineStr">
        <is>
          <t>CORREGIBLE</t>
        </is>
      </c>
      <c r="J1140" s="16" t="inlineStr">
        <is>
          <t>CORREGIBLE</t>
        </is>
      </c>
      <c r="K1140" s="16" t="b">
        <v>1</v>
      </c>
      <c r="L1140" s="16" t="b">
        <v>0</v>
      </c>
      <c r="M1140" s="16" t="b">
        <v>0</v>
      </c>
      <c r="N1140" s="16" t="b">
        <v>0</v>
      </c>
      <c r="O1140" s="16" t="n">
        <v>395.1620930440915</v>
      </c>
      <c r="P1140" s="16" t="n">
        <v>289.1329149849346</v>
      </c>
      <c r="Q1140" s="16" t="n">
        <v>2676.464074572325</v>
      </c>
      <c r="R1140" s="16" t="n">
        <v>872.20860390269</v>
      </c>
      <c r="S1140" s="16" t="n">
        <v>0.8318178185710234</v>
      </c>
      <c r="T1140" s="16" t="n">
        <v>0.9080618696536634</v>
      </c>
      <c r="U1140" s="16" t="n">
        <v>0.7853414368129183</v>
      </c>
      <c r="V1140" s="16" t="n">
        <v>0.6823897946071529</v>
      </c>
      <c r="W1140" s="16" t="n">
        <v>0.70565504905049</v>
      </c>
      <c r="X1140" s="16" t="n">
        <v>0.8863006982831669</v>
      </c>
      <c r="Y1140" s="16" t="n">
        <v>289.1329149849346</v>
      </c>
      <c r="Z1140" s="16" t="n">
        <v>10.0887448480359</v>
      </c>
      <c r="AA1140" s="16" t="n">
        <v>79.28841737655893</v>
      </c>
      <c r="AB1140" s="16" t="n">
        <v>1804.255470669634</v>
      </c>
      <c r="AC1140" s="16" t="n">
        <v>3.068605448967722</v>
      </c>
      <c r="AD1140" s="16" t="inlineStr">
        <is>
          <t>O2</t>
        </is>
      </c>
      <c r="AE1140" s="16" t="n"/>
    </row>
    <row r="1141">
      <c r="A1141" s="16" t="inlineStr">
        <is>
          <t>KF-M04-0069</t>
        </is>
      </c>
      <c r="B1141" s="16" t="inlineStr">
        <is>
          <t>3.2</t>
        </is>
      </c>
      <c r="C1141" s="16" t="inlineStr">
        <is>
          <t>3.2</t>
        </is>
      </c>
      <c r="D1141" s="16" t="inlineStr">
        <is>
          <t>muestra de 300 puntos</t>
        </is>
      </c>
      <c r="E1141" s="16" t="inlineStr">
        <is>
          <t>KF-M04</t>
        </is>
      </c>
      <c r="F1141" s="16" t="inlineStr">
        <is>
          <t>KF-M04</t>
        </is>
      </c>
      <c r="G1141" s="16" t="inlineStr">
        <is>
          <t>B07</t>
        </is>
      </c>
      <c r="H1141" s="16" t="inlineStr">
        <is>
          <t>lhs</t>
        </is>
      </c>
      <c r="I1141" s="16" t="inlineStr">
        <is>
          <t>CORREGIBLE</t>
        </is>
      </c>
      <c r="J1141" s="16" t="inlineStr">
        <is>
          <t>CORREGIBLE</t>
        </is>
      </c>
      <c r="K1141" s="16" t="b">
        <v>1</v>
      </c>
      <c r="L1141" s="16" t="b">
        <v>0</v>
      </c>
      <c r="M1141" s="16" t="b">
        <v>1</v>
      </c>
      <c r="N1141" s="16" t="b">
        <v>0</v>
      </c>
      <c r="O1141" s="16" t="n">
        <v>453.5322675563567</v>
      </c>
      <c r="P1141" s="16" t="n">
        <v>280.5430793046254</v>
      </c>
      <c r="Q1141" s="16" t="n">
        <v>3316.573945453056</v>
      </c>
      <c r="R1141" s="16" t="n">
        <v>356.2369174502807</v>
      </c>
      <c r="S1141" s="16" t="n">
        <v>0.7389383281953887</v>
      </c>
      <c r="T1141" s="16" t="n">
        <v>0.8355975621785146</v>
      </c>
      <c r="U1141" s="16" t="n">
        <v>0.6861680724086203</v>
      </c>
      <c r="V1141" s="16" t="n">
        <v>0.8754764130064285</v>
      </c>
      <c r="W1141" s="16" t="n">
        <v>0.8024998412267326</v>
      </c>
      <c r="X1141" s="16" t="n">
        <v>0.9033320958877632</v>
      </c>
      <c r="Y1141" s="16" t="n">
        <v>280.5430793046254</v>
      </c>
      <c r="Z1141" s="16" t="n">
        <v>14.94097898046169</v>
      </c>
      <c r="AA1141" s="16" t="n">
        <v>211.5490036547579</v>
      </c>
      <c r="AB1141" s="16" t="n">
        <v>2960.337028002775</v>
      </c>
      <c r="AC1141" s="16" t="n">
        <v>9.310023141877044</v>
      </c>
      <c r="AD1141" s="16" t="inlineStr">
        <is>
          <t>O2</t>
        </is>
      </c>
      <c r="AE1141" s="16" t="n"/>
    </row>
    <row r="1142">
      <c r="A1142" s="16" t="inlineStr">
        <is>
          <t>KF-M04-0070</t>
        </is>
      </c>
      <c r="B1142" s="16" t="inlineStr">
        <is>
          <t>3.2</t>
        </is>
      </c>
      <c r="C1142" s="16" t="inlineStr">
        <is>
          <t>3.2</t>
        </is>
      </c>
      <c r="D1142" s="16" t="inlineStr">
        <is>
          <t>muestra de 300 puntos</t>
        </is>
      </c>
      <c r="E1142" s="16" t="inlineStr">
        <is>
          <t>KF-M04</t>
        </is>
      </c>
      <c r="F1142" s="16" t="inlineStr">
        <is>
          <t>KF-M04</t>
        </is>
      </c>
      <c r="G1142" s="16" t="inlineStr">
        <is>
          <t>B07</t>
        </is>
      </c>
      <c r="H1142" s="16" t="inlineStr">
        <is>
          <t>lhs</t>
        </is>
      </c>
      <c r="I1142" s="16" t="inlineStr">
        <is>
          <t>CORREGIBLE</t>
        </is>
      </c>
      <c r="J1142" s="16" t="inlineStr">
        <is>
          <t>CORREGIBLE</t>
        </is>
      </c>
      <c r="K1142" s="16" t="b">
        <v>1</v>
      </c>
      <c r="L1142" s="16" t="b">
        <v>0</v>
      </c>
      <c r="M1142" s="16" t="b">
        <v>0</v>
      </c>
      <c r="N1142" s="16" t="b">
        <v>0</v>
      </c>
      <c r="O1142" s="16" t="n">
        <v>413.7112457001846</v>
      </c>
      <c r="P1142" s="16" t="n">
        <v>294.7244307815627</v>
      </c>
      <c r="Q1142" s="16" t="n">
        <v>2838.322250845551</v>
      </c>
      <c r="R1142" s="16" t="n">
        <v>686.1759879230095</v>
      </c>
      <c r="S1142" s="16" t="n">
        <v>0.6033410265659798</v>
      </c>
      <c r="T1142" s="16" t="n">
        <v>0.9171601530066694</v>
      </c>
      <c r="U1142" s="16" t="n">
        <v>0.877982533452308</v>
      </c>
      <c r="V1142" s="16" t="n">
        <v>0.8538239929368847</v>
      </c>
      <c r="W1142" s="16" t="n">
        <v>0.7914748838977246</v>
      </c>
      <c r="X1142" s="16" t="n">
        <v>0.8186178275641436</v>
      </c>
      <c r="Y1142" s="16" t="n">
        <v>294.7244307815627</v>
      </c>
      <c r="Z1142" s="16" t="n">
        <v>11.75048108276897</v>
      </c>
      <c r="AA1142" s="16" t="n">
        <v>79.81729675456141</v>
      </c>
      <c r="AB1142" s="16" t="n">
        <v>2152.146262922542</v>
      </c>
      <c r="AC1142" s="16" t="n">
        <v>4.136434822554614</v>
      </c>
      <c r="AD1142" s="16" t="inlineStr">
        <is>
          <t>O2</t>
        </is>
      </c>
      <c r="AE1142" s="16" t="n"/>
    </row>
    <row r="1143">
      <c r="A1143" s="16" t="inlineStr">
        <is>
          <t>KF-M04-0071</t>
        </is>
      </c>
      <c r="B1143" s="16" t="inlineStr">
        <is>
          <t>3.2</t>
        </is>
      </c>
      <c r="C1143" s="16" t="inlineStr">
        <is>
          <t>3.2</t>
        </is>
      </c>
      <c r="D1143" s="16" t="inlineStr">
        <is>
          <t>muestra de 300 puntos</t>
        </is>
      </c>
      <c r="E1143" s="16" t="inlineStr">
        <is>
          <t>KF-M04</t>
        </is>
      </c>
      <c r="F1143" s="16" t="inlineStr">
        <is>
          <t>KF-M04</t>
        </is>
      </c>
      <c r="G1143" s="16" t="inlineStr">
        <is>
          <t>B07</t>
        </is>
      </c>
      <c r="H1143" s="16" t="inlineStr">
        <is>
          <t>lhs</t>
        </is>
      </c>
      <c r="I1143" s="16" t="inlineStr">
        <is>
          <t>INVIABLE</t>
        </is>
      </c>
      <c r="J1143" s="16" t="inlineStr">
        <is>
          <t>INVIABLE</t>
        </is>
      </c>
      <c r="K1143" s="16" t="b">
        <v>1</v>
      </c>
      <c r="L1143" s="16" t="b">
        <v>0</v>
      </c>
      <c r="M1143" s="16" t="b">
        <v>0</v>
      </c>
      <c r="N1143" s="16" t="b">
        <v>0</v>
      </c>
      <c r="O1143" s="16" t="n">
        <v>391.5257008929986</v>
      </c>
      <c r="P1143" s="16" t="n">
        <v>289.736295181852</v>
      </c>
      <c r="Q1143" s="16" t="n">
        <v>4344.178189114858</v>
      </c>
      <c r="R1143" s="16" t="n">
        <v>347.1354263099137</v>
      </c>
      <c r="S1143" s="16" t="n">
        <v>0.6110147198534143</v>
      </c>
      <c r="T1143" s="16" t="n">
        <v>0.8129359101034995</v>
      </c>
      <c r="U1143" s="16" t="n">
        <v>0.7138419836984848</v>
      </c>
      <c r="V1143" s="16" t="n">
        <v>0.7917845244596389</v>
      </c>
      <c r="W1143" s="16" t="n">
        <v>0.8872536842044505</v>
      </c>
      <c r="X1143" s="16" t="n">
        <v>0.7271187372795321</v>
      </c>
      <c r="Y1143" s="16" t="n">
        <v>289.736295181852</v>
      </c>
      <c r="Z1143" s="16" t="n">
        <v>-6.89221484716067</v>
      </c>
      <c r="AA1143" s="16" t="n">
        <v>-6.21701245745702</v>
      </c>
      <c r="AB1143" s="16" t="n">
        <v>3997.042762804945</v>
      </c>
      <c r="AC1143" s="16" t="n">
        <v>12.51436142745191</v>
      </c>
      <c r="AD1143" s="16" t="inlineStr">
        <is>
          <t>O2,O3</t>
        </is>
      </c>
      <c r="AE1143" s="16" t="n"/>
    </row>
    <row r="1144">
      <c r="A1144" s="16" t="inlineStr">
        <is>
          <t>KF-M04-0072</t>
        </is>
      </c>
      <c r="B1144" s="16" t="inlineStr">
        <is>
          <t>3.2</t>
        </is>
      </c>
      <c r="C1144" s="16" t="inlineStr">
        <is>
          <t>3.2</t>
        </is>
      </c>
      <c r="D1144" s="16" t="inlineStr">
        <is>
          <t>muestra de 300 puntos</t>
        </is>
      </c>
      <c r="E1144" s="16" t="inlineStr">
        <is>
          <t>KF-M04</t>
        </is>
      </c>
      <c r="F1144" s="16" t="inlineStr">
        <is>
          <t>KF-M04</t>
        </is>
      </c>
      <c r="G1144" s="16" t="inlineStr">
        <is>
          <t>B07</t>
        </is>
      </c>
      <c r="H1144" s="16" t="inlineStr">
        <is>
          <t>lhs</t>
        </is>
      </c>
      <c r="I1144" s="16" t="inlineStr">
        <is>
          <t>CORREGIBLE</t>
        </is>
      </c>
      <c r="J1144" s="16" t="inlineStr">
        <is>
          <t>CORREGIBLE</t>
        </is>
      </c>
      <c r="K1144" s="16" t="b">
        <v>1</v>
      </c>
      <c r="L1144" s="16" t="b">
        <v>0</v>
      </c>
      <c r="M1144" s="16" t="b">
        <v>1</v>
      </c>
      <c r="N1144" s="16" t="b">
        <v>0</v>
      </c>
      <c r="O1144" s="16" t="n">
        <v>474.2659238973538</v>
      </c>
      <c r="P1144" s="16" t="n">
        <v>288.2748759254328</v>
      </c>
      <c r="Q1144" s="16" t="n">
        <v>3143.410294842173</v>
      </c>
      <c r="R1144" s="16" t="n">
        <v>879.449791495599</v>
      </c>
      <c r="S1144" s="16" t="n">
        <v>0.6011849870325516</v>
      </c>
      <c r="T1144" s="16" t="n">
        <v>0.8350766462825436</v>
      </c>
      <c r="U1144" s="16" t="n">
        <v>0.8037273403676009</v>
      </c>
      <c r="V1144" s="16" t="n">
        <v>0.885565851864739</v>
      </c>
      <c r="W1144" s="16" t="n">
        <v>0.7044300649516471</v>
      </c>
      <c r="X1144" s="16" t="n">
        <v>0.916941544044672</v>
      </c>
      <c r="Y1144" s="16" t="n">
        <v>288.2748759254328</v>
      </c>
      <c r="Z1144" s="16" t="n">
        <v>9.170066754697521</v>
      </c>
      <c r="AA1144" s="16" t="n">
        <v>167.9473598437933</v>
      </c>
      <c r="AB1144" s="16" t="n">
        <v>2263.960503346574</v>
      </c>
      <c r="AC1144" s="16" t="n">
        <v>3.574291932568959</v>
      </c>
      <c r="AD1144" s="16" t="inlineStr">
        <is>
          <t>O2</t>
        </is>
      </c>
      <c r="AE1144" s="16" t="n"/>
    </row>
    <row r="1145">
      <c r="A1145" s="16" t="inlineStr">
        <is>
          <t>KF-M04-0073</t>
        </is>
      </c>
      <c r="B1145" s="16" t="inlineStr">
        <is>
          <t>3.2</t>
        </is>
      </c>
      <c r="C1145" s="16" t="inlineStr">
        <is>
          <t>3.2</t>
        </is>
      </c>
      <c r="D1145" s="16" t="inlineStr">
        <is>
          <t>muestra de 300 puntos</t>
        </is>
      </c>
      <c r="E1145" s="16" t="inlineStr">
        <is>
          <t>KF-M04</t>
        </is>
      </c>
      <c r="F1145" s="16" t="inlineStr">
        <is>
          <t>KF-M04</t>
        </is>
      </c>
      <c r="G1145" s="16" t="inlineStr">
        <is>
          <t>B07</t>
        </is>
      </c>
      <c r="H1145" s="16" t="inlineStr">
        <is>
          <t>lhs</t>
        </is>
      </c>
      <c r="I1145" s="16" t="inlineStr">
        <is>
          <t>KALINA</t>
        </is>
      </c>
      <c r="J1145" s="16" t="inlineStr">
        <is>
          <t>KALINA</t>
        </is>
      </c>
      <c r="K1145" s="16" t="b">
        <v>1</v>
      </c>
      <c r="L1145" s="16" t="b">
        <v>1</v>
      </c>
      <c r="M1145" s="16" t="b">
        <v>0</v>
      </c>
      <c r="N1145" s="16" t="b">
        <v>0</v>
      </c>
      <c r="O1145" s="16" t="n">
        <v>425.9743119534829</v>
      </c>
      <c r="P1145" s="16" t="n">
        <v>298.2585762930893</v>
      </c>
      <c r="Q1145" s="16" t="n">
        <v>4398.709578956598</v>
      </c>
      <c r="R1145" s="16" t="n">
        <v>634.296983018982</v>
      </c>
      <c r="S1145" s="16" t="n">
        <v>0.5141525341684267</v>
      </c>
      <c r="T1145" s="16" t="n">
        <v>0.8758769579827312</v>
      </c>
      <c r="U1145" s="16" t="n">
        <v>0.7494224261841647</v>
      </c>
      <c r="V1145" s="16" t="n">
        <v>0.6172262888272954</v>
      </c>
      <c r="W1145" s="16" t="n">
        <v>0.7333706995652053</v>
      </c>
      <c r="X1145" s="16" t="n">
        <v>0.9353469434155636</v>
      </c>
      <c r="Y1145" s="16" t="n">
        <v>298.2585762930893</v>
      </c>
      <c r="Z1145" s="16" t="n">
        <v>6.585735616744611</v>
      </c>
      <c r="AA1145" s="16" t="n">
        <v>19.20876816215942</v>
      </c>
      <c r="AB1145" s="16" t="n">
        <v>3764.412595937616</v>
      </c>
      <c r="AC1145" s="16" t="n">
        <v>6.934779285912136</v>
      </c>
      <c r="AD1145" s="16" t="n"/>
      <c r="AE1145" s="16" t="n"/>
    </row>
    <row r="1146">
      <c r="A1146" s="16" t="inlineStr">
        <is>
          <t>KF-M04-0074</t>
        </is>
      </c>
      <c r="B1146" s="16" t="inlineStr">
        <is>
          <t>3.2</t>
        </is>
      </c>
      <c r="C1146" s="16" t="inlineStr">
        <is>
          <t>3.2</t>
        </is>
      </c>
      <c r="D1146" s="16" t="inlineStr">
        <is>
          <t>muestra de 300 puntos</t>
        </is>
      </c>
      <c r="E1146" s="16" t="inlineStr">
        <is>
          <t>KF-M04</t>
        </is>
      </c>
      <c r="F1146" s="16" t="inlineStr">
        <is>
          <t>KF-M04</t>
        </is>
      </c>
      <c r="G1146" s="16" t="inlineStr">
        <is>
          <t>B07</t>
        </is>
      </c>
      <c r="H1146" s="16" t="inlineStr">
        <is>
          <t>lhs</t>
        </is>
      </c>
      <c r="I1146" s="16" t="inlineStr">
        <is>
          <t>CORREGIBLE</t>
        </is>
      </c>
      <c r="J1146" s="16" t="inlineStr">
        <is>
          <t>CORREGIBLE</t>
        </is>
      </c>
      <c r="K1146" s="16" t="b">
        <v>1</v>
      </c>
      <c r="L1146" s="16" t="b">
        <v>0</v>
      </c>
      <c r="M1146" s="16" t="b">
        <v>1</v>
      </c>
      <c r="N1146" s="16" t="b">
        <v>0</v>
      </c>
      <c r="O1146" s="16" t="n">
        <v>466.8534444960829</v>
      </c>
      <c r="P1146" s="16" t="n">
        <v>280.6084143120107</v>
      </c>
      <c r="Q1146" s="16" t="n">
        <v>2506.836026755731</v>
      </c>
      <c r="R1146" s="16" t="n">
        <v>351.5152451936569</v>
      </c>
      <c r="S1146" s="16" t="n">
        <v>0.826091887612153</v>
      </c>
      <c r="T1146" s="16" t="n">
        <v>0.8069449220714843</v>
      </c>
      <c r="U1146" s="16" t="n">
        <v>0.6678182115196547</v>
      </c>
      <c r="V1146" s="16" t="n">
        <v>0.8143241902167389</v>
      </c>
      <c r="W1146" s="16" t="n">
        <v>0.7095129647968299</v>
      </c>
      <c r="X1146" s="16" t="n">
        <v>0.7440816901880632</v>
      </c>
      <c r="Y1146" s="16" t="n">
        <v>280.6084143120107</v>
      </c>
      <c r="Z1146" s="16" t="n">
        <v>0.18334210888492</v>
      </c>
      <c r="AA1146" s="16" t="n">
        <v>1.320553198233597</v>
      </c>
      <c r="AB1146" s="16" t="n">
        <v>2155.320781562074</v>
      </c>
      <c r="AC1146" s="16" t="n">
        <v>7.131514382469142</v>
      </c>
      <c r="AD1146" s="16" t="inlineStr">
        <is>
          <t>O2</t>
        </is>
      </c>
      <c r="AE1146" s="16" t="n"/>
    </row>
    <row r="1147">
      <c r="A1147" s="16" t="inlineStr">
        <is>
          <t>KF-M04-0075</t>
        </is>
      </c>
      <c r="B1147" s="16" t="inlineStr">
        <is>
          <t>3.2</t>
        </is>
      </c>
      <c r="C1147" s="16" t="inlineStr">
        <is>
          <t>3.2</t>
        </is>
      </c>
      <c r="D1147" s="16" t="inlineStr">
        <is>
          <t>muestra de 300 puntos</t>
        </is>
      </c>
      <c r="E1147" s="16" t="inlineStr">
        <is>
          <t>KF-M04</t>
        </is>
      </c>
      <c r="F1147" s="16" t="inlineStr">
        <is>
          <t>KF-M04</t>
        </is>
      </c>
      <c r="G1147" s="16" t="inlineStr">
        <is>
          <t>B07</t>
        </is>
      </c>
      <c r="H1147" s="16" t="inlineStr">
        <is>
          <t>lhs</t>
        </is>
      </c>
      <c r="I1147" s="16" t="inlineStr">
        <is>
          <t>CORREGIBLE</t>
        </is>
      </c>
      <c r="J1147" s="16" t="inlineStr">
        <is>
          <t>CORREGIBLE</t>
        </is>
      </c>
      <c r="K1147" s="16" t="b">
        <v>1</v>
      </c>
      <c r="L1147" s="16" t="b">
        <v>0</v>
      </c>
      <c r="M1147" s="16" t="b">
        <v>1</v>
      </c>
      <c r="N1147" s="16" t="b">
        <v>0</v>
      </c>
      <c r="O1147" s="16" t="n">
        <v>488.1167383604388</v>
      </c>
      <c r="P1147" s="16" t="n">
        <v>280.2710127646671</v>
      </c>
      <c r="Q1147" s="16" t="n">
        <v>2650.571912221968</v>
      </c>
      <c r="R1147" s="16" t="n">
        <v>916.0635834815899</v>
      </c>
      <c r="S1147" s="16" t="n">
        <v>0.6477227722957831</v>
      </c>
      <c r="T1147" s="16" t="n">
        <v>0.8326262177204757</v>
      </c>
      <c r="U1147" s="16" t="n">
        <v>0.78991267127186</v>
      </c>
      <c r="V1147" s="16" t="n">
        <v>0.7848160729601701</v>
      </c>
      <c r="W1147" s="16" t="n">
        <v>0.8547087672607119</v>
      </c>
      <c r="X1147" s="16" t="n">
        <v>0.9001919053297861</v>
      </c>
      <c r="Y1147" s="16" t="n">
        <v>280.2710127646671</v>
      </c>
      <c r="Z1147" s="16" t="n">
        <v>8.022676926027019</v>
      </c>
      <c r="AA1147" s="16" t="n">
        <v>129.0605748029378</v>
      </c>
      <c r="AB1147" s="16" t="n">
        <v>1734.508328740379</v>
      </c>
      <c r="AC1147" s="16" t="n">
        <v>2.893436612934889</v>
      </c>
      <c r="AD1147" s="16" t="inlineStr">
        <is>
          <t>O2</t>
        </is>
      </c>
      <c r="AE1147" s="16" t="n"/>
    </row>
    <row r="1148">
      <c r="A1148" s="16" t="inlineStr">
        <is>
          <t>KF-M04-0076</t>
        </is>
      </c>
      <c r="B1148" s="16" t="inlineStr">
        <is>
          <t>3.2</t>
        </is>
      </c>
      <c r="C1148" s="16" t="inlineStr">
        <is>
          <t>3.2</t>
        </is>
      </c>
      <c r="D1148" s="16" t="inlineStr">
        <is>
          <t>muestra de 300 puntos</t>
        </is>
      </c>
      <c r="E1148" s="16" t="inlineStr">
        <is>
          <t>KF-M04</t>
        </is>
      </c>
      <c r="F1148" s="16" t="inlineStr">
        <is>
          <t>KF-M04</t>
        </is>
      </c>
      <c r="G1148" s="16" t="inlineStr">
        <is>
          <t>B07</t>
        </is>
      </c>
      <c r="H1148" s="16" t="inlineStr">
        <is>
          <t>lhs</t>
        </is>
      </c>
      <c r="I1148" s="16" t="inlineStr">
        <is>
          <t>KALINA</t>
        </is>
      </c>
      <c r="J1148" s="16" t="inlineStr">
        <is>
          <t>KALINA</t>
        </is>
      </c>
      <c r="K1148" s="16" t="b">
        <v>1</v>
      </c>
      <c r="L1148" s="16" t="b">
        <v>1</v>
      </c>
      <c r="M1148" s="16" t="b">
        <v>0</v>
      </c>
      <c r="N1148" s="16" t="b">
        <v>0</v>
      </c>
      <c r="O1148" s="16" t="n">
        <v>412.2969033939582</v>
      </c>
      <c r="P1148" s="16" t="n">
        <v>282.9530864519407</v>
      </c>
      <c r="Q1148" s="16" t="n">
        <v>3723.285290010011</v>
      </c>
      <c r="R1148" s="16" t="n">
        <v>1030.303377686404</v>
      </c>
      <c r="S1148" s="16" t="n">
        <v>0.5473817318176308</v>
      </c>
      <c r="T1148" s="16" t="n">
        <v>0.9097924384713304</v>
      </c>
      <c r="U1148" s="16" t="n">
        <v>0.8392561362583066</v>
      </c>
      <c r="V1148" s="16" t="n">
        <v>0.6272778751969192</v>
      </c>
      <c r="W1148" s="16" t="n">
        <v>0.6189841475039134</v>
      </c>
      <c r="X1148" s="16" t="n">
        <v>0.8415460754557184</v>
      </c>
      <c r="Y1148" s="16" t="n">
        <v>282.9530864519407</v>
      </c>
      <c r="Z1148" s="16" t="n">
        <v>4.70373958441919</v>
      </c>
      <c r="AA1148" s="16" t="n">
        <v>16.42188875307147</v>
      </c>
      <c r="AB1148" s="16" t="n">
        <v>2692.981912323607</v>
      </c>
      <c r="AC1148" s="16" t="n">
        <v>3.613775680684292</v>
      </c>
      <c r="AD1148" s="16" t="n"/>
      <c r="AE1148" s="16" t="n"/>
    </row>
    <row r="1149">
      <c r="A1149" s="16" t="inlineStr">
        <is>
          <t>KF-M04-0077</t>
        </is>
      </c>
      <c r="B1149" s="16" t="inlineStr">
        <is>
          <t>3.2</t>
        </is>
      </c>
      <c r="C1149" s="16" t="inlineStr">
        <is>
          <t>3.2</t>
        </is>
      </c>
      <c r="D1149" s="16" t="inlineStr">
        <is>
          <t>muestra de 300 puntos</t>
        </is>
      </c>
      <c r="E1149" s="16" t="inlineStr">
        <is>
          <t>KF-M04</t>
        </is>
      </c>
      <c r="F1149" s="16" t="inlineStr">
        <is>
          <t>KF-M04</t>
        </is>
      </c>
      <c r="G1149" s="16" t="inlineStr">
        <is>
          <t>B07</t>
        </is>
      </c>
      <c r="H1149" s="16" t="inlineStr">
        <is>
          <t>lhs</t>
        </is>
      </c>
      <c r="I1149" s="16" t="inlineStr">
        <is>
          <t>KALINA</t>
        </is>
      </c>
      <c r="J1149" s="16" t="inlineStr">
        <is>
          <t>KALINA</t>
        </is>
      </c>
      <c r="K1149" s="16" t="b">
        <v>1</v>
      </c>
      <c r="L1149" s="16" t="b">
        <v>0</v>
      </c>
      <c r="M1149" s="16" t="b">
        <v>1</v>
      </c>
      <c r="N1149" s="16" t="b">
        <v>0</v>
      </c>
      <c r="O1149" s="16" t="n">
        <v>490.7793329760802</v>
      </c>
      <c r="P1149" s="16" t="n">
        <v>287.8932543449095</v>
      </c>
      <c r="Q1149" s="16" t="n">
        <v>4594.559894457701</v>
      </c>
      <c r="R1149" s="16" t="n">
        <v>1315.78712921568</v>
      </c>
      <c r="S1149" s="16" t="n">
        <v>0.8205469667521443</v>
      </c>
      <c r="T1149" s="16" t="n">
        <v>0.8529193687177991</v>
      </c>
      <c r="U1149" s="16" t="n">
        <v>0.7303113672003082</v>
      </c>
      <c r="V1149" s="16" t="n">
        <v>0.8028137689205843</v>
      </c>
      <c r="W1149" s="16" t="n">
        <v>0.9263766884183912</v>
      </c>
      <c r="X1149" s="16" t="n">
        <v>0.9308272945162116</v>
      </c>
      <c r="Y1149" s="16" t="n">
        <v>287.8932543449095</v>
      </c>
      <c r="Z1149" s="16" t="n">
        <v>10.61019331739266</v>
      </c>
      <c r="AA1149" s="16" t="n">
        <v>152.5134313635932</v>
      </c>
      <c r="AB1149" s="16" t="n">
        <v>3278.772765242021</v>
      </c>
      <c r="AC1149" s="16" t="n">
        <v>3.491871741591244</v>
      </c>
      <c r="AD1149" s="16" t="n"/>
      <c r="AE1149" s="16" t="n"/>
    </row>
    <row r="1150">
      <c r="A1150" s="16" t="inlineStr">
        <is>
          <t>KF-M04-0078</t>
        </is>
      </c>
      <c r="B1150" s="16" t="inlineStr">
        <is>
          <t>3.2</t>
        </is>
      </c>
      <c r="C1150" s="16" t="inlineStr">
        <is>
          <t>3.2</t>
        </is>
      </c>
      <c r="D1150" s="16" t="inlineStr">
        <is>
          <t>muestra de 300 puntos</t>
        </is>
      </c>
      <c r="E1150" s="16" t="inlineStr">
        <is>
          <t>KF-M04</t>
        </is>
      </c>
      <c r="F1150" s="16" t="inlineStr">
        <is>
          <t>KF-M04</t>
        </is>
      </c>
      <c r="G1150" s="16" t="inlineStr">
        <is>
          <t>B07</t>
        </is>
      </c>
      <c r="H1150" s="16" t="inlineStr">
        <is>
          <t>lhs</t>
        </is>
      </c>
      <c r="I1150" s="16" t="inlineStr">
        <is>
          <t>CORREGIBLE</t>
        </is>
      </c>
      <c r="J1150" s="16" t="inlineStr">
        <is>
          <t>CORREGIBLE</t>
        </is>
      </c>
      <c r="K1150" s="16" t="b">
        <v>1</v>
      </c>
      <c r="L1150" s="16" t="b">
        <v>0</v>
      </c>
      <c r="M1150" s="16" t="b">
        <v>1</v>
      </c>
      <c r="N1150" s="16" t="b">
        <v>0</v>
      </c>
      <c r="O1150" s="16" t="n">
        <v>478.0322297286907</v>
      </c>
      <c r="P1150" s="16" t="n">
        <v>282.4627812760697</v>
      </c>
      <c r="Q1150" s="16" t="n">
        <v>2915.52601975683</v>
      </c>
      <c r="R1150" s="16" t="n">
        <v>1410.701913457753</v>
      </c>
      <c r="S1150" s="16" t="n">
        <v>0.7503205813715339</v>
      </c>
      <c r="T1150" s="16" t="n">
        <v>0.8194893053273515</v>
      </c>
      <c r="U1150" s="16" t="n">
        <v>0.8161104575950877</v>
      </c>
      <c r="V1150" s="16" t="n">
        <v>0.915892295976543</v>
      </c>
      <c r="W1150" s="16" t="n">
        <v>0.9094644786373188</v>
      </c>
      <c r="X1150" s="16" t="n">
        <v>0.7756213741163003</v>
      </c>
      <c r="Y1150" s="16" t="n">
        <v>282.4627812760697</v>
      </c>
      <c r="Z1150" s="16" t="n">
        <v>5.701421971518529</v>
      </c>
      <c r="AA1150" s="16" t="n">
        <v>86.67212862778788</v>
      </c>
      <c r="AB1150" s="16" t="n">
        <v>1504.824106299078</v>
      </c>
      <c r="AC1150" s="16" t="n">
        <v>2.066720114251935</v>
      </c>
      <c r="AD1150" s="16" t="inlineStr">
        <is>
          <t>O2</t>
        </is>
      </c>
      <c r="AE1150" s="16" t="n"/>
    </row>
    <row r="1151">
      <c r="A1151" s="16" t="inlineStr">
        <is>
          <t>KF-M04-0079</t>
        </is>
      </c>
      <c r="B1151" s="16" t="inlineStr">
        <is>
          <t>3.2</t>
        </is>
      </c>
      <c r="C1151" s="16" t="inlineStr">
        <is>
          <t>3.2</t>
        </is>
      </c>
      <c r="D1151" s="16" t="inlineStr">
        <is>
          <t>muestra de 300 puntos</t>
        </is>
      </c>
      <c r="E1151" s="16" t="inlineStr">
        <is>
          <t>KF-M04</t>
        </is>
      </c>
      <c r="F1151" s="16" t="inlineStr">
        <is>
          <t>KF-M04</t>
        </is>
      </c>
      <c r="G1151" s="16" t="inlineStr">
        <is>
          <t>B07</t>
        </is>
      </c>
      <c r="H1151" s="16" t="inlineStr">
        <is>
          <t>lhs</t>
        </is>
      </c>
      <c r="I1151" s="16" t="inlineStr">
        <is>
          <t>KALINA</t>
        </is>
      </c>
      <c r="J1151" s="16" t="inlineStr">
        <is>
          <t>KALINA</t>
        </is>
      </c>
      <c r="K1151" s="16" t="b">
        <v>1</v>
      </c>
      <c r="L1151" s="16" t="b">
        <v>1</v>
      </c>
      <c r="M1151" s="16" t="b">
        <v>0</v>
      </c>
      <c r="N1151" s="16" t="b">
        <v>0</v>
      </c>
      <c r="O1151" s="16" t="n">
        <v>398.9900607298841</v>
      </c>
      <c r="P1151" s="16" t="n">
        <v>302.8141179316266</v>
      </c>
      <c r="Q1151" s="16" t="n">
        <v>3429.232588331723</v>
      </c>
      <c r="R1151" s="16" t="n">
        <v>1190.441137421511</v>
      </c>
      <c r="S1151" s="16" t="n">
        <v>0.6141329673467544</v>
      </c>
      <c r="T1151" s="16" t="n">
        <v>0.7662952637122482</v>
      </c>
      <c r="U1151" s="16" t="n">
        <v>0.8849029220149718</v>
      </c>
      <c r="V1151" s="16" t="n">
        <v>0.9019759637040392</v>
      </c>
      <c r="W1151" s="16" t="n">
        <v>0.8311004570087164</v>
      </c>
      <c r="X1151" s="16" t="n">
        <v>0.8535233065529394</v>
      </c>
      <c r="Y1151" s="16" t="n">
        <v>302.8141179316266</v>
      </c>
      <c r="Z1151" s="16" t="n">
        <v>6.95694159418966</v>
      </c>
      <c r="AA1151" s="16" t="n">
        <v>30.77663870139845</v>
      </c>
      <c r="AB1151" s="16" t="n">
        <v>2238.791450910212</v>
      </c>
      <c r="AC1151" s="16" t="n">
        <v>2.880640193398745</v>
      </c>
      <c r="AD1151" s="16" t="n"/>
      <c r="AE1151" s="16" t="n"/>
    </row>
    <row r="1152">
      <c r="A1152" s="16" t="inlineStr">
        <is>
          <t>KF-M04-0080</t>
        </is>
      </c>
      <c r="B1152" s="16" t="inlineStr">
        <is>
          <t>3.2</t>
        </is>
      </c>
      <c r="C1152" s="16" t="inlineStr">
        <is>
          <t>3.2</t>
        </is>
      </c>
      <c r="D1152" s="16" t="inlineStr">
        <is>
          <t>muestra de 300 puntos</t>
        </is>
      </c>
      <c r="E1152" s="16" t="inlineStr">
        <is>
          <t>KF-M04</t>
        </is>
      </c>
      <c r="F1152" s="16" t="inlineStr">
        <is>
          <t>KF-M04</t>
        </is>
      </c>
      <c r="G1152" s="16" t="inlineStr">
        <is>
          <t>B07</t>
        </is>
      </c>
      <c r="H1152" s="16" t="inlineStr">
        <is>
          <t>lhs</t>
        </is>
      </c>
      <c r="I1152" s="16" t="inlineStr">
        <is>
          <t>KALINA</t>
        </is>
      </c>
      <c r="J1152" s="16" t="inlineStr">
        <is>
          <t>KALINA</t>
        </is>
      </c>
      <c r="K1152" s="16" t="b">
        <v>1</v>
      </c>
      <c r="L1152" s="16" t="b">
        <v>1</v>
      </c>
      <c r="M1152" s="16" t="b">
        <v>0</v>
      </c>
      <c r="N1152" s="16" t="b">
        <v>0</v>
      </c>
      <c r="O1152" s="16" t="n">
        <v>392.6827090885004</v>
      </c>
      <c r="P1152" s="16" t="n">
        <v>290.2494994047851</v>
      </c>
      <c r="Q1152" s="16" t="n">
        <v>4148.967785517323</v>
      </c>
      <c r="R1152" s="16" t="n">
        <v>1026.519909177539</v>
      </c>
      <c r="S1152" s="16" t="n">
        <v>0.7133957133092119</v>
      </c>
      <c r="T1152" s="16" t="n">
        <v>0.8136629444379546</v>
      </c>
      <c r="U1152" s="16" t="n">
        <v>0.6539917299853152</v>
      </c>
      <c r="V1152" s="16" t="n">
        <v>0.7688339458433313</v>
      </c>
      <c r="W1152" s="16" t="n">
        <v>0.8499846817682796</v>
      </c>
      <c r="X1152" s="16" t="n">
        <v>0.8089725746004464</v>
      </c>
      <c r="Y1152" s="16" t="n">
        <v>290.2494994047851</v>
      </c>
      <c r="Z1152" s="16" t="n">
        <v>9.074359536581619</v>
      </c>
      <c r="AA1152" s="16" t="n">
        <v>37.04644189210595</v>
      </c>
      <c r="AB1152" s="16" t="n">
        <v>3122.447876339785</v>
      </c>
      <c r="AC1152" s="16" t="n">
        <v>4.041780143203974</v>
      </c>
      <c r="AD1152" s="16" t="n"/>
      <c r="AE1152" s="16" t="n"/>
    </row>
    <row r="1153">
      <c r="A1153" s="16" t="inlineStr">
        <is>
          <t>KF-M04-0081</t>
        </is>
      </c>
      <c r="B1153" s="16" t="inlineStr">
        <is>
          <t>3.2</t>
        </is>
      </c>
      <c r="C1153" s="16" t="inlineStr">
        <is>
          <t>3.2</t>
        </is>
      </c>
      <c r="D1153" s="16" t="inlineStr">
        <is>
          <t>muestra de 300 puntos</t>
        </is>
      </c>
      <c r="E1153" s="16" t="inlineStr">
        <is>
          <t>KF-M04</t>
        </is>
      </c>
      <c r="F1153" s="16" t="inlineStr">
        <is>
          <t>KF-M04</t>
        </is>
      </c>
      <c r="G1153" s="16" t="inlineStr">
        <is>
          <t>B07</t>
        </is>
      </c>
      <c r="H1153" s="16" t="inlineStr">
        <is>
          <t>lhs</t>
        </is>
      </c>
      <c r="I1153" s="16" t="inlineStr">
        <is>
          <t>CORREGIBLE</t>
        </is>
      </c>
      <c r="J1153" s="16" t="inlineStr">
        <is>
          <t>CORREGIBLE</t>
        </is>
      </c>
      <c r="K1153" s="16" t="b">
        <v>1</v>
      </c>
      <c r="L1153" s="16" t="b">
        <v>0</v>
      </c>
      <c r="M1153" s="16" t="b">
        <v>0</v>
      </c>
      <c r="N1153" s="16" t="b">
        <v>0</v>
      </c>
      <c r="O1153" s="16" t="n">
        <v>413.4396520086486</v>
      </c>
      <c r="P1153" s="16" t="n">
        <v>291.4544189178858</v>
      </c>
      <c r="Q1153" s="16" t="n">
        <v>2733.313616845958</v>
      </c>
      <c r="R1153" s="16" t="n">
        <v>573.7505473881051</v>
      </c>
      <c r="S1153" s="16" t="n">
        <v>0.6545426601959826</v>
      </c>
      <c r="T1153" s="16" t="n">
        <v>0.9004862475850816</v>
      </c>
      <c r="U1153" s="16" t="n">
        <v>0.7457442384436903</v>
      </c>
      <c r="V1153" s="16" t="n">
        <v>0.7143889373267853</v>
      </c>
      <c r="W1153" s="16" t="n">
        <v>0.9427902861322288</v>
      </c>
      <c r="X1153" s="16" t="n">
        <v>0.8948996285723276</v>
      </c>
      <c r="Y1153" s="16" t="n">
        <v>291.4544189178858</v>
      </c>
      <c r="Z1153" s="16" t="n">
        <v>13.09825221462849</v>
      </c>
      <c r="AA1153" s="16" t="n">
        <v>88.74901408940254</v>
      </c>
      <c r="AB1153" s="16" t="n">
        <v>2159.563069457853</v>
      </c>
      <c r="AC1153" s="16" t="n">
        <v>4.763940756638701</v>
      </c>
      <c r="AD1153" s="16" t="inlineStr">
        <is>
          <t>O2</t>
        </is>
      </c>
      <c r="AE1153" s="16" t="n"/>
    </row>
    <row r="1154">
      <c r="A1154" s="16" t="inlineStr">
        <is>
          <t>KF-M04-0082</t>
        </is>
      </c>
      <c r="B1154" s="16" t="inlineStr">
        <is>
          <t>3.2</t>
        </is>
      </c>
      <c r="C1154" s="16" t="inlineStr">
        <is>
          <t>3.2</t>
        </is>
      </c>
      <c r="D1154" s="16" t="inlineStr">
        <is>
          <t>muestra de 300 puntos</t>
        </is>
      </c>
      <c r="E1154" s="16" t="inlineStr">
        <is>
          <t>KF-M04</t>
        </is>
      </c>
      <c r="F1154" s="16" t="inlineStr">
        <is>
          <t>KF-M04</t>
        </is>
      </c>
      <c r="G1154" s="16" t="inlineStr">
        <is>
          <t>B07</t>
        </is>
      </c>
      <c r="H1154" s="16" t="inlineStr">
        <is>
          <t>lhs</t>
        </is>
      </c>
      <c r="I1154" s="16" t="inlineStr">
        <is>
          <t>KALINA</t>
        </is>
      </c>
      <c r="J1154" s="16" t="inlineStr">
        <is>
          <t>KALINA</t>
        </is>
      </c>
      <c r="K1154" s="16" t="b">
        <v>1</v>
      </c>
      <c r="L1154" s="16" t="b">
        <v>0</v>
      </c>
      <c r="M1154" s="16" t="b">
        <v>1</v>
      </c>
      <c r="N1154" s="16" t="b">
        <v>0</v>
      </c>
      <c r="O1154" s="16" t="n">
        <v>450.5876775316502</v>
      </c>
      <c r="P1154" s="16" t="n">
        <v>282.1040831161979</v>
      </c>
      <c r="Q1154" s="16" t="n">
        <v>2262.470168526241</v>
      </c>
      <c r="R1154" s="16" t="n">
        <v>1454.83498234847</v>
      </c>
      <c r="S1154" s="16" t="n">
        <v>0.5844227708410078</v>
      </c>
      <c r="T1154" s="16" t="n">
        <v>0.8120762850487404</v>
      </c>
      <c r="U1154" s="16" t="n">
        <v>0.8701798751107959</v>
      </c>
      <c r="V1154" s="16" t="n">
        <v>0.8015577521942722</v>
      </c>
      <c r="W1154" s="16" t="n">
        <v>0.7633696802528094</v>
      </c>
      <c r="X1154" s="16" t="n">
        <v>0.8776815948993253</v>
      </c>
      <c r="Y1154" s="16" t="n">
        <v>282.1040831161979</v>
      </c>
      <c r="Z1154" s="16" t="n">
        <v>3.2907645762116</v>
      </c>
      <c r="AA1154" s="16" t="n">
        <v>51.20972706237875</v>
      </c>
      <c r="AB1154" s="16" t="n">
        <v>807.6351861777716</v>
      </c>
      <c r="AC1154" s="16" t="n">
        <v>1.555138689938597</v>
      </c>
      <c r="AD1154" s="16" t="n"/>
      <c r="AE1154" s="16" t="n"/>
    </row>
    <row r="1155">
      <c r="A1155" s="16" t="inlineStr">
        <is>
          <t>KF-M04-0083</t>
        </is>
      </c>
      <c r="B1155" s="16" t="inlineStr">
        <is>
          <t>3.2</t>
        </is>
      </c>
      <c r="C1155" s="16" t="inlineStr">
        <is>
          <t>3.2</t>
        </is>
      </c>
      <c r="D1155" s="16" t="inlineStr">
        <is>
          <t>muestra de 300 puntos</t>
        </is>
      </c>
      <c r="E1155" s="16" t="inlineStr">
        <is>
          <t>KF-M04</t>
        </is>
      </c>
      <c r="F1155" s="16" t="inlineStr">
        <is>
          <t>KF-M04</t>
        </is>
      </c>
      <c r="G1155" s="16" t="inlineStr">
        <is>
          <t>B07</t>
        </is>
      </c>
      <c r="H1155" s="16" t="inlineStr">
        <is>
          <t>lhs</t>
        </is>
      </c>
      <c r="I1155" s="16" t="inlineStr">
        <is>
          <t>CORREGIBLE</t>
        </is>
      </c>
      <c r="J1155" s="16" t="inlineStr">
        <is>
          <t>CORREGIBLE</t>
        </is>
      </c>
      <c r="K1155" s="16" t="b">
        <v>1</v>
      </c>
      <c r="L1155" s="16" t="b">
        <v>0</v>
      </c>
      <c r="M1155" s="16" t="b">
        <v>1</v>
      </c>
      <c r="N1155" s="16" t="b">
        <v>0</v>
      </c>
      <c r="O1155" s="16" t="n">
        <v>453.6955651486761</v>
      </c>
      <c r="P1155" s="16" t="n">
        <v>294.1991028828788</v>
      </c>
      <c r="Q1155" s="16" t="n">
        <v>4717.402847573444</v>
      </c>
      <c r="R1155" s="16" t="n">
        <v>1094.439040364149</v>
      </c>
      <c r="S1155" s="16" t="n">
        <v>0.6462913110790672</v>
      </c>
      <c r="T1155" s="16" t="n">
        <v>0.8281186344496253</v>
      </c>
      <c r="U1155" s="16" t="n">
        <v>0.7285072555938081</v>
      </c>
      <c r="V1155" s="16" t="n">
        <v>0.9423538470084298</v>
      </c>
      <c r="W1155" s="16" t="n">
        <v>0.9294114868950272</v>
      </c>
      <c r="X1155" s="16" t="n">
        <v>0.7670256084804735</v>
      </c>
      <c r="Y1155" s="16" t="n">
        <v>294.1991028828788</v>
      </c>
      <c r="Z1155" s="16" t="n">
        <v>11.41172532113685</v>
      </c>
      <c r="AA1155" s="16" t="n">
        <v>117.94797632053</v>
      </c>
      <c r="AB1155" s="16" t="n">
        <v>3622.963807209295</v>
      </c>
      <c r="AC1155" s="16" t="n">
        <v>4.310338605980137</v>
      </c>
      <c r="AD1155" s="16" t="inlineStr">
        <is>
          <t>O2</t>
        </is>
      </c>
      <c r="AE1155" s="16" t="n"/>
    </row>
    <row r="1156">
      <c r="A1156" s="16" t="inlineStr">
        <is>
          <t>KF-M04-0084</t>
        </is>
      </c>
      <c r="B1156" s="16" t="inlineStr">
        <is>
          <t>3.2</t>
        </is>
      </c>
      <c r="C1156" s="16" t="inlineStr">
        <is>
          <t>3.2</t>
        </is>
      </c>
      <c r="D1156" s="16" t="inlineStr">
        <is>
          <t>muestra de 300 puntos</t>
        </is>
      </c>
      <c r="E1156" s="16" t="inlineStr">
        <is>
          <t>KF-M04</t>
        </is>
      </c>
      <c r="F1156" s="16" t="inlineStr">
        <is>
          <t>KF-M04</t>
        </is>
      </c>
      <c r="G1156" s="16" t="inlineStr">
        <is>
          <t>B07</t>
        </is>
      </c>
      <c r="H1156" s="16" t="inlineStr">
        <is>
          <t>lhs</t>
        </is>
      </c>
      <c r="I1156" s="16" t="inlineStr">
        <is>
          <t>NO_CONVERGIO</t>
        </is>
      </c>
      <c r="J1156" s="16" t="inlineStr">
        <is>
          <t>NO_CONVERGIO</t>
        </is>
      </c>
      <c r="K1156" s="16" t="b">
        <v>0</v>
      </c>
      <c r="L1156" s="16" t="b">
        <v>0</v>
      </c>
      <c r="M1156" s="16" t="b">
        <v>0</v>
      </c>
      <c r="N1156" s="16" t="b">
        <v>0</v>
      </c>
      <c r="O1156" s="16" t="n">
        <v>487.4566462979166</v>
      </c>
      <c r="P1156" s="16" t="n">
        <v>300.7520042268899</v>
      </c>
      <c r="Q1156" s="16" t="n">
        <v>4669.085636046515</v>
      </c>
      <c r="R1156" s="16" t="n">
        <v>1082.754051648912</v>
      </c>
      <c r="S1156" s="16" t="n">
        <v>0.6660423570921101</v>
      </c>
      <c r="T1156" s="16" t="n">
        <v>0.9028957503446768</v>
      </c>
      <c r="U1156" s="16" t="n">
        <v>0.8833322525003988</v>
      </c>
      <c r="V1156" s="16" t="n">
        <v>0.8370607713561149</v>
      </c>
      <c r="W1156" s="16" t="n">
        <v>0.7160784433993884</v>
      </c>
      <c r="X1156" s="16" t="n">
        <v>0.7960937856147992</v>
      </c>
      <c r="Y1156" s="16" t="n">
        <v>300.7520042268899</v>
      </c>
      <c r="Z1156" s="16" t="n"/>
      <c r="AA1156" s="16" t="n"/>
      <c r="AB1156" s="16" t="n">
        <v>3586.331584397602</v>
      </c>
      <c r="AC1156" s="16" t="n">
        <v>4.312231045393942</v>
      </c>
      <c r="AD1156" s="16" t="n"/>
      <c r="AE1156" s="16" t="n"/>
    </row>
    <row r="1157">
      <c r="A1157" s="16" t="inlineStr">
        <is>
          <t>KF-M04-0085</t>
        </is>
      </c>
      <c r="B1157" s="16" t="inlineStr">
        <is>
          <t>3.2</t>
        </is>
      </c>
      <c r="C1157" s="16" t="inlineStr">
        <is>
          <t>3.2</t>
        </is>
      </c>
      <c r="D1157" s="16" t="inlineStr">
        <is>
          <t>muestra de 300 puntos</t>
        </is>
      </c>
      <c r="E1157" s="16" t="inlineStr">
        <is>
          <t>KF-M04</t>
        </is>
      </c>
      <c r="F1157" s="16" t="inlineStr">
        <is>
          <t>KF-M04</t>
        </is>
      </c>
      <c r="G1157" s="16" t="inlineStr">
        <is>
          <t>B07</t>
        </is>
      </c>
      <c r="H1157" s="16" t="inlineStr">
        <is>
          <t>lhs</t>
        </is>
      </c>
      <c r="I1157" s="16" t="inlineStr">
        <is>
          <t>INVIABLE</t>
        </is>
      </c>
      <c r="J1157" s="16" t="inlineStr">
        <is>
          <t>INVIABLE</t>
        </is>
      </c>
      <c r="K1157" s="16" t="b">
        <v>1</v>
      </c>
      <c r="L1157" s="16" t="b">
        <v>0</v>
      </c>
      <c r="M1157" s="16" t="b">
        <v>0</v>
      </c>
      <c r="N1157" s="16" t="b">
        <v>0</v>
      </c>
      <c r="O1157" s="16" t="n">
        <v>385.5400150181342</v>
      </c>
      <c r="P1157" s="16" t="n">
        <v>283.3593484584791</v>
      </c>
      <c r="Q1157" s="16" t="n">
        <v>4275.300864904254</v>
      </c>
      <c r="R1157" s="16" t="n">
        <v>782.5254515338474</v>
      </c>
      <c r="S1157" s="16" t="n">
        <v>0.6611273868949203</v>
      </c>
      <c r="T1157" s="16" t="n">
        <v>0.7773247253301913</v>
      </c>
      <c r="U1157" s="16" t="n">
        <v>0.8671705137035546</v>
      </c>
      <c r="V1157" s="16" t="n">
        <v>0.6671287816211204</v>
      </c>
      <c r="W1157" s="16" t="n">
        <v>0.6131534660649063</v>
      </c>
      <c r="X1157" s="16" t="n">
        <v>0.8615114553526353</v>
      </c>
      <c r="Y1157" s="16" t="n">
        <v>283.3593484584791</v>
      </c>
      <c r="Z1157" s="16" t="n">
        <v>-0.8672284361867699</v>
      </c>
      <c r="AA1157" s="16" t="n">
        <v>-1.721405543790563</v>
      </c>
      <c r="AB1157" s="16" t="n">
        <v>3492.775413370407</v>
      </c>
      <c r="AC1157" s="16" t="n">
        <v>5.463465573578637</v>
      </c>
      <c r="AD1157" s="16" t="inlineStr">
        <is>
          <t>O3</t>
        </is>
      </c>
      <c r="AE1157" s="16" t="n"/>
    </row>
    <row r="1158">
      <c r="A1158" s="16" t="inlineStr">
        <is>
          <t>KF-M04-0086</t>
        </is>
      </c>
      <c r="B1158" s="16" t="inlineStr">
        <is>
          <t>3.2</t>
        </is>
      </c>
      <c r="C1158" s="16" t="inlineStr">
        <is>
          <t>3.2</t>
        </is>
      </c>
      <c r="D1158" s="16" t="inlineStr">
        <is>
          <t>muestra de 300 puntos</t>
        </is>
      </c>
      <c r="E1158" s="16" t="inlineStr">
        <is>
          <t>KF-M04</t>
        </is>
      </c>
      <c r="F1158" s="16" t="inlineStr">
        <is>
          <t>KF-M04</t>
        </is>
      </c>
      <c r="G1158" s="16" t="inlineStr">
        <is>
          <t>B07</t>
        </is>
      </c>
      <c r="H1158" s="16" t="inlineStr">
        <is>
          <t>lhs</t>
        </is>
      </c>
      <c r="I1158" s="16" t="inlineStr">
        <is>
          <t>CORREGIBLE</t>
        </is>
      </c>
      <c r="J1158" s="16" t="inlineStr">
        <is>
          <t>CORREGIBLE</t>
        </is>
      </c>
      <c r="K1158" s="16" t="b">
        <v>1</v>
      </c>
      <c r="L1158" s="16" t="b">
        <v>0</v>
      </c>
      <c r="M1158" s="16" t="b">
        <v>1</v>
      </c>
      <c r="N1158" s="16" t="b">
        <v>0</v>
      </c>
      <c r="O1158" s="16" t="n">
        <v>490.8569959440714</v>
      </c>
      <c r="P1158" s="16" t="n">
        <v>296.3968084523796</v>
      </c>
      <c r="Q1158" s="16" t="n">
        <v>3836.013417784205</v>
      </c>
      <c r="R1158" s="16" t="n">
        <v>457.3944215455086</v>
      </c>
      <c r="S1158" s="16" t="n">
        <v>0.5196958580866796</v>
      </c>
      <c r="T1158" s="16" t="n">
        <v>0.8478807027661912</v>
      </c>
      <c r="U1158" s="16" t="n">
        <v>0.7528307360817396</v>
      </c>
      <c r="V1158" s="16" t="n">
        <v>0.6364974366703936</v>
      </c>
      <c r="W1158" s="16" t="n">
        <v>0.8963703489079959</v>
      </c>
      <c r="X1158" s="16" t="n">
        <v>0.8219829005544436</v>
      </c>
      <c r="Y1158" s="16" t="n">
        <v>296.3968084523796</v>
      </c>
      <c r="Z1158" s="16" t="n">
        <v>14.67140677690331</v>
      </c>
      <c r="AA1158" s="16" t="n">
        <v>180.3666111779749</v>
      </c>
      <c r="AB1158" s="16" t="n">
        <v>3378.618996238696</v>
      </c>
      <c r="AC1158" s="16" t="n">
        <v>8.386664194159918</v>
      </c>
      <c r="AD1158" s="16" t="inlineStr">
        <is>
          <t>O1,O2</t>
        </is>
      </c>
      <c r="AE1158" s="16" t="n"/>
    </row>
    <row r="1159">
      <c r="A1159" s="16" t="inlineStr">
        <is>
          <t>KF-M04-0087</t>
        </is>
      </c>
      <c r="B1159" s="16" t="inlineStr">
        <is>
          <t>3.2</t>
        </is>
      </c>
      <c r="C1159" s="16" t="inlineStr">
        <is>
          <t>3.2</t>
        </is>
      </c>
      <c r="D1159" s="16" t="inlineStr">
        <is>
          <t>muestra de 300 puntos</t>
        </is>
      </c>
      <c r="E1159" s="16" t="inlineStr">
        <is>
          <t>KF-M04</t>
        </is>
      </c>
      <c r="F1159" s="16" t="inlineStr">
        <is>
          <t>KF-M04</t>
        </is>
      </c>
      <c r="G1159" s="16" t="inlineStr">
        <is>
          <t>B07</t>
        </is>
      </c>
      <c r="H1159" s="16" t="inlineStr">
        <is>
          <t>lhs</t>
        </is>
      </c>
      <c r="I1159" s="16" t="inlineStr">
        <is>
          <t>CORREGIBLE</t>
        </is>
      </c>
      <c r="J1159" s="16" t="inlineStr">
        <is>
          <t>CORREGIBLE</t>
        </is>
      </c>
      <c r="K1159" s="16" t="b">
        <v>1</v>
      </c>
      <c r="L1159" s="16" t="b">
        <v>0</v>
      </c>
      <c r="M1159" s="16" t="b">
        <v>1</v>
      </c>
      <c r="N1159" s="16" t="b">
        <v>0</v>
      </c>
      <c r="O1159" s="16" t="n">
        <v>453.1300820564006</v>
      </c>
      <c r="P1159" s="16" t="n">
        <v>285.5668128650289</v>
      </c>
      <c r="Q1159" s="16" t="n">
        <v>3053.239598013821</v>
      </c>
      <c r="R1159" s="16" t="n">
        <v>520.2115908612054</v>
      </c>
      <c r="S1159" s="16" t="n">
        <v>0.7258676949963092</v>
      </c>
      <c r="T1159" s="16" t="n">
        <v>0.899648298456344</v>
      </c>
      <c r="U1159" s="16" t="n">
        <v>0.8981168895382025</v>
      </c>
      <c r="V1159" s="16" t="n">
        <v>0.891494707916376</v>
      </c>
      <c r="W1159" s="16" t="n">
        <v>0.726700853370115</v>
      </c>
      <c r="X1159" s="16" t="n">
        <v>0.7777021752834721</v>
      </c>
      <c r="Y1159" s="16" t="n">
        <v>285.5668128650289</v>
      </c>
      <c r="Z1159" s="16" t="n">
        <v>14.08978732819987</v>
      </c>
      <c r="AA1159" s="16" t="n">
        <v>203.8409986399362</v>
      </c>
      <c r="AB1159" s="16" t="n">
        <v>2533.028007152615</v>
      </c>
      <c r="AC1159" s="16" t="n">
        <v>5.86922639105217</v>
      </c>
      <c r="AD1159" s="16" t="inlineStr">
        <is>
          <t>O2</t>
        </is>
      </c>
      <c r="AE1159" s="16" t="n"/>
    </row>
    <row r="1160">
      <c r="A1160" s="16" t="inlineStr">
        <is>
          <t>KF-M04-0088</t>
        </is>
      </c>
      <c r="B1160" s="16" t="inlineStr">
        <is>
          <t>3.2</t>
        </is>
      </c>
      <c r="C1160" s="16" t="inlineStr">
        <is>
          <t>3.2</t>
        </is>
      </c>
      <c r="D1160" s="16" t="inlineStr">
        <is>
          <t>muestra de 300 puntos</t>
        </is>
      </c>
      <c r="E1160" s="16" t="inlineStr">
        <is>
          <t>KF-M04</t>
        </is>
      </c>
      <c r="F1160" s="16" t="inlineStr">
        <is>
          <t>KF-M04</t>
        </is>
      </c>
      <c r="G1160" s="16" t="inlineStr">
        <is>
          <t>B07</t>
        </is>
      </c>
      <c r="H1160" s="16" t="inlineStr">
        <is>
          <t>lhs</t>
        </is>
      </c>
      <c r="I1160" s="16" t="inlineStr">
        <is>
          <t>CORREGIBLE</t>
        </is>
      </c>
      <c r="J1160" s="16" t="inlineStr">
        <is>
          <t>CORREGIBLE</t>
        </is>
      </c>
      <c r="K1160" s="16" t="b">
        <v>1</v>
      </c>
      <c r="L1160" s="16" t="b">
        <v>0</v>
      </c>
      <c r="M1160" s="16" t="b">
        <v>1</v>
      </c>
      <c r="N1160" s="16" t="b">
        <v>0</v>
      </c>
      <c r="O1160" s="16" t="n">
        <v>477.5705790440421</v>
      </c>
      <c r="P1160" s="16" t="n">
        <v>298.6583028482268</v>
      </c>
      <c r="Q1160" s="16" t="n">
        <v>2248.475597248098</v>
      </c>
      <c r="R1160" s="16" t="n">
        <v>400.2746443697802</v>
      </c>
      <c r="S1160" s="16" t="n">
        <v>0.6327909346074458</v>
      </c>
      <c r="T1160" s="16" t="n">
        <v>0.9090488163063216</v>
      </c>
      <c r="U1160" s="16" t="n">
        <v>0.7021836829385164</v>
      </c>
      <c r="V1160" s="16" t="n">
        <v>0.7131547536815045</v>
      </c>
      <c r="W1160" s="16" t="n">
        <v>0.626629626351764</v>
      </c>
      <c r="X1160" s="16" t="n">
        <v>0.9090935279822978</v>
      </c>
      <c r="Y1160" s="16" t="n">
        <v>298.6583028482268</v>
      </c>
      <c r="Z1160" s="16" t="n">
        <v>11.35807822290315</v>
      </c>
      <c r="AA1160" s="16" t="n">
        <v>139.5402768871878</v>
      </c>
      <c r="AB1160" s="16" t="n">
        <v>1848.200952878319</v>
      </c>
      <c r="AC1160" s="16" t="n">
        <v>5.617332071553652</v>
      </c>
      <c r="AD1160" s="16" t="inlineStr">
        <is>
          <t>O2</t>
        </is>
      </c>
      <c r="AE1160" s="16" t="n"/>
    </row>
    <row r="1161">
      <c r="A1161" s="16" t="inlineStr">
        <is>
          <t>KF-M04-0089</t>
        </is>
      </c>
      <c r="B1161" s="16" t="inlineStr">
        <is>
          <t>3.2</t>
        </is>
      </c>
      <c r="C1161" s="16" t="inlineStr">
        <is>
          <t>3.2</t>
        </is>
      </c>
      <c r="D1161" s="16" t="inlineStr">
        <is>
          <t>muestra de 300 puntos</t>
        </is>
      </c>
      <c r="E1161" s="16" t="inlineStr">
        <is>
          <t>KF-M04</t>
        </is>
      </c>
      <c r="F1161" s="16" t="inlineStr">
        <is>
          <t>KF-M04</t>
        </is>
      </c>
      <c r="G1161" s="16" t="inlineStr">
        <is>
          <t>B07</t>
        </is>
      </c>
      <c r="H1161" s="16" t="inlineStr">
        <is>
          <t>lhs</t>
        </is>
      </c>
      <c r="I1161" s="16" t="inlineStr">
        <is>
          <t>KALINA</t>
        </is>
      </c>
      <c r="J1161" s="16" t="inlineStr">
        <is>
          <t>KALINA</t>
        </is>
      </c>
      <c r="K1161" s="16" t="b">
        <v>1</v>
      </c>
      <c r="L1161" s="16" t="b">
        <v>1</v>
      </c>
      <c r="M1161" s="16" t="b">
        <v>0</v>
      </c>
      <c r="N1161" s="16" t="b">
        <v>0</v>
      </c>
      <c r="O1161" s="16" t="n">
        <v>412.5368932453263</v>
      </c>
      <c r="P1161" s="16" t="n">
        <v>301.6758644142189</v>
      </c>
      <c r="Q1161" s="16" t="n">
        <v>4908.514700244743</v>
      </c>
      <c r="R1161" s="16" t="n">
        <v>1268.657707014368</v>
      </c>
      <c r="S1161" s="16" t="n">
        <v>0.5750791057355131</v>
      </c>
      <c r="T1161" s="16" t="n">
        <v>0.8638269641863565</v>
      </c>
      <c r="U1161" s="16" t="n">
        <v>0.7947660830441726</v>
      </c>
      <c r="V1161" s="16" t="n">
        <v>0.9250279190721374</v>
      </c>
      <c r="W1161" s="16" t="n">
        <v>0.8658669818717359</v>
      </c>
      <c r="X1161" s="16" t="n">
        <v>0.8494890917239657</v>
      </c>
      <c r="Y1161" s="16" t="n">
        <v>301.6758644142189</v>
      </c>
      <c r="Z1161" s="16" t="n">
        <v>6.91706121122251</v>
      </c>
      <c r="AA1161" s="16" t="n">
        <v>17.88503948242492</v>
      </c>
      <c r="AB1161" s="16" t="n">
        <v>3639.856993230374</v>
      </c>
      <c r="AC1161" s="16" t="n">
        <v>3.869061507375646</v>
      </c>
      <c r="AD1161" s="16" t="n"/>
      <c r="AE1161" s="16" t="n"/>
    </row>
    <row r="1162">
      <c r="A1162" s="16" t="inlineStr">
        <is>
          <t>KF-M04-0090</t>
        </is>
      </c>
      <c r="B1162" s="16" t="inlineStr">
        <is>
          <t>3.2</t>
        </is>
      </c>
      <c r="C1162" s="16" t="inlineStr">
        <is>
          <t>3.2</t>
        </is>
      </c>
      <c r="D1162" s="16" t="inlineStr">
        <is>
          <t>muestra de 300 puntos</t>
        </is>
      </c>
      <c r="E1162" s="16" t="inlineStr">
        <is>
          <t>KF-M04</t>
        </is>
      </c>
      <c r="F1162" s="16" t="inlineStr">
        <is>
          <t>KF-M04</t>
        </is>
      </c>
      <c r="G1162" s="16" t="inlineStr">
        <is>
          <t>B07</t>
        </is>
      </c>
      <c r="H1162" s="16" t="inlineStr">
        <is>
          <t>lhs</t>
        </is>
      </c>
      <c r="I1162" s="16" t="inlineStr">
        <is>
          <t>CORREGIBLE</t>
        </is>
      </c>
      <c r="J1162" s="16" t="inlineStr">
        <is>
          <t>CORREGIBLE</t>
        </is>
      </c>
      <c r="K1162" s="16" t="b">
        <v>1</v>
      </c>
      <c r="L1162" s="16" t="b">
        <v>0</v>
      </c>
      <c r="M1162" s="16" t="b">
        <v>0</v>
      </c>
      <c r="N1162" s="16" t="b">
        <v>0</v>
      </c>
      <c r="O1162" s="16" t="n">
        <v>432.164130069384</v>
      </c>
      <c r="P1162" s="16" t="n">
        <v>296.7664427012509</v>
      </c>
      <c r="Q1162" s="16" t="n">
        <v>3598.295411482984</v>
      </c>
      <c r="R1162" s="16" t="n">
        <v>894.0545133432975</v>
      </c>
      <c r="S1162" s="16" t="n">
        <v>0.7953936472371819</v>
      </c>
      <c r="T1162" s="16" t="n">
        <v>0.8305390023445005</v>
      </c>
      <c r="U1162" s="16" t="n">
        <v>0.8342326001205428</v>
      </c>
      <c r="V1162" s="16" t="n">
        <v>0.6329123122111976</v>
      </c>
      <c r="W1162" s="16" t="n">
        <v>0.7727792087501223</v>
      </c>
      <c r="X1162" s="16" t="n">
        <v>0.7095081149151131</v>
      </c>
      <c r="Y1162" s="16" t="n">
        <v>296.7664427012509</v>
      </c>
      <c r="Z1162" s="16" t="n">
        <v>10.80569301723096</v>
      </c>
      <c r="AA1162" s="16" t="n">
        <v>84.28638234892897</v>
      </c>
      <c r="AB1162" s="16" t="n">
        <v>2704.240898139687</v>
      </c>
      <c r="AC1162" s="16" t="n">
        <v>4.024693525708222</v>
      </c>
      <c r="AD1162" s="16" t="inlineStr">
        <is>
          <t>O2</t>
        </is>
      </c>
      <c r="AE1162" s="16" t="n"/>
    </row>
    <row r="1163">
      <c r="A1163" s="16" t="inlineStr">
        <is>
          <t>KF-M04-0091</t>
        </is>
      </c>
      <c r="B1163" s="16" t="inlineStr">
        <is>
          <t>3.2</t>
        </is>
      </c>
      <c r="C1163" s="16" t="inlineStr">
        <is>
          <t>3.2</t>
        </is>
      </c>
      <c r="D1163" s="16" t="inlineStr">
        <is>
          <t>muestra de 300 puntos</t>
        </is>
      </c>
      <c r="E1163" s="16" t="inlineStr">
        <is>
          <t>KF-M04</t>
        </is>
      </c>
      <c r="F1163" s="16" t="inlineStr">
        <is>
          <t>KF-M04</t>
        </is>
      </c>
      <c r="G1163" s="16" t="inlineStr">
        <is>
          <t>B07</t>
        </is>
      </c>
      <c r="H1163" s="16" t="inlineStr">
        <is>
          <t>lhs</t>
        </is>
      </c>
      <c r="I1163" s="16" t="inlineStr">
        <is>
          <t>KALINA</t>
        </is>
      </c>
      <c r="J1163" s="16" t="inlineStr">
        <is>
          <t>KALINA</t>
        </is>
      </c>
      <c r="K1163" s="16" t="b">
        <v>1</v>
      </c>
      <c r="L1163" s="16" t="b">
        <v>1</v>
      </c>
      <c r="M1163" s="16" t="b">
        <v>0</v>
      </c>
      <c r="N1163" s="16" t="b">
        <v>0</v>
      </c>
      <c r="O1163" s="16" t="n">
        <v>405.3976283368621</v>
      </c>
      <c r="P1163" s="16" t="n">
        <v>284.5982305327081</v>
      </c>
      <c r="Q1163" s="16" t="n">
        <v>3915.797414958881</v>
      </c>
      <c r="R1163" s="16" t="n">
        <v>1047.092193704135</v>
      </c>
      <c r="S1163" s="16" t="n">
        <v>0.7724467584851575</v>
      </c>
      <c r="T1163" s="16" t="n">
        <v>0.7701270700760329</v>
      </c>
      <c r="U1163" s="16" t="n">
        <v>0.8884182093223041</v>
      </c>
      <c r="V1163" s="16" t="n">
        <v>0.8059915678068373</v>
      </c>
      <c r="W1163" s="16" t="n">
        <v>0.8175409970940141</v>
      </c>
      <c r="X1163" s="16" t="n">
        <v>0.906131406245288</v>
      </c>
      <c r="Y1163" s="16" t="n">
        <v>284.5982305327081</v>
      </c>
      <c r="Z1163" s="16" t="n">
        <v>9.36662675892955</v>
      </c>
      <c r="AA1163" s="16" t="n">
        <v>72.00400062170507</v>
      </c>
      <c r="AB1163" s="16" t="n">
        <v>2868.705221254746</v>
      </c>
      <c r="AC1163" s="16" t="n">
        <v>3.739687334604773</v>
      </c>
      <c r="AD1163" s="16" t="n"/>
      <c r="AE1163" s="16" t="n"/>
    </row>
    <row r="1164">
      <c r="A1164" s="16" t="inlineStr">
        <is>
          <t>KF-M04-0092</t>
        </is>
      </c>
      <c r="B1164" s="16" t="inlineStr">
        <is>
          <t>3.2</t>
        </is>
      </c>
      <c r="C1164" s="16" t="inlineStr">
        <is>
          <t>3.2</t>
        </is>
      </c>
      <c r="D1164" s="16" t="inlineStr">
        <is>
          <t>muestra de 300 puntos</t>
        </is>
      </c>
      <c r="E1164" s="16" t="inlineStr">
        <is>
          <t>KF-M04</t>
        </is>
      </c>
      <c r="F1164" s="16" t="inlineStr">
        <is>
          <t>KF-M04</t>
        </is>
      </c>
      <c r="G1164" s="16" t="inlineStr">
        <is>
          <t>B07</t>
        </is>
      </c>
      <c r="H1164" s="16" t="inlineStr">
        <is>
          <t>lhs</t>
        </is>
      </c>
      <c r="I1164" s="16" t="inlineStr">
        <is>
          <t>N2</t>
        </is>
      </c>
      <c r="J1164" s="16" t="inlineStr">
        <is>
          <t>NO_CONVERGIO</t>
        </is>
      </c>
      <c r="K1164" s="16" t="b">
        <v>0</v>
      </c>
      <c r="L1164" s="16" t="b">
        <v>0</v>
      </c>
      <c r="M1164" s="16" t="b">
        <v>0</v>
      </c>
      <c r="N1164" s="16" t="b">
        <v>0</v>
      </c>
      <c r="O1164" s="16" t="n">
        <v>397.8673225212804</v>
      </c>
      <c r="P1164" s="16" t="n">
        <v>282.314728732296</v>
      </c>
      <c r="Q1164" s="16" t="n">
        <v>4333.115678901523</v>
      </c>
      <c r="R1164" s="16" t="n">
        <v>398.5432911679855</v>
      </c>
      <c r="S1164" s="16" t="n">
        <v>0.5272177145473697</v>
      </c>
      <c r="T1164" s="16" t="n">
        <v>0.7709322113987698</v>
      </c>
      <c r="U1164" s="16" t="n">
        <v>0.7355783319928004</v>
      </c>
      <c r="V1164" s="16" t="n">
        <v>0.7803870959098138</v>
      </c>
      <c r="W1164" s="16" t="n">
        <v>0.7455972135826274</v>
      </c>
      <c r="X1164" s="16" t="n">
        <v>0.8030569847048837</v>
      </c>
      <c r="Y1164" s="16" t="n">
        <v>282.314728732296</v>
      </c>
      <c r="Z1164" s="16" t="n">
        <v>-44.34684704817767</v>
      </c>
      <c r="AA1164" s="16" t="n">
        <v>-36.56068573565461</v>
      </c>
      <c r="AB1164" s="16" t="n">
        <v>3934.572387733538</v>
      </c>
      <c r="AC1164" s="16" t="n">
        <v>10.87238394153553</v>
      </c>
      <c r="AD1164" s="16" t="inlineStr">
        <is>
          <t>N2,S6,O3,O5,C1,C3,C3</t>
        </is>
      </c>
      <c r="AE1164" s="16" t="n"/>
    </row>
    <row r="1165">
      <c r="A1165" s="16" t="inlineStr">
        <is>
          <t>KF-M04-0093</t>
        </is>
      </c>
      <c r="B1165" s="16" t="inlineStr">
        <is>
          <t>3.2</t>
        </is>
      </c>
      <c r="C1165" s="16" t="inlineStr">
        <is>
          <t>3.2</t>
        </is>
      </c>
      <c r="D1165" s="16" t="inlineStr">
        <is>
          <t>muestra de 300 puntos</t>
        </is>
      </c>
      <c r="E1165" s="16" t="inlineStr">
        <is>
          <t>KF-M04</t>
        </is>
      </c>
      <c r="F1165" s="16" t="inlineStr">
        <is>
          <t>KF-M04</t>
        </is>
      </c>
      <c r="G1165" s="16" t="inlineStr">
        <is>
          <t>B07</t>
        </is>
      </c>
      <c r="H1165" s="16" t="inlineStr">
        <is>
          <t>lhs</t>
        </is>
      </c>
      <c r="I1165" s="16" t="inlineStr">
        <is>
          <t>CORREGIBLE</t>
        </is>
      </c>
      <c r="J1165" s="16" t="inlineStr">
        <is>
          <t>CORREGIBLE</t>
        </is>
      </c>
      <c r="K1165" s="16" t="b">
        <v>1</v>
      </c>
      <c r="L1165" s="16" t="b">
        <v>0</v>
      </c>
      <c r="M1165" s="16" t="b">
        <v>0</v>
      </c>
      <c r="N1165" s="16" t="b">
        <v>0</v>
      </c>
      <c r="O1165" s="16" t="n">
        <v>407.5723859105924</v>
      </c>
      <c r="P1165" s="16" t="n">
        <v>286.8487187053676</v>
      </c>
      <c r="Q1165" s="16" t="n">
        <v>4401.367332734139</v>
      </c>
      <c r="R1165" s="16" t="n">
        <v>1159.043150436301</v>
      </c>
      <c r="S1165" s="16" t="n">
        <v>0.8305675915704482</v>
      </c>
      <c r="T1165" s="16" t="n">
        <v>0.833758960937152</v>
      </c>
      <c r="U1165" s="16" t="n">
        <v>0.8774543431193844</v>
      </c>
      <c r="V1165" s="16" t="n">
        <v>0.7809470973573513</v>
      </c>
      <c r="W1165" s="16" t="n">
        <v>0.8305469769901688</v>
      </c>
      <c r="X1165" s="16" t="n">
        <v>0.8587440431581719</v>
      </c>
      <c r="Y1165" s="16" t="n">
        <v>286.8487187053676</v>
      </c>
      <c r="Z1165" s="16" t="n">
        <v>11.01582870714495</v>
      </c>
      <c r="AA1165" s="16" t="n">
        <v>87.75882043514612</v>
      </c>
      <c r="AB1165" s="16" t="n">
        <v>3242.324182297838</v>
      </c>
      <c r="AC1165" s="16" t="n">
        <v>3.797414557928514</v>
      </c>
      <c r="AD1165" s="16" t="inlineStr">
        <is>
          <t>O2</t>
        </is>
      </c>
      <c r="AE1165" s="16" t="n"/>
    </row>
    <row r="1166">
      <c r="A1166" s="16" t="inlineStr">
        <is>
          <t>KF-M04-0094</t>
        </is>
      </c>
      <c r="B1166" s="16" t="inlineStr">
        <is>
          <t>3.2</t>
        </is>
      </c>
      <c r="C1166" s="16" t="inlineStr">
        <is>
          <t>3.2</t>
        </is>
      </c>
      <c r="D1166" s="16" t="inlineStr">
        <is>
          <t>muestra de 300 puntos</t>
        </is>
      </c>
      <c r="E1166" s="16" t="inlineStr">
        <is>
          <t>KF-M04</t>
        </is>
      </c>
      <c r="F1166" s="16" t="inlineStr">
        <is>
          <t>KF-M04</t>
        </is>
      </c>
      <c r="G1166" s="16" t="inlineStr">
        <is>
          <t>B07</t>
        </is>
      </c>
      <c r="H1166" s="16" t="inlineStr">
        <is>
          <t>lhs</t>
        </is>
      </c>
      <c r="I1166" s="16" t="inlineStr">
        <is>
          <t>KALINA</t>
        </is>
      </c>
      <c r="J1166" s="16" t="inlineStr">
        <is>
          <t>KALINA</t>
        </is>
      </c>
      <c r="K1166" s="16" t="b">
        <v>1</v>
      </c>
      <c r="L1166" s="16" t="b">
        <v>0</v>
      </c>
      <c r="M1166" s="16" t="b">
        <v>1</v>
      </c>
      <c r="N1166" s="16" t="b">
        <v>0</v>
      </c>
      <c r="O1166" s="16" t="n">
        <v>470.0184061623756</v>
      </c>
      <c r="P1166" s="16" t="n">
        <v>303.0306542359101</v>
      </c>
      <c r="Q1166" s="16" t="n">
        <v>3349.66301260008</v>
      </c>
      <c r="R1166" s="16" t="n">
        <v>1354.066158881679</v>
      </c>
      <c r="S1166" s="16" t="n">
        <v>0.5862405282822463</v>
      </c>
      <c r="T1166" s="16" t="n">
        <v>0.8503662658665632</v>
      </c>
      <c r="U1166" s="16" t="n">
        <v>0.6887635137172872</v>
      </c>
      <c r="V1166" s="16" t="n">
        <v>0.9315294173286428</v>
      </c>
      <c r="W1166" s="16" t="n">
        <v>0.7254332240999878</v>
      </c>
      <c r="X1166" s="16" t="n">
        <v>0.934518427642144</v>
      </c>
      <c r="Y1166" s="16" t="n">
        <v>303.0306542359101</v>
      </c>
      <c r="Z1166" s="16" t="n">
        <v>6.770261399809741</v>
      </c>
      <c r="AA1166" s="16" t="n">
        <v>128.5507335756506</v>
      </c>
      <c r="AB1166" s="16" t="n">
        <v>1995.596853718401</v>
      </c>
      <c r="AC1166" s="16" t="n">
        <v>2.473780908435494</v>
      </c>
      <c r="AD1166" s="16" t="n"/>
      <c r="AE1166" s="16" t="n"/>
    </row>
    <row r="1167">
      <c r="A1167" s="16" t="inlineStr">
        <is>
          <t>KF-M04-0095</t>
        </is>
      </c>
      <c r="B1167" s="16" t="inlineStr">
        <is>
          <t>3.2</t>
        </is>
      </c>
      <c r="C1167" s="16" t="inlineStr">
        <is>
          <t>3.2</t>
        </is>
      </c>
      <c r="D1167" s="16" t="inlineStr">
        <is>
          <t>muestra de 300 puntos</t>
        </is>
      </c>
      <c r="E1167" s="16" t="inlineStr">
        <is>
          <t>KF-M04</t>
        </is>
      </c>
      <c r="F1167" s="16" t="inlineStr">
        <is>
          <t>KF-M04</t>
        </is>
      </c>
      <c r="G1167" s="16" t="inlineStr">
        <is>
          <t>B07</t>
        </is>
      </c>
      <c r="H1167" s="16" t="inlineStr">
        <is>
          <t>lhs</t>
        </is>
      </c>
      <c r="I1167" s="16" t="inlineStr">
        <is>
          <t>CORREGIBLE</t>
        </is>
      </c>
      <c r="J1167" s="16" t="inlineStr">
        <is>
          <t>CORREGIBLE</t>
        </is>
      </c>
      <c r="K1167" s="16" t="b">
        <v>1</v>
      </c>
      <c r="L1167" s="16" t="b">
        <v>0</v>
      </c>
      <c r="M1167" s="16" t="b">
        <v>0</v>
      </c>
      <c r="N1167" s="16" t="b">
        <v>0</v>
      </c>
      <c r="O1167" s="16" t="n">
        <v>452.5437078835623</v>
      </c>
      <c r="P1167" s="16" t="n">
        <v>287.7077398945918</v>
      </c>
      <c r="Q1167" s="16" t="n">
        <v>2116.104563278331</v>
      </c>
      <c r="R1167" s="16" t="n">
        <v>676.1586643831347</v>
      </c>
      <c r="S1167" s="16" t="n">
        <v>0.8016370459143962</v>
      </c>
      <c r="T1167" s="16" t="n">
        <v>0.8649182563677374</v>
      </c>
      <c r="U1167" s="16" t="n">
        <v>0.6575388758805655</v>
      </c>
      <c r="V1167" s="16" t="n">
        <v>0.795854189576979</v>
      </c>
      <c r="W1167" s="16" t="n">
        <v>0.8705522759007305</v>
      </c>
      <c r="X1167" s="16" t="n">
        <v>0.8133060244908304</v>
      </c>
      <c r="Y1167" s="16" t="n">
        <v>287.7077398945918</v>
      </c>
      <c r="Z1167" s="16" t="n">
        <v>9.01930833030276</v>
      </c>
      <c r="AA1167" s="16" t="n">
        <v>115.4955786550033</v>
      </c>
      <c r="AB1167" s="16" t="n">
        <v>1439.945898895196</v>
      </c>
      <c r="AC1167" s="16" t="n">
        <v>3.129597644376665</v>
      </c>
      <c r="AD1167" s="16" t="inlineStr">
        <is>
          <t>O2</t>
        </is>
      </c>
      <c r="AE1167" s="16" t="n"/>
    </row>
    <row r="1168">
      <c r="A1168" s="16" t="inlineStr">
        <is>
          <t>KF-M04-0096</t>
        </is>
      </c>
      <c r="B1168" s="16" t="inlineStr">
        <is>
          <t>3.2</t>
        </is>
      </c>
      <c r="C1168" s="16" t="inlineStr">
        <is>
          <t>3.2</t>
        </is>
      </c>
      <c r="D1168" s="16" t="inlineStr">
        <is>
          <t>muestra de 300 puntos</t>
        </is>
      </c>
      <c r="E1168" s="16" t="inlineStr">
        <is>
          <t>KF-M04</t>
        </is>
      </c>
      <c r="F1168" s="16" t="inlineStr">
        <is>
          <t>KF-M04</t>
        </is>
      </c>
      <c r="G1168" s="16" t="inlineStr">
        <is>
          <t>B07</t>
        </is>
      </c>
      <c r="H1168" s="16" t="inlineStr">
        <is>
          <t>lhs</t>
        </is>
      </c>
      <c r="I1168" s="16" t="inlineStr">
        <is>
          <t>KALINA</t>
        </is>
      </c>
      <c r="J1168" s="16" t="inlineStr">
        <is>
          <t>KALINA</t>
        </is>
      </c>
      <c r="K1168" s="16" t="b">
        <v>1</v>
      </c>
      <c r="L1168" s="16" t="b">
        <v>1</v>
      </c>
      <c r="M1168" s="16" t="b">
        <v>0</v>
      </c>
      <c r="N1168" s="16" t="b">
        <v>0</v>
      </c>
      <c r="O1168" s="16" t="n">
        <v>390.5513738688567</v>
      </c>
      <c r="P1168" s="16" t="n">
        <v>280.0134868547992</v>
      </c>
      <c r="Q1168" s="16" t="n">
        <v>3672.889560886802</v>
      </c>
      <c r="R1168" s="16" t="n">
        <v>1143.919076288394</v>
      </c>
      <c r="S1168" s="16" t="n">
        <v>0.5727930247790437</v>
      </c>
      <c r="T1168" s="16" t="n">
        <v>0.8980889073426196</v>
      </c>
      <c r="U1168" s="16" t="n">
        <v>0.8491063996697544</v>
      </c>
      <c r="V1168" s="16" t="n">
        <v>0.8506852875854269</v>
      </c>
      <c r="W1168" s="16" t="n">
        <v>0.6566746076860545</v>
      </c>
      <c r="X1168" s="16" t="n">
        <v>0.7034570955095866</v>
      </c>
      <c r="Y1168" s="16" t="n">
        <v>280.0134868547992</v>
      </c>
      <c r="Z1168" s="16" t="n">
        <v>2.36659382539842</v>
      </c>
      <c r="AA1168" s="16" t="n">
        <v>5.377577339315511</v>
      </c>
      <c r="AB1168" s="16" t="n">
        <v>2528.970484598408</v>
      </c>
      <c r="AC1168" s="16" t="n">
        <v>3.210794921616315</v>
      </c>
      <c r="AD1168" s="16" t="n"/>
      <c r="AE1168" s="16" t="n"/>
    </row>
    <row r="1169">
      <c r="A1169" s="16" t="inlineStr">
        <is>
          <t>KF-M04-0097</t>
        </is>
      </c>
      <c r="B1169" s="16" t="inlineStr">
        <is>
          <t>3.2</t>
        </is>
      </c>
      <c r="C1169" s="16" t="inlineStr">
        <is>
          <t>3.2</t>
        </is>
      </c>
      <c r="D1169" s="16" t="inlineStr">
        <is>
          <t>muestra de 300 puntos</t>
        </is>
      </c>
      <c r="E1169" s="16" t="inlineStr">
        <is>
          <t>KF-M04</t>
        </is>
      </c>
      <c r="F1169" s="16" t="inlineStr">
        <is>
          <t>KF-M04</t>
        </is>
      </c>
      <c r="G1169" s="16" t="inlineStr">
        <is>
          <t>B07</t>
        </is>
      </c>
      <c r="H1169" s="16" t="inlineStr">
        <is>
          <t>lhs</t>
        </is>
      </c>
      <c r="I1169" s="16" t="inlineStr">
        <is>
          <t>CORREGIBLE</t>
        </is>
      </c>
      <c r="J1169" s="16" t="inlineStr">
        <is>
          <t>CORREGIBLE</t>
        </is>
      </c>
      <c r="K1169" s="16" t="b">
        <v>1</v>
      </c>
      <c r="L1169" s="16" t="b">
        <v>0</v>
      </c>
      <c r="M1169" s="16" t="b">
        <v>1</v>
      </c>
      <c r="N1169" s="16" t="b">
        <v>0</v>
      </c>
      <c r="O1169" s="16" t="n">
        <v>473.1584515007291</v>
      </c>
      <c r="P1169" s="16" t="n">
        <v>287.461545703929</v>
      </c>
      <c r="Q1169" s="16" t="n">
        <v>3755.380376038406</v>
      </c>
      <c r="R1169" s="16" t="n">
        <v>967.3425431829708</v>
      </c>
      <c r="S1169" s="16" t="n">
        <v>0.6130328483983127</v>
      </c>
      <c r="T1169" s="16" t="n">
        <v>0.7999568291208458</v>
      </c>
      <c r="U1169" s="16" t="n">
        <v>0.6689582066494304</v>
      </c>
      <c r="V1169" s="16" t="n">
        <v>0.6858122670510629</v>
      </c>
      <c r="W1169" s="16" t="n">
        <v>0.7841985020116683</v>
      </c>
      <c r="X1169" s="16" t="n">
        <v>0.7297842913864598</v>
      </c>
      <c r="Y1169" s="16" t="n">
        <v>287.461545703929</v>
      </c>
      <c r="Z1169" s="16" t="n">
        <v>9.05902997392665</v>
      </c>
      <c r="AA1169" s="16" t="n">
        <v>106.9507101649322</v>
      </c>
      <c r="AB1169" s="16" t="n">
        <v>2788.037832855435</v>
      </c>
      <c r="AC1169" s="16" t="n">
        <v>3.882161911003726</v>
      </c>
      <c r="AD1169" s="16" t="inlineStr">
        <is>
          <t>O2</t>
        </is>
      </c>
      <c r="AE1169" s="16" t="n"/>
    </row>
    <row r="1170">
      <c r="A1170" s="16" t="inlineStr">
        <is>
          <t>KF-M04-0098</t>
        </is>
      </c>
      <c r="B1170" s="16" t="inlineStr">
        <is>
          <t>3.2</t>
        </is>
      </c>
      <c r="C1170" s="16" t="inlineStr">
        <is>
          <t>3.2</t>
        </is>
      </c>
      <c r="D1170" s="16" t="inlineStr">
        <is>
          <t>muestra de 300 puntos</t>
        </is>
      </c>
      <c r="E1170" s="16" t="inlineStr">
        <is>
          <t>KF-M04</t>
        </is>
      </c>
      <c r="F1170" s="16" t="inlineStr">
        <is>
          <t>KF-M04</t>
        </is>
      </c>
      <c r="G1170" s="16" t="inlineStr">
        <is>
          <t>B07</t>
        </is>
      </c>
      <c r="H1170" s="16" t="inlineStr">
        <is>
          <t>lhs</t>
        </is>
      </c>
      <c r="I1170" s="16" t="inlineStr">
        <is>
          <t>CORREGIBLE</t>
        </is>
      </c>
      <c r="J1170" s="16" t="inlineStr">
        <is>
          <t>CORREGIBLE</t>
        </is>
      </c>
      <c r="K1170" s="16" t="b">
        <v>1</v>
      </c>
      <c r="L1170" s="16" t="b">
        <v>0</v>
      </c>
      <c r="M1170" s="16" t="b">
        <v>0</v>
      </c>
      <c r="N1170" s="16" t="b">
        <v>0</v>
      </c>
      <c r="O1170" s="16" t="n">
        <v>443.2791594946904</v>
      </c>
      <c r="P1170" s="16" t="n">
        <v>287.4664560162934</v>
      </c>
      <c r="Q1170" s="16" t="n">
        <v>2354.43524953111</v>
      </c>
      <c r="R1170" s="16" t="n">
        <v>437.2631795050562</v>
      </c>
      <c r="S1170" s="16" t="n">
        <v>0.7856774216724201</v>
      </c>
      <c r="T1170" s="16" t="n">
        <v>0.8447955389606667</v>
      </c>
      <c r="U1170" s="16" t="n">
        <v>0.8098413325663434</v>
      </c>
      <c r="V1170" s="16" t="n">
        <v>0.7535144869624599</v>
      </c>
      <c r="W1170" s="16" t="n">
        <v>0.807077860689783</v>
      </c>
      <c r="X1170" s="16" t="n">
        <v>0.7569584860216093</v>
      </c>
      <c r="Y1170" s="16" t="n">
        <v>287.4664560162934</v>
      </c>
      <c r="Z1170" s="16" t="n">
        <v>8.354833834877761</v>
      </c>
      <c r="AA1170" s="16" t="n">
        <v>69.18244732276335</v>
      </c>
      <c r="AB1170" s="16" t="n">
        <v>1917.172070026054</v>
      </c>
      <c r="AC1170" s="16" t="n">
        <v>5.384480925643283</v>
      </c>
      <c r="AD1170" s="16" t="inlineStr">
        <is>
          <t>O2</t>
        </is>
      </c>
      <c r="AE1170" s="16" t="n"/>
    </row>
    <row r="1171">
      <c r="A1171" s="16" t="inlineStr">
        <is>
          <t>KF-M04-0099</t>
        </is>
      </c>
      <c r="B1171" s="16" t="inlineStr">
        <is>
          <t>3.2</t>
        </is>
      </c>
      <c r="C1171" s="16" t="inlineStr">
        <is>
          <t>3.2</t>
        </is>
      </c>
      <c r="D1171" s="16" t="inlineStr">
        <is>
          <t>muestra de 300 puntos</t>
        </is>
      </c>
      <c r="E1171" s="16" t="inlineStr">
        <is>
          <t>KF-M04</t>
        </is>
      </c>
      <c r="F1171" s="16" t="inlineStr">
        <is>
          <t>KF-M04</t>
        </is>
      </c>
      <c r="G1171" s="16" t="inlineStr">
        <is>
          <t>B07</t>
        </is>
      </c>
      <c r="H1171" s="16" t="inlineStr">
        <is>
          <t>lhs</t>
        </is>
      </c>
      <c r="I1171" s="16" t="inlineStr">
        <is>
          <t>CORREGIBLE</t>
        </is>
      </c>
      <c r="J1171" s="16" t="inlineStr">
        <is>
          <t>CORREGIBLE</t>
        </is>
      </c>
      <c r="K1171" s="16" t="b">
        <v>1</v>
      </c>
      <c r="L1171" s="16" t="b">
        <v>0</v>
      </c>
      <c r="M1171" s="16" t="b">
        <v>1</v>
      </c>
      <c r="N1171" s="16" t="b">
        <v>0</v>
      </c>
      <c r="O1171" s="16" t="n">
        <v>477.647034195786</v>
      </c>
      <c r="P1171" s="16" t="n">
        <v>293.071721901213</v>
      </c>
      <c r="Q1171" s="16" t="n">
        <v>4470.32970310754</v>
      </c>
      <c r="R1171" s="16" t="n">
        <v>778.498254612226</v>
      </c>
      <c r="S1171" s="16" t="n">
        <v>0.6749417926021046</v>
      </c>
      <c r="T1171" s="16" t="n">
        <v>0.8282755585202636</v>
      </c>
      <c r="U1171" s="16" t="n">
        <v>0.7808129803657534</v>
      </c>
      <c r="V1171" s="16" t="n">
        <v>0.8841634753152201</v>
      </c>
      <c r="W1171" s="16" t="n">
        <v>0.898169614713606</v>
      </c>
      <c r="X1171" s="16" t="n">
        <v>0.8486985114134042</v>
      </c>
      <c r="Y1171" s="16" t="n">
        <v>293.071721901213</v>
      </c>
      <c r="Z1171" s="16" t="n">
        <v>12.99011420639718</v>
      </c>
      <c r="AA1171" s="16" t="n">
        <v>206.3616289260989</v>
      </c>
      <c r="AB1171" s="16" t="n">
        <v>3691.831448495314</v>
      </c>
      <c r="AC1171" s="16" t="n">
        <v>5.742247560123605</v>
      </c>
      <c r="AD1171" s="16" t="inlineStr">
        <is>
          <t>O2</t>
        </is>
      </c>
      <c r="AE1171" s="16" t="n"/>
    </row>
    <row r="1172">
      <c r="A1172" s="16" t="inlineStr">
        <is>
          <t>KF-M04-0100</t>
        </is>
      </c>
      <c r="B1172" s="16" t="inlineStr">
        <is>
          <t>3.2</t>
        </is>
      </c>
      <c r="C1172" s="16" t="inlineStr">
        <is>
          <t>3.2</t>
        </is>
      </c>
      <c r="D1172" s="16" t="inlineStr">
        <is>
          <t>muestra de 300 puntos</t>
        </is>
      </c>
      <c r="E1172" s="16" t="inlineStr">
        <is>
          <t>KF-M04</t>
        </is>
      </c>
      <c r="F1172" s="16" t="inlineStr">
        <is>
          <t>KF-M04</t>
        </is>
      </c>
      <c r="G1172" s="16" t="inlineStr">
        <is>
          <t>B07</t>
        </is>
      </c>
      <c r="H1172" s="16" t="inlineStr">
        <is>
          <t>lhs</t>
        </is>
      </c>
      <c r="I1172" s="16" t="inlineStr">
        <is>
          <t>CORREGIBLE</t>
        </is>
      </c>
      <c r="J1172" s="16" t="inlineStr">
        <is>
          <t>CORREGIBLE</t>
        </is>
      </c>
      <c r="K1172" s="16" t="b">
        <v>1</v>
      </c>
      <c r="L1172" s="16" t="b">
        <v>0</v>
      </c>
      <c r="M1172" s="16" t="b">
        <v>0</v>
      </c>
      <c r="N1172" s="16" t="b">
        <v>0</v>
      </c>
      <c r="O1172" s="16" t="n">
        <v>387.2301416926621</v>
      </c>
      <c r="P1172" s="16" t="n">
        <v>287.0432594490495</v>
      </c>
      <c r="Q1172" s="16" t="n">
        <v>3180.619696089402</v>
      </c>
      <c r="R1172" s="16" t="n">
        <v>1381.119982366701</v>
      </c>
      <c r="S1172" s="16" t="n">
        <v>0.8122037947686734</v>
      </c>
      <c r="T1172" s="16" t="n">
        <v>0.8128524362287798</v>
      </c>
      <c r="U1172" s="16" t="n">
        <v>0.7217594004723702</v>
      </c>
      <c r="V1172" s="16" t="n">
        <v>0.922572300126452</v>
      </c>
      <c r="W1172" s="16" t="n">
        <v>0.8373134950331275</v>
      </c>
      <c r="X1172" s="16" t="n">
        <v>0.7597367746182382</v>
      </c>
      <c r="Y1172" s="16" t="n">
        <v>287.0432594490495</v>
      </c>
      <c r="Z1172" s="16" t="n">
        <v>7.31867904623041</v>
      </c>
      <c r="AA1172" s="16" t="n">
        <v>56.45989783350567</v>
      </c>
      <c r="AB1172" s="16" t="n">
        <v>1799.499713722701</v>
      </c>
      <c r="AC1172" s="16" t="n">
        <v>2.302927867743294</v>
      </c>
      <c r="AD1172" s="16" t="inlineStr">
        <is>
          <t>O2</t>
        </is>
      </c>
      <c r="AE1172" s="16" t="n"/>
    </row>
    <row r="1173">
      <c r="A1173" s="16" t="inlineStr">
        <is>
          <t>KF-M04-0101</t>
        </is>
      </c>
      <c r="B1173" s="16" t="inlineStr">
        <is>
          <t>3.2</t>
        </is>
      </c>
      <c r="C1173" s="16" t="inlineStr">
        <is>
          <t>3.2</t>
        </is>
      </c>
      <c r="D1173" s="16" t="inlineStr">
        <is>
          <t>muestra de 300 puntos</t>
        </is>
      </c>
      <c r="E1173" s="16" t="inlineStr">
        <is>
          <t>KF-M04</t>
        </is>
      </c>
      <c r="F1173" s="16" t="inlineStr">
        <is>
          <t>KF-M04</t>
        </is>
      </c>
      <c r="G1173" s="16" t="inlineStr">
        <is>
          <t>B07</t>
        </is>
      </c>
      <c r="H1173" s="16" t="inlineStr">
        <is>
          <t>lhs</t>
        </is>
      </c>
      <c r="I1173" s="16" t="inlineStr">
        <is>
          <t>CORREGIBLE</t>
        </is>
      </c>
      <c r="J1173" s="16" t="inlineStr">
        <is>
          <t>CORREGIBLE</t>
        </is>
      </c>
      <c r="K1173" s="16" t="b">
        <v>1</v>
      </c>
      <c r="L1173" s="16" t="b">
        <v>0</v>
      </c>
      <c r="M1173" s="16" t="b">
        <v>0</v>
      </c>
      <c r="N1173" s="16" t="b">
        <v>0</v>
      </c>
      <c r="O1173" s="16" t="n">
        <v>446.4593529961271</v>
      </c>
      <c r="P1173" s="16" t="n">
        <v>278.4814642932077</v>
      </c>
      <c r="Q1173" s="16" t="n">
        <v>2276.691927103386</v>
      </c>
      <c r="R1173" s="16" t="n">
        <v>539.7324159564902</v>
      </c>
      <c r="S1173" s="16" t="n">
        <v>0.6809028410086841</v>
      </c>
      <c r="T1173" s="16" t="n">
        <v>0.9135607320575084</v>
      </c>
      <c r="U1173" s="16" t="n">
        <v>0.7252541298736332</v>
      </c>
      <c r="V1173" s="16" t="n">
        <v>0.6213053150332756</v>
      </c>
      <c r="W1173" s="16" t="n">
        <v>0.9183268686598572</v>
      </c>
      <c r="X1173" s="16" t="n">
        <v>0.9153612036866148</v>
      </c>
      <c r="Y1173" s="16" t="n">
        <v>278.4814642932077</v>
      </c>
      <c r="Z1173" s="16" t="n">
        <v>12.07759242864614</v>
      </c>
      <c r="AA1173" s="16" t="n">
        <v>142.3165437414252</v>
      </c>
      <c r="AB1173" s="16" t="n">
        <v>1736.959511146896</v>
      </c>
      <c r="AC1173" s="16" t="n">
        <v>4.218186382355286</v>
      </c>
      <c r="AD1173" s="16" t="inlineStr">
        <is>
          <t>O2</t>
        </is>
      </c>
      <c r="AE1173" s="16" t="n"/>
    </row>
    <row r="1174">
      <c r="A1174" s="16" t="inlineStr">
        <is>
          <t>KF-M04-0102</t>
        </is>
      </c>
      <c r="B1174" s="16" t="inlineStr">
        <is>
          <t>3.2</t>
        </is>
      </c>
      <c r="C1174" s="16" t="inlineStr">
        <is>
          <t>3.2</t>
        </is>
      </c>
      <c r="D1174" s="16" t="inlineStr">
        <is>
          <t>muestra de 300 puntos</t>
        </is>
      </c>
      <c r="E1174" s="16" t="inlineStr">
        <is>
          <t>KF-M04</t>
        </is>
      </c>
      <c r="F1174" s="16" t="inlineStr">
        <is>
          <t>KF-M04</t>
        </is>
      </c>
      <c r="G1174" s="16" t="inlineStr">
        <is>
          <t>B07</t>
        </is>
      </c>
      <c r="H1174" s="16" t="inlineStr">
        <is>
          <t>lhs</t>
        </is>
      </c>
      <c r="I1174" s="16" t="inlineStr">
        <is>
          <t>KALINA</t>
        </is>
      </c>
      <c r="J1174" s="16" t="inlineStr">
        <is>
          <t>KALINA</t>
        </is>
      </c>
      <c r="K1174" s="16" t="b">
        <v>1</v>
      </c>
      <c r="L1174" s="16" t="b">
        <v>1</v>
      </c>
      <c r="M1174" s="16" t="b">
        <v>0</v>
      </c>
      <c r="N1174" s="16" t="b">
        <v>0</v>
      </c>
      <c r="O1174" s="16" t="n">
        <v>394.0707348816891</v>
      </c>
      <c r="P1174" s="16" t="n">
        <v>299.0048563614902</v>
      </c>
      <c r="Q1174" s="16" t="n">
        <v>2155.056578862561</v>
      </c>
      <c r="R1174" s="16" t="n">
        <v>1187.02941119233</v>
      </c>
      <c r="S1174" s="16" t="n">
        <v>0.5438205097093916</v>
      </c>
      <c r="T1174" s="16" t="n">
        <v>0.7600847256446479</v>
      </c>
      <c r="U1174" s="16" t="n">
        <v>0.8252282886212198</v>
      </c>
      <c r="V1174" s="16" t="n">
        <v>0.8643804682326987</v>
      </c>
      <c r="W1174" s="16" t="n">
        <v>0.9010962905748828</v>
      </c>
      <c r="X1174" s="16" t="n">
        <v>0.9132928021627936</v>
      </c>
      <c r="Y1174" s="16" t="n">
        <v>299.0048563614902</v>
      </c>
      <c r="Z1174" s="16" t="n">
        <v>3.99036773100429</v>
      </c>
      <c r="AA1174" s="16" t="n">
        <v>18.56492809791987</v>
      </c>
      <c r="AB1174" s="16" t="n">
        <v>968.0271676702308</v>
      </c>
      <c r="AC1174" s="16" t="n">
        <v>1.81550394500999</v>
      </c>
      <c r="AD1174" s="16" t="n"/>
      <c r="AE1174" s="16" t="n"/>
    </row>
    <row r="1175">
      <c r="A1175" s="16" t="inlineStr">
        <is>
          <t>KF-M04-0103</t>
        </is>
      </c>
      <c r="B1175" s="16" t="inlineStr">
        <is>
          <t>3.2</t>
        </is>
      </c>
      <c r="C1175" s="16" t="inlineStr">
        <is>
          <t>3.2</t>
        </is>
      </c>
      <c r="D1175" s="16" t="inlineStr">
        <is>
          <t>muestra de 300 puntos</t>
        </is>
      </c>
      <c r="E1175" s="16" t="inlineStr">
        <is>
          <t>KF-M04</t>
        </is>
      </c>
      <c r="F1175" s="16" t="inlineStr">
        <is>
          <t>KF-M04</t>
        </is>
      </c>
      <c r="G1175" s="16" t="inlineStr">
        <is>
          <t>B07</t>
        </is>
      </c>
      <c r="H1175" s="16" t="inlineStr">
        <is>
          <t>lhs</t>
        </is>
      </c>
      <c r="I1175" s="16" t="inlineStr">
        <is>
          <t>CORREGIBLE</t>
        </is>
      </c>
      <c r="J1175" s="16" t="inlineStr">
        <is>
          <t>CORREGIBLE</t>
        </is>
      </c>
      <c r="K1175" s="16" t="b">
        <v>1</v>
      </c>
      <c r="L1175" s="16" t="b">
        <v>0</v>
      </c>
      <c r="M1175" s="16" t="b">
        <v>0</v>
      </c>
      <c r="N1175" s="16" t="b">
        <v>0</v>
      </c>
      <c r="O1175" s="16" t="n">
        <v>402.6685604467641</v>
      </c>
      <c r="P1175" s="16" t="n">
        <v>278.1924523468124</v>
      </c>
      <c r="Q1175" s="16" t="n">
        <v>4209.325001809628</v>
      </c>
      <c r="R1175" s="16" t="n">
        <v>927.998947365381</v>
      </c>
      <c r="S1175" s="16" t="n">
        <v>0.8000030318819986</v>
      </c>
      <c r="T1175" s="16" t="n">
        <v>0.83999590691185</v>
      </c>
      <c r="U1175" s="16" t="n">
        <v>0.7503183155283186</v>
      </c>
      <c r="V1175" s="16" t="n">
        <v>0.8798820910519232</v>
      </c>
      <c r="W1175" s="16" t="n">
        <v>0.8725834486014942</v>
      </c>
      <c r="X1175" s="16" t="n">
        <v>0.7587569048339374</v>
      </c>
      <c r="Y1175" s="16" t="n">
        <v>278.1924523468124</v>
      </c>
      <c r="Z1175" s="16" t="n">
        <v>12.58563860020134</v>
      </c>
      <c r="AA1175" s="16" t="n">
        <v>96.20199140704412</v>
      </c>
      <c r="AB1175" s="16" t="n">
        <v>3281.326054444247</v>
      </c>
      <c r="AC1175" s="16" t="n">
        <v>4.535915707404667</v>
      </c>
      <c r="AD1175" s="16" t="inlineStr">
        <is>
          <t>O2</t>
        </is>
      </c>
      <c r="AE1175" s="16" t="n"/>
    </row>
    <row r="1176">
      <c r="A1176" s="16" t="inlineStr">
        <is>
          <t>KF-M04-0104</t>
        </is>
      </c>
      <c r="B1176" s="16" t="inlineStr">
        <is>
          <t>3.2</t>
        </is>
      </c>
      <c r="C1176" s="16" t="inlineStr">
        <is>
          <t>3.2</t>
        </is>
      </c>
      <c r="D1176" s="16" t="inlineStr">
        <is>
          <t>muestra de 300 puntos</t>
        </is>
      </c>
      <c r="E1176" s="16" t="inlineStr">
        <is>
          <t>KF-M04</t>
        </is>
      </c>
      <c r="F1176" s="16" t="inlineStr">
        <is>
          <t>KF-M04</t>
        </is>
      </c>
      <c r="G1176" s="16" t="inlineStr">
        <is>
          <t>B07</t>
        </is>
      </c>
      <c r="H1176" s="16" t="inlineStr">
        <is>
          <t>lhs</t>
        </is>
      </c>
      <c r="I1176" s="16" t="inlineStr">
        <is>
          <t>CORREGIBLE</t>
        </is>
      </c>
      <c r="J1176" s="16" t="inlineStr">
        <is>
          <t>CORREGIBLE</t>
        </is>
      </c>
      <c r="K1176" s="16" t="b">
        <v>1</v>
      </c>
      <c r="L1176" s="16" t="b">
        <v>0</v>
      </c>
      <c r="M1176" s="16" t="b">
        <v>0</v>
      </c>
      <c r="N1176" s="16" t="b">
        <v>0</v>
      </c>
      <c r="O1176" s="16" t="n">
        <v>398.0402789692159</v>
      </c>
      <c r="P1176" s="16" t="n">
        <v>280.5092672833183</v>
      </c>
      <c r="Q1176" s="16" t="n">
        <v>3532.720065619244</v>
      </c>
      <c r="R1176" s="16" t="n">
        <v>626.5297147707681</v>
      </c>
      <c r="S1176" s="16" t="n">
        <v>0.7413372463060319</v>
      </c>
      <c r="T1176" s="16" t="n">
        <v>0.8458840167558298</v>
      </c>
      <c r="U1176" s="16" t="n">
        <v>0.732383676124711</v>
      </c>
      <c r="V1176" s="16" t="n">
        <v>0.7631353979259167</v>
      </c>
      <c r="W1176" s="16" t="n">
        <v>0.8926638321452727</v>
      </c>
      <c r="X1176" s="16" t="n">
        <v>0.8550714662849094</v>
      </c>
      <c r="Y1176" s="16" t="n">
        <v>280.5092672833183</v>
      </c>
      <c r="Z1176" s="16" t="n">
        <v>13.10106133727336</v>
      </c>
      <c r="AA1176" s="16" t="n">
        <v>81.8799727593383</v>
      </c>
      <c r="AB1176" s="16" t="n">
        <v>2906.190350848477</v>
      </c>
      <c r="AC1176" s="16" t="n">
        <v>5.63855150415616</v>
      </c>
      <c r="AD1176" s="16" t="inlineStr">
        <is>
          <t>O2</t>
        </is>
      </c>
      <c r="AE1176" s="16" t="n"/>
    </row>
    <row r="1177">
      <c r="A1177" s="16" t="inlineStr">
        <is>
          <t>KF-M04-0105</t>
        </is>
      </c>
      <c r="B1177" s="16" t="inlineStr">
        <is>
          <t>3.2</t>
        </is>
      </c>
      <c r="C1177" s="16" t="inlineStr">
        <is>
          <t>3.2</t>
        </is>
      </c>
      <c r="D1177" s="16" t="inlineStr">
        <is>
          <t>muestra de 300 puntos</t>
        </is>
      </c>
      <c r="E1177" s="16" t="inlineStr">
        <is>
          <t>KF-M04</t>
        </is>
      </c>
      <c r="F1177" s="16" t="inlineStr">
        <is>
          <t>KF-M04</t>
        </is>
      </c>
      <c r="G1177" s="16" t="inlineStr">
        <is>
          <t>B07</t>
        </is>
      </c>
      <c r="H1177" s="16" t="inlineStr">
        <is>
          <t>lhs</t>
        </is>
      </c>
      <c r="I1177" s="16" t="inlineStr">
        <is>
          <t>CORREGIBLE</t>
        </is>
      </c>
      <c r="J1177" s="16" t="inlineStr">
        <is>
          <t>CORREGIBLE</t>
        </is>
      </c>
      <c r="K1177" s="16" t="b">
        <v>1</v>
      </c>
      <c r="L1177" s="16" t="b">
        <v>0</v>
      </c>
      <c r="M1177" s="16" t="b">
        <v>1</v>
      </c>
      <c r="N1177" s="16" t="b">
        <v>0</v>
      </c>
      <c r="O1177" s="16" t="n">
        <v>493.6991695026927</v>
      </c>
      <c r="P1177" s="16" t="n">
        <v>279.5007691284816</v>
      </c>
      <c r="Q1177" s="16" t="n">
        <v>2226.823282092813</v>
      </c>
      <c r="R1177" s="16" t="n">
        <v>838.6648666430239</v>
      </c>
      <c r="S1177" s="16" t="n">
        <v>0.5363034747007795</v>
      </c>
      <c r="T1177" s="16" t="n">
        <v>0.7612389053170754</v>
      </c>
      <c r="U1177" s="16" t="n">
        <v>0.8466061772574971</v>
      </c>
      <c r="V1177" s="16" t="n">
        <v>0.7281703373785164</v>
      </c>
      <c r="W1177" s="16" t="n">
        <v>0.7282904885270229</v>
      </c>
      <c r="X1177" s="16" t="n">
        <v>0.754561436073123</v>
      </c>
      <c r="Y1177" s="16" t="n">
        <v>279.5007691284816</v>
      </c>
      <c r="Z1177" s="16" t="n">
        <v>6.2258216991374</v>
      </c>
      <c r="AA1177" s="16" t="n">
        <v>89.06422949990579</v>
      </c>
      <c r="AB1177" s="16" t="n">
        <v>1388.15841544979</v>
      </c>
      <c r="AC1177" s="16" t="n">
        <v>2.655200391315136</v>
      </c>
      <c r="AD1177" s="16" t="inlineStr">
        <is>
          <t>O2</t>
        </is>
      </c>
      <c r="AE1177" s="16" t="n"/>
    </row>
    <row r="1178">
      <c r="A1178" s="16" t="inlineStr">
        <is>
          <t>KF-M04-0106</t>
        </is>
      </c>
      <c r="B1178" s="16" t="inlineStr">
        <is>
          <t>3.2</t>
        </is>
      </c>
      <c r="C1178" s="16" t="inlineStr">
        <is>
          <t>3.2</t>
        </is>
      </c>
      <c r="D1178" s="16" t="inlineStr">
        <is>
          <t>muestra de 300 puntos</t>
        </is>
      </c>
      <c r="E1178" s="16" t="inlineStr">
        <is>
          <t>KF-M04</t>
        </is>
      </c>
      <c r="F1178" s="16" t="inlineStr">
        <is>
          <t>KF-M04</t>
        </is>
      </c>
      <c r="G1178" s="16" t="inlineStr">
        <is>
          <t>B07</t>
        </is>
      </c>
      <c r="H1178" s="16" t="inlineStr">
        <is>
          <t>lhs</t>
        </is>
      </c>
      <c r="I1178" s="16" t="inlineStr">
        <is>
          <t>CORREGIBLE</t>
        </is>
      </c>
      <c r="J1178" s="16" t="inlineStr">
        <is>
          <t>CORREGIBLE</t>
        </is>
      </c>
      <c r="K1178" s="16" t="b">
        <v>1</v>
      </c>
      <c r="L1178" s="16" t="b">
        <v>0</v>
      </c>
      <c r="M1178" s="16" t="b">
        <v>0</v>
      </c>
      <c r="N1178" s="16" t="b">
        <v>0</v>
      </c>
      <c r="O1178" s="16" t="n">
        <v>395.3582468667278</v>
      </c>
      <c r="P1178" s="16" t="n">
        <v>297.2656486407774</v>
      </c>
      <c r="Q1178" s="16" t="n">
        <v>4480.469051272545</v>
      </c>
      <c r="R1178" s="16" t="n">
        <v>1198.071503369763</v>
      </c>
      <c r="S1178" s="16" t="n">
        <v>0.8089444184471274</v>
      </c>
      <c r="T1178" s="16" t="n">
        <v>0.8064078444714662</v>
      </c>
      <c r="U1178" s="16" t="n">
        <v>0.7016410452536838</v>
      </c>
      <c r="V1178" s="16" t="n">
        <v>0.8209388670241742</v>
      </c>
      <c r="W1178" s="16" t="n">
        <v>0.7524920955287336</v>
      </c>
      <c r="X1178" s="16" t="n">
        <v>0.7873292107741934</v>
      </c>
      <c r="Y1178" s="16" t="n">
        <v>297.2656486407774</v>
      </c>
      <c r="Z1178" s="16" t="n">
        <v>10.013946278643</v>
      </c>
      <c r="AA1178" s="16" t="n">
        <v>61.98130874242078</v>
      </c>
      <c r="AB1178" s="16" t="n">
        <v>3282.397547902781</v>
      </c>
      <c r="AC1178" s="16" t="n">
        <v>3.739734263498068</v>
      </c>
      <c r="AD1178" s="16" t="inlineStr">
        <is>
          <t>O2</t>
        </is>
      </c>
      <c r="AE1178" s="16" t="n"/>
    </row>
    <row r="1179">
      <c r="A1179" s="16" t="inlineStr">
        <is>
          <t>KF-M04-0107</t>
        </is>
      </c>
      <c r="B1179" s="16" t="inlineStr">
        <is>
          <t>3.2</t>
        </is>
      </c>
      <c r="C1179" s="16" t="inlineStr">
        <is>
          <t>3.2</t>
        </is>
      </c>
      <c r="D1179" s="16" t="inlineStr">
        <is>
          <t>muestra de 300 puntos</t>
        </is>
      </c>
      <c r="E1179" s="16" t="inlineStr">
        <is>
          <t>KF-M04</t>
        </is>
      </c>
      <c r="F1179" s="16" t="inlineStr">
        <is>
          <t>KF-M04</t>
        </is>
      </c>
      <c r="G1179" s="16" t="inlineStr">
        <is>
          <t>B07</t>
        </is>
      </c>
      <c r="H1179" s="16" t="inlineStr">
        <is>
          <t>lhs</t>
        </is>
      </c>
      <c r="I1179" s="16" t="inlineStr">
        <is>
          <t>CORREGIBLE</t>
        </is>
      </c>
      <c r="J1179" s="16" t="inlineStr">
        <is>
          <t>CORREGIBLE</t>
        </is>
      </c>
      <c r="K1179" s="16" t="b">
        <v>1</v>
      </c>
      <c r="L1179" s="16" t="b">
        <v>0</v>
      </c>
      <c r="M1179" s="16" t="b">
        <v>1</v>
      </c>
      <c r="N1179" s="16" t="b">
        <v>0</v>
      </c>
      <c r="O1179" s="16" t="n">
        <v>454.9286870219634</v>
      </c>
      <c r="P1179" s="16" t="n">
        <v>290.796858170584</v>
      </c>
      <c r="Q1179" s="16" t="n">
        <v>4088.045989928837</v>
      </c>
      <c r="R1179" s="16" t="n">
        <v>993.7960822139984</v>
      </c>
      <c r="S1179" s="16" t="n">
        <v>0.7357711324588588</v>
      </c>
      <c r="T1179" s="16" t="n">
        <v>0.8598469896721126</v>
      </c>
      <c r="U1179" s="16" t="n">
        <v>0.8224072654354539</v>
      </c>
      <c r="V1179" s="16" t="n">
        <v>0.6798758807615088</v>
      </c>
      <c r="W1179" s="16" t="n">
        <v>0.675600158128018</v>
      </c>
      <c r="X1179" s="16" t="n">
        <v>0.8628325970252846</v>
      </c>
      <c r="Y1179" s="16" t="n">
        <v>290.796858170584</v>
      </c>
      <c r="Z1179" s="16" t="n">
        <v>11.77527184921152</v>
      </c>
      <c r="AA1179" s="16" t="n">
        <v>129.6282283935816</v>
      </c>
      <c r="AB1179" s="16" t="n">
        <v>3094.249907714838</v>
      </c>
      <c r="AC1179" s="16" t="n">
        <v>4.113566216543547</v>
      </c>
      <c r="AD1179" s="16" t="inlineStr">
        <is>
          <t>O2</t>
        </is>
      </c>
      <c r="AE1179" s="16" t="n"/>
    </row>
    <row r="1180">
      <c r="A1180" s="16" t="inlineStr">
        <is>
          <t>KF-M04-0108</t>
        </is>
      </c>
      <c r="B1180" s="16" t="inlineStr">
        <is>
          <t>3.2</t>
        </is>
      </c>
      <c r="C1180" s="16" t="inlineStr">
        <is>
          <t>3.2</t>
        </is>
      </c>
      <c r="D1180" s="16" t="inlineStr">
        <is>
          <t>muestra de 300 puntos</t>
        </is>
      </c>
      <c r="E1180" s="16" t="inlineStr">
        <is>
          <t>KF-M04</t>
        </is>
      </c>
      <c r="F1180" s="16" t="inlineStr">
        <is>
          <t>KF-M04</t>
        </is>
      </c>
      <c r="G1180" s="16" t="inlineStr">
        <is>
          <t>B07</t>
        </is>
      </c>
      <c r="H1180" s="16" t="inlineStr">
        <is>
          <t>lhs</t>
        </is>
      </c>
      <c r="I1180" s="16" t="inlineStr">
        <is>
          <t>KALINA</t>
        </is>
      </c>
      <c r="J1180" s="16" t="inlineStr">
        <is>
          <t>KALINA</t>
        </is>
      </c>
      <c r="K1180" s="16" t="b">
        <v>1</v>
      </c>
      <c r="L1180" s="16" t="b">
        <v>0</v>
      </c>
      <c r="M1180" s="16" t="b">
        <v>1</v>
      </c>
      <c r="N1180" s="16" t="b">
        <v>0</v>
      </c>
      <c r="O1180" s="16" t="n">
        <v>492.4479539936064</v>
      </c>
      <c r="P1180" s="16" t="n">
        <v>278.922897839971</v>
      </c>
      <c r="Q1180" s="16" t="n">
        <v>4615.247022083548</v>
      </c>
      <c r="R1180" s="16" t="n">
        <v>1406.893214417201</v>
      </c>
      <c r="S1180" s="16" t="n">
        <v>0.6367325114985543</v>
      </c>
      <c r="T1180" s="16" t="n">
        <v>0.8841125798048979</v>
      </c>
      <c r="U1180" s="16" t="n">
        <v>0.7099165827689731</v>
      </c>
      <c r="V1180" s="16" t="n">
        <v>0.6176850373149904</v>
      </c>
      <c r="W1180" s="16" t="n">
        <v>0.6338072352756156</v>
      </c>
      <c r="X1180" s="16" t="n">
        <v>0.8674835619171775</v>
      </c>
      <c r="Y1180" s="16" t="n">
        <v>278.922897839971</v>
      </c>
      <c r="Z1180" s="16" t="n">
        <v>8.977978327364319</v>
      </c>
      <c r="AA1180" s="16" t="n">
        <v>108.0472228487782</v>
      </c>
      <c r="AB1180" s="16" t="n">
        <v>3208.353807666347</v>
      </c>
      <c r="AC1180" s="16" t="n">
        <v>3.280452968845538</v>
      </c>
      <c r="AD1180" s="16" t="n"/>
      <c r="AE1180" s="16" t="n"/>
    </row>
    <row r="1181">
      <c r="A1181" s="16" t="inlineStr">
        <is>
          <t>KF-M04-0109</t>
        </is>
      </c>
      <c r="B1181" s="16" t="inlineStr">
        <is>
          <t>3.2</t>
        </is>
      </c>
      <c r="C1181" s="16" t="inlineStr">
        <is>
          <t>3.2</t>
        </is>
      </c>
      <c r="D1181" s="16" t="inlineStr">
        <is>
          <t>muestra de 300 puntos</t>
        </is>
      </c>
      <c r="E1181" s="16" t="inlineStr">
        <is>
          <t>KF-M04</t>
        </is>
      </c>
      <c r="F1181" s="16" t="inlineStr">
        <is>
          <t>KF-M04</t>
        </is>
      </c>
      <c r="G1181" s="16" t="inlineStr">
        <is>
          <t>B07</t>
        </is>
      </c>
      <c r="H1181" s="16" t="inlineStr">
        <is>
          <t>lhs</t>
        </is>
      </c>
      <c r="I1181" s="16" t="inlineStr">
        <is>
          <t>KALINA</t>
        </is>
      </c>
      <c r="J1181" s="16" t="inlineStr">
        <is>
          <t>KALINA</t>
        </is>
      </c>
      <c r="K1181" s="16" t="b">
        <v>1</v>
      </c>
      <c r="L1181" s="16" t="b">
        <v>1</v>
      </c>
      <c r="M1181" s="16" t="b">
        <v>0</v>
      </c>
      <c r="N1181" s="16" t="b">
        <v>0</v>
      </c>
      <c r="O1181" s="16" t="n">
        <v>420.7208754102621</v>
      </c>
      <c r="P1181" s="16" t="n">
        <v>282.9853106871545</v>
      </c>
      <c r="Q1181" s="16" t="n">
        <v>4111.491561710556</v>
      </c>
      <c r="R1181" s="16" t="n">
        <v>1493.200032708748</v>
      </c>
      <c r="S1181" s="16" t="n">
        <v>0.8453905215942479</v>
      </c>
      <c r="T1181" s="16" t="n">
        <v>0.8794341543846735</v>
      </c>
      <c r="U1181" s="16" t="n">
        <v>0.8482556804451195</v>
      </c>
      <c r="V1181" s="16" t="n">
        <v>0.7302335485498654</v>
      </c>
      <c r="W1181" s="16" t="n">
        <v>0.7198635434736419</v>
      </c>
      <c r="X1181" s="16" t="n">
        <v>0.9233452973923776</v>
      </c>
      <c r="Y1181" s="16" t="n">
        <v>282.9853106871545</v>
      </c>
      <c r="Z1181" s="16" t="n">
        <v>8.632700261279739</v>
      </c>
      <c r="AA1181" s="16" t="n">
        <v>83.1883866991223</v>
      </c>
      <c r="AB1181" s="16" t="n">
        <v>2618.291529001808</v>
      </c>
      <c r="AC1181" s="16" t="n">
        <v>2.753476742330418</v>
      </c>
      <c r="AD1181" s="16" t="n"/>
      <c r="AE1181" s="16" t="n"/>
    </row>
    <row r="1182">
      <c r="A1182" s="16" t="inlineStr">
        <is>
          <t>KF-M04-0110</t>
        </is>
      </c>
      <c r="B1182" s="16" t="inlineStr">
        <is>
          <t>3.2</t>
        </is>
      </c>
      <c r="C1182" s="16" t="inlineStr">
        <is>
          <t>3.2</t>
        </is>
      </c>
      <c r="D1182" s="16" t="inlineStr">
        <is>
          <t>muestra de 300 puntos</t>
        </is>
      </c>
      <c r="E1182" s="16" t="inlineStr">
        <is>
          <t>KF-M04</t>
        </is>
      </c>
      <c r="F1182" s="16" t="inlineStr">
        <is>
          <t>KF-M04</t>
        </is>
      </c>
      <c r="G1182" s="16" t="inlineStr">
        <is>
          <t>B07</t>
        </is>
      </c>
      <c r="H1182" s="16" t="inlineStr">
        <is>
          <t>lhs</t>
        </is>
      </c>
      <c r="I1182" s="16" t="inlineStr">
        <is>
          <t>CORREGIBLE</t>
        </is>
      </c>
      <c r="J1182" s="16" t="inlineStr">
        <is>
          <t>CORREGIBLE</t>
        </is>
      </c>
      <c r="K1182" s="16" t="b">
        <v>1</v>
      </c>
      <c r="L1182" s="16" t="b">
        <v>0</v>
      </c>
      <c r="M1182" s="16" t="b">
        <v>0</v>
      </c>
      <c r="N1182" s="16" t="b">
        <v>0</v>
      </c>
      <c r="O1182" s="16" t="n">
        <v>455.6211208056564</v>
      </c>
      <c r="P1182" s="16" t="n">
        <v>279.5970080607263</v>
      </c>
      <c r="Q1182" s="16" t="n">
        <v>2342.038789546659</v>
      </c>
      <c r="R1182" s="16" t="n">
        <v>321.5592018174124</v>
      </c>
      <c r="S1182" s="16" t="n">
        <v>0.816073020551318</v>
      </c>
      <c r="T1182" s="16" t="n">
        <v>0.7781622971709342</v>
      </c>
      <c r="U1182" s="16" t="n">
        <v>0.8299301526685491</v>
      </c>
      <c r="V1182" s="16" t="n">
        <v>0.7451537092702084</v>
      </c>
      <c r="W1182" s="16" t="n">
        <v>0.8189036809269705</v>
      </c>
      <c r="X1182" s="16" t="n">
        <v>0.8771128741085519</v>
      </c>
      <c r="Y1182" s="16" t="n">
        <v>279.5970080607263</v>
      </c>
      <c r="Z1182" s="16" t="n">
        <v>7.703707835529521</v>
      </c>
      <c r="AA1182" s="16" t="n">
        <v>62.43296914404013</v>
      </c>
      <c r="AB1182" s="16" t="n">
        <v>2020.479587729247</v>
      </c>
      <c r="AC1182" s="16" t="n">
        <v>7.283382892822686</v>
      </c>
      <c r="AD1182" s="16" t="inlineStr">
        <is>
          <t>O2</t>
        </is>
      </c>
      <c r="AE1182" s="16" t="n"/>
    </row>
    <row r="1183">
      <c r="A1183" s="16" t="inlineStr">
        <is>
          <t>KF-M04-0111</t>
        </is>
      </c>
      <c r="B1183" s="16" t="inlineStr">
        <is>
          <t>3.2</t>
        </is>
      </c>
      <c r="C1183" s="16" t="inlineStr">
        <is>
          <t>3.2</t>
        </is>
      </c>
      <c r="D1183" s="16" t="inlineStr">
        <is>
          <t>muestra de 300 puntos</t>
        </is>
      </c>
      <c r="E1183" s="16" t="inlineStr">
        <is>
          <t>KF-M04</t>
        </is>
      </c>
      <c r="F1183" s="16" t="inlineStr">
        <is>
          <t>KF-M04</t>
        </is>
      </c>
      <c r="G1183" s="16" t="inlineStr">
        <is>
          <t>B07</t>
        </is>
      </c>
      <c r="H1183" s="16" t="inlineStr">
        <is>
          <t>lhs</t>
        </is>
      </c>
      <c r="I1183" s="16" t="inlineStr">
        <is>
          <t>NO_CONVERGIO</t>
        </is>
      </c>
      <c r="J1183" s="16" t="inlineStr">
        <is>
          <t>NO_CONVERGIO</t>
        </is>
      </c>
      <c r="K1183" s="16" t="b">
        <v>0</v>
      </c>
      <c r="L1183" s="16" t="b">
        <v>0</v>
      </c>
      <c r="M1183" s="16" t="b">
        <v>0</v>
      </c>
      <c r="N1183" s="16" t="b">
        <v>0</v>
      </c>
      <c r="O1183" s="16" t="n">
        <v>482.3393612892561</v>
      </c>
      <c r="P1183" s="16" t="n">
        <v>288.456005293258</v>
      </c>
      <c r="Q1183" s="16" t="n">
        <v>2882.245216868926</v>
      </c>
      <c r="R1183" s="16" t="n">
        <v>1296.884032185822</v>
      </c>
      <c r="S1183" s="16" t="n">
        <v>0.8420493862833115</v>
      </c>
      <c r="T1183" s="16" t="n">
        <v>0.82388426258839</v>
      </c>
      <c r="U1183" s="16" t="n">
        <v>0.8544696321504766</v>
      </c>
      <c r="V1183" s="16" t="n">
        <v>0.6394119009520705</v>
      </c>
      <c r="W1183" s="16" t="n">
        <v>0.7202051000180504</v>
      </c>
      <c r="X1183" s="16" t="n">
        <v>0.8651512170746366</v>
      </c>
      <c r="Y1183" s="16" t="n">
        <v>288.456005293258</v>
      </c>
      <c r="Z1183" s="16" t="n"/>
      <c r="AA1183" s="16" t="n"/>
      <c r="AB1183" s="16" t="n">
        <v>1585.361184683104</v>
      </c>
      <c r="AC1183" s="16" t="n">
        <v>2.222438664782594</v>
      </c>
      <c r="AD1183" s="16" t="n"/>
      <c r="AE1183" s="16" t="n"/>
    </row>
    <row r="1184">
      <c r="A1184" s="16" t="inlineStr">
        <is>
          <t>KF-M04-0112</t>
        </is>
      </c>
      <c r="B1184" s="16" t="inlineStr">
        <is>
          <t>3.2</t>
        </is>
      </c>
      <c r="C1184" s="16" t="inlineStr">
        <is>
          <t>3.2</t>
        </is>
      </c>
      <c r="D1184" s="16" t="inlineStr">
        <is>
          <t>muestra de 300 puntos</t>
        </is>
      </c>
      <c r="E1184" s="16" t="inlineStr">
        <is>
          <t>KF-M04</t>
        </is>
      </c>
      <c r="F1184" s="16" t="inlineStr">
        <is>
          <t>KF-M04</t>
        </is>
      </c>
      <c r="G1184" s="16" t="inlineStr">
        <is>
          <t>B07</t>
        </is>
      </c>
      <c r="H1184" s="16" t="inlineStr">
        <is>
          <t>lhs</t>
        </is>
      </c>
      <c r="I1184" s="16" t="inlineStr">
        <is>
          <t>CORREGIBLE</t>
        </is>
      </c>
      <c r="J1184" s="16" t="inlineStr">
        <is>
          <t>CORREGIBLE</t>
        </is>
      </c>
      <c r="K1184" s="16" t="b">
        <v>1</v>
      </c>
      <c r="L1184" s="16" t="b">
        <v>0</v>
      </c>
      <c r="M1184" s="16" t="b">
        <v>0</v>
      </c>
      <c r="N1184" s="16" t="b">
        <v>0</v>
      </c>
      <c r="O1184" s="16" t="n">
        <v>435.0510131215032</v>
      </c>
      <c r="P1184" s="16" t="n">
        <v>285.9180446346153</v>
      </c>
      <c r="Q1184" s="16" t="n">
        <v>3103.330084668993</v>
      </c>
      <c r="R1184" s="16" t="n">
        <v>750.2493533239415</v>
      </c>
      <c r="S1184" s="16" t="n">
        <v>0.8357578556370046</v>
      </c>
      <c r="T1184" s="16" t="n">
        <v>0.872715014959643</v>
      </c>
      <c r="U1184" s="16" t="n">
        <v>0.6823537805757488</v>
      </c>
      <c r="V1184" s="16" t="n">
        <v>0.6197692226737149</v>
      </c>
      <c r="W1184" s="16" t="n">
        <v>0.9071449125854564</v>
      </c>
      <c r="X1184" s="16" t="n">
        <v>0.8898262525875696</v>
      </c>
      <c r="Y1184" s="16" t="n">
        <v>285.9180446346153</v>
      </c>
      <c r="Z1184" s="16" t="n">
        <v>12.575016548221</v>
      </c>
      <c r="AA1184" s="16" t="n">
        <v>125.1578526966363</v>
      </c>
      <c r="AB1184" s="16" t="n">
        <v>2353.080731345051</v>
      </c>
      <c r="AC1184" s="16" t="n">
        <v>4.136398213367126</v>
      </c>
      <c r="AD1184" s="16" t="inlineStr">
        <is>
          <t>O2</t>
        </is>
      </c>
      <c r="AE1184" s="16" t="n"/>
    </row>
    <row r="1185">
      <c r="A1185" s="16" t="inlineStr">
        <is>
          <t>KF-M04-0113</t>
        </is>
      </c>
      <c r="B1185" s="16" t="inlineStr">
        <is>
          <t>3.2</t>
        </is>
      </c>
      <c r="C1185" s="16" t="inlineStr">
        <is>
          <t>3.2</t>
        </is>
      </c>
      <c r="D1185" s="16" t="inlineStr">
        <is>
          <t>muestra de 300 puntos</t>
        </is>
      </c>
      <c r="E1185" s="16" t="inlineStr">
        <is>
          <t>KF-M04</t>
        </is>
      </c>
      <c r="F1185" s="16" t="inlineStr">
        <is>
          <t>KF-M04</t>
        </is>
      </c>
      <c r="G1185" s="16" t="inlineStr">
        <is>
          <t>B07</t>
        </is>
      </c>
      <c r="H1185" s="16" t="inlineStr">
        <is>
          <t>lhs</t>
        </is>
      </c>
      <c r="I1185" s="16" t="inlineStr">
        <is>
          <t>CORREGIBLE</t>
        </is>
      </c>
      <c r="J1185" s="16" t="inlineStr">
        <is>
          <t>CORREGIBLE</t>
        </is>
      </c>
      <c r="K1185" s="16" t="b">
        <v>1</v>
      </c>
      <c r="L1185" s="16" t="b">
        <v>0</v>
      </c>
      <c r="M1185" s="16" t="b">
        <v>1</v>
      </c>
      <c r="N1185" s="16" t="b">
        <v>0</v>
      </c>
      <c r="O1185" s="16" t="n">
        <v>435.7632350111654</v>
      </c>
      <c r="P1185" s="16" t="n">
        <v>288.0391733346103</v>
      </c>
      <c r="Q1185" s="16" t="n">
        <v>3588.747997358853</v>
      </c>
      <c r="R1185" s="16" t="n">
        <v>1365.887774483243</v>
      </c>
      <c r="S1185" s="16" t="n">
        <v>0.6694784133619552</v>
      </c>
      <c r="T1185" s="16" t="n">
        <v>0.7906867710134959</v>
      </c>
      <c r="U1185" s="16" t="n">
        <v>0.6659797761045763</v>
      </c>
      <c r="V1185" s="16" t="n">
        <v>0.9286454243984812</v>
      </c>
      <c r="W1185" s="16" t="n">
        <v>0.7073330160724908</v>
      </c>
      <c r="X1185" s="16" t="n">
        <v>0.8439154850874112</v>
      </c>
      <c r="Y1185" s="16" t="n">
        <v>288.0391733346103</v>
      </c>
      <c r="Z1185" s="16" t="n">
        <v>7.25801466029117</v>
      </c>
      <c r="AA1185" s="16" t="n">
        <v>78.87777714635344</v>
      </c>
      <c r="AB1185" s="16" t="n">
        <v>2222.86022287561</v>
      </c>
      <c r="AC1185" s="16" t="n">
        <v>2.62741058555604</v>
      </c>
      <c r="AD1185" s="16" t="inlineStr">
        <is>
          <t>O2</t>
        </is>
      </c>
      <c r="AE1185" s="16" t="n"/>
    </row>
    <row r="1186">
      <c r="A1186" s="16" t="inlineStr">
        <is>
          <t>KF-M04-0114</t>
        </is>
      </c>
      <c r="B1186" s="16" t="inlineStr">
        <is>
          <t>3.2</t>
        </is>
      </c>
      <c r="C1186" s="16" t="inlineStr">
        <is>
          <t>3.2</t>
        </is>
      </c>
      <c r="D1186" s="16" t="inlineStr">
        <is>
          <t>muestra de 300 puntos</t>
        </is>
      </c>
      <c r="E1186" s="16" t="inlineStr">
        <is>
          <t>KF-M04</t>
        </is>
      </c>
      <c r="F1186" s="16" t="inlineStr">
        <is>
          <t>KF-M04</t>
        </is>
      </c>
      <c r="G1186" s="16" t="inlineStr">
        <is>
          <t>B07</t>
        </is>
      </c>
      <c r="H1186" s="16" t="inlineStr">
        <is>
          <t>lhs</t>
        </is>
      </c>
      <c r="I1186" s="16" t="inlineStr">
        <is>
          <t>N2</t>
        </is>
      </c>
      <c r="J1186" s="16" t="inlineStr">
        <is>
          <t>NO_CONVERGIO</t>
        </is>
      </c>
      <c r="K1186" s="16" t="b">
        <v>0</v>
      </c>
      <c r="L1186" s="16" t="b">
        <v>0</v>
      </c>
      <c r="M1186" s="16" t="b">
        <v>0</v>
      </c>
      <c r="N1186" s="16" t="b">
        <v>0</v>
      </c>
      <c r="O1186" s="16" t="n">
        <v>407.7231626266845</v>
      </c>
      <c r="P1186" s="16" t="n">
        <v>286.3015408677338</v>
      </c>
      <c r="Q1186" s="16" t="n">
        <v>4672.048749235894</v>
      </c>
      <c r="R1186" s="16" t="n">
        <v>383.191975871152</v>
      </c>
      <c r="S1186" s="16" t="n">
        <v>0.5052770323296947</v>
      </c>
      <c r="T1186" s="16" t="n">
        <v>0.8749574445318973</v>
      </c>
      <c r="U1186" s="16" t="n">
        <v>0.6988974807486804</v>
      </c>
      <c r="V1186" s="16" t="n">
        <v>0.9091545741708164</v>
      </c>
      <c r="W1186" s="16" t="n">
        <v>0.6235010604281747</v>
      </c>
      <c r="X1186" s="16" t="n">
        <v>0.9135677079853258</v>
      </c>
      <c r="Y1186" s="16" t="n">
        <v>286.3015408677338</v>
      </c>
      <c r="Z1186" s="16" t="n">
        <v>-17.11649376841527</v>
      </c>
      <c r="AA1186" s="16" t="n">
        <v>-30.70499658057582</v>
      </c>
      <c r="AB1186" s="16" t="n">
        <v>4288.856773364742</v>
      </c>
      <c r="AC1186" s="16" t="n">
        <v>12.19244932938488</v>
      </c>
      <c r="AD1186" s="16" t="inlineStr">
        <is>
          <t>N2,O3,O5,C1,C3,C3</t>
        </is>
      </c>
      <c r="AE1186" s="16" t="n"/>
    </row>
    <row r="1187">
      <c r="A1187" s="16" t="inlineStr">
        <is>
          <t>KF-M04-0115</t>
        </is>
      </c>
      <c r="B1187" s="16" t="inlineStr">
        <is>
          <t>3.2</t>
        </is>
      </c>
      <c r="C1187" s="16" t="inlineStr">
        <is>
          <t>3.2</t>
        </is>
      </c>
      <c r="D1187" s="16" t="inlineStr">
        <is>
          <t>muestra de 300 puntos</t>
        </is>
      </c>
      <c r="E1187" s="16" t="inlineStr">
        <is>
          <t>KF-M04</t>
        </is>
      </c>
      <c r="F1187" s="16" t="inlineStr">
        <is>
          <t>KF-M04</t>
        </is>
      </c>
      <c r="G1187" s="16" t="inlineStr">
        <is>
          <t>B07</t>
        </is>
      </c>
      <c r="H1187" s="16" t="inlineStr">
        <is>
          <t>lhs</t>
        </is>
      </c>
      <c r="I1187" s="16" t="inlineStr">
        <is>
          <t>KALINA</t>
        </is>
      </c>
      <c r="J1187" s="16" t="inlineStr">
        <is>
          <t>KALINA</t>
        </is>
      </c>
      <c r="K1187" s="16" t="b">
        <v>1</v>
      </c>
      <c r="L1187" s="16" t="b">
        <v>1</v>
      </c>
      <c r="M1187" s="16" t="b">
        <v>0</v>
      </c>
      <c r="N1187" s="16" t="b">
        <v>0</v>
      </c>
      <c r="O1187" s="16" t="n">
        <v>380.8736596912844</v>
      </c>
      <c r="P1187" s="16" t="n">
        <v>281.2602954649993</v>
      </c>
      <c r="Q1187" s="16" t="n">
        <v>2583.243937801293</v>
      </c>
      <c r="R1187" s="16" t="n">
        <v>1235.270961844453</v>
      </c>
      <c r="S1187" s="16" t="n">
        <v>0.8028340697045067</v>
      </c>
      <c r="T1187" s="16" t="n">
        <v>0.8910900809064712</v>
      </c>
      <c r="U1187" s="16" t="n">
        <v>0.7180292825795996</v>
      </c>
      <c r="V1187" s="16" t="n">
        <v>0.6908512319689724</v>
      </c>
      <c r="W1187" s="16" t="n">
        <v>0.9306083595603736</v>
      </c>
      <c r="X1187" s="16" t="n">
        <v>0.856938651876935</v>
      </c>
      <c r="Y1187" s="16" t="n">
        <v>281.2602954649993</v>
      </c>
      <c r="Z1187" s="16" t="n">
        <v>6.5909429098735</v>
      </c>
      <c r="AA1187" s="16" t="n">
        <v>42.297246989839</v>
      </c>
      <c r="AB1187" s="16" t="n">
        <v>1347.972975956839</v>
      </c>
      <c r="AC1187" s="16" t="n">
        <v>2.091236674052553</v>
      </c>
      <c r="AD1187" s="16" t="n"/>
      <c r="AE1187" s="16" t="n"/>
    </row>
    <row r="1188">
      <c r="A1188" s="16" t="inlineStr">
        <is>
          <t>KF-M04-0116</t>
        </is>
      </c>
      <c r="B1188" s="16" t="inlineStr">
        <is>
          <t>3.2</t>
        </is>
      </c>
      <c r="C1188" s="16" t="inlineStr">
        <is>
          <t>3.2</t>
        </is>
      </c>
      <c r="D1188" s="16" t="inlineStr">
        <is>
          <t>muestra de 300 puntos</t>
        </is>
      </c>
      <c r="E1188" s="16" t="inlineStr">
        <is>
          <t>KF-M04</t>
        </is>
      </c>
      <c r="F1188" s="16" t="inlineStr">
        <is>
          <t>KF-M04</t>
        </is>
      </c>
      <c r="G1188" s="16" t="inlineStr">
        <is>
          <t>B07</t>
        </is>
      </c>
      <c r="H1188" s="16" t="inlineStr">
        <is>
          <t>lhs</t>
        </is>
      </c>
      <c r="I1188" s="16" t="inlineStr">
        <is>
          <t>NO_CONVERGIO</t>
        </is>
      </c>
      <c r="J1188" s="16" t="inlineStr">
        <is>
          <t>NO_CONVERGIO</t>
        </is>
      </c>
      <c r="K1188" s="16" t="b">
        <v>0</v>
      </c>
      <c r="L1188" s="16" t="b">
        <v>0</v>
      </c>
      <c r="M1188" s="16" t="b">
        <v>0</v>
      </c>
      <c r="N1188" s="16" t="b">
        <v>0</v>
      </c>
      <c r="O1188" s="16" t="n">
        <v>422.8146500177111</v>
      </c>
      <c r="P1188" s="16" t="n">
        <v>279.2948058427395</v>
      </c>
      <c r="Q1188" s="16" t="n">
        <v>3791.102007697985</v>
      </c>
      <c r="R1188" s="16" t="n">
        <v>534.8492103782486</v>
      </c>
      <c r="S1188" s="16" t="n">
        <v>0.6680034161306925</v>
      </c>
      <c r="T1188" s="16" t="n">
        <v>0.8008719196821527</v>
      </c>
      <c r="U1188" s="16" t="n">
        <v>0.8600767201763425</v>
      </c>
      <c r="V1188" s="16" t="n">
        <v>0.6608359981660397</v>
      </c>
      <c r="W1188" s="16" t="n">
        <v>0.6941264594011085</v>
      </c>
      <c r="X1188" s="16" t="n">
        <v>0.8735909660764795</v>
      </c>
      <c r="Y1188" s="16" t="n">
        <v>279.2948058427395</v>
      </c>
      <c r="Z1188" s="16" t="n"/>
      <c r="AA1188" s="16" t="n"/>
      <c r="AB1188" s="16" t="n">
        <v>3256.252797319736</v>
      </c>
      <c r="AC1188" s="16" t="n">
        <v>7.088169775957778</v>
      </c>
      <c r="AD1188" s="16" t="n"/>
      <c r="AE1188" s="16" t="n"/>
    </row>
    <row r="1189">
      <c r="A1189" s="16" t="inlineStr">
        <is>
          <t>KF-M04-0117</t>
        </is>
      </c>
      <c r="B1189" s="16" t="inlineStr">
        <is>
          <t>3.2</t>
        </is>
      </c>
      <c r="C1189" s="16" t="inlineStr">
        <is>
          <t>3.2</t>
        </is>
      </c>
      <c r="D1189" s="16" t="inlineStr">
        <is>
          <t>muestra de 300 puntos</t>
        </is>
      </c>
      <c r="E1189" s="16" t="inlineStr">
        <is>
          <t>KF-M04</t>
        </is>
      </c>
      <c r="F1189" s="16" t="inlineStr">
        <is>
          <t>KF-M04</t>
        </is>
      </c>
      <c r="G1189" s="16" t="inlineStr">
        <is>
          <t>B07</t>
        </is>
      </c>
      <c r="H1189" s="16" t="inlineStr">
        <is>
          <t>lhs</t>
        </is>
      </c>
      <c r="I1189" s="16" t="inlineStr">
        <is>
          <t>CORREGIBLE</t>
        </is>
      </c>
      <c r="J1189" s="16" t="inlineStr">
        <is>
          <t>CORREGIBLE</t>
        </is>
      </c>
      <c r="K1189" s="16" t="b">
        <v>1</v>
      </c>
      <c r="L1189" s="16" t="b">
        <v>0</v>
      </c>
      <c r="M1189" s="16" t="b">
        <v>1</v>
      </c>
      <c r="N1189" s="16" t="b">
        <v>0</v>
      </c>
      <c r="O1189" s="16" t="n">
        <v>444.9795875598183</v>
      </c>
      <c r="P1189" s="16" t="n">
        <v>295.4004350217197</v>
      </c>
      <c r="Q1189" s="16" t="n">
        <v>4771.928715867753</v>
      </c>
      <c r="R1189" s="16" t="n">
        <v>729.6419300289389</v>
      </c>
      <c r="S1189" s="16" t="n">
        <v>0.5212602546944715</v>
      </c>
      <c r="T1189" s="16" t="n">
        <v>0.913805475694045</v>
      </c>
      <c r="U1189" s="16" t="n">
        <v>0.740962725806541</v>
      </c>
      <c r="V1189" s="16" t="n">
        <v>0.8338000892688716</v>
      </c>
      <c r="W1189" s="16" t="n">
        <v>0.7133956304667697</v>
      </c>
      <c r="X1189" s="16" t="n">
        <v>0.8596207576531407</v>
      </c>
      <c r="Y1189" s="16" t="n">
        <v>295.4004350217197</v>
      </c>
      <c r="Z1189" s="16" t="n">
        <v>11.63990627353706</v>
      </c>
      <c r="AA1189" s="16" t="n">
        <v>69.99526586511793</v>
      </c>
      <c r="AB1189" s="16" t="n">
        <v>4042.286785838814</v>
      </c>
      <c r="AC1189" s="16" t="n">
        <v>6.54009661379862</v>
      </c>
      <c r="AD1189" s="16" t="inlineStr">
        <is>
          <t>O1</t>
        </is>
      </c>
      <c r="AE1189" s="16" t="n"/>
    </row>
    <row r="1190">
      <c r="A1190" s="16" t="inlineStr">
        <is>
          <t>KF-M04-0118</t>
        </is>
      </c>
      <c r="B1190" s="16" t="inlineStr">
        <is>
          <t>3.2</t>
        </is>
      </c>
      <c r="C1190" s="16" t="inlineStr">
        <is>
          <t>3.2</t>
        </is>
      </c>
      <c r="D1190" s="16" t="inlineStr">
        <is>
          <t>muestra de 300 puntos</t>
        </is>
      </c>
      <c r="E1190" s="16" t="inlineStr">
        <is>
          <t>KF-M04</t>
        </is>
      </c>
      <c r="F1190" s="16" t="inlineStr">
        <is>
          <t>KF-M04</t>
        </is>
      </c>
      <c r="G1190" s="16" t="inlineStr">
        <is>
          <t>B07</t>
        </is>
      </c>
      <c r="H1190" s="16" t="inlineStr">
        <is>
          <t>lhs</t>
        </is>
      </c>
      <c r="I1190" s="16" t="inlineStr">
        <is>
          <t>CORREGIBLE</t>
        </is>
      </c>
      <c r="J1190" s="16" t="inlineStr">
        <is>
          <t>CORREGIBLE</t>
        </is>
      </c>
      <c r="K1190" s="16" t="b">
        <v>1</v>
      </c>
      <c r="L1190" s="16" t="b">
        <v>0</v>
      </c>
      <c r="M1190" s="16" t="b">
        <v>0</v>
      </c>
      <c r="N1190" s="16" t="b">
        <v>0</v>
      </c>
      <c r="O1190" s="16" t="n">
        <v>409.3128252254591</v>
      </c>
      <c r="P1190" s="16" t="n">
        <v>299.2651362879183</v>
      </c>
      <c r="Q1190" s="16" t="n">
        <v>2946.519300934868</v>
      </c>
      <c r="R1190" s="16" t="n">
        <v>1472.987916922285</v>
      </c>
      <c r="S1190" s="16" t="n">
        <v>0.8367508236980218</v>
      </c>
      <c r="T1190" s="16" t="n">
        <v>0.7716901747868424</v>
      </c>
      <c r="U1190" s="16" t="n">
        <v>0.7954478541505994</v>
      </c>
      <c r="V1190" s="16" t="n">
        <v>0.8576211774354678</v>
      </c>
      <c r="W1190" s="16" t="n">
        <v>0.6018524947566117</v>
      </c>
      <c r="X1190" s="16" t="n">
        <v>0.8819606546926823</v>
      </c>
      <c r="Y1190" s="16" t="n">
        <v>299.2651362879183</v>
      </c>
      <c r="Z1190" s="16" t="n">
        <v>5.92318246707792</v>
      </c>
      <c r="AA1190" s="16" t="n">
        <v>62.71813189862516</v>
      </c>
      <c r="AB1190" s="16" t="n">
        <v>1473.531384012583</v>
      </c>
      <c r="AC1190" s="16" t="n">
        <v>2.000368955565796</v>
      </c>
      <c r="AD1190" s="16" t="inlineStr">
        <is>
          <t>O2</t>
        </is>
      </c>
      <c r="AE1190" s="16" t="n"/>
    </row>
    <row r="1191">
      <c r="A1191" s="16" t="inlineStr">
        <is>
          <t>KF-M04-0119</t>
        </is>
      </c>
      <c r="B1191" s="16" t="inlineStr">
        <is>
          <t>3.2</t>
        </is>
      </c>
      <c r="C1191" s="16" t="inlineStr">
        <is>
          <t>3.2</t>
        </is>
      </c>
      <c r="D1191" s="16" t="inlineStr">
        <is>
          <t>muestra de 300 puntos</t>
        </is>
      </c>
      <c r="E1191" s="16" t="inlineStr">
        <is>
          <t>KF-M04</t>
        </is>
      </c>
      <c r="F1191" s="16" t="inlineStr">
        <is>
          <t>KF-M04</t>
        </is>
      </c>
      <c r="G1191" s="16" t="inlineStr">
        <is>
          <t>B07</t>
        </is>
      </c>
      <c r="H1191" s="16" t="inlineStr">
        <is>
          <t>lhs</t>
        </is>
      </c>
      <c r="I1191" s="16" t="inlineStr">
        <is>
          <t>CORREGIBLE</t>
        </is>
      </c>
      <c r="J1191" s="16" t="inlineStr">
        <is>
          <t>CORREGIBLE</t>
        </is>
      </c>
      <c r="K1191" s="16" t="b">
        <v>1</v>
      </c>
      <c r="L1191" s="16" t="b">
        <v>0</v>
      </c>
      <c r="M1191" s="16" t="b">
        <v>1</v>
      </c>
      <c r="N1191" s="16" t="b">
        <v>0</v>
      </c>
      <c r="O1191" s="16" t="n">
        <v>446.9323811594256</v>
      </c>
      <c r="P1191" s="16" t="n">
        <v>291.3711165846561</v>
      </c>
      <c r="Q1191" s="16" t="n">
        <v>4983.501169262159</v>
      </c>
      <c r="R1191" s="16" t="n">
        <v>412.4306878144795</v>
      </c>
      <c r="S1191" s="16" t="n">
        <v>0.5820193888400955</v>
      </c>
      <c r="T1191" s="16" t="n">
        <v>0.9043988713201062</v>
      </c>
      <c r="U1191" s="16" t="n">
        <v>0.6601626548598128</v>
      </c>
      <c r="V1191" s="16" t="n">
        <v>0.7163065551377006</v>
      </c>
      <c r="W1191" s="16" t="n">
        <v>0.6695493214924815</v>
      </c>
      <c r="X1191" s="16" t="n">
        <v>0.7457458860358019</v>
      </c>
      <c r="Y1191" s="16" t="n">
        <v>291.3711165846561</v>
      </c>
      <c r="Z1191" s="16" t="n">
        <v>14.98987403807025</v>
      </c>
      <c r="AA1191" s="16" t="n">
        <v>91.67930492861854</v>
      </c>
      <c r="AB1191" s="16" t="n">
        <v>4571.070481447679</v>
      </c>
      <c r="AC1191" s="16" t="n">
        <v>12.0832452979441</v>
      </c>
      <c r="AD1191" s="16" t="inlineStr">
        <is>
          <t>O1,O2</t>
        </is>
      </c>
      <c r="AE1191" s="16" t="n"/>
    </row>
    <row r="1192">
      <c r="A1192" s="16" t="inlineStr">
        <is>
          <t>KF-M04-0120</t>
        </is>
      </c>
      <c r="B1192" s="16" t="inlineStr">
        <is>
          <t>3.2</t>
        </is>
      </c>
      <c r="C1192" s="16" t="inlineStr">
        <is>
          <t>3.2</t>
        </is>
      </c>
      <c r="D1192" s="16" t="inlineStr">
        <is>
          <t>muestra de 300 puntos</t>
        </is>
      </c>
      <c r="E1192" s="16" t="inlineStr">
        <is>
          <t>KF-M04</t>
        </is>
      </c>
      <c r="F1192" s="16" t="inlineStr">
        <is>
          <t>KF-M04</t>
        </is>
      </c>
      <c r="G1192" s="16" t="inlineStr">
        <is>
          <t>B07</t>
        </is>
      </c>
      <c r="H1192" s="16" t="inlineStr">
        <is>
          <t>lhs</t>
        </is>
      </c>
      <c r="I1192" s="16" t="inlineStr">
        <is>
          <t>NO_CONVERGIO</t>
        </is>
      </c>
      <c r="J1192" s="16" t="inlineStr">
        <is>
          <t>NO_CONVERGIO</t>
        </is>
      </c>
      <c r="K1192" s="16" t="b">
        <v>0</v>
      </c>
      <c r="L1192" s="16" t="b">
        <v>0</v>
      </c>
      <c r="M1192" s="16" t="b">
        <v>0</v>
      </c>
      <c r="N1192" s="16" t="b">
        <v>0</v>
      </c>
      <c r="O1192" s="16" t="n">
        <v>482.8369871052562</v>
      </c>
      <c r="P1192" s="16" t="n">
        <v>290.4559884613878</v>
      </c>
      <c r="Q1192" s="16" t="n">
        <v>3094.081869472642</v>
      </c>
      <c r="R1192" s="16" t="n">
        <v>1098.026134950806</v>
      </c>
      <c r="S1192" s="16" t="n">
        <v>0.7514525837049748</v>
      </c>
      <c r="T1192" s="16" t="n">
        <v>0.8495383115732745</v>
      </c>
      <c r="U1192" s="16" t="n">
        <v>0.7717771566815902</v>
      </c>
      <c r="V1192" s="16" t="n">
        <v>0.7108522842958241</v>
      </c>
      <c r="W1192" s="16" t="n">
        <v>0.844390527543131</v>
      </c>
      <c r="X1192" s="16" t="n">
        <v>0.8178691184797765</v>
      </c>
      <c r="Y1192" s="16" t="n">
        <v>290.4559884613878</v>
      </c>
      <c r="Z1192" s="16" t="n"/>
      <c r="AA1192" s="16" t="n"/>
      <c r="AB1192" s="16" t="n">
        <v>1996.055734521836</v>
      </c>
      <c r="AC1192" s="16" t="n">
        <v>2.817858128314281</v>
      </c>
      <c r="AD1192" s="16" t="n"/>
      <c r="AE1192" s="16" t="n"/>
    </row>
    <row r="1193">
      <c r="A1193" s="16" t="inlineStr">
        <is>
          <t>KF-M04-0121</t>
        </is>
      </c>
      <c r="B1193" s="16" t="inlineStr">
        <is>
          <t>3.2</t>
        </is>
      </c>
      <c r="C1193" s="16" t="inlineStr">
        <is>
          <t>3.2</t>
        </is>
      </c>
      <c r="D1193" s="16" t="inlineStr">
        <is>
          <t>muestra de 300 puntos</t>
        </is>
      </c>
      <c r="E1193" s="16" t="inlineStr">
        <is>
          <t>KF-M04</t>
        </is>
      </c>
      <c r="F1193" s="16" t="inlineStr">
        <is>
          <t>KF-M04</t>
        </is>
      </c>
      <c r="G1193" s="16" t="inlineStr">
        <is>
          <t>B07</t>
        </is>
      </c>
      <c r="H1193" s="16" t="inlineStr">
        <is>
          <t>lhs</t>
        </is>
      </c>
      <c r="I1193" s="16" t="inlineStr">
        <is>
          <t>N2</t>
        </is>
      </c>
      <c r="J1193" s="16" t="inlineStr">
        <is>
          <t>NO_CONVERGIO</t>
        </is>
      </c>
      <c r="K1193" s="16" t="b">
        <v>0</v>
      </c>
      <c r="L1193" s="16" t="b">
        <v>0</v>
      </c>
      <c r="M1193" s="16" t="b">
        <v>0</v>
      </c>
      <c r="N1193" s="16" t="b">
        <v>0</v>
      </c>
      <c r="O1193" s="16" t="n">
        <v>397.5100212724842</v>
      </c>
      <c r="P1193" s="16" t="n">
        <v>280.8024908522348</v>
      </c>
      <c r="Q1193" s="16" t="n">
        <v>4698.781225353001</v>
      </c>
      <c r="R1193" s="16" t="n">
        <v>826.7349229794031</v>
      </c>
      <c r="S1193" s="16" t="n">
        <v>0.5257333870486615</v>
      </c>
      <c r="T1193" s="16" t="n">
        <v>0.7629369838271839</v>
      </c>
      <c r="U1193" s="16" t="n">
        <v>0.8962621823166042</v>
      </c>
      <c r="V1193" s="16" t="n">
        <v>0.707402078572775</v>
      </c>
      <c r="W1193" s="16" t="n">
        <v>0.7885924833935121</v>
      </c>
      <c r="X1193" s="16" t="n">
        <v>0.7478239444768804</v>
      </c>
      <c r="Y1193" s="16" t="n">
        <v>280.8024908522348</v>
      </c>
      <c r="Z1193" s="16" t="n">
        <v>-131.651034400657</v>
      </c>
      <c r="AA1193" s="16" t="n">
        <v>-39.18203997213922</v>
      </c>
      <c r="AB1193" s="16" t="n">
        <v>3872.046302373598</v>
      </c>
      <c r="AC1193" s="16" t="n">
        <v>5.683540267561752</v>
      </c>
      <c r="AD1193" s="16" t="inlineStr">
        <is>
          <t>N2,S6,O3,O5,C1,C3,C3</t>
        </is>
      </c>
      <c r="AE1193" s="16" t="n"/>
    </row>
    <row r="1194">
      <c r="A1194" s="16" t="inlineStr">
        <is>
          <t>KF-M04-0122</t>
        </is>
      </c>
      <c r="B1194" s="16" t="inlineStr">
        <is>
          <t>3.2</t>
        </is>
      </c>
      <c r="C1194" s="16" t="inlineStr">
        <is>
          <t>3.2</t>
        </is>
      </c>
      <c r="D1194" s="16" t="inlineStr">
        <is>
          <t>muestra de 300 puntos</t>
        </is>
      </c>
      <c r="E1194" s="16" t="inlineStr">
        <is>
          <t>KF-M04</t>
        </is>
      </c>
      <c r="F1194" s="16" t="inlineStr">
        <is>
          <t>KF-M04</t>
        </is>
      </c>
      <c r="G1194" s="16" t="inlineStr">
        <is>
          <t>B07</t>
        </is>
      </c>
      <c r="H1194" s="16" t="inlineStr">
        <is>
          <t>lhs</t>
        </is>
      </c>
      <c r="I1194" s="16" t="inlineStr">
        <is>
          <t>CORREGIBLE</t>
        </is>
      </c>
      <c r="J1194" s="16" t="inlineStr">
        <is>
          <t>CORREGIBLE</t>
        </is>
      </c>
      <c r="K1194" s="16" t="b">
        <v>1</v>
      </c>
      <c r="L1194" s="16" t="b">
        <v>0</v>
      </c>
      <c r="M1194" s="16" t="b">
        <v>1</v>
      </c>
      <c r="N1194" s="16" t="b">
        <v>0</v>
      </c>
      <c r="O1194" s="16" t="n">
        <v>475.7691211938354</v>
      </c>
      <c r="P1194" s="16" t="n">
        <v>296.6415854684544</v>
      </c>
      <c r="Q1194" s="16" t="n">
        <v>2333.092969725413</v>
      </c>
      <c r="R1194" s="16" t="n">
        <v>786.2442822326616</v>
      </c>
      <c r="S1194" s="16" t="n">
        <v>0.560230975901256</v>
      </c>
      <c r="T1194" s="16" t="n">
        <v>0.7918394490101398</v>
      </c>
      <c r="U1194" s="16" t="n">
        <v>0.8834834974300049</v>
      </c>
      <c r="V1194" s="16" t="n">
        <v>0.918878454555326</v>
      </c>
      <c r="W1194" s="16" t="n">
        <v>0.6151033912031353</v>
      </c>
      <c r="X1194" s="16" t="n">
        <v>0.7726585816010414</v>
      </c>
      <c r="Y1194" s="16" t="n">
        <v>296.6415854684544</v>
      </c>
      <c r="Z1194" s="16" t="n">
        <v>7.024374252032629</v>
      </c>
      <c r="AA1194" s="16" t="n">
        <v>117.1794704434041</v>
      </c>
      <c r="AB1194" s="16" t="n">
        <v>1546.848687492751</v>
      </c>
      <c r="AC1194" s="16" t="n">
        <v>2.967389426477273</v>
      </c>
      <c r="AD1194" s="16" t="inlineStr">
        <is>
          <t>O2</t>
        </is>
      </c>
      <c r="AE1194" s="16" t="n"/>
    </row>
    <row r="1195">
      <c r="A1195" s="16" t="inlineStr">
        <is>
          <t>KF-M04-0123</t>
        </is>
      </c>
      <c r="B1195" s="16" t="inlineStr">
        <is>
          <t>3.2</t>
        </is>
      </c>
      <c r="C1195" s="16" t="inlineStr">
        <is>
          <t>3.2</t>
        </is>
      </c>
      <c r="D1195" s="16" t="inlineStr">
        <is>
          <t>muestra de 300 puntos</t>
        </is>
      </c>
      <c r="E1195" s="16" t="inlineStr">
        <is>
          <t>KF-M04</t>
        </is>
      </c>
      <c r="F1195" s="16" t="inlineStr">
        <is>
          <t>KF-M04</t>
        </is>
      </c>
      <c r="G1195" s="16" t="inlineStr">
        <is>
          <t>B07</t>
        </is>
      </c>
      <c r="H1195" s="16" t="inlineStr">
        <is>
          <t>lhs</t>
        </is>
      </c>
      <c r="I1195" s="16" t="inlineStr">
        <is>
          <t>INVIABLE</t>
        </is>
      </c>
      <c r="J1195" s="16" t="inlineStr">
        <is>
          <t>INVIABLE</t>
        </is>
      </c>
      <c r="K1195" s="16" t="b">
        <v>1</v>
      </c>
      <c r="L1195" s="16" t="b">
        <v>0</v>
      </c>
      <c r="M1195" s="16" t="b">
        <v>1</v>
      </c>
      <c r="N1195" s="16" t="b">
        <v>0</v>
      </c>
      <c r="O1195" s="16" t="n">
        <v>430.5252130667929</v>
      </c>
      <c r="P1195" s="16" t="n">
        <v>299.6676508696505</v>
      </c>
      <c r="Q1195" s="16" t="n">
        <v>3022.821660328623</v>
      </c>
      <c r="R1195" s="16" t="n">
        <v>388.3976991566941</v>
      </c>
      <c r="S1195" s="16" t="n">
        <v>0.7972780011374073</v>
      </c>
      <c r="T1195" s="16" t="n">
        <v>0.9034995872167766</v>
      </c>
      <c r="U1195" s="16" t="n">
        <v>0.6723088560121512</v>
      </c>
      <c r="V1195" s="16" t="n">
        <v>0.9263280155907654</v>
      </c>
      <c r="W1195" s="16" t="n">
        <v>0.85965881104218</v>
      </c>
      <c r="X1195" s="16" t="n">
        <v>0.7791094463482731</v>
      </c>
      <c r="Y1195" s="16" t="n">
        <v>299.6676508696505</v>
      </c>
      <c r="Z1195" s="16" t="n">
        <v>-6.14374087488837</v>
      </c>
      <c r="AA1195" s="16" t="n">
        <v>-27.9412090474246</v>
      </c>
      <c r="AB1195" s="16" t="n">
        <v>2634.423961171929</v>
      </c>
      <c r="AC1195" s="16" t="n">
        <v>7.782800121864533</v>
      </c>
      <c r="AD1195" s="16" t="inlineStr">
        <is>
          <t>O2,O3</t>
        </is>
      </c>
      <c r="AE1195" s="16" t="n"/>
    </row>
    <row r="1196">
      <c r="A1196" s="16" t="inlineStr">
        <is>
          <t>KF-M04-0124</t>
        </is>
      </c>
      <c r="B1196" s="16" t="inlineStr">
        <is>
          <t>3.2</t>
        </is>
      </c>
      <c r="C1196" s="16" t="inlineStr">
        <is>
          <t>3.2</t>
        </is>
      </c>
      <c r="D1196" s="16" t="inlineStr">
        <is>
          <t>muestra de 300 puntos</t>
        </is>
      </c>
      <c r="E1196" s="16" t="inlineStr">
        <is>
          <t>KF-M04</t>
        </is>
      </c>
      <c r="F1196" s="16" t="inlineStr">
        <is>
          <t>KF-M04</t>
        </is>
      </c>
      <c r="G1196" s="16" t="inlineStr">
        <is>
          <t>B07</t>
        </is>
      </c>
      <c r="H1196" s="16" t="inlineStr">
        <is>
          <t>lhs</t>
        </is>
      </c>
      <c r="I1196" s="16" t="inlineStr">
        <is>
          <t>CORREGIBLE</t>
        </is>
      </c>
      <c r="J1196" s="16" t="inlineStr">
        <is>
          <t>CORREGIBLE</t>
        </is>
      </c>
      <c r="K1196" s="16" t="b">
        <v>1</v>
      </c>
      <c r="L1196" s="16" t="b">
        <v>0</v>
      </c>
      <c r="M1196" s="16" t="b">
        <v>1</v>
      </c>
      <c r="N1196" s="16" t="b">
        <v>0</v>
      </c>
      <c r="O1196" s="16" t="n">
        <v>462.7655295226863</v>
      </c>
      <c r="P1196" s="16" t="n">
        <v>296.5910208731427</v>
      </c>
      <c r="Q1196" s="16" t="n">
        <v>2101.281691846085</v>
      </c>
      <c r="R1196" s="16" t="n">
        <v>1054.642460606296</v>
      </c>
      <c r="S1196" s="16" t="n">
        <v>0.6591514236584484</v>
      </c>
      <c r="T1196" s="16" t="n">
        <v>0.7889583619357934</v>
      </c>
      <c r="U1196" s="16" t="n">
        <v>0.8986023749923316</v>
      </c>
      <c r="V1196" s="16" t="n">
        <v>0.8065885783856857</v>
      </c>
      <c r="W1196" s="16" t="n">
        <v>0.9445971550633816</v>
      </c>
      <c r="X1196" s="16" t="n">
        <v>0.9209648938427952</v>
      </c>
      <c r="Y1196" s="16" t="n">
        <v>296.5910208731427</v>
      </c>
      <c r="Z1196" s="16" t="n">
        <v>5.19749299484297</v>
      </c>
      <c r="AA1196" s="16" t="n">
        <v>81.89073862302772</v>
      </c>
      <c r="AB1196" s="16" t="n">
        <v>1046.639231239789</v>
      </c>
      <c r="AC1196" s="16" t="n">
        <v>1.992411428834464</v>
      </c>
      <c r="AD1196" s="16" t="inlineStr">
        <is>
          <t>O2</t>
        </is>
      </c>
      <c r="AE1196" s="16" t="n"/>
    </row>
    <row r="1197">
      <c r="A1197" s="16" t="inlineStr">
        <is>
          <t>KF-M04-0125</t>
        </is>
      </c>
      <c r="B1197" s="16" t="inlineStr">
        <is>
          <t>3.2</t>
        </is>
      </c>
      <c r="C1197" s="16" t="inlineStr">
        <is>
          <t>3.2</t>
        </is>
      </c>
      <c r="D1197" s="16" t="inlineStr">
        <is>
          <t>muestra de 300 puntos</t>
        </is>
      </c>
      <c r="E1197" s="16" t="inlineStr">
        <is>
          <t>KF-M04</t>
        </is>
      </c>
      <c r="F1197" s="16" t="inlineStr">
        <is>
          <t>KF-M04</t>
        </is>
      </c>
      <c r="G1197" s="16" t="inlineStr">
        <is>
          <t>B07</t>
        </is>
      </c>
      <c r="H1197" s="16" t="inlineStr">
        <is>
          <t>lhs</t>
        </is>
      </c>
      <c r="I1197" s="16" t="inlineStr">
        <is>
          <t>CORREGIBLE</t>
        </is>
      </c>
      <c r="J1197" s="16" t="inlineStr">
        <is>
          <t>CORREGIBLE</t>
        </is>
      </c>
      <c r="K1197" s="16" t="b">
        <v>1</v>
      </c>
      <c r="L1197" s="16" t="b">
        <v>0</v>
      </c>
      <c r="M1197" s="16" t="b">
        <v>0</v>
      </c>
      <c r="N1197" s="16" t="b">
        <v>0</v>
      </c>
      <c r="O1197" s="16" t="n">
        <v>457.0254121424249</v>
      </c>
      <c r="P1197" s="16" t="n">
        <v>291.6409681648018</v>
      </c>
      <c r="Q1197" s="16" t="n">
        <v>2813.623684074178</v>
      </c>
      <c r="R1197" s="16" t="n">
        <v>909.4209947155168</v>
      </c>
      <c r="S1197" s="16" t="n">
        <v>0.8412785067279709</v>
      </c>
      <c r="T1197" s="16" t="n">
        <v>0.8424878930689729</v>
      </c>
      <c r="U1197" s="16" t="n">
        <v>0.7638062695189552</v>
      </c>
      <c r="V1197" s="16" t="n">
        <v>0.8108059761291667</v>
      </c>
      <c r="W1197" s="16" t="n">
        <v>0.8837040093674537</v>
      </c>
      <c r="X1197" s="16" t="n">
        <v>0.7631996224786557</v>
      </c>
      <c r="Y1197" s="16" t="n">
        <v>291.6409681648018</v>
      </c>
      <c r="Z1197" s="16" t="n">
        <v>9.182116524414869</v>
      </c>
      <c r="AA1197" s="16" t="n">
        <v>108.3771636807318</v>
      </c>
      <c r="AB1197" s="16" t="n">
        <v>1904.202689358661</v>
      </c>
      <c r="AC1197" s="16" t="n">
        <v>3.093862688923659</v>
      </c>
      <c r="AD1197" s="16" t="inlineStr">
        <is>
          <t>O2</t>
        </is>
      </c>
      <c r="AE1197" s="16" t="n"/>
    </row>
    <row r="1198">
      <c r="A1198" s="16" t="inlineStr">
        <is>
          <t>KF-M04-0126</t>
        </is>
      </c>
      <c r="B1198" s="16" t="inlineStr">
        <is>
          <t>3.2</t>
        </is>
      </c>
      <c r="C1198" s="16" t="inlineStr">
        <is>
          <t>3.2</t>
        </is>
      </c>
      <c r="D1198" s="16" t="inlineStr">
        <is>
          <t>muestra de 300 puntos</t>
        </is>
      </c>
      <c r="E1198" s="16" t="inlineStr">
        <is>
          <t>KF-M04</t>
        </is>
      </c>
      <c r="F1198" s="16" t="inlineStr">
        <is>
          <t>KF-M04</t>
        </is>
      </c>
      <c r="G1198" s="16" t="inlineStr">
        <is>
          <t>B07</t>
        </is>
      </c>
      <c r="H1198" s="16" t="inlineStr">
        <is>
          <t>lhs</t>
        </is>
      </c>
      <c r="I1198" s="16" t="inlineStr">
        <is>
          <t>CORREGIBLE</t>
        </is>
      </c>
      <c r="J1198" s="16" t="inlineStr">
        <is>
          <t>CORREGIBLE</t>
        </is>
      </c>
      <c r="K1198" s="16" t="b">
        <v>1</v>
      </c>
      <c r="L1198" s="16" t="b">
        <v>0</v>
      </c>
      <c r="M1198" s="16" t="b">
        <v>1</v>
      </c>
      <c r="N1198" s="16" t="b">
        <v>0</v>
      </c>
      <c r="O1198" s="16" t="n">
        <v>463.6818856488482</v>
      </c>
      <c r="P1198" s="16" t="n">
        <v>295.7527561230624</v>
      </c>
      <c r="Q1198" s="16" t="n">
        <v>4386.38434125947</v>
      </c>
      <c r="R1198" s="16" t="n">
        <v>1008.827607153711</v>
      </c>
      <c r="S1198" s="16" t="n">
        <v>0.7327032367514238</v>
      </c>
      <c r="T1198" s="16" t="n">
        <v>0.877292680747926</v>
      </c>
      <c r="U1198" s="16" t="n">
        <v>0.7184035712808491</v>
      </c>
      <c r="V1198" s="16" t="n">
        <v>0.6923096410602145</v>
      </c>
      <c r="W1198" s="16" t="n">
        <v>0.7403463062414664</v>
      </c>
      <c r="X1198" s="16" t="n">
        <v>0.7333349929814992</v>
      </c>
      <c r="Y1198" s="16" t="n">
        <v>295.7527561230624</v>
      </c>
      <c r="Z1198" s="16" t="n">
        <v>11.75813956592638</v>
      </c>
      <c r="AA1198" s="16" t="n">
        <v>125.0195656545874</v>
      </c>
      <c r="AB1198" s="16" t="n">
        <v>3377.556734105759</v>
      </c>
      <c r="AC1198" s="16" t="n">
        <v>4.348001888682588</v>
      </c>
      <c r="AD1198" s="16" t="inlineStr">
        <is>
          <t>O2</t>
        </is>
      </c>
      <c r="AE1198" s="16" t="n"/>
    </row>
    <row r="1199">
      <c r="A1199" s="16" t="inlineStr">
        <is>
          <t>KF-M04-0127</t>
        </is>
      </c>
      <c r="B1199" s="16" t="inlineStr">
        <is>
          <t>3.2</t>
        </is>
      </c>
      <c r="C1199" s="16" t="inlineStr">
        <is>
          <t>3.2</t>
        </is>
      </c>
      <c r="D1199" s="16" t="inlineStr">
        <is>
          <t>muestra de 300 puntos</t>
        </is>
      </c>
      <c r="E1199" s="16" t="inlineStr">
        <is>
          <t>KF-M04</t>
        </is>
      </c>
      <c r="F1199" s="16" t="inlineStr">
        <is>
          <t>KF-M04</t>
        </is>
      </c>
      <c r="G1199" s="16" t="inlineStr">
        <is>
          <t>B07</t>
        </is>
      </c>
      <c r="H1199" s="16" t="inlineStr">
        <is>
          <t>lhs</t>
        </is>
      </c>
      <c r="I1199" s="16" t="inlineStr">
        <is>
          <t>CORREGIBLE</t>
        </is>
      </c>
      <c r="J1199" s="16" t="inlineStr">
        <is>
          <t>CORREGIBLE</t>
        </is>
      </c>
      <c r="K1199" s="16" t="b">
        <v>1</v>
      </c>
      <c r="L1199" s="16" t="b">
        <v>0</v>
      </c>
      <c r="M1199" s="16" t="b">
        <v>1</v>
      </c>
      <c r="N1199" s="16" t="b">
        <v>0</v>
      </c>
      <c r="O1199" s="16" t="n">
        <v>471.5481733107485</v>
      </c>
      <c r="P1199" s="16" t="n">
        <v>301.5284252336297</v>
      </c>
      <c r="Q1199" s="16" t="n">
        <v>3879.922616987305</v>
      </c>
      <c r="R1199" s="16" t="n">
        <v>637.5712129450947</v>
      </c>
      <c r="S1199" s="16" t="n">
        <v>0.6424926495404396</v>
      </c>
      <c r="T1199" s="16" t="n">
        <v>0.8876286271645383</v>
      </c>
      <c r="U1199" s="16" t="n">
        <v>0.8046614370261211</v>
      </c>
      <c r="V1199" s="16" t="n">
        <v>0.7201077340694234</v>
      </c>
      <c r="W1199" s="16" t="n">
        <v>0.748764731904545</v>
      </c>
      <c r="X1199" s="16" t="n">
        <v>0.8465150288938347</v>
      </c>
      <c r="Y1199" s="16" t="n">
        <v>301.5284252336297</v>
      </c>
      <c r="Z1199" s="16" t="n">
        <v>14.11172037093417</v>
      </c>
      <c r="AA1199" s="16" t="n">
        <v>182.8489919452365</v>
      </c>
      <c r="AB1199" s="16" t="n">
        <v>3242.351404042211</v>
      </c>
      <c r="AC1199" s="16" t="n">
        <v>6.085473337268492</v>
      </c>
      <c r="AD1199" s="16" t="inlineStr">
        <is>
          <t>O2</t>
        </is>
      </c>
      <c r="AE1199" s="16" t="n"/>
    </row>
    <row r="1200">
      <c r="A1200" s="16" t="inlineStr">
        <is>
          <t>KF-M04-0128</t>
        </is>
      </c>
      <c r="B1200" s="16" t="inlineStr">
        <is>
          <t>3.2</t>
        </is>
      </c>
      <c r="C1200" s="16" t="inlineStr">
        <is>
          <t>3.2</t>
        </is>
      </c>
      <c r="D1200" s="16" t="inlineStr">
        <is>
          <t>muestra de 300 puntos</t>
        </is>
      </c>
      <c r="E1200" s="16" t="inlineStr">
        <is>
          <t>KF-M04</t>
        </is>
      </c>
      <c r="F1200" s="16" t="inlineStr">
        <is>
          <t>KF-M04</t>
        </is>
      </c>
      <c r="G1200" s="16" t="inlineStr">
        <is>
          <t>B07</t>
        </is>
      </c>
      <c r="H1200" s="16" t="inlineStr">
        <is>
          <t>lhs</t>
        </is>
      </c>
      <c r="I1200" s="16" t="inlineStr">
        <is>
          <t>CORREGIBLE</t>
        </is>
      </c>
      <c r="J1200" s="16" t="inlineStr">
        <is>
          <t>CORREGIBLE</t>
        </is>
      </c>
      <c r="K1200" s="16" t="b">
        <v>1</v>
      </c>
      <c r="L1200" s="16" t="b">
        <v>0</v>
      </c>
      <c r="M1200" s="16" t="b">
        <v>1</v>
      </c>
      <c r="N1200" s="16" t="b">
        <v>0</v>
      </c>
      <c r="O1200" s="16" t="n">
        <v>439.9217858099395</v>
      </c>
      <c r="P1200" s="16" t="n">
        <v>301.9204723211446</v>
      </c>
      <c r="Q1200" s="16" t="n">
        <v>3716.250018605376</v>
      </c>
      <c r="R1200" s="16" t="n">
        <v>1063.701008015161</v>
      </c>
      <c r="S1200" s="16" t="n">
        <v>0.6258006690605619</v>
      </c>
      <c r="T1200" s="16" t="n">
        <v>0.8599410143276075</v>
      </c>
      <c r="U1200" s="16" t="n">
        <v>0.7515427350648023</v>
      </c>
      <c r="V1200" s="16" t="n">
        <v>0.7206325585951645</v>
      </c>
      <c r="W1200" s="16" t="n">
        <v>0.7846707120665867</v>
      </c>
      <c r="X1200" s="16" t="n">
        <v>0.8334248663372045</v>
      </c>
      <c r="Y1200" s="16" t="n">
        <v>301.9204723211446</v>
      </c>
      <c r="Z1200" s="16" t="n">
        <v>10.02005704553452</v>
      </c>
      <c r="AA1200" s="16" t="n">
        <v>76.85367894389758</v>
      </c>
      <c r="AB1200" s="16" t="n">
        <v>2652.549010590215</v>
      </c>
      <c r="AC1200" s="16" t="n">
        <v>3.493697938239059</v>
      </c>
      <c r="AD1200" s="16" t="inlineStr">
        <is>
          <t>O2</t>
        </is>
      </c>
      <c r="AE1200" s="16" t="n"/>
    </row>
    <row r="1201">
      <c r="A1201" s="16" t="inlineStr">
        <is>
          <t>KF-M04-0129</t>
        </is>
      </c>
      <c r="B1201" s="16" t="inlineStr">
        <is>
          <t>3.2</t>
        </is>
      </c>
      <c r="C1201" s="16" t="inlineStr">
        <is>
          <t>3.2</t>
        </is>
      </c>
      <c r="D1201" s="16" t="inlineStr">
        <is>
          <t>muestra de 300 puntos</t>
        </is>
      </c>
      <c r="E1201" s="16" t="inlineStr">
        <is>
          <t>KF-M04</t>
        </is>
      </c>
      <c r="F1201" s="16" t="inlineStr">
        <is>
          <t>KF-M04</t>
        </is>
      </c>
      <c r="G1201" s="16" t="inlineStr">
        <is>
          <t>B07</t>
        </is>
      </c>
      <c r="H1201" s="16" t="inlineStr">
        <is>
          <t>lhs</t>
        </is>
      </c>
      <c r="I1201" s="16" t="inlineStr">
        <is>
          <t>KALINA</t>
        </is>
      </c>
      <c r="J1201" s="16" t="inlineStr">
        <is>
          <t>KALINA</t>
        </is>
      </c>
      <c r="K1201" s="16" t="b">
        <v>1</v>
      </c>
      <c r="L1201" s="16" t="b">
        <v>0</v>
      </c>
      <c r="M1201" s="16" t="b">
        <v>1</v>
      </c>
      <c r="N1201" s="16" t="b">
        <v>0</v>
      </c>
      <c r="O1201" s="16" t="n">
        <v>433.5017996261968</v>
      </c>
      <c r="P1201" s="16" t="n">
        <v>278.7793778350288</v>
      </c>
      <c r="Q1201" s="16" t="n">
        <v>3961.412956534064</v>
      </c>
      <c r="R1201" s="16" t="n">
        <v>889.9962833002423</v>
      </c>
      <c r="S1201" s="16" t="n">
        <v>0.5356682237885608</v>
      </c>
      <c r="T1201" s="16" t="n">
        <v>0.8929968574900348</v>
      </c>
      <c r="U1201" s="16" t="n">
        <v>0.8284950366088678</v>
      </c>
      <c r="V1201" s="16" t="n">
        <v>0.7388454282759975</v>
      </c>
      <c r="W1201" s="16" t="n">
        <v>0.7550224345754984</v>
      </c>
      <c r="X1201" s="16" t="n">
        <v>0.9198426708615544</v>
      </c>
      <c r="Y1201" s="16" t="n">
        <v>278.7793778350288</v>
      </c>
      <c r="Z1201" s="16" t="n">
        <v>8.79214984325691</v>
      </c>
      <c r="AA1201" s="16" t="n">
        <v>49.6457683072697</v>
      </c>
      <c r="AB1201" s="16" t="n">
        <v>3071.416673233822</v>
      </c>
      <c r="AC1201" s="16" t="n">
        <v>4.451044381718695</v>
      </c>
      <c r="AD1201" s="16" t="n"/>
      <c r="AE1201" s="16" t="n"/>
    </row>
    <row r="1202">
      <c r="A1202" s="16" t="inlineStr">
        <is>
          <t>KF-M04-0130</t>
        </is>
      </c>
      <c r="B1202" s="16" t="inlineStr">
        <is>
          <t>3.2</t>
        </is>
      </c>
      <c r="C1202" s="16" t="inlineStr">
        <is>
          <t>3.2</t>
        </is>
      </c>
      <c r="D1202" s="16" t="inlineStr">
        <is>
          <t>muestra de 300 puntos</t>
        </is>
      </c>
      <c r="E1202" s="16" t="inlineStr">
        <is>
          <t>KF-M04</t>
        </is>
      </c>
      <c r="F1202" s="16" t="inlineStr">
        <is>
          <t>KF-M04</t>
        </is>
      </c>
      <c r="G1202" s="16" t="inlineStr">
        <is>
          <t>B07</t>
        </is>
      </c>
      <c r="H1202" s="16" t="inlineStr">
        <is>
          <t>lhs</t>
        </is>
      </c>
      <c r="I1202" s="16" t="inlineStr">
        <is>
          <t>KALINA</t>
        </is>
      </c>
      <c r="J1202" s="16" t="inlineStr">
        <is>
          <t>KALINA</t>
        </is>
      </c>
      <c r="K1202" s="16" t="b">
        <v>1</v>
      </c>
      <c r="L1202" s="16" t="b">
        <v>1</v>
      </c>
      <c r="M1202" s="16" t="b">
        <v>0</v>
      </c>
      <c r="N1202" s="16" t="b">
        <v>0</v>
      </c>
      <c r="O1202" s="16" t="n">
        <v>448.6099624502038</v>
      </c>
      <c r="P1202" s="16" t="n">
        <v>291.8615978847051</v>
      </c>
      <c r="Q1202" s="16" t="n">
        <v>4960.891670396268</v>
      </c>
      <c r="R1202" s="16" t="n">
        <v>1384.324537102322</v>
      </c>
      <c r="S1202" s="16" t="n">
        <v>0.7799893227962543</v>
      </c>
      <c r="T1202" s="16" t="n">
        <v>0.8014497524510094</v>
      </c>
      <c r="U1202" s="16" t="n">
        <v>0.6977454060423006</v>
      </c>
      <c r="V1202" s="16" t="n">
        <v>0.6657493457718565</v>
      </c>
      <c r="W1202" s="16" t="n">
        <v>0.6413693061124847</v>
      </c>
      <c r="X1202" s="16" t="n">
        <v>0.8997383469603082</v>
      </c>
      <c r="Y1202" s="16" t="n">
        <v>291.8615978847051</v>
      </c>
      <c r="Z1202" s="16" t="n">
        <v>9.52807105459592</v>
      </c>
      <c r="AA1202" s="16" t="n">
        <v>91.52739865305848</v>
      </c>
      <c r="AB1202" s="16" t="n">
        <v>3576.567133293945</v>
      </c>
      <c r="AC1202" s="16" t="n">
        <v>3.583618968988616</v>
      </c>
      <c r="AD1202" s="16" t="n"/>
      <c r="AE1202" s="16" t="n"/>
    </row>
    <row r="1203">
      <c r="A1203" s="16" t="inlineStr">
        <is>
          <t>KF-M04-0131</t>
        </is>
      </c>
      <c r="B1203" s="16" t="inlineStr">
        <is>
          <t>3.2</t>
        </is>
      </c>
      <c r="C1203" s="16" t="inlineStr">
        <is>
          <t>3.2</t>
        </is>
      </c>
      <c r="D1203" s="16" t="inlineStr">
        <is>
          <t>muestra de 300 puntos</t>
        </is>
      </c>
      <c r="E1203" s="16" t="inlineStr">
        <is>
          <t>KF-M04</t>
        </is>
      </c>
      <c r="F1203" s="16" t="inlineStr">
        <is>
          <t>KF-M04</t>
        </is>
      </c>
      <c r="G1203" s="16" t="inlineStr">
        <is>
          <t>B07</t>
        </is>
      </c>
      <c r="H1203" s="16" t="inlineStr">
        <is>
          <t>lhs</t>
        </is>
      </c>
      <c r="I1203" s="16" t="inlineStr">
        <is>
          <t>NO_CONVERGIO</t>
        </is>
      </c>
      <c r="J1203" s="16" t="inlineStr">
        <is>
          <t>NO_CONVERGIO</t>
        </is>
      </c>
      <c r="K1203" s="16" t="b">
        <v>0</v>
      </c>
      <c r="L1203" s="16" t="b">
        <v>0</v>
      </c>
      <c r="M1203" s="16" t="b">
        <v>0</v>
      </c>
      <c r="N1203" s="16" t="b">
        <v>0</v>
      </c>
      <c r="O1203" s="16" t="n">
        <v>400.1763413229122</v>
      </c>
      <c r="P1203" s="16" t="n">
        <v>298.0356991715931</v>
      </c>
      <c r="Q1203" s="16" t="n">
        <v>4808.625812318527</v>
      </c>
      <c r="R1203" s="16" t="n">
        <v>999.0281343782304</v>
      </c>
      <c r="S1203" s="16" t="n">
        <v>0.5516465283376404</v>
      </c>
      <c r="T1203" s="16" t="n">
        <v>0.8988564937322426</v>
      </c>
      <c r="U1203" s="16" t="n">
        <v>0.6799323353284441</v>
      </c>
      <c r="V1203" s="16" t="n">
        <v>0.8448505132326904</v>
      </c>
      <c r="W1203" s="16" t="n">
        <v>0.7993503733360579</v>
      </c>
      <c r="X1203" s="16" t="n">
        <v>0.7506155983240617</v>
      </c>
      <c r="Y1203" s="16" t="n">
        <v>298.0356991715931</v>
      </c>
      <c r="Z1203" s="16" t="n"/>
      <c r="AA1203" s="16" t="n"/>
      <c r="AB1203" s="16" t="n">
        <v>3809.597677940297</v>
      </c>
      <c r="AC1203" s="16" t="n">
        <v>4.813303696708495</v>
      </c>
      <c r="AD1203" s="16" t="n"/>
      <c r="AE1203" s="16" t="n"/>
    </row>
    <row r="1204">
      <c r="A1204" s="16" t="inlineStr">
        <is>
          <t>KF-M04-0132</t>
        </is>
      </c>
      <c r="B1204" s="16" t="inlineStr">
        <is>
          <t>3.2</t>
        </is>
      </c>
      <c r="C1204" s="16" t="inlineStr">
        <is>
          <t>3.2</t>
        </is>
      </c>
      <c r="D1204" s="16" t="inlineStr">
        <is>
          <t>muestra de 300 puntos</t>
        </is>
      </c>
      <c r="E1204" s="16" t="inlineStr">
        <is>
          <t>KF-M04</t>
        </is>
      </c>
      <c r="F1204" s="16" t="inlineStr">
        <is>
          <t>KF-M04</t>
        </is>
      </c>
      <c r="G1204" s="16" t="inlineStr">
        <is>
          <t>B07</t>
        </is>
      </c>
      <c r="H1204" s="16" t="inlineStr">
        <is>
          <t>lhs</t>
        </is>
      </c>
      <c r="I1204" s="16" t="inlineStr">
        <is>
          <t>NO_CONVERGIO</t>
        </is>
      </c>
      <c r="J1204" s="16" t="inlineStr">
        <is>
          <t>NO_CONVERGIO</t>
        </is>
      </c>
      <c r="K1204" s="16" t="b">
        <v>0</v>
      </c>
      <c r="L1204" s="16" t="b">
        <v>0</v>
      </c>
      <c r="M1204" s="16" t="b">
        <v>0</v>
      </c>
      <c r="N1204" s="16" t="b">
        <v>0</v>
      </c>
      <c r="O1204" s="16" t="n">
        <v>489.6833794038356</v>
      </c>
      <c r="P1204" s="16" t="n">
        <v>290.5618465088068</v>
      </c>
      <c r="Q1204" s="16" t="n">
        <v>2579.410779893956</v>
      </c>
      <c r="R1204" s="16" t="n">
        <v>1129.37748943795</v>
      </c>
      <c r="S1204" s="16" t="n">
        <v>0.8377108560390505</v>
      </c>
      <c r="T1204" s="16" t="n">
        <v>0.9148982282141368</v>
      </c>
      <c r="U1204" s="16" t="n">
        <v>0.759642945623034</v>
      </c>
      <c r="V1204" s="16" t="n">
        <v>0.64518219749259</v>
      </c>
      <c r="W1204" s="16" t="n">
        <v>0.6827454642508943</v>
      </c>
      <c r="X1204" s="16" t="n">
        <v>0.869612808778467</v>
      </c>
      <c r="Y1204" s="16" t="n">
        <v>290.5618465088068</v>
      </c>
      <c r="Z1204" s="16" t="n"/>
      <c r="AA1204" s="16" t="n"/>
      <c r="AB1204" s="16" t="n">
        <v>1450.033290456005</v>
      </c>
      <c r="AC1204" s="16" t="n">
        <v>2.283922606937768</v>
      </c>
      <c r="AD1204" s="16" t="n"/>
      <c r="AE1204" s="16" t="n"/>
    </row>
    <row r="1205">
      <c r="A1205" s="16" t="inlineStr">
        <is>
          <t>KF-M04-0133</t>
        </is>
      </c>
      <c r="B1205" s="16" t="inlineStr">
        <is>
          <t>3.2</t>
        </is>
      </c>
      <c r="C1205" s="16" t="inlineStr">
        <is>
          <t>3.2</t>
        </is>
      </c>
      <c r="D1205" s="16" t="inlineStr">
        <is>
          <t>muestra de 300 puntos</t>
        </is>
      </c>
      <c r="E1205" s="16" t="inlineStr">
        <is>
          <t>KF-M04</t>
        </is>
      </c>
      <c r="F1205" s="16" t="inlineStr">
        <is>
          <t>KF-M04</t>
        </is>
      </c>
      <c r="G1205" s="16" t="inlineStr">
        <is>
          <t>B07</t>
        </is>
      </c>
      <c r="H1205" s="16" t="inlineStr">
        <is>
          <t>lhs</t>
        </is>
      </c>
      <c r="I1205" s="16" t="inlineStr">
        <is>
          <t>KALINA</t>
        </is>
      </c>
      <c r="J1205" s="16" t="inlineStr">
        <is>
          <t>KALINA</t>
        </is>
      </c>
      <c r="K1205" s="16" t="b">
        <v>1</v>
      </c>
      <c r="L1205" s="16" t="b">
        <v>1</v>
      </c>
      <c r="M1205" s="16" t="b">
        <v>0</v>
      </c>
      <c r="N1205" s="16" t="b">
        <v>0</v>
      </c>
      <c r="O1205" s="16" t="n">
        <v>416.5113051139869</v>
      </c>
      <c r="P1205" s="16" t="n">
        <v>280.877207911301</v>
      </c>
      <c r="Q1205" s="16" t="n">
        <v>2032.216494218936</v>
      </c>
      <c r="R1205" s="16" t="n">
        <v>912.8142076572916</v>
      </c>
      <c r="S1205" s="16" t="n">
        <v>0.5670548672384366</v>
      </c>
      <c r="T1205" s="16" t="n">
        <v>0.909963801220393</v>
      </c>
      <c r="U1205" s="16" t="n">
        <v>0.7712448835610911</v>
      </c>
      <c r="V1205" s="16" t="n">
        <v>0.819690093250145</v>
      </c>
      <c r="W1205" s="16" t="n">
        <v>0.8271752084151017</v>
      </c>
      <c r="X1205" s="16" t="n">
        <v>0.9443905620171306</v>
      </c>
      <c r="Y1205" s="16" t="n">
        <v>280.877207911301</v>
      </c>
      <c r="Z1205" s="16" t="n">
        <v>6.17107572022473</v>
      </c>
      <c r="AA1205" s="16" t="n">
        <v>53.60633015209733</v>
      </c>
      <c r="AB1205" s="16" t="n">
        <v>1119.402286561644</v>
      </c>
      <c r="AC1205" s="16" t="n">
        <v>2.226319964316237</v>
      </c>
      <c r="AD1205" s="16" t="n"/>
      <c r="AE1205" s="16" t="n"/>
    </row>
    <row r="1206">
      <c r="A1206" s="16" t="inlineStr">
        <is>
          <t>KF-M04-0134</t>
        </is>
      </c>
      <c r="B1206" s="16" t="inlineStr">
        <is>
          <t>3.2</t>
        </is>
      </c>
      <c r="C1206" s="16" t="inlineStr">
        <is>
          <t>3.2</t>
        </is>
      </c>
      <c r="D1206" s="16" t="inlineStr">
        <is>
          <t>muestra de 300 puntos</t>
        </is>
      </c>
      <c r="E1206" s="16" t="inlineStr">
        <is>
          <t>KF-M04</t>
        </is>
      </c>
      <c r="F1206" s="16" t="inlineStr">
        <is>
          <t>KF-M04</t>
        </is>
      </c>
      <c r="G1206" s="16" t="inlineStr">
        <is>
          <t>B07</t>
        </is>
      </c>
      <c r="H1206" s="16" t="inlineStr">
        <is>
          <t>lhs</t>
        </is>
      </c>
      <c r="I1206" s="16" t="inlineStr">
        <is>
          <t>CORREGIBLE</t>
        </is>
      </c>
      <c r="J1206" s="16" t="inlineStr">
        <is>
          <t>CORREGIBLE</t>
        </is>
      </c>
      <c r="K1206" s="16" t="b">
        <v>1</v>
      </c>
      <c r="L1206" s="16" t="b">
        <v>0</v>
      </c>
      <c r="M1206" s="16" t="b">
        <v>1</v>
      </c>
      <c r="N1206" s="16" t="b">
        <v>0</v>
      </c>
      <c r="O1206" s="16" t="n">
        <v>476.7900781576256</v>
      </c>
      <c r="P1206" s="16" t="n">
        <v>297.162298935752</v>
      </c>
      <c r="Q1206" s="16" t="n">
        <v>4457.133476729485</v>
      </c>
      <c r="R1206" s="16" t="n">
        <v>368.9035007558117</v>
      </c>
      <c r="S1206" s="16" t="n">
        <v>0.7577565815136318</v>
      </c>
      <c r="T1206" s="16" t="n">
        <v>0.8029136479536387</v>
      </c>
      <c r="U1206" s="16" t="n">
        <v>0.8437491336812593</v>
      </c>
      <c r="V1206" s="16" t="n">
        <v>0.840789638446752</v>
      </c>
      <c r="W1206" s="16" t="n">
        <v>0.6354034008191572</v>
      </c>
      <c r="X1206" s="16" t="n">
        <v>0.7979090851381569</v>
      </c>
      <c r="Y1206" s="16" t="n">
        <v>297.162298935752</v>
      </c>
      <c r="Z1206" s="16" t="n">
        <v>7.42489025817665</v>
      </c>
      <c r="AA1206" s="16" t="n">
        <v>56.50018488213914</v>
      </c>
      <c r="AB1206" s="16" t="n">
        <v>4088.229975973673</v>
      </c>
      <c r="AC1206" s="16" t="n">
        <v>12.08211217187607</v>
      </c>
      <c r="AD1206" s="16" t="inlineStr">
        <is>
          <t>O1,O2</t>
        </is>
      </c>
      <c r="AE1206" s="16" t="n"/>
    </row>
    <row r="1207">
      <c r="A1207" s="16" t="inlineStr">
        <is>
          <t>KF-M04-0135</t>
        </is>
      </c>
      <c r="B1207" s="16" t="inlineStr">
        <is>
          <t>3.2</t>
        </is>
      </c>
      <c r="C1207" s="16" t="inlineStr">
        <is>
          <t>3.2</t>
        </is>
      </c>
      <c r="D1207" s="16" t="inlineStr">
        <is>
          <t>muestra de 300 puntos</t>
        </is>
      </c>
      <c r="E1207" s="16" t="inlineStr">
        <is>
          <t>KF-M04</t>
        </is>
      </c>
      <c r="F1207" s="16" t="inlineStr">
        <is>
          <t>KF-M04</t>
        </is>
      </c>
      <c r="G1207" s="16" t="inlineStr">
        <is>
          <t>B07</t>
        </is>
      </c>
      <c r="H1207" s="16" t="inlineStr">
        <is>
          <t>lhs</t>
        </is>
      </c>
      <c r="I1207" s="16" t="inlineStr">
        <is>
          <t>CORREGIBLE</t>
        </is>
      </c>
      <c r="J1207" s="16" t="inlineStr">
        <is>
          <t>CORREGIBLE</t>
        </is>
      </c>
      <c r="K1207" s="16" t="b">
        <v>1</v>
      </c>
      <c r="L1207" s="16" t="b">
        <v>0</v>
      </c>
      <c r="M1207" s="16" t="b">
        <v>1</v>
      </c>
      <c r="N1207" s="16" t="b">
        <v>0</v>
      </c>
      <c r="O1207" s="16" t="n">
        <v>475.2505996689697</v>
      </c>
      <c r="P1207" s="16" t="n">
        <v>279.5379823800096</v>
      </c>
      <c r="Q1207" s="16" t="n">
        <v>4875.263783849653</v>
      </c>
      <c r="R1207" s="16" t="n">
        <v>547.2899249983644</v>
      </c>
      <c r="S1207" s="16" t="n">
        <v>0.8112340958512879</v>
      </c>
      <c r="T1207" s="16" t="n">
        <v>0.7929865019601463</v>
      </c>
      <c r="U1207" s="16" t="n">
        <v>0.8973548140857182</v>
      </c>
      <c r="V1207" s="16" t="n">
        <v>0.7935094717619685</v>
      </c>
      <c r="W1207" s="16" t="n">
        <v>0.612581916512474</v>
      </c>
      <c r="X1207" s="16" t="n">
        <v>0.8482199738130671</v>
      </c>
      <c r="Y1207" s="16" t="n">
        <v>279.5379823800096</v>
      </c>
      <c r="Z1207" s="16" t="n">
        <v>16.30022769529829</v>
      </c>
      <c r="AA1207" s="16" t="n">
        <v>218.5663594454211</v>
      </c>
      <c r="AB1207" s="16" t="n">
        <v>4327.973858851288</v>
      </c>
      <c r="AC1207" s="16" t="n">
        <v>8.908009377048597</v>
      </c>
      <c r="AD1207" s="16" t="inlineStr">
        <is>
          <t>O2</t>
        </is>
      </c>
      <c r="AE1207" s="16" t="n"/>
    </row>
    <row r="1208">
      <c r="A1208" s="16" t="inlineStr">
        <is>
          <t>KF-M04-0136</t>
        </is>
      </c>
      <c r="B1208" s="16" t="inlineStr">
        <is>
          <t>3.2</t>
        </is>
      </c>
      <c r="C1208" s="16" t="inlineStr">
        <is>
          <t>3.2</t>
        </is>
      </c>
      <c r="D1208" s="16" t="inlineStr">
        <is>
          <t>muestra de 300 puntos</t>
        </is>
      </c>
      <c r="E1208" s="16" t="inlineStr">
        <is>
          <t>KF-M04</t>
        </is>
      </c>
      <c r="F1208" s="16" t="inlineStr">
        <is>
          <t>KF-M04</t>
        </is>
      </c>
      <c r="G1208" s="16" t="inlineStr">
        <is>
          <t>B07</t>
        </is>
      </c>
      <c r="H1208" s="16" t="inlineStr">
        <is>
          <t>lhs</t>
        </is>
      </c>
      <c r="I1208" s="16" t="inlineStr">
        <is>
          <t>CORREGIBLE</t>
        </is>
      </c>
      <c r="J1208" s="16" t="inlineStr">
        <is>
          <t>CORREGIBLE</t>
        </is>
      </c>
      <c r="K1208" s="16" t="b">
        <v>1</v>
      </c>
      <c r="L1208" s="16" t="b">
        <v>0</v>
      </c>
      <c r="M1208" s="16" t="b">
        <v>1</v>
      </c>
      <c r="N1208" s="16" t="b">
        <v>0</v>
      </c>
      <c r="O1208" s="16" t="n">
        <v>491.9866390586594</v>
      </c>
      <c r="P1208" s="16" t="n">
        <v>291.9527008500422</v>
      </c>
      <c r="Q1208" s="16" t="n">
        <v>3697.409732426161</v>
      </c>
      <c r="R1208" s="16" t="n">
        <v>568.2998155180289</v>
      </c>
      <c r="S1208" s="16" t="n">
        <v>0.5129967713138374</v>
      </c>
      <c r="T1208" s="16" t="n">
        <v>0.9195008171186314</v>
      </c>
      <c r="U1208" s="16" t="n">
        <v>0.706124626567088</v>
      </c>
      <c r="V1208" s="16" t="n">
        <v>0.8875347857266793</v>
      </c>
      <c r="W1208" s="16" t="n">
        <v>0.8356552153313982</v>
      </c>
      <c r="X1208" s="16" t="n">
        <v>0.741872224188621</v>
      </c>
      <c r="Y1208" s="16" t="n">
        <v>291.9527008500422</v>
      </c>
      <c r="Z1208" s="16" t="n">
        <v>13.48586694374381</v>
      </c>
      <c r="AA1208" s="16" t="n">
        <v>217.202126175527</v>
      </c>
      <c r="AB1208" s="16" t="n">
        <v>3129.109916908132</v>
      </c>
      <c r="AC1208" s="16" t="n">
        <v>6.506089974806376</v>
      </c>
      <c r="AD1208" s="16" t="inlineStr">
        <is>
          <t>O1,O2</t>
        </is>
      </c>
      <c r="AE1208" s="16" t="n"/>
    </row>
    <row r="1209">
      <c r="A1209" s="16" t="inlineStr">
        <is>
          <t>KF-M04-0137</t>
        </is>
      </c>
      <c r="B1209" s="16" t="inlineStr">
        <is>
          <t>3.2</t>
        </is>
      </c>
      <c r="C1209" s="16" t="inlineStr">
        <is>
          <t>3.2</t>
        </is>
      </c>
      <c r="D1209" s="16" t="inlineStr">
        <is>
          <t>muestra de 300 puntos</t>
        </is>
      </c>
      <c r="E1209" s="16" t="inlineStr">
        <is>
          <t>KF-M04</t>
        </is>
      </c>
      <c r="F1209" s="16" t="inlineStr">
        <is>
          <t>KF-M04</t>
        </is>
      </c>
      <c r="G1209" s="16" t="inlineStr">
        <is>
          <t>B07</t>
        </is>
      </c>
      <c r="H1209" s="16" t="inlineStr">
        <is>
          <t>lhs</t>
        </is>
      </c>
      <c r="I1209" s="16" t="inlineStr">
        <is>
          <t>NO_CONVERGIO</t>
        </is>
      </c>
      <c r="J1209" s="16" t="inlineStr">
        <is>
          <t>NO_CONVERGIO</t>
        </is>
      </c>
      <c r="K1209" s="16" t="b">
        <v>0</v>
      </c>
      <c r="L1209" s="16" t="b">
        <v>0</v>
      </c>
      <c r="M1209" s="16" t="b">
        <v>0</v>
      </c>
      <c r="N1209" s="16" t="b">
        <v>0</v>
      </c>
      <c r="O1209" s="16" t="n">
        <v>458.9619434251367</v>
      </c>
      <c r="P1209" s="16" t="n">
        <v>280.9683355664703</v>
      </c>
      <c r="Q1209" s="16" t="n">
        <v>2022.172409622757</v>
      </c>
      <c r="R1209" s="16" t="n">
        <v>851.2529865889637</v>
      </c>
      <c r="S1209" s="16" t="n">
        <v>0.6200916425575126</v>
      </c>
      <c r="T1209" s="16" t="n">
        <v>0.7977199304152007</v>
      </c>
      <c r="U1209" s="16" t="n">
        <v>0.700402429437368</v>
      </c>
      <c r="V1209" s="16" t="n">
        <v>0.7021884713301864</v>
      </c>
      <c r="W1209" s="16" t="n">
        <v>0.7315031355267413</v>
      </c>
      <c r="X1209" s="16" t="n">
        <v>0.829951911156162</v>
      </c>
      <c r="Y1209" s="16" t="n">
        <v>280.9683355664703</v>
      </c>
      <c r="Z1209" s="16" t="n"/>
      <c r="AA1209" s="16" t="n"/>
      <c r="AB1209" s="16" t="n">
        <v>1170.919423033793</v>
      </c>
      <c r="AC1209" s="16" t="n">
        <v>2.375524599009934</v>
      </c>
      <c r="AD1209" s="16" t="n"/>
      <c r="AE1209" s="16" t="n"/>
    </row>
    <row r="1210">
      <c r="A1210" s="16" t="inlineStr">
        <is>
          <t>KF-M04-0138</t>
        </is>
      </c>
      <c r="B1210" s="16" t="inlineStr">
        <is>
          <t>3.2</t>
        </is>
      </c>
      <c r="C1210" s="16" t="inlineStr">
        <is>
          <t>3.2</t>
        </is>
      </c>
      <c r="D1210" s="16" t="inlineStr">
        <is>
          <t>muestra de 300 puntos</t>
        </is>
      </c>
      <c r="E1210" s="16" t="inlineStr">
        <is>
          <t>KF-M04</t>
        </is>
      </c>
      <c r="F1210" s="16" t="inlineStr">
        <is>
          <t>KF-M04</t>
        </is>
      </c>
      <c r="G1210" s="16" t="inlineStr">
        <is>
          <t>B07</t>
        </is>
      </c>
      <c r="H1210" s="16" t="inlineStr">
        <is>
          <t>lhs</t>
        </is>
      </c>
      <c r="I1210" s="16" t="inlineStr">
        <is>
          <t>CORREGIBLE</t>
        </is>
      </c>
      <c r="J1210" s="16" t="inlineStr">
        <is>
          <t>CORREGIBLE</t>
        </is>
      </c>
      <c r="K1210" s="16" t="b">
        <v>1</v>
      </c>
      <c r="L1210" s="16" t="b">
        <v>0</v>
      </c>
      <c r="M1210" s="16" t="b">
        <v>1</v>
      </c>
      <c r="N1210" s="16" t="b">
        <v>0</v>
      </c>
      <c r="O1210" s="16" t="n">
        <v>469.2813664336145</v>
      </c>
      <c r="P1210" s="16" t="n">
        <v>290.4030614372377</v>
      </c>
      <c r="Q1210" s="16" t="n">
        <v>3458.207296458289</v>
      </c>
      <c r="R1210" s="16" t="n">
        <v>702.2443324641365</v>
      </c>
      <c r="S1210" s="16" t="n">
        <v>0.6887964312431722</v>
      </c>
      <c r="T1210" s="16" t="n">
        <v>0.8651072171869931</v>
      </c>
      <c r="U1210" s="16" t="n">
        <v>0.8329190958578885</v>
      </c>
      <c r="V1210" s="16" t="n">
        <v>0.8672773086401192</v>
      </c>
      <c r="W1210" s="16" t="n">
        <v>0.6400188885065966</v>
      </c>
      <c r="X1210" s="16" t="n">
        <v>0.8900895319601601</v>
      </c>
      <c r="Y1210" s="16" t="n">
        <v>290.4030614372377</v>
      </c>
      <c r="Z1210" s="16" t="n">
        <v>12.44024717406542</v>
      </c>
      <c r="AA1210" s="16" t="n">
        <v>203.648837975353</v>
      </c>
      <c r="AB1210" s="16" t="n">
        <v>2755.962963994152</v>
      </c>
      <c r="AC1210" s="16" t="n">
        <v>4.924507235713289</v>
      </c>
      <c r="AD1210" s="16" t="inlineStr">
        <is>
          <t>O2</t>
        </is>
      </c>
      <c r="AE1210" s="16" t="n"/>
    </row>
    <row r="1211">
      <c r="A1211" s="16" t="inlineStr">
        <is>
          <t>KF-M04-0139</t>
        </is>
      </c>
      <c r="B1211" s="16" t="inlineStr">
        <is>
          <t>3.2</t>
        </is>
      </c>
      <c r="C1211" s="16" t="inlineStr">
        <is>
          <t>3.2</t>
        </is>
      </c>
      <c r="D1211" s="16" t="inlineStr">
        <is>
          <t>muestra de 300 puntos</t>
        </is>
      </c>
      <c r="E1211" s="16" t="inlineStr">
        <is>
          <t>KF-M04</t>
        </is>
      </c>
      <c r="F1211" s="16" t="inlineStr">
        <is>
          <t>KF-M04</t>
        </is>
      </c>
      <c r="G1211" s="16" t="inlineStr">
        <is>
          <t>B07</t>
        </is>
      </c>
      <c r="H1211" s="16" t="inlineStr">
        <is>
          <t>lhs</t>
        </is>
      </c>
      <c r="I1211" s="16" t="inlineStr">
        <is>
          <t>CORREGIBLE</t>
        </is>
      </c>
      <c r="J1211" s="16" t="inlineStr">
        <is>
          <t>CORREGIBLE</t>
        </is>
      </c>
      <c r="K1211" s="16" t="b">
        <v>1</v>
      </c>
      <c r="L1211" s="16" t="b">
        <v>0</v>
      </c>
      <c r="M1211" s="16" t="b">
        <v>1</v>
      </c>
      <c r="N1211" s="16" t="b">
        <v>0</v>
      </c>
      <c r="O1211" s="16" t="n">
        <v>451.1168604136855</v>
      </c>
      <c r="P1211" s="16" t="n">
        <v>289.2770089217507</v>
      </c>
      <c r="Q1211" s="16" t="n">
        <v>4210.64808524725</v>
      </c>
      <c r="R1211" s="16" t="n">
        <v>952.6790367403548</v>
      </c>
      <c r="S1211" s="16" t="n">
        <v>0.7836589692654736</v>
      </c>
      <c r="T1211" s="16" t="n">
        <v>0.8755358751158604</v>
      </c>
      <c r="U1211" s="16" t="n">
        <v>0.6874988273501483</v>
      </c>
      <c r="V1211" s="16" t="n">
        <v>0.8348745958831171</v>
      </c>
      <c r="W1211" s="16" t="n">
        <v>0.8853562590433099</v>
      </c>
      <c r="X1211" s="16" t="n">
        <v>0.8315841965534586</v>
      </c>
      <c r="Y1211" s="16" t="n">
        <v>289.2770089217507</v>
      </c>
      <c r="Z1211" s="16" t="n">
        <v>12.93923750879502</v>
      </c>
      <c r="AA1211" s="16" t="n">
        <v>168.1210086168738</v>
      </c>
      <c r="AB1211" s="16" t="n">
        <v>3257.969048506896</v>
      </c>
      <c r="AC1211" s="16" t="n">
        <v>4.419797143489397</v>
      </c>
      <c r="AD1211" s="16" t="inlineStr">
        <is>
          <t>O2</t>
        </is>
      </c>
      <c r="AE1211" s="16" t="n"/>
    </row>
    <row r="1212">
      <c r="A1212" s="16" t="inlineStr">
        <is>
          <t>KF-M04-0140</t>
        </is>
      </c>
      <c r="B1212" s="16" t="inlineStr">
        <is>
          <t>3.2</t>
        </is>
      </c>
      <c r="C1212" s="16" t="inlineStr">
        <is>
          <t>3.2</t>
        </is>
      </c>
      <c r="D1212" s="16" t="inlineStr">
        <is>
          <t>muestra de 300 puntos</t>
        </is>
      </c>
      <c r="E1212" s="16" t="inlineStr">
        <is>
          <t>KF-M04</t>
        </is>
      </c>
      <c r="F1212" s="16" t="inlineStr">
        <is>
          <t>KF-M04</t>
        </is>
      </c>
      <c r="G1212" s="16" t="inlineStr">
        <is>
          <t>B07</t>
        </is>
      </c>
      <c r="H1212" s="16" t="inlineStr">
        <is>
          <t>lhs</t>
        </is>
      </c>
      <c r="I1212" s="16" t="inlineStr">
        <is>
          <t>CORREGIBLE</t>
        </is>
      </c>
      <c r="J1212" s="16" t="inlineStr">
        <is>
          <t>CORREGIBLE</t>
        </is>
      </c>
      <c r="K1212" s="16" t="b">
        <v>1</v>
      </c>
      <c r="L1212" s="16" t="b">
        <v>0</v>
      </c>
      <c r="M1212" s="16" t="b">
        <v>1</v>
      </c>
      <c r="N1212" s="16" t="b">
        <v>0</v>
      </c>
      <c r="O1212" s="16" t="n">
        <v>463.5521844770484</v>
      </c>
      <c r="P1212" s="16" t="n">
        <v>300.8168085746968</v>
      </c>
      <c r="Q1212" s="16" t="n">
        <v>4416.575914691761</v>
      </c>
      <c r="R1212" s="16" t="n">
        <v>566.9482867363154</v>
      </c>
      <c r="S1212" s="16" t="n">
        <v>0.6226860770241313</v>
      </c>
      <c r="T1212" s="16" t="n">
        <v>0.8113113815685574</v>
      </c>
      <c r="U1212" s="16" t="n">
        <v>0.6934494149883758</v>
      </c>
      <c r="V1212" s="16" t="n">
        <v>0.6921102829748494</v>
      </c>
      <c r="W1212" s="16" t="n">
        <v>0.8246836317309969</v>
      </c>
      <c r="X1212" s="16" t="n">
        <v>0.7490836799398337</v>
      </c>
      <c r="Y1212" s="16" t="n">
        <v>300.8168085746968</v>
      </c>
      <c r="Z1212" s="16" t="n">
        <v>12.88716556625706</v>
      </c>
      <c r="AA1212" s="16" t="n">
        <v>114.2154742357002</v>
      </c>
      <c r="AB1212" s="16" t="n">
        <v>3849.627627955445</v>
      </c>
      <c r="AC1212" s="16" t="n">
        <v>7.790086006108502</v>
      </c>
      <c r="AD1212" s="16" t="inlineStr">
        <is>
          <t>O2</t>
        </is>
      </c>
      <c r="AE1212" s="16" t="n"/>
    </row>
    <row r="1213">
      <c r="A1213" s="16" t="inlineStr">
        <is>
          <t>KF-M04-0141</t>
        </is>
      </c>
      <c r="B1213" s="16" t="inlineStr">
        <is>
          <t>3.2</t>
        </is>
      </c>
      <c r="C1213" s="16" t="inlineStr">
        <is>
          <t>3.2</t>
        </is>
      </c>
      <c r="D1213" s="16" t="inlineStr">
        <is>
          <t>muestra de 300 puntos</t>
        </is>
      </c>
      <c r="E1213" s="16" t="inlineStr">
        <is>
          <t>KF-M04</t>
        </is>
      </c>
      <c r="F1213" s="16" t="inlineStr">
        <is>
          <t>KF-M04</t>
        </is>
      </c>
      <c r="G1213" s="16" t="inlineStr">
        <is>
          <t>B07</t>
        </is>
      </c>
      <c r="H1213" s="16" t="inlineStr">
        <is>
          <t>lhs</t>
        </is>
      </c>
      <c r="I1213" s="16" t="inlineStr">
        <is>
          <t>CORREGIBLE</t>
        </is>
      </c>
      <c r="J1213" s="16" t="inlineStr">
        <is>
          <t>CORREGIBLE</t>
        </is>
      </c>
      <c r="K1213" s="16" t="b">
        <v>1</v>
      </c>
      <c r="L1213" s="16" t="b">
        <v>0</v>
      </c>
      <c r="M1213" s="16" t="b">
        <v>0</v>
      </c>
      <c r="N1213" s="16" t="b">
        <v>0</v>
      </c>
      <c r="O1213" s="16" t="n">
        <v>493.2649318637637</v>
      </c>
      <c r="P1213" s="16" t="n">
        <v>286.2445643440762</v>
      </c>
      <c r="Q1213" s="16" t="n">
        <v>3742.291748310171</v>
      </c>
      <c r="R1213" s="16" t="n">
        <v>1413.279306404757</v>
      </c>
      <c r="S1213" s="16" t="n">
        <v>0.8383606127956176</v>
      </c>
      <c r="T1213" s="16" t="n">
        <v>0.9120833182722956</v>
      </c>
      <c r="U1213" s="16" t="n">
        <v>0.6744534480752722</v>
      </c>
      <c r="V1213" s="16" t="n">
        <v>0.6055654299533968</v>
      </c>
      <c r="W1213" s="16" t="n">
        <v>0.6009731187310379</v>
      </c>
      <c r="X1213" s="16" t="n">
        <v>0.7537838533870951</v>
      </c>
      <c r="Y1213" s="16" t="n">
        <v>286.2445643440762</v>
      </c>
      <c r="Z1213" s="16" t="n">
        <v>9.531040974216911</v>
      </c>
      <c r="AA1213" s="16" t="n">
        <v>93.42281488251577</v>
      </c>
      <c r="AB1213" s="16" t="n">
        <v>2329.012441905414</v>
      </c>
      <c r="AC1213" s="16" t="n">
        <v>2.647949157219454</v>
      </c>
      <c r="AD1213" s="16" t="inlineStr">
        <is>
          <t>O2</t>
        </is>
      </c>
      <c r="AE1213" s="16" t="n"/>
    </row>
    <row r="1214">
      <c r="A1214" s="16" t="inlineStr">
        <is>
          <t>KF-M04-0142</t>
        </is>
      </c>
      <c r="B1214" s="16" t="inlineStr">
        <is>
          <t>3.2</t>
        </is>
      </c>
      <c r="C1214" s="16" t="inlineStr">
        <is>
          <t>3.2</t>
        </is>
      </c>
      <c r="D1214" s="16" t="inlineStr">
        <is>
          <t>muestra de 300 puntos</t>
        </is>
      </c>
      <c r="E1214" s="16" t="inlineStr">
        <is>
          <t>KF-M04</t>
        </is>
      </c>
      <c r="F1214" s="16" t="inlineStr">
        <is>
          <t>KF-M04</t>
        </is>
      </c>
      <c r="G1214" s="16" t="inlineStr">
        <is>
          <t>B07</t>
        </is>
      </c>
      <c r="H1214" s="16" t="inlineStr">
        <is>
          <t>lhs</t>
        </is>
      </c>
      <c r="I1214" s="16" t="inlineStr">
        <is>
          <t>CORREGIBLE</t>
        </is>
      </c>
      <c r="J1214" s="16" t="inlineStr">
        <is>
          <t>CORREGIBLE</t>
        </is>
      </c>
      <c r="K1214" s="16" t="b">
        <v>1</v>
      </c>
      <c r="L1214" s="16" t="b">
        <v>0</v>
      </c>
      <c r="M1214" s="16" t="b">
        <v>1</v>
      </c>
      <c r="N1214" s="16" t="b">
        <v>0</v>
      </c>
      <c r="O1214" s="16" t="n">
        <v>476.2745867549749</v>
      </c>
      <c r="P1214" s="16" t="n">
        <v>289.4115446824891</v>
      </c>
      <c r="Q1214" s="16" t="n">
        <v>2878.064123348901</v>
      </c>
      <c r="R1214" s="16" t="n">
        <v>410.517520204588</v>
      </c>
      <c r="S1214" s="16" t="n">
        <v>0.7214007806199999</v>
      </c>
      <c r="T1214" s="16" t="n">
        <v>0.8659452422931705</v>
      </c>
      <c r="U1214" s="16" t="n">
        <v>0.7705159106510983</v>
      </c>
      <c r="V1214" s="16" t="n">
        <v>0.6951904466992288</v>
      </c>
      <c r="W1214" s="16" t="n">
        <v>0.9364495447976596</v>
      </c>
      <c r="X1214" s="16" t="n">
        <v>0.8044255763694856</v>
      </c>
      <c r="Y1214" s="16" t="n">
        <v>289.4115446824891</v>
      </c>
      <c r="Z1214" s="16" t="n">
        <v>11.55714506207048</v>
      </c>
      <c r="AA1214" s="16" t="n">
        <v>113.4201534403619</v>
      </c>
      <c r="AB1214" s="16" t="n">
        <v>2467.546603144313</v>
      </c>
      <c r="AC1214" s="16" t="n">
        <v>7.010819226216148</v>
      </c>
      <c r="AD1214" s="16" t="inlineStr">
        <is>
          <t>O2</t>
        </is>
      </c>
      <c r="AE1214" s="16" t="n"/>
    </row>
    <row r="1215">
      <c r="A1215" s="16" t="inlineStr">
        <is>
          <t>KF-M04-0143</t>
        </is>
      </c>
      <c r="B1215" s="16" t="inlineStr">
        <is>
          <t>3.2</t>
        </is>
      </c>
      <c r="C1215" s="16" t="inlineStr">
        <is>
          <t>3.2</t>
        </is>
      </c>
      <c r="D1215" s="16" t="inlineStr">
        <is>
          <t>muestra de 300 puntos</t>
        </is>
      </c>
      <c r="E1215" s="16" t="inlineStr">
        <is>
          <t>KF-M04</t>
        </is>
      </c>
      <c r="F1215" s="16" t="inlineStr">
        <is>
          <t>KF-M04</t>
        </is>
      </c>
      <c r="G1215" s="16" t="inlineStr">
        <is>
          <t>B07</t>
        </is>
      </c>
      <c r="H1215" s="16" t="inlineStr">
        <is>
          <t>lhs</t>
        </is>
      </c>
      <c r="I1215" s="16" t="inlineStr">
        <is>
          <t>KALINA</t>
        </is>
      </c>
      <c r="J1215" s="16" t="inlineStr">
        <is>
          <t>KALINA</t>
        </is>
      </c>
      <c r="K1215" s="16" t="b">
        <v>1</v>
      </c>
      <c r="L1215" s="16" t="b">
        <v>0</v>
      </c>
      <c r="M1215" s="16" t="b">
        <v>1</v>
      </c>
      <c r="N1215" s="16" t="b">
        <v>0</v>
      </c>
      <c r="O1215" s="16" t="n">
        <v>456.6738939798129</v>
      </c>
      <c r="P1215" s="16" t="n">
        <v>302.3237170373859</v>
      </c>
      <c r="Q1215" s="16" t="n">
        <v>4835.649175048517</v>
      </c>
      <c r="R1215" s="16" t="n">
        <v>1403.658796420059</v>
      </c>
      <c r="S1215" s="16" t="n">
        <v>0.5242975289268771</v>
      </c>
      <c r="T1215" s="16" t="n">
        <v>0.8038946463645135</v>
      </c>
      <c r="U1215" s="16" t="n">
        <v>0.7214594293088336</v>
      </c>
      <c r="V1215" s="16" t="n">
        <v>0.7513561584530409</v>
      </c>
      <c r="W1215" s="16" t="n">
        <v>0.9389302087151592</v>
      </c>
      <c r="X1215" s="16" t="n">
        <v>0.741431211795596</v>
      </c>
      <c r="Y1215" s="16" t="n">
        <v>302.3237170373859</v>
      </c>
      <c r="Z1215" s="16" t="n">
        <v>8.862939813315201</v>
      </c>
      <c r="AA1215" s="16" t="n">
        <v>52.05144316303051</v>
      </c>
      <c r="AB1215" s="16" t="n">
        <v>3431.990378628458</v>
      </c>
      <c r="AC1215" s="16" t="n">
        <v>3.445031789336217</v>
      </c>
      <c r="AD1215" s="16" t="n"/>
      <c r="AE1215" s="16" t="n"/>
    </row>
    <row r="1216">
      <c r="A1216" s="16" t="inlineStr">
        <is>
          <t>KF-M04-0144</t>
        </is>
      </c>
      <c r="B1216" s="16" t="inlineStr">
        <is>
          <t>3.2</t>
        </is>
      </c>
      <c r="C1216" s="16" t="inlineStr">
        <is>
          <t>3.2</t>
        </is>
      </c>
      <c r="D1216" s="16" t="inlineStr">
        <is>
          <t>muestra de 300 puntos</t>
        </is>
      </c>
      <c r="E1216" s="16" t="inlineStr">
        <is>
          <t>KF-M04</t>
        </is>
      </c>
      <c r="F1216" s="16" t="inlineStr">
        <is>
          <t>KF-M04</t>
        </is>
      </c>
      <c r="G1216" s="16" t="inlineStr">
        <is>
          <t>B07</t>
        </is>
      </c>
      <c r="H1216" s="16" t="inlineStr">
        <is>
          <t>lhs</t>
        </is>
      </c>
      <c r="I1216" s="16" t="inlineStr">
        <is>
          <t>CORREGIBLE</t>
        </is>
      </c>
      <c r="J1216" s="16" t="inlineStr">
        <is>
          <t>CORREGIBLE</t>
        </is>
      </c>
      <c r="K1216" s="16" t="b">
        <v>1</v>
      </c>
      <c r="L1216" s="16" t="b">
        <v>0</v>
      </c>
      <c r="M1216" s="16" t="b">
        <v>0</v>
      </c>
      <c r="N1216" s="16" t="b">
        <v>0</v>
      </c>
      <c r="O1216" s="16" t="n">
        <v>411.0039330905904</v>
      </c>
      <c r="P1216" s="16" t="n">
        <v>295.0965464724693</v>
      </c>
      <c r="Q1216" s="16" t="n">
        <v>4049.142820173306</v>
      </c>
      <c r="R1216" s="16" t="n">
        <v>942.9808388170708</v>
      </c>
      <c r="S1216" s="16" t="n">
        <v>0.7149155642590479</v>
      </c>
      <c r="T1216" s="16" t="n">
        <v>0.7666415048920523</v>
      </c>
      <c r="U1216" s="16" t="n">
        <v>0.6971406906133668</v>
      </c>
      <c r="V1216" s="16" t="n">
        <v>0.6868856216048219</v>
      </c>
      <c r="W1216" s="16" t="n">
        <v>0.6231583757896157</v>
      </c>
      <c r="X1216" s="16" t="n">
        <v>0.8909828975410689</v>
      </c>
      <c r="Y1216" s="16" t="n">
        <v>295.0965464724693</v>
      </c>
      <c r="Z1216" s="16" t="n">
        <v>8.797312388292109</v>
      </c>
      <c r="AA1216" s="16" t="n">
        <v>52.84594906359793</v>
      </c>
      <c r="AB1216" s="16" t="n">
        <v>3106.161981356235</v>
      </c>
      <c r="AC1216" s="16" t="n">
        <v>4.293982076298372</v>
      </c>
      <c r="AD1216" s="16" t="inlineStr">
        <is>
          <t>O2</t>
        </is>
      </c>
      <c r="AE1216" s="16" t="n"/>
    </row>
    <row r="1217">
      <c r="A1217" s="16" t="inlineStr">
        <is>
          <t>KF-M04-0145</t>
        </is>
      </c>
      <c r="B1217" s="16" t="inlineStr">
        <is>
          <t>3.2</t>
        </is>
      </c>
      <c r="C1217" s="16" t="inlineStr">
        <is>
          <t>3.2</t>
        </is>
      </c>
      <c r="D1217" s="16" t="inlineStr">
        <is>
          <t>muestra de 300 puntos</t>
        </is>
      </c>
      <c r="E1217" s="16" t="inlineStr">
        <is>
          <t>KF-M04</t>
        </is>
      </c>
      <c r="F1217" s="16" t="inlineStr">
        <is>
          <t>KF-M04</t>
        </is>
      </c>
      <c r="G1217" s="16" t="inlineStr">
        <is>
          <t>B07</t>
        </is>
      </c>
      <c r="H1217" s="16" t="inlineStr">
        <is>
          <t>lhs</t>
        </is>
      </c>
      <c r="I1217" s="16" t="inlineStr">
        <is>
          <t>CORREGIBLE</t>
        </is>
      </c>
      <c r="J1217" s="16" t="inlineStr">
        <is>
          <t>CORREGIBLE</t>
        </is>
      </c>
      <c r="K1217" s="16" t="b">
        <v>1</v>
      </c>
      <c r="L1217" s="16" t="b">
        <v>0</v>
      </c>
      <c r="M1217" s="16" t="b">
        <v>1</v>
      </c>
      <c r="N1217" s="16" t="b">
        <v>0</v>
      </c>
      <c r="O1217" s="16" t="n">
        <v>478.4021881569368</v>
      </c>
      <c r="P1217" s="16" t="n">
        <v>296.9308509408497</v>
      </c>
      <c r="Q1217" s="16" t="n">
        <v>2048.677953817212</v>
      </c>
      <c r="R1217" s="16" t="n">
        <v>717.8868639688034</v>
      </c>
      <c r="S1217" s="16" t="n">
        <v>0.6806373309486183</v>
      </c>
      <c r="T1217" s="16" t="n">
        <v>0.9012167479650351</v>
      </c>
      <c r="U1217" s="16" t="n">
        <v>0.7316543016397027</v>
      </c>
      <c r="V1217" s="16" t="n">
        <v>0.9273062849819148</v>
      </c>
      <c r="W1217" s="16" t="n">
        <v>0.746609599547653</v>
      </c>
      <c r="X1217" s="16" t="n">
        <v>0.8211638974407564</v>
      </c>
      <c r="Y1217" s="16" t="n">
        <v>296.9308509408497</v>
      </c>
      <c r="Z1217" s="16" t="n">
        <v>7.962494194696659</v>
      </c>
      <c r="AA1217" s="16" t="n">
        <v>132.3795788681901</v>
      </c>
      <c r="AB1217" s="16" t="n">
        <v>1330.791089848408</v>
      </c>
      <c r="AC1217" s="16" t="n">
        <v>2.853761583672381</v>
      </c>
      <c r="AD1217" s="16" t="inlineStr">
        <is>
          <t>O2</t>
        </is>
      </c>
      <c r="AE1217" s="16" t="n"/>
    </row>
    <row r="1218">
      <c r="A1218" s="16" t="inlineStr">
        <is>
          <t>KF-M04-0146</t>
        </is>
      </c>
      <c r="B1218" s="16" t="inlineStr">
        <is>
          <t>3.2</t>
        </is>
      </c>
      <c r="C1218" s="16" t="inlineStr">
        <is>
          <t>3.2</t>
        </is>
      </c>
      <c r="D1218" s="16" t="inlineStr">
        <is>
          <t>muestra de 300 puntos</t>
        </is>
      </c>
      <c r="E1218" s="16" t="inlineStr">
        <is>
          <t>KF-M04</t>
        </is>
      </c>
      <c r="F1218" s="16" t="inlineStr">
        <is>
          <t>KF-M04</t>
        </is>
      </c>
      <c r="G1218" s="16" t="inlineStr">
        <is>
          <t>B07</t>
        </is>
      </c>
      <c r="H1218" s="16" t="inlineStr">
        <is>
          <t>lhs</t>
        </is>
      </c>
      <c r="I1218" s="16" t="inlineStr">
        <is>
          <t>KALINA</t>
        </is>
      </c>
      <c r="J1218" s="16" t="inlineStr">
        <is>
          <t>KALINA</t>
        </is>
      </c>
      <c r="K1218" s="16" t="b">
        <v>1</v>
      </c>
      <c r="L1218" s="16" t="b">
        <v>1</v>
      </c>
      <c r="M1218" s="16" t="b">
        <v>0</v>
      </c>
      <c r="N1218" s="16" t="b">
        <v>0</v>
      </c>
      <c r="O1218" s="16" t="n">
        <v>421.7380440711633</v>
      </c>
      <c r="P1218" s="16" t="n">
        <v>279.9492615790234</v>
      </c>
      <c r="Q1218" s="16" t="n">
        <v>3500.262718794284</v>
      </c>
      <c r="R1218" s="16" t="n">
        <v>1263.606280801354</v>
      </c>
      <c r="S1218" s="16" t="n">
        <v>0.5416772116166169</v>
      </c>
      <c r="T1218" s="16" t="n">
        <v>0.8103095930468042</v>
      </c>
      <c r="U1218" s="16" t="n">
        <v>0.6714418309390331</v>
      </c>
      <c r="V1218" s="16" t="n">
        <v>0.8274247415938933</v>
      </c>
      <c r="W1218" s="16" t="n">
        <v>0.9227608698346262</v>
      </c>
      <c r="X1218" s="16" t="n">
        <v>0.7397338616547524</v>
      </c>
      <c r="Y1218" s="16" t="n">
        <v>279.9492615790234</v>
      </c>
      <c r="Z1218" s="16" t="n">
        <v>6.92338300785286</v>
      </c>
      <c r="AA1218" s="16" t="n">
        <v>33.4017155873232</v>
      </c>
      <c r="AB1218" s="16" t="n">
        <v>2236.65643799293</v>
      </c>
      <c r="AC1218" s="16" t="n">
        <v>2.770058025174176</v>
      </c>
      <c r="AD1218" s="16" t="n"/>
      <c r="AE1218" s="16" t="n"/>
    </row>
    <row r="1219">
      <c r="A1219" s="16" t="inlineStr">
        <is>
          <t>KF-M04-0147</t>
        </is>
      </c>
      <c r="B1219" s="16" t="inlineStr">
        <is>
          <t>3.2</t>
        </is>
      </c>
      <c r="C1219" s="16" t="inlineStr">
        <is>
          <t>3.2</t>
        </is>
      </c>
      <c r="D1219" s="16" t="inlineStr">
        <is>
          <t>muestra de 300 puntos</t>
        </is>
      </c>
      <c r="E1219" s="16" t="inlineStr">
        <is>
          <t>KF-M04</t>
        </is>
      </c>
      <c r="F1219" s="16" t="inlineStr">
        <is>
          <t>KF-M04</t>
        </is>
      </c>
      <c r="G1219" s="16" t="inlineStr">
        <is>
          <t>B07</t>
        </is>
      </c>
      <c r="H1219" s="16" t="inlineStr">
        <is>
          <t>lhs</t>
        </is>
      </c>
      <c r="I1219" s="16" t="inlineStr">
        <is>
          <t>KALINA</t>
        </is>
      </c>
      <c r="J1219" s="16" t="inlineStr">
        <is>
          <t>KALINA</t>
        </is>
      </c>
      <c r="K1219" s="16" t="b">
        <v>1</v>
      </c>
      <c r="L1219" s="16" t="b">
        <v>1</v>
      </c>
      <c r="M1219" s="16" t="b">
        <v>0</v>
      </c>
      <c r="N1219" s="16" t="b">
        <v>0</v>
      </c>
      <c r="O1219" s="16" t="n">
        <v>428.0333880450719</v>
      </c>
      <c r="P1219" s="16" t="n">
        <v>296.0035560466928</v>
      </c>
      <c r="Q1219" s="16" t="n">
        <v>4127.892419825802</v>
      </c>
      <c r="R1219" s="16" t="n">
        <v>882.8064030961441</v>
      </c>
      <c r="S1219" s="16" t="n">
        <v>0.671541963038886</v>
      </c>
      <c r="T1219" s="16" t="n">
        <v>0.7710522693090507</v>
      </c>
      <c r="U1219" s="16" t="n">
        <v>0.8072738015049647</v>
      </c>
      <c r="V1219" s="16" t="n">
        <v>0.7889385896640362</v>
      </c>
      <c r="W1219" s="16" t="n">
        <v>0.9124770236717322</v>
      </c>
      <c r="X1219" s="16" t="n">
        <v>0.93190774333421</v>
      </c>
      <c r="Y1219" s="16" t="n">
        <v>296.0035560466928</v>
      </c>
      <c r="Z1219" s="16" t="n">
        <v>10.84830687819082</v>
      </c>
      <c r="AA1219" s="16" t="n">
        <v>80.10460021696885</v>
      </c>
      <c r="AB1219" s="16" t="n">
        <v>3245.086016729658</v>
      </c>
      <c r="AC1219" s="16" t="n">
        <v>4.675875033697784</v>
      </c>
      <c r="AD1219" s="16" t="n"/>
      <c r="AE1219" s="16" t="n"/>
    </row>
    <row r="1220">
      <c r="A1220" s="16" t="inlineStr">
        <is>
          <t>KF-M04-0148</t>
        </is>
      </c>
      <c r="B1220" s="16" t="inlineStr">
        <is>
          <t>3.2</t>
        </is>
      </c>
      <c r="C1220" s="16" t="inlineStr">
        <is>
          <t>3.2</t>
        </is>
      </c>
      <c r="D1220" s="16" t="inlineStr">
        <is>
          <t>muestra de 300 puntos</t>
        </is>
      </c>
      <c r="E1220" s="16" t="inlineStr">
        <is>
          <t>KF-M04</t>
        </is>
      </c>
      <c r="F1220" s="16" t="inlineStr">
        <is>
          <t>KF-M04</t>
        </is>
      </c>
      <c r="G1220" s="16" t="inlineStr">
        <is>
          <t>B07</t>
        </is>
      </c>
      <c r="H1220" s="16" t="inlineStr">
        <is>
          <t>lhs</t>
        </is>
      </c>
      <c r="I1220" s="16" t="inlineStr">
        <is>
          <t>CORREGIBLE</t>
        </is>
      </c>
      <c r="J1220" s="16" t="inlineStr">
        <is>
          <t>CORREGIBLE</t>
        </is>
      </c>
      <c r="K1220" s="16" t="b">
        <v>1</v>
      </c>
      <c r="L1220" s="16" t="b">
        <v>0</v>
      </c>
      <c r="M1220" s="16" t="b">
        <v>0</v>
      </c>
      <c r="N1220" s="16" t="b">
        <v>0</v>
      </c>
      <c r="O1220" s="16" t="n">
        <v>404.4821729889797</v>
      </c>
      <c r="P1220" s="16" t="n">
        <v>292.7159337160937</v>
      </c>
      <c r="Q1220" s="16" t="n">
        <v>2531.472839998504</v>
      </c>
      <c r="R1220" s="16" t="n">
        <v>581.2840156141363</v>
      </c>
      <c r="S1220" s="16" t="n">
        <v>0.6736275222136603</v>
      </c>
      <c r="T1220" s="16" t="n">
        <v>0.7872011270798482</v>
      </c>
      <c r="U1220" s="16" t="n">
        <v>0.8556547322947906</v>
      </c>
      <c r="V1220" s="16" t="n">
        <v>0.8777990911030094</v>
      </c>
      <c r="W1220" s="16" t="n">
        <v>0.7013653105663765</v>
      </c>
      <c r="X1220" s="16" t="n">
        <v>0.923205786025765</v>
      </c>
      <c r="Y1220" s="16" t="n">
        <v>292.7159337160937</v>
      </c>
      <c r="Z1220" s="16" t="n">
        <v>10.33726863921205</v>
      </c>
      <c r="AA1220" s="16" t="n">
        <v>87.8426257649337</v>
      </c>
      <c r="AB1220" s="16" t="n">
        <v>1950.188824384368</v>
      </c>
      <c r="AC1220" s="16" t="n">
        <v>4.35496723116317</v>
      </c>
      <c r="AD1220" s="16" t="inlineStr">
        <is>
          <t>O2</t>
        </is>
      </c>
      <c r="AE1220" s="16" t="n"/>
    </row>
    <row r="1221">
      <c r="A1221" s="16" t="inlineStr">
        <is>
          <t>KF-M04-0149</t>
        </is>
      </c>
      <c r="B1221" s="16" t="inlineStr">
        <is>
          <t>3.2</t>
        </is>
      </c>
      <c r="C1221" s="16" t="inlineStr">
        <is>
          <t>3.2</t>
        </is>
      </c>
      <c r="D1221" s="16" t="inlineStr">
        <is>
          <t>muestra de 300 puntos</t>
        </is>
      </c>
      <c r="E1221" s="16" t="inlineStr">
        <is>
          <t>KF-M04</t>
        </is>
      </c>
      <c r="F1221" s="16" t="inlineStr">
        <is>
          <t>KF-M04</t>
        </is>
      </c>
      <c r="G1221" s="16" t="inlineStr">
        <is>
          <t>B07</t>
        </is>
      </c>
      <c r="H1221" s="16" t="inlineStr">
        <is>
          <t>lhs</t>
        </is>
      </c>
      <c r="I1221" s="16" t="inlineStr">
        <is>
          <t>CORREGIBLE</t>
        </is>
      </c>
      <c r="J1221" s="16" t="inlineStr">
        <is>
          <t>CORREGIBLE</t>
        </is>
      </c>
      <c r="K1221" s="16" t="b">
        <v>1</v>
      </c>
      <c r="L1221" s="16" t="b">
        <v>0</v>
      </c>
      <c r="M1221" s="16" t="b">
        <v>1</v>
      </c>
      <c r="N1221" s="16" t="b">
        <v>0</v>
      </c>
      <c r="O1221" s="16" t="n">
        <v>499.9409497806105</v>
      </c>
      <c r="P1221" s="16" t="n">
        <v>284.4613547205568</v>
      </c>
      <c r="Q1221" s="16" t="n">
        <v>3238.262952356354</v>
      </c>
      <c r="R1221" s="16" t="n">
        <v>1013.429226631598</v>
      </c>
      <c r="S1221" s="16" t="n">
        <v>0.5462226699452218</v>
      </c>
      <c r="T1221" s="16" t="n">
        <v>0.9149910149591456</v>
      </c>
      <c r="U1221" s="16" t="n">
        <v>0.6844156673548407</v>
      </c>
      <c r="V1221" s="16" t="n">
        <v>0.9129861528748624</v>
      </c>
      <c r="W1221" s="16" t="n">
        <v>0.8098020294965484</v>
      </c>
      <c r="X1221" s="16" t="n">
        <v>0.7168821129433658</v>
      </c>
      <c r="Y1221" s="16" t="n">
        <v>284.4613547205568</v>
      </c>
      <c r="Z1221" s="16" t="n">
        <v>8.572773364907791</v>
      </c>
      <c r="AA1221" s="16" t="n">
        <v>139.3109175490837</v>
      </c>
      <c r="AB1221" s="16" t="n">
        <v>2224.833725724756</v>
      </c>
      <c r="AC1221" s="16" t="n">
        <v>3.195351848218925</v>
      </c>
      <c r="AD1221" s="16" t="inlineStr">
        <is>
          <t>O2</t>
        </is>
      </c>
      <c r="AE1221" s="16" t="n"/>
    </row>
    <row r="1222">
      <c r="A1222" s="16" t="inlineStr">
        <is>
          <t>KF-M04-0150</t>
        </is>
      </c>
      <c r="B1222" s="16" t="inlineStr">
        <is>
          <t>3.2</t>
        </is>
      </c>
      <c r="C1222" s="16" t="inlineStr">
        <is>
          <t>3.2</t>
        </is>
      </c>
      <c r="D1222" s="16" t="inlineStr">
        <is>
          <t>muestra de 300 puntos</t>
        </is>
      </c>
      <c r="E1222" s="16" t="inlineStr">
        <is>
          <t>KF-M04</t>
        </is>
      </c>
      <c r="F1222" s="16" t="inlineStr">
        <is>
          <t>KF-M04</t>
        </is>
      </c>
      <c r="G1222" s="16" t="inlineStr">
        <is>
          <t>B07</t>
        </is>
      </c>
      <c r="H1222" s="16" t="inlineStr">
        <is>
          <t>lhs</t>
        </is>
      </c>
      <c r="I1222" s="16" t="inlineStr">
        <is>
          <t>CORREGIBLE</t>
        </is>
      </c>
      <c r="J1222" s="16" t="inlineStr">
        <is>
          <t>CORREGIBLE</t>
        </is>
      </c>
      <c r="K1222" s="16" t="b">
        <v>1</v>
      </c>
      <c r="L1222" s="16" t="b">
        <v>0</v>
      </c>
      <c r="M1222" s="16" t="b">
        <v>1</v>
      </c>
      <c r="N1222" s="16" t="b">
        <v>0</v>
      </c>
      <c r="O1222" s="16" t="n">
        <v>495.4081364199327</v>
      </c>
      <c r="P1222" s="16" t="n">
        <v>280.7717228522209</v>
      </c>
      <c r="Q1222" s="16" t="n">
        <v>4817.775632202194</v>
      </c>
      <c r="R1222" s="16" t="n">
        <v>1002.139181562782</v>
      </c>
      <c r="S1222" s="16" t="n">
        <v>0.7461066380674107</v>
      </c>
      <c r="T1222" s="16" t="n">
        <v>0.883650723679178</v>
      </c>
      <c r="U1222" s="16" t="n">
        <v>0.8029581698509706</v>
      </c>
      <c r="V1222" s="16" t="n">
        <v>0.7640276585656671</v>
      </c>
      <c r="W1222" s="16" t="n">
        <v>0.8339146139121769</v>
      </c>
      <c r="X1222" s="16" t="n">
        <v>0.7208655934775472</v>
      </c>
      <c r="Y1222" s="16" t="n">
        <v>280.7717228522209</v>
      </c>
      <c r="Z1222" s="16" t="n">
        <v>13.21010625807215</v>
      </c>
      <c r="AA1222" s="16" t="n">
        <v>162.9280887391454</v>
      </c>
      <c r="AB1222" s="16" t="n">
        <v>3815.636450639413</v>
      </c>
      <c r="AC1222" s="16" t="n">
        <v>4.807491534947406</v>
      </c>
      <c r="AD1222" s="16" t="inlineStr">
        <is>
          <t>O2</t>
        </is>
      </c>
      <c r="AE1222" s="16" t="n"/>
    </row>
    <row r="1223">
      <c r="A1223" s="16" t="inlineStr">
        <is>
          <t>KF-M04-0151</t>
        </is>
      </c>
      <c r="B1223" s="16" t="inlineStr">
        <is>
          <t>3.2</t>
        </is>
      </c>
      <c r="C1223" s="16" t="inlineStr">
        <is>
          <t>3.2</t>
        </is>
      </c>
      <c r="D1223" s="16" t="inlineStr">
        <is>
          <t>muestra de 300 puntos</t>
        </is>
      </c>
      <c r="E1223" s="16" t="inlineStr">
        <is>
          <t>KF-M04</t>
        </is>
      </c>
      <c r="F1223" s="16" t="inlineStr">
        <is>
          <t>KF-M04</t>
        </is>
      </c>
      <c r="G1223" s="16" t="inlineStr">
        <is>
          <t>B07</t>
        </is>
      </c>
      <c r="H1223" s="16" t="inlineStr">
        <is>
          <t>lhs</t>
        </is>
      </c>
      <c r="I1223" s="16" t="inlineStr">
        <is>
          <t>CORREGIBLE</t>
        </is>
      </c>
      <c r="J1223" s="16" t="inlineStr">
        <is>
          <t>CORREGIBLE</t>
        </is>
      </c>
      <c r="K1223" s="16" t="b">
        <v>1</v>
      </c>
      <c r="L1223" s="16" t="b">
        <v>0</v>
      </c>
      <c r="M1223" s="16" t="b">
        <v>0</v>
      </c>
      <c r="N1223" s="16" t="b">
        <v>0</v>
      </c>
      <c r="O1223" s="16" t="n">
        <v>427.1179530634166</v>
      </c>
      <c r="P1223" s="16" t="n">
        <v>290.8539572643693</v>
      </c>
      <c r="Q1223" s="16" t="n">
        <v>3808.049392815273</v>
      </c>
      <c r="R1223" s="16" t="n">
        <v>1021.922960772625</v>
      </c>
      <c r="S1223" s="16" t="n">
        <v>0.5914494296812309</v>
      </c>
      <c r="T1223" s="16" t="n">
        <v>0.7550611868603829</v>
      </c>
      <c r="U1223" s="16" t="n">
        <v>0.7887808855963062</v>
      </c>
      <c r="V1223" s="16" t="n">
        <v>0.6757577040345193</v>
      </c>
      <c r="W1223" s="16" t="n">
        <v>0.6106454140907532</v>
      </c>
      <c r="X1223" s="16" t="n">
        <v>0.7610837671699681</v>
      </c>
      <c r="Y1223" s="16" t="n">
        <v>290.8539572643693</v>
      </c>
      <c r="Z1223" s="16" t="n">
        <v>7.44885103682309</v>
      </c>
      <c r="AA1223" s="16" t="n">
        <v>40.77028443975999</v>
      </c>
      <c r="AB1223" s="16" t="n">
        <v>2786.126432042648</v>
      </c>
      <c r="AC1223" s="16" t="n">
        <v>3.726356622749914</v>
      </c>
      <c r="AD1223" s="16" t="inlineStr">
        <is>
          <t>O2</t>
        </is>
      </c>
      <c r="AE1223" s="16" t="n"/>
    </row>
    <row r="1224">
      <c r="A1224" s="16" t="inlineStr">
        <is>
          <t>KF-M04-0152</t>
        </is>
      </c>
      <c r="B1224" s="16" t="inlineStr">
        <is>
          <t>3.2</t>
        </is>
      </c>
      <c r="C1224" s="16" t="inlineStr">
        <is>
          <t>3.2</t>
        </is>
      </c>
      <c r="D1224" s="16" t="inlineStr">
        <is>
          <t>muestra de 300 puntos</t>
        </is>
      </c>
      <c r="E1224" s="16" t="inlineStr">
        <is>
          <t>KF-M04</t>
        </is>
      </c>
      <c r="F1224" s="16" t="inlineStr">
        <is>
          <t>KF-M04</t>
        </is>
      </c>
      <c r="G1224" s="16" t="inlineStr">
        <is>
          <t>B07</t>
        </is>
      </c>
      <c r="H1224" s="16" t="inlineStr">
        <is>
          <t>lhs</t>
        </is>
      </c>
      <c r="I1224" s="16" t="inlineStr">
        <is>
          <t>KALINA</t>
        </is>
      </c>
      <c r="J1224" s="16" t="inlineStr">
        <is>
          <t>KALINA</t>
        </is>
      </c>
      <c r="K1224" s="16" t="b">
        <v>1</v>
      </c>
      <c r="L1224" s="16" t="b">
        <v>0</v>
      </c>
      <c r="M1224" s="16" t="b">
        <v>1</v>
      </c>
      <c r="N1224" s="16" t="b">
        <v>0</v>
      </c>
      <c r="O1224" s="16" t="n">
        <v>441.0688918004743</v>
      </c>
      <c r="P1224" s="16" t="n">
        <v>292.1258984893497</v>
      </c>
      <c r="Q1224" s="16" t="n">
        <v>3213.426013813886</v>
      </c>
      <c r="R1224" s="16" t="n">
        <v>607.3291536014565</v>
      </c>
      <c r="S1224" s="16" t="n">
        <v>0.5395104440068157</v>
      </c>
      <c r="T1224" s="16" t="n">
        <v>0.8160124009063323</v>
      </c>
      <c r="U1224" s="16" t="n">
        <v>0.6637614771218336</v>
      </c>
      <c r="V1224" s="16" t="n">
        <v>0.7563808708299845</v>
      </c>
      <c r="W1224" s="16" t="n">
        <v>0.8401279481668507</v>
      </c>
      <c r="X1224" s="16" t="n">
        <v>0.945982464250274</v>
      </c>
      <c r="Y1224" s="16" t="n">
        <v>292.1258984893497</v>
      </c>
      <c r="Z1224" s="16" t="n">
        <v>10.76823832632847</v>
      </c>
      <c r="AA1224" s="16" t="n">
        <v>85.07512022128739</v>
      </c>
      <c r="AB1224" s="16" t="n">
        <v>2606.096860212429</v>
      </c>
      <c r="AC1224" s="16" t="n">
        <v>5.291078148905414</v>
      </c>
      <c r="AD1224" s="16" t="n"/>
      <c r="AE1224" s="16" t="n"/>
    </row>
    <row r="1225">
      <c r="A1225" s="16" t="inlineStr">
        <is>
          <t>KF-M04-0153</t>
        </is>
      </c>
      <c r="B1225" s="16" t="inlineStr">
        <is>
          <t>3.2</t>
        </is>
      </c>
      <c r="C1225" s="16" t="inlineStr">
        <is>
          <t>3.2</t>
        </is>
      </c>
      <c r="D1225" s="16" t="inlineStr">
        <is>
          <t>muestra de 300 puntos</t>
        </is>
      </c>
      <c r="E1225" s="16" t="inlineStr">
        <is>
          <t>KF-M04</t>
        </is>
      </c>
      <c r="F1225" s="16" t="inlineStr">
        <is>
          <t>KF-M04</t>
        </is>
      </c>
      <c r="G1225" s="16" t="inlineStr">
        <is>
          <t>B07</t>
        </is>
      </c>
      <c r="H1225" s="16" t="inlineStr">
        <is>
          <t>lhs</t>
        </is>
      </c>
      <c r="I1225" s="16" t="inlineStr">
        <is>
          <t>CORREGIBLE</t>
        </is>
      </c>
      <c r="J1225" s="16" t="inlineStr">
        <is>
          <t>CORREGIBLE</t>
        </is>
      </c>
      <c r="K1225" s="16" t="b">
        <v>1</v>
      </c>
      <c r="L1225" s="16" t="b">
        <v>0</v>
      </c>
      <c r="M1225" s="16" t="b">
        <v>0</v>
      </c>
      <c r="N1225" s="16" t="b">
        <v>0</v>
      </c>
      <c r="O1225" s="16" t="n">
        <v>411.8847670756751</v>
      </c>
      <c r="P1225" s="16" t="n">
        <v>303.1225051543633</v>
      </c>
      <c r="Q1225" s="16" t="n">
        <v>3155.202144828041</v>
      </c>
      <c r="R1225" s="16" t="n">
        <v>1068.728721229202</v>
      </c>
      <c r="S1225" s="16" t="n">
        <v>0.607712985648713</v>
      </c>
      <c r="T1225" s="16" t="n">
        <v>0.9163162452654042</v>
      </c>
      <c r="U1225" s="16" t="n">
        <v>0.7578612136416221</v>
      </c>
      <c r="V1225" s="16" t="n">
        <v>0.9216153496849236</v>
      </c>
      <c r="W1225" s="16" t="n">
        <v>0.7676136463519894</v>
      </c>
      <c r="X1225" s="16" t="n">
        <v>0.7496391231218409</v>
      </c>
      <c r="Y1225" s="16" t="n">
        <v>303.1225051543633</v>
      </c>
      <c r="Z1225" s="16" t="n">
        <v>9.312393826965049</v>
      </c>
      <c r="AA1225" s="16" t="n">
        <v>57.07204736635506</v>
      </c>
      <c r="AB1225" s="16" t="n">
        <v>2086.473423598839</v>
      </c>
      <c r="AC1225" s="16" t="n">
        <v>2.952294705057682</v>
      </c>
      <c r="AD1225" s="16" t="inlineStr">
        <is>
          <t>O2</t>
        </is>
      </c>
      <c r="AE1225" s="16" t="n"/>
    </row>
    <row r="1226">
      <c r="A1226" s="16" t="inlineStr">
        <is>
          <t>KF-M04-0154</t>
        </is>
      </c>
      <c r="B1226" s="16" t="inlineStr">
        <is>
          <t>3.2</t>
        </is>
      </c>
      <c r="C1226" s="16" t="inlineStr">
        <is>
          <t>3.2</t>
        </is>
      </c>
      <c r="D1226" s="16" t="inlineStr">
        <is>
          <t>muestra de 300 puntos</t>
        </is>
      </c>
      <c r="E1226" s="16" t="inlineStr">
        <is>
          <t>KF-M04</t>
        </is>
      </c>
      <c r="F1226" s="16" t="inlineStr">
        <is>
          <t>KF-M04</t>
        </is>
      </c>
      <c r="G1226" s="16" t="inlineStr">
        <is>
          <t>B07</t>
        </is>
      </c>
      <c r="H1226" s="16" t="inlineStr">
        <is>
          <t>lhs</t>
        </is>
      </c>
      <c r="I1226" s="16" t="inlineStr">
        <is>
          <t>INVIABLE</t>
        </is>
      </c>
      <c r="J1226" s="16" t="inlineStr">
        <is>
          <t>INVIABLE</t>
        </is>
      </c>
      <c r="K1226" s="16" t="b">
        <v>1</v>
      </c>
      <c r="L1226" s="16" t="b">
        <v>0</v>
      </c>
      <c r="M1226" s="16" t="b">
        <v>0</v>
      </c>
      <c r="N1226" s="16" t="b">
        <v>0</v>
      </c>
      <c r="O1226" s="16" t="n">
        <v>389.3276004242328</v>
      </c>
      <c r="P1226" s="16" t="n">
        <v>289.8890021346743</v>
      </c>
      <c r="Q1226" s="16" t="n">
        <v>4866.228647001242</v>
      </c>
      <c r="R1226" s="16" t="n">
        <v>463.536993249562</v>
      </c>
      <c r="S1226" s="16" t="n">
        <v>0.7591081275751961</v>
      </c>
      <c r="T1226" s="16" t="n">
        <v>0.8878310129852817</v>
      </c>
      <c r="U1226" s="16" t="n">
        <v>0.8539235906834084</v>
      </c>
      <c r="V1226" s="16" t="n">
        <v>0.6677015947373078</v>
      </c>
      <c r="W1226" s="16" t="n">
        <v>0.8358972082280288</v>
      </c>
      <c r="X1226" s="16" t="n">
        <v>0.7553688583192818</v>
      </c>
      <c r="Y1226" s="16" t="n">
        <v>289.8890021346743</v>
      </c>
      <c r="Z1226" s="16" t="n">
        <v>-15.8640152282458</v>
      </c>
      <c r="AA1226" s="16" t="n">
        <v>-27.19651250733108</v>
      </c>
      <c r="AB1226" s="16" t="n">
        <v>4402.69165375168</v>
      </c>
      <c r="AC1226" s="16" t="n">
        <v>10.4980373041798</v>
      </c>
      <c r="AD1226" s="16" t="inlineStr">
        <is>
          <t>O1,O2,O3</t>
        </is>
      </c>
      <c r="AE1226" s="16" t="n"/>
    </row>
    <row r="1227">
      <c r="A1227" s="16" t="inlineStr">
        <is>
          <t>KF-M04-0155</t>
        </is>
      </c>
      <c r="B1227" s="16" t="inlineStr">
        <is>
          <t>3.2</t>
        </is>
      </c>
      <c r="C1227" s="16" t="inlineStr">
        <is>
          <t>3.2</t>
        </is>
      </c>
      <c r="D1227" s="16" t="inlineStr">
        <is>
          <t>muestra de 300 puntos</t>
        </is>
      </c>
      <c r="E1227" s="16" t="inlineStr">
        <is>
          <t>KF-M04</t>
        </is>
      </c>
      <c r="F1227" s="16" t="inlineStr">
        <is>
          <t>KF-M04</t>
        </is>
      </c>
      <c r="G1227" s="16" t="inlineStr">
        <is>
          <t>B07</t>
        </is>
      </c>
      <c r="H1227" s="16" t="inlineStr">
        <is>
          <t>lhs</t>
        </is>
      </c>
      <c r="I1227" s="16" t="inlineStr">
        <is>
          <t>CORREGIBLE</t>
        </is>
      </c>
      <c r="J1227" s="16" t="inlineStr">
        <is>
          <t>CORREGIBLE</t>
        </is>
      </c>
      <c r="K1227" s="16" t="b">
        <v>1</v>
      </c>
      <c r="L1227" s="16" t="b">
        <v>0</v>
      </c>
      <c r="M1227" s="16" t="b">
        <v>1</v>
      </c>
      <c r="N1227" s="16" t="b">
        <v>0</v>
      </c>
      <c r="O1227" s="16" t="n">
        <v>444.3823286517897</v>
      </c>
      <c r="P1227" s="16" t="n">
        <v>285.8422254333574</v>
      </c>
      <c r="Q1227" s="16" t="n">
        <v>4156.765910241249</v>
      </c>
      <c r="R1227" s="16" t="n">
        <v>1150.143753512928</v>
      </c>
      <c r="S1227" s="16" t="n">
        <v>0.7091932896905958</v>
      </c>
      <c r="T1227" s="16" t="n">
        <v>0.7562498052554203</v>
      </c>
      <c r="U1227" s="16" t="n">
        <v>0.7078163931387947</v>
      </c>
      <c r="V1227" s="16" t="n">
        <v>0.8436107120242694</v>
      </c>
      <c r="W1227" s="16" t="n">
        <v>0.925173002294266</v>
      </c>
      <c r="X1227" s="16" t="n">
        <v>0.7561927025775497</v>
      </c>
      <c r="Y1227" s="16" t="n">
        <v>285.8422254333574</v>
      </c>
      <c r="Z1227" s="16" t="n">
        <v>9.48021856857298</v>
      </c>
      <c r="AA1227" s="16" t="n">
        <v>95.35150429417986</v>
      </c>
      <c r="AB1227" s="16" t="n">
        <v>3006.622156728321</v>
      </c>
      <c r="AC1227" s="16" t="n">
        <v>3.61412727543412</v>
      </c>
      <c r="AD1227" s="16" t="inlineStr">
        <is>
          <t>O2</t>
        </is>
      </c>
      <c r="AE1227" s="16" t="n"/>
    </row>
    <row r="1228">
      <c r="A1228" s="16" t="inlineStr">
        <is>
          <t>KF-M04-0156</t>
        </is>
      </c>
      <c r="B1228" s="16" t="inlineStr">
        <is>
          <t>3.2</t>
        </is>
      </c>
      <c r="C1228" s="16" t="inlineStr">
        <is>
          <t>3.2</t>
        </is>
      </c>
      <c r="D1228" s="16" t="inlineStr">
        <is>
          <t>muestra de 300 puntos</t>
        </is>
      </c>
      <c r="E1228" s="16" t="inlineStr">
        <is>
          <t>KF-M04</t>
        </is>
      </c>
      <c r="F1228" s="16" t="inlineStr">
        <is>
          <t>KF-M04</t>
        </is>
      </c>
      <c r="G1228" s="16" t="inlineStr">
        <is>
          <t>B07</t>
        </is>
      </c>
      <c r="H1228" s="16" t="inlineStr">
        <is>
          <t>lhs</t>
        </is>
      </c>
      <c r="I1228" s="16" t="inlineStr">
        <is>
          <t>CORREGIBLE</t>
        </is>
      </c>
      <c r="J1228" s="16" t="inlineStr">
        <is>
          <t>CORREGIBLE</t>
        </is>
      </c>
      <c r="K1228" s="16" t="b">
        <v>1</v>
      </c>
      <c r="L1228" s="16" t="b">
        <v>0</v>
      </c>
      <c r="M1228" s="16" t="b">
        <v>0</v>
      </c>
      <c r="N1228" s="16" t="b">
        <v>0</v>
      </c>
      <c r="O1228" s="16" t="n">
        <v>438.8161537768013</v>
      </c>
      <c r="P1228" s="16" t="n">
        <v>281.4657756227745</v>
      </c>
      <c r="Q1228" s="16" t="n">
        <v>3419.473692117773</v>
      </c>
      <c r="R1228" s="16" t="n">
        <v>762.1045087921802</v>
      </c>
      <c r="S1228" s="16" t="n">
        <v>0.8232676347533857</v>
      </c>
      <c r="T1228" s="16" t="n">
        <v>0.7641488720976264</v>
      </c>
      <c r="U1228" s="16" t="n">
        <v>0.7386287582520373</v>
      </c>
      <c r="V1228" s="16" t="n">
        <v>0.8218242291505842</v>
      </c>
      <c r="W1228" s="16" t="n">
        <v>0.6186657466922999</v>
      </c>
      <c r="X1228" s="16" t="n">
        <v>0.9311230112604916</v>
      </c>
      <c r="Y1228" s="16" t="n">
        <v>281.4657756227745</v>
      </c>
      <c r="Z1228" s="16" t="n">
        <v>11.07912738398159</v>
      </c>
      <c r="AA1228" s="16" t="n">
        <v>155.891470368833</v>
      </c>
      <c r="AB1228" s="16" t="n">
        <v>2657.369183325593</v>
      </c>
      <c r="AC1228" s="16" t="n">
        <v>4.486882904730637</v>
      </c>
      <c r="AD1228" s="16" t="inlineStr">
        <is>
          <t>O2</t>
        </is>
      </c>
      <c r="AE1228" s="16" t="n"/>
    </row>
    <row r="1229">
      <c r="A1229" s="16" t="inlineStr">
        <is>
          <t>KF-M04-0157</t>
        </is>
      </c>
      <c r="B1229" s="16" t="inlineStr">
        <is>
          <t>3.2</t>
        </is>
      </c>
      <c r="C1229" s="16" t="inlineStr">
        <is>
          <t>3.2</t>
        </is>
      </c>
      <c r="D1229" s="16" t="inlineStr">
        <is>
          <t>muestra de 300 puntos</t>
        </is>
      </c>
      <c r="E1229" s="16" t="inlineStr">
        <is>
          <t>KF-M04</t>
        </is>
      </c>
      <c r="F1229" s="16" t="inlineStr">
        <is>
          <t>KF-M04</t>
        </is>
      </c>
      <c r="G1229" s="16" t="inlineStr">
        <is>
          <t>B07</t>
        </is>
      </c>
      <c r="H1229" s="16" t="inlineStr">
        <is>
          <t>lhs</t>
        </is>
      </c>
      <c r="I1229" s="16" t="inlineStr">
        <is>
          <t>CORREGIBLE</t>
        </is>
      </c>
      <c r="J1229" s="16" t="inlineStr">
        <is>
          <t>CORREGIBLE</t>
        </is>
      </c>
      <c r="K1229" s="16" t="b">
        <v>1</v>
      </c>
      <c r="L1229" s="16" t="b">
        <v>0</v>
      </c>
      <c r="M1229" s="16" t="b">
        <v>0</v>
      </c>
      <c r="N1229" s="16" t="b">
        <v>0</v>
      </c>
      <c r="O1229" s="16" t="n">
        <v>426.257582968365</v>
      </c>
      <c r="P1229" s="16" t="n">
        <v>290.0430390930269</v>
      </c>
      <c r="Q1229" s="16" t="n">
        <v>2613.480720067638</v>
      </c>
      <c r="R1229" s="16" t="n">
        <v>374.3693443220704</v>
      </c>
      <c r="S1229" s="16" t="n">
        <v>0.6962341887976842</v>
      </c>
      <c r="T1229" s="16" t="n">
        <v>0.8415207419731222</v>
      </c>
      <c r="U1229" s="16" t="n">
        <v>0.6923997427119094</v>
      </c>
      <c r="V1229" s="16" t="n">
        <v>0.7899781064295979</v>
      </c>
      <c r="W1229" s="16" t="n">
        <v>0.8888330792509469</v>
      </c>
      <c r="X1229" s="16" t="n">
        <v>0.711538080201507</v>
      </c>
      <c r="Y1229" s="16" t="n">
        <v>290.0430390930269</v>
      </c>
      <c r="Z1229" s="16" t="n">
        <v>5.768974988096081</v>
      </c>
      <c r="AA1229" s="16" t="n">
        <v>36.43598723415036</v>
      </c>
      <c r="AB1229" s="16" t="n">
        <v>2239.111375745568</v>
      </c>
      <c r="AC1229" s="16" t="n">
        <v>6.981022243688996</v>
      </c>
      <c r="AD1229" s="16" t="inlineStr">
        <is>
          <t>O2</t>
        </is>
      </c>
      <c r="AE1229" s="16" t="n"/>
    </row>
    <row r="1230">
      <c r="A1230" s="16" t="inlineStr">
        <is>
          <t>KF-M04-0158</t>
        </is>
      </c>
      <c r="B1230" s="16" t="inlineStr">
        <is>
          <t>3.2</t>
        </is>
      </c>
      <c r="C1230" s="16" t="inlineStr">
        <is>
          <t>3.2</t>
        </is>
      </c>
      <c r="D1230" s="16" t="inlineStr">
        <is>
          <t>muestra de 300 puntos</t>
        </is>
      </c>
      <c r="E1230" s="16" t="inlineStr">
        <is>
          <t>KF-M04</t>
        </is>
      </c>
      <c r="F1230" s="16" t="inlineStr">
        <is>
          <t>KF-M04</t>
        </is>
      </c>
      <c r="G1230" s="16" t="inlineStr">
        <is>
          <t>B07</t>
        </is>
      </c>
      <c r="H1230" s="16" t="inlineStr">
        <is>
          <t>lhs</t>
        </is>
      </c>
      <c r="I1230" s="16" t="inlineStr">
        <is>
          <t>CORREGIBLE</t>
        </is>
      </c>
      <c r="J1230" s="16" t="inlineStr">
        <is>
          <t>CORREGIBLE</t>
        </is>
      </c>
      <c r="K1230" s="16" t="b">
        <v>1</v>
      </c>
      <c r="L1230" s="16" t="b">
        <v>0</v>
      </c>
      <c r="M1230" s="16" t="b">
        <v>0</v>
      </c>
      <c r="N1230" s="16" t="b">
        <v>0</v>
      </c>
      <c r="O1230" s="16" t="n">
        <v>410.3224787299183</v>
      </c>
      <c r="P1230" s="16" t="n">
        <v>297.0085424220495</v>
      </c>
      <c r="Q1230" s="16" t="n">
        <v>4565.563664860976</v>
      </c>
      <c r="R1230" s="16" t="n">
        <v>1067.248236821704</v>
      </c>
      <c r="S1230" s="16" t="n">
        <v>0.7066564788242827</v>
      </c>
      <c r="T1230" s="16" t="n">
        <v>0.7657587317245739</v>
      </c>
      <c r="U1230" s="16" t="n">
        <v>0.7420543015118191</v>
      </c>
      <c r="V1230" s="16" t="n">
        <v>0.634868935223837</v>
      </c>
      <c r="W1230" s="16" t="n">
        <v>0.650574638546102</v>
      </c>
      <c r="X1230" s="16" t="n">
        <v>0.8256421524034714</v>
      </c>
      <c r="Y1230" s="16" t="n">
        <v>297.0085424220495</v>
      </c>
      <c r="Z1230" s="16" t="n">
        <v>8.053709788382179</v>
      </c>
      <c r="AA1230" s="16" t="n">
        <v>37.53251237421946</v>
      </c>
      <c r="AB1230" s="16" t="n">
        <v>3498.315428039272</v>
      </c>
      <c r="AC1230" s="16" t="n">
        <v>4.277883539500948</v>
      </c>
      <c r="AD1230" s="16" t="inlineStr">
        <is>
          <t>O2</t>
        </is>
      </c>
      <c r="AE1230" s="16" t="n"/>
    </row>
    <row r="1231">
      <c r="A1231" s="16" t="inlineStr">
        <is>
          <t>KF-M04-0159</t>
        </is>
      </c>
      <c r="B1231" s="16" t="inlineStr">
        <is>
          <t>3.2</t>
        </is>
      </c>
      <c r="C1231" s="16" t="inlineStr">
        <is>
          <t>3.2</t>
        </is>
      </c>
      <c r="D1231" s="16" t="inlineStr">
        <is>
          <t>muestra de 300 puntos</t>
        </is>
      </c>
      <c r="E1231" s="16" t="inlineStr">
        <is>
          <t>KF-M04</t>
        </is>
      </c>
      <c r="F1231" s="16" t="inlineStr">
        <is>
          <t>KF-M04</t>
        </is>
      </c>
      <c r="G1231" s="16" t="inlineStr">
        <is>
          <t>B07</t>
        </is>
      </c>
      <c r="H1231" s="16" t="inlineStr">
        <is>
          <t>lhs</t>
        </is>
      </c>
      <c r="I1231" s="16" t="inlineStr">
        <is>
          <t>CORREGIBLE</t>
        </is>
      </c>
      <c r="J1231" s="16" t="inlineStr">
        <is>
          <t>CORREGIBLE</t>
        </is>
      </c>
      <c r="K1231" s="16" t="b">
        <v>1</v>
      </c>
      <c r="L1231" s="16" t="b">
        <v>0</v>
      </c>
      <c r="M1231" s="16" t="b">
        <v>0</v>
      </c>
      <c r="N1231" s="16" t="b">
        <v>0</v>
      </c>
      <c r="O1231" s="16" t="n">
        <v>428.4329949301786</v>
      </c>
      <c r="P1231" s="16" t="n">
        <v>283.8778639925258</v>
      </c>
      <c r="Q1231" s="16" t="n">
        <v>2076.588716550844</v>
      </c>
      <c r="R1231" s="16" t="n">
        <v>428.455920241973</v>
      </c>
      <c r="S1231" s="16" t="n">
        <v>0.7058298717250465</v>
      </c>
      <c r="T1231" s="16" t="n">
        <v>0.7807052643460031</v>
      </c>
      <c r="U1231" s="16" t="n">
        <v>0.6954427274585242</v>
      </c>
      <c r="V1231" s="16" t="n">
        <v>0.7482803161857882</v>
      </c>
      <c r="W1231" s="16" t="n">
        <v>0.7751044588686855</v>
      </c>
      <c r="X1231" s="16" t="n">
        <v>0.7051299647057261</v>
      </c>
      <c r="Y1231" s="16" t="n">
        <v>283.8778639925258</v>
      </c>
      <c r="Z1231" s="16" t="n">
        <v>8.416313309613429</v>
      </c>
      <c r="AA1231" s="16" t="n">
        <v>84.5125954983682</v>
      </c>
      <c r="AB1231" s="16" t="n">
        <v>1648.132796308871</v>
      </c>
      <c r="AC1231" s="16" t="n">
        <v>4.846679946394669</v>
      </c>
      <c r="AD1231" s="16" t="inlineStr">
        <is>
          <t>O2</t>
        </is>
      </c>
      <c r="AE1231" s="16" t="n"/>
    </row>
    <row r="1232">
      <c r="A1232" s="16" t="inlineStr">
        <is>
          <t>KF-M04-0160</t>
        </is>
      </c>
      <c r="B1232" s="16" t="inlineStr">
        <is>
          <t>3.2</t>
        </is>
      </c>
      <c r="C1232" s="16" t="inlineStr">
        <is>
          <t>3.2</t>
        </is>
      </c>
      <c r="D1232" s="16" t="inlineStr">
        <is>
          <t>muestra de 300 puntos</t>
        </is>
      </c>
      <c r="E1232" s="16" t="inlineStr">
        <is>
          <t>KF-M04</t>
        </is>
      </c>
      <c r="F1232" s="16" t="inlineStr">
        <is>
          <t>KF-M04</t>
        </is>
      </c>
      <c r="G1232" s="16" t="inlineStr">
        <is>
          <t>B07</t>
        </is>
      </c>
      <c r="H1232" s="16" t="inlineStr">
        <is>
          <t>lhs</t>
        </is>
      </c>
      <c r="I1232" s="16" t="inlineStr">
        <is>
          <t>KALINA</t>
        </is>
      </c>
      <c r="J1232" s="16" t="inlineStr">
        <is>
          <t>KALINA</t>
        </is>
      </c>
      <c r="K1232" s="16" t="b">
        <v>1</v>
      </c>
      <c r="L1232" s="16" t="b">
        <v>0</v>
      </c>
      <c r="M1232" s="16" t="b">
        <v>1</v>
      </c>
      <c r="N1232" s="16" t="b">
        <v>0</v>
      </c>
      <c r="O1232" s="16" t="n">
        <v>475.008302460522</v>
      </c>
      <c r="P1232" s="16" t="n">
        <v>283.5276278079261</v>
      </c>
      <c r="Q1232" s="16" t="n">
        <v>3942.226975825357</v>
      </c>
      <c r="R1232" s="16" t="n">
        <v>1239.938518861987</v>
      </c>
      <c r="S1232" s="16" t="n">
        <v>0.8244402639739288</v>
      </c>
      <c r="T1232" s="16" t="n">
        <v>0.8591183160842149</v>
      </c>
      <c r="U1232" s="16" t="n">
        <v>0.6668869131177232</v>
      </c>
      <c r="V1232" s="16" t="n">
        <v>0.7387246794125534</v>
      </c>
      <c r="W1232" s="16" t="n">
        <v>0.8113150370107342</v>
      </c>
      <c r="X1232" s="16" t="n">
        <v>0.9201684833446984</v>
      </c>
      <c r="Y1232" s="16" t="n">
        <v>283.5276278079261</v>
      </c>
      <c r="Z1232" s="16" t="n">
        <v>9.94666693376003</v>
      </c>
      <c r="AA1232" s="16" t="n">
        <v>128.9396106388774</v>
      </c>
      <c r="AB1232" s="16" t="n">
        <v>2702.28845696337</v>
      </c>
      <c r="AC1232" s="16" t="n">
        <v>3.179372941364484</v>
      </c>
      <c r="AD1232" s="16" t="n"/>
      <c r="AE1232" s="16" t="n"/>
    </row>
    <row r="1233">
      <c r="A1233" s="16" t="inlineStr">
        <is>
          <t>KF-M04-0161</t>
        </is>
      </c>
      <c r="B1233" s="16" t="inlineStr">
        <is>
          <t>3.2</t>
        </is>
      </c>
      <c r="C1233" s="16" t="inlineStr">
        <is>
          <t>3.2</t>
        </is>
      </c>
      <c r="D1233" s="16" t="inlineStr">
        <is>
          <t>muestra de 300 puntos</t>
        </is>
      </c>
      <c r="E1233" s="16" t="inlineStr">
        <is>
          <t>KF-M04</t>
        </is>
      </c>
      <c r="F1233" s="16" t="inlineStr">
        <is>
          <t>KF-M04</t>
        </is>
      </c>
      <c r="G1233" s="16" t="inlineStr">
        <is>
          <t>B07</t>
        </is>
      </c>
      <c r="H1233" s="16" t="inlineStr">
        <is>
          <t>lhs</t>
        </is>
      </c>
      <c r="I1233" s="16" t="inlineStr">
        <is>
          <t>CORREGIBLE</t>
        </is>
      </c>
      <c r="J1233" s="16" t="inlineStr">
        <is>
          <t>CORREGIBLE</t>
        </is>
      </c>
      <c r="K1233" s="16" t="b">
        <v>1</v>
      </c>
      <c r="L1233" s="16" t="b">
        <v>0</v>
      </c>
      <c r="M1233" s="16" t="b">
        <v>1</v>
      </c>
      <c r="N1233" s="16" t="b">
        <v>0</v>
      </c>
      <c r="O1233" s="16" t="n">
        <v>436.915585600499</v>
      </c>
      <c r="P1233" s="16" t="n">
        <v>291.726709607405</v>
      </c>
      <c r="Q1233" s="16" t="n">
        <v>3869.926538190442</v>
      </c>
      <c r="R1233" s="16" t="n">
        <v>616.3650707013746</v>
      </c>
      <c r="S1233" s="16" t="n">
        <v>0.6418591846489332</v>
      </c>
      <c r="T1233" s="16" t="n">
        <v>0.8440884435703722</v>
      </c>
      <c r="U1233" s="16" t="n">
        <v>0.746731468572819</v>
      </c>
      <c r="V1233" s="16" t="n">
        <v>0.7558876251154708</v>
      </c>
      <c r="W1233" s="16" t="n">
        <v>0.93754087660917</v>
      </c>
      <c r="X1233" s="16" t="n">
        <v>0.8765464113930359</v>
      </c>
      <c r="Y1233" s="16" t="n">
        <v>291.726709607405</v>
      </c>
      <c r="Z1233" s="16" t="n">
        <v>14.07868282693672</v>
      </c>
      <c r="AA1233" s="16" t="n">
        <v>109.8359733142662</v>
      </c>
      <c r="AB1233" s="16" t="n">
        <v>3253.561467489067</v>
      </c>
      <c r="AC1233" s="16" t="n">
        <v>6.278627265147864</v>
      </c>
      <c r="AD1233" s="16" t="inlineStr">
        <is>
          <t>O2</t>
        </is>
      </c>
      <c r="AE1233" s="16" t="n"/>
    </row>
    <row r="1234">
      <c r="A1234" s="16" t="inlineStr">
        <is>
          <t>KF-M04-0162</t>
        </is>
      </c>
      <c r="B1234" s="16" t="inlineStr">
        <is>
          <t>3.2</t>
        </is>
      </c>
      <c r="C1234" s="16" t="inlineStr">
        <is>
          <t>3.2</t>
        </is>
      </c>
      <c r="D1234" s="16" t="inlineStr">
        <is>
          <t>muestra de 300 puntos</t>
        </is>
      </c>
      <c r="E1234" s="16" t="inlineStr">
        <is>
          <t>KF-M04</t>
        </is>
      </c>
      <c r="F1234" s="16" t="inlineStr">
        <is>
          <t>KF-M04</t>
        </is>
      </c>
      <c r="G1234" s="16" t="inlineStr">
        <is>
          <t>B07</t>
        </is>
      </c>
      <c r="H1234" s="16" t="inlineStr">
        <is>
          <t>lhs</t>
        </is>
      </c>
      <c r="I1234" s="16" t="inlineStr">
        <is>
          <t>CORREGIBLE</t>
        </is>
      </c>
      <c r="J1234" s="16" t="inlineStr">
        <is>
          <t>CORREGIBLE</t>
        </is>
      </c>
      <c r="K1234" s="16" t="b">
        <v>1</v>
      </c>
      <c r="L1234" s="16" t="b">
        <v>0</v>
      </c>
      <c r="M1234" s="16" t="b">
        <v>1</v>
      </c>
      <c r="N1234" s="16" t="b">
        <v>0</v>
      </c>
      <c r="O1234" s="16" t="n">
        <v>464.9880316187518</v>
      </c>
      <c r="P1234" s="16" t="n">
        <v>291.0947413010872</v>
      </c>
      <c r="Q1234" s="16" t="n">
        <v>3001.727051317068</v>
      </c>
      <c r="R1234" s="16" t="n">
        <v>1257.862416039375</v>
      </c>
      <c r="S1234" s="16" t="n">
        <v>0.7804919476880128</v>
      </c>
      <c r="T1234" s="16" t="n">
        <v>0.7924105494227881</v>
      </c>
      <c r="U1234" s="16" t="n">
        <v>0.6695722469835903</v>
      </c>
      <c r="V1234" s="16" t="n">
        <v>0.9050737920337339</v>
      </c>
      <c r="W1234" s="16" t="n">
        <v>0.6962843991609351</v>
      </c>
      <c r="X1234" s="16" t="n">
        <v>0.8926662506163365</v>
      </c>
      <c r="Y1234" s="16" t="n">
        <v>291.0947413010872</v>
      </c>
      <c r="Z1234" s="16" t="n">
        <v>6.94880307388811</v>
      </c>
      <c r="AA1234" s="16" t="n">
        <v>111.4516186546419</v>
      </c>
      <c r="AB1234" s="16" t="n">
        <v>1743.864635277693</v>
      </c>
      <c r="AC1234" s="16" t="n">
        <v>2.386371524453835</v>
      </c>
      <c r="AD1234" s="16" t="inlineStr">
        <is>
          <t>O2</t>
        </is>
      </c>
      <c r="AE1234" s="16" t="n"/>
    </row>
    <row r="1235">
      <c r="A1235" s="16" t="inlineStr">
        <is>
          <t>KF-M04-0163</t>
        </is>
      </c>
      <c r="B1235" s="16" t="inlineStr">
        <is>
          <t>3.2</t>
        </is>
      </c>
      <c r="C1235" s="16" t="inlineStr">
        <is>
          <t>3.2</t>
        </is>
      </c>
      <c r="D1235" s="16" t="inlineStr">
        <is>
          <t>muestra de 300 puntos</t>
        </is>
      </c>
      <c r="E1235" s="16" t="inlineStr">
        <is>
          <t>KF-M04</t>
        </is>
      </c>
      <c r="F1235" s="16" t="inlineStr">
        <is>
          <t>KF-M04</t>
        </is>
      </c>
      <c r="G1235" s="16" t="inlineStr">
        <is>
          <t>B07</t>
        </is>
      </c>
      <c r="H1235" s="16" t="inlineStr">
        <is>
          <t>lhs</t>
        </is>
      </c>
      <c r="I1235" s="16" t="inlineStr">
        <is>
          <t>KALINA</t>
        </is>
      </c>
      <c r="J1235" s="16" t="inlineStr">
        <is>
          <t>KALINA</t>
        </is>
      </c>
      <c r="K1235" s="16" t="b">
        <v>1</v>
      </c>
      <c r="L1235" s="16" t="b">
        <v>1</v>
      </c>
      <c r="M1235" s="16" t="b">
        <v>0</v>
      </c>
      <c r="N1235" s="16" t="b">
        <v>0</v>
      </c>
      <c r="O1235" s="16" t="n">
        <v>469.0737546222869</v>
      </c>
      <c r="P1235" s="16" t="n">
        <v>295.2271929381747</v>
      </c>
      <c r="Q1235" s="16" t="n">
        <v>2438.757091722845</v>
      </c>
      <c r="R1235" s="16" t="n">
        <v>1459.363534615464</v>
      </c>
      <c r="S1235" s="16" t="n">
        <v>0.7732980804281404</v>
      </c>
      <c r="T1235" s="16" t="n">
        <v>0.8691543832106314</v>
      </c>
      <c r="U1235" s="16" t="n">
        <v>0.8414500105316285</v>
      </c>
      <c r="V1235" s="16" t="n">
        <v>0.6970249598722082</v>
      </c>
      <c r="W1235" s="16" t="n">
        <v>0.7711096491359274</v>
      </c>
      <c r="X1235" s="16" t="n">
        <v>0.9485906239725508</v>
      </c>
      <c r="Y1235" s="16" t="n">
        <v>295.2271929381747</v>
      </c>
      <c r="Z1235" s="16" t="n">
        <v>4.602183827407281</v>
      </c>
      <c r="AA1235" s="16" t="n">
        <v>59.1973905438835</v>
      </c>
      <c r="AB1235" s="16" t="n">
        <v>979.3935571073816</v>
      </c>
      <c r="AC1235" s="16" t="n">
        <v>1.671110065365206</v>
      </c>
      <c r="AD1235" s="16" t="n"/>
      <c r="AE1235" s="16" t="n"/>
    </row>
    <row r="1236">
      <c r="A1236" s="16" t="inlineStr">
        <is>
          <t>KF-M04-0164</t>
        </is>
      </c>
      <c r="B1236" s="16" t="inlineStr">
        <is>
          <t>3.2</t>
        </is>
      </c>
      <c r="C1236" s="16" t="inlineStr">
        <is>
          <t>3.2</t>
        </is>
      </c>
      <c r="D1236" s="16" t="inlineStr">
        <is>
          <t>muestra de 300 puntos</t>
        </is>
      </c>
      <c r="E1236" s="16" t="inlineStr">
        <is>
          <t>KF-M04</t>
        </is>
      </c>
      <c r="F1236" s="16" t="inlineStr">
        <is>
          <t>KF-M04</t>
        </is>
      </c>
      <c r="G1236" s="16" t="inlineStr">
        <is>
          <t>B07</t>
        </is>
      </c>
      <c r="H1236" s="16" t="inlineStr">
        <is>
          <t>lhs</t>
        </is>
      </c>
      <c r="I1236" s="16" t="inlineStr">
        <is>
          <t>CORREGIBLE</t>
        </is>
      </c>
      <c r="J1236" s="16" t="inlineStr">
        <is>
          <t>CORREGIBLE</t>
        </is>
      </c>
      <c r="K1236" s="16" t="b">
        <v>1</v>
      </c>
      <c r="L1236" s="16" t="b">
        <v>0</v>
      </c>
      <c r="M1236" s="16" t="b">
        <v>0</v>
      </c>
      <c r="N1236" s="16" t="b">
        <v>0</v>
      </c>
      <c r="O1236" s="16" t="n">
        <v>423.5204713209189</v>
      </c>
      <c r="P1236" s="16" t="n">
        <v>286.9403416298888</v>
      </c>
      <c r="Q1236" s="16" t="n">
        <v>3080.402220673114</v>
      </c>
      <c r="R1236" s="16" t="n">
        <v>722.8563541503839</v>
      </c>
      <c r="S1236" s="16" t="n">
        <v>0.8399192776997839</v>
      </c>
      <c r="T1236" s="16" t="n">
        <v>0.857812135828277</v>
      </c>
      <c r="U1236" s="16" t="n">
        <v>0.8865583163724146</v>
      </c>
      <c r="V1236" s="16" t="n">
        <v>0.9478319538162412</v>
      </c>
      <c r="W1236" s="16" t="n">
        <v>0.94798505613638</v>
      </c>
      <c r="X1236" s="16" t="n">
        <v>0.8053341029432373</v>
      </c>
      <c r="Y1236" s="16" t="n">
        <v>286.9403416298888</v>
      </c>
      <c r="Z1236" s="16" t="n">
        <v>12.62746860223288</v>
      </c>
      <c r="AA1236" s="16" t="n">
        <v>160.6584145468247</v>
      </c>
      <c r="AB1236" s="16" t="n">
        <v>2357.54586652273</v>
      </c>
      <c r="AC1236" s="16" t="n">
        <v>4.261430646609856</v>
      </c>
      <c r="AD1236" s="16" t="inlineStr">
        <is>
          <t>O2</t>
        </is>
      </c>
      <c r="AE1236" s="16" t="n"/>
    </row>
    <row r="1237">
      <c r="A1237" s="16" t="inlineStr">
        <is>
          <t>KF-M04-0165</t>
        </is>
      </c>
      <c r="B1237" s="16" t="inlineStr">
        <is>
          <t>3.2</t>
        </is>
      </c>
      <c r="C1237" s="16" t="inlineStr">
        <is>
          <t>3.2</t>
        </is>
      </c>
      <c r="D1237" s="16" t="inlineStr">
        <is>
          <t>muestra de 300 puntos</t>
        </is>
      </c>
      <c r="E1237" s="16" t="inlineStr">
        <is>
          <t>KF-M04</t>
        </is>
      </c>
      <c r="F1237" s="16" t="inlineStr">
        <is>
          <t>KF-M04</t>
        </is>
      </c>
      <c r="G1237" s="16" t="inlineStr">
        <is>
          <t>B07</t>
        </is>
      </c>
      <c r="H1237" s="16" t="inlineStr">
        <is>
          <t>lhs</t>
        </is>
      </c>
      <c r="I1237" s="16" t="inlineStr">
        <is>
          <t>CORREGIBLE</t>
        </is>
      </c>
      <c r="J1237" s="16" t="inlineStr">
        <is>
          <t>CORREGIBLE</t>
        </is>
      </c>
      <c r="K1237" s="16" t="b">
        <v>1</v>
      </c>
      <c r="L1237" s="16" t="b">
        <v>0</v>
      </c>
      <c r="M1237" s="16" t="b">
        <v>1</v>
      </c>
      <c r="N1237" s="16" t="b">
        <v>0</v>
      </c>
      <c r="O1237" s="16" t="n">
        <v>474.5368232349216</v>
      </c>
      <c r="P1237" s="16" t="n">
        <v>287.7492828112809</v>
      </c>
      <c r="Q1237" s="16" t="n">
        <v>2925.327036548436</v>
      </c>
      <c r="R1237" s="16" t="n">
        <v>697.8352260011454</v>
      </c>
      <c r="S1237" s="16" t="n">
        <v>0.5897306938118567</v>
      </c>
      <c r="T1237" s="16" t="n">
        <v>0.9051854209503508</v>
      </c>
      <c r="U1237" s="16" t="n">
        <v>0.7203637749252776</v>
      </c>
      <c r="V1237" s="16" t="n">
        <v>0.9395747271973928</v>
      </c>
      <c r="W1237" s="16" t="n">
        <v>0.7665436493724476</v>
      </c>
      <c r="X1237" s="16" t="n">
        <v>0.8922247421535066</v>
      </c>
      <c r="Y1237" s="16" t="n">
        <v>287.7492828112809</v>
      </c>
      <c r="Z1237" s="16" t="n">
        <v>11.1034235018923</v>
      </c>
      <c r="AA1237" s="16" t="n">
        <v>214.9101926696248</v>
      </c>
      <c r="AB1237" s="16" t="n">
        <v>2227.491810547291</v>
      </c>
      <c r="AC1237" s="16" t="n">
        <v>4.192002535199669</v>
      </c>
      <c r="AD1237" s="16" t="inlineStr">
        <is>
          <t>O2</t>
        </is>
      </c>
      <c r="AE1237" s="16" t="n"/>
    </row>
    <row r="1238">
      <c r="A1238" s="16" t="inlineStr">
        <is>
          <t>KF-M04-0166</t>
        </is>
      </c>
      <c r="B1238" s="16" t="inlineStr">
        <is>
          <t>3.2</t>
        </is>
      </c>
      <c r="C1238" s="16" t="inlineStr">
        <is>
          <t>3.2</t>
        </is>
      </c>
      <c r="D1238" s="16" t="inlineStr">
        <is>
          <t>muestra de 300 puntos</t>
        </is>
      </c>
      <c r="E1238" s="16" t="inlineStr">
        <is>
          <t>KF-M04</t>
        </is>
      </c>
      <c r="F1238" s="16" t="inlineStr">
        <is>
          <t>KF-M04</t>
        </is>
      </c>
      <c r="G1238" s="16" t="inlineStr">
        <is>
          <t>B07</t>
        </is>
      </c>
      <c r="H1238" s="16" t="inlineStr">
        <is>
          <t>lhs</t>
        </is>
      </c>
      <c r="I1238" s="16" t="inlineStr">
        <is>
          <t>N2</t>
        </is>
      </c>
      <c r="J1238" s="16" t="inlineStr">
        <is>
          <t>NO_CONVERGIO</t>
        </is>
      </c>
      <c r="K1238" s="16" t="b">
        <v>0</v>
      </c>
      <c r="L1238" s="16" t="b">
        <v>0</v>
      </c>
      <c r="M1238" s="16" t="b">
        <v>0</v>
      </c>
      <c r="N1238" s="16" t="b">
        <v>0</v>
      </c>
      <c r="O1238" s="16" t="n">
        <v>390.0642545447775</v>
      </c>
      <c r="P1238" s="16" t="n">
        <v>295.5861681319898</v>
      </c>
      <c r="Q1238" s="16" t="n">
        <v>4652.959294573954</v>
      </c>
      <c r="R1238" s="16" t="n">
        <v>600.6721290042125</v>
      </c>
      <c r="S1238" s="16" t="n">
        <v>0.5632693189790773</v>
      </c>
      <c r="T1238" s="16" t="n">
        <v>0.8375783675799203</v>
      </c>
      <c r="U1238" s="16" t="n">
        <v>0.7442770939534777</v>
      </c>
      <c r="V1238" s="16" t="n">
        <v>0.7516901324230223</v>
      </c>
      <c r="W1238" s="16" t="n">
        <v>0.6872329900421188</v>
      </c>
      <c r="X1238" s="16" t="n">
        <v>0.7939755511586523</v>
      </c>
      <c r="Y1238" s="16" t="n">
        <v>295.5861681319898</v>
      </c>
      <c r="Z1238" s="16" t="n">
        <v>-126.9027819328818</v>
      </c>
      <c r="AA1238" s="16" t="n">
        <v>-67.34220940160897</v>
      </c>
      <c r="AB1238" s="16" t="n">
        <v>4052.287165569742</v>
      </c>
      <c r="AC1238" s="16" t="n">
        <v>7.746254686874814</v>
      </c>
      <c r="AD1238" s="16" t="inlineStr">
        <is>
          <t>N2,S6,O3,O5,C1,C3,C3</t>
        </is>
      </c>
      <c r="AE1238" s="16" t="n"/>
    </row>
    <row r="1239">
      <c r="A1239" s="16" t="inlineStr">
        <is>
          <t>KF-M04-0167</t>
        </is>
      </c>
      <c r="B1239" s="16" t="inlineStr">
        <is>
          <t>3.2</t>
        </is>
      </c>
      <c r="C1239" s="16" t="inlineStr">
        <is>
          <t>3.2</t>
        </is>
      </c>
      <c r="D1239" s="16" t="inlineStr">
        <is>
          <t>muestra de 300 puntos</t>
        </is>
      </c>
      <c r="E1239" s="16" t="inlineStr">
        <is>
          <t>KF-M04</t>
        </is>
      </c>
      <c r="F1239" s="16" t="inlineStr">
        <is>
          <t>KF-M04</t>
        </is>
      </c>
      <c r="G1239" s="16" t="inlineStr">
        <is>
          <t>B07</t>
        </is>
      </c>
      <c r="H1239" s="16" t="inlineStr">
        <is>
          <t>lhs</t>
        </is>
      </c>
      <c r="I1239" s="16" t="inlineStr">
        <is>
          <t>CORREGIBLE</t>
        </is>
      </c>
      <c r="J1239" s="16" t="inlineStr">
        <is>
          <t>CORREGIBLE</t>
        </is>
      </c>
      <c r="K1239" s="16" t="b">
        <v>1</v>
      </c>
      <c r="L1239" s="16" t="b">
        <v>0</v>
      </c>
      <c r="M1239" s="16" t="b">
        <v>0</v>
      </c>
      <c r="N1239" s="16" t="b">
        <v>0</v>
      </c>
      <c r="O1239" s="16" t="n">
        <v>416.9099977218495</v>
      </c>
      <c r="P1239" s="16" t="n">
        <v>287.1978256441858</v>
      </c>
      <c r="Q1239" s="16" t="n">
        <v>3114.297461986203</v>
      </c>
      <c r="R1239" s="16" t="n">
        <v>444.4648291091686</v>
      </c>
      <c r="S1239" s="16" t="n">
        <v>0.70041444070059</v>
      </c>
      <c r="T1239" s="16" t="n">
        <v>0.8313741998989156</v>
      </c>
      <c r="U1239" s="16" t="n">
        <v>0.7682093339356986</v>
      </c>
      <c r="V1239" s="16" t="n">
        <v>0.8945168332511328</v>
      </c>
      <c r="W1239" s="16" t="n">
        <v>0.6628282029553981</v>
      </c>
      <c r="X1239" s="16" t="n">
        <v>0.7139441360758617</v>
      </c>
      <c r="Y1239" s="16" t="n">
        <v>287.1978256441858</v>
      </c>
      <c r="Z1239" s="16" t="n">
        <v>11.85012206684411</v>
      </c>
      <c r="AA1239" s="16" t="n">
        <v>92.72344985355974</v>
      </c>
      <c r="AB1239" s="16" t="n">
        <v>2669.832632877034</v>
      </c>
      <c r="AC1239" s="16" t="n">
        <v>7.006847916916447</v>
      </c>
      <c r="AD1239" s="16" t="inlineStr">
        <is>
          <t>O2</t>
        </is>
      </c>
      <c r="AE1239" s="16" t="n"/>
    </row>
    <row r="1240">
      <c r="A1240" s="16" t="inlineStr">
        <is>
          <t>KF-M04-0168</t>
        </is>
      </c>
      <c r="B1240" s="16" t="inlineStr">
        <is>
          <t>3.2</t>
        </is>
      </c>
      <c r="C1240" s="16" t="inlineStr">
        <is>
          <t>3.2</t>
        </is>
      </c>
      <c r="D1240" s="16" t="inlineStr">
        <is>
          <t>muestra de 300 puntos</t>
        </is>
      </c>
      <c r="E1240" s="16" t="inlineStr">
        <is>
          <t>KF-M04</t>
        </is>
      </c>
      <c r="F1240" s="16" t="inlineStr">
        <is>
          <t>KF-M04</t>
        </is>
      </c>
      <c r="G1240" s="16" t="inlineStr">
        <is>
          <t>B07</t>
        </is>
      </c>
      <c r="H1240" s="16" t="inlineStr">
        <is>
          <t>lhs</t>
        </is>
      </c>
      <c r="I1240" s="16" t="inlineStr">
        <is>
          <t>CORREGIBLE</t>
        </is>
      </c>
      <c r="J1240" s="16" t="inlineStr">
        <is>
          <t>CORREGIBLE</t>
        </is>
      </c>
      <c r="K1240" s="16" t="b">
        <v>1</v>
      </c>
      <c r="L1240" s="16" t="b">
        <v>0</v>
      </c>
      <c r="M1240" s="16" t="b">
        <v>1</v>
      </c>
      <c r="N1240" s="16" t="b">
        <v>0</v>
      </c>
      <c r="O1240" s="16" t="n">
        <v>472.5617144622068</v>
      </c>
      <c r="P1240" s="16" t="n">
        <v>292.1026406562318</v>
      </c>
      <c r="Q1240" s="16" t="n">
        <v>4426.957176458453</v>
      </c>
      <c r="R1240" s="16" t="n">
        <v>555.6196173612551</v>
      </c>
      <c r="S1240" s="16" t="n">
        <v>0.597515046178122</v>
      </c>
      <c r="T1240" s="16" t="n">
        <v>0.7984816979160112</v>
      </c>
      <c r="U1240" s="16" t="n">
        <v>0.8520223793409154</v>
      </c>
      <c r="V1240" s="16" t="n">
        <v>0.7857708201054071</v>
      </c>
      <c r="W1240" s="16" t="n">
        <v>0.8830114905720745</v>
      </c>
      <c r="X1240" s="16" t="n">
        <v>0.765924369097183</v>
      </c>
      <c r="Y1240" s="16" t="n">
        <v>292.1026406562318</v>
      </c>
      <c r="Z1240" s="16" t="n">
        <v>13.90316712605064</v>
      </c>
      <c r="AA1240" s="16" t="n">
        <v>163.2406868266469</v>
      </c>
      <c r="AB1240" s="16" t="n">
        <v>3871.337559097197</v>
      </c>
      <c r="AC1240" s="16" t="n">
        <v>7.967604163227582</v>
      </c>
      <c r="AD1240" s="16" t="inlineStr">
        <is>
          <t>O2</t>
        </is>
      </c>
      <c r="AE1240" s="16" t="n"/>
    </row>
    <row r="1241">
      <c r="A1241" s="16" t="inlineStr">
        <is>
          <t>KF-M04-0169</t>
        </is>
      </c>
      <c r="B1241" s="16" t="inlineStr">
        <is>
          <t>3.2</t>
        </is>
      </c>
      <c r="C1241" s="16" t="inlineStr">
        <is>
          <t>3.2</t>
        </is>
      </c>
      <c r="D1241" s="16" t="inlineStr">
        <is>
          <t>muestra de 300 puntos</t>
        </is>
      </c>
      <c r="E1241" s="16" t="inlineStr">
        <is>
          <t>KF-M04</t>
        </is>
      </c>
      <c r="F1241" s="16" t="inlineStr">
        <is>
          <t>KF-M04</t>
        </is>
      </c>
      <c r="G1241" s="16" t="inlineStr">
        <is>
          <t>B07</t>
        </is>
      </c>
      <c r="H1241" s="16" t="inlineStr">
        <is>
          <t>lhs</t>
        </is>
      </c>
      <c r="I1241" s="16" t="inlineStr">
        <is>
          <t>CORREGIBLE</t>
        </is>
      </c>
      <c r="J1241" s="16" t="inlineStr">
        <is>
          <t>CORREGIBLE</t>
        </is>
      </c>
      <c r="K1241" s="16" t="b">
        <v>1</v>
      </c>
      <c r="L1241" s="16" t="b">
        <v>0</v>
      </c>
      <c r="M1241" s="16" t="b">
        <v>1</v>
      </c>
      <c r="N1241" s="16" t="b">
        <v>0</v>
      </c>
      <c r="O1241" s="16" t="n">
        <v>476.9777087706128</v>
      </c>
      <c r="P1241" s="16" t="n">
        <v>283.5950555683702</v>
      </c>
      <c r="Q1241" s="16" t="n">
        <v>2958.827926159463</v>
      </c>
      <c r="R1241" s="16" t="n">
        <v>1445.711244617638</v>
      </c>
      <c r="S1241" s="16" t="n">
        <v>0.6574318667836869</v>
      </c>
      <c r="T1241" s="16" t="n">
        <v>0.8330945479074949</v>
      </c>
      <c r="U1241" s="16" t="n">
        <v>0.7155526111159122</v>
      </c>
      <c r="V1241" s="16" t="n">
        <v>0.8546464226230728</v>
      </c>
      <c r="W1241" s="16" t="n">
        <v>0.79321783229988</v>
      </c>
      <c r="X1241" s="16" t="n">
        <v>0.7425287042611662</v>
      </c>
      <c r="Y1241" s="16" t="n">
        <v>283.5950555683702</v>
      </c>
      <c r="Z1241" s="16" t="n">
        <v>5.23549505823563</v>
      </c>
      <c r="AA1241" s="16" t="n">
        <v>76.08627826570219</v>
      </c>
      <c r="AB1241" s="16" t="n">
        <v>1513.116681541826</v>
      </c>
      <c r="AC1241" s="16" t="n">
        <v>2.046624412153628</v>
      </c>
      <c r="AD1241" s="16" t="inlineStr">
        <is>
          <t>O2</t>
        </is>
      </c>
      <c r="AE1241" s="16" t="n"/>
    </row>
    <row r="1242">
      <c r="A1242" s="16" t="inlineStr">
        <is>
          <t>KF-M04-0170</t>
        </is>
      </c>
      <c r="B1242" s="16" t="inlineStr">
        <is>
          <t>3.2</t>
        </is>
      </c>
      <c r="C1242" s="16" t="inlineStr">
        <is>
          <t>3.2</t>
        </is>
      </c>
      <c r="D1242" s="16" t="inlineStr">
        <is>
          <t>muestra de 300 puntos</t>
        </is>
      </c>
      <c r="E1242" s="16" t="inlineStr">
        <is>
          <t>KF-M04</t>
        </is>
      </c>
      <c r="F1242" s="16" t="inlineStr">
        <is>
          <t>KF-M04</t>
        </is>
      </c>
      <c r="G1242" s="16" t="inlineStr">
        <is>
          <t>B07</t>
        </is>
      </c>
      <c r="H1242" s="16" t="inlineStr">
        <is>
          <t>lhs</t>
        </is>
      </c>
      <c r="I1242" s="16" t="inlineStr">
        <is>
          <t>CORREGIBLE</t>
        </is>
      </c>
      <c r="J1242" s="16" t="inlineStr">
        <is>
          <t>CORREGIBLE</t>
        </is>
      </c>
      <c r="K1242" s="16" t="b">
        <v>1</v>
      </c>
      <c r="L1242" s="16" t="b">
        <v>0</v>
      </c>
      <c r="M1242" s="16" t="b">
        <v>0</v>
      </c>
      <c r="N1242" s="16" t="b">
        <v>0</v>
      </c>
      <c r="O1242" s="16" t="n">
        <v>422.034392588755</v>
      </c>
      <c r="P1242" s="16" t="n">
        <v>283.1825819197987</v>
      </c>
      <c r="Q1242" s="16" t="n">
        <v>2053.684601305301</v>
      </c>
      <c r="R1242" s="16" t="n">
        <v>588.5952395230663</v>
      </c>
      <c r="S1242" s="16" t="n">
        <v>0.6090664311879771</v>
      </c>
      <c r="T1242" s="16" t="n">
        <v>0.8178177141414885</v>
      </c>
      <c r="U1242" s="16" t="n">
        <v>0.6651184021074966</v>
      </c>
      <c r="V1242" s="16" t="n">
        <v>0.7601554744934806</v>
      </c>
      <c r="W1242" s="16" t="n">
        <v>0.6580425787268013</v>
      </c>
      <c r="X1242" s="16" t="n">
        <v>0.8395741655304191</v>
      </c>
      <c r="Y1242" s="16" t="n">
        <v>283.1825819197987</v>
      </c>
      <c r="Z1242" s="16" t="n">
        <v>8.902539381665241</v>
      </c>
      <c r="AA1242" s="16" t="n">
        <v>83.27833506746335</v>
      </c>
      <c r="AB1242" s="16" t="n">
        <v>1465.089361782235</v>
      </c>
      <c r="AC1242" s="16" t="n">
        <v>3.489128799222679</v>
      </c>
      <c r="AD1242" s="16" t="inlineStr">
        <is>
          <t>O2</t>
        </is>
      </c>
      <c r="AE1242" s="16" t="n"/>
    </row>
    <row r="1243">
      <c r="A1243" s="16" t="inlineStr">
        <is>
          <t>KF-M04-0171</t>
        </is>
      </c>
      <c r="B1243" s="16" t="inlineStr">
        <is>
          <t>3.2</t>
        </is>
      </c>
      <c r="C1243" s="16" t="inlineStr">
        <is>
          <t>3.2</t>
        </is>
      </c>
      <c r="D1243" s="16" t="inlineStr">
        <is>
          <t>muestra de 300 puntos</t>
        </is>
      </c>
      <c r="E1243" s="16" t="inlineStr">
        <is>
          <t>KF-M04</t>
        </is>
      </c>
      <c r="F1243" s="16" t="inlineStr">
        <is>
          <t>KF-M04</t>
        </is>
      </c>
      <c r="G1243" s="16" t="inlineStr">
        <is>
          <t>B07</t>
        </is>
      </c>
      <c r="H1243" s="16" t="inlineStr">
        <is>
          <t>lhs</t>
        </is>
      </c>
      <c r="I1243" s="16" t="inlineStr">
        <is>
          <t>CORREGIBLE</t>
        </is>
      </c>
      <c r="J1243" s="16" t="inlineStr">
        <is>
          <t>CORREGIBLE</t>
        </is>
      </c>
      <c r="K1243" s="16" t="b">
        <v>1</v>
      </c>
      <c r="L1243" s="16" t="b">
        <v>0</v>
      </c>
      <c r="M1243" s="16" t="b">
        <v>1</v>
      </c>
      <c r="N1243" s="16" t="b">
        <v>0</v>
      </c>
      <c r="O1243" s="16" t="n">
        <v>490.1890320073868</v>
      </c>
      <c r="P1243" s="16" t="n">
        <v>297.8875144199107</v>
      </c>
      <c r="Q1243" s="16" t="n">
        <v>4197.391509925012</v>
      </c>
      <c r="R1243" s="16" t="n">
        <v>1213.074960151908</v>
      </c>
      <c r="S1243" s="16" t="n">
        <v>0.6838381999085946</v>
      </c>
      <c r="T1243" s="16" t="n">
        <v>0.873150075893265</v>
      </c>
      <c r="U1243" s="16" t="n">
        <v>0.7489496553293959</v>
      </c>
      <c r="V1243" s="16" t="n">
        <v>0.6240176705178873</v>
      </c>
      <c r="W1243" s="16" t="n">
        <v>0.8033030673974774</v>
      </c>
      <c r="X1243" s="16" t="n">
        <v>0.895535765330591</v>
      </c>
      <c r="Y1243" s="16" t="n">
        <v>297.8875144199107</v>
      </c>
      <c r="Z1243" s="16" t="n">
        <v>10.32250210025854</v>
      </c>
      <c r="AA1243" s="16" t="n">
        <v>119.4466545036223</v>
      </c>
      <c r="AB1243" s="16" t="n">
        <v>2984.316549773104</v>
      </c>
      <c r="AC1243" s="16" t="n">
        <v>3.46012542324622</v>
      </c>
      <c r="AD1243" s="16" t="inlineStr">
        <is>
          <t>O2</t>
        </is>
      </c>
      <c r="AE1243" s="16" t="n"/>
    </row>
    <row r="1244">
      <c r="A1244" s="16" t="inlineStr">
        <is>
          <t>KF-M04-0172</t>
        </is>
      </c>
      <c r="B1244" s="16" t="inlineStr">
        <is>
          <t>3.2</t>
        </is>
      </c>
      <c r="C1244" s="16" t="inlineStr">
        <is>
          <t>3.2</t>
        </is>
      </c>
      <c r="D1244" s="16" t="inlineStr">
        <is>
          <t>muestra de 300 puntos</t>
        </is>
      </c>
      <c r="E1244" s="16" t="inlineStr">
        <is>
          <t>KF-M04</t>
        </is>
      </c>
      <c r="F1244" s="16" t="inlineStr">
        <is>
          <t>KF-M04</t>
        </is>
      </c>
      <c r="G1244" s="16" t="inlineStr">
        <is>
          <t>B07</t>
        </is>
      </c>
      <c r="H1244" s="16" t="inlineStr">
        <is>
          <t>lhs</t>
        </is>
      </c>
      <c r="I1244" s="16" t="inlineStr">
        <is>
          <t>KALINA</t>
        </is>
      </c>
      <c r="J1244" s="16" t="inlineStr">
        <is>
          <t>KALINA</t>
        </is>
      </c>
      <c r="K1244" s="16" t="b">
        <v>1</v>
      </c>
      <c r="L1244" s="16" t="b">
        <v>1</v>
      </c>
      <c r="M1244" s="16" t="b">
        <v>0</v>
      </c>
      <c r="N1244" s="16" t="b">
        <v>0</v>
      </c>
      <c r="O1244" s="16" t="n">
        <v>411.3219381199824</v>
      </c>
      <c r="P1244" s="16" t="n">
        <v>293.0196543643164</v>
      </c>
      <c r="Q1244" s="16" t="n">
        <v>3778.714399642958</v>
      </c>
      <c r="R1244" s="16" t="n">
        <v>1057.105358690659</v>
      </c>
      <c r="S1244" s="16" t="n">
        <v>0.5098980415152725</v>
      </c>
      <c r="T1244" s="16" t="n">
        <v>0.9055185484611484</v>
      </c>
      <c r="U1244" s="16" t="n">
        <v>0.7819065196730791</v>
      </c>
      <c r="V1244" s="16" t="n">
        <v>0.9091774320323348</v>
      </c>
      <c r="W1244" s="16" t="n">
        <v>0.7367974919520223</v>
      </c>
      <c r="X1244" s="16" t="n">
        <v>0.7954129626388953</v>
      </c>
      <c r="Y1244" s="16" t="n">
        <v>293.0196543643164</v>
      </c>
      <c r="Z1244" s="16" t="n">
        <v>6.04897885076735</v>
      </c>
      <c r="AA1244" s="16" t="n">
        <v>19.369877540544</v>
      </c>
      <c r="AB1244" s="16" t="n">
        <v>2721.609040952299</v>
      </c>
      <c r="AC1244" s="16" t="n">
        <v>3.574586363201593</v>
      </c>
      <c r="AD1244" s="16" t="n"/>
      <c r="AE1244" s="16" t="n"/>
    </row>
    <row r="1245">
      <c r="A1245" s="16" t="inlineStr">
        <is>
          <t>KF-M04-0173</t>
        </is>
      </c>
      <c r="B1245" s="16" t="inlineStr">
        <is>
          <t>3.2</t>
        </is>
      </c>
      <c r="C1245" s="16" t="inlineStr">
        <is>
          <t>3.2</t>
        </is>
      </c>
      <c r="D1245" s="16" t="inlineStr">
        <is>
          <t>muestra de 300 puntos</t>
        </is>
      </c>
      <c r="E1245" s="16" t="inlineStr">
        <is>
          <t>KF-M04</t>
        </is>
      </c>
      <c r="F1245" s="16" t="inlineStr">
        <is>
          <t>KF-M04</t>
        </is>
      </c>
      <c r="G1245" s="16" t="inlineStr">
        <is>
          <t>B07</t>
        </is>
      </c>
      <c r="H1245" s="16" t="inlineStr">
        <is>
          <t>lhs</t>
        </is>
      </c>
      <c r="I1245" s="16" t="inlineStr">
        <is>
          <t>KALINA</t>
        </is>
      </c>
      <c r="J1245" s="16" t="inlineStr">
        <is>
          <t>KALINA</t>
        </is>
      </c>
      <c r="K1245" s="16" t="b">
        <v>1</v>
      </c>
      <c r="L1245" s="16" t="b">
        <v>0</v>
      </c>
      <c r="M1245" s="16" t="b">
        <v>1</v>
      </c>
      <c r="N1245" s="16" t="b">
        <v>0</v>
      </c>
      <c r="O1245" s="16" t="n">
        <v>427.253235580864</v>
      </c>
      <c r="P1245" s="16" t="n">
        <v>293.4317247573715</v>
      </c>
      <c r="Q1245" s="16" t="n">
        <v>4493.226606072599</v>
      </c>
      <c r="R1245" s="16" t="n">
        <v>983.0172018205408</v>
      </c>
      <c r="S1245" s="16" t="n">
        <v>0.5402176757890992</v>
      </c>
      <c r="T1245" s="16" t="n">
        <v>0.7996935963025951</v>
      </c>
      <c r="U1245" s="16" t="n">
        <v>0.7902268537337118</v>
      </c>
      <c r="V1245" s="16" t="n">
        <v>0.8045088551099646</v>
      </c>
      <c r="W1245" s="16" t="n">
        <v>0.919654788288072</v>
      </c>
      <c r="X1245" s="16" t="n">
        <v>0.7930446947117057</v>
      </c>
      <c r="Y1245" s="16" t="n">
        <v>293.4317247573715</v>
      </c>
      <c r="Z1245" s="16" t="n">
        <v>9.29337499854177</v>
      </c>
      <c r="AA1245" s="16" t="n">
        <v>34.45084475310347</v>
      </c>
      <c r="AB1245" s="16" t="n">
        <v>3510.209404252058</v>
      </c>
      <c r="AC1245" s="16" t="n">
        <v>4.570852471097327</v>
      </c>
      <c r="AD1245" s="16" t="n"/>
      <c r="AE1245" s="16" t="n"/>
    </row>
    <row r="1246">
      <c r="A1246" s="16" t="inlineStr">
        <is>
          <t>KF-M04-0174</t>
        </is>
      </c>
      <c r="B1246" s="16" t="inlineStr">
        <is>
          <t>3.2</t>
        </is>
      </c>
      <c r="C1246" s="16" t="inlineStr">
        <is>
          <t>3.2</t>
        </is>
      </c>
      <c r="D1246" s="16" t="inlineStr">
        <is>
          <t>muestra de 300 puntos</t>
        </is>
      </c>
      <c r="E1246" s="16" t="inlineStr">
        <is>
          <t>KF-M04</t>
        </is>
      </c>
      <c r="F1246" s="16" t="inlineStr">
        <is>
          <t>KF-M04</t>
        </is>
      </c>
      <c r="G1246" s="16" t="inlineStr">
        <is>
          <t>B07</t>
        </is>
      </c>
      <c r="H1246" s="16" t="inlineStr">
        <is>
          <t>lhs</t>
        </is>
      </c>
      <c r="I1246" s="16" t="inlineStr">
        <is>
          <t>CORREGIBLE</t>
        </is>
      </c>
      <c r="J1246" s="16" t="inlineStr">
        <is>
          <t>CORREGIBLE</t>
        </is>
      </c>
      <c r="K1246" s="16" t="b">
        <v>1</v>
      </c>
      <c r="L1246" s="16" t="b">
        <v>0</v>
      </c>
      <c r="M1246" s="16" t="b">
        <v>1</v>
      </c>
      <c r="N1246" s="16" t="b">
        <v>0</v>
      </c>
      <c r="O1246" s="16" t="n">
        <v>464.4990038760914</v>
      </c>
      <c r="P1246" s="16" t="n">
        <v>293.2916730334052</v>
      </c>
      <c r="Q1246" s="16" t="n">
        <v>4605.621154068506</v>
      </c>
      <c r="R1246" s="16" t="n">
        <v>515.7349757405634</v>
      </c>
      <c r="S1246" s="16" t="n">
        <v>0.7274956709884961</v>
      </c>
      <c r="T1246" s="16" t="n">
        <v>0.7946672817351057</v>
      </c>
      <c r="U1246" s="16" t="n">
        <v>0.6503998185550797</v>
      </c>
      <c r="V1246" s="16" t="n">
        <v>0.8932438757579202</v>
      </c>
      <c r="W1246" s="16" t="n">
        <v>0.7719485254916227</v>
      </c>
      <c r="X1246" s="16" t="n">
        <v>0.7301599822352278</v>
      </c>
      <c r="Y1246" s="16" t="n">
        <v>293.2916730334052</v>
      </c>
      <c r="Z1246" s="16" t="n">
        <v>8.230187387255249</v>
      </c>
      <c r="AA1246" s="16" t="n">
        <v>86.51537323013326</v>
      </c>
      <c r="AB1246" s="16" t="n">
        <v>4089.886178327943</v>
      </c>
      <c r="AC1246" s="16" t="n">
        <v>8.930209062232244</v>
      </c>
      <c r="AD1246" s="16" t="inlineStr">
        <is>
          <t>O1,O2</t>
        </is>
      </c>
      <c r="AE1246" s="16" t="n"/>
    </row>
    <row r="1247">
      <c r="A1247" s="16" t="inlineStr">
        <is>
          <t>KF-M04-0175</t>
        </is>
      </c>
      <c r="B1247" s="16" t="inlineStr">
        <is>
          <t>3.2</t>
        </is>
      </c>
      <c r="C1247" s="16" t="inlineStr">
        <is>
          <t>3.2</t>
        </is>
      </c>
      <c r="D1247" s="16" t="inlineStr">
        <is>
          <t>muestra de 300 puntos</t>
        </is>
      </c>
      <c r="E1247" s="16" t="inlineStr">
        <is>
          <t>KF-M04</t>
        </is>
      </c>
      <c r="F1247" s="16" t="inlineStr">
        <is>
          <t>KF-M04</t>
        </is>
      </c>
      <c r="G1247" s="16" t="inlineStr">
        <is>
          <t>B07</t>
        </is>
      </c>
      <c r="H1247" s="16" t="inlineStr">
        <is>
          <t>lhs</t>
        </is>
      </c>
      <c r="I1247" s="16" t="inlineStr">
        <is>
          <t>KALINA</t>
        </is>
      </c>
      <c r="J1247" s="16" t="inlineStr">
        <is>
          <t>KALINA</t>
        </is>
      </c>
      <c r="K1247" s="16" t="b">
        <v>1</v>
      </c>
      <c r="L1247" s="16" t="b">
        <v>1</v>
      </c>
      <c r="M1247" s="16" t="b">
        <v>0</v>
      </c>
      <c r="N1247" s="16" t="b">
        <v>0</v>
      </c>
      <c r="O1247" s="16" t="n">
        <v>409.7590855798677</v>
      </c>
      <c r="P1247" s="16" t="n">
        <v>284.3153560216888</v>
      </c>
      <c r="Q1247" s="16" t="n">
        <v>3478.21712671385</v>
      </c>
      <c r="R1247" s="16" t="n">
        <v>935.6033463872698</v>
      </c>
      <c r="S1247" s="16" t="n">
        <v>0.51844171619869</v>
      </c>
      <c r="T1247" s="16" t="n">
        <v>0.7602021547411252</v>
      </c>
      <c r="U1247" s="16" t="n">
        <v>0.8577970945852142</v>
      </c>
      <c r="V1247" s="16" t="n">
        <v>0.8177904031908161</v>
      </c>
      <c r="W1247" s="16" t="n">
        <v>0.8785675729687936</v>
      </c>
      <c r="X1247" s="16" t="n">
        <v>0.8938899452924145</v>
      </c>
      <c r="Y1247" s="16" t="n">
        <v>284.3153560216888</v>
      </c>
      <c r="Z1247" s="16" t="n">
        <v>6.44680488961395</v>
      </c>
      <c r="AA1247" s="16" t="n">
        <v>20.29045877081666</v>
      </c>
      <c r="AB1247" s="16" t="n">
        <v>2542.61378032658</v>
      </c>
      <c r="AC1247" s="16" t="n">
        <v>3.717619373791902</v>
      </c>
      <c r="AD1247" s="16" t="n"/>
      <c r="AE1247" s="16" t="n"/>
    </row>
    <row r="1248">
      <c r="A1248" s="16" t="inlineStr">
        <is>
          <t>KF-M04-0176</t>
        </is>
      </c>
      <c r="B1248" s="16" t="inlineStr">
        <is>
          <t>3.2</t>
        </is>
      </c>
      <c r="C1248" s="16" t="inlineStr">
        <is>
          <t>3.2</t>
        </is>
      </c>
      <c r="D1248" s="16" t="inlineStr">
        <is>
          <t>muestra de 300 puntos</t>
        </is>
      </c>
      <c r="E1248" s="16" t="inlineStr">
        <is>
          <t>KF-M04</t>
        </is>
      </c>
      <c r="F1248" s="16" t="inlineStr">
        <is>
          <t>KF-M04</t>
        </is>
      </c>
      <c r="G1248" s="16" t="inlineStr">
        <is>
          <t>B07</t>
        </is>
      </c>
      <c r="H1248" s="16" t="inlineStr">
        <is>
          <t>lhs</t>
        </is>
      </c>
      <c r="I1248" s="16" t="inlineStr">
        <is>
          <t>CORREGIBLE</t>
        </is>
      </c>
      <c r="J1248" s="16" t="inlineStr">
        <is>
          <t>CORREGIBLE</t>
        </is>
      </c>
      <c r="K1248" s="16" t="b">
        <v>1</v>
      </c>
      <c r="L1248" s="16" t="b">
        <v>0</v>
      </c>
      <c r="M1248" s="16" t="b">
        <v>1</v>
      </c>
      <c r="N1248" s="16" t="b">
        <v>0</v>
      </c>
      <c r="O1248" s="16" t="n">
        <v>445.2856350984906</v>
      </c>
      <c r="P1248" s="16" t="n">
        <v>292.4875934975382</v>
      </c>
      <c r="Q1248" s="16" t="n">
        <v>2621.483802207721</v>
      </c>
      <c r="R1248" s="16" t="n">
        <v>327.3914422925041</v>
      </c>
      <c r="S1248" s="16" t="n">
        <v>0.5282785426411908</v>
      </c>
      <c r="T1248" s="16" t="n">
        <v>0.8073682132172524</v>
      </c>
      <c r="U1248" s="16" t="n">
        <v>0.7402185853153785</v>
      </c>
      <c r="V1248" s="16" t="n">
        <v>0.8396016201038187</v>
      </c>
      <c r="W1248" s="16" t="n">
        <v>0.6279744185960984</v>
      </c>
      <c r="X1248" s="16" t="n">
        <v>0.9179760074220096</v>
      </c>
      <c r="Y1248" s="16" t="n">
        <v>292.4875934975382</v>
      </c>
      <c r="Z1248" s="16" t="n">
        <v>12.74787300329569</v>
      </c>
      <c r="AA1248" s="16" t="n">
        <v>148.1379844247164</v>
      </c>
      <c r="AB1248" s="16" t="n">
        <v>2294.092359915217</v>
      </c>
      <c r="AC1248" s="16" t="n">
        <v>8.007184866688076</v>
      </c>
      <c r="AD1248" s="16" t="inlineStr">
        <is>
          <t>O2</t>
        </is>
      </c>
      <c r="AE1248" s="16" t="n"/>
    </row>
    <row r="1249">
      <c r="A1249" s="16" t="inlineStr">
        <is>
          <t>KF-M04-0177</t>
        </is>
      </c>
      <c r="B1249" s="16" t="inlineStr">
        <is>
          <t>3.2</t>
        </is>
      </c>
      <c r="C1249" s="16" t="inlineStr">
        <is>
          <t>3.2</t>
        </is>
      </c>
      <c r="D1249" s="16" t="inlineStr">
        <is>
          <t>muestra de 300 puntos</t>
        </is>
      </c>
      <c r="E1249" s="16" t="inlineStr">
        <is>
          <t>KF-M04</t>
        </is>
      </c>
      <c r="F1249" s="16" t="inlineStr">
        <is>
          <t>KF-M04</t>
        </is>
      </c>
      <c r="G1249" s="16" t="inlineStr">
        <is>
          <t>B07</t>
        </is>
      </c>
      <c r="H1249" s="16" t="inlineStr">
        <is>
          <t>lhs</t>
        </is>
      </c>
      <c r="I1249" s="16" t="inlineStr">
        <is>
          <t>CORREGIBLE</t>
        </is>
      </c>
      <c r="J1249" s="16" t="inlineStr">
        <is>
          <t>CORREGIBLE</t>
        </is>
      </c>
      <c r="K1249" s="16" t="b">
        <v>1</v>
      </c>
      <c r="L1249" s="16" t="b">
        <v>0</v>
      </c>
      <c r="M1249" s="16" t="b">
        <v>1</v>
      </c>
      <c r="N1249" s="16" t="b">
        <v>0</v>
      </c>
      <c r="O1249" s="16" t="n">
        <v>486.2682922243853</v>
      </c>
      <c r="P1249" s="16" t="n">
        <v>296.2939166512251</v>
      </c>
      <c r="Q1249" s="16" t="n">
        <v>2742.399639714884</v>
      </c>
      <c r="R1249" s="16" t="n">
        <v>674.5008913892616</v>
      </c>
      <c r="S1249" s="16" t="n">
        <v>0.5329339109876085</v>
      </c>
      <c r="T1249" s="16" t="n">
        <v>0.8386417002162674</v>
      </c>
      <c r="U1249" s="16" t="n">
        <v>0.8087518984100098</v>
      </c>
      <c r="V1249" s="16" t="n">
        <v>0.898423097544687</v>
      </c>
      <c r="W1249" s="16" t="n">
        <v>0.8589154855067982</v>
      </c>
      <c r="X1249" s="16" t="n">
        <v>0.7148565466312973</v>
      </c>
      <c r="Y1249" s="16" t="n">
        <v>296.2939166512251</v>
      </c>
      <c r="Z1249" s="16" t="n">
        <v>9.02622520293739</v>
      </c>
      <c r="AA1249" s="16" t="n">
        <v>139.8430324239727</v>
      </c>
      <c r="AB1249" s="16" t="n">
        <v>2067.898748325622</v>
      </c>
      <c r="AC1249" s="16" t="n">
        <v>4.065820630816952</v>
      </c>
      <c r="AD1249" s="16" t="inlineStr">
        <is>
          <t>O2</t>
        </is>
      </c>
      <c r="AE1249" s="16" t="n"/>
    </row>
    <row r="1250">
      <c r="A1250" s="16" t="inlineStr">
        <is>
          <t>KF-M04-0178</t>
        </is>
      </c>
      <c r="B1250" s="16" t="inlineStr">
        <is>
          <t>3.2</t>
        </is>
      </c>
      <c r="C1250" s="16" t="inlineStr">
        <is>
          <t>3.2</t>
        </is>
      </c>
      <c r="D1250" s="16" t="inlineStr">
        <is>
          <t>muestra de 300 puntos</t>
        </is>
      </c>
      <c r="E1250" s="16" t="inlineStr">
        <is>
          <t>KF-M04</t>
        </is>
      </c>
      <c r="F1250" s="16" t="inlineStr">
        <is>
          <t>KF-M04</t>
        </is>
      </c>
      <c r="G1250" s="16" t="inlineStr">
        <is>
          <t>B07</t>
        </is>
      </c>
      <c r="H1250" s="16" t="inlineStr">
        <is>
          <t>lhs</t>
        </is>
      </c>
      <c r="I1250" s="16" t="inlineStr">
        <is>
          <t>KALINA</t>
        </is>
      </c>
      <c r="J1250" s="16" t="inlineStr">
        <is>
          <t>KALINA</t>
        </is>
      </c>
      <c r="K1250" s="16" t="b">
        <v>1</v>
      </c>
      <c r="L1250" s="16" t="b">
        <v>1</v>
      </c>
      <c r="M1250" s="16" t="b">
        <v>0</v>
      </c>
      <c r="N1250" s="16" t="b">
        <v>0</v>
      </c>
      <c r="O1250" s="16" t="n">
        <v>414.4186629017753</v>
      </c>
      <c r="P1250" s="16" t="n">
        <v>301.1236962388051</v>
      </c>
      <c r="Q1250" s="16" t="n">
        <v>4910.206466736995</v>
      </c>
      <c r="R1250" s="16" t="n">
        <v>1139.94078496408</v>
      </c>
      <c r="S1250" s="16" t="n">
        <v>0.5698815693621134</v>
      </c>
      <c r="T1250" s="16" t="n">
        <v>0.7583753996763858</v>
      </c>
      <c r="U1250" s="16" t="n">
        <v>0.8147164787968277</v>
      </c>
      <c r="V1250" s="16" t="n">
        <v>0.7047599656982818</v>
      </c>
      <c r="W1250" s="16" t="n">
        <v>0.7247400725054997</v>
      </c>
      <c r="X1250" s="16" t="n">
        <v>0.8080848801265135</v>
      </c>
      <c r="Y1250" s="16" t="n">
        <v>301.1236962388051</v>
      </c>
      <c r="Z1250" s="16" t="n">
        <v>3.36197910312355</v>
      </c>
      <c r="AA1250" s="16" t="n">
        <v>8.210629231408088</v>
      </c>
      <c r="AB1250" s="16" t="n">
        <v>3770.265681772915</v>
      </c>
      <c r="AC1250" s="16" t="n">
        <v>4.307422395534095</v>
      </c>
      <c r="AD1250" s="16" t="n"/>
      <c r="AE1250" s="16" t="n"/>
    </row>
    <row r="1251">
      <c r="A1251" s="16" t="inlineStr">
        <is>
          <t>KF-M04-0179</t>
        </is>
      </c>
      <c r="B1251" s="16" t="inlineStr">
        <is>
          <t>3.2</t>
        </is>
      </c>
      <c r="C1251" s="16" t="inlineStr">
        <is>
          <t>3.2</t>
        </is>
      </c>
      <c r="D1251" s="16" t="inlineStr">
        <is>
          <t>muestra de 300 puntos</t>
        </is>
      </c>
      <c r="E1251" s="16" t="inlineStr">
        <is>
          <t>KF-M04</t>
        </is>
      </c>
      <c r="F1251" s="16" t="inlineStr">
        <is>
          <t>KF-M04</t>
        </is>
      </c>
      <c r="G1251" s="16" t="inlineStr">
        <is>
          <t>B07</t>
        </is>
      </c>
      <c r="H1251" s="16" t="inlineStr">
        <is>
          <t>lhs</t>
        </is>
      </c>
      <c r="I1251" s="16" t="inlineStr">
        <is>
          <t>CORREGIBLE</t>
        </is>
      </c>
      <c r="J1251" s="16" t="inlineStr">
        <is>
          <t>CORREGIBLE</t>
        </is>
      </c>
      <c r="K1251" s="16" t="b">
        <v>1</v>
      </c>
      <c r="L1251" s="16" t="b">
        <v>0</v>
      </c>
      <c r="M1251" s="16" t="b">
        <v>1</v>
      </c>
      <c r="N1251" s="16" t="b">
        <v>0</v>
      </c>
      <c r="O1251" s="16" t="n">
        <v>492.1104912407744</v>
      </c>
      <c r="P1251" s="16" t="n">
        <v>302.7229885074606</v>
      </c>
      <c r="Q1251" s="16" t="n">
        <v>3974.686253531494</v>
      </c>
      <c r="R1251" s="16" t="n">
        <v>764.2551676454963</v>
      </c>
      <c r="S1251" s="16" t="n">
        <v>0.8144536304854686</v>
      </c>
      <c r="T1251" s="16" t="n">
        <v>0.8561282865390647</v>
      </c>
      <c r="U1251" s="16" t="n">
        <v>0.6833176560566059</v>
      </c>
      <c r="V1251" s="16" t="n">
        <v>0.7674703149777848</v>
      </c>
      <c r="W1251" s="16" t="n">
        <v>0.6302968978941635</v>
      </c>
      <c r="X1251" s="16" t="n">
        <v>0.8321824999167774</v>
      </c>
      <c r="Y1251" s="16" t="n">
        <v>302.7229885074606</v>
      </c>
      <c r="Z1251" s="16" t="n">
        <v>7.280909702497371</v>
      </c>
      <c r="AA1251" s="16" t="n">
        <v>63.10817323298039</v>
      </c>
      <c r="AB1251" s="16" t="n">
        <v>3210.431085885998</v>
      </c>
      <c r="AC1251" s="16" t="n">
        <v>5.200731930641224</v>
      </c>
      <c r="AD1251" s="16" t="inlineStr">
        <is>
          <t>O2</t>
        </is>
      </c>
      <c r="AE1251" s="16" t="n"/>
    </row>
    <row r="1252">
      <c r="A1252" s="16" t="inlineStr">
        <is>
          <t>KF-M04-0180</t>
        </is>
      </c>
      <c r="B1252" s="16" t="inlineStr">
        <is>
          <t>3.2</t>
        </is>
      </c>
      <c r="C1252" s="16" t="inlineStr">
        <is>
          <t>3.2</t>
        </is>
      </c>
      <c r="D1252" s="16" t="inlineStr">
        <is>
          <t>muestra de 300 puntos</t>
        </is>
      </c>
      <c r="E1252" s="16" t="inlineStr">
        <is>
          <t>KF-M04</t>
        </is>
      </c>
      <c r="F1252" s="16" t="inlineStr">
        <is>
          <t>KF-M04</t>
        </is>
      </c>
      <c r="G1252" s="16" t="inlineStr">
        <is>
          <t>B07</t>
        </is>
      </c>
      <c r="H1252" s="16" t="inlineStr">
        <is>
          <t>lhs</t>
        </is>
      </c>
      <c r="I1252" s="16" t="inlineStr">
        <is>
          <t>KALINA</t>
        </is>
      </c>
      <c r="J1252" s="16" t="inlineStr">
        <is>
          <t>KALINA</t>
        </is>
      </c>
      <c r="K1252" s="16" t="b">
        <v>1</v>
      </c>
      <c r="L1252" s="16" t="b">
        <v>1</v>
      </c>
      <c r="M1252" s="16" t="b">
        <v>0</v>
      </c>
      <c r="N1252" s="16" t="b">
        <v>0</v>
      </c>
      <c r="O1252" s="16" t="n">
        <v>387.8451151959841</v>
      </c>
      <c r="P1252" s="16" t="n">
        <v>296.8091444324504</v>
      </c>
      <c r="Q1252" s="16" t="n">
        <v>3648.122848450414</v>
      </c>
      <c r="R1252" s="16" t="n">
        <v>1303.645408011819</v>
      </c>
      <c r="S1252" s="16" t="n">
        <v>0.7050366093299332</v>
      </c>
      <c r="T1252" s="16" t="n">
        <v>0.761731211877441</v>
      </c>
      <c r="U1252" s="16" t="n">
        <v>0.7760612436887373</v>
      </c>
      <c r="V1252" s="16" t="n">
        <v>0.8668959789636455</v>
      </c>
      <c r="W1252" s="16" t="n">
        <v>0.6950233215203971</v>
      </c>
      <c r="X1252" s="16" t="n">
        <v>0.922433313511882</v>
      </c>
      <c r="Y1252" s="16" t="n">
        <v>296.8091444324504</v>
      </c>
      <c r="Z1252" s="16" t="n">
        <v>6.17708957947591</v>
      </c>
      <c r="AA1252" s="16" t="n">
        <v>31.56796278691618</v>
      </c>
      <c r="AB1252" s="16" t="n">
        <v>2344.477440438595</v>
      </c>
      <c r="AC1252" s="16" t="n">
        <v>2.798401180282714</v>
      </c>
      <c r="AD1252" s="16" t="n"/>
      <c r="AE1252" s="16" t="n"/>
    </row>
    <row r="1253">
      <c r="A1253" s="16" t="inlineStr">
        <is>
          <t>KF-M04-0181</t>
        </is>
      </c>
      <c r="B1253" s="16" t="inlineStr">
        <is>
          <t>3.2</t>
        </is>
      </c>
      <c r="C1253" s="16" t="inlineStr">
        <is>
          <t>3.2</t>
        </is>
      </c>
      <c r="D1253" s="16" t="inlineStr">
        <is>
          <t>muestra de 300 puntos</t>
        </is>
      </c>
      <c r="E1253" s="16" t="inlineStr">
        <is>
          <t>KF-M04</t>
        </is>
      </c>
      <c r="F1253" s="16" t="inlineStr">
        <is>
          <t>KF-M04</t>
        </is>
      </c>
      <c r="G1253" s="16" t="inlineStr">
        <is>
          <t>B07</t>
        </is>
      </c>
      <c r="H1253" s="16" t="inlineStr">
        <is>
          <t>lhs</t>
        </is>
      </c>
      <c r="I1253" s="16" t="inlineStr">
        <is>
          <t>CORREGIBLE</t>
        </is>
      </c>
      <c r="J1253" s="16" t="inlineStr">
        <is>
          <t>CORREGIBLE</t>
        </is>
      </c>
      <c r="K1253" s="16" t="b">
        <v>1</v>
      </c>
      <c r="L1253" s="16" t="b">
        <v>0</v>
      </c>
      <c r="M1253" s="16" t="b">
        <v>0</v>
      </c>
      <c r="N1253" s="16" t="b">
        <v>0</v>
      </c>
      <c r="O1253" s="16" t="n">
        <v>385.7480188873339</v>
      </c>
      <c r="P1253" s="16" t="n">
        <v>281.1800409197113</v>
      </c>
      <c r="Q1253" s="16" t="n">
        <v>4520.157196185828</v>
      </c>
      <c r="R1253" s="16" t="n">
        <v>433.3889852442429</v>
      </c>
      <c r="S1253" s="16" t="n">
        <v>0.7949450613121861</v>
      </c>
      <c r="T1253" s="16" t="n">
        <v>0.8411845233678709</v>
      </c>
      <c r="U1253" s="16" t="n">
        <v>0.7641959682250747</v>
      </c>
      <c r="V1253" s="16" t="n">
        <v>0.7655242179079951</v>
      </c>
      <c r="W1253" s="16" t="n">
        <v>0.7032645861634753</v>
      </c>
      <c r="X1253" s="16" t="n">
        <v>0.9164719353440888</v>
      </c>
      <c r="Y1253" s="16" t="n">
        <v>281.1800409197113</v>
      </c>
      <c r="Z1253" s="16" t="n">
        <v>12.87062522681541</v>
      </c>
      <c r="AA1253" s="16" t="n">
        <v>57.72673439056236</v>
      </c>
      <c r="AB1253" s="16" t="n">
        <v>4086.768210941585</v>
      </c>
      <c r="AC1253" s="16" t="n">
        <v>10.42979251915788</v>
      </c>
      <c r="AD1253" s="16" t="inlineStr">
        <is>
          <t>O1,O2</t>
        </is>
      </c>
      <c r="AE1253" s="16" t="n"/>
    </row>
    <row r="1254">
      <c r="A1254" s="16" t="inlineStr">
        <is>
          <t>KF-M04-0182</t>
        </is>
      </c>
      <c r="B1254" s="16" t="inlineStr">
        <is>
          <t>3.2</t>
        </is>
      </c>
      <c r="C1254" s="16" t="inlineStr">
        <is>
          <t>3.2</t>
        </is>
      </c>
      <c r="D1254" s="16" t="inlineStr">
        <is>
          <t>muestra de 300 puntos</t>
        </is>
      </c>
      <c r="E1254" s="16" t="inlineStr">
        <is>
          <t>KF-M04</t>
        </is>
      </c>
      <c r="F1254" s="16" t="inlineStr">
        <is>
          <t>KF-M04</t>
        </is>
      </c>
      <c r="G1254" s="16" t="inlineStr">
        <is>
          <t>B07</t>
        </is>
      </c>
      <c r="H1254" s="16" t="inlineStr">
        <is>
          <t>lhs</t>
        </is>
      </c>
      <c r="I1254" s="16" t="inlineStr">
        <is>
          <t>KALINA</t>
        </is>
      </c>
      <c r="J1254" s="16" t="inlineStr">
        <is>
          <t>KALINA</t>
        </is>
      </c>
      <c r="K1254" s="16" t="b">
        <v>1</v>
      </c>
      <c r="L1254" s="16" t="b">
        <v>1</v>
      </c>
      <c r="M1254" s="16" t="b">
        <v>0</v>
      </c>
      <c r="N1254" s="16" t="b">
        <v>0</v>
      </c>
      <c r="O1254" s="16" t="n">
        <v>414.9726031343597</v>
      </c>
      <c r="P1254" s="16" t="n">
        <v>286.4300842997052</v>
      </c>
      <c r="Q1254" s="16" t="n">
        <v>4264.259314280108</v>
      </c>
      <c r="R1254" s="16" t="n">
        <v>1277.817032372805</v>
      </c>
      <c r="S1254" s="16" t="n">
        <v>0.6973321510255819</v>
      </c>
      <c r="T1254" s="16" t="n">
        <v>0.7727129904758023</v>
      </c>
      <c r="U1254" s="16" t="n">
        <v>0.8609198243725213</v>
      </c>
      <c r="V1254" s="16" t="n">
        <v>0.6966193611046534</v>
      </c>
      <c r="W1254" s="16" t="n">
        <v>0.7103158765035348</v>
      </c>
      <c r="X1254" s="16" t="n">
        <v>0.7999474404455715</v>
      </c>
      <c r="Y1254" s="16" t="n">
        <v>286.4300842997052</v>
      </c>
      <c r="Z1254" s="16" t="n">
        <v>7.82863390990549</v>
      </c>
      <c r="AA1254" s="16" t="n">
        <v>44.56680621148011</v>
      </c>
      <c r="AB1254" s="16" t="n">
        <v>2986.442281907303</v>
      </c>
      <c r="AC1254" s="16" t="n">
        <v>3.337143899515658</v>
      </c>
      <c r="AD1254" s="16" t="n"/>
      <c r="AE1254" s="16" t="n"/>
    </row>
    <row r="1255">
      <c r="A1255" s="16" t="inlineStr">
        <is>
          <t>KF-M04-0183</t>
        </is>
      </c>
      <c r="B1255" s="16" t="inlineStr">
        <is>
          <t>3.2</t>
        </is>
      </c>
      <c r="C1255" s="16" t="inlineStr">
        <is>
          <t>3.2</t>
        </is>
      </c>
      <c r="D1255" s="16" t="inlineStr">
        <is>
          <t>muestra de 300 puntos</t>
        </is>
      </c>
      <c r="E1255" s="16" t="inlineStr">
        <is>
          <t>KF-M04</t>
        </is>
      </c>
      <c r="F1255" s="16" t="inlineStr">
        <is>
          <t>KF-M04</t>
        </is>
      </c>
      <c r="G1255" s="16" t="inlineStr">
        <is>
          <t>B07</t>
        </is>
      </c>
      <c r="H1255" s="16" t="inlineStr">
        <is>
          <t>lhs</t>
        </is>
      </c>
      <c r="I1255" s="16" t="inlineStr">
        <is>
          <t>CORREGIBLE</t>
        </is>
      </c>
      <c r="J1255" s="16" t="inlineStr">
        <is>
          <t>CORREGIBLE</t>
        </is>
      </c>
      <c r="K1255" s="16" t="b">
        <v>1</v>
      </c>
      <c r="L1255" s="16" t="b">
        <v>0</v>
      </c>
      <c r="M1255" s="16" t="b">
        <v>1</v>
      </c>
      <c r="N1255" s="16" t="b">
        <v>0</v>
      </c>
      <c r="O1255" s="16" t="n">
        <v>462.035863692008</v>
      </c>
      <c r="P1255" s="16" t="n">
        <v>288.4901480350601</v>
      </c>
      <c r="Q1255" s="16" t="n">
        <v>4065.738705868403</v>
      </c>
      <c r="R1255" s="16" t="n">
        <v>531.9410681367464</v>
      </c>
      <c r="S1255" s="16" t="n">
        <v>0.5641764363764679</v>
      </c>
      <c r="T1255" s="16" t="n">
        <v>0.8439427943173331</v>
      </c>
      <c r="U1255" s="16" t="n">
        <v>0.724928302101801</v>
      </c>
      <c r="V1255" s="16" t="n">
        <v>0.7284139604638391</v>
      </c>
      <c r="W1255" s="16" t="n">
        <v>0.7357696816815567</v>
      </c>
      <c r="X1255" s="16" t="n">
        <v>0.8266604829802835</v>
      </c>
      <c r="Y1255" s="16" t="n">
        <v>288.4901480350601</v>
      </c>
      <c r="Z1255" s="16" t="n">
        <v>13.84156215659259</v>
      </c>
      <c r="AA1255" s="16" t="n">
        <v>133.2990910071621</v>
      </c>
      <c r="AB1255" s="16" t="n">
        <v>3533.797637731657</v>
      </c>
      <c r="AC1255" s="16" t="n">
        <v>7.643212659082042</v>
      </c>
      <c r="AD1255" s="16" t="inlineStr">
        <is>
          <t>O2</t>
        </is>
      </c>
      <c r="AE1255" s="16" t="n"/>
    </row>
    <row r="1256">
      <c r="A1256" s="16" t="inlineStr">
        <is>
          <t>KF-M04-0184</t>
        </is>
      </c>
      <c r="B1256" s="16" t="inlineStr">
        <is>
          <t>3.2</t>
        </is>
      </c>
      <c r="C1256" s="16" t="inlineStr">
        <is>
          <t>3.2</t>
        </is>
      </c>
      <c r="D1256" s="16" t="inlineStr">
        <is>
          <t>muestra de 300 puntos</t>
        </is>
      </c>
      <c r="E1256" s="16" t="inlineStr">
        <is>
          <t>KF-M04</t>
        </is>
      </c>
      <c r="F1256" s="16" t="inlineStr">
        <is>
          <t>KF-M04</t>
        </is>
      </c>
      <c r="G1256" s="16" t="inlineStr">
        <is>
          <t>B07</t>
        </is>
      </c>
      <c r="H1256" s="16" t="inlineStr">
        <is>
          <t>lhs</t>
        </is>
      </c>
      <c r="I1256" s="16" t="inlineStr">
        <is>
          <t>NO_CONVERGIO</t>
        </is>
      </c>
      <c r="J1256" s="16" t="inlineStr">
        <is>
          <t>NO_CONVERGIO</t>
        </is>
      </c>
      <c r="K1256" s="16" t="b">
        <v>0</v>
      </c>
      <c r="L1256" s="16" t="b">
        <v>0</v>
      </c>
      <c r="M1256" s="16" t="b">
        <v>0</v>
      </c>
      <c r="N1256" s="16" t="b">
        <v>0</v>
      </c>
      <c r="O1256" s="16" t="n">
        <v>382.1257924678086</v>
      </c>
      <c r="P1256" s="16" t="n">
        <v>294.7871621116896</v>
      </c>
      <c r="Q1256" s="16" t="n">
        <v>4513.586597618479</v>
      </c>
      <c r="R1256" s="16" t="n">
        <v>1176.425328460281</v>
      </c>
      <c r="S1256" s="16" t="n">
        <v>0.51609024638551</v>
      </c>
      <c r="T1256" s="16" t="n">
        <v>0.9015648594509682</v>
      </c>
      <c r="U1256" s="16" t="n">
        <v>0.8734272378811927</v>
      </c>
      <c r="V1256" s="16" t="n">
        <v>0.6162402219973322</v>
      </c>
      <c r="W1256" s="16" t="n">
        <v>0.7412701681669764</v>
      </c>
      <c r="X1256" s="16" t="n">
        <v>0.8684488168572382</v>
      </c>
      <c r="Y1256" s="16" t="n">
        <v>294.7871621116896</v>
      </c>
      <c r="Z1256" s="16" t="n"/>
      <c r="AA1256" s="16" t="n"/>
      <c r="AB1256" s="16" t="n">
        <v>3337.161269158198</v>
      </c>
      <c r="AC1256" s="16" t="n">
        <v>3.836696208781829</v>
      </c>
      <c r="AD1256" s="16" t="n"/>
      <c r="AE1256" s="16" t="n"/>
    </row>
    <row r="1257">
      <c r="A1257" s="16" t="inlineStr">
        <is>
          <t>KF-M04-0185</t>
        </is>
      </c>
      <c r="B1257" s="16" t="inlineStr">
        <is>
          <t>3.2</t>
        </is>
      </c>
      <c r="C1257" s="16" t="inlineStr">
        <is>
          <t>3.2</t>
        </is>
      </c>
      <c r="D1257" s="16" t="inlineStr">
        <is>
          <t>muestra de 300 puntos</t>
        </is>
      </c>
      <c r="E1257" s="16" t="inlineStr">
        <is>
          <t>KF-M04</t>
        </is>
      </c>
      <c r="F1257" s="16" t="inlineStr">
        <is>
          <t>KF-M04</t>
        </is>
      </c>
      <c r="G1257" s="16" t="inlineStr">
        <is>
          <t>B07</t>
        </is>
      </c>
      <c r="H1257" s="16" t="inlineStr">
        <is>
          <t>lhs</t>
        </is>
      </c>
      <c r="I1257" s="16" t="inlineStr">
        <is>
          <t>CORREGIBLE</t>
        </is>
      </c>
      <c r="J1257" s="16" t="inlineStr">
        <is>
          <t>CORREGIBLE</t>
        </is>
      </c>
      <c r="K1257" s="16" t="b">
        <v>1</v>
      </c>
      <c r="L1257" s="16" t="b">
        <v>0</v>
      </c>
      <c r="M1257" s="16" t="b">
        <v>1</v>
      </c>
      <c r="N1257" s="16" t="b">
        <v>0</v>
      </c>
      <c r="O1257" s="16" t="n">
        <v>442.2508195109115</v>
      </c>
      <c r="P1257" s="16" t="n">
        <v>300.1523997676826</v>
      </c>
      <c r="Q1257" s="16" t="n">
        <v>4327.691300201725</v>
      </c>
      <c r="R1257" s="16" t="n">
        <v>1448.885244025193</v>
      </c>
      <c r="S1257" s="16" t="n">
        <v>0.6934108557164106</v>
      </c>
      <c r="T1257" s="16" t="n">
        <v>0.8204888814986903</v>
      </c>
      <c r="U1257" s="16" t="n">
        <v>0.7572225220363655</v>
      </c>
      <c r="V1257" s="16" t="n">
        <v>0.9370164236607552</v>
      </c>
      <c r="W1257" s="16" t="n">
        <v>0.6645087291318904</v>
      </c>
      <c r="X1257" s="16" t="n">
        <v>0.707336654897156</v>
      </c>
      <c r="Y1257" s="16" t="n">
        <v>300.1523997676826</v>
      </c>
      <c r="Z1257" s="16" t="n">
        <v>8.21305215535838</v>
      </c>
      <c r="AA1257" s="16" t="n">
        <v>77.7418165597737</v>
      </c>
      <c r="AB1257" s="16" t="n">
        <v>2878.806056176531</v>
      </c>
      <c r="AC1257" s="16" t="n">
        <v>2.986911018693814</v>
      </c>
      <c r="AD1257" s="16" t="inlineStr">
        <is>
          <t>O2</t>
        </is>
      </c>
      <c r="AE1257" s="16" t="n"/>
    </row>
    <row r="1258">
      <c r="A1258" s="16" t="inlineStr">
        <is>
          <t>KF-M04-0186</t>
        </is>
      </c>
      <c r="B1258" s="16" t="inlineStr">
        <is>
          <t>3.2</t>
        </is>
      </c>
      <c r="C1258" s="16" t="inlineStr">
        <is>
          <t>3.2</t>
        </is>
      </c>
      <c r="D1258" s="16" t="inlineStr">
        <is>
          <t>muestra de 300 puntos</t>
        </is>
      </c>
      <c r="E1258" s="16" t="inlineStr">
        <is>
          <t>KF-M04</t>
        </is>
      </c>
      <c r="F1258" s="16" t="inlineStr">
        <is>
          <t>KF-M04</t>
        </is>
      </c>
      <c r="G1258" s="16" t="inlineStr">
        <is>
          <t>B07</t>
        </is>
      </c>
      <c r="H1258" s="16" t="inlineStr">
        <is>
          <t>lhs</t>
        </is>
      </c>
      <c r="I1258" s="16" t="inlineStr">
        <is>
          <t>CORREGIBLE</t>
        </is>
      </c>
      <c r="J1258" s="16" t="inlineStr">
        <is>
          <t>CORREGIBLE</t>
        </is>
      </c>
      <c r="K1258" s="16" t="b">
        <v>1</v>
      </c>
      <c r="L1258" s="16" t="b">
        <v>0</v>
      </c>
      <c r="M1258" s="16" t="b">
        <v>1</v>
      </c>
      <c r="N1258" s="16" t="b">
        <v>0</v>
      </c>
      <c r="O1258" s="16" t="n">
        <v>441.4573753534333</v>
      </c>
      <c r="P1258" s="16" t="n">
        <v>298.7950151256282</v>
      </c>
      <c r="Q1258" s="16" t="n">
        <v>3373.492752583611</v>
      </c>
      <c r="R1258" s="16" t="n">
        <v>726.3459600573497</v>
      </c>
      <c r="S1258" s="16" t="n">
        <v>0.6820387960187194</v>
      </c>
      <c r="T1258" s="16" t="n">
        <v>0.8642007501697919</v>
      </c>
      <c r="U1258" s="16" t="n">
        <v>0.8018551242981984</v>
      </c>
      <c r="V1258" s="16" t="n">
        <v>0.8307642660096316</v>
      </c>
      <c r="W1258" s="16" t="n">
        <v>0.8710825124416329</v>
      </c>
      <c r="X1258" s="16" t="n">
        <v>0.8385004615508842</v>
      </c>
      <c r="Y1258" s="16" t="n">
        <v>298.7950151256282</v>
      </c>
      <c r="Z1258" s="16" t="n">
        <v>12.50149389679249</v>
      </c>
      <c r="AA1258" s="16" t="n">
        <v>134.6342818869808</v>
      </c>
      <c r="AB1258" s="16" t="n">
        <v>2647.146792526262</v>
      </c>
      <c r="AC1258" s="16" t="n">
        <v>4.644471007062878</v>
      </c>
      <c r="AD1258" s="16" t="inlineStr">
        <is>
          <t>O2</t>
        </is>
      </c>
      <c r="AE1258" s="16" t="n"/>
    </row>
    <row r="1259">
      <c r="A1259" s="16" t="inlineStr">
        <is>
          <t>KF-M04-0187</t>
        </is>
      </c>
      <c r="B1259" s="16" t="inlineStr">
        <is>
          <t>3.2</t>
        </is>
      </c>
      <c r="C1259" s="16" t="inlineStr">
        <is>
          <t>3.2</t>
        </is>
      </c>
      <c r="D1259" s="16" t="inlineStr">
        <is>
          <t>muestra de 300 puntos</t>
        </is>
      </c>
      <c r="E1259" s="16" t="inlineStr">
        <is>
          <t>KF-M04</t>
        </is>
      </c>
      <c r="F1259" s="16" t="inlineStr">
        <is>
          <t>KF-M04</t>
        </is>
      </c>
      <c r="G1259" s="16" t="inlineStr">
        <is>
          <t>B07</t>
        </is>
      </c>
      <c r="H1259" s="16" t="inlineStr">
        <is>
          <t>lhs</t>
        </is>
      </c>
      <c r="I1259" s="16" t="inlineStr">
        <is>
          <t>CORREGIBLE</t>
        </is>
      </c>
      <c r="J1259" s="16" t="inlineStr">
        <is>
          <t>CORREGIBLE</t>
        </is>
      </c>
      <c r="K1259" s="16" t="b">
        <v>1</v>
      </c>
      <c r="L1259" s="16" t="b">
        <v>0</v>
      </c>
      <c r="M1259" s="16" t="b">
        <v>0</v>
      </c>
      <c r="N1259" s="16" t="b">
        <v>0</v>
      </c>
      <c r="O1259" s="16" t="n">
        <v>391.9456931236318</v>
      </c>
      <c r="P1259" s="16" t="n">
        <v>281.951019464638</v>
      </c>
      <c r="Q1259" s="16" t="n">
        <v>2848.91656432159</v>
      </c>
      <c r="R1259" s="16" t="n">
        <v>735.7263095117871</v>
      </c>
      <c r="S1259" s="16" t="n">
        <v>0.6677266862260698</v>
      </c>
      <c r="T1259" s="16" t="n">
        <v>0.8977909250710865</v>
      </c>
      <c r="U1259" s="16" t="n">
        <v>0.7977700636587424</v>
      </c>
      <c r="V1259" s="16" t="n">
        <v>0.6884424626539855</v>
      </c>
      <c r="W1259" s="16" t="n">
        <v>0.7539079340818802</v>
      </c>
      <c r="X1259" s="16" t="n">
        <v>0.7001363230117509</v>
      </c>
      <c r="Y1259" s="16" t="n">
        <v>281.951019464638</v>
      </c>
      <c r="Z1259" s="16" t="n">
        <v>10.47131427350261</v>
      </c>
      <c r="AA1259" s="16" t="n">
        <v>48.25866573300726</v>
      </c>
      <c r="AB1259" s="16" t="n">
        <v>2113.190254809802</v>
      </c>
      <c r="AC1259" s="16" t="n">
        <v>3.872250492458361</v>
      </c>
      <c r="AD1259" s="16" t="inlineStr">
        <is>
          <t>O2</t>
        </is>
      </c>
      <c r="AE1259" s="16" t="n"/>
    </row>
    <row r="1260">
      <c r="A1260" s="16" t="inlineStr">
        <is>
          <t>KF-M04-0188</t>
        </is>
      </c>
      <c r="B1260" s="16" t="inlineStr">
        <is>
          <t>3.2</t>
        </is>
      </c>
      <c r="C1260" s="16" t="inlineStr">
        <is>
          <t>3.2</t>
        </is>
      </c>
      <c r="D1260" s="16" t="inlineStr">
        <is>
          <t>muestra de 300 puntos</t>
        </is>
      </c>
      <c r="E1260" s="16" t="inlineStr">
        <is>
          <t>KF-M04</t>
        </is>
      </c>
      <c r="F1260" s="16" t="inlineStr">
        <is>
          <t>KF-M04</t>
        </is>
      </c>
      <c r="G1260" s="16" t="inlineStr">
        <is>
          <t>B07</t>
        </is>
      </c>
      <c r="H1260" s="16" t="inlineStr">
        <is>
          <t>lhs</t>
        </is>
      </c>
      <c r="I1260" s="16" t="inlineStr">
        <is>
          <t>CORREGIBLE</t>
        </is>
      </c>
      <c r="J1260" s="16" t="inlineStr">
        <is>
          <t>CORREGIBLE</t>
        </is>
      </c>
      <c r="K1260" s="16" t="b">
        <v>1</v>
      </c>
      <c r="L1260" s="16" t="b">
        <v>0</v>
      </c>
      <c r="M1260" s="16" t="b">
        <v>0</v>
      </c>
      <c r="N1260" s="16" t="b">
        <v>0</v>
      </c>
      <c r="O1260" s="16" t="n">
        <v>446.3695335873794</v>
      </c>
      <c r="P1260" s="16" t="n">
        <v>289.0356015585697</v>
      </c>
      <c r="Q1260" s="16" t="n">
        <v>2529.134636417654</v>
      </c>
      <c r="R1260" s="16" t="n">
        <v>1431.58017366385</v>
      </c>
      <c r="S1260" s="16" t="n">
        <v>0.7634321480791146</v>
      </c>
      <c r="T1260" s="16" t="n">
        <v>0.7965173416591305</v>
      </c>
      <c r="U1260" s="16" t="n">
        <v>0.7916988867415728</v>
      </c>
      <c r="V1260" s="16" t="n">
        <v>0.7092661293209724</v>
      </c>
      <c r="W1260" s="16" t="n">
        <v>0.9336899763450262</v>
      </c>
      <c r="X1260" s="16" t="n">
        <v>0.7203127243420099</v>
      </c>
      <c r="Y1260" s="16" t="n">
        <v>289.0356015585697</v>
      </c>
      <c r="Z1260" s="16" t="n">
        <v>4.35796429616203</v>
      </c>
      <c r="AA1260" s="16" t="n">
        <v>46.35921283750758</v>
      </c>
      <c r="AB1260" s="16" t="n">
        <v>1097.554462753805</v>
      </c>
      <c r="AC1260" s="16" t="n">
        <v>1.766673416512069</v>
      </c>
      <c r="AD1260" s="16" t="inlineStr">
        <is>
          <t>O2</t>
        </is>
      </c>
      <c r="AE1260" s="16" t="n"/>
    </row>
    <row r="1261">
      <c r="A1261" s="16" t="inlineStr">
        <is>
          <t>KF-M04-0189</t>
        </is>
      </c>
      <c r="B1261" s="16" t="inlineStr">
        <is>
          <t>3.2</t>
        </is>
      </c>
      <c r="C1261" s="16" t="inlineStr">
        <is>
          <t>3.2</t>
        </is>
      </c>
      <c r="D1261" s="16" t="inlineStr">
        <is>
          <t>muestra de 300 puntos</t>
        </is>
      </c>
      <c r="E1261" s="16" t="inlineStr">
        <is>
          <t>KF-M04</t>
        </is>
      </c>
      <c r="F1261" s="16" t="inlineStr">
        <is>
          <t>KF-M04</t>
        </is>
      </c>
      <c r="G1261" s="16" t="inlineStr">
        <is>
          <t>B07</t>
        </is>
      </c>
      <c r="H1261" s="16" t="inlineStr">
        <is>
          <t>lhs</t>
        </is>
      </c>
      <c r="I1261" s="16" t="inlineStr">
        <is>
          <t>KALINA</t>
        </is>
      </c>
      <c r="J1261" s="16" t="inlineStr">
        <is>
          <t>KALINA</t>
        </is>
      </c>
      <c r="K1261" s="16" t="b">
        <v>1</v>
      </c>
      <c r="L1261" s="16" t="b">
        <v>1</v>
      </c>
      <c r="M1261" s="16" t="b">
        <v>0</v>
      </c>
      <c r="N1261" s="16" t="b">
        <v>0</v>
      </c>
      <c r="O1261" s="16" t="n">
        <v>404.3346696294941</v>
      </c>
      <c r="P1261" s="16" t="n">
        <v>279.0805074384895</v>
      </c>
      <c r="Q1261" s="16" t="n">
        <v>2604.944636423121</v>
      </c>
      <c r="R1261" s="16" t="n">
        <v>1241.446773162118</v>
      </c>
      <c r="S1261" s="16" t="n">
        <v>0.5703551029323306</v>
      </c>
      <c r="T1261" s="16" t="n">
        <v>0.8631473629796587</v>
      </c>
      <c r="U1261" s="16" t="n">
        <v>0.867821179714149</v>
      </c>
      <c r="V1261" s="16" t="n">
        <v>0.6310964490798764</v>
      </c>
      <c r="W1261" s="16" t="n">
        <v>0.6922547844146371</v>
      </c>
      <c r="X1261" s="16" t="n">
        <v>0.7078431013054423</v>
      </c>
      <c r="Y1261" s="16" t="n">
        <v>279.0805074384895</v>
      </c>
      <c r="Z1261" s="16" t="n">
        <v>4.97053346851335</v>
      </c>
      <c r="AA1261" s="16" t="n">
        <v>21.33847299566249</v>
      </c>
      <c r="AB1261" s="16" t="n">
        <v>1363.497863261002</v>
      </c>
      <c r="AC1261" s="16" t="n">
        <v>2.098313590834028</v>
      </c>
      <c r="AD1261" s="16" t="n"/>
      <c r="AE1261" s="16" t="n"/>
    </row>
    <row r="1262">
      <c r="A1262" s="16" t="inlineStr">
        <is>
          <t>KF-M04-0190</t>
        </is>
      </c>
      <c r="B1262" s="16" t="inlineStr">
        <is>
          <t>3.2</t>
        </is>
      </c>
      <c r="C1262" s="16" t="inlineStr">
        <is>
          <t>3.2</t>
        </is>
      </c>
      <c r="D1262" s="16" t="inlineStr">
        <is>
          <t>muestra de 300 puntos</t>
        </is>
      </c>
      <c r="E1262" s="16" t="inlineStr">
        <is>
          <t>KF-M04</t>
        </is>
      </c>
      <c r="F1262" s="16" t="inlineStr">
        <is>
          <t>KF-M04</t>
        </is>
      </c>
      <c r="G1262" s="16" t="inlineStr">
        <is>
          <t>B07</t>
        </is>
      </c>
      <c r="H1262" s="16" t="inlineStr">
        <is>
          <t>lhs</t>
        </is>
      </c>
      <c r="I1262" s="16" t="inlineStr">
        <is>
          <t>KALINA</t>
        </is>
      </c>
      <c r="J1262" s="16" t="inlineStr">
        <is>
          <t>KALINA</t>
        </is>
      </c>
      <c r="K1262" s="16" t="b">
        <v>1</v>
      </c>
      <c r="L1262" s="16" t="b">
        <v>1</v>
      </c>
      <c r="M1262" s="16" t="b">
        <v>0</v>
      </c>
      <c r="N1262" s="16" t="b">
        <v>0</v>
      </c>
      <c r="O1262" s="16" t="n">
        <v>463.1111168557866</v>
      </c>
      <c r="P1262" s="16" t="n">
        <v>294.9990426939667</v>
      </c>
      <c r="Q1262" s="16" t="n">
        <v>2139.236516373478</v>
      </c>
      <c r="R1262" s="16" t="n">
        <v>1322.547882021173</v>
      </c>
      <c r="S1262" s="16" t="n">
        <v>0.7016727081400007</v>
      </c>
      <c r="T1262" s="16" t="n">
        <v>0.830176258546749</v>
      </c>
      <c r="U1262" s="16" t="n">
        <v>0.8562499150210342</v>
      </c>
      <c r="V1262" s="16" t="n">
        <v>0.7100945700793495</v>
      </c>
      <c r="W1262" s="16" t="n">
        <v>0.6917177439083608</v>
      </c>
      <c r="X1262" s="16" t="n">
        <v>0.9397669595502248</v>
      </c>
      <c r="Y1262" s="16" t="n">
        <v>294.9990426939667</v>
      </c>
      <c r="Z1262" s="16" t="n">
        <v>3.89793730734696</v>
      </c>
      <c r="AA1262" s="16" t="n">
        <v>53.55297842723637</v>
      </c>
      <c r="AB1262" s="16" t="n">
        <v>816.6886343523049</v>
      </c>
      <c r="AC1262" s="16" t="n">
        <v>1.61751158158766</v>
      </c>
      <c r="AD1262" s="16" t="n"/>
      <c r="AE1262" s="16" t="n"/>
    </row>
    <row r="1263">
      <c r="A1263" s="16" t="inlineStr">
        <is>
          <t>KF-M04-0191</t>
        </is>
      </c>
      <c r="B1263" s="16" t="inlineStr">
        <is>
          <t>3.2</t>
        </is>
      </c>
      <c r="C1263" s="16" t="inlineStr">
        <is>
          <t>3.2</t>
        </is>
      </c>
      <c r="D1263" s="16" t="inlineStr">
        <is>
          <t>muestra de 300 puntos</t>
        </is>
      </c>
      <c r="E1263" s="16" t="inlineStr">
        <is>
          <t>KF-M04</t>
        </is>
      </c>
      <c r="F1263" s="16" t="inlineStr">
        <is>
          <t>KF-M04</t>
        </is>
      </c>
      <c r="G1263" s="16" t="inlineStr">
        <is>
          <t>B07</t>
        </is>
      </c>
      <c r="H1263" s="16" t="inlineStr">
        <is>
          <t>lhs</t>
        </is>
      </c>
      <c r="I1263" s="16" t="inlineStr">
        <is>
          <t>CORREGIBLE</t>
        </is>
      </c>
      <c r="J1263" s="16" t="inlineStr">
        <is>
          <t>CORREGIBLE</t>
        </is>
      </c>
      <c r="K1263" s="16" t="b">
        <v>1</v>
      </c>
      <c r="L1263" s="16" t="b">
        <v>0</v>
      </c>
      <c r="M1263" s="16" t="b">
        <v>0</v>
      </c>
      <c r="N1263" s="16" t="b">
        <v>0</v>
      </c>
      <c r="O1263" s="16" t="n">
        <v>388.6545899027584</v>
      </c>
      <c r="P1263" s="16" t="n">
        <v>289.5001411149934</v>
      </c>
      <c r="Q1263" s="16" t="n">
        <v>2712.859710540737</v>
      </c>
      <c r="R1263" s="16" t="n">
        <v>659.3942285039368</v>
      </c>
      <c r="S1263" s="16" t="n">
        <v>0.6302214735072169</v>
      </c>
      <c r="T1263" s="16" t="n">
        <v>0.8568925986086129</v>
      </c>
      <c r="U1263" s="16" t="n">
        <v>0.8081227535770303</v>
      </c>
      <c r="V1263" s="16" t="n">
        <v>0.6595985416274399</v>
      </c>
      <c r="W1263" s="16" t="n">
        <v>0.6441263700076821</v>
      </c>
      <c r="X1263" s="16" t="n">
        <v>0.7858029729818617</v>
      </c>
      <c r="Y1263" s="16" t="n">
        <v>289.5001411149934</v>
      </c>
      <c r="Z1263" s="16" t="n">
        <v>8.783520252306209</v>
      </c>
      <c r="AA1263" s="16" t="n">
        <v>35.21416014393466</v>
      </c>
      <c r="AB1263" s="16" t="n">
        <v>2053.4654820368</v>
      </c>
      <c r="AC1263" s="16" t="n">
        <v>4.11416963217254</v>
      </c>
      <c r="AD1263" s="16" t="inlineStr">
        <is>
          <t>O2</t>
        </is>
      </c>
      <c r="AE1263" s="16" t="n"/>
    </row>
    <row r="1264">
      <c r="A1264" s="16" t="inlineStr">
        <is>
          <t>KF-M04-0192</t>
        </is>
      </c>
      <c r="B1264" s="16" t="inlineStr">
        <is>
          <t>3.2</t>
        </is>
      </c>
      <c r="C1264" s="16" t="inlineStr">
        <is>
          <t>3.2</t>
        </is>
      </c>
      <c r="D1264" s="16" t="inlineStr">
        <is>
          <t>muestra de 300 puntos</t>
        </is>
      </c>
      <c r="E1264" s="16" t="inlineStr">
        <is>
          <t>KF-M04</t>
        </is>
      </c>
      <c r="F1264" s="16" t="inlineStr">
        <is>
          <t>KF-M04</t>
        </is>
      </c>
      <c r="G1264" s="16" t="inlineStr">
        <is>
          <t>B07</t>
        </is>
      </c>
      <c r="H1264" s="16" t="inlineStr">
        <is>
          <t>lhs</t>
        </is>
      </c>
      <c r="I1264" s="16" t="inlineStr">
        <is>
          <t>INVIABLE</t>
        </is>
      </c>
      <c r="J1264" s="16" t="inlineStr">
        <is>
          <t>INVIABLE</t>
        </is>
      </c>
      <c r="K1264" s="16" t="b">
        <v>1</v>
      </c>
      <c r="L1264" s="16" t="b">
        <v>0</v>
      </c>
      <c r="M1264" s="16" t="b">
        <v>0</v>
      </c>
      <c r="N1264" s="16" t="b">
        <v>0</v>
      </c>
      <c r="O1264" s="16" t="n">
        <v>399.5831938805738</v>
      </c>
      <c r="P1264" s="16" t="n">
        <v>293.3452629392416</v>
      </c>
      <c r="Q1264" s="16" t="n">
        <v>2724.514536180277</v>
      </c>
      <c r="R1264" s="16" t="n">
        <v>314.7321596794044</v>
      </c>
      <c r="S1264" s="16" t="n">
        <v>0.721758037510612</v>
      </c>
      <c r="T1264" s="16" t="n">
        <v>0.7975646510996336</v>
      </c>
      <c r="U1264" s="16" t="n">
        <v>0.8338938527925673</v>
      </c>
      <c r="V1264" s="16" t="n">
        <v>0.6741001721603879</v>
      </c>
      <c r="W1264" s="16" t="n">
        <v>0.6484140319759535</v>
      </c>
      <c r="X1264" s="16" t="n">
        <v>0.806971520991676</v>
      </c>
      <c r="Y1264" s="16" t="n">
        <v>293.3452629392416</v>
      </c>
      <c r="Z1264" s="16" t="n">
        <v>-10.23911052792601</v>
      </c>
      <c r="AA1264" s="16" t="n">
        <v>-25.23831506611208</v>
      </c>
      <c r="AB1264" s="16" t="n">
        <v>2409.782376500872</v>
      </c>
      <c r="AC1264" s="16" t="n">
        <v>8.656613099073029</v>
      </c>
      <c r="AD1264" s="16" t="inlineStr">
        <is>
          <t>O2,O3</t>
        </is>
      </c>
      <c r="AE1264" s="16" t="n"/>
    </row>
    <row r="1265">
      <c r="A1265" s="16" t="inlineStr">
        <is>
          <t>KF-M04-0193</t>
        </is>
      </c>
      <c r="B1265" s="16" t="inlineStr">
        <is>
          <t>3.2</t>
        </is>
      </c>
      <c r="C1265" s="16" t="inlineStr">
        <is>
          <t>3.2</t>
        </is>
      </c>
      <c r="D1265" s="16" t="inlineStr">
        <is>
          <t>muestra de 300 puntos</t>
        </is>
      </c>
      <c r="E1265" s="16" t="inlineStr">
        <is>
          <t>KF-M04</t>
        </is>
      </c>
      <c r="F1265" s="16" t="inlineStr">
        <is>
          <t>KF-M04</t>
        </is>
      </c>
      <c r="G1265" s="16" t="inlineStr">
        <is>
          <t>B07</t>
        </is>
      </c>
      <c r="H1265" s="16" t="inlineStr">
        <is>
          <t>lhs</t>
        </is>
      </c>
      <c r="I1265" s="16" t="inlineStr">
        <is>
          <t>KALINA</t>
        </is>
      </c>
      <c r="J1265" s="16" t="inlineStr">
        <is>
          <t>KALINA</t>
        </is>
      </c>
      <c r="K1265" s="16" t="b">
        <v>1</v>
      </c>
      <c r="L1265" s="16" t="b">
        <v>0</v>
      </c>
      <c r="M1265" s="16" t="b">
        <v>1</v>
      </c>
      <c r="N1265" s="16" t="b">
        <v>0</v>
      </c>
      <c r="O1265" s="16" t="n">
        <v>449.3482442244365</v>
      </c>
      <c r="P1265" s="16" t="n">
        <v>278.2622606696762</v>
      </c>
      <c r="Q1265" s="16" t="n">
        <v>4178.30434766902</v>
      </c>
      <c r="R1265" s="16" t="n">
        <v>1182.62103642894</v>
      </c>
      <c r="S1265" s="16" t="n">
        <v>0.5317599555000451</v>
      </c>
      <c r="T1265" s="16" t="n">
        <v>0.9131201914860224</v>
      </c>
      <c r="U1265" s="16" t="n">
        <v>0.8231428191599452</v>
      </c>
      <c r="V1265" s="16" t="n">
        <v>0.7057461989171193</v>
      </c>
      <c r="W1265" s="16" t="n">
        <v>0.8776482504160039</v>
      </c>
      <c r="X1265" s="16" t="n">
        <v>0.8151825645560585</v>
      </c>
      <c r="Y1265" s="16" t="n">
        <v>278.2622606696762</v>
      </c>
      <c r="Z1265" s="16" t="n">
        <v>9.294609397876441</v>
      </c>
      <c r="AA1265" s="16" t="n">
        <v>58.92476791291413</v>
      </c>
      <c r="AB1265" s="16" t="n">
        <v>2995.68331124008</v>
      </c>
      <c r="AC1265" s="16" t="n">
        <v>3.533088131330631</v>
      </c>
      <c r="AD1265" s="16" t="n"/>
      <c r="AE1265" s="16" t="n"/>
    </row>
    <row r="1266">
      <c r="A1266" s="16" t="inlineStr">
        <is>
          <t>KF-M04-0194</t>
        </is>
      </c>
      <c r="B1266" s="16" t="inlineStr">
        <is>
          <t>3.2</t>
        </is>
      </c>
      <c r="C1266" s="16" t="inlineStr">
        <is>
          <t>3.2</t>
        </is>
      </c>
      <c r="D1266" s="16" t="inlineStr">
        <is>
          <t>muestra de 300 puntos</t>
        </is>
      </c>
      <c r="E1266" s="16" t="inlineStr">
        <is>
          <t>KF-M04</t>
        </is>
      </c>
      <c r="F1266" s="16" t="inlineStr">
        <is>
          <t>KF-M04</t>
        </is>
      </c>
      <c r="G1266" s="16" t="inlineStr">
        <is>
          <t>B07</t>
        </is>
      </c>
      <c r="H1266" s="16" t="inlineStr">
        <is>
          <t>lhs</t>
        </is>
      </c>
      <c r="I1266" s="16" t="inlineStr">
        <is>
          <t>CORREGIBLE</t>
        </is>
      </c>
      <c r="J1266" s="16" t="inlineStr">
        <is>
          <t>CORREGIBLE</t>
        </is>
      </c>
      <c r="K1266" s="16" t="b">
        <v>1</v>
      </c>
      <c r="L1266" s="16" t="b">
        <v>0</v>
      </c>
      <c r="M1266" s="16" t="b">
        <v>0</v>
      </c>
      <c r="N1266" s="16" t="b">
        <v>0</v>
      </c>
      <c r="O1266" s="16" t="n">
        <v>417.2034818020346</v>
      </c>
      <c r="P1266" s="16" t="n">
        <v>298.3853205551786</v>
      </c>
      <c r="Q1266" s="16" t="n">
        <v>2064.353382930798</v>
      </c>
      <c r="R1266" s="16" t="n">
        <v>792.8621731530367</v>
      </c>
      <c r="S1266" s="16" t="n">
        <v>0.5904323565858962</v>
      </c>
      <c r="T1266" s="16" t="n">
        <v>0.7679541634377878</v>
      </c>
      <c r="U1266" s="16" t="n">
        <v>0.7127792413063421</v>
      </c>
      <c r="V1266" s="16" t="n">
        <v>0.6130102957480491</v>
      </c>
      <c r="W1266" s="16" t="n">
        <v>0.6701694595791565</v>
      </c>
      <c r="X1266" s="16" t="n">
        <v>0.8809047632706224</v>
      </c>
      <c r="Y1266" s="16" t="n">
        <v>298.3853205551786</v>
      </c>
      <c r="Z1266" s="16" t="n">
        <v>6.40500175172342</v>
      </c>
      <c r="AA1266" s="16" t="n">
        <v>42.6531949026158</v>
      </c>
      <c r="AB1266" s="16" t="n">
        <v>1271.491209777762</v>
      </c>
      <c r="AC1266" s="16" t="n">
        <v>2.603672432399346</v>
      </c>
      <c r="AD1266" s="16" t="inlineStr">
        <is>
          <t>O2</t>
        </is>
      </c>
      <c r="AE1266" s="16" t="n"/>
    </row>
    <row r="1267">
      <c r="A1267" s="16" t="inlineStr">
        <is>
          <t>KF-M04-0195</t>
        </is>
      </c>
      <c r="B1267" s="16" t="inlineStr">
        <is>
          <t>3.2</t>
        </is>
      </c>
      <c r="C1267" s="16" t="inlineStr">
        <is>
          <t>3.2</t>
        </is>
      </c>
      <c r="D1267" s="16" t="inlineStr">
        <is>
          <t>muestra de 300 puntos</t>
        </is>
      </c>
      <c r="E1267" s="16" t="inlineStr">
        <is>
          <t>KF-M04</t>
        </is>
      </c>
      <c r="F1267" s="16" t="inlineStr">
        <is>
          <t>KF-M04</t>
        </is>
      </c>
      <c r="G1267" s="16" t="inlineStr">
        <is>
          <t>B07</t>
        </is>
      </c>
      <c r="H1267" s="16" t="inlineStr">
        <is>
          <t>lhs</t>
        </is>
      </c>
      <c r="I1267" s="16" t="inlineStr">
        <is>
          <t>CORREGIBLE</t>
        </is>
      </c>
      <c r="J1267" s="16" t="inlineStr">
        <is>
          <t>CORREGIBLE</t>
        </is>
      </c>
      <c r="K1267" s="16" t="b">
        <v>1</v>
      </c>
      <c r="L1267" s="16" t="b">
        <v>0</v>
      </c>
      <c r="M1267" s="16" t="b">
        <v>1</v>
      </c>
      <c r="N1267" s="16" t="b">
        <v>0</v>
      </c>
      <c r="O1267" s="16" t="n">
        <v>451.811451612887</v>
      </c>
      <c r="P1267" s="16" t="n">
        <v>292.7025582994822</v>
      </c>
      <c r="Q1267" s="16" t="n">
        <v>3828.611837533173</v>
      </c>
      <c r="R1267" s="16" t="n">
        <v>991.5208083790064</v>
      </c>
      <c r="S1267" s="16" t="n">
        <v>0.7159295915680389</v>
      </c>
      <c r="T1267" s="16" t="n">
        <v>0.91789057884559</v>
      </c>
      <c r="U1267" s="16" t="n">
        <v>0.7877355883268439</v>
      </c>
      <c r="V1267" s="16" t="n">
        <v>0.8277911291367935</v>
      </c>
      <c r="W1267" s="16" t="n">
        <v>0.7950766534595282</v>
      </c>
      <c r="X1267" s="16" t="n">
        <v>0.7462539844217772</v>
      </c>
      <c r="Y1267" s="16" t="n">
        <v>292.7025582994822</v>
      </c>
      <c r="Z1267" s="16" t="n">
        <v>11.69101310489031</v>
      </c>
      <c r="AA1267" s="16" t="n">
        <v>134.6671813414882</v>
      </c>
      <c r="AB1267" s="16" t="n">
        <v>2837.091029154167</v>
      </c>
      <c r="AC1267" s="16" t="n">
        <v>3.861352989446991</v>
      </c>
      <c r="AD1267" s="16" t="inlineStr">
        <is>
          <t>O2</t>
        </is>
      </c>
      <c r="AE1267" s="16" t="n"/>
    </row>
    <row r="1268">
      <c r="A1268" s="16" t="inlineStr">
        <is>
          <t>KF-M04-0196</t>
        </is>
      </c>
      <c r="B1268" s="16" t="inlineStr">
        <is>
          <t>3.2</t>
        </is>
      </c>
      <c r="C1268" s="16" t="inlineStr">
        <is>
          <t>3.2</t>
        </is>
      </c>
      <c r="D1268" s="16" t="inlineStr">
        <is>
          <t>muestra de 300 puntos</t>
        </is>
      </c>
      <c r="E1268" s="16" t="inlineStr">
        <is>
          <t>KF-M04</t>
        </is>
      </c>
      <c r="F1268" s="16" t="inlineStr">
        <is>
          <t>KF-M04</t>
        </is>
      </c>
      <c r="G1268" s="16" t="inlineStr">
        <is>
          <t>B07</t>
        </is>
      </c>
      <c r="H1268" s="16" t="inlineStr">
        <is>
          <t>lhs</t>
        </is>
      </c>
      <c r="I1268" s="16" t="inlineStr">
        <is>
          <t>CORREGIBLE</t>
        </is>
      </c>
      <c r="J1268" s="16" t="inlineStr">
        <is>
          <t>CORREGIBLE</t>
        </is>
      </c>
      <c r="K1268" s="16" t="b">
        <v>1</v>
      </c>
      <c r="L1268" s="16" t="b">
        <v>0</v>
      </c>
      <c r="M1268" s="16" t="b">
        <v>0</v>
      </c>
      <c r="N1268" s="16" t="b">
        <v>0</v>
      </c>
      <c r="O1268" s="16" t="n">
        <v>384.6343075371379</v>
      </c>
      <c r="P1268" s="16" t="n">
        <v>297.5377590257303</v>
      </c>
      <c r="Q1268" s="16" t="n">
        <v>4578.745457105882</v>
      </c>
      <c r="R1268" s="16" t="n">
        <v>861.9832211245416</v>
      </c>
      <c r="S1268" s="16" t="n">
        <v>0.7681046965632807</v>
      </c>
      <c r="T1268" s="16" t="n">
        <v>0.8556025065640869</v>
      </c>
      <c r="U1268" s="16" t="n">
        <v>0.8699724793255851</v>
      </c>
      <c r="V1268" s="16" t="n">
        <v>0.8323219379770017</v>
      </c>
      <c r="W1268" s="16" t="n">
        <v>0.7611688416959037</v>
      </c>
      <c r="X1268" s="16" t="n">
        <v>0.8290351284476671</v>
      </c>
      <c r="Y1268" s="16" t="n">
        <v>297.5377590257303</v>
      </c>
      <c r="Z1268" s="16" t="n">
        <v>10.84101769313531</v>
      </c>
      <c r="AA1268" s="16" t="n">
        <v>41.70783717431528</v>
      </c>
      <c r="AB1268" s="16" t="n">
        <v>3716.762235981341</v>
      </c>
      <c r="AC1268" s="16" t="n">
        <v>5.311873067705959</v>
      </c>
      <c r="AD1268" s="16" t="inlineStr">
        <is>
          <t>O2</t>
        </is>
      </c>
      <c r="AE1268" s="16" t="n"/>
    </row>
    <row r="1269">
      <c r="A1269" s="16" t="inlineStr">
        <is>
          <t>KF-M04-0197</t>
        </is>
      </c>
      <c r="B1269" s="16" t="inlineStr">
        <is>
          <t>3.2</t>
        </is>
      </c>
      <c r="C1269" s="16" t="inlineStr">
        <is>
          <t>3.2</t>
        </is>
      </c>
      <c r="D1269" s="16" t="inlineStr">
        <is>
          <t>muestra de 300 puntos</t>
        </is>
      </c>
      <c r="E1269" s="16" t="inlineStr">
        <is>
          <t>KF-M04</t>
        </is>
      </c>
      <c r="F1269" s="16" t="inlineStr">
        <is>
          <t>KF-M04</t>
        </is>
      </c>
      <c r="G1269" s="16" t="inlineStr">
        <is>
          <t>B07</t>
        </is>
      </c>
      <c r="H1269" s="16" t="inlineStr">
        <is>
          <t>lhs</t>
        </is>
      </c>
      <c r="I1269" s="16" t="inlineStr">
        <is>
          <t>KALINA</t>
        </is>
      </c>
      <c r="J1269" s="16" t="inlineStr">
        <is>
          <t>KALINA</t>
        </is>
      </c>
      <c r="K1269" s="16" t="b">
        <v>1</v>
      </c>
      <c r="L1269" s="16" t="b">
        <v>1</v>
      </c>
      <c r="M1269" s="16" t="b">
        <v>0</v>
      </c>
      <c r="N1269" s="16" t="b">
        <v>0</v>
      </c>
      <c r="O1269" s="16" t="n">
        <v>423.9950187444789</v>
      </c>
      <c r="P1269" s="16" t="n">
        <v>294.8562985461167</v>
      </c>
      <c r="Q1269" s="16" t="n">
        <v>4734.3608776931</v>
      </c>
      <c r="R1269" s="16" t="n">
        <v>1016.729934867299</v>
      </c>
      <c r="S1269" s="16" t="n">
        <v>0.5540502045846063</v>
      </c>
      <c r="T1269" s="16" t="n">
        <v>0.9070887383232268</v>
      </c>
      <c r="U1269" s="16" t="n">
        <v>0.8794067125311194</v>
      </c>
      <c r="V1269" s="16" t="n">
        <v>0.6525407390015912</v>
      </c>
      <c r="W1269" s="16" t="n">
        <v>0.933101813632868</v>
      </c>
      <c r="X1269" s="16" t="n">
        <v>0.8880186325569748</v>
      </c>
      <c r="Y1269" s="16" t="n">
        <v>294.8562985461167</v>
      </c>
      <c r="Z1269" s="16" t="n">
        <v>9.794597548362049</v>
      </c>
      <c r="AA1269" s="16" t="n">
        <v>26.02369183941354</v>
      </c>
      <c r="AB1269" s="16" t="n">
        <v>3717.630942825801</v>
      </c>
      <c r="AC1269" s="16" t="n">
        <v>4.656458628132177</v>
      </c>
      <c r="AD1269" s="16" t="n"/>
      <c r="AE1269" s="16" t="n"/>
    </row>
    <row r="1270">
      <c r="A1270" s="16" t="inlineStr">
        <is>
          <t>KF-M04-0198</t>
        </is>
      </c>
      <c r="B1270" s="16" t="inlineStr">
        <is>
          <t>3.2</t>
        </is>
      </c>
      <c r="C1270" s="16" t="inlineStr">
        <is>
          <t>3.2</t>
        </is>
      </c>
      <c r="D1270" s="16" t="inlineStr">
        <is>
          <t>muestra de 300 puntos</t>
        </is>
      </c>
      <c r="E1270" s="16" t="inlineStr">
        <is>
          <t>KF-M04</t>
        </is>
      </c>
      <c r="F1270" s="16" t="inlineStr">
        <is>
          <t>KF-M04</t>
        </is>
      </c>
      <c r="G1270" s="16" t="inlineStr">
        <is>
          <t>B07</t>
        </is>
      </c>
      <c r="H1270" s="16" t="inlineStr">
        <is>
          <t>lhs</t>
        </is>
      </c>
      <c r="I1270" s="16" t="inlineStr">
        <is>
          <t>CORREGIBLE</t>
        </is>
      </c>
      <c r="J1270" s="16" t="inlineStr">
        <is>
          <t>CORREGIBLE</t>
        </is>
      </c>
      <c r="K1270" s="16" t="b">
        <v>1</v>
      </c>
      <c r="L1270" s="16" t="b">
        <v>0</v>
      </c>
      <c r="M1270" s="16" t="b">
        <v>1</v>
      </c>
      <c r="N1270" s="16" t="b">
        <v>0</v>
      </c>
      <c r="O1270" s="16" t="n">
        <v>457.7525390497773</v>
      </c>
      <c r="P1270" s="16" t="n">
        <v>299.0939722672025</v>
      </c>
      <c r="Q1270" s="16" t="n">
        <v>4287.726378148507</v>
      </c>
      <c r="R1270" s="16" t="n">
        <v>486.2601670051677</v>
      </c>
      <c r="S1270" s="16" t="n">
        <v>0.7425911456488939</v>
      </c>
      <c r="T1270" s="16" t="n">
        <v>0.7524712214285751</v>
      </c>
      <c r="U1270" s="16" t="n">
        <v>0.8530699618502326</v>
      </c>
      <c r="V1270" s="16" t="n">
        <v>0.8973968428260193</v>
      </c>
      <c r="W1270" s="16" t="n">
        <v>0.7968354801954224</v>
      </c>
      <c r="X1270" s="16" t="n">
        <v>0.7252121282512123</v>
      </c>
      <c r="Y1270" s="16" t="n">
        <v>299.0939722672025</v>
      </c>
      <c r="Z1270" s="16" t="n">
        <v>5.9538880666843</v>
      </c>
      <c r="AA1270" s="16" t="n">
        <v>47.68813962682654</v>
      </c>
      <c r="AB1270" s="16" t="n">
        <v>3801.46621114334</v>
      </c>
      <c r="AC1270" s="16" t="n">
        <v>8.817761908313868</v>
      </c>
      <c r="AD1270" s="16" t="inlineStr">
        <is>
          <t>O2</t>
        </is>
      </c>
      <c r="AE1270" s="16" t="n"/>
    </row>
    <row r="1271">
      <c r="A1271" s="16" t="inlineStr">
        <is>
          <t>KF-M04-0199</t>
        </is>
      </c>
      <c r="B1271" s="16" t="inlineStr">
        <is>
          <t>3.2</t>
        </is>
      </c>
      <c r="C1271" s="16" t="inlineStr">
        <is>
          <t>3.2</t>
        </is>
      </c>
      <c r="D1271" s="16" t="inlineStr">
        <is>
          <t>muestra de 300 puntos</t>
        </is>
      </c>
      <c r="E1271" s="16" t="inlineStr">
        <is>
          <t>KF-M04</t>
        </is>
      </c>
      <c r="F1271" s="16" t="inlineStr">
        <is>
          <t>KF-M04</t>
        </is>
      </c>
      <c r="G1271" s="16" t="inlineStr">
        <is>
          <t>B07</t>
        </is>
      </c>
      <c r="H1271" s="16" t="inlineStr">
        <is>
          <t>lhs</t>
        </is>
      </c>
      <c r="I1271" s="16" t="inlineStr">
        <is>
          <t>CORREGIBLE</t>
        </is>
      </c>
      <c r="J1271" s="16" t="inlineStr">
        <is>
          <t>CORREGIBLE</t>
        </is>
      </c>
      <c r="K1271" s="16" t="b">
        <v>1</v>
      </c>
      <c r="L1271" s="16" t="b">
        <v>0</v>
      </c>
      <c r="M1271" s="16" t="b">
        <v>0</v>
      </c>
      <c r="N1271" s="16" t="b">
        <v>0</v>
      </c>
      <c r="O1271" s="16" t="n">
        <v>393.4503954805007</v>
      </c>
      <c r="P1271" s="16" t="n">
        <v>302.0317056549281</v>
      </c>
      <c r="Q1271" s="16" t="n">
        <v>2820.631650397426</v>
      </c>
      <c r="R1271" s="16" t="n">
        <v>316.5699196402394</v>
      </c>
      <c r="S1271" s="16" t="n">
        <v>0.5001699597327433</v>
      </c>
      <c r="T1271" s="16" t="n">
        <v>0.9084088618605139</v>
      </c>
      <c r="U1271" s="16" t="n">
        <v>0.7102033785771958</v>
      </c>
      <c r="V1271" s="16" t="n">
        <v>0.655751302004708</v>
      </c>
      <c r="W1271" s="16" t="n">
        <v>0.8958024371258977</v>
      </c>
      <c r="X1271" s="16" t="n">
        <v>0.9371149514815332</v>
      </c>
      <c r="Y1271" s="16" t="n">
        <v>302.0317056549281</v>
      </c>
      <c r="Z1271" s="16" t="n">
        <v>7.85165243124769</v>
      </c>
      <c r="AA1271" s="16" t="n">
        <v>10.81610141037873</v>
      </c>
      <c r="AB1271" s="16" t="n">
        <v>2504.061730757187</v>
      </c>
      <c r="AC1271" s="16" t="n">
        <v>8.90997999305457</v>
      </c>
      <c r="AD1271" s="16" t="inlineStr">
        <is>
          <t>O2</t>
        </is>
      </c>
      <c r="AE1271" s="16" t="n"/>
    </row>
    <row r="1272">
      <c r="A1272" s="16" t="inlineStr">
        <is>
          <t>KF-M04-0200</t>
        </is>
      </c>
      <c r="B1272" s="16" t="inlineStr">
        <is>
          <t>3.2</t>
        </is>
      </c>
      <c r="C1272" s="16" t="inlineStr">
        <is>
          <t>3.2</t>
        </is>
      </c>
      <c r="D1272" s="16" t="inlineStr">
        <is>
          <t>muestra de 300 puntos</t>
        </is>
      </c>
      <c r="E1272" s="16" t="inlineStr">
        <is>
          <t>KF-M04</t>
        </is>
      </c>
      <c r="F1272" s="16" t="inlineStr">
        <is>
          <t>KF-M04</t>
        </is>
      </c>
      <c r="G1272" s="16" t="inlineStr">
        <is>
          <t>B07</t>
        </is>
      </c>
      <c r="H1272" s="16" t="inlineStr">
        <is>
          <t>lhs</t>
        </is>
      </c>
      <c r="I1272" s="16" t="inlineStr">
        <is>
          <t>CORREGIBLE</t>
        </is>
      </c>
      <c r="J1272" s="16" t="inlineStr">
        <is>
          <t>CORREGIBLE</t>
        </is>
      </c>
      <c r="K1272" s="16" t="b">
        <v>1</v>
      </c>
      <c r="L1272" s="16" t="b">
        <v>0</v>
      </c>
      <c r="M1272" s="16" t="b">
        <v>1</v>
      </c>
      <c r="N1272" s="16" t="b">
        <v>0</v>
      </c>
      <c r="O1272" s="16" t="n">
        <v>439.5042239550834</v>
      </c>
      <c r="P1272" s="16" t="n">
        <v>294.086816810136</v>
      </c>
      <c r="Q1272" s="16" t="n">
        <v>4820.222261672555</v>
      </c>
      <c r="R1272" s="16" t="n">
        <v>623.1255034237613</v>
      </c>
      <c r="S1272" s="16" t="n">
        <v>0.6943568209957687</v>
      </c>
      <c r="T1272" s="16" t="n">
        <v>0.7535185141251821</v>
      </c>
      <c r="U1272" s="16" t="n">
        <v>0.6610549507418519</v>
      </c>
      <c r="V1272" s="16" t="n">
        <v>0.8859661841004076</v>
      </c>
      <c r="W1272" s="16" t="n">
        <v>0.8541587719293575</v>
      </c>
      <c r="X1272" s="16" t="n">
        <v>0.784663655477462</v>
      </c>
      <c r="Y1272" s="16" t="n">
        <v>294.086816810136</v>
      </c>
      <c r="Z1272" s="16" t="n">
        <v>13.08306120022021</v>
      </c>
      <c r="AA1272" s="16" t="n">
        <v>113.9524015563204</v>
      </c>
      <c r="AB1272" s="16" t="n">
        <v>4197.096758248794</v>
      </c>
      <c r="AC1272" s="16" t="n">
        <v>7.735556056023799</v>
      </c>
      <c r="AD1272" s="16" t="inlineStr">
        <is>
          <t>O2</t>
        </is>
      </c>
      <c r="AE1272" s="16" t="n"/>
    </row>
    <row r="1273">
      <c r="A1273" s="16" t="inlineStr">
        <is>
          <t>KF-M04-0201</t>
        </is>
      </c>
      <c r="B1273" s="16" t="inlineStr">
        <is>
          <t>3.2</t>
        </is>
      </c>
      <c r="C1273" s="16" t="inlineStr">
        <is>
          <t>3.2</t>
        </is>
      </c>
      <c r="D1273" s="16" t="inlineStr">
        <is>
          <t>muestra de 300 puntos</t>
        </is>
      </c>
      <c r="E1273" s="16" t="inlineStr">
        <is>
          <t>KF-M04</t>
        </is>
      </c>
      <c r="F1273" s="16" t="inlineStr">
        <is>
          <t>KF-M04</t>
        </is>
      </c>
      <c r="G1273" s="16" t="inlineStr">
        <is>
          <t>B07</t>
        </is>
      </c>
      <c r="H1273" s="16" t="inlineStr">
        <is>
          <t>lhs</t>
        </is>
      </c>
      <c r="I1273" s="16" t="inlineStr">
        <is>
          <t>CORREGIBLE</t>
        </is>
      </c>
      <c r="J1273" s="16" t="inlineStr">
        <is>
          <t>CORREGIBLE</t>
        </is>
      </c>
      <c r="K1273" s="16" t="b">
        <v>1</v>
      </c>
      <c r="L1273" s="16" t="b">
        <v>0</v>
      </c>
      <c r="M1273" s="16" t="b">
        <v>1</v>
      </c>
      <c r="N1273" s="16" t="b">
        <v>0</v>
      </c>
      <c r="O1273" s="16" t="n">
        <v>473.4484357661759</v>
      </c>
      <c r="P1273" s="16" t="n">
        <v>301.7391624751343</v>
      </c>
      <c r="Q1273" s="16" t="n">
        <v>2193.423828897708</v>
      </c>
      <c r="R1273" s="16" t="n">
        <v>1471.103642271848</v>
      </c>
      <c r="S1273" s="16" t="n">
        <v>0.60731630181959</v>
      </c>
      <c r="T1273" s="16" t="n">
        <v>0.9061544433733868</v>
      </c>
      <c r="U1273" s="16" t="n">
        <v>0.6929776372082789</v>
      </c>
      <c r="V1273" s="16" t="n">
        <v>0.6292480417856007</v>
      </c>
      <c r="W1273" s="16" t="n">
        <v>0.7283535559790725</v>
      </c>
      <c r="X1273" s="16" t="n">
        <v>0.8206926840407225</v>
      </c>
      <c r="Y1273" s="16" t="n">
        <v>301.7391624751343</v>
      </c>
      <c r="Z1273" s="16" t="n">
        <v>3.49732551602897</v>
      </c>
      <c r="AA1273" s="16" t="n">
        <v>41.70037124287638</v>
      </c>
      <c r="AB1273" s="16" t="n">
        <v>722.3201866258598</v>
      </c>
      <c r="AC1273" s="16" t="n">
        <v>1.491005640846874</v>
      </c>
      <c r="AD1273" s="16" t="inlineStr">
        <is>
          <t>O2</t>
        </is>
      </c>
      <c r="AE1273" s="16" t="n"/>
    </row>
    <row r="1274">
      <c r="A1274" s="16" t="inlineStr">
        <is>
          <t>KF-M04-0202</t>
        </is>
      </c>
      <c r="B1274" s="16" t="inlineStr">
        <is>
          <t>3.2</t>
        </is>
      </c>
      <c r="C1274" s="16" t="inlineStr">
        <is>
          <t>3.2</t>
        </is>
      </c>
      <c r="D1274" s="16" t="inlineStr">
        <is>
          <t>muestra de 300 puntos</t>
        </is>
      </c>
      <c r="E1274" s="16" t="inlineStr">
        <is>
          <t>KF-M04</t>
        </is>
      </c>
      <c r="F1274" s="16" t="inlineStr">
        <is>
          <t>KF-M04</t>
        </is>
      </c>
      <c r="G1274" s="16" t="inlineStr">
        <is>
          <t>B07</t>
        </is>
      </c>
      <c r="H1274" s="16" t="inlineStr">
        <is>
          <t>lhs</t>
        </is>
      </c>
      <c r="I1274" s="16" t="inlineStr">
        <is>
          <t>KALINA</t>
        </is>
      </c>
      <c r="J1274" s="16" t="inlineStr">
        <is>
          <t>KALINA</t>
        </is>
      </c>
      <c r="K1274" s="16" t="b">
        <v>1</v>
      </c>
      <c r="L1274" s="16" t="b">
        <v>1</v>
      </c>
      <c r="M1274" s="16" t="b">
        <v>0</v>
      </c>
      <c r="N1274" s="16" t="b">
        <v>0</v>
      </c>
      <c r="O1274" s="16" t="n">
        <v>422.7578551462301</v>
      </c>
      <c r="P1274" s="16" t="n">
        <v>288.6618085347304</v>
      </c>
      <c r="Q1274" s="16" t="n">
        <v>3353.234677575101</v>
      </c>
      <c r="R1274" s="16" t="n">
        <v>1224.949697174275</v>
      </c>
      <c r="S1274" s="16" t="n">
        <v>0.6865264640765416</v>
      </c>
      <c r="T1274" s="16" t="n">
        <v>0.8391668260972823</v>
      </c>
      <c r="U1274" s="16" t="n">
        <v>0.6996624236419539</v>
      </c>
      <c r="V1274" s="16" t="n">
        <v>0.7360799594511644</v>
      </c>
      <c r="W1274" s="16" t="n">
        <v>0.6667235405241168</v>
      </c>
      <c r="X1274" s="16" t="n">
        <v>0.835747274844457</v>
      </c>
      <c r="Y1274" s="16" t="n">
        <v>288.6618085347304</v>
      </c>
      <c r="Z1274" s="16" t="n">
        <v>7.83675424988524</v>
      </c>
      <c r="AA1274" s="16" t="n">
        <v>61.20222255922064</v>
      </c>
      <c r="AB1274" s="16" t="n">
        <v>2128.284980400826</v>
      </c>
      <c r="AC1274" s="16" t="n">
        <v>2.737446839907282</v>
      </c>
      <c r="AD1274" s="16" t="n"/>
      <c r="AE1274" s="16" t="n"/>
    </row>
    <row r="1275">
      <c r="A1275" s="16" t="inlineStr">
        <is>
          <t>KF-M04-0203</t>
        </is>
      </c>
      <c r="B1275" s="16" t="inlineStr">
        <is>
          <t>3.2</t>
        </is>
      </c>
      <c r="C1275" s="16" t="inlineStr">
        <is>
          <t>3.2</t>
        </is>
      </c>
      <c r="D1275" s="16" t="inlineStr">
        <is>
          <t>muestra de 300 puntos</t>
        </is>
      </c>
      <c r="E1275" s="16" t="inlineStr">
        <is>
          <t>KF-M04</t>
        </is>
      </c>
      <c r="F1275" s="16" t="inlineStr">
        <is>
          <t>KF-M04</t>
        </is>
      </c>
      <c r="G1275" s="16" t="inlineStr">
        <is>
          <t>B07</t>
        </is>
      </c>
      <c r="H1275" s="16" t="inlineStr">
        <is>
          <t>lhs</t>
        </is>
      </c>
      <c r="I1275" s="16" t="inlineStr">
        <is>
          <t>KALINA</t>
        </is>
      </c>
      <c r="J1275" s="16" t="inlineStr">
        <is>
          <t>KALINA</t>
        </is>
      </c>
      <c r="K1275" s="16" t="b">
        <v>1</v>
      </c>
      <c r="L1275" s="16" t="b">
        <v>1</v>
      </c>
      <c r="M1275" s="16" t="b">
        <v>0</v>
      </c>
      <c r="N1275" s="16" t="b">
        <v>0</v>
      </c>
      <c r="O1275" s="16" t="n">
        <v>408.174606797052</v>
      </c>
      <c r="P1275" s="16" t="n">
        <v>297.3408225551868</v>
      </c>
      <c r="Q1275" s="16" t="n">
        <v>3635.642214756188</v>
      </c>
      <c r="R1275" s="16" t="n">
        <v>1074.270243330533</v>
      </c>
      <c r="S1275" s="16" t="n">
        <v>0.5291902057261471</v>
      </c>
      <c r="T1275" s="16" t="n">
        <v>0.7759751214921864</v>
      </c>
      <c r="U1275" s="16" t="n">
        <v>0.6754673482465678</v>
      </c>
      <c r="V1275" s="16" t="n">
        <v>0.8744054342197194</v>
      </c>
      <c r="W1275" s="16" t="n">
        <v>0.7108346540485385</v>
      </c>
      <c r="X1275" s="16" t="n">
        <v>0.8306930548486962</v>
      </c>
      <c r="Y1275" s="16" t="n">
        <v>297.3408225551868</v>
      </c>
      <c r="Z1275" s="16" t="n">
        <v>5.05044829595635</v>
      </c>
      <c r="AA1275" s="16" t="n">
        <v>17.51734801870592</v>
      </c>
      <c r="AB1275" s="16" t="n">
        <v>2561.371971425655</v>
      </c>
      <c r="AC1275" s="16" t="n">
        <v>3.384290160997756</v>
      </c>
      <c r="AD1275" s="16" t="n"/>
      <c r="AE1275" s="16" t="n"/>
    </row>
    <row r="1276">
      <c r="A1276" s="16" t="inlineStr">
        <is>
          <t>KF-M04-0204</t>
        </is>
      </c>
      <c r="B1276" s="16" t="inlineStr">
        <is>
          <t>3.2</t>
        </is>
      </c>
      <c r="C1276" s="16" t="inlineStr">
        <is>
          <t>3.2</t>
        </is>
      </c>
      <c r="D1276" s="16" t="inlineStr">
        <is>
          <t>muestra de 300 puntos</t>
        </is>
      </c>
      <c r="E1276" s="16" t="inlineStr">
        <is>
          <t>KF-M04</t>
        </is>
      </c>
      <c r="F1276" s="16" t="inlineStr">
        <is>
          <t>KF-M04</t>
        </is>
      </c>
      <c r="G1276" s="16" t="inlineStr">
        <is>
          <t>B07</t>
        </is>
      </c>
      <c r="H1276" s="16" t="inlineStr">
        <is>
          <t>lhs</t>
        </is>
      </c>
      <c r="I1276" s="16" t="inlineStr">
        <is>
          <t>KALINA</t>
        </is>
      </c>
      <c r="J1276" s="16" t="inlineStr">
        <is>
          <t>KALINA</t>
        </is>
      </c>
      <c r="K1276" s="16" t="b">
        <v>1</v>
      </c>
      <c r="L1276" s="16" t="b">
        <v>1</v>
      </c>
      <c r="M1276" s="16" t="b">
        <v>0</v>
      </c>
      <c r="N1276" s="16" t="b">
        <v>0</v>
      </c>
      <c r="O1276" s="16" t="n">
        <v>382.9418487755841</v>
      </c>
      <c r="P1276" s="16" t="n">
        <v>302.2119236079336</v>
      </c>
      <c r="Q1276" s="16" t="n">
        <v>3985.967692756678</v>
      </c>
      <c r="R1276" s="16" t="n">
        <v>946.0883331862606</v>
      </c>
      <c r="S1276" s="16" t="n">
        <v>0.6782973325729982</v>
      </c>
      <c r="T1276" s="16" t="n">
        <v>0.8707571482464626</v>
      </c>
      <c r="U1276" s="16" t="n">
        <v>0.783907868381971</v>
      </c>
      <c r="V1276" s="16" t="n">
        <v>0.9042096691906758</v>
      </c>
      <c r="W1276" s="16" t="n">
        <v>0.6737159344228367</v>
      </c>
      <c r="X1276" s="16" t="n">
        <v>0.8714601439843408</v>
      </c>
      <c r="Y1276" s="16" t="n">
        <v>302.2119236079336</v>
      </c>
      <c r="Z1276" s="16" t="n">
        <v>6.96076622317592</v>
      </c>
      <c r="AA1276" s="16" t="n">
        <v>20.52900965518425</v>
      </c>
      <c r="AB1276" s="16" t="n">
        <v>3039.879359570417</v>
      </c>
      <c r="AC1276" s="16" t="n">
        <v>4.213103103525897</v>
      </c>
      <c r="AD1276" s="16" t="n"/>
      <c r="AE1276" s="16" t="n"/>
    </row>
    <row r="1277">
      <c r="A1277" s="16" t="inlineStr">
        <is>
          <t>KF-M04-0205</t>
        </is>
      </c>
      <c r="B1277" s="16" t="inlineStr">
        <is>
          <t>3.2</t>
        </is>
      </c>
      <c r="C1277" s="16" t="inlineStr">
        <is>
          <t>3.2</t>
        </is>
      </c>
      <c r="D1277" s="16" t="inlineStr">
        <is>
          <t>muestra de 300 puntos</t>
        </is>
      </c>
      <c r="E1277" s="16" t="inlineStr">
        <is>
          <t>KF-M04</t>
        </is>
      </c>
      <c r="F1277" s="16" t="inlineStr">
        <is>
          <t>KF-M04</t>
        </is>
      </c>
      <c r="G1277" s="16" t="inlineStr">
        <is>
          <t>B07</t>
        </is>
      </c>
      <c r="H1277" s="16" t="inlineStr">
        <is>
          <t>lhs</t>
        </is>
      </c>
      <c r="I1277" s="16" t="inlineStr">
        <is>
          <t>CORREGIBLE</t>
        </is>
      </c>
      <c r="J1277" s="16" t="inlineStr">
        <is>
          <t>CORREGIBLE</t>
        </is>
      </c>
      <c r="K1277" s="16" t="b">
        <v>1</v>
      </c>
      <c r="L1277" s="16" t="b">
        <v>0</v>
      </c>
      <c r="M1277" s="16" t="b">
        <v>0</v>
      </c>
      <c r="N1277" s="16" t="b">
        <v>0</v>
      </c>
      <c r="O1277" s="16" t="n">
        <v>400.7042994950773</v>
      </c>
      <c r="P1277" s="16" t="n">
        <v>299.931490105399</v>
      </c>
      <c r="Q1277" s="16" t="n">
        <v>2382.939897944534</v>
      </c>
      <c r="R1277" s="16" t="n">
        <v>871.9106059632719</v>
      </c>
      <c r="S1277" s="16" t="n">
        <v>0.8448058105037345</v>
      </c>
      <c r="T1277" s="16" t="n">
        <v>0.7791814720929134</v>
      </c>
      <c r="U1277" s="16" t="n">
        <v>0.8003805400749218</v>
      </c>
      <c r="V1277" s="16" t="n">
        <v>0.9377509277093106</v>
      </c>
      <c r="W1277" s="16" t="n">
        <v>0.7686142985347855</v>
      </c>
      <c r="X1277" s="16" t="n">
        <v>0.7740817682089601</v>
      </c>
      <c r="Y1277" s="16" t="n">
        <v>299.931490105399</v>
      </c>
      <c r="Z1277" s="16" t="n">
        <v>6.74337615004922</v>
      </c>
      <c r="AA1277" s="16" t="n">
        <v>60.73079824510297</v>
      </c>
      <c r="AB1277" s="16" t="n">
        <v>1511.029291981262</v>
      </c>
      <c r="AC1277" s="16" t="n">
        <v>2.733009418221152</v>
      </c>
      <c r="AD1277" s="16" t="inlineStr">
        <is>
          <t>O2</t>
        </is>
      </c>
      <c r="AE1277" s="16" t="n"/>
    </row>
    <row r="1278">
      <c r="A1278" s="16" t="inlineStr">
        <is>
          <t>KF-M04-0206</t>
        </is>
      </c>
      <c r="B1278" s="16" t="inlineStr">
        <is>
          <t>3.2</t>
        </is>
      </c>
      <c r="C1278" s="16" t="inlineStr">
        <is>
          <t>3.2</t>
        </is>
      </c>
      <c r="D1278" s="16" t="inlineStr">
        <is>
          <t>muestra de 300 puntos</t>
        </is>
      </c>
      <c r="E1278" s="16" t="inlineStr">
        <is>
          <t>KF-M04</t>
        </is>
      </c>
      <c r="F1278" s="16" t="inlineStr">
        <is>
          <t>KF-M04</t>
        </is>
      </c>
      <c r="G1278" s="16" t="inlineStr">
        <is>
          <t>B07</t>
        </is>
      </c>
      <c r="H1278" s="16" t="inlineStr">
        <is>
          <t>lhs</t>
        </is>
      </c>
      <c r="I1278" s="16" t="inlineStr">
        <is>
          <t>CORREGIBLE</t>
        </is>
      </c>
      <c r="J1278" s="16" t="inlineStr">
        <is>
          <t>CORREGIBLE</t>
        </is>
      </c>
      <c r="K1278" s="16" t="b">
        <v>1</v>
      </c>
      <c r="L1278" s="16" t="b">
        <v>0</v>
      </c>
      <c r="M1278" s="16" t="b">
        <v>1</v>
      </c>
      <c r="N1278" s="16" t="b">
        <v>0</v>
      </c>
      <c r="O1278" s="16" t="n">
        <v>461.0543074917402</v>
      </c>
      <c r="P1278" s="16" t="n">
        <v>302.9390923862632</v>
      </c>
      <c r="Q1278" s="16" t="n">
        <v>3782.882413356787</v>
      </c>
      <c r="R1278" s="16" t="n">
        <v>1420.202265011503</v>
      </c>
      <c r="S1278" s="16" t="n">
        <v>0.5881416408442415</v>
      </c>
      <c r="T1278" s="16" t="n">
        <v>0.8048204890627807</v>
      </c>
      <c r="U1278" s="16" t="n">
        <v>0.6584524538778829</v>
      </c>
      <c r="V1278" s="16" t="n">
        <v>0.8896482121796433</v>
      </c>
      <c r="W1278" s="16" t="n">
        <v>0.683069477071324</v>
      </c>
      <c r="X1278" s="16" t="n">
        <v>0.7370878264061369</v>
      </c>
      <c r="Y1278" s="16" t="n">
        <v>302.9390923862632</v>
      </c>
      <c r="Z1278" s="16" t="n">
        <v>6.693286484719691</v>
      </c>
      <c r="AA1278" s="16" t="n">
        <v>76.42048380259394</v>
      </c>
      <c r="AB1278" s="16" t="n">
        <v>2362.680148345284</v>
      </c>
      <c r="AC1278" s="16" t="n">
        <v>2.663622292790913</v>
      </c>
      <c r="AD1278" s="16" t="inlineStr">
        <is>
          <t>O2</t>
        </is>
      </c>
      <c r="AE1278" s="16" t="n"/>
    </row>
    <row r="1279">
      <c r="A1279" s="16" t="inlineStr">
        <is>
          <t>KF-M04-0207</t>
        </is>
      </c>
      <c r="B1279" s="16" t="inlineStr">
        <is>
          <t>3.2</t>
        </is>
      </c>
      <c r="C1279" s="16" t="inlineStr">
        <is>
          <t>3.2</t>
        </is>
      </c>
      <c r="D1279" s="16" t="inlineStr">
        <is>
          <t>muestra de 300 puntos</t>
        </is>
      </c>
      <c r="E1279" s="16" t="inlineStr">
        <is>
          <t>KF-M04</t>
        </is>
      </c>
      <c r="F1279" s="16" t="inlineStr">
        <is>
          <t>KF-M04</t>
        </is>
      </c>
      <c r="G1279" s="16" t="inlineStr">
        <is>
          <t>B07</t>
        </is>
      </c>
      <c r="H1279" s="16" t="inlineStr">
        <is>
          <t>lhs</t>
        </is>
      </c>
      <c r="I1279" s="16" t="inlineStr">
        <is>
          <t>CORREGIBLE</t>
        </is>
      </c>
      <c r="J1279" s="16" t="inlineStr">
        <is>
          <t>CORREGIBLE</t>
        </is>
      </c>
      <c r="K1279" s="16" t="b">
        <v>1</v>
      </c>
      <c r="L1279" s="16" t="b">
        <v>0</v>
      </c>
      <c r="M1279" s="16" t="b">
        <v>0</v>
      </c>
      <c r="N1279" s="16" t="b">
        <v>0</v>
      </c>
      <c r="O1279" s="16" t="n">
        <v>455.2903502285416</v>
      </c>
      <c r="P1279" s="16" t="n">
        <v>300.5516382813408</v>
      </c>
      <c r="Q1279" s="16" t="n">
        <v>2770.735908631396</v>
      </c>
      <c r="R1279" s="16" t="n">
        <v>769.4176007130936</v>
      </c>
      <c r="S1279" s="16" t="n">
        <v>0.8175088415048826</v>
      </c>
      <c r="T1279" s="16" t="n">
        <v>0.7519120189530022</v>
      </c>
      <c r="U1279" s="16" t="n">
        <v>0.6908190255815203</v>
      </c>
      <c r="V1279" s="16" t="n">
        <v>0.6202938105155327</v>
      </c>
      <c r="W1279" s="16" t="n">
        <v>0.6362883105119793</v>
      </c>
      <c r="X1279" s="16" t="n">
        <v>0.832930543873669</v>
      </c>
      <c r="Y1279" s="16" t="n">
        <v>300.5516382813408</v>
      </c>
      <c r="Z1279" s="16" t="n">
        <v>4.02524727608311</v>
      </c>
      <c r="AA1279" s="16" t="n">
        <v>30.1717388767166</v>
      </c>
      <c r="AB1279" s="16" t="n">
        <v>2001.318307918303</v>
      </c>
      <c r="AC1279" s="16" t="n">
        <v>3.60108204707494</v>
      </c>
      <c r="AD1279" s="16" t="inlineStr">
        <is>
          <t>O2</t>
        </is>
      </c>
      <c r="AE1279" s="16" t="n"/>
    </row>
    <row r="1280">
      <c r="A1280" s="16" t="inlineStr">
        <is>
          <t>KF-M04-0208</t>
        </is>
      </c>
      <c r="B1280" s="16" t="inlineStr">
        <is>
          <t>3.2</t>
        </is>
      </c>
      <c r="C1280" s="16" t="inlineStr">
        <is>
          <t>3.2</t>
        </is>
      </c>
      <c r="D1280" s="16" t="inlineStr">
        <is>
          <t>muestra de 300 puntos</t>
        </is>
      </c>
      <c r="E1280" s="16" t="inlineStr">
        <is>
          <t>KF-M04</t>
        </is>
      </c>
      <c r="F1280" s="16" t="inlineStr">
        <is>
          <t>KF-M04</t>
        </is>
      </c>
      <c r="G1280" s="16" t="inlineStr">
        <is>
          <t>B07</t>
        </is>
      </c>
      <c r="H1280" s="16" t="inlineStr">
        <is>
          <t>lhs</t>
        </is>
      </c>
      <c r="I1280" s="16" t="inlineStr">
        <is>
          <t>KALINA</t>
        </is>
      </c>
      <c r="J1280" s="16" t="inlineStr">
        <is>
          <t>KALINA</t>
        </is>
      </c>
      <c r="K1280" s="16" t="b">
        <v>1</v>
      </c>
      <c r="L1280" s="16" t="b">
        <v>0</v>
      </c>
      <c r="M1280" s="16" t="b">
        <v>1</v>
      </c>
      <c r="N1280" s="16" t="b">
        <v>0</v>
      </c>
      <c r="O1280" s="16" t="n">
        <v>496.2069566665908</v>
      </c>
      <c r="P1280" s="16" t="n">
        <v>288.7374623183422</v>
      </c>
      <c r="Q1280" s="16" t="n">
        <v>2230.392431952534</v>
      </c>
      <c r="R1280" s="16" t="n">
        <v>1325.645944743025</v>
      </c>
      <c r="S1280" s="16" t="n">
        <v>0.7194463601758352</v>
      </c>
      <c r="T1280" s="16" t="n">
        <v>0.7507729107346055</v>
      </c>
      <c r="U1280" s="16" t="n">
        <v>0.842832201214275</v>
      </c>
      <c r="V1280" s="16" t="n">
        <v>0.7463277732681615</v>
      </c>
      <c r="W1280" s="16" t="n">
        <v>0.9062083913666494</v>
      </c>
      <c r="X1280" s="16" t="n">
        <v>0.9054459507904484</v>
      </c>
      <c r="Y1280" s="16" t="n">
        <v>288.7374623183422</v>
      </c>
      <c r="Z1280" s="16" t="n">
        <v>3.9249967314538</v>
      </c>
      <c r="AA1280" s="16" t="n">
        <v>57.60923350573785</v>
      </c>
      <c r="AB1280" s="16" t="n">
        <v>904.7464872095092</v>
      </c>
      <c r="AC1280" s="16" t="n">
        <v>1.682494817562237</v>
      </c>
      <c r="AD1280" s="16" t="n"/>
      <c r="AE1280" s="16" t="n"/>
    </row>
    <row r="1281">
      <c r="A1281" s="16" t="inlineStr">
        <is>
          <t>KF-M04-0209</t>
        </is>
      </c>
      <c r="B1281" s="16" t="inlineStr">
        <is>
          <t>3.2</t>
        </is>
      </c>
      <c r="C1281" s="16" t="inlineStr">
        <is>
          <t>3.2</t>
        </is>
      </c>
      <c r="D1281" s="16" t="inlineStr">
        <is>
          <t>muestra de 300 puntos</t>
        </is>
      </c>
      <c r="E1281" s="16" t="inlineStr">
        <is>
          <t>KF-M04</t>
        </is>
      </c>
      <c r="F1281" s="16" t="inlineStr">
        <is>
          <t>KF-M04</t>
        </is>
      </c>
      <c r="G1281" s="16" t="inlineStr">
        <is>
          <t>B07</t>
        </is>
      </c>
      <c r="H1281" s="16" t="inlineStr">
        <is>
          <t>lhs</t>
        </is>
      </c>
      <c r="I1281" s="16" t="inlineStr">
        <is>
          <t>CORREGIBLE</t>
        </is>
      </c>
      <c r="J1281" s="16" t="inlineStr">
        <is>
          <t>CORREGIBLE</t>
        </is>
      </c>
      <c r="K1281" s="16" t="b">
        <v>1</v>
      </c>
      <c r="L1281" s="16" t="b">
        <v>0</v>
      </c>
      <c r="M1281" s="16" t="b">
        <v>1</v>
      </c>
      <c r="N1281" s="16" t="b">
        <v>0</v>
      </c>
      <c r="O1281" s="16" t="n">
        <v>470.6945599389476</v>
      </c>
      <c r="P1281" s="16" t="n">
        <v>289.9217265400521</v>
      </c>
      <c r="Q1281" s="16" t="n">
        <v>4034.509920217565</v>
      </c>
      <c r="R1281" s="16" t="n">
        <v>480.6284827487954</v>
      </c>
      <c r="S1281" s="16" t="n">
        <v>0.6045220716905071</v>
      </c>
      <c r="T1281" s="16" t="n">
        <v>0.8143443193014166</v>
      </c>
      <c r="U1281" s="16" t="n">
        <v>0.7365309972911713</v>
      </c>
      <c r="V1281" s="16" t="n">
        <v>0.7072684573708065</v>
      </c>
      <c r="W1281" s="16" t="n">
        <v>0.8748322934158003</v>
      </c>
      <c r="X1281" s="16" t="n">
        <v>0.7446018631620137</v>
      </c>
      <c r="Y1281" s="16" t="n">
        <v>289.9217265400521</v>
      </c>
      <c r="Z1281" s="16" t="n">
        <v>13.75534196611389</v>
      </c>
      <c r="AA1281" s="16" t="n">
        <v>153.1640659280303</v>
      </c>
      <c r="AB1281" s="16" t="n">
        <v>3553.88143746877</v>
      </c>
      <c r="AC1281" s="16" t="n">
        <v>8.394238096634478</v>
      </c>
      <c r="AD1281" s="16" t="inlineStr">
        <is>
          <t>O2</t>
        </is>
      </c>
      <c r="AE1281" s="16" t="n"/>
    </row>
    <row r="1282">
      <c r="A1282" s="16" t="inlineStr">
        <is>
          <t>KF-M04-0210</t>
        </is>
      </c>
      <c r="B1282" s="16" t="inlineStr">
        <is>
          <t>3.2</t>
        </is>
      </c>
      <c r="C1282" s="16" t="inlineStr">
        <is>
          <t>3.2</t>
        </is>
      </c>
      <c r="D1282" s="16" t="inlineStr">
        <is>
          <t>muestra de 300 puntos</t>
        </is>
      </c>
      <c r="E1282" s="16" t="inlineStr">
        <is>
          <t>KF-M04</t>
        </is>
      </c>
      <c r="F1282" s="16" t="inlineStr">
        <is>
          <t>KF-M04</t>
        </is>
      </c>
      <c r="G1282" s="16" t="inlineStr">
        <is>
          <t>B07</t>
        </is>
      </c>
      <c r="H1282" s="16" t="inlineStr">
        <is>
          <t>lhs</t>
        </is>
      </c>
      <c r="I1282" s="16" t="inlineStr">
        <is>
          <t>CORREGIBLE</t>
        </is>
      </c>
      <c r="J1282" s="16" t="inlineStr">
        <is>
          <t>CORREGIBLE</t>
        </is>
      </c>
      <c r="K1282" s="16" t="b">
        <v>1</v>
      </c>
      <c r="L1282" s="16" t="b">
        <v>0</v>
      </c>
      <c r="M1282" s="16" t="b">
        <v>0</v>
      </c>
      <c r="N1282" s="16" t="b">
        <v>0</v>
      </c>
      <c r="O1282" s="16" t="n">
        <v>459.839142502911</v>
      </c>
      <c r="P1282" s="16" t="n">
        <v>294.411635309309</v>
      </c>
      <c r="Q1282" s="16" t="n">
        <v>4447.309146437858</v>
      </c>
      <c r="R1282" s="16" t="n">
        <v>1329.363788874343</v>
      </c>
      <c r="S1282" s="16" t="n">
        <v>0.804278646425389</v>
      </c>
      <c r="T1282" s="16" t="n">
        <v>0.834560350933427</v>
      </c>
      <c r="U1282" s="16" t="n">
        <v>0.8857865001622272</v>
      </c>
      <c r="V1282" s="16" t="n">
        <v>0.637384424739867</v>
      </c>
      <c r="W1282" s="16" t="n">
        <v>0.7345972895617131</v>
      </c>
      <c r="X1282" s="16" t="n">
        <v>0.814301906522221</v>
      </c>
      <c r="Y1282" s="16" t="n">
        <v>294.411635309309</v>
      </c>
      <c r="Z1282" s="16" t="n">
        <v>10.75188053651</v>
      </c>
      <c r="AA1282" s="16" t="n">
        <v>107.6073586504668</v>
      </c>
      <c r="AB1282" s="16" t="n">
        <v>3117.945357563515</v>
      </c>
      <c r="AC1282" s="16" t="n">
        <v>3.345441769708259</v>
      </c>
      <c r="AD1282" s="16" t="inlineStr">
        <is>
          <t>O2</t>
        </is>
      </c>
      <c r="AE1282" s="16" t="n"/>
    </row>
    <row r="1283">
      <c r="A1283" s="16" t="inlineStr">
        <is>
          <t>KF-M04-0211</t>
        </is>
      </c>
      <c r="B1283" s="16" t="inlineStr">
        <is>
          <t>3.2</t>
        </is>
      </c>
      <c r="C1283" s="16" t="inlineStr">
        <is>
          <t>3.2</t>
        </is>
      </c>
      <c r="D1283" s="16" t="inlineStr">
        <is>
          <t>muestra de 300 puntos</t>
        </is>
      </c>
      <c r="E1283" s="16" t="inlineStr">
        <is>
          <t>KF-M04</t>
        </is>
      </c>
      <c r="F1283" s="16" t="inlineStr">
        <is>
          <t>KF-M04</t>
        </is>
      </c>
      <c r="G1283" s="16" t="inlineStr">
        <is>
          <t>B07</t>
        </is>
      </c>
      <c r="H1283" s="16" t="inlineStr">
        <is>
          <t>lhs</t>
        </is>
      </c>
      <c r="I1283" s="16" t="inlineStr">
        <is>
          <t>KALINA</t>
        </is>
      </c>
      <c r="J1283" s="16" t="inlineStr">
        <is>
          <t>KALINA</t>
        </is>
      </c>
      <c r="K1283" s="16" t="b">
        <v>1</v>
      </c>
      <c r="L1283" s="16" t="b">
        <v>0</v>
      </c>
      <c r="M1283" s="16" t="b">
        <v>1</v>
      </c>
      <c r="N1283" s="16" t="b">
        <v>0</v>
      </c>
      <c r="O1283" s="16" t="n">
        <v>497.0484510720239</v>
      </c>
      <c r="P1283" s="16" t="n">
        <v>289.2035728829594</v>
      </c>
      <c r="Q1283" s="16" t="n">
        <v>2646.096710846009</v>
      </c>
      <c r="R1283" s="16" t="n">
        <v>805.104001391026</v>
      </c>
      <c r="S1283" s="16" t="n">
        <v>0.5071073020521002</v>
      </c>
      <c r="T1283" s="16" t="n">
        <v>0.8822421695672087</v>
      </c>
      <c r="U1283" s="16" t="n">
        <v>0.8719211827181557</v>
      </c>
      <c r="V1283" s="16" t="n">
        <v>0.9031793658602232</v>
      </c>
      <c r="W1283" s="16" t="n">
        <v>0.6997501450195737</v>
      </c>
      <c r="X1283" s="16" t="n">
        <v>0.9468020854951664</v>
      </c>
      <c r="Y1283" s="16" t="n">
        <v>289.2035728829594</v>
      </c>
      <c r="Z1283" s="16" t="n">
        <v>8.44442278943688</v>
      </c>
      <c r="AA1283" s="16" t="n">
        <v>176.6647197123241</v>
      </c>
      <c r="AB1283" s="16" t="n">
        <v>1840.992709454983</v>
      </c>
      <c r="AC1283" s="16" t="n">
        <v>3.286652042809613</v>
      </c>
      <c r="AD1283" s="16" t="n"/>
      <c r="AE1283" s="16" t="n"/>
    </row>
    <row r="1284">
      <c r="A1284" s="16" t="inlineStr">
        <is>
          <t>KF-M04-0212</t>
        </is>
      </c>
      <c r="B1284" s="16" t="inlineStr">
        <is>
          <t>3.2</t>
        </is>
      </c>
      <c r="C1284" s="16" t="inlineStr">
        <is>
          <t>3.2</t>
        </is>
      </c>
      <c r="D1284" s="16" t="inlineStr">
        <is>
          <t>muestra de 300 puntos</t>
        </is>
      </c>
      <c r="E1284" s="16" t="inlineStr">
        <is>
          <t>KF-M04</t>
        </is>
      </c>
      <c r="F1284" s="16" t="inlineStr">
        <is>
          <t>KF-M04</t>
        </is>
      </c>
      <c r="G1284" s="16" t="inlineStr">
        <is>
          <t>B07</t>
        </is>
      </c>
      <c r="H1284" s="16" t="inlineStr">
        <is>
          <t>lhs</t>
        </is>
      </c>
      <c r="I1284" s="16" t="inlineStr">
        <is>
          <t>KALINA</t>
        </is>
      </c>
      <c r="J1284" s="16" t="inlineStr">
        <is>
          <t>KALINA</t>
        </is>
      </c>
      <c r="K1284" s="16" t="b">
        <v>1</v>
      </c>
      <c r="L1284" s="16" t="b">
        <v>1</v>
      </c>
      <c r="M1284" s="16" t="b">
        <v>0</v>
      </c>
      <c r="N1284" s="16" t="b">
        <v>0</v>
      </c>
      <c r="O1284" s="16" t="n">
        <v>402.9784816442986</v>
      </c>
      <c r="P1284" s="16" t="n">
        <v>281.5588484698561</v>
      </c>
      <c r="Q1284" s="16" t="n">
        <v>4312.309607406948</v>
      </c>
      <c r="R1284" s="16" t="n">
        <v>691.7734007340954</v>
      </c>
      <c r="S1284" s="16" t="n">
        <v>0.6502435650004574</v>
      </c>
      <c r="T1284" s="16" t="n">
        <v>0.7954002259791917</v>
      </c>
      <c r="U1284" s="16" t="n">
        <v>0.8868956822729184</v>
      </c>
      <c r="V1284" s="16" t="n">
        <v>0.8592850326086365</v>
      </c>
      <c r="W1284" s="16" t="n">
        <v>0.7877367911467129</v>
      </c>
      <c r="X1284" s="16" t="n">
        <v>0.7986926748874699</v>
      </c>
      <c r="Y1284" s="16" t="n">
        <v>281.5588484698561</v>
      </c>
      <c r="Z1284" s="16" t="n">
        <v>10.64360232447652</v>
      </c>
      <c r="AA1284" s="16" t="n">
        <v>47.00229624969498</v>
      </c>
      <c r="AB1284" s="16" t="n">
        <v>3620.536206672853</v>
      </c>
      <c r="AC1284" s="16" t="n">
        <v>6.233702543102721</v>
      </c>
      <c r="AD1284" s="16" t="n"/>
      <c r="AE1284" s="16" t="n"/>
    </row>
    <row r="1285">
      <c r="A1285" s="16" t="inlineStr">
        <is>
          <t>KF-M04-0213</t>
        </is>
      </c>
      <c r="B1285" s="16" t="inlineStr">
        <is>
          <t>3.2</t>
        </is>
      </c>
      <c r="C1285" s="16" t="inlineStr">
        <is>
          <t>3.2</t>
        </is>
      </c>
      <c r="D1285" s="16" t="inlineStr">
        <is>
          <t>muestra de 300 puntos</t>
        </is>
      </c>
      <c r="E1285" s="16" t="inlineStr">
        <is>
          <t>KF-M04</t>
        </is>
      </c>
      <c r="F1285" s="16" t="inlineStr">
        <is>
          <t>KF-M04</t>
        </is>
      </c>
      <c r="G1285" s="16" t="inlineStr">
        <is>
          <t>B07</t>
        </is>
      </c>
      <c r="H1285" s="16" t="inlineStr">
        <is>
          <t>lhs</t>
        </is>
      </c>
      <c r="I1285" s="16" t="inlineStr">
        <is>
          <t>CORREGIBLE</t>
        </is>
      </c>
      <c r="J1285" s="16" t="inlineStr">
        <is>
          <t>CORREGIBLE</t>
        </is>
      </c>
      <c r="K1285" s="16" t="b">
        <v>1</v>
      </c>
      <c r="L1285" s="16" t="b">
        <v>0</v>
      </c>
      <c r="M1285" s="16" t="b">
        <v>1</v>
      </c>
      <c r="N1285" s="16" t="b">
        <v>0</v>
      </c>
      <c r="O1285" s="16" t="n">
        <v>491.5257696455872</v>
      </c>
      <c r="P1285" s="16" t="n">
        <v>284.3325763143935</v>
      </c>
      <c r="Q1285" s="16" t="n">
        <v>3931.47696388223</v>
      </c>
      <c r="R1285" s="16" t="n">
        <v>899.1182281674681</v>
      </c>
      <c r="S1285" s="16" t="n">
        <v>0.5378264063349809</v>
      </c>
      <c r="T1285" s="16" t="n">
        <v>0.794967536444961</v>
      </c>
      <c r="U1285" s="16" t="n">
        <v>0.7170578806467564</v>
      </c>
      <c r="V1285" s="16" t="n">
        <v>0.7411790388007786</v>
      </c>
      <c r="W1285" s="16" t="n">
        <v>0.8996803087483926</v>
      </c>
      <c r="X1285" s="16" t="n">
        <v>0.8608201471418369</v>
      </c>
      <c r="Y1285" s="16" t="n">
        <v>284.3325763143935</v>
      </c>
      <c r="Z1285" s="16" t="n">
        <v>9.992380647038161</v>
      </c>
      <c r="AA1285" s="16" t="n">
        <v>149.1349331708753</v>
      </c>
      <c r="AB1285" s="16" t="n">
        <v>3032.358735714762</v>
      </c>
      <c r="AC1285" s="16" t="n">
        <v>4.372591769043703</v>
      </c>
      <c r="AD1285" s="16" t="inlineStr">
        <is>
          <t>O2</t>
        </is>
      </c>
      <c r="AE1285" s="16" t="n"/>
    </row>
    <row r="1286">
      <c r="A1286" s="16" t="inlineStr">
        <is>
          <t>KF-M04-0214</t>
        </is>
      </c>
      <c r="B1286" s="16" t="inlineStr">
        <is>
          <t>3.2</t>
        </is>
      </c>
      <c r="C1286" s="16" t="inlineStr">
        <is>
          <t>3.2</t>
        </is>
      </c>
      <c r="D1286" s="16" t="inlineStr">
        <is>
          <t>muestra de 300 puntos</t>
        </is>
      </c>
      <c r="E1286" s="16" t="inlineStr">
        <is>
          <t>KF-M04</t>
        </is>
      </c>
      <c r="F1286" s="16" t="inlineStr">
        <is>
          <t>KF-M04</t>
        </is>
      </c>
      <c r="G1286" s="16" t="inlineStr">
        <is>
          <t>B07</t>
        </is>
      </c>
      <c r="H1286" s="16" t="inlineStr">
        <is>
          <t>lhs</t>
        </is>
      </c>
      <c r="I1286" s="16" t="inlineStr">
        <is>
          <t>CORREGIBLE</t>
        </is>
      </c>
      <c r="J1286" s="16" t="inlineStr">
        <is>
          <t>CORREGIBLE</t>
        </is>
      </c>
      <c r="K1286" s="16" t="b">
        <v>1</v>
      </c>
      <c r="L1286" s="16" t="b">
        <v>0</v>
      </c>
      <c r="M1286" s="16" t="b">
        <v>0</v>
      </c>
      <c r="N1286" s="16" t="b">
        <v>0</v>
      </c>
      <c r="O1286" s="16" t="n">
        <v>401.6872141378365</v>
      </c>
      <c r="P1286" s="16" t="n">
        <v>278.6320755027971</v>
      </c>
      <c r="Q1286" s="16" t="n">
        <v>4722.718648960963</v>
      </c>
      <c r="R1286" s="16" t="n">
        <v>478.1619381209957</v>
      </c>
      <c r="S1286" s="16" t="n">
        <v>0.781266428688306</v>
      </c>
      <c r="T1286" s="16" t="n">
        <v>0.8421334524264773</v>
      </c>
      <c r="U1286" s="16" t="n">
        <v>0.7927317653236096</v>
      </c>
      <c r="V1286" s="16" t="n">
        <v>0.648173865506083</v>
      </c>
      <c r="W1286" s="16" t="n">
        <v>0.6373412685143358</v>
      </c>
      <c r="X1286" s="16" t="n">
        <v>0.9081742450260354</v>
      </c>
      <c r="Y1286" s="16" t="n">
        <v>278.6320755027971</v>
      </c>
      <c r="Z1286" s="16" t="n">
        <v>12.83843022543097</v>
      </c>
      <c r="AA1286" s="16" t="n">
        <v>70.79894284198365</v>
      </c>
      <c r="AB1286" s="16" t="n">
        <v>4244.556710839967</v>
      </c>
      <c r="AC1286" s="16" t="n">
        <v>9.87681844255431</v>
      </c>
      <c r="AD1286" s="16" t="inlineStr">
        <is>
          <t>O2</t>
        </is>
      </c>
      <c r="AE1286" s="16" t="n"/>
    </row>
    <row r="1287">
      <c r="A1287" s="16" t="inlineStr">
        <is>
          <t>KF-M04-0215</t>
        </is>
      </c>
      <c r="B1287" s="16" t="inlineStr">
        <is>
          <t>3.2</t>
        </is>
      </c>
      <c r="C1287" s="16" t="inlineStr">
        <is>
          <t>3.2</t>
        </is>
      </c>
      <c r="D1287" s="16" t="inlineStr">
        <is>
          <t>muestra de 300 puntos</t>
        </is>
      </c>
      <c r="E1287" s="16" t="inlineStr">
        <is>
          <t>KF-M04</t>
        </is>
      </c>
      <c r="F1287" s="16" t="inlineStr">
        <is>
          <t>KF-M04</t>
        </is>
      </c>
      <c r="G1287" s="16" t="inlineStr">
        <is>
          <t>B07</t>
        </is>
      </c>
      <c r="H1287" s="16" t="inlineStr">
        <is>
          <t>lhs</t>
        </is>
      </c>
      <c r="I1287" s="16" t="inlineStr">
        <is>
          <t>KALINA</t>
        </is>
      </c>
      <c r="J1287" s="16" t="inlineStr">
        <is>
          <t>KALINA</t>
        </is>
      </c>
      <c r="K1287" s="16" t="b">
        <v>1</v>
      </c>
      <c r="L1287" s="16" t="b">
        <v>1</v>
      </c>
      <c r="M1287" s="16" t="b">
        <v>0</v>
      </c>
      <c r="N1287" s="16" t="b">
        <v>0</v>
      </c>
      <c r="O1287" s="16" t="n">
        <v>380.5836236353158</v>
      </c>
      <c r="P1287" s="16" t="n">
        <v>288.3845597139331</v>
      </c>
      <c r="Q1287" s="16" t="n">
        <v>3272.744306362581</v>
      </c>
      <c r="R1287" s="16" t="n">
        <v>1274.893547848595</v>
      </c>
      <c r="S1287" s="16" t="n">
        <v>0.66016838268169</v>
      </c>
      <c r="T1287" s="16" t="n">
        <v>0.8524288403642575</v>
      </c>
      <c r="U1287" s="16" t="n">
        <v>0.7913217153686632</v>
      </c>
      <c r="V1287" s="16" t="n">
        <v>0.9299277674787582</v>
      </c>
      <c r="W1287" s="16" t="n">
        <v>0.8577643929814113</v>
      </c>
      <c r="X1287" s="16" t="n">
        <v>0.8124837512348334</v>
      </c>
      <c r="Y1287" s="16" t="n">
        <v>288.3845597139331</v>
      </c>
      <c r="Z1287" s="16" t="n">
        <v>6.52028275881882</v>
      </c>
      <c r="AA1287" s="16" t="n">
        <v>23.31445919007118</v>
      </c>
      <c r="AB1287" s="16" t="n">
        <v>1997.850758513986</v>
      </c>
      <c r="AC1287" s="16" t="n">
        <v>2.567072609227173</v>
      </c>
      <c r="AD1287" s="16" t="n"/>
      <c r="AE1287" s="16" t="n"/>
    </row>
    <row r="1288">
      <c r="A1288" s="16" t="inlineStr">
        <is>
          <t>KF-M04-0216</t>
        </is>
      </c>
      <c r="B1288" s="16" t="inlineStr">
        <is>
          <t>3.2</t>
        </is>
      </c>
      <c r="C1288" s="16" t="inlineStr">
        <is>
          <t>3.2</t>
        </is>
      </c>
      <c r="D1288" s="16" t="inlineStr">
        <is>
          <t>muestra de 300 puntos</t>
        </is>
      </c>
      <c r="E1288" s="16" t="inlineStr">
        <is>
          <t>KF-M04</t>
        </is>
      </c>
      <c r="F1288" s="16" t="inlineStr">
        <is>
          <t>KF-M04</t>
        </is>
      </c>
      <c r="G1288" s="16" t="inlineStr">
        <is>
          <t>B07</t>
        </is>
      </c>
      <c r="H1288" s="16" t="inlineStr">
        <is>
          <t>lhs</t>
        </is>
      </c>
      <c r="I1288" s="16" t="inlineStr">
        <is>
          <t>NO_CONVERGIO</t>
        </is>
      </c>
      <c r="J1288" s="16" t="inlineStr">
        <is>
          <t>NO_CONVERGIO</t>
        </is>
      </c>
      <c r="K1288" s="16" t="b">
        <v>0</v>
      </c>
      <c r="L1288" s="16" t="b">
        <v>0</v>
      </c>
      <c r="M1288" s="16" t="b">
        <v>0</v>
      </c>
      <c r="N1288" s="16" t="b">
        <v>0</v>
      </c>
      <c r="O1288" s="16" t="n">
        <v>495.1208194750652</v>
      </c>
      <c r="P1288" s="16" t="n">
        <v>288.2057806576414</v>
      </c>
      <c r="Q1288" s="16" t="n">
        <v>2171.291892795626</v>
      </c>
      <c r="R1288" s="16" t="n">
        <v>962.640988937726</v>
      </c>
      <c r="S1288" s="16" t="n">
        <v>0.7578994065117776</v>
      </c>
      <c r="T1288" s="16" t="n">
        <v>0.8343944936568066</v>
      </c>
      <c r="U1288" s="16" t="n">
        <v>0.6708112780224913</v>
      </c>
      <c r="V1288" s="16" t="n">
        <v>0.9347719604000364</v>
      </c>
      <c r="W1288" s="16" t="n">
        <v>0.6806903763286118</v>
      </c>
      <c r="X1288" s="16" t="n">
        <v>0.8011883781044833</v>
      </c>
      <c r="Y1288" s="16" t="n">
        <v>288.2057806576414</v>
      </c>
      <c r="Z1288" s="16" t="n"/>
      <c r="AA1288" s="16" t="n"/>
      <c r="AB1288" s="16" t="n">
        <v>1208.6509038579</v>
      </c>
      <c r="AC1288" s="16" t="n">
        <v>2.255557282254983</v>
      </c>
      <c r="AD1288" s="16" t="n"/>
      <c r="AE1288" s="16" t="n"/>
    </row>
    <row r="1289">
      <c r="A1289" s="16" t="inlineStr">
        <is>
          <t>KF-M04-0217</t>
        </is>
      </c>
      <c r="B1289" s="16" t="inlineStr">
        <is>
          <t>3.2</t>
        </is>
      </c>
      <c r="C1289" s="16" t="inlineStr">
        <is>
          <t>3.2</t>
        </is>
      </c>
      <c r="D1289" s="16" t="inlineStr">
        <is>
          <t>muestra de 300 puntos</t>
        </is>
      </c>
      <c r="E1289" s="16" t="inlineStr">
        <is>
          <t>KF-M04</t>
        </is>
      </c>
      <c r="F1289" s="16" t="inlineStr">
        <is>
          <t>KF-M04</t>
        </is>
      </c>
      <c r="G1289" s="16" t="inlineStr">
        <is>
          <t>B07</t>
        </is>
      </c>
      <c r="H1289" s="16" t="inlineStr">
        <is>
          <t>lhs</t>
        </is>
      </c>
      <c r="I1289" s="16" t="inlineStr">
        <is>
          <t>CORREGIBLE</t>
        </is>
      </c>
      <c r="J1289" s="16" t="inlineStr">
        <is>
          <t>CORREGIBLE</t>
        </is>
      </c>
      <c r="K1289" s="16" t="b">
        <v>1</v>
      </c>
      <c r="L1289" s="16" t="b">
        <v>0</v>
      </c>
      <c r="M1289" s="16" t="b">
        <v>1</v>
      </c>
      <c r="N1289" s="16" t="b">
        <v>0</v>
      </c>
      <c r="O1289" s="16" t="n">
        <v>457.5517631775284</v>
      </c>
      <c r="P1289" s="16" t="n">
        <v>292.9378932627461</v>
      </c>
      <c r="Q1289" s="16" t="n">
        <v>2326.18259835533</v>
      </c>
      <c r="R1289" s="16" t="n">
        <v>1084.441098746134</v>
      </c>
      <c r="S1289" s="16" t="n">
        <v>0.6189732462303941</v>
      </c>
      <c r="T1289" s="16" t="n">
        <v>0.8828995668067587</v>
      </c>
      <c r="U1289" s="16" t="n">
        <v>0.8585131845935198</v>
      </c>
      <c r="V1289" s="16" t="n">
        <v>0.8358644777225445</v>
      </c>
      <c r="W1289" s="16" t="n">
        <v>0.7580022080146166</v>
      </c>
      <c r="X1289" s="16" t="n">
        <v>0.900932230584889</v>
      </c>
      <c r="Y1289" s="16" t="n">
        <v>292.9378932627461</v>
      </c>
      <c r="Z1289" s="16" t="n">
        <v>6.2329895292713</v>
      </c>
      <c r="AA1289" s="16" t="n">
        <v>102.9492285373634</v>
      </c>
      <c r="AB1289" s="16" t="n">
        <v>1241.741499609196</v>
      </c>
      <c r="AC1289" s="16" t="n">
        <v>2.145052046667116</v>
      </c>
      <c r="AD1289" s="16" t="inlineStr">
        <is>
          <t>O2</t>
        </is>
      </c>
      <c r="AE1289" s="16" t="n"/>
    </row>
    <row r="1290">
      <c r="A1290" s="16" t="inlineStr">
        <is>
          <t>KF-M04-0218</t>
        </is>
      </c>
      <c r="B1290" s="16" t="inlineStr">
        <is>
          <t>3.2</t>
        </is>
      </c>
      <c r="C1290" s="16" t="inlineStr">
        <is>
          <t>3.2</t>
        </is>
      </c>
      <c r="D1290" s="16" t="inlineStr">
        <is>
          <t>muestra de 300 puntos</t>
        </is>
      </c>
      <c r="E1290" s="16" t="inlineStr">
        <is>
          <t>KF-M04</t>
        </is>
      </c>
      <c r="F1290" s="16" t="inlineStr">
        <is>
          <t>KF-M04</t>
        </is>
      </c>
      <c r="G1290" s="16" t="inlineStr">
        <is>
          <t>B07</t>
        </is>
      </c>
      <c r="H1290" s="16" t="inlineStr">
        <is>
          <t>lhs</t>
        </is>
      </c>
      <c r="I1290" s="16" t="inlineStr">
        <is>
          <t>CORREGIBLE</t>
        </is>
      </c>
      <c r="J1290" s="16" t="inlineStr">
        <is>
          <t>CORREGIBLE</t>
        </is>
      </c>
      <c r="K1290" s="16" t="b">
        <v>1</v>
      </c>
      <c r="L1290" s="16" t="b">
        <v>0</v>
      </c>
      <c r="M1290" s="16" t="b">
        <v>1</v>
      </c>
      <c r="N1290" s="16" t="b">
        <v>0</v>
      </c>
      <c r="O1290" s="16" t="n">
        <v>459.5831019458523</v>
      </c>
      <c r="P1290" s="16" t="n">
        <v>282.8503324878751</v>
      </c>
      <c r="Q1290" s="16" t="n">
        <v>3529.969169407416</v>
      </c>
      <c r="R1290" s="16" t="n">
        <v>1042.197856953135</v>
      </c>
      <c r="S1290" s="16" t="n">
        <v>0.7306259537489972</v>
      </c>
      <c r="T1290" s="16" t="n">
        <v>0.8935093783975711</v>
      </c>
      <c r="U1290" s="16" t="n">
        <v>0.7373680025475405</v>
      </c>
      <c r="V1290" s="16" t="n">
        <v>0.8466365385465714</v>
      </c>
      <c r="W1290" s="16" t="n">
        <v>0.8998813226329381</v>
      </c>
      <c r="X1290" s="16" t="n">
        <v>0.8986512792443005</v>
      </c>
      <c r="Y1290" s="16" t="n">
        <v>282.8503324878751</v>
      </c>
      <c r="Z1290" s="16" t="n">
        <v>10.42134300269481</v>
      </c>
      <c r="AA1290" s="16" t="n">
        <v>161.0895068489887</v>
      </c>
      <c r="AB1290" s="16" t="n">
        <v>2487.771312454281</v>
      </c>
      <c r="AC1290" s="16" t="n">
        <v>3.387043204758911</v>
      </c>
      <c r="AD1290" s="16" t="inlineStr">
        <is>
          <t>O2</t>
        </is>
      </c>
      <c r="AE1290" s="16" t="n"/>
    </row>
    <row r="1291">
      <c r="A1291" s="16" t="inlineStr">
        <is>
          <t>KF-M04-0219</t>
        </is>
      </c>
      <c r="B1291" s="16" t="inlineStr">
        <is>
          <t>3.2</t>
        </is>
      </c>
      <c r="C1291" s="16" t="inlineStr">
        <is>
          <t>3.2</t>
        </is>
      </c>
      <c r="D1291" s="16" t="inlineStr">
        <is>
          <t>muestra de 300 puntos</t>
        </is>
      </c>
      <c r="E1291" s="16" t="inlineStr">
        <is>
          <t>KF-M04</t>
        </is>
      </c>
      <c r="F1291" s="16" t="inlineStr">
        <is>
          <t>KF-M04</t>
        </is>
      </c>
      <c r="G1291" s="16" t="inlineStr">
        <is>
          <t>B07</t>
        </is>
      </c>
      <c r="H1291" s="16" t="inlineStr">
        <is>
          <t>lhs</t>
        </is>
      </c>
      <c r="I1291" s="16" t="inlineStr">
        <is>
          <t>KALINA</t>
        </is>
      </c>
      <c r="J1291" s="16" t="inlineStr">
        <is>
          <t>KALINA</t>
        </is>
      </c>
      <c r="K1291" s="16" t="b">
        <v>1</v>
      </c>
      <c r="L1291" s="16" t="b">
        <v>1</v>
      </c>
      <c r="M1291" s="16" t="b">
        <v>0</v>
      </c>
      <c r="N1291" s="16" t="b">
        <v>0</v>
      </c>
      <c r="O1291" s="16" t="n">
        <v>409.1040301235357</v>
      </c>
      <c r="P1291" s="16" t="n">
        <v>289.6579308240863</v>
      </c>
      <c r="Q1291" s="16" t="n">
        <v>4500.932155762511</v>
      </c>
      <c r="R1291" s="16" t="n">
        <v>715.1984939356119</v>
      </c>
      <c r="S1291" s="16" t="n">
        <v>0.5808609021755982</v>
      </c>
      <c r="T1291" s="16" t="n">
        <v>0.7899917612460322</v>
      </c>
      <c r="U1291" s="16" t="n">
        <v>0.7864782513016755</v>
      </c>
      <c r="V1291" s="16" t="n">
        <v>0.9204580937611156</v>
      </c>
      <c r="W1291" s="16" t="n">
        <v>0.8058380409935235</v>
      </c>
      <c r="X1291" s="16" t="n">
        <v>0.8197252928413351</v>
      </c>
      <c r="Y1291" s="16" t="n">
        <v>289.6579308240863</v>
      </c>
      <c r="Z1291" s="16" t="n">
        <v>8.65028193952395</v>
      </c>
      <c r="AA1291" s="16" t="n">
        <v>28.60277295978016</v>
      </c>
      <c r="AB1291" s="16" t="n">
        <v>3785.733661826899</v>
      </c>
      <c r="AC1291" s="16" t="n">
        <v>6.293262910824478</v>
      </c>
      <c r="AD1291" s="16" t="n"/>
      <c r="AE1291" s="16" t="n"/>
    </row>
    <row r="1292">
      <c r="A1292" s="16" t="inlineStr">
        <is>
          <t>KF-M04-0220</t>
        </is>
      </c>
      <c r="B1292" s="16" t="inlineStr">
        <is>
          <t>3.2</t>
        </is>
      </c>
      <c r="C1292" s="16" t="inlineStr">
        <is>
          <t>3.2</t>
        </is>
      </c>
      <c r="D1292" s="16" t="inlineStr">
        <is>
          <t>muestra de 300 puntos</t>
        </is>
      </c>
      <c r="E1292" s="16" t="inlineStr">
        <is>
          <t>KF-M04</t>
        </is>
      </c>
      <c r="F1292" s="16" t="inlineStr">
        <is>
          <t>KF-M04</t>
        </is>
      </c>
      <c r="G1292" s="16" t="inlineStr">
        <is>
          <t>B07</t>
        </is>
      </c>
      <c r="H1292" s="16" t="inlineStr">
        <is>
          <t>lhs</t>
        </is>
      </c>
      <c r="I1292" s="16" t="inlineStr">
        <is>
          <t>KALINA</t>
        </is>
      </c>
      <c r="J1292" s="16" t="inlineStr">
        <is>
          <t>KALINA</t>
        </is>
      </c>
      <c r="K1292" s="16" t="b">
        <v>1</v>
      </c>
      <c r="L1292" s="16" t="b">
        <v>1</v>
      </c>
      <c r="M1292" s="16" t="b">
        <v>0</v>
      </c>
      <c r="N1292" s="16" t="b">
        <v>0</v>
      </c>
      <c r="O1292" s="16" t="n">
        <v>381.8016973354189</v>
      </c>
      <c r="P1292" s="16" t="n">
        <v>280.2486341040707</v>
      </c>
      <c r="Q1292" s="16" t="n">
        <v>4302.369023730509</v>
      </c>
      <c r="R1292" s="16" t="n">
        <v>1037.558880616701</v>
      </c>
      <c r="S1292" s="16" t="n">
        <v>0.6915338643240198</v>
      </c>
      <c r="T1292" s="16" t="n">
        <v>0.8741881138309744</v>
      </c>
      <c r="U1292" s="16" t="n">
        <v>0.7783911378101156</v>
      </c>
      <c r="V1292" s="16" t="n">
        <v>0.8517355592237592</v>
      </c>
      <c r="W1292" s="16" t="n">
        <v>0.6288251044314848</v>
      </c>
      <c r="X1292" s="16" t="n">
        <v>0.7892406769550392</v>
      </c>
      <c r="Y1292" s="16" t="n">
        <v>280.2486341040707</v>
      </c>
      <c r="Z1292" s="16" t="n">
        <v>2.55786385106957</v>
      </c>
      <c r="AA1292" s="16" t="n">
        <v>6.236364766619232</v>
      </c>
      <c r="AB1292" s="16" t="n">
        <v>3264.810143113808</v>
      </c>
      <c r="AC1292" s="16" t="n">
        <v>4.146626378614079</v>
      </c>
      <c r="AD1292" s="16" t="n"/>
      <c r="AE1292" s="16" t="n"/>
    </row>
    <row r="1293">
      <c r="A1293" s="16" t="inlineStr">
        <is>
          <t>KF-M04-0221</t>
        </is>
      </c>
      <c r="B1293" s="16" t="inlineStr">
        <is>
          <t>3.2</t>
        </is>
      </c>
      <c r="C1293" s="16" t="inlineStr">
        <is>
          <t>3.2</t>
        </is>
      </c>
      <c r="D1293" s="16" t="inlineStr">
        <is>
          <t>muestra de 300 puntos</t>
        </is>
      </c>
      <c r="E1293" s="16" t="inlineStr">
        <is>
          <t>KF-M04</t>
        </is>
      </c>
      <c r="F1293" s="16" t="inlineStr">
        <is>
          <t>KF-M04</t>
        </is>
      </c>
      <c r="G1293" s="16" t="inlineStr">
        <is>
          <t>B07</t>
        </is>
      </c>
      <c r="H1293" s="16" t="inlineStr">
        <is>
          <t>lhs</t>
        </is>
      </c>
      <c r="I1293" s="16" t="inlineStr">
        <is>
          <t>CORREGIBLE</t>
        </is>
      </c>
      <c r="J1293" s="16" t="inlineStr">
        <is>
          <t>CORREGIBLE</t>
        </is>
      </c>
      <c r="K1293" s="16" t="b">
        <v>1</v>
      </c>
      <c r="L1293" s="16" t="b">
        <v>0</v>
      </c>
      <c r="M1293" s="16" t="b">
        <v>1</v>
      </c>
      <c r="N1293" s="16" t="b">
        <v>0</v>
      </c>
      <c r="O1293" s="16" t="n">
        <v>440.3910003588969</v>
      </c>
      <c r="P1293" s="16" t="n">
        <v>300.3075503411359</v>
      </c>
      <c r="Q1293" s="16" t="n">
        <v>2479.216747934866</v>
      </c>
      <c r="R1293" s="16" t="n">
        <v>302.9492299975095</v>
      </c>
      <c r="S1293" s="16" t="n">
        <v>0.6528746974693457</v>
      </c>
      <c r="T1293" s="16" t="n">
        <v>0.8802611921368801</v>
      </c>
      <c r="U1293" s="16" t="n">
        <v>0.6773108942448754</v>
      </c>
      <c r="V1293" s="16" t="n">
        <v>0.8883969056082863</v>
      </c>
      <c r="W1293" s="16" t="n">
        <v>0.7020611747677272</v>
      </c>
      <c r="X1293" s="16" t="n">
        <v>0.8784601692955322</v>
      </c>
      <c r="Y1293" s="16" t="n">
        <v>300.3075503411359</v>
      </c>
      <c r="Z1293" s="16" t="n">
        <v>8.33991225870642</v>
      </c>
      <c r="AA1293" s="16" t="n">
        <v>75.65197121579121</v>
      </c>
      <c r="AB1293" s="16" t="n">
        <v>2176.267517937356</v>
      </c>
      <c r="AC1293" s="16" t="n">
        <v>8.183604718042185</v>
      </c>
      <c r="AD1293" s="16" t="inlineStr">
        <is>
          <t>O2</t>
        </is>
      </c>
      <c r="AE1293" s="16" t="n"/>
    </row>
    <row r="1294">
      <c r="A1294" s="16" t="inlineStr">
        <is>
          <t>KF-M04-0222</t>
        </is>
      </c>
      <c r="B1294" s="16" t="inlineStr">
        <is>
          <t>3.2</t>
        </is>
      </c>
      <c r="C1294" s="16" t="inlineStr">
        <is>
          <t>3.2</t>
        </is>
      </c>
      <c r="D1294" s="16" t="inlineStr">
        <is>
          <t>muestra de 300 puntos</t>
        </is>
      </c>
      <c r="E1294" s="16" t="inlineStr">
        <is>
          <t>KF-M04</t>
        </is>
      </c>
      <c r="F1294" s="16" t="inlineStr">
        <is>
          <t>KF-M04</t>
        </is>
      </c>
      <c r="G1294" s="16" t="inlineStr">
        <is>
          <t>B07</t>
        </is>
      </c>
      <c r="H1294" s="16" t="inlineStr">
        <is>
          <t>lhs</t>
        </is>
      </c>
      <c r="I1294" s="16" t="inlineStr">
        <is>
          <t>CORREGIBLE</t>
        </is>
      </c>
      <c r="J1294" s="16" t="inlineStr">
        <is>
          <t>CORREGIBLE</t>
        </is>
      </c>
      <c r="K1294" s="16" t="b">
        <v>1</v>
      </c>
      <c r="L1294" s="16" t="b">
        <v>0</v>
      </c>
      <c r="M1294" s="16" t="b">
        <v>0</v>
      </c>
      <c r="N1294" s="16" t="b">
        <v>0</v>
      </c>
      <c r="O1294" s="16" t="n">
        <v>432.9546021527171</v>
      </c>
      <c r="P1294" s="16" t="n">
        <v>299.6454979464501</v>
      </c>
      <c r="Q1294" s="16" t="n">
        <v>3997.395935441186</v>
      </c>
      <c r="R1294" s="16" t="n">
        <v>631.9044468109053</v>
      </c>
      <c r="S1294" s="16" t="n">
        <v>0.6521764213721353</v>
      </c>
      <c r="T1294" s="16" t="n">
        <v>0.8456920991708452</v>
      </c>
      <c r="U1294" s="16" t="n">
        <v>0.6855582121248028</v>
      </c>
      <c r="V1294" s="16" t="n">
        <v>0.774644442302976</v>
      </c>
      <c r="W1294" s="16" t="n">
        <v>0.9160128549615616</v>
      </c>
      <c r="X1294" s="16" t="n">
        <v>0.8826952513983964</v>
      </c>
      <c r="Y1294" s="16" t="n">
        <v>299.6454979464501</v>
      </c>
      <c r="Z1294" s="16" t="n">
        <v>14.09756959285801</v>
      </c>
      <c r="AA1294" s="16" t="n">
        <v>104.4454113941698</v>
      </c>
      <c r="AB1294" s="16" t="n">
        <v>3365.49148863028</v>
      </c>
      <c r="AC1294" s="16" t="n">
        <v>6.325950000217976</v>
      </c>
      <c r="AD1294" s="16" t="inlineStr">
        <is>
          <t>O2</t>
        </is>
      </c>
      <c r="AE1294" s="16" t="n"/>
    </row>
    <row r="1295">
      <c r="A1295" s="16" t="inlineStr">
        <is>
          <t>KF-M04-0223</t>
        </is>
      </c>
      <c r="B1295" s="16" t="inlineStr">
        <is>
          <t>3.2</t>
        </is>
      </c>
      <c r="C1295" s="16" t="inlineStr">
        <is>
          <t>3.2</t>
        </is>
      </c>
      <c r="D1295" s="16" t="inlineStr">
        <is>
          <t>muestra de 300 puntos</t>
        </is>
      </c>
      <c r="E1295" s="16" t="inlineStr">
        <is>
          <t>KF-M04</t>
        </is>
      </c>
      <c r="F1295" s="16" t="inlineStr">
        <is>
          <t>KF-M04</t>
        </is>
      </c>
      <c r="G1295" s="16" t="inlineStr">
        <is>
          <t>B07</t>
        </is>
      </c>
      <c r="H1295" s="16" t="inlineStr">
        <is>
          <t>lhs</t>
        </is>
      </c>
      <c r="I1295" s="16" t="inlineStr">
        <is>
          <t>NO_CONVERGIO</t>
        </is>
      </c>
      <c r="J1295" s="16" t="inlineStr">
        <is>
          <t>NO_CONVERGIO</t>
        </is>
      </c>
      <c r="K1295" s="16" t="b">
        <v>0</v>
      </c>
      <c r="L1295" s="16" t="b">
        <v>0</v>
      </c>
      <c r="M1295" s="16" t="b">
        <v>0</v>
      </c>
      <c r="N1295" s="16" t="b">
        <v>0</v>
      </c>
      <c r="O1295" s="16" t="n">
        <v>440.6544429661656</v>
      </c>
      <c r="P1295" s="16" t="n">
        <v>296.4656452477205</v>
      </c>
      <c r="Q1295" s="16" t="n">
        <v>4946.569364724107</v>
      </c>
      <c r="R1295" s="16" t="n">
        <v>948.7753889493652</v>
      </c>
      <c r="S1295" s="16" t="n">
        <v>0.8483040019853136</v>
      </c>
      <c r="T1295" s="16" t="n">
        <v>0.7858854622094423</v>
      </c>
      <c r="U1295" s="16" t="n">
        <v>0.650936527220647</v>
      </c>
      <c r="V1295" s="16" t="n">
        <v>0.8038986164963779</v>
      </c>
      <c r="W1295" s="16" t="n">
        <v>0.6425850935943066</v>
      </c>
      <c r="X1295" s="16" t="n">
        <v>0.811025070777121</v>
      </c>
      <c r="Y1295" s="16" t="n">
        <v>296.4656452477205</v>
      </c>
      <c r="Z1295" s="16" t="n"/>
      <c r="AA1295" s="16" t="n"/>
      <c r="AB1295" s="16" t="n">
        <v>3997.793975774742</v>
      </c>
      <c r="AC1295" s="16" t="n">
        <v>5.213635832398366</v>
      </c>
      <c r="AD1295" s="16" t="n"/>
      <c r="AE1295" s="16" t="n"/>
    </row>
    <row r="1296">
      <c r="A1296" s="16" t="inlineStr">
        <is>
          <t>KF-M04-0224</t>
        </is>
      </c>
      <c r="B1296" s="16" t="inlineStr">
        <is>
          <t>3.2</t>
        </is>
      </c>
      <c r="C1296" s="16" t="inlineStr">
        <is>
          <t>3.2</t>
        </is>
      </c>
      <c r="D1296" s="16" t="inlineStr">
        <is>
          <t>muestra de 300 puntos</t>
        </is>
      </c>
      <c r="E1296" s="16" t="inlineStr">
        <is>
          <t>KF-M04</t>
        </is>
      </c>
      <c r="F1296" s="16" t="inlineStr">
        <is>
          <t>KF-M04</t>
        </is>
      </c>
      <c r="G1296" s="16" t="inlineStr">
        <is>
          <t>B07</t>
        </is>
      </c>
      <c r="H1296" s="16" t="inlineStr">
        <is>
          <t>lhs</t>
        </is>
      </c>
      <c r="I1296" s="16" t="inlineStr">
        <is>
          <t>INVIABLE</t>
        </is>
      </c>
      <c r="J1296" s="16" t="inlineStr">
        <is>
          <t>INVIABLE</t>
        </is>
      </c>
      <c r="K1296" s="16" t="b">
        <v>1</v>
      </c>
      <c r="L1296" s="16" t="b">
        <v>0</v>
      </c>
      <c r="M1296" s="16" t="b">
        <v>0</v>
      </c>
      <c r="N1296" s="16" t="b">
        <v>0</v>
      </c>
      <c r="O1296" s="16" t="n">
        <v>383.2114026299085</v>
      </c>
      <c r="P1296" s="16" t="n">
        <v>301.0616826067424</v>
      </c>
      <c r="Q1296" s="16" t="n">
        <v>2984.824551226909</v>
      </c>
      <c r="R1296" s="16" t="n">
        <v>498.4690410020023</v>
      </c>
      <c r="S1296" s="16" t="n">
        <v>0.8135669719949488</v>
      </c>
      <c r="T1296" s="16" t="n">
        <v>0.8486764355856469</v>
      </c>
      <c r="U1296" s="16" t="n">
        <v>0.6810102316391647</v>
      </c>
      <c r="V1296" s="16" t="n">
        <v>0.7214872982490872</v>
      </c>
      <c r="W1296" s="16" t="n">
        <v>0.8001127935351198</v>
      </c>
      <c r="X1296" s="16" t="n">
        <v>0.8976030605447404</v>
      </c>
      <c r="Y1296" s="16" t="n">
        <v>301.0616826067424</v>
      </c>
      <c r="Z1296" s="16" t="n">
        <v>-101.561542525508</v>
      </c>
      <c r="AA1296" s="16" t="n">
        <v>-81.06338882160338</v>
      </c>
      <c r="AB1296" s="16" t="n">
        <v>2486.355510224907</v>
      </c>
      <c r="AC1296" s="16" t="n">
        <v>5.987983817865469</v>
      </c>
      <c r="AD1296" s="16" t="inlineStr">
        <is>
          <t>O2,O3</t>
        </is>
      </c>
      <c r="AE1296" s="16" t="n"/>
    </row>
    <row r="1297">
      <c r="A1297" s="16" t="inlineStr">
        <is>
          <t>KF-M04-0225</t>
        </is>
      </c>
      <c r="B1297" s="16" t="inlineStr">
        <is>
          <t>3.2</t>
        </is>
      </c>
      <c r="C1297" s="16" t="inlineStr">
        <is>
          <t>3.2</t>
        </is>
      </c>
      <c r="D1297" s="16" t="inlineStr">
        <is>
          <t>muestra de 300 puntos</t>
        </is>
      </c>
      <c r="E1297" s="16" t="inlineStr">
        <is>
          <t>KF-M04</t>
        </is>
      </c>
      <c r="F1297" s="16" t="inlineStr">
        <is>
          <t>KF-M04</t>
        </is>
      </c>
      <c r="G1297" s="16" t="inlineStr">
        <is>
          <t>B07</t>
        </is>
      </c>
      <c r="H1297" s="16" t="inlineStr">
        <is>
          <t>lhs</t>
        </is>
      </c>
      <c r="I1297" s="16" t="inlineStr">
        <is>
          <t>CORREGIBLE</t>
        </is>
      </c>
      <c r="J1297" s="16" t="inlineStr">
        <is>
          <t>CORREGIBLE</t>
        </is>
      </c>
      <c r="K1297" s="16" t="b">
        <v>1</v>
      </c>
      <c r="L1297" s="16" t="b">
        <v>0</v>
      </c>
      <c r="M1297" s="16" t="b">
        <v>0</v>
      </c>
      <c r="N1297" s="16" t="b">
        <v>0</v>
      </c>
      <c r="O1297" s="16" t="n">
        <v>420.8644744374256</v>
      </c>
      <c r="P1297" s="16" t="n">
        <v>285.6101089107889</v>
      </c>
      <c r="Q1297" s="16" t="n">
        <v>4646.653516524502</v>
      </c>
      <c r="R1297" s="16" t="n">
        <v>337.9554282911307</v>
      </c>
      <c r="S1297" s="16" t="n">
        <v>0.5423111445915675</v>
      </c>
      <c r="T1297" s="16" t="n">
        <v>0.7635670008312566</v>
      </c>
      <c r="U1297" s="16" t="n">
        <v>0.8378339393198938</v>
      </c>
      <c r="V1297" s="16" t="n">
        <v>0.6354407749551445</v>
      </c>
      <c r="W1297" s="16" t="n">
        <v>0.6207135866870757</v>
      </c>
      <c r="X1297" s="16" t="n">
        <v>0.8618398724592795</v>
      </c>
      <c r="Y1297" s="16" t="n">
        <v>285.6101089107889</v>
      </c>
      <c r="Z1297" s="16" t="n">
        <v>4.77212645095393</v>
      </c>
      <c r="AA1297" s="16" t="n">
        <v>15.01336433554987</v>
      </c>
      <c r="AB1297" s="16" t="n">
        <v>4308.698088233372</v>
      </c>
      <c r="AC1297" s="16" t="n">
        <v>13.74930871807645</v>
      </c>
      <c r="AD1297" s="16" t="inlineStr">
        <is>
          <t>O2</t>
        </is>
      </c>
      <c r="AE1297" s="16" t="n"/>
    </row>
    <row r="1298">
      <c r="A1298" s="16" t="inlineStr">
        <is>
          <t>KF-M04-0226</t>
        </is>
      </c>
      <c r="B1298" s="16" t="inlineStr">
        <is>
          <t>3.2</t>
        </is>
      </c>
      <c r="C1298" s="16" t="inlineStr">
        <is>
          <t>3.2</t>
        </is>
      </c>
      <c r="D1298" s="16" t="inlineStr">
        <is>
          <t>muestra de 300 puntos</t>
        </is>
      </c>
      <c r="E1298" s="16" t="inlineStr">
        <is>
          <t>KF-M04</t>
        </is>
      </c>
      <c r="F1298" s="16" t="inlineStr">
        <is>
          <t>KF-M04</t>
        </is>
      </c>
      <c r="G1298" s="16" t="inlineStr">
        <is>
          <t>B07</t>
        </is>
      </c>
      <c r="H1298" s="16" t="inlineStr">
        <is>
          <t>lhs</t>
        </is>
      </c>
      <c r="I1298" s="16" t="inlineStr">
        <is>
          <t>NO_CONVERGIO</t>
        </is>
      </c>
      <c r="J1298" s="16" t="inlineStr">
        <is>
          <t>NO_CONVERGIO</t>
        </is>
      </c>
      <c r="K1298" s="16" t="b">
        <v>0</v>
      </c>
      <c r="L1298" s="16" t="b">
        <v>0</v>
      </c>
      <c r="M1298" s="16" t="b">
        <v>0</v>
      </c>
      <c r="N1298" s="16" t="b">
        <v>0</v>
      </c>
      <c r="O1298" s="16" t="n">
        <v>497.2141314546261</v>
      </c>
      <c r="P1298" s="16" t="n">
        <v>290.2997360774774</v>
      </c>
      <c r="Q1298" s="16" t="n">
        <v>4851.753111118871</v>
      </c>
      <c r="R1298" s="16" t="n">
        <v>821.5995952805338</v>
      </c>
      <c r="S1298" s="16" t="n">
        <v>0.6209790503039539</v>
      </c>
      <c r="T1298" s="16" t="n">
        <v>0.851189865794115</v>
      </c>
      <c r="U1298" s="16" t="n">
        <v>0.8153011088216731</v>
      </c>
      <c r="V1298" s="16" t="n">
        <v>0.7694616749961922</v>
      </c>
      <c r="W1298" s="16" t="n">
        <v>0.8389808269306915</v>
      </c>
      <c r="X1298" s="16" t="n">
        <v>0.7122886619221251</v>
      </c>
      <c r="Y1298" s="16" t="n">
        <v>290.2997360774774</v>
      </c>
      <c r="Z1298" s="16" t="n"/>
      <c r="AA1298" s="16" t="n"/>
      <c r="AB1298" s="16" t="n">
        <v>4030.153515838337</v>
      </c>
      <c r="AC1298" s="16" t="n">
        <v>5.905252557314427</v>
      </c>
      <c r="AD1298" s="16" t="n"/>
      <c r="AE1298" s="16" t="n"/>
    </row>
    <row r="1299">
      <c r="A1299" s="16" t="inlineStr">
        <is>
          <t>KF-M04-0227</t>
        </is>
      </c>
      <c r="B1299" s="16" t="inlineStr">
        <is>
          <t>3.2</t>
        </is>
      </c>
      <c r="C1299" s="16" t="inlineStr">
        <is>
          <t>3.2</t>
        </is>
      </c>
      <c r="D1299" s="16" t="inlineStr">
        <is>
          <t>muestra de 300 puntos</t>
        </is>
      </c>
      <c r="E1299" s="16" t="inlineStr">
        <is>
          <t>KF-M04</t>
        </is>
      </c>
      <c r="F1299" s="16" t="inlineStr">
        <is>
          <t>KF-M04</t>
        </is>
      </c>
      <c r="G1299" s="16" t="inlineStr">
        <is>
          <t>B07</t>
        </is>
      </c>
      <c r="H1299" s="16" t="inlineStr">
        <is>
          <t>lhs</t>
        </is>
      </c>
      <c r="I1299" s="16" t="inlineStr">
        <is>
          <t>KALINA</t>
        </is>
      </c>
      <c r="J1299" s="16" t="inlineStr">
        <is>
          <t>KALINA</t>
        </is>
      </c>
      <c r="K1299" s="16" t="b">
        <v>1</v>
      </c>
      <c r="L1299" s="16" t="b">
        <v>1</v>
      </c>
      <c r="M1299" s="16" t="b">
        <v>0</v>
      </c>
      <c r="N1299" s="16" t="b">
        <v>0</v>
      </c>
      <c r="O1299" s="16" t="n">
        <v>383.6584814438123</v>
      </c>
      <c r="P1299" s="16" t="n">
        <v>298.8543790336173</v>
      </c>
      <c r="Q1299" s="16" t="n">
        <v>3262.876769528304</v>
      </c>
      <c r="R1299" s="16" t="n">
        <v>1336.435912200403</v>
      </c>
      <c r="S1299" s="16" t="n">
        <v>0.7640202291936016</v>
      </c>
      <c r="T1299" s="16" t="n">
        <v>0.8947378602789342</v>
      </c>
      <c r="U1299" s="16" t="n">
        <v>0.8120217051656773</v>
      </c>
      <c r="V1299" s="16" t="n">
        <v>0.6041387187397677</v>
      </c>
      <c r="W1299" s="16" t="n">
        <v>0.8761711965127308</v>
      </c>
      <c r="X1299" s="16" t="n">
        <v>0.8514220777509669</v>
      </c>
      <c r="Y1299" s="16" t="n">
        <v>298.8543790336173</v>
      </c>
      <c r="Z1299" s="16" t="n">
        <v>7.57833393347663</v>
      </c>
      <c r="AA1299" s="16" t="n">
        <v>32.32431111563251</v>
      </c>
      <c r="AB1299" s="16" t="n">
        <v>1926.440857327901</v>
      </c>
      <c r="AC1299" s="16" t="n">
        <v>2.441476422282062</v>
      </c>
      <c r="AD1299" s="16" t="n"/>
      <c r="AE1299" s="16" t="n"/>
    </row>
    <row r="1300">
      <c r="A1300" s="16" t="inlineStr">
        <is>
          <t>KF-M04-0228</t>
        </is>
      </c>
      <c r="B1300" s="16" t="inlineStr">
        <is>
          <t>3.2</t>
        </is>
      </c>
      <c r="C1300" s="16" t="inlineStr">
        <is>
          <t>3.2</t>
        </is>
      </c>
      <c r="D1300" s="16" t="inlineStr">
        <is>
          <t>muestra de 300 puntos</t>
        </is>
      </c>
      <c r="E1300" s="16" t="inlineStr">
        <is>
          <t>KF-M04</t>
        </is>
      </c>
      <c r="F1300" s="16" t="inlineStr">
        <is>
          <t>KF-M04</t>
        </is>
      </c>
      <c r="G1300" s="16" t="inlineStr">
        <is>
          <t>B07</t>
        </is>
      </c>
      <c r="H1300" s="16" t="inlineStr">
        <is>
          <t>lhs</t>
        </is>
      </c>
      <c r="I1300" s="16" t="inlineStr">
        <is>
          <t>KALINA</t>
        </is>
      </c>
      <c r="J1300" s="16" t="inlineStr">
        <is>
          <t>KALINA</t>
        </is>
      </c>
      <c r="K1300" s="16" t="b">
        <v>1</v>
      </c>
      <c r="L1300" s="16" t="b">
        <v>0</v>
      </c>
      <c r="M1300" s="16" t="b">
        <v>1</v>
      </c>
      <c r="N1300" s="16" t="b">
        <v>0</v>
      </c>
      <c r="O1300" s="16" t="n">
        <v>432.7944915718168</v>
      </c>
      <c r="P1300" s="16" t="n">
        <v>285.0334988565534</v>
      </c>
      <c r="Q1300" s="16" t="n">
        <v>2548.097371659946</v>
      </c>
      <c r="R1300" s="16" t="n">
        <v>1110.860657709698</v>
      </c>
      <c r="S1300" s="16" t="n">
        <v>0.6294744778065782</v>
      </c>
      <c r="T1300" s="16" t="n">
        <v>0.8850527297352523</v>
      </c>
      <c r="U1300" s="16" t="n">
        <v>0.6945608971824592</v>
      </c>
      <c r="V1300" s="16" t="n">
        <v>0.8814014338669169</v>
      </c>
      <c r="W1300" s="16" t="n">
        <v>0.6546824973597511</v>
      </c>
      <c r="X1300" s="16" t="n">
        <v>0.8959183844387084</v>
      </c>
      <c r="Y1300" s="16" t="n">
        <v>285.0334988565534</v>
      </c>
      <c r="Z1300" s="16" t="n">
        <v>6.60808840435998</v>
      </c>
      <c r="AA1300" s="16" t="n">
        <v>79.57440062967633</v>
      </c>
      <c r="AB1300" s="16" t="n">
        <v>1437.236713950248</v>
      </c>
      <c r="AC1300" s="16" t="n">
        <v>2.293804676559032</v>
      </c>
      <c r="AD1300" s="16" t="n"/>
      <c r="AE1300" s="16" t="n"/>
    </row>
    <row r="1301">
      <c r="A1301" s="16" t="inlineStr">
        <is>
          <t>KF-M04-0229</t>
        </is>
      </c>
      <c r="B1301" s="16" t="inlineStr">
        <is>
          <t>3.2</t>
        </is>
      </c>
      <c r="C1301" s="16" t="inlineStr">
        <is>
          <t>3.2</t>
        </is>
      </c>
      <c r="D1301" s="16" t="inlineStr">
        <is>
          <t>muestra de 300 puntos</t>
        </is>
      </c>
      <c r="E1301" s="16" t="inlineStr">
        <is>
          <t>KF-M04</t>
        </is>
      </c>
      <c r="F1301" s="16" t="inlineStr">
        <is>
          <t>KF-M04</t>
        </is>
      </c>
      <c r="G1301" s="16" t="inlineStr">
        <is>
          <t>B07</t>
        </is>
      </c>
      <c r="H1301" s="16" t="inlineStr">
        <is>
          <t>lhs</t>
        </is>
      </c>
      <c r="I1301" s="16" t="inlineStr">
        <is>
          <t>CORREGIBLE</t>
        </is>
      </c>
      <c r="J1301" s="16" t="inlineStr">
        <is>
          <t>CORREGIBLE</t>
        </is>
      </c>
      <c r="K1301" s="16" t="b">
        <v>1</v>
      </c>
      <c r="L1301" s="16" t="b">
        <v>0</v>
      </c>
      <c r="M1301" s="16" t="b">
        <v>1</v>
      </c>
      <c r="N1301" s="16" t="b">
        <v>0</v>
      </c>
      <c r="O1301" s="16" t="n">
        <v>482.6925659491382</v>
      </c>
      <c r="P1301" s="16" t="n">
        <v>302.55844167903</v>
      </c>
      <c r="Q1301" s="16" t="n">
        <v>3381.451689328788</v>
      </c>
      <c r="R1301" s="16" t="n">
        <v>841.6494998337434</v>
      </c>
      <c r="S1301" s="16" t="n">
        <v>0.6787471511134791</v>
      </c>
      <c r="T1301" s="16" t="n">
        <v>0.8778184034728318</v>
      </c>
      <c r="U1301" s="16" t="n">
        <v>0.8925640890693249</v>
      </c>
      <c r="V1301" s="16" t="n">
        <v>0.7352730610343644</v>
      </c>
      <c r="W1301" s="16" t="n">
        <v>0.6596828707795626</v>
      </c>
      <c r="X1301" s="16" t="n">
        <v>0.88024600978808</v>
      </c>
      <c r="Y1301" s="16" t="n">
        <v>302.55844167903</v>
      </c>
      <c r="Z1301" s="16" t="n">
        <v>11.3903682347796</v>
      </c>
      <c r="AA1301" s="16" t="n">
        <v>156.4536985906295</v>
      </c>
      <c r="AB1301" s="16" t="n">
        <v>2539.802189495044</v>
      </c>
      <c r="AC1301" s="16" t="n">
        <v>4.017648308466586</v>
      </c>
      <c r="AD1301" s="16" t="inlineStr">
        <is>
          <t>O2</t>
        </is>
      </c>
      <c r="AE1301" s="16" t="n"/>
    </row>
    <row r="1302">
      <c r="A1302" s="16" t="inlineStr">
        <is>
          <t>KF-M04-0230</t>
        </is>
      </c>
      <c r="B1302" s="16" t="inlineStr">
        <is>
          <t>3.2</t>
        </is>
      </c>
      <c r="C1302" s="16" t="inlineStr">
        <is>
          <t>3.2</t>
        </is>
      </c>
      <c r="D1302" s="16" t="inlineStr">
        <is>
          <t>muestra de 300 puntos</t>
        </is>
      </c>
      <c r="E1302" s="16" t="inlineStr">
        <is>
          <t>KF-M04</t>
        </is>
      </c>
      <c r="F1302" s="16" t="inlineStr">
        <is>
          <t>KF-M04</t>
        </is>
      </c>
      <c r="G1302" s="16" t="inlineStr">
        <is>
          <t>B07</t>
        </is>
      </c>
      <c r="H1302" s="16" t="inlineStr">
        <is>
          <t>lhs</t>
        </is>
      </c>
      <c r="I1302" s="16" t="inlineStr">
        <is>
          <t>CORREGIBLE</t>
        </is>
      </c>
      <c r="J1302" s="16" t="inlineStr">
        <is>
          <t>CORREGIBLE</t>
        </is>
      </c>
      <c r="K1302" s="16" t="b">
        <v>1</v>
      </c>
      <c r="L1302" s="16" t="b">
        <v>0</v>
      </c>
      <c r="M1302" s="16" t="b">
        <v>0</v>
      </c>
      <c r="N1302" s="16" t="b">
        <v>0</v>
      </c>
      <c r="O1302" s="16" t="n">
        <v>419.622368617253</v>
      </c>
      <c r="P1302" s="16" t="n">
        <v>282.4880284817011</v>
      </c>
      <c r="Q1302" s="16" t="n">
        <v>4750.194928377976</v>
      </c>
      <c r="R1302" s="16" t="n">
        <v>613.5400090441511</v>
      </c>
      <c r="S1302" s="16" t="n">
        <v>0.6897367536436327</v>
      </c>
      <c r="T1302" s="16" t="n">
        <v>0.8678429297367709</v>
      </c>
      <c r="U1302" s="16" t="n">
        <v>0.8443474540720324</v>
      </c>
      <c r="V1302" s="16" t="n">
        <v>0.758620138045224</v>
      </c>
      <c r="W1302" s="16" t="n">
        <v>0.9398486658691848</v>
      </c>
      <c r="X1302" s="16" t="n">
        <v>0.8527997555017197</v>
      </c>
      <c r="Y1302" s="16" t="n">
        <v>282.4880284817011</v>
      </c>
      <c r="Z1302" s="16" t="n">
        <v>15.50611204682515</v>
      </c>
      <c r="AA1302" s="16" t="n">
        <v>88.41784661066946</v>
      </c>
      <c r="AB1302" s="16" t="n">
        <v>4136.654919333825</v>
      </c>
      <c r="AC1302" s="16" t="n">
        <v>7.742274111477131</v>
      </c>
      <c r="AD1302" s="16" t="inlineStr">
        <is>
          <t>O2</t>
        </is>
      </c>
      <c r="AE1302" s="16" t="n"/>
    </row>
    <row r="1303">
      <c r="A1303" s="16" t="inlineStr">
        <is>
          <t>KF-M04-0231</t>
        </is>
      </c>
      <c r="B1303" s="16" t="inlineStr">
        <is>
          <t>3.2</t>
        </is>
      </c>
      <c r="C1303" s="16" t="inlineStr">
        <is>
          <t>3.2</t>
        </is>
      </c>
      <c r="D1303" s="16" t="inlineStr">
        <is>
          <t>muestra de 300 puntos</t>
        </is>
      </c>
      <c r="E1303" s="16" t="inlineStr">
        <is>
          <t>KF-M04</t>
        </is>
      </c>
      <c r="F1303" s="16" t="inlineStr">
        <is>
          <t>KF-M04</t>
        </is>
      </c>
      <c r="G1303" s="16" t="inlineStr">
        <is>
          <t>B07</t>
        </is>
      </c>
      <c r="H1303" s="16" t="inlineStr">
        <is>
          <t>lhs</t>
        </is>
      </c>
      <c r="I1303" s="16" t="inlineStr">
        <is>
          <t>KALINA</t>
        </is>
      </c>
      <c r="J1303" s="16" t="inlineStr">
        <is>
          <t>KALINA</t>
        </is>
      </c>
      <c r="K1303" s="16" t="b">
        <v>1</v>
      </c>
      <c r="L1303" s="16" t="b">
        <v>1</v>
      </c>
      <c r="M1303" s="16" t="b">
        <v>0</v>
      </c>
      <c r="N1303" s="16" t="b">
        <v>0</v>
      </c>
      <c r="O1303" s="16" t="n">
        <v>389.6902405187864</v>
      </c>
      <c r="P1303" s="16" t="n">
        <v>303.440730490687</v>
      </c>
      <c r="Q1303" s="16" t="n">
        <v>3175.483333911347</v>
      </c>
      <c r="R1303" s="16" t="n">
        <v>1200.548312920992</v>
      </c>
      <c r="S1303" s="16" t="n">
        <v>0.5504552913111876</v>
      </c>
      <c r="T1303" s="16" t="n">
        <v>0.8215019564171622</v>
      </c>
      <c r="U1303" s="16" t="n">
        <v>0.811613335771644</v>
      </c>
      <c r="V1303" s="16" t="n">
        <v>0.6720626686046319</v>
      </c>
      <c r="W1303" s="16" t="n">
        <v>0.680045223456322</v>
      </c>
      <c r="X1303" s="16" t="n">
        <v>0.7702276589457133</v>
      </c>
      <c r="Y1303" s="16" t="n">
        <v>303.440730490687</v>
      </c>
      <c r="Z1303" s="16" t="n">
        <v>2.17729197231365</v>
      </c>
      <c r="AA1303" s="16" t="n">
        <v>4.088875244248833</v>
      </c>
      <c r="AB1303" s="16" t="n">
        <v>1974.935020990355</v>
      </c>
      <c r="AC1303" s="16" t="n">
        <v>2.645027525952073</v>
      </c>
      <c r="AD1303" s="16" t="n"/>
      <c r="AE1303" s="16" t="n"/>
    </row>
    <row r="1304">
      <c r="A1304" s="16" t="inlineStr">
        <is>
          <t>KF-M04-0232</t>
        </is>
      </c>
      <c r="B1304" s="16" t="inlineStr">
        <is>
          <t>3.2</t>
        </is>
      </c>
      <c r="C1304" s="16" t="inlineStr">
        <is>
          <t>3.2</t>
        </is>
      </c>
      <c r="D1304" s="16" t="inlineStr">
        <is>
          <t>muestra de 300 puntos</t>
        </is>
      </c>
      <c r="E1304" s="16" t="inlineStr">
        <is>
          <t>KF-M04</t>
        </is>
      </c>
      <c r="F1304" s="16" t="inlineStr">
        <is>
          <t>KF-M04</t>
        </is>
      </c>
      <c r="G1304" s="16" t="inlineStr">
        <is>
          <t>B07</t>
        </is>
      </c>
      <c r="H1304" s="16" t="inlineStr">
        <is>
          <t>lhs</t>
        </is>
      </c>
      <c r="I1304" s="16" t="inlineStr">
        <is>
          <t>KALINA</t>
        </is>
      </c>
      <c r="J1304" s="16" t="inlineStr">
        <is>
          <t>KALINA</t>
        </is>
      </c>
      <c r="K1304" s="16" t="b">
        <v>1</v>
      </c>
      <c r="L1304" s="16" t="b">
        <v>1</v>
      </c>
      <c r="M1304" s="16" t="b">
        <v>0</v>
      </c>
      <c r="N1304" s="16" t="b">
        <v>0</v>
      </c>
      <c r="O1304" s="16" t="n">
        <v>456.0184455166745</v>
      </c>
      <c r="P1304" s="16" t="n">
        <v>290.9806845825473</v>
      </c>
      <c r="Q1304" s="16" t="n">
        <v>2563.342312539491</v>
      </c>
      <c r="R1304" s="16" t="n">
        <v>1440.710131756108</v>
      </c>
      <c r="S1304" s="16" t="n">
        <v>0.7338022049555125</v>
      </c>
      <c r="T1304" s="16" t="n">
        <v>0.7648675871031667</v>
      </c>
      <c r="U1304" s="16" t="n">
        <v>0.7747870338057045</v>
      </c>
      <c r="V1304" s="16" t="n">
        <v>0.6398182221325153</v>
      </c>
      <c r="W1304" s="16" t="n">
        <v>0.747853577381222</v>
      </c>
      <c r="X1304" s="16" t="n">
        <v>0.9483041753284996</v>
      </c>
      <c r="Y1304" s="16" t="n">
        <v>290.9806845825473</v>
      </c>
      <c r="Z1304" s="16" t="n">
        <v>4.31111183600821</v>
      </c>
      <c r="AA1304" s="16" t="n">
        <v>51.33304826379114</v>
      </c>
      <c r="AB1304" s="16" t="n">
        <v>1122.632180783384</v>
      </c>
      <c r="AC1304" s="16" t="n">
        <v>1.779221410357535</v>
      </c>
      <c r="AD1304" s="16" t="n"/>
      <c r="AE1304" s="16" t="n"/>
    </row>
    <row r="1305">
      <c r="A1305" s="16" t="inlineStr">
        <is>
          <t>KF-M04-0233</t>
        </is>
      </c>
      <c r="B1305" s="16" t="inlineStr">
        <is>
          <t>3.2</t>
        </is>
      </c>
      <c r="C1305" s="16" t="inlineStr">
        <is>
          <t>3.2</t>
        </is>
      </c>
      <c r="D1305" s="16" t="inlineStr">
        <is>
          <t>muestra de 300 puntos</t>
        </is>
      </c>
      <c r="E1305" s="16" t="inlineStr">
        <is>
          <t>KF-M04</t>
        </is>
      </c>
      <c r="F1305" s="16" t="inlineStr">
        <is>
          <t>KF-M04</t>
        </is>
      </c>
      <c r="G1305" s="16" t="inlineStr">
        <is>
          <t>B07</t>
        </is>
      </c>
      <c r="H1305" s="16" t="inlineStr">
        <is>
          <t>lhs</t>
        </is>
      </c>
      <c r="I1305" s="16" t="inlineStr">
        <is>
          <t>NO_CONVERGIO</t>
        </is>
      </c>
      <c r="J1305" s="16" t="inlineStr">
        <is>
          <t>NO_CONVERGIO</t>
        </is>
      </c>
      <c r="K1305" s="16" t="b">
        <v>0</v>
      </c>
      <c r="L1305" s="16" t="b">
        <v>0</v>
      </c>
      <c r="M1305" s="16" t="b">
        <v>0</v>
      </c>
      <c r="N1305" s="16" t="b">
        <v>0</v>
      </c>
      <c r="O1305" s="16" t="n">
        <v>495.7735116044128</v>
      </c>
      <c r="P1305" s="16" t="n">
        <v>301.790125216409</v>
      </c>
      <c r="Q1305" s="16" t="n">
        <v>2753.600685755742</v>
      </c>
      <c r="R1305" s="16" t="n">
        <v>1280.721496143582</v>
      </c>
      <c r="S1305" s="16" t="n">
        <v>0.7885971067647544</v>
      </c>
      <c r="T1305" s="16" t="n">
        <v>0.8294174224552964</v>
      </c>
      <c r="U1305" s="16" t="n">
        <v>0.8103326623942556</v>
      </c>
      <c r="V1305" s="16" t="n">
        <v>0.848556989048071</v>
      </c>
      <c r="W1305" s="16" t="n">
        <v>0.6784372409058901</v>
      </c>
      <c r="X1305" s="16" t="n">
        <v>0.7972330231551026</v>
      </c>
      <c r="Y1305" s="16" t="n">
        <v>301.790125216409</v>
      </c>
      <c r="Z1305" s="16" t="n"/>
      <c r="AA1305" s="16" t="n"/>
      <c r="AB1305" s="16" t="n">
        <v>1472.87918961216</v>
      </c>
      <c r="AC1305" s="16" t="n">
        <v>2.150038625920772</v>
      </c>
      <c r="AD1305" s="16" t="n"/>
      <c r="AE1305" s="16" t="n"/>
    </row>
    <row r="1306">
      <c r="A1306" s="16" t="inlineStr">
        <is>
          <t>KF-M04-0234</t>
        </is>
      </c>
      <c r="B1306" s="16" t="inlineStr">
        <is>
          <t>3.2</t>
        </is>
      </c>
      <c r="C1306" s="16" t="inlineStr">
        <is>
          <t>3.2</t>
        </is>
      </c>
      <c r="D1306" s="16" t="inlineStr">
        <is>
          <t>muestra de 300 puntos</t>
        </is>
      </c>
      <c r="E1306" s="16" t="inlineStr">
        <is>
          <t>KF-M04</t>
        </is>
      </c>
      <c r="F1306" s="16" t="inlineStr">
        <is>
          <t>KF-M04</t>
        </is>
      </c>
      <c r="G1306" s="16" t="inlineStr">
        <is>
          <t>B07</t>
        </is>
      </c>
      <c r="H1306" s="16" t="inlineStr">
        <is>
          <t>lhs</t>
        </is>
      </c>
      <c r="I1306" s="16" t="inlineStr">
        <is>
          <t>CORREGIBLE</t>
        </is>
      </c>
      <c r="J1306" s="16" t="inlineStr">
        <is>
          <t>CORREGIBLE</t>
        </is>
      </c>
      <c r="K1306" s="16" t="b">
        <v>1</v>
      </c>
      <c r="L1306" s="16" t="b">
        <v>0</v>
      </c>
      <c r="M1306" s="16" t="b">
        <v>0</v>
      </c>
      <c r="N1306" s="16" t="b">
        <v>0</v>
      </c>
      <c r="O1306" s="16" t="n">
        <v>424.7496040800085</v>
      </c>
      <c r="P1306" s="16" t="n">
        <v>294.9831381368971</v>
      </c>
      <c r="Q1306" s="16" t="n">
        <v>4460.093809745365</v>
      </c>
      <c r="R1306" s="16" t="n">
        <v>1112.256411872577</v>
      </c>
      <c r="S1306" s="16" t="n">
        <v>0.7866456227613865</v>
      </c>
      <c r="T1306" s="16" t="n">
        <v>0.7940855078467167</v>
      </c>
      <c r="U1306" s="16" t="n">
        <v>0.6551314137133597</v>
      </c>
      <c r="V1306" s="16" t="n">
        <v>0.6012238711814119</v>
      </c>
      <c r="W1306" s="16" t="n">
        <v>0.8233966236661252</v>
      </c>
      <c r="X1306" s="16" t="n">
        <v>0.7346040035554262</v>
      </c>
      <c r="Y1306" s="16" t="n">
        <v>294.9831381368971</v>
      </c>
      <c r="Z1306" s="16" t="n">
        <v>10.1918649298592</v>
      </c>
      <c r="AA1306" s="16" t="n">
        <v>63.50258709972115</v>
      </c>
      <c r="AB1306" s="16" t="n">
        <v>3347.837397872789</v>
      </c>
      <c r="AC1306" s="16" t="n">
        <v>4.009951088738993</v>
      </c>
      <c r="AD1306" s="16" t="inlineStr">
        <is>
          <t>O2</t>
        </is>
      </c>
      <c r="AE1306" s="16" t="n"/>
    </row>
    <row r="1307">
      <c r="A1307" s="16" t="inlineStr">
        <is>
          <t>KF-M04-0235</t>
        </is>
      </c>
      <c r="B1307" s="16" t="inlineStr">
        <is>
          <t>3.2</t>
        </is>
      </c>
      <c r="C1307" s="16" t="inlineStr">
        <is>
          <t>3.2</t>
        </is>
      </c>
      <c r="D1307" s="16" t="inlineStr">
        <is>
          <t>muestra de 300 puntos</t>
        </is>
      </c>
      <c r="E1307" s="16" t="inlineStr">
        <is>
          <t>KF-M04</t>
        </is>
      </c>
      <c r="F1307" s="16" t="inlineStr">
        <is>
          <t>KF-M04</t>
        </is>
      </c>
      <c r="G1307" s="16" t="inlineStr">
        <is>
          <t>B07</t>
        </is>
      </c>
      <c r="H1307" s="16" t="inlineStr">
        <is>
          <t>lhs</t>
        </is>
      </c>
      <c r="I1307" s="16" t="inlineStr">
        <is>
          <t>CORREGIBLE</t>
        </is>
      </c>
      <c r="J1307" s="16" t="inlineStr">
        <is>
          <t>CORREGIBLE</t>
        </is>
      </c>
      <c r="K1307" s="16" t="b">
        <v>1</v>
      </c>
      <c r="L1307" s="16" t="b">
        <v>0</v>
      </c>
      <c r="M1307" s="16" t="b">
        <v>0</v>
      </c>
      <c r="N1307" s="16" t="b">
        <v>0</v>
      </c>
      <c r="O1307" s="16" t="n">
        <v>417.9259575687537</v>
      </c>
      <c r="P1307" s="16" t="n">
        <v>286.9940455553141</v>
      </c>
      <c r="Q1307" s="16" t="n">
        <v>2898.101622896409</v>
      </c>
      <c r="R1307" s="16" t="n">
        <v>1485.335384226557</v>
      </c>
      <c r="S1307" s="16" t="n">
        <v>0.8067629086250629</v>
      </c>
      <c r="T1307" s="16" t="n">
        <v>0.7587144159028502</v>
      </c>
      <c r="U1307" s="16" t="n">
        <v>0.8912242824208376</v>
      </c>
      <c r="V1307" s="16" t="n">
        <v>0.716947431964864</v>
      </c>
      <c r="W1307" s="16" t="n">
        <v>0.9149171064076976</v>
      </c>
      <c r="X1307" s="16" t="n">
        <v>0.7508722254770525</v>
      </c>
      <c r="Y1307" s="16" t="n">
        <v>286.9940455553141</v>
      </c>
      <c r="Z1307" s="16" t="n">
        <v>5.65214192137486</v>
      </c>
      <c r="AA1307" s="16" t="n">
        <v>49.27328143328616</v>
      </c>
      <c r="AB1307" s="16" t="n">
        <v>1412.766238669852</v>
      </c>
      <c r="AC1307" s="16" t="n">
        <v>1.95114292278542</v>
      </c>
      <c r="AD1307" s="16" t="inlineStr">
        <is>
          <t>O2</t>
        </is>
      </c>
      <c r="AE1307" s="16" t="n"/>
    </row>
    <row r="1308">
      <c r="A1308" s="16" t="inlineStr">
        <is>
          <t>KF-M04-0236</t>
        </is>
      </c>
      <c r="B1308" s="16" t="inlineStr">
        <is>
          <t>3.2</t>
        </is>
      </c>
      <c r="C1308" s="16" t="inlineStr">
        <is>
          <t>3.2</t>
        </is>
      </c>
      <c r="D1308" s="16" t="inlineStr">
        <is>
          <t>muestra de 300 puntos</t>
        </is>
      </c>
      <c r="E1308" s="16" t="inlineStr">
        <is>
          <t>KF-M04</t>
        </is>
      </c>
      <c r="F1308" s="16" t="inlineStr">
        <is>
          <t>KF-M04</t>
        </is>
      </c>
      <c r="G1308" s="16" t="inlineStr">
        <is>
          <t>B07</t>
        </is>
      </c>
      <c r="H1308" s="16" t="inlineStr">
        <is>
          <t>lhs</t>
        </is>
      </c>
      <c r="I1308" s="16" t="inlineStr">
        <is>
          <t>CORREGIBLE</t>
        </is>
      </c>
      <c r="J1308" s="16" t="inlineStr">
        <is>
          <t>CORREGIBLE</t>
        </is>
      </c>
      <c r="K1308" s="16" t="b">
        <v>1</v>
      </c>
      <c r="L1308" s="16" t="b">
        <v>0</v>
      </c>
      <c r="M1308" s="16" t="b">
        <v>0</v>
      </c>
      <c r="N1308" s="16" t="b">
        <v>0</v>
      </c>
      <c r="O1308" s="16" t="n">
        <v>471.0080796820071</v>
      </c>
      <c r="P1308" s="16" t="n">
        <v>294.4925725634904</v>
      </c>
      <c r="Q1308" s="16" t="n">
        <v>2126.010874372207</v>
      </c>
      <c r="R1308" s="16" t="n">
        <v>796.5085528455427</v>
      </c>
      <c r="S1308" s="16" t="n">
        <v>0.7242335405568301</v>
      </c>
      <c r="T1308" s="16" t="n">
        <v>0.8616583646807399</v>
      </c>
      <c r="U1308" s="16" t="n">
        <v>0.777552633939751</v>
      </c>
      <c r="V1308" s="16" t="n">
        <v>0.6099236601943235</v>
      </c>
      <c r="W1308" s="16" t="n">
        <v>0.7908048681546205</v>
      </c>
      <c r="X1308" s="16" t="n">
        <v>0.79239542573218</v>
      </c>
      <c r="Y1308" s="16" t="n">
        <v>294.4925725634904</v>
      </c>
      <c r="Z1308" s="16" t="n">
        <v>7.871433782208991</v>
      </c>
      <c r="AA1308" s="16" t="n">
        <v>83.6342761738408</v>
      </c>
      <c r="AB1308" s="16" t="n">
        <v>1329.502321526664</v>
      </c>
      <c r="AC1308" s="16" t="n">
        <v>2.669162643360189</v>
      </c>
      <c r="AD1308" s="16" t="inlineStr">
        <is>
          <t>O2</t>
        </is>
      </c>
      <c r="AE1308" s="16" t="n"/>
    </row>
    <row r="1309">
      <c r="A1309" s="16" t="inlineStr">
        <is>
          <t>KF-M04-0237</t>
        </is>
      </c>
      <c r="B1309" s="16" t="inlineStr">
        <is>
          <t>3.2</t>
        </is>
      </c>
      <c r="C1309" s="16" t="inlineStr">
        <is>
          <t>3.2</t>
        </is>
      </c>
      <c r="D1309" s="16" t="inlineStr">
        <is>
          <t>muestra de 300 puntos</t>
        </is>
      </c>
      <c r="E1309" s="16" t="inlineStr">
        <is>
          <t>KF-M04</t>
        </is>
      </c>
      <c r="F1309" s="16" t="inlineStr">
        <is>
          <t>KF-M04</t>
        </is>
      </c>
      <c r="G1309" s="16" t="inlineStr">
        <is>
          <t>B07</t>
        </is>
      </c>
      <c r="H1309" s="16" t="inlineStr">
        <is>
          <t>lhs</t>
        </is>
      </c>
      <c r="I1309" s="16" t="inlineStr">
        <is>
          <t>KALINA</t>
        </is>
      </c>
      <c r="J1309" s="16" t="inlineStr">
        <is>
          <t>KALINA</t>
        </is>
      </c>
      <c r="K1309" s="16" t="b">
        <v>1</v>
      </c>
      <c r="L1309" s="16" t="b">
        <v>1</v>
      </c>
      <c r="M1309" s="16" t="b">
        <v>0</v>
      </c>
      <c r="N1309" s="16" t="b">
        <v>0</v>
      </c>
      <c r="O1309" s="16" t="n">
        <v>436.5241959718242</v>
      </c>
      <c r="P1309" s="16" t="n">
        <v>299.3563907041109</v>
      </c>
      <c r="Q1309" s="16" t="n">
        <v>4702.230184271984</v>
      </c>
      <c r="R1309" s="16" t="n">
        <v>1464.867445124028</v>
      </c>
      <c r="S1309" s="16" t="n">
        <v>0.6245543344784574</v>
      </c>
      <c r="T1309" s="16" t="n">
        <v>0.7576365543506851</v>
      </c>
      <c r="U1309" s="16" t="n">
        <v>0.8316555067953814</v>
      </c>
      <c r="V1309" s="16" t="n">
        <v>0.6318762991929415</v>
      </c>
      <c r="W1309" s="16" t="n">
        <v>0.8647668218353417</v>
      </c>
      <c r="X1309" s="16" t="n">
        <v>0.9457764414248226</v>
      </c>
      <c r="Y1309" s="16" t="n">
        <v>299.3563907041109</v>
      </c>
      <c r="Z1309" s="16" t="n">
        <v>7.14555151814191</v>
      </c>
      <c r="AA1309" s="16" t="n">
        <v>37.8833271203797</v>
      </c>
      <c r="AB1309" s="16" t="n">
        <v>3237.362739147956</v>
      </c>
      <c r="AC1309" s="16" t="n">
        <v>3.210003881186569</v>
      </c>
      <c r="AD1309" s="16" t="n"/>
      <c r="AE1309" s="16" t="n"/>
    </row>
    <row r="1310">
      <c r="A1310" s="16" t="inlineStr">
        <is>
          <t>KF-M04-0238</t>
        </is>
      </c>
      <c r="B1310" s="16" t="inlineStr">
        <is>
          <t>3.2</t>
        </is>
      </c>
      <c r="C1310" s="16" t="inlineStr">
        <is>
          <t>3.2</t>
        </is>
      </c>
      <c r="D1310" s="16" t="inlineStr">
        <is>
          <t>muestra de 300 puntos</t>
        </is>
      </c>
      <c r="E1310" s="16" t="inlineStr">
        <is>
          <t>KF-M04</t>
        </is>
      </c>
      <c r="F1310" s="16" t="inlineStr">
        <is>
          <t>KF-M04</t>
        </is>
      </c>
      <c r="G1310" s="16" t="inlineStr">
        <is>
          <t>B07</t>
        </is>
      </c>
      <c r="H1310" s="16" t="inlineStr">
        <is>
          <t>lhs</t>
        </is>
      </c>
      <c r="I1310" s="16" t="inlineStr">
        <is>
          <t>CORREGIBLE</t>
        </is>
      </c>
      <c r="J1310" s="16" t="inlineStr">
        <is>
          <t>CORREGIBLE</t>
        </is>
      </c>
      <c r="K1310" s="16" t="b">
        <v>1</v>
      </c>
      <c r="L1310" s="16" t="b">
        <v>0</v>
      </c>
      <c r="M1310" s="16" t="b">
        <v>1</v>
      </c>
      <c r="N1310" s="16" t="b">
        <v>0</v>
      </c>
      <c r="O1310" s="16" t="n">
        <v>461.2784551018678</v>
      </c>
      <c r="P1310" s="16" t="n">
        <v>299.5470727457512</v>
      </c>
      <c r="Q1310" s="16" t="n">
        <v>2493.33274063554</v>
      </c>
      <c r="R1310" s="16" t="n">
        <v>973.3351270029729</v>
      </c>
      <c r="S1310" s="16" t="n">
        <v>0.6555936764334402</v>
      </c>
      <c r="T1310" s="16" t="n">
        <v>0.8514702800974231</v>
      </c>
      <c r="U1310" s="16" t="n">
        <v>0.7987249073976249</v>
      </c>
      <c r="V1310" s="16" t="n">
        <v>0.924149104086588</v>
      </c>
      <c r="W1310" s="16" t="n">
        <v>0.658971660473011</v>
      </c>
      <c r="X1310" s="16" t="n">
        <v>0.7909468752541378</v>
      </c>
      <c r="Y1310" s="16" t="n">
        <v>299.5470727457512</v>
      </c>
      <c r="Z1310" s="16" t="n">
        <v>6.86967009426228</v>
      </c>
      <c r="AA1310" s="16" t="n">
        <v>107.8705361525475</v>
      </c>
      <c r="AB1310" s="16" t="n">
        <v>1519.997613632567</v>
      </c>
      <c r="AC1310" s="16" t="n">
        <v>2.561638506064032</v>
      </c>
      <c r="AD1310" s="16" t="inlineStr">
        <is>
          <t>O2</t>
        </is>
      </c>
      <c r="AE1310" s="16" t="n"/>
    </row>
    <row r="1311">
      <c r="A1311" s="16" t="inlineStr">
        <is>
          <t>KF-M04-0239</t>
        </is>
      </c>
      <c r="B1311" s="16" t="inlineStr">
        <is>
          <t>3.2</t>
        </is>
      </c>
      <c r="C1311" s="16" t="inlineStr">
        <is>
          <t>3.2</t>
        </is>
      </c>
      <c r="D1311" s="16" t="inlineStr">
        <is>
          <t>muestra de 300 puntos</t>
        </is>
      </c>
      <c r="E1311" s="16" t="inlineStr">
        <is>
          <t>KF-M04</t>
        </is>
      </c>
      <c r="F1311" s="16" t="inlineStr">
        <is>
          <t>KF-M04</t>
        </is>
      </c>
      <c r="G1311" s="16" t="inlineStr">
        <is>
          <t>B07</t>
        </is>
      </c>
      <c r="H1311" s="16" t="inlineStr">
        <is>
          <t>lhs</t>
        </is>
      </c>
      <c r="I1311" s="16" t="inlineStr">
        <is>
          <t>CORREGIBLE</t>
        </is>
      </c>
      <c r="J1311" s="16" t="inlineStr">
        <is>
          <t>CORREGIBLE</t>
        </is>
      </c>
      <c r="K1311" s="16" t="b">
        <v>1</v>
      </c>
      <c r="L1311" s="16" t="b">
        <v>0</v>
      </c>
      <c r="M1311" s="16" t="b">
        <v>1</v>
      </c>
      <c r="N1311" s="16" t="b">
        <v>0</v>
      </c>
      <c r="O1311" s="16" t="n">
        <v>483.6846165350545</v>
      </c>
      <c r="P1311" s="16" t="n">
        <v>303.3308155170789</v>
      </c>
      <c r="Q1311" s="16" t="n">
        <v>3196.211656475389</v>
      </c>
      <c r="R1311" s="16" t="n">
        <v>801.1242899270544</v>
      </c>
      <c r="S1311" s="16" t="n">
        <v>0.7275051486979791</v>
      </c>
      <c r="T1311" s="16" t="n">
        <v>0.783979683595015</v>
      </c>
      <c r="U1311" s="16" t="n">
        <v>0.842453106043431</v>
      </c>
      <c r="V1311" s="16" t="n">
        <v>0.9079762811504296</v>
      </c>
      <c r="W1311" s="16" t="n">
        <v>0.8421781140655128</v>
      </c>
      <c r="X1311" s="16" t="n">
        <v>0.8847658675909628</v>
      </c>
      <c r="Y1311" s="16" t="n">
        <v>303.3308155170789</v>
      </c>
      <c r="Z1311" s="16" t="n">
        <v>9.90277326712684</v>
      </c>
      <c r="AA1311" s="16" t="n">
        <v>159.579086392721</v>
      </c>
      <c r="AB1311" s="16" t="n">
        <v>2395.087366548334</v>
      </c>
      <c r="AC1311" s="16" t="n">
        <v>3.989657655700861</v>
      </c>
      <c r="AD1311" s="16" t="inlineStr">
        <is>
          <t>O2</t>
        </is>
      </c>
      <c r="AE1311" s="16" t="n"/>
    </row>
    <row r="1312">
      <c r="A1312" s="16" t="inlineStr">
        <is>
          <t>KF-M04-0240</t>
        </is>
      </c>
      <c r="B1312" s="16" t="inlineStr">
        <is>
          <t>3.2</t>
        </is>
      </c>
      <c r="C1312" s="16" t="inlineStr">
        <is>
          <t>3.2</t>
        </is>
      </c>
      <c r="D1312" s="16" t="inlineStr">
        <is>
          <t>muestra de 300 puntos</t>
        </is>
      </c>
      <c r="E1312" s="16" t="inlineStr">
        <is>
          <t>KF-M04</t>
        </is>
      </c>
      <c r="F1312" s="16" t="inlineStr">
        <is>
          <t>KF-M04</t>
        </is>
      </c>
      <c r="G1312" s="16" t="inlineStr">
        <is>
          <t>B07</t>
        </is>
      </c>
      <c r="H1312" s="16" t="inlineStr">
        <is>
          <t>lhs</t>
        </is>
      </c>
      <c r="I1312" s="16" t="inlineStr">
        <is>
          <t>INVIABLE</t>
        </is>
      </c>
      <c r="J1312" s="16" t="inlineStr">
        <is>
          <t>INVIABLE</t>
        </is>
      </c>
      <c r="K1312" s="16" t="b">
        <v>1</v>
      </c>
      <c r="L1312" s="16" t="b">
        <v>0</v>
      </c>
      <c r="M1312" s="16" t="b">
        <v>0</v>
      </c>
      <c r="N1312" s="16" t="b">
        <v>0</v>
      </c>
      <c r="O1312" s="16" t="n">
        <v>418.6333538110085</v>
      </c>
      <c r="P1312" s="16" t="n">
        <v>292.3839815711045</v>
      </c>
      <c r="Q1312" s="16" t="n">
        <v>3126.873834830641</v>
      </c>
      <c r="R1312" s="16" t="n">
        <v>1247.611980786854</v>
      </c>
      <c r="S1312" s="16" t="n">
        <v>0.6101471034956187</v>
      </c>
      <c r="T1312" s="16" t="n">
        <v>0.8805427317788102</v>
      </c>
      <c r="U1312" s="16" t="n">
        <v>0.6761532047810334</v>
      </c>
      <c r="V1312" s="16" t="n">
        <v>0.8317342105981421</v>
      </c>
      <c r="W1312" s="16" t="n">
        <v>0.851825436453898</v>
      </c>
      <c r="X1312" s="16" t="n">
        <v>0.7875498437801165</v>
      </c>
      <c r="Y1312" s="16" t="n">
        <v>292.3839815711045</v>
      </c>
      <c r="Z1312" s="16" t="n">
        <v>7.70702165050257</v>
      </c>
      <c r="AA1312" s="16" t="n">
        <v>51.08393794416858</v>
      </c>
      <c r="AB1312" s="16" t="n">
        <v>1879.261854043787</v>
      </c>
      <c r="AC1312" s="16" t="n">
        <v>2.506287117296325</v>
      </c>
      <c r="AD1312" s="16" t="inlineStr">
        <is>
          <t>S3</t>
        </is>
      </c>
      <c r="AE1312" s="16" t="n"/>
    </row>
    <row r="1313">
      <c r="A1313" s="16" t="inlineStr">
        <is>
          <t>KF-M04-0241</t>
        </is>
      </c>
      <c r="B1313" s="16" t="inlineStr">
        <is>
          <t>3.2</t>
        </is>
      </c>
      <c r="C1313" s="16" t="inlineStr">
        <is>
          <t>3.2</t>
        </is>
      </c>
      <c r="D1313" s="16" t="inlineStr">
        <is>
          <t>muestra de 300 puntos</t>
        </is>
      </c>
      <c r="E1313" s="16" t="inlineStr">
        <is>
          <t>KF-M04</t>
        </is>
      </c>
      <c r="F1313" s="16" t="inlineStr">
        <is>
          <t>KF-M04</t>
        </is>
      </c>
      <c r="G1313" s="16" t="inlineStr">
        <is>
          <t>B07</t>
        </is>
      </c>
      <c r="H1313" s="16" t="inlineStr">
        <is>
          <t>lhs</t>
        </is>
      </c>
      <c r="I1313" s="16" t="inlineStr">
        <is>
          <t>CORREGIBLE</t>
        </is>
      </c>
      <c r="J1313" s="16" t="inlineStr">
        <is>
          <t>CORREGIBLE</t>
        </is>
      </c>
      <c r="K1313" s="16" t="b">
        <v>1</v>
      </c>
      <c r="L1313" s="16" t="b">
        <v>0</v>
      </c>
      <c r="M1313" s="16" t="b">
        <v>1</v>
      </c>
      <c r="N1313" s="16" t="b">
        <v>0</v>
      </c>
      <c r="O1313" s="16" t="n">
        <v>454.3490101703642</v>
      </c>
      <c r="P1313" s="16" t="n">
        <v>281.7356048700285</v>
      </c>
      <c r="Q1313" s="16" t="n">
        <v>3041.878040889472</v>
      </c>
      <c r="R1313" s="16" t="n">
        <v>1161.275268138855</v>
      </c>
      <c r="S1313" s="16" t="n">
        <v>0.5871718556141458</v>
      </c>
      <c r="T1313" s="16" t="n">
        <v>0.8549605916693075</v>
      </c>
      <c r="U1313" s="16" t="n">
        <v>0.7056114750179454</v>
      </c>
      <c r="V1313" s="16" t="n">
        <v>0.7591979176321435</v>
      </c>
      <c r="W1313" s="16" t="n">
        <v>0.7827759631177218</v>
      </c>
      <c r="X1313" s="16" t="n">
        <v>0.7810985764956829</v>
      </c>
      <c r="Y1313" s="16" t="n">
        <v>281.7356048700285</v>
      </c>
      <c r="Z1313" s="16" t="n">
        <v>7.69790762594227</v>
      </c>
      <c r="AA1313" s="16" t="n">
        <v>87.54900851316725</v>
      </c>
      <c r="AB1313" s="16" t="n">
        <v>1880.602772750617</v>
      </c>
      <c r="AC1313" s="16" t="n">
        <v>2.619428936745213</v>
      </c>
      <c r="AD1313" s="16" t="inlineStr">
        <is>
          <t>O2</t>
        </is>
      </c>
      <c r="AE1313" s="16" t="n"/>
    </row>
    <row r="1314">
      <c r="A1314" s="16" t="inlineStr">
        <is>
          <t>KF-M04-0242</t>
        </is>
      </c>
      <c r="B1314" s="16" t="inlineStr">
        <is>
          <t>3.2</t>
        </is>
      </c>
      <c r="C1314" s="16" t="inlineStr">
        <is>
          <t>3.2</t>
        </is>
      </c>
      <c r="D1314" s="16" t="inlineStr">
        <is>
          <t>muestra de 300 puntos</t>
        </is>
      </c>
      <c r="E1314" s="16" t="inlineStr">
        <is>
          <t>KF-M04</t>
        </is>
      </c>
      <c r="F1314" s="16" t="inlineStr">
        <is>
          <t>KF-M04</t>
        </is>
      </c>
      <c r="G1314" s="16" t="inlineStr">
        <is>
          <t>B07</t>
        </is>
      </c>
      <c r="H1314" s="16" t="inlineStr">
        <is>
          <t>lhs</t>
        </is>
      </c>
      <c r="I1314" s="16" t="inlineStr">
        <is>
          <t>CORREGIBLE</t>
        </is>
      </c>
      <c r="J1314" s="16" t="inlineStr">
        <is>
          <t>CORREGIBLE</t>
        </is>
      </c>
      <c r="K1314" s="16" t="b">
        <v>1</v>
      </c>
      <c r="L1314" s="16" t="b">
        <v>0</v>
      </c>
      <c r="M1314" s="16" t="b">
        <v>1</v>
      </c>
      <c r="N1314" s="16" t="b">
        <v>0</v>
      </c>
      <c r="O1314" s="16" t="n">
        <v>485.8309987543348</v>
      </c>
      <c r="P1314" s="16" t="n">
        <v>297.3821645648199</v>
      </c>
      <c r="Q1314" s="16" t="n">
        <v>2991.432788258667</v>
      </c>
      <c r="R1314" s="16" t="n">
        <v>467.4007399490317</v>
      </c>
      <c r="S1314" s="16" t="n">
        <v>0.5609096114881178</v>
      </c>
      <c r="T1314" s="16" t="n">
        <v>0.8904036920093497</v>
      </c>
      <c r="U1314" s="16" t="n">
        <v>0.7941352977533609</v>
      </c>
      <c r="V1314" s="16" t="n">
        <v>0.7794391990168741</v>
      </c>
      <c r="W1314" s="16" t="n">
        <v>0.9233159063459324</v>
      </c>
      <c r="X1314" s="16" t="n">
        <v>0.7859178266192093</v>
      </c>
      <c r="Y1314" s="16" t="n">
        <v>297.3821645648199</v>
      </c>
      <c r="Z1314" s="16" t="n">
        <v>13.30406465736319</v>
      </c>
      <c r="AA1314" s="16" t="n">
        <v>193.4342257732221</v>
      </c>
      <c r="AB1314" s="16" t="n">
        <v>2524.032048309636</v>
      </c>
      <c r="AC1314" s="16" t="n">
        <v>6.400145597939943</v>
      </c>
      <c r="AD1314" s="16" t="inlineStr">
        <is>
          <t>O2</t>
        </is>
      </c>
      <c r="AE1314" s="16" t="n"/>
    </row>
    <row r="1315">
      <c r="A1315" s="16" t="inlineStr">
        <is>
          <t>KF-M04-0243</t>
        </is>
      </c>
      <c r="B1315" s="16" t="inlineStr">
        <is>
          <t>3.2</t>
        </is>
      </c>
      <c r="C1315" s="16" t="inlineStr">
        <is>
          <t>3.2</t>
        </is>
      </c>
      <c r="D1315" s="16" t="inlineStr">
        <is>
          <t>muestra de 300 puntos</t>
        </is>
      </c>
      <c r="E1315" s="16" t="inlineStr">
        <is>
          <t>KF-M04</t>
        </is>
      </c>
      <c r="F1315" s="16" t="inlineStr">
        <is>
          <t>KF-M04</t>
        </is>
      </c>
      <c r="G1315" s="16" t="inlineStr">
        <is>
          <t>B07</t>
        </is>
      </c>
      <c r="H1315" s="16" t="inlineStr">
        <is>
          <t>lhs</t>
        </is>
      </c>
      <c r="I1315" s="16" t="inlineStr">
        <is>
          <t>KALINA</t>
        </is>
      </c>
      <c r="J1315" s="16" t="inlineStr">
        <is>
          <t>KALINA</t>
        </is>
      </c>
      <c r="K1315" s="16" t="b">
        <v>1</v>
      </c>
      <c r="L1315" s="16" t="b">
        <v>1</v>
      </c>
      <c r="M1315" s="16" t="b">
        <v>0</v>
      </c>
      <c r="N1315" s="16" t="b">
        <v>0</v>
      </c>
      <c r="O1315" s="16" t="n">
        <v>403.9901879931364</v>
      </c>
      <c r="P1315" s="16" t="n">
        <v>301.4359851023136</v>
      </c>
      <c r="Q1315" s="16" t="n">
        <v>3327.772238845569</v>
      </c>
      <c r="R1315" s="16" t="n">
        <v>1205.063074717169</v>
      </c>
      <c r="S1315" s="16" t="n">
        <v>0.7494550393713024</v>
      </c>
      <c r="T1315" s="16" t="n">
        <v>0.8404051796470344</v>
      </c>
      <c r="U1315" s="16" t="n">
        <v>0.6646739914960442</v>
      </c>
      <c r="V1315" s="16" t="n">
        <v>0.6505528040027816</v>
      </c>
      <c r="W1315" s="16" t="n">
        <v>0.9201968273951158</v>
      </c>
      <c r="X1315" s="16" t="n">
        <v>0.9364437427882945</v>
      </c>
      <c r="Y1315" s="16" t="n">
        <v>301.4359851023136</v>
      </c>
      <c r="Z1315" s="16" t="n">
        <v>8.27329743419536</v>
      </c>
      <c r="AA1315" s="16" t="n">
        <v>49.65565946704061</v>
      </c>
      <c r="AB1315" s="16" t="n">
        <v>2122.7091641284</v>
      </c>
      <c r="AC1315" s="16" t="n">
        <v>2.761492164737189</v>
      </c>
      <c r="AD1315" s="16" t="n"/>
      <c r="AE1315" s="16" t="n"/>
    </row>
    <row r="1316">
      <c r="A1316" s="16" t="inlineStr">
        <is>
          <t>KF-M04-0244</t>
        </is>
      </c>
      <c r="B1316" s="16" t="inlineStr">
        <is>
          <t>3.2</t>
        </is>
      </c>
      <c r="C1316" s="16" t="inlineStr">
        <is>
          <t>3.2</t>
        </is>
      </c>
      <c r="D1316" s="16" t="inlineStr">
        <is>
          <t>muestra de 300 puntos</t>
        </is>
      </c>
      <c r="E1316" s="16" t="inlineStr">
        <is>
          <t>KF-M04</t>
        </is>
      </c>
      <c r="F1316" s="16" t="inlineStr">
        <is>
          <t>KF-M04</t>
        </is>
      </c>
      <c r="G1316" s="16" t="inlineStr">
        <is>
          <t>B07</t>
        </is>
      </c>
      <c r="H1316" s="16" t="inlineStr">
        <is>
          <t>lhs</t>
        </is>
      </c>
      <c r="I1316" s="16" t="inlineStr">
        <is>
          <t>CORREGIBLE</t>
        </is>
      </c>
      <c r="J1316" s="16" t="inlineStr">
        <is>
          <t>CORREGIBLE</t>
        </is>
      </c>
      <c r="K1316" s="16" t="b">
        <v>1</v>
      </c>
      <c r="L1316" s="16" t="b">
        <v>0</v>
      </c>
      <c r="M1316" s="16" t="b">
        <v>0</v>
      </c>
      <c r="N1316" s="16" t="b">
        <v>0</v>
      </c>
      <c r="O1316" s="16" t="n">
        <v>464.0753516053844</v>
      </c>
      <c r="P1316" s="16" t="n">
        <v>285.9828594716552</v>
      </c>
      <c r="Q1316" s="16" t="n">
        <v>3614.682523970197</v>
      </c>
      <c r="R1316" s="16" t="n">
        <v>500.4614034143506</v>
      </c>
      <c r="S1316" s="16" t="n">
        <v>0.7621638047280941</v>
      </c>
      <c r="T1316" s="16" t="n">
        <v>0.7747769765173986</v>
      </c>
      <c r="U1316" s="16" t="n">
        <v>0.7278312166374339</v>
      </c>
      <c r="V1316" s="16" t="n">
        <v>0.6251446291258024</v>
      </c>
      <c r="W1316" s="16" t="n">
        <v>0.6554820060872781</v>
      </c>
      <c r="X1316" s="16" t="n">
        <v>0.8165147683052826</v>
      </c>
      <c r="Y1316" s="16" t="n">
        <v>285.9828594716552</v>
      </c>
      <c r="Z1316" s="16" t="n">
        <v>13.45197551072942</v>
      </c>
      <c r="AA1316" s="16" t="n">
        <v>141.5598149245158</v>
      </c>
      <c r="AB1316" s="16" t="n">
        <v>3114.221120555846</v>
      </c>
      <c r="AC1316" s="16" t="n">
        <v>7.222699891159173</v>
      </c>
      <c r="AD1316" s="16" t="inlineStr">
        <is>
          <t>O2</t>
        </is>
      </c>
      <c r="AE1316" s="16" t="n"/>
    </row>
    <row r="1317">
      <c r="A1317" s="16" t="inlineStr">
        <is>
          <t>KF-M04-0245</t>
        </is>
      </c>
      <c r="B1317" s="16" t="inlineStr">
        <is>
          <t>3.2</t>
        </is>
      </c>
      <c r="C1317" s="16" t="inlineStr">
        <is>
          <t>3.2</t>
        </is>
      </c>
      <c r="D1317" s="16" t="inlineStr">
        <is>
          <t>muestra de 300 puntos</t>
        </is>
      </c>
      <c r="E1317" s="16" t="inlineStr">
        <is>
          <t>KF-M04</t>
        </is>
      </c>
      <c r="F1317" s="16" t="inlineStr">
        <is>
          <t>KF-M04</t>
        </is>
      </c>
      <c r="G1317" s="16" t="inlineStr">
        <is>
          <t>B07</t>
        </is>
      </c>
      <c r="H1317" s="16" t="inlineStr">
        <is>
          <t>lhs</t>
        </is>
      </c>
      <c r="I1317" s="16" t="inlineStr">
        <is>
          <t>CORREGIBLE</t>
        </is>
      </c>
      <c r="J1317" s="16" t="inlineStr">
        <is>
          <t>CORREGIBLE</t>
        </is>
      </c>
      <c r="K1317" s="16" t="b">
        <v>1</v>
      </c>
      <c r="L1317" s="16" t="b">
        <v>0</v>
      </c>
      <c r="M1317" s="16" t="b">
        <v>1</v>
      </c>
      <c r="N1317" s="16" t="b">
        <v>0</v>
      </c>
      <c r="O1317" s="16" t="n">
        <v>489.0192029646505</v>
      </c>
      <c r="P1317" s="16" t="n">
        <v>294.3044498272517</v>
      </c>
      <c r="Q1317" s="16" t="n">
        <v>2251.395536928917</v>
      </c>
      <c r="R1317" s="16" t="n">
        <v>1340.305802740606</v>
      </c>
      <c r="S1317" s="16" t="n">
        <v>0.7469595479825571</v>
      </c>
      <c r="T1317" s="16" t="n">
        <v>0.8317813897673565</v>
      </c>
      <c r="U1317" s="16" t="n">
        <v>0.8512583801695202</v>
      </c>
      <c r="V1317" s="16" t="n">
        <v>0.8455850793983759</v>
      </c>
      <c r="W1317" s="16" t="n">
        <v>0.6159304850459316</v>
      </c>
      <c r="X1317" s="16" t="n">
        <v>0.8748400759058738</v>
      </c>
      <c r="Y1317" s="16" t="n">
        <v>294.3044498272517</v>
      </c>
      <c r="Z1317" s="16" t="n">
        <v>4.37283372735367</v>
      </c>
      <c r="AA1317" s="16" t="n">
        <v>68.7885837285144</v>
      </c>
      <c r="AB1317" s="16" t="n">
        <v>911.0897341883112</v>
      </c>
      <c r="AC1317" s="16" t="n">
        <v>1.679762582781743</v>
      </c>
      <c r="AD1317" s="16" t="inlineStr">
        <is>
          <t>O2</t>
        </is>
      </c>
      <c r="AE1317" s="16" t="n"/>
    </row>
    <row r="1318">
      <c r="A1318" s="16" t="inlineStr">
        <is>
          <t>KF-M04-0246</t>
        </is>
      </c>
      <c r="B1318" s="16" t="inlineStr">
        <is>
          <t>3.2</t>
        </is>
      </c>
      <c r="C1318" s="16" t="inlineStr">
        <is>
          <t>3.2</t>
        </is>
      </c>
      <c r="D1318" s="16" t="inlineStr">
        <is>
          <t>muestra de 300 puntos</t>
        </is>
      </c>
      <c r="E1318" s="16" t="inlineStr">
        <is>
          <t>KF-M04</t>
        </is>
      </c>
      <c r="F1318" s="16" t="inlineStr">
        <is>
          <t>KF-M04</t>
        </is>
      </c>
      <c r="G1318" s="16" t="inlineStr">
        <is>
          <t>B07</t>
        </is>
      </c>
      <c r="H1318" s="16" t="inlineStr">
        <is>
          <t>lhs</t>
        </is>
      </c>
      <c r="I1318" s="16" t="inlineStr">
        <is>
          <t>KALINA</t>
        </is>
      </c>
      <c r="J1318" s="16" t="inlineStr">
        <is>
          <t>KALINA</t>
        </is>
      </c>
      <c r="K1318" s="16" t="b">
        <v>1</v>
      </c>
      <c r="L1318" s="16" t="b">
        <v>1</v>
      </c>
      <c r="M1318" s="16" t="b">
        <v>0</v>
      </c>
      <c r="N1318" s="16" t="b">
        <v>0</v>
      </c>
      <c r="O1318" s="16" t="n">
        <v>434.1453460259523</v>
      </c>
      <c r="P1318" s="16" t="n">
        <v>283.4750661229878</v>
      </c>
      <c r="Q1318" s="16" t="n">
        <v>4588.917036782899</v>
      </c>
      <c r="R1318" s="16" t="n">
        <v>976.8138472025904</v>
      </c>
      <c r="S1318" s="16" t="n">
        <v>0.703772637799957</v>
      </c>
      <c r="T1318" s="16" t="n">
        <v>0.8229346619981747</v>
      </c>
      <c r="U1318" s="16" t="n">
        <v>0.7584659465059291</v>
      </c>
      <c r="V1318" s="16" t="n">
        <v>0.6086778130624531</v>
      </c>
      <c r="W1318" s="16" t="n">
        <v>0.6461755682872263</v>
      </c>
      <c r="X1318" s="16" t="n">
        <v>0.888815001240246</v>
      </c>
      <c r="Y1318" s="16" t="n">
        <v>283.4750661229878</v>
      </c>
      <c r="Z1318" s="16" t="n">
        <v>9.76633807774911</v>
      </c>
      <c r="AA1318" s="16" t="n">
        <v>66.04719450719216</v>
      </c>
      <c r="AB1318" s="16" t="n">
        <v>3612.103189580309</v>
      </c>
      <c r="AC1318" s="16" t="n">
        <v>4.697841917295386</v>
      </c>
      <c r="AD1318" s="16" t="n"/>
      <c r="AE1318" s="16" t="n"/>
    </row>
    <row r="1319">
      <c r="A1319" s="16" t="inlineStr">
        <is>
          <t>KF-M04-0247</t>
        </is>
      </c>
      <c r="B1319" s="16" t="inlineStr">
        <is>
          <t>3.2</t>
        </is>
      </c>
      <c r="C1319" s="16" t="inlineStr">
        <is>
          <t>3.2</t>
        </is>
      </c>
      <c r="D1319" s="16" t="inlineStr">
        <is>
          <t>muestra de 300 puntos</t>
        </is>
      </c>
      <c r="E1319" s="16" t="inlineStr">
        <is>
          <t>KF-M04</t>
        </is>
      </c>
      <c r="F1319" s="16" t="inlineStr">
        <is>
          <t>KF-M04</t>
        </is>
      </c>
      <c r="G1319" s="16" t="inlineStr">
        <is>
          <t>B07</t>
        </is>
      </c>
      <c r="H1319" s="16" t="inlineStr">
        <is>
          <t>lhs</t>
        </is>
      </c>
      <c r="I1319" s="16" t="inlineStr">
        <is>
          <t>CORREGIBLE</t>
        </is>
      </c>
      <c r="J1319" s="16" t="inlineStr">
        <is>
          <t>CORREGIBLE</t>
        </is>
      </c>
      <c r="K1319" s="16" t="b">
        <v>1</v>
      </c>
      <c r="L1319" s="16" t="b">
        <v>0</v>
      </c>
      <c r="M1319" s="16" t="b">
        <v>1</v>
      </c>
      <c r="N1319" s="16" t="b">
        <v>0</v>
      </c>
      <c r="O1319" s="16" t="n">
        <v>424.0809749996675</v>
      </c>
      <c r="P1319" s="16" t="n">
        <v>282.6358633868163</v>
      </c>
      <c r="Q1319" s="16" t="n">
        <v>2467.373004707456</v>
      </c>
      <c r="R1319" s="16" t="n">
        <v>1119.328580188661</v>
      </c>
      <c r="S1319" s="16" t="n">
        <v>0.5305921793173206</v>
      </c>
      <c r="T1319" s="16" t="n">
        <v>0.8367903983522439</v>
      </c>
      <c r="U1319" s="16" t="n">
        <v>0.689212831322945</v>
      </c>
      <c r="V1319" s="16" t="n">
        <v>0.9447572292921926</v>
      </c>
      <c r="W1319" s="16" t="n">
        <v>0.7623994785811088</v>
      </c>
      <c r="X1319" s="16" t="n">
        <v>0.73907231802582</v>
      </c>
      <c r="Y1319" s="16" t="n">
        <v>282.6358633868163</v>
      </c>
      <c r="Z1319" s="16" t="n">
        <v>6.064544317338251</v>
      </c>
      <c r="AA1319" s="16" t="n">
        <v>48.42130468653532</v>
      </c>
      <c r="AB1319" s="16" t="n">
        <v>1348.044424518795</v>
      </c>
      <c r="AC1319" s="16" t="n">
        <v>2.204333069286576</v>
      </c>
      <c r="AD1319" s="16" t="inlineStr">
        <is>
          <t>O2</t>
        </is>
      </c>
      <c r="AE1319" s="16" t="n"/>
    </row>
    <row r="1320">
      <c r="A1320" s="16" t="inlineStr">
        <is>
          <t>KF-M04-0248</t>
        </is>
      </c>
      <c r="B1320" s="16" t="inlineStr">
        <is>
          <t>3.2</t>
        </is>
      </c>
      <c r="C1320" s="16" t="inlineStr">
        <is>
          <t>3.2</t>
        </is>
      </c>
      <c r="D1320" s="16" t="inlineStr">
        <is>
          <t>muestra de 300 puntos</t>
        </is>
      </c>
      <c r="E1320" s="16" t="inlineStr">
        <is>
          <t>KF-M04</t>
        </is>
      </c>
      <c r="F1320" s="16" t="inlineStr">
        <is>
          <t>KF-M04</t>
        </is>
      </c>
      <c r="G1320" s="16" t="inlineStr">
        <is>
          <t>B07</t>
        </is>
      </c>
      <c r="H1320" s="16" t="inlineStr">
        <is>
          <t>lhs</t>
        </is>
      </c>
      <c r="I1320" s="16" t="inlineStr">
        <is>
          <t>CORREGIBLE</t>
        </is>
      </c>
      <c r="J1320" s="16" t="inlineStr">
        <is>
          <t>CORREGIBLE</t>
        </is>
      </c>
      <c r="K1320" s="16" t="b">
        <v>1</v>
      </c>
      <c r="L1320" s="16" t="b">
        <v>0</v>
      </c>
      <c r="M1320" s="16" t="b">
        <v>0</v>
      </c>
      <c r="N1320" s="16" t="b">
        <v>0</v>
      </c>
      <c r="O1320" s="16" t="n">
        <v>480.175595405674</v>
      </c>
      <c r="P1320" s="16" t="n">
        <v>295.4795993558668</v>
      </c>
      <c r="Q1320" s="16" t="n">
        <v>2669.174650351103</v>
      </c>
      <c r="R1320" s="16" t="n">
        <v>608.5111264401344</v>
      </c>
      <c r="S1320" s="16" t="n">
        <v>0.7918713117144509</v>
      </c>
      <c r="T1320" s="16" t="n">
        <v>0.8865295136297178</v>
      </c>
      <c r="U1320" s="16" t="n">
        <v>0.8500372029856259</v>
      </c>
      <c r="V1320" s="16" t="n">
        <v>0.6501104605364716</v>
      </c>
      <c r="W1320" s="16" t="n">
        <v>0.8450648797390854</v>
      </c>
      <c r="X1320" s="16" t="n">
        <v>0.8248687813684582</v>
      </c>
      <c r="Y1320" s="16" t="n">
        <v>295.4795993558668</v>
      </c>
      <c r="Z1320" s="16" t="n">
        <v>10.51372593661362</v>
      </c>
      <c r="AA1320" s="16" t="n">
        <v>89.93258605837465</v>
      </c>
      <c r="AB1320" s="16" t="n">
        <v>2060.663523910969</v>
      </c>
      <c r="AC1320" s="16" t="n">
        <v>4.386402375197486</v>
      </c>
      <c r="AD1320" s="16" t="inlineStr">
        <is>
          <t>O2</t>
        </is>
      </c>
      <c r="AE1320" s="16" t="n"/>
    </row>
    <row r="1321">
      <c r="A1321" s="16" t="inlineStr">
        <is>
          <t>KF-M04-0249</t>
        </is>
      </c>
      <c r="B1321" s="16" t="inlineStr">
        <is>
          <t>3.2</t>
        </is>
      </c>
      <c r="C1321" s="16" t="inlineStr">
        <is>
          <t>3.2</t>
        </is>
      </c>
      <c r="D1321" s="16" t="inlineStr">
        <is>
          <t>muestra de 300 puntos</t>
        </is>
      </c>
      <c r="E1321" s="16" t="inlineStr">
        <is>
          <t>KF-M04</t>
        </is>
      </c>
      <c r="F1321" s="16" t="inlineStr">
        <is>
          <t>KF-M04</t>
        </is>
      </c>
      <c r="G1321" s="16" t="inlineStr">
        <is>
          <t>B07</t>
        </is>
      </c>
      <c r="H1321" s="16" t="inlineStr">
        <is>
          <t>lhs</t>
        </is>
      </c>
      <c r="I1321" s="16" t="inlineStr">
        <is>
          <t>KALINA</t>
        </is>
      </c>
      <c r="J1321" s="16" t="inlineStr">
        <is>
          <t>KALINA</t>
        </is>
      </c>
      <c r="K1321" s="16" t="b">
        <v>1</v>
      </c>
      <c r="L1321" s="16" t="b">
        <v>1</v>
      </c>
      <c r="M1321" s="16" t="b">
        <v>0</v>
      </c>
      <c r="N1321" s="16" t="b">
        <v>0</v>
      </c>
      <c r="O1321" s="16" t="n">
        <v>382.4138281961342</v>
      </c>
      <c r="P1321" s="16" t="n">
        <v>281.0990682245778</v>
      </c>
      <c r="Q1321" s="16" t="n">
        <v>3491.429147490326</v>
      </c>
      <c r="R1321" s="16" t="n">
        <v>1122.456530609773</v>
      </c>
      <c r="S1321" s="16" t="n">
        <v>0.7142887739450012</v>
      </c>
      <c r="T1321" s="16" t="n">
        <v>0.7989528768423086</v>
      </c>
      <c r="U1321" s="16" t="n">
        <v>0.7192666909490378</v>
      </c>
      <c r="V1321" s="16" t="n">
        <v>0.7236997155909346</v>
      </c>
      <c r="W1321" s="16" t="n">
        <v>0.73227565601014</v>
      </c>
      <c r="X1321" s="16" t="n">
        <v>0.7605461558213099</v>
      </c>
      <c r="Y1321" s="16" t="n">
        <v>281.0990682245778</v>
      </c>
      <c r="Z1321" s="16" t="n">
        <v>6.73806181146889</v>
      </c>
      <c r="AA1321" s="16" t="n">
        <v>26.6738069083927</v>
      </c>
      <c r="AB1321" s="16" t="n">
        <v>2368.972616880553</v>
      </c>
      <c r="AC1321" s="16" t="n">
        <v>3.110525042420673</v>
      </c>
      <c r="AD1321" s="16" t="n"/>
      <c r="AE1321" s="16" t="n"/>
    </row>
    <row r="1322">
      <c r="A1322" s="16" t="inlineStr">
        <is>
          <t>KF-M04-0250</t>
        </is>
      </c>
      <c r="B1322" s="16" t="inlineStr">
        <is>
          <t>3.2</t>
        </is>
      </c>
      <c r="C1322" s="16" t="inlineStr">
        <is>
          <t>3.2</t>
        </is>
      </c>
      <c r="D1322" s="16" t="inlineStr">
        <is>
          <t>muestra de 300 puntos</t>
        </is>
      </c>
      <c r="E1322" s="16" t="inlineStr">
        <is>
          <t>KF-M04</t>
        </is>
      </c>
      <c r="F1322" s="16" t="inlineStr">
        <is>
          <t>KF-M04</t>
        </is>
      </c>
      <c r="G1322" s="16" t="inlineStr">
        <is>
          <t>B07</t>
        </is>
      </c>
      <c r="H1322" s="16" t="inlineStr">
        <is>
          <t>lhs</t>
        </is>
      </c>
      <c r="I1322" s="16" t="inlineStr">
        <is>
          <t>CORREGIBLE</t>
        </is>
      </c>
      <c r="J1322" s="16" t="inlineStr">
        <is>
          <t>CORREGIBLE</t>
        </is>
      </c>
      <c r="K1322" s="16" t="b">
        <v>1</v>
      </c>
      <c r="L1322" s="16" t="b">
        <v>0</v>
      </c>
      <c r="M1322" s="16" t="b">
        <v>0</v>
      </c>
      <c r="N1322" s="16" t="b">
        <v>0</v>
      </c>
      <c r="O1322" s="16" t="n">
        <v>426.5963064388209</v>
      </c>
      <c r="P1322" s="16" t="n">
        <v>294.5832235303347</v>
      </c>
      <c r="Q1322" s="16" t="n">
        <v>2372.337325066554</v>
      </c>
      <c r="R1322" s="16" t="n">
        <v>1284.238433056974</v>
      </c>
      <c r="S1322" s="16" t="n">
        <v>0.7477788090664439</v>
      </c>
      <c r="T1322" s="16" t="n">
        <v>0.8059731562372188</v>
      </c>
      <c r="U1322" s="16" t="n">
        <v>0.7767179055804239</v>
      </c>
      <c r="V1322" s="16" t="n">
        <v>0.7369283322345929</v>
      </c>
      <c r="W1322" s="16" t="n">
        <v>0.7399224326012873</v>
      </c>
      <c r="X1322" s="16" t="n">
        <v>0.7467183994555707</v>
      </c>
      <c r="Y1322" s="16" t="n">
        <v>294.5832235303347</v>
      </c>
      <c r="Z1322" s="16" t="n">
        <v>4.753419674862021</v>
      </c>
      <c r="AA1322" s="16" t="n">
        <v>46.57169875403176</v>
      </c>
      <c r="AB1322" s="16" t="n">
        <v>1088.098892009579</v>
      </c>
      <c r="AC1322" s="16" t="n">
        <v>1.84727170905444</v>
      </c>
      <c r="AD1322" s="16" t="inlineStr">
        <is>
          <t>O2</t>
        </is>
      </c>
      <c r="AE1322" s="16" t="n"/>
    </row>
    <row r="1323">
      <c r="A1323" s="16" t="inlineStr">
        <is>
          <t>KF-M04-0251</t>
        </is>
      </c>
      <c r="B1323" s="16" t="inlineStr">
        <is>
          <t>3.2</t>
        </is>
      </c>
      <c r="C1323" s="16" t="inlineStr">
        <is>
          <t>3.2</t>
        </is>
      </c>
      <c r="D1323" s="16" t="inlineStr">
        <is>
          <t>muestra de 300 puntos</t>
        </is>
      </c>
      <c r="E1323" s="16" t="inlineStr">
        <is>
          <t>KF-M04</t>
        </is>
      </c>
      <c r="F1323" s="16" t="inlineStr">
        <is>
          <t>KF-M04</t>
        </is>
      </c>
      <c r="G1323" s="16" t="inlineStr">
        <is>
          <t>B07</t>
        </is>
      </c>
      <c r="H1323" s="16" t="inlineStr">
        <is>
          <t>lhs</t>
        </is>
      </c>
      <c r="I1323" s="16" t="inlineStr">
        <is>
          <t>CORREGIBLE</t>
        </is>
      </c>
      <c r="J1323" s="16" t="inlineStr">
        <is>
          <t>CORREGIBLE</t>
        </is>
      </c>
      <c r="K1323" s="16" t="b">
        <v>1</v>
      </c>
      <c r="L1323" s="16" t="b">
        <v>0</v>
      </c>
      <c r="M1323" s="16" t="b">
        <v>1</v>
      </c>
      <c r="N1323" s="16" t="b">
        <v>0</v>
      </c>
      <c r="O1323" s="16" t="n">
        <v>485.0166845610353</v>
      </c>
      <c r="P1323" s="16" t="n">
        <v>293.1676358520551</v>
      </c>
      <c r="Q1323" s="16" t="n">
        <v>3297.487010782806</v>
      </c>
      <c r="R1323" s="16" t="n">
        <v>815.7720961782053</v>
      </c>
      <c r="S1323" s="16" t="n">
        <v>0.6869411139672826</v>
      </c>
      <c r="T1323" s="16" t="n">
        <v>0.8036727520571653</v>
      </c>
      <c r="U1323" s="16" t="n">
        <v>0.8136008078947046</v>
      </c>
      <c r="V1323" s="16" t="n">
        <v>0.8086841034813834</v>
      </c>
      <c r="W1323" s="16" t="n">
        <v>0.6902953855678676</v>
      </c>
      <c r="X1323" s="16" t="n">
        <v>0.7013496301353244</v>
      </c>
      <c r="Y1323" s="16" t="n">
        <v>293.1676358520551</v>
      </c>
      <c r="Z1323" s="16" t="n">
        <v>8.838406955604821</v>
      </c>
      <c r="AA1323" s="16" t="n">
        <v>112.2824768752662</v>
      </c>
      <c r="AB1323" s="16" t="n">
        <v>2481.7149146046</v>
      </c>
      <c r="AC1323" s="16" t="n">
        <v>4.04216695598089</v>
      </c>
      <c r="AD1323" s="16" t="inlineStr">
        <is>
          <t>O2</t>
        </is>
      </c>
      <c r="AE1323" s="16" t="n"/>
    </row>
    <row r="1324">
      <c r="A1324" s="16" t="inlineStr">
        <is>
          <t>KF-M04-0252</t>
        </is>
      </c>
      <c r="B1324" s="16" t="inlineStr">
        <is>
          <t>3.2</t>
        </is>
      </c>
      <c r="C1324" s="16" t="inlineStr">
        <is>
          <t>3.2</t>
        </is>
      </c>
      <c r="D1324" s="16" t="inlineStr">
        <is>
          <t>muestra de 300 puntos</t>
        </is>
      </c>
      <c r="E1324" s="16" t="inlineStr">
        <is>
          <t>KF-M04</t>
        </is>
      </c>
      <c r="F1324" s="16" t="inlineStr">
        <is>
          <t>KF-M04</t>
        </is>
      </c>
      <c r="G1324" s="16" t="inlineStr">
        <is>
          <t>B07</t>
        </is>
      </c>
      <c r="H1324" s="16" t="inlineStr">
        <is>
          <t>lhs</t>
        </is>
      </c>
      <c r="I1324" s="16" t="inlineStr">
        <is>
          <t>NO_CONVERGIO</t>
        </is>
      </c>
      <c r="J1324" s="16" t="inlineStr">
        <is>
          <t>NO_CONVERGIO</t>
        </is>
      </c>
      <c r="K1324" s="16" t="b">
        <v>0</v>
      </c>
      <c r="L1324" s="16" t="b">
        <v>0</v>
      </c>
      <c r="M1324" s="16" t="b">
        <v>0</v>
      </c>
      <c r="N1324" s="16" t="b">
        <v>0</v>
      </c>
      <c r="O1324" s="16" t="n">
        <v>386.6700466867887</v>
      </c>
      <c r="P1324" s="16" t="n">
        <v>278.3590475868853</v>
      </c>
      <c r="Q1324" s="16" t="n">
        <v>4536.454313399127</v>
      </c>
      <c r="R1324" s="16" t="n">
        <v>328.5843609878258</v>
      </c>
      <c r="S1324" s="16" t="n">
        <v>0.5586238405615949</v>
      </c>
      <c r="T1324" s="16" t="n">
        <v>0.751402352588421</v>
      </c>
      <c r="U1324" s="16" t="n">
        <v>0.7524859109482961</v>
      </c>
      <c r="V1324" s="16" t="n">
        <v>0.7660610797779711</v>
      </c>
      <c r="W1324" s="16" t="n">
        <v>0.7493737148860503</v>
      </c>
      <c r="X1324" s="16" t="n">
        <v>0.7636356102070717</v>
      </c>
      <c r="Y1324" s="16" t="n">
        <v>278.3590475868853</v>
      </c>
      <c r="Z1324" s="16" t="n"/>
      <c r="AA1324" s="16" t="n"/>
      <c r="AB1324" s="16" t="n">
        <v>4207.869952411302</v>
      </c>
      <c r="AC1324" s="16" t="n">
        <v>13.80605668438129</v>
      </c>
      <c r="AD1324" s="16" t="n"/>
      <c r="AE1324" s="16" t="n"/>
    </row>
    <row r="1325">
      <c r="A1325" s="16" t="inlineStr">
        <is>
          <t>KF-M04-0253</t>
        </is>
      </c>
      <c r="B1325" s="16" t="inlineStr">
        <is>
          <t>3.2</t>
        </is>
      </c>
      <c r="C1325" s="16" t="inlineStr">
        <is>
          <t>3.2</t>
        </is>
      </c>
      <c r="D1325" s="16" t="inlineStr">
        <is>
          <t>muestra de 300 puntos</t>
        </is>
      </c>
      <c r="E1325" s="16" t="inlineStr">
        <is>
          <t>KF-M04</t>
        </is>
      </c>
      <c r="F1325" s="16" t="inlineStr">
        <is>
          <t>KF-M04</t>
        </is>
      </c>
      <c r="G1325" s="16" t="inlineStr">
        <is>
          <t>B07</t>
        </is>
      </c>
      <c r="H1325" s="16" t="inlineStr">
        <is>
          <t>lhs</t>
        </is>
      </c>
      <c r="I1325" s="16" t="inlineStr">
        <is>
          <t>CORREGIBLE</t>
        </is>
      </c>
      <c r="J1325" s="16" t="inlineStr">
        <is>
          <t>CORREGIBLE</t>
        </is>
      </c>
      <c r="K1325" s="16" t="b">
        <v>1</v>
      </c>
      <c r="L1325" s="16" t="b">
        <v>0</v>
      </c>
      <c r="M1325" s="16" t="b">
        <v>0</v>
      </c>
      <c r="N1325" s="16" t="b">
        <v>0</v>
      </c>
      <c r="O1325" s="16" t="n">
        <v>425.3919270470792</v>
      </c>
      <c r="P1325" s="16" t="n">
        <v>301.1895086099282</v>
      </c>
      <c r="Q1325" s="16" t="n">
        <v>4057.000960629413</v>
      </c>
      <c r="R1325" s="16" t="n">
        <v>1438.266041719052</v>
      </c>
      <c r="S1325" s="16" t="n">
        <v>0.6583016866431044</v>
      </c>
      <c r="T1325" s="16" t="n">
        <v>0.8994500337629592</v>
      </c>
      <c r="U1325" s="16" t="n">
        <v>0.7297796077451839</v>
      </c>
      <c r="V1325" s="16" t="n">
        <v>0.6897940450180331</v>
      </c>
      <c r="W1325" s="16" t="n">
        <v>0.9270267883025668</v>
      </c>
      <c r="X1325" s="16" t="n">
        <v>0.7126811195504291</v>
      </c>
      <c r="Y1325" s="16" t="n">
        <v>301.1895086099282</v>
      </c>
      <c r="Z1325" s="16" t="n">
        <v>9.502986901869249</v>
      </c>
      <c r="AA1325" s="16" t="n">
        <v>51.31756859438374</v>
      </c>
      <c r="AB1325" s="16" t="n">
        <v>2618.734918910361</v>
      </c>
      <c r="AC1325" s="16" t="n">
        <v>2.820758359684543</v>
      </c>
      <c r="AD1325" s="16" t="inlineStr">
        <is>
          <t>O2</t>
        </is>
      </c>
      <c r="AE1325" s="16" t="n"/>
    </row>
    <row r="1326">
      <c r="A1326" s="16" t="inlineStr">
        <is>
          <t>KF-M04-0254</t>
        </is>
      </c>
      <c r="B1326" s="16" t="inlineStr">
        <is>
          <t>3.2</t>
        </is>
      </c>
      <c r="C1326" s="16" t="inlineStr">
        <is>
          <t>3.2</t>
        </is>
      </c>
      <c r="D1326" s="16" t="inlineStr">
        <is>
          <t>muestra de 300 puntos</t>
        </is>
      </c>
      <c r="E1326" s="16" t="inlineStr">
        <is>
          <t>KF-M04</t>
        </is>
      </c>
      <c r="F1326" s="16" t="inlineStr">
        <is>
          <t>KF-M04</t>
        </is>
      </c>
      <c r="G1326" s="16" t="inlineStr">
        <is>
          <t>B07</t>
        </is>
      </c>
      <c r="H1326" s="16" t="inlineStr">
        <is>
          <t>lhs</t>
        </is>
      </c>
      <c r="I1326" s="16" t="inlineStr">
        <is>
          <t>NO_CONVERGIO</t>
        </is>
      </c>
      <c r="J1326" s="16" t="inlineStr">
        <is>
          <t>NO_CONVERGIO</t>
        </is>
      </c>
      <c r="K1326" s="16" t="b">
        <v>0</v>
      </c>
      <c r="L1326" s="16" t="b">
        <v>0</v>
      </c>
      <c r="M1326" s="16" t="b">
        <v>0</v>
      </c>
      <c r="N1326" s="16" t="b">
        <v>0</v>
      </c>
      <c r="O1326" s="16" t="n">
        <v>498.3162534567387</v>
      </c>
      <c r="P1326" s="16" t="n">
        <v>295.7641016553802</v>
      </c>
      <c r="Q1326" s="16" t="n">
        <v>2931.470571288104</v>
      </c>
      <c r="R1326" s="16" t="n">
        <v>1223.327062052129</v>
      </c>
      <c r="S1326" s="16" t="n">
        <v>0.8192209732599409</v>
      </c>
      <c r="T1326" s="16" t="n">
        <v>0.8858043597170799</v>
      </c>
      <c r="U1326" s="16" t="n">
        <v>0.8493492356929037</v>
      </c>
      <c r="V1326" s="16" t="n">
        <v>0.881087466078692</v>
      </c>
      <c r="W1326" s="16" t="n">
        <v>0.8167946701390238</v>
      </c>
      <c r="X1326" s="16" t="n">
        <v>0.9096704517602716</v>
      </c>
      <c r="Y1326" s="16" t="n">
        <v>295.7641016553802</v>
      </c>
      <c r="Z1326" s="16" t="n"/>
      <c r="AA1326" s="16" t="n"/>
      <c r="AB1326" s="16" t="n">
        <v>1708.143509235975</v>
      </c>
      <c r="AC1326" s="16" t="n">
        <v>2.396309754131137</v>
      </c>
      <c r="AD1326" s="16" t="n"/>
      <c r="AE1326" s="16" t="n"/>
    </row>
    <row r="1327">
      <c r="A1327" s="16" t="inlineStr">
        <is>
          <t>KF-M04-0255</t>
        </is>
      </c>
      <c r="B1327" s="16" t="inlineStr">
        <is>
          <t>3.2</t>
        </is>
      </c>
      <c r="C1327" s="16" t="inlineStr">
        <is>
          <t>3.2</t>
        </is>
      </c>
      <c r="D1327" s="16" t="inlineStr">
        <is>
          <t>muestra de 300 puntos</t>
        </is>
      </c>
      <c r="E1327" s="16" t="inlineStr">
        <is>
          <t>KF-M04</t>
        </is>
      </c>
      <c r="F1327" s="16" t="inlineStr">
        <is>
          <t>KF-M04</t>
        </is>
      </c>
      <c r="G1327" s="16" t="inlineStr">
        <is>
          <t>B07</t>
        </is>
      </c>
      <c r="H1327" s="16" t="inlineStr">
        <is>
          <t>lhs</t>
        </is>
      </c>
      <c r="I1327" s="16" t="inlineStr">
        <is>
          <t>KALINA</t>
        </is>
      </c>
      <c r="J1327" s="16" t="inlineStr">
        <is>
          <t>KALINA</t>
        </is>
      </c>
      <c r="K1327" s="16" t="b">
        <v>1</v>
      </c>
      <c r="L1327" s="16" t="b">
        <v>1</v>
      </c>
      <c r="M1327" s="16" t="b">
        <v>0</v>
      </c>
      <c r="N1327" s="16" t="b">
        <v>0</v>
      </c>
      <c r="O1327" s="16" t="n">
        <v>421.4521819297212</v>
      </c>
      <c r="P1327" s="16" t="n">
        <v>279.3652384122813</v>
      </c>
      <c r="Q1327" s="16" t="n">
        <v>2761.686995571216</v>
      </c>
      <c r="R1327" s="16" t="n">
        <v>709.6704518480492</v>
      </c>
      <c r="S1327" s="16" t="n">
        <v>0.7354457641975405</v>
      </c>
      <c r="T1327" s="16" t="n">
        <v>0.8540674453740179</v>
      </c>
      <c r="U1327" s="16" t="n">
        <v>0.8244515710865304</v>
      </c>
      <c r="V1327" s="16" t="n">
        <v>0.6519818144304315</v>
      </c>
      <c r="W1327" s="16" t="n">
        <v>0.6851119338024917</v>
      </c>
      <c r="X1327" s="16" t="n">
        <v>0.9417529780522867</v>
      </c>
      <c r="Y1327" s="16" t="n">
        <v>279.3652384122813</v>
      </c>
      <c r="Z1327" s="16" t="n">
        <v>10.25015313744935</v>
      </c>
      <c r="AA1327" s="16" t="n">
        <v>91.387537291174</v>
      </c>
      <c r="AB1327" s="16" t="n">
        <v>2052.016543723167</v>
      </c>
      <c r="AC1327" s="16" t="n">
        <v>3.891506245440431</v>
      </c>
      <c r="AD1327" s="16" t="n"/>
      <c r="AE1327" s="16" t="n"/>
    </row>
    <row r="1328">
      <c r="A1328" s="16" t="inlineStr">
        <is>
          <t>KF-M04-0256</t>
        </is>
      </c>
      <c r="B1328" s="16" t="inlineStr">
        <is>
          <t>3.2</t>
        </is>
      </c>
      <c r="C1328" s="16" t="inlineStr">
        <is>
          <t>3.2</t>
        </is>
      </c>
      <c r="D1328" s="16" t="inlineStr">
        <is>
          <t>muestra de 300 puntos</t>
        </is>
      </c>
      <c r="E1328" s="16" t="inlineStr">
        <is>
          <t>KF-M04</t>
        </is>
      </c>
      <c r="F1328" s="16" t="inlineStr">
        <is>
          <t>KF-M04</t>
        </is>
      </c>
      <c r="G1328" s="16" t="inlineStr">
        <is>
          <t>B07</t>
        </is>
      </c>
      <c r="H1328" s="16" t="inlineStr">
        <is>
          <t>lhs</t>
        </is>
      </c>
      <c r="I1328" s="16" t="inlineStr">
        <is>
          <t>CORREGIBLE</t>
        </is>
      </c>
      <c r="J1328" s="16" t="inlineStr">
        <is>
          <t>CORREGIBLE</t>
        </is>
      </c>
      <c r="K1328" s="16" t="b">
        <v>1</v>
      </c>
      <c r="L1328" s="16" t="b">
        <v>0</v>
      </c>
      <c r="M1328" s="16" t="b">
        <v>1</v>
      </c>
      <c r="N1328" s="16" t="b">
        <v>0</v>
      </c>
      <c r="O1328" s="16" t="n">
        <v>443.181942001407</v>
      </c>
      <c r="P1328" s="16" t="n">
        <v>285.5024515329162</v>
      </c>
      <c r="Q1328" s="16" t="n">
        <v>4134.185703392221</v>
      </c>
      <c r="R1328" s="16" t="n">
        <v>1399.190997438363</v>
      </c>
      <c r="S1328" s="16" t="n">
        <v>0.8167893770895491</v>
      </c>
      <c r="T1328" s="16" t="n">
        <v>0.8497632759188071</v>
      </c>
      <c r="U1328" s="16" t="n">
        <v>0.7266432119963873</v>
      </c>
      <c r="V1328" s="16" t="n">
        <v>0.8990323076492839</v>
      </c>
      <c r="W1328" s="16" t="n">
        <v>0.6884124521505856</v>
      </c>
      <c r="X1328" s="16" t="n">
        <v>0.8576107642005121</v>
      </c>
      <c r="Y1328" s="16" t="n">
        <v>285.5024515329162</v>
      </c>
      <c r="Z1328" s="16" t="n">
        <v>9.63426495319427</v>
      </c>
      <c r="AA1328" s="16" t="n">
        <v>133.4820308922153</v>
      </c>
      <c r="AB1328" s="16" t="n">
        <v>2734.994705953858</v>
      </c>
      <c r="AC1328" s="16" t="n">
        <v>2.954697186417782</v>
      </c>
      <c r="AD1328" s="16" t="inlineStr">
        <is>
          <t>O2</t>
        </is>
      </c>
      <c r="AE1328" s="16" t="n"/>
    </row>
    <row r="1329">
      <c r="A1329" s="16" t="inlineStr">
        <is>
          <t>KF-M04-0257</t>
        </is>
      </c>
      <c r="B1329" s="16" t="inlineStr">
        <is>
          <t>3.2</t>
        </is>
      </c>
      <c r="C1329" s="16" t="inlineStr">
        <is>
          <t>3.2</t>
        </is>
      </c>
      <c r="D1329" s="16" t="inlineStr">
        <is>
          <t>muestra de 300 puntos</t>
        </is>
      </c>
      <c r="E1329" s="16" t="inlineStr">
        <is>
          <t>KF-M04</t>
        </is>
      </c>
      <c r="F1329" s="16" t="inlineStr">
        <is>
          <t>KF-M04</t>
        </is>
      </c>
      <c r="G1329" s="16" t="inlineStr">
        <is>
          <t>B07</t>
        </is>
      </c>
      <c r="H1329" s="16" t="inlineStr">
        <is>
          <t>lhs</t>
        </is>
      </c>
      <c r="I1329" s="16" t="inlineStr">
        <is>
          <t>NO_CONVERGIO</t>
        </is>
      </c>
      <c r="J1329" s="16" t="inlineStr">
        <is>
          <t>NO_CONVERGIO</t>
        </is>
      </c>
      <c r="K1329" s="16" t="b">
        <v>0</v>
      </c>
      <c r="L1329" s="16" t="b">
        <v>0</v>
      </c>
      <c r="M1329" s="16" t="b">
        <v>0</v>
      </c>
      <c r="N1329" s="16" t="b">
        <v>0</v>
      </c>
      <c r="O1329" s="16" t="n">
        <v>396.0101167385824</v>
      </c>
      <c r="P1329" s="16" t="n">
        <v>297.6200333033918</v>
      </c>
      <c r="Q1329" s="16" t="n">
        <v>4784.510602589246</v>
      </c>
      <c r="R1329" s="16" t="n">
        <v>507.5453731251175</v>
      </c>
      <c r="S1329" s="16" t="n">
        <v>0.702455048722244</v>
      </c>
      <c r="T1329" s="16" t="n">
        <v>0.9024104693234012</v>
      </c>
      <c r="U1329" s="16" t="n">
        <v>0.7725295535639427</v>
      </c>
      <c r="V1329" s="16" t="n">
        <v>0.6652420521739613</v>
      </c>
      <c r="W1329" s="16" t="n">
        <v>0.8076805930158836</v>
      </c>
      <c r="X1329" s="16" t="n">
        <v>0.8850130504141593</v>
      </c>
      <c r="Y1329" s="16" t="n">
        <v>297.6200333033918</v>
      </c>
      <c r="Z1329" s="16" t="n"/>
      <c r="AA1329" s="16" t="n"/>
      <c r="AB1329" s="16" t="n">
        <v>4276.965229464128</v>
      </c>
      <c r="AC1329" s="16" t="n">
        <v>9.426764297208541</v>
      </c>
      <c r="AD1329" s="16" t="n"/>
      <c r="AE1329" s="16" t="n"/>
    </row>
    <row r="1330">
      <c r="A1330" s="16" t="inlineStr">
        <is>
          <t>KF-M04-0258</t>
        </is>
      </c>
      <c r="B1330" s="16" t="inlineStr">
        <is>
          <t>3.2</t>
        </is>
      </c>
      <c r="C1330" s="16" t="inlineStr">
        <is>
          <t>3.2</t>
        </is>
      </c>
      <c r="D1330" s="16" t="inlineStr">
        <is>
          <t>muestra de 300 puntos</t>
        </is>
      </c>
      <c r="E1330" s="16" t="inlineStr">
        <is>
          <t>KF-M04</t>
        </is>
      </c>
      <c r="F1330" s="16" t="inlineStr">
        <is>
          <t>KF-M04</t>
        </is>
      </c>
      <c r="G1330" s="16" t="inlineStr">
        <is>
          <t>B07</t>
        </is>
      </c>
      <c r="H1330" s="16" t="inlineStr">
        <is>
          <t>lhs</t>
        </is>
      </c>
      <c r="I1330" s="16" t="inlineStr">
        <is>
          <t>CORREGIBLE</t>
        </is>
      </c>
      <c r="J1330" s="16" t="inlineStr">
        <is>
          <t>CORREGIBLE</t>
        </is>
      </c>
      <c r="K1330" s="16" t="b">
        <v>1</v>
      </c>
      <c r="L1330" s="16" t="b">
        <v>0</v>
      </c>
      <c r="M1330" s="16" t="b">
        <v>0</v>
      </c>
      <c r="N1330" s="16" t="b">
        <v>0</v>
      </c>
      <c r="O1330" s="16" t="n">
        <v>425.1356096831565</v>
      </c>
      <c r="P1330" s="16" t="n">
        <v>298.5993608780948</v>
      </c>
      <c r="Q1330" s="16" t="n">
        <v>4744.047708087763</v>
      </c>
      <c r="R1330" s="16" t="n">
        <v>1310.73990752675</v>
      </c>
      <c r="S1330" s="16" t="n">
        <v>0.7555269867747059</v>
      </c>
      <c r="T1330" s="16" t="n">
        <v>0.7692141709135736</v>
      </c>
      <c r="U1330" s="16" t="n">
        <v>0.8625424274466089</v>
      </c>
      <c r="V1330" s="16" t="n">
        <v>0.8615683044436779</v>
      </c>
      <c r="W1330" s="16" t="n">
        <v>0.9052464467599884</v>
      </c>
      <c r="X1330" s="16" t="n">
        <v>0.8360542520587132</v>
      </c>
      <c r="Y1330" s="16" t="n">
        <v>298.5993608780948</v>
      </c>
      <c r="Z1330" s="16" t="n">
        <v>10.21959206533548</v>
      </c>
      <c r="AA1330" s="16" t="n">
        <v>84.21987014967493</v>
      </c>
      <c r="AB1330" s="16" t="n">
        <v>3433.307800561013</v>
      </c>
      <c r="AC1330" s="16" t="n">
        <v>3.619366192213801</v>
      </c>
      <c r="AD1330" s="16" t="inlineStr">
        <is>
          <t>O2</t>
        </is>
      </c>
      <c r="AE1330" s="16" t="n"/>
    </row>
    <row r="1331">
      <c r="A1331" s="16" t="inlineStr">
        <is>
          <t>KF-M04-0259</t>
        </is>
      </c>
      <c r="B1331" s="16" t="inlineStr">
        <is>
          <t>3.2</t>
        </is>
      </c>
      <c r="C1331" s="16" t="inlineStr">
        <is>
          <t>3.2</t>
        </is>
      </c>
      <c r="D1331" s="16" t="inlineStr">
        <is>
          <t>muestra de 300 puntos</t>
        </is>
      </c>
      <c r="E1331" s="16" t="inlineStr">
        <is>
          <t>KF-M04</t>
        </is>
      </c>
      <c r="F1331" s="16" t="inlineStr">
        <is>
          <t>KF-M04</t>
        </is>
      </c>
      <c r="G1331" s="16" t="inlineStr">
        <is>
          <t>B07</t>
        </is>
      </c>
      <c r="H1331" s="16" t="inlineStr">
        <is>
          <t>lhs</t>
        </is>
      </c>
      <c r="I1331" s="16" t="inlineStr">
        <is>
          <t>NO_CONVERGIO</t>
        </is>
      </c>
      <c r="J1331" s="16" t="inlineStr">
        <is>
          <t>NO_CONVERGIO</t>
        </is>
      </c>
      <c r="K1331" s="16" t="b">
        <v>0</v>
      </c>
      <c r="L1331" s="16" t="b">
        <v>0</v>
      </c>
      <c r="M1331" s="16" t="b">
        <v>0</v>
      </c>
      <c r="N1331" s="16" t="b">
        <v>0</v>
      </c>
      <c r="O1331" s="16" t="n">
        <v>471.943888054163</v>
      </c>
      <c r="P1331" s="16" t="n">
        <v>281.6523848782051</v>
      </c>
      <c r="Q1331" s="16" t="n">
        <v>3240.600488638109</v>
      </c>
      <c r="R1331" s="16" t="n">
        <v>653.4198130836471</v>
      </c>
      <c r="S1331" s="16" t="n">
        <v>0.6171689926094736</v>
      </c>
      <c r="T1331" s="16" t="n">
        <v>0.8609668719206571</v>
      </c>
      <c r="U1331" s="16" t="n">
        <v>0.6910577666561563</v>
      </c>
      <c r="V1331" s="16" t="n">
        <v>0.6423705403745191</v>
      </c>
      <c r="W1331" s="16" t="n">
        <v>0.6664499655179916</v>
      </c>
      <c r="X1331" s="16" t="n">
        <v>0.9332268723838903</v>
      </c>
      <c r="Y1331" s="16" t="n">
        <v>281.6523848782051</v>
      </c>
      <c r="Z1331" s="16" t="n"/>
      <c r="AA1331" s="16" t="n"/>
      <c r="AB1331" s="16" t="n">
        <v>2587.180675554462</v>
      </c>
      <c r="AC1331" s="16" t="n">
        <v>4.959446321875252</v>
      </c>
      <c r="AD1331" s="16" t="n"/>
      <c r="AE1331" s="16" t="n"/>
    </row>
    <row r="1332">
      <c r="A1332" s="16" t="inlineStr">
        <is>
          <t>KF-M04-0260</t>
        </is>
      </c>
      <c r="B1332" s="16" t="inlineStr">
        <is>
          <t>3.2</t>
        </is>
      </c>
      <c r="C1332" s="16" t="inlineStr">
        <is>
          <t>3.2</t>
        </is>
      </c>
      <c r="D1332" s="16" t="inlineStr">
        <is>
          <t>muestra de 300 puntos</t>
        </is>
      </c>
      <c r="E1332" s="16" t="inlineStr">
        <is>
          <t>KF-M04</t>
        </is>
      </c>
      <c r="F1332" s="16" t="inlineStr">
        <is>
          <t>KF-M04</t>
        </is>
      </c>
      <c r="G1332" s="16" t="inlineStr">
        <is>
          <t>B07</t>
        </is>
      </c>
      <c r="H1332" s="16" t="inlineStr">
        <is>
          <t>lhs</t>
        </is>
      </c>
      <c r="I1332" s="16" t="inlineStr">
        <is>
          <t>KALINA</t>
        </is>
      </c>
      <c r="J1332" s="16" t="inlineStr">
        <is>
          <t>KALINA</t>
        </is>
      </c>
      <c r="K1332" s="16" t="b">
        <v>1</v>
      </c>
      <c r="L1332" s="16" t="b">
        <v>1</v>
      </c>
      <c r="M1332" s="16" t="b">
        <v>0</v>
      </c>
      <c r="N1332" s="16" t="b">
        <v>0</v>
      </c>
      <c r="O1332" s="16" t="n">
        <v>406.0208979521294</v>
      </c>
      <c r="P1332" s="16" t="n">
        <v>292.8096789436848</v>
      </c>
      <c r="Q1332" s="16" t="n">
        <v>2005.39507330362</v>
      </c>
      <c r="R1332" s="16" t="n">
        <v>1295.157266668871</v>
      </c>
      <c r="S1332" s="16" t="n">
        <v>0.7977564881171847</v>
      </c>
      <c r="T1332" s="16" t="n">
        <v>0.7824174624291546</v>
      </c>
      <c r="U1332" s="16" t="n">
        <v>0.8730952724843166</v>
      </c>
      <c r="V1332" s="16" t="n">
        <v>0.675861343704537</v>
      </c>
      <c r="W1332" s="16" t="n">
        <v>0.8685869131860321</v>
      </c>
      <c r="X1332" s="16" t="n">
        <v>0.9111390044255731</v>
      </c>
      <c r="Y1332" s="16" t="n">
        <v>292.8096789436848</v>
      </c>
      <c r="Z1332" s="16" t="n">
        <v>3.73772113579302</v>
      </c>
      <c r="AA1332" s="16" t="n">
        <v>34.15442979321527</v>
      </c>
      <c r="AB1332" s="16" t="n">
        <v>710.2378066347492</v>
      </c>
      <c r="AC1332" s="16" t="n">
        <v>1.548379586721134</v>
      </c>
      <c r="AD1332" s="16" t="n"/>
      <c r="AE1332" s="16" t="n"/>
    </row>
    <row r="1333">
      <c r="A1333" s="16" t="inlineStr">
        <is>
          <t>KF-M04-0261</t>
        </is>
      </c>
      <c r="B1333" s="16" t="inlineStr">
        <is>
          <t>3.2</t>
        </is>
      </c>
      <c r="C1333" s="16" t="inlineStr">
        <is>
          <t>3.2</t>
        </is>
      </c>
      <c r="D1333" s="16" t="inlineStr">
        <is>
          <t>muestra de 300 puntos</t>
        </is>
      </c>
      <c r="E1333" s="16" t="inlineStr">
        <is>
          <t>KF-M04</t>
        </is>
      </c>
      <c r="F1333" s="16" t="inlineStr">
        <is>
          <t>KF-M04</t>
        </is>
      </c>
      <c r="G1333" s="16" t="inlineStr">
        <is>
          <t>B07</t>
        </is>
      </c>
      <c r="H1333" s="16" t="inlineStr">
        <is>
          <t>lhs</t>
        </is>
      </c>
      <c r="I1333" s="16" t="inlineStr">
        <is>
          <t>CORREGIBLE</t>
        </is>
      </c>
      <c r="J1333" s="16" t="inlineStr">
        <is>
          <t>CORREGIBLE</t>
        </is>
      </c>
      <c r="K1333" s="16" t="b">
        <v>1</v>
      </c>
      <c r="L1333" s="16" t="b">
        <v>0</v>
      </c>
      <c r="M1333" s="16" t="b">
        <v>1</v>
      </c>
      <c r="N1333" s="16" t="b">
        <v>0</v>
      </c>
      <c r="O1333" s="16" t="n">
        <v>458.1232408840985</v>
      </c>
      <c r="P1333" s="16" t="n">
        <v>288.6237899365004</v>
      </c>
      <c r="Q1333" s="16" t="n">
        <v>4097.87975060235</v>
      </c>
      <c r="R1333" s="16" t="n">
        <v>599.3993838589877</v>
      </c>
      <c r="S1333" s="16" t="n">
        <v>0.5023835531178387</v>
      </c>
      <c r="T1333" s="16" t="n">
        <v>0.8380289722419727</v>
      </c>
      <c r="U1333" s="16" t="n">
        <v>0.6838840380393243</v>
      </c>
      <c r="V1333" s="16" t="n">
        <v>0.7720054172204862</v>
      </c>
      <c r="W1333" s="16" t="n">
        <v>0.8212298588693914</v>
      </c>
      <c r="X1333" s="16" t="n">
        <v>0.8004377579339135</v>
      </c>
      <c r="Y1333" s="16" t="n">
        <v>288.6237899365004</v>
      </c>
      <c r="Z1333" s="16" t="n">
        <v>12.72612584923111</v>
      </c>
      <c r="AA1333" s="16" t="n">
        <v>98.23417594279022</v>
      </c>
      <c r="AB1333" s="16" t="n">
        <v>3498.480366743363</v>
      </c>
      <c r="AC1333" s="16" t="n">
        <v>6.836643248145883</v>
      </c>
      <c r="AD1333" s="16" t="inlineStr">
        <is>
          <t>O2</t>
        </is>
      </c>
      <c r="AE1333" s="16" t="n"/>
    </row>
    <row r="1334">
      <c r="A1334" s="16" t="inlineStr">
        <is>
          <t>KF-M04-0262</t>
        </is>
      </c>
      <c r="B1334" s="16" t="inlineStr">
        <is>
          <t>3.2</t>
        </is>
      </c>
      <c r="C1334" s="16" t="inlineStr">
        <is>
          <t>3.2</t>
        </is>
      </c>
      <c r="D1334" s="16" t="inlineStr">
        <is>
          <t>muestra de 300 puntos</t>
        </is>
      </c>
      <c r="E1334" s="16" t="inlineStr">
        <is>
          <t>KF-M04</t>
        </is>
      </c>
      <c r="F1334" s="16" t="inlineStr">
        <is>
          <t>KF-M04</t>
        </is>
      </c>
      <c r="G1334" s="16" t="inlineStr">
        <is>
          <t>B07</t>
        </is>
      </c>
      <c r="H1334" s="16" t="inlineStr">
        <is>
          <t>lhs</t>
        </is>
      </c>
      <c r="I1334" s="16" t="inlineStr">
        <is>
          <t>INVIABLE</t>
        </is>
      </c>
      <c r="J1334" s="16" t="inlineStr">
        <is>
          <t>INVIABLE</t>
        </is>
      </c>
      <c r="K1334" s="16" t="b">
        <v>1</v>
      </c>
      <c r="L1334" s="16" t="b">
        <v>0</v>
      </c>
      <c r="M1334" s="16" t="b">
        <v>0</v>
      </c>
      <c r="N1334" s="16" t="b">
        <v>0</v>
      </c>
      <c r="O1334" s="16" t="n">
        <v>416.2508365797654</v>
      </c>
      <c r="P1334" s="16" t="n">
        <v>299.1938908191185</v>
      </c>
      <c r="Q1334" s="16" t="n">
        <v>4221.270902140441</v>
      </c>
      <c r="R1334" s="16" t="n">
        <v>417.4941825739629</v>
      </c>
      <c r="S1334" s="16" t="n">
        <v>0.7189576834101742</v>
      </c>
      <c r="T1334" s="16" t="n">
        <v>0.7674783603941692</v>
      </c>
      <c r="U1334" s="16" t="n">
        <v>0.7122788873061776</v>
      </c>
      <c r="V1334" s="16" t="n">
        <v>0.9109537492457982</v>
      </c>
      <c r="W1334" s="16" t="n">
        <v>0.8623433728026878</v>
      </c>
      <c r="X1334" s="16" t="n">
        <v>0.872968810801883</v>
      </c>
      <c r="Y1334" s="16" t="n">
        <v>299.1938908191185</v>
      </c>
      <c r="Z1334" s="16" t="n">
        <v>-9.23529253760158</v>
      </c>
      <c r="AA1334" s="16" t="n">
        <v>-30.78093261529327</v>
      </c>
      <c r="AB1334" s="16" t="n">
        <v>3803.776719566478</v>
      </c>
      <c r="AC1334" s="16" t="n">
        <v>10.11096939390911</v>
      </c>
      <c r="AD1334" s="16" t="inlineStr">
        <is>
          <t>O2,O3</t>
        </is>
      </c>
      <c r="AE1334" s="16" t="n"/>
    </row>
    <row r="1335">
      <c r="A1335" s="16" t="inlineStr">
        <is>
          <t>KF-M04-0263</t>
        </is>
      </c>
      <c r="B1335" s="16" t="inlineStr">
        <is>
          <t>3.2</t>
        </is>
      </c>
      <c r="C1335" s="16" t="inlineStr">
        <is>
          <t>3.2</t>
        </is>
      </c>
      <c r="D1335" s="16" t="inlineStr">
        <is>
          <t>muestra de 300 puntos</t>
        </is>
      </c>
      <c r="E1335" s="16" t="inlineStr">
        <is>
          <t>KF-M04</t>
        </is>
      </c>
      <c r="F1335" s="16" t="inlineStr">
        <is>
          <t>KF-M04</t>
        </is>
      </c>
      <c r="G1335" s="16" t="inlineStr">
        <is>
          <t>B07</t>
        </is>
      </c>
      <c r="H1335" s="16" t="inlineStr">
        <is>
          <t>lhs</t>
        </is>
      </c>
      <c r="I1335" s="16" t="inlineStr">
        <is>
          <t>NO_CONVERGIO</t>
        </is>
      </c>
      <c r="J1335" s="16" t="inlineStr">
        <is>
          <t>NO_CONVERGIO</t>
        </is>
      </c>
      <c r="K1335" s="16" t="b">
        <v>0</v>
      </c>
      <c r="L1335" s="16" t="b">
        <v>0</v>
      </c>
      <c r="M1335" s="16" t="b">
        <v>0</v>
      </c>
      <c r="N1335" s="16" t="b">
        <v>0</v>
      </c>
      <c r="O1335" s="16" t="n">
        <v>486.5552398167103</v>
      </c>
      <c r="P1335" s="16" t="n">
        <v>291.2221554003623</v>
      </c>
      <c r="Q1335" s="16" t="n">
        <v>2706.720715021008</v>
      </c>
      <c r="R1335" s="16" t="n">
        <v>306.7283875827424</v>
      </c>
      <c r="S1335" s="16" t="n">
        <v>0.8499842557356352</v>
      </c>
      <c r="T1335" s="16" t="n">
        <v>0.8267236503535308</v>
      </c>
      <c r="U1335" s="16" t="n">
        <v>0.8759382485612202</v>
      </c>
      <c r="V1335" s="16" t="n">
        <v>0.6571247596529621</v>
      </c>
      <c r="W1335" s="16" t="n">
        <v>0.9454746587322054</v>
      </c>
      <c r="X1335" s="16" t="n">
        <v>0.8428332505932049</v>
      </c>
      <c r="Y1335" s="16" t="n">
        <v>291.2221554003623</v>
      </c>
      <c r="Z1335" s="16" t="n"/>
      <c r="AA1335" s="16" t="n"/>
      <c r="AB1335" s="16" t="n">
        <v>2399.992327438266</v>
      </c>
      <c r="AC1335" s="16" t="n">
        <v>8.824487150837479</v>
      </c>
      <c r="AD1335" s="16" t="n"/>
      <c r="AE1335" s="16" t="n"/>
    </row>
    <row r="1336">
      <c r="A1336" s="16" t="inlineStr">
        <is>
          <t>KF-M04-0264</t>
        </is>
      </c>
      <c r="B1336" s="16" t="inlineStr">
        <is>
          <t>3.2</t>
        </is>
      </c>
      <c r="C1336" s="16" t="inlineStr">
        <is>
          <t>3.2</t>
        </is>
      </c>
      <c r="D1336" s="16" t="inlineStr">
        <is>
          <t>muestra de 300 puntos</t>
        </is>
      </c>
      <c r="E1336" s="16" t="inlineStr">
        <is>
          <t>KF-M04</t>
        </is>
      </c>
      <c r="F1336" s="16" t="inlineStr">
        <is>
          <t>KF-M04</t>
        </is>
      </c>
      <c r="G1336" s="16" t="inlineStr">
        <is>
          <t>B07</t>
        </is>
      </c>
      <c r="H1336" s="16" t="inlineStr">
        <is>
          <t>lhs</t>
        </is>
      </c>
      <c r="I1336" s="16" t="inlineStr">
        <is>
          <t>CORREGIBLE</t>
        </is>
      </c>
      <c r="J1336" s="16" t="inlineStr">
        <is>
          <t>CORREGIBLE</t>
        </is>
      </c>
      <c r="K1336" s="16" t="b">
        <v>1</v>
      </c>
      <c r="L1336" s="16" t="b">
        <v>0</v>
      </c>
      <c r="M1336" s="16" t="b">
        <v>1</v>
      </c>
      <c r="N1336" s="16" t="b">
        <v>0</v>
      </c>
      <c r="O1336" s="16" t="n">
        <v>483.3257703561993</v>
      </c>
      <c r="P1336" s="16" t="n">
        <v>284.6878839062722</v>
      </c>
      <c r="Q1336" s="16" t="n">
        <v>2973.486691259374</v>
      </c>
      <c r="R1336" s="16" t="n">
        <v>745.035922898008</v>
      </c>
      <c r="S1336" s="16" t="n">
        <v>0.7316110044382808</v>
      </c>
      <c r="T1336" s="16" t="n">
        <v>0.8573450033567693</v>
      </c>
      <c r="U1336" s="16" t="n">
        <v>0.7538930382766345</v>
      </c>
      <c r="V1336" s="16" t="n">
        <v>0.755053307357494</v>
      </c>
      <c r="W1336" s="16" t="n">
        <v>0.6493949591120287</v>
      </c>
      <c r="X1336" s="16" t="n">
        <v>0.9376128815887969</v>
      </c>
      <c r="Y1336" s="16" t="n">
        <v>284.6878839062722</v>
      </c>
      <c r="Z1336" s="16" t="n">
        <v>10.88891018772218</v>
      </c>
      <c r="AA1336" s="16" t="n">
        <v>161.9679446288611</v>
      </c>
      <c r="AB1336" s="16" t="n">
        <v>2228.450768361366</v>
      </c>
      <c r="AC1336" s="16" t="n">
        <v>3.991064859924117</v>
      </c>
      <c r="AD1336" s="16" t="inlineStr">
        <is>
          <t>O2</t>
        </is>
      </c>
      <c r="AE1336" s="16" t="n"/>
    </row>
    <row r="1337">
      <c r="A1337" s="16" t="inlineStr">
        <is>
          <t>KF-M04-0265</t>
        </is>
      </c>
      <c r="B1337" s="16" t="inlineStr">
        <is>
          <t>3.2</t>
        </is>
      </c>
      <c r="C1337" s="16" t="inlineStr">
        <is>
          <t>3.2</t>
        </is>
      </c>
      <c r="D1337" s="16" t="inlineStr">
        <is>
          <t>muestra de 300 puntos</t>
        </is>
      </c>
      <c r="E1337" s="16" t="inlineStr">
        <is>
          <t>KF-M04</t>
        </is>
      </c>
      <c r="F1337" s="16" t="inlineStr">
        <is>
          <t>KF-M04</t>
        </is>
      </c>
      <c r="G1337" s="16" t="inlineStr">
        <is>
          <t>B07</t>
        </is>
      </c>
      <c r="H1337" s="16" t="inlineStr">
        <is>
          <t>lhs</t>
        </is>
      </c>
      <c r="I1337" s="16" t="inlineStr">
        <is>
          <t>CORREGIBLE</t>
        </is>
      </c>
      <c r="J1337" s="16" t="inlineStr">
        <is>
          <t>CORREGIBLE</t>
        </is>
      </c>
      <c r="K1337" s="16" t="b">
        <v>1</v>
      </c>
      <c r="L1337" s="16" t="b">
        <v>0</v>
      </c>
      <c r="M1337" s="16" t="b">
        <v>0</v>
      </c>
      <c r="N1337" s="16" t="b">
        <v>0</v>
      </c>
      <c r="O1337" s="16" t="n">
        <v>408.5388247598925</v>
      </c>
      <c r="P1337" s="16" t="n">
        <v>302.4137994341331</v>
      </c>
      <c r="Q1337" s="16" t="n">
        <v>2181.880506824388</v>
      </c>
      <c r="R1337" s="16" t="n">
        <v>1089.357485633039</v>
      </c>
      <c r="S1337" s="16" t="n">
        <v>0.6706306571937087</v>
      </c>
      <c r="T1337" s="16" t="n">
        <v>0.9174105341339144</v>
      </c>
      <c r="U1337" s="16" t="n">
        <v>0.673309008657485</v>
      </c>
      <c r="V1337" s="16" t="n">
        <v>0.7976881597287697</v>
      </c>
      <c r="W1337" s="16" t="n">
        <v>0.8896282535493542</v>
      </c>
      <c r="X1337" s="16" t="n">
        <v>0.81045874015028</v>
      </c>
      <c r="Y1337" s="16" t="n">
        <v>302.4137994341331</v>
      </c>
      <c r="Z1337" s="16" t="n">
        <v>6.464436875653091</v>
      </c>
      <c r="AA1337" s="16" t="n">
        <v>50.42796281479142</v>
      </c>
      <c r="AB1337" s="16" t="n">
        <v>1092.523021191349</v>
      </c>
      <c r="AC1337" s="16" t="n">
        <v>2.002905873967048</v>
      </c>
      <c r="AD1337" s="16" t="inlineStr">
        <is>
          <t>O2</t>
        </is>
      </c>
      <c r="AE1337" s="16" t="n"/>
    </row>
    <row r="1338">
      <c r="A1338" s="16" t="inlineStr">
        <is>
          <t>KF-M04-0266</t>
        </is>
      </c>
      <c r="B1338" s="16" t="inlineStr">
        <is>
          <t>3.2</t>
        </is>
      </c>
      <c r="C1338" s="16" t="inlineStr">
        <is>
          <t>3.2</t>
        </is>
      </c>
      <c r="D1338" s="16" t="inlineStr">
        <is>
          <t>muestra de 300 puntos</t>
        </is>
      </c>
      <c r="E1338" s="16" t="inlineStr">
        <is>
          <t>KF-M04</t>
        </is>
      </c>
      <c r="F1338" s="16" t="inlineStr">
        <is>
          <t>KF-M04</t>
        </is>
      </c>
      <c r="G1338" s="16" t="inlineStr">
        <is>
          <t>B07</t>
        </is>
      </c>
      <c r="H1338" s="16" t="inlineStr">
        <is>
          <t>lhs</t>
        </is>
      </c>
      <c r="I1338" s="16" t="inlineStr">
        <is>
          <t>NO_CONVERGIO</t>
        </is>
      </c>
      <c r="J1338" s="16" t="inlineStr">
        <is>
          <t>NO_CONVERGIO</t>
        </is>
      </c>
      <c r="K1338" s="16" t="b">
        <v>0</v>
      </c>
      <c r="L1338" s="16" t="b">
        <v>0</v>
      </c>
      <c r="M1338" s="16" t="b">
        <v>0</v>
      </c>
      <c r="N1338" s="16" t="b">
        <v>0</v>
      </c>
      <c r="O1338" s="16" t="n">
        <v>479.1427083644453</v>
      </c>
      <c r="P1338" s="16" t="n">
        <v>301.3390948746072</v>
      </c>
      <c r="Q1338" s="16" t="n">
        <v>4557.936849078362</v>
      </c>
      <c r="R1338" s="16" t="n">
        <v>846.2820130426193</v>
      </c>
      <c r="S1338" s="16" t="n">
        <v>0.7426961059891604</v>
      </c>
      <c r="T1338" s="16" t="n">
        <v>0.7504107235067567</v>
      </c>
      <c r="U1338" s="16" t="n">
        <v>0.8949220328137633</v>
      </c>
      <c r="V1338" s="16" t="n">
        <v>0.7476002883381181</v>
      </c>
      <c r="W1338" s="16" t="n">
        <v>0.8324624540054797</v>
      </c>
      <c r="X1338" s="16" t="n">
        <v>0.926973079945292</v>
      </c>
      <c r="Y1338" s="16" t="n">
        <v>301.3390948746072</v>
      </c>
      <c r="Z1338" s="16" t="n"/>
      <c r="AA1338" s="16" t="n"/>
      <c r="AB1338" s="16" t="n">
        <v>3711.654836035742</v>
      </c>
      <c r="AC1338" s="16" t="n">
        <v>5.385836847330963</v>
      </c>
      <c r="AD1338" s="16" t="n"/>
      <c r="AE1338" s="16" t="n"/>
    </row>
    <row r="1339">
      <c r="A1339" s="16" t="inlineStr">
        <is>
          <t>KF-M04-0267</t>
        </is>
      </c>
      <c r="B1339" s="16" t="inlineStr">
        <is>
          <t>3.2</t>
        </is>
      </c>
      <c r="C1339" s="16" t="inlineStr">
        <is>
          <t>3.2</t>
        </is>
      </c>
      <c r="D1339" s="16" t="inlineStr">
        <is>
          <t>muestra de 300 puntos</t>
        </is>
      </c>
      <c r="E1339" s="16" t="inlineStr">
        <is>
          <t>KF-M04</t>
        </is>
      </c>
      <c r="F1339" s="16" t="inlineStr">
        <is>
          <t>KF-M04</t>
        </is>
      </c>
      <c r="G1339" s="16" t="inlineStr">
        <is>
          <t>B07</t>
        </is>
      </c>
      <c r="H1339" s="16" t="inlineStr">
        <is>
          <t>lhs</t>
        </is>
      </c>
      <c r="I1339" s="16" t="inlineStr">
        <is>
          <t>NO_CONVERGIO</t>
        </is>
      </c>
      <c r="J1339" s="16" t="inlineStr">
        <is>
          <t>NO_CONVERGIO</t>
        </is>
      </c>
      <c r="K1339" s="16" t="b">
        <v>0</v>
      </c>
      <c r="L1339" s="16" t="b">
        <v>0</v>
      </c>
      <c r="M1339" s="16" t="b">
        <v>0</v>
      </c>
      <c r="N1339" s="16" t="b">
        <v>0</v>
      </c>
      <c r="O1339" s="16" t="n">
        <v>399.8335889681399</v>
      </c>
      <c r="P1339" s="16" t="n">
        <v>297.6556233820791</v>
      </c>
      <c r="Q1339" s="16" t="n">
        <v>4762.457995218927</v>
      </c>
      <c r="R1339" s="16" t="n">
        <v>1418.583633233644</v>
      </c>
      <c r="S1339" s="16" t="n">
        <v>0.5658505405215641</v>
      </c>
      <c r="T1339" s="16" t="n">
        <v>0.8434481693396955</v>
      </c>
      <c r="U1339" s="16" t="n">
        <v>0.6524029272644893</v>
      </c>
      <c r="V1339" s="16" t="n">
        <v>0.6469684502471964</v>
      </c>
      <c r="W1339" s="16" t="n">
        <v>0.8130009115266322</v>
      </c>
      <c r="X1339" s="16" t="n">
        <v>0.7084384055951749</v>
      </c>
      <c r="Y1339" s="16" t="n">
        <v>297.6556233820791</v>
      </c>
      <c r="Z1339" s="16" t="n"/>
      <c r="AA1339" s="16" t="n"/>
      <c r="AB1339" s="16" t="n">
        <v>3343.874361985283</v>
      </c>
      <c r="AC1339" s="16" t="n">
        <v>3.35719226110269</v>
      </c>
      <c r="AD1339" s="16" t="n"/>
      <c r="AE1339" s="16" t="n"/>
    </row>
    <row r="1340">
      <c r="A1340" s="16" t="inlineStr">
        <is>
          <t>KF-M04-0268</t>
        </is>
      </c>
      <c r="B1340" s="16" t="inlineStr">
        <is>
          <t>3.2</t>
        </is>
      </c>
      <c r="C1340" s="16" t="inlineStr">
        <is>
          <t>3.2</t>
        </is>
      </c>
      <c r="D1340" s="16" t="inlineStr">
        <is>
          <t>muestra de 300 puntos</t>
        </is>
      </c>
      <c r="E1340" s="16" t="inlineStr">
        <is>
          <t>KF-M04</t>
        </is>
      </c>
      <c r="F1340" s="16" t="inlineStr">
        <is>
          <t>KF-M04</t>
        </is>
      </c>
      <c r="G1340" s="16" t="inlineStr">
        <is>
          <t>B07</t>
        </is>
      </c>
      <c r="H1340" s="16" t="inlineStr">
        <is>
          <t>lhs</t>
        </is>
      </c>
      <c r="I1340" s="16" t="inlineStr">
        <is>
          <t>KALINA</t>
        </is>
      </c>
      <c r="J1340" s="16" t="inlineStr">
        <is>
          <t>KALINA</t>
        </is>
      </c>
      <c r="K1340" s="16" t="b">
        <v>1</v>
      </c>
      <c r="L1340" s="16" t="b">
        <v>1</v>
      </c>
      <c r="M1340" s="16" t="b">
        <v>0</v>
      </c>
      <c r="N1340" s="16" t="b">
        <v>0</v>
      </c>
      <c r="O1340" s="16" t="n">
        <v>430.8001506586206</v>
      </c>
      <c r="P1340" s="16" t="n">
        <v>279.7707449959522</v>
      </c>
      <c r="Q1340" s="16" t="n">
        <v>2422.669307692801</v>
      </c>
      <c r="R1340" s="16" t="n">
        <v>1218.780197074526</v>
      </c>
      <c r="S1340" s="16" t="n">
        <v>0.5443490734571926</v>
      </c>
      <c r="T1340" s="16" t="n">
        <v>0.8055232590738162</v>
      </c>
      <c r="U1340" s="16" t="n">
        <v>0.6630960297671583</v>
      </c>
      <c r="V1340" s="16" t="n">
        <v>0.6438503926601179</v>
      </c>
      <c r="W1340" s="16" t="n">
        <v>0.7571645641872687</v>
      </c>
      <c r="X1340" s="16" t="n">
        <v>0.7645859803766988</v>
      </c>
      <c r="Y1340" s="16" t="n">
        <v>279.7707449959522</v>
      </c>
      <c r="Z1340" s="16" t="n">
        <v>4.83187060348452</v>
      </c>
      <c r="AA1340" s="16" t="n">
        <v>33.25820374706797</v>
      </c>
      <c r="AB1340" s="16" t="n">
        <v>1203.889110618275</v>
      </c>
      <c r="AC1340" s="16" t="n">
        <v>1.987781975378337</v>
      </c>
      <c r="AD1340" s="16" t="n"/>
      <c r="AE1340" s="16" t="n"/>
    </row>
    <row r="1341">
      <c r="A1341" s="16" t="inlineStr">
        <is>
          <t>KF-M04-0269</t>
        </is>
      </c>
      <c r="B1341" s="16" t="inlineStr">
        <is>
          <t>3.2</t>
        </is>
      </c>
      <c r="C1341" s="16" t="inlineStr">
        <is>
          <t>3.2</t>
        </is>
      </c>
      <c r="D1341" s="16" t="inlineStr">
        <is>
          <t>muestra de 300 puntos</t>
        </is>
      </c>
      <c r="E1341" s="16" t="inlineStr">
        <is>
          <t>KF-M04</t>
        </is>
      </c>
      <c r="F1341" s="16" t="inlineStr">
        <is>
          <t>KF-M04</t>
        </is>
      </c>
      <c r="G1341" s="16" t="inlineStr">
        <is>
          <t>B07</t>
        </is>
      </c>
      <c r="H1341" s="16" t="inlineStr">
        <is>
          <t>lhs</t>
        </is>
      </c>
      <c r="I1341" s="16" t="inlineStr">
        <is>
          <t>CORREGIBLE</t>
        </is>
      </c>
      <c r="J1341" s="16" t="inlineStr">
        <is>
          <t>CORREGIBLE</t>
        </is>
      </c>
      <c r="K1341" s="16" t="b">
        <v>1</v>
      </c>
      <c r="L1341" s="16" t="b">
        <v>0</v>
      </c>
      <c r="M1341" s="16" t="b">
        <v>1</v>
      </c>
      <c r="N1341" s="16" t="b">
        <v>0</v>
      </c>
      <c r="O1341" s="16" t="n">
        <v>494.4193992289213</v>
      </c>
      <c r="P1341" s="16" t="n">
        <v>286.0728402448335</v>
      </c>
      <c r="Q1341" s="16" t="n">
        <v>3331.036952632181</v>
      </c>
      <c r="R1341" s="16" t="n">
        <v>594.1435862840151</v>
      </c>
      <c r="S1341" s="16" t="n">
        <v>0.6393833075787784</v>
      </c>
      <c r="T1341" s="16" t="n">
        <v>0.8739543500372093</v>
      </c>
      <c r="U1341" s="16" t="n">
        <v>0.7235167319268659</v>
      </c>
      <c r="V1341" s="16" t="n">
        <v>0.6633207684359156</v>
      </c>
      <c r="W1341" s="16" t="n">
        <v>0.9281927647860454</v>
      </c>
      <c r="X1341" s="16" t="n">
        <v>0.8270956868182311</v>
      </c>
      <c r="Y1341" s="16" t="n">
        <v>286.0728402448335</v>
      </c>
      <c r="Z1341" s="16" t="n">
        <v>13.41345051491106</v>
      </c>
      <c r="AA1341" s="16" t="n">
        <v>169.6672981492207</v>
      </c>
      <c r="AB1341" s="16" t="n">
        <v>2736.893366348166</v>
      </c>
      <c r="AC1341" s="16" t="n">
        <v>5.606451082752013</v>
      </c>
      <c r="AD1341" s="16" t="inlineStr">
        <is>
          <t>O2</t>
        </is>
      </c>
      <c r="AE1341" s="16" t="n"/>
    </row>
    <row r="1342">
      <c r="A1342" s="16" t="inlineStr">
        <is>
          <t>KF-M04-0270</t>
        </is>
      </c>
      <c r="B1342" s="16" t="inlineStr">
        <is>
          <t>3.2</t>
        </is>
      </c>
      <c r="C1342" s="16" t="inlineStr">
        <is>
          <t>3.2</t>
        </is>
      </c>
      <c r="D1342" s="16" t="inlineStr">
        <is>
          <t>muestra de 300 puntos</t>
        </is>
      </c>
      <c r="E1342" s="16" t="inlineStr">
        <is>
          <t>KF-M04</t>
        </is>
      </c>
      <c r="F1342" s="16" t="inlineStr">
        <is>
          <t>KF-M04</t>
        </is>
      </c>
      <c r="G1342" s="16" t="inlineStr">
        <is>
          <t>B07</t>
        </is>
      </c>
      <c r="H1342" s="16" t="inlineStr">
        <is>
          <t>lhs</t>
        </is>
      </c>
      <c r="I1342" s="16" t="inlineStr">
        <is>
          <t>CORREGIBLE</t>
        </is>
      </c>
      <c r="J1342" s="16" t="inlineStr">
        <is>
          <t>CORREGIBLE</t>
        </is>
      </c>
      <c r="K1342" s="16" t="b">
        <v>1</v>
      </c>
      <c r="L1342" s="16" t="b">
        <v>0</v>
      </c>
      <c r="M1342" s="16" t="b">
        <v>1</v>
      </c>
      <c r="N1342" s="16" t="b">
        <v>0</v>
      </c>
      <c r="O1342" s="16" t="n">
        <v>468.042885073546</v>
      </c>
      <c r="P1342" s="16" t="n">
        <v>279.7510952566117</v>
      </c>
      <c r="Q1342" s="16" t="n">
        <v>2632.932644902006</v>
      </c>
      <c r="R1342" s="16" t="n">
        <v>340.0984549393936</v>
      </c>
      <c r="S1342" s="16" t="n">
        <v>0.5063227712317018</v>
      </c>
      <c r="T1342" s="16" t="n">
        <v>0.8147567175421868</v>
      </c>
      <c r="U1342" s="16" t="n">
        <v>0.7618946177681852</v>
      </c>
      <c r="V1342" s="16" t="n">
        <v>0.7136887091903255</v>
      </c>
      <c r="W1342" s="16" t="n">
        <v>0.7215732385876865</v>
      </c>
      <c r="X1342" s="16" t="n">
        <v>0.8758285469123737</v>
      </c>
      <c r="Y1342" s="16" t="n">
        <v>279.7510952566117</v>
      </c>
      <c r="Z1342" s="16" t="n">
        <v>12.94105007736285</v>
      </c>
      <c r="AA1342" s="16" t="n">
        <v>193.8711202507914</v>
      </c>
      <c r="AB1342" s="16" t="n">
        <v>2292.834189962613</v>
      </c>
      <c r="AC1342" s="16" t="n">
        <v>7.74167776025681</v>
      </c>
      <c r="AD1342" s="16" t="inlineStr">
        <is>
          <t>O2</t>
        </is>
      </c>
      <c r="AE1342" s="16" t="n"/>
    </row>
    <row r="1343">
      <c r="A1343" s="16" t="inlineStr">
        <is>
          <t>KF-M04-0271</t>
        </is>
      </c>
      <c r="B1343" s="16" t="inlineStr">
        <is>
          <t>3.2</t>
        </is>
      </c>
      <c r="C1343" s="16" t="inlineStr">
        <is>
          <t>3.2</t>
        </is>
      </c>
      <c r="D1343" s="16" t="inlineStr">
        <is>
          <t>muestra de 300 puntos</t>
        </is>
      </c>
      <c r="E1343" s="16" t="inlineStr">
        <is>
          <t>KF-M04</t>
        </is>
      </c>
      <c r="F1343" s="16" t="inlineStr">
        <is>
          <t>KF-M04</t>
        </is>
      </c>
      <c r="G1343" s="16" t="inlineStr">
        <is>
          <t>B07</t>
        </is>
      </c>
      <c r="H1343" s="16" t="inlineStr">
        <is>
          <t>lhs</t>
        </is>
      </c>
      <c r="I1343" s="16" t="inlineStr">
        <is>
          <t>KALINA</t>
        </is>
      </c>
      <c r="J1343" s="16" t="inlineStr">
        <is>
          <t>KALINA</t>
        </is>
      </c>
      <c r="K1343" s="16" t="b">
        <v>1</v>
      </c>
      <c r="L1343" s="16" t="b">
        <v>0</v>
      </c>
      <c r="M1343" s="16" t="b">
        <v>1</v>
      </c>
      <c r="N1343" s="16" t="b">
        <v>0</v>
      </c>
      <c r="O1343" s="16" t="n">
        <v>429.0682954502525</v>
      </c>
      <c r="P1343" s="16" t="n">
        <v>284.7830749278082</v>
      </c>
      <c r="Q1343" s="16" t="n">
        <v>3761.295205273566</v>
      </c>
      <c r="R1343" s="16" t="n">
        <v>1134.585646055689</v>
      </c>
      <c r="S1343" s="16" t="n">
        <v>0.5253754651526317</v>
      </c>
      <c r="T1343" s="16" t="n">
        <v>0.8473030913713221</v>
      </c>
      <c r="U1343" s="16" t="n">
        <v>0.8198496331031641</v>
      </c>
      <c r="V1343" s="16" t="n">
        <v>0.8770031865095407</v>
      </c>
      <c r="W1343" s="16" t="n">
        <v>0.6034883891620242</v>
      </c>
      <c r="X1343" s="16" t="n">
        <v>0.8706469861397568</v>
      </c>
      <c r="Y1343" s="16" t="n">
        <v>284.7830749278082</v>
      </c>
      <c r="Z1343" s="16" t="n">
        <v>6.60965801575448</v>
      </c>
      <c r="AA1343" s="16" t="n">
        <v>42.87663451997091</v>
      </c>
      <c r="AB1343" s="16" t="n">
        <v>2626.709559217877</v>
      </c>
      <c r="AC1343" s="16" t="n">
        <v>3.315126732256358</v>
      </c>
      <c r="AD1343" s="16" t="n"/>
      <c r="AE1343" s="16" t="n"/>
    </row>
    <row r="1344">
      <c r="A1344" s="16" t="inlineStr">
        <is>
          <t>KF-M04-0272</t>
        </is>
      </c>
      <c r="B1344" s="16" t="inlineStr">
        <is>
          <t>3.2</t>
        </is>
      </c>
      <c r="C1344" s="16" t="inlineStr">
        <is>
          <t>3.2</t>
        </is>
      </c>
      <c r="D1344" s="16" t="inlineStr">
        <is>
          <t>muestra de 300 puntos</t>
        </is>
      </c>
      <c r="E1344" s="16" t="inlineStr">
        <is>
          <t>KF-M04</t>
        </is>
      </c>
      <c r="F1344" s="16" t="inlineStr">
        <is>
          <t>KF-M04</t>
        </is>
      </c>
      <c r="G1344" s="16" t="inlineStr">
        <is>
          <t>B07</t>
        </is>
      </c>
      <c r="H1344" s="16" t="inlineStr">
        <is>
          <t>lhs</t>
        </is>
      </c>
      <c r="I1344" s="16" t="inlineStr">
        <is>
          <t>NO_CONVERGIO</t>
        </is>
      </c>
      <c r="J1344" s="16" t="inlineStr">
        <is>
          <t>NO_CONVERGIO</t>
        </is>
      </c>
      <c r="K1344" s="16" t="b">
        <v>0</v>
      </c>
      <c r="L1344" s="16" t="b">
        <v>0</v>
      </c>
      <c r="M1344" s="16" t="b">
        <v>0</v>
      </c>
      <c r="N1344" s="16" t="b">
        <v>0</v>
      </c>
      <c r="O1344" s="16" t="n">
        <v>403.3718829330577</v>
      </c>
      <c r="P1344" s="16" t="n">
        <v>302.0002041438884</v>
      </c>
      <c r="Q1344" s="16" t="n">
        <v>4374.254391733589</v>
      </c>
      <c r="R1344" s="16" t="n">
        <v>1125.918556943843</v>
      </c>
      <c r="S1344" s="16" t="n">
        <v>0.5480338772682949</v>
      </c>
      <c r="T1344" s="16" t="n">
        <v>0.8813950031074664</v>
      </c>
      <c r="U1344" s="16" t="n">
        <v>0.8235592962210505</v>
      </c>
      <c r="V1344" s="16" t="n">
        <v>0.7013698729794581</v>
      </c>
      <c r="W1344" s="16" t="n">
        <v>0.7513002375613392</v>
      </c>
      <c r="X1344" s="16" t="n">
        <v>0.8034310563797917</v>
      </c>
      <c r="Y1344" s="16" t="n">
        <v>302.0002041438884</v>
      </c>
      <c r="Z1344" s="16" t="n"/>
      <c r="AA1344" s="16" t="n"/>
      <c r="AB1344" s="16" t="n">
        <v>3248.335834789746</v>
      </c>
      <c r="AC1344" s="16" t="n">
        <v>3.885053998583097</v>
      </c>
      <c r="AD1344" s="16" t="n"/>
      <c r="AE1344" s="16" t="n"/>
    </row>
    <row r="1345">
      <c r="A1345" s="16" t="inlineStr">
        <is>
          <t>KF-M04-0273</t>
        </is>
      </c>
      <c r="B1345" s="16" t="inlineStr">
        <is>
          <t>3.2</t>
        </is>
      </c>
      <c r="C1345" s="16" t="inlineStr">
        <is>
          <t>3.2</t>
        </is>
      </c>
      <c r="D1345" s="16" t="inlineStr">
        <is>
          <t>muestra de 300 puntos</t>
        </is>
      </c>
      <c r="E1345" s="16" t="inlineStr">
        <is>
          <t>KF-M04</t>
        </is>
      </c>
      <c r="F1345" s="16" t="inlineStr">
        <is>
          <t>KF-M04</t>
        </is>
      </c>
      <c r="G1345" s="16" t="inlineStr">
        <is>
          <t>B07</t>
        </is>
      </c>
      <c r="H1345" s="16" t="inlineStr">
        <is>
          <t>lhs</t>
        </is>
      </c>
      <c r="I1345" s="16" t="inlineStr">
        <is>
          <t>CORREGIBLE</t>
        </is>
      </c>
      <c r="J1345" s="16" t="inlineStr">
        <is>
          <t>CORREGIBLE</t>
        </is>
      </c>
      <c r="K1345" s="16" t="b">
        <v>1</v>
      </c>
      <c r="L1345" s="16" t="b">
        <v>0</v>
      </c>
      <c r="M1345" s="16" t="b">
        <v>1</v>
      </c>
      <c r="N1345" s="16" t="b">
        <v>0</v>
      </c>
      <c r="O1345" s="16" t="n">
        <v>461.6346546659216</v>
      </c>
      <c r="P1345" s="16" t="n">
        <v>283.1252863433535</v>
      </c>
      <c r="Q1345" s="16" t="n">
        <v>4107.388099479284</v>
      </c>
      <c r="R1345" s="16" t="n">
        <v>1049.26403831999</v>
      </c>
      <c r="S1345" s="16" t="n">
        <v>0.8070447318618477</v>
      </c>
      <c r="T1345" s="16" t="n">
        <v>0.795983080818772</v>
      </c>
      <c r="U1345" s="16" t="n">
        <v>0.6777266498343405</v>
      </c>
      <c r="V1345" s="16" t="n">
        <v>0.8096458290239997</v>
      </c>
      <c r="W1345" s="16" t="n">
        <v>0.6075207735783122</v>
      </c>
      <c r="X1345" s="16" t="n">
        <v>0.7264248256335644</v>
      </c>
      <c r="Y1345" s="16" t="n">
        <v>283.1252863433535</v>
      </c>
      <c r="Z1345" s="16" t="n">
        <v>9.77424764282665</v>
      </c>
      <c r="AA1345" s="16" t="n">
        <v>115.1780136547863</v>
      </c>
      <c r="AB1345" s="16" t="n">
        <v>3058.124061159294</v>
      </c>
      <c r="AC1345" s="16" t="n">
        <v>3.914541954621597</v>
      </c>
      <c r="AD1345" s="16" t="inlineStr">
        <is>
          <t>O2</t>
        </is>
      </c>
      <c r="AE1345" s="16" t="n"/>
    </row>
    <row r="1346">
      <c r="A1346" s="16" t="inlineStr">
        <is>
          <t>KF-M04-0274</t>
        </is>
      </c>
      <c r="B1346" s="16" t="inlineStr">
        <is>
          <t>3.2</t>
        </is>
      </c>
      <c r="C1346" s="16" t="inlineStr">
        <is>
          <t>3.2</t>
        </is>
      </c>
      <c r="D1346" s="16" t="inlineStr">
        <is>
          <t>muestra de 300 puntos</t>
        </is>
      </c>
      <c r="E1346" s="16" t="inlineStr">
        <is>
          <t>KF-M04</t>
        </is>
      </c>
      <c r="F1346" s="16" t="inlineStr">
        <is>
          <t>KF-M04</t>
        </is>
      </c>
      <c r="G1346" s="16" t="inlineStr">
        <is>
          <t>B07</t>
        </is>
      </c>
      <c r="H1346" s="16" t="inlineStr">
        <is>
          <t>lhs</t>
        </is>
      </c>
      <c r="I1346" s="16" t="inlineStr">
        <is>
          <t>KALINA</t>
        </is>
      </c>
      <c r="J1346" s="16" t="inlineStr">
        <is>
          <t>KALINA</t>
        </is>
      </c>
      <c r="K1346" s="16" t="b">
        <v>1</v>
      </c>
      <c r="L1346" s="16" t="b">
        <v>1</v>
      </c>
      <c r="M1346" s="16" t="b">
        <v>0</v>
      </c>
      <c r="N1346" s="16" t="b">
        <v>0</v>
      </c>
      <c r="O1346" s="16" t="n">
        <v>427.6663535784826</v>
      </c>
      <c r="P1346" s="16" t="n">
        <v>293.4901727259257</v>
      </c>
      <c r="Q1346" s="16" t="n">
        <v>4359.313239245592</v>
      </c>
      <c r="R1346" s="16" t="n">
        <v>1425.534915694434</v>
      </c>
      <c r="S1346" s="16" t="n">
        <v>0.6021884458184867</v>
      </c>
      <c r="T1346" s="16" t="n">
        <v>0.886631694470436</v>
      </c>
      <c r="U1346" s="16" t="n">
        <v>0.8260428066863389</v>
      </c>
      <c r="V1346" s="16" t="n">
        <v>0.6981779490916811</v>
      </c>
      <c r="W1346" s="16" t="n">
        <v>0.7858982146291258</v>
      </c>
      <c r="X1346" s="16" t="n">
        <v>0.8347179987830845</v>
      </c>
      <c r="Y1346" s="16" t="n">
        <v>293.4901727259257</v>
      </c>
      <c r="Z1346" s="16" t="n">
        <v>7.769139581925049</v>
      </c>
      <c r="AA1346" s="16" t="n">
        <v>38.94676793283764</v>
      </c>
      <c r="AB1346" s="16" t="n">
        <v>2933.778323551158</v>
      </c>
      <c r="AC1346" s="16" t="n">
        <v>3.058019267891449</v>
      </c>
      <c r="AD1346" s="16" t="n"/>
      <c r="AE1346" s="16" t="n"/>
    </row>
    <row r="1347">
      <c r="A1347" s="16" t="inlineStr">
        <is>
          <t>KF-M04-0275</t>
        </is>
      </c>
      <c r="B1347" s="16" t="inlineStr">
        <is>
          <t>3.2</t>
        </is>
      </c>
      <c r="C1347" s="16" t="inlineStr">
        <is>
          <t>3.2</t>
        </is>
      </c>
      <c r="D1347" s="16" t="inlineStr">
        <is>
          <t>muestra de 300 puntos</t>
        </is>
      </c>
      <c r="E1347" s="16" t="inlineStr">
        <is>
          <t>KF-M04</t>
        </is>
      </c>
      <c r="F1347" s="16" t="inlineStr">
        <is>
          <t>KF-M04</t>
        </is>
      </c>
      <c r="G1347" s="16" t="inlineStr">
        <is>
          <t>B07</t>
        </is>
      </c>
      <c r="H1347" s="16" t="inlineStr">
        <is>
          <t>lhs</t>
        </is>
      </c>
      <c r="I1347" s="16" t="inlineStr">
        <is>
          <t>KALINA</t>
        </is>
      </c>
      <c r="J1347" s="16" t="inlineStr">
        <is>
          <t>KALINA</t>
        </is>
      </c>
      <c r="K1347" s="16" t="b">
        <v>1</v>
      </c>
      <c r="L1347" s="16" t="b">
        <v>1</v>
      </c>
      <c r="M1347" s="16" t="b">
        <v>0</v>
      </c>
      <c r="N1347" s="16" t="b">
        <v>0</v>
      </c>
      <c r="O1347" s="16" t="n">
        <v>387.0593965453861</v>
      </c>
      <c r="P1347" s="16" t="n">
        <v>303.1884185770379</v>
      </c>
      <c r="Q1347" s="16" t="n">
        <v>2219.048271709253</v>
      </c>
      <c r="R1347" s="16" t="n">
        <v>1316.052288897485</v>
      </c>
      <c r="S1347" s="16" t="n">
        <v>0.5122517278423064</v>
      </c>
      <c r="T1347" s="16" t="n">
        <v>0.8191171029696622</v>
      </c>
      <c r="U1347" s="16" t="n">
        <v>0.8271229065135572</v>
      </c>
      <c r="V1347" s="16" t="n">
        <v>0.7409646800234808</v>
      </c>
      <c r="W1347" s="16" t="n">
        <v>0.6245865402818106</v>
      </c>
      <c r="X1347" s="16" t="n">
        <v>0.8020159228366088</v>
      </c>
      <c r="Y1347" s="16" t="n">
        <v>303.1884185770379</v>
      </c>
      <c r="Z1347" s="16" t="n">
        <v>2.54301309953582</v>
      </c>
      <c r="AA1347" s="16" t="n">
        <v>7.467674100189418</v>
      </c>
      <c r="AB1347" s="16" t="n">
        <v>902.9959828117678</v>
      </c>
      <c r="AC1347" s="16" t="n">
        <v>1.686139897654254</v>
      </c>
      <c r="AD1347" s="16" t="n"/>
      <c r="AE1347" s="16" t="n"/>
    </row>
    <row r="1348">
      <c r="A1348" s="16" t="inlineStr">
        <is>
          <t>KF-M04-0276</t>
        </is>
      </c>
      <c r="B1348" s="16" t="inlineStr">
        <is>
          <t>3.2</t>
        </is>
      </c>
      <c r="C1348" s="16" t="inlineStr">
        <is>
          <t>3.2</t>
        </is>
      </c>
      <c r="D1348" s="16" t="inlineStr">
        <is>
          <t>muestra de 300 puntos</t>
        </is>
      </c>
      <c r="E1348" s="16" t="inlineStr">
        <is>
          <t>KF-M04</t>
        </is>
      </c>
      <c r="F1348" s="16" t="inlineStr">
        <is>
          <t>KF-M04</t>
        </is>
      </c>
      <c r="G1348" s="16" t="inlineStr">
        <is>
          <t>B07</t>
        </is>
      </c>
      <c r="H1348" s="16" t="inlineStr">
        <is>
          <t>lhs</t>
        </is>
      </c>
      <c r="I1348" s="16" t="inlineStr">
        <is>
          <t>CORREGIBLE</t>
        </is>
      </c>
      <c r="J1348" s="16" t="inlineStr">
        <is>
          <t>CORREGIBLE</t>
        </is>
      </c>
      <c r="K1348" s="16" t="b">
        <v>1</v>
      </c>
      <c r="L1348" s="16" t="b">
        <v>0</v>
      </c>
      <c r="M1348" s="16" t="b">
        <v>1</v>
      </c>
      <c r="N1348" s="16" t="b">
        <v>0</v>
      </c>
      <c r="O1348" s="16" t="n">
        <v>484.766374278519</v>
      </c>
      <c r="P1348" s="16" t="n">
        <v>280.1485172543232</v>
      </c>
      <c r="Q1348" s="16" t="n">
        <v>2303.173147760612</v>
      </c>
      <c r="R1348" s="16" t="n">
        <v>902.1948885307554</v>
      </c>
      <c r="S1348" s="16" t="n">
        <v>0.635602877824038</v>
      </c>
      <c r="T1348" s="16" t="n">
        <v>0.7856366096945798</v>
      </c>
      <c r="U1348" s="16" t="n">
        <v>0.8711681831480487</v>
      </c>
      <c r="V1348" s="16" t="n">
        <v>0.6075649569260135</v>
      </c>
      <c r="W1348" s="16" t="n">
        <v>0.7901074276018414</v>
      </c>
      <c r="X1348" s="16" t="n">
        <v>0.8717323824695002</v>
      </c>
      <c r="Y1348" s="16" t="n">
        <v>280.1485172543232</v>
      </c>
      <c r="Z1348" s="16" t="n">
        <v>6.850295611924071</v>
      </c>
      <c r="AA1348" s="16" t="n">
        <v>83.99397658905542</v>
      </c>
      <c r="AB1348" s="16" t="n">
        <v>1400.978259229857</v>
      </c>
      <c r="AC1348" s="16" t="n">
        <v>2.552855460654828</v>
      </c>
      <c r="AD1348" s="16" t="inlineStr">
        <is>
          <t>O2</t>
        </is>
      </c>
      <c r="AE1348" s="16" t="n"/>
    </row>
    <row r="1349">
      <c r="A1349" s="16" t="inlineStr">
        <is>
          <t>KF-M04-0277</t>
        </is>
      </c>
      <c r="B1349" s="16" t="inlineStr">
        <is>
          <t>3.2</t>
        </is>
      </c>
      <c r="C1349" s="16" t="inlineStr">
        <is>
          <t>3.2</t>
        </is>
      </c>
      <c r="D1349" s="16" t="inlineStr">
        <is>
          <t>muestra de 300 puntos</t>
        </is>
      </c>
      <c r="E1349" s="16" t="inlineStr">
        <is>
          <t>KF-M04</t>
        </is>
      </c>
      <c r="F1349" s="16" t="inlineStr">
        <is>
          <t>KF-M04</t>
        </is>
      </c>
      <c r="G1349" s="16" t="inlineStr">
        <is>
          <t>B07</t>
        </is>
      </c>
      <c r="H1349" s="16" t="inlineStr">
        <is>
          <t>lhs</t>
        </is>
      </c>
      <c r="I1349" s="16" t="inlineStr">
        <is>
          <t>CORREGIBLE</t>
        </is>
      </c>
      <c r="J1349" s="16" t="inlineStr">
        <is>
          <t>CORREGIBLE</t>
        </is>
      </c>
      <c r="K1349" s="16" t="b">
        <v>1</v>
      </c>
      <c r="L1349" s="16" t="b">
        <v>0</v>
      </c>
      <c r="M1349" s="16" t="b">
        <v>0</v>
      </c>
      <c r="N1349" s="16" t="b">
        <v>0</v>
      </c>
      <c r="O1349" s="16" t="n">
        <v>434.655292190233</v>
      </c>
      <c r="P1349" s="16" t="n">
        <v>284.9324322039939</v>
      </c>
      <c r="Q1349" s="16" t="n">
        <v>2694.119120858413</v>
      </c>
      <c r="R1349" s="16" t="n">
        <v>957.6915825632316</v>
      </c>
      <c r="S1349" s="16" t="n">
        <v>0.7671286999761986</v>
      </c>
      <c r="T1349" s="16" t="n">
        <v>0.7895818535383291</v>
      </c>
      <c r="U1349" s="16" t="n">
        <v>0.8742308204584734</v>
      </c>
      <c r="V1349" s="16" t="n">
        <v>0.6284729721437147</v>
      </c>
      <c r="W1349" s="16" t="n">
        <v>0.6854760377962223</v>
      </c>
      <c r="X1349" s="16" t="n">
        <v>0.7624743364226864</v>
      </c>
      <c r="Y1349" s="16" t="n">
        <v>284.9324322039939</v>
      </c>
      <c r="Z1349" s="16" t="n">
        <v>8.1477549781641</v>
      </c>
      <c r="AA1349" s="16" t="n">
        <v>78.47043569497694</v>
      </c>
      <c r="AB1349" s="16" t="n">
        <v>1736.427538295182</v>
      </c>
      <c r="AC1349" s="16" t="n">
        <v>2.813138561422549</v>
      </c>
      <c r="AD1349" s="16" t="inlineStr">
        <is>
          <t>O2</t>
        </is>
      </c>
      <c r="AE1349" s="16" t="n"/>
    </row>
    <row r="1350">
      <c r="A1350" s="16" t="inlineStr">
        <is>
          <t>KF-M04-0278</t>
        </is>
      </c>
      <c r="B1350" s="16" t="inlineStr">
        <is>
          <t>3.2</t>
        </is>
      </c>
      <c r="C1350" s="16" t="inlineStr">
        <is>
          <t>3.2</t>
        </is>
      </c>
      <c r="D1350" s="16" t="inlineStr">
        <is>
          <t>muestra de 300 puntos</t>
        </is>
      </c>
      <c r="E1350" s="16" t="inlineStr">
        <is>
          <t>KF-M04</t>
        </is>
      </c>
      <c r="F1350" s="16" t="inlineStr">
        <is>
          <t>KF-M04</t>
        </is>
      </c>
      <c r="G1350" s="16" t="inlineStr">
        <is>
          <t>B07</t>
        </is>
      </c>
      <c r="H1350" s="16" t="inlineStr">
        <is>
          <t>lhs</t>
        </is>
      </c>
      <c r="I1350" s="16" t="inlineStr">
        <is>
          <t>CORREGIBLE</t>
        </is>
      </c>
      <c r="J1350" s="16" t="inlineStr">
        <is>
          <t>CORREGIBLE</t>
        </is>
      </c>
      <c r="K1350" s="16" t="b">
        <v>1</v>
      </c>
      <c r="L1350" s="16" t="b">
        <v>0</v>
      </c>
      <c r="M1350" s="16" t="b">
        <v>1</v>
      </c>
      <c r="N1350" s="16" t="b">
        <v>0</v>
      </c>
      <c r="O1350" s="16" t="n">
        <v>489.2549348858334</v>
      </c>
      <c r="P1350" s="16" t="n">
        <v>291.8823623151902</v>
      </c>
      <c r="Q1350" s="16" t="n">
        <v>2789.378539747727</v>
      </c>
      <c r="R1350" s="16" t="n">
        <v>526.5580681328704</v>
      </c>
      <c r="S1350" s="16" t="n">
        <v>0.7441371210625175</v>
      </c>
      <c r="T1350" s="16" t="n">
        <v>0.8721635771384133</v>
      </c>
      <c r="U1350" s="16" t="n">
        <v>0.8400446826290197</v>
      </c>
      <c r="V1350" s="16" t="n">
        <v>0.8722489731123584</v>
      </c>
      <c r="W1350" s="16" t="n">
        <v>0.8104180403900048</v>
      </c>
      <c r="X1350" s="16" t="n">
        <v>0.7887929333797467</v>
      </c>
      <c r="Y1350" s="16" t="n">
        <v>291.8823623151902</v>
      </c>
      <c r="Z1350" s="16" t="n">
        <v>11.51065471465016</v>
      </c>
      <c r="AA1350" s="16" t="n">
        <v>147.9943569597255</v>
      </c>
      <c r="AB1350" s="16" t="n">
        <v>2262.820471614857</v>
      </c>
      <c r="AC1350" s="16" t="n">
        <v>5.297380685170437</v>
      </c>
      <c r="AD1350" s="16" t="inlineStr">
        <is>
          <t>O2</t>
        </is>
      </c>
      <c r="AE1350" s="16" t="n"/>
    </row>
    <row r="1351">
      <c r="A1351" s="16" t="inlineStr">
        <is>
          <t>KF-M04-0279</t>
        </is>
      </c>
      <c r="B1351" s="16" t="inlineStr">
        <is>
          <t>3.2</t>
        </is>
      </c>
      <c r="C1351" s="16" t="inlineStr">
        <is>
          <t>3.2</t>
        </is>
      </c>
      <c r="D1351" s="16" t="inlineStr">
        <is>
          <t>muestra de 300 puntos</t>
        </is>
      </c>
      <c r="E1351" s="16" t="inlineStr">
        <is>
          <t>KF-M04</t>
        </is>
      </c>
      <c r="F1351" s="16" t="inlineStr">
        <is>
          <t>KF-M04</t>
        </is>
      </c>
      <c r="G1351" s="16" t="inlineStr">
        <is>
          <t>B07</t>
        </is>
      </c>
      <c r="H1351" s="16" t="inlineStr">
        <is>
          <t>lhs</t>
        </is>
      </c>
      <c r="I1351" s="16" t="inlineStr">
        <is>
          <t>N2</t>
        </is>
      </c>
      <c r="J1351" s="16" t="inlineStr">
        <is>
          <t>NO_CONVERGIO</t>
        </is>
      </c>
      <c r="K1351" s="16" t="b">
        <v>0</v>
      </c>
      <c r="L1351" s="16" t="b">
        <v>0</v>
      </c>
      <c r="M1351" s="16" t="b">
        <v>0</v>
      </c>
      <c r="N1351" s="16" t="b">
        <v>0</v>
      </c>
      <c r="O1351" s="16" t="n">
        <v>391.1997101731045</v>
      </c>
      <c r="P1351" s="16" t="n">
        <v>285.2097300095097</v>
      </c>
      <c r="Q1351" s="16" t="n">
        <v>3904.214468868249</v>
      </c>
      <c r="R1351" s="16" t="n">
        <v>1266.770671937919</v>
      </c>
      <c r="S1351" s="16" t="n">
        <v>0.5090801263982271</v>
      </c>
      <c r="T1351" s="16" t="n">
        <v>0.911159279751968</v>
      </c>
      <c r="U1351" s="16" t="n">
        <v>0.7965625297924656</v>
      </c>
      <c r="V1351" s="16" t="n">
        <v>0.6993859831875732</v>
      </c>
      <c r="W1351" s="16" t="n">
        <v>0.6970460642228932</v>
      </c>
      <c r="X1351" s="16" t="n">
        <v>0.8240515108075867</v>
      </c>
      <c r="Y1351" s="16" t="n">
        <v>285.2097300095097</v>
      </c>
      <c r="Z1351" s="16" t="n">
        <v>-48.24897917413887</v>
      </c>
      <c r="AA1351" s="16" t="n">
        <v>-34.48514219085713</v>
      </c>
      <c r="AB1351" s="16" t="n">
        <v>2637.44379693033</v>
      </c>
      <c r="AC1351" s="16" t="n">
        <v>3.082021517671814</v>
      </c>
      <c r="AD1351" s="16" t="inlineStr">
        <is>
          <t>N2,S6,O3,O5,C1,C3,C3</t>
        </is>
      </c>
      <c r="AE1351" s="16" t="n"/>
    </row>
    <row r="1352">
      <c r="A1352" s="16" t="inlineStr">
        <is>
          <t>KF-M04-0280</t>
        </is>
      </c>
      <c r="B1352" s="16" t="inlineStr">
        <is>
          <t>3.2</t>
        </is>
      </c>
      <c r="C1352" s="16" t="inlineStr">
        <is>
          <t>3.2</t>
        </is>
      </c>
      <c r="D1352" s="16" t="inlineStr">
        <is>
          <t>muestra de 300 puntos</t>
        </is>
      </c>
      <c r="E1352" s="16" t="inlineStr">
        <is>
          <t>KF-M04</t>
        </is>
      </c>
      <c r="F1352" s="16" t="inlineStr">
        <is>
          <t>KF-M04</t>
        </is>
      </c>
      <c r="G1352" s="16" t="inlineStr">
        <is>
          <t>B07</t>
        </is>
      </c>
      <c r="H1352" s="16" t="inlineStr">
        <is>
          <t>lhs</t>
        </is>
      </c>
      <c r="I1352" s="16" t="inlineStr">
        <is>
          <t>CORREGIBLE</t>
        </is>
      </c>
      <c r="J1352" s="16" t="inlineStr">
        <is>
          <t>CORREGIBLE</t>
        </is>
      </c>
      <c r="K1352" s="16" t="b">
        <v>1</v>
      </c>
      <c r="L1352" s="16" t="b">
        <v>0</v>
      </c>
      <c r="M1352" s="16" t="b">
        <v>0</v>
      </c>
      <c r="N1352" s="16" t="b">
        <v>0</v>
      </c>
      <c r="O1352" s="16" t="n">
        <v>415.2997719120997</v>
      </c>
      <c r="P1352" s="16" t="n">
        <v>288.8784013687462</v>
      </c>
      <c r="Q1352" s="16" t="n">
        <v>2683.0954820666</v>
      </c>
      <c r="R1352" s="16" t="n">
        <v>308.7619406418021</v>
      </c>
      <c r="S1352" s="16" t="n">
        <v>0.5779922827154379</v>
      </c>
      <c r="T1352" s="16" t="n">
        <v>0.8882701149877024</v>
      </c>
      <c r="U1352" s="16" t="n">
        <v>0.8905772222853396</v>
      </c>
      <c r="V1352" s="16" t="n">
        <v>0.906126599383296</v>
      </c>
      <c r="W1352" s="16" t="n">
        <v>0.8610525708146453</v>
      </c>
      <c r="X1352" s="16" t="n">
        <v>0.7835781237049394</v>
      </c>
      <c r="Y1352" s="16" t="n">
        <v>288.8784013687462</v>
      </c>
      <c r="Z1352" s="16" t="n">
        <v>15.47747087464849</v>
      </c>
      <c r="AA1352" s="16" t="n">
        <v>104.2966890380942</v>
      </c>
      <c r="AB1352" s="16" t="n">
        <v>2374.333541424798</v>
      </c>
      <c r="AC1352" s="16" t="n">
        <v>8.689851723594673</v>
      </c>
      <c r="AD1352" s="16" t="inlineStr">
        <is>
          <t>O2</t>
        </is>
      </c>
      <c r="AE1352" s="16" t="n"/>
    </row>
    <row r="1353">
      <c r="A1353" s="16" t="inlineStr">
        <is>
          <t>KF-M04-0281</t>
        </is>
      </c>
      <c r="B1353" s="16" t="inlineStr">
        <is>
          <t>3.2</t>
        </is>
      </c>
      <c r="C1353" s="16" t="inlineStr">
        <is>
          <t>3.2</t>
        </is>
      </c>
      <c r="D1353" s="16" t="inlineStr">
        <is>
          <t>muestra de 300 puntos</t>
        </is>
      </c>
      <c r="E1353" s="16" t="inlineStr">
        <is>
          <t>KF-M04</t>
        </is>
      </c>
      <c r="F1353" s="16" t="inlineStr">
        <is>
          <t>KF-M04</t>
        </is>
      </c>
      <c r="G1353" s="16" t="inlineStr">
        <is>
          <t>B07</t>
        </is>
      </c>
      <c r="H1353" s="16" t="inlineStr">
        <is>
          <t>lhs</t>
        </is>
      </c>
      <c r="I1353" s="16" t="inlineStr">
        <is>
          <t>KALINA</t>
        </is>
      </c>
      <c r="J1353" s="16" t="inlineStr">
        <is>
          <t>KALINA</t>
        </is>
      </c>
      <c r="K1353" s="16" t="b">
        <v>1</v>
      </c>
      <c r="L1353" s="16" t="b">
        <v>0</v>
      </c>
      <c r="M1353" s="16" t="b">
        <v>1</v>
      </c>
      <c r="N1353" s="16" t="b">
        <v>0</v>
      </c>
      <c r="O1353" s="16" t="n">
        <v>496.5281712029577</v>
      </c>
      <c r="P1353" s="16" t="n">
        <v>284.0072969380811</v>
      </c>
      <c r="Q1353" s="16" t="n">
        <v>2280.99714226519</v>
      </c>
      <c r="R1353" s="16" t="n">
        <v>1194.306985931101</v>
      </c>
      <c r="S1353" s="16" t="n">
        <v>0.5572691983946766</v>
      </c>
      <c r="T1353" s="16" t="n">
        <v>0.8783721003358427</v>
      </c>
      <c r="U1353" s="16" t="n">
        <v>0.6877651083416968</v>
      </c>
      <c r="V1353" s="16" t="n">
        <v>0.7707614580991897</v>
      </c>
      <c r="W1353" s="16" t="n">
        <v>0.7745046446957167</v>
      </c>
      <c r="X1353" s="16" t="n">
        <v>0.9067118010842522</v>
      </c>
      <c r="Y1353" s="16" t="n">
        <v>284.0072969380811</v>
      </c>
      <c r="Z1353" s="16" t="n">
        <v>4.94563805471147</v>
      </c>
      <c r="AA1353" s="16" t="n">
        <v>83.22972287687396</v>
      </c>
      <c r="AB1353" s="16" t="n">
        <v>1086.690156334089</v>
      </c>
      <c r="AC1353" s="16" t="n">
        <v>1.909891819385858</v>
      </c>
      <c r="AD1353" s="16" t="n"/>
      <c r="AE1353" s="16" t="n"/>
    </row>
    <row r="1354">
      <c r="A1354" s="16" t="inlineStr">
        <is>
          <t>KF-M04-0282</t>
        </is>
      </c>
      <c r="B1354" s="16" t="inlineStr">
        <is>
          <t>3.2</t>
        </is>
      </c>
      <c r="C1354" s="16" t="inlineStr">
        <is>
          <t>3.2</t>
        </is>
      </c>
      <c r="D1354" s="16" t="inlineStr">
        <is>
          <t>muestra de 300 puntos</t>
        </is>
      </c>
      <c r="E1354" s="16" t="inlineStr">
        <is>
          <t>KF-M04</t>
        </is>
      </c>
      <c r="F1354" s="16" t="inlineStr">
        <is>
          <t>KF-M04</t>
        </is>
      </c>
      <c r="G1354" s="16" t="inlineStr">
        <is>
          <t>B07</t>
        </is>
      </c>
      <c r="H1354" s="16" t="inlineStr">
        <is>
          <t>lhs</t>
        </is>
      </c>
      <c r="I1354" s="16" t="inlineStr">
        <is>
          <t>CORREGIBLE</t>
        </is>
      </c>
      <c r="J1354" s="16" t="inlineStr">
        <is>
          <t>CORREGIBLE</t>
        </is>
      </c>
      <c r="K1354" s="16" t="b">
        <v>1</v>
      </c>
      <c r="L1354" s="16" t="b">
        <v>0</v>
      </c>
      <c r="M1354" s="16" t="b">
        <v>0</v>
      </c>
      <c r="N1354" s="16" t="b">
        <v>0</v>
      </c>
      <c r="O1354" s="16" t="n">
        <v>418.8249799273664</v>
      </c>
      <c r="P1354" s="16" t="n">
        <v>289.8235304382774</v>
      </c>
      <c r="Q1354" s="16" t="n">
        <v>3626.187360424647</v>
      </c>
      <c r="R1354" s="16" t="n">
        <v>540.5520926981621</v>
      </c>
      <c r="S1354" s="16" t="n">
        <v>0.7830814417884311</v>
      </c>
      <c r="T1354" s="16" t="n">
        <v>0.8846519286123975</v>
      </c>
      <c r="U1354" s="16" t="n">
        <v>0.6806205475648723</v>
      </c>
      <c r="V1354" s="16" t="n">
        <v>0.7309381468948714</v>
      </c>
      <c r="W1354" s="16" t="n">
        <v>0.6717128931955864</v>
      </c>
      <c r="X1354" s="16" t="n">
        <v>0.7526418483109308</v>
      </c>
      <c r="Y1354" s="16" t="n">
        <v>289.8235304382774</v>
      </c>
      <c r="Z1354" s="16" t="n">
        <v>9.826789981539839</v>
      </c>
      <c r="AA1354" s="16" t="n">
        <v>60.60449711383777</v>
      </c>
      <c r="AB1354" s="16" t="n">
        <v>3085.635267726485</v>
      </c>
      <c r="AC1354" s="16" t="n">
        <v>6.708303250339032</v>
      </c>
      <c r="AD1354" s="16" t="inlineStr">
        <is>
          <t>O2</t>
        </is>
      </c>
      <c r="AE1354" s="16" t="n"/>
    </row>
    <row r="1355">
      <c r="A1355" s="16" t="inlineStr">
        <is>
          <t>KF-M04-0283</t>
        </is>
      </c>
      <c r="B1355" s="16" t="inlineStr">
        <is>
          <t>3.2</t>
        </is>
      </c>
      <c r="C1355" s="16" t="inlineStr">
        <is>
          <t>3.2</t>
        </is>
      </c>
      <c r="D1355" s="16" t="inlineStr">
        <is>
          <t>muestra de 300 puntos</t>
        </is>
      </c>
      <c r="E1355" s="16" t="inlineStr">
        <is>
          <t>KF-M04</t>
        </is>
      </c>
      <c r="F1355" s="16" t="inlineStr">
        <is>
          <t>KF-M04</t>
        </is>
      </c>
      <c r="G1355" s="16" t="inlineStr">
        <is>
          <t>B07</t>
        </is>
      </c>
      <c r="H1355" s="16" t="inlineStr">
        <is>
          <t>lhs</t>
        </is>
      </c>
      <c r="I1355" s="16" t="inlineStr">
        <is>
          <t>KALINA</t>
        </is>
      </c>
      <c r="J1355" s="16" t="inlineStr">
        <is>
          <t>KALINA</t>
        </is>
      </c>
      <c r="K1355" s="16" t="b">
        <v>1</v>
      </c>
      <c r="L1355" s="16" t="b">
        <v>1</v>
      </c>
      <c r="M1355" s="16" t="b">
        <v>0</v>
      </c>
      <c r="N1355" s="16" t="b">
        <v>0</v>
      </c>
      <c r="O1355" s="16" t="n">
        <v>394.7385874436977</v>
      </c>
      <c r="P1355" s="16" t="n">
        <v>278.7071298187471</v>
      </c>
      <c r="Q1355" s="16" t="n">
        <v>2291.415835900696</v>
      </c>
      <c r="R1355" s="16" t="n">
        <v>1253.662661973812</v>
      </c>
      <c r="S1355" s="16" t="n">
        <v>0.7900710782667457</v>
      </c>
      <c r="T1355" s="16" t="n">
        <v>0.8249408638374485</v>
      </c>
      <c r="U1355" s="16" t="n">
        <v>0.7547712837473382</v>
      </c>
      <c r="V1355" s="16" t="n">
        <v>0.9358172348514192</v>
      </c>
      <c r="W1355" s="16" t="n">
        <v>0.9440900040931196</v>
      </c>
      <c r="X1355" s="16" t="n">
        <v>0.9039382709682852</v>
      </c>
      <c r="Y1355" s="16" t="n">
        <v>278.7071298187471</v>
      </c>
      <c r="Z1355" s="16" t="n">
        <v>5.19729254994921</v>
      </c>
      <c r="AA1355" s="16" t="n">
        <v>55.18256695609755</v>
      </c>
      <c r="AB1355" s="16" t="n">
        <v>1037.753173926884</v>
      </c>
      <c r="AC1355" s="16" t="n">
        <v>1.827777045136694</v>
      </c>
      <c r="AD1355" s="16" t="n"/>
      <c r="AE1355" s="16" t="n"/>
    </row>
    <row r="1356">
      <c r="A1356" s="16" t="inlineStr">
        <is>
          <t>KF-M04-0284</t>
        </is>
      </c>
      <c r="B1356" s="16" t="inlineStr">
        <is>
          <t>3.2</t>
        </is>
      </c>
      <c r="C1356" s="16" t="inlineStr">
        <is>
          <t>3.2</t>
        </is>
      </c>
      <c r="D1356" s="16" t="inlineStr">
        <is>
          <t>muestra de 300 puntos</t>
        </is>
      </c>
      <c r="E1356" s="16" t="inlineStr">
        <is>
          <t>KF-M04</t>
        </is>
      </c>
      <c r="F1356" s="16" t="inlineStr">
        <is>
          <t>KF-M04</t>
        </is>
      </c>
      <c r="G1356" s="16" t="inlineStr">
        <is>
          <t>B07</t>
        </is>
      </c>
      <c r="H1356" s="16" t="inlineStr">
        <is>
          <t>lhs</t>
        </is>
      </c>
      <c r="I1356" s="16" t="inlineStr">
        <is>
          <t>CORREGIBLE</t>
        </is>
      </c>
      <c r="J1356" s="16" t="inlineStr">
        <is>
          <t>CORREGIBLE</t>
        </is>
      </c>
      <c r="K1356" s="16" t="b">
        <v>1</v>
      </c>
      <c r="L1356" s="16" t="b">
        <v>0</v>
      </c>
      <c r="M1356" s="16" t="b">
        <v>1</v>
      </c>
      <c r="N1356" s="16" t="b">
        <v>0</v>
      </c>
      <c r="O1356" s="16" t="n">
        <v>438.4468076868022</v>
      </c>
      <c r="P1356" s="16" t="n">
        <v>300.423378627373</v>
      </c>
      <c r="Q1356" s="16" t="n">
        <v>2907.358038607102</v>
      </c>
      <c r="R1356" s="16" t="n">
        <v>1103.05835450258</v>
      </c>
      <c r="S1356" s="16" t="n">
        <v>0.5927049623909713</v>
      </c>
      <c r="T1356" s="16" t="n">
        <v>0.8466279244796082</v>
      </c>
      <c r="U1356" s="16" t="n">
        <v>0.7750550314055631</v>
      </c>
      <c r="V1356" s="16" t="n">
        <v>0.744632629538052</v>
      </c>
      <c r="W1356" s="16" t="n">
        <v>0.8485756622317899</v>
      </c>
      <c r="X1356" s="16" t="n">
        <v>0.8541847824112214</v>
      </c>
      <c r="Y1356" s="16" t="n">
        <v>300.423378627373</v>
      </c>
      <c r="Z1356" s="16" t="n">
        <v>7.79718240039574</v>
      </c>
      <c r="AA1356" s="16" t="n">
        <v>67.51679390604853</v>
      </c>
      <c r="AB1356" s="16" t="n">
        <v>1804.299684104522</v>
      </c>
      <c r="AC1356" s="16" t="n">
        <v>2.635724598557766</v>
      </c>
      <c r="AD1356" s="16" t="inlineStr">
        <is>
          <t>O2</t>
        </is>
      </c>
      <c r="AE1356" s="16" t="n"/>
    </row>
    <row r="1357">
      <c r="A1357" s="16" t="inlineStr">
        <is>
          <t>KF-M04-0285</t>
        </is>
      </c>
      <c r="B1357" s="16" t="inlineStr">
        <is>
          <t>3.2</t>
        </is>
      </c>
      <c r="C1357" s="16" t="inlineStr">
        <is>
          <t>3.2</t>
        </is>
      </c>
      <c r="D1357" s="16" t="inlineStr">
        <is>
          <t>muestra de 300 puntos</t>
        </is>
      </c>
      <c r="E1357" s="16" t="inlineStr">
        <is>
          <t>KF-M04</t>
        </is>
      </c>
      <c r="F1357" s="16" t="inlineStr">
        <is>
          <t>KF-M04</t>
        </is>
      </c>
      <c r="G1357" s="16" t="inlineStr">
        <is>
          <t>B07</t>
        </is>
      </c>
      <c r="H1357" s="16" t="inlineStr">
        <is>
          <t>lhs</t>
        </is>
      </c>
      <c r="I1357" s="16" t="inlineStr">
        <is>
          <t>CORREGIBLE</t>
        </is>
      </c>
      <c r="J1357" s="16" t="inlineStr">
        <is>
          <t>CORREGIBLE</t>
        </is>
      </c>
      <c r="K1357" s="16" t="b">
        <v>1</v>
      </c>
      <c r="L1357" s="16" t="b">
        <v>0</v>
      </c>
      <c r="M1357" s="16" t="b">
        <v>0</v>
      </c>
      <c r="N1357" s="16" t="b">
        <v>0</v>
      </c>
      <c r="O1357" s="16" t="n">
        <v>430.3464179806264</v>
      </c>
      <c r="P1357" s="16" t="n">
        <v>285.3329601239557</v>
      </c>
      <c r="Q1357" s="16" t="n">
        <v>3062.882727816617</v>
      </c>
      <c r="R1357" s="16" t="n">
        <v>1172.082114199014</v>
      </c>
      <c r="S1357" s="16" t="n">
        <v>0.6511817266229122</v>
      </c>
      <c r="T1357" s="16" t="n">
        <v>0.8967687477999307</v>
      </c>
      <c r="U1357" s="16" t="n">
        <v>0.7041205627742597</v>
      </c>
      <c r="V1357" s="16" t="n">
        <v>0.8159897829465719</v>
      </c>
      <c r="W1357" s="16" t="n">
        <v>0.8738785490397881</v>
      </c>
      <c r="X1357" s="16" t="n">
        <v>0.7240654492120285</v>
      </c>
      <c r="Y1357" s="16" t="n">
        <v>285.3329601239557</v>
      </c>
      <c r="Z1357" s="16" t="n">
        <v>8.53353809156749</v>
      </c>
      <c r="AA1357" s="16" t="n">
        <v>72.57259279715171</v>
      </c>
      <c r="AB1357" s="16" t="n">
        <v>1890.800613617603</v>
      </c>
      <c r="AC1357" s="16" t="n">
        <v>2.613198077772693</v>
      </c>
      <c r="AD1357" s="16" t="inlineStr">
        <is>
          <t>O2</t>
        </is>
      </c>
      <c r="AE1357" s="16" t="n"/>
    </row>
    <row r="1358">
      <c r="A1358" s="16" t="inlineStr">
        <is>
          <t>KF-M04-0286</t>
        </is>
      </c>
      <c r="B1358" s="16" t="inlineStr">
        <is>
          <t>3.2</t>
        </is>
      </c>
      <c r="C1358" s="16" t="inlineStr">
        <is>
          <t>3.2</t>
        </is>
      </c>
      <c r="D1358" s="16" t="inlineStr">
        <is>
          <t>muestra de 300 puntos</t>
        </is>
      </c>
      <c r="E1358" s="16" t="inlineStr">
        <is>
          <t>KF-M04</t>
        </is>
      </c>
      <c r="F1358" s="16" t="inlineStr">
        <is>
          <t>KF-M04</t>
        </is>
      </c>
      <c r="G1358" s="16" t="inlineStr">
        <is>
          <t>B07</t>
        </is>
      </c>
      <c r="H1358" s="16" t="inlineStr">
        <is>
          <t>lhs</t>
        </is>
      </c>
      <c r="I1358" s="16" t="inlineStr">
        <is>
          <t>KALINA</t>
        </is>
      </c>
      <c r="J1358" s="16" t="inlineStr">
        <is>
          <t>KALINA</t>
        </is>
      </c>
      <c r="K1358" s="16" t="b">
        <v>1</v>
      </c>
      <c r="L1358" s="16" t="b">
        <v>1</v>
      </c>
      <c r="M1358" s="16" t="b">
        <v>0</v>
      </c>
      <c r="N1358" s="16" t="b">
        <v>0</v>
      </c>
      <c r="O1358" s="16" t="n">
        <v>436.0969531091276</v>
      </c>
      <c r="P1358" s="16" t="n">
        <v>279.0977013205448</v>
      </c>
      <c r="Q1358" s="16" t="n">
        <v>3481.823024523768</v>
      </c>
      <c r="R1358" s="16" t="n">
        <v>808.3402577390962</v>
      </c>
      <c r="S1358" s="16" t="n">
        <v>0.6347489709498951</v>
      </c>
      <c r="T1358" s="16" t="n">
        <v>0.9184829805028722</v>
      </c>
      <c r="U1358" s="16" t="n">
        <v>0.7460814839003643</v>
      </c>
      <c r="V1358" s="16" t="n">
        <v>0.6777311085206517</v>
      </c>
      <c r="W1358" s="16" t="n">
        <v>0.9415298192493302</v>
      </c>
      <c r="X1358" s="16" t="n">
        <v>0.8418262585071621</v>
      </c>
      <c r="Y1358" s="16" t="n">
        <v>279.0977013205448</v>
      </c>
      <c r="Z1358" s="16" t="n">
        <v>12.30159889633283</v>
      </c>
      <c r="AA1358" s="16" t="n">
        <v>91.41821112392584</v>
      </c>
      <c r="AB1358" s="16" t="n">
        <v>2673.482766784672</v>
      </c>
      <c r="AC1358" s="16" t="n">
        <v>4.307373029103269</v>
      </c>
      <c r="AD1358" s="16" t="n"/>
      <c r="AE1358" s="16" t="n"/>
    </row>
    <row r="1359">
      <c r="A1359" s="16" t="inlineStr">
        <is>
          <t>KF-M04-0287</t>
        </is>
      </c>
      <c r="B1359" s="16" t="inlineStr">
        <is>
          <t>3.2</t>
        </is>
      </c>
      <c r="C1359" s="16" t="inlineStr">
        <is>
          <t>3.2</t>
        </is>
      </c>
      <c r="D1359" s="16" t="inlineStr">
        <is>
          <t>muestra de 300 puntos</t>
        </is>
      </c>
      <c r="E1359" s="16" t="inlineStr">
        <is>
          <t>KF-M04</t>
        </is>
      </c>
      <c r="F1359" s="16" t="inlineStr">
        <is>
          <t>KF-M04</t>
        </is>
      </c>
      <c r="G1359" s="16" t="inlineStr">
        <is>
          <t>B07</t>
        </is>
      </c>
      <c r="H1359" s="16" t="inlineStr">
        <is>
          <t>lhs</t>
        </is>
      </c>
      <c r="I1359" s="16" t="inlineStr">
        <is>
          <t>CORREGIBLE</t>
        </is>
      </c>
      <c r="J1359" s="16" t="inlineStr">
        <is>
          <t>CORREGIBLE</t>
        </is>
      </c>
      <c r="K1359" s="16" t="b">
        <v>1</v>
      </c>
      <c r="L1359" s="16" t="b">
        <v>0</v>
      </c>
      <c r="M1359" s="16" t="b">
        <v>0</v>
      </c>
      <c r="N1359" s="16" t="b">
        <v>0</v>
      </c>
      <c r="O1359" s="16" t="n">
        <v>380.2299239934842</v>
      </c>
      <c r="P1359" s="16" t="n">
        <v>295.9012705158958</v>
      </c>
      <c r="Q1359" s="16" t="n">
        <v>3132.991411849378</v>
      </c>
      <c r="R1359" s="16" t="n">
        <v>1004.95873018104</v>
      </c>
      <c r="S1359" s="16" t="n">
        <v>0.6646635650954211</v>
      </c>
      <c r="T1359" s="16" t="n">
        <v>0.8699261260392093</v>
      </c>
      <c r="U1359" s="16" t="n">
        <v>0.7612021268905729</v>
      </c>
      <c r="V1359" s="16" t="n">
        <v>0.7772930964977618</v>
      </c>
      <c r="W1359" s="16" t="n">
        <v>0.7123069727695696</v>
      </c>
      <c r="X1359" s="16" t="n">
        <v>0.7685686597767855</v>
      </c>
      <c r="Y1359" s="16" t="n">
        <v>295.9012705158958</v>
      </c>
      <c r="Z1359" s="16" t="n">
        <v>7.51633949737588</v>
      </c>
      <c r="AA1359" s="16" t="n">
        <v>25.86620552576942</v>
      </c>
      <c r="AB1359" s="16" t="n">
        <v>2128.032681668338</v>
      </c>
      <c r="AC1359" s="16" t="n">
        <v>3.117532409798541</v>
      </c>
      <c r="AD1359" s="16" t="inlineStr">
        <is>
          <t>O2</t>
        </is>
      </c>
      <c r="AE1359" s="16" t="n"/>
    </row>
    <row r="1360">
      <c r="A1360" s="16" t="inlineStr">
        <is>
          <t>KF-M04-0288</t>
        </is>
      </c>
      <c r="B1360" s="16" t="inlineStr">
        <is>
          <t>3.2</t>
        </is>
      </c>
      <c r="C1360" s="16" t="inlineStr">
        <is>
          <t>3.2</t>
        </is>
      </c>
      <c r="D1360" s="16" t="inlineStr">
        <is>
          <t>muestra de 300 puntos</t>
        </is>
      </c>
      <c r="E1360" s="16" t="inlineStr">
        <is>
          <t>KF-M04</t>
        </is>
      </c>
      <c r="F1360" s="16" t="inlineStr">
        <is>
          <t>KF-M04</t>
        </is>
      </c>
      <c r="G1360" s="16" t="inlineStr">
        <is>
          <t>B07</t>
        </is>
      </c>
      <c r="H1360" s="16" t="inlineStr">
        <is>
          <t>lhs</t>
        </is>
      </c>
      <c r="I1360" s="16" t="inlineStr">
        <is>
          <t>CORREGIBLE</t>
        </is>
      </c>
      <c r="J1360" s="16" t="inlineStr">
        <is>
          <t>CORREGIBLE</t>
        </is>
      </c>
      <c r="K1360" s="16" t="b">
        <v>1</v>
      </c>
      <c r="L1360" s="16" t="b">
        <v>0</v>
      </c>
      <c r="M1360" s="16" t="b">
        <v>1</v>
      </c>
      <c r="N1360" s="16" t="b">
        <v>0</v>
      </c>
      <c r="O1360" s="16" t="n">
        <v>443.6605574257579</v>
      </c>
      <c r="P1360" s="16" t="n">
        <v>289.3726586877481</v>
      </c>
      <c r="Q1360" s="16" t="n">
        <v>3816.286927833382</v>
      </c>
      <c r="R1360" s="16" t="n">
        <v>968.7085919334684</v>
      </c>
      <c r="S1360" s="16" t="n">
        <v>0.8336842985817186</v>
      </c>
      <c r="T1360" s="16" t="n">
        <v>0.8089221493624302</v>
      </c>
      <c r="U1360" s="16" t="n">
        <v>0.8624622172900454</v>
      </c>
      <c r="V1360" s="16" t="n">
        <v>0.9433454104054588</v>
      </c>
      <c r="W1360" s="16" t="n">
        <v>0.8405486720813294</v>
      </c>
      <c r="X1360" s="16" t="n">
        <v>0.9017784540574294</v>
      </c>
      <c r="Y1360" s="16" t="n">
        <v>289.3726586877481</v>
      </c>
      <c r="Z1360" s="16" t="n">
        <v>11.28782326233089</v>
      </c>
      <c r="AA1360" s="16" t="n">
        <v>173.9778613099508</v>
      </c>
      <c r="AB1360" s="16" t="n">
        <v>2847.578335899913</v>
      </c>
      <c r="AC1360" s="16" t="n">
        <v>3.939561349627719</v>
      </c>
      <c r="AD1360" s="16" t="inlineStr">
        <is>
          <t>O2</t>
        </is>
      </c>
      <c r="AE1360" s="16" t="n"/>
    </row>
    <row r="1361">
      <c r="A1361" s="16" t="inlineStr">
        <is>
          <t>KF-M04-0289</t>
        </is>
      </c>
      <c r="B1361" s="16" t="inlineStr">
        <is>
          <t>3.2</t>
        </is>
      </c>
      <c r="C1361" s="16" t="inlineStr">
        <is>
          <t>3.2</t>
        </is>
      </c>
      <c r="D1361" s="16" t="inlineStr">
        <is>
          <t>muestra de 300 puntos</t>
        </is>
      </c>
      <c r="E1361" s="16" t="inlineStr">
        <is>
          <t>KF-M04</t>
        </is>
      </c>
      <c r="F1361" s="16" t="inlineStr">
        <is>
          <t>KF-M04</t>
        </is>
      </c>
      <c r="G1361" s="16" t="inlineStr">
        <is>
          <t>B07</t>
        </is>
      </c>
      <c r="H1361" s="16" t="inlineStr">
        <is>
          <t>lhs</t>
        </is>
      </c>
      <c r="I1361" s="16" t="inlineStr">
        <is>
          <t>KALINA</t>
        </is>
      </c>
      <c r="J1361" s="16" t="inlineStr">
        <is>
          <t>KALINA</t>
        </is>
      </c>
      <c r="K1361" s="16" t="b">
        <v>1</v>
      </c>
      <c r="L1361" s="16" t="b">
        <v>1</v>
      </c>
      <c r="M1361" s="16" t="b">
        <v>0</v>
      </c>
      <c r="N1361" s="16" t="b">
        <v>0</v>
      </c>
      <c r="O1361" s="16" t="n">
        <v>419.5304966402773</v>
      </c>
      <c r="P1361" s="16" t="n">
        <v>284.0900976608205</v>
      </c>
      <c r="Q1361" s="16" t="n">
        <v>4890.757585739927</v>
      </c>
      <c r="R1361" s="16" t="n">
        <v>834.1656556774753</v>
      </c>
      <c r="S1361" s="16" t="n">
        <v>0.627697378065232</v>
      </c>
      <c r="T1361" s="16" t="n">
        <v>0.9037773338407278</v>
      </c>
      <c r="U1361" s="16" t="n">
        <v>0.6569589119039213</v>
      </c>
      <c r="V1361" s="16" t="n">
        <v>0.7498996686574465</v>
      </c>
      <c r="W1361" s="16" t="n">
        <v>0.7434876391086656</v>
      </c>
      <c r="X1361" s="16" t="n">
        <v>0.941602775634152</v>
      </c>
      <c r="Y1361" s="16" t="n">
        <v>284.0900976608205</v>
      </c>
      <c r="Z1361" s="16" t="n">
        <v>9.77315139508242</v>
      </c>
      <c r="AA1361" s="16" t="n">
        <v>46.66056542796528</v>
      </c>
      <c r="AB1361" s="16" t="n">
        <v>4056.591930062452</v>
      </c>
      <c r="AC1361" s="16" t="n">
        <v>5.863053162705258</v>
      </c>
      <c r="AD1361" s="16" t="n"/>
      <c r="AE1361" s="16" t="n"/>
    </row>
    <row r="1362">
      <c r="A1362" s="16" t="inlineStr">
        <is>
          <t>KF-M04-0290</t>
        </is>
      </c>
      <c r="B1362" s="16" t="inlineStr">
        <is>
          <t>3.2</t>
        </is>
      </c>
      <c r="C1362" s="16" t="inlineStr">
        <is>
          <t>3.2</t>
        </is>
      </c>
      <c r="D1362" s="16" t="inlineStr">
        <is>
          <t>muestra de 300 puntos</t>
        </is>
      </c>
      <c r="E1362" s="16" t="inlineStr">
        <is>
          <t>KF-M04</t>
        </is>
      </c>
      <c r="F1362" s="16" t="inlineStr">
        <is>
          <t>KF-M04</t>
        </is>
      </c>
      <c r="G1362" s="16" t="inlineStr">
        <is>
          <t>B07</t>
        </is>
      </c>
      <c r="H1362" s="16" t="inlineStr">
        <is>
          <t>lhs</t>
        </is>
      </c>
      <c r="I1362" s="16" t="inlineStr">
        <is>
          <t>KALINA</t>
        </is>
      </c>
      <c r="J1362" s="16" t="inlineStr">
        <is>
          <t>KALINA</t>
        </is>
      </c>
      <c r="K1362" s="16" t="b">
        <v>1</v>
      </c>
      <c r="L1362" s="16" t="b">
        <v>1</v>
      </c>
      <c r="M1362" s="16" t="b">
        <v>0</v>
      </c>
      <c r="N1362" s="16" t="b">
        <v>0</v>
      </c>
      <c r="O1362" s="16" t="n">
        <v>405.057211412196</v>
      </c>
      <c r="P1362" s="16" t="n">
        <v>290.0971025362109</v>
      </c>
      <c r="Q1362" s="16" t="n">
        <v>4950.97408997087</v>
      </c>
      <c r="R1362" s="16" t="n">
        <v>1307.586825936962</v>
      </c>
      <c r="S1362" s="16" t="n">
        <v>0.6435798276203912</v>
      </c>
      <c r="T1362" s="16" t="n">
        <v>0.7724593461372505</v>
      </c>
      <c r="U1362" s="16" t="n">
        <v>0.8895868014557626</v>
      </c>
      <c r="V1362" s="16" t="n">
        <v>0.9173572949482754</v>
      </c>
      <c r="W1362" s="16" t="n">
        <v>0.9355226087485826</v>
      </c>
      <c r="X1362" s="16" t="n">
        <v>0.9046816283900566</v>
      </c>
      <c r="Y1362" s="16" t="n">
        <v>290.0971025362109</v>
      </c>
      <c r="Z1362" s="16" t="n">
        <v>7.63904425317266</v>
      </c>
      <c r="AA1362" s="16" t="n">
        <v>24.39712888754419</v>
      </c>
      <c r="AB1362" s="16" t="n">
        <v>3643.387264033908</v>
      </c>
      <c r="AC1362" s="16" t="n">
        <v>3.78634442605615</v>
      </c>
      <c r="AD1362" s="16" t="n"/>
      <c r="AE1362" s="16" t="n"/>
    </row>
    <row r="1363">
      <c r="A1363" s="16" t="inlineStr">
        <is>
          <t>KF-M04-0291</t>
        </is>
      </c>
      <c r="B1363" s="16" t="inlineStr">
        <is>
          <t>3.2</t>
        </is>
      </c>
      <c r="C1363" s="16" t="inlineStr">
        <is>
          <t>3.2</t>
        </is>
      </c>
      <c r="D1363" s="16" t="inlineStr">
        <is>
          <t>muestra de 300 puntos</t>
        </is>
      </c>
      <c r="E1363" s="16" t="inlineStr">
        <is>
          <t>KF-M04</t>
        </is>
      </c>
      <c r="F1363" s="16" t="inlineStr">
        <is>
          <t>KF-M04</t>
        </is>
      </c>
      <c r="G1363" s="16" t="inlineStr">
        <is>
          <t>B07</t>
        </is>
      </c>
      <c r="H1363" s="16" t="inlineStr">
        <is>
          <t>lhs</t>
        </is>
      </c>
      <c r="I1363" s="16" t="inlineStr">
        <is>
          <t>KALINA</t>
        </is>
      </c>
      <c r="J1363" s="16" t="inlineStr">
        <is>
          <t>KALINA</t>
        </is>
      </c>
      <c r="K1363" s="16" t="b">
        <v>1</v>
      </c>
      <c r="L1363" s="16" t="b">
        <v>1</v>
      </c>
      <c r="M1363" s="16" t="b">
        <v>0</v>
      </c>
      <c r="N1363" s="16" t="b">
        <v>0</v>
      </c>
      <c r="O1363" s="16" t="n">
        <v>437.9841564361316</v>
      </c>
      <c r="P1363" s="16" t="n">
        <v>283.7377194208255</v>
      </c>
      <c r="Q1363" s="16" t="n">
        <v>3396.524525340546</v>
      </c>
      <c r="R1363" s="16" t="n">
        <v>775.8021834708327</v>
      </c>
      <c r="S1363" s="16" t="n">
        <v>0.6261873568625259</v>
      </c>
      <c r="T1363" s="16" t="n">
        <v>0.8018029291288898</v>
      </c>
      <c r="U1363" s="16" t="n">
        <v>0.8918142387695286</v>
      </c>
      <c r="V1363" s="16" t="n">
        <v>0.6000388554667904</v>
      </c>
      <c r="W1363" s="16" t="n">
        <v>0.8806455198959592</v>
      </c>
      <c r="X1363" s="16" t="n">
        <v>0.9252092463616292</v>
      </c>
      <c r="Y1363" s="16" t="n">
        <v>283.7377194208255</v>
      </c>
      <c r="Z1363" s="16" t="n">
        <v>10.15169729110485</v>
      </c>
      <c r="AA1363" s="16" t="n">
        <v>71.05905775391983</v>
      </c>
      <c r="AB1363" s="16" t="n">
        <v>2620.722341869714</v>
      </c>
      <c r="AC1363" s="16" t="n">
        <v>4.378080646982664</v>
      </c>
      <c r="AD1363" s="16" t="n"/>
      <c r="AE1363" s="16" t="n"/>
    </row>
    <row r="1364">
      <c r="A1364" s="16" t="inlineStr">
        <is>
          <t>KF-M04-0292</t>
        </is>
      </c>
      <c r="B1364" s="16" t="inlineStr">
        <is>
          <t>3.2</t>
        </is>
      </c>
      <c r="C1364" s="16" t="inlineStr">
        <is>
          <t>3.2</t>
        </is>
      </c>
      <c r="D1364" s="16" t="inlineStr">
        <is>
          <t>muestra de 300 puntos</t>
        </is>
      </c>
      <c r="E1364" s="16" t="inlineStr">
        <is>
          <t>KF-M04</t>
        </is>
      </c>
      <c r="F1364" s="16" t="inlineStr">
        <is>
          <t>KF-M04</t>
        </is>
      </c>
      <c r="G1364" s="16" t="inlineStr">
        <is>
          <t>B07</t>
        </is>
      </c>
      <c r="H1364" s="16" t="inlineStr">
        <is>
          <t>lhs</t>
        </is>
      </c>
      <c r="I1364" s="16" t="inlineStr">
        <is>
          <t>CORREGIBLE</t>
        </is>
      </c>
      <c r="J1364" s="16" t="inlineStr">
        <is>
          <t>CORREGIBLE</t>
        </is>
      </c>
      <c r="K1364" s="16" t="b">
        <v>1</v>
      </c>
      <c r="L1364" s="16" t="b">
        <v>0</v>
      </c>
      <c r="M1364" s="16" t="b">
        <v>1</v>
      </c>
      <c r="N1364" s="16" t="b">
        <v>0</v>
      </c>
      <c r="O1364" s="16" t="n">
        <v>452.3401573256488</v>
      </c>
      <c r="P1364" s="16" t="n">
        <v>298.1418734042439</v>
      </c>
      <c r="Q1364" s="16" t="n">
        <v>2145.67133721663</v>
      </c>
      <c r="R1364" s="16" t="n">
        <v>736.0676858124627</v>
      </c>
      <c r="S1364" s="16" t="n">
        <v>0.5742589760136623</v>
      </c>
      <c r="T1364" s="16" t="n">
        <v>0.8956370966717202</v>
      </c>
      <c r="U1364" s="16" t="n">
        <v>0.7685592092408765</v>
      </c>
      <c r="V1364" s="16" t="n">
        <v>0.8713337373041009</v>
      </c>
      <c r="W1364" s="16" t="n">
        <v>0.7782156958096228</v>
      </c>
      <c r="X1364" s="16" t="n">
        <v>0.7188356738157782</v>
      </c>
      <c r="Y1364" s="16" t="n">
        <v>298.1418734042439</v>
      </c>
      <c r="Z1364" s="16" t="n">
        <v>7.45402159821337</v>
      </c>
      <c r="AA1364" s="16" t="n">
        <v>106.4387579217564</v>
      </c>
      <c r="AB1364" s="16" t="n">
        <v>1409.603651404167</v>
      </c>
      <c r="AC1364" s="16" t="n">
        <v>2.915046236336626</v>
      </c>
      <c r="AD1364" s="16" t="inlineStr">
        <is>
          <t>O2</t>
        </is>
      </c>
      <c r="AE1364" s="16" t="n"/>
    </row>
    <row r="1365">
      <c r="A1365" s="16" t="inlineStr">
        <is>
          <t>KF-M04-0293</t>
        </is>
      </c>
      <c r="B1365" s="16" t="inlineStr">
        <is>
          <t>3.2</t>
        </is>
      </c>
      <c r="C1365" s="16" t="inlineStr">
        <is>
          <t>3.2</t>
        </is>
      </c>
      <c r="D1365" s="16" t="inlineStr">
        <is>
          <t>muestra de 300 puntos</t>
        </is>
      </c>
      <c r="E1365" s="16" t="inlineStr">
        <is>
          <t>KF-M04</t>
        </is>
      </c>
      <c r="F1365" s="16" t="inlineStr">
        <is>
          <t>KF-M04</t>
        </is>
      </c>
      <c r="G1365" s="16" t="inlineStr">
        <is>
          <t>B07</t>
        </is>
      </c>
      <c r="H1365" s="16" t="inlineStr">
        <is>
          <t>lhs</t>
        </is>
      </c>
      <c r="I1365" s="16" t="inlineStr">
        <is>
          <t>CORREGIBLE</t>
        </is>
      </c>
      <c r="J1365" s="16" t="inlineStr">
        <is>
          <t>CORREGIBLE</t>
        </is>
      </c>
      <c r="K1365" s="16" t="b">
        <v>1</v>
      </c>
      <c r="L1365" s="16" t="b">
        <v>0</v>
      </c>
      <c r="M1365" s="16" t="b">
        <v>0</v>
      </c>
      <c r="N1365" s="16" t="b">
        <v>0</v>
      </c>
      <c r="O1365" s="16" t="n">
        <v>388.8562620075182</v>
      </c>
      <c r="P1365" s="16" t="n">
        <v>303.2520674473334</v>
      </c>
      <c r="Q1365" s="16" t="n">
        <v>2394.621537495461</v>
      </c>
      <c r="R1365" s="16" t="n">
        <v>830.476218392964</v>
      </c>
      <c r="S1365" s="16" t="n">
        <v>0.5939049273814487</v>
      </c>
      <c r="T1365" s="16" t="n">
        <v>0.7765186154117247</v>
      </c>
      <c r="U1365" s="16" t="n">
        <v>0.875794102129831</v>
      </c>
      <c r="V1365" s="16" t="n">
        <v>0.9392069407816942</v>
      </c>
      <c r="W1365" s="16" t="n">
        <v>0.6085215381089808</v>
      </c>
      <c r="X1365" s="16" t="n">
        <v>0.823132342573786</v>
      </c>
      <c r="Y1365" s="16" t="n">
        <v>303.2520674473334</v>
      </c>
      <c r="Z1365" s="16" t="n">
        <v>6.92920634904972</v>
      </c>
      <c r="AA1365" s="16" t="n">
        <v>36.4489555152995</v>
      </c>
      <c r="AB1365" s="16" t="n">
        <v>1564.145319102497</v>
      </c>
      <c r="AC1365" s="16" t="n">
        <v>2.883431800285913</v>
      </c>
      <c r="AD1365" s="16" t="inlineStr">
        <is>
          <t>O2</t>
        </is>
      </c>
      <c r="AE1365" s="16" t="n"/>
    </row>
    <row r="1366">
      <c r="A1366" s="16" t="inlineStr">
        <is>
          <t>KF-M04-0294</t>
        </is>
      </c>
      <c r="B1366" s="16" t="inlineStr">
        <is>
          <t>3.2</t>
        </is>
      </c>
      <c r="C1366" s="16" t="inlineStr">
        <is>
          <t>3.2</t>
        </is>
      </c>
      <c r="D1366" s="16" t="inlineStr">
        <is>
          <t>muestra de 300 puntos</t>
        </is>
      </c>
      <c r="E1366" s="16" t="inlineStr">
        <is>
          <t>KF-M04</t>
        </is>
      </c>
      <c r="F1366" s="16" t="inlineStr">
        <is>
          <t>KF-M04</t>
        </is>
      </c>
      <c r="G1366" s="16" t="inlineStr">
        <is>
          <t>B07</t>
        </is>
      </c>
      <c r="H1366" s="16" t="inlineStr">
        <is>
          <t>lhs</t>
        </is>
      </c>
      <c r="I1366" s="16" t="inlineStr">
        <is>
          <t>NO_CONVERGIO</t>
        </is>
      </c>
      <c r="J1366" s="16" t="inlineStr">
        <is>
          <t>NO_CONVERGIO</t>
        </is>
      </c>
      <c r="K1366" s="16" t="b">
        <v>0</v>
      </c>
      <c r="L1366" s="16" t="b">
        <v>0</v>
      </c>
      <c r="M1366" s="16" t="b">
        <v>0</v>
      </c>
      <c r="N1366" s="16" t="b">
        <v>0</v>
      </c>
      <c r="O1366" s="16" t="n">
        <v>488.5725071609361</v>
      </c>
      <c r="P1366" s="16" t="n">
        <v>284.5227699117992</v>
      </c>
      <c r="Q1366" s="16" t="n">
        <v>2203.171124899518</v>
      </c>
      <c r="R1366" s="16" t="n">
        <v>938.90576560086</v>
      </c>
      <c r="S1366" s="16" t="n">
        <v>0.7761860739087231</v>
      </c>
      <c r="T1366" s="16" t="n">
        <v>0.7571076746644073</v>
      </c>
      <c r="U1366" s="16" t="n">
        <v>0.7376246949656997</v>
      </c>
      <c r="V1366" s="16" t="n">
        <v>0.6119940373320004</v>
      </c>
      <c r="W1366" s="16" t="n">
        <v>0.7381633169179176</v>
      </c>
      <c r="X1366" s="16" t="n">
        <v>0.776107981915539</v>
      </c>
      <c r="Y1366" s="16" t="n">
        <v>284.5227699117992</v>
      </c>
      <c r="Z1366" s="16" t="n"/>
      <c r="AA1366" s="16" t="n"/>
      <c r="AB1366" s="16" t="n">
        <v>1264.265359298658</v>
      </c>
      <c r="AC1366" s="16" t="n">
        <v>2.346530616402788</v>
      </c>
      <c r="AD1366" s="16" t="n"/>
      <c r="AE1366" s="16" t="n"/>
    </row>
    <row r="1367">
      <c r="A1367" s="16" t="inlineStr">
        <is>
          <t>KF-M04-0295</t>
        </is>
      </c>
      <c r="B1367" s="16" t="inlineStr">
        <is>
          <t>3.2</t>
        </is>
      </c>
      <c r="C1367" s="16" t="inlineStr">
        <is>
          <t>3.2</t>
        </is>
      </c>
      <c r="D1367" s="16" t="inlineStr">
        <is>
          <t>muestra de 300 puntos</t>
        </is>
      </c>
      <c r="E1367" s="16" t="inlineStr">
        <is>
          <t>KF-M04</t>
        </is>
      </c>
      <c r="F1367" s="16" t="inlineStr">
        <is>
          <t>KF-M04</t>
        </is>
      </c>
      <c r="G1367" s="16" t="inlineStr">
        <is>
          <t>B07</t>
        </is>
      </c>
      <c r="H1367" s="16" t="inlineStr">
        <is>
          <t>lhs</t>
        </is>
      </c>
      <c r="I1367" s="16" t="inlineStr">
        <is>
          <t>CORREGIBLE</t>
        </is>
      </c>
      <c r="J1367" s="16" t="inlineStr">
        <is>
          <t>CORREGIBLE</t>
        </is>
      </c>
      <c r="K1367" s="16" t="b">
        <v>1</v>
      </c>
      <c r="L1367" s="16" t="b">
        <v>0</v>
      </c>
      <c r="M1367" s="16" t="b">
        <v>1</v>
      </c>
      <c r="N1367" s="16" t="b">
        <v>0</v>
      </c>
      <c r="O1367" s="16" t="n">
        <v>465.5983933626047</v>
      </c>
      <c r="P1367" s="16" t="n">
        <v>285.1747229213544</v>
      </c>
      <c r="Q1367" s="16" t="n">
        <v>4975.89373209624</v>
      </c>
      <c r="R1367" s="16" t="n">
        <v>386.3813921285268</v>
      </c>
      <c r="S1367" s="16" t="n">
        <v>0.6146714045970534</v>
      </c>
      <c r="T1367" s="16" t="n">
        <v>0.7931786806723377</v>
      </c>
      <c r="U1367" s="16" t="n">
        <v>0.8057786989452852</v>
      </c>
      <c r="V1367" s="16" t="n">
        <v>0.7996057502111029</v>
      </c>
      <c r="W1367" s="16" t="n">
        <v>0.6478293773783974</v>
      </c>
      <c r="X1367" s="16" t="n">
        <v>0.7680196032959445</v>
      </c>
      <c r="Y1367" s="16" t="n">
        <v>285.1747229213544</v>
      </c>
      <c r="Z1367" s="16" t="n">
        <v>15.50094592953483</v>
      </c>
      <c r="AA1367" s="16" t="n">
        <v>159.3808544375833</v>
      </c>
      <c r="AB1367" s="16" t="n">
        <v>4589.512339967714</v>
      </c>
      <c r="AC1367" s="16" t="n">
        <v>12.87819194574735</v>
      </c>
      <c r="AD1367" s="16" t="inlineStr">
        <is>
          <t>O1,O2</t>
        </is>
      </c>
      <c r="AE1367" s="16" t="n"/>
    </row>
    <row r="1368">
      <c r="A1368" s="16" t="inlineStr">
        <is>
          <t>KF-M04-0296</t>
        </is>
      </c>
      <c r="B1368" s="16" t="inlineStr">
        <is>
          <t>3.2</t>
        </is>
      </c>
      <c r="C1368" s="16" t="inlineStr">
        <is>
          <t>3.2</t>
        </is>
      </c>
      <c r="D1368" s="16" t="inlineStr">
        <is>
          <t>muestra de 300 puntos</t>
        </is>
      </c>
      <c r="E1368" s="16" t="inlineStr">
        <is>
          <t>KF-M04</t>
        </is>
      </c>
      <c r="F1368" s="16" t="inlineStr">
        <is>
          <t>KF-M04</t>
        </is>
      </c>
      <c r="G1368" s="16" t="inlineStr">
        <is>
          <t>B07</t>
        </is>
      </c>
      <c r="H1368" s="16" t="inlineStr">
        <is>
          <t>lhs</t>
        </is>
      </c>
      <c r="I1368" s="16" t="inlineStr">
        <is>
          <t>CORREGIBLE</t>
        </is>
      </c>
      <c r="J1368" s="16" t="inlineStr">
        <is>
          <t>CORREGIBLE</t>
        </is>
      </c>
      <c r="K1368" s="16" t="b">
        <v>1</v>
      </c>
      <c r="L1368" s="16" t="b">
        <v>0</v>
      </c>
      <c r="M1368" s="16" t="b">
        <v>1</v>
      </c>
      <c r="N1368" s="16" t="b">
        <v>0</v>
      </c>
      <c r="O1368" s="16" t="n">
        <v>473.9066241425643</v>
      </c>
      <c r="P1368" s="16" t="n">
        <v>293.916319558983</v>
      </c>
      <c r="Q1368" s="16" t="n">
        <v>3253.722633816824</v>
      </c>
      <c r="R1368" s="16" t="n">
        <v>469.1778674819476</v>
      </c>
      <c r="S1368" s="16" t="n">
        <v>0.5198610643991574</v>
      </c>
      <c r="T1368" s="16" t="n">
        <v>0.7595773393649576</v>
      </c>
      <c r="U1368" s="16" t="n">
        <v>0.7874468451395461</v>
      </c>
      <c r="V1368" s="16" t="n">
        <v>0.6732491460165646</v>
      </c>
      <c r="W1368" s="16" t="n">
        <v>0.890536338566747</v>
      </c>
      <c r="X1368" s="16" t="n">
        <v>0.850737777728986</v>
      </c>
      <c r="Y1368" s="16" t="n">
        <v>293.916319558983</v>
      </c>
      <c r="Z1368" s="16" t="n">
        <v>12.0403376925187</v>
      </c>
      <c r="AA1368" s="16" t="n">
        <v>158.4910980148338</v>
      </c>
      <c r="AB1368" s="16" t="n">
        <v>2784.544766334876</v>
      </c>
      <c r="AC1368" s="16" t="n">
        <v>6.934944845713585</v>
      </c>
      <c r="AD1368" s="16" t="inlineStr">
        <is>
          <t>O2</t>
        </is>
      </c>
      <c r="AE1368" s="16" t="n"/>
    </row>
    <row r="1369">
      <c r="A1369" s="16" t="inlineStr">
        <is>
          <t>KF-M04-0297</t>
        </is>
      </c>
      <c r="B1369" s="16" t="inlineStr">
        <is>
          <t>3.2</t>
        </is>
      </c>
      <c r="C1369" s="16" t="inlineStr">
        <is>
          <t>3.2</t>
        </is>
      </c>
      <c r="D1369" s="16" t="inlineStr">
        <is>
          <t>muestra de 300 puntos</t>
        </is>
      </c>
      <c r="E1369" s="16" t="inlineStr">
        <is>
          <t>KF-M04</t>
        </is>
      </c>
      <c r="F1369" s="16" t="inlineStr">
        <is>
          <t>KF-M04</t>
        </is>
      </c>
      <c r="G1369" s="16" t="inlineStr">
        <is>
          <t>B07</t>
        </is>
      </c>
      <c r="H1369" s="16" t="inlineStr">
        <is>
          <t>lhs</t>
        </is>
      </c>
      <c r="I1369" s="16" t="inlineStr">
        <is>
          <t>CORREGIBLE</t>
        </is>
      </c>
      <c r="J1369" s="16" t="inlineStr">
        <is>
          <t>CORREGIBLE</t>
        </is>
      </c>
      <c r="K1369" s="16" t="b">
        <v>1</v>
      </c>
      <c r="L1369" s="16" t="b">
        <v>0</v>
      </c>
      <c r="M1369" s="16" t="b">
        <v>0</v>
      </c>
      <c r="N1369" s="16" t="b">
        <v>0</v>
      </c>
      <c r="O1369" s="16" t="n">
        <v>405.774065493802</v>
      </c>
      <c r="P1369" s="16" t="n">
        <v>294.0371477614854</v>
      </c>
      <c r="Q1369" s="16" t="n">
        <v>3844.161669703544</v>
      </c>
      <c r="R1369" s="16" t="n">
        <v>510.7901871291433</v>
      </c>
      <c r="S1369" s="16" t="n">
        <v>0.5557287530460909</v>
      </c>
      <c r="T1369" s="16" t="n">
        <v>0.8274655187105316</v>
      </c>
      <c r="U1369" s="16" t="n">
        <v>0.7161345544517226</v>
      </c>
      <c r="V1369" s="16" t="n">
        <v>0.8736130059807499</v>
      </c>
      <c r="W1369" s="16" t="n">
        <v>0.6987772433402573</v>
      </c>
      <c r="X1369" s="16" t="n">
        <v>0.8445981730542217</v>
      </c>
      <c r="Y1369" s="16" t="n">
        <v>294.0371477614854</v>
      </c>
      <c r="Z1369" s="16" t="n">
        <v>8.88284024031231</v>
      </c>
      <c r="AA1369" s="16" t="n">
        <v>31.46715314654614</v>
      </c>
      <c r="AB1369" s="16" t="n">
        <v>3333.3714825744</v>
      </c>
      <c r="AC1369" s="16" t="n">
        <v>7.525911355716046</v>
      </c>
      <c r="AD1369" s="16" t="inlineStr">
        <is>
          <t>O2</t>
        </is>
      </c>
      <c r="AE1369" s="16" t="n"/>
    </row>
    <row r="1370">
      <c r="A1370" s="16" t="inlineStr">
        <is>
          <t>KF-M04-0298</t>
        </is>
      </c>
      <c r="B1370" s="16" t="inlineStr">
        <is>
          <t>3.2</t>
        </is>
      </c>
      <c r="C1370" s="16" t="inlineStr">
        <is>
          <t>3.2</t>
        </is>
      </c>
      <c r="D1370" s="16" t="inlineStr">
        <is>
          <t>muestra de 300 puntos</t>
        </is>
      </c>
      <c r="E1370" s="16" t="inlineStr">
        <is>
          <t>KF-M04</t>
        </is>
      </c>
      <c r="F1370" s="16" t="inlineStr">
        <is>
          <t>KF-M04</t>
        </is>
      </c>
      <c r="G1370" s="16" t="inlineStr">
        <is>
          <t>B07</t>
        </is>
      </c>
      <c r="H1370" s="16" t="inlineStr">
        <is>
          <t>lhs</t>
        </is>
      </c>
      <c r="I1370" s="16" t="inlineStr">
        <is>
          <t>CORREGIBLE</t>
        </is>
      </c>
      <c r="J1370" s="16" t="inlineStr">
        <is>
          <t>CORREGIBLE</t>
        </is>
      </c>
      <c r="K1370" s="16" t="b">
        <v>1</v>
      </c>
      <c r="L1370" s="16" t="b">
        <v>0</v>
      </c>
      <c r="M1370" s="16" t="b">
        <v>0</v>
      </c>
      <c r="N1370" s="16" t="b">
        <v>0</v>
      </c>
      <c r="O1370" s="16" t="n">
        <v>438.0369399329183</v>
      </c>
      <c r="P1370" s="16" t="n">
        <v>296.15539343744</v>
      </c>
      <c r="Q1370" s="16" t="n">
        <v>3436.515330245455</v>
      </c>
      <c r="R1370" s="16" t="n">
        <v>743.4609483934786</v>
      </c>
      <c r="S1370" s="16" t="n">
        <v>0.622123495154182</v>
      </c>
      <c r="T1370" s="16" t="n">
        <v>0.8022443427621284</v>
      </c>
      <c r="U1370" s="16" t="n">
        <v>0.7045854002332652</v>
      </c>
      <c r="V1370" s="16" t="n">
        <v>0.6143773840070156</v>
      </c>
      <c r="W1370" s="16" t="n">
        <v>0.8141886158788414</v>
      </c>
      <c r="X1370" s="16" t="n">
        <v>0.7017211838664866</v>
      </c>
      <c r="Y1370" s="16" t="n">
        <v>296.15539343744</v>
      </c>
      <c r="Z1370" s="16" t="n">
        <v>10.21831989479211</v>
      </c>
      <c r="AA1370" s="16" t="n">
        <v>64.5067010708508</v>
      </c>
      <c r="AB1370" s="16" t="n">
        <v>2693.054381851976</v>
      </c>
      <c r="AC1370" s="16" t="n">
        <v>4.622321236470204</v>
      </c>
      <c r="AD1370" s="16" t="inlineStr">
        <is>
          <t>O2</t>
        </is>
      </c>
      <c r="AE1370" s="16" t="n"/>
    </row>
    <row r="1371">
      <c r="A1371" s="16" t="inlineStr">
        <is>
          <t>KF-M04-0299</t>
        </is>
      </c>
      <c r="B1371" s="16" t="inlineStr">
        <is>
          <t>3.2</t>
        </is>
      </c>
      <c r="C1371" s="16" t="inlineStr">
        <is>
          <t>3.2</t>
        </is>
      </c>
      <c r="D1371" s="16" t="inlineStr">
        <is>
          <t>muestra de 300 puntos</t>
        </is>
      </c>
      <c r="E1371" s="16" t="inlineStr">
        <is>
          <t>KF-M04</t>
        </is>
      </c>
      <c r="F1371" s="16" t="inlineStr">
        <is>
          <t>KF-M04</t>
        </is>
      </c>
      <c r="G1371" s="16" t="inlineStr">
        <is>
          <t>B07</t>
        </is>
      </c>
      <c r="H1371" s="16" t="inlineStr">
        <is>
          <t>lhs</t>
        </is>
      </c>
      <c r="I1371" s="16" t="inlineStr">
        <is>
          <t>NO_CONVERGIO</t>
        </is>
      </c>
      <c r="J1371" s="16" t="inlineStr">
        <is>
          <t>NO_CONVERGIO</t>
        </is>
      </c>
      <c r="K1371" s="16" t="b">
        <v>0</v>
      </c>
      <c r="L1371" s="16" t="b">
        <v>0</v>
      </c>
      <c r="M1371" s="16" t="b">
        <v>0</v>
      </c>
      <c r="N1371" s="16" t="b">
        <v>0</v>
      </c>
      <c r="O1371" s="16" t="n">
        <v>406.4878971929941</v>
      </c>
      <c r="P1371" s="16" t="n">
        <v>283.9825451236665</v>
      </c>
      <c r="Q1371" s="16" t="n">
        <v>4792.742139535572</v>
      </c>
      <c r="R1371" s="16" t="n">
        <v>333.5639741793088</v>
      </c>
      <c r="S1371" s="16" t="n">
        <v>0.5224209264978167</v>
      </c>
      <c r="T1371" s="16" t="n">
        <v>0.8917202932335564</v>
      </c>
      <c r="U1371" s="16" t="n">
        <v>0.7431723579807953</v>
      </c>
      <c r="V1371" s="16" t="n">
        <v>0.6706954987644316</v>
      </c>
      <c r="W1371" s="16" t="n">
        <v>0.8466400588880039</v>
      </c>
      <c r="X1371" s="16" t="n">
        <v>0.7403418682116368</v>
      </c>
      <c r="Y1371" s="16" t="n">
        <v>283.9825451236665</v>
      </c>
      <c r="Z1371" s="16" t="n"/>
      <c r="AA1371" s="16" t="n"/>
      <c r="AB1371" s="16" t="n">
        <v>4459.178165356263</v>
      </c>
      <c r="AC1371" s="16" t="n">
        <v>14.36828467860624</v>
      </c>
      <c r="AD1371" s="16" t="n"/>
      <c r="AE1371" s="16" t="n"/>
    </row>
    <row r="1372">
      <c r="A1372" s="16" t="inlineStr">
        <is>
          <t>KF-M04b-0000</t>
        </is>
      </c>
      <c r="B1372" s="16" t="inlineStr">
        <is>
          <t>3.2</t>
        </is>
      </c>
      <c r="C1372" s="16" t="inlineStr">
        <is>
          <t>3.2</t>
        </is>
      </c>
      <c r="D1372" s="16" t="inlineStr">
        <is>
          <t>muestra de 200 puntos</t>
        </is>
      </c>
      <c r="E1372" s="16" t="inlineStr">
        <is>
          <t>KF-M04b</t>
        </is>
      </c>
      <c r="F1372" s="16" t="inlineStr">
        <is>
          <t>KF-M04b</t>
        </is>
      </c>
      <c r="G1372" s="16" t="inlineStr">
        <is>
          <t>B07</t>
        </is>
      </c>
      <c r="H1372" s="16" t="inlineStr">
        <is>
          <t>lhs</t>
        </is>
      </c>
      <c r="I1372" s="16" t="inlineStr">
        <is>
          <t>KALINA</t>
        </is>
      </c>
      <c r="J1372" s="16" t="inlineStr">
        <is>
          <t>KALINA</t>
        </is>
      </c>
      <c r="K1372" s="16" t="b">
        <v>1</v>
      </c>
      <c r="L1372" s="16" t="b">
        <v>1</v>
      </c>
      <c r="M1372" s="16" t="b">
        <v>0</v>
      </c>
      <c r="N1372" s="16" t="b">
        <v>0</v>
      </c>
      <c r="O1372" s="16" t="n">
        <v>415.2806465295041</v>
      </c>
      <c r="P1372" s="16" t="n">
        <v>284.2492606001856</v>
      </c>
      <c r="Q1372" s="16" t="n">
        <v>2352.454585184713</v>
      </c>
      <c r="R1372" s="16" t="n">
        <v>1380.546268649107</v>
      </c>
      <c r="S1372" s="16" t="n">
        <v>0.5186726573836469</v>
      </c>
      <c r="T1372" s="16" t="n">
        <v>0.7538853547543595</v>
      </c>
      <c r="U1372" s="16" t="n">
        <v>0.7446629096368058</v>
      </c>
      <c r="V1372" s="16" t="n">
        <v>0.6614469529212912</v>
      </c>
      <c r="W1372" s="16" t="n">
        <v>0.7535782801242231</v>
      </c>
      <c r="X1372" s="16" t="n">
        <v>0.8886296906322618</v>
      </c>
      <c r="Y1372" s="16" t="n">
        <v>284.2492606001856</v>
      </c>
      <c r="Z1372" s="16" t="n">
        <v>2.95428927730202</v>
      </c>
      <c r="AA1372" s="16" t="n">
        <v>15.56867802648261</v>
      </c>
      <c r="AB1372" s="16" t="n">
        <v>971.9083165356058</v>
      </c>
      <c r="AC1372" s="16" t="n">
        <v>1.704002711540149</v>
      </c>
      <c r="AD1372" s="16" t="n"/>
      <c r="AE1372" s="16" t="n"/>
    </row>
    <row r="1373">
      <c r="A1373" s="16" t="inlineStr">
        <is>
          <t>KF-M04b-0001</t>
        </is>
      </c>
      <c r="B1373" s="16" t="inlineStr">
        <is>
          <t>3.2</t>
        </is>
      </c>
      <c r="C1373" s="16" t="inlineStr">
        <is>
          <t>3.2</t>
        </is>
      </c>
      <c r="D1373" s="16" t="inlineStr">
        <is>
          <t>muestra de 200 puntos</t>
        </is>
      </c>
      <c r="E1373" s="16" t="inlineStr">
        <is>
          <t>KF-M04b</t>
        </is>
      </c>
      <c r="F1373" s="16" t="inlineStr">
        <is>
          <t>KF-M04b</t>
        </is>
      </c>
      <c r="G1373" s="16" t="inlineStr">
        <is>
          <t>B07</t>
        </is>
      </c>
      <c r="H1373" s="16" t="inlineStr">
        <is>
          <t>lhs</t>
        </is>
      </c>
      <c r="I1373" s="16" t="inlineStr">
        <is>
          <t>KALINA</t>
        </is>
      </c>
      <c r="J1373" s="16" t="inlineStr">
        <is>
          <t>KALINA</t>
        </is>
      </c>
      <c r="K1373" s="16" t="b">
        <v>1</v>
      </c>
      <c r="L1373" s="16" t="b">
        <v>0</v>
      </c>
      <c r="M1373" s="16" t="b">
        <v>1</v>
      </c>
      <c r="N1373" s="16" t="b">
        <v>0</v>
      </c>
      <c r="O1373" s="16" t="n">
        <v>457.2976276114018</v>
      </c>
      <c r="P1373" s="16" t="n">
        <v>282.2051538586384</v>
      </c>
      <c r="Q1373" s="16" t="n">
        <v>2155.688849966575</v>
      </c>
      <c r="R1373" s="16" t="n">
        <v>918.041130057621</v>
      </c>
      <c r="S1373" s="16" t="n">
        <v>0.5959604903989996</v>
      </c>
      <c r="T1373" s="16" t="n">
        <v>0.7832916769504216</v>
      </c>
      <c r="U1373" s="16" t="n">
        <v>0.6531251808110692</v>
      </c>
      <c r="V1373" s="16" t="n">
        <v>0.906292024925946</v>
      </c>
      <c r="W1373" s="16" t="n">
        <v>0.6553226678085063</v>
      </c>
      <c r="X1373" s="16" t="n">
        <v>0.9279406998809592</v>
      </c>
      <c r="Y1373" s="16" t="n">
        <v>282.2051538586384</v>
      </c>
      <c r="Z1373" s="16" t="n">
        <v>5.72843491498087</v>
      </c>
      <c r="AA1373" s="16" t="n">
        <v>109.9033183301413</v>
      </c>
      <c r="AB1373" s="16" t="n">
        <v>1237.647719908954</v>
      </c>
      <c r="AC1373" s="16" t="n">
        <v>2.348139728588492</v>
      </c>
      <c r="AD1373" s="16" t="n"/>
      <c r="AE1373" s="16" t="n"/>
    </row>
    <row r="1374">
      <c r="A1374" s="16" t="inlineStr">
        <is>
          <t>KF-M04b-0002</t>
        </is>
      </c>
      <c r="B1374" s="16" t="inlineStr">
        <is>
          <t>3.2</t>
        </is>
      </c>
      <c r="C1374" s="16" t="inlineStr">
        <is>
          <t>3.2</t>
        </is>
      </c>
      <c r="D1374" s="16" t="inlineStr">
        <is>
          <t>muestra de 200 puntos</t>
        </is>
      </c>
      <c r="E1374" s="16" t="inlineStr">
        <is>
          <t>KF-M04b</t>
        </is>
      </c>
      <c r="F1374" s="16" t="inlineStr">
        <is>
          <t>KF-M04b</t>
        </is>
      </c>
      <c r="G1374" s="16" t="inlineStr">
        <is>
          <t>B07</t>
        </is>
      </c>
      <c r="H1374" s="16" t="inlineStr">
        <is>
          <t>lhs</t>
        </is>
      </c>
      <c r="I1374" s="16" t="inlineStr">
        <is>
          <t>INVIABLE</t>
        </is>
      </c>
      <c r="J1374" s="16" t="inlineStr">
        <is>
          <t>INVIABLE</t>
        </is>
      </c>
      <c r="K1374" s="16" t="b">
        <v>1</v>
      </c>
      <c r="L1374" s="16" t="b">
        <v>0</v>
      </c>
      <c r="M1374" s="16" t="b">
        <v>0</v>
      </c>
      <c r="N1374" s="16" t="b">
        <v>0</v>
      </c>
      <c r="O1374" s="16" t="n">
        <v>417.8781054564405</v>
      </c>
      <c r="P1374" s="16" t="n">
        <v>289.5339830781852</v>
      </c>
      <c r="Q1374" s="16" t="n">
        <v>4986.563595799034</v>
      </c>
      <c r="R1374" s="16" t="n">
        <v>1254.520050129621</v>
      </c>
      <c r="S1374" s="16" t="n">
        <v>0.503600207534467</v>
      </c>
      <c r="T1374" s="16" t="n">
        <v>0.8946343105000243</v>
      </c>
      <c r="U1374" s="16" t="n">
        <v>0.8875836034188722</v>
      </c>
      <c r="V1374" s="16" t="n">
        <v>0.6467229048247698</v>
      </c>
      <c r="W1374" s="16" t="n">
        <v>0.8925396097442926</v>
      </c>
      <c r="X1374" s="16" t="n">
        <v>0.9067171214346322</v>
      </c>
      <c r="Y1374" s="16" t="n">
        <v>289.5339830781852</v>
      </c>
      <c r="Z1374" s="16" t="n">
        <v>-5.00758254785141</v>
      </c>
      <c r="AA1374" s="16" t="n">
        <v>-3.793723840477081</v>
      </c>
      <c r="AB1374" s="16" t="n">
        <v>3732.043545669413</v>
      </c>
      <c r="AC1374" s="16" t="n">
        <v>3.974877559975072</v>
      </c>
      <c r="AD1374" s="16" t="inlineStr">
        <is>
          <t>O3</t>
        </is>
      </c>
      <c r="AE1374" s="16" t="n"/>
    </row>
    <row r="1375">
      <c r="A1375" s="16" t="inlineStr">
        <is>
          <t>KF-M04b-0003</t>
        </is>
      </c>
      <c r="B1375" s="16" t="inlineStr">
        <is>
          <t>3.2</t>
        </is>
      </c>
      <c r="C1375" s="16" t="inlineStr">
        <is>
          <t>3.2</t>
        </is>
      </c>
      <c r="D1375" s="16" t="inlineStr">
        <is>
          <t>muestra de 200 puntos</t>
        </is>
      </c>
      <c r="E1375" s="16" t="inlineStr">
        <is>
          <t>KF-M04b</t>
        </is>
      </c>
      <c r="F1375" s="16" t="inlineStr">
        <is>
          <t>KF-M04b</t>
        </is>
      </c>
      <c r="G1375" s="16" t="inlineStr">
        <is>
          <t>B07</t>
        </is>
      </c>
      <c r="H1375" s="16" t="inlineStr">
        <is>
          <t>lhs</t>
        </is>
      </c>
      <c r="I1375" s="16" t="inlineStr">
        <is>
          <t>CORREGIBLE</t>
        </is>
      </c>
      <c r="J1375" s="16" t="inlineStr">
        <is>
          <t>CORREGIBLE</t>
        </is>
      </c>
      <c r="K1375" s="16" t="b">
        <v>1</v>
      </c>
      <c r="L1375" s="16" t="b">
        <v>0</v>
      </c>
      <c r="M1375" s="16" t="b">
        <v>1</v>
      </c>
      <c r="N1375" s="16" t="b">
        <v>0</v>
      </c>
      <c r="O1375" s="16" t="n">
        <v>492.1999150231421</v>
      </c>
      <c r="P1375" s="16" t="n">
        <v>290.702863562995</v>
      </c>
      <c r="Q1375" s="16" t="n">
        <v>2674.482313309567</v>
      </c>
      <c r="R1375" s="16" t="n">
        <v>498.7518172150124</v>
      </c>
      <c r="S1375" s="16" t="n">
        <v>0.5787611812874194</v>
      </c>
      <c r="T1375" s="16" t="n">
        <v>0.886078904275146</v>
      </c>
      <c r="U1375" s="16" t="n">
        <v>0.7358999516023778</v>
      </c>
      <c r="V1375" s="16" t="n">
        <v>0.8588384280440577</v>
      </c>
      <c r="W1375" s="16" t="n">
        <v>0.8977924541472984</v>
      </c>
      <c r="X1375" s="16" t="n">
        <v>0.9111173166687176</v>
      </c>
      <c r="Y1375" s="16" t="n">
        <v>290.702863562995</v>
      </c>
      <c r="Z1375" s="16" t="n">
        <v>12.38834033493272</v>
      </c>
      <c r="AA1375" s="16" t="n">
        <v>226.9768143357576</v>
      </c>
      <c r="AB1375" s="16" t="n">
        <v>2175.730496094554</v>
      </c>
      <c r="AC1375" s="16" t="n">
        <v>5.36235101506727</v>
      </c>
      <c r="AD1375" s="16" t="inlineStr">
        <is>
          <t>O2</t>
        </is>
      </c>
      <c r="AE1375" s="16" t="n"/>
    </row>
    <row r="1376">
      <c r="A1376" s="16" t="inlineStr">
        <is>
          <t>KF-M04b-0004</t>
        </is>
      </c>
      <c r="B1376" s="16" t="inlineStr">
        <is>
          <t>3.2</t>
        </is>
      </c>
      <c r="C1376" s="16" t="inlineStr">
        <is>
          <t>3.2</t>
        </is>
      </c>
      <c r="D1376" s="16" t="inlineStr">
        <is>
          <t>muestra de 200 puntos</t>
        </is>
      </c>
      <c r="E1376" s="16" t="inlineStr">
        <is>
          <t>KF-M04b</t>
        </is>
      </c>
      <c r="F1376" s="16" t="inlineStr">
        <is>
          <t>KF-M04b</t>
        </is>
      </c>
      <c r="G1376" s="16" t="inlineStr">
        <is>
          <t>B07</t>
        </is>
      </c>
      <c r="H1376" s="16" t="inlineStr">
        <is>
          <t>lhs</t>
        </is>
      </c>
      <c r="I1376" s="16" t="inlineStr">
        <is>
          <t>CORREGIBLE</t>
        </is>
      </c>
      <c r="J1376" s="16" t="inlineStr">
        <is>
          <t>CORREGIBLE</t>
        </is>
      </c>
      <c r="K1376" s="16" t="b">
        <v>1</v>
      </c>
      <c r="L1376" s="16" t="b">
        <v>0</v>
      </c>
      <c r="M1376" s="16" t="b">
        <v>1</v>
      </c>
      <c r="N1376" s="16" t="b">
        <v>0</v>
      </c>
      <c r="O1376" s="16" t="n">
        <v>484.387254042173</v>
      </c>
      <c r="P1376" s="16" t="n">
        <v>282.6519494028217</v>
      </c>
      <c r="Q1376" s="16" t="n">
        <v>2459.481768045072</v>
      </c>
      <c r="R1376" s="16" t="n">
        <v>451.8604749164564</v>
      </c>
      <c r="S1376" s="16" t="n">
        <v>0.5297298884186833</v>
      </c>
      <c r="T1376" s="16" t="n">
        <v>0.8214566372932895</v>
      </c>
      <c r="U1376" s="16" t="n">
        <v>0.6801127354551314</v>
      </c>
      <c r="V1376" s="16" t="n">
        <v>0.729078784348053</v>
      </c>
      <c r="W1376" s="16" t="n">
        <v>0.7850349447691388</v>
      </c>
      <c r="X1376" s="16" t="n">
        <v>0.7895987798088689</v>
      </c>
      <c r="Y1376" s="16" t="n">
        <v>282.6519494028217</v>
      </c>
      <c r="Z1376" s="16" t="n">
        <v>10.90675665103822</v>
      </c>
      <c r="AA1376" s="16" t="n">
        <v>157.9875378802799</v>
      </c>
      <c r="AB1376" s="16" t="n">
        <v>2007.621293128616</v>
      </c>
      <c r="AC1376" s="16" t="n">
        <v>5.443011514781861</v>
      </c>
      <c r="AD1376" s="16" t="inlineStr">
        <is>
          <t>O2</t>
        </is>
      </c>
      <c r="AE1376" s="16" t="n"/>
    </row>
    <row r="1377">
      <c r="A1377" s="16" t="inlineStr">
        <is>
          <t>KF-M04b-0005</t>
        </is>
      </c>
      <c r="B1377" s="16" t="inlineStr">
        <is>
          <t>3.2</t>
        </is>
      </c>
      <c r="C1377" s="16" t="inlineStr">
        <is>
          <t>3.2</t>
        </is>
      </c>
      <c r="D1377" s="16" t="inlineStr">
        <is>
          <t>muestra de 200 puntos</t>
        </is>
      </c>
      <c r="E1377" s="16" t="inlineStr">
        <is>
          <t>KF-M04b</t>
        </is>
      </c>
      <c r="F1377" s="16" t="inlineStr">
        <is>
          <t>KF-M04b</t>
        </is>
      </c>
      <c r="G1377" s="16" t="inlineStr">
        <is>
          <t>B07</t>
        </is>
      </c>
      <c r="H1377" s="16" t="inlineStr">
        <is>
          <t>lhs</t>
        </is>
      </c>
      <c r="I1377" s="16" t="inlineStr">
        <is>
          <t>CORREGIBLE</t>
        </is>
      </c>
      <c r="J1377" s="16" t="inlineStr">
        <is>
          <t>CORREGIBLE</t>
        </is>
      </c>
      <c r="K1377" s="16" t="b">
        <v>1</v>
      </c>
      <c r="L1377" s="16" t="b">
        <v>0</v>
      </c>
      <c r="M1377" s="16" t="b">
        <v>0</v>
      </c>
      <c r="N1377" s="16" t="b">
        <v>0</v>
      </c>
      <c r="O1377" s="16" t="n">
        <v>468.3152789733691</v>
      </c>
      <c r="P1377" s="16" t="n">
        <v>283.7818473250117</v>
      </c>
      <c r="Q1377" s="16" t="n">
        <v>2507.763487865784</v>
      </c>
      <c r="R1377" s="16" t="n">
        <v>787.4467961031082</v>
      </c>
      <c r="S1377" s="16" t="n">
        <v>0.8155692456600261</v>
      </c>
      <c r="T1377" s="16" t="n">
        <v>0.8059070505809353</v>
      </c>
      <c r="U1377" s="16" t="n">
        <v>0.6829325947597485</v>
      </c>
      <c r="V1377" s="16" t="n">
        <v>0.6812974106192209</v>
      </c>
      <c r="W1377" s="16" t="n">
        <v>0.6316610208637291</v>
      </c>
      <c r="X1377" s="16" t="n">
        <v>0.7149904378924382</v>
      </c>
      <c r="Y1377" s="16" t="n">
        <v>283.7818473250117</v>
      </c>
      <c r="Z1377" s="16" t="n">
        <v>7.81667916535006</v>
      </c>
      <c r="AA1377" s="16" t="n">
        <v>80.56873587449542</v>
      </c>
      <c r="AB1377" s="16" t="n">
        <v>1720.316691762676</v>
      </c>
      <c r="AC1377" s="16" t="n">
        <v>3.184676730257999</v>
      </c>
      <c r="AD1377" s="16" t="inlineStr">
        <is>
          <t>O2</t>
        </is>
      </c>
      <c r="AE1377" s="16" t="n"/>
    </row>
    <row r="1378">
      <c r="A1378" s="16" t="inlineStr">
        <is>
          <t>KF-M04b-0006</t>
        </is>
      </c>
      <c r="B1378" s="16" t="inlineStr">
        <is>
          <t>3.2</t>
        </is>
      </c>
      <c r="C1378" s="16" t="inlineStr">
        <is>
          <t>3.2</t>
        </is>
      </c>
      <c r="D1378" s="16" t="inlineStr">
        <is>
          <t>muestra de 200 puntos</t>
        </is>
      </c>
      <c r="E1378" s="16" t="inlineStr">
        <is>
          <t>KF-M04b</t>
        </is>
      </c>
      <c r="F1378" s="16" t="inlineStr">
        <is>
          <t>KF-M04b</t>
        </is>
      </c>
      <c r="G1378" s="16" t="inlineStr">
        <is>
          <t>B07</t>
        </is>
      </c>
      <c r="H1378" s="16" t="inlineStr">
        <is>
          <t>lhs</t>
        </is>
      </c>
      <c r="I1378" s="16" t="inlineStr">
        <is>
          <t>CORREGIBLE</t>
        </is>
      </c>
      <c r="J1378" s="16" t="inlineStr">
        <is>
          <t>CORREGIBLE</t>
        </is>
      </c>
      <c r="K1378" s="16" t="b">
        <v>1</v>
      </c>
      <c r="L1378" s="16" t="b">
        <v>0</v>
      </c>
      <c r="M1378" s="16" t="b">
        <v>0</v>
      </c>
      <c r="N1378" s="16" t="b">
        <v>0</v>
      </c>
      <c r="O1378" s="16" t="n">
        <v>413.8316141751564</v>
      </c>
      <c r="P1378" s="16" t="n">
        <v>294.9220458932307</v>
      </c>
      <c r="Q1378" s="16" t="n">
        <v>3622.121813510464</v>
      </c>
      <c r="R1378" s="16" t="n">
        <v>827.1112753148744</v>
      </c>
      <c r="S1378" s="16" t="n">
        <v>0.7408608122299538</v>
      </c>
      <c r="T1378" s="16" t="n">
        <v>0.8940708851987392</v>
      </c>
      <c r="U1378" s="16" t="n">
        <v>0.861571356722965</v>
      </c>
      <c r="V1378" s="16" t="n">
        <v>0.7383783073414355</v>
      </c>
      <c r="W1378" s="16" t="n">
        <v>0.7049224003788198</v>
      </c>
      <c r="X1378" s="16" t="n">
        <v>0.8155676091765617</v>
      </c>
      <c r="Y1378" s="16" t="n">
        <v>294.9220458932307</v>
      </c>
      <c r="Z1378" s="16" t="n">
        <v>12.51501431728092</v>
      </c>
      <c r="AA1378" s="16" t="n">
        <v>90.2560682352749</v>
      </c>
      <c r="AB1378" s="16" t="n">
        <v>2795.01053819559</v>
      </c>
      <c r="AC1378" s="16" t="n">
        <v>4.379243666012838</v>
      </c>
      <c r="AD1378" s="16" t="inlineStr">
        <is>
          <t>O2</t>
        </is>
      </c>
      <c r="AE1378" s="16" t="n"/>
    </row>
    <row r="1379">
      <c r="A1379" s="16" t="inlineStr">
        <is>
          <t>KF-M04b-0007</t>
        </is>
      </c>
      <c r="B1379" s="16" t="inlineStr">
        <is>
          <t>3.2</t>
        </is>
      </c>
      <c r="C1379" s="16" t="inlineStr">
        <is>
          <t>3.2</t>
        </is>
      </c>
      <c r="D1379" s="16" t="inlineStr">
        <is>
          <t>muestra de 200 puntos</t>
        </is>
      </c>
      <c r="E1379" s="16" t="inlineStr">
        <is>
          <t>KF-M04b</t>
        </is>
      </c>
      <c r="F1379" s="16" t="inlineStr">
        <is>
          <t>KF-M04b</t>
        </is>
      </c>
      <c r="G1379" s="16" t="inlineStr">
        <is>
          <t>B07</t>
        </is>
      </c>
      <c r="H1379" s="16" t="inlineStr">
        <is>
          <t>lhs</t>
        </is>
      </c>
      <c r="I1379" s="16" t="inlineStr">
        <is>
          <t>CORREGIBLE</t>
        </is>
      </c>
      <c r="J1379" s="16" t="inlineStr">
        <is>
          <t>CORREGIBLE</t>
        </is>
      </c>
      <c r="K1379" s="16" t="b">
        <v>1</v>
      </c>
      <c r="L1379" s="16" t="b">
        <v>0</v>
      </c>
      <c r="M1379" s="16" t="b">
        <v>1</v>
      </c>
      <c r="N1379" s="16" t="b">
        <v>0</v>
      </c>
      <c r="O1379" s="16" t="n">
        <v>479.1726655721185</v>
      </c>
      <c r="P1379" s="16" t="n">
        <v>281.8471118826477</v>
      </c>
      <c r="Q1379" s="16" t="n">
        <v>3345.752762983845</v>
      </c>
      <c r="R1379" s="16" t="n">
        <v>1408.841268419527</v>
      </c>
      <c r="S1379" s="16" t="n">
        <v>0.5322543806632219</v>
      </c>
      <c r="T1379" s="16" t="n">
        <v>0.797381821645639</v>
      </c>
      <c r="U1379" s="16" t="n">
        <v>0.7926231339209298</v>
      </c>
      <c r="V1379" s="16" t="n">
        <v>0.9353962569626282</v>
      </c>
      <c r="W1379" s="16" t="n">
        <v>0.9219119278582486</v>
      </c>
      <c r="X1379" s="16" t="n">
        <v>0.7509240124586515</v>
      </c>
      <c r="Y1379" s="16" t="n">
        <v>281.8471118826477</v>
      </c>
      <c r="Z1379" s="16" t="n">
        <v>6.051031625033469</v>
      </c>
      <c r="AA1379" s="16" t="n">
        <v>102.9857356734827</v>
      </c>
      <c r="AB1379" s="16" t="n">
        <v>1936.911494564318</v>
      </c>
      <c r="AC1379" s="16" t="n">
        <v>2.374825921118277</v>
      </c>
      <c r="AD1379" s="16" t="inlineStr">
        <is>
          <t>O2</t>
        </is>
      </c>
      <c r="AE1379" s="16" t="n"/>
    </row>
    <row r="1380">
      <c r="A1380" s="16" t="inlineStr">
        <is>
          <t>KF-M04b-0008</t>
        </is>
      </c>
      <c r="B1380" s="16" t="inlineStr">
        <is>
          <t>3.2</t>
        </is>
      </c>
      <c r="C1380" s="16" t="inlineStr">
        <is>
          <t>3.2</t>
        </is>
      </c>
      <c r="D1380" s="16" t="inlineStr">
        <is>
          <t>muestra de 200 puntos</t>
        </is>
      </c>
      <c r="E1380" s="16" t="inlineStr">
        <is>
          <t>KF-M04b</t>
        </is>
      </c>
      <c r="F1380" s="16" t="inlineStr">
        <is>
          <t>KF-M04b</t>
        </is>
      </c>
      <c r="G1380" s="16" t="inlineStr">
        <is>
          <t>B07</t>
        </is>
      </c>
      <c r="H1380" s="16" t="inlineStr">
        <is>
          <t>lhs</t>
        </is>
      </c>
      <c r="I1380" s="16" t="inlineStr">
        <is>
          <t>CORREGIBLE</t>
        </is>
      </c>
      <c r="J1380" s="16" t="inlineStr">
        <is>
          <t>CORREGIBLE</t>
        </is>
      </c>
      <c r="K1380" s="16" t="b">
        <v>1</v>
      </c>
      <c r="L1380" s="16" t="b">
        <v>0</v>
      </c>
      <c r="M1380" s="16" t="b">
        <v>1</v>
      </c>
      <c r="N1380" s="16" t="b">
        <v>0</v>
      </c>
      <c r="O1380" s="16" t="n">
        <v>449.9372992361555</v>
      </c>
      <c r="P1380" s="16" t="n">
        <v>303.4036191090312</v>
      </c>
      <c r="Q1380" s="16" t="n">
        <v>3460.363839446954</v>
      </c>
      <c r="R1380" s="16" t="n">
        <v>1251.20882915582</v>
      </c>
      <c r="S1380" s="16" t="n">
        <v>0.6668522529111973</v>
      </c>
      <c r="T1380" s="16" t="n">
        <v>0.891653273183468</v>
      </c>
      <c r="U1380" s="16" t="n">
        <v>0.6921929782406527</v>
      </c>
      <c r="V1380" s="16" t="n">
        <v>0.6500764975673777</v>
      </c>
      <c r="W1380" s="16" t="n">
        <v>0.6054551226862541</v>
      </c>
      <c r="X1380" s="16" t="n">
        <v>0.7272644466501315</v>
      </c>
      <c r="Y1380" s="16" t="n">
        <v>303.4036191090312</v>
      </c>
      <c r="Z1380" s="16" t="n">
        <v>8.107099278062719</v>
      </c>
      <c r="AA1380" s="16" t="n">
        <v>70.91094153656849</v>
      </c>
      <c r="AB1380" s="16" t="n">
        <v>2209.155010291134</v>
      </c>
      <c r="AC1380" s="16" t="n">
        <v>2.765616545226613</v>
      </c>
      <c r="AD1380" s="16" t="inlineStr">
        <is>
          <t>O2</t>
        </is>
      </c>
      <c r="AE1380" s="16" t="n"/>
    </row>
    <row r="1381">
      <c r="A1381" s="16" t="inlineStr">
        <is>
          <t>KF-M04b-0009</t>
        </is>
      </c>
      <c r="B1381" s="16" t="inlineStr">
        <is>
          <t>3.2</t>
        </is>
      </c>
      <c r="C1381" s="16" t="inlineStr">
        <is>
          <t>3.2</t>
        </is>
      </c>
      <c r="D1381" s="16" t="inlineStr">
        <is>
          <t>muestra de 200 puntos</t>
        </is>
      </c>
      <c r="E1381" s="16" t="inlineStr">
        <is>
          <t>KF-M04b</t>
        </is>
      </c>
      <c r="F1381" s="16" t="inlineStr">
        <is>
          <t>KF-M04b</t>
        </is>
      </c>
      <c r="G1381" s="16" t="inlineStr">
        <is>
          <t>B07</t>
        </is>
      </c>
      <c r="H1381" s="16" t="inlineStr">
        <is>
          <t>lhs</t>
        </is>
      </c>
      <c r="I1381" s="16" t="inlineStr">
        <is>
          <t>NO_CONVERGIO</t>
        </is>
      </c>
      <c r="J1381" s="16" t="inlineStr">
        <is>
          <t>NO_CONVERGIO</t>
        </is>
      </c>
      <c r="K1381" s="16" t="b">
        <v>0</v>
      </c>
      <c r="L1381" s="16" t="b">
        <v>0</v>
      </c>
      <c r="M1381" s="16" t="b">
        <v>0</v>
      </c>
      <c r="N1381" s="16" t="b">
        <v>0</v>
      </c>
      <c r="O1381" s="16" t="n">
        <v>381.872835664222</v>
      </c>
      <c r="P1381" s="16" t="n">
        <v>302.5206658116049</v>
      </c>
      <c r="Q1381" s="16" t="n">
        <v>4467.232928992657</v>
      </c>
      <c r="R1381" s="16" t="n">
        <v>641.8145666113764</v>
      </c>
      <c r="S1381" s="16" t="n">
        <v>0.5203735762221311</v>
      </c>
      <c r="T1381" s="16" t="n">
        <v>0.8505263875006821</v>
      </c>
      <c r="U1381" s="16" t="n">
        <v>0.885198599571507</v>
      </c>
      <c r="V1381" s="16" t="n">
        <v>0.6657600971418551</v>
      </c>
      <c r="W1381" s="16" t="n">
        <v>0.8955677871336951</v>
      </c>
      <c r="X1381" s="16" t="n">
        <v>0.7595513815269379</v>
      </c>
      <c r="Y1381" s="16" t="n">
        <v>302.5206658116049</v>
      </c>
      <c r="Z1381" s="16" t="n"/>
      <c r="AA1381" s="16" t="n"/>
      <c r="AB1381" s="16" t="n">
        <v>3825.41836238128</v>
      </c>
      <c r="AC1381" s="16" t="n">
        <v>6.960317140476495</v>
      </c>
      <c r="AD1381" s="16" t="n"/>
      <c r="AE1381" s="16" t="n"/>
    </row>
    <row r="1382">
      <c r="A1382" s="16" t="inlineStr">
        <is>
          <t>KF-M04b-0010</t>
        </is>
      </c>
      <c r="B1382" s="16" t="inlineStr">
        <is>
          <t>3.2</t>
        </is>
      </c>
      <c r="C1382" s="16" t="inlineStr">
        <is>
          <t>3.2</t>
        </is>
      </c>
      <c r="D1382" s="16" t="inlineStr">
        <is>
          <t>muestra de 200 puntos</t>
        </is>
      </c>
      <c r="E1382" s="16" t="inlineStr">
        <is>
          <t>KF-M04b</t>
        </is>
      </c>
      <c r="F1382" s="16" t="inlineStr">
        <is>
          <t>KF-M04b</t>
        </is>
      </c>
      <c r="G1382" s="16" t="inlineStr">
        <is>
          <t>B07</t>
        </is>
      </c>
      <c r="H1382" s="16" t="inlineStr">
        <is>
          <t>lhs</t>
        </is>
      </c>
      <c r="I1382" s="16" t="inlineStr">
        <is>
          <t>CORREGIBLE</t>
        </is>
      </c>
      <c r="J1382" s="16" t="inlineStr">
        <is>
          <t>CORREGIBLE</t>
        </is>
      </c>
      <c r="K1382" s="16" t="b">
        <v>1</v>
      </c>
      <c r="L1382" s="16" t="b">
        <v>0</v>
      </c>
      <c r="M1382" s="16" t="b">
        <v>1</v>
      </c>
      <c r="N1382" s="16" t="b">
        <v>0</v>
      </c>
      <c r="O1382" s="16" t="n">
        <v>428.601034883403</v>
      </c>
      <c r="P1382" s="16" t="n">
        <v>299.3028137245336</v>
      </c>
      <c r="Q1382" s="16" t="n">
        <v>2559.785520070714</v>
      </c>
      <c r="R1382" s="16" t="n">
        <v>512.457498918885</v>
      </c>
      <c r="S1382" s="16" t="n">
        <v>0.6414633069010677</v>
      </c>
      <c r="T1382" s="16" t="n">
        <v>0.8291295126550279</v>
      </c>
      <c r="U1382" s="16" t="n">
        <v>0.7550251004212473</v>
      </c>
      <c r="V1382" s="16" t="n">
        <v>0.8922260569158795</v>
      </c>
      <c r="W1382" s="16" t="n">
        <v>0.7880224719683605</v>
      </c>
      <c r="X1382" s="16" t="n">
        <v>0.7355670496690558</v>
      </c>
      <c r="Y1382" s="16" t="n">
        <v>299.3028137245336</v>
      </c>
      <c r="Z1382" s="16" t="n">
        <v>8.920907870446861</v>
      </c>
      <c r="AA1382" s="16" t="n">
        <v>74.13428166286525</v>
      </c>
      <c r="AB1382" s="16" t="n">
        <v>2047.328021151829</v>
      </c>
      <c r="AC1382" s="16" t="n">
        <v>4.995117693605832</v>
      </c>
      <c r="AD1382" s="16" t="inlineStr">
        <is>
          <t>O2</t>
        </is>
      </c>
      <c r="AE1382" s="16" t="n"/>
    </row>
    <row r="1383">
      <c r="A1383" s="16" t="inlineStr">
        <is>
          <t>KF-M04b-0011</t>
        </is>
      </c>
      <c r="B1383" s="16" t="inlineStr">
        <is>
          <t>3.2</t>
        </is>
      </c>
      <c r="C1383" s="16" t="inlineStr">
        <is>
          <t>3.2</t>
        </is>
      </c>
      <c r="D1383" s="16" t="inlineStr">
        <is>
          <t>muestra de 200 puntos</t>
        </is>
      </c>
      <c r="E1383" s="16" t="inlineStr">
        <is>
          <t>KF-M04b</t>
        </is>
      </c>
      <c r="F1383" s="16" t="inlineStr">
        <is>
          <t>KF-M04b</t>
        </is>
      </c>
      <c r="G1383" s="16" t="inlineStr">
        <is>
          <t>B07</t>
        </is>
      </c>
      <c r="H1383" s="16" t="inlineStr">
        <is>
          <t>lhs</t>
        </is>
      </c>
      <c r="I1383" s="16" t="inlineStr">
        <is>
          <t>CORREGIBLE</t>
        </is>
      </c>
      <c r="J1383" s="16" t="inlineStr">
        <is>
          <t>CORREGIBLE</t>
        </is>
      </c>
      <c r="K1383" s="16" t="b">
        <v>1</v>
      </c>
      <c r="L1383" s="16" t="b">
        <v>0</v>
      </c>
      <c r="M1383" s="16" t="b">
        <v>1</v>
      </c>
      <c r="N1383" s="16" t="b">
        <v>0</v>
      </c>
      <c r="O1383" s="16" t="n">
        <v>473.6464120020619</v>
      </c>
      <c r="P1383" s="16" t="n">
        <v>301.983396400256</v>
      </c>
      <c r="Q1383" s="16" t="n">
        <v>3146.691582293936</v>
      </c>
      <c r="R1383" s="16" t="n">
        <v>994.8334363733796</v>
      </c>
      <c r="S1383" s="16" t="n">
        <v>0.586642571375138</v>
      </c>
      <c r="T1383" s="16" t="n">
        <v>0.880241265092602</v>
      </c>
      <c r="U1383" s="16" t="n">
        <v>0.8822844049131411</v>
      </c>
      <c r="V1383" s="16" t="n">
        <v>0.6085695089692689</v>
      </c>
      <c r="W1383" s="16" t="n">
        <v>0.9112664234728336</v>
      </c>
      <c r="X1383" s="16" t="n">
        <v>0.8214999233406381</v>
      </c>
      <c r="Y1383" s="16" t="n">
        <v>301.983396400256</v>
      </c>
      <c r="Z1383" s="16" t="n">
        <v>9.58743247756146</v>
      </c>
      <c r="AA1383" s="16" t="n">
        <v>107.8641341352862</v>
      </c>
      <c r="AB1383" s="16" t="n">
        <v>2151.858145920557</v>
      </c>
      <c r="AC1383" s="16" t="n">
        <v>3.163033596624032</v>
      </c>
      <c r="AD1383" s="16" t="inlineStr">
        <is>
          <t>O2</t>
        </is>
      </c>
      <c r="AE1383" s="16" t="n"/>
    </row>
    <row r="1384">
      <c r="A1384" s="16" t="inlineStr">
        <is>
          <t>KF-M04b-0012</t>
        </is>
      </c>
      <c r="B1384" s="16" t="inlineStr">
        <is>
          <t>3.2</t>
        </is>
      </c>
      <c r="C1384" s="16" t="inlineStr">
        <is>
          <t>3.2</t>
        </is>
      </c>
      <c r="D1384" s="16" t="inlineStr">
        <is>
          <t>muestra de 200 puntos</t>
        </is>
      </c>
      <c r="E1384" s="16" t="inlineStr">
        <is>
          <t>KF-M04b</t>
        </is>
      </c>
      <c r="F1384" s="16" t="inlineStr">
        <is>
          <t>KF-M04b</t>
        </is>
      </c>
      <c r="G1384" s="16" t="inlineStr">
        <is>
          <t>B07</t>
        </is>
      </c>
      <c r="H1384" s="16" t="inlineStr">
        <is>
          <t>lhs</t>
        </is>
      </c>
      <c r="I1384" s="16" t="inlineStr">
        <is>
          <t>CORREGIBLE</t>
        </is>
      </c>
      <c r="J1384" s="16" t="inlineStr">
        <is>
          <t>CORREGIBLE</t>
        </is>
      </c>
      <c r="K1384" s="16" t="b">
        <v>1</v>
      </c>
      <c r="L1384" s="16" t="b">
        <v>0</v>
      </c>
      <c r="M1384" s="16" t="b">
        <v>0</v>
      </c>
      <c r="N1384" s="16" t="b">
        <v>0</v>
      </c>
      <c r="O1384" s="16" t="n">
        <v>464.9391134514209</v>
      </c>
      <c r="P1384" s="16" t="n">
        <v>299.6027454539569</v>
      </c>
      <c r="Q1384" s="16" t="n">
        <v>3577.649491973242</v>
      </c>
      <c r="R1384" s="16" t="n">
        <v>1200.867699802452</v>
      </c>
      <c r="S1384" s="16" t="n">
        <v>0.8470855914907705</v>
      </c>
      <c r="T1384" s="16" t="n">
        <v>0.7992485878170159</v>
      </c>
      <c r="U1384" s="16" t="n">
        <v>0.7892757522795485</v>
      </c>
      <c r="V1384" s="16" t="n">
        <v>0.6979572348288419</v>
      </c>
      <c r="W1384" s="16" t="n">
        <v>0.7768852211160274</v>
      </c>
      <c r="X1384" s="16" t="n">
        <v>0.9236798019207988</v>
      </c>
      <c r="Y1384" s="16" t="n">
        <v>299.6027454539569</v>
      </c>
      <c r="Z1384" s="16" t="n">
        <v>9.313385825708629</v>
      </c>
      <c r="AA1384" s="16" t="n">
        <v>107.3769715594785</v>
      </c>
      <c r="AB1384" s="16" t="n">
        <v>2376.78179217079</v>
      </c>
      <c r="AC1384" s="16" t="n">
        <v>2.97922035255156</v>
      </c>
      <c r="AD1384" s="16" t="inlineStr">
        <is>
          <t>O2</t>
        </is>
      </c>
      <c r="AE1384" s="16" t="n"/>
    </row>
    <row r="1385">
      <c r="A1385" s="16" t="inlineStr">
        <is>
          <t>KF-M04b-0013</t>
        </is>
      </c>
      <c r="B1385" s="16" t="inlineStr">
        <is>
          <t>3.2</t>
        </is>
      </c>
      <c r="C1385" s="16" t="inlineStr">
        <is>
          <t>3.2</t>
        </is>
      </c>
      <c r="D1385" s="16" t="inlineStr">
        <is>
          <t>muestra de 200 puntos</t>
        </is>
      </c>
      <c r="E1385" s="16" t="inlineStr">
        <is>
          <t>KF-M04b</t>
        </is>
      </c>
      <c r="F1385" s="16" t="inlineStr">
        <is>
          <t>KF-M04b</t>
        </is>
      </c>
      <c r="G1385" s="16" t="inlineStr">
        <is>
          <t>B07</t>
        </is>
      </c>
      <c r="H1385" s="16" t="inlineStr">
        <is>
          <t>lhs</t>
        </is>
      </c>
      <c r="I1385" s="16" t="inlineStr">
        <is>
          <t>CORREGIBLE</t>
        </is>
      </c>
      <c r="J1385" s="16" t="inlineStr">
        <is>
          <t>CORREGIBLE</t>
        </is>
      </c>
      <c r="K1385" s="16" t="b">
        <v>1</v>
      </c>
      <c r="L1385" s="16" t="b">
        <v>0</v>
      </c>
      <c r="M1385" s="16" t="b">
        <v>1</v>
      </c>
      <c r="N1385" s="16" t="b">
        <v>0</v>
      </c>
      <c r="O1385" s="16" t="n">
        <v>437.7305085308801</v>
      </c>
      <c r="P1385" s="16" t="n">
        <v>293.7211659519837</v>
      </c>
      <c r="Q1385" s="16" t="n">
        <v>4202.002920515505</v>
      </c>
      <c r="R1385" s="16" t="n">
        <v>894.3259549580453</v>
      </c>
      <c r="S1385" s="16" t="n">
        <v>0.6208653403283333</v>
      </c>
      <c r="T1385" s="16" t="n">
        <v>0.8819694876578755</v>
      </c>
      <c r="U1385" s="16" t="n">
        <v>0.8145110993724919</v>
      </c>
      <c r="V1385" s="16" t="n">
        <v>0.8318658104558045</v>
      </c>
      <c r="W1385" s="16" t="n">
        <v>0.7244610232792964</v>
      </c>
      <c r="X1385" s="16" t="n">
        <v>0.7160586581976673</v>
      </c>
      <c r="Y1385" s="16" t="n">
        <v>293.7211659519837</v>
      </c>
      <c r="Z1385" s="16" t="n">
        <v>12.09898020573309</v>
      </c>
      <c r="AA1385" s="16" t="n">
        <v>88.51445803505439</v>
      </c>
      <c r="AB1385" s="16" t="n">
        <v>3307.67696555746</v>
      </c>
      <c r="AC1385" s="16" t="n">
        <v>4.698513888834446</v>
      </c>
      <c r="AD1385" s="16" t="inlineStr">
        <is>
          <t>O2</t>
        </is>
      </c>
      <c r="AE1385" s="16" t="n"/>
    </row>
    <row r="1386">
      <c r="A1386" s="16" t="inlineStr">
        <is>
          <t>KF-M04b-0014</t>
        </is>
      </c>
      <c r="B1386" s="16" t="inlineStr">
        <is>
          <t>3.2</t>
        </is>
      </c>
      <c r="C1386" s="16" t="inlineStr">
        <is>
          <t>3.2</t>
        </is>
      </c>
      <c r="D1386" s="16" t="inlineStr">
        <is>
          <t>muestra de 200 puntos</t>
        </is>
      </c>
      <c r="E1386" s="16" t="inlineStr">
        <is>
          <t>KF-M04b</t>
        </is>
      </c>
      <c r="F1386" s="16" t="inlineStr">
        <is>
          <t>KF-M04b</t>
        </is>
      </c>
      <c r="G1386" s="16" t="inlineStr">
        <is>
          <t>B07</t>
        </is>
      </c>
      <c r="H1386" s="16" t="inlineStr">
        <is>
          <t>lhs</t>
        </is>
      </c>
      <c r="I1386" s="16" t="inlineStr">
        <is>
          <t>CORREGIBLE</t>
        </is>
      </c>
      <c r="J1386" s="16" t="inlineStr">
        <is>
          <t>CORREGIBLE</t>
        </is>
      </c>
      <c r="K1386" s="16" t="b">
        <v>1</v>
      </c>
      <c r="L1386" s="16" t="b">
        <v>0</v>
      </c>
      <c r="M1386" s="16" t="b">
        <v>1</v>
      </c>
      <c r="N1386" s="16" t="b">
        <v>0</v>
      </c>
      <c r="O1386" s="16" t="n">
        <v>494.6908000633736</v>
      </c>
      <c r="P1386" s="16" t="n">
        <v>301.0445088917985</v>
      </c>
      <c r="Q1386" s="16" t="n">
        <v>2399.02039368288</v>
      </c>
      <c r="R1386" s="16" t="n">
        <v>575.6515252524321</v>
      </c>
      <c r="S1386" s="16" t="n">
        <v>0.6296959111468223</v>
      </c>
      <c r="T1386" s="16" t="n">
        <v>0.7690354151692749</v>
      </c>
      <c r="U1386" s="16" t="n">
        <v>0.6875891782656285</v>
      </c>
      <c r="V1386" s="16" t="n">
        <v>0.7431986531818369</v>
      </c>
      <c r="W1386" s="16" t="n">
        <v>0.8856990818856223</v>
      </c>
      <c r="X1386" s="16" t="n">
        <v>0.8779770808854769</v>
      </c>
      <c r="Y1386" s="16" t="n">
        <v>301.0445088917985</v>
      </c>
      <c r="Z1386" s="16" t="n">
        <v>9.08805576137871</v>
      </c>
      <c r="AA1386" s="16" t="n">
        <v>131.0470574439463</v>
      </c>
      <c r="AB1386" s="16" t="n">
        <v>1823.368868430448</v>
      </c>
      <c r="AC1386" s="16" t="n">
        <v>4.167487253040583</v>
      </c>
      <c r="AD1386" s="16" t="inlineStr">
        <is>
          <t>O2</t>
        </is>
      </c>
      <c r="AE1386" s="16" t="n"/>
    </row>
    <row r="1387">
      <c r="A1387" s="16" t="inlineStr">
        <is>
          <t>KF-M04b-0015</t>
        </is>
      </c>
      <c r="B1387" s="16" t="inlineStr">
        <is>
          <t>3.2</t>
        </is>
      </c>
      <c r="C1387" s="16" t="inlineStr">
        <is>
          <t>3.2</t>
        </is>
      </c>
      <c r="D1387" s="16" t="inlineStr">
        <is>
          <t>muestra de 200 puntos</t>
        </is>
      </c>
      <c r="E1387" s="16" t="inlineStr">
        <is>
          <t>KF-M04b</t>
        </is>
      </c>
      <c r="F1387" s="16" t="inlineStr">
        <is>
          <t>KF-M04b</t>
        </is>
      </c>
      <c r="G1387" s="16" t="inlineStr">
        <is>
          <t>B07</t>
        </is>
      </c>
      <c r="H1387" s="16" t="inlineStr">
        <is>
          <t>lhs</t>
        </is>
      </c>
      <c r="I1387" s="16" t="inlineStr">
        <is>
          <t>CORREGIBLE</t>
        </is>
      </c>
      <c r="J1387" s="16" t="inlineStr">
        <is>
          <t>CORREGIBLE</t>
        </is>
      </c>
      <c r="K1387" s="16" t="b">
        <v>1</v>
      </c>
      <c r="L1387" s="16" t="b">
        <v>0</v>
      </c>
      <c r="M1387" s="16" t="b">
        <v>1</v>
      </c>
      <c r="N1387" s="16" t="b">
        <v>0</v>
      </c>
      <c r="O1387" s="16" t="n">
        <v>473.1980568860835</v>
      </c>
      <c r="P1387" s="16" t="n">
        <v>283.9384666619641</v>
      </c>
      <c r="Q1387" s="16" t="n">
        <v>4597.945159057259</v>
      </c>
      <c r="R1387" s="16" t="n">
        <v>1027.942471087398</v>
      </c>
      <c r="S1387" s="16" t="n">
        <v>0.5939189181906614</v>
      </c>
      <c r="T1387" s="16" t="n">
        <v>0.9020431408945856</v>
      </c>
      <c r="U1387" s="16" t="n">
        <v>0.8097155759632326</v>
      </c>
      <c r="V1387" s="16" t="n">
        <v>0.9201059005283024</v>
      </c>
      <c r="W1387" s="16" t="n">
        <v>0.8837552687248647</v>
      </c>
      <c r="X1387" s="16" t="n">
        <v>0.8244892781239832</v>
      </c>
      <c r="Y1387" s="16" t="n">
        <v>283.9384666619641</v>
      </c>
      <c r="Z1387" s="16" t="n">
        <v>12.15534810744237</v>
      </c>
      <c r="AA1387" s="16" t="n">
        <v>174.3910403535073</v>
      </c>
      <c r="AB1387" s="16" t="n">
        <v>3570.002687969861</v>
      </c>
      <c r="AC1387" s="16" t="n">
        <v>4.472959614357962</v>
      </c>
      <c r="AD1387" s="16" t="inlineStr">
        <is>
          <t>O2</t>
        </is>
      </c>
      <c r="AE1387" s="16" t="n"/>
    </row>
    <row r="1388">
      <c r="A1388" s="16" t="inlineStr">
        <is>
          <t>KF-M04b-0016</t>
        </is>
      </c>
      <c r="B1388" s="16" t="inlineStr">
        <is>
          <t>3.2</t>
        </is>
      </c>
      <c r="C1388" s="16" t="inlineStr">
        <is>
          <t>3.2</t>
        </is>
      </c>
      <c r="D1388" s="16" t="inlineStr">
        <is>
          <t>muestra de 200 puntos</t>
        </is>
      </c>
      <c r="E1388" s="16" t="inlineStr">
        <is>
          <t>KF-M04b</t>
        </is>
      </c>
      <c r="F1388" s="16" t="inlineStr">
        <is>
          <t>KF-M04b</t>
        </is>
      </c>
      <c r="G1388" s="16" t="inlineStr">
        <is>
          <t>B07</t>
        </is>
      </c>
      <c r="H1388" s="16" t="inlineStr">
        <is>
          <t>lhs</t>
        </is>
      </c>
      <c r="I1388" s="16" t="inlineStr">
        <is>
          <t>CORREGIBLE</t>
        </is>
      </c>
      <c r="J1388" s="16" t="inlineStr">
        <is>
          <t>CORREGIBLE</t>
        </is>
      </c>
      <c r="K1388" s="16" t="b">
        <v>1</v>
      </c>
      <c r="L1388" s="16" t="b">
        <v>0</v>
      </c>
      <c r="M1388" s="16" t="b">
        <v>1</v>
      </c>
      <c r="N1388" s="16" t="b">
        <v>0</v>
      </c>
      <c r="O1388" s="16" t="n">
        <v>445.2325543549998</v>
      </c>
      <c r="P1388" s="16" t="n">
        <v>294.0384557843981</v>
      </c>
      <c r="Q1388" s="16" t="n">
        <v>4236.263721972168</v>
      </c>
      <c r="R1388" s="16" t="n">
        <v>754.9971454496385</v>
      </c>
      <c r="S1388" s="16" t="n">
        <v>0.7012159486777612</v>
      </c>
      <c r="T1388" s="16" t="n">
        <v>0.8809503213963275</v>
      </c>
      <c r="U1388" s="16" t="n">
        <v>0.6620594867199796</v>
      </c>
      <c r="V1388" s="16" t="n">
        <v>0.906149847299058</v>
      </c>
      <c r="W1388" s="16" t="n">
        <v>0.8455001437505776</v>
      </c>
      <c r="X1388" s="16" t="n">
        <v>0.942481940685618</v>
      </c>
      <c r="Y1388" s="16" t="n">
        <v>294.0384557843981</v>
      </c>
      <c r="Z1388" s="16" t="n">
        <v>13.77620920753343</v>
      </c>
      <c r="AA1388" s="16" t="n">
        <v>167.3340702705877</v>
      </c>
      <c r="AB1388" s="16" t="n">
        <v>3481.26657652253</v>
      </c>
      <c r="AC1388" s="16" t="n">
        <v>5.610966541402301</v>
      </c>
      <c r="AD1388" s="16" t="inlineStr">
        <is>
          <t>O2</t>
        </is>
      </c>
      <c r="AE1388" s="16" t="n"/>
    </row>
    <row r="1389">
      <c r="A1389" s="16" t="inlineStr">
        <is>
          <t>KF-M04b-0017</t>
        </is>
      </c>
      <c r="B1389" s="16" t="inlineStr">
        <is>
          <t>3.2</t>
        </is>
      </c>
      <c r="C1389" s="16" t="inlineStr">
        <is>
          <t>3.2</t>
        </is>
      </c>
      <c r="D1389" s="16" t="inlineStr">
        <is>
          <t>muestra de 200 puntos</t>
        </is>
      </c>
      <c r="E1389" s="16" t="inlineStr">
        <is>
          <t>KF-M04b</t>
        </is>
      </c>
      <c r="F1389" s="16" t="inlineStr">
        <is>
          <t>KF-M04b</t>
        </is>
      </c>
      <c r="G1389" s="16" t="inlineStr">
        <is>
          <t>B07</t>
        </is>
      </c>
      <c r="H1389" s="16" t="inlineStr">
        <is>
          <t>lhs</t>
        </is>
      </c>
      <c r="I1389" s="16" t="inlineStr">
        <is>
          <t>CORREGIBLE</t>
        </is>
      </c>
      <c r="J1389" s="16" t="inlineStr">
        <is>
          <t>CORREGIBLE</t>
        </is>
      </c>
      <c r="K1389" s="16" t="b">
        <v>1</v>
      </c>
      <c r="L1389" s="16" t="b">
        <v>0</v>
      </c>
      <c r="M1389" s="16" t="b">
        <v>1</v>
      </c>
      <c r="N1389" s="16" t="b">
        <v>0</v>
      </c>
      <c r="O1389" s="16" t="n">
        <v>474.2448552513332</v>
      </c>
      <c r="P1389" s="16" t="n">
        <v>300.4087185663897</v>
      </c>
      <c r="Q1389" s="16" t="n">
        <v>2654.784617300328</v>
      </c>
      <c r="R1389" s="16" t="n">
        <v>328.004598580474</v>
      </c>
      <c r="S1389" s="16" t="n">
        <v>0.5879109069358677</v>
      </c>
      <c r="T1389" s="16" t="n">
        <v>0.8687271167217566</v>
      </c>
      <c r="U1389" s="16" t="n">
        <v>0.8956599662745248</v>
      </c>
      <c r="V1389" s="16" t="n">
        <v>0.9420275781125989</v>
      </c>
      <c r="W1389" s="16" t="n">
        <v>0.9435165264483294</v>
      </c>
      <c r="X1389" s="16" t="n">
        <v>0.9199095350347012</v>
      </c>
      <c r="Y1389" s="16" t="n">
        <v>300.4087185663897</v>
      </c>
      <c r="Z1389" s="16" t="n">
        <v>14.03878510669353</v>
      </c>
      <c r="AA1389" s="16" t="n">
        <v>233.3784872256282</v>
      </c>
      <c r="AB1389" s="16" t="n">
        <v>2326.780018719854</v>
      </c>
      <c r="AC1389" s="16" t="n">
        <v>8.093742065780802</v>
      </c>
      <c r="AD1389" s="16" t="inlineStr">
        <is>
          <t>O1,O2</t>
        </is>
      </c>
      <c r="AE1389" s="16" t="n"/>
    </row>
    <row r="1390">
      <c r="A1390" s="16" t="inlineStr">
        <is>
          <t>KF-M04b-0018</t>
        </is>
      </c>
      <c r="B1390" s="16" t="inlineStr">
        <is>
          <t>3.2</t>
        </is>
      </c>
      <c r="C1390" s="16" t="inlineStr">
        <is>
          <t>3.2</t>
        </is>
      </c>
      <c r="D1390" s="16" t="inlineStr">
        <is>
          <t>muestra de 200 puntos</t>
        </is>
      </c>
      <c r="E1390" s="16" t="inlineStr">
        <is>
          <t>KF-M04b</t>
        </is>
      </c>
      <c r="F1390" s="16" t="inlineStr">
        <is>
          <t>KF-M04b</t>
        </is>
      </c>
      <c r="G1390" s="16" t="inlineStr">
        <is>
          <t>B07</t>
        </is>
      </c>
      <c r="H1390" s="16" t="inlineStr">
        <is>
          <t>lhs</t>
        </is>
      </c>
      <c r="I1390" s="16" t="inlineStr">
        <is>
          <t>KALINA</t>
        </is>
      </c>
      <c r="J1390" s="16" t="inlineStr">
        <is>
          <t>KALINA</t>
        </is>
      </c>
      <c r="K1390" s="16" t="b">
        <v>1</v>
      </c>
      <c r="L1390" s="16" t="b">
        <v>0</v>
      </c>
      <c r="M1390" s="16" t="b">
        <v>1</v>
      </c>
      <c r="N1390" s="16" t="b">
        <v>0</v>
      </c>
      <c r="O1390" s="16" t="n">
        <v>435.933430513684</v>
      </c>
      <c r="P1390" s="16" t="n">
        <v>287.8781432364916</v>
      </c>
      <c r="Q1390" s="16" t="n">
        <v>4350.40976960553</v>
      </c>
      <c r="R1390" s="16" t="n">
        <v>1317.208460746917</v>
      </c>
      <c r="S1390" s="16" t="n">
        <v>0.6229083313283539</v>
      </c>
      <c r="T1390" s="16" t="n">
        <v>0.9119250097501266</v>
      </c>
      <c r="U1390" s="16" t="n">
        <v>0.6664361615766549</v>
      </c>
      <c r="V1390" s="16" t="n">
        <v>0.8370212701238002</v>
      </c>
      <c r="W1390" s="16" t="n">
        <v>0.924255940545622</v>
      </c>
      <c r="X1390" s="16" t="n">
        <v>0.9015611936442968</v>
      </c>
      <c r="Y1390" s="16" t="n">
        <v>287.8781432364916</v>
      </c>
      <c r="Z1390" s="16" t="n">
        <v>9.5862659936932</v>
      </c>
      <c r="AA1390" s="16" t="n">
        <v>71.68645240651031</v>
      </c>
      <c r="AB1390" s="16" t="n">
        <v>3033.201308858613</v>
      </c>
      <c r="AC1390" s="16" t="n">
        <v>3.302749640052153</v>
      </c>
      <c r="AD1390" s="16" t="n"/>
      <c r="AE1390" s="16" t="n"/>
    </row>
    <row r="1391">
      <c r="A1391" s="16" t="inlineStr">
        <is>
          <t>KF-M04b-0019</t>
        </is>
      </c>
      <c r="B1391" s="16" t="inlineStr">
        <is>
          <t>3.2</t>
        </is>
      </c>
      <c r="C1391" s="16" t="inlineStr">
        <is>
          <t>3.2</t>
        </is>
      </c>
      <c r="D1391" s="16" t="inlineStr">
        <is>
          <t>muestra de 200 puntos</t>
        </is>
      </c>
      <c r="E1391" s="16" t="inlineStr">
        <is>
          <t>KF-M04b</t>
        </is>
      </c>
      <c r="F1391" s="16" t="inlineStr">
        <is>
          <t>KF-M04b</t>
        </is>
      </c>
      <c r="G1391" s="16" t="inlineStr">
        <is>
          <t>B07</t>
        </is>
      </c>
      <c r="H1391" s="16" t="inlineStr">
        <is>
          <t>lhs</t>
        </is>
      </c>
      <c r="I1391" s="16" t="inlineStr">
        <is>
          <t>INVIABLE</t>
        </is>
      </c>
      <c r="J1391" s="16" t="inlineStr">
        <is>
          <t>INVIABLE</t>
        </is>
      </c>
      <c r="K1391" s="16" t="b">
        <v>1</v>
      </c>
      <c r="L1391" s="16" t="b">
        <v>0</v>
      </c>
      <c r="M1391" s="16" t="b">
        <v>0</v>
      </c>
      <c r="N1391" s="16" t="b">
        <v>0</v>
      </c>
      <c r="O1391" s="16" t="n">
        <v>400.8574729181181</v>
      </c>
      <c r="P1391" s="16" t="n">
        <v>287.5297458526138</v>
      </c>
      <c r="Q1391" s="16" t="n">
        <v>4288.478428872939</v>
      </c>
      <c r="R1391" s="16" t="n">
        <v>355.3037031327749</v>
      </c>
      <c r="S1391" s="16" t="n">
        <v>0.7723318555122751</v>
      </c>
      <c r="T1391" s="16" t="n">
        <v>0.8354593522613986</v>
      </c>
      <c r="U1391" s="16" t="n">
        <v>0.6632769186660751</v>
      </c>
      <c r="V1391" s="16" t="n">
        <v>0.7842950014483144</v>
      </c>
      <c r="W1391" s="16" t="n">
        <v>0.8062432964182401</v>
      </c>
      <c r="X1391" s="16" t="n">
        <v>0.9292066566147998</v>
      </c>
      <c r="Y1391" s="16" t="n">
        <v>287.5297458526138</v>
      </c>
      <c r="Z1391" s="16" t="n">
        <v>-25.71269426970546</v>
      </c>
      <c r="AA1391" s="16" t="n">
        <v>-58.40259521924912</v>
      </c>
      <c r="AB1391" s="16" t="n">
        <v>3933.174725740164</v>
      </c>
      <c r="AC1391" s="16" t="n">
        <v>12.0698951096222</v>
      </c>
      <c r="AD1391" s="16" t="inlineStr">
        <is>
          <t>O2,O3</t>
        </is>
      </c>
      <c r="AE1391" s="16" t="n"/>
    </row>
    <row r="1392">
      <c r="A1392" s="16" t="inlineStr">
        <is>
          <t>KF-M04b-0020</t>
        </is>
      </c>
      <c r="B1392" s="16" t="inlineStr">
        <is>
          <t>3.2</t>
        </is>
      </c>
      <c r="C1392" s="16" t="inlineStr">
        <is>
          <t>3.2</t>
        </is>
      </c>
      <c r="D1392" s="16" t="inlineStr">
        <is>
          <t>muestra de 200 puntos</t>
        </is>
      </c>
      <c r="E1392" s="16" t="inlineStr">
        <is>
          <t>KF-M04b</t>
        </is>
      </c>
      <c r="F1392" s="16" t="inlineStr">
        <is>
          <t>KF-M04b</t>
        </is>
      </c>
      <c r="G1392" s="16" t="inlineStr">
        <is>
          <t>B07</t>
        </is>
      </c>
      <c r="H1392" s="16" t="inlineStr">
        <is>
          <t>lhs</t>
        </is>
      </c>
      <c r="I1392" s="16" t="inlineStr">
        <is>
          <t>INVIABLE</t>
        </is>
      </c>
      <c r="J1392" s="16" t="inlineStr">
        <is>
          <t>INVIABLE</t>
        </is>
      </c>
      <c r="K1392" s="16" t="b">
        <v>1</v>
      </c>
      <c r="L1392" s="16" t="b">
        <v>0</v>
      </c>
      <c r="M1392" s="16" t="b">
        <v>0</v>
      </c>
      <c r="N1392" s="16" t="b">
        <v>0</v>
      </c>
      <c r="O1392" s="16" t="n">
        <v>387.2826042392401</v>
      </c>
      <c r="P1392" s="16" t="n">
        <v>287.6541765923323</v>
      </c>
      <c r="Q1392" s="16" t="n">
        <v>2718.161587507432</v>
      </c>
      <c r="R1392" s="16" t="n">
        <v>342.6957805016876</v>
      </c>
      <c r="S1392" s="16" t="n">
        <v>0.8449659051310846</v>
      </c>
      <c r="T1392" s="16" t="n">
        <v>0.8498655730483821</v>
      </c>
      <c r="U1392" s="16" t="n">
        <v>0.7023127261489466</v>
      </c>
      <c r="V1392" s="16" t="n">
        <v>0.8836094116215305</v>
      </c>
      <c r="W1392" s="16" t="n">
        <v>0.8689775507300412</v>
      </c>
      <c r="X1392" s="16" t="n">
        <v>0.8459497721486811</v>
      </c>
      <c r="Y1392" s="16" t="n">
        <v>287.6541765923323</v>
      </c>
      <c r="Z1392" s="16" t="n">
        <v>-63.70706965265968</v>
      </c>
      <c r="AA1392" s="16" t="n">
        <v>-82.54306979872433</v>
      </c>
      <c r="AB1392" s="16" t="n">
        <v>2375.465807005744</v>
      </c>
      <c r="AC1392" s="16" t="n">
        <v>7.931704275810442</v>
      </c>
      <c r="AD1392" s="16" t="inlineStr">
        <is>
          <t>O2,O3</t>
        </is>
      </c>
      <c r="AE1392" s="16" t="n"/>
    </row>
    <row r="1393">
      <c r="A1393" s="16" t="inlineStr">
        <is>
          <t>KF-M04b-0021</t>
        </is>
      </c>
      <c r="B1393" s="16" t="inlineStr">
        <is>
          <t>3.2</t>
        </is>
      </c>
      <c r="C1393" s="16" t="inlineStr">
        <is>
          <t>3.2</t>
        </is>
      </c>
      <c r="D1393" s="16" t="inlineStr">
        <is>
          <t>muestra de 200 puntos</t>
        </is>
      </c>
      <c r="E1393" s="16" t="inlineStr">
        <is>
          <t>KF-M04b</t>
        </is>
      </c>
      <c r="F1393" s="16" t="inlineStr">
        <is>
          <t>KF-M04b</t>
        </is>
      </c>
      <c r="G1393" s="16" t="inlineStr">
        <is>
          <t>B07</t>
        </is>
      </c>
      <c r="H1393" s="16" t="inlineStr">
        <is>
          <t>lhs</t>
        </is>
      </c>
      <c r="I1393" s="16" t="inlineStr">
        <is>
          <t>CORREGIBLE</t>
        </is>
      </c>
      <c r="J1393" s="16" t="inlineStr">
        <is>
          <t>CORREGIBLE</t>
        </is>
      </c>
      <c r="K1393" s="16" t="b">
        <v>1</v>
      </c>
      <c r="L1393" s="16" t="b">
        <v>0</v>
      </c>
      <c r="M1393" s="16" t="b">
        <v>1</v>
      </c>
      <c r="N1393" s="16" t="b">
        <v>0</v>
      </c>
      <c r="O1393" s="16" t="n">
        <v>432.4985227522645</v>
      </c>
      <c r="P1393" s="16" t="n">
        <v>295.4567969541457</v>
      </c>
      <c r="Q1393" s="16" t="n">
        <v>2171.603663434303</v>
      </c>
      <c r="R1393" s="16" t="n">
        <v>820.08193500838</v>
      </c>
      <c r="S1393" s="16" t="n">
        <v>0.7814981646791771</v>
      </c>
      <c r="T1393" s="16" t="n">
        <v>0.7954503153091765</v>
      </c>
      <c r="U1393" s="16" t="n">
        <v>0.7315923085053587</v>
      </c>
      <c r="V1393" s="16" t="n">
        <v>0.9398860394168708</v>
      </c>
      <c r="W1393" s="16" t="n">
        <v>0.7826826054713997</v>
      </c>
      <c r="X1393" s="16" t="n">
        <v>0.8499911331153225</v>
      </c>
      <c r="Y1393" s="16" t="n">
        <v>295.4567969541457</v>
      </c>
      <c r="Z1393" s="16" t="n">
        <v>7.10418647617802</v>
      </c>
      <c r="AA1393" s="16" t="n">
        <v>107.0137670200474</v>
      </c>
      <c r="AB1393" s="16" t="n">
        <v>1351.521728425923</v>
      </c>
      <c r="AC1393" s="16" t="n">
        <v>2.648032557151881</v>
      </c>
      <c r="AD1393" s="16" t="inlineStr">
        <is>
          <t>O2</t>
        </is>
      </c>
      <c r="AE1393" s="16" t="n"/>
    </row>
    <row r="1394">
      <c r="A1394" s="16" t="inlineStr">
        <is>
          <t>KF-M04b-0022</t>
        </is>
      </c>
      <c r="B1394" s="16" t="inlineStr">
        <is>
          <t>3.2</t>
        </is>
      </c>
      <c r="C1394" s="16" t="inlineStr">
        <is>
          <t>3.2</t>
        </is>
      </c>
      <c r="D1394" s="16" t="inlineStr">
        <is>
          <t>muestra de 200 puntos</t>
        </is>
      </c>
      <c r="E1394" s="16" t="inlineStr">
        <is>
          <t>KF-M04b</t>
        </is>
      </c>
      <c r="F1394" s="16" t="inlineStr">
        <is>
          <t>KF-M04b</t>
        </is>
      </c>
      <c r="G1394" s="16" t="inlineStr">
        <is>
          <t>B07</t>
        </is>
      </c>
      <c r="H1394" s="16" t="inlineStr">
        <is>
          <t>lhs</t>
        </is>
      </c>
      <c r="I1394" s="16" t="inlineStr">
        <is>
          <t>KALINA</t>
        </is>
      </c>
      <c r="J1394" s="16" t="inlineStr">
        <is>
          <t>KALINA</t>
        </is>
      </c>
      <c r="K1394" s="16" t="b">
        <v>1</v>
      </c>
      <c r="L1394" s="16" t="b">
        <v>0</v>
      </c>
      <c r="M1394" s="16" t="b">
        <v>1</v>
      </c>
      <c r="N1394" s="16" t="b">
        <v>0</v>
      </c>
      <c r="O1394" s="16" t="n">
        <v>459.8546220000279</v>
      </c>
      <c r="P1394" s="16" t="n">
        <v>282.2346017012357</v>
      </c>
      <c r="Q1394" s="16" t="n">
        <v>4035.592074228966</v>
      </c>
      <c r="R1394" s="16" t="n">
        <v>1453.694308422001</v>
      </c>
      <c r="S1394" s="16" t="n">
        <v>0.6148815740673924</v>
      </c>
      <c r="T1394" s="16" t="n">
        <v>0.8036228467128929</v>
      </c>
      <c r="U1394" s="16" t="n">
        <v>0.8945367814492127</v>
      </c>
      <c r="V1394" s="16" t="n">
        <v>0.6120563039164815</v>
      </c>
      <c r="W1394" s="16" t="n">
        <v>0.6240361625373795</v>
      </c>
      <c r="X1394" s="16" t="n">
        <v>0.836644355264998</v>
      </c>
      <c r="Y1394" s="16" t="n">
        <v>282.2346017012357</v>
      </c>
      <c r="Z1394" s="16" t="n">
        <v>6.92603622952037</v>
      </c>
      <c r="AA1394" s="16" t="n">
        <v>62.24351357372841</v>
      </c>
      <c r="AB1394" s="16" t="n">
        <v>2581.897765806966</v>
      </c>
      <c r="AC1394" s="16" t="n">
        <v>2.776094018425126</v>
      </c>
      <c r="AD1394" s="16" t="n"/>
      <c r="AE1394" s="16" t="n"/>
    </row>
    <row r="1395">
      <c r="A1395" s="16" t="inlineStr">
        <is>
          <t>KF-M04b-0023</t>
        </is>
      </c>
      <c r="B1395" s="16" t="inlineStr">
        <is>
          <t>3.2</t>
        </is>
      </c>
      <c r="C1395" s="16" t="inlineStr">
        <is>
          <t>3.2</t>
        </is>
      </c>
      <c r="D1395" s="16" t="inlineStr">
        <is>
          <t>muestra de 200 puntos</t>
        </is>
      </c>
      <c r="E1395" s="16" t="inlineStr">
        <is>
          <t>KF-M04b</t>
        </is>
      </c>
      <c r="F1395" s="16" t="inlineStr">
        <is>
          <t>KF-M04b</t>
        </is>
      </c>
      <c r="G1395" s="16" t="inlineStr">
        <is>
          <t>B07</t>
        </is>
      </c>
      <c r="H1395" s="16" t="inlineStr">
        <is>
          <t>lhs</t>
        </is>
      </c>
      <c r="I1395" s="16" t="inlineStr">
        <is>
          <t>KALINA</t>
        </is>
      </c>
      <c r="J1395" s="16" t="inlineStr">
        <is>
          <t>KALINA</t>
        </is>
      </c>
      <c r="K1395" s="16" t="b">
        <v>1</v>
      </c>
      <c r="L1395" s="16" t="b">
        <v>1</v>
      </c>
      <c r="M1395" s="16" t="b">
        <v>0</v>
      </c>
      <c r="N1395" s="16" t="b">
        <v>0</v>
      </c>
      <c r="O1395" s="16" t="n">
        <v>390.4588583581598</v>
      </c>
      <c r="P1395" s="16" t="n">
        <v>299.0738817543011</v>
      </c>
      <c r="Q1395" s="16" t="n">
        <v>4652.457692772524</v>
      </c>
      <c r="R1395" s="16" t="n">
        <v>1112.70454033647</v>
      </c>
      <c r="S1395" s="16" t="n">
        <v>0.808469517190753</v>
      </c>
      <c r="T1395" s="16" t="n">
        <v>0.8611035287255717</v>
      </c>
      <c r="U1395" s="16" t="n">
        <v>0.6648192765245098</v>
      </c>
      <c r="V1395" s="16" t="n">
        <v>0.7174066607154269</v>
      </c>
      <c r="W1395" s="16" t="n">
        <v>0.8525121976280653</v>
      </c>
      <c r="X1395" s="16" t="n">
        <v>0.9376136448497366</v>
      </c>
      <c r="Y1395" s="16" t="n">
        <v>299.0738817543011</v>
      </c>
      <c r="Z1395" s="16" t="n">
        <v>10.3378523524201</v>
      </c>
      <c r="AA1395" s="16" t="n">
        <v>50.47120543314502</v>
      </c>
      <c r="AB1395" s="16" t="n">
        <v>3539.753152436054</v>
      </c>
      <c r="AC1395" s="16" t="n">
        <v>4.181215699331712</v>
      </c>
      <c r="AD1395" s="16" t="n"/>
      <c r="AE1395" s="16" t="n"/>
    </row>
    <row r="1396">
      <c r="A1396" s="16" t="inlineStr">
        <is>
          <t>KF-M04b-0024</t>
        </is>
      </c>
      <c r="B1396" s="16" t="inlineStr">
        <is>
          <t>3.2</t>
        </is>
      </c>
      <c r="C1396" s="16" t="inlineStr">
        <is>
          <t>3.2</t>
        </is>
      </c>
      <c r="D1396" s="16" t="inlineStr">
        <is>
          <t>muestra de 200 puntos</t>
        </is>
      </c>
      <c r="E1396" s="16" t="inlineStr">
        <is>
          <t>KF-M04b</t>
        </is>
      </c>
      <c r="F1396" s="16" t="inlineStr">
        <is>
          <t>KF-M04b</t>
        </is>
      </c>
      <c r="G1396" s="16" t="inlineStr">
        <is>
          <t>B07</t>
        </is>
      </c>
      <c r="H1396" s="16" t="inlineStr">
        <is>
          <t>lhs</t>
        </is>
      </c>
      <c r="I1396" s="16" t="inlineStr">
        <is>
          <t>CORREGIBLE</t>
        </is>
      </c>
      <c r="J1396" s="16" t="inlineStr">
        <is>
          <t>CORREGIBLE</t>
        </is>
      </c>
      <c r="K1396" s="16" t="b">
        <v>1</v>
      </c>
      <c r="L1396" s="16" t="b">
        <v>0</v>
      </c>
      <c r="M1396" s="16" t="b">
        <v>0</v>
      </c>
      <c r="N1396" s="16" t="b">
        <v>0</v>
      </c>
      <c r="O1396" s="16" t="n">
        <v>436.6281829899725</v>
      </c>
      <c r="P1396" s="16" t="n">
        <v>298.848009643976</v>
      </c>
      <c r="Q1396" s="16" t="n">
        <v>4703.406264210913</v>
      </c>
      <c r="R1396" s="16" t="n">
        <v>1181.93598414521</v>
      </c>
      <c r="S1396" s="16" t="n">
        <v>0.8111254905605725</v>
      </c>
      <c r="T1396" s="16" t="n">
        <v>0.8573152484821949</v>
      </c>
      <c r="U1396" s="16" t="n">
        <v>0.677189956499241</v>
      </c>
      <c r="V1396" s="16" t="n">
        <v>0.6285645376081122</v>
      </c>
      <c r="W1396" s="16" t="n">
        <v>0.7640416944193871</v>
      </c>
      <c r="X1396" s="16" t="n">
        <v>0.7614562512733464</v>
      </c>
      <c r="Y1396" s="16" t="n">
        <v>298.848009643976</v>
      </c>
      <c r="Z1396" s="16" t="n">
        <v>11.57850604859644</v>
      </c>
      <c r="AA1396" s="16" t="n">
        <v>88.22704776624199</v>
      </c>
      <c r="AB1396" s="16" t="n">
        <v>3521.470280065702</v>
      </c>
      <c r="AC1396" s="16" t="n">
        <v>3.97940863744196</v>
      </c>
      <c r="AD1396" s="16" t="inlineStr">
        <is>
          <t>O2</t>
        </is>
      </c>
      <c r="AE1396" s="16" t="n"/>
    </row>
    <row r="1397">
      <c r="A1397" s="16" t="inlineStr">
        <is>
          <t>KF-M04b-0025</t>
        </is>
      </c>
      <c r="B1397" s="16" t="inlineStr">
        <is>
          <t>3.2</t>
        </is>
      </c>
      <c r="C1397" s="16" t="inlineStr">
        <is>
          <t>3.2</t>
        </is>
      </c>
      <c r="D1397" s="16" t="inlineStr">
        <is>
          <t>muestra de 200 puntos</t>
        </is>
      </c>
      <c r="E1397" s="16" t="inlineStr">
        <is>
          <t>KF-M04b</t>
        </is>
      </c>
      <c r="F1397" s="16" t="inlineStr">
        <is>
          <t>KF-M04b</t>
        </is>
      </c>
      <c r="G1397" s="16" t="inlineStr">
        <is>
          <t>B07</t>
        </is>
      </c>
      <c r="H1397" s="16" t="inlineStr">
        <is>
          <t>lhs</t>
        </is>
      </c>
      <c r="I1397" s="16" t="inlineStr">
        <is>
          <t>CORREGIBLE</t>
        </is>
      </c>
      <c r="J1397" s="16" t="inlineStr">
        <is>
          <t>CORREGIBLE</t>
        </is>
      </c>
      <c r="K1397" s="16" t="b">
        <v>1</v>
      </c>
      <c r="L1397" s="16" t="b">
        <v>0</v>
      </c>
      <c r="M1397" s="16" t="b">
        <v>1</v>
      </c>
      <c r="N1397" s="16" t="b">
        <v>0</v>
      </c>
      <c r="O1397" s="16" t="n">
        <v>482.5618734433651</v>
      </c>
      <c r="P1397" s="16" t="n">
        <v>288.6911674592122</v>
      </c>
      <c r="Q1397" s="16" t="n">
        <v>3039.969834523045</v>
      </c>
      <c r="R1397" s="16" t="n">
        <v>1459.893668561017</v>
      </c>
      <c r="S1397" s="16" t="n">
        <v>0.6044287127239425</v>
      </c>
      <c r="T1397" s="16" t="n">
        <v>0.8097664604800771</v>
      </c>
      <c r="U1397" s="16" t="n">
        <v>0.7966039226261009</v>
      </c>
      <c r="V1397" s="16" t="n">
        <v>0.8629842216052659</v>
      </c>
      <c r="W1397" s="16" t="n">
        <v>0.912361249688876</v>
      </c>
      <c r="X1397" s="16" t="n">
        <v>0.7718568373937618</v>
      </c>
      <c r="Y1397" s="16" t="n">
        <v>288.6911674592122</v>
      </c>
      <c r="Z1397" s="16" t="n">
        <v>5.38149370714216</v>
      </c>
      <c r="AA1397" s="16" t="n">
        <v>83.82417303684834</v>
      </c>
      <c r="AB1397" s="16" t="n">
        <v>1580.076165962029</v>
      </c>
      <c r="AC1397" s="16" t="n">
        <v>2.082322774589106</v>
      </c>
      <c r="AD1397" s="16" t="inlineStr">
        <is>
          <t>O2</t>
        </is>
      </c>
      <c r="AE1397" s="16" t="n"/>
    </row>
    <row r="1398">
      <c r="A1398" s="16" t="inlineStr">
        <is>
          <t>KF-M04b-0026</t>
        </is>
      </c>
      <c r="B1398" s="16" t="inlineStr">
        <is>
          <t>3.2</t>
        </is>
      </c>
      <c r="C1398" s="16" t="inlineStr">
        <is>
          <t>3.2</t>
        </is>
      </c>
      <c r="D1398" s="16" t="inlineStr">
        <is>
          <t>muestra de 200 puntos</t>
        </is>
      </c>
      <c r="E1398" s="16" t="inlineStr">
        <is>
          <t>KF-M04b</t>
        </is>
      </c>
      <c r="F1398" s="16" t="inlineStr">
        <is>
          <t>KF-M04b</t>
        </is>
      </c>
      <c r="G1398" s="16" t="inlineStr">
        <is>
          <t>B07</t>
        </is>
      </c>
      <c r="H1398" s="16" t="inlineStr">
        <is>
          <t>lhs</t>
        </is>
      </c>
      <c r="I1398" s="16" t="inlineStr">
        <is>
          <t>KALINA</t>
        </is>
      </c>
      <c r="J1398" s="16" t="inlineStr">
        <is>
          <t>KALINA</t>
        </is>
      </c>
      <c r="K1398" s="16" t="b">
        <v>1</v>
      </c>
      <c r="L1398" s="16" t="b">
        <v>0</v>
      </c>
      <c r="M1398" s="16" t="b">
        <v>1</v>
      </c>
      <c r="N1398" s="16" t="b">
        <v>0</v>
      </c>
      <c r="O1398" s="16" t="n">
        <v>469.8595074554011</v>
      </c>
      <c r="P1398" s="16" t="n">
        <v>294.618270907707</v>
      </c>
      <c r="Q1398" s="16" t="n">
        <v>3696.657855248017</v>
      </c>
      <c r="R1398" s="16" t="n">
        <v>1229.334769624135</v>
      </c>
      <c r="S1398" s="16" t="n">
        <v>0.7217468538230977</v>
      </c>
      <c r="T1398" s="16" t="n">
        <v>0.7627488359629386</v>
      </c>
      <c r="U1398" s="16" t="n">
        <v>0.7571841660054071</v>
      </c>
      <c r="V1398" s="16" t="n">
        <v>0.6902243865085931</v>
      </c>
      <c r="W1398" s="16" t="n">
        <v>0.8590731359113493</v>
      </c>
      <c r="X1398" s="16" t="n">
        <v>0.9308703427378264</v>
      </c>
      <c r="Y1398" s="16" t="n">
        <v>294.618270907707</v>
      </c>
      <c r="Z1398" s="16" t="n">
        <v>8.07654428267832</v>
      </c>
      <c r="AA1398" s="16" t="n">
        <v>101.530188215597</v>
      </c>
      <c r="AB1398" s="16" t="n">
        <v>2467.323085623881</v>
      </c>
      <c r="AC1398" s="16" t="n">
        <v>3.007039210627922</v>
      </c>
      <c r="AD1398" s="16" t="n"/>
      <c r="AE1398" s="16" t="n"/>
    </row>
    <row r="1399">
      <c r="A1399" s="16" t="inlineStr">
        <is>
          <t>KF-M04b-0027</t>
        </is>
      </c>
      <c r="B1399" s="16" t="inlineStr">
        <is>
          <t>3.2</t>
        </is>
      </c>
      <c r="C1399" s="16" t="inlineStr">
        <is>
          <t>3.2</t>
        </is>
      </c>
      <c r="D1399" s="16" t="inlineStr">
        <is>
          <t>muestra de 200 puntos</t>
        </is>
      </c>
      <c r="E1399" s="16" t="inlineStr">
        <is>
          <t>KF-M04b</t>
        </is>
      </c>
      <c r="F1399" s="16" t="inlineStr">
        <is>
          <t>KF-M04b</t>
        </is>
      </c>
      <c r="G1399" s="16" t="inlineStr">
        <is>
          <t>B07</t>
        </is>
      </c>
      <c r="H1399" s="16" t="inlineStr">
        <is>
          <t>lhs</t>
        </is>
      </c>
      <c r="I1399" s="16" t="inlineStr">
        <is>
          <t>KALINA</t>
        </is>
      </c>
      <c r="J1399" s="16" t="inlineStr">
        <is>
          <t>KALINA</t>
        </is>
      </c>
      <c r="K1399" s="16" t="b">
        <v>1</v>
      </c>
      <c r="L1399" s="16" t="b">
        <v>1</v>
      </c>
      <c r="M1399" s="16" t="b">
        <v>0</v>
      </c>
      <c r="N1399" s="16" t="b">
        <v>0</v>
      </c>
      <c r="O1399" s="16" t="n">
        <v>392.133394736349</v>
      </c>
      <c r="P1399" s="16" t="n">
        <v>285.729876265148</v>
      </c>
      <c r="Q1399" s="16" t="n">
        <v>3779.924374004033</v>
      </c>
      <c r="R1399" s="16" t="n">
        <v>1467.220522266601</v>
      </c>
      <c r="S1399" s="16" t="n">
        <v>0.6660670611246455</v>
      </c>
      <c r="T1399" s="16" t="n">
        <v>0.8061292591051772</v>
      </c>
      <c r="U1399" s="16" t="n">
        <v>0.7594797945992104</v>
      </c>
      <c r="V1399" s="16" t="n">
        <v>0.8904357018266732</v>
      </c>
      <c r="W1399" s="16" t="n">
        <v>0.8700091657574611</v>
      </c>
      <c r="X1399" s="16" t="n">
        <v>0.7043982680786326</v>
      </c>
      <c r="Y1399" s="16" t="n">
        <v>285.729876265148</v>
      </c>
      <c r="Z1399" s="16" t="n">
        <v>6.64378528378827</v>
      </c>
      <c r="AA1399" s="16" t="n">
        <v>26.33071775933034</v>
      </c>
      <c r="AB1399" s="16" t="n">
        <v>2312.703851737432</v>
      </c>
      <c r="AC1399" s="16" t="n">
        <v>2.576248298493471</v>
      </c>
      <c r="AD1399" s="16" t="n"/>
      <c r="AE1399" s="16" t="n"/>
    </row>
    <row r="1400">
      <c r="A1400" s="16" t="inlineStr">
        <is>
          <t>KF-M04b-0028</t>
        </is>
      </c>
      <c r="B1400" s="16" t="inlineStr">
        <is>
          <t>3.2</t>
        </is>
      </c>
      <c r="C1400" s="16" t="inlineStr">
        <is>
          <t>3.2</t>
        </is>
      </c>
      <c r="D1400" s="16" t="inlineStr">
        <is>
          <t>muestra de 200 puntos</t>
        </is>
      </c>
      <c r="E1400" s="16" t="inlineStr">
        <is>
          <t>KF-M04b</t>
        </is>
      </c>
      <c r="F1400" s="16" t="inlineStr">
        <is>
          <t>KF-M04b</t>
        </is>
      </c>
      <c r="G1400" s="16" t="inlineStr">
        <is>
          <t>B07</t>
        </is>
      </c>
      <c r="H1400" s="16" t="inlineStr">
        <is>
          <t>lhs</t>
        </is>
      </c>
      <c r="I1400" s="16" t="inlineStr">
        <is>
          <t>CORREGIBLE</t>
        </is>
      </c>
      <c r="J1400" s="16" t="inlineStr">
        <is>
          <t>CORREGIBLE</t>
        </is>
      </c>
      <c r="K1400" s="16" t="b">
        <v>1</v>
      </c>
      <c r="L1400" s="16" t="b">
        <v>0</v>
      </c>
      <c r="M1400" s="16" t="b">
        <v>0</v>
      </c>
      <c r="N1400" s="16" t="b">
        <v>0</v>
      </c>
      <c r="O1400" s="16" t="n">
        <v>454.9278344734663</v>
      </c>
      <c r="P1400" s="16" t="n">
        <v>288.8372711118199</v>
      </c>
      <c r="Q1400" s="16" t="n">
        <v>2271.326110520777</v>
      </c>
      <c r="R1400" s="16" t="n">
        <v>1444.120100995135</v>
      </c>
      <c r="S1400" s="16" t="n">
        <v>0.843336330376294</v>
      </c>
      <c r="T1400" s="16" t="n">
        <v>0.8983074168493029</v>
      </c>
      <c r="U1400" s="16" t="n">
        <v>0.7912580670538245</v>
      </c>
      <c r="V1400" s="16" t="n">
        <v>0.8500148514540169</v>
      </c>
      <c r="W1400" s="16" t="n">
        <v>0.6665241635604837</v>
      </c>
      <c r="X1400" s="16" t="n">
        <v>0.9096984630819756</v>
      </c>
      <c r="Y1400" s="16" t="n">
        <v>288.8372711118199</v>
      </c>
      <c r="Z1400" s="16" t="n">
        <v>4.45373459854136</v>
      </c>
      <c r="AA1400" s="16" t="n">
        <v>64.7615821875474</v>
      </c>
      <c r="AB1400" s="16" t="n">
        <v>827.206009525642</v>
      </c>
      <c r="AC1400" s="16" t="n">
        <v>1.572809705339341</v>
      </c>
      <c r="AD1400" s="16" t="inlineStr">
        <is>
          <t>O2</t>
        </is>
      </c>
      <c r="AE1400" s="16" t="n"/>
    </row>
    <row r="1401">
      <c r="A1401" s="16" t="inlineStr">
        <is>
          <t>KF-M04b-0029</t>
        </is>
      </c>
      <c r="B1401" s="16" t="inlineStr">
        <is>
          <t>3.2</t>
        </is>
      </c>
      <c r="C1401" s="16" t="inlineStr">
        <is>
          <t>3.2</t>
        </is>
      </c>
      <c r="D1401" s="16" t="inlineStr">
        <is>
          <t>muestra de 200 puntos</t>
        </is>
      </c>
      <c r="E1401" s="16" t="inlineStr">
        <is>
          <t>KF-M04b</t>
        </is>
      </c>
      <c r="F1401" s="16" t="inlineStr">
        <is>
          <t>KF-M04b</t>
        </is>
      </c>
      <c r="G1401" s="16" t="inlineStr">
        <is>
          <t>B07</t>
        </is>
      </c>
      <c r="H1401" s="16" t="inlineStr">
        <is>
          <t>lhs</t>
        </is>
      </c>
      <c r="I1401" s="16" t="inlineStr">
        <is>
          <t>CORREGIBLE</t>
        </is>
      </c>
      <c r="J1401" s="16" t="inlineStr">
        <is>
          <t>CORREGIBLE</t>
        </is>
      </c>
      <c r="K1401" s="16" t="b">
        <v>1</v>
      </c>
      <c r="L1401" s="16" t="b">
        <v>0</v>
      </c>
      <c r="M1401" s="16" t="b">
        <v>1</v>
      </c>
      <c r="N1401" s="16" t="b">
        <v>0</v>
      </c>
      <c r="O1401" s="16" t="n">
        <v>493.6505069514705</v>
      </c>
      <c r="P1401" s="16" t="n">
        <v>290.4318055401525</v>
      </c>
      <c r="Q1401" s="16" t="n">
        <v>4863.554444881775</v>
      </c>
      <c r="R1401" s="16" t="n">
        <v>1386.501419431633</v>
      </c>
      <c r="S1401" s="16" t="n">
        <v>0.5525903168191286</v>
      </c>
      <c r="T1401" s="16" t="n">
        <v>0.7604911438866984</v>
      </c>
      <c r="U1401" s="16" t="n">
        <v>0.7160725879473038</v>
      </c>
      <c r="V1401" s="16" t="n">
        <v>0.7316325105480941</v>
      </c>
      <c r="W1401" s="16" t="n">
        <v>0.7790363157851625</v>
      </c>
      <c r="X1401" s="16" t="n">
        <v>0.8054369682005358</v>
      </c>
      <c r="Y1401" s="16" t="n">
        <v>290.4318055401525</v>
      </c>
      <c r="Z1401" s="16" t="n">
        <v>8.477564667844851</v>
      </c>
      <c r="AA1401" s="16" t="n">
        <v>116.5764310424392</v>
      </c>
      <c r="AB1401" s="16" t="n">
        <v>3477.053025450143</v>
      </c>
      <c r="AC1401" s="16" t="n">
        <v>3.507789012488345</v>
      </c>
      <c r="AD1401" s="16" t="inlineStr">
        <is>
          <t>O2</t>
        </is>
      </c>
      <c r="AE1401" s="16" t="n"/>
    </row>
    <row r="1402">
      <c r="A1402" s="16" t="inlineStr">
        <is>
          <t>KF-M04b-0030</t>
        </is>
      </c>
      <c r="B1402" s="16" t="inlineStr">
        <is>
          <t>3.2</t>
        </is>
      </c>
      <c r="C1402" s="16" t="inlineStr">
        <is>
          <t>3.2</t>
        </is>
      </c>
      <c r="D1402" s="16" t="inlineStr">
        <is>
          <t>muestra de 200 puntos</t>
        </is>
      </c>
      <c r="E1402" s="16" t="inlineStr">
        <is>
          <t>KF-M04b</t>
        </is>
      </c>
      <c r="F1402" s="16" t="inlineStr">
        <is>
          <t>KF-M04b</t>
        </is>
      </c>
      <c r="G1402" s="16" t="inlineStr">
        <is>
          <t>B07</t>
        </is>
      </c>
      <c r="H1402" s="16" t="inlineStr">
        <is>
          <t>lhs</t>
        </is>
      </c>
      <c r="I1402" s="16" t="inlineStr">
        <is>
          <t>CORREGIBLE</t>
        </is>
      </c>
      <c r="J1402" s="16" t="inlineStr">
        <is>
          <t>CORREGIBLE</t>
        </is>
      </c>
      <c r="K1402" s="16" t="b">
        <v>1</v>
      </c>
      <c r="L1402" s="16" t="b">
        <v>0</v>
      </c>
      <c r="M1402" s="16" t="b">
        <v>1</v>
      </c>
      <c r="N1402" s="16" t="b">
        <v>0</v>
      </c>
      <c r="O1402" s="16" t="n">
        <v>471.1711957938994</v>
      </c>
      <c r="P1402" s="16" t="n">
        <v>285.5718080558973</v>
      </c>
      <c r="Q1402" s="16" t="n">
        <v>4366.264594501075</v>
      </c>
      <c r="R1402" s="16" t="n">
        <v>867.1021736262953</v>
      </c>
      <c r="S1402" s="16" t="n">
        <v>0.74680847215687</v>
      </c>
      <c r="T1402" s="16" t="n">
        <v>0.7789083161845926</v>
      </c>
      <c r="U1402" s="16" t="n">
        <v>0.8430934020445555</v>
      </c>
      <c r="V1402" s="16" t="n">
        <v>0.8408037559629855</v>
      </c>
      <c r="W1402" s="16" t="n">
        <v>0.8635104045057926</v>
      </c>
      <c r="X1402" s="16" t="n">
        <v>0.7073588380898163</v>
      </c>
      <c r="Y1402" s="16" t="n">
        <v>285.5718080558973</v>
      </c>
      <c r="Z1402" s="16" t="n">
        <v>10.89175126698587</v>
      </c>
      <c r="AA1402" s="16" t="n">
        <v>135.4821673050137</v>
      </c>
      <c r="AB1402" s="16" t="n">
        <v>3499.16242087478</v>
      </c>
      <c r="AC1402" s="16" t="n">
        <v>5.035467246311913</v>
      </c>
      <c r="AD1402" s="16" t="inlineStr">
        <is>
          <t>O2</t>
        </is>
      </c>
      <c r="AE1402" s="16" t="n"/>
    </row>
    <row r="1403">
      <c r="A1403" s="16" t="inlineStr">
        <is>
          <t>KF-M04b-0031</t>
        </is>
      </c>
      <c r="B1403" s="16" t="inlineStr">
        <is>
          <t>3.2</t>
        </is>
      </c>
      <c r="C1403" s="16" t="inlineStr">
        <is>
          <t>3.2</t>
        </is>
      </c>
      <c r="D1403" s="16" t="inlineStr">
        <is>
          <t>muestra de 200 puntos</t>
        </is>
      </c>
      <c r="E1403" s="16" t="inlineStr">
        <is>
          <t>KF-M04b</t>
        </is>
      </c>
      <c r="F1403" s="16" t="inlineStr">
        <is>
          <t>KF-M04b</t>
        </is>
      </c>
      <c r="G1403" s="16" t="inlineStr">
        <is>
          <t>B07</t>
        </is>
      </c>
      <c r="H1403" s="16" t="inlineStr">
        <is>
          <t>lhs</t>
        </is>
      </c>
      <c r="I1403" s="16" t="inlineStr">
        <is>
          <t>CORREGIBLE</t>
        </is>
      </c>
      <c r="J1403" s="16" t="inlineStr">
        <is>
          <t>CORREGIBLE</t>
        </is>
      </c>
      <c r="K1403" s="16" t="b">
        <v>1</v>
      </c>
      <c r="L1403" s="16" t="b">
        <v>0</v>
      </c>
      <c r="M1403" s="16" t="b">
        <v>1</v>
      </c>
      <c r="N1403" s="16" t="b">
        <v>0</v>
      </c>
      <c r="O1403" s="16" t="n">
        <v>461.6561524494128</v>
      </c>
      <c r="P1403" s="16" t="n">
        <v>278.1833892862896</v>
      </c>
      <c r="Q1403" s="16" t="n">
        <v>2105.915185287449</v>
      </c>
      <c r="R1403" s="16" t="n">
        <v>984.648729976431</v>
      </c>
      <c r="S1403" s="16" t="n">
        <v>0.7360224427459281</v>
      </c>
      <c r="T1403" s="16" t="n">
        <v>0.9123953753418184</v>
      </c>
      <c r="U1403" s="16" t="n">
        <v>0.7731837046155546</v>
      </c>
      <c r="V1403" s="16" t="n">
        <v>0.8822758403639483</v>
      </c>
      <c r="W1403" s="16" t="n">
        <v>0.6160890402266878</v>
      </c>
      <c r="X1403" s="16" t="n">
        <v>0.7075778626462661</v>
      </c>
      <c r="Y1403" s="16" t="n">
        <v>278.1833892862896</v>
      </c>
      <c r="Z1403" s="16" t="n">
        <v>6.009431284346601</v>
      </c>
      <c r="AA1403" s="16" t="n">
        <v>81.88051183559149</v>
      </c>
      <c r="AB1403" s="16" t="n">
        <v>1121.266455311018</v>
      </c>
      <c r="AC1403" s="16" t="n">
        <v>2.138747678411018</v>
      </c>
      <c r="AD1403" s="16" t="inlineStr">
        <is>
          <t>O2</t>
        </is>
      </c>
      <c r="AE1403" s="16" t="n"/>
    </row>
    <row r="1404">
      <c r="A1404" s="16" t="inlineStr">
        <is>
          <t>KF-M04b-0032</t>
        </is>
      </c>
      <c r="B1404" s="16" t="inlineStr">
        <is>
          <t>3.2</t>
        </is>
      </c>
      <c r="C1404" s="16" t="inlineStr">
        <is>
          <t>3.2</t>
        </is>
      </c>
      <c r="D1404" s="16" t="inlineStr">
        <is>
          <t>muestra de 200 puntos</t>
        </is>
      </c>
      <c r="E1404" s="16" t="inlineStr">
        <is>
          <t>KF-M04b</t>
        </is>
      </c>
      <c r="F1404" s="16" t="inlineStr">
        <is>
          <t>KF-M04b</t>
        </is>
      </c>
      <c r="G1404" s="16" t="inlineStr">
        <is>
          <t>B07</t>
        </is>
      </c>
      <c r="H1404" s="16" t="inlineStr">
        <is>
          <t>lhs</t>
        </is>
      </c>
      <c r="I1404" s="16" t="inlineStr">
        <is>
          <t>CORREGIBLE</t>
        </is>
      </c>
      <c r="J1404" s="16" t="inlineStr">
        <is>
          <t>CORREGIBLE</t>
        </is>
      </c>
      <c r="K1404" s="16" t="b">
        <v>1</v>
      </c>
      <c r="L1404" s="16" t="b">
        <v>0</v>
      </c>
      <c r="M1404" s="16" t="b">
        <v>1</v>
      </c>
      <c r="N1404" s="16" t="b">
        <v>0</v>
      </c>
      <c r="O1404" s="16" t="n">
        <v>459.4414021960855</v>
      </c>
      <c r="P1404" s="16" t="n">
        <v>298.2274005560234</v>
      </c>
      <c r="Q1404" s="16" t="n">
        <v>3058.127230014456</v>
      </c>
      <c r="R1404" s="16" t="n">
        <v>532.9843068387761</v>
      </c>
      <c r="S1404" s="16" t="n">
        <v>0.5345428090742804</v>
      </c>
      <c r="T1404" s="16" t="n">
        <v>0.8699329945504505</v>
      </c>
      <c r="U1404" s="16" t="n">
        <v>0.8375987730132169</v>
      </c>
      <c r="V1404" s="16" t="n">
        <v>0.8190750856621152</v>
      </c>
      <c r="W1404" s="16" t="n">
        <v>0.6979638465461564</v>
      </c>
      <c r="X1404" s="16" t="n">
        <v>0.8446661612720514</v>
      </c>
      <c r="Y1404" s="16" t="n">
        <v>298.2274005560234</v>
      </c>
      <c r="Z1404" s="16" t="n">
        <v>12.58220523264356</v>
      </c>
      <c r="AA1404" s="16" t="n">
        <v>157.9168789300124</v>
      </c>
      <c r="AB1404" s="16" t="n">
        <v>2525.14292317568</v>
      </c>
      <c r="AC1404" s="16" t="n">
        <v>5.737743477200572</v>
      </c>
      <c r="AD1404" s="16" t="inlineStr">
        <is>
          <t>O2</t>
        </is>
      </c>
      <c r="AE1404" s="16" t="n"/>
    </row>
    <row r="1405">
      <c r="A1405" s="16" t="inlineStr">
        <is>
          <t>KF-M04b-0033</t>
        </is>
      </c>
      <c r="B1405" s="16" t="inlineStr">
        <is>
          <t>3.2</t>
        </is>
      </c>
      <c r="C1405" s="16" t="inlineStr">
        <is>
          <t>3.2</t>
        </is>
      </c>
      <c r="D1405" s="16" t="inlineStr">
        <is>
          <t>muestra de 200 puntos</t>
        </is>
      </c>
      <c r="E1405" s="16" t="inlineStr">
        <is>
          <t>KF-M04b</t>
        </is>
      </c>
      <c r="F1405" s="16" t="inlineStr">
        <is>
          <t>KF-M04b</t>
        </is>
      </c>
      <c r="G1405" s="16" t="inlineStr">
        <is>
          <t>B07</t>
        </is>
      </c>
      <c r="H1405" s="16" t="inlineStr">
        <is>
          <t>lhs</t>
        </is>
      </c>
      <c r="I1405" s="16" t="inlineStr">
        <is>
          <t>CORREGIBLE</t>
        </is>
      </c>
      <c r="J1405" s="16" t="inlineStr">
        <is>
          <t>CORREGIBLE</t>
        </is>
      </c>
      <c r="K1405" s="16" t="b">
        <v>1</v>
      </c>
      <c r="L1405" s="16" t="b">
        <v>0</v>
      </c>
      <c r="M1405" s="16" t="b">
        <v>0</v>
      </c>
      <c r="N1405" s="16" t="b">
        <v>0</v>
      </c>
      <c r="O1405" s="16" t="n">
        <v>402.9466480154194</v>
      </c>
      <c r="P1405" s="16" t="n">
        <v>294.6946035725245</v>
      </c>
      <c r="Q1405" s="16" t="n">
        <v>3762.285095850995</v>
      </c>
      <c r="R1405" s="16" t="n">
        <v>1023.255776400223</v>
      </c>
      <c r="S1405" s="16" t="n">
        <v>0.7919161985998657</v>
      </c>
      <c r="T1405" s="16" t="n">
        <v>0.8580648942853627</v>
      </c>
      <c r="U1405" s="16" t="n">
        <v>0.6741740353946163</v>
      </c>
      <c r="V1405" s="16" t="n">
        <v>0.6557831550998001</v>
      </c>
      <c r="W1405" s="16" t="n">
        <v>0.8424500029040329</v>
      </c>
      <c r="X1405" s="16" t="n">
        <v>0.8634079604238549</v>
      </c>
      <c r="Y1405" s="16" t="n">
        <v>294.6946035725245</v>
      </c>
      <c r="Z1405" s="16" t="n">
        <v>10.59436591473336</v>
      </c>
      <c r="AA1405" s="16" t="n">
        <v>65.4970446395558</v>
      </c>
      <c r="AB1405" s="16" t="n">
        <v>2739.029319450772</v>
      </c>
      <c r="AC1405" s="16" t="n">
        <v>3.676778751336814</v>
      </c>
      <c r="AD1405" s="16" t="inlineStr">
        <is>
          <t>O2</t>
        </is>
      </c>
      <c r="AE1405" s="16" t="n"/>
    </row>
    <row r="1406">
      <c r="A1406" s="16" t="inlineStr">
        <is>
          <t>KF-M04b-0034</t>
        </is>
      </c>
      <c r="B1406" s="16" t="inlineStr">
        <is>
          <t>3.2</t>
        </is>
      </c>
      <c r="C1406" s="16" t="inlineStr">
        <is>
          <t>3.2</t>
        </is>
      </c>
      <c r="D1406" s="16" t="inlineStr">
        <is>
          <t>muestra de 200 puntos</t>
        </is>
      </c>
      <c r="E1406" s="16" t="inlineStr">
        <is>
          <t>KF-M04b</t>
        </is>
      </c>
      <c r="F1406" s="16" t="inlineStr">
        <is>
          <t>KF-M04b</t>
        </is>
      </c>
      <c r="G1406" s="16" t="inlineStr">
        <is>
          <t>B07</t>
        </is>
      </c>
      <c r="H1406" s="16" t="inlineStr">
        <is>
          <t>lhs</t>
        </is>
      </c>
      <c r="I1406" s="16" t="inlineStr">
        <is>
          <t>CORREGIBLE</t>
        </is>
      </c>
      <c r="J1406" s="16" t="inlineStr">
        <is>
          <t>CORREGIBLE</t>
        </is>
      </c>
      <c r="K1406" s="16" t="b">
        <v>1</v>
      </c>
      <c r="L1406" s="16" t="b">
        <v>0</v>
      </c>
      <c r="M1406" s="16" t="b">
        <v>1</v>
      </c>
      <c r="N1406" s="16" t="b">
        <v>0</v>
      </c>
      <c r="O1406" s="16" t="n">
        <v>488.7115375641565</v>
      </c>
      <c r="P1406" s="16" t="n">
        <v>293.5207771596494</v>
      </c>
      <c r="Q1406" s="16" t="n">
        <v>4717.364769827663</v>
      </c>
      <c r="R1406" s="16" t="n">
        <v>1335.54915596388</v>
      </c>
      <c r="S1406" s="16" t="n">
        <v>0.5924804263064183</v>
      </c>
      <c r="T1406" s="16" t="n">
        <v>0.7884235435326626</v>
      </c>
      <c r="U1406" s="16" t="n">
        <v>0.839396455765711</v>
      </c>
      <c r="V1406" s="16" t="n">
        <v>0.8301995067411033</v>
      </c>
      <c r="W1406" s="16" t="n">
        <v>0.7360988114748656</v>
      </c>
      <c r="X1406" s="16" t="n">
        <v>0.770468091184632</v>
      </c>
      <c r="Y1406" s="16" t="n">
        <v>293.5207771596494</v>
      </c>
      <c r="Z1406" s="16" t="n">
        <v>9.00993302119551</v>
      </c>
      <c r="AA1406" s="16" t="n">
        <v>132.5823173877974</v>
      </c>
      <c r="AB1406" s="16" t="n">
        <v>3381.815613863782</v>
      </c>
      <c r="AC1406" s="16" t="n">
        <v>3.532153607946455</v>
      </c>
      <c r="AD1406" s="16" t="inlineStr">
        <is>
          <t>O2</t>
        </is>
      </c>
      <c r="AE1406" s="16" t="n"/>
    </row>
    <row r="1407">
      <c r="A1407" s="16" t="inlineStr">
        <is>
          <t>KF-M04b-0035</t>
        </is>
      </c>
      <c r="B1407" s="16" t="inlineStr">
        <is>
          <t>3.2</t>
        </is>
      </c>
      <c r="C1407" s="16" t="inlineStr">
        <is>
          <t>3.2</t>
        </is>
      </c>
      <c r="D1407" s="16" t="inlineStr">
        <is>
          <t>muestra de 200 puntos</t>
        </is>
      </c>
      <c r="E1407" s="16" t="inlineStr">
        <is>
          <t>KF-M04b</t>
        </is>
      </c>
      <c r="F1407" s="16" t="inlineStr">
        <is>
          <t>KF-M04b</t>
        </is>
      </c>
      <c r="G1407" s="16" t="inlineStr">
        <is>
          <t>B07</t>
        </is>
      </c>
      <c r="H1407" s="16" t="inlineStr">
        <is>
          <t>lhs</t>
        </is>
      </c>
      <c r="I1407" s="16" t="inlineStr">
        <is>
          <t>CORREGIBLE</t>
        </is>
      </c>
      <c r="J1407" s="16" t="inlineStr">
        <is>
          <t>CORREGIBLE</t>
        </is>
      </c>
      <c r="K1407" s="16" t="b">
        <v>1</v>
      </c>
      <c r="L1407" s="16" t="b">
        <v>0</v>
      </c>
      <c r="M1407" s="16" t="b">
        <v>1</v>
      </c>
      <c r="N1407" s="16" t="b">
        <v>0</v>
      </c>
      <c r="O1407" s="16" t="n">
        <v>496.9446723451211</v>
      </c>
      <c r="P1407" s="16" t="n">
        <v>288.6711462520531</v>
      </c>
      <c r="Q1407" s="16" t="n">
        <v>3873.543893316661</v>
      </c>
      <c r="R1407" s="16" t="n">
        <v>911.7519440729463</v>
      </c>
      <c r="S1407" s="16" t="n">
        <v>0.5645940912865439</v>
      </c>
      <c r="T1407" s="16" t="n">
        <v>0.7897649378585176</v>
      </c>
      <c r="U1407" s="16" t="n">
        <v>0.830641274391128</v>
      </c>
      <c r="V1407" s="16" t="n">
        <v>0.9312546673056904</v>
      </c>
      <c r="W1407" s="16" t="n">
        <v>0.8441047363188434</v>
      </c>
      <c r="X1407" s="16" t="n">
        <v>0.8999942052043404</v>
      </c>
      <c r="Y1407" s="16" t="n">
        <v>288.6711462520531</v>
      </c>
      <c r="Z1407" s="16" t="n">
        <v>9.69608238621197</v>
      </c>
      <c r="AA1407" s="16" t="n">
        <v>192.0219393446791</v>
      </c>
      <c r="AB1407" s="16" t="n">
        <v>2961.791949243714</v>
      </c>
      <c r="AC1407" s="16" t="n">
        <v>4.248462444744456</v>
      </c>
      <c r="AD1407" s="16" t="inlineStr">
        <is>
          <t>O2</t>
        </is>
      </c>
      <c r="AE1407" s="16" t="n"/>
    </row>
    <row r="1408">
      <c r="A1408" s="16" t="inlineStr">
        <is>
          <t>KF-M04b-0036</t>
        </is>
      </c>
      <c r="B1408" s="16" t="inlineStr">
        <is>
          <t>3.2</t>
        </is>
      </c>
      <c r="C1408" s="16" t="inlineStr">
        <is>
          <t>3.2</t>
        </is>
      </c>
      <c r="D1408" s="16" t="inlineStr">
        <is>
          <t>muestra de 200 puntos</t>
        </is>
      </c>
      <c r="E1408" s="16" t="inlineStr">
        <is>
          <t>KF-M04b</t>
        </is>
      </c>
      <c r="F1408" s="16" t="inlineStr">
        <is>
          <t>KF-M04b</t>
        </is>
      </c>
      <c r="G1408" s="16" t="inlineStr">
        <is>
          <t>B07</t>
        </is>
      </c>
      <c r="H1408" s="16" t="inlineStr">
        <is>
          <t>lhs</t>
        </is>
      </c>
      <c r="I1408" s="16" t="inlineStr">
        <is>
          <t>CORREGIBLE</t>
        </is>
      </c>
      <c r="J1408" s="16" t="inlineStr">
        <is>
          <t>CORREGIBLE</t>
        </is>
      </c>
      <c r="K1408" s="16" t="b">
        <v>1</v>
      </c>
      <c r="L1408" s="16" t="b">
        <v>0</v>
      </c>
      <c r="M1408" s="16" t="b">
        <v>1</v>
      </c>
      <c r="N1408" s="16" t="b">
        <v>0</v>
      </c>
      <c r="O1408" s="16" t="n">
        <v>475.7040395321686</v>
      </c>
      <c r="P1408" s="16" t="n">
        <v>279.3608266579636</v>
      </c>
      <c r="Q1408" s="16" t="n">
        <v>3971.888677247197</v>
      </c>
      <c r="R1408" s="16" t="n">
        <v>420.1910710064911</v>
      </c>
      <c r="S1408" s="16" t="n">
        <v>0.6026306389290408</v>
      </c>
      <c r="T1408" s="16" t="n">
        <v>0.8593414433374885</v>
      </c>
      <c r="U1408" s="16" t="n">
        <v>0.6568977125845625</v>
      </c>
      <c r="V1408" s="16" t="n">
        <v>0.8708688871311659</v>
      </c>
      <c r="W1408" s="16" t="n">
        <v>0.6775907461537033</v>
      </c>
      <c r="X1408" s="16" t="n">
        <v>0.7957019110904552</v>
      </c>
      <c r="Y1408" s="16" t="n">
        <v>279.3608266579636</v>
      </c>
      <c r="Z1408" s="16" t="n">
        <v>15.17425162984379</v>
      </c>
      <c r="AA1408" s="16" t="n">
        <v>243.7262428059577</v>
      </c>
      <c r="AB1408" s="16" t="n">
        <v>3551.697606240706</v>
      </c>
      <c r="AC1408" s="16" t="n">
        <v>9.45257753272401</v>
      </c>
      <c r="AD1408" s="16" t="inlineStr">
        <is>
          <t>O1,O2</t>
        </is>
      </c>
      <c r="AE1408" s="16" t="n"/>
    </row>
    <row r="1409">
      <c r="A1409" s="16" t="inlineStr">
        <is>
          <t>KF-M04b-0037</t>
        </is>
      </c>
      <c r="B1409" s="16" t="inlineStr">
        <is>
          <t>3.2</t>
        </is>
      </c>
      <c r="C1409" s="16" t="inlineStr">
        <is>
          <t>3.2</t>
        </is>
      </c>
      <c r="D1409" s="16" t="inlineStr">
        <is>
          <t>muestra de 200 puntos</t>
        </is>
      </c>
      <c r="E1409" s="16" t="inlineStr">
        <is>
          <t>KF-M04b</t>
        </is>
      </c>
      <c r="F1409" s="16" t="inlineStr">
        <is>
          <t>KF-M04b</t>
        </is>
      </c>
      <c r="G1409" s="16" t="inlineStr">
        <is>
          <t>B07</t>
        </is>
      </c>
      <c r="H1409" s="16" t="inlineStr">
        <is>
          <t>lhs</t>
        </is>
      </c>
      <c r="I1409" s="16" t="inlineStr">
        <is>
          <t>CORREGIBLE</t>
        </is>
      </c>
      <c r="J1409" s="16" t="inlineStr">
        <is>
          <t>CORREGIBLE</t>
        </is>
      </c>
      <c r="K1409" s="16" t="b">
        <v>1</v>
      </c>
      <c r="L1409" s="16" t="b">
        <v>0</v>
      </c>
      <c r="M1409" s="16" t="b">
        <v>1</v>
      </c>
      <c r="N1409" s="16" t="b">
        <v>0</v>
      </c>
      <c r="O1409" s="16" t="n">
        <v>448.5464381731514</v>
      </c>
      <c r="P1409" s="16" t="n">
        <v>303.2696383566856</v>
      </c>
      <c r="Q1409" s="16" t="n">
        <v>3614.338680912828</v>
      </c>
      <c r="R1409" s="16" t="n">
        <v>1138.943976345036</v>
      </c>
      <c r="S1409" s="16" t="n">
        <v>0.6634775229106294</v>
      </c>
      <c r="T1409" s="16" t="n">
        <v>0.7549484581819855</v>
      </c>
      <c r="U1409" s="16" t="n">
        <v>0.8571547682420843</v>
      </c>
      <c r="V1409" s="16" t="n">
        <v>0.8674102586305763</v>
      </c>
      <c r="W1409" s="16" t="n">
        <v>0.9065821911351848</v>
      </c>
      <c r="X1409" s="16" t="n">
        <v>0.719488755807684</v>
      </c>
      <c r="Y1409" s="16" t="n">
        <v>303.2696383566856</v>
      </c>
      <c r="Z1409" s="16" t="n">
        <v>7.656749099071559</v>
      </c>
      <c r="AA1409" s="16" t="n">
        <v>77.86027004799855</v>
      </c>
      <c r="AB1409" s="16" t="n">
        <v>2475.394704567791</v>
      </c>
      <c r="AC1409" s="16" t="n">
        <v>3.173412174768713</v>
      </c>
      <c r="AD1409" s="16" t="inlineStr">
        <is>
          <t>O2</t>
        </is>
      </c>
      <c r="AE1409" s="16" t="n"/>
    </row>
    <row r="1410">
      <c r="A1410" s="16" t="inlineStr">
        <is>
          <t>KF-M04b-0038</t>
        </is>
      </c>
      <c r="B1410" s="16" t="inlineStr">
        <is>
          <t>3.2</t>
        </is>
      </c>
      <c r="C1410" s="16" t="inlineStr">
        <is>
          <t>3.2</t>
        </is>
      </c>
      <c r="D1410" s="16" t="inlineStr">
        <is>
          <t>muestra de 200 puntos</t>
        </is>
      </c>
      <c r="E1410" s="16" t="inlineStr">
        <is>
          <t>KF-M04b</t>
        </is>
      </c>
      <c r="F1410" s="16" t="inlineStr">
        <is>
          <t>KF-M04b</t>
        </is>
      </c>
      <c r="G1410" s="16" t="inlineStr">
        <is>
          <t>B07</t>
        </is>
      </c>
      <c r="H1410" s="16" t="inlineStr">
        <is>
          <t>lhs</t>
        </is>
      </c>
      <c r="I1410" s="16" t="inlineStr">
        <is>
          <t>KALINA</t>
        </is>
      </c>
      <c r="J1410" s="16" t="inlineStr">
        <is>
          <t>KALINA</t>
        </is>
      </c>
      <c r="K1410" s="16" t="b">
        <v>1</v>
      </c>
      <c r="L1410" s="16" t="b">
        <v>1</v>
      </c>
      <c r="M1410" s="16" t="b">
        <v>0</v>
      </c>
      <c r="N1410" s="16" t="b">
        <v>0</v>
      </c>
      <c r="O1410" s="16" t="n">
        <v>416.5497872309603</v>
      </c>
      <c r="P1410" s="16" t="n">
        <v>282.4775313472949</v>
      </c>
      <c r="Q1410" s="16" t="n">
        <v>4675.274719834546</v>
      </c>
      <c r="R1410" s="16" t="n">
        <v>558.1647013539609</v>
      </c>
      <c r="S1410" s="16" t="n">
        <v>0.5506886318907573</v>
      </c>
      <c r="T1410" s="16" t="n">
        <v>0.861354944992979</v>
      </c>
      <c r="U1410" s="16" t="n">
        <v>0.8786347300411499</v>
      </c>
      <c r="V1410" s="16" t="n">
        <v>0.6190972645630328</v>
      </c>
      <c r="W1410" s="16" t="n">
        <v>0.7451405083123925</v>
      </c>
      <c r="X1410" s="16" t="n">
        <v>0.703401375461588</v>
      </c>
      <c r="Y1410" s="16" t="n">
        <v>282.4775313472949</v>
      </c>
      <c r="Z1410" s="16" t="n">
        <v>5.56870759195688</v>
      </c>
      <c r="AA1410" s="16" t="n">
        <v>12.92451312971966</v>
      </c>
      <c r="AB1410" s="16" t="n">
        <v>4117.110018480585</v>
      </c>
      <c r="AC1410" s="16" t="n">
        <v>8.376156192775282</v>
      </c>
      <c r="AD1410" s="16" t="n"/>
      <c r="AE1410" s="16" t="n"/>
    </row>
    <row r="1411">
      <c r="A1411" s="16" t="inlineStr">
        <is>
          <t>KF-M04b-0039</t>
        </is>
      </c>
      <c r="B1411" s="16" t="inlineStr">
        <is>
          <t>3.2</t>
        </is>
      </c>
      <c r="C1411" s="16" t="inlineStr">
        <is>
          <t>3.2</t>
        </is>
      </c>
      <c r="D1411" s="16" t="inlineStr">
        <is>
          <t>muestra de 200 puntos</t>
        </is>
      </c>
      <c r="E1411" s="16" t="inlineStr">
        <is>
          <t>KF-M04b</t>
        </is>
      </c>
      <c r="F1411" s="16" t="inlineStr">
        <is>
          <t>KF-M04b</t>
        </is>
      </c>
      <c r="G1411" s="16" t="inlineStr">
        <is>
          <t>B07</t>
        </is>
      </c>
      <c r="H1411" s="16" t="inlineStr">
        <is>
          <t>lhs</t>
        </is>
      </c>
      <c r="I1411" s="16" t="inlineStr">
        <is>
          <t>KALINA</t>
        </is>
      </c>
      <c r="J1411" s="16" t="inlineStr">
        <is>
          <t>KALINA</t>
        </is>
      </c>
      <c r="K1411" s="16" t="b">
        <v>1</v>
      </c>
      <c r="L1411" s="16" t="b">
        <v>1</v>
      </c>
      <c r="M1411" s="16" t="b">
        <v>0</v>
      </c>
      <c r="N1411" s="16" t="b">
        <v>0</v>
      </c>
      <c r="O1411" s="16" t="n">
        <v>410.2465461841168</v>
      </c>
      <c r="P1411" s="16" t="n">
        <v>288.3475165547603</v>
      </c>
      <c r="Q1411" s="16" t="n">
        <v>4312.986811198436</v>
      </c>
      <c r="R1411" s="16" t="n">
        <v>873.4253062993467</v>
      </c>
      <c r="S1411" s="16" t="n">
        <v>0.5615643451140011</v>
      </c>
      <c r="T1411" s="16" t="n">
        <v>0.8209107572786932</v>
      </c>
      <c r="U1411" s="16" t="n">
        <v>0.7800222209546599</v>
      </c>
      <c r="V1411" s="16" t="n">
        <v>0.8554532068788446</v>
      </c>
      <c r="W1411" s="16" t="n">
        <v>0.7011587879482351</v>
      </c>
      <c r="X1411" s="16" t="n">
        <v>0.8926349055118947</v>
      </c>
      <c r="Y1411" s="16" t="n">
        <v>288.3475165547603</v>
      </c>
      <c r="Z1411" s="16" t="n">
        <v>6.05317108791373</v>
      </c>
      <c r="AA1411" s="16" t="n">
        <v>21.44610279721383</v>
      </c>
      <c r="AB1411" s="16" t="n">
        <v>3439.561504899089</v>
      </c>
      <c r="AC1411" s="16" t="n">
        <v>4.938014481710308</v>
      </c>
      <c r="AD1411" s="16" t="n"/>
      <c r="AE1411" s="16" t="n"/>
    </row>
    <row r="1412">
      <c r="A1412" s="16" t="inlineStr">
        <is>
          <t>KF-M04b-0040</t>
        </is>
      </c>
      <c r="B1412" s="16" t="inlineStr">
        <is>
          <t>3.2</t>
        </is>
      </c>
      <c r="C1412" s="16" t="inlineStr">
        <is>
          <t>3.2</t>
        </is>
      </c>
      <c r="D1412" s="16" t="inlineStr">
        <is>
          <t>muestra de 200 puntos</t>
        </is>
      </c>
      <c r="E1412" s="16" t="inlineStr">
        <is>
          <t>KF-M04b</t>
        </is>
      </c>
      <c r="F1412" s="16" t="inlineStr">
        <is>
          <t>KF-M04b</t>
        </is>
      </c>
      <c r="G1412" s="16" t="inlineStr">
        <is>
          <t>B07</t>
        </is>
      </c>
      <c r="H1412" s="16" t="inlineStr">
        <is>
          <t>lhs</t>
        </is>
      </c>
      <c r="I1412" s="16" t="inlineStr">
        <is>
          <t>CORREGIBLE</t>
        </is>
      </c>
      <c r="J1412" s="16" t="inlineStr">
        <is>
          <t>CORREGIBLE</t>
        </is>
      </c>
      <c r="K1412" s="16" t="b">
        <v>1</v>
      </c>
      <c r="L1412" s="16" t="b">
        <v>0</v>
      </c>
      <c r="M1412" s="16" t="b">
        <v>0</v>
      </c>
      <c r="N1412" s="16" t="b">
        <v>0</v>
      </c>
      <c r="O1412" s="16" t="n">
        <v>383.1163778055353</v>
      </c>
      <c r="P1412" s="16" t="n">
        <v>288.0095091039276</v>
      </c>
      <c r="Q1412" s="16" t="n">
        <v>2026.762751719789</v>
      </c>
      <c r="R1412" s="16" t="n">
        <v>1301.092690119161</v>
      </c>
      <c r="S1412" s="16" t="n">
        <v>0.682467225611996</v>
      </c>
      <c r="T1412" s="16" t="n">
        <v>0.8512761679326326</v>
      </c>
      <c r="U1412" s="16" t="n">
        <v>0.6852291470434502</v>
      </c>
      <c r="V1412" s="16" t="n">
        <v>0.9149387269829869</v>
      </c>
      <c r="W1412" s="16" t="n">
        <v>0.8767590194431882</v>
      </c>
      <c r="X1412" s="16" t="n">
        <v>0.7391401709110755</v>
      </c>
      <c r="Y1412" s="16" t="n">
        <v>288.0095091039276</v>
      </c>
      <c r="Z1412" s="16" t="n">
        <v>4.01020023998399</v>
      </c>
      <c r="AA1412" s="16" t="n">
        <v>26.11212796568775</v>
      </c>
      <c r="AB1412" s="16" t="n">
        <v>725.6700616006274</v>
      </c>
      <c r="AC1412" s="16" t="n">
        <v>1.557738942898962</v>
      </c>
      <c r="AD1412" s="16" t="inlineStr">
        <is>
          <t>O2</t>
        </is>
      </c>
      <c r="AE1412" s="16" t="n"/>
    </row>
    <row r="1413">
      <c r="A1413" s="16" t="inlineStr">
        <is>
          <t>KF-M04b-0041</t>
        </is>
      </c>
      <c r="B1413" s="16" t="inlineStr">
        <is>
          <t>3.2</t>
        </is>
      </c>
      <c r="C1413" s="16" t="inlineStr">
        <is>
          <t>3.2</t>
        </is>
      </c>
      <c r="D1413" s="16" t="inlineStr">
        <is>
          <t>muestra de 200 puntos</t>
        </is>
      </c>
      <c r="E1413" s="16" t="inlineStr">
        <is>
          <t>KF-M04b</t>
        </is>
      </c>
      <c r="F1413" s="16" t="inlineStr">
        <is>
          <t>KF-M04b</t>
        </is>
      </c>
      <c r="G1413" s="16" t="inlineStr">
        <is>
          <t>B07</t>
        </is>
      </c>
      <c r="H1413" s="16" t="inlineStr">
        <is>
          <t>lhs</t>
        </is>
      </c>
      <c r="I1413" s="16" t="inlineStr">
        <is>
          <t>N2</t>
        </is>
      </c>
      <c r="J1413" s="16" t="inlineStr">
        <is>
          <t>NO_CONVERGIO</t>
        </is>
      </c>
      <c r="K1413" s="16" t="b">
        <v>0</v>
      </c>
      <c r="L1413" s="16" t="b">
        <v>0</v>
      </c>
      <c r="M1413" s="16" t="b">
        <v>1</v>
      </c>
      <c r="N1413" s="16" t="b">
        <v>0</v>
      </c>
      <c r="O1413" s="16" t="n">
        <v>453.6663434900911</v>
      </c>
      <c r="P1413" s="16" t="n">
        <v>301.5180974873707</v>
      </c>
      <c r="Q1413" s="16" t="n">
        <v>2748.189109275715</v>
      </c>
      <c r="R1413" s="16" t="n">
        <v>410.3657750640633</v>
      </c>
      <c r="S1413" s="16" t="n">
        <v>0.8328612333409835</v>
      </c>
      <c r="T1413" s="16" t="n">
        <v>0.8106405860990792</v>
      </c>
      <c r="U1413" s="16" t="n">
        <v>0.7977404394688763</v>
      </c>
      <c r="V1413" s="16" t="n">
        <v>0.8812910044179341</v>
      </c>
      <c r="W1413" s="16" t="n">
        <v>0.7217539393652894</v>
      </c>
      <c r="X1413" s="16" t="n">
        <v>0.7262046625897942</v>
      </c>
      <c r="Y1413" s="16" t="n">
        <v>301.5180974873707</v>
      </c>
      <c r="Z1413" s="16" t="n">
        <v>-4.52812040278122</v>
      </c>
      <c r="AA1413" s="16" t="n">
        <v>-19.82542528459913</v>
      </c>
      <c r="AB1413" s="16" t="n">
        <v>2337.823334211652</v>
      </c>
      <c r="AC1413" s="16" t="n">
        <v>6.696925709378878</v>
      </c>
      <c r="AD1413" s="16" t="inlineStr">
        <is>
          <t>N2,O2,O3,O5,C1,C3,C3</t>
        </is>
      </c>
      <c r="AE1413" s="16" t="n"/>
    </row>
    <row r="1414">
      <c r="A1414" s="16" t="inlineStr">
        <is>
          <t>KF-M04b-0042</t>
        </is>
      </c>
      <c r="B1414" s="16" t="inlineStr">
        <is>
          <t>3.2</t>
        </is>
      </c>
      <c r="C1414" s="16" t="inlineStr">
        <is>
          <t>3.2</t>
        </is>
      </c>
      <c r="D1414" s="16" t="inlineStr">
        <is>
          <t>muestra de 200 puntos</t>
        </is>
      </c>
      <c r="E1414" s="16" t="inlineStr">
        <is>
          <t>KF-M04b</t>
        </is>
      </c>
      <c r="F1414" s="16" t="inlineStr">
        <is>
          <t>KF-M04b</t>
        </is>
      </c>
      <c r="G1414" s="16" t="inlineStr">
        <is>
          <t>B07</t>
        </is>
      </c>
      <c r="H1414" s="16" t="inlineStr">
        <is>
          <t>lhs</t>
        </is>
      </c>
      <c r="I1414" s="16" t="inlineStr">
        <is>
          <t>KALINA</t>
        </is>
      </c>
      <c r="J1414" s="16" t="inlineStr">
        <is>
          <t>KALINA</t>
        </is>
      </c>
      <c r="K1414" s="16" t="b">
        <v>1</v>
      </c>
      <c r="L1414" s="16" t="b">
        <v>1</v>
      </c>
      <c r="M1414" s="16" t="b">
        <v>0</v>
      </c>
      <c r="N1414" s="16" t="b">
        <v>0</v>
      </c>
      <c r="O1414" s="16" t="n">
        <v>397.902122495778</v>
      </c>
      <c r="P1414" s="16" t="n">
        <v>295.6462249922335</v>
      </c>
      <c r="Q1414" s="16" t="n">
        <v>3203.706480517036</v>
      </c>
      <c r="R1414" s="16" t="n">
        <v>1219.59255739447</v>
      </c>
      <c r="S1414" s="16" t="n">
        <v>0.6445925795666091</v>
      </c>
      <c r="T1414" s="16" t="n">
        <v>0.9137282448405848</v>
      </c>
      <c r="U1414" s="16" t="n">
        <v>0.6547313537619169</v>
      </c>
      <c r="V1414" s="16" t="n">
        <v>0.8530941940612815</v>
      </c>
      <c r="W1414" s="16" t="n">
        <v>0.6620019368981908</v>
      </c>
      <c r="X1414" s="16" t="n">
        <v>0.9114289915714748</v>
      </c>
      <c r="Y1414" s="16" t="n">
        <v>295.6462249922335</v>
      </c>
      <c r="Z1414" s="16" t="n">
        <v>7.016110632237361</v>
      </c>
      <c r="AA1414" s="16" t="n">
        <v>40.32029138429743</v>
      </c>
      <c r="AB1414" s="16" t="n">
        <v>1984.113923122566</v>
      </c>
      <c r="AC1414" s="16" t="n">
        <v>2.626866211254532</v>
      </c>
      <c r="AD1414" s="16" t="n"/>
      <c r="AE1414" s="16" t="n"/>
    </row>
    <row r="1415">
      <c r="A1415" s="16" t="inlineStr">
        <is>
          <t>KF-M04b-0043</t>
        </is>
      </c>
      <c r="B1415" s="16" t="inlineStr">
        <is>
          <t>3.2</t>
        </is>
      </c>
      <c r="C1415" s="16" t="inlineStr">
        <is>
          <t>3.2</t>
        </is>
      </c>
      <c r="D1415" s="16" t="inlineStr">
        <is>
          <t>muestra de 200 puntos</t>
        </is>
      </c>
      <c r="E1415" s="16" t="inlineStr">
        <is>
          <t>KF-M04b</t>
        </is>
      </c>
      <c r="F1415" s="16" t="inlineStr">
        <is>
          <t>KF-M04b</t>
        </is>
      </c>
      <c r="G1415" s="16" t="inlineStr">
        <is>
          <t>B07</t>
        </is>
      </c>
      <c r="H1415" s="16" t="inlineStr">
        <is>
          <t>lhs</t>
        </is>
      </c>
      <c r="I1415" s="16" t="inlineStr">
        <is>
          <t>CORREGIBLE</t>
        </is>
      </c>
      <c r="J1415" s="16" t="inlineStr">
        <is>
          <t>CORREGIBLE</t>
        </is>
      </c>
      <c r="K1415" s="16" t="b">
        <v>1</v>
      </c>
      <c r="L1415" s="16" t="b">
        <v>0</v>
      </c>
      <c r="M1415" s="16" t="b">
        <v>1</v>
      </c>
      <c r="N1415" s="16" t="b">
        <v>0</v>
      </c>
      <c r="O1415" s="16" t="n">
        <v>439.0641913276344</v>
      </c>
      <c r="P1415" s="16" t="n">
        <v>299.7228785247982</v>
      </c>
      <c r="Q1415" s="16" t="n">
        <v>3741.557358558424</v>
      </c>
      <c r="R1415" s="16" t="n">
        <v>1015.992447295506</v>
      </c>
      <c r="S1415" s="16" t="n">
        <v>0.6203159702183497</v>
      </c>
      <c r="T1415" s="16" t="n">
        <v>0.8467569225944989</v>
      </c>
      <c r="U1415" s="16" t="n">
        <v>0.75455033317371</v>
      </c>
      <c r="V1415" s="16" t="n">
        <v>0.7645634041236353</v>
      </c>
      <c r="W1415" s="16" t="n">
        <v>0.686095290339697</v>
      </c>
      <c r="X1415" s="16" t="n">
        <v>0.8338442385711852</v>
      </c>
      <c r="Y1415" s="16" t="n">
        <v>299.7228785247982</v>
      </c>
      <c r="Z1415" s="16" t="n">
        <v>9.87283355571028</v>
      </c>
      <c r="AA1415" s="16" t="n">
        <v>79.71675914722789</v>
      </c>
      <c r="AB1415" s="16" t="n">
        <v>2725.564911262918</v>
      </c>
      <c r="AC1415" s="16" t="n">
        <v>3.682662571476948</v>
      </c>
      <c r="AD1415" s="16" t="inlineStr">
        <is>
          <t>O2</t>
        </is>
      </c>
      <c r="AE1415" s="16" t="n"/>
    </row>
    <row r="1416">
      <c r="A1416" s="16" t="inlineStr">
        <is>
          <t>KF-M04b-0044</t>
        </is>
      </c>
      <c r="B1416" s="16" t="inlineStr">
        <is>
          <t>3.2</t>
        </is>
      </c>
      <c r="C1416" s="16" t="inlineStr">
        <is>
          <t>3.2</t>
        </is>
      </c>
      <c r="D1416" s="16" t="inlineStr">
        <is>
          <t>muestra de 200 puntos</t>
        </is>
      </c>
      <c r="E1416" s="16" t="inlineStr">
        <is>
          <t>KF-M04b</t>
        </is>
      </c>
      <c r="F1416" s="16" t="inlineStr">
        <is>
          <t>KF-M04b</t>
        </is>
      </c>
      <c r="G1416" s="16" t="inlineStr">
        <is>
          <t>B07</t>
        </is>
      </c>
      <c r="H1416" s="16" t="inlineStr">
        <is>
          <t>lhs</t>
        </is>
      </c>
      <c r="I1416" s="16" t="inlineStr">
        <is>
          <t>CORREGIBLE</t>
        </is>
      </c>
      <c r="J1416" s="16" t="inlineStr">
        <is>
          <t>CORREGIBLE</t>
        </is>
      </c>
      <c r="K1416" s="16" t="b">
        <v>1</v>
      </c>
      <c r="L1416" s="16" t="b">
        <v>0</v>
      </c>
      <c r="M1416" s="16" t="b">
        <v>1</v>
      </c>
      <c r="N1416" s="16" t="b">
        <v>0</v>
      </c>
      <c r="O1416" s="16" t="n">
        <v>455.9095148880637</v>
      </c>
      <c r="P1416" s="16" t="n">
        <v>279.7317727190601</v>
      </c>
      <c r="Q1416" s="16" t="n">
        <v>3525.879139721946</v>
      </c>
      <c r="R1416" s="16" t="n">
        <v>799.3148623992377</v>
      </c>
      <c r="S1416" s="16" t="n">
        <v>0.7694109325569132</v>
      </c>
      <c r="T1416" s="16" t="n">
        <v>0.9108192396830532</v>
      </c>
      <c r="U1416" s="16" t="n">
        <v>0.7259537221165779</v>
      </c>
      <c r="V1416" s="16" t="n">
        <v>0.7789852217958996</v>
      </c>
      <c r="W1416" s="16" t="n">
        <v>0.9349271304401384</v>
      </c>
      <c r="X1416" s="16" t="n">
        <v>0.8761536766559073</v>
      </c>
      <c r="Y1416" s="16" t="n">
        <v>279.7317727190601</v>
      </c>
      <c r="Z1416" s="16" t="n">
        <v>13.25984921206044</v>
      </c>
      <c r="AA1416" s="16" t="n">
        <v>179.5250273041273</v>
      </c>
      <c r="AB1416" s="16" t="n">
        <v>2726.564277322708</v>
      </c>
      <c r="AC1416" s="16" t="n">
        <v>4.411126710616395</v>
      </c>
      <c r="AD1416" s="16" t="inlineStr">
        <is>
          <t>O2</t>
        </is>
      </c>
      <c r="AE1416" s="16" t="n"/>
    </row>
    <row r="1417">
      <c r="A1417" s="16" t="inlineStr">
        <is>
          <t>KF-M04b-0045</t>
        </is>
      </c>
      <c r="B1417" s="16" t="inlineStr">
        <is>
          <t>3.2</t>
        </is>
      </c>
      <c r="C1417" s="16" t="inlineStr">
        <is>
          <t>3.2</t>
        </is>
      </c>
      <c r="D1417" s="16" t="inlineStr">
        <is>
          <t>muestra de 200 puntos</t>
        </is>
      </c>
      <c r="E1417" s="16" t="inlineStr">
        <is>
          <t>KF-M04b</t>
        </is>
      </c>
      <c r="F1417" s="16" t="inlineStr">
        <is>
          <t>KF-M04b</t>
        </is>
      </c>
      <c r="G1417" s="16" t="inlineStr">
        <is>
          <t>B07</t>
        </is>
      </c>
      <c r="H1417" s="16" t="inlineStr">
        <is>
          <t>lhs</t>
        </is>
      </c>
      <c r="I1417" s="16" t="inlineStr">
        <is>
          <t>CORREGIBLE</t>
        </is>
      </c>
      <c r="J1417" s="16" t="inlineStr">
        <is>
          <t>CORREGIBLE</t>
        </is>
      </c>
      <c r="K1417" s="16" t="b">
        <v>1</v>
      </c>
      <c r="L1417" s="16" t="b">
        <v>0</v>
      </c>
      <c r="M1417" s="16" t="b">
        <v>1</v>
      </c>
      <c r="N1417" s="16" t="b">
        <v>0</v>
      </c>
      <c r="O1417" s="16" t="n">
        <v>487.984989897948</v>
      </c>
      <c r="P1417" s="16" t="n">
        <v>300.269044804541</v>
      </c>
      <c r="Q1417" s="16" t="n">
        <v>2828.608740543356</v>
      </c>
      <c r="R1417" s="16" t="n">
        <v>625.4814404899362</v>
      </c>
      <c r="S1417" s="16" t="n">
        <v>0.5695976524923441</v>
      </c>
      <c r="T1417" s="16" t="n">
        <v>0.7669211519819767</v>
      </c>
      <c r="U1417" s="16" t="n">
        <v>0.7391535786524499</v>
      </c>
      <c r="V1417" s="16" t="n">
        <v>0.6687966279328155</v>
      </c>
      <c r="W1417" s="16" t="n">
        <v>0.7335223372480757</v>
      </c>
      <c r="X1417" s="16" t="n">
        <v>0.8873089961166196</v>
      </c>
      <c r="Y1417" s="16" t="n">
        <v>300.269044804541</v>
      </c>
      <c r="Z1417" s="16" t="n">
        <v>9.823156222823689</v>
      </c>
      <c r="AA1417" s="16" t="n">
        <v>133.0625679108628</v>
      </c>
      <c r="AB1417" s="16" t="n">
        <v>2203.12730005342</v>
      </c>
      <c r="AC1417" s="16" t="n">
        <v>4.522290442907023</v>
      </c>
      <c r="AD1417" s="16" t="inlineStr">
        <is>
          <t>O2</t>
        </is>
      </c>
      <c r="AE1417" s="16" t="n"/>
    </row>
    <row r="1418">
      <c r="A1418" s="16" t="inlineStr">
        <is>
          <t>KF-M04b-0046</t>
        </is>
      </c>
      <c r="B1418" s="16" t="inlineStr">
        <is>
          <t>3.2</t>
        </is>
      </c>
      <c r="C1418" s="16" t="inlineStr">
        <is>
          <t>3.2</t>
        </is>
      </c>
      <c r="D1418" s="16" t="inlineStr">
        <is>
          <t>muestra de 200 puntos</t>
        </is>
      </c>
      <c r="E1418" s="16" t="inlineStr">
        <is>
          <t>KF-M04b</t>
        </is>
      </c>
      <c r="F1418" s="16" t="inlineStr">
        <is>
          <t>KF-M04b</t>
        </is>
      </c>
      <c r="G1418" s="16" t="inlineStr">
        <is>
          <t>B07</t>
        </is>
      </c>
      <c r="H1418" s="16" t="inlineStr">
        <is>
          <t>lhs</t>
        </is>
      </c>
      <c r="I1418" s="16" t="inlineStr">
        <is>
          <t>CORREGIBLE</t>
        </is>
      </c>
      <c r="J1418" s="16" t="inlineStr">
        <is>
          <t>CORREGIBLE</t>
        </is>
      </c>
      <c r="K1418" s="16" t="b">
        <v>1</v>
      </c>
      <c r="L1418" s="16" t="b">
        <v>0</v>
      </c>
      <c r="M1418" s="16" t="b">
        <v>1</v>
      </c>
      <c r="N1418" s="16" t="b">
        <v>0</v>
      </c>
      <c r="O1418" s="16" t="n">
        <v>496.1581921922005</v>
      </c>
      <c r="P1418" s="16" t="n">
        <v>298.361901534205</v>
      </c>
      <c r="Q1418" s="16" t="n">
        <v>4206.426944838786</v>
      </c>
      <c r="R1418" s="16" t="n">
        <v>970.6287495228754</v>
      </c>
      <c r="S1418" s="16" t="n">
        <v>0.6510475367258967</v>
      </c>
      <c r="T1418" s="16" t="n">
        <v>0.8856463649991083</v>
      </c>
      <c r="U1418" s="16" t="n">
        <v>0.7192567070882201</v>
      </c>
      <c r="V1418" s="16" t="n">
        <v>0.8214385744936321</v>
      </c>
      <c r="W1418" s="16" t="n">
        <v>0.8239216131372658</v>
      </c>
      <c r="X1418" s="16" t="n">
        <v>0.8117610361900657</v>
      </c>
      <c r="Y1418" s="16" t="n">
        <v>298.361901534205</v>
      </c>
      <c r="Z1418" s="16" t="n">
        <v>11.69027661194045</v>
      </c>
      <c r="AA1418" s="16" t="n">
        <v>173.5363821365093</v>
      </c>
      <c r="AB1418" s="16" t="n">
        <v>3235.798195315911</v>
      </c>
      <c r="AC1418" s="16" t="n">
        <v>4.333713530437366</v>
      </c>
      <c r="AD1418" s="16" t="inlineStr">
        <is>
          <t>O2</t>
        </is>
      </c>
      <c r="AE1418" s="16" t="n"/>
    </row>
    <row r="1419">
      <c r="A1419" s="16" t="inlineStr">
        <is>
          <t>KF-M04b-0047</t>
        </is>
      </c>
      <c r="B1419" s="16" t="inlineStr">
        <is>
          <t>3.2</t>
        </is>
      </c>
      <c r="C1419" s="16" t="inlineStr">
        <is>
          <t>3.2</t>
        </is>
      </c>
      <c r="D1419" s="16" t="inlineStr">
        <is>
          <t>muestra de 200 puntos</t>
        </is>
      </c>
      <c r="E1419" s="16" t="inlineStr">
        <is>
          <t>KF-M04b</t>
        </is>
      </c>
      <c r="F1419" s="16" t="inlineStr">
        <is>
          <t>KF-M04b</t>
        </is>
      </c>
      <c r="G1419" s="16" t="inlineStr">
        <is>
          <t>B07</t>
        </is>
      </c>
      <c r="H1419" s="16" t="inlineStr">
        <is>
          <t>lhs</t>
        </is>
      </c>
      <c r="I1419" s="16" t="inlineStr">
        <is>
          <t>CORREGIBLE</t>
        </is>
      </c>
      <c r="J1419" s="16" t="inlineStr">
        <is>
          <t>CORREGIBLE</t>
        </is>
      </c>
      <c r="K1419" s="16" t="b">
        <v>1</v>
      </c>
      <c r="L1419" s="16" t="b">
        <v>0</v>
      </c>
      <c r="M1419" s="16" t="b">
        <v>1</v>
      </c>
      <c r="N1419" s="16" t="b">
        <v>0</v>
      </c>
      <c r="O1419" s="16" t="n">
        <v>477.0385273228613</v>
      </c>
      <c r="P1419" s="16" t="n">
        <v>301.5116018837278</v>
      </c>
      <c r="Q1419" s="16" t="n">
        <v>4269.977630883368</v>
      </c>
      <c r="R1419" s="16" t="n">
        <v>905.093281950096</v>
      </c>
      <c r="S1419" s="16" t="n">
        <v>0.5152852630781116</v>
      </c>
      <c r="T1419" s="16" t="n">
        <v>0.8904421576363881</v>
      </c>
      <c r="U1419" s="16" t="n">
        <v>0.8230874233318883</v>
      </c>
      <c r="V1419" s="16" t="n">
        <v>0.6448543270400803</v>
      </c>
      <c r="W1419" s="16" t="n">
        <v>0.861327116039456</v>
      </c>
      <c r="X1419" s="16" t="n">
        <v>0.7680002541877564</v>
      </c>
      <c r="Y1419" s="16" t="n">
        <v>301.5116018837278</v>
      </c>
      <c r="Z1419" s="16" t="n">
        <v>12.19481813714913</v>
      </c>
      <c r="AA1419" s="16" t="n">
        <v>112.3337260936453</v>
      </c>
      <c r="AB1419" s="16" t="n">
        <v>3364.884348933272</v>
      </c>
      <c r="AC1419" s="16" t="n">
        <v>4.717721052666924</v>
      </c>
      <c r="AD1419" s="16" t="inlineStr">
        <is>
          <t>O2</t>
        </is>
      </c>
      <c r="AE1419" s="16" t="n"/>
    </row>
    <row r="1420">
      <c r="A1420" s="16" t="inlineStr">
        <is>
          <t>KF-M04b-0048</t>
        </is>
      </c>
      <c r="B1420" s="16" t="inlineStr">
        <is>
          <t>3.2</t>
        </is>
      </c>
      <c r="C1420" s="16" t="inlineStr">
        <is>
          <t>3.2</t>
        </is>
      </c>
      <c r="D1420" s="16" t="inlineStr">
        <is>
          <t>muestra de 200 puntos</t>
        </is>
      </c>
      <c r="E1420" s="16" t="inlineStr">
        <is>
          <t>KF-M04b</t>
        </is>
      </c>
      <c r="F1420" s="16" t="inlineStr">
        <is>
          <t>KF-M04b</t>
        </is>
      </c>
      <c r="G1420" s="16" t="inlineStr">
        <is>
          <t>B07</t>
        </is>
      </c>
      <c r="H1420" s="16" t="inlineStr">
        <is>
          <t>lhs</t>
        </is>
      </c>
      <c r="I1420" s="16" t="inlineStr">
        <is>
          <t>CORREGIBLE</t>
        </is>
      </c>
      <c r="J1420" s="16" t="inlineStr">
        <is>
          <t>CORREGIBLE</t>
        </is>
      </c>
      <c r="K1420" s="16" t="b">
        <v>1</v>
      </c>
      <c r="L1420" s="16" t="b">
        <v>0</v>
      </c>
      <c r="M1420" s="16" t="b">
        <v>1</v>
      </c>
      <c r="N1420" s="16" t="b">
        <v>0</v>
      </c>
      <c r="O1420" s="16" t="n">
        <v>461.5184410429844</v>
      </c>
      <c r="P1420" s="16" t="n">
        <v>289.0076867143288</v>
      </c>
      <c r="Q1420" s="16" t="n">
        <v>4169.534017475182</v>
      </c>
      <c r="R1420" s="16" t="n">
        <v>1321.240701376639</v>
      </c>
      <c r="S1420" s="16" t="n">
        <v>0.6708274732764112</v>
      </c>
      <c r="T1420" s="16" t="n">
        <v>0.7904748285167316</v>
      </c>
      <c r="U1420" s="16" t="n">
        <v>0.8156980005006859</v>
      </c>
      <c r="V1420" s="16" t="n">
        <v>0.6859928388768844</v>
      </c>
      <c r="W1420" s="16" t="n">
        <v>0.7411801121520336</v>
      </c>
      <c r="X1420" s="16" t="n">
        <v>0.8069236737339759</v>
      </c>
      <c r="Y1420" s="16" t="n">
        <v>289.0076867143288</v>
      </c>
      <c r="Z1420" s="16" t="n">
        <v>8.804116889989929</v>
      </c>
      <c r="AA1420" s="16" t="n">
        <v>93.19783004254415</v>
      </c>
      <c r="AB1420" s="16" t="n">
        <v>2848.293316098542</v>
      </c>
      <c r="AC1420" s="16" t="n">
        <v>3.155771702408821</v>
      </c>
      <c r="AD1420" s="16" t="inlineStr">
        <is>
          <t>O2</t>
        </is>
      </c>
      <c r="AE1420" s="16" t="n"/>
    </row>
    <row r="1421">
      <c r="A1421" s="16" t="inlineStr">
        <is>
          <t>KF-M04b-0049</t>
        </is>
      </c>
      <c r="B1421" s="16" t="inlineStr">
        <is>
          <t>3.2</t>
        </is>
      </c>
      <c r="C1421" s="16" t="inlineStr">
        <is>
          <t>3.2</t>
        </is>
      </c>
      <c r="D1421" s="16" t="inlineStr">
        <is>
          <t>muestra de 200 puntos</t>
        </is>
      </c>
      <c r="E1421" s="16" t="inlineStr">
        <is>
          <t>KF-M04b</t>
        </is>
      </c>
      <c r="F1421" s="16" t="inlineStr">
        <is>
          <t>KF-M04b</t>
        </is>
      </c>
      <c r="G1421" s="16" t="inlineStr">
        <is>
          <t>B07</t>
        </is>
      </c>
      <c r="H1421" s="16" t="inlineStr">
        <is>
          <t>lhs</t>
        </is>
      </c>
      <c r="I1421" s="16" t="inlineStr">
        <is>
          <t>CORREGIBLE</t>
        </is>
      </c>
      <c r="J1421" s="16" t="inlineStr">
        <is>
          <t>CORREGIBLE</t>
        </is>
      </c>
      <c r="K1421" s="16" t="b">
        <v>1</v>
      </c>
      <c r="L1421" s="16" t="b">
        <v>0</v>
      </c>
      <c r="M1421" s="16" t="b">
        <v>0</v>
      </c>
      <c r="N1421" s="16" t="b">
        <v>0</v>
      </c>
      <c r="O1421" s="16" t="n">
        <v>420.279430741515</v>
      </c>
      <c r="P1421" s="16" t="n">
        <v>290.0958827150911</v>
      </c>
      <c r="Q1421" s="16" t="n">
        <v>2530.991649286069</v>
      </c>
      <c r="R1421" s="16" t="n">
        <v>997.2631383917504</v>
      </c>
      <c r="S1421" s="16" t="n">
        <v>0.8191200730041919</v>
      </c>
      <c r="T1421" s="16" t="n">
        <v>0.8446366487144541</v>
      </c>
      <c r="U1421" s="16" t="n">
        <v>0.6794180017876345</v>
      </c>
      <c r="V1421" s="16" t="n">
        <v>0.6832736777903037</v>
      </c>
      <c r="W1421" s="16" t="n">
        <v>0.9086109058754256</v>
      </c>
      <c r="X1421" s="16" t="n">
        <v>0.8406614482098089</v>
      </c>
      <c r="Y1421" s="16" t="n">
        <v>290.0958827150911</v>
      </c>
      <c r="Z1421" s="16" t="n">
        <v>8.39097148787932</v>
      </c>
      <c r="AA1421" s="16" t="n">
        <v>82.24644620576079</v>
      </c>
      <c r="AB1421" s="16" t="n">
        <v>1533.728510894318</v>
      </c>
      <c r="AC1421" s="16" t="n">
        <v>2.537937633358941</v>
      </c>
      <c r="AD1421" s="16" t="inlineStr">
        <is>
          <t>O2</t>
        </is>
      </c>
      <c r="AE1421" s="16" t="n"/>
    </row>
    <row r="1422">
      <c r="A1422" s="16" t="inlineStr">
        <is>
          <t>KF-M04b-0050</t>
        </is>
      </c>
      <c r="B1422" s="16" t="inlineStr">
        <is>
          <t>3.2</t>
        </is>
      </c>
      <c r="C1422" s="16" t="inlineStr">
        <is>
          <t>3.2</t>
        </is>
      </c>
      <c r="D1422" s="16" t="inlineStr">
        <is>
          <t>muestra de 200 puntos</t>
        </is>
      </c>
      <c r="E1422" s="16" t="inlineStr">
        <is>
          <t>KF-M04b</t>
        </is>
      </c>
      <c r="F1422" s="16" t="inlineStr">
        <is>
          <t>KF-M04b</t>
        </is>
      </c>
      <c r="G1422" s="16" t="inlineStr">
        <is>
          <t>B07</t>
        </is>
      </c>
      <c r="H1422" s="16" t="inlineStr">
        <is>
          <t>lhs</t>
        </is>
      </c>
      <c r="I1422" s="16" t="inlineStr">
        <is>
          <t>CORREGIBLE</t>
        </is>
      </c>
      <c r="J1422" s="16" t="inlineStr">
        <is>
          <t>CORREGIBLE</t>
        </is>
      </c>
      <c r="K1422" s="16" t="b">
        <v>1</v>
      </c>
      <c r="L1422" s="16" t="b">
        <v>0</v>
      </c>
      <c r="M1422" s="16" t="b">
        <v>1</v>
      </c>
      <c r="N1422" s="16" t="b">
        <v>0</v>
      </c>
      <c r="O1422" s="16" t="n">
        <v>446.1045699512924</v>
      </c>
      <c r="P1422" s="16" t="n">
        <v>297.6744540057454</v>
      </c>
      <c r="Q1422" s="16" t="n">
        <v>4454.785612683757</v>
      </c>
      <c r="R1422" s="16" t="n">
        <v>632.7488849345355</v>
      </c>
      <c r="S1422" s="16" t="n">
        <v>0.6331231697442203</v>
      </c>
      <c r="T1422" s="16" t="n">
        <v>0.9151539507909749</v>
      </c>
      <c r="U1422" s="16" t="n">
        <v>0.8697904883669677</v>
      </c>
      <c r="V1422" s="16" t="n">
        <v>0.875803310744403</v>
      </c>
      <c r="W1422" s="16" t="n">
        <v>0.7478757902955913</v>
      </c>
      <c r="X1422" s="16" t="n">
        <v>0.811100892498573</v>
      </c>
      <c r="Y1422" s="16" t="n">
        <v>297.6744540057454</v>
      </c>
      <c r="Z1422" s="16" t="n">
        <v>15.64689907097536</v>
      </c>
      <c r="AA1422" s="16" t="n">
        <v>143.0860196528834</v>
      </c>
      <c r="AB1422" s="16" t="n">
        <v>3822.036727749221</v>
      </c>
      <c r="AC1422" s="16" t="n">
        <v>7.040368965872854</v>
      </c>
      <c r="AD1422" s="16" t="inlineStr">
        <is>
          <t>O1,O2</t>
        </is>
      </c>
      <c r="AE1422" s="16" t="n"/>
    </row>
    <row r="1423">
      <c r="A1423" s="16" t="inlineStr">
        <is>
          <t>KF-M04b-0051</t>
        </is>
      </c>
      <c r="B1423" s="16" t="inlineStr">
        <is>
          <t>3.2</t>
        </is>
      </c>
      <c r="C1423" s="16" t="inlineStr">
        <is>
          <t>3.2</t>
        </is>
      </c>
      <c r="D1423" s="16" t="inlineStr">
        <is>
          <t>muestra de 200 puntos</t>
        </is>
      </c>
      <c r="E1423" s="16" t="inlineStr">
        <is>
          <t>KF-M04b</t>
        </is>
      </c>
      <c r="F1423" s="16" t="inlineStr">
        <is>
          <t>KF-M04b</t>
        </is>
      </c>
      <c r="G1423" s="16" t="inlineStr">
        <is>
          <t>B07</t>
        </is>
      </c>
      <c r="H1423" s="16" t="inlineStr">
        <is>
          <t>lhs</t>
        </is>
      </c>
      <c r="I1423" s="16" t="inlineStr">
        <is>
          <t>CORREGIBLE</t>
        </is>
      </c>
      <c r="J1423" s="16" t="inlineStr">
        <is>
          <t>CORREGIBLE</t>
        </is>
      </c>
      <c r="K1423" s="16" t="b">
        <v>1</v>
      </c>
      <c r="L1423" s="16" t="b">
        <v>0</v>
      </c>
      <c r="M1423" s="16" t="b">
        <v>1</v>
      </c>
      <c r="N1423" s="16" t="b">
        <v>0</v>
      </c>
      <c r="O1423" s="16" t="n">
        <v>490.6987495687471</v>
      </c>
      <c r="P1423" s="16" t="n">
        <v>292.5807976246953</v>
      </c>
      <c r="Q1423" s="16" t="n">
        <v>4752.592547607569</v>
      </c>
      <c r="R1423" s="16" t="n">
        <v>658.5451309328361</v>
      </c>
      <c r="S1423" s="16" t="n">
        <v>0.5764266999155847</v>
      </c>
      <c r="T1423" s="16" t="n">
        <v>0.8494414152880883</v>
      </c>
      <c r="U1423" s="16" t="n">
        <v>0.692904711327933</v>
      </c>
      <c r="V1423" s="16" t="n">
        <v>0.7533716371488766</v>
      </c>
      <c r="W1423" s="16" t="n">
        <v>0.6818394117847981</v>
      </c>
      <c r="X1423" s="16" t="n">
        <v>0.9476275389856516</v>
      </c>
      <c r="Y1423" s="16" t="n">
        <v>292.5807976246953</v>
      </c>
      <c r="Z1423" s="16" t="n">
        <v>13.21790916408871</v>
      </c>
      <c r="AA1423" s="16" t="n">
        <v>204.2598065755584</v>
      </c>
      <c r="AB1423" s="16" t="n">
        <v>4094.047416674733</v>
      </c>
      <c r="AC1423" s="16" t="n">
        <v>7.216806144896208</v>
      </c>
      <c r="AD1423" s="16" t="inlineStr">
        <is>
          <t>O1</t>
        </is>
      </c>
      <c r="AE1423" s="16" t="n"/>
    </row>
    <row r="1424">
      <c r="A1424" s="16" t="inlineStr">
        <is>
          <t>KF-M04b-0052</t>
        </is>
      </c>
      <c r="B1424" s="16" t="inlineStr">
        <is>
          <t>3.2</t>
        </is>
      </c>
      <c r="C1424" s="16" t="inlineStr">
        <is>
          <t>3.2</t>
        </is>
      </c>
      <c r="D1424" s="16" t="inlineStr">
        <is>
          <t>muestra de 200 puntos</t>
        </is>
      </c>
      <c r="E1424" s="16" t="inlineStr">
        <is>
          <t>KF-M04b</t>
        </is>
      </c>
      <c r="F1424" s="16" t="inlineStr">
        <is>
          <t>KF-M04b</t>
        </is>
      </c>
      <c r="G1424" s="16" t="inlineStr">
        <is>
          <t>B07</t>
        </is>
      </c>
      <c r="H1424" s="16" t="inlineStr">
        <is>
          <t>lhs</t>
        </is>
      </c>
      <c r="I1424" s="16" t="inlineStr">
        <is>
          <t>CORREGIBLE</t>
        </is>
      </c>
      <c r="J1424" s="16" t="inlineStr">
        <is>
          <t>CORREGIBLE</t>
        </is>
      </c>
      <c r="K1424" s="16" t="b">
        <v>1</v>
      </c>
      <c r="L1424" s="16" t="b">
        <v>0</v>
      </c>
      <c r="M1424" s="16" t="b">
        <v>0</v>
      </c>
      <c r="N1424" s="16" t="b">
        <v>0</v>
      </c>
      <c r="O1424" s="16" t="n">
        <v>404.7273922731768</v>
      </c>
      <c r="P1424" s="16" t="n">
        <v>296.9617402887465</v>
      </c>
      <c r="Q1424" s="16" t="n">
        <v>2222.422620686175</v>
      </c>
      <c r="R1424" s="16" t="n">
        <v>668.8289175332309</v>
      </c>
      <c r="S1424" s="16" t="n">
        <v>0.7955819383227558</v>
      </c>
      <c r="T1424" s="16" t="n">
        <v>0.8925279192862742</v>
      </c>
      <c r="U1424" s="16" t="n">
        <v>0.8898087772308901</v>
      </c>
      <c r="V1424" s="16" t="n">
        <v>0.6988249349328293</v>
      </c>
      <c r="W1424" s="16" t="n">
        <v>0.7691370838361337</v>
      </c>
      <c r="X1424" s="16" t="n">
        <v>0.904556804921836</v>
      </c>
      <c r="Y1424" s="16" t="n">
        <v>296.9617402887465</v>
      </c>
      <c r="Z1424" s="16" t="n">
        <v>9.45392873126592</v>
      </c>
      <c r="AA1424" s="16" t="n">
        <v>62.8329771291739</v>
      </c>
      <c r="AB1424" s="16" t="n">
        <v>1553.593703152944</v>
      </c>
      <c r="AC1424" s="16" t="n">
        <v>3.322856656501778</v>
      </c>
      <c r="AD1424" s="16" t="inlineStr">
        <is>
          <t>O2</t>
        </is>
      </c>
      <c r="AE1424" s="16" t="n"/>
    </row>
    <row r="1425">
      <c r="A1425" s="16" t="inlineStr">
        <is>
          <t>KF-M04b-0053</t>
        </is>
      </c>
      <c r="B1425" s="16" t="inlineStr">
        <is>
          <t>3.2</t>
        </is>
      </c>
      <c r="C1425" s="16" t="inlineStr">
        <is>
          <t>3.2</t>
        </is>
      </c>
      <c r="D1425" s="16" t="inlineStr">
        <is>
          <t>muestra de 200 puntos</t>
        </is>
      </c>
      <c r="E1425" s="16" t="inlineStr">
        <is>
          <t>KF-M04b</t>
        </is>
      </c>
      <c r="F1425" s="16" t="inlineStr">
        <is>
          <t>KF-M04b</t>
        </is>
      </c>
      <c r="G1425" s="16" t="inlineStr">
        <is>
          <t>B07</t>
        </is>
      </c>
      <c r="H1425" s="16" t="inlineStr">
        <is>
          <t>lhs</t>
        </is>
      </c>
      <c r="I1425" s="16" t="inlineStr">
        <is>
          <t>KALINA</t>
        </is>
      </c>
      <c r="J1425" s="16" t="inlineStr">
        <is>
          <t>KALINA</t>
        </is>
      </c>
      <c r="K1425" s="16" t="b">
        <v>1</v>
      </c>
      <c r="L1425" s="16" t="b">
        <v>1</v>
      </c>
      <c r="M1425" s="16" t="b">
        <v>0</v>
      </c>
      <c r="N1425" s="16" t="b">
        <v>0</v>
      </c>
      <c r="O1425" s="16" t="n">
        <v>409.7266571111253</v>
      </c>
      <c r="P1425" s="16" t="n">
        <v>278.9689009730492</v>
      </c>
      <c r="Q1425" s="16" t="n">
        <v>3382.467325858066</v>
      </c>
      <c r="R1425" s="16" t="n">
        <v>1326.805600201829</v>
      </c>
      <c r="S1425" s="16" t="n">
        <v>0.7086605057008939</v>
      </c>
      <c r="T1425" s="16" t="n">
        <v>0.8274215004354002</v>
      </c>
      <c r="U1425" s="16" t="n">
        <v>0.8807054029994236</v>
      </c>
      <c r="V1425" s="16" t="n">
        <v>0.896770558062034</v>
      </c>
      <c r="W1425" s="16" t="n">
        <v>0.8486403045222281</v>
      </c>
      <c r="X1425" s="16" t="n">
        <v>0.9427863333640044</v>
      </c>
      <c r="Y1425" s="16" t="n">
        <v>278.9689009730492</v>
      </c>
      <c r="Z1425" s="16" t="n">
        <v>7.060528507100241</v>
      </c>
      <c r="AA1425" s="16" t="n">
        <v>61.49527721352588</v>
      </c>
      <c r="AB1425" s="16" t="n">
        <v>2055.661725656237</v>
      </c>
      <c r="AC1425" s="16" t="n">
        <v>2.549331511220285</v>
      </c>
      <c r="AD1425" s="16" t="n"/>
      <c r="AE1425" s="16" t="n"/>
    </row>
    <row r="1426">
      <c r="A1426" s="16" t="inlineStr">
        <is>
          <t>KF-M04b-0054</t>
        </is>
      </c>
      <c r="B1426" s="16" t="inlineStr">
        <is>
          <t>3.2</t>
        </is>
      </c>
      <c r="C1426" s="16" t="inlineStr">
        <is>
          <t>3.2</t>
        </is>
      </c>
      <c r="D1426" s="16" t="inlineStr">
        <is>
          <t>muestra de 200 puntos</t>
        </is>
      </c>
      <c r="E1426" s="16" t="inlineStr">
        <is>
          <t>KF-M04b</t>
        </is>
      </c>
      <c r="F1426" s="16" t="inlineStr">
        <is>
          <t>KF-M04b</t>
        </is>
      </c>
      <c r="G1426" s="16" t="inlineStr">
        <is>
          <t>B07</t>
        </is>
      </c>
      <c r="H1426" s="16" t="inlineStr">
        <is>
          <t>lhs</t>
        </is>
      </c>
      <c r="I1426" s="16" t="inlineStr">
        <is>
          <t>N2</t>
        </is>
      </c>
      <c r="J1426" s="16" t="inlineStr">
        <is>
          <t>NO_CONVERGIO</t>
        </is>
      </c>
      <c r="K1426" s="16" t="b">
        <v>0</v>
      </c>
      <c r="L1426" s="16" t="b">
        <v>0</v>
      </c>
      <c r="M1426" s="16" t="b">
        <v>0</v>
      </c>
      <c r="N1426" s="16" t="b">
        <v>0</v>
      </c>
      <c r="O1426" s="16" t="n">
        <v>391.0780526704776</v>
      </c>
      <c r="P1426" s="16" t="n">
        <v>285.0266507105866</v>
      </c>
      <c r="Q1426" s="16" t="n">
        <v>4432.829032580335</v>
      </c>
      <c r="R1426" s="16" t="n">
        <v>806.0939022826688</v>
      </c>
      <c r="S1426" s="16" t="n">
        <v>0.5815168610584344</v>
      </c>
      <c r="T1426" s="16" t="n">
        <v>0.9158821547608264</v>
      </c>
      <c r="U1426" s="16" t="n">
        <v>0.7643313453440824</v>
      </c>
      <c r="V1426" s="16" t="n">
        <v>0.7354367659370373</v>
      </c>
      <c r="W1426" s="16" t="n">
        <v>0.705363137821904</v>
      </c>
      <c r="X1426" s="16" t="n">
        <v>0.7865865188946539</v>
      </c>
      <c r="Y1426" s="16" t="n">
        <v>285.0266507105866</v>
      </c>
      <c r="Z1426" s="16" t="n">
        <v>-51.13417979153251</v>
      </c>
      <c r="AA1426" s="16" t="n">
        <v>-41.81898737491029</v>
      </c>
      <c r="AB1426" s="16" t="n">
        <v>3626.735130297666</v>
      </c>
      <c r="AC1426" s="16" t="n">
        <v>5.499147208566648</v>
      </c>
      <c r="AD1426" s="16" t="inlineStr">
        <is>
          <t>N2,S6,O3,O5,C1,C3,C3</t>
        </is>
      </c>
      <c r="AE1426" s="16" t="n"/>
    </row>
    <row r="1427">
      <c r="A1427" s="16" t="inlineStr">
        <is>
          <t>KF-M04b-0055</t>
        </is>
      </c>
      <c r="B1427" s="16" t="inlineStr">
        <is>
          <t>3.2</t>
        </is>
      </c>
      <c r="C1427" s="16" t="inlineStr">
        <is>
          <t>3.2</t>
        </is>
      </c>
      <c r="D1427" s="16" t="inlineStr">
        <is>
          <t>muestra de 200 puntos</t>
        </is>
      </c>
      <c r="E1427" s="16" t="inlineStr">
        <is>
          <t>KF-M04b</t>
        </is>
      </c>
      <c r="F1427" s="16" t="inlineStr">
        <is>
          <t>KF-M04b</t>
        </is>
      </c>
      <c r="G1427" s="16" t="inlineStr">
        <is>
          <t>B07</t>
        </is>
      </c>
      <c r="H1427" s="16" t="inlineStr">
        <is>
          <t>lhs</t>
        </is>
      </c>
      <c r="I1427" s="16" t="inlineStr">
        <is>
          <t>CORREGIBLE</t>
        </is>
      </c>
      <c r="J1427" s="16" t="inlineStr">
        <is>
          <t>CORREGIBLE</t>
        </is>
      </c>
      <c r="K1427" s="16" t="b">
        <v>1</v>
      </c>
      <c r="L1427" s="16" t="b">
        <v>0</v>
      </c>
      <c r="M1427" s="16" t="b">
        <v>1</v>
      </c>
      <c r="N1427" s="16" t="b">
        <v>0</v>
      </c>
      <c r="O1427" s="16" t="n">
        <v>442.5632797012128</v>
      </c>
      <c r="P1427" s="16" t="n">
        <v>282.7525694080898</v>
      </c>
      <c r="Q1427" s="16" t="n">
        <v>4384.931757886976</v>
      </c>
      <c r="R1427" s="16" t="n">
        <v>1058.255347470374</v>
      </c>
      <c r="S1427" s="16" t="n">
        <v>0.6906763644807341</v>
      </c>
      <c r="T1427" s="16" t="n">
        <v>0.8644155524757772</v>
      </c>
      <c r="U1427" s="16" t="n">
        <v>0.7774220793867821</v>
      </c>
      <c r="V1427" s="16" t="n">
        <v>0.7296840854304997</v>
      </c>
      <c r="W1427" s="16" t="n">
        <v>0.8376987699616018</v>
      </c>
      <c r="X1427" s="16" t="n">
        <v>0.70895132615984</v>
      </c>
      <c r="Y1427" s="16" t="n">
        <v>282.7525694080898</v>
      </c>
      <c r="Z1427" s="16" t="n">
        <v>11.94821565165509</v>
      </c>
      <c r="AA1427" s="16" t="n">
        <v>94.7560480374439</v>
      </c>
      <c r="AB1427" s="16" t="n">
        <v>3326.676410416602</v>
      </c>
      <c r="AC1427" s="16" t="n">
        <v>4.143547933273951</v>
      </c>
      <c r="AD1427" s="16" t="inlineStr">
        <is>
          <t>O2</t>
        </is>
      </c>
      <c r="AE1427" s="16" t="n"/>
    </row>
    <row r="1428">
      <c r="A1428" s="16" t="inlineStr">
        <is>
          <t>KF-M04b-0056</t>
        </is>
      </c>
      <c r="B1428" s="16" t="inlineStr">
        <is>
          <t>3.2</t>
        </is>
      </c>
      <c r="C1428" s="16" t="inlineStr">
        <is>
          <t>3.2</t>
        </is>
      </c>
      <c r="D1428" s="16" t="inlineStr">
        <is>
          <t>muestra de 200 puntos</t>
        </is>
      </c>
      <c r="E1428" s="16" t="inlineStr">
        <is>
          <t>KF-M04b</t>
        </is>
      </c>
      <c r="F1428" s="16" t="inlineStr">
        <is>
          <t>KF-M04b</t>
        </is>
      </c>
      <c r="G1428" s="16" t="inlineStr">
        <is>
          <t>B07</t>
        </is>
      </c>
      <c r="H1428" s="16" t="inlineStr">
        <is>
          <t>lhs</t>
        </is>
      </c>
      <c r="I1428" s="16" t="inlineStr">
        <is>
          <t>KALINA</t>
        </is>
      </c>
      <c r="J1428" s="16" t="inlineStr">
        <is>
          <t>KALINA</t>
        </is>
      </c>
      <c r="K1428" s="16" t="b">
        <v>1</v>
      </c>
      <c r="L1428" s="16" t="b">
        <v>0</v>
      </c>
      <c r="M1428" s="16" t="b">
        <v>1</v>
      </c>
      <c r="N1428" s="16" t="b">
        <v>0</v>
      </c>
      <c r="O1428" s="16" t="n">
        <v>433.5741970949274</v>
      </c>
      <c r="P1428" s="16" t="n">
        <v>296.680103388525</v>
      </c>
      <c r="Q1428" s="16" t="n">
        <v>2949.653534082217</v>
      </c>
      <c r="R1428" s="16" t="n">
        <v>983.2175221601036</v>
      </c>
      <c r="S1428" s="16" t="n">
        <v>0.5074355572780465</v>
      </c>
      <c r="T1428" s="16" t="n">
        <v>0.7757666281933139</v>
      </c>
      <c r="U1428" s="16" t="n">
        <v>0.8072211143954371</v>
      </c>
      <c r="V1428" s="16" t="n">
        <v>0.9473264267493642</v>
      </c>
      <c r="W1428" s="16" t="n">
        <v>0.7381993108212803</v>
      </c>
      <c r="X1428" s="16" t="n">
        <v>0.9492133935902464</v>
      </c>
      <c r="Y1428" s="16" t="n">
        <v>296.680103388525</v>
      </c>
      <c r="Z1428" s="16" t="n">
        <v>6.63322679960051</v>
      </c>
      <c r="AA1428" s="16" t="n">
        <v>57.44824733360384</v>
      </c>
      <c r="AB1428" s="16" t="n">
        <v>1966.436011922113</v>
      </c>
      <c r="AC1428" s="16" t="n">
        <v>3.000000984117841</v>
      </c>
      <c r="AD1428" s="16" t="n"/>
      <c r="AE1428" s="16" t="n"/>
    </row>
    <row r="1429">
      <c r="A1429" s="16" t="inlineStr">
        <is>
          <t>KF-M04b-0057</t>
        </is>
      </c>
      <c r="B1429" s="16" t="inlineStr">
        <is>
          <t>3.2</t>
        </is>
      </c>
      <c r="C1429" s="16" t="inlineStr">
        <is>
          <t>3.2</t>
        </is>
      </c>
      <c r="D1429" s="16" t="inlineStr">
        <is>
          <t>muestra de 200 puntos</t>
        </is>
      </c>
      <c r="E1429" s="16" t="inlineStr">
        <is>
          <t>KF-M04b</t>
        </is>
      </c>
      <c r="F1429" s="16" t="inlineStr">
        <is>
          <t>KF-M04b</t>
        </is>
      </c>
      <c r="G1429" s="16" t="inlineStr">
        <is>
          <t>B07</t>
        </is>
      </c>
      <c r="H1429" s="16" t="inlineStr">
        <is>
          <t>lhs</t>
        </is>
      </c>
      <c r="I1429" s="16" t="inlineStr">
        <is>
          <t>CORREGIBLE</t>
        </is>
      </c>
      <c r="J1429" s="16" t="inlineStr">
        <is>
          <t>CORREGIBLE</t>
        </is>
      </c>
      <c r="K1429" s="16" t="b">
        <v>1</v>
      </c>
      <c r="L1429" s="16" t="b">
        <v>0</v>
      </c>
      <c r="M1429" s="16" t="b">
        <v>1</v>
      </c>
      <c r="N1429" s="16" t="b">
        <v>0</v>
      </c>
      <c r="O1429" s="16" t="n">
        <v>444.0536350828378</v>
      </c>
      <c r="P1429" s="16" t="n">
        <v>284.4353979171211</v>
      </c>
      <c r="Q1429" s="16" t="n">
        <v>2329.373721689228</v>
      </c>
      <c r="R1429" s="16" t="n">
        <v>1188.461165331636</v>
      </c>
      <c r="S1429" s="16" t="n">
        <v>0.6816179067248265</v>
      </c>
      <c r="T1429" s="16" t="n">
        <v>0.9182576748440274</v>
      </c>
      <c r="U1429" s="16" t="n">
        <v>0.720100185880642</v>
      </c>
      <c r="V1429" s="16" t="n">
        <v>0.7943793597492464</v>
      </c>
      <c r="W1429" s="16" t="n">
        <v>0.7916545950817109</v>
      </c>
      <c r="X1429" s="16" t="n">
        <v>0.7788814865721796</v>
      </c>
      <c r="Y1429" s="16" t="n">
        <v>284.4353979171211</v>
      </c>
      <c r="Z1429" s="16" t="n">
        <v>5.78374923937223</v>
      </c>
      <c r="AA1429" s="16" t="n">
        <v>77.84549839988362</v>
      </c>
      <c r="AB1429" s="16" t="n">
        <v>1140.912556357592</v>
      </c>
      <c r="AC1429" s="16" t="n">
        <v>1.959991449143585</v>
      </c>
      <c r="AD1429" s="16" t="inlineStr">
        <is>
          <t>O2</t>
        </is>
      </c>
      <c r="AE1429" s="16" t="n"/>
    </row>
    <row r="1430">
      <c r="A1430" s="16" t="inlineStr">
        <is>
          <t>KF-M04b-0058</t>
        </is>
      </c>
      <c r="B1430" s="16" t="inlineStr">
        <is>
          <t>3.2</t>
        </is>
      </c>
      <c r="C1430" s="16" t="inlineStr">
        <is>
          <t>3.2</t>
        </is>
      </c>
      <c r="D1430" s="16" t="inlineStr">
        <is>
          <t>muestra de 200 puntos</t>
        </is>
      </c>
      <c r="E1430" s="16" t="inlineStr">
        <is>
          <t>KF-M04b</t>
        </is>
      </c>
      <c r="F1430" s="16" t="inlineStr">
        <is>
          <t>KF-M04b</t>
        </is>
      </c>
      <c r="G1430" s="16" t="inlineStr">
        <is>
          <t>B07</t>
        </is>
      </c>
      <c r="H1430" s="16" t="inlineStr">
        <is>
          <t>lhs</t>
        </is>
      </c>
      <c r="I1430" s="16" t="inlineStr">
        <is>
          <t>N2</t>
        </is>
      </c>
      <c r="J1430" s="16" t="inlineStr">
        <is>
          <t>NO_CONVERGIO</t>
        </is>
      </c>
      <c r="K1430" s="16" t="b">
        <v>0</v>
      </c>
      <c r="L1430" s="16" t="b">
        <v>0</v>
      </c>
      <c r="M1430" s="16" t="b">
        <v>0</v>
      </c>
      <c r="N1430" s="16" t="b">
        <v>0</v>
      </c>
      <c r="O1430" s="16" t="n">
        <v>396.4977375909168</v>
      </c>
      <c r="P1430" s="16" t="n">
        <v>297.0930254334266</v>
      </c>
      <c r="Q1430" s="16" t="n">
        <v>4393.100585597984</v>
      </c>
      <c r="R1430" s="16" t="n">
        <v>1370.024784885569</v>
      </c>
      <c r="S1430" s="16" t="n">
        <v>0.513825251116901</v>
      </c>
      <c r="T1430" s="16" t="n">
        <v>0.7615050038611483</v>
      </c>
      <c r="U1430" s="16" t="n">
        <v>0.706227671389177</v>
      </c>
      <c r="V1430" s="16" t="n">
        <v>0.6788124961769517</v>
      </c>
      <c r="W1430" s="16" t="n">
        <v>0.8265845645303869</v>
      </c>
      <c r="X1430" s="16" t="n">
        <v>0.8656451409616703</v>
      </c>
      <c r="Y1430" s="16" t="n">
        <v>297.0930254334266</v>
      </c>
      <c r="Z1430" s="16" t="n">
        <v>-126.0857328904213</v>
      </c>
      <c r="AA1430" s="16" t="n">
        <v>-24.13334707602418</v>
      </c>
      <c r="AB1430" s="16" t="n">
        <v>3023.075800712414</v>
      </c>
      <c r="AC1430" s="16" t="n">
        <v>3.206584752380896</v>
      </c>
      <c r="AD1430" s="16" t="inlineStr">
        <is>
          <t>N2,S6,O3,O5,C1,C3,C3</t>
        </is>
      </c>
      <c r="AE1430" s="16" t="n"/>
    </row>
    <row r="1431">
      <c r="A1431" s="16" t="inlineStr">
        <is>
          <t>KF-M04b-0059</t>
        </is>
      </c>
      <c r="B1431" s="16" t="inlineStr">
        <is>
          <t>3.2</t>
        </is>
      </c>
      <c r="C1431" s="16" t="inlineStr">
        <is>
          <t>3.2</t>
        </is>
      </c>
      <c r="D1431" s="16" t="inlineStr">
        <is>
          <t>muestra de 200 puntos</t>
        </is>
      </c>
      <c r="E1431" s="16" t="inlineStr">
        <is>
          <t>KF-M04b</t>
        </is>
      </c>
      <c r="F1431" s="16" t="inlineStr">
        <is>
          <t>KF-M04b</t>
        </is>
      </c>
      <c r="G1431" s="16" t="inlineStr">
        <is>
          <t>B07</t>
        </is>
      </c>
      <c r="H1431" s="16" t="inlineStr">
        <is>
          <t>lhs</t>
        </is>
      </c>
      <c r="I1431" s="16" t="inlineStr">
        <is>
          <t>CORREGIBLE</t>
        </is>
      </c>
      <c r="J1431" s="16" t="inlineStr">
        <is>
          <t>CORREGIBLE</t>
        </is>
      </c>
      <c r="K1431" s="16" t="b">
        <v>1</v>
      </c>
      <c r="L1431" s="16" t="b">
        <v>0</v>
      </c>
      <c r="M1431" s="16" t="b">
        <v>0</v>
      </c>
      <c r="N1431" s="16" t="b">
        <v>0</v>
      </c>
      <c r="O1431" s="16" t="n">
        <v>411.638660860796</v>
      </c>
      <c r="P1431" s="16" t="n">
        <v>288.4899114207342</v>
      </c>
      <c r="Q1431" s="16" t="n">
        <v>3738.696339857722</v>
      </c>
      <c r="R1431" s="16" t="n">
        <v>536.1595911726158</v>
      </c>
      <c r="S1431" s="16" t="n">
        <v>0.7082039610006579</v>
      </c>
      <c r="T1431" s="16" t="n">
        <v>0.7798434919830537</v>
      </c>
      <c r="U1431" s="16" t="n">
        <v>0.8759665986138229</v>
      </c>
      <c r="V1431" s="16" t="n">
        <v>0.7861884741028308</v>
      </c>
      <c r="W1431" s="16" t="n">
        <v>0.9146440184834046</v>
      </c>
      <c r="X1431" s="16" t="n">
        <v>0.7463004956344839</v>
      </c>
      <c r="Y1431" s="16" t="n">
        <v>288.4899114207342</v>
      </c>
      <c r="Z1431" s="16" t="n">
        <v>13.41986934640805</v>
      </c>
      <c r="AA1431" s="16" t="n">
        <v>84.74457923403703</v>
      </c>
      <c r="AB1431" s="16" t="n">
        <v>3202.536748685106</v>
      </c>
      <c r="AC1431" s="16" t="n">
        <v>6.973103533746269</v>
      </c>
      <c r="AD1431" s="16" t="inlineStr">
        <is>
          <t>O2</t>
        </is>
      </c>
      <c r="AE1431" s="16" t="n"/>
    </row>
    <row r="1432">
      <c r="A1432" s="16" t="inlineStr">
        <is>
          <t>KF-M04b-0060</t>
        </is>
      </c>
      <c r="B1432" s="16" t="inlineStr">
        <is>
          <t>3.2</t>
        </is>
      </c>
      <c r="C1432" s="16" t="inlineStr">
        <is>
          <t>3.2</t>
        </is>
      </c>
      <c r="D1432" s="16" t="inlineStr">
        <is>
          <t>muestra de 200 puntos</t>
        </is>
      </c>
      <c r="E1432" s="16" t="inlineStr">
        <is>
          <t>KF-M04b</t>
        </is>
      </c>
      <c r="F1432" s="16" t="inlineStr">
        <is>
          <t>KF-M04b</t>
        </is>
      </c>
      <c r="G1432" s="16" t="inlineStr">
        <is>
          <t>B07</t>
        </is>
      </c>
      <c r="H1432" s="16" t="inlineStr">
        <is>
          <t>lhs</t>
        </is>
      </c>
      <c r="I1432" s="16" t="inlineStr">
        <is>
          <t>CORREGIBLE</t>
        </is>
      </c>
      <c r="J1432" s="16" t="inlineStr">
        <is>
          <t>CORREGIBLE</t>
        </is>
      </c>
      <c r="K1432" s="16" t="b">
        <v>1</v>
      </c>
      <c r="L1432" s="16" t="b">
        <v>0</v>
      </c>
      <c r="M1432" s="16" t="b">
        <v>1</v>
      </c>
      <c r="N1432" s="16" t="b">
        <v>0</v>
      </c>
      <c r="O1432" s="16" t="n">
        <v>435.0392469146804</v>
      </c>
      <c r="P1432" s="16" t="n">
        <v>295.2595204680782</v>
      </c>
      <c r="Q1432" s="16" t="n">
        <v>3176.083328275172</v>
      </c>
      <c r="R1432" s="16" t="n">
        <v>540.40281323404</v>
      </c>
      <c r="S1432" s="16" t="n">
        <v>0.7143210849211353</v>
      </c>
      <c r="T1432" s="16" t="n">
        <v>0.8732820041051412</v>
      </c>
      <c r="U1432" s="16" t="n">
        <v>0.6904836815287526</v>
      </c>
      <c r="V1432" s="16" t="n">
        <v>0.7993596030830059</v>
      </c>
      <c r="W1432" s="16" t="n">
        <v>0.8669009454200372</v>
      </c>
      <c r="X1432" s="16" t="n">
        <v>0.8914977828865033</v>
      </c>
      <c r="Y1432" s="16" t="n">
        <v>295.2595204680782</v>
      </c>
      <c r="Z1432" s="16" t="n">
        <v>12.41285465376635</v>
      </c>
      <c r="AA1432" s="16" t="n">
        <v>115.7054124119517</v>
      </c>
      <c r="AB1432" s="16" t="n">
        <v>2635.680515041132</v>
      </c>
      <c r="AC1432" s="16" t="n">
        <v>5.877251654683115</v>
      </c>
      <c r="AD1432" s="16" t="inlineStr">
        <is>
          <t>O2</t>
        </is>
      </c>
      <c r="AE1432" s="16" t="n"/>
    </row>
    <row r="1433">
      <c r="A1433" s="16" t="inlineStr">
        <is>
          <t>KF-M04b-0061</t>
        </is>
      </c>
      <c r="B1433" s="16" t="inlineStr">
        <is>
          <t>3.2</t>
        </is>
      </c>
      <c r="C1433" s="16" t="inlineStr">
        <is>
          <t>3.2</t>
        </is>
      </c>
      <c r="D1433" s="16" t="inlineStr">
        <is>
          <t>muestra de 200 puntos</t>
        </is>
      </c>
      <c r="E1433" s="16" t="inlineStr">
        <is>
          <t>KF-M04b</t>
        </is>
      </c>
      <c r="F1433" s="16" t="inlineStr">
        <is>
          <t>KF-M04b</t>
        </is>
      </c>
      <c r="G1433" s="16" t="inlineStr">
        <is>
          <t>B07</t>
        </is>
      </c>
      <c r="H1433" s="16" t="inlineStr">
        <is>
          <t>lhs</t>
        </is>
      </c>
      <c r="I1433" s="16" t="inlineStr">
        <is>
          <t>CORREGIBLE</t>
        </is>
      </c>
      <c r="J1433" s="16" t="inlineStr">
        <is>
          <t>CORREGIBLE</t>
        </is>
      </c>
      <c r="K1433" s="16" t="b">
        <v>1</v>
      </c>
      <c r="L1433" s="16" t="b">
        <v>0</v>
      </c>
      <c r="M1433" s="16" t="b">
        <v>1</v>
      </c>
      <c r="N1433" s="16" t="b">
        <v>0</v>
      </c>
      <c r="O1433" s="16" t="n">
        <v>463.4991608076982</v>
      </c>
      <c r="P1433" s="16" t="n">
        <v>295.1227799272486</v>
      </c>
      <c r="Q1433" s="16" t="n">
        <v>3654.299154011756</v>
      </c>
      <c r="R1433" s="16" t="n">
        <v>505.836818781852</v>
      </c>
      <c r="S1433" s="16" t="n">
        <v>0.5650537151925178</v>
      </c>
      <c r="T1433" s="16" t="n">
        <v>0.9143951864056632</v>
      </c>
      <c r="U1433" s="16" t="n">
        <v>0.7748712579009874</v>
      </c>
      <c r="V1433" s="16" t="n">
        <v>0.6098342565440684</v>
      </c>
      <c r="W1433" s="16" t="n">
        <v>0.8337465166645937</v>
      </c>
      <c r="X1433" s="16" t="n">
        <v>0.757840275009139</v>
      </c>
      <c r="Y1433" s="16" t="n">
        <v>295.1227799272486</v>
      </c>
      <c r="Z1433" s="16" t="n">
        <v>15.1142098560161</v>
      </c>
      <c r="AA1433" s="16" t="n">
        <v>130.3173791243358</v>
      </c>
      <c r="AB1433" s="16" t="n">
        <v>3148.462335229904</v>
      </c>
      <c r="AC1433" s="16" t="n">
        <v>7.22426485840232</v>
      </c>
      <c r="AD1433" s="16" t="inlineStr">
        <is>
          <t>O1,O2</t>
        </is>
      </c>
      <c r="AE1433" s="16" t="n"/>
    </row>
    <row r="1434">
      <c r="A1434" s="16" t="inlineStr">
        <is>
          <t>KF-M04b-0062</t>
        </is>
      </c>
      <c r="B1434" s="16" t="inlineStr">
        <is>
          <t>3.2</t>
        </is>
      </c>
      <c r="C1434" s="16" t="inlineStr">
        <is>
          <t>3.2</t>
        </is>
      </c>
      <c r="D1434" s="16" t="inlineStr">
        <is>
          <t>muestra de 200 puntos</t>
        </is>
      </c>
      <c r="E1434" s="16" t="inlineStr">
        <is>
          <t>KF-M04b</t>
        </is>
      </c>
      <c r="F1434" s="16" t="inlineStr">
        <is>
          <t>KF-M04b</t>
        </is>
      </c>
      <c r="G1434" s="16" t="inlineStr">
        <is>
          <t>B07</t>
        </is>
      </c>
      <c r="H1434" s="16" t="inlineStr">
        <is>
          <t>lhs</t>
        </is>
      </c>
      <c r="I1434" s="16" t="inlineStr">
        <is>
          <t>CORREGIBLE</t>
        </is>
      </c>
      <c r="J1434" s="16" t="inlineStr">
        <is>
          <t>CORREGIBLE</t>
        </is>
      </c>
      <c r="K1434" s="16" t="b">
        <v>1</v>
      </c>
      <c r="L1434" s="16" t="b">
        <v>0</v>
      </c>
      <c r="M1434" s="16" t="b">
        <v>0</v>
      </c>
      <c r="N1434" s="16" t="b">
        <v>0</v>
      </c>
      <c r="O1434" s="16" t="n">
        <v>417.7059741910698</v>
      </c>
      <c r="P1434" s="16" t="n">
        <v>295.7536174224045</v>
      </c>
      <c r="Q1434" s="16" t="n">
        <v>2044.241944019708</v>
      </c>
      <c r="R1434" s="16" t="n">
        <v>1038.342815175176</v>
      </c>
      <c r="S1434" s="16" t="n">
        <v>0.8061855727321838</v>
      </c>
      <c r="T1434" s="16" t="n">
        <v>0.7729893431453014</v>
      </c>
      <c r="U1434" s="16" t="n">
        <v>0.8480432265501372</v>
      </c>
      <c r="V1434" s="16" t="n">
        <v>0.7911718759764663</v>
      </c>
      <c r="W1434" s="16" t="n">
        <v>0.6390951700827255</v>
      </c>
      <c r="X1434" s="16" t="n">
        <v>0.827365073608614</v>
      </c>
      <c r="Y1434" s="16" t="n">
        <v>295.7536174224045</v>
      </c>
      <c r="Z1434" s="16" t="n">
        <v>5.288346380129401</v>
      </c>
      <c r="AA1434" s="16" t="n">
        <v>60.98005305289865</v>
      </c>
      <c r="AB1434" s="16" t="n">
        <v>1005.899128844532</v>
      </c>
      <c r="AC1434" s="16" t="n">
        <v>1.968754359488517</v>
      </c>
      <c r="AD1434" s="16" t="inlineStr">
        <is>
          <t>O2</t>
        </is>
      </c>
      <c r="AE1434" s="16" t="n"/>
    </row>
    <row r="1435">
      <c r="A1435" s="16" t="inlineStr">
        <is>
          <t>KF-M04b-0063</t>
        </is>
      </c>
      <c r="B1435" s="16" t="inlineStr">
        <is>
          <t>3.2</t>
        </is>
      </c>
      <c r="C1435" s="16" t="inlineStr">
        <is>
          <t>3.2</t>
        </is>
      </c>
      <c r="D1435" s="16" t="inlineStr">
        <is>
          <t>muestra de 200 puntos</t>
        </is>
      </c>
      <c r="E1435" s="16" t="inlineStr">
        <is>
          <t>KF-M04b</t>
        </is>
      </c>
      <c r="F1435" s="16" t="inlineStr">
        <is>
          <t>KF-M04b</t>
        </is>
      </c>
      <c r="G1435" s="16" t="inlineStr">
        <is>
          <t>B07</t>
        </is>
      </c>
      <c r="H1435" s="16" t="inlineStr">
        <is>
          <t>lhs</t>
        </is>
      </c>
      <c r="I1435" s="16" t="inlineStr">
        <is>
          <t>CORREGIBLE</t>
        </is>
      </c>
      <c r="J1435" s="16" t="inlineStr">
        <is>
          <t>CORREGIBLE</t>
        </is>
      </c>
      <c r="K1435" s="16" t="b">
        <v>1</v>
      </c>
      <c r="L1435" s="16" t="b">
        <v>0</v>
      </c>
      <c r="M1435" s="16" t="b">
        <v>1</v>
      </c>
      <c r="N1435" s="16" t="b">
        <v>0</v>
      </c>
      <c r="O1435" s="16" t="n">
        <v>451.8678624707397</v>
      </c>
      <c r="P1435" s="16" t="n">
        <v>299.4343243127605</v>
      </c>
      <c r="Q1435" s="16" t="n">
        <v>4801.64415359301</v>
      </c>
      <c r="R1435" s="16" t="n">
        <v>1130.379176031913</v>
      </c>
      <c r="S1435" s="16" t="n">
        <v>0.5665942073131072</v>
      </c>
      <c r="T1435" s="16" t="n">
        <v>0.90714135990348</v>
      </c>
      <c r="U1435" s="16" t="n">
        <v>0.7945839642209049</v>
      </c>
      <c r="V1435" s="16" t="n">
        <v>0.6236769597716748</v>
      </c>
      <c r="W1435" s="16" t="n">
        <v>0.8107110268194209</v>
      </c>
      <c r="X1435" s="16" t="n">
        <v>0.7116116231140299</v>
      </c>
      <c r="Y1435" s="16" t="n">
        <v>299.4343243127605</v>
      </c>
      <c r="Z1435" s="16" t="n">
        <v>11.27257535360799</v>
      </c>
      <c r="AA1435" s="16" t="n">
        <v>60.60916266791621</v>
      </c>
      <c r="AB1435" s="16" t="n">
        <v>3671.264977561097</v>
      </c>
      <c r="AC1435" s="16" t="n">
        <v>4.247817241687625</v>
      </c>
      <c r="AD1435" s="16" t="inlineStr">
        <is>
          <t>O2</t>
        </is>
      </c>
      <c r="AE1435" s="16" t="n"/>
    </row>
    <row r="1436">
      <c r="A1436" s="16" t="inlineStr">
        <is>
          <t>KF-M04b-0064</t>
        </is>
      </c>
      <c r="B1436" s="16" t="inlineStr">
        <is>
          <t>3.2</t>
        </is>
      </c>
      <c r="C1436" s="16" t="inlineStr">
        <is>
          <t>3.2</t>
        </is>
      </c>
      <c r="D1436" s="16" t="inlineStr">
        <is>
          <t>muestra de 200 puntos</t>
        </is>
      </c>
      <c r="E1436" s="16" t="inlineStr">
        <is>
          <t>KF-M04b</t>
        </is>
      </c>
      <c r="F1436" s="16" t="inlineStr">
        <is>
          <t>KF-M04b</t>
        </is>
      </c>
      <c r="G1436" s="16" t="inlineStr">
        <is>
          <t>B07</t>
        </is>
      </c>
      <c r="H1436" s="16" t="inlineStr">
        <is>
          <t>lhs</t>
        </is>
      </c>
      <c r="I1436" s="16" t="inlineStr">
        <is>
          <t>KALINA</t>
        </is>
      </c>
      <c r="J1436" s="16" t="inlineStr">
        <is>
          <t>KALINA</t>
        </is>
      </c>
      <c r="K1436" s="16" t="b">
        <v>1</v>
      </c>
      <c r="L1436" s="16" t="b">
        <v>0</v>
      </c>
      <c r="M1436" s="16" t="b">
        <v>1</v>
      </c>
      <c r="N1436" s="16" t="b">
        <v>0</v>
      </c>
      <c r="O1436" s="16" t="n">
        <v>486.2201144410944</v>
      </c>
      <c r="P1436" s="16" t="n">
        <v>287.2066716795949</v>
      </c>
      <c r="Q1436" s="16" t="n">
        <v>4778.036850488084</v>
      </c>
      <c r="R1436" s="16" t="n">
        <v>1451.623593396958</v>
      </c>
      <c r="S1436" s="16" t="n">
        <v>0.7278431608011311</v>
      </c>
      <c r="T1436" s="16" t="n">
        <v>0.8178887878860778</v>
      </c>
      <c r="U1436" s="16" t="n">
        <v>0.8013726160373175</v>
      </c>
      <c r="V1436" s="16" t="n">
        <v>0.7768961001267718</v>
      </c>
      <c r="W1436" s="16" t="n">
        <v>0.9417546260275482</v>
      </c>
      <c r="X1436" s="16" t="n">
        <v>0.8831902066879915</v>
      </c>
      <c r="Y1436" s="16" t="n">
        <v>287.2066716795949</v>
      </c>
      <c r="Z1436" s="16" t="n">
        <v>9.47093102648611</v>
      </c>
      <c r="AA1436" s="16" t="n">
        <v>132.8478273376854</v>
      </c>
      <c r="AB1436" s="16" t="n">
        <v>3326.413257091126</v>
      </c>
      <c r="AC1436" s="16" t="n">
        <v>3.291512257187109</v>
      </c>
      <c r="AD1436" s="16" t="n"/>
      <c r="AE1436" s="16" t="n"/>
    </row>
    <row r="1437">
      <c r="A1437" s="16" t="inlineStr">
        <is>
          <t>KF-M04b-0065</t>
        </is>
      </c>
      <c r="B1437" s="16" t="inlineStr">
        <is>
          <t>3.2</t>
        </is>
      </c>
      <c r="C1437" s="16" t="inlineStr">
        <is>
          <t>3.2</t>
        </is>
      </c>
      <c r="D1437" s="16" t="inlineStr">
        <is>
          <t>muestra de 200 puntos</t>
        </is>
      </c>
      <c r="E1437" s="16" t="inlineStr">
        <is>
          <t>KF-M04b</t>
        </is>
      </c>
      <c r="F1437" s="16" t="inlineStr">
        <is>
          <t>KF-M04b</t>
        </is>
      </c>
      <c r="G1437" s="16" t="inlineStr">
        <is>
          <t>B07</t>
        </is>
      </c>
      <c r="H1437" s="16" t="inlineStr">
        <is>
          <t>lhs</t>
        </is>
      </c>
      <c r="I1437" s="16" t="inlineStr">
        <is>
          <t>CORREGIBLE</t>
        </is>
      </c>
      <c r="J1437" s="16" t="inlineStr">
        <is>
          <t>CORREGIBLE</t>
        </is>
      </c>
      <c r="K1437" s="16" t="b">
        <v>1</v>
      </c>
      <c r="L1437" s="16" t="b">
        <v>0</v>
      </c>
      <c r="M1437" s="16" t="b">
        <v>0</v>
      </c>
      <c r="N1437" s="16" t="b">
        <v>0</v>
      </c>
      <c r="O1437" s="16" t="n">
        <v>495.7034372343154</v>
      </c>
      <c r="P1437" s="16" t="n">
        <v>292.3518189615037</v>
      </c>
      <c r="Q1437" s="16" t="n">
        <v>2632.449277327646</v>
      </c>
      <c r="R1437" s="16" t="n">
        <v>1082.752806479143</v>
      </c>
      <c r="S1437" s="16" t="n">
        <v>0.7781609960821653</v>
      </c>
      <c r="T1437" s="16" t="n">
        <v>0.8270971577737074</v>
      </c>
      <c r="U1437" s="16" t="n">
        <v>0.8288979186910634</v>
      </c>
      <c r="V1437" s="16" t="n">
        <v>0.6857178892071943</v>
      </c>
      <c r="W1437" s="16" t="n">
        <v>0.814903830635073</v>
      </c>
      <c r="X1437" s="16" t="n">
        <v>0.785983544754874</v>
      </c>
      <c r="Y1437" s="16" t="n">
        <v>292.3518189615037</v>
      </c>
      <c r="Z1437" s="16" t="n">
        <v>7.310728268728959</v>
      </c>
      <c r="AA1437" s="16" t="n">
        <v>85.34074673408007</v>
      </c>
      <c r="AB1437" s="16" t="n">
        <v>1549.696470848503</v>
      </c>
      <c r="AC1437" s="16" t="n">
        <v>2.431256018525365</v>
      </c>
      <c r="AD1437" s="16" t="inlineStr">
        <is>
          <t>O2</t>
        </is>
      </c>
      <c r="AE1437" s="16" t="n"/>
    </row>
    <row r="1438">
      <c r="A1438" s="16" t="inlineStr">
        <is>
          <t>KF-M04b-0066</t>
        </is>
      </c>
      <c r="B1438" s="16" t="inlineStr">
        <is>
          <t>3.2</t>
        </is>
      </c>
      <c r="C1438" s="16" t="inlineStr">
        <is>
          <t>3.2</t>
        </is>
      </c>
      <c r="D1438" s="16" t="inlineStr">
        <is>
          <t>muestra de 200 puntos</t>
        </is>
      </c>
      <c r="E1438" s="16" t="inlineStr">
        <is>
          <t>KF-M04b</t>
        </is>
      </c>
      <c r="F1438" s="16" t="inlineStr">
        <is>
          <t>KF-M04b</t>
        </is>
      </c>
      <c r="G1438" s="16" t="inlineStr">
        <is>
          <t>B07</t>
        </is>
      </c>
      <c r="H1438" s="16" t="inlineStr">
        <is>
          <t>lhs</t>
        </is>
      </c>
      <c r="I1438" s="16" t="inlineStr">
        <is>
          <t>KALINA</t>
        </is>
      </c>
      <c r="J1438" s="16" t="inlineStr">
        <is>
          <t>KALINA</t>
        </is>
      </c>
      <c r="K1438" s="16" t="b">
        <v>1</v>
      </c>
      <c r="L1438" s="16" t="b">
        <v>0</v>
      </c>
      <c r="M1438" s="16" t="b">
        <v>1</v>
      </c>
      <c r="N1438" s="16" t="b">
        <v>0</v>
      </c>
      <c r="O1438" s="16" t="n">
        <v>441.7419097620464</v>
      </c>
      <c r="P1438" s="16" t="n">
        <v>281.2442795183602</v>
      </c>
      <c r="Q1438" s="16" t="n">
        <v>4176.475395928959</v>
      </c>
      <c r="R1438" s="16" t="n">
        <v>1358.986474025779</v>
      </c>
      <c r="S1438" s="16" t="n">
        <v>0.5781360375599208</v>
      </c>
      <c r="T1438" s="16" t="n">
        <v>0.8386595893761454</v>
      </c>
      <c r="U1438" s="16" t="n">
        <v>0.7489074821906208</v>
      </c>
      <c r="V1438" s="16" t="n">
        <v>0.8741658931648014</v>
      </c>
      <c r="W1438" s="16" t="n">
        <v>0.8914821462936315</v>
      </c>
      <c r="X1438" s="16" t="n">
        <v>0.8298659762447922</v>
      </c>
      <c r="Y1438" s="16" t="n">
        <v>281.2442795183602</v>
      </c>
      <c r="Z1438" s="16" t="n">
        <v>8.174431859339961</v>
      </c>
      <c r="AA1438" s="16" t="n">
        <v>63.93654483317819</v>
      </c>
      <c r="AB1438" s="16" t="n">
        <v>2817.48892190318</v>
      </c>
      <c r="AC1438" s="16" t="n">
        <v>3.07322808265841</v>
      </c>
      <c r="AD1438" s="16" t="n"/>
      <c r="AE1438" s="16" t="n"/>
    </row>
    <row r="1439">
      <c r="A1439" s="16" t="inlineStr">
        <is>
          <t>KF-M04b-0067</t>
        </is>
      </c>
      <c r="B1439" s="16" t="inlineStr">
        <is>
          <t>3.2</t>
        </is>
      </c>
      <c r="C1439" s="16" t="inlineStr">
        <is>
          <t>3.2</t>
        </is>
      </c>
      <c r="D1439" s="16" t="inlineStr">
        <is>
          <t>muestra de 200 puntos</t>
        </is>
      </c>
      <c r="E1439" s="16" t="inlineStr">
        <is>
          <t>KF-M04b</t>
        </is>
      </c>
      <c r="F1439" s="16" t="inlineStr">
        <is>
          <t>KF-M04b</t>
        </is>
      </c>
      <c r="G1439" s="16" t="inlineStr">
        <is>
          <t>B07</t>
        </is>
      </c>
      <c r="H1439" s="16" t="inlineStr">
        <is>
          <t>lhs</t>
        </is>
      </c>
      <c r="I1439" s="16" t="inlineStr">
        <is>
          <t>N2</t>
        </is>
      </c>
      <c r="J1439" s="16" t="inlineStr">
        <is>
          <t>NO_CONVERGIO</t>
        </is>
      </c>
      <c r="K1439" s="16" t="b">
        <v>0</v>
      </c>
      <c r="L1439" s="16" t="b">
        <v>0</v>
      </c>
      <c r="M1439" s="16" t="b">
        <v>0</v>
      </c>
      <c r="N1439" s="16" t="b">
        <v>0</v>
      </c>
      <c r="O1439" s="16" t="n">
        <v>385.2018108985653</v>
      </c>
      <c r="P1439" s="16" t="n">
        <v>287.1310898392791</v>
      </c>
      <c r="Q1439" s="16" t="n">
        <v>4636.09609967464</v>
      </c>
      <c r="R1439" s="16" t="n">
        <v>387.419238020422</v>
      </c>
      <c r="S1439" s="16" t="n">
        <v>0.6293400074120851</v>
      </c>
      <c r="T1439" s="16" t="n">
        <v>0.7874703427558012</v>
      </c>
      <c r="U1439" s="16" t="n">
        <v>0.8734597130936753</v>
      </c>
      <c r="V1439" s="16" t="n">
        <v>0.8464965274903375</v>
      </c>
      <c r="W1439" s="16" t="n">
        <v>0.6083867782049408</v>
      </c>
      <c r="X1439" s="16" t="n">
        <v>0.7298462925782447</v>
      </c>
      <c r="Y1439" s="16" t="n">
        <v>287.1310898392791</v>
      </c>
      <c r="Z1439" s="16" t="n">
        <v>-55.29790934160478</v>
      </c>
      <c r="AA1439" s="16" t="n">
        <v>-62.98295402756925</v>
      </c>
      <c r="AB1439" s="16" t="n">
        <v>4248.676861654218</v>
      </c>
      <c r="AC1439" s="16" t="n">
        <v>11.96661302459703</v>
      </c>
      <c r="AD1439" s="16" t="inlineStr">
        <is>
          <t>N2,S6,O3,O5,C1,C3,C3</t>
        </is>
      </c>
      <c r="AE1439" s="16" t="n"/>
    </row>
    <row r="1440">
      <c r="A1440" s="16" t="inlineStr">
        <is>
          <t>KF-M04b-0068</t>
        </is>
      </c>
      <c r="B1440" s="16" t="inlineStr">
        <is>
          <t>3.2</t>
        </is>
      </c>
      <c r="C1440" s="16" t="inlineStr">
        <is>
          <t>3.2</t>
        </is>
      </c>
      <c r="D1440" s="16" t="inlineStr">
        <is>
          <t>muestra de 200 puntos</t>
        </is>
      </c>
      <c r="E1440" s="16" t="inlineStr">
        <is>
          <t>KF-M04b</t>
        </is>
      </c>
      <c r="F1440" s="16" t="inlineStr">
        <is>
          <t>KF-M04b</t>
        </is>
      </c>
      <c r="G1440" s="16" t="inlineStr">
        <is>
          <t>B07</t>
        </is>
      </c>
      <c r="H1440" s="16" t="inlineStr">
        <is>
          <t>lhs</t>
        </is>
      </c>
      <c r="I1440" s="16" t="inlineStr">
        <is>
          <t>CORREGIBLE</t>
        </is>
      </c>
      <c r="J1440" s="16" t="inlineStr">
        <is>
          <t>CORREGIBLE</t>
        </is>
      </c>
      <c r="K1440" s="16" t="b">
        <v>1</v>
      </c>
      <c r="L1440" s="16" t="b">
        <v>0</v>
      </c>
      <c r="M1440" s="16" t="b">
        <v>1</v>
      </c>
      <c r="N1440" s="16" t="b">
        <v>0</v>
      </c>
      <c r="O1440" s="16" t="n">
        <v>493.3387621807931</v>
      </c>
      <c r="P1440" s="16" t="n">
        <v>288.1900210177034</v>
      </c>
      <c r="Q1440" s="16" t="n">
        <v>3600.015429275951</v>
      </c>
      <c r="R1440" s="16" t="n">
        <v>321.1962324725073</v>
      </c>
      <c r="S1440" s="16" t="n">
        <v>0.605974372921996</v>
      </c>
      <c r="T1440" s="16" t="n">
        <v>0.7769358861604648</v>
      </c>
      <c r="U1440" s="16" t="n">
        <v>0.8454359991838566</v>
      </c>
      <c r="V1440" s="16" t="n">
        <v>0.7901047465086734</v>
      </c>
      <c r="W1440" s="16" t="n">
        <v>0.6285792477309081</v>
      </c>
      <c r="X1440" s="16" t="n">
        <v>0.8015255232390466</v>
      </c>
      <c r="Y1440" s="16" t="n">
        <v>288.1900210177034</v>
      </c>
      <c r="Z1440" s="16" t="n">
        <v>13.82897870732311</v>
      </c>
      <c r="AA1440" s="16" t="n">
        <v>196.5850367212284</v>
      </c>
      <c r="AB1440" s="16" t="n">
        <v>3278.819196803443</v>
      </c>
      <c r="AC1440" s="16" t="n">
        <v>11.20814961484361</v>
      </c>
      <c r="AD1440" s="16" t="inlineStr">
        <is>
          <t>O2</t>
        </is>
      </c>
      <c r="AE1440" s="16" t="n"/>
    </row>
    <row r="1441">
      <c r="A1441" s="16" t="inlineStr">
        <is>
          <t>KF-M04b-0069</t>
        </is>
      </c>
      <c r="B1441" s="16" t="inlineStr">
        <is>
          <t>3.2</t>
        </is>
      </c>
      <c r="C1441" s="16" t="inlineStr">
        <is>
          <t>3.2</t>
        </is>
      </c>
      <c r="D1441" s="16" t="inlineStr">
        <is>
          <t>muestra de 200 puntos</t>
        </is>
      </c>
      <c r="E1441" s="16" t="inlineStr">
        <is>
          <t>KF-M04b</t>
        </is>
      </c>
      <c r="F1441" s="16" t="inlineStr">
        <is>
          <t>KF-M04b</t>
        </is>
      </c>
      <c r="G1441" s="16" t="inlineStr">
        <is>
          <t>B07</t>
        </is>
      </c>
      <c r="H1441" s="16" t="inlineStr">
        <is>
          <t>lhs</t>
        </is>
      </c>
      <c r="I1441" s="16" t="inlineStr">
        <is>
          <t>CORREGIBLE</t>
        </is>
      </c>
      <c r="J1441" s="16" t="inlineStr">
        <is>
          <t>CORREGIBLE</t>
        </is>
      </c>
      <c r="K1441" s="16" t="b">
        <v>1</v>
      </c>
      <c r="L1441" s="16" t="b">
        <v>0</v>
      </c>
      <c r="M1441" s="16" t="b">
        <v>0</v>
      </c>
      <c r="N1441" s="16" t="b">
        <v>0</v>
      </c>
      <c r="O1441" s="16" t="n">
        <v>395.9773273608353</v>
      </c>
      <c r="P1441" s="16" t="n">
        <v>279.5732070831257</v>
      </c>
      <c r="Q1441" s="16" t="n">
        <v>3991.388142762185</v>
      </c>
      <c r="R1441" s="16" t="n">
        <v>576.2217366229509</v>
      </c>
      <c r="S1441" s="16" t="n">
        <v>0.6744601018601457</v>
      </c>
      <c r="T1441" s="16" t="n">
        <v>0.8897970286271552</v>
      </c>
      <c r="U1441" s="16" t="n">
        <v>0.8495308851187378</v>
      </c>
      <c r="V1441" s="16" t="n">
        <v>0.7033995822660104</v>
      </c>
      <c r="W1441" s="16" t="n">
        <v>0.7467985943833235</v>
      </c>
      <c r="X1441" s="16" t="n">
        <v>0.7517966790683336</v>
      </c>
      <c r="Y1441" s="16" t="n">
        <v>279.5732070831257</v>
      </c>
      <c r="Z1441" s="16" t="n">
        <v>11.7682253962747</v>
      </c>
      <c r="AA1441" s="16" t="n">
        <v>44.96258827433927</v>
      </c>
      <c r="AB1441" s="16" t="n">
        <v>3415.166406139234</v>
      </c>
      <c r="AC1441" s="16" t="n">
        <v>6.926826756231758</v>
      </c>
      <c r="AD1441" s="16" t="inlineStr">
        <is>
          <t>O2</t>
        </is>
      </c>
      <c r="AE1441" s="16" t="n"/>
    </row>
    <row r="1442">
      <c r="A1442" s="16" t="inlineStr">
        <is>
          <t>KF-M04b-0070</t>
        </is>
      </c>
      <c r="B1442" s="16" t="inlineStr">
        <is>
          <t>3.2</t>
        </is>
      </c>
      <c r="C1442" s="16" t="inlineStr">
        <is>
          <t>3.2</t>
        </is>
      </c>
      <c r="D1442" s="16" t="inlineStr">
        <is>
          <t>muestra de 200 puntos</t>
        </is>
      </c>
      <c r="E1442" s="16" t="inlineStr">
        <is>
          <t>KF-M04b</t>
        </is>
      </c>
      <c r="F1442" s="16" t="inlineStr">
        <is>
          <t>KF-M04b</t>
        </is>
      </c>
      <c r="G1442" s="16" t="inlineStr">
        <is>
          <t>B07</t>
        </is>
      </c>
      <c r="H1442" s="16" t="inlineStr">
        <is>
          <t>lhs</t>
        </is>
      </c>
      <c r="I1442" s="16" t="inlineStr">
        <is>
          <t>CORREGIBLE</t>
        </is>
      </c>
      <c r="J1442" s="16" t="inlineStr">
        <is>
          <t>CORREGIBLE</t>
        </is>
      </c>
      <c r="K1442" s="16" t="b">
        <v>1</v>
      </c>
      <c r="L1442" s="16" t="b">
        <v>0</v>
      </c>
      <c r="M1442" s="16" t="b">
        <v>1</v>
      </c>
      <c r="N1442" s="16" t="b">
        <v>0</v>
      </c>
      <c r="O1442" s="16" t="n">
        <v>499.532816399556</v>
      </c>
      <c r="P1442" s="16" t="n">
        <v>293.020465036482</v>
      </c>
      <c r="Q1442" s="16" t="n">
        <v>3819.266813431677</v>
      </c>
      <c r="R1442" s="16" t="n">
        <v>711.2337088100921</v>
      </c>
      <c r="S1442" s="16" t="n">
        <v>0.5749938353570196</v>
      </c>
      <c r="T1442" s="16" t="n">
        <v>0.8260169316152924</v>
      </c>
      <c r="U1442" s="16" t="n">
        <v>0.7856962154340756</v>
      </c>
      <c r="V1442" s="16" t="n">
        <v>0.9247668723646618</v>
      </c>
      <c r="W1442" s="16" t="n">
        <v>0.786051682502058</v>
      </c>
      <c r="X1442" s="16" t="n">
        <v>0.9208580431192992</v>
      </c>
      <c r="Y1442" s="16" t="n">
        <v>293.020465036482</v>
      </c>
      <c r="Z1442" s="16" t="n">
        <v>11.55627081296117</v>
      </c>
      <c r="AA1442" s="16" t="n">
        <v>229.8296380097555</v>
      </c>
      <c r="AB1442" s="16" t="n">
        <v>3108.033104621585</v>
      </c>
      <c r="AC1442" s="16" t="n">
        <v>5.369918166310459</v>
      </c>
      <c r="AD1442" s="16" t="inlineStr">
        <is>
          <t>O2</t>
        </is>
      </c>
      <c r="AE1442" s="16" t="n"/>
    </row>
    <row r="1443">
      <c r="A1443" s="16" t="inlineStr">
        <is>
          <t>KF-M04b-0071</t>
        </is>
      </c>
      <c r="B1443" s="16" t="inlineStr">
        <is>
          <t>3.2</t>
        </is>
      </c>
      <c r="C1443" s="16" t="inlineStr">
        <is>
          <t>3.2</t>
        </is>
      </c>
      <c r="D1443" s="16" t="inlineStr">
        <is>
          <t>muestra de 200 puntos</t>
        </is>
      </c>
      <c r="E1443" s="16" t="inlineStr">
        <is>
          <t>KF-M04b</t>
        </is>
      </c>
      <c r="F1443" s="16" t="inlineStr">
        <is>
          <t>KF-M04b</t>
        </is>
      </c>
      <c r="G1443" s="16" t="inlineStr">
        <is>
          <t>B07</t>
        </is>
      </c>
      <c r="H1443" s="16" t="inlineStr">
        <is>
          <t>lhs</t>
        </is>
      </c>
      <c r="I1443" s="16" t="inlineStr">
        <is>
          <t>CORREGIBLE</t>
        </is>
      </c>
      <c r="J1443" s="16" t="inlineStr">
        <is>
          <t>CORREGIBLE</t>
        </is>
      </c>
      <c r="K1443" s="16" t="b">
        <v>1</v>
      </c>
      <c r="L1443" s="16" t="b">
        <v>0</v>
      </c>
      <c r="M1443" s="16" t="b">
        <v>1</v>
      </c>
      <c r="N1443" s="16" t="b">
        <v>0</v>
      </c>
      <c r="O1443" s="16" t="n">
        <v>472.9198214702874</v>
      </c>
      <c r="P1443" s="16" t="n">
        <v>285.8263981537647</v>
      </c>
      <c r="Q1443" s="16" t="n">
        <v>2753.040647600984</v>
      </c>
      <c r="R1443" s="16" t="n">
        <v>742.4438325863022</v>
      </c>
      <c r="S1443" s="16" t="n">
        <v>0.6324914494117202</v>
      </c>
      <c r="T1443" s="16" t="n">
        <v>0.7749366312180903</v>
      </c>
      <c r="U1443" s="16" t="n">
        <v>0.8539440741722459</v>
      </c>
      <c r="V1443" s="16" t="n">
        <v>0.8652602946989876</v>
      </c>
      <c r="W1443" s="16" t="n">
        <v>0.6366644331826062</v>
      </c>
      <c r="X1443" s="16" t="n">
        <v>0.7428732558855081</v>
      </c>
      <c r="Y1443" s="16" t="n">
        <v>285.8263981537647</v>
      </c>
      <c r="Z1443" s="16" t="n">
        <v>8.18748476631672</v>
      </c>
      <c r="AA1443" s="16" t="n">
        <v>121.34342418647</v>
      </c>
      <c r="AB1443" s="16" t="n">
        <v>2010.596815014682</v>
      </c>
      <c r="AC1443" s="16" t="n">
        <v>3.708079354650668</v>
      </c>
      <c r="AD1443" s="16" t="inlineStr">
        <is>
          <t>O2</t>
        </is>
      </c>
      <c r="AE1443" s="16" t="n"/>
    </row>
    <row r="1444">
      <c r="A1444" s="16" t="inlineStr">
        <is>
          <t>KF-M04b-0072</t>
        </is>
      </c>
      <c r="B1444" s="16" t="inlineStr">
        <is>
          <t>3.2</t>
        </is>
      </c>
      <c r="C1444" s="16" t="inlineStr">
        <is>
          <t>3.2</t>
        </is>
      </c>
      <c r="D1444" s="16" t="inlineStr">
        <is>
          <t>muestra de 200 puntos</t>
        </is>
      </c>
      <c r="E1444" s="16" t="inlineStr">
        <is>
          <t>KF-M04b</t>
        </is>
      </c>
      <c r="F1444" s="16" t="inlineStr">
        <is>
          <t>KF-M04b</t>
        </is>
      </c>
      <c r="G1444" s="16" t="inlineStr">
        <is>
          <t>B07</t>
        </is>
      </c>
      <c r="H1444" s="16" t="inlineStr">
        <is>
          <t>lhs</t>
        </is>
      </c>
      <c r="I1444" s="16" t="inlineStr">
        <is>
          <t>CORREGIBLE</t>
        </is>
      </c>
      <c r="J1444" s="16" t="inlineStr">
        <is>
          <t>CORREGIBLE</t>
        </is>
      </c>
      <c r="K1444" s="16" t="b">
        <v>1</v>
      </c>
      <c r="L1444" s="16" t="b">
        <v>0</v>
      </c>
      <c r="M1444" s="16" t="b">
        <v>0</v>
      </c>
      <c r="N1444" s="16" t="b">
        <v>0</v>
      </c>
      <c r="O1444" s="16" t="n">
        <v>423.6580059589073</v>
      </c>
      <c r="P1444" s="16" t="n">
        <v>289.8473793310081</v>
      </c>
      <c r="Q1444" s="16" t="n">
        <v>3139.517686279952</v>
      </c>
      <c r="R1444" s="16" t="n">
        <v>964.895826925524</v>
      </c>
      <c r="S1444" s="16" t="n">
        <v>0.7763579612959564</v>
      </c>
      <c r="T1444" s="16" t="n">
        <v>0.7698544046103278</v>
      </c>
      <c r="U1444" s="16" t="n">
        <v>0.8841183533397391</v>
      </c>
      <c r="V1444" s="16" t="n">
        <v>0.9297673906372428</v>
      </c>
      <c r="W1444" s="16" t="n">
        <v>0.8168561631593657</v>
      </c>
      <c r="X1444" s="16" t="n">
        <v>0.7005181018253995</v>
      </c>
      <c r="Y1444" s="16" t="n">
        <v>289.8473793310081</v>
      </c>
      <c r="Z1444" s="16" t="n">
        <v>8.37497901551569</v>
      </c>
      <c r="AA1444" s="16" t="n">
        <v>83.00562130198975</v>
      </c>
      <c r="AB1444" s="16" t="n">
        <v>2174.621859354428</v>
      </c>
      <c r="AC1444" s="16" t="n">
        <v>3.253737448822315</v>
      </c>
      <c r="AD1444" s="16" t="inlineStr">
        <is>
          <t>O2</t>
        </is>
      </c>
      <c r="AE1444" s="16" t="n"/>
    </row>
    <row r="1445">
      <c r="A1445" s="16" t="inlineStr">
        <is>
          <t>KF-M04b-0073</t>
        </is>
      </c>
      <c r="B1445" s="16" t="inlineStr">
        <is>
          <t>3.2</t>
        </is>
      </c>
      <c r="C1445" s="16" t="inlineStr">
        <is>
          <t>3.2</t>
        </is>
      </c>
      <c r="D1445" s="16" t="inlineStr">
        <is>
          <t>muestra de 200 puntos</t>
        </is>
      </c>
      <c r="E1445" s="16" t="inlineStr">
        <is>
          <t>KF-M04b</t>
        </is>
      </c>
      <c r="F1445" s="16" t="inlineStr">
        <is>
          <t>KF-M04b</t>
        </is>
      </c>
      <c r="G1445" s="16" t="inlineStr">
        <is>
          <t>B07</t>
        </is>
      </c>
      <c r="H1445" s="16" t="inlineStr">
        <is>
          <t>lhs</t>
        </is>
      </c>
      <c r="I1445" s="16" t="inlineStr">
        <is>
          <t>NO_CONVERGIO</t>
        </is>
      </c>
      <c r="J1445" s="16" t="inlineStr">
        <is>
          <t>NO_CONVERGIO</t>
        </is>
      </c>
      <c r="K1445" s="16" t="b">
        <v>0</v>
      </c>
      <c r="L1445" s="16" t="b">
        <v>0</v>
      </c>
      <c r="M1445" s="16" t="b">
        <v>0</v>
      </c>
      <c r="N1445" s="16" t="b">
        <v>0</v>
      </c>
      <c r="O1445" s="16" t="n">
        <v>381.7050034553101</v>
      </c>
      <c r="P1445" s="16" t="n">
        <v>286.1599547771238</v>
      </c>
      <c r="Q1445" s="16" t="n">
        <v>4732.276904332451</v>
      </c>
      <c r="R1445" s="16" t="n">
        <v>947.2056700728396</v>
      </c>
      <c r="S1445" s="16" t="n">
        <v>0.6071334622648531</v>
      </c>
      <c r="T1445" s="16" t="n">
        <v>0.8725757828122819</v>
      </c>
      <c r="U1445" s="16" t="n">
        <v>0.8333876833173171</v>
      </c>
      <c r="V1445" s="16" t="n">
        <v>0.8074057683308928</v>
      </c>
      <c r="W1445" s="16" t="n">
        <v>0.7718949515845277</v>
      </c>
      <c r="X1445" s="16" t="n">
        <v>0.8186051612608216</v>
      </c>
      <c r="Y1445" s="16" t="n">
        <v>286.1599547771238</v>
      </c>
      <c r="Z1445" s="16" t="n"/>
      <c r="AA1445" s="16" t="n"/>
      <c r="AB1445" s="16" t="n">
        <v>3785.071234259611</v>
      </c>
      <c r="AC1445" s="16" t="n">
        <v>4.996039459907943</v>
      </c>
      <c r="AD1445" s="16" t="n"/>
      <c r="AE1445" s="16" t="n"/>
    </row>
    <row r="1446">
      <c r="A1446" s="16" t="inlineStr">
        <is>
          <t>KF-M04b-0074</t>
        </is>
      </c>
      <c r="B1446" s="16" t="inlineStr">
        <is>
          <t>3.2</t>
        </is>
      </c>
      <c r="C1446" s="16" t="inlineStr">
        <is>
          <t>3.2</t>
        </is>
      </c>
      <c r="D1446" s="16" t="inlineStr">
        <is>
          <t>muestra de 200 puntos</t>
        </is>
      </c>
      <c r="E1446" s="16" t="inlineStr">
        <is>
          <t>KF-M04b</t>
        </is>
      </c>
      <c r="F1446" s="16" t="inlineStr">
        <is>
          <t>KF-M04b</t>
        </is>
      </c>
      <c r="G1446" s="16" t="inlineStr">
        <is>
          <t>B07</t>
        </is>
      </c>
      <c r="H1446" s="16" t="inlineStr">
        <is>
          <t>lhs</t>
        </is>
      </c>
      <c r="I1446" s="16" t="inlineStr">
        <is>
          <t>CORREGIBLE</t>
        </is>
      </c>
      <c r="J1446" s="16" t="inlineStr">
        <is>
          <t>CORREGIBLE</t>
        </is>
      </c>
      <c r="K1446" s="16" t="b">
        <v>1</v>
      </c>
      <c r="L1446" s="16" t="b">
        <v>0</v>
      </c>
      <c r="M1446" s="16" t="b">
        <v>0</v>
      </c>
      <c r="N1446" s="16" t="b">
        <v>0</v>
      </c>
      <c r="O1446" s="16" t="n">
        <v>427.7911945225414</v>
      </c>
      <c r="P1446" s="16" t="n">
        <v>284.858143358791</v>
      </c>
      <c r="Q1446" s="16" t="n">
        <v>4409.117253370263</v>
      </c>
      <c r="R1446" s="16" t="n">
        <v>1171.42944015151</v>
      </c>
      <c r="S1446" s="16" t="n">
        <v>0.7273597058905504</v>
      </c>
      <c r="T1446" s="16" t="n">
        <v>0.8231874361999487</v>
      </c>
      <c r="U1446" s="16" t="n">
        <v>0.8971704475963842</v>
      </c>
      <c r="V1446" s="16" t="n">
        <v>0.7566424709175047</v>
      </c>
      <c r="W1446" s="16" t="n">
        <v>0.6825241615676415</v>
      </c>
      <c r="X1446" s="16" t="n">
        <v>0.8162937429270793</v>
      </c>
      <c r="Y1446" s="16" t="n">
        <v>284.858143358791</v>
      </c>
      <c r="Z1446" s="16" t="n">
        <v>10.1921006762839</v>
      </c>
      <c r="AA1446" s="16" t="n">
        <v>80.62925012184752</v>
      </c>
      <c r="AB1446" s="16" t="n">
        <v>3237.687813218753</v>
      </c>
      <c r="AC1446" s="16" t="n">
        <v>3.763877790880856</v>
      </c>
      <c r="AD1446" s="16" t="inlineStr">
        <is>
          <t>O2</t>
        </is>
      </c>
      <c r="AE1446" s="16" t="n"/>
    </row>
    <row r="1447">
      <c r="A1447" s="16" t="inlineStr">
        <is>
          <t>KF-M04b-0075</t>
        </is>
      </c>
      <c r="B1447" s="16" t="inlineStr">
        <is>
          <t>3.2</t>
        </is>
      </c>
      <c r="C1447" s="16" t="inlineStr">
        <is>
          <t>3.2</t>
        </is>
      </c>
      <c r="D1447" s="16" t="inlineStr">
        <is>
          <t>muestra de 200 puntos</t>
        </is>
      </c>
      <c r="E1447" s="16" t="inlineStr">
        <is>
          <t>KF-M04b</t>
        </is>
      </c>
      <c r="F1447" s="16" t="inlineStr">
        <is>
          <t>KF-M04b</t>
        </is>
      </c>
      <c r="G1447" s="16" t="inlineStr">
        <is>
          <t>B07</t>
        </is>
      </c>
      <c r="H1447" s="16" t="inlineStr">
        <is>
          <t>lhs</t>
        </is>
      </c>
      <c r="I1447" s="16" t="inlineStr">
        <is>
          <t>CORREGIBLE</t>
        </is>
      </c>
      <c r="J1447" s="16" t="inlineStr">
        <is>
          <t>CORREGIBLE</t>
        </is>
      </c>
      <c r="K1447" s="16" t="b">
        <v>1</v>
      </c>
      <c r="L1447" s="16" t="b">
        <v>0</v>
      </c>
      <c r="M1447" s="16" t="b">
        <v>0</v>
      </c>
      <c r="N1447" s="16" t="b">
        <v>0</v>
      </c>
      <c r="O1447" s="16" t="n">
        <v>422.7765873066458</v>
      </c>
      <c r="P1447" s="16" t="n">
        <v>298.7207307570354</v>
      </c>
      <c r="Q1447" s="16" t="n">
        <v>2240.751279883435</v>
      </c>
      <c r="R1447" s="16" t="n">
        <v>1477.966902528124</v>
      </c>
      <c r="S1447" s="16" t="n">
        <v>0.6092351081466059</v>
      </c>
      <c r="T1447" s="16" t="n">
        <v>0.8299441168324941</v>
      </c>
      <c r="U1447" s="16" t="n">
        <v>0.7780299212605478</v>
      </c>
      <c r="V1447" s="16" t="n">
        <v>0.7464757379633262</v>
      </c>
      <c r="W1447" s="16" t="n">
        <v>0.8198040361819586</v>
      </c>
      <c r="X1447" s="16" t="n">
        <v>0.7809788898815653</v>
      </c>
      <c r="Y1447" s="16" t="n">
        <v>298.7207307570354</v>
      </c>
      <c r="Z1447" s="16" t="n">
        <v>3.57345312254282</v>
      </c>
      <c r="AA1447" s="16" t="n">
        <v>28.43387055424465</v>
      </c>
      <c r="AB1447" s="16" t="n">
        <v>762.7843773553118</v>
      </c>
      <c r="AC1447" s="16" t="n">
        <v>1.516103828881782</v>
      </c>
      <c r="AD1447" s="16" t="inlineStr">
        <is>
          <t>O2</t>
        </is>
      </c>
      <c r="AE1447" s="16" t="n"/>
    </row>
    <row r="1448">
      <c r="A1448" s="16" t="inlineStr">
        <is>
          <t>KF-M04b-0076</t>
        </is>
      </c>
      <c r="B1448" s="16" t="inlineStr">
        <is>
          <t>3.2</t>
        </is>
      </c>
      <c r="C1448" s="16" t="inlineStr">
        <is>
          <t>3.2</t>
        </is>
      </c>
      <c r="D1448" s="16" t="inlineStr">
        <is>
          <t>muestra de 200 puntos</t>
        </is>
      </c>
      <c r="E1448" s="16" t="inlineStr">
        <is>
          <t>KF-M04b</t>
        </is>
      </c>
      <c r="F1448" s="16" t="inlineStr">
        <is>
          <t>KF-M04b</t>
        </is>
      </c>
      <c r="G1448" s="16" t="inlineStr">
        <is>
          <t>B07</t>
        </is>
      </c>
      <c r="H1448" s="16" t="inlineStr">
        <is>
          <t>lhs</t>
        </is>
      </c>
      <c r="I1448" s="16" t="inlineStr">
        <is>
          <t>CORREGIBLE</t>
        </is>
      </c>
      <c r="J1448" s="16" t="inlineStr">
        <is>
          <t>CORREGIBLE</t>
        </is>
      </c>
      <c r="K1448" s="16" t="b">
        <v>1</v>
      </c>
      <c r="L1448" s="16" t="b">
        <v>0</v>
      </c>
      <c r="M1448" s="16" t="b">
        <v>1</v>
      </c>
      <c r="N1448" s="16" t="b">
        <v>0</v>
      </c>
      <c r="O1448" s="16" t="n">
        <v>442.2036648678891</v>
      </c>
      <c r="P1448" s="16" t="n">
        <v>293.9586962372086</v>
      </c>
      <c r="Q1448" s="16" t="n">
        <v>4113.946707522697</v>
      </c>
      <c r="R1448" s="16" t="n">
        <v>622.6081847127834</v>
      </c>
      <c r="S1448" s="16" t="n">
        <v>0.7896166072393843</v>
      </c>
      <c r="T1448" s="16" t="n">
        <v>0.7680822907508801</v>
      </c>
      <c r="U1448" s="16" t="n">
        <v>0.6725951777757732</v>
      </c>
      <c r="V1448" s="16" t="n">
        <v>0.6886887779399647</v>
      </c>
      <c r="W1448" s="16" t="n">
        <v>0.7705144517710629</v>
      </c>
      <c r="X1448" s="16" t="n">
        <v>0.705217374313469</v>
      </c>
      <c r="Y1448" s="16" t="n">
        <v>293.9586962372086</v>
      </c>
      <c r="Z1448" s="16" t="n">
        <v>5.16271623264204</v>
      </c>
      <c r="AA1448" s="16" t="n">
        <v>35.11833276703061</v>
      </c>
      <c r="AB1448" s="16" t="n">
        <v>3491.338522809913</v>
      </c>
      <c r="AC1448" s="16" t="n">
        <v>6.607601391267462</v>
      </c>
      <c r="AD1448" s="16" t="inlineStr">
        <is>
          <t>O2</t>
        </is>
      </c>
      <c r="AE1448" s="16" t="n"/>
    </row>
    <row r="1449">
      <c r="A1449" s="16" t="inlineStr">
        <is>
          <t>KF-M04b-0077</t>
        </is>
      </c>
      <c r="B1449" s="16" t="inlineStr">
        <is>
          <t>3.2</t>
        </is>
      </c>
      <c r="C1449" s="16" t="inlineStr">
        <is>
          <t>3.2</t>
        </is>
      </c>
      <c r="D1449" s="16" t="inlineStr">
        <is>
          <t>muestra de 200 puntos</t>
        </is>
      </c>
      <c r="E1449" s="16" t="inlineStr">
        <is>
          <t>KF-M04b</t>
        </is>
      </c>
      <c r="F1449" s="16" t="inlineStr">
        <is>
          <t>KF-M04b</t>
        </is>
      </c>
      <c r="G1449" s="16" t="inlineStr">
        <is>
          <t>B07</t>
        </is>
      </c>
      <c r="H1449" s="16" t="inlineStr">
        <is>
          <t>lhs</t>
        </is>
      </c>
      <c r="I1449" s="16" t="inlineStr">
        <is>
          <t>INVIABLE</t>
        </is>
      </c>
      <c r="J1449" s="16" t="inlineStr">
        <is>
          <t>INVIABLE</t>
        </is>
      </c>
      <c r="K1449" s="16" t="b">
        <v>1</v>
      </c>
      <c r="L1449" s="16" t="b">
        <v>0</v>
      </c>
      <c r="M1449" s="16" t="b">
        <v>0</v>
      </c>
      <c r="N1449" s="16" t="b">
        <v>0</v>
      </c>
      <c r="O1449" s="16" t="n">
        <v>395.1865122085972</v>
      </c>
      <c r="P1449" s="16" t="n">
        <v>289.9816399372079</v>
      </c>
      <c r="Q1449" s="16" t="n">
        <v>4578.160932061923</v>
      </c>
      <c r="R1449" s="16" t="n">
        <v>1366.330640150393</v>
      </c>
      <c r="S1449" s="16" t="n">
        <v>0.6353399195721799</v>
      </c>
      <c r="T1449" s="16" t="n">
        <v>0.7741976653449645</v>
      </c>
      <c r="U1449" s="16" t="n">
        <v>0.7691032594166383</v>
      </c>
      <c r="V1449" s="16" t="n">
        <v>0.6397907051791208</v>
      </c>
      <c r="W1449" s="16" t="n">
        <v>0.6728333503892491</v>
      </c>
      <c r="X1449" s="16" t="n">
        <v>0.9271676715092788</v>
      </c>
      <c r="Y1449" s="16" t="n">
        <v>289.9816399372079</v>
      </c>
      <c r="Z1449" s="16" t="n">
        <v>-0.2299102121667</v>
      </c>
      <c r="AA1449" s="16" t="n">
        <v>-0.4665149464848648</v>
      </c>
      <c r="AB1449" s="16" t="n">
        <v>3211.830291911529</v>
      </c>
      <c r="AC1449" s="16" t="n">
        <v>3.350697699026936</v>
      </c>
      <c r="AD1449" s="16" t="inlineStr">
        <is>
          <t>O3</t>
        </is>
      </c>
      <c r="AE1449" s="16" t="n"/>
    </row>
    <row r="1450">
      <c r="A1450" s="16" t="inlineStr">
        <is>
          <t>KF-M04b-0078</t>
        </is>
      </c>
      <c r="B1450" s="16" t="inlineStr">
        <is>
          <t>3.2</t>
        </is>
      </c>
      <c r="C1450" s="16" t="inlineStr">
        <is>
          <t>3.2</t>
        </is>
      </c>
      <c r="D1450" s="16" t="inlineStr">
        <is>
          <t>muestra de 200 puntos</t>
        </is>
      </c>
      <c r="E1450" s="16" t="inlineStr">
        <is>
          <t>KF-M04b</t>
        </is>
      </c>
      <c r="F1450" s="16" t="inlineStr">
        <is>
          <t>KF-M04b</t>
        </is>
      </c>
      <c r="G1450" s="16" t="inlineStr">
        <is>
          <t>B07</t>
        </is>
      </c>
      <c r="H1450" s="16" t="inlineStr">
        <is>
          <t>lhs</t>
        </is>
      </c>
      <c r="I1450" s="16" t="inlineStr">
        <is>
          <t>KALINA</t>
        </is>
      </c>
      <c r="J1450" s="16" t="inlineStr">
        <is>
          <t>KALINA</t>
        </is>
      </c>
      <c r="K1450" s="16" t="b">
        <v>1</v>
      </c>
      <c r="L1450" s="16" t="b">
        <v>0</v>
      </c>
      <c r="M1450" s="16" t="b">
        <v>1</v>
      </c>
      <c r="N1450" s="16" t="b">
        <v>0</v>
      </c>
      <c r="O1450" s="16" t="n">
        <v>482.7031178089875</v>
      </c>
      <c r="P1450" s="16" t="n">
        <v>283.3533168550476</v>
      </c>
      <c r="Q1450" s="16" t="n">
        <v>3473.563613239317</v>
      </c>
      <c r="R1450" s="16" t="n">
        <v>1403.895909483831</v>
      </c>
      <c r="S1450" s="16" t="n">
        <v>0.6185906784780553</v>
      </c>
      <c r="T1450" s="16" t="n">
        <v>0.8165518125435598</v>
      </c>
      <c r="U1450" s="16" t="n">
        <v>0.7912155882523979</v>
      </c>
      <c r="V1450" s="16" t="n">
        <v>0.6911129623079036</v>
      </c>
      <c r="W1450" s="16" t="n">
        <v>0.8579546181046328</v>
      </c>
      <c r="X1450" s="16" t="n">
        <v>0.8971636458689306</v>
      </c>
      <c r="Y1450" s="16" t="n">
        <v>283.3533168550476</v>
      </c>
      <c r="Z1450" s="16" t="n">
        <v>6.64768984883408</v>
      </c>
      <c r="AA1450" s="16" t="n">
        <v>90.93598759701004</v>
      </c>
      <c r="AB1450" s="16" t="n">
        <v>2069.667703755486</v>
      </c>
      <c r="AC1450" s="16" t="n">
        <v>2.474231593506416</v>
      </c>
      <c r="AD1450" s="16" t="n"/>
      <c r="AE1450" s="16" t="n"/>
    </row>
    <row r="1451">
      <c r="A1451" s="16" t="inlineStr">
        <is>
          <t>KF-M04b-0079</t>
        </is>
      </c>
      <c r="B1451" s="16" t="inlineStr">
        <is>
          <t>3.2</t>
        </is>
      </c>
      <c r="C1451" s="16" t="inlineStr">
        <is>
          <t>3.2</t>
        </is>
      </c>
      <c r="D1451" s="16" t="inlineStr">
        <is>
          <t>muestra de 200 puntos</t>
        </is>
      </c>
      <c r="E1451" s="16" t="inlineStr">
        <is>
          <t>KF-M04b</t>
        </is>
      </c>
      <c r="F1451" s="16" t="inlineStr">
        <is>
          <t>KF-M04b</t>
        </is>
      </c>
      <c r="G1451" s="16" t="inlineStr">
        <is>
          <t>B07</t>
        </is>
      </c>
      <c r="H1451" s="16" t="inlineStr">
        <is>
          <t>lhs</t>
        </is>
      </c>
      <c r="I1451" s="16" t="inlineStr">
        <is>
          <t>KALINA</t>
        </is>
      </c>
      <c r="J1451" s="16" t="inlineStr">
        <is>
          <t>KALINA</t>
        </is>
      </c>
      <c r="K1451" s="16" t="b">
        <v>1</v>
      </c>
      <c r="L1451" s="16" t="b">
        <v>1</v>
      </c>
      <c r="M1451" s="16" t="b">
        <v>0</v>
      </c>
      <c r="N1451" s="16" t="b">
        <v>0</v>
      </c>
      <c r="O1451" s="16" t="n">
        <v>406.6700087349817</v>
      </c>
      <c r="P1451" s="16" t="n">
        <v>278.6392799883886</v>
      </c>
      <c r="Q1451" s="16" t="n">
        <v>4811.745787712287</v>
      </c>
      <c r="R1451" s="16" t="n">
        <v>1159.627285217969</v>
      </c>
      <c r="S1451" s="16" t="n">
        <v>0.7823330349091961</v>
      </c>
      <c r="T1451" s="16" t="n">
        <v>0.8780967231876989</v>
      </c>
      <c r="U1451" s="16" t="n">
        <v>0.7343239671789885</v>
      </c>
      <c r="V1451" s="16" t="n">
        <v>0.9094943340613726</v>
      </c>
      <c r="W1451" s="16" t="n">
        <v>0.7277443140616505</v>
      </c>
      <c r="X1451" s="16" t="n">
        <v>0.8977243056859093</v>
      </c>
      <c r="Y1451" s="16" t="n">
        <v>278.6392799883886</v>
      </c>
      <c r="Z1451" s="16" t="n">
        <v>10.80642603229097</v>
      </c>
      <c r="AA1451" s="16" t="n">
        <v>88.49663727740288</v>
      </c>
      <c r="AB1451" s="16" t="n">
        <v>3652.118502494318</v>
      </c>
      <c r="AC1451" s="16" t="n">
        <v>4.1493899367915</v>
      </c>
      <c r="AD1451" s="16" t="n"/>
      <c r="AE1451" s="16" t="n"/>
    </row>
    <row r="1452">
      <c r="A1452" s="16" t="inlineStr">
        <is>
          <t>KF-M04b-0080</t>
        </is>
      </c>
      <c r="B1452" s="16" t="inlineStr">
        <is>
          <t>3.2</t>
        </is>
      </c>
      <c r="C1452" s="16" t="inlineStr">
        <is>
          <t>3.2</t>
        </is>
      </c>
      <c r="D1452" s="16" t="inlineStr">
        <is>
          <t>muestra de 200 puntos</t>
        </is>
      </c>
      <c r="E1452" s="16" t="inlineStr">
        <is>
          <t>KF-M04b</t>
        </is>
      </c>
      <c r="F1452" s="16" t="inlineStr">
        <is>
          <t>KF-M04b</t>
        </is>
      </c>
      <c r="G1452" s="16" t="inlineStr">
        <is>
          <t>B07</t>
        </is>
      </c>
      <c r="H1452" s="16" t="inlineStr">
        <is>
          <t>lhs</t>
        </is>
      </c>
      <c r="I1452" s="16" t="inlineStr">
        <is>
          <t>NO_CONVERGIO</t>
        </is>
      </c>
      <c r="J1452" s="16" t="inlineStr">
        <is>
          <t>NO_CONVERGIO</t>
        </is>
      </c>
      <c r="K1452" s="16" t="b">
        <v>0</v>
      </c>
      <c r="L1452" s="16" t="b">
        <v>0</v>
      </c>
      <c r="M1452" s="16" t="b">
        <v>0</v>
      </c>
      <c r="N1452" s="16" t="b">
        <v>0</v>
      </c>
      <c r="O1452" s="16" t="n">
        <v>488.2035483548468</v>
      </c>
      <c r="P1452" s="16" t="n">
        <v>280.3069420119081</v>
      </c>
      <c r="Q1452" s="16" t="n">
        <v>2944.929321614936</v>
      </c>
      <c r="R1452" s="16" t="n">
        <v>1208.291031742486</v>
      </c>
      <c r="S1452" s="16" t="n">
        <v>0.8221362331947547</v>
      </c>
      <c r="T1452" s="16" t="n">
        <v>0.8786379407783133</v>
      </c>
      <c r="U1452" s="16" t="n">
        <v>0.7668323290250861</v>
      </c>
      <c r="V1452" s="16" t="n">
        <v>0.7026231352711629</v>
      </c>
      <c r="W1452" s="16" t="n">
        <v>0.9475592905349972</v>
      </c>
      <c r="X1452" s="16" t="n">
        <v>0.7417997750303077</v>
      </c>
      <c r="Y1452" s="16" t="n">
        <v>280.3069420119081</v>
      </c>
      <c r="Z1452" s="16" t="n"/>
      <c r="AA1452" s="16" t="n"/>
      <c r="AB1452" s="16" t="n">
        <v>1736.63828987245</v>
      </c>
      <c r="AC1452" s="16" t="n">
        <v>2.437268211258698</v>
      </c>
      <c r="AD1452" s="16" t="n"/>
      <c r="AE1452" s="16" t="n"/>
    </row>
    <row r="1453">
      <c r="A1453" s="16" t="inlineStr">
        <is>
          <t>KF-M04b-0081</t>
        </is>
      </c>
      <c r="B1453" s="16" t="inlineStr">
        <is>
          <t>3.2</t>
        </is>
      </c>
      <c r="C1453" s="16" t="inlineStr">
        <is>
          <t>3.2</t>
        </is>
      </c>
      <c r="D1453" s="16" t="inlineStr">
        <is>
          <t>muestra de 200 puntos</t>
        </is>
      </c>
      <c r="E1453" s="16" t="inlineStr">
        <is>
          <t>KF-M04b</t>
        </is>
      </c>
      <c r="F1453" s="16" t="inlineStr">
        <is>
          <t>KF-M04b</t>
        </is>
      </c>
      <c r="G1453" s="16" t="inlineStr">
        <is>
          <t>B07</t>
        </is>
      </c>
      <c r="H1453" s="16" t="inlineStr">
        <is>
          <t>lhs</t>
        </is>
      </c>
      <c r="I1453" s="16" t="inlineStr">
        <is>
          <t>CORREGIBLE</t>
        </is>
      </c>
      <c r="J1453" s="16" t="inlineStr">
        <is>
          <t>CORREGIBLE</t>
        </is>
      </c>
      <c r="K1453" s="16" t="b">
        <v>1</v>
      </c>
      <c r="L1453" s="16" t="b">
        <v>0</v>
      </c>
      <c r="M1453" s="16" t="b">
        <v>0</v>
      </c>
      <c r="N1453" s="16" t="b">
        <v>0</v>
      </c>
      <c r="O1453" s="16" t="n">
        <v>388.9717347470957</v>
      </c>
      <c r="P1453" s="16" t="n">
        <v>301.8015083207181</v>
      </c>
      <c r="Q1453" s="16" t="n">
        <v>2891.278952726228</v>
      </c>
      <c r="R1453" s="16" t="n">
        <v>913.581366835484</v>
      </c>
      <c r="S1453" s="16" t="n">
        <v>0.6124118079102301</v>
      </c>
      <c r="T1453" s="16" t="n">
        <v>0.859950700936426</v>
      </c>
      <c r="U1453" s="16" t="n">
        <v>0.6597018339641209</v>
      </c>
      <c r="V1453" s="16" t="n">
        <v>0.6271443071568616</v>
      </c>
      <c r="W1453" s="16" t="n">
        <v>0.9260525915074894</v>
      </c>
      <c r="X1453" s="16" t="n">
        <v>0.7441796583150537</v>
      </c>
      <c r="Y1453" s="16" t="n">
        <v>301.8015083207181</v>
      </c>
      <c r="Z1453" s="16" t="n">
        <v>8.46984162623629</v>
      </c>
      <c r="AA1453" s="16" t="n">
        <v>23.28361535334945</v>
      </c>
      <c r="AB1453" s="16" t="n">
        <v>1977.697585890744</v>
      </c>
      <c r="AC1453" s="16" t="n">
        <v>3.1647744335474</v>
      </c>
      <c r="AD1453" s="16" t="inlineStr">
        <is>
          <t>O2</t>
        </is>
      </c>
      <c r="AE1453" s="16" t="n"/>
    </row>
    <row r="1454">
      <c r="A1454" s="16" t="inlineStr">
        <is>
          <t>KF-M04b-0082</t>
        </is>
      </c>
      <c r="B1454" s="16" t="inlineStr">
        <is>
          <t>3.2</t>
        </is>
      </c>
      <c r="C1454" s="16" t="inlineStr">
        <is>
          <t>3.2</t>
        </is>
      </c>
      <c r="D1454" s="16" t="inlineStr">
        <is>
          <t>muestra de 200 puntos</t>
        </is>
      </c>
      <c r="E1454" s="16" t="inlineStr">
        <is>
          <t>KF-M04b</t>
        </is>
      </c>
      <c r="F1454" s="16" t="inlineStr">
        <is>
          <t>KF-M04b</t>
        </is>
      </c>
      <c r="G1454" s="16" t="inlineStr">
        <is>
          <t>B07</t>
        </is>
      </c>
      <c r="H1454" s="16" t="inlineStr">
        <is>
          <t>lhs</t>
        </is>
      </c>
      <c r="I1454" s="16" t="inlineStr">
        <is>
          <t>CORREGIBLE</t>
        </is>
      </c>
      <c r="J1454" s="16" t="inlineStr">
        <is>
          <t>CORREGIBLE</t>
        </is>
      </c>
      <c r="K1454" s="16" t="b">
        <v>1</v>
      </c>
      <c r="L1454" s="16" t="b">
        <v>0</v>
      </c>
      <c r="M1454" s="16" t="b">
        <v>1</v>
      </c>
      <c r="N1454" s="16" t="b">
        <v>0</v>
      </c>
      <c r="O1454" s="16" t="n">
        <v>462.7042909072819</v>
      </c>
      <c r="P1454" s="16" t="n">
        <v>278.372076926449</v>
      </c>
      <c r="Q1454" s="16" t="n">
        <v>2095.385835313507</v>
      </c>
      <c r="R1454" s="16" t="n">
        <v>756.8509146329272</v>
      </c>
      <c r="S1454" s="16" t="n">
        <v>0.6853077135700568</v>
      </c>
      <c r="T1454" s="16" t="n">
        <v>0.7524825912187727</v>
      </c>
      <c r="U1454" s="16" t="n">
        <v>0.8203562022346036</v>
      </c>
      <c r="V1454" s="16" t="n">
        <v>0.7821406829655484</v>
      </c>
      <c r="W1454" s="16" t="n">
        <v>0.8883628446098805</v>
      </c>
      <c r="X1454" s="16" t="n">
        <v>0.8257511402651535</v>
      </c>
      <c r="Y1454" s="16" t="n">
        <v>278.372076926449</v>
      </c>
      <c r="Z1454" s="16" t="n">
        <v>7.01909822333818</v>
      </c>
      <c r="AA1454" s="16" t="n">
        <v>101.5029982749924</v>
      </c>
      <c r="AB1454" s="16" t="n">
        <v>1338.534920680579</v>
      </c>
      <c r="AC1454" s="16" t="n">
        <v>2.768558238883504</v>
      </c>
      <c r="AD1454" s="16" t="inlineStr">
        <is>
          <t>O2</t>
        </is>
      </c>
      <c r="AE1454" s="16" t="n"/>
    </row>
    <row r="1455">
      <c r="A1455" s="16" t="inlineStr">
        <is>
          <t>KF-M04b-0083</t>
        </is>
      </c>
      <c r="B1455" s="16" t="inlineStr">
        <is>
          <t>3.2</t>
        </is>
      </c>
      <c r="C1455" s="16" t="inlineStr">
        <is>
          <t>3.2</t>
        </is>
      </c>
      <c r="D1455" s="16" t="inlineStr">
        <is>
          <t>muestra de 200 puntos</t>
        </is>
      </c>
      <c r="E1455" s="16" t="inlineStr">
        <is>
          <t>KF-M04b</t>
        </is>
      </c>
      <c r="F1455" s="16" t="inlineStr">
        <is>
          <t>KF-M04b</t>
        </is>
      </c>
      <c r="G1455" s="16" t="inlineStr">
        <is>
          <t>B07</t>
        </is>
      </c>
      <c r="H1455" s="16" t="inlineStr">
        <is>
          <t>lhs</t>
        </is>
      </c>
      <c r="I1455" s="16" t="inlineStr">
        <is>
          <t>CORREGIBLE</t>
        </is>
      </c>
      <c r="J1455" s="16" t="inlineStr">
        <is>
          <t>CORREGIBLE</t>
        </is>
      </c>
      <c r="K1455" s="16" t="b">
        <v>1</v>
      </c>
      <c r="L1455" s="16" t="b">
        <v>0</v>
      </c>
      <c r="M1455" s="16" t="b">
        <v>1</v>
      </c>
      <c r="N1455" s="16" t="b">
        <v>0</v>
      </c>
      <c r="O1455" s="16" t="n">
        <v>477.6323813996723</v>
      </c>
      <c r="P1455" s="16" t="n">
        <v>293.3584127454354</v>
      </c>
      <c r="Q1455" s="16" t="n">
        <v>3290.178000667938</v>
      </c>
      <c r="R1455" s="16" t="n">
        <v>475.7328549409533</v>
      </c>
      <c r="S1455" s="16" t="n">
        <v>0.5001154359957808</v>
      </c>
      <c r="T1455" s="16" t="n">
        <v>0.9041437920706612</v>
      </c>
      <c r="U1455" s="16" t="n">
        <v>0.7475872873478044</v>
      </c>
      <c r="V1455" s="16" t="n">
        <v>0.621044006541371</v>
      </c>
      <c r="W1455" s="16" t="n">
        <v>0.8350312072144059</v>
      </c>
      <c r="X1455" s="16" t="n">
        <v>0.8574624852615771</v>
      </c>
      <c r="Y1455" s="16" t="n">
        <v>293.3584127454354</v>
      </c>
      <c r="Z1455" s="16" t="n">
        <v>14.21490881167014</v>
      </c>
      <c r="AA1455" s="16" t="n">
        <v>175.9315138924466</v>
      </c>
      <c r="AB1455" s="16" t="n">
        <v>2814.445145726985</v>
      </c>
      <c r="AC1455" s="16" t="n">
        <v>6.91602012872604</v>
      </c>
      <c r="AD1455" s="16" t="inlineStr">
        <is>
          <t>O1,O2</t>
        </is>
      </c>
      <c r="AE1455" s="16" t="n"/>
    </row>
    <row r="1456">
      <c r="A1456" s="16" t="inlineStr">
        <is>
          <t>KF-M04b-0084</t>
        </is>
      </c>
      <c r="B1456" s="16" t="inlineStr">
        <is>
          <t>3.2</t>
        </is>
      </c>
      <c r="C1456" s="16" t="inlineStr">
        <is>
          <t>3.2</t>
        </is>
      </c>
      <c r="D1456" s="16" t="inlineStr">
        <is>
          <t>muestra de 200 puntos</t>
        </is>
      </c>
      <c r="E1456" s="16" t="inlineStr">
        <is>
          <t>KF-M04b</t>
        </is>
      </c>
      <c r="F1456" s="16" t="inlineStr">
        <is>
          <t>KF-M04b</t>
        </is>
      </c>
      <c r="G1456" s="16" t="inlineStr">
        <is>
          <t>B07</t>
        </is>
      </c>
      <c r="H1456" s="16" t="inlineStr">
        <is>
          <t>lhs</t>
        </is>
      </c>
      <c r="I1456" s="16" t="inlineStr">
        <is>
          <t>KALINA</t>
        </is>
      </c>
      <c r="J1456" s="16" t="inlineStr">
        <is>
          <t>KALINA</t>
        </is>
      </c>
      <c r="K1456" s="16" t="b">
        <v>1</v>
      </c>
      <c r="L1456" s="16" t="b">
        <v>0</v>
      </c>
      <c r="M1456" s="16" t="b">
        <v>1</v>
      </c>
      <c r="N1456" s="16" t="b">
        <v>0</v>
      </c>
      <c r="O1456" s="16" t="n">
        <v>465.7759505571082</v>
      </c>
      <c r="P1456" s="16" t="n">
        <v>281.6568869652932</v>
      </c>
      <c r="Q1456" s="16" t="n">
        <v>2815.780313765198</v>
      </c>
      <c r="R1456" s="16" t="n">
        <v>1090.246141968173</v>
      </c>
      <c r="S1456" s="16" t="n">
        <v>0.6368333683779777</v>
      </c>
      <c r="T1456" s="16" t="n">
        <v>0.8128777219973419</v>
      </c>
      <c r="U1456" s="16" t="n">
        <v>0.8248324709602676</v>
      </c>
      <c r="V1456" s="16" t="n">
        <v>0.7579222636846816</v>
      </c>
      <c r="W1456" s="16" t="n">
        <v>0.8015991745832237</v>
      </c>
      <c r="X1456" s="16" t="n">
        <v>0.921892807716594</v>
      </c>
      <c r="Y1456" s="16" t="n">
        <v>281.6568869652932</v>
      </c>
      <c r="Z1456" s="16" t="n">
        <v>6.859064001776701</v>
      </c>
      <c r="AA1456" s="16" t="n">
        <v>104.2636474014828</v>
      </c>
      <c r="AB1456" s="16" t="n">
        <v>1725.534171797025</v>
      </c>
      <c r="AC1456" s="16" t="n">
        <v>2.582701470222124</v>
      </c>
      <c r="AD1456" s="16" t="n"/>
      <c r="AE1456" s="16" t="n"/>
    </row>
    <row r="1457">
      <c r="A1457" s="16" t="inlineStr">
        <is>
          <t>KF-M04b-0085</t>
        </is>
      </c>
      <c r="B1457" s="16" t="inlineStr">
        <is>
          <t>3.2</t>
        </is>
      </c>
      <c r="C1457" s="16" t="inlineStr">
        <is>
          <t>3.2</t>
        </is>
      </c>
      <c r="D1457" s="16" t="inlineStr">
        <is>
          <t>muestra de 200 puntos</t>
        </is>
      </c>
      <c r="E1457" s="16" t="inlineStr">
        <is>
          <t>KF-M04b</t>
        </is>
      </c>
      <c r="F1457" s="16" t="inlineStr">
        <is>
          <t>KF-M04b</t>
        </is>
      </c>
      <c r="G1457" s="16" t="inlineStr">
        <is>
          <t>B07</t>
        </is>
      </c>
      <c r="H1457" s="16" t="inlineStr">
        <is>
          <t>lhs</t>
        </is>
      </c>
      <c r="I1457" s="16" t="inlineStr">
        <is>
          <t>CORREGIBLE</t>
        </is>
      </c>
      <c r="J1457" s="16" t="inlineStr">
        <is>
          <t>CORREGIBLE</t>
        </is>
      </c>
      <c r="K1457" s="16" t="b">
        <v>1</v>
      </c>
      <c r="L1457" s="16" t="b">
        <v>0</v>
      </c>
      <c r="M1457" s="16" t="b">
        <v>1</v>
      </c>
      <c r="N1457" s="16" t="b">
        <v>0</v>
      </c>
      <c r="O1457" s="16" t="n">
        <v>481.0862947336252</v>
      </c>
      <c r="P1457" s="16" t="n">
        <v>300.0622935244317</v>
      </c>
      <c r="Q1457" s="16" t="n">
        <v>2580.865873678349</v>
      </c>
      <c r="R1457" s="16" t="n">
        <v>779.7090627737823</v>
      </c>
      <c r="S1457" s="16" t="n">
        <v>0.6110057112236769</v>
      </c>
      <c r="T1457" s="16" t="n">
        <v>0.7677851796066395</v>
      </c>
      <c r="U1457" s="16" t="n">
        <v>0.7848734130034873</v>
      </c>
      <c r="V1457" s="16" t="n">
        <v>0.6146305148107103</v>
      </c>
      <c r="W1457" s="16" t="n">
        <v>0.8399077266241318</v>
      </c>
      <c r="X1457" s="16" t="n">
        <v>0.775672105329327</v>
      </c>
      <c r="Y1457" s="16" t="n">
        <v>300.0622935244317</v>
      </c>
      <c r="Z1457" s="16" t="n">
        <v>7.72149844715936</v>
      </c>
      <c r="AA1457" s="16" t="n">
        <v>86.68925100837097</v>
      </c>
      <c r="AB1457" s="16" t="n">
        <v>1801.156810904567</v>
      </c>
      <c r="AC1457" s="16" t="n">
        <v>3.310037034194558</v>
      </c>
      <c r="AD1457" s="16" t="inlineStr">
        <is>
          <t>O2</t>
        </is>
      </c>
      <c r="AE1457" s="16" t="n"/>
    </row>
    <row r="1458">
      <c r="A1458" s="16" t="inlineStr">
        <is>
          <t>KF-M04b-0086</t>
        </is>
      </c>
      <c r="B1458" s="16" t="inlineStr">
        <is>
          <t>3.2</t>
        </is>
      </c>
      <c r="C1458" s="16" t="inlineStr">
        <is>
          <t>3.2</t>
        </is>
      </c>
      <c r="D1458" s="16" t="inlineStr">
        <is>
          <t>muestra de 200 puntos</t>
        </is>
      </c>
      <c r="E1458" s="16" t="inlineStr">
        <is>
          <t>KF-M04b</t>
        </is>
      </c>
      <c r="F1458" s="16" t="inlineStr">
        <is>
          <t>KF-M04b</t>
        </is>
      </c>
      <c r="G1458" s="16" t="inlineStr">
        <is>
          <t>B07</t>
        </is>
      </c>
      <c r="H1458" s="16" t="inlineStr">
        <is>
          <t>lhs</t>
        </is>
      </c>
      <c r="I1458" s="16" t="inlineStr">
        <is>
          <t>CORREGIBLE</t>
        </is>
      </c>
      <c r="J1458" s="16" t="inlineStr">
        <is>
          <t>CORREGIBLE</t>
        </is>
      </c>
      <c r="K1458" s="16" t="b">
        <v>1</v>
      </c>
      <c r="L1458" s="16" t="b">
        <v>0</v>
      </c>
      <c r="M1458" s="16" t="b">
        <v>0</v>
      </c>
      <c r="N1458" s="16" t="b">
        <v>0</v>
      </c>
      <c r="O1458" s="16" t="n">
        <v>388.2201361519083</v>
      </c>
      <c r="P1458" s="16" t="n">
        <v>279.9918669714973</v>
      </c>
      <c r="Q1458" s="16" t="n">
        <v>4527.030702036714</v>
      </c>
      <c r="R1458" s="16" t="n">
        <v>1072.261035219792</v>
      </c>
      <c r="S1458" s="16" t="n">
        <v>0.811781861360531</v>
      </c>
      <c r="T1458" s="16" t="n">
        <v>0.7631213196379093</v>
      </c>
      <c r="U1458" s="16" t="n">
        <v>0.7867235105652842</v>
      </c>
      <c r="V1458" s="16" t="n">
        <v>0.9031045363573575</v>
      </c>
      <c r="W1458" s="16" t="n">
        <v>0.8381451306190393</v>
      </c>
      <c r="X1458" s="16" t="n">
        <v>0.8029605207710027</v>
      </c>
      <c r="Y1458" s="16" t="n">
        <v>279.9918669714973</v>
      </c>
      <c r="Z1458" s="16" t="n">
        <v>10.04309551757894</v>
      </c>
      <c r="AA1458" s="16" t="n">
        <v>62.76093034853533</v>
      </c>
      <c r="AB1458" s="16" t="n">
        <v>3454.769666816921</v>
      </c>
      <c r="AC1458" s="16" t="n">
        <v>4.221948344051094</v>
      </c>
      <c r="AD1458" s="16" t="inlineStr">
        <is>
          <t>O2</t>
        </is>
      </c>
      <c r="AE1458" s="16" t="n"/>
    </row>
    <row r="1459">
      <c r="A1459" s="16" t="inlineStr">
        <is>
          <t>KF-M04b-0087</t>
        </is>
      </c>
      <c r="B1459" s="16" t="inlineStr">
        <is>
          <t>3.2</t>
        </is>
      </c>
      <c r="C1459" s="16" t="inlineStr">
        <is>
          <t>3.2</t>
        </is>
      </c>
      <c r="D1459" s="16" t="inlineStr">
        <is>
          <t>muestra de 200 puntos</t>
        </is>
      </c>
      <c r="E1459" s="16" t="inlineStr">
        <is>
          <t>KF-M04b</t>
        </is>
      </c>
      <c r="F1459" s="16" t="inlineStr">
        <is>
          <t>KF-M04b</t>
        </is>
      </c>
      <c r="G1459" s="16" t="inlineStr">
        <is>
          <t>B07</t>
        </is>
      </c>
      <c r="H1459" s="16" t="inlineStr">
        <is>
          <t>lhs</t>
        </is>
      </c>
      <c r="I1459" s="16" t="inlineStr">
        <is>
          <t>CORREGIBLE</t>
        </is>
      </c>
      <c r="J1459" s="16" t="inlineStr">
        <is>
          <t>CORREGIBLE</t>
        </is>
      </c>
      <c r="K1459" s="16" t="b">
        <v>1</v>
      </c>
      <c r="L1459" s="16" t="b">
        <v>0</v>
      </c>
      <c r="M1459" s="16" t="b">
        <v>1</v>
      </c>
      <c r="N1459" s="16" t="b">
        <v>0</v>
      </c>
      <c r="O1459" s="16" t="n">
        <v>478.2728581788985</v>
      </c>
      <c r="P1459" s="16" t="n">
        <v>280.0728312820038</v>
      </c>
      <c r="Q1459" s="16" t="n">
        <v>3798.265736331154</v>
      </c>
      <c r="R1459" s="16" t="n">
        <v>484.3009558692722</v>
      </c>
      <c r="S1459" s="16" t="n">
        <v>0.7103621178553517</v>
      </c>
      <c r="T1459" s="16" t="n">
        <v>0.8085979971322252</v>
      </c>
      <c r="U1459" s="16" t="n">
        <v>0.8984531214839195</v>
      </c>
      <c r="V1459" s="16" t="n">
        <v>0.8104311266658926</v>
      </c>
      <c r="W1459" s="16" t="n">
        <v>0.7615126064431835</v>
      </c>
      <c r="X1459" s="16" t="n">
        <v>0.8624057748393652</v>
      </c>
      <c r="Y1459" s="16" t="n">
        <v>280.0728312820038</v>
      </c>
      <c r="Z1459" s="16" t="n">
        <v>14.74766099842948</v>
      </c>
      <c r="AA1459" s="16" t="n">
        <v>222.4828470021177</v>
      </c>
      <c r="AB1459" s="16" t="n">
        <v>3313.964780461882</v>
      </c>
      <c r="AC1459" s="16" t="n">
        <v>7.842779763904541</v>
      </c>
      <c r="AD1459" s="16" t="inlineStr">
        <is>
          <t>O2</t>
        </is>
      </c>
      <c r="AE1459" s="16" t="n"/>
    </row>
    <row r="1460">
      <c r="A1460" s="16" t="inlineStr">
        <is>
          <t>KF-M04b-0088</t>
        </is>
      </c>
      <c r="B1460" s="16" t="inlineStr">
        <is>
          <t>3.2</t>
        </is>
      </c>
      <c r="C1460" s="16" t="inlineStr">
        <is>
          <t>3.2</t>
        </is>
      </c>
      <c r="D1460" s="16" t="inlineStr">
        <is>
          <t>muestra de 200 puntos</t>
        </is>
      </c>
      <c r="E1460" s="16" t="inlineStr">
        <is>
          <t>KF-M04b</t>
        </is>
      </c>
      <c r="F1460" s="16" t="inlineStr">
        <is>
          <t>KF-M04b</t>
        </is>
      </c>
      <c r="G1460" s="16" t="inlineStr">
        <is>
          <t>B07</t>
        </is>
      </c>
      <c r="H1460" s="16" t="inlineStr">
        <is>
          <t>lhs</t>
        </is>
      </c>
      <c r="I1460" s="16" t="inlineStr">
        <is>
          <t>INVIABLE</t>
        </is>
      </c>
      <c r="J1460" s="16" t="inlineStr">
        <is>
          <t>INVIABLE</t>
        </is>
      </c>
      <c r="K1460" s="16" t="b">
        <v>1</v>
      </c>
      <c r="L1460" s="16" t="b">
        <v>0</v>
      </c>
      <c r="M1460" s="16" t="b">
        <v>0</v>
      </c>
      <c r="N1460" s="16" t="b">
        <v>0</v>
      </c>
      <c r="O1460" s="16" t="n">
        <v>407.9983163338112</v>
      </c>
      <c r="P1460" s="16" t="n">
        <v>301.1960532983114</v>
      </c>
      <c r="Q1460" s="16" t="n">
        <v>2697.190256342048</v>
      </c>
      <c r="R1460" s="16" t="n">
        <v>335.2403095449289</v>
      </c>
      <c r="S1460" s="16" t="n">
        <v>0.7295322469369863</v>
      </c>
      <c r="T1460" s="16" t="n">
        <v>0.8978543870316863</v>
      </c>
      <c r="U1460" s="16" t="n">
        <v>0.6986365150886138</v>
      </c>
      <c r="V1460" s="16" t="n">
        <v>0.7415572491594445</v>
      </c>
      <c r="W1460" s="16" t="n">
        <v>0.8791258017406656</v>
      </c>
      <c r="X1460" s="16" t="n">
        <v>0.8201074197668631</v>
      </c>
      <c r="Y1460" s="16" t="n">
        <v>301.1960532983114</v>
      </c>
      <c r="Z1460" s="16" t="n">
        <v>-18.47947815046222</v>
      </c>
      <c r="AA1460" s="16" t="n">
        <v>-42.75351224447255</v>
      </c>
      <c r="AB1460" s="16" t="n">
        <v>2361.949946797119</v>
      </c>
      <c r="AC1460" s="16" t="n">
        <v>8.045542792879955</v>
      </c>
      <c r="AD1460" s="16" t="inlineStr">
        <is>
          <t>O2,O3</t>
        </is>
      </c>
      <c r="AE1460" s="16" t="n"/>
    </row>
    <row r="1461">
      <c r="A1461" s="16" t="inlineStr">
        <is>
          <t>KF-M04b-0089</t>
        </is>
      </c>
      <c r="B1461" s="16" t="inlineStr">
        <is>
          <t>3.2</t>
        </is>
      </c>
      <c r="C1461" s="16" t="inlineStr">
        <is>
          <t>3.2</t>
        </is>
      </c>
      <c r="D1461" s="16" t="inlineStr">
        <is>
          <t>muestra de 200 puntos</t>
        </is>
      </c>
      <c r="E1461" s="16" t="inlineStr">
        <is>
          <t>KF-M04b</t>
        </is>
      </c>
      <c r="F1461" s="16" t="inlineStr">
        <is>
          <t>KF-M04b</t>
        </is>
      </c>
      <c r="G1461" s="16" t="inlineStr">
        <is>
          <t>B07</t>
        </is>
      </c>
      <c r="H1461" s="16" t="inlineStr">
        <is>
          <t>lhs</t>
        </is>
      </c>
      <c r="I1461" s="16" t="inlineStr">
        <is>
          <t>CORREGIBLE</t>
        </is>
      </c>
      <c r="J1461" s="16" t="inlineStr">
        <is>
          <t>CORREGIBLE</t>
        </is>
      </c>
      <c r="K1461" s="16" t="b">
        <v>1</v>
      </c>
      <c r="L1461" s="16" t="b">
        <v>0</v>
      </c>
      <c r="M1461" s="16" t="b">
        <v>0</v>
      </c>
      <c r="N1461" s="16" t="b">
        <v>0</v>
      </c>
      <c r="O1461" s="16" t="n">
        <v>419.0575760780754</v>
      </c>
      <c r="P1461" s="16" t="n">
        <v>292.179482005938</v>
      </c>
      <c r="Q1461" s="16" t="n">
        <v>4870.948860030223</v>
      </c>
      <c r="R1461" s="16" t="n">
        <v>1097.645709423847</v>
      </c>
      <c r="S1461" s="16" t="n">
        <v>0.8010072842307044</v>
      </c>
      <c r="T1461" s="16" t="n">
        <v>0.832693244230552</v>
      </c>
      <c r="U1461" s="16" t="n">
        <v>0.8468451285759406</v>
      </c>
      <c r="V1461" s="16" t="n">
        <v>0.8157019734176501</v>
      </c>
      <c r="W1461" s="16" t="n">
        <v>0.7603129964823436</v>
      </c>
      <c r="X1461" s="16" t="n">
        <v>0.8146955099518061</v>
      </c>
      <c r="Y1461" s="16" t="n">
        <v>292.179482005938</v>
      </c>
      <c r="Z1461" s="16" t="n">
        <v>12.3492965145229</v>
      </c>
      <c r="AA1461" s="16" t="n">
        <v>100.3463263297362</v>
      </c>
      <c r="AB1461" s="16" t="n">
        <v>3773.303150606375</v>
      </c>
      <c r="AC1461" s="16" t="n">
        <v>4.437633034239233</v>
      </c>
      <c r="AD1461" s="16" t="inlineStr">
        <is>
          <t>O2</t>
        </is>
      </c>
      <c r="AE1461" s="16" t="n"/>
    </row>
    <row r="1462">
      <c r="A1462" s="16" t="inlineStr">
        <is>
          <t>KF-M04b-0090</t>
        </is>
      </c>
      <c r="B1462" s="16" t="inlineStr">
        <is>
          <t>3.2</t>
        </is>
      </c>
      <c r="C1462" s="16" t="inlineStr">
        <is>
          <t>3.2</t>
        </is>
      </c>
      <c r="D1462" s="16" t="inlineStr">
        <is>
          <t>muestra de 200 puntos</t>
        </is>
      </c>
      <c r="E1462" s="16" t="inlineStr">
        <is>
          <t>KF-M04b</t>
        </is>
      </c>
      <c r="F1462" s="16" t="inlineStr">
        <is>
          <t>KF-M04b</t>
        </is>
      </c>
      <c r="G1462" s="16" t="inlineStr">
        <is>
          <t>B07</t>
        </is>
      </c>
      <c r="H1462" s="16" t="inlineStr">
        <is>
          <t>lhs</t>
        </is>
      </c>
      <c r="I1462" s="16" t="inlineStr">
        <is>
          <t>CORREGIBLE</t>
        </is>
      </c>
      <c r="J1462" s="16" t="inlineStr">
        <is>
          <t>CORREGIBLE</t>
        </is>
      </c>
      <c r="K1462" s="16" t="b">
        <v>1</v>
      </c>
      <c r="L1462" s="16" t="b">
        <v>0</v>
      </c>
      <c r="M1462" s="16" t="b">
        <v>0</v>
      </c>
      <c r="N1462" s="16" t="b">
        <v>0</v>
      </c>
      <c r="O1462" s="16" t="n">
        <v>400.1625888639119</v>
      </c>
      <c r="P1462" s="16" t="n">
        <v>286.6812739384961</v>
      </c>
      <c r="Q1462" s="16" t="n">
        <v>3024.072191977454</v>
      </c>
      <c r="R1462" s="16" t="n">
        <v>456.9459612600096</v>
      </c>
      <c r="S1462" s="16" t="n">
        <v>0.6924649039388179</v>
      </c>
      <c r="T1462" s="16" t="n">
        <v>0.8879437618144579</v>
      </c>
      <c r="U1462" s="16" t="n">
        <v>0.8639665316604784</v>
      </c>
      <c r="V1462" s="16" t="n">
        <v>0.8467783371463968</v>
      </c>
      <c r="W1462" s="16" t="n">
        <v>0.6303990452502132</v>
      </c>
      <c r="X1462" s="16" t="n">
        <v>0.7967511603833575</v>
      </c>
      <c r="Y1462" s="16" t="n">
        <v>286.6812739384961</v>
      </c>
      <c r="Z1462" s="16" t="n">
        <v>13.96169565169683</v>
      </c>
      <c r="AA1462" s="16" t="n">
        <v>97.00517257981193</v>
      </c>
      <c r="AB1462" s="16" t="n">
        <v>2567.126230717445</v>
      </c>
      <c r="AC1462" s="16" t="n">
        <v>6.618008360635687</v>
      </c>
      <c r="AD1462" s="16" t="inlineStr">
        <is>
          <t>O2</t>
        </is>
      </c>
      <c r="AE1462" s="16" t="n"/>
    </row>
    <row r="1463">
      <c r="A1463" s="16" t="inlineStr">
        <is>
          <t>KF-M04b-0091</t>
        </is>
      </c>
      <c r="B1463" s="16" t="inlineStr">
        <is>
          <t>3.2</t>
        </is>
      </c>
      <c r="C1463" s="16" t="inlineStr">
        <is>
          <t>3.2</t>
        </is>
      </c>
      <c r="D1463" s="16" t="inlineStr">
        <is>
          <t>muestra de 200 puntos</t>
        </is>
      </c>
      <c r="E1463" s="16" t="inlineStr">
        <is>
          <t>KF-M04b</t>
        </is>
      </c>
      <c r="F1463" s="16" t="inlineStr">
        <is>
          <t>KF-M04b</t>
        </is>
      </c>
      <c r="G1463" s="16" t="inlineStr">
        <is>
          <t>B07</t>
        </is>
      </c>
      <c r="H1463" s="16" t="inlineStr">
        <is>
          <t>lhs</t>
        </is>
      </c>
      <c r="I1463" s="16" t="inlineStr">
        <is>
          <t>CORREGIBLE</t>
        </is>
      </c>
      <c r="J1463" s="16" t="inlineStr">
        <is>
          <t>CORREGIBLE</t>
        </is>
      </c>
      <c r="K1463" s="16" t="b">
        <v>1</v>
      </c>
      <c r="L1463" s="16" t="b">
        <v>0</v>
      </c>
      <c r="M1463" s="16" t="b">
        <v>0</v>
      </c>
      <c r="N1463" s="16" t="b">
        <v>0</v>
      </c>
      <c r="O1463" s="16" t="n">
        <v>415.6689041243427</v>
      </c>
      <c r="P1463" s="16" t="n">
        <v>282.3699605989569</v>
      </c>
      <c r="Q1463" s="16" t="n">
        <v>4561.306855575673</v>
      </c>
      <c r="R1463" s="16" t="n">
        <v>316.0336741003949</v>
      </c>
      <c r="S1463" s="16" t="n">
        <v>0.6784930641611048</v>
      </c>
      <c r="T1463" s="16" t="n">
        <v>0.785091362970163</v>
      </c>
      <c r="U1463" s="16" t="n">
        <v>0.7222126919262202</v>
      </c>
      <c r="V1463" s="16" t="n">
        <v>0.7116308154654483</v>
      </c>
      <c r="W1463" s="16" t="n">
        <v>0.9031477857177058</v>
      </c>
      <c r="X1463" s="16" t="n">
        <v>0.8096654631297596</v>
      </c>
      <c r="Y1463" s="16" t="n">
        <v>282.3699605989569</v>
      </c>
      <c r="Z1463" s="16" t="n">
        <v>10.86549220231758</v>
      </c>
      <c r="AA1463" s="16" t="n">
        <v>47.20715001689467</v>
      </c>
      <c r="AB1463" s="16" t="n">
        <v>4245.273181475278</v>
      </c>
      <c r="AC1463" s="16" t="n">
        <v>14.43297733559454</v>
      </c>
      <c r="AD1463" s="16" t="inlineStr">
        <is>
          <t>O2</t>
        </is>
      </c>
      <c r="AE1463" s="16" t="n"/>
    </row>
    <row r="1464">
      <c r="A1464" s="16" t="inlineStr">
        <is>
          <t>KF-M04b-0092</t>
        </is>
      </c>
      <c r="B1464" s="16" t="inlineStr">
        <is>
          <t>3.2</t>
        </is>
      </c>
      <c r="C1464" s="16" t="inlineStr">
        <is>
          <t>3.2</t>
        </is>
      </c>
      <c r="D1464" s="16" t="inlineStr">
        <is>
          <t>muestra de 200 puntos</t>
        </is>
      </c>
      <c r="E1464" s="16" t="inlineStr">
        <is>
          <t>KF-M04b</t>
        </is>
      </c>
      <c r="F1464" s="16" t="inlineStr">
        <is>
          <t>KF-M04b</t>
        </is>
      </c>
      <c r="G1464" s="16" t="inlineStr">
        <is>
          <t>B07</t>
        </is>
      </c>
      <c r="H1464" s="16" t="inlineStr">
        <is>
          <t>lhs</t>
        </is>
      </c>
      <c r="I1464" s="16" t="inlineStr">
        <is>
          <t>CORREGIBLE</t>
        </is>
      </c>
      <c r="J1464" s="16" t="inlineStr">
        <is>
          <t>CORREGIBLE</t>
        </is>
      </c>
      <c r="K1464" s="16" t="b">
        <v>1</v>
      </c>
      <c r="L1464" s="16" t="b">
        <v>0</v>
      </c>
      <c r="M1464" s="16" t="b">
        <v>1</v>
      </c>
      <c r="N1464" s="16" t="b">
        <v>0</v>
      </c>
      <c r="O1464" s="16" t="n">
        <v>449.2116716338692</v>
      </c>
      <c r="P1464" s="16" t="n">
        <v>302.253104949392</v>
      </c>
      <c r="Q1464" s="16" t="n">
        <v>3353.022928262066</v>
      </c>
      <c r="R1464" s="16" t="n">
        <v>1497.185787006144</v>
      </c>
      <c r="S1464" s="16" t="n">
        <v>0.680135051288416</v>
      </c>
      <c r="T1464" s="16" t="n">
        <v>0.8070378910076541</v>
      </c>
      <c r="U1464" s="16" t="n">
        <v>0.6950214249340421</v>
      </c>
      <c r="V1464" s="16" t="n">
        <v>0.7003160784188321</v>
      </c>
      <c r="W1464" s="16" t="n">
        <v>0.832700964107611</v>
      </c>
      <c r="X1464" s="16" t="n">
        <v>0.784552655520484</v>
      </c>
      <c r="Y1464" s="16" t="n">
        <v>302.253104949392</v>
      </c>
      <c r="Z1464" s="16" t="n">
        <v>6.48133908337398</v>
      </c>
      <c r="AA1464" s="16" t="n">
        <v>64.3447165360289</v>
      </c>
      <c r="AB1464" s="16" t="n">
        <v>1855.837141255922</v>
      </c>
      <c r="AC1464" s="16" t="n">
        <v>2.239550333273572</v>
      </c>
      <c r="AD1464" s="16" t="inlineStr">
        <is>
          <t>O2</t>
        </is>
      </c>
      <c r="AE1464" s="16" t="n"/>
    </row>
    <row r="1465">
      <c r="A1465" s="16" t="inlineStr">
        <is>
          <t>KF-M04b-0093</t>
        </is>
      </c>
      <c r="B1465" s="16" t="inlineStr">
        <is>
          <t>3.2</t>
        </is>
      </c>
      <c r="C1465" s="16" t="inlineStr">
        <is>
          <t>3.2</t>
        </is>
      </c>
      <c r="D1465" s="16" t="inlineStr">
        <is>
          <t>muestra de 200 puntos</t>
        </is>
      </c>
      <c r="E1465" s="16" t="inlineStr">
        <is>
          <t>KF-M04b</t>
        </is>
      </c>
      <c r="F1465" s="16" t="inlineStr">
        <is>
          <t>KF-M04b</t>
        </is>
      </c>
      <c r="G1465" s="16" t="inlineStr">
        <is>
          <t>B07</t>
        </is>
      </c>
      <c r="H1465" s="16" t="inlineStr">
        <is>
          <t>lhs</t>
        </is>
      </c>
      <c r="I1465" s="16" t="inlineStr">
        <is>
          <t>CORREGIBLE</t>
        </is>
      </c>
      <c r="J1465" s="16" t="inlineStr">
        <is>
          <t>CORREGIBLE</t>
        </is>
      </c>
      <c r="K1465" s="16" t="b">
        <v>1</v>
      </c>
      <c r="L1465" s="16" t="b">
        <v>0</v>
      </c>
      <c r="M1465" s="16" t="b">
        <v>0</v>
      </c>
      <c r="N1465" s="16" t="b">
        <v>0</v>
      </c>
      <c r="O1465" s="16" t="n">
        <v>386.9048793765245</v>
      </c>
      <c r="P1465" s="16" t="n">
        <v>291.8934510054804</v>
      </c>
      <c r="Q1465" s="16" t="n">
        <v>3365.235697529324</v>
      </c>
      <c r="R1465" s="16" t="n">
        <v>427.5523885560019</v>
      </c>
      <c r="S1465" s="16" t="n">
        <v>0.6942143529667242</v>
      </c>
      <c r="T1465" s="16" t="n">
        <v>0.781825379295336</v>
      </c>
      <c r="U1465" s="16" t="n">
        <v>0.8831768871063563</v>
      </c>
      <c r="V1465" s="16" t="n">
        <v>0.6160669473701579</v>
      </c>
      <c r="W1465" s="16" t="n">
        <v>0.6106739430530115</v>
      </c>
      <c r="X1465" s="16" t="n">
        <v>0.8434232271668114</v>
      </c>
      <c r="Y1465" s="16" t="n">
        <v>291.8934510054804</v>
      </c>
      <c r="Z1465" s="16" t="n">
        <v>1.37992154862441</v>
      </c>
      <c r="AA1465" s="16" t="n">
        <v>3.930296132023889</v>
      </c>
      <c r="AB1465" s="16" t="n">
        <v>2937.683308973322</v>
      </c>
      <c r="AC1465" s="16" t="n">
        <v>7.870931814683423</v>
      </c>
      <c r="AD1465" s="16" t="inlineStr">
        <is>
          <t>O2</t>
        </is>
      </c>
      <c r="AE1465" s="16" t="n"/>
    </row>
    <row r="1466">
      <c r="A1466" s="16" t="inlineStr">
        <is>
          <t>KF-M04b-0094</t>
        </is>
      </c>
      <c r="B1466" s="16" t="inlineStr">
        <is>
          <t>3.2</t>
        </is>
      </c>
      <c r="C1466" s="16" t="inlineStr">
        <is>
          <t>3.2</t>
        </is>
      </c>
      <c r="D1466" s="16" t="inlineStr">
        <is>
          <t>muestra de 200 puntos</t>
        </is>
      </c>
      <c r="E1466" s="16" t="inlineStr">
        <is>
          <t>KF-M04b</t>
        </is>
      </c>
      <c r="F1466" s="16" t="inlineStr">
        <is>
          <t>KF-M04b</t>
        </is>
      </c>
      <c r="G1466" s="16" t="inlineStr">
        <is>
          <t>B07</t>
        </is>
      </c>
      <c r="H1466" s="16" t="inlineStr">
        <is>
          <t>lhs</t>
        </is>
      </c>
      <c r="I1466" s="16" t="inlineStr">
        <is>
          <t>CORREGIBLE</t>
        </is>
      </c>
      <c r="J1466" s="16" t="inlineStr">
        <is>
          <t>CORREGIBLE</t>
        </is>
      </c>
      <c r="K1466" s="16" t="b">
        <v>1</v>
      </c>
      <c r="L1466" s="16" t="b">
        <v>0</v>
      </c>
      <c r="M1466" s="16" t="b">
        <v>1</v>
      </c>
      <c r="N1466" s="16" t="b">
        <v>0</v>
      </c>
      <c r="O1466" s="16" t="n">
        <v>450.5012198582779</v>
      </c>
      <c r="P1466" s="16" t="n">
        <v>278.4534624821488</v>
      </c>
      <c r="Q1466" s="16" t="n">
        <v>3916.991105548818</v>
      </c>
      <c r="R1466" s="16" t="n">
        <v>1121.268866483308</v>
      </c>
      <c r="S1466" s="16" t="n">
        <v>0.6753902741010486</v>
      </c>
      <c r="T1466" s="16" t="n">
        <v>0.8142092382625209</v>
      </c>
      <c r="U1466" s="16" t="n">
        <v>0.8059462589282519</v>
      </c>
      <c r="V1466" s="16" t="n">
        <v>0.6123776019315232</v>
      </c>
      <c r="W1466" s="16" t="n">
        <v>0.9047064151638324</v>
      </c>
      <c r="X1466" s="16" t="n">
        <v>0.7487903758363119</v>
      </c>
      <c r="Y1466" s="16" t="n">
        <v>278.4534624821488</v>
      </c>
      <c r="Z1466" s="16" t="n">
        <v>10.14099847071208</v>
      </c>
      <c r="AA1466" s="16" t="n">
        <v>82.65640884420614</v>
      </c>
      <c r="AB1466" s="16" t="n">
        <v>2795.72223906551</v>
      </c>
      <c r="AC1466" s="16" t="n">
        <v>3.493355806653113</v>
      </c>
      <c r="AD1466" s="16" t="inlineStr">
        <is>
          <t>O2</t>
        </is>
      </c>
      <c r="AE1466" s="16" t="n"/>
    </row>
    <row r="1467">
      <c r="A1467" s="16" t="inlineStr">
        <is>
          <t>KF-M04b-0095</t>
        </is>
      </c>
      <c r="B1467" s="16" t="inlineStr">
        <is>
          <t>3.2</t>
        </is>
      </c>
      <c r="C1467" s="16" t="inlineStr">
        <is>
          <t>3.2</t>
        </is>
      </c>
      <c r="D1467" s="16" t="inlineStr">
        <is>
          <t>muestra de 200 puntos</t>
        </is>
      </c>
      <c r="E1467" s="16" t="inlineStr">
        <is>
          <t>KF-M04b</t>
        </is>
      </c>
      <c r="F1467" s="16" t="inlineStr">
        <is>
          <t>KF-M04b</t>
        </is>
      </c>
      <c r="G1467" s="16" t="inlineStr">
        <is>
          <t>B07</t>
        </is>
      </c>
      <c r="H1467" s="16" t="inlineStr">
        <is>
          <t>lhs</t>
        </is>
      </c>
      <c r="I1467" s="16" t="inlineStr">
        <is>
          <t>CORREGIBLE</t>
        </is>
      </c>
      <c r="J1467" s="16" t="inlineStr">
        <is>
          <t>CORREGIBLE</t>
        </is>
      </c>
      <c r="K1467" s="16" t="b">
        <v>1</v>
      </c>
      <c r="L1467" s="16" t="b">
        <v>0</v>
      </c>
      <c r="M1467" s="16" t="b">
        <v>0</v>
      </c>
      <c r="N1467" s="16" t="b">
        <v>0</v>
      </c>
      <c r="O1467" s="16" t="n">
        <v>445.9551351454318</v>
      </c>
      <c r="P1467" s="16" t="n">
        <v>290.8582915635683</v>
      </c>
      <c r="Q1467" s="16" t="n">
        <v>3096.516701422712</v>
      </c>
      <c r="R1467" s="16" t="n">
        <v>836.0583169465763</v>
      </c>
      <c r="S1467" s="16" t="n">
        <v>0.8417745818831525</v>
      </c>
      <c r="T1467" s="16" t="n">
        <v>0.7568089648862433</v>
      </c>
      <c r="U1467" s="16" t="n">
        <v>0.6654198584019837</v>
      </c>
      <c r="V1467" s="16" t="n">
        <v>0.8135772465087853</v>
      </c>
      <c r="W1467" s="16" t="n">
        <v>0.6950588401514826</v>
      </c>
      <c r="X1467" s="16" t="n">
        <v>0.7108686930128081</v>
      </c>
      <c r="Y1467" s="16" t="n">
        <v>290.8582915635683</v>
      </c>
      <c r="Z1467" s="16" t="n">
        <v>7.61647152646332</v>
      </c>
      <c r="AA1467" s="16" t="n">
        <v>81.98360388788046</v>
      </c>
      <c r="AB1467" s="16" t="n">
        <v>2260.458384476136</v>
      </c>
      <c r="AC1467" s="16" t="n">
        <v>3.70370898615267</v>
      </c>
      <c r="AD1467" s="16" t="inlineStr">
        <is>
          <t>O2</t>
        </is>
      </c>
      <c r="AE1467" s="16" t="n"/>
    </row>
    <row r="1468">
      <c r="A1468" s="16" t="inlineStr">
        <is>
          <t>KF-M04b-0096</t>
        </is>
      </c>
      <c r="B1468" s="16" t="inlineStr">
        <is>
          <t>3.2</t>
        </is>
      </c>
      <c r="C1468" s="16" t="inlineStr">
        <is>
          <t>3.2</t>
        </is>
      </c>
      <c r="D1468" s="16" t="inlineStr">
        <is>
          <t>muestra de 200 puntos</t>
        </is>
      </c>
      <c r="E1468" s="16" t="inlineStr">
        <is>
          <t>KF-M04b</t>
        </is>
      </c>
      <c r="F1468" s="16" t="inlineStr">
        <is>
          <t>KF-M04b</t>
        </is>
      </c>
      <c r="G1468" s="16" t="inlineStr">
        <is>
          <t>B07</t>
        </is>
      </c>
      <c r="H1468" s="16" t="inlineStr">
        <is>
          <t>lhs</t>
        </is>
      </c>
      <c r="I1468" s="16" t="inlineStr">
        <is>
          <t>KALINA</t>
        </is>
      </c>
      <c r="J1468" s="16" t="inlineStr">
        <is>
          <t>KALINA</t>
        </is>
      </c>
      <c r="K1468" s="16" t="b">
        <v>1</v>
      </c>
      <c r="L1468" s="16" t="b">
        <v>1</v>
      </c>
      <c r="M1468" s="16" t="b">
        <v>0</v>
      </c>
      <c r="N1468" s="16" t="b">
        <v>0</v>
      </c>
      <c r="O1468" s="16" t="n">
        <v>467.9064229088403</v>
      </c>
      <c r="P1468" s="16" t="n">
        <v>280.6309660159708</v>
      </c>
      <c r="Q1468" s="16" t="n">
        <v>3285.18414769873</v>
      </c>
      <c r="R1468" s="16" t="n">
        <v>1416.577729466989</v>
      </c>
      <c r="S1468" s="16" t="n">
        <v>0.7542819053606281</v>
      </c>
      <c r="T1468" s="16" t="n">
        <v>0.835911673490296</v>
      </c>
      <c r="U1468" s="16" t="n">
        <v>0.8265477648848218</v>
      </c>
      <c r="V1468" s="16" t="n">
        <v>0.671247218762798</v>
      </c>
      <c r="W1468" s="16" t="n">
        <v>0.6914812569250758</v>
      </c>
      <c r="X1468" s="16" t="n">
        <v>0.9445697141857248</v>
      </c>
      <c r="Y1468" s="16" t="n">
        <v>280.6309660159708</v>
      </c>
      <c r="Z1468" s="16" t="n">
        <v>6.62816327609575</v>
      </c>
      <c r="AA1468" s="16" t="n">
        <v>83.74607066128587</v>
      </c>
      <c r="AB1468" s="16" t="n">
        <v>1868.60641823174</v>
      </c>
      <c r="AC1468" s="16" t="n">
        <v>2.319099107208776</v>
      </c>
      <c r="AD1468" s="16" t="n"/>
      <c r="AE1468" s="16" t="n"/>
    </row>
    <row r="1469">
      <c r="A1469" s="16" t="inlineStr">
        <is>
          <t>KF-M04b-0097</t>
        </is>
      </c>
      <c r="B1469" s="16" t="inlineStr">
        <is>
          <t>3.2</t>
        </is>
      </c>
      <c r="C1469" s="16" t="inlineStr">
        <is>
          <t>3.2</t>
        </is>
      </c>
      <c r="D1469" s="16" t="inlineStr">
        <is>
          <t>muestra de 200 puntos</t>
        </is>
      </c>
      <c r="E1469" s="16" t="inlineStr">
        <is>
          <t>KF-M04b</t>
        </is>
      </c>
      <c r="F1469" s="16" t="inlineStr">
        <is>
          <t>KF-M04b</t>
        </is>
      </c>
      <c r="G1469" s="16" t="inlineStr">
        <is>
          <t>B07</t>
        </is>
      </c>
      <c r="H1469" s="16" t="inlineStr">
        <is>
          <t>lhs</t>
        </is>
      </c>
      <c r="I1469" s="16" t="inlineStr">
        <is>
          <t>CORREGIBLE</t>
        </is>
      </c>
      <c r="J1469" s="16" t="inlineStr">
        <is>
          <t>CORREGIBLE</t>
        </is>
      </c>
      <c r="K1469" s="16" t="b">
        <v>1</v>
      </c>
      <c r="L1469" s="16" t="b">
        <v>0</v>
      </c>
      <c r="M1469" s="16" t="b">
        <v>1</v>
      </c>
      <c r="N1469" s="16" t="b">
        <v>0</v>
      </c>
      <c r="O1469" s="16" t="n">
        <v>498.5612370224</v>
      </c>
      <c r="P1469" s="16" t="n">
        <v>291.5153106300409</v>
      </c>
      <c r="Q1469" s="16" t="n">
        <v>2208.761743305652</v>
      </c>
      <c r="R1469" s="16" t="n">
        <v>1291.336131119507</v>
      </c>
      <c r="S1469" s="16" t="n">
        <v>0.7500168269709848</v>
      </c>
      <c r="T1469" s="16" t="n">
        <v>0.7581116249023582</v>
      </c>
      <c r="U1469" s="16" t="n">
        <v>0.6678651878242778</v>
      </c>
      <c r="V1469" s="16" t="n">
        <v>0.7633088435707883</v>
      </c>
      <c r="W1469" s="16" t="n">
        <v>0.8506937953155416</v>
      </c>
      <c r="X1469" s="16" t="n">
        <v>0.8534287769134046</v>
      </c>
      <c r="Y1469" s="16" t="n">
        <v>291.5153106300409</v>
      </c>
      <c r="Z1469" s="16" t="n">
        <v>4.037671188277741</v>
      </c>
      <c r="AA1469" s="16" t="n">
        <v>57.04084713853831</v>
      </c>
      <c r="AB1469" s="16" t="n">
        <v>917.4256121861451</v>
      </c>
      <c r="AC1469" s="16" t="n">
        <v>1.710446792339648</v>
      </c>
      <c r="AD1469" s="16" t="inlineStr">
        <is>
          <t>O2</t>
        </is>
      </c>
      <c r="AE1469" s="16" t="n"/>
    </row>
    <row r="1470">
      <c r="A1470" s="16" t="inlineStr">
        <is>
          <t>KF-M04b-0098</t>
        </is>
      </c>
      <c r="B1470" s="16" t="inlineStr">
        <is>
          <t>3.2</t>
        </is>
      </c>
      <c r="C1470" s="16" t="inlineStr">
        <is>
          <t>3.2</t>
        </is>
      </c>
      <c r="D1470" s="16" t="inlineStr">
        <is>
          <t>muestra de 200 puntos</t>
        </is>
      </c>
      <c r="E1470" s="16" t="inlineStr">
        <is>
          <t>KF-M04b</t>
        </is>
      </c>
      <c r="F1470" s="16" t="inlineStr">
        <is>
          <t>KF-M04b</t>
        </is>
      </c>
      <c r="G1470" s="16" t="inlineStr">
        <is>
          <t>B07</t>
        </is>
      </c>
      <c r="H1470" s="16" t="inlineStr">
        <is>
          <t>lhs</t>
        </is>
      </c>
      <c r="I1470" s="16" t="inlineStr">
        <is>
          <t>CORREGIBLE</t>
        </is>
      </c>
      <c r="J1470" s="16" t="inlineStr">
        <is>
          <t>CORREGIBLE</t>
        </is>
      </c>
      <c r="K1470" s="16" t="b">
        <v>1</v>
      </c>
      <c r="L1470" s="16" t="b">
        <v>0</v>
      </c>
      <c r="M1470" s="16" t="b">
        <v>0</v>
      </c>
      <c r="N1470" s="16" t="b">
        <v>0</v>
      </c>
      <c r="O1470" s="16" t="n">
        <v>446.6667550602474</v>
      </c>
      <c r="P1470" s="16" t="n">
        <v>279.2099799507258</v>
      </c>
      <c r="Q1470" s="16" t="n">
        <v>2009.945022568368</v>
      </c>
      <c r="R1470" s="16" t="n">
        <v>1355.183594953652</v>
      </c>
      <c r="S1470" s="16" t="n">
        <v>0.8000133677821495</v>
      </c>
      <c r="T1470" s="16" t="n">
        <v>0.7772466123315993</v>
      </c>
      <c r="U1470" s="16" t="n">
        <v>0.7435680679404917</v>
      </c>
      <c r="V1470" s="16" t="n">
        <v>0.6784994382705437</v>
      </c>
      <c r="W1470" s="16" t="n">
        <v>0.7733963891382478</v>
      </c>
      <c r="X1470" s="16" t="n">
        <v>0.7246444661582973</v>
      </c>
      <c r="Y1470" s="16" t="n">
        <v>279.2099799507258</v>
      </c>
      <c r="Z1470" s="16" t="n">
        <v>2.96554137304735</v>
      </c>
      <c r="AA1470" s="16" t="n">
        <v>30.86541502987599</v>
      </c>
      <c r="AB1470" s="16" t="n">
        <v>654.7614276147165</v>
      </c>
      <c r="AC1470" s="16" t="n">
        <v>1.483153301185814</v>
      </c>
      <c r="AD1470" s="16" t="inlineStr">
        <is>
          <t>O2</t>
        </is>
      </c>
      <c r="AE1470" s="16" t="n"/>
    </row>
    <row r="1471">
      <c r="A1471" s="16" t="inlineStr">
        <is>
          <t>KF-M04b-0099</t>
        </is>
      </c>
      <c r="B1471" s="16" t="inlineStr">
        <is>
          <t>3.2</t>
        </is>
      </c>
      <c r="C1471" s="16" t="inlineStr">
        <is>
          <t>3.2</t>
        </is>
      </c>
      <c r="D1471" s="16" t="inlineStr">
        <is>
          <t>muestra de 200 puntos</t>
        </is>
      </c>
      <c r="E1471" s="16" t="inlineStr">
        <is>
          <t>KF-M04b</t>
        </is>
      </c>
      <c r="F1471" s="16" t="inlineStr">
        <is>
          <t>KF-M04b</t>
        </is>
      </c>
      <c r="G1471" s="16" t="inlineStr">
        <is>
          <t>B07</t>
        </is>
      </c>
      <c r="H1471" s="16" t="inlineStr">
        <is>
          <t>lhs</t>
        </is>
      </c>
      <c r="I1471" s="16" t="inlineStr">
        <is>
          <t>CORREGIBLE</t>
        </is>
      </c>
      <c r="J1471" s="16" t="inlineStr">
        <is>
          <t>CORREGIBLE</t>
        </is>
      </c>
      <c r="K1471" s="16" t="b">
        <v>1</v>
      </c>
      <c r="L1471" s="16" t="b">
        <v>0</v>
      </c>
      <c r="M1471" s="16" t="b">
        <v>1</v>
      </c>
      <c r="N1471" s="16" t="b">
        <v>0</v>
      </c>
      <c r="O1471" s="16" t="n">
        <v>494.5958215151578</v>
      </c>
      <c r="P1471" s="16" t="n">
        <v>295.3913503102026</v>
      </c>
      <c r="Q1471" s="16" t="n">
        <v>2729.135386954714</v>
      </c>
      <c r="R1471" s="16" t="n">
        <v>1265.474895834942</v>
      </c>
      <c r="S1471" s="16" t="n">
        <v>0.6169756021866475</v>
      </c>
      <c r="T1471" s="16" t="n">
        <v>0.8032593096187928</v>
      </c>
      <c r="U1471" s="16" t="n">
        <v>0.7636652344686509</v>
      </c>
      <c r="V1471" s="16" t="n">
        <v>0.7553448219847697</v>
      </c>
      <c r="W1471" s="16" t="n">
        <v>0.6793683081588561</v>
      </c>
      <c r="X1471" s="16" t="n">
        <v>0.798766634714684</v>
      </c>
      <c r="Y1471" s="16" t="n">
        <v>295.3913503102026</v>
      </c>
      <c r="Z1471" s="16" t="n">
        <v>5.57295445819397</v>
      </c>
      <c r="AA1471" s="16" t="n">
        <v>79.45010626157682</v>
      </c>
      <c r="AB1471" s="16" t="n">
        <v>1463.660491119772</v>
      </c>
      <c r="AC1471" s="16" t="n">
        <v>2.15660966166703</v>
      </c>
      <c r="AD1471" s="16" t="inlineStr">
        <is>
          <t>O2</t>
        </is>
      </c>
      <c r="AE1471" s="16" t="n"/>
    </row>
    <row r="1472">
      <c r="A1472" s="16" t="inlineStr">
        <is>
          <t>KF-M04b-0100</t>
        </is>
      </c>
      <c r="B1472" s="16" t="inlineStr">
        <is>
          <t>3.2</t>
        </is>
      </c>
      <c r="C1472" s="16" t="inlineStr">
        <is>
          <t>3.2</t>
        </is>
      </c>
      <c r="D1472" s="16" t="inlineStr">
        <is>
          <t>muestra de 200 puntos</t>
        </is>
      </c>
      <c r="E1472" s="16" t="inlineStr">
        <is>
          <t>KF-M04b</t>
        </is>
      </c>
      <c r="F1472" s="16" t="inlineStr">
        <is>
          <t>KF-M04b</t>
        </is>
      </c>
      <c r="G1472" s="16" t="inlineStr">
        <is>
          <t>B07</t>
        </is>
      </c>
      <c r="H1472" s="16" t="inlineStr">
        <is>
          <t>lhs</t>
        </is>
      </c>
      <c r="I1472" s="16" t="inlineStr">
        <is>
          <t>CORREGIBLE</t>
        </is>
      </c>
      <c r="J1472" s="16" t="inlineStr">
        <is>
          <t>CORREGIBLE</t>
        </is>
      </c>
      <c r="K1472" s="16" t="b">
        <v>1</v>
      </c>
      <c r="L1472" s="16" t="b">
        <v>0</v>
      </c>
      <c r="M1472" s="16" t="b">
        <v>1</v>
      </c>
      <c r="N1472" s="16" t="b">
        <v>0</v>
      </c>
      <c r="O1472" s="16" t="n">
        <v>433.2266049115928</v>
      </c>
      <c r="P1472" s="16" t="n">
        <v>286.4550954183983</v>
      </c>
      <c r="Q1472" s="16" t="n">
        <v>3156.258462888873</v>
      </c>
      <c r="R1472" s="16" t="n">
        <v>707.9093181320513</v>
      </c>
      <c r="S1472" s="16" t="n">
        <v>0.751041064249017</v>
      </c>
      <c r="T1472" s="16" t="n">
        <v>0.8836729137903782</v>
      </c>
      <c r="U1472" s="16" t="n">
        <v>0.8411279858215515</v>
      </c>
      <c r="V1472" s="16" t="n">
        <v>0.8607370460784278</v>
      </c>
      <c r="W1472" s="16" t="n">
        <v>0.710777780426184</v>
      </c>
      <c r="X1472" s="16" t="n">
        <v>0.916178579036571</v>
      </c>
      <c r="Y1472" s="16" t="n">
        <v>286.4550954183983</v>
      </c>
      <c r="Z1472" s="16" t="n">
        <v>12.5551025595041</v>
      </c>
      <c r="AA1472" s="16" t="n">
        <v>160.4742981569055</v>
      </c>
      <c r="AB1472" s="16" t="n">
        <v>2448.349144756821</v>
      </c>
      <c r="AC1472" s="16" t="n">
        <v>4.458563239734207</v>
      </c>
      <c r="AD1472" s="16" t="inlineStr">
        <is>
          <t>O2</t>
        </is>
      </c>
      <c r="AE1472" s="16" t="n"/>
    </row>
    <row r="1473">
      <c r="A1473" s="16" t="inlineStr">
        <is>
          <t>KF-M04b-0101</t>
        </is>
      </c>
      <c r="B1473" s="16" t="inlineStr">
        <is>
          <t>3.2</t>
        </is>
      </c>
      <c r="C1473" s="16" t="inlineStr">
        <is>
          <t>3.2</t>
        </is>
      </c>
      <c r="D1473" s="16" t="inlineStr">
        <is>
          <t>muestra de 200 puntos</t>
        </is>
      </c>
      <c r="E1473" s="16" t="inlineStr">
        <is>
          <t>KF-M04b</t>
        </is>
      </c>
      <c r="F1473" s="16" t="inlineStr">
        <is>
          <t>KF-M04b</t>
        </is>
      </c>
      <c r="G1473" s="16" t="inlineStr">
        <is>
          <t>B07</t>
        </is>
      </c>
      <c r="H1473" s="16" t="inlineStr">
        <is>
          <t>lhs</t>
        </is>
      </c>
      <c r="I1473" s="16" t="inlineStr">
        <is>
          <t>CORREGIBLE</t>
        </is>
      </c>
      <c r="J1473" s="16" t="inlineStr">
        <is>
          <t>CORREGIBLE</t>
        </is>
      </c>
      <c r="K1473" s="16" t="b">
        <v>1</v>
      </c>
      <c r="L1473" s="16" t="b">
        <v>0</v>
      </c>
      <c r="M1473" s="16" t="b">
        <v>0</v>
      </c>
      <c r="N1473" s="16" t="b">
        <v>0</v>
      </c>
      <c r="O1473" s="16" t="n">
        <v>414.4588532165658</v>
      </c>
      <c r="P1473" s="16" t="n">
        <v>287.798703250527</v>
      </c>
      <c r="Q1473" s="16" t="n">
        <v>3427.867964467935</v>
      </c>
      <c r="R1473" s="16" t="n">
        <v>590.0386015408029</v>
      </c>
      <c r="S1473" s="16" t="n">
        <v>0.6954847759489139</v>
      </c>
      <c r="T1473" s="16" t="n">
        <v>0.7638541188535919</v>
      </c>
      <c r="U1473" s="16" t="n">
        <v>0.6705585423130217</v>
      </c>
      <c r="V1473" s="16" t="n">
        <v>0.7213358920786471</v>
      </c>
      <c r="W1473" s="16" t="n">
        <v>0.7137878680369588</v>
      </c>
      <c r="X1473" s="16" t="n">
        <v>0.7832096585571184</v>
      </c>
      <c r="Y1473" s="16" t="n">
        <v>287.798703250527</v>
      </c>
      <c r="Z1473" s="16" t="n">
        <v>11.07726137092725</v>
      </c>
      <c r="AA1473" s="16" t="n">
        <v>73.45031920742859</v>
      </c>
      <c r="AB1473" s="16" t="n">
        <v>2837.829362927132</v>
      </c>
      <c r="AC1473" s="16" t="n">
        <v>5.809565603871576</v>
      </c>
      <c r="AD1473" s="16" t="inlineStr">
        <is>
          <t>O2</t>
        </is>
      </c>
      <c r="AE1473" s="16" t="n"/>
    </row>
    <row r="1474">
      <c r="A1474" s="16" t="inlineStr">
        <is>
          <t>KF-M04b-0102</t>
        </is>
      </c>
      <c r="B1474" s="16" t="inlineStr">
        <is>
          <t>3.2</t>
        </is>
      </c>
      <c r="C1474" s="16" t="inlineStr">
        <is>
          <t>3.2</t>
        </is>
      </c>
      <c r="D1474" s="16" t="inlineStr">
        <is>
          <t>muestra de 200 puntos</t>
        </is>
      </c>
      <c r="E1474" s="16" t="inlineStr">
        <is>
          <t>KF-M04b</t>
        </is>
      </c>
      <c r="F1474" s="16" t="inlineStr">
        <is>
          <t>KF-M04b</t>
        </is>
      </c>
      <c r="G1474" s="16" t="inlineStr">
        <is>
          <t>B07</t>
        </is>
      </c>
      <c r="H1474" s="16" t="inlineStr">
        <is>
          <t>lhs</t>
        </is>
      </c>
      <c r="I1474" s="16" t="inlineStr">
        <is>
          <t>CORREGIBLE</t>
        </is>
      </c>
      <c r="J1474" s="16" t="inlineStr">
        <is>
          <t>CORREGIBLE</t>
        </is>
      </c>
      <c r="K1474" s="16" t="b">
        <v>1</v>
      </c>
      <c r="L1474" s="16" t="b">
        <v>0</v>
      </c>
      <c r="M1474" s="16" t="b">
        <v>1</v>
      </c>
      <c r="N1474" s="16" t="b">
        <v>0</v>
      </c>
      <c r="O1474" s="16" t="n">
        <v>469.3668764958962</v>
      </c>
      <c r="P1474" s="16" t="n">
        <v>283.4692103529204</v>
      </c>
      <c r="Q1474" s="16" t="n">
        <v>3217.092069830782</v>
      </c>
      <c r="R1474" s="16" t="n">
        <v>1484.624381464122</v>
      </c>
      <c r="S1474" s="16" t="n">
        <v>0.5259258637170487</v>
      </c>
      <c r="T1474" s="16" t="n">
        <v>0.856273944301967</v>
      </c>
      <c r="U1474" s="16" t="n">
        <v>0.669277737235255</v>
      </c>
      <c r="V1474" s="16" t="n">
        <v>0.9127088146949732</v>
      </c>
      <c r="W1474" s="16" t="n">
        <v>0.8247041766247292</v>
      </c>
      <c r="X1474" s="16" t="n">
        <v>0.7939744566804865</v>
      </c>
      <c r="Y1474" s="16" t="n">
        <v>283.4692103529204</v>
      </c>
      <c r="Z1474" s="16" t="n">
        <v>6.07025342543677</v>
      </c>
      <c r="AA1474" s="16" t="n">
        <v>97.24100357429845</v>
      </c>
      <c r="AB1474" s="16" t="n">
        <v>1732.46768836666</v>
      </c>
      <c r="AC1474" s="16" t="n">
        <v>2.166940075885133</v>
      </c>
      <c r="AD1474" s="16" t="inlineStr">
        <is>
          <t>O2</t>
        </is>
      </c>
      <c r="AE1474" s="16" t="n"/>
    </row>
    <row r="1475">
      <c r="A1475" s="16" t="inlineStr">
        <is>
          <t>KF-M04b-0103</t>
        </is>
      </c>
      <c r="B1475" s="16" t="inlineStr">
        <is>
          <t>3.2</t>
        </is>
      </c>
      <c r="C1475" s="16" t="inlineStr">
        <is>
          <t>3.2</t>
        </is>
      </c>
      <c r="D1475" s="16" t="inlineStr">
        <is>
          <t>muestra de 200 puntos</t>
        </is>
      </c>
      <c r="E1475" s="16" t="inlineStr">
        <is>
          <t>KF-M04b</t>
        </is>
      </c>
      <c r="F1475" s="16" t="inlineStr">
        <is>
          <t>KF-M04b</t>
        </is>
      </c>
      <c r="G1475" s="16" t="inlineStr">
        <is>
          <t>B07</t>
        </is>
      </c>
      <c r="H1475" s="16" t="inlineStr">
        <is>
          <t>lhs</t>
        </is>
      </c>
      <c r="I1475" s="16" t="inlineStr">
        <is>
          <t>CORREGIBLE</t>
        </is>
      </c>
      <c r="J1475" s="16" t="inlineStr">
        <is>
          <t>CORREGIBLE</t>
        </is>
      </c>
      <c r="K1475" s="16" t="b">
        <v>1</v>
      </c>
      <c r="L1475" s="16" t="b">
        <v>0</v>
      </c>
      <c r="M1475" s="16" t="b">
        <v>1</v>
      </c>
      <c r="N1475" s="16" t="b">
        <v>0</v>
      </c>
      <c r="O1475" s="16" t="n">
        <v>485.160460017911</v>
      </c>
      <c r="P1475" s="16" t="n">
        <v>291.7779121502921</v>
      </c>
      <c r="Q1475" s="16" t="n">
        <v>4496.25364759389</v>
      </c>
      <c r="R1475" s="16" t="n">
        <v>617.5000257816625</v>
      </c>
      <c r="S1475" s="16" t="n">
        <v>0.7229295841407618</v>
      </c>
      <c r="T1475" s="16" t="n">
        <v>0.8999398639510461</v>
      </c>
      <c r="U1475" s="16" t="n">
        <v>0.8533291834371152</v>
      </c>
      <c r="V1475" s="16" t="n">
        <v>0.7666542858778089</v>
      </c>
      <c r="W1475" s="16" t="n">
        <v>0.7570606013232564</v>
      </c>
      <c r="X1475" s="16" t="n">
        <v>0.8276470072186797</v>
      </c>
      <c r="Y1475" s="16" t="n">
        <v>291.7779121502921</v>
      </c>
      <c r="Z1475" s="16" t="n">
        <v>16.41330760969738</v>
      </c>
      <c r="AA1475" s="16" t="n">
        <v>219.8464305695713</v>
      </c>
      <c r="AB1475" s="16" t="n">
        <v>3878.753621812227</v>
      </c>
      <c r="AC1475" s="16" t="n">
        <v>7.281382121243325</v>
      </c>
      <c r="AD1475" s="16" t="inlineStr">
        <is>
          <t>O1,O2</t>
        </is>
      </c>
      <c r="AE1475" s="16" t="n"/>
    </row>
    <row r="1476">
      <c r="A1476" s="16" t="inlineStr">
        <is>
          <t>KF-M04b-0104</t>
        </is>
      </c>
      <c r="B1476" s="16" t="inlineStr">
        <is>
          <t>3.2</t>
        </is>
      </c>
      <c r="C1476" s="16" t="inlineStr">
        <is>
          <t>3.2</t>
        </is>
      </c>
      <c r="D1476" s="16" t="inlineStr">
        <is>
          <t>muestra de 200 puntos</t>
        </is>
      </c>
      <c r="E1476" s="16" t="inlineStr">
        <is>
          <t>KF-M04b</t>
        </is>
      </c>
      <c r="F1476" s="16" t="inlineStr">
        <is>
          <t>KF-M04b</t>
        </is>
      </c>
      <c r="G1476" s="16" t="inlineStr">
        <is>
          <t>B07</t>
        </is>
      </c>
      <c r="H1476" s="16" t="inlineStr">
        <is>
          <t>lhs</t>
        </is>
      </c>
      <c r="I1476" s="16" t="inlineStr">
        <is>
          <t>CORREGIBLE</t>
        </is>
      </c>
      <c r="J1476" s="16" t="inlineStr">
        <is>
          <t>CORREGIBLE</t>
        </is>
      </c>
      <c r="K1476" s="16" t="b">
        <v>1</v>
      </c>
      <c r="L1476" s="16" t="b">
        <v>0</v>
      </c>
      <c r="M1476" s="16" t="b">
        <v>0</v>
      </c>
      <c r="N1476" s="16" t="b">
        <v>0</v>
      </c>
      <c r="O1476" s="16" t="n">
        <v>385.506611595281</v>
      </c>
      <c r="P1476" s="16" t="n">
        <v>283.2203811345309</v>
      </c>
      <c r="Q1476" s="16" t="n">
        <v>4309.779303910185</v>
      </c>
      <c r="R1476" s="16" t="n">
        <v>847.1306823547823</v>
      </c>
      <c r="S1476" s="16" t="n">
        <v>0.820532971897999</v>
      </c>
      <c r="T1476" s="16" t="n">
        <v>0.8674336345679209</v>
      </c>
      <c r="U1476" s="16" t="n">
        <v>0.7514032215432906</v>
      </c>
      <c r="V1476" s="16" t="n">
        <v>0.8866696932537921</v>
      </c>
      <c r="W1476" s="16" t="n">
        <v>0.6104363050279826</v>
      </c>
      <c r="X1476" s="16" t="n">
        <v>0.8730123113240376</v>
      </c>
      <c r="Y1476" s="16" t="n">
        <v>283.2203811345309</v>
      </c>
      <c r="Z1476" s="16" t="n">
        <v>11.81873722751104</v>
      </c>
      <c r="AA1476" s="16" t="n">
        <v>81.88467258940943</v>
      </c>
      <c r="AB1476" s="16" t="n">
        <v>3462.648621555403</v>
      </c>
      <c r="AC1476" s="16" t="n">
        <v>5.087502310659112</v>
      </c>
      <c r="AD1476" s="16" t="inlineStr">
        <is>
          <t>O2</t>
        </is>
      </c>
      <c r="AE1476" s="16" t="n"/>
    </row>
    <row r="1477">
      <c r="A1477" s="16" t="inlineStr">
        <is>
          <t>KF-M04b-0105</t>
        </is>
      </c>
      <c r="B1477" s="16" t="inlineStr">
        <is>
          <t>3.2</t>
        </is>
      </c>
      <c r="C1477" s="16" t="inlineStr">
        <is>
          <t>3.2</t>
        </is>
      </c>
      <c r="D1477" s="16" t="inlineStr">
        <is>
          <t>muestra de 200 puntos</t>
        </is>
      </c>
      <c r="E1477" s="16" t="inlineStr">
        <is>
          <t>KF-M04b</t>
        </is>
      </c>
      <c r="F1477" s="16" t="inlineStr">
        <is>
          <t>KF-M04b</t>
        </is>
      </c>
      <c r="G1477" s="16" t="inlineStr">
        <is>
          <t>B07</t>
        </is>
      </c>
      <c r="H1477" s="16" t="inlineStr">
        <is>
          <t>lhs</t>
        </is>
      </c>
      <c r="I1477" s="16" t="inlineStr">
        <is>
          <t>KALINA</t>
        </is>
      </c>
      <c r="J1477" s="16" t="inlineStr">
        <is>
          <t>KALINA</t>
        </is>
      </c>
      <c r="K1477" s="16" t="b">
        <v>1</v>
      </c>
      <c r="L1477" s="16" t="b">
        <v>1</v>
      </c>
      <c r="M1477" s="16" t="b">
        <v>0</v>
      </c>
      <c r="N1477" s="16" t="b">
        <v>0</v>
      </c>
      <c r="O1477" s="16" t="n">
        <v>381.1853008469528</v>
      </c>
      <c r="P1477" s="16" t="n">
        <v>297.923755066241</v>
      </c>
      <c r="Q1477" s="16" t="n">
        <v>3689.007664233494</v>
      </c>
      <c r="R1477" s="16" t="n">
        <v>1471.050689542086</v>
      </c>
      <c r="S1477" s="16" t="n">
        <v>0.8262450145218985</v>
      </c>
      <c r="T1477" s="16" t="n">
        <v>0.7940529658547778</v>
      </c>
      <c r="U1477" s="16" t="n">
        <v>0.7135514768226028</v>
      </c>
      <c r="V1477" s="16" t="n">
        <v>0.7757936004623284</v>
      </c>
      <c r="W1477" s="16" t="n">
        <v>0.8996140209427816</v>
      </c>
      <c r="X1477" s="16" t="n">
        <v>0.8643452763625558</v>
      </c>
      <c r="Y1477" s="16" t="n">
        <v>297.923755066241</v>
      </c>
      <c r="Z1477" s="16" t="n">
        <v>7.23423364975596</v>
      </c>
      <c r="AA1477" s="16" t="n">
        <v>42.50907507953578</v>
      </c>
      <c r="AB1477" s="16" t="n">
        <v>2217.956974691409</v>
      </c>
      <c r="AC1477" s="16" t="n">
        <v>2.507736606535171</v>
      </c>
      <c r="AD1477" s="16" t="n"/>
      <c r="AE1477" s="16" t="n"/>
    </row>
    <row r="1478">
      <c r="A1478" s="16" t="inlineStr">
        <is>
          <t>KF-M04b-0106</t>
        </is>
      </c>
      <c r="B1478" s="16" t="inlineStr">
        <is>
          <t>3.2</t>
        </is>
      </c>
      <c r="C1478" s="16" t="inlineStr">
        <is>
          <t>3.2</t>
        </is>
      </c>
      <c r="D1478" s="16" t="inlineStr">
        <is>
          <t>muestra de 200 puntos</t>
        </is>
      </c>
      <c r="E1478" s="16" t="inlineStr">
        <is>
          <t>KF-M04b</t>
        </is>
      </c>
      <c r="F1478" s="16" t="inlineStr">
        <is>
          <t>KF-M04b</t>
        </is>
      </c>
      <c r="G1478" s="16" t="inlineStr">
        <is>
          <t>B07</t>
        </is>
      </c>
      <c r="H1478" s="16" t="inlineStr">
        <is>
          <t>lhs</t>
        </is>
      </c>
      <c r="I1478" s="16" t="inlineStr">
        <is>
          <t>CORREGIBLE</t>
        </is>
      </c>
      <c r="J1478" s="16" t="inlineStr">
        <is>
          <t>CORREGIBLE</t>
        </is>
      </c>
      <c r="K1478" s="16" t="b">
        <v>1</v>
      </c>
      <c r="L1478" s="16" t="b">
        <v>0</v>
      </c>
      <c r="M1478" s="16" t="b">
        <v>1</v>
      </c>
      <c r="N1478" s="16" t="b">
        <v>0</v>
      </c>
      <c r="O1478" s="16" t="n">
        <v>490.0124337039715</v>
      </c>
      <c r="P1478" s="16" t="n">
        <v>283.6142274484471</v>
      </c>
      <c r="Q1478" s="16" t="n">
        <v>2335.075359233134</v>
      </c>
      <c r="R1478" s="16" t="n">
        <v>446.0033245334352</v>
      </c>
      <c r="S1478" s="16" t="n">
        <v>0.5088543530336863</v>
      </c>
      <c r="T1478" s="16" t="n">
        <v>0.872099703776322</v>
      </c>
      <c r="U1478" s="16" t="n">
        <v>0.7305277501927775</v>
      </c>
      <c r="V1478" s="16" t="n">
        <v>0.7502183295370528</v>
      </c>
      <c r="W1478" s="16" t="n">
        <v>0.6662976269667381</v>
      </c>
      <c r="X1478" s="16" t="n">
        <v>0.8767528344266583</v>
      </c>
      <c r="Y1478" s="16" t="n">
        <v>283.6142274484471</v>
      </c>
      <c r="Z1478" s="16" t="n">
        <v>11.57932448627934</v>
      </c>
      <c r="AA1478" s="16" t="n">
        <v>189.2923922196569</v>
      </c>
      <c r="AB1478" s="16" t="n">
        <v>1889.072034699698</v>
      </c>
      <c r="AC1478" s="16" t="n">
        <v>5.235555949444682</v>
      </c>
      <c r="AD1478" s="16" t="inlineStr">
        <is>
          <t>O2</t>
        </is>
      </c>
      <c r="AE1478" s="16" t="n"/>
    </row>
    <row r="1479">
      <c r="A1479" s="16" t="inlineStr">
        <is>
          <t>KF-M04b-0107</t>
        </is>
      </c>
      <c r="B1479" s="16" t="inlineStr">
        <is>
          <t>3.2</t>
        </is>
      </c>
      <c r="C1479" s="16" t="inlineStr">
        <is>
          <t>3.2</t>
        </is>
      </c>
      <c r="D1479" s="16" t="inlineStr">
        <is>
          <t>muestra de 200 puntos</t>
        </is>
      </c>
      <c r="E1479" s="16" t="inlineStr">
        <is>
          <t>KF-M04b</t>
        </is>
      </c>
      <c r="F1479" s="16" t="inlineStr">
        <is>
          <t>KF-M04b</t>
        </is>
      </c>
      <c r="G1479" s="16" t="inlineStr">
        <is>
          <t>B07</t>
        </is>
      </c>
      <c r="H1479" s="16" t="inlineStr">
        <is>
          <t>lhs</t>
        </is>
      </c>
      <c r="I1479" s="16" t="inlineStr">
        <is>
          <t>CORREGIBLE</t>
        </is>
      </c>
      <c r="J1479" s="16" t="inlineStr">
        <is>
          <t>CORREGIBLE</t>
        </is>
      </c>
      <c r="K1479" s="16" t="b">
        <v>1</v>
      </c>
      <c r="L1479" s="16" t="b">
        <v>0</v>
      </c>
      <c r="M1479" s="16" t="b">
        <v>0</v>
      </c>
      <c r="N1479" s="16" t="b">
        <v>0</v>
      </c>
      <c r="O1479" s="16" t="n">
        <v>480.66288017203</v>
      </c>
      <c r="P1479" s="16" t="n">
        <v>292.4380831446747</v>
      </c>
      <c r="Q1479" s="16" t="n">
        <v>2467.483813818391</v>
      </c>
      <c r="R1479" s="16" t="n">
        <v>598.0245144669302</v>
      </c>
      <c r="S1479" s="16" t="n">
        <v>0.7628863645167488</v>
      </c>
      <c r="T1479" s="16" t="n">
        <v>0.8227045815873542</v>
      </c>
      <c r="U1479" s="16" t="n">
        <v>0.8926993746411245</v>
      </c>
      <c r="V1479" s="16" t="n">
        <v>0.7091119085257297</v>
      </c>
      <c r="W1479" s="16" t="n">
        <v>0.6125991459814322</v>
      </c>
      <c r="X1479" s="16" t="n">
        <v>0.7936680921774106</v>
      </c>
      <c r="Y1479" s="16" t="n">
        <v>292.4380831446747</v>
      </c>
      <c r="Z1479" s="16" t="n">
        <v>10.10850991179284</v>
      </c>
      <c r="AA1479" s="16" t="n">
        <v>114.3754219023398</v>
      </c>
      <c r="AB1479" s="16" t="n">
        <v>1869.459299351461</v>
      </c>
      <c r="AC1479" s="16" t="n">
        <v>4.126057969409277</v>
      </c>
      <c r="AD1479" s="16" t="inlineStr">
        <is>
          <t>O2</t>
        </is>
      </c>
      <c r="AE1479" s="16" t="n"/>
    </row>
    <row r="1480">
      <c r="A1480" s="16" t="inlineStr">
        <is>
          <t>KF-M04b-0108</t>
        </is>
      </c>
      <c r="B1480" s="16" t="inlineStr">
        <is>
          <t>3.2</t>
        </is>
      </c>
      <c r="C1480" s="16" t="inlineStr">
        <is>
          <t>3.2</t>
        </is>
      </c>
      <c r="D1480" s="16" t="inlineStr">
        <is>
          <t>muestra de 200 puntos</t>
        </is>
      </c>
      <c r="E1480" s="16" t="inlineStr">
        <is>
          <t>KF-M04b</t>
        </is>
      </c>
      <c r="F1480" s="16" t="inlineStr">
        <is>
          <t>KF-M04b</t>
        </is>
      </c>
      <c r="G1480" s="16" t="inlineStr">
        <is>
          <t>B07</t>
        </is>
      </c>
      <c r="H1480" s="16" t="inlineStr">
        <is>
          <t>lhs</t>
        </is>
      </c>
      <c r="I1480" s="16" t="inlineStr">
        <is>
          <t>CORREGIBLE</t>
        </is>
      </c>
      <c r="J1480" s="16" t="inlineStr">
        <is>
          <t>CORREGIBLE</t>
        </is>
      </c>
      <c r="K1480" s="16" t="b">
        <v>1</v>
      </c>
      <c r="L1480" s="16" t="b">
        <v>0</v>
      </c>
      <c r="M1480" s="16" t="b">
        <v>0</v>
      </c>
      <c r="N1480" s="16" t="b">
        <v>0</v>
      </c>
      <c r="O1480" s="16" t="n">
        <v>401.5517594424842</v>
      </c>
      <c r="P1480" s="16" t="n">
        <v>289.2170699174372</v>
      </c>
      <c r="Q1480" s="16" t="n">
        <v>2144.421813663376</v>
      </c>
      <c r="R1480" s="16" t="n">
        <v>1168.677196893584</v>
      </c>
      <c r="S1480" s="16" t="n">
        <v>0.7610685373551318</v>
      </c>
      <c r="T1480" s="16" t="n">
        <v>0.8799352144769895</v>
      </c>
      <c r="U1480" s="16" t="n">
        <v>0.7043106566099354</v>
      </c>
      <c r="V1480" s="16" t="n">
        <v>0.6204194884368299</v>
      </c>
      <c r="W1480" s="16" t="n">
        <v>0.8217848724278437</v>
      </c>
      <c r="X1480" s="16" t="n">
        <v>0.8484689094718818</v>
      </c>
      <c r="Y1480" s="16" t="n">
        <v>289.2170699174372</v>
      </c>
      <c r="Z1480" s="16" t="n">
        <v>5.63429998437193</v>
      </c>
      <c r="AA1480" s="16" t="n">
        <v>40.6882044648904</v>
      </c>
      <c r="AB1480" s="16" t="n">
        <v>975.7446167697916</v>
      </c>
      <c r="AC1480" s="16" t="n">
        <v>1.834913712155402</v>
      </c>
      <c r="AD1480" s="16" t="inlineStr">
        <is>
          <t>O2</t>
        </is>
      </c>
      <c r="AE1480" s="16" t="n"/>
    </row>
    <row r="1481">
      <c r="A1481" s="16" t="inlineStr">
        <is>
          <t>KF-M04b-0109</t>
        </is>
      </c>
      <c r="B1481" s="16" t="inlineStr">
        <is>
          <t>3.2</t>
        </is>
      </c>
      <c r="C1481" s="16" t="inlineStr">
        <is>
          <t>3.2</t>
        </is>
      </c>
      <c r="D1481" s="16" t="inlineStr">
        <is>
          <t>muestra de 200 puntos</t>
        </is>
      </c>
      <c r="E1481" s="16" t="inlineStr">
        <is>
          <t>KF-M04b</t>
        </is>
      </c>
      <c r="F1481" s="16" t="inlineStr">
        <is>
          <t>KF-M04b</t>
        </is>
      </c>
      <c r="G1481" s="16" t="inlineStr">
        <is>
          <t>B07</t>
        </is>
      </c>
      <c r="H1481" s="16" t="inlineStr">
        <is>
          <t>lhs</t>
        </is>
      </c>
      <c r="I1481" s="16" t="inlineStr">
        <is>
          <t>CORREGIBLE</t>
        </is>
      </c>
      <c r="J1481" s="16" t="inlineStr">
        <is>
          <t>CORREGIBLE</t>
        </is>
      </c>
      <c r="K1481" s="16" t="b">
        <v>1</v>
      </c>
      <c r="L1481" s="16" t="b">
        <v>0</v>
      </c>
      <c r="M1481" s="16" t="b">
        <v>1</v>
      </c>
      <c r="N1481" s="16" t="b">
        <v>0</v>
      </c>
      <c r="O1481" s="16" t="n">
        <v>471.2402862097353</v>
      </c>
      <c r="P1481" s="16" t="n">
        <v>278.7020317273727</v>
      </c>
      <c r="Q1481" s="16" t="n">
        <v>2074.152719983641</v>
      </c>
      <c r="R1481" s="16" t="n">
        <v>796.5021289700808</v>
      </c>
      <c r="S1481" s="16" t="n">
        <v>0.7657790318791866</v>
      </c>
      <c r="T1481" s="16" t="n">
        <v>0.8392654632443868</v>
      </c>
      <c r="U1481" s="16" t="n">
        <v>0.7406615599204225</v>
      </c>
      <c r="V1481" s="16" t="n">
        <v>0.9172338991597812</v>
      </c>
      <c r="W1481" s="16" t="n">
        <v>0.658322514397492</v>
      </c>
      <c r="X1481" s="16" t="n">
        <v>0.9371065372542112</v>
      </c>
      <c r="Y1481" s="16" t="n">
        <v>278.7020317273727</v>
      </c>
      <c r="Z1481" s="16" t="n">
        <v>7.58207104003501</v>
      </c>
      <c r="AA1481" s="16" t="n">
        <v>137.3679638596725</v>
      </c>
      <c r="AB1481" s="16" t="n">
        <v>1277.65059101356</v>
      </c>
      <c r="AC1481" s="16" t="n">
        <v>2.604076806003808</v>
      </c>
      <c r="AD1481" s="16" t="inlineStr">
        <is>
          <t>O2</t>
        </is>
      </c>
      <c r="AE1481" s="16" t="n"/>
    </row>
    <row r="1482">
      <c r="A1482" s="16" t="inlineStr">
        <is>
          <t>KF-M04b-0110</t>
        </is>
      </c>
      <c r="B1482" s="16" t="inlineStr">
        <is>
          <t>3.2</t>
        </is>
      </c>
      <c r="C1482" s="16" t="inlineStr">
        <is>
          <t>3.2</t>
        </is>
      </c>
      <c r="D1482" s="16" t="inlineStr">
        <is>
          <t>muestra de 200 puntos</t>
        </is>
      </c>
      <c r="E1482" s="16" t="inlineStr">
        <is>
          <t>KF-M04b</t>
        </is>
      </c>
      <c r="F1482" s="16" t="inlineStr">
        <is>
          <t>KF-M04b</t>
        </is>
      </c>
      <c r="G1482" s="16" t="inlineStr">
        <is>
          <t>B07</t>
        </is>
      </c>
      <c r="H1482" s="16" t="inlineStr">
        <is>
          <t>lhs</t>
        </is>
      </c>
      <c r="I1482" s="16" t="inlineStr">
        <is>
          <t>CORREGIBLE</t>
        </is>
      </c>
      <c r="J1482" s="16" t="inlineStr">
        <is>
          <t>CORREGIBLE</t>
        </is>
      </c>
      <c r="K1482" s="16" t="b">
        <v>1</v>
      </c>
      <c r="L1482" s="16" t="b">
        <v>0</v>
      </c>
      <c r="M1482" s="16" t="b">
        <v>1</v>
      </c>
      <c r="N1482" s="16" t="b">
        <v>0</v>
      </c>
      <c r="O1482" s="16" t="n">
        <v>458.7367812279987</v>
      </c>
      <c r="P1482" s="16" t="n">
        <v>288.1528612265759</v>
      </c>
      <c r="Q1482" s="16" t="n">
        <v>4546.896306309386</v>
      </c>
      <c r="R1482" s="16" t="n">
        <v>1101.886053225254</v>
      </c>
      <c r="S1482" s="16" t="n">
        <v>0.5708680726462138</v>
      </c>
      <c r="T1482" s="16" t="n">
        <v>0.8319810597631834</v>
      </c>
      <c r="U1482" s="16" t="n">
        <v>0.7603290109768819</v>
      </c>
      <c r="V1482" s="16" t="n">
        <v>0.7967529916157912</v>
      </c>
      <c r="W1482" s="16" t="n">
        <v>0.6631901678015635</v>
      </c>
      <c r="X1482" s="16" t="n">
        <v>0.7647250490279613</v>
      </c>
      <c r="Y1482" s="16" t="n">
        <v>288.1528612265759</v>
      </c>
      <c r="Z1482" s="16" t="n">
        <v>10.05316459202188</v>
      </c>
      <c r="AA1482" s="16" t="n">
        <v>89.37993428286059</v>
      </c>
      <c r="AB1482" s="16" t="n">
        <v>3445.010253084132</v>
      </c>
      <c r="AC1482" s="16" t="n">
        <v>4.126466881943446</v>
      </c>
      <c r="AD1482" s="16" t="inlineStr">
        <is>
          <t>O2</t>
        </is>
      </c>
      <c r="AE1482" s="16" t="n"/>
    </row>
    <row r="1483">
      <c r="A1483" s="16" t="inlineStr">
        <is>
          <t>KF-M04b-0111</t>
        </is>
      </c>
      <c r="B1483" s="16" t="inlineStr">
        <is>
          <t>3.2</t>
        </is>
      </c>
      <c r="C1483" s="16" t="inlineStr">
        <is>
          <t>3.2</t>
        </is>
      </c>
      <c r="D1483" s="16" t="inlineStr">
        <is>
          <t>muestra de 200 puntos</t>
        </is>
      </c>
      <c r="E1483" s="16" t="inlineStr">
        <is>
          <t>KF-M04b</t>
        </is>
      </c>
      <c r="F1483" s="16" t="inlineStr">
        <is>
          <t>KF-M04b</t>
        </is>
      </c>
      <c r="G1483" s="16" t="inlineStr">
        <is>
          <t>B07</t>
        </is>
      </c>
      <c r="H1483" s="16" t="inlineStr">
        <is>
          <t>lhs</t>
        </is>
      </c>
      <c r="I1483" s="16" t="inlineStr">
        <is>
          <t>CORREGIBLE</t>
        </is>
      </c>
      <c r="J1483" s="16" t="inlineStr">
        <is>
          <t>CORREGIBLE</t>
        </is>
      </c>
      <c r="K1483" s="16" t="b">
        <v>1</v>
      </c>
      <c r="L1483" s="16" t="b">
        <v>0</v>
      </c>
      <c r="M1483" s="16" t="b">
        <v>1</v>
      </c>
      <c r="N1483" s="16" t="b">
        <v>0</v>
      </c>
      <c r="O1483" s="16" t="n">
        <v>476.1795308919696</v>
      </c>
      <c r="P1483" s="16" t="n">
        <v>285.2593352659401</v>
      </c>
      <c r="Q1483" s="16" t="n">
        <v>4880.511873954973</v>
      </c>
      <c r="R1483" s="16" t="n">
        <v>931.2105578590198</v>
      </c>
      <c r="S1483" s="16" t="n">
        <v>0.7194128491740428</v>
      </c>
      <c r="T1483" s="16" t="n">
        <v>0.8000353971750934</v>
      </c>
      <c r="U1483" s="16" t="n">
        <v>0.7269785266900914</v>
      </c>
      <c r="V1483" s="16" t="n">
        <v>0.8127024830454297</v>
      </c>
      <c r="W1483" s="16" t="n">
        <v>0.8968071182383888</v>
      </c>
      <c r="X1483" s="16" t="n">
        <v>0.7235374008051115</v>
      </c>
      <c r="Y1483" s="16" t="n">
        <v>285.2593352659401</v>
      </c>
      <c r="Z1483" s="16" t="n">
        <v>11.45366082606002</v>
      </c>
      <c r="AA1483" s="16" t="n">
        <v>143.8750333103686</v>
      </c>
      <c r="AB1483" s="16" t="n">
        <v>3949.301316095954</v>
      </c>
      <c r="AC1483" s="16" t="n">
        <v>5.241040098574415</v>
      </c>
      <c r="AD1483" s="16" t="inlineStr">
        <is>
          <t>O2</t>
        </is>
      </c>
      <c r="AE1483" s="16" t="n"/>
    </row>
    <row r="1484">
      <c r="A1484" s="16" t="inlineStr">
        <is>
          <t>KF-M04b-0112</t>
        </is>
      </c>
      <c r="B1484" s="16" t="inlineStr">
        <is>
          <t>3.2</t>
        </is>
      </c>
      <c r="C1484" s="16" t="inlineStr">
        <is>
          <t>3.2</t>
        </is>
      </c>
      <c r="D1484" s="16" t="inlineStr">
        <is>
          <t>muestra de 200 puntos</t>
        </is>
      </c>
      <c r="E1484" s="16" t="inlineStr">
        <is>
          <t>KF-M04b</t>
        </is>
      </c>
      <c r="F1484" s="16" t="inlineStr">
        <is>
          <t>KF-M04b</t>
        </is>
      </c>
      <c r="G1484" s="16" t="inlineStr">
        <is>
          <t>B07</t>
        </is>
      </c>
      <c r="H1484" s="16" t="inlineStr">
        <is>
          <t>lhs</t>
        </is>
      </c>
      <c r="I1484" s="16" t="inlineStr">
        <is>
          <t>CORREGIBLE</t>
        </is>
      </c>
      <c r="J1484" s="16" t="inlineStr">
        <is>
          <t>CORREGIBLE</t>
        </is>
      </c>
      <c r="K1484" s="16" t="b">
        <v>1</v>
      </c>
      <c r="L1484" s="16" t="b">
        <v>0</v>
      </c>
      <c r="M1484" s="16" t="b">
        <v>0</v>
      </c>
      <c r="N1484" s="16" t="b">
        <v>0</v>
      </c>
      <c r="O1484" s="16" t="n">
        <v>413.0811643320292</v>
      </c>
      <c r="P1484" s="16" t="n">
        <v>286.3679002573763</v>
      </c>
      <c r="Q1484" s="16" t="n">
        <v>3324.631353875451</v>
      </c>
      <c r="R1484" s="16" t="n">
        <v>462.3278134883942</v>
      </c>
      <c r="S1484" s="16" t="n">
        <v>0.7124352162974701</v>
      </c>
      <c r="T1484" s="16" t="n">
        <v>0.8954303811508364</v>
      </c>
      <c r="U1484" s="16" t="n">
        <v>0.8171744165313952</v>
      </c>
      <c r="V1484" s="16" t="n">
        <v>0.892691257118701</v>
      </c>
      <c r="W1484" s="16" t="n">
        <v>0.6376482732559816</v>
      </c>
      <c r="X1484" s="16" t="n">
        <v>0.716863006016589</v>
      </c>
      <c r="Y1484" s="16" t="n">
        <v>286.3679002573763</v>
      </c>
      <c r="Z1484" s="16" t="n">
        <v>14.7028822025809</v>
      </c>
      <c r="AA1484" s="16" t="n">
        <v>116.3868250786346</v>
      </c>
      <c r="AB1484" s="16" t="n">
        <v>2862.303540387057</v>
      </c>
      <c r="AC1484" s="16" t="n">
        <v>7.191069316790973</v>
      </c>
      <c r="AD1484" s="16" t="inlineStr">
        <is>
          <t>O2</t>
        </is>
      </c>
      <c r="AE1484" s="16" t="n"/>
    </row>
    <row r="1485">
      <c r="A1485" s="16" t="inlineStr">
        <is>
          <t>KF-M04b-0113</t>
        </is>
      </c>
      <c r="B1485" s="16" t="inlineStr">
        <is>
          <t>3.2</t>
        </is>
      </c>
      <c r="C1485" s="16" t="inlineStr">
        <is>
          <t>3.2</t>
        </is>
      </c>
      <c r="D1485" s="16" t="inlineStr">
        <is>
          <t>muestra de 200 puntos</t>
        </is>
      </c>
      <c r="E1485" s="16" t="inlineStr">
        <is>
          <t>KF-M04b</t>
        </is>
      </c>
      <c r="F1485" s="16" t="inlineStr">
        <is>
          <t>KF-M04b</t>
        </is>
      </c>
      <c r="G1485" s="16" t="inlineStr">
        <is>
          <t>B07</t>
        </is>
      </c>
      <c r="H1485" s="16" t="inlineStr">
        <is>
          <t>lhs</t>
        </is>
      </c>
      <c r="I1485" s="16" t="inlineStr">
        <is>
          <t>CORREGIBLE</t>
        </is>
      </c>
      <c r="J1485" s="16" t="inlineStr">
        <is>
          <t>CORREGIBLE</t>
        </is>
      </c>
      <c r="K1485" s="16" t="b">
        <v>1</v>
      </c>
      <c r="L1485" s="16" t="b">
        <v>0</v>
      </c>
      <c r="M1485" s="16" t="b">
        <v>1</v>
      </c>
      <c r="N1485" s="16" t="b">
        <v>0</v>
      </c>
      <c r="O1485" s="16" t="n">
        <v>447.3910608006619</v>
      </c>
      <c r="P1485" s="16" t="n">
        <v>299.7873441540284</v>
      </c>
      <c r="Q1485" s="16" t="n">
        <v>2794.216855374882</v>
      </c>
      <c r="R1485" s="16" t="n">
        <v>1392.707347050828</v>
      </c>
      <c r="S1485" s="16" t="n">
        <v>0.5906540524273338</v>
      </c>
      <c r="T1485" s="16" t="n">
        <v>0.9032543554166924</v>
      </c>
      <c r="U1485" s="16" t="n">
        <v>0.8628873414180532</v>
      </c>
      <c r="V1485" s="16" t="n">
        <v>0.9483393081883889</v>
      </c>
      <c r="W1485" s="16" t="n">
        <v>0.618607574869635</v>
      </c>
      <c r="X1485" s="16" t="n">
        <v>0.8747194993501255</v>
      </c>
      <c r="Y1485" s="16" t="n">
        <v>299.7873441540284</v>
      </c>
      <c r="Z1485" s="16" t="n">
        <v>5.8755607487094</v>
      </c>
      <c r="AA1485" s="16" t="n">
        <v>82.24902983540117</v>
      </c>
      <c r="AB1485" s="16" t="n">
        <v>1401.509508324054</v>
      </c>
      <c r="AC1485" s="16" t="n">
        <v>2.00632018010953</v>
      </c>
      <c r="AD1485" s="16" t="inlineStr">
        <is>
          <t>O2</t>
        </is>
      </c>
      <c r="AE1485" s="16" t="n"/>
    </row>
    <row r="1486">
      <c r="A1486" s="16" t="inlineStr">
        <is>
          <t>KF-M04b-0114</t>
        </is>
      </c>
      <c r="B1486" s="16" t="inlineStr">
        <is>
          <t>3.2</t>
        </is>
      </c>
      <c r="C1486" s="16" t="inlineStr">
        <is>
          <t>3.2</t>
        </is>
      </c>
      <c r="D1486" s="16" t="inlineStr">
        <is>
          <t>muestra de 200 puntos</t>
        </is>
      </c>
      <c r="E1486" s="16" t="inlineStr">
        <is>
          <t>KF-M04b</t>
        </is>
      </c>
      <c r="F1486" s="16" t="inlineStr">
        <is>
          <t>KF-M04b</t>
        </is>
      </c>
      <c r="G1486" s="16" t="inlineStr">
        <is>
          <t>B07</t>
        </is>
      </c>
      <c r="H1486" s="16" t="inlineStr">
        <is>
          <t>lhs</t>
        </is>
      </c>
      <c r="I1486" s="16" t="inlineStr">
        <is>
          <t>CORREGIBLE</t>
        </is>
      </c>
      <c r="J1486" s="16" t="inlineStr">
        <is>
          <t>CORREGIBLE</t>
        </is>
      </c>
      <c r="K1486" s="16" t="b">
        <v>1</v>
      </c>
      <c r="L1486" s="16" t="b">
        <v>0</v>
      </c>
      <c r="M1486" s="16" t="b">
        <v>0</v>
      </c>
      <c r="N1486" s="16" t="b">
        <v>0</v>
      </c>
      <c r="O1486" s="16" t="n">
        <v>428.2820308092849</v>
      </c>
      <c r="P1486" s="16" t="n">
        <v>299.9378047277405</v>
      </c>
      <c r="Q1486" s="16" t="n">
        <v>3271.965612358676</v>
      </c>
      <c r="R1486" s="16" t="n">
        <v>696.7754287574105</v>
      </c>
      <c r="S1486" s="16" t="n">
        <v>0.5579171586328854</v>
      </c>
      <c r="T1486" s="16" t="n">
        <v>0.8410017263051179</v>
      </c>
      <c r="U1486" s="16" t="n">
        <v>0.8006938116983078</v>
      </c>
      <c r="V1486" s="16" t="n">
        <v>0.793195087679134</v>
      </c>
      <c r="W1486" s="16" t="n">
        <v>0.8473938686458494</v>
      </c>
      <c r="X1486" s="16" t="n">
        <v>0.8910475723507637</v>
      </c>
      <c r="Y1486" s="16" t="n">
        <v>299.9378047277405</v>
      </c>
      <c r="Z1486" s="16" t="n">
        <v>11.04550866566379</v>
      </c>
      <c r="AA1486" s="16" t="n">
        <v>70.84250430709072</v>
      </c>
      <c r="AB1486" s="16" t="n">
        <v>2575.190183601266</v>
      </c>
      <c r="AC1486" s="16" t="n">
        <v>4.695868248674775</v>
      </c>
      <c r="AD1486" s="16" t="inlineStr">
        <is>
          <t>O2</t>
        </is>
      </c>
      <c r="AE1486" s="16" t="n"/>
    </row>
    <row r="1487">
      <c r="A1487" s="16" t="inlineStr">
        <is>
          <t>KF-M04b-0115</t>
        </is>
      </c>
      <c r="B1487" s="16" t="inlineStr">
        <is>
          <t>3.2</t>
        </is>
      </c>
      <c r="C1487" s="16" t="inlineStr">
        <is>
          <t>3.2</t>
        </is>
      </c>
      <c r="D1487" s="16" t="inlineStr">
        <is>
          <t>muestra de 200 puntos</t>
        </is>
      </c>
      <c r="E1487" s="16" t="inlineStr">
        <is>
          <t>KF-M04b</t>
        </is>
      </c>
      <c r="F1487" s="16" t="inlineStr">
        <is>
          <t>KF-M04b</t>
        </is>
      </c>
      <c r="G1487" s="16" t="inlineStr">
        <is>
          <t>B07</t>
        </is>
      </c>
      <c r="H1487" s="16" t="inlineStr">
        <is>
          <t>lhs</t>
        </is>
      </c>
      <c r="I1487" s="16" t="inlineStr">
        <is>
          <t>KALINA</t>
        </is>
      </c>
      <c r="J1487" s="16" t="inlineStr">
        <is>
          <t>KALINA</t>
        </is>
      </c>
      <c r="K1487" s="16" t="b">
        <v>1</v>
      </c>
      <c r="L1487" s="16" t="b">
        <v>1</v>
      </c>
      <c r="M1487" s="16" t="b">
        <v>0</v>
      </c>
      <c r="N1487" s="16" t="b">
        <v>0</v>
      </c>
      <c r="O1487" s="16" t="n">
        <v>384.4964786747848</v>
      </c>
      <c r="P1487" s="16" t="n">
        <v>292.0646703581144</v>
      </c>
      <c r="Q1487" s="16" t="n">
        <v>3951.204720401021</v>
      </c>
      <c r="R1487" s="16" t="n">
        <v>1054.159716556556</v>
      </c>
      <c r="S1487" s="16" t="n">
        <v>0.6693032130591867</v>
      </c>
      <c r="T1487" s="16" t="n">
        <v>0.9196877844293536</v>
      </c>
      <c r="U1487" s="16" t="n">
        <v>0.7178384774827048</v>
      </c>
      <c r="V1487" s="16" t="n">
        <v>0.7608436211558747</v>
      </c>
      <c r="W1487" s="16" t="n">
        <v>0.6540585350453352</v>
      </c>
      <c r="X1487" s="16" t="n">
        <v>0.8553130168508699</v>
      </c>
      <c r="Y1487" s="16" t="n">
        <v>292.0646703581144</v>
      </c>
      <c r="Z1487" s="16" t="n">
        <v>5.05036030002508</v>
      </c>
      <c r="AA1487" s="16" t="n">
        <v>13.94270643128037</v>
      </c>
      <c r="AB1487" s="16" t="n">
        <v>2897.045003844465</v>
      </c>
      <c r="AC1487" s="16" t="n">
        <v>3.748203102759181</v>
      </c>
      <c r="AD1487" s="16" t="n"/>
      <c r="AE1487" s="16" t="n"/>
    </row>
    <row r="1488">
      <c r="A1488" s="16" t="inlineStr">
        <is>
          <t>KF-M04b-0116</t>
        </is>
      </c>
      <c r="B1488" s="16" t="inlineStr">
        <is>
          <t>3.2</t>
        </is>
      </c>
      <c r="C1488" s="16" t="inlineStr">
        <is>
          <t>3.2</t>
        </is>
      </c>
      <c r="D1488" s="16" t="inlineStr">
        <is>
          <t>muestra de 200 puntos</t>
        </is>
      </c>
      <c r="E1488" s="16" t="inlineStr">
        <is>
          <t>KF-M04b</t>
        </is>
      </c>
      <c r="F1488" s="16" t="inlineStr">
        <is>
          <t>KF-M04b</t>
        </is>
      </c>
      <c r="G1488" s="16" t="inlineStr">
        <is>
          <t>B07</t>
        </is>
      </c>
      <c r="H1488" s="16" t="inlineStr">
        <is>
          <t>lhs</t>
        </is>
      </c>
      <c r="I1488" s="16" t="inlineStr">
        <is>
          <t>CORREGIBLE</t>
        </is>
      </c>
      <c r="J1488" s="16" t="inlineStr">
        <is>
          <t>CORREGIBLE</t>
        </is>
      </c>
      <c r="K1488" s="16" t="b">
        <v>1</v>
      </c>
      <c r="L1488" s="16" t="b">
        <v>0</v>
      </c>
      <c r="M1488" s="16" t="b">
        <v>0</v>
      </c>
      <c r="N1488" s="16" t="b">
        <v>0</v>
      </c>
      <c r="O1488" s="16" t="n">
        <v>423.9028320344096</v>
      </c>
      <c r="P1488" s="16" t="n">
        <v>302.8783985858868</v>
      </c>
      <c r="Q1488" s="16" t="n">
        <v>3849.269462423598</v>
      </c>
      <c r="R1488" s="16" t="n">
        <v>1378.229478099102</v>
      </c>
      <c r="S1488" s="16" t="n">
        <v>0.6603751820237814</v>
      </c>
      <c r="T1488" s="16" t="n">
        <v>0.7868455399152438</v>
      </c>
      <c r="U1488" s="16" t="n">
        <v>0.724683033106495</v>
      </c>
      <c r="V1488" s="16" t="n">
        <v>0.817923176653802</v>
      </c>
      <c r="W1488" s="16" t="n">
        <v>0.6684899008544534</v>
      </c>
      <c r="X1488" s="16" t="n">
        <v>0.7326602063180386</v>
      </c>
      <c r="Y1488" s="16" t="n">
        <v>302.8783985858868</v>
      </c>
      <c r="Z1488" s="16" t="n">
        <v>7.531932452527281</v>
      </c>
      <c r="AA1488" s="16" t="n">
        <v>50.77612904890983</v>
      </c>
      <c r="AB1488" s="16" t="n">
        <v>2471.039984324497</v>
      </c>
      <c r="AC1488" s="16" t="n">
        <v>2.792908962978091</v>
      </c>
      <c r="AD1488" s="16" t="inlineStr">
        <is>
          <t>O2</t>
        </is>
      </c>
      <c r="AE1488" s="16" t="n"/>
    </row>
    <row r="1489">
      <c r="A1489" s="16" t="inlineStr">
        <is>
          <t>KF-M04b-0117</t>
        </is>
      </c>
      <c r="B1489" s="16" t="inlineStr">
        <is>
          <t>3.2</t>
        </is>
      </c>
      <c r="C1489" s="16" t="inlineStr">
        <is>
          <t>3.2</t>
        </is>
      </c>
      <c r="D1489" s="16" t="inlineStr">
        <is>
          <t>muestra de 200 puntos</t>
        </is>
      </c>
      <c r="E1489" s="16" t="inlineStr">
        <is>
          <t>KF-M04b</t>
        </is>
      </c>
      <c r="F1489" s="16" t="inlineStr">
        <is>
          <t>KF-M04b</t>
        </is>
      </c>
      <c r="G1489" s="16" t="inlineStr">
        <is>
          <t>B07</t>
        </is>
      </c>
      <c r="H1489" s="16" t="inlineStr">
        <is>
          <t>lhs</t>
        </is>
      </c>
      <c r="I1489" s="16" t="inlineStr">
        <is>
          <t>CORREGIBLE</t>
        </is>
      </c>
      <c r="J1489" s="16" t="inlineStr">
        <is>
          <t>CORREGIBLE</t>
        </is>
      </c>
      <c r="K1489" s="16" t="b">
        <v>1</v>
      </c>
      <c r="L1489" s="16" t="b">
        <v>0</v>
      </c>
      <c r="M1489" s="16" t="b">
        <v>0</v>
      </c>
      <c r="N1489" s="16" t="b">
        <v>0</v>
      </c>
      <c r="O1489" s="16" t="n">
        <v>444.7006795381559</v>
      </c>
      <c r="P1489" s="16" t="n">
        <v>281.7159179480975</v>
      </c>
      <c r="Q1489" s="16" t="n">
        <v>2291.88531207738</v>
      </c>
      <c r="R1489" s="16" t="n">
        <v>603.390956393714</v>
      </c>
      <c r="S1489" s="16" t="n">
        <v>0.7573819194695458</v>
      </c>
      <c r="T1489" s="16" t="n">
        <v>0.9008903751347658</v>
      </c>
      <c r="U1489" s="16" t="n">
        <v>0.778913177023184</v>
      </c>
      <c r="V1489" s="16" t="n">
        <v>0.6049528769732034</v>
      </c>
      <c r="W1489" s="16" t="n">
        <v>0.8176159131726881</v>
      </c>
      <c r="X1489" s="16" t="n">
        <v>0.7558302369965181</v>
      </c>
      <c r="Y1489" s="16" t="n">
        <v>281.7159179480975</v>
      </c>
      <c r="Z1489" s="16" t="n">
        <v>11.2136674886957</v>
      </c>
      <c r="AA1489" s="16" t="n">
        <v>111.2767523482597</v>
      </c>
      <c r="AB1489" s="16" t="n">
        <v>1688.494355683666</v>
      </c>
      <c r="AC1489" s="16" t="n">
        <v>3.79834216570843</v>
      </c>
      <c r="AD1489" s="16" t="inlineStr">
        <is>
          <t>O2</t>
        </is>
      </c>
      <c r="AE1489" s="16" t="n"/>
    </row>
    <row r="1490">
      <c r="A1490" s="16" t="inlineStr">
        <is>
          <t>KF-M04b-0118</t>
        </is>
      </c>
      <c r="B1490" s="16" t="inlineStr">
        <is>
          <t>3.2</t>
        </is>
      </c>
      <c r="C1490" s="16" t="inlineStr">
        <is>
          <t>3.2</t>
        </is>
      </c>
      <c r="D1490" s="16" t="inlineStr">
        <is>
          <t>muestra de 200 puntos</t>
        </is>
      </c>
      <c r="E1490" s="16" t="inlineStr">
        <is>
          <t>KF-M04b</t>
        </is>
      </c>
      <c r="F1490" s="16" t="inlineStr">
        <is>
          <t>KF-M04b</t>
        </is>
      </c>
      <c r="G1490" s="16" t="inlineStr">
        <is>
          <t>B07</t>
        </is>
      </c>
      <c r="H1490" s="16" t="inlineStr">
        <is>
          <t>lhs</t>
        </is>
      </c>
      <c r="I1490" s="16" t="inlineStr">
        <is>
          <t>INVIABLE</t>
        </is>
      </c>
      <c r="J1490" s="16" t="inlineStr">
        <is>
          <t>INVIABLE</t>
        </is>
      </c>
      <c r="K1490" s="16" t="b">
        <v>1</v>
      </c>
      <c r="L1490" s="16" t="b">
        <v>0</v>
      </c>
      <c r="M1490" s="16" t="b">
        <v>0</v>
      </c>
      <c r="N1490" s="16" t="b">
        <v>0</v>
      </c>
      <c r="O1490" s="16" t="n">
        <v>386.2300433123273</v>
      </c>
      <c r="P1490" s="16" t="n">
        <v>290.3162731740514</v>
      </c>
      <c r="Q1490" s="16" t="n">
        <v>3930.850673891649</v>
      </c>
      <c r="R1490" s="16" t="n">
        <v>1196.501615209263</v>
      </c>
      <c r="S1490" s="16" t="n">
        <v>0.6005104564195433</v>
      </c>
      <c r="T1490" s="16" t="n">
        <v>0.8249133497407433</v>
      </c>
      <c r="U1490" s="16" t="n">
        <v>0.8415551333358767</v>
      </c>
      <c r="V1490" s="16" t="n">
        <v>0.9262064959153952</v>
      </c>
      <c r="W1490" s="16" t="n">
        <v>0.7231551580951874</v>
      </c>
      <c r="X1490" s="16" t="n">
        <v>0.884063225307865</v>
      </c>
      <c r="Y1490" s="16" t="n">
        <v>290.3162731740514</v>
      </c>
      <c r="Z1490" s="16" t="n">
        <v>-0.09789017579141999</v>
      </c>
      <c r="AA1490" s="16" t="n">
        <v>-0.1573622203802798</v>
      </c>
      <c r="AB1490" s="16" t="n">
        <v>2734.349058682387</v>
      </c>
      <c r="AC1490" s="16" t="n">
        <v>3.285286558684805</v>
      </c>
      <c r="AD1490" s="16" t="inlineStr">
        <is>
          <t>O3</t>
        </is>
      </c>
      <c r="AE1490" s="16" t="n"/>
    </row>
    <row r="1491">
      <c r="A1491" s="16" t="inlineStr">
        <is>
          <t>KF-M04b-0119</t>
        </is>
      </c>
      <c r="B1491" s="16" t="inlineStr">
        <is>
          <t>3.2</t>
        </is>
      </c>
      <c r="C1491" s="16" t="inlineStr">
        <is>
          <t>3.2</t>
        </is>
      </c>
      <c r="D1491" s="16" t="inlineStr">
        <is>
          <t>muestra de 200 puntos</t>
        </is>
      </c>
      <c r="E1491" s="16" t="inlineStr">
        <is>
          <t>KF-M04b</t>
        </is>
      </c>
      <c r="F1491" s="16" t="inlineStr">
        <is>
          <t>KF-M04b</t>
        </is>
      </c>
      <c r="G1491" s="16" t="inlineStr">
        <is>
          <t>B07</t>
        </is>
      </c>
      <c r="H1491" s="16" t="inlineStr">
        <is>
          <t>lhs</t>
        </is>
      </c>
      <c r="I1491" s="16" t="inlineStr">
        <is>
          <t>KALINA</t>
        </is>
      </c>
      <c r="J1491" s="16" t="inlineStr">
        <is>
          <t>KALINA</t>
        </is>
      </c>
      <c r="K1491" s="16" t="b">
        <v>1</v>
      </c>
      <c r="L1491" s="16" t="b">
        <v>1</v>
      </c>
      <c r="M1491" s="16" t="b">
        <v>0</v>
      </c>
      <c r="N1491" s="16" t="b">
        <v>0</v>
      </c>
      <c r="O1491" s="16" t="n">
        <v>425.7172919638367</v>
      </c>
      <c r="P1491" s="16" t="n">
        <v>295.8786318967264</v>
      </c>
      <c r="Q1491" s="16" t="n">
        <v>2605.823829002298</v>
      </c>
      <c r="R1491" s="16" t="n">
        <v>1106.339020625116</v>
      </c>
      <c r="S1491" s="16" t="n">
        <v>0.5270709573032775</v>
      </c>
      <c r="T1491" s="16" t="n">
        <v>0.8936129206783534</v>
      </c>
      <c r="U1491" s="16" t="n">
        <v>0.8344075892619361</v>
      </c>
      <c r="V1491" s="16" t="n">
        <v>0.7685140722635736</v>
      </c>
      <c r="W1491" s="16" t="n">
        <v>0.7321160886208897</v>
      </c>
      <c r="X1491" s="16" t="n">
        <v>0.9037052352610652</v>
      </c>
      <c r="Y1491" s="16" t="n">
        <v>295.8786318967264</v>
      </c>
      <c r="Z1491" s="16" t="n">
        <v>6.21787613688492</v>
      </c>
      <c r="AA1491" s="16" t="n">
        <v>43.13218002750435</v>
      </c>
      <c r="AB1491" s="16" t="n">
        <v>1499.484808377182</v>
      </c>
      <c r="AC1491" s="16" t="n">
        <v>2.355357426993695</v>
      </c>
      <c r="AD1491" s="16" t="n"/>
      <c r="AE1491" s="16" t="n"/>
    </row>
    <row r="1492">
      <c r="A1492" s="16" t="inlineStr">
        <is>
          <t>KF-M04b-0120</t>
        </is>
      </c>
      <c r="B1492" s="16" t="inlineStr">
        <is>
          <t>3.2</t>
        </is>
      </c>
      <c r="C1492" s="16" t="inlineStr">
        <is>
          <t>3.2</t>
        </is>
      </c>
      <c r="D1492" s="16" t="inlineStr">
        <is>
          <t>muestra de 200 puntos</t>
        </is>
      </c>
      <c r="E1492" s="16" t="inlineStr">
        <is>
          <t>KF-M04b</t>
        </is>
      </c>
      <c r="F1492" s="16" t="inlineStr">
        <is>
          <t>KF-M04b</t>
        </is>
      </c>
      <c r="G1492" s="16" t="inlineStr">
        <is>
          <t>B07</t>
        </is>
      </c>
      <c r="H1492" s="16" t="inlineStr">
        <is>
          <t>lhs</t>
        </is>
      </c>
      <c r="I1492" s="16" t="inlineStr">
        <is>
          <t>CORREGIBLE</t>
        </is>
      </c>
      <c r="J1492" s="16" t="inlineStr">
        <is>
          <t>CORREGIBLE</t>
        </is>
      </c>
      <c r="K1492" s="16" t="b">
        <v>1</v>
      </c>
      <c r="L1492" s="16" t="b">
        <v>0</v>
      </c>
      <c r="M1492" s="16" t="b">
        <v>1</v>
      </c>
      <c r="N1492" s="16" t="b">
        <v>0</v>
      </c>
      <c r="O1492" s="16" t="n">
        <v>466.4678099528163</v>
      </c>
      <c r="P1492" s="16" t="n">
        <v>289.3370599310383</v>
      </c>
      <c r="Q1492" s="16" t="n">
        <v>3008.39687386971</v>
      </c>
      <c r="R1492" s="16" t="n">
        <v>584.5897694887155</v>
      </c>
      <c r="S1492" s="16" t="n">
        <v>0.5313551559088309</v>
      </c>
      <c r="T1492" s="16" t="n">
        <v>0.8050644314702962</v>
      </c>
      <c r="U1492" s="16" t="n">
        <v>0.8652385775493403</v>
      </c>
      <c r="V1492" s="16" t="n">
        <v>0.9282951818224288</v>
      </c>
      <c r="W1492" s="16" t="n">
        <v>0.7590563129650527</v>
      </c>
      <c r="X1492" s="16" t="n">
        <v>0.7533155487201376</v>
      </c>
      <c r="Y1492" s="16" t="n">
        <v>289.3370599310383</v>
      </c>
      <c r="Z1492" s="16" t="n">
        <v>10.52318894677323</v>
      </c>
      <c r="AA1492" s="16" t="n">
        <v>163.7245978492193</v>
      </c>
      <c r="AB1492" s="16" t="n">
        <v>2423.807104380995</v>
      </c>
      <c r="AC1492" s="16" t="n">
        <v>5.146167502214187</v>
      </c>
      <c r="AD1492" s="16" t="inlineStr">
        <is>
          <t>O2</t>
        </is>
      </c>
      <c r="AE1492" s="16" t="n"/>
    </row>
    <row r="1493">
      <c r="A1493" s="16" t="inlineStr">
        <is>
          <t>KF-M04b-0121</t>
        </is>
      </c>
      <c r="B1493" s="16" t="inlineStr">
        <is>
          <t>3.2</t>
        </is>
      </c>
      <c r="C1493" s="16" t="inlineStr">
        <is>
          <t>3.2</t>
        </is>
      </c>
      <c r="D1493" s="16" t="inlineStr">
        <is>
          <t>muestra de 200 puntos</t>
        </is>
      </c>
      <c r="E1493" s="16" t="inlineStr">
        <is>
          <t>KF-M04b</t>
        </is>
      </c>
      <c r="F1493" s="16" t="inlineStr">
        <is>
          <t>KF-M04b</t>
        </is>
      </c>
      <c r="G1493" s="16" t="inlineStr">
        <is>
          <t>B07</t>
        </is>
      </c>
      <c r="H1493" s="16" t="inlineStr">
        <is>
          <t>lhs</t>
        </is>
      </c>
      <c r="I1493" s="16" t="inlineStr">
        <is>
          <t>CORREGIBLE</t>
        </is>
      </c>
      <c r="J1493" s="16" t="inlineStr">
        <is>
          <t>CORREGIBLE</t>
        </is>
      </c>
      <c r="K1493" s="16" t="b">
        <v>1</v>
      </c>
      <c r="L1493" s="16" t="b">
        <v>0</v>
      </c>
      <c r="M1493" s="16" t="b">
        <v>0</v>
      </c>
      <c r="N1493" s="16" t="b">
        <v>0</v>
      </c>
      <c r="O1493" s="16" t="n">
        <v>382.887652217981</v>
      </c>
      <c r="P1493" s="16" t="n">
        <v>298.0065762193073</v>
      </c>
      <c r="Q1493" s="16" t="n">
        <v>3114.796381615248</v>
      </c>
      <c r="R1493" s="16" t="n">
        <v>720.7462036669335</v>
      </c>
      <c r="S1493" s="16" t="n">
        <v>0.7433506982819971</v>
      </c>
      <c r="T1493" s="16" t="n">
        <v>0.8870599282371275</v>
      </c>
      <c r="U1493" s="16" t="n">
        <v>0.6714607577355217</v>
      </c>
      <c r="V1493" s="16" t="n">
        <v>0.897997396200822</v>
      </c>
      <c r="W1493" s="16" t="n">
        <v>0.6016718962259631</v>
      </c>
      <c r="X1493" s="16" t="n">
        <v>0.9359217060211952</v>
      </c>
      <c r="Y1493" s="16" t="n">
        <v>298.0065762193073</v>
      </c>
      <c r="Z1493" s="16" t="n">
        <v>11.09469229467476</v>
      </c>
      <c r="AA1493" s="16" t="n">
        <v>74.37882660912594</v>
      </c>
      <c r="AB1493" s="16" t="n">
        <v>2394.050177948314</v>
      </c>
      <c r="AC1493" s="16" t="n">
        <v>4.321627177178497</v>
      </c>
      <c r="AD1493" s="16" t="inlineStr">
        <is>
          <t>O2</t>
        </is>
      </c>
      <c r="AE1493" s="16" t="n"/>
    </row>
    <row r="1494">
      <c r="A1494" s="16" t="inlineStr">
        <is>
          <t>KF-M04b-0122</t>
        </is>
      </c>
      <c r="B1494" s="16" t="inlineStr">
        <is>
          <t>3.2</t>
        </is>
      </c>
      <c r="C1494" s="16" t="inlineStr">
        <is>
          <t>3.2</t>
        </is>
      </c>
      <c r="D1494" s="16" t="inlineStr">
        <is>
          <t>muestra de 200 puntos</t>
        </is>
      </c>
      <c r="E1494" s="16" t="inlineStr">
        <is>
          <t>KF-M04b</t>
        </is>
      </c>
      <c r="F1494" s="16" t="inlineStr">
        <is>
          <t>KF-M04b</t>
        </is>
      </c>
      <c r="G1494" s="16" t="inlineStr">
        <is>
          <t>B07</t>
        </is>
      </c>
      <c r="H1494" s="16" t="inlineStr">
        <is>
          <t>lhs</t>
        </is>
      </c>
      <c r="I1494" s="16" t="inlineStr">
        <is>
          <t>INVIABLE</t>
        </is>
      </c>
      <c r="J1494" s="16" t="inlineStr">
        <is>
          <t>INVIABLE</t>
        </is>
      </c>
      <c r="K1494" s="16" t="b">
        <v>1</v>
      </c>
      <c r="L1494" s="16" t="b">
        <v>0</v>
      </c>
      <c r="M1494" s="16" t="b">
        <v>1</v>
      </c>
      <c r="N1494" s="16" t="b">
        <v>0</v>
      </c>
      <c r="O1494" s="16" t="n">
        <v>460.6563986279427</v>
      </c>
      <c r="P1494" s="16" t="n">
        <v>300.2145317383062</v>
      </c>
      <c r="Q1494" s="16" t="n">
        <v>3678.498952336176</v>
      </c>
      <c r="R1494" s="16" t="n">
        <v>304.7409728147116</v>
      </c>
      <c r="S1494" s="16" t="n">
        <v>0.8034514552191677</v>
      </c>
      <c r="T1494" s="16" t="n">
        <v>0.7928337917888775</v>
      </c>
      <c r="U1494" s="16" t="n">
        <v>0.6557201480422924</v>
      </c>
      <c r="V1494" s="16" t="n">
        <v>0.6409161486542848</v>
      </c>
      <c r="W1494" s="16" t="n">
        <v>0.6142607063435223</v>
      </c>
      <c r="X1494" s="16" t="n">
        <v>0.7564953608794273</v>
      </c>
      <c r="Y1494" s="16" t="n">
        <v>300.2145317383062</v>
      </c>
      <c r="Z1494" s="16" t="n">
        <v>-43.68702579526239</v>
      </c>
      <c r="AA1494" s="16" t="n">
        <v>-131.736596386359</v>
      </c>
      <c r="AB1494" s="16" t="n">
        <v>3373.757979521464</v>
      </c>
      <c r="AC1494" s="16" t="n">
        <v>12.07090375265283</v>
      </c>
      <c r="AD1494" s="16" t="inlineStr">
        <is>
          <t>O2,O3</t>
        </is>
      </c>
      <c r="AE1494" s="16" t="n"/>
    </row>
    <row r="1495">
      <c r="A1495" s="16" t="inlineStr">
        <is>
          <t>KF-M04b-0123</t>
        </is>
      </c>
      <c r="B1495" s="16" t="inlineStr">
        <is>
          <t>3.2</t>
        </is>
      </c>
      <c r="C1495" s="16" t="inlineStr">
        <is>
          <t>3.2</t>
        </is>
      </c>
      <c r="D1495" s="16" t="inlineStr">
        <is>
          <t>muestra de 200 puntos</t>
        </is>
      </c>
      <c r="E1495" s="16" t="inlineStr">
        <is>
          <t>KF-M04b</t>
        </is>
      </c>
      <c r="F1495" s="16" t="inlineStr">
        <is>
          <t>KF-M04b</t>
        </is>
      </c>
      <c r="G1495" s="16" t="inlineStr">
        <is>
          <t>B07</t>
        </is>
      </c>
      <c r="H1495" s="16" t="inlineStr">
        <is>
          <t>lhs</t>
        </is>
      </c>
      <c r="I1495" s="16" t="inlineStr">
        <is>
          <t>INVIABLE</t>
        </is>
      </c>
      <c r="J1495" s="16" t="inlineStr">
        <is>
          <t>INVIABLE</t>
        </is>
      </c>
      <c r="K1495" s="16" t="b">
        <v>1</v>
      </c>
      <c r="L1495" s="16" t="b">
        <v>0</v>
      </c>
      <c r="M1495" s="16" t="b">
        <v>1</v>
      </c>
      <c r="N1495" s="16" t="b">
        <v>0</v>
      </c>
      <c r="O1495" s="16" t="n">
        <v>466.1481646683824</v>
      </c>
      <c r="P1495" s="16" t="n">
        <v>300.6851498109261</v>
      </c>
      <c r="Q1495" s="16" t="n">
        <v>3454.160964197272</v>
      </c>
      <c r="R1495" s="16" t="n">
        <v>306.8591841578382</v>
      </c>
      <c r="S1495" s="16" t="n">
        <v>0.8487947732025092</v>
      </c>
      <c r="T1495" s="16" t="n">
        <v>0.81163997553078</v>
      </c>
      <c r="U1495" s="16" t="n">
        <v>0.8276213674371564</v>
      </c>
      <c r="V1495" s="16" t="n">
        <v>0.6313090123679227</v>
      </c>
      <c r="W1495" s="16" t="n">
        <v>0.7134697306384616</v>
      </c>
      <c r="X1495" s="16" t="n">
        <v>0.7979667004188964</v>
      </c>
      <c r="Y1495" s="16" t="n">
        <v>300.6851498109261</v>
      </c>
      <c r="Z1495" s="16" t="n">
        <v>-21.4305535038159</v>
      </c>
      <c r="AA1495" s="16" t="n">
        <v>-59.5663578856728</v>
      </c>
      <c r="AB1495" s="16" t="n">
        <v>3147.301780039434</v>
      </c>
      <c r="AC1495" s="16" t="n">
        <v>11.25650181752607</v>
      </c>
      <c r="AD1495" s="16" t="inlineStr">
        <is>
          <t>O2,O3</t>
        </is>
      </c>
      <c r="AE1495" s="16" t="n"/>
    </row>
    <row r="1496">
      <c r="A1496" s="16" t="inlineStr">
        <is>
          <t>KF-M04b-0124</t>
        </is>
      </c>
      <c r="B1496" s="16" t="inlineStr">
        <is>
          <t>3.2</t>
        </is>
      </c>
      <c r="C1496" s="16" t="inlineStr">
        <is>
          <t>3.2</t>
        </is>
      </c>
      <c r="D1496" s="16" t="inlineStr">
        <is>
          <t>muestra de 200 puntos</t>
        </is>
      </c>
      <c r="E1496" s="16" t="inlineStr">
        <is>
          <t>KF-M04b</t>
        </is>
      </c>
      <c r="F1496" s="16" t="inlineStr">
        <is>
          <t>KF-M04b</t>
        </is>
      </c>
      <c r="G1496" s="16" t="inlineStr">
        <is>
          <t>B07</t>
        </is>
      </c>
      <c r="H1496" s="16" t="inlineStr">
        <is>
          <t>lhs</t>
        </is>
      </c>
      <c r="I1496" s="16" t="inlineStr">
        <is>
          <t>CORREGIBLE</t>
        </is>
      </c>
      <c r="J1496" s="16" t="inlineStr">
        <is>
          <t>CORREGIBLE</t>
        </is>
      </c>
      <c r="K1496" s="16" t="b">
        <v>1</v>
      </c>
      <c r="L1496" s="16" t="b">
        <v>0</v>
      </c>
      <c r="M1496" s="16" t="b">
        <v>0</v>
      </c>
      <c r="N1496" s="16" t="b">
        <v>0</v>
      </c>
      <c r="O1496" s="16" t="n">
        <v>412.3293645723653</v>
      </c>
      <c r="P1496" s="16" t="n">
        <v>292.7928126831931</v>
      </c>
      <c r="Q1496" s="16" t="n">
        <v>3497.91214283354</v>
      </c>
      <c r="R1496" s="16" t="n">
        <v>719.4114652340807</v>
      </c>
      <c r="S1496" s="16" t="n">
        <v>0.7344085608734882</v>
      </c>
      <c r="T1496" s="16" t="n">
        <v>0.917359756430238</v>
      </c>
      <c r="U1496" s="16" t="n">
        <v>0.6602593480267952</v>
      </c>
      <c r="V1496" s="16" t="n">
        <v>0.6727284696212996</v>
      </c>
      <c r="W1496" s="16" t="n">
        <v>0.7199935273701052</v>
      </c>
      <c r="X1496" s="16" t="n">
        <v>0.7693579159774731</v>
      </c>
      <c r="Y1496" s="16" t="n">
        <v>292.7928126831931</v>
      </c>
      <c r="Z1496" s="16" t="n">
        <v>12.73507403255714</v>
      </c>
      <c r="AA1496" s="16" t="n">
        <v>81.12645933603747</v>
      </c>
      <c r="AB1496" s="16" t="n">
        <v>2778.500677599459</v>
      </c>
      <c r="AC1496" s="16" t="n">
        <v>4.862185705777425</v>
      </c>
      <c r="AD1496" s="16" t="inlineStr">
        <is>
          <t>O2</t>
        </is>
      </c>
      <c r="AE1496" s="16" t="n"/>
    </row>
    <row r="1497">
      <c r="A1497" s="16" t="inlineStr">
        <is>
          <t>KF-M04b-0125</t>
        </is>
      </c>
      <c r="B1497" s="16" t="inlineStr">
        <is>
          <t>3.2</t>
        </is>
      </c>
      <c r="C1497" s="16" t="inlineStr">
        <is>
          <t>3.2</t>
        </is>
      </c>
      <c r="D1497" s="16" t="inlineStr">
        <is>
          <t>muestra de 200 puntos</t>
        </is>
      </c>
      <c r="E1497" s="16" t="inlineStr">
        <is>
          <t>KF-M04b</t>
        </is>
      </c>
      <c r="F1497" s="16" t="inlineStr">
        <is>
          <t>KF-M04b</t>
        </is>
      </c>
      <c r="G1497" s="16" t="inlineStr">
        <is>
          <t>B07</t>
        </is>
      </c>
      <c r="H1497" s="16" t="inlineStr">
        <is>
          <t>lhs</t>
        </is>
      </c>
      <c r="I1497" s="16" t="inlineStr">
        <is>
          <t>KALINA</t>
        </is>
      </c>
      <c r="J1497" s="16" t="inlineStr">
        <is>
          <t>KALINA</t>
        </is>
      </c>
      <c r="K1497" s="16" t="b">
        <v>1</v>
      </c>
      <c r="L1497" s="16" t="b">
        <v>1</v>
      </c>
      <c r="M1497" s="16" t="b">
        <v>0</v>
      </c>
      <c r="N1497" s="16" t="b">
        <v>0</v>
      </c>
      <c r="O1497" s="16" t="n">
        <v>405.6643014526023</v>
      </c>
      <c r="P1497" s="16" t="n">
        <v>297.4410811092943</v>
      </c>
      <c r="Q1497" s="16" t="n">
        <v>4339.780615708146</v>
      </c>
      <c r="R1497" s="16" t="n">
        <v>812.7815424286804</v>
      </c>
      <c r="S1497" s="16" t="n">
        <v>0.5464488505560433</v>
      </c>
      <c r="T1497" s="16" t="n">
        <v>0.8762078894439458</v>
      </c>
      <c r="U1497" s="16" t="n">
        <v>0.7997722715562134</v>
      </c>
      <c r="V1497" s="16" t="n">
        <v>0.8686208830789779</v>
      </c>
      <c r="W1497" s="16" t="n">
        <v>0.8302833016272144</v>
      </c>
      <c r="X1497" s="16" t="n">
        <v>0.8515847403112115</v>
      </c>
      <c r="Y1497" s="16" t="n">
        <v>297.4410811092943</v>
      </c>
      <c r="Z1497" s="16" t="n">
        <v>5.37524351723227</v>
      </c>
      <c r="AA1497" s="16" t="n">
        <v>10.0669531938959</v>
      </c>
      <c r="AB1497" s="16" t="n">
        <v>3526.999073279465</v>
      </c>
      <c r="AC1497" s="16" t="n">
        <v>5.339418268210675</v>
      </c>
      <c r="AD1497" s="16" t="n"/>
      <c r="AE1497" s="16" t="n"/>
    </row>
    <row r="1498">
      <c r="A1498" s="16" t="inlineStr">
        <is>
          <t>KF-M04b-0126</t>
        </is>
      </c>
      <c r="B1498" s="16" t="inlineStr">
        <is>
          <t>3.2</t>
        </is>
      </c>
      <c r="C1498" s="16" t="inlineStr">
        <is>
          <t>3.2</t>
        </is>
      </c>
      <c r="D1498" s="16" t="inlineStr">
        <is>
          <t>muestra de 200 puntos</t>
        </is>
      </c>
      <c r="E1498" s="16" t="inlineStr">
        <is>
          <t>KF-M04b</t>
        </is>
      </c>
      <c r="F1498" s="16" t="inlineStr">
        <is>
          <t>KF-M04b</t>
        </is>
      </c>
      <c r="G1498" s="16" t="inlineStr">
        <is>
          <t>B07</t>
        </is>
      </c>
      <c r="H1498" s="16" t="inlineStr">
        <is>
          <t>lhs</t>
        </is>
      </c>
      <c r="I1498" s="16" t="inlineStr">
        <is>
          <t>CORREGIBLE</t>
        </is>
      </c>
      <c r="J1498" s="16" t="inlineStr">
        <is>
          <t>CORREGIBLE</t>
        </is>
      </c>
      <c r="K1498" s="16" t="b">
        <v>1</v>
      </c>
      <c r="L1498" s="16" t="b">
        <v>0</v>
      </c>
      <c r="M1498" s="16" t="b">
        <v>0</v>
      </c>
      <c r="N1498" s="16" t="b">
        <v>0</v>
      </c>
      <c r="O1498" s="16" t="n">
        <v>421.8416995824393</v>
      </c>
      <c r="P1498" s="16" t="n">
        <v>293.7744252658779</v>
      </c>
      <c r="Q1498" s="16" t="n">
        <v>2796.923069702998</v>
      </c>
      <c r="R1498" s="16" t="n">
        <v>1430.554715675412</v>
      </c>
      <c r="S1498" s="16" t="n">
        <v>0.7668414548430469</v>
      </c>
      <c r="T1498" s="16" t="n">
        <v>0.8455598990054338</v>
      </c>
      <c r="U1498" s="16" t="n">
        <v>0.8988577009576548</v>
      </c>
      <c r="V1498" s="16" t="n">
        <v>0.9379717636462844</v>
      </c>
      <c r="W1498" s="16" t="n">
        <v>0.6768123789298572</v>
      </c>
      <c r="X1498" s="16" t="n">
        <v>0.7476694716933316</v>
      </c>
      <c r="Y1498" s="16" t="n">
        <v>293.7744252658779</v>
      </c>
      <c r="Z1498" s="16" t="n">
        <v>5.81879455420487</v>
      </c>
      <c r="AA1498" s="16" t="n">
        <v>62.56618765971032</v>
      </c>
      <c r="AB1498" s="16" t="n">
        <v>1366.368354027586</v>
      </c>
      <c r="AC1498" s="16" t="n">
        <v>1.955131837360361</v>
      </c>
      <c r="AD1498" s="16" t="inlineStr">
        <is>
          <t>O2</t>
        </is>
      </c>
      <c r="AE1498" s="16" t="n"/>
    </row>
    <row r="1499">
      <c r="A1499" s="16" t="inlineStr">
        <is>
          <t>KF-M04b-0127</t>
        </is>
      </c>
      <c r="B1499" s="16" t="inlineStr">
        <is>
          <t>3.2</t>
        </is>
      </c>
      <c r="C1499" s="16" t="inlineStr">
        <is>
          <t>3.2</t>
        </is>
      </c>
      <c r="D1499" s="16" t="inlineStr">
        <is>
          <t>muestra de 200 puntos</t>
        </is>
      </c>
      <c r="E1499" s="16" t="inlineStr">
        <is>
          <t>KF-M04b</t>
        </is>
      </c>
      <c r="F1499" s="16" t="inlineStr">
        <is>
          <t>KF-M04b</t>
        </is>
      </c>
      <c r="G1499" s="16" t="inlineStr">
        <is>
          <t>B07</t>
        </is>
      </c>
      <c r="H1499" s="16" t="inlineStr">
        <is>
          <t>lhs</t>
        </is>
      </c>
      <c r="I1499" s="16" t="inlineStr">
        <is>
          <t>CORREGIBLE</t>
        </is>
      </c>
      <c r="J1499" s="16" t="inlineStr">
        <is>
          <t>CORREGIBLE</t>
        </is>
      </c>
      <c r="K1499" s="16" t="b">
        <v>1</v>
      </c>
      <c r="L1499" s="16" t="b">
        <v>0</v>
      </c>
      <c r="M1499" s="16" t="b">
        <v>0</v>
      </c>
      <c r="N1499" s="16" t="b">
        <v>0</v>
      </c>
      <c r="O1499" s="16" t="n">
        <v>402.6646742529997</v>
      </c>
      <c r="P1499" s="16" t="n">
        <v>302.3115145365658</v>
      </c>
      <c r="Q1499" s="16" t="n">
        <v>3316.463893999092</v>
      </c>
      <c r="R1499" s="16" t="n">
        <v>609.9167989462223</v>
      </c>
      <c r="S1499" s="16" t="n">
        <v>0.5993789899268172</v>
      </c>
      <c r="T1499" s="16" t="n">
        <v>0.8635783403754168</v>
      </c>
      <c r="U1499" s="16" t="n">
        <v>0.700590095907215</v>
      </c>
      <c r="V1499" s="16" t="n">
        <v>0.6361714007664226</v>
      </c>
      <c r="W1499" s="16" t="n">
        <v>0.6443979835417516</v>
      </c>
      <c r="X1499" s="16" t="n">
        <v>0.8231439675578825</v>
      </c>
      <c r="Y1499" s="16" t="n">
        <v>302.3115145365658</v>
      </c>
      <c r="Z1499" s="16" t="n">
        <v>9.12436104734317</v>
      </c>
      <c r="AA1499" s="16" t="n">
        <v>33.61795924123813</v>
      </c>
      <c r="AB1499" s="16" t="n">
        <v>2706.54709505287</v>
      </c>
      <c r="AC1499" s="16" t="n">
        <v>5.437567713709607</v>
      </c>
      <c r="AD1499" s="16" t="inlineStr">
        <is>
          <t>O2</t>
        </is>
      </c>
      <c r="AE1499" s="16" t="n"/>
    </row>
    <row r="1500">
      <c r="A1500" s="16" t="inlineStr">
        <is>
          <t>KF-M04b-0128</t>
        </is>
      </c>
      <c r="B1500" s="16" t="inlineStr">
        <is>
          <t>3.2</t>
        </is>
      </c>
      <c r="C1500" s="16" t="inlineStr">
        <is>
          <t>3.2</t>
        </is>
      </c>
      <c r="D1500" s="16" t="inlineStr">
        <is>
          <t>muestra de 200 puntos</t>
        </is>
      </c>
      <c r="E1500" s="16" t="inlineStr">
        <is>
          <t>KF-M04b</t>
        </is>
      </c>
      <c r="F1500" s="16" t="inlineStr">
        <is>
          <t>KF-M04b</t>
        </is>
      </c>
      <c r="G1500" s="16" t="inlineStr">
        <is>
          <t>B07</t>
        </is>
      </c>
      <c r="H1500" s="16" t="inlineStr">
        <is>
          <t>lhs</t>
        </is>
      </c>
      <c r="I1500" s="16" t="inlineStr">
        <is>
          <t>CORREGIBLE</t>
        </is>
      </c>
      <c r="J1500" s="16" t="inlineStr">
        <is>
          <t>CORREGIBLE</t>
        </is>
      </c>
      <c r="K1500" s="16" t="b">
        <v>1</v>
      </c>
      <c r="L1500" s="16" t="b">
        <v>0</v>
      </c>
      <c r="M1500" s="16" t="b">
        <v>0</v>
      </c>
      <c r="N1500" s="16" t="b">
        <v>0</v>
      </c>
      <c r="O1500" s="16" t="n">
        <v>427.2218495497027</v>
      </c>
      <c r="P1500" s="16" t="n">
        <v>303.0263755842036</v>
      </c>
      <c r="Q1500" s="16" t="n">
        <v>4232.314608314509</v>
      </c>
      <c r="R1500" s="16" t="n">
        <v>726.4676953034264</v>
      </c>
      <c r="S1500" s="16" t="n">
        <v>0.5232072908744213</v>
      </c>
      <c r="T1500" s="16" t="n">
        <v>0.7726459080861668</v>
      </c>
      <c r="U1500" s="16" t="n">
        <v>0.696915940067623</v>
      </c>
      <c r="V1500" s="16" t="n">
        <v>0.7261764410713251</v>
      </c>
      <c r="W1500" s="16" t="n">
        <v>0.7176622362298737</v>
      </c>
      <c r="X1500" s="16" t="n">
        <v>0.8079934348583029</v>
      </c>
      <c r="Y1500" s="16" t="n">
        <v>303.0263755842036</v>
      </c>
      <c r="Z1500" s="16" t="n">
        <v>7.916216265992319</v>
      </c>
      <c r="AA1500" s="16" t="n">
        <v>30.19114980496716</v>
      </c>
      <c r="AB1500" s="16" t="n">
        <v>3505.846913011083</v>
      </c>
      <c r="AC1500" s="16" t="n">
        <v>5.825881364961154</v>
      </c>
      <c r="AD1500" s="16" t="inlineStr">
        <is>
          <t>O2</t>
        </is>
      </c>
      <c r="AE1500" s="16" t="n"/>
    </row>
    <row r="1501">
      <c r="A1501" s="16" t="inlineStr">
        <is>
          <t>KF-M04b-0129</t>
        </is>
      </c>
      <c r="B1501" s="16" t="inlineStr">
        <is>
          <t>3.2</t>
        </is>
      </c>
      <c r="C1501" s="16" t="inlineStr">
        <is>
          <t>3.2</t>
        </is>
      </c>
      <c r="D1501" s="16" t="inlineStr">
        <is>
          <t>muestra de 200 puntos</t>
        </is>
      </c>
      <c r="E1501" s="16" t="inlineStr">
        <is>
          <t>KF-M04b</t>
        </is>
      </c>
      <c r="F1501" s="16" t="inlineStr">
        <is>
          <t>KF-M04b</t>
        </is>
      </c>
      <c r="G1501" s="16" t="inlineStr">
        <is>
          <t>B07</t>
        </is>
      </c>
      <c r="H1501" s="16" t="inlineStr">
        <is>
          <t>lhs</t>
        </is>
      </c>
      <c r="I1501" s="16" t="inlineStr">
        <is>
          <t>KALINA</t>
        </is>
      </c>
      <c r="J1501" s="16" t="inlineStr">
        <is>
          <t>KALINA</t>
        </is>
      </c>
      <c r="K1501" s="16" t="b">
        <v>1</v>
      </c>
      <c r="L1501" s="16" t="b">
        <v>1</v>
      </c>
      <c r="M1501" s="16" t="b">
        <v>0</v>
      </c>
      <c r="N1501" s="16" t="b">
        <v>0</v>
      </c>
      <c r="O1501" s="16" t="n">
        <v>399.0418892971064</v>
      </c>
      <c r="P1501" s="16" t="n">
        <v>284.1450022215211</v>
      </c>
      <c r="Q1501" s="16" t="n">
        <v>3253.987855848156</v>
      </c>
      <c r="R1501" s="16" t="n">
        <v>681.0684880043149</v>
      </c>
      <c r="S1501" s="16" t="n">
        <v>0.5604901812649742</v>
      </c>
      <c r="T1501" s="16" t="n">
        <v>0.750357913451607</v>
      </c>
      <c r="U1501" s="16" t="n">
        <v>0.6864804689296488</v>
      </c>
      <c r="V1501" s="16" t="n">
        <v>0.7745714917728773</v>
      </c>
      <c r="W1501" s="16" t="n">
        <v>0.7752877578132431</v>
      </c>
      <c r="X1501" s="16" t="n">
        <v>0.8396209768631442</v>
      </c>
      <c r="Y1501" s="16" t="n">
        <v>284.1450022215211</v>
      </c>
      <c r="Z1501" s="16" t="n">
        <v>6.820055969511631</v>
      </c>
      <c r="AA1501" s="16" t="n">
        <v>22.90317982620644</v>
      </c>
      <c r="AB1501" s="16" t="n">
        <v>2572.919367843841</v>
      </c>
      <c r="AC1501" s="16" t="n">
        <v>4.777768922158003</v>
      </c>
      <c r="AD1501" s="16" t="n"/>
      <c r="AE1501" s="16" t="n"/>
    </row>
    <row r="1502">
      <c r="A1502" s="16" t="inlineStr">
        <is>
          <t>KF-M04b-0130</t>
        </is>
      </c>
      <c r="B1502" s="16" t="inlineStr">
        <is>
          <t>3.2</t>
        </is>
      </c>
      <c r="C1502" s="16" t="inlineStr">
        <is>
          <t>3.2</t>
        </is>
      </c>
      <c r="D1502" s="16" t="inlineStr">
        <is>
          <t>muestra de 200 puntos</t>
        </is>
      </c>
      <c r="E1502" s="16" t="inlineStr">
        <is>
          <t>KF-M04b</t>
        </is>
      </c>
      <c r="F1502" s="16" t="inlineStr">
        <is>
          <t>KF-M04b</t>
        </is>
      </c>
      <c r="G1502" s="16" t="inlineStr">
        <is>
          <t>B07</t>
        </is>
      </c>
      <c r="H1502" s="16" t="inlineStr">
        <is>
          <t>lhs</t>
        </is>
      </c>
      <c r="I1502" s="16" t="inlineStr">
        <is>
          <t>CORREGIBLE</t>
        </is>
      </c>
      <c r="J1502" s="16" t="inlineStr">
        <is>
          <t>CORREGIBLE</t>
        </is>
      </c>
      <c r="K1502" s="16" t="b">
        <v>1</v>
      </c>
      <c r="L1502" s="16" t="b">
        <v>0</v>
      </c>
      <c r="M1502" s="16" t="b">
        <v>0</v>
      </c>
      <c r="N1502" s="16" t="b">
        <v>0</v>
      </c>
      <c r="O1502" s="16" t="n">
        <v>472.0476014288096</v>
      </c>
      <c r="P1502" s="16" t="n">
        <v>286.9887461128228</v>
      </c>
      <c r="Q1502" s="16" t="n">
        <v>2189.372121129089</v>
      </c>
      <c r="R1502" s="16" t="n">
        <v>957.061608112662</v>
      </c>
      <c r="S1502" s="16" t="n">
        <v>0.8408438085006995</v>
      </c>
      <c r="T1502" s="16" t="n">
        <v>0.8087298190401095</v>
      </c>
      <c r="U1502" s="16" t="n">
        <v>0.732949740087284</v>
      </c>
      <c r="V1502" s="16" t="n">
        <v>0.8291915328050707</v>
      </c>
      <c r="W1502" s="16" t="n">
        <v>0.7077684973617208</v>
      </c>
      <c r="X1502" s="16" t="n">
        <v>0.7745962050924681</v>
      </c>
      <c r="Y1502" s="16" t="n">
        <v>286.9887461128228</v>
      </c>
      <c r="Z1502" s="16" t="n">
        <v>6.25877590040448</v>
      </c>
      <c r="AA1502" s="16" t="n">
        <v>79.90199545879311</v>
      </c>
      <c r="AB1502" s="16" t="n">
        <v>1232.310513016427</v>
      </c>
      <c r="AC1502" s="16" t="n">
        <v>2.287597896071246</v>
      </c>
      <c r="AD1502" s="16" t="inlineStr">
        <is>
          <t>O2</t>
        </is>
      </c>
      <c r="AE1502" s="16" t="n"/>
    </row>
    <row r="1503">
      <c r="A1503" s="16" t="inlineStr">
        <is>
          <t>KF-M04b-0131</t>
        </is>
      </c>
      <c r="B1503" s="16" t="inlineStr">
        <is>
          <t>3.2</t>
        </is>
      </c>
      <c r="C1503" s="16" t="inlineStr">
        <is>
          <t>3.2</t>
        </is>
      </c>
      <c r="D1503" s="16" t="inlineStr">
        <is>
          <t>muestra de 200 puntos</t>
        </is>
      </c>
      <c r="E1503" s="16" t="inlineStr">
        <is>
          <t>KF-M04b</t>
        </is>
      </c>
      <c r="F1503" s="16" t="inlineStr">
        <is>
          <t>KF-M04b</t>
        </is>
      </c>
      <c r="G1503" s="16" t="inlineStr">
        <is>
          <t>B07</t>
        </is>
      </c>
      <c r="H1503" s="16" t="inlineStr">
        <is>
          <t>lhs</t>
        </is>
      </c>
      <c r="I1503" s="16" t="inlineStr">
        <is>
          <t>CORREGIBLE</t>
        </is>
      </c>
      <c r="J1503" s="16" t="inlineStr">
        <is>
          <t>CORREGIBLE</t>
        </is>
      </c>
      <c r="K1503" s="16" t="b">
        <v>1</v>
      </c>
      <c r="L1503" s="16" t="b">
        <v>0</v>
      </c>
      <c r="M1503" s="16" t="b">
        <v>1</v>
      </c>
      <c r="N1503" s="16" t="b">
        <v>0</v>
      </c>
      <c r="O1503" s="16" t="n">
        <v>497.1546164151805</v>
      </c>
      <c r="P1503" s="16" t="n">
        <v>285.3798209286568</v>
      </c>
      <c r="Q1503" s="16" t="n">
        <v>2909.835972035908</v>
      </c>
      <c r="R1503" s="16" t="n">
        <v>1288.825449537628</v>
      </c>
      <c r="S1503" s="16" t="n">
        <v>0.6526207901994187</v>
      </c>
      <c r="T1503" s="16" t="n">
        <v>0.8189319041783818</v>
      </c>
      <c r="U1503" s="16" t="n">
        <v>0.7170517075918783</v>
      </c>
      <c r="V1503" s="16" t="n">
        <v>0.7131261616600701</v>
      </c>
      <c r="W1503" s="16" t="n">
        <v>0.8283661397377849</v>
      </c>
      <c r="X1503" s="16" t="n">
        <v>0.8680009751877988</v>
      </c>
      <c r="Y1503" s="16" t="n">
        <v>285.3798209286568</v>
      </c>
      <c r="Z1503" s="16" t="n">
        <v>6.36410054671518</v>
      </c>
      <c r="AA1503" s="16" t="n">
        <v>90.06665152945038</v>
      </c>
      <c r="AB1503" s="16" t="n">
        <v>1621.01052249828</v>
      </c>
      <c r="AC1503" s="16" t="n">
        <v>2.257742484119804</v>
      </c>
      <c r="AD1503" s="16" t="inlineStr">
        <is>
          <t>O2</t>
        </is>
      </c>
      <c r="AE1503" s="16" t="n"/>
    </row>
    <row r="1504">
      <c r="A1504" s="16" t="inlineStr">
        <is>
          <t>KF-M04b-0132</t>
        </is>
      </c>
      <c r="B1504" s="16" t="inlineStr">
        <is>
          <t>3.2</t>
        </is>
      </c>
      <c r="C1504" s="16" t="inlineStr">
        <is>
          <t>3.2</t>
        </is>
      </c>
      <c r="D1504" s="16" t="inlineStr">
        <is>
          <t>muestra de 200 puntos</t>
        </is>
      </c>
      <c r="E1504" s="16" t="inlineStr">
        <is>
          <t>KF-M04b</t>
        </is>
      </c>
      <c r="F1504" s="16" t="inlineStr">
        <is>
          <t>KF-M04b</t>
        </is>
      </c>
      <c r="G1504" s="16" t="inlineStr">
        <is>
          <t>B07</t>
        </is>
      </c>
      <c r="H1504" s="16" t="inlineStr">
        <is>
          <t>lhs</t>
        </is>
      </c>
      <c r="I1504" s="16" t="inlineStr">
        <is>
          <t>CORREGIBLE</t>
        </is>
      </c>
      <c r="J1504" s="16" t="inlineStr">
        <is>
          <t>CORREGIBLE</t>
        </is>
      </c>
      <c r="K1504" s="16" t="b">
        <v>1</v>
      </c>
      <c r="L1504" s="16" t="b">
        <v>0</v>
      </c>
      <c r="M1504" s="16" t="b">
        <v>1</v>
      </c>
      <c r="N1504" s="16" t="b">
        <v>0</v>
      </c>
      <c r="O1504" s="16" t="n">
        <v>470.1606396710339</v>
      </c>
      <c r="P1504" s="16" t="n">
        <v>294.453500275565</v>
      </c>
      <c r="Q1504" s="16" t="n">
        <v>2624.980834960795</v>
      </c>
      <c r="R1504" s="16" t="n">
        <v>1344.938944291633</v>
      </c>
      <c r="S1504" s="16" t="n">
        <v>0.5432609155616063</v>
      </c>
      <c r="T1504" s="16" t="n">
        <v>0.8531979091362378</v>
      </c>
      <c r="U1504" s="16" t="n">
        <v>0.8501772615680998</v>
      </c>
      <c r="V1504" s="16" t="n">
        <v>0.9008183341010952</v>
      </c>
      <c r="W1504" s="16" t="n">
        <v>0.6267537441301408</v>
      </c>
      <c r="X1504" s="16" t="n">
        <v>0.8548740360431456</v>
      </c>
      <c r="Y1504" s="16" t="n">
        <v>294.453500275565</v>
      </c>
      <c r="Z1504" s="16" t="n">
        <v>5.226639210067329</v>
      </c>
      <c r="AA1504" s="16" t="n">
        <v>94.14198120290798</v>
      </c>
      <c r="AB1504" s="16" t="n">
        <v>1280.041890669162</v>
      </c>
      <c r="AC1504" s="16" t="n">
        <v>1.951747212096196</v>
      </c>
      <c r="AD1504" s="16" t="inlineStr">
        <is>
          <t>O2</t>
        </is>
      </c>
      <c r="AE1504" s="16" t="n"/>
    </row>
    <row r="1505">
      <c r="A1505" s="16" t="inlineStr">
        <is>
          <t>KF-M04b-0133</t>
        </is>
      </c>
      <c r="B1505" s="16" t="inlineStr">
        <is>
          <t>3.2</t>
        </is>
      </c>
      <c r="C1505" s="16" t="inlineStr">
        <is>
          <t>3.2</t>
        </is>
      </c>
      <c r="D1505" s="16" t="inlineStr">
        <is>
          <t>muestra de 200 puntos</t>
        </is>
      </c>
      <c r="E1505" s="16" t="inlineStr">
        <is>
          <t>KF-M04b</t>
        </is>
      </c>
      <c r="F1505" s="16" t="inlineStr">
        <is>
          <t>KF-M04b</t>
        </is>
      </c>
      <c r="G1505" s="16" t="inlineStr">
        <is>
          <t>B07</t>
        </is>
      </c>
      <c r="H1505" s="16" t="inlineStr">
        <is>
          <t>lhs</t>
        </is>
      </c>
      <c r="I1505" s="16" t="inlineStr">
        <is>
          <t>KALINA</t>
        </is>
      </c>
      <c r="J1505" s="16" t="inlineStr">
        <is>
          <t>KALINA</t>
        </is>
      </c>
      <c r="K1505" s="16" t="b">
        <v>1</v>
      </c>
      <c r="L1505" s="16" t="b">
        <v>1</v>
      </c>
      <c r="M1505" s="16" t="b">
        <v>0</v>
      </c>
      <c r="N1505" s="16" t="b">
        <v>0</v>
      </c>
      <c r="O1505" s="16" t="n">
        <v>443.155295575482</v>
      </c>
      <c r="P1505" s="16" t="n">
        <v>291.2827444208244</v>
      </c>
      <c r="Q1505" s="16" t="n">
        <v>4257.260065476171</v>
      </c>
      <c r="R1505" s="16" t="n">
        <v>1490.200492941936</v>
      </c>
      <c r="S1505" s="16" t="n">
        <v>0.6720457777622199</v>
      </c>
      <c r="T1505" s="16" t="n">
        <v>0.7654932324931011</v>
      </c>
      <c r="U1505" s="16" t="n">
        <v>0.8600203261681342</v>
      </c>
      <c r="V1505" s="16" t="n">
        <v>0.6640942690111528</v>
      </c>
      <c r="W1505" s="16" t="n">
        <v>0.7676459138344044</v>
      </c>
      <c r="X1505" s="16" t="n">
        <v>0.8955254248486165</v>
      </c>
      <c r="Y1505" s="16" t="n">
        <v>291.2827444208244</v>
      </c>
      <c r="Z1505" s="16" t="n">
        <v>7.135652476747991</v>
      </c>
      <c r="AA1505" s="16" t="n">
        <v>56.34447752857211</v>
      </c>
      <c r="AB1505" s="16" t="n">
        <v>2767.059572534235</v>
      </c>
      <c r="AC1505" s="16" t="n">
        <v>2.856837107248259</v>
      </c>
      <c r="AD1505" s="16" t="n"/>
      <c r="AE1505" s="16" t="n"/>
    </row>
    <row r="1506">
      <c r="A1506" s="16" t="inlineStr">
        <is>
          <t>KF-M04b-0134</t>
        </is>
      </c>
      <c r="B1506" s="16" t="inlineStr">
        <is>
          <t>3.2</t>
        </is>
      </c>
      <c r="C1506" s="16" t="inlineStr">
        <is>
          <t>3.2</t>
        </is>
      </c>
      <c r="D1506" s="16" t="inlineStr">
        <is>
          <t>muestra de 200 puntos</t>
        </is>
      </c>
      <c r="E1506" s="16" t="inlineStr">
        <is>
          <t>KF-M04b</t>
        </is>
      </c>
      <c r="F1506" s="16" t="inlineStr">
        <is>
          <t>KF-M04b</t>
        </is>
      </c>
      <c r="G1506" s="16" t="inlineStr">
        <is>
          <t>B07</t>
        </is>
      </c>
      <c r="H1506" s="16" t="inlineStr">
        <is>
          <t>lhs</t>
        </is>
      </c>
      <c r="I1506" s="16" t="inlineStr">
        <is>
          <t>CORREGIBLE</t>
        </is>
      </c>
      <c r="J1506" s="16" t="inlineStr">
        <is>
          <t>CORREGIBLE</t>
        </is>
      </c>
      <c r="K1506" s="16" t="b">
        <v>1</v>
      </c>
      <c r="L1506" s="16" t="b">
        <v>0</v>
      </c>
      <c r="M1506" s="16" t="b">
        <v>0</v>
      </c>
      <c r="N1506" s="16" t="b">
        <v>0</v>
      </c>
      <c r="O1506" s="16" t="n">
        <v>401.720707206788</v>
      </c>
      <c r="P1506" s="16" t="n">
        <v>300.9046472107679</v>
      </c>
      <c r="Q1506" s="16" t="n">
        <v>4005.013079570259</v>
      </c>
      <c r="R1506" s="16" t="n">
        <v>1312.976037108916</v>
      </c>
      <c r="S1506" s="16" t="n">
        <v>0.6464566062009004</v>
      </c>
      <c r="T1506" s="16" t="n">
        <v>0.7846453340011603</v>
      </c>
      <c r="U1506" s="16" t="n">
        <v>0.8358464302967368</v>
      </c>
      <c r="V1506" s="16" t="n">
        <v>0.8886222511125069</v>
      </c>
      <c r="W1506" s="16" t="n">
        <v>0.6716779568279932</v>
      </c>
      <c r="X1506" s="16" t="n">
        <v>0.7541632778879562</v>
      </c>
      <c r="Y1506" s="16" t="n">
        <v>300.9046472107679</v>
      </c>
      <c r="Z1506" s="16" t="n">
        <v>7.178133571053349</v>
      </c>
      <c r="AA1506" s="16" t="n">
        <v>32.94281641700528</v>
      </c>
      <c r="AB1506" s="16" t="n">
        <v>2692.037042461342</v>
      </c>
      <c r="AC1506" s="16" t="n">
        <v>3.050332196761964</v>
      </c>
      <c r="AD1506" s="16" t="inlineStr">
        <is>
          <t>O2</t>
        </is>
      </c>
      <c r="AE1506" s="16" t="n"/>
    </row>
    <row r="1507">
      <c r="A1507" s="16" t="inlineStr">
        <is>
          <t>KF-M04b-0135</t>
        </is>
      </c>
      <c r="B1507" s="16" t="inlineStr">
        <is>
          <t>3.2</t>
        </is>
      </c>
      <c r="C1507" s="16" t="inlineStr">
        <is>
          <t>3.2</t>
        </is>
      </c>
      <c r="D1507" s="16" t="inlineStr">
        <is>
          <t>muestra de 200 puntos</t>
        </is>
      </c>
      <c r="E1507" s="16" t="inlineStr">
        <is>
          <t>KF-M04b</t>
        </is>
      </c>
      <c r="F1507" s="16" t="inlineStr">
        <is>
          <t>KF-M04b</t>
        </is>
      </c>
      <c r="G1507" s="16" t="inlineStr">
        <is>
          <t>B07</t>
        </is>
      </c>
      <c r="H1507" s="16" t="inlineStr">
        <is>
          <t>lhs</t>
        </is>
      </c>
      <c r="I1507" s="16" t="inlineStr">
        <is>
          <t>CORREGIBLE</t>
        </is>
      </c>
      <c r="J1507" s="16" t="inlineStr">
        <is>
          <t>CORREGIBLE</t>
        </is>
      </c>
      <c r="K1507" s="16" t="b">
        <v>1</v>
      </c>
      <c r="L1507" s="16" t="b">
        <v>0</v>
      </c>
      <c r="M1507" s="16" t="b">
        <v>1</v>
      </c>
      <c r="N1507" s="16" t="b">
        <v>0</v>
      </c>
      <c r="O1507" s="16" t="n">
        <v>478.5087447472868</v>
      </c>
      <c r="P1507" s="16" t="n">
        <v>294.2959029378756</v>
      </c>
      <c r="Q1507" s="16" t="n">
        <v>4011.194893326781</v>
      </c>
      <c r="R1507" s="16" t="n">
        <v>392.4009766415693</v>
      </c>
      <c r="S1507" s="16" t="n">
        <v>0.502890264480009</v>
      </c>
      <c r="T1507" s="16" t="n">
        <v>0.8750192865857039</v>
      </c>
      <c r="U1507" s="16" t="n">
        <v>0.8718516743708155</v>
      </c>
      <c r="V1507" s="16" t="n">
        <v>0.8392182432507185</v>
      </c>
      <c r="W1507" s="16" t="n">
        <v>0.9187771312137852</v>
      </c>
      <c r="X1507" s="16" t="n">
        <v>0.731253634280868</v>
      </c>
      <c r="Y1507" s="16" t="n">
        <v>294.2959029378756</v>
      </c>
      <c r="Z1507" s="16" t="n">
        <v>16.01491631164206</v>
      </c>
      <c r="AA1507" s="16" t="n">
        <v>201.84524776092</v>
      </c>
      <c r="AB1507" s="16" t="n">
        <v>3618.793916685212</v>
      </c>
      <c r="AC1507" s="16" t="n">
        <v>10.22218376635368</v>
      </c>
      <c r="AD1507" s="16" t="inlineStr">
        <is>
          <t>O1,O2</t>
        </is>
      </c>
      <c r="AE1507" s="16" t="n"/>
    </row>
    <row r="1508">
      <c r="A1508" s="16" t="inlineStr">
        <is>
          <t>KF-M04b-0136</t>
        </is>
      </c>
      <c r="B1508" s="16" t="inlineStr">
        <is>
          <t>3.2</t>
        </is>
      </c>
      <c r="C1508" s="16" t="inlineStr">
        <is>
          <t>3.2</t>
        </is>
      </c>
      <c r="D1508" s="16" t="inlineStr">
        <is>
          <t>muestra de 200 puntos</t>
        </is>
      </c>
      <c r="E1508" s="16" t="inlineStr">
        <is>
          <t>KF-M04b</t>
        </is>
      </c>
      <c r="F1508" s="16" t="inlineStr">
        <is>
          <t>KF-M04b</t>
        </is>
      </c>
      <c r="G1508" s="16" t="inlineStr">
        <is>
          <t>B07</t>
        </is>
      </c>
      <c r="H1508" s="16" t="inlineStr">
        <is>
          <t>lhs</t>
        </is>
      </c>
      <c r="I1508" s="16" t="inlineStr">
        <is>
          <t>NO_CONVERGIO</t>
        </is>
      </c>
      <c r="J1508" s="16" t="inlineStr">
        <is>
          <t>NO_CONVERGIO</t>
        </is>
      </c>
      <c r="K1508" s="16" t="b">
        <v>0</v>
      </c>
      <c r="L1508" s="16" t="b">
        <v>0</v>
      </c>
      <c r="M1508" s="16" t="b">
        <v>0</v>
      </c>
      <c r="N1508" s="16" t="b">
        <v>0</v>
      </c>
      <c r="O1508" s="16" t="n">
        <v>397.0384012392493</v>
      </c>
      <c r="P1508" s="16" t="n">
        <v>293.4951783415585</v>
      </c>
      <c r="Q1508" s="16" t="n">
        <v>4475.558910184573</v>
      </c>
      <c r="R1508" s="16" t="n">
        <v>925.989107268322</v>
      </c>
      <c r="S1508" s="16" t="n">
        <v>0.7745908067679201</v>
      </c>
      <c r="T1508" s="16" t="n">
        <v>0.8011448674463482</v>
      </c>
      <c r="U1508" s="16" t="n">
        <v>0.8251917484857131</v>
      </c>
      <c r="V1508" s="16" t="n">
        <v>0.9100134743102282</v>
      </c>
      <c r="W1508" s="16" t="n">
        <v>0.6991214136948121</v>
      </c>
      <c r="X1508" s="16" t="n">
        <v>0.7374527889377349</v>
      </c>
      <c r="Y1508" s="16" t="n">
        <v>293.4951783415585</v>
      </c>
      <c r="Z1508" s="16" t="n"/>
      <c r="AA1508" s="16" t="n"/>
      <c r="AB1508" s="16" t="n">
        <v>3549.56980291625</v>
      </c>
      <c r="AC1508" s="16" t="n">
        <v>4.833273820452943</v>
      </c>
      <c r="AD1508" s="16" t="n"/>
      <c r="AE1508" s="16" t="n"/>
    </row>
    <row r="1509">
      <c r="A1509" s="16" t="inlineStr">
        <is>
          <t>KF-M04b-0137</t>
        </is>
      </c>
      <c r="B1509" s="16" t="inlineStr">
        <is>
          <t>3.2</t>
        </is>
      </c>
      <c r="C1509" s="16" t="inlineStr">
        <is>
          <t>3.2</t>
        </is>
      </c>
      <c r="D1509" s="16" t="inlineStr">
        <is>
          <t>muestra de 200 puntos</t>
        </is>
      </c>
      <c r="E1509" s="16" t="inlineStr">
        <is>
          <t>KF-M04b</t>
        </is>
      </c>
      <c r="F1509" s="16" t="inlineStr">
        <is>
          <t>KF-M04b</t>
        </is>
      </c>
      <c r="G1509" s="16" t="inlineStr">
        <is>
          <t>B07</t>
        </is>
      </c>
      <c r="H1509" s="16" t="inlineStr">
        <is>
          <t>lhs</t>
        </is>
      </c>
      <c r="I1509" s="16" t="inlineStr">
        <is>
          <t>CORREGIBLE</t>
        </is>
      </c>
      <c r="J1509" s="16" t="inlineStr">
        <is>
          <t>CORREGIBLE</t>
        </is>
      </c>
      <c r="K1509" s="16" t="b">
        <v>1</v>
      </c>
      <c r="L1509" s="16" t="b">
        <v>0</v>
      </c>
      <c r="M1509" s="16" t="b">
        <v>0</v>
      </c>
      <c r="N1509" s="16" t="b">
        <v>0</v>
      </c>
      <c r="O1509" s="16" t="n">
        <v>450.9408464852826</v>
      </c>
      <c r="P1509" s="16" t="n">
        <v>286.5879139673808</v>
      </c>
      <c r="Q1509" s="16" t="n">
        <v>4960.171892946295</v>
      </c>
      <c r="R1509" s="16" t="n">
        <v>1124.420413302747</v>
      </c>
      <c r="S1509" s="16" t="n">
        <v>0.7795878271247525</v>
      </c>
      <c r="T1509" s="16" t="n">
        <v>0.846948908313759</v>
      </c>
      <c r="U1509" s="16" t="n">
        <v>0.7884417909420671</v>
      </c>
      <c r="V1509" s="16" t="n">
        <v>0.6349773734073737</v>
      </c>
      <c r="W1509" s="16" t="n">
        <v>0.7950871298886932</v>
      </c>
      <c r="X1509" s="16" t="n">
        <v>0.8611853704721297</v>
      </c>
      <c r="Y1509" s="16" t="n">
        <v>286.5879139673808</v>
      </c>
      <c r="Z1509" s="16" t="n">
        <v>12.2117743427757</v>
      </c>
      <c r="AA1509" s="16" t="n">
        <v>112.3496906173393</v>
      </c>
      <c r="AB1509" s="16" t="n">
        <v>3835.751479643548</v>
      </c>
      <c r="AC1509" s="16" t="n">
        <v>4.411314339604384</v>
      </c>
      <c r="AD1509" s="16" t="inlineStr">
        <is>
          <t>O2</t>
        </is>
      </c>
      <c r="AE1509" s="16" t="n"/>
    </row>
    <row r="1510">
      <c r="A1510" s="16" t="inlineStr">
        <is>
          <t>KF-M04b-0138</t>
        </is>
      </c>
      <c r="B1510" s="16" t="inlineStr">
        <is>
          <t>3.2</t>
        </is>
      </c>
      <c r="C1510" s="16" t="inlineStr">
        <is>
          <t>3.2</t>
        </is>
      </c>
      <c r="D1510" s="16" t="inlineStr">
        <is>
          <t>muestra de 200 puntos</t>
        </is>
      </c>
      <c r="E1510" s="16" t="inlineStr">
        <is>
          <t>KF-M04b</t>
        </is>
      </c>
      <c r="F1510" s="16" t="inlineStr">
        <is>
          <t>KF-M04b</t>
        </is>
      </c>
      <c r="G1510" s="16" t="inlineStr">
        <is>
          <t>B07</t>
        </is>
      </c>
      <c r="H1510" s="16" t="inlineStr">
        <is>
          <t>lhs</t>
        </is>
      </c>
      <c r="I1510" s="16" t="inlineStr">
        <is>
          <t>KALINA</t>
        </is>
      </c>
      <c r="J1510" s="16" t="inlineStr">
        <is>
          <t>KALINA</t>
        </is>
      </c>
      <c r="K1510" s="16" t="b">
        <v>1</v>
      </c>
      <c r="L1510" s="16" t="b">
        <v>0</v>
      </c>
      <c r="M1510" s="16" t="b">
        <v>1</v>
      </c>
      <c r="N1510" s="16" t="b">
        <v>0</v>
      </c>
      <c r="O1510" s="16" t="n">
        <v>481.9005417253939</v>
      </c>
      <c r="P1510" s="16" t="n">
        <v>283.0920022391073</v>
      </c>
      <c r="Q1510" s="16" t="n">
        <v>2521.261536955443</v>
      </c>
      <c r="R1510" s="16" t="n">
        <v>1004.773189877077</v>
      </c>
      <c r="S1510" s="16" t="n">
        <v>0.5386007756430599</v>
      </c>
      <c r="T1510" s="16" t="n">
        <v>0.818454285461959</v>
      </c>
      <c r="U1510" s="16" t="n">
        <v>0.7033694836201586</v>
      </c>
      <c r="V1510" s="16" t="n">
        <v>0.7060416977865072</v>
      </c>
      <c r="W1510" s="16" t="n">
        <v>0.8084189070913829</v>
      </c>
      <c r="X1510" s="16" t="n">
        <v>0.9081706524048668</v>
      </c>
      <c r="Y1510" s="16" t="n">
        <v>283.0920022391073</v>
      </c>
      <c r="Z1510" s="16" t="n">
        <v>6.35590856650822</v>
      </c>
      <c r="AA1510" s="16" t="n">
        <v>95.59092261009212</v>
      </c>
      <c r="AB1510" s="16" t="n">
        <v>1516.488347078366</v>
      </c>
      <c r="AC1510" s="16" t="n">
        <v>2.509284246789956</v>
      </c>
      <c r="AD1510" s="16" t="n"/>
      <c r="AE1510" s="16" t="n"/>
    </row>
    <row r="1511">
      <c r="A1511" s="16" t="inlineStr">
        <is>
          <t>KF-M04b-0139</t>
        </is>
      </c>
      <c r="B1511" s="16" t="inlineStr">
        <is>
          <t>3.2</t>
        </is>
      </c>
      <c r="C1511" s="16" t="inlineStr">
        <is>
          <t>3.2</t>
        </is>
      </c>
      <c r="D1511" s="16" t="inlineStr">
        <is>
          <t>muestra de 200 puntos</t>
        </is>
      </c>
      <c r="E1511" s="16" t="inlineStr">
        <is>
          <t>KF-M04b</t>
        </is>
      </c>
      <c r="F1511" s="16" t="inlineStr">
        <is>
          <t>KF-M04b</t>
        </is>
      </c>
      <c r="G1511" s="16" t="inlineStr">
        <is>
          <t>B07</t>
        </is>
      </c>
      <c r="H1511" s="16" t="inlineStr">
        <is>
          <t>lhs</t>
        </is>
      </c>
      <c r="I1511" s="16" t="inlineStr">
        <is>
          <t>CORREGIBLE</t>
        </is>
      </c>
      <c r="J1511" s="16" t="inlineStr">
        <is>
          <t>CORREGIBLE</t>
        </is>
      </c>
      <c r="K1511" s="16" t="b">
        <v>1</v>
      </c>
      <c r="L1511" s="16" t="b">
        <v>0</v>
      </c>
      <c r="M1511" s="16" t="b">
        <v>0</v>
      </c>
      <c r="N1511" s="16" t="b">
        <v>0</v>
      </c>
      <c r="O1511" s="16" t="n">
        <v>394.3522691951027</v>
      </c>
      <c r="P1511" s="16" t="n">
        <v>302.765444113127</v>
      </c>
      <c r="Q1511" s="16" t="n">
        <v>3635.790371733168</v>
      </c>
      <c r="R1511" s="16" t="n">
        <v>973.7117079629209</v>
      </c>
      <c r="S1511" s="16" t="n">
        <v>0.6488925777281245</v>
      </c>
      <c r="T1511" s="16" t="n">
        <v>0.8711902075997507</v>
      </c>
      <c r="U1511" s="16" t="n">
        <v>0.8037152295642682</v>
      </c>
      <c r="V1511" s="16" t="n">
        <v>0.6580467300048892</v>
      </c>
      <c r="W1511" s="16" t="n">
        <v>0.7431378557976768</v>
      </c>
      <c r="X1511" s="16" t="n">
        <v>0.8196094878583027</v>
      </c>
      <c r="Y1511" s="16" t="n">
        <v>302.765444113127</v>
      </c>
      <c r="Z1511" s="16" t="n">
        <v>8.25431524755469</v>
      </c>
      <c r="AA1511" s="16" t="n">
        <v>26.97702374605548</v>
      </c>
      <c r="AB1511" s="16" t="n">
        <v>2662.078663770247</v>
      </c>
      <c r="AC1511" s="16" t="n">
        <v>3.733949527360125</v>
      </c>
      <c r="AD1511" s="16" t="inlineStr">
        <is>
          <t>O2</t>
        </is>
      </c>
      <c r="AE1511" s="16" t="n"/>
    </row>
    <row r="1512">
      <c r="A1512" s="16" t="inlineStr">
        <is>
          <t>KF-M04b-0140</t>
        </is>
      </c>
      <c r="B1512" s="16" t="inlineStr">
        <is>
          <t>3.2</t>
        </is>
      </c>
      <c r="C1512" s="16" t="inlineStr">
        <is>
          <t>3.2</t>
        </is>
      </c>
      <c r="D1512" s="16" t="inlineStr">
        <is>
          <t>muestra de 200 puntos</t>
        </is>
      </c>
      <c r="E1512" s="16" t="inlineStr">
        <is>
          <t>KF-M04b</t>
        </is>
      </c>
      <c r="F1512" s="16" t="inlineStr">
        <is>
          <t>KF-M04b</t>
        </is>
      </c>
      <c r="G1512" s="16" t="inlineStr">
        <is>
          <t>B07</t>
        </is>
      </c>
      <c r="H1512" s="16" t="inlineStr">
        <is>
          <t>lhs</t>
        </is>
      </c>
      <c r="I1512" s="16" t="inlineStr">
        <is>
          <t>KALINA</t>
        </is>
      </c>
      <c r="J1512" s="16" t="inlineStr">
        <is>
          <t>KALINA</t>
        </is>
      </c>
      <c r="K1512" s="16" t="b">
        <v>1</v>
      </c>
      <c r="L1512" s="16" t="b">
        <v>1</v>
      </c>
      <c r="M1512" s="16" t="b">
        <v>0</v>
      </c>
      <c r="N1512" s="16" t="b">
        <v>0</v>
      </c>
      <c r="O1512" s="16" t="n">
        <v>408.7948043710392</v>
      </c>
      <c r="P1512" s="16" t="n">
        <v>290.8090265407415</v>
      </c>
      <c r="Q1512" s="16" t="n">
        <v>4944.96732500092</v>
      </c>
      <c r="R1512" s="16" t="n">
        <v>1267.682281970871</v>
      </c>
      <c r="S1512" s="16" t="n">
        <v>0.6591626749334402</v>
      </c>
      <c r="T1512" s="16" t="n">
        <v>0.814750343547199</v>
      </c>
      <c r="U1512" s="16" t="n">
        <v>0.8199816387903398</v>
      </c>
      <c r="V1512" s="16" t="n">
        <v>0.7509644297383145</v>
      </c>
      <c r="W1512" s="16" t="n">
        <v>0.8761472347427551</v>
      </c>
      <c r="X1512" s="16" t="n">
        <v>0.7126450271059694</v>
      </c>
      <c r="Y1512" s="16" t="n">
        <v>290.8090265407415</v>
      </c>
      <c r="Z1512" s="16" t="n">
        <v>8.599528694435559</v>
      </c>
      <c r="AA1512" s="16" t="n">
        <v>29.11991361663664</v>
      </c>
      <c r="AB1512" s="16" t="n">
        <v>3677.285043030049</v>
      </c>
      <c r="AC1512" s="16" t="n">
        <v>3.900793909742871</v>
      </c>
      <c r="AD1512" s="16" t="n"/>
      <c r="AE1512" s="16" t="n"/>
    </row>
    <row r="1513">
      <c r="A1513" s="16" t="inlineStr">
        <is>
          <t>KF-M04b-0141</t>
        </is>
      </c>
      <c r="B1513" s="16" t="inlineStr">
        <is>
          <t>3.2</t>
        </is>
      </c>
      <c r="C1513" s="16" t="inlineStr">
        <is>
          <t>3.2</t>
        </is>
      </c>
      <c r="D1513" s="16" t="inlineStr">
        <is>
          <t>muestra de 200 puntos</t>
        </is>
      </c>
      <c r="E1513" s="16" t="inlineStr">
        <is>
          <t>KF-M04b</t>
        </is>
      </c>
      <c r="F1513" s="16" t="inlineStr">
        <is>
          <t>KF-M04b</t>
        </is>
      </c>
      <c r="G1513" s="16" t="inlineStr">
        <is>
          <t>B07</t>
        </is>
      </c>
      <c r="H1513" s="16" t="inlineStr">
        <is>
          <t>lhs</t>
        </is>
      </c>
      <c r="I1513" s="16" t="inlineStr">
        <is>
          <t>CORREGIBLE</t>
        </is>
      </c>
      <c r="J1513" s="16" t="inlineStr">
        <is>
          <t>CORREGIBLE</t>
        </is>
      </c>
      <c r="K1513" s="16" t="b">
        <v>1</v>
      </c>
      <c r="L1513" s="16" t="b">
        <v>0</v>
      </c>
      <c r="M1513" s="16" t="b">
        <v>1</v>
      </c>
      <c r="N1513" s="16" t="b">
        <v>0</v>
      </c>
      <c r="O1513" s="16" t="n">
        <v>452.7899956748965</v>
      </c>
      <c r="P1513" s="16" t="n">
        <v>291.1699961790733</v>
      </c>
      <c r="Q1513" s="16" t="n">
        <v>3900.724847004843</v>
      </c>
      <c r="R1513" s="16" t="n">
        <v>552.2781254083093</v>
      </c>
      <c r="S1513" s="16" t="n">
        <v>0.6267019693153373</v>
      </c>
      <c r="T1513" s="16" t="n">
        <v>0.8653786715613017</v>
      </c>
      <c r="U1513" s="16" t="n">
        <v>0.722532986545573</v>
      </c>
      <c r="V1513" s="16" t="n">
        <v>0.8435988054351362</v>
      </c>
      <c r="W1513" s="16" t="n">
        <v>0.7979312601408464</v>
      </c>
      <c r="X1513" s="16" t="n">
        <v>0.7651472672437662</v>
      </c>
      <c r="Y1513" s="16" t="n">
        <v>291.1699961790733</v>
      </c>
      <c r="Z1513" s="16" t="n">
        <v>14.18682019496544</v>
      </c>
      <c r="AA1513" s="16" t="n">
        <v>147.2558535270025</v>
      </c>
      <c r="AB1513" s="16" t="n">
        <v>3348.446721596534</v>
      </c>
      <c r="AC1513" s="16" t="n">
        <v>7.062971838909908</v>
      </c>
      <c r="AD1513" s="16" t="inlineStr">
        <is>
          <t>O2</t>
        </is>
      </c>
      <c r="AE1513" s="16" t="n"/>
    </row>
    <row r="1514">
      <c r="A1514" s="16" t="inlineStr">
        <is>
          <t>KF-M04b-0142</t>
        </is>
      </c>
      <c r="B1514" s="16" t="inlineStr">
        <is>
          <t>3.2</t>
        </is>
      </c>
      <c r="C1514" s="16" t="inlineStr">
        <is>
          <t>3.2</t>
        </is>
      </c>
      <c r="D1514" s="16" t="inlineStr">
        <is>
          <t>muestra de 200 puntos</t>
        </is>
      </c>
      <c r="E1514" s="16" t="inlineStr">
        <is>
          <t>KF-M04b</t>
        </is>
      </c>
      <c r="F1514" s="16" t="inlineStr">
        <is>
          <t>KF-M04b</t>
        </is>
      </c>
      <c r="G1514" s="16" t="inlineStr">
        <is>
          <t>B07</t>
        </is>
      </c>
      <c r="H1514" s="16" t="inlineStr">
        <is>
          <t>lhs</t>
        </is>
      </c>
      <c r="I1514" s="16" t="inlineStr">
        <is>
          <t>CORREGIBLE</t>
        </is>
      </c>
      <c r="J1514" s="16" t="inlineStr">
        <is>
          <t>CORREGIBLE</t>
        </is>
      </c>
      <c r="K1514" s="16" t="b">
        <v>1</v>
      </c>
      <c r="L1514" s="16" t="b">
        <v>0</v>
      </c>
      <c r="M1514" s="16" t="b">
        <v>0</v>
      </c>
      <c r="N1514" s="16" t="b">
        <v>0</v>
      </c>
      <c r="O1514" s="16" t="n">
        <v>424.7216755236255</v>
      </c>
      <c r="P1514" s="16" t="n">
        <v>296.5224039020085</v>
      </c>
      <c r="Q1514" s="16" t="n">
        <v>4840.223104255379</v>
      </c>
      <c r="R1514" s="16" t="n">
        <v>692.7745770862618</v>
      </c>
      <c r="S1514" s="16" t="n">
        <v>0.8383576792004144</v>
      </c>
      <c r="T1514" s="16" t="n">
        <v>0.8203610021766595</v>
      </c>
      <c r="U1514" s="16" t="n">
        <v>0.7958157398223026</v>
      </c>
      <c r="V1514" s="16" t="n">
        <v>0.7450436657613406</v>
      </c>
      <c r="W1514" s="16" t="n">
        <v>0.6208544892637909</v>
      </c>
      <c r="X1514" s="16" t="n">
        <v>0.7023015170719189</v>
      </c>
      <c r="Y1514" s="16" t="n">
        <v>296.5224039020085</v>
      </c>
      <c r="Z1514" s="16" t="n">
        <v>4.078930687595371</v>
      </c>
      <c r="AA1514" s="16" t="n">
        <v>18.29215314607123</v>
      </c>
      <c r="AB1514" s="16" t="n">
        <v>4147.448527169117</v>
      </c>
      <c r="AC1514" s="16" t="n">
        <v>6.986721603747148</v>
      </c>
      <c r="AD1514" s="16" t="inlineStr">
        <is>
          <t>O2</t>
        </is>
      </c>
      <c r="AE1514" s="16" t="n"/>
    </row>
    <row r="1515">
      <c r="A1515" s="16" t="inlineStr">
        <is>
          <t>KF-M04b-0143</t>
        </is>
      </c>
      <c r="B1515" s="16" t="inlineStr">
        <is>
          <t>3.2</t>
        </is>
      </c>
      <c r="C1515" s="16" t="inlineStr">
        <is>
          <t>3.2</t>
        </is>
      </c>
      <c r="D1515" s="16" t="inlineStr">
        <is>
          <t>muestra de 200 puntos</t>
        </is>
      </c>
      <c r="E1515" s="16" t="inlineStr">
        <is>
          <t>KF-M04b</t>
        </is>
      </c>
      <c r="F1515" s="16" t="inlineStr">
        <is>
          <t>KF-M04b</t>
        </is>
      </c>
      <c r="G1515" s="16" t="inlineStr">
        <is>
          <t>B07</t>
        </is>
      </c>
      <c r="H1515" s="16" t="inlineStr">
        <is>
          <t>lhs</t>
        </is>
      </c>
      <c r="I1515" s="16" t="inlineStr">
        <is>
          <t>INVIABLE</t>
        </is>
      </c>
      <c r="J1515" s="16" t="inlineStr">
        <is>
          <t>INVIABLE</t>
        </is>
      </c>
      <c r="K1515" s="16" t="b">
        <v>1</v>
      </c>
      <c r="L1515" s="16" t="b">
        <v>0</v>
      </c>
      <c r="M1515" s="16" t="b">
        <v>1</v>
      </c>
      <c r="N1515" s="16" t="b">
        <v>0</v>
      </c>
      <c r="O1515" s="16" t="n">
        <v>455.350181090014</v>
      </c>
      <c r="P1515" s="16" t="n">
        <v>287.2940319005797</v>
      </c>
      <c r="Q1515" s="16" t="n">
        <v>2771.686561978541</v>
      </c>
      <c r="R1515" s="16" t="n">
        <v>367.7714134082516</v>
      </c>
      <c r="S1515" s="16" t="n">
        <v>0.8308105302276449</v>
      </c>
      <c r="T1515" s="16" t="n">
        <v>0.8136697564273184</v>
      </c>
      <c r="U1515" s="16" t="n">
        <v>0.6892478660961724</v>
      </c>
      <c r="V1515" s="16" t="n">
        <v>0.8507975497018921</v>
      </c>
      <c r="W1515" s="16" t="n">
        <v>0.6474388508012067</v>
      </c>
      <c r="X1515" s="16" t="n">
        <v>0.8335034162602136</v>
      </c>
      <c r="Y1515" s="16" t="n">
        <v>287.2940319005797</v>
      </c>
      <c r="Z1515" s="16" t="n">
        <v>-0.84929374123364</v>
      </c>
      <c r="AA1515" s="16" t="n">
        <v>-5.58429591281481</v>
      </c>
      <c r="AB1515" s="16" t="n">
        <v>2403.915148570289</v>
      </c>
      <c r="AC1515" s="16" t="n">
        <v>7.536438290003192</v>
      </c>
      <c r="AD1515" s="16" t="inlineStr">
        <is>
          <t>O2,O3</t>
        </is>
      </c>
      <c r="AE1515" s="16" t="n"/>
    </row>
    <row r="1516">
      <c r="A1516" s="16" t="inlineStr">
        <is>
          <t>KF-M04b-0144</t>
        </is>
      </c>
      <c r="B1516" s="16" t="inlineStr">
        <is>
          <t>3.2</t>
        </is>
      </c>
      <c r="C1516" s="16" t="inlineStr">
        <is>
          <t>3.2</t>
        </is>
      </c>
      <c r="D1516" s="16" t="inlineStr">
        <is>
          <t>muestra de 200 puntos</t>
        </is>
      </c>
      <c r="E1516" s="16" t="inlineStr">
        <is>
          <t>KF-M04b</t>
        </is>
      </c>
      <c r="F1516" s="16" t="inlineStr">
        <is>
          <t>KF-M04b</t>
        </is>
      </c>
      <c r="G1516" s="16" t="inlineStr">
        <is>
          <t>B07</t>
        </is>
      </c>
      <c r="H1516" s="16" t="inlineStr">
        <is>
          <t>lhs</t>
        </is>
      </c>
      <c r="I1516" s="16" t="inlineStr">
        <is>
          <t>CORREGIBLE</t>
        </is>
      </c>
      <c r="J1516" s="16" t="inlineStr">
        <is>
          <t>CORREGIBLE</t>
        </is>
      </c>
      <c r="K1516" s="16" t="b">
        <v>1</v>
      </c>
      <c r="L1516" s="16" t="b">
        <v>0</v>
      </c>
      <c r="M1516" s="16" t="b">
        <v>1</v>
      </c>
      <c r="N1516" s="16" t="b">
        <v>0</v>
      </c>
      <c r="O1516" s="16" t="n">
        <v>467.3124942625843</v>
      </c>
      <c r="P1516" s="16" t="n">
        <v>279.1406700010066</v>
      </c>
      <c r="Q1516" s="16" t="n">
        <v>4691.462748328093</v>
      </c>
      <c r="R1516" s="16" t="n">
        <v>645.2215781868917</v>
      </c>
      <c r="S1516" s="16" t="n">
        <v>0.545027053072874</v>
      </c>
      <c r="T1516" s="16" t="n">
        <v>0.8162282084636068</v>
      </c>
      <c r="U1516" s="16" t="n">
        <v>0.878778552532995</v>
      </c>
      <c r="V1516" s="16" t="n">
        <v>0.6006051881075212</v>
      </c>
      <c r="W1516" s="16" t="n">
        <v>0.9175783947352404</v>
      </c>
      <c r="X1516" s="16" t="n">
        <v>0.7878761661936191</v>
      </c>
      <c r="Y1516" s="16" t="n">
        <v>279.1406700010066</v>
      </c>
      <c r="Z1516" s="16" t="n">
        <v>13.4852353791103</v>
      </c>
      <c r="AA1516" s="16" t="n">
        <v>94.4036050723729</v>
      </c>
      <c r="AB1516" s="16" t="n">
        <v>4046.241170141201</v>
      </c>
      <c r="AC1516" s="16" t="n">
        <v>7.271087804458372</v>
      </c>
      <c r="AD1516" s="16" t="inlineStr">
        <is>
          <t>O2</t>
        </is>
      </c>
      <c r="AE1516" s="16" t="n"/>
    </row>
    <row r="1517">
      <c r="A1517" s="16" t="inlineStr">
        <is>
          <t>KF-M04b-0145</t>
        </is>
      </c>
      <c r="B1517" s="16" t="inlineStr">
        <is>
          <t>3.2</t>
        </is>
      </c>
      <c r="C1517" s="16" t="inlineStr">
        <is>
          <t>3.2</t>
        </is>
      </c>
      <c r="D1517" s="16" t="inlineStr">
        <is>
          <t>muestra de 200 puntos</t>
        </is>
      </c>
      <c r="E1517" s="16" t="inlineStr">
        <is>
          <t>KF-M04b</t>
        </is>
      </c>
      <c r="F1517" s="16" t="inlineStr">
        <is>
          <t>KF-M04b</t>
        </is>
      </c>
      <c r="G1517" s="16" t="inlineStr">
        <is>
          <t>B07</t>
        </is>
      </c>
      <c r="H1517" s="16" t="inlineStr">
        <is>
          <t>lhs</t>
        </is>
      </c>
      <c r="I1517" s="16" t="inlineStr">
        <is>
          <t>INVIABLE</t>
        </is>
      </c>
      <c r="J1517" s="16" t="inlineStr">
        <is>
          <t>INVIABLE</t>
        </is>
      </c>
      <c r="K1517" s="16" t="b">
        <v>1</v>
      </c>
      <c r="L1517" s="16" t="b">
        <v>0</v>
      </c>
      <c r="M1517" s="16" t="b">
        <v>0</v>
      </c>
      <c r="N1517" s="16" t="b">
        <v>0</v>
      </c>
      <c r="O1517" s="16" t="n">
        <v>420.9157817644276</v>
      </c>
      <c r="P1517" s="16" t="n">
        <v>300.765199722962</v>
      </c>
      <c r="Q1517" s="16" t="n">
        <v>4057.762868975783</v>
      </c>
      <c r="R1517" s="16" t="n">
        <v>443.7957771416111</v>
      </c>
      <c r="S1517" s="16" t="n">
        <v>0.7971613728747068</v>
      </c>
      <c r="T1517" s="16" t="n">
        <v>0.8241598623088051</v>
      </c>
      <c r="U1517" s="16" t="n">
        <v>0.8553352370983257</v>
      </c>
      <c r="V1517" s="16" t="n">
        <v>0.805766255847298</v>
      </c>
      <c r="W1517" s="16" t="n">
        <v>0.8010352976962136</v>
      </c>
      <c r="X1517" s="16" t="n">
        <v>0.8133959038739641</v>
      </c>
      <c r="Y1517" s="16" t="n">
        <v>300.765199722962</v>
      </c>
      <c r="Z1517" s="16" t="n">
        <v>-8.575911863703579</v>
      </c>
      <c r="AA1517" s="16" t="n">
        <v>-22.98365614380873</v>
      </c>
      <c r="AB1517" s="16" t="n">
        <v>3613.967091834172</v>
      </c>
      <c r="AC1517" s="16" t="n">
        <v>9.143311130878535</v>
      </c>
      <c r="AD1517" s="16" t="inlineStr">
        <is>
          <t>O2,O3</t>
        </is>
      </c>
      <c r="AE1517" s="16" t="n"/>
    </row>
    <row r="1518">
      <c r="A1518" s="16" t="inlineStr">
        <is>
          <t>KF-M04b-0146</t>
        </is>
      </c>
      <c r="B1518" s="16" t="inlineStr">
        <is>
          <t>3.2</t>
        </is>
      </c>
      <c r="C1518" s="16" t="inlineStr">
        <is>
          <t>3.2</t>
        </is>
      </c>
      <c r="D1518" s="16" t="inlineStr">
        <is>
          <t>muestra de 200 puntos</t>
        </is>
      </c>
      <c r="E1518" s="16" t="inlineStr">
        <is>
          <t>KF-M04b</t>
        </is>
      </c>
      <c r="F1518" s="16" t="inlineStr">
        <is>
          <t>KF-M04b</t>
        </is>
      </c>
      <c r="G1518" s="16" t="inlineStr">
        <is>
          <t>B07</t>
        </is>
      </c>
      <c r="H1518" s="16" t="inlineStr">
        <is>
          <t>lhs</t>
        </is>
      </c>
      <c r="I1518" s="16" t="inlineStr">
        <is>
          <t>CORREGIBLE</t>
        </is>
      </c>
      <c r="J1518" s="16" t="inlineStr">
        <is>
          <t>CORREGIBLE</t>
        </is>
      </c>
      <c r="K1518" s="16" t="b">
        <v>1</v>
      </c>
      <c r="L1518" s="16" t="b">
        <v>0</v>
      </c>
      <c r="M1518" s="16" t="b">
        <v>0</v>
      </c>
      <c r="N1518" s="16" t="b">
        <v>0</v>
      </c>
      <c r="O1518" s="16" t="n">
        <v>407.4253550981164</v>
      </c>
      <c r="P1518" s="16" t="n">
        <v>289.165230165067</v>
      </c>
      <c r="Q1518" s="16" t="n">
        <v>4771.50802721203</v>
      </c>
      <c r="R1518" s="16" t="n">
        <v>648.4571232262081</v>
      </c>
      <c r="S1518" s="16" t="n">
        <v>0.7699090154945063</v>
      </c>
      <c r="T1518" s="16" t="n">
        <v>0.798069887034488</v>
      </c>
      <c r="U1518" s="16" t="n">
        <v>0.887038797579485</v>
      </c>
      <c r="V1518" s="16" t="n">
        <v>0.7166395495631498</v>
      </c>
      <c r="W1518" s="16" t="n">
        <v>0.949157232950084</v>
      </c>
      <c r="X1518" s="16" t="n">
        <v>0.7218946246843816</v>
      </c>
      <c r="Y1518" s="16" t="n">
        <v>289.165230165067</v>
      </c>
      <c r="Z1518" s="16" t="n">
        <v>14.07882101788606</v>
      </c>
      <c r="AA1518" s="16" t="n">
        <v>74.25674055199697</v>
      </c>
      <c r="AB1518" s="16" t="n">
        <v>4123.050903985823</v>
      </c>
      <c r="AC1518" s="16" t="n">
        <v>7.358247532963772</v>
      </c>
      <c r="AD1518" s="16" t="inlineStr">
        <is>
          <t>O2</t>
        </is>
      </c>
      <c r="AE1518" s="16" t="n"/>
    </row>
    <row r="1519">
      <c r="A1519" s="16" t="inlineStr">
        <is>
          <t>KF-M04b-0147</t>
        </is>
      </c>
      <c r="B1519" s="16" t="inlineStr">
        <is>
          <t>3.2</t>
        </is>
      </c>
      <c r="C1519" s="16" t="inlineStr">
        <is>
          <t>3.2</t>
        </is>
      </c>
      <c r="D1519" s="16" t="inlineStr">
        <is>
          <t>muestra de 200 puntos</t>
        </is>
      </c>
      <c r="E1519" s="16" t="inlineStr">
        <is>
          <t>KF-M04b</t>
        </is>
      </c>
      <c r="F1519" s="16" t="inlineStr">
        <is>
          <t>KF-M04b</t>
        </is>
      </c>
      <c r="G1519" s="16" t="inlineStr">
        <is>
          <t>B07</t>
        </is>
      </c>
      <c r="H1519" s="16" t="inlineStr">
        <is>
          <t>lhs</t>
        </is>
      </c>
      <c r="I1519" s="16" t="inlineStr">
        <is>
          <t>KALINA</t>
        </is>
      </c>
      <c r="J1519" s="16" t="inlineStr">
        <is>
          <t>KALINA</t>
        </is>
      </c>
      <c r="K1519" s="16" t="b">
        <v>1</v>
      </c>
      <c r="L1519" s="16" t="b">
        <v>1</v>
      </c>
      <c r="M1519" s="16" t="b">
        <v>0</v>
      </c>
      <c r="N1519" s="16" t="b">
        <v>0</v>
      </c>
      <c r="O1519" s="16" t="n">
        <v>409.3546424243955</v>
      </c>
      <c r="P1519" s="16" t="n">
        <v>300.5136914407589</v>
      </c>
      <c r="Q1519" s="16" t="n">
        <v>2844.588786688648</v>
      </c>
      <c r="R1519" s="16" t="n">
        <v>952.44158003743</v>
      </c>
      <c r="S1519" s="16" t="n">
        <v>0.638782587246552</v>
      </c>
      <c r="T1519" s="16" t="n">
        <v>0.8402690445186805</v>
      </c>
      <c r="U1519" s="16" t="n">
        <v>0.8135587549305658</v>
      </c>
      <c r="V1519" s="16" t="n">
        <v>0.7147025403233999</v>
      </c>
      <c r="W1519" s="16" t="n">
        <v>0.6602642621038273</v>
      </c>
      <c r="X1519" s="16" t="n">
        <v>0.918003863452548</v>
      </c>
      <c r="Y1519" s="16" t="n">
        <v>300.5136914407589</v>
      </c>
      <c r="Z1519" s="16" t="n">
        <v>7.841334278586699</v>
      </c>
      <c r="AA1519" s="16" t="n">
        <v>49.25754648798434</v>
      </c>
      <c r="AB1519" s="16" t="n">
        <v>1892.147206651218</v>
      </c>
      <c r="AC1519" s="16" t="n">
        <v>2.986628100147474</v>
      </c>
      <c r="AD1519" s="16" t="n"/>
      <c r="AE1519" s="16" t="n"/>
    </row>
    <row r="1520">
      <c r="A1520" s="16" t="inlineStr">
        <is>
          <t>KF-M04b-0148</t>
        </is>
      </c>
      <c r="B1520" s="16" t="inlineStr">
        <is>
          <t>3.2</t>
        </is>
      </c>
      <c r="C1520" s="16" t="inlineStr">
        <is>
          <t>3.2</t>
        </is>
      </c>
      <c r="D1520" s="16" t="inlineStr">
        <is>
          <t>muestra de 200 puntos</t>
        </is>
      </c>
      <c r="E1520" s="16" t="inlineStr">
        <is>
          <t>KF-M04b</t>
        </is>
      </c>
      <c r="F1520" s="16" t="inlineStr">
        <is>
          <t>KF-M04b</t>
        </is>
      </c>
      <c r="G1520" s="16" t="inlineStr">
        <is>
          <t>B07</t>
        </is>
      </c>
      <c r="H1520" s="16" t="inlineStr">
        <is>
          <t>lhs</t>
        </is>
      </c>
      <c r="I1520" s="16" t="inlineStr">
        <is>
          <t>CORREGIBLE</t>
        </is>
      </c>
      <c r="J1520" s="16" t="inlineStr">
        <is>
          <t>CORREGIBLE</t>
        </is>
      </c>
      <c r="K1520" s="16" t="b">
        <v>1</v>
      </c>
      <c r="L1520" s="16" t="b">
        <v>0</v>
      </c>
      <c r="M1520" s="16" t="b">
        <v>1</v>
      </c>
      <c r="N1520" s="16" t="b">
        <v>0</v>
      </c>
      <c r="O1520" s="16" t="n">
        <v>452.5983588275938</v>
      </c>
      <c r="P1520" s="16" t="n">
        <v>297.5098640416518</v>
      </c>
      <c r="Q1520" s="16" t="n">
        <v>2977.487928249597</v>
      </c>
      <c r="R1520" s="16" t="n">
        <v>665.1747174796385</v>
      </c>
      <c r="S1520" s="16" t="n">
        <v>0.7882701579150739</v>
      </c>
      <c r="T1520" s="16" t="n">
        <v>0.8348612102171558</v>
      </c>
      <c r="U1520" s="16" t="n">
        <v>0.8083550385609222</v>
      </c>
      <c r="V1520" s="16" t="n">
        <v>0.8249147780738567</v>
      </c>
      <c r="W1520" s="16" t="n">
        <v>0.9165784064492845</v>
      </c>
      <c r="X1520" s="16" t="n">
        <v>0.7302720244331016</v>
      </c>
      <c r="Y1520" s="16" t="n">
        <v>297.5098640416518</v>
      </c>
      <c r="Z1520" s="16" t="n">
        <v>8.198745386921349</v>
      </c>
      <c r="AA1520" s="16" t="n">
        <v>75.64290547413523</v>
      </c>
      <c r="AB1520" s="16" t="n">
        <v>2312.313210769958</v>
      </c>
      <c r="AC1520" s="16" t="n">
        <v>4.476249397348359</v>
      </c>
      <c r="AD1520" s="16" t="inlineStr">
        <is>
          <t>O2</t>
        </is>
      </c>
      <c r="AE1520" s="16" t="n"/>
    </row>
    <row r="1521">
      <c r="A1521" s="16" t="inlineStr">
        <is>
          <t>KF-M04b-0149</t>
        </is>
      </c>
      <c r="B1521" s="16" t="inlineStr">
        <is>
          <t>3.2</t>
        </is>
      </c>
      <c r="C1521" s="16" t="inlineStr">
        <is>
          <t>3.2</t>
        </is>
      </c>
      <c r="D1521" s="16" t="inlineStr">
        <is>
          <t>muestra de 200 puntos</t>
        </is>
      </c>
      <c r="E1521" s="16" t="inlineStr">
        <is>
          <t>KF-M04b</t>
        </is>
      </c>
      <c r="F1521" s="16" t="inlineStr">
        <is>
          <t>KF-M04b</t>
        </is>
      </c>
      <c r="G1521" s="16" t="inlineStr">
        <is>
          <t>B07</t>
        </is>
      </c>
      <c r="H1521" s="16" t="inlineStr">
        <is>
          <t>lhs</t>
        </is>
      </c>
      <c r="I1521" s="16" t="inlineStr">
        <is>
          <t>KALINA</t>
        </is>
      </c>
      <c r="J1521" s="16" t="inlineStr">
        <is>
          <t>KALINA</t>
        </is>
      </c>
      <c r="K1521" s="16" t="b">
        <v>1</v>
      </c>
      <c r="L1521" s="16" t="b">
        <v>1</v>
      </c>
      <c r="M1521" s="16" t="b">
        <v>0</v>
      </c>
      <c r="N1521" s="16" t="b">
        <v>0</v>
      </c>
      <c r="O1521" s="16" t="n">
        <v>429.4317183863684</v>
      </c>
      <c r="P1521" s="16" t="n">
        <v>296.221926249798</v>
      </c>
      <c r="Q1521" s="16" t="n">
        <v>3001.014749903614</v>
      </c>
      <c r="R1521" s="16" t="n">
        <v>858.3276940949652</v>
      </c>
      <c r="S1521" s="16" t="n">
        <v>0.5403026494545657</v>
      </c>
      <c r="T1521" s="16" t="n">
        <v>0.9083217033709988</v>
      </c>
      <c r="U1521" s="16" t="n">
        <v>0.7624844102659599</v>
      </c>
      <c r="V1521" s="16" t="n">
        <v>0.7475705147101294</v>
      </c>
      <c r="W1521" s="16" t="n">
        <v>0.9308676927840472</v>
      </c>
      <c r="X1521" s="16" t="n">
        <v>0.9248300932670368</v>
      </c>
      <c r="Y1521" s="16" t="n">
        <v>296.221926249798</v>
      </c>
      <c r="Z1521" s="16" t="n">
        <v>9.83276958198285</v>
      </c>
      <c r="AA1521" s="16" t="n">
        <v>61.57391053914023</v>
      </c>
      <c r="AB1521" s="16" t="n">
        <v>2142.687055808648</v>
      </c>
      <c r="AC1521" s="16" t="n">
        <v>3.49635083494298</v>
      </c>
      <c r="AD1521" s="16" t="n"/>
      <c r="AE1521" s="16" t="n"/>
    </row>
    <row r="1522">
      <c r="A1522" s="16" t="inlineStr">
        <is>
          <t>KF-M04b-0150</t>
        </is>
      </c>
      <c r="B1522" s="16" t="inlineStr">
        <is>
          <t>3.2</t>
        </is>
      </c>
      <c r="C1522" s="16" t="inlineStr">
        <is>
          <t>3.2</t>
        </is>
      </c>
      <c r="D1522" s="16" t="inlineStr">
        <is>
          <t>muestra de 200 puntos</t>
        </is>
      </c>
      <c r="E1522" s="16" t="inlineStr">
        <is>
          <t>KF-M04b</t>
        </is>
      </c>
      <c r="F1522" s="16" t="inlineStr">
        <is>
          <t>KF-M04b</t>
        </is>
      </c>
      <c r="G1522" s="16" t="inlineStr">
        <is>
          <t>B07</t>
        </is>
      </c>
      <c r="H1522" s="16" t="inlineStr">
        <is>
          <t>lhs</t>
        </is>
      </c>
      <c r="I1522" s="16" t="inlineStr">
        <is>
          <t>KALINA</t>
        </is>
      </c>
      <c r="J1522" s="16" t="inlineStr">
        <is>
          <t>KALINA</t>
        </is>
      </c>
      <c r="K1522" s="16" t="b">
        <v>1</v>
      </c>
      <c r="L1522" s="16" t="b">
        <v>0</v>
      </c>
      <c r="M1522" s="16" t="b">
        <v>1</v>
      </c>
      <c r="N1522" s="16" t="b">
        <v>0</v>
      </c>
      <c r="O1522" s="16" t="n">
        <v>489.6503811531055</v>
      </c>
      <c r="P1522" s="16" t="n">
        <v>279.8440742059097</v>
      </c>
      <c r="Q1522" s="16" t="n">
        <v>3808.827317148546</v>
      </c>
      <c r="R1522" s="16" t="n">
        <v>1426.633752568553</v>
      </c>
      <c r="S1522" s="16" t="n">
        <v>0.7429167003041326</v>
      </c>
      <c r="T1522" s="16" t="n">
        <v>0.7807088461818847</v>
      </c>
      <c r="U1522" s="16" t="n">
        <v>0.8373004011755606</v>
      </c>
      <c r="V1522" s="16" t="n">
        <v>0.9231195608932315</v>
      </c>
      <c r="W1522" s="16" t="n">
        <v>0.8728812908589397</v>
      </c>
      <c r="X1522" s="16" t="n">
        <v>0.9474141011869216</v>
      </c>
      <c r="Y1522" s="16" t="n">
        <v>279.8440742059097</v>
      </c>
      <c r="Z1522" s="16" t="n">
        <v>6.99874115907401</v>
      </c>
      <c r="AA1522" s="16" t="n">
        <v>130.3975055644234</v>
      </c>
      <c r="AB1522" s="16" t="n">
        <v>2382.193564579994</v>
      </c>
      <c r="AC1522" s="16" t="n">
        <v>2.669800367677425</v>
      </c>
      <c r="AD1522" s="16" t="n"/>
      <c r="AE1522" s="16" t="n"/>
    </row>
    <row r="1523">
      <c r="A1523" s="16" t="inlineStr">
        <is>
          <t>KF-M04b-0151</t>
        </is>
      </c>
      <c r="B1523" s="16" t="inlineStr">
        <is>
          <t>3.2</t>
        </is>
      </c>
      <c r="C1523" s="16" t="inlineStr">
        <is>
          <t>3.2</t>
        </is>
      </c>
      <c r="D1523" s="16" t="inlineStr">
        <is>
          <t>muestra de 200 puntos</t>
        </is>
      </c>
      <c r="E1523" s="16" t="inlineStr">
        <is>
          <t>KF-M04b</t>
        </is>
      </c>
      <c r="F1523" s="16" t="inlineStr">
        <is>
          <t>KF-M04b</t>
        </is>
      </c>
      <c r="G1523" s="16" t="inlineStr">
        <is>
          <t>B07</t>
        </is>
      </c>
      <c r="H1523" s="16" t="inlineStr">
        <is>
          <t>lhs</t>
        </is>
      </c>
      <c r="I1523" s="16" t="inlineStr">
        <is>
          <t>KALINA</t>
        </is>
      </c>
      <c r="J1523" s="16" t="inlineStr">
        <is>
          <t>KALINA</t>
        </is>
      </c>
      <c r="K1523" s="16" t="b">
        <v>1</v>
      </c>
      <c r="L1523" s="16" t="b">
        <v>1</v>
      </c>
      <c r="M1523" s="16" t="b">
        <v>0</v>
      </c>
      <c r="N1523" s="16" t="b">
        <v>0</v>
      </c>
      <c r="O1523" s="16" t="n">
        <v>430.4546178856229</v>
      </c>
      <c r="P1523" s="16" t="n">
        <v>280.4629434581389</v>
      </c>
      <c r="Q1523" s="16" t="n">
        <v>2688.487342437024</v>
      </c>
      <c r="R1523" s="16" t="n">
        <v>1304.543517295375</v>
      </c>
      <c r="S1523" s="16" t="n">
        <v>0.7170200270093154</v>
      </c>
      <c r="T1523" s="16" t="n">
        <v>0.7920945766094777</v>
      </c>
      <c r="U1523" s="16" t="n">
        <v>0.7473641042762355</v>
      </c>
      <c r="V1523" s="16" t="n">
        <v>0.6067456113196019</v>
      </c>
      <c r="W1523" s="16" t="n">
        <v>0.652411737362715</v>
      </c>
      <c r="X1523" s="16" t="n">
        <v>0.8699598169614433</v>
      </c>
      <c r="Y1523" s="16" t="n">
        <v>280.4629434581389</v>
      </c>
      <c r="Z1523" s="16" t="n">
        <v>5.27111780490452</v>
      </c>
      <c r="AA1523" s="16" t="n">
        <v>46.9540833164477</v>
      </c>
      <c r="AB1523" s="16" t="n">
        <v>1383.94382514165</v>
      </c>
      <c r="AC1523" s="16" t="n">
        <v>2.060864437861675</v>
      </c>
      <c r="AD1523" s="16" t="n"/>
      <c r="AE1523" s="16" t="n"/>
    </row>
    <row r="1524">
      <c r="A1524" s="16" t="inlineStr">
        <is>
          <t>KF-M04b-0152</t>
        </is>
      </c>
      <c r="B1524" s="16" t="inlineStr">
        <is>
          <t>3.2</t>
        </is>
      </c>
      <c r="C1524" s="16" t="inlineStr">
        <is>
          <t>3.2</t>
        </is>
      </c>
      <c r="D1524" s="16" t="inlineStr">
        <is>
          <t>muestra de 200 puntos</t>
        </is>
      </c>
      <c r="E1524" s="16" t="inlineStr">
        <is>
          <t>KF-M04b</t>
        </is>
      </c>
      <c r="F1524" s="16" t="inlineStr">
        <is>
          <t>KF-M04b</t>
        </is>
      </c>
      <c r="G1524" s="16" t="inlineStr">
        <is>
          <t>B07</t>
        </is>
      </c>
      <c r="H1524" s="16" t="inlineStr">
        <is>
          <t>lhs</t>
        </is>
      </c>
      <c r="I1524" s="16" t="inlineStr">
        <is>
          <t>KALINA</t>
        </is>
      </c>
      <c r="J1524" s="16" t="inlineStr">
        <is>
          <t>KALINA</t>
        </is>
      </c>
      <c r="K1524" s="16" t="b">
        <v>1</v>
      </c>
      <c r="L1524" s="16" t="b">
        <v>0</v>
      </c>
      <c r="M1524" s="16" t="b">
        <v>1</v>
      </c>
      <c r="N1524" s="16" t="b">
        <v>0</v>
      </c>
      <c r="O1524" s="16" t="n">
        <v>437.1359320104499</v>
      </c>
      <c r="P1524" s="16" t="n">
        <v>284.5692239785941</v>
      </c>
      <c r="Q1524" s="16" t="n">
        <v>2435.192906620164</v>
      </c>
      <c r="R1524" s="16" t="n">
        <v>1049.983715480241</v>
      </c>
      <c r="S1524" s="16" t="n">
        <v>0.7040110011164702</v>
      </c>
      <c r="T1524" s="16" t="n">
        <v>0.9102234344491872</v>
      </c>
      <c r="U1524" s="16" t="n">
        <v>0.7710030222817703</v>
      </c>
      <c r="V1524" s="16" t="n">
        <v>0.8228575503275939</v>
      </c>
      <c r="W1524" s="16" t="n">
        <v>0.8032745911722724</v>
      </c>
      <c r="X1524" s="16" t="n">
        <v>0.9410372167370769</v>
      </c>
      <c r="Y1524" s="16" t="n">
        <v>284.5692239785941</v>
      </c>
      <c r="Z1524" s="16" t="n">
        <v>7.18318151916357</v>
      </c>
      <c r="AA1524" s="16" t="n">
        <v>102.9825707817046</v>
      </c>
      <c r="AB1524" s="16" t="n">
        <v>1385.209191139923</v>
      </c>
      <c r="AC1524" s="16" t="n">
        <v>2.319267309309037</v>
      </c>
      <c r="AD1524" s="16" t="n"/>
      <c r="AE1524" s="16" t="n"/>
    </row>
    <row r="1525">
      <c r="A1525" s="16" t="inlineStr">
        <is>
          <t>KF-M04b-0153</t>
        </is>
      </c>
      <c r="B1525" s="16" t="inlineStr">
        <is>
          <t>3.2</t>
        </is>
      </c>
      <c r="C1525" s="16" t="inlineStr">
        <is>
          <t>3.2</t>
        </is>
      </c>
      <c r="D1525" s="16" t="inlineStr">
        <is>
          <t>muestra de 200 puntos</t>
        </is>
      </c>
      <c r="E1525" s="16" t="inlineStr">
        <is>
          <t>KF-M04b</t>
        </is>
      </c>
      <c r="F1525" s="16" t="inlineStr">
        <is>
          <t>KF-M04b</t>
        </is>
      </c>
      <c r="G1525" s="16" t="inlineStr">
        <is>
          <t>B07</t>
        </is>
      </c>
      <c r="H1525" s="16" t="inlineStr">
        <is>
          <t>lhs</t>
        </is>
      </c>
      <c r="I1525" s="16" t="inlineStr">
        <is>
          <t>INVIABLE</t>
        </is>
      </c>
      <c r="J1525" s="16" t="inlineStr">
        <is>
          <t>INVIABLE</t>
        </is>
      </c>
      <c r="K1525" s="16" t="b">
        <v>1</v>
      </c>
      <c r="L1525" s="16" t="b">
        <v>0</v>
      </c>
      <c r="M1525" s="16" t="b">
        <v>1</v>
      </c>
      <c r="N1525" s="16" t="b">
        <v>0</v>
      </c>
      <c r="O1525" s="16" t="n">
        <v>456.4731342749693</v>
      </c>
      <c r="P1525" s="16" t="n">
        <v>297.2574287766589</v>
      </c>
      <c r="Q1525" s="16" t="n">
        <v>4139.075648534656</v>
      </c>
      <c r="R1525" s="16" t="n">
        <v>379.1265949767107</v>
      </c>
      <c r="S1525" s="16" t="n">
        <v>0.7985152262026944</v>
      </c>
      <c r="T1525" s="16" t="n">
        <v>0.7825514775280967</v>
      </c>
      <c r="U1525" s="16" t="n">
        <v>0.6778751919222589</v>
      </c>
      <c r="V1525" s="16" t="n">
        <v>0.7611380197470377</v>
      </c>
      <c r="W1525" s="16" t="n">
        <v>0.7932337807940548</v>
      </c>
      <c r="X1525" s="16" t="n">
        <v>0.8939804814113996</v>
      </c>
      <c r="Y1525" s="16" t="n">
        <v>297.2574287766589</v>
      </c>
      <c r="Z1525" s="16" t="n">
        <v>-6.86378891619057</v>
      </c>
      <c r="AA1525" s="16" t="n">
        <v>-38.29219334255606</v>
      </c>
      <c r="AB1525" s="16" t="n">
        <v>3759.949053557945</v>
      </c>
      <c r="AC1525" s="16" t="n">
        <v>10.9173972582665</v>
      </c>
      <c r="AD1525" s="16" t="inlineStr">
        <is>
          <t>O2,O3</t>
        </is>
      </c>
      <c r="AE1525" s="16" t="n"/>
    </row>
    <row r="1526">
      <c r="A1526" s="16" t="inlineStr">
        <is>
          <t>KF-M04b-0154</t>
        </is>
      </c>
      <c r="B1526" s="16" t="inlineStr">
        <is>
          <t>3.2</t>
        </is>
      </c>
      <c r="C1526" s="16" t="inlineStr">
        <is>
          <t>3.2</t>
        </is>
      </c>
      <c r="D1526" s="16" t="inlineStr">
        <is>
          <t>muestra de 200 puntos</t>
        </is>
      </c>
      <c r="E1526" s="16" t="inlineStr">
        <is>
          <t>KF-M04b</t>
        </is>
      </c>
      <c r="F1526" s="16" t="inlineStr">
        <is>
          <t>KF-M04b</t>
        </is>
      </c>
      <c r="G1526" s="16" t="inlineStr">
        <is>
          <t>B07</t>
        </is>
      </c>
      <c r="H1526" s="16" t="inlineStr">
        <is>
          <t>lhs</t>
        </is>
      </c>
      <c r="I1526" s="16" t="inlineStr">
        <is>
          <t>CORREGIBLE</t>
        </is>
      </c>
      <c r="J1526" s="16" t="inlineStr">
        <is>
          <t>CORREGIBLE</t>
        </is>
      </c>
      <c r="K1526" s="16" t="b">
        <v>1</v>
      </c>
      <c r="L1526" s="16" t="b">
        <v>0</v>
      </c>
      <c r="M1526" s="16" t="b">
        <v>0</v>
      </c>
      <c r="N1526" s="16" t="b">
        <v>0</v>
      </c>
      <c r="O1526" s="16" t="n">
        <v>425.5604903984895</v>
      </c>
      <c r="P1526" s="16" t="n">
        <v>291.3916366320541</v>
      </c>
      <c r="Q1526" s="16" t="n">
        <v>2384.050062648462</v>
      </c>
      <c r="R1526" s="16" t="n">
        <v>674.2491416886387</v>
      </c>
      <c r="S1526" s="16" t="n">
        <v>0.71649655924093</v>
      </c>
      <c r="T1526" s="16" t="n">
        <v>0.8002675778240496</v>
      </c>
      <c r="U1526" s="16" t="n">
        <v>0.7530112870297114</v>
      </c>
      <c r="V1526" s="16" t="n">
        <v>0.6947346610267403</v>
      </c>
      <c r="W1526" s="16" t="n">
        <v>0.936306258072078</v>
      </c>
      <c r="X1526" s="16" t="n">
        <v>0.836216760212118</v>
      </c>
      <c r="Y1526" s="16" t="n">
        <v>291.3916366320541</v>
      </c>
      <c r="Z1526" s="16" t="n">
        <v>9.801509597714681</v>
      </c>
      <c r="AA1526" s="16" t="n">
        <v>92.41175303772248</v>
      </c>
      <c r="AB1526" s="16" t="n">
        <v>1709.800920959823</v>
      </c>
      <c r="AC1526" s="16" t="n">
        <v>3.535859247336486</v>
      </c>
      <c r="AD1526" s="16" t="inlineStr">
        <is>
          <t>O2</t>
        </is>
      </c>
      <c r="AE1526" s="16" t="n"/>
    </row>
    <row r="1527">
      <c r="A1527" s="16" t="inlineStr">
        <is>
          <t>KF-M04b-0155</t>
        </is>
      </c>
      <c r="B1527" s="16" t="inlineStr">
        <is>
          <t>3.2</t>
        </is>
      </c>
      <c r="C1527" s="16" t="inlineStr">
        <is>
          <t>3.2</t>
        </is>
      </c>
      <c r="D1527" s="16" t="inlineStr">
        <is>
          <t>muestra de 200 puntos</t>
        </is>
      </c>
      <c r="E1527" s="16" t="inlineStr">
        <is>
          <t>KF-M04b</t>
        </is>
      </c>
      <c r="F1527" s="16" t="inlineStr">
        <is>
          <t>KF-M04b</t>
        </is>
      </c>
      <c r="G1527" s="16" t="inlineStr">
        <is>
          <t>B07</t>
        </is>
      </c>
      <c r="H1527" s="16" t="inlineStr">
        <is>
          <t>lhs</t>
        </is>
      </c>
      <c r="I1527" s="16" t="inlineStr">
        <is>
          <t>CORREGIBLE</t>
        </is>
      </c>
      <c r="J1527" s="16" t="inlineStr">
        <is>
          <t>CORREGIBLE</t>
        </is>
      </c>
      <c r="K1527" s="16" t="b">
        <v>1</v>
      </c>
      <c r="L1527" s="16" t="b">
        <v>0</v>
      </c>
      <c r="M1527" s="16" t="b">
        <v>0</v>
      </c>
      <c r="N1527" s="16" t="b">
        <v>0</v>
      </c>
      <c r="O1527" s="16" t="n">
        <v>438.3620717370898</v>
      </c>
      <c r="P1527" s="16" t="n">
        <v>292.6487290005464</v>
      </c>
      <c r="Q1527" s="16" t="n">
        <v>2258.175386945265</v>
      </c>
      <c r="R1527" s="16" t="n">
        <v>857.3309537002935</v>
      </c>
      <c r="S1527" s="16" t="n">
        <v>0.813970216592951</v>
      </c>
      <c r="T1527" s="16" t="n">
        <v>0.8369916891863198</v>
      </c>
      <c r="U1527" s="16" t="n">
        <v>0.7112463731009322</v>
      </c>
      <c r="V1527" s="16" t="n">
        <v>0.6479990420874888</v>
      </c>
      <c r="W1527" s="16" t="n">
        <v>0.6857433716672138</v>
      </c>
      <c r="X1527" s="16" t="n">
        <v>0.734688132309458</v>
      </c>
      <c r="Y1527" s="16" t="n">
        <v>292.6487290005464</v>
      </c>
      <c r="Z1527" s="16" t="n">
        <v>7.24242638244474</v>
      </c>
      <c r="AA1527" s="16" t="n">
        <v>68.75919990768472</v>
      </c>
      <c r="AB1527" s="16" t="n">
        <v>1400.844433244972</v>
      </c>
      <c r="AC1527" s="16" t="n">
        <v>2.633959939506255</v>
      </c>
      <c r="AD1527" s="16" t="inlineStr">
        <is>
          <t>O2</t>
        </is>
      </c>
      <c r="AE1527" s="16" t="n"/>
    </row>
    <row r="1528">
      <c r="A1528" s="16" t="inlineStr">
        <is>
          <t>KF-M04b-0156</t>
        </is>
      </c>
      <c r="B1528" s="16" t="inlineStr">
        <is>
          <t>3.2</t>
        </is>
      </c>
      <c r="C1528" s="16" t="inlineStr">
        <is>
          <t>3.2</t>
        </is>
      </c>
      <c r="D1528" s="16" t="inlineStr">
        <is>
          <t>muestra de 200 puntos</t>
        </is>
      </c>
      <c r="E1528" s="16" t="inlineStr">
        <is>
          <t>KF-M04b</t>
        </is>
      </c>
      <c r="F1528" s="16" t="inlineStr">
        <is>
          <t>KF-M04b</t>
        </is>
      </c>
      <c r="G1528" s="16" t="inlineStr">
        <is>
          <t>B07</t>
        </is>
      </c>
      <c r="H1528" s="16" t="inlineStr">
        <is>
          <t>lhs</t>
        </is>
      </c>
      <c r="I1528" s="16" t="inlineStr">
        <is>
          <t>KALINA</t>
        </is>
      </c>
      <c r="J1528" s="16" t="inlineStr">
        <is>
          <t>KALINA</t>
        </is>
      </c>
      <c r="K1528" s="16" t="b">
        <v>1</v>
      </c>
      <c r="L1528" s="16" t="b">
        <v>1</v>
      </c>
      <c r="M1528" s="16" t="b">
        <v>0</v>
      </c>
      <c r="N1528" s="16" t="b">
        <v>0</v>
      </c>
      <c r="O1528" s="16" t="n">
        <v>431.1062314531932</v>
      </c>
      <c r="P1528" s="16" t="n">
        <v>280.7702598705241</v>
      </c>
      <c r="Q1528" s="16" t="n">
        <v>2547.880207285646</v>
      </c>
      <c r="R1528" s="16" t="n">
        <v>1152.816198561386</v>
      </c>
      <c r="S1528" s="16" t="n">
        <v>0.7319607703363422</v>
      </c>
      <c r="T1528" s="16" t="n">
        <v>0.8888559370167148</v>
      </c>
      <c r="U1528" s="16" t="n">
        <v>0.7065146059380883</v>
      </c>
      <c r="V1528" s="16" t="n">
        <v>0.6759126896708895</v>
      </c>
      <c r="W1528" s="16" t="n">
        <v>0.7299730865907579</v>
      </c>
      <c r="X1528" s="16" t="n">
        <v>0.8576611393047293</v>
      </c>
      <c r="Y1528" s="16" t="n">
        <v>280.7702598705241</v>
      </c>
      <c r="Z1528" s="16" t="n">
        <v>7.103158236384941</v>
      </c>
      <c r="AA1528" s="16" t="n">
        <v>73.5952062002179</v>
      </c>
      <c r="AB1528" s="16" t="n">
        <v>1395.06400872426</v>
      </c>
      <c r="AC1528" s="16" t="n">
        <v>2.210135675110377</v>
      </c>
      <c r="AD1528" s="16" t="n"/>
      <c r="AE1528" s="16" t="n"/>
    </row>
    <row r="1529">
      <c r="A1529" s="16" t="inlineStr">
        <is>
          <t>KF-M04b-0157</t>
        </is>
      </c>
      <c r="B1529" s="16" t="inlineStr">
        <is>
          <t>3.2</t>
        </is>
      </c>
      <c r="C1529" s="16" t="inlineStr">
        <is>
          <t>3.2</t>
        </is>
      </c>
      <c r="D1529" s="16" t="inlineStr">
        <is>
          <t>muestra de 200 puntos</t>
        </is>
      </c>
      <c r="E1529" s="16" t="inlineStr">
        <is>
          <t>KF-M04b</t>
        </is>
      </c>
      <c r="F1529" s="16" t="inlineStr">
        <is>
          <t>KF-M04b</t>
        </is>
      </c>
      <c r="G1529" s="16" t="inlineStr">
        <is>
          <t>B07</t>
        </is>
      </c>
      <c r="H1529" s="16" t="inlineStr">
        <is>
          <t>lhs</t>
        </is>
      </c>
      <c r="I1529" s="16" t="inlineStr">
        <is>
          <t>CORREGIBLE</t>
        </is>
      </c>
      <c r="J1529" s="16" t="inlineStr">
        <is>
          <t>CORREGIBLE</t>
        </is>
      </c>
      <c r="K1529" s="16" t="b">
        <v>1</v>
      </c>
      <c r="L1529" s="16" t="b">
        <v>0</v>
      </c>
      <c r="M1529" s="16" t="b">
        <v>0</v>
      </c>
      <c r="N1529" s="16" t="b">
        <v>0</v>
      </c>
      <c r="O1529" s="16" t="n">
        <v>435.3115128889434</v>
      </c>
      <c r="P1529" s="16" t="n">
        <v>286.8050947248212</v>
      </c>
      <c r="Q1529" s="16" t="n">
        <v>2964.476189410884</v>
      </c>
      <c r="R1529" s="16" t="n">
        <v>1063.335092272874</v>
      </c>
      <c r="S1529" s="16" t="n">
        <v>0.7385414015091101</v>
      </c>
      <c r="T1529" s="16" t="n">
        <v>0.75998524154415</v>
      </c>
      <c r="U1529" s="16" t="n">
        <v>0.8923256579747677</v>
      </c>
      <c r="V1529" s="16" t="n">
        <v>0.6601586444116945</v>
      </c>
      <c r="W1529" s="16" t="n">
        <v>0.8812601067299377</v>
      </c>
      <c r="X1529" s="16" t="n">
        <v>0.8002175023879344</v>
      </c>
      <c r="Y1529" s="16" t="n">
        <v>286.8050947248212</v>
      </c>
      <c r="Z1529" s="16" t="n">
        <v>8.117899244915309</v>
      </c>
      <c r="AA1529" s="16" t="n">
        <v>76.12090412881156</v>
      </c>
      <c r="AB1529" s="16" t="n">
        <v>1901.14109713801</v>
      </c>
      <c r="AC1529" s="16" t="n">
        <v>2.787904030397727</v>
      </c>
      <c r="AD1529" s="16" t="inlineStr">
        <is>
          <t>O2</t>
        </is>
      </c>
      <c r="AE1529" s="16" t="n"/>
    </row>
    <row r="1530">
      <c r="A1530" s="16" t="inlineStr">
        <is>
          <t>KF-M04b-0158</t>
        </is>
      </c>
      <c r="B1530" s="16" t="inlineStr">
        <is>
          <t>3.2</t>
        </is>
      </c>
      <c r="C1530" s="16" t="inlineStr">
        <is>
          <t>3.2</t>
        </is>
      </c>
      <c r="D1530" s="16" t="inlineStr">
        <is>
          <t>muestra de 200 puntos</t>
        </is>
      </c>
      <c r="E1530" s="16" t="inlineStr">
        <is>
          <t>KF-M04b</t>
        </is>
      </c>
      <c r="F1530" s="16" t="inlineStr">
        <is>
          <t>KF-M04b</t>
        </is>
      </c>
      <c r="G1530" s="16" t="inlineStr">
        <is>
          <t>B07</t>
        </is>
      </c>
      <c r="H1530" s="16" t="inlineStr">
        <is>
          <t>lhs</t>
        </is>
      </c>
      <c r="I1530" s="16" t="inlineStr">
        <is>
          <t>KALINA</t>
        </is>
      </c>
      <c r="J1530" s="16" t="inlineStr">
        <is>
          <t>KALINA</t>
        </is>
      </c>
      <c r="K1530" s="16" t="b">
        <v>1</v>
      </c>
      <c r="L1530" s="16" t="b">
        <v>0</v>
      </c>
      <c r="M1530" s="16" t="b">
        <v>1</v>
      </c>
      <c r="N1530" s="16" t="b">
        <v>0</v>
      </c>
      <c r="O1530" s="16" t="n">
        <v>464.5102408159347</v>
      </c>
      <c r="P1530" s="16" t="n">
        <v>289.7621749441602</v>
      </c>
      <c r="Q1530" s="16" t="n">
        <v>3571.407297915099</v>
      </c>
      <c r="R1530" s="16" t="n">
        <v>688.2442385216538</v>
      </c>
      <c r="S1530" s="16" t="n">
        <v>0.5356850045853754</v>
      </c>
      <c r="T1530" s="16" t="n">
        <v>0.8545989527769011</v>
      </c>
      <c r="U1530" s="16" t="n">
        <v>0.8599047142450121</v>
      </c>
      <c r="V1530" s="16" t="n">
        <v>0.800813221692969</v>
      </c>
      <c r="W1530" s="16" t="n">
        <v>0.9393344440366042</v>
      </c>
      <c r="X1530" s="16" t="n">
        <v>0.9052736566049636</v>
      </c>
      <c r="Y1530" s="16" t="n">
        <v>289.7621749441602</v>
      </c>
      <c r="Z1530" s="16" t="n">
        <v>11.85082770802142</v>
      </c>
      <c r="AA1530" s="16" t="n">
        <v>142.2541328832426</v>
      </c>
      <c r="AB1530" s="16" t="n">
        <v>2883.163059393445</v>
      </c>
      <c r="AC1530" s="16" t="n">
        <v>5.189156839999808</v>
      </c>
      <c r="AD1530" s="16" t="n"/>
      <c r="AE1530" s="16" t="n"/>
    </row>
    <row r="1531">
      <c r="A1531" s="16" t="inlineStr">
        <is>
          <t>KF-M04b-0159</t>
        </is>
      </c>
      <c r="B1531" s="16" t="inlineStr">
        <is>
          <t>3.2</t>
        </is>
      </c>
      <c r="C1531" s="16" t="inlineStr">
        <is>
          <t>3.2</t>
        </is>
      </c>
      <c r="D1531" s="16" t="inlineStr">
        <is>
          <t>muestra de 200 puntos</t>
        </is>
      </c>
      <c r="E1531" s="16" t="inlineStr">
        <is>
          <t>KF-M04b</t>
        </is>
      </c>
      <c r="F1531" s="16" t="inlineStr">
        <is>
          <t>KF-M04b</t>
        </is>
      </c>
      <c r="G1531" s="16" t="inlineStr">
        <is>
          <t>B07</t>
        </is>
      </c>
      <c r="H1531" s="16" t="inlineStr">
        <is>
          <t>lhs</t>
        </is>
      </c>
      <c r="I1531" s="16" t="inlineStr">
        <is>
          <t>CORREGIBLE</t>
        </is>
      </c>
      <c r="J1531" s="16" t="inlineStr">
        <is>
          <t>CORREGIBLE</t>
        </is>
      </c>
      <c r="K1531" s="16" t="b">
        <v>1</v>
      </c>
      <c r="L1531" s="16" t="b">
        <v>0</v>
      </c>
      <c r="M1531" s="16" t="b">
        <v>0</v>
      </c>
      <c r="N1531" s="16" t="b">
        <v>0</v>
      </c>
      <c r="O1531" s="16" t="n">
        <v>418.4264071948723</v>
      </c>
      <c r="P1531" s="16" t="n">
        <v>296.8444210549123</v>
      </c>
      <c r="Q1531" s="16" t="n">
        <v>4085.708159249239</v>
      </c>
      <c r="R1531" s="16" t="n">
        <v>783.7880728701409</v>
      </c>
      <c r="S1531" s="16" t="n">
        <v>0.7245181000994899</v>
      </c>
      <c r="T1531" s="16" t="n">
        <v>0.8435839930340712</v>
      </c>
      <c r="U1531" s="16" t="n">
        <v>0.6823221272214406</v>
      </c>
      <c r="V1531" s="16" t="n">
        <v>0.6928257072761735</v>
      </c>
      <c r="W1531" s="16" t="n">
        <v>0.6461182933502631</v>
      </c>
      <c r="X1531" s="16" t="n">
        <v>0.8504555665011765</v>
      </c>
      <c r="Y1531" s="16" t="n">
        <v>296.8444210549123</v>
      </c>
      <c r="Z1531" s="16" t="n">
        <v>11.79529995928597</v>
      </c>
      <c r="AA1531" s="16" t="n">
        <v>78.28379785141318</v>
      </c>
      <c r="AB1531" s="16" t="n">
        <v>3301.920086379098</v>
      </c>
      <c r="AC1531" s="16" t="n">
        <v>5.21277153949007</v>
      </c>
      <c r="AD1531" s="16" t="inlineStr">
        <is>
          <t>O2</t>
        </is>
      </c>
      <c r="AE1531" s="16" t="n"/>
    </row>
    <row r="1532">
      <c r="A1532" s="16" t="inlineStr">
        <is>
          <t>KF-M04b-0160</t>
        </is>
      </c>
      <c r="B1532" s="16" t="inlineStr">
        <is>
          <t>3.2</t>
        </is>
      </c>
      <c r="C1532" s="16" t="inlineStr">
        <is>
          <t>3.2</t>
        </is>
      </c>
      <c r="D1532" s="16" t="inlineStr">
        <is>
          <t>muestra de 200 puntos</t>
        </is>
      </c>
      <c r="E1532" s="16" t="inlineStr">
        <is>
          <t>KF-M04b</t>
        </is>
      </c>
      <c r="F1532" s="16" t="inlineStr">
        <is>
          <t>KF-M04b</t>
        </is>
      </c>
      <c r="G1532" s="16" t="inlineStr">
        <is>
          <t>B07</t>
        </is>
      </c>
      <c r="H1532" s="16" t="inlineStr">
        <is>
          <t>lhs</t>
        </is>
      </c>
      <c r="I1532" s="16" t="inlineStr">
        <is>
          <t>N2</t>
        </is>
      </c>
      <c r="J1532" s="16" t="inlineStr">
        <is>
          <t>NO_CONVERGIO</t>
        </is>
      </c>
      <c r="K1532" s="16" t="b">
        <v>0</v>
      </c>
      <c r="L1532" s="16" t="b">
        <v>0</v>
      </c>
      <c r="M1532" s="16" t="b">
        <v>1</v>
      </c>
      <c r="N1532" s="16" t="b">
        <v>0</v>
      </c>
      <c r="O1532" s="16" t="n">
        <v>498.9522268082118</v>
      </c>
      <c r="P1532" s="16" t="n">
        <v>298.4752319563554</v>
      </c>
      <c r="Q1532" s="16" t="n">
        <v>2421.900119820586</v>
      </c>
      <c r="R1532" s="16" t="n">
        <v>876.2542343533936</v>
      </c>
      <c r="S1532" s="16" t="n">
        <v>0.8352522941521945</v>
      </c>
      <c r="T1532" s="16" t="n">
        <v>0.8672531614760274</v>
      </c>
      <c r="U1532" s="16" t="n">
        <v>0.8678765256615362</v>
      </c>
      <c r="V1532" s="16" t="n">
        <v>0.8787981071610813</v>
      </c>
      <c r="W1532" s="16" t="n">
        <v>0.689924436323652</v>
      </c>
      <c r="X1532" s="16" t="n">
        <v>0.8317430282198371</v>
      </c>
      <c r="Y1532" s="16" t="n">
        <v>298.4752319563554</v>
      </c>
      <c r="Z1532" s="16" t="n">
        <v>8.918887969331839</v>
      </c>
      <c r="AA1532" s="16" t="n">
        <v>129.6692088413506</v>
      </c>
      <c r="AB1532" s="16" t="n">
        <v>1545.645885467192</v>
      </c>
      <c r="AC1532" s="16" t="n">
        <v>2.763924012998074</v>
      </c>
      <c r="AD1532" s="16" t="inlineStr">
        <is>
          <t>N2,O2,O5,C1,C3,C3</t>
        </is>
      </c>
      <c r="AE1532" s="16" t="n"/>
    </row>
    <row r="1533">
      <c r="A1533" s="16" t="inlineStr">
        <is>
          <t>KF-M04b-0161</t>
        </is>
      </c>
      <c r="B1533" s="16" t="inlineStr">
        <is>
          <t>3.2</t>
        </is>
      </c>
      <c r="C1533" s="16" t="inlineStr">
        <is>
          <t>3.2</t>
        </is>
      </c>
      <c r="D1533" s="16" t="inlineStr">
        <is>
          <t>muestra de 200 puntos</t>
        </is>
      </c>
      <c r="E1533" s="16" t="inlineStr">
        <is>
          <t>KF-M04b</t>
        </is>
      </c>
      <c r="F1533" s="16" t="inlineStr">
        <is>
          <t>KF-M04b</t>
        </is>
      </c>
      <c r="G1533" s="16" t="inlineStr">
        <is>
          <t>B07</t>
        </is>
      </c>
      <c r="H1533" s="16" t="inlineStr">
        <is>
          <t>lhs</t>
        </is>
      </c>
      <c r="I1533" s="16" t="inlineStr">
        <is>
          <t>KALINA</t>
        </is>
      </c>
      <c r="J1533" s="16" t="inlineStr">
        <is>
          <t>KALINA</t>
        </is>
      </c>
      <c r="K1533" s="16" t="b">
        <v>1</v>
      </c>
      <c r="L1533" s="16" t="b">
        <v>1</v>
      </c>
      <c r="M1533" s="16" t="b">
        <v>0</v>
      </c>
      <c r="N1533" s="16" t="b">
        <v>0</v>
      </c>
      <c r="O1533" s="16" t="n">
        <v>394.991807140974</v>
      </c>
      <c r="P1533" s="16" t="n">
        <v>296.023687183944</v>
      </c>
      <c r="Q1533" s="16" t="n">
        <v>2488.805528706217</v>
      </c>
      <c r="R1533" s="16" t="n">
        <v>1074.925149433288</v>
      </c>
      <c r="S1533" s="16" t="n">
        <v>0.6888870815158722</v>
      </c>
      <c r="T1533" s="16" t="n">
        <v>0.8623960096645299</v>
      </c>
      <c r="U1533" s="16" t="n">
        <v>0.7081717185834986</v>
      </c>
      <c r="V1533" s="16" t="n">
        <v>0.8083970874985351</v>
      </c>
      <c r="W1533" s="16" t="n">
        <v>0.6929020388441528</v>
      </c>
      <c r="X1533" s="16" t="n">
        <v>0.8892315356024595</v>
      </c>
      <c r="Y1533" s="16" t="n">
        <v>296.023687183944</v>
      </c>
      <c r="Z1533" s="16" t="n">
        <v>6.84031329123391</v>
      </c>
      <c r="AA1533" s="16" t="n">
        <v>47.7095091825338</v>
      </c>
      <c r="AB1533" s="16" t="n">
        <v>1413.880379272929</v>
      </c>
      <c r="AC1533" s="16" t="n">
        <v>2.31532914642321</v>
      </c>
      <c r="AD1533" s="16" t="n"/>
      <c r="AE1533" s="16" t="n"/>
    </row>
    <row r="1534">
      <c r="A1534" s="16" t="inlineStr">
        <is>
          <t>KF-M04b-0162</t>
        </is>
      </c>
      <c r="B1534" s="16" t="inlineStr">
        <is>
          <t>3.2</t>
        </is>
      </c>
      <c r="C1534" s="16" t="inlineStr">
        <is>
          <t>3.2</t>
        </is>
      </c>
      <c r="D1534" s="16" t="inlineStr">
        <is>
          <t>muestra de 200 puntos</t>
        </is>
      </c>
      <c r="E1534" s="16" t="inlineStr">
        <is>
          <t>KF-M04b</t>
        </is>
      </c>
      <c r="F1534" s="16" t="inlineStr">
        <is>
          <t>KF-M04b</t>
        </is>
      </c>
      <c r="G1534" s="16" t="inlineStr">
        <is>
          <t>B07</t>
        </is>
      </c>
      <c r="H1534" s="16" t="inlineStr">
        <is>
          <t>lhs</t>
        </is>
      </c>
      <c r="I1534" s="16" t="inlineStr">
        <is>
          <t>CORREGIBLE</t>
        </is>
      </c>
      <c r="J1534" s="16" t="inlineStr">
        <is>
          <t>CORREGIBLE</t>
        </is>
      </c>
      <c r="K1534" s="16" t="b">
        <v>1</v>
      </c>
      <c r="L1534" s="16" t="b">
        <v>0</v>
      </c>
      <c r="M1534" s="16" t="b">
        <v>0</v>
      </c>
      <c r="N1534" s="16" t="b">
        <v>0</v>
      </c>
      <c r="O1534" s="16" t="n">
        <v>431.8626593137864</v>
      </c>
      <c r="P1534" s="16" t="n">
        <v>284.7511010623257</v>
      </c>
      <c r="Q1534" s="16" t="n">
        <v>3399.199210539763</v>
      </c>
      <c r="R1534" s="16" t="n">
        <v>375.7774758849193</v>
      </c>
      <c r="S1534" s="16" t="n">
        <v>0.6562888388302172</v>
      </c>
      <c r="T1534" s="16" t="n">
        <v>0.8992850335913466</v>
      </c>
      <c r="U1534" s="16" t="n">
        <v>0.6519065991070582</v>
      </c>
      <c r="V1534" s="16" t="n">
        <v>0.6025373210719519</v>
      </c>
      <c r="W1534" s="16" t="n">
        <v>0.702932998152477</v>
      </c>
      <c r="X1534" s="16" t="n">
        <v>0.7813582173714863</v>
      </c>
      <c r="Y1534" s="16" t="n">
        <v>284.7511010623257</v>
      </c>
      <c r="Z1534" s="16" t="n">
        <v>15.15671411911223</v>
      </c>
      <c r="AA1534" s="16" t="n">
        <v>101.40089087314</v>
      </c>
      <c r="AB1534" s="16" t="n">
        <v>3023.421734654844</v>
      </c>
      <c r="AC1534" s="16" t="n">
        <v>9.045776899041064</v>
      </c>
      <c r="AD1534" s="16" t="inlineStr">
        <is>
          <t>O2</t>
        </is>
      </c>
      <c r="AE1534" s="16" t="n"/>
    </row>
    <row r="1535">
      <c r="A1535" s="16" t="inlineStr">
        <is>
          <t>KF-M04b-0163</t>
        </is>
      </c>
      <c r="B1535" s="16" t="inlineStr">
        <is>
          <t>3.2</t>
        </is>
      </c>
      <c r="C1535" s="16" t="inlineStr">
        <is>
          <t>3.2</t>
        </is>
      </c>
      <c r="D1535" s="16" t="inlineStr">
        <is>
          <t>muestra de 200 puntos</t>
        </is>
      </c>
      <c r="E1535" s="16" t="inlineStr">
        <is>
          <t>KF-M04b</t>
        </is>
      </c>
      <c r="F1535" s="16" t="inlineStr">
        <is>
          <t>KF-M04b</t>
        </is>
      </c>
      <c r="G1535" s="16" t="inlineStr">
        <is>
          <t>B07</t>
        </is>
      </c>
      <c r="H1535" s="16" t="inlineStr">
        <is>
          <t>lhs</t>
        </is>
      </c>
      <c r="I1535" s="16" t="inlineStr">
        <is>
          <t>INVIABLE</t>
        </is>
      </c>
      <c r="J1535" s="16" t="inlineStr">
        <is>
          <t>INVIABLE</t>
        </is>
      </c>
      <c r="K1535" s="16" t="b">
        <v>1</v>
      </c>
      <c r="L1535" s="16" t="b">
        <v>0</v>
      </c>
      <c r="M1535" s="16" t="b">
        <v>0</v>
      </c>
      <c r="N1535" s="16" t="b">
        <v>0</v>
      </c>
      <c r="O1535" s="16" t="n">
        <v>475.25687509544</v>
      </c>
      <c r="P1535" s="16" t="n">
        <v>303.1417591075636</v>
      </c>
      <c r="Q1535" s="16" t="n">
        <v>2081.052357899298</v>
      </c>
      <c r="R1535" s="16" t="n">
        <v>401.8502444634403</v>
      </c>
      <c r="S1535" s="16" t="n">
        <v>0.8374577023056713</v>
      </c>
      <c r="T1535" s="16" t="n">
        <v>0.7527538701934955</v>
      </c>
      <c r="U1535" s="16" t="n">
        <v>0.877019551656681</v>
      </c>
      <c r="V1535" s="16" t="n">
        <v>0.772974511534585</v>
      </c>
      <c r="W1535" s="16" t="n">
        <v>0.7543174695008326</v>
      </c>
      <c r="X1535" s="16" t="n">
        <v>0.8595633247436292</v>
      </c>
      <c r="Y1535" s="16" t="n">
        <v>303.1417591075636</v>
      </c>
      <c r="Z1535" s="16" t="n">
        <v>-0.82335137351691</v>
      </c>
      <c r="AA1535" s="16" t="n">
        <v>-4.597215220660587</v>
      </c>
      <c r="AB1535" s="16" t="n">
        <v>1679.202113435858</v>
      </c>
      <c r="AC1535" s="16" t="n">
        <v>5.178676351629367</v>
      </c>
      <c r="AD1535" s="16" t="inlineStr">
        <is>
          <t>O2,O3</t>
        </is>
      </c>
      <c r="AE1535" s="16" t="n"/>
    </row>
    <row r="1536">
      <c r="A1536" s="16" t="inlineStr">
        <is>
          <t>KF-M04b-0164</t>
        </is>
      </c>
      <c r="B1536" s="16" t="inlineStr">
        <is>
          <t>3.2</t>
        </is>
      </c>
      <c r="C1536" s="16" t="inlineStr">
        <is>
          <t>3.2</t>
        </is>
      </c>
      <c r="D1536" s="16" t="inlineStr">
        <is>
          <t>muestra de 200 puntos</t>
        </is>
      </c>
      <c r="E1536" s="16" t="inlineStr">
        <is>
          <t>KF-M04b</t>
        </is>
      </c>
      <c r="F1536" s="16" t="inlineStr">
        <is>
          <t>KF-M04b</t>
        </is>
      </c>
      <c r="G1536" s="16" t="inlineStr">
        <is>
          <t>B07</t>
        </is>
      </c>
      <c r="H1536" s="16" t="inlineStr">
        <is>
          <t>lhs</t>
        </is>
      </c>
      <c r="I1536" s="16" t="inlineStr">
        <is>
          <t>INVIABLE</t>
        </is>
      </c>
      <c r="J1536" s="16" t="inlineStr">
        <is>
          <t>INVIABLE</t>
        </is>
      </c>
      <c r="K1536" s="16" t="b">
        <v>1</v>
      </c>
      <c r="L1536" s="16" t="b">
        <v>0</v>
      </c>
      <c r="M1536" s="16" t="b">
        <v>0</v>
      </c>
      <c r="N1536" s="16" t="b">
        <v>0</v>
      </c>
      <c r="O1536" s="16" t="n">
        <v>412.6621631537134</v>
      </c>
      <c r="P1536" s="16" t="n">
        <v>301.7114968494935</v>
      </c>
      <c r="Q1536" s="16" t="n">
        <v>4824.709183522055</v>
      </c>
      <c r="R1536" s="16" t="n">
        <v>340.16206457801</v>
      </c>
      <c r="S1536" s="16" t="n">
        <v>0.7372560730881929</v>
      </c>
      <c r="T1536" s="16" t="n">
        <v>0.8382525113800005</v>
      </c>
      <c r="U1536" s="16" t="n">
        <v>0.8116226621931272</v>
      </c>
      <c r="V1536" s="16" t="n">
        <v>0.7250034041559776</v>
      </c>
      <c r="W1536" s="16" t="n">
        <v>0.7507051587337228</v>
      </c>
      <c r="X1536" s="16" t="n">
        <v>0.8717833956239887</v>
      </c>
      <c r="Y1536" s="16" t="n">
        <v>301.7114968494935</v>
      </c>
      <c r="Z1536" s="16" t="n">
        <v>-93.56724148927444</v>
      </c>
      <c r="AA1536" s="16" t="n">
        <v>-81.89608673673348</v>
      </c>
      <c r="AB1536" s="16" t="n">
        <v>4484.547118944045</v>
      </c>
      <c r="AC1536" s="16" t="n">
        <v>14.18356038468715</v>
      </c>
      <c r="AD1536" s="16" t="inlineStr">
        <is>
          <t>O2,O3</t>
        </is>
      </c>
      <c r="AE1536" s="16" t="n"/>
    </row>
    <row r="1537">
      <c r="A1537" s="16" t="inlineStr">
        <is>
          <t>KF-M04b-0165</t>
        </is>
      </c>
      <c r="B1537" s="16" t="inlineStr">
        <is>
          <t>3.2</t>
        </is>
      </c>
      <c r="C1537" s="16" t="inlineStr">
        <is>
          <t>3.2</t>
        </is>
      </c>
      <c r="D1537" s="16" t="inlineStr">
        <is>
          <t>muestra de 200 puntos</t>
        </is>
      </c>
      <c r="E1537" s="16" t="inlineStr">
        <is>
          <t>KF-M04b</t>
        </is>
      </c>
      <c r="F1537" s="16" t="inlineStr">
        <is>
          <t>KF-M04b</t>
        </is>
      </c>
      <c r="G1537" s="16" t="inlineStr">
        <is>
          <t>B07</t>
        </is>
      </c>
      <c r="H1537" s="16" t="inlineStr">
        <is>
          <t>lhs</t>
        </is>
      </c>
      <c r="I1537" s="16" t="inlineStr">
        <is>
          <t>N2</t>
        </is>
      </c>
      <c r="J1537" s="16" t="inlineStr">
        <is>
          <t>NO_CONVERGIO</t>
        </is>
      </c>
      <c r="K1537" s="16" t="b">
        <v>0</v>
      </c>
      <c r="L1537" s="16" t="b">
        <v>0</v>
      </c>
      <c r="M1537" s="16" t="b">
        <v>0</v>
      </c>
      <c r="N1537" s="16" t="b">
        <v>0</v>
      </c>
      <c r="O1537" s="16" t="n">
        <v>406.2934163156216</v>
      </c>
      <c r="P1537" s="16" t="n">
        <v>298.9216552189891</v>
      </c>
      <c r="Q1537" s="16" t="n">
        <v>4929.43342455066</v>
      </c>
      <c r="R1537" s="16" t="n">
        <v>407.3162401136894</v>
      </c>
      <c r="S1537" s="16" t="n">
        <v>0.5375775074722442</v>
      </c>
      <c r="T1537" s="16" t="n">
        <v>0.8663988167892441</v>
      </c>
      <c r="U1537" s="16" t="n">
        <v>0.699611280735946</v>
      </c>
      <c r="V1537" s="16" t="n">
        <v>0.8267738112171104</v>
      </c>
      <c r="W1537" s="16" t="n">
        <v>0.8644995089026797</v>
      </c>
      <c r="X1537" s="16" t="n">
        <v>0.8041243181345762</v>
      </c>
      <c r="Y1537" s="16" t="n">
        <v>298.9216552189891</v>
      </c>
      <c r="Z1537" s="16" t="n">
        <v>-46.21107481572475</v>
      </c>
      <c r="AA1537" s="16" t="n">
        <v>-21.56469428786569</v>
      </c>
      <c r="AB1537" s="16" t="n">
        <v>4522.11718443697</v>
      </c>
      <c r="AC1537" s="16" t="n">
        <v>12.10222657258833</v>
      </c>
      <c r="AD1537" s="16" t="inlineStr">
        <is>
          <t>N2,O2,O3,O5,C1,C3,C3</t>
        </is>
      </c>
      <c r="AE1537" s="16" t="n"/>
    </row>
    <row r="1538">
      <c r="A1538" s="16" t="inlineStr">
        <is>
          <t>KF-M04b-0166</t>
        </is>
      </c>
      <c r="B1538" s="16" t="inlineStr">
        <is>
          <t>3.2</t>
        </is>
      </c>
      <c r="C1538" s="16" t="inlineStr">
        <is>
          <t>3.2</t>
        </is>
      </c>
      <c r="D1538" s="16" t="inlineStr">
        <is>
          <t>muestra de 200 puntos</t>
        </is>
      </c>
      <c r="E1538" s="16" t="inlineStr">
        <is>
          <t>KF-M04b</t>
        </is>
      </c>
      <c r="F1538" s="16" t="inlineStr">
        <is>
          <t>KF-M04b</t>
        </is>
      </c>
      <c r="G1538" s="16" t="inlineStr">
        <is>
          <t>B07</t>
        </is>
      </c>
      <c r="H1538" s="16" t="inlineStr">
        <is>
          <t>lhs</t>
        </is>
      </c>
      <c r="I1538" s="16" t="inlineStr">
        <is>
          <t>KALINA</t>
        </is>
      </c>
      <c r="J1538" s="16" t="inlineStr">
        <is>
          <t>KALINA</t>
        </is>
      </c>
      <c r="K1538" s="16" t="b">
        <v>1</v>
      </c>
      <c r="L1538" s="16" t="b">
        <v>1</v>
      </c>
      <c r="M1538" s="16" t="b">
        <v>0</v>
      </c>
      <c r="N1538" s="16" t="b">
        <v>0</v>
      </c>
      <c r="O1538" s="16" t="n">
        <v>416.7795161817627</v>
      </c>
      <c r="P1538" s="16" t="n">
        <v>286.0596338799718</v>
      </c>
      <c r="Q1538" s="16" t="n">
        <v>3547.150641998355</v>
      </c>
      <c r="R1538" s="16" t="n">
        <v>546.9716749659381</v>
      </c>
      <c r="S1538" s="16" t="n">
        <v>0.5108428268721068</v>
      </c>
      <c r="T1538" s="16" t="n">
        <v>0.9095136432103156</v>
      </c>
      <c r="U1538" s="16" t="n">
        <v>0.8737967860880209</v>
      </c>
      <c r="V1538" s="16" t="n">
        <v>0.6372344312434328</v>
      </c>
      <c r="W1538" s="16" t="n">
        <v>0.6225421125576419</v>
      </c>
      <c r="X1538" s="16" t="n">
        <v>0.7175845374990458</v>
      </c>
      <c r="Y1538" s="16" t="n">
        <v>286.0596338799718</v>
      </c>
      <c r="Z1538" s="16" t="n">
        <v>7.78013947113968</v>
      </c>
      <c r="AA1538" s="16" t="n">
        <v>26.01588858495738</v>
      </c>
      <c r="AB1538" s="16" t="n">
        <v>3000.178967032417</v>
      </c>
      <c r="AC1538" s="16" t="n">
        <v>6.485071904718374</v>
      </c>
      <c r="AD1538" s="16" t="n"/>
      <c r="AE1538" s="16" t="n"/>
    </row>
    <row r="1539">
      <c r="A1539" s="16" t="inlineStr">
        <is>
          <t>KF-M04b-0167</t>
        </is>
      </c>
      <c r="B1539" s="16" t="inlineStr">
        <is>
          <t>3.2</t>
        </is>
      </c>
      <c r="C1539" s="16" t="inlineStr">
        <is>
          <t>3.2</t>
        </is>
      </c>
      <c r="D1539" s="16" t="inlineStr">
        <is>
          <t>muestra de 200 puntos</t>
        </is>
      </c>
      <c r="E1539" s="16" t="inlineStr">
        <is>
          <t>KF-M04b</t>
        </is>
      </c>
      <c r="F1539" s="16" t="inlineStr">
        <is>
          <t>KF-M04b</t>
        </is>
      </c>
      <c r="G1539" s="16" t="inlineStr">
        <is>
          <t>B07</t>
        </is>
      </c>
      <c r="H1539" s="16" t="inlineStr">
        <is>
          <t>lhs</t>
        </is>
      </c>
      <c r="I1539" s="16" t="inlineStr">
        <is>
          <t>KALINA</t>
        </is>
      </c>
      <c r="J1539" s="16" t="inlineStr">
        <is>
          <t>KALINA</t>
        </is>
      </c>
      <c r="K1539" s="16" t="b">
        <v>1</v>
      </c>
      <c r="L1539" s="16" t="b">
        <v>0</v>
      </c>
      <c r="M1539" s="16" t="b">
        <v>1</v>
      </c>
      <c r="N1539" s="16" t="b">
        <v>0</v>
      </c>
      <c r="O1539" s="16" t="n">
        <v>454.1583016778496</v>
      </c>
      <c r="P1539" s="16" t="n">
        <v>284.1159655769282</v>
      </c>
      <c r="Q1539" s="16" t="n">
        <v>2046.947027378186</v>
      </c>
      <c r="R1539" s="16" t="n">
        <v>1280.658961349689</v>
      </c>
      <c r="S1539" s="16" t="n">
        <v>0.5844899170621963</v>
      </c>
      <c r="T1539" s="16" t="n">
        <v>0.8826602548619811</v>
      </c>
      <c r="U1539" s="16" t="n">
        <v>0.8910199078653952</v>
      </c>
      <c r="V1539" s="16" t="n">
        <v>0.8043144210450551</v>
      </c>
      <c r="W1539" s="16" t="n">
        <v>0.6429578724860098</v>
      </c>
      <c r="X1539" s="16" t="n">
        <v>0.9319729820779789</v>
      </c>
      <c r="Y1539" s="16" t="n">
        <v>284.1159655769282</v>
      </c>
      <c r="Z1539" s="16" t="n">
        <v>3.61202774394704</v>
      </c>
      <c r="AA1539" s="16" t="n">
        <v>61.08594514208908</v>
      </c>
      <c r="AB1539" s="16" t="n">
        <v>766.2880660284961</v>
      </c>
      <c r="AC1539" s="16" t="n">
        <v>1.598354510572357</v>
      </c>
      <c r="AD1539" s="16" t="n"/>
      <c r="AE1539" s="16" t="n"/>
    </row>
    <row r="1540">
      <c r="A1540" s="16" t="inlineStr">
        <is>
          <t>KF-M04b-0168</t>
        </is>
      </c>
      <c r="B1540" s="16" t="inlineStr">
        <is>
          <t>3.2</t>
        </is>
      </c>
      <c r="C1540" s="16" t="inlineStr">
        <is>
          <t>3.2</t>
        </is>
      </c>
      <c r="D1540" s="16" t="inlineStr">
        <is>
          <t>muestra de 200 puntos</t>
        </is>
      </c>
      <c r="E1540" s="16" t="inlineStr">
        <is>
          <t>KF-M04b</t>
        </is>
      </c>
      <c r="F1540" s="16" t="inlineStr">
        <is>
          <t>KF-M04b</t>
        </is>
      </c>
      <c r="G1540" s="16" t="inlineStr">
        <is>
          <t>B07</t>
        </is>
      </c>
      <c r="H1540" s="16" t="inlineStr">
        <is>
          <t>lhs</t>
        </is>
      </c>
      <c r="I1540" s="16" t="inlineStr">
        <is>
          <t>CORREGIBLE</t>
        </is>
      </c>
      <c r="J1540" s="16" t="inlineStr">
        <is>
          <t>CORREGIBLE</t>
        </is>
      </c>
      <c r="K1540" s="16" t="b">
        <v>1</v>
      </c>
      <c r="L1540" s="16" t="b">
        <v>0</v>
      </c>
      <c r="M1540" s="16" t="b">
        <v>0</v>
      </c>
      <c r="N1540" s="16" t="b">
        <v>0</v>
      </c>
      <c r="O1540" s="16" t="n">
        <v>410.6961152136475</v>
      </c>
      <c r="P1540" s="16" t="n">
        <v>299.114468528225</v>
      </c>
      <c r="Q1540" s="16" t="n">
        <v>4519.552970682784</v>
      </c>
      <c r="R1540" s="16" t="n">
        <v>488.1157247359498</v>
      </c>
      <c r="S1540" s="16" t="n">
        <v>0.6970610872520835</v>
      </c>
      <c r="T1540" s="16" t="n">
        <v>0.8542706001302639</v>
      </c>
      <c r="U1540" s="16" t="n">
        <v>0.7685507133916438</v>
      </c>
      <c r="V1540" s="16" t="n">
        <v>0.7337161273557422</v>
      </c>
      <c r="W1540" s="16" t="n">
        <v>0.6740437479193349</v>
      </c>
      <c r="X1540" s="16" t="n">
        <v>0.914893557594806</v>
      </c>
      <c r="Y1540" s="16" t="n">
        <v>299.114468528225</v>
      </c>
      <c r="Z1540" s="16" t="n">
        <v>3.20268036373081</v>
      </c>
      <c r="AA1540" s="16" t="n">
        <v>11.417377230635</v>
      </c>
      <c r="AB1540" s="16" t="n">
        <v>4031.437245946834</v>
      </c>
      <c r="AC1540" s="16" t="n">
        <v>9.259183307662692</v>
      </c>
      <c r="AD1540" s="16" t="inlineStr">
        <is>
          <t>O2</t>
        </is>
      </c>
      <c r="AE1540" s="16" t="n"/>
    </row>
    <row r="1541">
      <c r="A1541" s="16" t="inlineStr">
        <is>
          <t>KF-M04b-0169</t>
        </is>
      </c>
      <c r="B1541" s="16" t="inlineStr">
        <is>
          <t>3.2</t>
        </is>
      </c>
      <c r="C1541" s="16" t="inlineStr">
        <is>
          <t>3.2</t>
        </is>
      </c>
      <c r="D1541" s="16" t="inlineStr">
        <is>
          <t>muestra de 200 puntos</t>
        </is>
      </c>
      <c r="E1541" s="16" t="inlineStr">
        <is>
          <t>KF-M04b</t>
        </is>
      </c>
      <c r="F1541" s="16" t="inlineStr">
        <is>
          <t>KF-M04b</t>
        </is>
      </c>
      <c r="G1541" s="16" t="inlineStr">
        <is>
          <t>B07</t>
        </is>
      </c>
      <c r="H1541" s="16" t="inlineStr">
        <is>
          <t>lhs</t>
        </is>
      </c>
      <c r="I1541" s="16" t="inlineStr">
        <is>
          <t>NO_CONVERGIO</t>
        </is>
      </c>
      <c r="J1541" s="16" t="inlineStr">
        <is>
          <t>NO_CONVERGIO</t>
        </is>
      </c>
      <c r="K1541" s="16" t="b">
        <v>0</v>
      </c>
      <c r="L1541" s="16" t="b">
        <v>0</v>
      </c>
      <c r="M1541" s="16" t="b">
        <v>0</v>
      </c>
      <c r="N1541" s="16" t="b">
        <v>0</v>
      </c>
      <c r="O1541" s="16" t="n">
        <v>462.8511481132424</v>
      </c>
      <c r="P1541" s="16" t="n">
        <v>296.0809306682136</v>
      </c>
      <c r="Q1541" s="16" t="n">
        <v>4120.866544605548</v>
      </c>
      <c r="R1541" s="16" t="n">
        <v>527.0313370796946</v>
      </c>
      <c r="S1541" s="16" t="n">
        <v>0.6986921389667983</v>
      </c>
      <c r="T1541" s="16" t="n">
        <v>0.9078683323426748</v>
      </c>
      <c r="U1541" s="16" t="n">
        <v>0.8710743332337727</v>
      </c>
      <c r="V1541" s="16" t="n">
        <v>0.7806409453804873</v>
      </c>
      <c r="W1541" s="16" t="n">
        <v>0.7280070943781979</v>
      </c>
      <c r="X1541" s="16" t="n">
        <v>0.8466538649576061</v>
      </c>
      <c r="Y1541" s="16" t="n">
        <v>296.0809306682136</v>
      </c>
      <c r="Z1541" s="16" t="n"/>
      <c r="AA1541" s="16" t="n"/>
      <c r="AB1541" s="16" t="n">
        <v>3593.835207525853</v>
      </c>
      <c r="AC1541" s="16" t="n">
        <v>7.819016165982584</v>
      </c>
      <c r="AD1541" s="16" t="n"/>
      <c r="AE1541" s="16" t="n"/>
    </row>
    <row r="1542">
      <c r="A1542" s="16" t="inlineStr">
        <is>
          <t>KF-M04b-0170</t>
        </is>
      </c>
      <c r="B1542" s="16" t="inlineStr">
        <is>
          <t>3.2</t>
        </is>
      </c>
      <c r="C1542" s="16" t="inlineStr">
        <is>
          <t>3.2</t>
        </is>
      </c>
      <c r="D1542" s="16" t="inlineStr">
        <is>
          <t>muestra de 200 puntos</t>
        </is>
      </c>
      <c r="E1542" s="16" t="inlineStr">
        <is>
          <t>KF-M04b</t>
        </is>
      </c>
      <c r="F1542" s="16" t="inlineStr">
        <is>
          <t>KF-M04b</t>
        </is>
      </c>
      <c r="G1542" s="16" t="inlineStr">
        <is>
          <t>B07</t>
        </is>
      </c>
      <c r="H1542" s="16" t="inlineStr">
        <is>
          <t>lhs</t>
        </is>
      </c>
      <c r="I1542" s="16" t="inlineStr">
        <is>
          <t>KALINA</t>
        </is>
      </c>
      <c r="J1542" s="16" t="inlineStr">
        <is>
          <t>KALINA</t>
        </is>
      </c>
      <c r="K1542" s="16" t="b">
        <v>1</v>
      </c>
      <c r="L1542" s="16" t="b">
        <v>0</v>
      </c>
      <c r="M1542" s="16" t="b">
        <v>1</v>
      </c>
      <c r="N1542" s="16" t="b">
        <v>0</v>
      </c>
      <c r="O1542" s="16" t="n">
        <v>440.2731781034814</v>
      </c>
      <c r="P1542" s="16" t="n">
        <v>282.9501882440261</v>
      </c>
      <c r="Q1542" s="16" t="n">
        <v>3834.173673035498</v>
      </c>
      <c r="R1542" s="16" t="n">
        <v>1150.635832573309</v>
      </c>
      <c r="S1542" s="16" t="n">
        <v>0.6420586981000159</v>
      </c>
      <c r="T1542" s="16" t="n">
        <v>0.7965044704681661</v>
      </c>
      <c r="U1542" s="16" t="n">
        <v>0.7658148027334306</v>
      </c>
      <c r="V1542" s="16" t="n">
        <v>0.9205889747093788</v>
      </c>
      <c r="W1542" s="16" t="n">
        <v>0.927650748337588</v>
      </c>
      <c r="X1542" s="16" t="n">
        <v>0.8789548877363722</v>
      </c>
      <c r="Y1542" s="16" t="n">
        <v>282.9501882440261</v>
      </c>
      <c r="Z1542" s="16" t="n">
        <v>8.81519632600566</v>
      </c>
      <c r="AA1542" s="16" t="n">
        <v>92.22619640764448</v>
      </c>
      <c r="AB1542" s="16" t="n">
        <v>2683.53784046219</v>
      </c>
      <c r="AC1542" s="16" t="n">
        <v>3.332221685170941</v>
      </c>
      <c r="AD1542" s="16" t="n"/>
      <c r="AE1542" s="16" t="n"/>
    </row>
    <row r="1543">
      <c r="A1543" s="16" t="inlineStr">
        <is>
          <t>KF-M04b-0171</t>
        </is>
      </c>
      <c r="B1543" s="16" t="inlineStr">
        <is>
          <t>3.2</t>
        </is>
      </c>
      <c r="C1543" s="16" t="inlineStr">
        <is>
          <t>3.2</t>
        </is>
      </c>
      <c r="D1543" s="16" t="inlineStr">
        <is>
          <t>muestra de 200 puntos</t>
        </is>
      </c>
      <c r="E1543" s="16" t="inlineStr">
        <is>
          <t>KF-M04b</t>
        </is>
      </c>
      <c r="F1543" s="16" t="inlineStr">
        <is>
          <t>KF-M04b</t>
        </is>
      </c>
      <c r="G1543" s="16" t="inlineStr">
        <is>
          <t>B07</t>
        </is>
      </c>
      <c r="H1543" s="16" t="inlineStr">
        <is>
          <t>lhs</t>
        </is>
      </c>
      <c r="I1543" s="16" t="inlineStr">
        <is>
          <t>CORREGIBLE</t>
        </is>
      </c>
      <c r="J1543" s="16" t="inlineStr">
        <is>
          <t>CORREGIBLE</t>
        </is>
      </c>
      <c r="K1543" s="16" t="b">
        <v>1</v>
      </c>
      <c r="L1543" s="16" t="b">
        <v>0</v>
      </c>
      <c r="M1543" s="16" t="b">
        <v>1</v>
      </c>
      <c r="N1543" s="16" t="b">
        <v>0</v>
      </c>
      <c r="O1543" s="16" t="n">
        <v>480.0392375515158</v>
      </c>
      <c r="P1543" s="16" t="n">
        <v>279.4725137593469</v>
      </c>
      <c r="Q1543" s="16" t="n">
        <v>4145.887674295072</v>
      </c>
      <c r="R1543" s="16" t="n">
        <v>1240.754443539701</v>
      </c>
      <c r="S1543" s="16" t="n">
        <v>0.7855508584235484</v>
      </c>
      <c r="T1543" s="16" t="n">
        <v>0.8024966575233494</v>
      </c>
      <c r="U1543" s="16" t="n">
        <v>0.7372822136900301</v>
      </c>
      <c r="V1543" s="16" t="n">
        <v>0.8330443128284675</v>
      </c>
      <c r="W1543" s="16" t="n">
        <v>0.7812803337039018</v>
      </c>
      <c r="X1543" s="16" t="n">
        <v>0.7908207791285984</v>
      </c>
      <c r="Y1543" s="16" t="n">
        <v>279.4725137593469</v>
      </c>
      <c r="Z1543" s="16" t="n">
        <v>9.74190167406446</v>
      </c>
      <c r="AA1543" s="16" t="n">
        <v>134.1409248826088</v>
      </c>
      <c r="AB1543" s="16" t="n">
        <v>2905.133230755371</v>
      </c>
      <c r="AC1543" s="16" t="n">
        <v>3.34142480478847</v>
      </c>
      <c r="AD1543" s="16" t="inlineStr">
        <is>
          <t>O2</t>
        </is>
      </c>
      <c r="AE1543" s="16" t="n"/>
    </row>
    <row r="1544">
      <c r="A1544" s="16" t="inlineStr">
        <is>
          <t>KF-M04b-0172</t>
        </is>
      </c>
      <c r="B1544" s="16" t="inlineStr">
        <is>
          <t>3.2</t>
        </is>
      </c>
      <c r="C1544" s="16" t="inlineStr">
        <is>
          <t>3.2</t>
        </is>
      </c>
      <c r="D1544" s="16" t="inlineStr">
        <is>
          <t>muestra de 200 puntos</t>
        </is>
      </c>
      <c r="E1544" s="16" t="inlineStr">
        <is>
          <t>KF-M04b</t>
        </is>
      </c>
      <c r="F1544" s="16" t="inlineStr">
        <is>
          <t>KF-M04b</t>
        </is>
      </c>
      <c r="G1544" s="16" t="inlineStr">
        <is>
          <t>B07</t>
        </is>
      </c>
      <c r="H1544" s="16" t="inlineStr">
        <is>
          <t>lhs</t>
        </is>
      </c>
      <c r="I1544" s="16" t="inlineStr">
        <is>
          <t>KALINA</t>
        </is>
      </c>
      <c r="J1544" s="16" t="inlineStr">
        <is>
          <t>KALINA</t>
        </is>
      </c>
      <c r="K1544" s="16" t="b">
        <v>1</v>
      </c>
      <c r="L1544" s="16" t="b">
        <v>0</v>
      </c>
      <c r="M1544" s="16" t="b">
        <v>1</v>
      </c>
      <c r="N1544" s="16" t="b">
        <v>0</v>
      </c>
      <c r="O1544" s="16" t="n">
        <v>458.24818958148</v>
      </c>
      <c r="P1544" s="16" t="n">
        <v>289.592376733426</v>
      </c>
      <c r="Q1544" s="16" t="n">
        <v>3876.840930918905</v>
      </c>
      <c r="R1544" s="16" t="n">
        <v>1413.172395788022</v>
      </c>
      <c r="S1544" s="16" t="n">
        <v>0.7050828901064928</v>
      </c>
      <c r="T1544" s="16" t="n">
        <v>0.8527672727512298</v>
      </c>
      <c r="U1544" s="16" t="n">
        <v>0.7278800513988755</v>
      </c>
      <c r="V1544" s="16" t="n">
        <v>0.945635539786532</v>
      </c>
      <c r="W1544" s="16" t="n">
        <v>0.6501641702402943</v>
      </c>
      <c r="X1544" s="16" t="n">
        <v>0.9451285601180408</v>
      </c>
      <c r="Y1544" s="16" t="n">
        <v>289.592376733426</v>
      </c>
      <c r="Z1544" s="16" t="n">
        <v>7.803098599929161</v>
      </c>
      <c r="AA1544" s="16" t="n">
        <v>135.4879326635395</v>
      </c>
      <c r="AB1544" s="16" t="n">
        <v>2463.668535130884</v>
      </c>
      <c r="AC1544" s="16" t="n">
        <v>2.743360217390234</v>
      </c>
      <c r="AD1544" s="16" t="n"/>
      <c r="AE1544" s="16" t="n"/>
    </row>
    <row r="1545">
      <c r="A1545" s="16" t="inlineStr">
        <is>
          <t>KF-M04b-0173</t>
        </is>
      </c>
      <c r="B1545" s="16" t="inlineStr">
        <is>
          <t>3.2</t>
        </is>
      </c>
      <c r="C1545" s="16" t="inlineStr">
        <is>
          <t>3.2</t>
        </is>
      </c>
      <c r="D1545" s="16" t="inlineStr">
        <is>
          <t>muestra de 200 puntos</t>
        </is>
      </c>
      <c r="E1545" s="16" t="inlineStr">
        <is>
          <t>KF-M04b</t>
        </is>
      </c>
      <c r="F1545" s="16" t="inlineStr">
        <is>
          <t>KF-M04b</t>
        </is>
      </c>
      <c r="G1545" s="16" t="inlineStr">
        <is>
          <t>B07</t>
        </is>
      </c>
      <c r="H1545" s="16" t="inlineStr">
        <is>
          <t>lhs</t>
        </is>
      </c>
      <c r="I1545" s="16" t="inlineStr">
        <is>
          <t>KALINA</t>
        </is>
      </c>
      <c r="J1545" s="16" t="inlineStr">
        <is>
          <t>KALINA</t>
        </is>
      </c>
      <c r="K1545" s="16" t="b">
        <v>1</v>
      </c>
      <c r="L1545" s="16" t="b">
        <v>1</v>
      </c>
      <c r="M1545" s="16" t="b">
        <v>0</v>
      </c>
      <c r="N1545" s="16" t="b">
        <v>0</v>
      </c>
      <c r="O1545" s="16" t="n">
        <v>389.2318753591857</v>
      </c>
      <c r="P1545" s="16" t="n">
        <v>278.8335129218995</v>
      </c>
      <c r="Q1545" s="16" t="n">
        <v>3416.920064932184</v>
      </c>
      <c r="R1545" s="16" t="n">
        <v>1245.228726760481</v>
      </c>
      <c r="S1545" s="16" t="n">
        <v>0.7597533184686796</v>
      </c>
      <c r="T1545" s="16" t="n">
        <v>0.7516408764698431</v>
      </c>
      <c r="U1545" s="16" t="n">
        <v>0.7381747671119719</v>
      </c>
      <c r="V1545" s="16" t="n">
        <v>0.7711778627398528</v>
      </c>
      <c r="W1545" s="16" t="n">
        <v>0.9012623066684242</v>
      </c>
      <c r="X1545" s="16" t="n">
        <v>0.837871782769316</v>
      </c>
      <c r="Y1545" s="16" t="n">
        <v>278.8335129218995</v>
      </c>
      <c r="Z1545" s="16" t="n">
        <v>7.02456387137891</v>
      </c>
      <c r="AA1545" s="16" t="n">
        <v>41.60033783731254</v>
      </c>
      <c r="AB1545" s="16" t="n">
        <v>2171.691338171703</v>
      </c>
      <c r="AC1545" s="16" t="n">
        <v>2.74400998908968</v>
      </c>
      <c r="AD1545" s="16" t="n"/>
      <c r="AE1545" s="16" t="n"/>
    </row>
    <row r="1546">
      <c r="A1546" s="16" t="inlineStr">
        <is>
          <t>KF-M04b-0174</t>
        </is>
      </c>
      <c r="B1546" s="16" t="inlineStr">
        <is>
          <t>3.2</t>
        </is>
      </c>
      <c r="C1546" s="16" t="inlineStr">
        <is>
          <t>3.2</t>
        </is>
      </c>
      <c r="D1546" s="16" t="inlineStr">
        <is>
          <t>muestra de 200 puntos</t>
        </is>
      </c>
      <c r="E1546" s="16" t="inlineStr">
        <is>
          <t>KF-M04b</t>
        </is>
      </c>
      <c r="F1546" s="16" t="inlineStr">
        <is>
          <t>KF-M04b</t>
        </is>
      </c>
      <c r="G1546" s="16" t="inlineStr">
        <is>
          <t>B07</t>
        </is>
      </c>
      <c r="H1546" s="16" t="inlineStr">
        <is>
          <t>lhs</t>
        </is>
      </c>
      <c r="I1546" s="16" t="inlineStr">
        <is>
          <t>CORREGIBLE</t>
        </is>
      </c>
      <c r="J1546" s="16" t="inlineStr">
        <is>
          <t>CORREGIBLE</t>
        </is>
      </c>
      <c r="K1546" s="16" t="b">
        <v>1</v>
      </c>
      <c r="L1546" s="16" t="b">
        <v>0</v>
      </c>
      <c r="M1546" s="16" t="b">
        <v>1</v>
      </c>
      <c r="N1546" s="16" t="b">
        <v>0</v>
      </c>
      <c r="O1546" s="16" t="n">
        <v>457.5001050452224</v>
      </c>
      <c r="P1546" s="16" t="n">
        <v>296.725699367502</v>
      </c>
      <c r="Q1546" s="16" t="n">
        <v>3938.333618433051</v>
      </c>
      <c r="R1546" s="16" t="n">
        <v>1233.348173165551</v>
      </c>
      <c r="S1546" s="16" t="n">
        <v>0.757052013558474</v>
      </c>
      <c r="T1546" s="16" t="n">
        <v>0.8285666750212526</v>
      </c>
      <c r="U1546" s="16" t="n">
        <v>0.818731099641108</v>
      </c>
      <c r="V1546" s="16" t="n">
        <v>0.9374503284664994</v>
      </c>
      <c r="W1546" s="16" t="n">
        <v>0.929634325496226</v>
      </c>
      <c r="X1546" s="16" t="n">
        <v>0.7204063486277248</v>
      </c>
      <c r="Y1546" s="16" t="n">
        <v>296.725699367502</v>
      </c>
      <c r="Z1546" s="16" t="n">
        <v>8.604528209493759</v>
      </c>
      <c r="AA1546" s="16" t="n">
        <v>113.0401914769856</v>
      </c>
      <c r="AB1546" s="16" t="n">
        <v>2704.9854452675</v>
      </c>
      <c r="AC1546" s="16" t="n">
        <v>3.193205052815538</v>
      </c>
      <c r="AD1546" s="16" t="inlineStr">
        <is>
          <t>O2</t>
        </is>
      </c>
      <c r="AE1546" s="16" t="n"/>
    </row>
    <row r="1547">
      <c r="A1547" s="16" t="inlineStr">
        <is>
          <t>KF-M04b-0175</t>
        </is>
      </c>
      <c r="B1547" s="16" t="inlineStr">
        <is>
          <t>3.2</t>
        </is>
      </c>
      <c r="C1547" s="16" t="inlineStr">
        <is>
          <t>3.2</t>
        </is>
      </c>
      <c r="D1547" s="16" t="inlineStr">
        <is>
          <t>muestra de 200 puntos</t>
        </is>
      </c>
      <c r="E1547" s="16" t="inlineStr">
        <is>
          <t>KF-M04b</t>
        </is>
      </c>
      <c r="F1547" s="16" t="inlineStr">
        <is>
          <t>KF-M04b</t>
        </is>
      </c>
      <c r="G1547" s="16" t="inlineStr">
        <is>
          <t>B07</t>
        </is>
      </c>
      <c r="H1547" s="16" t="inlineStr">
        <is>
          <t>lhs</t>
        </is>
      </c>
      <c r="I1547" s="16" t="inlineStr">
        <is>
          <t>CORREGIBLE</t>
        </is>
      </c>
      <c r="J1547" s="16" t="inlineStr">
        <is>
          <t>CORREGIBLE</t>
        </is>
      </c>
      <c r="K1547" s="16" t="b">
        <v>1</v>
      </c>
      <c r="L1547" s="16" t="b">
        <v>0</v>
      </c>
      <c r="M1547" s="16" t="b">
        <v>0</v>
      </c>
      <c r="N1547" s="16" t="b">
        <v>0</v>
      </c>
      <c r="O1547" s="16" t="n">
        <v>434.4453494010097</v>
      </c>
      <c r="P1547" s="16" t="n">
        <v>283.5674584746307</v>
      </c>
      <c r="Q1547" s="16" t="n">
        <v>4977.044106507237</v>
      </c>
      <c r="R1547" s="16" t="n">
        <v>887.9396816713631</v>
      </c>
      <c r="S1547" s="16" t="n">
        <v>0.7018364754333274</v>
      </c>
      <c r="T1547" s="16" t="n">
        <v>0.8333279127072195</v>
      </c>
      <c r="U1547" s="16" t="n">
        <v>0.7295637445942526</v>
      </c>
      <c r="V1547" s="16" t="n">
        <v>0.7366614819534509</v>
      </c>
      <c r="W1547" s="16" t="n">
        <v>0.6560669114491485</v>
      </c>
      <c r="X1547" s="16" t="n">
        <v>0.7452686343424072</v>
      </c>
      <c r="Y1547" s="16" t="n">
        <v>283.5674584746307</v>
      </c>
      <c r="Z1547" s="16" t="n">
        <v>12.30566365233746</v>
      </c>
      <c r="AA1547" s="16" t="n">
        <v>87.78800769528797</v>
      </c>
      <c r="AB1547" s="16" t="n">
        <v>4089.104424835874</v>
      </c>
      <c r="AC1547" s="16" t="n">
        <v>5.605160135583736</v>
      </c>
      <c r="AD1547" s="16" t="inlineStr">
        <is>
          <t>O2</t>
        </is>
      </c>
      <c r="AE1547" s="16" t="n"/>
    </row>
    <row r="1548">
      <c r="A1548" s="16" t="inlineStr">
        <is>
          <t>KF-M04b-0176</t>
        </is>
      </c>
      <c r="B1548" s="16" t="inlineStr">
        <is>
          <t>3.2</t>
        </is>
      </c>
      <c r="C1548" s="16" t="inlineStr">
        <is>
          <t>3.2</t>
        </is>
      </c>
      <c r="D1548" s="16" t="inlineStr">
        <is>
          <t>muestra de 200 puntos</t>
        </is>
      </c>
      <c r="E1548" s="16" t="inlineStr">
        <is>
          <t>KF-M04b</t>
        </is>
      </c>
      <c r="F1548" s="16" t="inlineStr">
        <is>
          <t>KF-M04b</t>
        </is>
      </c>
      <c r="G1548" s="16" t="inlineStr">
        <is>
          <t>B07</t>
        </is>
      </c>
      <c r="H1548" s="16" t="inlineStr">
        <is>
          <t>lhs</t>
        </is>
      </c>
      <c r="I1548" s="16" t="inlineStr">
        <is>
          <t>KALINA</t>
        </is>
      </c>
      <c r="J1548" s="16" t="inlineStr">
        <is>
          <t>KALINA</t>
        </is>
      </c>
      <c r="K1548" s="16" t="b">
        <v>1</v>
      </c>
      <c r="L1548" s="16" t="b">
        <v>1</v>
      </c>
      <c r="M1548" s="16" t="b">
        <v>0</v>
      </c>
      <c r="N1548" s="16" t="b">
        <v>0</v>
      </c>
      <c r="O1548" s="16" t="n">
        <v>390.1543459973672</v>
      </c>
      <c r="P1548" s="16" t="n">
        <v>291.6978679529486</v>
      </c>
      <c r="Q1548" s="16" t="n">
        <v>4618.005423446417</v>
      </c>
      <c r="R1548" s="16" t="n">
        <v>1275.004073771255</v>
      </c>
      <c r="S1548" s="16" t="n">
        <v>0.79298242659503</v>
      </c>
      <c r="T1548" s="16" t="n">
        <v>0.8421106513034227</v>
      </c>
      <c r="U1548" s="16" t="n">
        <v>0.6946353868407199</v>
      </c>
      <c r="V1548" s="16" t="n">
        <v>0.6261821020860203</v>
      </c>
      <c r="W1548" s="16" t="n">
        <v>0.6041554636199556</v>
      </c>
      <c r="X1548" s="16" t="n">
        <v>0.939197544292364</v>
      </c>
      <c r="Y1548" s="16" t="n">
        <v>291.6978679529486</v>
      </c>
      <c r="Z1548" s="16" t="n">
        <v>6.515064899995029</v>
      </c>
      <c r="AA1548" s="16" t="n">
        <v>28.76576947296192</v>
      </c>
      <c r="AB1548" s="16" t="n">
        <v>3343.001349675162</v>
      </c>
      <c r="AC1548" s="16" t="n">
        <v>3.621953465440393</v>
      </c>
      <c r="AD1548" s="16" t="n"/>
      <c r="AE1548" s="16" t="n"/>
    </row>
    <row r="1549">
      <c r="A1549" s="16" t="inlineStr">
        <is>
          <t>KF-M04b-0177</t>
        </is>
      </c>
      <c r="B1549" s="16" t="inlineStr">
        <is>
          <t>3.2</t>
        </is>
      </c>
      <c r="C1549" s="16" t="inlineStr">
        <is>
          <t>3.2</t>
        </is>
      </c>
      <c r="D1549" s="16" t="inlineStr">
        <is>
          <t>muestra de 200 puntos</t>
        </is>
      </c>
      <c r="E1549" s="16" t="inlineStr">
        <is>
          <t>KF-M04b</t>
        </is>
      </c>
      <c r="F1549" s="16" t="inlineStr">
        <is>
          <t>KF-M04b</t>
        </is>
      </c>
      <c r="G1549" s="16" t="inlineStr">
        <is>
          <t>B07</t>
        </is>
      </c>
      <c r="H1549" s="16" t="inlineStr">
        <is>
          <t>lhs</t>
        </is>
      </c>
      <c r="I1549" s="16" t="inlineStr">
        <is>
          <t>CORREGIBLE</t>
        </is>
      </c>
      <c r="J1549" s="16" t="inlineStr">
        <is>
          <t>CORREGIBLE</t>
        </is>
      </c>
      <c r="K1549" s="16" t="b">
        <v>1</v>
      </c>
      <c r="L1549" s="16" t="b">
        <v>0</v>
      </c>
      <c r="M1549" s="16" t="b">
        <v>1</v>
      </c>
      <c r="N1549" s="16" t="b">
        <v>0</v>
      </c>
      <c r="O1549" s="16" t="n">
        <v>492.5493337836681</v>
      </c>
      <c r="P1549" s="16" t="n">
        <v>280.3329749953295</v>
      </c>
      <c r="Q1549" s="16" t="n">
        <v>4663.407950127952</v>
      </c>
      <c r="R1549" s="16" t="n">
        <v>841.0457733940583</v>
      </c>
      <c r="S1549" s="16" t="n">
        <v>0.685689918604843</v>
      </c>
      <c r="T1549" s="16" t="n">
        <v>0.8695517013828283</v>
      </c>
      <c r="U1549" s="16" t="n">
        <v>0.7424087701884761</v>
      </c>
      <c r="V1549" s="16" t="n">
        <v>0.6737100162714326</v>
      </c>
      <c r="W1549" s="16" t="n">
        <v>0.7498167042213643</v>
      </c>
      <c r="X1549" s="16" t="n">
        <v>0.7287068146939223</v>
      </c>
      <c r="Y1549" s="16" t="n">
        <v>280.3329749953295</v>
      </c>
      <c r="Z1549" s="16" t="n">
        <v>13.36857251988822</v>
      </c>
      <c r="AA1549" s="16" t="n">
        <v>154.1630193359441</v>
      </c>
      <c r="AB1549" s="16" t="n">
        <v>3822.362176733894</v>
      </c>
      <c r="AC1549" s="16" t="n">
        <v>5.544773064263398</v>
      </c>
      <c r="AD1549" s="16" t="inlineStr">
        <is>
          <t>O2</t>
        </is>
      </c>
      <c r="AE1549" s="16" t="n"/>
    </row>
    <row r="1550">
      <c r="A1550" s="16" t="inlineStr">
        <is>
          <t>KF-M04b-0178</t>
        </is>
      </c>
      <c r="B1550" s="16" t="inlineStr">
        <is>
          <t>3.2</t>
        </is>
      </c>
      <c r="C1550" s="16" t="inlineStr">
        <is>
          <t>3.2</t>
        </is>
      </c>
      <c r="D1550" s="16" t="inlineStr">
        <is>
          <t>muestra de 200 puntos</t>
        </is>
      </c>
      <c r="E1550" s="16" t="inlineStr">
        <is>
          <t>KF-M04b</t>
        </is>
      </c>
      <c r="F1550" s="16" t="inlineStr">
        <is>
          <t>KF-M04b</t>
        </is>
      </c>
      <c r="G1550" s="16" t="inlineStr">
        <is>
          <t>B07</t>
        </is>
      </c>
      <c r="H1550" s="16" t="inlineStr">
        <is>
          <t>lhs</t>
        </is>
      </c>
      <c r="I1550" s="16" t="inlineStr">
        <is>
          <t>CORREGIBLE</t>
        </is>
      </c>
      <c r="J1550" s="16" t="inlineStr">
        <is>
          <t>CORREGIBLE</t>
        </is>
      </c>
      <c r="K1550" s="16" t="b">
        <v>1</v>
      </c>
      <c r="L1550" s="16" t="b">
        <v>0</v>
      </c>
      <c r="M1550" s="16" t="b">
        <v>0</v>
      </c>
      <c r="N1550" s="16" t="b">
        <v>0</v>
      </c>
      <c r="O1550" s="16" t="n">
        <v>399.4557273742422</v>
      </c>
      <c r="P1550" s="16" t="n">
        <v>280.8967472316744</v>
      </c>
      <c r="Q1550" s="16" t="n">
        <v>3079.970124219652</v>
      </c>
      <c r="R1550" s="16" t="n">
        <v>569.7640411257477</v>
      </c>
      <c r="S1550" s="16" t="n">
        <v>0.5973346917008427</v>
      </c>
      <c r="T1550" s="16" t="n">
        <v>0.8969903906138067</v>
      </c>
      <c r="U1550" s="16" t="n">
        <v>0.6509198421423426</v>
      </c>
      <c r="V1550" s="16" t="n">
        <v>0.8954361879889718</v>
      </c>
      <c r="W1550" s="16" t="n">
        <v>0.9339170055932358</v>
      </c>
      <c r="X1550" s="16" t="n">
        <v>0.7382746858607905</v>
      </c>
      <c r="Y1550" s="16" t="n">
        <v>280.8967472316744</v>
      </c>
      <c r="Z1550" s="16" t="n">
        <v>13.13587797983928</v>
      </c>
      <c r="AA1550" s="16" t="n">
        <v>59.99047615282109</v>
      </c>
      <c r="AB1550" s="16" t="n">
        <v>2510.206083093904</v>
      </c>
      <c r="AC1550" s="16" t="n">
        <v>5.405694115294121</v>
      </c>
      <c r="AD1550" s="16" t="inlineStr">
        <is>
          <t>O2</t>
        </is>
      </c>
      <c r="AE1550" s="16" t="n"/>
    </row>
    <row r="1551">
      <c r="A1551" s="16" t="inlineStr">
        <is>
          <t>KF-M04b-0179</t>
        </is>
      </c>
      <c r="B1551" s="16" t="inlineStr">
        <is>
          <t>3.2</t>
        </is>
      </c>
      <c r="C1551" s="16" t="inlineStr">
        <is>
          <t>3.2</t>
        </is>
      </c>
      <c r="D1551" s="16" t="inlineStr">
        <is>
          <t>muestra de 200 puntos</t>
        </is>
      </c>
      <c r="E1551" s="16" t="inlineStr">
        <is>
          <t>KF-M04b</t>
        </is>
      </c>
      <c r="F1551" s="16" t="inlineStr">
        <is>
          <t>KF-M04b</t>
        </is>
      </c>
      <c r="G1551" s="16" t="inlineStr">
        <is>
          <t>B07</t>
        </is>
      </c>
      <c r="H1551" s="16" t="inlineStr">
        <is>
          <t>lhs</t>
        </is>
      </c>
      <c r="I1551" s="16" t="inlineStr">
        <is>
          <t>CORREGIBLE</t>
        </is>
      </c>
      <c r="J1551" s="16" t="inlineStr">
        <is>
          <t>CORREGIBLE</t>
        </is>
      </c>
      <c r="K1551" s="16" t="b">
        <v>1</v>
      </c>
      <c r="L1551" s="16" t="b">
        <v>0</v>
      </c>
      <c r="M1551" s="16" t="b">
        <v>0</v>
      </c>
      <c r="N1551" s="16" t="b">
        <v>0</v>
      </c>
      <c r="O1551" s="16" t="n">
        <v>393.3562936570744</v>
      </c>
      <c r="P1551" s="16" t="n">
        <v>293.1879647427633</v>
      </c>
      <c r="Q1551" s="16" t="n">
        <v>2587.28049139648</v>
      </c>
      <c r="R1551" s="16" t="n">
        <v>1013.86509483878</v>
      </c>
      <c r="S1551" s="16" t="n">
        <v>0.7847841016823012</v>
      </c>
      <c r="T1551" s="16" t="n">
        <v>0.8310880721811732</v>
      </c>
      <c r="U1551" s="16" t="n">
        <v>0.8103517789493251</v>
      </c>
      <c r="V1551" s="16" t="n">
        <v>0.6425250589570349</v>
      </c>
      <c r="W1551" s="16" t="n">
        <v>0.6032065568424584</v>
      </c>
      <c r="X1551" s="16" t="n">
        <v>0.7772383111419592</v>
      </c>
      <c r="Y1551" s="16" t="n">
        <v>293.1879647427633</v>
      </c>
      <c r="Z1551" s="16" t="n">
        <v>7.613153591295251</v>
      </c>
      <c r="AA1551" s="16" t="n">
        <v>48.42456907750227</v>
      </c>
      <c r="AB1551" s="16" t="n">
        <v>1573.4153965577</v>
      </c>
      <c r="AC1551" s="16" t="n">
        <v>2.551898181096665</v>
      </c>
      <c r="AD1551" s="16" t="inlineStr">
        <is>
          <t>O2</t>
        </is>
      </c>
      <c r="AE1551" s="16" t="n"/>
    </row>
    <row r="1552">
      <c r="A1552" s="16" t="inlineStr">
        <is>
          <t>KF-M04b-0180</t>
        </is>
      </c>
      <c r="B1552" s="16" t="inlineStr">
        <is>
          <t>3.2</t>
        </is>
      </c>
      <c r="C1552" s="16" t="inlineStr">
        <is>
          <t>3.2</t>
        </is>
      </c>
      <c r="D1552" s="16" t="inlineStr">
        <is>
          <t>muestra de 200 puntos</t>
        </is>
      </c>
      <c r="E1552" s="16" t="inlineStr">
        <is>
          <t>KF-M04b</t>
        </is>
      </c>
      <c r="F1552" s="16" t="inlineStr">
        <is>
          <t>KF-M04b</t>
        </is>
      </c>
      <c r="G1552" s="16" t="inlineStr">
        <is>
          <t>B07</t>
        </is>
      </c>
      <c r="H1552" s="16" t="inlineStr">
        <is>
          <t>lhs</t>
        </is>
      </c>
      <c r="I1552" s="16" t="inlineStr">
        <is>
          <t>KALINA</t>
        </is>
      </c>
      <c r="J1552" s="16" t="inlineStr">
        <is>
          <t>KALINA</t>
        </is>
      </c>
      <c r="K1552" s="16" t="b">
        <v>1</v>
      </c>
      <c r="L1552" s="16" t="b">
        <v>0</v>
      </c>
      <c r="M1552" s="16" t="b">
        <v>1</v>
      </c>
      <c r="N1552" s="16" t="b">
        <v>0</v>
      </c>
      <c r="O1552" s="16" t="n">
        <v>484.7683450267998</v>
      </c>
      <c r="P1552" s="16" t="n">
        <v>285.461392130312</v>
      </c>
      <c r="Q1552" s="16" t="n">
        <v>3199.684546717047</v>
      </c>
      <c r="R1552" s="16" t="n">
        <v>769.1235100428783</v>
      </c>
      <c r="S1552" s="16" t="n">
        <v>0.5724731943357252</v>
      </c>
      <c r="T1552" s="16" t="n">
        <v>0.7716974116551358</v>
      </c>
      <c r="U1552" s="16" t="n">
        <v>0.8672320606870144</v>
      </c>
      <c r="V1552" s="16" t="n">
        <v>0.6524619043936972</v>
      </c>
      <c r="W1552" s="16" t="n">
        <v>0.882813669767659</v>
      </c>
      <c r="X1552" s="16" t="n">
        <v>0.9173041622058538</v>
      </c>
      <c r="Y1552" s="16" t="n">
        <v>285.461392130312</v>
      </c>
      <c r="Z1552" s="16" t="n">
        <v>9.33654583245727</v>
      </c>
      <c r="AA1552" s="16" t="n">
        <v>124.4723565466827</v>
      </c>
      <c r="AB1552" s="16" t="n">
        <v>2430.561036674168</v>
      </c>
      <c r="AC1552" s="16" t="n">
        <v>4.160169992123458</v>
      </c>
      <c r="AD1552" s="16" t="n"/>
      <c r="AE1552" s="16" t="n"/>
    </row>
    <row r="1553">
      <c r="A1553" s="16" t="inlineStr">
        <is>
          <t>KF-M04b-0181</t>
        </is>
      </c>
      <c r="B1553" s="16" t="inlineStr">
        <is>
          <t>3.2</t>
        </is>
      </c>
      <c r="C1553" s="16" t="inlineStr">
        <is>
          <t>3.2</t>
        </is>
      </c>
      <c r="D1553" s="16" t="inlineStr">
        <is>
          <t>muestra de 200 puntos</t>
        </is>
      </c>
      <c r="E1553" s="16" t="inlineStr">
        <is>
          <t>KF-M04b</t>
        </is>
      </c>
      <c r="F1553" s="16" t="inlineStr">
        <is>
          <t>KF-M04b</t>
        </is>
      </c>
      <c r="G1553" s="16" t="inlineStr">
        <is>
          <t>B07</t>
        </is>
      </c>
      <c r="H1553" s="16" t="inlineStr">
        <is>
          <t>lhs</t>
        </is>
      </c>
      <c r="I1553" s="16" t="inlineStr">
        <is>
          <t>CORREGIBLE</t>
        </is>
      </c>
      <c r="J1553" s="16" t="inlineStr">
        <is>
          <t>CORREGIBLE</t>
        </is>
      </c>
      <c r="K1553" s="16" t="b">
        <v>1</v>
      </c>
      <c r="L1553" s="16" t="b">
        <v>0</v>
      </c>
      <c r="M1553" s="16" t="b">
        <v>0</v>
      </c>
      <c r="N1553" s="16" t="b">
        <v>0</v>
      </c>
      <c r="O1553" s="16" t="n">
        <v>398.3758041155251</v>
      </c>
      <c r="P1553" s="16" t="n">
        <v>281.4296374409729</v>
      </c>
      <c r="Q1553" s="16" t="n">
        <v>4421.474582446555</v>
      </c>
      <c r="R1553" s="16" t="n">
        <v>436.2132959577355</v>
      </c>
      <c r="S1553" s="16" t="n">
        <v>0.6548018604568984</v>
      </c>
      <c r="T1553" s="16" t="n">
        <v>0.8847424993071954</v>
      </c>
      <c r="U1553" s="16" t="n">
        <v>0.684882767281219</v>
      </c>
      <c r="V1553" s="16" t="n">
        <v>0.9165473487755524</v>
      </c>
      <c r="W1553" s="16" t="n">
        <v>0.9402923538982402</v>
      </c>
      <c r="X1553" s="16" t="n">
        <v>0.7629379491099502</v>
      </c>
      <c r="Y1553" s="16" t="n">
        <v>281.4296374409729</v>
      </c>
      <c r="Z1553" s="16" t="n">
        <v>15.55458340034617</v>
      </c>
      <c r="AA1553" s="16" t="n">
        <v>53.61018040055865</v>
      </c>
      <c r="AB1553" s="16" t="n">
        <v>3985.26128648882</v>
      </c>
      <c r="AC1553" s="16" t="n">
        <v>10.13603808829099</v>
      </c>
      <c r="AD1553" s="16" t="inlineStr">
        <is>
          <t>O2</t>
        </is>
      </c>
      <c r="AE1553" s="16" t="n"/>
    </row>
    <row r="1554">
      <c r="A1554" s="16" t="inlineStr">
        <is>
          <t>KF-M04b-0182</t>
        </is>
      </c>
      <c r="B1554" s="16" t="inlineStr">
        <is>
          <t>3.2</t>
        </is>
      </c>
      <c r="C1554" s="16" t="inlineStr">
        <is>
          <t>3.2</t>
        </is>
      </c>
      <c r="D1554" s="16" t="inlineStr">
        <is>
          <t>muestra de 200 puntos</t>
        </is>
      </c>
      <c r="E1554" s="16" t="inlineStr">
        <is>
          <t>KF-M04b</t>
        </is>
      </c>
      <c r="F1554" s="16" t="inlineStr">
        <is>
          <t>KF-M04b</t>
        </is>
      </c>
      <c r="G1554" s="16" t="inlineStr">
        <is>
          <t>B07</t>
        </is>
      </c>
      <c r="H1554" s="16" t="inlineStr">
        <is>
          <t>lhs</t>
        </is>
      </c>
      <c r="I1554" s="16" t="inlineStr">
        <is>
          <t>CORREGIBLE</t>
        </is>
      </c>
      <c r="J1554" s="16" t="inlineStr">
        <is>
          <t>CORREGIBLE</t>
        </is>
      </c>
      <c r="K1554" s="16" t="b">
        <v>1</v>
      </c>
      <c r="L1554" s="16" t="b">
        <v>0</v>
      </c>
      <c r="M1554" s="16" t="b">
        <v>1</v>
      </c>
      <c r="N1554" s="16" t="b">
        <v>0</v>
      </c>
      <c r="O1554" s="16" t="n">
        <v>439.4566563168345</v>
      </c>
      <c r="P1554" s="16" t="n">
        <v>298.1997871104812</v>
      </c>
      <c r="Q1554" s="16" t="n">
        <v>2855.587170748473</v>
      </c>
      <c r="R1554" s="16" t="n">
        <v>767.0431789487776</v>
      </c>
      <c r="S1554" s="16" t="n">
        <v>0.5572708938120979</v>
      </c>
      <c r="T1554" s="16" t="n">
        <v>0.918619466224385</v>
      </c>
      <c r="U1554" s="16" t="n">
        <v>0.775732205685845</v>
      </c>
      <c r="V1554" s="16" t="n">
        <v>0.8557916266288472</v>
      </c>
      <c r="W1554" s="16" t="n">
        <v>0.8565995350543445</v>
      </c>
      <c r="X1554" s="16" t="n">
        <v>0.7919351667229676</v>
      </c>
      <c r="Y1554" s="16" t="n">
        <v>298.1997871104812</v>
      </c>
      <c r="Z1554" s="16" t="n">
        <v>10.95563560051162</v>
      </c>
      <c r="AA1554" s="16" t="n">
        <v>100.1659856417039</v>
      </c>
      <c r="AB1554" s="16" t="n">
        <v>2088.543991799696</v>
      </c>
      <c r="AC1554" s="16" t="n">
        <v>3.722850615348691</v>
      </c>
      <c r="AD1554" s="16" t="inlineStr">
        <is>
          <t>O2</t>
        </is>
      </c>
      <c r="AE1554" s="16" t="n"/>
    </row>
    <row r="1555">
      <c r="A1555" s="16" t="inlineStr">
        <is>
          <t>KF-M04b-0183</t>
        </is>
      </c>
      <c r="B1555" s="16" t="inlineStr">
        <is>
          <t>3.2</t>
        </is>
      </c>
      <c r="C1555" s="16" t="inlineStr">
        <is>
          <t>3.2</t>
        </is>
      </c>
      <c r="D1555" s="16" t="inlineStr">
        <is>
          <t>muestra de 200 puntos</t>
        </is>
      </c>
      <c r="E1555" s="16" t="inlineStr">
        <is>
          <t>KF-M04b</t>
        </is>
      </c>
      <c r="F1555" s="16" t="inlineStr">
        <is>
          <t>KF-M04b</t>
        </is>
      </c>
      <c r="G1555" s="16" t="inlineStr">
        <is>
          <t>B07</t>
        </is>
      </c>
      <c r="H1555" s="16" t="inlineStr">
        <is>
          <t>lhs</t>
        </is>
      </c>
      <c r="I1555" s="16" t="inlineStr">
        <is>
          <t>CORREGIBLE</t>
        </is>
      </c>
      <c r="J1555" s="16" t="inlineStr">
        <is>
          <t>CORREGIBLE</t>
        </is>
      </c>
      <c r="K1555" s="16" t="b">
        <v>1</v>
      </c>
      <c r="L1555" s="16" t="b">
        <v>0</v>
      </c>
      <c r="M1555" s="16" t="b">
        <v>0</v>
      </c>
      <c r="N1555" s="16" t="b">
        <v>0</v>
      </c>
      <c r="O1555" s="16" t="n">
        <v>422.0146889680343</v>
      </c>
      <c r="P1555" s="16" t="n">
        <v>294.2090012348785</v>
      </c>
      <c r="Q1555" s="16" t="n">
        <v>3241.530694083611</v>
      </c>
      <c r="R1555" s="16" t="n">
        <v>1213.870757203076</v>
      </c>
      <c r="S1555" s="16" t="n">
        <v>0.7520275743054916</v>
      </c>
      <c r="T1555" s="16" t="n">
        <v>0.8747911903229773</v>
      </c>
      <c r="U1555" s="16" t="n">
        <v>0.7825122906910151</v>
      </c>
      <c r="V1555" s="16" t="n">
        <v>0.9017010140915503</v>
      </c>
      <c r="W1555" s="16" t="n">
        <v>0.8127164669238599</v>
      </c>
      <c r="X1555" s="16" t="n">
        <v>0.7733067189926649</v>
      </c>
      <c r="Y1555" s="16" t="n">
        <v>294.2090012348785</v>
      </c>
      <c r="Z1555" s="16" t="n">
        <v>8.85961606678333</v>
      </c>
      <c r="AA1555" s="16" t="n">
        <v>86.89752129848866</v>
      </c>
      <c r="AB1555" s="16" t="n">
        <v>2027.659936880534</v>
      </c>
      <c r="AC1555" s="16" t="n">
        <v>2.670408422682939</v>
      </c>
      <c r="AD1555" s="16" t="inlineStr">
        <is>
          <t>O2</t>
        </is>
      </c>
      <c r="AE1555" s="16" t="n"/>
    </row>
    <row r="1556">
      <c r="A1556" s="16" t="inlineStr">
        <is>
          <t>KF-M04b-0184</t>
        </is>
      </c>
      <c r="B1556" s="16" t="inlineStr">
        <is>
          <t>3.2</t>
        </is>
      </c>
      <c r="C1556" s="16" t="inlineStr">
        <is>
          <t>3.2</t>
        </is>
      </c>
      <c r="D1556" s="16" t="inlineStr">
        <is>
          <t>muestra de 200 puntos</t>
        </is>
      </c>
      <c r="E1556" s="16" t="inlineStr">
        <is>
          <t>KF-M04b</t>
        </is>
      </c>
      <c r="F1556" s="16" t="inlineStr">
        <is>
          <t>KF-M04b</t>
        </is>
      </c>
      <c r="G1556" s="16" t="inlineStr">
        <is>
          <t>B07</t>
        </is>
      </c>
      <c r="H1556" s="16" t="inlineStr">
        <is>
          <t>lhs</t>
        </is>
      </c>
      <c r="I1556" s="16" t="inlineStr">
        <is>
          <t>KALINA</t>
        </is>
      </c>
      <c r="J1556" s="16" t="inlineStr">
        <is>
          <t>KALINA</t>
        </is>
      </c>
      <c r="K1556" s="16" t="b">
        <v>1</v>
      </c>
      <c r="L1556" s="16" t="b">
        <v>1</v>
      </c>
      <c r="M1556" s="16" t="b">
        <v>0</v>
      </c>
      <c r="N1556" s="16" t="b">
        <v>0</v>
      </c>
      <c r="O1556" s="16" t="n">
        <v>404.5641237085016</v>
      </c>
      <c r="P1556" s="16" t="n">
        <v>281.4820482638185</v>
      </c>
      <c r="Q1556" s="16" t="n">
        <v>2921.798925985498</v>
      </c>
      <c r="R1556" s="16" t="n">
        <v>1142.295616276611</v>
      </c>
      <c r="S1556" s="16" t="n">
        <v>0.8246969867746188</v>
      </c>
      <c r="T1556" s="16" t="n">
        <v>0.9059458071668296</v>
      </c>
      <c r="U1556" s="16" t="n">
        <v>0.8323162593849371</v>
      </c>
      <c r="V1556" s="16" t="n">
        <v>0.6528292309911017</v>
      </c>
      <c r="W1556" s="16" t="n">
        <v>0.8903363523148566</v>
      </c>
      <c r="X1556" s="16" t="n">
        <v>0.8709624561153071</v>
      </c>
      <c r="Y1556" s="16" t="n">
        <v>281.4820482638185</v>
      </c>
      <c r="Z1556" s="16" t="n">
        <v>8.65531607346972</v>
      </c>
      <c r="AA1556" s="16" t="n">
        <v>67.78478417175586</v>
      </c>
      <c r="AB1556" s="16" t="n">
        <v>1779.503309708887</v>
      </c>
      <c r="AC1556" s="16" t="n">
        <v>2.557830813979044</v>
      </c>
      <c r="AD1556" s="16" t="n"/>
      <c r="AE1556" s="16" t="n"/>
    </row>
    <row r="1557">
      <c r="A1557" s="16" t="inlineStr">
        <is>
          <t>KF-M04b-0185</t>
        </is>
      </c>
      <c r="B1557" s="16" t="inlineStr">
        <is>
          <t>3.2</t>
        </is>
      </c>
      <c r="C1557" s="16" t="inlineStr">
        <is>
          <t>3.2</t>
        </is>
      </c>
      <c r="D1557" s="16" t="inlineStr">
        <is>
          <t>muestra de 200 puntos</t>
        </is>
      </c>
      <c r="E1557" s="16" t="inlineStr">
        <is>
          <t>KF-M04b</t>
        </is>
      </c>
      <c r="F1557" s="16" t="inlineStr">
        <is>
          <t>KF-M04b</t>
        </is>
      </c>
      <c r="G1557" s="16" t="inlineStr">
        <is>
          <t>B07</t>
        </is>
      </c>
      <c r="H1557" s="16" t="inlineStr">
        <is>
          <t>lhs</t>
        </is>
      </c>
      <c r="I1557" s="16" t="inlineStr">
        <is>
          <t>CORREGIBLE</t>
        </is>
      </c>
      <c r="J1557" s="16" t="inlineStr">
        <is>
          <t>CORREGIBLE</t>
        </is>
      </c>
      <c r="K1557" s="16" t="b">
        <v>1</v>
      </c>
      <c r="L1557" s="16" t="b">
        <v>0</v>
      </c>
      <c r="M1557" s="16" t="b">
        <v>1</v>
      </c>
      <c r="N1557" s="16" t="b">
        <v>0</v>
      </c>
      <c r="O1557" s="16" t="n">
        <v>497.6181437154366</v>
      </c>
      <c r="P1557" s="16" t="n">
        <v>302.0266377224469</v>
      </c>
      <c r="Q1557" s="16" t="n">
        <v>4043.992285696097</v>
      </c>
      <c r="R1557" s="16" t="n">
        <v>828.3142548484592</v>
      </c>
      <c r="S1557" s="16" t="n">
        <v>0.6252432639853782</v>
      </c>
      <c r="T1557" s="16" t="n">
        <v>0.7652943472590616</v>
      </c>
      <c r="U1557" s="16" t="n">
        <v>0.657704311961379</v>
      </c>
      <c r="V1557" s="16" t="n">
        <v>0.667853023361641</v>
      </c>
      <c r="W1557" s="16" t="n">
        <v>0.6884739684791696</v>
      </c>
      <c r="X1557" s="16" t="n">
        <v>0.9336172202995791</v>
      </c>
      <c r="Y1557" s="16" t="n">
        <v>302.0266377224469</v>
      </c>
      <c r="Z1557" s="16" t="n">
        <v>10.40175425750011</v>
      </c>
      <c r="AA1557" s="16" t="n">
        <v>138.325269769262</v>
      </c>
      <c r="AB1557" s="16" t="n">
        <v>3215.678030847638</v>
      </c>
      <c r="AC1557" s="16" t="n">
        <v>4.882195690856424</v>
      </c>
      <c r="AD1557" s="16" t="inlineStr">
        <is>
          <t>O2</t>
        </is>
      </c>
      <c r="AE1557" s="16" t="n"/>
    </row>
    <row r="1558">
      <c r="A1558" s="16" t="inlineStr">
        <is>
          <t>KF-M04b-0186</t>
        </is>
      </c>
      <c r="B1558" s="16" t="inlineStr">
        <is>
          <t>3.2</t>
        </is>
      </c>
      <c r="C1558" s="16" t="inlineStr">
        <is>
          <t>3.2</t>
        </is>
      </c>
      <c r="D1558" s="16" t="inlineStr">
        <is>
          <t>muestra de 200 puntos</t>
        </is>
      </c>
      <c r="E1558" s="16" t="inlineStr">
        <is>
          <t>KF-M04b</t>
        </is>
      </c>
      <c r="F1558" s="16" t="inlineStr">
        <is>
          <t>KF-M04b</t>
        </is>
      </c>
      <c r="G1558" s="16" t="inlineStr">
        <is>
          <t>B07</t>
        </is>
      </c>
      <c r="H1558" s="16" t="inlineStr">
        <is>
          <t>lhs</t>
        </is>
      </c>
      <c r="I1558" s="16" t="inlineStr">
        <is>
          <t>KALINA</t>
        </is>
      </c>
      <c r="J1558" s="16" t="inlineStr">
        <is>
          <t>KALINA</t>
        </is>
      </c>
      <c r="K1558" s="16" t="b">
        <v>1</v>
      </c>
      <c r="L1558" s="16" t="b">
        <v>1</v>
      </c>
      <c r="M1558" s="16" t="b">
        <v>0</v>
      </c>
      <c r="N1558" s="16" t="b">
        <v>0</v>
      </c>
      <c r="O1558" s="16" t="n">
        <v>483.225047978744</v>
      </c>
      <c r="P1558" s="16" t="n">
        <v>294.8280315023758</v>
      </c>
      <c r="Q1558" s="16" t="n">
        <v>3718.573104357165</v>
      </c>
      <c r="R1558" s="16" t="n">
        <v>1438.218115492034</v>
      </c>
      <c r="S1558" s="16" t="n">
        <v>0.8275207808707826</v>
      </c>
      <c r="T1558" s="16" t="n">
        <v>0.7911930380752734</v>
      </c>
      <c r="U1558" s="16" t="n">
        <v>0.804570613120741</v>
      </c>
      <c r="V1558" s="16" t="n">
        <v>0.6568376939980793</v>
      </c>
      <c r="W1558" s="16" t="n">
        <v>0.7089328272068571</v>
      </c>
      <c r="X1558" s="16" t="n">
        <v>0.9252770541692577</v>
      </c>
      <c r="Y1558" s="16" t="n">
        <v>294.8280315023758</v>
      </c>
      <c r="Z1558" s="16" t="n">
        <v>7.803202926305659</v>
      </c>
      <c r="AA1558" s="16" t="n">
        <v>89.55641235995047</v>
      </c>
      <c r="AB1558" s="16" t="n">
        <v>2280.354988865131</v>
      </c>
      <c r="AC1558" s="16" t="n">
        <v>2.585541834233529</v>
      </c>
      <c r="AD1558" s="16" t="n"/>
      <c r="AE1558" s="16" t="n"/>
    </row>
    <row r="1559">
      <c r="A1559" s="16" t="inlineStr">
        <is>
          <t>KF-M04b-0187</t>
        </is>
      </c>
      <c r="B1559" s="16" t="inlineStr">
        <is>
          <t>3.2</t>
        </is>
      </c>
      <c r="C1559" s="16" t="inlineStr">
        <is>
          <t>3.2</t>
        </is>
      </c>
      <c r="D1559" s="16" t="inlineStr">
        <is>
          <t>muestra de 200 puntos</t>
        </is>
      </c>
      <c r="E1559" s="16" t="inlineStr">
        <is>
          <t>KF-M04b</t>
        </is>
      </c>
      <c r="F1559" s="16" t="inlineStr">
        <is>
          <t>KF-M04b</t>
        </is>
      </c>
      <c r="G1559" s="16" t="inlineStr">
        <is>
          <t>B07</t>
        </is>
      </c>
      <c r="H1559" s="16" t="inlineStr">
        <is>
          <t>lhs</t>
        </is>
      </c>
      <c r="I1559" s="16" t="inlineStr">
        <is>
          <t>CORREGIBLE</t>
        </is>
      </c>
      <c r="J1559" s="16" t="inlineStr">
        <is>
          <t>CORREGIBLE</t>
        </is>
      </c>
      <c r="K1559" s="16" t="b">
        <v>1</v>
      </c>
      <c r="L1559" s="16" t="b">
        <v>0</v>
      </c>
      <c r="M1559" s="16" t="b">
        <v>1</v>
      </c>
      <c r="N1559" s="16" t="b">
        <v>0</v>
      </c>
      <c r="O1559" s="16" t="n">
        <v>448.3838390528537</v>
      </c>
      <c r="P1559" s="16" t="n">
        <v>297.805543585852</v>
      </c>
      <c r="Q1559" s="16" t="n">
        <v>3093.893829465327</v>
      </c>
      <c r="R1559" s="16" t="n">
        <v>352.4653803887509</v>
      </c>
      <c r="S1559" s="16" t="n">
        <v>0.5836258989346002</v>
      </c>
      <c r="T1559" s="16" t="n">
        <v>0.7782603753910349</v>
      </c>
      <c r="U1559" s="16" t="n">
        <v>0.8224298587157792</v>
      </c>
      <c r="V1559" s="16" t="n">
        <v>0.8018539057109488</v>
      </c>
      <c r="W1559" s="16" t="n">
        <v>0.7895072102396334</v>
      </c>
      <c r="X1559" s="16" t="n">
        <v>0.7607735673618223</v>
      </c>
      <c r="Y1559" s="16" t="n">
        <v>297.805543585852</v>
      </c>
      <c r="Z1559" s="16" t="n">
        <v>10.52349635737272</v>
      </c>
      <c r="AA1559" s="16" t="n">
        <v>89.89292206838959</v>
      </c>
      <c r="AB1559" s="16" t="n">
        <v>2741.428449076576</v>
      </c>
      <c r="AC1559" s="16" t="n">
        <v>8.777865860337613</v>
      </c>
      <c r="AD1559" s="16" t="inlineStr">
        <is>
          <t>O2</t>
        </is>
      </c>
      <c r="AE1559" s="16" t="n"/>
    </row>
    <row r="1560">
      <c r="A1560" s="16" t="inlineStr">
        <is>
          <t>KF-M04b-0188</t>
        </is>
      </c>
      <c r="B1560" s="16" t="inlineStr">
        <is>
          <t>3.2</t>
        </is>
      </c>
      <c r="C1560" s="16" t="inlineStr">
        <is>
          <t>3.2</t>
        </is>
      </c>
      <c r="D1560" s="16" t="inlineStr">
        <is>
          <t>muestra de 200 puntos</t>
        </is>
      </c>
      <c r="E1560" s="16" t="inlineStr">
        <is>
          <t>KF-M04b</t>
        </is>
      </c>
      <c r="F1560" s="16" t="inlineStr">
        <is>
          <t>KF-M04b</t>
        </is>
      </c>
      <c r="G1560" s="16" t="inlineStr">
        <is>
          <t>B07</t>
        </is>
      </c>
      <c r="H1560" s="16" t="inlineStr">
        <is>
          <t>lhs</t>
        </is>
      </c>
      <c r="I1560" s="16" t="inlineStr">
        <is>
          <t>NO_CONVERGIO</t>
        </is>
      </c>
      <c r="J1560" s="16" t="inlineStr">
        <is>
          <t>NO_CONVERGIO</t>
        </is>
      </c>
      <c r="K1560" s="16" t="b">
        <v>0</v>
      </c>
      <c r="L1560" s="16" t="b">
        <v>0</v>
      </c>
      <c r="M1560" s="16" t="b">
        <v>0</v>
      </c>
      <c r="N1560" s="16" t="b">
        <v>0</v>
      </c>
      <c r="O1560" s="16" t="n">
        <v>491.1149939516986</v>
      </c>
      <c r="P1560" s="16" t="n">
        <v>284.9223386166307</v>
      </c>
      <c r="Q1560" s="16" t="n">
        <v>4920.880380918463</v>
      </c>
      <c r="R1560" s="16" t="n">
        <v>1032.970525554797</v>
      </c>
      <c r="S1560" s="16" t="n">
        <v>0.8295699640650269</v>
      </c>
      <c r="T1560" s="16" t="n">
        <v>0.9028408685182278</v>
      </c>
      <c r="U1560" s="16" t="n">
        <v>0.7586712772701348</v>
      </c>
      <c r="V1560" s="16" t="n">
        <v>0.6330918989205325</v>
      </c>
      <c r="W1560" s="16" t="n">
        <v>0.9220088850088608</v>
      </c>
      <c r="X1560" s="16" t="n">
        <v>0.7781667185064352</v>
      </c>
      <c r="Y1560" s="16" t="n">
        <v>284.9223386166307</v>
      </c>
      <c r="Z1560" s="16" t="n"/>
      <c r="AA1560" s="16" t="n"/>
      <c r="AB1560" s="16" t="n">
        <v>3887.909855363666</v>
      </c>
      <c r="AC1560" s="16" t="n">
        <v>4.763814900019063</v>
      </c>
      <c r="AD1560" s="16" t="n"/>
      <c r="AE1560" s="16" t="n"/>
    </row>
    <row r="1561">
      <c r="A1561" s="16" t="inlineStr">
        <is>
          <t>KF-M04b-0189</t>
        </is>
      </c>
      <c r="B1561" s="16" t="inlineStr">
        <is>
          <t>3.2</t>
        </is>
      </c>
      <c r="C1561" s="16" t="inlineStr">
        <is>
          <t>3.2</t>
        </is>
      </c>
      <c r="D1561" s="16" t="inlineStr">
        <is>
          <t>muestra de 200 puntos</t>
        </is>
      </c>
      <c r="E1561" s="16" t="inlineStr">
        <is>
          <t>KF-M04b</t>
        </is>
      </c>
      <c r="F1561" s="16" t="inlineStr">
        <is>
          <t>KF-M04b</t>
        </is>
      </c>
      <c r="G1561" s="16" t="inlineStr">
        <is>
          <t>B07</t>
        </is>
      </c>
      <c r="H1561" s="16" t="inlineStr">
        <is>
          <t>lhs</t>
        </is>
      </c>
      <c r="I1561" s="16" t="inlineStr">
        <is>
          <t>KALINA</t>
        </is>
      </c>
      <c r="J1561" s="16" t="inlineStr">
        <is>
          <t>KALINA</t>
        </is>
      </c>
      <c r="K1561" s="16" t="b">
        <v>1</v>
      </c>
      <c r="L1561" s="16" t="b">
        <v>0</v>
      </c>
      <c r="M1561" s="16" t="b">
        <v>1</v>
      </c>
      <c r="N1561" s="16" t="b">
        <v>0</v>
      </c>
      <c r="O1561" s="16" t="n">
        <v>430.0018330420809</v>
      </c>
      <c r="P1561" s="16" t="n">
        <v>282.0333386924513</v>
      </c>
      <c r="Q1561" s="16" t="n">
        <v>3539.531349768299</v>
      </c>
      <c r="R1561" s="16" t="n">
        <v>1184.909450503314</v>
      </c>
      <c r="S1561" s="16" t="n">
        <v>0.8174660129117255</v>
      </c>
      <c r="T1561" s="16" t="n">
        <v>0.7565069807630693</v>
      </c>
      <c r="U1561" s="16" t="n">
        <v>0.7115504530063381</v>
      </c>
      <c r="V1561" s="16" t="n">
        <v>0.9334846391959348</v>
      </c>
      <c r="W1561" s="16" t="n">
        <v>0.6348169965952418</v>
      </c>
      <c r="X1561" s="16" t="n">
        <v>0.9339470323499928</v>
      </c>
      <c r="Y1561" s="16" t="n">
        <v>282.0333386924513</v>
      </c>
      <c r="Z1561" s="16" t="n">
        <v>8.08678681377531</v>
      </c>
      <c r="AA1561" s="16" t="n">
        <v>115.6173678321987</v>
      </c>
      <c r="AB1561" s="16" t="n">
        <v>2354.621899264985</v>
      </c>
      <c r="AC1561" s="16" t="n">
        <v>2.987174545924006</v>
      </c>
      <c r="AD1561" s="16" t="n"/>
      <c r="AE1561" s="16" t="n"/>
    </row>
    <row r="1562">
      <c r="A1562" s="16" t="inlineStr">
        <is>
          <t>KF-M04b-0190</t>
        </is>
      </c>
      <c r="B1562" s="16" t="inlineStr">
        <is>
          <t>3.2</t>
        </is>
      </c>
      <c r="C1562" s="16" t="inlineStr">
        <is>
          <t>3.2</t>
        </is>
      </c>
      <c r="D1562" s="16" t="inlineStr">
        <is>
          <t>muestra de 200 puntos</t>
        </is>
      </c>
      <c r="E1562" s="16" t="inlineStr">
        <is>
          <t>KF-M04b</t>
        </is>
      </c>
      <c r="F1562" s="16" t="inlineStr">
        <is>
          <t>KF-M04b</t>
        </is>
      </c>
      <c r="G1562" s="16" t="inlineStr">
        <is>
          <t>B07</t>
        </is>
      </c>
      <c r="H1562" s="16" t="inlineStr">
        <is>
          <t>lhs</t>
        </is>
      </c>
      <c r="I1562" s="16" t="inlineStr">
        <is>
          <t>CORREGIBLE</t>
        </is>
      </c>
      <c r="J1562" s="16" t="inlineStr">
        <is>
          <t>CORREGIBLE</t>
        </is>
      </c>
      <c r="K1562" s="16" t="b">
        <v>1</v>
      </c>
      <c r="L1562" s="16" t="b">
        <v>0</v>
      </c>
      <c r="M1562" s="16" t="b">
        <v>0</v>
      </c>
      <c r="N1562" s="16" t="b">
        <v>0</v>
      </c>
      <c r="O1562" s="16" t="n">
        <v>426.48643204369</v>
      </c>
      <c r="P1562" s="16" t="n">
        <v>285.9273896361529</v>
      </c>
      <c r="Q1562" s="16" t="n">
        <v>2230.116054462213</v>
      </c>
      <c r="R1562" s="16" t="n">
        <v>890.6474326728451</v>
      </c>
      <c r="S1562" s="16" t="n">
        <v>0.7457237380143278</v>
      </c>
      <c r="T1562" s="16" t="n">
        <v>0.7946920393361766</v>
      </c>
      <c r="U1562" s="16" t="n">
        <v>0.8438229692172371</v>
      </c>
      <c r="V1562" s="16" t="n">
        <v>0.7226825696574629</v>
      </c>
      <c r="W1562" s="16" t="n">
        <v>0.806799287624799</v>
      </c>
      <c r="X1562" s="16" t="n">
        <v>0.8860185448859977</v>
      </c>
      <c r="Y1562" s="16" t="n">
        <v>285.9273896361529</v>
      </c>
      <c r="Z1562" s="16" t="n">
        <v>7.404024074231461</v>
      </c>
      <c r="AA1562" s="16" t="n">
        <v>84.17441906742226</v>
      </c>
      <c r="AB1562" s="16" t="n">
        <v>1339.468621789368</v>
      </c>
      <c r="AC1562" s="16" t="n">
        <v>2.503926888072427</v>
      </c>
      <c r="AD1562" s="16" t="inlineStr">
        <is>
          <t>O2</t>
        </is>
      </c>
      <c r="AE1562" s="16" t="n"/>
    </row>
    <row r="1563">
      <c r="A1563" s="16" t="inlineStr">
        <is>
          <t>KF-M04b-0191</t>
        </is>
      </c>
      <c r="B1563" s="16" t="inlineStr">
        <is>
          <t>3.2</t>
        </is>
      </c>
      <c r="C1563" s="16" t="inlineStr">
        <is>
          <t>3.2</t>
        </is>
      </c>
      <c r="D1563" s="16" t="inlineStr">
        <is>
          <t>muestra de 200 puntos</t>
        </is>
      </c>
      <c r="E1563" s="16" t="inlineStr">
        <is>
          <t>KF-M04b</t>
        </is>
      </c>
      <c r="F1563" s="16" t="inlineStr">
        <is>
          <t>KF-M04b</t>
        </is>
      </c>
      <c r="G1563" s="16" t="inlineStr">
        <is>
          <t>B07</t>
        </is>
      </c>
      <c r="H1563" s="16" t="inlineStr">
        <is>
          <t>lhs</t>
        </is>
      </c>
      <c r="I1563" s="16" t="inlineStr">
        <is>
          <t>CORREGIBLE</t>
        </is>
      </c>
      <c r="J1563" s="16" t="inlineStr">
        <is>
          <t>CORREGIBLE</t>
        </is>
      </c>
      <c r="K1563" s="16" t="b">
        <v>1</v>
      </c>
      <c r="L1563" s="16" t="b">
        <v>0</v>
      </c>
      <c r="M1563" s="16" t="b">
        <v>0</v>
      </c>
      <c r="N1563" s="16" t="b">
        <v>0</v>
      </c>
      <c r="O1563" s="16" t="n">
        <v>393.0459385660836</v>
      </c>
      <c r="P1563" s="16" t="n">
        <v>290.5193776807272</v>
      </c>
      <c r="Q1563" s="16" t="n">
        <v>2300.853525272941</v>
      </c>
      <c r="R1563" s="16" t="n">
        <v>734.3346091483525</v>
      </c>
      <c r="S1563" s="16" t="n">
        <v>0.6610067625684378</v>
      </c>
      <c r="T1563" s="16" t="n">
        <v>0.8431701334542505</v>
      </c>
      <c r="U1563" s="16" t="n">
        <v>0.8523468060702207</v>
      </c>
      <c r="V1563" s="16" t="n">
        <v>0.842279900088942</v>
      </c>
      <c r="W1563" s="16" t="n">
        <v>0.7972346004492555</v>
      </c>
      <c r="X1563" s="16" t="n">
        <v>0.9008300826692937</v>
      </c>
      <c r="Y1563" s="16" t="n">
        <v>290.5193776807272</v>
      </c>
      <c r="Z1563" s="16" t="n">
        <v>8.882006664217599</v>
      </c>
      <c r="AA1563" s="16" t="n">
        <v>61.07736267549256</v>
      </c>
      <c r="AB1563" s="16" t="n">
        <v>1566.518916124588</v>
      </c>
      <c r="AC1563" s="16" t="n">
        <v>3.133249470485076</v>
      </c>
      <c r="AD1563" s="16" t="inlineStr">
        <is>
          <t>O2</t>
        </is>
      </c>
      <c r="AE1563" s="16" t="n"/>
    </row>
    <row r="1564">
      <c r="A1564" s="16" t="inlineStr">
        <is>
          <t>KF-M04b-0192</t>
        </is>
      </c>
      <c r="B1564" s="16" t="inlineStr">
        <is>
          <t>3.2</t>
        </is>
      </c>
      <c r="C1564" s="16" t="inlineStr">
        <is>
          <t>3.2</t>
        </is>
      </c>
      <c r="D1564" s="16" t="inlineStr">
        <is>
          <t>muestra de 200 puntos</t>
        </is>
      </c>
      <c r="E1564" s="16" t="inlineStr">
        <is>
          <t>KF-M04b</t>
        </is>
      </c>
      <c r="F1564" s="16" t="inlineStr">
        <is>
          <t>KF-M04b</t>
        </is>
      </c>
      <c r="G1564" s="16" t="inlineStr">
        <is>
          <t>B07</t>
        </is>
      </c>
      <c r="H1564" s="16" t="inlineStr">
        <is>
          <t>lhs</t>
        </is>
      </c>
      <c r="I1564" s="16" t="inlineStr">
        <is>
          <t>KALINA</t>
        </is>
      </c>
      <c r="J1564" s="16" t="inlineStr">
        <is>
          <t>KALINA</t>
        </is>
      </c>
      <c r="K1564" s="16" t="b">
        <v>1</v>
      </c>
      <c r="L1564" s="16" t="b">
        <v>0</v>
      </c>
      <c r="M1564" s="16" t="b">
        <v>1</v>
      </c>
      <c r="N1564" s="16" t="b">
        <v>0</v>
      </c>
      <c r="O1564" s="16" t="n">
        <v>440.8782305458118</v>
      </c>
      <c r="P1564" s="16" t="n">
        <v>292.9107812226251</v>
      </c>
      <c r="Q1564" s="16" t="n">
        <v>3514.415125407494</v>
      </c>
      <c r="R1564" s="16" t="n">
        <v>936.88135157308</v>
      </c>
      <c r="S1564" s="16" t="n">
        <v>0.5476342131290541</v>
      </c>
      <c r="T1564" s="16" t="n">
        <v>0.7861602870126519</v>
      </c>
      <c r="U1564" s="16" t="n">
        <v>0.7510036137392531</v>
      </c>
      <c r="V1564" s="16" t="n">
        <v>0.8775570283375628</v>
      </c>
      <c r="W1564" s="16" t="n">
        <v>0.8733068821015159</v>
      </c>
      <c r="X1564" s="16" t="n">
        <v>0.8804226886920787</v>
      </c>
      <c r="Y1564" s="16" t="n">
        <v>292.9107812226251</v>
      </c>
      <c r="Z1564" s="16" t="n">
        <v>8.868430485148671</v>
      </c>
      <c r="AA1564" s="16" t="n">
        <v>73.73074560643724</v>
      </c>
      <c r="AB1564" s="16" t="n">
        <v>2577.533773834414</v>
      </c>
      <c r="AC1564" s="16" t="n">
        <v>3.751184842676802</v>
      </c>
      <c r="AD1564" s="16" t="n"/>
      <c r="AE1564" s="16" t="n"/>
    </row>
    <row r="1565">
      <c r="A1565" s="16" t="inlineStr">
        <is>
          <t>KF-M04b-0193</t>
        </is>
      </c>
      <c r="B1565" s="16" t="inlineStr">
        <is>
          <t>3.2</t>
        </is>
      </c>
      <c r="C1565" s="16" t="inlineStr">
        <is>
          <t>3.2</t>
        </is>
      </c>
      <c r="D1565" s="16" t="inlineStr">
        <is>
          <t>muestra de 200 puntos</t>
        </is>
      </c>
      <c r="E1565" s="16" t="inlineStr">
        <is>
          <t>KF-M04b</t>
        </is>
      </c>
      <c r="F1565" s="16" t="inlineStr">
        <is>
          <t>KF-M04b</t>
        </is>
      </c>
      <c r="G1565" s="16" t="inlineStr">
        <is>
          <t>B07</t>
        </is>
      </c>
      <c r="H1565" s="16" t="inlineStr">
        <is>
          <t>lhs</t>
        </is>
      </c>
      <c r="I1565" s="16" t="inlineStr">
        <is>
          <t>NO_CONVERGIO</t>
        </is>
      </c>
      <c r="J1565" s="16" t="inlineStr">
        <is>
          <t>NO_CONVERGIO</t>
        </is>
      </c>
      <c r="K1565" s="16" t="b">
        <v>0</v>
      </c>
      <c r="L1565" s="16" t="b">
        <v>0</v>
      </c>
      <c r="M1565" s="16" t="b">
        <v>0</v>
      </c>
      <c r="N1565" s="16" t="b">
        <v>0</v>
      </c>
      <c r="O1565" s="16" t="n">
        <v>383.6370937232629</v>
      </c>
      <c r="P1565" s="16" t="n">
        <v>302.6271097175316</v>
      </c>
      <c r="Q1565" s="16" t="n">
        <v>4593.339295432349</v>
      </c>
      <c r="R1565" s="16" t="n">
        <v>1341.797200075589</v>
      </c>
      <c r="S1565" s="16" t="n">
        <v>0.5217182051963116</v>
      </c>
      <c r="T1565" s="16" t="n">
        <v>0.8484682968961922</v>
      </c>
      <c r="U1565" s="16" t="n">
        <v>0.7148538664645705</v>
      </c>
      <c r="V1565" s="16" t="n">
        <v>0.706892807455672</v>
      </c>
      <c r="W1565" s="16" t="n">
        <v>0.7652796992024895</v>
      </c>
      <c r="X1565" s="16" t="n">
        <v>0.8304816668282945</v>
      </c>
      <c r="Y1565" s="16" t="n">
        <v>302.6271097175316</v>
      </c>
      <c r="Z1565" s="16" t="n"/>
      <c r="AA1565" s="16" t="n"/>
      <c r="AB1565" s="16" t="n">
        <v>3251.54209535676</v>
      </c>
      <c r="AC1565" s="16" t="n">
        <v>3.423273871173369</v>
      </c>
      <c r="AD1565" s="16" t="n"/>
      <c r="AE1565" s="16" t="n"/>
    </row>
    <row r="1566">
      <c r="A1566" s="16" t="inlineStr">
        <is>
          <t>KF-M04b-0194</t>
        </is>
      </c>
      <c r="B1566" s="16" t="inlineStr">
        <is>
          <t>3.2</t>
        </is>
      </c>
      <c r="C1566" s="16" t="inlineStr">
        <is>
          <t>3.2</t>
        </is>
      </c>
      <c r="D1566" s="16" t="inlineStr">
        <is>
          <t>muestra de 200 puntos</t>
        </is>
      </c>
      <c r="E1566" s="16" t="inlineStr">
        <is>
          <t>KF-M04b</t>
        </is>
      </c>
      <c r="F1566" s="16" t="inlineStr">
        <is>
          <t>KF-M04b</t>
        </is>
      </c>
      <c r="G1566" s="16" t="inlineStr">
        <is>
          <t>B07</t>
        </is>
      </c>
      <c r="H1566" s="16" t="inlineStr">
        <is>
          <t>lhs</t>
        </is>
      </c>
      <c r="I1566" s="16" t="inlineStr">
        <is>
          <t>INVIABLE</t>
        </is>
      </c>
      <c r="J1566" s="16" t="inlineStr">
        <is>
          <t>INVIABLE</t>
        </is>
      </c>
      <c r="K1566" s="16" t="b">
        <v>1</v>
      </c>
      <c r="L1566" s="16" t="b">
        <v>0</v>
      </c>
      <c r="M1566" s="16" t="b">
        <v>0</v>
      </c>
      <c r="N1566" s="16" t="b">
        <v>0</v>
      </c>
      <c r="O1566" s="16" t="n">
        <v>419.7470257701867</v>
      </c>
      <c r="P1566" s="16" t="n">
        <v>296.4310602506681</v>
      </c>
      <c r="Q1566" s="16" t="n">
        <v>2410.50861223804</v>
      </c>
      <c r="R1566" s="16" t="n">
        <v>362.7585853384533</v>
      </c>
      <c r="S1566" s="16" t="n">
        <v>0.8062721573766441</v>
      </c>
      <c r="T1566" s="16" t="n">
        <v>0.8769462415104143</v>
      </c>
      <c r="U1566" s="16" t="n">
        <v>0.7095609148066363</v>
      </c>
      <c r="V1566" s="16" t="n">
        <v>0.8714986095188872</v>
      </c>
      <c r="W1566" s="16" t="n">
        <v>0.6418483745740059</v>
      </c>
      <c r="X1566" s="16" t="n">
        <v>0.7665810548548119</v>
      </c>
      <c r="Y1566" s="16" t="n">
        <v>296.4310602506681</v>
      </c>
      <c r="Z1566" s="16" t="n">
        <v>-6.294215720733461</v>
      </c>
      <c r="AA1566" s="16" t="n">
        <v>-26.86245363311488</v>
      </c>
      <c r="AB1566" s="16" t="n">
        <v>2047.750026899586</v>
      </c>
      <c r="AC1566" s="16" t="n">
        <v>6.644938837185723</v>
      </c>
      <c r="AD1566" s="16" t="inlineStr">
        <is>
          <t>O2,O3</t>
        </is>
      </c>
      <c r="AE1566" s="16" t="n"/>
    </row>
    <row r="1567">
      <c r="A1567" s="16" t="inlineStr">
        <is>
          <t>KF-M04b-0195</t>
        </is>
      </c>
      <c r="B1567" s="16" t="inlineStr">
        <is>
          <t>3.2</t>
        </is>
      </c>
      <c r="C1567" s="16" t="inlineStr">
        <is>
          <t>3.2</t>
        </is>
      </c>
      <c r="D1567" s="16" t="inlineStr">
        <is>
          <t>muestra de 200 puntos</t>
        </is>
      </c>
      <c r="E1567" s="16" t="inlineStr">
        <is>
          <t>KF-M04b</t>
        </is>
      </c>
      <c r="F1567" s="16" t="inlineStr">
        <is>
          <t>KF-M04b</t>
        </is>
      </c>
      <c r="G1567" s="16" t="inlineStr">
        <is>
          <t>B07</t>
        </is>
      </c>
      <c r="H1567" s="16" t="inlineStr">
        <is>
          <t>lhs</t>
        </is>
      </c>
      <c r="I1567" s="16" t="inlineStr">
        <is>
          <t>CORREGIBLE</t>
        </is>
      </c>
      <c r="J1567" s="16" t="inlineStr">
        <is>
          <t>CORREGIBLE</t>
        </is>
      </c>
      <c r="K1567" s="16" t="b">
        <v>1</v>
      </c>
      <c r="L1567" s="16" t="b">
        <v>0</v>
      </c>
      <c r="M1567" s="16" t="b">
        <v>1</v>
      </c>
      <c r="N1567" s="16" t="b">
        <v>0</v>
      </c>
      <c r="O1567" s="16" t="n">
        <v>486.1346843227195</v>
      </c>
      <c r="P1567" s="16" t="n">
        <v>303.4699946370026</v>
      </c>
      <c r="Q1567" s="16" t="n">
        <v>2365.348117495867</v>
      </c>
      <c r="R1567" s="16" t="n">
        <v>419.4582519561502</v>
      </c>
      <c r="S1567" s="16" t="n">
        <v>0.554594521311049</v>
      </c>
      <c r="T1567" s="16" t="n">
        <v>0.758771879589796</v>
      </c>
      <c r="U1567" s="16" t="n">
        <v>0.6757428336920558</v>
      </c>
      <c r="V1567" s="16" t="n">
        <v>0.8619755743801247</v>
      </c>
      <c r="W1567" s="16" t="n">
        <v>0.8548999778299078</v>
      </c>
      <c r="X1567" s="16" t="n">
        <v>0.913423120775241</v>
      </c>
      <c r="Y1567" s="16" t="n">
        <v>303.4699946370026</v>
      </c>
      <c r="Z1567" s="16" t="n">
        <v>10.00703299281368</v>
      </c>
      <c r="AA1567" s="16" t="n">
        <v>171.9025664983085</v>
      </c>
      <c r="AB1567" s="16" t="n">
        <v>1945.889865539716</v>
      </c>
      <c r="AC1567" s="16" t="n">
        <v>5.639054915393912</v>
      </c>
      <c r="AD1567" s="16" t="inlineStr">
        <is>
          <t>O2</t>
        </is>
      </c>
      <c r="AE1567" s="16" t="n"/>
    </row>
    <row r="1568">
      <c r="A1568" s="16" t="inlineStr">
        <is>
          <t>KF-M04b-0196</t>
        </is>
      </c>
      <c r="B1568" s="16" t="inlineStr">
        <is>
          <t>3.2</t>
        </is>
      </c>
      <c r="C1568" s="16" t="inlineStr">
        <is>
          <t>3.2</t>
        </is>
      </c>
      <c r="D1568" s="16" t="inlineStr">
        <is>
          <t>muestra de 200 puntos</t>
        </is>
      </c>
      <c r="E1568" s="16" t="inlineStr">
        <is>
          <t>KF-M04b</t>
        </is>
      </c>
      <c r="F1568" s="16" t="inlineStr">
        <is>
          <t>KF-M04b</t>
        </is>
      </c>
      <c r="G1568" s="16" t="inlineStr">
        <is>
          <t>B07</t>
        </is>
      </c>
      <c r="H1568" s="16" t="inlineStr">
        <is>
          <t>lhs</t>
        </is>
      </c>
      <c r="I1568" s="16" t="inlineStr">
        <is>
          <t>CORREGIBLE</t>
        </is>
      </c>
      <c r="J1568" s="16" t="inlineStr">
        <is>
          <t>CORREGIBLE</t>
        </is>
      </c>
      <c r="K1568" s="16" t="b">
        <v>1</v>
      </c>
      <c r="L1568" s="16" t="b">
        <v>0</v>
      </c>
      <c r="M1568" s="16" t="b">
        <v>0</v>
      </c>
      <c r="N1568" s="16" t="b">
        <v>0</v>
      </c>
      <c r="O1568" s="16" t="n">
        <v>391.5868903720024</v>
      </c>
      <c r="P1568" s="16" t="n">
        <v>281.1796040552066</v>
      </c>
      <c r="Q1568" s="16" t="n">
        <v>2871.547892208388</v>
      </c>
      <c r="R1568" s="16" t="n">
        <v>518.8977973122836</v>
      </c>
      <c r="S1568" s="16" t="n">
        <v>0.6477999944184427</v>
      </c>
      <c r="T1568" s="16" t="n">
        <v>0.8558143279043651</v>
      </c>
      <c r="U1568" s="16" t="n">
        <v>0.7717210017184951</v>
      </c>
      <c r="V1568" s="16" t="n">
        <v>0.8356872777899255</v>
      </c>
      <c r="W1568" s="16" t="n">
        <v>0.624886944186327</v>
      </c>
      <c r="X1568" s="16" t="n">
        <v>0.8412889207413493</v>
      </c>
      <c r="Y1568" s="16" t="n">
        <v>281.1796040552066</v>
      </c>
      <c r="Z1568" s="16" t="n">
        <v>11.01586930128213</v>
      </c>
      <c r="AA1568" s="16" t="n">
        <v>63.13702191838857</v>
      </c>
      <c r="AB1568" s="16" t="n">
        <v>2352.650094896105</v>
      </c>
      <c r="AC1568" s="16" t="n">
        <v>5.533937332326409</v>
      </c>
      <c r="AD1568" s="16" t="inlineStr">
        <is>
          <t>O2</t>
        </is>
      </c>
      <c r="AE1568" s="16" t="n"/>
    </row>
    <row r="1569">
      <c r="A1569" s="16" t="inlineStr">
        <is>
          <t>KF-M04b-0197</t>
        </is>
      </c>
      <c r="B1569" s="16" t="inlineStr">
        <is>
          <t>3.2</t>
        </is>
      </c>
      <c r="C1569" s="16" t="inlineStr">
        <is>
          <t>3.2</t>
        </is>
      </c>
      <c r="D1569" s="16" t="inlineStr">
        <is>
          <t>muestra de 200 puntos</t>
        </is>
      </c>
      <c r="E1569" s="16" t="inlineStr">
        <is>
          <t>KF-M04b</t>
        </is>
      </c>
      <c r="F1569" s="16" t="inlineStr">
        <is>
          <t>KF-M04b</t>
        </is>
      </c>
      <c r="G1569" s="16" t="inlineStr">
        <is>
          <t>B07</t>
        </is>
      </c>
      <c r="H1569" s="16" t="inlineStr">
        <is>
          <t>lhs</t>
        </is>
      </c>
      <c r="I1569" s="16" t="inlineStr">
        <is>
          <t>CORREGIBLE</t>
        </is>
      </c>
      <c r="J1569" s="16" t="inlineStr">
        <is>
          <t>CORREGIBLE</t>
        </is>
      </c>
      <c r="K1569" s="16" t="b">
        <v>1</v>
      </c>
      <c r="L1569" s="16" t="b">
        <v>0</v>
      </c>
      <c r="M1569" s="16" t="b">
        <v>1</v>
      </c>
      <c r="N1569" s="16" t="b">
        <v>0</v>
      </c>
      <c r="O1569" s="16" t="n">
        <v>487.1261856635524</v>
      </c>
      <c r="P1569" s="16" t="n">
        <v>301.33949283584</v>
      </c>
      <c r="Q1569" s="16" t="n">
        <v>4897.460721034211</v>
      </c>
      <c r="R1569" s="16" t="n">
        <v>496.7649004882162</v>
      </c>
      <c r="S1569" s="16" t="n">
        <v>0.5161666769248683</v>
      </c>
      <c r="T1569" s="16" t="n">
        <v>0.7710823491000474</v>
      </c>
      <c r="U1569" s="16" t="n">
        <v>0.7814973520396816</v>
      </c>
      <c r="V1569" s="16" t="n">
        <v>0.7201630021739091</v>
      </c>
      <c r="W1569" s="16" t="n">
        <v>0.7386320769272899</v>
      </c>
      <c r="X1569" s="16" t="n">
        <v>0.8819490193719932</v>
      </c>
      <c r="Y1569" s="16" t="n">
        <v>301.33949283584</v>
      </c>
      <c r="Z1569" s="16" t="n">
        <v>13.65396402127257</v>
      </c>
      <c r="AA1569" s="16" t="n">
        <v>164.4406200649275</v>
      </c>
      <c r="AB1569" s="16" t="n">
        <v>4400.695820545995</v>
      </c>
      <c r="AC1569" s="16" t="n">
        <v>9.858709253051151</v>
      </c>
      <c r="AD1569" s="16" t="inlineStr">
        <is>
          <t>O1,O2</t>
        </is>
      </c>
      <c r="AE1569" s="16" t="n"/>
    </row>
    <row r="1570">
      <c r="A1570" s="16" t="inlineStr">
        <is>
          <t>KF-M04b-0198</t>
        </is>
      </c>
      <c r="B1570" s="16" t="inlineStr">
        <is>
          <t>3.2</t>
        </is>
      </c>
      <c r="C1570" s="16" t="inlineStr">
        <is>
          <t>3.2</t>
        </is>
      </c>
      <c r="D1570" s="16" t="inlineStr">
        <is>
          <t>muestra de 200 puntos</t>
        </is>
      </c>
      <c r="E1570" s="16" t="inlineStr">
        <is>
          <t>KF-M04b</t>
        </is>
      </c>
      <c r="F1570" s="16" t="inlineStr">
        <is>
          <t>KF-M04b</t>
        </is>
      </c>
      <c r="G1570" s="16" t="inlineStr">
        <is>
          <t>B07</t>
        </is>
      </c>
      <c r="H1570" s="16" t="inlineStr">
        <is>
          <t>lhs</t>
        </is>
      </c>
      <c r="I1570" s="16" t="inlineStr">
        <is>
          <t>CORREGIBLE</t>
        </is>
      </c>
      <c r="J1570" s="16" t="inlineStr">
        <is>
          <t>CORREGIBLE</t>
        </is>
      </c>
      <c r="K1570" s="16" t="b">
        <v>1</v>
      </c>
      <c r="L1570" s="16" t="b">
        <v>0</v>
      </c>
      <c r="M1570" s="16" t="b">
        <v>0</v>
      </c>
      <c r="N1570" s="16" t="b">
        <v>0</v>
      </c>
      <c r="O1570" s="16" t="n">
        <v>403.6851196319058</v>
      </c>
      <c r="P1570" s="16" t="n">
        <v>281.0563163151422</v>
      </c>
      <c r="Q1570" s="16" t="n">
        <v>2120.168989719818</v>
      </c>
      <c r="R1570" s="16" t="n">
        <v>745.6376168773202</v>
      </c>
      <c r="S1570" s="16" t="n">
        <v>0.551683173403714</v>
      </c>
      <c r="T1570" s="16" t="n">
        <v>0.7553229653448998</v>
      </c>
      <c r="U1570" s="16" t="n">
        <v>0.7457533692445284</v>
      </c>
      <c r="V1570" s="16" t="n">
        <v>0.9433689762480298</v>
      </c>
      <c r="W1570" s="16" t="n">
        <v>0.7170568223833521</v>
      </c>
      <c r="X1570" s="16" t="n">
        <v>0.7400162579133172</v>
      </c>
      <c r="Y1570" s="16" t="n">
        <v>281.0563163151422</v>
      </c>
      <c r="Z1570" s="16" t="n">
        <v>6.896924751409419</v>
      </c>
      <c r="AA1570" s="16" t="n">
        <v>45.92755008083576</v>
      </c>
      <c r="AB1570" s="16" t="n">
        <v>1374.531372842498</v>
      </c>
      <c r="AC1570" s="16" t="n">
        <v>2.843430832525513</v>
      </c>
      <c r="AD1570" s="16" t="inlineStr">
        <is>
          <t>O2</t>
        </is>
      </c>
      <c r="AE1570" s="16" t="n"/>
    </row>
    <row r="1571">
      <c r="A1571" s="16" t="inlineStr">
        <is>
          <t>KF-M04b-0199</t>
        </is>
      </c>
      <c r="B1571" s="16" t="inlineStr">
        <is>
          <t>3.2</t>
        </is>
      </c>
      <c r="C1571" s="16" t="inlineStr">
        <is>
          <t>3.2</t>
        </is>
      </c>
      <c r="D1571" s="16" t="inlineStr">
        <is>
          <t>muestra de 200 puntos</t>
        </is>
      </c>
      <c r="E1571" s="16" t="inlineStr">
        <is>
          <t>KF-M04b</t>
        </is>
      </c>
      <c r="F1571" s="16" t="inlineStr">
        <is>
          <t>KF-M04b</t>
        </is>
      </c>
      <c r="G1571" s="16" t="inlineStr">
        <is>
          <t>B07</t>
        </is>
      </c>
      <c r="H1571" s="16" t="inlineStr">
        <is>
          <t>lhs</t>
        </is>
      </c>
      <c r="I1571" s="16" t="inlineStr">
        <is>
          <t>NO_CONVERGIO</t>
        </is>
      </c>
      <c r="J1571" s="16" t="inlineStr">
        <is>
          <t>NO_CONVERGIO</t>
        </is>
      </c>
      <c r="K1571" s="16" t="b">
        <v>0</v>
      </c>
      <c r="L1571" s="16" t="b">
        <v>0</v>
      </c>
      <c r="M1571" s="16" t="b">
        <v>0</v>
      </c>
      <c r="N1571" s="16" t="b">
        <v>0</v>
      </c>
      <c r="O1571" s="16" t="n">
        <v>380.2941850161218</v>
      </c>
      <c r="P1571" s="16" t="n">
        <v>290.9857226713722</v>
      </c>
      <c r="Q1571" s="16" t="n">
        <v>4079.305131088077</v>
      </c>
      <c r="R1571" s="16" t="n">
        <v>472.8890156686001</v>
      </c>
      <c r="S1571" s="16" t="n">
        <v>0.5069174660651857</v>
      </c>
      <c r="T1571" s="16" t="n">
        <v>0.905229455768009</v>
      </c>
      <c r="U1571" s="16" t="n">
        <v>0.8584773331538054</v>
      </c>
      <c r="V1571" s="16" t="n">
        <v>0.7875892130291611</v>
      </c>
      <c r="W1571" s="16" t="n">
        <v>0.9450731636555088</v>
      </c>
      <c r="X1571" s="16" t="n">
        <v>0.8666133054456897</v>
      </c>
      <c r="Y1571" s="16" t="n">
        <v>290.9857226713722</v>
      </c>
      <c r="Z1571" s="16" t="n"/>
      <c r="AA1571" s="16" t="n"/>
      <c r="AB1571" s="16" t="n">
        <v>3606.416115419477</v>
      </c>
      <c r="AC1571" s="16" t="n">
        <v>8.626347823538469</v>
      </c>
      <c r="AD1571" s="16" t="n"/>
      <c r="AE1571" s="16" t="n"/>
    </row>
    <row r="1572">
      <c r="A1572" s="16" t="inlineStr">
        <is>
          <t>KF-M04c-0000</t>
        </is>
      </c>
      <c r="B1572" s="16" t="inlineStr">
        <is>
          <t>3.3</t>
        </is>
      </c>
      <c r="C1572" s="16" t="inlineStr">
        <is>
          <t>3.3</t>
        </is>
      </c>
      <c r="D1572" s="16" t="inlineStr">
        <is>
          <t>P_baja de 1500 a 2500 kPa</t>
        </is>
      </c>
      <c r="E1572" s="16" t="inlineStr">
        <is>
          <t>KF-M04c</t>
        </is>
      </c>
      <c r="F1572" s="16" t="inlineStr">
        <is>
          <t>KF-M04c</t>
        </is>
      </c>
      <c r="G1572" s="16" t="inlineStr">
        <is>
          <t>B08</t>
        </is>
      </c>
      <c r="H1572" s="16" t="inlineStr">
        <is>
          <t>lhs</t>
        </is>
      </c>
      <c r="I1572" s="16" t="inlineStr">
        <is>
          <t>OMITIDO</t>
        </is>
      </c>
      <c r="J1572" s="16" t="n"/>
      <c r="K1572" s="16" t="b">
        <v>0</v>
      </c>
      <c r="L1572" s="16" t="b">
        <v>0</v>
      </c>
      <c r="M1572" s="16" t="n"/>
      <c r="N1572" s="16" t="b">
        <v>1</v>
      </c>
      <c r="O1572" s="16" t="n">
        <v>450.035496024141</v>
      </c>
      <c r="P1572" s="16" t="n">
        <v>284.6098849332933</v>
      </c>
      <c r="Q1572" s="16" t="n">
        <v>2037.934117413673</v>
      </c>
      <c r="R1572" s="16" t="n">
        <v>2472.068119976742</v>
      </c>
      <c r="S1572" s="16" t="n">
        <v>0.7437242994301411</v>
      </c>
      <c r="T1572" s="16" t="n">
        <v>0.8179346949607377</v>
      </c>
      <c r="U1572" s="16" t="n">
        <v>0.6829685573388248</v>
      </c>
      <c r="V1572" s="16" t="n">
        <v>0.7661927832350873</v>
      </c>
      <c r="W1572" s="16" t="n">
        <v>0.7913510047334619</v>
      </c>
      <c r="X1572" s="16" t="n">
        <v>0.8204926133592779</v>
      </c>
      <c r="Y1572" s="16" t="n"/>
      <c r="Z1572" s="16" t="n"/>
      <c r="AA1572" s="16" t="n"/>
      <c r="AB1572" s="16" t="n">
        <v>-434.1340025630696</v>
      </c>
      <c r="AC1572" s="16" t="n">
        <v>0.8243842881776438</v>
      </c>
      <c r="AD1572" s="16" t="n"/>
      <c r="AE1572" s="16" t="n"/>
    </row>
    <row r="1573">
      <c r="A1573" s="16" t="inlineStr">
        <is>
          <t>KF-M04c-0001</t>
        </is>
      </c>
      <c r="B1573" s="16" t="inlineStr">
        <is>
          <t>3.3</t>
        </is>
      </c>
      <c r="C1573" s="16" t="inlineStr">
        <is>
          <t>3.3</t>
        </is>
      </c>
      <c r="D1573" s="16" t="inlineStr">
        <is>
          <t>P_baja de 1500 a 2500 kPa</t>
        </is>
      </c>
      <c r="E1573" s="16" t="inlineStr">
        <is>
          <t>KF-M04c</t>
        </is>
      </c>
      <c r="F1573" s="16" t="inlineStr">
        <is>
          <t>KF-M04c</t>
        </is>
      </c>
      <c r="G1573" s="16" t="inlineStr">
        <is>
          <t>B08</t>
        </is>
      </c>
      <c r="H1573" s="16" t="inlineStr">
        <is>
          <t>lhs</t>
        </is>
      </c>
      <c r="I1573" s="16" t="inlineStr">
        <is>
          <t>N2</t>
        </is>
      </c>
      <c r="J1573" s="16" t="inlineStr">
        <is>
          <t>NO_CONVERGIO</t>
        </is>
      </c>
      <c r="K1573" s="16" t="b">
        <v>0</v>
      </c>
      <c r="L1573" s="16" t="b">
        <v>0</v>
      </c>
      <c r="M1573" s="16" t="b">
        <v>0</v>
      </c>
      <c r="N1573" s="16" t="b">
        <v>0</v>
      </c>
      <c r="O1573" s="16" t="n">
        <v>390.4398665966994</v>
      </c>
      <c r="P1573" s="16" t="n">
        <v>282.2947962274959</v>
      </c>
      <c r="Q1573" s="16" t="n">
        <v>3432.389070802661</v>
      </c>
      <c r="R1573" s="16" t="n">
        <v>2446.042662126142</v>
      </c>
      <c r="S1573" s="16" t="n">
        <v>0.5132763836837659</v>
      </c>
      <c r="T1573" s="16" t="n">
        <v>0.8018552668165404</v>
      </c>
      <c r="U1573" s="16" t="n">
        <v>0.8475043001147259</v>
      </c>
      <c r="V1573" s="16" t="n">
        <v>0.921857523818699</v>
      </c>
      <c r="W1573" s="16" t="n">
        <v>0.6521132195337673</v>
      </c>
      <c r="X1573" s="16" t="n">
        <v>0.7990066915575935</v>
      </c>
      <c r="Y1573" s="16" t="n">
        <v>282.2947962274959</v>
      </c>
      <c r="Z1573" s="16" t="n">
        <v>-1.84210302680905</v>
      </c>
      <c r="AA1573" s="16" t="n">
        <v>-2.836994835165732</v>
      </c>
      <c r="AB1573" s="16" t="n">
        <v>986.3464086765188</v>
      </c>
      <c r="AC1573" s="16" t="n">
        <v>1.403241702995961</v>
      </c>
      <c r="AD1573" s="16" t="inlineStr">
        <is>
          <t>N2,O3,O5,C1,C3,C3</t>
        </is>
      </c>
      <c r="AE1573" s="16" t="n"/>
    </row>
    <row r="1574">
      <c r="A1574" s="16" t="inlineStr">
        <is>
          <t>KF-M04c-0002</t>
        </is>
      </c>
      <c r="B1574" s="16" t="inlineStr">
        <is>
          <t>3.3</t>
        </is>
      </c>
      <c r="C1574" s="16" t="inlineStr">
        <is>
          <t>3.3</t>
        </is>
      </c>
      <c r="D1574" s="16" t="inlineStr">
        <is>
          <t>P_baja de 1500 a 2500 kPa</t>
        </is>
      </c>
      <c r="E1574" s="16" t="inlineStr">
        <is>
          <t>KF-M04c</t>
        </is>
      </c>
      <c r="F1574" s="16" t="inlineStr">
        <is>
          <t>KF-M04c</t>
        </is>
      </c>
      <c r="G1574" s="16" t="inlineStr">
        <is>
          <t>B08</t>
        </is>
      </c>
      <c r="H1574" s="16" t="inlineStr">
        <is>
          <t>lhs</t>
        </is>
      </c>
      <c r="I1574" s="16" t="inlineStr">
        <is>
          <t>CORREGIBLE</t>
        </is>
      </c>
      <c r="J1574" s="16" t="inlineStr">
        <is>
          <t>CORREGIBLE</t>
        </is>
      </c>
      <c r="K1574" s="16" t="b">
        <v>1</v>
      </c>
      <c r="L1574" s="16" t="b">
        <v>0</v>
      </c>
      <c r="M1574" s="16" t="b">
        <v>0</v>
      </c>
      <c r="N1574" s="16" t="b">
        <v>0</v>
      </c>
      <c r="O1574" s="16" t="n">
        <v>432.6994908319649</v>
      </c>
      <c r="P1574" s="16" t="n">
        <v>303.0469754653772</v>
      </c>
      <c r="Q1574" s="16" t="n">
        <v>3520.172027688752</v>
      </c>
      <c r="R1574" s="16" t="n">
        <v>1790.68924805168</v>
      </c>
      <c r="S1574" s="16" t="n">
        <v>0.7922219648920018</v>
      </c>
      <c r="T1574" s="16" t="n">
        <v>0.8598095964426913</v>
      </c>
      <c r="U1574" s="16" t="n">
        <v>0.731105471220319</v>
      </c>
      <c r="V1574" s="16" t="n">
        <v>0.6905805614174769</v>
      </c>
      <c r="W1574" s="16" t="n">
        <v>0.7798132066654053</v>
      </c>
      <c r="X1574" s="16" t="n">
        <v>0.8186854027747896</v>
      </c>
      <c r="Y1574" s="16" t="n">
        <v>303.0469754653772</v>
      </c>
      <c r="Z1574" s="16" t="n">
        <v>6.51942623085659</v>
      </c>
      <c r="AA1574" s="16" t="n">
        <v>59.49917076798116</v>
      </c>
      <c r="AB1574" s="16" t="n">
        <v>1729.482779637072</v>
      </c>
      <c r="AC1574" s="16" t="n">
        <v>1.965819603551424</v>
      </c>
      <c r="AD1574" s="16" t="inlineStr">
        <is>
          <t>O2</t>
        </is>
      </c>
      <c r="AE1574" s="16" t="n"/>
    </row>
    <row r="1575">
      <c r="A1575" s="16" t="inlineStr">
        <is>
          <t>KF-M04c-0003</t>
        </is>
      </c>
      <c r="B1575" s="16" t="inlineStr">
        <is>
          <t>3.3</t>
        </is>
      </c>
      <c r="C1575" s="16" t="inlineStr">
        <is>
          <t>3.3</t>
        </is>
      </c>
      <c r="D1575" s="16" t="inlineStr">
        <is>
          <t>P_baja de 1500 a 2500 kPa</t>
        </is>
      </c>
      <c r="E1575" s="16" t="inlineStr">
        <is>
          <t>KF-M04c</t>
        </is>
      </c>
      <c r="F1575" s="16" t="inlineStr">
        <is>
          <t>KF-M04c</t>
        </is>
      </c>
      <c r="G1575" s="16" t="inlineStr">
        <is>
          <t>B08</t>
        </is>
      </c>
      <c r="H1575" s="16" t="inlineStr">
        <is>
          <t>lhs</t>
        </is>
      </c>
      <c r="I1575" s="16" t="inlineStr">
        <is>
          <t>OMITIDO</t>
        </is>
      </c>
      <c r="J1575" s="16" t="n"/>
      <c r="K1575" s="16" t="b">
        <v>0</v>
      </c>
      <c r="L1575" s="16" t="b">
        <v>0</v>
      </c>
      <c r="M1575" s="16" t="n"/>
      <c r="N1575" s="16" t="b">
        <v>1</v>
      </c>
      <c r="O1575" s="16" t="n">
        <v>431.1504294646113</v>
      </c>
      <c r="P1575" s="16" t="n">
        <v>289.3006977784301</v>
      </c>
      <c r="Q1575" s="16" t="n">
        <v>2358.639912231146</v>
      </c>
      <c r="R1575" s="16" t="n">
        <v>2367.89035059234</v>
      </c>
      <c r="S1575" s="16" t="n">
        <v>0.6522232541428291</v>
      </c>
      <c r="T1575" s="16" t="n">
        <v>0.7858012543025403</v>
      </c>
      <c r="U1575" s="16" t="n">
        <v>0.8064328954115627</v>
      </c>
      <c r="V1575" s="16" t="n">
        <v>0.8035727600491525</v>
      </c>
      <c r="W1575" s="16" t="n">
        <v>0.7895814677726519</v>
      </c>
      <c r="X1575" s="16" t="n">
        <v>0.7289946179672586</v>
      </c>
      <c r="Y1575" s="16" t="n"/>
      <c r="Z1575" s="16" t="n"/>
      <c r="AA1575" s="16" t="n"/>
      <c r="AB1575" s="16" t="n">
        <v>-9.250438361193574</v>
      </c>
      <c r="AC1575" s="16" t="n">
        <v>0.9960933839867714</v>
      </c>
      <c r="AD1575" s="16" t="n"/>
      <c r="AE1575" s="16" t="n"/>
    </row>
    <row r="1576">
      <c r="A1576" s="16" t="inlineStr">
        <is>
          <t>KF-M04c-0004</t>
        </is>
      </c>
      <c r="B1576" s="16" t="inlineStr">
        <is>
          <t>3.3</t>
        </is>
      </c>
      <c r="C1576" s="16" t="inlineStr">
        <is>
          <t>3.3</t>
        </is>
      </c>
      <c r="D1576" s="16" t="inlineStr">
        <is>
          <t>P_baja de 1500 a 2500 kPa</t>
        </is>
      </c>
      <c r="E1576" s="16" t="inlineStr">
        <is>
          <t>KF-M04c</t>
        </is>
      </c>
      <c r="F1576" s="16" t="inlineStr">
        <is>
          <t>KF-M04c</t>
        </is>
      </c>
      <c r="G1576" s="16" t="inlineStr">
        <is>
          <t>B08</t>
        </is>
      </c>
      <c r="H1576" s="16" t="inlineStr">
        <is>
          <t>lhs</t>
        </is>
      </c>
      <c r="I1576" s="16" t="inlineStr">
        <is>
          <t>OMITIDO</t>
        </is>
      </c>
      <c r="J1576" s="16" t="n"/>
      <c r="K1576" s="16" t="b">
        <v>0</v>
      </c>
      <c r="L1576" s="16" t="b">
        <v>0</v>
      </c>
      <c r="M1576" s="16" t="n"/>
      <c r="N1576" s="16" t="b">
        <v>1</v>
      </c>
      <c r="O1576" s="16" t="n">
        <v>431.6129077169137</v>
      </c>
      <c r="P1576" s="16" t="n">
        <v>283.5798836350967</v>
      </c>
      <c r="Q1576" s="16" t="n">
        <v>2172.361487937205</v>
      </c>
      <c r="R1576" s="16" t="n">
        <v>2054.78856728787</v>
      </c>
      <c r="S1576" s="16" t="n">
        <v>0.7181740112251178</v>
      </c>
      <c r="T1576" s="16" t="n">
        <v>0.8700852186092592</v>
      </c>
      <c r="U1576" s="16" t="n">
        <v>0.6511939813202473</v>
      </c>
      <c r="V1576" s="16" t="n">
        <v>0.7892880826123235</v>
      </c>
      <c r="W1576" s="16" t="n">
        <v>0.7439548440937905</v>
      </c>
      <c r="X1576" s="16" t="n">
        <v>0.8662317464496107</v>
      </c>
      <c r="Y1576" s="16" t="n"/>
      <c r="Z1576" s="16" t="n"/>
      <c r="AA1576" s="16" t="n"/>
      <c r="AB1576" s="16" t="n">
        <v>117.5729206493347</v>
      </c>
      <c r="AC1576" s="16" t="n">
        <v>1.057218987160572</v>
      </c>
      <c r="AD1576" s="16" t="n"/>
      <c r="AE1576" s="16" t="n"/>
    </row>
    <row r="1577">
      <c r="A1577" s="16" t="inlineStr">
        <is>
          <t>KF-M04c-0005</t>
        </is>
      </c>
      <c r="B1577" s="16" t="inlineStr">
        <is>
          <t>3.3</t>
        </is>
      </c>
      <c r="C1577" s="16" t="inlineStr">
        <is>
          <t>3.3</t>
        </is>
      </c>
      <c r="D1577" s="16" t="inlineStr">
        <is>
          <t>P_baja de 1500 a 2500 kPa</t>
        </is>
      </c>
      <c r="E1577" s="16" t="inlineStr">
        <is>
          <t>KF-M04c</t>
        </is>
      </c>
      <c r="F1577" s="16" t="inlineStr">
        <is>
          <t>KF-M04c</t>
        </is>
      </c>
      <c r="G1577" s="16" t="inlineStr">
        <is>
          <t>B08</t>
        </is>
      </c>
      <c r="H1577" s="16" t="inlineStr">
        <is>
          <t>lhs</t>
        </is>
      </c>
      <c r="I1577" s="16" t="inlineStr">
        <is>
          <t>CORREGIBLE</t>
        </is>
      </c>
      <c r="J1577" s="16" t="inlineStr">
        <is>
          <t>CORREGIBLE</t>
        </is>
      </c>
      <c r="K1577" s="16" t="b">
        <v>1</v>
      </c>
      <c r="L1577" s="16" t="b">
        <v>0</v>
      </c>
      <c r="M1577" s="16" t="b">
        <v>0</v>
      </c>
      <c r="N1577" s="16" t="b">
        <v>0</v>
      </c>
      <c r="O1577" s="16" t="n">
        <v>457.8763703239463</v>
      </c>
      <c r="P1577" s="16" t="n">
        <v>297.0986464438654</v>
      </c>
      <c r="Q1577" s="16" t="n">
        <v>3719.566979126963</v>
      </c>
      <c r="R1577" s="16" t="n">
        <v>1523.799278985118</v>
      </c>
      <c r="S1577" s="16" t="n">
        <v>0.7840962366344995</v>
      </c>
      <c r="T1577" s="16" t="n">
        <v>0.8533539882875352</v>
      </c>
      <c r="U1577" s="16" t="n">
        <v>0.8259673261798972</v>
      </c>
      <c r="V1577" s="16" t="n">
        <v>0.6044837674139375</v>
      </c>
      <c r="W1577" s="16" t="n">
        <v>0.8955287491871746</v>
      </c>
      <c r="X1577" s="16" t="n">
        <v>0.8816005741494491</v>
      </c>
      <c r="Y1577" s="16" t="n">
        <v>297.0986464438654</v>
      </c>
      <c r="Z1577" s="16" t="n">
        <v>8.19112789781326</v>
      </c>
      <c r="AA1577" s="16" t="n">
        <v>81.86139075824434</v>
      </c>
      <c r="AB1577" s="16" t="n">
        <v>2195.767700141844</v>
      </c>
      <c r="AC1577" s="16" t="n">
        <v>2.440982241180919</v>
      </c>
      <c r="AD1577" s="16" t="inlineStr">
        <is>
          <t>O2</t>
        </is>
      </c>
      <c r="AE1577" s="16" t="n"/>
    </row>
    <row r="1578">
      <c r="A1578" s="16" t="inlineStr">
        <is>
          <t>KF-M04c-0006</t>
        </is>
      </c>
      <c r="B1578" s="16" t="inlineStr">
        <is>
          <t>3.3</t>
        </is>
      </c>
      <c r="C1578" s="16" t="inlineStr">
        <is>
          <t>3.3</t>
        </is>
      </c>
      <c r="D1578" s="16" t="inlineStr">
        <is>
          <t>P_baja de 1500 a 2500 kPa</t>
        </is>
      </c>
      <c r="E1578" s="16" t="inlineStr">
        <is>
          <t>KF-M04c</t>
        </is>
      </c>
      <c r="F1578" s="16" t="inlineStr">
        <is>
          <t>KF-M04c</t>
        </is>
      </c>
      <c r="G1578" s="16" t="inlineStr">
        <is>
          <t>B08</t>
        </is>
      </c>
      <c r="H1578" s="16" t="inlineStr">
        <is>
          <t>lhs</t>
        </is>
      </c>
      <c r="I1578" s="16" t="inlineStr">
        <is>
          <t>KALINA</t>
        </is>
      </c>
      <c r="J1578" s="16" t="inlineStr">
        <is>
          <t>KALINA</t>
        </is>
      </c>
      <c r="K1578" s="16" t="b">
        <v>1</v>
      </c>
      <c r="L1578" s="16" t="b">
        <v>1</v>
      </c>
      <c r="M1578" s="16" t="b">
        <v>0</v>
      </c>
      <c r="N1578" s="16" t="b">
        <v>0</v>
      </c>
      <c r="O1578" s="16" t="n">
        <v>429.0549156640558</v>
      </c>
      <c r="P1578" s="16" t="n">
        <v>302.4403633809515</v>
      </c>
      <c r="Q1578" s="16" t="n">
        <v>2916.061184773991</v>
      </c>
      <c r="R1578" s="16" t="n">
        <v>2096.181681428085</v>
      </c>
      <c r="S1578" s="16" t="n">
        <v>0.5849658379418586</v>
      </c>
      <c r="T1578" s="16" t="n">
        <v>0.8307521303835663</v>
      </c>
      <c r="U1578" s="16" t="n">
        <v>0.692956579206518</v>
      </c>
      <c r="V1578" s="16" t="n">
        <v>0.7408731801786509</v>
      </c>
      <c r="W1578" s="16" t="n">
        <v>0.76800870471019</v>
      </c>
      <c r="X1578" s="16" t="n">
        <v>0.8778421247589593</v>
      </c>
      <c r="Y1578" s="16" t="n">
        <v>302.4403633809515</v>
      </c>
      <c r="Z1578" s="16" t="n">
        <v>2.4902919960983</v>
      </c>
      <c r="AA1578" s="16" t="n">
        <v>18.17338472335152</v>
      </c>
      <c r="AB1578" s="16" t="n">
        <v>819.8795033459055</v>
      </c>
      <c r="AC1578" s="16" t="n">
        <v>1.391129982009641</v>
      </c>
      <c r="AD1578" s="16" t="n"/>
      <c r="AE1578" s="16" t="n"/>
    </row>
    <row r="1579">
      <c r="A1579" s="16" t="inlineStr">
        <is>
          <t>KF-M04c-0007</t>
        </is>
      </c>
      <c r="B1579" s="16" t="inlineStr">
        <is>
          <t>3.3</t>
        </is>
      </c>
      <c r="C1579" s="16" t="inlineStr">
        <is>
          <t>3.3</t>
        </is>
      </c>
      <c r="D1579" s="16" t="inlineStr">
        <is>
          <t>P_baja de 1500 a 2500 kPa</t>
        </is>
      </c>
      <c r="E1579" s="16" t="inlineStr">
        <is>
          <t>KF-M04c</t>
        </is>
      </c>
      <c r="F1579" s="16" t="inlineStr">
        <is>
          <t>KF-M04c</t>
        </is>
      </c>
      <c r="G1579" s="16" t="inlineStr">
        <is>
          <t>B08</t>
        </is>
      </c>
      <c r="H1579" s="16" t="inlineStr">
        <is>
          <t>lhs</t>
        </is>
      </c>
      <c r="I1579" s="16" t="inlineStr">
        <is>
          <t>KALINA</t>
        </is>
      </c>
      <c r="J1579" s="16" t="inlineStr">
        <is>
          <t>KALINA</t>
        </is>
      </c>
      <c r="K1579" s="16" t="b">
        <v>1</v>
      </c>
      <c r="L1579" s="16" t="b">
        <v>1</v>
      </c>
      <c r="M1579" s="16" t="b">
        <v>0</v>
      </c>
      <c r="N1579" s="16" t="b">
        <v>0</v>
      </c>
      <c r="O1579" s="16" t="n">
        <v>399.8754470107883</v>
      </c>
      <c r="P1579" s="16" t="n">
        <v>280.9398863671551</v>
      </c>
      <c r="Q1579" s="16" t="n">
        <v>3080.143064359546</v>
      </c>
      <c r="R1579" s="16" t="n">
        <v>1604.636210125756</v>
      </c>
      <c r="S1579" s="16" t="n">
        <v>0.7634109623949563</v>
      </c>
      <c r="T1579" s="16" t="n">
        <v>0.8093672187162755</v>
      </c>
      <c r="U1579" s="16" t="n">
        <v>0.7360407313217491</v>
      </c>
      <c r="V1579" s="16" t="n">
        <v>0.8367037980708438</v>
      </c>
      <c r="W1579" s="16" t="n">
        <v>0.9476963824473652</v>
      </c>
      <c r="X1579" s="16" t="n">
        <v>0.8031141434366271</v>
      </c>
      <c r="Y1579" s="16" t="n">
        <v>280.9398863671551</v>
      </c>
      <c r="Z1579" s="16" t="n">
        <v>5.64374418215832</v>
      </c>
      <c r="AA1579" s="16" t="n">
        <v>43.70017387117802</v>
      </c>
      <c r="AB1579" s="16" t="n">
        <v>1475.50685423379</v>
      </c>
      <c r="AC1579" s="16" t="n">
        <v>1.919527332689416</v>
      </c>
      <c r="AD1579" s="16" t="n"/>
      <c r="AE1579" s="16" t="n"/>
    </row>
    <row r="1580">
      <c r="A1580" s="16" t="inlineStr">
        <is>
          <t>KF-M04c-0008</t>
        </is>
      </c>
      <c r="B1580" s="16" t="inlineStr">
        <is>
          <t>3.3</t>
        </is>
      </c>
      <c r="C1580" s="16" t="inlineStr">
        <is>
          <t>3.3</t>
        </is>
      </c>
      <c r="D1580" s="16" t="inlineStr">
        <is>
          <t>P_baja de 1500 a 2500 kPa</t>
        </is>
      </c>
      <c r="E1580" s="16" t="inlineStr">
        <is>
          <t>KF-M04c</t>
        </is>
      </c>
      <c r="F1580" s="16" t="inlineStr">
        <is>
          <t>KF-M04c</t>
        </is>
      </c>
      <c r="G1580" s="16" t="inlineStr">
        <is>
          <t>B08</t>
        </is>
      </c>
      <c r="H1580" s="16" t="inlineStr">
        <is>
          <t>lhs</t>
        </is>
      </c>
      <c r="I1580" s="16" t="inlineStr">
        <is>
          <t>CORREGIBLE</t>
        </is>
      </c>
      <c r="J1580" s="16" t="inlineStr">
        <is>
          <t>CORREGIBLE</t>
        </is>
      </c>
      <c r="K1580" s="16" t="b">
        <v>1</v>
      </c>
      <c r="L1580" s="16" t="b">
        <v>0</v>
      </c>
      <c r="M1580" s="16" t="b">
        <v>0</v>
      </c>
      <c r="N1580" s="16" t="b">
        <v>0</v>
      </c>
      <c r="O1580" s="16" t="n">
        <v>465.0743895832441</v>
      </c>
      <c r="P1580" s="16" t="n">
        <v>280.49097346784</v>
      </c>
      <c r="Q1580" s="16" t="n">
        <v>2467.938421960246</v>
      </c>
      <c r="R1580" s="16" t="n">
        <v>1785.646256258532</v>
      </c>
      <c r="S1580" s="16" t="n">
        <v>0.7198627017259152</v>
      </c>
      <c r="T1580" s="16" t="n">
        <v>0.8611349307829184</v>
      </c>
      <c r="U1580" s="16" t="n">
        <v>0.6770273057332904</v>
      </c>
      <c r="V1580" s="16" t="n">
        <v>0.6054905063514182</v>
      </c>
      <c r="W1580" s="16" t="n">
        <v>0.8316054193836205</v>
      </c>
      <c r="X1580" s="16" t="n">
        <v>0.7324660421334764</v>
      </c>
      <c r="Y1580" s="16" t="n">
        <v>280.49097346784</v>
      </c>
      <c r="Z1580" s="16" t="n">
        <v>2.87182095283785</v>
      </c>
      <c r="AA1580" s="16" t="n">
        <v>29.4089727637818</v>
      </c>
      <c r="AB1580" s="16" t="n">
        <v>682.2921657017146</v>
      </c>
      <c r="AC1580" s="16" t="n">
        <v>1.382098169394045</v>
      </c>
      <c r="AD1580" s="16" t="inlineStr">
        <is>
          <t>O2</t>
        </is>
      </c>
      <c r="AE1580" s="16" t="n"/>
    </row>
    <row r="1581">
      <c r="A1581" s="16" t="inlineStr">
        <is>
          <t>KF-M04c-0009</t>
        </is>
      </c>
      <c r="B1581" s="16" t="inlineStr">
        <is>
          <t>3.3</t>
        </is>
      </c>
      <c r="C1581" s="16" t="inlineStr">
        <is>
          <t>3.3</t>
        </is>
      </c>
      <c r="D1581" s="16" t="inlineStr">
        <is>
          <t>P_baja de 1500 a 2500 kPa</t>
        </is>
      </c>
      <c r="E1581" s="16" t="inlineStr">
        <is>
          <t>KF-M04c</t>
        </is>
      </c>
      <c r="F1581" s="16" t="inlineStr">
        <is>
          <t>KF-M04c</t>
        </is>
      </c>
      <c r="G1581" s="16" t="inlineStr">
        <is>
          <t>B08</t>
        </is>
      </c>
      <c r="H1581" s="16" t="inlineStr">
        <is>
          <t>lhs</t>
        </is>
      </c>
      <c r="I1581" s="16" t="inlineStr">
        <is>
          <t>KALINA</t>
        </is>
      </c>
      <c r="J1581" s="16" t="inlineStr">
        <is>
          <t>KALINA</t>
        </is>
      </c>
      <c r="K1581" s="16" t="b">
        <v>1</v>
      </c>
      <c r="L1581" s="16" t="b">
        <v>1</v>
      </c>
      <c r="M1581" s="16" t="b">
        <v>0</v>
      </c>
      <c r="N1581" s="16" t="b">
        <v>0</v>
      </c>
      <c r="O1581" s="16" t="n">
        <v>411.2695890426718</v>
      </c>
      <c r="P1581" s="16" t="n">
        <v>289.6089789408638</v>
      </c>
      <c r="Q1581" s="16" t="n">
        <v>3931.197874704566</v>
      </c>
      <c r="R1581" s="16" t="n">
        <v>2143.789516905501</v>
      </c>
      <c r="S1581" s="16" t="n">
        <v>0.6219483151996508</v>
      </c>
      <c r="T1581" s="16" t="n">
        <v>0.91918779398715</v>
      </c>
      <c r="U1581" s="16" t="n">
        <v>0.8647191263610277</v>
      </c>
      <c r="V1581" s="16" t="n">
        <v>0.6767862897063014</v>
      </c>
      <c r="W1581" s="16" t="n">
        <v>0.6504770230453498</v>
      </c>
      <c r="X1581" s="16" t="n">
        <v>0.7511211762305928</v>
      </c>
      <c r="Y1581" s="16" t="n">
        <v>289.6089789408638</v>
      </c>
      <c r="Z1581" s="16" t="n">
        <v>4.02192790892651</v>
      </c>
      <c r="AA1581" s="16" t="n">
        <v>17.369878359758</v>
      </c>
      <c r="AB1581" s="16" t="n">
        <v>1787.408357799065</v>
      </c>
      <c r="AC1581" s="16" t="n">
        <v>1.833761124263327</v>
      </c>
      <c r="AD1581" s="16" t="n"/>
      <c r="AE1581" s="16" t="n"/>
    </row>
    <row r="1582">
      <c r="A1582" s="16" t="inlineStr">
        <is>
          <t>KF-M04c-0010</t>
        </is>
      </c>
      <c r="B1582" s="16" t="inlineStr">
        <is>
          <t>3.3</t>
        </is>
      </c>
      <c r="C1582" s="16" t="inlineStr">
        <is>
          <t>3.3</t>
        </is>
      </c>
      <c r="D1582" s="16" t="inlineStr">
        <is>
          <t>P_baja de 1500 a 2500 kPa</t>
        </is>
      </c>
      <c r="E1582" s="16" t="inlineStr">
        <is>
          <t>KF-M04c</t>
        </is>
      </c>
      <c r="F1582" s="16" t="inlineStr">
        <is>
          <t>KF-M04c</t>
        </is>
      </c>
      <c r="G1582" s="16" t="inlineStr">
        <is>
          <t>B08</t>
        </is>
      </c>
      <c r="H1582" s="16" t="inlineStr">
        <is>
          <t>lhs</t>
        </is>
      </c>
      <c r="I1582" s="16" t="inlineStr">
        <is>
          <t>KALINA</t>
        </is>
      </c>
      <c r="J1582" s="16" t="inlineStr">
        <is>
          <t>KALINA</t>
        </is>
      </c>
      <c r="K1582" s="16" t="b">
        <v>1</v>
      </c>
      <c r="L1582" s="16" t="b">
        <v>0</v>
      </c>
      <c r="M1582" s="16" t="b">
        <v>1</v>
      </c>
      <c r="N1582" s="16" t="b">
        <v>0</v>
      </c>
      <c r="O1582" s="16" t="n">
        <v>494.7404471694847</v>
      </c>
      <c r="P1582" s="16" t="n">
        <v>291.8553306155917</v>
      </c>
      <c r="Q1582" s="16" t="n">
        <v>2694.664190498703</v>
      </c>
      <c r="R1582" s="16" t="n">
        <v>1981.397269808512</v>
      </c>
      <c r="S1582" s="16" t="n">
        <v>0.5673175851034441</v>
      </c>
      <c r="T1582" s="16" t="n">
        <v>0.8754527230637795</v>
      </c>
      <c r="U1582" s="16" t="n">
        <v>0.685850636281929</v>
      </c>
      <c r="V1582" s="16" t="n">
        <v>0.8869118063459107</v>
      </c>
      <c r="W1582" s="16" t="n">
        <v>0.9290428113099276</v>
      </c>
      <c r="X1582" s="16" t="n">
        <v>0.92361125371152</v>
      </c>
      <c r="Y1582" s="16" t="n">
        <v>291.8553306155917</v>
      </c>
      <c r="Z1582" s="16" t="n">
        <v>2.3956700112703</v>
      </c>
      <c r="AA1582" s="16" t="n">
        <v>46.09293895145823</v>
      </c>
      <c r="AB1582" s="16" t="n">
        <v>713.2669206901912</v>
      </c>
      <c r="AC1582" s="16" t="n">
        <v>1.359981782330367</v>
      </c>
      <c r="AD1582" s="16" t="n"/>
      <c r="AE1582" s="16" t="n"/>
    </row>
    <row r="1583">
      <c r="A1583" s="16" t="inlineStr">
        <is>
          <t>KF-M04c-0011</t>
        </is>
      </c>
      <c r="B1583" s="16" t="inlineStr">
        <is>
          <t>3.3</t>
        </is>
      </c>
      <c r="C1583" s="16" t="inlineStr">
        <is>
          <t>3.3</t>
        </is>
      </c>
      <c r="D1583" s="16" t="inlineStr">
        <is>
          <t>P_baja de 1500 a 2500 kPa</t>
        </is>
      </c>
      <c r="E1583" s="16" t="inlineStr">
        <is>
          <t>KF-M04c</t>
        </is>
      </c>
      <c r="F1583" s="16" t="inlineStr">
        <is>
          <t>KF-M04c</t>
        </is>
      </c>
      <c r="G1583" s="16" t="inlineStr">
        <is>
          <t>B08</t>
        </is>
      </c>
      <c r="H1583" s="16" t="inlineStr">
        <is>
          <t>lhs</t>
        </is>
      </c>
      <c r="I1583" s="16" t="inlineStr">
        <is>
          <t>KALINA</t>
        </is>
      </c>
      <c r="J1583" s="16" t="inlineStr">
        <is>
          <t>KALINA</t>
        </is>
      </c>
      <c r="K1583" s="16" t="b">
        <v>1</v>
      </c>
      <c r="L1583" s="16" t="b">
        <v>1</v>
      </c>
      <c r="M1583" s="16" t="b">
        <v>0</v>
      </c>
      <c r="N1583" s="16" t="b">
        <v>0</v>
      </c>
      <c r="O1583" s="16" t="n">
        <v>410.2474695314724</v>
      </c>
      <c r="P1583" s="16" t="n">
        <v>294.5799555506383</v>
      </c>
      <c r="Q1583" s="16" t="n">
        <v>4185.474905912935</v>
      </c>
      <c r="R1583" s="16" t="n">
        <v>1628.785266354178</v>
      </c>
      <c r="S1583" s="16" t="n">
        <v>0.5306587423461543</v>
      </c>
      <c r="T1583" s="16" t="n">
        <v>0.8195326075381834</v>
      </c>
      <c r="U1583" s="16" t="n">
        <v>0.7257072207106948</v>
      </c>
      <c r="V1583" s="16" t="n">
        <v>0.7133590101591623</v>
      </c>
      <c r="W1583" s="16" t="n">
        <v>0.6999293851478459</v>
      </c>
      <c r="X1583" s="16" t="n">
        <v>0.8125374913302172</v>
      </c>
      <c r="Y1583" s="16" t="n">
        <v>294.5799555506383</v>
      </c>
      <c r="Z1583" s="16" t="n">
        <v>1.47734687753859</v>
      </c>
      <c r="AA1583" s="16" t="n">
        <v>3.484156123590505</v>
      </c>
      <c r="AB1583" s="16" t="n">
        <v>2556.689639558757</v>
      </c>
      <c r="AC1583" s="16" t="n">
        <v>2.569691040539414</v>
      </c>
      <c r="AD1583" s="16" t="n"/>
      <c r="AE1583" s="16" t="n"/>
    </row>
    <row r="1584">
      <c r="A1584" s="16" t="inlineStr">
        <is>
          <t>KF-M04c-0012</t>
        </is>
      </c>
      <c r="B1584" s="16" t="inlineStr">
        <is>
          <t>3.3</t>
        </is>
      </c>
      <c r="C1584" s="16" t="inlineStr">
        <is>
          <t>3.3</t>
        </is>
      </c>
      <c r="D1584" s="16" t="inlineStr">
        <is>
          <t>P_baja de 1500 a 2500 kPa</t>
        </is>
      </c>
      <c r="E1584" s="16" t="inlineStr">
        <is>
          <t>KF-M04c</t>
        </is>
      </c>
      <c r="F1584" s="16" t="inlineStr">
        <is>
          <t>KF-M04c</t>
        </is>
      </c>
      <c r="G1584" s="16" t="inlineStr">
        <is>
          <t>B08</t>
        </is>
      </c>
      <c r="H1584" s="16" t="inlineStr">
        <is>
          <t>lhs</t>
        </is>
      </c>
      <c r="I1584" s="16" t="inlineStr">
        <is>
          <t>CORREGIBLE</t>
        </is>
      </c>
      <c r="J1584" s="16" t="inlineStr">
        <is>
          <t>CORREGIBLE</t>
        </is>
      </c>
      <c r="K1584" s="16" t="b">
        <v>1</v>
      </c>
      <c r="L1584" s="16" t="b">
        <v>0</v>
      </c>
      <c r="M1584" s="16" t="b">
        <v>1</v>
      </c>
      <c r="N1584" s="16" t="b">
        <v>0</v>
      </c>
      <c r="O1584" s="16" t="n">
        <v>450.9893074811102</v>
      </c>
      <c r="P1584" s="16" t="n">
        <v>299.2443835272988</v>
      </c>
      <c r="Q1584" s="16" t="n">
        <v>4689.398241648308</v>
      </c>
      <c r="R1584" s="16" t="n">
        <v>1766.295157486949</v>
      </c>
      <c r="S1584" s="16" t="n">
        <v>0.7953345150241091</v>
      </c>
      <c r="T1584" s="16" t="n">
        <v>0.8359843860745628</v>
      </c>
      <c r="U1584" s="16" t="n">
        <v>0.7961569412774487</v>
      </c>
      <c r="V1584" s="16" t="n">
        <v>0.7157411276781915</v>
      </c>
      <c r="W1584" s="16" t="n">
        <v>0.7253890827746153</v>
      </c>
      <c r="X1584" s="16" t="n">
        <v>0.8336510662308577</v>
      </c>
      <c r="Y1584" s="16" t="n">
        <v>299.2443835272988</v>
      </c>
      <c r="Z1584" s="16" t="n">
        <v>8.820690511451181</v>
      </c>
      <c r="AA1584" s="16" t="n">
        <v>92.73013662344378</v>
      </c>
      <c r="AB1584" s="16" t="n">
        <v>2923.103084161358</v>
      </c>
      <c r="AC1584" s="16" t="n">
        <v>2.654934664668556</v>
      </c>
      <c r="AD1584" s="16" t="inlineStr">
        <is>
          <t>O2</t>
        </is>
      </c>
      <c r="AE1584" s="16" t="n"/>
    </row>
    <row r="1585">
      <c r="A1585" s="16" t="inlineStr">
        <is>
          <t>KF-M04c-0013</t>
        </is>
      </c>
      <c r="B1585" s="16" t="inlineStr">
        <is>
          <t>3.3</t>
        </is>
      </c>
      <c r="C1585" s="16" t="inlineStr">
        <is>
          <t>3.3</t>
        </is>
      </c>
      <c r="D1585" s="16" t="inlineStr">
        <is>
          <t>P_baja de 1500 a 2500 kPa</t>
        </is>
      </c>
      <c r="E1585" s="16" t="inlineStr">
        <is>
          <t>KF-M04c</t>
        </is>
      </c>
      <c r="F1585" s="16" t="inlineStr">
        <is>
          <t>KF-M04c</t>
        </is>
      </c>
      <c r="G1585" s="16" t="inlineStr">
        <is>
          <t>B08</t>
        </is>
      </c>
      <c r="H1585" s="16" t="inlineStr">
        <is>
          <t>lhs</t>
        </is>
      </c>
      <c r="I1585" s="16" t="inlineStr">
        <is>
          <t>KALINA</t>
        </is>
      </c>
      <c r="J1585" s="16" t="inlineStr">
        <is>
          <t>KALINA</t>
        </is>
      </c>
      <c r="K1585" s="16" t="b">
        <v>1</v>
      </c>
      <c r="L1585" s="16" t="b">
        <v>0</v>
      </c>
      <c r="M1585" s="16" t="b">
        <v>1</v>
      </c>
      <c r="N1585" s="16" t="b">
        <v>0</v>
      </c>
      <c r="O1585" s="16" t="n">
        <v>474.8477944635779</v>
      </c>
      <c r="P1585" s="16" t="n">
        <v>290.5015237429492</v>
      </c>
      <c r="Q1585" s="16" t="n">
        <v>3752.053337497172</v>
      </c>
      <c r="R1585" s="16" t="n">
        <v>1655.513367141967</v>
      </c>
      <c r="S1585" s="16" t="n">
        <v>0.6741527869692465</v>
      </c>
      <c r="T1585" s="16" t="n">
        <v>0.8032807891530898</v>
      </c>
      <c r="U1585" s="16" t="n">
        <v>0.7904855594185187</v>
      </c>
      <c r="V1585" s="16" t="n">
        <v>0.7263385640400988</v>
      </c>
      <c r="W1585" s="16" t="n">
        <v>0.9103249120657158</v>
      </c>
      <c r="X1585" s="16" t="n">
        <v>0.9421721114255678</v>
      </c>
      <c r="Y1585" s="16" t="n">
        <v>290.5015237429492</v>
      </c>
      <c r="Z1585" s="16" t="n">
        <v>6.06688631818431</v>
      </c>
      <c r="AA1585" s="16" t="n">
        <v>84.21251472832272</v>
      </c>
      <c r="AB1585" s="16" t="n">
        <v>2096.539970355205</v>
      </c>
      <c r="AC1585" s="16" t="n">
        <v>2.266398696601655</v>
      </c>
      <c r="AD1585" s="16" t="n"/>
      <c r="AE1585" s="16" t="n"/>
    </row>
    <row r="1586">
      <c r="A1586" s="16" t="inlineStr">
        <is>
          <t>KF-M04c-0014</t>
        </is>
      </c>
      <c r="B1586" s="16" t="inlineStr">
        <is>
          <t>3.3</t>
        </is>
      </c>
      <c r="C1586" s="16" t="inlineStr">
        <is>
          <t>3.3</t>
        </is>
      </c>
      <c r="D1586" s="16" t="inlineStr">
        <is>
          <t>P_baja de 1500 a 2500 kPa</t>
        </is>
      </c>
      <c r="E1586" s="16" t="inlineStr">
        <is>
          <t>KF-M04c</t>
        </is>
      </c>
      <c r="F1586" s="16" t="inlineStr">
        <is>
          <t>KF-M04c</t>
        </is>
      </c>
      <c r="G1586" s="16" t="inlineStr">
        <is>
          <t>B08</t>
        </is>
      </c>
      <c r="H1586" s="16" t="inlineStr">
        <is>
          <t>lhs</t>
        </is>
      </c>
      <c r="I1586" s="16" t="inlineStr">
        <is>
          <t>KALINA</t>
        </is>
      </c>
      <c r="J1586" s="16" t="inlineStr">
        <is>
          <t>KALINA</t>
        </is>
      </c>
      <c r="K1586" s="16" t="b">
        <v>1</v>
      </c>
      <c r="L1586" s="16" t="b">
        <v>1</v>
      </c>
      <c r="M1586" s="16" t="b">
        <v>0</v>
      </c>
      <c r="N1586" s="16" t="b">
        <v>0</v>
      </c>
      <c r="O1586" s="16" t="n">
        <v>391.5660221531734</v>
      </c>
      <c r="P1586" s="16" t="n">
        <v>292.5205869326031</v>
      </c>
      <c r="Q1586" s="16" t="n">
        <v>2802.809760742077</v>
      </c>
      <c r="R1586" s="16" t="n">
        <v>2423.018631598137</v>
      </c>
      <c r="S1586" s="16" t="n">
        <v>0.7060159498116451</v>
      </c>
      <c r="T1586" s="16" t="n">
        <v>0.7569499134573461</v>
      </c>
      <c r="U1586" s="16" t="n">
        <v>0.8127825198499503</v>
      </c>
      <c r="V1586" s="16" t="n">
        <v>0.9288401279826</v>
      </c>
      <c r="W1586" s="16" t="n">
        <v>0.8610582569277669</v>
      </c>
      <c r="X1586" s="16" t="n">
        <v>0.7398987632130107</v>
      </c>
      <c r="Y1586" s="16" t="n">
        <v>292.5205869326031</v>
      </c>
      <c r="Z1586" s="16" t="n">
        <v>1.23497821787083</v>
      </c>
      <c r="AA1586" s="16" t="n">
        <v>7.94138154531292</v>
      </c>
      <c r="AB1586" s="16" t="n">
        <v>379.79112914394</v>
      </c>
      <c r="AC1586" s="16" t="n">
        <v>1.156742966888968</v>
      </c>
      <c r="AD1586" s="16" t="n"/>
      <c r="AE1586" s="16" t="n"/>
    </row>
    <row r="1587">
      <c r="A1587" s="16" t="inlineStr">
        <is>
          <t>KF-M04c-0015</t>
        </is>
      </c>
      <c r="B1587" s="16" t="inlineStr">
        <is>
          <t>3.3</t>
        </is>
      </c>
      <c r="C1587" s="16" t="inlineStr">
        <is>
          <t>3.3</t>
        </is>
      </c>
      <c r="D1587" s="16" t="inlineStr">
        <is>
          <t>P_baja de 1500 a 2500 kPa</t>
        </is>
      </c>
      <c r="E1587" s="16" t="inlineStr">
        <is>
          <t>KF-M04c</t>
        </is>
      </c>
      <c r="F1587" s="16" t="inlineStr">
        <is>
          <t>KF-M04c</t>
        </is>
      </c>
      <c r="G1587" s="16" t="inlineStr">
        <is>
          <t>B08</t>
        </is>
      </c>
      <c r="H1587" s="16" t="inlineStr">
        <is>
          <t>lhs</t>
        </is>
      </c>
      <c r="I1587" s="16" t="inlineStr">
        <is>
          <t>KALINA</t>
        </is>
      </c>
      <c r="J1587" s="16" t="inlineStr">
        <is>
          <t>KALINA</t>
        </is>
      </c>
      <c r="K1587" s="16" t="b">
        <v>1</v>
      </c>
      <c r="L1587" s="16" t="b">
        <v>1</v>
      </c>
      <c r="M1587" s="16" t="b">
        <v>0</v>
      </c>
      <c r="N1587" s="16" t="b">
        <v>0</v>
      </c>
      <c r="O1587" s="16" t="n">
        <v>412.7595940248629</v>
      </c>
      <c r="P1587" s="16" t="n">
        <v>286.7545652134839</v>
      </c>
      <c r="Q1587" s="16" t="n">
        <v>4887.819971582242</v>
      </c>
      <c r="R1587" s="16" t="n">
        <v>2482.357497177626</v>
      </c>
      <c r="S1587" s="16" t="n">
        <v>0.7303034719686323</v>
      </c>
      <c r="T1587" s="16" t="n">
        <v>0.878283994404111</v>
      </c>
      <c r="U1587" s="16" t="n">
        <v>0.8509604669845663</v>
      </c>
      <c r="V1587" s="16" t="n">
        <v>0.8428570054746163</v>
      </c>
      <c r="W1587" s="16" t="n">
        <v>0.6155247656865818</v>
      </c>
      <c r="X1587" s="16" t="n">
        <v>0.9022305892072668</v>
      </c>
      <c r="Y1587" s="16" t="n">
        <v>286.7545652134839</v>
      </c>
      <c r="Z1587" s="16" t="n">
        <v>4.808370934406421</v>
      </c>
      <c r="AA1587" s="16" t="n">
        <v>34.10943882872089</v>
      </c>
      <c r="AB1587" s="16" t="n">
        <v>2405.462474404616</v>
      </c>
      <c r="AC1587" s="16" t="n">
        <v>1.969023388911372</v>
      </c>
      <c r="AD1587" s="16" t="n"/>
      <c r="AE1587" s="16" t="n"/>
    </row>
    <row r="1588">
      <c r="A1588" s="16" t="inlineStr">
        <is>
          <t>KF-M04c-0016</t>
        </is>
      </c>
      <c r="B1588" s="16" t="inlineStr">
        <is>
          <t>3.3</t>
        </is>
      </c>
      <c r="C1588" s="16" t="inlineStr">
        <is>
          <t>3.3</t>
        </is>
      </c>
      <c r="D1588" s="16" t="inlineStr">
        <is>
          <t>P_baja de 1500 a 2500 kPa</t>
        </is>
      </c>
      <c r="E1588" s="16" t="inlineStr">
        <is>
          <t>KF-M04c</t>
        </is>
      </c>
      <c r="F1588" s="16" t="inlineStr">
        <is>
          <t>KF-M04c</t>
        </is>
      </c>
      <c r="G1588" s="16" t="inlineStr">
        <is>
          <t>B08</t>
        </is>
      </c>
      <c r="H1588" s="16" t="inlineStr">
        <is>
          <t>lhs</t>
        </is>
      </c>
      <c r="I1588" s="16" t="inlineStr">
        <is>
          <t>KALINA</t>
        </is>
      </c>
      <c r="J1588" s="16" t="inlineStr">
        <is>
          <t>KALINA</t>
        </is>
      </c>
      <c r="K1588" s="16" t="b">
        <v>1</v>
      </c>
      <c r="L1588" s="16" t="b">
        <v>1</v>
      </c>
      <c r="M1588" s="16" t="b">
        <v>0</v>
      </c>
      <c r="N1588" s="16" t="b">
        <v>0</v>
      </c>
      <c r="O1588" s="16" t="n">
        <v>415.8314631621158</v>
      </c>
      <c r="P1588" s="16" t="n">
        <v>280.8139402468917</v>
      </c>
      <c r="Q1588" s="16" t="n">
        <v>4909.596024434353</v>
      </c>
      <c r="R1588" s="16" t="n">
        <v>2406.867703420082</v>
      </c>
      <c r="S1588" s="16" t="n">
        <v>0.6974498600064004</v>
      </c>
      <c r="T1588" s="16" t="n">
        <v>0.8571984653028089</v>
      </c>
      <c r="U1588" s="16" t="n">
        <v>0.807701985112626</v>
      </c>
      <c r="V1588" s="16" t="n">
        <v>0.8055913661767267</v>
      </c>
      <c r="W1588" s="16" t="n">
        <v>0.8763660612833688</v>
      </c>
      <c r="X1588" s="16" t="n">
        <v>0.8838251353037161</v>
      </c>
      <c r="Y1588" s="16" t="n">
        <v>280.8139402468917</v>
      </c>
      <c r="Z1588" s="16" t="n">
        <v>5.15339812915488</v>
      </c>
      <c r="AA1588" s="16" t="n">
        <v>30.02342566538902</v>
      </c>
      <c r="AB1588" s="16" t="n">
        <v>2502.728321014271</v>
      </c>
      <c r="AC1588" s="16" t="n">
        <v>2.039827954589267</v>
      </c>
      <c r="AD1588" s="16" t="n"/>
      <c r="AE1588" s="16" t="n"/>
    </row>
    <row r="1589">
      <c r="A1589" s="16" t="inlineStr">
        <is>
          <t>KF-M04c-0017</t>
        </is>
      </c>
      <c r="B1589" s="16" t="inlineStr">
        <is>
          <t>3.3</t>
        </is>
      </c>
      <c r="C1589" s="16" t="inlineStr">
        <is>
          <t>3.3</t>
        </is>
      </c>
      <c r="D1589" s="16" t="inlineStr">
        <is>
          <t>P_baja de 1500 a 2500 kPa</t>
        </is>
      </c>
      <c r="E1589" s="16" t="inlineStr">
        <is>
          <t>KF-M04c</t>
        </is>
      </c>
      <c r="F1589" s="16" t="inlineStr">
        <is>
          <t>KF-M04c</t>
        </is>
      </c>
      <c r="G1589" s="16" t="inlineStr">
        <is>
          <t>B08</t>
        </is>
      </c>
      <c r="H1589" s="16" t="inlineStr">
        <is>
          <t>lhs</t>
        </is>
      </c>
      <c r="I1589" s="16" t="inlineStr">
        <is>
          <t>KALINA</t>
        </is>
      </c>
      <c r="J1589" s="16" t="inlineStr">
        <is>
          <t>KALINA</t>
        </is>
      </c>
      <c r="K1589" s="16" t="b">
        <v>1</v>
      </c>
      <c r="L1589" s="16" t="b">
        <v>0</v>
      </c>
      <c r="M1589" s="16" t="b">
        <v>1</v>
      </c>
      <c r="N1589" s="16" t="b">
        <v>0</v>
      </c>
      <c r="O1589" s="16" t="n">
        <v>495.9280611290693</v>
      </c>
      <c r="P1589" s="16" t="n">
        <v>303.4104516690429</v>
      </c>
      <c r="Q1589" s="16" t="n">
        <v>3056.703732319918</v>
      </c>
      <c r="R1589" s="16" t="n">
        <v>2342.877823990452</v>
      </c>
      <c r="S1589" s="16" t="n">
        <v>0.6781410013500402</v>
      </c>
      <c r="T1589" s="16" t="n">
        <v>0.7805265216480682</v>
      </c>
      <c r="U1589" s="16" t="n">
        <v>0.6711171341190951</v>
      </c>
      <c r="V1589" s="16" t="n">
        <v>0.9145739028648504</v>
      </c>
      <c r="W1589" s="16" t="n">
        <v>0.6326234890955563</v>
      </c>
      <c r="X1589" s="16" t="n">
        <v>0.8887542361024987</v>
      </c>
      <c r="Y1589" s="16" t="n">
        <v>303.4104516690429</v>
      </c>
      <c r="Z1589" s="16" t="n">
        <v>2.08102168152804</v>
      </c>
      <c r="AA1589" s="16" t="n">
        <v>36.76761675392513</v>
      </c>
      <c r="AB1589" s="16" t="n">
        <v>713.8259083294661</v>
      </c>
      <c r="AC1589" s="16" t="n">
        <v>1.30467910064284</v>
      </c>
      <c r="AD1589" s="16" t="n"/>
      <c r="AE1589" s="16" t="n"/>
    </row>
    <row r="1590">
      <c r="A1590" s="16" t="inlineStr">
        <is>
          <t>KF-M04c-0018</t>
        </is>
      </c>
      <c r="B1590" s="16" t="inlineStr">
        <is>
          <t>3.3</t>
        </is>
      </c>
      <c r="C1590" s="16" t="inlineStr">
        <is>
          <t>3.3</t>
        </is>
      </c>
      <c r="D1590" s="16" t="inlineStr">
        <is>
          <t>P_baja de 1500 a 2500 kPa</t>
        </is>
      </c>
      <c r="E1590" s="16" t="inlineStr">
        <is>
          <t>KF-M04c</t>
        </is>
      </c>
      <c r="F1590" s="16" t="inlineStr">
        <is>
          <t>KF-M04c</t>
        </is>
      </c>
      <c r="G1590" s="16" t="inlineStr">
        <is>
          <t>B08</t>
        </is>
      </c>
      <c r="H1590" s="16" t="inlineStr">
        <is>
          <t>lhs</t>
        </is>
      </c>
      <c r="I1590" s="16" t="inlineStr">
        <is>
          <t>KALINA</t>
        </is>
      </c>
      <c r="J1590" s="16" t="inlineStr">
        <is>
          <t>KALINA</t>
        </is>
      </c>
      <c r="K1590" s="16" t="b">
        <v>1</v>
      </c>
      <c r="L1590" s="16" t="b">
        <v>0</v>
      </c>
      <c r="M1590" s="16" t="b">
        <v>1</v>
      </c>
      <c r="N1590" s="16" t="b">
        <v>0</v>
      </c>
      <c r="O1590" s="16" t="n">
        <v>441.703492090925</v>
      </c>
      <c r="P1590" s="16" t="n">
        <v>279.1577873569639</v>
      </c>
      <c r="Q1590" s="16" t="n">
        <v>4263.532472464449</v>
      </c>
      <c r="R1590" s="16" t="n">
        <v>1582.364931794596</v>
      </c>
      <c r="S1590" s="16" t="n">
        <v>0.6275566781315488</v>
      </c>
      <c r="T1590" s="16" t="n">
        <v>0.8472758789635302</v>
      </c>
      <c r="U1590" s="16" t="n">
        <v>0.7859278006776804</v>
      </c>
      <c r="V1590" s="16" t="n">
        <v>0.6974121689872467</v>
      </c>
      <c r="W1590" s="16" t="n">
        <v>0.9429467720471922</v>
      </c>
      <c r="X1590" s="16" t="n">
        <v>0.8265431798978753</v>
      </c>
      <c r="Y1590" s="16" t="n">
        <v>279.1577873569639</v>
      </c>
      <c r="Z1590" s="16" t="n">
        <v>7.658534540563871</v>
      </c>
      <c r="AA1590" s="16" t="n">
        <v>53.18733092617674</v>
      </c>
      <c r="AB1590" s="16" t="n">
        <v>2681.167540669853</v>
      </c>
      <c r="AC1590" s="16" t="n">
        <v>2.694405308659792</v>
      </c>
      <c r="AD1590" s="16" t="n"/>
      <c r="AE1590" s="16" t="n"/>
    </row>
    <row r="1591">
      <c r="A1591" s="16" t="inlineStr">
        <is>
          <t>KF-M04c-0019</t>
        </is>
      </c>
      <c r="B1591" s="16" t="inlineStr">
        <is>
          <t>3.3</t>
        </is>
      </c>
      <c r="C1591" s="16" t="inlineStr">
        <is>
          <t>3.3</t>
        </is>
      </c>
      <c r="D1591" s="16" t="inlineStr">
        <is>
          <t>P_baja de 1500 a 2500 kPa</t>
        </is>
      </c>
      <c r="E1591" s="16" t="inlineStr">
        <is>
          <t>KF-M04c</t>
        </is>
      </c>
      <c r="F1591" s="16" t="inlineStr">
        <is>
          <t>KF-M04c</t>
        </is>
      </c>
      <c r="G1591" s="16" t="inlineStr">
        <is>
          <t>B08</t>
        </is>
      </c>
      <c r="H1591" s="16" t="inlineStr">
        <is>
          <t>lhs</t>
        </is>
      </c>
      <c r="I1591" s="16" t="inlineStr">
        <is>
          <t>N2</t>
        </is>
      </c>
      <c r="J1591" s="16" t="inlineStr">
        <is>
          <t>NO_CONVERGIO</t>
        </is>
      </c>
      <c r="K1591" s="16" t="b">
        <v>0</v>
      </c>
      <c r="L1591" s="16" t="b">
        <v>0</v>
      </c>
      <c r="M1591" s="16" t="b">
        <v>0</v>
      </c>
      <c r="N1591" s="16" t="b">
        <v>0</v>
      </c>
      <c r="O1591" s="16" t="n">
        <v>404.9150000986174</v>
      </c>
      <c r="P1591" s="16" t="n">
        <v>283.8879244010575</v>
      </c>
      <c r="Q1591" s="16" t="n">
        <v>4944.426066848791</v>
      </c>
      <c r="R1591" s="16" t="n">
        <v>1972.368340335818</v>
      </c>
      <c r="S1591" s="16" t="n">
        <v>0.5149990508954705</v>
      </c>
      <c r="T1591" s="16" t="n">
        <v>0.786859310820643</v>
      </c>
      <c r="U1591" s="16" t="n">
        <v>0.7199148657768005</v>
      </c>
      <c r="V1591" s="16" t="n">
        <v>0.6590218161311133</v>
      </c>
      <c r="W1591" s="16" t="n">
        <v>0.8261790000693545</v>
      </c>
      <c r="X1591" s="16" t="n">
        <v>0.7495669492632092</v>
      </c>
      <c r="Y1591" s="16" t="n">
        <v>283.8879244010575</v>
      </c>
      <c r="Z1591" s="16" t="n">
        <v>-73.8726908869733</v>
      </c>
      <c r="AA1591" s="16" t="n">
        <v>-20.02344328242749</v>
      </c>
      <c r="AB1591" s="16" t="n">
        <v>2972.057726512973</v>
      </c>
      <c r="AC1591" s="16" t="n">
        <v>2.506847207863286</v>
      </c>
      <c r="AD1591" s="16" t="inlineStr">
        <is>
          <t>N2,S6,O3,O5,C1,C3,C3</t>
        </is>
      </c>
      <c r="AE1591" s="16" t="n"/>
    </row>
    <row r="1592">
      <c r="A1592" s="16" t="inlineStr">
        <is>
          <t>KF-M04c-0020</t>
        </is>
      </c>
      <c r="B1592" s="16" t="inlineStr">
        <is>
          <t>3.3</t>
        </is>
      </c>
      <c r="C1592" s="16" t="inlineStr">
        <is>
          <t>3.3</t>
        </is>
      </c>
      <c r="D1592" s="16" t="inlineStr">
        <is>
          <t>P_baja de 1500 a 2500 kPa</t>
        </is>
      </c>
      <c r="E1592" s="16" t="inlineStr">
        <is>
          <t>KF-M04c</t>
        </is>
      </c>
      <c r="F1592" s="16" t="inlineStr">
        <is>
          <t>KF-M04c</t>
        </is>
      </c>
      <c r="G1592" s="16" t="inlineStr">
        <is>
          <t>B08</t>
        </is>
      </c>
      <c r="H1592" s="16" t="inlineStr">
        <is>
          <t>lhs</t>
        </is>
      </c>
      <c r="I1592" s="16" t="inlineStr">
        <is>
          <t>KALINA</t>
        </is>
      </c>
      <c r="J1592" s="16" t="inlineStr">
        <is>
          <t>KALINA</t>
        </is>
      </c>
      <c r="K1592" s="16" t="b">
        <v>1</v>
      </c>
      <c r="L1592" s="16" t="b">
        <v>1</v>
      </c>
      <c r="M1592" s="16" t="b">
        <v>0</v>
      </c>
      <c r="N1592" s="16" t="b">
        <v>0</v>
      </c>
      <c r="O1592" s="16" t="n">
        <v>397.7829503800403</v>
      </c>
      <c r="P1592" s="16" t="n">
        <v>290.3173045404957</v>
      </c>
      <c r="Q1592" s="16" t="n">
        <v>3249.398768663742</v>
      </c>
      <c r="R1592" s="16" t="n">
        <v>2388.225783663329</v>
      </c>
      <c r="S1592" s="16" t="n">
        <v>0.7555057444861117</v>
      </c>
      <c r="T1592" s="16" t="n">
        <v>0.7902074840597973</v>
      </c>
      <c r="U1592" s="16" t="n">
        <v>0.76585356742931</v>
      </c>
      <c r="V1592" s="16" t="n">
        <v>0.8334126385096147</v>
      </c>
      <c r="W1592" s="16" t="n">
        <v>0.6402984987337785</v>
      </c>
      <c r="X1592" s="16" t="n">
        <v>0.9207115229963408</v>
      </c>
      <c r="Y1592" s="16" t="n">
        <v>290.3173045404957</v>
      </c>
      <c r="Z1592" s="16" t="n">
        <v>2.27309470580508</v>
      </c>
      <c r="AA1592" s="16" t="n">
        <v>17.93955874670736</v>
      </c>
      <c r="AB1592" s="16" t="n">
        <v>861.1729850004135</v>
      </c>
      <c r="AC1592" s="16" t="n">
        <v>1.36059110947184</v>
      </c>
      <c r="AD1592" s="16" t="n"/>
      <c r="AE1592" s="16" t="n"/>
    </row>
    <row r="1593">
      <c r="A1593" s="16" t="inlineStr">
        <is>
          <t>KF-M04c-0021</t>
        </is>
      </c>
      <c r="B1593" s="16" t="inlineStr">
        <is>
          <t>3.3</t>
        </is>
      </c>
      <c r="C1593" s="16" t="inlineStr">
        <is>
          <t>3.3</t>
        </is>
      </c>
      <c r="D1593" s="16" t="inlineStr">
        <is>
          <t>P_baja de 1500 a 2500 kPa</t>
        </is>
      </c>
      <c r="E1593" s="16" t="inlineStr">
        <is>
          <t>KF-M04c</t>
        </is>
      </c>
      <c r="F1593" s="16" t="inlineStr">
        <is>
          <t>KF-M04c</t>
        </is>
      </c>
      <c r="G1593" s="16" t="inlineStr">
        <is>
          <t>B08</t>
        </is>
      </c>
      <c r="H1593" s="16" t="inlineStr">
        <is>
          <t>lhs</t>
        </is>
      </c>
      <c r="I1593" s="16" t="inlineStr">
        <is>
          <t>KALINA</t>
        </is>
      </c>
      <c r="J1593" s="16" t="inlineStr">
        <is>
          <t>KALINA</t>
        </is>
      </c>
      <c r="K1593" s="16" t="b">
        <v>1</v>
      </c>
      <c r="L1593" s="16" t="b">
        <v>0</v>
      </c>
      <c r="M1593" s="16" t="b">
        <v>1</v>
      </c>
      <c r="N1593" s="16" t="b">
        <v>0</v>
      </c>
      <c r="O1593" s="16" t="n">
        <v>436.6951536017857</v>
      </c>
      <c r="P1593" s="16" t="n">
        <v>287.9926323690067</v>
      </c>
      <c r="Q1593" s="16" t="n">
        <v>4304.651575714825</v>
      </c>
      <c r="R1593" s="16" t="n">
        <v>1828.38697782563</v>
      </c>
      <c r="S1593" s="16" t="n">
        <v>0.5621300116852599</v>
      </c>
      <c r="T1593" s="16" t="n">
        <v>0.884548937601997</v>
      </c>
      <c r="U1593" s="16" t="n">
        <v>0.8203231770944515</v>
      </c>
      <c r="V1593" s="16" t="n">
        <v>0.9263564794509992</v>
      </c>
      <c r="W1593" s="16" t="n">
        <v>0.702503400605988</v>
      </c>
      <c r="X1593" s="16" t="n">
        <v>0.8403307322740541</v>
      </c>
      <c r="Y1593" s="16" t="n">
        <v>287.9926323690067</v>
      </c>
      <c r="Z1593" s="16" t="n">
        <v>5.9750913113646</v>
      </c>
      <c r="AA1593" s="16" t="n">
        <v>43.92817050398486</v>
      </c>
      <c r="AB1593" s="16" t="n">
        <v>2476.264597889195</v>
      </c>
      <c r="AC1593" s="16" t="n">
        <v>2.354343816665135</v>
      </c>
      <c r="AD1593" s="16" t="n"/>
      <c r="AE1593" s="16" t="n"/>
    </row>
    <row r="1594">
      <c r="A1594" s="16" t="inlineStr">
        <is>
          <t>KF-M04c-0022</t>
        </is>
      </c>
      <c r="B1594" s="16" t="inlineStr">
        <is>
          <t>3.3</t>
        </is>
      </c>
      <c r="C1594" s="16" t="inlineStr">
        <is>
          <t>3.3</t>
        </is>
      </c>
      <c r="D1594" s="16" t="inlineStr">
        <is>
          <t>P_baja de 1500 a 2500 kPa</t>
        </is>
      </c>
      <c r="E1594" s="16" t="inlineStr">
        <is>
          <t>KF-M04c</t>
        </is>
      </c>
      <c r="F1594" s="16" t="inlineStr">
        <is>
          <t>KF-M04c</t>
        </is>
      </c>
      <c r="G1594" s="16" t="inlineStr">
        <is>
          <t>B08</t>
        </is>
      </c>
      <c r="H1594" s="16" t="inlineStr">
        <is>
          <t>lhs</t>
        </is>
      </c>
      <c r="I1594" s="16" t="inlineStr">
        <is>
          <t>KALINA</t>
        </is>
      </c>
      <c r="J1594" s="16" t="inlineStr">
        <is>
          <t>KALINA</t>
        </is>
      </c>
      <c r="K1594" s="16" t="b">
        <v>1</v>
      </c>
      <c r="L1594" s="16" t="b">
        <v>1</v>
      </c>
      <c r="M1594" s="16" t="b">
        <v>0</v>
      </c>
      <c r="N1594" s="16" t="b">
        <v>0</v>
      </c>
      <c r="O1594" s="16" t="n">
        <v>427.5439514856402</v>
      </c>
      <c r="P1594" s="16" t="n">
        <v>287.2182580858554</v>
      </c>
      <c r="Q1594" s="16" t="n">
        <v>2990.711369638281</v>
      </c>
      <c r="R1594" s="16" t="n">
        <v>1641.698527584877</v>
      </c>
      <c r="S1594" s="16" t="n">
        <v>0.6918101977880825</v>
      </c>
      <c r="T1594" s="16" t="n">
        <v>0.8906120777525941</v>
      </c>
      <c r="U1594" s="16" t="n">
        <v>0.8931731350051006</v>
      </c>
      <c r="V1594" s="16" t="n">
        <v>0.619207547737031</v>
      </c>
      <c r="W1594" s="16" t="n">
        <v>0.8218168470897911</v>
      </c>
      <c r="X1594" s="16" t="n">
        <v>0.9190352598304</v>
      </c>
      <c r="Y1594" s="16" t="n">
        <v>287.2182580858554</v>
      </c>
      <c r="Z1594" s="16" t="n">
        <v>5.06922288055062</v>
      </c>
      <c r="AA1594" s="16" t="n">
        <v>39.23333085845808</v>
      </c>
      <c r="AB1594" s="16" t="n">
        <v>1349.012842053404</v>
      </c>
      <c r="AC1594" s="16" t="n">
        <v>1.821717763271649</v>
      </c>
      <c r="AD1594" s="16" t="n"/>
      <c r="AE1594" s="16" t="n"/>
    </row>
    <row r="1595">
      <c r="A1595" s="16" t="inlineStr">
        <is>
          <t>KF-M04c-0023</t>
        </is>
      </c>
      <c r="B1595" s="16" t="inlineStr">
        <is>
          <t>3.3</t>
        </is>
      </c>
      <c r="C1595" s="16" t="inlineStr">
        <is>
          <t>3.3</t>
        </is>
      </c>
      <c r="D1595" s="16" t="inlineStr">
        <is>
          <t>P_baja de 1500 a 2500 kPa</t>
        </is>
      </c>
      <c r="E1595" s="16" t="inlineStr">
        <is>
          <t>KF-M04c</t>
        </is>
      </c>
      <c r="F1595" s="16" t="inlineStr">
        <is>
          <t>KF-M04c</t>
        </is>
      </c>
      <c r="G1595" s="16" t="inlineStr">
        <is>
          <t>B08</t>
        </is>
      </c>
      <c r="H1595" s="16" t="inlineStr">
        <is>
          <t>lhs</t>
        </is>
      </c>
      <c r="I1595" s="16" t="inlineStr">
        <is>
          <t>CORREGIBLE</t>
        </is>
      </c>
      <c r="J1595" s="16" t="inlineStr">
        <is>
          <t>CORREGIBLE</t>
        </is>
      </c>
      <c r="K1595" s="16" t="b">
        <v>1</v>
      </c>
      <c r="L1595" s="16" t="b">
        <v>0</v>
      </c>
      <c r="M1595" s="16" t="b">
        <v>1</v>
      </c>
      <c r="N1595" s="16" t="b">
        <v>0</v>
      </c>
      <c r="O1595" s="16" t="n">
        <v>483.4393714989496</v>
      </c>
      <c r="P1595" s="16" t="n">
        <v>284.5163453986573</v>
      </c>
      <c r="Q1595" s="16" t="n">
        <v>3738.773385672755</v>
      </c>
      <c r="R1595" s="16" t="n">
        <v>2101.512008046729</v>
      </c>
      <c r="S1595" s="16" t="n">
        <v>0.7418460797768196</v>
      </c>
      <c r="T1595" s="16" t="n">
        <v>0.901080231875536</v>
      </c>
      <c r="U1595" s="16" t="n">
        <v>0.6950859827314839</v>
      </c>
      <c r="V1595" s="16" t="n">
        <v>0.6100984680324152</v>
      </c>
      <c r="W1595" s="16" t="n">
        <v>0.816333535612596</v>
      </c>
      <c r="X1595" s="16" t="n">
        <v>0.7429111306659201</v>
      </c>
      <c r="Y1595" s="16" t="n">
        <v>284.5163453986573</v>
      </c>
      <c r="Z1595" s="16" t="n">
        <v>5.72343545254175</v>
      </c>
      <c r="AA1595" s="16" t="n">
        <v>58.53051548529166</v>
      </c>
      <c r="AB1595" s="16" t="n">
        <v>1637.261377626026</v>
      </c>
      <c r="AC1595" s="16" t="n">
        <v>1.779087329197702</v>
      </c>
      <c r="AD1595" s="16" t="inlineStr">
        <is>
          <t>O2</t>
        </is>
      </c>
      <c r="AE1595" s="16" t="n"/>
    </row>
    <row r="1596">
      <c r="A1596" s="16" t="inlineStr">
        <is>
          <t>KF-M04c-0024</t>
        </is>
      </c>
      <c r="B1596" s="16" t="inlineStr">
        <is>
          <t>3.3</t>
        </is>
      </c>
      <c r="C1596" s="16" t="inlineStr">
        <is>
          <t>3.3</t>
        </is>
      </c>
      <c r="D1596" s="16" t="inlineStr">
        <is>
          <t>P_baja de 1500 a 2500 kPa</t>
        </is>
      </c>
      <c r="E1596" s="16" t="inlineStr">
        <is>
          <t>KF-M04c</t>
        </is>
      </c>
      <c r="F1596" s="16" t="inlineStr">
        <is>
          <t>KF-M04c</t>
        </is>
      </c>
      <c r="G1596" s="16" t="inlineStr">
        <is>
          <t>B08</t>
        </is>
      </c>
      <c r="H1596" s="16" t="inlineStr">
        <is>
          <t>lhs</t>
        </is>
      </c>
      <c r="I1596" s="16" t="inlineStr">
        <is>
          <t>OMITIDO</t>
        </is>
      </c>
      <c r="J1596" s="16" t="n"/>
      <c r="K1596" s="16" t="b">
        <v>0</v>
      </c>
      <c r="L1596" s="16" t="b">
        <v>0</v>
      </c>
      <c r="M1596" s="16" t="n"/>
      <c r="N1596" s="16" t="b">
        <v>1</v>
      </c>
      <c r="O1596" s="16" t="n">
        <v>417.5234033973726</v>
      </c>
      <c r="P1596" s="16" t="n">
        <v>284.8844817652855</v>
      </c>
      <c r="Q1596" s="16" t="n">
        <v>2182.182929507325</v>
      </c>
      <c r="R1596" s="16" t="n">
        <v>2456.961919413629</v>
      </c>
      <c r="S1596" s="16" t="n">
        <v>0.5441781177092155</v>
      </c>
      <c r="T1596" s="16" t="n">
        <v>0.7724922387495813</v>
      </c>
      <c r="U1596" s="16" t="n">
        <v>0.8632394408150441</v>
      </c>
      <c r="V1596" s="16" t="n">
        <v>0.7084290071433101</v>
      </c>
      <c r="W1596" s="16" t="n">
        <v>0.7190191573577073</v>
      </c>
      <c r="X1596" s="16" t="n">
        <v>0.9014828058639104</v>
      </c>
      <c r="Y1596" s="16" t="n"/>
      <c r="Z1596" s="16" t="n"/>
      <c r="AA1596" s="16" t="n"/>
      <c r="AB1596" s="16" t="n">
        <v>-274.7789899063046</v>
      </c>
      <c r="AC1596" s="16" t="n">
        <v>0.8881631059337369</v>
      </c>
      <c r="AD1596" s="16" t="n"/>
      <c r="AE1596" s="16" t="n"/>
    </row>
    <row r="1597">
      <c r="A1597" s="16" t="inlineStr">
        <is>
          <t>KF-M04c-0025</t>
        </is>
      </c>
      <c r="B1597" s="16" t="inlineStr">
        <is>
          <t>3.3</t>
        </is>
      </c>
      <c r="C1597" s="16" t="inlineStr">
        <is>
          <t>3.3</t>
        </is>
      </c>
      <c r="D1597" s="16" t="inlineStr">
        <is>
          <t>P_baja de 1500 a 2500 kPa</t>
        </is>
      </c>
      <c r="E1597" s="16" t="inlineStr">
        <is>
          <t>KF-M04c</t>
        </is>
      </c>
      <c r="F1597" s="16" t="inlineStr">
        <is>
          <t>KF-M04c</t>
        </is>
      </c>
      <c r="G1597" s="16" t="inlineStr">
        <is>
          <t>B08</t>
        </is>
      </c>
      <c r="H1597" s="16" t="inlineStr">
        <is>
          <t>lhs</t>
        </is>
      </c>
      <c r="I1597" s="16" t="inlineStr">
        <is>
          <t>KALINA</t>
        </is>
      </c>
      <c r="J1597" s="16" t="inlineStr">
        <is>
          <t>KALINA</t>
        </is>
      </c>
      <c r="K1597" s="16" t="b">
        <v>1</v>
      </c>
      <c r="L1597" s="16" t="b">
        <v>1</v>
      </c>
      <c r="M1597" s="16" t="b">
        <v>0</v>
      </c>
      <c r="N1597" s="16" t="b">
        <v>0</v>
      </c>
      <c r="O1597" s="16" t="n">
        <v>402.0459973857673</v>
      </c>
      <c r="P1597" s="16" t="n">
        <v>302.8874739252284</v>
      </c>
      <c r="Q1597" s="16" t="n">
        <v>4070.854896157934</v>
      </c>
      <c r="R1597" s="16" t="n">
        <v>2135.825284224648</v>
      </c>
      <c r="S1597" s="16" t="n">
        <v>0.5549270963623711</v>
      </c>
      <c r="T1597" s="16" t="n">
        <v>0.7684547613795573</v>
      </c>
      <c r="U1597" s="16" t="n">
        <v>0.7560045617628832</v>
      </c>
      <c r="V1597" s="16" t="n">
        <v>0.6778439687425571</v>
      </c>
      <c r="W1597" s="16" t="n">
        <v>0.7149387209835419</v>
      </c>
      <c r="X1597" s="16" t="n">
        <v>0.938052297615188</v>
      </c>
      <c r="Y1597" s="16" t="n">
        <v>302.8874739252284</v>
      </c>
      <c r="Z1597" s="16" t="n">
        <v>0.26709346223527</v>
      </c>
      <c r="AA1597" s="16" t="n">
        <v>0.5182715071182433</v>
      </c>
      <c r="AB1597" s="16" t="n">
        <v>1935.029611933286</v>
      </c>
      <c r="AC1597" s="16" t="n">
        <v>1.905986845565294</v>
      </c>
      <c r="AD1597" s="16" t="n"/>
      <c r="AE1597" s="16" t="n"/>
    </row>
    <row r="1598">
      <c r="A1598" s="16" t="inlineStr">
        <is>
          <t>KF-M04c-0026</t>
        </is>
      </c>
      <c r="B1598" s="16" t="inlineStr">
        <is>
          <t>3.3</t>
        </is>
      </c>
      <c r="C1598" s="16" t="inlineStr">
        <is>
          <t>3.3</t>
        </is>
      </c>
      <c r="D1598" s="16" t="inlineStr">
        <is>
          <t>P_baja de 1500 a 2500 kPa</t>
        </is>
      </c>
      <c r="E1598" s="16" t="inlineStr">
        <is>
          <t>KF-M04c</t>
        </is>
      </c>
      <c r="F1598" s="16" t="inlineStr">
        <is>
          <t>KF-M04c</t>
        </is>
      </c>
      <c r="G1598" s="16" t="inlineStr">
        <is>
          <t>B08</t>
        </is>
      </c>
      <c r="H1598" s="16" t="inlineStr">
        <is>
          <t>lhs</t>
        </is>
      </c>
      <c r="I1598" s="16" t="inlineStr">
        <is>
          <t>NO_CONVERGIO</t>
        </is>
      </c>
      <c r="J1598" s="16" t="inlineStr">
        <is>
          <t>NO_CONVERGIO</t>
        </is>
      </c>
      <c r="K1598" s="16" t="b">
        <v>0</v>
      </c>
      <c r="L1598" s="16" t="b">
        <v>0</v>
      </c>
      <c r="M1598" s="16" t="b">
        <v>0</v>
      </c>
      <c r="N1598" s="16" t="b">
        <v>0</v>
      </c>
      <c r="O1598" s="16" t="n">
        <v>480.3913953308831</v>
      </c>
      <c r="P1598" s="16" t="n">
        <v>302.5567489131968</v>
      </c>
      <c r="Q1598" s="16" t="n">
        <v>4859.227915176411</v>
      </c>
      <c r="R1598" s="16" t="n">
        <v>2166.645102745724</v>
      </c>
      <c r="S1598" s="16" t="n">
        <v>0.8170584412625963</v>
      </c>
      <c r="T1598" s="16" t="n">
        <v>0.9185561119455316</v>
      </c>
      <c r="U1598" s="16" t="n">
        <v>0.7728741851057521</v>
      </c>
      <c r="V1598" s="16" t="n">
        <v>0.9329311330598854</v>
      </c>
      <c r="W1598" s="16" t="n">
        <v>0.9052064045035132</v>
      </c>
      <c r="X1598" s="16" t="n">
        <v>0.8281143737392886</v>
      </c>
      <c r="Y1598" s="16" t="n">
        <v>302.5567489131968</v>
      </c>
      <c r="Z1598" s="16" t="n"/>
      <c r="AA1598" s="16" t="n"/>
      <c r="AB1598" s="16" t="n">
        <v>2692.582812430686</v>
      </c>
      <c r="AC1598" s="16" t="n">
        <v>2.242742897310896</v>
      </c>
      <c r="AD1598" s="16" t="n"/>
      <c r="AE1598" s="16" t="n"/>
    </row>
    <row r="1599">
      <c r="A1599" s="16" t="inlineStr">
        <is>
          <t>KF-M04c-0027</t>
        </is>
      </c>
      <c r="B1599" s="16" t="inlineStr">
        <is>
          <t>3.3</t>
        </is>
      </c>
      <c r="C1599" s="16" t="inlineStr">
        <is>
          <t>3.3</t>
        </is>
      </c>
      <c r="D1599" s="16" t="inlineStr">
        <is>
          <t>P_baja de 1500 a 2500 kPa</t>
        </is>
      </c>
      <c r="E1599" s="16" t="inlineStr">
        <is>
          <t>KF-M04c</t>
        </is>
      </c>
      <c r="F1599" s="16" t="inlineStr">
        <is>
          <t>KF-M04c</t>
        </is>
      </c>
      <c r="G1599" s="16" t="inlineStr">
        <is>
          <t>B08</t>
        </is>
      </c>
      <c r="H1599" s="16" t="inlineStr">
        <is>
          <t>lhs</t>
        </is>
      </c>
      <c r="I1599" s="16" t="inlineStr">
        <is>
          <t>KALINA</t>
        </is>
      </c>
      <c r="J1599" s="16" t="inlineStr">
        <is>
          <t>KALINA</t>
        </is>
      </c>
      <c r="K1599" s="16" t="b">
        <v>1</v>
      </c>
      <c r="L1599" s="16" t="b">
        <v>1</v>
      </c>
      <c r="M1599" s="16" t="b">
        <v>0</v>
      </c>
      <c r="N1599" s="16" t="b">
        <v>0</v>
      </c>
      <c r="O1599" s="16" t="n">
        <v>468.1660675991787</v>
      </c>
      <c r="P1599" s="16" t="n">
        <v>284.3571227794254</v>
      </c>
      <c r="Q1599" s="16" t="n">
        <v>3411.888854052801</v>
      </c>
      <c r="R1599" s="16" t="n">
        <v>1978.75693726311</v>
      </c>
      <c r="S1599" s="16" t="n">
        <v>0.7903674552054545</v>
      </c>
      <c r="T1599" s="16" t="n">
        <v>0.8158115902387533</v>
      </c>
      <c r="U1599" s="16" t="n">
        <v>0.7684587131656516</v>
      </c>
      <c r="V1599" s="16" t="n">
        <v>0.6858481631196033</v>
      </c>
      <c r="W1599" s="16" t="n">
        <v>0.9215202010727042</v>
      </c>
      <c r="X1599" s="16" t="n">
        <v>0.928419991783346</v>
      </c>
      <c r="Y1599" s="16" t="n">
        <v>284.3571227794254</v>
      </c>
      <c r="Z1599" s="16" t="n">
        <v>4.53181972772328</v>
      </c>
      <c r="AA1599" s="16" t="n">
        <v>55.25706577662808</v>
      </c>
      <c r="AB1599" s="16" t="n">
        <v>1433.131916789691</v>
      </c>
      <c r="AC1599" s="16" t="n">
        <v>1.724258694840968</v>
      </c>
      <c r="AD1599" s="16" t="n"/>
      <c r="AE1599" s="16" t="n"/>
    </row>
    <row r="1600">
      <c r="A1600" s="16" t="inlineStr">
        <is>
          <t>KF-M04c-0028</t>
        </is>
      </c>
      <c r="B1600" s="16" t="inlineStr">
        <is>
          <t>3.3</t>
        </is>
      </c>
      <c r="C1600" s="16" t="inlineStr">
        <is>
          <t>3.3</t>
        </is>
      </c>
      <c r="D1600" s="16" t="inlineStr">
        <is>
          <t>P_baja de 1500 a 2500 kPa</t>
        </is>
      </c>
      <c r="E1600" s="16" t="inlineStr">
        <is>
          <t>KF-M04c</t>
        </is>
      </c>
      <c r="F1600" s="16" t="inlineStr">
        <is>
          <t>KF-M04c</t>
        </is>
      </c>
      <c r="G1600" s="16" t="inlineStr">
        <is>
          <t>B08</t>
        </is>
      </c>
      <c r="H1600" s="16" t="inlineStr">
        <is>
          <t>lhs</t>
        </is>
      </c>
      <c r="I1600" s="16" t="inlineStr">
        <is>
          <t>CORREGIBLE</t>
        </is>
      </c>
      <c r="J1600" s="16" t="inlineStr">
        <is>
          <t>CORREGIBLE</t>
        </is>
      </c>
      <c r="K1600" s="16" t="b">
        <v>1</v>
      </c>
      <c r="L1600" s="16" t="b">
        <v>0</v>
      </c>
      <c r="M1600" s="16" t="b">
        <v>1</v>
      </c>
      <c r="N1600" s="16" t="b">
        <v>0</v>
      </c>
      <c r="O1600" s="16" t="n">
        <v>486.7304614203554</v>
      </c>
      <c r="P1600" s="16" t="n">
        <v>301.3450374491023</v>
      </c>
      <c r="Q1600" s="16" t="n">
        <v>2840.572390807307</v>
      </c>
      <c r="R1600" s="16" t="n">
        <v>1575.003017450846</v>
      </c>
      <c r="S1600" s="16" t="n">
        <v>0.6855568021075036</v>
      </c>
      <c r="T1600" s="16" t="n">
        <v>0.7594663993746094</v>
      </c>
      <c r="U1600" s="16" t="n">
        <v>0.8386053948093244</v>
      </c>
      <c r="V1600" s="16" t="n">
        <v>0.7179331469873472</v>
      </c>
      <c r="W1600" s="16" t="n">
        <v>0.6296225732072617</v>
      </c>
      <c r="X1600" s="16" t="n">
        <v>0.8528247090804876</v>
      </c>
      <c r="Y1600" s="16" t="n">
        <v>301.3450374491023</v>
      </c>
      <c r="Z1600" s="16" t="n">
        <v>4.49914172711051</v>
      </c>
      <c r="AA1600" s="16" t="n">
        <v>60.02493454271652</v>
      </c>
      <c r="AB1600" s="16" t="n">
        <v>1265.569373356461</v>
      </c>
      <c r="AC1600" s="16" t="n">
        <v>1.80353457062247</v>
      </c>
      <c r="AD1600" s="16" t="inlineStr">
        <is>
          <t>O2</t>
        </is>
      </c>
      <c r="AE1600" s="16" t="n"/>
    </row>
    <row r="1601">
      <c r="A1601" s="16" t="inlineStr">
        <is>
          <t>KF-M04c-0029</t>
        </is>
      </c>
      <c r="B1601" s="16" t="inlineStr">
        <is>
          <t>3.3</t>
        </is>
      </c>
      <c r="C1601" s="16" t="inlineStr">
        <is>
          <t>3.3</t>
        </is>
      </c>
      <c r="D1601" s="16" t="inlineStr">
        <is>
          <t>P_baja de 1500 a 2500 kPa</t>
        </is>
      </c>
      <c r="E1601" s="16" t="inlineStr">
        <is>
          <t>KF-M04c</t>
        </is>
      </c>
      <c r="F1601" s="16" t="inlineStr">
        <is>
          <t>KF-M04c</t>
        </is>
      </c>
      <c r="G1601" s="16" t="inlineStr">
        <is>
          <t>B08</t>
        </is>
      </c>
      <c r="H1601" s="16" t="inlineStr">
        <is>
          <t>lhs</t>
        </is>
      </c>
      <c r="I1601" s="16" t="inlineStr">
        <is>
          <t>KALINA</t>
        </is>
      </c>
      <c r="J1601" s="16" t="inlineStr">
        <is>
          <t>KALINA</t>
        </is>
      </c>
      <c r="K1601" s="16" t="b">
        <v>1</v>
      </c>
      <c r="L1601" s="16" t="b">
        <v>1</v>
      </c>
      <c r="M1601" s="16" t="b">
        <v>0</v>
      </c>
      <c r="N1601" s="16" t="b">
        <v>0</v>
      </c>
      <c r="O1601" s="16" t="n">
        <v>406.4438641998906</v>
      </c>
      <c r="P1601" s="16" t="n">
        <v>293.9845862122419</v>
      </c>
      <c r="Q1601" s="16" t="n">
        <v>4677.047455852009</v>
      </c>
      <c r="R1601" s="16" t="n">
        <v>2282.458543248077</v>
      </c>
      <c r="S1601" s="16" t="n">
        <v>0.6212642265355224</v>
      </c>
      <c r="T1601" s="16" t="n">
        <v>0.7652900937823379</v>
      </c>
      <c r="U1601" s="16" t="n">
        <v>0.6597165530948643</v>
      </c>
      <c r="V1601" s="16" t="n">
        <v>0.8184979517383758</v>
      </c>
      <c r="W1601" s="16" t="n">
        <v>0.6212036495801377</v>
      </c>
      <c r="X1601" s="16" t="n">
        <v>0.8488249949972346</v>
      </c>
      <c r="Y1601" s="16" t="n">
        <v>293.9845862122419</v>
      </c>
      <c r="Z1601" s="16" t="n">
        <v>2.30228359985292</v>
      </c>
      <c r="AA1601" s="16" t="n">
        <v>8.715327877676426</v>
      </c>
      <c r="AB1601" s="16" t="n">
        <v>2394.588912603932</v>
      </c>
      <c r="AC1601" s="16" t="n">
        <v>2.049127012487283</v>
      </c>
      <c r="AD1601" s="16" t="n"/>
      <c r="AE1601" s="16" t="n"/>
    </row>
    <row r="1602">
      <c r="A1602" s="16" t="inlineStr">
        <is>
          <t>KF-M04c-0030</t>
        </is>
      </c>
      <c r="B1602" s="16" t="inlineStr">
        <is>
          <t>3.3</t>
        </is>
      </c>
      <c r="C1602" s="16" t="inlineStr">
        <is>
          <t>3.3</t>
        </is>
      </c>
      <c r="D1602" s="16" t="inlineStr">
        <is>
          <t>P_baja de 1500 a 2500 kPa</t>
        </is>
      </c>
      <c r="E1602" s="16" t="inlineStr">
        <is>
          <t>KF-M04c</t>
        </is>
      </c>
      <c r="F1602" s="16" t="inlineStr">
        <is>
          <t>KF-M04c</t>
        </is>
      </c>
      <c r="G1602" s="16" t="inlineStr">
        <is>
          <t>B08</t>
        </is>
      </c>
      <c r="H1602" s="16" t="inlineStr">
        <is>
          <t>lhs</t>
        </is>
      </c>
      <c r="I1602" s="16" t="inlineStr">
        <is>
          <t>KALINA</t>
        </is>
      </c>
      <c r="J1602" s="16" t="inlineStr">
        <is>
          <t>KALINA</t>
        </is>
      </c>
      <c r="K1602" s="16" t="b">
        <v>1</v>
      </c>
      <c r="L1602" s="16" t="b">
        <v>0</v>
      </c>
      <c r="M1602" s="16" t="b">
        <v>1</v>
      </c>
      <c r="N1602" s="16" t="b">
        <v>0</v>
      </c>
      <c r="O1602" s="16" t="n">
        <v>432.9558822287285</v>
      </c>
      <c r="P1602" s="16" t="n">
        <v>285.3124323706422</v>
      </c>
      <c r="Q1602" s="16" t="n">
        <v>3562.7619811951</v>
      </c>
      <c r="R1602" s="16" t="n">
        <v>1541.368130664265</v>
      </c>
      <c r="S1602" s="16" t="n">
        <v>0.6130057518299965</v>
      </c>
      <c r="T1602" s="16" t="n">
        <v>0.8553161262080108</v>
      </c>
      <c r="U1602" s="16" t="n">
        <v>0.8799150780302156</v>
      </c>
      <c r="V1602" s="16" t="n">
        <v>0.8115131599348699</v>
      </c>
      <c r="W1602" s="16" t="n">
        <v>0.8997321120736153</v>
      </c>
      <c r="X1602" s="16" t="n">
        <v>0.9361475207488044</v>
      </c>
      <c r="Y1602" s="16" t="n">
        <v>285.3124323706422</v>
      </c>
      <c r="Z1602" s="16" t="n">
        <v>6.337331281693751</v>
      </c>
      <c r="AA1602" s="16" t="n">
        <v>51.69844081146772</v>
      </c>
      <c r="AB1602" s="16" t="n">
        <v>2021.393850530835</v>
      </c>
      <c r="AC1602" s="16" t="n">
        <v>2.311428341041214</v>
      </c>
      <c r="AD1602" s="16" t="n"/>
      <c r="AE1602" s="16" t="n"/>
    </row>
    <row r="1603">
      <c r="A1603" s="16" t="inlineStr">
        <is>
          <t>KF-M04c-0031</t>
        </is>
      </c>
      <c r="B1603" s="16" t="inlineStr">
        <is>
          <t>3.3</t>
        </is>
      </c>
      <c r="C1603" s="16" t="inlineStr">
        <is>
          <t>3.3</t>
        </is>
      </c>
      <c r="D1603" s="16" t="inlineStr">
        <is>
          <t>P_baja de 1500 a 2500 kPa</t>
        </is>
      </c>
      <c r="E1603" s="16" t="inlineStr">
        <is>
          <t>KF-M04c</t>
        </is>
      </c>
      <c r="F1603" s="16" t="inlineStr">
        <is>
          <t>KF-M04c</t>
        </is>
      </c>
      <c r="G1603" s="16" t="inlineStr">
        <is>
          <t>B08</t>
        </is>
      </c>
      <c r="H1603" s="16" t="inlineStr">
        <is>
          <t>lhs</t>
        </is>
      </c>
      <c r="I1603" s="16" t="inlineStr">
        <is>
          <t>N2</t>
        </is>
      </c>
      <c r="J1603" s="16" t="inlineStr">
        <is>
          <t>NO_CONVERGIO</t>
        </is>
      </c>
      <c r="K1603" s="16" t="b">
        <v>0</v>
      </c>
      <c r="L1603" s="16" t="b">
        <v>0</v>
      </c>
      <c r="M1603" s="16" t="b">
        <v>0</v>
      </c>
      <c r="N1603" s="16" t="b">
        <v>0</v>
      </c>
      <c r="O1603" s="16" t="n">
        <v>385.3250124092712</v>
      </c>
      <c r="P1603" s="16" t="n">
        <v>300.7097781067478</v>
      </c>
      <c r="Q1603" s="16" t="n">
        <v>4766.06460841975</v>
      </c>
      <c r="R1603" s="16" t="n">
        <v>2061.585645825198</v>
      </c>
      <c r="S1603" s="16" t="n">
        <v>0.6468933324252868</v>
      </c>
      <c r="T1603" s="16" t="n">
        <v>0.8058357420660405</v>
      </c>
      <c r="U1603" s="16" t="n">
        <v>0.8566695515540064</v>
      </c>
      <c r="V1603" s="16" t="n">
        <v>0.7884610628934957</v>
      </c>
      <c r="W1603" s="16" t="n">
        <v>0.6810566772758943</v>
      </c>
      <c r="X1603" s="16" t="n">
        <v>0.9146012542063878</v>
      </c>
      <c r="Y1603" s="16" t="n">
        <v>300.7097781067478</v>
      </c>
      <c r="Z1603" s="16" t="n">
        <v>-34.62923258803234</v>
      </c>
      <c r="AA1603" s="16" t="n">
        <v>-23.55940238445546</v>
      </c>
      <c r="AB1603" s="16" t="n">
        <v>2704.478962594551</v>
      </c>
      <c r="AC1603" s="16" t="n">
        <v>2.311844098289702</v>
      </c>
      <c r="AD1603" s="16" t="inlineStr">
        <is>
          <t>N2,S6,O3,O5,C1,C3,C3</t>
        </is>
      </c>
      <c r="AE1603" s="16" t="n"/>
    </row>
    <row r="1604">
      <c r="A1604" s="16" t="inlineStr">
        <is>
          <t>KF-M04c-0032</t>
        </is>
      </c>
      <c r="B1604" s="16" t="inlineStr">
        <is>
          <t>3.3</t>
        </is>
      </c>
      <c r="C1604" s="16" t="inlineStr">
        <is>
          <t>3.3</t>
        </is>
      </c>
      <c r="D1604" s="16" t="inlineStr">
        <is>
          <t>P_baja de 1500 a 2500 kPa</t>
        </is>
      </c>
      <c r="E1604" s="16" t="inlineStr">
        <is>
          <t>KF-M04c</t>
        </is>
      </c>
      <c r="F1604" s="16" t="inlineStr">
        <is>
          <t>KF-M04c</t>
        </is>
      </c>
      <c r="G1604" s="16" t="inlineStr">
        <is>
          <t>B08</t>
        </is>
      </c>
      <c r="H1604" s="16" t="inlineStr">
        <is>
          <t>lhs</t>
        </is>
      </c>
      <c r="I1604" s="16" t="inlineStr">
        <is>
          <t>KALINA</t>
        </is>
      </c>
      <c r="J1604" s="16" t="inlineStr">
        <is>
          <t>KALINA</t>
        </is>
      </c>
      <c r="K1604" s="16" t="b">
        <v>1</v>
      </c>
      <c r="L1604" s="16" t="b">
        <v>1</v>
      </c>
      <c r="M1604" s="16" t="b">
        <v>0</v>
      </c>
      <c r="N1604" s="16" t="b">
        <v>0</v>
      </c>
      <c r="O1604" s="16" t="n">
        <v>420.187930968158</v>
      </c>
      <c r="P1604" s="16" t="n">
        <v>294.7503320341526</v>
      </c>
      <c r="Q1604" s="16" t="n">
        <v>4835.854462178502</v>
      </c>
      <c r="R1604" s="16" t="n">
        <v>2239.928719385813</v>
      </c>
      <c r="S1604" s="16" t="n">
        <v>0.5688481011534995</v>
      </c>
      <c r="T1604" s="16" t="n">
        <v>0.8903471627580521</v>
      </c>
      <c r="U1604" s="16" t="n">
        <v>0.7925800830932807</v>
      </c>
      <c r="V1604" s="16" t="n">
        <v>0.8542319929706292</v>
      </c>
      <c r="W1604" s="16" t="n">
        <v>0.7111601440680041</v>
      </c>
      <c r="X1604" s="16" t="n">
        <v>0.931721950089305</v>
      </c>
      <c r="Y1604" s="16" t="n">
        <v>294.7503320341526</v>
      </c>
      <c r="Z1604" s="16" t="n">
        <v>3.633516050515849</v>
      </c>
      <c r="AA1604" s="16" t="n">
        <v>14.9885440667892</v>
      </c>
      <c r="AB1604" s="16" t="n">
        <v>2595.925742792689</v>
      </c>
      <c r="AC1604" s="16" t="n">
        <v>2.158932300088768</v>
      </c>
      <c r="AD1604" s="16" t="n"/>
      <c r="AE1604" s="16" t="n"/>
    </row>
    <row r="1605">
      <c r="A1605" s="16" t="inlineStr">
        <is>
          <t>KF-M04c-0033</t>
        </is>
      </c>
      <c r="B1605" s="16" t="inlineStr">
        <is>
          <t>3.3</t>
        </is>
      </c>
      <c r="C1605" s="16" t="inlineStr">
        <is>
          <t>3.3</t>
        </is>
      </c>
      <c r="D1605" s="16" t="inlineStr">
        <is>
          <t>P_baja de 1500 a 2500 kPa</t>
        </is>
      </c>
      <c r="E1605" s="16" t="inlineStr">
        <is>
          <t>KF-M04c</t>
        </is>
      </c>
      <c r="F1605" s="16" t="inlineStr">
        <is>
          <t>KF-M04c</t>
        </is>
      </c>
      <c r="G1605" s="16" t="inlineStr">
        <is>
          <t>B08</t>
        </is>
      </c>
      <c r="H1605" s="16" t="inlineStr">
        <is>
          <t>lhs</t>
        </is>
      </c>
      <c r="I1605" s="16" t="inlineStr">
        <is>
          <t>CORREGIBLE</t>
        </is>
      </c>
      <c r="J1605" s="16" t="inlineStr">
        <is>
          <t>CORREGIBLE</t>
        </is>
      </c>
      <c r="K1605" s="16" t="b">
        <v>1</v>
      </c>
      <c r="L1605" s="16" t="b">
        <v>0</v>
      </c>
      <c r="M1605" s="16" t="b">
        <v>1</v>
      </c>
      <c r="N1605" s="16" t="b">
        <v>0</v>
      </c>
      <c r="O1605" s="16" t="n">
        <v>491.5938697300798</v>
      </c>
      <c r="P1605" s="16" t="n">
        <v>297.1406992033011</v>
      </c>
      <c r="Q1605" s="16" t="n">
        <v>2335.081504417939</v>
      </c>
      <c r="R1605" s="16" t="n">
        <v>1572.751589231709</v>
      </c>
      <c r="S1605" s="16" t="n">
        <v>0.5818710301627508</v>
      </c>
      <c r="T1605" s="16" t="n">
        <v>0.8522964264215914</v>
      </c>
      <c r="U1605" s="16" t="n">
        <v>0.6878611322081355</v>
      </c>
      <c r="V1605" s="16" t="n">
        <v>0.6731923206666722</v>
      </c>
      <c r="W1605" s="16" t="n">
        <v>0.9235971984468254</v>
      </c>
      <c r="X1605" s="16" t="n">
        <v>0.7800877793877783</v>
      </c>
      <c r="Y1605" s="16" t="n">
        <v>297.1406992033011</v>
      </c>
      <c r="Z1605" s="16" t="n">
        <v>3.13826935170312</v>
      </c>
      <c r="AA1605" s="16" t="n">
        <v>39.91795175304775</v>
      </c>
      <c r="AB1605" s="16" t="n">
        <v>762.3299151862295</v>
      </c>
      <c r="AC1605" s="16" t="n">
        <v>1.484710948890936</v>
      </c>
      <c r="AD1605" s="16" t="inlineStr">
        <is>
          <t>O2</t>
        </is>
      </c>
      <c r="AE1605" s="16" t="n"/>
    </row>
    <row r="1606">
      <c r="A1606" s="16" t="inlineStr">
        <is>
          <t>KF-M04c-0034</t>
        </is>
      </c>
      <c r="B1606" s="16" t="inlineStr">
        <is>
          <t>3.3</t>
        </is>
      </c>
      <c r="C1606" s="16" t="inlineStr">
        <is>
          <t>3.3</t>
        </is>
      </c>
      <c r="D1606" s="16" t="inlineStr">
        <is>
          <t>P_baja de 1500 a 2500 kPa</t>
        </is>
      </c>
      <c r="E1606" s="16" t="inlineStr">
        <is>
          <t>KF-M04c</t>
        </is>
      </c>
      <c r="F1606" s="16" t="inlineStr">
        <is>
          <t>KF-M04c</t>
        </is>
      </c>
      <c r="G1606" s="16" t="inlineStr">
        <is>
          <t>B08</t>
        </is>
      </c>
      <c r="H1606" s="16" t="inlineStr">
        <is>
          <t>lhs</t>
        </is>
      </c>
      <c r="I1606" s="16" t="inlineStr">
        <is>
          <t>KALINA</t>
        </is>
      </c>
      <c r="J1606" s="16" t="inlineStr">
        <is>
          <t>KALINA</t>
        </is>
      </c>
      <c r="K1606" s="16" t="b">
        <v>1</v>
      </c>
      <c r="L1606" s="16" t="b">
        <v>0</v>
      </c>
      <c r="M1606" s="16" t="b">
        <v>1</v>
      </c>
      <c r="N1606" s="16" t="b">
        <v>0</v>
      </c>
      <c r="O1606" s="16" t="n">
        <v>438.2259566657808</v>
      </c>
      <c r="P1606" s="16" t="n">
        <v>282.8953248402438</v>
      </c>
      <c r="Q1606" s="16" t="n">
        <v>3655.031570453786</v>
      </c>
      <c r="R1606" s="16" t="n">
        <v>2494.528668778344</v>
      </c>
      <c r="S1606" s="16" t="n">
        <v>0.5781880347009879</v>
      </c>
      <c r="T1606" s="16" t="n">
        <v>0.7807499296946772</v>
      </c>
      <c r="U1606" s="16" t="n">
        <v>0.8717826943293954</v>
      </c>
      <c r="V1606" s="16" t="n">
        <v>0.8204551584792749</v>
      </c>
      <c r="W1606" s="16" t="n">
        <v>0.8725835974278591</v>
      </c>
      <c r="X1606" s="16" t="n">
        <v>0.8379501788293323</v>
      </c>
      <c r="Y1606" s="16" t="n">
        <v>282.8953248402438</v>
      </c>
      <c r="Z1606" s="16" t="n">
        <v>2.66901697023635</v>
      </c>
      <c r="AA1606" s="16" t="n">
        <v>20.73567036963515</v>
      </c>
      <c r="AB1606" s="16" t="n">
        <v>1160.502901675442</v>
      </c>
      <c r="AC1606" s="16" t="n">
        <v>1.465219308240614</v>
      </c>
      <c r="AD1606" s="16" t="n"/>
      <c r="AE1606" s="16" t="n"/>
    </row>
    <row r="1607">
      <c r="A1607" s="16" t="inlineStr">
        <is>
          <t>KF-M04c-0035</t>
        </is>
      </c>
      <c r="B1607" s="16" t="inlineStr">
        <is>
          <t>3.3</t>
        </is>
      </c>
      <c r="C1607" s="16" t="inlineStr">
        <is>
          <t>3.3</t>
        </is>
      </c>
      <c r="D1607" s="16" t="inlineStr">
        <is>
          <t>P_baja de 1500 a 2500 kPa</t>
        </is>
      </c>
      <c r="E1607" s="16" t="inlineStr">
        <is>
          <t>KF-M04c</t>
        </is>
      </c>
      <c r="F1607" s="16" t="inlineStr">
        <is>
          <t>KF-M04c</t>
        </is>
      </c>
      <c r="G1607" s="16" t="inlineStr">
        <is>
          <t>B08</t>
        </is>
      </c>
      <c r="H1607" s="16" t="inlineStr">
        <is>
          <t>lhs</t>
        </is>
      </c>
      <c r="I1607" s="16" t="inlineStr">
        <is>
          <t>KALINA</t>
        </is>
      </c>
      <c r="J1607" s="16" t="inlineStr">
        <is>
          <t>KALINA</t>
        </is>
      </c>
      <c r="K1607" s="16" t="b">
        <v>1</v>
      </c>
      <c r="L1607" s="16" t="b">
        <v>1</v>
      </c>
      <c r="M1607" s="16" t="b">
        <v>0</v>
      </c>
      <c r="N1607" s="16" t="b">
        <v>0</v>
      </c>
      <c r="O1607" s="16" t="n">
        <v>394.9564115120992</v>
      </c>
      <c r="P1607" s="16" t="n">
        <v>297.8275477340491</v>
      </c>
      <c r="Q1607" s="16" t="n">
        <v>3192.631905943009</v>
      </c>
      <c r="R1607" s="16" t="n">
        <v>1878.660568044057</v>
      </c>
      <c r="S1607" s="16" t="n">
        <v>0.5532836843900527</v>
      </c>
      <c r="T1607" s="16" t="n">
        <v>0.8294349743969269</v>
      </c>
      <c r="U1607" s="16" t="n">
        <v>0.6837528177049744</v>
      </c>
      <c r="V1607" s="16" t="n">
        <v>0.7037588023231431</v>
      </c>
      <c r="W1607" s="16" t="n">
        <v>0.9316771970102836</v>
      </c>
      <c r="X1607" s="16" t="n">
        <v>0.7604247412985276</v>
      </c>
      <c r="Y1607" s="16" t="n">
        <v>297.8275477340491</v>
      </c>
      <c r="Z1607" s="16" t="n">
        <v>2.912807783853</v>
      </c>
      <c r="AA1607" s="16" t="n">
        <v>5.947921417732392</v>
      </c>
      <c r="AB1607" s="16" t="n">
        <v>1313.971337898952</v>
      </c>
      <c r="AC1607" s="16" t="n">
        <v>1.699419235304958</v>
      </c>
      <c r="AD1607" s="16" t="n"/>
      <c r="AE1607" s="16" t="n"/>
    </row>
    <row r="1608">
      <c r="A1608" s="16" t="inlineStr">
        <is>
          <t>KF-M04c-0036</t>
        </is>
      </c>
      <c r="B1608" s="16" t="inlineStr">
        <is>
          <t>3.3</t>
        </is>
      </c>
      <c r="C1608" s="16" t="inlineStr">
        <is>
          <t>3.3</t>
        </is>
      </c>
      <c r="D1608" s="16" t="inlineStr">
        <is>
          <t>P_baja de 1500 a 2500 kPa</t>
        </is>
      </c>
      <c r="E1608" s="16" t="inlineStr">
        <is>
          <t>KF-M04c</t>
        </is>
      </c>
      <c r="F1608" s="16" t="inlineStr">
        <is>
          <t>KF-M04c</t>
        </is>
      </c>
      <c r="G1608" s="16" t="inlineStr">
        <is>
          <t>B08</t>
        </is>
      </c>
      <c r="H1608" s="16" t="inlineStr">
        <is>
          <t>lhs</t>
        </is>
      </c>
      <c r="I1608" s="16" t="inlineStr">
        <is>
          <t>KALINA</t>
        </is>
      </c>
      <c r="J1608" s="16" t="inlineStr">
        <is>
          <t>KALINA</t>
        </is>
      </c>
      <c r="K1608" s="16" t="b">
        <v>1</v>
      </c>
      <c r="L1608" s="16" t="b">
        <v>1</v>
      </c>
      <c r="M1608" s="16" t="b">
        <v>0</v>
      </c>
      <c r="N1608" s="16" t="b">
        <v>0</v>
      </c>
      <c r="O1608" s="16" t="n">
        <v>400.5943107041801</v>
      </c>
      <c r="P1608" s="16" t="n">
        <v>297.4686308058389</v>
      </c>
      <c r="Q1608" s="16" t="n">
        <v>2825.241242969333</v>
      </c>
      <c r="R1608" s="16" t="n">
        <v>2184.522314021205</v>
      </c>
      <c r="S1608" s="16" t="n">
        <v>0.6446581625462916</v>
      </c>
      <c r="T1608" s="16" t="n">
        <v>0.7833123789161837</v>
      </c>
      <c r="U1608" s="16" t="n">
        <v>0.7231385083898648</v>
      </c>
      <c r="V1608" s="16" t="n">
        <v>0.7843786884166003</v>
      </c>
      <c r="W1608" s="16" t="n">
        <v>0.8825616906826126</v>
      </c>
      <c r="X1608" s="16" t="n">
        <v>0.7555708766367306</v>
      </c>
      <c r="Y1608" s="16" t="n">
        <v>297.4686308058389</v>
      </c>
      <c r="Z1608" s="16" t="n">
        <v>2.05929962854809</v>
      </c>
      <c r="AA1608" s="16" t="n">
        <v>10.91730630786819</v>
      </c>
      <c r="AB1608" s="16" t="n">
        <v>640.7189289481275</v>
      </c>
      <c r="AC1608" s="16" t="n">
        <v>1.293299329027549</v>
      </c>
      <c r="AD1608" s="16" t="n"/>
      <c r="AE1608" s="16" t="n"/>
    </row>
    <row r="1609">
      <c r="A1609" s="16" t="inlineStr">
        <is>
          <t>KF-M04c-0037</t>
        </is>
      </c>
      <c r="B1609" s="16" t="inlineStr">
        <is>
          <t>3.3</t>
        </is>
      </c>
      <c r="C1609" s="16" t="inlineStr">
        <is>
          <t>3.3</t>
        </is>
      </c>
      <c r="D1609" s="16" t="inlineStr">
        <is>
          <t>P_baja de 1500 a 2500 kPa</t>
        </is>
      </c>
      <c r="E1609" s="16" t="inlineStr">
        <is>
          <t>KF-M04c</t>
        </is>
      </c>
      <c r="F1609" s="16" t="inlineStr">
        <is>
          <t>KF-M04c</t>
        </is>
      </c>
      <c r="G1609" s="16" t="inlineStr">
        <is>
          <t>B08</t>
        </is>
      </c>
      <c r="H1609" s="16" t="inlineStr">
        <is>
          <t>lhs</t>
        </is>
      </c>
      <c r="I1609" s="16" t="inlineStr">
        <is>
          <t>CORREGIBLE</t>
        </is>
      </c>
      <c r="J1609" s="16" t="inlineStr">
        <is>
          <t>CORREGIBLE</t>
        </is>
      </c>
      <c r="K1609" s="16" t="b">
        <v>1</v>
      </c>
      <c r="L1609" s="16" t="b">
        <v>0</v>
      </c>
      <c r="M1609" s="16" t="b">
        <v>1</v>
      </c>
      <c r="N1609" s="16" t="b">
        <v>0</v>
      </c>
      <c r="O1609" s="16" t="n">
        <v>441.3308806163315</v>
      </c>
      <c r="P1609" s="16" t="n">
        <v>278.3845757897643</v>
      </c>
      <c r="Q1609" s="16" t="n">
        <v>2925.261605772082</v>
      </c>
      <c r="R1609" s="16" t="n">
        <v>2233.233944296735</v>
      </c>
      <c r="S1609" s="16" t="n">
        <v>0.7361008702328651</v>
      </c>
      <c r="T1609" s="16" t="n">
        <v>0.7977129908163502</v>
      </c>
      <c r="U1609" s="16" t="n">
        <v>0.8337479667368997</v>
      </c>
      <c r="V1609" s="16" t="n">
        <v>0.9108729238919582</v>
      </c>
      <c r="W1609" s="16" t="n">
        <v>0.9183830761972488</v>
      </c>
      <c r="X1609" s="16" t="n">
        <v>0.7018462513938819</v>
      </c>
      <c r="Y1609" s="16" t="n">
        <v>278.3845757897643</v>
      </c>
      <c r="Z1609" s="16" t="n">
        <v>2.12924230377979</v>
      </c>
      <c r="AA1609" s="16" t="n">
        <v>26.64491215363545</v>
      </c>
      <c r="AB1609" s="16" t="n">
        <v>692.0276614753475</v>
      </c>
      <c r="AC1609" s="16" t="n">
        <v>1.309876922318263</v>
      </c>
      <c r="AD1609" s="16" t="inlineStr">
        <is>
          <t>O2</t>
        </is>
      </c>
      <c r="AE1609" s="16" t="n"/>
    </row>
    <row r="1610">
      <c r="A1610" s="16" t="inlineStr">
        <is>
          <t>KF-M04c-0038</t>
        </is>
      </c>
      <c r="B1610" s="16" t="inlineStr">
        <is>
          <t>3.3</t>
        </is>
      </c>
      <c r="C1610" s="16" t="inlineStr">
        <is>
          <t>3.3</t>
        </is>
      </c>
      <c r="D1610" s="16" t="inlineStr">
        <is>
          <t>P_baja de 1500 a 2500 kPa</t>
        </is>
      </c>
      <c r="E1610" s="16" t="inlineStr">
        <is>
          <t>KF-M04c</t>
        </is>
      </c>
      <c r="F1610" s="16" t="inlineStr">
        <is>
          <t>KF-M04c</t>
        </is>
      </c>
      <c r="G1610" s="16" t="inlineStr">
        <is>
          <t>B08</t>
        </is>
      </c>
      <c r="H1610" s="16" t="inlineStr">
        <is>
          <t>lhs</t>
        </is>
      </c>
      <c r="I1610" s="16" t="inlineStr">
        <is>
          <t>KALINA</t>
        </is>
      </c>
      <c r="J1610" s="16" t="inlineStr">
        <is>
          <t>KALINA</t>
        </is>
      </c>
      <c r="K1610" s="16" t="b">
        <v>1</v>
      </c>
      <c r="L1610" s="16" t="b">
        <v>0</v>
      </c>
      <c r="M1610" s="16" t="b">
        <v>1</v>
      </c>
      <c r="N1610" s="16" t="b">
        <v>0</v>
      </c>
      <c r="O1610" s="16" t="n">
        <v>494.370165242507</v>
      </c>
      <c r="P1610" s="16" t="n">
        <v>296.4028549343211</v>
      </c>
      <c r="Q1610" s="16" t="n">
        <v>3842.3588158538</v>
      </c>
      <c r="R1610" s="16" t="n">
        <v>1741.88695844015</v>
      </c>
      <c r="S1610" s="16" t="n">
        <v>0.6373534479692817</v>
      </c>
      <c r="T1610" s="16" t="n">
        <v>0.7889239719443989</v>
      </c>
      <c r="U1610" s="16" t="n">
        <v>0.8863824559067883</v>
      </c>
      <c r="V1610" s="16" t="n">
        <v>0.7358708524441986</v>
      </c>
      <c r="W1610" s="16" t="n">
        <v>0.8202042718187423</v>
      </c>
      <c r="X1610" s="16" t="n">
        <v>0.9096664522935471</v>
      </c>
      <c r="Y1610" s="16" t="n">
        <v>296.4028549343211</v>
      </c>
      <c r="Z1610" s="16" t="n">
        <v>5.79008466936368</v>
      </c>
      <c r="AA1610" s="16" t="n">
        <v>83.80331570942606</v>
      </c>
      <c r="AB1610" s="16" t="n">
        <v>2100.47185741365</v>
      </c>
      <c r="AC1610" s="16" t="n">
        <v>2.205860028537449</v>
      </c>
      <c r="AD1610" s="16" t="n"/>
      <c r="AE1610" s="16" t="n"/>
    </row>
    <row r="1611">
      <c r="A1611" s="16" t="inlineStr">
        <is>
          <t>KF-M04c-0039</t>
        </is>
      </c>
      <c r="B1611" s="16" t="inlineStr">
        <is>
          <t>3.3</t>
        </is>
      </c>
      <c r="C1611" s="16" t="inlineStr">
        <is>
          <t>3.3</t>
        </is>
      </c>
      <c r="D1611" s="16" t="inlineStr">
        <is>
          <t>P_baja de 1500 a 2500 kPa</t>
        </is>
      </c>
      <c r="E1611" s="16" t="inlineStr">
        <is>
          <t>KF-M04c</t>
        </is>
      </c>
      <c r="F1611" s="16" t="inlineStr">
        <is>
          <t>KF-M04c</t>
        </is>
      </c>
      <c r="G1611" s="16" t="inlineStr">
        <is>
          <t>B08</t>
        </is>
      </c>
      <c r="H1611" s="16" t="inlineStr">
        <is>
          <t>lhs</t>
        </is>
      </c>
      <c r="I1611" s="16" t="inlineStr">
        <is>
          <t>NO_CONVERGIO</t>
        </is>
      </c>
      <c r="J1611" s="16" t="inlineStr">
        <is>
          <t>NO_CONVERGIO</t>
        </is>
      </c>
      <c r="K1611" s="16" t="b">
        <v>0</v>
      </c>
      <c r="L1611" s="16" t="b">
        <v>0</v>
      </c>
      <c r="M1611" s="16" t="b">
        <v>0</v>
      </c>
      <c r="N1611" s="16" t="b">
        <v>0</v>
      </c>
      <c r="O1611" s="16" t="n">
        <v>499.0107679729125</v>
      </c>
      <c r="P1611" s="16" t="n">
        <v>301.7901750086351</v>
      </c>
      <c r="Q1611" s="16" t="n">
        <v>4259.649685857626</v>
      </c>
      <c r="R1611" s="16" t="n">
        <v>2118.430916700522</v>
      </c>
      <c r="S1611" s="16" t="n">
        <v>0.760692473656284</v>
      </c>
      <c r="T1611" s="16" t="n">
        <v>0.8085544117592391</v>
      </c>
      <c r="U1611" s="16" t="n">
        <v>0.6569333072148128</v>
      </c>
      <c r="V1611" s="16" t="n">
        <v>0.7105587640236306</v>
      </c>
      <c r="W1611" s="16" t="n">
        <v>0.9105990850762762</v>
      </c>
      <c r="X1611" s="16" t="n">
        <v>0.7698802361583481</v>
      </c>
      <c r="Y1611" s="16" t="n">
        <v>301.7901750086351</v>
      </c>
      <c r="Z1611" s="16" t="n"/>
      <c r="AA1611" s="16" t="n"/>
      <c r="AB1611" s="16" t="n">
        <v>2141.218769157104</v>
      </c>
      <c r="AC1611" s="16" t="n">
        <v>2.010756948587247</v>
      </c>
      <c r="AD1611" s="16" t="n"/>
      <c r="AE1611" s="16" t="n"/>
    </row>
    <row r="1612">
      <c r="A1612" s="16" t="inlineStr">
        <is>
          <t>KF-M04c-0040</t>
        </is>
      </c>
      <c r="B1612" s="16" t="inlineStr">
        <is>
          <t>3.3</t>
        </is>
      </c>
      <c r="C1612" s="16" t="inlineStr">
        <is>
          <t>3.3</t>
        </is>
      </c>
      <c r="D1612" s="16" t="inlineStr">
        <is>
          <t>P_baja de 1500 a 2500 kPa</t>
        </is>
      </c>
      <c r="E1612" s="16" t="inlineStr">
        <is>
          <t>KF-M04c</t>
        </is>
      </c>
      <c r="F1612" s="16" t="inlineStr">
        <is>
          <t>KF-M04c</t>
        </is>
      </c>
      <c r="G1612" s="16" t="inlineStr">
        <is>
          <t>B08</t>
        </is>
      </c>
      <c r="H1612" s="16" t="inlineStr">
        <is>
          <t>lhs</t>
        </is>
      </c>
      <c r="I1612" s="16" t="inlineStr">
        <is>
          <t>NO_CONVERGIO</t>
        </is>
      </c>
      <c r="J1612" s="16" t="inlineStr">
        <is>
          <t>NO_CONVERGIO</t>
        </is>
      </c>
      <c r="K1612" s="16" t="b">
        <v>0</v>
      </c>
      <c r="L1612" s="16" t="b">
        <v>0</v>
      </c>
      <c r="M1612" s="16" t="b">
        <v>0</v>
      </c>
      <c r="N1612" s="16" t="b">
        <v>0</v>
      </c>
      <c r="O1612" s="16" t="n">
        <v>460.7187087819248</v>
      </c>
      <c r="P1612" s="16" t="n">
        <v>280.6004993688421</v>
      </c>
      <c r="Q1612" s="16" t="n">
        <v>4004.010472846701</v>
      </c>
      <c r="R1612" s="16" t="n">
        <v>2034.619829969995</v>
      </c>
      <c r="S1612" s="16" t="n">
        <v>0.666454273171</v>
      </c>
      <c r="T1612" s="16" t="n">
        <v>0.8049405641529653</v>
      </c>
      <c r="U1612" s="16" t="n">
        <v>0.8558741615651192</v>
      </c>
      <c r="V1612" s="16" t="n">
        <v>0.7026472603691868</v>
      </c>
      <c r="W1612" s="16" t="n">
        <v>0.6825937781964929</v>
      </c>
      <c r="X1612" s="16" t="n">
        <v>0.9277417167468676</v>
      </c>
      <c r="Y1612" s="16" t="n">
        <v>280.6004993688421</v>
      </c>
      <c r="Z1612" s="16" t="n"/>
      <c r="AA1612" s="16" t="n"/>
      <c r="AB1612" s="16" t="n">
        <v>1969.390642876706</v>
      </c>
      <c r="AC1612" s="16" t="n">
        <v>1.96794035616263</v>
      </c>
      <c r="AD1612" s="16" t="n"/>
      <c r="AE1612" s="16" t="n"/>
    </row>
    <row r="1613">
      <c r="A1613" s="16" t="inlineStr">
        <is>
          <t>KF-M04c-0041</t>
        </is>
      </c>
      <c r="B1613" s="16" t="inlineStr">
        <is>
          <t>3.3</t>
        </is>
      </c>
      <c r="C1613" s="16" t="inlineStr">
        <is>
          <t>3.3</t>
        </is>
      </c>
      <c r="D1613" s="16" t="inlineStr">
        <is>
          <t>P_baja de 1500 a 2500 kPa</t>
        </is>
      </c>
      <c r="E1613" s="16" t="inlineStr">
        <is>
          <t>KF-M04c</t>
        </is>
      </c>
      <c r="F1613" s="16" t="inlineStr">
        <is>
          <t>KF-M04c</t>
        </is>
      </c>
      <c r="G1613" s="16" t="inlineStr">
        <is>
          <t>B08</t>
        </is>
      </c>
      <c r="H1613" s="16" t="inlineStr">
        <is>
          <t>lhs</t>
        </is>
      </c>
      <c r="I1613" s="16" t="inlineStr">
        <is>
          <t>KALINA</t>
        </is>
      </c>
      <c r="J1613" s="16" t="inlineStr">
        <is>
          <t>KALINA</t>
        </is>
      </c>
      <c r="K1613" s="16" t="b">
        <v>1</v>
      </c>
      <c r="L1613" s="16" t="b">
        <v>0</v>
      </c>
      <c r="M1613" s="16" t="b">
        <v>1</v>
      </c>
      <c r="N1613" s="16" t="b">
        <v>0</v>
      </c>
      <c r="O1613" s="16" t="n">
        <v>469.7075438652856</v>
      </c>
      <c r="P1613" s="16" t="n">
        <v>291.1270708476133</v>
      </c>
      <c r="Q1613" s="16" t="n">
        <v>3888.493292773595</v>
      </c>
      <c r="R1613" s="16" t="n">
        <v>2023.619636776904</v>
      </c>
      <c r="S1613" s="16" t="n">
        <v>0.6508248789269798</v>
      </c>
      <c r="T1613" s="16" t="n">
        <v>0.8682071648595869</v>
      </c>
      <c r="U1613" s="16" t="n">
        <v>0.799345887149195</v>
      </c>
      <c r="V1613" s="16" t="n">
        <v>0.7229947648195769</v>
      </c>
      <c r="W1613" s="16" t="n">
        <v>0.8574477336896176</v>
      </c>
      <c r="X1613" s="16" t="n">
        <v>0.9182422422696432</v>
      </c>
      <c r="Y1613" s="16" t="n">
        <v>291.1270708476133</v>
      </c>
      <c r="Z1613" s="16" t="n">
        <v>5.25536456556669</v>
      </c>
      <c r="AA1613" s="16" t="n">
        <v>71.66220810771276</v>
      </c>
      <c r="AB1613" s="16" t="n">
        <v>1864.873655996691</v>
      </c>
      <c r="AC1613" s="16" t="n">
        <v>1.921553449128882</v>
      </c>
      <c r="AD1613" s="16" t="n"/>
      <c r="AE1613" s="16" t="n"/>
    </row>
    <row r="1614">
      <c r="A1614" s="16" t="inlineStr">
        <is>
          <t>KF-M04c-0042</t>
        </is>
      </c>
      <c r="B1614" s="16" t="inlineStr">
        <is>
          <t>3.3</t>
        </is>
      </c>
      <c r="C1614" s="16" t="inlineStr">
        <is>
          <t>3.3</t>
        </is>
      </c>
      <c r="D1614" s="16" t="inlineStr">
        <is>
          <t>P_baja de 1500 a 2500 kPa</t>
        </is>
      </c>
      <c r="E1614" s="16" t="inlineStr">
        <is>
          <t>KF-M04c</t>
        </is>
      </c>
      <c r="F1614" s="16" t="inlineStr">
        <is>
          <t>KF-M04c</t>
        </is>
      </c>
      <c r="G1614" s="16" t="inlineStr">
        <is>
          <t>B08</t>
        </is>
      </c>
      <c r="H1614" s="16" t="inlineStr">
        <is>
          <t>lhs</t>
        </is>
      </c>
      <c r="I1614" s="16" t="inlineStr">
        <is>
          <t>N2</t>
        </is>
      </c>
      <c r="J1614" s="16" t="inlineStr">
        <is>
          <t>NO_CONVERGIO</t>
        </is>
      </c>
      <c r="K1614" s="16" t="b">
        <v>0</v>
      </c>
      <c r="L1614" s="16" t="b">
        <v>0</v>
      </c>
      <c r="M1614" s="16" t="b">
        <v>0</v>
      </c>
      <c r="N1614" s="16" t="b">
        <v>0</v>
      </c>
      <c r="O1614" s="16" t="n">
        <v>387.7867133573844</v>
      </c>
      <c r="P1614" s="16" t="n">
        <v>294.2473609667489</v>
      </c>
      <c r="Q1614" s="16" t="n">
        <v>4995.757833850567</v>
      </c>
      <c r="R1614" s="16" t="n">
        <v>1530.663174893521</v>
      </c>
      <c r="S1614" s="16" t="n">
        <v>0.6630759187772886</v>
      </c>
      <c r="T1614" s="16" t="n">
        <v>0.882701265749871</v>
      </c>
      <c r="U1614" s="16" t="n">
        <v>0.8545657953487755</v>
      </c>
      <c r="V1614" s="16" t="n">
        <v>0.8135496976972771</v>
      </c>
      <c r="W1614" s="16" t="n">
        <v>0.6267050037051535</v>
      </c>
      <c r="X1614" s="16" t="n">
        <v>0.8736770133646311</v>
      </c>
      <c r="Y1614" s="16" t="n">
        <v>294.2473609667489</v>
      </c>
      <c r="Z1614" s="16" t="n">
        <v>-32.38805929421064</v>
      </c>
      <c r="AA1614" s="16" t="n">
        <v>-34.01842645755876</v>
      </c>
      <c r="AB1614" s="16" t="n">
        <v>3465.094658957046</v>
      </c>
      <c r="AC1614" s="16" t="n">
        <v>3.263786518022223</v>
      </c>
      <c r="AD1614" s="16" t="inlineStr">
        <is>
          <t>N2,S6,O3,O5,C1,C3,C3</t>
        </is>
      </c>
      <c r="AE1614" s="16" t="n"/>
    </row>
    <row r="1615">
      <c r="A1615" s="16" t="inlineStr">
        <is>
          <t>KF-M04c-0043</t>
        </is>
      </c>
      <c r="B1615" s="16" t="inlineStr">
        <is>
          <t>3.3</t>
        </is>
      </c>
      <c r="C1615" s="16" t="inlineStr">
        <is>
          <t>3.3</t>
        </is>
      </c>
      <c r="D1615" s="16" t="inlineStr">
        <is>
          <t>P_baja de 1500 a 2500 kPa</t>
        </is>
      </c>
      <c r="E1615" s="16" t="inlineStr">
        <is>
          <t>KF-M04c</t>
        </is>
      </c>
      <c r="F1615" s="16" t="inlineStr">
        <is>
          <t>KF-M04c</t>
        </is>
      </c>
      <c r="G1615" s="16" t="inlineStr">
        <is>
          <t>B08</t>
        </is>
      </c>
      <c r="H1615" s="16" t="inlineStr">
        <is>
          <t>lhs</t>
        </is>
      </c>
      <c r="I1615" s="16" t="inlineStr">
        <is>
          <t>CORREGIBLE</t>
        </is>
      </c>
      <c r="J1615" s="16" t="inlineStr">
        <is>
          <t>CORREGIBLE</t>
        </is>
      </c>
      <c r="K1615" s="16" t="b">
        <v>1</v>
      </c>
      <c r="L1615" s="16" t="b">
        <v>0</v>
      </c>
      <c r="M1615" s="16" t="b">
        <v>0</v>
      </c>
      <c r="N1615" s="16" t="b">
        <v>0</v>
      </c>
      <c r="O1615" s="16" t="n">
        <v>408.6142534615134</v>
      </c>
      <c r="P1615" s="16" t="n">
        <v>283.5149434003681</v>
      </c>
      <c r="Q1615" s="16" t="n">
        <v>3483.270071522058</v>
      </c>
      <c r="R1615" s="16" t="n">
        <v>1808.053371215052</v>
      </c>
      <c r="S1615" s="16" t="n">
        <v>0.8412220040305842</v>
      </c>
      <c r="T1615" s="16" t="n">
        <v>0.766210950818388</v>
      </c>
      <c r="U1615" s="16" t="n">
        <v>0.6699398282557438</v>
      </c>
      <c r="V1615" s="16" t="n">
        <v>0.6819920983425845</v>
      </c>
      <c r="W1615" s="16" t="n">
        <v>0.7644113873232806</v>
      </c>
      <c r="X1615" s="16" t="n">
        <v>0.7000421402095042</v>
      </c>
      <c r="Y1615" s="16" t="n">
        <v>283.5149434003681</v>
      </c>
      <c r="Z1615" s="16" t="n">
        <v>5.39685543793464</v>
      </c>
      <c r="AA1615" s="16" t="n">
        <v>39.31815235231712</v>
      </c>
      <c r="AB1615" s="16" t="n">
        <v>1675.216700307006</v>
      </c>
      <c r="AC1615" s="16" t="n">
        <v>1.926530558763995</v>
      </c>
      <c r="AD1615" s="16" t="inlineStr">
        <is>
          <t>O2</t>
        </is>
      </c>
      <c r="AE1615" s="16" t="n"/>
    </row>
    <row r="1616">
      <c r="A1616" s="16" t="inlineStr">
        <is>
          <t>KF-M04c-0044</t>
        </is>
      </c>
      <c r="B1616" s="16" t="inlineStr">
        <is>
          <t>3.3</t>
        </is>
      </c>
      <c r="C1616" s="16" t="inlineStr">
        <is>
          <t>3.3</t>
        </is>
      </c>
      <c r="D1616" s="16" t="inlineStr">
        <is>
          <t>P_baja de 1500 a 2500 kPa</t>
        </is>
      </c>
      <c r="E1616" s="16" t="inlineStr">
        <is>
          <t>KF-M04c</t>
        </is>
      </c>
      <c r="F1616" s="16" t="inlineStr">
        <is>
          <t>KF-M04c</t>
        </is>
      </c>
      <c r="G1616" s="16" t="inlineStr">
        <is>
          <t>B08</t>
        </is>
      </c>
      <c r="H1616" s="16" t="inlineStr">
        <is>
          <t>lhs</t>
        </is>
      </c>
      <c r="I1616" s="16" t="inlineStr">
        <is>
          <t>KALINA</t>
        </is>
      </c>
      <c r="J1616" s="16" t="inlineStr">
        <is>
          <t>KALINA</t>
        </is>
      </c>
      <c r="K1616" s="16" t="b">
        <v>1</v>
      </c>
      <c r="L1616" s="16" t="b">
        <v>0</v>
      </c>
      <c r="M1616" s="16" t="b">
        <v>1</v>
      </c>
      <c r="N1616" s="16" t="b">
        <v>0</v>
      </c>
      <c r="O1616" s="16" t="n">
        <v>455.7837256042581</v>
      </c>
      <c r="P1616" s="16" t="n">
        <v>287.4770589712541</v>
      </c>
      <c r="Q1616" s="16" t="n">
        <v>2447.732658124461</v>
      </c>
      <c r="R1616" s="16" t="n">
        <v>1907.207517585249</v>
      </c>
      <c r="S1616" s="16" t="n">
        <v>0.7383730784606526</v>
      </c>
      <c r="T1616" s="16" t="n">
        <v>0.79131827790276</v>
      </c>
      <c r="U1616" s="16" t="n">
        <v>0.8982005958948224</v>
      </c>
      <c r="V1616" s="16" t="n">
        <v>0.8591276857798111</v>
      </c>
      <c r="W1616" s="16" t="n">
        <v>0.7120716999848519</v>
      </c>
      <c r="X1616" s="16" t="n">
        <v>0.8988004152440645</v>
      </c>
      <c r="Y1616" s="16" t="n">
        <v>287.4770589712541</v>
      </c>
      <c r="Z1616" s="16" t="n">
        <v>2.01936989301425</v>
      </c>
      <c r="AA1616" s="16" t="n">
        <v>31.88229497117666</v>
      </c>
      <c r="AB1616" s="16" t="n">
        <v>540.5251405392123</v>
      </c>
      <c r="AC1616" s="16" t="n">
        <v>1.283411813111759</v>
      </c>
      <c r="AD1616" s="16" t="n"/>
      <c r="AE1616" s="16" t="n"/>
    </row>
    <row r="1617">
      <c r="A1617" s="16" t="inlineStr">
        <is>
          <t>KF-M04c-0045</t>
        </is>
      </c>
      <c r="B1617" s="16" t="inlineStr">
        <is>
          <t>3.3</t>
        </is>
      </c>
      <c r="C1617" s="16" t="inlineStr">
        <is>
          <t>3.3</t>
        </is>
      </c>
      <c r="D1617" s="16" t="inlineStr">
        <is>
          <t>P_baja de 1500 a 2500 kPa</t>
        </is>
      </c>
      <c r="E1617" s="16" t="inlineStr">
        <is>
          <t>KF-M04c</t>
        </is>
      </c>
      <c r="F1617" s="16" t="inlineStr">
        <is>
          <t>KF-M04c</t>
        </is>
      </c>
      <c r="G1617" s="16" t="inlineStr">
        <is>
          <t>B08</t>
        </is>
      </c>
      <c r="H1617" s="16" t="inlineStr">
        <is>
          <t>lhs</t>
        </is>
      </c>
      <c r="I1617" s="16" t="inlineStr">
        <is>
          <t>KALINA</t>
        </is>
      </c>
      <c r="J1617" s="16" t="inlineStr">
        <is>
          <t>KALINA</t>
        </is>
      </c>
      <c r="K1617" s="16" t="b">
        <v>1</v>
      </c>
      <c r="L1617" s="16" t="b">
        <v>0</v>
      </c>
      <c r="M1617" s="16" t="b">
        <v>1</v>
      </c>
      <c r="N1617" s="16" t="b">
        <v>0</v>
      </c>
      <c r="O1617" s="16" t="n">
        <v>448.0662831224266</v>
      </c>
      <c r="P1617" s="16" t="n">
        <v>289.0603815968944</v>
      </c>
      <c r="Q1617" s="16" t="n">
        <v>4608.017638701334</v>
      </c>
      <c r="R1617" s="16" t="n">
        <v>2069.983251638794</v>
      </c>
      <c r="S1617" s="16" t="n">
        <v>0.5411341217956592</v>
      </c>
      <c r="T1617" s="16" t="n">
        <v>0.8406807702795935</v>
      </c>
      <c r="U1617" s="16" t="n">
        <v>0.8245511487503108</v>
      </c>
      <c r="V1617" s="16" t="n">
        <v>0.6147180732045171</v>
      </c>
      <c r="W1617" s="16" t="n">
        <v>0.6471737076224404</v>
      </c>
      <c r="X1617" s="16" t="n">
        <v>0.7872023064787632</v>
      </c>
      <c r="Y1617" s="16" t="n">
        <v>289.0603815968944</v>
      </c>
      <c r="Z1617" s="16" t="n">
        <v>4.34622332222636</v>
      </c>
      <c r="AA1617" s="16" t="n">
        <v>23.2002669972625</v>
      </c>
      <c r="AB1617" s="16" t="n">
        <v>2538.034387062541</v>
      </c>
      <c r="AC1617" s="16" t="n">
        <v>2.226113489108278</v>
      </c>
      <c r="AD1617" s="16" t="n"/>
      <c r="AE1617" s="16" t="n"/>
    </row>
    <row r="1618">
      <c r="A1618" s="16" t="inlineStr">
        <is>
          <t>KF-M04c-0046</t>
        </is>
      </c>
      <c r="B1618" s="16" t="inlineStr">
        <is>
          <t>3.3</t>
        </is>
      </c>
      <c r="C1618" s="16" t="inlineStr">
        <is>
          <t>3.3</t>
        </is>
      </c>
      <c r="D1618" s="16" t="inlineStr">
        <is>
          <t>P_baja de 1500 a 2500 kPa</t>
        </is>
      </c>
      <c r="E1618" s="16" t="inlineStr">
        <is>
          <t>KF-M04c</t>
        </is>
      </c>
      <c r="F1618" s="16" t="inlineStr">
        <is>
          <t>KF-M04c</t>
        </is>
      </c>
      <c r="G1618" s="16" t="inlineStr">
        <is>
          <t>B08</t>
        </is>
      </c>
      <c r="H1618" s="16" t="inlineStr">
        <is>
          <t>lhs</t>
        </is>
      </c>
      <c r="I1618" s="16" t="inlineStr">
        <is>
          <t>CORREGIBLE</t>
        </is>
      </c>
      <c r="J1618" s="16" t="inlineStr">
        <is>
          <t>CORREGIBLE</t>
        </is>
      </c>
      <c r="K1618" s="16" t="b">
        <v>1</v>
      </c>
      <c r="L1618" s="16" t="b">
        <v>0</v>
      </c>
      <c r="M1618" s="16" t="b">
        <v>1</v>
      </c>
      <c r="N1618" s="16" t="b">
        <v>0</v>
      </c>
      <c r="O1618" s="16" t="n">
        <v>463.5165646817236</v>
      </c>
      <c r="P1618" s="16" t="n">
        <v>299.4991914025873</v>
      </c>
      <c r="Q1618" s="16" t="n">
        <v>2878.595434131244</v>
      </c>
      <c r="R1618" s="16" t="n">
        <v>2175.386656824735</v>
      </c>
      <c r="S1618" s="16" t="n">
        <v>0.5920154273486765</v>
      </c>
      <c r="T1618" s="16" t="n">
        <v>0.8810849355746313</v>
      </c>
      <c r="U1618" s="16" t="n">
        <v>0.760420305406126</v>
      </c>
      <c r="V1618" s="16" t="n">
        <v>0.630741381249082</v>
      </c>
      <c r="W1618" s="16" t="n">
        <v>0.6946224039439316</v>
      </c>
      <c r="X1618" s="16" t="n">
        <v>0.7193264213221505</v>
      </c>
      <c r="Y1618" s="16" t="n">
        <v>299.4991914025873</v>
      </c>
      <c r="Z1618" s="16" t="n">
        <v>2.37004446660756</v>
      </c>
      <c r="AA1618" s="16" t="n">
        <v>25.64267510687154</v>
      </c>
      <c r="AB1618" s="16" t="n">
        <v>703.2087773065086</v>
      </c>
      <c r="AC1618" s="16" t="n">
        <v>1.323256913937743</v>
      </c>
      <c r="AD1618" s="16" t="inlineStr">
        <is>
          <t>O2</t>
        </is>
      </c>
      <c r="AE1618" s="16" t="n"/>
    </row>
    <row r="1619">
      <c r="A1619" s="16" t="inlineStr">
        <is>
          <t>KF-M04c-0047</t>
        </is>
      </c>
      <c r="B1619" s="16" t="inlineStr">
        <is>
          <t>3.3</t>
        </is>
      </c>
      <c r="C1619" s="16" t="inlineStr">
        <is>
          <t>3.3</t>
        </is>
      </c>
      <c r="D1619" s="16" t="inlineStr">
        <is>
          <t>P_baja de 1500 a 2500 kPa</t>
        </is>
      </c>
      <c r="E1619" s="16" t="inlineStr">
        <is>
          <t>KF-M04c</t>
        </is>
      </c>
      <c r="F1619" s="16" t="inlineStr">
        <is>
          <t>KF-M04c</t>
        </is>
      </c>
      <c r="G1619" s="16" t="inlineStr">
        <is>
          <t>B08</t>
        </is>
      </c>
      <c r="H1619" s="16" t="inlineStr">
        <is>
          <t>lhs</t>
        </is>
      </c>
      <c r="I1619" s="16" t="inlineStr">
        <is>
          <t>KALINA</t>
        </is>
      </c>
      <c r="J1619" s="16" t="inlineStr">
        <is>
          <t>KALINA</t>
        </is>
      </c>
      <c r="K1619" s="16" t="b">
        <v>1</v>
      </c>
      <c r="L1619" s="16" t="b">
        <v>1</v>
      </c>
      <c r="M1619" s="16" t="b">
        <v>0</v>
      </c>
      <c r="N1619" s="16" t="b">
        <v>0</v>
      </c>
      <c r="O1619" s="16" t="n">
        <v>386.9707484069957</v>
      </c>
      <c r="P1619" s="16" t="n">
        <v>281.4423370898108</v>
      </c>
      <c r="Q1619" s="16" t="n">
        <v>4550.847890416774</v>
      </c>
      <c r="R1619" s="16" t="n">
        <v>2449.312120001814</v>
      </c>
      <c r="S1619" s="16" t="n">
        <v>0.8458018687614481</v>
      </c>
      <c r="T1619" s="16" t="n">
        <v>0.7611831013339734</v>
      </c>
      <c r="U1619" s="16" t="n">
        <v>0.7110713864243654</v>
      </c>
      <c r="V1619" s="16" t="n">
        <v>0.7397684452720023</v>
      </c>
      <c r="W1619" s="16" t="n">
        <v>0.7585519690948781</v>
      </c>
      <c r="X1619" s="16" t="n">
        <v>0.8552505917563812</v>
      </c>
      <c r="Y1619" s="16" t="n">
        <v>281.4423370898108</v>
      </c>
      <c r="Z1619" s="16" t="n">
        <v>3.8982117141132</v>
      </c>
      <c r="AA1619" s="16" t="n">
        <v>22.90888704595692</v>
      </c>
      <c r="AB1619" s="16" t="n">
        <v>2101.535770414961</v>
      </c>
      <c r="AC1619" s="16" t="n">
        <v>1.858010603570363</v>
      </c>
      <c r="AD1619" s="16" t="n"/>
      <c r="AE1619" s="16" t="n"/>
    </row>
    <row r="1620">
      <c r="A1620" s="16" t="inlineStr">
        <is>
          <t>KF-M04c-0048</t>
        </is>
      </c>
      <c r="B1620" s="16" t="inlineStr">
        <is>
          <t>3.3</t>
        </is>
      </c>
      <c r="C1620" s="16" t="inlineStr">
        <is>
          <t>3.3</t>
        </is>
      </c>
      <c r="D1620" s="16" t="inlineStr">
        <is>
          <t>P_baja de 1500 a 2500 kPa</t>
        </is>
      </c>
      <c r="E1620" s="16" t="inlineStr">
        <is>
          <t>KF-M04c</t>
        </is>
      </c>
      <c r="F1620" s="16" t="inlineStr">
        <is>
          <t>KF-M04c</t>
        </is>
      </c>
      <c r="G1620" s="16" t="inlineStr">
        <is>
          <t>B08</t>
        </is>
      </c>
      <c r="H1620" s="16" t="inlineStr">
        <is>
          <t>lhs</t>
        </is>
      </c>
      <c r="I1620" s="16" t="inlineStr">
        <is>
          <t>KALINA</t>
        </is>
      </c>
      <c r="J1620" s="16" t="inlineStr">
        <is>
          <t>KALINA</t>
        </is>
      </c>
      <c r="K1620" s="16" t="b">
        <v>1</v>
      </c>
      <c r="L1620" s="16" t="b">
        <v>1</v>
      </c>
      <c r="M1620" s="16" t="b">
        <v>0</v>
      </c>
      <c r="N1620" s="16" t="b">
        <v>0</v>
      </c>
      <c r="O1620" s="16" t="n">
        <v>396.260843733731</v>
      </c>
      <c r="P1620" s="16" t="n">
        <v>302.717059413674</v>
      </c>
      <c r="Q1620" s="16" t="n">
        <v>4290.796032463362</v>
      </c>
      <c r="R1620" s="16" t="n">
        <v>2418.816917516489</v>
      </c>
      <c r="S1620" s="16" t="n">
        <v>0.5886030548195156</v>
      </c>
      <c r="T1620" s="16" t="n">
        <v>0.9033236351213366</v>
      </c>
      <c r="U1620" s="16" t="n">
        <v>0.752708088593135</v>
      </c>
      <c r="V1620" s="16" t="n">
        <v>0.8814245399010656</v>
      </c>
      <c r="W1620" s="16" t="n">
        <v>0.7380701294133524</v>
      </c>
      <c r="X1620" s="16" t="n">
        <v>0.765334397916014</v>
      </c>
      <c r="Y1620" s="16" t="n">
        <v>302.717059413674</v>
      </c>
      <c r="Z1620" s="16" t="n">
        <v>0.95799763708457</v>
      </c>
      <c r="AA1620" s="16" t="n">
        <v>1.788992961489221</v>
      </c>
      <c r="AB1620" s="16" t="n">
        <v>1871.979114946873</v>
      </c>
      <c r="AC1620" s="16" t="n">
        <v>1.773923442237588</v>
      </c>
      <c r="AD1620" s="16" t="n"/>
      <c r="AE1620" s="16" t="n"/>
    </row>
    <row r="1621">
      <c r="A1621" s="16" t="inlineStr">
        <is>
          <t>KF-M04c-0049</t>
        </is>
      </c>
      <c r="B1621" s="16" t="inlineStr">
        <is>
          <t>3.3</t>
        </is>
      </c>
      <c r="C1621" s="16" t="inlineStr">
        <is>
          <t>3.3</t>
        </is>
      </c>
      <c r="D1621" s="16" t="inlineStr">
        <is>
          <t>P_baja de 1500 a 2500 kPa</t>
        </is>
      </c>
      <c r="E1621" s="16" t="inlineStr">
        <is>
          <t>KF-M04c</t>
        </is>
      </c>
      <c r="F1621" s="16" t="inlineStr">
        <is>
          <t>KF-M04c</t>
        </is>
      </c>
      <c r="G1621" s="16" t="inlineStr">
        <is>
          <t>B08</t>
        </is>
      </c>
      <c r="H1621" s="16" t="inlineStr">
        <is>
          <t>lhs</t>
        </is>
      </c>
      <c r="I1621" s="16" t="inlineStr">
        <is>
          <t>KALINA</t>
        </is>
      </c>
      <c r="J1621" s="16" t="inlineStr">
        <is>
          <t>KALINA</t>
        </is>
      </c>
      <c r="K1621" s="16" t="b">
        <v>1</v>
      </c>
      <c r="L1621" s="16" t="b">
        <v>1</v>
      </c>
      <c r="M1621" s="16" t="b">
        <v>0</v>
      </c>
      <c r="N1621" s="16" t="b">
        <v>0</v>
      </c>
      <c r="O1621" s="16" t="n">
        <v>425.7037165982901</v>
      </c>
      <c r="P1621" s="16" t="n">
        <v>279.632353544986</v>
      </c>
      <c r="Q1621" s="16" t="n">
        <v>3295.162467157236</v>
      </c>
      <c r="R1621" s="16" t="n">
        <v>1728.055937161029</v>
      </c>
      <c r="S1621" s="16" t="n">
        <v>0.8084795271413934</v>
      </c>
      <c r="T1621" s="16" t="n">
        <v>0.7943637760301394</v>
      </c>
      <c r="U1621" s="16" t="n">
        <v>0.7286326940294142</v>
      </c>
      <c r="V1621" s="16" t="n">
        <v>0.6624835564984125</v>
      </c>
      <c r="W1621" s="16" t="n">
        <v>0.8879441456084212</v>
      </c>
      <c r="X1621" s="16" t="n">
        <v>0.8513087284855375</v>
      </c>
      <c r="Y1621" s="16" t="n">
        <v>279.632353544986</v>
      </c>
      <c r="Z1621" s="16" t="n">
        <v>5.39181554816605</v>
      </c>
      <c r="AA1621" s="16" t="n">
        <v>49.24048876091373</v>
      </c>
      <c r="AB1621" s="16" t="n">
        <v>1567.106529996207</v>
      </c>
      <c r="AC1621" s="16" t="n">
        <v>1.906860996971405</v>
      </c>
      <c r="AD1621" s="16" t="n"/>
      <c r="AE1621" s="16" t="n"/>
    </row>
    <row r="1622">
      <c r="A1622" s="16" t="inlineStr">
        <is>
          <t>KF-M04c-0050</t>
        </is>
      </c>
      <c r="B1622" s="16" t="inlineStr">
        <is>
          <t>3.3</t>
        </is>
      </c>
      <c r="C1622" s="16" t="inlineStr">
        <is>
          <t>3.3</t>
        </is>
      </c>
      <c r="D1622" s="16" t="inlineStr">
        <is>
          <t>P_baja de 1500 a 2500 kPa</t>
        </is>
      </c>
      <c r="E1622" s="16" t="inlineStr">
        <is>
          <t>KF-M04c</t>
        </is>
      </c>
      <c r="F1622" s="16" t="inlineStr">
        <is>
          <t>KF-M04c</t>
        </is>
      </c>
      <c r="G1622" s="16" t="inlineStr">
        <is>
          <t>B08</t>
        </is>
      </c>
      <c r="H1622" s="16" t="inlineStr">
        <is>
          <t>lhs</t>
        </is>
      </c>
      <c r="I1622" s="16" t="inlineStr">
        <is>
          <t>NO_CONVERGIO</t>
        </is>
      </c>
      <c r="J1622" s="16" t="inlineStr">
        <is>
          <t>NO_CONVERGIO</t>
        </is>
      </c>
      <c r="K1622" s="16" t="b">
        <v>0</v>
      </c>
      <c r="L1622" s="16" t="b">
        <v>0</v>
      </c>
      <c r="M1622" s="16" t="b">
        <v>0</v>
      </c>
      <c r="N1622" s="16" t="b">
        <v>0</v>
      </c>
      <c r="O1622" s="16" t="n">
        <v>381.4076021342032</v>
      </c>
      <c r="P1622" s="16" t="n">
        <v>288.3333678464785</v>
      </c>
      <c r="Q1622" s="16" t="n">
        <v>4875.603941173633</v>
      </c>
      <c r="R1622" s="16" t="n">
        <v>1668.530750057611</v>
      </c>
      <c r="S1622" s="16" t="n">
        <v>0.5239875839376793</v>
      </c>
      <c r="T1622" s="16" t="n">
        <v>0.7968784234972491</v>
      </c>
      <c r="U1622" s="16" t="n">
        <v>0.7635155180826003</v>
      </c>
      <c r="V1622" s="16" t="n">
        <v>0.7754554052775672</v>
      </c>
      <c r="W1622" s="16" t="n">
        <v>0.9464826499703494</v>
      </c>
      <c r="X1622" s="16" t="n">
        <v>0.8476757586371828</v>
      </c>
      <c r="Y1622" s="16" t="n">
        <v>288.3333678464785</v>
      </c>
      <c r="Z1622" s="16" t="n"/>
      <c r="AA1622" s="16" t="n"/>
      <c r="AB1622" s="16" t="n">
        <v>3207.073191116022</v>
      </c>
      <c r="AC1622" s="16" t="n">
        <v>2.922094148402892</v>
      </c>
      <c r="AD1622" s="16" t="n"/>
      <c r="AE1622" s="16" t="n"/>
    </row>
    <row r="1623">
      <c r="A1623" s="16" t="inlineStr">
        <is>
          <t>KF-M04c-0051</t>
        </is>
      </c>
      <c r="B1623" s="16" t="inlineStr">
        <is>
          <t>3.3</t>
        </is>
      </c>
      <c r="C1623" s="16" t="inlineStr">
        <is>
          <t>3.3</t>
        </is>
      </c>
      <c r="D1623" s="16" t="inlineStr">
        <is>
          <t>P_baja de 1500 a 2500 kPa</t>
        </is>
      </c>
      <c r="E1623" s="16" t="inlineStr">
        <is>
          <t>KF-M04c</t>
        </is>
      </c>
      <c r="F1623" s="16" t="inlineStr">
        <is>
          <t>KF-M04c</t>
        </is>
      </c>
      <c r="G1623" s="16" t="inlineStr">
        <is>
          <t>B08</t>
        </is>
      </c>
      <c r="H1623" s="16" t="inlineStr">
        <is>
          <t>lhs</t>
        </is>
      </c>
      <c r="I1623" s="16" t="inlineStr">
        <is>
          <t>KALINA</t>
        </is>
      </c>
      <c r="J1623" s="16" t="inlineStr">
        <is>
          <t>KALINA</t>
        </is>
      </c>
      <c r="K1623" s="16" t="b">
        <v>1</v>
      </c>
      <c r="L1623" s="16" t="b">
        <v>1</v>
      </c>
      <c r="M1623" s="16" t="b">
        <v>0</v>
      </c>
      <c r="N1623" s="16" t="b">
        <v>0</v>
      </c>
      <c r="O1623" s="16" t="n">
        <v>418.5286143460037</v>
      </c>
      <c r="P1623" s="16" t="n">
        <v>282.1432080122711</v>
      </c>
      <c r="Q1623" s="16" t="n">
        <v>2402.397328678186</v>
      </c>
      <c r="R1623" s="16" t="n">
        <v>1733.348803333265</v>
      </c>
      <c r="S1623" s="16" t="n">
        <v>0.5054409625353629</v>
      </c>
      <c r="T1623" s="16" t="n">
        <v>0.8218286060296438</v>
      </c>
      <c r="U1623" s="16" t="n">
        <v>0.8352536288208493</v>
      </c>
      <c r="V1623" s="16" t="n">
        <v>0.7330154945419564</v>
      </c>
      <c r="W1623" s="16" t="n">
        <v>0.6872392131270961</v>
      </c>
      <c r="X1623" s="16" t="n">
        <v>0.9416512272386364</v>
      </c>
      <c r="Y1623" s="16" t="n">
        <v>282.1432080122711</v>
      </c>
      <c r="Z1623" s="16" t="n">
        <v>1.88055196682375</v>
      </c>
      <c r="AA1623" s="16" t="n">
        <v>11.61372308174241</v>
      </c>
      <c r="AB1623" s="16" t="n">
        <v>669.048525344921</v>
      </c>
      <c r="AC1623" s="16" t="n">
        <v>1.385986088927011</v>
      </c>
      <c r="AD1623" s="16" t="n"/>
      <c r="AE1623" s="16" t="n"/>
    </row>
    <row r="1624">
      <c r="A1624" s="16" t="inlineStr">
        <is>
          <t>KF-M04c-0052</t>
        </is>
      </c>
      <c r="B1624" s="16" t="inlineStr">
        <is>
          <t>3.3</t>
        </is>
      </c>
      <c r="C1624" s="16" t="inlineStr">
        <is>
          <t>3.3</t>
        </is>
      </c>
      <c r="D1624" s="16" t="inlineStr">
        <is>
          <t>P_baja de 1500 a 2500 kPa</t>
        </is>
      </c>
      <c r="E1624" s="16" t="inlineStr">
        <is>
          <t>KF-M04c</t>
        </is>
      </c>
      <c r="F1624" s="16" t="inlineStr">
        <is>
          <t>KF-M04c</t>
        </is>
      </c>
      <c r="G1624" s="16" t="inlineStr">
        <is>
          <t>B08</t>
        </is>
      </c>
      <c r="H1624" s="16" t="inlineStr">
        <is>
          <t>lhs</t>
        </is>
      </c>
      <c r="I1624" s="16" t="inlineStr">
        <is>
          <t>KALINA</t>
        </is>
      </c>
      <c r="J1624" s="16" t="inlineStr">
        <is>
          <t>KALINA</t>
        </is>
      </c>
      <c r="K1624" s="16" t="b">
        <v>1</v>
      </c>
      <c r="L1624" s="16" t="b">
        <v>0</v>
      </c>
      <c r="M1624" s="16" t="b">
        <v>1</v>
      </c>
      <c r="N1624" s="16" t="b">
        <v>0</v>
      </c>
      <c r="O1624" s="16" t="n">
        <v>481.9685066998586</v>
      </c>
      <c r="P1624" s="16" t="n">
        <v>286.1230962850447</v>
      </c>
      <c r="Q1624" s="16" t="n">
        <v>4490.769481982243</v>
      </c>
      <c r="R1624" s="16" t="n">
        <v>1931.052982177544</v>
      </c>
      <c r="S1624" s="16" t="n">
        <v>0.5037371453285936</v>
      </c>
      <c r="T1624" s="16" t="n">
        <v>0.8151493010039862</v>
      </c>
      <c r="U1624" s="16" t="n">
        <v>0.8666691045363322</v>
      </c>
      <c r="V1624" s="16" t="n">
        <v>0.6354123326132354</v>
      </c>
      <c r="W1624" s="16" t="n">
        <v>0.8895217176740504</v>
      </c>
      <c r="X1624" s="16" t="n">
        <v>0.9055870206078538</v>
      </c>
      <c r="Y1624" s="16" t="n">
        <v>286.1230962850447</v>
      </c>
      <c r="Z1624" s="16" t="n">
        <v>5.57581356203957</v>
      </c>
      <c r="AA1624" s="16" t="n">
        <v>56.16331828208304</v>
      </c>
      <c r="AB1624" s="16" t="n">
        <v>2559.716499804699</v>
      </c>
      <c r="AC1624" s="16" t="n">
        <v>2.325554774223877</v>
      </c>
      <c r="AD1624" s="16" t="n"/>
      <c r="AE1624" s="16" t="n"/>
    </row>
    <row r="1625">
      <c r="A1625" s="16" t="inlineStr">
        <is>
          <t>KF-M04c-0053</t>
        </is>
      </c>
      <c r="B1625" s="16" t="inlineStr">
        <is>
          <t>3.3</t>
        </is>
      </c>
      <c r="C1625" s="16" t="inlineStr">
        <is>
          <t>3.3</t>
        </is>
      </c>
      <c r="D1625" s="16" t="inlineStr">
        <is>
          <t>P_baja de 1500 a 2500 kPa</t>
        </is>
      </c>
      <c r="E1625" s="16" t="inlineStr">
        <is>
          <t>KF-M04c</t>
        </is>
      </c>
      <c r="F1625" s="16" t="inlineStr">
        <is>
          <t>KF-M04c</t>
        </is>
      </c>
      <c r="G1625" s="16" t="inlineStr">
        <is>
          <t>B08</t>
        </is>
      </c>
      <c r="H1625" s="16" t="inlineStr">
        <is>
          <t>lhs</t>
        </is>
      </c>
      <c r="I1625" s="16" t="inlineStr">
        <is>
          <t>CORREGIBLE</t>
        </is>
      </c>
      <c r="J1625" s="16" t="inlineStr">
        <is>
          <t>CORREGIBLE</t>
        </is>
      </c>
      <c r="K1625" s="16" t="b">
        <v>1</v>
      </c>
      <c r="L1625" s="16" t="b">
        <v>0</v>
      </c>
      <c r="M1625" s="16" t="b">
        <v>0</v>
      </c>
      <c r="N1625" s="16" t="b">
        <v>0</v>
      </c>
      <c r="O1625" s="16" t="n">
        <v>461.0973216558344</v>
      </c>
      <c r="P1625" s="16" t="n">
        <v>291.9289187001321</v>
      </c>
      <c r="Q1625" s="16" t="n">
        <v>2125.21876696368</v>
      </c>
      <c r="R1625" s="16" t="n">
        <v>1753.141243024385</v>
      </c>
      <c r="S1625" s="16" t="n">
        <v>0.7821411363313759</v>
      </c>
      <c r="T1625" s="16" t="n">
        <v>0.8777470575240722</v>
      </c>
      <c r="U1625" s="16" t="n">
        <v>0.6759766969221219</v>
      </c>
      <c r="V1625" s="16" t="n">
        <v>0.6184300321665062</v>
      </c>
      <c r="W1625" s="16" t="n">
        <v>0.6707554512044335</v>
      </c>
      <c r="X1625" s="16" t="n">
        <v>0.8567522549812463</v>
      </c>
      <c r="Y1625" s="16" t="n">
        <v>291.9289187001321</v>
      </c>
      <c r="Z1625" s="16" t="n">
        <v>1.90242660102901</v>
      </c>
      <c r="AA1625" s="16" t="n">
        <v>20.55187068576469</v>
      </c>
      <c r="AB1625" s="16" t="n">
        <v>372.0775239392947</v>
      </c>
      <c r="AC1625" s="16" t="n">
        <v>1.212234767403803</v>
      </c>
      <c r="AD1625" s="16" t="inlineStr">
        <is>
          <t>O2</t>
        </is>
      </c>
      <c r="AE1625" s="16" t="n"/>
    </row>
    <row r="1626">
      <c r="A1626" s="16" t="inlineStr">
        <is>
          <t>KF-M04c-0054</t>
        </is>
      </c>
      <c r="B1626" s="16" t="inlineStr">
        <is>
          <t>3.3</t>
        </is>
      </c>
      <c r="C1626" s="16" t="inlineStr">
        <is>
          <t>3.3</t>
        </is>
      </c>
      <c r="D1626" s="16" t="inlineStr">
        <is>
          <t>P_baja de 1500 a 2500 kPa</t>
        </is>
      </c>
      <c r="E1626" s="16" t="inlineStr">
        <is>
          <t>KF-M04c</t>
        </is>
      </c>
      <c r="F1626" s="16" t="inlineStr">
        <is>
          <t>KF-M04c</t>
        </is>
      </c>
      <c r="G1626" s="16" t="inlineStr">
        <is>
          <t>B08</t>
        </is>
      </c>
      <c r="H1626" s="16" t="inlineStr">
        <is>
          <t>lhs</t>
        </is>
      </c>
      <c r="I1626" s="16" t="inlineStr">
        <is>
          <t>CORREGIBLE</t>
        </is>
      </c>
      <c r="J1626" s="16" t="inlineStr">
        <is>
          <t>CORREGIBLE</t>
        </is>
      </c>
      <c r="K1626" s="16" t="b">
        <v>1</v>
      </c>
      <c r="L1626" s="16" t="b">
        <v>0</v>
      </c>
      <c r="M1626" s="16" t="b">
        <v>1</v>
      </c>
      <c r="N1626" s="16" t="b">
        <v>0</v>
      </c>
      <c r="O1626" s="16" t="n">
        <v>485.8649053577304</v>
      </c>
      <c r="P1626" s="16" t="n">
        <v>299.7606981832258</v>
      </c>
      <c r="Q1626" s="16" t="n">
        <v>3603.148231836606</v>
      </c>
      <c r="R1626" s="16" t="n">
        <v>1554.410313131391</v>
      </c>
      <c r="S1626" s="16" t="n">
        <v>0.8398205603322583</v>
      </c>
      <c r="T1626" s="16" t="n">
        <v>0.7782319604855271</v>
      </c>
      <c r="U1626" s="16" t="n">
        <v>0.7428874072029125</v>
      </c>
      <c r="V1626" s="16" t="n">
        <v>0.8419709152161304</v>
      </c>
      <c r="W1626" s="16" t="n">
        <v>0.6109130364505808</v>
      </c>
      <c r="X1626" s="16" t="n">
        <v>0.8865569282295064</v>
      </c>
      <c r="Y1626" s="16" t="n">
        <v>299.7606981832258</v>
      </c>
      <c r="Z1626" s="16" t="n">
        <v>7.07168329734161</v>
      </c>
      <c r="AA1626" s="16" t="n">
        <v>100.4122427635195</v>
      </c>
      <c r="AB1626" s="16" t="n">
        <v>2048.737918705215</v>
      </c>
      <c r="AC1626" s="16" t="n">
        <v>2.318016164327932</v>
      </c>
      <c r="AD1626" s="16" t="inlineStr">
        <is>
          <t>O2</t>
        </is>
      </c>
      <c r="AE1626" s="16" t="n"/>
    </row>
    <row r="1627">
      <c r="A1627" s="16" t="inlineStr">
        <is>
          <t>KF-M04c-0055</t>
        </is>
      </c>
      <c r="B1627" s="16" t="inlineStr">
        <is>
          <t>3.3</t>
        </is>
      </c>
      <c r="C1627" s="16" t="inlineStr">
        <is>
          <t>3.3</t>
        </is>
      </c>
      <c r="D1627" s="16" t="inlineStr">
        <is>
          <t>P_baja de 1500 a 2500 kPa</t>
        </is>
      </c>
      <c r="E1627" s="16" t="inlineStr">
        <is>
          <t>KF-M04c</t>
        </is>
      </c>
      <c r="F1627" s="16" t="inlineStr">
        <is>
          <t>KF-M04c</t>
        </is>
      </c>
      <c r="G1627" s="16" t="inlineStr">
        <is>
          <t>B08</t>
        </is>
      </c>
      <c r="H1627" s="16" t="inlineStr">
        <is>
          <t>lhs</t>
        </is>
      </c>
      <c r="I1627" s="16" t="inlineStr">
        <is>
          <t>NO_CONVERGIO</t>
        </is>
      </c>
      <c r="J1627" s="16" t="inlineStr">
        <is>
          <t>NO_CONVERGIO</t>
        </is>
      </c>
      <c r="K1627" s="16" t="b">
        <v>0</v>
      </c>
      <c r="L1627" s="16" t="b">
        <v>0</v>
      </c>
      <c r="M1627" s="16" t="b">
        <v>0</v>
      </c>
      <c r="N1627" s="16" t="b">
        <v>0</v>
      </c>
      <c r="O1627" s="16" t="n">
        <v>454.6338630555237</v>
      </c>
      <c r="P1627" s="16" t="n">
        <v>287.3692497706547</v>
      </c>
      <c r="Q1627" s="16" t="n">
        <v>3623.87460578767</v>
      </c>
      <c r="R1627" s="16" t="n">
        <v>2257.231915427412</v>
      </c>
      <c r="S1627" s="16" t="n">
        <v>0.7222675896909276</v>
      </c>
      <c r="T1627" s="16" t="n">
        <v>0.8391460100346767</v>
      </c>
      <c r="U1627" s="16" t="n">
        <v>0.8734484957726862</v>
      </c>
      <c r="V1627" s="16" t="n">
        <v>0.6559622779084604</v>
      </c>
      <c r="W1627" s="16" t="n">
        <v>0.8070168920480008</v>
      </c>
      <c r="X1627" s="16" t="n">
        <v>0.8818848978958052</v>
      </c>
      <c r="Y1627" s="16" t="n">
        <v>287.3692497706547</v>
      </c>
      <c r="Z1627" s="16" t="n"/>
      <c r="AA1627" s="16" t="n"/>
      <c r="AB1627" s="16" t="n">
        <v>1366.642690360257</v>
      </c>
      <c r="AC1627" s="16" t="n">
        <v>1.605450720867324</v>
      </c>
      <c r="AD1627" s="16" t="n"/>
      <c r="AE1627" s="16" t="n"/>
    </row>
    <row r="1628">
      <c r="A1628" s="16" t="inlineStr">
        <is>
          <t>KF-M04c-0056</t>
        </is>
      </c>
      <c r="B1628" s="16" t="inlineStr">
        <is>
          <t>3.3</t>
        </is>
      </c>
      <c r="C1628" s="16" t="inlineStr">
        <is>
          <t>3.3</t>
        </is>
      </c>
      <c r="D1628" s="16" t="inlineStr">
        <is>
          <t>P_baja de 1500 a 2500 kPa</t>
        </is>
      </c>
      <c r="E1628" s="16" t="inlineStr">
        <is>
          <t>KF-M04c</t>
        </is>
      </c>
      <c r="F1628" s="16" t="inlineStr">
        <is>
          <t>KF-M04c</t>
        </is>
      </c>
      <c r="G1628" s="16" t="inlineStr">
        <is>
          <t>B08</t>
        </is>
      </c>
      <c r="H1628" s="16" t="inlineStr">
        <is>
          <t>lhs</t>
        </is>
      </c>
      <c r="I1628" s="16" t="inlineStr">
        <is>
          <t>CORREGIBLE</t>
        </is>
      </c>
      <c r="J1628" s="16" t="inlineStr">
        <is>
          <t>CORREGIBLE</t>
        </is>
      </c>
      <c r="K1628" s="16" t="b">
        <v>1</v>
      </c>
      <c r="L1628" s="16" t="b">
        <v>0</v>
      </c>
      <c r="M1628" s="16" t="b">
        <v>1</v>
      </c>
      <c r="N1628" s="16" t="b">
        <v>0</v>
      </c>
      <c r="O1628" s="16" t="n">
        <v>487.9394292626534</v>
      </c>
      <c r="P1628" s="16" t="n">
        <v>297.6649690115808</v>
      </c>
      <c r="Q1628" s="16" t="n">
        <v>4044.630274312575</v>
      </c>
      <c r="R1628" s="16" t="n">
        <v>1665.899964438849</v>
      </c>
      <c r="S1628" s="16" t="n">
        <v>0.8382544796564511</v>
      </c>
      <c r="T1628" s="16" t="n">
        <v>0.8601963438683403</v>
      </c>
      <c r="U1628" s="16" t="n">
        <v>0.8683924288342052</v>
      </c>
      <c r="V1628" s="16" t="n">
        <v>0.8465788890063749</v>
      </c>
      <c r="W1628" s="16" t="n">
        <v>0.7656862177743462</v>
      </c>
      <c r="X1628" s="16" t="n">
        <v>0.746590619840058</v>
      </c>
      <c r="Y1628" s="16" t="n">
        <v>297.6649690115808</v>
      </c>
      <c r="Z1628" s="16" t="n">
        <v>8.07353868064923</v>
      </c>
      <c r="AA1628" s="16" t="n">
        <v>99.91794650486668</v>
      </c>
      <c r="AB1628" s="16" t="n">
        <v>2378.730309873726</v>
      </c>
      <c r="AC1628" s="16" t="n">
        <v>2.427895048112922</v>
      </c>
      <c r="AD1628" s="16" t="inlineStr">
        <is>
          <t>O2</t>
        </is>
      </c>
      <c r="AE1628" s="16" t="n"/>
    </row>
    <row r="1629">
      <c r="A1629" s="16" t="inlineStr">
        <is>
          <t>KF-M04c-0057</t>
        </is>
      </c>
      <c r="B1629" s="16" t="inlineStr">
        <is>
          <t>3.3</t>
        </is>
      </c>
      <c r="C1629" s="16" t="inlineStr">
        <is>
          <t>3.3</t>
        </is>
      </c>
      <c r="D1629" s="16" t="inlineStr">
        <is>
          <t>P_baja de 1500 a 2500 kPa</t>
        </is>
      </c>
      <c r="E1629" s="16" t="inlineStr">
        <is>
          <t>KF-M04c</t>
        </is>
      </c>
      <c r="F1629" s="16" t="inlineStr">
        <is>
          <t>KF-M04c</t>
        </is>
      </c>
      <c r="G1629" s="16" t="inlineStr">
        <is>
          <t>B08</t>
        </is>
      </c>
      <c r="H1629" s="16" t="inlineStr">
        <is>
          <t>lhs</t>
        </is>
      </c>
      <c r="I1629" s="16" t="inlineStr">
        <is>
          <t>KALINA</t>
        </is>
      </c>
      <c r="J1629" s="16" t="inlineStr">
        <is>
          <t>KALINA</t>
        </is>
      </c>
      <c r="K1629" s="16" t="b">
        <v>1</v>
      </c>
      <c r="L1629" s="16" t="b">
        <v>1</v>
      </c>
      <c r="M1629" s="16" t="b">
        <v>0</v>
      </c>
      <c r="N1629" s="16" t="b">
        <v>0</v>
      </c>
      <c r="O1629" s="16" t="n">
        <v>424.5756752168117</v>
      </c>
      <c r="P1629" s="16" t="n">
        <v>301.4686984455583</v>
      </c>
      <c r="Q1629" s="16" t="n">
        <v>3260.063627665817</v>
      </c>
      <c r="R1629" s="16" t="n">
        <v>1712.636418407105</v>
      </c>
      <c r="S1629" s="16" t="n">
        <v>0.5500986270252297</v>
      </c>
      <c r="T1629" s="16" t="n">
        <v>0.8456800536179878</v>
      </c>
      <c r="U1629" s="16" t="n">
        <v>0.8096559975112952</v>
      </c>
      <c r="V1629" s="16" t="n">
        <v>0.798090300688262</v>
      </c>
      <c r="W1629" s="16" t="n">
        <v>0.7989517100277386</v>
      </c>
      <c r="X1629" s="16" t="n">
        <v>0.7542212040067784</v>
      </c>
      <c r="Y1629" s="16" t="n">
        <v>301.4686984455583</v>
      </c>
      <c r="Z1629" s="16" t="n">
        <v>4.96174468320866</v>
      </c>
      <c r="AA1629" s="16" t="n">
        <v>27.43815890028161</v>
      </c>
      <c r="AB1629" s="16" t="n">
        <v>1547.427209258712</v>
      </c>
      <c r="AC1629" s="16" t="n">
        <v>1.903535153537112</v>
      </c>
      <c r="AD1629" s="16" t="n"/>
      <c r="AE1629" s="16" t="n"/>
    </row>
    <row r="1630">
      <c r="A1630" s="16" t="inlineStr">
        <is>
          <t>KF-M04c-0058</t>
        </is>
      </c>
      <c r="B1630" s="16" t="inlineStr">
        <is>
          <t>3.3</t>
        </is>
      </c>
      <c r="C1630" s="16" t="inlineStr">
        <is>
          <t>3.3</t>
        </is>
      </c>
      <c r="D1630" s="16" t="inlineStr">
        <is>
          <t>P_baja de 1500 a 2500 kPa</t>
        </is>
      </c>
      <c r="E1630" s="16" t="inlineStr">
        <is>
          <t>KF-M04c</t>
        </is>
      </c>
      <c r="F1630" s="16" t="inlineStr">
        <is>
          <t>KF-M04c</t>
        </is>
      </c>
      <c r="G1630" s="16" t="inlineStr">
        <is>
          <t>B08</t>
        </is>
      </c>
      <c r="H1630" s="16" t="inlineStr">
        <is>
          <t>lhs</t>
        </is>
      </c>
      <c r="I1630" s="16" t="inlineStr">
        <is>
          <t>KALINA</t>
        </is>
      </c>
      <c r="J1630" s="16" t="inlineStr">
        <is>
          <t>KALINA</t>
        </is>
      </c>
      <c r="K1630" s="16" t="b">
        <v>1</v>
      </c>
      <c r="L1630" s="16" t="b">
        <v>0</v>
      </c>
      <c r="M1630" s="16" t="b">
        <v>1</v>
      </c>
      <c r="N1630" s="16" t="b">
        <v>0</v>
      </c>
      <c r="O1630" s="16" t="n">
        <v>499.8267958529154</v>
      </c>
      <c r="P1630" s="16" t="n">
        <v>283.32014294928</v>
      </c>
      <c r="Q1630" s="16" t="n">
        <v>4518.076270270658</v>
      </c>
      <c r="R1630" s="16" t="n">
        <v>1637.89169753281</v>
      </c>
      <c r="S1630" s="16" t="n">
        <v>0.647985412049547</v>
      </c>
      <c r="T1630" s="16" t="n">
        <v>0.8145883475850513</v>
      </c>
      <c r="U1630" s="16" t="n">
        <v>0.6611969975717397</v>
      </c>
      <c r="V1630" s="16" t="n">
        <v>0.809547168646606</v>
      </c>
      <c r="W1630" s="16" t="n">
        <v>0.7971867101433424</v>
      </c>
      <c r="X1630" s="16" t="n">
        <v>0.8952359641290037</v>
      </c>
      <c r="Y1630" s="16" t="n">
        <v>283.32014294928</v>
      </c>
      <c r="Z1630" s="16" t="n">
        <v>7.358933625034831</v>
      </c>
      <c r="AA1630" s="16" t="n">
        <v>118.8873207976074</v>
      </c>
      <c r="AB1630" s="16" t="n">
        <v>2880.184572737848</v>
      </c>
      <c r="AC1630" s="16" t="n">
        <v>2.758470707847368</v>
      </c>
      <c r="AD1630" s="16" t="n"/>
      <c r="AE1630" s="16" t="n"/>
    </row>
    <row r="1631">
      <c r="A1631" s="16" t="inlineStr">
        <is>
          <t>KF-M04c-0059</t>
        </is>
      </c>
      <c r="B1631" s="16" t="inlineStr">
        <is>
          <t>3.3</t>
        </is>
      </c>
      <c r="C1631" s="16" t="inlineStr">
        <is>
          <t>3.3</t>
        </is>
      </c>
      <c r="D1631" s="16" t="inlineStr">
        <is>
          <t>P_baja de 1500 a 2500 kPa</t>
        </is>
      </c>
      <c r="E1631" s="16" t="inlineStr">
        <is>
          <t>KF-M04c</t>
        </is>
      </c>
      <c r="F1631" s="16" t="inlineStr">
        <is>
          <t>KF-M04c</t>
        </is>
      </c>
      <c r="G1631" s="16" t="inlineStr">
        <is>
          <t>B08</t>
        </is>
      </c>
      <c r="H1631" s="16" t="inlineStr">
        <is>
          <t>lhs</t>
        </is>
      </c>
      <c r="I1631" s="16" t="inlineStr">
        <is>
          <t>KALINA</t>
        </is>
      </c>
      <c r="J1631" s="16" t="inlineStr">
        <is>
          <t>KALINA</t>
        </is>
      </c>
      <c r="K1631" s="16" t="b">
        <v>1</v>
      </c>
      <c r="L1631" s="16" t="b">
        <v>0</v>
      </c>
      <c r="M1631" s="16" t="b">
        <v>1</v>
      </c>
      <c r="N1631" s="16" t="b">
        <v>0</v>
      </c>
      <c r="O1631" s="16" t="n">
        <v>483.1792582073932</v>
      </c>
      <c r="P1631" s="16" t="n">
        <v>279.4732657689622</v>
      </c>
      <c r="Q1631" s="16" t="n">
        <v>3342.764875777179</v>
      </c>
      <c r="R1631" s="16" t="n">
        <v>2479.358955031153</v>
      </c>
      <c r="S1631" s="16" t="n">
        <v>0.6831359189783424</v>
      </c>
      <c r="T1631" s="16" t="n">
        <v>0.8891848739359897</v>
      </c>
      <c r="U1631" s="16" t="n">
        <v>0.7629690793372129</v>
      </c>
      <c r="V1631" s="16" t="n">
        <v>0.7991665531453939</v>
      </c>
      <c r="W1631" s="16" t="n">
        <v>0.7300088842043164</v>
      </c>
      <c r="X1631" s="16" t="n">
        <v>0.8906721850657688</v>
      </c>
      <c r="Y1631" s="16" t="n">
        <v>279.4732657689622</v>
      </c>
      <c r="Z1631" s="16" t="n">
        <v>2.53644105690257</v>
      </c>
      <c r="AA1631" s="16" t="n">
        <v>39.72119740574998</v>
      </c>
      <c r="AB1631" s="16" t="n">
        <v>863.4059207460255</v>
      </c>
      <c r="AC1631" s="16" t="n">
        <v>1.348237563178978</v>
      </c>
      <c r="AD1631" s="16" t="n"/>
      <c r="AE1631" s="16" t="n"/>
    </row>
    <row r="1632">
      <c r="A1632" s="16" t="inlineStr">
        <is>
          <t>KF-M04c-0060</t>
        </is>
      </c>
      <c r="B1632" s="16" t="inlineStr">
        <is>
          <t>3.3</t>
        </is>
      </c>
      <c r="C1632" s="16" t="inlineStr">
        <is>
          <t>3.3</t>
        </is>
      </c>
      <c r="D1632" s="16" t="inlineStr">
        <is>
          <t>P_baja de 1500 a 2500 kPa</t>
        </is>
      </c>
      <c r="E1632" s="16" t="inlineStr">
        <is>
          <t>KF-M04c</t>
        </is>
      </c>
      <c r="F1632" s="16" t="inlineStr">
        <is>
          <t>KF-M04c</t>
        </is>
      </c>
      <c r="G1632" s="16" t="inlineStr">
        <is>
          <t>B08</t>
        </is>
      </c>
      <c r="H1632" s="16" t="inlineStr">
        <is>
          <t>lhs</t>
        </is>
      </c>
      <c r="I1632" s="16" t="inlineStr">
        <is>
          <t>CORREGIBLE</t>
        </is>
      </c>
      <c r="J1632" s="16" t="inlineStr">
        <is>
          <t>CORREGIBLE</t>
        </is>
      </c>
      <c r="K1632" s="16" t="b">
        <v>1</v>
      </c>
      <c r="L1632" s="16" t="b">
        <v>0</v>
      </c>
      <c r="M1632" s="16" t="b">
        <v>1</v>
      </c>
      <c r="N1632" s="16" t="b">
        <v>0</v>
      </c>
      <c r="O1632" s="16" t="n">
        <v>466.3745030913955</v>
      </c>
      <c r="P1632" s="16" t="n">
        <v>278.8127465594754</v>
      </c>
      <c r="Q1632" s="16" t="n">
        <v>2315.688223840573</v>
      </c>
      <c r="R1632" s="16" t="n">
        <v>1563.936972237929</v>
      </c>
      <c r="S1632" s="16" t="n">
        <v>0.5279469738432757</v>
      </c>
      <c r="T1632" s="16" t="n">
        <v>0.7754327371545867</v>
      </c>
      <c r="U1632" s="16" t="n">
        <v>0.6984318351580036</v>
      </c>
      <c r="V1632" s="16" t="n">
        <v>0.6247074649850247</v>
      </c>
      <c r="W1632" s="16" t="n">
        <v>0.6003819808842435</v>
      </c>
      <c r="X1632" s="16" t="n">
        <v>0.7683104287437265</v>
      </c>
      <c r="Y1632" s="16" t="n">
        <v>278.8127465594754</v>
      </c>
      <c r="Z1632" s="16" t="n">
        <v>2.84457644258356</v>
      </c>
      <c r="AA1632" s="16" t="n">
        <v>34.92289519169874</v>
      </c>
      <c r="AB1632" s="16" t="n">
        <v>751.7512516026445</v>
      </c>
      <c r="AC1632" s="16" t="n">
        <v>1.480678738943629</v>
      </c>
      <c r="AD1632" s="16" t="inlineStr">
        <is>
          <t>O2</t>
        </is>
      </c>
      <c r="AE1632" s="16" t="n"/>
    </row>
    <row r="1633">
      <c r="A1633" s="16" t="inlineStr">
        <is>
          <t>KF-M04c-0061</t>
        </is>
      </c>
      <c r="B1633" s="16" t="inlineStr">
        <is>
          <t>3.3</t>
        </is>
      </c>
      <c r="C1633" s="16" t="inlineStr">
        <is>
          <t>3.3</t>
        </is>
      </c>
      <c r="D1633" s="16" t="inlineStr">
        <is>
          <t>P_baja de 1500 a 2500 kPa</t>
        </is>
      </c>
      <c r="E1633" s="16" t="inlineStr">
        <is>
          <t>KF-M04c</t>
        </is>
      </c>
      <c r="F1633" s="16" t="inlineStr">
        <is>
          <t>KF-M04c</t>
        </is>
      </c>
      <c r="G1633" s="16" t="inlineStr">
        <is>
          <t>B08</t>
        </is>
      </c>
      <c r="H1633" s="16" t="inlineStr">
        <is>
          <t>lhs</t>
        </is>
      </c>
      <c r="I1633" s="16" t="inlineStr">
        <is>
          <t>OMITIDO</t>
        </is>
      </c>
      <c r="J1633" s="16" t="n"/>
      <c r="K1633" s="16" t="b">
        <v>0</v>
      </c>
      <c r="L1633" s="16" t="b">
        <v>0</v>
      </c>
      <c r="M1633" s="16" t="n"/>
      <c r="N1633" s="16" t="b">
        <v>1</v>
      </c>
      <c r="O1633" s="16" t="n">
        <v>472.8130023547797</v>
      </c>
      <c r="P1633" s="16" t="n">
        <v>290.5901800671656</v>
      </c>
      <c r="Q1633" s="16" t="n">
        <v>2075.965331776471</v>
      </c>
      <c r="R1633" s="16" t="n">
        <v>1778.086823041314</v>
      </c>
      <c r="S1633" s="16" t="n">
        <v>0.8137213552663023</v>
      </c>
      <c r="T1633" s="16" t="n">
        <v>0.9064004288611366</v>
      </c>
      <c r="U1633" s="16" t="n">
        <v>0.8487178231891441</v>
      </c>
      <c r="V1633" s="16" t="n">
        <v>0.8666678915506046</v>
      </c>
      <c r="W1633" s="16" t="n">
        <v>0.8642770253199943</v>
      </c>
      <c r="X1633" s="16" t="n">
        <v>0.846289570738546</v>
      </c>
      <c r="Y1633" s="16" t="n"/>
      <c r="Z1633" s="16" t="n"/>
      <c r="AA1633" s="16" t="n"/>
      <c r="AB1633" s="16" t="n">
        <v>297.8785087351575</v>
      </c>
      <c r="AC1633" s="16" t="n">
        <v>1.167527538517863</v>
      </c>
      <c r="AD1633" s="16" t="n"/>
      <c r="AE1633" s="16" t="n"/>
    </row>
    <row r="1634">
      <c r="A1634" s="16" t="inlineStr">
        <is>
          <t>KF-M04c-0062</t>
        </is>
      </c>
      <c r="B1634" s="16" t="inlineStr">
        <is>
          <t>3.3</t>
        </is>
      </c>
      <c r="C1634" s="16" t="inlineStr">
        <is>
          <t>3.3</t>
        </is>
      </c>
      <c r="D1634" s="16" t="inlineStr">
        <is>
          <t>P_baja de 1500 a 2500 kPa</t>
        </is>
      </c>
      <c r="E1634" s="16" t="inlineStr">
        <is>
          <t>KF-M04c</t>
        </is>
      </c>
      <c r="F1634" s="16" t="inlineStr">
        <is>
          <t>KF-M04c</t>
        </is>
      </c>
      <c r="G1634" s="16" t="inlineStr">
        <is>
          <t>B08</t>
        </is>
      </c>
      <c r="H1634" s="16" t="inlineStr">
        <is>
          <t>lhs</t>
        </is>
      </c>
      <c r="I1634" s="16" t="inlineStr">
        <is>
          <t>OMITIDO</t>
        </is>
      </c>
      <c r="J1634" s="16" t="n"/>
      <c r="K1634" s="16" t="b">
        <v>0</v>
      </c>
      <c r="L1634" s="16" t="b">
        <v>0</v>
      </c>
      <c r="M1634" s="16" t="n"/>
      <c r="N1634" s="16" t="b">
        <v>1</v>
      </c>
      <c r="O1634" s="16" t="n">
        <v>405.8566504217964</v>
      </c>
      <c r="P1634" s="16" t="n">
        <v>294.16214716606</v>
      </c>
      <c r="Q1634" s="16" t="n">
        <v>2093.63719014084</v>
      </c>
      <c r="R1634" s="16" t="n">
        <v>1951.892694854916</v>
      </c>
      <c r="S1634" s="16" t="n">
        <v>0.5807838567695603</v>
      </c>
      <c r="T1634" s="16" t="n">
        <v>0.9022861833806748</v>
      </c>
      <c r="U1634" s="16" t="n">
        <v>0.8520302994861744</v>
      </c>
      <c r="V1634" s="16" t="n">
        <v>0.612643042423783</v>
      </c>
      <c r="W1634" s="16" t="n">
        <v>0.7792222526959249</v>
      </c>
      <c r="X1634" s="16" t="n">
        <v>0.8629783731012142</v>
      </c>
      <c r="Y1634" s="16" t="n"/>
      <c r="Z1634" s="16" t="n"/>
      <c r="AA1634" s="16" t="n"/>
      <c r="AB1634" s="16" t="n">
        <v>141.7444952859241</v>
      </c>
      <c r="AC1634" s="16" t="n">
        <v>1.072618999835162</v>
      </c>
      <c r="AD1634" s="16" t="n"/>
      <c r="AE1634" s="16" t="n"/>
    </row>
    <row r="1635">
      <c r="A1635" s="16" t="inlineStr">
        <is>
          <t>KF-M04c-0063</t>
        </is>
      </c>
      <c r="B1635" s="16" t="inlineStr">
        <is>
          <t>3.3</t>
        </is>
      </c>
      <c r="C1635" s="16" t="inlineStr">
        <is>
          <t>3.3</t>
        </is>
      </c>
      <c r="D1635" s="16" t="inlineStr">
        <is>
          <t>P_baja de 1500 a 2500 kPa</t>
        </is>
      </c>
      <c r="E1635" s="16" t="inlineStr">
        <is>
          <t>KF-M04c</t>
        </is>
      </c>
      <c r="F1635" s="16" t="inlineStr">
        <is>
          <t>KF-M04c</t>
        </is>
      </c>
      <c r="G1635" s="16" t="inlineStr">
        <is>
          <t>B08</t>
        </is>
      </c>
      <c r="H1635" s="16" t="inlineStr">
        <is>
          <t>lhs</t>
        </is>
      </c>
      <c r="I1635" s="16" t="inlineStr">
        <is>
          <t>CORREGIBLE</t>
        </is>
      </c>
      <c r="J1635" s="16" t="inlineStr">
        <is>
          <t>CORREGIBLE</t>
        </is>
      </c>
      <c r="K1635" s="16" t="b">
        <v>1</v>
      </c>
      <c r="L1635" s="16" t="b">
        <v>0</v>
      </c>
      <c r="M1635" s="16" t="b">
        <v>1</v>
      </c>
      <c r="N1635" s="16" t="b">
        <v>0</v>
      </c>
      <c r="O1635" s="16" t="n">
        <v>477.4981640360661</v>
      </c>
      <c r="P1635" s="16" t="n">
        <v>287.0919884420034</v>
      </c>
      <c r="Q1635" s="16" t="n">
        <v>3222.261241019029</v>
      </c>
      <c r="R1635" s="16" t="n">
        <v>2261.182993356717</v>
      </c>
      <c r="S1635" s="16" t="n">
        <v>0.7353529791876663</v>
      </c>
      <c r="T1635" s="16" t="n">
        <v>0.8982753635547727</v>
      </c>
      <c r="U1635" s="16" t="n">
        <v>0.7540052532392058</v>
      </c>
      <c r="V1635" s="16" t="n">
        <v>0.7321685363229558</v>
      </c>
      <c r="W1635" s="16" t="n">
        <v>0.8189038618015203</v>
      </c>
      <c r="X1635" s="16" t="n">
        <v>0.7593539243408141</v>
      </c>
      <c r="Y1635" s="16" t="n">
        <v>287.0919884420034</v>
      </c>
      <c r="Z1635" s="16" t="n">
        <v>3.41093151928355</v>
      </c>
      <c r="AA1635" s="16" t="n">
        <v>41.48706459279567</v>
      </c>
      <c r="AB1635" s="16" t="n">
        <v>961.0782476623112</v>
      </c>
      <c r="AC1635" s="16" t="n">
        <v>1.425033378760555</v>
      </c>
      <c r="AD1635" s="16" t="inlineStr">
        <is>
          <t>O2</t>
        </is>
      </c>
      <c r="AE1635" s="16" t="n"/>
    </row>
    <row r="1636">
      <c r="A1636" s="16" t="inlineStr">
        <is>
          <t>KF-M04c-0064</t>
        </is>
      </c>
      <c r="B1636" s="16" t="inlineStr">
        <is>
          <t>3.3</t>
        </is>
      </c>
      <c r="C1636" s="16" t="inlineStr">
        <is>
          <t>3.3</t>
        </is>
      </c>
      <c r="D1636" s="16" t="inlineStr">
        <is>
          <t>P_baja de 1500 a 2500 kPa</t>
        </is>
      </c>
      <c r="E1636" s="16" t="inlineStr">
        <is>
          <t>KF-M04c</t>
        </is>
      </c>
      <c r="F1636" s="16" t="inlineStr">
        <is>
          <t>KF-M04c</t>
        </is>
      </c>
      <c r="G1636" s="16" t="inlineStr">
        <is>
          <t>B08</t>
        </is>
      </c>
      <c r="H1636" s="16" t="inlineStr">
        <is>
          <t>lhs</t>
        </is>
      </c>
      <c r="I1636" s="16" t="inlineStr">
        <is>
          <t>KALINA</t>
        </is>
      </c>
      <c r="J1636" s="16" t="inlineStr">
        <is>
          <t>KALINA</t>
        </is>
      </c>
      <c r="K1636" s="16" t="b">
        <v>1</v>
      </c>
      <c r="L1636" s="16" t="b">
        <v>1</v>
      </c>
      <c r="M1636" s="16" t="b">
        <v>0</v>
      </c>
      <c r="N1636" s="16" t="b">
        <v>0</v>
      </c>
      <c r="O1636" s="16" t="n">
        <v>407.4118337847604</v>
      </c>
      <c r="P1636" s="16" t="n">
        <v>279.7316286412618</v>
      </c>
      <c r="Q1636" s="16" t="n">
        <v>4460.076957202919</v>
      </c>
      <c r="R1636" s="16" t="n">
        <v>2272.097652955517</v>
      </c>
      <c r="S1636" s="16" t="n">
        <v>0.7099974383262846</v>
      </c>
      <c r="T1636" s="16" t="n">
        <v>0.8489261059858412</v>
      </c>
      <c r="U1636" s="16" t="n">
        <v>0.7970999598545072</v>
      </c>
      <c r="V1636" s="16" t="n">
        <v>0.6402524268779608</v>
      </c>
      <c r="W1636" s="16" t="n">
        <v>0.6899426844449165</v>
      </c>
      <c r="X1636" s="16" t="n">
        <v>0.9104875453147008</v>
      </c>
      <c r="Y1636" s="16" t="n">
        <v>279.7316286412618</v>
      </c>
      <c r="Z1636" s="16" t="n">
        <v>3.77242336546223</v>
      </c>
      <c r="AA1636" s="16" t="n">
        <v>18.6035385440547</v>
      </c>
      <c r="AB1636" s="16" t="n">
        <v>2187.979304247402</v>
      </c>
      <c r="AC1636" s="16" t="n">
        <v>1.962977670172453</v>
      </c>
      <c r="AD1636" s="16" t="n"/>
      <c r="AE1636" s="16" t="n"/>
    </row>
    <row r="1637">
      <c r="A1637" s="16" t="inlineStr">
        <is>
          <t>KF-M04c-0065</t>
        </is>
      </c>
      <c r="B1637" s="16" t="inlineStr">
        <is>
          <t>3.3</t>
        </is>
      </c>
      <c r="C1637" s="16" t="inlineStr">
        <is>
          <t>3.3</t>
        </is>
      </c>
      <c r="D1637" s="16" t="inlineStr">
        <is>
          <t>P_baja de 1500 a 2500 kPa</t>
        </is>
      </c>
      <c r="E1637" s="16" t="inlineStr">
        <is>
          <t>KF-M04c</t>
        </is>
      </c>
      <c r="F1637" s="16" t="inlineStr">
        <is>
          <t>KF-M04c</t>
        </is>
      </c>
      <c r="G1637" s="16" t="inlineStr">
        <is>
          <t>B08</t>
        </is>
      </c>
      <c r="H1637" s="16" t="inlineStr">
        <is>
          <t>lhs</t>
        </is>
      </c>
      <c r="I1637" s="16" t="inlineStr">
        <is>
          <t>CORREGIBLE</t>
        </is>
      </c>
      <c r="J1637" s="16" t="inlineStr">
        <is>
          <t>CORREGIBLE</t>
        </is>
      </c>
      <c r="K1637" s="16" t="b">
        <v>1</v>
      </c>
      <c r="L1637" s="16" t="b">
        <v>0</v>
      </c>
      <c r="M1637" s="16" t="b">
        <v>1</v>
      </c>
      <c r="N1637" s="16" t="b">
        <v>0</v>
      </c>
      <c r="O1637" s="16" t="n">
        <v>492.6944851926027</v>
      </c>
      <c r="P1637" s="16" t="n">
        <v>281.7042586970181</v>
      </c>
      <c r="Q1637" s="16" t="n">
        <v>4106.015390185168</v>
      </c>
      <c r="R1637" s="16" t="n">
        <v>2298.053815456731</v>
      </c>
      <c r="S1637" s="16" t="n">
        <v>0.5984020671071626</v>
      </c>
      <c r="T1637" s="16" t="n">
        <v>0.8110627472431513</v>
      </c>
      <c r="U1637" s="16" t="n">
        <v>0.829454617420333</v>
      </c>
      <c r="V1637" s="16" t="n">
        <v>0.9342006464965864</v>
      </c>
      <c r="W1637" s="16" t="n">
        <v>0.8805762062019367</v>
      </c>
      <c r="X1637" s="16" t="n">
        <v>0.7519404325808697</v>
      </c>
      <c r="Y1637" s="16" t="n">
        <v>281.7042586970181</v>
      </c>
      <c r="Z1637" s="16" t="n">
        <v>4.50821324198418</v>
      </c>
      <c r="AA1637" s="16" t="n">
        <v>74.94057710570496</v>
      </c>
      <c r="AB1637" s="16" t="n">
        <v>1807.961574728437</v>
      </c>
      <c r="AC1637" s="16" t="n">
        <v>1.786735960040653</v>
      </c>
      <c r="AD1637" s="16" t="inlineStr">
        <is>
          <t>O2</t>
        </is>
      </c>
      <c r="AE1637" s="16" t="n"/>
    </row>
    <row r="1638">
      <c r="A1638" s="16" t="inlineStr">
        <is>
          <t>KF-M04c-0066</t>
        </is>
      </c>
      <c r="B1638" s="16" t="inlineStr">
        <is>
          <t>3.3</t>
        </is>
      </c>
      <c r="C1638" s="16" t="inlineStr">
        <is>
          <t>3.3</t>
        </is>
      </c>
      <c r="D1638" s="16" t="inlineStr">
        <is>
          <t>P_baja de 1500 a 2500 kPa</t>
        </is>
      </c>
      <c r="E1638" s="16" t="inlineStr">
        <is>
          <t>KF-M04c</t>
        </is>
      </c>
      <c r="F1638" s="16" t="inlineStr">
        <is>
          <t>KF-M04c</t>
        </is>
      </c>
      <c r="G1638" s="16" t="inlineStr">
        <is>
          <t>B08</t>
        </is>
      </c>
      <c r="H1638" s="16" t="inlineStr">
        <is>
          <t>lhs</t>
        </is>
      </c>
      <c r="I1638" s="16" t="inlineStr">
        <is>
          <t>KALINA</t>
        </is>
      </c>
      <c r="J1638" s="16" t="inlineStr">
        <is>
          <t>KALINA</t>
        </is>
      </c>
      <c r="K1638" s="16" t="b">
        <v>1</v>
      </c>
      <c r="L1638" s="16" t="b">
        <v>0</v>
      </c>
      <c r="M1638" s="16" t="b">
        <v>1</v>
      </c>
      <c r="N1638" s="16" t="b">
        <v>0</v>
      </c>
      <c r="O1638" s="16" t="n">
        <v>496.1803912368263</v>
      </c>
      <c r="P1638" s="16" t="n">
        <v>278.8802250958641</v>
      </c>
      <c r="Q1638" s="16" t="n">
        <v>2613.32237924985</v>
      </c>
      <c r="R1638" s="16" t="n">
        <v>1550.510570027684</v>
      </c>
      <c r="S1638" s="16" t="n">
        <v>0.517247574456463</v>
      </c>
      <c r="T1638" s="16" t="n">
        <v>0.9121661558355446</v>
      </c>
      <c r="U1638" s="16" t="n">
        <v>0.8867312691661731</v>
      </c>
      <c r="V1638" s="16" t="n">
        <v>0.8962893151961889</v>
      </c>
      <c r="W1638" s="16" t="n">
        <v>0.9362153494534116</v>
      </c>
      <c r="X1638" s="16" t="n">
        <v>0.8980441545254008</v>
      </c>
      <c r="Y1638" s="16" t="n">
        <v>278.8802250958641</v>
      </c>
      <c r="Z1638" s="16" t="n">
        <v>4.113234178216571</v>
      </c>
      <c r="AA1638" s="16" t="n">
        <v>82.31926971274345</v>
      </c>
      <c r="AB1638" s="16" t="n">
        <v>1062.811809222165</v>
      </c>
      <c r="AC1638" s="16" t="n">
        <v>1.685459247919341</v>
      </c>
      <c r="AD1638" s="16" t="n"/>
      <c r="AE1638" s="16" t="n"/>
    </row>
    <row r="1639">
      <c r="A1639" s="16" t="inlineStr">
        <is>
          <t>KF-M04c-0067</t>
        </is>
      </c>
      <c r="B1639" s="16" t="inlineStr">
        <is>
          <t>3.3</t>
        </is>
      </c>
      <c r="C1639" s="16" t="inlineStr">
        <is>
          <t>3.3</t>
        </is>
      </c>
      <c r="D1639" s="16" t="inlineStr">
        <is>
          <t>P_baja de 1500 a 2500 kPa</t>
        </is>
      </c>
      <c r="E1639" s="16" t="inlineStr">
        <is>
          <t>KF-M04c</t>
        </is>
      </c>
      <c r="F1639" s="16" t="inlineStr">
        <is>
          <t>KF-M04c</t>
        </is>
      </c>
      <c r="G1639" s="16" t="inlineStr">
        <is>
          <t>B08</t>
        </is>
      </c>
      <c r="H1639" s="16" t="inlineStr">
        <is>
          <t>lhs</t>
        </is>
      </c>
      <c r="I1639" s="16" t="inlineStr">
        <is>
          <t>CORREGIBLE</t>
        </is>
      </c>
      <c r="J1639" s="16" t="inlineStr">
        <is>
          <t>CORREGIBLE</t>
        </is>
      </c>
      <c r="K1639" s="16" t="b">
        <v>1</v>
      </c>
      <c r="L1639" s="16" t="b">
        <v>0</v>
      </c>
      <c r="M1639" s="16" t="b">
        <v>1</v>
      </c>
      <c r="N1639" s="16" t="b">
        <v>0</v>
      </c>
      <c r="O1639" s="16" t="n">
        <v>446.2011201380818</v>
      </c>
      <c r="P1639" s="16" t="n">
        <v>300.4348446052085</v>
      </c>
      <c r="Q1639" s="16" t="n">
        <v>2729.144604605264</v>
      </c>
      <c r="R1639" s="16" t="n">
        <v>2130.348649377401</v>
      </c>
      <c r="S1639" s="16" t="n">
        <v>0.6094418531690025</v>
      </c>
      <c r="T1639" s="16" t="n">
        <v>0.8962347417433072</v>
      </c>
      <c r="U1639" s="16" t="n">
        <v>0.7879541211016706</v>
      </c>
      <c r="V1639" s="16" t="n">
        <v>0.8615302837735177</v>
      </c>
      <c r="W1639" s="16" t="n">
        <v>0.6644672089948657</v>
      </c>
      <c r="X1639" s="16" t="n">
        <v>0.8171740731572137</v>
      </c>
      <c r="Y1639" s="16" t="n">
        <v>300.4348446052085</v>
      </c>
      <c r="Z1639" s="16" t="n">
        <v>2.26519187040425</v>
      </c>
      <c r="AA1639" s="16" t="n">
        <v>27.99246284035329</v>
      </c>
      <c r="AB1639" s="16" t="n">
        <v>598.7959552278626</v>
      </c>
      <c r="AC1639" s="16" t="n">
        <v>1.281078853174039</v>
      </c>
      <c r="AD1639" s="16" t="inlineStr">
        <is>
          <t>O2</t>
        </is>
      </c>
      <c r="AE1639" s="16" t="n"/>
    </row>
    <row r="1640">
      <c r="A1640" s="16" t="inlineStr">
        <is>
          <t>KF-M04c-0068</t>
        </is>
      </c>
      <c r="B1640" s="16" t="inlineStr">
        <is>
          <t>3.3</t>
        </is>
      </c>
      <c r="C1640" s="16" t="inlineStr">
        <is>
          <t>3.3</t>
        </is>
      </c>
      <c r="D1640" s="16" t="inlineStr">
        <is>
          <t>P_baja de 1500 a 2500 kPa</t>
        </is>
      </c>
      <c r="E1640" s="16" t="inlineStr">
        <is>
          <t>KF-M04c</t>
        </is>
      </c>
      <c r="F1640" s="16" t="inlineStr">
        <is>
          <t>KF-M04c</t>
        </is>
      </c>
      <c r="G1640" s="16" t="inlineStr">
        <is>
          <t>B08</t>
        </is>
      </c>
      <c r="H1640" s="16" t="inlineStr">
        <is>
          <t>lhs</t>
        </is>
      </c>
      <c r="I1640" s="16" t="inlineStr">
        <is>
          <t>CORREGIBLE</t>
        </is>
      </c>
      <c r="J1640" s="16" t="inlineStr">
        <is>
          <t>CORREGIBLE</t>
        </is>
      </c>
      <c r="K1640" s="16" t="b">
        <v>1</v>
      </c>
      <c r="L1640" s="16" t="b">
        <v>0</v>
      </c>
      <c r="M1640" s="16" t="b">
        <v>1</v>
      </c>
      <c r="N1640" s="16" t="b">
        <v>0</v>
      </c>
      <c r="O1640" s="16" t="n">
        <v>488.4701366724409</v>
      </c>
      <c r="P1640" s="16" t="n">
        <v>281.2106063409265</v>
      </c>
      <c r="Q1640" s="16" t="n">
        <v>3117.888441663725</v>
      </c>
      <c r="R1640" s="16" t="n">
        <v>2490.79721377669</v>
      </c>
      <c r="S1640" s="16" t="n">
        <v>0.6014087524197466</v>
      </c>
      <c r="T1640" s="16" t="n">
        <v>0.8423650491285987</v>
      </c>
      <c r="U1640" s="16" t="n">
        <v>0.844948729257827</v>
      </c>
      <c r="V1640" s="16" t="n">
        <v>0.8641103031712166</v>
      </c>
      <c r="W1640" s="16" t="n">
        <v>0.8619110106451477</v>
      </c>
      <c r="X1640" s="16" t="n">
        <v>0.7054967305791687</v>
      </c>
      <c r="Y1640" s="16" t="n">
        <v>281.2106063409265</v>
      </c>
      <c r="Z1640" s="16" t="n">
        <v>1.78667430285064</v>
      </c>
      <c r="AA1640" s="16" t="n">
        <v>26.342454271224</v>
      </c>
      <c r="AB1640" s="16" t="n">
        <v>627.0912278870346</v>
      </c>
      <c r="AC1640" s="16" t="n">
        <v>1.251763260541071</v>
      </c>
      <c r="AD1640" s="16" t="inlineStr">
        <is>
          <t>O2</t>
        </is>
      </c>
      <c r="AE1640" s="16" t="n"/>
    </row>
    <row r="1641">
      <c r="A1641" s="16" t="inlineStr">
        <is>
          <t>KF-M04c-0069</t>
        </is>
      </c>
      <c r="B1641" s="16" t="inlineStr">
        <is>
          <t>3.3</t>
        </is>
      </c>
      <c r="C1641" s="16" t="inlineStr">
        <is>
          <t>3.3</t>
        </is>
      </c>
      <c r="D1641" s="16" t="inlineStr">
        <is>
          <t>P_baja de 1500 a 2500 kPa</t>
        </is>
      </c>
      <c r="E1641" s="16" t="inlineStr">
        <is>
          <t>KF-M04c</t>
        </is>
      </c>
      <c r="F1641" s="16" t="inlineStr">
        <is>
          <t>KF-M04c</t>
        </is>
      </c>
      <c r="G1641" s="16" t="inlineStr">
        <is>
          <t>B08</t>
        </is>
      </c>
      <c r="H1641" s="16" t="inlineStr">
        <is>
          <t>lhs</t>
        </is>
      </c>
      <c r="I1641" s="16" t="inlineStr">
        <is>
          <t>OMITIDO</t>
        </is>
      </c>
      <c r="J1641" s="16" t="n"/>
      <c r="K1641" s="16" t="b">
        <v>0</v>
      </c>
      <c r="L1641" s="16" t="b">
        <v>0</v>
      </c>
      <c r="M1641" s="16" t="n"/>
      <c r="N1641" s="16" t="b">
        <v>1</v>
      </c>
      <c r="O1641" s="16" t="n">
        <v>493.4701914170208</v>
      </c>
      <c r="P1641" s="16" t="n">
        <v>295.0130748194068</v>
      </c>
      <c r="Q1641" s="16" t="n">
        <v>2112.000529738252</v>
      </c>
      <c r="R1641" s="16" t="n">
        <v>1965.709829521463</v>
      </c>
      <c r="S1641" s="16" t="n">
        <v>0.6247472735981874</v>
      </c>
      <c r="T1641" s="16" t="n">
        <v>0.7700895052519017</v>
      </c>
      <c r="U1641" s="16" t="n">
        <v>0.6897635455785566</v>
      </c>
      <c r="V1641" s="16" t="n">
        <v>0.6375520059839195</v>
      </c>
      <c r="W1641" s="16" t="n">
        <v>0.8343100097997074</v>
      </c>
      <c r="X1641" s="16" t="n">
        <v>0.8094896852510777</v>
      </c>
      <c r="Y1641" s="16" t="n"/>
      <c r="Z1641" s="16" t="n"/>
      <c r="AA1641" s="16" t="n"/>
      <c r="AB1641" s="16" t="n">
        <v>146.2907002167892</v>
      </c>
      <c r="AC1641" s="16" t="n">
        <v>1.074421309808683</v>
      </c>
      <c r="AD1641" s="16" t="n"/>
      <c r="AE1641" s="16" t="n"/>
    </row>
    <row r="1642">
      <c r="A1642" s="16" t="inlineStr">
        <is>
          <t>KF-M04c-0070</t>
        </is>
      </c>
      <c r="B1642" s="16" t="inlineStr">
        <is>
          <t>3.3</t>
        </is>
      </c>
      <c r="C1642" s="16" t="inlineStr">
        <is>
          <t>3.3</t>
        </is>
      </c>
      <c r="D1642" s="16" t="inlineStr">
        <is>
          <t>P_baja de 1500 a 2500 kPa</t>
        </is>
      </c>
      <c r="E1642" s="16" t="inlineStr">
        <is>
          <t>KF-M04c</t>
        </is>
      </c>
      <c r="F1642" s="16" t="inlineStr">
        <is>
          <t>KF-M04c</t>
        </is>
      </c>
      <c r="G1642" s="16" t="inlineStr">
        <is>
          <t>B08</t>
        </is>
      </c>
      <c r="H1642" s="16" t="inlineStr">
        <is>
          <t>lhs</t>
        </is>
      </c>
      <c r="I1642" s="16" t="inlineStr">
        <is>
          <t>KALINA</t>
        </is>
      </c>
      <c r="J1642" s="16" t="inlineStr">
        <is>
          <t>KALINA</t>
        </is>
      </c>
      <c r="K1642" s="16" t="b">
        <v>1</v>
      </c>
      <c r="L1642" s="16" t="b">
        <v>0</v>
      </c>
      <c r="M1642" s="16" t="b">
        <v>1</v>
      </c>
      <c r="N1642" s="16" t="b">
        <v>0</v>
      </c>
      <c r="O1642" s="16" t="n">
        <v>452.2076924943995</v>
      </c>
      <c r="P1642" s="16" t="n">
        <v>284.1009921076139</v>
      </c>
      <c r="Q1642" s="16" t="n">
        <v>2386.850068796868</v>
      </c>
      <c r="R1642" s="16" t="n">
        <v>1921.426537752159</v>
      </c>
      <c r="S1642" s="16" t="n">
        <v>0.5452035036028553</v>
      </c>
      <c r="T1642" s="16" t="n">
        <v>0.8363959119755905</v>
      </c>
      <c r="U1642" s="16" t="n">
        <v>0.6799733863477462</v>
      </c>
      <c r="V1642" s="16" t="n">
        <v>0.7428312435446344</v>
      </c>
      <c r="W1642" s="16" t="n">
        <v>0.6344674898901936</v>
      </c>
      <c r="X1642" s="16" t="n">
        <v>0.843571447864748</v>
      </c>
      <c r="Y1642" s="16" t="n">
        <v>284.1009921076139</v>
      </c>
      <c r="Z1642" s="16" t="n">
        <v>1.6432158856196</v>
      </c>
      <c r="AA1642" s="16" t="n">
        <v>21.29100200438818</v>
      </c>
      <c r="AB1642" s="16" t="n">
        <v>465.4235310447093</v>
      </c>
      <c r="AC1642" s="16" t="n">
        <v>1.242228116402098</v>
      </c>
      <c r="AD1642" s="16" t="n"/>
      <c r="AE1642" s="16" t="n"/>
    </row>
    <row r="1643">
      <c r="A1643" s="16" t="inlineStr">
        <is>
          <t>KF-M04c-0071</t>
        </is>
      </c>
      <c r="B1643" s="16" t="inlineStr">
        <is>
          <t>3.3</t>
        </is>
      </c>
      <c r="C1643" s="16" t="inlineStr">
        <is>
          <t>3.3</t>
        </is>
      </c>
      <c r="D1643" s="16" t="inlineStr">
        <is>
          <t>P_baja de 1500 a 2500 kPa</t>
        </is>
      </c>
      <c r="E1643" s="16" t="inlineStr">
        <is>
          <t>KF-M04c</t>
        </is>
      </c>
      <c r="F1643" s="16" t="inlineStr">
        <is>
          <t>KF-M04c</t>
        </is>
      </c>
      <c r="G1643" s="16" t="inlineStr">
        <is>
          <t>B08</t>
        </is>
      </c>
      <c r="H1643" s="16" t="inlineStr">
        <is>
          <t>lhs</t>
        </is>
      </c>
      <c r="I1643" s="16" t="inlineStr">
        <is>
          <t>CORREGIBLE</t>
        </is>
      </c>
      <c r="J1643" s="16" t="inlineStr">
        <is>
          <t>CORREGIBLE</t>
        </is>
      </c>
      <c r="K1643" s="16" t="b">
        <v>1</v>
      </c>
      <c r="L1643" s="16" t="b">
        <v>0</v>
      </c>
      <c r="M1643" s="16" t="b">
        <v>1</v>
      </c>
      <c r="N1643" s="16" t="b">
        <v>0</v>
      </c>
      <c r="O1643" s="16" t="n">
        <v>466.9370855046997</v>
      </c>
      <c r="P1643" s="16" t="n">
        <v>280.1024050920565</v>
      </c>
      <c r="Q1643" s="16" t="n">
        <v>2497.277492054203</v>
      </c>
      <c r="R1643" s="16" t="n">
        <v>2124.23575468286</v>
      </c>
      <c r="S1643" s="16" t="n">
        <v>0.5898490911902845</v>
      </c>
      <c r="T1643" s="16" t="n">
        <v>0.9156122385590366</v>
      </c>
      <c r="U1643" s="16" t="n">
        <v>0.8029279527057465</v>
      </c>
      <c r="V1643" s="16" t="n">
        <v>0.9161575105079538</v>
      </c>
      <c r="W1643" s="16" t="n">
        <v>0.6054136489051983</v>
      </c>
      <c r="X1643" s="16" t="n">
        <v>0.733735225474335</v>
      </c>
      <c r="Y1643" s="16" t="n">
        <v>280.1024050920565</v>
      </c>
      <c r="Z1643" s="16" t="n">
        <v>1.38163492318675</v>
      </c>
      <c r="AA1643" s="16" t="n">
        <v>21.98632710965512</v>
      </c>
      <c r="AB1643" s="16" t="n">
        <v>373.0417373713426</v>
      </c>
      <c r="AC1643" s="16" t="n">
        <v>1.175612210908782</v>
      </c>
      <c r="AD1643" s="16" t="inlineStr">
        <is>
          <t>O2</t>
        </is>
      </c>
      <c r="AE1643" s="16" t="n"/>
    </row>
    <row r="1644">
      <c r="A1644" s="16" t="inlineStr">
        <is>
          <t>KF-M04c-0072</t>
        </is>
      </c>
      <c r="B1644" s="16" t="inlineStr">
        <is>
          <t>3.3</t>
        </is>
      </c>
      <c r="C1644" s="16" t="inlineStr">
        <is>
          <t>3.3</t>
        </is>
      </c>
      <c r="D1644" s="16" t="inlineStr">
        <is>
          <t>P_baja de 1500 a 2500 kPa</t>
        </is>
      </c>
      <c r="E1644" s="16" t="inlineStr">
        <is>
          <t>KF-M04c</t>
        </is>
      </c>
      <c r="F1644" s="16" t="inlineStr">
        <is>
          <t>KF-M04c</t>
        </is>
      </c>
      <c r="G1644" s="16" t="inlineStr">
        <is>
          <t>B08</t>
        </is>
      </c>
      <c r="H1644" s="16" t="inlineStr">
        <is>
          <t>lhs</t>
        </is>
      </c>
      <c r="I1644" s="16" t="inlineStr">
        <is>
          <t>N2</t>
        </is>
      </c>
      <c r="J1644" s="16" t="inlineStr">
        <is>
          <t>NO_CONVERGIO</t>
        </is>
      </c>
      <c r="K1644" s="16" t="b">
        <v>0</v>
      </c>
      <c r="L1644" s="16" t="b">
        <v>0</v>
      </c>
      <c r="M1644" s="16" t="b">
        <v>0</v>
      </c>
      <c r="N1644" s="16" t="b">
        <v>0</v>
      </c>
      <c r="O1644" s="16" t="n">
        <v>383.7237987833429</v>
      </c>
      <c r="P1644" s="16" t="n">
        <v>289.9744831215599</v>
      </c>
      <c r="Q1644" s="16" t="n">
        <v>3397.186060079769</v>
      </c>
      <c r="R1644" s="16" t="n">
        <v>1688.08311954695</v>
      </c>
      <c r="S1644" s="16" t="n">
        <v>0.5475876379881632</v>
      </c>
      <c r="T1644" s="16" t="n">
        <v>0.8859609537660155</v>
      </c>
      <c r="U1644" s="16" t="n">
        <v>0.738248786398046</v>
      </c>
      <c r="V1644" s="16" t="n">
        <v>0.87251627162953</v>
      </c>
      <c r="W1644" s="16" t="n">
        <v>0.6598670700764134</v>
      </c>
      <c r="X1644" s="16" t="n">
        <v>0.8067583517705703</v>
      </c>
      <c r="Y1644" s="16" t="n">
        <v>289.9744831215599</v>
      </c>
      <c r="Z1644" s="16" t="n">
        <v>-6.715690863874681</v>
      </c>
      <c r="AA1644" s="16" t="n">
        <v>-8.342073870947821</v>
      </c>
      <c r="AB1644" s="16" t="n">
        <v>1709.102940532819</v>
      </c>
      <c r="AC1644" s="16" t="n">
        <v>2.012451887435205</v>
      </c>
      <c r="AD1644" s="16" t="inlineStr">
        <is>
          <t>N2,O3,O5,C1,C3,C3</t>
        </is>
      </c>
      <c r="AE1644" s="16" t="n"/>
    </row>
    <row r="1645">
      <c r="A1645" s="16" t="inlineStr">
        <is>
          <t>KF-M04c-0073</t>
        </is>
      </c>
      <c r="B1645" s="16" t="inlineStr">
        <is>
          <t>3.3</t>
        </is>
      </c>
      <c r="C1645" s="16" t="inlineStr">
        <is>
          <t>3.3</t>
        </is>
      </c>
      <c r="D1645" s="16" t="inlineStr">
        <is>
          <t>P_baja de 1500 a 2500 kPa</t>
        </is>
      </c>
      <c r="E1645" s="16" t="inlineStr">
        <is>
          <t>KF-M04c</t>
        </is>
      </c>
      <c r="F1645" s="16" t="inlineStr">
        <is>
          <t>KF-M04c</t>
        </is>
      </c>
      <c r="G1645" s="16" t="inlineStr">
        <is>
          <t>B08</t>
        </is>
      </c>
      <c r="H1645" s="16" t="inlineStr">
        <is>
          <t>lhs</t>
        </is>
      </c>
      <c r="I1645" s="16" t="inlineStr">
        <is>
          <t>KALINA</t>
        </is>
      </c>
      <c r="J1645" s="16" t="inlineStr">
        <is>
          <t>KALINA</t>
        </is>
      </c>
      <c r="K1645" s="16" t="b">
        <v>1</v>
      </c>
      <c r="L1645" s="16" t="b">
        <v>1</v>
      </c>
      <c r="M1645" s="16" t="b">
        <v>0</v>
      </c>
      <c r="N1645" s="16" t="b">
        <v>0</v>
      </c>
      <c r="O1645" s="16" t="n">
        <v>392.4621045410471</v>
      </c>
      <c r="P1645" s="16" t="n">
        <v>293.1287601359675</v>
      </c>
      <c r="Q1645" s="16" t="n">
        <v>3466.846390129096</v>
      </c>
      <c r="R1645" s="16" t="n">
        <v>1715.355498068953</v>
      </c>
      <c r="S1645" s="16" t="n">
        <v>0.5600830335907285</v>
      </c>
      <c r="T1645" s="16" t="n">
        <v>0.8376760628368743</v>
      </c>
      <c r="U1645" s="16" t="n">
        <v>0.6720958412016838</v>
      </c>
      <c r="V1645" s="16" t="n">
        <v>0.6936661460252896</v>
      </c>
      <c r="W1645" s="16" t="n">
        <v>0.8846835776972779</v>
      </c>
      <c r="X1645" s="16" t="n">
        <v>0.8351269390113469</v>
      </c>
      <c r="Y1645" s="16" t="n">
        <v>293.1287601359675</v>
      </c>
      <c r="Z1645" s="16" t="n">
        <v>2.10133974344436</v>
      </c>
      <c r="AA1645" s="16" t="n">
        <v>3.284623848734421</v>
      </c>
      <c r="AB1645" s="16" t="n">
        <v>1751.490892060143</v>
      </c>
      <c r="AC1645" s="16" t="n">
        <v>2.021065833893831</v>
      </c>
      <c r="AD1645" s="16" t="n"/>
      <c r="AE1645" s="16" t="n"/>
    </row>
    <row r="1646">
      <c r="A1646" s="16" t="inlineStr">
        <is>
          <t>KF-M04c-0074</t>
        </is>
      </c>
      <c r="B1646" s="16" t="inlineStr">
        <is>
          <t>3.3</t>
        </is>
      </c>
      <c r="C1646" s="16" t="inlineStr">
        <is>
          <t>3.3</t>
        </is>
      </c>
      <c r="D1646" s="16" t="inlineStr">
        <is>
          <t>P_baja de 1500 a 2500 kPa</t>
        </is>
      </c>
      <c r="E1646" s="16" t="inlineStr">
        <is>
          <t>KF-M04c</t>
        </is>
      </c>
      <c r="F1646" s="16" t="inlineStr">
        <is>
          <t>KF-M04c</t>
        </is>
      </c>
      <c r="G1646" s="16" t="inlineStr">
        <is>
          <t>B08</t>
        </is>
      </c>
      <c r="H1646" s="16" t="inlineStr">
        <is>
          <t>lhs</t>
        </is>
      </c>
      <c r="I1646" s="16" t="inlineStr">
        <is>
          <t>KALINA</t>
        </is>
      </c>
      <c r="J1646" s="16" t="inlineStr">
        <is>
          <t>KALINA</t>
        </is>
      </c>
      <c r="K1646" s="16" t="b">
        <v>1</v>
      </c>
      <c r="L1646" s="16" t="b">
        <v>1</v>
      </c>
      <c r="M1646" s="16" t="b">
        <v>0</v>
      </c>
      <c r="N1646" s="16" t="b">
        <v>0</v>
      </c>
      <c r="O1646" s="16" t="n">
        <v>421.5924198361084</v>
      </c>
      <c r="P1646" s="16" t="n">
        <v>292.3555864607452</v>
      </c>
      <c r="Q1646" s="16" t="n">
        <v>3998.649707315593</v>
      </c>
      <c r="R1646" s="16" t="n">
        <v>2312.150484339236</v>
      </c>
      <c r="S1646" s="16" t="n">
        <v>0.8274545329657241</v>
      </c>
      <c r="T1646" s="16" t="n">
        <v>0.8582821355643312</v>
      </c>
      <c r="U1646" s="16" t="n">
        <v>0.7849905988929184</v>
      </c>
      <c r="V1646" s="16" t="n">
        <v>0.7815589097523711</v>
      </c>
      <c r="W1646" s="16" t="n">
        <v>0.7522857953025471</v>
      </c>
      <c r="X1646" s="16" t="n">
        <v>0.9496647513346532</v>
      </c>
      <c r="Y1646" s="16" t="n">
        <v>292.3555864607452</v>
      </c>
      <c r="Z1646" s="16" t="n">
        <v>4.73062193081669</v>
      </c>
      <c r="AA1646" s="16" t="n">
        <v>47.8048293832727</v>
      </c>
      <c r="AB1646" s="16" t="n">
        <v>1686.499222976357</v>
      </c>
      <c r="AC1646" s="16" t="n">
        <v>1.72940720528332</v>
      </c>
      <c r="AD1646" s="16" t="n"/>
      <c r="AE1646" s="16" t="n"/>
    </row>
    <row r="1647">
      <c r="A1647" s="16" t="inlineStr">
        <is>
          <t>KF-M04c-0075</t>
        </is>
      </c>
      <c r="B1647" s="16" t="inlineStr">
        <is>
          <t>3.3</t>
        </is>
      </c>
      <c r="C1647" s="16" t="inlineStr">
        <is>
          <t>3.3</t>
        </is>
      </c>
      <c r="D1647" s="16" t="inlineStr">
        <is>
          <t>P_baja de 1500 a 2500 kPa</t>
        </is>
      </c>
      <c r="E1647" s="16" t="inlineStr">
        <is>
          <t>KF-M04c</t>
        </is>
      </c>
      <c r="F1647" s="16" t="inlineStr">
        <is>
          <t>KF-M04c</t>
        </is>
      </c>
      <c r="G1647" s="16" t="inlineStr">
        <is>
          <t>B08</t>
        </is>
      </c>
      <c r="H1647" s="16" t="inlineStr">
        <is>
          <t>lhs</t>
        </is>
      </c>
      <c r="I1647" s="16" t="inlineStr">
        <is>
          <t>KALINA</t>
        </is>
      </c>
      <c r="J1647" s="16" t="inlineStr">
        <is>
          <t>KALINA</t>
        </is>
      </c>
      <c r="K1647" s="16" t="b">
        <v>1</v>
      </c>
      <c r="L1647" s="16" t="b">
        <v>1</v>
      </c>
      <c r="M1647" s="16" t="b">
        <v>0</v>
      </c>
      <c r="N1647" s="16" t="b">
        <v>0</v>
      </c>
      <c r="O1647" s="16" t="n">
        <v>416.1151737958647</v>
      </c>
      <c r="P1647" s="16" t="n">
        <v>283.9906262861405</v>
      </c>
      <c r="Q1647" s="16" t="n">
        <v>4128.16390733049</v>
      </c>
      <c r="R1647" s="16" t="n">
        <v>1942.13023018856</v>
      </c>
      <c r="S1647" s="16" t="n">
        <v>0.8293862882020619</v>
      </c>
      <c r="T1647" s="16" t="n">
        <v>0.7929632184539023</v>
      </c>
      <c r="U1647" s="16" t="n">
        <v>0.7478345535730687</v>
      </c>
      <c r="V1647" s="16" t="n">
        <v>0.768426264006037</v>
      </c>
      <c r="W1647" s="16" t="n">
        <v>0.9168439805106656</v>
      </c>
      <c r="X1647" s="16" t="n">
        <v>0.930372335612579</v>
      </c>
      <c r="Y1647" s="16" t="n">
        <v>283.9906262861405</v>
      </c>
      <c r="Z1647" s="16" t="n">
        <v>5.8905598125431</v>
      </c>
      <c r="AA1647" s="16" t="n">
        <v>54.0391893014401</v>
      </c>
      <c r="AB1647" s="16" t="n">
        <v>2186.03367714193</v>
      </c>
      <c r="AC1647" s="16" t="n">
        <v>2.125585526223796</v>
      </c>
      <c r="AD1647" s="16" t="n"/>
      <c r="AE1647" s="16" t="n"/>
    </row>
    <row r="1648">
      <c r="A1648" s="16" t="inlineStr">
        <is>
          <t>KF-M04c-0076</t>
        </is>
      </c>
      <c r="B1648" s="16" t="inlineStr">
        <is>
          <t>3.3</t>
        </is>
      </c>
      <c r="C1648" s="16" t="inlineStr">
        <is>
          <t>3.3</t>
        </is>
      </c>
      <c r="D1648" s="16" t="inlineStr">
        <is>
          <t>P_baja de 1500 a 2500 kPa</t>
        </is>
      </c>
      <c r="E1648" s="16" t="inlineStr">
        <is>
          <t>KF-M04c</t>
        </is>
      </c>
      <c r="F1648" s="16" t="inlineStr">
        <is>
          <t>KF-M04c</t>
        </is>
      </c>
      <c r="G1648" s="16" t="inlineStr">
        <is>
          <t>B08</t>
        </is>
      </c>
      <c r="H1648" s="16" t="inlineStr">
        <is>
          <t>lhs</t>
        </is>
      </c>
      <c r="I1648" s="16" t="inlineStr">
        <is>
          <t>OMITIDO</t>
        </is>
      </c>
      <c r="J1648" s="16" t="n"/>
      <c r="K1648" s="16" t="b">
        <v>0</v>
      </c>
      <c r="L1648" s="16" t="b">
        <v>0</v>
      </c>
      <c r="M1648" s="16" t="n"/>
      <c r="N1648" s="16" t="b">
        <v>1</v>
      </c>
      <c r="O1648" s="16" t="n">
        <v>484.0465675630342</v>
      </c>
      <c r="P1648" s="16" t="n">
        <v>288.1779208011531</v>
      </c>
      <c r="Q1648" s="16" t="n">
        <v>2205.863302069422</v>
      </c>
      <c r="R1648" s="16" t="n">
        <v>2052.347714108445</v>
      </c>
      <c r="S1648" s="16" t="n">
        <v>0.670228215176315</v>
      </c>
      <c r="T1648" s="16" t="n">
        <v>0.7542705173210039</v>
      </c>
      <c r="U1648" s="16" t="n">
        <v>0.7933518268671005</v>
      </c>
      <c r="V1648" s="16" t="n">
        <v>0.6701399452118364</v>
      </c>
      <c r="W1648" s="16" t="n">
        <v>0.9012331694565768</v>
      </c>
      <c r="X1648" s="16" t="n">
        <v>0.7955337273080266</v>
      </c>
      <c r="Y1648" s="16" t="n"/>
      <c r="Z1648" s="16" t="n"/>
      <c r="AA1648" s="16" t="n"/>
      <c r="AB1648" s="16" t="n">
        <v>153.5155879609765</v>
      </c>
      <c r="AC1648" s="16" t="n">
        <v>1.074799989741341</v>
      </c>
      <c r="AD1648" s="16" t="n"/>
      <c r="AE1648" s="16" t="n"/>
    </row>
    <row r="1649">
      <c r="A1649" s="16" t="inlineStr">
        <is>
          <t>KF-M04c-0077</t>
        </is>
      </c>
      <c r="B1649" s="16" t="inlineStr">
        <is>
          <t>3.3</t>
        </is>
      </c>
      <c r="C1649" s="16" t="inlineStr">
        <is>
          <t>3.3</t>
        </is>
      </c>
      <c r="D1649" s="16" t="inlineStr">
        <is>
          <t>P_baja de 1500 a 2500 kPa</t>
        </is>
      </c>
      <c r="E1649" s="16" t="inlineStr">
        <is>
          <t>KF-M04c</t>
        </is>
      </c>
      <c r="F1649" s="16" t="inlineStr">
        <is>
          <t>KF-M04c</t>
        </is>
      </c>
      <c r="G1649" s="16" t="inlineStr">
        <is>
          <t>B08</t>
        </is>
      </c>
      <c r="H1649" s="16" t="inlineStr">
        <is>
          <t>lhs</t>
        </is>
      </c>
      <c r="I1649" s="16" t="inlineStr">
        <is>
          <t>KALINA</t>
        </is>
      </c>
      <c r="J1649" s="16" t="inlineStr">
        <is>
          <t>KALINA</t>
        </is>
      </c>
      <c r="K1649" s="16" t="b">
        <v>1</v>
      </c>
      <c r="L1649" s="16" t="b">
        <v>0</v>
      </c>
      <c r="M1649" s="16" t="b">
        <v>1</v>
      </c>
      <c r="N1649" s="16" t="b">
        <v>0</v>
      </c>
      <c r="O1649" s="16" t="n">
        <v>451.240537833544</v>
      </c>
      <c r="P1649" s="16" t="n">
        <v>278.2778372787966</v>
      </c>
      <c r="Q1649" s="16" t="n">
        <v>2884.386479081242</v>
      </c>
      <c r="R1649" s="16" t="n">
        <v>2107.627711088611</v>
      </c>
      <c r="S1649" s="16" t="n">
        <v>0.5377954321738834</v>
      </c>
      <c r="T1649" s="16" t="n">
        <v>0.7586799439881798</v>
      </c>
      <c r="U1649" s="16" t="n">
        <v>0.8830070741060182</v>
      </c>
      <c r="V1649" s="16" t="n">
        <v>0.8789326644401582</v>
      </c>
      <c r="W1649" s="16" t="n">
        <v>0.9387428803390816</v>
      </c>
      <c r="X1649" s="16" t="n">
        <v>0.8308888999722285</v>
      </c>
      <c r="Y1649" s="16" t="n">
        <v>278.2778372787966</v>
      </c>
      <c r="Z1649" s="16" t="n">
        <v>2.1999278544282</v>
      </c>
      <c r="AA1649" s="16" t="n">
        <v>26.26065047219715</v>
      </c>
      <c r="AB1649" s="16" t="n">
        <v>776.758767992631</v>
      </c>
      <c r="AC1649" s="16" t="n">
        <v>1.368546477115461</v>
      </c>
      <c r="AD1649" s="16" t="n"/>
      <c r="AE1649" s="16" t="n"/>
    </row>
    <row r="1650">
      <c r="A1650" s="16" t="inlineStr">
        <is>
          <t>KF-M04c-0078</t>
        </is>
      </c>
      <c r="B1650" s="16" t="inlineStr">
        <is>
          <t>3.3</t>
        </is>
      </c>
      <c r="C1650" s="16" t="inlineStr">
        <is>
          <t>3.3</t>
        </is>
      </c>
      <c r="D1650" s="16" t="inlineStr">
        <is>
          <t>P_baja de 1500 a 2500 kPa</t>
        </is>
      </c>
      <c r="E1650" s="16" t="inlineStr">
        <is>
          <t>KF-M04c</t>
        </is>
      </c>
      <c r="F1650" s="16" t="inlineStr">
        <is>
          <t>KF-M04c</t>
        </is>
      </c>
      <c r="G1650" s="16" t="inlineStr">
        <is>
          <t>B08</t>
        </is>
      </c>
      <c r="H1650" s="16" t="inlineStr">
        <is>
          <t>lhs</t>
        </is>
      </c>
      <c r="I1650" s="16" t="inlineStr">
        <is>
          <t>KALINA</t>
        </is>
      </c>
      <c r="J1650" s="16" t="inlineStr">
        <is>
          <t>KALINA</t>
        </is>
      </c>
      <c r="K1650" s="16" t="b">
        <v>1</v>
      </c>
      <c r="L1650" s="16" t="b">
        <v>1</v>
      </c>
      <c r="M1650" s="16" t="b">
        <v>0</v>
      </c>
      <c r="N1650" s="16" t="b">
        <v>0</v>
      </c>
      <c r="O1650" s="16" t="n">
        <v>397.09177885196</v>
      </c>
      <c r="P1650" s="16" t="n">
        <v>293.7693307470602</v>
      </c>
      <c r="Q1650" s="16" t="n">
        <v>2972.540349518591</v>
      </c>
      <c r="R1650" s="16" t="n">
        <v>2334.373012652082</v>
      </c>
      <c r="S1650" s="16" t="n">
        <v>0.7036860499464891</v>
      </c>
      <c r="T1650" s="16" t="n">
        <v>0.9086414781387104</v>
      </c>
      <c r="U1650" s="16" t="n">
        <v>0.8604925294994435</v>
      </c>
      <c r="V1650" s="16" t="n">
        <v>0.6476664620757646</v>
      </c>
      <c r="W1650" s="16" t="n">
        <v>0.7178802942179698</v>
      </c>
      <c r="X1650" s="16" t="n">
        <v>0.9155997203737924</v>
      </c>
      <c r="Y1650" s="16" t="n">
        <v>293.7693307470602</v>
      </c>
      <c r="Z1650" s="16" t="n">
        <v>1.95448434018676</v>
      </c>
      <c r="AA1650" s="16" t="n">
        <v>10.695819146625</v>
      </c>
      <c r="AB1650" s="16" t="n">
        <v>638.1673368665088</v>
      </c>
      <c r="AC1650" s="16" t="n">
        <v>1.273378476108018</v>
      </c>
      <c r="AD1650" s="16" t="n"/>
      <c r="AE1650" s="16" t="n"/>
    </row>
    <row r="1651">
      <c r="A1651" s="16" t="inlineStr">
        <is>
          <t>KF-M04c-0079</t>
        </is>
      </c>
      <c r="B1651" s="16" t="inlineStr">
        <is>
          <t>3.3</t>
        </is>
      </c>
      <c r="C1651" s="16" t="inlineStr">
        <is>
          <t>3.3</t>
        </is>
      </c>
      <c r="D1651" s="16" t="inlineStr">
        <is>
          <t>P_baja de 1500 a 2500 kPa</t>
        </is>
      </c>
      <c r="E1651" s="16" t="inlineStr">
        <is>
          <t>KF-M04c</t>
        </is>
      </c>
      <c r="F1651" s="16" t="inlineStr">
        <is>
          <t>KF-M04c</t>
        </is>
      </c>
      <c r="G1651" s="16" t="inlineStr">
        <is>
          <t>B08</t>
        </is>
      </c>
      <c r="H1651" s="16" t="inlineStr">
        <is>
          <t>lhs</t>
        </is>
      </c>
      <c r="I1651" s="16" t="inlineStr">
        <is>
          <t>CORREGIBLE</t>
        </is>
      </c>
      <c r="J1651" s="16" t="inlineStr">
        <is>
          <t>CORREGIBLE</t>
        </is>
      </c>
      <c r="K1651" s="16" t="b">
        <v>1</v>
      </c>
      <c r="L1651" s="16" t="b">
        <v>0</v>
      </c>
      <c r="M1651" s="16" t="b">
        <v>0</v>
      </c>
      <c r="N1651" s="16" t="b">
        <v>0</v>
      </c>
      <c r="O1651" s="16" t="n">
        <v>412.870358452908</v>
      </c>
      <c r="P1651" s="16" t="n">
        <v>286.9210692505212</v>
      </c>
      <c r="Q1651" s="16" t="n">
        <v>4027.302323617338</v>
      </c>
      <c r="R1651" s="16" t="n">
        <v>2007.830079444174</v>
      </c>
      <c r="S1651" s="16" t="n">
        <v>0.7707762507010444</v>
      </c>
      <c r="T1651" s="16" t="n">
        <v>0.834582067500475</v>
      </c>
      <c r="U1651" s="16" t="n">
        <v>0.7153409643568359</v>
      </c>
      <c r="V1651" s="16" t="n">
        <v>0.9225374163397182</v>
      </c>
      <c r="W1651" s="16" t="n">
        <v>0.6672199767555002</v>
      </c>
      <c r="X1651" s="16" t="n">
        <v>0.7774683432937339</v>
      </c>
      <c r="Y1651" s="16" t="n">
        <v>286.9210692505212</v>
      </c>
      <c r="Z1651" s="16" t="n">
        <v>6.19781992007342</v>
      </c>
      <c r="AA1651" s="16" t="n">
        <v>53.97765006369528</v>
      </c>
      <c r="AB1651" s="16" t="n">
        <v>2019.472244173164</v>
      </c>
      <c r="AC1651" s="16" t="n">
        <v>2.005798381470714</v>
      </c>
      <c r="AD1651" s="16" t="inlineStr">
        <is>
          <t>O2</t>
        </is>
      </c>
      <c r="AE1651" s="16" t="n"/>
    </row>
    <row r="1652">
      <c r="A1652" s="16" t="inlineStr">
        <is>
          <t>KF-M04c-0080</t>
        </is>
      </c>
      <c r="B1652" s="16" t="inlineStr">
        <is>
          <t>3.3</t>
        </is>
      </c>
      <c r="C1652" s="16" t="inlineStr">
        <is>
          <t>3.3</t>
        </is>
      </c>
      <c r="D1652" s="16" t="inlineStr">
        <is>
          <t>P_baja de 1500 a 2500 kPa</t>
        </is>
      </c>
      <c r="E1652" s="16" t="inlineStr">
        <is>
          <t>KF-M04c</t>
        </is>
      </c>
      <c r="F1652" s="16" t="inlineStr">
        <is>
          <t>KF-M04c</t>
        </is>
      </c>
      <c r="G1652" s="16" t="inlineStr">
        <is>
          <t>B08</t>
        </is>
      </c>
      <c r="H1652" s="16" t="inlineStr">
        <is>
          <t>lhs</t>
        </is>
      </c>
      <c r="I1652" s="16" t="inlineStr">
        <is>
          <t>KALINA</t>
        </is>
      </c>
      <c r="J1652" s="16" t="inlineStr">
        <is>
          <t>KALINA</t>
        </is>
      </c>
      <c r="K1652" s="16" t="b">
        <v>1</v>
      </c>
      <c r="L1652" s="16" t="b">
        <v>1</v>
      </c>
      <c r="M1652" s="16" t="b">
        <v>0</v>
      </c>
      <c r="N1652" s="16" t="b">
        <v>0</v>
      </c>
      <c r="O1652" s="16" t="n">
        <v>409.0801683384015</v>
      </c>
      <c r="P1652" s="16" t="n">
        <v>280.2751454663694</v>
      </c>
      <c r="Q1652" s="16" t="n">
        <v>4369.264766764227</v>
      </c>
      <c r="R1652" s="16" t="n">
        <v>1864.259073243996</v>
      </c>
      <c r="S1652" s="16" t="n">
        <v>0.8212412843839818</v>
      </c>
      <c r="T1652" s="16" t="n">
        <v>0.908761943510214</v>
      </c>
      <c r="U1652" s="16" t="n">
        <v>0.7050667974558817</v>
      </c>
      <c r="V1652" s="16" t="n">
        <v>0.7643544757126434</v>
      </c>
      <c r="W1652" s="16" t="n">
        <v>0.7060944914398826</v>
      </c>
      <c r="X1652" s="16" t="n">
        <v>0.8671040484629786</v>
      </c>
      <c r="Y1652" s="16" t="n">
        <v>280.2751454663694</v>
      </c>
      <c r="Z1652" s="16" t="n">
        <v>7.26527803674971</v>
      </c>
      <c r="AA1652" s="16" t="n">
        <v>58.87728202858554</v>
      </c>
      <c r="AB1652" s="16" t="n">
        <v>2505.005693520231</v>
      </c>
      <c r="AC1652" s="16" t="n">
        <v>2.343700416681503</v>
      </c>
      <c r="AD1652" s="16" t="n"/>
      <c r="AE1652" s="16" t="n"/>
    </row>
    <row r="1653">
      <c r="A1653" s="16" t="inlineStr">
        <is>
          <t>KF-M04c-0081</t>
        </is>
      </c>
      <c r="B1653" s="16" t="inlineStr">
        <is>
          <t>3.3</t>
        </is>
      </c>
      <c r="C1653" s="16" t="inlineStr">
        <is>
          <t>3.3</t>
        </is>
      </c>
      <c r="D1653" s="16" t="inlineStr">
        <is>
          <t>P_baja de 1500 a 2500 kPa</t>
        </is>
      </c>
      <c r="E1653" s="16" t="inlineStr">
        <is>
          <t>KF-M04c</t>
        </is>
      </c>
      <c r="F1653" s="16" t="inlineStr">
        <is>
          <t>KF-M04c</t>
        </is>
      </c>
      <c r="G1653" s="16" t="inlineStr">
        <is>
          <t>B08</t>
        </is>
      </c>
      <c r="H1653" s="16" t="inlineStr">
        <is>
          <t>lhs</t>
        </is>
      </c>
      <c r="I1653" s="16" t="inlineStr">
        <is>
          <t>KALINA</t>
        </is>
      </c>
      <c r="J1653" s="16" t="inlineStr">
        <is>
          <t>KALINA</t>
        </is>
      </c>
      <c r="K1653" s="16" t="b">
        <v>1</v>
      </c>
      <c r="L1653" s="16" t="b">
        <v>1</v>
      </c>
      <c r="M1653" s="16" t="b">
        <v>0</v>
      </c>
      <c r="N1653" s="16" t="b">
        <v>0</v>
      </c>
      <c r="O1653" s="16" t="n">
        <v>401.4325081879542</v>
      </c>
      <c r="P1653" s="16" t="n">
        <v>293.5945585549215</v>
      </c>
      <c r="Q1653" s="16" t="n">
        <v>4921.171604059608</v>
      </c>
      <c r="R1653" s="16" t="n">
        <v>1620.803789071626</v>
      </c>
      <c r="S1653" s="16" t="n">
        <v>0.7281249300452057</v>
      </c>
      <c r="T1653" s="16" t="n">
        <v>0.8316954002334136</v>
      </c>
      <c r="U1653" s="16" t="n">
        <v>0.8144800145974217</v>
      </c>
      <c r="V1653" s="16" t="n">
        <v>0.8874168060463929</v>
      </c>
      <c r="W1653" s="16" t="n">
        <v>0.8681926728226514</v>
      </c>
      <c r="X1653" s="16" t="n">
        <v>0.7851394900430638</v>
      </c>
      <c r="Y1653" s="16" t="n">
        <v>293.5945585549215</v>
      </c>
      <c r="Z1653" s="16" t="n">
        <v>8.349861226394269</v>
      </c>
      <c r="AA1653" s="16" t="n">
        <v>40.44463699203906</v>
      </c>
      <c r="AB1653" s="16" t="n">
        <v>3300.367814987982</v>
      </c>
      <c r="AC1653" s="16" t="n">
        <v>3.036253763250631</v>
      </c>
      <c r="AD1653" s="16" t="n"/>
      <c r="AE1653" s="16" t="n"/>
    </row>
    <row r="1654">
      <c r="A1654" s="16" t="inlineStr">
        <is>
          <t>KF-M04c-0082</t>
        </is>
      </c>
      <c r="B1654" s="16" t="inlineStr">
        <is>
          <t>3.3</t>
        </is>
      </c>
      <c r="C1654" s="16" t="inlineStr">
        <is>
          <t>3.3</t>
        </is>
      </c>
      <c r="D1654" s="16" t="inlineStr">
        <is>
          <t>P_baja de 1500 a 2500 kPa</t>
        </is>
      </c>
      <c r="E1654" s="16" t="inlineStr">
        <is>
          <t>KF-M04c</t>
        </is>
      </c>
      <c r="F1654" s="16" t="inlineStr">
        <is>
          <t>KF-M04c</t>
        </is>
      </c>
      <c r="G1654" s="16" t="inlineStr">
        <is>
          <t>B08</t>
        </is>
      </c>
      <c r="H1654" s="16" t="inlineStr">
        <is>
          <t>lhs</t>
        </is>
      </c>
      <c r="I1654" s="16" t="inlineStr">
        <is>
          <t>KALINA</t>
        </is>
      </c>
      <c r="J1654" s="16" t="inlineStr">
        <is>
          <t>KALINA</t>
        </is>
      </c>
      <c r="K1654" s="16" t="b">
        <v>1</v>
      </c>
      <c r="L1654" s="16" t="b">
        <v>0</v>
      </c>
      <c r="M1654" s="16" t="b">
        <v>1</v>
      </c>
      <c r="N1654" s="16" t="b">
        <v>0</v>
      </c>
      <c r="O1654" s="16" t="n">
        <v>435.2293499982645</v>
      </c>
      <c r="P1654" s="16" t="n">
        <v>300.0017721261045</v>
      </c>
      <c r="Q1654" s="16" t="n">
        <v>4814.579299404854</v>
      </c>
      <c r="R1654" s="16" t="n">
        <v>2328.479505949725</v>
      </c>
      <c r="S1654" s="16" t="n">
        <v>0.6108358394817568</v>
      </c>
      <c r="T1654" s="16" t="n">
        <v>0.7623654697856861</v>
      </c>
      <c r="U1654" s="16" t="n">
        <v>0.7811104765235765</v>
      </c>
      <c r="V1654" s="16" t="n">
        <v>0.8760670767232439</v>
      </c>
      <c r="W1654" s="16" t="n">
        <v>0.8925126912057414</v>
      </c>
      <c r="X1654" s="16" t="n">
        <v>0.8112639025935566</v>
      </c>
      <c r="Y1654" s="16" t="n">
        <v>300.0017721261045</v>
      </c>
      <c r="Z1654" s="16" t="n">
        <v>5.03513644511669</v>
      </c>
      <c r="AA1654" s="16" t="n">
        <v>31.61776332229088</v>
      </c>
      <c r="AB1654" s="16" t="n">
        <v>2486.099793455129</v>
      </c>
      <c r="AC1654" s="16" t="n">
        <v>2.067692366242714</v>
      </c>
      <c r="AD1654" s="16" t="n"/>
      <c r="AE1654" s="16" t="n"/>
    </row>
    <row r="1655">
      <c r="A1655" s="16" t="inlineStr">
        <is>
          <t>KF-M04c-0083</t>
        </is>
      </c>
      <c r="B1655" s="16" t="inlineStr">
        <is>
          <t>3.3</t>
        </is>
      </c>
      <c r="C1655" s="16" t="inlineStr">
        <is>
          <t>3.3</t>
        </is>
      </c>
      <c r="D1655" s="16" t="inlineStr">
        <is>
          <t>P_baja de 1500 a 2500 kPa</t>
        </is>
      </c>
      <c r="E1655" s="16" t="inlineStr">
        <is>
          <t>KF-M04c</t>
        </is>
      </c>
      <c r="F1655" s="16" t="inlineStr">
        <is>
          <t>KF-M04c</t>
        </is>
      </c>
      <c r="G1655" s="16" t="inlineStr">
        <is>
          <t>B08</t>
        </is>
      </c>
      <c r="H1655" s="16" t="inlineStr">
        <is>
          <t>lhs</t>
        </is>
      </c>
      <c r="I1655" s="16" t="inlineStr">
        <is>
          <t>KALINA</t>
        </is>
      </c>
      <c r="J1655" s="16" t="inlineStr">
        <is>
          <t>KALINA</t>
        </is>
      </c>
      <c r="K1655" s="16" t="b">
        <v>1</v>
      </c>
      <c r="L1655" s="16" t="b">
        <v>1</v>
      </c>
      <c r="M1655" s="16" t="b">
        <v>0</v>
      </c>
      <c r="N1655" s="16" t="b">
        <v>0</v>
      </c>
      <c r="O1655" s="16" t="n">
        <v>382.2875891593205</v>
      </c>
      <c r="P1655" s="16" t="n">
        <v>286.3984869152141</v>
      </c>
      <c r="Q1655" s="16" t="n">
        <v>2575.741911242752</v>
      </c>
      <c r="R1655" s="16" t="n">
        <v>1593.044753827096</v>
      </c>
      <c r="S1655" s="16" t="n">
        <v>0.5345607850088705</v>
      </c>
      <c r="T1655" s="16" t="n">
        <v>0.7516904253027634</v>
      </c>
      <c r="U1655" s="16" t="n">
        <v>0.832918392854649</v>
      </c>
      <c r="V1655" s="16" t="n">
        <v>0.8480571063899001</v>
      </c>
      <c r="W1655" s="16" t="n">
        <v>0.6456866099052159</v>
      </c>
      <c r="X1655" s="16" t="n">
        <v>0.8164109059779253</v>
      </c>
      <c r="Y1655" s="16" t="n">
        <v>286.3984869152141</v>
      </c>
      <c r="Z1655" s="16" t="n">
        <v>1.41739478217852</v>
      </c>
      <c r="AA1655" s="16" t="n">
        <v>3.805228450669996</v>
      </c>
      <c r="AB1655" s="16" t="n">
        <v>982.697157415656</v>
      </c>
      <c r="AC1655" s="16" t="n">
        <v>1.616867263179421</v>
      </c>
      <c r="AD1655" s="16" t="n"/>
      <c r="AE1655" s="16" t="n"/>
    </row>
    <row r="1656">
      <c r="A1656" s="16" t="inlineStr">
        <is>
          <t>KF-M04c-0084</t>
        </is>
      </c>
      <c r="B1656" s="16" t="inlineStr">
        <is>
          <t>3.3</t>
        </is>
      </c>
      <c r="C1656" s="16" t="inlineStr">
        <is>
          <t>3.3</t>
        </is>
      </c>
      <c r="D1656" s="16" t="inlineStr">
        <is>
          <t>P_baja de 1500 a 2500 kPa</t>
        </is>
      </c>
      <c r="E1656" s="16" t="inlineStr">
        <is>
          <t>KF-M04c</t>
        </is>
      </c>
      <c r="F1656" s="16" t="inlineStr">
        <is>
          <t>KF-M04c</t>
        </is>
      </c>
      <c r="G1656" s="16" t="inlineStr">
        <is>
          <t>B08</t>
        </is>
      </c>
      <c r="H1656" s="16" t="inlineStr">
        <is>
          <t>lhs</t>
        </is>
      </c>
      <c r="I1656" s="16" t="inlineStr">
        <is>
          <t>CORREGIBLE</t>
        </is>
      </c>
      <c r="J1656" s="16" t="inlineStr">
        <is>
          <t>CORREGIBLE</t>
        </is>
      </c>
      <c r="K1656" s="16" t="b">
        <v>1</v>
      </c>
      <c r="L1656" s="16" t="b">
        <v>0</v>
      </c>
      <c r="M1656" s="16" t="b">
        <v>1</v>
      </c>
      <c r="N1656" s="16" t="b">
        <v>0</v>
      </c>
      <c r="O1656" s="16" t="n">
        <v>464.2983044776312</v>
      </c>
      <c r="P1656" s="16" t="n">
        <v>292.9189290240174</v>
      </c>
      <c r="Q1656" s="16" t="n">
        <v>3819.720033286515</v>
      </c>
      <c r="R1656" s="16" t="n">
        <v>1501.262154912899</v>
      </c>
      <c r="S1656" s="16" t="n">
        <v>0.745081577927037</v>
      </c>
      <c r="T1656" s="16" t="n">
        <v>0.8823759552654671</v>
      </c>
      <c r="U1656" s="16" t="n">
        <v>0.6653226304660833</v>
      </c>
      <c r="V1656" s="16" t="n">
        <v>0.9401322016553494</v>
      </c>
      <c r="W1656" s="16" t="n">
        <v>0.6920813569122315</v>
      </c>
      <c r="X1656" s="16" t="n">
        <v>0.8053055439309142</v>
      </c>
      <c r="Y1656" s="16" t="n">
        <v>292.9189290240174</v>
      </c>
      <c r="Z1656" s="16" t="n">
        <v>7.99592253725008</v>
      </c>
      <c r="AA1656" s="16" t="n">
        <v>122.0109368322515</v>
      </c>
      <c r="AB1656" s="16" t="n">
        <v>2318.457878373616</v>
      </c>
      <c r="AC1656" s="16" t="n">
        <v>2.544339122108976</v>
      </c>
      <c r="AD1656" s="16" t="inlineStr">
        <is>
          <t>O2</t>
        </is>
      </c>
      <c r="AE1656" s="16" t="n"/>
    </row>
    <row r="1657">
      <c r="A1657" s="16" t="inlineStr">
        <is>
          <t>KF-M04c-0085</t>
        </is>
      </c>
      <c r="B1657" s="16" t="inlineStr">
        <is>
          <t>3.3</t>
        </is>
      </c>
      <c r="C1657" s="16" t="inlineStr">
        <is>
          <t>3.3</t>
        </is>
      </c>
      <c r="D1657" s="16" t="inlineStr">
        <is>
          <t>P_baja de 1500 a 2500 kPa</t>
        </is>
      </c>
      <c r="E1657" s="16" t="inlineStr">
        <is>
          <t>KF-M04c</t>
        </is>
      </c>
      <c r="F1657" s="16" t="inlineStr">
        <is>
          <t>KF-M04c</t>
        </is>
      </c>
      <c r="G1657" s="16" t="inlineStr">
        <is>
          <t>B08</t>
        </is>
      </c>
      <c r="H1657" s="16" t="inlineStr">
        <is>
          <t>lhs</t>
        </is>
      </c>
      <c r="I1657" s="16" t="inlineStr">
        <is>
          <t>INVIABLE</t>
        </is>
      </c>
      <c r="J1657" s="16" t="inlineStr">
        <is>
          <t>INVIABLE</t>
        </is>
      </c>
      <c r="K1657" s="16" t="b">
        <v>1</v>
      </c>
      <c r="L1657" s="16" t="b">
        <v>0</v>
      </c>
      <c r="M1657" s="16" t="b">
        <v>1</v>
      </c>
      <c r="N1657" s="16" t="b">
        <v>0</v>
      </c>
      <c r="O1657" s="16" t="n">
        <v>489.6872015061121</v>
      </c>
      <c r="P1657" s="16" t="n">
        <v>302.2748697423454</v>
      </c>
      <c r="Q1657" s="16" t="n">
        <v>3159.155219359864</v>
      </c>
      <c r="R1657" s="16" t="n">
        <v>2205.413747149867</v>
      </c>
      <c r="S1657" s="16" t="n">
        <v>0.6301004217805461</v>
      </c>
      <c r="T1657" s="16" t="n">
        <v>0.8266476719525083</v>
      </c>
      <c r="U1657" s="16" t="n">
        <v>0.842187938754353</v>
      </c>
      <c r="V1657" s="16" t="n">
        <v>0.9474695467971028</v>
      </c>
      <c r="W1657" s="16" t="n">
        <v>0.6773533144991517</v>
      </c>
      <c r="X1657" s="16" t="n">
        <v>0.7157202934609759</v>
      </c>
      <c r="Y1657" s="16" t="n">
        <v>302.2748697423454</v>
      </c>
      <c r="Z1657" s="16" t="n">
        <v>2.63397398377295</v>
      </c>
      <c r="AA1657" s="16" t="n">
        <v>40.06374097946846</v>
      </c>
      <c r="AB1657" s="16" t="n">
        <v>953.7414722099976</v>
      </c>
      <c r="AC1657" s="16" t="n">
        <v>1.432454669080825</v>
      </c>
      <c r="AD1657" s="16" t="inlineStr">
        <is>
          <t>O2,O5</t>
        </is>
      </c>
      <c r="AE1657" s="16" t="n"/>
    </row>
    <row r="1658">
      <c r="A1658" s="16" t="inlineStr">
        <is>
          <t>KF-M04c-0086</t>
        </is>
      </c>
      <c r="B1658" s="16" t="inlineStr">
        <is>
          <t>3.3</t>
        </is>
      </c>
      <c r="C1658" s="16" t="inlineStr">
        <is>
          <t>3.3</t>
        </is>
      </c>
      <c r="D1658" s="16" t="inlineStr">
        <is>
          <t>P_baja de 1500 a 2500 kPa</t>
        </is>
      </c>
      <c r="E1658" s="16" t="inlineStr">
        <is>
          <t>KF-M04c</t>
        </is>
      </c>
      <c r="F1658" s="16" t="inlineStr">
        <is>
          <t>KF-M04c</t>
        </is>
      </c>
      <c r="G1658" s="16" t="inlineStr">
        <is>
          <t>B08</t>
        </is>
      </c>
      <c r="H1658" s="16" t="inlineStr">
        <is>
          <t>lhs</t>
        </is>
      </c>
      <c r="I1658" s="16" t="inlineStr">
        <is>
          <t>KALINA</t>
        </is>
      </c>
      <c r="J1658" s="16" t="inlineStr">
        <is>
          <t>KALINA</t>
        </is>
      </c>
      <c r="K1658" s="16" t="b">
        <v>1</v>
      </c>
      <c r="L1658" s="16" t="b">
        <v>0</v>
      </c>
      <c r="M1658" s="16" t="b">
        <v>1</v>
      </c>
      <c r="N1658" s="16" t="b">
        <v>0</v>
      </c>
      <c r="O1658" s="16" t="n">
        <v>471.3723446477122</v>
      </c>
      <c r="P1658" s="16" t="n">
        <v>286.0796067720991</v>
      </c>
      <c r="Q1658" s="16" t="n">
        <v>2952.30713286758</v>
      </c>
      <c r="R1658" s="16" t="n">
        <v>2044.378449691666</v>
      </c>
      <c r="S1658" s="16" t="n">
        <v>0.5719210189696892</v>
      </c>
      <c r="T1658" s="16" t="n">
        <v>0.813448473746247</v>
      </c>
      <c r="U1658" s="16" t="n">
        <v>0.8195548901130473</v>
      </c>
      <c r="V1658" s="16" t="n">
        <v>0.6572195305500642</v>
      </c>
      <c r="W1658" s="16" t="n">
        <v>0.7268700254250451</v>
      </c>
      <c r="X1658" s="16" t="n">
        <v>0.7909211741100534</v>
      </c>
      <c r="Y1658" s="16" t="n">
        <v>286.0796067720991</v>
      </c>
      <c r="Z1658" s="16" t="n">
        <v>2.92111260988701</v>
      </c>
      <c r="AA1658" s="16" t="n">
        <v>36.32698862055845</v>
      </c>
      <c r="AB1658" s="16" t="n">
        <v>907.9286831759136</v>
      </c>
      <c r="AC1658" s="16" t="n">
        <v>1.444109887439308</v>
      </c>
      <c r="AD1658" s="16" t="n"/>
      <c r="AE1658" s="16" t="n"/>
    </row>
    <row r="1659">
      <c r="A1659" s="16" t="inlineStr">
        <is>
          <t>KF-M04c-0087</t>
        </is>
      </c>
      <c r="B1659" s="16" t="inlineStr">
        <is>
          <t>3.3</t>
        </is>
      </c>
      <c r="C1659" s="16" t="inlineStr">
        <is>
          <t>3.3</t>
        </is>
      </c>
      <c r="D1659" s="16" t="inlineStr">
        <is>
          <t>P_baja de 1500 a 2500 kPa</t>
        </is>
      </c>
      <c r="E1659" s="16" t="inlineStr">
        <is>
          <t>KF-M04c</t>
        </is>
      </c>
      <c r="F1659" s="16" t="inlineStr">
        <is>
          <t>KF-M04c</t>
        </is>
      </c>
      <c r="G1659" s="16" t="inlineStr">
        <is>
          <t>B08</t>
        </is>
      </c>
      <c r="H1659" s="16" t="inlineStr">
        <is>
          <t>lhs</t>
        </is>
      </c>
      <c r="I1659" s="16" t="inlineStr">
        <is>
          <t>CORREGIBLE</t>
        </is>
      </c>
      <c r="J1659" s="16" t="inlineStr">
        <is>
          <t>CORREGIBLE</t>
        </is>
      </c>
      <c r="K1659" s="16" t="b">
        <v>1</v>
      </c>
      <c r="L1659" s="16" t="b">
        <v>0</v>
      </c>
      <c r="M1659" s="16" t="b">
        <v>1</v>
      </c>
      <c r="N1659" s="16" t="b">
        <v>0</v>
      </c>
      <c r="O1659" s="16" t="n">
        <v>472.3412357339319</v>
      </c>
      <c r="P1659" s="16" t="n">
        <v>278.6432414127783</v>
      </c>
      <c r="Q1659" s="16" t="n">
        <v>3763.894804263703</v>
      </c>
      <c r="R1659" s="16" t="n">
        <v>1988.222337283467</v>
      </c>
      <c r="S1659" s="16" t="n">
        <v>0.8028693686569588</v>
      </c>
      <c r="T1659" s="16" t="n">
        <v>0.8727278456931709</v>
      </c>
      <c r="U1659" s="16" t="n">
        <v>0.7040005225083306</v>
      </c>
      <c r="V1659" s="16" t="n">
        <v>0.9484546250086781</v>
      </c>
      <c r="W1659" s="16" t="n">
        <v>0.8966087817448321</v>
      </c>
      <c r="X1659" s="16" t="n">
        <v>0.8535130469604871</v>
      </c>
      <c r="Y1659" s="16" t="n">
        <v>278.6432414127783</v>
      </c>
      <c r="Z1659" s="16" t="n">
        <v>5.87910472944299</v>
      </c>
      <c r="AA1659" s="16" t="n">
        <v>96.25730300280192</v>
      </c>
      <c r="AB1659" s="16" t="n">
        <v>1775.672466980236</v>
      </c>
      <c r="AC1659" s="16" t="n">
        <v>1.893095522408404</v>
      </c>
      <c r="AD1659" s="16" t="inlineStr">
        <is>
          <t>O2</t>
        </is>
      </c>
      <c r="AE1659" s="16" t="n"/>
    </row>
    <row r="1660">
      <c r="A1660" s="16" t="inlineStr">
        <is>
          <t>KF-M04c-0088</t>
        </is>
      </c>
      <c r="B1660" s="16" t="inlineStr">
        <is>
          <t>3.3</t>
        </is>
      </c>
      <c r="C1660" s="16" t="inlineStr">
        <is>
          <t>3.3</t>
        </is>
      </c>
      <c r="D1660" s="16" t="inlineStr">
        <is>
          <t>P_baja de 1500 a 2500 kPa</t>
        </is>
      </c>
      <c r="E1660" s="16" t="inlineStr">
        <is>
          <t>KF-M04c</t>
        </is>
      </c>
      <c r="F1660" s="16" t="inlineStr">
        <is>
          <t>KF-M04c</t>
        </is>
      </c>
      <c r="G1660" s="16" t="inlineStr">
        <is>
          <t>B08</t>
        </is>
      </c>
      <c r="H1660" s="16" t="inlineStr">
        <is>
          <t>lhs</t>
        </is>
      </c>
      <c r="I1660" s="16" t="inlineStr">
        <is>
          <t>KALINA</t>
        </is>
      </c>
      <c r="J1660" s="16" t="inlineStr">
        <is>
          <t>KALINA</t>
        </is>
      </c>
      <c r="K1660" s="16" t="b">
        <v>1</v>
      </c>
      <c r="L1660" s="16" t="b">
        <v>0</v>
      </c>
      <c r="M1660" s="16" t="b">
        <v>1</v>
      </c>
      <c r="N1660" s="16" t="b">
        <v>0</v>
      </c>
      <c r="O1660" s="16" t="n">
        <v>448.9611053047043</v>
      </c>
      <c r="P1660" s="16" t="n">
        <v>296.697733220946</v>
      </c>
      <c r="Q1660" s="16" t="n">
        <v>4719.925908259518</v>
      </c>
      <c r="R1660" s="16" t="n">
        <v>2383.637463910125</v>
      </c>
      <c r="S1660" s="16" t="n">
        <v>0.7500579217754311</v>
      </c>
      <c r="T1660" s="16" t="n">
        <v>0.7732090624927788</v>
      </c>
      <c r="U1660" s="16" t="n">
        <v>0.7073940113378733</v>
      </c>
      <c r="V1660" s="16" t="n">
        <v>0.6931156744671217</v>
      </c>
      <c r="W1660" s="16" t="n">
        <v>0.7945971465598989</v>
      </c>
      <c r="X1660" s="16" t="n">
        <v>0.9478428224196072</v>
      </c>
      <c r="Y1660" s="16" t="n">
        <v>296.697733220946</v>
      </c>
      <c r="Z1660" s="16" t="n">
        <v>4.97115394870563</v>
      </c>
      <c r="AA1660" s="16" t="n">
        <v>48.66635085600316</v>
      </c>
      <c r="AB1660" s="16" t="n">
        <v>2336.288444349393</v>
      </c>
      <c r="AC1660" s="16" t="n">
        <v>1.980135813319925</v>
      </c>
      <c r="AD1660" s="16" t="n"/>
      <c r="AE1660" s="16" t="n"/>
    </row>
    <row r="1661">
      <c r="A1661" s="16" t="inlineStr">
        <is>
          <t>KF-M04c-0089</t>
        </is>
      </c>
      <c r="B1661" s="16" t="inlineStr">
        <is>
          <t>3.3</t>
        </is>
      </c>
      <c r="C1661" s="16" t="inlineStr">
        <is>
          <t>3.3</t>
        </is>
      </c>
      <c r="D1661" s="16" t="inlineStr">
        <is>
          <t>P_baja de 1500 a 2500 kPa</t>
        </is>
      </c>
      <c r="E1661" s="16" t="inlineStr">
        <is>
          <t>KF-M04c</t>
        </is>
      </c>
      <c r="F1661" s="16" t="inlineStr">
        <is>
          <t>KF-M04c</t>
        </is>
      </c>
      <c r="G1661" s="16" t="inlineStr">
        <is>
          <t>B08</t>
        </is>
      </c>
      <c r="H1661" s="16" t="inlineStr">
        <is>
          <t>lhs</t>
        </is>
      </c>
      <c r="I1661" s="16" t="inlineStr">
        <is>
          <t>NO_CONVERGIO</t>
        </is>
      </c>
      <c r="J1661" s="16" t="inlineStr">
        <is>
          <t>NO_CONVERGIO</t>
        </is>
      </c>
      <c r="K1661" s="16" t="b">
        <v>0</v>
      </c>
      <c r="L1661" s="16" t="b">
        <v>0</v>
      </c>
      <c r="M1661" s="16" t="b">
        <v>0</v>
      </c>
      <c r="N1661" s="16" t="b">
        <v>0</v>
      </c>
      <c r="O1661" s="16" t="n">
        <v>447.1460068622839</v>
      </c>
      <c r="P1661" s="16" t="n">
        <v>301.0660787980818</v>
      </c>
      <c r="Q1661" s="16" t="n">
        <v>3009.127671922412</v>
      </c>
      <c r="R1661" s="16" t="n">
        <v>2277.269043639463</v>
      </c>
      <c r="S1661" s="16" t="n">
        <v>0.6937847744448504</v>
      </c>
      <c r="T1661" s="16" t="n">
        <v>0.7938349984376992</v>
      </c>
      <c r="U1661" s="16" t="n">
        <v>0.7093773363572694</v>
      </c>
      <c r="V1661" s="16" t="n">
        <v>0.6869989144527947</v>
      </c>
      <c r="W1661" s="16" t="n">
        <v>0.8115574347233608</v>
      </c>
      <c r="X1661" s="16" t="n">
        <v>0.9388444871696038</v>
      </c>
      <c r="Y1661" s="16" t="n">
        <v>301.0660787980818</v>
      </c>
      <c r="Z1661" s="16" t="n"/>
      <c r="AA1661" s="16" t="n"/>
      <c r="AB1661" s="16" t="n">
        <v>731.8586282829483</v>
      </c>
      <c r="AC1661" s="16" t="n">
        <v>1.321375566197182</v>
      </c>
      <c r="AD1661" s="16" t="n"/>
      <c r="AE1661" s="16" t="n"/>
    </row>
    <row r="1662">
      <c r="A1662" s="16" t="inlineStr">
        <is>
          <t>KF-M04c-0090</t>
        </is>
      </c>
      <c r="B1662" s="16" t="inlineStr">
        <is>
          <t>3.3</t>
        </is>
      </c>
      <c r="C1662" s="16" t="inlineStr">
        <is>
          <t>3.3</t>
        </is>
      </c>
      <c r="D1662" s="16" t="inlineStr">
        <is>
          <t>P_baja de 1500 a 2500 kPa</t>
        </is>
      </c>
      <c r="E1662" s="16" t="inlineStr">
        <is>
          <t>KF-M04c</t>
        </is>
      </c>
      <c r="F1662" s="16" t="inlineStr">
        <is>
          <t>KF-M04c</t>
        </is>
      </c>
      <c r="G1662" s="16" t="inlineStr">
        <is>
          <t>B08</t>
        </is>
      </c>
      <c r="H1662" s="16" t="inlineStr">
        <is>
          <t>lhs</t>
        </is>
      </c>
      <c r="I1662" s="16" t="inlineStr">
        <is>
          <t>NO_CONVERGIO</t>
        </is>
      </c>
      <c r="J1662" s="16" t="inlineStr">
        <is>
          <t>NO_CONVERGIO</t>
        </is>
      </c>
      <c r="K1662" s="16" t="b">
        <v>0</v>
      </c>
      <c r="L1662" s="16" t="b">
        <v>0</v>
      </c>
      <c r="M1662" s="16" t="b">
        <v>0</v>
      </c>
      <c r="N1662" s="16" t="b">
        <v>0</v>
      </c>
      <c r="O1662" s="16" t="n">
        <v>479.9843936555874</v>
      </c>
      <c r="P1662" s="16" t="n">
        <v>288.6077736098675</v>
      </c>
      <c r="Q1662" s="16" t="n">
        <v>4417.862688953663</v>
      </c>
      <c r="R1662" s="16" t="n">
        <v>2364.181691464377</v>
      </c>
      <c r="S1662" s="16" t="n">
        <v>0.8495267494469412</v>
      </c>
      <c r="T1662" s="16" t="n">
        <v>0.911917036207038</v>
      </c>
      <c r="U1662" s="16" t="n">
        <v>0.6747275588221679</v>
      </c>
      <c r="V1662" s="16" t="n">
        <v>0.8999642000249085</v>
      </c>
      <c r="W1662" s="16" t="n">
        <v>0.6548300472693013</v>
      </c>
      <c r="X1662" s="16" t="n">
        <v>0.8585504502070993</v>
      </c>
      <c r="Y1662" s="16" t="n">
        <v>288.6077736098675</v>
      </c>
      <c r="Z1662" s="16" t="n"/>
      <c r="AA1662" s="16" t="n"/>
      <c r="AB1662" s="16" t="n">
        <v>2053.680997489285</v>
      </c>
      <c r="AC1662" s="16" t="n">
        <v>1.868664622902664</v>
      </c>
      <c r="AD1662" s="16" t="n"/>
      <c r="AE1662" s="16" t="n"/>
    </row>
    <row r="1663">
      <c r="A1663" s="16" t="inlineStr">
        <is>
          <t>KF-M04c-0091</t>
        </is>
      </c>
      <c r="B1663" s="16" t="inlineStr">
        <is>
          <t>3.3</t>
        </is>
      </c>
      <c r="C1663" s="16" t="inlineStr">
        <is>
          <t>3.3</t>
        </is>
      </c>
      <c r="D1663" s="16" t="inlineStr">
        <is>
          <t>P_baja de 1500 a 2500 kPa</t>
        </is>
      </c>
      <c r="E1663" s="16" t="inlineStr">
        <is>
          <t>KF-M04c</t>
        </is>
      </c>
      <c r="F1663" s="16" t="inlineStr">
        <is>
          <t>KF-M04c</t>
        </is>
      </c>
      <c r="G1663" s="16" t="inlineStr">
        <is>
          <t>B08</t>
        </is>
      </c>
      <c r="H1663" s="16" t="inlineStr">
        <is>
          <t>lhs</t>
        </is>
      </c>
      <c r="I1663" s="16" t="inlineStr">
        <is>
          <t>KALINA</t>
        </is>
      </c>
      <c r="J1663" s="16" t="inlineStr">
        <is>
          <t>KALINA</t>
        </is>
      </c>
      <c r="K1663" s="16" t="b">
        <v>1</v>
      </c>
      <c r="L1663" s="16" t="b">
        <v>0</v>
      </c>
      <c r="M1663" s="16" t="b">
        <v>1</v>
      </c>
      <c r="N1663" s="16" t="b">
        <v>0</v>
      </c>
      <c r="O1663" s="16" t="n">
        <v>453.2510824304998</v>
      </c>
      <c r="P1663" s="16" t="n">
        <v>290.8125123048395</v>
      </c>
      <c r="Q1663" s="16" t="n">
        <v>3940.916927295578</v>
      </c>
      <c r="R1663" s="16" t="n">
        <v>2019.074991132865</v>
      </c>
      <c r="S1663" s="16" t="n">
        <v>0.7121646324061338</v>
      </c>
      <c r="T1663" s="16" t="n">
        <v>0.7647278845989455</v>
      </c>
      <c r="U1663" s="16" t="n">
        <v>0.73369381759008</v>
      </c>
      <c r="V1663" s="16" t="n">
        <v>0.937033080691843</v>
      </c>
      <c r="W1663" s="16" t="n">
        <v>0.6254824748263151</v>
      </c>
      <c r="X1663" s="16" t="n">
        <v>0.8760460120142191</v>
      </c>
      <c r="Y1663" s="16" t="n">
        <v>290.8125123048395</v>
      </c>
      <c r="Z1663" s="16" t="n">
        <v>5.0147140525359</v>
      </c>
      <c r="AA1663" s="16" t="n">
        <v>74.30499610347638</v>
      </c>
      <c r="AB1663" s="16" t="n">
        <v>1921.841936162713</v>
      </c>
      <c r="AC1663" s="16" t="n">
        <v>1.951842771864755</v>
      </c>
      <c r="AD1663" s="16" t="n"/>
      <c r="AE1663" s="16" t="n"/>
    </row>
    <row r="1664">
      <c r="A1664" s="16" t="inlineStr">
        <is>
          <t>KF-M04c-0092</t>
        </is>
      </c>
      <c r="B1664" s="16" t="inlineStr">
        <is>
          <t>3.3</t>
        </is>
      </c>
      <c r="C1664" s="16" t="inlineStr">
        <is>
          <t>3.3</t>
        </is>
      </c>
      <c r="D1664" s="16" t="inlineStr">
        <is>
          <t>P_baja de 1500 a 2500 kPa</t>
        </is>
      </c>
      <c r="E1664" s="16" t="inlineStr">
        <is>
          <t>KF-M04c</t>
        </is>
      </c>
      <c r="F1664" s="16" t="inlineStr">
        <is>
          <t>KF-M04c</t>
        </is>
      </c>
      <c r="G1664" s="16" t="inlineStr">
        <is>
          <t>B08</t>
        </is>
      </c>
      <c r="H1664" s="16" t="inlineStr">
        <is>
          <t>lhs</t>
        </is>
      </c>
      <c r="I1664" s="16" t="inlineStr">
        <is>
          <t>CORREGIBLE</t>
        </is>
      </c>
      <c r="J1664" s="16" t="inlineStr">
        <is>
          <t>CORREGIBLE</t>
        </is>
      </c>
      <c r="K1664" s="16" t="b">
        <v>1</v>
      </c>
      <c r="L1664" s="16" t="b">
        <v>0</v>
      </c>
      <c r="M1664" s="16" t="b">
        <v>1</v>
      </c>
      <c r="N1664" s="16" t="b">
        <v>0</v>
      </c>
      <c r="O1664" s="16" t="n">
        <v>462.7810068507821</v>
      </c>
      <c r="P1664" s="16" t="n">
        <v>285.1518369293476</v>
      </c>
      <c r="Q1664" s="16" t="n">
        <v>4388.914820414277</v>
      </c>
      <c r="R1664" s="16" t="n">
        <v>2153.603666861276</v>
      </c>
      <c r="S1664" s="16" t="n">
        <v>0.7703277403534616</v>
      </c>
      <c r="T1664" s="16" t="n">
        <v>0.7739893027244666</v>
      </c>
      <c r="U1664" s="16" t="n">
        <v>0.8454223580482402</v>
      </c>
      <c r="V1664" s="16" t="n">
        <v>0.7505648664419171</v>
      </c>
      <c r="W1664" s="16" t="n">
        <v>0.7348492287225211</v>
      </c>
      <c r="X1664" s="16" t="n">
        <v>0.714443069507262</v>
      </c>
      <c r="Y1664" s="16" t="n">
        <v>285.1518369293476</v>
      </c>
      <c r="Z1664" s="16" t="n">
        <v>5.82313337540107</v>
      </c>
      <c r="AA1664" s="16" t="n">
        <v>65.10558478250184</v>
      </c>
      <c r="AB1664" s="16" t="n">
        <v>2235.311153553001</v>
      </c>
      <c r="AC1664" s="16" t="n">
        <v>2.037939890217037</v>
      </c>
      <c r="AD1664" s="16" t="inlineStr">
        <is>
          <t>O2</t>
        </is>
      </c>
      <c r="AE1664" s="16" t="n"/>
    </row>
    <row r="1665">
      <c r="A1665" s="16" t="inlineStr">
        <is>
          <t>KF-M04c-0093</t>
        </is>
      </c>
      <c r="B1665" s="16" t="inlineStr">
        <is>
          <t>3.3</t>
        </is>
      </c>
      <c r="C1665" s="16" t="inlineStr">
        <is>
          <t>3.3</t>
        </is>
      </c>
      <c r="D1665" s="16" t="inlineStr">
        <is>
          <t>P_baja de 1500 a 2500 kPa</t>
        </is>
      </c>
      <c r="E1665" s="16" t="inlineStr">
        <is>
          <t>KF-M04c</t>
        </is>
      </c>
      <c r="F1665" s="16" t="inlineStr">
        <is>
          <t>KF-M04c</t>
        </is>
      </c>
      <c r="G1665" s="16" t="inlineStr">
        <is>
          <t>B08</t>
        </is>
      </c>
      <c r="H1665" s="16" t="inlineStr">
        <is>
          <t>lhs</t>
        </is>
      </c>
      <c r="I1665" s="16" t="inlineStr">
        <is>
          <t>KALINA</t>
        </is>
      </c>
      <c r="J1665" s="16" t="inlineStr">
        <is>
          <t>KALINA</t>
        </is>
      </c>
      <c r="K1665" s="16" t="b">
        <v>1</v>
      </c>
      <c r="L1665" s="16" t="b">
        <v>1</v>
      </c>
      <c r="M1665" s="16" t="b">
        <v>0</v>
      </c>
      <c r="N1665" s="16" t="b">
        <v>0</v>
      </c>
      <c r="O1665" s="16" t="n">
        <v>418.288883707066</v>
      </c>
      <c r="P1665" s="16" t="n">
        <v>291.6825127381579</v>
      </c>
      <c r="Q1665" s="16" t="n">
        <v>4090.06629179166</v>
      </c>
      <c r="R1665" s="16" t="n">
        <v>1896.949983399701</v>
      </c>
      <c r="S1665" s="16" t="n">
        <v>0.8033965985970096</v>
      </c>
      <c r="T1665" s="16" t="n">
        <v>0.899192734756298</v>
      </c>
      <c r="U1665" s="16" t="n">
        <v>0.8108220643115031</v>
      </c>
      <c r="V1665" s="16" t="n">
        <v>0.6075282181735275</v>
      </c>
      <c r="W1665" s="16" t="n">
        <v>0.7770185384876674</v>
      </c>
      <c r="X1665" s="16" t="n">
        <v>0.828618824360946</v>
      </c>
      <c r="Y1665" s="16" t="n">
        <v>291.6825127381579</v>
      </c>
      <c r="Z1665" s="16" t="n">
        <v>6.94659847577148</v>
      </c>
      <c r="AA1665" s="16" t="n">
        <v>46.77032804042424</v>
      </c>
      <c r="AB1665" s="16" t="n">
        <v>2193.116308391959</v>
      </c>
      <c r="AC1665" s="16" t="n">
        <v>2.156127640467078</v>
      </c>
      <c r="AD1665" s="16" t="n"/>
      <c r="AE1665" s="16" t="n"/>
    </row>
    <row r="1666">
      <c r="A1666" s="16" t="inlineStr">
        <is>
          <t>KF-M04c-0094</t>
        </is>
      </c>
      <c r="B1666" s="16" t="inlineStr">
        <is>
          <t>3.3</t>
        </is>
      </c>
      <c r="C1666" s="16" t="inlineStr">
        <is>
          <t>3.3</t>
        </is>
      </c>
      <c r="D1666" s="16" t="inlineStr">
        <is>
          <t>P_baja de 1500 a 2500 kPa</t>
        </is>
      </c>
      <c r="E1666" s="16" t="inlineStr">
        <is>
          <t>KF-M04c</t>
        </is>
      </c>
      <c r="F1666" s="16" t="inlineStr">
        <is>
          <t>KF-M04c</t>
        </is>
      </c>
      <c r="G1666" s="16" t="inlineStr">
        <is>
          <t>B08</t>
        </is>
      </c>
      <c r="H1666" s="16" t="inlineStr">
        <is>
          <t>lhs</t>
        </is>
      </c>
      <c r="I1666" s="16" t="inlineStr">
        <is>
          <t>KALINA</t>
        </is>
      </c>
      <c r="J1666" s="16" t="inlineStr">
        <is>
          <t>KALINA</t>
        </is>
      </c>
      <c r="K1666" s="16" t="b">
        <v>1</v>
      </c>
      <c r="L1666" s="16" t="b">
        <v>1</v>
      </c>
      <c r="M1666" s="16" t="b">
        <v>0</v>
      </c>
      <c r="N1666" s="16" t="b">
        <v>0</v>
      </c>
      <c r="O1666" s="16" t="n">
        <v>430.2713469950795</v>
      </c>
      <c r="P1666" s="16" t="n">
        <v>281.8103860601592</v>
      </c>
      <c r="Q1666" s="16" t="n">
        <v>4232.224697543899</v>
      </c>
      <c r="R1666" s="16" t="n">
        <v>1958.97895330556</v>
      </c>
      <c r="S1666" s="16" t="n">
        <v>0.5728211940906737</v>
      </c>
      <c r="T1666" s="16" t="n">
        <v>0.7846377618726424</v>
      </c>
      <c r="U1666" s="16" t="n">
        <v>0.7238903109673842</v>
      </c>
      <c r="V1666" s="16" t="n">
        <v>0.6651269145004032</v>
      </c>
      <c r="W1666" s="16" t="n">
        <v>0.8799850393772196</v>
      </c>
      <c r="X1666" s="16" t="n">
        <v>0.7730867365041441</v>
      </c>
      <c r="Y1666" s="16" t="n">
        <v>281.8103860601592</v>
      </c>
      <c r="Z1666" s="16" t="n">
        <v>4.63011450924004</v>
      </c>
      <c r="AA1666" s="16" t="n">
        <v>20.6995706477336</v>
      </c>
      <c r="AB1666" s="16" t="n">
        <v>2273.24574423834</v>
      </c>
      <c r="AC1666" s="16" t="n">
        <v>2.160423770966242</v>
      </c>
      <c r="AD1666" s="16" t="n"/>
      <c r="AE1666" s="16" t="n"/>
    </row>
    <row r="1667">
      <c r="A1667" s="16" t="inlineStr">
        <is>
          <t>KF-M04c-0095</t>
        </is>
      </c>
      <c r="B1667" s="16" t="inlineStr">
        <is>
          <t>3.3</t>
        </is>
      </c>
      <c r="C1667" s="16" t="inlineStr">
        <is>
          <t>3.3</t>
        </is>
      </c>
      <c r="D1667" s="16" t="inlineStr">
        <is>
          <t>P_baja de 1500 a 2500 kPa</t>
        </is>
      </c>
      <c r="E1667" s="16" t="inlineStr">
        <is>
          <t>KF-M04c</t>
        </is>
      </c>
      <c r="F1667" s="16" t="inlineStr">
        <is>
          <t>KF-M04c</t>
        </is>
      </c>
      <c r="G1667" s="16" t="inlineStr">
        <is>
          <t>B08</t>
        </is>
      </c>
      <c r="H1667" s="16" t="inlineStr">
        <is>
          <t>lhs</t>
        </is>
      </c>
      <c r="I1667" s="16" t="inlineStr">
        <is>
          <t>CORREGIBLE</t>
        </is>
      </c>
      <c r="J1667" s="16" t="inlineStr">
        <is>
          <t>CORREGIBLE</t>
        </is>
      </c>
      <c r="K1667" s="16" t="b">
        <v>1</v>
      </c>
      <c r="L1667" s="16" t="b">
        <v>0</v>
      </c>
      <c r="M1667" s="16" t="b">
        <v>1</v>
      </c>
      <c r="N1667" s="16" t="b">
        <v>0</v>
      </c>
      <c r="O1667" s="16" t="n">
        <v>490.713404990708</v>
      </c>
      <c r="P1667" s="16" t="n">
        <v>279.3023787545104</v>
      </c>
      <c r="Q1667" s="16" t="n">
        <v>4561.003173354306</v>
      </c>
      <c r="R1667" s="16" t="n">
        <v>2000.448736805984</v>
      </c>
      <c r="S1667" s="16" t="n">
        <v>0.5765463555320396</v>
      </c>
      <c r="T1667" s="16" t="n">
        <v>0.7770247249745752</v>
      </c>
      <c r="U1667" s="16" t="n">
        <v>0.69667146217291</v>
      </c>
      <c r="V1667" s="16" t="n">
        <v>0.7734811985058485</v>
      </c>
      <c r="W1667" s="16" t="n">
        <v>0.9058971148412882</v>
      </c>
      <c r="X1667" s="16" t="n">
        <v>0.7211863925679393</v>
      </c>
      <c r="Y1667" s="16" t="n">
        <v>279.3023787545104</v>
      </c>
      <c r="Z1667" s="16" t="n">
        <v>6.02754455810862</v>
      </c>
      <c r="AA1667" s="16" t="n">
        <v>81.80145663463773</v>
      </c>
      <c r="AB1667" s="16" t="n">
        <v>2560.554436548323</v>
      </c>
      <c r="AC1667" s="16" t="n">
        <v>2.279990028955519</v>
      </c>
      <c r="AD1667" s="16" t="inlineStr">
        <is>
          <t>O2</t>
        </is>
      </c>
      <c r="AE1667" s="16" t="n"/>
    </row>
    <row r="1668">
      <c r="A1668" s="16" t="inlineStr">
        <is>
          <t>KF-M04c-0096</t>
        </is>
      </c>
      <c r="B1668" s="16" t="inlineStr">
        <is>
          <t>3.3</t>
        </is>
      </c>
      <c r="C1668" s="16" t="inlineStr">
        <is>
          <t>3.3</t>
        </is>
      </c>
      <c r="D1668" s="16" t="inlineStr">
        <is>
          <t>P_baja de 1500 a 2500 kPa</t>
        </is>
      </c>
      <c r="E1668" s="16" t="inlineStr">
        <is>
          <t>KF-M04c</t>
        </is>
      </c>
      <c r="F1668" s="16" t="inlineStr">
        <is>
          <t>KF-M04c</t>
        </is>
      </c>
      <c r="G1668" s="16" t="inlineStr">
        <is>
          <t>B08</t>
        </is>
      </c>
      <c r="H1668" s="16" t="inlineStr">
        <is>
          <t>lhs</t>
        </is>
      </c>
      <c r="I1668" s="16" t="inlineStr">
        <is>
          <t>CORREGIBLE</t>
        </is>
      </c>
      <c r="J1668" s="16" t="inlineStr">
        <is>
          <t>CORREGIBLE</t>
        </is>
      </c>
      <c r="K1668" s="16" t="b">
        <v>1</v>
      </c>
      <c r="L1668" s="16" t="b">
        <v>0</v>
      </c>
      <c r="M1668" s="16" t="b">
        <v>1</v>
      </c>
      <c r="N1668" s="16" t="b">
        <v>0</v>
      </c>
      <c r="O1668" s="16" t="n">
        <v>484.8036275848132</v>
      </c>
      <c r="P1668" s="16" t="n">
        <v>292.7237080642045</v>
      </c>
      <c r="Q1668" s="16" t="n">
        <v>2244.649248802665</v>
      </c>
      <c r="R1668" s="16" t="n">
        <v>1858.653785047535</v>
      </c>
      <c r="S1668" s="16" t="n">
        <v>0.656130497313</v>
      </c>
      <c r="T1668" s="16" t="n">
        <v>0.8636751418141928</v>
      </c>
      <c r="U1668" s="16" t="n">
        <v>0.7433780543804133</v>
      </c>
      <c r="V1668" s="16" t="n">
        <v>0.8267541078137473</v>
      </c>
      <c r="W1668" s="16" t="n">
        <v>0.8429813419713462</v>
      </c>
      <c r="X1668" s="16" t="n">
        <v>0.7968420780903043</v>
      </c>
      <c r="Y1668" s="16" t="n">
        <v>292.7237080642045</v>
      </c>
      <c r="Z1668" s="16" t="n">
        <v>1.55435789677948</v>
      </c>
      <c r="AA1668" s="16" t="n">
        <v>23.35255107641253</v>
      </c>
      <c r="AB1668" s="16" t="n">
        <v>385.9954637551298</v>
      </c>
      <c r="AC1668" s="16" t="n">
        <v>1.207674751941636</v>
      </c>
      <c r="AD1668" s="16" t="inlineStr">
        <is>
          <t>O2</t>
        </is>
      </c>
      <c r="AE1668" s="16" t="n"/>
    </row>
    <row r="1669">
      <c r="A1669" s="16" t="inlineStr">
        <is>
          <t>KF-M04c-0097</t>
        </is>
      </c>
      <c r="B1669" s="16" t="inlineStr">
        <is>
          <t>3.3</t>
        </is>
      </c>
      <c r="C1669" s="16" t="inlineStr">
        <is>
          <t>3.3</t>
        </is>
      </c>
      <c r="D1669" s="16" t="inlineStr">
        <is>
          <t>P_baja de 1500 a 2500 kPa</t>
        </is>
      </c>
      <c r="E1669" s="16" t="inlineStr">
        <is>
          <t>KF-M04c</t>
        </is>
      </c>
      <c r="F1669" s="16" t="inlineStr">
        <is>
          <t>KF-M04c</t>
        </is>
      </c>
      <c r="G1669" s="16" t="inlineStr">
        <is>
          <t>B08</t>
        </is>
      </c>
      <c r="H1669" s="16" t="inlineStr">
        <is>
          <t>lhs</t>
        </is>
      </c>
      <c r="I1669" s="16" t="inlineStr">
        <is>
          <t>KALINA</t>
        </is>
      </c>
      <c r="J1669" s="16" t="inlineStr">
        <is>
          <t>KALINA</t>
        </is>
      </c>
      <c r="K1669" s="16" t="b">
        <v>1</v>
      </c>
      <c r="L1669" s="16" t="b">
        <v>1</v>
      </c>
      <c r="M1669" s="16" t="b">
        <v>0</v>
      </c>
      <c r="N1669" s="16" t="b">
        <v>0</v>
      </c>
      <c r="O1669" s="16" t="n">
        <v>403.1226197178786</v>
      </c>
      <c r="P1669" s="16" t="n">
        <v>302.0466431581543</v>
      </c>
      <c r="Q1669" s="16" t="n">
        <v>3790.927120985752</v>
      </c>
      <c r="R1669" s="16" t="n">
        <v>1510.129263615873</v>
      </c>
      <c r="S1669" s="16" t="n">
        <v>0.5978659651117778</v>
      </c>
      <c r="T1669" s="16" t="n">
        <v>0.8399409212120397</v>
      </c>
      <c r="U1669" s="16" t="n">
        <v>0.8404768587267322</v>
      </c>
      <c r="V1669" s="16" t="n">
        <v>0.7299331571445686</v>
      </c>
      <c r="W1669" s="16" t="n">
        <v>0.8299259654564446</v>
      </c>
      <c r="X1669" s="16" t="n">
        <v>0.771483856307117</v>
      </c>
      <c r="Y1669" s="16" t="n">
        <v>302.0466431581543</v>
      </c>
      <c r="Z1669" s="16" t="n">
        <v>5.82136941466585</v>
      </c>
      <c r="AA1669" s="16" t="n">
        <v>18.0832849893608</v>
      </c>
      <c r="AB1669" s="16" t="n">
        <v>2280.797857369879</v>
      </c>
      <c r="AC1669" s="16" t="n">
        <v>2.510332865087793</v>
      </c>
      <c r="AD1669" s="16" t="n"/>
      <c r="AE1669" s="16" t="n"/>
    </row>
    <row r="1670">
      <c r="A1670" s="16" t="inlineStr">
        <is>
          <t>KF-M04c-0098</t>
        </is>
      </c>
      <c r="B1670" s="16" t="inlineStr">
        <is>
          <t>3.3</t>
        </is>
      </c>
      <c r="C1670" s="16" t="inlineStr">
        <is>
          <t>3.3</t>
        </is>
      </c>
      <c r="D1670" s="16" t="inlineStr">
        <is>
          <t>P_baja de 1500 a 2500 kPa</t>
        </is>
      </c>
      <c r="E1670" s="16" t="inlineStr">
        <is>
          <t>KF-M04c</t>
        </is>
      </c>
      <c r="F1670" s="16" t="inlineStr">
        <is>
          <t>KF-M04c</t>
        </is>
      </c>
      <c r="G1670" s="16" t="inlineStr">
        <is>
          <t>B08</t>
        </is>
      </c>
      <c r="H1670" s="16" t="inlineStr">
        <is>
          <t>lhs</t>
        </is>
      </c>
      <c r="I1670" s="16" t="inlineStr">
        <is>
          <t>CORREGIBLE</t>
        </is>
      </c>
      <c r="J1670" s="16" t="inlineStr">
        <is>
          <t>CORREGIBLE</t>
        </is>
      </c>
      <c r="K1670" s="16" t="b">
        <v>1</v>
      </c>
      <c r="L1670" s="16" t="b">
        <v>0</v>
      </c>
      <c r="M1670" s="16" t="b">
        <v>1</v>
      </c>
      <c r="N1670" s="16" t="b">
        <v>0</v>
      </c>
      <c r="O1670" s="16" t="n">
        <v>445.2542323682415</v>
      </c>
      <c r="P1670" s="16" t="n">
        <v>301.9188031981053</v>
      </c>
      <c r="Q1670" s="16" t="n">
        <v>3821.846090088983</v>
      </c>
      <c r="R1670" s="16" t="n">
        <v>1697.526761536378</v>
      </c>
      <c r="S1670" s="16" t="n">
        <v>0.7004593579642621</v>
      </c>
      <c r="T1670" s="16" t="n">
        <v>0.7560875735170113</v>
      </c>
      <c r="U1670" s="16" t="n">
        <v>0.8229174091423759</v>
      </c>
      <c r="V1670" s="16" t="n">
        <v>0.7587375472531057</v>
      </c>
      <c r="W1670" s="16" t="n">
        <v>0.914519759320238</v>
      </c>
      <c r="X1670" s="16" t="n">
        <v>0.7743559495083175</v>
      </c>
      <c r="Y1670" s="16" t="n">
        <v>301.9188031981053</v>
      </c>
      <c r="Z1670" s="16" t="n">
        <v>6.466940395700729</v>
      </c>
      <c r="AA1670" s="16" t="n">
        <v>60.64368488914445</v>
      </c>
      <c r="AB1670" s="16" t="n">
        <v>2124.319328552606</v>
      </c>
      <c r="AC1670" s="16" t="n">
        <v>2.251420228939396</v>
      </c>
      <c r="AD1670" s="16" t="inlineStr">
        <is>
          <t>O2</t>
        </is>
      </c>
      <c r="AE1670" s="16" t="n"/>
    </row>
    <row r="1671">
      <c r="A1671" s="16" t="inlineStr">
        <is>
          <t>KF-M04c-0099</t>
        </is>
      </c>
      <c r="B1671" s="16" t="inlineStr">
        <is>
          <t>3.3</t>
        </is>
      </c>
      <c r="C1671" s="16" t="inlineStr">
        <is>
          <t>3.3</t>
        </is>
      </c>
      <c r="D1671" s="16" t="inlineStr">
        <is>
          <t>P_baja de 1500 a 2500 kPa</t>
        </is>
      </c>
      <c r="E1671" s="16" t="inlineStr">
        <is>
          <t>KF-M04c</t>
        </is>
      </c>
      <c r="F1671" s="16" t="inlineStr">
        <is>
          <t>KF-M04c</t>
        </is>
      </c>
      <c r="G1671" s="16" t="inlineStr">
        <is>
          <t>B08</t>
        </is>
      </c>
      <c r="H1671" s="16" t="inlineStr">
        <is>
          <t>lhs</t>
        </is>
      </c>
      <c r="I1671" s="16" t="inlineStr">
        <is>
          <t>KALINA</t>
        </is>
      </c>
      <c r="J1671" s="16" t="inlineStr">
        <is>
          <t>KALINA</t>
        </is>
      </c>
      <c r="K1671" s="16" t="b">
        <v>1</v>
      </c>
      <c r="L1671" s="16" t="b">
        <v>0</v>
      </c>
      <c r="M1671" s="16" t="b">
        <v>1</v>
      </c>
      <c r="N1671" s="16" t="b">
        <v>0</v>
      </c>
      <c r="O1671" s="16" t="n">
        <v>473.8881995625577</v>
      </c>
      <c r="P1671" s="16" t="n">
        <v>287.7324022916976</v>
      </c>
      <c r="Q1671" s="16" t="n">
        <v>2666.699393134349</v>
      </c>
      <c r="R1671" s="16" t="n">
        <v>1868.428760743241</v>
      </c>
      <c r="S1671" s="16" t="n">
        <v>0.6172595278318367</v>
      </c>
      <c r="T1671" s="16" t="n">
        <v>0.9139483021604116</v>
      </c>
      <c r="U1671" s="16" t="n">
        <v>0.7281692323331421</v>
      </c>
      <c r="V1671" s="16" t="n">
        <v>0.7774269348734053</v>
      </c>
      <c r="W1671" s="16" t="n">
        <v>0.8700297449198111</v>
      </c>
      <c r="X1671" s="16" t="n">
        <v>0.923029578019382</v>
      </c>
      <c r="Y1671" s="16" t="n">
        <v>287.7324022916976</v>
      </c>
      <c r="Z1671" s="16" t="n">
        <v>2.97909263496988</v>
      </c>
      <c r="AA1671" s="16" t="n">
        <v>47.11304119901192</v>
      </c>
      <c r="AB1671" s="16" t="n">
        <v>798.2706323911077</v>
      </c>
      <c r="AC1671" s="16" t="n">
        <v>1.427241674482448</v>
      </c>
      <c r="AD1671" s="16" t="n"/>
      <c r="AE1671" s="16" t="n"/>
    </row>
    <row r="1672">
      <c r="A1672" s="16" t="inlineStr">
        <is>
          <t>KF-M04c-0100</t>
        </is>
      </c>
      <c r="B1672" s="16" t="inlineStr">
        <is>
          <t>3.3</t>
        </is>
      </c>
      <c r="C1672" s="16" t="inlineStr">
        <is>
          <t>3.3</t>
        </is>
      </c>
      <c r="D1672" s="16" t="inlineStr">
        <is>
          <t>P_baja de 1500 a 2500 kPa</t>
        </is>
      </c>
      <c r="E1672" s="16" t="inlineStr">
        <is>
          <t>KF-M04c</t>
        </is>
      </c>
      <c r="F1672" s="16" t="inlineStr">
        <is>
          <t>KF-M04c</t>
        </is>
      </c>
      <c r="G1672" s="16" t="inlineStr">
        <is>
          <t>B08</t>
        </is>
      </c>
      <c r="H1672" s="16" t="inlineStr">
        <is>
          <t>lhs</t>
        </is>
      </c>
      <c r="I1672" s="16" t="inlineStr">
        <is>
          <t>KALINA</t>
        </is>
      </c>
      <c r="J1672" s="16" t="inlineStr">
        <is>
          <t>KALINA</t>
        </is>
      </c>
      <c r="K1672" s="16" t="b">
        <v>1</v>
      </c>
      <c r="L1672" s="16" t="b">
        <v>1</v>
      </c>
      <c r="M1672" s="16" t="b">
        <v>0</v>
      </c>
      <c r="N1672" s="16" t="b">
        <v>0</v>
      </c>
      <c r="O1672" s="16" t="n">
        <v>383.0810779414031</v>
      </c>
      <c r="P1672" s="16" t="n">
        <v>296.0734461701012</v>
      </c>
      <c r="Q1672" s="16" t="n">
        <v>4213.478197407408</v>
      </c>
      <c r="R1672" s="16" t="n">
        <v>2292.551550175685</v>
      </c>
      <c r="S1672" s="16" t="n">
        <v>0.7745939516432897</v>
      </c>
      <c r="T1672" s="16" t="n">
        <v>0.8997182781187616</v>
      </c>
      <c r="U1672" s="16" t="n">
        <v>0.7143525351996146</v>
      </c>
      <c r="V1672" s="16" t="n">
        <v>0.6456040151668324</v>
      </c>
      <c r="W1672" s="16" t="n">
        <v>0.8548738034886547</v>
      </c>
      <c r="X1672" s="16" t="n">
        <v>0.8232065121412482</v>
      </c>
      <c r="Y1672" s="16" t="n">
        <v>296.0734461701012</v>
      </c>
      <c r="Z1672" s="16" t="n">
        <v>4.29059302944928</v>
      </c>
      <c r="AA1672" s="16" t="n">
        <v>14.38848154891667</v>
      </c>
      <c r="AB1672" s="16" t="n">
        <v>1920.926647231722</v>
      </c>
      <c r="AC1672" s="16" t="n">
        <v>1.837898998207702</v>
      </c>
      <c r="AD1672" s="16" t="n"/>
      <c r="AE1672" s="16" t="n"/>
    </row>
    <row r="1673">
      <c r="A1673" s="16" t="inlineStr">
        <is>
          <t>KF-M04c-0101</t>
        </is>
      </c>
      <c r="B1673" s="16" t="inlineStr">
        <is>
          <t>3.3</t>
        </is>
      </c>
      <c r="C1673" s="16" t="inlineStr">
        <is>
          <t>3.3</t>
        </is>
      </c>
      <c r="D1673" s="16" t="inlineStr">
        <is>
          <t>P_baja de 1500 a 2500 kPa</t>
        </is>
      </c>
      <c r="E1673" s="16" t="inlineStr">
        <is>
          <t>KF-M04c</t>
        </is>
      </c>
      <c r="F1673" s="16" t="inlineStr">
        <is>
          <t>KF-M04c</t>
        </is>
      </c>
      <c r="G1673" s="16" t="inlineStr">
        <is>
          <t>B08</t>
        </is>
      </c>
      <c r="H1673" s="16" t="inlineStr">
        <is>
          <t>lhs</t>
        </is>
      </c>
      <c r="I1673" s="16" t="inlineStr">
        <is>
          <t>KALINA</t>
        </is>
      </c>
      <c r="J1673" s="16" t="inlineStr">
        <is>
          <t>KALINA</t>
        </is>
      </c>
      <c r="K1673" s="16" t="b">
        <v>1</v>
      </c>
      <c r="L1673" s="16" t="b">
        <v>0</v>
      </c>
      <c r="M1673" s="16" t="b">
        <v>1</v>
      </c>
      <c r="N1673" s="16" t="b">
        <v>0</v>
      </c>
      <c r="O1673" s="16" t="n">
        <v>444.7769913723403</v>
      </c>
      <c r="P1673" s="16" t="n">
        <v>295.7854198199432</v>
      </c>
      <c r="Q1673" s="16" t="n">
        <v>4455.198864586941</v>
      </c>
      <c r="R1673" s="16" t="n">
        <v>1891.592787880841</v>
      </c>
      <c r="S1673" s="16" t="n">
        <v>0.639449756286055</v>
      </c>
      <c r="T1673" s="16" t="n">
        <v>0.893167367516027</v>
      </c>
      <c r="U1673" s="16" t="n">
        <v>0.7742389847706324</v>
      </c>
      <c r="V1673" s="16" t="n">
        <v>0.7939404003720458</v>
      </c>
      <c r="W1673" s="16" t="n">
        <v>0.6441176691145605</v>
      </c>
      <c r="X1673" s="16" t="n">
        <v>0.8045363428614924</v>
      </c>
      <c r="Y1673" s="16" t="n">
        <v>295.7854198199432</v>
      </c>
      <c r="Z1673" s="16" t="n">
        <v>7.05615628947793</v>
      </c>
      <c r="AA1673" s="16" t="n">
        <v>59.295388590224</v>
      </c>
      <c r="AB1673" s="16" t="n">
        <v>2563.6060767061</v>
      </c>
      <c r="AC1673" s="16" t="n">
        <v>2.355263190434405</v>
      </c>
      <c r="AD1673" s="16" t="n"/>
      <c r="AE1673" s="16" t="n"/>
    </row>
    <row r="1674">
      <c r="A1674" s="16" t="inlineStr">
        <is>
          <t>KF-M04c-0102</t>
        </is>
      </c>
      <c r="B1674" s="16" t="inlineStr">
        <is>
          <t>3.3</t>
        </is>
      </c>
      <c r="C1674" s="16" t="inlineStr">
        <is>
          <t>3.3</t>
        </is>
      </c>
      <c r="D1674" s="16" t="inlineStr">
        <is>
          <t>P_baja de 1500 a 2500 kPa</t>
        </is>
      </c>
      <c r="E1674" s="16" t="inlineStr">
        <is>
          <t>KF-M04c</t>
        </is>
      </c>
      <c r="F1674" s="16" t="inlineStr">
        <is>
          <t>KF-M04c</t>
        </is>
      </c>
      <c r="G1674" s="16" t="inlineStr">
        <is>
          <t>B08</t>
        </is>
      </c>
      <c r="H1674" s="16" t="inlineStr">
        <is>
          <t>lhs</t>
        </is>
      </c>
      <c r="I1674" s="16" t="inlineStr">
        <is>
          <t>KALINA</t>
        </is>
      </c>
      <c r="J1674" s="16" t="inlineStr">
        <is>
          <t>KALINA</t>
        </is>
      </c>
      <c r="K1674" s="16" t="b">
        <v>1</v>
      </c>
      <c r="L1674" s="16" t="b">
        <v>0</v>
      </c>
      <c r="M1674" s="16" t="b">
        <v>1</v>
      </c>
      <c r="N1674" s="16" t="b">
        <v>0</v>
      </c>
      <c r="O1674" s="16" t="n">
        <v>467.8429557695865</v>
      </c>
      <c r="P1674" s="16" t="n">
        <v>282.5096578718439</v>
      </c>
      <c r="Q1674" s="16" t="n">
        <v>2772.535400004202</v>
      </c>
      <c r="R1674" s="16" t="n">
        <v>2078.849196353292</v>
      </c>
      <c r="S1674" s="16" t="n">
        <v>0.6873036327458664</v>
      </c>
      <c r="T1674" s="16" t="n">
        <v>0.8182846867150181</v>
      </c>
      <c r="U1674" s="16" t="n">
        <v>0.8707828336231667</v>
      </c>
      <c r="V1674" s="16" t="n">
        <v>0.9088629157117796</v>
      </c>
      <c r="W1674" s="16" t="n">
        <v>0.8135245862582041</v>
      </c>
      <c r="X1674" s="16" t="n">
        <v>0.926044119852074</v>
      </c>
      <c r="Y1674" s="16" t="n">
        <v>282.5096578718439</v>
      </c>
      <c r="Z1674" s="16" t="n">
        <v>2.21810565298135</v>
      </c>
      <c r="AA1674" s="16" t="n">
        <v>40.27434259426044</v>
      </c>
      <c r="AB1674" s="16" t="n">
        <v>693.6862036509092</v>
      </c>
      <c r="AC1674" s="16" t="n">
        <v>1.333687602192487</v>
      </c>
      <c r="AD1674" s="16" t="n"/>
      <c r="AE1674" s="16" t="n"/>
    </row>
    <row r="1675">
      <c r="A1675" s="16" t="inlineStr">
        <is>
          <t>KF-M04c-0103</t>
        </is>
      </c>
      <c r="B1675" s="16" t="inlineStr">
        <is>
          <t>3.3</t>
        </is>
      </c>
      <c r="C1675" s="16" t="inlineStr">
        <is>
          <t>3.3</t>
        </is>
      </c>
      <c r="D1675" s="16" t="inlineStr">
        <is>
          <t>P_baja de 1500 a 2500 kPa</t>
        </is>
      </c>
      <c r="E1675" s="16" t="inlineStr">
        <is>
          <t>KF-M04c</t>
        </is>
      </c>
      <c r="F1675" s="16" t="inlineStr">
        <is>
          <t>KF-M04c</t>
        </is>
      </c>
      <c r="G1675" s="16" t="inlineStr">
        <is>
          <t>B08</t>
        </is>
      </c>
      <c r="H1675" s="16" t="inlineStr">
        <is>
          <t>lhs</t>
        </is>
      </c>
      <c r="I1675" s="16" t="inlineStr">
        <is>
          <t>N2</t>
        </is>
      </c>
      <c r="J1675" s="16" t="inlineStr">
        <is>
          <t>NO_CONVERGIO</t>
        </is>
      </c>
      <c r="K1675" s="16" t="b">
        <v>0</v>
      </c>
      <c r="L1675" s="16" t="b">
        <v>0</v>
      </c>
      <c r="M1675" s="16" t="b">
        <v>0</v>
      </c>
      <c r="N1675" s="16" t="b">
        <v>0</v>
      </c>
      <c r="O1675" s="16" t="n">
        <v>386.2354509894676</v>
      </c>
      <c r="P1675" s="16" t="n">
        <v>300.5057608379353</v>
      </c>
      <c r="Q1675" s="16" t="n">
        <v>4140.245017775569</v>
      </c>
      <c r="R1675" s="16" t="n">
        <v>1838.423774081167</v>
      </c>
      <c r="S1675" s="16" t="n">
        <v>0.5576920268808225</v>
      </c>
      <c r="T1675" s="16" t="n">
        <v>0.8561544477196277</v>
      </c>
      <c r="U1675" s="16" t="n">
        <v>0.8889527463311815</v>
      </c>
      <c r="V1675" s="16" t="n">
        <v>0.7253940594984123</v>
      </c>
      <c r="W1675" s="16" t="n">
        <v>0.7610193438904758</v>
      </c>
      <c r="X1675" s="16" t="n">
        <v>0.8243203588857394</v>
      </c>
      <c r="Y1675" s="16" t="n">
        <v>300.5057608379353</v>
      </c>
      <c r="Z1675" s="16" t="n">
        <v>-60.41211223888225</v>
      </c>
      <c r="AA1675" s="16" t="n">
        <v>-21.86104478049494</v>
      </c>
      <c r="AB1675" s="16" t="n">
        <v>2301.821243694402</v>
      </c>
      <c r="AC1675" s="16" t="n">
        <v>2.252062378732476</v>
      </c>
      <c r="AD1675" s="16" t="inlineStr">
        <is>
          <t>N2,S6,O3,O5,C1,C3,C3</t>
        </is>
      </c>
      <c r="AE1675" s="16" t="n"/>
    </row>
    <row r="1676">
      <c r="A1676" s="16" t="inlineStr">
        <is>
          <t>KF-M04c-0104</t>
        </is>
      </c>
      <c r="B1676" s="16" t="inlineStr">
        <is>
          <t>3.3</t>
        </is>
      </c>
      <c r="C1676" s="16" t="inlineStr">
        <is>
          <t>3.3</t>
        </is>
      </c>
      <c r="D1676" s="16" t="inlineStr">
        <is>
          <t>P_baja de 1500 a 2500 kPa</t>
        </is>
      </c>
      <c r="E1676" s="16" t="inlineStr">
        <is>
          <t>KF-M04c</t>
        </is>
      </c>
      <c r="F1676" s="16" t="inlineStr">
        <is>
          <t>KF-M04c</t>
        </is>
      </c>
      <c r="G1676" s="16" t="inlineStr">
        <is>
          <t>B08</t>
        </is>
      </c>
      <c r="H1676" s="16" t="inlineStr">
        <is>
          <t>lhs</t>
        </is>
      </c>
      <c r="I1676" s="16" t="inlineStr">
        <is>
          <t>CORREGIBLE</t>
        </is>
      </c>
      <c r="J1676" s="16" t="inlineStr">
        <is>
          <t>CORREGIBLE</t>
        </is>
      </c>
      <c r="K1676" s="16" t="b">
        <v>1</v>
      </c>
      <c r="L1676" s="16" t="b">
        <v>0</v>
      </c>
      <c r="M1676" s="16" t="b">
        <v>0</v>
      </c>
      <c r="N1676" s="16" t="b">
        <v>0</v>
      </c>
      <c r="O1676" s="16" t="n">
        <v>447.2181506221542</v>
      </c>
      <c r="P1676" s="16" t="n">
        <v>285.6442961660208</v>
      </c>
      <c r="Q1676" s="16" t="n">
        <v>3304.55859925308</v>
      </c>
      <c r="R1676" s="16" t="n">
        <v>1902.764174137651</v>
      </c>
      <c r="S1676" s="16" t="n">
        <v>0.6759270598605149</v>
      </c>
      <c r="T1676" s="16" t="n">
        <v>0.8290046329853098</v>
      </c>
      <c r="U1676" s="16" t="n">
        <v>0.6564387882294032</v>
      </c>
      <c r="V1676" s="16" t="n">
        <v>0.600893267934215</v>
      </c>
      <c r="W1676" s="16" t="n">
        <v>0.7843794930434345</v>
      </c>
      <c r="X1676" s="16" t="n">
        <v>0.7097454894462264</v>
      </c>
      <c r="Y1676" s="16" t="n">
        <v>285.6442961660208</v>
      </c>
      <c r="Z1676" s="16" t="n">
        <v>4.80383447965652</v>
      </c>
      <c r="AA1676" s="16" t="n">
        <v>39.93430224018586</v>
      </c>
      <c r="AB1676" s="16" t="n">
        <v>1401.794425115429</v>
      </c>
      <c r="AC1676" s="16" t="n">
        <v>1.736714745930475</v>
      </c>
      <c r="AD1676" s="16" t="inlineStr">
        <is>
          <t>O2</t>
        </is>
      </c>
      <c r="AE1676" s="16" t="n"/>
    </row>
    <row r="1677">
      <c r="A1677" s="16" t="inlineStr">
        <is>
          <t>KF-M04c-0105</t>
        </is>
      </c>
      <c r="B1677" s="16" t="inlineStr">
        <is>
          <t>3.3</t>
        </is>
      </c>
      <c r="C1677" s="16" t="inlineStr">
        <is>
          <t>3.3</t>
        </is>
      </c>
      <c r="D1677" s="16" t="inlineStr">
        <is>
          <t>P_baja de 1500 a 2500 kPa</t>
        </is>
      </c>
      <c r="E1677" s="16" t="inlineStr">
        <is>
          <t>KF-M04c</t>
        </is>
      </c>
      <c r="F1677" s="16" t="inlineStr">
        <is>
          <t>KF-M04c</t>
        </is>
      </c>
      <c r="G1677" s="16" t="inlineStr">
        <is>
          <t>B08</t>
        </is>
      </c>
      <c r="H1677" s="16" t="inlineStr">
        <is>
          <t>lhs</t>
        </is>
      </c>
      <c r="I1677" s="16" t="inlineStr">
        <is>
          <t>CORREGIBLE</t>
        </is>
      </c>
      <c r="J1677" s="16" t="inlineStr">
        <is>
          <t>CORREGIBLE</t>
        </is>
      </c>
      <c r="K1677" s="16" t="b">
        <v>1</v>
      </c>
      <c r="L1677" s="16" t="b">
        <v>0</v>
      </c>
      <c r="M1677" s="16" t="b">
        <v>1</v>
      </c>
      <c r="N1677" s="16" t="b">
        <v>0</v>
      </c>
      <c r="O1677" s="16" t="n">
        <v>425.2057876071221</v>
      </c>
      <c r="P1677" s="16" t="n">
        <v>298.0233209264949</v>
      </c>
      <c r="Q1677" s="16" t="n">
        <v>2599.301246246027</v>
      </c>
      <c r="R1677" s="16" t="n">
        <v>1815.583967107892</v>
      </c>
      <c r="S1677" s="16" t="n">
        <v>0.5945011184401406</v>
      </c>
      <c r="T1677" s="16" t="n">
        <v>0.7989699943617775</v>
      </c>
      <c r="U1677" s="16" t="n">
        <v>0.6935506644247217</v>
      </c>
      <c r="V1677" s="16" t="n">
        <v>0.941210816397684</v>
      </c>
      <c r="W1677" s="16" t="n">
        <v>0.7484299443831749</v>
      </c>
      <c r="X1677" s="16" t="n">
        <v>0.7796104271313671</v>
      </c>
      <c r="Y1677" s="16" t="n">
        <v>298.0233209264949</v>
      </c>
      <c r="Z1677" s="16" t="n">
        <v>2.90241425803649</v>
      </c>
      <c r="AA1677" s="16" t="n">
        <v>26.15044890177325</v>
      </c>
      <c r="AB1677" s="16" t="n">
        <v>783.7172791381354</v>
      </c>
      <c r="AC1677" s="16" t="n">
        <v>1.431661268956096</v>
      </c>
      <c r="AD1677" s="16" t="inlineStr">
        <is>
          <t>O2</t>
        </is>
      </c>
      <c r="AE1677" s="16" t="n"/>
    </row>
    <row r="1678">
      <c r="A1678" s="16" t="inlineStr">
        <is>
          <t>KF-M04c-0106</t>
        </is>
      </c>
      <c r="B1678" s="16" t="inlineStr">
        <is>
          <t>3.3</t>
        </is>
      </c>
      <c r="C1678" s="16" t="inlineStr">
        <is>
          <t>3.3</t>
        </is>
      </c>
      <c r="D1678" s="16" t="inlineStr">
        <is>
          <t>P_baja de 1500 a 2500 kPa</t>
        </is>
      </c>
      <c r="E1678" s="16" t="inlineStr">
        <is>
          <t>KF-M04c</t>
        </is>
      </c>
      <c r="F1678" s="16" t="inlineStr">
        <is>
          <t>KF-M04c</t>
        </is>
      </c>
      <c r="G1678" s="16" t="inlineStr">
        <is>
          <t>B08</t>
        </is>
      </c>
      <c r="H1678" s="16" t="inlineStr">
        <is>
          <t>lhs</t>
        </is>
      </c>
      <c r="I1678" s="16" t="inlineStr">
        <is>
          <t>NO_CONVERGIO</t>
        </is>
      </c>
      <c r="J1678" s="16" t="inlineStr">
        <is>
          <t>NO_CONVERGIO</t>
        </is>
      </c>
      <c r="K1678" s="16" t="b">
        <v>0</v>
      </c>
      <c r="L1678" s="16" t="b">
        <v>0</v>
      </c>
      <c r="M1678" s="16" t="b">
        <v>0</v>
      </c>
      <c r="N1678" s="16" t="b">
        <v>0</v>
      </c>
      <c r="O1678" s="16" t="n">
        <v>497.3377766817414</v>
      </c>
      <c r="P1678" s="16" t="n">
        <v>285.8170599457495</v>
      </c>
      <c r="Q1678" s="16" t="n">
        <v>2522.37956913247</v>
      </c>
      <c r="R1678" s="16" t="n">
        <v>1998.435127826524</v>
      </c>
      <c r="S1678" s="16" t="n">
        <v>0.7996384958200612</v>
      </c>
      <c r="T1678" s="16" t="n">
        <v>0.8205507223593058</v>
      </c>
      <c r="U1678" s="16" t="n">
        <v>0.8802142733938935</v>
      </c>
      <c r="V1678" s="16" t="n">
        <v>0.8028359802349506</v>
      </c>
      <c r="W1678" s="16" t="n">
        <v>0.674245661852636</v>
      </c>
      <c r="X1678" s="16" t="n">
        <v>0.7473050939722984</v>
      </c>
      <c r="Y1678" s="16" t="n">
        <v>285.8170599457495</v>
      </c>
      <c r="Z1678" s="16" t="n"/>
      <c r="AA1678" s="16" t="n"/>
      <c r="AB1678" s="16" t="n">
        <v>523.9444413059464</v>
      </c>
      <c r="AC1678" s="16" t="n">
        <v>1.262177357678747</v>
      </c>
      <c r="AD1678" s="16" t="n"/>
      <c r="AE1678" s="16" t="n"/>
    </row>
    <row r="1679">
      <c r="A1679" s="16" t="inlineStr">
        <is>
          <t>KF-M04c-0107</t>
        </is>
      </c>
      <c r="B1679" s="16" t="inlineStr">
        <is>
          <t>3.3</t>
        </is>
      </c>
      <c r="C1679" s="16" t="inlineStr">
        <is>
          <t>3.3</t>
        </is>
      </c>
      <c r="D1679" s="16" t="inlineStr">
        <is>
          <t>P_baja de 1500 a 2500 kPa</t>
        </is>
      </c>
      <c r="E1679" s="16" t="inlineStr">
        <is>
          <t>KF-M04c</t>
        </is>
      </c>
      <c r="F1679" s="16" t="inlineStr">
        <is>
          <t>KF-M04c</t>
        </is>
      </c>
      <c r="G1679" s="16" t="inlineStr">
        <is>
          <t>B08</t>
        </is>
      </c>
      <c r="H1679" s="16" t="inlineStr">
        <is>
          <t>lhs</t>
        </is>
      </c>
      <c r="I1679" s="16" t="inlineStr">
        <is>
          <t>CORREGIBLE</t>
        </is>
      </c>
      <c r="J1679" s="16" t="inlineStr">
        <is>
          <t>CORREGIBLE</t>
        </is>
      </c>
      <c r="K1679" s="16" t="b">
        <v>1</v>
      </c>
      <c r="L1679" s="16" t="b">
        <v>0</v>
      </c>
      <c r="M1679" s="16" t="b">
        <v>1</v>
      </c>
      <c r="N1679" s="16" t="b">
        <v>0</v>
      </c>
      <c r="O1679" s="16" t="n">
        <v>456.2236654330911</v>
      </c>
      <c r="P1679" s="16" t="n">
        <v>285.0187590245189</v>
      </c>
      <c r="Q1679" s="16" t="n">
        <v>4171.579111762625</v>
      </c>
      <c r="R1679" s="16" t="n">
        <v>1724.248185514237</v>
      </c>
      <c r="S1679" s="16" t="n">
        <v>0.7579551084241827</v>
      </c>
      <c r="T1679" s="16" t="n">
        <v>0.8865843802214547</v>
      </c>
      <c r="U1679" s="16" t="n">
        <v>0.7415101101561493</v>
      </c>
      <c r="V1679" s="16" t="n">
        <v>0.8228012946879019</v>
      </c>
      <c r="W1679" s="16" t="n">
        <v>0.7213770560451034</v>
      </c>
      <c r="X1679" s="16" t="n">
        <v>0.8324064439359533</v>
      </c>
      <c r="Y1679" s="16" t="n">
        <v>285.0187590245189</v>
      </c>
      <c r="Z1679" s="16" t="n">
        <v>8.13071692173572</v>
      </c>
      <c r="AA1679" s="16" t="n">
        <v>110.653631271087</v>
      </c>
      <c r="AB1679" s="16" t="n">
        <v>2447.330926248388</v>
      </c>
      <c r="AC1679" s="16" t="n">
        <v>2.419361172486025</v>
      </c>
      <c r="AD1679" s="16" t="inlineStr">
        <is>
          <t>O2</t>
        </is>
      </c>
      <c r="AE1679" s="16" t="n"/>
    </row>
    <row r="1680">
      <c r="A1680" s="16" t="inlineStr">
        <is>
          <t>KF-M04c-0108</t>
        </is>
      </c>
      <c r="B1680" s="16" t="inlineStr">
        <is>
          <t>3.3</t>
        </is>
      </c>
      <c r="C1680" s="16" t="inlineStr">
        <is>
          <t>3.3</t>
        </is>
      </c>
      <c r="D1680" s="16" t="inlineStr">
        <is>
          <t>P_baja de 1500 a 2500 kPa</t>
        </is>
      </c>
      <c r="E1680" s="16" t="inlineStr">
        <is>
          <t>KF-M04c</t>
        </is>
      </c>
      <c r="F1680" s="16" t="inlineStr">
        <is>
          <t>KF-M04c</t>
        </is>
      </c>
      <c r="G1680" s="16" t="inlineStr">
        <is>
          <t>B08</t>
        </is>
      </c>
      <c r="H1680" s="16" t="inlineStr">
        <is>
          <t>lhs</t>
        </is>
      </c>
      <c r="I1680" s="16" t="inlineStr">
        <is>
          <t>KALINA</t>
        </is>
      </c>
      <c r="J1680" s="16" t="inlineStr">
        <is>
          <t>KALINA</t>
        </is>
      </c>
      <c r="K1680" s="16" t="b">
        <v>1</v>
      </c>
      <c r="L1680" s="16" t="b">
        <v>1</v>
      </c>
      <c r="M1680" s="16" t="b">
        <v>0</v>
      </c>
      <c r="N1680" s="16" t="b">
        <v>0</v>
      </c>
      <c r="O1680" s="16" t="n">
        <v>426.403249255157</v>
      </c>
      <c r="P1680" s="16" t="n">
        <v>289.7628411462837</v>
      </c>
      <c r="Q1680" s="16" t="n">
        <v>4732.003232860974</v>
      </c>
      <c r="R1680" s="16" t="n">
        <v>1880.590776819677</v>
      </c>
      <c r="S1680" s="16" t="n">
        <v>0.8340623068450387</v>
      </c>
      <c r="T1680" s="16" t="n">
        <v>0.7510274163891214</v>
      </c>
      <c r="U1680" s="16" t="n">
        <v>0.8010870904718862</v>
      </c>
      <c r="V1680" s="16" t="n">
        <v>0.8261758703068207</v>
      </c>
      <c r="W1680" s="16" t="n">
        <v>0.7448325668662303</v>
      </c>
      <c r="X1680" s="16" t="n">
        <v>0.8387845604370419</v>
      </c>
      <c r="Y1680" s="16" t="n">
        <v>289.7628411462837</v>
      </c>
      <c r="Z1680" s="16" t="n">
        <v>7.38199488575554</v>
      </c>
      <c r="AA1680" s="16" t="n">
        <v>72.76229134634647</v>
      </c>
      <c r="AB1680" s="16" t="n">
        <v>2851.412456041297</v>
      </c>
      <c r="AC1680" s="16" t="n">
        <v>2.516232287847016</v>
      </c>
      <c r="AD1680" s="16" t="n"/>
      <c r="AE1680" s="16" t="n"/>
    </row>
    <row r="1681">
      <c r="A1681" s="16" t="inlineStr">
        <is>
          <t>KF-M04c-0109</t>
        </is>
      </c>
      <c r="B1681" s="16" t="inlineStr">
        <is>
          <t>3.3</t>
        </is>
      </c>
      <c r="C1681" s="16" t="inlineStr">
        <is>
          <t>3.3</t>
        </is>
      </c>
      <c r="D1681" s="16" t="inlineStr">
        <is>
          <t>P_baja de 1500 a 2500 kPa</t>
        </is>
      </c>
      <c r="E1681" s="16" t="inlineStr">
        <is>
          <t>KF-M04c</t>
        </is>
      </c>
      <c r="F1681" s="16" t="inlineStr">
        <is>
          <t>KF-M04c</t>
        </is>
      </c>
      <c r="G1681" s="16" t="inlineStr">
        <is>
          <t>B08</t>
        </is>
      </c>
      <c r="H1681" s="16" t="inlineStr">
        <is>
          <t>lhs</t>
        </is>
      </c>
      <c r="I1681" s="16" t="inlineStr">
        <is>
          <t>CORREGIBLE</t>
        </is>
      </c>
      <c r="J1681" s="16" t="inlineStr">
        <is>
          <t>CORREGIBLE</t>
        </is>
      </c>
      <c r="K1681" s="16" t="b">
        <v>1</v>
      </c>
      <c r="L1681" s="16" t="b">
        <v>0</v>
      </c>
      <c r="M1681" s="16" t="b">
        <v>1</v>
      </c>
      <c r="N1681" s="16" t="b">
        <v>0</v>
      </c>
      <c r="O1681" s="16" t="n">
        <v>477.940405859902</v>
      </c>
      <c r="P1681" s="16" t="n">
        <v>300.2392682491917</v>
      </c>
      <c r="Q1681" s="16" t="n">
        <v>4964.802176677782</v>
      </c>
      <c r="R1681" s="16" t="n">
        <v>1612.743564276018</v>
      </c>
      <c r="S1681" s="16" t="n">
        <v>0.6034248367617476</v>
      </c>
      <c r="T1681" s="16" t="n">
        <v>0.8672864297904259</v>
      </c>
      <c r="U1681" s="16" t="n">
        <v>0.8908587538954446</v>
      </c>
      <c r="V1681" s="16" t="n">
        <v>0.6526153699231122</v>
      </c>
      <c r="W1681" s="16" t="n">
        <v>0.6627453213004043</v>
      </c>
      <c r="X1681" s="16" t="n">
        <v>0.8135940461786035</v>
      </c>
      <c r="Y1681" s="16" t="n">
        <v>300.2392682491917</v>
      </c>
      <c r="Z1681" s="16" t="n">
        <v>8.954743190209941</v>
      </c>
      <c r="AA1681" s="16" t="n">
        <v>92.10155139544165</v>
      </c>
      <c r="AB1681" s="16" t="n">
        <v>3352.058612401765</v>
      </c>
      <c r="AC1681" s="16" t="n">
        <v>3.0784820889405</v>
      </c>
      <c r="AD1681" s="16" t="inlineStr">
        <is>
          <t>O2</t>
        </is>
      </c>
      <c r="AE1681" s="16" t="n"/>
    </row>
    <row r="1682">
      <c r="A1682" s="16" t="inlineStr">
        <is>
          <t>KF-M04c-0110</t>
        </is>
      </c>
      <c r="B1682" s="16" t="inlineStr">
        <is>
          <t>3.3</t>
        </is>
      </c>
      <c r="C1682" s="16" t="inlineStr">
        <is>
          <t>3.3</t>
        </is>
      </c>
      <c r="D1682" s="16" t="inlineStr">
        <is>
          <t>P_baja de 1500 a 2500 kPa</t>
        </is>
      </c>
      <c r="E1682" s="16" t="inlineStr">
        <is>
          <t>KF-M04c</t>
        </is>
      </c>
      <c r="F1682" s="16" t="inlineStr">
        <is>
          <t>KF-M04c</t>
        </is>
      </c>
      <c r="G1682" s="16" t="inlineStr">
        <is>
          <t>B08</t>
        </is>
      </c>
      <c r="H1682" s="16" t="inlineStr">
        <is>
          <t>lhs</t>
        </is>
      </c>
      <c r="I1682" s="16" t="inlineStr">
        <is>
          <t>OMITIDO</t>
        </is>
      </c>
      <c r="J1682" s="16" t="n"/>
      <c r="K1682" s="16" t="b">
        <v>0</v>
      </c>
      <c r="L1682" s="16" t="b">
        <v>0</v>
      </c>
      <c r="M1682" s="16" t="n"/>
      <c r="N1682" s="16" t="b">
        <v>1</v>
      </c>
      <c r="O1682" s="16" t="n">
        <v>478.7333277482919</v>
      </c>
      <c r="P1682" s="16" t="n">
        <v>298.6286783962819</v>
      </c>
      <c r="Q1682" s="16" t="n">
        <v>2040.96178662614</v>
      </c>
      <c r="R1682" s="16" t="n">
        <v>2146.800775916501</v>
      </c>
      <c r="S1682" s="16" t="n">
        <v>0.8241332167604218</v>
      </c>
      <c r="T1682" s="16" t="n">
        <v>0.8229333485657223</v>
      </c>
      <c r="U1682" s="16" t="n">
        <v>0.6533869798380605</v>
      </c>
      <c r="V1682" s="16" t="n">
        <v>0.8318147935754547</v>
      </c>
      <c r="W1682" s="16" t="n">
        <v>0.6045780671359907</v>
      </c>
      <c r="X1682" s="16" t="n">
        <v>0.800624828280755</v>
      </c>
      <c r="Y1682" s="16" t="n"/>
      <c r="Z1682" s="16" t="n"/>
      <c r="AA1682" s="16" t="n"/>
      <c r="AB1682" s="16" t="n">
        <v>-105.8389892903615</v>
      </c>
      <c r="AC1682" s="16" t="n">
        <v>0.950699202982551</v>
      </c>
      <c r="AD1682" s="16" t="n"/>
      <c r="AE1682" s="16" t="n"/>
    </row>
    <row r="1683">
      <c r="A1683" s="16" t="inlineStr">
        <is>
          <t>KF-M04c-0111</t>
        </is>
      </c>
      <c r="B1683" s="16" t="inlineStr">
        <is>
          <t>3.3</t>
        </is>
      </c>
      <c r="C1683" s="16" t="inlineStr">
        <is>
          <t>3.3</t>
        </is>
      </c>
      <c r="D1683" s="16" t="inlineStr">
        <is>
          <t>P_baja de 1500 a 2500 kPa</t>
        </is>
      </c>
      <c r="E1683" s="16" t="inlineStr">
        <is>
          <t>KF-M04c</t>
        </is>
      </c>
      <c r="F1683" s="16" t="inlineStr">
        <is>
          <t>KF-M04c</t>
        </is>
      </c>
      <c r="G1683" s="16" t="inlineStr">
        <is>
          <t>B08</t>
        </is>
      </c>
      <c r="H1683" s="16" t="inlineStr">
        <is>
          <t>lhs</t>
        </is>
      </c>
      <c r="I1683" s="16" t="inlineStr">
        <is>
          <t>OMITIDO</t>
        </is>
      </c>
      <c r="J1683" s="16" t="n"/>
      <c r="K1683" s="16" t="b">
        <v>0</v>
      </c>
      <c r="L1683" s="16" t="b">
        <v>0</v>
      </c>
      <c r="M1683" s="16" t="n"/>
      <c r="N1683" s="16" t="b">
        <v>1</v>
      </c>
      <c r="O1683" s="16" t="n">
        <v>443.0139642705346</v>
      </c>
      <c r="P1683" s="16" t="n">
        <v>289.4440973114056</v>
      </c>
      <c r="Q1683" s="16" t="n">
        <v>2222.721518033952</v>
      </c>
      <c r="R1683" s="16" t="n">
        <v>2319.545814343698</v>
      </c>
      <c r="S1683" s="16" t="n">
        <v>0.7140485897532134</v>
      </c>
      <c r="T1683" s="16" t="n">
        <v>0.7954330251685653</v>
      </c>
      <c r="U1683" s="16" t="n">
        <v>0.8998799369937472</v>
      </c>
      <c r="V1683" s="16" t="n">
        <v>0.9439425021010408</v>
      </c>
      <c r="W1683" s="16" t="n">
        <v>0.9451681626768292</v>
      </c>
      <c r="X1683" s="16" t="n">
        <v>0.8643624879608902</v>
      </c>
      <c r="Y1683" s="16" t="n"/>
      <c r="Z1683" s="16" t="n"/>
      <c r="AA1683" s="16" t="n"/>
      <c r="AB1683" s="16" t="n">
        <v>-96.82429630974592</v>
      </c>
      <c r="AC1683" s="16" t="n">
        <v>0.9582572175505222</v>
      </c>
      <c r="AD1683" s="16" t="n"/>
      <c r="AE1683" s="16" t="n"/>
    </row>
    <row r="1684">
      <c r="A1684" s="16" t="inlineStr">
        <is>
          <t>KF-M04c-0112</t>
        </is>
      </c>
      <c r="B1684" s="16" t="inlineStr">
        <is>
          <t>3.3</t>
        </is>
      </c>
      <c r="C1684" s="16" t="inlineStr">
        <is>
          <t>3.3</t>
        </is>
      </c>
      <c r="D1684" s="16" t="inlineStr">
        <is>
          <t>P_baja de 1500 a 2500 kPa</t>
        </is>
      </c>
      <c r="E1684" s="16" t="inlineStr">
        <is>
          <t>KF-M04c</t>
        </is>
      </c>
      <c r="F1684" s="16" t="inlineStr">
        <is>
          <t>KF-M04c</t>
        </is>
      </c>
      <c r="G1684" s="16" t="inlineStr">
        <is>
          <t>B08</t>
        </is>
      </c>
      <c r="H1684" s="16" t="inlineStr">
        <is>
          <t>lhs</t>
        </is>
      </c>
      <c r="I1684" s="16" t="inlineStr">
        <is>
          <t>CORREGIBLE</t>
        </is>
      </c>
      <c r="J1684" s="16" t="inlineStr">
        <is>
          <t>CORREGIBLE</t>
        </is>
      </c>
      <c r="K1684" s="16" t="b">
        <v>1</v>
      </c>
      <c r="L1684" s="16" t="b">
        <v>0</v>
      </c>
      <c r="M1684" s="16" t="b">
        <v>1</v>
      </c>
      <c r="N1684" s="16" t="b">
        <v>0</v>
      </c>
      <c r="O1684" s="16" t="n">
        <v>475.3853402585461</v>
      </c>
      <c r="P1684" s="16" t="n">
        <v>295.7295162755792</v>
      </c>
      <c r="Q1684" s="16" t="n">
        <v>3916.570364123456</v>
      </c>
      <c r="R1684" s="16" t="n">
        <v>1766.927029301462</v>
      </c>
      <c r="S1684" s="16" t="n">
        <v>0.5369096601674219</v>
      </c>
      <c r="T1684" s="16" t="n">
        <v>0.8631349768997225</v>
      </c>
      <c r="U1684" s="16" t="n">
        <v>0.7120817441674864</v>
      </c>
      <c r="V1684" s="16" t="n">
        <v>0.8555170960041451</v>
      </c>
      <c r="W1684" s="16" t="n">
        <v>0.8030679909656422</v>
      </c>
      <c r="X1684" s="16" t="n">
        <v>0.7836488438259511</v>
      </c>
      <c r="Y1684" s="16" t="n">
        <v>295.7295162755792</v>
      </c>
      <c r="Z1684" s="16" t="n">
        <v>6.45744078579099</v>
      </c>
      <c r="AA1684" s="16" t="n">
        <v>89.12845350065321</v>
      </c>
      <c r="AB1684" s="16" t="n">
        <v>2149.643334821993</v>
      </c>
      <c r="AC1684" s="16" t="n">
        <v>2.216599949615256</v>
      </c>
      <c r="AD1684" s="16" t="inlineStr">
        <is>
          <t>O2</t>
        </is>
      </c>
      <c r="AE1684" s="16" t="n"/>
    </row>
    <row r="1685">
      <c r="A1685" s="16" t="inlineStr">
        <is>
          <t>KF-M04c-0113</t>
        </is>
      </c>
      <c r="B1685" s="16" t="inlineStr">
        <is>
          <t>3.3</t>
        </is>
      </c>
      <c r="C1685" s="16" t="inlineStr">
        <is>
          <t>3.3</t>
        </is>
      </c>
      <c r="D1685" s="16" t="inlineStr">
        <is>
          <t>P_baja de 1500 a 2500 kPa</t>
        </is>
      </c>
      <c r="E1685" s="16" t="inlineStr">
        <is>
          <t>KF-M04c</t>
        </is>
      </c>
      <c r="F1685" s="16" t="inlineStr">
        <is>
          <t>KF-M04c</t>
        </is>
      </c>
      <c r="G1685" s="16" t="inlineStr">
        <is>
          <t>B08</t>
        </is>
      </c>
      <c r="H1685" s="16" t="inlineStr">
        <is>
          <t>lhs</t>
        </is>
      </c>
      <c r="I1685" s="16" t="inlineStr">
        <is>
          <t>KALINA</t>
        </is>
      </c>
      <c r="J1685" s="16" t="inlineStr">
        <is>
          <t>KALINA</t>
        </is>
      </c>
      <c r="K1685" s="16" t="b">
        <v>1</v>
      </c>
      <c r="L1685" s="16" t="b">
        <v>1</v>
      </c>
      <c r="M1685" s="16" t="b">
        <v>0</v>
      </c>
      <c r="N1685" s="16" t="b">
        <v>0</v>
      </c>
      <c r="O1685" s="16" t="n">
        <v>428.4609769894058</v>
      </c>
      <c r="P1685" s="16" t="n">
        <v>298.906664430057</v>
      </c>
      <c r="Q1685" s="16" t="n">
        <v>2637.605553332168</v>
      </c>
      <c r="R1685" s="16" t="n">
        <v>2089.469061034356</v>
      </c>
      <c r="S1685" s="16" t="n">
        <v>0.7247118271831194</v>
      </c>
      <c r="T1685" s="16" t="n">
        <v>0.9166324634101806</v>
      </c>
      <c r="U1685" s="16" t="n">
        <v>0.8751105848389834</v>
      </c>
      <c r="V1685" s="16" t="n">
        <v>0.7544855906488038</v>
      </c>
      <c r="W1685" s="16" t="n">
        <v>0.8375789019793198</v>
      </c>
      <c r="X1685" s="16" t="n">
        <v>0.9442655911748123</v>
      </c>
      <c r="Y1685" s="16" t="n">
        <v>298.906664430057</v>
      </c>
      <c r="Z1685" s="16" t="n">
        <v>2.20815726674136</v>
      </c>
      <c r="AA1685" s="16" t="n">
        <v>23.75764595840117</v>
      </c>
      <c r="AB1685" s="16" t="n">
        <v>548.1364922978123</v>
      </c>
      <c r="AC1685" s="16" t="n">
        <v>1.262332906727256</v>
      </c>
      <c r="AD1685" s="16" t="n"/>
      <c r="AE1685" s="16" t="n"/>
    </row>
    <row r="1686">
      <c r="A1686" s="16" t="inlineStr">
        <is>
          <t>KF-M04c-0114</t>
        </is>
      </c>
      <c r="B1686" s="16" t="inlineStr">
        <is>
          <t>3.3</t>
        </is>
      </c>
      <c r="C1686" s="16" t="inlineStr">
        <is>
          <t>3.3</t>
        </is>
      </c>
      <c r="D1686" s="16" t="inlineStr">
        <is>
          <t>P_baja de 1500 a 2500 kPa</t>
        </is>
      </c>
      <c r="E1686" s="16" t="inlineStr">
        <is>
          <t>KF-M04c</t>
        </is>
      </c>
      <c r="F1686" s="16" t="inlineStr">
        <is>
          <t>KF-M04c</t>
        </is>
      </c>
      <c r="G1686" s="16" t="inlineStr">
        <is>
          <t>B08</t>
        </is>
      </c>
      <c r="H1686" s="16" t="inlineStr">
        <is>
          <t>lhs</t>
        </is>
      </c>
      <c r="I1686" s="16" t="inlineStr">
        <is>
          <t>KALINA</t>
        </is>
      </c>
      <c r="J1686" s="16" t="inlineStr">
        <is>
          <t>KALINA</t>
        </is>
      </c>
      <c r="K1686" s="16" t="b">
        <v>1</v>
      </c>
      <c r="L1686" s="16" t="b">
        <v>0</v>
      </c>
      <c r="M1686" s="16" t="b">
        <v>1</v>
      </c>
      <c r="N1686" s="16" t="b">
        <v>0</v>
      </c>
      <c r="O1686" s="16" t="n">
        <v>439.8443512372285</v>
      </c>
      <c r="P1686" s="16" t="n">
        <v>298.3630328264353</v>
      </c>
      <c r="Q1686" s="16" t="n">
        <v>4599.039060815708</v>
      </c>
      <c r="R1686" s="16" t="n">
        <v>1703.122741457417</v>
      </c>
      <c r="S1686" s="16" t="n">
        <v>0.6564733583304483</v>
      </c>
      <c r="T1686" s="16" t="n">
        <v>0.8333871361986458</v>
      </c>
      <c r="U1686" s="16" t="n">
        <v>0.7771818164938625</v>
      </c>
      <c r="V1686" s="16" t="n">
        <v>0.90481712185567</v>
      </c>
      <c r="W1686" s="16" t="n">
        <v>0.6362626713192144</v>
      </c>
      <c r="X1686" s="16" t="n">
        <v>0.8608933121384432</v>
      </c>
      <c r="Y1686" s="16" t="n">
        <v>298.3630328264353</v>
      </c>
      <c r="Z1686" s="16" t="n">
        <v>7.48111568256559</v>
      </c>
      <c r="AA1686" s="16" t="n">
        <v>69.44418497324278</v>
      </c>
      <c r="AB1686" s="16" t="n">
        <v>2895.916319358291</v>
      </c>
      <c r="AC1686" s="16" t="n">
        <v>2.700356791008593</v>
      </c>
      <c r="AD1686" s="16" t="n"/>
      <c r="AE1686" s="16" t="n"/>
    </row>
    <row r="1687">
      <c r="A1687" s="16" t="inlineStr">
        <is>
          <t>KF-M04c-0115</t>
        </is>
      </c>
      <c r="B1687" s="16" t="inlineStr">
        <is>
          <t>3.3</t>
        </is>
      </c>
      <c r="C1687" s="16" t="inlineStr">
        <is>
          <t>3.3</t>
        </is>
      </c>
      <c r="D1687" s="16" t="inlineStr">
        <is>
          <t>P_baja de 1500 a 2500 kPa</t>
        </is>
      </c>
      <c r="E1687" s="16" t="inlineStr">
        <is>
          <t>KF-M04c</t>
        </is>
      </c>
      <c r="F1687" s="16" t="inlineStr">
        <is>
          <t>KF-M04c</t>
        </is>
      </c>
      <c r="G1687" s="16" t="inlineStr">
        <is>
          <t>B08</t>
        </is>
      </c>
      <c r="H1687" s="16" t="inlineStr">
        <is>
          <t>lhs</t>
        </is>
      </c>
      <c r="I1687" s="16" t="inlineStr">
        <is>
          <t>KALINA</t>
        </is>
      </c>
      <c r="J1687" s="16" t="inlineStr">
        <is>
          <t>KALINA</t>
        </is>
      </c>
      <c r="K1687" s="16" t="b">
        <v>1</v>
      </c>
      <c r="L1687" s="16" t="b">
        <v>1</v>
      </c>
      <c r="M1687" s="16" t="b">
        <v>0</v>
      </c>
      <c r="N1687" s="16" t="b">
        <v>0</v>
      </c>
      <c r="O1687" s="16" t="n">
        <v>389.4726528778281</v>
      </c>
      <c r="P1687" s="16" t="n">
        <v>282.7915908046291</v>
      </c>
      <c r="Q1687" s="16" t="n">
        <v>3688.995046670389</v>
      </c>
      <c r="R1687" s="16" t="n">
        <v>1759.82994292785</v>
      </c>
      <c r="S1687" s="16" t="n">
        <v>0.6806267211034562</v>
      </c>
      <c r="T1687" s="16" t="n">
        <v>0.8028305958321771</v>
      </c>
      <c r="U1687" s="16" t="n">
        <v>0.7672292823057011</v>
      </c>
      <c r="V1687" s="16" t="n">
        <v>0.9296130709004607</v>
      </c>
      <c r="W1687" s="16" t="n">
        <v>0.7875748952435671</v>
      </c>
      <c r="X1687" s="16" t="n">
        <v>0.7238817776688696</v>
      </c>
      <c r="Y1687" s="16" t="n">
        <v>282.7915908046291</v>
      </c>
      <c r="Z1687" s="16" t="n">
        <v>5.10894985846126</v>
      </c>
      <c r="AA1687" s="16" t="n">
        <v>23.15507851786789</v>
      </c>
      <c r="AB1687" s="16" t="n">
        <v>1929.165103742539</v>
      </c>
      <c r="AC1687" s="16" t="n">
        <v>2.096222456888627</v>
      </c>
      <c r="AD1687" s="16" t="n"/>
      <c r="AE1687" s="16" t="n"/>
    </row>
    <row r="1688">
      <c r="A1688" s="16" t="inlineStr">
        <is>
          <t>KF-M04c-0116</t>
        </is>
      </c>
      <c r="B1688" s="16" t="inlineStr">
        <is>
          <t>3.3</t>
        </is>
      </c>
      <c r="C1688" s="16" t="inlineStr">
        <is>
          <t>3.3</t>
        </is>
      </c>
      <c r="D1688" s="16" t="inlineStr">
        <is>
          <t>P_baja de 1500 a 2500 kPa</t>
        </is>
      </c>
      <c r="E1688" s="16" t="inlineStr">
        <is>
          <t>KF-M04c</t>
        </is>
      </c>
      <c r="F1688" s="16" t="inlineStr">
        <is>
          <t>KF-M04c</t>
        </is>
      </c>
      <c r="G1688" s="16" t="inlineStr">
        <is>
          <t>B08</t>
        </is>
      </c>
      <c r="H1688" s="16" t="inlineStr">
        <is>
          <t>lhs</t>
        </is>
      </c>
      <c r="I1688" s="16" t="inlineStr">
        <is>
          <t>KALINA</t>
        </is>
      </c>
      <c r="J1688" s="16" t="inlineStr">
        <is>
          <t>KALINA</t>
        </is>
      </c>
      <c r="K1688" s="16" t="b">
        <v>1</v>
      </c>
      <c r="L1688" s="16" t="b">
        <v>0</v>
      </c>
      <c r="M1688" s="16" t="b">
        <v>1</v>
      </c>
      <c r="N1688" s="16" t="b">
        <v>0</v>
      </c>
      <c r="O1688" s="16" t="n">
        <v>453.8410303888576</v>
      </c>
      <c r="P1688" s="16" t="n">
        <v>295.2867788203537</v>
      </c>
      <c r="Q1688" s="16" t="n">
        <v>4529.324632897753</v>
      </c>
      <c r="R1688" s="16" t="n">
        <v>2427.598344614476</v>
      </c>
      <c r="S1688" s="16" t="n">
        <v>0.51006437704332</v>
      </c>
      <c r="T1688" s="16" t="n">
        <v>0.9049807366179676</v>
      </c>
      <c r="U1688" s="16" t="n">
        <v>0.8150187665403663</v>
      </c>
      <c r="V1688" s="16" t="n">
        <v>0.747092491458637</v>
      </c>
      <c r="W1688" s="16" t="n">
        <v>0.7082500236493749</v>
      </c>
      <c r="X1688" s="16" t="n">
        <v>0.8870302760122257</v>
      </c>
      <c r="Y1688" s="16" t="n">
        <v>295.2867788203537</v>
      </c>
      <c r="Z1688" s="16" t="n">
        <v>3.99630948267868</v>
      </c>
      <c r="AA1688" s="16" t="n">
        <v>26.7749316590564</v>
      </c>
      <c r="AB1688" s="16" t="n">
        <v>2101.726288283277</v>
      </c>
      <c r="AC1688" s="16" t="n">
        <v>1.865763602511044</v>
      </c>
      <c r="AD1688" s="16" t="n"/>
      <c r="AE1688" s="16" t="n"/>
    </row>
    <row r="1689">
      <c r="A1689" s="16" t="inlineStr">
        <is>
          <t>KF-M04c-0117</t>
        </is>
      </c>
      <c r="B1689" s="16" t="inlineStr">
        <is>
          <t>3.3</t>
        </is>
      </c>
      <c r="C1689" s="16" t="inlineStr">
        <is>
          <t>3.3</t>
        </is>
      </c>
      <c r="D1689" s="16" t="inlineStr">
        <is>
          <t>P_baja de 1500 a 2500 kPa</t>
        </is>
      </c>
      <c r="E1689" s="16" t="inlineStr">
        <is>
          <t>KF-M04c</t>
        </is>
      </c>
      <c r="F1689" s="16" t="inlineStr">
        <is>
          <t>KF-M04c</t>
        </is>
      </c>
      <c r="G1689" s="16" t="inlineStr">
        <is>
          <t>B08</t>
        </is>
      </c>
      <c r="H1689" s="16" t="inlineStr">
        <is>
          <t>lhs</t>
        </is>
      </c>
      <c r="I1689" s="16" t="inlineStr">
        <is>
          <t>KALINA</t>
        </is>
      </c>
      <c r="J1689" s="16" t="inlineStr">
        <is>
          <t>KALINA</t>
        </is>
      </c>
      <c r="K1689" s="16" t="b">
        <v>1</v>
      </c>
      <c r="L1689" s="16" t="b">
        <v>0</v>
      </c>
      <c r="M1689" s="16" t="b">
        <v>1</v>
      </c>
      <c r="N1689" s="16" t="b">
        <v>0</v>
      </c>
      <c r="O1689" s="16" t="n">
        <v>469.2433123560377</v>
      </c>
      <c r="P1689" s="16" t="n">
        <v>283.1031650192095</v>
      </c>
      <c r="Q1689" s="16" t="n">
        <v>3378.998306225895</v>
      </c>
      <c r="R1689" s="16" t="n">
        <v>1820.422209452838</v>
      </c>
      <c r="S1689" s="16" t="n">
        <v>0.6647634182347203</v>
      </c>
      <c r="T1689" s="16" t="n">
        <v>0.7788775280504222</v>
      </c>
      <c r="U1689" s="16" t="n">
        <v>0.7177305505306321</v>
      </c>
      <c r="V1689" s="16" t="n">
        <v>0.8498567087842104</v>
      </c>
      <c r="W1689" s="16" t="n">
        <v>0.8420715084766266</v>
      </c>
      <c r="X1689" s="16" t="n">
        <v>0.9124159792347682</v>
      </c>
      <c r="Y1689" s="16" t="n">
        <v>283.1031650192095</v>
      </c>
      <c r="Z1689" s="16" t="n">
        <v>4.42257712145642</v>
      </c>
      <c r="AA1689" s="16" t="n">
        <v>73.57177372297087</v>
      </c>
      <c r="AB1689" s="16" t="n">
        <v>1558.576096773056</v>
      </c>
      <c r="AC1689" s="16" t="n">
        <v>1.856161877546811</v>
      </c>
      <c r="AD1689" s="16" t="n"/>
      <c r="AE1689" s="16" t="n"/>
    </row>
    <row r="1690">
      <c r="A1690" s="16" t="inlineStr">
        <is>
          <t>KF-M04c-0118</t>
        </is>
      </c>
      <c r="B1690" s="16" t="inlineStr">
        <is>
          <t>3.3</t>
        </is>
      </c>
      <c r="C1690" s="16" t="inlineStr">
        <is>
          <t>3.3</t>
        </is>
      </c>
      <c r="D1690" s="16" t="inlineStr">
        <is>
          <t>P_baja de 1500 a 2500 kPa</t>
        </is>
      </c>
      <c r="E1690" s="16" t="inlineStr">
        <is>
          <t>KF-M04c</t>
        </is>
      </c>
      <c r="F1690" s="16" t="inlineStr">
        <is>
          <t>KF-M04c</t>
        </is>
      </c>
      <c r="G1690" s="16" t="inlineStr">
        <is>
          <t>B08</t>
        </is>
      </c>
      <c r="H1690" s="16" t="inlineStr">
        <is>
          <t>lhs</t>
        </is>
      </c>
      <c r="I1690" s="16" t="inlineStr">
        <is>
          <t>CORREGIBLE</t>
        </is>
      </c>
      <c r="J1690" s="16" t="inlineStr">
        <is>
          <t>CORREGIBLE</t>
        </is>
      </c>
      <c r="K1690" s="16" t="b">
        <v>1</v>
      </c>
      <c r="L1690" s="16" t="b">
        <v>0</v>
      </c>
      <c r="M1690" s="16" t="b">
        <v>0</v>
      </c>
      <c r="N1690" s="16" t="b">
        <v>0</v>
      </c>
      <c r="O1690" s="16" t="n">
        <v>437.1011115929256</v>
      </c>
      <c r="P1690" s="16" t="n">
        <v>288.7961165611783</v>
      </c>
      <c r="Q1690" s="16" t="n">
        <v>2504.20600520682</v>
      </c>
      <c r="R1690" s="16" t="n">
        <v>1516.8554419862</v>
      </c>
      <c r="S1690" s="16" t="n">
        <v>0.8105604852945134</v>
      </c>
      <c r="T1690" s="16" t="n">
        <v>0.8745257278501134</v>
      </c>
      <c r="U1690" s="16" t="n">
        <v>0.66671377233572</v>
      </c>
      <c r="V1690" s="16" t="n">
        <v>0.7062809112520162</v>
      </c>
      <c r="W1690" s="16" t="n">
        <v>0.8734778072530341</v>
      </c>
      <c r="X1690" s="16" t="n">
        <v>0.7369397573470813</v>
      </c>
      <c r="Y1690" s="16" t="n">
        <v>288.7961165611783</v>
      </c>
      <c r="Z1690" s="16" t="n">
        <v>4.40464019360984</v>
      </c>
      <c r="AA1690" s="16" t="n">
        <v>45.28198071786425</v>
      </c>
      <c r="AB1690" s="16" t="n">
        <v>987.35056322062</v>
      </c>
      <c r="AC1690" s="16" t="n">
        <v>1.650919353216523</v>
      </c>
      <c r="AD1690" s="16" t="inlineStr">
        <is>
          <t>O2</t>
        </is>
      </c>
      <c r="AE1690" s="16" t="n"/>
    </row>
    <row r="1691">
      <c r="A1691" s="16" t="inlineStr">
        <is>
          <t>KF-M04c-0119</t>
        </is>
      </c>
      <c r="B1691" s="16" t="inlineStr">
        <is>
          <t>3.3</t>
        </is>
      </c>
      <c r="C1691" s="16" t="inlineStr">
        <is>
          <t>3.3</t>
        </is>
      </c>
      <c r="D1691" s="16" t="inlineStr">
        <is>
          <t>P_baja de 1500 a 2500 kPa</t>
        </is>
      </c>
      <c r="E1691" s="16" t="inlineStr">
        <is>
          <t>KF-M04c</t>
        </is>
      </c>
      <c r="F1691" s="16" t="inlineStr">
        <is>
          <t>KF-M04c</t>
        </is>
      </c>
      <c r="G1691" s="16" t="inlineStr">
        <is>
          <t>B08</t>
        </is>
      </c>
      <c r="H1691" s="16" t="inlineStr">
        <is>
          <t>lhs</t>
        </is>
      </c>
      <c r="I1691" s="16" t="inlineStr">
        <is>
          <t>KALINA</t>
        </is>
      </c>
      <c r="J1691" s="16" t="inlineStr">
        <is>
          <t>KALINA</t>
        </is>
      </c>
      <c r="K1691" s="16" t="b">
        <v>1</v>
      </c>
      <c r="L1691" s="16" t="b">
        <v>0</v>
      </c>
      <c r="M1691" s="16" t="b">
        <v>1</v>
      </c>
      <c r="N1691" s="16" t="b">
        <v>0</v>
      </c>
      <c r="O1691" s="16" t="n">
        <v>488.9950457035968</v>
      </c>
      <c r="P1691" s="16" t="n">
        <v>296.7996689392726</v>
      </c>
      <c r="Q1691" s="16" t="n">
        <v>4788.9458567562</v>
      </c>
      <c r="R1691" s="16" t="n">
        <v>2085.816368103596</v>
      </c>
      <c r="S1691" s="16" t="n">
        <v>0.778912235138172</v>
      </c>
      <c r="T1691" s="16" t="n">
        <v>0.8499813868207011</v>
      </c>
      <c r="U1691" s="16" t="n">
        <v>0.7010299996880803</v>
      </c>
      <c r="V1691" s="16" t="n">
        <v>0.6440507378657105</v>
      </c>
      <c r="W1691" s="16" t="n">
        <v>0.7596117078785425</v>
      </c>
      <c r="X1691" s="16" t="n">
        <v>0.8924571036715316</v>
      </c>
      <c r="Y1691" s="16" t="n">
        <v>296.7996689392726</v>
      </c>
      <c r="Z1691" s="16" t="n">
        <v>7.180127207042419</v>
      </c>
      <c r="AA1691" s="16" t="n">
        <v>80.19282864294613</v>
      </c>
      <c r="AB1691" s="16" t="n">
        <v>2703.129488652604</v>
      </c>
      <c r="AC1691" s="16" t="n">
        <v>2.295957558867113</v>
      </c>
      <c r="AD1691" s="16" t="n"/>
      <c r="AE1691" s="16" t="n"/>
    </row>
    <row r="1692">
      <c r="A1692" s="16" t="inlineStr">
        <is>
          <t>KF-M04c-0120</t>
        </is>
      </c>
      <c r="B1692" s="16" t="inlineStr">
        <is>
          <t>3.3</t>
        </is>
      </c>
      <c r="C1692" s="16" t="inlineStr">
        <is>
          <t>3.3</t>
        </is>
      </c>
      <c r="D1692" s="16" t="inlineStr">
        <is>
          <t>P_baja de 1500 a 2500 kPa</t>
        </is>
      </c>
      <c r="E1692" s="16" t="inlineStr">
        <is>
          <t>KF-M04c</t>
        </is>
      </c>
      <c r="F1692" s="16" t="inlineStr">
        <is>
          <t>KF-M04c</t>
        </is>
      </c>
      <c r="G1692" s="16" t="inlineStr">
        <is>
          <t>B08</t>
        </is>
      </c>
      <c r="H1692" s="16" t="inlineStr">
        <is>
          <t>lhs</t>
        </is>
      </c>
      <c r="I1692" s="16" t="inlineStr">
        <is>
          <t>INVIABLE</t>
        </is>
      </c>
      <c r="J1692" s="16" t="inlineStr">
        <is>
          <t>INVIABLE</t>
        </is>
      </c>
      <c r="K1692" s="16" t="b">
        <v>1</v>
      </c>
      <c r="L1692" s="16" t="b">
        <v>0</v>
      </c>
      <c r="M1692" s="16" t="b">
        <v>0</v>
      </c>
      <c r="N1692" s="16" t="b">
        <v>0</v>
      </c>
      <c r="O1692" s="16" t="n">
        <v>393.9079519275077</v>
      </c>
      <c r="P1692" s="16" t="n">
        <v>282.667280839492</v>
      </c>
      <c r="Q1692" s="16" t="n">
        <v>3457.281165262054</v>
      </c>
      <c r="R1692" s="16" t="n">
        <v>1674.804937669859</v>
      </c>
      <c r="S1692" s="16" t="n">
        <v>0.5084501152834879</v>
      </c>
      <c r="T1692" s="16" t="n">
        <v>0.8433982428794251</v>
      </c>
      <c r="U1692" s="16" t="n">
        <v>0.6525443973962468</v>
      </c>
      <c r="V1692" s="16" t="n">
        <v>0.8300109120630061</v>
      </c>
      <c r="W1692" s="16" t="n">
        <v>0.7358854221522789</v>
      </c>
      <c r="X1692" s="16" t="n">
        <v>0.7447470363668912</v>
      </c>
      <c r="Y1692" s="16" t="n">
        <v>282.667280839492</v>
      </c>
      <c r="Z1692" s="16" t="n">
        <v>-2.01476039779747</v>
      </c>
      <c r="AA1692" s="16" t="n">
        <v>-2.727004776922462</v>
      </c>
      <c r="AB1692" s="16" t="n">
        <v>1782.476227592195</v>
      </c>
      <c r="AC1692" s="16" t="n">
        <v>2.064288853884165</v>
      </c>
      <c r="AD1692" s="16" t="inlineStr">
        <is>
          <t>O3</t>
        </is>
      </c>
      <c r="AE1692" s="16" t="n"/>
    </row>
    <row r="1693">
      <c r="A1693" s="16" t="inlineStr">
        <is>
          <t>KF-M04c-0121</t>
        </is>
      </c>
      <c r="B1693" s="16" t="inlineStr">
        <is>
          <t>3.3</t>
        </is>
      </c>
      <c r="C1693" s="16" t="inlineStr">
        <is>
          <t>3.3</t>
        </is>
      </c>
      <c r="D1693" s="16" t="inlineStr">
        <is>
          <t>P_baja de 1500 a 2500 kPa</t>
        </is>
      </c>
      <c r="E1693" s="16" t="inlineStr">
        <is>
          <t>KF-M04c</t>
        </is>
      </c>
      <c r="F1693" s="16" t="inlineStr">
        <is>
          <t>KF-M04c</t>
        </is>
      </c>
      <c r="G1693" s="16" t="inlineStr">
        <is>
          <t>B08</t>
        </is>
      </c>
      <c r="H1693" s="16" t="inlineStr">
        <is>
          <t>lhs</t>
        </is>
      </c>
      <c r="I1693" s="16" t="inlineStr">
        <is>
          <t>KALINA</t>
        </is>
      </c>
      <c r="J1693" s="16" t="inlineStr">
        <is>
          <t>KALINA</t>
        </is>
      </c>
      <c r="K1693" s="16" t="b">
        <v>1</v>
      </c>
      <c r="L1693" s="16" t="b">
        <v>1</v>
      </c>
      <c r="M1693" s="16" t="b">
        <v>0</v>
      </c>
      <c r="N1693" s="16" t="b">
        <v>0</v>
      </c>
      <c r="O1693" s="16" t="n">
        <v>384.0225726716305</v>
      </c>
      <c r="P1693" s="16" t="n">
        <v>291.5158775534903</v>
      </c>
      <c r="Q1693" s="16" t="n">
        <v>3175.598436877513</v>
      </c>
      <c r="R1693" s="16" t="n">
        <v>2207.541902417778</v>
      </c>
      <c r="S1693" s="16" t="n">
        <v>0.6067173788011608</v>
      </c>
      <c r="T1693" s="16" t="n">
        <v>0.7707265349688178</v>
      </c>
      <c r="U1693" s="16" t="n">
        <v>0.77967471991688</v>
      </c>
      <c r="V1693" s="16" t="n">
        <v>0.8166331180082168</v>
      </c>
      <c r="W1693" s="16" t="n">
        <v>0.658274167476795</v>
      </c>
      <c r="X1693" s="16" t="n">
        <v>0.9076542537762076</v>
      </c>
      <c r="Y1693" s="16" t="n">
        <v>291.5158775534903</v>
      </c>
      <c r="Z1693" s="16" t="n">
        <v>1.31659338744653</v>
      </c>
      <c r="AA1693" s="16" t="n">
        <v>4.132516669573511</v>
      </c>
      <c r="AB1693" s="16" t="n">
        <v>968.0565344597348</v>
      </c>
      <c r="AC1693" s="16" t="n">
        <v>1.438522382474138</v>
      </c>
      <c r="AD1693" s="16" t="n"/>
      <c r="AE1693" s="16" t="n"/>
    </row>
    <row r="1694">
      <c r="A1694" s="16" t="inlineStr">
        <is>
          <t>KF-M04c-0122</t>
        </is>
      </c>
      <c r="B1694" s="16" t="inlineStr">
        <is>
          <t>3.3</t>
        </is>
      </c>
      <c r="C1694" s="16" t="inlineStr">
        <is>
          <t>3.3</t>
        </is>
      </c>
      <c r="D1694" s="16" t="inlineStr">
        <is>
          <t>P_baja de 1500 a 2500 kPa</t>
        </is>
      </c>
      <c r="E1694" s="16" t="inlineStr">
        <is>
          <t>KF-M04c</t>
        </is>
      </c>
      <c r="F1694" s="16" t="inlineStr">
        <is>
          <t>KF-M04c</t>
        </is>
      </c>
      <c r="G1694" s="16" t="inlineStr">
        <is>
          <t>B08</t>
        </is>
      </c>
      <c r="H1694" s="16" t="inlineStr">
        <is>
          <t>lhs</t>
        </is>
      </c>
      <c r="I1694" s="16" t="inlineStr">
        <is>
          <t>NO_CONVERGIO</t>
        </is>
      </c>
      <c r="J1694" s="16" t="inlineStr">
        <is>
          <t>NO_CONVERGIO</t>
        </is>
      </c>
      <c r="K1694" s="16" t="b">
        <v>0</v>
      </c>
      <c r="L1694" s="16" t="b">
        <v>0</v>
      </c>
      <c r="M1694" s="16" t="b">
        <v>0</v>
      </c>
      <c r="N1694" s="16" t="b">
        <v>0</v>
      </c>
      <c r="O1694" s="16" t="n">
        <v>438.8609413995403</v>
      </c>
      <c r="P1694" s="16" t="n">
        <v>300.9173659070056</v>
      </c>
      <c r="Q1694" s="16" t="n">
        <v>3672.822823413653</v>
      </c>
      <c r="R1694" s="16" t="n">
        <v>2223.27228947055</v>
      </c>
      <c r="S1694" s="16" t="n">
        <v>0.8187281833155606</v>
      </c>
      <c r="T1694" s="16" t="n">
        <v>0.9106027811074182</v>
      </c>
      <c r="U1694" s="16" t="n">
        <v>0.8034799639286001</v>
      </c>
      <c r="V1694" s="16" t="n">
        <v>0.8384926554507581</v>
      </c>
      <c r="W1694" s="16" t="n">
        <v>0.639470389243202</v>
      </c>
      <c r="X1694" s="16" t="n">
        <v>0.7569703732973773</v>
      </c>
      <c r="Y1694" s="16" t="n">
        <v>300.9173659070056</v>
      </c>
      <c r="Z1694" s="16" t="n"/>
      <c r="AA1694" s="16" t="n"/>
      <c r="AB1694" s="16" t="n">
        <v>1449.550533943103</v>
      </c>
      <c r="AC1694" s="16" t="n">
        <v>1.651989655431858</v>
      </c>
      <c r="AD1694" s="16" t="n"/>
      <c r="AE1694" s="16" t="n"/>
    </row>
    <row r="1695">
      <c r="A1695" s="16" t="inlineStr">
        <is>
          <t>KF-M04c-0123</t>
        </is>
      </c>
      <c r="B1695" s="16" t="inlineStr">
        <is>
          <t>3.3</t>
        </is>
      </c>
      <c r="C1695" s="16" t="inlineStr">
        <is>
          <t>3.3</t>
        </is>
      </c>
      <c r="D1695" s="16" t="inlineStr">
        <is>
          <t>P_baja de 1500 a 2500 kPa</t>
        </is>
      </c>
      <c r="E1695" s="16" t="inlineStr">
        <is>
          <t>KF-M04c</t>
        </is>
      </c>
      <c r="F1695" s="16" t="inlineStr">
        <is>
          <t>KF-M04c</t>
        </is>
      </c>
      <c r="G1695" s="16" t="inlineStr">
        <is>
          <t>B08</t>
        </is>
      </c>
      <c r="H1695" s="16" t="inlineStr">
        <is>
          <t>lhs</t>
        </is>
      </c>
      <c r="I1695" s="16" t="inlineStr">
        <is>
          <t>CORREGIBLE</t>
        </is>
      </c>
      <c r="J1695" s="16" t="inlineStr">
        <is>
          <t>CORREGIBLE</t>
        </is>
      </c>
      <c r="K1695" s="16" t="b">
        <v>1</v>
      </c>
      <c r="L1695" s="16" t="b">
        <v>0</v>
      </c>
      <c r="M1695" s="16" t="b">
        <v>0</v>
      </c>
      <c r="N1695" s="16" t="b">
        <v>0</v>
      </c>
      <c r="O1695" s="16" t="n">
        <v>415.0911247694747</v>
      </c>
      <c r="P1695" s="16" t="n">
        <v>296.2533166143571</v>
      </c>
      <c r="Q1695" s="16" t="n">
        <v>3329.752968968047</v>
      </c>
      <c r="R1695" s="16" t="n">
        <v>1799.262434793567</v>
      </c>
      <c r="S1695" s="16" t="n">
        <v>0.7541732875852185</v>
      </c>
      <c r="T1695" s="16" t="n">
        <v>0.8450480011396492</v>
      </c>
      <c r="U1695" s="16" t="n">
        <v>0.8277500631645015</v>
      </c>
      <c r="V1695" s="16" t="n">
        <v>0.782378703898617</v>
      </c>
      <c r="W1695" s="16" t="n">
        <v>0.7316561263298952</v>
      </c>
      <c r="X1695" s="16" t="n">
        <v>0.7042608888511813</v>
      </c>
      <c r="Y1695" s="16" t="n">
        <v>296.2533166143571</v>
      </c>
      <c r="Z1695" s="16" t="n">
        <v>5.57262146003156</v>
      </c>
      <c r="AA1695" s="16" t="n">
        <v>41.59316388680558</v>
      </c>
      <c r="AB1695" s="16" t="n">
        <v>1530.49053417448</v>
      </c>
      <c r="AC1695" s="16" t="n">
        <v>1.850621068154561</v>
      </c>
      <c r="AD1695" s="16" t="inlineStr">
        <is>
          <t>O2</t>
        </is>
      </c>
      <c r="AE1695" s="16" t="n"/>
    </row>
    <row r="1696">
      <c r="A1696" s="16" t="inlineStr">
        <is>
          <t>KF-M04c-0124</t>
        </is>
      </c>
      <c r="B1696" s="16" t="inlineStr">
        <is>
          <t>3.3</t>
        </is>
      </c>
      <c r="C1696" s="16" t="inlineStr">
        <is>
          <t>3.3</t>
        </is>
      </c>
      <c r="D1696" s="16" t="inlineStr">
        <is>
          <t>P_baja de 1500 a 2500 kPa</t>
        </is>
      </c>
      <c r="E1696" s="16" t="inlineStr">
        <is>
          <t>KF-M04c</t>
        </is>
      </c>
      <c r="F1696" s="16" t="inlineStr">
        <is>
          <t>KF-M04c</t>
        </is>
      </c>
      <c r="G1696" s="16" t="inlineStr">
        <is>
          <t>B08</t>
        </is>
      </c>
      <c r="H1696" s="16" t="inlineStr">
        <is>
          <t>lhs</t>
        </is>
      </c>
      <c r="I1696" s="16" t="inlineStr">
        <is>
          <t>OMITIDO</t>
        </is>
      </c>
      <c r="J1696" s="16" t="n"/>
      <c r="K1696" s="16" t="b">
        <v>0</v>
      </c>
      <c r="L1696" s="16" t="b">
        <v>0</v>
      </c>
      <c r="M1696" s="16" t="n"/>
      <c r="N1696" s="16" t="b">
        <v>1</v>
      </c>
      <c r="O1696" s="16" t="n">
        <v>404.4682164146448</v>
      </c>
      <c r="P1696" s="16" t="n">
        <v>288.9777503074456</v>
      </c>
      <c r="Q1696" s="16" t="n">
        <v>2556.523884304879</v>
      </c>
      <c r="R1696" s="16" t="n">
        <v>2400.37356810873</v>
      </c>
      <c r="S1696" s="16" t="n">
        <v>0.5294693295892214</v>
      </c>
      <c r="T1696" s="16" t="n">
        <v>0.8758315795240148</v>
      </c>
      <c r="U1696" s="16" t="n">
        <v>0.6810841724006444</v>
      </c>
      <c r="V1696" s="16" t="n">
        <v>0.7571422425349044</v>
      </c>
      <c r="W1696" s="16" t="n">
        <v>0.8525941754116468</v>
      </c>
      <c r="X1696" s="16" t="n">
        <v>0.7178988670610547</v>
      </c>
      <c r="Y1696" s="16" t="n"/>
      <c r="Z1696" s="16" t="n"/>
      <c r="AA1696" s="16" t="n"/>
      <c r="AB1696" s="16" t="n">
        <v>156.1503161961487</v>
      </c>
      <c r="AC1696" s="16" t="n">
        <v>1.065052506106031</v>
      </c>
      <c r="AD1696" s="16" t="n"/>
      <c r="AE1696" s="16" t="n"/>
    </row>
    <row r="1697">
      <c r="A1697" s="16" t="inlineStr">
        <is>
          <t>KF-M04c-0125</t>
        </is>
      </c>
      <c r="B1697" s="16" t="inlineStr">
        <is>
          <t>3.3</t>
        </is>
      </c>
      <c r="C1697" s="16" t="inlineStr">
        <is>
          <t>3.3</t>
        </is>
      </c>
      <c r="D1697" s="16" t="inlineStr">
        <is>
          <t>P_baja de 1500 a 2500 kPa</t>
        </is>
      </c>
      <c r="E1697" s="16" t="inlineStr">
        <is>
          <t>KF-M04c</t>
        </is>
      </c>
      <c r="F1697" s="16" t="inlineStr">
        <is>
          <t>KF-M04c</t>
        </is>
      </c>
      <c r="G1697" s="16" t="inlineStr">
        <is>
          <t>B08</t>
        </is>
      </c>
      <c r="H1697" s="16" t="inlineStr">
        <is>
          <t>lhs</t>
        </is>
      </c>
      <c r="I1697" s="16" t="inlineStr">
        <is>
          <t>OMITIDO</t>
        </is>
      </c>
      <c r="J1697" s="16" t="n"/>
      <c r="K1697" s="16" t="b">
        <v>0</v>
      </c>
      <c r="L1697" s="16" t="b">
        <v>0</v>
      </c>
      <c r="M1697" s="16" t="n"/>
      <c r="N1697" s="16" t="b">
        <v>1</v>
      </c>
      <c r="O1697" s="16" t="n">
        <v>435.0544093821276</v>
      </c>
      <c r="P1697" s="16" t="n">
        <v>299.4154426510921</v>
      </c>
      <c r="Q1697" s="16" t="n">
        <v>2157.380822465776</v>
      </c>
      <c r="R1697" s="16" t="n">
        <v>2246.199200484186</v>
      </c>
      <c r="S1697" s="16" t="n">
        <v>0.5228894746883748</v>
      </c>
      <c r="T1697" s="16" t="n">
        <v>0.8479224972931607</v>
      </c>
      <c r="U1697" s="16" t="n">
        <v>0.745829856791721</v>
      </c>
      <c r="V1697" s="16" t="n">
        <v>0.8731410778382325</v>
      </c>
      <c r="W1697" s="16" t="n">
        <v>0.8285401986666243</v>
      </c>
      <c r="X1697" s="16" t="n">
        <v>0.7760527878707346</v>
      </c>
      <c r="Y1697" s="16" t="n"/>
      <c r="Z1697" s="16" t="n"/>
      <c r="AA1697" s="16" t="n"/>
      <c r="AB1697" s="16" t="n">
        <v>-88.81837801841039</v>
      </c>
      <c r="AC1697" s="16" t="n">
        <v>0.9604583698546126</v>
      </c>
      <c r="AD1697" s="16" t="n"/>
      <c r="AE1697" s="16" t="n"/>
    </row>
    <row r="1698">
      <c r="A1698" s="16" t="inlineStr">
        <is>
          <t>KF-M04c-0126</t>
        </is>
      </c>
      <c r="B1698" s="16" t="inlineStr">
        <is>
          <t>3.3</t>
        </is>
      </c>
      <c r="C1698" s="16" t="inlineStr">
        <is>
          <t>3.3</t>
        </is>
      </c>
      <c r="D1698" s="16" t="inlineStr">
        <is>
          <t>P_baja de 1500 a 2500 kPa</t>
        </is>
      </c>
      <c r="E1698" s="16" t="inlineStr">
        <is>
          <t>KF-M04c</t>
        </is>
      </c>
      <c r="F1698" s="16" t="inlineStr">
        <is>
          <t>KF-M04c</t>
        </is>
      </c>
      <c r="G1698" s="16" t="inlineStr">
        <is>
          <t>B08</t>
        </is>
      </c>
      <c r="H1698" s="16" t="inlineStr">
        <is>
          <t>lhs</t>
        </is>
      </c>
      <c r="I1698" s="16" t="inlineStr">
        <is>
          <t>KALINA</t>
        </is>
      </c>
      <c r="J1698" s="16" t="inlineStr">
        <is>
          <t>KALINA</t>
        </is>
      </c>
      <c r="K1698" s="16" t="b">
        <v>1</v>
      </c>
      <c r="L1698" s="16" t="b">
        <v>1</v>
      </c>
      <c r="M1698" s="16" t="b">
        <v>0</v>
      </c>
      <c r="N1698" s="16" t="b">
        <v>0</v>
      </c>
      <c r="O1698" s="16" t="n">
        <v>433.9152470168509</v>
      </c>
      <c r="P1698" s="16" t="n">
        <v>303.2260652882305</v>
      </c>
      <c r="Q1698" s="16" t="n">
        <v>3976.145295895554</v>
      </c>
      <c r="R1698" s="16" t="n">
        <v>1935.407812669293</v>
      </c>
      <c r="S1698" s="16" t="n">
        <v>0.8079021923220993</v>
      </c>
      <c r="T1698" s="16" t="n">
        <v>0.887219501735528</v>
      </c>
      <c r="U1698" s="16" t="n">
        <v>0.895846386449431</v>
      </c>
      <c r="V1698" s="16" t="n">
        <v>0.634183269462758</v>
      </c>
      <c r="W1698" s="16" t="n">
        <v>0.6129781325624893</v>
      </c>
      <c r="X1698" s="16" t="n">
        <v>0.8933941276829482</v>
      </c>
      <c r="Y1698" s="16" t="n">
        <v>303.2260652882305</v>
      </c>
      <c r="Z1698" s="16" t="n">
        <v>6.706944867220151</v>
      </c>
      <c r="AA1698" s="16" t="n">
        <v>58.53490563791406</v>
      </c>
      <c r="AB1698" s="16" t="n">
        <v>2040.737483226261</v>
      </c>
      <c r="AC1698" s="16" t="n">
        <v>2.054422468415945</v>
      </c>
      <c r="AD1698" s="16" t="n"/>
      <c r="AE1698" s="16" t="n"/>
    </row>
    <row r="1699">
      <c r="A1699" s="16" t="inlineStr">
        <is>
          <t>KF-M04c-0127</t>
        </is>
      </c>
      <c r="B1699" s="16" t="inlineStr">
        <is>
          <t>3.3</t>
        </is>
      </c>
      <c r="C1699" s="16" t="inlineStr">
        <is>
          <t>3.3</t>
        </is>
      </c>
      <c r="D1699" s="16" t="inlineStr">
        <is>
          <t>P_baja de 1500 a 2500 kPa</t>
        </is>
      </c>
      <c r="E1699" s="16" t="inlineStr">
        <is>
          <t>KF-M04c</t>
        </is>
      </c>
      <c r="F1699" s="16" t="inlineStr">
        <is>
          <t>KF-M04c</t>
        </is>
      </c>
      <c r="G1699" s="16" t="inlineStr">
        <is>
          <t>B08</t>
        </is>
      </c>
      <c r="H1699" s="16" t="inlineStr">
        <is>
          <t>lhs</t>
        </is>
      </c>
      <c r="I1699" s="16" t="inlineStr">
        <is>
          <t>OMITIDO</t>
        </is>
      </c>
      <c r="J1699" s="16" t="n"/>
      <c r="K1699" s="16" t="b">
        <v>0</v>
      </c>
      <c r="L1699" s="16" t="b">
        <v>0</v>
      </c>
      <c r="M1699" s="16" t="n"/>
      <c r="N1699" s="16" t="b">
        <v>1</v>
      </c>
      <c r="O1699" s="16" t="n">
        <v>459.0945485427772</v>
      </c>
      <c r="P1699" s="16" t="n">
        <v>297.3152497540017</v>
      </c>
      <c r="Q1699" s="16" t="n">
        <v>2299.383980074163</v>
      </c>
      <c r="R1699" s="16" t="n">
        <v>2306.531387726581</v>
      </c>
      <c r="S1699" s="16" t="n">
        <v>0.7969053220622705</v>
      </c>
      <c r="T1699" s="16" t="n">
        <v>0.7677429140805136</v>
      </c>
      <c r="U1699" s="16" t="n">
        <v>0.8589181234232494</v>
      </c>
      <c r="V1699" s="16" t="n">
        <v>0.6506114125053295</v>
      </c>
      <c r="W1699" s="16" t="n">
        <v>0.6688751827073809</v>
      </c>
      <c r="X1699" s="16" t="n">
        <v>0.7127045420760193</v>
      </c>
      <c r="Y1699" s="16" t="n"/>
      <c r="Z1699" s="16" t="n"/>
      <c r="AA1699" s="16" t="n"/>
      <c r="AB1699" s="16" t="n">
        <v>-7.147407652417769</v>
      </c>
      <c r="AC1699" s="16" t="n">
        <v>0.9969012311341392</v>
      </c>
      <c r="AD1699" s="16" t="n"/>
      <c r="AE1699" s="16" t="n"/>
    </row>
    <row r="1700">
      <c r="A1700" s="16" t="inlineStr">
        <is>
          <t>KF-M04c-0128</t>
        </is>
      </c>
      <c r="B1700" s="16" t="inlineStr">
        <is>
          <t>3.3</t>
        </is>
      </c>
      <c r="C1700" s="16" t="inlineStr">
        <is>
          <t>3.3</t>
        </is>
      </c>
      <c r="D1700" s="16" t="inlineStr">
        <is>
          <t>P_baja de 1500 a 2500 kPa</t>
        </is>
      </c>
      <c r="E1700" s="16" t="inlineStr">
        <is>
          <t>KF-M04c</t>
        </is>
      </c>
      <c r="F1700" s="16" t="inlineStr">
        <is>
          <t>KF-M04c</t>
        </is>
      </c>
      <c r="G1700" s="16" t="inlineStr">
        <is>
          <t>B08</t>
        </is>
      </c>
      <c r="H1700" s="16" t="inlineStr">
        <is>
          <t>lhs</t>
        </is>
      </c>
      <c r="I1700" s="16" t="inlineStr">
        <is>
          <t>KALINA</t>
        </is>
      </c>
      <c r="J1700" s="16" t="inlineStr">
        <is>
          <t>KALINA</t>
        </is>
      </c>
      <c r="K1700" s="16" t="b">
        <v>1</v>
      </c>
      <c r="L1700" s="16" t="b">
        <v>1</v>
      </c>
      <c r="M1700" s="16" t="b">
        <v>0</v>
      </c>
      <c r="N1700" s="16" t="b">
        <v>0</v>
      </c>
      <c r="O1700" s="16" t="n">
        <v>403.6131479594</v>
      </c>
      <c r="P1700" s="16" t="n">
        <v>291.2374336278435</v>
      </c>
      <c r="Q1700" s="16" t="n">
        <v>3867.423066026832</v>
      </c>
      <c r="R1700" s="16" t="n">
        <v>2349.987270399293</v>
      </c>
      <c r="S1700" s="16" t="n">
        <v>0.6904316377872028</v>
      </c>
      <c r="T1700" s="16" t="n">
        <v>0.89557994534403</v>
      </c>
      <c r="U1700" s="16" t="n">
        <v>0.757845891112496</v>
      </c>
      <c r="V1700" s="16" t="n">
        <v>0.9076440950726704</v>
      </c>
      <c r="W1700" s="16" t="n">
        <v>0.7557503527319842</v>
      </c>
      <c r="X1700" s="16" t="n">
        <v>0.8420662714315321</v>
      </c>
      <c r="Y1700" s="16" t="n">
        <v>291.2374336278435</v>
      </c>
      <c r="Z1700" s="16" t="n">
        <v>4.08510323277454</v>
      </c>
      <c r="AA1700" s="16" t="n">
        <v>25.99765151240421</v>
      </c>
      <c r="AB1700" s="16" t="n">
        <v>1517.435795627539</v>
      </c>
      <c r="AC1700" s="16" t="n">
        <v>1.645720857615414</v>
      </c>
      <c r="AD1700" s="16" t="n"/>
      <c r="AE1700" s="16" t="n"/>
    </row>
    <row r="1701">
      <c r="A1701" s="16" t="inlineStr">
        <is>
          <t>KF-M04c-0129</t>
        </is>
      </c>
      <c r="B1701" s="16" t="inlineStr">
        <is>
          <t>3.3</t>
        </is>
      </c>
      <c r="C1701" s="16" t="inlineStr">
        <is>
          <t>3.3</t>
        </is>
      </c>
      <c r="D1701" s="16" t="inlineStr">
        <is>
          <t>P_baja de 1500 a 2500 kPa</t>
        </is>
      </c>
      <c r="E1701" s="16" t="inlineStr">
        <is>
          <t>KF-M04c</t>
        </is>
      </c>
      <c r="F1701" s="16" t="inlineStr">
        <is>
          <t>KF-M04c</t>
        </is>
      </c>
      <c r="G1701" s="16" t="inlineStr">
        <is>
          <t>B08</t>
        </is>
      </c>
      <c r="H1701" s="16" t="inlineStr">
        <is>
          <t>lhs</t>
        </is>
      </c>
      <c r="I1701" s="16" t="inlineStr">
        <is>
          <t>CORREGIBLE</t>
        </is>
      </c>
      <c r="J1701" s="16" t="inlineStr">
        <is>
          <t>CORREGIBLE</t>
        </is>
      </c>
      <c r="K1701" s="16" t="b">
        <v>1</v>
      </c>
      <c r="L1701" s="16" t="b">
        <v>0</v>
      </c>
      <c r="M1701" s="16" t="b">
        <v>0</v>
      </c>
      <c r="N1701" s="16" t="b">
        <v>0</v>
      </c>
      <c r="O1701" s="16" t="n">
        <v>421.8120929120335</v>
      </c>
      <c r="P1701" s="16" t="n">
        <v>293.2921369504153</v>
      </c>
      <c r="Q1701" s="16" t="n">
        <v>4325.819814711333</v>
      </c>
      <c r="R1701" s="16" t="n">
        <v>1534.076609265747</v>
      </c>
      <c r="S1701" s="16" t="n">
        <v>0.7486066594067458</v>
      </c>
      <c r="T1701" s="16" t="n">
        <v>0.8949057260220173</v>
      </c>
      <c r="U1701" s="16" t="n">
        <v>0.6620773525969714</v>
      </c>
      <c r="V1701" s="16" t="n">
        <v>0.7201439895149712</v>
      </c>
      <c r="W1701" s="16" t="n">
        <v>0.6177664466190447</v>
      </c>
      <c r="X1701" s="16" t="n">
        <v>0.7068008391938175</v>
      </c>
      <c r="Y1701" s="16" t="n">
        <v>293.2921369504153</v>
      </c>
      <c r="Z1701" s="16" t="n">
        <v>9.07185415066837</v>
      </c>
      <c r="AA1701" s="16" t="n">
        <v>61.10708127984786</v>
      </c>
      <c r="AB1701" s="16" t="n">
        <v>2791.743205445586</v>
      </c>
      <c r="AC1701" s="16" t="n">
        <v>2.819819941575014</v>
      </c>
      <c r="AD1701" s="16" t="inlineStr">
        <is>
          <t>O2</t>
        </is>
      </c>
      <c r="AE1701" s="16" t="n"/>
    </row>
    <row r="1702">
      <c r="A1702" s="16" t="inlineStr">
        <is>
          <t>KF-M04c-0130</t>
        </is>
      </c>
      <c r="B1702" s="16" t="inlineStr">
        <is>
          <t>3.3</t>
        </is>
      </c>
      <c r="C1702" s="16" t="inlineStr">
        <is>
          <t>3.3</t>
        </is>
      </c>
      <c r="D1702" s="16" t="inlineStr">
        <is>
          <t>P_baja de 1500 a 2500 kPa</t>
        </is>
      </c>
      <c r="E1702" s="16" t="inlineStr">
        <is>
          <t>KF-M04c</t>
        </is>
      </c>
      <c r="F1702" s="16" t="inlineStr">
        <is>
          <t>KF-M04c</t>
        </is>
      </c>
      <c r="G1702" s="16" t="inlineStr">
        <is>
          <t>B08</t>
        </is>
      </c>
      <c r="H1702" s="16" t="inlineStr">
        <is>
          <t>lhs</t>
        </is>
      </c>
      <c r="I1702" s="16" t="inlineStr">
        <is>
          <t>CORREGIBLE</t>
        </is>
      </c>
      <c r="J1702" s="16" t="inlineStr">
        <is>
          <t>CORREGIBLE</t>
        </is>
      </c>
      <c r="K1702" s="16" t="b">
        <v>1</v>
      </c>
      <c r="L1702" s="16" t="b">
        <v>0</v>
      </c>
      <c r="M1702" s="16" t="b">
        <v>0</v>
      </c>
      <c r="N1702" s="16" t="b">
        <v>0</v>
      </c>
      <c r="O1702" s="16" t="n">
        <v>422.4594093235967</v>
      </c>
      <c r="P1702" s="16" t="n">
        <v>294.5353531892615</v>
      </c>
      <c r="Q1702" s="16" t="n">
        <v>3505.922650777025</v>
      </c>
      <c r="R1702" s="16" t="n">
        <v>1840.006688205012</v>
      </c>
      <c r="S1702" s="16" t="n">
        <v>0.6342186682035923</v>
      </c>
      <c r="T1702" s="16" t="n">
        <v>0.8923399806670211</v>
      </c>
      <c r="U1702" s="16" t="n">
        <v>0.7208112598916054</v>
      </c>
      <c r="V1702" s="16" t="n">
        <v>0.8911328425104372</v>
      </c>
      <c r="W1702" s="16" t="n">
        <v>0.7405163979914871</v>
      </c>
      <c r="X1702" s="16" t="n">
        <v>0.7260790362328985</v>
      </c>
      <c r="Y1702" s="16" t="n">
        <v>294.5353531892615</v>
      </c>
      <c r="Z1702" s="16" t="n">
        <v>5.84714611564382</v>
      </c>
      <c r="AA1702" s="16" t="n">
        <v>41.82371690633819</v>
      </c>
      <c r="AB1702" s="16" t="n">
        <v>1665.915962572013</v>
      </c>
      <c r="AC1702" s="16" t="n">
        <v>1.905385819111978</v>
      </c>
      <c r="AD1702" s="16" t="inlineStr">
        <is>
          <t>O2</t>
        </is>
      </c>
      <c r="AE1702" s="16" t="n"/>
    </row>
    <row r="1703">
      <c r="A1703" s="16" t="inlineStr">
        <is>
          <t>KF-M04c-0131</t>
        </is>
      </c>
      <c r="B1703" s="16" t="inlineStr">
        <is>
          <t>3.3</t>
        </is>
      </c>
      <c r="C1703" s="16" t="inlineStr">
        <is>
          <t>3.3</t>
        </is>
      </c>
      <c r="D1703" s="16" t="inlineStr">
        <is>
          <t>P_baja de 1500 a 2500 kPa</t>
        </is>
      </c>
      <c r="E1703" s="16" t="inlineStr">
        <is>
          <t>KF-M04c</t>
        </is>
      </c>
      <c r="F1703" s="16" t="inlineStr">
        <is>
          <t>KF-M04c</t>
        </is>
      </c>
      <c r="G1703" s="16" t="inlineStr">
        <is>
          <t>B08</t>
        </is>
      </c>
      <c r="H1703" s="16" t="inlineStr">
        <is>
          <t>lhs</t>
        </is>
      </c>
      <c r="I1703" s="16" t="inlineStr">
        <is>
          <t>KALINA</t>
        </is>
      </c>
      <c r="J1703" s="16" t="inlineStr">
        <is>
          <t>KALINA</t>
        </is>
      </c>
      <c r="K1703" s="16" t="b">
        <v>1</v>
      </c>
      <c r="L1703" s="16" t="b">
        <v>0</v>
      </c>
      <c r="M1703" s="16" t="b">
        <v>1</v>
      </c>
      <c r="N1703" s="16" t="b">
        <v>0</v>
      </c>
      <c r="O1703" s="16" t="n">
        <v>459.8020257625558</v>
      </c>
      <c r="P1703" s="16" t="n">
        <v>286.5030612471279</v>
      </c>
      <c r="Q1703" s="16" t="n">
        <v>4355.317098515139</v>
      </c>
      <c r="R1703" s="16" t="n">
        <v>2168.554186403195</v>
      </c>
      <c r="S1703" s="16" t="n">
        <v>0.5647478786239646</v>
      </c>
      <c r="T1703" s="16" t="n">
        <v>0.8660655964429551</v>
      </c>
      <c r="U1703" s="16" t="n">
        <v>0.7318655054133566</v>
      </c>
      <c r="V1703" s="16" t="n">
        <v>0.7929273388722294</v>
      </c>
      <c r="W1703" s="16" t="n">
        <v>0.774009485481165</v>
      </c>
      <c r="X1703" s="16" t="n">
        <v>0.7110502232671062</v>
      </c>
      <c r="Y1703" s="16" t="n">
        <v>286.5030612471279</v>
      </c>
      <c r="Z1703" s="16" t="n">
        <v>5.76111936722839</v>
      </c>
      <c r="AA1703" s="16" t="n">
        <v>49.92060157891543</v>
      </c>
      <c r="AB1703" s="16" t="n">
        <v>2186.762912111944</v>
      </c>
      <c r="AC1703" s="16" t="n">
        <v>2.00839671234545</v>
      </c>
      <c r="AD1703" s="16" t="n"/>
      <c r="AE1703" s="16" t="n"/>
    </row>
    <row r="1704">
      <c r="A1704" s="16" t="inlineStr">
        <is>
          <t>KF-M04c-0132</t>
        </is>
      </c>
      <c r="B1704" s="16" t="inlineStr">
        <is>
          <t>3.3</t>
        </is>
      </c>
      <c r="C1704" s="16" t="inlineStr">
        <is>
          <t>3.3</t>
        </is>
      </c>
      <c r="D1704" s="16" t="inlineStr">
        <is>
          <t>P_baja de 1500 a 2500 kPa</t>
        </is>
      </c>
      <c r="E1704" s="16" t="inlineStr">
        <is>
          <t>KF-M04c</t>
        </is>
      </c>
      <c r="F1704" s="16" t="inlineStr">
        <is>
          <t>KF-M04c</t>
        </is>
      </c>
      <c r="G1704" s="16" t="inlineStr">
        <is>
          <t>B08</t>
        </is>
      </c>
      <c r="H1704" s="16" t="inlineStr">
        <is>
          <t>lhs</t>
        </is>
      </c>
      <c r="I1704" s="16" t="inlineStr">
        <is>
          <t>KALINA</t>
        </is>
      </c>
      <c r="J1704" s="16" t="inlineStr">
        <is>
          <t>KALINA</t>
        </is>
      </c>
      <c r="K1704" s="16" t="b">
        <v>1</v>
      </c>
      <c r="L1704" s="16" t="b">
        <v>1</v>
      </c>
      <c r="M1704" s="16" t="b">
        <v>0</v>
      </c>
      <c r="N1704" s="16" t="b">
        <v>0</v>
      </c>
      <c r="O1704" s="16" t="n">
        <v>423.8424372728675</v>
      </c>
      <c r="P1704" s="16" t="n">
        <v>290.8666132778217</v>
      </c>
      <c r="Q1704" s="16" t="n">
        <v>3076.067495852913</v>
      </c>
      <c r="R1704" s="16" t="n">
        <v>2198.693740274208</v>
      </c>
      <c r="S1704" s="16" t="n">
        <v>0.7167438171155638</v>
      </c>
      <c r="T1704" s="16" t="n">
        <v>0.8120952223644051</v>
      </c>
      <c r="U1704" s="16" t="n">
        <v>0.7033153522474741</v>
      </c>
      <c r="V1704" s="16" t="n">
        <v>0.8706347054060017</v>
      </c>
      <c r="W1704" s="16" t="n">
        <v>0.8481840698312422</v>
      </c>
      <c r="X1704" s="16" t="n">
        <v>0.7933775181360545</v>
      </c>
      <c r="Y1704" s="16" t="n">
        <v>290.8666132778217</v>
      </c>
      <c r="Z1704" s="16" t="n">
        <v>3.00765046116402</v>
      </c>
      <c r="AA1704" s="16" t="n">
        <v>28.92654324668135</v>
      </c>
      <c r="AB1704" s="16" t="n">
        <v>877.3737555787047</v>
      </c>
      <c r="AC1704" s="16" t="n">
        <v>1.399043186191672</v>
      </c>
      <c r="AD1704" s="16" t="n"/>
      <c r="AE1704" s="16" t="n"/>
    </row>
    <row r="1705">
      <c r="A1705" s="16" t="inlineStr">
        <is>
          <t>KF-M04c-0133</t>
        </is>
      </c>
      <c r="B1705" s="16" t="inlineStr">
        <is>
          <t>3.3</t>
        </is>
      </c>
      <c r="C1705" s="16" t="inlineStr">
        <is>
          <t>3.3</t>
        </is>
      </c>
      <c r="D1705" s="16" t="inlineStr">
        <is>
          <t>P_baja de 1500 a 2500 kPa</t>
        </is>
      </c>
      <c r="E1705" s="16" t="inlineStr">
        <is>
          <t>KF-M04c</t>
        </is>
      </c>
      <c r="F1705" s="16" t="inlineStr">
        <is>
          <t>KF-M04c</t>
        </is>
      </c>
      <c r="G1705" s="16" t="inlineStr">
        <is>
          <t>B08</t>
        </is>
      </c>
      <c r="H1705" s="16" t="inlineStr">
        <is>
          <t>lhs</t>
        </is>
      </c>
      <c r="I1705" s="16" t="inlineStr">
        <is>
          <t>CORREGIBLE</t>
        </is>
      </c>
      <c r="J1705" s="16" t="inlineStr">
        <is>
          <t>CORREGIBLE</t>
        </is>
      </c>
      <c r="K1705" s="16" t="b">
        <v>1</v>
      </c>
      <c r="L1705" s="16" t="b">
        <v>0</v>
      </c>
      <c r="M1705" s="16" t="b">
        <v>1</v>
      </c>
      <c r="N1705" s="16" t="b">
        <v>0</v>
      </c>
      <c r="O1705" s="16" t="n">
        <v>443.4112555088493</v>
      </c>
      <c r="P1705" s="16" t="n">
        <v>295.2263492321783</v>
      </c>
      <c r="Q1705" s="16" t="n">
        <v>2656.921883777969</v>
      </c>
      <c r="R1705" s="16" t="n">
        <v>2215.0170606603</v>
      </c>
      <c r="S1705" s="16" t="n">
        <v>0.6704176156688157</v>
      </c>
      <c r="T1705" s="16" t="n">
        <v>0.8007018656516408</v>
      </c>
      <c r="U1705" s="16" t="n">
        <v>0.8300853193222955</v>
      </c>
      <c r="V1705" s="16" t="n">
        <v>0.918581876713521</v>
      </c>
      <c r="W1705" s="16" t="n">
        <v>0.8022557901250885</v>
      </c>
      <c r="X1705" s="16" t="n">
        <v>0.7278064813752493</v>
      </c>
      <c r="Y1705" s="16" t="n">
        <v>295.2263492321783</v>
      </c>
      <c r="Z1705" s="16" t="n">
        <v>1.38163869324443</v>
      </c>
      <c r="AA1705" s="16" t="n">
        <v>17.44160824777103</v>
      </c>
      <c r="AB1705" s="16" t="n">
        <v>441.9048231176689</v>
      </c>
      <c r="AC1705" s="16" t="n">
        <v>1.199504026838482</v>
      </c>
      <c r="AD1705" s="16" t="inlineStr">
        <is>
          <t>O2</t>
        </is>
      </c>
      <c r="AE1705" s="16" t="n"/>
    </row>
    <row r="1706">
      <c r="A1706" s="16" t="inlineStr">
        <is>
          <t>KF-M04c-0134</t>
        </is>
      </c>
      <c r="B1706" s="16" t="inlineStr">
        <is>
          <t>3.3</t>
        </is>
      </c>
      <c r="C1706" s="16" t="inlineStr">
        <is>
          <t>3.3</t>
        </is>
      </c>
      <c r="D1706" s="16" t="inlineStr">
        <is>
          <t>P_baja de 1500 a 2500 kPa</t>
        </is>
      </c>
      <c r="E1706" s="16" t="inlineStr">
        <is>
          <t>KF-M04c</t>
        </is>
      </c>
      <c r="F1706" s="16" t="inlineStr">
        <is>
          <t>KF-M04c</t>
        </is>
      </c>
      <c r="G1706" s="16" t="inlineStr">
        <is>
          <t>B08</t>
        </is>
      </c>
      <c r="H1706" s="16" t="inlineStr">
        <is>
          <t>lhs</t>
        </is>
      </c>
      <c r="I1706" s="16" t="inlineStr">
        <is>
          <t>CORREGIBLE</t>
        </is>
      </c>
      <c r="J1706" s="16" t="inlineStr">
        <is>
          <t>CORREGIBLE</t>
        </is>
      </c>
      <c r="K1706" s="16" t="b">
        <v>1</v>
      </c>
      <c r="L1706" s="16" t="b">
        <v>0</v>
      </c>
      <c r="M1706" s="16" t="b">
        <v>0</v>
      </c>
      <c r="N1706" s="16" t="b">
        <v>0</v>
      </c>
      <c r="O1706" s="16" t="n">
        <v>440.6353834354543</v>
      </c>
      <c r="P1706" s="16" t="n">
        <v>298.1821579393663</v>
      </c>
      <c r="Q1706" s="16" t="n">
        <v>4433.351254678839</v>
      </c>
      <c r="R1706" s="16" t="n">
        <v>2393.63780932613</v>
      </c>
      <c r="S1706" s="16" t="n">
        <v>0.7773825853794325</v>
      </c>
      <c r="T1706" s="16" t="n">
        <v>0.870427156395347</v>
      </c>
      <c r="U1706" s="16" t="n">
        <v>0.816940277146587</v>
      </c>
      <c r="V1706" s="16" t="n">
        <v>0.7460529762659746</v>
      </c>
      <c r="W1706" s="16" t="n">
        <v>0.934709669437095</v>
      </c>
      <c r="X1706" s="16" t="n">
        <v>0.7892541015283521</v>
      </c>
      <c r="Y1706" s="16" t="n">
        <v>298.1821579393663</v>
      </c>
      <c r="Z1706" s="16" t="n">
        <v>6.19764390027821</v>
      </c>
      <c r="AA1706" s="16" t="n">
        <v>56.94972902943443</v>
      </c>
      <c r="AB1706" s="16" t="n">
        <v>2039.713445352709</v>
      </c>
      <c r="AC1706" s="16" t="n">
        <v>1.852139549854011</v>
      </c>
      <c r="AD1706" s="16" t="inlineStr">
        <is>
          <t>O2</t>
        </is>
      </c>
      <c r="AE1706" s="16" t="n"/>
    </row>
    <row r="1707">
      <c r="A1707" s="16" t="inlineStr">
        <is>
          <t>KF-M04c-0135</t>
        </is>
      </c>
      <c r="B1707" s="16" t="inlineStr">
        <is>
          <t>3.3</t>
        </is>
      </c>
      <c r="C1707" s="16" t="inlineStr">
        <is>
          <t>3.3</t>
        </is>
      </c>
      <c r="D1707" s="16" t="inlineStr">
        <is>
          <t>P_baja de 1500 a 2500 kPa</t>
        </is>
      </c>
      <c r="E1707" s="16" t="inlineStr">
        <is>
          <t>KF-M04c</t>
        </is>
      </c>
      <c r="F1707" s="16" t="inlineStr">
        <is>
          <t>KF-M04c</t>
        </is>
      </c>
      <c r="G1707" s="16" t="inlineStr">
        <is>
          <t>B08</t>
        </is>
      </c>
      <c r="H1707" s="16" t="inlineStr">
        <is>
          <t>lhs</t>
        </is>
      </c>
      <c r="I1707" s="16" t="inlineStr">
        <is>
          <t>CORREGIBLE</t>
        </is>
      </c>
      <c r="J1707" s="16" t="inlineStr">
        <is>
          <t>CORREGIBLE</t>
        </is>
      </c>
      <c r="K1707" s="16" t="b">
        <v>1</v>
      </c>
      <c r="L1707" s="16" t="b">
        <v>0</v>
      </c>
      <c r="M1707" s="16" t="b">
        <v>0</v>
      </c>
      <c r="N1707" s="16" t="b">
        <v>0</v>
      </c>
      <c r="O1707" s="16" t="n">
        <v>476.4503260574262</v>
      </c>
      <c r="P1707" s="16" t="n">
        <v>281.9544720352198</v>
      </c>
      <c r="Q1707" s="16" t="n">
        <v>3027.330426902165</v>
      </c>
      <c r="R1707" s="16" t="n">
        <v>2376.524928671297</v>
      </c>
      <c r="S1707" s="16" t="n">
        <v>0.7865322271500422</v>
      </c>
      <c r="T1707" s="16" t="n">
        <v>0.8516689585427485</v>
      </c>
      <c r="U1707" s="16" t="n">
        <v>0.8656986711325093</v>
      </c>
      <c r="V1707" s="16" t="n">
        <v>0.6296816700561122</v>
      </c>
      <c r="W1707" s="16" t="n">
        <v>0.6767418516818667</v>
      </c>
      <c r="X1707" s="16" t="n">
        <v>0.7825153628133302</v>
      </c>
      <c r="Y1707" s="16" t="n">
        <v>281.9544720352198</v>
      </c>
      <c r="Z1707" s="16" t="n">
        <v>2.39866462289678</v>
      </c>
      <c r="AA1707" s="16" t="n">
        <v>25.55256493857182</v>
      </c>
      <c r="AB1707" s="16" t="n">
        <v>650.8054982308677</v>
      </c>
      <c r="AC1707" s="16" t="n">
        <v>1.273847536955873</v>
      </c>
      <c r="AD1707" s="16" t="inlineStr">
        <is>
          <t>O2</t>
        </is>
      </c>
      <c r="AE1707" s="16" t="n"/>
    </row>
    <row r="1708">
      <c r="A1708" s="16" t="inlineStr">
        <is>
          <t>KF-M04c-0136</t>
        </is>
      </c>
      <c r="B1708" s="16" t="inlineStr">
        <is>
          <t>3.3</t>
        </is>
      </c>
      <c r="C1708" s="16" t="inlineStr">
        <is>
          <t>3.3</t>
        </is>
      </c>
      <c r="D1708" s="16" t="inlineStr">
        <is>
          <t>P_baja de 1500 a 2500 kPa</t>
        </is>
      </c>
      <c r="E1708" s="16" t="inlineStr">
        <is>
          <t>KF-M04c</t>
        </is>
      </c>
      <c r="F1708" s="16" t="inlineStr">
        <is>
          <t>KF-M04c</t>
        </is>
      </c>
      <c r="G1708" s="16" t="inlineStr">
        <is>
          <t>B08</t>
        </is>
      </c>
      <c r="H1708" s="16" t="inlineStr">
        <is>
          <t>lhs</t>
        </is>
      </c>
      <c r="I1708" s="16" t="inlineStr">
        <is>
          <t>KALINA</t>
        </is>
      </c>
      <c r="J1708" s="16" t="inlineStr">
        <is>
          <t>KALINA</t>
        </is>
      </c>
      <c r="K1708" s="16" t="b">
        <v>1</v>
      </c>
      <c r="L1708" s="16" t="b">
        <v>1</v>
      </c>
      <c r="M1708" s="16" t="b">
        <v>0</v>
      </c>
      <c r="N1708" s="16" t="b">
        <v>0</v>
      </c>
      <c r="O1708" s="16" t="n">
        <v>393.4367776231779</v>
      </c>
      <c r="P1708" s="16" t="n">
        <v>299.9710166723353</v>
      </c>
      <c r="Q1708" s="16" t="n">
        <v>2269.635077149364</v>
      </c>
      <c r="R1708" s="16" t="n">
        <v>1918.873483256834</v>
      </c>
      <c r="S1708" s="16" t="n">
        <v>0.6405180719646155</v>
      </c>
      <c r="T1708" s="16" t="n">
        <v>0.8800172639800734</v>
      </c>
      <c r="U1708" s="16" t="n">
        <v>0.7586468260847012</v>
      </c>
      <c r="V1708" s="16" t="n">
        <v>0.6691562104781114</v>
      </c>
      <c r="W1708" s="16" t="n">
        <v>0.8391739964206162</v>
      </c>
      <c r="X1708" s="16" t="n">
        <v>0.9342310569515514</v>
      </c>
      <c r="Y1708" s="16" t="n">
        <v>299.9710166723353</v>
      </c>
      <c r="Z1708" s="16" t="n">
        <v>1.38447544027515</v>
      </c>
      <c r="AA1708" s="16" t="n">
        <v>7.103828652706953</v>
      </c>
      <c r="AB1708" s="16" t="n">
        <v>350.7615938925308</v>
      </c>
      <c r="AC1708" s="16" t="n">
        <v>1.1827955813414</v>
      </c>
      <c r="AD1708" s="16" t="n"/>
      <c r="AE1708" s="16" t="n"/>
    </row>
    <row r="1709">
      <c r="A1709" s="16" t="inlineStr">
        <is>
          <t>KF-M04c-0137</t>
        </is>
      </c>
      <c r="B1709" s="16" t="inlineStr">
        <is>
          <t>3.3</t>
        </is>
      </c>
      <c r="C1709" s="16" t="inlineStr">
        <is>
          <t>3.3</t>
        </is>
      </c>
      <c r="D1709" s="16" t="inlineStr">
        <is>
          <t>P_baja de 1500 a 2500 kPa</t>
        </is>
      </c>
      <c r="E1709" s="16" t="inlineStr">
        <is>
          <t>KF-M04c</t>
        </is>
      </c>
      <c r="F1709" s="16" t="inlineStr">
        <is>
          <t>KF-M04c</t>
        </is>
      </c>
      <c r="G1709" s="16" t="inlineStr">
        <is>
          <t>B08</t>
        </is>
      </c>
      <c r="H1709" s="16" t="inlineStr">
        <is>
          <t>lhs</t>
        </is>
      </c>
      <c r="I1709" s="16" t="inlineStr">
        <is>
          <t>OMITIDO</t>
        </is>
      </c>
      <c r="J1709" s="16" t="n"/>
      <c r="K1709" s="16" t="b">
        <v>0</v>
      </c>
      <c r="L1709" s="16" t="b">
        <v>0</v>
      </c>
      <c r="M1709" s="16" t="n"/>
      <c r="N1709" s="16" t="b">
        <v>1</v>
      </c>
      <c r="O1709" s="16" t="n">
        <v>480.845956214765</v>
      </c>
      <c r="P1709" s="16" t="n">
        <v>281.0428184290868</v>
      </c>
      <c r="Q1709" s="16" t="n">
        <v>2438.595224373827</v>
      </c>
      <c r="R1709" s="16" t="n">
        <v>2322.187527272862</v>
      </c>
      <c r="S1709" s="16" t="n">
        <v>0.7319015998396111</v>
      </c>
      <c r="T1709" s="16" t="n">
        <v>0.9151364620955496</v>
      </c>
      <c r="U1709" s="16" t="n">
        <v>0.7821440645094303</v>
      </c>
      <c r="V1709" s="16" t="n">
        <v>0.8983096857388424</v>
      </c>
      <c r="W1709" s="16" t="n">
        <v>0.7720496536359656</v>
      </c>
      <c r="X1709" s="16" t="n">
        <v>0.8689807055190918</v>
      </c>
      <c r="Y1709" s="16" t="n"/>
      <c r="Z1709" s="16" t="n"/>
      <c r="AA1709" s="16" t="n"/>
      <c r="AB1709" s="16" t="n">
        <v>116.4076971009649</v>
      </c>
      <c r="AC1709" s="16" t="n">
        <v>1.050128465394727</v>
      </c>
      <c r="AD1709" s="16" t="n"/>
      <c r="AE1709" s="16" t="n"/>
    </row>
    <row r="1710">
      <c r="A1710" s="16" t="inlineStr">
        <is>
          <t>KF-M04c-0138</t>
        </is>
      </c>
      <c r="B1710" s="16" t="inlineStr">
        <is>
          <t>3.3</t>
        </is>
      </c>
      <c r="C1710" s="16" t="inlineStr">
        <is>
          <t>3.3</t>
        </is>
      </c>
      <c r="D1710" s="16" t="inlineStr">
        <is>
          <t>P_baja de 1500 a 2500 kPa</t>
        </is>
      </c>
      <c r="E1710" s="16" t="inlineStr">
        <is>
          <t>KF-M04c</t>
        </is>
      </c>
      <c r="F1710" s="16" t="inlineStr">
        <is>
          <t>KF-M04c</t>
        </is>
      </c>
      <c r="G1710" s="16" t="inlineStr">
        <is>
          <t>B08</t>
        </is>
      </c>
      <c r="H1710" s="16" t="inlineStr">
        <is>
          <t>lhs</t>
        </is>
      </c>
      <c r="I1710" s="16" t="inlineStr">
        <is>
          <t>KALINA</t>
        </is>
      </c>
      <c r="J1710" s="16" t="inlineStr">
        <is>
          <t>KALINA</t>
        </is>
      </c>
      <c r="K1710" s="16" t="b">
        <v>1</v>
      </c>
      <c r="L1710" s="16" t="b">
        <v>1</v>
      </c>
      <c r="M1710" s="16" t="b">
        <v>0</v>
      </c>
      <c r="N1710" s="16" t="b">
        <v>0</v>
      </c>
      <c r="O1710" s="16" t="n">
        <v>414.1628646628673</v>
      </c>
      <c r="P1710" s="16" t="n">
        <v>295.5076720094177</v>
      </c>
      <c r="Q1710" s="16" t="n">
        <v>4755.232960711648</v>
      </c>
      <c r="R1710" s="16" t="n">
        <v>1848.803303059377</v>
      </c>
      <c r="S1710" s="16" t="n">
        <v>0.788572212560111</v>
      </c>
      <c r="T1710" s="16" t="n">
        <v>0.7547905008524315</v>
      </c>
      <c r="U1710" s="16" t="n">
        <v>0.7502401811973803</v>
      </c>
      <c r="V1710" s="16" t="n">
        <v>0.7529186008377035</v>
      </c>
      <c r="W1710" s="16" t="n">
        <v>0.7028333134562182</v>
      </c>
      <c r="X1710" s="16" t="n">
        <v>0.8720797407236013</v>
      </c>
      <c r="Y1710" s="16" t="n">
        <v>295.5076720094177</v>
      </c>
      <c r="Z1710" s="16" t="n">
        <v>6.59003778740501</v>
      </c>
      <c r="AA1710" s="16" t="n">
        <v>47.44621773860888</v>
      </c>
      <c r="AB1710" s="16" t="n">
        <v>2906.429657652271</v>
      </c>
      <c r="AC1710" s="16" t="n">
        <v>2.572059965948107</v>
      </c>
      <c r="AD1710" s="16" t="n"/>
      <c r="AE1710" s="16" t="n"/>
    </row>
    <row r="1711">
      <c r="A1711" s="16" t="inlineStr">
        <is>
          <t>KF-M04c-0139</t>
        </is>
      </c>
      <c r="B1711" s="16" t="inlineStr">
        <is>
          <t>3.3</t>
        </is>
      </c>
      <c r="C1711" s="16" t="inlineStr">
        <is>
          <t>3.3</t>
        </is>
      </c>
      <c r="D1711" s="16" t="inlineStr">
        <is>
          <t>P_baja de 1500 a 2500 kPa</t>
        </is>
      </c>
      <c r="E1711" s="16" t="inlineStr">
        <is>
          <t>KF-M04c</t>
        </is>
      </c>
      <c r="F1711" s="16" t="inlineStr">
        <is>
          <t>KF-M04c</t>
        </is>
      </c>
      <c r="G1711" s="16" t="inlineStr">
        <is>
          <t>B08</t>
        </is>
      </c>
      <c r="H1711" s="16" t="inlineStr">
        <is>
          <t>lhs</t>
        </is>
      </c>
      <c r="I1711" s="16" t="inlineStr">
        <is>
          <t>CORREGIBLE</t>
        </is>
      </c>
      <c r="J1711" s="16" t="inlineStr">
        <is>
          <t>CORREGIBLE</t>
        </is>
      </c>
      <c r="K1711" s="16" t="b">
        <v>1</v>
      </c>
      <c r="L1711" s="16" t="b">
        <v>0</v>
      </c>
      <c r="M1711" s="16" t="b">
        <v>1</v>
      </c>
      <c r="N1711" s="16" t="b">
        <v>0</v>
      </c>
      <c r="O1711" s="16" t="n">
        <v>471.126193161879</v>
      </c>
      <c r="P1711" s="16" t="n">
        <v>287.8137880236466</v>
      </c>
      <c r="Q1711" s="16" t="n">
        <v>3214.369362198884</v>
      </c>
      <c r="R1711" s="16" t="n">
        <v>2028.375494479147</v>
      </c>
      <c r="S1711" s="16" t="n">
        <v>0.5023013643797095</v>
      </c>
      <c r="T1711" s="16" t="n">
        <v>0.8068685137384359</v>
      </c>
      <c r="U1711" s="16" t="n">
        <v>0.7891455995436234</v>
      </c>
      <c r="V1711" s="16" t="n">
        <v>0.7712409616966669</v>
      </c>
      <c r="W1711" s="16" t="n">
        <v>0.7502357885393764</v>
      </c>
      <c r="X1711" s="16" t="n">
        <v>0.7314578620889354</v>
      </c>
      <c r="Y1711" s="16" t="n">
        <v>287.8137880236466</v>
      </c>
      <c r="Z1711" s="16" t="n">
        <v>3.54707534241356</v>
      </c>
      <c r="AA1711" s="16" t="n">
        <v>45.35846232637432</v>
      </c>
      <c r="AB1711" s="16" t="n">
        <v>1185.993867719737</v>
      </c>
      <c r="AC1711" s="16" t="n">
        <v>1.584701339050776</v>
      </c>
      <c r="AD1711" s="16" t="inlineStr">
        <is>
          <t>O2</t>
        </is>
      </c>
      <c r="AE1711" s="16" t="n"/>
    </row>
    <row r="1712">
      <c r="A1712" s="16" t="inlineStr">
        <is>
          <t>KF-M04c-0140</t>
        </is>
      </c>
      <c r="B1712" s="16" t="inlineStr">
        <is>
          <t>3.3</t>
        </is>
      </c>
      <c r="C1712" s="16" t="inlineStr">
        <is>
          <t>3.3</t>
        </is>
      </c>
      <c r="D1712" s="16" t="inlineStr">
        <is>
          <t>P_baja de 1500 a 2500 kPa</t>
        </is>
      </c>
      <c r="E1712" s="16" t="inlineStr">
        <is>
          <t>KF-M04c</t>
        </is>
      </c>
      <c r="F1712" s="16" t="inlineStr">
        <is>
          <t>KF-M04c</t>
        </is>
      </c>
      <c r="G1712" s="16" t="inlineStr">
        <is>
          <t>B08</t>
        </is>
      </c>
      <c r="H1712" s="16" t="inlineStr">
        <is>
          <t>lhs</t>
        </is>
      </c>
      <c r="I1712" s="16" t="inlineStr">
        <is>
          <t>OMITIDO</t>
        </is>
      </c>
      <c r="J1712" s="16" t="n"/>
      <c r="K1712" s="16" t="b">
        <v>0</v>
      </c>
      <c r="L1712" s="16" t="b">
        <v>0</v>
      </c>
      <c r="M1712" s="16" t="n"/>
      <c r="N1712" s="16" t="b">
        <v>1</v>
      </c>
      <c r="O1712" s="16" t="n">
        <v>380.7459167352396</v>
      </c>
      <c r="P1712" s="16" t="n">
        <v>292.6604442636203</v>
      </c>
      <c r="Q1712" s="16" t="n">
        <v>2015.693408162781</v>
      </c>
      <c r="R1712" s="16" t="n">
        <v>2357.714263929349</v>
      </c>
      <c r="S1712" s="16" t="n">
        <v>0.5195093512531669</v>
      </c>
      <c r="T1712" s="16" t="n">
        <v>0.7627783005451696</v>
      </c>
      <c r="U1712" s="16" t="n">
        <v>0.7386724362490872</v>
      </c>
      <c r="V1712" s="16" t="n">
        <v>0.9019418915581132</v>
      </c>
      <c r="W1712" s="16" t="n">
        <v>0.6957807707956872</v>
      </c>
      <c r="X1712" s="16" t="n">
        <v>0.7923944470109031</v>
      </c>
      <c r="Y1712" s="16" t="n"/>
      <c r="Z1712" s="16" t="n"/>
      <c r="AA1712" s="16" t="n"/>
      <c r="AB1712" s="16" t="n">
        <v>-342.020855766568</v>
      </c>
      <c r="AC1712" s="16" t="n">
        <v>0.8549354088410362</v>
      </c>
      <c r="AD1712" s="16" t="n"/>
      <c r="AE1712" s="16" t="n"/>
    </row>
    <row r="1713">
      <c r="A1713" s="16" t="inlineStr">
        <is>
          <t>KF-M04c-0141</t>
        </is>
      </c>
      <c r="B1713" s="16" t="inlineStr">
        <is>
          <t>3.3</t>
        </is>
      </c>
      <c r="C1713" s="16" t="inlineStr">
        <is>
          <t>3.3</t>
        </is>
      </c>
      <c r="D1713" s="16" t="inlineStr">
        <is>
          <t>P_baja de 1500 a 2500 kPa</t>
        </is>
      </c>
      <c r="E1713" s="16" t="inlineStr">
        <is>
          <t>KF-M04c</t>
        </is>
      </c>
      <c r="F1713" s="16" t="inlineStr">
        <is>
          <t>KF-M04c</t>
        </is>
      </c>
      <c r="G1713" s="16" t="inlineStr">
        <is>
          <t>B08</t>
        </is>
      </c>
      <c r="H1713" s="16" t="inlineStr">
        <is>
          <t>lhs</t>
        </is>
      </c>
      <c r="I1713" s="16" t="inlineStr">
        <is>
          <t>KALINA</t>
        </is>
      </c>
      <c r="J1713" s="16" t="inlineStr">
        <is>
          <t>KALINA</t>
        </is>
      </c>
      <c r="K1713" s="16" t="b">
        <v>1</v>
      </c>
      <c r="L1713" s="16" t="b">
        <v>1</v>
      </c>
      <c r="M1713" s="16" t="b">
        <v>0</v>
      </c>
      <c r="N1713" s="16" t="b">
        <v>0</v>
      </c>
      <c r="O1713" s="16" t="n">
        <v>399.1334699557137</v>
      </c>
      <c r="P1713" s="16" t="n">
        <v>298.6754062543292</v>
      </c>
      <c r="Q1713" s="16" t="n">
        <v>2361.85368546775</v>
      </c>
      <c r="R1713" s="16" t="n">
        <v>1648.04911261724</v>
      </c>
      <c r="S1713" s="16" t="n">
        <v>0.8432568626630266</v>
      </c>
      <c r="T1713" s="16" t="n">
        <v>0.8655318792486671</v>
      </c>
      <c r="U1713" s="16" t="n">
        <v>0.8776858929954521</v>
      </c>
      <c r="V1713" s="16" t="n">
        <v>0.8567621189788508</v>
      </c>
      <c r="W1713" s="16" t="n">
        <v>0.850299562164371</v>
      </c>
      <c r="X1713" s="16" t="n">
        <v>0.9452378289137476</v>
      </c>
      <c r="Y1713" s="16" t="n">
        <v>298.6754062543292</v>
      </c>
      <c r="Z1713" s="16" t="n">
        <v>3.48242585652083</v>
      </c>
      <c r="AA1713" s="16" t="n">
        <v>37.67302765486049</v>
      </c>
      <c r="AB1713" s="16" t="n">
        <v>713.8045728505097</v>
      </c>
      <c r="AC1713" s="16" t="n">
        <v>1.433120935162501</v>
      </c>
      <c r="AD1713" s="16" t="n"/>
      <c r="AE1713" s="16" t="n"/>
    </row>
    <row r="1714">
      <c r="A1714" s="16" t="inlineStr">
        <is>
          <t>KF-M04c-0142</t>
        </is>
      </c>
      <c r="B1714" s="16" t="inlineStr">
        <is>
          <t>3.3</t>
        </is>
      </c>
      <c r="C1714" s="16" t="inlineStr">
        <is>
          <t>3.3</t>
        </is>
      </c>
      <c r="D1714" s="16" t="inlineStr">
        <is>
          <t>P_baja de 1500 a 2500 kPa</t>
        </is>
      </c>
      <c r="E1714" s="16" t="inlineStr">
        <is>
          <t>KF-M04c</t>
        </is>
      </c>
      <c r="F1714" s="16" t="inlineStr">
        <is>
          <t>KF-M04c</t>
        </is>
      </c>
      <c r="G1714" s="16" t="inlineStr">
        <is>
          <t>B08</t>
        </is>
      </c>
      <c r="H1714" s="16" t="inlineStr">
        <is>
          <t>lhs</t>
        </is>
      </c>
      <c r="I1714" s="16" t="inlineStr">
        <is>
          <t>KALINA</t>
        </is>
      </c>
      <c r="J1714" s="16" t="inlineStr">
        <is>
          <t>KALINA</t>
        </is>
      </c>
      <c r="K1714" s="16" t="b">
        <v>1</v>
      </c>
      <c r="L1714" s="16" t="b">
        <v>1</v>
      </c>
      <c r="M1714" s="16" t="b">
        <v>0</v>
      </c>
      <c r="N1714" s="16" t="b">
        <v>0</v>
      </c>
      <c r="O1714" s="16" t="n">
        <v>419.6934064389159</v>
      </c>
      <c r="P1714" s="16" t="n">
        <v>293.3952760072567</v>
      </c>
      <c r="Q1714" s="16" t="n">
        <v>4648.636776778967</v>
      </c>
      <c r="R1714" s="16" t="n">
        <v>1617.269128432268</v>
      </c>
      <c r="S1714" s="16" t="n">
        <v>0.660785077988411</v>
      </c>
      <c r="T1714" s="16" t="n">
        <v>0.8274264917130567</v>
      </c>
      <c r="U1714" s="16" t="n">
        <v>0.7487243441315378</v>
      </c>
      <c r="V1714" s="16" t="n">
        <v>0.6263864025284412</v>
      </c>
      <c r="W1714" s="16" t="n">
        <v>0.6844210874513775</v>
      </c>
      <c r="X1714" s="16" t="n">
        <v>0.9033643864119116</v>
      </c>
      <c r="Y1714" s="16" t="n">
        <v>293.3952760072567</v>
      </c>
      <c r="Z1714" s="16" t="n">
        <v>5.75316245399547</v>
      </c>
      <c r="AA1714" s="16" t="n">
        <v>27.29981830725426</v>
      </c>
      <c r="AB1714" s="16" t="n">
        <v>3031.3676483467</v>
      </c>
      <c r="AC1714" s="16" t="n">
        <v>2.874374273925093</v>
      </c>
      <c r="AD1714" s="16" t="n"/>
      <c r="AE1714" s="16" t="n"/>
    </row>
    <row r="1715">
      <c r="A1715" s="16" t="inlineStr">
        <is>
          <t>KF-M04c-0143</t>
        </is>
      </c>
      <c r="B1715" s="16" t="inlineStr">
        <is>
          <t>3.3</t>
        </is>
      </c>
      <c r="C1715" s="16" t="inlineStr">
        <is>
          <t>3.3</t>
        </is>
      </c>
      <c r="D1715" s="16" t="inlineStr">
        <is>
          <t>P_baja de 1500 a 2500 kPa</t>
        </is>
      </c>
      <c r="E1715" s="16" t="inlineStr">
        <is>
          <t>KF-M04c</t>
        </is>
      </c>
      <c r="F1715" s="16" t="inlineStr">
        <is>
          <t>KF-M04c</t>
        </is>
      </c>
      <c r="G1715" s="16" t="inlineStr">
        <is>
          <t>B08</t>
        </is>
      </c>
      <c r="H1715" s="16" t="inlineStr">
        <is>
          <t>lhs</t>
        </is>
      </c>
      <c r="I1715" s="16" t="inlineStr">
        <is>
          <t>KALINA</t>
        </is>
      </c>
      <c r="J1715" s="16" t="inlineStr">
        <is>
          <t>KALINA</t>
        </is>
      </c>
      <c r="K1715" s="16" t="b">
        <v>1</v>
      </c>
      <c r="L1715" s="16" t="b">
        <v>0</v>
      </c>
      <c r="M1715" s="16" t="b">
        <v>1</v>
      </c>
      <c r="N1715" s="16" t="b">
        <v>0</v>
      </c>
      <c r="O1715" s="16" t="n">
        <v>457.3907263306791</v>
      </c>
      <c r="P1715" s="16" t="n">
        <v>292.1358782304245</v>
      </c>
      <c r="Q1715" s="16" t="n">
        <v>3596.434523118251</v>
      </c>
      <c r="R1715" s="16" t="n">
        <v>2193.032783494485</v>
      </c>
      <c r="S1715" s="16" t="n">
        <v>0.6144867583108392</v>
      </c>
      <c r="T1715" s="16" t="n">
        <v>0.8255138088012076</v>
      </c>
      <c r="U1715" s="16" t="n">
        <v>0.8940870490402935</v>
      </c>
      <c r="V1715" s="16" t="n">
        <v>0.7002919987377683</v>
      </c>
      <c r="W1715" s="16" t="n">
        <v>0.925301784717986</v>
      </c>
      <c r="X1715" s="16" t="n">
        <v>0.8797511425167955</v>
      </c>
      <c r="Y1715" s="16" t="n">
        <v>292.1358782304245</v>
      </c>
      <c r="Z1715" s="16" t="n">
        <v>3.90280640682192</v>
      </c>
      <c r="AA1715" s="16" t="n">
        <v>40.3460164395979</v>
      </c>
      <c r="AB1715" s="16" t="n">
        <v>1403.401739623767</v>
      </c>
      <c r="AC1715" s="16" t="n">
        <v>1.639936507190521</v>
      </c>
      <c r="AD1715" s="16" t="n"/>
      <c r="AE1715" s="16" t="n"/>
    </row>
    <row r="1716">
      <c r="A1716" s="16" t="inlineStr">
        <is>
          <t>KF-M04c-0144</t>
        </is>
      </c>
      <c r="B1716" s="16" t="inlineStr">
        <is>
          <t>3.3</t>
        </is>
      </c>
      <c r="C1716" s="16" t="inlineStr">
        <is>
          <t>3.3</t>
        </is>
      </c>
      <c r="D1716" s="16" t="inlineStr">
        <is>
          <t>P_baja de 1500 a 2500 kPa</t>
        </is>
      </c>
      <c r="E1716" s="16" t="inlineStr">
        <is>
          <t>KF-M04c</t>
        </is>
      </c>
      <c r="F1716" s="16" t="inlineStr">
        <is>
          <t>KF-M04c</t>
        </is>
      </c>
      <c r="G1716" s="16" t="inlineStr">
        <is>
          <t>B08</t>
        </is>
      </c>
      <c r="H1716" s="16" t="inlineStr">
        <is>
          <t>lhs</t>
        </is>
      </c>
      <c r="I1716" s="16" t="inlineStr">
        <is>
          <t>CORREGIBLE</t>
        </is>
      </c>
      <c r="J1716" s="16" t="inlineStr">
        <is>
          <t>CORREGIBLE</t>
        </is>
      </c>
      <c r="K1716" s="16" t="b">
        <v>1</v>
      </c>
      <c r="L1716" s="16" t="b">
        <v>0</v>
      </c>
      <c r="M1716" s="16" t="b">
        <v>1</v>
      </c>
      <c r="N1716" s="16" t="b">
        <v>0</v>
      </c>
      <c r="O1716" s="16" t="n">
        <v>498.2054628027171</v>
      </c>
      <c r="P1716" s="16" t="n">
        <v>285.4397587058509</v>
      </c>
      <c r="Q1716" s="16" t="n">
        <v>2787.984413131797</v>
      </c>
      <c r="R1716" s="16" t="n">
        <v>2439.434749827305</v>
      </c>
      <c r="S1716" s="16" t="n">
        <v>0.7026874637770554</v>
      </c>
      <c r="T1716" s="16" t="n">
        <v>0.7878647622915421</v>
      </c>
      <c r="U1716" s="16" t="n">
        <v>0.6639938166178854</v>
      </c>
      <c r="V1716" s="16" t="n">
        <v>0.8939050109715323</v>
      </c>
      <c r="W1716" s="16" t="n">
        <v>0.8096114242787943</v>
      </c>
      <c r="X1716" s="16" t="n">
        <v>0.7229031019650254</v>
      </c>
      <c r="Y1716" s="16" t="n">
        <v>285.4397587058509</v>
      </c>
      <c r="Z1716" s="16" t="n">
        <v>0.8931523368403501</v>
      </c>
      <c r="AA1716" s="16" t="n">
        <v>13.15413217686954</v>
      </c>
      <c r="AB1716" s="16" t="n">
        <v>348.5496633044918</v>
      </c>
      <c r="AC1716" s="16" t="n">
        <v>1.142881322539644</v>
      </c>
      <c r="AD1716" s="16" t="inlineStr">
        <is>
          <t>O2</t>
        </is>
      </c>
      <c r="AE1716" s="16" t="n"/>
    </row>
    <row r="1717">
      <c r="A1717" s="16" t="inlineStr">
        <is>
          <t>KF-M04c-0145</t>
        </is>
      </c>
      <c r="B1717" s="16" t="inlineStr">
        <is>
          <t>3.3</t>
        </is>
      </c>
      <c r="C1717" s="16" t="inlineStr">
        <is>
          <t>3.3</t>
        </is>
      </c>
      <c r="D1717" s="16" t="inlineStr">
        <is>
          <t>P_baja de 1500 a 2500 kPa</t>
        </is>
      </c>
      <c r="E1717" s="16" t="inlineStr">
        <is>
          <t>KF-M04c</t>
        </is>
      </c>
      <c r="F1717" s="16" t="inlineStr">
        <is>
          <t>KF-M04c</t>
        </is>
      </c>
      <c r="G1717" s="16" t="inlineStr">
        <is>
          <t>B08</t>
        </is>
      </c>
      <c r="H1717" s="16" t="inlineStr">
        <is>
          <t>lhs</t>
        </is>
      </c>
      <c r="I1717" s="16" t="inlineStr">
        <is>
          <t>CORREGIBLE</t>
        </is>
      </c>
      <c r="J1717" s="16" t="inlineStr">
        <is>
          <t>CORREGIBLE</t>
        </is>
      </c>
      <c r="K1717" s="16" t="b">
        <v>1</v>
      </c>
      <c r="L1717" s="16" t="b">
        <v>0</v>
      </c>
      <c r="M1717" s="16" t="b">
        <v>0</v>
      </c>
      <c r="N1717" s="16" t="b">
        <v>0</v>
      </c>
      <c r="O1717" s="16" t="n">
        <v>462.2237476667265</v>
      </c>
      <c r="P1717" s="16" t="n">
        <v>296.5113988379462</v>
      </c>
      <c r="Q1717" s="16" t="n">
        <v>4621.311503014849</v>
      </c>
      <c r="R1717" s="16" t="n">
        <v>1680.787274131129</v>
      </c>
      <c r="S1717" s="16" t="n">
        <v>0.8245039710248026</v>
      </c>
      <c r="T1717" s="16" t="n">
        <v>0.9063544001012704</v>
      </c>
      <c r="U1717" s="16" t="n">
        <v>0.7710496888403139</v>
      </c>
      <c r="V1717" s="16" t="n">
        <v>0.6800906605818978</v>
      </c>
      <c r="W1717" s="16" t="n">
        <v>0.8457013280429768</v>
      </c>
      <c r="X1717" s="16" t="n">
        <v>0.8707560029305271</v>
      </c>
      <c r="Y1717" s="16" t="n">
        <v>296.5113988379462</v>
      </c>
      <c r="Z1717" s="16" t="n">
        <v>9.9363817432611</v>
      </c>
      <c r="AA1717" s="16" t="n">
        <v>106.9966880764745</v>
      </c>
      <c r="AB1717" s="16" t="n">
        <v>2940.52422888372</v>
      </c>
      <c r="AC1717" s="16" t="n">
        <v>2.749492201744449</v>
      </c>
      <c r="AD1717" s="16" t="inlineStr">
        <is>
          <t>O2</t>
        </is>
      </c>
      <c r="AE1717" s="16" t="n"/>
    </row>
    <row r="1718">
      <c r="A1718" s="16" t="inlineStr">
        <is>
          <t>KF-M04c-0146</t>
        </is>
      </c>
      <c r="B1718" s="16" t="inlineStr">
        <is>
          <t>3.3</t>
        </is>
      </c>
      <c r="C1718" s="16" t="inlineStr">
        <is>
          <t>3.3</t>
        </is>
      </c>
      <c r="D1718" s="16" t="inlineStr">
        <is>
          <t>P_baja de 1500 a 2500 kPa</t>
        </is>
      </c>
      <c r="E1718" s="16" t="inlineStr">
        <is>
          <t>KF-M04c</t>
        </is>
      </c>
      <c r="F1718" s="16" t="inlineStr">
        <is>
          <t>KF-M04c</t>
        </is>
      </c>
      <c r="G1718" s="16" t="inlineStr">
        <is>
          <t>B08</t>
        </is>
      </c>
      <c r="H1718" s="16" t="inlineStr">
        <is>
          <t>lhs</t>
        </is>
      </c>
      <c r="I1718" s="16" t="inlineStr">
        <is>
          <t>KALINA</t>
        </is>
      </c>
      <c r="J1718" s="16" t="inlineStr">
        <is>
          <t>KALINA</t>
        </is>
      </c>
      <c r="K1718" s="16" t="b">
        <v>1</v>
      </c>
      <c r="L1718" s="16" t="b">
        <v>1</v>
      </c>
      <c r="M1718" s="16" t="b">
        <v>0</v>
      </c>
      <c r="N1718" s="16" t="b">
        <v>0</v>
      </c>
      <c r="O1718" s="16" t="n">
        <v>395.3807777346162</v>
      </c>
      <c r="P1718" s="16" t="n">
        <v>301.6342355376509</v>
      </c>
      <c r="Q1718" s="16" t="n">
        <v>3129.18287946593</v>
      </c>
      <c r="R1718" s="16" t="n">
        <v>1804.015748887794</v>
      </c>
      <c r="S1718" s="16" t="n">
        <v>0.632128924578588</v>
      </c>
      <c r="T1718" s="16" t="n">
        <v>0.8722076272359714</v>
      </c>
      <c r="U1718" s="16" t="n">
        <v>0.8375661062122647</v>
      </c>
      <c r="V1718" s="16" t="n">
        <v>0.6216241291196337</v>
      </c>
      <c r="W1718" s="16" t="n">
        <v>0.9282551746465756</v>
      </c>
      <c r="X1718" s="16" t="n">
        <v>0.76327491826337</v>
      </c>
      <c r="Y1718" s="16" t="n">
        <v>301.6342355376509</v>
      </c>
      <c r="Z1718" s="16" t="n">
        <v>4.486140532388029</v>
      </c>
      <c r="AA1718" s="16" t="n">
        <v>14.59385545051511</v>
      </c>
      <c r="AB1718" s="16" t="n">
        <v>1325.167130578136</v>
      </c>
      <c r="AC1718" s="16" t="n">
        <v>1.734565167402293</v>
      </c>
      <c r="AD1718" s="16" t="n"/>
      <c r="AE1718" s="16" t="n"/>
    </row>
    <row r="1719">
      <c r="A1719" s="16" t="inlineStr">
        <is>
          <t>KF-M04c-0147</t>
        </is>
      </c>
      <c r="B1719" s="16" t="inlineStr">
        <is>
          <t>3.3</t>
        </is>
      </c>
      <c r="C1719" s="16" t="inlineStr">
        <is>
          <t>3.3</t>
        </is>
      </c>
      <c r="D1719" s="16" t="inlineStr">
        <is>
          <t>P_baja de 1500 a 2500 kPa</t>
        </is>
      </c>
      <c r="E1719" s="16" t="inlineStr">
        <is>
          <t>KF-M04c</t>
        </is>
      </c>
      <c r="F1719" s="16" t="inlineStr">
        <is>
          <t>KF-M04c</t>
        </is>
      </c>
      <c r="G1719" s="16" t="inlineStr">
        <is>
          <t>B08</t>
        </is>
      </c>
      <c r="H1719" s="16" t="inlineStr">
        <is>
          <t>lhs</t>
        </is>
      </c>
      <c r="I1719" s="16" t="inlineStr">
        <is>
          <t>CORREGIBLE</t>
        </is>
      </c>
      <c r="J1719" s="16" t="inlineStr">
        <is>
          <t>CORREGIBLE</t>
        </is>
      </c>
      <c r="K1719" s="16" t="b">
        <v>1</v>
      </c>
      <c r="L1719" s="16" t="b">
        <v>0</v>
      </c>
      <c r="M1719" s="16" t="b">
        <v>0</v>
      </c>
      <c r="N1719" s="16" t="b">
        <v>0</v>
      </c>
      <c r="O1719" s="16" t="n">
        <v>389.7986344929794</v>
      </c>
      <c r="P1719" s="16" t="n">
        <v>279.8812419451224</v>
      </c>
      <c r="Q1719" s="16" t="n">
        <v>2714.74861469017</v>
      </c>
      <c r="R1719" s="16" t="n">
        <v>1593.627261280666</v>
      </c>
      <c r="S1719" s="16" t="n">
        <v>0.7677373592949468</v>
      </c>
      <c r="T1719" s="16" t="n">
        <v>0.8240564052295173</v>
      </c>
      <c r="U1719" s="16" t="n">
        <v>0.7752292986395531</v>
      </c>
      <c r="V1719" s="16" t="n">
        <v>0.8842003654505857</v>
      </c>
      <c r="W1719" s="16" t="n">
        <v>0.6204706487157156</v>
      </c>
      <c r="X1719" s="16" t="n">
        <v>0.7404106562335634</v>
      </c>
      <c r="Y1719" s="16" t="n">
        <v>279.8812419451224</v>
      </c>
      <c r="Z1719" s="16" t="n">
        <v>4.77314702414805</v>
      </c>
      <c r="AA1719" s="16" t="n">
        <v>36.6351250515008</v>
      </c>
      <c r="AB1719" s="16" t="n">
        <v>1121.121353409504</v>
      </c>
      <c r="AC1719" s="16" t="n">
        <v>1.703502870871167</v>
      </c>
      <c r="AD1719" s="16" t="inlineStr">
        <is>
          <t>O2</t>
        </is>
      </c>
      <c r="AE1719" s="16" t="n"/>
    </row>
    <row r="1720">
      <c r="A1720" s="16" t="inlineStr">
        <is>
          <t>KF-M04c-0148</t>
        </is>
      </c>
      <c r="B1720" s="16" t="inlineStr">
        <is>
          <t>3.3</t>
        </is>
      </c>
      <c r="C1720" s="16" t="inlineStr">
        <is>
          <t>3.3</t>
        </is>
      </c>
      <c r="D1720" s="16" t="inlineStr">
        <is>
          <t>P_baja de 1500 a 2500 kPa</t>
        </is>
      </c>
      <c r="E1720" s="16" t="inlineStr">
        <is>
          <t>KF-M04c</t>
        </is>
      </c>
      <c r="F1720" s="16" t="inlineStr">
        <is>
          <t>KF-M04c</t>
        </is>
      </c>
      <c r="G1720" s="16" t="inlineStr">
        <is>
          <t>B08</t>
        </is>
      </c>
      <c r="H1720" s="16" t="inlineStr">
        <is>
          <t>lhs</t>
        </is>
      </c>
      <c r="I1720" s="16" t="inlineStr">
        <is>
          <t>CORREGIBLE</t>
        </is>
      </c>
      <c r="J1720" s="16" t="inlineStr">
        <is>
          <t>CORREGIBLE</t>
        </is>
      </c>
      <c r="K1720" s="16" t="b">
        <v>1</v>
      </c>
      <c r="L1720" s="16" t="b">
        <v>0</v>
      </c>
      <c r="M1720" s="16" t="b">
        <v>0</v>
      </c>
      <c r="N1720" s="16" t="b">
        <v>0</v>
      </c>
      <c r="O1720" s="16" t="n">
        <v>388.2335650057015</v>
      </c>
      <c r="P1720" s="16" t="n">
        <v>299.1319159116181</v>
      </c>
      <c r="Q1720" s="16" t="n">
        <v>2754.733263136032</v>
      </c>
      <c r="R1720" s="16" t="n">
        <v>2247.377994773003</v>
      </c>
      <c r="S1720" s="16" t="n">
        <v>0.8319985303136431</v>
      </c>
      <c r="T1720" s="16" t="n">
        <v>0.7528589776411602</v>
      </c>
      <c r="U1720" s="16" t="n">
        <v>0.8849139609762232</v>
      </c>
      <c r="V1720" s="16" t="n">
        <v>0.6659295643536014</v>
      </c>
      <c r="W1720" s="16" t="n">
        <v>0.7835232166405918</v>
      </c>
      <c r="X1720" s="16" t="n">
        <v>0.7647951281739462</v>
      </c>
      <c r="Y1720" s="16" t="n">
        <v>299.1319159116181</v>
      </c>
      <c r="Z1720" s="16" t="n">
        <v>1.82060280799094</v>
      </c>
      <c r="AA1720" s="16" t="n">
        <v>11.57821919656758</v>
      </c>
      <c r="AB1720" s="16" t="n">
        <v>507.3552683630296</v>
      </c>
      <c r="AC1720" s="16" t="n">
        <v>1.225754309930527</v>
      </c>
      <c r="AD1720" s="16" t="inlineStr">
        <is>
          <t>O2</t>
        </is>
      </c>
      <c r="AE1720" s="16" t="n"/>
    </row>
    <row r="1721">
      <c r="A1721" s="16" t="inlineStr">
        <is>
          <t>KF-M04c-0149</t>
        </is>
      </c>
      <c r="B1721" s="16" t="inlineStr">
        <is>
          <t>3.3</t>
        </is>
      </c>
      <c r="C1721" s="16" t="inlineStr">
        <is>
          <t>3.3</t>
        </is>
      </c>
      <c r="D1721" s="16" t="inlineStr">
        <is>
          <t>P_baja de 1500 a 2500 kPa</t>
        </is>
      </c>
      <c r="E1721" s="16" t="inlineStr">
        <is>
          <t>KF-M04c</t>
        </is>
      </c>
      <c r="F1721" s="16" t="inlineStr">
        <is>
          <t>KF-M04c</t>
        </is>
      </c>
      <c r="G1721" s="16" t="inlineStr">
        <is>
          <t>B08</t>
        </is>
      </c>
      <c r="H1721" s="16" t="inlineStr">
        <is>
          <t>lhs</t>
        </is>
      </c>
      <c r="I1721" s="16" t="inlineStr">
        <is>
          <t>KALINA</t>
        </is>
      </c>
      <c r="J1721" s="16" t="inlineStr">
        <is>
          <t>KALINA</t>
        </is>
      </c>
      <c r="K1721" s="16" t="b">
        <v>1</v>
      </c>
      <c r="L1721" s="16" t="b">
        <v>1</v>
      </c>
      <c r="M1721" s="16" t="b">
        <v>0</v>
      </c>
      <c r="N1721" s="16" t="b">
        <v>0</v>
      </c>
      <c r="O1721" s="16" t="n">
        <v>411.0710221235994</v>
      </c>
      <c r="P1721" s="16" t="n">
        <v>290.135708800282</v>
      </c>
      <c r="Q1721" s="16" t="n">
        <v>3544.717472517385</v>
      </c>
      <c r="R1721" s="16" t="n">
        <v>2462.772922051537</v>
      </c>
      <c r="S1721" s="16" t="n">
        <v>0.7638618693472929</v>
      </c>
      <c r="T1721" s="16" t="n">
        <v>0.7820588559722593</v>
      </c>
      <c r="U1721" s="16" t="n">
        <v>0.691317451971837</v>
      </c>
      <c r="V1721" s="16" t="n">
        <v>0.7630209332114627</v>
      </c>
      <c r="W1721" s="16" t="n">
        <v>0.6075345180893899</v>
      </c>
      <c r="X1721" s="16" t="n">
        <v>0.7364672066547536</v>
      </c>
      <c r="Y1721" s="16" t="n">
        <v>290.135708800282</v>
      </c>
      <c r="Z1721" s="16" t="n">
        <v>3.10529710795641</v>
      </c>
      <c r="AA1721" s="16" t="n">
        <v>22.68058249934716</v>
      </c>
      <c r="AB1721" s="16" t="n">
        <v>1081.944550465848</v>
      </c>
      <c r="AC1721" s="16" t="n">
        <v>1.439319655002771</v>
      </c>
      <c r="AD1721" s="16" t="n"/>
      <c r="AE1721" s="16" t="n"/>
    </row>
    <row r="1722">
      <c r="A1722" s="16" t="inlineStr">
        <is>
          <t>KF-M05-1-0000</t>
        </is>
      </c>
      <c r="B1722" s="16" t="inlineStr">
        <is>
          <t>4.1</t>
        </is>
      </c>
      <c r="C1722" s="16" t="inlineStr">
        <is>
          <t>4.1a</t>
        </is>
      </c>
      <c r="D1722" s="16" t="inlineStr">
        <is>
          <t>conserva sus temperaturas</t>
        </is>
      </c>
      <c r="E1722" s="16" t="inlineStr">
        <is>
          <t>KF-M05</t>
        </is>
      </c>
      <c r="F1722" s="16" t="inlineStr">
        <is>
          <t>KF-M05-1</t>
        </is>
      </c>
      <c r="G1722" s="16" t="inlineStr">
        <is>
          <t>B09-1</t>
        </is>
      </c>
      <c r="H1722" s="16" t="inlineStr">
        <is>
          <t>lhs</t>
        </is>
      </c>
      <c r="I1722" s="16" t="inlineStr">
        <is>
          <t>NO_CONVERGIO</t>
        </is>
      </c>
      <c r="J1722" s="16" t="inlineStr">
        <is>
          <t>NO_CONVERGIO</t>
        </is>
      </c>
      <c r="K1722" s="16" t="b">
        <v>0</v>
      </c>
      <c r="L1722" s="16" t="b">
        <v>0</v>
      </c>
      <c r="M1722" s="16" t="b">
        <v>0</v>
      </c>
      <c r="N1722" s="16" t="b">
        <v>0</v>
      </c>
      <c r="O1722" s="16" t="n">
        <v>623.15</v>
      </c>
      <c r="P1722" s="16" t="n">
        <v>300.032917</v>
      </c>
      <c r="Q1722" s="16" t="n">
        <v>2511.331779608655</v>
      </c>
      <c r="R1722" s="16" t="n">
        <v>1714.135668597998</v>
      </c>
      <c r="S1722" s="16" t="n">
        <v>0.6218616420096099</v>
      </c>
      <c r="T1722" s="16" t="n">
        <v>0.6668667765927312</v>
      </c>
      <c r="U1722" s="16" t="n">
        <v>0.6704513783454906</v>
      </c>
      <c r="V1722" s="16" t="n">
        <v>0.9421880200713476</v>
      </c>
      <c r="W1722" s="16" t="n">
        <v>0.4290720236540025</v>
      </c>
      <c r="X1722" s="16" t="n">
        <v>0.6329462962916017</v>
      </c>
      <c r="Y1722" s="16" t="n">
        <v>300.032917</v>
      </c>
      <c r="Z1722" s="16" t="n"/>
      <c r="AA1722" s="16" t="n"/>
      <c r="AB1722" s="16" t="n">
        <v>797.1961110106565</v>
      </c>
      <c r="AC1722" s="16" t="n">
        <v>1.465071770930878</v>
      </c>
      <c r="AD1722" s="16" t="n"/>
      <c r="AE1722" s="16" t="n"/>
    </row>
    <row r="1723">
      <c r="A1723" s="16" t="inlineStr">
        <is>
          <t>KF-M05-1-0001</t>
        </is>
      </c>
      <c r="B1723" s="16" t="inlineStr">
        <is>
          <t>4.1</t>
        </is>
      </c>
      <c r="C1723" s="16" t="inlineStr">
        <is>
          <t>4.1a</t>
        </is>
      </c>
      <c r="D1723" s="16" t="inlineStr">
        <is>
          <t>conserva sus temperaturas</t>
        </is>
      </c>
      <c r="E1723" s="16" t="inlineStr">
        <is>
          <t>KF-M05</t>
        </is>
      </c>
      <c r="F1723" s="16" t="inlineStr">
        <is>
          <t>KF-M05-1</t>
        </is>
      </c>
      <c r="G1723" s="16" t="inlineStr">
        <is>
          <t>B09-1</t>
        </is>
      </c>
      <c r="H1723" s="16" t="inlineStr">
        <is>
          <t>lhs</t>
        </is>
      </c>
      <c r="I1723" s="16" t="inlineStr">
        <is>
          <t>NO_CONVERGIO</t>
        </is>
      </c>
      <c r="J1723" s="16" t="inlineStr">
        <is>
          <t>NO_CONVERGIO</t>
        </is>
      </c>
      <c r="K1723" s="16" t="b">
        <v>0</v>
      </c>
      <c r="L1723" s="16" t="b">
        <v>0</v>
      </c>
      <c r="M1723" s="16" t="b">
        <v>0</v>
      </c>
      <c r="N1723" s="16" t="b">
        <v>0</v>
      </c>
      <c r="O1723" s="16" t="n">
        <v>623.15</v>
      </c>
      <c r="P1723" s="16" t="n">
        <v>300.032917</v>
      </c>
      <c r="Q1723" s="16" t="n">
        <v>3259.923027450308</v>
      </c>
      <c r="R1723" s="16" t="n">
        <v>257.704076581696</v>
      </c>
      <c r="S1723" s="16" t="n">
        <v>0.6056617104907273</v>
      </c>
      <c r="T1723" s="16" t="n">
        <v>0.5240260681171944</v>
      </c>
      <c r="U1723" s="16" t="n">
        <v>0.5751584240998819</v>
      </c>
      <c r="V1723" s="16" t="n">
        <v>0.5162015898569525</v>
      </c>
      <c r="W1723" s="16" t="n">
        <v>0.7724392166463976</v>
      </c>
      <c r="X1723" s="16" t="n">
        <v>0.5121982825337271</v>
      </c>
      <c r="Y1723" s="16" t="n">
        <v>300.032917</v>
      </c>
      <c r="Z1723" s="16" t="n"/>
      <c r="AA1723" s="16" t="n"/>
      <c r="AB1723" s="16" t="n">
        <v>3002.218950868612</v>
      </c>
      <c r="AC1723" s="16" t="n">
        <v>12.64986984564392</v>
      </c>
      <c r="AD1723" s="16" t="n"/>
      <c r="AE1723" s="16" t="n"/>
    </row>
    <row r="1724">
      <c r="A1724" s="16" t="inlineStr">
        <is>
          <t>KF-M05-1-0002</t>
        </is>
      </c>
      <c r="B1724" s="16" t="inlineStr">
        <is>
          <t>4.1</t>
        </is>
      </c>
      <c r="C1724" s="16" t="inlineStr">
        <is>
          <t>4.1a</t>
        </is>
      </c>
      <c r="D1724" s="16" t="inlineStr">
        <is>
          <t>conserva sus temperaturas</t>
        </is>
      </c>
      <c r="E1724" s="16" t="inlineStr">
        <is>
          <t>KF-M05</t>
        </is>
      </c>
      <c r="F1724" s="16" t="inlineStr">
        <is>
          <t>KF-M05-1</t>
        </is>
      </c>
      <c r="G1724" s="16" t="inlineStr">
        <is>
          <t>B09-1</t>
        </is>
      </c>
      <c r="H1724" s="16" t="inlineStr">
        <is>
          <t>lhs</t>
        </is>
      </c>
      <c r="I1724" s="16" t="inlineStr">
        <is>
          <t>NO_CONVERGIO</t>
        </is>
      </c>
      <c r="J1724" s="16" t="inlineStr">
        <is>
          <t>NO_CONVERGIO</t>
        </is>
      </c>
      <c r="K1724" s="16" t="b">
        <v>0</v>
      </c>
      <c r="L1724" s="16" t="b">
        <v>0</v>
      </c>
      <c r="M1724" s="16" t="b">
        <v>0</v>
      </c>
      <c r="N1724" s="16" t="b">
        <v>0</v>
      </c>
      <c r="O1724" s="16" t="n">
        <v>623.15</v>
      </c>
      <c r="P1724" s="16" t="n">
        <v>300.032917</v>
      </c>
      <c r="Q1724" s="16" t="n">
        <v>3051.570071415058</v>
      </c>
      <c r="R1724" s="16" t="n">
        <v>1373.168624973108</v>
      </c>
      <c r="S1724" s="16" t="n">
        <v>0.5672286803004667</v>
      </c>
      <c r="T1724" s="16" t="n">
        <v>0.9292702390972474</v>
      </c>
      <c r="U1724" s="16" t="n">
        <v>0.9436724953922764</v>
      </c>
      <c r="V1724" s="16" t="n">
        <v>0.7204043302117227</v>
      </c>
      <c r="W1724" s="16" t="n">
        <v>0.8477452774740641</v>
      </c>
      <c r="X1724" s="16" t="n">
        <v>0.5042921329590483</v>
      </c>
      <c r="Y1724" s="16" t="n">
        <v>300.032917</v>
      </c>
      <c r="Z1724" s="16" t="n"/>
      <c r="AA1724" s="16" t="n"/>
      <c r="AB1724" s="16" t="n">
        <v>1678.40144644195</v>
      </c>
      <c r="AC1724" s="16" t="n">
        <v>2.222283568032164</v>
      </c>
      <c r="AD1724" s="16" t="n"/>
      <c r="AE1724" s="16" t="n"/>
    </row>
    <row r="1725">
      <c r="A1725" s="16" t="inlineStr">
        <is>
          <t>KF-M05-1-0003</t>
        </is>
      </c>
      <c r="B1725" s="16" t="inlineStr">
        <is>
          <t>4.1</t>
        </is>
      </c>
      <c r="C1725" s="16" t="inlineStr">
        <is>
          <t>4.1a</t>
        </is>
      </c>
      <c r="D1725" s="16" t="inlineStr">
        <is>
          <t>conserva sus temperaturas</t>
        </is>
      </c>
      <c r="E1725" s="16" t="inlineStr">
        <is>
          <t>KF-M05</t>
        </is>
      </c>
      <c r="F1725" s="16" t="inlineStr">
        <is>
          <t>KF-M05-1</t>
        </is>
      </c>
      <c r="G1725" s="16" t="inlineStr">
        <is>
          <t>B09-1</t>
        </is>
      </c>
      <c r="H1725" s="16" t="inlineStr">
        <is>
          <t>lhs</t>
        </is>
      </c>
      <c r="I1725" s="16" t="inlineStr">
        <is>
          <t>NO_CONVERGIO</t>
        </is>
      </c>
      <c r="J1725" s="16" t="inlineStr">
        <is>
          <t>NO_CONVERGIO</t>
        </is>
      </c>
      <c r="K1725" s="16" t="b">
        <v>0</v>
      </c>
      <c r="L1725" s="16" t="b">
        <v>0</v>
      </c>
      <c r="M1725" s="16" t="b">
        <v>0</v>
      </c>
      <c r="N1725" s="16" t="b">
        <v>0</v>
      </c>
      <c r="O1725" s="16" t="n">
        <v>623.15</v>
      </c>
      <c r="P1725" s="16" t="n">
        <v>300.032917</v>
      </c>
      <c r="Q1725" s="16" t="n">
        <v>4414.509892698457</v>
      </c>
      <c r="R1725" s="16" t="n">
        <v>858.8242190895983</v>
      </c>
      <c r="S1725" s="16" t="n">
        <v>0.6914942698173017</v>
      </c>
      <c r="T1725" s="16" t="n">
        <v>0.8031515789109853</v>
      </c>
      <c r="U1725" s="16" t="n">
        <v>0.637619748499308</v>
      </c>
      <c r="V1725" s="16" t="n">
        <v>0.7505136565913033</v>
      </c>
      <c r="W1725" s="16" t="n">
        <v>0.5787827855823959</v>
      </c>
      <c r="X1725" s="16" t="n">
        <v>0.494854061128124</v>
      </c>
      <c r="Y1725" s="16" t="n">
        <v>300.032917</v>
      </c>
      <c r="Z1725" s="16" t="n"/>
      <c r="AA1725" s="16" t="n"/>
      <c r="AB1725" s="16" t="n">
        <v>3555.68567360886</v>
      </c>
      <c r="AC1725" s="16" t="n">
        <v>5.140178623954137</v>
      </c>
      <c r="AD1725" s="16" t="n"/>
      <c r="AE1725" s="16" t="n"/>
    </row>
    <row r="1726">
      <c r="A1726" s="16" t="inlineStr">
        <is>
          <t>KF-M05-1-0004</t>
        </is>
      </c>
      <c r="B1726" s="16" t="inlineStr">
        <is>
          <t>4.1</t>
        </is>
      </c>
      <c r="C1726" s="16" t="inlineStr">
        <is>
          <t>4.1a</t>
        </is>
      </c>
      <c r="D1726" s="16" t="inlineStr">
        <is>
          <t>conserva sus temperaturas</t>
        </is>
      </c>
      <c r="E1726" s="16" t="inlineStr">
        <is>
          <t>KF-M05</t>
        </is>
      </c>
      <c r="F1726" s="16" t="inlineStr">
        <is>
          <t>KF-M05-1</t>
        </is>
      </c>
      <c r="G1726" s="16" t="inlineStr">
        <is>
          <t>B09-1</t>
        </is>
      </c>
      <c r="H1726" s="16" t="inlineStr">
        <is>
          <t>lhs</t>
        </is>
      </c>
      <c r="I1726" s="16" t="inlineStr">
        <is>
          <t>NO_CONVERGIO</t>
        </is>
      </c>
      <c r="J1726" s="16" t="inlineStr">
        <is>
          <t>NO_CONVERGIO</t>
        </is>
      </c>
      <c r="K1726" s="16" t="b">
        <v>0</v>
      </c>
      <c r="L1726" s="16" t="b">
        <v>0</v>
      </c>
      <c r="M1726" s="16" t="b">
        <v>0</v>
      </c>
      <c r="N1726" s="16" t="b">
        <v>0</v>
      </c>
      <c r="O1726" s="16" t="n">
        <v>623.15</v>
      </c>
      <c r="P1726" s="16" t="n">
        <v>300.032917</v>
      </c>
      <c r="Q1726" s="16" t="n">
        <v>3425.093264752036</v>
      </c>
      <c r="R1726" s="16" t="n">
        <v>1815.579122830634</v>
      </c>
      <c r="S1726" s="16" t="n">
        <v>0.5826742668060542</v>
      </c>
      <c r="T1726" s="16" t="n">
        <v>0.4591316704786408</v>
      </c>
      <c r="U1726" s="16" t="n">
        <v>0.8994840993832623</v>
      </c>
      <c r="V1726" s="16" t="n">
        <v>0.8655286709689356</v>
      </c>
      <c r="W1726" s="16" t="n">
        <v>0.8342961791034811</v>
      </c>
      <c r="X1726" s="16" t="n">
        <v>0.8133923545941983</v>
      </c>
      <c r="Y1726" s="16" t="n">
        <v>300.032917</v>
      </c>
      <c r="Z1726" s="16" t="n"/>
      <c r="AA1726" s="16" t="n"/>
      <c r="AB1726" s="16" t="n">
        <v>1609.514141921402</v>
      </c>
      <c r="AC1726" s="16" t="n">
        <v>1.886501789804698</v>
      </c>
      <c r="AD1726" s="16" t="n"/>
      <c r="AE1726" s="16" t="n"/>
    </row>
    <row r="1727">
      <c r="A1727" s="16" t="inlineStr">
        <is>
          <t>KF-M05-1-0005</t>
        </is>
      </c>
      <c r="B1727" s="16" t="inlineStr">
        <is>
          <t>4.1</t>
        </is>
      </c>
      <c r="C1727" s="16" t="inlineStr">
        <is>
          <t>4.1a</t>
        </is>
      </c>
      <c r="D1727" s="16" t="inlineStr">
        <is>
          <t>conserva sus temperaturas</t>
        </is>
      </c>
      <c r="E1727" s="16" t="inlineStr">
        <is>
          <t>KF-M05</t>
        </is>
      </c>
      <c r="F1727" s="16" t="inlineStr">
        <is>
          <t>KF-M05-1</t>
        </is>
      </c>
      <c r="G1727" s="16" t="inlineStr">
        <is>
          <t>B09-1</t>
        </is>
      </c>
      <c r="H1727" s="16" t="inlineStr">
        <is>
          <t>lhs</t>
        </is>
      </c>
      <c r="I1727" s="16" t="inlineStr">
        <is>
          <t>NO_CONVERGIO</t>
        </is>
      </c>
      <c r="J1727" s="16" t="inlineStr">
        <is>
          <t>NO_CONVERGIO</t>
        </is>
      </c>
      <c r="K1727" s="16" t="b">
        <v>0</v>
      </c>
      <c r="L1727" s="16" t="b">
        <v>0</v>
      </c>
      <c r="M1727" s="16" t="b">
        <v>0</v>
      </c>
      <c r="N1727" s="16" t="b">
        <v>0</v>
      </c>
      <c r="O1727" s="16" t="n">
        <v>623.15</v>
      </c>
      <c r="P1727" s="16" t="n">
        <v>300.032917</v>
      </c>
      <c r="Q1727" s="16" t="n">
        <v>4621.859088498904</v>
      </c>
      <c r="R1727" s="16" t="n">
        <v>680.4407400432583</v>
      </c>
      <c r="S1727" s="16" t="n">
        <v>0.7450250873712763</v>
      </c>
      <c r="T1727" s="16" t="n">
        <v>0.4669321913688635</v>
      </c>
      <c r="U1727" s="16" t="n">
        <v>0.7402574310378607</v>
      </c>
      <c r="V1727" s="16" t="n">
        <v>0.5782495934569621</v>
      </c>
      <c r="W1727" s="16" t="n">
        <v>0.7834567125225439</v>
      </c>
      <c r="X1727" s="16" t="n">
        <v>0.6420927694509965</v>
      </c>
      <c r="Y1727" s="16" t="n">
        <v>300.032917</v>
      </c>
      <c r="Z1727" s="16" t="n"/>
      <c r="AA1727" s="16" t="n"/>
      <c r="AB1727" s="16" t="n">
        <v>3941.418348455646</v>
      </c>
      <c r="AC1727" s="16" t="n">
        <v>6.792449094398837</v>
      </c>
      <c r="AD1727" s="16" t="n"/>
      <c r="AE1727" s="16" t="n"/>
    </row>
    <row r="1728">
      <c r="A1728" s="16" t="inlineStr">
        <is>
          <t>KF-M05-1-0006</t>
        </is>
      </c>
      <c r="B1728" s="16" t="inlineStr">
        <is>
          <t>4.1</t>
        </is>
      </c>
      <c r="C1728" s="16" t="inlineStr">
        <is>
          <t>4.1a</t>
        </is>
      </c>
      <c r="D1728" s="16" t="inlineStr">
        <is>
          <t>conserva sus temperaturas</t>
        </is>
      </c>
      <c r="E1728" s="16" t="inlineStr">
        <is>
          <t>KF-M05</t>
        </is>
      </c>
      <c r="F1728" s="16" t="inlineStr">
        <is>
          <t>KF-M05-1</t>
        </is>
      </c>
      <c r="G1728" s="16" t="inlineStr">
        <is>
          <t>B09-1</t>
        </is>
      </c>
      <c r="H1728" s="16" t="inlineStr">
        <is>
          <t>lhs</t>
        </is>
      </c>
      <c r="I1728" s="16" t="inlineStr">
        <is>
          <t>CORREGIBLE</t>
        </is>
      </c>
      <c r="J1728" s="16" t="inlineStr">
        <is>
          <t>CORREGIBLE</t>
        </is>
      </c>
      <c r="K1728" s="16" t="b">
        <v>1</v>
      </c>
      <c r="L1728" s="16" t="b">
        <v>0</v>
      </c>
      <c r="M1728" s="16" t="b">
        <v>1</v>
      </c>
      <c r="N1728" s="16" t="b">
        <v>0</v>
      </c>
      <c r="O1728" s="16" t="n">
        <v>623.15</v>
      </c>
      <c r="P1728" s="16" t="n">
        <v>300.032917</v>
      </c>
      <c r="Q1728" s="16" t="n">
        <v>3882.966114501743</v>
      </c>
      <c r="R1728" s="16" t="n">
        <v>641.705417603971</v>
      </c>
      <c r="S1728" s="16" t="n">
        <v>0.639425589446207</v>
      </c>
      <c r="T1728" s="16" t="n">
        <v>0.4157082393151421</v>
      </c>
      <c r="U1728" s="16" t="n">
        <v>0.924397181671508</v>
      </c>
      <c r="V1728" s="16" t="n">
        <v>0.5432377821884421</v>
      </c>
      <c r="W1728" s="16" t="n">
        <v>0.6189639261512576</v>
      </c>
      <c r="X1728" s="16" t="n">
        <v>0.6125485086842548</v>
      </c>
      <c r="Y1728" s="16" t="n">
        <v>300.032917</v>
      </c>
      <c r="Z1728" s="16" t="n">
        <v>0.25562414469775</v>
      </c>
      <c r="AA1728" s="16" t="n">
        <v>2.499819100641133</v>
      </c>
      <c r="AB1728" s="16" t="n">
        <v>3241.260696897772</v>
      </c>
      <c r="AC1728" s="16" t="n">
        <v>6.051010335864296</v>
      </c>
      <c r="AD1728" s="16" t="inlineStr">
        <is>
          <t>O2</t>
        </is>
      </c>
      <c r="AE1728" s="16" t="n"/>
    </row>
    <row r="1729">
      <c r="A1729" s="16" t="inlineStr">
        <is>
          <t>KF-M05-1-0007</t>
        </is>
      </c>
      <c r="B1729" s="16" t="inlineStr">
        <is>
          <t>4.1</t>
        </is>
      </c>
      <c r="C1729" s="16" t="inlineStr">
        <is>
          <t>4.1a</t>
        </is>
      </c>
      <c r="D1729" s="16" t="inlineStr">
        <is>
          <t>conserva sus temperaturas</t>
        </is>
      </c>
      <c r="E1729" s="16" t="inlineStr">
        <is>
          <t>KF-M05</t>
        </is>
      </c>
      <c r="F1729" s="16" t="inlineStr">
        <is>
          <t>KF-M05-1</t>
        </is>
      </c>
      <c r="G1729" s="16" t="inlineStr">
        <is>
          <t>B09-1</t>
        </is>
      </c>
      <c r="H1729" s="16" t="inlineStr">
        <is>
          <t>lhs</t>
        </is>
      </c>
      <c r="I1729" s="16" t="inlineStr">
        <is>
          <t>CORREGIBLE</t>
        </is>
      </c>
      <c r="J1729" s="16" t="inlineStr">
        <is>
          <t>CORREGIBLE</t>
        </is>
      </c>
      <c r="K1729" s="16" t="b">
        <v>1</v>
      </c>
      <c r="L1729" s="16" t="b">
        <v>0</v>
      </c>
      <c r="M1729" s="16" t="b">
        <v>1</v>
      </c>
      <c r="N1729" s="16" t="b">
        <v>0</v>
      </c>
      <c r="O1729" s="16" t="n">
        <v>623.15</v>
      </c>
      <c r="P1729" s="16" t="n">
        <v>300.032917</v>
      </c>
      <c r="Q1729" s="16" t="n">
        <v>3787.564501720889</v>
      </c>
      <c r="R1729" s="16" t="n">
        <v>934.0840816916374</v>
      </c>
      <c r="S1729" s="16" t="n">
        <v>0.8305581910838759</v>
      </c>
      <c r="T1729" s="16" t="n">
        <v>0.502685068450049</v>
      </c>
      <c r="U1729" s="16" t="n">
        <v>0.507911695971641</v>
      </c>
      <c r="V1729" s="16" t="n">
        <v>0.6802659143689957</v>
      </c>
      <c r="W1729" s="16" t="n">
        <v>0.8166099019072999</v>
      </c>
      <c r="X1729" s="16" t="n">
        <v>0.9445468324840104</v>
      </c>
      <c r="Y1729" s="16" t="n">
        <v>300.032917</v>
      </c>
      <c r="Z1729" s="16" t="n">
        <v>6.65963513466785</v>
      </c>
      <c r="AA1729" s="16" t="n">
        <v>96.83378722489212</v>
      </c>
      <c r="AB1729" s="16" t="n">
        <v>2853.480420029251</v>
      </c>
      <c r="AC1729" s="16" t="n">
        <v>4.054843215892904</v>
      </c>
      <c r="AD1729" s="16" t="inlineStr">
        <is>
          <t>O2</t>
        </is>
      </c>
      <c r="AE1729" s="16" t="n"/>
    </row>
    <row r="1730">
      <c r="A1730" s="16" t="inlineStr">
        <is>
          <t>KF-M05-1-0008</t>
        </is>
      </c>
      <c r="B1730" s="16" t="inlineStr">
        <is>
          <t>4.1</t>
        </is>
      </c>
      <c r="C1730" s="16" t="inlineStr">
        <is>
          <t>4.1a</t>
        </is>
      </c>
      <c r="D1730" s="16" t="inlineStr">
        <is>
          <t>conserva sus temperaturas</t>
        </is>
      </c>
      <c r="E1730" s="16" t="inlineStr">
        <is>
          <t>KF-M05</t>
        </is>
      </c>
      <c r="F1730" s="16" t="inlineStr">
        <is>
          <t>KF-M05-1</t>
        </is>
      </c>
      <c r="G1730" s="16" t="inlineStr">
        <is>
          <t>B09-1</t>
        </is>
      </c>
      <c r="H1730" s="16" t="inlineStr">
        <is>
          <t>lhs</t>
        </is>
      </c>
      <c r="I1730" s="16" t="inlineStr">
        <is>
          <t>NO_CONVERGIO</t>
        </is>
      </c>
      <c r="J1730" s="16" t="inlineStr">
        <is>
          <t>NO_CONVERGIO</t>
        </is>
      </c>
      <c r="K1730" s="16" t="b">
        <v>0</v>
      </c>
      <c r="L1730" s="16" t="b">
        <v>0</v>
      </c>
      <c r="M1730" s="16" t="b">
        <v>0</v>
      </c>
      <c r="N1730" s="16" t="b">
        <v>0</v>
      </c>
      <c r="O1730" s="16" t="n">
        <v>623.15</v>
      </c>
      <c r="P1730" s="16" t="n">
        <v>300.032917</v>
      </c>
      <c r="Q1730" s="16" t="n">
        <v>2172.751910283414</v>
      </c>
      <c r="R1730" s="16" t="n">
        <v>397.6384352498569</v>
      </c>
      <c r="S1730" s="16" t="n">
        <v>0.7999359609633213</v>
      </c>
      <c r="T1730" s="16" t="n">
        <v>0.7869785039934351</v>
      </c>
      <c r="U1730" s="16" t="n">
        <v>0.639919824080436</v>
      </c>
      <c r="V1730" s="16" t="n">
        <v>0.5922028449002759</v>
      </c>
      <c r="W1730" s="16" t="n">
        <v>0.6322387854941781</v>
      </c>
      <c r="X1730" s="16" t="n">
        <v>0.6787463568178609</v>
      </c>
      <c r="Y1730" s="16" t="n">
        <v>300.032917</v>
      </c>
      <c r="Z1730" s="16" t="n"/>
      <c r="AA1730" s="16" t="n"/>
      <c r="AB1730" s="16" t="n">
        <v>1775.113475033557</v>
      </c>
      <c r="AC1730" s="16" t="n">
        <v>5.46413957422944</v>
      </c>
      <c r="AD1730" s="16" t="n"/>
      <c r="AE1730" s="16" t="n"/>
    </row>
    <row r="1731">
      <c r="A1731" s="16" t="inlineStr">
        <is>
          <t>KF-M05-1-0009</t>
        </is>
      </c>
      <c r="B1731" s="16" t="inlineStr">
        <is>
          <t>4.1</t>
        </is>
      </c>
      <c r="C1731" s="16" t="inlineStr">
        <is>
          <t>4.1a</t>
        </is>
      </c>
      <c r="D1731" s="16" t="inlineStr">
        <is>
          <t>conserva sus temperaturas</t>
        </is>
      </c>
      <c r="E1731" s="16" t="inlineStr">
        <is>
          <t>KF-M05</t>
        </is>
      </c>
      <c r="F1731" s="16" t="inlineStr">
        <is>
          <t>KF-M05-1</t>
        </is>
      </c>
      <c r="G1731" s="16" t="inlineStr">
        <is>
          <t>B09-1</t>
        </is>
      </c>
      <c r="H1731" s="16" t="inlineStr">
        <is>
          <t>lhs</t>
        </is>
      </c>
      <c r="I1731" s="16" t="inlineStr">
        <is>
          <t>CORREGIBLE</t>
        </is>
      </c>
      <c r="J1731" s="16" t="inlineStr">
        <is>
          <t>CORREGIBLE</t>
        </is>
      </c>
      <c r="K1731" s="16" t="b">
        <v>1</v>
      </c>
      <c r="L1731" s="16" t="b">
        <v>0</v>
      </c>
      <c r="M1731" s="16" t="b">
        <v>1</v>
      </c>
      <c r="N1731" s="16" t="b">
        <v>0</v>
      </c>
      <c r="O1731" s="16" t="n">
        <v>623.15</v>
      </c>
      <c r="P1731" s="16" t="n">
        <v>300.032917</v>
      </c>
      <c r="Q1731" s="16" t="n">
        <v>3497.260311374532</v>
      </c>
      <c r="R1731" s="16" t="n">
        <v>955.7426006565868</v>
      </c>
      <c r="S1731" s="16" t="n">
        <v>0.5222379464797274</v>
      </c>
      <c r="T1731" s="16" t="n">
        <v>0.947453889067729</v>
      </c>
      <c r="U1731" s="16" t="n">
        <v>0.7117250369501817</v>
      </c>
      <c r="V1731" s="16" t="n">
        <v>0.7064805611173914</v>
      </c>
      <c r="W1731" s="16" t="n">
        <v>0.4386171452418393</v>
      </c>
      <c r="X1731" s="16" t="n">
        <v>0.6059612125283188</v>
      </c>
      <c r="Y1731" s="16" t="n">
        <v>300.032917</v>
      </c>
      <c r="Z1731" s="16" t="n">
        <v>8.824231530548781</v>
      </c>
      <c r="AA1731" s="16" t="n">
        <v>114.3967437950733</v>
      </c>
      <c r="AB1731" s="16" t="n">
        <v>2541.517710717945</v>
      </c>
      <c r="AC1731" s="16" t="n">
        <v>3.659207310600098</v>
      </c>
      <c r="AD1731" s="16" t="inlineStr">
        <is>
          <t>O2</t>
        </is>
      </c>
      <c r="AE1731" s="16" t="n"/>
    </row>
    <row r="1732">
      <c r="A1732" s="16" t="inlineStr">
        <is>
          <t>KF-M05-1-0010</t>
        </is>
      </c>
      <c r="B1732" s="16" t="inlineStr">
        <is>
          <t>4.1</t>
        </is>
      </c>
      <c r="C1732" s="16" t="inlineStr">
        <is>
          <t>4.1a</t>
        </is>
      </c>
      <c r="D1732" s="16" t="inlineStr">
        <is>
          <t>conserva sus temperaturas</t>
        </is>
      </c>
      <c r="E1732" s="16" t="inlineStr">
        <is>
          <t>KF-M05</t>
        </is>
      </c>
      <c r="F1732" s="16" t="inlineStr">
        <is>
          <t>KF-M05-1</t>
        </is>
      </c>
      <c r="G1732" s="16" t="inlineStr">
        <is>
          <t>B09-1</t>
        </is>
      </c>
      <c r="H1732" s="16" t="inlineStr">
        <is>
          <t>lhs</t>
        </is>
      </c>
      <c r="I1732" s="16" t="inlineStr">
        <is>
          <t>NO_CONVERGIO</t>
        </is>
      </c>
      <c r="J1732" s="16" t="inlineStr">
        <is>
          <t>NO_CONVERGIO</t>
        </is>
      </c>
      <c r="K1732" s="16" t="b">
        <v>0</v>
      </c>
      <c r="L1732" s="16" t="b">
        <v>0</v>
      </c>
      <c r="M1732" s="16" t="b">
        <v>0</v>
      </c>
      <c r="N1732" s="16" t="b">
        <v>0</v>
      </c>
      <c r="O1732" s="16" t="n">
        <v>623.15</v>
      </c>
      <c r="P1732" s="16" t="n">
        <v>300.032917</v>
      </c>
      <c r="Q1732" s="16" t="n">
        <v>4399.537383166675</v>
      </c>
      <c r="R1732" s="16" t="n">
        <v>1043.788124922488</v>
      </c>
      <c r="S1732" s="16" t="n">
        <v>0.7856526074230619</v>
      </c>
      <c r="T1732" s="16" t="n">
        <v>0.7293151465618384</v>
      </c>
      <c r="U1732" s="16" t="n">
        <v>0.5234383132196376</v>
      </c>
      <c r="V1732" s="16" t="n">
        <v>0.7629246160322338</v>
      </c>
      <c r="W1732" s="16" t="n">
        <v>0.4056766301615097</v>
      </c>
      <c r="X1732" s="16" t="n">
        <v>0.7556178176450774</v>
      </c>
      <c r="Y1732" s="16" t="n">
        <v>300.032917</v>
      </c>
      <c r="Z1732" s="16" t="n"/>
      <c r="AA1732" s="16" t="n"/>
      <c r="AB1732" s="16" t="n">
        <v>3355.749258244186</v>
      </c>
      <c r="AC1732" s="16" t="n">
        <v>4.214971676836603</v>
      </c>
      <c r="AD1732" s="16" t="n"/>
      <c r="AE1732" s="16" t="n"/>
    </row>
    <row r="1733">
      <c r="A1733" s="16" t="inlineStr">
        <is>
          <t>KF-M05-1-0011</t>
        </is>
      </c>
      <c r="B1733" s="16" t="inlineStr">
        <is>
          <t>4.1</t>
        </is>
      </c>
      <c r="C1733" s="16" t="inlineStr">
        <is>
          <t>4.1a</t>
        </is>
      </c>
      <c r="D1733" s="16" t="inlineStr">
        <is>
          <t>conserva sus temperaturas</t>
        </is>
      </c>
      <c r="E1733" s="16" t="inlineStr">
        <is>
          <t>KF-M05</t>
        </is>
      </c>
      <c r="F1733" s="16" t="inlineStr">
        <is>
          <t>KF-M05-1</t>
        </is>
      </c>
      <c r="G1733" s="16" t="inlineStr">
        <is>
          <t>B09-1</t>
        </is>
      </c>
      <c r="H1733" s="16" t="inlineStr">
        <is>
          <t>lhs</t>
        </is>
      </c>
      <c r="I1733" s="16" t="inlineStr">
        <is>
          <t>NO_CONVERGIO</t>
        </is>
      </c>
      <c r="J1733" s="16" t="inlineStr">
        <is>
          <t>NO_CONVERGIO</t>
        </is>
      </c>
      <c r="K1733" s="16" t="b">
        <v>0</v>
      </c>
      <c r="L1733" s="16" t="b">
        <v>0</v>
      </c>
      <c r="M1733" s="16" t="b">
        <v>0</v>
      </c>
      <c r="N1733" s="16" t="b">
        <v>0</v>
      </c>
      <c r="O1733" s="16" t="n">
        <v>623.15</v>
      </c>
      <c r="P1733" s="16" t="n">
        <v>300.032917</v>
      </c>
      <c r="Q1733" s="16" t="n">
        <v>3836.438192286669</v>
      </c>
      <c r="R1733" s="16" t="n">
        <v>662.985062927439</v>
      </c>
      <c r="S1733" s="16" t="n">
        <v>0.8183264234415529</v>
      </c>
      <c r="T1733" s="16" t="n">
        <v>0.5120753092237196</v>
      </c>
      <c r="U1733" s="16" t="n">
        <v>0.4380075204633505</v>
      </c>
      <c r="V1733" s="16" t="n">
        <v>0.9047729343250516</v>
      </c>
      <c r="W1733" s="16" t="n">
        <v>0.55431859625403</v>
      </c>
      <c r="X1733" s="16" t="n">
        <v>0.8901026323467736</v>
      </c>
      <c r="Y1733" s="16" t="n">
        <v>300.032917</v>
      </c>
      <c r="Z1733" s="16" t="n"/>
      <c r="AA1733" s="16" t="n"/>
      <c r="AB1733" s="16" t="n">
        <v>3173.45312935923</v>
      </c>
      <c r="AC1733" s="16" t="n">
        <v>5.78661331425283</v>
      </c>
      <c r="AD1733" s="16" t="n"/>
      <c r="AE1733" s="16" t="n"/>
    </row>
    <row r="1734">
      <c r="A1734" s="16" t="inlineStr">
        <is>
          <t>KF-M05-1-0012</t>
        </is>
      </c>
      <c r="B1734" s="16" t="inlineStr">
        <is>
          <t>4.1</t>
        </is>
      </c>
      <c r="C1734" s="16" t="inlineStr">
        <is>
          <t>4.1a</t>
        </is>
      </c>
      <c r="D1734" s="16" t="inlineStr">
        <is>
          <t>conserva sus temperaturas</t>
        </is>
      </c>
      <c r="E1734" s="16" t="inlineStr">
        <is>
          <t>KF-M05</t>
        </is>
      </c>
      <c r="F1734" s="16" t="inlineStr">
        <is>
          <t>KF-M05-1</t>
        </is>
      </c>
      <c r="G1734" s="16" t="inlineStr">
        <is>
          <t>B09-1</t>
        </is>
      </c>
      <c r="H1734" s="16" t="inlineStr">
        <is>
          <t>lhs</t>
        </is>
      </c>
      <c r="I1734" s="16" t="inlineStr">
        <is>
          <t>CORREGIBLE</t>
        </is>
      </c>
      <c r="J1734" s="16" t="inlineStr">
        <is>
          <t>CORREGIBLE</t>
        </is>
      </c>
      <c r="K1734" s="16" t="b">
        <v>1</v>
      </c>
      <c r="L1734" s="16" t="b">
        <v>0</v>
      </c>
      <c r="M1734" s="16" t="b">
        <v>1</v>
      </c>
      <c r="N1734" s="16" t="b">
        <v>0</v>
      </c>
      <c r="O1734" s="16" t="n">
        <v>623.15</v>
      </c>
      <c r="P1734" s="16" t="n">
        <v>300.032917</v>
      </c>
      <c r="Q1734" s="16" t="n">
        <v>3943.330238123379</v>
      </c>
      <c r="R1734" s="16" t="n">
        <v>1253.143857069151</v>
      </c>
      <c r="S1734" s="16" t="n">
        <v>0.5083136480459718</v>
      </c>
      <c r="T1734" s="16" t="n">
        <v>0.4856789045471474</v>
      </c>
      <c r="U1734" s="16" t="n">
        <v>0.489422583108638</v>
      </c>
      <c r="V1734" s="16" t="n">
        <v>0.4044100957985153</v>
      </c>
      <c r="W1734" s="16" t="n">
        <v>0.8859174269778339</v>
      </c>
      <c r="X1734" s="16" t="n">
        <v>0.7353476143733471</v>
      </c>
      <c r="Y1734" s="16" t="n">
        <v>300.032917</v>
      </c>
      <c r="Z1734" s="16" t="n">
        <v>4.26971993633286</v>
      </c>
      <c r="AA1734" s="16" t="n">
        <v>38.11864574942074</v>
      </c>
      <c r="AB1734" s="16" t="n">
        <v>2690.186381054228</v>
      </c>
      <c r="AC1734" s="16" t="n">
        <v>3.146749845102403</v>
      </c>
      <c r="AD1734" s="16" t="inlineStr">
        <is>
          <t>O2</t>
        </is>
      </c>
      <c r="AE1734" s="16" t="n"/>
    </row>
    <row r="1735">
      <c r="A1735" s="16" t="inlineStr">
        <is>
          <t>KF-M05-1-0013</t>
        </is>
      </c>
      <c r="B1735" s="16" t="inlineStr">
        <is>
          <t>4.1</t>
        </is>
      </c>
      <c r="C1735" s="16" t="inlineStr">
        <is>
          <t>4.1a</t>
        </is>
      </c>
      <c r="D1735" s="16" t="inlineStr">
        <is>
          <t>conserva sus temperaturas</t>
        </is>
      </c>
      <c r="E1735" s="16" t="inlineStr">
        <is>
          <t>KF-M05</t>
        </is>
      </c>
      <c r="F1735" s="16" t="inlineStr">
        <is>
          <t>KF-M05-1</t>
        </is>
      </c>
      <c r="G1735" s="16" t="inlineStr">
        <is>
          <t>B09-1</t>
        </is>
      </c>
      <c r="H1735" s="16" t="inlineStr">
        <is>
          <t>lhs</t>
        </is>
      </c>
      <c r="I1735" s="16" t="inlineStr">
        <is>
          <t>NO_CONVERGIO</t>
        </is>
      </c>
      <c r="J1735" s="16" t="inlineStr">
        <is>
          <t>NO_CONVERGIO</t>
        </is>
      </c>
      <c r="K1735" s="16" t="b">
        <v>0</v>
      </c>
      <c r="L1735" s="16" t="b">
        <v>0</v>
      </c>
      <c r="M1735" s="16" t="b">
        <v>0</v>
      </c>
      <c r="N1735" s="16" t="b">
        <v>0</v>
      </c>
      <c r="O1735" s="16" t="n">
        <v>623.15</v>
      </c>
      <c r="P1735" s="16" t="n">
        <v>300.032917</v>
      </c>
      <c r="Q1735" s="16" t="n">
        <v>4062.578691697691</v>
      </c>
      <c r="R1735" s="16" t="n">
        <v>244.3631874754892</v>
      </c>
      <c r="S1735" s="16" t="n">
        <v>0.5050061339770994</v>
      </c>
      <c r="T1735" s="16" t="n">
        <v>0.7305658765599213</v>
      </c>
      <c r="U1735" s="16" t="n">
        <v>0.7561017770889933</v>
      </c>
      <c r="V1735" s="16" t="n">
        <v>0.8433873027364294</v>
      </c>
      <c r="W1735" s="16" t="n">
        <v>0.6937320205569741</v>
      </c>
      <c r="X1735" s="16" t="n">
        <v>0.8064093709387365</v>
      </c>
      <c r="Y1735" s="16" t="n">
        <v>300.032917</v>
      </c>
      <c r="Z1735" s="16" t="n"/>
      <c r="AA1735" s="16" t="n"/>
      <c r="AB1735" s="16" t="n">
        <v>3818.215504222202</v>
      </c>
      <c r="AC1735" s="16" t="n">
        <v>16.62516655502862</v>
      </c>
      <c r="AD1735" s="16" t="n"/>
      <c r="AE1735" s="16" t="n"/>
    </row>
    <row r="1736">
      <c r="A1736" s="16" t="inlineStr">
        <is>
          <t>KF-M05-1-0014</t>
        </is>
      </c>
      <c r="B1736" s="16" t="inlineStr">
        <is>
          <t>4.1</t>
        </is>
      </c>
      <c r="C1736" s="16" t="inlineStr">
        <is>
          <t>4.1a</t>
        </is>
      </c>
      <c r="D1736" s="16" t="inlineStr">
        <is>
          <t>conserva sus temperaturas</t>
        </is>
      </c>
      <c r="E1736" s="16" t="inlineStr">
        <is>
          <t>KF-M05</t>
        </is>
      </c>
      <c r="F1736" s="16" t="inlineStr">
        <is>
          <t>KF-M05-1</t>
        </is>
      </c>
      <c r="G1736" s="16" t="inlineStr">
        <is>
          <t>B09-1</t>
        </is>
      </c>
      <c r="H1736" s="16" t="inlineStr">
        <is>
          <t>lhs</t>
        </is>
      </c>
      <c r="I1736" s="16" t="inlineStr">
        <is>
          <t>NO_CONVERGIO</t>
        </is>
      </c>
      <c r="J1736" s="16" t="inlineStr">
        <is>
          <t>NO_CONVERGIO</t>
        </is>
      </c>
      <c r="K1736" s="16" t="b">
        <v>0</v>
      </c>
      <c r="L1736" s="16" t="b">
        <v>0</v>
      </c>
      <c r="M1736" s="16" t="b">
        <v>0</v>
      </c>
      <c r="N1736" s="16" t="b">
        <v>0</v>
      </c>
      <c r="O1736" s="16" t="n">
        <v>623.15</v>
      </c>
      <c r="P1736" s="16" t="n">
        <v>300.032917</v>
      </c>
      <c r="Q1736" s="16" t="n">
        <v>4196.49343117344</v>
      </c>
      <c r="R1736" s="16" t="n">
        <v>1838.682028887409</v>
      </c>
      <c r="S1736" s="16" t="n">
        <v>0.7632268347158149</v>
      </c>
      <c r="T1736" s="16" t="n">
        <v>0.6172351994099612</v>
      </c>
      <c r="U1736" s="16" t="n">
        <v>0.5856989504614846</v>
      </c>
      <c r="V1736" s="16" t="n">
        <v>0.8082202755562595</v>
      </c>
      <c r="W1736" s="16" t="n">
        <v>0.5586661743189427</v>
      </c>
      <c r="X1736" s="16" t="n">
        <v>0.4651671400104106</v>
      </c>
      <c r="Y1736" s="16" t="n">
        <v>300.032917</v>
      </c>
      <c r="Z1736" s="16" t="n"/>
      <c r="AA1736" s="16" t="n"/>
      <c r="AB1736" s="16" t="n">
        <v>2357.811402286031</v>
      </c>
      <c r="AC1736" s="16" t="n">
        <v>2.282337764356542</v>
      </c>
      <c r="AD1736" s="16" t="n"/>
      <c r="AE1736" s="16" t="n"/>
    </row>
    <row r="1737">
      <c r="A1737" s="16" t="inlineStr">
        <is>
          <t>KF-M05-1-0015</t>
        </is>
      </c>
      <c r="B1737" s="16" t="inlineStr">
        <is>
          <t>4.1</t>
        </is>
      </c>
      <c r="C1737" s="16" t="inlineStr">
        <is>
          <t>4.1a</t>
        </is>
      </c>
      <c r="D1737" s="16" t="inlineStr">
        <is>
          <t>conserva sus temperaturas</t>
        </is>
      </c>
      <c r="E1737" s="16" t="inlineStr">
        <is>
          <t>KF-M05</t>
        </is>
      </c>
      <c r="F1737" s="16" t="inlineStr">
        <is>
          <t>KF-M05-1</t>
        </is>
      </c>
      <c r="G1737" s="16" t="inlineStr">
        <is>
          <t>B09-1</t>
        </is>
      </c>
      <c r="H1737" s="16" t="inlineStr">
        <is>
          <t>lhs</t>
        </is>
      </c>
      <c r="I1737" s="16" t="inlineStr">
        <is>
          <t>NO_CONVERGIO</t>
        </is>
      </c>
      <c r="J1737" s="16" t="inlineStr">
        <is>
          <t>NO_CONVERGIO</t>
        </is>
      </c>
      <c r="K1737" s="16" t="b">
        <v>0</v>
      </c>
      <c r="L1737" s="16" t="b">
        <v>0</v>
      </c>
      <c r="M1737" s="16" t="b">
        <v>0</v>
      </c>
      <c r="N1737" s="16" t="b">
        <v>0</v>
      </c>
      <c r="O1737" s="16" t="n">
        <v>623.15</v>
      </c>
      <c r="P1737" s="16" t="n">
        <v>300.032917</v>
      </c>
      <c r="Q1737" s="16" t="n">
        <v>2135.608310660421</v>
      </c>
      <c r="R1737" s="16" t="n">
        <v>1348.736493880329</v>
      </c>
      <c r="S1737" s="16" t="n">
        <v>0.7882450647681407</v>
      </c>
      <c r="T1737" s="16" t="n">
        <v>0.5582281011580974</v>
      </c>
      <c r="U1737" s="16" t="n">
        <v>0.4308762407771938</v>
      </c>
      <c r="V1737" s="16" t="n">
        <v>0.6409601840558231</v>
      </c>
      <c r="W1737" s="16" t="n">
        <v>0.7184037637110705</v>
      </c>
      <c r="X1737" s="16" t="n">
        <v>0.4318279207722777</v>
      </c>
      <c r="Y1737" s="16" t="n">
        <v>300.032917</v>
      </c>
      <c r="Z1737" s="16" t="n"/>
      <c r="AA1737" s="16" t="n"/>
      <c r="AB1737" s="16" t="n">
        <v>786.8718167800916</v>
      </c>
      <c r="AC1737" s="16" t="n">
        <v>1.583414047406883</v>
      </c>
      <c r="AD1737" s="16" t="n"/>
      <c r="AE1737" s="16" t="n"/>
    </row>
    <row r="1738">
      <c r="A1738" s="16" t="inlineStr">
        <is>
          <t>KF-M05-1-0016</t>
        </is>
      </c>
      <c r="B1738" s="16" t="inlineStr">
        <is>
          <t>4.1</t>
        </is>
      </c>
      <c r="C1738" s="16" t="inlineStr">
        <is>
          <t>4.1a</t>
        </is>
      </c>
      <c r="D1738" s="16" t="inlineStr">
        <is>
          <t>conserva sus temperaturas</t>
        </is>
      </c>
      <c r="E1738" s="16" t="inlineStr">
        <is>
          <t>KF-M05</t>
        </is>
      </c>
      <c r="F1738" s="16" t="inlineStr">
        <is>
          <t>KF-M05-1</t>
        </is>
      </c>
      <c r="G1738" s="16" t="inlineStr">
        <is>
          <t>B09-1</t>
        </is>
      </c>
      <c r="H1738" s="16" t="inlineStr">
        <is>
          <t>lhs</t>
        </is>
      </c>
      <c r="I1738" s="16" t="inlineStr">
        <is>
          <t>CORREGIBLE</t>
        </is>
      </c>
      <c r="J1738" s="16" t="inlineStr">
        <is>
          <t>CORREGIBLE</t>
        </is>
      </c>
      <c r="K1738" s="16" t="b">
        <v>1</v>
      </c>
      <c r="L1738" s="16" t="b">
        <v>0</v>
      </c>
      <c r="M1738" s="16" t="b">
        <v>1</v>
      </c>
      <c r="N1738" s="16" t="b">
        <v>0</v>
      </c>
      <c r="O1738" s="16" t="n">
        <v>623.15</v>
      </c>
      <c r="P1738" s="16" t="n">
        <v>300.032917</v>
      </c>
      <c r="Q1738" s="16" t="n">
        <v>4513.997343380708</v>
      </c>
      <c r="R1738" s="16" t="n">
        <v>343.5264130373769</v>
      </c>
      <c r="S1738" s="16" t="n">
        <v>0.6086853939995635</v>
      </c>
      <c r="T1738" s="16" t="n">
        <v>0.8962986766637198</v>
      </c>
      <c r="U1738" s="16" t="n">
        <v>0.5458942641594926</v>
      </c>
      <c r="V1738" s="16" t="n">
        <v>0.6058302119230919</v>
      </c>
      <c r="W1738" s="16" t="n">
        <v>0.6641512952676514</v>
      </c>
      <c r="X1738" s="16" t="n">
        <v>0.7330832346341305</v>
      </c>
      <c r="Y1738" s="16" t="n">
        <v>300.032917</v>
      </c>
      <c r="Z1738" s="16" t="n">
        <v>7.74711579972919</v>
      </c>
      <c r="AA1738" s="16" t="n">
        <v>78.01486985151303</v>
      </c>
      <c r="AB1738" s="16" t="n">
        <v>4170.470930343331</v>
      </c>
      <c r="AC1738" s="16" t="n">
        <v>13.14017546269308</v>
      </c>
      <c r="AD1738" s="16" t="inlineStr">
        <is>
          <t>O1,O2</t>
        </is>
      </c>
      <c r="AE1738" s="16" t="n"/>
    </row>
    <row r="1739">
      <c r="A1739" s="16" t="inlineStr">
        <is>
          <t>KF-M05-1-0017</t>
        </is>
      </c>
      <c r="B1739" s="16" t="inlineStr">
        <is>
          <t>4.1</t>
        </is>
      </c>
      <c r="C1739" s="16" t="inlineStr">
        <is>
          <t>4.1a</t>
        </is>
      </c>
      <c r="D1739" s="16" t="inlineStr">
        <is>
          <t>conserva sus temperaturas</t>
        </is>
      </c>
      <c r="E1739" s="16" t="inlineStr">
        <is>
          <t>KF-M05</t>
        </is>
      </c>
      <c r="F1739" s="16" t="inlineStr">
        <is>
          <t>KF-M05-1</t>
        </is>
      </c>
      <c r="G1739" s="16" t="inlineStr">
        <is>
          <t>B09-1</t>
        </is>
      </c>
      <c r="H1739" s="16" t="inlineStr">
        <is>
          <t>lhs</t>
        </is>
      </c>
      <c r="I1739" s="16" t="inlineStr">
        <is>
          <t>NO_CONVERGIO</t>
        </is>
      </c>
      <c r="J1739" s="16" t="inlineStr">
        <is>
          <t>NO_CONVERGIO</t>
        </is>
      </c>
      <c r="K1739" s="16" t="b">
        <v>0</v>
      </c>
      <c r="L1739" s="16" t="b">
        <v>0</v>
      </c>
      <c r="M1739" s="16" t="b">
        <v>0</v>
      </c>
      <c r="N1739" s="16" t="b">
        <v>0</v>
      </c>
      <c r="O1739" s="16" t="n">
        <v>623.15</v>
      </c>
      <c r="P1739" s="16" t="n">
        <v>300.032917</v>
      </c>
      <c r="Q1739" s="16" t="n">
        <v>4215.066671871465</v>
      </c>
      <c r="R1739" s="16" t="n">
        <v>1569.905076069427</v>
      </c>
      <c r="S1739" s="16" t="n">
        <v>0.7235243170448915</v>
      </c>
      <c r="T1739" s="16" t="n">
        <v>0.6521404463298974</v>
      </c>
      <c r="U1739" s="16" t="n">
        <v>0.4105019550675929</v>
      </c>
      <c r="V1739" s="16" t="n">
        <v>0.6298317031740036</v>
      </c>
      <c r="W1739" s="16" t="n">
        <v>0.9316501248909896</v>
      </c>
      <c r="X1739" s="16" t="n">
        <v>0.4609733064203115</v>
      </c>
      <c r="Y1739" s="16" t="n">
        <v>300.032917</v>
      </c>
      <c r="Z1739" s="16" t="n"/>
      <c r="AA1739" s="16" t="n"/>
      <c r="AB1739" s="16" t="n">
        <v>2645.161595802038</v>
      </c>
      <c r="AC1739" s="16" t="n">
        <v>2.684918175068733</v>
      </c>
      <c r="AD1739" s="16" t="n"/>
      <c r="AE1739" s="16" t="n"/>
    </row>
    <row r="1740">
      <c r="A1740" s="16" t="inlineStr">
        <is>
          <t>KF-M05-1-0018</t>
        </is>
      </c>
      <c r="B1740" s="16" t="inlineStr">
        <is>
          <t>4.1</t>
        </is>
      </c>
      <c r="C1740" s="16" t="inlineStr">
        <is>
          <t>4.1a</t>
        </is>
      </c>
      <c r="D1740" s="16" t="inlineStr">
        <is>
          <t>conserva sus temperaturas</t>
        </is>
      </c>
      <c r="E1740" s="16" t="inlineStr">
        <is>
          <t>KF-M05</t>
        </is>
      </c>
      <c r="F1740" s="16" t="inlineStr">
        <is>
          <t>KF-M05-1</t>
        </is>
      </c>
      <c r="G1740" s="16" t="inlineStr">
        <is>
          <t>B09-1</t>
        </is>
      </c>
      <c r="H1740" s="16" t="inlineStr">
        <is>
          <t>lhs</t>
        </is>
      </c>
      <c r="I1740" s="16" t="inlineStr">
        <is>
          <t>NO_CONVERGIO</t>
        </is>
      </c>
      <c r="J1740" s="16" t="inlineStr">
        <is>
          <t>NO_CONVERGIO</t>
        </is>
      </c>
      <c r="K1740" s="16" t="b">
        <v>0</v>
      </c>
      <c r="L1740" s="16" t="b">
        <v>0</v>
      </c>
      <c r="M1740" s="16" t="b">
        <v>0</v>
      </c>
      <c r="N1740" s="16" t="b">
        <v>0</v>
      </c>
      <c r="O1740" s="16" t="n">
        <v>623.15</v>
      </c>
      <c r="P1740" s="16" t="n">
        <v>300.032917</v>
      </c>
      <c r="Q1740" s="16" t="n">
        <v>2448.346429314513</v>
      </c>
      <c r="R1740" s="16" t="n">
        <v>331.1025433688829</v>
      </c>
      <c r="S1740" s="16" t="n">
        <v>0.7604560419232536</v>
      </c>
      <c r="T1740" s="16" t="n">
        <v>0.6731507530804549</v>
      </c>
      <c r="U1740" s="16" t="n">
        <v>0.4043022342166728</v>
      </c>
      <c r="V1740" s="16" t="n">
        <v>0.8456228388654592</v>
      </c>
      <c r="W1740" s="16" t="n">
        <v>0.5450547995616101</v>
      </c>
      <c r="X1740" s="16" t="n">
        <v>0.7039028985162603</v>
      </c>
      <c r="Y1740" s="16" t="n">
        <v>300.032917</v>
      </c>
      <c r="Z1740" s="16" t="n"/>
      <c r="AA1740" s="16" t="n"/>
      <c r="AB1740" s="16" t="n">
        <v>2117.24388594563</v>
      </c>
      <c r="AC1740" s="16" t="n">
        <v>7.394526192409216</v>
      </c>
      <c r="AD1740" s="16" t="n"/>
      <c r="AE1740" s="16" t="n"/>
    </row>
    <row r="1741">
      <c r="A1741" s="16" t="inlineStr">
        <is>
          <t>KF-M05-1-0019</t>
        </is>
      </c>
      <c r="B1741" s="16" t="inlineStr">
        <is>
          <t>4.1</t>
        </is>
      </c>
      <c r="C1741" s="16" t="inlineStr">
        <is>
          <t>4.1a</t>
        </is>
      </c>
      <c r="D1741" s="16" t="inlineStr">
        <is>
          <t>conserva sus temperaturas</t>
        </is>
      </c>
      <c r="E1741" s="16" t="inlineStr">
        <is>
          <t>KF-M05</t>
        </is>
      </c>
      <c r="F1741" s="16" t="inlineStr">
        <is>
          <t>KF-M05-1</t>
        </is>
      </c>
      <c r="G1741" s="16" t="inlineStr">
        <is>
          <t>B09-1</t>
        </is>
      </c>
      <c r="H1741" s="16" t="inlineStr">
        <is>
          <t>lhs</t>
        </is>
      </c>
      <c r="I1741" s="16" t="inlineStr">
        <is>
          <t>CORREGIBLE</t>
        </is>
      </c>
      <c r="J1741" s="16" t="inlineStr">
        <is>
          <t>CORREGIBLE</t>
        </is>
      </c>
      <c r="K1741" s="16" t="b">
        <v>1</v>
      </c>
      <c r="L1741" s="16" t="b">
        <v>0</v>
      </c>
      <c r="M1741" s="16" t="b">
        <v>1</v>
      </c>
      <c r="N1741" s="16" t="b">
        <v>0</v>
      </c>
      <c r="O1741" s="16" t="n">
        <v>623.15</v>
      </c>
      <c r="P1741" s="16" t="n">
        <v>300.032917</v>
      </c>
      <c r="Q1741" s="16" t="n">
        <v>3522.052752797504</v>
      </c>
      <c r="R1741" s="16" t="n">
        <v>1009.088868917098</v>
      </c>
      <c r="S1741" s="16" t="n">
        <v>0.5548605660001596</v>
      </c>
      <c r="T1741" s="16" t="n">
        <v>0.8905417758949012</v>
      </c>
      <c r="U1741" s="16" t="n">
        <v>0.855004665938381</v>
      </c>
      <c r="V1741" s="16" t="n">
        <v>0.6535398706184975</v>
      </c>
      <c r="W1741" s="16" t="n">
        <v>0.7031391962751841</v>
      </c>
      <c r="X1741" s="16" t="n">
        <v>0.7499480451911827</v>
      </c>
      <c r="Y1741" s="16" t="n">
        <v>300.032917</v>
      </c>
      <c r="Z1741" s="16" t="n">
        <v>9.65223154387202</v>
      </c>
      <c r="AA1741" s="16" t="n">
        <v>136.626804312606</v>
      </c>
      <c r="AB1741" s="16" t="n">
        <v>2512.963883880407</v>
      </c>
      <c r="AC1741" s="16" t="n">
        <v>3.490329604544335</v>
      </c>
      <c r="AD1741" s="16" t="inlineStr">
        <is>
          <t>O2</t>
        </is>
      </c>
      <c r="AE1741" s="16" t="n"/>
    </row>
    <row r="1742">
      <c r="A1742" s="16" t="inlineStr">
        <is>
          <t>KF-M05-1-0020</t>
        </is>
      </c>
      <c r="B1742" s="16" t="inlineStr">
        <is>
          <t>4.1</t>
        </is>
      </c>
      <c r="C1742" s="16" t="inlineStr">
        <is>
          <t>4.1a</t>
        </is>
      </c>
      <c r="D1742" s="16" t="inlineStr">
        <is>
          <t>conserva sus temperaturas</t>
        </is>
      </c>
      <c r="E1742" s="16" t="inlineStr">
        <is>
          <t>KF-M05</t>
        </is>
      </c>
      <c r="F1742" s="16" t="inlineStr">
        <is>
          <t>KF-M05-1</t>
        </is>
      </c>
      <c r="G1742" s="16" t="inlineStr">
        <is>
          <t>B09-1</t>
        </is>
      </c>
      <c r="H1742" s="16" t="inlineStr">
        <is>
          <t>lhs</t>
        </is>
      </c>
      <c r="I1742" s="16" t="inlineStr">
        <is>
          <t>CORREGIBLE</t>
        </is>
      </c>
      <c r="J1742" s="16" t="inlineStr">
        <is>
          <t>CORREGIBLE</t>
        </is>
      </c>
      <c r="K1742" s="16" t="b">
        <v>1</v>
      </c>
      <c r="L1742" s="16" t="b">
        <v>0</v>
      </c>
      <c r="M1742" s="16" t="b">
        <v>1</v>
      </c>
      <c r="N1742" s="16" t="b">
        <v>0</v>
      </c>
      <c r="O1742" s="16" t="n">
        <v>623.15</v>
      </c>
      <c r="P1742" s="16" t="n">
        <v>300.032917</v>
      </c>
      <c r="Q1742" s="16" t="n">
        <v>4364.298375258311</v>
      </c>
      <c r="R1742" s="16" t="n">
        <v>888.0286392221549</v>
      </c>
      <c r="S1742" s="16" t="n">
        <v>0.7703579805688686</v>
      </c>
      <c r="T1742" s="16" t="n">
        <v>0.9160986436535906</v>
      </c>
      <c r="U1742" s="16" t="n">
        <v>0.4996333173548992</v>
      </c>
      <c r="V1742" s="16" t="n">
        <v>0.6712904321348589</v>
      </c>
      <c r="W1742" s="16" t="n">
        <v>0.5308988224475815</v>
      </c>
      <c r="X1742" s="16" t="n">
        <v>0.7022344845122407</v>
      </c>
      <c r="Y1742" s="16" t="n">
        <v>300.032917</v>
      </c>
      <c r="Z1742" s="16" t="n">
        <v>9.35493300949271</v>
      </c>
      <c r="AA1742" s="16" t="n">
        <v>110.7681260834028</v>
      </c>
      <c r="AB1742" s="16" t="n">
        <v>3476.269736036156</v>
      </c>
      <c r="AC1742" s="16" t="n">
        <v>4.914591920234805</v>
      </c>
      <c r="AD1742" s="16" t="inlineStr">
        <is>
          <t>O2</t>
        </is>
      </c>
      <c r="AE1742" s="16" t="n"/>
    </row>
    <row r="1743">
      <c r="A1743" s="16" t="inlineStr">
        <is>
          <t>KF-M05-1-0021</t>
        </is>
      </c>
      <c r="B1743" s="16" t="inlineStr">
        <is>
          <t>4.1</t>
        </is>
      </c>
      <c r="C1743" s="16" t="inlineStr">
        <is>
          <t>4.1a</t>
        </is>
      </c>
      <c r="D1743" s="16" t="inlineStr">
        <is>
          <t>conserva sus temperaturas</t>
        </is>
      </c>
      <c r="E1743" s="16" t="inlineStr">
        <is>
          <t>KF-M05</t>
        </is>
      </c>
      <c r="F1743" s="16" t="inlineStr">
        <is>
          <t>KF-M05-1</t>
        </is>
      </c>
      <c r="G1743" s="16" t="inlineStr">
        <is>
          <t>B09-1</t>
        </is>
      </c>
      <c r="H1743" s="16" t="inlineStr">
        <is>
          <t>lhs</t>
        </is>
      </c>
      <c r="I1743" s="16" t="inlineStr">
        <is>
          <t>NO_CONVERGIO</t>
        </is>
      </c>
      <c r="J1743" s="16" t="inlineStr">
        <is>
          <t>NO_CONVERGIO</t>
        </is>
      </c>
      <c r="K1743" s="16" t="b">
        <v>0</v>
      </c>
      <c r="L1743" s="16" t="b">
        <v>0</v>
      </c>
      <c r="M1743" s="16" t="b">
        <v>0</v>
      </c>
      <c r="N1743" s="16" t="b">
        <v>0</v>
      </c>
      <c r="O1743" s="16" t="n">
        <v>623.15</v>
      </c>
      <c r="P1743" s="16" t="n">
        <v>300.032917</v>
      </c>
      <c r="Q1743" s="16" t="n">
        <v>2074.429700505631</v>
      </c>
      <c r="R1743" s="16" t="n">
        <v>453.8886190808785</v>
      </c>
      <c r="S1743" s="16" t="n">
        <v>0.5269170065938968</v>
      </c>
      <c r="T1743" s="16" t="n">
        <v>0.752248236414335</v>
      </c>
      <c r="U1743" s="16" t="n">
        <v>0.4479872178187743</v>
      </c>
      <c r="V1743" s="16" t="n">
        <v>0.8227385596018719</v>
      </c>
      <c r="W1743" s="16" t="n">
        <v>0.691052950478672</v>
      </c>
      <c r="X1743" s="16" t="n">
        <v>0.5442704624967296</v>
      </c>
      <c r="Y1743" s="16" t="n">
        <v>300.032917</v>
      </c>
      <c r="Z1743" s="16" t="n"/>
      <c r="AA1743" s="16" t="n"/>
      <c r="AB1743" s="16" t="n">
        <v>1620.541081424753</v>
      </c>
      <c r="AC1743" s="16" t="n">
        <v>4.570349670159913</v>
      </c>
      <c r="AD1743" s="16" t="n"/>
      <c r="AE1743" s="16" t="n"/>
    </row>
    <row r="1744">
      <c r="A1744" s="16" t="inlineStr">
        <is>
          <t>KF-M05-1-0022</t>
        </is>
      </c>
      <c r="B1744" s="16" t="inlineStr">
        <is>
          <t>4.1</t>
        </is>
      </c>
      <c r="C1744" s="16" t="inlineStr">
        <is>
          <t>4.1a</t>
        </is>
      </c>
      <c r="D1744" s="16" t="inlineStr">
        <is>
          <t>conserva sus temperaturas</t>
        </is>
      </c>
      <c r="E1744" s="16" t="inlineStr">
        <is>
          <t>KF-M05</t>
        </is>
      </c>
      <c r="F1744" s="16" t="inlineStr">
        <is>
          <t>KF-M05-1</t>
        </is>
      </c>
      <c r="G1744" s="16" t="inlineStr">
        <is>
          <t>B09-1</t>
        </is>
      </c>
      <c r="H1744" s="16" t="inlineStr">
        <is>
          <t>lhs</t>
        </is>
      </c>
      <c r="I1744" s="16" t="inlineStr">
        <is>
          <t>NO_CONVERGIO</t>
        </is>
      </c>
      <c r="J1744" s="16" t="inlineStr">
        <is>
          <t>NO_CONVERGIO</t>
        </is>
      </c>
      <c r="K1744" s="16" t="b">
        <v>0</v>
      </c>
      <c r="L1744" s="16" t="b">
        <v>0</v>
      </c>
      <c r="M1744" s="16" t="b">
        <v>0</v>
      </c>
      <c r="N1744" s="16" t="b">
        <v>0</v>
      </c>
      <c r="O1744" s="16" t="n">
        <v>623.15</v>
      </c>
      <c r="P1744" s="16" t="n">
        <v>300.032917</v>
      </c>
      <c r="Q1744" s="16" t="n">
        <v>3676.289740972258</v>
      </c>
      <c r="R1744" s="16" t="n">
        <v>1059.918723065527</v>
      </c>
      <c r="S1744" s="16" t="n">
        <v>0.8258335861824118</v>
      </c>
      <c r="T1744" s="16" t="n">
        <v>0.8067556093312804</v>
      </c>
      <c r="U1744" s="16" t="n">
        <v>0.8443518407674433</v>
      </c>
      <c r="V1744" s="16" t="n">
        <v>0.463315823527699</v>
      </c>
      <c r="W1744" s="16" t="n">
        <v>0.4201254101542638</v>
      </c>
      <c r="X1744" s="16" t="n">
        <v>0.7682874459762845</v>
      </c>
      <c r="Y1744" s="16" t="n">
        <v>300.032917</v>
      </c>
      <c r="Z1744" s="16" t="n"/>
      <c r="AA1744" s="16" t="n"/>
      <c r="AB1744" s="16" t="n">
        <v>2616.371017906732</v>
      </c>
      <c r="AC1744" s="16" t="n">
        <v>3.46846381799879</v>
      </c>
      <c r="AD1744" s="16" t="n"/>
      <c r="AE1744" s="16" t="n"/>
    </row>
    <row r="1745">
      <c r="A1745" s="16" t="inlineStr">
        <is>
          <t>KF-M05-1-0023</t>
        </is>
      </c>
      <c r="B1745" s="16" t="inlineStr">
        <is>
          <t>4.1</t>
        </is>
      </c>
      <c r="C1745" s="16" t="inlineStr">
        <is>
          <t>4.1a</t>
        </is>
      </c>
      <c r="D1745" s="16" t="inlineStr">
        <is>
          <t>conserva sus temperaturas</t>
        </is>
      </c>
      <c r="E1745" s="16" t="inlineStr">
        <is>
          <t>KF-M05</t>
        </is>
      </c>
      <c r="F1745" s="16" t="inlineStr">
        <is>
          <t>KF-M05-1</t>
        </is>
      </c>
      <c r="G1745" s="16" t="inlineStr">
        <is>
          <t>B09-1</t>
        </is>
      </c>
      <c r="H1745" s="16" t="inlineStr">
        <is>
          <t>lhs</t>
        </is>
      </c>
      <c r="I1745" s="16" t="inlineStr">
        <is>
          <t>NO_CONVERGIO</t>
        </is>
      </c>
      <c r="J1745" s="16" t="inlineStr">
        <is>
          <t>NO_CONVERGIO</t>
        </is>
      </c>
      <c r="K1745" s="16" t="b">
        <v>0</v>
      </c>
      <c r="L1745" s="16" t="b">
        <v>0</v>
      </c>
      <c r="M1745" s="16" t="b">
        <v>0</v>
      </c>
      <c r="N1745" s="16" t="b">
        <v>0</v>
      </c>
      <c r="O1745" s="16" t="n">
        <v>623.15</v>
      </c>
      <c r="P1745" s="16" t="n">
        <v>300.032917</v>
      </c>
      <c r="Q1745" s="16" t="n">
        <v>2528.234127841405</v>
      </c>
      <c r="R1745" s="16" t="n">
        <v>1954.272502093258</v>
      </c>
      <c r="S1745" s="16" t="n">
        <v>0.803848485567732</v>
      </c>
      <c r="T1745" s="16" t="n">
        <v>0.6032925572754514</v>
      </c>
      <c r="U1745" s="16" t="n">
        <v>0.8018077606155423</v>
      </c>
      <c r="V1745" s="16" t="n">
        <v>0.761311765416237</v>
      </c>
      <c r="W1745" s="16" t="n">
        <v>0.4117181185302878</v>
      </c>
      <c r="X1745" s="16" t="n">
        <v>0.6967619986059013</v>
      </c>
      <c r="Y1745" s="16" t="n">
        <v>300.032917</v>
      </c>
      <c r="Z1745" s="16" t="n"/>
      <c r="AA1745" s="16" t="n"/>
      <c r="AB1745" s="16" t="n">
        <v>573.9616257481466</v>
      </c>
      <c r="AC1745" s="16" t="n">
        <v>1.293695799911919</v>
      </c>
      <c r="AD1745" s="16" t="n"/>
      <c r="AE1745" s="16" t="n"/>
    </row>
    <row r="1746">
      <c r="A1746" s="16" t="inlineStr">
        <is>
          <t>KF-M05-1-0024</t>
        </is>
      </c>
      <c r="B1746" s="16" t="inlineStr">
        <is>
          <t>4.1</t>
        </is>
      </c>
      <c r="C1746" s="16" t="inlineStr">
        <is>
          <t>4.1a</t>
        </is>
      </c>
      <c r="D1746" s="16" t="inlineStr">
        <is>
          <t>conserva sus temperaturas</t>
        </is>
      </c>
      <c r="E1746" s="16" t="inlineStr">
        <is>
          <t>KF-M05</t>
        </is>
      </c>
      <c r="F1746" s="16" t="inlineStr">
        <is>
          <t>KF-M05-1</t>
        </is>
      </c>
      <c r="G1746" s="16" t="inlineStr">
        <is>
          <t>B09-1</t>
        </is>
      </c>
      <c r="H1746" s="16" t="inlineStr">
        <is>
          <t>lhs</t>
        </is>
      </c>
      <c r="I1746" s="16" t="inlineStr">
        <is>
          <t>CORREGIBLE</t>
        </is>
      </c>
      <c r="J1746" s="16" t="inlineStr">
        <is>
          <t>CORREGIBLE</t>
        </is>
      </c>
      <c r="K1746" s="16" t="b">
        <v>1</v>
      </c>
      <c r="L1746" s="16" t="b">
        <v>0</v>
      </c>
      <c r="M1746" s="16" t="b">
        <v>1</v>
      </c>
      <c r="N1746" s="16" t="b">
        <v>0</v>
      </c>
      <c r="O1746" s="16" t="n">
        <v>623.15</v>
      </c>
      <c r="P1746" s="16" t="n">
        <v>300.032917</v>
      </c>
      <c r="Q1746" s="16" t="n">
        <v>4153.593753081795</v>
      </c>
      <c r="R1746" s="16" t="n">
        <v>1563.280704818092</v>
      </c>
      <c r="S1746" s="16" t="n">
        <v>0.8098121347487821</v>
      </c>
      <c r="T1746" s="16" t="n">
        <v>0.5780865673142087</v>
      </c>
      <c r="U1746" s="16" t="n">
        <v>0.6036290880684836</v>
      </c>
      <c r="V1746" s="16" t="n">
        <v>0.5948967226815219</v>
      </c>
      <c r="W1746" s="16" t="n">
        <v>0.8672658808862014</v>
      </c>
      <c r="X1746" s="16" t="n">
        <v>0.763435710257544</v>
      </c>
      <c r="Y1746" s="16" t="n">
        <v>300.032917</v>
      </c>
      <c r="Z1746" s="16" t="n">
        <v>4.48931249858517</v>
      </c>
      <c r="AA1746" s="16" t="n">
        <v>50.49413251586449</v>
      </c>
      <c r="AB1746" s="16" t="n">
        <v>2590.313048263703</v>
      </c>
      <c r="AC1746" s="16" t="n">
        <v>2.656972442812258</v>
      </c>
      <c r="AD1746" s="16" t="inlineStr">
        <is>
          <t>O2</t>
        </is>
      </c>
      <c r="AE1746" s="16" t="n"/>
    </row>
    <row r="1747">
      <c r="A1747" s="16" t="inlineStr">
        <is>
          <t>KF-M05-1-0025</t>
        </is>
      </c>
      <c r="B1747" s="16" t="inlineStr">
        <is>
          <t>4.1</t>
        </is>
      </c>
      <c r="C1747" s="16" t="inlineStr">
        <is>
          <t>4.1a</t>
        </is>
      </c>
      <c r="D1747" s="16" t="inlineStr">
        <is>
          <t>conserva sus temperaturas</t>
        </is>
      </c>
      <c r="E1747" s="16" t="inlineStr">
        <is>
          <t>KF-M05</t>
        </is>
      </c>
      <c r="F1747" s="16" t="inlineStr">
        <is>
          <t>KF-M05-1</t>
        </is>
      </c>
      <c r="G1747" s="16" t="inlineStr">
        <is>
          <t>B09-1</t>
        </is>
      </c>
      <c r="H1747" s="16" t="inlineStr">
        <is>
          <t>lhs</t>
        </is>
      </c>
      <c r="I1747" s="16" t="inlineStr">
        <is>
          <t>CORREGIBLE</t>
        </is>
      </c>
      <c r="J1747" s="16" t="inlineStr">
        <is>
          <t>CORREGIBLE</t>
        </is>
      </c>
      <c r="K1747" s="16" t="b">
        <v>1</v>
      </c>
      <c r="L1747" s="16" t="b">
        <v>0</v>
      </c>
      <c r="M1747" s="16" t="b">
        <v>1</v>
      </c>
      <c r="N1747" s="16" t="b">
        <v>0</v>
      </c>
      <c r="O1747" s="16" t="n">
        <v>623.15</v>
      </c>
      <c r="P1747" s="16" t="n">
        <v>300.032917</v>
      </c>
      <c r="Q1747" s="16" t="n">
        <v>3767.537199663917</v>
      </c>
      <c r="R1747" s="16" t="n">
        <v>1927.876396524999</v>
      </c>
      <c r="S1747" s="16" t="n">
        <v>0.6270974838896575</v>
      </c>
      <c r="T1747" s="16" t="n">
        <v>0.8541238798013295</v>
      </c>
      <c r="U1747" s="16" t="n">
        <v>0.8292450754557856</v>
      </c>
      <c r="V1747" s="16" t="n">
        <v>0.4061341203199839</v>
      </c>
      <c r="W1747" s="16" t="n">
        <v>0.9123677576996216</v>
      </c>
      <c r="X1747" s="16" t="n">
        <v>0.4583546818794503</v>
      </c>
      <c r="Y1747" s="16" t="n">
        <v>300.032917</v>
      </c>
      <c r="Z1747" s="16" t="n">
        <v>3.86740272813845</v>
      </c>
      <c r="AA1747" s="16" t="n">
        <v>26.4801970076275</v>
      </c>
      <c r="AB1747" s="16" t="n">
        <v>1839.660803138918</v>
      </c>
      <c r="AC1747" s="16" t="n">
        <v>1.954242090652135</v>
      </c>
      <c r="AD1747" s="16" t="inlineStr">
        <is>
          <t>O2</t>
        </is>
      </c>
      <c r="AE1747" s="16" t="n"/>
    </row>
    <row r="1748">
      <c r="A1748" s="16" t="inlineStr">
        <is>
          <t>KF-M05-1-0026</t>
        </is>
      </c>
      <c r="B1748" s="16" t="inlineStr">
        <is>
          <t>4.1</t>
        </is>
      </c>
      <c r="C1748" s="16" t="inlineStr">
        <is>
          <t>4.1a</t>
        </is>
      </c>
      <c r="D1748" s="16" t="inlineStr">
        <is>
          <t>conserva sus temperaturas</t>
        </is>
      </c>
      <c r="E1748" s="16" t="inlineStr">
        <is>
          <t>KF-M05</t>
        </is>
      </c>
      <c r="F1748" s="16" t="inlineStr">
        <is>
          <t>KF-M05-1</t>
        </is>
      </c>
      <c r="G1748" s="16" t="inlineStr">
        <is>
          <t>B09-1</t>
        </is>
      </c>
      <c r="H1748" s="16" t="inlineStr">
        <is>
          <t>lhs</t>
        </is>
      </c>
      <c r="I1748" s="16" t="inlineStr">
        <is>
          <t>NO_CONVERGIO</t>
        </is>
      </c>
      <c r="J1748" s="16" t="inlineStr">
        <is>
          <t>NO_CONVERGIO</t>
        </is>
      </c>
      <c r="K1748" s="16" t="b">
        <v>0</v>
      </c>
      <c r="L1748" s="16" t="b">
        <v>0</v>
      </c>
      <c r="M1748" s="16" t="b">
        <v>0</v>
      </c>
      <c r="N1748" s="16" t="b">
        <v>0</v>
      </c>
      <c r="O1748" s="16" t="n">
        <v>623.15</v>
      </c>
      <c r="P1748" s="16" t="n">
        <v>300.032917</v>
      </c>
      <c r="Q1748" s="16" t="n">
        <v>3237.803511439649</v>
      </c>
      <c r="R1748" s="16" t="n">
        <v>1880.50981899038</v>
      </c>
      <c r="S1748" s="16" t="n">
        <v>0.7778731234172231</v>
      </c>
      <c r="T1748" s="16" t="n">
        <v>0.9382066882399376</v>
      </c>
      <c r="U1748" s="16" t="n">
        <v>0.928976601887453</v>
      </c>
      <c r="V1748" s="16" t="n">
        <v>0.7115684348920417</v>
      </c>
      <c r="W1748" s="16" t="n">
        <v>0.8355478395600078</v>
      </c>
      <c r="X1748" s="16" t="n">
        <v>0.5248979078307903</v>
      </c>
      <c r="Y1748" s="16" t="n">
        <v>300.032917</v>
      </c>
      <c r="Z1748" s="16" t="n"/>
      <c r="AA1748" s="16" t="n"/>
      <c r="AB1748" s="16" t="n">
        <v>1357.293692449269</v>
      </c>
      <c r="AC1748" s="16" t="n">
        <v>1.721769000481997</v>
      </c>
      <c r="AD1748" s="16" t="n"/>
      <c r="AE1748" s="16" t="n"/>
    </row>
    <row r="1749">
      <c r="A1749" s="16" t="inlineStr">
        <is>
          <t>KF-M05-1-0027</t>
        </is>
      </c>
      <c r="B1749" s="16" t="inlineStr">
        <is>
          <t>4.1</t>
        </is>
      </c>
      <c r="C1749" s="16" t="inlineStr">
        <is>
          <t>4.1a</t>
        </is>
      </c>
      <c r="D1749" s="16" t="inlineStr">
        <is>
          <t>conserva sus temperaturas</t>
        </is>
      </c>
      <c r="E1749" s="16" t="inlineStr">
        <is>
          <t>KF-M05</t>
        </is>
      </c>
      <c r="F1749" s="16" t="inlineStr">
        <is>
          <t>KF-M05-1</t>
        </is>
      </c>
      <c r="G1749" s="16" t="inlineStr">
        <is>
          <t>B09-1</t>
        </is>
      </c>
      <c r="H1749" s="16" t="inlineStr">
        <is>
          <t>lhs</t>
        </is>
      </c>
      <c r="I1749" s="16" t="inlineStr">
        <is>
          <t>NO_CONVERGIO</t>
        </is>
      </c>
      <c r="J1749" s="16" t="inlineStr">
        <is>
          <t>NO_CONVERGIO</t>
        </is>
      </c>
      <c r="K1749" s="16" t="b">
        <v>0</v>
      </c>
      <c r="L1749" s="16" t="b">
        <v>0</v>
      </c>
      <c r="M1749" s="16" t="b">
        <v>0</v>
      </c>
      <c r="N1749" s="16" t="b">
        <v>0</v>
      </c>
      <c r="O1749" s="16" t="n">
        <v>623.15</v>
      </c>
      <c r="P1749" s="16" t="n">
        <v>300.032917</v>
      </c>
      <c r="Q1749" s="16" t="n">
        <v>2736.079877201298</v>
      </c>
      <c r="R1749" s="16" t="n">
        <v>861.0357531599693</v>
      </c>
      <c r="S1749" s="16" t="n">
        <v>0.6402194147065569</v>
      </c>
      <c r="T1749" s="16" t="n">
        <v>0.8207136537468398</v>
      </c>
      <c r="U1749" s="16" t="n">
        <v>0.8848908711547165</v>
      </c>
      <c r="V1749" s="16" t="n">
        <v>0.9181549774042012</v>
      </c>
      <c r="W1749" s="16" t="n">
        <v>0.4529718600226251</v>
      </c>
      <c r="X1749" s="16" t="n">
        <v>0.8908174536848241</v>
      </c>
      <c r="Y1749" s="16" t="n">
        <v>300.032917</v>
      </c>
      <c r="Z1749" s="16" t="n"/>
      <c r="AA1749" s="16" t="n"/>
      <c r="AB1749" s="16" t="n">
        <v>1875.044124041329</v>
      </c>
      <c r="AC1749" s="16" t="n">
        <v>3.177661168145442</v>
      </c>
      <c r="AD1749" s="16" t="n"/>
      <c r="AE1749" s="16" t="n"/>
    </row>
    <row r="1750">
      <c r="A1750" s="16" t="inlineStr">
        <is>
          <t>KF-M05-1-0028</t>
        </is>
      </c>
      <c r="B1750" s="16" t="inlineStr">
        <is>
          <t>4.1</t>
        </is>
      </c>
      <c r="C1750" s="16" t="inlineStr">
        <is>
          <t>4.1a</t>
        </is>
      </c>
      <c r="D1750" s="16" t="inlineStr">
        <is>
          <t>conserva sus temperaturas</t>
        </is>
      </c>
      <c r="E1750" s="16" t="inlineStr">
        <is>
          <t>KF-M05</t>
        </is>
      </c>
      <c r="F1750" s="16" t="inlineStr">
        <is>
          <t>KF-M05-1</t>
        </is>
      </c>
      <c r="G1750" s="16" t="inlineStr">
        <is>
          <t>B09-1</t>
        </is>
      </c>
      <c r="H1750" s="16" t="inlineStr">
        <is>
          <t>lhs</t>
        </is>
      </c>
      <c r="I1750" s="16" t="inlineStr">
        <is>
          <t>NO_CONVERGIO</t>
        </is>
      </c>
      <c r="J1750" s="16" t="inlineStr">
        <is>
          <t>NO_CONVERGIO</t>
        </is>
      </c>
      <c r="K1750" s="16" t="b">
        <v>0</v>
      </c>
      <c r="L1750" s="16" t="b">
        <v>0</v>
      </c>
      <c r="M1750" s="16" t="b">
        <v>0</v>
      </c>
      <c r="N1750" s="16" t="b">
        <v>0</v>
      </c>
      <c r="O1750" s="16" t="n">
        <v>623.15</v>
      </c>
      <c r="P1750" s="16" t="n">
        <v>300.032917</v>
      </c>
      <c r="Q1750" s="16" t="n">
        <v>3010.748483926257</v>
      </c>
      <c r="R1750" s="16" t="n">
        <v>1093.290578471443</v>
      </c>
      <c r="S1750" s="16" t="n">
        <v>0.6736454080722493</v>
      </c>
      <c r="T1750" s="16" t="n">
        <v>0.9190844043812696</v>
      </c>
      <c r="U1750" s="16" t="n">
        <v>0.4421866980361144</v>
      </c>
      <c r="V1750" s="16" t="n">
        <v>0.8540684516955395</v>
      </c>
      <c r="W1750" s="16" t="n">
        <v>0.5874761212640267</v>
      </c>
      <c r="X1750" s="16" t="n">
        <v>0.9189791116263112</v>
      </c>
      <c r="Y1750" s="16" t="n">
        <v>300.032917</v>
      </c>
      <c r="Z1750" s="16" t="n"/>
      <c r="AA1750" s="16" t="n"/>
      <c r="AB1750" s="16" t="n">
        <v>1917.457905454813</v>
      </c>
      <c r="AC1750" s="16" t="n">
        <v>2.753841058555228</v>
      </c>
      <c r="AD1750" s="16" t="n"/>
      <c r="AE1750" s="16" t="n"/>
    </row>
    <row r="1751">
      <c r="A1751" s="16" t="inlineStr">
        <is>
          <t>KF-M05-1-0029</t>
        </is>
      </c>
      <c r="B1751" s="16" t="inlineStr">
        <is>
          <t>4.1</t>
        </is>
      </c>
      <c r="C1751" s="16" t="inlineStr">
        <is>
          <t>4.1a</t>
        </is>
      </c>
      <c r="D1751" s="16" t="inlineStr">
        <is>
          <t>conserva sus temperaturas</t>
        </is>
      </c>
      <c r="E1751" s="16" t="inlineStr">
        <is>
          <t>KF-M05</t>
        </is>
      </c>
      <c r="F1751" s="16" t="inlineStr">
        <is>
          <t>KF-M05-1</t>
        </is>
      </c>
      <c r="G1751" s="16" t="inlineStr">
        <is>
          <t>B09-1</t>
        </is>
      </c>
      <c r="H1751" s="16" t="inlineStr">
        <is>
          <t>lhs</t>
        </is>
      </c>
      <c r="I1751" s="16" t="inlineStr">
        <is>
          <t>CORREGIBLE</t>
        </is>
      </c>
      <c r="J1751" s="16" t="inlineStr">
        <is>
          <t>CORREGIBLE</t>
        </is>
      </c>
      <c r="K1751" s="16" t="b">
        <v>1</v>
      </c>
      <c r="L1751" s="16" t="b">
        <v>0</v>
      </c>
      <c r="M1751" s="16" t="b">
        <v>1</v>
      </c>
      <c r="N1751" s="16" t="b">
        <v>0</v>
      </c>
      <c r="O1751" s="16" t="n">
        <v>623.15</v>
      </c>
      <c r="P1751" s="16" t="n">
        <v>300.032917</v>
      </c>
      <c r="Q1751" s="16" t="n">
        <v>3161.995030542941</v>
      </c>
      <c r="R1751" s="16" t="n">
        <v>1610.452332695184</v>
      </c>
      <c r="S1751" s="16" t="n">
        <v>0.5893123250080006</v>
      </c>
      <c r="T1751" s="16" t="n">
        <v>0.4439398719353788</v>
      </c>
      <c r="U1751" s="16" t="n">
        <v>0.824513792393055</v>
      </c>
      <c r="V1751" s="16" t="n">
        <v>0.7305068502280943</v>
      </c>
      <c r="W1751" s="16" t="n">
        <v>0.4341119060923316</v>
      </c>
      <c r="X1751" s="16" t="n">
        <v>0.8596857887518859</v>
      </c>
      <c r="Y1751" s="16" t="n">
        <v>300.032917</v>
      </c>
      <c r="Z1751" s="16" t="n">
        <v>2.70067068907198</v>
      </c>
      <c r="AA1751" s="16" t="n">
        <v>46.05958391177318</v>
      </c>
      <c r="AB1751" s="16" t="n">
        <v>1551.542697847757</v>
      </c>
      <c r="AC1751" s="16" t="n">
        <v>1.963420441790513</v>
      </c>
      <c r="AD1751" s="16" t="inlineStr">
        <is>
          <t>O2</t>
        </is>
      </c>
      <c r="AE1751" s="16" t="n"/>
    </row>
    <row r="1752">
      <c r="A1752" s="16" t="inlineStr">
        <is>
          <t>KF-M05-1-0030</t>
        </is>
      </c>
      <c r="B1752" s="16" t="inlineStr">
        <is>
          <t>4.1</t>
        </is>
      </c>
      <c r="C1752" s="16" t="inlineStr">
        <is>
          <t>4.1a</t>
        </is>
      </c>
      <c r="D1752" s="16" t="inlineStr">
        <is>
          <t>conserva sus temperaturas</t>
        </is>
      </c>
      <c r="E1752" s="16" t="inlineStr">
        <is>
          <t>KF-M05</t>
        </is>
      </c>
      <c r="F1752" s="16" t="inlineStr">
        <is>
          <t>KF-M05-1</t>
        </is>
      </c>
      <c r="G1752" s="16" t="inlineStr">
        <is>
          <t>B09-1</t>
        </is>
      </c>
      <c r="H1752" s="16" t="inlineStr">
        <is>
          <t>lhs</t>
        </is>
      </c>
      <c r="I1752" s="16" t="inlineStr">
        <is>
          <t>NO_CONVERGIO</t>
        </is>
      </c>
      <c r="J1752" s="16" t="inlineStr">
        <is>
          <t>NO_CONVERGIO</t>
        </is>
      </c>
      <c r="K1752" s="16" t="b">
        <v>0</v>
      </c>
      <c r="L1752" s="16" t="b">
        <v>0</v>
      </c>
      <c r="M1752" s="16" t="b">
        <v>0</v>
      </c>
      <c r="N1752" s="16" t="b">
        <v>0</v>
      </c>
      <c r="O1752" s="16" t="n">
        <v>623.15</v>
      </c>
      <c r="P1752" s="16" t="n">
        <v>300.032917</v>
      </c>
      <c r="Q1752" s="16" t="n">
        <v>4893.464399384582</v>
      </c>
      <c r="R1752" s="16" t="n">
        <v>1786.411287857491</v>
      </c>
      <c r="S1752" s="16" t="n">
        <v>0.5497432548954346</v>
      </c>
      <c r="T1752" s="16" t="n">
        <v>0.5352602895373887</v>
      </c>
      <c r="U1752" s="16" t="n">
        <v>0.7797400419660855</v>
      </c>
      <c r="V1752" s="16" t="n">
        <v>0.9104402484830528</v>
      </c>
      <c r="W1752" s="16" t="n">
        <v>0.8856975878376333</v>
      </c>
      <c r="X1752" s="16" t="n">
        <v>0.5718349380903373</v>
      </c>
      <c r="Y1752" s="16" t="n">
        <v>300.032917</v>
      </c>
      <c r="Z1752" s="16" t="n"/>
      <c r="AA1752" s="16" t="n"/>
      <c r="AB1752" s="16" t="n">
        <v>3107.053111527091</v>
      </c>
      <c r="AC1752" s="16" t="n">
        <v>2.739270868162446</v>
      </c>
      <c r="AD1752" s="16" t="n"/>
      <c r="AE1752" s="16" t="n"/>
    </row>
    <row r="1753">
      <c r="A1753" s="16" t="inlineStr">
        <is>
          <t>KF-M05-1-0031</t>
        </is>
      </c>
      <c r="B1753" s="16" t="inlineStr">
        <is>
          <t>4.1</t>
        </is>
      </c>
      <c r="C1753" s="16" t="inlineStr">
        <is>
          <t>4.1a</t>
        </is>
      </c>
      <c r="D1753" s="16" t="inlineStr">
        <is>
          <t>conserva sus temperaturas</t>
        </is>
      </c>
      <c r="E1753" s="16" t="inlineStr">
        <is>
          <t>KF-M05</t>
        </is>
      </c>
      <c r="F1753" s="16" t="inlineStr">
        <is>
          <t>KF-M05-1</t>
        </is>
      </c>
      <c r="G1753" s="16" t="inlineStr">
        <is>
          <t>B09-1</t>
        </is>
      </c>
      <c r="H1753" s="16" t="inlineStr">
        <is>
          <t>lhs</t>
        </is>
      </c>
      <c r="I1753" s="16" t="inlineStr">
        <is>
          <t>CORREGIBLE</t>
        </is>
      </c>
      <c r="J1753" s="16" t="inlineStr">
        <is>
          <t>CORREGIBLE</t>
        </is>
      </c>
      <c r="K1753" s="16" t="b">
        <v>1</v>
      </c>
      <c r="L1753" s="16" t="b">
        <v>0</v>
      </c>
      <c r="M1753" s="16" t="b">
        <v>1</v>
      </c>
      <c r="N1753" s="16" t="b">
        <v>0</v>
      </c>
      <c r="O1753" s="16" t="n">
        <v>623.15</v>
      </c>
      <c r="P1753" s="16" t="n">
        <v>300.032917</v>
      </c>
      <c r="Q1753" s="16" t="n">
        <v>3588.108594008968</v>
      </c>
      <c r="R1753" s="16" t="n">
        <v>490.2905799580651</v>
      </c>
      <c r="S1753" s="16" t="n">
        <v>0.5179761075829842</v>
      </c>
      <c r="T1753" s="16" t="n">
        <v>0.8791543958680035</v>
      </c>
      <c r="U1753" s="16" t="n">
        <v>0.72402053070474</v>
      </c>
      <c r="V1753" s="16" t="n">
        <v>0.4306846166380077</v>
      </c>
      <c r="W1753" s="16" t="n">
        <v>0.7568993175102303</v>
      </c>
      <c r="X1753" s="16" t="n">
        <v>0.9368264994891898</v>
      </c>
      <c r="Y1753" s="16" t="n">
        <v>300.032917</v>
      </c>
      <c r="Z1753" s="16" t="n">
        <v>13.62936539947485</v>
      </c>
      <c r="AA1753" s="16" t="n">
        <v>141.0800023678417</v>
      </c>
      <c r="AB1753" s="16" t="n">
        <v>3097.818014050903</v>
      </c>
      <c r="AC1753" s="16" t="n">
        <v>7.318330681196978</v>
      </c>
      <c r="AD1753" s="16" t="inlineStr">
        <is>
          <t>O2</t>
        </is>
      </c>
      <c r="AE1753" s="16" t="n"/>
    </row>
    <row r="1754">
      <c r="A1754" s="16" t="inlineStr">
        <is>
          <t>KF-M05-1-0032</t>
        </is>
      </c>
      <c r="B1754" s="16" t="inlineStr">
        <is>
          <t>4.1</t>
        </is>
      </c>
      <c r="C1754" s="16" t="inlineStr">
        <is>
          <t>4.1a</t>
        </is>
      </c>
      <c r="D1754" s="16" t="inlineStr">
        <is>
          <t>conserva sus temperaturas</t>
        </is>
      </c>
      <c r="E1754" s="16" t="inlineStr">
        <is>
          <t>KF-M05</t>
        </is>
      </c>
      <c r="F1754" s="16" t="inlineStr">
        <is>
          <t>KF-M05-1</t>
        </is>
      </c>
      <c r="G1754" s="16" t="inlineStr">
        <is>
          <t>B09-1</t>
        </is>
      </c>
      <c r="H1754" s="16" t="inlineStr">
        <is>
          <t>lhs</t>
        </is>
      </c>
      <c r="I1754" s="16" t="inlineStr">
        <is>
          <t>NO_CONVERGIO</t>
        </is>
      </c>
      <c r="J1754" s="16" t="inlineStr">
        <is>
          <t>NO_CONVERGIO</t>
        </is>
      </c>
      <c r="K1754" s="16" t="b">
        <v>0</v>
      </c>
      <c r="L1754" s="16" t="b">
        <v>0</v>
      </c>
      <c r="M1754" s="16" t="b">
        <v>0</v>
      </c>
      <c r="N1754" s="16" t="b">
        <v>0</v>
      </c>
      <c r="O1754" s="16" t="n">
        <v>623.15</v>
      </c>
      <c r="P1754" s="16" t="n">
        <v>300.032917</v>
      </c>
      <c r="Q1754" s="16" t="n">
        <v>4918.112776586282</v>
      </c>
      <c r="R1754" s="16" t="n">
        <v>1635.271569670692</v>
      </c>
      <c r="S1754" s="16" t="n">
        <v>0.7910913389627248</v>
      </c>
      <c r="T1754" s="16" t="n">
        <v>0.601064527783044</v>
      </c>
      <c r="U1754" s="16" t="n">
        <v>0.4192847622869612</v>
      </c>
      <c r="V1754" s="16" t="n">
        <v>0.8613410857291982</v>
      </c>
      <c r="W1754" s="16" t="n">
        <v>0.4806411957204335</v>
      </c>
      <c r="X1754" s="16" t="n">
        <v>0.6741453943683879</v>
      </c>
      <c r="Y1754" s="16" t="n">
        <v>300.032917</v>
      </c>
      <c r="Z1754" s="16" t="n"/>
      <c r="AA1754" s="16" t="n"/>
      <c r="AB1754" s="16" t="n">
        <v>3282.84120691559</v>
      </c>
      <c r="AC1754" s="16" t="n">
        <v>3.007520504729793</v>
      </c>
      <c r="AD1754" s="16" t="n"/>
      <c r="AE1754" s="16" t="n"/>
    </row>
    <row r="1755">
      <c r="A1755" s="16" t="inlineStr">
        <is>
          <t>KF-M05-1-0033</t>
        </is>
      </c>
      <c r="B1755" s="16" t="inlineStr">
        <is>
          <t>4.1</t>
        </is>
      </c>
      <c r="C1755" s="16" t="inlineStr">
        <is>
          <t>4.1a</t>
        </is>
      </c>
      <c r="D1755" s="16" t="inlineStr">
        <is>
          <t>conserva sus temperaturas</t>
        </is>
      </c>
      <c r="E1755" s="16" t="inlineStr">
        <is>
          <t>KF-M05</t>
        </is>
      </c>
      <c r="F1755" s="16" t="inlineStr">
        <is>
          <t>KF-M05-1</t>
        </is>
      </c>
      <c r="G1755" s="16" t="inlineStr">
        <is>
          <t>B09-1</t>
        </is>
      </c>
      <c r="H1755" s="16" t="inlineStr">
        <is>
          <t>lhs</t>
        </is>
      </c>
      <c r="I1755" s="16" t="inlineStr">
        <is>
          <t>NO_CONVERGIO</t>
        </is>
      </c>
      <c r="J1755" s="16" t="inlineStr">
        <is>
          <t>NO_CONVERGIO</t>
        </is>
      </c>
      <c r="K1755" s="16" t="b">
        <v>0</v>
      </c>
      <c r="L1755" s="16" t="b">
        <v>0</v>
      </c>
      <c r="M1755" s="16" t="b">
        <v>0</v>
      </c>
      <c r="N1755" s="16" t="b">
        <v>0</v>
      </c>
      <c r="O1755" s="16" t="n">
        <v>623.15</v>
      </c>
      <c r="P1755" s="16" t="n">
        <v>300.032917</v>
      </c>
      <c r="Q1755" s="16" t="n">
        <v>4963.568620197417</v>
      </c>
      <c r="R1755" s="16" t="n">
        <v>700.606889505458</v>
      </c>
      <c r="S1755" s="16" t="n">
        <v>0.6357422037862973</v>
      </c>
      <c r="T1755" s="16" t="n">
        <v>0.5525498928339938</v>
      </c>
      <c r="U1755" s="16" t="n">
        <v>0.5631792115145956</v>
      </c>
      <c r="V1755" s="16" t="n">
        <v>0.8966577957443087</v>
      </c>
      <c r="W1755" s="16" t="n">
        <v>0.8686891543129098</v>
      </c>
      <c r="X1755" s="16" t="n">
        <v>0.7796438184417671</v>
      </c>
      <c r="Y1755" s="16" t="n">
        <v>300.032917</v>
      </c>
      <c r="Z1755" s="16" t="n"/>
      <c r="AA1755" s="16" t="n"/>
      <c r="AB1755" s="16" t="n">
        <v>4262.961730691959</v>
      </c>
      <c r="AC1755" s="16" t="n">
        <v>7.084670011882246</v>
      </c>
      <c r="AD1755" s="16" t="n"/>
      <c r="AE1755" s="16" t="n"/>
    </row>
    <row r="1756">
      <c r="A1756" s="16" t="inlineStr">
        <is>
          <t>KF-M05-1-0034</t>
        </is>
      </c>
      <c r="B1756" s="16" t="inlineStr">
        <is>
          <t>4.1</t>
        </is>
      </c>
      <c r="C1756" s="16" t="inlineStr">
        <is>
          <t>4.1a</t>
        </is>
      </c>
      <c r="D1756" s="16" t="inlineStr">
        <is>
          <t>conserva sus temperaturas</t>
        </is>
      </c>
      <c r="E1756" s="16" t="inlineStr">
        <is>
          <t>KF-M05</t>
        </is>
      </c>
      <c r="F1756" s="16" t="inlineStr">
        <is>
          <t>KF-M05-1</t>
        </is>
      </c>
      <c r="G1756" s="16" t="inlineStr">
        <is>
          <t>B09-1</t>
        </is>
      </c>
      <c r="H1756" s="16" t="inlineStr">
        <is>
          <t>lhs</t>
        </is>
      </c>
      <c r="I1756" s="16" t="inlineStr">
        <is>
          <t>CORREGIBLE</t>
        </is>
      </c>
      <c r="J1756" s="16" t="inlineStr">
        <is>
          <t>CORREGIBLE</t>
        </is>
      </c>
      <c r="K1756" s="16" t="b">
        <v>1</v>
      </c>
      <c r="L1756" s="16" t="b">
        <v>0</v>
      </c>
      <c r="M1756" s="16" t="b">
        <v>1</v>
      </c>
      <c r="N1756" s="16" t="b">
        <v>0</v>
      </c>
      <c r="O1756" s="16" t="n">
        <v>623.15</v>
      </c>
      <c r="P1756" s="16" t="n">
        <v>300.032917</v>
      </c>
      <c r="Q1756" s="16" t="n">
        <v>4755.814469643531</v>
      </c>
      <c r="R1756" s="16" t="n">
        <v>608.8707001076673</v>
      </c>
      <c r="S1756" s="16" t="n">
        <v>0.6243291812732416</v>
      </c>
      <c r="T1756" s="16" t="n">
        <v>0.9120483996159194</v>
      </c>
      <c r="U1756" s="16" t="n">
        <v>0.478805403676408</v>
      </c>
      <c r="V1756" s="16" t="n">
        <v>0.4498073703501771</v>
      </c>
      <c r="W1756" s="16" t="n">
        <v>0.7021792988093813</v>
      </c>
      <c r="X1756" s="16" t="n">
        <v>0.6621595137536487</v>
      </c>
      <c r="Y1756" s="16" t="n">
        <v>300.032917</v>
      </c>
      <c r="Z1756" s="16" t="n">
        <v>10.09602686408507</v>
      </c>
      <c r="AA1756" s="16" t="n">
        <v>89.45333568077817</v>
      </c>
      <c r="AB1756" s="16" t="n">
        <v>4146.943769535864</v>
      </c>
      <c r="AC1756" s="16" t="n">
        <v>7.810877529174182</v>
      </c>
      <c r="AD1756" s="16" t="inlineStr">
        <is>
          <t>O1,O2</t>
        </is>
      </c>
      <c r="AE1756" s="16" t="n"/>
    </row>
    <row r="1757">
      <c r="A1757" s="16" t="inlineStr">
        <is>
          <t>KF-M05-1-0035</t>
        </is>
      </c>
      <c r="B1757" s="16" t="inlineStr">
        <is>
          <t>4.1</t>
        </is>
      </c>
      <c r="C1757" s="16" t="inlineStr">
        <is>
          <t>4.1a</t>
        </is>
      </c>
      <c r="D1757" s="16" t="inlineStr">
        <is>
          <t>conserva sus temperaturas</t>
        </is>
      </c>
      <c r="E1757" s="16" t="inlineStr">
        <is>
          <t>KF-M05</t>
        </is>
      </c>
      <c r="F1757" s="16" t="inlineStr">
        <is>
          <t>KF-M05-1</t>
        </is>
      </c>
      <c r="G1757" s="16" t="inlineStr">
        <is>
          <t>B09-1</t>
        </is>
      </c>
      <c r="H1757" s="16" t="inlineStr">
        <is>
          <t>lhs</t>
        </is>
      </c>
      <c r="I1757" s="16" t="inlineStr">
        <is>
          <t>INVIABLE</t>
        </is>
      </c>
      <c r="J1757" s="16" t="inlineStr">
        <is>
          <t>INVIABLE</t>
        </is>
      </c>
      <c r="K1757" s="16" t="b">
        <v>1</v>
      </c>
      <c r="L1757" s="16" t="b">
        <v>0</v>
      </c>
      <c r="M1757" s="16" t="b">
        <v>1</v>
      </c>
      <c r="N1757" s="16" t="b">
        <v>0</v>
      </c>
      <c r="O1757" s="16" t="n">
        <v>623.15</v>
      </c>
      <c r="P1757" s="16" t="n">
        <v>300.032917</v>
      </c>
      <c r="Q1757" s="16" t="n">
        <v>2226.609075962048</v>
      </c>
      <c r="R1757" s="16" t="n">
        <v>1736.317338473599</v>
      </c>
      <c r="S1757" s="16" t="n">
        <v>0.7289269621438446</v>
      </c>
      <c r="T1757" s="16" t="n">
        <v>0.4006157432213698</v>
      </c>
      <c r="U1757" s="16" t="n">
        <v>0.8169063972279274</v>
      </c>
      <c r="V1757" s="16" t="n">
        <v>0.5054018414710186</v>
      </c>
      <c r="W1757" s="16" t="n">
        <v>0.5277933667658141</v>
      </c>
      <c r="X1757" s="16" t="n">
        <v>0.5087440801718801</v>
      </c>
      <c r="Y1757" s="16" t="n">
        <v>300.032917</v>
      </c>
      <c r="Z1757" s="16" t="n">
        <v>-0.80203253957107</v>
      </c>
      <c r="AA1757" s="16" t="n">
        <v>-6.530982872905691</v>
      </c>
      <c r="AB1757" s="16" t="n">
        <v>490.2917374884489</v>
      </c>
      <c r="AC1757" s="16" t="n">
        <v>1.282374498384878</v>
      </c>
      <c r="AD1757" s="16" t="inlineStr">
        <is>
          <t>O2,O3</t>
        </is>
      </c>
      <c r="AE1757" s="16" t="n"/>
    </row>
    <row r="1758">
      <c r="A1758" s="16" t="inlineStr">
        <is>
          <t>KF-M05-1-0036</t>
        </is>
      </c>
      <c r="B1758" s="16" t="inlineStr">
        <is>
          <t>4.1</t>
        </is>
      </c>
      <c r="C1758" s="16" t="inlineStr">
        <is>
          <t>4.1a</t>
        </is>
      </c>
      <c r="D1758" s="16" t="inlineStr">
        <is>
          <t>conserva sus temperaturas</t>
        </is>
      </c>
      <c r="E1758" s="16" t="inlineStr">
        <is>
          <t>KF-M05</t>
        </is>
      </c>
      <c r="F1758" s="16" t="inlineStr">
        <is>
          <t>KF-M05-1</t>
        </is>
      </c>
      <c r="G1758" s="16" t="inlineStr">
        <is>
          <t>B09-1</t>
        </is>
      </c>
      <c r="H1758" s="16" t="inlineStr">
        <is>
          <t>lhs</t>
        </is>
      </c>
      <c r="I1758" s="16" t="inlineStr">
        <is>
          <t>CORREGIBLE</t>
        </is>
      </c>
      <c r="J1758" s="16" t="inlineStr">
        <is>
          <t>CORREGIBLE</t>
        </is>
      </c>
      <c r="K1758" s="16" t="b">
        <v>1</v>
      </c>
      <c r="L1758" s="16" t="b">
        <v>0</v>
      </c>
      <c r="M1758" s="16" t="b">
        <v>1</v>
      </c>
      <c r="N1758" s="16" t="b">
        <v>0</v>
      </c>
      <c r="O1758" s="16" t="n">
        <v>623.15</v>
      </c>
      <c r="P1758" s="16" t="n">
        <v>300.032917</v>
      </c>
      <c r="Q1758" s="16" t="n">
        <v>3666.406637789724</v>
      </c>
      <c r="R1758" s="16" t="n">
        <v>1028.405540952065</v>
      </c>
      <c r="S1758" s="16" t="n">
        <v>0.7488010887278802</v>
      </c>
      <c r="T1758" s="16" t="n">
        <v>0.9327567981714904</v>
      </c>
      <c r="U1758" s="16" t="n">
        <v>0.7389571410734799</v>
      </c>
      <c r="V1758" s="16" t="n">
        <v>0.5341396431592321</v>
      </c>
      <c r="W1758" s="16" t="n">
        <v>0.7070912667735176</v>
      </c>
      <c r="X1758" s="16" t="n">
        <v>0.9306080402074618</v>
      </c>
      <c r="Y1758" s="16" t="n">
        <v>300.032917</v>
      </c>
      <c r="Z1758" s="16" t="n">
        <v>11.6168243441882</v>
      </c>
      <c r="AA1758" s="16" t="n">
        <v>137.3833848057083</v>
      </c>
      <c r="AB1758" s="16" t="n">
        <v>2638.001096837659</v>
      </c>
      <c r="AC1758" s="16" t="n">
        <v>3.565136992937127</v>
      </c>
      <c r="AD1758" s="16" t="inlineStr">
        <is>
          <t>O2</t>
        </is>
      </c>
      <c r="AE1758" s="16" t="n"/>
    </row>
    <row r="1759">
      <c r="A1759" s="16" t="inlineStr">
        <is>
          <t>KF-M05-1-0037</t>
        </is>
      </c>
      <c r="B1759" s="16" t="inlineStr">
        <is>
          <t>4.1</t>
        </is>
      </c>
      <c r="C1759" s="16" t="inlineStr">
        <is>
          <t>4.1a</t>
        </is>
      </c>
      <c r="D1759" s="16" t="inlineStr">
        <is>
          <t>conserva sus temperaturas</t>
        </is>
      </c>
      <c r="E1759" s="16" t="inlineStr">
        <is>
          <t>KF-M05</t>
        </is>
      </c>
      <c r="F1759" s="16" t="inlineStr">
        <is>
          <t>KF-M05-1</t>
        </is>
      </c>
      <c r="G1759" s="16" t="inlineStr">
        <is>
          <t>B09-1</t>
        </is>
      </c>
      <c r="H1759" s="16" t="inlineStr">
        <is>
          <t>lhs</t>
        </is>
      </c>
      <c r="I1759" s="16" t="inlineStr">
        <is>
          <t>CORREGIBLE</t>
        </is>
      </c>
      <c r="J1759" s="16" t="inlineStr">
        <is>
          <t>CORREGIBLE</t>
        </is>
      </c>
      <c r="K1759" s="16" t="b">
        <v>1</v>
      </c>
      <c r="L1759" s="16" t="b">
        <v>0</v>
      </c>
      <c r="M1759" s="16" t="b">
        <v>0</v>
      </c>
      <c r="N1759" s="16" t="b">
        <v>0</v>
      </c>
      <c r="O1759" s="16" t="n">
        <v>623.15</v>
      </c>
      <c r="P1759" s="16" t="n">
        <v>300.032917</v>
      </c>
      <c r="Q1759" s="16" t="n">
        <v>3323.336975455881</v>
      </c>
      <c r="R1759" s="16" t="n">
        <v>1307.691395215046</v>
      </c>
      <c r="S1759" s="16" t="n">
        <v>0.7769190214263271</v>
      </c>
      <c r="T1759" s="16" t="n">
        <v>0.8421522164124545</v>
      </c>
      <c r="U1759" s="16" t="n">
        <v>0.5283709638574012</v>
      </c>
      <c r="V1759" s="16" t="n">
        <v>0.4178277161257538</v>
      </c>
      <c r="W1759" s="16" t="n">
        <v>0.507673211995249</v>
      </c>
      <c r="X1759" s="16" t="n">
        <v>0.6665199095381688</v>
      </c>
      <c r="Y1759" s="16" t="n">
        <v>300.032917</v>
      </c>
      <c r="Z1759" s="16" t="n">
        <v>5.10569633057578</v>
      </c>
      <c r="AA1759" s="16" t="n">
        <v>40.42961684281437</v>
      </c>
      <c r="AB1759" s="16" t="n">
        <v>2015.645580240835</v>
      </c>
      <c r="AC1759" s="16" t="n">
        <v>2.541377107485951</v>
      </c>
      <c r="AD1759" s="16" t="inlineStr">
        <is>
          <t>O2</t>
        </is>
      </c>
      <c r="AE1759" s="16" t="n"/>
    </row>
    <row r="1760">
      <c r="A1760" s="16" t="inlineStr">
        <is>
          <t>KF-M05-1-0038</t>
        </is>
      </c>
      <c r="B1760" s="16" t="inlineStr">
        <is>
          <t>4.1</t>
        </is>
      </c>
      <c r="C1760" s="16" t="inlineStr">
        <is>
          <t>4.1a</t>
        </is>
      </c>
      <c r="D1760" s="16" t="inlineStr">
        <is>
          <t>conserva sus temperaturas</t>
        </is>
      </c>
      <c r="E1760" s="16" t="inlineStr">
        <is>
          <t>KF-M05</t>
        </is>
      </c>
      <c r="F1760" s="16" t="inlineStr">
        <is>
          <t>KF-M05-1</t>
        </is>
      </c>
      <c r="G1760" s="16" t="inlineStr">
        <is>
          <t>B09-1</t>
        </is>
      </c>
      <c r="H1760" s="16" t="inlineStr">
        <is>
          <t>lhs</t>
        </is>
      </c>
      <c r="I1760" s="16" t="inlineStr">
        <is>
          <t>NO_CONVERGIO</t>
        </is>
      </c>
      <c r="J1760" s="16" t="inlineStr">
        <is>
          <t>NO_CONVERGIO</t>
        </is>
      </c>
      <c r="K1760" s="16" t="b">
        <v>0</v>
      </c>
      <c r="L1760" s="16" t="b">
        <v>0</v>
      </c>
      <c r="M1760" s="16" t="b">
        <v>0</v>
      </c>
      <c r="N1760" s="16" t="b">
        <v>0</v>
      </c>
      <c r="O1760" s="16" t="n">
        <v>623.15</v>
      </c>
      <c r="P1760" s="16" t="n">
        <v>300.032917</v>
      </c>
      <c r="Q1760" s="16" t="n">
        <v>3743.789463067232</v>
      </c>
      <c r="R1760" s="16" t="n">
        <v>1177.689504751274</v>
      </c>
      <c r="S1760" s="16" t="n">
        <v>0.5656517100429016</v>
      </c>
      <c r="T1760" s="16" t="n">
        <v>0.6435229999907287</v>
      </c>
      <c r="U1760" s="16" t="n">
        <v>0.8724024094058371</v>
      </c>
      <c r="V1760" s="16" t="n">
        <v>0.9247035851080994</v>
      </c>
      <c r="W1760" s="16" t="n">
        <v>0.4587653997094852</v>
      </c>
      <c r="X1760" s="16" t="n">
        <v>0.586862991780664</v>
      </c>
      <c r="Y1760" s="16" t="n">
        <v>300.032917</v>
      </c>
      <c r="Z1760" s="16" t="n"/>
      <c r="AA1760" s="16" t="n"/>
      <c r="AB1760" s="16" t="n">
        <v>2566.099958315958</v>
      </c>
      <c r="AC1760" s="16" t="n">
        <v>3.178927423538443</v>
      </c>
      <c r="AD1760" s="16" t="n"/>
      <c r="AE1760" s="16" t="n"/>
    </row>
    <row r="1761">
      <c r="A1761" s="16" t="inlineStr">
        <is>
          <t>KF-M05-1-0039</t>
        </is>
      </c>
      <c r="B1761" s="16" t="inlineStr">
        <is>
          <t>4.1</t>
        </is>
      </c>
      <c r="C1761" s="16" t="inlineStr">
        <is>
          <t>4.1a</t>
        </is>
      </c>
      <c r="D1761" s="16" t="inlineStr">
        <is>
          <t>conserva sus temperaturas</t>
        </is>
      </c>
      <c r="E1761" s="16" t="inlineStr">
        <is>
          <t>KF-M05</t>
        </is>
      </c>
      <c r="F1761" s="16" t="inlineStr">
        <is>
          <t>KF-M05-1</t>
        </is>
      </c>
      <c r="G1761" s="16" t="inlineStr">
        <is>
          <t>B09-1</t>
        </is>
      </c>
      <c r="H1761" s="16" t="inlineStr">
        <is>
          <t>lhs</t>
        </is>
      </c>
      <c r="I1761" s="16" t="inlineStr">
        <is>
          <t>NO_CONVERGIO</t>
        </is>
      </c>
      <c r="J1761" s="16" t="inlineStr">
        <is>
          <t>NO_CONVERGIO</t>
        </is>
      </c>
      <c r="K1761" s="16" t="b">
        <v>0</v>
      </c>
      <c r="L1761" s="16" t="b">
        <v>0</v>
      </c>
      <c r="M1761" s="16" t="b">
        <v>0</v>
      </c>
      <c r="N1761" s="16" t="b">
        <v>0</v>
      </c>
      <c r="O1761" s="16" t="n">
        <v>623.15</v>
      </c>
      <c r="P1761" s="16" t="n">
        <v>300.032917</v>
      </c>
      <c r="Q1761" s="16" t="n">
        <v>4674.067663828345</v>
      </c>
      <c r="R1761" s="16" t="n">
        <v>1126.886755993013</v>
      </c>
      <c r="S1761" s="16" t="n">
        <v>0.6695106606453457</v>
      </c>
      <c r="T1761" s="16" t="n">
        <v>0.8825472839276033</v>
      </c>
      <c r="U1761" s="16" t="n">
        <v>0.6927180823206129</v>
      </c>
      <c r="V1761" s="16" t="n">
        <v>0.9332464551672992</v>
      </c>
      <c r="W1761" s="16" t="n">
        <v>0.4633850870770011</v>
      </c>
      <c r="X1761" s="16" t="n">
        <v>0.5798058411106282</v>
      </c>
      <c r="Y1761" s="16" t="n">
        <v>300.032917</v>
      </c>
      <c r="Z1761" s="16" t="n"/>
      <c r="AA1761" s="16" t="n"/>
      <c r="AB1761" s="16" t="n">
        <v>3547.180907835332</v>
      </c>
      <c r="AC1761" s="16" t="n">
        <v>4.147770518173811</v>
      </c>
      <c r="AD1761" s="16" t="n"/>
      <c r="AE1761" s="16" t="n"/>
    </row>
    <row r="1762">
      <c r="A1762" s="16" t="inlineStr">
        <is>
          <t>KF-M05-1-0040</t>
        </is>
      </c>
      <c r="B1762" s="16" t="inlineStr">
        <is>
          <t>4.1</t>
        </is>
      </c>
      <c r="C1762" s="16" t="inlineStr">
        <is>
          <t>4.1a</t>
        </is>
      </c>
      <c r="D1762" s="16" t="inlineStr">
        <is>
          <t>conserva sus temperaturas</t>
        </is>
      </c>
      <c r="E1762" s="16" t="inlineStr">
        <is>
          <t>KF-M05</t>
        </is>
      </c>
      <c r="F1762" s="16" t="inlineStr">
        <is>
          <t>KF-M05-1</t>
        </is>
      </c>
      <c r="G1762" s="16" t="inlineStr">
        <is>
          <t>B09-1</t>
        </is>
      </c>
      <c r="H1762" s="16" t="inlineStr">
        <is>
          <t>lhs</t>
        </is>
      </c>
      <c r="I1762" s="16" t="inlineStr">
        <is>
          <t>NO_CONVERGIO</t>
        </is>
      </c>
      <c r="J1762" s="16" t="inlineStr">
        <is>
          <t>NO_CONVERGIO</t>
        </is>
      </c>
      <c r="K1762" s="16" t="b">
        <v>0</v>
      </c>
      <c r="L1762" s="16" t="b">
        <v>0</v>
      </c>
      <c r="M1762" s="16" t="b">
        <v>0</v>
      </c>
      <c r="N1762" s="16" t="b">
        <v>0</v>
      </c>
      <c r="O1762" s="16" t="n">
        <v>623.15</v>
      </c>
      <c r="P1762" s="16" t="n">
        <v>300.032917</v>
      </c>
      <c r="Q1762" s="16" t="n">
        <v>2820.748296422965</v>
      </c>
      <c r="R1762" s="16" t="n">
        <v>314.6296897467016</v>
      </c>
      <c r="S1762" s="16" t="n">
        <v>0.7365045619751721</v>
      </c>
      <c r="T1762" s="16" t="n">
        <v>0.5663520695757286</v>
      </c>
      <c r="U1762" s="16" t="n">
        <v>0.4728944986307805</v>
      </c>
      <c r="V1762" s="16" t="n">
        <v>0.6968650740275768</v>
      </c>
      <c r="W1762" s="16" t="n">
        <v>0.5884169213454287</v>
      </c>
      <c r="X1762" s="16" t="n">
        <v>0.4162446529302034</v>
      </c>
      <c r="Y1762" s="16" t="n">
        <v>300.032917</v>
      </c>
      <c r="Z1762" s="16" t="n"/>
      <c r="AA1762" s="16" t="n"/>
      <c r="AB1762" s="16" t="n">
        <v>2506.118606676263</v>
      </c>
      <c r="AC1762" s="16" t="n">
        <v>8.965295991913095</v>
      </c>
      <c r="AD1762" s="16" t="n"/>
      <c r="AE1762" s="16" t="n"/>
    </row>
    <row r="1763">
      <c r="A1763" s="16" t="inlineStr">
        <is>
          <t>KF-M05-1-0041</t>
        </is>
      </c>
      <c r="B1763" s="16" t="inlineStr">
        <is>
          <t>4.1</t>
        </is>
      </c>
      <c r="C1763" s="16" t="inlineStr">
        <is>
          <t>4.1a</t>
        </is>
      </c>
      <c r="D1763" s="16" t="inlineStr">
        <is>
          <t>conserva sus temperaturas</t>
        </is>
      </c>
      <c r="E1763" s="16" t="inlineStr">
        <is>
          <t>KF-M05</t>
        </is>
      </c>
      <c r="F1763" s="16" t="inlineStr">
        <is>
          <t>KF-M05-1</t>
        </is>
      </c>
      <c r="G1763" s="16" t="inlineStr">
        <is>
          <t>B09-1</t>
        </is>
      </c>
      <c r="H1763" s="16" t="inlineStr">
        <is>
          <t>lhs</t>
        </is>
      </c>
      <c r="I1763" s="16" t="inlineStr">
        <is>
          <t>NO_CONVERGIO</t>
        </is>
      </c>
      <c r="J1763" s="16" t="inlineStr">
        <is>
          <t>NO_CONVERGIO</t>
        </is>
      </c>
      <c r="K1763" s="16" t="b">
        <v>0</v>
      </c>
      <c r="L1763" s="16" t="b">
        <v>0</v>
      </c>
      <c r="M1763" s="16" t="b">
        <v>0</v>
      </c>
      <c r="N1763" s="16" t="b">
        <v>0</v>
      </c>
      <c r="O1763" s="16" t="n">
        <v>623.15</v>
      </c>
      <c r="P1763" s="16" t="n">
        <v>300.032917</v>
      </c>
      <c r="Q1763" s="16" t="n">
        <v>3531.292265574615</v>
      </c>
      <c r="R1763" s="16" t="n">
        <v>1662.020872077349</v>
      </c>
      <c r="S1763" s="16" t="n">
        <v>0.6579298295961877</v>
      </c>
      <c r="T1763" s="16" t="n">
        <v>0.5203347052376175</v>
      </c>
      <c r="U1763" s="16" t="n">
        <v>0.7284581701977324</v>
      </c>
      <c r="V1763" s="16" t="n">
        <v>0.9150992462780682</v>
      </c>
      <c r="W1763" s="16" t="n">
        <v>0.8274557846561023</v>
      </c>
      <c r="X1763" s="16" t="n">
        <v>0.6932650033706718</v>
      </c>
      <c r="Y1763" s="16" t="n">
        <v>300.032917</v>
      </c>
      <c r="Z1763" s="16" t="n"/>
      <c r="AA1763" s="16" t="n"/>
      <c r="AB1763" s="16" t="n">
        <v>1869.271393497266</v>
      </c>
      <c r="AC1763" s="16" t="n">
        <v>2.124697905364375</v>
      </c>
      <c r="AD1763" s="16" t="n"/>
      <c r="AE1763" s="16" t="n"/>
    </row>
    <row r="1764">
      <c r="A1764" s="16" t="inlineStr">
        <is>
          <t>KF-M05-1-0042</t>
        </is>
      </c>
      <c r="B1764" s="16" t="inlineStr">
        <is>
          <t>4.1</t>
        </is>
      </c>
      <c r="C1764" s="16" t="inlineStr">
        <is>
          <t>4.1a</t>
        </is>
      </c>
      <c r="D1764" s="16" t="inlineStr">
        <is>
          <t>conserva sus temperaturas</t>
        </is>
      </c>
      <c r="E1764" s="16" t="inlineStr">
        <is>
          <t>KF-M05</t>
        </is>
      </c>
      <c r="F1764" s="16" t="inlineStr">
        <is>
          <t>KF-M05-1</t>
        </is>
      </c>
      <c r="G1764" s="16" t="inlineStr">
        <is>
          <t>B09-1</t>
        </is>
      </c>
      <c r="H1764" s="16" t="inlineStr">
        <is>
          <t>lhs</t>
        </is>
      </c>
      <c r="I1764" s="16" t="inlineStr">
        <is>
          <t>CORREGIBLE</t>
        </is>
      </c>
      <c r="J1764" s="16" t="inlineStr">
        <is>
          <t>CORREGIBLE</t>
        </is>
      </c>
      <c r="K1764" s="16" t="b">
        <v>1</v>
      </c>
      <c r="L1764" s="16" t="b">
        <v>0</v>
      </c>
      <c r="M1764" s="16" t="b">
        <v>1</v>
      </c>
      <c r="N1764" s="16" t="b">
        <v>0</v>
      </c>
      <c r="O1764" s="16" t="n">
        <v>623.15</v>
      </c>
      <c r="P1764" s="16" t="n">
        <v>300.032917</v>
      </c>
      <c r="Q1764" s="16" t="n">
        <v>4229.871319647765</v>
      </c>
      <c r="R1764" s="16" t="n">
        <v>804.467434407283</v>
      </c>
      <c r="S1764" s="16" t="n">
        <v>0.7045694555909521</v>
      </c>
      <c r="T1764" s="16" t="n">
        <v>0.7767739231650153</v>
      </c>
      <c r="U1764" s="16" t="n">
        <v>0.4248922506184456</v>
      </c>
      <c r="V1764" s="16" t="n">
        <v>0.6792441378510238</v>
      </c>
      <c r="W1764" s="16" t="n">
        <v>0.8626831312497595</v>
      </c>
      <c r="X1764" s="16" t="n">
        <v>0.7238056117768278</v>
      </c>
      <c r="Y1764" s="16" t="n">
        <v>300.032917</v>
      </c>
      <c r="Z1764" s="16" t="n">
        <v>5.37927059148832</v>
      </c>
      <c r="AA1764" s="16" t="n">
        <v>67.30949626279178</v>
      </c>
      <c r="AB1764" s="16" t="n">
        <v>3425.403885240482</v>
      </c>
      <c r="AC1764" s="16" t="n">
        <v>5.257977064993634</v>
      </c>
      <c r="AD1764" s="16" t="inlineStr">
        <is>
          <t>O2</t>
        </is>
      </c>
      <c r="AE1764" s="16" t="n"/>
    </row>
    <row r="1765">
      <c r="A1765" s="16" t="inlineStr">
        <is>
          <t>KF-M05-1-0043</t>
        </is>
      </c>
      <c r="B1765" s="16" t="inlineStr">
        <is>
          <t>4.1</t>
        </is>
      </c>
      <c r="C1765" s="16" t="inlineStr">
        <is>
          <t>4.1a</t>
        </is>
      </c>
      <c r="D1765" s="16" t="inlineStr">
        <is>
          <t>conserva sus temperaturas</t>
        </is>
      </c>
      <c r="E1765" s="16" t="inlineStr">
        <is>
          <t>KF-M05</t>
        </is>
      </c>
      <c r="F1765" s="16" t="inlineStr">
        <is>
          <t>KF-M05-1</t>
        </is>
      </c>
      <c r="G1765" s="16" t="inlineStr">
        <is>
          <t>B09-1</t>
        </is>
      </c>
      <c r="H1765" s="16" t="inlineStr">
        <is>
          <t>lhs</t>
        </is>
      </c>
      <c r="I1765" s="16" t="inlineStr">
        <is>
          <t>CORREGIBLE</t>
        </is>
      </c>
      <c r="J1765" s="16" t="inlineStr">
        <is>
          <t>CORREGIBLE</t>
        </is>
      </c>
      <c r="K1765" s="16" t="b">
        <v>1</v>
      </c>
      <c r="L1765" s="16" t="b">
        <v>0</v>
      </c>
      <c r="M1765" s="16" t="b">
        <v>1</v>
      </c>
      <c r="N1765" s="16" t="b">
        <v>0</v>
      </c>
      <c r="O1765" s="16" t="n">
        <v>623.15</v>
      </c>
      <c r="P1765" s="16" t="n">
        <v>300.032917</v>
      </c>
      <c r="Q1765" s="16" t="n">
        <v>3818.851880522423</v>
      </c>
      <c r="R1765" s="16" t="n">
        <v>1488.691075771345</v>
      </c>
      <c r="S1765" s="16" t="n">
        <v>0.509005454370105</v>
      </c>
      <c r="T1765" s="16" t="n">
        <v>0.8274487833226122</v>
      </c>
      <c r="U1765" s="16" t="n">
        <v>0.870784780239039</v>
      </c>
      <c r="V1765" s="16" t="n">
        <v>0.6079372965476301</v>
      </c>
      <c r="W1765" s="16" t="n">
        <v>0.4673040207586453</v>
      </c>
      <c r="X1765" s="16" t="n">
        <v>0.7852413933163904</v>
      </c>
      <c r="Y1765" s="16" t="n">
        <v>300.032917</v>
      </c>
      <c r="Z1765" s="16" t="n">
        <v>6.99125431098358</v>
      </c>
      <c r="AA1765" s="16" t="n">
        <v>97.5801745771513</v>
      </c>
      <c r="AB1765" s="16" t="n">
        <v>2330.160804751078</v>
      </c>
      <c r="AC1765" s="16" t="n">
        <v>2.565241333594841</v>
      </c>
      <c r="AD1765" s="16" t="inlineStr">
        <is>
          <t>O2</t>
        </is>
      </c>
      <c r="AE1765" s="16" t="n"/>
    </row>
    <row r="1766">
      <c r="A1766" s="16" t="inlineStr">
        <is>
          <t>KF-M05-1-0044</t>
        </is>
      </c>
      <c r="B1766" s="16" t="inlineStr">
        <is>
          <t>4.1</t>
        </is>
      </c>
      <c r="C1766" s="16" t="inlineStr">
        <is>
          <t>4.1a</t>
        </is>
      </c>
      <c r="D1766" s="16" t="inlineStr">
        <is>
          <t>conserva sus temperaturas</t>
        </is>
      </c>
      <c r="E1766" s="16" t="inlineStr">
        <is>
          <t>KF-M05</t>
        </is>
      </c>
      <c r="F1766" s="16" t="inlineStr">
        <is>
          <t>KF-M05-1</t>
        </is>
      </c>
      <c r="G1766" s="16" t="inlineStr">
        <is>
          <t>B09-1</t>
        </is>
      </c>
      <c r="H1766" s="16" t="inlineStr">
        <is>
          <t>lhs</t>
        </is>
      </c>
      <c r="I1766" s="16" t="inlineStr">
        <is>
          <t>NO_CONVERGIO</t>
        </is>
      </c>
      <c r="J1766" s="16" t="inlineStr">
        <is>
          <t>NO_CONVERGIO</t>
        </is>
      </c>
      <c r="K1766" s="16" t="b">
        <v>0</v>
      </c>
      <c r="L1766" s="16" t="b">
        <v>0</v>
      </c>
      <c r="M1766" s="16" t="b">
        <v>0</v>
      </c>
      <c r="N1766" s="16" t="b">
        <v>0</v>
      </c>
      <c r="O1766" s="16" t="n">
        <v>623.15</v>
      </c>
      <c r="P1766" s="16" t="n">
        <v>300.032917</v>
      </c>
      <c r="Q1766" s="16" t="n">
        <v>4813.701246399209</v>
      </c>
      <c r="R1766" s="16" t="n">
        <v>1414.34852623976</v>
      </c>
      <c r="S1766" s="16" t="n">
        <v>0.8489501800850052</v>
      </c>
      <c r="T1766" s="16" t="n">
        <v>0.7622353627455889</v>
      </c>
      <c r="U1766" s="16" t="n">
        <v>0.6600715717426984</v>
      </c>
      <c r="V1766" s="16" t="n">
        <v>0.7258126776514779</v>
      </c>
      <c r="W1766" s="16" t="n">
        <v>0.8412011181804719</v>
      </c>
      <c r="X1766" s="16" t="n">
        <v>0.7422757575562452</v>
      </c>
      <c r="Y1766" s="16" t="n">
        <v>300.032917</v>
      </c>
      <c r="Z1766" s="16" t="n"/>
      <c r="AA1766" s="16" t="n"/>
      <c r="AB1766" s="16" t="n">
        <v>3399.352720159449</v>
      </c>
      <c r="AC1766" s="16" t="n">
        <v>3.403475987066</v>
      </c>
      <c r="AD1766" s="16" t="n"/>
      <c r="AE1766" s="16" t="n"/>
    </row>
    <row r="1767">
      <c r="A1767" s="16" t="inlineStr">
        <is>
          <t>KF-M05-1-0045</t>
        </is>
      </c>
      <c r="B1767" s="16" t="inlineStr">
        <is>
          <t>4.1</t>
        </is>
      </c>
      <c r="C1767" s="16" t="inlineStr">
        <is>
          <t>4.1a</t>
        </is>
      </c>
      <c r="D1767" s="16" t="inlineStr">
        <is>
          <t>conserva sus temperaturas</t>
        </is>
      </c>
      <c r="E1767" s="16" t="inlineStr">
        <is>
          <t>KF-M05</t>
        </is>
      </c>
      <c r="F1767" s="16" t="inlineStr">
        <is>
          <t>KF-M05-1</t>
        </is>
      </c>
      <c r="G1767" s="16" t="inlineStr">
        <is>
          <t>B09-1</t>
        </is>
      </c>
      <c r="H1767" s="16" t="inlineStr">
        <is>
          <t>lhs</t>
        </is>
      </c>
      <c r="I1767" s="16" t="inlineStr">
        <is>
          <t>NO_CONVERGIO</t>
        </is>
      </c>
      <c r="J1767" s="16" t="inlineStr">
        <is>
          <t>NO_CONVERGIO</t>
        </is>
      </c>
      <c r="K1767" s="16" t="b">
        <v>0</v>
      </c>
      <c r="L1767" s="16" t="b">
        <v>0</v>
      </c>
      <c r="M1767" s="16" t="b">
        <v>0</v>
      </c>
      <c r="N1767" s="16" t="b">
        <v>0</v>
      </c>
      <c r="O1767" s="16" t="n">
        <v>623.15</v>
      </c>
      <c r="P1767" s="16" t="n">
        <v>300.032917</v>
      </c>
      <c r="Q1767" s="16" t="n">
        <v>3086.125039698073</v>
      </c>
      <c r="R1767" s="16" t="n">
        <v>1223.093120281681</v>
      </c>
      <c r="S1767" s="16" t="n">
        <v>0.6684652161142823</v>
      </c>
      <c r="T1767" s="16" t="n">
        <v>0.8589658291779798</v>
      </c>
      <c r="U1767" s="16" t="n">
        <v>0.8619092365189575</v>
      </c>
      <c r="V1767" s="16" t="n">
        <v>0.9283648906646076</v>
      </c>
      <c r="W1767" s="16" t="n">
        <v>0.6808684684490129</v>
      </c>
      <c r="X1767" s="16" t="n">
        <v>0.5162485263981889</v>
      </c>
      <c r="Y1767" s="16" t="n">
        <v>300.032917</v>
      </c>
      <c r="Z1767" s="16" t="n"/>
      <c r="AA1767" s="16" t="n"/>
      <c r="AB1767" s="16" t="n">
        <v>1863.031919416392</v>
      </c>
      <c r="AC1767" s="16" t="n">
        <v>2.523213472893489</v>
      </c>
      <c r="AD1767" s="16" t="n"/>
      <c r="AE1767" s="16" t="n"/>
    </row>
    <row r="1768">
      <c r="A1768" s="16" t="inlineStr">
        <is>
          <t>KF-M05-1-0046</t>
        </is>
      </c>
      <c r="B1768" s="16" t="inlineStr">
        <is>
          <t>4.1</t>
        </is>
      </c>
      <c r="C1768" s="16" t="inlineStr">
        <is>
          <t>4.1a</t>
        </is>
      </c>
      <c r="D1768" s="16" t="inlineStr">
        <is>
          <t>conserva sus temperaturas</t>
        </is>
      </c>
      <c r="E1768" s="16" t="inlineStr">
        <is>
          <t>KF-M05</t>
        </is>
      </c>
      <c r="F1768" s="16" t="inlineStr">
        <is>
          <t>KF-M05-1</t>
        </is>
      </c>
      <c r="G1768" s="16" t="inlineStr">
        <is>
          <t>B09-1</t>
        </is>
      </c>
      <c r="H1768" s="16" t="inlineStr">
        <is>
          <t>lhs</t>
        </is>
      </c>
      <c r="I1768" s="16" t="inlineStr">
        <is>
          <t>NO_CONVERGIO</t>
        </is>
      </c>
      <c r="J1768" s="16" t="inlineStr">
        <is>
          <t>NO_CONVERGIO</t>
        </is>
      </c>
      <c r="K1768" s="16" t="b">
        <v>0</v>
      </c>
      <c r="L1768" s="16" t="b">
        <v>0</v>
      </c>
      <c r="M1768" s="16" t="b">
        <v>0</v>
      </c>
      <c r="N1768" s="16" t="b">
        <v>0</v>
      </c>
      <c r="O1768" s="16" t="n">
        <v>623.15</v>
      </c>
      <c r="P1768" s="16" t="n">
        <v>300.032917</v>
      </c>
      <c r="Q1768" s="16" t="n">
        <v>2484.33148377224</v>
      </c>
      <c r="R1768" s="16" t="n">
        <v>376.998070641926</v>
      </c>
      <c r="S1768" s="16" t="n">
        <v>0.8374452503045282</v>
      </c>
      <c r="T1768" s="16" t="n">
        <v>0.4238607900456191</v>
      </c>
      <c r="U1768" s="16" t="n">
        <v>0.7649781451119395</v>
      </c>
      <c r="V1768" s="16" t="n">
        <v>0.5869958071969558</v>
      </c>
      <c r="W1768" s="16" t="n">
        <v>0.4909143800518892</v>
      </c>
      <c r="X1768" s="16" t="n">
        <v>0.6799943817522778</v>
      </c>
      <c r="Y1768" s="16" t="n">
        <v>300.032917</v>
      </c>
      <c r="Z1768" s="16" t="n"/>
      <c r="AA1768" s="16" t="n"/>
      <c r="AB1768" s="16" t="n">
        <v>2107.333413130314</v>
      </c>
      <c r="AC1768" s="16" t="n">
        <v>6.589772407965096</v>
      </c>
      <c r="AD1768" s="16" t="n"/>
      <c r="AE1768" s="16" t="n"/>
    </row>
    <row r="1769">
      <c r="A1769" s="16" t="inlineStr">
        <is>
          <t>KF-M05-1-0047</t>
        </is>
      </c>
      <c r="B1769" s="16" t="inlineStr">
        <is>
          <t>4.1</t>
        </is>
      </c>
      <c r="C1769" s="16" t="inlineStr">
        <is>
          <t>4.1a</t>
        </is>
      </c>
      <c r="D1769" s="16" t="inlineStr">
        <is>
          <t>conserva sus temperaturas</t>
        </is>
      </c>
      <c r="E1769" s="16" t="inlineStr">
        <is>
          <t>KF-M05</t>
        </is>
      </c>
      <c r="F1769" s="16" t="inlineStr">
        <is>
          <t>KF-M05-1</t>
        </is>
      </c>
      <c r="G1769" s="16" t="inlineStr">
        <is>
          <t>B09-1</t>
        </is>
      </c>
      <c r="H1769" s="16" t="inlineStr">
        <is>
          <t>lhs</t>
        </is>
      </c>
      <c r="I1769" s="16" t="inlineStr">
        <is>
          <t>N2</t>
        </is>
      </c>
      <c r="J1769" s="16" t="inlineStr">
        <is>
          <t>NO_CONVERGIO</t>
        </is>
      </c>
      <c r="K1769" s="16" t="b">
        <v>0</v>
      </c>
      <c r="L1769" s="16" t="b">
        <v>0</v>
      </c>
      <c r="M1769" s="16" t="b">
        <v>1</v>
      </c>
      <c r="N1769" s="16" t="b">
        <v>0</v>
      </c>
      <c r="O1769" s="16" t="n">
        <v>623.15</v>
      </c>
      <c r="P1769" s="16" t="n">
        <v>300.032917</v>
      </c>
      <c r="Q1769" s="16" t="n">
        <v>2774.908884424553</v>
      </c>
      <c r="R1769" s="16" t="n">
        <v>745.8991327141955</v>
      </c>
      <c r="S1769" s="16" t="n">
        <v>0.6979923896822635</v>
      </c>
      <c r="T1769" s="16" t="n">
        <v>0.4505057570087982</v>
      </c>
      <c r="U1769" s="16" t="n">
        <v>0.4325318924122749</v>
      </c>
      <c r="V1769" s="16" t="n">
        <v>0.7865699107510093</v>
      </c>
      <c r="W1769" s="16" t="n">
        <v>0.7610862100643691</v>
      </c>
      <c r="X1769" s="16" t="n">
        <v>0.8492747045013506</v>
      </c>
      <c r="Y1769" s="16" t="n">
        <v>300.032917</v>
      </c>
      <c r="Z1769" s="16" t="n">
        <v>2.59288312160178</v>
      </c>
      <c r="AA1769" s="16" t="n">
        <v>43.36206051929868</v>
      </c>
      <c r="AB1769" s="16" t="n">
        <v>2029.009751710357</v>
      </c>
      <c r="AC1769" s="16" t="n">
        <v>3.720220017319431</v>
      </c>
      <c r="AD1769" s="16" t="inlineStr">
        <is>
          <t>N2,O2,O5,C1,C3,C3</t>
        </is>
      </c>
      <c r="AE1769" s="16" t="n"/>
    </row>
    <row r="1770">
      <c r="A1770" s="16" t="inlineStr">
        <is>
          <t>KF-M05-1-0048</t>
        </is>
      </c>
      <c r="B1770" s="16" t="inlineStr">
        <is>
          <t>4.1</t>
        </is>
      </c>
      <c r="C1770" s="16" t="inlineStr">
        <is>
          <t>4.1a</t>
        </is>
      </c>
      <c r="D1770" s="16" t="inlineStr">
        <is>
          <t>conserva sus temperaturas</t>
        </is>
      </c>
      <c r="E1770" s="16" t="inlineStr">
        <is>
          <t>KF-M05</t>
        </is>
      </c>
      <c r="F1770" s="16" t="inlineStr">
        <is>
          <t>KF-M05-1</t>
        </is>
      </c>
      <c r="G1770" s="16" t="inlineStr">
        <is>
          <t>B09-1</t>
        </is>
      </c>
      <c r="H1770" s="16" t="inlineStr">
        <is>
          <t>lhs</t>
        </is>
      </c>
      <c r="I1770" s="16" t="inlineStr">
        <is>
          <t>NO_CONVERGIO</t>
        </is>
      </c>
      <c r="J1770" s="16" t="inlineStr">
        <is>
          <t>NO_CONVERGIO</t>
        </is>
      </c>
      <c r="K1770" s="16" t="b">
        <v>0</v>
      </c>
      <c r="L1770" s="16" t="b">
        <v>0</v>
      </c>
      <c r="M1770" s="16" t="b">
        <v>0</v>
      </c>
      <c r="N1770" s="16" t="b">
        <v>0</v>
      </c>
      <c r="O1770" s="16" t="n">
        <v>623.15</v>
      </c>
      <c r="P1770" s="16" t="n">
        <v>300.032917</v>
      </c>
      <c r="Q1770" s="16" t="n">
        <v>2559.665822655577</v>
      </c>
      <c r="R1770" s="16" t="n">
        <v>1386.21691456681</v>
      </c>
      <c r="S1770" s="16" t="n">
        <v>0.8154663480758158</v>
      </c>
      <c r="T1770" s="16" t="n">
        <v>0.9429293101459654</v>
      </c>
      <c r="U1770" s="16" t="n">
        <v>0.679218305377428</v>
      </c>
      <c r="V1770" s="16" t="n">
        <v>0.8815008113532006</v>
      </c>
      <c r="W1770" s="16" t="n">
        <v>0.496390839255959</v>
      </c>
      <c r="X1770" s="16" t="n">
        <v>0.8687844752545106</v>
      </c>
      <c r="Y1770" s="16" t="n">
        <v>300.032917</v>
      </c>
      <c r="Z1770" s="16" t="n"/>
      <c r="AA1770" s="16" t="n"/>
      <c r="AB1770" s="16" t="n">
        <v>1173.448908088767</v>
      </c>
      <c r="AC1770" s="16" t="n">
        <v>1.846511751341216</v>
      </c>
      <c r="AD1770" s="16" t="n"/>
      <c r="AE1770" s="16" t="n"/>
    </row>
    <row r="1771">
      <c r="A1771" s="16" t="inlineStr">
        <is>
          <t>KF-M05-1-0049</t>
        </is>
      </c>
      <c r="B1771" s="16" t="inlineStr">
        <is>
          <t>4.1</t>
        </is>
      </c>
      <c r="C1771" s="16" t="inlineStr">
        <is>
          <t>4.1a</t>
        </is>
      </c>
      <c r="D1771" s="16" t="inlineStr">
        <is>
          <t>conserva sus temperaturas</t>
        </is>
      </c>
      <c r="E1771" s="16" t="inlineStr">
        <is>
          <t>KF-M05</t>
        </is>
      </c>
      <c r="F1771" s="16" t="inlineStr">
        <is>
          <t>KF-M05-1</t>
        </is>
      </c>
      <c r="G1771" s="16" t="inlineStr">
        <is>
          <t>B09-1</t>
        </is>
      </c>
      <c r="H1771" s="16" t="inlineStr">
        <is>
          <t>lhs</t>
        </is>
      </c>
      <c r="I1771" s="16" t="inlineStr">
        <is>
          <t>CORREGIBLE</t>
        </is>
      </c>
      <c r="J1771" s="16" t="inlineStr">
        <is>
          <t>CORREGIBLE</t>
        </is>
      </c>
      <c r="K1771" s="16" t="b">
        <v>1</v>
      </c>
      <c r="L1771" s="16" t="b">
        <v>0</v>
      </c>
      <c r="M1771" s="16" t="b">
        <v>1</v>
      </c>
      <c r="N1771" s="16" t="b">
        <v>0</v>
      </c>
      <c r="O1771" s="16" t="n">
        <v>623.15</v>
      </c>
      <c r="P1771" s="16" t="n">
        <v>300.032917</v>
      </c>
      <c r="Q1771" s="16" t="n">
        <v>3411.415486503021</v>
      </c>
      <c r="R1771" s="16" t="n">
        <v>540.3276867392383</v>
      </c>
      <c r="S1771" s="16" t="n">
        <v>0.7106851649880759</v>
      </c>
      <c r="T1771" s="16" t="n">
        <v>0.6751533441002591</v>
      </c>
      <c r="U1771" s="16" t="n">
        <v>0.9077999809159067</v>
      </c>
      <c r="V1771" s="16" t="n">
        <v>0.6245343279110799</v>
      </c>
      <c r="W1771" s="16" t="n">
        <v>0.4756540082181835</v>
      </c>
      <c r="X1771" s="16" t="n">
        <v>0.5963304376244752</v>
      </c>
      <c r="Y1771" s="16" t="n">
        <v>300.032917</v>
      </c>
      <c r="Z1771" s="16" t="n">
        <v>2.78423427582944</v>
      </c>
      <c r="AA1771" s="16" t="n">
        <v>23.889287343142</v>
      </c>
      <c r="AB1771" s="16" t="n">
        <v>2871.087799763782</v>
      </c>
      <c r="AC1771" s="16" t="n">
        <v>6.313604818383788</v>
      </c>
      <c r="AD1771" s="16" t="inlineStr">
        <is>
          <t>O2</t>
        </is>
      </c>
      <c r="AE1771" s="16" t="n"/>
    </row>
    <row r="1772">
      <c r="A1772" s="16" t="inlineStr">
        <is>
          <t>KF-M05-1-0050</t>
        </is>
      </c>
      <c r="B1772" s="16" t="inlineStr">
        <is>
          <t>4.1</t>
        </is>
      </c>
      <c r="C1772" s="16" t="inlineStr">
        <is>
          <t>4.1a</t>
        </is>
      </c>
      <c r="D1772" s="16" t="inlineStr">
        <is>
          <t>conserva sus temperaturas</t>
        </is>
      </c>
      <c r="E1772" s="16" t="inlineStr">
        <is>
          <t>KF-M05</t>
        </is>
      </c>
      <c r="F1772" s="16" t="inlineStr">
        <is>
          <t>KF-M05-1</t>
        </is>
      </c>
      <c r="G1772" s="16" t="inlineStr">
        <is>
          <t>B09-1</t>
        </is>
      </c>
      <c r="H1772" s="16" t="inlineStr">
        <is>
          <t>lhs</t>
        </is>
      </c>
      <c r="I1772" s="16" t="inlineStr">
        <is>
          <t>NO_CONVERGIO</t>
        </is>
      </c>
      <c r="J1772" s="16" t="inlineStr">
        <is>
          <t>NO_CONVERGIO</t>
        </is>
      </c>
      <c r="K1772" s="16" t="b">
        <v>0</v>
      </c>
      <c r="L1772" s="16" t="b">
        <v>0</v>
      </c>
      <c r="M1772" s="16" t="b">
        <v>0</v>
      </c>
      <c r="N1772" s="16" t="b">
        <v>0</v>
      </c>
      <c r="O1772" s="16" t="n">
        <v>623.15</v>
      </c>
      <c r="P1772" s="16" t="n">
        <v>300.032917</v>
      </c>
      <c r="Q1772" s="16" t="n">
        <v>4729.652181066411</v>
      </c>
      <c r="R1772" s="16" t="n">
        <v>621.4954666869867</v>
      </c>
      <c r="S1772" s="16" t="n">
        <v>0.7194756084562409</v>
      </c>
      <c r="T1772" s="16" t="n">
        <v>0.7723099100258705</v>
      </c>
      <c r="U1772" s="16" t="n">
        <v>0.6953953282445956</v>
      </c>
      <c r="V1772" s="16" t="n">
        <v>0.8909105246665088</v>
      </c>
      <c r="W1772" s="16" t="n">
        <v>0.4722491915114775</v>
      </c>
      <c r="X1772" s="16" t="n">
        <v>0.5540336083374007</v>
      </c>
      <c r="Y1772" s="16" t="n">
        <v>300.032917</v>
      </c>
      <c r="Z1772" s="16" t="n"/>
      <c r="AA1772" s="16" t="n"/>
      <c r="AB1772" s="16" t="n">
        <v>4108.156714379424</v>
      </c>
      <c r="AC1772" s="16" t="n">
        <v>7.610115334032643</v>
      </c>
      <c r="AD1772" s="16" t="n"/>
      <c r="AE1772" s="16" t="n"/>
    </row>
    <row r="1773">
      <c r="A1773" s="16" t="inlineStr">
        <is>
          <t>KF-M05-1-0051</t>
        </is>
      </c>
      <c r="B1773" s="16" t="inlineStr">
        <is>
          <t>4.1</t>
        </is>
      </c>
      <c r="C1773" s="16" t="inlineStr">
        <is>
          <t>4.1a</t>
        </is>
      </c>
      <c r="D1773" s="16" t="inlineStr">
        <is>
          <t>conserva sus temperaturas</t>
        </is>
      </c>
      <c r="E1773" s="16" t="inlineStr">
        <is>
          <t>KF-M05</t>
        </is>
      </c>
      <c r="F1773" s="16" t="inlineStr">
        <is>
          <t>KF-M05-1</t>
        </is>
      </c>
      <c r="G1773" s="16" t="inlineStr">
        <is>
          <t>B09-1</t>
        </is>
      </c>
      <c r="H1773" s="16" t="inlineStr">
        <is>
          <t>lhs</t>
        </is>
      </c>
      <c r="I1773" s="16" t="inlineStr">
        <is>
          <t>INVIABLE</t>
        </is>
      </c>
      <c r="J1773" s="16" t="inlineStr">
        <is>
          <t>INVIABLE</t>
        </is>
      </c>
      <c r="K1773" s="16" t="b">
        <v>1</v>
      </c>
      <c r="L1773" s="16" t="b">
        <v>0</v>
      </c>
      <c r="M1773" s="16" t="b">
        <v>0</v>
      </c>
      <c r="N1773" s="16" t="b">
        <v>0</v>
      </c>
      <c r="O1773" s="16" t="n">
        <v>623.15</v>
      </c>
      <c r="P1773" s="16" t="n">
        <v>300.032917</v>
      </c>
      <c r="Q1773" s="16" t="n">
        <v>3193.334792418263</v>
      </c>
      <c r="R1773" s="16" t="n">
        <v>755.9473297317002</v>
      </c>
      <c r="S1773" s="16" t="n">
        <v>0.8027146841032078</v>
      </c>
      <c r="T1773" s="16" t="n">
        <v>0.7006642660726292</v>
      </c>
      <c r="U1773" s="16" t="n">
        <v>0.6011610309315787</v>
      </c>
      <c r="V1773" s="16" t="n">
        <v>0.4370761972727621</v>
      </c>
      <c r="W1773" s="16" t="n">
        <v>0.4492226038757994</v>
      </c>
      <c r="X1773" s="16" t="n">
        <v>0.7094726204767944</v>
      </c>
      <c r="Y1773" s="16" t="n">
        <v>300.032917</v>
      </c>
      <c r="Z1773" s="16" t="n">
        <v>-1.5364366836532</v>
      </c>
      <c r="AA1773" s="16" t="n">
        <v>-10.51272148722362</v>
      </c>
      <c r="AB1773" s="16" t="n">
        <v>2437.387462686563</v>
      </c>
      <c r="AC1773" s="16" t="n">
        <v>4.224282124988307</v>
      </c>
      <c r="AD1773" s="16" t="inlineStr">
        <is>
          <t>O2,O3</t>
        </is>
      </c>
      <c r="AE1773" s="16" t="n"/>
    </row>
    <row r="1774">
      <c r="A1774" s="16" t="inlineStr">
        <is>
          <t>KF-M05-1-0052</t>
        </is>
      </c>
      <c r="B1774" s="16" t="inlineStr">
        <is>
          <t>4.1</t>
        </is>
      </c>
      <c r="C1774" s="16" t="inlineStr">
        <is>
          <t>4.1a</t>
        </is>
      </c>
      <c r="D1774" s="16" t="inlineStr">
        <is>
          <t>conserva sus temperaturas</t>
        </is>
      </c>
      <c r="E1774" s="16" t="inlineStr">
        <is>
          <t>KF-M05</t>
        </is>
      </c>
      <c r="F1774" s="16" t="inlineStr">
        <is>
          <t>KF-M05-1</t>
        </is>
      </c>
      <c r="G1774" s="16" t="inlineStr">
        <is>
          <t>B09-1</t>
        </is>
      </c>
      <c r="H1774" s="16" t="inlineStr">
        <is>
          <t>lhs</t>
        </is>
      </c>
      <c r="I1774" s="16" t="inlineStr">
        <is>
          <t>KALINA</t>
        </is>
      </c>
      <c r="J1774" s="16" t="inlineStr">
        <is>
          <t>KALINA</t>
        </is>
      </c>
      <c r="K1774" s="16" t="b">
        <v>1</v>
      </c>
      <c r="L1774" s="16" t="b">
        <v>1</v>
      </c>
      <c r="M1774" s="16" t="b">
        <v>0</v>
      </c>
      <c r="N1774" s="16" t="b">
        <v>0</v>
      </c>
      <c r="O1774" s="16" t="n">
        <v>623.15</v>
      </c>
      <c r="P1774" s="16" t="n">
        <v>300.032917</v>
      </c>
      <c r="Q1774" s="16" t="n">
        <v>3905.950043184831</v>
      </c>
      <c r="R1774" s="16" t="n">
        <v>1359.556702008076</v>
      </c>
      <c r="S1774" s="16" t="n">
        <v>0.8294780327808849</v>
      </c>
      <c r="T1774" s="16" t="n">
        <v>0.8360559074586479</v>
      </c>
      <c r="U1774" s="16" t="n">
        <v>0.8375342727183488</v>
      </c>
      <c r="V1774" s="16" t="n">
        <v>0.4963658855761367</v>
      </c>
      <c r="W1774" s="16" t="n">
        <v>0.9166775946077288</v>
      </c>
      <c r="X1774" s="16" t="n">
        <v>0.9457881775355844</v>
      </c>
      <c r="Y1774" s="16" t="n">
        <v>300.032917</v>
      </c>
      <c r="Z1774" s="16" t="n">
        <v>9.28909448226735</v>
      </c>
      <c r="AA1774" s="16" t="n">
        <v>96.71083465503172</v>
      </c>
      <c r="AB1774" s="16" t="n">
        <v>2546.393341176755</v>
      </c>
      <c r="AC1774" s="16" t="n">
        <v>2.872958544072278</v>
      </c>
      <c r="AD1774" s="16" t="n"/>
      <c r="AE1774" s="16" t="n"/>
    </row>
    <row r="1775">
      <c r="A1775" s="16" t="inlineStr">
        <is>
          <t>KF-M05-1-0053</t>
        </is>
      </c>
      <c r="B1775" s="16" t="inlineStr">
        <is>
          <t>4.1</t>
        </is>
      </c>
      <c r="C1775" s="16" t="inlineStr">
        <is>
          <t>4.1a</t>
        </is>
      </c>
      <c r="D1775" s="16" t="inlineStr">
        <is>
          <t>conserva sus temperaturas</t>
        </is>
      </c>
      <c r="E1775" s="16" t="inlineStr">
        <is>
          <t>KF-M05</t>
        </is>
      </c>
      <c r="F1775" s="16" t="inlineStr">
        <is>
          <t>KF-M05-1</t>
        </is>
      </c>
      <c r="G1775" s="16" t="inlineStr">
        <is>
          <t>B09-1</t>
        </is>
      </c>
      <c r="H1775" s="16" t="inlineStr">
        <is>
          <t>lhs</t>
        </is>
      </c>
      <c r="I1775" s="16" t="inlineStr">
        <is>
          <t>CORREGIBLE</t>
        </is>
      </c>
      <c r="J1775" s="16" t="inlineStr">
        <is>
          <t>CORREGIBLE</t>
        </is>
      </c>
      <c r="K1775" s="16" t="b">
        <v>1</v>
      </c>
      <c r="L1775" s="16" t="b">
        <v>0</v>
      </c>
      <c r="M1775" s="16" t="b">
        <v>1</v>
      </c>
      <c r="N1775" s="16" t="b">
        <v>0</v>
      </c>
      <c r="O1775" s="16" t="n">
        <v>623.15</v>
      </c>
      <c r="P1775" s="16" t="n">
        <v>300.032917</v>
      </c>
      <c r="Q1775" s="16" t="n">
        <v>3358.368575245903</v>
      </c>
      <c r="R1775" s="16" t="n">
        <v>829.1801804267894</v>
      </c>
      <c r="S1775" s="16" t="n">
        <v>0.7417869591007675</v>
      </c>
      <c r="T1775" s="16" t="n">
        <v>0.6634108260923464</v>
      </c>
      <c r="U1775" s="16" t="n">
        <v>0.556752400027369</v>
      </c>
      <c r="V1775" s="16" t="n">
        <v>0.5658844664377047</v>
      </c>
      <c r="W1775" s="16" t="n">
        <v>0.5619637508716072</v>
      </c>
      <c r="X1775" s="16" t="n">
        <v>0.9338527716970412</v>
      </c>
      <c r="Y1775" s="16" t="n">
        <v>300.032917</v>
      </c>
      <c r="Z1775" s="16" t="n">
        <v>8.49151888400786</v>
      </c>
      <c r="AA1775" s="16" t="n">
        <v>108.1346211658091</v>
      </c>
      <c r="AB1775" s="16" t="n">
        <v>2529.188394819114</v>
      </c>
      <c r="AC1775" s="16" t="n">
        <v>4.050227748469951</v>
      </c>
      <c r="AD1775" s="16" t="inlineStr">
        <is>
          <t>O2</t>
        </is>
      </c>
      <c r="AE1775" s="16" t="n"/>
    </row>
    <row r="1776">
      <c r="A1776" s="16" t="inlineStr">
        <is>
          <t>KF-M05-1-0054</t>
        </is>
      </c>
      <c r="B1776" s="16" t="inlineStr">
        <is>
          <t>4.1</t>
        </is>
      </c>
      <c r="C1776" s="16" t="inlineStr">
        <is>
          <t>4.1a</t>
        </is>
      </c>
      <c r="D1776" s="16" t="inlineStr">
        <is>
          <t>conserva sus temperaturas</t>
        </is>
      </c>
      <c r="E1776" s="16" t="inlineStr">
        <is>
          <t>KF-M05</t>
        </is>
      </c>
      <c r="F1776" s="16" t="inlineStr">
        <is>
          <t>KF-M05-1</t>
        </is>
      </c>
      <c r="G1776" s="16" t="inlineStr">
        <is>
          <t>B09-1</t>
        </is>
      </c>
      <c r="H1776" s="16" t="inlineStr">
        <is>
          <t>lhs</t>
        </is>
      </c>
      <c r="I1776" s="16" t="inlineStr">
        <is>
          <t>INVIABLE</t>
        </is>
      </c>
      <c r="J1776" s="16" t="inlineStr">
        <is>
          <t>INVIABLE</t>
        </is>
      </c>
      <c r="K1776" s="16" t="b">
        <v>1</v>
      </c>
      <c r="L1776" s="16" t="b">
        <v>0</v>
      </c>
      <c r="M1776" s="16" t="b">
        <v>1</v>
      </c>
      <c r="N1776" s="16" t="b">
        <v>0</v>
      </c>
      <c r="O1776" s="16" t="n">
        <v>623.15</v>
      </c>
      <c r="P1776" s="16" t="n">
        <v>300.032917</v>
      </c>
      <c r="Q1776" s="16" t="n">
        <v>4003.360745790174</v>
      </c>
      <c r="R1776" s="16" t="n">
        <v>1169.543677446062</v>
      </c>
      <c r="S1776" s="16" t="n">
        <v>0.5012386051961493</v>
      </c>
      <c r="T1776" s="16" t="n">
        <v>0.4712385002841217</v>
      </c>
      <c r="U1776" s="16" t="n">
        <v>0.792513155035139</v>
      </c>
      <c r="V1776" s="16" t="n">
        <v>0.6992936814174471</v>
      </c>
      <c r="W1776" s="16" t="n">
        <v>0.7236178563269526</v>
      </c>
      <c r="X1776" s="16" t="n">
        <v>0.4857635261336927</v>
      </c>
      <c r="Y1776" s="16" t="n">
        <v>300.032917</v>
      </c>
      <c r="Z1776" s="16" t="n">
        <v>-2.18706766354961</v>
      </c>
      <c r="AA1776" s="16" t="n">
        <v>-22.55995643044517</v>
      </c>
      <c r="AB1776" s="16" t="n">
        <v>2833.817068344112</v>
      </c>
      <c r="AC1776" s="16" t="n">
        <v>3.42301089133527</v>
      </c>
      <c r="AD1776" s="16" t="inlineStr">
        <is>
          <t>O2,O3</t>
        </is>
      </c>
      <c r="AE1776" s="16" t="n"/>
    </row>
    <row r="1777">
      <c r="A1777" s="16" t="inlineStr">
        <is>
          <t>KF-M05-1-0055</t>
        </is>
      </c>
      <c r="B1777" s="16" t="inlineStr">
        <is>
          <t>4.1</t>
        </is>
      </c>
      <c r="C1777" s="16" t="inlineStr">
        <is>
          <t>4.1a</t>
        </is>
      </c>
      <c r="D1777" s="16" t="inlineStr">
        <is>
          <t>conserva sus temperaturas</t>
        </is>
      </c>
      <c r="E1777" s="16" t="inlineStr">
        <is>
          <t>KF-M05</t>
        </is>
      </c>
      <c r="F1777" s="16" t="inlineStr">
        <is>
          <t>KF-M05-1</t>
        </is>
      </c>
      <c r="G1777" s="16" t="inlineStr">
        <is>
          <t>B09-1</t>
        </is>
      </c>
      <c r="H1777" s="16" t="inlineStr">
        <is>
          <t>lhs</t>
        </is>
      </c>
      <c r="I1777" s="16" t="inlineStr">
        <is>
          <t>CORREGIBLE</t>
        </is>
      </c>
      <c r="J1777" s="16" t="inlineStr">
        <is>
          <t>CORREGIBLE</t>
        </is>
      </c>
      <c r="K1777" s="16" t="b">
        <v>1</v>
      </c>
      <c r="L1777" s="16" t="b">
        <v>0</v>
      </c>
      <c r="M1777" s="16" t="b">
        <v>1</v>
      </c>
      <c r="N1777" s="16" t="b">
        <v>0</v>
      </c>
      <c r="O1777" s="16" t="n">
        <v>623.15</v>
      </c>
      <c r="P1777" s="16" t="n">
        <v>300.032917</v>
      </c>
      <c r="Q1777" s="16" t="n">
        <v>4699.562107322032</v>
      </c>
      <c r="R1777" s="16" t="n">
        <v>1861.469562576173</v>
      </c>
      <c r="S1777" s="16" t="n">
        <v>0.773365592070355</v>
      </c>
      <c r="T1777" s="16" t="n">
        <v>0.7559675965753541</v>
      </c>
      <c r="U1777" s="16" t="n">
        <v>0.9140665948407352</v>
      </c>
      <c r="V1777" s="16" t="n">
        <v>0.7225856674273696</v>
      </c>
      <c r="W1777" s="16" t="n">
        <v>0.8955220123522093</v>
      </c>
      <c r="X1777" s="16" t="n">
        <v>0.8305039827687908</v>
      </c>
      <c r="Y1777" s="16" t="n">
        <v>300.032917</v>
      </c>
      <c r="Z1777" s="16" t="n">
        <v>7.35380003421252</v>
      </c>
      <c r="AA1777" s="16" t="n">
        <v>108.3303591227128</v>
      </c>
      <c r="AB1777" s="16" t="n">
        <v>2838.092544745859</v>
      </c>
      <c r="AC1777" s="16" t="n">
        <v>2.524651598825012</v>
      </c>
      <c r="AD1777" s="16" t="inlineStr">
        <is>
          <t>O2</t>
        </is>
      </c>
      <c r="AE1777" s="16" t="n"/>
    </row>
    <row r="1778">
      <c r="A1778" s="16" t="inlineStr">
        <is>
          <t>KF-M05-1-0056</t>
        </is>
      </c>
      <c r="B1778" s="16" t="inlineStr">
        <is>
          <t>4.1</t>
        </is>
      </c>
      <c r="C1778" s="16" t="inlineStr">
        <is>
          <t>4.1a</t>
        </is>
      </c>
      <c r="D1778" s="16" t="inlineStr">
        <is>
          <t>conserva sus temperaturas</t>
        </is>
      </c>
      <c r="E1778" s="16" t="inlineStr">
        <is>
          <t>KF-M05</t>
        </is>
      </c>
      <c r="F1778" s="16" t="inlineStr">
        <is>
          <t>KF-M05-1</t>
        </is>
      </c>
      <c r="G1778" s="16" t="inlineStr">
        <is>
          <t>B09-1</t>
        </is>
      </c>
      <c r="H1778" s="16" t="inlineStr">
        <is>
          <t>lhs</t>
        </is>
      </c>
      <c r="I1778" s="16" t="inlineStr">
        <is>
          <t>NO_CONVERGIO</t>
        </is>
      </c>
      <c r="J1778" s="16" t="inlineStr">
        <is>
          <t>NO_CONVERGIO</t>
        </is>
      </c>
      <c r="K1778" s="16" t="b">
        <v>0</v>
      </c>
      <c r="L1778" s="16" t="b">
        <v>0</v>
      </c>
      <c r="M1778" s="16" t="b">
        <v>0</v>
      </c>
      <c r="N1778" s="16" t="b">
        <v>0</v>
      </c>
      <c r="O1778" s="16" t="n">
        <v>623.15</v>
      </c>
      <c r="P1778" s="16" t="n">
        <v>300.032917</v>
      </c>
      <c r="Q1778" s="16" t="n">
        <v>3333.094120047501</v>
      </c>
      <c r="R1778" s="16" t="n">
        <v>1430.770294831217</v>
      </c>
      <c r="S1778" s="16" t="n">
        <v>0.8422009927792273</v>
      </c>
      <c r="T1778" s="16" t="n">
        <v>0.7899548561771994</v>
      </c>
      <c r="U1778" s="16" t="n">
        <v>0.7095574241061871</v>
      </c>
      <c r="V1778" s="16" t="n">
        <v>0.9491866307925864</v>
      </c>
      <c r="W1778" s="16" t="n">
        <v>0.5419583814907151</v>
      </c>
      <c r="X1778" s="16" t="n">
        <v>0.9100588185054054</v>
      </c>
      <c r="Y1778" s="16" t="n">
        <v>300.032917</v>
      </c>
      <c r="Z1778" s="16" t="n"/>
      <c r="AA1778" s="16" t="n"/>
      <c r="AB1778" s="16" t="n">
        <v>1902.323825216284</v>
      </c>
      <c r="AC1778" s="16" t="n">
        <v>2.329580179354153</v>
      </c>
      <c r="AD1778" s="16" t="n"/>
      <c r="AE1778" s="16" t="n"/>
    </row>
    <row r="1779">
      <c r="A1779" s="16" t="inlineStr">
        <is>
          <t>KF-M05-1-0057</t>
        </is>
      </c>
      <c r="B1779" s="16" t="inlineStr">
        <is>
          <t>4.1</t>
        </is>
      </c>
      <c r="C1779" s="16" t="inlineStr">
        <is>
          <t>4.1a</t>
        </is>
      </c>
      <c r="D1779" s="16" t="inlineStr">
        <is>
          <t>conserva sus temperaturas</t>
        </is>
      </c>
      <c r="E1779" s="16" t="inlineStr">
        <is>
          <t>KF-M05</t>
        </is>
      </c>
      <c r="F1779" s="16" t="inlineStr">
        <is>
          <t>KF-M05-1</t>
        </is>
      </c>
      <c r="G1779" s="16" t="inlineStr">
        <is>
          <t>B09-1</t>
        </is>
      </c>
      <c r="H1779" s="16" t="inlineStr">
        <is>
          <t>lhs</t>
        </is>
      </c>
      <c r="I1779" s="16" t="inlineStr">
        <is>
          <t>NO_CONVERGIO</t>
        </is>
      </c>
      <c r="J1779" s="16" t="inlineStr">
        <is>
          <t>NO_CONVERGIO</t>
        </is>
      </c>
      <c r="K1779" s="16" t="b">
        <v>0</v>
      </c>
      <c r="L1779" s="16" t="b">
        <v>0</v>
      </c>
      <c r="M1779" s="16" t="b">
        <v>0</v>
      </c>
      <c r="N1779" s="16" t="b">
        <v>0</v>
      </c>
      <c r="O1779" s="16" t="n">
        <v>623.15</v>
      </c>
      <c r="P1779" s="16" t="n">
        <v>300.032917</v>
      </c>
      <c r="Q1779" s="16" t="n">
        <v>3965.722733524921</v>
      </c>
      <c r="R1779" s="16" t="n">
        <v>1280.186665465208</v>
      </c>
      <c r="S1779" s="16" t="n">
        <v>0.6625478436463771</v>
      </c>
      <c r="T1779" s="16" t="n">
        <v>0.6351605009374444</v>
      </c>
      <c r="U1779" s="16" t="n">
        <v>0.4055793066393175</v>
      </c>
      <c r="V1779" s="16" t="n">
        <v>0.736056342816599</v>
      </c>
      <c r="W1779" s="16" t="n">
        <v>0.6218136518223746</v>
      </c>
      <c r="X1779" s="16" t="n">
        <v>0.643273717425672</v>
      </c>
      <c r="Y1779" s="16" t="n">
        <v>300.032917</v>
      </c>
      <c r="Z1779" s="16" t="n"/>
      <c r="AA1779" s="16" t="n"/>
      <c r="AB1779" s="16" t="n">
        <v>2685.536068059713</v>
      </c>
      <c r="AC1779" s="16" t="n">
        <v>3.097769130475839</v>
      </c>
      <c r="AD1779" s="16" t="n"/>
      <c r="AE1779" s="16" t="n"/>
    </row>
    <row r="1780">
      <c r="A1780" s="16" t="inlineStr">
        <is>
          <t>KF-M05-1-0058</t>
        </is>
      </c>
      <c r="B1780" s="16" t="inlineStr">
        <is>
          <t>4.1</t>
        </is>
      </c>
      <c r="C1780" s="16" t="inlineStr">
        <is>
          <t>4.1a</t>
        </is>
      </c>
      <c r="D1780" s="16" t="inlineStr">
        <is>
          <t>conserva sus temperaturas</t>
        </is>
      </c>
      <c r="E1780" s="16" t="inlineStr">
        <is>
          <t>KF-M05</t>
        </is>
      </c>
      <c r="F1780" s="16" t="inlineStr">
        <is>
          <t>KF-M05-1</t>
        </is>
      </c>
      <c r="G1780" s="16" t="inlineStr">
        <is>
          <t>B09-1</t>
        </is>
      </c>
      <c r="H1780" s="16" t="inlineStr">
        <is>
          <t>lhs</t>
        </is>
      </c>
      <c r="I1780" s="16" t="inlineStr">
        <is>
          <t>N2</t>
        </is>
      </c>
      <c r="J1780" s="16" t="inlineStr">
        <is>
          <t>NO_CONVERGIO</t>
        </is>
      </c>
      <c r="K1780" s="16" t="b">
        <v>0</v>
      </c>
      <c r="L1780" s="16" t="b">
        <v>0</v>
      </c>
      <c r="M1780" s="16" t="b">
        <v>1</v>
      </c>
      <c r="N1780" s="16" t="b">
        <v>0</v>
      </c>
      <c r="O1780" s="16" t="n">
        <v>623.15</v>
      </c>
      <c r="P1780" s="16" t="n">
        <v>300.032917</v>
      </c>
      <c r="Q1780" s="16" t="n">
        <v>4027.732771239005</v>
      </c>
      <c r="R1780" s="16" t="n">
        <v>1267.927605355789</v>
      </c>
      <c r="S1780" s="16" t="n">
        <v>0.5976866457962702</v>
      </c>
      <c r="T1780" s="16" t="n">
        <v>0.6227750029189195</v>
      </c>
      <c r="U1780" s="16" t="n">
        <v>0.5914358271232539</v>
      </c>
      <c r="V1780" s="16" t="n">
        <v>0.8202125428249225</v>
      </c>
      <c r="W1780" s="16" t="n">
        <v>0.5749160580571383</v>
      </c>
      <c r="X1780" s="16" t="n">
        <v>0.836370026043681</v>
      </c>
      <c r="Y1780" s="16" t="n">
        <v>300.032917</v>
      </c>
      <c r="Z1780" s="16" t="n">
        <v>6.505312501927089</v>
      </c>
      <c r="AA1780" s="16" t="n">
        <v>119.3726955507099</v>
      </c>
      <c r="AB1780" s="16" t="n">
        <v>2759.805165883216</v>
      </c>
      <c r="AC1780" s="16" t="n">
        <v>3.1766267681417</v>
      </c>
      <c r="AD1780" s="16" t="inlineStr">
        <is>
          <t>N2,O2,O5,C1,C3,C3</t>
        </is>
      </c>
      <c r="AE1780" s="16" t="n"/>
    </row>
    <row r="1781">
      <c r="A1781" s="16" t="inlineStr">
        <is>
          <t>KF-M05-1-0059</t>
        </is>
      </c>
      <c r="B1781" s="16" t="inlineStr">
        <is>
          <t>4.1</t>
        </is>
      </c>
      <c r="C1781" s="16" t="inlineStr">
        <is>
          <t>4.1a</t>
        </is>
      </c>
      <c r="D1781" s="16" t="inlineStr">
        <is>
          <t>conserva sus temperaturas</t>
        </is>
      </c>
      <c r="E1781" s="16" t="inlineStr">
        <is>
          <t>KF-M05</t>
        </is>
      </c>
      <c r="F1781" s="16" t="inlineStr">
        <is>
          <t>KF-M05-1</t>
        </is>
      </c>
      <c r="G1781" s="16" t="inlineStr">
        <is>
          <t>B09-1</t>
        </is>
      </c>
      <c r="H1781" s="16" t="inlineStr">
        <is>
          <t>lhs</t>
        </is>
      </c>
      <c r="I1781" s="16" t="inlineStr">
        <is>
          <t>INVIABLE</t>
        </is>
      </c>
      <c r="J1781" s="16" t="inlineStr">
        <is>
          <t>INVIABLE</t>
        </is>
      </c>
      <c r="K1781" s="16" t="b">
        <v>1</v>
      </c>
      <c r="L1781" s="16" t="b">
        <v>0</v>
      </c>
      <c r="M1781" s="16" t="b">
        <v>1</v>
      </c>
      <c r="N1781" s="16" t="b">
        <v>0</v>
      </c>
      <c r="O1781" s="16" t="n">
        <v>623.15</v>
      </c>
      <c r="P1781" s="16" t="n">
        <v>300.032917</v>
      </c>
      <c r="Q1781" s="16" t="n">
        <v>3038.112423476788</v>
      </c>
      <c r="R1781" s="16" t="n">
        <v>424.8752452304865</v>
      </c>
      <c r="S1781" s="16" t="n">
        <v>0.8074088894122828</v>
      </c>
      <c r="T1781" s="16" t="n">
        <v>0.7971230543872195</v>
      </c>
      <c r="U1781" s="16" t="n">
        <v>0.5470464137222356</v>
      </c>
      <c r="V1781" s="16" t="n">
        <v>0.4523938588398257</v>
      </c>
      <c r="W1781" s="16" t="n">
        <v>0.6035040422023892</v>
      </c>
      <c r="X1781" s="16" t="n">
        <v>0.878946818835004</v>
      </c>
      <c r="Y1781" s="16" t="n">
        <v>300.032917</v>
      </c>
      <c r="Z1781" s="16" t="n">
        <v>-18.34969469933676</v>
      </c>
      <c r="AA1781" s="16" t="n">
        <v>-95.2702206257802</v>
      </c>
      <c r="AB1781" s="16" t="n">
        <v>2613.237178246301</v>
      </c>
      <c r="AC1781" s="16" t="n">
        <v>7.150598811254988</v>
      </c>
      <c r="AD1781" s="16" t="inlineStr">
        <is>
          <t>O2,O3</t>
        </is>
      </c>
      <c r="AE1781" s="16" t="n"/>
    </row>
    <row r="1782">
      <c r="A1782" s="16" t="inlineStr">
        <is>
          <t>KF-M05-1-0060</t>
        </is>
      </c>
      <c r="B1782" s="16" t="inlineStr">
        <is>
          <t>4.1</t>
        </is>
      </c>
      <c r="C1782" s="16" t="inlineStr">
        <is>
          <t>4.1a</t>
        </is>
      </c>
      <c r="D1782" s="16" t="inlineStr">
        <is>
          <t>conserva sus temperaturas</t>
        </is>
      </c>
      <c r="E1782" s="16" t="inlineStr">
        <is>
          <t>KF-M05</t>
        </is>
      </c>
      <c r="F1782" s="16" t="inlineStr">
        <is>
          <t>KF-M05-1</t>
        </is>
      </c>
      <c r="G1782" s="16" t="inlineStr">
        <is>
          <t>B09-1</t>
        </is>
      </c>
      <c r="H1782" s="16" t="inlineStr">
        <is>
          <t>lhs</t>
        </is>
      </c>
      <c r="I1782" s="16" t="inlineStr">
        <is>
          <t>NO_CONVERGIO</t>
        </is>
      </c>
      <c r="J1782" s="16" t="inlineStr">
        <is>
          <t>NO_CONVERGIO</t>
        </is>
      </c>
      <c r="K1782" s="16" t="b">
        <v>0</v>
      </c>
      <c r="L1782" s="16" t="b">
        <v>0</v>
      </c>
      <c r="M1782" s="16" t="b">
        <v>0</v>
      </c>
      <c r="N1782" s="16" t="b">
        <v>0</v>
      </c>
      <c r="O1782" s="16" t="n">
        <v>623.15</v>
      </c>
      <c r="P1782" s="16" t="n">
        <v>300.032917</v>
      </c>
      <c r="Q1782" s="16" t="n">
        <v>3615.621328897025</v>
      </c>
      <c r="R1782" s="16" t="n">
        <v>899.1577565068505</v>
      </c>
      <c r="S1782" s="16" t="n">
        <v>0.6317543284333571</v>
      </c>
      <c r="T1782" s="16" t="n">
        <v>0.5384195942690386</v>
      </c>
      <c r="U1782" s="16" t="n">
        <v>0.6461865794150791</v>
      </c>
      <c r="V1782" s="16" t="n">
        <v>0.8878634546946846</v>
      </c>
      <c r="W1782" s="16" t="n">
        <v>0.947902641553844</v>
      </c>
      <c r="X1782" s="16" t="n">
        <v>0.4064020825012467</v>
      </c>
      <c r="Y1782" s="16" t="n">
        <v>300.032917</v>
      </c>
      <c r="Z1782" s="16" t="n"/>
      <c r="AA1782" s="16" t="n"/>
      <c r="AB1782" s="16" t="n">
        <v>2716.463572390174</v>
      </c>
      <c r="AC1782" s="16" t="n">
        <v>4.021120101263874</v>
      </c>
      <c r="AD1782" s="16" t="n"/>
      <c r="AE1782" s="16" t="n"/>
    </row>
    <row r="1783">
      <c r="A1783" s="16" t="inlineStr">
        <is>
          <t>KF-M05-1-0061</t>
        </is>
      </c>
      <c r="B1783" s="16" t="inlineStr">
        <is>
          <t>4.1</t>
        </is>
      </c>
      <c r="C1783" s="16" t="inlineStr">
        <is>
          <t>4.1a</t>
        </is>
      </c>
      <c r="D1783" s="16" t="inlineStr">
        <is>
          <t>conserva sus temperaturas</t>
        </is>
      </c>
      <c r="E1783" s="16" t="inlineStr">
        <is>
          <t>KF-M05</t>
        </is>
      </c>
      <c r="F1783" s="16" t="inlineStr">
        <is>
          <t>KF-M05-1</t>
        </is>
      </c>
      <c r="G1783" s="16" t="inlineStr">
        <is>
          <t>B09-1</t>
        </is>
      </c>
      <c r="H1783" s="16" t="inlineStr">
        <is>
          <t>lhs</t>
        </is>
      </c>
      <c r="I1783" s="16" t="inlineStr">
        <is>
          <t>NO_CONVERGIO</t>
        </is>
      </c>
      <c r="J1783" s="16" t="inlineStr">
        <is>
          <t>NO_CONVERGIO</t>
        </is>
      </c>
      <c r="K1783" s="16" t="b">
        <v>0</v>
      </c>
      <c r="L1783" s="16" t="b">
        <v>0</v>
      </c>
      <c r="M1783" s="16" t="b">
        <v>0</v>
      </c>
      <c r="N1783" s="16" t="b">
        <v>0</v>
      </c>
      <c r="O1783" s="16" t="n">
        <v>623.15</v>
      </c>
      <c r="P1783" s="16" t="n">
        <v>300.032917</v>
      </c>
      <c r="Q1783" s="16" t="n">
        <v>4798.244292664054</v>
      </c>
      <c r="R1783" s="16" t="n">
        <v>1194.619977855655</v>
      </c>
      <c r="S1783" s="16" t="n">
        <v>0.6937692841858456</v>
      </c>
      <c r="T1783" s="16" t="n">
        <v>0.5817895678876022</v>
      </c>
      <c r="U1783" s="16" t="n">
        <v>0.9099058398668464</v>
      </c>
      <c r="V1783" s="16" t="n">
        <v>0.7399681893583159</v>
      </c>
      <c r="W1783" s="16" t="n">
        <v>0.9433654363184372</v>
      </c>
      <c r="X1783" s="16" t="n">
        <v>0.4485643253025808</v>
      </c>
      <c r="Y1783" s="16" t="n">
        <v>300.032917</v>
      </c>
      <c r="Z1783" s="16" t="n"/>
      <c r="AA1783" s="16" t="n"/>
      <c r="AB1783" s="16" t="n">
        <v>3603.6243148084</v>
      </c>
      <c r="AC1783" s="16" t="n">
        <v>4.016544492481126</v>
      </c>
      <c r="AD1783" s="16" t="n"/>
      <c r="AE1783" s="16" t="n"/>
    </row>
    <row r="1784">
      <c r="A1784" s="16" t="inlineStr">
        <is>
          <t>KF-M05-1-0062</t>
        </is>
      </c>
      <c r="B1784" s="16" t="inlineStr">
        <is>
          <t>4.1</t>
        </is>
      </c>
      <c r="C1784" s="16" t="inlineStr">
        <is>
          <t>4.1a</t>
        </is>
      </c>
      <c r="D1784" s="16" t="inlineStr">
        <is>
          <t>conserva sus temperaturas</t>
        </is>
      </c>
      <c r="E1784" s="16" t="inlineStr">
        <is>
          <t>KF-M05</t>
        </is>
      </c>
      <c r="F1784" s="16" t="inlineStr">
        <is>
          <t>KF-M05-1</t>
        </is>
      </c>
      <c r="G1784" s="16" t="inlineStr">
        <is>
          <t>B09-1</t>
        </is>
      </c>
      <c r="H1784" s="16" t="inlineStr">
        <is>
          <t>lhs</t>
        </is>
      </c>
      <c r="I1784" s="16" t="inlineStr">
        <is>
          <t>NO_CONVERGIO</t>
        </is>
      </c>
      <c r="J1784" s="16" t="inlineStr">
        <is>
          <t>NO_CONVERGIO</t>
        </is>
      </c>
      <c r="K1784" s="16" t="b">
        <v>0</v>
      </c>
      <c r="L1784" s="16" t="b">
        <v>0</v>
      </c>
      <c r="M1784" s="16" t="b">
        <v>0</v>
      </c>
      <c r="N1784" s="16" t="b">
        <v>0</v>
      </c>
      <c r="O1784" s="16" t="n">
        <v>623.15</v>
      </c>
      <c r="P1784" s="16" t="n">
        <v>300.032917</v>
      </c>
      <c r="Q1784" s="16" t="n">
        <v>2955.020022444088</v>
      </c>
      <c r="R1784" s="16" t="n">
        <v>1023.011635302588</v>
      </c>
      <c r="S1784" s="16" t="n">
        <v>0.5864582595759726</v>
      </c>
      <c r="T1784" s="16" t="n">
        <v>0.4087118270223854</v>
      </c>
      <c r="U1784" s="16" t="n">
        <v>0.7343580345316059</v>
      </c>
      <c r="V1784" s="16" t="n">
        <v>0.7536057939967149</v>
      </c>
      <c r="W1784" s="16" t="n">
        <v>0.6765176869453302</v>
      </c>
      <c r="X1784" s="16" t="n">
        <v>0.5632685695919042</v>
      </c>
      <c r="Y1784" s="16" t="n">
        <v>300.032917</v>
      </c>
      <c r="Z1784" s="16" t="n"/>
      <c r="AA1784" s="16" t="n"/>
      <c r="AB1784" s="16" t="n">
        <v>1932.0083871415</v>
      </c>
      <c r="AC1784" s="16" t="n">
        <v>2.888549768615336</v>
      </c>
      <c r="AD1784" s="16" t="n"/>
      <c r="AE1784" s="16" t="n"/>
    </row>
    <row r="1785">
      <c r="A1785" s="16" t="inlineStr">
        <is>
          <t>KF-M05-1-0063</t>
        </is>
      </c>
      <c r="B1785" s="16" t="inlineStr">
        <is>
          <t>4.1</t>
        </is>
      </c>
      <c r="C1785" s="16" t="inlineStr">
        <is>
          <t>4.1a</t>
        </is>
      </c>
      <c r="D1785" s="16" t="inlineStr">
        <is>
          <t>conserva sus temperaturas</t>
        </is>
      </c>
      <c r="E1785" s="16" t="inlineStr">
        <is>
          <t>KF-M05</t>
        </is>
      </c>
      <c r="F1785" s="16" t="inlineStr">
        <is>
          <t>KF-M05-1</t>
        </is>
      </c>
      <c r="G1785" s="16" t="inlineStr">
        <is>
          <t>B09-1</t>
        </is>
      </c>
      <c r="H1785" s="16" t="inlineStr">
        <is>
          <t>lhs</t>
        </is>
      </c>
      <c r="I1785" s="16" t="inlineStr">
        <is>
          <t>NO_CONVERGIO</t>
        </is>
      </c>
      <c r="J1785" s="16" t="inlineStr">
        <is>
          <t>NO_CONVERGIO</t>
        </is>
      </c>
      <c r="K1785" s="16" t="b">
        <v>0</v>
      </c>
      <c r="L1785" s="16" t="b">
        <v>0</v>
      </c>
      <c r="M1785" s="16" t="b">
        <v>0</v>
      </c>
      <c r="N1785" s="16" t="b">
        <v>0</v>
      </c>
      <c r="O1785" s="16" t="n">
        <v>623.15</v>
      </c>
      <c r="P1785" s="16" t="n">
        <v>300.032917</v>
      </c>
      <c r="Q1785" s="16" t="n">
        <v>4334.291301744825</v>
      </c>
      <c r="R1785" s="16" t="n">
        <v>1915.573506901466</v>
      </c>
      <c r="S1785" s="16" t="n">
        <v>0.6028444035155367</v>
      </c>
      <c r="T1785" s="16" t="n">
        <v>0.7069512712459316</v>
      </c>
      <c r="U1785" s="16" t="n">
        <v>0.7846224701747266</v>
      </c>
      <c r="V1785" s="16" t="n">
        <v>0.8753741296929392</v>
      </c>
      <c r="W1785" s="16" t="n">
        <v>0.6364359165358353</v>
      </c>
      <c r="X1785" s="16" t="n">
        <v>0.445368515565161</v>
      </c>
      <c r="Y1785" s="16" t="n">
        <v>300.032917</v>
      </c>
      <c r="Z1785" s="16" t="n"/>
      <c r="AA1785" s="16" t="n"/>
      <c r="AB1785" s="16" t="n">
        <v>2418.717794843359</v>
      </c>
      <c r="AC1785" s="16" t="n">
        <v>2.262659869814004</v>
      </c>
      <c r="AD1785" s="16" t="n"/>
      <c r="AE1785" s="16" t="n"/>
    </row>
    <row r="1786">
      <c r="A1786" s="16" t="inlineStr">
        <is>
          <t>KF-M05-1-0064</t>
        </is>
      </c>
      <c r="B1786" s="16" t="inlineStr">
        <is>
          <t>4.1</t>
        </is>
      </c>
      <c r="C1786" s="16" t="inlineStr">
        <is>
          <t>4.1a</t>
        </is>
      </c>
      <c r="D1786" s="16" t="inlineStr">
        <is>
          <t>conserva sus temperaturas</t>
        </is>
      </c>
      <c r="E1786" s="16" t="inlineStr">
        <is>
          <t>KF-M05</t>
        </is>
      </c>
      <c r="F1786" s="16" t="inlineStr">
        <is>
          <t>KF-M05-1</t>
        </is>
      </c>
      <c r="G1786" s="16" t="inlineStr">
        <is>
          <t>B09-1</t>
        </is>
      </c>
      <c r="H1786" s="16" t="inlineStr">
        <is>
          <t>lhs</t>
        </is>
      </c>
      <c r="I1786" s="16" t="inlineStr">
        <is>
          <t>NO_CONVERGIO</t>
        </is>
      </c>
      <c r="J1786" s="16" t="inlineStr">
        <is>
          <t>NO_CONVERGIO</t>
        </is>
      </c>
      <c r="K1786" s="16" t="b">
        <v>0</v>
      </c>
      <c r="L1786" s="16" t="b">
        <v>0</v>
      </c>
      <c r="M1786" s="16" t="b">
        <v>0</v>
      </c>
      <c r="N1786" s="16" t="b">
        <v>0</v>
      </c>
      <c r="O1786" s="16" t="n">
        <v>623.15</v>
      </c>
      <c r="P1786" s="16" t="n">
        <v>300.032917</v>
      </c>
      <c r="Q1786" s="16" t="n">
        <v>2633.296027164602</v>
      </c>
      <c r="R1786" s="16" t="n">
        <v>1420.672726862932</v>
      </c>
      <c r="S1786" s="16" t="n">
        <v>0.8212771837698196</v>
      </c>
      <c r="T1786" s="16" t="n">
        <v>0.5604471023740811</v>
      </c>
      <c r="U1786" s="16" t="n">
        <v>0.9013627400710816</v>
      </c>
      <c r="V1786" s="16" t="n">
        <v>0.7162075415729166</v>
      </c>
      <c r="W1786" s="16" t="n">
        <v>0.8054445696346064</v>
      </c>
      <c r="X1786" s="16" t="n">
        <v>0.5333072321247334</v>
      </c>
      <c r="Y1786" s="16" t="n">
        <v>300.032917</v>
      </c>
      <c r="Z1786" s="16" t="n"/>
      <c r="AA1786" s="16" t="n"/>
      <c r="AB1786" s="16" t="n">
        <v>1212.62330030167</v>
      </c>
      <c r="AC1786" s="16" t="n">
        <v>1.853555697503486</v>
      </c>
      <c r="AD1786" s="16" t="n"/>
      <c r="AE1786" s="16" t="n"/>
    </row>
    <row r="1787">
      <c r="A1787" s="16" t="inlineStr">
        <is>
          <t>KF-M05-1-0065</t>
        </is>
      </c>
      <c r="B1787" s="16" t="inlineStr">
        <is>
          <t>4.1</t>
        </is>
      </c>
      <c r="C1787" s="16" t="inlineStr">
        <is>
          <t>4.1a</t>
        </is>
      </c>
      <c r="D1787" s="16" t="inlineStr">
        <is>
          <t>conserva sus temperaturas</t>
        </is>
      </c>
      <c r="E1787" s="16" t="inlineStr">
        <is>
          <t>KF-M05</t>
        </is>
      </c>
      <c r="F1787" s="16" t="inlineStr">
        <is>
          <t>KF-M05-1</t>
        </is>
      </c>
      <c r="G1787" s="16" t="inlineStr">
        <is>
          <t>B09-1</t>
        </is>
      </c>
      <c r="H1787" s="16" t="inlineStr">
        <is>
          <t>lhs</t>
        </is>
      </c>
      <c r="I1787" s="16" t="inlineStr">
        <is>
          <t>CORREGIBLE</t>
        </is>
      </c>
      <c r="J1787" s="16" t="inlineStr">
        <is>
          <t>CORREGIBLE</t>
        </is>
      </c>
      <c r="K1787" s="16" t="b">
        <v>1</v>
      </c>
      <c r="L1787" s="16" t="b">
        <v>0</v>
      </c>
      <c r="M1787" s="16" t="b">
        <v>1</v>
      </c>
      <c r="N1787" s="16" t="b">
        <v>0</v>
      </c>
      <c r="O1787" s="16" t="n">
        <v>623.15</v>
      </c>
      <c r="P1787" s="16" t="n">
        <v>300.032917</v>
      </c>
      <c r="Q1787" s="16" t="n">
        <v>4453.241143696563</v>
      </c>
      <c r="R1787" s="16" t="n">
        <v>481.3108455204109</v>
      </c>
      <c r="S1787" s="16" t="n">
        <v>0.5751278597937636</v>
      </c>
      <c r="T1787" s="16" t="n">
        <v>0.6942884567982076</v>
      </c>
      <c r="U1787" s="16" t="n">
        <v>0.4926085949801182</v>
      </c>
      <c r="V1787" s="16" t="n">
        <v>0.6344123295336518</v>
      </c>
      <c r="W1787" s="16" t="n">
        <v>0.6666565752475557</v>
      </c>
      <c r="X1787" s="16" t="n">
        <v>0.8481522240742627</v>
      </c>
      <c r="Y1787" s="16" t="n">
        <v>300.032917</v>
      </c>
      <c r="Z1787" s="16" t="n">
        <v>11.14567593269761</v>
      </c>
      <c r="AA1787" s="16" t="n">
        <v>160.7769139281463</v>
      </c>
      <c r="AB1787" s="16" t="n">
        <v>3971.930298176152</v>
      </c>
      <c r="AC1787" s="16" t="n">
        <v>9.252318299375856</v>
      </c>
      <c r="AD1787" s="16" t="inlineStr">
        <is>
          <t>O2</t>
        </is>
      </c>
      <c r="AE1787" s="16" t="n"/>
    </row>
    <row r="1788">
      <c r="A1788" s="16" t="inlineStr">
        <is>
          <t>KF-M05-1-0066</t>
        </is>
      </c>
      <c r="B1788" s="16" t="inlineStr">
        <is>
          <t>4.1</t>
        </is>
      </c>
      <c r="C1788" s="16" t="inlineStr">
        <is>
          <t>4.1a</t>
        </is>
      </c>
      <c r="D1788" s="16" t="inlineStr">
        <is>
          <t>conserva sus temperaturas</t>
        </is>
      </c>
      <c r="E1788" s="16" t="inlineStr">
        <is>
          <t>KF-M05</t>
        </is>
      </c>
      <c r="F1788" s="16" t="inlineStr">
        <is>
          <t>KF-M05-1</t>
        </is>
      </c>
      <c r="G1788" s="16" t="inlineStr">
        <is>
          <t>B09-1</t>
        </is>
      </c>
      <c r="H1788" s="16" t="inlineStr">
        <is>
          <t>lhs</t>
        </is>
      </c>
      <c r="I1788" s="16" t="inlineStr">
        <is>
          <t>CORREGIBLE</t>
        </is>
      </c>
      <c r="J1788" s="16" t="inlineStr">
        <is>
          <t>CORREGIBLE</t>
        </is>
      </c>
      <c r="K1788" s="16" t="b">
        <v>1</v>
      </c>
      <c r="L1788" s="16" t="b">
        <v>0</v>
      </c>
      <c r="M1788" s="16" t="b">
        <v>0</v>
      </c>
      <c r="N1788" s="16" t="b">
        <v>0</v>
      </c>
      <c r="O1788" s="16" t="n">
        <v>623.15</v>
      </c>
      <c r="P1788" s="16" t="n">
        <v>300.032917</v>
      </c>
      <c r="Q1788" s="16" t="n">
        <v>2085.115845804514</v>
      </c>
      <c r="R1788" s="16" t="n">
        <v>976.778556369838</v>
      </c>
      <c r="S1788" s="16" t="n">
        <v>0.7681125025200903</v>
      </c>
      <c r="T1788" s="16" t="n">
        <v>0.8227936166192316</v>
      </c>
      <c r="U1788" s="16" t="n">
        <v>0.6668944378632984</v>
      </c>
      <c r="V1788" s="16" t="n">
        <v>0.541556225551709</v>
      </c>
      <c r="W1788" s="16" t="n">
        <v>0.7894284421823146</v>
      </c>
      <c r="X1788" s="16" t="n">
        <v>0.923563645545984</v>
      </c>
      <c r="Y1788" s="16" t="n">
        <v>300.032917</v>
      </c>
      <c r="Z1788" s="16" t="n">
        <v>6.43137822041964</v>
      </c>
      <c r="AA1788" s="16" t="n">
        <v>77.25697882891296</v>
      </c>
      <c r="AB1788" s="16" t="n">
        <v>1108.337289434676</v>
      </c>
      <c r="AC1788" s="16" t="n">
        <v>2.134686344419528</v>
      </c>
      <c r="AD1788" s="16" t="inlineStr">
        <is>
          <t>O2</t>
        </is>
      </c>
      <c r="AE1788" s="16" t="n"/>
    </row>
    <row r="1789">
      <c r="A1789" s="16" t="inlineStr">
        <is>
          <t>KF-M05-1-0067</t>
        </is>
      </c>
      <c r="B1789" s="16" t="inlineStr">
        <is>
          <t>4.1</t>
        </is>
      </c>
      <c r="C1789" s="16" t="inlineStr">
        <is>
          <t>4.1a</t>
        </is>
      </c>
      <c r="D1789" s="16" t="inlineStr">
        <is>
          <t>conserva sus temperaturas</t>
        </is>
      </c>
      <c r="E1789" s="16" t="inlineStr">
        <is>
          <t>KF-M05</t>
        </is>
      </c>
      <c r="F1789" s="16" t="inlineStr">
        <is>
          <t>KF-M05-1</t>
        </is>
      </c>
      <c r="G1789" s="16" t="inlineStr">
        <is>
          <t>B09-1</t>
        </is>
      </c>
      <c r="H1789" s="16" t="inlineStr">
        <is>
          <t>lhs</t>
        </is>
      </c>
      <c r="I1789" s="16" t="inlineStr">
        <is>
          <t>INVIABLE</t>
        </is>
      </c>
      <c r="J1789" s="16" t="inlineStr">
        <is>
          <t>INVIABLE</t>
        </is>
      </c>
      <c r="K1789" s="16" t="b">
        <v>1</v>
      </c>
      <c r="L1789" s="16" t="b">
        <v>0</v>
      </c>
      <c r="M1789" s="16" t="b">
        <v>1</v>
      </c>
      <c r="N1789" s="16" t="b">
        <v>0</v>
      </c>
      <c r="O1789" s="16" t="n">
        <v>623.15</v>
      </c>
      <c r="P1789" s="16" t="n">
        <v>300.032917</v>
      </c>
      <c r="Q1789" s="16" t="n">
        <v>2350.886432513078</v>
      </c>
      <c r="R1789" s="16" t="n">
        <v>990.1500007552672</v>
      </c>
      <c r="S1789" s="16" t="n">
        <v>0.6137744388845994</v>
      </c>
      <c r="T1789" s="16" t="n">
        <v>0.5006242045601598</v>
      </c>
      <c r="U1789" s="16" t="n">
        <v>0.7490701863573133</v>
      </c>
      <c r="V1789" s="16" t="n">
        <v>0.5539172116182317</v>
      </c>
      <c r="W1789" s="16" t="n">
        <v>0.533466054488751</v>
      </c>
      <c r="X1789" s="16" t="n">
        <v>0.4366773022916197</v>
      </c>
      <c r="Y1789" s="16" t="n">
        <v>300.032917</v>
      </c>
      <c r="Z1789" s="16" t="n">
        <v>-4.333072611165751</v>
      </c>
      <c r="AA1789" s="16" t="n">
        <v>-34.33671139679436</v>
      </c>
      <c r="AB1789" s="16" t="n">
        <v>1360.736431757811</v>
      </c>
      <c r="AC1789" s="16" t="n">
        <v>2.374273019966538</v>
      </c>
      <c r="AD1789" s="16" t="inlineStr">
        <is>
          <t>O2,O3</t>
        </is>
      </c>
      <c r="AE1789" s="16" t="n"/>
    </row>
    <row r="1790">
      <c r="A1790" s="16" t="inlineStr">
        <is>
          <t>KF-M05-1-0068</t>
        </is>
      </c>
      <c r="B1790" s="16" t="inlineStr">
        <is>
          <t>4.1</t>
        </is>
      </c>
      <c r="C1790" s="16" t="inlineStr">
        <is>
          <t>4.1a</t>
        </is>
      </c>
      <c r="D1790" s="16" t="inlineStr">
        <is>
          <t>conserva sus temperaturas</t>
        </is>
      </c>
      <c r="E1790" s="16" t="inlineStr">
        <is>
          <t>KF-M05</t>
        </is>
      </c>
      <c r="F1790" s="16" t="inlineStr">
        <is>
          <t>KF-M05-1</t>
        </is>
      </c>
      <c r="G1790" s="16" t="inlineStr">
        <is>
          <t>B09-1</t>
        </is>
      </c>
      <c r="H1790" s="16" t="inlineStr">
        <is>
          <t>lhs</t>
        </is>
      </c>
      <c r="I1790" s="16" t="inlineStr">
        <is>
          <t>CORREGIBLE</t>
        </is>
      </c>
      <c r="J1790" s="16" t="inlineStr">
        <is>
          <t>CORREGIBLE</t>
        </is>
      </c>
      <c r="K1790" s="16" t="b">
        <v>1</v>
      </c>
      <c r="L1790" s="16" t="b">
        <v>0</v>
      </c>
      <c r="M1790" s="16" t="b">
        <v>1</v>
      </c>
      <c r="N1790" s="16" t="b">
        <v>0</v>
      </c>
      <c r="O1790" s="16" t="n">
        <v>623.15</v>
      </c>
      <c r="P1790" s="16" t="n">
        <v>300.032917</v>
      </c>
      <c r="Q1790" s="16" t="n">
        <v>4278.935289795758</v>
      </c>
      <c r="R1790" s="16" t="n">
        <v>1072.42320454563</v>
      </c>
      <c r="S1790" s="16" t="n">
        <v>0.5339423670819896</v>
      </c>
      <c r="T1790" s="16" t="n">
        <v>0.7250067029439208</v>
      </c>
      <c r="U1790" s="16" t="n">
        <v>0.4583570364746759</v>
      </c>
      <c r="V1790" s="16" t="n">
        <v>0.7790500120316848</v>
      </c>
      <c r="W1790" s="16" t="n">
        <v>0.7285196549326886</v>
      </c>
      <c r="X1790" s="16" t="n">
        <v>0.6609482192978093</v>
      </c>
      <c r="Y1790" s="16" t="n">
        <v>300.032917</v>
      </c>
      <c r="Z1790" s="16" t="n">
        <v>3.24489588256186</v>
      </c>
      <c r="AA1790" s="16" t="n">
        <v>46.38975276441994</v>
      </c>
      <c r="AB1790" s="16" t="n">
        <v>3206.512085250128</v>
      </c>
      <c r="AC1790" s="16" t="n">
        <v>3.989968952237173</v>
      </c>
      <c r="AD1790" s="16" t="inlineStr">
        <is>
          <t>O2</t>
        </is>
      </c>
      <c r="AE1790" s="16" t="n"/>
    </row>
    <row r="1791">
      <c r="A1791" s="16" t="inlineStr">
        <is>
          <t>KF-M05-1-0069</t>
        </is>
      </c>
      <c r="B1791" s="16" t="inlineStr">
        <is>
          <t>4.1</t>
        </is>
      </c>
      <c r="C1791" s="16" t="inlineStr">
        <is>
          <t>4.1a</t>
        </is>
      </c>
      <c r="D1791" s="16" t="inlineStr">
        <is>
          <t>conserva sus temperaturas</t>
        </is>
      </c>
      <c r="E1791" s="16" t="inlineStr">
        <is>
          <t>KF-M05</t>
        </is>
      </c>
      <c r="F1791" s="16" t="inlineStr">
        <is>
          <t>KF-M05-1</t>
        </is>
      </c>
      <c r="G1791" s="16" t="inlineStr">
        <is>
          <t>B09-1</t>
        </is>
      </c>
      <c r="H1791" s="16" t="inlineStr">
        <is>
          <t>lhs</t>
        </is>
      </c>
      <c r="I1791" s="16" t="inlineStr">
        <is>
          <t>NO_CONVERGIO</t>
        </is>
      </c>
      <c r="J1791" s="16" t="inlineStr">
        <is>
          <t>NO_CONVERGIO</t>
        </is>
      </c>
      <c r="K1791" s="16" t="b">
        <v>0</v>
      </c>
      <c r="L1791" s="16" t="b">
        <v>0</v>
      </c>
      <c r="M1791" s="16" t="b">
        <v>0</v>
      </c>
      <c r="N1791" s="16" t="b">
        <v>0</v>
      </c>
      <c r="O1791" s="16" t="n">
        <v>623.15</v>
      </c>
      <c r="P1791" s="16" t="n">
        <v>300.032917</v>
      </c>
      <c r="Q1791" s="16" t="n">
        <v>2401.477527370052</v>
      </c>
      <c r="R1791" s="16" t="n">
        <v>553.8337034751592</v>
      </c>
      <c r="S1791" s="16" t="n">
        <v>0.7950608094386378</v>
      </c>
      <c r="T1791" s="16" t="n">
        <v>0.4320203457119146</v>
      </c>
      <c r="U1791" s="16" t="n">
        <v>0.9219165647899618</v>
      </c>
      <c r="V1791" s="16" t="n">
        <v>0.6603655008088192</v>
      </c>
      <c r="W1791" s="16" t="n">
        <v>0.6113515344001941</v>
      </c>
      <c r="X1791" s="16" t="n">
        <v>0.6528966412660765</v>
      </c>
      <c r="Y1791" s="16" t="n">
        <v>300.032917</v>
      </c>
      <c r="Z1791" s="16" t="n"/>
      <c r="AA1791" s="16" t="n"/>
      <c r="AB1791" s="16" t="n">
        <v>1847.643823894893</v>
      </c>
      <c r="AC1791" s="16" t="n">
        <v>4.336098565871705</v>
      </c>
      <c r="AD1791" s="16" t="n"/>
      <c r="AE1791" s="16" t="n"/>
    </row>
    <row r="1792">
      <c r="A1792" s="16" t="inlineStr">
        <is>
          <t>KF-M05-1-0070</t>
        </is>
      </c>
      <c r="B1792" s="16" t="inlineStr">
        <is>
          <t>4.1</t>
        </is>
      </c>
      <c r="C1792" s="16" t="inlineStr">
        <is>
          <t>4.1a</t>
        </is>
      </c>
      <c r="D1792" s="16" t="inlineStr">
        <is>
          <t>conserva sus temperaturas</t>
        </is>
      </c>
      <c r="E1792" s="16" t="inlineStr">
        <is>
          <t>KF-M05</t>
        </is>
      </c>
      <c r="F1792" s="16" t="inlineStr">
        <is>
          <t>KF-M05-1</t>
        </is>
      </c>
      <c r="G1792" s="16" t="inlineStr">
        <is>
          <t>B09-1</t>
        </is>
      </c>
      <c r="H1792" s="16" t="inlineStr">
        <is>
          <t>lhs</t>
        </is>
      </c>
      <c r="I1792" s="16" t="inlineStr">
        <is>
          <t>CORREGIBLE</t>
        </is>
      </c>
      <c r="J1792" s="16" t="inlineStr">
        <is>
          <t>CORREGIBLE</t>
        </is>
      </c>
      <c r="K1792" s="16" t="b">
        <v>1</v>
      </c>
      <c r="L1792" s="16" t="b">
        <v>0</v>
      </c>
      <c r="M1792" s="16" t="b">
        <v>1</v>
      </c>
      <c r="N1792" s="16" t="b">
        <v>0</v>
      </c>
      <c r="O1792" s="16" t="n">
        <v>623.15</v>
      </c>
      <c r="P1792" s="16" t="n">
        <v>300.032917</v>
      </c>
      <c r="Q1792" s="16" t="n">
        <v>2917.989850525363</v>
      </c>
      <c r="R1792" s="16" t="n">
        <v>1215.632736319139</v>
      </c>
      <c r="S1792" s="16" t="n">
        <v>0.6983426123679317</v>
      </c>
      <c r="T1792" s="16" t="n">
        <v>0.4911875376548847</v>
      </c>
      <c r="U1792" s="16" t="n">
        <v>0.6817413507043202</v>
      </c>
      <c r="V1792" s="16" t="n">
        <v>0.4431913933080387</v>
      </c>
      <c r="W1792" s="16" t="n">
        <v>0.7978039931560619</v>
      </c>
      <c r="X1792" s="16" t="n">
        <v>0.6241059477805146</v>
      </c>
      <c r="Y1792" s="16" t="n">
        <v>300.032917</v>
      </c>
      <c r="Z1792" s="16" t="n">
        <v>0.37412780910518</v>
      </c>
      <c r="AA1792" s="16" t="n">
        <v>3.102482296850937</v>
      </c>
      <c r="AB1792" s="16" t="n">
        <v>1702.357114206224</v>
      </c>
      <c r="AC1792" s="16" t="n">
        <v>2.400387685643328</v>
      </c>
      <c r="AD1792" s="16" t="inlineStr">
        <is>
          <t>O2</t>
        </is>
      </c>
      <c r="AE1792" s="16" t="n"/>
    </row>
    <row r="1793">
      <c r="A1793" s="16" t="inlineStr">
        <is>
          <t>KF-M05-1-0071</t>
        </is>
      </c>
      <c r="B1793" s="16" t="inlineStr">
        <is>
          <t>4.1</t>
        </is>
      </c>
      <c r="C1793" s="16" t="inlineStr">
        <is>
          <t>4.1a</t>
        </is>
      </c>
      <c r="D1793" s="16" t="inlineStr">
        <is>
          <t>conserva sus temperaturas</t>
        </is>
      </c>
      <c r="E1793" s="16" t="inlineStr">
        <is>
          <t>KF-M05</t>
        </is>
      </c>
      <c r="F1793" s="16" t="inlineStr">
        <is>
          <t>KF-M05-1</t>
        </is>
      </c>
      <c r="G1793" s="16" t="inlineStr">
        <is>
          <t>B09-1</t>
        </is>
      </c>
      <c r="H1793" s="16" t="inlineStr">
        <is>
          <t>lhs</t>
        </is>
      </c>
      <c r="I1793" s="16" t="inlineStr">
        <is>
          <t>INVIABLE</t>
        </is>
      </c>
      <c r="J1793" s="16" t="inlineStr">
        <is>
          <t>INVIABLE</t>
        </is>
      </c>
      <c r="K1793" s="16" t="b">
        <v>1</v>
      </c>
      <c r="L1793" s="16" t="b">
        <v>0</v>
      </c>
      <c r="M1793" s="16" t="b">
        <v>1</v>
      </c>
      <c r="N1793" s="16" t="b">
        <v>0</v>
      </c>
      <c r="O1793" s="16" t="n">
        <v>623.15</v>
      </c>
      <c r="P1793" s="16" t="n">
        <v>300.032917</v>
      </c>
      <c r="Q1793" s="16" t="n">
        <v>4588.461852477803</v>
      </c>
      <c r="R1793" s="16" t="n">
        <v>914.8692098994744</v>
      </c>
      <c r="S1793" s="16" t="n">
        <v>0.7030047649940753</v>
      </c>
      <c r="T1793" s="16" t="n">
        <v>0.475554771217101</v>
      </c>
      <c r="U1793" s="16" t="n">
        <v>0.4641733708082466</v>
      </c>
      <c r="V1793" s="16" t="n">
        <v>0.6895599390617124</v>
      </c>
      <c r="W1793" s="16" t="n">
        <v>0.6845367073359325</v>
      </c>
      <c r="X1793" s="16" t="n">
        <v>0.6261976400049314</v>
      </c>
      <c r="Y1793" s="16" t="n">
        <v>300.032917</v>
      </c>
      <c r="Z1793" s="16" t="n">
        <v>-7.79382927099613</v>
      </c>
      <c r="AA1793" s="16" t="n">
        <v>-83.27662456195327</v>
      </c>
      <c r="AB1793" s="16" t="n">
        <v>3673.592642578329</v>
      </c>
      <c r="AC1793" s="16" t="n">
        <v>5.015429312548383</v>
      </c>
      <c r="AD1793" s="16" t="inlineStr">
        <is>
          <t>O2,O3</t>
        </is>
      </c>
      <c r="AE1793" s="16" t="n"/>
    </row>
    <row r="1794">
      <c r="A1794" s="16" t="inlineStr">
        <is>
          <t>KF-M05-1-0072</t>
        </is>
      </c>
      <c r="B1794" s="16" t="inlineStr">
        <is>
          <t>4.1</t>
        </is>
      </c>
      <c r="C1794" s="16" t="inlineStr">
        <is>
          <t>4.1a</t>
        </is>
      </c>
      <c r="D1794" s="16" t="inlineStr">
        <is>
          <t>conserva sus temperaturas</t>
        </is>
      </c>
      <c r="E1794" s="16" t="inlineStr">
        <is>
          <t>KF-M05</t>
        </is>
      </c>
      <c r="F1794" s="16" t="inlineStr">
        <is>
          <t>KF-M05-1</t>
        </is>
      </c>
      <c r="G1794" s="16" t="inlineStr">
        <is>
          <t>B09-1</t>
        </is>
      </c>
      <c r="H1794" s="16" t="inlineStr">
        <is>
          <t>lhs</t>
        </is>
      </c>
      <c r="I1794" s="16" t="inlineStr">
        <is>
          <t>INVIABLE</t>
        </is>
      </c>
      <c r="J1794" s="16" t="inlineStr">
        <is>
          <t>INVIABLE</t>
        </is>
      </c>
      <c r="K1794" s="16" t="b">
        <v>1</v>
      </c>
      <c r="L1794" s="16" t="b">
        <v>0</v>
      </c>
      <c r="M1794" s="16" t="b">
        <v>1</v>
      </c>
      <c r="N1794" s="16" t="b">
        <v>0</v>
      </c>
      <c r="O1794" s="16" t="n">
        <v>623.15</v>
      </c>
      <c r="P1794" s="16" t="n">
        <v>300.032917</v>
      </c>
      <c r="Q1794" s="16" t="n">
        <v>4556.625464582912</v>
      </c>
      <c r="R1794" s="16" t="n">
        <v>267.9908360610061</v>
      </c>
      <c r="S1794" s="16" t="n">
        <v>0.5174070425207128</v>
      </c>
      <c r="T1794" s="16" t="n">
        <v>0.6287718474923625</v>
      </c>
      <c r="U1794" s="16" t="n">
        <v>0.5685952179634647</v>
      </c>
      <c r="V1794" s="16" t="n">
        <v>0.4118733350802426</v>
      </c>
      <c r="W1794" s="16" t="n">
        <v>0.8536458414778629</v>
      </c>
      <c r="X1794" s="16" t="n">
        <v>0.6495196478065393</v>
      </c>
      <c r="Y1794" s="16" t="n">
        <v>300.032917</v>
      </c>
      <c r="Z1794" s="16" t="n">
        <v>-3.49325499012176</v>
      </c>
      <c r="AA1794" s="16" t="n">
        <v>-26.13541004511936</v>
      </c>
      <c r="AB1794" s="16" t="n">
        <v>4288.634628521906</v>
      </c>
      <c r="AC1794" s="16" t="n">
        <v>17.00291521739061</v>
      </c>
      <c r="AD1794" s="16" t="inlineStr">
        <is>
          <t>O2,O3</t>
        </is>
      </c>
      <c r="AE1794" s="16" t="n"/>
    </row>
    <row r="1795">
      <c r="A1795" s="16" t="inlineStr">
        <is>
          <t>KF-M05-1-0073</t>
        </is>
      </c>
      <c r="B1795" s="16" t="inlineStr">
        <is>
          <t>4.1</t>
        </is>
      </c>
      <c r="C1795" s="16" t="inlineStr">
        <is>
          <t>4.1a</t>
        </is>
      </c>
      <c r="D1795" s="16" t="inlineStr">
        <is>
          <t>conserva sus temperaturas</t>
        </is>
      </c>
      <c r="E1795" s="16" t="inlineStr">
        <is>
          <t>KF-M05</t>
        </is>
      </c>
      <c r="F1795" s="16" t="inlineStr">
        <is>
          <t>KF-M05-1</t>
        </is>
      </c>
      <c r="G1795" s="16" t="inlineStr">
        <is>
          <t>B09-1</t>
        </is>
      </c>
      <c r="H1795" s="16" t="inlineStr">
        <is>
          <t>lhs</t>
        </is>
      </c>
      <c r="I1795" s="16" t="inlineStr">
        <is>
          <t>NO_CONVERGIO</t>
        </is>
      </c>
      <c r="J1795" s="16" t="inlineStr">
        <is>
          <t>NO_CONVERGIO</t>
        </is>
      </c>
      <c r="K1795" s="16" t="b">
        <v>0</v>
      </c>
      <c r="L1795" s="16" t="b">
        <v>0</v>
      </c>
      <c r="M1795" s="16" t="b">
        <v>0</v>
      </c>
      <c r="N1795" s="16" t="b">
        <v>0</v>
      </c>
      <c r="O1795" s="16" t="n">
        <v>623.15</v>
      </c>
      <c r="P1795" s="16" t="n">
        <v>300.032917</v>
      </c>
      <c r="Q1795" s="16" t="n">
        <v>4872.595337838322</v>
      </c>
      <c r="R1795" s="16" t="n">
        <v>1335.256319448823</v>
      </c>
      <c r="S1795" s="16" t="n">
        <v>0.682065098395267</v>
      </c>
      <c r="T1795" s="16" t="n">
        <v>0.6932862095964083</v>
      </c>
      <c r="U1795" s="16" t="n">
        <v>0.7745417433222841</v>
      </c>
      <c r="V1795" s="16" t="n">
        <v>0.7841105098415475</v>
      </c>
      <c r="W1795" s="16" t="n">
        <v>0.9385810377815657</v>
      </c>
      <c r="X1795" s="16" t="n">
        <v>0.4785655680214272</v>
      </c>
      <c r="Y1795" s="16" t="n">
        <v>300.032917</v>
      </c>
      <c r="Z1795" s="16" t="n"/>
      <c r="AA1795" s="16" t="n"/>
      <c r="AB1795" s="16" t="n">
        <v>3537.339018389499</v>
      </c>
      <c r="AC1795" s="16" t="n">
        <v>3.649183506466884</v>
      </c>
      <c r="AD1795" s="16" t="n"/>
      <c r="AE1795" s="16" t="n"/>
    </row>
    <row r="1796">
      <c r="A1796" s="16" t="inlineStr">
        <is>
          <t>KF-M05-1-0074</t>
        </is>
      </c>
      <c r="B1796" s="16" t="inlineStr">
        <is>
          <t>4.1</t>
        </is>
      </c>
      <c r="C1796" s="16" t="inlineStr">
        <is>
          <t>4.1a</t>
        </is>
      </c>
      <c r="D1796" s="16" t="inlineStr">
        <is>
          <t>conserva sus temperaturas</t>
        </is>
      </c>
      <c r="E1796" s="16" t="inlineStr">
        <is>
          <t>KF-M05</t>
        </is>
      </c>
      <c r="F1796" s="16" t="inlineStr">
        <is>
          <t>KF-M05-1</t>
        </is>
      </c>
      <c r="G1796" s="16" t="inlineStr">
        <is>
          <t>B09-1</t>
        </is>
      </c>
      <c r="H1796" s="16" t="inlineStr">
        <is>
          <t>lhs</t>
        </is>
      </c>
      <c r="I1796" s="16" t="inlineStr">
        <is>
          <t>NO_CONVERGIO</t>
        </is>
      </c>
      <c r="J1796" s="16" t="inlineStr">
        <is>
          <t>NO_CONVERGIO</t>
        </is>
      </c>
      <c r="K1796" s="16" t="b">
        <v>0</v>
      </c>
      <c r="L1796" s="16" t="b">
        <v>0</v>
      </c>
      <c r="M1796" s="16" t="b">
        <v>0</v>
      </c>
      <c r="N1796" s="16" t="b">
        <v>0</v>
      </c>
      <c r="O1796" s="16" t="n">
        <v>623.15</v>
      </c>
      <c r="P1796" s="16" t="n">
        <v>300.032917</v>
      </c>
      <c r="Q1796" s="16" t="n">
        <v>2196.639062724997</v>
      </c>
      <c r="R1796" s="16" t="n">
        <v>677.4680470484612</v>
      </c>
      <c r="S1796" s="16" t="n">
        <v>0.6440925265019433</v>
      </c>
      <c r="T1796" s="16" t="n">
        <v>0.4625334344439011</v>
      </c>
      <c r="U1796" s="16" t="n">
        <v>0.7062397285387005</v>
      </c>
      <c r="V1796" s="16" t="n">
        <v>0.7923899586039053</v>
      </c>
      <c r="W1796" s="16" t="n">
        <v>0.5227576845739943</v>
      </c>
      <c r="X1796" s="16" t="n">
        <v>0.599523226153412</v>
      </c>
      <c r="Y1796" s="16" t="n">
        <v>300.032917</v>
      </c>
      <c r="Z1796" s="16" t="n"/>
      <c r="AA1796" s="16" t="n"/>
      <c r="AB1796" s="16" t="n">
        <v>1519.171015676535</v>
      </c>
      <c r="AC1796" s="16" t="n">
        <v>3.242424601861503</v>
      </c>
      <c r="AD1796" s="16" t="n"/>
      <c r="AE1796" s="16" t="n"/>
    </row>
    <row r="1797">
      <c r="A1797" s="16" t="inlineStr">
        <is>
          <t>KF-M05-1-0075</t>
        </is>
      </c>
      <c r="B1797" s="16" t="inlineStr">
        <is>
          <t>4.1</t>
        </is>
      </c>
      <c r="C1797" s="16" t="inlineStr">
        <is>
          <t>4.1a</t>
        </is>
      </c>
      <c r="D1797" s="16" t="inlineStr">
        <is>
          <t>conserva sus temperaturas</t>
        </is>
      </c>
      <c r="E1797" s="16" t="inlineStr">
        <is>
          <t>KF-M05</t>
        </is>
      </c>
      <c r="F1797" s="16" t="inlineStr">
        <is>
          <t>KF-M05-1</t>
        </is>
      </c>
      <c r="G1797" s="16" t="inlineStr">
        <is>
          <t>B09-1</t>
        </is>
      </c>
      <c r="H1797" s="16" t="inlineStr">
        <is>
          <t>lhs</t>
        </is>
      </c>
      <c r="I1797" s="16" t="inlineStr">
        <is>
          <t>NO_CONVERGIO</t>
        </is>
      </c>
      <c r="J1797" s="16" t="inlineStr">
        <is>
          <t>NO_CONVERGIO</t>
        </is>
      </c>
      <c r="K1797" s="16" t="b">
        <v>0</v>
      </c>
      <c r="L1797" s="16" t="b">
        <v>0</v>
      </c>
      <c r="M1797" s="16" t="b">
        <v>0</v>
      </c>
      <c r="N1797" s="16" t="b">
        <v>0</v>
      </c>
      <c r="O1797" s="16" t="n">
        <v>623.15</v>
      </c>
      <c r="P1797" s="16" t="n">
        <v>300.032917</v>
      </c>
      <c r="Q1797" s="16" t="n">
        <v>2776.727436590294</v>
      </c>
      <c r="R1797" s="16" t="n">
        <v>439.7575008401029</v>
      </c>
      <c r="S1797" s="16" t="n">
        <v>0.7587711150600011</v>
      </c>
      <c r="T1797" s="16" t="n">
        <v>0.6114334692134644</v>
      </c>
      <c r="U1797" s="16" t="n">
        <v>0.8777001581276508</v>
      </c>
      <c r="V1797" s="16" t="n">
        <v>0.4793482842548526</v>
      </c>
      <c r="W1797" s="16" t="n">
        <v>0.8018030452447571</v>
      </c>
      <c r="X1797" s="16" t="n">
        <v>0.489726016894033</v>
      </c>
      <c r="Y1797" s="16" t="n">
        <v>300.032917</v>
      </c>
      <c r="Z1797" s="16" t="n"/>
      <c r="AA1797" s="16" t="n"/>
      <c r="AB1797" s="16" t="n">
        <v>2336.969935750192</v>
      </c>
      <c r="AC1797" s="16" t="n">
        <v>6.314224160555979</v>
      </c>
      <c r="AD1797" s="16" t="n"/>
      <c r="AE1797" s="16" t="n"/>
    </row>
    <row r="1798">
      <c r="A1798" s="16" t="inlineStr">
        <is>
          <t>KF-M05-1-0076</t>
        </is>
      </c>
      <c r="B1798" s="16" t="inlineStr">
        <is>
          <t>4.1</t>
        </is>
      </c>
      <c r="C1798" s="16" t="inlineStr">
        <is>
          <t>4.1a</t>
        </is>
      </c>
      <c r="D1798" s="16" t="inlineStr">
        <is>
          <t>conserva sus temperaturas</t>
        </is>
      </c>
      <c r="E1798" s="16" t="inlineStr">
        <is>
          <t>KF-M05</t>
        </is>
      </c>
      <c r="F1798" s="16" t="inlineStr">
        <is>
          <t>KF-M05-1</t>
        </is>
      </c>
      <c r="G1798" s="16" t="inlineStr">
        <is>
          <t>B09-1</t>
        </is>
      </c>
      <c r="H1798" s="16" t="inlineStr">
        <is>
          <t>lhs</t>
        </is>
      </c>
      <c r="I1798" s="16" t="inlineStr">
        <is>
          <t>NO_CONVERGIO</t>
        </is>
      </c>
      <c r="J1798" s="16" t="inlineStr">
        <is>
          <t>NO_CONVERGIO</t>
        </is>
      </c>
      <c r="K1798" s="16" t="b">
        <v>0</v>
      </c>
      <c r="L1798" s="16" t="b">
        <v>0</v>
      </c>
      <c r="M1798" s="16" t="b">
        <v>0</v>
      </c>
      <c r="N1798" s="16" t="b">
        <v>0</v>
      </c>
      <c r="O1798" s="16" t="n">
        <v>623.15</v>
      </c>
      <c r="P1798" s="16" t="n">
        <v>300.032917</v>
      </c>
      <c r="Q1798" s="16" t="n">
        <v>2884.795440604961</v>
      </c>
      <c r="R1798" s="16" t="n">
        <v>726.3167684116191</v>
      </c>
      <c r="S1798" s="16" t="n">
        <v>0.5905297210408029</v>
      </c>
      <c r="T1798" s="16" t="n">
        <v>0.7161635358020378</v>
      </c>
      <c r="U1798" s="16" t="n">
        <v>0.7441730078549156</v>
      </c>
      <c r="V1798" s="16" t="n">
        <v>0.8529547582781856</v>
      </c>
      <c r="W1798" s="16" t="n">
        <v>0.8806454880826193</v>
      </c>
      <c r="X1798" s="16" t="n">
        <v>0.9041195349422566</v>
      </c>
      <c r="Y1798" s="16" t="n">
        <v>300.032917</v>
      </c>
      <c r="Z1798" s="16" t="n"/>
      <c r="AA1798" s="16" t="n"/>
      <c r="AB1798" s="16" t="n">
        <v>2158.478672193342</v>
      </c>
      <c r="AC1798" s="16" t="n">
        <v>3.97181445626502</v>
      </c>
      <c r="AD1798" s="16" t="n"/>
      <c r="AE1798" s="16" t="n"/>
    </row>
    <row r="1799">
      <c r="A1799" s="16" t="inlineStr">
        <is>
          <t>KF-M05-1-0077</t>
        </is>
      </c>
      <c r="B1799" s="16" t="inlineStr">
        <is>
          <t>4.1</t>
        </is>
      </c>
      <c r="C1799" s="16" t="inlineStr">
        <is>
          <t>4.1a</t>
        </is>
      </c>
      <c r="D1799" s="16" t="inlineStr">
        <is>
          <t>conserva sus temperaturas</t>
        </is>
      </c>
      <c r="E1799" s="16" t="inlineStr">
        <is>
          <t>KF-M05</t>
        </is>
      </c>
      <c r="F1799" s="16" t="inlineStr">
        <is>
          <t>KF-M05-1</t>
        </is>
      </c>
      <c r="G1799" s="16" t="inlineStr">
        <is>
          <t>B09-1</t>
        </is>
      </c>
      <c r="H1799" s="16" t="inlineStr">
        <is>
          <t>lhs</t>
        </is>
      </c>
      <c r="I1799" s="16" t="inlineStr">
        <is>
          <t>INVIABLE</t>
        </is>
      </c>
      <c r="J1799" s="16" t="inlineStr">
        <is>
          <t>INVIABLE</t>
        </is>
      </c>
      <c r="K1799" s="16" t="b">
        <v>1</v>
      </c>
      <c r="L1799" s="16" t="b">
        <v>0</v>
      </c>
      <c r="M1799" s="16" t="b">
        <v>1</v>
      </c>
      <c r="N1799" s="16" t="b">
        <v>0</v>
      </c>
      <c r="O1799" s="16" t="n">
        <v>623.15</v>
      </c>
      <c r="P1799" s="16" t="n">
        <v>300.032917</v>
      </c>
      <c r="Q1799" s="16" t="n">
        <v>4324.351818981038</v>
      </c>
      <c r="R1799" s="16" t="n">
        <v>572.2184244159414</v>
      </c>
      <c r="S1799" s="16" t="n">
        <v>0.6491532110508386</v>
      </c>
      <c r="T1799" s="16" t="n">
        <v>0.6883092815839181</v>
      </c>
      <c r="U1799" s="16" t="n">
        <v>0.5030646027550773</v>
      </c>
      <c r="V1799" s="16" t="n">
        <v>0.5824633382215267</v>
      </c>
      <c r="W1799" s="16" t="n">
        <v>0.5181649681773355</v>
      </c>
      <c r="X1799" s="16" t="n">
        <v>0.575803348440357</v>
      </c>
      <c r="Y1799" s="16" t="n">
        <v>300.032917</v>
      </c>
      <c r="Z1799" s="16" t="n">
        <v>-6.9754150693807</v>
      </c>
      <c r="AA1799" s="16" t="n">
        <v>-60.43916035825129</v>
      </c>
      <c r="AB1799" s="16" t="n">
        <v>3752.133394565097</v>
      </c>
      <c r="AC1799" s="16" t="n">
        <v>7.557169840161768</v>
      </c>
      <c r="AD1799" s="16" t="inlineStr">
        <is>
          <t>O2,O3</t>
        </is>
      </c>
      <c r="AE1799" s="16" t="n"/>
    </row>
    <row r="1800">
      <c r="A1800" s="16" t="inlineStr">
        <is>
          <t>KF-M05-1-0078</t>
        </is>
      </c>
      <c r="B1800" s="16" t="inlineStr">
        <is>
          <t>4.1</t>
        </is>
      </c>
      <c r="C1800" s="16" t="inlineStr">
        <is>
          <t>4.1a</t>
        </is>
      </c>
      <c r="D1800" s="16" t="inlineStr">
        <is>
          <t>conserva sus temperaturas</t>
        </is>
      </c>
      <c r="E1800" s="16" t="inlineStr">
        <is>
          <t>KF-M05</t>
        </is>
      </c>
      <c r="F1800" s="16" t="inlineStr">
        <is>
          <t>KF-M05-1</t>
        </is>
      </c>
      <c r="G1800" s="16" t="inlineStr">
        <is>
          <t>B09-1</t>
        </is>
      </c>
      <c r="H1800" s="16" t="inlineStr">
        <is>
          <t>lhs</t>
        </is>
      </c>
      <c r="I1800" s="16" t="inlineStr">
        <is>
          <t>INVIABLE</t>
        </is>
      </c>
      <c r="J1800" s="16" t="inlineStr">
        <is>
          <t>INVIABLE</t>
        </is>
      </c>
      <c r="K1800" s="16" t="b">
        <v>1</v>
      </c>
      <c r="L1800" s="16" t="b">
        <v>0</v>
      </c>
      <c r="M1800" s="16" t="b">
        <v>1</v>
      </c>
      <c r="N1800" s="16" t="b">
        <v>0</v>
      </c>
      <c r="O1800" s="16" t="n">
        <v>623.15</v>
      </c>
      <c r="P1800" s="16" t="n">
        <v>300.032917</v>
      </c>
      <c r="Q1800" s="16" t="n">
        <v>4119.294534537789</v>
      </c>
      <c r="R1800" s="16" t="n">
        <v>457.1430307827322</v>
      </c>
      <c r="S1800" s="16" t="n">
        <v>0.7267749171700898</v>
      </c>
      <c r="T1800" s="16" t="n">
        <v>0.5952656430215557</v>
      </c>
      <c r="U1800" s="16" t="n">
        <v>0.759595638555373</v>
      </c>
      <c r="V1800" s="16" t="n">
        <v>0.4208646964469634</v>
      </c>
      <c r="W1800" s="16" t="n">
        <v>0.5049750687248263</v>
      </c>
      <c r="X1800" s="16" t="n">
        <v>0.8722238330305316</v>
      </c>
      <c r="Y1800" s="16" t="n">
        <v>300.032917</v>
      </c>
      <c r="Z1800" s="16" t="n">
        <v>-1.73756252000351</v>
      </c>
      <c r="AA1800" s="16" t="n">
        <v>-11.96859435329333</v>
      </c>
      <c r="AB1800" s="16" t="n">
        <v>3662.151503755057</v>
      </c>
      <c r="AC1800" s="16" t="n">
        <v>9.010953371605876</v>
      </c>
      <c r="AD1800" s="16" t="inlineStr">
        <is>
          <t>O2,O3</t>
        </is>
      </c>
      <c r="AE1800" s="16" t="n"/>
    </row>
    <row r="1801">
      <c r="A1801" s="16" t="inlineStr">
        <is>
          <t>KF-M05-1-0079</t>
        </is>
      </c>
      <c r="B1801" s="16" t="inlineStr">
        <is>
          <t>4.1</t>
        </is>
      </c>
      <c r="C1801" s="16" t="inlineStr">
        <is>
          <t>4.1a</t>
        </is>
      </c>
      <c r="D1801" s="16" t="inlineStr">
        <is>
          <t>conserva sus temperaturas</t>
        </is>
      </c>
      <c r="E1801" s="16" t="inlineStr">
        <is>
          <t>KF-M05</t>
        </is>
      </c>
      <c r="F1801" s="16" t="inlineStr">
        <is>
          <t>KF-M05-1</t>
        </is>
      </c>
      <c r="G1801" s="16" t="inlineStr">
        <is>
          <t>B09-1</t>
        </is>
      </c>
      <c r="H1801" s="16" t="inlineStr">
        <is>
          <t>lhs</t>
        </is>
      </c>
      <c r="I1801" s="16" t="inlineStr">
        <is>
          <t>INVIABLE</t>
        </is>
      </c>
      <c r="J1801" s="16" t="inlineStr">
        <is>
          <t>INVIABLE</t>
        </is>
      </c>
      <c r="K1801" s="16" t="b">
        <v>1</v>
      </c>
      <c r="L1801" s="16" t="b">
        <v>0</v>
      </c>
      <c r="M1801" s="16" t="b">
        <v>1</v>
      </c>
      <c r="N1801" s="16" t="b">
        <v>0</v>
      </c>
      <c r="O1801" s="16" t="n">
        <v>623.15</v>
      </c>
      <c r="P1801" s="16" t="n">
        <v>300.032917</v>
      </c>
      <c r="Q1801" s="16" t="n">
        <v>2342.952330760533</v>
      </c>
      <c r="R1801" s="16" t="n">
        <v>1136.04966559192</v>
      </c>
      <c r="S1801" s="16" t="n">
        <v>0.5358526257232634</v>
      </c>
      <c r="T1801" s="16" t="n">
        <v>0.5441201135429841</v>
      </c>
      <c r="U1801" s="16" t="n">
        <v>0.652971263826341</v>
      </c>
      <c r="V1801" s="16" t="n">
        <v>0.8060136085230126</v>
      </c>
      <c r="W1801" s="16" t="n">
        <v>0.7403470511786079</v>
      </c>
      <c r="X1801" s="16" t="n">
        <v>0.7926002856794523</v>
      </c>
      <c r="Y1801" s="16" t="n">
        <v>300.032917</v>
      </c>
      <c r="Z1801" s="16" t="n">
        <v>2.66185679131375</v>
      </c>
      <c r="AA1801" s="16" t="n">
        <v>47.74649228936084</v>
      </c>
      <c r="AB1801" s="16" t="n">
        <v>1206.902665168612</v>
      </c>
      <c r="AC1801" s="16" t="n">
        <v>2.062367871513588</v>
      </c>
      <c r="AD1801" s="16" t="inlineStr">
        <is>
          <t>O2,O5</t>
        </is>
      </c>
      <c r="AE1801" s="16" t="n"/>
    </row>
    <row r="1802">
      <c r="A1802" s="16" t="inlineStr">
        <is>
          <t>KF-M05-1-0080</t>
        </is>
      </c>
      <c r="B1802" s="16" t="inlineStr">
        <is>
          <t>4.1</t>
        </is>
      </c>
      <c r="C1802" s="16" t="inlineStr">
        <is>
          <t>4.1a</t>
        </is>
      </c>
      <c r="D1802" s="16" t="inlineStr">
        <is>
          <t>conserva sus temperaturas</t>
        </is>
      </c>
      <c r="E1802" s="16" t="inlineStr">
        <is>
          <t>KF-M05</t>
        </is>
      </c>
      <c r="F1802" s="16" t="inlineStr">
        <is>
          <t>KF-M05-1</t>
        </is>
      </c>
      <c r="G1802" s="16" t="inlineStr">
        <is>
          <t>B09-1</t>
        </is>
      </c>
      <c r="H1802" s="16" t="inlineStr">
        <is>
          <t>lhs</t>
        </is>
      </c>
      <c r="I1802" s="16" t="inlineStr">
        <is>
          <t>NO_CONVERGIO</t>
        </is>
      </c>
      <c r="J1802" s="16" t="inlineStr">
        <is>
          <t>NO_CONVERGIO</t>
        </is>
      </c>
      <c r="K1802" s="16" t="b">
        <v>0</v>
      </c>
      <c r="L1802" s="16" t="b">
        <v>0</v>
      </c>
      <c r="M1802" s="16" t="b">
        <v>0</v>
      </c>
      <c r="N1802" s="16" t="b">
        <v>0</v>
      </c>
      <c r="O1802" s="16" t="n">
        <v>623.15</v>
      </c>
      <c r="P1802" s="16" t="n">
        <v>300.032917</v>
      </c>
      <c r="Q1802" s="16" t="n">
        <v>2611.522347354427</v>
      </c>
      <c r="R1802" s="16" t="n">
        <v>222.4785914079228</v>
      </c>
      <c r="S1802" s="16" t="n">
        <v>0.5436602762011973</v>
      </c>
      <c r="T1802" s="16" t="n">
        <v>0.4192047621815565</v>
      </c>
      <c r="U1802" s="16" t="n">
        <v>0.6853013899577306</v>
      </c>
      <c r="V1802" s="16" t="n">
        <v>0.8688660090927141</v>
      </c>
      <c r="W1802" s="16" t="n">
        <v>0.6429911593242585</v>
      </c>
      <c r="X1802" s="16" t="n">
        <v>0.5579674722904079</v>
      </c>
      <c r="Y1802" s="16" t="n">
        <v>300.032917</v>
      </c>
      <c r="Z1802" s="16" t="n"/>
      <c r="AA1802" s="16" t="n"/>
      <c r="AB1802" s="16" t="n">
        <v>2389.043755946504</v>
      </c>
      <c r="AC1802" s="16" t="n">
        <v>11.73830853039744</v>
      </c>
      <c r="AD1802" s="16" t="n"/>
      <c r="AE1802" s="16" t="n"/>
    </row>
    <row r="1803">
      <c r="A1803" s="16" t="inlineStr">
        <is>
          <t>KF-M05-1-0081</t>
        </is>
      </c>
      <c r="B1803" s="16" t="inlineStr">
        <is>
          <t>4.1</t>
        </is>
      </c>
      <c r="C1803" s="16" t="inlineStr">
        <is>
          <t>4.1a</t>
        </is>
      </c>
      <c r="D1803" s="16" t="inlineStr">
        <is>
          <t>conserva sus temperaturas</t>
        </is>
      </c>
      <c r="E1803" s="16" t="inlineStr">
        <is>
          <t>KF-M05</t>
        </is>
      </c>
      <c r="F1803" s="16" t="inlineStr">
        <is>
          <t>KF-M05-1</t>
        </is>
      </c>
      <c r="G1803" s="16" t="inlineStr">
        <is>
          <t>B09-1</t>
        </is>
      </c>
      <c r="H1803" s="16" t="inlineStr">
        <is>
          <t>lhs</t>
        </is>
      </c>
      <c r="I1803" s="16" t="inlineStr">
        <is>
          <t>NO_CONVERGIO</t>
        </is>
      </c>
      <c r="J1803" s="16" t="inlineStr">
        <is>
          <t>NO_CONVERGIO</t>
        </is>
      </c>
      <c r="K1803" s="16" t="b">
        <v>0</v>
      </c>
      <c r="L1803" s="16" t="b">
        <v>0</v>
      </c>
      <c r="M1803" s="16" t="b">
        <v>0</v>
      </c>
      <c r="N1803" s="16" t="b">
        <v>0</v>
      </c>
      <c r="O1803" s="16" t="n">
        <v>623.15</v>
      </c>
      <c r="P1803" s="16" t="n">
        <v>300.032917</v>
      </c>
      <c r="Q1803" s="16" t="n">
        <v>2270.238421742054</v>
      </c>
      <c r="R1803" s="16" t="n">
        <v>796.8053579109284</v>
      </c>
      <c r="S1803" s="16" t="n">
        <v>0.8449389773402722</v>
      </c>
      <c r="T1803" s="16" t="n">
        <v>0.7178098303491141</v>
      </c>
      <c r="U1803" s="16" t="n">
        <v>0.6475176360256689</v>
      </c>
      <c r="V1803" s="16" t="n">
        <v>0.903317136406918</v>
      </c>
      <c r="W1803" s="16" t="n">
        <v>0.5145783014742497</v>
      </c>
      <c r="X1803" s="16" t="n">
        <v>0.8825688109721517</v>
      </c>
      <c r="Y1803" s="16" t="n">
        <v>300.032917</v>
      </c>
      <c r="Z1803" s="16" t="n"/>
      <c r="AA1803" s="16" t="n"/>
      <c r="AB1803" s="16" t="n">
        <v>1473.433063831125</v>
      </c>
      <c r="AC1803" s="16" t="n">
        <v>2.84917564773182</v>
      </c>
      <c r="AD1803" s="16" t="n"/>
      <c r="AE1803" s="16" t="n"/>
    </row>
    <row r="1804">
      <c r="A1804" s="16" t="inlineStr">
        <is>
          <t>KF-M05-1-0082</t>
        </is>
      </c>
      <c r="B1804" s="16" t="inlineStr">
        <is>
          <t>4.1</t>
        </is>
      </c>
      <c r="C1804" s="16" t="inlineStr">
        <is>
          <t>4.1a</t>
        </is>
      </c>
      <c r="D1804" s="16" t="inlineStr">
        <is>
          <t>conserva sus temperaturas</t>
        </is>
      </c>
      <c r="E1804" s="16" t="inlineStr">
        <is>
          <t>KF-M05</t>
        </is>
      </c>
      <c r="F1804" s="16" t="inlineStr">
        <is>
          <t>KF-M05-1</t>
        </is>
      </c>
      <c r="G1804" s="16" t="inlineStr">
        <is>
          <t>B09-1</t>
        </is>
      </c>
      <c r="H1804" s="16" t="inlineStr">
        <is>
          <t>lhs</t>
        </is>
      </c>
      <c r="I1804" s="16" t="inlineStr">
        <is>
          <t>CORREGIBLE</t>
        </is>
      </c>
      <c r="J1804" s="16" t="inlineStr">
        <is>
          <t>CORREGIBLE</t>
        </is>
      </c>
      <c r="K1804" s="16" t="b">
        <v>1</v>
      </c>
      <c r="L1804" s="16" t="b">
        <v>0</v>
      </c>
      <c r="M1804" s="16" t="b">
        <v>1</v>
      </c>
      <c r="N1804" s="16" t="b">
        <v>0</v>
      </c>
      <c r="O1804" s="16" t="n">
        <v>623.15</v>
      </c>
      <c r="P1804" s="16" t="n">
        <v>300.032917</v>
      </c>
      <c r="Q1804" s="16" t="n">
        <v>2281.490390449984</v>
      </c>
      <c r="R1804" s="16" t="n">
        <v>1492.154812682336</v>
      </c>
      <c r="S1804" s="16" t="n">
        <v>0.5797489683662098</v>
      </c>
      <c r="T1804" s="16" t="n">
        <v>0.8134807447046092</v>
      </c>
      <c r="U1804" s="16" t="n">
        <v>0.5529592630294182</v>
      </c>
      <c r="V1804" s="16" t="n">
        <v>0.6256452322542261</v>
      </c>
      <c r="W1804" s="16" t="n">
        <v>0.8582601457896351</v>
      </c>
      <c r="X1804" s="16" t="n">
        <v>0.8409780379150557</v>
      </c>
      <c r="Y1804" s="16" t="n">
        <v>300.032917</v>
      </c>
      <c r="Z1804" s="16" t="n">
        <v>3.22372760548532</v>
      </c>
      <c r="AA1804" s="16" t="n">
        <v>46.69629574181838</v>
      </c>
      <c r="AB1804" s="16" t="n">
        <v>789.3355777676481</v>
      </c>
      <c r="AC1804" s="16" t="n">
        <v>1.528990404386203</v>
      </c>
      <c r="AD1804" s="16" t="inlineStr">
        <is>
          <t>O2</t>
        </is>
      </c>
      <c r="AE1804" s="16" t="n"/>
    </row>
    <row r="1805">
      <c r="A1805" s="16" t="inlineStr">
        <is>
          <t>KF-M05-1-0083</t>
        </is>
      </c>
      <c r="B1805" s="16" t="inlineStr">
        <is>
          <t>4.1</t>
        </is>
      </c>
      <c r="C1805" s="16" t="inlineStr">
        <is>
          <t>4.1a</t>
        </is>
      </c>
      <c r="D1805" s="16" t="inlineStr">
        <is>
          <t>conserva sus temperaturas</t>
        </is>
      </c>
      <c r="E1805" s="16" t="inlineStr">
        <is>
          <t>KF-M05</t>
        </is>
      </c>
      <c r="F1805" s="16" t="inlineStr">
        <is>
          <t>KF-M05-1</t>
        </is>
      </c>
      <c r="G1805" s="16" t="inlineStr">
        <is>
          <t>B09-1</t>
        </is>
      </c>
      <c r="H1805" s="16" t="inlineStr">
        <is>
          <t>lhs</t>
        </is>
      </c>
      <c r="I1805" s="16" t="inlineStr">
        <is>
          <t>KALINA</t>
        </is>
      </c>
      <c r="J1805" s="16" t="inlineStr">
        <is>
          <t>KALINA</t>
        </is>
      </c>
      <c r="K1805" s="16" t="b">
        <v>1</v>
      </c>
      <c r="L1805" s="16" t="b">
        <v>1</v>
      </c>
      <c r="M1805" s="16" t="b">
        <v>0</v>
      </c>
      <c r="N1805" s="16" t="b">
        <v>0</v>
      </c>
      <c r="O1805" s="16" t="n">
        <v>623.15</v>
      </c>
      <c r="P1805" s="16" t="n">
        <v>300.032917</v>
      </c>
      <c r="Q1805" s="16" t="n">
        <v>3207.519237731461</v>
      </c>
      <c r="R1805" s="16" t="n">
        <v>1965.621084777645</v>
      </c>
      <c r="S1805" s="16" t="n">
        <v>0.7134192505506198</v>
      </c>
      <c r="T1805" s="16" t="n">
        <v>0.8348616003705871</v>
      </c>
      <c r="U1805" s="16" t="n">
        <v>0.8660001979059155</v>
      </c>
      <c r="V1805" s="16" t="n">
        <v>0.4652155556182947</v>
      </c>
      <c r="W1805" s="16" t="n">
        <v>0.7632151669442804</v>
      </c>
      <c r="X1805" s="16" t="n">
        <v>0.8545028562640584</v>
      </c>
      <c r="Y1805" s="16" t="n">
        <v>300.032917</v>
      </c>
      <c r="Z1805" s="16" t="n">
        <v>4.35349504855395</v>
      </c>
      <c r="AA1805" s="16" t="n">
        <v>44.23419793897039</v>
      </c>
      <c r="AB1805" s="16" t="n">
        <v>1241.898152953815</v>
      </c>
      <c r="AC1805" s="16" t="n">
        <v>1.631809539779281</v>
      </c>
      <c r="AD1805" s="16" t="n"/>
      <c r="AE1805" s="16" t="n"/>
    </row>
    <row r="1806">
      <c r="A1806" s="16" t="inlineStr">
        <is>
          <t>KF-M05-1-0084</t>
        </is>
      </c>
      <c r="B1806" s="16" t="inlineStr">
        <is>
          <t>4.1</t>
        </is>
      </c>
      <c r="C1806" s="16" t="inlineStr">
        <is>
          <t>4.1a</t>
        </is>
      </c>
      <c r="D1806" s="16" t="inlineStr">
        <is>
          <t>conserva sus temperaturas</t>
        </is>
      </c>
      <c r="E1806" s="16" t="inlineStr">
        <is>
          <t>KF-M05</t>
        </is>
      </c>
      <c r="F1806" s="16" t="inlineStr">
        <is>
          <t>KF-M05-1</t>
        </is>
      </c>
      <c r="G1806" s="16" t="inlineStr">
        <is>
          <t>B09-1</t>
        </is>
      </c>
      <c r="H1806" s="16" t="inlineStr">
        <is>
          <t>lhs</t>
        </is>
      </c>
      <c r="I1806" s="16" t="inlineStr">
        <is>
          <t>INVIABLE</t>
        </is>
      </c>
      <c r="J1806" s="16" t="inlineStr">
        <is>
          <t>INVIABLE</t>
        </is>
      </c>
      <c r="K1806" s="16" t="b">
        <v>1</v>
      </c>
      <c r="L1806" s="16" t="b">
        <v>0</v>
      </c>
      <c r="M1806" s="16" t="b">
        <v>1</v>
      </c>
      <c r="N1806" s="16" t="b">
        <v>0</v>
      </c>
      <c r="O1806" s="16" t="n">
        <v>623.15</v>
      </c>
      <c r="P1806" s="16" t="n">
        <v>300.032917</v>
      </c>
      <c r="Q1806" s="16" t="n">
        <v>4644.311816525058</v>
      </c>
      <c r="R1806" s="16" t="n">
        <v>1686.266109972614</v>
      </c>
      <c r="S1806" s="16" t="n">
        <v>0.6535006779102488</v>
      </c>
      <c r="T1806" s="16" t="n">
        <v>0.6809787011823376</v>
      </c>
      <c r="U1806" s="16" t="n">
        <v>0.4164434913525261</v>
      </c>
      <c r="V1806" s="16" t="n">
        <v>0.4553412149364964</v>
      </c>
      <c r="W1806" s="16" t="n">
        <v>0.8257661012146036</v>
      </c>
      <c r="X1806" s="16" t="n">
        <v>0.5495064178048078</v>
      </c>
      <c r="Y1806" s="16" t="n">
        <v>300.032917</v>
      </c>
      <c r="Z1806" s="16" t="n">
        <v>-3.0902458856195</v>
      </c>
      <c r="AA1806" s="16" t="n">
        <v>-23.90524833695619</v>
      </c>
      <c r="AB1806" s="16" t="n">
        <v>2958.045706552444</v>
      </c>
      <c r="AC1806" s="16" t="n">
        <v>2.754198633927646</v>
      </c>
      <c r="AD1806" s="16" t="inlineStr">
        <is>
          <t>O2,O3</t>
        </is>
      </c>
      <c r="AE1806" s="16" t="n"/>
    </row>
    <row r="1807">
      <c r="A1807" s="16" t="inlineStr">
        <is>
          <t>KF-M05-1-0085</t>
        </is>
      </c>
      <c r="B1807" s="16" t="inlineStr">
        <is>
          <t>4.1</t>
        </is>
      </c>
      <c r="C1807" s="16" t="inlineStr">
        <is>
          <t>4.1a</t>
        </is>
      </c>
      <c r="D1807" s="16" t="inlineStr">
        <is>
          <t>conserva sus temperaturas</t>
        </is>
      </c>
      <c r="E1807" s="16" t="inlineStr">
        <is>
          <t>KF-M05</t>
        </is>
      </c>
      <c r="F1807" s="16" t="inlineStr">
        <is>
          <t>KF-M05-1</t>
        </is>
      </c>
      <c r="G1807" s="16" t="inlineStr">
        <is>
          <t>B09-1</t>
        </is>
      </c>
      <c r="H1807" s="16" t="inlineStr">
        <is>
          <t>lhs</t>
        </is>
      </c>
      <c r="I1807" s="16" t="inlineStr">
        <is>
          <t>NO_CONVERGIO</t>
        </is>
      </c>
      <c r="J1807" s="16" t="inlineStr">
        <is>
          <t>NO_CONVERGIO</t>
        </is>
      </c>
      <c r="K1807" s="16" t="b">
        <v>0</v>
      </c>
      <c r="L1807" s="16" t="b">
        <v>0</v>
      </c>
      <c r="M1807" s="16" t="b">
        <v>0</v>
      </c>
      <c r="N1807" s="16" t="b">
        <v>0</v>
      </c>
      <c r="O1807" s="16" t="n">
        <v>623.15</v>
      </c>
      <c r="P1807" s="16" t="n">
        <v>300.032917</v>
      </c>
      <c r="Q1807" s="16" t="n">
        <v>4094.956664720589</v>
      </c>
      <c r="R1807" s="16" t="n">
        <v>780.6953518429564</v>
      </c>
      <c r="S1807" s="16" t="n">
        <v>0.8396516940828779</v>
      </c>
      <c r="T1807" s="16" t="n">
        <v>0.5054184010315571</v>
      </c>
      <c r="U1807" s="16" t="n">
        <v>0.5248073471034798</v>
      </c>
      <c r="V1807" s="16" t="n">
        <v>0.6488119298315449</v>
      </c>
      <c r="W1807" s="16" t="n">
        <v>0.9007822521166554</v>
      </c>
      <c r="X1807" s="16" t="n">
        <v>0.4264629861976683</v>
      </c>
      <c r="Y1807" s="16" t="n">
        <v>300.032917</v>
      </c>
      <c r="Z1807" s="16" t="n"/>
      <c r="AA1807" s="16" t="n"/>
      <c r="AB1807" s="16" t="n">
        <v>3314.261312877632</v>
      </c>
      <c r="AC1807" s="16" t="n">
        <v>5.245268407265123</v>
      </c>
      <c r="AD1807" s="16" t="n"/>
      <c r="AE1807" s="16" t="n"/>
    </row>
    <row r="1808">
      <c r="A1808" s="16" t="inlineStr">
        <is>
          <t>KF-M05-1-0086</t>
        </is>
      </c>
      <c r="B1808" s="16" t="inlineStr">
        <is>
          <t>4.1</t>
        </is>
      </c>
      <c r="C1808" s="16" t="inlineStr">
        <is>
          <t>4.1a</t>
        </is>
      </c>
      <c r="D1808" s="16" t="inlineStr">
        <is>
          <t>conserva sus temperaturas</t>
        </is>
      </c>
      <c r="E1808" s="16" t="inlineStr">
        <is>
          <t>KF-M05</t>
        </is>
      </c>
      <c r="F1808" s="16" t="inlineStr">
        <is>
          <t>KF-M05-1</t>
        </is>
      </c>
      <c r="G1808" s="16" t="inlineStr">
        <is>
          <t>B09-1</t>
        </is>
      </c>
      <c r="H1808" s="16" t="inlineStr">
        <is>
          <t>lhs</t>
        </is>
      </c>
      <c r="I1808" s="16" t="inlineStr">
        <is>
          <t>NO_CONVERGIO</t>
        </is>
      </c>
      <c r="J1808" s="16" t="inlineStr">
        <is>
          <t>NO_CONVERGIO</t>
        </is>
      </c>
      <c r="K1808" s="16" t="b">
        <v>0</v>
      </c>
      <c r="L1808" s="16" t="b">
        <v>0</v>
      </c>
      <c r="M1808" s="16" t="b">
        <v>0</v>
      </c>
      <c r="N1808" s="16" t="b">
        <v>0</v>
      </c>
      <c r="O1808" s="16" t="n">
        <v>623.15</v>
      </c>
      <c r="P1808" s="16" t="n">
        <v>300.032917</v>
      </c>
      <c r="Q1808" s="16" t="n">
        <v>3112.668834181619</v>
      </c>
      <c r="R1808" s="16" t="n">
        <v>1896.926686810778</v>
      </c>
      <c r="S1808" s="16" t="n">
        <v>0.5255405839017229</v>
      </c>
      <c r="T1808" s="16" t="n">
        <v>0.4114403480215759</v>
      </c>
      <c r="U1808" s="16" t="n">
        <v>0.6214672865399731</v>
      </c>
      <c r="V1808" s="16" t="n">
        <v>0.8365218700544215</v>
      </c>
      <c r="W1808" s="16" t="n">
        <v>0.8934175971962353</v>
      </c>
      <c r="X1808" s="16" t="n">
        <v>0.6375524466957645</v>
      </c>
      <c r="Y1808" s="16" t="n">
        <v>300.032917</v>
      </c>
      <c r="Z1808" s="16" t="n"/>
      <c r="AA1808" s="16" t="n"/>
      <c r="AB1808" s="16" t="n">
        <v>1215.74214737084</v>
      </c>
      <c r="AC1808" s="16" t="n">
        <v>1.640900966718337</v>
      </c>
      <c r="AD1808" s="16" t="n"/>
      <c r="AE1808" s="16" t="n"/>
    </row>
    <row r="1809">
      <c r="A1809" s="16" t="inlineStr">
        <is>
          <t>KF-M05-1-0087</t>
        </is>
      </c>
      <c r="B1809" s="16" t="inlineStr">
        <is>
          <t>4.1</t>
        </is>
      </c>
      <c r="C1809" s="16" t="inlineStr">
        <is>
          <t>4.1a</t>
        </is>
      </c>
      <c r="D1809" s="16" t="inlineStr">
        <is>
          <t>conserva sus temperaturas</t>
        </is>
      </c>
      <c r="E1809" s="16" t="inlineStr">
        <is>
          <t>KF-M05</t>
        </is>
      </c>
      <c r="F1809" s="16" t="inlineStr">
        <is>
          <t>KF-M05-1</t>
        </is>
      </c>
      <c r="G1809" s="16" t="inlineStr">
        <is>
          <t>B09-1</t>
        </is>
      </c>
      <c r="H1809" s="16" t="inlineStr">
        <is>
          <t>lhs</t>
        </is>
      </c>
      <c r="I1809" s="16" t="inlineStr">
        <is>
          <t>INVIABLE</t>
        </is>
      </c>
      <c r="J1809" s="16" t="inlineStr">
        <is>
          <t>INVIABLE</t>
        </is>
      </c>
      <c r="K1809" s="16" t="b">
        <v>1</v>
      </c>
      <c r="L1809" s="16" t="b">
        <v>0</v>
      </c>
      <c r="M1809" s="16" t="b">
        <v>1</v>
      </c>
      <c r="N1809" s="16" t="b">
        <v>0</v>
      </c>
      <c r="O1809" s="16" t="n">
        <v>623.15</v>
      </c>
      <c r="P1809" s="16" t="n">
        <v>300.032917</v>
      </c>
      <c r="Q1809" s="16" t="n">
        <v>4131.499397817609</v>
      </c>
      <c r="R1809" s="16" t="n">
        <v>1523.765601358319</v>
      </c>
      <c r="S1809" s="16" t="n">
        <v>0.5453450222228122</v>
      </c>
      <c r="T1809" s="16" t="n">
        <v>0.658007416282094</v>
      </c>
      <c r="U1809" s="16" t="n">
        <v>0.5955770523706755</v>
      </c>
      <c r="V1809" s="16" t="n">
        <v>0.5490956102672787</v>
      </c>
      <c r="W1809" s="16" t="n">
        <v>0.4452094252624215</v>
      </c>
      <c r="X1809" s="16" t="n">
        <v>0.4716620813444664</v>
      </c>
      <c r="Y1809" s="16" t="n">
        <v>300.032917</v>
      </c>
      <c r="Z1809" s="16" t="n">
        <v>-1.94758803768349</v>
      </c>
      <c r="AA1809" s="16" t="n">
        <v>-16.68332519454491</v>
      </c>
      <c r="AB1809" s="16" t="n">
        <v>2607.73379645929</v>
      </c>
      <c r="AC1809" s="16" t="n">
        <v>2.711374632774684</v>
      </c>
      <c r="AD1809" s="16" t="inlineStr">
        <is>
          <t>O2,O3</t>
        </is>
      </c>
      <c r="AE1809" s="16" t="n"/>
    </row>
    <row r="1810">
      <c r="A1810" s="16" t="inlineStr">
        <is>
          <t>KF-M05-1-0088</t>
        </is>
      </c>
      <c r="B1810" s="16" t="inlineStr">
        <is>
          <t>4.1</t>
        </is>
      </c>
      <c r="C1810" s="16" t="inlineStr">
        <is>
          <t>4.1a</t>
        </is>
      </c>
      <c r="D1810" s="16" t="inlineStr">
        <is>
          <t>conserva sus temperaturas</t>
        </is>
      </c>
      <c r="E1810" s="16" t="inlineStr">
        <is>
          <t>KF-M05</t>
        </is>
      </c>
      <c r="F1810" s="16" t="inlineStr">
        <is>
          <t>KF-M05-1</t>
        </is>
      </c>
      <c r="G1810" s="16" t="inlineStr">
        <is>
          <t>B09-1</t>
        </is>
      </c>
      <c r="H1810" s="16" t="inlineStr">
        <is>
          <t>lhs</t>
        </is>
      </c>
      <c r="I1810" s="16" t="inlineStr">
        <is>
          <t>NO_CONVERGIO</t>
        </is>
      </c>
      <c r="J1810" s="16" t="inlineStr">
        <is>
          <t>NO_CONVERGIO</t>
        </is>
      </c>
      <c r="K1810" s="16" t="b">
        <v>0</v>
      </c>
      <c r="L1810" s="16" t="b">
        <v>0</v>
      </c>
      <c r="M1810" s="16" t="b">
        <v>0</v>
      </c>
      <c r="N1810" s="16" t="b">
        <v>0</v>
      </c>
      <c r="O1810" s="16" t="n">
        <v>623.15</v>
      </c>
      <c r="P1810" s="16" t="n">
        <v>300.032917</v>
      </c>
      <c r="Q1810" s="16" t="n">
        <v>2979.38800363302</v>
      </c>
      <c r="R1810" s="16" t="n">
        <v>508.0000997500565</v>
      </c>
      <c r="S1810" s="16" t="n">
        <v>0.5629347561392343</v>
      </c>
      <c r="T1810" s="16" t="n">
        <v>0.434179039113295</v>
      </c>
      <c r="U1810" s="16" t="n">
        <v>0.6307356310712511</v>
      </c>
      <c r="V1810" s="16" t="n">
        <v>0.832223571589072</v>
      </c>
      <c r="W1810" s="16" t="n">
        <v>0.42635357788655</v>
      </c>
      <c r="X1810" s="16" t="n">
        <v>0.800405646276575</v>
      </c>
      <c r="Y1810" s="16" t="n">
        <v>300.032917</v>
      </c>
      <c r="Z1810" s="16" t="n"/>
      <c r="AA1810" s="16" t="n"/>
      <c r="AB1810" s="16" t="n">
        <v>2471.387903882963</v>
      </c>
      <c r="AC1810" s="16" t="n">
        <v>5.86493586339633</v>
      </c>
      <c r="AD1810" s="16" t="n"/>
      <c r="AE1810" s="16" t="n"/>
    </row>
    <row r="1811">
      <c r="A1811" s="16" t="inlineStr">
        <is>
          <t>KF-M05-1-0089</t>
        </is>
      </c>
      <c r="B1811" s="16" t="inlineStr">
        <is>
          <t>4.1</t>
        </is>
      </c>
      <c r="C1811" s="16" t="inlineStr">
        <is>
          <t>4.1a</t>
        </is>
      </c>
      <c r="D1811" s="16" t="inlineStr">
        <is>
          <t>conserva sus temperaturas</t>
        </is>
      </c>
      <c r="E1811" s="16" t="inlineStr">
        <is>
          <t>KF-M05</t>
        </is>
      </c>
      <c r="F1811" s="16" t="inlineStr">
        <is>
          <t>KF-M05-1</t>
        </is>
      </c>
      <c r="G1811" s="16" t="inlineStr">
        <is>
          <t>B09-1</t>
        </is>
      </c>
      <c r="H1811" s="16" t="inlineStr">
        <is>
          <t>lhs</t>
        </is>
      </c>
      <c r="I1811" s="16" t="inlineStr">
        <is>
          <t>CORREGIBLE</t>
        </is>
      </c>
      <c r="J1811" s="16" t="inlineStr">
        <is>
          <t>CORREGIBLE</t>
        </is>
      </c>
      <c r="K1811" s="16" t="b">
        <v>1</v>
      </c>
      <c r="L1811" s="16" t="b">
        <v>0</v>
      </c>
      <c r="M1811" s="16" t="b">
        <v>1</v>
      </c>
      <c r="N1811" s="16" t="b">
        <v>0</v>
      </c>
      <c r="O1811" s="16" t="n">
        <v>623.15</v>
      </c>
      <c r="P1811" s="16" t="n">
        <v>300.032917</v>
      </c>
      <c r="Q1811" s="16" t="n">
        <v>2576.266807298248</v>
      </c>
      <c r="R1811" s="16" t="n">
        <v>301.3241683973388</v>
      </c>
      <c r="S1811" s="16" t="n">
        <v>0.5123063615326811</v>
      </c>
      <c r="T1811" s="16" t="n">
        <v>0.63899405137342</v>
      </c>
      <c r="U1811" s="16" t="n">
        <v>0.4604910274844138</v>
      </c>
      <c r="V1811" s="16" t="n">
        <v>0.5588527146580801</v>
      </c>
      <c r="W1811" s="16" t="n">
        <v>0.7932694537915501</v>
      </c>
      <c r="X1811" s="16" t="n">
        <v>0.9066534480074536</v>
      </c>
      <c r="Y1811" s="16" t="n">
        <v>300.032917</v>
      </c>
      <c r="Z1811" s="16" t="n">
        <v>8.60631884160073</v>
      </c>
      <c r="AA1811" s="16" t="n">
        <v>112.9534619136703</v>
      </c>
      <c r="AB1811" s="16" t="n">
        <v>2274.942638900909</v>
      </c>
      <c r="AC1811" s="16" t="n">
        <v>8.54981802820766</v>
      </c>
      <c r="AD1811" s="16" t="inlineStr">
        <is>
          <t>O2</t>
        </is>
      </c>
      <c r="AE1811" s="16" t="n"/>
    </row>
    <row r="1812">
      <c r="A1812" s="16" t="inlineStr">
        <is>
          <t>KF-M05-1-0090</t>
        </is>
      </c>
      <c r="B1812" s="16" t="inlineStr">
        <is>
          <t>4.1</t>
        </is>
      </c>
      <c r="C1812" s="16" t="inlineStr">
        <is>
          <t>4.1a</t>
        </is>
      </c>
      <c r="D1812" s="16" t="inlineStr">
        <is>
          <t>conserva sus temperaturas</t>
        </is>
      </c>
      <c r="E1812" s="16" t="inlineStr">
        <is>
          <t>KF-M05</t>
        </is>
      </c>
      <c r="F1812" s="16" t="inlineStr">
        <is>
          <t>KF-M05-1</t>
        </is>
      </c>
      <c r="G1812" s="16" t="inlineStr">
        <is>
          <t>B09-1</t>
        </is>
      </c>
      <c r="H1812" s="16" t="inlineStr">
        <is>
          <t>lhs</t>
        </is>
      </c>
      <c r="I1812" s="16" t="inlineStr">
        <is>
          <t>INVIABLE</t>
        </is>
      </c>
      <c r="J1812" s="16" t="inlineStr">
        <is>
          <t>INVIABLE</t>
        </is>
      </c>
      <c r="K1812" s="16" t="b">
        <v>1</v>
      </c>
      <c r="L1812" s="16" t="b">
        <v>0</v>
      </c>
      <c r="M1812" s="16" t="b">
        <v>1</v>
      </c>
      <c r="N1812" s="16" t="b">
        <v>0</v>
      </c>
      <c r="O1812" s="16" t="n">
        <v>623.15</v>
      </c>
      <c r="P1812" s="16" t="n">
        <v>300.032917</v>
      </c>
      <c r="Q1812" s="16" t="n">
        <v>4933.020325681136</v>
      </c>
      <c r="R1812" s="16" t="n">
        <v>1753.39886313524</v>
      </c>
      <c r="S1812" s="16" t="n">
        <v>0.6799054235622057</v>
      </c>
      <c r="T1812" s="16" t="n">
        <v>0.4494262277127545</v>
      </c>
      <c r="U1812" s="16" t="n">
        <v>0.5815992424640174</v>
      </c>
      <c r="V1812" s="16" t="n">
        <v>0.5300299082796892</v>
      </c>
      <c r="W1812" s="16" t="n">
        <v>0.6484999902536464</v>
      </c>
      <c r="X1812" s="16" t="n">
        <v>0.4202512142848119</v>
      </c>
      <c r="Y1812" s="16" t="n">
        <v>300.032917</v>
      </c>
      <c r="Z1812" s="16" t="n">
        <v>-13.26765750126487</v>
      </c>
      <c r="AA1812" s="16" t="n">
        <v>-88.82049420895994</v>
      </c>
      <c r="AB1812" s="16" t="n">
        <v>3179.621462545897</v>
      </c>
      <c r="AC1812" s="16" t="n">
        <v>2.813404542113389</v>
      </c>
      <c r="AD1812" s="16" t="inlineStr">
        <is>
          <t>O2,O3</t>
        </is>
      </c>
      <c r="AE1812" s="16" t="n"/>
    </row>
    <row r="1813">
      <c r="A1813" s="16" t="inlineStr">
        <is>
          <t>KF-M05-1-0091</t>
        </is>
      </c>
      <c r="B1813" s="16" t="inlineStr">
        <is>
          <t>4.1</t>
        </is>
      </c>
      <c r="C1813" s="16" t="inlineStr">
        <is>
          <t>4.1a</t>
        </is>
      </c>
      <c r="D1813" s="16" t="inlineStr">
        <is>
          <t>conserva sus temperaturas</t>
        </is>
      </c>
      <c r="E1813" s="16" t="inlineStr">
        <is>
          <t>KF-M05</t>
        </is>
      </c>
      <c r="F1813" s="16" t="inlineStr">
        <is>
          <t>KF-M05-1</t>
        </is>
      </c>
      <c r="G1813" s="16" t="inlineStr">
        <is>
          <t>B09-1</t>
        </is>
      </c>
      <c r="H1813" s="16" t="inlineStr">
        <is>
          <t>lhs</t>
        </is>
      </c>
      <c r="I1813" s="16" t="inlineStr">
        <is>
          <t>NO_CONVERGIO</t>
        </is>
      </c>
      <c r="J1813" s="16" t="inlineStr">
        <is>
          <t>NO_CONVERGIO</t>
        </is>
      </c>
      <c r="K1813" s="16" t="b">
        <v>0</v>
      </c>
      <c r="L1813" s="16" t="b">
        <v>0</v>
      </c>
      <c r="M1813" s="16" t="b">
        <v>0</v>
      </c>
      <c r="N1813" s="16" t="b">
        <v>0</v>
      </c>
      <c r="O1813" s="16" t="n">
        <v>623.15</v>
      </c>
      <c r="P1813" s="16" t="n">
        <v>300.032917</v>
      </c>
      <c r="Q1813" s="16" t="n">
        <v>4258.441424632758</v>
      </c>
      <c r="R1813" s="16" t="n">
        <v>1153.145911880854</v>
      </c>
      <c r="S1813" s="16" t="n">
        <v>0.7449835480626072</v>
      </c>
      <c r="T1813" s="16" t="n">
        <v>0.5870502393945385</v>
      </c>
      <c r="U1813" s="16" t="n">
        <v>0.9374661455347651</v>
      </c>
      <c r="V1813" s="16" t="n">
        <v>0.7703280661702963</v>
      </c>
      <c r="W1813" s="16" t="n">
        <v>0.4038396383266814</v>
      </c>
      <c r="X1813" s="16" t="n">
        <v>0.6089316511158323</v>
      </c>
      <c r="Y1813" s="16" t="n">
        <v>300.032917</v>
      </c>
      <c r="Z1813" s="16" t="n"/>
      <c r="AA1813" s="16" t="n"/>
      <c r="AB1813" s="16" t="n">
        <v>3105.295512751904</v>
      </c>
      <c r="AC1813" s="16" t="n">
        <v>3.692890362579502</v>
      </c>
      <c r="AD1813" s="16" t="n"/>
      <c r="AE1813" s="16" t="n"/>
    </row>
    <row r="1814">
      <c r="A1814" s="16" t="inlineStr">
        <is>
          <t>KF-M05-1-0092</t>
        </is>
      </c>
      <c r="B1814" s="16" t="inlineStr">
        <is>
          <t>4.1</t>
        </is>
      </c>
      <c r="C1814" s="16" t="inlineStr">
        <is>
          <t>4.1a</t>
        </is>
      </c>
      <c r="D1814" s="16" t="inlineStr">
        <is>
          <t>conserva sus temperaturas</t>
        </is>
      </c>
      <c r="E1814" s="16" t="inlineStr">
        <is>
          <t>KF-M05</t>
        </is>
      </c>
      <c r="F1814" s="16" t="inlineStr">
        <is>
          <t>KF-M05-1</t>
        </is>
      </c>
      <c r="G1814" s="16" t="inlineStr">
        <is>
          <t>B09-1</t>
        </is>
      </c>
      <c r="H1814" s="16" t="inlineStr">
        <is>
          <t>lhs</t>
        </is>
      </c>
      <c r="I1814" s="16" t="inlineStr">
        <is>
          <t>CORREGIBLE</t>
        </is>
      </c>
      <c r="J1814" s="16" t="inlineStr">
        <is>
          <t>CORREGIBLE</t>
        </is>
      </c>
      <c r="K1814" s="16" t="b">
        <v>1</v>
      </c>
      <c r="L1814" s="16" t="b">
        <v>0</v>
      </c>
      <c r="M1814" s="16" t="b">
        <v>1</v>
      </c>
      <c r="N1814" s="16" t="b">
        <v>0</v>
      </c>
      <c r="O1814" s="16" t="n">
        <v>623.15</v>
      </c>
      <c r="P1814" s="16" t="n">
        <v>300.032917</v>
      </c>
      <c r="Q1814" s="16" t="n">
        <v>3471.482575099711</v>
      </c>
      <c r="R1814" s="16" t="n">
        <v>1793.187018980638</v>
      </c>
      <c r="S1814" s="16" t="n">
        <v>0.611984547485204</v>
      </c>
      <c r="T1814" s="16" t="n">
        <v>0.5740087591027586</v>
      </c>
      <c r="U1814" s="16" t="n">
        <v>0.8122674959279597</v>
      </c>
      <c r="V1814" s="16" t="n">
        <v>0.6007164859389579</v>
      </c>
      <c r="W1814" s="16" t="n">
        <v>0.8750960305072406</v>
      </c>
      <c r="X1814" s="16" t="n">
        <v>0.8173354673690686</v>
      </c>
      <c r="Y1814" s="16" t="n">
        <v>300.032917</v>
      </c>
      <c r="Z1814" s="16" t="n">
        <v>3.6534683939687</v>
      </c>
      <c r="AA1814" s="16" t="n">
        <v>48.60400034554105</v>
      </c>
      <c r="AB1814" s="16" t="n">
        <v>1678.295556119073</v>
      </c>
      <c r="AC1814" s="16" t="n">
        <v>1.935928901087586</v>
      </c>
      <c r="AD1814" s="16" t="inlineStr">
        <is>
          <t>O2</t>
        </is>
      </c>
      <c r="AE1814" s="16" t="n"/>
    </row>
    <row r="1815">
      <c r="A1815" s="16" t="inlineStr">
        <is>
          <t>KF-M05-1-0093</t>
        </is>
      </c>
      <c r="B1815" s="16" t="inlineStr">
        <is>
          <t>4.1</t>
        </is>
      </c>
      <c r="C1815" s="16" t="inlineStr">
        <is>
          <t>4.1a</t>
        </is>
      </c>
      <c r="D1815" s="16" t="inlineStr">
        <is>
          <t>conserva sus temperaturas</t>
        </is>
      </c>
      <c r="E1815" s="16" t="inlineStr">
        <is>
          <t>KF-M05</t>
        </is>
      </c>
      <c r="F1815" s="16" t="inlineStr">
        <is>
          <t>KF-M05-1</t>
        </is>
      </c>
      <c r="G1815" s="16" t="inlineStr">
        <is>
          <t>B09-1</t>
        </is>
      </c>
      <c r="H1815" s="16" t="inlineStr">
        <is>
          <t>lhs</t>
        </is>
      </c>
      <c r="I1815" s="16" t="inlineStr">
        <is>
          <t>INVIABLE</t>
        </is>
      </c>
      <c r="J1815" s="16" t="inlineStr">
        <is>
          <t>INVIABLE</t>
        </is>
      </c>
      <c r="K1815" s="16" t="b">
        <v>1</v>
      </c>
      <c r="L1815" s="16" t="b">
        <v>0</v>
      </c>
      <c r="M1815" s="16" t="b">
        <v>1</v>
      </c>
      <c r="N1815" s="16" t="b">
        <v>0</v>
      </c>
      <c r="O1815" s="16" t="n">
        <v>623.15</v>
      </c>
      <c r="P1815" s="16" t="n">
        <v>300.032917</v>
      </c>
      <c r="Q1815" s="16" t="n">
        <v>3706.437618025257</v>
      </c>
      <c r="R1815" s="16" t="n">
        <v>202.1395101625765</v>
      </c>
      <c r="S1815" s="16" t="n">
        <v>0.6283544721215975</v>
      </c>
      <c r="T1815" s="16" t="n">
        <v>0.7395157489478708</v>
      </c>
      <c r="U1815" s="16" t="n">
        <v>0.8353732386443711</v>
      </c>
      <c r="V1815" s="16" t="n">
        <v>0.5095016020378866</v>
      </c>
      <c r="W1815" s="16" t="n">
        <v>0.6746905579264901</v>
      </c>
      <c r="X1815" s="16" t="n">
        <v>0.5916867913165579</v>
      </c>
      <c r="Y1815" s="16" t="n">
        <v>300.032917</v>
      </c>
      <c r="Z1815" s="16" t="n">
        <v>-2.69003222002194</v>
      </c>
      <c r="AA1815" s="16" t="n">
        <v>-16.92920582853719</v>
      </c>
      <c r="AB1815" s="16" t="n">
        <v>3504.29810786268</v>
      </c>
      <c r="AC1815" s="16" t="n">
        <v>18.33603739835052</v>
      </c>
      <c r="AD1815" s="16" t="inlineStr">
        <is>
          <t>O1,O2,O3</t>
        </is>
      </c>
      <c r="AE1815" s="16" t="n"/>
    </row>
    <row r="1816">
      <c r="A1816" s="16" t="inlineStr">
        <is>
          <t>KF-M05-1-0094</t>
        </is>
      </c>
      <c r="B1816" s="16" t="inlineStr">
        <is>
          <t>4.1</t>
        </is>
      </c>
      <c r="C1816" s="16" t="inlineStr">
        <is>
          <t>4.1a</t>
        </is>
      </c>
      <c r="D1816" s="16" t="inlineStr">
        <is>
          <t>conserva sus temperaturas</t>
        </is>
      </c>
      <c r="E1816" s="16" t="inlineStr">
        <is>
          <t>KF-M05</t>
        </is>
      </c>
      <c r="F1816" s="16" t="inlineStr">
        <is>
          <t>KF-M05-1</t>
        </is>
      </c>
      <c r="G1816" s="16" t="inlineStr">
        <is>
          <t>B09-1</t>
        </is>
      </c>
      <c r="H1816" s="16" t="inlineStr">
        <is>
          <t>lhs</t>
        </is>
      </c>
      <c r="I1816" s="16" t="inlineStr">
        <is>
          <t>NO_CONVERGIO</t>
        </is>
      </c>
      <c r="J1816" s="16" t="inlineStr">
        <is>
          <t>NO_CONVERGIO</t>
        </is>
      </c>
      <c r="K1816" s="16" t="b">
        <v>0</v>
      </c>
      <c r="L1816" s="16" t="b">
        <v>0</v>
      </c>
      <c r="M1816" s="16" t="b">
        <v>0</v>
      </c>
      <c r="N1816" s="16" t="b">
        <v>0</v>
      </c>
      <c r="O1816" s="16" t="n">
        <v>623.15</v>
      </c>
      <c r="P1816" s="16" t="n">
        <v>300.032917</v>
      </c>
      <c r="Q1816" s="16" t="n">
        <v>2670.214036666073</v>
      </c>
      <c r="R1816" s="16" t="n">
        <v>597.2150896436053</v>
      </c>
      <c r="S1816" s="16" t="n">
        <v>0.5937532377974236</v>
      </c>
      <c r="T1816" s="16" t="n">
        <v>0.5305878177843149</v>
      </c>
      <c r="U1816" s="16" t="n">
        <v>0.8877042287632374</v>
      </c>
      <c r="V1816" s="16" t="n">
        <v>0.8139645332546346</v>
      </c>
      <c r="W1816" s="16" t="n">
        <v>0.7490921137302406</v>
      </c>
      <c r="X1816" s="16" t="n">
        <v>0.569164976590536</v>
      </c>
      <c r="Y1816" s="16" t="n">
        <v>300.032917</v>
      </c>
      <c r="Z1816" s="16" t="n"/>
      <c r="AA1816" s="16" t="n"/>
      <c r="AB1816" s="16" t="n">
        <v>2072.998947022468</v>
      </c>
      <c r="AC1816" s="16" t="n">
        <v>4.471109459507383</v>
      </c>
      <c r="AD1816" s="16" t="n"/>
      <c r="AE1816" s="16" t="n"/>
    </row>
    <row r="1817">
      <c r="A1817" s="16" t="inlineStr">
        <is>
          <t>KF-M05-1-0095</t>
        </is>
      </c>
      <c r="B1817" s="16" t="inlineStr">
        <is>
          <t>4.1</t>
        </is>
      </c>
      <c r="C1817" s="16" t="inlineStr">
        <is>
          <t>4.1a</t>
        </is>
      </c>
      <c r="D1817" s="16" t="inlineStr">
        <is>
          <t>conserva sus temperaturas</t>
        </is>
      </c>
      <c r="E1817" s="16" t="inlineStr">
        <is>
          <t>KF-M05</t>
        </is>
      </c>
      <c r="F1817" s="16" t="inlineStr">
        <is>
          <t>KF-M05-1</t>
        </is>
      </c>
      <c r="G1817" s="16" t="inlineStr">
        <is>
          <t>B09-1</t>
        </is>
      </c>
      <c r="H1817" s="16" t="inlineStr">
        <is>
          <t>lhs</t>
        </is>
      </c>
      <c r="I1817" s="16" t="inlineStr">
        <is>
          <t>NO_CONVERGIO</t>
        </is>
      </c>
      <c r="J1817" s="16" t="inlineStr">
        <is>
          <t>NO_CONVERGIO</t>
        </is>
      </c>
      <c r="K1817" s="16" t="b">
        <v>0</v>
      </c>
      <c r="L1817" s="16" t="b">
        <v>0</v>
      </c>
      <c r="M1817" s="16" t="b">
        <v>0</v>
      </c>
      <c r="N1817" s="16" t="b">
        <v>0</v>
      </c>
      <c r="O1817" s="16" t="n">
        <v>623.15</v>
      </c>
      <c r="P1817" s="16" t="n">
        <v>300.032917</v>
      </c>
      <c r="Q1817" s="16" t="n">
        <v>4440.000662172815</v>
      </c>
      <c r="R1817" s="16" t="n">
        <v>1682.847116423292</v>
      </c>
      <c r="S1817" s="16" t="n">
        <v>0.6851007586644009</v>
      </c>
      <c r="T1817" s="16" t="n">
        <v>0.8754109893765631</v>
      </c>
      <c r="U1817" s="16" t="n">
        <v>0.7201830836743639</v>
      </c>
      <c r="V1817" s="16" t="n">
        <v>0.877096202230318</v>
      </c>
      <c r="W1817" s="16" t="n">
        <v>0.9198351382970442</v>
      </c>
      <c r="X1817" s="16" t="n">
        <v>0.5223466344404638</v>
      </c>
      <c r="Y1817" s="16" t="n">
        <v>300.032917</v>
      </c>
      <c r="Z1817" s="16" t="n"/>
      <c r="AA1817" s="16" t="n"/>
      <c r="AB1817" s="16" t="n">
        <v>2757.153545749524</v>
      </c>
      <c r="AC1817" s="16" t="n">
        <v>2.638386231786494</v>
      </c>
      <c r="AD1817" s="16" t="n"/>
      <c r="AE1817" s="16" t="n"/>
    </row>
    <row r="1818">
      <c r="A1818" s="16" t="inlineStr">
        <is>
          <t>KF-M05-1-0096</t>
        </is>
      </c>
      <c r="B1818" s="16" t="inlineStr">
        <is>
          <t>4.1</t>
        </is>
      </c>
      <c r="C1818" s="16" t="inlineStr">
        <is>
          <t>4.1a</t>
        </is>
      </c>
      <c r="D1818" s="16" t="inlineStr">
        <is>
          <t>conserva sus temperaturas</t>
        </is>
      </c>
      <c r="E1818" s="16" t="inlineStr">
        <is>
          <t>KF-M05</t>
        </is>
      </c>
      <c r="F1818" s="16" t="inlineStr">
        <is>
          <t>KF-M05-1</t>
        </is>
      </c>
      <c r="G1818" s="16" t="inlineStr">
        <is>
          <t>B09-1</t>
        </is>
      </c>
      <c r="H1818" s="16" t="inlineStr">
        <is>
          <t>lhs</t>
        </is>
      </c>
      <c r="I1818" s="16" t="inlineStr">
        <is>
          <t>NO_CONVERGIO</t>
        </is>
      </c>
      <c r="J1818" s="16" t="inlineStr">
        <is>
          <t>NO_CONVERGIO</t>
        </is>
      </c>
      <c r="K1818" s="16" t="b">
        <v>0</v>
      </c>
      <c r="L1818" s="16" t="b">
        <v>0</v>
      </c>
      <c r="M1818" s="16" t="b">
        <v>0</v>
      </c>
      <c r="N1818" s="16" t="b">
        <v>0</v>
      </c>
      <c r="O1818" s="16" t="n">
        <v>623.15</v>
      </c>
      <c r="P1818" s="16" t="n">
        <v>300.032917</v>
      </c>
      <c r="Q1818" s="16" t="n">
        <v>2317.51830359603</v>
      </c>
      <c r="R1818" s="16" t="n">
        <v>1447.740268610238</v>
      </c>
      <c r="S1818" s="16" t="n">
        <v>0.7531383089716652</v>
      </c>
      <c r="T1818" s="16" t="n">
        <v>0.4376905896012592</v>
      </c>
      <c r="U1818" s="16" t="n">
        <v>0.4769570781601544</v>
      </c>
      <c r="V1818" s="16" t="n">
        <v>0.6851201052431188</v>
      </c>
      <c r="W1818" s="16" t="n">
        <v>0.7440184925969934</v>
      </c>
      <c r="X1818" s="16" t="n">
        <v>0.4968026049867431</v>
      </c>
      <c r="Y1818" s="16" t="n">
        <v>300.032917</v>
      </c>
      <c r="Z1818" s="16" t="n"/>
      <c r="AA1818" s="16" t="n"/>
      <c r="AB1818" s="16" t="n">
        <v>869.7780349857919</v>
      </c>
      <c r="AC1818" s="16" t="n">
        <v>1.600783202515143</v>
      </c>
      <c r="AD1818" s="16" t="n"/>
      <c r="AE1818" s="16" t="n"/>
    </row>
    <row r="1819">
      <c r="A1819" s="16" t="inlineStr">
        <is>
          <t>KF-M05-1-0097</t>
        </is>
      </c>
      <c r="B1819" s="16" t="inlineStr">
        <is>
          <t>4.1</t>
        </is>
      </c>
      <c r="C1819" s="16" t="inlineStr">
        <is>
          <t>4.1a</t>
        </is>
      </c>
      <c r="D1819" s="16" t="inlineStr">
        <is>
          <t>conserva sus temperaturas</t>
        </is>
      </c>
      <c r="E1819" s="16" t="inlineStr">
        <is>
          <t>KF-M05</t>
        </is>
      </c>
      <c r="F1819" s="16" t="inlineStr">
        <is>
          <t>KF-M05-1</t>
        </is>
      </c>
      <c r="G1819" s="16" t="inlineStr">
        <is>
          <t>B09-1</t>
        </is>
      </c>
      <c r="H1819" s="16" t="inlineStr">
        <is>
          <t>lhs</t>
        </is>
      </c>
      <c r="I1819" s="16" t="inlineStr">
        <is>
          <t>CORREGIBLE</t>
        </is>
      </c>
      <c r="J1819" s="16" t="inlineStr">
        <is>
          <t>CORREGIBLE</t>
        </is>
      </c>
      <c r="K1819" s="16" t="b">
        <v>1</v>
      </c>
      <c r="L1819" s="16" t="b">
        <v>0</v>
      </c>
      <c r="M1819" s="16" t="b">
        <v>1</v>
      </c>
      <c r="N1819" s="16" t="b">
        <v>0</v>
      </c>
      <c r="O1819" s="16" t="n">
        <v>623.15</v>
      </c>
      <c r="P1819" s="16" t="n">
        <v>300.032917</v>
      </c>
      <c r="Q1819" s="16" t="n">
        <v>2044.195679055776</v>
      </c>
      <c r="R1819" s="16" t="n">
        <v>576.2626501481217</v>
      </c>
      <c r="S1819" s="16" t="n">
        <v>0.5399233588788213</v>
      </c>
      <c r="T1819" s="16" t="n">
        <v>0.8683187261625578</v>
      </c>
      <c r="U1819" s="16" t="n">
        <v>0.7893070359016368</v>
      </c>
      <c r="V1819" s="16" t="n">
        <v>0.5241335976184256</v>
      </c>
      <c r="W1819" s="16" t="n">
        <v>0.5986884644387582</v>
      </c>
      <c r="X1819" s="16" t="n">
        <v>0.7462711617373613</v>
      </c>
      <c r="Y1819" s="16" t="n">
        <v>300.032917</v>
      </c>
      <c r="Z1819" s="16" t="n">
        <v>8.52406542177669</v>
      </c>
      <c r="AA1819" s="16" t="n">
        <v>100.4017428162248</v>
      </c>
      <c r="AB1819" s="16" t="n">
        <v>1467.933028907654</v>
      </c>
      <c r="AC1819" s="16" t="n">
        <v>3.547333283755834</v>
      </c>
      <c r="AD1819" s="16" t="inlineStr">
        <is>
          <t>O2</t>
        </is>
      </c>
      <c r="AE1819" s="16" t="n"/>
    </row>
    <row r="1820">
      <c r="A1820" s="16" t="inlineStr">
        <is>
          <t>KF-M05-1-0098</t>
        </is>
      </c>
      <c r="B1820" s="16" t="inlineStr">
        <is>
          <t>4.1</t>
        </is>
      </c>
      <c r="C1820" s="16" t="inlineStr">
        <is>
          <t>4.1a</t>
        </is>
      </c>
      <c r="D1820" s="16" t="inlineStr">
        <is>
          <t>conserva sus temperaturas</t>
        </is>
      </c>
      <c r="E1820" s="16" t="inlineStr">
        <is>
          <t>KF-M05</t>
        </is>
      </c>
      <c r="F1820" s="16" t="inlineStr">
        <is>
          <t>KF-M05-1</t>
        </is>
      </c>
      <c r="G1820" s="16" t="inlineStr">
        <is>
          <t>B09-1</t>
        </is>
      </c>
      <c r="H1820" s="16" t="inlineStr">
        <is>
          <t>lhs</t>
        </is>
      </c>
      <c r="I1820" s="16" t="inlineStr">
        <is>
          <t>NO_CONVERGIO</t>
        </is>
      </c>
      <c r="J1820" s="16" t="inlineStr">
        <is>
          <t>NO_CONVERGIO</t>
        </is>
      </c>
      <c r="K1820" s="16" t="b">
        <v>0</v>
      </c>
      <c r="L1820" s="16" t="b">
        <v>0</v>
      </c>
      <c r="M1820" s="16" t="b">
        <v>0</v>
      </c>
      <c r="N1820" s="16" t="b">
        <v>0</v>
      </c>
      <c r="O1820" s="16" t="n">
        <v>623.15</v>
      </c>
      <c r="P1820" s="16" t="n">
        <v>300.032917</v>
      </c>
      <c r="Q1820" s="16" t="n">
        <v>2682.819081315295</v>
      </c>
      <c r="R1820" s="16" t="n">
        <v>948.7328008385192</v>
      </c>
      <c r="S1820" s="16" t="n">
        <v>0.7162749764572729</v>
      </c>
      <c r="T1820" s="16" t="n">
        <v>0.7090641403510173</v>
      </c>
      <c r="U1820" s="16" t="n">
        <v>0.5331834599965501</v>
      </c>
      <c r="V1820" s="16" t="n">
        <v>0.6622583550180883</v>
      </c>
      <c r="W1820" s="16" t="n">
        <v>0.9238436733909092</v>
      </c>
      <c r="X1820" s="16" t="n">
        <v>0.4543223867828895</v>
      </c>
      <c r="Y1820" s="16" t="n">
        <v>300.032917</v>
      </c>
      <c r="Z1820" s="16" t="n"/>
      <c r="AA1820" s="16" t="n"/>
      <c r="AB1820" s="16" t="n">
        <v>1734.086280476776</v>
      </c>
      <c r="AC1820" s="16" t="n">
        <v>2.82779206004487</v>
      </c>
      <c r="AD1820" s="16" t="n"/>
      <c r="AE1820" s="16" t="n"/>
    </row>
    <row r="1821">
      <c r="A1821" s="16" t="inlineStr">
        <is>
          <t>KF-M05-1-0099</t>
        </is>
      </c>
      <c r="B1821" s="16" t="inlineStr">
        <is>
          <t>4.1</t>
        </is>
      </c>
      <c r="C1821" s="16" t="inlineStr">
        <is>
          <t>4.1a</t>
        </is>
      </c>
      <c r="D1821" s="16" t="inlineStr">
        <is>
          <t>conserva sus temperaturas</t>
        </is>
      </c>
      <c r="E1821" s="16" t="inlineStr">
        <is>
          <t>KF-M05</t>
        </is>
      </c>
      <c r="F1821" s="16" t="inlineStr">
        <is>
          <t>KF-M05-1</t>
        </is>
      </c>
      <c r="G1821" s="16" t="inlineStr">
        <is>
          <t>B09-1</t>
        </is>
      </c>
      <c r="H1821" s="16" t="inlineStr">
        <is>
          <t>lhs</t>
        </is>
      </c>
      <c r="I1821" s="16" t="inlineStr">
        <is>
          <t>CORREGIBLE</t>
        </is>
      </c>
      <c r="J1821" s="16" t="inlineStr">
        <is>
          <t>CORREGIBLE</t>
        </is>
      </c>
      <c r="K1821" s="16" t="b">
        <v>1</v>
      </c>
      <c r="L1821" s="16" t="b">
        <v>0</v>
      </c>
      <c r="M1821" s="16" t="b">
        <v>1</v>
      </c>
      <c r="N1821" s="16" t="b">
        <v>0</v>
      </c>
      <c r="O1821" s="16" t="n">
        <v>623.15</v>
      </c>
      <c r="P1821" s="16" t="n">
        <v>300.032917</v>
      </c>
      <c r="Q1821" s="16" t="n">
        <v>2859.118089123749</v>
      </c>
      <c r="R1821" s="16" t="n">
        <v>383.602133105727</v>
      </c>
      <c r="S1821" s="16" t="n">
        <v>0.6564121343047944</v>
      </c>
      <c r="T1821" s="16" t="n">
        <v>0.7444647795316395</v>
      </c>
      <c r="U1821" s="16" t="n">
        <v>0.5709309314425083</v>
      </c>
      <c r="V1821" s="16" t="n">
        <v>0.6473981346295885</v>
      </c>
      <c r="W1821" s="16" t="n">
        <v>0.5480211227901363</v>
      </c>
      <c r="X1821" s="16" t="n">
        <v>0.8236305505059662</v>
      </c>
      <c r="Y1821" s="16" t="n">
        <v>300.032917</v>
      </c>
      <c r="Z1821" s="16" t="n">
        <v>3.14451217981891</v>
      </c>
      <c r="AA1821" s="16" t="n">
        <v>35.05990704855225</v>
      </c>
      <c r="AB1821" s="16" t="n">
        <v>2475.515956018022</v>
      </c>
      <c r="AC1821" s="16" t="n">
        <v>7.453342519176579</v>
      </c>
      <c r="AD1821" s="16" t="inlineStr">
        <is>
          <t>O2</t>
        </is>
      </c>
      <c r="AE1821" s="16" t="n"/>
    </row>
    <row r="1822">
      <c r="A1822" s="16" t="inlineStr">
        <is>
          <t>KF-M05-1-0100</t>
        </is>
      </c>
      <c r="B1822" s="16" t="inlineStr">
        <is>
          <t>4.1</t>
        </is>
      </c>
      <c r="C1822" s="16" t="inlineStr">
        <is>
          <t>4.1a</t>
        </is>
      </c>
      <c r="D1822" s="16" t="inlineStr">
        <is>
          <t>conserva sus temperaturas</t>
        </is>
      </c>
      <c r="E1822" s="16" t="inlineStr">
        <is>
          <t>KF-M05</t>
        </is>
      </c>
      <c r="F1822" s="16" t="inlineStr">
        <is>
          <t>KF-M05-1</t>
        </is>
      </c>
      <c r="G1822" s="16" t="inlineStr">
        <is>
          <t>B09-1</t>
        </is>
      </c>
      <c r="H1822" s="16" t="inlineStr">
        <is>
          <t>lhs</t>
        </is>
      </c>
      <c r="I1822" s="16" t="inlineStr">
        <is>
          <t>KALINA</t>
        </is>
      </c>
      <c r="J1822" s="16" t="inlineStr">
        <is>
          <t>KALINA</t>
        </is>
      </c>
      <c r="K1822" s="16" t="b">
        <v>1</v>
      </c>
      <c r="L1822" s="16" t="b">
        <v>0</v>
      </c>
      <c r="M1822" s="16" t="b">
        <v>1</v>
      </c>
      <c r="N1822" s="16" t="b">
        <v>0</v>
      </c>
      <c r="O1822" s="16" t="n">
        <v>623.15</v>
      </c>
      <c r="P1822" s="16" t="n">
        <v>300.032917</v>
      </c>
      <c r="Q1822" s="16" t="n">
        <v>2102.198701653375</v>
      </c>
      <c r="R1822" s="16" t="n">
        <v>1591.964795813887</v>
      </c>
      <c r="S1822" s="16" t="n">
        <v>0.5768982555275285</v>
      </c>
      <c r="T1822" s="16" t="n">
        <v>0.4924665129512027</v>
      </c>
      <c r="U1822" s="16" t="n">
        <v>0.7943819210199086</v>
      </c>
      <c r="V1822" s="16" t="n">
        <v>0.5633098318033914</v>
      </c>
      <c r="W1822" s="16" t="n">
        <v>0.6071876519812986</v>
      </c>
      <c r="X1822" s="16" t="n">
        <v>0.8960556392387324</v>
      </c>
      <c r="Y1822" s="16" t="n">
        <v>300.032917</v>
      </c>
      <c r="Z1822" s="16" t="n">
        <v>1.24897816465116</v>
      </c>
      <c r="AA1822" s="16" t="n">
        <v>17.04264049277882</v>
      </c>
      <c r="AB1822" s="16" t="n">
        <v>510.2339058394878</v>
      </c>
      <c r="AC1822" s="16" t="n">
        <v>1.320505771975085</v>
      </c>
      <c r="AD1822" s="16" t="n"/>
      <c r="AE1822" s="16" t="n"/>
    </row>
    <row r="1823">
      <c r="A1823" s="16" t="inlineStr">
        <is>
          <t>KF-M05-1-0101</t>
        </is>
      </c>
      <c r="B1823" s="16" t="inlineStr">
        <is>
          <t>4.1</t>
        </is>
      </c>
      <c r="C1823" s="16" t="inlineStr">
        <is>
          <t>4.1a</t>
        </is>
      </c>
      <c r="D1823" s="16" t="inlineStr">
        <is>
          <t>conserva sus temperaturas</t>
        </is>
      </c>
      <c r="E1823" s="16" t="inlineStr">
        <is>
          <t>KF-M05</t>
        </is>
      </c>
      <c r="F1823" s="16" t="inlineStr">
        <is>
          <t>KF-M05-1</t>
        </is>
      </c>
      <c r="G1823" s="16" t="inlineStr">
        <is>
          <t>B09-1</t>
        </is>
      </c>
      <c r="H1823" s="16" t="inlineStr">
        <is>
          <t>lhs</t>
        </is>
      </c>
      <c r="I1823" s="16" t="inlineStr">
        <is>
          <t>NO_CONVERGIO</t>
        </is>
      </c>
      <c r="J1823" s="16" t="inlineStr">
        <is>
          <t>NO_CONVERGIO</t>
        </is>
      </c>
      <c r="K1823" s="16" t="b">
        <v>0</v>
      </c>
      <c r="L1823" s="16" t="b">
        <v>0</v>
      </c>
      <c r="M1823" s="16" t="b">
        <v>0</v>
      </c>
      <c r="N1823" s="16" t="b">
        <v>0</v>
      </c>
      <c r="O1823" s="16" t="n">
        <v>623.15</v>
      </c>
      <c r="P1823" s="16" t="n">
        <v>300.032917</v>
      </c>
      <c r="Q1823" s="16" t="n">
        <v>3979.868505329629</v>
      </c>
      <c r="R1823" s="16" t="n">
        <v>278.5002588878004</v>
      </c>
      <c r="S1823" s="16" t="n">
        <v>0.619003377487865</v>
      </c>
      <c r="T1823" s="16" t="n">
        <v>0.7588258465532643</v>
      </c>
      <c r="U1823" s="16" t="n">
        <v>0.5118347702312425</v>
      </c>
      <c r="V1823" s="16" t="n">
        <v>0.8002977753146655</v>
      </c>
      <c r="W1823" s="16" t="n">
        <v>0.4830410593797299</v>
      </c>
      <c r="X1823" s="16" t="n">
        <v>0.716744212474673</v>
      </c>
      <c r="Y1823" s="16" t="n">
        <v>300.032917</v>
      </c>
      <c r="Z1823" s="16" t="n"/>
      <c r="AA1823" s="16" t="n"/>
      <c r="AB1823" s="16" t="n">
        <v>3701.368246441829</v>
      </c>
      <c r="AC1823" s="16" t="n">
        <v>14.2903583688696</v>
      </c>
      <c r="AD1823" s="16" t="n"/>
      <c r="AE1823" s="16" t="n"/>
    </row>
    <row r="1824">
      <c r="A1824" s="16" t="inlineStr">
        <is>
          <t>KF-M05-1-0102</t>
        </is>
      </c>
      <c r="B1824" s="16" t="inlineStr">
        <is>
          <t>4.1</t>
        </is>
      </c>
      <c r="C1824" s="16" t="inlineStr">
        <is>
          <t>4.1a</t>
        </is>
      </c>
      <c r="D1824" s="16" t="inlineStr">
        <is>
          <t>conserva sus temperaturas</t>
        </is>
      </c>
      <c r="E1824" s="16" t="inlineStr">
        <is>
          <t>KF-M05</t>
        </is>
      </c>
      <c r="F1824" s="16" t="inlineStr">
        <is>
          <t>KF-M05-1</t>
        </is>
      </c>
      <c r="G1824" s="16" t="inlineStr">
        <is>
          <t>B09-1</t>
        </is>
      </c>
      <c r="H1824" s="16" t="inlineStr">
        <is>
          <t>lhs</t>
        </is>
      </c>
      <c r="I1824" s="16" t="inlineStr">
        <is>
          <t>CORREGIBLE</t>
        </is>
      </c>
      <c r="J1824" s="16" t="inlineStr">
        <is>
          <t>CORREGIBLE</t>
        </is>
      </c>
      <c r="K1824" s="16" t="b">
        <v>1</v>
      </c>
      <c r="L1824" s="16" t="b">
        <v>0</v>
      </c>
      <c r="M1824" s="16" t="b">
        <v>1</v>
      </c>
      <c r="N1824" s="16" t="b">
        <v>0</v>
      </c>
      <c r="O1824" s="16" t="n">
        <v>623.15</v>
      </c>
      <c r="P1824" s="16" t="n">
        <v>300.032917</v>
      </c>
      <c r="Q1824" s="16" t="n">
        <v>4538.003152335392</v>
      </c>
      <c r="R1824" s="16" t="n">
        <v>1240.397483364132</v>
      </c>
      <c r="S1824" s="16" t="n">
        <v>0.7919845888243671</v>
      </c>
      <c r="T1824" s="16" t="n">
        <v>0.516736139679625</v>
      </c>
      <c r="U1824" s="16" t="n">
        <v>0.628973071103302</v>
      </c>
      <c r="V1824" s="16" t="n">
        <v>0.5733052844988666</v>
      </c>
      <c r="W1824" s="16" t="n">
        <v>0.4172210665927395</v>
      </c>
      <c r="X1824" s="16" t="n">
        <v>0.728305536082448</v>
      </c>
      <c r="Y1824" s="16" t="n">
        <v>300.032917</v>
      </c>
      <c r="Z1824" s="16" t="n">
        <v>3.53573500210549</v>
      </c>
      <c r="AA1824" s="16" t="n">
        <v>37.6577427817802</v>
      </c>
      <c r="AB1824" s="16" t="n">
        <v>3297.60566897126</v>
      </c>
      <c r="AC1824" s="16" t="n">
        <v>3.658507223045704</v>
      </c>
      <c r="AD1824" s="16" t="inlineStr">
        <is>
          <t>O2</t>
        </is>
      </c>
      <c r="AE1824" s="16" t="n"/>
    </row>
    <row r="1825">
      <c r="A1825" s="16" t="inlineStr">
        <is>
          <t>KF-M05-1-0103</t>
        </is>
      </c>
      <c r="B1825" s="16" t="inlineStr">
        <is>
          <t>4.1</t>
        </is>
      </c>
      <c r="C1825" s="16" t="inlineStr">
        <is>
          <t>4.1a</t>
        </is>
      </c>
      <c r="D1825" s="16" t="inlineStr">
        <is>
          <t>conserva sus temperaturas</t>
        </is>
      </c>
      <c r="E1825" s="16" t="inlineStr">
        <is>
          <t>KF-M05</t>
        </is>
      </c>
      <c r="F1825" s="16" t="inlineStr">
        <is>
          <t>KF-M05-1</t>
        </is>
      </c>
      <c r="G1825" s="16" t="inlineStr">
        <is>
          <t>B09-1</t>
        </is>
      </c>
      <c r="H1825" s="16" t="inlineStr">
        <is>
          <t>lhs</t>
        </is>
      </c>
      <c r="I1825" s="16" t="inlineStr">
        <is>
          <t>CORREGIBLE</t>
        </is>
      </c>
      <c r="J1825" s="16" t="inlineStr">
        <is>
          <t>CORREGIBLE</t>
        </is>
      </c>
      <c r="K1825" s="16" t="b">
        <v>1</v>
      </c>
      <c r="L1825" s="16" t="b">
        <v>0</v>
      </c>
      <c r="M1825" s="16" t="b">
        <v>1</v>
      </c>
      <c r="N1825" s="16" t="b">
        <v>0</v>
      </c>
      <c r="O1825" s="16" t="n">
        <v>623.15</v>
      </c>
      <c r="P1825" s="16" t="n">
        <v>300.032917</v>
      </c>
      <c r="Q1825" s="16" t="n">
        <v>4986.580958455284</v>
      </c>
      <c r="R1825" s="16" t="n">
        <v>1979.582914798991</v>
      </c>
      <c r="S1825" s="16" t="n">
        <v>0.8140516054799771</v>
      </c>
      <c r="T1825" s="16" t="n">
        <v>0.9228853107643452</v>
      </c>
      <c r="U1825" s="16" t="n">
        <v>0.4826836930036748</v>
      </c>
      <c r="V1825" s="16" t="n">
        <v>0.4707558153879304</v>
      </c>
      <c r="W1825" s="16" t="n">
        <v>0.7321498938997694</v>
      </c>
      <c r="X1825" s="16" t="n">
        <v>0.538702799939858</v>
      </c>
      <c r="Y1825" s="16" t="n">
        <v>300.032917</v>
      </c>
      <c r="Z1825" s="16" t="n">
        <v>2.75838295704803</v>
      </c>
      <c r="AA1825" s="16" t="n">
        <v>20.02671068775652</v>
      </c>
      <c r="AB1825" s="16" t="n">
        <v>3006.998043656294</v>
      </c>
      <c r="AC1825" s="16" t="n">
        <v>2.519005857838305</v>
      </c>
      <c r="AD1825" s="16" t="inlineStr">
        <is>
          <t>O2</t>
        </is>
      </c>
      <c r="AE1825" s="16" t="n"/>
    </row>
    <row r="1826">
      <c r="A1826" s="16" t="inlineStr">
        <is>
          <t>KF-M05-1-0104</t>
        </is>
      </c>
      <c r="B1826" s="16" t="inlineStr">
        <is>
          <t>4.1</t>
        </is>
      </c>
      <c r="C1826" s="16" t="inlineStr">
        <is>
          <t>4.1a</t>
        </is>
      </c>
      <c r="D1826" s="16" t="inlineStr">
        <is>
          <t>conserva sus temperaturas</t>
        </is>
      </c>
      <c r="E1826" s="16" t="inlineStr">
        <is>
          <t>KF-M05</t>
        </is>
      </c>
      <c r="F1826" s="16" t="inlineStr">
        <is>
          <t>KF-M05-1</t>
        </is>
      </c>
      <c r="G1826" s="16" t="inlineStr">
        <is>
          <t>B09-1</t>
        </is>
      </c>
      <c r="H1826" s="16" t="inlineStr">
        <is>
          <t>lhs</t>
        </is>
      </c>
      <c r="I1826" s="16" t="inlineStr">
        <is>
          <t>CORREGIBLE</t>
        </is>
      </c>
      <c r="J1826" s="16" t="inlineStr">
        <is>
          <t>CORREGIBLE</t>
        </is>
      </c>
      <c r="K1826" s="16" t="b">
        <v>1</v>
      </c>
      <c r="L1826" s="16" t="b">
        <v>0</v>
      </c>
      <c r="M1826" s="16" t="b">
        <v>1</v>
      </c>
      <c r="N1826" s="16" t="b">
        <v>0</v>
      </c>
      <c r="O1826" s="16" t="n">
        <v>623.15</v>
      </c>
      <c r="P1826" s="16" t="n">
        <v>300.032917</v>
      </c>
      <c r="Q1826" s="16" t="n">
        <v>3573.873734031946</v>
      </c>
      <c r="R1826" s="16" t="n">
        <v>1471.521552777993</v>
      </c>
      <c r="S1826" s="16" t="n">
        <v>0.5291990303507591</v>
      </c>
      <c r="T1826" s="16" t="n">
        <v>0.8631915590470596</v>
      </c>
      <c r="U1826" s="16" t="n">
        <v>0.8450413447658953</v>
      </c>
      <c r="V1826" s="16" t="n">
        <v>0.4839677500970735</v>
      </c>
      <c r="W1826" s="16" t="n">
        <v>0.7777883297256516</v>
      </c>
      <c r="X1826" s="16" t="n">
        <v>0.812100530365553</v>
      </c>
      <c r="Y1826" s="16" t="n">
        <v>300.032917</v>
      </c>
      <c r="Z1826" s="16" t="n">
        <v>7.065510829112339</v>
      </c>
      <c r="AA1826" s="16" t="n">
        <v>78.57322051222899</v>
      </c>
      <c r="AB1826" s="16" t="n">
        <v>2102.352181253953</v>
      </c>
      <c r="AC1826" s="16" t="n">
        <v>2.428692754982117</v>
      </c>
      <c r="AD1826" s="16" t="inlineStr">
        <is>
          <t>O2</t>
        </is>
      </c>
      <c r="AE1826" s="16" t="n"/>
    </row>
    <row r="1827">
      <c r="A1827" s="16" t="inlineStr">
        <is>
          <t>KF-M05-1-0105</t>
        </is>
      </c>
      <c r="B1827" s="16" t="inlineStr">
        <is>
          <t>4.1</t>
        </is>
      </c>
      <c r="C1827" s="16" t="inlineStr">
        <is>
          <t>4.1a</t>
        </is>
      </c>
      <c r="D1827" s="16" t="inlineStr">
        <is>
          <t>conserva sus temperaturas</t>
        </is>
      </c>
      <c r="E1827" s="16" t="inlineStr">
        <is>
          <t>KF-M05</t>
        </is>
      </c>
      <c r="F1827" s="16" t="inlineStr">
        <is>
          <t>KF-M05-1</t>
        </is>
      </c>
      <c r="G1827" s="16" t="inlineStr">
        <is>
          <t>B09-1</t>
        </is>
      </c>
      <c r="H1827" s="16" t="inlineStr">
        <is>
          <t>lhs</t>
        </is>
      </c>
      <c r="I1827" s="16" t="inlineStr">
        <is>
          <t>NO_CONVERGIO</t>
        </is>
      </c>
      <c r="J1827" s="16" t="inlineStr">
        <is>
          <t>NO_CONVERGIO</t>
        </is>
      </c>
      <c r="K1827" s="16" t="b">
        <v>0</v>
      </c>
      <c r="L1827" s="16" t="b">
        <v>0</v>
      </c>
      <c r="M1827" s="16" t="b">
        <v>0</v>
      </c>
      <c r="N1827" s="16" t="b">
        <v>0</v>
      </c>
      <c r="O1827" s="16" t="n">
        <v>623.15</v>
      </c>
      <c r="P1827" s="16" t="n">
        <v>300.032917</v>
      </c>
      <c r="Q1827" s="16" t="n">
        <v>3855.385770241006</v>
      </c>
      <c r="R1827" s="16" t="n">
        <v>1607.42579674106</v>
      </c>
      <c r="S1827" s="16" t="n">
        <v>0.7088781235431887</v>
      </c>
      <c r="T1827" s="16" t="n">
        <v>0.5909268508296872</v>
      </c>
      <c r="U1827" s="16" t="n">
        <v>0.9491900967856988</v>
      </c>
      <c r="V1827" s="16" t="n">
        <v>0.8307597590228122</v>
      </c>
      <c r="W1827" s="16" t="n">
        <v>0.6554426144775466</v>
      </c>
      <c r="X1827" s="16" t="n">
        <v>0.4344788397709594</v>
      </c>
      <c r="Y1827" s="16" t="n">
        <v>300.032917</v>
      </c>
      <c r="Z1827" s="16" t="n"/>
      <c r="AA1827" s="16" t="n"/>
      <c r="AB1827" s="16" t="n">
        <v>2247.959973499946</v>
      </c>
      <c r="AC1827" s="16" t="n">
        <v>2.398484445165384</v>
      </c>
      <c r="AD1827" s="16" t="n"/>
      <c r="AE1827" s="16" t="n"/>
    </row>
    <row r="1828">
      <c r="A1828" s="16" t="inlineStr">
        <is>
          <t>KF-M05-1-0106</t>
        </is>
      </c>
      <c r="B1828" s="16" t="inlineStr">
        <is>
          <t>4.1</t>
        </is>
      </c>
      <c r="C1828" s="16" t="inlineStr">
        <is>
          <t>4.1a</t>
        </is>
      </c>
      <c r="D1828" s="16" t="inlineStr">
        <is>
          <t>conserva sus temperaturas</t>
        </is>
      </c>
      <c r="E1828" s="16" t="inlineStr">
        <is>
          <t>KF-M05</t>
        </is>
      </c>
      <c r="F1828" s="16" t="inlineStr">
        <is>
          <t>KF-M05-1</t>
        </is>
      </c>
      <c r="G1828" s="16" t="inlineStr">
        <is>
          <t>B09-1</t>
        </is>
      </c>
      <c r="H1828" s="16" t="inlineStr">
        <is>
          <t>lhs</t>
        </is>
      </c>
      <c r="I1828" s="16" t="inlineStr">
        <is>
          <t>NO_CONVERGIO</t>
        </is>
      </c>
      <c r="J1828" s="16" t="inlineStr">
        <is>
          <t>NO_CONVERGIO</t>
        </is>
      </c>
      <c r="K1828" s="16" t="b">
        <v>0</v>
      </c>
      <c r="L1828" s="16" t="b">
        <v>0</v>
      </c>
      <c r="M1828" s="16" t="b">
        <v>0</v>
      </c>
      <c r="N1828" s="16" t="b">
        <v>0</v>
      </c>
      <c r="O1828" s="16" t="n">
        <v>623.15</v>
      </c>
      <c r="P1828" s="16" t="n">
        <v>300.032917</v>
      </c>
      <c r="Q1828" s="16" t="n">
        <v>2460.910170068099</v>
      </c>
      <c r="R1828" s="16" t="n">
        <v>843.6007644314973</v>
      </c>
      <c r="S1828" s="16" t="n">
        <v>0.6644964331998737</v>
      </c>
      <c r="T1828" s="16" t="n">
        <v>0.9074010949872534</v>
      </c>
      <c r="U1828" s="16" t="n">
        <v>0.4530009930914048</v>
      </c>
      <c r="V1828" s="16" t="n">
        <v>0.9398186565450316</v>
      </c>
      <c r="W1828" s="16" t="n">
        <v>0.5697934625052368</v>
      </c>
      <c r="X1828" s="16" t="n">
        <v>0.4772807230705119</v>
      </c>
      <c r="Y1828" s="16" t="n">
        <v>300.032917</v>
      </c>
      <c r="Z1828" s="16" t="n"/>
      <c r="AA1828" s="16" t="n"/>
      <c r="AB1828" s="16" t="n">
        <v>1617.309405636602</v>
      </c>
      <c r="AC1828" s="16" t="n">
        <v>2.917150237205519</v>
      </c>
      <c r="AD1828" s="16" t="n"/>
      <c r="AE1828" s="16" t="n"/>
    </row>
    <row r="1829">
      <c r="A1829" s="16" t="inlineStr">
        <is>
          <t>KF-M05-1-0107</t>
        </is>
      </c>
      <c r="B1829" s="16" t="inlineStr">
        <is>
          <t>4.1</t>
        </is>
      </c>
      <c r="C1829" s="16" t="inlineStr">
        <is>
          <t>4.1a</t>
        </is>
      </c>
      <c r="D1829" s="16" t="inlineStr">
        <is>
          <t>conserva sus temperaturas</t>
        </is>
      </c>
      <c r="E1829" s="16" t="inlineStr">
        <is>
          <t>KF-M05</t>
        </is>
      </c>
      <c r="F1829" s="16" t="inlineStr">
        <is>
          <t>KF-M05-1</t>
        </is>
      </c>
      <c r="G1829" s="16" t="inlineStr">
        <is>
          <t>B09-1</t>
        </is>
      </c>
      <c r="H1829" s="16" t="inlineStr">
        <is>
          <t>lhs</t>
        </is>
      </c>
      <c r="I1829" s="16" t="inlineStr">
        <is>
          <t>CORREGIBLE</t>
        </is>
      </c>
      <c r="J1829" s="16" t="inlineStr">
        <is>
          <t>CORREGIBLE</t>
        </is>
      </c>
      <c r="K1829" s="16" t="b">
        <v>1</v>
      </c>
      <c r="L1829" s="16" t="b">
        <v>0</v>
      </c>
      <c r="M1829" s="16" t="b">
        <v>1</v>
      </c>
      <c r="N1829" s="16" t="b">
        <v>0</v>
      </c>
      <c r="O1829" s="16" t="n">
        <v>623.15</v>
      </c>
      <c r="P1829" s="16" t="n">
        <v>300.032917</v>
      </c>
      <c r="Q1829" s="16" t="n">
        <v>4484.321700982626</v>
      </c>
      <c r="R1829" s="16" t="n">
        <v>1543.290566990481</v>
      </c>
      <c r="S1829" s="16" t="n">
        <v>0.7801070052020058</v>
      </c>
      <c r="T1829" s="16" t="n">
        <v>0.8860437009198241</v>
      </c>
      <c r="U1829" s="16" t="n">
        <v>0.8204244227802791</v>
      </c>
      <c r="V1829" s="16" t="n">
        <v>0.4241629936737692</v>
      </c>
      <c r="W1829" s="16" t="n">
        <v>0.7368799227915461</v>
      </c>
      <c r="X1829" s="16" t="n">
        <v>0.4133407479077991</v>
      </c>
      <c r="Y1829" s="16" t="n">
        <v>300.032917</v>
      </c>
      <c r="Z1829" s="16" t="n">
        <v>5.49539790765795</v>
      </c>
      <c r="AA1829" s="16" t="n">
        <v>32.81073727961814</v>
      </c>
      <c r="AB1829" s="16" t="n">
        <v>2941.031133992145</v>
      </c>
      <c r="AC1829" s="16" t="n">
        <v>2.905688531309663</v>
      </c>
      <c r="AD1829" s="16" t="inlineStr">
        <is>
          <t>O2</t>
        </is>
      </c>
      <c r="AE1829" s="16" t="n"/>
    </row>
    <row r="1830">
      <c r="A1830" s="16" t="inlineStr">
        <is>
          <t>KF-M05-1-0108</t>
        </is>
      </c>
      <c r="B1830" s="16" t="inlineStr">
        <is>
          <t>4.1</t>
        </is>
      </c>
      <c r="C1830" s="16" t="inlineStr">
        <is>
          <t>4.1a</t>
        </is>
      </c>
      <c r="D1830" s="16" t="inlineStr">
        <is>
          <t>conserva sus temperaturas</t>
        </is>
      </c>
      <c r="E1830" s="16" t="inlineStr">
        <is>
          <t>KF-M05</t>
        </is>
      </c>
      <c r="F1830" s="16" t="inlineStr">
        <is>
          <t>KF-M05-1</t>
        </is>
      </c>
      <c r="G1830" s="16" t="inlineStr">
        <is>
          <t>B09-1</t>
        </is>
      </c>
      <c r="H1830" s="16" t="inlineStr">
        <is>
          <t>lhs</t>
        </is>
      </c>
      <c r="I1830" s="16" t="inlineStr">
        <is>
          <t>KALINA</t>
        </is>
      </c>
      <c r="J1830" s="16" t="inlineStr">
        <is>
          <t>KALINA</t>
        </is>
      </c>
      <c r="K1830" s="16" t="b">
        <v>1</v>
      </c>
      <c r="L1830" s="16" t="b">
        <v>0</v>
      </c>
      <c r="M1830" s="16" t="b">
        <v>1</v>
      </c>
      <c r="N1830" s="16" t="b">
        <v>0</v>
      </c>
      <c r="O1830" s="16" t="n">
        <v>623.15</v>
      </c>
      <c r="P1830" s="16" t="n">
        <v>300.032917</v>
      </c>
      <c r="Q1830" s="16" t="n">
        <v>4719.67738905344</v>
      </c>
      <c r="R1830" s="16" t="n">
        <v>1879.350696110967</v>
      </c>
      <c r="S1830" s="16" t="n">
        <v>0.6015343145944214</v>
      </c>
      <c r="T1830" s="16" t="n">
        <v>0.7826696121312737</v>
      </c>
      <c r="U1830" s="16" t="n">
        <v>0.770108913683618</v>
      </c>
      <c r="V1830" s="16" t="n">
        <v>0.5205883637420657</v>
      </c>
      <c r="W1830" s="16" t="n">
        <v>0.810574888504293</v>
      </c>
      <c r="X1830" s="16" t="n">
        <v>0.9172133247726282</v>
      </c>
      <c r="Y1830" s="16" t="n">
        <v>300.032917</v>
      </c>
      <c r="Z1830" s="16" t="n">
        <v>6.321347346193649</v>
      </c>
      <c r="AA1830" s="16" t="n">
        <v>75.36761581277759</v>
      </c>
      <c r="AB1830" s="16" t="n">
        <v>2840.326692942473</v>
      </c>
      <c r="AC1830" s="16" t="n">
        <v>2.511334046817393</v>
      </c>
      <c r="AD1830" s="16" t="n"/>
      <c r="AE1830" s="16" t="n"/>
    </row>
    <row r="1831">
      <c r="A1831" s="16" t="inlineStr">
        <is>
          <t>KF-M05-1-0109</t>
        </is>
      </c>
      <c r="B1831" s="16" t="inlineStr">
        <is>
          <t>4.1</t>
        </is>
      </c>
      <c r="C1831" s="16" t="inlineStr">
        <is>
          <t>4.1a</t>
        </is>
      </c>
      <c r="D1831" s="16" t="inlineStr">
        <is>
          <t>conserva sus temperaturas</t>
        </is>
      </c>
      <c r="E1831" s="16" t="inlineStr">
        <is>
          <t>KF-M05</t>
        </is>
      </c>
      <c r="F1831" s="16" t="inlineStr">
        <is>
          <t>KF-M05-1</t>
        </is>
      </c>
      <c r="G1831" s="16" t="inlineStr">
        <is>
          <t>B09-1</t>
        </is>
      </c>
      <c r="H1831" s="16" t="inlineStr">
        <is>
          <t>lhs</t>
        </is>
      </c>
      <c r="I1831" s="16" t="inlineStr">
        <is>
          <t>OMITIDO</t>
        </is>
      </c>
      <c r="J1831" s="16" t="n"/>
      <c r="K1831" s="16" t="b">
        <v>0</v>
      </c>
      <c r="L1831" s="16" t="b">
        <v>0</v>
      </c>
      <c r="M1831" s="16" t="n"/>
      <c r="N1831" s="16" t="b">
        <v>1</v>
      </c>
      <c r="O1831" s="16" t="n">
        <v>623.15</v>
      </c>
      <c r="P1831" s="16" t="n">
        <v>300.032917</v>
      </c>
      <c r="Q1831" s="16" t="n">
        <v>2000.113362025413</v>
      </c>
      <c r="R1831" s="16" t="n">
        <v>1820.978076553552</v>
      </c>
      <c r="S1831" s="16" t="n">
        <v>0.5473446821170552</v>
      </c>
      <c r="T1831" s="16" t="n">
        <v>0.903241143886847</v>
      </c>
      <c r="U1831" s="16" t="n">
        <v>0.8075182387695834</v>
      </c>
      <c r="V1831" s="16" t="n">
        <v>0.7955489803760246</v>
      </c>
      <c r="W1831" s="16" t="n">
        <v>0.4917896495461364</v>
      </c>
      <c r="X1831" s="16" t="n">
        <v>0.7720765213008129</v>
      </c>
      <c r="Y1831" s="16" t="n"/>
      <c r="Z1831" s="16" t="n"/>
      <c r="AA1831" s="16" t="n"/>
      <c r="AB1831" s="16" t="n">
        <v>179.1352854718614</v>
      </c>
      <c r="AC1831" s="16" t="n">
        <v>1.098373114854243</v>
      </c>
      <c r="AD1831" s="16" t="n"/>
      <c r="AE1831" s="16" t="n"/>
    </row>
    <row r="1832">
      <c r="A1832" s="16" t="inlineStr">
        <is>
          <t>KF-M05-1-0110</t>
        </is>
      </c>
      <c r="B1832" s="16" t="inlineStr">
        <is>
          <t>4.1</t>
        </is>
      </c>
      <c r="C1832" s="16" t="inlineStr">
        <is>
          <t>4.1a</t>
        </is>
      </c>
      <c r="D1832" s="16" t="inlineStr">
        <is>
          <t>conserva sus temperaturas</t>
        </is>
      </c>
      <c r="E1832" s="16" t="inlineStr">
        <is>
          <t>KF-M05</t>
        </is>
      </c>
      <c r="F1832" s="16" t="inlineStr">
        <is>
          <t>KF-M05-1</t>
        </is>
      </c>
      <c r="G1832" s="16" t="inlineStr">
        <is>
          <t>B09-1</t>
        </is>
      </c>
      <c r="H1832" s="16" t="inlineStr">
        <is>
          <t>lhs</t>
        </is>
      </c>
      <c r="I1832" s="16" t="inlineStr">
        <is>
          <t>INVIABLE</t>
        </is>
      </c>
      <c r="J1832" s="16" t="inlineStr">
        <is>
          <t>INVIABLE</t>
        </is>
      </c>
      <c r="K1832" s="16" t="b">
        <v>1</v>
      </c>
      <c r="L1832" s="16" t="b">
        <v>0</v>
      </c>
      <c r="M1832" s="16" t="b">
        <v>1</v>
      </c>
      <c r="N1832" s="16" t="b">
        <v>0</v>
      </c>
      <c r="O1832" s="16" t="n">
        <v>623.15</v>
      </c>
      <c r="P1832" s="16" t="n">
        <v>300.032917</v>
      </c>
      <c r="Q1832" s="16" t="n">
        <v>2841.657147853647</v>
      </c>
      <c r="R1832" s="16" t="n">
        <v>1989.716921792282</v>
      </c>
      <c r="S1832" s="16" t="n">
        <v>0.5564741973405101</v>
      </c>
      <c r="T1832" s="16" t="n">
        <v>0.7380590654656141</v>
      </c>
      <c r="U1832" s="16" t="n">
        <v>0.617125702736429</v>
      </c>
      <c r="V1832" s="16" t="n">
        <v>0.433082888609395</v>
      </c>
      <c r="W1832" s="16" t="n">
        <v>0.7161858409614931</v>
      </c>
      <c r="X1832" s="16" t="n">
        <v>0.400867731502618</v>
      </c>
      <c r="Y1832" s="16" t="n">
        <v>300.032917</v>
      </c>
      <c r="Z1832" s="16" t="n">
        <v>-0.8432372974773999</v>
      </c>
      <c r="AA1832" s="16" t="n">
        <v>-5.755743455593525</v>
      </c>
      <c r="AB1832" s="16" t="n">
        <v>851.9402260613647</v>
      </c>
      <c r="AC1832" s="16" t="n">
        <v>1.428171573921159</v>
      </c>
      <c r="AD1832" s="16" t="inlineStr">
        <is>
          <t>O2,O3</t>
        </is>
      </c>
      <c r="AE1832" s="16" t="n"/>
    </row>
    <row r="1833">
      <c r="A1833" s="16" t="inlineStr">
        <is>
          <t>KF-M05-1-0111</t>
        </is>
      </c>
      <c r="B1833" s="16" t="inlineStr">
        <is>
          <t>4.1</t>
        </is>
      </c>
      <c r="C1833" s="16" t="inlineStr">
        <is>
          <t>4.1a</t>
        </is>
      </c>
      <c r="D1833" s="16" t="inlineStr">
        <is>
          <t>conserva sus temperaturas</t>
        </is>
      </c>
      <c r="E1833" s="16" t="inlineStr">
        <is>
          <t>KF-M05</t>
        </is>
      </c>
      <c r="F1833" s="16" t="inlineStr">
        <is>
          <t>KF-M05-1</t>
        </is>
      </c>
      <c r="G1833" s="16" t="inlineStr">
        <is>
          <t>B09-1</t>
        </is>
      </c>
      <c r="H1833" s="16" t="inlineStr">
        <is>
          <t>lhs</t>
        </is>
      </c>
      <c r="I1833" s="16" t="inlineStr">
        <is>
          <t>CORREGIBLE</t>
        </is>
      </c>
      <c r="J1833" s="16" t="inlineStr">
        <is>
          <t>CORREGIBLE</t>
        </is>
      </c>
      <c r="K1833" s="16" t="b">
        <v>1</v>
      </c>
      <c r="L1833" s="16" t="b">
        <v>0</v>
      </c>
      <c r="M1833" s="16" t="b">
        <v>0</v>
      </c>
      <c r="N1833" s="16" t="b">
        <v>0</v>
      </c>
      <c r="O1833" s="16" t="n">
        <v>623.15</v>
      </c>
      <c r="P1833" s="16" t="n">
        <v>300.032917</v>
      </c>
      <c r="Q1833" s="16" t="n">
        <v>3136.906464086939</v>
      </c>
      <c r="R1833" s="16" t="n">
        <v>1720.241460276859</v>
      </c>
      <c r="S1833" s="16" t="n">
        <v>0.7346334113104154</v>
      </c>
      <c r="T1833" s="16" t="n">
        <v>0.6064358543004604</v>
      </c>
      <c r="U1833" s="16" t="n">
        <v>0.8530842518847758</v>
      </c>
      <c r="V1833" s="16" t="n">
        <v>0.4740988958219854</v>
      </c>
      <c r="W1833" s="16" t="n">
        <v>0.6394948179659936</v>
      </c>
      <c r="X1833" s="16" t="n">
        <v>0.8332524162251944</v>
      </c>
      <c r="Y1833" s="16" t="n">
        <v>300.032917</v>
      </c>
      <c r="Z1833" s="16" t="n">
        <v>3.82957257249061</v>
      </c>
      <c r="AA1833" s="16" t="n">
        <v>39.09500826039459</v>
      </c>
      <c r="AB1833" s="16" t="n">
        <v>1416.66500381008</v>
      </c>
      <c r="AC1833" s="16" t="n">
        <v>1.823526834181801</v>
      </c>
      <c r="AD1833" s="16" t="inlineStr">
        <is>
          <t>O2</t>
        </is>
      </c>
      <c r="AE1833" s="16" t="n"/>
    </row>
    <row r="1834">
      <c r="A1834" s="16" t="inlineStr">
        <is>
          <t>KF-M05-1-0112</t>
        </is>
      </c>
      <c r="B1834" s="16" t="inlineStr">
        <is>
          <t>4.1</t>
        </is>
      </c>
      <c r="C1834" s="16" t="inlineStr">
        <is>
          <t>4.1a</t>
        </is>
      </c>
      <c r="D1834" s="16" t="inlineStr">
        <is>
          <t>conserva sus temperaturas</t>
        </is>
      </c>
      <c r="E1834" s="16" t="inlineStr">
        <is>
          <t>KF-M05</t>
        </is>
      </c>
      <c r="F1834" s="16" t="inlineStr">
        <is>
          <t>KF-M05-1</t>
        </is>
      </c>
      <c r="G1834" s="16" t="inlineStr">
        <is>
          <t>B09-1</t>
        </is>
      </c>
      <c r="H1834" s="16" t="inlineStr">
        <is>
          <t>lhs</t>
        </is>
      </c>
      <c r="I1834" s="16" t="inlineStr">
        <is>
          <t>CORREGIBLE</t>
        </is>
      </c>
      <c r="J1834" s="16" t="inlineStr">
        <is>
          <t>CORREGIBLE</t>
        </is>
      </c>
      <c r="K1834" s="16" t="b">
        <v>1</v>
      </c>
      <c r="L1834" s="16" t="b">
        <v>0</v>
      </c>
      <c r="M1834" s="16" t="b">
        <v>1</v>
      </c>
      <c r="N1834" s="16" t="b">
        <v>0</v>
      </c>
      <c r="O1834" s="16" t="n">
        <v>623.15</v>
      </c>
      <c r="P1834" s="16" t="n">
        <v>300.032917</v>
      </c>
      <c r="Q1834" s="16" t="n">
        <v>3625.874049218253</v>
      </c>
      <c r="R1834" s="16" t="n">
        <v>1517.034702042947</v>
      </c>
      <c r="S1834" s="16" t="n">
        <v>0.6872312699823124</v>
      </c>
      <c r="T1834" s="16" t="n">
        <v>0.5502001580134841</v>
      </c>
      <c r="U1834" s="16" t="n">
        <v>0.6129574272680738</v>
      </c>
      <c r="V1834" s="16" t="n">
        <v>0.5108402458100145</v>
      </c>
      <c r="W1834" s="16" t="n">
        <v>0.7706059795586067</v>
      </c>
      <c r="X1834" s="16" t="n">
        <v>0.7974278774623235</v>
      </c>
      <c r="Y1834" s="16" t="n">
        <v>300.032917</v>
      </c>
      <c r="Z1834" s="16" t="n">
        <v>4.31338791564694</v>
      </c>
      <c r="AA1834" s="16" t="n">
        <v>46.85926561384324</v>
      </c>
      <c r="AB1834" s="16" t="n">
        <v>2108.839347175306</v>
      </c>
      <c r="AC1834" s="16" t="n">
        <v>2.390106201483324</v>
      </c>
      <c r="AD1834" s="16" t="inlineStr">
        <is>
          <t>O2</t>
        </is>
      </c>
      <c r="AE1834" s="16" t="n"/>
    </row>
    <row r="1835">
      <c r="A1835" s="16" t="inlineStr">
        <is>
          <t>KF-M05-1-0113</t>
        </is>
      </c>
      <c r="B1835" s="16" t="inlineStr">
        <is>
          <t>4.1</t>
        </is>
      </c>
      <c r="C1835" s="16" t="inlineStr">
        <is>
          <t>4.1a</t>
        </is>
      </c>
      <c r="D1835" s="16" t="inlineStr">
        <is>
          <t>conserva sus temperaturas</t>
        </is>
      </c>
      <c r="E1835" s="16" t="inlineStr">
        <is>
          <t>KF-M05</t>
        </is>
      </c>
      <c r="F1835" s="16" t="inlineStr">
        <is>
          <t>KF-M05-1</t>
        </is>
      </c>
      <c r="G1835" s="16" t="inlineStr">
        <is>
          <t>B09-1</t>
        </is>
      </c>
      <c r="H1835" s="16" t="inlineStr">
        <is>
          <t>lhs</t>
        </is>
      </c>
      <c r="I1835" s="16" t="inlineStr">
        <is>
          <t>CORREGIBLE</t>
        </is>
      </c>
      <c r="J1835" s="16" t="inlineStr">
        <is>
          <t>CORREGIBLE</t>
        </is>
      </c>
      <c r="K1835" s="16" t="b">
        <v>1</v>
      </c>
      <c r="L1835" s="16" t="b">
        <v>0</v>
      </c>
      <c r="M1835" s="16" t="b">
        <v>1</v>
      </c>
      <c r="N1835" s="16" t="b">
        <v>0</v>
      </c>
      <c r="O1835" s="16" t="n">
        <v>623.15</v>
      </c>
      <c r="P1835" s="16" t="n">
        <v>300.032917</v>
      </c>
      <c r="Q1835" s="16" t="n">
        <v>2944.813164884155</v>
      </c>
      <c r="R1835" s="16" t="n">
        <v>524.9876255653581</v>
      </c>
      <c r="S1835" s="16" t="n">
        <v>0.5705873630900677</v>
      </c>
      <c r="T1835" s="16" t="n">
        <v>0.6316135140183883</v>
      </c>
      <c r="U1835" s="16" t="n">
        <v>0.5191496873094731</v>
      </c>
      <c r="V1835" s="16" t="n">
        <v>0.668334089771544</v>
      </c>
      <c r="W1835" s="16" t="n">
        <v>0.5657685368207872</v>
      </c>
      <c r="X1835" s="16" t="n">
        <v>0.8651101791987376</v>
      </c>
      <c r="Y1835" s="16" t="n">
        <v>300.032917</v>
      </c>
      <c r="Z1835" s="16" t="n">
        <v>8.01778920615541</v>
      </c>
      <c r="AA1835" s="16" t="n">
        <v>126.0946611813861</v>
      </c>
      <c r="AB1835" s="16" t="n">
        <v>2419.825539318797</v>
      </c>
      <c r="AC1835" s="16" t="n">
        <v>5.609300146289909</v>
      </c>
      <c r="AD1835" s="16" t="inlineStr">
        <is>
          <t>O2</t>
        </is>
      </c>
      <c r="AE1835" s="16" t="n"/>
    </row>
    <row r="1836">
      <c r="A1836" s="16" t="inlineStr">
        <is>
          <t>KF-M05-1-0114</t>
        </is>
      </c>
      <c r="B1836" s="16" t="inlineStr">
        <is>
          <t>4.1</t>
        </is>
      </c>
      <c r="C1836" s="16" t="inlineStr">
        <is>
          <t>4.1a</t>
        </is>
      </c>
      <c r="D1836" s="16" t="inlineStr">
        <is>
          <t>conserva sus temperaturas</t>
        </is>
      </c>
      <c r="E1836" s="16" t="inlineStr">
        <is>
          <t>KF-M05</t>
        </is>
      </c>
      <c r="F1836" s="16" t="inlineStr">
        <is>
          <t>KF-M05-1</t>
        </is>
      </c>
      <c r="G1836" s="16" t="inlineStr">
        <is>
          <t>B09-1</t>
        </is>
      </c>
      <c r="H1836" s="16" t="inlineStr">
        <is>
          <t>lhs</t>
        </is>
      </c>
      <c r="I1836" s="16" t="inlineStr">
        <is>
          <t>CORREGIBLE</t>
        </is>
      </c>
      <c r="J1836" s="16" t="inlineStr">
        <is>
          <t>CORREGIBLE</t>
        </is>
      </c>
      <c r="K1836" s="16" t="b">
        <v>1</v>
      </c>
      <c r="L1836" s="16" t="b">
        <v>0</v>
      </c>
      <c r="M1836" s="16" t="b">
        <v>0</v>
      </c>
      <c r="N1836" s="16" t="b">
        <v>0</v>
      </c>
      <c r="O1836" s="16" t="n">
        <v>623.15</v>
      </c>
      <c r="P1836" s="16" t="n">
        <v>300.032917</v>
      </c>
      <c r="Q1836" s="16" t="n">
        <v>2398.19249006572</v>
      </c>
      <c r="R1836" s="16" t="n">
        <v>724.9278843978069</v>
      </c>
      <c r="S1836" s="16" t="n">
        <v>0.7310475141159732</v>
      </c>
      <c r="T1836" s="16" t="n">
        <v>0.6495292656446916</v>
      </c>
      <c r="U1836" s="16" t="n">
        <v>0.6104715279326428</v>
      </c>
      <c r="V1836" s="16" t="n">
        <v>0.4945431997057694</v>
      </c>
      <c r="W1836" s="16" t="n">
        <v>0.6263788827592641</v>
      </c>
      <c r="X1836" s="16" t="n">
        <v>0.7153580207503639</v>
      </c>
      <c r="Y1836" s="16" t="n">
        <v>300.032917</v>
      </c>
      <c r="Z1836" s="16" t="n">
        <v>2.78884759898089</v>
      </c>
      <c r="AA1836" s="16" t="n">
        <v>26.17809402766218</v>
      </c>
      <c r="AB1836" s="16" t="n">
        <v>1673.264605667913</v>
      </c>
      <c r="AC1836" s="16" t="n">
        <v>3.308180774502671</v>
      </c>
      <c r="AD1836" s="16" t="inlineStr">
        <is>
          <t>O2</t>
        </is>
      </c>
      <c r="AE1836" s="16" t="n"/>
    </row>
    <row r="1837">
      <c r="A1837" s="16" t="inlineStr">
        <is>
          <t>KF-M05-1-0115</t>
        </is>
      </c>
      <c r="B1837" s="16" t="inlineStr">
        <is>
          <t>4.1</t>
        </is>
      </c>
      <c r="C1837" s="16" t="inlineStr">
        <is>
          <t>4.1a</t>
        </is>
      </c>
      <c r="D1837" s="16" t="inlineStr">
        <is>
          <t>conserva sus temperaturas</t>
        </is>
      </c>
      <c r="E1837" s="16" t="inlineStr">
        <is>
          <t>KF-M05</t>
        </is>
      </c>
      <c r="F1837" s="16" t="inlineStr">
        <is>
          <t>KF-M05-1</t>
        </is>
      </c>
      <c r="G1837" s="16" t="inlineStr">
        <is>
          <t>B09-1</t>
        </is>
      </c>
      <c r="H1837" s="16" t="inlineStr">
        <is>
          <t>lhs</t>
        </is>
      </c>
      <c r="I1837" s="16" t="inlineStr">
        <is>
          <t>NO_CONVERGIO</t>
        </is>
      </c>
      <c r="J1837" s="16" t="inlineStr">
        <is>
          <t>NO_CONVERGIO</t>
        </is>
      </c>
      <c r="K1837" s="16" t="b">
        <v>0</v>
      </c>
      <c r="L1837" s="16" t="b">
        <v>0</v>
      </c>
      <c r="M1837" s="16" t="b">
        <v>0</v>
      </c>
      <c r="N1837" s="16" t="b">
        <v>0</v>
      </c>
      <c r="O1837" s="16" t="n">
        <v>623.15</v>
      </c>
      <c r="P1837" s="16" t="n">
        <v>300.032917</v>
      </c>
      <c r="Q1837" s="16" t="n">
        <v>3297.328361192079</v>
      </c>
      <c r="R1837" s="16" t="n">
        <v>359.4088057948487</v>
      </c>
      <c r="S1837" s="16" t="n">
        <v>0.7560751034753432</v>
      </c>
      <c r="T1837" s="16" t="n">
        <v>0.4818948768176785</v>
      </c>
      <c r="U1837" s="16" t="n">
        <v>0.5413341200942952</v>
      </c>
      <c r="V1837" s="16" t="n">
        <v>0.7737987262394036</v>
      </c>
      <c r="W1837" s="16" t="n">
        <v>0.8193685452313657</v>
      </c>
      <c r="X1837" s="16" t="n">
        <v>0.6160137380695233</v>
      </c>
      <c r="Y1837" s="16" t="n">
        <v>300.032917</v>
      </c>
      <c r="Z1837" s="16" t="n"/>
      <c r="AA1837" s="16" t="n"/>
      <c r="AB1837" s="16" t="n">
        <v>2937.91955539723</v>
      </c>
      <c r="AC1837" s="16" t="n">
        <v>9.174311558393484</v>
      </c>
      <c r="AD1837" s="16" t="n"/>
      <c r="AE1837" s="16" t="n"/>
    </row>
    <row r="1838">
      <c r="A1838" s="16" t="inlineStr">
        <is>
          <t>KF-M05-1-0116</t>
        </is>
      </c>
      <c r="B1838" s="16" t="inlineStr">
        <is>
          <t>4.1</t>
        </is>
      </c>
      <c r="C1838" s="16" t="inlineStr">
        <is>
          <t>4.1a</t>
        </is>
      </c>
      <c r="D1838" s="16" t="inlineStr">
        <is>
          <t>conserva sus temperaturas</t>
        </is>
      </c>
      <c r="E1838" s="16" t="inlineStr">
        <is>
          <t>KF-M05</t>
        </is>
      </c>
      <c r="F1838" s="16" t="inlineStr">
        <is>
          <t>KF-M05-1</t>
        </is>
      </c>
      <c r="G1838" s="16" t="inlineStr">
        <is>
          <t>B09-1</t>
        </is>
      </c>
      <c r="H1838" s="16" t="inlineStr">
        <is>
          <t>lhs</t>
        </is>
      </c>
      <c r="I1838" s="16" t="inlineStr">
        <is>
          <t>CORREGIBLE</t>
        </is>
      </c>
      <c r="J1838" s="16" t="inlineStr">
        <is>
          <t>CORREGIBLE</t>
        </is>
      </c>
      <c r="K1838" s="16" t="b">
        <v>1</v>
      </c>
      <c r="L1838" s="16" t="b">
        <v>0</v>
      </c>
      <c r="M1838" s="16" t="b">
        <v>1</v>
      </c>
      <c r="N1838" s="16" t="b">
        <v>0</v>
      </c>
      <c r="O1838" s="16" t="n">
        <v>623.15</v>
      </c>
      <c r="P1838" s="16" t="n">
        <v>300.032917</v>
      </c>
      <c r="Q1838" s="16" t="n">
        <v>3376.253966692884</v>
      </c>
      <c r="R1838" s="16" t="n">
        <v>1761.009657813463</v>
      </c>
      <c r="S1838" s="16" t="n">
        <v>0.5606829444150494</v>
      </c>
      <c r="T1838" s="16" t="n">
        <v>0.8484578338432576</v>
      </c>
      <c r="U1838" s="16" t="n">
        <v>0.8904298543088356</v>
      </c>
      <c r="V1838" s="16" t="n">
        <v>0.7453499732555359</v>
      </c>
      <c r="W1838" s="16" t="n">
        <v>0.5929526660572924</v>
      </c>
      <c r="X1838" s="16" t="n">
        <v>0.7836792462284997</v>
      </c>
      <c r="Y1838" s="16" t="n">
        <v>300.032917</v>
      </c>
      <c r="Z1838" s="16" t="n">
        <v>5.13441073763447</v>
      </c>
      <c r="AA1838" s="16" t="n">
        <v>84.33642228644116</v>
      </c>
      <c r="AB1838" s="16" t="n">
        <v>1615.244308879421</v>
      </c>
      <c r="AC1838" s="16" t="n">
        <v>1.917226263758809</v>
      </c>
      <c r="AD1838" s="16" t="inlineStr">
        <is>
          <t>O2</t>
        </is>
      </c>
      <c r="AE1838" s="16" t="n"/>
    </row>
    <row r="1839">
      <c r="A1839" s="16" t="inlineStr">
        <is>
          <t>KF-M05-1-0117</t>
        </is>
      </c>
      <c r="B1839" s="16" t="inlineStr">
        <is>
          <t>4.1</t>
        </is>
      </c>
      <c r="C1839" s="16" t="inlineStr">
        <is>
          <t>4.1a</t>
        </is>
      </c>
      <c r="D1839" s="16" t="inlineStr">
        <is>
          <t>conserva sus temperaturas</t>
        </is>
      </c>
      <c r="E1839" s="16" t="inlineStr">
        <is>
          <t>KF-M05</t>
        </is>
      </c>
      <c r="F1839" s="16" t="inlineStr">
        <is>
          <t>KF-M05-1</t>
        </is>
      </c>
      <c r="G1839" s="16" t="inlineStr">
        <is>
          <t>B09-1</t>
        </is>
      </c>
      <c r="H1839" s="16" t="inlineStr">
        <is>
          <t>lhs</t>
        </is>
      </c>
      <c r="I1839" s="16" t="inlineStr">
        <is>
          <t>CORREGIBLE</t>
        </is>
      </c>
      <c r="J1839" s="16" t="inlineStr">
        <is>
          <t>CORREGIBLE</t>
        </is>
      </c>
      <c r="K1839" s="16" t="b">
        <v>1</v>
      </c>
      <c r="L1839" s="16" t="b">
        <v>0</v>
      </c>
      <c r="M1839" s="16" t="b">
        <v>1</v>
      </c>
      <c r="N1839" s="16" t="b">
        <v>0</v>
      </c>
      <c r="O1839" s="16" t="n">
        <v>623.15</v>
      </c>
      <c r="P1839" s="16" t="n">
        <v>300.032917</v>
      </c>
      <c r="Q1839" s="16" t="n">
        <v>2722.778835331379</v>
      </c>
      <c r="R1839" s="16" t="n">
        <v>1645.570825960443</v>
      </c>
      <c r="S1839" s="16" t="n">
        <v>0.6480221326658244</v>
      </c>
      <c r="T1839" s="16" t="n">
        <v>0.7668058963900293</v>
      </c>
      <c r="U1839" s="16" t="n">
        <v>0.9353066700933244</v>
      </c>
      <c r="V1839" s="16" t="n">
        <v>0.6182288611478733</v>
      </c>
      <c r="W1839" s="16" t="n">
        <v>0.6611605886518027</v>
      </c>
      <c r="X1839" s="16" t="n">
        <v>0.531809817196217</v>
      </c>
      <c r="Y1839" s="16" t="n">
        <v>300.032917</v>
      </c>
      <c r="Z1839" s="16" t="n">
        <v>2.67466203166041</v>
      </c>
      <c r="AA1839" s="16" t="n">
        <v>27.08664386276658</v>
      </c>
      <c r="AB1839" s="16" t="n">
        <v>1077.208009370936</v>
      </c>
      <c r="AC1839" s="16" t="n">
        <v>1.654610541446747</v>
      </c>
      <c r="AD1839" s="16" t="inlineStr">
        <is>
          <t>O2</t>
        </is>
      </c>
      <c r="AE1839" s="16" t="n"/>
    </row>
    <row r="1840">
      <c r="A1840" s="16" t="inlineStr">
        <is>
          <t>KF-M05-1-0118</t>
        </is>
      </c>
      <c r="B1840" s="16" t="inlineStr">
        <is>
          <t>4.1</t>
        </is>
      </c>
      <c r="C1840" s="16" t="inlineStr">
        <is>
          <t>4.1a</t>
        </is>
      </c>
      <c r="D1840" s="16" t="inlineStr">
        <is>
          <t>conserva sus temperaturas</t>
        </is>
      </c>
      <c r="E1840" s="16" t="inlineStr">
        <is>
          <t>KF-M05</t>
        </is>
      </c>
      <c r="F1840" s="16" t="inlineStr">
        <is>
          <t>KF-M05-1</t>
        </is>
      </c>
      <c r="G1840" s="16" t="inlineStr">
        <is>
          <t>B09-1</t>
        </is>
      </c>
      <c r="H1840" s="16" t="inlineStr">
        <is>
          <t>lhs</t>
        </is>
      </c>
      <c r="I1840" s="16" t="inlineStr">
        <is>
          <t>CORREGIBLE</t>
        </is>
      </c>
      <c r="J1840" s="16" t="inlineStr">
        <is>
          <t>CORREGIBLE</t>
        </is>
      </c>
      <c r="K1840" s="16" t="b">
        <v>1</v>
      </c>
      <c r="L1840" s="16" t="b">
        <v>0</v>
      </c>
      <c r="M1840" s="16" t="b">
        <v>1</v>
      </c>
      <c r="N1840" s="16" t="b">
        <v>0</v>
      </c>
      <c r="O1840" s="16" t="n">
        <v>623.15</v>
      </c>
      <c r="P1840" s="16" t="n">
        <v>300.032917</v>
      </c>
      <c r="Q1840" s="16" t="n">
        <v>4840.66004535904</v>
      </c>
      <c r="R1840" s="16" t="n">
        <v>1104.278735767966</v>
      </c>
      <c r="S1840" s="16" t="n">
        <v>0.6769467934042011</v>
      </c>
      <c r="T1840" s="16" t="n">
        <v>0.8505723397164103</v>
      </c>
      <c r="U1840" s="16" t="n">
        <v>0.7005190396097165</v>
      </c>
      <c r="V1840" s="16" t="n">
        <v>0.4887651784264071</v>
      </c>
      <c r="W1840" s="16" t="n">
        <v>0.9320897289787252</v>
      </c>
      <c r="X1840" s="16" t="n">
        <v>0.7603829818895929</v>
      </c>
      <c r="Y1840" s="16" t="n">
        <v>300.032917</v>
      </c>
      <c r="Z1840" s="16" t="n">
        <v>11.8444545050466</v>
      </c>
      <c r="AA1840" s="16" t="n">
        <v>119.0304621142313</v>
      </c>
      <c r="AB1840" s="16" t="n">
        <v>3736.381309591074</v>
      </c>
      <c r="AC1840" s="16" t="n">
        <v>4.383549088258611</v>
      </c>
      <c r="AD1840" s="16" t="inlineStr">
        <is>
          <t>O2</t>
        </is>
      </c>
      <c r="AE1840" s="16" t="n"/>
    </row>
    <row r="1841">
      <c r="A1841" s="16" t="inlineStr">
        <is>
          <t>KF-M05-1-0119</t>
        </is>
      </c>
      <c r="B1841" s="16" t="inlineStr">
        <is>
          <t>4.1</t>
        </is>
      </c>
      <c r="C1841" s="16" t="inlineStr">
        <is>
          <t>4.1a</t>
        </is>
      </c>
      <c r="D1841" s="16" t="inlineStr">
        <is>
          <t>conserva sus temperaturas</t>
        </is>
      </c>
      <c r="E1841" s="16" t="inlineStr">
        <is>
          <t>KF-M05</t>
        </is>
      </c>
      <c r="F1841" s="16" t="inlineStr">
        <is>
          <t>KF-M05-1</t>
        </is>
      </c>
      <c r="G1841" s="16" t="inlineStr">
        <is>
          <t>B09-1</t>
        </is>
      </c>
      <c r="H1841" s="16" t="inlineStr">
        <is>
          <t>lhs</t>
        </is>
      </c>
      <c r="I1841" s="16" t="inlineStr">
        <is>
          <t>CORREGIBLE</t>
        </is>
      </c>
      <c r="J1841" s="16" t="inlineStr">
        <is>
          <t>CORREGIBLE</t>
        </is>
      </c>
      <c r="K1841" s="16" t="b">
        <v>1</v>
      </c>
      <c r="L1841" s="16" t="b">
        <v>0</v>
      </c>
      <c r="M1841" s="16" t="b">
        <v>0</v>
      </c>
      <c r="N1841" s="16" t="b">
        <v>0</v>
      </c>
      <c r="O1841" s="16" t="n">
        <v>623.15</v>
      </c>
      <c r="P1841" s="16" t="n">
        <v>300.032917</v>
      </c>
      <c r="Q1841" s="16" t="n">
        <v>2203.371521121568</v>
      </c>
      <c r="R1841" s="16" t="n">
        <v>1311.578702812739</v>
      </c>
      <c r="S1841" s="16" t="n">
        <v>0.8352198166854101</v>
      </c>
      <c r="T1841" s="16" t="n">
        <v>0.8094345475202585</v>
      </c>
      <c r="U1841" s="16" t="n">
        <v>0.6633417581488859</v>
      </c>
      <c r="V1841" s="16" t="n">
        <v>0.6135391341687975</v>
      </c>
      <c r="W1841" s="16" t="n">
        <v>0.9043986640880992</v>
      </c>
      <c r="X1841" s="16" t="n">
        <v>0.6872738907406954</v>
      </c>
      <c r="Y1841" s="16" t="n">
        <v>300.032917</v>
      </c>
      <c r="Z1841" s="16" t="n">
        <v>3.14407353839403</v>
      </c>
      <c r="AA1841" s="16" t="n">
        <v>33.69774136727635</v>
      </c>
      <c r="AB1841" s="16" t="n">
        <v>891.7928183088293</v>
      </c>
      <c r="AC1841" s="16" t="n">
        <v>1.679938471398125</v>
      </c>
      <c r="AD1841" s="16" t="inlineStr">
        <is>
          <t>O2</t>
        </is>
      </c>
      <c r="AE1841" s="16" t="n"/>
    </row>
    <row r="1842">
      <c r="A1842" s="16" t="inlineStr">
        <is>
          <t>KF-M05-2-0000</t>
        </is>
      </c>
      <c r="B1842" s="16" t="inlineStr">
        <is>
          <t>4.1</t>
        </is>
      </c>
      <c r="C1842" s="16" t="inlineStr">
        <is>
          <t>4.1b</t>
        </is>
      </c>
      <c r="D1842" s="16" t="inlineStr">
        <is>
          <t>conserva sus presiones</t>
        </is>
      </c>
      <c r="E1842" s="16" t="inlineStr">
        <is>
          <t>KF-M05</t>
        </is>
      </c>
      <c r="F1842" s="16" t="inlineStr">
        <is>
          <t>KF-M05-2</t>
        </is>
      </c>
      <c r="G1842" s="16" t="inlineStr">
        <is>
          <t>B09-2</t>
        </is>
      </c>
      <c r="H1842" s="16" t="inlineStr">
        <is>
          <t>lhs</t>
        </is>
      </c>
      <c r="I1842" s="16" t="inlineStr">
        <is>
          <t>INVIABLE</t>
        </is>
      </c>
      <c r="J1842" s="16" t="inlineStr">
        <is>
          <t>INVIABLE</t>
        </is>
      </c>
      <c r="K1842" s="16" t="b">
        <v>1</v>
      </c>
      <c r="L1842" s="16" t="b">
        <v>0</v>
      </c>
      <c r="M1842" s="16" t="b">
        <v>1</v>
      </c>
      <c r="N1842" s="16" t="b">
        <v>0</v>
      </c>
      <c r="O1842" s="16" t="n">
        <v>581.6667809300933</v>
      </c>
      <c r="P1842" s="16" t="n">
        <v>284.8356535378286</v>
      </c>
      <c r="Q1842" s="16" t="n">
        <v>3000</v>
      </c>
      <c r="R1842" s="16" t="n">
        <v>400</v>
      </c>
      <c r="S1842" s="16" t="n">
        <v>0.6206993642015358</v>
      </c>
      <c r="T1842" s="16" t="n">
        <v>0.4311243814394104</v>
      </c>
      <c r="U1842" s="16" t="n">
        <v>0.6477191628737694</v>
      </c>
      <c r="V1842" s="16" t="n">
        <v>0.4852205044575571</v>
      </c>
      <c r="W1842" s="16" t="n">
        <v>0.9044732165918444</v>
      </c>
      <c r="X1842" s="16" t="n">
        <v>0.5175450706252451</v>
      </c>
      <c r="Y1842" s="16" t="n">
        <v>284.8356535378286</v>
      </c>
      <c r="Z1842" s="16" t="n">
        <v>-11.09488217828777</v>
      </c>
      <c r="AA1842" s="16" t="n">
        <v>-82.88560485605458</v>
      </c>
      <c r="AB1842" s="16" t="n">
        <v>2600</v>
      </c>
      <c r="AC1842" s="16" t="n">
        <v>7.5</v>
      </c>
      <c r="AD1842" s="16" t="inlineStr">
        <is>
          <t>O2,O3</t>
        </is>
      </c>
      <c r="AE1842" s="16" t="n"/>
    </row>
    <row r="1843">
      <c r="A1843" s="16" t="inlineStr">
        <is>
          <t>KF-M05-2-0001</t>
        </is>
      </c>
      <c r="B1843" s="16" t="inlineStr">
        <is>
          <t>4.1</t>
        </is>
      </c>
      <c r="C1843" s="16" t="inlineStr">
        <is>
          <t>4.1b</t>
        </is>
      </c>
      <c r="D1843" s="16" t="inlineStr">
        <is>
          <t>conserva sus presiones</t>
        </is>
      </c>
      <c r="E1843" s="16" t="inlineStr">
        <is>
          <t>KF-M05</t>
        </is>
      </c>
      <c r="F1843" s="16" t="inlineStr">
        <is>
          <t>KF-M05-2</t>
        </is>
      </c>
      <c r="G1843" s="16" t="inlineStr">
        <is>
          <t>B09-2</t>
        </is>
      </c>
      <c r="H1843" s="16" t="inlineStr">
        <is>
          <t>lhs</t>
        </is>
      </c>
      <c r="I1843" s="16" t="inlineStr">
        <is>
          <t>NO_CONVERGIO</t>
        </is>
      </c>
      <c r="J1843" s="16" t="inlineStr">
        <is>
          <t>NO_CONVERGIO</t>
        </is>
      </c>
      <c r="K1843" s="16" t="b">
        <v>0</v>
      </c>
      <c r="L1843" s="16" t="b">
        <v>0</v>
      </c>
      <c r="M1843" s="16" t="b">
        <v>0</v>
      </c>
      <c r="N1843" s="16" t="b">
        <v>0</v>
      </c>
      <c r="O1843" s="16" t="n">
        <v>497.1989046450539</v>
      </c>
      <c r="P1843" s="16" t="n">
        <v>287.2606120332136</v>
      </c>
      <c r="Q1843" s="16" t="n">
        <v>3000</v>
      </c>
      <c r="R1843" s="16" t="n">
        <v>400</v>
      </c>
      <c r="S1843" s="16" t="n">
        <v>0.8304656597219227</v>
      </c>
      <c r="T1843" s="16" t="n">
        <v>0.4369826009478247</v>
      </c>
      <c r="U1843" s="16" t="n">
        <v>0.7681032184306988</v>
      </c>
      <c r="V1843" s="16" t="n">
        <v>0.5898676200875356</v>
      </c>
      <c r="W1843" s="16" t="n">
        <v>0.8476375273963781</v>
      </c>
      <c r="X1843" s="16" t="n">
        <v>0.461642777549568</v>
      </c>
      <c r="Y1843" s="16" t="n">
        <v>287.2606120332136</v>
      </c>
      <c r="Z1843" s="16" t="n"/>
      <c r="AA1843" s="16" t="n"/>
      <c r="AB1843" s="16" t="n">
        <v>2600</v>
      </c>
      <c r="AC1843" s="16" t="n">
        <v>7.5</v>
      </c>
      <c r="AD1843" s="16" t="n"/>
      <c r="AE1843" s="16" t="n"/>
    </row>
    <row r="1844">
      <c r="A1844" s="16" t="inlineStr">
        <is>
          <t>KF-M05-2-0002</t>
        </is>
      </c>
      <c r="B1844" s="16" t="inlineStr">
        <is>
          <t>4.1</t>
        </is>
      </c>
      <c r="C1844" s="16" t="inlineStr">
        <is>
          <t>4.1b</t>
        </is>
      </c>
      <c r="D1844" s="16" t="inlineStr">
        <is>
          <t>conserva sus presiones</t>
        </is>
      </c>
      <c r="E1844" s="16" t="inlineStr">
        <is>
          <t>KF-M05</t>
        </is>
      </c>
      <c r="F1844" s="16" t="inlineStr">
        <is>
          <t>KF-M05-2</t>
        </is>
      </c>
      <c r="G1844" s="16" t="inlineStr">
        <is>
          <t>B09-2</t>
        </is>
      </c>
      <c r="H1844" s="16" t="inlineStr">
        <is>
          <t>lhs</t>
        </is>
      </c>
      <c r="I1844" s="16" t="inlineStr">
        <is>
          <t>NO_CONVERGIO</t>
        </is>
      </c>
      <c r="J1844" s="16" t="inlineStr">
        <is>
          <t>NO_CONVERGIO</t>
        </is>
      </c>
      <c r="K1844" s="16" t="b">
        <v>0</v>
      </c>
      <c r="L1844" s="16" t="b">
        <v>0</v>
      </c>
      <c r="M1844" s="16" t="b">
        <v>0</v>
      </c>
      <c r="N1844" s="16" t="b">
        <v>0</v>
      </c>
      <c r="O1844" s="16" t="n">
        <v>565.632316340897</v>
      </c>
      <c r="P1844" s="16" t="n">
        <v>278.5388506793413</v>
      </c>
      <c r="Q1844" s="16" t="n">
        <v>3000</v>
      </c>
      <c r="R1844" s="16" t="n">
        <v>400</v>
      </c>
      <c r="S1844" s="16" t="n">
        <v>0.7031868969271766</v>
      </c>
      <c r="T1844" s="16" t="n">
        <v>0.7163048833904226</v>
      </c>
      <c r="U1844" s="16" t="n">
        <v>0.6165888480935622</v>
      </c>
      <c r="V1844" s="16" t="n">
        <v>0.7648600331452731</v>
      </c>
      <c r="W1844" s="16" t="n">
        <v>0.8178309502354584</v>
      </c>
      <c r="X1844" s="16" t="n">
        <v>0.5827115763296835</v>
      </c>
      <c r="Y1844" s="16" t="n">
        <v>278.5388506793413</v>
      </c>
      <c r="Z1844" s="16" t="n"/>
      <c r="AA1844" s="16" t="n"/>
      <c r="AB1844" s="16" t="n">
        <v>2600</v>
      </c>
      <c r="AC1844" s="16" t="n">
        <v>7.5</v>
      </c>
      <c r="AD1844" s="16" t="n"/>
      <c r="AE1844" s="16" t="n"/>
    </row>
    <row r="1845">
      <c r="A1845" s="16" t="inlineStr">
        <is>
          <t>KF-M05-2-0003</t>
        </is>
      </c>
      <c r="B1845" s="16" t="inlineStr">
        <is>
          <t>4.1</t>
        </is>
      </c>
      <c r="C1845" s="16" t="inlineStr">
        <is>
          <t>4.1b</t>
        </is>
      </c>
      <c r="D1845" s="16" t="inlineStr">
        <is>
          <t>conserva sus presiones</t>
        </is>
      </c>
      <c r="E1845" s="16" t="inlineStr">
        <is>
          <t>KF-M05</t>
        </is>
      </c>
      <c r="F1845" s="16" t="inlineStr">
        <is>
          <t>KF-M05-2</t>
        </is>
      </c>
      <c r="G1845" s="16" t="inlineStr">
        <is>
          <t>B09-2</t>
        </is>
      </c>
      <c r="H1845" s="16" t="inlineStr">
        <is>
          <t>lhs</t>
        </is>
      </c>
      <c r="I1845" s="16" t="inlineStr">
        <is>
          <t>NO_CONVERGIO</t>
        </is>
      </c>
      <c r="J1845" s="16" t="inlineStr">
        <is>
          <t>NO_CONVERGIO</t>
        </is>
      </c>
      <c r="K1845" s="16" t="b">
        <v>0</v>
      </c>
      <c r="L1845" s="16" t="b">
        <v>0</v>
      </c>
      <c r="M1845" s="16" t="b">
        <v>0</v>
      </c>
      <c r="N1845" s="16" t="b">
        <v>0</v>
      </c>
      <c r="O1845" s="16" t="n">
        <v>605.2276533063961</v>
      </c>
      <c r="P1845" s="16" t="n">
        <v>300.9673715020901</v>
      </c>
      <c r="Q1845" s="16" t="n">
        <v>3000</v>
      </c>
      <c r="R1845" s="16" t="n">
        <v>400</v>
      </c>
      <c r="S1845" s="16" t="n">
        <v>0.5653180034964805</v>
      </c>
      <c r="T1845" s="16" t="n">
        <v>0.8384924059835843</v>
      </c>
      <c r="U1845" s="16" t="n">
        <v>0.6947494507196424</v>
      </c>
      <c r="V1845" s="16" t="n">
        <v>0.8630053357279532</v>
      </c>
      <c r="W1845" s="16" t="n">
        <v>0.6568670449340245</v>
      </c>
      <c r="X1845" s="16" t="n">
        <v>0.7754105424504261</v>
      </c>
      <c r="Y1845" s="16" t="n">
        <v>300.9673715020901</v>
      </c>
      <c r="Z1845" s="16" t="n"/>
      <c r="AA1845" s="16" t="n"/>
      <c r="AB1845" s="16" t="n">
        <v>2600</v>
      </c>
      <c r="AC1845" s="16" t="n">
        <v>7.5</v>
      </c>
      <c r="AD1845" s="16" t="n"/>
      <c r="AE1845" s="16" t="n"/>
    </row>
    <row r="1846">
      <c r="A1846" s="16" t="inlineStr">
        <is>
          <t>KF-M05-2-0004</t>
        </is>
      </c>
      <c r="B1846" s="16" t="inlineStr">
        <is>
          <t>4.1</t>
        </is>
      </c>
      <c r="C1846" s="16" t="inlineStr">
        <is>
          <t>4.1b</t>
        </is>
      </c>
      <c r="D1846" s="16" t="inlineStr">
        <is>
          <t>conserva sus presiones</t>
        </is>
      </c>
      <c r="E1846" s="16" t="inlineStr">
        <is>
          <t>KF-M05</t>
        </is>
      </c>
      <c r="F1846" s="16" t="inlineStr">
        <is>
          <t>KF-M05-2</t>
        </is>
      </c>
      <c r="G1846" s="16" t="inlineStr">
        <is>
          <t>B09-2</t>
        </is>
      </c>
      <c r="H1846" s="16" t="inlineStr">
        <is>
          <t>lhs</t>
        </is>
      </c>
      <c r="I1846" s="16" t="inlineStr">
        <is>
          <t>INVIABLE</t>
        </is>
      </c>
      <c r="J1846" s="16" t="inlineStr">
        <is>
          <t>INVIABLE</t>
        </is>
      </c>
      <c r="K1846" s="16" t="b">
        <v>1</v>
      </c>
      <c r="L1846" s="16" t="b">
        <v>0</v>
      </c>
      <c r="M1846" s="16" t="b">
        <v>0</v>
      </c>
      <c r="N1846" s="16" t="b">
        <v>0</v>
      </c>
      <c r="O1846" s="16" t="n">
        <v>396.9568326799408</v>
      </c>
      <c r="P1846" s="16" t="n">
        <v>294.9902379616167</v>
      </c>
      <c r="Q1846" s="16" t="n">
        <v>3000</v>
      </c>
      <c r="R1846" s="16" t="n">
        <v>400</v>
      </c>
      <c r="S1846" s="16" t="n">
        <v>0.6487265564028224</v>
      </c>
      <c r="T1846" s="16" t="n">
        <v>0.4142432928861104</v>
      </c>
      <c r="U1846" s="16" t="n">
        <v>0.7234245846510423</v>
      </c>
      <c r="V1846" s="16" t="n">
        <v>0.5128259976256109</v>
      </c>
      <c r="W1846" s="16" t="n">
        <v>0.5258795762134478</v>
      </c>
      <c r="X1846" s="16" t="n">
        <v>0.5452995260959054</v>
      </c>
      <c r="Y1846" s="16" t="n">
        <v>294.9902379616167</v>
      </c>
      <c r="Z1846" s="16" t="n">
        <v>-35.96822866889958</v>
      </c>
      <c r="AA1846" s="16" t="n">
        <v>-67.4677396994793</v>
      </c>
      <c r="AB1846" s="16" t="n">
        <v>2600</v>
      </c>
      <c r="AC1846" s="16" t="n">
        <v>7.5</v>
      </c>
      <c r="AD1846" s="16" t="inlineStr">
        <is>
          <t>O2,O3</t>
        </is>
      </c>
      <c r="AE1846" s="16" t="n"/>
    </row>
    <row r="1847">
      <c r="A1847" s="16" t="inlineStr">
        <is>
          <t>KF-M05-2-0005</t>
        </is>
      </c>
      <c r="B1847" s="16" t="inlineStr">
        <is>
          <t>4.1</t>
        </is>
      </c>
      <c r="C1847" s="16" t="inlineStr">
        <is>
          <t>4.1b</t>
        </is>
      </c>
      <c r="D1847" s="16" t="inlineStr">
        <is>
          <t>conserva sus presiones</t>
        </is>
      </c>
      <c r="E1847" s="16" t="inlineStr">
        <is>
          <t>KF-M05</t>
        </is>
      </c>
      <c r="F1847" s="16" t="inlineStr">
        <is>
          <t>KF-M05-2</t>
        </is>
      </c>
      <c r="G1847" s="16" t="inlineStr">
        <is>
          <t>B09-2</t>
        </is>
      </c>
      <c r="H1847" s="16" t="inlineStr">
        <is>
          <t>lhs</t>
        </is>
      </c>
      <c r="I1847" s="16" t="inlineStr">
        <is>
          <t>CORREGIBLE</t>
        </is>
      </c>
      <c r="J1847" s="16" t="inlineStr">
        <is>
          <t>CORREGIBLE</t>
        </is>
      </c>
      <c r="K1847" s="16" t="b">
        <v>1</v>
      </c>
      <c r="L1847" s="16" t="b">
        <v>0</v>
      </c>
      <c r="M1847" s="16" t="b">
        <v>0</v>
      </c>
      <c r="N1847" s="16" t="b">
        <v>0</v>
      </c>
      <c r="O1847" s="16" t="n">
        <v>413.4209285049968</v>
      </c>
      <c r="P1847" s="16" t="n">
        <v>296.8753155180362</v>
      </c>
      <c r="Q1847" s="16" t="n">
        <v>3000</v>
      </c>
      <c r="R1847" s="16" t="n">
        <v>400</v>
      </c>
      <c r="S1847" s="16" t="n">
        <v>0.5467197687180206</v>
      </c>
      <c r="T1847" s="16" t="n">
        <v>0.6930730896087789</v>
      </c>
      <c r="U1847" s="16" t="n">
        <v>0.7892300937589449</v>
      </c>
      <c r="V1847" s="16" t="n">
        <v>0.8328683582488272</v>
      </c>
      <c r="W1847" s="16" t="n">
        <v>0.726214962497062</v>
      </c>
      <c r="X1847" s="16" t="n">
        <v>0.9416846745237536</v>
      </c>
      <c r="Y1847" s="16" t="n">
        <v>296.8753155180362</v>
      </c>
      <c r="Z1847" s="16" t="n">
        <v>9.88931559906287</v>
      </c>
      <c r="AA1847" s="16" t="n">
        <v>55.45063222297999</v>
      </c>
      <c r="AB1847" s="16" t="n">
        <v>2600</v>
      </c>
      <c r="AC1847" s="16" t="n">
        <v>7.5</v>
      </c>
      <c r="AD1847" s="16" t="inlineStr">
        <is>
          <t>O2</t>
        </is>
      </c>
      <c r="AE1847" s="16" t="n"/>
    </row>
    <row r="1848">
      <c r="A1848" s="16" t="inlineStr">
        <is>
          <t>KF-M05-2-0006</t>
        </is>
      </c>
      <c r="B1848" s="16" t="inlineStr">
        <is>
          <t>4.1</t>
        </is>
      </c>
      <c r="C1848" s="16" t="inlineStr">
        <is>
          <t>4.1b</t>
        </is>
      </c>
      <c r="D1848" s="16" t="inlineStr">
        <is>
          <t>conserva sus presiones</t>
        </is>
      </c>
      <c r="E1848" s="16" t="inlineStr">
        <is>
          <t>KF-M05</t>
        </is>
      </c>
      <c r="F1848" s="16" t="inlineStr">
        <is>
          <t>KF-M05-2</t>
        </is>
      </c>
      <c r="G1848" s="16" t="inlineStr">
        <is>
          <t>B09-2</t>
        </is>
      </c>
      <c r="H1848" s="16" t="inlineStr">
        <is>
          <t>lhs</t>
        </is>
      </c>
      <c r="I1848" s="16" t="inlineStr">
        <is>
          <t>CORREGIBLE</t>
        </is>
      </c>
      <c r="J1848" s="16" t="inlineStr">
        <is>
          <t>CORREGIBLE</t>
        </is>
      </c>
      <c r="K1848" s="16" t="b">
        <v>1</v>
      </c>
      <c r="L1848" s="16" t="b">
        <v>0</v>
      </c>
      <c r="M1848" s="16" t="b">
        <v>1</v>
      </c>
      <c r="N1848" s="16" t="b">
        <v>0</v>
      </c>
      <c r="O1848" s="16" t="n">
        <v>479.2601393884606</v>
      </c>
      <c r="P1848" s="16" t="n">
        <v>299.08260078437</v>
      </c>
      <c r="Q1848" s="16" t="n">
        <v>3000</v>
      </c>
      <c r="R1848" s="16" t="n">
        <v>400</v>
      </c>
      <c r="S1848" s="16" t="n">
        <v>0.5639452059464861</v>
      </c>
      <c r="T1848" s="16" t="n">
        <v>0.9485839349565068</v>
      </c>
      <c r="U1848" s="16" t="n">
        <v>0.7743448641363317</v>
      </c>
      <c r="V1848" s="16" t="n">
        <v>0.7172369132968522</v>
      </c>
      <c r="W1848" s="16" t="n">
        <v>0.8575854800745755</v>
      </c>
      <c r="X1848" s="16" t="n">
        <v>0.5843232124758622</v>
      </c>
      <c r="Y1848" s="16" t="n">
        <v>299.08260078437</v>
      </c>
      <c r="Z1848" s="16" t="n">
        <v>12.40127926908302</v>
      </c>
      <c r="AA1848" s="16" t="n">
        <v>124.523468547553</v>
      </c>
      <c r="AB1848" s="16" t="n">
        <v>2600</v>
      </c>
      <c r="AC1848" s="16" t="n">
        <v>7.5</v>
      </c>
      <c r="AD1848" s="16" t="inlineStr">
        <is>
          <t>O1,O2</t>
        </is>
      </c>
      <c r="AE1848" s="16" t="n"/>
    </row>
    <row r="1849">
      <c r="A1849" s="16" t="inlineStr">
        <is>
          <t>KF-M05-2-0007</t>
        </is>
      </c>
      <c r="B1849" s="16" t="inlineStr">
        <is>
          <t>4.1</t>
        </is>
      </c>
      <c r="C1849" s="16" t="inlineStr">
        <is>
          <t>4.1b</t>
        </is>
      </c>
      <c r="D1849" s="16" t="inlineStr">
        <is>
          <t>conserva sus presiones</t>
        </is>
      </c>
      <c r="E1849" s="16" t="inlineStr">
        <is>
          <t>KF-M05</t>
        </is>
      </c>
      <c r="F1849" s="16" t="inlineStr">
        <is>
          <t>KF-M05-2</t>
        </is>
      </c>
      <c r="G1849" s="16" t="inlineStr">
        <is>
          <t>B09-2</t>
        </is>
      </c>
      <c r="H1849" s="16" t="inlineStr">
        <is>
          <t>lhs</t>
        </is>
      </c>
      <c r="I1849" s="16" t="inlineStr">
        <is>
          <t>INVIABLE</t>
        </is>
      </c>
      <c r="J1849" s="16" t="inlineStr">
        <is>
          <t>INVIABLE</t>
        </is>
      </c>
      <c r="K1849" s="16" t="b">
        <v>1</v>
      </c>
      <c r="L1849" s="16" t="b">
        <v>0</v>
      </c>
      <c r="M1849" s="16" t="b">
        <v>1</v>
      </c>
      <c r="N1849" s="16" t="b">
        <v>0</v>
      </c>
      <c r="O1849" s="16" t="n">
        <v>480.1585243481287</v>
      </c>
      <c r="P1849" s="16" t="n">
        <v>299.5536046315701</v>
      </c>
      <c r="Q1849" s="16" t="n">
        <v>3000</v>
      </c>
      <c r="R1849" s="16" t="n">
        <v>400</v>
      </c>
      <c r="S1849" s="16" t="n">
        <v>0.7178088209003098</v>
      </c>
      <c r="T1849" s="16" t="n">
        <v>0.599100879350511</v>
      </c>
      <c r="U1849" s="16" t="n">
        <v>0.6628795196364636</v>
      </c>
      <c r="V1849" s="16" t="n">
        <v>0.5509157823695161</v>
      </c>
      <c r="W1849" s="16" t="n">
        <v>0.918312933519429</v>
      </c>
      <c r="X1849" s="16" t="n">
        <v>0.8502830514797551</v>
      </c>
      <c r="Y1849" s="16" t="n">
        <v>299.5536046315701</v>
      </c>
      <c r="Z1849" s="16" t="n">
        <v>-6.802390870800689</v>
      </c>
      <c r="AA1849" s="16" t="n">
        <v>-44.5006763639696</v>
      </c>
      <c r="AB1849" s="16" t="n">
        <v>2600</v>
      </c>
      <c r="AC1849" s="16" t="n">
        <v>7.5</v>
      </c>
      <c r="AD1849" s="16" t="inlineStr">
        <is>
          <t>O2,O3</t>
        </is>
      </c>
      <c r="AE1849" s="16" t="n"/>
    </row>
    <row r="1850">
      <c r="A1850" s="16" t="inlineStr">
        <is>
          <t>KF-M05-2-0008</t>
        </is>
      </c>
      <c r="B1850" s="16" t="inlineStr">
        <is>
          <t>4.1</t>
        </is>
      </c>
      <c r="C1850" s="16" t="inlineStr">
        <is>
          <t>4.1b</t>
        </is>
      </c>
      <c r="D1850" s="16" t="inlineStr">
        <is>
          <t>conserva sus presiones</t>
        </is>
      </c>
      <c r="E1850" s="16" t="inlineStr">
        <is>
          <t>KF-M05</t>
        </is>
      </c>
      <c r="F1850" s="16" t="inlineStr">
        <is>
          <t>KF-M05-2</t>
        </is>
      </c>
      <c r="G1850" s="16" t="inlineStr">
        <is>
          <t>B09-2</t>
        </is>
      </c>
      <c r="H1850" s="16" t="inlineStr">
        <is>
          <t>lhs</t>
        </is>
      </c>
      <c r="I1850" s="16" t="inlineStr">
        <is>
          <t>NO_CONVERGIO</t>
        </is>
      </c>
      <c r="J1850" s="16" t="inlineStr">
        <is>
          <t>NO_CONVERGIO</t>
        </is>
      </c>
      <c r="K1850" s="16" t="b">
        <v>0</v>
      </c>
      <c r="L1850" s="16" t="b">
        <v>0</v>
      </c>
      <c r="M1850" s="16" t="b">
        <v>0</v>
      </c>
      <c r="N1850" s="16" t="b">
        <v>0</v>
      </c>
      <c r="O1850" s="16" t="n">
        <v>592.5678517504807</v>
      </c>
      <c r="P1850" s="16" t="n">
        <v>297.3325608271709</v>
      </c>
      <c r="Q1850" s="16" t="n">
        <v>3000</v>
      </c>
      <c r="R1850" s="16" t="n">
        <v>400</v>
      </c>
      <c r="S1850" s="16" t="n">
        <v>0.6610279190920496</v>
      </c>
      <c r="T1850" s="16" t="n">
        <v>0.8403578332937347</v>
      </c>
      <c r="U1850" s="16" t="n">
        <v>0.8180541851835023</v>
      </c>
      <c r="V1850" s="16" t="n">
        <v>0.9198361471831732</v>
      </c>
      <c r="W1850" s="16" t="n">
        <v>0.9257843959585064</v>
      </c>
      <c r="X1850" s="16" t="n">
        <v>0.8543308322301824</v>
      </c>
      <c r="Y1850" s="16" t="n">
        <v>297.3325608271709</v>
      </c>
      <c r="Z1850" s="16" t="n"/>
      <c r="AA1850" s="16" t="n"/>
      <c r="AB1850" s="16" t="n">
        <v>2600</v>
      </c>
      <c r="AC1850" s="16" t="n">
        <v>7.5</v>
      </c>
      <c r="AD1850" s="16" t="n"/>
      <c r="AE1850" s="16" t="n"/>
    </row>
    <row r="1851">
      <c r="A1851" s="16" t="inlineStr">
        <is>
          <t>KF-M05-2-0009</t>
        </is>
      </c>
      <c r="B1851" s="16" t="inlineStr">
        <is>
          <t>4.1</t>
        </is>
      </c>
      <c r="C1851" s="16" t="inlineStr">
        <is>
          <t>4.1b</t>
        </is>
      </c>
      <c r="D1851" s="16" t="inlineStr">
        <is>
          <t>conserva sus presiones</t>
        </is>
      </c>
      <c r="E1851" s="16" t="inlineStr">
        <is>
          <t>KF-M05</t>
        </is>
      </c>
      <c r="F1851" s="16" t="inlineStr">
        <is>
          <t>KF-M05-2</t>
        </is>
      </c>
      <c r="G1851" s="16" t="inlineStr">
        <is>
          <t>B09-2</t>
        </is>
      </c>
      <c r="H1851" s="16" t="inlineStr">
        <is>
          <t>lhs</t>
        </is>
      </c>
      <c r="I1851" s="16" t="inlineStr">
        <is>
          <t>CORREGIBLE</t>
        </is>
      </c>
      <c r="J1851" s="16" t="inlineStr">
        <is>
          <t>CORREGIBLE</t>
        </is>
      </c>
      <c r="K1851" s="16" t="b">
        <v>1</v>
      </c>
      <c r="L1851" s="16" t="b">
        <v>0</v>
      </c>
      <c r="M1851" s="16" t="b">
        <v>1</v>
      </c>
      <c r="N1851" s="16" t="b">
        <v>0</v>
      </c>
      <c r="O1851" s="16" t="n">
        <v>545.0414799696507</v>
      </c>
      <c r="P1851" s="16" t="n">
        <v>292.8484941087182</v>
      </c>
      <c r="Q1851" s="16" t="n">
        <v>3000</v>
      </c>
      <c r="R1851" s="16" t="n">
        <v>400</v>
      </c>
      <c r="S1851" s="16" t="n">
        <v>0.586849401121429</v>
      </c>
      <c r="T1851" s="16" t="n">
        <v>0.6156689894189815</v>
      </c>
      <c r="U1851" s="16" t="n">
        <v>0.5157627671152974</v>
      </c>
      <c r="V1851" s="16" t="n">
        <v>0.7964571510477073</v>
      </c>
      <c r="W1851" s="16" t="n">
        <v>0.7872426536750095</v>
      </c>
      <c r="X1851" s="16" t="n">
        <v>0.8916641414151101</v>
      </c>
      <c r="Y1851" s="16" t="n">
        <v>292.8484941087182</v>
      </c>
      <c r="Z1851" s="16" t="n">
        <v>9.30157220353664</v>
      </c>
      <c r="AA1851" s="16" t="n">
        <v>162.7650119638825</v>
      </c>
      <c r="AB1851" s="16" t="n">
        <v>2600</v>
      </c>
      <c r="AC1851" s="16" t="n">
        <v>7.5</v>
      </c>
      <c r="AD1851" s="16" t="inlineStr">
        <is>
          <t>O2</t>
        </is>
      </c>
      <c r="AE1851" s="16" t="n"/>
    </row>
    <row r="1852">
      <c r="A1852" s="16" t="inlineStr">
        <is>
          <t>KF-M05-2-0010</t>
        </is>
      </c>
      <c r="B1852" s="16" t="inlineStr">
        <is>
          <t>4.1</t>
        </is>
      </c>
      <c r="C1852" s="16" t="inlineStr">
        <is>
          <t>4.1b</t>
        </is>
      </c>
      <c r="D1852" s="16" t="inlineStr">
        <is>
          <t>conserva sus presiones</t>
        </is>
      </c>
      <c r="E1852" s="16" t="inlineStr">
        <is>
          <t>KF-M05</t>
        </is>
      </c>
      <c r="F1852" s="16" t="inlineStr">
        <is>
          <t>KF-M05-2</t>
        </is>
      </c>
      <c r="G1852" s="16" t="inlineStr">
        <is>
          <t>B09-2</t>
        </is>
      </c>
      <c r="H1852" s="16" t="inlineStr">
        <is>
          <t>lhs</t>
        </is>
      </c>
      <c r="I1852" s="16" t="inlineStr">
        <is>
          <t>CORREGIBLE</t>
        </is>
      </c>
      <c r="J1852" s="16" t="inlineStr">
        <is>
          <t>CORREGIBLE</t>
        </is>
      </c>
      <c r="K1852" s="16" t="b">
        <v>1</v>
      </c>
      <c r="L1852" s="16" t="b">
        <v>0</v>
      </c>
      <c r="M1852" s="16" t="b">
        <v>1</v>
      </c>
      <c r="N1852" s="16" t="b">
        <v>0</v>
      </c>
      <c r="O1852" s="16" t="n">
        <v>531.4086372341891</v>
      </c>
      <c r="P1852" s="16" t="n">
        <v>279.8718674156071</v>
      </c>
      <c r="Q1852" s="16" t="n">
        <v>3000</v>
      </c>
      <c r="R1852" s="16" t="n">
        <v>400</v>
      </c>
      <c r="S1852" s="16" t="n">
        <v>0.5962243375256118</v>
      </c>
      <c r="T1852" s="16" t="n">
        <v>0.7589474575901014</v>
      </c>
      <c r="U1852" s="16" t="n">
        <v>0.7116314918043332</v>
      </c>
      <c r="V1852" s="16" t="n">
        <v>0.8442299755935084</v>
      </c>
      <c r="W1852" s="16" t="n">
        <v>0.5006562327495322</v>
      </c>
      <c r="X1852" s="16" t="n">
        <v>0.9028220596050628</v>
      </c>
      <c r="Y1852" s="16" t="n">
        <v>279.8718674156071</v>
      </c>
      <c r="Z1852" s="16" t="n">
        <v>12.21066434699563</v>
      </c>
      <c r="AA1852" s="16" t="n">
        <v>233.2159897855165</v>
      </c>
      <c r="AB1852" s="16" t="n">
        <v>2600</v>
      </c>
      <c r="AC1852" s="16" t="n">
        <v>7.5</v>
      </c>
      <c r="AD1852" s="16" t="inlineStr">
        <is>
          <t>O2</t>
        </is>
      </c>
      <c r="AE1852" s="16" t="n"/>
    </row>
    <row r="1853">
      <c r="A1853" s="16" t="inlineStr">
        <is>
          <t>KF-M05-2-0011</t>
        </is>
      </c>
      <c r="B1853" s="16" t="inlineStr">
        <is>
          <t>4.1</t>
        </is>
      </c>
      <c r="C1853" s="16" t="inlineStr">
        <is>
          <t>4.1b</t>
        </is>
      </c>
      <c r="D1853" s="16" t="inlineStr">
        <is>
          <t>conserva sus presiones</t>
        </is>
      </c>
      <c r="E1853" s="16" t="inlineStr">
        <is>
          <t>KF-M05</t>
        </is>
      </c>
      <c r="F1853" s="16" t="inlineStr">
        <is>
          <t>KF-M05-2</t>
        </is>
      </c>
      <c r="G1853" s="16" t="inlineStr">
        <is>
          <t>B09-2</t>
        </is>
      </c>
      <c r="H1853" s="16" t="inlineStr">
        <is>
          <t>lhs</t>
        </is>
      </c>
      <c r="I1853" s="16" t="inlineStr">
        <is>
          <t>CORREGIBLE</t>
        </is>
      </c>
      <c r="J1853" s="16" t="inlineStr">
        <is>
          <t>CORREGIBLE</t>
        </is>
      </c>
      <c r="K1853" s="16" t="b">
        <v>1</v>
      </c>
      <c r="L1853" s="16" t="b">
        <v>0</v>
      </c>
      <c r="M1853" s="16" t="b">
        <v>1</v>
      </c>
      <c r="N1853" s="16" t="b">
        <v>0</v>
      </c>
      <c r="O1853" s="16" t="n">
        <v>520.06747828813</v>
      </c>
      <c r="P1853" s="16" t="n">
        <v>288.9648121494184</v>
      </c>
      <c r="Q1853" s="16" t="n">
        <v>3000</v>
      </c>
      <c r="R1853" s="16" t="n">
        <v>400</v>
      </c>
      <c r="S1853" s="16" t="n">
        <v>0.6229603082849318</v>
      </c>
      <c r="T1853" s="16" t="n">
        <v>0.7651034857302516</v>
      </c>
      <c r="U1853" s="16" t="n">
        <v>0.9243108562419544</v>
      </c>
      <c r="V1853" s="16" t="n">
        <v>0.7570237458674148</v>
      </c>
      <c r="W1853" s="16" t="n">
        <v>0.4851417011168977</v>
      </c>
      <c r="X1853" s="16" t="n">
        <v>0.6950175403825523</v>
      </c>
      <c r="Y1853" s="16" t="n">
        <v>288.9648121494184</v>
      </c>
      <c r="Z1853" s="16" t="n">
        <v>11.11441998992885</v>
      </c>
      <c r="AA1853" s="16" t="n">
        <v>147.1007701286043</v>
      </c>
      <c r="AB1853" s="16" t="n">
        <v>2600</v>
      </c>
      <c r="AC1853" s="16" t="n">
        <v>7.5</v>
      </c>
      <c r="AD1853" s="16" t="inlineStr">
        <is>
          <t>O2</t>
        </is>
      </c>
      <c r="AE1853" s="16" t="n"/>
    </row>
    <row r="1854">
      <c r="A1854" s="16" t="inlineStr">
        <is>
          <t>KF-M05-2-0012</t>
        </is>
      </c>
      <c r="B1854" s="16" t="inlineStr">
        <is>
          <t>4.1</t>
        </is>
      </c>
      <c r="C1854" s="16" t="inlineStr">
        <is>
          <t>4.1b</t>
        </is>
      </c>
      <c r="D1854" s="16" t="inlineStr">
        <is>
          <t>conserva sus presiones</t>
        </is>
      </c>
      <c r="E1854" s="16" t="inlineStr">
        <is>
          <t>KF-M05</t>
        </is>
      </c>
      <c r="F1854" s="16" t="inlineStr">
        <is>
          <t>KF-M05-2</t>
        </is>
      </c>
      <c r="G1854" s="16" t="inlineStr">
        <is>
          <t>B09-2</t>
        </is>
      </c>
      <c r="H1854" s="16" t="inlineStr">
        <is>
          <t>lhs</t>
        </is>
      </c>
      <c r="I1854" s="16" t="inlineStr">
        <is>
          <t>CORREGIBLE</t>
        </is>
      </c>
      <c r="J1854" s="16" t="inlineStr">
        <is>
          <t>CORREGIBLE</t>
        </is>
      </c>
      <c r="K1854" s="16" t="b">
        <v>1</v>
      </c>
      <c r="L1854" s="16" t="b">
        <v>0</v>
      </c>
      <c r="M1854" s="16" t="b">
        <v>1</v>
      </c>
      <c r="N1854" s="16" t="b">
        <v>0</v>
      </c>
      <c r="O1854" s="16" t="n">
        <v>612.1600571092998</v>
      </c>
      <c r="P1854" s="16" t="n">
        <v>290.6890069491756</v>
      </c>
      <c r="Q1854" s="16" t="n">
        <v>3000</v>
      </c>
      <c r="R1854" s="16" t="n">
        <v>400</v>
      </c>
      <c r="S1854" s="16" t="n">
        <v>0.6261454003729228</v>
      </c>
      <c r="T1854" s="16" t="n">
        <v>0.8847187985591037</v>
      </c>
      <c r="U1854" s="16" t="n">
        <v>0.8651881642874429</v>
      </c>
      <c r="V1854" s="16" t="n">
        <v>0.4681738112318153</v>
      </c>
      <c r="W1854" s="16" t="n">
        <v>0.928189425422996</v>
      </c>
      <c r="X1854" s="16" t="n">
        <v>0.7496704143825634</v>
      </c>
      <c r="Y1854" s="16" t="n">
        <v>290.6890069491756</v>
      </c>
      <c r="Z1854" s="16" t="n">
        <v>14.53321943761875</v>
      </c>
      <c r="AA1854" s="16" t="n">
        <v>144.0378071088067</v>
      </c>
      <c r="AB1854" s="16" t="n">
        <v>2600</v>
      </c>
      <c r="AC1854" s="16" t="n">
        <v>7.5</v>
      </c>
      <c r="AD1854" s="16" t="inlineStr">
        <is>
          <t>O2</t>
        </is>
      </c>
      <c r="AE1854" s="16" t="n"/>
    </row>
    <row r="1855">
      <c r="A1855" s="16" t="inlineStr">
        <is>
          <t>KF-M05-2-0013</t>
        </is>
      </c>
      <c r="B1855" s="16" t="inlineStr">
        <is>
          <t>4.1</t>
        </is>
      </c>
      <c r="C1855" s="16" t="inlineStr">
        <is>
          <t>4.1b</t>
        </is>
      </c>
      <c r="D1855" s="16" t="inlineStr">
        <is>
          <t>conserva sus presiones</t>
        </is>
      </c>
      <c r="E1855" s="16" t="inlineStr">
        <is>
          <t>KF-M05</t>
        </is>
      </c>
      <c r="F1855" s="16" t="inlineStr">
        <is>
          <t>KF-M05-2</t>
        </is>
      </c>
      <c r="G1855" s="16" t="inlineStr">
        <is>
          <t>B09-2</t>
        </is>
      </c>
      <c r="H1855" s="16" t="inlineStr">
        <is>
          <t>lhs</t>
        </is>
      </c>
      <c r="I1855" s="16" t="inlineStr">
        <is>
          <t>INVIABLE</t>
        </is>
      </c>
      <c r="J1855" s="16" t="inlineStr">
        <is>
          <t>INVIABLE</t>
        </is>
      </c>
      <c r="K1855" s="16" t="b">
        <v>1</v>
      </c>
      <c r="L1855" s="16" t="b">
        <v>0</v>
      </c>
      <c r="M1855" s="16" t="b">
        <v>0</v>
      </c>
      <c r="N1855" s="16" t="b">
        <v>0</v>
      </c>
      <c r="O1855" s="16" t="n">
        <v>438.1549755980534</v>
      </c>
      <c r="P1855" s="16" t="n">
        <v>301.4155817580192</v>
      </c>
      <c r="Q1855" s="16" t="n">
        <v>3000</v>
      </c>
      <c r="R1855" s="16" t="n">
        <v>400</v>
      </c>
      <c r="S1855" s="16" t="n">
        <v>0.6052894525508414</v>
      </c>
      <c r="T1855" s="16" t="n">
        <v>0.6245931219487668</v>
      </c>
      <c r="U1855" s="16" t="n">
        <v>0.4669072043232916</v>
      </c>
      <c r="V1855" s="16" t="n">
        <v>0.5544016719420063</v>
      </c>
      <c r="W1855" s="16" t="n">
        <v>0.4756457216250705</v>
      </c>
      <c r="X1855" s="16" t="n">
        <v>0.7393311849061908</v>
      </c>
      <c r="Y1855" s="16" t="n">
        <v>301.4155817580192</v>
      </c>
      <c r="Z1855" s="16" t="n">
        <v>-11.3237368493455</v>
      </c>
      <c r="AA1855" s="16" t="n">
        <v>-54.10830663260866</v>
      </c>
      <c r="AB1855" s="16" t="n">
        <v>2600</v>
      </c>
      <c r="AC1855" s="16" t="n">
        <v>7.5</v>
      </c>
      <c r="AD1855" s="16" t="inlineStr">
        <is>
          <t>O2,O3</t>
        </is>
      </c>
      <c r="AE1855" s="16" t="n"/>
    </row>
    <row r="1856">
      <c r="A1856" s="16" t="inlineStr">
        <is>
          <t>KF-M05-2-0014</t>
        </is>
      </c>
      <c r="B1856" s="16" t="inlineStr">
        <is>
          <t>4.1</t>
        </is>
      </c>
      <c r="C1856" s="16" t="inlineStr">
        <is>
          <t>4.1b</t>
        </is>
      </c>
      <c r="D1856" s="16" t="inlineStr">
        <is>
          <t>conserva sus presiones</t>
        </is>
      </c>
      <c r="E1856" s="16" t="inlineStr">
        <is>
          <t>KF-M05</t>
        </is>
      </c>
      <c r="F1856" s="16" t="inlineStr">
        <is>
          <t>KF-M05-2</t>
        </is>
      </c>
      <c r="G1856" s="16" t="inlineStr">
        <is>
          <t>B09-2</t>
        </is>
      </c>
      <c r="H1856" s="16" t="inlineStr">
        <is>
          <t>lhs</t>
        </is>
      </c>
      <c r="I1856" s="16" t="inlineStr">
        <is>
          <t>CORREGIBLE</t>
        </is>
      </c>
      <c r="J1856" s="16" t="inlineStr">
        <is>
          <t>CORREGIBLE</t>
        </is>
      </c>
      <c r="K1856" s="16" t="b">
        <v>1</v>
      </c>
      <c r="L1856" s="16" t="b">
        <v>0</v>
      </c>
      <c r="M1856" s="16" t="b">
        <v>1</v>
      </c>
      <c r="N1856" s="16" t="b">
        <v>0</v>
      </c>
      <c r="O1856" s="16" t="n">
        <v>473.7371693257702</v>
      </c>
      <c r="P1856" s="16" t="n">
        <v>279.193899637173</v>
      </c>
      <c r="Q1856" s="16" t="n">
        <v>3000</v>
      </c>
      <c r="R1856" s="16" t="n">
        <v>400</v>
      </c>
      <c r="S1856" s="16" t="n">
        <v>0.710262797960474</v>
      </c>
      <c r="T1856" s="16" t="n">
        <v>0.7301297933266231</v>
      </c>
      <c r="U1856" s="16" t="n">
        <v>0.594140057094159</v>
      </c>
      <c r="V1856" s="16" t="n">
        <v>0.7515510202598708</v>
      </c>
      <c r="W1856" s="16" t="n">
        <v>0.4368264310987232</v>
      </c>
      <c r="X1856" s="16" t="n">
        <v>0.6436637301548235</v>
      </c>
      <c r="Y1856" s="16" t="n">
        <v>279.193899637173</v>
      </c>
      <c r="Z1856" s="16" t="n">
        <v>5.33933487033424</v>
      </c>
      <c r="AA1856" s="16" t="n">
        <v>57.22850841014889</v>
      </c>
      <c r="AB1856" s="16" t="n">
        <v>2600</v>
      </c>
      <c r="AC1856" s="16" t="n">
        <v>7.5</v>
      </c>
      <c r="AD1856" s="16" t="inlineStr">
        <is>
          <t>O2</t>
        </is>
      </c>
      <c r="AE1856" s="16" t="n"/>
    </row>
    <row r="1857">
      <c r="A1857" s="16" t="inlineStr">
        <is>
          <t>KF-M05-2-0015</t>
        </is>
      </c>
      <c r="B1857" s="16" t="inlineStr">
        <is>
          <t>4.1</t>
        </is>
      </c>
      <c r="C1857" s="16" t="inlineStr">
        <is>
          <t>4.1b</t>
        </is>
      </c>
      <c r="D1857" s="16" t="inlineStr">
        <is>
          <t>conserva sus presiones</t>
        </is>
      </c>
      <c r="E1857" s="16" t="inlineStr">
        <is>
          <t>KF-M05</t>
        </is>
      </c>
      <c r="F1857" s="16" t="inlineStr">
        <is>
          <t>KF-M05-2</t>
        </is>
      </c>
      <c r="G1857" s="16" t="inlineStr">
        <is>
          <t>B09-2</t>
        </is>
      </c>
      <c r="H1857" s="16" t="inlineStr">
        <is>
          <t>lhs</t>
        </is>
      </c>
      <c r="I1857" s="16" t="inlineStr">
        <is>
          <t>CORREGIBLE</t>
        </is>
      </c>
      <c r="J1857" s="16" t="inlineStr">
        <is>
          <t>CORREGIBLE</t>
        </is>
      </c>
      <c r="K1857" s="16" t="b">
        <v>1</v>
      </c>
      <c r="L1857" s="16" t="b">
        <v>0</v>
      </c>
      <c r="M1857" s="16" t="b">
        <v>1</v>
      </c>
      <c r="N1857" s="16" t="b">
        <v>0</v>
      </c>
      <c r="O1857" s="16" t="n">
        <v>492.0221683392841</v>
      </c>
      <c r="P1857" s="16" t="n">
        <v>284.2492732167756</v>
      </c>
      <c r="Q1857" s="16" t="n">
        <v>3000</v>
      </c>
      <c r="R1857" s="16" t="n">
        <v>400</v>
      </c>
      <c r="S1857" s="16" t="n">
        <v>0.6342746706494182</v>
      </c>
      <c r="T1857" s="16" t="n">
        <v>0.5723732239694571</v>
      </c>
      <c r="U1857" s="16" t="n">
        <v>0.4934112186505744</v>
      </c>
      <c r="V1857" s="16" t="n">
        <v>0.6448030860739415</v>
      </c>
      <c r="W1857" s="16" t="n">
        <v>0.6264138206782564</v>
      </c>
      <c r="X1857" s="16" t="n">
        <v>0.9372150739933284</v>
      </c>
      <c r="Y1857" s="16" t="n">
        <v>284.2492732167756</v>
      </c>
      <c r="Z1857" s="16" t="n">
        <v>9.02742664811058</v>
      </c>
      <c r="AA1857" s="16" t="n">
        <v>121.4209009639531</v>
      </c>
      <c r="AB1857" s="16" t="n">
        <v>2600</v>
      </c>
      <c r="AC1857" s="16" t="n">
        <v>7.5</v>
      </c>
      <c r="AD1857" s="16" t="inlineStr">
        <is>
          <t>O2</t>
        </is>
      </c>
      <c r="AE1857" s="16" t="n"/>
    </row>
    <row r="1858">
      <c r="A1858" s="16" t="inlineStr">
        <is>
          <t>KF-M05-2-0016</t>
        </is>
      </c>
      <c r="B1858" s="16" t="inlineStr">
        <is>
          <t>4.1</t>
        </is>
      </c>
      <c r="C1858" s="16" t="inlineStr">
        <is>
          <t>4.1b</t>
        </is>
      </c>
      <c r="D1858" s="16" t="inlineStr">
        <is>
          <t>conserva sus presiones</t>
        </is>
      </c>
      <c r="E1858" s="16" t="inlineStr">
        <is>
          <t>KF-M05</t>
        </is>
      </c>
      <c r="F1858" s="16" t="inlineStr">
        <is>
          <t>KF-M05-2</t>
        </is>
      </c>
      <c r="G1858" s="16" t="inlineStr">
        <is>
          <t>B09-2</t>
        </is>
      </c>
      <c r="H1858" s="16" t="inlineStr">
        <is>
          <t>lhs</t>
        </is>
      </c>
      <c r="I1858" s="16" t="inlineStr">
        <is>
          <t>CORREGIBLE</t>
        </is>
      </c>
      <c r="J1858" s="16" t="inlineStr">
        <is>
          <t>CORREGIBLE</t>
        </is>
      </c>
      <c r="K1858" s="16" t="b">
        <v>1</v>
      </c>
      <c r="L1858" s="16" t="b">
        <v>0</v>
      </c>
      <c r="M1858" s="16" t="b">
        <v>0</v>
      </c>
      <c r="N1858" s="16" t="b">
        <v>0</v>
      </c>
      <c r="O1858" s="16" t="n">
        <v>385.1452257523793</v>
      </c>
      <c r="P1858" s="16" t="n">
        <v>291.8900840271729</v>
      </c>
      <c r="Q1858" s="16" t="n">
        <v>3000</v>
      </c>
      <c r="R1858" s="16" t="n">
        <v>400</v>
      </c>
      <c r="S1858" s="16" t="n">
        <v>0.658296632405728</v>
      </c>
      <c r="T1858" s="16" t="n">
        <v>0.857474460939855</v>
      </c>
      <c r="U1858" s="16" t="n">
        <v>0.8732160032857956</v>
      </c>
      <c r="V1858" s="16" t="n">
        <v>0.902010089729684</v>
      </c>
      <c r="W1858" s="16" t="n">
        <v>0.564752746633372</v>
      </c>
      <c r="X1858" s="16" t="n">
        <v>0.7552982844300933</v>
      </c>
      <c r="Y1858" s="16" t="n">
        <v>291.8900840271729</v>
      </c>
      <c r="Z1858" s="16" t="n">
        <v>7.303174807212829</v>
      </c>
      <c r="AA1858" s="16" t="n">
        <v>27.62202695799961</v>
      </c>
      <c r="AB1858" s="16" t="n">
        <v>2600</v>
      </c>
      <c r="AC1858" s="16" t="n">
        <v>7.5</v>
      </c>
      <c r="AD1858" s="16" t="inlineStr">
        <is>
          <t>O2</t>
        </is>
      </c>
      <c r="AE1858" s="16" t="n"/>
    </row>
    <row r="1859">
      <c r="A1859" s="16" t="inlineStr">
        <is>
          <t>KF-M05-2-0017</t>
        </is>
      </c>
      <c r="B1859" s="16" t="inlineStr">
        <is>
          <t>4.1</t>
        </is>
      </c>
      <c r="C1859" s="16" t="inlineStr">
        <is>
          <t>4.1b</t>
        </is>
      </c>
      <c r="D1859" s="16" t="inlineStr">
        <is>
          <t>conserva sus presiones</t>
        </is>
      </c>
      <c r="E1859" s="16" t="inlineStr">
        <is>
          <t>KF-M05</t>
        </is>
      </c>
      <c r="F1859" s="16" t="inlineStr">
        <is>
          <t>KF-M05-2</t>
        </is>
      </c>
      <c r="G1859" s="16" t="inlineStr">
        <is>
          <t>B09-2</t>
        </is>
      </c>
      <c r="H1859" s="16" t="inlineStr">
        <is>
          <t>lhs</t>
        </is>
      </c>
      <c r="I1859" s="16" t="inlineStr">
        <is>
          <t>INVIABLE</t>
        </is>
      </c>
      <c r="J1859" s="16" t="inlineStr">
        <is>
          <t>INVIABLE</t>
        </is>
      </c>
      <c r="K1859" s="16" t="b">
        <v>1</v>
      </c>
      <c r="L1859" s="16" t="b">
        <v>0</v>
      </c>
      <c r="M1859" s="16" t="b">
        <v>0</v>
      </c>
      <c r="N1859" s="16" t="b">
        <v>0</v>
      </c>
      <c r="O1859" s="16" t="n">
        <v>387.1169344595215</v>
      </c>
      <c r="P1859" s="16" t="n">
        <v>288.1375308365737</v>
      </c>
      <c r="Q1859" s="16" t="n">
        <v>3000</v>
      </c>
      <c r="R1859" s="16" t="n">
        <v>400</v>
      </c>
      <c r="S1859" s="16" t="n">
        <v>0.693188615141872</v>
      </c>
      <c r="T1859" s="16" t="n">
        <v>0.4026755734716554</v>
      </c>
      <c r="U1859" s="16" t="n">
        <v>0.4850258564647046</v>
      </c>
      <c r="V1859" s="16" t="n">
        <v>0.7789965729460884</v>
      </c>
      <c r="W1859" s="16" t="n">
        <v>0.5758435375810858</v>
      </c>
      <c r="X1859" s="16" t="n">
        <v>0.7629460184364791</v>
      </c>
      <c r="Y1859" s="16" t="n">
        <v>288.1375308365737</v>
      </c>
      <c r="Z1859" s="16" t="n">
        <v>-15.32988944279511</v>
      </c>
      <c r="AA1859" s="16" t="n">
        <v>-56.02605866944219</v>
      </c>
      <c r="AB1859" s="16" t="n">
        <v>2600</v>
      </c>
      <c r="AC1859" s="16" t="n">
        <v>7.5</v>
      </c>
      <c r="AD1859" s="16" t="inlineStr">
        <is>
          <t>O2,O3</t>
        </is>
      </c>
      <c r="AE1859" s="16" t="n"/>
    </row>
    <row r="1860">
      <c r="A1860" s="16" t="inlineStr">
        <is>
          <t>KF-M05-2-0018</t>
        </is>
      </c>
      <c r="B1860" s="16" t="inlineStr">
        <is>
          <t>4.1</t>
        </is>
      </c>
      <c r="C1860" s="16" t="inlineStr">
        <is>
          <t>4.1b</t>
        </is>
      </c>
      <c r="D1860" s="16" t="inlineStr">
        <is>
          <t>conserva sus presiones</t>
        </is>
      </c>
      <c r="E1860" s="16" t="inlineStr">
        <is>
          <t>KF-M05</t>
        </is>
      </c>
      <c r="F1860" s="16" t="inlineStr">
        <is>
          <t>KF-M05-2</t>
        </is>
      </c>
      <c r="G1860" s="16" t="inlineStr">
        <is>
          <t>B09-2</t>
        </is>
      </c>
      <c r="H1860" s="16" t="inlineStr">
        <is>
          <t>lhs</t>
        </is>
      </c>
      <c r="I1860" s="16" t="inlineStr">
        <is>
          <t>CORREGIBLE</t>
        </is>
      </c>
      <c r="J1860" s="16" t="inlineStr">
        <is>
          <t>CORREGIBLE</t>
        </is>
      </c>
      <c r="K1860" s="16" t="b">
        <v>1</v>
      </c>
      <c r="L1860" s="16" t="b">
        <v>0</v>
      </c>
      <c r="M1860" s="16" t="b">
        <v>1</v>
      </c>
      <c r="N1860" s="16" t="b">
        <v>0</v>
      </c>
      <c r="O1860" s="16" t="n">
        <v>580.478446621471</v>
      </c>
      <c r="P1860" s="16" t="n">
        <v>297.0836599319316</v>
      </c>
      <c r="Q1860" s="16" t="n">
        <v>3000</v>
      </c>
      <c r="R1860" s="16" t="n">
        <v>400</v>
      </c>
      <c r="S1860" s="16" t="n">
        <v>0.5730001521468852</v>
      </c>
      <c r="T1860" s="16" t="n">
        <v>0.8490913506498294</v>
      </c>
      <c r="U1860" s="16" t="n">
        <v>0.7148612525340294</v>
      </c>
      <c r="V1860" s="16" t="n">
        <v>0.4961422926823817</v>
      </c>
      <c r="W1860" s="16" t="n">
        <v>0.4613313649081638</v>
      </c>
      <c r="X1860" s="16" t="n">
        <v>0.9288275679020376</v>
      </c>
      <c r="Y1860" s="16" t="n">
        <v>297.0836599319316</v>
      </c>
      <c r="Z1860" s="16" t="n">
        <v>13.11866415958384</v>
      </c>
      <c r="AA1860" s="16" t="n">
        <v>150.4926450110074</v>
      </c>
      <c r="AB1860" s="16" t="n">
        <v>2600</v>
      </c>
      <c r="AC1860" s="16" t="n">
        <v>7.5</v>
      </c>
      <c r="AD1860" s="16" t="inlineStr">
        <is>
          <t>O2</t>
        </is>
      </c>
      <c r="AE1860" s="16" t="n"/>
    </row>
    <row r="1861">
      <c r="A1861" s="16" t="inlineStr">
        <is>
          <t>KF-M05-2-0019</t>
        </is>
      </c>
      <c r="B1861" s="16" t="inlineStr">
        <is>
          <t>4.1</t>
        </is>
      </c>
      <c r="C1861" s="16" t="inlineStr">
        <is>
          <t>4.1b</t>
        </is>
      </c>
      <c r="D1861" s="16" t="inlineStr">
        <is>
          <t>conserva sus presiones</t>
        </is>
      </c>
      <c r="E1861" s="16" t="inlineStr">
        <is>
          <t>KF-M05</t>
        </is>
      </c>
      <c r="F1861" s="16" t="inlineStr">
        <is>
          <t>KF-M05-2</t>
        </is>
      </c>
      <c r="G1861" s="16" t="inlineStr">
        <is>
          <t>B09-2</t>
        </is>
      </c>
      <c r="H1861" s="16" t="inlineStr">
        <is>
          <t>lhs</t>
        </is>
      </c>
      <c r="I1861" s="16" t="inlineStr">
        <is>
          <t>INVIABLE</t>
        </is>
      </c>
      <c r="J1861" s="16" t="inlineStr">
        <is>
          <t>INVIABLE</t>
        </is>
      </c>
      <c r="K1861" s="16" t="b">
        <v>1</v>
      </c>
      <c r="L1861" s="16" t="b">
        <v>0</v>
      </c>
      <c r="M1861" s="16" t="b">
        <v>0</v>
      </c>
      <c r="N1861" s="16" t="b">
        <v>0</v>
      </c>
      <c r="O1861" s="16" t="n">
        <v>381.6092851157166</v>
      </c>
      <c r="P1861" s="16" t="n">
        <v>292.1099160180864</v>
      </c>
      <c r="Q1861" s="16" t="n">
        <v>3000</v>
      </c>
      <c r="R1861" s="16" t="n">
        <v>400</v>
      </c>
      <c r="S1861" s="16" t="n">
        <v>0.8280857294522489</v>
      </c>
      <c r="T1861" s="16" t="n">
        <v>0.7904709064057016</v>
      </c>
      <c r="U1861" s="16" t="n">
        <v>0.9108237128678998</v>
      </c>
      <c r="V1861" s="16" t="n">
        <v>0.5592128879270416</v>
      </c>
      <c r="W1861" s="16" t="n">
        <v>0.8589579293948728</v>
      </c>
      <c r="X1861" s="16" t="n">
        <v>0.8717842985953077</v>
      </c>
      <c r="Y1861" s="16" t="n">
        <v>292.1099160180864</v>
      </c>
      <c r="Z1861" s="16" t="n">
        <v>-53.35038721220121</v>
      </c>
      <c r="AA1861" s="16" t="n">
        <v>-48.76449577863713</v>
      </c>
      <c r="AB1861" s="16" t="n">
        <v>2600</v>
      </c>
      <c r="AC1861" s="16" t="n">
        <v>7.5</v>
      </c>
      <c r="AD1861" s="16" t="inlineStr">
        <is>
          <t>O2,O3</t>
        </is>
      </c>
      <c r="AE1861" s="16" t="n"/>
    </row>
    <row r="1862">
      <c r="A1862" s="16" t="inlineStr">
        <is>
          <t>KF-M05-2-0020</t>
        </is>
      </c>
      <c r="B1862" s="16" t="inlineStr">
        <is>
          <t>4.1</t>
        </is>
      </c>
      <c r="C1862" s="16" t="inlineStr">
        <is>
          <t>4.1b</t>
        </is>
      </c>
      <c r="D1862" s="16" t="inlineStr">
        <is>
          <t>conserva sus presiones</t>
        </is>
      </c>
      <c r="E1862" s="16" t="inlineStr">
        <is>
          <t>KF-M05</t>
        </is>
      </c>
      <c r="F1862" s="16" t="inlineStr">
        <is>
          <t>KF-M05-2</t>
        </is>
      </c>
      <c r="G1862" s="16" t="inlineStr">
        <is>
          <t>B09-2</t>
        </is>
      </c>
      <c r="H1862" s="16" t="inlineStr">
        <is>
          <t>lhs</t>
        </is>
      </c>
      <c r="I1862" s="16" t="inlineStr">
        <is>
          <t>NO_CONVERGIO</t>
        </is>
      </c>
      <c r="J1862" s="16" t="inlineStr">
        <is>
          <t>NO_CONVERGIO</t>
        </is>
      </c>
      <c r="K1862" s="16" t="b">
        <v>0</v>
      </c>
      <c r="L1862" s="16" t="b">
        <v>0</v>
      </c>
      <c r="M1862" s="16" t="b">
        <v>0</v>
      </c>
      <c r="N1862" s="16" t="b">
        <v>0</v>
      </c>
      <c r="O1862" s="16" t="n">
        <v>553.4411316567061</v>
      </c>
      <c r="P1862" s="16" t="n">
        <v>298.1346786251853</v>
      </c>
      <c r="Q1862" s="16" t="n">
        <v>3000</v>
      </c>
      <c r="R1862" s="16" t="n">
        <v>400</v>
      </c>
      <c r="S1862" s="16" t="n">
        <v>0.6434625504812456</v>
      </c>
      <c r="T1862" s="16" t="n">
        <v>0.930921708132335</v>
      </c>
      <c r="U1862" s="16" t="n">
        <v>0.6671597750601477</v>
      </c>
      <c r="V1862" s="16" t="n">
        <v>0.928287787532095</v>
      </c>
      <c r="W1862" s="16" t="n">
        <v>0.4817168985688762</v>
      </c>
      <c r="X1862" s="16" t="n">
        <v>0.6611472387809112</v>
      </c>
      <c r="Y1862" s="16" t="n">
        <v>298.1346786251853</v>
      </c>
      <c r="Z1862" s="16" t="n"/>
      <c r="AA1862" s="16" t="n"/>
      <c r="AB1862" s="16" t="n">
        <v>2600</v>
      </c>
      <c r="AC1862" s="16" t="n">
        <v>7.5</v>
      </c>
      <c r="AD1862" s="16" t="n"/>
      <c r="AE1862" s="16" t="n"/>
    </row>
    <row r="1863">
      <c r="A1863" s="16" t="inlineStr">
        <is>
          <t>KF-M05-2-0021</t>
        </is>
      </c>
      <c r="B1863" s="16" t="inlineStr">
        <is>
          <t>4.1</t>
        </is>
      </c>
      <c r="C1863" s="16" t="inlineStr">
        <is>
          <t>4.1b</t>
        </is>
      </c>
      <c r="D1863" s="16" t="inlineStr">
        <is>
          <t>conserva sus presiones</t>
        </is>
      </c>
      <c r="E1863" s="16" t="inlineStr">
        <is>
          <t>KF-M05</t>
        </is>
      </c>
      <c r="F1863" s="16" t="inlineStr">
        <is>
          <t>KF-M05-2</t>
        </is>
      </c>
      <c r="G1863" s="16" t="inlineStr">
        <is>
          <t>B09-2</t>
        </is>
      </c>
      <c r="H1863" s="16" t="inlineStr">
        <is>
          <t>lhs</t>
        </is>
      </c>
      <c r="I1863" s="16" t="inlineStr">
        <is>
          <t>CORREGIBLE</t>
        </is>
      </c>
      <c r="J1863" s="16" t="inlineStr">
        <is>
          <t>CORREGIBLE</t>
        </is>
      </c>
      <c r="K1863" s="16" t="b">
        <v>1</v>
      </c>
      <c r="L1863" s="16" t="b">
        <v>0</v>
      </c>
      <c r="M1863" s="16" t="b">
        <v>1</v>
      </c>
      <c r="N1863" s="16" t="b">
        <v>0</v>
      </c>
      <c r="O1863" s="16" t="n">
        <v>481.7445653297842</v>
      </c>
      <c r="P1863" s="16" t="n">
        <v>296.7170439313891</v>
      </c>
      <c r="Q1863" s="16" t="n">
        <v>3000</v>
      </c>
      <c r="R1863" s="16" t="n">
        <v>400</v>
      </c>
      <c r="S1863" s="16" t="n">
        <v>0.510276150259235</v>
      </c>
      <c r="T1863" s="16" t="n">
        <v>0.9390343103620952</v>
      </c>
      <c r="U1863" s="16" t="n">
        <v>0.8411975372910446</v>
      </c>
      <c r="V1863" s="16" t="n">
        <v>0.7683797490272216</v>
      </c>
      <c r="W1863" s="16" t="n">
        <v>0.7401498230380614</v>
      </c>
      <c r="X1863" s="16" t="n">
        <v>0.4099294910115931</v>
      </c>
      <c r="Y1863" s="16" t="n">
        <v>296.7170439313891</v>
      </c>
      <c r="Z1863" s="16" t="n">
        <v>10.94440928467221</v>
      </c>
      <c r="AA1863" s="16" t="n">
        <v>91.07837785702144</v>
      </c>
      <c r="AB1863" s="16" t="n">
        <v>2600</v>
      </c>
      <c r="AC1863" s="16" t="n">
        <v>7.5</v>
      </c>
      <c r="AD1863" s="16" t="inlineStr">
        <is>
          <t>O1,O2</t>
        </is>
      </c>
      <c r="AE1863" s="16" t="n"/>
    </row>
    <row r="1864">
      <c r="A1864" s="16" t="inlineStr">
        <is>
          <t>KF-M05-2-0022</t>
        </is>
      </c>
      <c r="B1864" s="16" t="inlineStr">
        <is>
          <t>4.1</t>
        </is>
      </c>
      <c r="C1864" s="16" t="inlineStr">
        <is>
          <t>4.1b</t>
        </is>
      </c>
      <c r="D1864" s="16" t="inlineStr">
        <is>
          <t>conserva sus presiones</t>
        </is>
      </c>
      <c r="E1864" s="16" t="inlineStr">
        <is>
          <t>KF-M05</t>
        </is>
      </c>
      <c r="F1864" s="16" t="inlineStr">
        <is>
          <t>KF-M05-2</t>
        </is>
      </c>
      <c r="G1864" s="16" t="inlineStr">
        <is>
          <t>B09-2</t>
        </is>
      </c>
      <c r="H1864" s="16" t="inlineStr">
        <is>
          <t>lhs</t>
        </is>
      </c>
      <c r="I1864" s="16" t="inlineStr">
        <is>
          <t>NO_CONVERGIO</t>
        </is>
      </c>
      <c r="J1864" s="16" t="inlineStr">
        <is>
          <t>NO_CONVERGIO</t>
        </is>
      </c>
      <c r="K1864" s="16" t="b">
        <v>0</v>
      </c>
      <c r="L1864" s="16" t="b">
        <v>0</v>
      </c>
      <c r="M1864" s="16" t="b">
        <v>0</v>
      </c>
      <c r="N1864" s="16" t="b">
        <v>0</v>
      </c>
      <c r="O1864" s="16" t="n">
        <v>597.4914533630786</v>
      </c>
      <c r="P1864" s="16" t="n">
        <v>289.8664644074867</v>
      </c>
      <c r="Q1864" s="16" t="n">
        <v>3000</v>
      </c>
      <c r="R1864" s="16" t="n">
        <v>400</v>
      </c>
      <c r="S1864" s="16" t="n">
        <v>0.785751161347557</v>
      </c>
      <c r="T1864" s="16" t="n">
        <v>0.5199350368948588</v>
      </c>
      <c r="U1864" s="16" t="n">
        <v>0.7359791896887078</v>
      </c>
      <c r="V1864" s="16" t="n">
        <v>0.8621659181681649</v>
      </c>
      <c r="W1864" s="16" t="n">
        <v>0.7539257467861609</v>
      </c>
      <c r="X1864" s="16" t="n">
        <v>0.4729664081867962</v>
      </c>
      <c r="Y1864" s="16" t="n">
        <v>289.8664644074867</v>
      </c>
      <c r="Z1864" s="16" t="n"/>
      <c r="AA1864" s="16" t="n"/>
      <c r="AB1864" s="16" t="n">
        <v>2600</v>
      </c>
      <c r="AC1864" s="16" t="n">
        <v>7.5</v>
      </c>
      <c r="AD1864" s="16" t="n"/>
      <c r="AE1864" s="16" t="n"/>
    </row>
    <row r="1865">
      <c r="A1865" s="16" t="inlineStr">
        <is>
          <t>KF-M05-2-0023</t>
        </is>
      </c>
      <c r="B1865" s="16" t="inlineStr">
        <is>
          <t>4.1</t>
        </is>
      </c>
      <c r="C1865" s="16" t="inlineStr">
        <is>
          <t>4.1b</t>
        </is>
      </c>
      <c r="D1865" s="16" t="inlineStr">
        <is>
          <t>conserva sus presiones</t>
        </is>
      </c>
      <c r="E1865" s="16" t="inlineStr">
        <is>
          <t>KF-M05</t>
        </is>
      </c>
      <c r="F1865" s="16" t="inlineStr">
        <is>
          <t>KF-M05-2</t>
        </is>
      </c>
      <c r="G1865" s="16" t="inlineStr">
        <is>
          <t>B09-2</t>
        </is>
      </c>
      <c r="H1865" s="16" t="inlineStr">
        <is>
          <t>lhs</t>
        </is>
      </c>
      <c r="I1865" s="16" t="inlineStr">
        <is>
          <t>CORREGIBLE</t>
        </is>
      </c>
      <c r="J1865" s="16" t="inlineStr">
        <is>
          <t>CORREGIBLE</t>
        </is>
      </c>
      <c r="K1865" s="16" t="b">
        <v>1</v>
      </c>
      <c r="L1865" s="16" t="b">
        <v>0</v>
      </c>
      <c r="M1865" s="16" t="b">
        <v>1</v>
      </c>
      <c r="N1865" s="16" t="b">
        <v>0</v>
      </c>
      <c r="O1865" s="16" t="n">
        <v>432.9542778106157</v>
      </c>
      <c r="P1865" s="16" t="n">
        <v>292.587597440644</v>
      </c>
      <c r="Q1865" s="16" t="n">
        <v>3000</v>
      </c>
      <c r="R1865" s="16" t="n">
        <v>400</v>
      </c>
      <c r="S1865" s="16" t="n">
        <v>0.5202835062581552</v>
      </c>
      <c r="T1865" s="16" t="n">
        <v>0.8020399299204084</v>
      </c>
      <c r="U1865" s="16" t="n">
        <v>0.5910677972977382</v>
      </c>
      <c r="V1865" s="16" t="n">
        <v>0.9475507614177018</v>
      </c>
      <c r="W1865" s="16" t="n">
        <v>0.7748173914646728</v>
      </c>
      <c r="X1865" s="16" t="n">
        <v>0.5729319287944419</v>
      </c>
      <c r="Y1865" s="16" t="n">
        <v>292.587597440644</v>
      </c>
      <c r="Z1865" s="16" t="n">
        <v>6.28819598947969</v>
      </c>
      <c r="AA1865" s="16" t="n">
        <v>38.20212324102238</v>
      </c>
      <c r="AB1865" s="16" t="n">
        <v>2600</v>
      </c>
      <c r="AC1865" s="16" t="n">
        <v>7.5</v>
      </c>
      <c r="AD1865" s="16" t="inlineStr">
        <is>
          <t>O2</t>
        </is>
      </c>
      <c r="AE1865" s="16" t="n"/>
    </row>
    <row r="1866">
      <c r="A1866" s="16" t="inlineStr">
        <is>
          <t>KF-M05-2-0024</t>
        </is>
      </c>
      <c r="B1866" s="16" t="inlineStr">
        <is>
          <t>4.1</t>
        </is>
      </c>
      <c r="C1866" s="16" t="inlineStr">
        <is>
          <t>4.1b</t>
        </is>
      </c>
      <c r="D1866" s="16" t="inlineStr">
        <is>
          <t>conserva sus presiones</t>
        </is>
      </c>
      <c r="E1866" s="16" t="inlineStr">
        <is>
          <t>KF-M05</t>
        </is>
      </c>
      <c r="F1866" s="16" t="inlineStr">
        <is>
          <t>KF-M05-2</t>
        </is>
      </c>
      <c r="G1866" s="16" t="inlineStr">
        <is>
          <t>B09-2</t>
        </is>
      </c>
      <c r="H1866" s="16" t="inlineStr">
        <is>
          <t>lhs</t>
        </is>
      </c>
      <c r="I1866" s="16" t="inlineStr">
        <is>
          <t>CORREGIBLE</t>
        </is>
      </c>
      <c r="J1866" s="16" t="inlineStr">
        <is>
          <t>CORREGIBLE</t>
        </is>
      </c>
      <c r="K1866" s="16" t="b">
        <v>1</v>
      </c>
      <c r="L1866" s="16" t="b">
        <v>0</v>
      </c>
      <c r="M1866" s="16" t="b">
        <v>1</v>
      </c>
      <c r="N1866" s="16" t="b">
        <v>0</v>
      </c>
      <c r="O1866" s="16" t="n">
        <v>435.4917432016901</v>
      </c>
      <c r="P1866" s="16" t="n">
        <v>279.3362073138771</v>
      </c>
      <c r="Q1866" s="16" t="n">
        <v>3000</v>
      </c>
      <c r="R1866" s="16" t="n">
        <v>400</v>
      </c>
      <c r="S1866" s="16" t="n">
        <v>0.5548135933439685</v>
      </c>
      <c r="T1866" s="16" t="n">
        <v>0.6569226197673017</v>
      </c>
      <c r="U1866" s="16" t="n">
        <v>0.5552273636281854</v>
      </c>
      <c r="V1866" s="16" t="n">
        <v>0.760909944844665</v>
      </c>
      <c r="W1866" s="16" t="n">
        <v>0.8258724362864788</v>
      </c>
      <c r="X1866" s="16" t="n">
        <v>0.6491521921333787</v>
      </c>
      <c r="Y1866" s="16" t="n">
        <v>279.3362073138771</v>
      </c>
      <c r="Z1866" s="16" t="n">
        <v>7.24667126204722</v>
      </c>
      <c r="AA1866" s="16" t="n">
        <v>49.27717316240117</v>
      </c>
      <c r="AB1866" s="16" t="n">
        <v>2600</v>
      </c>
      <c r="AC1866" s="16" t="n">
        <v>7.5</v>
      </c>
      <c r="AD1866" s="16" t="inlineStr">
        <is>
          <t>O2</t>
        </is>
      </c>
      <c r="AE1866" s="16" t="n"/>
    </row>
    <row r="1867">
      <c r="A1867" s="16" t="inlineStr">
        <is>
          <t>KF-M05-2-0025</t>
        </is>
      </c>
      <c r="B1867" s="16" t="inlineStr">
        <is>
          <t>4.1</t>
        </is>
      </c>
      <c r="C1867" s="16" t="inlineStr">
        <is>
          <t>4.1b</t>
        </is>
      </c>
      <c r="D1867" s="16" t="inlineStr">
        <is>
          <t>conserva sus presiones</t>
        </is>
      </c>
      <c r="E1867" s="16" t="inlineStr">
        <is>
          <t>KF-M05</t>
        </is>
      </c>
      <c r="F1867" s="16" t="inlineStr">
        <is>
          <t>KF-M05-2</t>
        </is>
      </c>
      <c r="G1867" s="16" t="inlineStr">
        <is>
          <t>B09-2</t>
        </is>
      </c>
      <c r="H1867" s="16" t="inlineStr">
        <is>
          <t>lhs</t>
        </is>
      </c>
      <c r="I1867" s="16" t="inlineStr">
        <is>
          <t>INVIABLE</t>
        </is>
      </c>
      <c r="J1867" s="16" t="inlineStr">
        <is>
          <t>INVIABLE</t>
        </is>
      </c>
      <c r="K1867" s="16" t="b">
        <v>1</v>
      </c>
      <c r="L1867" s="16" t="b">
        <v>0</v>
      </c>
      <c r="M1867" s="16" t="b">
        <v>0</v>
      </c>
      <c r="N1867" s="16" t="b">
        <v>0</v>
      </c>
      <c r="O1867" s="16" t="n">
        <v>405.4893759724959</v>
      </c>
      <c r="P1867" s="16" t="n">
        <v>293.8616270379974</v>
      </c>
      <c r="Q1867" s="16" t="n">
        <v>3000</v>
      </c>
      <c r="R1867" s="16" t="n">
        <v>400</v>
      </c>
      <c r="S1867" s="16" t="n">
        <v>0.7624489429117546</v>
      </c>
      <c r="T1867" s="16" t="n">
        <v>0.6624230355953621</v>
      </c>
      <c r="U1867" s="16" t="n">
        <v>0.6745314417760686</v>
      </c>
      <c r="V1867" s="16" t="n">
        <v>0.7866010373071156</v>
      </c>
      <c r="W1867" s="16" t="n">
        <v>0.4431974807777925</v>
      </c>
      <c r="X1867" s="16" t="n">
        <v>0.5488378480606902</v>
      </c>
      <c r="Y1867" s="16" t="n">
        <v>293.8616270379974</v>
      </c>
      <c r="Z1867" s="16" t="n">
        <v>-71.02206373282802</v>
      </c>
      <c r="AA1867" s="16" t="n">
        <v>-117.9172022283764</v>
      </c>
      <c r="AB1867" s="16" t="n">
        <v>2600</v>
      </c>
      <c r="AC1867" s="16" t="n">
        <v>7.5</v>
      </c>
      <c r="AD1867" s="16" t="inlineStr">
        <is>
          <t>O2,O3</t>
        </is>
      </c>
      <c r="AE1867" s="16" t="n"/>
    </row>
    <row r="1868">
      <c r="A1868" s="16" t="inlineStr">
        <is>
          <t>KF-M05-2-0026</t>
        </is>
      </c>
      <c r="B1868" s="16" t="inlineStr">
        <is>
          <t>4.1</t>
        </is>
      </c>
      <c r="C1868" s="16" t="inlineStr">
        <is>
          <t>4.1b</t>
        </is>
      </c>
      <c r="D1868" s="16" t="inlineStr">
        <is>
          <t>conserva sus presiones</t>
        </is>
      </c>
      <c r="E1868" s="16" t="inlineStr">
        <is>
          <t>KF-M05</t>
        </is>
      </c>
      <c r="F1868" s="16" t="inlineStr">
        <is>
          <t>KF-M05-2</t>
        </is>
      </c>
      <c r="G1868" s="16" t="inlineStr">
        <is>
          <t>B09-2</t>
        </is>
      </c>
      <c r="H1868" s="16" t="inlineStr">
        <is>
          <t>lhs</t>
        </is>
      </c>
      <c r="I1868" s="16" t="inlineStr">
        <is>
          <t>INVIABLE</t>
        </is>
      </c>
      <c r="J1868" s="16" t="inlineStr">
        <is>
          <t>INVIABLE</t>
        </is>
      </c>
      <c r="K1868" s="16" t="b">
        <v>1</v>
      </c>
      <c r="L1868" s="16" t="b">
        <v>0</v>
      </c>
      <c r="M1868" s="16" t="b">
        <v>1</v>
      </c>
      <c r="N1868" s="16" t="b">
        <v>0</v>
      </c>
      <c r="O1868" s="16" t="n">
        <v>542.9014919960931</v>
      </c>
      <c r="P1868" s="16" t="n">
        <v>298.272043013744</v>
      </c>
      <c r="Q1868" s="16" t="n">
        <v>3000</v>
      </c>
      <c r="R1868" s="16" t="n">
        <v>400</v>
      </c>
      <c r="S1868" s="16" t="n">
        <v>0.5418528378632304</v>
      </c>
      <c r="T1868" s="16" t="n">
        <v>0.6133923218542554</v>
      </c>
      <c r="U1868" s="16" t="n">
        <v>0.4361858354999067</v>
      </c>
      <c r="V1868" s="16" t="n">
        <v>0.408384396713441</v>
      </c>
      <c r="W1868" s="16" t="n">
        <v>0.7222052540757724</v>
      </c>
      <c r="X1868" s="16" t="n">
        <v>0.6063146668031706</v>
      </c>
      <c r="Y1868" s="16" t="n">
        <v>298.272043013744</v>
      </c>
      <c r="Z1868" s="16" t="n">
        <v>-4.75193491830822</v>
      </c>
      <c r="AA1868" s="16" t="n">
        <v>-34.38576658834158</v>
      </c>
      <c r="AB1868" s="16" t="n">
        <v>2600</v>
      </c>
      <c r="AC1868" s="16" t="n">
        <v>7.5</v>
      </c>
      <c r="AD1868" s="16" t="inlineStr">
        <is>
          <t>O2,O3</t>
        </is>
      </c>
      <c r="AE1868" s="16" t="n"/>
    </row>
    <row r="1869">
      <c r="A1869" s="16" t="inlineStr">
        <is>
          <t>KF-M05-2-0027</t>
        </is>
      </c>
      <c r="B1869" s="16" t="inlineStr">
        <is>
          <t>4.1</t>
        </is>
      </c>
      <c r="C1869" s="16" t="inlineStr">
        <is>
          <t>4.1b</t>
        </is>
      </c>
      <c r="D1869" s="16" t="inlineStr">
        <is>
          <t>conserva sus presiones</t>
        </is>
      </c>
      <c r="E1869" s="16" t="inlineStr">
        <is>
          <t>KF-M05</t>
        </is>
      </c>
      <c r="F1869" s="16" t="inlineStr">
        <is>
          <t>KF-M05-2</t>
        </is>
      </c>
      <c r="G1869" s="16" t="inlineStr">
        <is>
          <t>B09-2</t>
        </is>
      </c>
      <c r="H1869" s="16" t="inlineStr">
        <is>
          <t>lhs</t>
        </is>
      </c>
      <c r="I1869" s="16" t="inlineStr">
        <is>
          <t>INVIABLE</t>
        </is>
      </c>
      <c r="J1869" s="16" t="inlineStr">
        <is>
          <t>INVIABLE</t>
        </is>
      </c>
      <c r="K1869" s="16" t="b">
        <v>1</v>
      </c>
      <c r="L1869" s="16" t="b">
        <v>0</v>
      </c>
      <c r="M1869" s="16" t="b">
        <v>1</v>
      </c>
      <c r="N1869" s="16" t="b">
        <v>0</v>
      </c>
      <c r="O1869" s="16" t="n">
        <v>486.7111911759393</v>
      </c>
      <c r="P1869" s="16" t="n">
        <v>294.2320983372865</v>
      </c>
      <c r="Q1869" s="16" t="n">
        <v>3000</v>
      </c>
      <c r="R1869" s="16" t="n">
        <v>400</v>
      </c>
      <c r="S1869" s="16" t="n">
        <v>0.6164214389587741</v>
      </c>
      <c r="T1869" s="16" t="n">
        <v>0.4272851985033796</v>
      </c>
      <c r="U1869" s="16" t="n">
        <v>0.813700186119833</v>
      </c>
      <c r="V1869" s="16" t="n">
        <v>0.6740866449052365</v>
      </c>
      <c r="W1869" s="16" t="n">
        <v>0.4293573403903908</v>
      </c>
      <c r="X1869" s="16" t="n">
        <v>0.4020921118206159</v>
      </c>
      <c r="Y1869" s="16" t="n">
        <v>294.2320983372865</v>
      </c>
      <c r="Z1869" s="16" t="n">
        <v>-22.35561661794386</v>
      </c>
      <c r="AA1869" s="16" t="n">
        <v>-127.1392721962758</v>
      </c>
      <c r="AB1869" s="16" t="n">
        <v>2600</v>
      </c>
      <c r="AC1869" s="16" t="n">
        <v>7.5</v>
      </c>
      <c r="AD1869" s="16" t="inlineStr">
        <is>
          <t>O2,O3</t>
        </is>
      </c>
      <c r="AE1869" s="16" t="n"/>
    </row>
    <row r="1870">
      <c r="A1870" s="16" t="inlineStr">
        <is>
          <t>KF-M05-2-0028</t>
        </is>
      </c>
      <c r="B1870" s="16" t="inlineStr">
        <is>
          <t>4.1</t>
        </is>
      </c>
      <c r="C1870" s="16" t="inlineStr">
        <is>
          <t>4.1b</t>
        </is>
      </c>
      <c r="D1870" s="16" t="inlineStr">
        <is>
          <t>conserva sus presiones</t>
        </is>
      </c>
      <c r="E1870" s="16" t="inlineStr">
        <is>
          <t>KF-M05</t>
        </is>
      </c>
      <c r="F1870" s="16" t="inlineStr">
        <is>
          <t>KF-M05-2</t>
        </is>
      </c>
      <c r="G1870" s="16" t="inlineStr">
        <is>
          <t>B09-2</t>
        </is>
      </c>
      <c r="H1870" s="16" t="inlineStr">
        <is>
          <t>lhs</t>
        </is>
      </c>
      <c r="I1870" s="16" t="inlineStr">
        <is>
          <t>INVIABLE</t>
        </is>
      </c>
      <c r="J1870" s="16" t="inlineStr">
        <is>
          <t>INVIABLE</t>
        </is>
      </c>
      <c r="K1870" s="16" t="b">
        <v>1</v>
      </c>
      <c r="L1870" s="16" t="b">
        <v>0</v>
      </c>
      <c r="M1870" s="16" t="b">
        <v>1</v>
      </c>
      <c r="N1870" s="16" t="b">
        <v>0</v>
      </c>
      <c r="O1870" s="16" t="n">
        <v>563.5212635239043</v>
      </c>
      <c r="P1870" s="16" t="n">
        <v>294.5058339614647</v>
      </c>
      <c r="Q1870" s="16" t="n">
        <v>3000</v>
      </c>
      <c r="R1870" s="16" t="n">
        <v>400</v>
      </c>
      <c r="S1870" s="16" t="n">
        <v>0.6385615971432461</v>
      </c>
      <c r="T1870" s="16" t="n">
        <v>0.5024547220031996</v>
      </c>
      <c r="U1870" s="16" t="n">
        <v>0.5289817024052167</v>
      </c>
      <c r="V1870" s="16" t="n">
        <v>0.6153360492660188</v>
      </c>
      <c r="W1870" s="16" t="n">
        <v>0.4724659259588634</v>
      </c>
      <c r="X1870" s="16" t="n">
        <v>0.5368019117462053</v>
      </c>
      <c r="Y1870" s="16" t="n">
        <v>294.5058339614647</v>
      </c>
      <c r="Z1870" s="16" t="n">
        <v>-24.76656627397377</v>
      </c>
      <c r="AA1870" s="16" t="n">
        <v>-174.3544119246924</v>
      </c>
      <c r="AB1870" s="16" t="n">
        <v>2600</v>
      </c>
      <c r="AC1870" s="16" t="n">
        <v>7.5</v>
      </c>
      <c r="AD1870" s="16" t="inlineStr">
        <is>
          <t>O2,O3</t>
        </is>
      </c>
      <c r="AE1870" s="16" t="n"/>
    </row>
    <row r="1871">
      <c r="A1871" s="16" t="inlineStr">
        <is>
          <t>KF-M05-2-0029</t>
        </is>
      </c>
      <c r="B1871" s="16" t="inlineStr">
        <is>
          <t>4.1</t>
        </is>
      </c>
      <c r="C1871" s="16" t="inlineStr">
        <is>
          <t>4.1b</t>
        </is>
      </c>
      <c r="D1871" s="16" t="inlineStr">
        <is>
          <t>conserva sus presiones</t>
        </is>
      </c>
      <c r="E1871" s="16" t="inlineStr">
        <is>
          <t>KF-M05</t>
        </is>
      </c>
      <c r="F1871" s="16" t="inlineStr">
        <is>
          <t>KF-M05-2</t>
        </is>
      </c>
      <c r="G1871" s="16" t="inlineStr">
        <is>
          <t>B09-2</t>
        </is>
      </c>
      <c r="H1871" s="16" t="inlineStr">
        <is>
          <t>lhs</t>
        </is>
      </c>
      <c r="I1871" s="16" t="inlineStr">
        <is>
          <t>CORREGIBLE</t>
        </is>
      </c>
      <c r="J1871" s="16" t="inlineStr">
        <is>
          <t>CORREGIBLE</t>
        </is>
      </c>
      <c r="K1871" s="16" t="b">
        <v>1</v>
      </c>
      <c r="L1871" s="16" t="b">
        <v>0</v>
      </c>
      <c r="M1871" s="16" t="b">
        <v>1</v>
      </c>
      <c r="N1871" s="16" t="b">
        <v>0</v>
      </c>
      <c r="O1871" s="16" t="n">
        <v>526.0281651855414</v>
      </c>
      <c r="P1871" s="16" t="n">
        <v>297.6264415025157</v>
      </c>
      <c r="Q1871" s="16" t="n">
        <v>3000</v>
      </c>
      <c r="R1871" s="16" t="n">
        <v>400</v>
      </c>
      <c r="S1871" s="16" t="n">
        <v>0.7136464605186427</v>
      </c>
      <c r="T1871" s="16" t="n">
        <v>0.9265282700052364</v>
      </c>
      <c r="U1871" s="16" t="n">
        <v>0.4475512809700286</v>
      </c>
      <c r="V1871" s="16" t="n">
        <v>0.6343457399151529</v>
      </c>
      <c r="W1871" s="16" t="n">
        <v>0.4054290676217217</v>
      </c>
      <c r="X1871" s="16" t="n">
        <v>0.8735102188089663</v>
      </c>
      <c r="Y1871" s="16" t="n">
        <v>297.6264415025157</v>
      </c>
      <c r="Z1871" s="16" t="n">
        <v>0.1530125459603599</v>
      </c>
      <c r="AA1871" s="16" t="n">
        <v>1.291373370668452</v>
      </c>
      <c r="AB1871" s="16" t="n">
        <v>2600</v>
      </c>
      <c r="AC1871" s="16" t="n">
        <v>7.5</v>
      </c>
      <c r="AD1871" s="16" t="inlineStr">
        <is>
          <t>O1,O2</t>
        </is>
      </c>
      <c r="AE1871" s="16" t="n"/>
    </row>
    <row r="1872">
      <c r="A1872" s="16" t="inlineStr">
        <is>
          <t>KF-M05-2-0030</t>
        </is>
      </c>
      <c r="B1872" s="16" t="inlineStr">
        <is>
          <t>4.1</t>
        </is>
      </c>
      <c r="C1872" s="16" t="inlineStr">
        <is>
          <t>4.1b</t>
        </is>
      </c>
      <c r="D1872" s="16" t="inlineStr">
        <is>
          <t>conserva sus presiones</t>
        </is>
      </c>
      <c r="E1872" s="16" t="inlineStr">
        <is>
          <t>KF-M05</t>
        </is>
      </c>
      <c r="F1872" s="16" t="inlineStr">
        <is>
          <t>KF-M05-2</t>
        </is>
      </c>
      <c r="G1872" s="16" t="inlineStr">
        <is>
          <t>B09-2</t>
        </is>
      </c>
      <c r="H1872" s="16" t="inlineStr">
        <is>
          <t>lhs</t>
        </is>
      </c>
      <c r="I1872" s="16" t="inlineStr">
        <is>
          <t>INVIABLE</t>
        </is>
      </c>
      <c r="J1872" s="16" t="inlineStr">
        <is>
          <t>INVIABLE</t>
        </is>
      </c>
      <c r="K1872" s="16" t="b">
        <v>1</v>
      </c>
      <c r="L1872" s="16" t="b">
        <v>0</v>
      </c>
      <c r="M1872" s="16" t="b">
        <v>0</v>
      </c>
      <c r="N1872" s="16" t="b">
        <v>0</v>
      </c>
      <c r="O1872" s="16" t="n">
        <v>411.1325486820402</v>
      </c>
      <c r="P1872" s="16" t="n">
        <v>283.6634316588716</v>
      </c>
      <c r="Q1872" s="16" t="n">
        <v>3000</v>
      </c>
      <c r="R1872" s="16" t="n">
        <v>400</v>
      </c>
      <c r="S1872" s="16" t="n">
        <v>0.7828972570119513</v>
      </c>
      <c r="T1872" s="16" t="n">
        <v>0.605483518584345</v>
      </c>
      <c r="U1872" s="16" t="n">
        <v>0.4202786529010811</v>
      </c>
      <c r="V1872" s="16" t="n">
        <v>0.8971295630543502</v>
      </c>
      <c r="W1872" s="16" t="n">
        <v>0.7049619639728182</v>
      </c>
      <c r="X1872" s="16" t="n">
        <v>0.9473958119671976</v>
      </c>
      <c r="Y1872" s="16" t="n">
        <v>283.6634316588716</v>
      </c>
      <c r="Z1872" s="16" t="n">
        <v>-5.26101115746288</v>
      </c>
      <c r="AA1872" s="16" t="n">
        <v>-37.15411543751244</v>
      </c>
      <c r="AB1872" s="16" t="n">
        <v>2600</v>
      </c>
      <c r="AC1872" s="16" t="n">
        <v>7.5</v>
      </c>
      <c r="AD1872" s="16" t="inlineStr">
        <is>
          <t>O2,O3</t>
        </is>
      </c>
      <c r="AE1872" s="16" t="n"/>
    </row>
    <row r="1873">
      <c r="A1873" s="16" t="inlineStr">
        <is>
          <t>KF-M05-2-0031</t>
        </is>
      </c>
      <c r="B1873" s="16" t="inlineStr">
        <is>
          <t>4.1</t>
        </is>
      </c>
      <c r="C1873" s="16" t="inlineStr">
        <is>
          <t>4.1b</t>
        </is>
      </c>
      <c r="D1873" s="16" t="inlineStr">
        <is>
          <t>conserva sus presiones</t>
        </is>
      </c>
      <c r="E1873" s="16" t="inlineStr">
        <is>
          <t>KF-M05</t>
        </is>
      </c>
      <c r="F1873" s="16" t="inlineStr">
        <is>
          <t>KF-M05-2</t>
        </is>
      </c>
      <c r="G1873" s="16" t="inlineStr">
        <is>
          <t>B09-2</t>
        </is>
      </c>
      <c r="H1873" s="16" t="inlineStr">
        <is>
          <t>lhs</t>
        </is>
      </c>
      <c r="I1873" s="16" t="inlineStr">
        <is>
          <t>NO_CONVERGIO</t>
        </is>
      </c>
      <c r="J1873" s="16" t="inlineStr">
        <is>
          <t>NO_CONVERGIO</t>
        </is>
      </c>
      <c r="K1873" s="16" t="b">
        <v>0</v>
      </c>
      <c r="L1873" s="16" t="b">
        <v>0</v>
      </c>
      <c r="M1873" s="16" t="b">
        <v>0</v>
      </c>
      <c r="N1873" s="16" t="b">
        <v>0</v>
      </c>
      <c r="O1873" s="16" t="n">
        <v>523.2492948542856</v>
      </c>
      <c r="P1873" s="16" t="n">
        <v>299.8653708872739</v>
      </c>
      <c r="Q1873" s="16" t="n">
        <v>3000</v>
      </c>
      <c r="R1873" s="16" t="n">
        <v>400</v>
      </c>
      <c r="S1873" s="16" t="n">
        <v>0.7797620110576686</v>
      </c>
      <c r="T1873" s="16" t="n">
        <v>0.8090613536881437</v>
      </c>
      <c r="U1873" s="16" t="n">
        <v>0.9190576848256664</v>
      </c>
      <c r="V1873" s="16" t="n">
        <v>0.8726592136000166</v>
      </c>
      <c r="W1873" s="16" t="n">
        <v>0.6085779572646428</v>
      </c>
      <c r="X1873" s="16" t="n">
        <v>0.6233347502504811</v>
      </c>
      <c r="Y1873" s="16" t="n">
        <v>299.8653708872739</v>
      </c>
      <c r="Z1873" s="16" t="n"/>
      <c r="AA1873" s="16" t="n"/>
      <c r="AB1873" s="16" t="n">
        <v>2600</v>
      </c>
      <c r="AC1873" s="16" t="n">
        <v>7.5</v>
      </c>
      <c r="AD1873" s="16" t="n"/>
      <c r="AE1873" s="16" t="n"/>
    </row>
    <row r="1874">
      <c r="A1874" s="16" t="inlineStr">
        <is>
          <t>KF-M05-2-0032</t>
        </is>
      </c>
      <c r="B1874" s="16" t="inlineStr">
        <is>
          <t>4.1</t>
        </is>
      </c>
      <c r="C1874" s="16" t="inlineStr">
        <is>
          <t>4.1b</t>
        </is>
      </c>
      <c r="D1874" s="16" t="inlineStr">
        <is>
          <t>conserva sus presiones</t>
        </is>
      </c>
      <c r="E1874" s="16" t="inlineStr">
        <is>
          <t>KF-M05</t>
        </is>
      </c>
      <c r="F1874" s="16" t="inlineStr">
        <is>
          <t>KF-M05-2</t>
        </is>
      </c>
      <c r="G1874" s="16" t="inlineStr">
        <is>
          <t>B09-2</t>
        </is>
      </c>
      <c r="H1874" s="16" t="inlineStr">
        <is>
          <t>lhs</t>
        </is>
      </c>
      <c r="I1874" s="16" t="inlineStr">
        <is>
          <t>INVIABLE</t>
        </is>
      </c>
      <c r="J1874" s="16" t="inlineStr">
        <is>
          <t>INVIABLE</t>
        </is>
      </c>
      <c r="K1874" s="16" t="b">
        <v>1</v>
      </c>
      <c r="L1874" s="16" t="b">
        <v>0</v>
      </c>
      <c r="M1874" s="16" t="b">
        <v>1</v>
      </c>
      <c r="N1874" s="16" t="b">
        <v>0</v>
      </c>
      <c r="O1874" s="16" t="n">
        <v>523.9819856373858</v>
      </c>
      <c r="P1874" s="16" t="n">
        <v>303.073838864628</v>
      </c>
      <c r="Q1874" s="16" t="n">
        <v>3000</v>
      </c>
      <c r="R1874" s="16" t="n">
        <v>400</v>
      </c>
      <c r="S1874" s="16" t="n">
        <v>0.8028303783147472</v>
      </c>
      <c r="T1874" s="16" t="n">
        <v>0.4839732643483121</v>
      </c>
      <c r="U1874" s="16" t="n">
        <v>0.5136666783976473</v>
      </c>
      <c r="V1874" s="16" t="n">
        <v>0.4152747966848498</v>
      </c>
      <c r="W1874" s="16" t="n">
        <v>0.8811402937192701</v>
      </c>
      <c r="X1874" s="16" t="n">
        <v>0.898134992690655</v>
      </c>
      <c r="Y1874" s="16" t="n">
        <v>303.073838864628</v>
      </c>
      <c r="Z1874" s="16" t="n">
        <v>-72.14981958608585</v>
      </c>
      <c r="AA1874" s="16" t="n">
        <v>-243.5921139847217</v>
      </c>
      <c r="AB1874" s="16" t="n">
        <v>2600</v>
      </c>
      <c r="AC1874" s="16" t="n">
        <v>7.5</v>
      </c>
      <c r="AD1874" s="16" t="inlineStr">
        <is>
          <t>O2,O3</t>
        </is>
      </c>
      <c r="AE1874" s="16" t="n"/>
    </row>
    <row r="1875">
      <c r="A1875" s="16" t="inlineStr">
        <is>
          <t>KF-M05-2-0033</t>
        </is>
      </c>
      <c r="B1875" s="16" t="inlineStr">
        <is>
          <t>4.1</t>
        </is>
      </c>
      <c r="C1875" s="16" t="inlineStr">
        <is>
          <t>4.1b</t>
        </is>
      </c>
      <c r="D1875" s="16" t="inlineStr">
        <is>
          <t>conserva sus presiones</t>
        </is>
      </c>
      <c r="E1875" s="16" t="inlineStr">
        <is>
          <t>KF-M05</t>
        </is>
      </c>
      <c r="F1875" s="16" t="inlineStr">
        <is>
          <t>KF-M05-2</t>
        </is>
      </c>
      <c r="G1875" s="16" t="inlineStr">
        <is>
          <t>B09-2</t>
        </is>
      </c>
      <c r="H1875" s="16" t="inlineStr">
        <is>
          <t>lhs</t>
        </is>
      </c>
      <c r="I1875" s="16" t="inlineStr">
        <is>
          <t>NO_CONVERGIO</t>
        </is>
      </c>
      <c r="J1875" s="16" t="inlineStr">
        <is>
          <t>NO_CONVERGIO</t>
        </is>
      </c>
      <c r="K1875" s="16" t="b">
        <v>0</v>
      </c>
      <c r="L1875" s="16" t="b">
        <v>0</v>
      </c>
      <c r="M1875" s="16" t="b">
        <v>0</v>
      </c>
      <c r="N1875" s="16" t="b">
        <v>0</v>
      </c>
      <c r="O1875" s="16" t="n">
        <v>599.9527840156856</v>
      </c>
      <c r="P1875" s="16" t="n">
        <v>282.3730069434163</v>
      </c>
      <c r="Q1875" s="16" t="n">
        <v>3000</v>
      </c>
      <c r="R1875" s="16" t="n">
        <v>400</v>
      </c>
      <c r="S1875" s="16" t="n">
        <v>0.5270755204081925</v>
      </c>
      <c r="T1875" s="16" t="n">
        <v>0.5616517482834534</v>
      </c>
      <c r="U1875" s="16" t="n">
        <v>0.7994756942068988</v>
      </c>
      <c r="V1875" s="16" t="n">
        <v>0.935520779583734</v>
      </c>
      <c r="W1875" s="16" t="n">
        <v>0.917400519267259</v>
      </c>
      <c r="X1875" s="16" t="n">
        <v>0.4084239204529282</v>
      </c>
      <c r="Y1875" s="16" t="n">
        <v>282.3730069434163</v>
      </c>
      <c r="Z1875" s="16" t="n"/>
      <c r="AA1875" s="16" t="n"/>
      <c r="AB1875" s="16" t="n">
        <v>2600</v>
      </c>
      <c r="AC1875" s="16" t="n">
        <v>7.5</v>
      </c>
      <c r="AD1875" s="16" t="n"/>
      <c r="AE1875" s="16" t="n"/>
    </row>
    <row r="1876">
      <c r="A1876" s="16" t="inlineStr">
        <is>
          <t>KF-M05-2-0034</t>
        </is>
      </c>
      <c r="B1876" s="16" t="inlineStr">
        <is>
          <t>4.1</t>
        </is>
      </c>
      <c r="C1876" s="16" t="inlineStr">
        <is>
          <t>4.1b</t>
        </is>
      </c>
      <c r="D1876" s="16" t="inlineStr">
        <is>
          <t>conserva sus presiones</t>
        </is>
      </c>
      <c r="E1876" s="16" t="inlineStr">
        <is>
          <t>KF-M05</t>
        </is>
      </c>
      <c r="F1876" s="16" t="inlineStr">
        <is>
          <t>KF-M05-2</t>
        </is>
      </c>
      <c r="G1876" s="16" t="inlineStr">
        <is>
          <t>B09-2</t>
        </is>
      </c>
      <c r="H1876" s="16" t="inlineStr">
        <is>
          <t>lhs</t>
        </is>
      </c>
      <c r="I1876" s="16" t="inlineStr">
        <is>
          <t>CORREGIBLE</t>
        </is>
      </c>
      <c r="J1876" s="16" t="inlineStr">
        <is>
          <t>CORREGIBLE</t>
        </is>
      </c>
      <c r="K1876" s="16" t="b">
        <v>1</v>
      </c>
      <c r="L1876" s="16" t="b">
        <v>0</v>
      </c>
      <c r="M1876" s="16" t="b">
        <v>1</v>
      </c>
      <c r="N1876" s="16" t="b">
        <v>0</v>
      </c>
      <c r="O1876" s="16" t="n">
        <v>465.0466161985507</v>
      </c>
      <c r="P1876" s="16" t="n">
        <v>280.4071905012313</v>
      </c>
      <c r="Q1876" s="16" t="n">
        <v>3000</v>
      </c>
      <c r="R1876" s="16" t="n">
        <v>400</v>
      </c>
      <c r="S1876" s="16" t="n">
        <v>0.5999081214373181</v>
      </c>
      <c r="T1876" s="16" t="n">
        <v>0.7486780211473403</v>
      </c>
      <c r="U1876" s="16" t="n">
        <v>0.7840870885193525</v>
      </c>
      <c r="V1876" s="16" t="n">
        <v>0.6972570929044539</v>
      </c>
      <c r="W1876" s="16" t="n">
        <v>0.6822798940326197</v>
      </c>
      <c r="X1876" s="16" t="n">
        <v>0.6666901655241541</v>
      </c>
      <c r="Y1876" s="16" t="n">
        <v>280.4071905012313</v>
      </c>
      <c r="Z1876" s="16" t="n">
        <v>9.775113209292147</v>
      </c>
      <c r="AA1876" s="16" t="n">
        <v>111.304877283075</v>
      </c>
      <c r="AB1876" s="16" t="n">
        <v>2600</v>
      </c>
      <c r="AC1876" s="16" t="n">
        <v>7.5</v>
      </c>
      <c r="AD1876" s="16" t="inlineStr">
        <is>
          <t>O2</t>
        </is>
      </c>
      <c r="AE1876" s="16" t="n"/>
    </row>
    <row r="1877">
      <c r="A1877" s="16" t="inlineStr">
        <is>
          <t>KF-M05-2-0035</t>
        </is>
      </c>
      <c r="B1877" s="16" t="inlineStr">
        <is>
          <t>4.1</t>
        </is>
      </c>
      <c r="C1877" s="16" t="inlineStr">
        <is>
          <t>4.1b</t>
        </is>
      </c>
      <c r="D1877" s="16" t="inlineStr">
        <is>
          <t>conserva sus presiones</t>
        </is>
      </c>
      <c r="E1877" s="16" t="inlineStr">
        <is>
          <t>KF-M05</t>
        </is>
      </c>
      <c r="F1877" s="16" t="inlineStr">
        <is>
          <t>KF-M05-2</t>
        </is>
      </c>
      <c r="G1877" s="16" t="inlineStr">
        <is>
          <t>B09-2</t>
        </is>
      </c>
      <c r="H1877" s="16" t="inlineStr">
        <is>
          <t>lhs</t>
        </is>
      </c>
      <c r="I1877" s="16" t="inlineStr">
        <is>
          <t>NO_CONVERGIO</t>
        </is>
      </c>
      <c r="J1877" s="16" t="inlineStr">
        <is>
          <t>NO_CONVERGIO</t>
        </is>
      </c>
      <c r="K1877" s="16" t="b">
        <v>0</v>
      </c>
      <c r="L1877" s="16" t="b">
        <v>0</v>
      </c>
      <c r="M1877" s="16" t="b">
        <v>0</v>
      </c>
      <c r="N1877" s="16" t="b">
        <v>0</v>
      </c>
      <c r="O1877" s="16" t="n">
        <v>593.774762345382</v>
      </c>
      <c r="P1877" s="16" t="n">
        <v>291.6753241316979</v>
      </c>
      <c r="Q1877" s="16" t="n">
        <v>3000</v>
      </c>
      <c r="R1877" s="16" t="n">
        <v>400</v>
      </c>
      <c r="S1877" s="16" t="n">
        <v>0.6729567443563693</v>
      </c>
      <c r="T1877" s="16" t="n">
        <v>0.5116876433255469</v>
      </c>
      <c r="U1877" s="16" t="n">
        <v>0.4565068698830595</v>
      </c>
      <c r="V1877" s="16" t="n">
        <v>0.65909666460572</v>
      </c>
      <c r="W1877" s="16" t="n">
        <v>0.5875344439617148</v>
      </c>
      <c r="X1877" s="16" t="n">
        <v>0.4652971795815063</v>
      </c>
      <c r="Y1877" s="16" t="n">
        <v>291.6753241316979</v>
      </c>
      <c r="Z1877" s="16" t="n"/>
      <c r="AA1877" s="16" t="n"/>
      <c r="AB1877" s="16" t="n">
        <v>2600</v>
      </c>
      <c r="AC1877" s="16" t="n">
        <v>7.5</v>
      </c>
      <c r="AD1877" s="16" t="n"/>
      <c r="AE1877" s="16" t="n"/>
    </row>
    <row r="1878">
      <c r="A1878" s="16" t="inlineStr">
        <is>
          <t>KF-M05-2-0036</t>
        </is>
      </c>
      <c r="B1878" s="16" t="inlineStr">
        <is>
          <t>4.1</t>
        </is>
      </c>
      <c r="C1878" s="16" t="inlineStr">
        <is>
          <t>4.1b</t>
        </is>
      </c>
      <c r="D1878" s="16" t="inlineStr">
        <is>
          <t>conserva sus presiones</t>
        </is>
      </c>
      <c r="E1878" s="16" t="inlineStr">
        <is>
          <t>KF-M05</t>
        </is>
      </c>
      <c r="F1878" s="16" t="inlineStr">
        <is>
          <t>KF-M05-2</t>
        </is>
      </c>
      <c r="G1878" s="16" t="inlineStr">
        <is>
          <t>B09-2</t>
        </is>
      </c>
      <c r="H1878" s="16" t="inlineStr">
        <is>
          <t>lhs</t>
        </is>
      </c>
      <c r="I1878" s="16" t="inlineStr">
        <is>
          <t>INVIABLE</t>
        </is>
      </c>
      <c r="J1878" s="16" t="inlineStr">
        <is>
          <t>INVIABLE</t>
        </is>
      </c>
      <c r="K1878" s="16" t="b">
        <v>1</v>
      </c>
      <c r="L1878" s="16" t="b">
        <v>0</v>
      </c>
      <c r="M1878" s="16" t="b">
        <v>0</v>
      </c>
      <c r="N1878" s="16" t="b">
        <v>0</v>
      </c>
      <c r="O1878" s="16" t="n">
        <v>394.8340123475605</v>
      </c>
      <c r="P1878" s="16" t="n">
        <v>286.0970552430602</v>
      </c>
      <c r="Q1878" s="16" t="n">
        <v>3000</v>
      </c>
      <c r="R1878" s="16" t="n">
        <v>400</v>
      </c>
      <c r="S1878" s="16" t="n">
        <v>0.8335190713880336</v>
      </c>
      <c r="T1878" s="16" t="n">
        <v>0.7414552196825719</v>
      </c>
      <c r="U1878" s="16" t="n">
        <v>0.526965379828873</v>
      </c>
      <c r="V1878" s="16" t="n">
        <v>0.8545424742224403</v>
      </c>
      <c r="W1878" s="16" t="n">
        <v>0.8848468230590762</v>
      </c>
      <c r="X1878" s="16" t="n">
        <v>0.7929178088199577</v>
      </c>
      <c r="Y1878" s="16" t="n">
        <v>286.0970552430602</v>
      </c>
      <c r="Z1878" s="16" t="n">
        <v>-69.83820742356029</v>
      </c>
      <c r="AA1878" s="16" t="n">
        <v>-139.8590139727917</v>
      </c>
      <c r="AB1878" s="16" t="n">
        <v>2600</v>
      </c>
      <c r="AC1878" s="16" t="n">
        <v>7.5</v>
      </c>
      <c r="AD1878" s="16" t="inlineStr">
        <is>
          <t>O2,O3</t>
        </is>
      </c>
      <c r="AE1878" s="16" t="n"/>
    </row>
    <row r="1879">
      <c r="A1879" s="16" t="inlineStr">
        <is>
          <t>KF-M05-2-0037</t>
        </is>
      </c>
      <c r="B1879" s="16" t="inlineStr">
        <is>
          <t>4.1</t>
        </is>
      </c>
      <c r="C1879" s="16" t="inlineStr">
        <is>
          <t>4.1b</t>
        </is>
      </c>
      <c r="D1879" s="16" t="inlineStr">
        <is>
          <t>conserva sus presiones</t>
        </is>
      </c>
      <c r="E1879" s="16" t="inlineStr">
        <is>
          <t>KF-M05</t>
        </is>
      </c>
      <c r="F1879" s="16" t="inlineStr">
        <is>
          <t>KF-M05-2</t>
        </is>
      </c>
      <c r="G1879" s="16" t="inlineStr">
        <is>
          <t>B09-2</t>
        </is>
      </c>
      <c r="H1879" s="16" t="inlineStr">
        <is>
          <t>lhs</t>
        </is>
      </c>
      <c r="I1879" s="16" t="inlineStr">
        <is>
          <t>INVIABLE</t>
        </is>
      </c>
      <c r="J1879" s="16" t="inlineStr">
        <is>
          <t>INVIABLE</t>
        </is>
      </c>
      <c r="K1879" s="16" t="b">
        <v>1</v>
      </c>
      <c r="L1879" s="16" t="b">
        <v>0</v>
      </c>
      <c r="M1879" s="16" t="b">
        <v>0</v>
      </c>
      <c r="N1879" s="16" t="b">
        <v>0</v>
      </c>
      <c r="O1879" s="16" t="n">
        <v>393.4366302288373</v>
      </c>
      <c r="P1879" s="16" t="n">
        <v>301.955554672043</v>
      </c>
      <c r="Q1879" s="16" t="n">
        <v>3000</v>
      </c>
      <c r="R1879" s="16" t="n">
        <v>400</v>
      </c>
      <c r="S1879" s="16" t="n">
        <v>0.7198618384811306</v>
      </c>
      <c r="T1879" s="16" t="n">
        <v>0.7785682163804841</v>
      </c>
      <c r="U1879" s="16" t="n">
        <v>0.8241558754453981</v>
      </c>
      <c r="V1879" s="16" t="n">
        <v>0.4503012769766843</v>
      </c>
      <c r="W1879" s="16" t="n">
        <v>0.8974407559516473</v>
      </c>
      <c r="X1879" s="16" t="n">
        <v>0.5407683047768254</v>
      </c>
      <c r="Y1879" s="16" t="n">
        <v>301.955554672043</v>
      </c>
      <c r="Z1879" s="16" t="n">
        <v>-94.85572609681482</v>
      </c>
      <c r="AA1879" s="16" t="n">
        <v>-64.2354311776121</v>
      </c>
      <c r="AB1879" s="16" t="n">
        <v>2600</v>
      </c>
      <c r="AC1879" s="16" t="n">
        <v>7.5</v>
      </c>
      <c r="AD1879" s="16" t="inlineStr">
        <is>
          <t>O2,O3</t>
        </is>
      </c>
      <c r="AE1879" s="16" t="n"/>
    </row>
    <row r="1880">
      <c r="A1880" s="16" t="inlineStr">
        <is>
          <t>KF-M05-2-0038</t>
        </is>
      </c>
      <c r="B1880" s="16" t="inlineStr">
        <is>
          <t>4.1</t>
        </is>
      </c>
      <c r="C1880" s="16" t="inlineStr">
        <is>
          <t>4.1b</t>
        </is>
      </c>
      <c r="D1880" s="16" t="inlineStr">
        <is>
          <t>conserva sus presiones</t>
        </is>
      </c>
      <c r="E1880" s="16" t="inlineStr">
        <is>
          <t>KF-M05</t>
        </is>
      </c>
      <c r="F1880" s="16" t="inlineStr">
        <is>
          <t>KF-M05-2</t>
        </is>
      </c>
      <c r="G1880" s="16" t="inlineStr">
        <is>
          <t>B09-2</t>
        </is>
      </c>
      <c r="H1880" s="16" t="inlineStr">
        <is>
          <t>lhs</t>
        </is>
      </c>
      <c r="I1880" s="16" t="inlineStr">
        <is>
          <t>CORREGIBLE</t>
        </is>
      </c>
      <c r="J1880" s="16" t="inlineStr">
        <is>
          <t>CORREGIBLE</t>
        </is>
      </c>
      <c r="K1880" s="16" t="b">
        <v>1</v>
      </c>
      <c r="L1880" s="16" t="b">
        <v>0</v>
      </c>
      <c r="M1880" s="16" t="b">
        <v>0</v>
      </c>
      <c r="N1880" s="16" t="b">
        <v>0</v>
      </c>
      <c r="O1880" s="16" t="n">
        <v>399.0462214346294</v>
      </c>
      <c r="P1880" s="16" t="n">
        <v>284.9936592659172</v>
      </c>
      <c r="Q1880" s="16" t="n">
        <v>3000</v>
      </c>
      <c r="R1880" s="16" t="n">
        <v>400</v>
      </c>
      <c r="S1880" s="16" t="n">
        <v>0.8139784989729243</v>
      </c>
      <c r="T1880" s="16" t="n">
        <v>0.8875509897392295</v>
      </c>
      <c r="U1880" s="16" t="n">
        <v>0.9470970806795058</v>
      </c>
      <c r="V1880" s="16" t="n">
        <v>0.7048297315688576</v>
      </c>
      <c r="W1880" s="16" t="n">
        <v>0.5521945022979988</v>
      </c>
      <c r="X1880" s="16" t="n">
        <v>0.78217533477419</v>
      </c>
      <c r="Y1880" s="16" t="n">
        <v>284.9936592659172</v>
      </c>
      <c r="Z1880" s="16" t="n">
        <v>8.710959597664999</v>
      </c>
      <c r="AA1880" s="16" t="n">
        <v>31.62068619575393</v>
      </c>
      <c r="AB1880" s="16" t="n">
        <v>2600</v>
      </c>
      <c r="AC1880" s="16" t="n">
        <v>7.5</v>
      </c>
      <c r="AD1880" s="16" t="inlineStr">
        <is>
          <t>O2</t>
        </is>
      </c>
      <c r="AE1880" s="16" t="n"/>
    </row>
    <row r="1881">
      <c r="A1881" s="16" t="inlineStr">
        <is>
          <t>KF-M05-2-0039</t>
        </is>
      </c>
      <c r="B1881" s="16" t="inlineStr">
        <is>
          <t>4.1</t>
        </is>
      </c>
      <c r="C1881" s="16" t="inlineStr">
        <is>
          <t>4.1b</t>
        </is>
      </c>
      <c r="D1881" s="16" t="inlineStr">
        <is>
          <t>conserva sus presiones</t>
        </is>
      </c>
      <c r="E1881" s="16" t="inlineStr">
        <is>
          <t>KF-M05</t>
        </is>
      </c>
      <c r="F1881" s="16" t="inlineStr">
        <is>
          <t>KF-M05-2</t>
        </is>
      </c>
      <c r="G1881" s="16" t="inlineStr">
        <is>
          <t>B09-2</t>
        </is>
      </c>
      <c r="H1881" s="16" t="inlineStr">
        <is>
          <t>lhs</t>
        </is>
      </c>
      <c r="I1881" s="16" t="inlineStr">
        <is>
          <t>INVIABLE</t>
        </is>
      </c>
      <c r="J1881" s="16" t="inlineStr">
        <is>
          <t>INVIABLE</t>
        </is>
      </c>
      <c r="K1881" s="16" t="b">
        <v>1</v>
      </c>
      <c r="L1881" s="16" t="b">
        <v>0</v>
      </c>
      <c r="M1881" s="16" t="b">
        <v>0</v>
      </c>
      <c r="N1881" s="16" t="b">
        <v>0</v>
      </c>
      <c r="O1881" s="16" t="n">
        <v>439.7530337308098</v>
      </c>
      <c r="P1881" s="16" t="n">
        <v>294.4182695829593</v>
      </c>
      <c r="Q1881" s="16" t="n">
        <v>3000</v>
      </c>
      <c r="R1881" s="16" t="n">
        <v>400</v>
      </c>
      <c r="S1881" s="16" t="n">
        <v>0.840222735391804</v>
      </c>
      <c r="T1881" s="16" t="n">
        <v>0.6974919367560674</v>
      </c>
      <c r="U1881" s="16" t="n">
        <v>0.4285794275774423</v>
      </c>
      <c r="V1881" s="16" t="n">
        <v>0.477853691649101</v>
      </c>
      <c r="W1881" s="16" t="n">
        <v>0.5143325011056097</v>
      </c>
      <c r="X1881" s="16" t="n">
        <v>0.8251139266681977</v>
      </c>
      <c r="Y1881" s="16" t="n">
        <v>294.4182695829593</v>
      </c>
      <c r="Z1881" s="16" t="n">
        <v>-143.9299828300187</v>
      </c>
      <c r="AA1881" s="16" t="n">
        <v>-280.4024350283078</v>
      </c>
      <c r="AB1881" s="16" t="n">
        <v>2600</v>
      </c>
      <c r="AC1881" s="16" t="n">
        <v>7.5</v>
      </c>
      <c r="AD1881" s="16" t="inlineStr">
        <is>
          <t>O2,O3</t>
        </is>
      </c>
      <c r="AE1881" s="16" t="n"/>
    </row>
    <row r="1882">
      <c r="A1882" s="16" t="inlineStr">
        <is>
          <t>KF-M05-2-0040</t>
        </is>
      </c>
      <c r="B1882" s="16" t="inlineStr">
        <is>
          <t>4.1</t>
        </is>
      </c>
      <c r="C1882" s="16" t="inlineStr">
        <is>
          <t>4.1b</t>
        </is>
      </c>
      <c r="D1882" s="16" t="inlineStr">
        <is>
          <t>conserva sus presiones</t>
        </is>
      </c>
      <c r="E1882" s="16" t="inlineStr">
        <is>
          <t>KF-M05</t>
        </is>
      </c>
      <c r="F1882" s="16" t="inlineStr">
        <is>
          <t>KF-M05-2</t>
        </is>
      </c>
      <c r="G1882" s="16" t="inlineStr">
        <is>
          <t>B09-2</t>
        </is>
      </c>
      <c r="H1882" s="16" t="inlineStr">
        <is>
          <t>lhs</t>
        </is>
      </c>
      <c r="I1882" s="16" t="inlineStr">
        <is>
          <t>CORREGIBLE</t>
        </is>
      </c>
      <c r="J1882" s="16" t="inlineStr">
        <is>
          <t>CORREGIBLE</t>
        </is>
      </c>
      <c r="K1882" s="16" t="b">
        <v>1</v>
      </c>
      <c r="L1882" s="16" t="b">
        <v>0</v>
      </c>
      <c r="M1882" s="16" t="b">
        <v>0</v>
      </c>
      <c r="N1882" s="16" t="b">
        <v>0</v>
      </c>
      <c r="O1882" s="16" t="n">
        <v>391.1583467854279</v>
      </c>
      <c r="P1882" s="16" t="n">
        <v>278.9689863642537</v>
      </c>
      <c r="Q1882" s="16" t="n">
        <v>3000</v>
      </c>
      <c r="R1882" s="16" t="n">
        <v>400</v>
      </c>
      <c r="S1882" s="16" t="n">
        <v>0.7070395025211916</v>
      </c>
      <c r="T1882" s="16" t="n">
        <v>0.7258210146054918</v>
      </c>
      <c r="U1882" s="16" t="n">
        <v>0.4442240194579601</v>
      </c>
      <c r="V1882" s="16" t="n">
        <v>0.498763574317744</v>
      </c>
      <c r="W1882" s="16" t="n">
        <v>0.5222797516795304</v>
      </c>
      <c r="X1882" s="16" t="n">
        <v>0.9234495166426124</v>
      </c>
      <c r="Y1882" s="16" t="n">
        <v>278.9689863642537</v>
      </c>
      <c r="Z1882" s="16" t="n">
        <v>7.033725083775611</v>
      </c>
      <c r="AA1882" s="16" t="n">
        <v>30.02694811850776</v>
      </c>
      <c r="AB1882" s="16" t="n">
        <v>2600</v>
      </c>
      <c r="AC1882" s="16" t="n">
        <v>7.5</v>
      </c>
      <c r="AD1882" s="16" t="inlineStr">
        <is>
          <t>O2</t>
        </is>
      </c>
      <c r="AE1882" s="16" t="n"/>
    </row>
    <row r="1883">
      <c r="A1883" s="16" t="inlineStr">
        <is>
          <t>KF-M05-2-0041</t>
        </is>
      </c>
      <c r="B1883" s="16" t="inlineStr">
        <is>
          <t>4.1</t>
        </is>
      </c>
      <c r="C1883" s="16" t="inlineStr">
        <is>
          <t>4.1b</t>
        </is>
      </c>
      <c r="D1883" s="16" t="inlineStr">
        <is>
          <t>conserva sus presiones</t>
        </is>
      </c>
      <c r="E1883" s="16" t="inlineStr">
        <is>
          <t>KF-M05</t>
        </is>
      </c>
      <c r="F1883" s="16" t="inlineStr">
        <is>
          <t>KF-M05-2</t>
        </is>
      </c>
      <c r="G1883" s="16" t="inlineStr">
        <is>
          <t>B09-2</t>
        </is>
      </c>
      <c r="H1883" s="16" t="inlineStr">
        <is>
          <t>lhs</t>
        </is>
      </c>
      <c r="I1883" s="16" t="inlineStr">
        <is>
          <t>CORREGIBLE</t>
        </is>
      </c>
      <c r="J1883" s="16" t="inlineStr">
        <is>
          <t>CORREGIBLE</t>
        </is>
      </c>
      <c r="K1883" s="16" t="b">
        <v>1</v>
      </c>
      <c r="L1883" s="16" t="b">
        <v>0</v>
      </c>
      <c r="M1883" s="16" t="b">
        <v>1</v>
      </c>
      <c r="N1883" s="16" t="b">
        <v>0</v>
      </c>
      <c r="O1883" s="16" t="n">
        <v>619.4998833711434</v>
      </c>
      <c r="P1883" s="16" t="n">
        <v>288.0572063395336</v>
      </c>
      <c r="Q1883" s="16" t="n">
        <v>3000</v>
      </c>
      <c r="R1883" s="16" t="n">
        <v>400</v>
      </c>
      <c r="S1883" s="16" t="n">
        <v>0.5355129496544464</v>
      </c>
      <c r="T1883" s="16" t="n">
        <v>0.6778975749088634</v>
      </c>
      <c r="U1883" s="16" t="n">
        <v>0.6894666580529361</v>
      </c>
      <c r="V1883" s="16" t="n">
        <v>0.6317162222093903</v>
      </c>
      <c r="W1883" s="16" t="n">
        <v>0.558417777190975</v>
      </c>
      <c r="X1883" s="16" t="n">
        <v>0.6018146027728906</v>
      </c>
      <c r="Y1883" s="16" t="n">
        <v>288.0572063395336</v>
      </c>
      <c r="Z1883" s="16" t="n">
        <v>4.67893650855087</v>
      </c>
      <c r="AA1883" s="16" t="n">
        <v>54.40506856729306</v>
      </c>
      <c r="AB1883" s="16" t="n">
        <v>2600</v>
      </c>
      <c r="AC1883" s="16" t="n">
        <v>7.5</v>
      </c>
      <c r="AD1883" s="16" t="inlineStr">
        <is>
          <t>O2</t>
        </is>
      </c>
      <c r="AE1883" s="16" t="n"/>
    </row>
    <row r="1884">
      <c r="A1884" s="16" t="inlineStr">
        <is>
          <t>KF-M05-2-0042</t>
        </is>
      </c>
      <c r="B1884" s="16" t="inlineStr">
        <is>
          <t>4.1</t>
        </is>
      </c>
      <c r="C1884" s="16" t="inlineStr">
        <is>
          <t>4.1b</t>
        </is>
      </c>
      <c r="D1884" s="16" t="inlineStr">
        <is>
          <t>conserva sus presiones</t>
        </is>
      </c>
      <c r="E1884" s="16" t="inlineStr">
        <is>
          <t>KF-M05</t>
        </is>
      </c>
      <c r="F1884" s="16" t="inlineStr">
        <is>
          <t>KF-M05-2</t>
        </is>
      </c>
      <c r="G1884" s="16" t="inlineStr">
        <is>
          <t>B09-2</t>
        </is>
      </c>
      <c r="H1884" s="16" t="inlineStr">
        <is>
          <t>lhs</t>
        </is>
      </c>
      <c r="I1884" s="16" t="inlineStr">
        <is>
          <t>INVIABLE</t>
        </is>
      </c>
      <c r="J1884" s="16" t="inlineStr">
        <is>
          <t>INVIABLE</t>
        </is>
      </c>
      <c r="K1884" s="16" t="b">
        <v>1</v>
      </c>
      <c r="L1884" s="16" t="b">
        <v>0</v>
      </c>
      <c r="M1884" s="16" t="b">
        <v>1</v>
      </c>
      <c r="N1884" s="16" t="b">
        <v>0</v>
      </c>
      <c r="O1884" s="16" t="n">
        <v>512.389703939753</v>
      </c>
      <c r="P1884" s="16" t="n">
        <v>281.450721960494</v>
      </c>
      <c r="Q1884" s="16" t="n">
        <v>3000</v>
      </c>
      <c r="R1884" s="16" t="n">
        <v>400</v>
      </c>
      <c r="S1884" s="16" t="n">
        <v>0.5051951118776499</v>
      </c>
      <c r="T1884" s="16" t="n">
        <v>0.4327083939002689</v>
      </c>
      <c r="U1884" s="16" t="n">
        <v>0.5853408730897249</v>
      </c>
      <c r="V1884" s="16" t="n">
        <v>0.6669119404912309</v>
      </c>
      <c r="W1884" s="16" t="n">
        <v>0.93945406048707</v>
      </c>
      <c r="X1884" s="16" t="n">
        <v>0.4970563745537245</v>
      </c>
      <c r="Y1884" s="16" t="n">
        <v>281.450721960494</v>
      </c>
      <c r="Z1884" s="16" t="n">
        <v>-12.78574052308127</v>
      </c>
      <c r="AA1884" s="16" t="n">
        <v>-109.6887964251551</v>
      </c>
      <c r="AB1884" s="16" t="n">
        <v>2600</v>
      </c>
      <c r="AC1884" s="16" t="n">
        <v>7.5</v>
      </c>
      <c r="AD1884" s="16" t="inlineStr">
        <is>
          <t>O2,O3</t>
        </is>
      </c>
      <c r="AE1884" s="16" t="n"/>
    </row>
    <row r="1885">
      <c r="A1885" s="16" t="inlineStr">
        <is>
          <t>KF-M05-2-0043</t>
        </is>
      </c>
      <c r="B1885" s="16" t="inlineStr">
        <is>
          <t>4.1</t>
        </is>
      </c>
      <c r="C1885" s="16" t="inlineStr">
        <is>
          <t>4.1b</t>
        </is>
      </c>
      <c r="D1885" s="16" t="inlineStr">
        <is>
          <t>conserva sus presiones</t>
        </is>
      </c>
      <c r="E1885" s="16" t="inlineStr">
        <is>
          <t>KF-M05</t>
        </is>
      </c>
      <c r="F1885" s="16" t="inlineStr">
        <is>
          <t>KF-M05-2</t>
        </is>
      </c>
      <c r="G1885" s="16" t="inlineStr">
        <is>
          <t>B09-2</t>
        </is>
      </c>
      <c r="H1885" s="16" t="inlineStr">
        <is>
          <t>lhs</t>
        </is>
      </c>
      <c r="I1885" s="16" t="inlineStr">
        <is>
          <t>CORREGIBLE</t>
        </is>
      </c>
      <c r="J1885" s="16" t="inlineStr">
        <is>
          <t>CORREGIBLE</t>
        </is>
      </c>
      <c r="K1885" s="16" t="b">
        <v>1</v>
      </c>
      <c r="L1885" s="16" t="b">
        <v>0</v>
      </c>
      <c r="M1885" s="16" t="b">
        <v>1</v>
      </c>
      <c r="N1885" s="16" t="b">
        <v>0</v>
      </c>
      <c r="O1885" s="16" t="n">
        <v>575.4662650745547</v>
      </c>
      <c r="P1885" s="16" t="n">
        <v>292.2053914736077</v>
      </c>
      <c r="Q1885" s="16" t="n">
        <v>3000</v>
      </c>
      <c r="R1885" s="16" t="n">
        <v>400</v>
      </c>
      <c r="S1885" s="16" t="n">
        <v>0.6710074648973734</v>
      </c>
      <c r="T1885" s="16" t="n">
        <v>0.7019455881353909</v>
      </c>
      <c r="U1885" s="16" t="n">
        <v>0.8689609937693217</v>
      </c>
      <c r="V1885" s="16" t="n">
        <v>0.6013068264609468</v>
      </c>
      <c r="W1885" s="16" t="n">
        <v>0.7987674598858379</v>
      </c>
      <c r="X1885" s="16" t="n">
        <v>0.6177204112197781</v>
      </c>
      <c r="Y1885" s="16" t="n">
        <v>292.2053914736077</v>
      </c>
      <c r="Z1885" s="16" t="n">
        <v>5.07476456521316</v>
      </c>
      <c r="AA1885" s="16" t="n">
        <v>45.12529647832497</v>
      </c>
      <c r="AB1885" s="16" t="n">
        <v>2600</v>
      </c>
      <c r="AC1885" s="16" t="n">
        <v>7.5</v>
      </c>
      <c r="AD1885" s="16" t="inlineStr">
        <is>
          <t>O2</t>
        </is>
      </c>
      <c r="AE1885" s="16" t="n"/>
    </row>
    <row r="1886">
      <c r="A1886" s="16" t="inlineStr">
        <is>
          <t>KF-M05-2-0044</t>
        </is>
      </c>
      <c r="B1886" s="16" t="inlineStr">
        <is>
          <t>4.1</t>
        </is>
      </c>
      <c r="C1886" s="16" t="inlineStr">
        <is>
          <t>4.1b</t>
        </is>
      </c>
      <c r="D1886" s="16" t="inlineStr">
        <is>
          <t>conserva sus presiones</t>
        </is>
      </c>
      <c r="E1886" s="16" t="inlineStr">
        <is>
          <t>KF-M05</t>
        </is>
      </c>
      <c r="F1886" s="16" t="inlineStr">
        <is>
          <t>KF-M05-2</t>
        </is>
      </c>
      <c r="G1886" s="16" t="inlineStr">
        <is>
          <t>B09-2</t>
        </is>
      </c>
      <c r="H1886" s="16" t="inlineStr">
        <is>
          <t>lhs</t>
        </is>
      </c>
      <c r="I1886" s="16" t="inlineStr">
        <is>
          <t>NO_CONVERGIO</t>
        </is>
      </c>
      <c r="J1886" s="16" t="inlineStr">
        <is>
          <t>NO_CONVERGIO</t>
        </is>
      </c>
      <c r="K1886" s="16" t="b">
        <v>0</v>
      </c>
      <c r="L1886" s="16" t="b">
        <v>0</v>
      </c>
      <c r="M1886" s="16" t="b">
        <v>0</v>
      </c>
      <c r="N1886" s="16" t="b">
        <v>0</v>
      </c>
      <c r="O1886" s="16" t="n">
        <v>518.0648900131556</v>
      </c>
      <c r="P1886" s="16" t="n">
        <v>289.1763338139441</v>
      </c>
      <c r="Q1886" s="16" t="n">
        <v>3000</v>
      </c>
      <c r="R1886" s="16" t="n">
        <v>400</v>
      </c>
      <c r="S1886" s="16" t="n">
        <v>0.8103126607505368</v>
      </c>
      <c r="T1886" s="16" t="n">
        <v>0.8775230873650472</v>
      </c>
      <c r="U1886" s="16" t="n">
        <v>0.8627698461220829</v>
      </c>
      <c r="V1886" s="16" t="n">
        <v>0.5016858963674162</v>
      </c>
      <c r="W1886" s="16" t="n">
        <v>0.6442030399307261</v>
      </c>
      <c r="X1886" s="16" t="n">
        <v>0.4534120060065346</v>
      </c>
      <c r="Y1886" s="16" t="n">
        <v>289.1763338139441</v>
      </c>
      <c r="Z1886" s="16" t="n"/>
      <c r="AA1886" s="16" t="n"/>
      <c r="AB1886" s="16" t="n">
        <v>2600</v>
      </c>
      <c r="AC1886" s="16" t="n">
        <v>7.5</v>
      </c>
      <c r="AD1886" s="16" t="n"/>
      <c r="AE1886" s="16" t="n"/>
    </row>
    <row r="1887">
      <c r="A1887" s="16" t="inlineStr">
        <is>
          <t>KF-M05-2-0045</t>
        </is>
      </c>
      <c r="B1887" s="16" t="inlineStr">
        <is>
          <t>4.1</t>
        </is>
      </c>
      <c r="C1887" s="16" t="inlineStr">
        <is>
          <t>4.1b</t>
        </is>
      </c>
      <c r="D1887" s="16" t="inlineStr">
        <is>
          <t>conserva sus presiones</t>
        </is>
      </c>
      <c r="E1887" s="16" t="inlineStr">
        <is>
          <t>KF-M05</t>
        </is>
      </c>
      <c r="F1887" s="16" t="inlineStr">
        <is>
          <t>KF-M05-2</t>
        </is>
      </c>
      <c r="G1887" s="16" t="inlineStr">
        <is>
          <t>B09-2</t>
        </is>
      </c>
      <c r="H1887" s="16" t="inlineStr">
        <is>
          <t>lhs</t>
        </is>
      </c>
      <c r="I1887" s="16" t="inlineStr">
        <is>
          <t>NO_CONVERGIO</t>
        </is>
      </c>
      <c r="J1887" s="16" t="inlineStr">
        <is>
          <t>NO_CONVERGIO</t>
        </is>
      </c>
      <c r="K1887" s="16" t="b">
        <v>0</v>
      </c>
      <c r="L1887" s="16" t="b">
        <v>0</v>
      </c>
      <c r="M1887" s="16" t="b">
        <v>0</v>
      </c>
      <c r="N1887" s="16" t="b">
        <v>0</v>
      </c>
      <c r="O1887" s="16" t="n">
        <v>548.8695892001465</v>
      </c>
      <c r="P1887" s="16" t="n">
        <v>291.2364852846515</v>
      </c>
      <c r="Q1887" s="16" t="n">
        <v>3000</v>
      </c>
      <c r="R1887" s="16" t="n">
        <v>400</v>
      </c>
      <c r="S1887" s="16" t="n">
        <v>0.8470381900572979</v>
      </c>
      <c r="T1887" s="16" t="n">
        <v>0.7142270913301298</v>
      </c>
      <c r="U1887" s="16" t="n">
        <v>0.6460128509632947</v>
      </c>
      <c r="V1887" s="16" t="n">
        <v>0.5875200361409658</v>
      </c>
      <c r="W1887" s="16" t="n">
        <v>0.8670976811019917</v>
      </c>
      <c r="X1887" s="16" t="n">
        <v>0.6654301069636446</v>
      </c>
      <c r="Y1887" s="16" t="n">
        <v>291.2364852846515</v>
      </c>
      <c r="Z1887" s="16" t="n"/>
      <c r="AA1887" s="16" t="n"/>
      <c r="AB1887" s="16" t="n">
        <v>2600</v>
      </c>
      <c r="AC1887" s="16" t="n">
        <v>7.5</v>
      </c>
      <c r="AD1887" s="16" t="n"/>
      <c r="AE1887" s="16" t="n"/>
    </row>
    <row r="1888">
      <c r="A1888" s="16" t="inlineStr">
        <is>
          <t>KF-M05-2-0046</t>
        </is>
      </c>
      <c r="B1888" s="16" t="inlineStr">
        <is>
          <t>4.1</t>
        </is>
      </c>
      <c r="C1888" s="16" t="inlineStr">
        <is>
          <t>4.1b</t>
        </is>
      </c>
      <c r="D1888" s="16" t="inlineStr">
        <is>
          <t>conserva sus presiones</t>
        </is>
      </c>
      <c r="E1888" s="16" t="inlineStr">
        <is>
          <t>KF-M05</t>
        </is>
      </c>
      <c r="F1888" s="16" t="inlineStr">
        <is>
          <t>KF-M05-2</t>
        </is>
      </c>
      <c r="G1888" s="16" t="inlineStr">
        <is>
          <t>B09-2</t>
        </is>
      </c>
      <c r="H1888" s="16" t="inlineStr">
        <is>
          <t>lhs</t>
        </is>
      </c>
      <c r="I1888" s="16" t="inlineStr">
        <is>
          <t>INVIABLE</t>
        </is>
      </c>
      <c r="J1888" s="16" t="inlineStr">
        <is>
          <t>INVIABLE</t>
        </is>
      </c>
      <c r="K1888" s="16" t="b">
        <v>1</v>
      </c>
      <c r="L1888" s="16" t="b">
        <v>0</v>
      </c>
      <c r="M1888" s="16" t="b">
        <v>0</v>
      </c>
      <c r="N1888" s="16" t="b">
        <v>0</v>
      </c>
      <c r="O1888" s="16" t="n">
        <v>495.2474540700351</v>
      </c>
      <c r="P1888" s="16" t="n">
        <v>278.5823987593267</v>
      </c>
      <c r="Q1888" s="16" t="n">
        <v>3000</v>
      </c>
      <c r="R1888" s="16" t="n">
        <v>400</v>
      </c>
      <c r="S1888" s="16" t="n">
        <v>0.8244583404753234</v>
      </c>
      <c r="T1888" s="16" t="n">
        <v>0.5191616768159122</v>
      </c>
      <c r="U1888" s="16" t="n">
        <v>0.6031163681846836</v>
      </c>
      <c r="V1888" s="16" t="n">
        <v>0.4365857583703624</v>
      </c>
      <c r="W1888" s="16" t="n">
        <v>0.9419616783174602</v>
      </c>
      <c r="X1888" s="16" t="n">
        <v>0.7593052186726928</v>
      </c>
      <c r="Y1888" s="16" t="n">
        <v>278.5823987593267</v>
      </c>
      <c r="Z1888" s="16" t="n">
        <v>-4.53868250427903</v>
      </c>
      <c r="AA1888" s="16" t="n">
        <v>-27.63184521075623</v>
      </c>
      <c r="AB1888" s="16" t="n">
        <v>2600</v>
      </c>
      <c r="AC1888" s="16" t="n">
        <v>7.5</v>
      </c>
      <c r="AD1888" s="16" t="inlineStr">
        <is>
          <t>O2,O3</t>
        </is>
      </c>
      <c r="AE1888" s="16" t="n"/>
    </row>
    <row r="1889">
      <c r="A1889" s="16" t="inlineStr">
        <is>
          <t>KF-M05-2-0047</t>
        </is>
      </c>
      <c r="B1889" s="16" t="inlineStr">
        <is>
          <t>4.1</t>
        </is>
      </c>
      <c r="C1889" s="16" t="inlineStr">
        <is>
          <t>4.1b</t>
        </is>
      </c>
      <c r="D1889" s="16" t="inlineStr">
        <is>
          <t>conserva sus presiones</t>
        </is>
      </c>
      <c r="E1889" s="16" t="inlineStr">
        <is>
          <t>KF-M05</t>
        </is>
      </c>
      <c r="F1889" s="16" t="inlineStr">
        <is>
          <t>KF-M05-2</t>
        </is>
      </c>
      <c r="G1889" s="16" t="inlineStr">
        <is>
          <t>B09-2</t>
        </is>
      </c>
      <c r="H1889" s="16" t="inlineStr">
        <is>
          <t>lhs</t>
        </is>
      </c>
      <c r="I1889" s="16" t="inlineStr">
        <is>
          <t>INVIABLE</t>
        </is>
      </c>
      <c r="J1889" s="16" t="inlineStr">
        <is>
          <t>INVIABLE</t>
        </is>
      </c>
      <c r="K1889" s="16" t="b">
        <v>1</v>
      </c>
      <c r="L1889" s="16" t="b">
        <v>0</v>
      </c>
      <c r="M1889" s="16" t="b">
        <v>0</v>
      </c>
      <c r="N1889" s="16" t="b">
        <v>0</v>
      </c>
      <c r="O1889" s="16" t="n">
        <v>420.4574351758528</v>
      </c>
      <c r="P1889" s="16" t="n">
        <v>297.8675087047729</v>
      </c>
      <c r="Q1889" s="16" t="n">
        <v>3000</v>
      </c>
      <c r="R1889" s="16" t="n">
        <v>400</v>
      </c>
      <c r="S1889" s="16" t="n">
        <v>0.7634111124245543</v>
      </c>
      <c r="T1889" s="16" t="n">
        <v>0.7861563287243245</v>
      </c>
      <c r="U1889" s="16" t="n">
        <v>0.8506018928013692</v>
      </c>
      <c r="V1889" s="16" t="n">
        <v>0.7389917769713875</v>
      </c>
      <c r="W1889" s="16" t="n">
        <v>0.6686700408523059</v>
      </c>
      <c r="X1889" s="16" t="n">
        <v>0.448228979378235</v>
      </c>
      <c r="Y1889" s="16" t="n">
        <v>297.8675087047729</v>
      </c>
      <c r="Z1889" s="16" t="n">
        <v>-26.04026724697985</v>
      </c>
      <c r="AA1889" s="16" t="n">
        <v>-52.75741503542957</v>
      </c>
      <c r="AB1889" s="16" t="n">
        <v>2600</v>
      </c>
      <c r="AC1889" s="16" t="n">
        <v>7.5</v>
      </c>
      <c r="AD1889" s="16" t="inlineStr">
        <is>
          <t>O2,O3</t>
        </is>
      </c>
      <c r="AE1889" s="16" t="n"/>
    </row>
    <row r="1890">
      <c r="A1890" s="16" t="inlineStr">
        <is>
          <t>KF-M05-2-0048</t>
        </is>
      </c>
      <c r="B1890" s="16" t="inlineStr">
        <is>
          <t>4.1</t>
        </is>
      </c>
      <c r="C1890" s="16" t="inlineStr">
        <is>
          <t>4.1b</t>
        </is>
      </c>
      <c r="D1890" s="16" t="inlineStr">
        <is>
          <t>conserva sus presiones</t>
        </is>
      </c>
      <c r="E1890" s="16" t="inlineStr">
        <is>
          <t>KF-M05</t>
        </is>
      </c>
      <c r="F1890" s="16" t="inlineStr">
        <is>
          <t>KF-M05-2</t>
        </is>
      </c>
      <c r="G1890" s="16" t="inlineStr">
        <is>
          <t>B09-2</t>
        </is>
      </c>
      <c r="H1890" s="16" t="inlineStr">
        <is>
          <t>lhs</t>
        </is>
      </c>
      <c r="I1890" s="16" t="inlineStr">
        <is>
          <t>INVIABLE</t>
        </is>
      </c>
      <c r="J1890" s="16" t="inlineStr">
        <is>
          <t>INVIABLE</t>
        </is>
      </c>
      <c r="K1890" s="16" t="b">
        <v>1</v>
      </c>
      <c r="L1890" s="16" t="b">
        <v>0</v>
      </c>
      <c r="M1890" s="16" t="b">
        <v>1</v>
      </c>
      <c r="N1890" s="16" t="b">
        <v>0</v>
      </c>
      <c r="O1890" s="16" t="n">
        <v>425.8921247946818</v>
      </c>
      <c r="P1890" s="16" t="n">
        <v>293.1273738097779</v>
      </c>
      <c r="Q1890" s="16" t="n">
        <v>3000</v>
      </c>
      <c r="R1890" s="16" t="n">
        <v>400</v>
      </c>
      <c r="S1890" s="16" t="n">
        <v>0.7291431856765423</v>
      </c>
      <c r="T1890" s="16" t="n">
        <v>0.5506074904829745</v>
      </c>
      <c r="U1890" s="16" t="n">
        <v>0.4797894783517225</v>
      </c>
      <c r="V1890" s="16" t="n">
        <v>0.8797529446704145</v>
      </c>
      <c r="W1890" s="16" t="n">
        <v>0.8877729231586554</v>
      </c>
      <c r="X1890" s="16" t="n">
        <v>0.4348180927994255</v>
      </c>
      <c r="Y1890" s="16" t="n">
        <v>293.1273738097779</v>
      </c>
      <c r="Z1890" s="16" t="n">
        <v>-240.6475134228213</v>
      </c>
      <c r="AA1890" s="16" t="n">
        <v>-279.2800875559175</v>
      </c>
      <c r="AB1890" s="16" t="n">
        <v>2600</v>
      </c>
      <c r="AC1890" s="16" t="n">
        <v>7.5</v>
      </c>
      <c r="AD1890" s="16" t="inlineStr">
        <is>
          <t>O2,O3</t>
        </is>
      </c>
      <c r="AE1890" s="16" t="n"/>
    </row>
    <row r="1891">
      <c r="A1891" s="16" t="inlineStr">
        <is>
          <t>KF-M05-2-0049</t>
        </is>
      </c>
      <c r="B1891" s="16" t="inlineStr">
        <is>
          <t>4.1</t>
        </is>
      </c>
      <c r="C1891" s="16" t="inlineStr">
        <is>
          <t>4.1b</t>
        </is>
      </c>
      <c r="D1891" s="16" t="inlineStr">
        <is>
          <t>conserva sus presiones</t>
        </is>
      </c>
      <c r="E1891" s="16" t="inlineStr">
        <is>
          <t>KF-M05</t>
        </is>
      </c>
      <c r="F1891" s="16" t="inlineStr">
        <is>
          <t>KF-M05-2</t>
        </is>
      </c>
      <c r="G1891" s="16" t="inlineStr">
        <is>
          <t>B09-2</t>
        </is>
      </c>
      <c r="H1891" s="16" t="inlineStr">
        <is>
          <t>lhs</t>
        </is>
      </c>
      <c r="I1891" s="16" t="inlineStr">
        <is>
          <t>CORREGIBLE</t>
        </is>
      </c>
      <c r="J1891" s="16" t="inlineStr">
        <is>
          <t>CORREGIBLE</t>
        </is>
      </c>
      <c r="K1891" s="16" t="b">
        <v>1</v>
      </c>
      <c r="L1891" s="16" t="b">
        <v>0</v>
      </c>
      <c r="M1891" s="16" t="b">
        <v>1</v>
      </c>
      <c r="N1891" s="16" t="b">
        <v>0</v>
      </c>
      <c r="O1891" s="16" t="n">
        <v>566.4431006350046</v>
      </c>
      <c r="P1891" s="16" t="n">
        <v>299.3844791562962</v>
      </c>
      <c r="Q1891" s="16" t="n">
        <v>3000</v>
      </c>
      <c r="R1891" s="16" t="n">
        <v>400</v>
      </c>
      <c r="S1891" s="16" t="n">
        <v>0.5464024529536566</v>
      </c>
      <c r="T1891" s="16" t="n">
        <v>0.6436181546731927</v>
      </c>
      <c r="U1891" s="16" t="n">
        <v>0.6986289801001928</v>
      </c>
      <c r="V1891" s="16" t="n">
        <v>0.7442393187695648</v>
      </c>
      <c r="W1891" s="16" t="n">
        <v>0.7821148719198321</v>
      </c>
      <c r="X1891" s="16" t="n">
        <v>0.7041446938829864</v>
      </c>
      <c r="Y1891" s="16" t="n">
        <v>299.3844791562962</v>
      </c>
      <c r="Z1891" s="16" t="n">
        <v>6.1689694492702</v>
      </c>
      <c r="AA1891" s="16" t="n">
        <v>84.1365809945577</v>
      </c>
      <c r="AB1891" s="16" t="n">
        <v>2600</v>
      </c>
      <c r="AC1891" s="16" t="n">
        <v>7.5</v>
      </c>
      <c r="AD1891" s="16" t="inlineStr">
        <is>
          <t>O2</t>
        </is>
      </c>
      <c r="AE1891" s="16" t="n"/>
    </row>
    <row r="1892">
      <c r="A1892" s="16" t="inlineStr">
        <is>
          <t>KF-M05-2-0050</t>
        </is>
      </c>
      <c r="B1892" s="16" t="inlineStr">
        <is>
          <t>4.1</t>
        </is>
      </c>
      <c r="C1892" s="16" t="inlineStr">
        <is>
          <t>4.1b</t>
        </is>
      </c>
      <c r="D1892" s="16" t="inlineStr">
        <is>
          <t>conserva sus presiones</t>
        </is>
      </c>
      <c r="E1892" s="16" t="inlineStr">
        <is>
          <t>KF-M05</t>
        </is>
      </c>
      <c r="F1892" s="16" t="inlineStr">
        <is>
          <t>KF-M05-2</t>
        </is>
      </c>
      <c r="G1892" s="16" t="inlineStr">
        <is>
          <t>B09-2</t>
        </is>
      </c>
      <c r="H1892" s="16" t="inlineStr">
        <is>
          <t>lhs</t>
        </is>
      </c>
      <c r="I1892" s="16" t="inlineStr">
        <is>
          <t>INVIABLE</t>
        </is>
      </c>
      <c r="J1892" s="16" t="inlineStr">
        <is>
          <t>INVIABLE</t>
        </is>
      </c>
      <c r="K1892" s="16" t="b">
        <v>1</v>
      </c>
      <c r="L1892" s="16" t="b">
        <v>0</v>
      </c>
      <c r="M1892" s="16" t="b">
        <v>0</v>
      </c>
      <c r="N1892" s="16" t="b">
        <v>0</v>
      </c>
      <c r="O1892" s="16" t="n">
        <v>415.0206847446809</v>
      </c>
      <c r="P1892" s="16" t="n">
        <v>299.1662311613478</v>
      </c>
      <c r="Q1892" s="16" t="n">
        <v>3000</v>
      </c>
      <c r="R1892" s="16" t="n">
        <v>400</v>
      </c>
      <c r="S1892" s="16" t="n">
        <v>0.7667197775961496</v>
      </c>
      <c r="T1892" s="16" t="n">
        <v>0.5967476927538113</v>
      </c>
      <c r="U1892" s="16" t="n">
        <v>0.6205909670209724</v>
      </c>
      <c r="V1892" s="16" t="n">
        <v>0.9170460133816321</v>
      </c>
      <c r="W1892" s="16" t="n">
        <v>0.7682985091447635</v>
      </c>
      <c r="X1892" s="16" t="n">
        <v>0.6775562633296344</v>
      </c>
      <c r="Y1892" s="16" t="n">
        <v>299.1662311613478</v>
      </c>
      <c r="Z1892" s="16" t="n">
        <v>-68.80361493256211</v>
      </c>
      <c r="AA1892" s="16" t="n">
        <v>-153.9740373671771</v>
      </c>
      <c r="AB1892" s="16" t="n">
        <v>2600</v>
      </c>
      <c r="AC1892" s="16" t="n">
        <v>7.5</v>
      </c>
      <c r="AD1892" s="16" t="inlineStr">
        <is>
          <t>O2,O3</t>
        </is>
      </c>
      <c r="AE1892" s="16" t="n"/>
    </row>
    <row r="1893">
      <c r="A1893" s="16" t="inlineStr">
        <is>
          <t>KF-M05-2-0051</t>
        </is>
      </c>
      <c r="B1893" s="16" t="inlineStr">
        <is>
          <t>4.1</t>
        </is>
      </c>
      <c r="C1893" s="16" t="inlineStr">
        <is>
          <t>4.1b</t>
        </is>
      </c>
      <c r="D1893" s="16" t="inlineStr">
        <is>
          <t>conserva sus presiones</t>
        </is>
      </c>
      <c r="E1893" s="16" t="inlineStr">
        <is>
          <t>KF-M05</t>
        </is>
      </c>
      <c r="F1893" s="16" t="inlineStr">
        <is>
          <t>KF-M05-2</t>
        </is>
      </c>
      <c r="G1893" s="16" t="inlineStr">
        <is>
          <t>B09-2</t>
        </is>
      </c>
      <c r="H1893" s="16" t="inlineStr">
        <is>
          <t>lhs</t>
        </is>
      </c>
      <c r="I1893" s="16" t="inlineStr">
        <is>
          <t>NO_CONVERGIO</t>
        </is>
      </c>
      <c r="J1893" s="16" t="inlineStr">
        <is>
          <t>NO_CONVERGIO</t>
        </is>
      </c>
      <c r="K1893" s="16" t="b">
        <v>0</v>
      </c>
      <c r="L1893" s="16" t="b">
        <v>0</v>
      </c>
      <c r="M1893" s="16" t="b">
        <v>0</v>
      </c>
      <c r="N1893" s="16" t="b">
        <v>0</v>
      </c>
      <c r="O1893" s="16" t="n">
        <v>554.810872548677</v>
      </c>
      <c r="P1893" s="16" t="n">
        <v>300.6800890250971</v>
      </c>
      <c r="Q1893" s="16" t="n">
        <v>3000</v>
      </c>
      <c r="R1893" s="16" t="n">
        <v>400</v>
      </c>
      <c r="S1893" s="16" t="n">
        <v>0.7524655074163449</v>
      </c>
      <c r="T1893" s="16" t="n">
        <v>0.7986118774259657</v>
      </c>
      <c r="U1893" s="16" t="n">
        <v>0.6367446053201002</v>
      </c>
      <c r="V1893" s="16" t="n">
        <v>0.8823381868014029</v>
      </c>
      <c r="W1893" s="16" t="n">
        <v>0.5332507023205755</v>
      </c>
      <c r="X1893" s="16" t="n">
        <v>0.736332026573264</v>
      </c>
      <c r="Y1893" s="16" t="n">
        <v>300.6800890250971</v>
      </c>
      <c r="Z1893" s="16" t="n"/>
      <c r="AA1893" s="16" t="n"/>
      <c r="AB1893" s="16" t="n">
        <v>2600</v>
      </c>
      <c r="AC1893" s="16" t="n">
        <v>7.5</v>
      </c>
      <c r="AD1893" s="16" t="n"/>
      <c r="AE1893" s="16" t="n"/>
    </row>
    <row r="1894">
      <c r="A1894" s="16" t="inlineStr">
        <is>
          <t>KF-M05-2-0052</t>
        </is>
      </c>
      <c r="B1894" s="16" t="inlineStr">
        <is>
          <t>4.1</t>
        </is>
      </c>
      <c r="C1894" s="16" t="inlineStr">
        <is>
          <t>4.1b</t>
        </is>
      </c>
      <c r="D1894" s="16" t="inlineStr">
        <is>
          <t>conserva sus presiones</t>
        </is>
      </c>
      <c r="E1894" s="16" t="inlineStr">
        <is>
          <t>KF-M05</t>
        </is>
      </c>
      <c r="F1894" s="16" t="inlineStr">
        <is>
          <t>KF-M05-2</t>
        </is>
      </c>
      <c r="G1894" s="16" t="inlineStr">
        <is>
          <t>B09-2</t>
        </is>
      </c>
      <c r="H1894" s="16" t="inlineStr">
        <is>
          <t>lhs</t>
        </is>
      </c>
      <c r="I1894" s="16" t="inlineStr">
        <is>
          <t>CORREGIBLE</t>
        </is>
      </c>
      <c r="J1894" s="16" t="inlineStr">
        <is>
          <t>CORREGIBLE</t>
        </is>
      </c>
      <c r="K1894" s="16" t="b">
        <v>1</v>
      </c>
      <c r="L1894" s="16" t="b">
        <v>0</v>
      </c>
      <c r="M1894" s="16" t="b">
        <v>1</v>
      </c>
      <c r="N1894" s="16" t="b">
        <v>0</v>
      </c>
      <c r="O1894" s="16" t="n">
        <v>621.7738417497867</v>
      </c>
      <c r="P1894" s="16" t="n">
        <v>290.4361523334052</v>
      </c>
      <c r="Q1894" s="16" t="n">
        <v>3000</v>
      </c>
      <c r="R1894" s="16" t="n">
        <v>400</v>
      </c>
      <c r="S1894" s="16" t="n">
        <v>0.6137377198285355</v>
      </c>
      <c r="T1894" s="16" t="n">
        <v>0.583488404254933</v>
      </c>
      <c r="U1894" s="16" t="n">
        <v>0.8448735604887079</v>
      </c>
      <c r="V1894" s="16" t="n">
        <v>0.721438176373554</v>
      </c>
      <c r="W1894" s="16" t="n">
        <v>0.9326656694786556</v>
      </c>
      <c r="X1894" s="16" t="n">
        <v>0.6306901402692517</v>
      </c>
      <c r="Y1894" s="16" t="n">
        <v>290.4361523334052</v>
      </c>
      <c r="Z1894" s="16" t="n">
        <v>4.44758821751849</v>
      </c>
      <c r="AA1894" s="16" t="n">
        <v>57.0182731499859</v>
      </c>
      <c r="AB1894" s="16" t="n">
        <v>2600</v>
      </c>
      <c r="AC1894" s="16" t="n">
        <v>7.5</v>
      </c>
      <c r="AD1894" s="16" t="inlineStr">
        <is>
          <t>O2</t>
        </is>
      </c>
      <c r="AE1894" s="16" t="n"/>
    </row>
    <row r="1895">
      <c r="A1895" s="16" t="inlineStr">
        <is>
          <t>KF-M05-2-0053</t>
        </is>
      </c>
      <c r="B1895" s="16" t="inlineStr">
        <is>
          <t>4.1</t>
        </is>
      </c>
      <c r="C1895" s="16" t="inlineStr">
        <is>
          <t>4.1b</t>
        </is>
      </c>
      <c r="D1895" s="16" t="inlineStr">
        <is>
          <t>conserva sus presiones</t>
        </is>
      </c>
      <c r="E1895" s="16" t="inlineStr">
        <is>
          <t>KF-M05</t>
        </is>
      </c>
      <c r="F1895" s="16" t="inlineStr">
        <is>
          <t>KF-M05-2</t>
        </is>
      </c>
      <c r="G1895" s="16" t="inlineStr">
        <is>
          <t>B09-2</t>
        </is>
      </c>
      <c r="H1895" s="16" t="inlineStr">
        <is>
          <t>lhs</t>
        </is>
      </c>
      <c r="I1895" s="16" t="inlineStr">
        <is>
          <t>CORREGIBLE</t>
        </is>
      </c>
      <c r="J1895" s="16" t="inlineStr">
        <is>
          <t>CORREGIBLE</t>
        </is>
      </c>
      <c r="K1895" s="16" t="b">
        <v>1</v>
      </c>
      <c r="L1895" s="16" t="b">
        <v>0</v>
      </c>
      <c r="M1895" s="16" t="b">
        <v>1</v>
      </c>
      <c r="N1895" s="16" t="b">
        <v>0</v>
      </c>
      <c r="O1895" s="16" t="n">
        <v>502.2192735380241</v>
      </c>
      <c r="P1895" s="16" t="n">
        <v>289.6555377927746</v>
      </c>
      <c r="Q1895" s="16" t="n">
        <v>3000</v>
      </c>
      <c r="R1895" s="16" t="n">
        <v>400</v>
      </c>
      <c r="S1895" s="16" t="n">
        <v>0.5063285766798503</v>
      </c>
      <c r="T1895" s="16" t="n">
        <v>0.8704721746866141</v>
      </c>
      <c r="U1895" s="16" t="n">
        <v>0.6828946038261068</v>
      </c>
      <c r="V1895" s="16" t="n">
        <v>0.8141670595277271</v>
      </c>
      <c r="W1895" s="16" t="n">
        <v>0.797752572691779</v>
      </c>
      <c r="X1895" s="16" t="n">
        <v>0.4268063168717544</v>
      </c>
      <c r="Y1895" s="16" t="n">
        <v>289.6555377927746</v>
      </c>
      <c r="Z1895" s="16" t="n">
        <v>3.95367952417207</v>
      </c>
      <c r="AA1895" s="16" t="n">
        <v>34.51509186491421</v>
      </c>
      <c r="AB1895" s="16" t="n">
        <v>2600</v>
      </c>
      <c r="AC1895" s="16" t="n">
        <v>7.5</v>
      </c>
      <c r="AD1895" s="16" t="inlineStr">
        <is>
          <t>O1,O2</t>
        </is>
      </c>
      <c r="AE1895" s="16" t="n"/>
    </row>
    <row r="1896">
      <c r="A1896" s="16" t="inlineStr">
        <is>
          <t>KF-M05-2-0054</t>
        </is>
      </c>
      <c r="B1896" s="16" t="inlineStr">
        <is>
          <t>4.1</t>
        </is>
      </c>
      <c r="C1896" s="16" t="inlineStr">
        <is>
          <t>4.1b</t>
        </is>
      </c>
      <c r="D1896" s="16" t="inlineStr">
        <is>
          <t>conserva sus presiones</t>
        </is>
      </c>
      <c r="E1896" s="16" t="inlineStr">
        <is>
          <t>KF-M05</t>
        </is>
      </c>
      <c r="F1896" s="16" t="inlineStr">
        <is>
          <t>KF-M05-2</t>
        </is>
      </c>
      <c r="G1896" s="16" t="inlineStr">
        <is>
          <t>B09-2</t>
        </is>
      </c>
      <c r="H1896" s="16" t="inlineStr">
        <is>
          <t>lhs</t>
        </is>
      </c>
      <c r="I1896" s="16" t="inlineStr">
        <is>
          <t>INVIABLE</t>
        </is>
      </c>
      <c r="J1896" s="16" t="inlineStr">
        <is>
          <t>INVIABLE</t>
        </is>
      </c>
      <c r="K1896" s="16" t="b">
        <v>1</v>
      </c>
      <c r="L1896" s="16" t="b">
        <v>0</v>
      </c>
      <c r="M1896" s="16" t="b">
        <v>1</v>
      </c>
      <c r="N1896" s="16" t="b">
        <v>0</v>
      </c>
      <c r="O1896" s="16" t="n">
        <v>489.4141679495017</v>
      </c>
      <c r="P1896" s="16" t="n">
        <v>280.9654918689756</v>
      </c>
      <c r="Q1896" s="16" t="n">
        <v>3000</v>
      </c>
      <c r="R1896" s="16" t="n">
        <v>400</v>
      </c>
      <c r="S1896" s="16" t="n">
        <v>0.5908528946087365</v>
      </c>
      <c r="T1896" s="16" t="n">
        <v>0.4118285937979145</v>
      </c>
      <c r="U1896" s="16" t="n">
        <v>0.565366005716792</v>
      </c>
      <c r="V1896" s="16" t="n">
        <v>0.488193597343202</v>
      </c>
      <c r="W1896" s="16" t="n">
        <v>0.5699113557102671</v>
      </c>
      <c r="X1896" s="16" t="n">
        <v>0.5523461429246034</v>
      </c>
      <c r="Y1896" s="16" t="n">
        <v>280.9654918689756</v>
      </c>
      <c r="Z1896" s="16" t="n">
        <v>-9.992168370512749</v>
      </c>
      <c r="AA1896" s="16" t="n">
        <v>-73.25827664621048</v>
      </c>
      <c r="AB1896" s="16" t="n">
        <v>2600</v>
      </c>
      <c r="AC1896" s="16" t="n">
        <v>7.5</v>
      </c>
      <c r="AD1896" s="16" t="inlineStr">
        <is>
          <t>O2,O3</t>
        </is>
      </c>
      <c r="AE1896" s="16" t="n"/>
    </row>
    <row r="1897">
      <c r="A1897" s="16" t="inlineStr">
        <is>
          <t>KF-M05-2-0055</t>
        </is>
      </c>
      <c r="B1897" s="16" t="inlineStr">
        <is>
          <t>4.1</t>
        </is>
      </c>
      <c r="C1897" s="16" t="inlineStr">
        <is>
          <t>4.1b</t>
        </is>
      </c>
      <c r="D1897" s="16" t="inlineStr">
        <is>
          <t>conserva sus presiones</t>
        </is>
      </c>
      <c r="E1897" s="16" t="inlineStr">
        <is>
          <t>KF-M05</t>
        </is>
      </c>
      <c r="F1897" s="16" t="inlineStr">
        <is>
          <t>KF-M05-2</t>
        </is>
      </c>
      <c r="G1897" s="16" t="inlineStr">
        <is>
          <t>B09-2</t>
        </is>
      </c>
      <c r="H1897" s="16" t="inlineStr">
        <is>
          <t>lhs</t>
        </is>
      </c>
      <c r="I1897" s="16" t="inlineStr">
        <is>
          <t>INVIABLE</t>
        </is>
      </c>
      <c r="J1897" s="16" t="inlineStr">
        <is>
          <t>INVIABLE</t>
        </is>
      </c>
      <c r="K1897" s="16" t="b">
        <v>1</v>
      </c>
      <c r="L1897" s="16" t="b">
        <v>0</v>
      </c>
      <c r="M1897" s="16" t="b">
        <v>1</v>
      </c>
      <c r="N1897" s="16" t="b">
        <v>0</v>
      </c>
      <c r="O1897" s="16" t="n">
        <v>510.8444477059914</v>
      </c>
      <c r="P1897" s="16" t="n">
        <v>281.1337428768068</v>
      </c>
      <c r="Q1897" s="16" t="n">
        <v>3000</v>
      </c>
      <c r="R1897" s="16" t="n">
        <v>400</v>
      </c>
      <c r="S1897" s="16" t="n">
        <v>0.7313970166443975</v>
      </c>
      <c r="T1897" s="16" t="n">
        <v>0.8653853487879313</v>
      </c>
      <c r="U1897" s="16" t="n">
        <v>0.4527691405371999</v>
      </c>
      <c r="V1897" s="16" t="n">
        <v>0.4693326132912527</v>
      </c>
      <c r="W1897" s="16" t="n">
        <v>0.6141397393462281</v>
      </c>
      <c r="X1897" s="16" t="n">
        <v>0.510411350468826</v>
      </c>
      <c r="Y1897" s="16" t="n">
        <v>281.1337428768068</v>
      </c>
      <c r="Z1897" s="16" t="n">
        <v>-6.05465670478321</v>
      </c>
      <c r="AA1897" s="16" t="n">
        <v>-37.30229783778918</v>
      </c>
      <c r="AB1897" s="16" t="n">
        <v>2600</v>
      </c>
      <c r="AC1897" s="16" t="n">
        <v>7.5</v>
      </c>
      <c r="AD1897" s="16" t="inlineStr">
        <is>
          <t>O2,O3</t>
        </is>
      </c>
      <c r="AE1897" s="16" t="n"/>
    </row>
    <row r="1898">
      <c r="A1898" s="16" t="inlineStr">
        <is>
          <t>KF-M05-2-0056</t>
        </is>
      </c>
      <c r="B1898" s="16" t="inlineStr">
        <is>
          <t>4.1</t>
        </is>
      </c>
      <c r="C1898" s="16" t="inlineStr">
        <is>
          <t>4.1b</t>
        </is>
      </c>
      <c r="D1898" s="16" t="inlineStr">
        <is>
          <t>conserva sus presiones</t>
        </is>
      </c>
      <c r="E1898" s="16" t="inlineStr">
        <is>
          <t>KF-M05</t>
        </is>
      </c>
      <c r="F1898" s="16" t="inlineStr">
        <is>
          <t>KF-M05-2</t>
        </is>
      </c>
      <c r="G1898" s="16" t="inlineStr">
        <is>
          <t>B09-2</t>
        </is>
      </c>
      <c r="H1898" s="16" t="inlineStr">
        <is>
          <t>lhs</t>
        </is>
      </c>
      <c r="I1898" s="16" t="inlineStr">
        <is>
          <t>NO_CONVERGIO</t>
        </is>
      </c>
      <c r="J1898" s="16" t="inlineStr">
        <is>
          <t>NO_CONVERGIO</t>
        </is>
      </c>
      <c r="K1898" s="16" t="b">
        <v>0</v>
      </c>
      <c r="L1898" s="16" t="b">
        <v>0</v>
      </c>
      <c r="M1898" s="16" t="b">
        <v>0</v>
      </c>
      <c r="N1898" s="16" t="b">
        <v>0</v>
      </c>
      <c r="O1898" s="16" t="n">
        <v>531.9871489560807</v>
      </c>
      <c r="P1898" s="16" t="n">
        <v>302.1241415012385</v>
      </c>
      <c r="Q1898" s="16" t="n">
        <v>3000</v>
      </c>
      <c r="R1898" s="16" t="n">
        <v>400</v>
      </c>
      <c r="S1898" s="16" t="n">
        <v>0.6023347032038878</v>
      </c>
      <c r="T1898" s="16" t="n">
        <v>0.463242905922096</v>
      </c>
      <c r="U1898" s="16" t="n">
        <v>0.4010331250497644</v>
      </c>
      <c r="V1898" s="16" t="n">
        <v>0.580363135766835</v>
      </c>
      <c r="W1898" s="16" t="n">
        <v>0.6620544294297005</v>
      </c>
      <c r="X1898" s="16" t="n">
        <v>0.4594105827690198</v>
      </c>
      <c r="Y1898" s="16" t="n">
        <v>302.1241415012385</v>
      </c>
      <c r="Z1898" s="16" t="n"/>
      <c r="AA1898" s="16" t="n"/>
      <c r="AB1898" s="16" t="n">
        <v>2600</v>
      </c>
      <c r="AC1898" s="16" t="n">
        <v>7.5</v>
      </c>
      <c r="AD1898" s="16" t="n"/>
      <c r="AE1898" s="16" t="n"/>
    </row>
    <row r="1899">
      <c r="A1899" s="16" t="inlineStr">
        <is>
          <t>KF-M05-2-0057</t>
        </is>
      </c>
      <c r="B1899" s="16" t="inlineStr">
        <is>
          <t>4.1</t>
        </is>
      </c>
      <c r="C1899" s="16" t="inlineStr">
        <is>
          <t>4.1b</t>
        </is>
      </c>
      <c r="D1899" s="16" t="inlineStr">
        <is>
          <t>conserva sus presiones</t>
        </is>
      </c>
      <c r="E1899" s="16" t="inlineStr">
        <is>
          <t>KF-M05</t>
        </is>
      </c>
      <c r="F1899" s="16" t="inlineStr">
        <is>
          <t>KF-M05-2</t>
        </is>
      </c>
      <c r="G1899" s="16" t="inlineStr">
        <is>
          <t>B09-2</t>
        </is>
      </c>
      <c r="H1899" s="16" t="inlineStr">
        <is>
          <t>lhs</t>
        </is>
      </c>
      <c r="I1899" s="16" t="inlineStr">
        <is>
          <t>CORREGIBLE</t>
        </is>
      </c>
      <c r="J1899" s="16" t="inlineStr">
        <is>
          <t>CORREGIBLE</t>
        </is>
      </c>
      <c r="K1899" s="16" t="b">
        <v>1</v>
      </c>
      <c r="L1899" s="16" t="b">
        <v>0</v>
      </c>
      <c r="M1899" s="16" t="b">
        <v>1</v>
      </c>
      <c r="N1899" s="16" t="b">
        <v>0</v>
      </c>
      <c r="O1899" s="16" t="n">
        <v>541.3681171659661</v>
      </c>
      <c r="P1899" s="16" t="n">
        <v>281.558340798768</v>
      </c>
      <c r="Q1899" s="16" t="n">
        <v>3000</v>
      </c>
      <c r="R1899" s="16" t="n">
        <v>400</v>
      </c>
      <c r="S1899" s="16" t="n">
        <v>0.5728017960070007</v>
      </c>
      <c r="T1899" s="16" t="n">
        <v>0.5820065045339732</v>
      </c>
      <c r="U1899" s="16" t="n">
        <v>0.8879272425786228</v>
      </c>
      <c r="V1899" s="16" t="n">
        <v>0.8180161375042876</v>
      </c>
      <c r="W1899" s="16" t="n">
        <v>0.5994099598914684</v>
      </c>
      <c r="X1899" s="16" t="n">
        <v>0.8069324251655375</v>
      </c>
      <c r="Y1899" s="16" t="n">
        <v>281.558340798768</v>
      </c>
      <c r="Z1899" s="16" t="n">
        <v>8.739497231505521</v>
      </c>
      <c r="AA1899" s="16" t="n">
        <v>149.7113095974929</v>
      </c>
      <c r="AB1899" s="16" t="n">
        <v>2600</v>
      </c>
      <c r="AC1899" s="16" t="n">
        <v>7.5</v>
      </c>
      <c r="AD1899" s="16" t="inlineStr">
        <is>
          <t>O2</t>
        </is>
      </c>
      <c r="AE1899" s="16" t="n"/>
    </row>
    <row r="1900">
      <c r="A1900" s="16" t="inlineStr">
        <is>
          <t>KF-M05-2-0058</t>
        </is>
      </c>
      <c r="B1900" s="16" t="inlineStr">
        <is>
          <t>4.1</t>
        </is>
      </c>
      <c r="C1900" s="16" t="inlineStr">
        <is>
          <t>4.1b</t>
        </is>
      </c>
      <c r="D1900" s="16" t="inlineStr">
        <is>
          <t>conserva sus presiones</t>
        </is>
      </c>
      <c r="E1900" s="16" t="inlineStr">
        <is>
          <t>KF-M05</t>
        </is>
      </c>
      <c r="F1900" s="16" t="inlineStr">
        <is>
          <t>KF-M05-2</t>
        </is>
      </c>
      <c r="G1900" s="16" t="inlineStr">
        <is>
          <t>B09-2</t>
        </is>
      </c>
      <c r="H1900" s="16" t="inlineStr">
        <is>
          <t>lhs</t>
        </is>
      </c>
      <c r="I1900" s="16" t="inlineStr">
        <is>
          <t>CORREGIBLE</t>
        </is>
      </c>
      <c r="J1900" s="16" t="inlineStr">
        <is>
          <t>CORREGIBLE</t>
        </is>
      </c>
      <c r="K1900" s="16" t="b">
        <v>1</v>
      </c>
      <c r="L1900" s="16" t="b">
        <v>0</v>
      </c>
      <c r="M1900" s="16" t="b">
        <v>1</v>
      </c>
      <c r="N1900" s="16" t="b">
        <v>0</v>
      </c>
      <c r="O1900" s="16" t="n">
        <v>466.5795601423641</v>
      </c>
      <c r="P1900" s="16" t="n">
        <v>287.104900114108</v>
      </c>
      <c r="Q1900" s="16" t="n">
        <v>3000</v>
      </c>
      <c r="R1900" s="16" t="n">
        <v>400</v>
      </c>
      <c r="S1900" s="16" t="n">
        <v>0.5843009863275697</v>
      </c>
      <c r="T1900" s="16" t="n">
        <v>0.832104530553432</v>
      </c>
      <c r="U1900" s="16" t="n">
        <v>0.5816772456553996</v>
      </c>
      <c r="V1900" s="16" t="n">
        <v>0.6172260172784224</v>
      </c>
      <c r="W1900" s="16" t="n">
        <v>0.5676521069416653</v>
      </c>
      <c r="X1900" s="16" t="n">
        <v>0.5245493673321923</v>
      </c>
      <c r="Y1900" s="16" t="n">
        <v>287.104900114108</v>
      </c>
      <c r="Z1900" s="16" t="n">
        <v>2.73819251890867</v>
      </c>
      <c r="AA1900" s="16" t="n">
        <v>22.48349737126097</v>
      </c>
      <c r="AB1900" s="16" t="n">
        <v>2600</v>
      </c>
      <c r="AC1900" s="16" t="n">
        <v>7.5</v>
      </c>
      <c r="AD1900" s="16" t="inlineStr">
        <is>
          <t>O2</t>
        </is>
      </c>
      <c r="AE1900" s="16" t="n"/>
    </row>
    <row r="1901">
      <c r="A1901" s="16" t="inlineStr">
        <is>
          <t>KF-M05-2-0059</t>
        </is>
      </c>
      <c r="B1901" s="16" t="inlineStr">
        <is>
          <t>4.1</t>
        </is>
      </c>
      <c r="C1901" s="16" t="inlineStr">
        <is>
          <t>4.1b</t>
        </is>
      </c>
      <c r="D1901" s="16" t="inlineStr">
        <is>
          <t>conserva sus presiones</t>
        </is>
      </c>
      <c r="E1901" s="16" t="inlineStr">
        <is>
          <t>KF-M05</t>
        </is>
      </c>
      <c r="F1901" s="16" t="inlineStr">
        <is>
          <t>KF-M05-2</t>
        </is>
      </c>
      <c r="G1901" s="16" t="inlineStr">
        <is>
          <t>B09-2</t>
        </is>
      </c>
      <c r="H1901" s="16" t="inlineStr">
        <is>
          <t>lhs</t>
        </is>
      </c>
      <c r="I1901" s="16" t="inlineStr">
        <is>
          <t>INVIABLE</t>
        </is>
      </c>
      <c r="J1901" s="16" t="inlineStr">
        <is>
          <t>INVIABLE</t>
        </is>
      </c>
      <c r="K1901" s="16" t="b">
        <v>1</v>
      </c>
      <c r="L1901" s="16" t="b">
        <v>0</v>
      </c>
      <c r="M1901" s="16" t="b">
        <v>1</v>
      </c>
      <c r="N1901" s="16" t="b">
        <v>0</v>
      </c>
      <c r="O1901" s="16" t="n">
        <v>503.8365226895149</v>
      </c>
      <c r="P1901" s="16" t="n">
        <v>297.5031289787381</v>
      </c>
      <c r="Q1901" s="16" t="n">
        <v>3000</v>
      </c>
      <c r="R1901" s="16" t="n">
        <v>400</v>
      </c>
      <c r="S1901" s="16" t="n">
        <v>0.6979307073817103</v>
      </c>
      <c r="T1901" s="16" t="n">
        <v>0.569524642222563</v>
      </c>
      <c r="U1901" s="16" t="n">
        <v>0.7051598593415387</v>
      </c>
      <c r="V1901" s="16" t="n">
        <v>0.4442908370191851</v>
      </c>
      <c r="W1901" s="16" t="n">
        <v>0.6510043653305124</v>
      </c>
      <c r="X1901" s="16" t="n">
        <v>0.6824607634503894</v>
      </c>
      <c r="Y1901" s="16" t="n">
        <v>297.5031289787381</v>
      </c>
      <c r="Z1901" s="16" t="n">
        <v>-11.82773847819034</v>
      </c>
      <c r="AA1901" s="16" t="n">
        <v>-64.5017856618208</v>
      </c>
      <c r="AB1901" s="16" t="n">
        <v>2600</v>
      </c>
      <c r="AC1901" s="16" t="n">
        <v>7.5</v>
      </c>
      <c r="AD1901" s="16" t="inlineStr">
        <is>
          <t>O2,O3</t>
        </is>
      </c>
      <c r="AE1901" s="16" t="n"/>
    </row>
    <row r="1902">
      <c r="A1902" s="16" t="inlineStr">
        <is>
          <t>KF-M05-2-0060</t>
        </is>
      </c>
      <c r="B1902" s="16" t="inlineStr">
        <is>
          <t>4.1</t>
        </is>
      </c>
      <c r="C1902" s="16" t="inlineStr">
        <is>
          <t>4.1b</t>
        </is>
      </c>
      <c r="D1902" s="16" t="inlineStr">
        <is>
          <t>conserva sus presiones</t>
        </is>
      </c>
      <c r="E1902" s="16" t="inlineStr">
        <is>
          <t>KF-M05</t>
        </is>
      </c>
      <c r="F1902" s="16" t="inlineStr">
        <is>
          <t>KF-M05-2</t>
        </is>
      </c>
      <c r="G1902" s="16" t="inlineStr">
        <is>
          <t>B09-2</t>
        </is>
      </c>
      <c r="H1902" s="16" t="inlineStr">
        <is>
          <t>lhs</t>
        </is>
      </c>
      <c r="I1902" s="16" t="inlineStr">
        <is>
          <t>NO_CONVERGIO</t>
        </is>
      </c>
      <c r="J1902" s="16" t="inlineStr">
        <is>
          <t>NO_CONVERGIO</t>
        </is>
      </c>
      <c r="K1902" s="16" t="b">
        <v>0</v>
      </c>
      <c r="L1902" s="16" t="b">
        <v>0</v>
      </c>
      <c r="M1902" s="16" t="b">
        <v>0</v>
      </c>
      <c r="N1902" s="16" t="b">
        <v>0</v>
      </c>
      <c r="O1902" s="16" t="n">
        <v>618.85711179238</v>
      </c>
      <c r="P1902" s="16" t="n">
        <v>301.5274979851906</v>
      </c>
      <c r="Q1902" s="16" t="n">
        <v>3000</v>
      </c>
      <c r="R1902" s="16" t="n">
        <v>400</v>
      </c>
      <c r="S1902" s="16" t="n">
        <v>0.5223750242534617</v>
      </c>
      <c r="T1902" s="16" t="n">
        <v>0.9106228940341492</v>
      </c>
      <c r="U1902" s="16" t="n">
        <v>0.4734380517857935</v>
      </c>
      <c r="V1902" s="16" t="n">
        <v>0.7721215625297606</v>
      </c>
      <c r="W1902" s="16" t="n">
        <v>0.8747173598594619</v>
      </c>
      <c r="X1902" s="16" t="n">
        <v>0.598200270088872</v>
      </c>
      <c r="Y1902" s="16" t="n">
        <v>301.5274979851906</v>
      </c>
      <c r="Z1902" s="16" t="n"/>
      <c r="AA1902" s="16" t="n"/>
      <c r="AB1902" s="16" t="n">
        <v>2600</v>
      </c>
      <c r="AC1902" s="16" t="n">
        <v>7.5</v>
      </c>
      <c r="AD1902" s="16" t="n"/>
      <c r="AE1902" s="16" t="n"/>
    </row>
    <row r="1903">
      <c r="A1903" s="16" t="inlineStr">
        <is>
          <t>KF-M05-2-0061</t>
        </is>
      </c>
      <c r="B1903" s="16" t="inlineStr">
        <is>
          <t>4.1</t>
        </is>
      </c>
      <c r="C1903" s="16" t="inlineStr">
        <is>
          <t>4.1b</t>
        </is>
      </c>
      <c r="D1903" s="16" t="inlineStr">
        <is>
          <t>conserva sus presiones</t>
        </is>
      </c>
      <c r="E1903" s="16" t="inlineStr">
        <is>
          <t>KF-M05</t>
        </is>
      </c>
      <c r="F1903" s="16" t="inlineStr">
        <is>
          <t>KF-M05-2</t>
        </is>
      </c>
      <c r="G1903" s="16" t="inlineStr">
        <is>
          <t>B09-2</t>
        </is>
      </c>
      <c r="H1903" s="16" t="inlineStr">
        <is>
          <t>lhs</t>
        </is>
      </c>
      <c r="I1903" s="16" t="inlineStr">
        <is>
          <t>CORREGIBLE</t>
        </is>
      </c>
      <c r="J1903" s="16" t="inlineStr">
        <is>
          <t>CORREGIBLE</t>
        </is>
      </c>
      <c r="K1903" s="16" t="b">
        <v>1</v>
      </c>
      <c r="L1903" s="16" t="b">
        <v>0</v>
      </c>
      <c r="M1903" s="16" t="b">
        <v>1</v>
      </c>
      <c r="N1903" s="16" t="b">
        <v>0</v>
      </c>
      <c r="O1903" s="16" t="n">
        <v>516.515372530245</v>
      </c>
      <c r="P1903" s="16" t="n">
        <v>281.9378846767186</v>
      </c>
      <c r="Q1903" s="16" t="n">
        <v>3000</v>
      </c>
      <c r="R1903" s="16" t="n">
        <v>400</v>
      </c>
      <c r="S1903" s="16" t="n">
        <v>0.6901936412212248</v>
      </c>
      <c r="T1903" s="16" t="n">
        <v>0.4580259411662696</v>
      </c>
      <c r="U1903" s="16" t="n">
        <v>0.942829475931754</v>
      </c>
      <c r="V1903" s="16" t="n">
        <v>0.5657078444265498</v>
      </c>
      <c r="W1903" s="16" t="n">
        <v>0.7482071637800414</v>
      </c>
      <c r="X1903" s="16" t="n">
        <v>0.9196196892713606</v>
      </c>
      <c r="Y1903" s="16" t="n">
        <v>281.9378846767186</v>
      </c>
      <c r="Z1903" s="16" t="n">
        <v>7.80537728035681</v>
      </c>
      <c r="AA1903" s="16" t="n">
        <v>90.72074143151129</v>
      </c>
      <c r="AB1903" s="16" t="n">
        <v>2600</v>
      </c>
      <c r="AC1903" s="16" t="n">
        <v>7.5</v>
      </c>
      <c r="AD1903" s="16" t="inlineStr">
        <is>
          <t>O2</t>
        </is>
      </c>
      <c r="AE1903" s="16" t="n"/>
    </row>
    <row r="1904">
      <c r="A1904" s="16" t="inlineStr">
        <is>
          <t>KF-M05-2-0062</t>
        </is>
      </c>
      <c r="B1904" s="16" t="inlineStr">
        <is>
          <t>4.1</t>
        </is>
      </c>
      <c r="C1904" s="16" t="inlineStr">
        <is>
          <t>4.1b</t>
        </is>
      </c>
      <c r="D1904" s="16" t="inlineStr">
        <is>
          <t>conserva sus presiones</t>
        </is>
      </c>
      <c r="E1904" s="16" t="inlineStr">
        <is>
          <t>KF-M05</t>
        </is>
      </c>
      <c r="F1904" s="16" t="inlineStr">
        <is>
          <t>KF-M05-2</t>
        </is>
      </c>
      <c r="G1904" s="16" t="inlineStr">
        <is>
          <t>B09-2</t>
        </is>
      </c>
      <c r="H1904" s="16" t="inlineStr">
        <is>
          <t>lhs</t>
        </is>
      </c>
      <c r="I1904" s="16" t="inlineStr">
        <is>
          <t>INVIABLE</t>
        </is>
      </c>
      <c r="J1904" s="16" t="inlineStr">
        <is>
          <t>INVIABLE</t>
        </is>
      </c>
      <c r="K1904" s="16" t="b">
        <v>1</v>
      </c>
      <c r="L1904" s="16" t="b">
        <v>0</v>
      </c>
      <c r="M1904" s="16" t="b">
        <v>1</v>
      </c>
      <c r="N1904" s="16" t="b">
        <v>0</v>
      </c>
      <c r="O1904" s="16" t="n">
        <v>603.5456211981797</v>
      </c>
      <c r="P1904" s="16" t="n">
        <v>303.4790817235993</v>
      </c>
      <c r="Q1904" s="16" t="n">
        <v>3000</v>
      </c>
      <c r="R1904" s="16" t="n">
        <v>400</v>
      </c>
      <c r="S1904" s="16" t="n">
        <v>0.5008427402618544</v>
      </c>
      <c r="T1904" s="16" t="n">
        <v>0.5447908121101769</v>
      </c>
      <c r="U1904" s="16" t="n">
        <v>0.5197339782784116</v>
      </c>
      <c r="V1904" s="16" t="n">
        <v>0.7023731078237938</v>
      </c>
      <c r="W1904" s="16" t="n">
        <v>0.9099897581684117</v>
      </c>
      <c r="X1904" s="16" t="n">
        <v>0.4945086465151052</v>
      </c>
      <c r="Y1904" s="16" t="n">
        <v>303.4790817235993</v>
      </c>
      <c r="Z1904" s="16" t="n">
        <v>-16.00017380282747</v>
      </c>
      <c r="AA1904" s="16" t="n">
        <v>-143.1916711740755</v>
      </c>
      <c r="AB1904" s="16" t="n">
        <v>2600</v>
      </c>
      <c r="AC1904" s="16" t="n">
        <v>7.5</v>
      </c>
      <c r="AD1904" s="16" t="inlineStr">
        <is>
          <t>O2,O3</t>
        </is>
      </c>
      <c r="AE1904" s="16" t="n"/>
    </row>
    <row r="1905">
      <c r="A1905" s="16" t="inlineStr">
        <is>
          <t>KF-M05-2-0063</t>
        </is>
      </c>
      <c r="B1905" s="16" t="inlineStr">
        <is>
          <t>4.1</t>
        </is>
      </c>
      <c r="C1905" s="16" t="inlineStr">
        <is>
          <t>4.1b</t>
        </is>
      </c>
      <c r="D1905" s="16" t="inlineStr">
        <is>
          <t>conserva sus presiones</t>
        </is>
      </c>
      <c r="E1905" s="16" t="inlineStr">
        <is>
          <t>KF-M05</t>
        </is>
      </c>
      <c r="F1905" s="16" t="inlineStr">
        <is>
          <t>KF-M05-2</t>
        </is>
      </c>
      <c r="G1905" s="16" t="inlineStr">
        <is>
          <t>B09-2</t>
        </is>
      </c>
      <c r="H1905" s="16" t="inlineStr">
        <is>
          <t>lhs</t>
        </is>
      </c>
      <c r="I1905" s="16" t="inlineStr">
        <is>
          <t>CORREGIBLE</t>
        </is>
      </c>
      <c r="J1905" s="16" t="inlineStr">
        <is>
          <t>CORREGIBLE</t>
        </is>
      </c>
      <c r="K1905" s="16" t="b">
        <v>1</v>
      </c>
      <c r="L1905" s="16" t="b">
        <v>0</v>
      </c>
      <c r="M1905" s="16" t="b">
        <v>1</v>
      </c>
      <c r="N1905" s="16" t="b">
        <v>0</v>
      </c>
      <c r="O1905" s="16" t="n">
        <v>607.8443151303683</v>
      </c>
      <c r="P1905" s="16" t="n">
        <v>291.3580129079606</v>
      </c>
      <c r="Q1905" s="16" t="n">
        <v>3000</v>
      </c>
      <c r="R1905" s="16" t="n">
        <v>400</v>
      </c>
      <c r="S1905" s="16" t="n">
        <v>0.6691273260536921</v>
      </c>
      <c r="T1905" s="16" t="n">
        <v>0.6239198593467</v>
      </c>
      <c r="U1905" s="16" t="n">
        <v>0.8850011315525339</v>
      </c>
      <c r="V1905" s="16" t="n">
        <v>0.6653851781535995</v>
      </c>
      <c r="W1905" s="16" t="n">
        <v>0.8348627314380784</v>
      </c>
      <c r="X1905" s="16" t="n">
        <v>0.5568688684751861</v>
      </c>
      <c r="Y1905" s="16" t="n">
        <v>291.3580129079606</v>
      </c>
      <c r="Z1905" s="16" t="n">
        <v>1.09781341814395</v>
      </c>
      <c r="AA1905" s="16" t="n">
        <v>10.10330583906986</v>
      </c>
      <c r="AB1905" s="16" t="n">
        <v>2600</v>
      </c>
      <c r="AC1905" s="16" t="n">
        <v>7.5</v>
      </c>
      <c r="AD1905" s="16" t="inlineStr">
        <is>
          <t>O2</t>
        </is>
      </c>
      <c r="AE1905" s="16" t="n"/>
    </row>
    <row r="1906">
      <c r="A1906" s="16" t="inlineStr">
        <is>
          <t>KF-M05-2-0064</t>
        </is>
      </c>
      <c r="B1906" s="16" t="inlineStr">
        <is>
          <t>4.1</t>
        </is>
      </c>
      <c r="C1906" s="16" t="inlineStr">
        <is>
          <t>4.1b</t>
        </is>
      </c>
      <c r="D1906" s="16" t="inlineStr">
        <is>
          <t>conserva sus presiones</t>
        </is>
      </c>
      <c r="E1906" s="16" t="inlineStr">
        <is>
          <t>KF-M05</t>
        </is>
      </c>
      <c r="F1906" s="16" t="inlineStr">
        <is>
          <t>KF-M05-2</t>
        </is>
      </c>
      <c r="G1906" s="16" t="inlineStr">
        <is>
          <t>B09-2</t>
        </is>
      </c>
      <c r="H1906" s="16" t="inlineStr">
        <is>
          <t>lhs</t>
        </is>
      </c>
      <c r="I1906" s="16" t="inlineStr">
        <is>
          <t>CORREGIBLE</t>
        </is>
      </c>
      <c r="J1906" s="16" t="inlineStr">
        <is>
          <t>CORREGIBLE</t>
        </is>
      </c>
      <c r="K1906" s="16" t="b">
        <v>1</v>
      </c>
      <c r="L1906" s="16" t="b">
        <v>0</v>
      </c>
      <c r="M1906" s="16" t="b">
        <v>0</v>
      </c>
      <c r="N1906" s="16" t="b">
        <v>0</v>
      </c>
      <c r="O1906" s="16" t="n">
        <v>404.2553776240437</v>
      </c>
      <c r="P1906" s="16" t="n">
        <v>285.3747856531434</v>
      </c>
      <c r="Q1906" s="16" t="n">
        <v>3000</v>
      </c>
      <c r="R1906" s="16" t="n">
        <v>400</v>
      </c>
      <c r="S1906" s="16" t="n">
        <v>0.6660172931968384</v>
      </c>
      <c r="T1906" s="16" t="n">
        <v>0.5310893804793499</v>
      </c>
      <c r="U1906" s="16" t="n">
        <v>0.938684996215319</v>
      </c>
      <c r="V1906" s="16" t="n">
        <v>0.8226425490530536</v>
      </c>
      <c r="W1906" s="16" t="n">
        <v>0.5951435806903305</v>
      </c>
      <c r="X1906" s="16" t="n">
        <v>0.8420824010027044</v>
      </c>
      <c r="Y1906" s="16" t="n">
        <v>285.3747856531434</v>
      </c>
      <c r="Z1906" s="16" t="n">
        <v>8.0016841692219</v>
      </c>
      <c r="AA1906" s="16" t="n">
        <v>56.19853173975163</v>
      </c>
      <c r="AB1906" s="16" t="n">
        <v>2600</v>
      </c>
      <c r="AC1906" s="16" t="n">
        <v>7.5</v>
      </c>
      <c r="AD1906" s="16" t="inlineStr">
        <is>
          <t>O2</t>
        </is>
      </c>
      <c r="AE1906" s="16" t="n"/>
    </row>
    <row r="1907">
      <c r="A1907" s="16" t="inlineStr">
        <is>
          <t>KF-M05-2-0065</t>
        </is>
      </c>
      <c r="B1907" s="16" t="inlineStr">
        <is>
          <t>4.1</t>
        </is>
      </c>
      <c r="C1907" s="16" t="inlineStr">
        <is>
          <t>4.1b</t>
        </is>
      </c>
      <c r="D1907" s="16" t="inlineStr">
        <is>
          <t>conserva sus presiones</t>
        </is>
      </c>
      <c r="E1907" s="16" t="inlineStr">
        <is>
          <t>KF-M05</t>
        </is>
      </c>
      <c r="F1907" s="16" t="inlineStr">
        <is>
          <t>KF-M05-2</t>
        </is>
      </c>
      <c r="G1907" s="16" t="inlineStr">
        <is>
          <t>B09-2</t>
        </is>
      </c>
      <c r="H1907" s="16" t="inlineStr">
        <is>
          <t>lhs</t>
        </is>
      </c>
      <c r="I1907" s="16" t="inlineStr">
        <is>
          <t>CORREGIBLE</t>
        </is>
      </c>
      <c r="J1907" s="16" t="inlineStr">
        <is>
          <t>CORREGIBLE</t>
        </is>
      </c>
      <c r="K1907" s="16" t="b">
        <v>1</v>
      </c>
      <c r="L1907" s="16" t="b">
        <v>0</v>
      </c>
      <c r="M1907" s="16" t="b">
        <v>1</v>
      </c>
      <c r="N1907" s="16" t="b">
        <v>0</v>
      </c>
      <c r="O1907" s="16" t="n">
        <v>507.7174393153383</v>
      </c>
      <c r="P1907" s="16" t="n">
        <v>302.8315715066802</v>
      </c>
      <c r="Q1907" s="16" t="n">
        <v>3000</v>
      </c>
      <c r="R1907" s="16" t="n">
        <v>400</v>
      </c>
      <c r="S1907" s="16" t="n">
        <v>0.6983391949351367</v>
      </c>
      <c r="T1907" s="16" t="n">
        <v>0.7746546903765814</v>
      </c>
      <c r="U1907" s="16" t="n">
        <v>0.8337066354108589</v>
      </c>
      <c r="V1907" s="16" t="n">
        <v>0.8265165709343841</v>
      </c>
      <c r="W1907" s="16" t="n">
        <v>0.5070223546907455</v>
      </c>
      <c r="X1907" s="16" t="n">
        <v>0.7856968013620591</v>
      </c>
      <c r="Y1907" s="16" t="n">
        <v>302.8315715066802</v>
      </c>
      <c r="Z1907" s="16" t="n">
        <v>7.05050160292376</v>
      </c>
      <c r="AA1907" s="16" t="n">
        <v>70.48369858839351</v>
      </c>
      <c r="AB1907" s="16" t="n">
        <v>2600</v>
      </c>
      <c r="AC1907" s="16" t="n">
        <v>7.5</v>
      </c>
      <c r="AD1907" s="16" t="inlineStr">
        <is>
          <t>O2</t>
        </is>
      </c>
      <c r="AE1907" s="16" t="n"/>
    </row>
    <row r="1908">
      <c r="A1908" s="16" t="inlineStr">
        <is>
          <t>KF-M05-2-0066</t>
        </is>
      </c>
      <c r="B1908" s="16" t="inlineStr">
        <is>
          <t>4.1</t>
        </is>
      </c>
      <c r="C1908" s="16" t="inlineStr">
        <is>
          <t>4.1b</t>
        </is>
      </c>
      <c r="D1908" s="16" t="inlineStr">
        <is>
          <t>conserva sus presiones</t>
        </is>
      </c>
      <c r="E1908" s="16" t="inlineStr">
        <is>
          <t>KF-M05</t>
        </is>
      </c>
      <c r="F1908" s="16" t="inlineStr">
        <is>
          <t>KF-M05-2</t>
        </is>
      </c>
      <c r="G1908" s="16" t="inlineStr">
        <is>
          <t>B09-2</t>
        </is>
      </c>
      <c r="H1908" s="16" t="inlineStr">
        <is>
          <t>lhs</t>
        </is>
      </c>
      <c r="I1908" s="16" t="inlineStr">
        <is>
          <t>INVIABLE</t>
        </is>
      </c>
      <c r="J1908" s="16" t="inlineStr">
        <is>
          <t>INVIABLE</t>
        </is>
      </c>
      <c r="K1908" s="16" t="b">
        <v>1</v>
      </c>
      <c r="L1908" s="16" t="b">
        <v>0</v>
      </c>
      <c r="M1908" s="16" t="b">
        <v>0</v>
      </c>
      <c r="N1908" s="16" t="b">
        <v>0</v>
      </c>
      <c r="O1908" s="16" t="n">
        <v>408.7927811242594</v>
      </c>
      <c r="P1908" s="16" t="n">
        <v>283.0206814009819</v>
      </c>
      <c r="Q1908" s="16" t="n">
        <v>3000</v>
      </c>
      <c r="R1908" s="16" t="n">
        <v>400</v>
      </c>
      <c r="S1908" s="16" t="n">
        <v>0.7414542420703202</v>
      </c>
      <c r="T1908" s="16" t="n">
        <v>0.482338426961823</v>
      </c>
      <c r="U1908" s="16" t="n">
        <v>0.7594359071768295</v>
      </c>
      <c r="V1908" s="16" t="n">
        <v>0.9118776181929114</v>
      </c>
      <c r="W1908" s="16" t="n">
        <v>0.712767066039159</v>
      </c>
      <c r="X1908" s="16" t="n">
        <v>0.568788033100635</v>
      </c>
      <c r="Y1908" s="16" t="n">
        <v>283.0206814009819</v>
      </c>
      <c r="Z1908" s="16" t="n">
        <v>-8.78576239557807</v>
      </c>
      <c r="AA1908" s="16" t="n">
        <v>-44.23560204315274</v>
      </c>
      <c r="AB1908" s="16" t="n">
        <v>2600</v>
      </c>
      <c r="AC1908" s="16" t="n">
        <v>7.5</v>
      </c>
      <c r="AD1908" s="16" t="inlineStr">
        <is>
          <t>O2,O3</t>
        </is>
      </c>
      <c r="AE1908" s="16" t="n"/>
    </row>
    <row r="1909">
      <c r="A1909" s="16" t="inlineStr">
        <is>
          <t>KF-M05-2-0067</t>
        </is>
      </c>
      <c r="B1909" s="16" t="inlineStr">
        <is>
          <t>4.1</t>
        </is>
      </c>
      <c r="C1909" s="16" t="inlineStr">
        <is>
          <t>4.1b</t>
        </is>
      </c>
      <c r="D1909" s="16" t="inlineStr">
        <is>
          <t>conserva sus presiones</t>
        </is>
      </c>
      <c r="E1909" s="16" t="inlineStr">
        <is>
          <t>KF-M05</t>
        </is>
      </c>
      <c r="F1909" s="16" t="inlineStr">
        <is>
          <t>KF-M05-2</t>
        </is>
      </c>
      <c r="G1909" s="16" t="inlineStr">
        <is>
          <t>B09-2</t>
        </is>
      </c>
      <c r="H1909" s="16" t="inlineStr">
        <is>
          <t>lhs</t>
        </is>
      </c>
      <c r="I1909" s="16" t="inlineStr">
        <is>
          <t>CORREGIBLE</t>
        </is>
      </c>
      <c r="J1909" s="16" t="inlineStr">
        <is>
          <t>CORREGIBLE</t>
        </is>
      </c>
      <c r="K1909" s="16" t="b">
        <v>1</v>
      </c>
      <c r="L1909" s="16" t="b">
        <v>0</v>
      </c>
      <c r="M1909" s="16" t="b">
        <v>1</v>
      </c>
      <c r="N1909" s="16" t="b">
        <v>0</v>
      </c>
      <c r="O1909" s="16" t="n">
        <v>451.6477843006101</v>
      </c>
      <c r="P1909" s="16" t="n">
        <v>282.5380678861192</v>
      </c>
      <c r="Q1909" s="16" t="n">
        <v>3000</v>
      </c>
      <c r="R1909" s="16" t="n">
        <v>400</v>
      </c>
      <c r="S1909" s="16" t="n">
        <v>0.7577827024916524</v>
      </c>
      <c r="T1909" s="16" t="n">
        <v>0.8756255582248392</v>
      </c>
      <c r="U1909" s="16" t="n">
        <v>0.8087155948302762</v>
      </c>
      <c r="V1909" s="16" t="n">
        <v>0.7135570547731678</v>
      </c>
      <c r="W1909" s="16" t="n">
        <v>0.5826692514535332</v>
      </c>
      <c r="X1909" s="16" t="n">
        <v>0.9175554021498432</v>
      </c>
      <c r="Y1909" s="16" t="n">
        <v>282.5380678861192</v>
      </c>
      <c r="Z1909" s="16" t="n">
        <v>15.17404664217226</v>
      </c>
      <c r="AA1909" s="16" t="n">
        <v>175.3747594200093</v>
      </c>
      <c r="AB1909" s="16" t="n">
        <v>2600</v>
      </c>
      <c r="AC1909" s="16" t="n">
        <v>7.5</v>
      </c>
      <c r="AD1909" s="16" t="inlineStr">
        <is>
          <t>O2</t>
        </is>
      </c>
      <c r="AE1909" s="16" t="n"/>
    </row>
    <row r="1910">
      <c r="A1910" s="16" t="inlineStr">
        <is>
          <t>KF-M05-2-0068</t>
        </is>
      </c>
      <c r="B1910" s="16" t="inlineStr">
        <is>
          <t>4.1</t>
        </is>
      </c>
      <c r="C1910" s="16" t="inlineStr">
        <is>
          <t>4.1b</t>
        </is>
      </c>
      <c r="D1910" s="16" t="inlineStr">
        <is>
          <t>conserva sus presiones</t>
        </is>
      </c>
      <c r="E1910" s="16" t="inlineStr">
        <is>
          <t>KF-M05</t>
        </is>
      </c>
      <c r="F1910" s="16" t="inlineStr">
        <is>
          <t>KF-M05-2</t>
        </is>
      </c>
      <c r="G1910" s="16" t="inlineStr">
        <is>
          <t>B09-2</t>
        </is>
      </c>
      <c r="H1910" s="16" t="inlineStr">
        <is>
          <t>lhs</t>
        </is>
      </c>
      <c r="I1910" s="16" t="inlineStr">
        <is>
          <t>CORREGIBLE</t>
        </is>
      </c>
      <c r="J1910" s="16" t="inlineStr">
        <is>
          <t>CORREGIBLE</t>
        </is>
      </c>
      <c r="K1910" s="16" t="b">
        <v>1</v>
      </c>
      <c r="L1910" s="16" t="b">
        <v>0</v>
      </c>
      <c r="M1910" s="16" t="b">
        <v>1</v>
      </c>
      <c r="N1910" s="16" t="b">
        <v>0</v>
      </c>
      <c r="O1910" s="16" t="n">
        <v>461.6022966770157</v>
      </c>
      <c r="P1910" s="16" t="n">
        <v>295.5252159195516</v>
      </c>
      <c r="Q1910" s="16" t="n">
        <v>3000</v>
      </c>
      <c r="R1910" s="16" t="n">
        <v>400</v>
      </c>
      <c r="S1910" s="16" t="n">
        <v>0.5500034818284494</v>
      </c>
      <c r="T1910" s="16" t="n">
        <v>0.935369899650659</v>
      </c>
      <c r="U1910" s="16" t="n">
        <v>0.7450691037919628</v>
      </c>
      <c r="V1910" s="16" t="n">
        <v>0.676671205788719</v>
      </c>
      <c r="W1910" s="16" t="n">
        <v>0.5495628918722567</v>
      </c>
      <c r="X1910" s="16" t="n">
        <v>0.4845948186740978</v>
      </c>
      <c r="Y1910" s="16" t="n">
        <v>295.5252159195516</v>
      </c>
      <c r="Z1910" s="16" t="n">
        <v>9.400367103390847</v>
      </c>
      <c r="AA1910" s="16" t="n">
        <v>71.21792010254737</v>
      </c>
      <c r="AB1910" s="16" t="n">
        <v>2600</v>
      </c>
      <c r="AC1910" s="16" t="n">
        <v>7.5</v>
      </c>
      <c r="AD1910" s="16" t="inlineStr">
        <is>
          <t>O1,O2</t>
        </is>
      </c>
      <c r="AE1910" s="16" t="n"/>
    </row>
    <row r="1911">
      <c r="A1911" s="16" t="inlineStr">
        <is>
          <t>KF-M05-2-0069</t>
        </is>
      </c>
      <c r="B1911" s="16" t="inlineStr">
        <is>
          <t>4.1</t>
        </is>
      </c>
      <c r="C1911" s="16" t="inlineStr">
        <is>
          <t>4.1b</t>
        </is>
      </c>
      <c r="D1911" s="16" t="inlineStr">
        <is>
          <t>conserva sus presiones</t>
        </is>
      </c>
      <c r="E1911" s="16" t="inlineStr">
        <is>
          <t>KF-M05</t>
        </is>
      </c>
      <c r="F1911" s="16" t="inlineStr">
        <is>
          <t>KF-M05-2</t>
        </is>
      </c>
      <c r="G1911" s="16" t="inlineStr">
        <is>
          <t>B09-2</t>
        </is>
      </c>
      <c r="H1911" s="16" t="inlineStr">
        <is>
          <t>lhs</t>
        </is>
      </c>
      <c r="I1911" s="16" t="inlineStr">
        <is>
          <t>CORREGIBLE</t>
        </is>
      </c>
      <c r="J1911" s="16" t="inlineStr">
        <is>
          <t>CORREGIBLE</t>
        </is>
      </c>
      <c r="K1911" s="16" t="b">
        <v>1</v>
      </c>
      <c r="L1911" s="16" t="b">
        <v>0</v>
      </c>
      <c r="M1911" s="16" t="b">
        <v>0</v>
      </c>
      <c r="N1911" s="16" t="b">
        <v>0</v>
      </c>
      <c r="O1911" s="16" t="n">
        <v>550.5910086033705</v>
      </c>
      <c r="P1911" s="16" t="n">
        <v>280.1929882515302</v>
      </c>
      <c r="Q1911" s="16" t="n">
        <v>3000</v>
      </c>
      <c r="R1911" s="16" t="n">
        <v>400</v>
      </c>
      <c r="S1911" s="16" t="n">
        <v>0.8188878346398092</v>
      </c>
      <c r="T1911" s="16" t="n">
        <v>0.5058846954255986</v>
      </c>
      <c r="U1911" s="16" t="n">
        <v>0.9068081350090692</v>
      </c>
      <c r="V1911" s="16" t="n">
        <v>0.5441480743974308</v>
      </c>
      <c r="W1911" s="16" t="n">
        <v>0.6939212302997488</v>
      </c>
      <c r="X1911" s="16" t="n">
        <v>0.9102420208238464</v>
      </c>
      <c r="Y1911" s="16" t="n">
        <v>280.1929882515302</v>
      </c>
      <c r="Z1911" s="16" t="n">
        <v>4.68053105202337</v>
      </c>
      <c r="AA1911" s="16" t="n">
        <v>41.47236520627018</v>
      </c>
      <c r="AB1911" s="16" t="n">
        <v>2600</v>
      </c>
      <c r="AC1911" s="16" t="n">
        <v>7.5</v>
      </c>
      <c r="AD1911" s="16" t="inlineStr">
        <is>
          <t>O2</t>
        </is>
      </c>
      <c r="AE1911" s="16" t="n"/>
    </row>
    <row r="1912">
      <c r="A1912" s="16" t="inlineStr">
        <is>
          <t>KF-M05-2-0070</t>
        </is>
      </c>
      <c r="B1912" s="16" t="inlineStr">
        <is>
          <t>4.1</t>
        </is>
      </c>
      <c r="C1912" s="16" t="inlineStr">
        <is>
          <t>4.1b</t>
        </is>
      </c>
      <c r="D1912" s="16" t="inlineStr">
        <is>
          <t>conserva sus presiones</t>
        </is>
      </c>
      <c r="E1912" s="16" t="inlineStr">
        <is>
          <t>KF-M05</t>
        </is>
      </c>
      <c r="F1912" s="16" t="inlineStr">
        <is>
          <t>KF-M05-2</t>
        </is>
      </c>
      <c r="G1912" s="16" t="inlineStr">
        <is>
          <t>B09-2</t>
        </is>
      </c>
      <c r="H1912" s="16" t="inlineStr">
        <is>
          <t>lhs</t>
        </is>
      </c>
      <c r="I1912" s="16" t="inlineStr">
        <is>
          <t>CORREGIBLE</t>
        </is>
      </c>
      <c r="J1912" s="16" t="inlineStr">
        <is>
          <t>CORREGIBLE</t>
        </is>
      </c>
      <c r="K1912" s="16" t="b">
        <v>1</v>
      </c>
      <c r="L1912" s="16" t="b">
        <v>0</v>
      </c>
      <c r="M1912" s="16" t="b">
        <v>0</v>
      </c>
      <c r="N1912" s="16" t="b">
        <v>0</v>
      </c>
      <c r="O1912" s="16" t="n">
        <v>455.5270730084492</v>
      </c>
      <c r="P1912" s="16" t="n">
        <v>296.087297868987</v>
      </c>
      <c r="Q1912" s="16" t="n">
        <v>3000</v>
      </c>
      <c r="R1912" s="16" t="n">
        <v>400</v>
      </c>
      <c r="S1912" s="16" t="n">
        <v>0.5777112722144814</v>
      </c>
      <c r="T1912" s="16" t="n">
        <v>0.6870157115947346</v>
      </c>
      <c r="U1912" s="16" t="n">
        <v>0.7550691443018174</v>
      </c>
      <c r="V1912" s="16" t="n">
        <v>0.4185906717702936</v>
      </c>
      <c r="W1912" s="16" t="n">
        <v>0.4146947209755087</v>
      </c>
      <c r="X1912" s="16" t="n">
        <v>0.9351120758519712</v>
      </c>
      <c r="Y1912" s="16" t="n">
        <v>296.087297868987</v>
      </c>
      <c r="Z1912" s="16" t="n">
        <v>9.04618108440458</v>
      </c>
      <c r="AA1912" s="16" t="n">
        <v>63.56008854474325</v>
      </c>
      <c r="AB1912" s="16" t="n">
        <v>2600</v>
      </c>
      <c r="AC1912" s="16" t="n">
        <v>7.5</v>
      </c>
      <c r="AD1912" s="16" t="inlineStr">
        <is>
          <t>O2</t>
        </is>
      </c>
      <c r="AE1912" s="16" t="n"/>
    </row>
    <row r="1913">
      <c r="A1913" s="16" t="inlineStr">
        <is>
          <t>KF-M05-2-0071</t>
        </is>
      </c>
      <c r="B1913" s="16" t="inlineStr">
        <is>
          <t>4.1</t>
        </is>
      </c>
      <c r="C1913" s="16" t="inlineStr">
        <is>
          <t>4.1b</t>
        </is>
      </c>
      <c r="D1913" s="16" t="inlineStr">
        <is>
          <t>conserva sus presiones</t>
        </is>
      </c>
      <c r="E1913" s="16" t="inlineStr">
        <is>
          <t>KF-M05</t>
        </is>
      </c>
      <c r="F1913" s="16" t="inlineStr">
        <is>
          <t>KF-M05-2</t>
        </is>
      </c>
      <c r="G1913" s="16" t="inlineStr">
        <is>
          <t>B09-2</t>
        </is>
      </c>
      <c r="H1913" s="16" t="inlineStr">
        <is>
          <t>lhs</t>
        </is>
      </c>
      <c r="I1913" s="16" t="inlineStr">
        <is>
          <t>CORREGIBLE</t>
        </is>
      </c>
      <c r="J1913" s="16" t="inlineStr">
        <is>
          <t>CORREGIBLE</t>
        </is>
      </c>
      <c r="K1913" s="16" t="b">
        <v>1</v>
      </c>
      <c r="L1913" s="16" t="b">
        <v>0</v>
      </c>
      <c r="M1913" s="16" t="b">
        <v>1</v>
      </c>
      <c r="N1913" s="16" t="b">
        <v>0</v>
      </c>
      <c r="O1913" s="16" t="n">
        <v>460.4262103026266</v>
      </c>
      <c r="P1913" s="16" t="n">
        <v>279.8038395711266</v>
      </c>
      <c r="Q1913" s="16" t="n">
        <v>3000</v>
      </c>
      <c r="R1913" s="16" t="n">
        <v>400</v>
      </c>
      <c r="S1913" s="16" t="n">
        <v>0.6536687903224782</v>
      </c>
      <c r="T1913" s="16" t="n">
        <v>0.7681221728026375</v>
      </c>
      <c r="U1913" s="16" t="n">
        <v>0.6066167015999853</v>
      </c>
      <c r="V1913" s="16" t="n">
        <v>0.8889346365304083</v>
      </c>
      <c r="W1913" s="16" t="n">
        <v>0.5397923764523163</v>
      </c>
      <c r="X1913" s="16" t="n">
        <v>0.797247251513105</v>
      </c>
      <c r="Y1913" s="16" t="n">
        <v>279.8038395711266</v>
      </c>
      <c r="Z1913" s="16" t="n">
        <v>11.36250212316087</v>
      </c>
      <c r="AA1913" s="16" t="n">
        <v>178.4413067336734</v>
      </c>
      <c r="AB1913" s="16" t="n">
        <v>2600</v>
      </c>
      <c r="AC1913" s="16" t="n">
        <v>7.5</v>
      </c>
      <c r="AD1913" s="16" t="inlineStr">
        <is>
          <t>O2</t>
        </is>
      </c>
      <c r="AE1913" s="16" t="n"/>
    </row>
    <row r="1914">
      <c r="A1914" s="16" t="inlineStr">
        <is>
          <t>KF-M05-2-0072</t>
        </is>
      </c>
      <c r="B1914" s="16" t="inlineStr">
        <is>
          <t>4.1</t>
        </is>
      </c>
      <c r="C1914" s="16" t="inlineStr">
        <is>
          <t>4.1b</t>
        </is>
      </c>
      <c r="D1914" s="16" t="inlineStr">
        <is>
          <t>conserva sus presiones</t>
        </is>
      </c>
      <c r="E1914" s="16" t="inlineStr">
        <is>
          <t>KF-M05</t>
        </is>
      </c>
      <c r="F1914" s="16" t="inlineStr">
        <is>
          <t>KF-M05-2</t>
        </is>
      </c>
      <c r="G1914" s="16" t="inlineStr">
        <is>
          <t>B09-2</t>
        </is>
      </c>
      <c r="H1914" s="16" t="inlineStr">
        <is>
          <t>lhs</t>
        </is>
      </c>
      <c r="I1914" s="16" t="inlineStr">
        <is>
          <t>CORREGIBLE</t>
        </is>
      </c>
      <c r="J1914" s="16" t="inlineStr">
        <is>
          <t>CORREGIBLE</t>
        </is>
      </c>
      <c r="K1914" s="16" t="b">
        <v>1</v>
      </c>
      <c r="L1914" s="16" t="b">
        <v>0</v>
      </c>
      <c r="M1914" s="16" t="b">
        <v>0</v>
      </c>
      <c r="N1914" s="16" t="b">
        <v>0</v>
      </c>
      <c r="O1914" s="16" t="n">
        <v>448.8250369437661</v>
      </c>
      <c r="P1914" s="16" t="n">
        <v>293.2170514681027</v>
      </c>
      <c r="Q1914" s="16" t="n">
        <v>3000</v>
      </c>
      <c r="R1914" s="16" t="n">
        <v>400</v>
      </c>
      <c r="S1914" s="16" t="n">
        <v>0.5556274575318395</v>
      </c>
      <c r="T1914" s="16" t="n">
        <v>0.4482632857411632</v>
      </c>
      <c r="U1914" s="16" t="n">
        <v>0.8980296699191967</v>
      </c>
      <c r="V1914" s="16" t="n">
        <v>0.5064290982656161</v>
      </c>
      <c r="W1914" s="16" t="n">
        <v>0.8948999887832323</v>
      </c>
      <c r="X1914" s="16" t="n">
        <v>0.7018062106357852</v>
      </c>
      <c r="Y1914" s="16" t="n">
        <v>293.2170514681027</v>
      </c>
      <c r="Z1914" s="16" t="n">
        <v>5.63753356850689</v>
      </c>
      <c r="AA1914" s="16" t="n">
        <v>34.46841732751392</v>
      </c>
      <c r="AB1914" s="16" t="n">
        <v>2600</v>
      </c>
      <c r="AC1914" s="16" t="n">
        <v>7.5</v>
      </c>
      <c r="AD1914" s="16" t="inlineStr">
        <is>
          <t>O2</t>
        </is>
      </c>
      <c r="AE1914" s="16" t="n"/>
    </row>
    <row r="1915">
      <c r="A1915" s="16" t="inlineStr">
        <is>
          <t>KF-M05-2-0073</t>
        </is>
      </c>
      <c r="B1915" s="16" t="inlineStr">
        <is>
          <t>4.1</t>
        </is>
      </c>
      <c r="C1915" s="16" t="inlineStr">
        <is>
          <t>4.1b</t>
        </is>
      </c>
      <c r="D1915" s="16" t="inlineStr">
        <is>
          <t>conserva sus presiones</t>
        </is>
      </c>
      <c r="E1915" s="16" t="inlineStr">
        <is>
          <t>KF-M05</t>
        </is>
      </c>
      <c r="F1915" s="16" t="inlineStr">
        <is>
          <t>KF-M05-2</t>
        </is>
      </c>
      <c r="G1915" s="16" t="inlineStr">
        <is>
          <t>B09-2</t>
        </is>
      </c>
      <c r="H1915" s="16" t="inlineStr">
        <is>
          <t>lhs</t>
        </is>
      </c>
      <c r="I1915" s="16" t="inlineStr">
        <is>
          <t>NO_CONVERGIO</t>
        </is>
      </c>
      <c r="J1915" s="16" t="inlineStr">
        <is>
          <t>NO_CONVERGIO</t>
        </is>
      </c>
      <c r="K1915" s="16" t="b">
        <v>0</v>
      </c>
      <c r="L1915" s="16" t="b">
        <v>0</v>
      </c>
      <c r="M1915" s="16" t="b">
        <v>0</v>
      </c>
      <c r="N1915" s="16" t="b">
        <v>0</v>
      </c>
      <c r="O1915" s="16" t="n">
        <v>573.9677296551336</v>
      </c>
      <c r="P1915" s="16" t="n">
        <v>287.5494173219096</v>
      </c>
      <c r="Q1915" s="16" t="n">
        <v>3000</v>
      </c>
      <c r="R1915" s="16" t="n">
        <v>400</v>
      </c>
      <c r="S1915" s="16" t="n">
        <v>0.8473154028117293</v>
      </c>
      <c r="T1915" s="16" t="n">
        <v>0.708247099252332</v>
      </c>
      <c r="U1915" s="16" t="n">
        <v>0.4384461202785724</v>
      </c>
      <c r="V1915" s="16" t="n">
        <v>0.6396440532693297</v>
      </c>
      <c r="W1915" s="16" t="n">
        <v>0.8269904089720981</v>
      </c>
      <c r="X1915" s="16" t="n">
        <v>0.4177815647847824</v>
      </c>
      <c r="Y1915" s="16" t="n">
        <v>287.5494173219096</v>
      </c>
      <c r="Z1915" s="16" t="n"/>
      <c r="AA1915" s="16" t="n"/>
      <c r="AB1915" s="16" t="n">
        <v>2600</v>
      </c>
      <c r="AC1915" s="16" t="n">
        <v>7.5</v>
      </c>
      <c r="AD1915" s="16" t="n"/>
      <c r="AE1915" s="16" t="n"/>
    </row>
    <row r="1916">
      <c r="A1916" s="16" t="inlineStr">
        <is>
          <t>KF-M05-2-0074</t>
        </is>
      </c>
      <c r="B1916" s="16" t="inlineStr">
        <is>
          <t>4.1</t>
        </is>
      </c>
      <c r="C1916" s="16" t="inlineStr">
        <is>
          <t>4.1b</t>
        </is>
      </c>
      <c r="D1916" s="16" t="inlineStr">
        <is>
          <t>conserva sus presiones</t>
        </is>
      </c>
      <c r="E1916" s="16" t="inlineStr">
        <is>
          <t>KF-M05</t>
        </is>
      </c>
      <c r="F1916" s="16" t="inlineStr">
        <is>
          <t>KF-M05-2</t>
        </is>
      </c>
      <c r="G1916" s="16" t="inlineStr">
        <is>
          <t>B09-2</t>
        </is>
      </c>
      <c r="H1916" s="16" t="inlineStr">
        <is>
          <t>lhs</t>
        </is>
      </c>
      <c r="I1916" s="16" t="inlineStr">
        <is>
          <t>INVIABLE</t>
        </is>
      </c>
      <c r="J1916" s="16" t="inlineStr">
        <is>
          <t>INVIABLE</t>
        </is>
      </c>
      <c r="K1916" s="16" t="b">
        <v>1</v>
      </c>
      <c r="L1916" s="16" t="b">
        <v>0</v>
      </c>
      <c r="M1916" s="16" t="b">
        <v>1</v>
      </c>
      <c r="N1916" s="16" t="b">
        <v>0</v>
      </c>
      <c r="O1916" s="16" t="n">
        <v>446.0015583146773</v>
      </c>
      <c r="P1916" s="16" t="n">
        <v>301.7391000805882</v>
      </c>
      <c r="Q1916" s="16" t="n">
        <v>3000</v>
      </c>
      <c r="R1916" s="16" t="n">
        <v>400</v>
      </c>
      <c r="S1916" s="16" t="n">
        <v>0.6767239778371865</v>
      </c>
      <c r="T1916" s="16" t="n">
        <v>0.5594102804146939</v>
      </c>
      <c r="U1916" s="16" t="n">
        <v>0.4256699128145728</v>
      </c>
      <c r="V1916" s="16" t="n">
        <v>0.5272420426371704</v>
      </c>
      <c r="W1916" s="16" t="n">
        <v>0.4948103675146788</v>
      </c>
      <c r="X1916" s="16" t="n">
        <v>0.4381440767242641</v>
      </c>
      <c r="Y1916" s="16" t="n">
        <v>301.7391000805882</v>
      </c>
      <c r="Z1916" s="16" t="n">
        <v>-264.4615343966897</v>
      </c>
      <c r="AA1916" s="16" t="n">
        <v>-348.771300177277</v>
      </c>
      <c r="AB1916" s="16" t="n">
        <v>2600</v>
      </c>
      <c r="AC1916" s="16" t="n">
        <v>7.5</v>
      </c>
      <c r="AD1916" s="16" t="inlineStr">
        <is>
          <t>O2,O3</t>
        </is>
      </c>
      <c r="AE1916" s="16" t="n"/>
    </row>
    <row r="1917">
      <c r="A1917" s="16" t="inlineStr">
        <is>
          <t>KF-M05-2-0075</t>
        </is>
      </c>
      <c r="B1917" s="16" t="inlineStr">
        <is>
          <t>4.1</t>
        </is>
      </c>
      <c r="C1917" s="16" t="inlineStr">
        <is>
          <t>4.1b</t>
        </is>
      </c>
      <c r="D1917" s="16" t="inlineStr">
        <is>
          <t>conserva sus presiones</t>
        </is>
      </c>
      <c r="E1917" s="16" t="inlineStr">
        <is>
          <t>KF-M05</t>
        </is>
      </c>
      <c r="F1917" s="16" t="inlineStr">
        <is>
          <t>KF-M05-2</t>
        </is>
      </c>
      <c r="G1917" s="16" t="inlineStr">
        <is>
          <t>B09-2</t>
        </is>
      </c>
      <c r="H1917" s="16" t="inlineStr">
        <is>
          <t>lhs</t>
        </is>
      </c>
      <c r="I1917" s="16" t="inlineStr">
        <is>
          <t>CORREGIBLE</t>
        </is>
      </c>
      <c r="J1917" s="16" t="inlineStr">
        <is>
          <t>CORREGIBLE</t>
        </is>
      </c>
      <c r="K1917" s="16" t="b">
        <v>1</v>
      </c>
      <c r="L1917" s="16" t="b">
        <v>0</v>
      </c>
      <c r="M1917" s="16" t="b">
        <v>1</v>
      </c>
      <c r="N1917" s="16" t="b">
        <v>0</v>
      </c>
      <c r="O1917" s="16" t="n">
        <v>616.8528631737344</v>
      </c>
      <c r="P1917" s="16" t="n">
        <v>280.6920843008381</v>
      </c>
      <c r="Q1917" s="16" t="n">
        <v>3000</v>
      </c>
      <c r="R1917" s="16" t="n">
        <v>400</v>
      </c>
      <c r="S1917" s="16" t="n">
        <v>0.5257444634416085</v>
      </c>
      <c r="T1917" s="16" t="n">
        <v>0.7240544931617049</v>
      </c>
      <c r="U1917" s="16" t="n">
        <v>0.5361777623682784</v>
      </c>
      <c r="V1917" s="16" t="n">
        <v>0.6824308653025586</v>
      </c>
      <c r="W1917" s="16" t="n">
        <v>0.9466019838565212</v>
      </c>
      <c r="X1917" s="16" t="n">
        <v>0.7132239624259255</v>
      </c>
      <c r="Y1917" s="16" t="n">
        <v>280.6920843008381</v>
      </c>
      <c r="Z1917" s="16" t="n">
        <v>8.03734348335901</v>
      </c>
      <c r="AA1917" s="16" t="n">
        <v>115.3190956204732</v>
      </c>
      <c r="AB1917" s="16" t="n">
        <v>2600</v>
      </c>
      <c r="AC1917" s="16" t="n">
        <v>7.5</v>
      </c>
      <c r="AD1917" s="16" t="inlineStr">
        <is>
          <t>O2</t>
        </is>
      </c>
      <c r="AE1917" s="16" t="n"/>
    </row>
    <row r="1918">
      <c r="A1918" s="16" t="inlineStr">
        <is>
          <t>KF-M05-2-0076</t>
        </is>
      </c>
      <c r="B1918" s="16" t="inlineStr">
        <is>
          <t>4.1</t>
        </is>
      </c>
      <c r="C1918" s="16" t="inlineStr">
        <is>
          <t>4.1b</t>
        </is>
      </c>
      <c r="D1918" s="16" t="inlineStr">
        <is>
          <t>conserva sus presiones</t>
        </is>
      </c>
      <c r="E1918" s="16" t="inlineStr">
        <is>
          <t>KF-M05</t>
        </is>
      </c>
      <c r="F1918" s="16" t="inlineStr">
        <is>
          <t>KF-M05-2</t>
        </is>
      </c>
      <c r="G1918" s="16" t="inlineStr">
        <is>
          <t>B09-2</t>
        </is>
      </c>
      <c r="H1918" s="16" t="inlineStr">
        <is>
          <t>lhs</t>
        </is>
      </c>
      <c r="I1918" s="16" t="inlineStr">
        <is>
          <t>CORREGIBLE</t>
        </is>
      </c>
      <c r="J1918" s="16" t="inlineStr">
        <is>
          <t>CORREGIBLE</t>
        </is>
      </c>
      <c r="K1918" s="16" t="b">
        <v>1</v>
      </c>
      <c r="L1918" s="16" t="b">
        <v>0</v>
      </c>
      <c r="M1918" s="16" t="b">
        <v>1</v>
      </c>
      <c r="N1918" s="16" t="b">
        <v>0</v>
      </c>
      <c r="O1918" s="16" t="n">
        <v>588.2492143140951</v>
      </c>
      <c r="P1918" s="16" t="n">
        <v>285.9302023202306</v>
      </c>
      <c r="Q1918" s="16" t="n">
        <v>3000</v>
      </c>
      <c r="R1918" s="16" t="n">
        <v>400</v>
      </c>
      <c r="S1918" s="16" t="n">
        <v>0.5170013687902661</v>
      </c>
      <c r="T1918" s="16" t="n">
        <v>0.8275050228242389</v>
      </c>
      <c r="U1918" s="16" t="n">
        <v>0.4095762389591851</v>
      </c>
      <c r="V1918" s="16" t="n">
        <v>0.848456475697934</v>
      </c>
      <c r="W1918" s="16" t="n">
        <v>0.8521694253383967</v>
      </c>
      <c r="X1918" s="16" t="n">
        <v>0.8181318256071521</v>
      </c>
      <c r="Y1918" s="16" t="n">
        <v>285.9302023202306</v>
      </c>
      <c r="Z1918" s="16" t="n">
        <v>11.54094047699871</v>
      </c>
      <c r="AA1918" s="16" t="n">
        <v>219.9544978776856</v>
      </c>
      <c r="AB1918" s="16" t="n">
        <v>2600</v>
      </c>
      <c r="AC1918" s="16" t="n">
        <v>7.5</v>
      </c>
      <c r="AD1918" s="16" t="inlineStr">
        <is>
          <t>O2</t>
        </is>
      </c>
      <c r="AE1918" s="16" t="n"/>
    </row>
    <row r="1919">
      <c r="A1919" s="16" t="inlineStr">
        <is>
          <t>KF-M05-2-0077</t>
        </is>
      </c>
      <c r="B1919" s="16" t="inlineStr">
        <is>
          <t>4.1</t>
        </is>
      </c>
      <c r="C1919" s="16" t="inlineStr">
        <is>
          <t>4.1b</t>
        </is>
      </c>
      <c r="D1919" s="16" t="inlineStr">
        <is>
          <t>conserva sus presiones</t>
        </is>
      </c>
      <c r="E1919" s="16" t="inlineStr">
        <is>
          <t>KF-M05</t>
        </is>
      </c>
      <c r="F1919" s="16" t="inlineStr">
        <is>
          <t>KF-M05-2</t>
        </is>
      </c>
      <c r="G1919" s="16" t="inlineStr">
        <is>
          <t>B09-2</t>
        </is>
      </c>
      <c r="H1919" s="16" t="inlineStr">
        <is>
          <t>lhs</t>
        </is>
      </c>
      <c r="I1919" s="16" t="inlineStr">
        <is>
          <t>CORREGIBLE</t>
        </is>
      </c>
      <c r="J1919" s="16" t="inlineStr">
        <is>
          <t>CORREGIBLE</t>
        </is>
      </c>
      <c r="K1919" s="16" t="b">
        <v>1</v>
      </c>
      <c r="L1919" s="16" t="b">
        <v>0</v>
      </c>
      <c r="M1919" s="16" t="b">
        <v>1</v>
      </c>
      <c r="N1919" s="16" t="b">
        <v>0</v>
      </c>
      <c r="O1919" s="16" t="n">
        <v>536.7162212979348</v>
      </c>
      <c r="P1919" s="16" t="n">
        <v>295.1252353295533</v>
      </c>
      <c r="Q1919" s="16" t="n">
        <v>3000</v>
      </c>
      <c r="R1919" s="16" t="n">
        <v>400</v>
      </c>
      <c r="S1919" s="16" t="n">
        <v>0.6172873369342078</v>
      </c>
      <c r="T1919" s="16" t="n">
        <v>0.4530610496316343</v>
      </c>
      <c r="U1919" s="16" t="n">
        <v>0.6423967184360755</v>
      </c>
      <c r="V1919" s="16" t="n">
        <v>0.6499546956474194</v>
      </c>
      <c r="W1919" s="16" t="n">
        <v>0.4899161494651884</v>
      </c>
      <c r="X1919" s="16" t="n">
        <v>0.7786336021047</v>
      </c>
      <c r="Y1919" s="16" t="n">
        <v>295.1252353295533</v>
      </c>
      <c r="Z1919" s="16" t="n">
        <v>0.8088461759759901</v>
      </c>
      <c r="AA1919" s="16" t="n">
        <v>9.337338457202604</v>
      </c>
      <c r="AB1919" s="16" t="n">
        <v>2600</v>
      </c>
      <c r="AC1919" s="16" t="n">
        <v>7.5</v>
      </c>
      <c r="AD1919" s="16" t="inlineStr">
        <is>
          <t>O2</t>
        </is>
      </c>
      <c r="AE1919" s="16" t="n"/>
    </row>
    <row r="1920">
      <c r="A1920" s="16" t="inlineStr">
        <is>
          <t>KF-M05-2-0078</t>
        </is>
      </c>
      <c r="B1920" s="16" t="inlineStr">
        <is>
          <t>4.1</t>
        </is>
      </c>
      <c r="C1920" s="16" t="inlineStr">
        <is>
          <t>4.1b</t>
        </is>
      </c>
      <c r="D1920" s="16" t="inlineStr">
        <is>
          <t>conserva sus presiones</t>
        </is>
      </c>
      <c r="E1920" s="16" t="inlineStr">
        <is>
          <t>KF-M05</t>
        </is>
      </c>
      <c r="F1920" s="16" t="inlineStr">
        <is>
          <t>KF-M05-2</t>
        </is>
      </c>
      <c r="G1920" s="16" t="inlineStr">
        <is>
          <t>B09-2</t>
        </is>
      </c>
      <c r="H1920" s="16" t="inlineStr">
        <is>
          <t>lhs</t>
        </is>
      </c>
      <c r="I1920" s="16" t="inlineStr">
        <is>
          <t>NO_CONVERGIO</t>
        </is>
      </c>
      <c r="J1920" s="16" t="inlineStr">
        <is>
          <t>NO_CONVERGIO</t>
        </is>
      </c>
      <c r="K1920" s="16" t="b">
        <v>0</v>
      </c>
      <c r="L1920" s="16" t="b">
        <v>0</v>
      </c>
      <c r="M1920" s="16" t="b">
        <v>0</v>
      </c>
      <c r="N1920" s="16" t="b">
        <v>0</v>
      </c>
      <c r="O1920" s="16" t="n">
        <v>546.2861976782274</v>
      </c>
      <c r="P1920" s="16" t="n">
        <v>288.7432464027671</v>
      </c>
      <c r="Q1920" s="16" t="n">
        <v>3000</v>
      </c>
      <c r="R1920" s="16" t="n">
        <v>400</v>
      </c>
      <c r="S1920" s="16" t="n">
        <v>0.5312296163773282</v>
      </c>
      <c r="T1920" s="16" t="n">
        <v>0.8590090460132723</v>
      </c>
      <c r="U1920" s="16" t="n">
        <v>0.6579412692980868</v>
      </c>
      <c r="V1920" s="16" t="n">
        <v>0.9232147995429236</v>
      </c>
      <c r="W1920" s="16" t="n">
        <v>0.4350480519644281</v>
      </c>
      <c r="X1920" s="16" t="n">
        <v>0.6891067012655829</v>
      </c>
      <c r="Y1920" s="16" t="n">
        <v>288.7432464027671</v>
      </c>
      <c r="Z1920" s="16" t="n"/>
      <c r="AA1920" s="16" t="n"/>
      <c r="AB1920" s="16" t="n">
        <v>2600</v>
      </c>
      <c r="AC1920" s="16" t="n">
        <v>7.5</v>
      </c>
      <c r="AD1920" s="16" t="n"/>
      <c r="AE1920" s="16" t="n"/>
    </row>
    <row r="1921">
      <c r="A1921" s="16" t="inlineStr">
        <is>
          <t>KF-M05-2-0079</t>
        </is>
      </c>
      <c r="B1921" s="16" t="inlineStr">
        <is>
          <t>4.1</t>
        </is>
      </c>
      <c r="C1921" s="16" t="inlineStr">
        <is>
          <t>4.1b</t>
        </is>
      </c>
      <c r="D1921" s="16" t="inlineStr">
        <is>
          <t>conserva sus presiones</t>
        </is>
      </c>
      <c r="E1921" s="16" t="inlineStr">
        <is>
          <t>KF-M05</t>
        </is>
      </c>
      <c r="F1921" s="16" t="inlineStr">
        <is>
          <t>KF-M05-2</t>
        </is>
      </c>
      <c r="G1921" s="16" t="inlineStr">
        <is>
          <t>B09-2</t>
        </is>
      </c>
      <c r="H1921" s="16" t="inlineStr">
        <is>
          <t>lhs</t>
        </is>
      </c>
      <c r="I1921" s="16" t="inlineStr">
        <is>
          <t>INVIABLE</t>
        </is>
      </c>
      <c r="J1921" s="16" t="inlineStr">
        <is>
          <t>INVIABLE</t>
        </is>
      </c>
      <c r="K1921" s="16" t="b">
        <v>1</v>
      </c>
      <c r="L1921" s="16" t="b">
        <v>0</v>
      </c>
      <c r="M1921" s="16" t="b">
        <v>1</v>
      </c>
      <c r="N1921" s="16" t="b">
        <v>0</v>
      </c>
      <c r="O1921" s="16" t="n">
        <v>614.6072529895794</v>
      </c>
      <c r="P1921" s="16" t="n">
        <v>290.4109232742853</v>
      </c>
      <c r="Q1921" s="16" t="n">
        <v>3000</v>
      </c>
      <c r="R1921" s="16" t="n">
        <v>400</v>
      </c>
      <c r="S1921" s="16" t="n">
        <v>0.7472589216365357</v>
      </c>
      <c r="T1921" s="16" t="n">
        <v>0.5778311933966611</v>
      </c>
      <c r="U1921" s="16" t="n">
        <v>0.4997381366759192</v>
      </c>
      <c r="V1921" s="16" t="n">
        <v>0.4544122269430939</v>
      </c>
      <c r="W1921" s="16" t="n">
        <v>0.7528593269012833</v>
      </c>
      <c r="X1921" s="16" t="n">
        <v>0.8162202140875536</v>
      </c>
      <c r="Y1921" s="16" t="n">
        <v>290.4109232742853</v>
      </c>
      <c r="Z1921" s="16" t="n">
        <v>-13.35937612822395</v>
      </c>
      <c r="AA1921" s="16" t="n">
        <v>-92.55309936480629</v>
      </c>
      <c r="AB1921" s="16" t="n">
        <v>2600</v>
      </c>
      <c r="AC1921" s="16" t="n">
        <v>7.5</v>
      </c>
      <c r="AD1921" s="16" t="inlineStr">
        <is>
          <t>O2,O3</t>
        </is>
      </c>
      <c r="AE1921" s="16" t="n"/>
    </row>
    <row r="1922">
      <c r="A1922" s="16" t="inlineStr">
        <is>
          <t>KF-M05-2-0080</t>
        </is>
      </c>
      <c r="B1922" s="16" t="inlineStr">
        <is>
          <t>4.1</t>
        </is>
      </c>
      <c r="C1922" s="16" t="inlineStr">
        <is>
          <t>4.1b</t>
        </is>
      </c>
      <c r="D1922" s="16" t="inlineStr">
        <is>
          <t>conserva sus presiones</t>
        </is>
      </c>
      <c r="E1922" s="16" t="inlineStr">
        <is>
          <t>KF-M05</t>
        </is>
      </c>
      <c r="F1922" s="16" t="inlineStr">
        <is>
          <t>KF-M05-2</t>
        </is>
      </c>
      <c r="G1922" s="16" t="inlineStr">
        <is>
          <t>B09-2</t>
        </is>
      </c>
      <c r="H1922" s="16" t="inlineStr">
        <is>
          <t>lhs</t>
        </is>
      </c>
      <c r="I1922" s="16" t="inlineStr">
        <is>
          <t>CORREGIBLE</t>
        </is>
      </c>
      <c r="J1922" s="16" t="inlineStr">
        <is>
          <t>CORREGIBLE</t>
        </is>
      </c>
      <c r="K1922" s="16" t="b">
        <v>1</v>
      </c>
      <c r="L1922" s="16" t="b">
        <v>0</v>
      </c>
      <c r="M1922" s="16" t="b">
        <v>0</v>
      </c>
      <c r="N1922" s="16" t="b">
        <v>0</v>
      </c>
      <c r="O1922" s="16" t="n">
        <v>534.0815165655772</v>
      </c>
      <c r="P1922" s="16" t="n">
        <v>284.6910741280724</v>
      </c>
      <c r="Q1922" s="16" t="n">
        <v>3000</v>
      </c>
      <c r="R1922" s="16" t="n">
        <v>400</v>
      </c>
      <c r="S1922" s="16" t="n">
        <v>0.7230740046515534</v>
      </c>
      <c r="T1922" s="16" t="n">
        <v>0.7362059681802976</v>
      </c>
      <c r="U1922" s="16" t="n">
        <v>0.9140115540700062</v>
      </c>
      <c r="V1922" s="16" t="n">
        <v>0.4779677683626253</v>
      </c>
      <c r="W1922" s="16" t="n">
        <v>0.4105927268086276</v>
      </c>
      <c r="X1922" s="16" t="n">
        <v>0.7294479521093657</v>
      </c>
      <c r="Y1922" s="16" t="n">
        <v>284.6910741280724</v>
      </c>
      <c r="Z1922" s="16" t="n">
        <v>9.661179440691251</v>
      </c>
      <c r="AA1922" s="16" t="n">
        <v>79.24043967605621</v>
      </c>
      <c r="AB1922" s="16" t="n">
        <v>2600</v>
      </c>
      <c r="AC1922" s="16" t="n">
        <v>7.5</v>
      </c>
      <c r="AD1922" s="16" t="inlineStr">
        <is>
          <t>O2</t>
        </is>
      </c>
      <c r="AE1922" s="16" t="n"/>
    </row>
    <row r="1923">
      <c r="A1923" s="16" t="inlineStr">
        <is>
          <t>KF-M05-2-0081</t>
        </is>
      </c>
      <c r="B1923" s="16" t="inlineStr">
        <is>
          <t>4.1</t>
        </is>
      </c>
      <c r="C1923" s="16" t="inlineStr">
        <is>
          <t>4.1b</t>
        </is>
      </c>
      <c r="D1923" s="16" t="inlineStr">
        <is>
          <t>conserva sus presiones</t>
        </is>
      </c>
      <c r="E1923" s="16" t="inlineStr">
        <is>
          <t>KF-M05</t>
        </is>
      </c>
      <c r="F1923" s="16" t="inlineStr">
        <is>
          <t>KF-M05-2</t>
        </is>
      </c>
      <c r="G1923" s="16" t="inlineStr">
        <is>
          <t>B09-2</t>
        </is>
      </c>
      <c r="H1923" s="16" t="inlineStr">
        <is>
          <t>lhs</t>
        </is>
      </c>
      <c r="I1923" s="16" t="inlineStr">
        <is>
          <t>CORREGIBLE</t>
        </is>
      </c>
      <c r="J1923" s="16" t="inlineStr">
        <is>
          <t>CORREGIBLE</t>
        </is>
      </c>
      <c r="K1923" s="16" t="b">
        <v>1</v>
      </c>
      <c r="L1923" s="16" t="b">
        <v>0</v>
      </c>
      <c r="M1923" s="16" t="b">
        <v>1</v>
      </c>
      <c r="N1923" s="16" t="b">
        <v>0</v>
      </c>
      <c r="O1923" s="16" t="n">
        <v>559.7262847950566</v>
      </c>
      <c r="P1923" s="16" t="n">
        <v>283.9114073758596</v>
      </c>
      <c r="Q1923" s="16" t="n">
        <v>3000</v>
      </c>
      <c r="R1923" s="16" t="n">
        <v>400</v>
      </c>
      <c r="S1923" s="16" t="n">
        <v>0.6832653300745395</v>
      </c>
      <c r="T1923" s="16" t="n">
        <v>0.6417359744109429</v>
      </c>
      <c r="U1923" s="16" t="n">
        <v>0.6314085025434377</v>
      </c>
      <c r="V1923" s="16" t="n">
        <v>0.5964401579074263</v>
      </c>
      <c r="W1923" s="16" t="n">
        <v>0.8415536631290722</v>
      </c>
      <c r="X1923" s="16" t="n">
        <v>0.7089066144148638</v>
      </c>
      <c r="Y1923" s="16" t="n">
        <v>283.9114073758596</v>
      </c>
      <c r="Z1923" s="16" t="n">
        <v>6.512796767876609</v>
      </c>
      <c r="AA1923" s="16" t="n">
        <v>71.22597204515853</v>
      </c>
      <c r="AB1923" s="16" t="n">
        <v>2600</v>
      </c>
      <c r="AC1923" s="16" t="n">
        <v>7.5</v>
      </c>
      <c r="AD1923" s="16" t="inlineStr">
        <is>
          <t>O2</t>
        </is>
      </c>
      <c r="AE1923" s="16" t="n"/>
    </row>
    <row r="1924">
      <c r="A1924" s="16" t="inlineStr">
        <is>
          <t>KF-M05-2-0082</t>
        </is>
      </c>
      <c r="B1924" s="16" t="inlineStr">
        <is>
          <t>4.1</t>
        </is>
      </c>
      <c r="C1924" s="16" t="inlineStr">
        <is>
          <t>4.1b</t>
        </is>
      </c>
      <c r="D1924" s="16" t="inlineStr">
        <is>
          <t>conserva sus presiones</t>
        </is>
      </c>
      <c r="E1924" s="16" t="inlineStr">
        <is>
          <t>KF-M05</t>
        </is>
      </c>
      <c r="F1924" s="16" t="inlineStr">
        <is>
          <t>KF-M05-2</t>
        </is>
      </c>
      <c r="G1924" s="16" t="inlineStr">
        <is>
          <t>B09-2</t>
        </is>
      </c>
      <c r="H1924" s="16" t="inlineStr">
        <is>
          <t>lhs</t>
        </is>
      </c>
      <c r="I1924" s="16" t="inlineStr">
        <is>
          <t>NO_CONVERGIO</t>
        </is>
      </c>
      <c r="J1924" s="16" t="inlineStr">
        <is>
          <t>NO_CONVERGIO</t>
        </is>
      </c>
      <c r="K1924" s="16" t="b">
        <v>0</v>
      </c>
      <c r="L1924" s="16" t="b">
        <v>0</v>
      </c>
      <c r="M1924" s="16" t="b">
        <v>0</v>
      </c>
      <c r="N1924" s="16" t="b">
        <v>0</v>
      </c>
      <c r="O1924" s="16" t="n">
        <v>417.5552146990862</v>
      </c>
      <c r="P1924" s="16" t="n">
        <v>298.7407976812951</v>
      </c>
      <c r="Q1924" s="16" t="n">
        <v>3000</v>
      </c>
      <c r="R1924" s="16" t="n">
        <v>400</v>
      </c>
      <c r="S1924" s="16" t="n">
        <v>0.7372167889557993</v>
      </c>
      <c r="T1924" s="16" t="n">
        <v>0.4438036657316855</v>
      </c>
      <c r="U1924" s="16" t="n">
        <v>0.4905853081611906</v>
      </c>
      <c r="V1924" s="16" t="n">
        <v>0.5288479461868102</v>
      </c>
      <c r="W1924" s="16" t="n">
        <v>0.5886268067224089</v>
      </c>
      <c r="X1924" s="16" t="n">
        <v>0.429701328219903</v>
      </c>
      <c r="Y1924" s="16" t="n">
        <v>298.7407976812951</v>
      </c>
      <c r="Z1924" s="16" t="n"/>
      <c r="AA1924" s="16" t="n"/>
      <c r="AB1924" s="16" t="n">
        <v>2600</v>
      </c>
      <c r="AC1924" s="16" t="n">
        <v>7.5</v>
      </c>
      <c r="AD1924" s="16" t="n"/>
      <c r="AE1924" s="16" t="n"/>
    </row>
    <row r="1925">
      <c r="A1925" s="16" t="inlineStr">
        <is>
          <t>KF-M05-2-0083</t>
        </is>
      </c>
      <c r="B1925" s="16" t="inlineStr">
        <is>
          <t>4.1</t>
        </is>
      </c>
      <c r="C1925" s="16" t="inlineStr">
        <is>
          <t>4.1b</t>
        </is>
      </c>
      <c r="D1925" s="16" t="inlineStr">
        <is>
          <t>conserva sus presiones</t>
        </is>
      </c>
      <c r="E1925" s="16" t="inlineStr">
        <is>
          <t>KF-M05</t>
        </is>
      </c>
      <c r="F1925" s="16" t="inlineStr">
        <is>
          <t>KF-M05-2</t>
        </is>
      </c>
      <c r="G1925" s="16" t="inlineStr">
        <is>
          <t>B09-2</t>
        </is>
      </c>
      <c r="H1925" s="16" t="inlineStr">
        <is>
          <t>lhs</t>
        </is>
      </c>
      <c r="I1925" s="16" t="inlineStr">
        <is>
          <t>CORREGIBLE</t>
        </is>
      </c>
      <c r="J1925" s="16" t="inlineStr">
        <is>
          <t>CORREGIBLE</t>
        </is>
      </c>
      <c r="K1925" s="16" t="b">
        <v>1</v>
      </c>
      <c r="L1925" s="16" t="b">
        <v>0</v>
      </c>
      <c r="M1925" s="16" t="b">
        <v>1</v>
      </c>
      <c r="N1925" s="16" t="b">
        <v>0</v>
      </c>
      <c r="O1925" s="16" t="n">
        <v>490.2966597882918</v>
      </c>
      <c r="P1925" s="16" t="n">
        <v>287.7104178605098</v>
      </c>
      <c r="Q1925" s="16" t="n">
        <v>3000</v>
      </c>
      <c r="R1925" s="16" t="n">
        <v>400</v>
      </c>
      <c r="S1925" s="16" t="n">
        <v>0.6881115439076471</v>
      </c>
      <c r="T1925" s="16" t="n">
        <v>0.825841891739874</v>
      </c>
      <c r="U1925" s="16" t="n">
        <v>0.8550411541238198</v>
      </c>
      <c r="V1925" s="16" t="n">
        <v>0.4624665256323404</v>
      </c>
      <c r="W1925" s="16" t="n">
        <v>0.5319707356503782</v>
      </c>
      <c r="X1925" s="16" t="n">
        <v>0.482092233996396</v>
      </c>
      <c r="Y1925" s="16" t="n">
        <v>287.7104178605098</v>
      </c>
      <c r="Z1925" s="16" t="n">
        <v>5.87540917635538</v>
      </c>
      <c r="AA1925" s="16" t="n">
        <v>34.14894557446539</v>
      </c>
      <c r="AB1925" s="16" t="n">
        <v>2600</v>
      </c>
      <c r="AC1925" s="16" t="n">
        <v>7.5</v>
      </c>
      <c r="AD1925" s="16" t="inlineStr">
        <is>
          <t>O2</t>
        </is>
      </c>
      <c r="AE1925" s="16" t="n"/>
    </row>
    <row r="1926">
      <c r="A1926" s="16" t="inlineStr">
        <is>
          <t>KF-M05-2-0084</t>
        </is>
      </c>
      <c r="B1926" s="16" t="inlineStr">
        <is>
          <t>4.1</t>
        </is>
      </c>
      <c r="C1926" s="16" t="inlineStr">
        <is>
          <t>4.1b</t>
        </is>
      </c>
      <c r="D1926" s="16" t="inlineStr">
        <is>
          <t>conserva sus presiones</t>
        </is>
      </c>
      <c r="E1926" s="16" t="inlineStr">
        <is>
          <t>KF-M05</t>
        </is>
      </c>
      <c r="F1926" s="16" t="inlineStr">
        <is>
          <t>KF-M05-2</t>
        </is>
      </c>
      <c r="G1926" s="16" t="inlineStr">
        <is>
          <t>B09-2</t>
        </is>
      </c>
      <c r="H1926" s="16" t="inlineStr">
        <is>
          <t>lhs</t>
        </is>
      </c>
      <c r="I1926" s="16" t="inlineStr">
        <is>
          <t>INVIABLE</t>
        </is>
      </c>
      <c r="J1926" s="16" t="inlineStr">
        <is>
          <t>INVIABLE</t>
        </is>
      </c>
      <c r="K1926" s="16" t="b">
        <v>1</v>
      </c>
      <c r="L1926" s="16" t="b">
        <v>0</v>
      </c>
      <c r="M1926" s="16" t="b">
        <v>0</v>
      </c>
      <c r="N1926" s="16" t="b">
        <v>0</v>
      </c>
      <c r="O1926" s="16" t="n">
        <v>382.3457749796415</v>
      </c>
      <c r="P1926" s="16" t="n">
        <v>301.1743286996049</v>
      </c>
      <c r="Q1926" s="16" t="n">
        <v>3000</v>
      </c>
      <c r="R1926" s="16" t="n">
        <v>400</v>
      </c>
      <c r="S1926" s="16" t="n">
        <v>0.6506023328228557</v>
      </c>
      <c r="T1926" s="16" t="n">
        <v>0.500113209516711</v>
      </c>
      <c r="U1926" s="16" t="n">
        <v>0.6852442354396698</v>
      </c>
      <c r="V1926" s="16" t="n">
        <v>0.5374522591718339</v>
      </c>
      <c r="W1926" s="16" t="n">
        <v>0.4193590779173111</v>
      </c>
      <c r="X1926" s="16" t="n">
        <v>0.4435847384136862</v>
      </c>
      <c r="Y1926" s="16" t="n">
        <v>301.1743286996049</v>
      </c>
      <c r="Z1926" s="16" t="n">
        <v>-399.1999985622958</v>
      </c>
      <c r="AA1926" s="16" t="n">
        <v>-101.3020839369271</v>
      </c>
      <c r="AB1926" s="16" t="n">
        <v>2600</v>
      </c>
      <c r="AC1926" s="16" t="n">
        <v>7.5</v>
      </c>
      <c r="AD1926" s="16" t="inlineStr">
        <is>
          <t>O2,O3</t>
        </is>
      </c>
      <c r="AE1926" s="16" t="n"/>
    </row>
    <row r="1927">
      <c r="A1927" s="16" t="inlineStr">
        <is>
          <t>KF-M05-2-0085</t>
        </is>
      </c>
      <c r="B1927" s="16" t="inlineStr">
        <is>
          <t>4.1</t>
        </is>
      </c>
      <c r="C1927" s="16" t="inlineStr">
        <is>
          <t>4.1b</t>
        </is>
      </c>
      <c r="D1927" s="16" t="inlineStr">
        <is>
          <t>conserva sus presiones</t>
        </is>
      </c>
      <c r="E1927" s="16" t="inlineStr">
        <is>
          <t>KF-M05</t>
        </is>
      </c>
      <c r="F1927" s="16" t="inlineStr">
        <is>
          <t>KF-M05-2</t>
        </is>
      </c>
      <c r="G1927" s="16" t="inlineStr">
        <is>
          <t>B09-2</t>
        </is>
      </c>
      <c r="H1927" s="16" t="inlineStr">
        <is>
          <t>lhs</t>
        </is>
      </c>
      <c r="I1927" s="16" t="inlineStr">
        <is>
          <t>CORREGIBLE</t>
        </is>
      </c>
      <c r="J1927" s="16" t="inlineStr">
        <is>
          <t>CORREGIBLE</t>
        </is>
      </c>
      <c r="K1927" s="16" t="b">
        <v>1</v>
      </c>
      <c r="L1927" s="16" t="b">
        <v>0</v>
      </c>
      <c r="M1927" s="16" t="b">
        <v>1</v>
      </c>
      <c r="N1927" s="16" t="b">
        <v>0</v>
      </c>
      <c r="O1927" s="16" t="n">
        <v>458.0588965603059</v>
      </c>
      <c r="P1927" s="16" t="n">
        <v>285.709038213821</v>
      </c>
      <c r="Q1927" s="16" t="n">
        <v>3000</v>
      </c>
      <c r="R1927" s="16" t="n">
        <v>400</v>
      </c>
      <c r="S1927" s="16" t="n">
        <v>0.6574687939591497</v>
      </c>
      <c r="T1927" s="16" t="n">
        <v>0.7069934652556386</v>
      </c>
      <c r="U1927" s="16" t="n">
        <v>0.406320833113804</v>
      </c>
      <c r="V1927" s="16" t="n">
        <v>0.7815053950258015</v>
      </c>
      <c r="W1927" s="16" t="n">
        <v>0.637680062209995</v>
      </c>
      <c r="X1927" s="16" t="n">
        <v>0.8815891332302126</v>
      </c>
      <c r="Y1927" s="16" t="n">
        <v>285.709038213821</v>
      </c>
      <c r="Z1927" s="16" t="n">
        <v>10.78802324345157</v>
      </c>
      <c r="AA1927" s="16" t="n">
        <v>158.9788398424616</v>
      </c>
      <c r="AB1927" s="16" t="n">
        <v>2600</v>
      </c>
      <c r="AC1927" s="16" t="n">
        <v>7.5</v>
      </c>
      <c r="AD1927" s="16" t="inlineStr">
        <is>
          <t>O2</t>
        </is>
      </c>
      <c r="AE1927" s="16" t="n"/>
    </row>
    <row r="1928">
      <c r="A1928" s="16" t="inlineStr">
        <is>
          <t>KF-M05-2-0086</t>
        </is>
      </c>
      <c r="B1928" s="16" t="inlineStr">
        <is>
          <t>4.1</t>
        </is>
      </c>
      <c r="C1928" s="16" t="inlineStr">
        <is>
          <t>4.1b</t>
        </is>
      </c>
      <c r="D1928" s="16" t="inlineStr">
        <is>
          <t>conserva sus presiones</t>
        </is>
      </c>
      <c r="E1928" s="16" t="inlineStr">
        <is>
          <t>KF-M05</t>
        </is>
      </c>
      <c r="F1928" s="16" t="inlineStr">
        <is>
          <t>KF-M05-2</t>
        </is>
      </c>
      <c r="G1928" s="16" t="inlineStr">
        <is>
          <t>B09-2</t>
        </is>
      </c>
      <c r="H1928" s="16" t="inlineStr">
        <is>
          <t>lhs</t>
        </is>
      </c>
      <c r="I1928" s="16" t="inlineStr">
        <is>
          <t>NO_CONVERGIO</t>
        </is>
      </c>
      <c r="J1928" s="16" t="inlineStr">
        <is>
          <t>NO_CONVERGIO</t>
        </is>
      </c>
      <c r="K1928" s="16" t="b">
        <v>0</v>
      </c>
      <c r="L1928" s="16" t="b">
        <v>0</v>
      </c>
      <c r="M1928" s="16" t="b">
        <v>0</v>
      </c>
      <c r="N1928" s="16" t="b">
        <v>0</v>
      </c>
      <c r="O1928" s="16" t="n">
        <v>601.0490941952096</v>
      </c>
      <c r="P1928" s="16" t="n">
        <v>300.0035098916467</v>
      </c>
      <c r="Q1928" s="16" t="n">
        <v>3000</v>
      </c>
      <c r="R1928" s="16" t="n">
        <v>400</v>
      </c>
      <c r="S1928" s="16" t="n">
        <v>0.6090702651265796</v>
      </c>
      <c r="T1928" s="16" t="n">
        <v>0.9187041251203192</v>
      </c>
      <c r="U1928" s="16" t="n">
        <v>0.7983944087917987</v>
      </c>
      <c r="V1928" s="16" t="n">
        <v>0.870917871512066</v>
      </c>
      <c r="W1928" s="16" t="n">
        <v>0.7628162437910984</v>
      </c>
      <c r="X1928" s="16" t="n">
        <v>0.5225297293851356</v>
      </c>
      <c r="Y1928" s="16" t="n">
        <v>300.0035098916467</v>
      </c>
      <c r="Z1928" s="16" t="n"/>
      <c r="AA1928" s="16" t="n"/>
      <c r="AB1928" s="16" t="n">
        <v>2600</v>
      </c>
      <c r="AC1928" s="16" t="n">
        <v>7.5</v>
      </c>
      <c r="AD1928" s="16" t="n"/>
      <c r="AE1928" s="16" t="n"/>
    </row>
    <row r="1929">
      <c r="A1929" s="16" t="inlineStr">
        <is>
          <t>KF-M05-2-0087</t>
        </is>
      </c>
      <c r="B1929" s="16" t="inlineStr">
        <is>
          <t>4.1</t>
        </is>
      </c>
      <c r="C1929" s="16" t="inlineStr">
        <is>
          <t>4.1b</t>
        </is>
      </c>
      <c r="D1929" s="16" t="inlineStr">
        <is>
          <t>conserva sus presiones</t>
        </is>
      </c>
      <c r="E1929" s="16" t="inlineStr">
        <is>
          <t>KF-M05</t>
        </is>
      </c>
      <c r="F1929" s="16" t="inlineStr">
        <is>
          <t>KF-M05-2</t>
        </is>
      </c>
      <c r="G1929" s="16" t="inlineStr">
        <is>
          <t>B09-2</t>
        </is>
      </c>
      <c r="H1929" s="16" t="inlineStr">
        <is>
          <t>lhs</t>
        </is>
      </c>
      <c r="I1929" s="16" t="inlineStr">
        <is>
          <t>NO_CONVERGIO</t>
        </is>
      </c>
      <c r="J1929" s="16" t="inlineStr">
        <is>
          <t>NO_CONVERGIO</t>
        </is>
      </c>
      <c r="K1929" s="16" t="b">
        <v>0</v>
      </c>
      <c r="L1929" s="16" t="b">
        <v>0</v>
      </c>
      <c r="M1929" s="16" t="b">
        <v>0</v>
      </c>
      <c r="N1929" s="16" t="b">
        <v>0</v>
      </c>
      <c r="O1929" s="16" t="n">
        <v>429.9252106510909</v>
      </c>
      <c r="P1929" s="16" t="n">
        <v>288.4615662327658</v>
      </c>
      <c r="Q1929" s="16" t="n">
        <v>3000</v>
      </c>
      <c r="R1929" s="16" t="n">
        <v>400</v>
      </c>
      <c r="S1929" s="16" t="n">
        <v>0.7968203810475396</v>
      </c>
      <c r="T1929" s="16" t="n">
        <v>0.813454505405946</v>
      </c>
      <c r="U1929" s="16" t="n">
        <v>0.7628241018668991</v>
      </c>
      <c r="V1929" s="16" t="n">
        <v>0.5604714366334961</v>
      </c>
      <c r="W1929" s="16" t="n">
        <v>0.7103944796646124</v>
      </c>
      <c r="X1929" s="16" t="n">
        <v>0.5622302588562718</v>
      </c>
      <c r="Y1929" s="16" t="n">
        <v>288.4615662327658</v>
      </c>
      <c r="Z1929" s="16" t="n"/>
      <c r="AA1929" s="16" t="n"/>
      <c r="AB1929" s="16" t="n">
        <v>2600</v>
      </c>
      <c r="AC1929" s="16" t="n">
        <v>7.5</v>
      </c>
      <c r="AD1929" s="16" t="n"/>
      <c r="AE1929" s="16" t="n"/>
    </row>
    <row r="1930">
      <c r="A1930" s="16" t="inlineStr">
        <is>
          <t>KF-M05-2-0088</t>
        </is>
      </c>
      <c r="B1930" s="16" t="inlineStr">
        <is>
          <t>4.1</t>
        </is>
      </c>
      <c r="C1930" s="16" t="inlineStr">
        <is>
          <t>4.1b</t>
        </is>
      </c>
      <c r="D1930" s="16" t="inlineStr">
        <is>
          <t>conserva sus presiones</t>
        </is>
      </c>
      <c r="E1930" s="16" t="inlineStr">
        <is>
          <t>KF-M05</t>
        </is>
      </c>
      <c r="F1930" s="16" t="inlineStr">
        <is>
          <t>KF-M05-2</t>
        </is>
      </c>
      <c r="G1930" s="16" t="inlineStr">
        <is>
          <t>B09-2</t>
        </is>
      </c>
      <c r="H1930" s="16" t="inlineStr">
        <is>
          <t>lhs</t>
        </is>
      </c>
      <c r="I1930" s="16" t="inlineStr">
        <is>
          <t>CORREGIBLE</t>
        </is>
      </c>
      <c r="J1930" s="16" t="inlineStr">
        <is>
          <t>CORREGIBLE</t>
        </is>
      </c>
      <c r="K1930" s="16" t="b">
        <v>1</v>
      </c>
      <c r="L1930" s="16" t="b">
        <v>0</v>
      </c>
      <c r="M1930" s="16" t="b">
        <v>1</v>
      </c>
      <c r="N1930" s="16" t="b">
        <v>0</v>
      </c>
      <c r="O1930" s="16" t="n">
        <v>572.1096669099655</v>
      </c>
      <c r="P1930" s="16" t="n">
        <v>300.3817966756178</v>
      </c>
      <c r="Q1930" s="16" t="n">
        <v>3000</v>
      </c>
      <c r="R1930" s="16" t="n">
        <v>400</v>
      </c>
      <c r="S1930" s="16" t="n">
        <v>0.6850631160996954</v>
      </c>
      <c r="T1930" s="16" t="n">
        <v>0.9003945288371137</v>
      </c>
      <c r="U1930" s="16" t="n">
        <v>0.8295877252077485</v>
      </c>
      <c r="V1930" s="16" t="n">
        <v>0.4557515211691098</v>
      </c>
      <c r="W1930" s="16" t="n">
        <v>0.6394804216883192</v>
      </c>
      <c r="X1930" s="16" t="n">
        <v>0.6247433465553618</v>
      </c>
      <c r="Y1930" s="16" t="n">
        <v>300.3817966756178</v>
      </c>
      <c r="Z1930" s="16" t="n">
        <v>8.068620258417369</v>
      </c>
      <c r="AA1930" s="16" t="n">
        <v>50.21862952494703</v>
      </c>
      <c r="AB1930" s="16" t="n">
        <v>2600</v>
      </c>
      <c r="AC1930" s="16" t="n">
        <v>7.5</v>
      </c>
      <c r="AD1930" s="16" t="inlineStr">
        <is>
          <t>O2</t>
        </is>
      </c>
      <c r="AE1930" s="16" t="n"/>
    </row>
    <row r="1931">
      <c r="A1931" s="16" t="inlineStr">
        <is>
          <t>KF-M05-2-0089</t>
        </is>
      </c>
      <c r="B1931" s="16" t="inlineStr">
        <is>
          <t>4.1</t>
        </is>
      </c>
      <c r="C1931" s="16" t="inlineStr">
        <is>
          <t>4.1b</t>
        </is>
      </c>
      <c r="D1931" s="16" t="inlineStr">
        <is>
          <t>conserva sus presiones</t>
        </is>
      </c>
      <c r="E1931" s="16" t="inlineStr">
        <is>
          <t>KF-M05</t>
        </is>
      </c>
      <c r="F1931" s="16" t="inlineStr">
        <is>
          <t>KF-M05-2</t>
        </is>
      </c>
      <c r="G1931" s="16" t="inlineStr">
        <is>
          <t>B09-2</t>
        </is>
      </c>
      <c r="H1931" s="16" t="inlineStr">
        <is>
          <t>lhs</t>
        </is>
      </c>
      <c r="I1931" s="16" t="inlineStr">
        <is>
          <t>INVIABLE</t>
        </is>
      </c>
      <c r="J1931" s="16" t="inlineStr">
        <is>
          <t>INVIABLE</t>
        </is>
      </c>
      <c r="K1931" s="16" t="b">
        <v>1</v>
      </c>
      <c r="L1931" s="16" t="b">
        <v>0</v>
      </c>
      <c r="M1931" s="16" t="b">
        <v>1</v>
      </c>
      <c r="N1931" s="16" t="b">
        <v>0</v>
      </c>
      <c r="O1931" s="16" t="n">
        <v>561.0248394093602</v>
      </c>
      <c r="P1931" s="16" t="n">
        <v>286.3200204676161</v>
      </c>
      <c r="Q1931" s="16" t="n">
        <v>3000</v>
      </c>
      <c r="R1931" s="16" t="n">
        <v>400</v>
      </c>
      <c r="S1931" s="16" t="n">
        <v>0.7077302829647686</v>
      </c>
      <c r="T1931" s="16" t="n">
        <v>0.9081312922581768</v>
      </c>
      <c r="U1931" s="16" t="n">
        <v>0.5569757880440774</v>
      </c>
      <c r="V1931" s="16" t="n">
        <v>0.516230800332235</v>
      </c>
      <c r="W1931" s="16" t="n">
        <v>0.8719483281487141</v>
      </c>
      <c r="X1931" s="16" t="n">
        <v>0.5026175646880159</v>
      </c>
      <c r="Y1931" s="16" t="n">
        <v>286.3200204676161</v>
      </c>
      <c r="Z1931" s="16" t="n">
        <v>-3.66913777046543</v>
      </c>
      <c r="AA1931" s="16" t="n">
        <v>-23.194349500062</v>
      </c>
      <c r="AB1931" s="16" t="n">
        <v>2600</v>
      </c>
      <c r="AC1931" s="16" t="n">
        <v>7.5</v>
      </c>
      <c r="AD1931" s="16" t="inlineStr">
        <is>
          <t>O1,O2,O3</t>
        </is>
      </c>
      <c r="AE1931" s="16" t="n"/>
    </row>
    <row r="1932">
      <c r="A1932" s="16" t="inlineStr">
        <is>
          <t>KF-M05-2-0090</t>
        </is>
      </c>
      <c r="B1932" s="16" t="inlineStr">
        <is>
          <t>4.1</t>
        </is>
      </c>
      <c r="C1932" s="16" t="inlineStr">
        <is>
          <t>4.1b</t>
        </is>
      </c>
      <c r="D1932" s="16" t="inlineStr">
        <is>
          <t>conserva sus presiones</t>
        </is>
      </c>
      <c r="E1932" s="16" t="inlineStr">
        <is>
          <t>KF-M05</t>
        </is>
      </c>
      <c r="F1932" s="16" t="inlineStr">
        <is>
          <t>KF-M05-2</t>
        </is>
      </c>
      <c r="G1932" s="16" t="inlineStr">
        <is>
          <t>B09-2</t>
        </is>
      </c>
      <c r="H1932" s="16" t="inlineStr">
        <is>
          <t>lhs</t>
        </is>
      </c>
      <c r="I1932" s="16" t="inlineStr">
        <is>
          <t>INVIABLE</t>
        </is>
      </c>
      <c r="J1932" s="16" t="inlineStr">
        <is>
          <t>INVIABLE</t>
        </is>
      </c>
      <c r="K1932" s="16" t="b">
        <v>1</v>
      </c>
      <c r="L1932" s="16" t="b">
        <v>0</v>
      </c>
      <c r="M1932" s="16" t="b">
        <v>0</v>
      </c>
      <c r="N1932" s="16" t="b">
        <v>0</v>
      </c>
      <c r="O1932" s="16" t="n">
        <v>388.9948146717909</v>
      </c>
      <c r="P1932" s="16" t="n">
        <v>283.6480271795284</v>
      </c>
      <c r="Q1932" s="16" t="n">
        <v>3000</v>
      </c>
      <c r="R1932" s="16" t="n">
        <v>400</v>
      </c>
      <c r="S1932" s="16" t="n">
        <v>0.7479171357475493</v>
      </c>
      <c r="T1932" s="16" t="n">
        <v>0.4752401616182125</v>
      </c>
      <c r="U1932" s="16" t="n">
        <v>0.5068426955610437</v>
      </c>
      <c r="V1932" s="16" t="n">
        <v>0.5409924341546947</v>
      </c>
      <c r="W1932" s="16" t="n">
        <v>0.4022783413016499</v>
      </c>
      <c r="X1932" s="16" t="n">
        <v>0.907948058675118</v>
      </c>
      <c r="Y1932" s="16" t="n">
        <v>283.6480271795284</v>
      </c>
      <c r="Z1932" s="16" t="n">
        <v>-6.50956188408121</v>
      </c>
      <c r="AA1932" s="16" t="n">
        <v>-25.57974460846098</v>
      </c>
      <c r="AB1932" s="16" t="n">
        <v>2600</v>
      </c>
      <c r="AC1932" s="16" t="n">
        <v>7.5</v>
      </c>
      <c r="AD1932" s="16" t="inlineStr">
        <is>
          <t>O2,O3</t>
        </is>
      </c>
      <c r="AE1932" s="16" t="n"/>
    </row>
    <row r="1933">
      <c r="A1933" s="16" t="inlineStr">
        <is>
          <t>KF-M05-2-0091</t>
        </is>
      </c>
      <c r="B1933" s="16" t="inlineStr">
        <is>
          <t>4.1</t>
        </is>
      </c>
      <c r="C1933" s="16" t="inlineStr">
        <is>
          <t>4.1b</t>
        </is>
      </c>
      <c r="D1933" s="16" t="inlineStr">
        <is>
          <t>conserva sus presiones</t>
        </is>
      </c>
      <c r="E1933" s="16" t="inlineStr">
        <is>
          <t>KF-M05</t>
        </is>
      </c>
      <c r="F1933" s="16" t="inlineStr">
        <is>
          <t>KF-M05-2</t>
        </is>
      </c>
      <c r="G1933" s="16" t="inlineStr">
        <is>
          <t>B09-2</t>
        </is>
      </c>
      <c r="H1933" s="16" t="inlineStr">
        <is>
          <t>lhs</t>
        </is>
      </c>
      <c r="I1933" s="16" t="inlineStr">
        <is>
          <t>CORREGIBLE</t>
        </is>
      </c>
      <c r="J1933" s="16" t="inlineStr">
        <is>
          <t>CORREGIBLE</t>
        </is>
      </c>
      <c r="K1933" s="16" t="b">
        <v>1</v>
      </c>
      <c r="L1933" s="16" t="b">
        <v>0</v>
      </c>
      <c r="M1933" s="16" t="b">
        <v>1</v>
      </c>
      <c r="N1933" s="16" t="b">
        <v>0</v>
      </c>
      <c r="O1933" s="16" t="n">
        <v>505.7267408941933</v>
      </c>
      <c r="P1933" s="16" t="n">
        <v>302.5852538189709</v>
      </c>
      <c r="Q1933" s="16" t="n">
        <v>3000</v>
      </c>
      <c r="R1933" s="16" t="n">
        <v>400</v>
      </c>
      <c r="S1933" s="16" t="n">
        <v>0.6422464652590527</v>
      </c>
      <c r="T1933" s="16" t="n">
        <v>0.7441335444828701</v>
      </c>
      <c r="U1933" s="16" t="n">
        <v>0.8060662267846124</v>
      </c>
      <c r="V1933" s="16" t="n">
        <v>0.6916451848302403</v>
      </c>
      <c r="W1933" s="16" t="n">
        <v>0.5151516843398223</v>
      </c>
      <c r="X1933" s="16" t="n">
        <v>0.7204018215199162</v>
      </c>
      <c r="Y1933" s="16" t="n">
        <v>302.5852538189709</v>
      </c>
      <c r="Z1933" s="16" t="n">
        <v>5.79155697361844</v>
      </c>
      <c r="AA1933" s="16" t="n">
        <v>54.27849946670185</v>
      </c>
      <c r="AB1933" s="16" t="n">
        <v>2600</v>
      </c>
      <c r="AC1933" s="16" t="n">
        <v>7.5</v>
      </c>
      <c r="AD1933" s="16" t="inlineStr">
        <is>
          <t>O2</t>
        </is>
      </c>
      <c r="AE1933" s="16" t="n"/>
    </row>
    <row r="1934">
      <c r="A1934" s="16" t="inlineStr">
        <is>
          <t>KF-M05-2-0092</t>
        </is>
      </c>
      <c r="B1934" s="16" t="inlineStr">
        <is>
          <t>4.1</t>
        </is>
      </c>
      <c r="C1934" s="16" t="inlineStr">
        <is>
          <t>4.1b</t>
        </is>
      </c>
      <c r="D1934" s="16" t="inlineStr">
        <is>
          <t>conserva sus presiones</t>
        </is>
      </c>
      <c r="E1934" s="16" t="inlineStr">
        <is>
          <t>KF-M05</t>
        </is>
      </c>
      <c r="F1934" s="16" t="inlineStr">
        <is>
          <t>KF-M05-2</t>
        </is>
      </c>
      <c r="G1934" s="16" t="inlineStr">
        <is>
          <t>B09-2</t>
        </is>
      </c>
      <c r="H1934" s="16" t="inlineStr">
        <is>
          <t>lhs</t>
        </is>
      </c>
      <c r="I1934" s="16" t="inlineStr">
        <is>
          <t>CORREGIBLE</t>
        </is>
      </c>
      <c r="J1934" s="16" t="inlineStr">
        <is>
          <t>CORREGIBLE</t>
        </is>
      </c>
      <c r="K1934" s="16" t="b">
        <v>1</v>
      </c>
      <c r="L1934" s="16" t="b">
        <v>0</v>
      </c>
      <c r="M1934" s="16" t="b">
        <v>1</v>
      </c>
      <c r="N1934" s="16" t="b">
        <v>0</v>
      </c>
      <c r="O1934" s="16" t="n">
        <v>609.6662355429212</v>
      </c>
      <c r="P1934" s="16" t="n">
        <v>283.2618725752798</v>
      </c>
      <c r="Q1934" s="16" t="n">
        <v>3000</v>
      </c>
      <c r="R1934" s="16" t="n">
        <v>400</v>
      </c>
      <c r="S1934" s="16" t="n">
        <v>0.598315921188236</v>
      </c>
      <c r="T1934" s="16" t="n">
        <v>0.8940571793427261</v>
      </c>
      <c r="U1934" s="16" t="n">
        <v>0.8778336240736988</v>
      </c>
      <c r="V1934" s="16" t="n">
        <v>0.5220618755231357</v>
      </c>
      <c r="W1934" s="16" t="n">
        <v>0.7187183545698919</v>
      </c>
      <c r="X1934" s="16" t="n">
        <v>0.5305130062838842</v>
      </c>
      <c r="Y1934" s="16" t="n">
        <v>283.2618725752798</v>
      </c>
      <c r="Z1934" s="16" t="n">
        <v>12.17711385412913</v>
      </c>
      <c r="AA1934" s="16" t="n">
        <v>112.9201077031207</v>
      </c>
      <c r="AB1934" s="16" t="n">
        <v>2600</v>
      </c>
      <c r="AC1934" s="16" t="n">
        <v>7.5</v>
      </c>
      <c r="AD1934" s="16" t="inlineStr">
        <is>
          <t>O1,O2</t>
        </is>
      </c>
      <c r="AE1934" s="16" t="n"/>
    </row>
    <row r="1935">
      <c r="A1935" s="16" t="inlineStr">
        <is>
          <t>KF-M05-2-0093</t>
        </is>
      </c>
      <c r="B1935" s="16" t="inlineStr">
        <is>
          <t>4.1</t>
        </is>
      </c>
      <c r="C1935" s="16" t="inlineStr">
        <is>
          <t>4.1b</t>
        </is>
      </c>
      <c r="D1935" s="16" t="inlineStr">
        <is>
          <t>conserva sus presiones</t>
        </is>
      </c>
      <c r="E1935" s="16" t="inlineStr">
        <is>
          <t>KF-M05</t>
        </is>
      </c>
      <c r="F1935" s="16" t="inlineStr">
        <is>
          <t>KF-M05-2</t>
        </is>
      </c>
      <c r="G1935" s="16" t="inlineStr">
        <is>
          <t>B09-2</t>
        </is>
      </c>
      <c r="H1935" s="16" t="inlineStr">
        <is>
          <t>lhs</t>
        </is>
      </c>
      <c r="I1935" s="16" t="inlineStr">
        <is>
          <t>INVIABLE</t>
        </is>
      </c>
      <c r="J1935" s="16" t="inlineStr">
        <is>
          <t>INVIABLE</t>
        </is>
      </c>
      <c r="K1935" s="16" t="b">
        <v>1</v>
      </c>
      <c r="L1935" s="16" t="b">
        <v>0</v>
      </c>
      <c r="M1935" s="16" t="b">
        <v>1</v>
      </c>
      <c r="N1935" s="16" t="b">
        <v>0</v>
      </c>
      <c r="O1935" s="16" t="n">
        <v>426.704005403172</v>
      </c>
      <c r="P1935" s="16" t="n">
        <v>288.7121450966264</v>
      </c>
      <c r="Q1935" s="16" t="n">
        <v>3000</v>
      </c>
      <c r="R1935" s="16" t="n">
        <v>400</v>
      </c>
      <c r="S1935" s="16" t="n">
        <v>0.7683894748369918</v>
      </c>
      <c r="T1935" s="16" t="n">
        <v>0.5920826015688411</v>
      </c>
      <c r="U1935" s="16" t="n">
        <v>0.7934280395965139</v>
      </c>
      <c r="V1935" s="16" t="n">
        <v>0.9078089746247676</v>
      </c>
      <c r="W1935" s="16" t="n">
        <v>0.4477254324346733</v>
      </c>
      <c r="X1935" s="16" t="n">
        <v>0.6152604795498016</v>
      </c>
      <c r="Y1935" s="16" t="n">
        <v>288.7121450966264</v>
      </c>
      <c r="Z1935" s="16" t="n">
        <v>-11.99197057492845</v>
      </c>
      <c r="AA1935" s="16" t="n">
        <v>-60.21382788410224</v>
      </c>
      <c r="AB1935" s="16" t="n">
        <v>2600</v>
      </c>
      <c r="AC1935" s="16" t="n">
        <v>7.5</v>
      </c>
      <c r="AD1935" s="16" t="inlineStr">
        <is>
          <t>O2,O3</t>
        </is>
      </c>
      <c r="AE1935" s="16" t="n"/>
    </row>
    <row r="1936">
      <c r="A1936" s="16" t="inlineStr">
        <is>
          <t>KF-M05-2-0094</t>
        </is>
      </c>
      <c r="B1936" s="16" t="inlineStr">
        <is>
          <t>4.1</t>
        </is>
      </c>
      <c r="C1936" s="16" t="inlineStr">
        <is>
          <t>4.1b</t>
        </is>
      </c>
      <c r="D1936" s="16" t="inlineStr">
        <is>
          <t>conserva sus presiones</t>
        </is>
      </c>
      <c r="E1936" s="16" t="inlineStr">
        <is>
          <t>KF-M05</t>
        </is>
      </c>
      <c r="F1936" s="16" t="inlineStr">
        <is>
          <t>KF-M05-2</t>
        </is>
      </c>
      <c r="G1936" s="16" t="inlineStr">
        <is>
          <t>B09-2</t>
        </is>
      </c>
      <c r="H1936" s="16" t="inlineStr">
        <is>
          <t>lhs</t>
        </is>
      </c>
      <c r="I1936" s="16" t="inlineStr">
        <is>
          <t>N2</t>
        </is>
      </c>
      <c r="J1936" s="16" t="inlineStr">
        <is>
          <t>NO_CONVERGIO</t>
        </is>
      </c>
      <c r="K1936" s="16" t="b">
        <v>0</v>
      </c>
      <c r="L1936" s="16" t="b">
        <v>0</v>
      </c>
      <c r="M1936" s="16" t="b">
        <v>1</v>
      </c>
      <c r="N1936" s="16" t="b">
        <v>0</v>
      </c>
      <c r="O1936" s="16" t="n">
        <v>569.3173211840481</v>
      </c>
      <c r="P1936" s="16" t="n">
        <v>290.0960732509564</v>
      </c>
      <c r="Q1936" s="16" t="n">
        <v>3000</v>
      </c>
      <c r="R1936" s="16" t="n">
        <v>400</v>
      </c>
      <c r="S1936" s="16" t="n">
        <v>0.803497391566063</v>
      </c>
      <c r="T1936" s="16" t="n">
        <v>0.4914607088721316</v>
      </c>
      <c r="U1936" s="16" t="n">
        <v>0.7274999189532472</v>
      </c>
      <c r="V1936" s="16" t="n">
        <v>0.7303546530776023</v>
      </c>
      <c r="W1936" s="16" t="n">
        <v>0.8091120239010274</v>
      </c>
      <c r="X1936" s="16" t="n">
        <v>0.8459069087220226</v>
      </c>
      <c r="Y1936" s="16" t="n">
        <v>290.0960732509564</v>
      </c>
      <c r="Z1936" s="16" t="n">
        <v>-5.58932533792881</v>
      </c>
      <c r="AA1936" s="16" t="n">
        <v>-47.09154990448232</v>
      </c>
      <c r="AB1936" s="16" t="n">
        <v>2600</v>
      </c>
      <c r="AC1936" s="16" t="n">
        <v>7.5</v>
      </c>
      <c r="AD1936" s="16" t="inlineStr">
        <is>
          <t>N2,O2,O3,O5,C1,C3,C3</t>
        </is>
      </c>
      <c r="AE1936" s="16" t="n"/>
    </row>
    <row r="1937">
      <c r="A1937" s="16" t="inlineStr">
        <is>
          <t>KF-M05-2-0095</t>
        </is>
      </c>
      <c r="B1937" s="16" t="inlineStr">
        <is>
          <t>4.1</t>
        </is>
      </c>
      <c r="C1937" s="16" t="inlineStr">
        <is>
          <t>4.1b</t>
        </is>
      </c>
      <c r="D1937" s="16" t="inlineStr">
        <is>
          <t>conserva sus presiones</t>
        </is>
      </c>
      <c r="E1937" s="16" t="inlineStr">
        <is>
          <t>KF-M05</t>
        </is>
      </c>
      <c r="F1937" s="16" t="inlineStr">
        <is>
          <t>KF-M05-2</t>
        </is>
      </c>
      <c r="G1937" s="16" t="inlineStr">
        <is>
          <t>B09-2</t>
        </is>
      </c>
      <c r="H1937" s="16" t="inlineStr">
        <is>
          <t>lhs</t>
        </is>
      </c>
      <c r="I1937" s="16" t="inlineStr">
        <is>
          <t>CORREGIBLE</t>
        </is>
      </c>
      <c r="J1937" s="16" t="inlineStr">
        <is>
          <t>CORREGIBLE</t>
        </is>
      </c>
      <c r="K1937" s="16" t="b">
        <v>1</v>
      </c>
      <c r="L1937" s="16" t="b">
        <v>0</v>
      </c>
      <c r="M1937" s="16" t="b">
        <v>1</v>
      </c>
      <c r="N1937" s="16" t="b">
        <v>0</v>
      </c>
      <c r="O1937" s="16" t="n">
        <v>529.0807896055873</v>
      </c>
      <c r="P1937" s="16" t="n">
        <v>286.9971835817601</v>
      </c>
      <c r="Q1937" s="16" t="n">
        <v>3000</v>
      </c>
      <c r="R1937" s="16" t="n">
        <v>400</v>
      </c>
      <c r="S1937" s="16" t="n">
        <v>0.5896750621959038</v>
      </c>
      <c r="T1937" s="16" t="n">
        <v>0.6093160887071845</v>
      </c>
      <c r="U1937" s="16" t="n">
        <v>0.5020124563867863</v>
      </c>
      <c r="V1937" s="16" t="n">
        <v>0.4274423058606235</v>
      </c>
      <c r="W1937" s="16" t="n">
        <v>0.5033799262320081</v>
      </c>
      <c r="X1937" s="16" t="n">
        <v>0.6548017803010078</v>
      </c>
      <c r="Y1937" s="16" t="n">
        <v>286.9971835817601</v>
      </c>
      <c r="Z1937" s="16" t="n">
        <v>1.75911508589376</v>
      </c>
      <c r="AA1937" s="16" t="n">
        <v>14.10149060576143</v>
      </c>
      <c r="AB1937" s="16" t="n">
        <v>2600</v>
      </c>
      <c r="AC1937" s="16" t="n">
        <v>7.5</v>
      </c>
      <c r="AD1937" s="16" t="inlineStr">
        <is>
          <t>O2</t>
        </is>
      </c>
      <c r="AE1937" s="16" t="n"/>
    </row>
    <row r="1938">
      <c r="A1938" s="16" t="inlineStr">
        <is>
          <t>KF-M05-2-0096</t>
        </is>
      </c>
      <c r="B1938" s="16" t="inlineStr">
        <is>
          <t>4.1</t>
        </is>
      </c>
      <c r="C1938" s="16" t="inlineStr">
        <is>
          <t>4.1b</t>
        </is>
      </c>
      <c r="D1938" s="16" t="inlineStr">
        <is>
          <t>conserva sus presiones</t>
        </is>
      </c>
      <c r="E1938" s="16" t="inlineStr">
        <is>
          <t>KF-M05</t>
        </is>
      </c>
      <c r="F1938" s="16" t="inlineStr">
        <is>
          <t>KF-M05-2</t>
        </is>
      </c>
      <c r="G1938" s="16" t="inlineStr">
        <is>
          <t>B09-2</t>
        </is>
      </c>
      <c r="H1938" s="16" t="inlineStr">
        <is>
          <t>lhs</t>
        </is>
      </c>
      <c r="I1938" s="16" t="inlineStr">
        <is>
          <t>CORREGIBLE</t>
        </is>
      </c>
      <c r="J1938" s="16" t="inlineStr">
        <is>
          <t>CORREGIBLE</t>
        </is>
      </c>
      <c r="K1938" s="16" t="b">
        <v>1</v>
      </c>
      <c r="L1938" s="16" t="b">
        <v>0</v>
      </c>
      <c r="M1938" s="16" t="b">
        <v>1</v>
      </c>
      <c r="N1938" s="16" t="b">
        <v>0</v>
      </c>
      <c r="O1938" s="16" t="n">
        <v>582.6783463560204</v>
      </c>
      <c r="P1938" s="16" t="n">
        <v>292.4744434270277</v>
      </c>
      <c r="Q1938" s="16" t="n">
        <v>3000</v>
      </c>
      <c r="R1938" s="16" t="n">
        <v>400</v>
      </c>
      <c r="S1938" s="16" t="n">
        <v>0.5121260230906227</v>
      </c>
      <c r="T1938" s="16" t="n">
        <v>0.9145035404582872</v>
      </c>
      <c r="U1938" s="16" t="n">
        <v>0.6004555737874334</v>
      </c>
      <c r="V1938" s="16" t="n">
        <v>0.7079539208159844</v>
      </c>
      <c r="W1938" s="16" t="n">
        <v>0.6540065489834845</v>
      </c>
      <c r="X1938" s="16" t="n">
        <v>0.8620552015600882</v>
      </c>
      <c r="Y1938" s="16" t="n">
        <v>292.4744434270277</v>
      </c>
      <c r="Z1938" s="16" t="n">
        <v>14.38877543045756</v>
      </c>
      <c r="AA1938" s="16" t="n">
        <v>238.2593754390307</v>
      </c>
      <c r="AB1938" s="16" t="n">
        <v>2600</v>
      </c>
      <c r="AC1938" s="16" t="n">
        <v>7.5</v>
      </c>
      <c r="AD1938" s="16" t="inlineStr">
        <is>
          <t>O1,O2</t>
        </is>
      </c>
      <c r="AE1938" s="16" t="n"/>
    </row>
    <row r="1939">
      <c r="A1939" s="16" t="inlineStr">
        <is>
          <t>KF-M05-2-0097</t>
        </is>
      </c>
      <c r="B1939" s="16" t="inlineStr">
        <is>
          <t>4.1</t>
        </is>
      </c>
      <c r="C1939" s="16" t="inlineStr">
        <is>
          <t>4.1b</t>
        </is>
      </c>
      <c r="D1939" s="16" t="inlineStr">
        <is>
          <t>conserva sus presiones</t>
        </is>
      </c>
      <c r="E1939" s="16" t="inlineStr">
        <is>
          <t>KF-M05</t>
        </is>
      </c>
      <c r="F1939" s="16" t="inlineStr">
        <is>
          <t>KF-M05-2</t>
        </is>
      </c>
      <c r="G1939" s="16" t="inlineStr">
        <is>
          <t>B09-2</t>
        </is>
      </c>
      <c r="H1939" s="16" t="inlineStr">
        <is>
          <t>lhs</t>
        </is>
      </c>
      <c r="I1939" s="16" t="inlineStr">
        <is>
          <t>CORREGIBLE</t>
        </is>
      </c>
      <c r="J1939" s="16" t="inlineStr">
        <is>
          <t>CORREGIBLE</t>
        </is>
      </c>
      <c r="K1939" s="16" t="b">
        <v>1</v>
      </c>
      <c r="L1939" s="16" t="b">
        <v>0</v>
      </c>
      <c r="M1939" s="16" t="b">
        <v>1</v>
      </c>
      <c r="N1939" s="16" t="b">
        <v>0</v>
      </c>
      <c r="O1939" s="16" t="n">
        <v>468.3292247390956</v>
      </c>
      <c r="P1939" s="16" t="n">
        <v>289.5443236022469</v>
      </c>
      <c r="Q1939" s="16" t="n">
        <v>3000</v>
      </c>
      <c r="R1939" s="16" t="n">
        <v>400</v>
      </c>
      <c r="S1939" s="16" t="n">
        <v>0.6325748329484358</v>
      </c>
      <c r="T1939" s="16" t="n">
        <v>0.6675729894754865</v>
      </c>
      <c r="U1939" s="16" t="n">
        <v>0.9319801458024932</v>
      </c>
      <c r="V1939" s="16" t="n">
        <v>0.7432996180744333</v>
      </c>
      <c r="W1939" s="16" t="n">
        <v>0.4569368724020387</v>
      </c>
      <c r="X1939" s="16" t="n">
        <v>0.7990882598831339</v>
      </c>
      <c r="Y1939" s="16" t="n">
        <v>289.5443236022469</v>
      </c>
      <c r="Z1939" s="16" t="n">
        <v>10.13310053628267</v>
      </c>
      <c r="AA1939" s="16" t="n">
        <v>135.3221851072059</v>
      </c>
      <c r="AB1939" s="16" t="n">
        <v>2600</v>
      </c>
      <c r="AC1939" s="16" t="n">
        <v>7.5</v>
      </c>
      <c r="AD1939" s="16" t="inlineStr">
        <is>
          <t>O2</t>
        </is>
      </c>
      <c r="AE1939" s="16" t="n"/>
    </row>
    <row r="1940">
      <c r="A1940" s="16" t="inlineStr">
        <is>
          <t>KF-M05-2-0098</t>
        </is>
      </c>
      <c r="B1940" s="16" t="inlineStr">
        <is>
          <t>4.1</t>
        </is>
      </c>
      <c r="C1940" s="16" t="inlineStr">
        <is>
          <t>4.1b</t>
        </is>
      </c>
      <c r="D1940" s="16" t="inlineStr">
        <is>
          <t>conserva sus presiones</t>
        </is>
      </c>
      <c r="E1940" s="16" t="inlineStr">
        <is>
          <t>KF-M05</t>
        </is>
      </c>
      <c r="F1940" s="16" t="inlineStr">
        <is>
          <t>KF-M05-2</t>
        </is>
      </c>
      <c r="G1940" s="16" t="inlineStr">
        <is>
          <t>B09-2</t>
        </is>
      </c>
      <c r="H1940" s="16" t="inlineStr">
        <is>
          <t>lhs</t>
        </is>
      </c>
      <c r="I1940" s="16" t="inlineStr">
        <is>
          <t>INVIABLE</t>
        </is>
      </c>
      <c r="J1940" s="16" t="inlineStr">
        <is>
          <t>INVIABLE</t>
        </is>
      </c>
      <c r="K1940" s="16" t="b">
        <v>1</v>
      </c>
      <c r="L1940" s="16" t="b">
        <v>0</v>
      </c>
      <c r="M1940" s="16" t="b">
        <v>0</v>
      </c>
      <c r="N1940" s="16" t="b">
        <v>0</v>
      </c>
      <c r="O1940" s="16" t="n">
        <v>423.2946973235567</v>
      </c>
      <c r="P1940" s="16" t="n">
        <v>300.2130588543264</v>
      </c>
      <c r="Q1940" s="16" t="n">
        <v>3000</v>
      </c>
      <c r="R1940" s="16" t="n">
        <v>400</v>
      </c>
      <c r="S1940" s="16" t="n">
        <v>0.7862118932523414</v>
      </c>
      <c r="T1940" s="16" t="n">
        <v>0.6323765168047039</v>
      </c>
      <c r="U1940" s="16" t="n">
        <v>0.5632658449524439</v>
      </c>
      <c r="V1940" s="16" t="n">
        <v>0.5710738078793657</v>
      </c>
      <c r="W1940" s="16" t="n">
        <v>0.4543642474674115</v>
      </c>
      <c r="X1940" s="16" t="n">
        <v>0.5743140273941544</v>
      </c>
      <c r="Y1940" s="16" t="n">
        <v>300.2130588543264</v>
      </c>
      <c r="Z1940" s="16" t="n">
        <v>-200.3356077684727</v>
      </c>
      <c r="AA1940" s="16" t="n">
        <v>-222.2317204157377</v>
      </c>
      <c r="AB1940" s="16" t="n">
        <v>2600</v>
      </c>
      <c r="AC1940" s="16" t="n">
        <v>7.5</v>
      </c>
      <c r="AD1940" s="16" t="inlineStr">
        <is>
          <t>O2,O3</t>
        </is>
      </c>
      <c r="AE1940" s="16" t="n"/>
    </row>
    <row r="1941">
      <c r="A1941" s="16" t="inlineStr">
        <is>
          <t>KF-M05-2-0099</t>
        </is>
      </c>
      <c r="B1941" s="16" t="inlineStr">
        <is>
          <t>4.1</t>
        </is>
      </c>
      <c r="C1941" s="16" t="inlineStr">
        <is>
          <t>4.1b</t>
        </is>
      </c>
      <c r="D1941" s="16" t="inlineStr">
        <is>
          <t>conserva sus presiones</t>
        </is>
      </c>
      <c r="E1941" s="16" t="inlineStr">
        <is>
          <t>KF-M05</t>
        </is>
      </c>
      <c r="F1941" s="16" t="inlineStr">
        <is>
          <t>KF-M05-2</t>
        </is>
      </c>
      <c r="G1941" s="16" t="inlineStr">
        <is>
          <t>B09-2</t>
        </is>
      </c>
      <c r="H1941" s="16" t="inlineStr">
        <is>
          <t>lhs</t>
        </is>
      </c>
      <c r="I1941" s="16" t="inlineStr">
        <is>
          <t>INVIABLE</t>
        </is>
      </c>
      <c r="J1941" s="16" t="inlineStr">
        <is>
          <t>INVIABLE</t>
        </is>
      </c>
      <c r="K1941" s="16" t="b">
        <v>1</v>
      </c>
      <c r="L1941" s="16" t="b">
        <v>0</v>
      </c>
      <c r="M1941" s="16" t="b">
        <v>1</v>
      </c>
      <c r="N1941" s="16" t="b">
        <v>0</v>
      </c>
      <c r="O1941" s="16" t="n">
        <v>441.4067122552734</v>
      </c>
      <c r="P1941" s="16" t="n">
        <v>280.5603953190972</v>
      </c>
      <c r="Q1941" s="16" t="n">
        <v>3000</v>
      </c>
      <c r="R1941" s="16" t="n">
        <v>400</v>
      </c>
      <c r="S1941" s="16" t="n">
        <v>0.7907812759349582</v>
      </c>
      <c r="T1941" s="16" t="n">
        <v>0.4952746430708302</v>
      </c>
      <c r="U1941" s="16" t="n">
        <v>0.5725241346728988</v>
      </c>
      <c r="V1941" s="16" t="n">
        <v>0.8500662187389986</v>
      </c>
      <c r="W1941" s="16" t="n">
        <v>0.6889647925595965</v>
      </c>
      <c r="X1941" s="16" t="n">
        <v>0.5060610536956077</v>
      </c>
      <c r="Y1941" s="16" t="n">
        <v>280.5603953190972</v>
      </c>
      <c r="Z1941" s="16" t="n">
        <v>-34.82261975013137</v>
      </c>
      <c r="AA1941" s="16" t="n">
        <v>-187.7033985792576</v>
      </c>
      <c r="AB1941" s="16" t="n">
        <v>2600</v>
      </c>
      <c r="AC1941" s="16" t="n">
        <v>7.5</v>
      </c>
      <c r="AD1941" s="16" t="inlineStr">
        <is>
          <t>O2,O3</t>
        </is>
      </c>
      <c r="AE1941" s="16" t="n"/>
    </row>
    <row r="1942">
      <c r="A1942" s="16" t="inlineStr">
        <is>
          <t>KF-M05-2-0100</t>
        </is>
      </c>
      <c r="B1942" s="16" t="inlineStr">
        <is>
          <t>4.1</t>
        </is>
      </c>
      <c r="C1942" s="16" t="inlineStr">
        <is>
          <t>4.1b</t>
        </is>
      </c>
      <c r="D1942" s="16" t="inlineStr">
        <is>
          <t>conserva sus presiones</t>
        </is>
      </c>
      <c r="E1942" s="16" t="inlineStr">
        <is>
          <t>KF-M05</t>
        </is>
      </c>
      <c r="F1942" s="16" t="inlineStr">
        <is>
          <t>KF-M05-2</t>
        </is>
      </c>
      <c r="G1942" s="16" t="inlineStr">
        <is>
          <t>B09-2</t>
        </is>
      </c>
      <c r="H1942" s="16" t="inlineStr">
        <is>
          <t>lhs</t>
        </is>
      </c>
      <c r="I1942" s="16" t="inlineStr">
        <is>
          <t>INVIABLE</t>
        </is>
      </c>
      <c r="J1942" s="16" t="inlineStr">
        <is>
          <t>INVIABLE</t>
        </is>
      </c>
      <c r="K1942" s="16" t="b">
        <v>1</v>
      </c>
      <c r="L1942" s="16" t="b">
        <v>0</v>
      </c>
      <c r="M1942" s="16" t="b">
        <v>0</v>
      </c>
      <c r="N1942" s="16" t="b">
        <v>0</v>
      </c>
      <c r="O1942" s="16" t="n">
        <v>401.157355855191</v>
      </c>
      <c r="P1942" s="16" t="n">
        <v>286.6377310766257</v>
      </c>
      <c r="Q1942" s="16" t="n">
        <v>3000</v>
      </c>
      <c r="R1942" s="16" t="n">
        <v>400</v>
      </c>
      <c r="S1942" s="16" t="n">
        <v>0.7769429170613829</v>
      </c>
      <c r="T1942" s="16" t="n">
        <v>0.4661660698743446</v>
      </c>
      <c r="U1942" s="16" t="n">
        <v>0.5409089501000965</v>
      </c>
      <c r="V1942" s="16" t="n">
        <v>0.9418549027805484</v>
      </c>
      <c r="W1942" s="16" t="n">
        <v>0.6208048141635573</v>
      </c>
      <c r="X1942" s="16" t="n">
        <v>0.8399264697609403</v>
      </c>
      <c r="Y1942" s="16" t="n">
        <v>286.6377310766257</v>
      </c>
      <c r="Z1942" s="16" t="n">
        <v>-24.26652967559998</v>
      </c>
      <c r="AA1942" s="16" t="n">
        <v>-108.0193737978552</v>
      </c>
      <c r="AB1942" s="16" t="n">
        <v>2600</v>
      </c>
      <c r="AC1942" s="16" t="n">
        <v>7.5</v>
      </c>
      <c r="AD1942" s="16" t="inlineStr">
        <is>
          <t>O2,O3</t>
        </is>
      </c>
      <c r="AE1942" s="16" t="n"/>
    </row>
    <row r="1943">
      <c r="A1943" s="16" t="inlineStr">
        <is>
          <t>KF-M05-2-0101</t>
        </is>
      </c>
      <c r="B1943" s="16" t="inlineStr">
        <is>
          <t>4.1</t>
        </is>
      </c>
      <c r="C1943" s="16" t="inlineStr">
        <is>
          <t>4.1b</t>
        </is>
      </c>
      <c r="D1943" s="16" t="inlineStr">
        <is>
          <t>conserva sus presiones</t>
        </is>
      </c>
      <c r="E1943" s="16" t="inlineStr">
        <is>
          <t>KF-M05</t>
        </is>
      </c>
      <c r="F1943" s="16" t="inlineStr">
        <is>
          <t>KF-M05-2</t>
        </is>
      </c>
      <c r="G1943" s="16" t="inlineStr">
        <is>
          <t>B09-2</t>
        </is>
      </c>
      <c r="H1943" s="16" t="inlineStr">
        <is>
          <t>lhs</t>
        </is>
      </c>
      <c r="I1943" s="16" t="inlineStr">
        <is>
          <t>CORREGIBLE</t>
        </is>
      </c>
      <c r="J1943" s="16" t="inlineStr">
        <is>
          <t>CORREGIBLE</t>
        </is>
      </c>
      <c r="K1943" s="16" t="b">
        <v>1</v>
      </c>
      <c r="L1943" s="16" t="b">
        <v>0</v>
      </c>
      <c r="M1943" s="16" t="b">
        <v>1</v>
      </c>
      <c r="N1943" s="16" t="b">
        <v>0</v>
      </c>
      <c r="O1943" s="16" t="n">
        <v>578.2386804758994</v>
      </c>
      <c r="P1943" s="16" t="n">
        <v>302.4672606390852</v>
      </c>
      <c r="Q1943" s="16" t="n">
        <v>3000</v>
      </c>
      <c r="R1943" s="16" t="n">
        <v>400</v>
      </c>
      <c r="S1943" s="16" t="n">
        <v>0.5401790049881244</v>
      </c>
      <c r="T1943" s="16" t="n">
        <v>0.4730385366443105</v>
      </c>
      <c r="U1943" s="16" t="n">
        <v>0.6286747112260381</v>
      </c>
      <c r="V1943" s="16" t="n">
        <v>0.7929133897589908</v>
      </c>
      <c r="W1943" s="16" t="n">
        <v>0.6732502892542023</v>
      </c>
      <c r="X1943" s="16" t="n">
        <v>0.8314810280477807</v>
      </c>
      <c r="Y1943" s="16" t="n">
        <v>302.4672606390852</v>
      </c>
      <c r="Z1943" s="16" t="n">
        <v>4.53443919243682</v>
      </c>
      <c r="AA1943" s="16" t="n">
        <v>74.60916958640715</v>
      </c>
      <c r="AB1943" s="16" t="n">
        <v>2600</v>
      </c>
      <c r="AC1943" s="16" t="n">
        <v>7.5</v>
      </c>
      <c r="AD1943" s="16" t="inlineStr">
        <is>
          <t>O2</t>
        </is>
      </c>
      <c r="AE1943" s="16" t="n"/>
    </row>
    <row r="1944">
      <c r="A1944" s="16" t="inlineStr">
        <is>
          <t>KF-M05-2-0102</t>
        </is>
      </c>
      <c r="B1944" s="16" t="inlineStr">
        <is>
          <t>4.1</t>
        </is>
      </c>
      <c r="C1944" s="16" t="inlineStr">
        <is>
          <t>4.1b</t>
        </is>
      </c>
      <c r="D1944" s="16" t="inlineStr">
        <is>
          <t>conserva sus presiones</t>
        </is>
      </c>
      <c r="E1944" s="16" t="inlineStr">
        <is>
          <t>KF-M05</t>
        </is>
      </c>
      <c r="F1944" s="16" t="inlineStr">
        <is>
          <t>KF-M05-2</t>
        </is>
      </c>
      <c r="G1944" s="16" t="inlineStr">
        <is>
          <t>B09-2</t>
        </is>
      </c>
      <c r="H1944" s="16" t="inlineStr">
        <is>
          <t>lhs</t>
        </is>
      </c>
      <c r="I1944" s="16" t="inlineStr">
        <is>
          <t>CORREGIBLE</t>
        </is>
      </c>
      <c r="J1944" s="16" t="inlineStr">
        <is>
          <t>CORREGIBLE</t>
        </is>
      </c>
      <c r="K1944" s="16" t="b">
        <v>1</v>
      </c>
      <c r="L1944" s="16" t="b">
        <v>0</v>
      </c>
      <c r="M1944" s="16" t="b">
        <v>0</v>
      </c>
      <c r="N1944" s="16" t="b">
        <v>0</v>
      </c>
      <c r="O1944" s="16" t="n">
        <v>450.6645102052124</v>
      </c>
      <c r="P1944" s="16" t="n">
        <v>282.6816614429482</v>
      </c>
      <c r="Q1944" s="16" t="n">
        <v>3000</v>
      </c>
      <c r="R1944" s="16" t="n">
        <v>400</v>
      </c>
      <c r="S1944" s="16" t="n">
        <v>0.7722396676765345</v>
      </c>
      <c r="T1944" s="16" t="n">
        <v>0.8521648863188998</v>
      </c>
      <c r="U1944" s="16" t="n">
        <v>0.7516216626437311</v>
      </c>
      <c r="V1944" s="16" t="n">
        <v>0.4390018641076937</v>
      </c>
      <c r="W1944" s="16" t="n">
        <v>0.5440679283965961</v>
      </c>
      <c r="X1944" s="16" t="n">
        <v>0.6341055674287853</v>
      </c>
      <c r="Y1944" s="16" t="n">
        <v>282.6816614429482</v>
      </c>
      <c r="Z1944" s="16" t="n">
        <v>6.401652688147711</v>
      </c>
      <c r="AA1944" s="16" t="n">
        <v>34.5999607356722</v>
      </c>
      <c r="AB1944" s="16" t="n">
        <v>2600</v>
      </c>
      <c r="AC1944" s="16" t="n">
        <v>7.5</v>
      </c>
      <c r="AD1944" s="16" t="inlineStr">
        <is>
          <t>O2</t>
        </is>
      </c>
      <c r="AE1944" s="16" t="n"/>
    </row>
    <row r="1945">
      <c r="A1945" s="16" t="inlineStr">
        <is>
          <t>KF-M05-2-0103</t>
        </is>
      </c>
      <c r="B1945" s="16" t="inlineStr">
        <is>
          <t>4.1</t>
        </is>
      </c>
      <c r="C1945" s="16" t="inlineStr">
        <is>
          <t>4.1b</t>
        </is>
      </c>
      <c r="D1945" s="16" t="inlineStr">
        <is>
          <t>conserva sus presiones</t>
        </is>
      </c>
      <c r="E1945" s="16" t="inlineStr">
        <is>
          <t>KF-M05</t>
        </is>
      </c>
      <c r="F1945" s="16" t="inlineStr">
        <is>
          <t>KF-M05-2</t>
        </is>
      </c>
      <c r="G1945" s="16" t="inlineStr">
        <is>
          <t>B09-2</t>
        </is>
      </c>
      <c r="H1945" s="16" t="inlineStr">
        <is>
          <t>lhs</t>
        </is>
      </c>
      <c r="I1945" s="16" t="inlineStr">
        <is>
          <t>INVIABLE</t>
        </is>
      </c>
      <c r="J1945" s="16" t="inlineStr">
        <is>
          <t>INVIABLE</t>
        </is>
      </c>
      <c r="K1945" s="16" t="b">
        <v>1</v>
      </c>
      <c r="L1945" s="16" t="b">
        <v>0</v>
      </c>
      <c r="M1945" s="16" t="b">
        <v>0</v>
      </c>
      <c r="N1945" s="16" t="b">
        <v>0</v>
      </c>
      <c r="O1945" s="16" t="n">
        <v>453.6292391211101</v>
      </c>
      <c r="P1945" s="16" t="n">
        <v>284.4857998175382</v>
      </c>
      <c r="Q1945" s="16" t="n">
        <v>3000</v>
      </c>
      <c r="R1945" s="16" t="n">
        <v>400</v>
      </c>
      <c r="S1945" s="16" t="n">
        <v>0.800164889480432</v>
      </c>
      <c r="T1945" s="16" t="n">
        <v>0.6475525092926908</v>
      </c>
      <c r="U1945" s="16" t="n">
        <v>0.4640356438575482</v>
      </c>
      <c r="V1945" s="16" t="n">
        <v>0.6228445094183621</v>
      </c>
      <c r="W1945" s="16" t="n">
        <v>0.8140947691647624</v>
      </c>
      <c r="X1945" s="16" t="n">
        <v>0.8089967590455442</v>
      </c>
      <c r="Y1945" s="16" t="n">
        <v>284.4857998175382</v>
      </c>
      <c r="Z1945" s="16" t="n">
        <v>-16.8980999209519</v>
      </c>
      <c r="AA1945" s="16" t="n">
        <v>-103.5764159100999</v>
      </c>
      <c r="AB1945" s="16" t="n">
        <v>2600</v>
      </c>
      <c r="AC1945" s="16" t="n">
        <v>7.5</v>
      </c>
      <c r="AD1945" s="16" t="inlineStr">
        <is>
          <t>O2,O3</t>
        </is>
      </c>
      <c r="AE1945" s="16" t="n"/>
    </row>
    <row r="1946">
      <c r="A1946" s="16" t="inlineStr">
        <is>
          <t>KF-M05-2-0104</t>
        </is>
      </c>
      <c r="B1946" s="16" t="inlineStr">
        <is>
          <t>4.1</t>
        </is>
      </c>
      <c r="C1946" s="16" t="inlineStr">
        <is>
          <t>4.1b</t>
        </is>
      </c>
      <c r="D1946" s="16" t="inlineStr">
        <is>
          <t>conserva sus presiones</t>
        </is>
      </c>
      <c r="E1946" s="16" t="inlineStr">
        <is>
          <t>KF-M05</t>
        </is>
      </c>
      <c r="F1946" s="16" t="inlineStr">
        <is>
          <t>KF-M05-2</t>
        </is>
      </c>
      <c r="G1946" s="16" t="inlineStr">
        <is>
          <t>B09-2</t>
        </is>
      </c>
      <c r="H1946" s="16" t="inlineStr">
        <is>
          <t>lhs</t>
        </is>
      </c>
      <c r="I1946" s="16" t="inlineStr">
        <is>
          <t>CORREGIBLE</t>
        </is>
      </c>
      <c r="J1946" s="16" t="inlineStr">
        <is>
          <t>CORREGIBLE</t>
        </is>
      </c>
      <c r="K1946" s="16" t="b">
        <v>1</v>
      </c>
      <c r="L1946" s="16" t="b">
        <v>0</v>
      </c>
      <c r="M1946" s="16" t="b">
        <v>1</v>
      </c>
      <c r="N1946" s="16" t="b">
        <v>0</v>
      </c>
      <c r="O1946" s="16" t="n">
        <v>471.6864310558455</v>
      </c>
      <c r="P1946" s="16" t="n">
        <v>285.3154709020974</v>
      </c>
      <c r="Q1946" s="16" t="n">
        <v>3000</v>
      </c>
      <c r="R1946" s="16" t="n">
        <v>400</v>
      </c>
      <c r="S1946" s="16" t="n">
        <v>0.7346421923186013</v>
      </c>
      <c r="T1946" s="16" t="n">
        <v>0.8967095297442632</v>
      </c>
      <c r="U1946" s="16" t="n">
        <v>0.7181766255170758</v>
      </c>
      <c r="V1946" s="16" t="n">
        <v>0.8085760997254183</v>
      </c>
      <c r="W1946" s="16" t="n">
        <v>0.7796784519190811</v>
      </c>
      <c r="X1946" s="16" t="n">
        <v>0.6395612721706593</v>
      </c>
      <c r="Y1946" s="16" t="n">
        <v>285.3154709020974</v>
      </c>
      <c r="Z1946" s="16" t="n">
        <v>9.446349078387881</v>
      </c>
      <c r="AA1946" s="16" t="n">
        <v>88.221527310949</v>
      </c>
      <c r="AB1946" s="16" t="n">
        <v>2600</v>
      </c>
      <c r="AC1946" s="16" t="n">
        <v>7.5</v>
      </c>
      <c r="AD1946" s="16" t="inlineStr">
        <is>
          <t>O2</t>
        </is>
      </c>
      <c r="AE1946" s="16" t="n"/>
    </row>
    <row r="1947">
      <c r="A1947" s="16" t="inlineStr">
        <is>
          <t>KF-M05-2-0105</t>
        </is>
      </c>
      <c r="B1947" s="16" t="inlineStr">
        <is>
          <t>4.1</t>
        </is>
      </c>
      <c r="C1947" s="16" t="inlineStr">
        <is>
          <t>4.1b</t>
        </is>
      </c>
      <c r="D1947" s="16" t="inlineStr">
        <is>
          <t>conserva sus presiones</t>
        </is>
      </c>
      <c r="E1947" s="16" t="inlineStr">
        <is>
          <t>KF-M05</t>
        </is>
      </c>
      <c r="F1947" s="16" t="inlineStr">
        <is>
          <t>KF-M05-2</t>
        </is>
      </c>
      <c r="G1947" s="16" t="inlineStr">
        <is>
          <t>B09-2</t>
        </is>
      </c>
      <c r="H1947" s="16" t="inlineStr">
        <is>
          <t>lhs</t>
        </is>
      </c>
      <c r="I1947" s="16" t="inlineStr">
        <is>
          <t>NO_CONVERGIO</t>
        </is>
      </c>
      <c r="J1947" s="16" t="inlineStr">
        <is>
          <t>NO_CONVERGIO</t>
        </is>
      </c>
      <c r="K1947" s="16" t="b">
        <v>0</v>
      </c>
      <c r="L1947" s="16" t="b">
        <v>0</v>
      </c>
      <c r="M1947" s="16" t="b">
        <v>0</v>
      </c>
      <c r="N1947" s="16" t="b">
        <v>0</v>
      </c>
      <c r="O1947" s="16" t="n">
        <v>557.1989021359673</v>
      </c>
      <c r="P1947" s="16" t="n">
        <v>295.7500217673687</v>
      </c>
      <c r="Q1947" s="16" t="n">
        <v>3000</v>
      </c>
      <c r="R1947" s="16" t="n">
        <v>400</v>
      </c>
      <c r="S1947" s="16" t="n">
        <v>0.8370871483660848</v>
      </c>
      <c r="T1947" s="16" t="n">
        <v>0.5247262750748456</v>
      </c>
      <c r="U1947" s="16" t="n">
        <v>0.575052064019389</v>
      </c>
      <c r="V1947" s="16" t="n">
        <v>0.6024081395366405</v>
      </c>
      <c r="W1947" s="16" t="n">
        <v>0.6995152909771165</v>
      </c>
      <c r="X1947" s="16" t="n">
        <v>0.7226323301956221</v>
      </c>
      <c r="Y1947" s="16" t="n">
        <v>295.7500217673687</v>
      </c>
      <c r="Z1947" s="16" t="n"/>
      <c r="AA1947" s="16" t="n"/>
      <c r="AB1947" s="16" t="n">
        <v>2600</v>
      </c>
      <c r="AC1947" s="16" t="n">
        <v>7.5</v>
      </c>
      <c r="AD1947" s="16" t="n"/>
      <c r="AE1947" s="16" t="n"/>
    </row>
    <row r="1948">
      <c r="A1948" s="16" t="inlineStr">
        <is>
          <t>KF-M05-2-0106</t>
        </is>
      </c>
      <c r="B1948" s="16" t="inlineStr">
        <is>
          <t>4.1</t>
        </is>
      </c>
      <c r="C1948" s="16" t="inlineStr">
        <is>
          <t>4.1b</t>
        </is>
      </c>
      <c r="D1948" s="16" t="inlineStr">
        <is>
          <t>conserva sus presiones</t>
        </is>
      </c>
      <c r="E1948" s="16" t="inlineStr">
        <is>
          <t>KF-M05</t>
        </is>
      </c>
      <c r="F1948" s="16" t="inlineStr">
        <is>
          <t>KF-M05-2</t>
        </is>
      </c>
      <c r="G1948" s="16" t="inlineStr">
        <is>
          <t>B09-2</t>
        </is>
      </c>
      <c r="H1948" s="16" t="inlineStr">
        <is>
          <t>lhs</t>
        </is>
      </c>
      <c r="I1948" s="16" t="inlineStr">
        <is>
          <t>CORREGIBLE</t>
        </is>
      </c>
      <c r="J1948" s="16" t="inlineStr">
        <is>
          <t>CORREGIBLE</t>
        </is>
      </c>
      <c r="K1948" s="16" t="b">
        <v>1</v>
      </c>
      <c r="L1948" s="16" t="b">
        <v>0</v>
      </c>
      <c r="M1948" s="16" t="b">
        <v>1</v>
      </c>
      <c r="N1948" s="16" t="b">
        <v>0</v>
      </c>
      <c r="O1948" s="16" t="n">
        <v>538.4876203313397</v>
      </c>
      <c r="P1948" s="16" t="n">
        <v>282.8235854952027</v>
      </c>
      <c r="Q1948" s="16" t="n">
        <v>3000</v>
      </c>
      <c r="R1948" s="16" t="n">
        <v>400</v>
      </c>
      <c r="S1948" s="16" t="n">
        <v>0.6297012180869952</v>
      </c>
      <c r="T1948" s="16" t="n">
        <v>0.5376082420400276</v>
      </c>
      <c r="U1948" s="16" t="n">
        <v>0.7311121673030443</v>
      </c>
      <c r="V1948" s="16" t="n">
        <v>0.5787465201301072</v>
      </c>
      <c r="W1948" s="16" t="n">
        <v>0.6305903449609727</v>
      </c>
      <c r="X1948" s="16" t="n">
        <v>0.8661478979222853</v>
      </c>
      <c r="Y1948" s="16" t="n">
        <v>282.8235854952027</v>
      </c>
      <c r="Z1948" s="16" t="n">
        <v>8.49328747907483</v>
      </c>
      <c r="AA1948" s="16" t="n">
        <v>105.1029908522131</v>
      </c>
      <c r="AB1948" s="16" t="n">
        <v>2600</v>
      </c>
      <c r="AC1948" s="16" t="n">
        <v>7.5</v>
      </c>
      <c r="AD1948" s="16" t="inlineStr">
        <is>
          <t>O2</t>
        </is>
      </c>
      <c r="AE1948" s="16" t="n"/>
    </row>
    <row r="1949">
      <c r="A1949" s="16" t="inlineStr">
        <is>
          <t>KF-M05-2-0107</t>
        </is>
      </c>
      <c r="B1949" s="16" t="inlineStr">
        <is>
          <t>4.1</t>
        </is>
      </c>
      <c r="C1949" s="16" t="inlineStr">
        <is>
          <t>4.1b</t>
        </is>
      </c>
      <c r="D1949" s="16" t="inlineStr">
        <is>
          <t>conserva sus presiones</t>
        </is>
      </c>
      <c r="E1949" s="16" t="inlineStr">
        <is>
          <t>KF-M05</t>
        </is>
      </c>
      <c r="F1949" s="16" t="inlineStr">
        <is>
          <t>KF-M05-2</t>
        </is>
      </c>
      <c r="G1949" s="16" t="inlineStr">
        <is>
          <t>B09-2</t>
        </is>
      </c>
      <c r="H1949" s="16" t="inlineStr">
        <is>
          <t>lhs</t>
        </is>
      </c>
      <c r="I1949" s="16" t="inlineStr">
        <is>
          <t>CORREGIBLE</t>
        </is>
      </c>
      <c r="J1949" s="16" t="inlineStr">
        <is>
          <t>CORREGIBLE</t>
        </is>
      </c>
      <c r="K1949" s="16" t="b">
        <v>1</v>
      </c>
      <c r="L1949" s="16" t="b">
        <v>0</v>
      </c>
      <c r="M1949" s="16" t="b">
        <v>1</v>
      </c>
      <c r="N1949" s="16" t="b">
        <v>0</v>
      </c>
      <c r="O1949" s="16" t="n">
        <v>443.6800164851119</v>
      </c>
      <c r="P1949" s="16" t="n">
        <v>295.4872837830396</v>
      </c>
      <c r="Q1949" s="16" t="n">
        <v>3000</v>
      </c>
      <c r="R1949" s="16" t="n">
        <v>400</v>
      </c>
      <c r="S1949" s="16" t="n">
        <v>0.5345122567016389</v>
      </c>
      <c r="T1949" s="16" t="n">
        <v>0.6733179176941222</v>
      </c>
      <c r="U1949" s="16" t="n">
        <v>0.4702207646028807</v>
      </c>
      <c r="V1949" s="16" t="n">
        <v>0.93647678226109</v>
      </c>
      <c r="W1949" s="16" t="n">
        <v>0.8382807732751358</v>
      </c>
      <c r="X1949" s="16" t="n">
        <v>0.6722263527013366</v>
      </c>
      <c r="Y1949" s="16" t="n">
        <v>295.4872837830396</v>
      </c>
      <c r="Z1949" s="16" t="n">
        <v>4.15375262159662</v>
      </c>
      <c r="AA1949" s="16" t="n">
        <v>34.51987857513767</v>
      </c>
      <c r="AB1949" s="16" t="n">
        <v>2600</v>
      </c>
      <c r="AC1949" s="16" t="n">
        <v>7.5</v>
      </c>
      <c r="AD1949" s="16" t="inlineStr">
        <is>
          <t>O2</t>
        </is>
      </c>
      <c r="AE1949" s="16" t="n"/>
    </row>
    <row r="1950">
      <c r="A1950" s="16" t="inlineStr">
        <is>
          <t>KF-M05-2-0108</t>
        </is>
      </c>
      <c r="B1950" s="16" t="inlineStr">
        <is>
          <t>4.1</t>
        </is>
      </c>
      <c r="C1950" s="16" t="inlineStr">
        <is>
          <t>4.1b</t>
        </is>
      </c>
      <c r="D1950" s="16" t="inlineStr">
        <is>
          <t>conserva sus presiones</t>
        </is>
      </c>
      <c r="E1950" s="16" t="inlineStr">
        <is>
          <t>KF-M05</t>
        </is>
      </c>
      <c r="F1950" s="16" t="inlineStr">
        <is>
          <t>KF-M05-2</t>
        </is>
      </c>
      <c r="G1950" s="16" t="inlineStr">
        <is>
          <t>B09-2</t>
        </is>
      </c>
      <c r="H1950" s="16" t="inlineStr">
        <is>
          <t>lhs</t>
        </is>
      </c>
      <c r="I1950" s="16" t="inlineStr">
        <is>
          <t>INVIABLE</t>
        </is>
      </c>
      <c r="J1950" s="16" t="inlineStr">
        <is>
          <t>INVIABLE</t>
        </is>
      </c>
      <c r="K1950" s="16" t="b">
        <v>1</v>
      </c>
      <c r="L1950" s="16" t="b">
        <v>0</v>
      </c>
      <c r="M1950" s="16" t="b">
        <v>1</v>
      </c>
      <c r="N1950" s="16" t="b">
        <v>0</v>
      </c>
      <c r="O1950" s="16" t="n">
        <v>432.5132080232692</v>
      </c>
      <c r="P1950" s="16" t="n">
        <v>290.9836372825862</v>
      </c>
      <c r="Q1950" s="16" t="n">
        <v>3000</v>
      </c>
      <c r="R1950" s="16" t="n">
        <v>400</v>
      </c>
      <c r="S1950" s="16" t="n">
        <v>0.8416716168592842</v>
      </c>
      <c r="T1950" s="16" t="n">
        <v>0.5360702325769335</v>
      </c>
      <c r="U1950" s="16" t="n">
        <v>0.8904223697970948</v>
      </c>
      <c r="V1950" s="16" t="n">
        <v>0.8949085160856651</v>
      </c>
      <c r="W1950" s="16" t="n">
        <v>0.9038944944019646</v>
      </c>
      <c r="X1950" s="16" t="n">
        <v>0.490814653166817</v>
      </c>
      <c r="Y1950" s="16" t="n">
        <v>290.9836372825862</v>
      </c>
      <c r="Z1950" s="16" t="n">
        <v>-48.85655510095849</v>
      </c>
      <c r="AA1950" s="16" t="n">
        <v>-131.5407828343255</v>
      </c>
      <c r="AB1950" s="16" t="n">
        <v>2600</v>
      </c>
      <c r="AC1950" s="16" t="n">
        <v>7.5</v>
      </c>
      <c r="AD1950" s="16" t="inlineStr">
        <is>
          <t>O2,O3</t>
        </is>
      </c>
      <c r="AE1950" s="16" t="n"/>
    </row>
    <row r="1951">
      <c r="A1951" s="16" t="inlineStr">
        <is>
          <t>KF-M05-2-0109</t>
        </is>
      </c>
      <c r="B1951" s="16" t="inlineStr">
        <is>
          <t>4.1</t>
        </is>
      </c>
      <c r="C1951" s="16" t="inlineStr">
        <is>
          <t>4.1b</t>
        </is>
      </c>
      <c r="D1951" s="16" t="inlineStr">
        <is>
          <t>conserva sus presiones</t>
        </is>
      </c>
      <c r="E1951" s="16" t="inlineStr">
        <is>
          <t>KF-M05</t>
        </is>
      </c>
      <c r="F1951" s="16" t="inlineStr">
        <is>
          <t>KF-M05-2</t>
        </is>
      </c>
      <c r="G1951" s="16" t="inlineStr">
        <is>
          <t>B09-2</t>
        </is>
      </c>
      <c r="H1951" s="16" t="inlineStr">
        <is>
          <t>lhs</t>
        </is>
      </c>
      <c r="I1951" s="16" t="inlineStr">
        <is>
          <t>NO_CONVERGIO</t>
        </is>
      </c>
      <c r="J1951" s="16" t="inlineStr">
        <is>
          <t>NO_CONVERGIO</t>
        </is>
      </c>
      <c r="K1951" s="16" t="b">
        <v>0</v>
      </c>
      <c r="L1951" s="16" t="b">
        <v>0</v>
      </c>
      <c r="M1951" s="16" t="b">
        <v>0</v>
      </c>
      <c r="N1951" s="16" t="b">
        <v>0</v>
      </c>
      <c r="O1951" s="16" t="n">
        <v>470.2105550905022</v>
      </c>
      <c r="P1951" s="16" t="n">
        <v>298.6521241761744</v>
      </c>
      <c r="Q1951" s="16" t="n">
        <v>3000</v>
      </c>
      <c r="R1951" s="16" t="n">
        <v>400</v>
      </c>
      <c r="S1951" s="16" t="n">
        <v>0.8091376537267888</v>
      </c>
      <c r="T1951" s="16" t="n">
        <v>0.552422743186294</v>
      </c>
      <c r="U1951" s="16" t="n">
        <v>0.9303619356527908</v>
      </c>
      <c r="V1951" s="16" t="n">
        <v>0.6106762145125798</v>
      </c>
      <c r="W1951" s="16" t="n">
        <v>0.4676690734619155</v>
      </c>
      <c r="X1951" s="16" t="n">
        <v>0.5885318586629754</v>
      </c>
      <c r="Y1951" s="16" t="n">
        <v>298.6521241761744</v>
      </c>
      <c r="Z1951" s="16" t="n"/>
      <c r="AA1951" s="16" t="n"/>
      <c r="AB1951" s="16" t="n">
        <v>2600</v>
      </c>
      <c r="AC1951" s="16" t="n">
        <v>7.5</v>
      </c>
      <c r="AD1951" s="16" t="n"/>
      <c r="AE1951" s="16" t="n"/>
    </row>
    <row r="1952">
      <c r="A1952" s="16" t="inlineStr">
        <is>
          <t>KF-M05-2-0110</t>
        </is>
      </c>
      <c r="B1952" s="16" t="inlineStr">
        <is>
          <t>4.1</t>
        </is>
      </c>
      <c r="C1952" s="16" t="inlineStr">
        <is>
          <t>4.1b</t>
        </is>
      </c>
      <c r="D1952" s="16" t="inlineStr">
        <is>
          <t>conserva sus presiones</t>
        </is>
      </c>
      <c r="E1952" s="16" t="inlineStr">
        <is>
          <t>KF-M05</t>
        </is>
      </c>
      <c r="F1952" s="16" t="inlineStr">
        <is>
          <t>KF-M05-2</t>
        </is>
      </c>
      <c r="G1952" s="16" t="inlineStr">
        <is>
          <t>B09-2</t>
        </is>
      </c>
      <c r="H1952" s="16" t="inlineStr">
        <is>
          <t>lhs</t>
        </is>
      </c>
      <c r="I1952" s="16" t="inlineStr">
        <is>
          <t>CORREGIBLE</t>
        </is>
      </c>
      <c r="J1952" s="16" t="inlineStr">
        <is>
          <t>CORREGIBLE</t>
        </is>
      </c>
      <c r="K1952" s="16" t="b">
        <v>1</v>
      </c>
      <c r="L1952" s="16" t="b">
        <v>0</v>
      </c>
      <c r="M1952" s="16" t="b">
        <v>1</v>
      </c>
      <c r="N1952" s="16" t="b">
        <v>0</v>
      </c>
      <c r="O1952" s="16" t="n">
        <v>499.6019048252984</v>
      </c>
      <c r="P1952" s="16" t="n">
        <v>279.5416858036347</v>
      </c>
      <c r="Q1952" s="16" t="n">
        <v>3000</v>
      </c>
      <c r="R1952" s="16" t="n">
        <v>400</v>
      </c>
      <c r="S1952" s="16" t="n">
        <v>0.7435749789224603</v>
      </c>
      <c r="T1952" s="16" t="n">
        <v>0.8208687873428522</v>
      </c>
      <c r="U1952" s="16" t="n">
        <v>0.5450748254852591</v>
      </c>
      <c r="V1952" s="16" t="n">
        <v>0.8063641075524149</v>
      </c>
      <c r="W1952" s="16" t="n">
        <v>0.6869851099004637</v>
      </c>
      <c r="X1952" s="16" t="n">
        <v>0.8274853450052049</v>
      </c>
      <c r="Y1952" s="16" t="n">
        <v>279.5416858036347</v>
      </c>
      <c r="Z1952" s="16" t="n">
        <v>13.3489485816531</v>
      </c>
      <c r="AA1952" s="16" t="n">
        <v>197.292326033605</v>
      </c>
      <c r="AB1952" s="16" t="n">
        <v>2600</v>
      </c>
      <c r="AC1952" s="16" t="n">
        <v>7.5</v>
      </c>
      <c r="AD1952" s="16" t="inlineStr">
        <is>
          <t>O2</t>
        </is>
      </c>
      <c r="AE1952" s="16" t="n"/>
    </row>
    <row r="1953">
      <c r="A1953" s="16" t="inlineStr">
        <is>
          <t>KF-M05-2-0111</t>
        </is>
      </c>
      <c r="B1953" s="16" t="inlineStr">
        <is>
          <t>4.1</t>
        </is>
      </c>
      <c r="C1953" s="16" t="inlineStr">
        <is>
          <t>4.1b</t>
        </is>
      </c>
      <c r="D1953" s="16" t="inlineStr">
        <is>
          <t>conserva sus presiones</t>
        </is>
      </c>
      <c r="E1953" s="16" t="inlineStr">
        <is>
          <t>KF-M05</t>
        </is>
      </c>
      <c r="F1953" s="16" t="inlineStr">
        <is>
          <t>KF-M05-2</t>
        </is>
      </c>
      <c r="G1953" s="16" t="inlineStr">
        <is>
          <t>B09-2</t>
        </is>
      </c>
      <c r="H1953" s="16" t="inlineStr">
        <is>
          <t>lhs</t>
        </is>
      </c>
      <c r="I1953" s="16" t="inlineStr">
        <is>
          <t>N2</t>
        </is>
      </c>
      <c r="J1953" s="16" t="inlineStr">
        <is>
          <t>NO_CONVERGIO</t>
        </is>
      </c>
      <c r="K1953" s="16" t="b">
        <v>0</v>
      </c>
      <c r="L1953" s="16" t="b">
        <v>0</v>
      </c>
      <c r="M1953" s="16" t="b">
        <v>1</v>
      </c>
      <c r="N1953" s="16" t="b">
        <v>0</v>
      </c>
      <c r="O1953" s="16" t="n">
        <v>585.2136552848589</v>
      </c>
      <c r="P1953" s="16" t="n">
        <v>293.6315905580965</v>
      </c>
      <c r="Q1953" s="16" t="n">
        <v>3000</v>
      </c>
      <c r="R1953" s="16" t="n">
        <v>400</v>
      </c>
      <c r="S1953" s="16" t="n">
        <v>0.8236019573164047</v>
      </c>
      <c r="T1953" s="16" t="n">
        <v>0.7554765978754823</v>
      </c>
      <c r="U1953" s="16" t="n">
        <v>0.6524606099903953</v>
      </c>
      <c r="V1953" s="16" t="n">
        <v>0.6285091342764528</v>
      </c>
      <c r="W1953" s="16" t="n">
        <v>0.7578424140829921</v>
      </c>
      <c r="X1953" s="16" t="n">
        <v>0.8789817569559063</v>
      </c>
      <c r="Y1953" s="16" t="n">
        <v>293.6315905580965</v>
      </c>
      <c r="Z1953" s="16" t="n">
        <v>-4.01653974572738</v>
      </c>
      <c r="AA1953" s="16" t="n">
        <v>-27.37850403967605</v>
      </c>
      <c r="AB1953" s="16" t="n">
        <v>2600</v>
      </c>
      <c r="AC1953" s="16" t="n">
        <v>7.5</v>
      </c>
      <c r="AD1953" s="16" t="inlineStr">
        <is>
          <t>N2,O2,O3,O5,C1,C3,C3</t>
        </is>
      </c>
      <c r="AE1953" s="16" t="n"/>
    </row>
    <row r="1954">
      <c r="A1954" s="16" t="inlineStr">
        <is>
          <t>KF-M05-2-0112</t>
        </is>
      </c>
      <c r="B1954" s="16" t="inlineStr">
        <is>
          <t>4.1</t>
        </is>
      </c>
      <c r="C1954" s="16" t="inlineStr">
        <is>
          <t>4.1b</t>
        </is>
      </c>
      <c r="D1954" s="16" t="inlineStr">
        <is>
          <t>conserva sus presiones</t>
        </is>
      </c>
      <c r="E1954" s="16" t="inlineStr">
        <is>
          <t>KF-M05</t>
        </is>
      </c>
      <c r="F1954" s="16" t="inlineStr">
        <is>
          <t>KF-M05-2</t>
        </is>
      </c>
      <c r="G1954" s="16" t="inlineStr">
        <is>
          <t>B09-2</t>
        </is>
      </c>
      <c r="H1954" s="16" t="inlineStr">
        <is>
          <t>lhs</t>
        </is>
      </c>
      <c r="I1954" s="16" t="inlineStr">
        <is>
          <t>INVIABLE</t>
        </is>
      </c>
      <c r="J1954" s="16" t="inlineStr">
        <is>
          <t>INVIABLE</t>
        </is>
      </c>
      <c r="K1954" s="16" t="b">
        <v>1</v>
      </c>
      <c r="L1954" s="16" t="b">
        <v>0</v>
      </c>
      <c r="M1954" s="16" t="b">
        <v>0</v>
      </c>
      <c r="N1954" s="16" t="b">
        <v>0</v>
      </c>
      <c r="O1954" s="16" t="n">
        <v>420.758728821611</v>
      </c>
      <c r="P1954" s="16" t="n">
        <v>294.8596478944462</v>
      </c>
      <c r="Q1954" s="16" t="n">
        <v>3000</v>
      </c>
      <c r="R1954" s="16" t="n">
        <v>400</v>
      </c>
      <c r="S1954" s="16" t="n">
        <v>0.8159745793639803</v>
      </c>
      <c r="T1954" s="16" t="n">
        <v>0.9425562255186828</v>
      </c>
      <c r="U1954" s="16" t="n">
        <v>0.546870337783206</v>
      </c>
      <c r="V1954" s="16" t="n">
        <v>0.688279056806441</v>
      </c>
      <c r="W1954" s="16" t="n">
        <v>0.8038786771002449</v>
      </c>
      <c r="X1954" s="16" t="n">
        <v>0.6857243877418174</v>
      </c>
      <c r="Y1954" s="16" t="n">
        <v>294.8596478944462</v>
      </c>
      <c r="Z1954" s="16" t="n">
        <v>-54.14707989474136</v>
      </c>
      <c r="AA1954" s="16" t="n">
        <v>-115.0330133310606</v>
      </c>
      <c r="AB1954" s="16" t="n">
        <v>2600</v>
      </c>
      <c r="AC1954" s="16" t="n">
        <v>7.5</v>
      </c>
      <c r="AD1954" s="16" t="inlineStr">
        <is>
          <t>O2,O3</t>
        </is>
      </c>
      <c r="AE1954" s="16" t="n"/>
    </row>
    <row r="1955">
      <c r="A1955" s="16" t="inlineStr">
        <is>
          <t>KF-M05-2-0113</t>
        </is>
      </c>
      <c r="B1955" s="16" t="inlineStr">
        <is>
          <t>4.1</t>
        </is>
      </c>
      <c r="C1955" s="16" t="inlineStr">
        <is>
          <t>4.1b</t>
        </is>
      </c>
      <c r="D1955" s="16" t="inlineStr">
        <is>
          <t>conserva sus presiones</t>
        </is>
      </c>
      <c r="E1955" s="16" t="inlineStr">
        <is>
          <t>KF-M05</t>
        </is>
      </c>
      <c r="F1955" s="16" t="inlineStr">
        <is>
          <t>KF-M05-2</t>
        </is>
      </c>
      <c r="G1955" s="16" t="inlineStr">
        <is>
          <t>B09-2</t>
        </is>
      </c>
      <c r="H1955" s="16" t="inlineStr">
        <is>
          <t>lhs</t>
        </is>
      </c>
      <c r="I1955" s="16" t="inlineStr">
        <is>
          <t>NO_CONVERGIO</t>
        </is>
      </c>
      <c r="J1955" s="16" t="inlineStr">
        <is>
          <t>NO_CONVERGIO</t>
        </is>
      </c>
      <c r="K1955" s="16" t="b">
        <v>0</v>
      </c>
      <c r="L1955" s="16" t="b">
        <v>0</v>
      </c>
      <c r="M1955" s="16" t="b">
        <v>0</v>
      </c>
      <c r="N1955" s="16" t="b">
        <v>0</v>
      </c>
      <c r="O1955" s="16" t="n">
        <v>596.043162431642</v>
      </c>
      <c r="P1955" s="16" t="n">
        <v>286.5701561862081</v>
      </c>
      <c r="Q1955" s="16" t="n">
        <v>3000</v>
      </c>
      <c r="R1955" s="16" t="n">
        <v>400</v>
      </c>
      <c r="S1955" s="16" t="n">
        <v>0.581175081142571</v>
      </c>
      <c r="T1955" s="16" t="n">
        <v>0.41848948504952</v>
      </c>
      <c r="U1955" s="16" t="n">
        <v>0.7429126416789139</v>
      </c>
      <c r="V1955" s="16" t="n">
        <v>0.8391448705881186</v>
      </c>
      <c r="W1955" s="16" t="n">
        <v>0.7325574084588656</v>
      </c>
      <c r="X1955" s="16" t="n">
        <v>0.7479482534664148</v>
      </c>
      <c r="Y1955" s="16" t="n">
        <v>286.5701561862081</v>
      </c>
      <c r="Z1955" s="16" t="n"/>
      <c r="AA1955" s="16" t="n"/>
      <c r="AB1955" s="16" t="n">
        <v>2600</v>
      </c>
      <c r="AC1955" s="16" t="n">
        <v>7.5</v>
      </c>
      <c r="AD1955" s="16" t="n"/>
      <c r="AE1955" s="16" t="n"/>
    </row>
    <row r="1956">
      <c r="A1956" s="16" t="inlineStr">
        <is>
          <t>KF-M05-2-0114</t>
        </is>
      </c>
      <c r="B1956" s="16" t="inlineStr">
        <is>
          <t>4.1</t>
        </is>
      </c>
      <c r="C1956" s="16" t="inlineStr">
        <is>
          <t>4.1b</t>
        </is>
      </c>
      <c r="D1956" s="16" t="inlineStr">
        <is>
          <t>conserva sus presiones</t>
        </is>
      </c>
      <c r="E1956" s="16" t="inlineStr">
        <is>
          <t>KF-M05</t>
        </is>
      </c>
      <c r="F1956" s="16" t="inlineStr">
        <is>
          <t>KF-M05-2</t>
        </is>
      </c>
      <c r="G1956" s="16" t="inlineStr">
        <is>
          <t>B09-2</t>
        </is>
      </c>
      <c r="H1956" s="16" t="inlineStr">
        <is>
          <t>lhs</t>
        </is>
      </c>
      <c r="I1956" s="16" t="inlineStr">
        <is>
          <t>INVIABLE</t>
        </is>
      </c>
      <c r="J1956" s="16" t="inlineStr">
        <is>
          <t>INVIABLE</t>
        </is>
      </c>
      <c r="K1956" s="16" t="b">
        <v>1</v>
      </c>
      <c r="L1956" s="16" t="b">
        <v>0</v>
      </c>
      <c r="M1956" s="16" t="b">
        <v>1</v>
      </c>
      <c r="N1956" s="16" t="b">
        <v>0</v>
      </c>
      <c r="O1956" s="16" t="n">
        <v>498.1335671906564</v>
      </c>
      <c r="P1956" s="16" t="n">
        <v>293.3947320702543</v>
      </c>
      <c r="Q1956" s="16" t="n">
        <v>3000</v>
      </c>
      <c r="R1956" s="16" t="n">
        <v>400</v>
      </c>
      <c r="S1956" s="16" t="n">
        <v>0.5594172445217528</v>
      </c>
      <c r="T1956" s="16" t="n">
        <v>0.4070344969529577</v>
      </c>
      <c r="U1956" s="16" t="n">
        <v>0.7800876844803195</v>
      </c>
      <c r="V1956" s="16" t="n">
        <v>0.4021680809506312</v>
      </c>
      <c r="W1956" s="16" t="n">
        <v>0.6058928208565425</v>
      </c>
      <c r="X1956" s="16" t="n">
        <v>0.4216956725334166</v>
      </c>
      <c r="Y1956" s="16" t="n">
        <v>293.3947320702543</v>
      </c>
      <c r="Z1956" s="16" t="n">
        <v>-15.7882929301706</v>
      </c>
      <c r="AA1956" s="16" t="n">
        <v>-83.90606117398154</v>
      </c>
      <c r="AB1956" s="16" t="n">
        <v>2600</v>
      </c>
      <c r="AC1956" s="16" t="n">
        <v>7.5</v>
      </c>
      <c r="AD1956" s="16" t="inlineStr">
        <is>
          <t>O2,O3</t>
        </is>
      </c>
      <c r="AE1956" s="16" t="n"/>
    </row>
    <row r="1957">
      <c r="A1957" s="16" t="inlineStr">
        <is>
          <t>KF-M05-2-0115</t>
        </is>
      </c>
      <c r="B1957" s="16" t="inlineStr">
        <is>
          <t>4.1</t>
        </is>
      </c>
      <c r="C1957" s="16" t="inlineStr">
        <is>
          <t>4.1b</t>
        </is>
      </c>
      <c r="D1957" s="16" t="inlineStr">
        <is>
          <t>conserva sus presiones</t>
        </is>
      </c>
      <c r="E1957" s="16" t="inlineStr">
        <is>
          <t>KF-M05</t>
        </is>
      </c>
      <c r="F1957" s="16" t="inlineStr">
        <is>
          <t>KF-M05-2</t>
        </is>
      </c>
      <c r="G1957" s="16" t="inlineStr">
        <is>
          <t>B09-2</t>
        </is>
      </c>
      <c r="H1957" s="16" t="inlineStr">
        <is>
          <t>lhs</t>
        </is>
      </c>
      <c r="I1957" s="16" t="inlineStr">
        <is>
          <t>CORREGIBLE</t>
        </is>
      </c>
      <c r="J1957" s="16" t="inlineStr">
        <is>
          <t>CORREGIBLE</t>
        </is>
      </c>
      <c r="K1957" s="16" t="b">
        <v>1</v>
      </c>
      <c r="L1957" s="16" t="b">
        <v>0</v>
      </c>
      <c r="M1957" s="16" t="b">
        <v>1</v>
      </c>
      <c r="N1957" s="16" t="b">
        <v>0</v>
      </c>
      <c r="O1957" s="16" t="n">
        <v>589.4698749127668</v>
      </c>
      <c r="P1957" s="16" t="n">
        <v>296.5466859587798</v>
      </c>
      <c r="Q1957" s="16" t="n">
        <v>3000</v>
      </c>
      <c r="R1957" s="16" t="n">
        <v>400</v>
      </c>
      <c r="S1957" s="16" t="n">
        <v>0.5675134821243422</v>
      </c>
      <c r="T1957" s="16" t="n">
        <v>0.6365424567271857</v>
      </c>
      <c r="U1957" s="16" t="n">
        <v>0.8371673574729388</v>
      </c>
      <c r="V1957" s="16" t="n">
        <v>0.4282760875138969</v>
      </c>
      <c r="W1957" s="16" t="n">
        <v>0.4245403483389002</v>
      </c>
      <c r="X1957" s="16" t="n">
        <v>0.7678992029010272</v>
      </c>
      <c r="Y1957" s="16" t="n">
        <v>296.5466859587798</v>
      </c>
      <c r="Z1957" s="16" t="n">
        <v>8.42818740025878</v>
      </c>
      <c r="AA1957" s="16" t="n">
        <v>79.53155631557533</v>
      </c>
      <c r="AB1957" s="16" t="n">
        <v>2600</v>
      </c>
      <c r="AC1957" s="16" t="n">
        <v>7.5</v>
      </c>
      <c r="AD1957" s="16" t="inlineStr">
        <is>
          <t>O2</t>
        </is>
      </c>
      <c r="AE1957" s="16" t="n"/>
    </row>
    <row r="1958">
      <c r="A1958" s="16" t="inlineStr">
        <is>
          <t>KF-M05-2-0116</t>
        </is>
      </c>
      <c r="B1958" s="16" t="inlineStr">
        <is>
          <t>4.1</t>
        </is>
      </c>
      <c r="C1958" s="16" t="inlineStr">
        <is>
          <t>4.1b</t>
        </is>
      </c>
      <c r="D1958" s="16" t="inlineStr">
        <is>
          <t>conserva sus presiones</t>
        </is>
      </c>
      <c r="E1958" s="16" t="inlineStr">
        <is>
          <t>KF-M05</t>
        </is>
      </c>
      <c r="F1958" s="16" t="inlineStr">
        <is>
          <t>KF-M05-2</t>
        </is>
      </c>
      <c r="G1958" s="16" t="inlineStr">
        <is>
          <t>B09-2</t>
        </is>
      </c>
      <c r="H1958" s="16" t="inlineStr">
        <is>
          <t>lhs</t>
        </is>
      </c>
      <c r="I1958" s="16" t="inlineStr">
        <is>
          <t>CORREGIBLE</t>
        </is>
      </c>
      <c r="J1958" s="16" t="inlineStr">
        <is>
          <t>CORREGIBLE</t>
        </is>
      </c>
      <c r="K1958" s="16" t="b">
        <v>1</v>
      </c>
      <c r="L1958" s="16" t="b">
        <v>0</v>
      </c>
      <c r="M1958" s="16" t="b">
        <v>0</v>
      </c>
      <c r="N1958" s="16" t="b">
        <v>0</v>
      </c>
      <c r="O1958" s="16" t="n">
        <v>407.5531881146055</v>
      </c>
      <c r="P1958" s="16" t="n">
        <v>278.2624790972999</v>
      </c>
      <c r="Q1958" s="16" t="n">
        <v>3000</v>
      </c>
      <c r="R1958" s="16" t="n">
        <v>400</v>
      </c>
      <c r="S1958" s="16" t="n">
        <v>0.7931958339697167</v>
      </c>
      <c r="T1958" s="16" t="n">
        <v>0.7805049883315993</v>
      </c>
      <c r="U1958" s="16" t="n">
        <v>0.6775067384846383</v>
      </c>
      <c r="V1958" s="16" t="n">
        <v>0.729734907995514</v>
      </c>
      <c r="W1958" s="16" t="n">
        <v>0.790785824767527</v>
      </c>
      <c r="X1958" s="16" t="n">
        <v>0.8902900163167979</v>
      </c>
      <c r="Y1958" s="16" t="n">
        <v>278.2624790972999</v>
      </c>
      <c r="Z1958" s="16" t="n">
        <v>13.69492057212931</v>
      </c>
      <c r="AA1958" s="16" t="n">
        <v>115.5861682010424</v>
      </c>
      <c r="AB1958" s="16" t="n">
        <v>2600</v>
      </c>
      <c r="AC1958" s="16" t="n">
        <v>7.5</v>
      </c>
      <c r="AD1958" s="16" t="inlineStr">
        <is>
          <t>O2</t>
        </is>
      </c>
      <c r="AE1958" s="16" t="n"/>
    </row>
    <row r="1959">
      <c r="A1959" s="16" t="inlineStr">
        <is>
          <t>KF-M05-2-0117</t>
        </is>
      </c>
      <c r="B1959" s="16" t="inlineStr">
        <is>
          <t>4.1</t>
        </is>
      </c>
      <c r="C1959" s="16" t="inlineStr">
        <is>
          <t>4.1b</t>
        </is>
      </c>
      <c r="D1959" s="16" t="inlineStr">
        <is>
          <t>conserva sus presiones</t>
        </is>
      </c>
      <c r="E1959" s="16" t="inlineStr">
        <is>
          <t>KF-M05</t>
        </is>
      </c>
      <c r="F1959" s="16" t="inlineStr">
        <is>
          <t>KF-M05-2</t>
        </is>
      </c>
      <c r="G1959" s="16" t="inlineStr">
        <is>
          <t>B09-2</t>
        </is>
      </c>
      <c r="H1959" s="16" t="inlineStr">
        <is>
          <t>lhs</t>
        </is>
      </c>
      <c r="I1959" s="16" t="inlineStr">
        <is>
          <t>CORREGIBLE</t>
        </is>
      </c>
      <c r="J1959" s="16" t="inlineStr">
        <is>
          <t>CORREGIBLE</t>
        </is>
      </c>
      <c r="K1959" s="16" t="b">
        <v>1</v>
      </c>
      <c r="L1959" s="16" t="b">
        <v>0</v>
      </c>
      <c r="M1959" s="16" t="b">
        <v>0</v>
      </c>
      <c r="N1959" s="16" t="b">
        <v>0</v>
      </c>
      <c r="O1959" s="16" t="n">
        <v>483.5505131964024</v>
      </c>
      <c r="P1959" s="16" t="n">
        <v>282.0044174171126</v>
      </c>
      <c r="Q1959" s="16" t="n">
        <v>3000</v>
      </c>
      <c r="R1959" s="16" t="n">
        <v>400</v>
      </c>
      <c r="S1959" s="16" t="n">
        <v>0.6789865389891734</v>
      </c>
      <c r="T1959" s="16" t="n">
        <v>0.680764345637157</v>
      </c>
      <c r="U1959" s="16" t="n">
        <v>0.6125997196267058</v>
      </c>
      <c r="V1959" s="16" t="n">
        <v>0.4123693727814032</v>
      </c>
      <c r="W1959" s="16" t="n">
        <v>0.6763741081357293</v>
      </c>
      <c r="X1959" s="16" t="n">
        <v>0.5953141697337749</v>
      </c>
      <c r="Y1959" s="16" t="n">
        <v>282.0044174171126</v>
      </c>
      <c r="Z1959" s="16" t="n">
        <v>3.22169419328448</v>
      </c>
      <c r="AA1959" s="16" t="n">
        <v>21.4825269006293</v>
      </c>
      <c r="AB1959" s="16" t="n">
        <v>2600</v>
      </c>
      <c r="AC1959" s="16" t="n">
        <v>7.5</v>
      </c>
      <c r="AD1959" s="16" t="inlineStr">
        <is>
          <t>O2</t>
        </is>
      </c>
      <c r="AE1959" s="16" t="n"/>
    </row>
    <row r="1960">
      <c r="A1960" s="16" t="inlineStr">
        <is>
          <t>KF-M05-2-0118</t>
        </is>
      </c>
      <c r="B1960" s="16" t="inlineStr">
        <is>
          <t>4.1</t>
        </is>
      </c>
      <c r="C1960" s="16" t="inlineStr">
        <is>
          <t>4.1b</t>
        </is>
      </c>
      <c r="D1960" s="16" t="inlineStr">
        <is>
          <t>conserva sus presiones</t>
        </is>
      </c>
      <c r="E1960" s="16" t="inlineStr">
        <is>
          <t>KF-M05</t>
        </is>
      </c>
      <c r="F1960" s="16" t="inlineStr">
        <is>
          <t>KF-M05-2</t>
        </is>
      </c>
      <c r="G1960" s="16" t="inlineStr">
        <is>
          <t>B09-2</t>
        </is>
      </c>
      <c r="H1960" s="16" t="inlineStr">
        <is>
          <t>lhs</t>
        </is>
      </c>
      <c r="I1960" s="16" t="inlineStr">
        <is>
          <t>CORREGIBLE</t>
        </is>
      </c>
      <c r="J1960" s="16" t="inlineStr">
        <is>
          <t>CORREGIBLE</t>
        </is>
      </c>
      <c r="K1960" s="16" t="b">
        <v>1</v>
      </c>
      <c r="L1960" s="16" t="b">
        <v>0</v>
      </c>
      <c r="M1960" s="16" t="b">
        <v>1</v>
      </c>
      <c r="N1960" s="16" t="b">
        <v>0</v>
      </c>
      <c r="O1960" s="16" t="n">
        <v>513.7383921994337</v>
      </c>
      <c r="P1960" s="16" t="n">
        <v>296.239188885013</v>
      </c>
      <c r="Q1960" s="16" t="n">
        <v>3000</v>
      </c>
      <c r="R1960" s="16" t="n">
        <v>400</v>
      </c>
      <c r="S1960" s="16" t="n">
        <v>0.7251505621585277</v>
      </c>
      <c r="T1960" s="16" t="n">
        <v>0.653238548845737</v>
      </c>
      <c r="U1960" s="16" t="n">
        <v>0.899974531861452</v>
      </c>
      <c r="V1960" s="16" t="n">
        <v>0.6564791348257553</v>
      </c>
      <c r="W1960" s="16" t="n">
        <v>0.6198297736046652</v>
      </c>
      <c r="X1960" s="16" t="n">
        <v>0.7318822601807853</v>
      </c>
      <c r="Y1960" s="16" t="n">
        <v>296.239188885013</v>
      </c>
      <c r="Z1960" s="16" t="n">
        <v>2.36206496209674</v>
      </c>
      <c r="AA1960" s="16" t="n">
        <v>18.67937349494929</v>
      </c>
      <c r="AB1960" s="16" t="n">
        <v>2600</v>
      </c>
      <c r="AC1960" s="16" t="n">
        <v>7.5</v>
      </c>
      <c r="AD1960" s="16" t="inlineStr">
        <is>
          <t>O2</t>
        </is>
      </c>
      <c r="AE1960" s="16" t="n"/>
    </row>
    <row r="1961">
      <c r="A1961" s="16" t="inlineStr">
        <is>
          <t>KF-M05-3-0000</t>
        </is>
      </c>
      <c r="B1961" s="16" t="inlineStr">
        <is>
          <t>4.1</t>
        </is>
      </c>
      <c r="C1961" s="16" t="inlineStr">
        <is>
          <t>4.1c</t>
        </is>
      </c>
      <c r="D1961" s="16" t="inlineStr">
        <is>
          <t>conserva sus presiones y su clima</t>
        </is>
      </c>
      <c r="E1961" s="16" t="inlineStr">
        <is>
          <t>KF-M05</t>
        </is>
      </c>
      <c r="F1961" s="16" t="inlineStr">
        <is>
          <t>KF-M05-3</t>
        </is>
      </c>
      <c r="G1961" s="16" t="inlineStr">
        <is>
          <t>B09-3</t>
        </is>
      </c>
      <c r="H1961" s="16" t="inlineStr">
        <is>
          <t>lhs</t>
        </is>
      </c>
      <c r="I1961" s="16" t="inlineStr">
        <is>
          <t>INVIABLE</t>
        </is>
      </c>
      <c r="J1961" s="16" t="inlineStr">
        <is>
          <t>INVIABLE</t>
        </is>
      </c>
      <c r="K1961" s="16" t="b">
        <v>1</v>
      </c>
      <c r="L1961" s="16" t="b">
        <v>0</v>
      </c>
      <c r="M1961" s="16" t="b">
        <v>0</v>
      </c>
      <c r="N1961" s="16" t="b">
        <v>0</v>
      </c>
      <c r="O1961" s="16" t="n">
        <v>405.825722431219</v>
      </c>
      <c r="P1961" s="16" t="n">
        <v>300.032917</v>
      </c>
      <c r="Q1961" s="16" t="n">
        <v>3000</v>
      </c>
      <c r="R1961" s="16" t="n">
        <v>400</v>
      </c>
      <c r="S1961" s="16" t="n">
        <v>0.5865111548345461</v>
      </c>
      <c r="T1961" s="16" t="n">
        <v>0.4712459643537001</v>
      </c>
      <c r="U1961" s="16" t="n">
        <v>0.6183583267502128</v>
      </c>
      <c r="V1961" s="16" t="n">
        <v>0.8427195404490937</v>
      </c>
      <c r="W1961" s="16" t="n">
        <v>0.4320320504400753</v>
      </c>
      <c r="X1961" s="16" t="n">
        <v>0.4432245237636992</v>
      </c>
      <c r="Y1961" s="16" t="n">
        <v>300.032917</v>
      </c>
      <c r="Z1961" s="16" t="n">
        <v>-42.98716924407808</v>
      </c>
      <c r="AA1961" s="16" t="n">
        <v>-86.76205752892764</v>
      </c>
      <c r="AB1961" s="16" t="n">
        <v>2600</v>
      </c>
      <c r="AC1961" s="16" t="n">
        <v>7.5</v>
      </c>
      <c r="AD1961" s="16" t="inlineStr">
        <is>
          <t>O2,O3</t>
        </is>
      </c>
      <c r="AE1961" s="16" t="n"/>
    </row>
    <row r="1962">
      <c r="A1962" s="16" t="inlineStr">
        <is>
          <t>KF-M05-3-0001</t>
        </is>
      </c>
      <c r="B1962" s="16" t="inlineStr">
        <is>
          <t>4.1</t>
        </is>
      </c>
      <c r="C1962" s="16" t="inlineStr">
        <is>
          <t>4.1c</t>
        </is>
      </c>
      <c r="D1962" s="16" t="inlineStr">
        <is>
          <t>conserva sus presiones y su clima</t>
        </is>
      </c>
      <c r="E1962" s="16" t="inlineStr">
        <is>
          <t>KF-M05</t>
        </is>
      </c>
      <c r="F1962" s="16" t="inlineStr">
        <is>
          <t>KF-M05-3</t>
        </is>
      </c>
      <c r="G1962" s="16" t="inlineStr">
        <is>
          <t>B09-3</t>
        </is>
      </c>
      <c r="H1962" s="16" t="inlineStr">
        <is>
          <t>lhs</t>
        </is>
      </c>
      <c r="I1962" s="16" t="inlineStr">
        <is>
          <t>CORREGIBLE</t>
        </is>
      </c>
      <c r="J1962" s="16" t="inlineStr">
        <is>
          <t>CORREGIBLE</t>
        </is>
      </c>
      <c r="K1962" s="16" t="b">
        <v>1</v>
      </c>
      <c r="L1962" s="16" t="b">
        <v>0</v>
      </c>
      <c r="M1962" s="16" t="b">
        <v>1</v>
      </c>
      <c r="N1962" s="16" t="b">
        <v>0</v>
      </c>
      <c r="O1962" s="16" t="n">
        <v>518.457465398208</v>
      </c>
      <c r="P1962" s="16" t="n">
        <v>300.032917</v>
      </c>
      <c r="Q1962" s="16" t="n">
        <v>3000</v>
      </c>
      <c r="R1962" s="16" t="n">
        <v>400</v>
      </c>
      <c r="S1962" s="16" t="n">
        <v>0.6556333557715541</v>
      </c>
      <c r="T1962" s="16" t="n">
        <v>0.7613521503713105</v>
      </c>
      <c r="U1962" s="16" t="n">
        <v>0.8658449499372758</v>
      </c>
      <c r="V1962" s="16" t="n">
        <v>0.7850232349183957</v>
      </c>
      <c r="W1962" s="16" t="n">
        <v>0.7706797677395725</v>
      </c>
      <c r="X1962" s="16" t="n">
        <v>0.7990911381897311</v>
      </c>
      <c r="Y1962" s="16" t="n">
        <v>300.032917</v>
      </c>
      <c r="Z1962" s="16" t="n">
        <v>9.30296546212603</v>
      </c>
      <c r="AA1962" s="16" t="n">
        <v>109.0508751126582</v>
      </c>
      <c r="AB1962" s="16" t="n">
        <v>2600</v>
      </c>
      <c r="AC1962" s="16" t="n">
        <v>7.5</v>
      </c>
      <c r="AD1962" s="16" t="inlineStr">
        <is>
          <t>O2</t>
        </is>
      </c>
      <c r="AE1962" s="16" t="n"/>
    </row>
    <row r="1963">
      <c r="A1963" s="16" t="inlineStr">
        <is>
          <t>KF-M05-3-0002</t>
        </is>
      </c>
      <c r="B1963" s="16" t="inlineStr">
        <is>
          <t>4.1</t>
        </is>
      </c>
      <c r="C1963" s="16" t="inlineStr">
        <is>
          <t>4.1c</t>
        </is>
      </c>
      <c r="D1963" s="16" t="inlineStr">
        <is>
          <t>conserva sus presiones y su clima</t>
        </is>
      </c>
      <c r="E1963" s="16" t="inlineStr">
        <is>
          <t>KF-M05</t>
        </is>
      </c>
      <c r="F1963" s="16" t="inlineStr">
        <is>
          <t>KF-M05-3</t>
        </is>
      </c>
      <c r="G1963" s="16" t="inlineStr">
        <is>
          <t>B09-3</t>
        </is>
      </c>
      <c r="H1963" s="16" t="inlineStr">
        <is>
          <t>lhs</t>
        </is>
      </c>
      <c r="I1963" s="16" t="inlineStr">
        <is>
          <t>INVIABLE</t>
        </is>
      </c>
      <c r="J1963" s="16" t="inlineStr">
        <is>
          <t>INVIABLE</t>
        </is>
      </c>
      <c r="K1963" s="16" t="b">
        <v>1</v>
      </c>
      <c r="L1963" s="16" t="b">
        <v>0</v>
      </c>
      <c r="M1963" s="16" t="b">
        <v>1</v>
      </c>
      <c r="N1963" s="16" t="b">
        <v>0</v>
      </c>
      <c r="O1963" s="16" t="n">
        <v>572.752729741876</v>
      </c>
      <c r="P1963" s="16" t="n">
        <v>300.032917</v>
      </c>
      <c r="Q1963" s="16" t="n">
        <v>3000</v>
      </c>
      <c r="R1963" s="16" t="n">
        <v>400</v>
      </c>
      <c r="S1963" s="16" t="n">
        <v>0.8178269277406292</v>
      </c>
      <c r="T1963" s="16" t="n">
        <v>0.6611143028897876</v>
      </c>
      <c r="U1963" s="16" t="n">
        <v>0.8019980409980675</v>
      </c>
      <c r="V1963" s="16" t="n">
        <v>0.4516189104844705</v>
      </c>
      <c r="W1963" s="16" t="n">
        <v>0.6791100529862072</v>
      </c>
      <c r="X1963" s="16" t="n">
        <v>0.916303688596892</v>
      </c>
      <c r="Y1963" s="16" t="n">
        <v>300.032917</v>
      </c>
      <c r="Z1963" s="16" t="n">
        <v>-10.1216825423867</v>
      </c>
      <c r="AA1963" s="16" t="n">
        <v>-49.19301520735854</v>
      </c>
      <c r="AB1963" s="16" t="n">
        <v>2600</v>
      </c>
      <c r="AC1963" s="16" t="n">
        <v>7.5</v>
      </c>
      <c r="AD1963" s="16" t="inlineStr">
        <is>
          <t>O2,O3</t>
        </is>
      </c>
      <c r="AE1963" s="16" t="n"/>
    </row>
    <row r="1964">
      <c r="A1964" s="16" t="inlineStr">
        <is>
          <t>KF-M05-3-0003</t>
        </is>
      </c>
      <c r="B1964" s="16" t="inlineStr">
        <is>
          <t>4.1</t>
        </is>
      </c>
      <c r="C1964" s="16" t="inlineStr">
        <is>
          <t>4.1c</t>
        </is>
      </c>
      <c r="D1964" s="16" t="inlineStr">
        <is>
          <t>conserva sus presiones y su clima</t>
        </is>
      </c>
      <c r="E1964" s="16" t="inlineStr">
        <is>
          <t>KF-M05</t>
        </is>
      </c>
      <c r="F1964" s="16" t="inlineStr">
        <is>
          <t>KF-M05-3</t>
        </is>
      </c>
      <c r="G1964" s="16" t="inlineStr">
        <is>
          <t>B09-3</t>
        </is>
      </c>
      <c r="H1964" s="16" t="inlineStr">
        <is>
          <t>lhs</t>
        </is>
      </c>
      <c r="I1964" s="16" t="inlineStr">
        <is>
          <t>INVIABLE</t>
        </is>
      </c>
      <c r="J1964" s="16" t="inlineStr">
        <is>
          <t>INVIABLE</t>
        </is>
      </c>
      <c r="K1964" s="16" t="b">
        <v>1</v>
      </c>
      <c r="L1964" s="16" t="b">
        <v>0</v>
      </c>
      <c r="M1964" s="16" t="b">
        <v>1</v>
      </c>
      <c r="N1964" s="16" t="b">
        <v>0</v>
      </c>
      <c r="O1964" s="16" t="n">
        <v>475.2812184964724</v>
      </c>
      <c r="P1964" s="16" t="n">
        <v>300.032917</v>
      </c>
      <c r="Q1964" s="16" t="n">
        <v>3000</v>
      </c>
      <c r="R1964" s="16" t="n">
        <v>400</v>
      </c>
      <c r="S1964" s="16" t="n">
        <v>0.6904630118646692</v>
      </c>
      <c r="T1964" s="16" t="n">
        <v>0.5821920625769744</v>
      </c>
      <c r="U1964" s="16" t="n">
        <v>0.6279655156898465</v>
      </c>
      <c r="V1964" s="16" t="n">
        <v>0.7255876135257904</v>
      </c>
      <c r="W1964" s="16" t="n">
        <v>0.5104026481698551</v>
      </c>
      <c r="X1964" s="16" t="n">
        <v>0.7381525183939386</v>
      </c>
      <c r="Y1964" s="16" t="n">
        <v>300.032917</v>
      </c>
      <c r="Z1964" s="16" t="n">
        <v>-8.55685332669275</v>
      </c>
      <c r="AA1964" s="16" t="n">
        <v>-67.59552905268583</v>
      </c>
      <c r="AB1964" s="16" t="n">
        <v>2600</v>
      </c>
      <c r="AC1964" s="16" t="n">
        <v>7.5</v>
      </c>
      <c r="AD1964" s="16" t="inlineStr">
        <is>
          <t>O2,O3</t>
        </is>
      </c>
      <c r="AE1964" s="16" t="n"/>
    </row>
    <row r="1965">
      <c r="A1965" s="16" t="inlineStr">
        <is>
          <t>KF-M05-3-0004</t>
        </is>
      </c>
      <c r="B1965" s="16" t="inlineStr">
        <is>
          <t>4.1</t>
        </is>
      </c>
      <c r="C1965" s="16" t="inlineStr">
        <is>
          <t>4.1c</t>
        </is>
      </c>
      <c r="D1965" s="16" t="inlineStr">
        <is>
          <t>conserva sus presiones y su clima</t>
        </is>
      </c>
      <c r="E1965" s="16" t="inlineStr">
        <is>
          <t>KF-M05</t>
        </is>
      </c>
      <c r="F1965" s="16" t="inlineStr">
        <is>
          <t>KF-M05-3</t>
        </is>
      </c>
      <c r="G1965" s="16" t="inlineStr">
        <is>
          <t>B09-3</t>
        </is>
      </c>
      <c r="H1965" s="16" t="inlineStr">
        <is>
          <t>lhs</t>
        </is>
      </c>
      <c r="I1965" s="16" t="inlineStr">
        <is>
          <t>NO_CONVERGIO</t>
        </is>
      </c>
      <c r="J1965" s="16" t="inlineStr">
        <is>
          <t>NO_CONVERGIO</t>
        </is>
      </c>
      <c r="K1965" s="16" t="b">
        <v>0</v>
      </c>
      <c r="L1965" s="16" t="b">
        <v>0</v>
      </c>
      <c r="M1965" s="16" t="b">
        <v>0</v>
      </c>
      <c r="N1965" s="16" t="b">
        <v>0</v>
      </c>
      <c r="O1965" s="16" t="n">
        <v>543.2952337068776</v>
      </c>
      <c r="P1965" s="16" t="n">
        <v>300.032917</v>
      </c>
      <c r="Q1965" s="16" t="n">
        <v>3000</v>
      </c>
      <c r="R1965" s="16" t="n">
        <v>400</v>
      </c>
      <c r="S1965" s="16" t="n">
        <v>0.8418107283277434</v>
      </c>
      <c r="T1965" s="16" t="n">
        <v>0.492766732987198</v>
      </c>
      <c r="U1965" s="16" t="n">
        <v>0.4852828794261784</v>
      </c>
      <c r="V1965" s="16" t="n">
        <v>0.5767089397524583</v>
      </c>
      <c r="W1965" s="16" t="n">
        <v>0.8035810418224558</v>
      </c>
      <c r="X1965" s="16" t="n">
        <v>0.8469473221989651</v>
      </c>
      <c r="Y1965" s="16" t="n">
        <v>300.032917</v>
      </c>
      <c r="Z1965" s="16" t="n"/>
      <c r="AA1965" s="16" t="n"/>
      <c r="AB1965" s="16" t="n">
        <v>2600</v>
      </c>
      <c r="AC1965" s="16" t="n">
        <v>7.5</v>
      </c>
      <c r="AD1965" s="16" t="n"/>
      <c r="AE1965" s="16" t="n"/>
    </row>
    <row r="1966">
      <c r="A1966" s="16" t="inlineStr">
        <is>
          <t>KF-M05-3-0005</t>
        </is>
      </c>
      <c r="B1966" s="16" t="inlineStr">
        <is>
          <t>4.1</t>
        </is>
      </c>
      <c r="C1966" s="16" t="inlineStr">
        <is>
          <t>4.1c</t>
        </is>
      </c>
      <c r="D1966" s="16" t="inlineStr">
        <is>
          <t>conserva sus presiones y su clima</t>
        </is>
      </c>
      <c r="E1966" s="16" t="inlineStr">
        <is>
          <t>KF-M05</t>
        </is>
      </c>
      <c r="F1966" s="16" t="inlineStr">
        <is>
          <t>KF-M05-3</t>
        </is>
      </c>
      <c r="G1966" s="16" t="inlineStr">
        <is>
          <t>B09-3</t>
        </is>
      </c>
      <c r="H1966" s="16" t="inlineStr">
        <is>
          <t>lhs</t>
        </is>
      </c>
      <c r="I1966" s="16" t="inlineStr">
        <is>
          <t>CORREGIBLE</t>
        </is>
      </c>
      <c r="J1966" s="16" t="inlineStr">
        <is>
          <t>CORREGIBLE</t>
        </is>
      </c>
      <c r="K1966" s="16" t="b">
        <v>1</v>
      </c>
      <c r="L1966" s="16" t="b">
        <v>0</v>
      </c>
      <c r="M1966" s="16" t="b">
        <v>1</v>
      </c>
      <c r="N1966" s="16" t="b">
        <v>0</v>
      </c>
      <c r="O1966" s="16" t="n">
        <v>507.0948543044822</v>
      </c>
      <c r="P1966" s="16" t="n">
        <v>300.032917</v>
      </c>
      <c r="Q1966" s="16" t="n">
        <v>3000</v>
      </c>
      <c r="R1966" s="16" t="n">
        <v>400</v>
      </c>
      <c r="S1966" s="16" t="n">
        <v>0.7379692506304664</v>
      </c>
      <c r="T1966" s="16" t="n">
        <v>0.931810134368766</v>
      </c>
      <c r="U1966" s="16" t="n">
        <v>0.9103950450784613</v>
      </c>
      <c r="V1966" s="16" t="n">
        <v>0.6980033583410504</v>
      </c>
      <c r="W1966" s="16" t="n">
        <v>0.5027405943218124</v>
      </c>
      <c r="X1966" s="16" t="n">
        <v>0.6699698035893451</v>
      </c>
      <c r="Y1966" s="16" t="n">
        <v>300.032917</v>
      </c>
      <c r="Z1966" s="16" t="n">
        <v>12.14238993160939</v>
      </c>
      <c r="AA1966" s="16" t="n">
        <v>86.08730272575633</v>
      </c>
      <c r="AB1966" s="16" t="n">
        <v>2600</v>
      </c>
      <c r="AC1966" s="16" t="n">
        <v>7.5</v>
      </c>
      <c r="AD1966" s="16" t="inlineStr">
        <is>
          <t>O1,O2</t>
        </is>
      </c>
      <c r="AE1966" s="16" t="n"/>
    </row>
    <row r="1967">
      <c r="A1967" s="16" t="inlineStr">
        <is>
          <t>KF-M05-3-0006</t>
        </is>
      </c>
      <c r="B1967" s="16" t="inlineStr">
        <is>
          <t>4.1</t>
        </is>
      </c>
      <c r="C1967" s="16" t="inlineStr">
        <is>
          <t>4.1c</t>
        </is>
      </c>
      <c r="D1967" s="16" t="inlineStr">
        <is>
          <t>conserva sus presiones y su clima</t>
        </is>
      </c>
      <c r="E1967" s="16" t="inlineStr">
        <is>
          <t>KF-M05</t>
        </is>
      </c>
      <c r="F1967" s="16" t="inlineStr">
        <is>
          <t>KF-M05-3</t>
        </is>
      </c>
      <c r="G1967" s="16" t="inlineStr">
        <is>
          <t>B09-3</t>
        </is>
      </c>
      <c r="H1967" s="16" t="inlineStr">
        <is>
          <t>lhs</t>
        </is>
      </c>
      <c r="I1967" s="16" t="inlineStr">
        <is>
          <t>N2</t>
        </is>
      </c>
      <c r="J1967" s="16" t="inlineStr">
        <is>
          <t>NO_CONVERGIO</t>
        </is>
      </c>
      <c r="K1967" s="16" t="b">
        <v>0</v>
      </c>
      <c r="L1967" s="16" t="b">
        <v>0</v>
      </c>
      <c r="M1967" s="16" t="b">
        <v>1</v>
      </c>
      <c r="N1967" s="16" t="b">
        <v>0</v>
      </c>
      <c r="O1967" s="16" t="n">
        <v>512.4578247441073</v>
      </c>
      <c r="P1967" s="16" t="n">
        <v>300.032917</v>
      </c>
      <c r="Q1967" s="16" t="n">
        <v>3000</v>
      </c>
      <c r="R1967" s="16" t="n">
        <v>400</v>
      </c>
      <c r="S1967" s="16" t="n">
        <v>0.5942900470569354</v>
      </c>
      <c r="T1967" s="16" t="n">
        <v>0.4161133788163209</v>
      </c>
      <c r="U1967" s="16" t="n">
        <v>0.6084509275637171</v>
      </c>
      <c r="V1967" s="16" t="n">
        <v>0.9136988117636244</v>
      </c>
      <c r="W1967" s="16" t="n">
        <v>0.5245606554345401</v>
      </c>
      <c r="X1967" s="16" t="n">
        <v>0.7495924491484312</v>
      </c>
      <c r="Y1967" s="16" t="n">
        <v>300.032917</v>
      </c>
      <c r="Z1967" s="16" t="n">
        <v>-2.80298253615117</v>
      </c>
      <c r="AA1967" s="16" t="n">
        <v>-36.54626555686187</v>
      </c>
      <c r="AB1967" s="16" t="n">
        <v>2600</v>
      </c>
      <c r="AC1967" s="16" t="n">
        <v>7.5</v>
      </c>
      <c r="AD1967" s="16" t="inlineStr">
        <is>
          <t>N2,O2,O3,O5,C1,C3,C3</t>
        </is>
      </c>
      <c r="AE1967" s="16" t="n"/>
    </row>
    <row r="1968">
      <c r="A1968" s="16" t="inlineStr">
        <is>
          <t>KF-M05-3-0007</t>
        </is>
      </c>
      <c r="B1968" s="16" t="inlineStr">
        <is>
          <t>4.1</t>
        </is>
      </c>
      <c r="C1968" s="16" t="inlineStr">
        <is>
          <t>4.1c</t>
        </is>
      </c>
      <c r="D1968" s="16" t="inlineStr">
        <is>
          <t>conserva sus presiones y su clima</t>
        </is>
      </c>
      <c r="E1968" s="16" t="inlineStr">
        <is>
          <t>KF-M05</t>
        </is>
      </c>
      <c r="F1968" s="16" t="inlineStr">
        <is>
          <t>KF-M05-3</t>
        </is>
      </c>
      <c r="G1968" s="16" t="inlineStr">
        <is>
          <t>B09-3</t>
        </is>
      </c>
      <c r="H1968" s="16" t="inlineStr">
        <is>
          <t>lhs</t>
        </is>
      </c>
      <c r="I1968" s="16" t="inlineStr">
        <is>
          <t>CORREGIBLE</t>
        </is>
      </c>
      <c r="J1968" s="16" t="inlineStr">
        <is>
          <t>CORREGIBLE</t>
        </is>
      </c>
      <c r="K1968" s="16" t="b">
        <v>1</v>
      </c>
      <c r="L1968" s="16" t="b">
        <v>0</v>
      </c>
      <c r="M1968" s="16" t="b">
        <v>1</v>
      </c>
      <c r="N1968" s="16" t="b">
        <v>0</v>
      </c>
      <c r="O1968" s="16" t="n">
        <v>590.4618899207727</v>
      </c>
      <c r="P1968" s="16" t="n">
        <v>300.032917</v>
      </c>
      <c r="Q1968" s="16" t="n">
        <v>3000</v>
      </c>
      <c r="R1968" s="16" t="n">
        <v>400</v>
      </c>
      <c r="S1968" s="16" t="n">
        <v>0.5263980705431835</v>
      </c>
      <c r="T1968" s="16" t="n">
        <v>0.4674690455902059</v>
      </c>
      <c r="U1968" s="16" t="n">
        <v>0.8178875330122113</v>
      </c>
      <c r="V1968" s="16" t="n">
        <v>0.7511039636021966</v>
      </c>
      <c r="W1968" s="16" t="n">
        <v>0.4667092331467534</v>
      </c>
      <c r="X1968" s="16" t="n">
        <v>0.7769532613812415</v>
      </c>
      <c r="Y1968" s="16" t="n">
        <v>300.032917</v>
      </c>
      <c r="Z1968" s="16" t="n">
        <v>5.18963629408673</v>
      </c>
      <c r="AA1968" s="16" t="n">
        <v>82.26496337682738</v>
      </c>
      <c r="AB1968" s="16" t="n">
        <v>2600</v>
      </c>
      <c r="AC1968" s="16" t="n">
        <v>7.5</v>
      </c>
      <c r="AD1968" s="16" t="inlineStr">
        <is>
          <t>O2</t>
        </is>
      </c>
      <c r="AE1968" s="16" t="n"/>
    </row>
    <row r="1969">
      <c r="A1969" s="16" t="inlineStr">
        <is>
          <t>KF-M05-3-0008</t>
        </is>
      </c>
      <c r="B1969" s="16" t="inlineStr">
        <is>
          <t>4.1</t>
        </is>
      </c>
      <c r="C1969" s="16" t="inlineStr">
        <is>
          <t>4.1c</t>
        </is>
      </c>
      <c r="D1969" s="16" t="inlineStr">
        <is>
          <t>conserva sus presiones y su clima</t>
        </is>
      </c>
      <c r="E1969" s="16" t="inlineStr">
        <is>
          <t>KF-M05</t>
        </is>
      </c>
      <c r="F1969" s="16" t="inlineStr">
        <is>
          <t>KF-M05-3</t>
        </is>
      </c>
      <c r="G1969" s="16" t="inlineStr">
        <is>
          <t>B09-3</t>
        </is>
      </c>
      <c r="H1969" s="16" t="inlineStr">
        <is>
          <t>lhs</t>
        </is>
      </c>
      <c r="I1969" s="16" t="inlineStr">
        <is>
          <t>INVIABLE</t>
        </is>
      </c>
      <c r="J1969" s="16" t="inlineStr">
        <is>
          <t>INVIABLE</t>
        </is>
      </c>
      <c r="K1969" s="16" t="b">
        <v>1</v>
      </c>
      <c r="L1969" s="16" t="b">
        <v>0</v>
      </c>
      <c r="M1969" s="16" t="b">
        <v>1</v>
      </c>
      <c r="N1969" s="16" t="b">
        <v>0</v>
      </c>
      <c r="O1969" s="16" t="n">
        <v>568.2447371101306</v>
      </c>
      <c r="P1969" s="16" t="n">
        <v>300.032917</v>
      </c>
      <c r="Q1969" s="16" t="n">
        <v>3000</v>
      </c>
      <c r="R1969" s="16" t="n">
        <v>400</v>
      </c>
      <c r="S1969" s="16" t="n">
        <v>0.7932394989156977</v>
      </c>
      <c r="T1969" s="16" t="n">
        <v>0.5489582732686098</v>
      </c>
      <c r="U1969" s="16" t="n">
        <v>0.9087417107705692</v>
      </c>
      <c r="V1969" s="16" t="n">
        <v>0.4938006812732478</v>
      </c>
      <c r="W1969" s="16" t="n">
        <v>0.6554296409560706</v>
      </c>
      <c r="X1969" s="16" t="n">
        <v>0.946851053844498</v>
      </c>
      <c r="Y1969" s="16" t="n">
        <v>300.032917</v>
      </c>
      <c r="Z1969" s="16" t="n">
        <v>-5.445864314047711</v>
      </c>
      <c r="AA1969" s="16" t="n">
        <v>-32.99011468093212</v>
      </c>
      <c r="AB1969" s="16" t="n">
        <v>2600</v>
      </c>
      <c r="AC1969" s="16" t="n">
        <v>7.5</v>
      </c>
      <c r="AD1969" s="16" t="inlineStr">
        <is>
          <t>O2,O3</t>
        </is>
      </c>
      <c r="AE1969" s="16" t="n"/>
    </row>
    <row r="1970">
      <c r="A1970" s="16" t="inlineStr">
        <is>
          <t>KF-M05-3-0009</t>
        </is>
      </c>
      <c r="B1970" s="16" t="inlineStr">
        <is>
          <t>4.1</t>
        </is>
      </c>
      <c r="C1970" s="16" t="inlineStr">
        <is>
          <t>4.1c</t>
        </is>
      </c>
      <c r="D1970" s="16" t="inlineStr">
        <is>
          <t>conserva sus presiones y su clima</t>
        </is>
      </c>
      <c r="E1970" s="16" t="inlineStr">
        <is>
          <t>KF-M05</t>
        </is>
      </c>
      <c r="F1970" s="16" t="inlineStr">
        <is>
          <t>KF-M05-3</t>
        </is>
      </c>
      <c r="G1970" s="16" t="inlineStr">
        <is>
          <t>B09-3</t>
        </is>
      </c>
      <c r="H1970" s="16" t="inlineStr">
        <is>
          <t>lhs</t>
        </is>
      </c>
      <c r="I1970" s="16" t="inlineStr">
        <is>
          <t>INVIABLE</t>
        </is>
      </c>
      <c r="J1970" s="16" t="inlineStr">
        <is>
          <t>INVIABLE</t>
        </is>
      </c>
      <c r="K1970" s="16" t="b">
        <v>1</v>
      </c>
      <c r="L1970" s="16" t="b">
        <v>0</v>
      </c>
      <c r="M1970" s="16" t="b">
        <v>1</v>
      </c>
      <c r="N1970" s="16" t="b">
        <v>0</v>
      </c>
      <c r="O1970" s="16" t="n">
        <v>491.4082682154102</v>
      </c>
      <c r="P1970" s="16" t="n">
        <v>300.032917</v>
      </c>
      <c r="Q1970" s="16" t="n">
        <v>3000</v>
      </c>
      <c r="R1970" s="16" t="n">
        <v>400</v>
      </c>
      <c r="S1970" s="16" t="n">
        <v>0.6595986617202141</v>
      </c>
      <c r="T1970" s="16" t="n">
        <v>0.6177617170012435</v>
      </c>
      <c r="U1970" s="16" t="n">
        <v>0.6539841874080994</v>
      </c>
      <c r="V1970" s="16" t="n">
        <v>0.4769752007547694</v>
      </c>
      <c r="W1970" s="16" t="n">
        <v>0.4585751050010646</v>
      </c>
      <c r="X1970" s="16" t="n">
        <v>0.532372045850974</v>
      </c>
      <c r="Y1970" s="16" t="n">
        <v>300.032917</v>
      </c>
      <c r="Z1970" s="16" t="n">
        <v>-20.69400705273402</v>
      </c>
      <c r="AA1970" s="16" t="n">
        <v>-101.2537546614108</v>
      </c>
      <c r="AB1970" s="16" t="n">
        <v>2600</v>
      </c>
      <c r="AC1970" s="16" t="n">
        <v>7.5</v>
      </c>
      <c r="AD1970" s="16" t="inlineStr">
        <is>
          <t>O2,O3</t>
        </is>
      </c>
      <c r="AE1970" s="16" t="n"/>
    </row>
    <row r="1971">
      <c r="A1971" s="16" t="inlineStr">
        <is>
          <t>KF-M05-3-0010</t>
        </is>
      </c>
      <c r="B1971" s="16" t="inlineStr">
        <is>
          <t>4.1</t>
        </is>
      </c>
      <c r="C1971" s="16" t="inlineStr">
        <is>
          <t>4.1c</t>
        </is>
      </c>
      <c r="D1971" s="16" t="inlineStr">
        <is>
          <t>conserva sus presiones y su clima</t>
        </is>
      </c>
      <c r="E1971" s="16" t="inlineStr">
        <is>
          <t>KF-M05</t>
        </is>
      </c>
      <c r="F1971" s="16" t="inlineStr">
        <is>
          <t>KF-M05-3</t>
        </is>
      </c>
      <c r="G1971" s="16" t="inlineStr">
        <is>
          <t>B09-3</t>
        </is>
      </c>
      <c r="H1971" s="16" t="inlineStr">
        <is>
          <t>lhs</t>
        </is>
      </c>
      <c r="I1971" s="16" t="inlineStr">
        <is>
          <t>INVIABLE</t>
        </is>
      </c>
      <c r="J1971" s="16" t="inlineStr">
        <is>
          <t>INVIABLE</t>
        </is>
      </c>
      <c r="K1971" s="16" t="b">
        <v>1</v>
      </c>
      <c r="L1971" s="16" t="b">
        <v>0</v>
      </c>
      <c r="M1971" s="16" t="b">
        <v>1</v>
      </c>
      <c r="N1971" s="16" t="b">
        <v>0</v>
      </c>
      <c r="O1971" s="16" t="n">
        <v>609.1063808251395</v>
      </c>
      <c r="P1971" s="16" t="n">
        <v>300.032917</v>
      </c>
      <c r="Q1971" s="16" t="n">
        <v>3000</v>
      </c>
      <c r="R1971" s="16" t="n">
        <v>400</v>
      </c>
      <c r="S1971" s="16" t="n">
        <v>0.6116980690018408</v>
      </c>
      <c r="T1971" s="16" t="n">
        <v>0.7641887427603294</v>
      </c>
      <c r="U1971" s="16" t="n">
        <v>0.4378109757169539</v>
      </c>
      <c r="V1971" s="16" t="n">
        <v>0.5389517691857563</v>
      </c>
      <c r="W1971" s="16" t="n">
        <v>0.8358000762192723</v>
      </c>
      <c r="X1971" s="16" t="n">
        <v>0.4975210361061862</v>
      </c>
      <c r="Y1971" s="16" t="n">
        <v>300.032917</v>
      </c>
      <c r="Z1971" s="16" t="n">
        <v>-30.10908133336867</v>
      </c>
      <c r="AA1971" s="16" t="n">
        <v>-180.3689617529068</v>
      </c>
      <c r="AB1971" s="16" t="n">
        <v>2600</v>
      </c>
      <c r="AC1971" s="16" t="n">
        <v>7.5</v>
      </c>
      <c r="AD1971" s="16" t="inlineStr">
        <is>
          <t>O2,O3</t>
        </is>
      </c>
      <c r="AE1971" s="16" t="n"/>
    </row>
    <row r="1972">
      <c r="A1972" s="16" t="inlineStr">
        <is>
          <t>KF-M05-3-0011</t>
        </is>
      </c>
      <c r="B1972" s="16" t="inlineStr">
        <is>
          <t>4.1</t>
        </is>
      </c>
      <c r="C1972" s="16" t="inlineStr">
        <is>
          <t>4.1c</t>
        </is>
      </c>
      <c r="D1972" s="16" t="inlineStr">
        <is>
          <t>conserva sus presiones y su clima</t>
        </is>
      </c>
      <c r="E1972" s="16" t="inlineStr">
        <is>
          <t>KF-M05</t>
        </is>
      </c>
      <c r="F1972" s="16" t="inlineStr">
        <is>
          <t>KF-M05-3</t>
        </is>
      </c>
      <c r="G1972" s="16" t="inlineStr">
        <is>
          <t>B09-3</t>
        </is>
      </c>
      <c r="H1972" s="16" t="inlineStr">
        <is>
          <t>lhs</t>
        </is>
      </c>
      <c r="I1972" s="16" t="inlineStr">
        <is>
          <t>INVIABLE</t>
        </is>
      </c>
      <c r="J1972" s="16" t="inlineStr">
        <is>
          <t>INVIABLE</t>
        </is>
      </c>
      <c r="K1972" s="16" t="b">
        <v>1</v>
      </c>
      <c r="L1972" s="16" t="b">
        <v>0</v>
      </c>
      <c r="M1972" s="16" t="b">
        <v>1</v>
      </c>
      <c r="N1972" s="16" t="b">
        <v>0</v>
      </c>
      <c r="O1972" s="16" t="n">
        <v>532.6751081064658</v>
      </c>
      <c r="P1972" s="16" t="n">
        <v>300.032917</v>
      </c>
      <c r="Q1972" s="16" t="n">
        <v>3000</v>
      </c>
      <c r="R1972" s="16" t="n">
        <v>400</v>
      </c>
      <c r="S1972" s="16" t="n">
        <v>0.6147245107538609</v>
      </c>
      <c r="T1972" s="16" t="n">
        <v>0.447207008096016</v>
      </c>
      <c r="U1972" s="16" t="n">
        <v>0.4063995791549714</v>
      </c>
      <c r="V1972" s="16" t="n">
        <v>0.6937516652254687</v>
      </c>
      <c r="W1972" s="16" t="n">
        <v>0.4196071358199563</v>
      </c>
      <c r="X1972" s="16" t="n">
        <v>0.8610034670233442</v>
      </c>
      <c r="Y1972" s="16" t="n">
        <v>300.032917</v>
      </c>
      <c r="Z1972" s="16" t="n">
        <v>-4.00171893846923</v>
      </c>
      <c r="AA1972" s="16" t="n">
        <v>-47.82596735897582</v>
      </c>
      <c r="AB1972" s="16" t="n">
        <v>2600</v>
      </c>
      <c r="AC1972" s="16" t="n">
        <v>7.5</v>
      </c>
      <c r="AD1972" s="16" t="inlineStr">
        <is>
          <t>O2,O3</t>
        </is>
      </c>
      <c r="AE1972" s="16" t="n"/>
    </row>
    <row r="1973">
      <c r="A1973" s="16" t="inlineStr">
        <is>
          <t>KF-M05-3-0012</t>
        </is>
      </c>
      <c r="B1973" s="16" t="inlineStr">
        <is>
          <t>4.1</t>
        </is>
      </c>
      <c r="C1973" s="16" t="inlineStr">
        <is>
          <t>4.1c</t>
        </is>
      </c>
      <c r="D1973" s="16" t="inlineStr">
        <is>
          <t>conserva sus presiones y su clima</t>
        </is>
      </c>
      <c r="E1973" s="16" t="inlineStr">
        <is>
          <t>KF-M05</t>
        </is>
      </c>
      <c r="F1973" s="16" t="inlineStr">
        <is>
          <t>KF-M05-3</t>
        </is>
      </c>
      <c r="G1973" s="16" t="inlineStr">
        <is>
          <t>B09-3</t>
        </is>
      </c>
      <c r="H1973" s="16" t="inlineStr">
        <is>
          <t>lhs</t>
        </is>
      </c>
      <c r="I1973" s="16" t="inlineStr">
        <is>
          <t>CORREGIBLE</t>
        </is>
      </c>
      <c r="J1973" s="16" t="inlineStr">
        <is>
          <t>CORREGIBLE</t>
        </is>
      </c>
      <c r="K1973" s="16" t="b">
        <v>1</v>
      </c>
      <c r="L1973" s="16" t="b">
        <v>0</v>
      </c>
      <c r="M1973" s="16" t="b">
        <v>1</v>
      </c>
      <c r="N1973" s="16" t="b">
        <v>0</v>
      </c>
      <c r="O1973" s="16" t="n">
        <v>551.0090842931465</v>
      </c>
      <c r="P1973" s="16" t="n">
        <v>300.032917</v>
      </c>
      <c r="Q1973" s="16" t="n">
        <v>3000</v>
      </c>
      <c r="R1973" s="16" t="n">
        <v>400</v>
      </c>
      <c r="S1973" s="16" t="n">
        <v>0.6390020178394764</v>
      </c>
      <c r="T1973" s="16" t="n">
        <v>0.640669458466725</v>
      </c>
      <c r="U1973" s="16" t="n">
        <v>0.8139127047632136</v>
      </c>
      <c r="V1973" s="16" t="n">
        <v>0.8116307509041087</v>
      </c>
      <c r="W1973" s="16" t="n">
        <v>0.7428661607207983</v>
      </c>
      <c r="X1973" s="16" t="n">
        <v>0.787609982773286</v>
      </c>
      <c r="Y1973" s="16" t="n">
        <v>300.032917</v>
      </c>
      <c r="Z1973" s="16" t="n">
        <v>5.78741041076415</v>
      </c>
      <c r="AA1973" s="16" t="n">
        <v>74.81818211914</v>
      </c>
      <c r="AB1973" s="16" t="n">
        <v>2600</v>
      </c>
      <c r="AC1973" s="16" t="n">
        <v>7.5</v>
      </c>
      <c r="AD1973" s="16" t="inlineStr">
        <is>
          <t>O2</t>
        </is>
      </c>
      <c r="AE1973" s="16" t="n"/>
    </row>
    <row r="1974">
      <c r="A1974" s="16" t="inlineStr">
        <is>
          <t>KF-M05-3-0013</t>
        </is>
      </c>
      <c r="B1974" s="16" t="inlineStr">
        <is>
          <t>4.1</t>
        </is>
      </c>
      <c r="C1974" s="16" t="inlineStr">
        <is>
          <t>4.1c</t>
        </is>
      </c>
      <c r="D1974" s="16" t="inlineStr">
        <is>
          <t>conserva sus presiones y su clima</t>
        </is>
      </c>
      <c r="E1974" s="16" t="inlineStr">
        <is>
          <t>KF-M05</t>
        </is>
      </c>
      <c r="F1974" s="16" t="inlineStr">
        <is>
          <t>KF-M05-3</t>
        </is>
      </c>
      <c r="G1974" s="16" t="inlineStr">
        <is>
          <t>B09-3</t>
        </is>
      </c>
      <c r="H1974" s="16" t="inlineStr">
        <is>
          <t>lhs</t>
        </is>
      </c>
      <c r="I1974" s="16" t="inlineStr">
        <is>
          <t>INVIABLE</t>
        </is>
      </c>
      <c r="J1974" s="16" t="inlineStr">
        <is>
          <t>INVIABLE</t>
        </is>
      </c>
      <c r="K1974" s="16" t="b">
        <v>1</v>
      </c>
      <c r="L1974" s="16" t="b">
        <v>0</v>
      </c>
      <c r="M1974" s="16" t="b">
        <v>0</v>
      </c>
      <c r="N1974" s="16" t="b">
        <v>0</v>
      </c>
      <c r="O1974" s="16" t="n">
        <v>412.946154199088</v>
      </c>
      <c r="P1974" s="16" t="n">
        <v>300.032917</v>
      </c>
      <c r="Q1974" s="16" t="n">
        <v>3000</v>
      </c>
      <c r="R1974" s="16" t="n">
        <v>400</v>
      </c>
      <c r="S1974" s="16" t="n">
        <v>0.7267798833634042</v>
      </c>
      <c r="T1974" s="16" t="n">
        <v>0.4086064574119308</v>
      </c>
      <c r="U1974" s="16" t="n">
        <v>0.8781478458327829</v>
      </c>
      <c r="V1974" s="16" t="n">
        <v>0.7965983861233046</v>
      </c>
      <c r="W1974" s="16" t="n">
        <v>0.4118815940135686</v>
      </c>
      <c r="X1974" s="16" t="n">
        <v>0.6331095621837177</v>
      </c>
      <c r="Y1974" s="16" t="n">
        <v>300.032917</v>
      </c>
      <c r="Z1974" s="16" t="n">
        <v>-39.77031042259333</v>
      </c>
      <c r="AA1974" s="16" t="n">
        <v>-102.4858765127163</v>
      </c>
      <c r="AB1974" s="16" t="n">
        <v>2600</v>
      </c>
      <c r="AC1974" s="16" t="n">
        <v>7.5</v>
      </c>
      <c r="AD1974" s="16" t="inlineStr">
        <is>
          <t>O2,O3</t>
        </is>
      </c>
      <c r="AE1974" s="16" t="n"/>
    </row>
    <row r="1975">
      <c r="A1975" s="16" t="inlineStr">
        <is>
          <t>KF-M05-3-0014</t>
        </is>
      </c>
      <c r="B1975" s="16" t="inlineStr">
        <is>
          <t>4.1</t>
        </is>
      </c>
      <c r="C1975" s="16" t="inlineStr">
        <is>
          <t>4.1c</t>
        </is>
      </c>
      <c r="D1975" s="16" t="inlineStr">
        <is>
          <t>conserva sus presiones y su clima</t>
        </is>
      </c>
      <c r="E1975" s="16" t="inlineStr">
        <is>
          <t>KF-M05</t>
        </is>
      </c>
      <c r="F1975" s="16" t="inlineStr">
        <is>
          <t>KF-M05-3</t>
        </is>
      </c>
      <c r="G1975" s="16" t="inlineStr">
        <is>
          <t>B09-3</t>
        </is>
      </c>
      <c r="H1975" s="16" t="inlineStr">
        <is>
          <t>lhs</t>
        </is>
      </c>
      <c r="I1975" s="16" t="inlineStr">
        <is>
          <t>INVIABLE</t>
        </is>
      </c>
      <c r="J1975" s="16" t="inlineStr">
        <is>
          <t>INVIABLE</t>
        </is>
      </c>
      <c r="K1975" s="16" t="b">
        <v>1</v>
      </c>
      <c r="L1975" s="16" t="b">
        <v>0</v>
      </c>
      <c r="M1975" s="16" t="b">
        <v>0</v>
      </c>
      <c r="N1975" s="16" t="b">
        <v>0</v>
      </c>
      <c r="O1975" s="16" t="n">
        <v>390.6056340373186</v>
      </c>
      <c r="P1975" s="16" t="n">
        <v>300.032917</v>
      </c>
      <c r="Q1975" s="16" t="n">
        <v>3000</v>
      </c>
      <c r="R1975" s="16" t="n">
        <v>400</v>
      </c>
      <c r="S1975" s="16" t="n">
        <v>0.6359438418492387</v>
      </c>
      <c r="T1975" s="16" t="n">
        <v>0.5691025866150687</v>
      </c>
      <c r="U1975" s="16" t="n">
        <v>0.5068573124528579</v>
      </c>
      <c r="V1975" s="16" t="n">
        <v>0.4469782717290895</v>
      </c>
      <c r="W1975" s="16" t="n">
        <v>0.438209100832393</v>
      </c>
      <c r="X1975" s="16" t="n">
        <v>0.6410822185241565</v>
      </c>
      <c r="Y1975" s="16" t="n">
        <v>300.032917</v>
      </c>
      <c r="Z1975" s="16" t="n">
        <v>-91.1982271503674</v>
      </c>
      <c r="AA1975" s="16" t="n">
        <v>-97.87739840707832</v>
      </c>
      <c r="AB1975" s="16" t="n">
        <v>2600</v>
      </c>
      <c r="AC1975" s="16" t="n">
        <v>7.5</v>
      </c>
      <c r="AD1975" s="16" t="inlineStr">
        <is>
          <t>O2,O3</t>
        </is>
      </c>
      <c r="AE1975" s="16" t="n"/>
    </row>
    <row r="1976">
      <c r="A1976" s="16" t="inlineStr">
        <is>
          <t>KF-M05-3-0015</t>
        </is>
      </c>
      <c r="B1976" s="16" t="inlineStr">
        <is>
          <t>4.1</t>
        </is>
      </c>
      <c r="C1976" s="16" t="inlineStr">
        <is>
          <t>4.1c</t>
        </is>
      </c>
      <c r="D1976" s="16" t="inlineStr">
        <is>
          <t>conserva sus presiones y su clima</t>
        </is>
      </c>
      <c r="E1976" s="16" t="inlineStr">
        <is>
          <t>KF-M05</t>
        </is>
      </c>
      <c r="F1976" s="16" t="inlineStr">
        <is>
          <t>KF-M05-3</t>
        </is>
      </c>
      <c r="G1976" s="16" t="inlineStr">
        <is>
          <t>B09-3</t>
        </is>
      </c>
      <c r="H1976" s="16" t="inlineStr">
        <is>
          <t>lhs</t>
        </is>
      </c>
      <c r="I1976" s="16" t="inlineStr">
        <is>
          <t>CORREGIBLE</t>
        </is>
      </c>
      <c r="J1976" s="16" t="inlineStr">
        <is>
          <t>CORREGIBLE</t>
        </is>
      </c>
      <c r="K1976" s="16" t="b">
        <v>1</v>
      </c>
      <c r="L1976" s="16" t="b">
        <v>0</v>
      </c>
      <c r="M1976" s="16" t="b">
        <v>1</v>
      </c>
      <c r="N1976" s="16" t="b">
        <v>0</v>
      </c>
      <c r="O1976" s="16" t="n">
        <v>553.8082039052807</v>
      </c>
      <c r="P1976" s="16" t="n">
        <v>300.032917</v>
      </c>
      <c r="Q1976" s="16" t="n">
        <v>3000</v>
      </c>
      <c r="R1976" s="16" t="n">
        <v>400</v>
      </c>
      <c r="S1976" s="16" t="n">
        <v>0.5447004326707359</v>
      </c>
      <c r="T1976" s="16" t="n">
        <v>0.5890490280331356</v>
      </c>
      <c r="U1976" s="16" t="n">
        <v>0.945013231971606</v>
      </c>
      <c r="V1976" s="16" t="n">
        <v>0.4228429427927286</v>
      </c>
      <c r="W1976" s="16" t="n">
        <v>0.6910833145852511</v>
      </c>
      <c r="X1976" s="16" t="n">
        <v>0.4792143232393099</v>
      </c>
      <c r="Y1976" s="16" t="n">
        <v>300.032917</v>
      </c>
      <c r="Z1976" s="16" t="n">
        <v>0.75488205661574</v>
      </c>
      <c r="AA1976" s="16" t="n">
        <v>5.037876387032668</v>
      </c>
      <c r="AB1976" s="16" t="n">
        <v>2600</v>
      </c>
      <c r="AC1976" s="16" t="n">
        <v>7.5</v>
      </c>
      <c r="AD1976" s="16" t="inlineStr">
        <is>
          <t>O2</t>
        </is>
      </c>
      <c r="AE1976" s="16" t="n"/>
    </row>
    <row r="1977">
      <c r="A1977" s="16" t="inlineStr">
        <is>
          <t>KF-M05-3-0016</t>
        </is>
      </c>
      <c r="B1977" s="16" t="inlineStr">
        <is>
          <t>4.1</t>
        </is>
      </c>
      <c r="C1977" s="16" t="inlineStr">
        <is>
          <t>4.1c</t>
        </is>
      </c>
      <c r="D1977" s="16" t="inlineStr">
        <is>
          <t>conserva sus presiones y su clima</t>
        </is>
      </c>
      <c r="E1977" s="16" t="inlineStr">
        <is>
          <t>KF-M05</t>
        </is>
      </c>
      <c r="F1977" s="16" t="inlineStr">
        <is>
          <t>KF-M05-3</t>
        </is>
      </c>
      <c r="G1977" s="16" t="inlineStr">
        <is>
          <t>B09-3</t>
        </is>
      </c>
      <c r="H1977" s="16" t="inlineStr">
        <is>
          <t>lhs</t>
        </is>
      </c>
      <c r="I1977" s="16" t="inlineStr">
        <is>
          <t>NO_CONVERGIO</t>
        </is>
      </c>
      <c r="J1977" s="16" t="inlineStr">
        <is>
          <t>NO_CONVERGIO</t>
        </is>
      </c>
      <c r="K1977" s="16" t="b">
        <v>0</v>
      </c>
      <c r="L1977" s="16" t="b">
        <v>0</v>
      </c>
      <c r="M1977" s="16" t="b">
        <v>0</v>
      </c>
      <c r="N1977" s="16" t="b">
        <v>0</v>
      </c>
      <c r="O1977" s="16" t="n">
        <v>600.7840314827683</v>
      </c>
      <c r="P1977" s="16" t="n">
        <v>300.032917</v>
      </c>
      <c r="Q1977" s="16" t="n">
        <v>3000</v>
      </c>
      <c r="R1977" s="16" t="n">
        <v>400</v>
      </c>
      <c r="S1977" s="16" t="n">
        <v>0.5544017235231474</v>
      </c>
      <c r="T1977" s="16" t="n">
        <v>0.4215242054116107</v>
      </c>
      <c r="U1977" s="16" t="n">
        <v>0.5873813618163921</v>
      </c>
      <c r="V1977" s="16" t="n">
        <v>0.8664484790311255</v>
      </c>
      <c r="W1977" s="16" t="n">
        <v>0.5976329682575994</v>
      </c>
      <c r="X1977" s="16" t="n">
        <v>0.7028215589297018</v>
      </c>
      <c r="Y1977" s="16" t="n">
        <v>300.032917</v>
      </c>
      <c r="Z1977" s="16" t="n"/>
      <c r="AA1977" s="16" t="n"/>
      <c r="AB1977" s="16" t="n">
        <v>2600</v>
      </c>
      <c r="AC1977" s="16" t="n">
        <v>7.5</v>
      </c>
      <c r="AD1977" s="16" t="n"/>
      <c r="AE1977" s="16" t="n"/>
    </row>
    <row r="1978">
      <c r="A1978" s="16" t="inlineStr">
        <is>
          <t>KF-M05-3-0017</t>
        </is>
      </c>
      <c r="B1978" s="16" t="inlineStr">
        <is>
          <t>4.1</t>
        </is>
      </c>
      <c r="C1978" s="16" t="inlineStr">
        <is>
          <t>4.1c</t>
        </is>
      </c>
      <c r="D1978" s="16" t="inlineStr">
        <is>
          <t>conserva sus presiones y su clima</t>
        </is>
      </c>
      <c r="E1978" s="16" t="inlineStr">
        <is>
          <t>KF-M05</t>
        </is>
      </c>
      <c r="F1978" s="16" t="inlineStr">
        <is>
          <t>KF-M05-3</t>
        </is>
      </c>
      <c r="G1978" s="16" t="inlineStr">
        <is>
          <t>B09-3</t>
        </is>
      </c>
      <c r="H1978" s="16" t="inlineStr">
        <is>
          <t>lhs</t>
        </is>
      </c>
      <c r="I1978" s="16" t="inlineStr">
        <is>
          <t>NO_CONVERGIO</t>
        </is>
      </c>
      <c r="J1978" s="16" t="inlineStr">
        <is>
          <t>NO_CONVERGIO</t>
        </is>
      </c>
      <c r="K1978" s="16" t="b">
        <v>0</v>
      </c>
      <c r="L1978" s="16" t="b">
        <v>0</v>
      </c>
      <c r="M1978" s="16" t="b">
        <v>0</v>
      </c>
      <c r="N1978" s="16" t="b">
        <v>0</v>
      </c>
      <c r="O1978" s="16" t="n">
        <v>556.5731043585099</v>
      </c>
      <c r="P1978" s="16" t="n">
        <v>300.032917</v>
      </c>
      <c r="Q1978" s="16" t="n">
        <v>3000</v>
      </c>
      <c r="R1978" s="16" t="n">
        <v>400</v>
      </c>
      <c r="S1978" s="16" t="n">
        <v>0.7786092011571454</v>
      </c>
      <c r="T1978" s="16" t="n">
        <v>0.8541923114824975</v>
      </c>
      <c r="U1978" s="16" t="n">
        <v>0.7612365928421247</v>
      </c>
      <c r="V1978" s="16" t="n">
        <v>0.9248847044199332</v>
      </c>
      <c r="W1978" s="16" t="n">
        <v>0.911992332795586</v>
      </c>
      <c r="X1978" s="16" t="n">
        <v>0.5847588182307909</v>
      </c>
      <c r="Y1978" s="16" t="n">
        <v>300.032917</v>
      </c>
      <c r="Z1978" s="16" t="n"/>
      <c r="AA1978" s="16" t="n"/>
      <c r="AB1978" s="16" t="n">
        <v>2600</v>
      </c>
      <c r="AC1978" s="16" t="n">
        <v>7.5</v>
      </c>
      <c r="AD1978" s="16" t="n"/>
      <c r="AE1978" s="16" t="n"/>
    </row>
    <row r="1979">
      <c r="A1979" s="16" t="inlineStr">
        <is>
          <t>KF-M05-3-0018</t>
        </is>
      </c>
      <c r="B1979" s="16" t="inlineStr">
        <is>
          <t>4.1</t>
        </is>
      </c>
      <c r="C1979" s="16" t="inlineStr">
        <is>
          <t>4.1c</t>
        </is>
      </c>
      <c r="D1979" s="16" t="inlineStr">
        <is>
          <t>conserva sus presiones y su clima</t>
        </is>
      </c>
      <c r="E1979" s="16" t="inlineStr">
        <is>
          <t>KF-M05</t>
        </is>
      </c>
      <c r="F1979" s="16" t="inlineStr">
        <is>
          <t>KF-M05-3</t>
        </is>
      </c>
      <c r="G1979" s="16" t="inlineStr">
        <is>
          <t>B09-3</t>
        </is>
      </c>
      <c r="H1979" s="16" t="inlineStr">
        <is>
          <t>lhs</t>
        </is>
      </c>
      <c r="I1979" s="16" t="inlineStr">
        <is>
          <t>INVIABLE</t>
        </is>
      </c>
      <c r="J1979" s="16" t="inlineStr">
        <is>
          <t>INVIABLE</t>
        </is>
      </c>
      <c r="K1979" s="16" t="b">
        <v>1</v>
      </c>
      <c r="L1979" s="16" t="b">
        <v>0</v>
      </c>
      <c r="M1979" s="16" t="b">
        <v>0</v>
      </c>
      <c r="N1979" s="16" t="b">
        <v>0</v>
      </c>
      <c r="O1979" s="16" t="n">
        <v>425.0056405326238</v>
      </c>
      <c r="P1979" s="16" t="n">
        <v>300.032917</v>
      </c>
      <c r="Q1979" s="16" t="n">
        <v>3000</v>
      </c>
      <c r="R1979" s="16" t="n">
        <v>400</v>
      </c>
      <c r="S1979" s="16" t="n">
        <v>0.8122892861893598</v>
      </c>
      <c r="T1979" s="16" t="n">
        <v>0.8157696589247451</v>
      </c>
      <c r="U1979" s="16" t="n">
        <v>0.7712348221321236</v>
      </c>
      <c r="V1979" s="16" t="n">
        <v>0.6814177677499869</v>
      </c>
      <c r="W1979" s="16" t="n">
        <v>0.913488757543204</v>
      </c>
      <c r="X1979" s="16" t="n">
        <v>0.7674178544991119</v>
      </c>
      <c r="Y1979" s="16" t="n">
        <v>300.032917</v>
      </c>
      <c r="Z1979" s="16" t="n">
        <v>-14.67267600697272</v>
      </c>
      <c r="AA1979" s="16" t="n">
        <v>-44.90275516688453</v>
      </c>
      <c r="AB1979" s="16" t="n">
        <v>2600</v>
      </c>
      <c r="AC1979" s="16" t="n">
        <v>7.5</v>
      </c>
      <c r="AD1979" s="16" t="inlineStr">
        <is>
          <t>O2,O3</t>
        </is>
      </c>
      <c r="AE1979" s="16" t="n"/>
    </row>
    <row r="1980">
      <c r="A1980" s="16" t="inlineStr">
        <is>
          <t>KF-M05-3-0019</t>
        </is>
      </c>
      <c r="B1980" s="16" t="inlineStr">
        <is>
          <t>4.1</t>
        </is>
      </c>
      <c r="C1980" s="16" t="inlineStr">
        <is>
          <t>4.1c</t>
        </is>
      </c>
      <c r="D1980" s="16" t="inlineStr">
        <is>
          <t>conserva sus presiones y su clima</t>
        </is>
      </c>
      <c r="E1980" s="16" t="inlineStr">
        <is>
          <t>KF-M05</t>
        </is>
      </c>
      <c r="F1980" s="16" t="inlineStr">
        <is>
          <t>KF-M05-3</t>
        </is>
      </c>
      <c r="G1980" s="16" t="inlineStr">
        <is>
          <t>B09-3</t>
        </is>
      </c>
      <c r="H1980" s="16" t="inlineStr">
        <is>
          <t>lhs</t>
        </is>
      </c>
      <c r="I1980" s="16" t="inlineStr">
        <is>
          <t>NO_CONVERGIO</t>
        </is>
      </c>
      <c r="J1980" s="16" t="inlineStr">
        <is>
          <t>NO_CONVERGIO</t>
        </is>
      </c>
      <c r="K1980" s="16" t="b">
        <v>0</v>
      </c>
      <c r="L1980" s="16" t="b">
        <v>0</v>
      </c>
      <c r="M1980" s="16" t="b">
        <v>0</v>
      </c>
      <c r="N1980" s="16" t="b">
        <v>0</v>
      </c>
      <c r="O1980" s="16" t="n">
        <v>594.1732460353177</v>
      </c>
      <c r="P1980" s="16" t="n">
        <v>300.032917</v>
      </c>
      <c r="Q1980" s="16" t="n">
        <v>3000</v>
      </c>
      <c r="R1980" s="16" t="n">
        <v>400</v>
      </c>
      <c r="S1980" s="16" t="n">
        <v>0.720992218261994</v>
      </c>
      <c r="T1980" s="16" t="n">
        <v>0.678816341494245</v>
      </c>
      <c r="U1980" s="16" t="n">
        <v>0.5388240200756643</v>
      </c>
      <c r="V1980" s="16" t="n">
        <v>0.6502414583060714</v>
      </c>
      <c r="W1980" s="16" t="n">
        <v>0.904097134053554</v>
      </c>
      <c r="X1980" s="16" t="n">
        <v>0.547140416581843</v>
      </c>
      <c r="Y1980" s="16" t="n">
        <v>300.032917</v>
      </c>
      <c r="Z1980" s="16" t="n"/>
      <c r="AA1980" s="16" t="n"/>
      <c r="AB1980" s="16" t="n">
        <v>2600</v>
      </c>
      <c r="AC1980" s="16" t="n">
        <v>7.5</v>
      </c>
      <c r="AD1980" s="16" t="n"/>
      <c r="AE1980" s="16" t="n"/>
    </row>
    <row r="1981">
      <c r="A1981" s="16" t="inlineStr">
        <is>
          <t>KF-M05-3-0020</t>
        </is>
      </c>
      <c r="B1981" s="16" t="inlineStr">
        <is>
          <t>4.1</t>
        </is>
      </c>
      <c r="C1981" s="16" t="inlineStr">
        <is>
          <t>4.1c</t>
        </is>
      </c>
      <c r="D1981" s="16" t="inlineStr">
        <is>
          <t>conserva sus presiones y su clima</t>
        </is>
      </c>
      <c r="E1981" s="16" t="inlineStr">
        <is>
          <t>KF-M05</t>
        </is>
      </c>
      <c r="F1981" s="16" t="inlineStr">
        <is>
          <t>KF-M05-3</t>
        </is>
      </c>
      <c r="G1981" s="16" t="inlineStr">
        <is>
          <t>B09-3</t>
        </is>
      </c>
      <c r="H1981" s="16" t="inlineStr">
        <is>
          <t>lhs</t>
        </is>
      </c>
      <c r="I1981" s="16" t="inlineStr">
        <is>
          <t>NO_CONVERGIO</t>
        </is>
      </c>
      <c r="J1981" s="16" t="inlineStr">
        <is>
          <t>NO_CONVERGIO</t>
        </is>
      </c>
      <c r="K1981" s="16" t="b">
        <v>0</v>
      </c>
      <c r="L1981" s="16" t="b">
        <v>0</v>
      </c>
      <c r="M1981" s="16" t="b">
        <v>0</v>
      </c>
      <c r="N1981" s="16" t="b">
        <v>0</v>
      </c>
      <c r="O1981" s="16" t="n">
        <v>537.161358263692</v>
      </c>
      <c r="P1981" s="16" t="n">
        <v>300.032917</v>
      </c>
      <c r="Q1981" s="16" t="n">
        <v>3000</v>
      </c>
      <c r="R1981" s="16" t="n">
        <v>400</v>
      </c>
      <c r="S1981" s="16" t="n">
        <v>0.7424700445137763</v>
      </c>
      <c r="T1981" s="16" t="n">
        <v>0.8387917005403409</v>
      </c>
      <c r="U1981" s="16" t="n">
        <v>0.7377774863410652</v>
      </c>
      <c r="V1981" s="16" t="n">
        <v>0.8621776424608001</v>
      </c>
      <c r="W1981" s="16" t="n">
        <v>0.7243817567209222</v>
      </c>
      <c r="X1981" s="16" t="n">
        <v>0.4954552647771493</v>
      </c>
      <c r="Y1981" s="16" t="n">
        <v>300.032917</v>
      </c>
      <c r="Z1981" s="16" t="n"/>
      <c r="AA1981" s="16" t="n"/>
      <c r="AB1981" s="16" t="n">
        <v>2600</v>
      </c>
      <c r="AC1981" s="16" t="n">
        <v>7.5</v>
      </c>
      <c r="AD1981" s="16" t="n"/>
      <c r="AE1981" s="16" t="n"/>
    </row>
    <row r="1982">
      <c r="A1982" s="16" t="inlineStr">
        <is>
          <t>KF-M05-3-0021</t>
        </is>
      </c>
      <c r="B1982" s="16" t="inlineStr">
        <is>
          <t>4.1</t>
        </is>
      </c>
      <c r="C1982" s="16" t="inlineStr">
        <is>
          <t>4.1c</t>
        </is>
      </c>
      <c r="D1982" s="16" t="inlineStr">
        <is>
          <t>conserva sus presiones y su clima</t>
        </is>
      </c>
      <c r="E1982" s="16" t="inlineStr">
        <is>
          <t>KF-M05</t>
        </is>
      </c>
      <c r="F1982" s="16" t="inlineStr">
        <is>
          <t>KF-M05-3</t>
        </is>
      </c>
      <c r="G1982" s="16" t="inlineStr">
        <is>
          <t>B09-3</t>
        </is>
      </c>
      <c r="H1982" s="16" t="inlineStr">
        <is>
          <t>lhs</t>
        </is>
      </c>
      <c r="I1982" s="16" t="inlineStr">
        <is>
          <t>N2</t>
        </is>
      </c>
      <c r="J1982" s="16" t="inlineStr">
        <is>
          <t>NO_CONVERGIO</t>
        </is>
      </c>
      <c r="K1982" s="16" t="b">
        <v>0</v>
      </c>
      <c r="L1982" s="16" t="b">
        <v>0</v>
      </c>
      <c r="M1982" s="16" t="b">
        <v>1</v>
      </c>
      <c r="N1982" s="16" t="b">
        <v>0</v>
      </c>
      <c r="O1982" s="16" t="n">
        <v>439.6326463287218</v>
      </c>
      <c r="P1982" s="16" t="n">
        <v>300.032917</v>
      </c>
      <c r="Q1982" s="16" t="n">
        <v>3000</v>
      </c>
      <c r="R1982" s="16" t="n">
        <v>400</v>
      </c>
      <c r="S1982" s="16" t="n">
        <v>0.8395456462828537</v>
      </c>
      <c r="T1982" s="16" t="n">
        <v>0.8191317189025469</v>
      </c>
      <c r="U1982" s="16" t="n">
        <v>0.6045257010314066</v>
      </c>
      <c r="V1982" s="16" t="n">
        <v>0.9035894275906746</v>
      </c>
      <c r="W1982" s="16" t="n">
        <v>0.5889026319615671</v>
      </c>
      <c r="X1982" s="16" t="n">
        <v>0.6537626443852611</v>
      </c>
      <c r="Y1982" s="16" t="n">
        <v>300.032917</v>
      </c>
      <c r="Z1982" s="16" t="n">
        <v>-57.08204878014052</v>
      </c>
      <c r="AA1982" s="16" t="n">
        <v>-147.5912337423537</v>
      </c>
      <c r="AB1982" s="16" t="n">
        <v>2600</v>
      </c>
      <c r="AC1982" s="16" t="n">
        <v>7.5</v>
      </c>
      <c r="AD1982" s="16" t="inlineStr">
        <is>
          <t>N2,O2,O3,O5,C1,C3,C3</t>
        </is>
      </c>
      <c r="AE1982" s="16" t="n"/>
    </row>
    <row r="1983">
      <c r="A1983" s="16" t="inlineStr">
        <is>
          <t>KF-M05-3-0022</t>
        </is>
      </c>
      <c r="B1983" s="16" t="inlineStr">
        <is>
          <t>4.1</t>
        </is>
      </c>
      <c r="C1983" s="16" t="inlineStr">
        <is>
          <t>4.1c</t>
        </is>
      </c>
      <c r="D1983" s="16" t="inlineStr">
        <is>
          <t>conserva sus presiones y su clima</t>
        </is>
      </c>
      <c r="E1983" s="16" t="inlineStr">
        <is>
          <t>KF-M05</t>
        </is>
      </c>
      <c r="F1983" s="16" t="inlineStr">
        <is>
          <t>KF-M05-3</t>
        </is>
      </c>
      <c r="G1983" s="16" t="inlineStr">
        <is>
          <t>B09-3</t>
        </is>
      </c>
      <c r="H1983" s="16" t="inlineStr">
        <is>
          <t>lhs</t>
        </is>
      </c>
      <c r="I1983" s="16" t="inlineStr">
        <is>
          <t>INVIABLE</t>
        </is>
      </c>
      <c r="J1983" s="16" t="inlineStr">
        <is>
          <t>INVIABLE</t>
        </is>
      </c>
      <c r="K1983" s="16" t="b">
        <v>1</v>
      </c>
      <c r="L1983" s="16" t="b">
        <v>0</v>
      </c>
      <c r="M1983" s="16" t="b">
        <v>0</v>
      </c>
      <c r="N1983" s="16" t="b">
        <v>0</v>
      </c>
      <c r="O1983" s="16" t="n">
        <v>399.9921037351105</v>
      </c>
      <c r="P1983" s="16" t="n">
        <v>300.032917</v>
      </c>
      <c r="Q1983" s="16" t="n">
        <v>3000</v>
      </c>
      <c r="R1983" s="16" t="n">
        <v>400</v>
      </c>
      <c r="S1983" s="16" t="n">
        <v>0.6669622479905059</v>
      </c>
      <c r="T1983" s="16" t="n">
        <v>0.4617267703033866</v>
      </c>
      <c r="U1983" s="16" t="n">
        <v>0.8088517708969274</v>
      </c>
      <c r="V1983" s="16" t="n">
        <v>0.9406636549578944</v>
      </c>
      <c r="W1983" s="16" t="n">
        <v>0.4333662600531253</v>
      </c>
      <c r="X1983" s="16" t="n">
        <v>0.8377966254905889</v>
      </c>
      <c r="Y1983" s="16" t="n">
        <v>300.032917</v>
      </c>
      <c r="Z1983" s="16" t="n">
        <v>-11.75270900418736</v>
      </c>
      <c r="AA1983" s="16" t="n">
        <v>-43.32466390593312</v>
      </c>
      <c r="AB1983" s="16" t="n">
        <v>2600</v>
      </c>
      <c r="AC1983" s="16" t="n">
        <v>7.5</v>
      </c>
      <c r="AD1983" s="16" t="inlineStr">
        <is>
          <t>O2,O3</t>
        </is>
      </c>
      <c r="AE1983" s="16" t="n"/>
    </row>
    <row r="1984">
      <c r="A1984" s="16" t="inlineStr">
        <is>
          <t>KF-M05-3-0023</t>
        </is>
      </c>
      <c r="B1984" s="16" t="inlineStr">
        <is>
          <t>4.1</t>
        </is>
      </c>
      <c r="C1984" s="16" t="inlineStr">
        <is>
          <t>4.1c</t>
        </is>
      </c>
      <c r="D1984" s="16" t="inlineStr">
        <is>
          <t>conserva sus presiones y su clima</t>
        </is>
      </c>
      <c r="E1984" s="16" t="inlineStr">
        <is>
          <t>KF-M05</t>
        </is>
      </c>
      <c r="F1984" s="16" t="inlineStr">
        <is>
          <t>KF-M05-3</t>
        </is>
      </c>
      <c r="G1984" s="16" t="inlineStr">
        <is>
          <t>B09-3</t>
        </is>
      </c>
      <c r="H1984" s="16" t="inlineStr">
        <is>
          <t>lhs</t>
        </is>
      </c>
      <c r="I1984" s="16" t="inlineStr">
        <is>
          <t>CORREGIBLE</t>
        </is>
      </c>
      <c r="J1984" s="16" t="inlineStr">
        <is>
          <t>CORREGIBLE</t>
        </is>
      </c>
      <c r="K1984" s="16" t="b">
        <v>1</v>
      </c>
      <c r="L1984" s="16" t="b">
        <v>0</v>
      </c>
      <c r="M1984" s="16" t="b">
        <v>1</v>
      </c>
      <c r="N1984" s="16" t="b">
        <v>0</v>
      </c>
      <c r="O1984" s="16" t="n">
        <v>443.5165061523125</v>
      </c>
      <c r="P1984" s="16" t="n">
        <v>300.032917</v>
      </c>
      <c r="Q1984" s="16" t="n">
        <v>3000</v>
      </c>
      <c r="R1984" s="16" t="n">
        <v>400</v>
      </c>
      <c r="S1984" s="16" t="n">
        <v>0.6536534475117483</v>
      </c>
      <c r="T1984" s="16" t="n">
        <v>0.8329548806634326</v>
      </c>
      <c r="U1984" s="16" t="n">
        <v>0.6808843306030921</v>
      </c>
      <c r="V1984" s="16" t="n">
        <v>0.6699992517740425</v>
      </c>
      <c r="W1984" s="16" t="n">
        <v>0.5728182792709542</v>
      </c>
      <c r="X1984" s="16" t="n">
        <v>0.8553408998520861</v>
      </c>
      <c r="Y1984" s="16" t="n">
        <v>300.032917</v>
      </c>
      <c r="Z1984" s="16" t="n">
        <v>7.18444042585885</v>
      </c>
      <c r="AA1984" s="16" t="n">
        <v>51.54043425873152</v>
      </c>
      <c r="AB1984" s="16" t="n">
        <v>2600</v>
      </c>
      <c r="AC1984" s="16" t="n">
        <v>7.5</v>
      </c>
      <c r="AD1984" s="16" t="inlineStr">
        <is>
          <t>O2</t>
        </is>
      </c>
      <c r="AE1984" s="16" t="n"/>
    </row>
    <row r="1985">
      <c r="A1985" s="16" t="inlineStr">
        <is>
          <t>KF-M05-3-0024</t>
        </is>
      </c>
      <c r="B1985" s="16" t="inlineStr">
        <is>
          <t>4.1</t>
        </is>
      </c>
      <c r="C1985" s="16" t="inlineStr">
        <is>
          <t>4.1c</t>
        </is>
      </c>
      <c r="D1985" s="16" t="inlineStr">
        <is>
          <t>conserva sus presiones y su clima</t>
        </is>
      </c>
      <c r="E1985" s="16" t="inlineStr">
        <is>
          <t>KF-M05</t>
        </is>
      </c>
      <c r="F1985" s="16" t="inlineStr">
        <is>
          <t>KF-M05-3</t>
        </is>
      </c>
      <c r="G1985" s="16" t="inlineStr">
        <is>
          <t>B09-3</t>
        </is>
      </c>
      <c r="H1985" s="16" t="inlineStr">
        <is>
          <t>lhs</t>
        </is>
      </c>
      <c r="I1985" s="16" t="inlineStr">
        <is>
          <t>INVIABLE</t>
        </is>
      </c>
      <c r="J1985" s="16" t="inlineStr">
        <is>
          <t>INVIABLE</t>
        </is>
      </c>
      <c r="K1985" s="16" t="b">
        <v>1</v>
      </c>
      <c r="L1985" s="16" t="b">
        <v>0</v>
      </c>
      <c r="M1985" s="16" t="b">
        <v>1</v>
      </c>
      <c r="N1985" s="16" t="b">
        <v>0</v>
      </c>
      <c r="O1985" s="16" t="n">
        <v>511.6530648390957</v>
      </c>
      <c r="P1985" s="16" t="n">
        <v>300.032917</v>
      </c>
      <c r="Q1985" s="16" t="n">
        <v>3000</v>
      </c>
      <c r="R1985" s="16" t="n">
        <v>400</v>
      </c>
      <c r="S1985" s="16" t="n">
        <v>0.5423293022789694</v>
      </c>
      <c r="T1985" s="16" t="n">
        <v>0.5706195694791188</v>
      </c>
      <c r="U1985" s="16" t="n">
        <v>0.7304526825257913</v>
      </c>
      <c r="V1985" s="16" t="n">
        <v>0.6183777699462301</v>
      </c>
      <c r="W1985" s="16" t="n">
        <v>0.7615327771024378</v>
      </c>
      <c r="X1985" s="16" t="n">
        <v>0.4759875207492746</v>
      </c>
      <c r="Y1985" s="16" t="n">
        <v>300.032917</v>
      </c>
      <c r="Z1985" s="16" t="n">
        <v>-6.04997499648693</v>
      </c>
      <c r="AA1985" s="16" t="n">
        <v>-46.40988623270053</v>
      </c>
      <c r="AB1985" s="16" t="n">
        <v>2600</v>
      </c>
      <c r="AC1985" s="16" t="n">
        <v>7.5</v>
      </c>
      <c r="AD1985" s="16" t="inlineStr">
        <is>
          <t>O2,O3</t>
        </is>
      </c>
      <c r="AE1985" s="16" t="n"/>
    </row>
    <row r="1986">
      <c r="A1986" s="16" t="inlineStr">
        <is>
          <t>KF-M05-3-0025</t>
        </is>
      </c>
      <c r="B1986" s="16" t="inlineStr">
        <is>
          <t>4.1</t>
        </is>
      </c>
      <c r="C1986" s="16" t="inlineStr">
        <is>
          <t>4.1c</t>
        </is>
      </c>
      <c r="D1986" s="16" t="inlineStr">
        <is>
          <t>conserva sus presiones y su clima</t>
        </is>
      </c>
      <c r="E1986" s="16" t="inlineStr">
        <is>
          <t>KF-M05</t>
        </is>
      </c>
      <c r="F1986" s="16" t="inlineStr">
        <is>
          <t>KF-M05-3</t>
        </is>
      </c>
      <c r="G1986" s="16" t="inlineStr">
        <is>
          <t>B09-3</t>
        </is>
      </c>
      <c r="H1986" s="16" t="inlineStr">
        <is>
          <t>lhs</t>
        </is>
      </c>
      <c r="I1986" s="16" t="inlineStr">
        <is>
          <t>CORREGIBLE</t>
        </is>
      </c>
      <c r="J1986" s="16" t="inlineStr">
        <is>
          <t>CORREGIBLE</t>
        </is>
      </c>
      <c r="K1986" s="16" t="b">
        <v>1</v>
      </c>
      <c r="L1986" s="16" t="b">
        <v>0</v>
      </c>
      <c r="M1986" s="16" t="b">
        <v>1</v>
      </c>
      <c r="N1986" s="16" t="b">
        <v>0</v>
      </c>
      <c r="O1986" s="16" t="n">
        <v>474.9757901500179</v>
      </c>
      <c r="P1986" s="16" t="n">
        <v>300.032917</v>
      </c>
      <c r="Q1986" s="16" t="n">
        <v>3000</v>
      </c>
      <c r="R1986" s="16" t="n">
        <v>400</v>
      </c>
      <c r="S1986" s="16" t="n">
        <v>0.5299342588061428</v>
      </c>
      <c r="T1986" s="16" t="n">
        <v>0.5082319389005318</v>
      </c>
      <c r="U1986" s="16" t="n">
        <v>0.8587316218990477</v>
      </c>
      <c r="V1986" s="16" t="n">
        <v>0.4280287693744812</v>
      </c>
      <c r="W1986" s="16" t="n">
        <v>0.5432903570112302</v>
      </c>
      <c r="X1986" s="16" t="n">
        <v>0.6883759470879197</v>
      </c>
      <c r="Y1986" s="16" t="n">
        <v>300.032917</v>
      </c>
      <c r="Z1986" s="16" t="n">
        <v>4.79638899877783</v>
      </c>
      <c r="AA1986" s="16" t="n">
        <v>37.93284751091994</v>
      </c>
      <c r="AB1986" s="16" t="n">
        <v>2600</v>
      </c>
      <c r="AC1986" s="16" t="n">
        <v>7.5</v>
      </c>
      <c r="AD1986" s="16" t="inlineStr">
        <is>
          <t>O2</t>
        </is>
      </c>
      <c r="AE1986" s="16" t="n"/>
    </row>
    <row r="1987">
      <c r="A1987" s="16" t="inlineStr">
        <is>
          <t>KF-M05-3-0026</t>
        </is>
      </c>
      <c r="B1987" s="16" t="inlineStr">
        <is>
          <t>4.1</t>
        </is>
      </c>
      <c r="C1987" s="16" t="inlineStr">
        <is>
          <t>4.1c</t>
        </is>
      </c>
      <c r="D1987" s="16" t="inlineStr">
        <is>
          <t>conserva sus presiones y su clima</t>
        </is>
      </c>
      <c r="E1987" s="16" t="inlineStr">
        <is>
          <t>KF-M05</t>
        </is>
      </c>
      <c r="F1987" s="16" t="inlineStr">
        <is>
          <t>KF-M05-3</t>
        </is>
      </c>
      <c r="G1987" s="16" t="inlineStr">
        <is>
          <t>B09-3</t>
        </is>
      </c>
      <c r="H1987" s="16" t="inlineStr">
        <is>
          <t>lhs</t>
        </is>
      </c>
      <c r="I1987" s="16" t="inlineStr">
        <is>
          <t>NO_CONVERGIO</t>
        </is>
      </c>
      <c r="J1987" s="16" t="inlineStr">
        <is>
          <t>NO_CONVERGIO</t>
        </is>
      </c>
      <c r="K1987" s="16" t="b">
        <v>0</v>
      </c>
      <c r="L1987" s="16" t="b">
        <v>0</v>
      </c>
      <c r="M1987" s="16" t="b">
        <v>0</v>
      </c>
      <c r="N1987" s="16" t="b">
        <v>0</v>
      </c>
      <c r="O1987" s="16" t="n">
        <v>606.7187849964051</v>
      </c>
      <c r="P1987" s="16" t="n">
        <v>300.032917</v>
      </c>
      <c r="Q1987" s="16" t="n">
        <v>3000</v>
      </c>
      <c r="R1987" s="16" t="n">
        <v>400</v>
      </c>
      <c r="S1987" s="16" t="n">
        <v>0.6746481715597001</v>
      </c>
      <c r="T1987" s="16" t="n">
        <v>0.6704320823770689</v>
      </c>
      <c r="U1987" s="16" t="n">
        <v>0.7939885686966349</v>
      </c>
      <c r="V1987" s="16" t="n">
        <v>0.8344156488044318</v>
      </c>
      <c r="W1987" s="16" t="n">
        <v>0.7446782107384683</v>
      </c>
      <c r="X1987" s="16" t="n">
        <v>0.6803185635167723</v>
      </c>
      <c r="Y1987" s="16" t="n">
        <v>300.032917</v>
      </c>
      <c r="Z1987" s="16" t="n"/>
      <c r="AA1987" s="16" t="n"/>
      <c r="AB1987" s="16" t="n">
        <v>2600</v>
      </c>
      <c r="AC1987" s="16" t="n">
        <v>7.5</v>
      </c>
      <c r="AD1987" s="16" t="n"/>
      <c r="AE1987" s="16" t="n"/>
    </row>
    <row r="1988">
      <c r="A1988" s="16" t="inlineStr">
        <is>
          <t>KF-M05-3-0027</t>
        </is>
      </c>
      <c r="B1988" s="16" t="inlineStr">
        <is>
          <t>4.1</t>
        </is>
      </c>
      <c r="C1988" s="16" t="inlineStr">
        <is>
          <t>4.1c</t>
        </is>
      </c>
      <c r="D1988" s="16" t="inlineStr">
        <is>
          <t>conserva sus presiones y su clima</t>
        </is>
      </c>
      <c r="E1988" s="16" t="inlineStr">
        <is>
          <t>KF-M05</t>
        </is>
      </c>
      <c r="F1988" s="16" t="inlineStr">
        <is>
          <t>KF-M05-3</t>
        </is>
      </c>
      <c r="G1988" s="16" t="inlineStr">
        <is>
          <t>B09-3</t>
        </is>
      </c>
      <c r="H1988" s="16" t="inlineStr">
        <is>
          <t>lhs</t>
        </is>
      </c>
      <c r="I1988" s="16" t="inlineStr">
        <is>
          <t>INVIABLE</t>
        </is>
      </c>
      <c r="J1988" s="16" t="inlineStr">
        <is>
          <t>INVIABLE</t>
        </is>
      </c>
      <c r="K1988" s="16" t="b">
        <v>1</v>
      </c>
      <c r="L1988" s="16" t="b">
        <v>0</v>
      </c>
      <c r="M1988" s="16" t="b">
        <v>0</v>
      </c>
      <c r="N1988" s="16" t="b">
        <v>0</v>
      </c>
      <c r="O1988" s="16" t="n">
        <v>408.9186276777468</v>
      </c>
      <c r="P1988" s="16" t="n">
        <v>300.032917</v>
      </c>
      <c r="Q1988" s="16" t="n">
        <v>3000</v>
      </c>
      <c r="R1988" s="16" t="n">
        <v>400</v>
      </c>
      <c r="S1988" s="16" t="n">
        <v>0.8466827357352771</v>
      </c>
      <c r="T1988" s="16" t="n">
        <v>0.6250116325890799</v>
      </c>
      <c r="U1988" s="16" t="n">
        <v>0.6141980196669246</v>
      </c>
      <c r="V1988" s="16" t="n">
        <v>0.8691276706472848</v>
      </c>
      <c r="W1988" s="16" t="n">
        <v>0.8567046978616031</v>
      </c>
      <c r="X1988" s="16" t="n">
        <v>0.6440692610401211</v>
      </c>
      <c r="Y1988" s="16" t="n">
        <v>300.032917</v>
      </c>
      <c r="Z1988" s="16" t="n">
        <v>-806.6481315320914</v>
      </c>
      <c r="AA1988" s="16" t="n">
        <v>-224.9880631897685</v>
      </c>
      <c r="AB1988" s="16" t="n">
        <v>2600</v>
      </c>
      <c r="AC1988" s="16" t="n">
        <v>7.5</v>
      </c>
      <c r="AD1988" s="16" t="inlineStr">
        <is>
          <t>O2,O3</t>
        </is>
      </c>
      <c r="AE1988" s="16" t="n"/>
    </row>
    <row r="1989">
      <c r="A1989" s="16" t="inlineStr">
        <is>
          <t>KF-M05-3-0028</t>
        </is>
      </c>
      <c r="B1989" s="16" t="inlineStr">
        <is>
          <t>4.1</t>
        </is>
      </c>
      <c r="C1989" s="16" t="inlineStr">
        <is>
          <t>4.1c</t>
        </is>
      </c>
      <c r="D1989" s="16" t="inlineStr">
        <is>
          <t>conserva sus presiones y su clima</t>
        </is>
      </c>
      <c r="E1989" s="16" t="inlineStr">
        <is>
          <t>KF-M05</t>
        </is>
      </c>
      <c r="F1989" s="16" t="inlineStr">
        <is>
          <t>KF-M05-3</t>
        </is>
      </c>
      <c r="G1989" s="16" t="inlineStr">
        <is>
          <t>B09-3</t>
        </is>
      </c>
      <c r="H1989" s="16" t="inlineStr">
        <is>
          <t>lhs</t>
        </is>
      </c>
      <c r="I1989" s="16" t="inlineStr">
        <is>
          <t>N2</t>
        </is>
      </c>
      <c r="J1989" s="16" t="inlineStr">
        <is>
          <t>NO_CONVERGIO</t>
        </is>
      </c>
      <c r="K1989" s="16" t="b">
        <v>0</v>
      </c>
      <c r="L1989" s="16" t="b">
        <v>0</v>
      </c>
      <c r="M1989" s="16" t="b">
        <v>1</v>
      </c>
      <c r="N1989" s="16" t="b">
        <v>0</v>
      </c>
      <c r="O1989" s="16" t="n">
        <v>500.5143031331014</v>
      </c>
      <c r="P1989" s="16" t="n">
        <v>300.032917</v>
      </c>
      <c r="Q1989" s="16" t="n">
        <v>3000</v>
      </c>
      <c r="R1989" s="16" t="n">
        <v>400</v>
      </c>
      <c r="S1989" s="16" t="n">
        <v>0.5060084448898136</v>
      </c>
      <c r="T1989" s="16" t="n">
        <v>0.9162115301012635</v>
      </c>
      <c r="U1989" s="16" t="n">
        <v>0.925640142070329</v>
      </c>
      <c r="V1989" s="16" t="n">
        <v>0.948883523629542</v>
      </c>
      <c r="W1989" s="16" t="n">
        <v>0.78827908660193</v>
      </c>
      <c r="X1989" s="16" t="n">
        <v>0.6116071135001339</v>
      </c>
      <c r="Y1989" s="16" t="n">
        <v>300.032917</v>
      </c>
      <c r="Z1989" s="16" t="n">
        <v>17.16180916353771</v>
      </c>
      <c r="AA1989" s="16" t="n">
        <v>229.7589798703061</v>
      </c>
      <c r="AB1989" s="16" t="n">
        <v>2600</v>
      </c>
      <c r="AC1989" s="16" t="n">
        <v>7.5</v>
      </c>
      <c r="AD1989" s="16" t="inlineStr">
        <is>
          <t>N2,O1,O2,O5,C1,C3,C3</t>
        </is>
      </c>
      <c r="AE1989" s="16" t="n"/>
    </row>
    <row r="1990">
      <c r="A1990" s="16" t="inlineStr">
        <is>
          <t>KF-M05-3-0029</t>
        </is>
      </c>
      <c r="B1990" s="16" t="inlineStr">
        <is>
          <t>4.1</t>
        </is>
      </c>
      <c r="C1990" s="16" t="inlineStr">
        <is>
          <t>4.1c</t>
        </is>
      </c>
      <c r="D1990" s="16" t="inlineStr">
        <is>
          <t>conserva sus presiones y su clima</t>
        </is>
      </c>
      <c r="E1990" s="16" t="inlineStr">
        <is>
          <t>KF-M05</t>
        </is>
      </c>
      <c r="F1990" s="16" t="inlineStr">
        <is>
          <t>KF-M05-3</t>
        </is>
      </c>
      <c r="G1990" s="16" t="inlineStr">
        <is>
          <t>B09-3</t>
        </is>
      </c>
      <c r="H1990" s="16" t="inlineStr">
        <is>
          <t>lhs</t>
        </is>
      </c>
      <c r="I1990" s="16" t="inlineStr">
        <is>
          <t>INVIABLE</t>
        </is>
      </c>
      <c r="J1990" s="16" t="inlineStr">
        <is>
          <t>INVIABLE</t>
        </is>
      </c>
      <c r="K1990" s="16" t="b">
        <v>1</v>
      </c>
      <c r="L1990" s="16" t="b">
        <v>0</v>
      </c>
      <c r="M1990" s="16" t="b">
        <v>0</v>
      </c>
      <c r="N1990" s="16" t="b">
        <v>0</v>
      </c>
      <c r="O1990" s="16" t="n">
        <v>388.4410862758752</v>
      </c>
      <c r="P1990" s="16" t="n">
        <v>300.032917</v>
      </c>
      <c r="Q1990" s="16" t="n">
        <v>3000</v>
      </c>
      <c r="R1990" s="16" t="n">
        <v>400</v>
      </c>
      <c r="S1990" s="16" t="n">
        <v>0.6511492262677256</v>
      </c>
      <c r="T1990" s="16" t="n">
        <v>0.947690869162384</v>
      </c>
      <c r="U1990" s="16" t="n">
        <v>0.5610630693618993</v>
      </c>
      <c r="V1990" s="16" t="n">
        <v>0.5886053160603589</v>
      </c>
      <c r="W1990" s="16" t="n">
        <v>0.4960137037471166</v>
      </c>
      <c r="X1990" s="16" t="n">
        <v>0.4121251072748962</v>
      </c>
      <c r="Y1990" s="16" t="n">
        <v>300.032917</v>
      </c>
      <c r="Z1990" s="16" t="n">
        <v>-178.7022260443007</v>
      </c>
      <c r="AA1990" s="16" t="n">
        <v>-88.16019673246498</v>
      </c>
      <c r="AB1990" s="16" t="n">
        <v>2600</v>
      </c>
      <c r="AC1990" s="16" t="n">
        <v>7.5</v>
      </c>
      <c r="AD1990" s="16" t="inlineStr">
        <is>
          <t>O2,O3</t>
        </is>
      </c>
      <c r="AE1990" s="16" t="n"/>
    </row>
    <row r="1991">
      <c r="A1991" s="16" t="inlineStr">
        <is>
          <t>KF-M05-2-0119</t>
        </is>
      </c>
      <c r="B1991" s="16" t="inlineStr">
        <is>
          <t>4.1</t>
        </is>
      </c>
      <c r="C1991" s="16" t="inlineStr">
        <is>
          <t>4.1b</t>
        </is>
      </c>
      <c r="D1991" s="16" t="inlineStr">
        <is>
          <t>conserva sus presiones</t>
        </is>
      </c>
      <c r="E1991" s="16" t="inlineStr">
        <is>
          <t>KF-M05</t>
        </is>
      </c>
      <c r="F1991" s="16" t="inlineStr">
        <is>
          <t>KF-M05-2</t>
        </is>
      </c>
      <c r="G1991" s="16" t="inlineStr">
        <is>
          <t>B09-2</t>
        </is>
      </c>
      <c r="H1991" s="16" t="inlineStr">
        <is>
          <t>lhs</t>
        </is>
      </c>
      <c r="I1991" s="16" t="inlineStr">
        <is>
          <t>NO_CONVERGIO</t>
        </is>
      </c>
      <c r="J1991" s="16" t="inlineStr">
        <is>
          <t>NO_CONVERGIO</t>
        </is>
      </c>
      <c r="K1991" s="16" t="b">
        <v>0</v>
      </c>
      <c r="L1991" s="16" t="b">
        <v>0</v>
      </c>
      <c r="M1991" s="16" t="b">
        <v>0</v>
      </c>
      <c r="N1991" s="16" t="b">
        <v>0</v>
      </c>
      <c r="O1991" s="16" t="n">
        <v>475.6980483654508</v>
      </c>
      <c r="P1991" s="16" t="n">
        <v>303.3227243254336</v>
      </c>
      <c r="Q1991" s="16" t="n">
        <v>3000</v>
      </c>
      <c r="R1991" s="16" t="n">
        <v>400</v>
      </c>
      <c r="S1991" s="16" t="n">
        <v>0.7540834288796086</v>
      </c>
      <c r="T1991" s="16" t="n">
        <v>0.8045691529104889</v>
      </c>
      <c r="U1991" s="16" t="n">
        <v>0.4164114598272252</v>
      </c>
      <c r="V1991" s="16" t="n">
        <v>0.8025559596566451</v>
      </c>
      <c r="W1991" s="16" t="n">
        <v>0.7360386417525711</v>
      </c>
      <c r="X1991" s="16" t="n">
        <v>0.475485351107904</v>
      </c>
      <c r="Y1991" s="16" t="n">
        <v>303.3227243254336</v>
      </c>
      <c r="Z1991" s="16" t="n"/>
      <c r="AA1991" s="16" t="n"/>
      <c r="AB1991" s="16" t="n">
        <v>2600</v>
      </c>
      <c r="AC1991" s="16" t="n">
        <v>7.5</v>
      </c>
      <c r="AD1991" s="16" t="n"/>
      <c r="AE1991" s="16" t="n"/>
    </row>
    <row r="1992">
      <c r="A1992" s="16" t="inlineStr">
        <is>
          <t>KF-M05-3-0030</t>
        </is>
      </c>
      <c r="B1992" s="16" t="inlineStr">
        <is>
          <t>4.1</t>
        </is>
      </c>
      <c r="C1992" s="16" t="inlineStr">
        <is>
          <t>4.1c</t>
        </is>
      </c>
      <c r="D1992" s="16" t="inlineStr">
        <is>
          <t>conserva sus presiones y su clima</t>
        </is>
      </c>
      <c r="E1992" s="16" t="inlineStr">
        <is>
          <t>KF-M05</t>
        </is>
      </c>
      <c r="F1992" s="16" t="inlineStr">
        <is>
          <t>KF-M05-3</t>
        </is>
      </c>
      <c r="G1992" s="16" t="inlineStr">
        <is>
          <t>B09-3</t>
        </is>
      </c>
      <c r="H1992" s="16" t="inlineStr">
        <is>
          <t>lhs</t>
        </is>
      </c>
      <c r="I1992" s="16" t="inlineStr">
        <is>
          <t>CORREGIBLE</t>
        </is>
      </c>
      <c r="J1992" s="16" t="inlineStr">
        <is>
          <t>CORREGIBLE</t>
        </is>
      </c>
      <c r="K1992" s="16" t="b">
        <v>1</v>
      </c>
      <c r="L1992" s="16" t="b">
        <v>0</v>
      </c>
      <c r="M1992" s="16" t="b">
        <v>1</v>
      </c>
      <c r="N1992" s="16" t="b">
        <v>0</v>
      </c>
      <c r="O1992" s="16" t="n">
        <v>455.4337530671798</v>
      </c>
      <c r="P1992" s="16" t="n">
        <v>300.032917</v>
      </c>
      <c r="Q1992" s="16" t="n">
        <v>3000</v>
      </c>
      <c r="R1992" s="16" t="n">
        <v>400</v>
      </c>
      <c r="S1992" s="16" t="n">
        <v>0.5982496109527291</v>
      </c>
      <c r="T1992" s="16" t="n">
        <v>0.4418500793851255</v>
      </c>
      <c r="U1992" s="16" t="n">
        <v>0.6752244461389387</v>
      </c>
      <c r="V1992" s="16" t="n">
        <v>0.6621984421116143</v>
      </c>
      <c r="W1992" s="16" t="n">
        <v>0.8648683596643336</v>
      </c>
      <c r="X1992" s="16" t="n">
        <v>0.8983792217482138</v>
      </c>
      <c r="Y1992" s="16" t="n">
        <v>300.032917</v>
      </c>
      <c r="Z1992" s="16" t="n">
        <v>3.50586064010159</v>
      </c>
      <c r="AA1992" s="16" t="n">
        <v>33.94154966777704</v>
      </c>
      <c r="AB1992" s="16" t="n">
        <v>2600</v>
      </c>
      <c r="AC1992" s="16" t="n">
        <v>7.5</v>
      </c>
      <c r="AD1992" s="16" t="inlineStr">
        <is>
          <t>O2</t>
        </is>
      </c>
      <c r="AE1992" s="16" t="n"/>
    </row>
    <row r="1993">
      <c r="A1993" s="16" t="inlineStr">
        <is>
          <t>KF-M05-3-0031</t>
        </is>
      </c>
      <c r="B1993" s="16" t="inlineStr">
        <is>
          <t>4.1</t>
        </is>
      </c>
      <c r="C1993" s="16" t="inlineStr">
        <is>
          <t>4.1c</t>
        </is>
      </c>
      <c r="D1993" s="16" t="inlineStr">
        <is>
          <t>conserva sus presiones y su clima</t>
        </is>
      </c>
      <c r="E1993" s="16" t="inlineStr">
        <is>
          <t>KF-M05</t>
        </is>
      </c>
      <c r="F1993" s="16" t="inlineStr">
        <is>
          <t>KF-M05-3</t>
        </is>
      </c>
      <c r="G1993" s="16" t="inlineStr">
        <is>
          <t>B09-3</t>
        </is>
      </c>
      <c r="H1993" s="16" t="inlineStr">
        <is>
          <t>lhs</t>
        </is>
      </c>
      <c r="I1993" s="16" t="inlineStr">
        <is>
          <t>CORREGIBLE</t>
        </is>
      </c>
      <c r="J1993" s="16" t="inlineStr">
        <is>
          <t>CORREGIBLE</t>
        </is>
      </c>
      <c r="K1993" s="16" t="b">
        <v>1</v>
      </c>
      <c r="L1993" s="16" t="b">
        <v>0</v>
      </c>
      <c r="M1993" s="16" t="b">
        <v>1</v>
      </c>
      <c r="N1993" s="16" t="b">
        <v>0</v>
      </c>
      <c r="O1993" s="16" t="n">
        <v>469.9326625469366</v>
      </c>
      <c r="P1993" s="16" t="n">
        <v>300.032917</v>
      </c>
      <c r="Q1993" s="16" t="n">
        <v>3000</v>
      </c>
      <c r="R1993" s="16" t="n">
        <v>400</v>
      </c>
      <c r="S1993" s="16" t="n">
        <v>0.5884072933795949</v>
      </c>
      <c r="T1993" s="16" t="n">
        <v>0.7884941185224705</v>
      </c>
      <c r="U1993" s="16" t="n">
        <v>0.8933341616486685</v>
      </c>
      <c r="V1993" s="16" t="n">
        <v>0.6397846042283359</v>
      </c>
      <c r="W1993" s="16" t="n">
        <v>0.5360683799713772</v>
      </c>
      <c r="X1993" s="16" t="n">
        <v>0.7578814721447729</v>
      </c>
      <c r="Y1993" s="16" t="n">
        <v>300.032917</v>
      </c>
      <c r="Z1993" s="16" t="n">
        <v>10.78882309038106</v>
      </c>
      <c r="AA1993" s="16" t="n">
        <v>112.6430884618784</v>
      </c>
      <c r="AB1993" s="16" t="n">
        <v>2600</v>
      </c>
      <c r="AC1993" s="16" t="n">
        <v>7.5</v>
      </c>
      <c r="AD1993" s="16" t="inlineStr">
        <is>
          <t>O2</t>
        </is>
      </c>
      <c r="AE1993" s="16" t="n"/>
    </row>
    <row r="1994">
      <c r="A1994" s="16" t="inlineStr">
        <is>
          <t>KF-M05-3-0032</t>
        </is>
      </c>
      <c r="B1994" s="16" t="inlineStr">
        <is>
          <t>4.1</t>
        </is>
      </c>
      <c r="C1994" s="16" t="inlineStr">
        <is>
          <t>4.1c</t>
        </is>
      </c>
      <c r="D1994" s="16" t="inlineStr">
        <is>
          <t>conserva sus presiones y su clima</t>
        </is>
      </c>
      <c r="E1994" s="16" t="inlineStr">
        <is>
          <t>KF-M05</t>
        </is>
      </c>
      <c r="F1994" s="16" t="inlineStr">
        <is>
          <t>KF-M05-3</t>
        </is>
      </c>
      <c r="G1994" s="16" t="inlineStr">
        <is>
          <t>B09-3</t>
        </is>
      </c>
      <c r="H1994" s="16" t="inlineStr">
        <is>
          <t>lhs</t>
        </is>
      </c>
      <c r="I1994" s="16" t="inlineStr">
        <is>
          <t>CORREGIBLE</t>
        </is>
      </c>
      <c r="J1994" s="16" t="inlineStr">
        <is>
          <t>CORREGIBLE</t>
        </is>
      </c>
      <c r="K1994" s="16" t="b">
        <v>1</v>
      </c>
      <c r="L1994" s="16" t="b">
        <v>0</v>
      </c>
      <c r="M1994" s="16" t="b">
        <v>1</v>
      </c>
      <c r="N1994" s="16" t="b">
        <v>0</v>
      </c>
      <c r="O1994" s="16" t="n">
        <v>461.5044062582205</v>
      </c>
      <c r="P1994" s="16" t="n">
        <v>300.032917</v>
      </c>
      <c r="Q1994" s="16" t="n">
        <v>3000</v>
      </c>
      <c r="R1994" s="16" t="n">
        <v>400</v>
      </c>
      <c r="S1994" s="16" t="n">
        <v>0.5660666384587838</v>
      </c>
      <c r="T1994" s="16" t="n">
        <v>0.6096056807509492</v>
      </c>
      <c r="U1994" s="16" t="n">
        <v>0.524578523929693</v>
      </c>
      <c r="V1994" s="16" t="n">
        <v>0.5621775726240521</v>
      </c>
      <c r="W1994" s="16" t="n">
        <v>0.4021592121223348</v>
      </c>
      <c r="X1994" s="16" t="n">
        <v>0.7805147787956347</v>
      </c>
      <c r="Y1994" s="16" t="n">
        <v>300.032917</v>
      </c>
      <c r="Z1994" s="16" t="n">
        <v>3.70033104261004</v>
      </c>
      <c r="AA1994" s="16" t="n">
        <v>32.96902162882051</v>
      </c>
      <c r="AB1994" s="16" t="n">
        <v>2600</v>
      </c>
      <c r="AC1994" s="16" t="n">
        <v>7.5</v>
      </c>
      <c r="AD1994" s="16" t="inlineStr">
        <is>
          <t>O2</t>
        </is>
      </c>
      <c r="AE1994" s="16" t="n"/>
    </row>
    <row r="1995">
      <c r="A1995" s="16" t="inlineStr">
        <is>
          <t>KF-M05-3-0033</t>
        </is>
      </c>
      <c r="B1995" s="16" t="inlineStr">
        <is>
          <t>4.1</t>
        </is>
      </c>
      <c r="C1995" s="16" t="inlineStr">
        <is>
          <t>4.1c</t>
        </is>
      </c>
      <c r="D1995" s="16" t="inlineStr">
        <is>
          <t>conserva sus presiones y su clima</t>
        </is>
      </c>
      <c r="E1995" s="16" t="inlineStr">
        <is>
          <t>KF-M05</t>
        </is>
      </c>
      <c r="F1995" s="16" t="inlineStr">
        <is>
          <t>KF-M05-3</t>
        </is>
      </c>
      <c r="G1995" s="16" t="inlineStr">
        <is>
          <t>B09-3</t>
        </is>
      </c>
      <c r="H1995" s="16" t="inlineStr">
        <is>
          <t>lhs</t>
        </is>
      </c>
      <c r="I1995" s="16" t="inlineStr">
        <is>
          <t>INVIABLE</t>
        </is>
      </c>
      <c r="J1995" s="16" t="inlineStr">
        <is>
          <t>INVIABLE</t>
        </is>
      </c>
      <c r="K1995" s="16" t="b">
        <v>1</v>
      </c>
      <c r="L1995" s="16" t="b">
        <v>0</v>
      </c>
      <c r="M1995" s="16" t="b">
        <v>0</v>
      </c>
      <c r="N1995" s="16" t="b">
        <v>0</v>
      </c>
      <c r="O1995" s="16" t="n">
        <v>386.8532239200022</v>
      </c>
      <c r="P1995" s="16" t="n">
        <v>300.032917</v>
      </c>
      <c r="Q1995" s="16" t="n">
        <v>3000</v>
      </c>
      <c r="R1995" s="16" t="n">
        <v>400</v>
      </c>
      <c r="S1995" s="16" t="n">
        <v>0.7397002607788755</v>
      </c>
      <c r="T1995" s="16" t="n">
        <v>0.9074794279912228</v>
      </c>
      <c r="U1995" s="16" t="n">
        <v>0.9346253373038194</v>
      </c>
      <c r="V1995" s="16" t="n">
        <v>0.7607186012052944</v>
      </c>
      <c r="W1995" s="16" t="n">
        <v>0.8990308857253644</v>
      </c>
      <c r="X1995" s="16" t="n">
        <v>0.7022080786761189</v>
      </c>
      <c r="Y1995" s="16" t="n">
        <v>300.032917</v>
      </c>
      <c r="Z1995" s="16" t="n">
        <v>-15.45430710333179</v>
      </c>
      <c r="AA1995" s="16" t="n">
        <v>-18.33286587583737</v>
      </c>
      <c r="AB1995" s="16" t="n">
        <v>2600</v>
      </c>
      <c r="AC1995" s="16" t="n">
        <v>7.5</v>
      </c>
      <c r="AD1995" s="16" t="inlineStr">
        <is>
          <t>O2,O3</t>
        </is>
      </c>
      <c r="AE1995" s="16" t="n"/>
    </row>
    <row r="1996">
      <c r="A1996" s="16" t="inlineStr">
        <is>
          <t>KF-M05-3-0034</t>
        </is>
      </c>
      <c r="B1996" s="16" t="inlineStr">
        <is>
          <t>4.1</t>
        </is>
      </c>
      <c r="C1996" s="16" t="inlineStr">
        <is>
          <t>4.1c</t>
        </is>
      </c>
      <c r="D1996" s="16" t="inlineStr">
        <is>
          <t>conserva sus presiones y su clima</t>
        </is>
      </c>
      <c r="E1996" s="16" t="inlineStr">
        <is>
          <t>KF-M05</t>
        </is>
      </c>
      <c r="F1996" s="16" t="inlineStr">
        <is>
          <t>KF-M05-3</t>
        </is>
      </c>
      <c r="G1996" s="16" t="inlineStr">
        <is>
          <t>B09-3</t>
        </is>
      </c>
      <c r="H1996" s="16" t="inlineStr">
        <is>
          <t>lhs</t>
        </is>
      </c>
      <c r="I1996" s="16" t="inlineStr">
        <is>
          <t>CORREGIBLE</t>
        </is>
      </c>
      <c r="J1996" s="16" t="inlineStr">
        <is>
          <t>CORREGIBLE</t>
        </is>
      </c>
      <c r="K1996" s="16" t="b">
        <v>1</v>
      </c>
      <c r="L1996" s="16" t="b">
        <v>0</v>
      </c>
      <c r="M1996" s="16" t="b">
        <v>1</v>
      </c>
      <c r="N1996" s="16" t="b">
        <v>0</v>
      </c>
      <c r="O1996" s="16" t="n">
        <v>560.1879232999236</v>
      </c>
      <c r="P1996" s="16" t="n">
        <v>300.032917</v>
      </c>
      <c r="Q1996" s="16" t="n">
        <v>3000</v>
      </c>
      <c r="R1996" s="16" t="n">
        <v>400</v>
      </c>
      <c r="S1996" s="16" t="n">
        <v>0.6017476361067381</v>
      </c>
      <c r="T1996" s="16" t="n">
        <v>0.8307089166677921</v>
      </c>
      <c r="U1996" s="16" t="n">
        <v>0.9161150365220322</v>
      </c>
      <c r="V1996" s="16" t="n">
        <v>0.5070393926228</v>
      </c>
      <c r="W1996" s="16" t="n">
        <v>0.6669262856925675</v>
      </c>
      <c r="X1996" s="16" t="n">
        <v>0.7651724897085012</v>
      </c>
      <c r="Y1996" s="16" t="n">
        <v>300.032917</v>
      </c>
      <c r="Z1996" s="16" t="n">
        <v>11.88371993264062</v>
      </c>
      <c r="AA1996" s="16" t="n">
        <v>111.5910603741757</v>
      </c>
      <c r="AB1996" s="16" t="n">
        <v>2600</v>
      </c>
      <c r="AC1996" s="16" t="n">
        <v>7.5</v>
      </c>
      <c r="AD1996" s="16" t="inlineStr">
        <is>
          <t>O2</t>
        </is>
      </c>
      <c r="AE1996" s="16" t="n"/>
    </row>
    <row r="1997">
      <c r="A1997" s="16" t="inlineStr">
        <is>
          <t>KF-M05-3-0035</t>
        </is>
      </c>
      <c r="B1997" s="16" t="inlineStr">
        <is>
          <t>4.1</t>
        </is>
      </c>
      <c r="C1997" s="16" t="inlineStr">
        <is>
          <t>4.1c</t>
        </is>
      </c>
      <c r="D1997" s="16" t="inlineStr">
        <is>
          <t>conserva sus presiones y su clima</t>
        </is>
      </c>
      <c r="E1997" s="16" t="inlineStr">
        <is>
          <t>KF-M05</t>
        </is>
      </c>
      <c r="F1997" s="16" t="inlineStr">
        <is>
          <t>KF-M05-3</t>
        </is>
      </c>
      <c r="G1997" s="16" t="inlineStr">
        <is>
          <t>B09-3</t>
        </is>
      </c>
      <c r="H1997" s="16" t="inlineStr">
        <is>
          <t>lhs</t>
        </is>
      </c>
      <c r="I1997" s="16" t="inlineStr">
        <is>
          <t>INVIABLE</t>
        </is>
      </c>
      <c r="J1997" s="16" t="inlineStr">
        <is>
          <t>INVIABLE</t>
        </is>
      </c>
      <c r="K1997" s="16" t="b">
        <v>1</v>
      </c>
      <c r="L1997" s="16" t="b">
        <v>0</v>
      </c>
      <c r="M1997" s="16" t="b">
        <v>1</v>
      </c>
      <c r="N1997" s="16" t="b">
        <v>0</v>
      </c>
      <c r="O1997" s="16" t="n">
        <v>447.9633984988485</v>
      </c>
      <c r="P1997" s="16" t="n">
        <v>300.032917</v>
      </c>
      <c r="Q1997" s="16" t="n">
        <v>3000</v>
      </c>
      <c r="R1997" s="16" t="n">
        <v>400</v>
      </c>
      <c r="S1997" s="16" t="n">
        <v>0.6258461161006301</v>
      </c>
      <c r="T1997" s="16" t="n">
        <v>0.6508894802430508</v>
      </c>
      <c r="U1997" s="16" t="n">
        <v>0.6923882640612424</v>
      </c>
      <c r="V1997" s="16" t="n">
        <v>0.8491461053119628</v>
      </c>
      <c r="W1997" s="16" t="n">
        <v>0.9219442931035564</v>
      </c>
      <c r="X1997" s="16" t="n">
        <v>0.5814954087248995</v>
      </c>
      <c r="Y1997" s="16" t="n">
        <v>300.032917</v>
      </c>
      <c r="Z1997" s="16" t="n">
        <v>-5.50267990904535</v>
      </c>
      <c r="AA1997" s="16" t="n">
        <v>-35.356870838221</v>
      </c>
      <c r="AB1997" s="16" t="n">
        <v>2600</v>
      </c>
      <c r="AC1997" s="16" t="n">
        <v>7.5</v>
      </c>
      <c r="AD1997" s="16" t="inlineStr">
        <is>
          <t>O2,O3</t>
        </is>
      </c>
      <c r="AE1997" s="16" t="n"/>
    </row>
    <row r="1998">
      <c r="A1998" s="16" t="inlineStr">
        <is>
          <t>KF-M05-3-0036</t>
        </is>
      </c>
      <c r="B1998" s="16" t="inlineStr">
        <is>
          <t>4.1</t>
        </is>
      </c>
      <c r="C1998" s="16" t="inlineStr">
        <is>
          <t>4.1c</t>
        </is>
      </c>
      <c r="D1998" s="16" t="inlineStr">
        <is>
          <t>conserva sus presiones y su clima</t>
        </is>
      </c>
      <c r="E1998" s="16" t="inlineStr">
        <is>
          <t>KF-M05</t>
        </is>
      </c>
      <c r="F1998" s="16" t="inlineStr">
        <is>
          <t>KF-M05-3</t>
        </is>
      </c>
      <c r="G1998" s="16" t="inlineStr">
        <is>
          <t>B09-3</t>
        </is>
      </c>
      <c r="H1998" s="16" t="inlineStr">
        <is>
          <t>lhs</t>
        </is>
      </c>
      <c r="I1998" s="16" t="inlineStr">
        <is>
          <t>INVIABLE</t>
        </is>
      </c>
      <c r="J1998" s="16" t="inlineStr">
        <is>
          <t>INVIABLE</t>
        </is>
      </c>
      <c r="K1998" s="16" t="b">
        <v>1</v>
      </c>
      <c r="L1998" s="16" t="b">
        <v>0</v>
      </c>
      <c r="M1998" s="16" t="b">
        <v>0</v>
      </c>
      <c r="N1998" s="16" t="b">
        <v>0</v>
      </c>
      <c r="O1998" s="16" t="n">
        <v>437.2572530651493</v>
      </c>
      <c r="P1998" s="16" t="n">
        <v>300.032917</v>
      </c>
      <c r="Q1998" s="16" t="n">
        <v>3000</v>
      </c>
      <c r="R1998" s="16" t="n">
        <v>400</v>
      </c>
      <c r="S1998" s="16" t="n">
        <v>0.5804952425152379</v>
      </c>
      <c r="T1998" s="16" t="n">
        <v>0.5274755600067678</v>
      </c>
      <c r="U1998" s="16" t="n">
        <v>0.4434151919791364</v>
      </c>
      <c r="V1998" s="16" t="n">
        <v>0.6140432517291806</v>
      </c>
      <c r="W1998" s="16" t="n">
        <v>0.7793330497907975</v>
      </c>
      <c r="X1998" s="16" t="n">
        <v>0.7262960714416669</v>
      </c>
      <c r="Y1998" s="16" t="n">
        <v>300.032917</v>
      </c>
      <c r="Z1998" s="16" t="n">
        <v>-6.66514360758493</v>
      </c>
      <c r="AA1998" s="16" t="n">
        <v>-35.36546992597592</v>
      </c>
      <c r="AB1998" s="16" t="n">
        <v>2600</v>
      </c>
      <c r="AC1998" s="16" t="n">
        <v>7.5</v>
      </c>
      <c r="AD1998" s="16" t="inlineStr">
        <is>
          <t>O2,O3</t>
        </is>
      </c>
      <c r="AE1998" s="16" t="n"/>
    </row>
    <row r="1999">
      <c r="A1999" s="16" t="inlineStr">
        <is>
          <t>KF-M05-3-0037</t>
        </is>
      </c>
      <c r="B1999" s="16" t="inlineStr">
        <is>
          <t>4.1</t>
        </is>
      </c>
      <c r="C1999" s="16" t="inlineStr">
        <is>
          <t>4.1c</t>
        </is>
      </c>
      <c r="D1999" s="16" t="inlineStr">
        <is>
          <t>conserva sus presiones y su clima</t>
        </is>
      </c>
      <c r="E1999" s="16" t="inlineStr">
        <is>
          <t>KF-M05</t>
        </is>
      </c>
      <c r="F1999" s="16" t="inlineStr">
        <is>
          <t>KF-M05-3</t>
        </is>
      </c>
      <c r="G1999" s="16" t="inlineStr">
        <is>
          <t>B09-3</t>
        </is>
      </c>
      <c r="H1999" s="16" t="inlineStr">
        <is>
          <t>lhs</t>
        </is>
      </c>
      <c r="I1999" s="16" t="inlineStr">
        <is>
          <t>N2</t>
        </is>
      </c>
      <c r="J1999" s="16" t="inlineStr">
        <is>
          <t>NO_CONVERGIO</t>
        </is>
      </c>
      <c r="K1999" s="16" t="b">
        <v>0</v>
      </c>
      <c r="L1999" s="16" t="b">
        <v>0</v>
      </c>
      <c r="M1999" s="16" t="b">
        <v>1</v>
      </c>
      <c r="N1999" s="16" t="b">
        <v>0</v>
      </c>
      <c r="O1999" s="16" t="n">
        <v>486.3554068589664</v>
      </c>
      <c r="P1999" s="16" t="n">
        <v>300.032917</v>
      </c>
      <c r="Q1999" s="16" t="n">
        <v>3000</v>
      </c>
      <c r="R1999" s="16" t="n">
        <v>400</v>
      </c>
      <c r="S1999" s="16" t="n">
        <v>0.8350838540911976</v>
      </c>
      <c r="T1999" s="16" t="n">
        <v>0.8867068347787023</v>
      </c>
      <c r="U1999" s="16" t="n">
        <v>0.46209017712355</v>
      </c>
      <c r="V1999" s="16" t="n">
        <v>0.7562161689673756</v>
      </c>
      <c r="W1999" s="16" t="n">
        <v>0.8442760472953063</v>
      </c>
      <c r="X1999" s="16" t="n">
        <v>0.825126637493099</v>
      </c>
      <c r="Y1999" s="16" t="n">
        <v>300.032917</v>
      </c>
      <c r="Z1999" s="16" t="n">
        <v>-46.57926646013708</v>
      </c>
      <c r="AA1999" s="16" t="n">
        <v>-130.7889964378174</v>
      </c>
      <c r="AB1999" s="16" t="n">
        <v>2600</v>
      </c>
      <c r="AC1999" s="16" t="n">
        <v>7.5</v>
      </c>
      <c r="AD1999" s="16" t="inlineStr">
        <is>
          <t>N2,O1,O2,O3,O5,C1,C3,C3</t>
        </is>
      </c>
      <c r="AE1999" s="16" t="n"/>
    </row>
    <row r="2000">
      <c r="A2000" s="16" t="inlineStr">
        <is>
          <t>KF-M05-3-0038</t>
        </is>
      </c>
      <c r="B2000" s="16" t="inlineStr">
        <is>
          <t>4.1</t>
        </is>
      </c>
      <c r="C2000" s="16" t="inlineStr">
        <is>
          <t>4.1c</t>
        </is>
      </c>
      <c r="D2000" s="16" t="inlineStr">
        <is>
          <t>conserva sus presiones y su clima</t>
        </is>
      </c>
      <c r="E2000" s="16" t="inlineStr">
        <is>
          <t>KF-M05</t>
        </is>
      </c>
      <c r="F2000" s="16" t="inlineStr">
        <is>
          <t>KF-M05-3</t>
        </is>
      </c>
      <c r="G2000" s="16" t="inlineStr">
        <is>
          <t>B09-3</t>
        </is>
      </c>
      <c r="H2000" s="16" t="inlineStr">
        <is>
          <t>lhs</t>
        </is>
      </c>
      <c r="I2000" s="16" t="inlineStr">
        <is>
          <t>CORREGIBLE</t>
        </is>
      </c>
      <c r="J2000" s="16" t="inlineStr">
        <is>
          <t>CORREGIBLE</t>
        </is>
      </c>
      <c r="K2000" s="16" t="b">
        <v>1</v>
      </c>
      <c r="L2000" s="16" t="b">
        <v>0</v>
      </c>
      <c r="M2000" s="16" t="b">
        <v>1</v>
      </c>
      <c r="N2000" s="16" t="b">
        <v>0</v>
      </c>
      <c r="O2000" s="16" t="n">
        <v>622.4010394842219</v>
      </c>
      <c r="P2000" s="16" t="n">
        <v>300.032917</v>
      </c>
      <c r="Q2000" s="16" t="n">
        <v>3000</v>
      </c>
      <c r="R2000" s="16" t="n">
        <v>400</v>
      </c>
      <c r="S2000" s="16" t="n">
        <v>0.6419150260040939</v>
      </c>
      <c r="T2000" s="16" t="n">
        <v>0.6440480630958084</v>
      </c>
      <c r="U2000" s="16" t="n">
        <v>0.6468079619826472</v>
      </c>
      <c r="V2000" s="16" t="n">
        <v>0.6203850333336878</v>
      </c>
      <c r="W2000" s="16" t="n">
        <v>0.9065884909582212</v>
      </c>
      <c r="X2000" s="16" t="n">
        <v>0.9302914113912673</v>
      </c>
      <c r="Y2000" s="16" t="n">
        <v>300.032917</v>
      </c>
      <c r="Z2000" s="16" t="n">
        <v>6.526600311918849</v>
      </c>
      <c r="AA2000" s="16" t="n">
        <v>81.01105272802349</v>
      </c>
      <c r="AB2000" s="16" t="n">
        <v>2600</v>
      </c>
      <c r="AC2000" s="16" t="n">
        <v>7.5</v>
      </c>
      <c r="AD2000" s="16" t="inlineStr">
        <is>
          <t>O2</t>
        </is>
      </c>
      <c r="AE2000" s="16" t="n"/>
    </row>
    <row r="2001">
      <c r="A2001" s="16" t="inlineStr">
        <is>
          <t>KF-M05-3-0039</t>
        </is>
      </c>
      <c r="B2001" s="16" t="inlineStr">
        <is>
          <t>4.1</t>
        </is>
      </c>
      <c r="C2001" s="16" t="inlineStr">
        <is>
          <t>4.1c</t>
        </is>
      </c>
      <c r="D2001" s="16" t="inlineStr">
        <is>
          <t>conserva sus presiones y su clima</t>
        </is>
      </c>
      <c r="E2001" s="16" t="inlineStr">
        <is>
          <t>KF-M05</t>
        </is>
      </c>
      <c r="F2001" s="16" t="inlineStr">
        <is>
          <t>KF-M05-3</t>
        </is>
      </c>
      <c r="G2001" s="16" t="inlineStr">
        <is>
          <t>B09-3</t>
        </is>
      </c>
      <c r="H2001" s="16" t="inlineStr">
        <is>
          <t>lhs</t>
        </is>
      </c>
      <c r="I2001" s="16" t="inlineStr">
        <is>
          <t>INVIABLE</t>
        </is>
      </c>
      <c r="J2001" s="16" t="inlineStr">
        <is>
          <t>INVIABLE</t>
        </is>
      </c>
      <c r="K2001" s="16" t="b">
        <v>1</v>
      </c>
      <c r="L2001" s="16" t="b">
        <v>0</v>
      </c>
      <c r="M2001" s="16" t="b">
        <v>0</v>
      </c>
      <c r="N2001" s="16" t="b">
        <v>0</v>
      </c>
      <c r="O2001" s="16" t="n">
        <v>400.6631603758277</v>
      </c>
      <c r="P2001" s="16" t="n">
        <v>300.032917</v>
      </c>
      <c r="Q2001" s="16" t="n">
        <v>3000</v>
      </c>
      <c r="R2001" s="16" t="n">
        <v>400</v>
      </c>
      <c r="S2001" s="16" t="n">
        <v>0.7301801204772986</v>
      </c>
      <c r="T2001" s="16" t="n">
        <v>0.7523962615976039</v>
      </c>
      <c r="U2001" s="16" t="n">
        <v>0.4931788602493788</v>
      </c>
      <c r="V2001" s="16" t="n">
        <v>0.5872838730103334</v>
      </c>
      <c r="W2001" s="16" t="n">
        <v>0.5164696041728722</v>
      </c>
      <c r="X2001" s="16" t="n">
        <v>0.74612732560698</v>
      </c>
      <c r="Y2001" s="16" t="n">
        <v>300.032917</v>
      </c>
      <c r="Z2001" s="16" t="n">
        <v>-141.2247411344582</v>
      </c>
      <c r="AA2001" s="16" t="n">
        <v>-154.2570526852488</v>
      </c>
      <c r="AB2001" s="16" t="n">
        <v>2600</v>
      </c>
      <c r="AC2001" s="16" t="n">
        <v>7.5</v>
      </c>
      <c r="AD2001" s="16" t="inlineStr">
        <is>
          <t>O2,O3</t>
        </is>
      </c>
      <c r="AE2001" s="16" t="n"/>
    </row>
    <row r="2002">
      <c r="A2002" s="16" t="inlineStr">
        <is>
          <t>KF-M05-3-0040</t>
        </is>
      </c>
      <c r="B2002" s="16" t="inlineStr">
        <is>
          <t>4.1</t>
        </is>
      </c>
      <c r="C2002" s="16" t="inlineStr">
        <is>
          <t>4.1c</t>
        </is>
      </c>
      <c r="D2002" s="16" t="inlineStr">
        <is>
          <t>conserva sus presiones y su clima</t>
        </is>
      </c>
      <c r="E2002" s="16" t="inlineStr">
        <is>
          <t>KF-M05</t>
        </is>
      </c>
      <c r="F2002" s="16" t="inlineStr">
        <is>
          <t>KF-M05-3</t>
        </is>
      </c>
      <c r="G2002" s="16" t="inlineStr">
        <is>
          <t>B09-3</t>
        </is>
      </c>
      <c r="H2002" s="16" t="inlineStr">
        <is>
          <t>lhs</t>
        </is>
      </c>
      <c r="I2002" s="16" t="inlineStr">
        <is>
          <t>NO_CONVERGIO</t>
        </is>
      </c>
      <c r="J2002" s="16" t="inlineStr">
        <is>
          <t>NO_CONVERGIO</t>
        </is>
      </c>
      <c r="K2002" s="16" t="b">
        <v>0</v>
      </c>
      <c r="L2002" s="16" t="b">
        <v>0</v>
      </c>
      <c r="M2002" s="16" t="b">
        <v>0</v>
      </c>
      <c r="N2002" s="16" t="b">
        <v>0</v>
      </c>
      <c r="O2002" s="16" t="n">
        <v>580.5216256422342</v>
      </c>
      <c r="P2002" s="16" t="n">
        <v>300.032917</v>
      </c>
      <c r="Q2002" s="16" t="n">
        <v>3000</v>
      </c>
      <c r="R2002" s="16" t="n">
        <v>400</v>
      </c>
      <c r="S2002" s="16" t="n">
        <v>0.7858663737509292</v>
      </c>
      <c r="T2002" s="16" t="n">
        <v>0.4795092294247324</v>
      </c>
      <c r="U2002" s="16" t="n">
        <v>0.4714548788924426</v>
      </c>
      <c r="V2002" s="16" t="n">
        <v>0.5677070560476284</v>
      </c>
      <c r="W2002" s="16" t="n">
        <v>0.878841381030367</v>
      </c>
      <c r="X2002" s="16" t="n">
        <v>0.5936550177608475</v>
      </c>
      <c r="Y2002" s="16" t="n">
        <v>300.032917</v>
      </c>
      <c r="Z2002" s="16" t="n"/>
      <c r="AA2002" s="16" t="n"/>
      <c r="AB2002" s="16" t="n">
        <v>2600</v>
      </c>
      <c r="AC2002" s="16" t="n">
        <v>7.5</v>
      </c>
      <c r="AD2002" s="16" t="n"/>
      <c r="AE2002" s="16" t="n"/>
    </row>
    <row r="2003">
      <c r="A2003" s="16" t="inlineStr">
        <is>
          <t>KF-M05-3-0041</t>
        </is>
      </c>
      <c r="B2003" s="16" t="inlineStr">
        <is>
          <t>4.1</t>
        </is>
      </c>
      <c r="C2003" s="16" t="inlineStr">
        <is>
          <t>4.1c</t>
        </is>
      </c>
      <c r="D2003" s="16" t="inlineStr">
        <is>
          <t>conserva sus presiones y su clima</t>
        </is>
      </c>
      <c r="E2003" s="16" t="inlineStr">
        <is>
          <t>KF-M05</t>
        </is>
      </c>
      <c r="F2003" s="16" t="inlineStr">
        <is>
          <t>KF-M05-3</t>
        </is>
      </c>
      <c r="G2003" s="16" t="inlineStr">
        <is>
          <t>B09-3</t>
        </is>
      </c>
      <c r="H2003" s="16" t="inlineStr">
        <is>
          <t>lhs</t>
        </is>
      </c>
      <c r="I2003" s="16" t="inlineStr">
        <is>
          <t>NO_CONVERGIO</t>
        </is>
      </c>
      <c r="J2003" s="16" t="inlineStr">
        <is>
          <t>NO_CONVERGIO</t>
        </is>
      </c>
      <c r="K2003" s="16" t="b">
        <v>0</v>
      </c>
      <c r="L2003" s="16" t="b">
        <v>0</v>
      </c>
      <c r="M2003" s="16" t="b">
        <v>0</v>
      </c>
      <c r="N2003" s="16" t="b">
        <v>0</v>
      </c>
      <c r="O2003" s="16" t="n">
        <v>603.558795625764</v>
      </c>
      <c r="P2003" s="16" t="n">
        <v>300.032917</v>
      </c>
      <c r="Q2003" s="16" t="n">
        <v>3000</v>
      </c>
      <c r="R2003" s="16" t="n">
        <v>400</v>
      </c>
      <c r="S2003" s="16" t="n">
        <v>0.7072519127096381</v>
      </c>
      <c r="T2003" s="16" t="n">
        <v>0.7393334562799538</v>
      </c>
      <c r="U2003" s="16" t="n">
        <v>0.7233157057487429</v>
      </c>
      <c r="V2003" s="16" t="n">
        <v>0.7413185376609448</v>
      </c>
      <c r="W2003" s="16" t="n">
        <v>0.9259083370528738</v>
      </c>
      <c r="X2003" s="16" t="n">
        <v>0.6202717891407262</v>
      </c>
      <c r="Y2003" s="16" t="n">
        <v>300.032917</v>
      </c>
      <c r="Z2003" s="16" t="n"/>
      <c r="AA2003" s="16" t="n"/>
      <c r="AB2003" s="16" t="n">
        <v>2600</v>
      </c>
      <c r="AC2003" s="16" t="n">
        <v>7.5</v>
      </c>
      <c r="AD2003" s="16" t="n"/>
      <c r="AE2003" s="16" t="n"/>
    </row>
    <row r="2004">
      <c r="A2004" s="16" t="inlineStr">
        <is>
          <t>KF-M05-3-0042</t>
        </is>
      </c>
      <c r="B2004" s="16" t="inlineStr">
        <is>
          <t>4.1</t>
        </is>
      </c>
      <c r="C2004" s="16" t="inlineStr">
        <is>
          <t>4.1c</t>
        </is>
      </c>
      <c r="D2004" s="16" t="inlineStr">
        <is>
          <t>conserva sus presiones y su clima</t>
        </is>
      </c>
      <c r="E2004" s="16" t="inlineStr">
        <is>
          <t>KF-M05</t>
        </is>
      </c>
      <c r="F2004" s="16" t="inlineStr">
        <is>
          <t>KF-M05-3</t>
        </is>
      </c>
      <c r="G2004" s="16" t="inlineStr">
        <is>
          <t>B09-3</t>
        </is>
      </c>
      <c r="H2004" s="16" t="inlineStr">
        <is>
          <t>lhs</t>
        </is>
      </c>
      <c r="I2004" s="16" t="inlineStr">
        <is>
          <t>INVIABLE</t>
        </is>
      </c>
      <c r="J2004" s="16" t="inlineStr">
        <is>
          <t>INVIABLE</t>
        </is>
      </c>
      <c r="K2004" s="16" t="b">
        <v>1</v>
      </c>
      <c r="L2004" s="16" t="b">
        <v>0</v>
      </c>
      <c r="M2004" s="16" t="b">
        <v>1</v>
      </c>
      <c r="N2004" s="16" t="b">
        <v>0</v>
      </c>
      <c r="O2004" s="16" t="n">
        <v>504.2386608542011</v>
      </c>
      <c r="P2004" s="16" t="n">
        <v>300.032917</v>
      </c>
      <c r="Q2004" s="16" t="n">
        <v>3000</v>
      </c>
      <c r="R2004" s="16" t="n">
        <v>400</v>
      </c>
      <c r="S2004" s="16" t="n">
        <v>0.7835818371488941</v>
      </c>
      <c r="T2004" s="16" t="n">
        <v>0.7144210974168925</v>
      </c>
      <c r="U2004" s="16" t="n">
        <v>0.5290888187848881</v>
      </c>
      <c r="V2004" s="16" t="n">
        <v>0.4246832191887698</v>
      </c>
      <c r="W2004" s="16" t="n">
        <v>0.6254594891074998</v>
      </c>
      <c r="X2004" s="16" t="n">
        <v>0.5710598327568374</v>
      </c>
      <c r="Y2004" s="16" t="n">
        <v>300.032917</v>
      </c>
      <c r="Z2004" s="16" t="n">
        <v>-96.7274045071006</v>
      </c>
      <c r="AA2004" s="16" t="n">
        <v>-224.7117008556044</v>
      </c>
      <c r="AB2004" s="16" t="n">
        <v>2600</v>
      </c>
      <c r="AC2004" s="16" t="n">
        <v>7.5</v>
      </c>
      <c r="AD2004" s="16" t="inlineStr">
        <is>
          <t>O2,O3</t>
        </is>
      </c>
      <c r="AE2004" s="16" t="n"/>
    </row>
    <row r="2005">
      <c r="A2005" s="16" t="inlineStr">
        <is>
          <t>KF-M05-3-0043</t>
        </is>
      </c>
      <c r="B2005" s="16" t="inlineStr">
        <is>
          <t>4.1</t>
        </is>
      </c>
      <c r="C2005" s="16" t="inlineStr">
        <is>
          <t>4.1c</t>
        </is>
      </c>
      <c r="D2005" s="16" t="inlineStr">
        <is>
          <t>conserva sus presiones y su clima</t>
        </is>
      </c>
      <c r="E2005" s="16" t="inlineStr">
        <is>
          <t>KF-M05</t>
        </is>
      </c>
      <c r="F2005" s="16" t="inlineStr">
        <is>
          <t>KF-M05-3</t>
        </is>
      </c>
      <c r="G2005" s="16" t="inlineStr">
        <is>
          <t>B09-3</t>
        </is>
      </c>
      <c r="H2005" s="16" t="inlineStr">
        <is>
          <t>lhs</t>
        </is>
      </c>
      <c r="I2005" s="16" t="inlineStr">
        <is>
          <t>NO_CONVERGIO</t>
        </is>
      </c>
      <c r="J2005" s="16" t="inlineStr">
        <is>
          <t>NO_CONVERGIO</t>
        </is>
      </c>
      <c r="K2005" s="16" t="b">
        <v>0</v>
      </c>
      <c r="L2005" s="16" t="b">
        <v>0</v>
      </c>
      <c r="M2005" s="16" t="b">
        <v>0</v>
      </c>
      <c r="N2005" s="16" t="b">
        <v>0</v>
      </c>
      <c r="O2005" s="16" t="n">
        <v>598.2844996976714</v>
      </c>
      <c r="P2005" s="16" t="n">
        <v>300.032917</v>
      </c>
      <c r="Q2005" s="16" t="n">
        <v>3000</v>
      </c>
      <c r="R2005" s="16" t="n">
        <v>400</v>
      </c>
      <c r="S2005" s="16" t="n">
        <v>0.6473094900047327</v>
      </c>
      <c r="T2005" s="16" t="n">
        <v>0.8477362406247916</v>
      </c>
      <c r="U2005" s="16" t="n">
        <v>0.688094419269641</v>
      </c>
      <c r="V2005" s="16" t="n">
        <v>0.9308618145755252</v>
      </c>
      <c r="W2005" s="16" t="n">
        <v>0.5472318266028763</v>
      </c>
      <c r="X2005" s="16" t="n">
        <v>0.5977329829185719</v>
      </c>
      <c r="Y2005" s="16" t="n">
        <v>300.032917</v>
      </c>
      <c r="Z2005" s="16" t="n"/>
      <c r="AA2005" s="16" t="n"/>
      <c r="AB2005" s="16" t="n">
        <v>2600</v>
      </c>
      <c r="AC2005" s="16" t="n">
        <v>7.5</v>
      </c>
      <c r="AD2005" s="16" t="n"/>
      <c r="AE2005" s="16" t="n"/>
    </row>
    <row r="2006">
      <c r="A2006" s="16" t="inlineStr">
        <is>
          <t>KF-M05-3-0044</t>
        </is>
      </c>
      <c r="B2006" s="16" t="inlineStr">
        <is>
          <t>4.1</t>
        </is>
      </c>
      <c r="C2006" s="16" t="inlineStr">
        <is>
          <t>4.1c</t>
        </is>
      </c>
      <c r="D2006" s="16" t="inlineStr">
        <is>
          <t>conserva sus presiones y su clima</t>
        </is>
      </c>
      <c r="E2006" s="16" t="inlineStr">
        <is>
          <t>KF-M05</t>
        </is>
      </c>
      <c r="F2006" s="16" t="inlineStr">
        <is>
          <t>KF-M05-3</t>
        </is>
      </c>
      <c r="G2006" s="16" t="inlineStr">
        <is>
          <t>B09-3</t>
        </is>
      </c>
      <c r="H2006" s="16" t="inlineStr">
        <is>
          <t>lhs</t>
        </is>
      </c>
      <c r="I2006" s="16" t="inlineStr">
        <is>
          <t>INVIABLE</t>
        </is>
      </c>
      <c r="J2006" s="16" t="inlineStr">
        <is>
          <t>INVIABLE</t>
        </is>
      </c>
      <c r="K2006" s="16" t="b">
        <v>1</v>
      </c>
      <c r="L2006" s="16" t="b">
        <v>0</v>
      </c>
      <c r="M2006" s="16" t="b">
        <v>1</v>
      </c>
      <c r="N2006" s="16" t="b">
        <v>0</v>
      </c>
      <c r="O2006" s="16" t="n">
        <v>522.4346026969514</v>
      </c>
      <c r="P2006" s="16" t="n">
        <v>300.032917</v>
      </c>
      <c r="Q2006" s="16" t="n">
        <v>3000</v>
      </c>
      <c r="R2006" s="16" t="n">
        <v>400</v>
      </c>
      <c r="S2006" s="16" t="n">
        <v>0.7750031506868397</v>
      </c>
      <c r="T2006" s="16" t="n">
        <v>0.7727314076870302</v>
      </c>
      <c r="U2006" s="16" t="n">
        <v>0.7130250700581549</v>
      </c>
      <c r="V2006" s="16" t="n">
        <v>0.4436594752654966</v>
      </c>
      <c r="W2006" s="16" t="n">
        <v>0.6435726976760021</v>
      </c>
      <c r="X2006" s="16" t="n">
        <v>0.8863774470351146</v>
      </c>
      <c r="Y2006" s="16" t="n">
        <v>300.032917</v>
      </c>
      <c r="Z2006" s="16" t="n">
        <v>-5.76176576847549</v>
      </c>
      <c r="AA2006" s="16" t="n">
        <v>-28.21640096756465</v>
      </c>
      <c r="AB2006" s="16" t="n">
        <v>2600</v>
      </c>
      <c r="AC2006" s="16" t="n">
        <v>7.5</v>
      </c>
      <c r="AD2006" s="16" t="inlineStr">
        <is>
          <t>O2,O3</t>
        </is>
      </c>
      <c r="AE2006" s="16" t="n"/>
    </row>
    <row r="2007">
      <c r="A2007" s="16" t="inlineStr">
        <is>
          <t>KF-M05-3-0045</t>
        </is>
      </c>
      <c r="B2007" s="16" t="inlineStr">
        <is>
          <t>4.1</t>
        </is>
      </c>
      <c r="C2007" s="16" t="inlineStr">
        <is>
          <t>4.1c</t>
        </is>
      </c>
      <c r="D2007" s="16" t="inlineStr">
        <is>
          <t>conserva sus presiones y su clima</t>
        </is>
      </c>
      <c r="E2007" s="16" t="inlineStr">
        <is>
          <t>KF-M05</t>
        </is>
      </c>
      <c r="F2007" s="16" t="inlineStr">
        <is>
          <t>KF-M05-3</t>
        </is>
      </c>
      <c r="G2007" s="16" t="inlineStr">
        <is>
          <t>B09-3</t>
        </is>
      </c>
      <c r="H2007" s="16" t="inlineStr">
        <is>
          <t>lhs</t>
        </is>
      </c>
      <c r="I2007" s="16" t="inlineStr">
        <is>
          <t>INVIABLE</t>
        </is>
      </c>
      <c r="J2007" s="16" t="inlineStr">
        <is>
          <t>INVIABLE</t>
        </is>
      </c>
      <c r="K2007" s="16" t="b">
        <v>1</v>
      </c>
      <c r="L2007" s="16" t="b">
        <v>0</v>
      </c>
      <c r="M2007" s="16" t="b">
        <v>1</v>
      </c>
      <c r="N2007" s="16" t="b">
        <v>0</v>
      </c>
      <c r="O2007" s="16" t="n">
        <v>612.8475057954793</v>
      </c>
      <c r="P2007" s="16" t="n">
        <v>300.032917</v>
      </c>
      <c r="Q2007" s="16" t="n">
        <v>3000</v>
      </c>
      <c r="R2007" s="16" t="n">
        <v>400</v>
      </c>
      <c r="S2007" s="16" t="n">
        <v>0.7227319123229173</v>
      </c>
      <c r="T2007" s="16" t="n">
        <v>0.4318472714308826</v>
      </c>
      <c r="U2007" s="16" t="n">
        <v>0.7025626894007684</v>
      </c>
      <c r="V2007" s="16" t="n">
        <v>0.5111352084824232</v>
      </c>
      <c r="W2007" s="16" t="n">
        <v>0.6599493790081302</v>
      </c>
      <c r="X2007" s="16" t="n">
        <v>0.7928597151575177</v>
      </c>
      <c r="Y2007" s="16" t="n">
        <v>300.032917</v>
      </c>
      <c r="Z2007" s="16" t="n">
        <v>-13.57054174256446</v>
      </c>
      <c r="AA2007" s="16" t="n">
        <v>-98.71033310388135</v>
      </c>
      <c r="AB2007" s="16" t="n">
        <v>2600</v>
      </c>
      <c r="AC2007" s="16" t="n">
        <v>7.5</v>
      </c>
      <c r="AD2007" s="16" t="inlineStr">
        <is>
          <t>O2,O3</t>
        </is>
      </c>
      <c r="AE2007" s="16" t="n"/>
    </row>
    <row r="2008">
      <c r="A2008" s="16" t="inlineStr">
        <is>
          <t>KF-M05-3-0046</t>
        </is>
      </c>
      <c r="B2008" s="16" t="inlineStr">
        <is>
          <t>4.1</t>
        </is>
      </c>
      <c r="C2008" s="16" t="inlineStr">
        <is>
          <t>4.1c</t>
        </is>
      </c>
      <c r="D2008" s="16" t="inlineStr">
        <is>
          <t>conserva sus presiones y su clima</t>
        </is>
      </c>
      <c r="E2008" s="16" t="inlineStr">
        <is>
          <t>KF-M05</t>
        </is>
      </c>
      <c r="F2008" s="16" t="inlineStr">
        <is>
          <t>KF-M05-3</t>
        </is>
      </c>
      <c r="G2008" s="16" t="inlineStr">
        <is>
          <t>B09-3</t>
        </is>
      </c>
      <c r="H2008" s="16" t="inlineStr">
        <is>
          <t>lhs</t>
        </is>
      </c>
      <c r="I2008" s="16" t="inlineStr">
        <is>
          <t>CORREGIBLE</t>
        </is>
      </c>
      <c r="J2008" s="16" t="inlineStr">
        <is>
          <t>CORREGIBLE</t>
        </is>
      </c>
      <c r="K2008" s="16" t="b">
        <v>1</v>
      </c>
      <c r="L2008" s="16" t="b">
        <v>0</v>
      </c>
      <c r="M2008" s="16" t="b">
        <v>1</v>
      </c>
      <c r="N2008" s="16" t="b">
        <v>0</v>
      </c>
      <c r="O2008" s="16" t="n">
        <v>457.2216577442974</v>
      </c>
      <c r="P2008" s="16" t="n">
        <v>300.032917</v>
      </c>
      <c r="Q2008" s="16" t="n">
        <v>3000</v>
      </c>
      <c r="R2008" s="16" t="n">
        <v>400</v>
      </c>
      <c r="S2008" s="16" t="n">
        <v>0.5171261458375973</v>
      </c>
      <c r="T2008" s="16" t="n">
        <v>0.5979595765990878</v>
      </c>
      <c r="U2008" s="16" t="n">
        <v>0.7418764831194306</v>
      </c>
      <c r="V2008" s="16" t="n">
        <v>0.6452608350029825</v>
      </c>
      <c r="W2008" s="16" t="n">
        <v>0.927407507430675</v>
      </c>
      <c r="X2008" s="16" t="n">
        <v>0.5590027346830229</v>
      </c>
      <c r="Y2008" s="16" t="n">
        <v>300.032917</v>
      </c>
      <c r="Z2008" s="16" t="n">
        <v>2.12138377333399</v>
      </c>
      <c r="AA2008" s="16" t="n">
        <v>14.37979530040354</v>
      </c>
      <c r="AB2008" s="16" t="n">
        <v>2600</v>
      </c>
      <c r="AC2008" s="16" t="n">
        <v>7.5</v>
      </c>
      <c r="AD2008" s="16" t="inlineStr">
        <is>
          <t>O2</t>
        </is>
      </c>
      <c r="AE2008" s="16" t="n"/>
    </row>
    <row r="2009">
      <c r="A2009" s="16" t="inlineStr">
        <is>
          <t>KF-M05-3-0047</t>
        </is>
      </c>
      <c r="B2009" s="16" t="inlineStr">
        <is>
          <t>4.1</t>
        </is>
      </c>
      <c r="C2009" s="16" t="inlineStr">
        <is>
          <t>4.1c</t>
        </is>
      </c>
      <c r="D2009" s="16" t="inlineStr">
        <is>
          <t>conserva sus presiones y su clima</t>
        </is>
      </c>
      <c r="E2009" s="16" t="inlineStr">
        <is>
          <t>KF-M05</t>
        </is>
      </c>
      <c r="F2009" s="16" t="inlineStr">
        <is>
          <t>KF-M05-3</t>
        </is>
      </c>
      <c r="G2009" s="16" t="inlineStr">
        <is>
          <t>B09-3</t>
        </is>
      </c>
      <c r="H2009" s="16" t="inlineStr">
        <is>
          <t>lhs</t>
        </is>
      </c>
      <c r="I2009" s="16" t="inlineStr">
        <is>
          <t>CORREGIBLE</t>
        </is>
      </c>
      <c r="J2009" s="16" t="inlineStr">
        <is>
          <t>CORREGIBLE</t>
        </is>
      </c>
      <c r="K2009" s="16" t="b">
        <v>1</v>
      </c>
      <c r="L2009" s="16" t="b">
        <v>0</v>
      </c>
      <c r="M2009" s="16" t="b">
        <v>1</v>
      </c>
      <c r="N2009" s="16" t="b">
        <v>0</v>
      </c>
      <c r="O2009" s="16" t="n">
        <v>446.6610990777016</v>
      </c>
      <c r="P2009" s="16" t="n">
        <v>300.032917</v>
      </c>
      <c r="Q2009" s="16" t="n">
        <v>3000</v>
      </c>
      <c r="R2009" s="16" t="n">
        <v>400</v>
      </c>
      <c r="S2009" s="16" t="n">
        <v>0.7178881530983336</v>
      </c>
      <c r="T2009" s="16" t="n">
        <v>0.7904055601669546</v>
      </c>
      <c r="U2009" s="16" t="n">
        <v>0.667493105271997</v>
      </c>
      <c r="V2009" s="16" t="n">
        <v>0.6552678974579018</v>
      </c>
      <c r="W2009" s="16" t="n">
        <v>0.5072799437902676</v>
      </c>
      <c r="X2009" s="16" t="n">
        <v>0.905181915356378</v>
      </c>
      <c r="Y2009" s="16" t="n">
        <v>300.032917</v>
      </c>
      <c r="Z2009" s="16" t="n">
        <v>2.79535855766095</v>
      </c>
      <c r="AA2009" s="16" t="n">
        <v>20.35967594120516</v>
      </c>
      <c r="AB2009" s="16" t="n">
        <v>2600</v>
      </c>
      <c r="AC2009" s="16" t="n">
        <v>7.5</v>
      </c>
      <c r="AD2009" s="16" t="inlineStr">
        <is>
          <t>O2</t>
        </is>
      </c>
      <c r="AE2009" s="16" t="n"/>
    </row>
    <row r="2010">
      <c r="A2010" s="16" t="inlineStr">
        <is>
          <t>KF-M05-3-0048</t>
        </is>
      </c>
      <c r="B2010" s="16" t="inlineStr">
        <is>
          <t>4.1</t>
        </is>
      </c>
      <c r="C2010" s="16" t="inlineStr">
        <is>
          <t>4.1c</t>
        </is>
      </c>
      <c r="D2010" s="16" t="inlineStr">
        <is>
          <t>conserva sus presiones y su clima</t>
        </is>
      </c>
      <c r="E2010" s="16" t="inlineStr">
        <is>
          <t>KF-M05</t>
        </is>
      </c>
      <c r="F2010" s="16" t="inlineStr">
        <is>
          <t>KF-M05-3</t>
        </is>
      </c>
      <c r="G2010" s="16" t="inlineStr">
        <is>
          <t>B09-3</t>
        </is>
      </c>
      <c r="H2010" s="16" t="inlineStr">
        <is>
          <t>lhs</t>
        </is>
      </c>
      <c r="I2010" s="16" t="inlineStr">
        <is>
          <t>CORREGIBLE</t>
        </is>
      </c>
      <c r="J2010" s="16" t="inlineStr">
        <is>
          <t>CORREGIBLE</t>
        </is>
      </c>
      <c r="K2010" s="16" t="b">
        <v>1</v>
      </c>
      <c r="L2010" s="16" t="b">
        <v>0</v>
      </c>
      <c r="M2010" s="16" t="b">
        <v>0</v>
      </c>
      <c r="N2010" s="16" t="b">
        <v>0</v>
      </c>
      <c r="O2010" s="16" t="n">
        <v>407.8461758439716</v>
      </c>
      <c r="P2010" s="16" t="n">
        <v>300.032917</v>
      </c>
      <c r="Q2010" s="16" t="n">
        <v>3000</v>
      </c>
      <c r="R2010" s="16" t="n">
        <v>400</v>
      </c>
      <c r="S2010" s="16" t="n">
        <v>0.5677903011123041</v>
      </c>
      <c r="T2010" s="16" t="n">
        <v>0.7372934298882851</v>
      </c>
      <c r="U2010" s="16" t="n">
        <v>0.6379959830194732</v>
      </c>
      <c r="V2010" s="16" t="n">
        <v>0.9052441833331754</v>
      </c>
      <c r="W2010" s="16" t="n">
        <v>0.4610382266178185</v>
      </c>
      <c r="X2010" s="16" t="n">
        <v>0.8804920718700158</v>
      </c>
      <c r="Y2010" s="16" t="n">
        <v>300.032917</v>
      </c>
      <c r="Z2010" s="16" t="n">
        <v>8.146138647950121</v>
      </c>
      <c r="AA2010" s="16" t="n">
        <v>45.27345243734023</v>
      </c>
      <c r="AB2010" s="16" t="n">
        <v>2600</v>
      </c>
      <c r="AC2010" s="16" t="n">
        <v>7.5</v>
      </c>
      <c r="AD2010" s="16" t="inlineStr">
        <is>
          <t>O2</t>
        </is>
      </c>
      <c r="AE2010" s="16" t="n"/>
    </row>
    <row r="2011">
      <c r="A2011" s="16" t="inlineStr">
        <is>
          <t>KF-M05-3-0049</t>
        </is>
      </c>
      <c r="B2011" s="16" t="inlineStr">
        <is>
          <t>4.1</t>
        </is>
      </c>
      <c r="C2011" s="16" t="inlineStr">
        <is>
          <t>4.1c</t>
        </is>
      </c>
      <c r="D2011" s="16" t="inlineStr">
        <is>
          <t>conserva sus presiones y su clima</t>
        </is>
      </c>
      <c r="E2011" s="16" t="inlineStr">
        <is>
          <t>KF-M05</t>
        </is>
      </c>
      <c r="F2011" s="16" t="inlineStr">
        <is>
          <t>KF-M05-3</t>
        </is>
      </c>
      <c r="G2011" s="16" t="inlineStr">
        <is>
          <t>B09-3</t>
        </is>
      </c>
      <c r="H2011" s="16" t="inlineStr">
        <is>
          <t>lhs</t>
        </is>
      </c>
      <c r="I2011" s="16" t="inlineStr">
        <is>
          <t>INVIABLE</t>
        </is>
      </c>
      <c r="J2011" s="16" t="inlineStr">
        <is>
          <t>INVIABLE</t>
        </is>
      </c>
      <c r="K2011" s="16" t="b">
        <v>1</v>
      </c>
      <c r="L2011" s="16" t="b">
        <v>0</v>
      </c>
      <c r="M2011" s="16" t="b">
        <v>1</v>
      </c>
      <c r="N2011" s="16" t="b">
        <v>0</v>
      </c>
      <c r="O2011" s="16" t="n">
        <v>460.4129991595481</v>
      </c>
      <c r="P2011" s="16" t="n">
        <v>300.032917</v>
      </c>
      <c r="Q2011" s="16" t="n">
        <v>3000</v>
      </c>
      <c r="R2011" s="16" t="n">
        <v>400</v>
      </c>
      <c r="S2011" s="16" t="n">
        <v>0.8037495719304026</v>
      </c>
      <c r="T2011" s="16" t="n">
        <v>0.8646315304427623</v>
      </c>
      <c r="U2011" s="16" t="n">
        <v>0.5017476322671229</v>
      </c>
      <c r="V2011" s="16" t="n">
        <v>0.8237142799530845</v>
      </c>
      <c r="W2011" s="16" t="n">
        <v>0.8719976028703209</v>
      </c>
      <c r="X2011" s="16" t="n">
        <v>0.7144965999421928</v>
      </c>
      <c r="Y2011" s="16" t="n">
        <v>300.032917</v>
      </c>
      <c r="Z2011" s="16" t="n">
        <v>-41.11044295454364</v>
      </c>
      <c r="AA2011" s="16" t="n">
        <v>-159.0083848581627</v>
      </c>
      <c r="AB2011" s="16" t="n">
        <v>2600</v>
      </c>
      <c r="AC2011" s="16" t="n">
        <v>7.5</v>
      </c>
      <c r="AD2011" s="16" t="inlineStr">
        <is>
          <t>O2,O3</t>
        </is>
      </c>
      <c r="AE2011" s="16" t="n"/>
    </row>
    <row r="2012">
      <c r="A2012" s="16" t="inlineStr">
        <is>
          <t>KF-M05-3-0050</t>
        </is>
      </c>
      <c r="B2012" s="16" t="inlineStr">
        <is>
          <t>4.1</t>
        </is>
      </c>
      <c r="C2012" s="16" t="inlineStr">
        <is>
          <t>4.1c</t>
        </is>
      </c>
      <c r="D2012" s="16" t="inlineStr">
        <is>
          <t>conserva sus presiones y su clima</t>
        </is>
      </c>
      <c r="E2012" s="16" t="inlineStr">
        <is>
          <t>KF-M05</t>
        </is>
      </c>
      <c r="F2012" s="16" t="inlineStr">
        <is>
          <t>KF-M05-3</t>
        </is>
      </c>
      <c r="G2012" s="16" t="inlineStr">
        <is>
          <t>B09-3</t>
        </is>
      </c>
      <c r="H2012" s="16" t="inlineStr">
        <is>
          <t>lhs</t>
        </is>
      </c>
      <c r="I2012" s="16" t="inlineStr">
        <is>
          <t>INVIABLE</t>
        </is>
      </c>
      <c r="J2012" s="16" t="inlineStr">
        <is>
          <t>INVIABLE</t>
        </is>
      </c>
      <c r="K2012" s="16" t="b">
        <v>1</v>
      </c>
      <c r="L2012" s="16" t="b">
        <v>0</v>
      </c>
      <c r="M2012" s="16" t="b">
        <v>0</v>
      </c>
      <c r="N2012" s="16" t="b">
        <v>0</v>
      </c>
      <c r="O2012" s="16" t="n">
        <v>421.6696840792605</v>
      </c>
      <c r="P2012" s="16" t="n">
        <v>300.032917</v>
      </c>
      <c r="Q2012" s="16" t="n">
        <v>3000</v>
      </c>
      <c r="R2012" s="16" t="n">
        <v>400</v>
      </c>
      <c r="S2012" s="16" t="n">
        <v>0.6304329766147577</v>
      </c>
      <c r="T2012" s="16" t="n">
        <v>0.664632547960032</v>
      </c>
      <c r="U2012" s="16" t="n">
        <v>0.5921434919721225</v>
      </c>
      <c r="V2012" s="16" t="n">
        <v>0.8303362436603657</v>
      </c>
      <c r="W2012" s="16" t="n">
        <v>0.8478182930490407</v>
      </c>
      <c r="X2012" s="16" t="n">
        <v>0.6628464970628869</v>
      </c>
      <c r="Y2012" s="16" t="n">
        <v>300.032917</v>
      </c>
      <c r="Z2012" s="16" t="n">
        <v>-10.74089686163738</v>
      </c>
      <c r="AA2012" s="16" t="n">
        <v>-44.35708275105155</v>
      </c>
      <c r="AB2012" s="16" t="n">
        <v>2600</v>
      </c>
      <c r="AC2012" s="16" t="n">
        <v>7.5</v>
      </c>
      <c r="AD2012" s="16" t="inlineStr">
        <is>
          <t>O2,O3</t>
        </is>
      </c>
      <c r="AE2012" s="16" t="n"/>
    </row>
    <row r="2013">
      <c r="A2013" s="16" t="inlineStr">
        <is>
          <t>KF-M05-3-0051</t>
        </is>
      </c>
      <c r="B2013" s="16" t="inlineStr">
        <is>
          <t>4.1</t>
        </is>
      </c>
      <c r="C2013" s="16" t="inlineStr">
        <is>
          <t>4.1c</t>
        </is>
      </c>
      <c r="D2013" s="16" t="inlineStr">
        <is>
          <t>conserva sus presiones y su clima</t>
        </is>
      </c>
      <c r="E2013" s="16" t="inlineStr">
        <is>
          <t>KF-M05</t>
        </is>
      </c>
      <c r="F2013" s="16" t="inlineStr">
        <is>
          <t>KF-M05-3</t>
        </is>
      </c>
      <c r="G2013" s="16" t="inlineStr">
        <is>
          <t>B09-3</t>
        </is>
      </c>
      <c r="H2013" s="16" t="inlineStr">
        <is>
          <t>lhs</t>
        </is>
      </c>
      <c r="I2013" s="16" t="inlineStr">
        <is>
          <t>NO_CONVERGIO</t>
        </is>
      </c>
      <c r="J2013" s="16" t="inlineStr">
        <is>
          <t>NO_CONVERGIO</t>
        </is>
      </c>
      <c r="K2013" s="16" t="b">
        <v>0</v>
      </c>
      <c r="L2013" s="16" t="b">
        <v>0</v>
      </c>
      <c r="M2013" s="16" t="b">
        <v>0</v>
      </c>
      <c r="N2013" s="16" t="b">
        <v>0</v>
      </c>
      <c r="O2013" s="16" t="n">
        <v>619.5316222735474</v>
      </c>
      <c r="P2013" s="16" t="n">
        <v>300.032917</v>
      </c>
      <c r="Q2013" s="16" t="n">
        <v>3000</v>
      </c>
      <c r="R2013" s="16" t="n">
        <v>400</v>
      </c>
      <c r="S2013" s="16" t="n">
        <v>0.8493157733340828</v>
      </c>
      <c r="T2013" s="16" t="n">
        <v>0.9249037216498672</v>
      </c>
      <c r="U2013" s="16" t="n">
        <v>0.5720748075156588</v>
      </c>
      <c r="V2013" s="16" t="n">
        <v>0.6353147039331123</v>
      </c>
      <c r="W2013" s="16" t="n">
        <v>0.7536580256335307</v>
      </c>
      <c r="X2013" s="16" t="n">
        <v>0.5523867165470938</v>
      </c>
      <c r="Y2013" s="16" t="n">
        <v>300.032917</v>
      </c>
      <c r="Z2013" s="16" t="n"/>
      <c r="AA2013" s="16" t="n"/>
      <c r="AB2013" s="16" t="n">
        <v>2600</v>
      </c>
      <c r="AC2013" s="16" t="n">
        <v>7.5</v>
      </c>
      <c r="AD2013" s="16" t="n"/>
      <c r="AE2013" s="16" t="n"/>
    </row>
    <row r="2014">
      <c r="A2014" s="16" t="inlineStr">
        <is>
          <t>KF-M05-3-0052</t>
        </is>
      </c>
      <c r="B2014" s="16" t="inlineStr">
        <is>
          <t>4.1</t>
        </is>
      </c>
      <c r="C2014" s="16" t="inlineStr">
        <is>
          <t>4.1c</t>
        </is>
      </c>
      <c r="D2014" s="16" t="inlineStr">
        <is>
          <t>conserva sus presiones y su clima</t>
        </is>
      </c>
      <c r="E2014" s="16" t="inlineStr">
        <is>
          <t>KF-M05</t>
        </is>
      </c>
      <c r="F2014" s="16" t="inlineStr">
        <is>
          <t>KF-M05-3</t>
        </is>
      </c>
      <c r="G2014" s="16" t="inlineStr">
        <is>
          <t>B09-3</t>
        </is>
      </c>
      <c r="H2014" s="16" t="inlineStr">
        <is>
          <t>lhs</t>
        </is>
      </c>
      <c r="I2014" s="16" t="inlineStr">
        <is>
          <t>INVIABLE</t>
        </is>
      </c>
      <c r="J2014" s="16" t="inlineStr">
        <is>
          <t>INVIABLE</t>
        </is>
      </c>
      <c r="K2014" s="16" t="b">
        <v>1</v>
      </c>
      <c r="L2014" s="16" t="b">
        <v>0</v>
      </c>
      <c r="M2014" s="16" t="b">
        <v>1</v>
      </c>
      <c r="N2014" s="16" t="b">
        <v>0</v>
      </c>
      <c r="O2014" s="16" t="n">
        <v>613.9605993541704</v>
      </c>
      <c r="P2014" s="16" t="n">
        <v>300.032917</v>
      </c>
      <c r="Q2014" s="16" t="n">
        <v>3000</v>
      </c>
      <c r="R2014" s="16" t="n">
        <v>400</v>
      </c>
      <c r="S2014" s="16" t="n">
        <v>0.6211555501566646</v>
      </c>
      <c r="T2014" s="16" t="n">
        <v>0.703915701258794</v>
      </c>
      <c r="U2014" s="16" t="n">
        <v>0.6580709842905884</v>
      </c>
      <c r="V2014" s="16" t="n">
        <v>0.4815049380228555</v>
      </c>
      <c r="W2014" s="16" t="n">
        <v>0.8930288234752819</v>
      </c>
      <c r="X2014" s="16" t="n">
        <v>0.4685219575973313</v>
      </c>
      <c r="Y2014" s="16" t="n">
        <v>300.032917</v>
      </c>
      <c r="Z2014" s="16" t="n">
        <v>-12.68325980305997</v>
      </c>
      <c r="AA2014" s="16" t="n">
        <v>-75.76889612610103</v>
      </c>
      <c r="AB2014" s="16" t="n">
        <v>2600</v>
      </c>
      <c r="AC2014" s="16" t="n">
        <v>7.5</v>
      </c>
      <c r="AD2014" s="16" t="inlineStr">
        <is>
          <t>O2,O3</t>
        </is>
      </c>
      <c r="AE2014" s="16" t="n"/>
    </row>
    <row r="2015">
      <c r="A2015" s="16" t="inlineStr">
        <is>
          <t>KF-M05-3-0053</t>
        </is>
      </c>
      <c r="B2015" s="16" t="inlineStr">
        <is>
          <t>4.1</t>
        </is>
      </c>
      <c r="C2015" s="16" t="inlineStr">
        <is>
          <t>4.1c</t>
        </is>
      </c>
      <c r="D2015" s="16" t="inlineStr">
        <is>
          <t>conserva sus presiones y su clima</t>
        </is>
      </c>
      <c r="E2015" s="16" t="inlineStr">
        <is>
          <t>KF-M05</t>
        </is>
      </c>
      <c r="F2015" s="16" t="inlineStr">
        <is>
          <t>KF-M05-3</t>
        </is>
      </c>
      <c r="G2015" s="16" t="inlineStr">
        <is>
          <t>B09-3</t>
        </is>
      </c>
      <c r="H2015" s="16" t="inlineStr">
        <is>
          <t>lhs</t>
        </is>
      </c>
      <c r="I2015" s="16" t="inlineStr">
        <is>
          <t>NO_CONVERGIO</t>
        </is>
      </c>
      <c r="J2015" s="16" t="inlineStr">
        <is>
          <t>NO_CONVERGIO</t>
        </is>
      </c>
      <c r="K2015" s="16" t="b">
        <v>0</v>
      </c>
      <c r="L2015" s="16" t="b">
        <v>0</v>
      </c>
      <c r="M2015" s="16" t="b">
        <v>0</v>
      </c>
      <c r="N2015" s="16" t="b">
        <v>0</v>
      </c>
      <c r="O2015" s="16" t="n">
        <v>468.4137153284205</v>
      </c>
      <c r="P2015" s="16" t="n">
        <v>300.032917</v>
      </c>
      <c r="Q2015" s="16" t="n">
        <v>3000</v>
      </c>
      <c r="R2015" s="16" t="n">
        <v>400</v>
      </c>
      <c r="S2015" s="16" t="n">
        <v>0.8001416588611223</v>
      </c>
      <c r="T2015" s="16" t="n">
        <v>0.6982504837109273</v>
      </c>
      <c r="U2015" s="16" t="n">
        <v>0.4144836470419439</v>
      </c>
      <c r="V2015" s="16" t="n">
        <v>0.5324441172302381</v>
      </c>
      <c r="W2015" s="16" t="n">
        <v>0.7905210455559829</v>
      </c>
      <c r="X2015" s="16" t="n">
        <v>0.5672075515160215</v>
      </c>
      <c r="Y2015" s="16" t="n">
        <v>300.032917</v>
      </c>
      <c r="Z2015" s="16" t="n"/>
      <c r="AA2015" s="16" t="n"/>
      <c r="AB2015" s="16" t="n">
        <v>2600</v>
      </c>
      <c r="AC2015" s="16" t="n">
        <v>7.5</v>
      </c>
      <c r="AD2015" s="16" t="n"/>
      <c r="AE2015" s="16" t="n"/>
    </row>
    <row r="2016">
      <c r="A2016" s="16" t="inlineStr">
        <is>
          <t>KF-M05-3-0054</t>
        </is>
      </c>
      <c r="B2016" s="16" t="inlineStr">
        <is>
          <t>4.1</t>
        </is>
      </c>
      <c r="C2016" s="16" t="inlineStr">
        <is>
          <t>4.1c</t>
        </is>
      </c>
      <c r="D2016" s="16" t="inlineStr">
        <is>
          <t>conserva sus presiones y su clima</t>
        </is>
      </c>
      <c r="E2016" s="16" t="inlineStr">
        <is>
          <t>KF-M05</t>
        </is>
      </c>
      <c r="F2016" s="16" t="inlineStr">
        <is>
          <t>KF-M05-3</t>
        </is>
      </c>
      <c r="G2016" s="16" t="inlineStr">
        <is>
          <t>B09-3</t>
        </is>
      </c>
      <c r="H2016" s="16" t="inlineStr">
        <is>
          <t>lhs</t>
        </is>
      </c>
      <c r="I2016" s="16" t="inlineStr">
        <is>
          <t>INVIABLE</t>
        </is>
      </c>
      <c r="J2016" s="16" t="inlineStr">
        <is>
          <t>INVIABLE</t>
        </is>
      </c>
      <c r="K2016" s="16" t="b">
        <v>1</v>
      </c>
      <c r="L2016" s="16" t="b">
        <v>0</v>
      </c>
      <c r="M2016" s="16" t="b">
        <v>1</v>
      </c>
      <c r="N2016" s="16" t="b">
        <v>0</v>
      </c>
      <c r="O2016" s="16" t="n">
        <v>592.0976694474074</v>
      </c>
      <c r="P2016" s="16" t="n">
        <v>300.032917</v>
      </c>
      <c r="Q2016" s="16" t="n">
        <v>3000</v>
      </c>
      <c r="R2016" s="16" t="n">
        <v>400</v>
      </c>
      <c r="S2016" s="16" t="n">
        <v>0.6693921805306169</v>
      </c>
      <c r="T2016" s="16" t="n">
        <v>0.7827382145406142</v>
      </c>
      <c r="U2016" s="16" t="n">
        <v>0.4303836640983479</v>
      </c>
      <c r="V2016" s="16" t="n">
        <v>0.6249280169225095</v>
      </c>
      <c r="W2016" s="16" t="n">
        <v>0.7157473976503734</v>
      </c>
      <c r="X2016" s="16" t="n">
        <v>0.8041993584554495</v>
      </c>
      <c r="Y2016" s="16" t="n">
        <v>300.032917</v>
      </c>
      <c r="Z2016" s="16" t="n">
        <v>-4.32862534130945</v>
      </c>
      <c r="AA2016" s="16" t="n">
        <v>-40.82232089947547</v>
      </c>
      <c r="AB2016" s="16" t="n">
        <v>2600</v>
      </c>
      <c r="AC2016" s="16" t="n">
        <v>7.5</v>
      </c>
      <c r="AD2016" s="16" t="inlineStr">
        <is>
          <t>O2,O3</t>
        </is>
      </c>
      <c r="AE2016" s="16" t="n"/>
    </row>
    <row r="2017">
      <c r="A2017" s="16" t="inlineStr">
        <is>
          <t>KF-M05-3-0055</t>
        </is>
      </c>
      <c r="B2017" s="16" t="inlineStr">
        <is>
          <t>4.1</t>
        </is>
      </c>
      <c r="C2017" s="16" t="inlineStr">
        <is>
          <t>4.1c</t>
        </is>
      </c>
      <c r="D2017" s="16" t="inlineStr">
        <is>
          <t>conserva sus presiones y su clima</t>
        </is>
      </c>
      <c r="E2017" s="16" t="inlineStr">
        <is>
          <t>KF-M05</t>
        </is>
      </c>
      <c r="F2017" s="16" t="inlineStr">
        <is>
          <t>KF-M05-3</t>
        </is>
      </c>
      <c r="G2017" s="16" t="inlineStr">
        <is>
          <t>B09-3</t>
        </is>
      </c>
      <c r="H2017" s="16" t="inlineStr">
        <is>
          <t>lhs</t>
        </is>
      </c>
      <c r="I2017" s="16" t="inlineStr">
        <is>
          <t>CORREGIBLE</t>
        </is>
      </c>
      <c r="J2017" s="16" t="inlineStr">
        <is>
          <t>CORREGIBLE</t>
        </is>
      </c>
      <c r="K2017" s="16" t="b">
        <v>1</v>
      </c>
      <c r="L2017" s="16" t="b">
        <v>0</v>
      </c>
      <c r="M2017" s="16" t="b">
        <v>1</v>
      </c>
      <c r="N2017" s="16" t="b">
        <v>0</v>
      </c>
      <c r="O2017" s="16" t="n">
        <v>472.9886584414233</v>
      </c>
      <c r="P2017" s="16" t="n">
        <v>300.032917</v>
      </c>
      <c r="Q2017" s="16" t="n">
        <v>3000</v>
      </c>
      <c r="R2017" s="16" t="n">
        <v>400</v>
      </c>
      <c r="S2017" s="16" t="n">
        <v>0.6818114639954054</v>
      </c>
      <c r="T2017" s="16" t="n">
        <v>0.8738077376042421</v>
      </c>
      <c r="U2017" s="16" t="n">
        <v>0.9303652609670988</v>
      </c>
      <c r="V2017" s="16" t="n">
        <v>0.5330150069881984</v>
      </c>
      <c r="W2017" s="16" t="n">
        <v>0.8517983147297115</v>
      </c>
      <c r="X2017" s="16" t="n">
        <v>0.6374522835513681</v>
      </c>
      <c r="Y2017" s="16" t="n">
        <v>300.032917</v>
      </c>
      <c r="Z2017" s="16" t="n">
        <v>10.27689772529562</v>
      </c>
      <c r="AA2017" s="16" t="n">
        <v>63.57360374004526</v>
      </c>
      <c r="AB2017" s="16" t="n">
        <v>2600</v>
      </c>
      <c r="AC2017" s="16" t="n">
        <v>7.5</v>
      </c>
      <c r="AD2017" s="16" t="inlineStr">
        <is>
          <t>O2</t>
        </is>
      </c>
      <c r="AE2017" s="16" t="n"/>
    </row>
    <row r="2018">
      <c r="A2018" s="16" t="inlineStr">
        <is>
          <t>KF-M05-3-0056</t>
        </is>
      </c>
      <c r="B2018" s="16" t="inlineStr">
        <is>
          <t>4.1</t>
        </is>
      </c>
      <c r="C2018" s="16" t="inlineStr">
        <is>
          <t>4.1c</t>
        </is>
      </c>
      <c r="D2018" s="16" t="inlineStr">
        <is>
          <t>conserva sus presiones y su clima</t>
        </is>
      </c>
      <c r="E2018" s="16" t="inlineStr">
        <is>
          <t>KF-M05</t>
        </is>
      </c>
      <c r="F2018" s="16" t="inlineStr">
        <is>
          <t>KF-M05-3</t>
        </is>
      </c>
      <c r="G2018" s="16" t="inlineStr">
        <is>
          <t>B09-3</t>
        </is>
      </c>
      <c r="H2018" s="16" t="inlineStr">
        <is>
          <t>lhs</t>
        </is>
      </c>
      <c r="I2018" s="16" t="inlineStr">
        <is>
          <t>NO_CONVERGIO</t>
        </is>
      </c>
      <c r="J2018" s="16" t="inlineStr">
        <is>
          <t>NO_CONVERGIO</t>
        </is>
      </c>
      <c r="K2018" s="16" t="b">
        <v>0</v>
      </c>
      <c r="L2018" s="16" t="b">
        <v>0</v>
      </c>
      <c r="M2018" s="16" t="b">
        <v>0</v>
      </c>
      <c r="N2018" s="16" t="b">
        <v>0</v>
      </c>
      <c r="O2018" s="16" t="n">
        <v>615.5396472523812</v>
      </c>
      <c r="P2018" s="16" t="n">
        <v>300.032917</v>
      </c>
      <c r="Q2018" s="16" t="n">
        <v>3000</v>
      </c>
      <c r="R2018" s="16" t="n">
        <v>400</v>
      </c>
      <c r="S2018" s="16" t="n">
        <v>0.810369944242711</v>
      </c>
      <c r="T2018" s="16" t="n">
        <v>0.7240474640513425</v>
      </c>
      <c r="U2018" s="16" t="n">
        <v>0.6957686851426981</v>
      </c>
      <c r="V2018" s="16" t="n">
        <v>0.7117403161464805</v>
      </c>
      <c r="W2018" s="16" t="n">
        <v>0.4054538300873365</v>
      </c>
      <c r="X2018" s="16" t="n">
        <v>0.8294856231527955</v>
      </c>
      <c r="Y2018" s="16" t="n">
        <v>300.032917</v>
      </c>
      <c r="Z2018" s="16" t="n"/>
      <c r="AA2018" s="16" t="n"/>
      <c r="AB2018" s="16" t="n">
        <v>2600</v>
      </c>
      <c r="AC2018" s="16" t="n">
        <v>7.5</v>
      </c>
      <c r="AD2018" s="16" t="n"/>
      <c r="AE2018" s="16" t="n"/>
    </row>
    <row r="2019">
      <c r="A2019" s="16" t="inlineStr">
        <is>
          <t>KF-M05-3-0057</t>
        </is>
      </c>
      <c r="B2019" s="16" t="inlineStr">
        <is>
          <t>4.1</t>
        </is>
      </c>
      <c r="C2019" s="16" t="inlineStr">
        <is>
          <t>4.1c</t>
        </is>
      </c>
      <c r="D2019" s="16" t="inlineStr">
        <is>
          <t>conserva sus presiones y su clima</t>
        </is>
      </c>
      <c r="E2019" s="16" t="inlineStr">
        <is>
          <t>KF-M05</t>
        </is>
      </c>
      <c r="F2019" s="16" t="inlineStr">
        <is>
          <t>KF-M05-3</t>
        </is>
      </c>
      <c r="G2019" s="16" t="inlineStr">
        <is>
          <t>B09-3</t>
        </is>
      </c>
      <c r="H2019" s="16" t="inlineStr">
        <is>
          <t>lhs</t>
        </is>
      </c>
      <c r="I2019" s="16" t="inlineStr">
        <is>
          <t>INVIABLE</t>
        </is>
      </c>
      <c r="J2019" s="16" t="inlineStr">
        <is>
          <t>INVIABLE</t>
        </is>
      </c>
      <c r="K2019" s="16" t="b">
        <v>1</v>
      </c>
      <c r="L2019" s="16" t="b">
        <v>0</v>
      </c>
      <c r="M2019" s="16" t="b">
        <v>1</v>
      </c>
      <c r="N2019" s="16" t="b">
        <v>0</v>
      </c>
      <c r="O2019" s="16" t="n">
        <v>442.2130491398488</v>
      </c>
      <c r="P2019" s="16" t="n">
        <v>300.032917</v>
      </c>
      <c r="Q2019" s="16" t="n">
        <v>3000</v>
      </c>
      <c r="R2019" s="16" t="n">
        <v>400</v>
      </c>
      <c r="S2019" s="16" t="n">
        <v>0.8360047058947926</v>
      </c>
      <c r="T2019" s="16" t="n">
        <v>0.8250425599461559</v>
      </c>
      <c r="U2019" s="16" t="n">
        <v>0.7191857863761707</v>
      </c>
      <c r="V2019" s="16" t="n">
        <v>0.8845727988923936</v>
      </c>
      <c r="W2019" s="16" t="n">
        <v>0.4740293894161046</v>
      </c>
      <c r="X2019" s="16" t="n">
        <v>0.6938384715868848</v>
      </c>
      <c r="Y2019" s="16" t="n">
        <v>300.032917</v>
      </c>
      <c r="Z2019" s="16" t="n">
        <v>-18.52150321741409</v>
      </c>
      <c r="AA2019" s="16" t="n">
        <v>-68.29787744844742</v>
      </c>
      <c r="AB2019" s="16" t="n">
        <v>2600</v>
      </c>
      <c r="AC2019" s="16" t="n">
        <v>7.5</v>
      </c>
      <c r="AD2019" s="16" t="inlineStr">
        <is>
          <t>O2,O3</t>
        </is>
      </c>
      <c r="AE2019" s="16" t="n"/>
    </row>
    <row r="2020">
      <c r="A2020" s="16" t="inlineStr">
        <is>
          <t>KF-M05-3-0058</t>
        </is>
      </c>
      <c r="B2020" s="16" t="inlineStr">
        <is>
          <t>4.1</t>
        </is>
      </c>
      <c r="C2020" s="16" t="inlineStr">
        <is>
          <t>4.1c</t>
        </is>
      </c>
      <c r="D2020" s="16" t="inlineStr">
        <is>
          <t>conserva sus presiones y su clima</t>
        </is>
      </c>
      <c r="E2020" s="16" t="inlineStr">
        <is>
          <t>KF-M05</t>
        </is>
      </c>
      <c r="F2020" s="16" t="inlineStr">
        <is>
          <t>KF-M05-3</t>
        </is>
      </c>
      <c r="G2020" s="16" t="inlineStr">
        <is>
          <t>B09-3</t>
        </is>
      </c>
      <c r="H2020" s="16" t="inlineStr">
        <is>
          <t>lhs</t>
        </is>
      </c>
      <c r="I2020" s="16" t="inlineStr">
        <is>
          <t>INVIABLE</t>
        </is>
      </c>
      <c r="J2020" s="16" t="inlineStr">
        <is>
          <t>INVIABLE</t>
        </is>
      </c>
      <c r="K2020" s="16" t="b">
        <v>1</v>
      </c>
      <c r="L2020" s="16" t="b">
        <v>0</v>
      </c>
      <c r="M2020" s="16" t="b">
        <v>1</v>
      </c>
      <c r="N2020" s="16" t="b">
        <v>0</v>
      </c>
      <c r="O2020" s="16" t="n">
        <v>429.7796200077704</v>
      </c>
      <c r="P2020" s="16" t="n">
        <v>300.032917</v>
      </c>
      <c r="Q2020" s="16" t="n">
        <v>3000</v>
      </c>
      <c r="R2020" s="16" t="n">
        <v>400</v>
      </c>
      <c r="S2020" s="16" t="n">
        <v>0.7024082212451934</v>
      </c>
      <c r="T2020" s="16" t="n">
        <v>0.901995453010582</v>
      </c>
      <c r="U2020" s="16" t="n">
        <v>0.4116210422663966</v>
      </c>
      <c r="V2020" s="16" t="n">
        <v>0.8953845373471325</v>
      </c>
      <c r="W2020" s="16" t="n">
        <v>0.8095130817681322</v>
      </c>
      <c r="X2020" s="16" t="n">
        <v>0.5608119853965264</v>
      </c>
      <c r="Y2020" s="16" t="n">
        <v>300.032917</v>
      </c>
      <c r="Z2020" s="16" t="n">
        <v>-80.77161901158756</v>
      </c>
      <c r="AA2020" s="16" t="n">
        <v>-190.4669582155827</v>
      </c>
      <c r="AB2020" s="16" t="n">
        <v>2600</v>
      </c>
      <c r="AC2020" s="16" t="n">
        <v>7.5</v>
      </c>
      <c r="AD2020" s="16" t="inlineStr">
        <is>
          <t>O2,O3</t>
        </is>
      </c>
      <c r="AE2020" s="16" t="n"/>
    </row>
    <row r="2021">
      <c r="A2021" s="16" t="inlineStr">
        <is>
          <t>KF-M05-3-0059</t>
        </is>
      </c>
      <c r="B2021" s="16" t="inlineStr">
        <is>
          <t>4.1</t>
        </is>
      </c>
      <c r="C2021" s="16" t="inlineStr">
        <is>
          <t>4.1c</t>
        </is>
      </c>
      <c r="D2021" s="16" t="inlineStr">
        <is>
          <t>conserva sus presiones y su clima</t>
        </is>
      </c>
      <c r="E2021" s="16" t="inlineStr">
        <is>
          <t>KF-M05</t>
        </is>
      </c>
      <c r="F2021" s="16" t="inlineStr">
        <is>
          <t>KF-M05-3</t>
        </is>
      </c>
      <c r="G2021" s="16" t="inlineStr">
        <is>
          <t>B09-3</t>
        </is>
      </c>
      <c r="H2021" s="16" t="inlineStr">
        <is>
          <t>lhs</t>
        </is>
      </c>
      <c r="I2021" s="16" t="inlineStr">
        <is>
          <t>NO_CONVERGIO</t>
        </is>
      </c>
      <c r="J2021" s="16" t="inlineStr">
        <is>
          <t>NO_CONVERGIO</t>
        </is>
      </c>
      <c r="K2021" s="16" t="b">
        <v>0</v>
      </c>
      <c r="L2021" s="16" t="b">
        <v>0</v>
      </c>
      <c r="M2021" s="16" t="b">
        <v>0</v>
      </c>
      <c r="N2021" s="16" t="b">
        <v>0</v>
      </c>
      <c r="O2021" s="16" t="n">
        <v>566.3083206757484</v>
      </c>
      <c r="P2021" s="16" t="n">
        <v>300.032917</v>
      </c>
      <c r="Q2021" s="16" t="n">
        <v>3000</v>
      </c>
      <c r="R2021" s="16" t="n">
        <v>400</v>
      </c>
      <c r="S2021" s="16" t="n">
        <v>0.6996069632647509</v>
      </c>
      <c r="T2021" s="16" t="n">
        <v>0.7685314364495507</v>
      </c>
      <c r="U2021" s="16" t="n">
        <v>0.8450617546800101</v>
      </c>
      <c r="V2021" s="16" t="n">
        <v>0.9088210683289324</v>
      </c>
      <c r="W2021" s="16" t="n">
        <v>0.5806945504878274</v>
      </c>
      <c r="X2021" s="16" t="n">
        <v>0.5045549908894973</v>
      </c>
      <c r="Y2021" s="16" t="n">
        <v>300.032917</v>
      </c>
      <c r="Z2021" s="16" t="n"/>
      <c r="AA2021" s="16" t="n"/>
      <c r="AB2021" s="16" t="n">
        <v>2600</v>
      </c>
      <c r="AC2021" s="16" t="n">
        <v>7.5</v>
      </c>
      <c r="AD2021" s="16" t="n"/>
      <c r="AE2021" s="16" t="n"/>
    </row>
    <row r="2022">
      <c r="A2022" s="16" t="inlineStr">
        <is>
          <t>KF-M05-3-0060</t>
        </is>
      </c>
      <c r="B2022" s="16" t="inlineStr">
        <is>
          <t>4.1</t>
        </is>
      </c>
      <c r="C2022" s="16" t="inlineStr">
        <is>
          <t>4.1c</t>
        </is>
      </c>
      <c r="D2022" s="16" t="inlineStr">
        <is>
          <t>conserva sus presiones y su clima</t>
        </is>
      </c>
      <c r="E2022" s="16" t="inlineStr">
        <is>
          <t>KF-M05</t>
        </is>
      </c>
      <c r="F2022" s="16" t="inlineStr">
        <is>
          <t>KF-M05-3</t>
        </is>
      </c>
      <c r="G2022" s="16" t="inlineStr">
        <is>
          <t>B09-3</t>
        </is>
      </c>
      <c r="H2022" s="16" t="inlineStr">
        <is>
          <t>lhs</t>
        </is>
      </c>
      <c r="I2022" s="16" t="inlineStr">
        <is>
          <t>NO_CONVERGIO</t>
        </is>
      </c>
      <c r="J2022" s="16" t="inlineStr">
        <is>
          <t>NO_CONVERGIO</t>
        </is>
      </c>
      <c r="K2022" s="16" t="b">
        <v>0</v>
      </c>
      <c r="L2022" s="16" t="b">
        <v>0</v>
      </c>
      <c r="M2022" s="16" t="b">
        <v>0</v>
      </c>
      <c r="N2022" s="16" t="b">
        <v>0</v>
      </c>
      <c r="O2022" s="16" t="n">
        <v>515.1489350238182</v>
      </c>
      <c r="P2022" s="16" t="n">
        <v>300.032917</v>
      </c>
      <c r="Q2022" s="16" t="n">
        <v>3000</v>
      </c>
      <c r="R2022" s="16" t="n">
        <v>400</v>
      </c>
      <c r="S2022" s="16" t="n">
        <v>0.8022618525749885</v>
      </c>
      <c r="T2022" s="16" t="n">
        <v>0.5957202724273793</v>
      </c>
      <c r="U2022" s="16" t="n">
        <v>0.663971207938419</v>
      </c>
      <c r="V2022" s="16" t="n">
        <v>0.8784175704188236</v>
      </c>
      <c r="W2022" s="16" t="n">
        <v>0.6324714589661862</v>
      </c>
      <c r="X2022" s="16" t="n">
        <v>0.8813367926534196</v>
      </c>
      <c r="Y2022" s="16" t="n">
        <v>300.032917</v>
      </c>
      <c r="Z2022" s="16" t="n"/>
      <c r="AA2022" s="16" t="n"/>
      <c r="AB2022" s="16" t="n">
        <v>2600</v>
      </c>
      <c r="AC2022" s="16" t="n">
        <v>7.5</v>
      </c>
      <c r="AD2022" s="16" t="n"/>
      <c r="AE2022" s="16" t="n"/>
    </row>
    <row r="2023">
      <c r="A2023" s="16" t="inlineStr">
        <is>
          <t>KF-M05-3-0061</t>
        </is>
      </c>
      <c r="B2023" s="16" t="inlineStr">
        <is>
          <t>4.1</t>
        </is>
      </c>
      <c r="C2023" s="16" t="inlineStr">
        <is>
          <t>4.1c</t>
        </is>
      </c>
      <c r="D2023" s="16" t="inlineStr">
        <is>
          <t>conserva sus presiones y su clima</t>
        </is>
      </c>
      <c r="E2023" s="16" t="inlineStr">
        <is>
          <t>KF-M05</t>
        </is>
      </c>
      <c r="F2023" s="16" t="inlineStr">
        <is>
          <t>KF-M05-3</t>
        </is>
      </c>
      <c r="G2023" s="16" t="inlineStr">
        <is>
          <t>B09-3</t>
        </is>
      </c>
      <c r="H2023" s="16" t="inlineStr">
        <is>
          <t>lhs</t>
        </is>
      </c>
      <c r="I2023" s="16" t="inlineStr">
        <is>
          <t>INVIABLE</t>
        </is>
      </c>
      <c r="J2023" s="16" t="inlineStr">
        <is>
          <t>INVIABLE</t>
        </is>
      </c>
      <c r="K2023" s="16" t="b">
        <v>1</v>
      </c>
      <c r="L2023" s="16" t="b">
        <v>0</v>
      </c>
      <c r="M2023" s="16" t="b">
        <v>1</v>
      </c>
      <c r="N2023" s="16" t="b">
        <v>0</v>
      </c>
      <c r="O2023" s="16" t="n">
        <v>494.3066263771658</v>
      </c>
      <c r="P2023" s="16" t="n">
        <v>300.032917</v>
      </c>
      <c r="Q2023" s="16" t="n">
        <v>3000</v>
      </c>
      <c r="R2023" s="16" t="n">
        <v>400</v>
      </c>
      <c r="S2023" s="16" t="n">
        <v>0.7726411599410641</v>
      </c>
      <c r="T2023" s="16" t="n">
        <v>0.5422816306163348</v>
      </c>
      <c r="U2023" s="16" t="n">
        <v>0.82466256915118</v>
      </c>
      <c r="V2023" s="16" t="n">
        <v>0.5510179780419949</v>
      </c>
      <c r="W2023" s="16" t="n">
        <v>0.6938324186423681</v>
      </c>
      <c r="X2023" s="16" t="n">
        <v>0.753288797747387</v>
      </c>
      <c r="Y2023" s="16" t="n">
        <v>300.032917</v>
      </c>
      <c r="Z2023" s="16" t="n">
        <v>-15.32834587073187</v>
      </c>
      <c r="AA2023" s="16" t="n">
        <v>-77.60992439532347</v>
      </c>
      <c r="AB2023" s="16" t="n">
        <v>2600</v>
      </c>
      <c r="AC2023" s="16" t="n">
        <v>7.5</v>
      </c>
      <c r="AD2023" s="16" t="inlineStr">
        <is>
          <t>O2,O3</t>
        </is>
      </c>
      <c r="AE2023" s="16" t="n"/>
    </row>
    <row r="2024">
      <c r="A2024" s="16" t="inlineStr">
        <is>
          <t>KF-M05-3-0062</t>
        </is>
      </c>
      <c r="B2024" s="16" t="inlineStr">
        <is>
          <t>4.1</t>
        </is>
      </c>
      <c r="C2024" s="16" t="inlineStr">
        <is>
          <t>4.1c</t>
        </is>
      </c>
      <c r="D2024" s="16" t="inlineStr">
        <is>
          <t>conserva sus presiones y su clima</t>
        </is>
      </c>
      <c r="E2024" s="16" t="inlineStr">
        <is>
          <t>KF-M05</t>
        </is>
      </c>
      <c r="F2024" s="16" t="inlineStr">
        <is>
          <t>KF-M05-3</t>
        </is>
      </c>
      <c r="G2024" s="16" t="inlineStr">
        <is>
          <t>B09-3</t>
        </is>
      </c>
      <c r="H2024" s="16" t="inlineStr">
        <is>
          <t>lhs</t>
        </is>
      </c>
      <c r="I2024" s="16" t="inlineStr">
        <is>
          <t>INVIABLE</t>
        </is>
      </c>
      <c r="J2024" s="16" t="inlineStr">
        <is>
          <t>INVIABLE</t>
        </is>
      </c>
      <c r="K2024" s="16" t="b">
        <v>1</v>
      </c>
      <c r="L2024" s="16" t="b">
        <v>0</v>
      </c>
      <c r="M2024" s="16" t="b">
        <v>1</v>
      </c>
      <c r="N2024" s="16" t="b">
        <v>0</v>
      </c>
      <c r="O2024" s="16" t="n">
        <v>492.3375157051751</v>
      </c>
      <c r="P2024" s="16" t="n">
        <v>300.032917</v>
      </c>
      <c r="Q2024" s="16" t="n">
        <v>3000</v>
      </c>
      <c r="R2024" s="16" t="n">
        <v>400</v>
      </c>
      <c r="S2024" s="16" t="n">
        <v>0.5919910271539436</v>
      </c>
      <c r="T2024" s="16" t="n">
        <v>0.6963279907132629</v>
      </c>
      <c r="U2024" s="16" t="n">
        <v>0.7102427390462478</v>
      </c>
      <c r="V2024" s="16" t="n">
        <v>0.516075632363171</v>
      </c>
      <c r="W2024" s="16" t="n">
        <v>0.7652277488060402</v>
      </c>
      <c r="X2024" s="16" t="n">
        <v>0.5415619146161846</v>
      </c>
      <c r="Y2024" s="16" t="n">
        <v>300.032917</v>
      </c>
      <c r="Z2024" s="16" t="n">
        <v>-1.78963997224996</v>
      </c>
      <c r="AA2024" s="16" t="n">
        <v>-12.03003581418284</v>
      </c>
      <c r="AB2024" s="16" t="n">
        <v>2600</v>
      </c>
      <c r="AC2024" s="16" t="n">
        <v>7.5</v>
      </c>
      <c r="AD2024" s="16" t="inlineStr">
        <is>
          <t>O2,O3</t>
        </is>
      </c>
      <c r="AE2024" s="16" t="n"/>
    </row>
    <row r="2025">
      <c r="A2025" s="16" t="inlineStr">
        <is>
          <t>KF-M05-3-0063</t>
        </is>
      </c>
      <c r="B2025" s="16" t="inlineStr">
        <is>
          <t>4.1</t>
        </is>
      </c>
      <c r="C2025" s="16" t="inlineStr">
        <is>
          <t>4.1c</t>
        </is>
      </c>
      <c r="D2025" s="16" t="inlineStr">
        <is>
          <t>conserva sus presiones y su clima</t>
        </is>
      </c>
      <c r="E2025" s="16" t="inlineStr">
        <is>
          <t>KF-M05</t>
        </is>
      </c>
      <c r="F2025" s="16" t="inlineStr">
        <is>
          <t>KF-M05-3</t>
        </is>
      </c>
      <c r="G2025" s="16" t="inlineStr">
        <is>
          <t>B09-3</t>
        </is>
      </c>
      <c r="H2025" s="16" t="inlineStr">
        <is>
          <t>lhs</t>
        </is>
      </c>
      <c r="I2025" s="16" t="inlineStr">
        <is>
          <t>NO_CONVERGIO</t>
        </is>
      </c>
      <c r="J2025" s="16" t="inlineStr">
        <is>
          <t>NO_CONVERGIO</t>
        </is>
      </c>
      <c r="K2025" s="16" t="b">
        <v>0</v>
      </c>
      <c r="L2025" s="16" t="b">
        <v>0</v>
      </c>
      <c r="M2025" s="16" t="b">
        <v>0</v>
      </c>
      <c r="N2025" s="16" t="b">
        <v>0</v>
      </c>
      <c r="O2025" s="16" t="n">
        <v>540.4337578894177</v>
      </c>
      <c r="P2025" s="16" t="n">
        <v>300.032917</v>
      </c>
      <c r="Q2025" s="16" t="n">
        <v>3000</v>
      </c>
      <c r="R2025" s="16" t="n">
        <v>400</v>
      </c>
      <c r="S2025" s="16" t="n">
        <v>0.754714731810987</v>
      </c>
      <c r="T2025" s="16" t="n">
        <v>0.8078832322461418</v>
      </c>
      <c r="U2025" s="16" t="n">
        <v>0.9454838102476408</v>
      </c>
      <c r="V2025" s="16" t="n">
        <v>0.8158845993818153</v>
      </c>
      <c r="W2025" s="16" t="n">
        <v>0.4898624691009416</v>
      </c>
      <c r="X2025" s="16" t="n">
        <v>0.6086988494967287</v>
      </c>
      <c r="Y2025" s="16" t="n">
        <v>300.032917</v>
      </c>
      <c r="Z2025" s="16" t="n"/>
      <c r="AA2025" s="16" t="n"/>
      <c r="AB2025" s="16" t="n">
        <v>2600</v>
      </c>
      <c r="AC2025" s="16" t="n">
        <v>7.5</v>
      </c>
      <c r="AD2025" s="16" t="n"/>
      <c r="AE2025" s="16" t="n"/>
    </row>
    <row r="2026">
      <c r="A2026" s="16" t="inlineStr">
        <is>
          <t>KF-M05-3-0064</t>
        </is>
      </c>
      <c r="B2026" s="16" t="inlineStr">
        <is>
          <t>4.1</t>
        </is>
      </c>
      <c r="C2026" s="16" t="inlineStr">
        <is>
          <t>4.1c</t>
        </is>
      </c>
      <c r="D2026" s="16" t="inlineStr">
        <is>
          <t>conserva sus presiones y su clima</t>
        </is>
      </c>
      <c r="E2026" s="16" t="inlineStr">
        <is>
          <t>KF-M05</t>
        </is>
      </c>
      <c r="F2026" s="16" t="inlineStr">
        <is>
          <t>KF-M05-3</t>
        </is>
      </c>
      <c r="G2026" s="16" t="inlineStr">
        <is>
          <t>B09-3</t>
        </is>
      </c>
      <c r="H2026" s="16" t="inlineStr">
        <is>
          <t>lhs</t>
        </is>
      </c>
      <c r="I2026" s="16" t="inlineStr">
        <is>
          <t>INVIABLE</t>
        </is>
      </c>
      <c r="J2026" s="16" t="inlineStr">
        <is>
          <t>INVIABLE</t>
        </is>
      </c>
      <c r="K2026" s="16" t="b">
        <v>1</v>
      </c>
      <c r="L2026" s="16" t="b">
        <v>0</v>
      </c>
      <c r="M2026" s="16" t="b">
        <v>0</v>
      </c>
      <c r="N2026" s="16" t="b">
        <v>0</v>
      </c>
      <c r="O2026" s="16" t="n">
        <v>380.2337970549131</v>
      </c>
      <c r="P2026" s="16" t="n">
        <v>300.032917</v>
      </c>
      <c r="Q2026" s="16" t="n">
        <v>3000</v>
      </c>
      <c r="R2026" s="16" t="n">
        <v>400</v>
      </c>
      <c r="S2026" s="16" t="n">
        <v>0.60358352499557</v>
      </c>
      <c r="T2026" s="16" t="n">
        <v>0.6545085320968721</v>
      </c>
      <c r="U2026" s="16" t="n">
        <v>0.8691702708814154</v>
      </c>
      <c r="V2026" s="16" t="n">
        <v>0.7330112643956375</v>
      </c>
      <c r="W2026" s="16" t="n">
        <v>0.4487670111010681</v>
      </c>
      <c r="X2026" s="16" t="n">
        <v>0.7096917253044497</v>
      </c>
      <c r="Y2026" s="16" t="n">
        <v>300.032917</v>
      </c>
      <c r="Z2026" s="16" t="n">
        <v>-12.32748376818338</v>
      </c>
      <c r="AA2026" s="16" t="n">
        <v>-20.18527203844018</v>
      </c>
      <c r="AB2026" s="16" t="n">
        <v>2600</v>
      </c>
      <c r="AC2026" s="16" t="n">
        <v>7.5</v>
      </c>
      <c r="AD2026" s="16" t="inlineStr">
        <is>
          <t>O2,O3</t>
        </is>
      </c>
      <c r="AE2026" s="16" t="n"/>
    </row>
    <row r="2027">
      <c r="A2027" s="16" t="inlineStr">
        <is>
          <t>KF-M05-3-0065</t>
        </is>
      </c>
      <c r="B2027" s="16" t="inlineStr">
        <is>
          <t>4.1</t>
        </is>
      </c>
      <c r="C2027" s="16" t="inlineStr">
        <is>
          <t>4.1c</t>
        </is>
      </c>
      <c r="D2027" s="16" t="inlineStr">
        <is>
          <t>conserva sus presiones y su clima</t>
        </is>
      </c>
      <c r="E2027" s="16" t="inlineStr">
        <is>
          <t>KF-M05</t>
        </is>
      </c>
      <c r="F2027" s="16" t="inlineStr">
        <is>
          <t>KF-M05-3</t>
        </is>
      </c>
      <c r="G2027" s="16" t="inlineStr">
        <is>
          <t>B09-3</t>
        </is>
      </c>
      <c r="H2027" s="16" t="inlineStr">
        <is>
          <t>lhs</t>
        </is>
      </c>
      <c r="I2027" s="16" t="inlineStr">
        <is>
          <t>INVIABLE</t>
        </is>
      </c>
      <c r="J2027" s="16" t="inlineStr">
        <is>
          <t>INVIABLE</t>
        </is>
      </c>
      <c r="K2027" s="16" t="b">
        <v>1</v>
      </c>
      <c r="L2027" s="16" t="b">
        <v>0</v>
      </c>
      <c r="M2027" s="16" t="b">
        <v>0</v>
      </c>
      <c r="N2027" s="16" t="b">
        <v>0</v>
      </c>
      <c r="O2027" s="16" t="n">
        <v>420.1042877202298</v>
      </c>
      <c r="P2027" s="16" t="n">
        <v>300.032917</v>
      </c>
      <c r="Q2027" s="16" t="n">
        <v>3000</v>
      </c>
      <c r="R2027" s="16" t="n">
        <v>400</v>
      </c>
      <c r="S2027" s="16" t="n">
        <v>0.6657031536611425</v>
      </c>
      <c r="T2027" s="16" t="n">
        <v>0.440754010391768</v>
      </c>
      <c r="U2027" s="16" t="n">
        <v>0.620497781913502</v>
      </c>
      <c r="V2027" s="16" t="n">
        <v>0.9217041222619236</v>
      </c>
      <c r="W2027" s="16" t="n">
        <v>0.720561096786734</v>
      </c>
      <c r="X2027" s="16" t="n">
        <v>0.4834256155346164</v>
      </c>
      <c r="Y2027" s="16" t="n">
        <v>300.032917</v>
      </c>
      <c r="Z2027" s="16" t="n">
        <v>-77.44167499184567</v>
      </c>
      <c r="AA2027" s="16" t="n">
        <v>-162.1125076157332</v>
      </c>
      <c r="AB2027" s="16" t="n">
        <v>2600</v>
      </c>
      <c r="AC2027" s="16" t="n">
        <v>7.5</v>
      </c>
      <c r="AD2027" s="16" t="inlineStr">
        <is>
          <t>O2,O3</t>
        </is>
      </c>
      <c r="AE2027" s="16" t="n"/>
    </row>
    <row r="2028">
      <c r="A2028" s="16" t="inlineStr">
        <is>
          <t>KF-M05-3-0066</t>
        </is>
      </c>
      <c r="B2028" s="16" t="inlineStr">
        <is>
          <t>4.1</t>
        </is>
      </c>
      <c r="C2028" s="16" t="inlineStr">
        <is>
          <t>4.1c</t>
        </is>
      </c>
      <c r="D2028" s="16" t="inlineStr">
        <is>
          <t>conserva sus presiones y su clima</t>
        </is>
      </c>
      <c r="E2028" s="16" t="inlineStr">
        <is>
          <t>KF-M05</t>
        </is>
      </c>
      <c r="F2028" s="16" t="inlineStr">
        <is>
          <t>KF-M05-3</t>
        </is>
      </c>
      <c r="G2028" s="16" t="inlineStr">
        <is>
          <t>B09-3</t>
        </is>
      </c>
      <c r="H2028" s="16" t="inlineStr">
        <is>
          <t>lhs</t>
        </is>
      </c>
      <c r="I2028" s="16" t="inlineStr">
        <is>
          <t>NO_CONVERGIO</t>
        </is>
      </c>
      <c r="J2028" s="16" t="inlineStr">
        <is>
          <t>NO_CONVERGIO</t>
        </is>
      </c>
      <c r="K2028" s="16" t="b">
        <v>0</v>
      </c>
      <c r="L2028" s="16" t="b">
        <v>0</v>
      </c>
      <c r="M2028" s="16" t="b">
        <v>0</v>
      </c>
      <c r="N2028" s="16" t="b">
        <v>0</v>
      </c>
      <c r="O2028" s="16" t="n">
        <v>547.0816326220898</v>
      </c>
      <c r="P2028" s="16" t="n">
        <v>300.032917</v>
      </c>
      <c r="Q2028" s="16" t="n">
        <v>3000</v>
      </c>
      <c r="R2028" s="16" t="n">
        <v>400</v>
      </c>
      <c r="S2028" s="16" t="n">
        <v>0.7575480876365567</v>
      </c>
      <c r="T2028" s="16" t="n">
        <v>0.4876279631213912</v>
      </c>
      <c r="U2028" s="16" t="n">
        <v>0.5469929217384387</v>
      </c>
      <c r="V2028" s="16" t="n">
        <v>0.5223922685998752</v>
      </c>
      <c r="W2028" s="16" t="n">
        <v>0.9342063880847166</v>
      </c>
      <c r="X2028" s="16" t="n">
        <v>0.4140022148283826</v>
      </c>
      <c r="Y2028" s="16" t="n">
        <v>300.032917</v>
      </c>
      <c r="Z2028" s="16" t="n"/>
      <c r="AA2028" s="16" t="n"/>
      <c r="AB2028" s="16" t="n">
        <v>2600</v>
      </c>
      <c r="AC2028" s="16" t="n">
        <v>7.5</v>
      </c>
      <c r="AD2028" s="16" t="n"/>
      <c r="AE2028" s="16" t="n"/>
    </row>
    <row r="2029">
      <c r="A2029" s="16" t="inlineStr">
        <is>
          <t>KF-M05-3-0067</t>
        </is>
      </c>
      <c r="B2029" s="16" t="inlineStr">
        <is>
          <t>4.1</t>
        </is>
      </c>
      <c r="C2029" s="16" t="inlineStr">
        <is>
          <t>4.1c</t>
        </is>
      </c>
      <c r="D2029" s="16" t="inlineStr">
        <is>
          <t>conserva sus presiones y su clima</t>
        </is>
      </c>
      <c r="E2029" s="16" t="inlineStr">
        <is>
          <t>KF-M05</t>
        </is>
      </c>
      <c r="F2029" s="16" t="inlineStr">
        <is>
          <t>KF-M05-3</t>
        </is>
      </c>
      <c r="G2029" s="16" t="inlineStr">
        <is>
          <t>B09-3</t>
        </is>
      </c>
      <c r="H2029" s="16" t="inlineStr">
        <is>
          <t>lhs</t>
        </is>
      </c>
      <c r="I2029" s="16" t="inlineStr">
        <is>
          <t>INVIABLE</t>
        </is>
      </c>
      <c r="J2029" s="16" t="inlineStr">
        <is>
          <t>INVIABLE</t>
        </is>
      </c>
      <c r="K2029" s="16" t="b">
        <v>1</v>
      </c>
      <c r="L2029" s="16" t="b">
        <v>0</v>
      </c>
      <c r="M2029" s="16" t="b">
        <v>1</v>
      </c>
      <c r="N2029" s="16" t="b">
        <v>0</v>
      </c>
      <c r="O2029" s="16" t="n">
        <v>485.2816217382006</v>
      </c>
      <c r="P2029" s="16" t="n">
        <v>300.032917</v>
      </c>
      <c r="Q2029" s="16" t="n">
        <v>3000</v>
      </c>
      <c r="R2029" s="16" t="n">
        <v>400</v>
      </c>
      <c r="S2029" s="16" t="n">
        <v>0.7494458929826661</v>
      </c>
      <c r="T2029" s="16" t="n">
        <v>0.4000601579123294</v>
      </c>
      <c r="U2029" s="16" t="n">
        <v>0.8492845620485896</v>
      </c>
      <c r="V2029" s="16" t="n">
        <v>0.7636105154742642</v>
      </c>
      <c r="W2029" s="16" t="n">
        <v>0.7108869108702071</v>
      </c>
      <c r="X2029" s="16" t="n">
        <v>0.6042173399568149</v>
      </c>
      <c r="Y2029" s="16" t="n">
        <v>300.032917</v>
      </c>
      <c r="Z2029" s="16" t="n">
        <v>-25.87793339399555</v>
      </c>
      <c r="AA2029" s="16" t="n">
        <v>-140.3055424763303</v>
      </c>
      <c r="AB2029" s="16" t="n">
        <v>2600</v>
      </c>
      <c r="AC2029" s="16" t="n">
        <v>7.5</v>
      </c>
      <c r="AD2029" s="16" t="inlineStr">
        <is>
          <t>O2,O3</t>
        </is>
      </c>
      <c r="AE2029" s="16" t="n"/>
    </row>
    <row r="2030">
      <c r="A2030" s="16" t="inlineStr">
        <is>
          <t>KF-M05-3-0068</t>
        </is>
      </c>
      <c r="B2030" s="16" t="inlineStr">
        <is>
          <t>4.1</t>
        </is>
      </c>
      <c r="C2030" s="16" t="inlineStr">
        <is>
          <t>4.1c</t>
        </is>
      </c>
      <c r="D2030" s="16" t="inlineStr">
        <is>
          <t>conserva sus presiones y su clima</t>
        </is>
      </c>
      <c r="E2030" s="16" t="inlineStr">
        <is>
          <t>KF-M05</t>
        </is>
      </c>
      <c r="F2030" s="16" t="inlineStr">
        <is>
          <t>KF-M05-3</t>
        </is>
      </c>
      <c r="G2030" s="16" t="inlineStr">
        <is>
          <t>B09-3</t>
        </is>
      </c>
      <c r="H2030" s="16" t="inlineStr">
        <is>
          <t>lhs</t>
        </is>
      </c>
      <c r="I2030" s="16" t="inlineStr">
        <is>
          <t>INVIABLE</t>
        </is>
      </c>
      <c r="J2030" s="16" t="inlineStr">
        <is>
          <t>INVIABLE</t>
        </is>
      </c>
      <c r="K2030" s="16" t="b">
        <v>1</v>
      </c>
      <c r="L2030" s="16" t="b">
        <v>0</v>
      </c>
      <c r="M2030" s="16" t="b">
        <v>0</v>
      </c>
      <c r="N2030" s="16" t="b">
        <v>0</v>
      </c>
      <c r="O2030" s="16" t="n">
        <v>415.6335495770105</v>
      </c>
      <c r="P2030" s="16" t="n">
        <v>300.032917</v>
      </c>
      <c r="Q2030" s="16" t="n">
        <v>3000</v>
      </c>
      <c r="R2030" s="16" t="n">
        <v>400</v>
      </c>
      <c r="S2030" s="16" t="n">
        <v>0.7817785699580694</v>
      </c>
      <c r="T2030" s="16" t="n">
        <v>0.7312296952097648</v>
      </c>
      <c r="U2030" s="16" t="n">
        <v>0.64049214226532</v>
      </c>
      <c r="V2030" s="16" t="n">
        <v>0.4886392600902223</v>
      </c>
      <c r="W2030" s="16" t="n">
        <v>0.6044226714815777</v>
      </c>
      <c r="X2030" s="16" t="n">
        <v>0.9099128567210512</v>
      </c>
      <c r="Y2030" s="16" t="n">
        <v>300.032917</v>
      </c>
      <c r="Z2030" s="16" t="n">
        <v>-50.61733697096543</v>
      </c>
      <c r="AA2030" s="16" t="n">
        <v>-102.9954852439228</v>
      </c>
      <c r="AB2030" s="16" t="n">
        <v>2600</v>
      </c>
      <c r="AC2030" s="16" t="n">
        <v>7.5</v>
      </c>
      <c r="AD2030" s="16" t="inlineStr">
        <is>
          <t>O2,O3</t>
        </is>
      </c>
      <c r="AE2030" s="16" t="n"/>
    </row>
    <row r="2031">
      <c r="A2031" s="16" t="inlineStr">
        <is>
          <t>KF-M05-3-0069</t>
        </is>
      </c>
      <c r="B2031" s="16" t="inlineStr">
        <is>
          <t>4.1</t>
        </is>
      </c>
      <c r="C2031" s="16" t="inlineStr">
        <is>
          <t>4.1c</t>
        </is>
      </c>
      <c r="D2031" s="16" t="inlineStr">
        <is>
          <t>conserva sus presiones y su clima</t>
        </is>
      </c>
      <c r="E2031" s="16" t="inlineStr">
        <is>
          <t>KF-M05</t>
        </is>
      </c>
      <c r="F2031" s="16" t="inlineStr">
        <is>
          <t>KF-M05-3</t>
        </is>
      </c>
      <c r="G2031" s="16" t="inlineStr">
        <is>
          <t>B09-3</t>
        </is>
      </c>
      <c r="H2031" s="16" t="inlineStr">
        <is>
          <t>lhs</t>
        </is>
      </c>
      <c r="I2031" s="16" t="inlineStr">
        <is>
          <t>INVIABLE</t>
        </is>
      </c>
      <c r="J2031" s="16" t="inlineStr">
        <is>
          <t>INVIABLE</t>
        </is>
      </c>
      <c r="K2031" s="16" t="b">
        <v>1</v>
      </c>
      <c r="L2031" s="16" t="b">
        <v>0</v>
      </c>
      <c r="M2031" s="16" t="b">
        <v>1</v>
      </c>
      <c r="N2031" s="16" t="b">
        <v>0</v>
      </c>
      <c r="O2031" s="16" t="n">
        <v>535.1898946923789</v>
      </c>
      <c r="P2031" s="16" t="n">
        <v>300.032917</v>
      </c>
      <c r="Q2031" s="16" t="n">
        <v>3000</v>
      </c>
      <c r="R2031" s="16" t="n">
        <v>400</v>
      </c>
      <c r="S2031" s="16" t="n">
        <v>0.7055447905638182</v>
      </c>
      <c r="T2031" s="16" t="n">
        <v>0.6912976055258395</v>
      </c>
      <c r="U2031" s="16" t="n">
        <v>0.5115910431834576</v>
      </c>
      <c r="V2031" s="16" t="n">
        <v>0.4580482365706154</v>
      </c>
      <c r="W2031" s="16" t="n">
        <v>0.416380025540768</v>
      </c>
      <c r="X2031" s="16" t="n">
        <v>0.5353311010793006</v>
      </c>
      <c r="Y2031" s="16" t="n">
        <v>300.032917</v>
      </c>
      <c r="Z2031" s="16" t="n">
        <v>-51.21539770446248</v>
      </c>
      <c r="AA2031" s="16" t="n">
        <v>-196.2958404604153</v>
      </c>
      <c r="AB2031" s="16" t="n">
        <v>2600</v>
      </c>
      <c r="AC2031" s="16" t="n">
        <v>7.5</v>
      </c>
      <c r="AD2031" s="16" t="inlineStr">
        <is>
          <t>O2,O3</t>
        </is>
      </c>
      <c r="AE2031" s="16" t="n"/>
    </row>
    <row r="2032">
      <c r="A2032" s="16" t="inlineStr">
        <is>
          <t>KF-M05-3-0070</t>
        </is>
      </c>
      <c r="B2032" s="16" t="inlineStr">
        <is>
          <t>4.1</t>
        </is>
      </c>
      <c r="C2032" s="16" t="inlineStr">
        <is>
          <t>4.1c</t>
        </is>
      </c>
      <c r="D2032" s="16" t="inlineStr">
        <is>
          <t>conserva sus presiones y su clima</t>
        </is>
      </c>
      <c r="E2032" s="16" t="inlineStr">
        <is>
          <t>KF-M05</t>
        </is>
      </c>
      <c r="F2032" s="16" t="inlineStr">
        <is>
          <t>KF-M05-3</t>
        </is>
      </c>
      <c r="G2032" s="16" t="inlineStr">
        <is>
          <t>B09-3</t>
        </is>
      </c>
      <c r="H2032" s="16" t="inlineStr">
        <is>
          <t>lhs</t>
        </is>
      </c>
      <c r="I2032" s="16" t="inlineStr">
        <is>
          <t>NO_CONVERGIO</t>
        </is>
      </c>
      <c r="J2032" s="16" t="inlineStr">
        <is>
          <t>NO_CONVERGIO</t>
        </is>
      </c>
      <c r="K2032" s="16" t="b">
        <v>0</v>
      </c>
      <c r="L2032" s="16" t="b">
        <v>0</v>
      </c>
      <c r="M2032" s="16" t="b">
        <v>0</v>
      </c>
      <c r="N2032" s="16" t="b">
        <v>0</v>
      </c>
      <c r="O2032" s="16" t="n">
        <v>432.517879240047</v>
      </c>
      <c r="P2032" s="16" t="n">
        <v>300.032917</v>
      </c>
      <c r="Q2032" s="16" t="n">
        <v>3000</v>
      </c>
      <c r="R2032" s="16" t="n">
        <v>400</v>
      </c>
      <c r="S2032" s="16" t="n">
        <v>0.7890035537394238</v>
      </c>
      <c r="T2032" s="16" t="n">
        <v>0.5166989259020975</v>
      </c>
      <c r="U2032" s="16" t="n">
        <v>0.8760759521460304</v>
      </c>
      <c r="V2032" s="16" t="n">
        <v>0.7195445664175724</v>
      </c>
      <c r="W2032" s="16" t="n">
        <v>0.6369982350142867</v>
      </c>
      <c r="X2032" s="16" t="n">
        <v>0.4563326169588417</v>
      </c>
      <c r="Y2032" s="16" t="n">
        <v>300.032917</v>
      </c>
      <c r="Z2032" s="16" t="n"/>
      <c r="AA2032" s="16" t="n"/>
      <c r="AB2032" s="16" t="n">
        <v>2600</v>
      </c>
      <c r="AC2032" s="16" t="n">
        <v>7.5</v>
      </c>
      <c r="AD2032" s="16" t="n"/>
      <c r="AE2032" s="16" t="n"/>
    </row>
    <row r="2033">
      <c r="A2033" s="16" t="inlineStr">
        <is>
          <t>KF-M05-3-0071</t>
        </is>
      </c>
      <c r="B2033" s="16" t="inlineStr">
        <is>
          <t>4.1</t>
        </is>
      </c>
      <c r="C2033" s="16" t="inlineStr">
        <is>
          <t>4.1c</t>
        </is>
      </c>
      <c r="D2033" s="16" t="inlineStr">
        <is>
          <t>conserva sus presiones y su clima</t>
        </is>
      </c>
      <c r="E2033" s="16" t="inlineStr">
        <is>
          <t>KF-M05</t>
        </is>
      </c>
      <c r="F2033" s="16" t="inlineStr">
        <is>
          <t>KF-M05-3</t>
        </is>
      </c>
      <c r="G2033" s="16" t="inlineStr">
        <is>
          <t>B09-3</t>
        </is>
      </c>
      <c r="H2033" s="16" t="inlineStr">
        <is>
          <t>lhs</t>
        </is>
      </c>
      <c r="I2033" s="16" t="inlineStr">
        <is>
          <t>INVIABLE</t>
        </is>
      </c>
      <c r="J2033" s="16" t="inlineStr">
        <is>
          <t>INVIABLE</t>
        </is>
      </c>
      <c r="K2033" s="16" t="b">
        <v>1</v>
      </c>
      <c r="L2033" s="16" t="b">
        <v>0</v>
      </c>
      <c r="M2033" s="16" t="b">
        <v>1</v>
      </c>
      <c r="N2033" s="16" t="b">
        <v>0</v>
      </c>
      <c r="O2033" s="16" t="n">
        <v>453.3181047714405</v>
      </c>
      <c r="P2033" s="16" t="n">
        <v>300.032917</v>
      </c>
      <c r="Q2033" s="16" t="n">
        <v>3000</v>
      </c>
      <c r="R2033" s="16" t="n">
        <v>400</v>
      </c>
      <c r="S2033" s="16" t="n">
        <v>0.6085493185879369</v>
      </c>
      <c r="T2033" s="16" t="n">
        <v>0.7959645081207292</v>
      </c>
      <c r="U2033" s="16" t="n">
        <v>0.6741188175299311</v>
      </c>
      <c r="V2033" s="16" t="n">
        <v>0.8501642755119465</v>
      </c>
      <c r="W2033" s="16" t="n">
        <v>0.7376607227991403</v>
      </c>
      <c r="X2033" s="16" t="n">
        <v>0.5175107734982606</v>
      </c>
      <c r="Y2033" s="16" t="n">
        <v>300.032917</v>
      </c>
      <c r="Z2033" s="16" t="n">
        <v>-1.6313529301719</v>
      </c>
      <c r="AA2033" s="16" t="n">
        <v>-10.77225807125163</v>
      </c>
      <c r="AB2033" s="16" t="n">
        <v>2600</v>
      </c>
      <c r="AC2033" s="16" t="n">
        <v>7.5</v>
      </c>
      <c r="AD2033" s="16" t="inlineStr">
        <is>
          <t>O2,O3</t>
        </is>
      </c>
      <c r="AE2033" s="16" t="n"/>
    </row>
    <row r="2034">
      <c r="A2034" s="16" t="inlineStr">
        <is>
          <t>KF-M05-3-0072</t>
        </is>
      </c>
      <c r="B2034" s="16" t="inlineStr">
        <is>
          <t>4.1</t>
        </is>
      </c>
      <c r="C2034" s="16" t="inlineStr">
        <is>
          <t>4.1c</t>
        </is>
      </c>
      <c r="D2034" s="16" t="inlineStr">
        <is>
          <t>conserva sus presiones y su clima</t>
        </is>
      </c>
      <c r="E2034" s="16" t="inlineStr">
        <is>
          <t>KF-M05</t>
        </is>
      </c>
      <c r="F2034" s="16" t="inlineStr">
        <is>
          <t>KF-M05-3</t>
        </is>
      </c>
      <c r="G2034" s="16" t="inlineStr">
        <is>
          <t>B09-3</t>
        </is>
      </c>
      <c r="H2034" s="16" t="inlineStr">
        <is>
          <t>lhs</t>
        </is>
      </c>
      <c r="I2034" s="16" t="inlineStr">
        <is>
          <t>NO_CONVERGIO</t>
        </is>
      </c>
      <c r="J2034" s="16" t="inlineStr">
        <is>
          <t>NO_CONVERGIO</t>
        </is>
      </c>
      <c r="K2034" s="16" t="b">
        <v>0</v>
      </c>
      <c r="L2034" s="16" t="b">
        <v>0</v>
      </c>
      <c r="M2034" s="16" t="b">
        <v>0</v>
      </c>
      <c r="N2034" s="16" t="b">
        <v>0</v>
      </c>
      <c r="O2034" s="16" t="n">
        <v>509.0492040943981</v>
      </c>
      <c r="P2034" s="16" t="n">
        <v>300.032917</v>
      </c>
      <c r="Q2034" s="16" t="n">
        <v>3000</v>
      </c>
      <c r="R2034" s="16" t="n">
        <v>400</v>
      </c>
      <c r="S2034" s="16" t="n">
        <v>0.8218557201600225</v>
      </c>
      <c r="T2034" s="16" t="n">
        <v>0.5854774432742957</v>
      </c>
      <c r="U2034" s="16" t="n">
        <v>0.9197203818126912</v>
      </c>
      <c r="V2034" s="16" t="n">
        <v>0.6566685673004489</v>
      </c>
      <c r="W2034" s="16" t="n">
        <v>0.9485961496306804</v>
      </c>
      <c r="X2034" s="16" t="n">
        <v>0.4615370628626813</v>
      </c>
      <c r="Y2034" s="16" t="n">
        <v>300.032917</v>
      </c>
      <c r="Z2034" s="16" t="n"/>
      <c r="AA2034" s="16" t="n"/>
      <c r="AB2034" s="16" t="n">
        <v>2600</v>
      </c>
      <c r="AC2034" s="16" t="n">
        <v>7.5</v>
      </c>
      <c r="AD2034" s="16" t="n"/>
      <c r="AE2034" s="16" t="n"/>
    </row>
    <row r="2035">
      <c r="A2035" s="16" t="inlineStr">
        <is>
          <t>KF-M05-3-0073</t>
        </is>
      </c>
      <c r="B2035" s="16" t="inlineStr">
        <is>
          <t>4.1</t>
        </is>
      </c>
      <c r="C2035" s="16" t="inlineStr">
        <is>
          <t>4.1c</t>
        </is>
      </c>
      <c r="D2035" s="16" t="inlineStr">
        <is>
          <t>conserva sus presiones y su clima</t>
        </is>
      </c>
      <c r="E2035" s="16" t="inlineStr">
        <is>
          <t>KF-M05</t>
        </is>
      </c>
      <c r="F2035" s="16" t="inlineStr">
        <is>
          <t>KF-M05-3</t>
        </is>
      </c>
      <c r="G2035" s="16" t="inlineStr">
        <is>
          <t>B09-3</t>
        </is>
      </c>
      <c r="H2035" s="16" t="inlineStr">
        <is>
          <t>lhs</t>
        </is>
      </c>
      <c r="I2035" s="16" t="inlineStr">
        <is>
          <t>CORREGIBLE</t>
        </is>
      </c>
      <c r="J2035" s="16" t="inlineStr">
        <is>
          <t>CORREGIBLE</t>
        </is>
      </c>
      <c r="K2035" s="16" t="b">
        <v>1</v>
      </c>
      <c r="L2035" s="16" t="b">
        <v>0</v>
      </c>
      <c r="M2035" s="16" t="b">
        <v>1</v>
      </c>
      <c r="N2035" s="16" t="b">
        <v>0</v>
      </c>
      <c r="O2035" s="16" t="n">
        <v>562.6106941712335</v>
      </c>
      <c r="P2035" s="16" t="n">
        <v>300.032917</v>
      </c>
      <c r="Q2035" s="16" t="n">
        <v>3000</v>
      </c>
      <c r="R2035" s="16" t="n">
        <v>400</v>
      </c>
      <c r="S2035" s="16" t="n">
        <v>0.558586893828444</v>
      </c>
      <c r="T2035" s="16" t="n">
        <v>0.8608829584116677</v>
      </c>
      <c r="U2035" s="16" t="n">
        <v>0.6981732936754486</v>
      </c>
      <c r="V2035" s="16" t="n">
        <v>0.8054603736867805</v>
      </c>
      <c r="W2035" s="16" t="n">
        <v>0.5226840427470758</v>
      </c>
      <c r="X2035" s="16" t="n">
        <v>0.9376300373416572</v>
      </c>
      <c r="Y2035" s="16" t="n">
        <v>300.032917</v>
      </c>
      <c r="Z2035" s="16" t="n">
        <v>13.77385839237712</v>
      </c>
      <c r="AA2035" s="16" t="n">
        <v>253.2818871441672</v>
      </c>
      <c r="AB2035" s="16" t="n">
        <v>2600</v>
      </c>
      <c r="AC2035" s="16" t="n">
        <v>7.5</v>
      </c>
      <c r="AD2035" s="16" t="inlineStr">
        <is>
          <t>O1,O2</t>
        </is>
      </c>
      <c r="AE2035" s="16" t="n"/>
    </row>
    <row r="2036">
      <c r="A2036" s="16" t="inlineStr">
        <is>
          <t>KF-M05-3-0074</t>
        </is>
      </c>
      <c r="B2036" s="16" t="inlineStr">
        <is>
          <t>4.1</t>
        </is>
      </c>
      <c r="C2036" s="16" t="inlineStr">
        <is>
          <t>4.1c</t>
        </is>
      </c>
      <c r="D2036" s="16" t="inlineStr">
        <is>
          <t>conserva sus presiones y su clima</t>
        </is>
      </c>
      <c r="E2036" s="16" t="inlineStr">
        <is>
          <t>KF-M05</t>
        </is>
      </c>
      <c r="F2036" s="16" t="inlineStr">
        <is>
          <t>KF-M05-3</t>
        </is>
      </c>
      <c r="G2036" s="16" t="inlineStr">
        <is>
          <t>B09-3</t>
        </is>
      </c>
      <c r="H2036" s="16" t="inlineStr">
        <is>
          <t>lhs</t>
        </is>
      </c>
      <c r="I2036" s="16" t="inlineStr">
        <is>
          <t>INVIABLE</t>
        </is>
      </c>
      <c r="J2036" s="16" t="inlineStr">
        <is>
          <t>INVIABLE</t>
        </is>
      </c>
      <c r="K2036" s="16" t="b">
        <v>1</v>
      </c>
      <c r="L2036" s="16" t="b">
        <v>0</v>
      </c>
      <c r="M2036" s="16" t="b">
        <v>1</v>
      </c>
      <c r="N2036" s="16" t="b">
        <v>0</v>
      </c>
      <c r="O2036" s="16" t="n">
        <v>435.9304429726209</v>
      </c>
      <c r="P2036" s="16" t="n">
        <v>300.032917</v>
      </c>
      <c r="Q2036" s="16" t="n">
        <v>3000</v>
      </c>
      <c r="R2036" s="16" t="n">
        <v>400</v>
      </c>
      <c r="S2036" s="16" t="n">
        <v>0.6606920541427571</v>
      </c>
      <c r="T2036" s="16" t="n">
        <v>0.6059483623849855</v>
      </c>
      <c r="U2036" s="16" t="n">
        <v>0.4652135131176761</v>
      </c>
      <c r="V2036" s="16" t="n">
        <v>0.8206321256425667</v>
      </c>
      <c r="W2036" s="16" t="n">
        <v>0.6133814398556512</v>
      </c>
      <c r="X2036" s="16" t="n">
        <v>0.6789156063569662</v>
      </c>
      <c r="Y2036" s="16" t="n">
        <v>300.032917</v>
      </c>
      <c r="Z2036" s="16" t="n">
        <v>-28.14015531093642</v>
      </c>
      <c r="AA2036" s="16" t="n">
        <v>-135.1157098052279</v>
      </c>
      <c r="AB2036" s="16" t="n">
        <v>2600</v>
      </c>
      <c r="AC2036" s="16" t="n">
        <v>7.5</v>
      </c>
      <c r="AD2036" s="16" t="inlineStr">
        <is>
          <t>O2,O3</t>
        </is>
      </c>
      <c r="AE2036" s="16" t="n"/>
    </row>
    <row r="2037">
      <c r="A2037" s="16" t="inlineStr">
        <is>
          <t>KF-M05-3-0075</t>
        </is>
      </c>
      <c r="B2037" s="16" t="inlineStr">
        <is>
          <t>4.1</t>
        </is>
      </c>
      <c r="C2037" s="16" t="inlineStr">
        <is>
          <t>4.1c</t>
        </is>
      </c>
      <c r="D2037" s="16" t="inlineStr">
        <is>
          <t>conserva sus presiones y su clima</t>
        </is>
      </c>
      <c r="E2037" s="16" t="inlineStr">
        <is>
          <t>KF-M05</t>
        </is>
      </c>
      <c r="F2037" s="16" t="inlineStr">
        <is>
          <t>KF-M05-3</t>
        </is>
      </c>
      <c r="G2037" s="16" t="inlineStr">
        <is>
          <t>B09-3</t>
        </is>
      </c>
      <c r="H2037" s="16" t="inlineStr">
        <is>
          <t>lhs</t>
        </is>
      </c>
      <c r="I2037" s="16" t="inlineStr">
        <is>
          <t>CORREGIBLE</t>
        </is>
      </c>
      <c r="J2037" s="16" t="inlineStr">
        <is>
          <t>CORREGIBLE</t>
        </is>
      </c>
      <c r="K2037" s="16" t="b">
        <v>1</v>
      </c>
      <c r="L2037" s="16" t="b">
        <v>0</v>
      </c>
      <c r="M2037" s="16" t="b">
        <v>0</v>
      </c>
      <c r="N2037" s="16" t="b">
        <v>0</v>
      </c>
      <c r="O2037" s="16" t="n">
        <v>452.6725558924558</v>
      </c>
      <c r="P2037" s="16" t="n">
        <v>300.032917</v>
      </c>
      <c r="Q2037" s="16" t="n">
        <v>3000</v>
      </c>
      <c r="R2037" s="16" t="n">
        <v>400</v>
      </c>
      <c r="S2037" s="16" t="n">
        <v>0.5828114910438006</v>
      </c>
      <c r="T2037" s="16" t="n">
        <v>0.5025644420195268</v>
      </c>
      <c r="U2037" s="16" t="n">
        <v>0.4336974825575401</v>
      </c>
      <c r="V2037" s="16" t="n">
        <v>0.4723373623369631</v>
      </c>
      <c r="W2037" s="16" t="n">
        <v>0.5006140408251072</v>
      </c>
      <c r="X2037" s="16" t="n">
        <v>0.9408947817850272</v>
      </c>
      <c r="Y2037" s="16" t="n">
        <v>300.032917</v>
      </c>
      <c r="Z2037" s="16" t="n">
        <v>3.13985410282539</v>
      </c>
      <c r="AA2037" s="16" t="n">
        <v>21.80206608317361</v>
      </c>
      <c r="AB2037" s="16" t="n">
        <v>2600</v>
      </c>
      <c r="AC2037" s="16" t="n">
        <v>7.5</v>
      </c>
      <c r="AD2037" s="16" t="inlineStr">
        <is>
          <t>O2</t>
        </is>
      </c>
      <c r="AE2037" s="16" t="n"/>
    </row>
    <row r="2038">
      <c r="A2038" s="16" t="inlineStr">
        <is>
          <t>KF-M05-3-0076</t>
        </is>
      </c>
      <c r="B2038" s="16" t="inlineStr">
        <is>
          <t>4.1</t>
        </is>
      </c>
      <c r="C2038" s="16" t="inlineStr">
        <is>
          <t>4.1c</t>
        </is>
      </c>
      <c r="D2038" s="16" t="inlineStr">
        <is>
          <t>conserva sus presiones y su clima</t>
        </is>
      </c>
      <c r="E2038" s="16" t="inlineStr">
        <is>
          <t>KF-M05</t>
        </is>
      </c>
      <c r="F2038" s="16" t="inlineStr">
        <is>
          <t>KF-M05-3</t>
        </is>
      </c>
      <c r="G2038" s="16" t="inlineStr">
        <is>
          <t>B09-3</t>
        </is>
      </c>
      <c r="H2038" s="16" t="inlineStr">
        <is>
          <t>lhs</t>
        </is>
      </c>
      <c r="I2038" s="16" t="inlineStr">
        <is>
          <t>INVIABLE</t>
        </is>
      </c>
      <c r="J2038" s="16" t="inlineStr">
        <is>
          <t>INVIABLE</t>
        </is>
      </c>
      <c r="K2038" s="16" t="b">
        <v>1</v>
      </c>
      <c r="L2038" s="16" t="b">
        <v>0</v>
      </c>
      <c r="M2038" s="16" t="b">
        <v>0</v>
      </c>
      <c r="N2038" s="16" t="b">
        <v>0</v>
      </c>
      <c r="O2038" s="16" t="n">
        <v>416.4854580038079</v>
      </c>
      <c r="P2038" s="16" t="n">
        <v>300.032917</v>
      </c>
      <c r="Q2038" s="16" t="n">
        <v>3000</v>
      </c>
      <c r="R2038" s="16" t="n">
        <v>400</v>
      </c>
      <c r="S2038" s="16" t="n">
        <v>0.6074964525275104</v>
      </c>
      <c r="T2038" s="16" t="n">
        <v>0.5566147893259838</v>
      </c>
      <c r="U2038" s="16" t="n">
        <v>0.5164799169714164</v>
      </c>
      <c r="V2038" s="16" t="n">
        <v>0.6017228493584312</v>
      </c>
      <c r="W2038" s="16" t="n">
        <v>0.6096693713327976</v>
      </c>
      <c r="X2038" s="16" t="n">
        <v>0.7750097250154961</v>
      </c>
      <c r="Y2038" s="16" t="n">
        <v>300.032917</v>
      </c>
      <c r="Z2038" s="16" t="n">
        <v>-10.08422327243637</v>
      </c>
      <c r="AA2038" s="16" t="n">
        <v>-37.96858868137974</v>
      </c>
      <c r="AB2038" s="16" t="n">
        <v>2600</v>
      </c>
      <c r="AC2038" s="16" t="n">
        <v>7.5</v>
      </c>
      <c r="AD2038" s="16" t="inlineStr">
        <is>
          <t>O2,O3</t>
        </is>
      </c>
      <c r="AE2038" s="16" t="n"/>
    </row>
    <row r="2039">
      <c r="A2039" s="16" t="inlineStr">
        <is>
          <t>KF-M05-3-0077</t>
        </is>
      </c>
      <c r="B2039" s="16" t="inlineStr">
        <is>
          <t>4.1</t>
        </is>
      </c>
      <c r="C2039" s="16" t="inlineStr">
        <is>
          <t>4.1c</t>
        </is>
      </c>
      <c r="D2039" s="16" t="inlineStr">
        <is>
          <t>conserva sus presiones y su clima</t>
        </is>
      </c>
      <c r="E2039" s="16" t="inlineStr">
        <is>
          <t>KF-M05</t>
        </is>
      </c>
      <c r="F2039" s="16" t="inlineStr">
        <is>
          <t>KF-M05-3</t>
        </is>
      </c>
      <c r="G2039" s="16" t="inlineStr">
        <is>
          <t>B09-3</t>
        </is>
      </c>
      <c r="H2039" s="16" t="inlineStr">
        <is>
          <t>lhs</t>
        </is>
      </c>
      <c r="I2039" s="16" t="inlineStr">
        <is>
          <t>INVIABLE</t>
        </is>
      </c>
      <c r="J2039" s="16" t="inlineStr">
        <is>
          <t>INVIABLE</t>
        </is>
      </c>
      <c r="K2039" s="16" t="b">
        <v>1</v>
      </c>
      <c r="L2039" s="16" t="b">
        <v>0</v>
      </c>
      <c r="M2039" s="16" t="b">
        <v>1</v>
      </c>
      <c r="N2039" s="16" t="b">
        <v>0</v>
      </c>
      <c r="O2039" s="16" t="n">
        <v>562.0125844298768</v>
      </c>
      <c r="P2039" s="16" t="n">
        <v>300.032917</v>
      </c>
      <c r="Q2039" s="16" t="n">
        <v>3000</v>
      </c>
      <c r="R2039" s="16" t="n">
        <v>400</v>
      </c>
      <c r="S2039" s="16" t="n">
        <v>0.7673641671488616</v>
      </c>
      <c r="T2039" s="16" t="n">
        <v>0.9446603013073122</v>
      </c>
      <c r="U2039" s="16" t="n">
        <v>0.5201623064688261</v>
      </c>
      <c r="V2039" s="16" t="n">
        <v>0.4342917804099843</v>
      </c>
      <c r="W2039" s="16" t="n">
        <v>0.4530269509947853</v>
      </c>
      <c r="X2039" s="16" t="n">
        <v>0.8533746881925984</v>
      </c>
      <c r="Y2039" s="16" t="n">
        <v>300.032917</v>
      </c>
      <c r="Z2039" s="16" t="n">
        <v>-11.29749947639896</v>
      </c>
      <c r="AA2039" s="16" t="n">
        <v>-55.74528356854086</v>
      </c>
      <c r="AB2039" s="16" t="n">
        <v>2600</v>
      </c>
      <c r="AC2039" s="16" t="n">
        <v>7.5</v>
      </c>
      <c r="AD2039" s="16" t="inlineStr">
        <is>
          <t>O1,O2,O3</t>
        </is>
      </c>
      <c r="AE2039" s="16" t="n"/>
    </row>
    <row r="2040">
      <c r="A2040" s="16" t="inlineStr">
        <is>
          <t>KF-M05-3-0078</t>
        </is>
      </c>
      <c r="B2040" s="16" t="inlineStr">
        <is>
          <t>4.1</t>
        </is>
      </c>
      <c r="C2040" s="16" t="inlineStr">
        <is>
          <t>4.1c</t>
        </is>
      </c>
      <c r="D2040" s="16" t="inlineStr">
        <is>
          <t>conserva sus presiones y su clima</t>
        </is>
      </c>
      <c r="E2040" s="16" t="inlineStr">
        <is>
          <t>KF-M05</t>
        </is>
      </c>
      <c r="F2040" s="16" t="inlineStr">
        <is>
          <t>KF-M05-3</t>
        </is>
      </c>
      <c r="G2040" s="16" t="inlineStr">
        <is>
          <t>B09-3</t>
        </is>
      </c>
      <c r="H2040" s="16" t="inlineStr">
        <is>
          <t>lhs</t>
        </is>
      </c>
      <c r="I2040" s="16" t="inlineStr">
        <is>
          <t>INVIABLE</t>
        </is>
      </c>
      <c r="J2040" s="16" t="inlineStr">
        <is>
          <t>INVIABLE</t>
        </is>
      </c>
      <c r="K2040" s="16" t="b">
        <v>1</v>
      </c>
      <c r="L2040" s="16" t="b">
        <v>0</v>
      </c>
      <c r="M2040" s="16" t="b">
        <v>0</v>
      </c>
      <c r="N2040" s="16" t="b">
        <v>0</v>
      </c>
      <c r="O2040" s="16" t="n">
        <v>382.6479444517377</v>
      </c>
      <c r="P2040" s="16" t="n">
        <v>300.032917</v>
      </c>
      <c r="Q2040" s="16" t="n">
        <v>3000</v>
      </c>
      <c r="R2040" s="16" t="n">
        <v>400</v>
      </c>
      <c r="S2040" s="16" t="n">
        <v>0.55659909918657</v>
      </c>
      <c r="T2040" s="16" t="n">
        <v>0.7280144528237091</v>
      </c>
      <c r="U2040" s="16" t="n">
        <v>0.4489944038001453</v>
      </c>
      <c r="V2040" s="16" t="n">
        <v>0.6085117421539336</v>
      </c>
      <c r="W2040" s="16" t="n">
        <v>0.8271789108950041</v>
      </c>
      <c r="X2040" s="16" t="n">
        <v>0.7174278997130001</v>
      </c>
      <c r="Y2040" s="16" t="n">
        <v>300.032917</v>
      </c>
      <c r="Z2040" s="16" t="n">
        <v>-9.842236237881149</v>
      </c>
      <c r="AA2040" s="16" t="n">
        <v>-10.0322232250738</v>
      </c>
      <c r="AB2040" s="16" t="n">
        <v>2600</v>
      </c>
      <c r="AC2040" s="16" t="n">
        <v>7.5</v>
      </c>
      <c r="AD2040" s="16" t="inlineStr">
        <is>
          <t>O2,O3</t>
        </is>
      </c>
      <c r="AE2040" s="16" t="n"/>
    </row>
    <row r="2041">
      <c r="A2041" s="16" t="inlineStr">
        <is>
          <t>KF-M05-3-0079</t>
        </is>
      </c>
      <c r="B2041" s="16" t="inlineStr">
        <is>
          <t>4.1</t>
        </is>
      </c>
      <c r="C2041" s="16" t="inlineStr">
        <is>
          <t>4.1c</t>
        </is>
      </c>
      <c r="D2041" s="16" t="inlineStr">
        <is>
          <t>conserva sus presiones y su clima</t>
        </is>
      </c>
      <c r="E2041" s="16" t="inlineStr">
        <is>
          <t>KF-M05</t>
        </is>
      </c>
      <c r="F2041" s="16" t="inlineStr">
        <is>
          <t>KF-M05-3</t>
        </is>
      </c>
      <c r="G2041" s="16" t="inlineStr">
        <is>
          <t>B09-3</t>
        </is>
      </c>
      <c r="H2041" s="16" t="inlineStr">
        <is>
          <t>lhs</t>
        </is>
      </c>
      <c r="I2041" s="16" t="inlineStr">
        <is>
          <t>NO_CONVERGIO</t>
        </is>
      </c>
      <c r="J2041" s="16" t="inlineStr">
        <is>
          <t>NO_CONVERGIO</t>
        </is>
      </c>
      <c r="K2041" s="16" t="b">
        <v>0</v>
      </c>
      <c r="L2041" s="16" t="b">
        <v>0</v>
      </c>
      <c r="M2041" s="16" t="b">
        <v>0</v>
      </c>
      <c r="N2041" s="16" t="b">
        <v>0</v>
      </c>
      <c r="O2041" s="16" t="n">
        <v>489.2880641575446</v>
      </c>
      <c r="P2041" s="16" t="n">
        <v>300.032917</v>
      </c>
      <c r="Q2041" s="16" t="n">
        <v>3000</v>
      </c>
      <c r="R2041" s="16" t="n">
        <v>400</v>
      </c>
      <c r="S2041" s="16" t="n">
        <v>0.7314409464981318</v>
      </c>
      <c r="T2041" s="16" t="n">
        <v>0.8839952309915771</v>
      </c>
      <c r="U2041" s="16" t="n">
        <v>0.5006258872326647</v>
      </c>
      <c r="V2041" s="16" t="n">
        <v>0.5979567876977723</v>
      </c>
      <c r="W2041" s="16" t="n">
        <v>0.6731080519119779</v>
      </c>
      <c r="X2041" s="16" t="n">
        <v>0.4470695728281453</v>
      </c>
      <c r="Y2041" s="16" t="n">
        <v>300.032917</v>
      </c>
      <c r="Z2041" s="16" t="n"/>
      <c r="AA2041" s="16" t="n"/>
      <c r="AB2041" s="16" t="n">
        <v>2600</v>
      </c>
      <c r="AC2041" s="16" t="n">
        <v>7.5</v>
      </c>
      <c r="AD2041" s="16" t="n"/>
      <c r="AE2041" s="16" t="n"/>
    </row>
    <row r="2042">
      <c r="A2042" s="16" t="inlineStr">
        <is>
          <t>KF-M05-3-0080</t>
        </is>
      </c>
      <c r="B2042" s="16" t="inlineStr">
        <is>
          <t>4.1</t>
        </is>
      </c>
      <c r="C2042" s="16" t="inlineStr">
        <is>
          <t>4.1c</t>
        </is>
      </c>
      <c r="D2042" s="16" t="inlineStr">
        <is>
          <t>conserva sus presiones y su clima</t>
        </is>
      </c>
      <c r="E2042" s="16" t="inlineStr">
        <is>
          <t>KF-M05</t>
        </is>
      </c>
      <c r="F2042" s="16" t="inlineStr">
        <is>
          <t>KF-M05-3</t>
        </is>
      </c>
      <c r="G2042" s="16" t="inlineStr">
        <is>
          <t>B09-3</t>
        </is>
      </c>
      <c r="H2042" s="16" t="inlineStr">
        <is>
          <t>lhs</t>
        </is>
      </c>
      <c r="I2042" s="16" t="inlineStr">
        <is>
          <t>INVIABLE</t>
        </is>
      </c>
      <c r="J2042" s="16" t="inlineStr">
        <is>
          <t>INVIABLE</t>
        </is>
      </c>
      <c r="K2042" s="16" t="b">
        <v>1</v>
      </c>
      <c r="L2042" s="16" t="b">
        <v>0</v>
      </c>
      <c r="M2042" s="16" t="b">
        <v>1</v>
      </c>
      <c r="N2042" s="16" t="b">
        <v>0</v>
      </c>
      <c r="O2042" s="16" t="n">
        <v>495.9706958631986</v>
      </c>
      <c r="P2042" s="16" t="n">
        <v>300.032917</v>
      </c>
      <c r="Q2042" s="16" t="n">
        <v>3000</v>
      </c>
      <c r="R2042" s="16" t="n">
        <v>400</v>
      </c>
      <c r="S2042" s="16" t="n">
        <v>0.8287494210297977</v>
      </c>
      <c r="T2042" s="16" t="n">
        <v>0.4360110379903541</v>
      </c>
      <c r="U2042" s="16" t="n">
        <v>0.8281242600079441</v>
      </c>
      <c r="V2042" s="16" t="n">
        <v>0.4599424906830408</v>
      </c>
      <c r="W2042" s="16" t="n">
        <v>0.5285718467105711</v>
      </c>
      <c r="X2042" s="16" t="n">
        <v>0.7417030922112166</v>
      </c>
      <c r="Y2042" s="16" t="n">
        <v>300.032917</v>
      </c>
      <c r="Z2042" s="16" t="n">
        <v>-48.13689521990719</v>
      </c>
      <c r="AA2042" s="16" t="n">
        <v>-151.2316377499329</v>
      </c>
      <c r="AB2042" s="16" t="n">
        <v>2600</v>
      </c>
      <c r="AC2042" s="16" t="n">
        <v>7.5</v>
      </c>
      <c r="AD2042" s="16" t="inlineStr">
        <is>
          <t>O2,O3</t>
        </is>
      </c>
      <c r="AE2042" s="16" t="n"/>
    </row>
    <row r="2043">
      <c r="A2043" s="16" t="inlineStr">
        <is>
          <t>KF-M05-3-0081</t>
        </is>
      </c>
      <c r="B2043" s="16" t="inlineStr">
        <is>
          <t>4.1</t>
        </is>
      </c>
      <c r="C2043" s="16" t="inlineStr">
        <is>
          <t>4.1c</t>
        </is>
      </c>
      <c r="D2043" s="16" t="inlineStr">
        <is>
          <t>conserva sus presiones y su clima</t>
        </is>
      </c>
      <c r="E2043" s="16" t="inlineStr">
        <is>
          <t>KF-M05</t>
        </is>
      </c>
      <c r="F2043" s="16" t="inlineStr">
        <is>
          <t>KF-M05-3</t>
        </is>
      </c>
      <c r="G2043" s="16" t="inlineStr">
        <is>
          <t>B09-3</t>
        </is>
      </c>
      <c r="H2043" s="16" t="inlineStr">
        <is>
          <t>lhs</t>
        </is>
      </c>
      <c r="I2043" s="16" t="inlineStr">
        <is>
          <t>N2</t>
        </is>
      </c>
      <c r="J2043" s="16" t="inlineStr">
        <is>
          <t>NO_CONVERGIO</t>
        </is>
      </c>
      <c r="K2043" s="16" t="b">
        <v>0</v>
      </c>
      <c r="L2043" s="16" t="b">
        <v>0</v>
      </c>
      <c r="M2043" s="16" t="b">
        <v>1</v>
      </c>
      <c r="N2043" s="16" t="b">
        <v>0</v>
      </c>
      <c r="O2043" s="16" t="n">
        <v>571.9557724086422</v>
      </c>
      <c r="P2043" s="16" t="n">
        <v>300.032917</v>
      </c>
      <c r="Q2043" s="16" t="n">
        <v>3000</v>
      </c>
      <c r="R2043" s="16" t="n">
        <v>400</v>
      </c>
      <c r="S2043" s="16" t="n">
        <v>0.8296401997146317</v>
      </c>
      <c r="T2043" s="16" t="n">
        <v>0.9089063124461207</v>
      </c>
      <c r="U2043" s="16" t="n">
        <v>0.8841789041818509</v>
      </c>
      <c r="V2043" s="16" t="n">
        <v>0.6328761856601069</v>
      </c>
      <c r="W2043" s="16" t="n">
        <v>0.5527482000067367</v>
      </c>
      <c r="X2043" s="16" t="n">
        <v>0.835300370975252</v>
      </c>
      <c r="Y2043" s="16" t="n">
        <v>300.032917</v>
      </c>
      <c r="Z2043" s="16" t="n">
        <v>17.53751130273358</v>
      </c>
      <c r="AA2043" s="16" t="n">
        <v>103.8931073298338</v>
      </c>
      <c r="AB2043" s="16" t="n">
        <v>2600</v>
      </c>
      <c r="AC2043" s="16" t="n">
        <v>7.5</v>
      </c>
      <c r="AD2043" s="16" t="inlineStr">
        <is>
          <t>N2,O1,O2,O5,C1,C3,C3</t>
        </is>
      </c>
      <c r="AE2043" s="16" t="n"/>
    </row>
    <row r="2044">
      <c r="A2044" s="16" t="inlineStr">
        <is>
          <t>KF-M05-3-0082</t>
        </is>
      </c>
      <c r="B2044" s="16" t="inlineStr">
        <is>
          <t>4.1</t>
        </is>
      </c>
      <c r="C2044" s="16" t="inlineStr">
        <is>
          <t>4.1c</t>
        </is>
      </c>
      <c r="D2044" s="16" t="inlineStr">
        <is>
          <t>conserva sus presiones y su clima</t>
        </is>
      </c>
      <c r="E2044" s="16" t="inlineStr">
        <is>
          <t>KF-M05</t>
        </is>
      </c>
      <c r="F2044" s="16" t="inlineStr">
        <is>
          <t>KF-M05-3</t>
        </is>
      </c>
      <c r="G2044" s="16" t="inlineStr">
        <is>
          <t>B09-3</t>
        </is>
      </c>
      <c r="H2044" s="16" t="inlineStr">
        <is>
          <t>lhs</t>
        </is>
      </c>
      <c r="I2044" s="16" t="inlineStr">
        <is>
          <t>INVIABLE</t>
        </is>
      </c>
      <c r="J2044" s="16" t="inlineStr">
        <is>
          <t>INVIABLE</t>
        </is>
      </c>
      <c r="K2044" s="16" t="b">
        <v>1</v>
      </c>
      <c r="L2044" s="16" t="b">
        <v>0</v>
      </c>
      <c r="M2044" s="16" t="b">
        <v>1</v>
      </c>
      <c r="N2044" s="16" t="b">
        <v>0</v>
      </c>
      <c r="O2044" s="16" t="n">
        <v>466.224819993625</v>
      </c>
      <c r="P2044" s="16" t="n">
        <v>300.032917</v>
      </c>
      <c r="Q2044" s="16" t="n">
        <v>3000</v>
      </c>
      <c r="R2044" s="16" t="n">
        <v>400</v>
      </c>
      <c r="S2044" s="16" t="n">
        <v>0.6322034543963728</v>
      </c>
      <c r="T2044" s="16" t="n">
        <v>0.5749542235290689</v>
      </c>
      <c r="U2044" s="16" t="n">
        <v>0.7662517596607309</v>
      </c>
      <c r="V2044" s="16" t="n">
        <v>0.4001563374943792</v>
      </c>
      <c r="W2044" s="16" t="n">
        <v>0.6645051011379408</v>
      </c>
      <c r="X2044" s="16" t="n">
        <v>0.4515971396370731</v>
      </c>
      <c r="Y2044" s="16" t="n">
        <v>300.032917</v>
      </c>
      <c r="Z2044" s="16" t="n">
        <v>-20.06912548433712</v>
      </c>
      <c r="AA2044" s="16" t="n">
        <v>-82.27332977204739</v>
      </c>
      <c r="AB2044" s="16" t="n">
        <v>2600</v>
      </c>
      <c r="AC2044" s="16" t="n">
        <v>7.5</v>
      </c>
      <c r="AD2044" s="16" t="inlineStr">
        <is>
          <t>O2,O3</t>
        </is>
      </c>
      <c r="AE2044" s="16" t="n"/>
    </row>
    <row r="2045">
      <c r="A2045" s="16" t="inlineStr">
        <is>
          <t>KF-M05-3-0083</t>
        </is>
      </c>
      <c r="B2045" s="16" t="inlineStr">
        <is>
          <t>4.1</t>
        </is>
      </c>
      <c r="C2045" s="16" t="inlineStr">
        <is>
          <t>4.1c</t>
        </is>
      </c>
      <c r="D2045" s="16" t="inlineStr">
        <is>
          <t>conserva sus presiones y su clima</t>
        </is>
      </c>
      <c r="E2045" s="16" t="inlineStr">
        <is>
          <t>KF-M05</t>
        </is>
      </c>
      <c r="F2045" s="16" t="inlineStr">
        <is>
          <t>KF-M05-3</t>
        </is>
      </c>
      <c r="G2045" s="16" t="inlineStr">
        <is>
          <t>B09-3</t>
        </is>
      </c>
      <c r="H2045" s="16" t="inlineStr">
        <is>
          <t>lhs</t>
        </is>
      </c>
      <c r="I2045" s="16" t="inlineStr">
        <is>
          <t>CORREGIBLE</t>
        </is>
      </c>
      <c r="J2045" s="16" t="inlineStr">
        <is>
          <t>CORREGIBLE</t>
        </is>
      </c>
      <c r="K2045" s="16" t="b">
        <v>1</v>
      </c>
      <c r="L2045" s="16" t="b">
        <v>0</v>
      </c>
      <c r="M2045" s="16" t="b">
        <v>1</v>
      </c>
      <c r="N2045" s="16" t="b">
        <v>0</v>
      </c>
      <c r="O2045" s="16" t="n">
        <v>524.4470118142148</v>
      </c>
      <c r="P2045" s="16" t="n">
        <v>300.032917</v>
      </c>
      <c r="Q2045" s="16" t="n">
        <v>3000</v>
      </c>
      <c r="R2045" s="16" t="n">
        <v>400</v>
      </c>
      <c r="S2045" s="16" t="n">
        <v>0.6980396015539084</v>
      </c>
      <c r="T2045" s="16" t="n">
        <v>0.8707872737253868</v>
      </c>
      <c r="U2045" s="16" t="n">
        <v>0.5959297522785982</v>
      </c>
      <c r="V2045" s="16" t="n">
        <v>0.7671646730976972</v>
      </c>
      <c r="W2045" s="16" t="n">
        <v>0.7756028906847041</v>
      </c>
      <c r="X2045" s="16" t="n">
        <v>0.8996206996081721</v>
      </c>
      <c r="Y2045" s="16" t="n">
        <v>300.032917</v>
      </c>
      <c r="Z2045" s="16" t="n">
        <v>7.6873539717062</v>
      </c>
      <c r="AA2045" s="16" t="n">
        <v>84.22185523849606</v>
      </c>
      <c r="AB2045" s="16" t="n">
        <v>2600</v>
      </c>
      <c r="AC2045" s="16" t="n">
        <v>7.5</v>
      </c>
      <c r="AD2045" s="16" t="inlineStr">
        <is>
          <t>O2</t>
        </is>
      </c>
      <c r="AE2045" s="16" t="n"/>
    </row>
    <row r="2046">
      <c r="A2046" s="16" t="inlineStr">
        <is>
          <t>KF-M05-3-0084</t>
        </is>
      </c>
      <c r="B2046" s="16" t="inlineStr">
        <is>
          <t>4.1</t>
        </is>
      </c>
      <c r="C2046" s="16" t="inlineStr">
        <is>
          <t>4.1c</t>
        </is>
      </c>
      <c r="D2046" s="16" t="inlineStr">
        <is>
          <t>conserva sus presiones y su clima</t>
        </is>
      </c>
      <c r="E2046" s="16" t="inlineStr">
        <is>
          <t>KF-M05</t>
        </is>
      </c>
      <c r="F2046" s="16" t="inlineStr">
        <is>
          <t>KF-M05-3</t>
        </is>
      </c>
      <c r="G2046" s="16" t="inlineStr">
        <is>
          <t>B09-3</t>
        </is>
      </c>
      <c r="H2046" s="16" t="inlineStr">
        <is>
          <t>lhs</t>
        </is>
      </c>
      <c r="I2046" s="16" t="inlineStr">
        <is>
          <t>NO_CONVERGIO</t>
        </is>
      </c>
      <c r="J2046" s="16" t="inlineStr">
        <is>
          <t>NO_CONVERGIO</t>
        </is>
      </c>
      <c r="K2046" s="16" t="b">
        <v>0</v>
      </c>
      <c r="L2046" s="16" t="b">
        <v>0</v>
      </c>
      <c r="M2046" s="16" t="b">
        <v>0</v>
      </c>
      <c r="N2046" s="16" t="b">
        <v>0</v>
      </c>
      <c r="O2046" s="16" t="n">
        <v>586.0927389496096</v>
      </c>
      <c r="P2046" s="16" t="n">
        <v>300.032917</v>
      </c>
      <c r="Q2046" s="16" t="n">
        <v>3000</v>
      </c>
      <c r="R2046" s="16" t="n">
        <v>400</v>
      </c>
      <c r="S2046" s="16" t="n">
        <v>0.5522716290513601</v>
      </c>
      <c r="T2046" s="16" t="n">
        <v>0.7787480419628917</v>
      </c>
      <c r="U2046" s="16" t="n">
        <v>0.7748984181564211</v>
      </c>
      <c r="V2046" s="16" t="n">
        <v>0.8925577329015586</v>
      </c>
      <c r="W2046" s="16" t="n">
        <v>0.6809881143484817</v>
      </c>
      <c r="X2046" s="16" t="n">
        <v>0.869051739545998</v>
      </c>
      <c r="Y2046" s="16" t="n">
        <v>300.032917</v>
      </c>
      <c r="Z2046" s="16" t="n"/>
      <c r="AA2046" s="16" t="n"/>
      <c r="AB2046" s="16" t="n">
        <v>2600</v>
      </c>
      <c r="AC2046" s="16" t="n">
        <v>7.5</v>
      </c>
      <c r="AD2046" s="16" t="n"/>
      <c r="AE2046" s="16" t="n"/>
    </row>
    <row r="2047">
      <c r="A2047" s="16" t="inlineStr">
        <is>
          <t>KF-M05-3-0085</t>
        </is>
      </c>
      <c r="B2047" s="16" t="inlineStr">
        <is>
          <t>4.1</t>
        </is>
      </c>
      <c r="C2047" s="16" t="inlineStr">
        <is>
          <t>4.1c</t>
        </is>
      </c>
      <c r="D2047" s="16" t="inlineStr">
        <is>
          <t>conserva sus presiones y su clima</t>
        </is>
      </c>
      <c r="E2047" s="16" t="inlineStr">
        <is>
          <t>KF-M05</t>
        </is>
      </c>
      <c r="F2047" s="16" t="inlineStr">
        <is>
          <t>KF-M05-3</t>
        </is>
      </c>
      <c r="G2047" s="16" t="inlineStr">
        <is>
          <t>B09-3</t>
        </is>
      </c>
      <c r="H2047" s="16" t="inlineStr">
        <is>
          <t>lhs</t>
        </is>
      </c>
      <c r="I2047" s="16" t="inlineStr">
        <is>
          <t>NO_CONVERGIO</t>
        </is>
      </c>
      <c r="J2047" s="16" t="inlineStr">
        <is>
          <t>NO_CONVERGIO</t>
        </is>
      </c>
      <c r="K2047" s="16" t="b">
        <v>0</v>
      </c>
      <c r="L2047" s="16" t="b">
        <v>0</v>
      </c>
      <c r="M2047" s="16" t="b">
        <v>0</v>
      </c>
      <c r="N2047" s="16" t="b">
        <v>0</v>
      </c>
      <c r="O2047" s="16" t="n">
        <v>384.3926833282338</v>
      </c>
      <c r="P2047" s="16" t="n">
        <v>300.032917</v>
      </c>
      <c r="Q2047" s="16" t="n">
        <v>3000</v>
      </c>
      <c r="R2047" s="16" t="n">
        <v>400</v>
      </c>
      <c r="S2047" s="16" t="n">
        <v>0.8089417646218888</v>
      </c>
      <c r="T2047" s="16" t="n">
        <v>0.5367708144199604</v>
      </c>
      <c r="U2047" s="16" t="n">
        <v>0.7445459063629375</v>
      </c>
      <c r="V2047" s="16" t="n">
        <v>0.8372510111421223</v>
      </c>
      <c r="W2047" s="16" t="n">
        <v>0.9411898848690764</v>
      </c>
      <c r="X2047" s="16" t="n">
        <v>0.5089979875461599</v>
      </c>
      <c r="Y2047" s="16" t="n">
        <v>300.032917</v>
      </c>
      <c r="Z2047" s="16" t="n"/>
      <c r="AA2047" s="16" t="n"/>
      <c r="AB2047" s="16" t="n">
        <v>2600</v>
      </c>
      <c r="AC2047" s="16" t="n">
        <v>7.5</v>
      </c>
      <c r="AD2047" s="16" t="n"/>
      <c r="AE2047" s="16" t="n"/>
    </row>
    <row r="2048">
      <c r="A2048" s="16" t="inlineStr">
        <is>
          <t>KF-M05-3-0086</t>
        </is>
      </c>
      <c r="B2048" s="16" t="inlineStr">
        <is>
          <t>4.1</t>
        </is>
      </c>
      <c r="C2048" s="16" t="inlineStr">
        <is>
          <t>4.1c</t>
        </is>
      </c>
      <c r="D2048" s="16" t="inlineStr">
        <is>
          <t>conserva sus presiones y su clima</t>
        </is>
      </c>
      <c r="E2048" s="16" t="inlineStr">
        <is>
          <t>KF-M05</t>
        </is>
      </c>
      <c r="F2048" s="16" t="inlineStr">
        <is>
          <t>KF-M05-3</t>
        </is>
      </c>
      <c r="G2048" s="16" t="inlineStr">
        <is>
          <t>B09-3</t>
        </is>
      </c>
      <c r="H2048" s="16" t="inlineStr">
        <is>
          <t>lhs</t>
        </is>
      </c>
      <c r="I2048" s="16" t="inlineStr">
        <is>
          <t>INVIABLE</t>
        </is>
      </c>
      <c r="J2048" s="16" t="inlineStr">
        <is>
          <t>INVIABLE</t>
        </is>
      </c>
      <c r="K2048" s="16" t="b">
        <v>1</v>
      </c>
      <c r="L2048" s="16" t="b">
        <v>0</v>
      </c>
      <c r="M2048" s="16" t="b">
        <v>1</v>
      </c>
      <c r="N2048" s="16" t="b">
        <v>0</v>
      </c>
      <c r="O2048" s="16" t="n">
        <v>554.8450180676246</v>
      </c>
      <c r="P2048" s="16" t="n">
        <v>300.032917</v>
      </c>
      <c r="Q2048" s="16" t="n">
        <v>3000</v>
      </c>
      <c r="R2048" s="16" t="n">
        <v>400</v>
      </c>
      <c r="S2048" s="16" t="n">
        <v>0.5701318978032778</v>
      </c>
      <c r="T2048" s="16" t="n">
        <v>0.7462178564230697</v>
      </c>
      <c r="U2048" s="16" t="n">
        <v>0.4775447893676248</v>
      </c>
      <c r="V2048" s="16" t="n">
        <v>0.4849314278820277</v>
      </c>
      <c r="W2048" s="16" t="n">
        <v>0.5581226016507761</v>
      </c>
      <c r="X2048" s="16" t="n">
        <v>0.5118536271048915</v>
      </c>
      <c r="Y2048" s="16" t="n">
        <v>300.032917</v>
      </c>
      <c r="Z2048" s="16" t="n">
        <v>-14.27304619496729</v>
      </c>
      <c r="AA2048" s="16" t="n">
        <v>-93.06612345677374</v>
      </c>
      <c r="AB2048" s="16" t="n">
        <v>2600</v>
      </c>
      <c r="AC2048" s="16" t="n">
        <v>7.5</v>
      </c>
      <c r="AD2048" s="16" t="inlineStr">
        <is>
          <t>O2,O3</t>
        </is>
      </c>
      <c r="AE2048" s="16" t="n"/>
    </row>
    <row r="2049">
      <c r="A2049" s="16" t="inlineStr">
        <is>
          <t>KF-M05-3-0087</t>
        </is>
      </c>
      <c r="B2049" s="16" t="inlineStr">
        <is>
          <t>4.1</t>
        </is>
      </c>
      <c r="C2049" s="16" t="inlineStr">
        <is>
          <t>4.1c</t>
        </is>
      </c>
      <c r="D2049" s="16" t="inlineStr">
        <is>
          <t>conserva sus presiones y su clima</t>
        </is>
      </c>
      <c r="E2049" s="16" t="inlineStr">
        <is>
          <t>KF-M05</t>
        </is>
      </c>
      <c r="F2049" s="16" t="inlineStr">
        <is>
          <t>KF-M05-3</t>
        </is>
      </c>
      <c r="G2049" s="16" t="inlineStr">
        <is>
          <t>B09-3</t>
        </is>
      </c>
      <c r="H2049" s="16" t="inlineStr">
        <is>
          <t>lhs</t>
        </is>
      </c>
      <c r="I2049" s="16" t="inlineStr">
        <is>
          <t>INVIABLE</t>
        </is>
      </c>
      <c r="J2049" s="16" t="inlineStr">
        <is>
          <t>INVIABLE</t>
        </is>
      </c>
      <c r="K2049" s="16" t="b">
        <v>1</v>
      </c>
      <c r="L2049" s="16" t="b">
        <v>0</v>
      </c>
      <c r="M2049" s="16" t="b">
        <v>1</v>
      </c>
      <c r="N2049" s="16" t="b">
        <v>0</v>
      </c>
      <c r="O2049" s="16" t="n">
        <v>520.3408834566507</v>
      </c>
      <c r="P2049" s="16" t="n">
        <v>300.032917</v>
      </c>
      <c r="Q2049" s="16" t="n">
        <v>3000</v>
      </c>
      <c r="R2049" s="16" t="n">
        <v>400</v>
      </c>
      <c r="S2049" s="16" t="n">
        <v>0.6786199720083875</v>
      </c>
      <c r="T2049" s="16" t="n">
        <v>0.4989247963050486</v>
      </c>
      <c r="U2049" s="16" t="n">
        <v>0.8543109673363155</v>
      </c>
      <c r="V2049" s="16" t="n">
        <v>0.5444696149701957</v>
      </c>
      <c r="W2049" s="16" t="n">
        <v>0.7016645387542055</v>
      </c>
      <c r="X2049" s="16" t="n">
        <v>0.8175981498037708</v>
      </c>
      <c r="Y2049" s="16" t="n">
        <v>300.032917</v>
      </c>
      <c r="Z2049" s="16" t="n">
        <v>-1.09594121655416</v>
      </c>
      <c r="AA2049" s="16" t="n">
        <v>-8.725686779144468</v>
      </c>
      <c r="AB2049" s="16" t="n">
        <v>2600</v>
      </c>
      <c r="AC2049" s="16" t="n">
        <v>7.5</v>
      </c>
      <c r="AD2049" s="16" t="inlineStr">
        <is>
          <t>O2,O3</t>
        </is>
      </c>
      <c r="AE2049" s="16" t="n"/>
    </row>
    <row r="2050">
      <c r="A2050" s="16" t="inlineStr">
        <is>
          <t>KF-M05-3-0088</t>
        </is>
      </c>
      <c r="B2050" s="16" t="inlineStr">
        <is>
          <t>4.1</t>
        </is>
      </c>
      <c r="C2050" s="16" t="inlineStr">
        <is>
          <t>4.1c</t>
        </is>
      </c>
      <c r="D2050" s="16" t="inlineStr">
        <is>
          <t>conserva sus presiones y su clima</t>
        </is>
      </c>
      <c r="E2050" s="16" t="inlineStr">
        <is>
          <t>KF-M05</t>
        </is>
      </c>
      <c r="F2050" s="16" t="inlineStr">
        <is>
          <t>KF-M05-3</t>
        </is>
      </c>
      <c r="G2050" s="16" t="inlineStr">
        <is>
          <t>B09-3</t>
        </is>
      </c>
      <c r="H2050" s="16" t="inlineStr">
        <is>
          <t>lhs</t>
        </is>
      </c>
      <c r="I2050" s="16" t="inlineStr">
        <is>
          <t>NO_CONVERGIO</t>
        </is>
      </c>
      <c r="J2050" s="16" t="inlineStr">
        <is>
          <t>NO_CONVERGIO</t>
        </is>
      </c>
      <c r="K2050" s="16" t="b">
        <v>0</v>
      </c>
      <c r="L2050" s="16" t="b">
        <v>0</v>
      </c>
      <c r="M2050" s="16" t="b">
        <v>0</v>
      </c>
      <c r="N2050" s="16" t="b">
        <v>0</v>
      </c>
      <c r="O2050" s="16" t="n">
        <v>464.5706340872061</v>
      </c>
      <c r="P2050" s="16" t="n">
        <v>300.032917</v>
      </c>
      <c r="Q2050" s="16" t="n">
        <v>3000</v>
      </c>
      <c r="R2050" s="16" t="n">
        <v>400</v>
      </c>
      <c r="S2050" s="16" t="n">
        <v>0.7458735135076435</v>
      </c>
      <c r="T2050" s="16" t="n">
        <v>0.8523441822299649</v>
      </c>
      <c r="U2050" s="16" t="n">
        <v>0.7792180923785212</v>
      </c>
      <c r="V2050" s="16" t="n">
        <v>0.52741462256029</v>
      </c>
      <c r="W2050" s="16" t="n">
        <v>0.7306164339591954</v>
      </c>
      <c r="X2050" s="16" t="n">
        <v>0.4213182007378839</v>
      </c>
      <c r="Y2050" s="16" t="n">
        <v>300.032917</v>
      </c>
      <c r="Z2050" s="16" t="n"/>
      <c r="AA2050" s="16" t="n"/>
      <c r="AB2050" s="16" t="n">
        <v>2600</v>
      </c>
      <c r="AC2050" s="16" t="n">
        <v>7.5</v>
      </c>
      <c r="AD2050" s="16" t="n"/>
      <c r="AE2050" s="16" t="n"/>
    </row>
    <row r="2051">
      <c r="A2051" s="16" t="inlineStr">
        <is>
          <t>KF-M05-3-0089</t>
        </is>
      </c>
      <c r="B2051" s="16" t="inlineStr">
        <is>
          <t>4.1</t>
        </is>
      </c>
      <c r="C2051" s="16" t="inlineStr">
        <is>
          <t>4.1c</t>
        </is>
      </c>
      <c r="D2051" s="16" t="inlineStr">
        <is>
          <t>conserva sus presiones y su clima</t>
        </is>
      </c>
      <c r="E2051" s="16" t="inlineStr">
        <is>
          <t>KF-M05</t>
        </is>
      </c>
      <c r="F2051" s="16" t="inlineStr">
        <is>
          <t>KF-M05-3</t>
        </is>
      </c>
      <c r="G2051" s="16" t="inlineStr">
        <is>
          <t>B09-3</t>
        </is>
      </c>
      <c r="H2051" s="16" t="inlineStr">
        <is>
          <t>lhs</t>
        </is>
      </c>
      <c r="I2051" s="16" t="inlineStr">
        <is>
          <t>INVIABLE</t>
        </is>
      </c>
      <c r="J2051" s="16" t="inlineStr">
        <is>
          <t>INVIABLE</t>
        </is>
      </c>
      <c r="K2051" s="16" t="b">
        <v>1</v>
      </c>
      <c r="L2051" s="16" t="b">
        <v>0</v>
      </c>
      <c r="M2051" s="16" t="b">
        <v>1</v>
      </c>
      <c r="N2051" s="16" t="b">
        <v>0</v>
      </c>
      <c r="O2051" s="16" t="n">
        <v>581.8965059315847</v>
      </c>
      <c r="P2051" s="16" t="n">
        <v>300.032917</v>
      </c>
      <c r="Q2051" s="16" t="n">
        <v>3000</v>
      </c>
      <c r="R2051" s="16" t="n">
        <v>400</v>
      </c>
      <c r="S2051" s="16" t="n">
        <v>0.6843408899105394</v>
      </c>
      <c r="T2051" s="16" t="n">
        <v>0.4774641617922427</v>
      </c>
      <c r="U2051" s="16" t="n">
        <v>0.8336501004949477</v>
      </c>
      <c r="V2051" s="16" t="n">
        <v>0.7094710671780162</v>
      </c>
      <c r="W2051" s="16" t="n">
        <v>0.8215258484524948</v>
      </c>
      <c r="X2051" s="16" t="n">
        <v>0.8126807576506156</v>
      </c>
      <c r="Y2051" s="16" t="n">
        <v>300.032917</v>
      </c>
      <c r="Z2051" s="16" t="n">
        <v>-0.6455213935867999</v>
      </c>
      <c r="AA2051" s="16" t="n">
        <v>-7.02693687444733</v>
      </c>
      <c r="AB2051" s="16" t="n">
        <v>2600</v>
      </c>
      <c r="AC2051" s="16" t="n">
        <v>7.5</v>
      </c>
      <c r="AD2051" s="16" t="inlineStr">
        <is>
          <t>O2,O3</t>
        </is>
      </c>
      <c r="AE2051" s="16" t="n"/>
    </row>
    <row r="2052">
      <c r="A2052" s="16" t="inlineStr">
        <is>
          <t>KF-M05-3-0090</t>
        </is>
      </c>
      <c r="B2052" s="16" t="inlineStr">
        <is>
          <t>4.1</t>
        </is>
      </c>
      <c r="C2052" s="16" t="inlineStr">
        <is>
          <t>4.1c</t>
        </is>
      </c>
      <c r="D2052" s="16" t="inlineStr">
        <is>
          <t>conserva sus presiones y su clima</t>
        </is>
      </c>
      <c r="E2052" s="16" t="inlineStr">
        <is>
          <t>KF-M05</t>
        </is>
      </c>
      <c r="F2052" s="16" t="inlineStr">
        <is>
          <t>KF-M05-3</t>
        </is>
      </c>
      <c r="G2052" s="16" t="inlineStr">
        <is>
          <t>B09-3</t>
        </is>
      </c>
      <c r="H2052" s="16" t="inlineStr">
        <is>
          <t>lhs</t>
        </is>
      </c>
      <c r="I2052" s="16" t="inlineStr">
        <is>
          <t>NO_CONVERGIO</t>
        </is>
      </c>
      <c r="J2052" s="16" t="inlineStr">
        <is>
          <t>NO_CONVERGIO</t>
        </is>
      </c>
      <c r="K2052" s="16" t="b">
        <v>0</v>
      </c>
      <c r="L2052" s="16" t="b">
        <v>0</v>
      </c>
      <c r="M2052" s="16" t="b">
        <v>0</v>
      </c>
      <c r="N2052" s="16" t="b">
        <v>0</v>
      </c>
      <c r="O2052" s="16" t="n">
        <v>602.1123434434148</v>
      </c>
      <c r="P2052" s="16" t="n">
        <v>300.032917</v>
      </c>
      <c r="Q2052" s="16" t="n">
        <v>3000</v>
      </c>
      <c r="R2052" s="16" t="n">
        <v>400</v>
      </c>
      <c r="S2052" s="16" t="n">
        <v>0.7519826772803814</v>
      </c>
      <c r="T2052" s="16" t="n">
        <v>0.8445758913884025</v>
      </c>
      <c r="U2052" s="16" t="n">
        <v>0.5374751397866633</v>
      </c>
      <c r="V2052" s="16" t="n">
        <v>0.9317687007402532</v>
      </c>
      <c r="W2052" s="16" t="n">
        <v>0.8218651059649138</v>
      </c>
      <c r="X2052" s="16" t="n">
        <v>0.5200798672156094</v>
      </c>
      <c r="Y2052" s="16" t="n">
        <v>300.032917</v>
      </c>
      <c r="Z2052" s="16" t="n"/>
      <c r="AA2052" s="16" t="n"/>
      <c r="AB2052" s="16" t="n">
        <v>2600</v>
      </c>
      <c r="AC2052" s="16" t="n">
        <v>7.5</v>
      </c>
      <c r="AD2052" s="16" t="n"/>
      <c r="AE2052" s="16" t="n"/>
    </row>
    <row r="2053">
      <c r="A2053" s="16" t="inlineStr">
        <is>
          <t>KF-M05-3-0091</t>
        </is>
      </c>
      <c r="B2053" s="16" t="inlineStr">
        <is>
          <t>4.1</t>
        </is>
      </c>
      <c r="C2053" s="16" t="inlineStr">
        <is>
          <t>4.1c</t>
        </is>
      </c>
      <c r="D2053" s="16" t="inlineStr">
        <is>
          <t>conserva sus presiones y su clima</t>
        </is>
      </c>
      <c r="E2053" s="16" t="inlineStr">
        <is>
          <t>KF-M05</t>
        </is>
      </c>
      <c r="F2053" s="16" t="inlineStr">
        <is>
          <t>KF-M05-3</t>
        </is>
      </c>
      <c r="G2053" s="16" t="inlineStr">
        <is>
          <t>B09-3</t>
        </is>
      </c>
      <c r="H2053" s="16" t="inlineStr">
        <is>
          <t>lhs</t>
        </is>
      </c>
      <c r="I2053" s="16" t="inlineStr">
        <is>
          <t>NO_CONVERGIO</t>
        </is>
      </c>
      <c r="J2053" s="16" t="inlineStr">
        <is>
          <t>NO_CONVERGIO</t>
        </is>
      </c>
      <c r="K2053" s="16" t="b">
        <v>0</v>
      </c>
      <c r="L2053" s="16" t="b">
        <v>0</v>
      </c>
      <c r="M2053" s="16" t="b">
        <v>0</v>
      </c>
      <c r="N2053" s="16" t="b">
        <v>0</v>
      </c>
      <c r="O2053" s="16" t="n">
        <v>568.556149350877</v>
      </c>
      <c r="P2053" s="16" t="n">
        <v>300.032917</v>
      </c>
      <c r="Q2053" s="16" t="n">
        <v>3000</v>
      </c>
      <c r="R2053" s="16" t="n">
        <v>400</v>
      </c>
      <c r="S2053" s="16" t="n">
        <v>0.6889031824797878</v>
      </c>
      <c r="T2053" s="16" t="n">
        <v>0.531190595355563</v>
      </c>
      <c r="U2053" s="16" t="n">
        <v>0.5435261819731687</v>
      </c>
      <c r="V2053" s="16" t="n">
        <v>0.6918070597234174</v>
      </c>
      <c r="W2053" s="16" t="n">
        <v>0.5383901587603603</v>
      </c>
      <c r="X2053" s="16" t="n">
        <v>0.6160313539716816</v>
      </c>
      <c r="Y2053" s="16" t="n">
        <v>300.032917</v>
      </c>
      <c r="Z2053" s="16" t="n"/>
      <c r="AA2053" s="16" t="n"/>
      <c r="AB2053" s="16" t="n">
        <v>2600</v>
      </c>
      <c r="AC2053" s="16" t="n">
        <v>7.5</v>
      </c>
      <c r="AD2053" s="16" t="n"/>
      <c r="AE2053" s="16" t="n"/>
    </row>
    <row r="2054">
      <c r="A2054" s="16" t="inlineStr">
        <is>
          <t>KF-M05-3-0092</t>
        </is>
      </c>
      <c r="B2054" s="16" t="inlineStr">
        <is>
          <t>4.1</t>
        </is>
      </c>
      <c r="C2054" s="16" t="inlineStr">
        <is>
          <t>4.1c</t>
        </is>
      </c>
      <c r="D2054" s="16" t="inlineStr">
        <is>
          <t>conserva sus presiones y su clima</t>
        </is>
      </c>
      <c r="E2054" s="16" t="inlineStr">
        <is>
          <t>KF-M05</t>
        </is>
      </c>
      <c r="F2054" s="16" t="inlineStr">
        <is>
          <t>KF-M05-3</t>
        </is>
      </c>
      <c r="G2054" s="16" t="inlineStr">
        <is>
          <t>B09-3</t>
        </is>
      </c>
      <c r="H2054" s="16" t="inlineStr">
        <is>
          <t>lhs</t>
        </is>
      </c>
      <c r="I2054" s="16" t="inlineStr">
        <is>
          <t>INVIABLE</t>
        </is>
      </c>
      <c r="J2054" s="16" t="inlineStr">
        <is>
          <t>INVIABLE</t>
        </is>
      </c>
      <c r="K2054" s="16" t="b">
        <v>1</v>
      </c>
      <c r="L2054" s="16" t="b">
        <v>0</v>
      </c>
      <c r="M2054" s="16" t="b">
        <v>1</v>
      </c>
      <c r="N2054" s="16" t="b">
        <v>0</v>
      </c>
      <c r="O2054" s="16" t="n">
        <v>450.1717110940913</v>
      </c>
      <c r="P2054" s="16" t="n">
        <v>300.032917</v>
      </c>
      <c r="Q2054" s="16" t="n">
        <v>3000</v>
      </c>
      <c r="R2054" s="16" t="n">
        <v>400</v>
      </c>
      <c r="S2054" s="16" t="n">
        <v>0.7119811496815095</v>
      </c>
      <c r="T2054" s="16" t="n">
        <v>0.8921869972109033</v>
      </c>
      <c r="U2054" s="16" t="n">
        <v>0.4558440673950237</v>
      </c>
      <c r="V2054" s="16" t="n">
        <v>0.7219892655254081</v>
      </c>
      <c r="W2054" s="16" t="n">
        <v>0.4845047500135991</v>
      </c>
      <c r="X2054" s="16" t="n">
        <v>0.6609916823566808</v>
      </c>
      <c r="Y2054" s="16" t="n">
        <v>300.032917</v>
      </c>
      <c r="Z2054" s="16" t="n">
        <v>-21.56778013898659</v>
      </c>
      <c r="AA2054" s="16" t="n">
        <v>-117.0615126972712</v>
      </c>
      <c r="AB2054" s="16" t="n">
        <v>2600</v>
      </c>
      <c r="AC2054" s="16" t="n">
        <v>7.5</v>
      </c>
      <c r="AD2054" s="16" t="inlineStr">
        <is>
          <t>O2,O3</t>
        </is>
      </c>
      <c r="AE2054" s="16" t="n"/>
    </row>
    <row r="2055">
      <c r="A2055" s="16" t="inlineStr">
        <is>
          <t>KF-M05-3-0093</t>
        </is>
      </c>
      <c r="B2055" s="16" t="inlineStr">
        <is>
          <t>4.1</t>
        </is>
      </c>
      <c r="C2055" s="16" t="inlineStr">
        <is>
          <t>4.1c</t>
        </is>
      </c>
      <c r="D2055" s="16" t="inlineStr">
        <is>
          <t>conserva sus presiones y su clima</t>
        </is>
      </c>
      <c r="E2055" s="16" t="inlineStr">
        <is>
          <t>KF-M05</t>
        </is>
      </c>
      <c r="F2055" s="16" t="inlineStr">
        <is>
          <t>KF-M05-3</t>
        </is>
      </c>
      <c r="G2055" s="16" t="inlineStr">
        <is>
          <t>B09-3</t>
        </is>
      </c>
      <c r="H2055" s="16" t="inlineStr">
        <is>
          <t>lhs</t>
        </is>
      </c>
      <c r="I2055" s="16" t="inlineStr">
        <is>
          <t>CORREGIBLE</t>
        </is>
      </c>
      <c r="J2055" s="16" t="inlineStr">
        <is>
          <t>CORREGIBLE</t>
        </is>
      </c>
      <c r="K2055" s="16" t="b">
        <v>1</v>
      </c>
      <c r="L2055" s="16" t="b">
        <v>0</v>
      </c>
      <c r="M2055" s="16" t="b">
        <v>1</v>
      </c>
      <c r="N2055" s="16" t="b">
        <v>0</v>
      </c>
      <c r="O2055" s="16" t="n">
        <v>516.5946882251067</v>
      </c>
      <c r="P2055" s="16" t="n">
        <v>300.032917</v>
      </c>
      <c r="Q2055" s="16" t="n">
        <v>3000</v>
      </c>
      <c r="R2055" s="16" t="n">
        <v>400</v>
      </c>
      <c r="S2055" s="16" t="n">
        <v>0.5051627818746256</v>
      </c>
      <c r="T2055" s="16" t="n">
        <v>0.6382885324838607</v>
      </c>
      <c r="U2055" s="16" t="n">
        <v>0.5558872327713519</v>
      </c>
      <c r="V2055" s="16" t="n">
        <v>0.8738933726765421</v>
      </c>
      <c r="W2055" s="16" t="n">
        <v>0.7053954437967802</v>
      </c>
      <c r="X2055" s="16" t="n">
        <v>0.9209386419684588</v>
      </c>
      <c r="Y2055" s="16" t="n">
        <v>300.032917</v>
      </c>
      <c r="Z2055" s="16" t="n">
        <v>9.80004512145371</v>
      </c>
      <c r="AA2055" s="16" t="n">
        <v>192.8925104400597</v>
      </c>
      <c r="AB2055" s="16" t="n">
        <v>2600</v>
      </c>
      <c r="AC2055" s="16" t="n">
        <v>7.5</v>
      </c>
      <c r="AD2055" s="16" t="inlineStr">
        <is>
          <t>O2</t>
        </is>
      </c>
      <c r="AE2055" s="16" t="n"/>
    </row>
    <row r="2056">
      <c r="A2056" s="16" t="inlineStr">
        <is>
          <t>KF-M05-3-0094</t>
        </is>
      </c>
      <c r="B2056" s="16" t="inlineStr">
        <is>
          <t>4.1</t>
        </is>
      </c>
      <c r="C2056" s="16" t="inlineStr">
        <is>
          <t>4.1c</t>
        </is>
      </c>
      <c r="D2056" s="16" t="inlineStr">
        <is>
          <t>conserva sus presiones y su clima</t>
        </is>
      </c>
      <c r="E2056" s="16" t="inlineStr">
        <is>
          <t>KF-M05</t>
        </is>
      </c>
      <c r="F2056" s="16" t="inlineStr">
        <is>
          <t>KF-M05-3</t>
        </is>
      </c>
      <c r="G2056" s="16" t="inlineStr">
        <is>
          <t>B09-3</t>
        </is>
      </c>
      <c r="H2056" s="16" t="inlineStr">
        <is>
          <t>lhs</t>
        </is>
      </c>
      <c r="I2056" s="16" t="inlineStr">
        <is>
          <t>INVIABLE</t>
        </is>
      </c>
      <c r="J2056" s="16" t="inlineStr">
        <is>
          <t>INVIABLE</t>
        </is>
      </c>
      <c r="K2056" s="16" t="b">
        <v>1</v>
      </c>
      <c r="L2056" s="16" t="b">
        <v>0</v>
      </c>
      <c r="M2056" s="16" t="b">
        <v>1</v>
      </c>
      <c r="N2056" s="16" t="b">
        <v>0</v>
      </c>
      <c r="O2056" s="16" t="n">
        <v>544.3157080229103</v>
      </c>
      <c r="P2056" s="16" t="n">
        <v>300.032917</v>
      </c>
      <c r="Q2056" s="16" t="n">
        <v>3000</v>
      </c>
      <c r="R2056" s="16" t="n">
        <v>400</v>
      </c>
      <c r="S2056" s="16" t="n">
        <v>0.7635097457642304</v>
      </c>
      <c r="T2056" s="16" t="n">
        <v>0.5237076513650174</v>
      </c>
      <c r="U2056" s="16" t="n">
        <v>0.9386261688848474</v>
      </c>
      <c r="V2056" s="16" t="n">
        <v>0.4055575524332229</v>
      </c>
      <c r="W2056" s="16" t="n">
        <v>0.5621344269565784</v>
      </c>
      <c r="X2056" s="16" t="n">
        <v>0.734359555165266</v>
      </c>
      <c r="Y2056" s="16" t="n">
        <v>300.032917</v>
      </c>
      <c r="Z2056" s="16" t="n">
        <v>-12.70530549565775</v>
      </c>
      <c r="AA2056" s="16" t="n">
        <v>-58.24505392276785</v>
      </c>
      <c r="AB2056" s="16" t="n">
        <v>2600</v>
      </c>
      <c r="AC2056" s="16" t="n">
        <v>7.5</v>
      </c>
      <c r="AD2056" s="16" t="inlineStr">
        <is>
          <t>O2,O3</t>
        </is>
      </c>
      <c r="AE2056" s="16" t="n"/>
    </row>
    <row r="2057">
      <c r="A2057" s="16" t="inlineStr">
        <is>
          <t>KF-M05-3-0095</t>
        </is>
      </c>
      <c r="B2057" s="16" t="inlineStr">
        <is>
          <t>4.1</t>
        </is>
      </c>
      <c r="C2057" s="16" t="inlineStr">
        <is>
          <t>4.1c</t>
        </is>
      </c>
      <c r="D2057" s="16" t="inlineStr">
        <is>
          <t>conserva sus presiones y su clima</t>
        </is>
      </c>
      <c r="E2057" s="16" t="inlineStr">
        <is>
          <t>KF-M05</t>
        </is>
      </c>
      <c r="F2057" s="16" t="inlineStr">
        <is>
          <t>KF-M05-3</t>
        </is>
      </c>
      <c r="G2057" s="16" t="inlineStr">
        <is>
          <t>B09-3</t>
        </is>
      </c>
      <c r="H2057" s="16" t="inlineStr">
        <is>
          <t>lhs</t>
        </is>
      </c>
      <c r="I2057" s="16" t="inlineStr">
        <is>
          <t>CORREGIBLE</t>
        </is>
      </c>
      <c r="J2057" s="16" t="inlineStr">
        <is>
          <t>CORREGIBLE</t>
        </is>
      </c>
      <c r="K2057" s="16" t="b">
        <v>1</v>
      </c>
      <c r="L2057" s="16" t="b">
        <v>0</v>
      </c>
      <c r="M2057" s="16" t="b">
        <v>0</v>
      </c>
      <c r="N2057" s="16" t="b">
        <v>0</v>
      </c>
      <c r="O2057" s="16" t="n">
        <v>423.9356102567582</v>
      </c>
      <c r="P2057" s="16" t="n">
        <v>300.032917</v>
      </c>
      <c r="Q2057" s="16" t="n">
        <v>3000</v>
      </c>
      <c r="R2057" s="16" t="n">
        <v>400</v>
      </c>
      <c r="S2057" s="16" t="n">
        <v>0.5107849740845904</v>
      </c>
      <c r="T2057" s="16" t="n">
        <v>0.5388744775567773</v>
      </c>
      <c r="U2057" s="16" t="n">
        <v>0.5769076588269844</v>
      </c>
      <c r="V2057" s="16" t="n">
        <v>0.5725216710747273</v>
      </c>
      <c r="W2057" s="16" t="n">
        <v>0.7279738552956405</v>
      </c>
      <c r="X2057" s="16" t="n">
        <v>0.6727304248433337</v>
      </c>
      <c r="Y2057" s="16" t="n">
        <v>300.032917</v>
      </c>
      <c r="Z2057" s="16" t="n">
        <v>4.018674200193121</v>
      </c>
      <c r="AA2057" s="16" t="n">
        <v>15.12505430295958</v>
      </c>
      <c r="AB2057" s="16" t="n">
        <v>2600</v>
      </c>
      <c r="AC2057" s="16" t="n">
        <v>7.5</v>
      </c>
      <c r="AD2057" s="16" t="inlineStr">
        <is>
          <t>O2</t>
        </is>
      </c>
      <c r="AE2057" s="16" t="n"/>
    </row>
    <row r="2058">
      <c r="A2058" s="16" t="inlineStr">
        <is>
          <t>KF-M05-3-0096</t>
        </is>
      </c>
      <c r="B2058" s="16" t="inlineStr">
        <is>
          <t>4.1</t>
        </is>
      </c>
      <c r="C2058" s="16" t="inlineStr">
        <is>
          <t>4.1c</t>
        </is>
      </c>
      <c r="D2058" s="16" t="inlineStr">
        <is>
          <t>conserva sus presiones y su clima</t>
        </is>
      </c>
      <c r="E2058" s="16" t="inlineStr">
        <is>
          <t>KF-M05</t>
        </is>
      </c>
      <c r="F2058" s="16" t="inlineStr">
        <is>
          <t>KF-M05-3</t>
        </is>
      </c>
      <c r="G2058" s="16" t="inlineStr">
        <is>
          <t>B09-3</t>
        </is>
      </c>
      <c r="H2058" s="16" t="inlineStr">
        <is>
          <t>lhs</t>
        </is>
      </c>
      <c r="I2058" s="16" t="inlineStr">
        <is>
          <t>CORREGIBLE</t>
        </is>
      </c>
      <c r="J2058" s="16" t="inlineStr">
        <is>
          <t>CORREGIBLE</t>
        </is>
      </c>
      <c r="K2058" s="16" t="b">
        <v>1</v>
      </c>
      <c r="L2058" s="16" t="b">
        <v>0</v>
      </c>
      <c r="M2058" s="16" t="b">
        <v>1</v>
      </c>
      <c r="N2058" s="16" t="b">
        <v>0</v>
      </c>
      <c r="O2058" s="16" t="n">
        <v>587.8584889473103</v>
      </c>
      <c r="P2058" s="16" t="n">
        <v>300.032917</v>
      </c>
      <c r="Q2058" s="16" t="n">
        <v>3000</v>
      </c>
      <c r="R2058" s="16" t="n">
        <v>400</v>
      </c>
      <c r="S2058" s="16" t="n">
        <v>0.5351916306868674</v>
      </c>
      <c r="T2058" s="16" t="n">
        <v>0.8094342636012986</v>
      </c>
      <c r="U2058" s="16" t="n">
        <v>0.7514003458444511</v>
      </c>
      <c r="V2058" s="16" t="n">
        <v>0.4643702606094073</v>
      </c>
      <c r="W2058" s="16" t="n">
        <v>0.862336201330641</v>
      </c>
      <c r="X2058" s="16" t="n">
        <v>0.649465284570256</v>
      </c>
      <c r="Y2058" s="16" t="n">
        <v>300.032917</v>
      </c>
      <c r="Z2058" s="16" t="n">
        <v>10.2183036487207</v>
      </c>
      <c r="AA2058" s="16" t="n">
        <v>93.98938782343345</v>
      </c>
      <c r="AB2058" s="16" t="n">
        <v>2600</v>
      </c>
      <c r="AC2058" s="16" t="n">
        <v>7.5</v>
      </c>
      <c r="AD2058" s="16" t="inlineStr">
        <is>
          <t>O2</t>
        </is>
      </c>
      <c r="AE2058" s="16" t="n"/>
    </row>
    <row r="2059">
      <c r="A2059" s="16" t="inlineStr">
        <is>
          <t>KF-M05-3-0097</t>
        </is>
      </c>
      <c r="B2059" s="16" t="inlineStr">
        <is>
          <t>4.1</t>
        </is>
      </c>
      <c r="C2059" s="16" t="inlineStr">
        <is>
          <t>4.1c</t>
        </is>
      </c>
      <c r="D2059" s="16" t="inlineStr">
        <is>
          <t>conserva sus presiones y su clima</t>
        </is>
      </c>
      <c r="E2059" s="16" t="inlineStr">
        <is>
          <t>KF-M05</t>
        </is>
      </c>
      <c r="F2059" s="16" t="inlineStr">
        <is>
          <t>KF-M05-3</t>
        </is>
      </c>
      <c r="G2059" s="16" t="inlineStr">
        <is>
          <t>B09-3</t>
        </is>
      </c>
      <c r="H2059" s="16" t="inlineStr">
        <is>
          <t>lhs</t>
        </is>
      </c>
      <c r="I2059" s="16" t="inlineStr">
        <is>
          <t>CORREGIBLE</t>
        </is>
      </c>
      <c r="J2059" s="16" t="inlineStr">
        <is>
          <t>CORREGIBLE</t>
        </is>
      </c>
      <c r="K2059" s="16" t="b">
        <v>1</v>
      </c>
      <c r="L2059" s="16" t="b">
        <v>0</v>
      </c>
      <c r="M2059" s="16" t="b">
        <v>1</v>
      </c>
      <c r="N2059" s="16" t="b">
        <v>0</v>
      </c>
      <c r="O2059" s="16" t="n">
        <v>584.273277267787</v>
      </c>
      <c r="P2059" s="16" t="n">
        <v>300.032917</v>
      </c>
      <c r="Q2059" s="16" t="n">
        <v>3000</v>
      </c>
      <c r="R2059" s="16" t="n">
        <v>400</v>
      </c>
      <c r="S2059" s="16" t="n">
        <v>0.5785893102880175</v>
      </c>
      <c r="T2059" s="16" t="n">
        <v>0.6232000129249233</v>
      </c>
      <c r="U2059" s="16" t="n">
        <v>0.8997430048936386</v>
      </c>
      <c r="V2059" s="16" t="n">
        <v>0.7054705904514282</v>
      </c>
      <c r="W2059" s="16" t="n">
        <v>0.5874064473495121</v>
      </c>
      <c r="X2059" s="16" t="n">
        <v>0.5903897024928715</v>
      </c>
      <c r="Y2059" s="16" t="n">
        <v>300.032917</v>
      </c>
      <c r="Z2059" s="16" t="n">
        <v>3.83164845081174</v>
      </c>
      <c r="AA2059" s="16" t="n">
        <v>41.1198539855169</v>
      </c>
      <c r="AB2059" s="16" t="n">
        <v>2600</v>
      </c>
      <c r="AC2059" s="16" t="n">
        <v>7.5</v>
      </c>
      <c r="AD2059" s="16" t="inlineStr">
        <is>
          <t>O2</t>
        </is>
      </c>
      <c r="AE2059" s="16" t="n"/>
    </row>
    <row r="2060">
      <c r="A2060" s="16" t="inlineStr">
        <is>
          <t>KF-M05-3-0098</t>
        </is>
      </c>
      <c r="B2060" s="16" t="inlineStr">
        <is>
          <t>4.1</t>
        </is>
      </c>
      <c r="C2060" s="16" t="inlineStr">
        <is>
          <t>4.1c</t>
        </is>
      </c>
      <c r="D2060" s="16" t="inlineStr">
        <is>
          <t>conserva sus presiones y su clima</t>
        </is>
      </c>
      <c r="E2060" s="16" t="inlineStr">
        <is>
          <t>KF-M05</t>
        </is>
      </c>
      <c r="F2060" s="16" t="inlineStr">
        <is>
          <t>KF-M05-3</t>
        </is>
      </c>
      <c r="G2060" s="16" t="inlineStr">
        <is>
          <t>B09-3</t>
        </is>
      </c>
      <c r="H2060" s="16" t="inlineStr">
        <is>
          <t>lhs</t>
        </is>
      </c>
      <c r="I2060" s="16" t="inlineStr">
        <is>
          <t>INVIABLE</t>
        </is>
      </c>
      <c r="J2060" s="16" t="inlineStr">
        <is>
          <t>INVIABLE</t>
        </is>
      </c>
      <c r="K2060" s="16" t="b">
        <v>1</v>
      </c>
      <c r="L2060" s="16" t="b">
        <v>0</v>
      </c>
      <c r="M2060" s="16" t="b">
        <v>1</v>
      </c>
      <c r="N2060" s="16" t="b">
        <v>0</v>
      </c>
      <c r="O2060" s="16" t="n">
        <v>577.4354676945809</v>
      </c>
      <c r="P2060" s="16" t="n">
        <v>300.032917</v>
      </c>
      <c r="Q2060" s="16" t="n">
        <v>3000</v>
      </c>
      <c r="R2060" s="16" t="n">
        <v>400</v>
      </c>
      <c r="S2060" s="16" t="n">
        <v>0.5199660044508752</v>
      </c>
      <c r="T2060" s="16" t="n">
        <v>0.4104755844866483</v>
      </c>
      <c r="U2060" s="16" t="n">
        <v>0.7844880197264744</v>
      </c>
      <c r="V2060" s="16" t="n">
        <v>0.5965613164900485</v>
      </c>
      <c r="W2060" s="16" t="n">
        <v>0.6175541966549505</v>
      </c>
      <c r="X2060" s="16" t="n">
        <v>0.6258748331229683</v>
      </c>
      <c r="Y2060" s="16" t="n">
        <v>300.032917</v>
      </c>
      <c r="Z2060" s="16" t="n">
        <v>-0.79910298807216</v>
      </c>
      <c r="AA2060" s="16" t="n">
        <v>-8.564138637682262</v>
      </c>
      <c r="AB2060" s="16" t="n">
        <v>2600</v>
      </c>
      <c r="AC2060" s="16" t="n">
        <v>7.5</v>
      </c>
      <c r="AD2060" s="16" t="inlineStr">
        <is>
          <t>O2,O3</t>
        </is>
      </c>
      <c r="AE2060" s="16" t="n"/>
    </row>
    <row r="2061">
      <c r="A2061" s="16" t="inlineStr">
        <is>
          <t>KF-M05-3-0099</t>
        </is>
      </c>
      <c r="B2061" s="16" t="inlineStr">
        <is>
          <t>4.1</t>
        </is>
      </c>
      <c r="C2061" s="16" t="inlineStr">
        <is>
          <t>4.1c</t>
        </is>
      </c>
      <c r="D2061" s="16" t="inlineStr">
        <is>
          <t>conserva sus presiones y su clima</t>
        </is>
      </c>
      <c r="E2061" s="16" t="inlineStr">
        <is>
          <t>KF-M05</t>
        </is>
      </c>
      <c r="F2061" s="16" t="inlineStr">
        <is>
          <t>KF-M05-3</t>
        </is>
      </c>
      <c r="G2061" s="16" t="inlineStr">
        <is>
          <t>B09-3</t>
        </is>
      </c>
      <c r="H2061" s="16" t="inlineStr">
        <is>
          <t>lhs</t>
        </is>
      </c>
      <c r="I2061" s="16" t="inlineStr">
        <is>
          <t>INVIABLE</t>
        </is>
      </c>
      <c r="J2061" s="16" t="inlineStr">
        <is>
          <t>INVIABLE</t>
        </is>
      </c>
      <c r="K2061" s="16" t="b">
        <v>1</v>
      </c>
      <c r="L2061" s="16" t="b">
        <v>0</v>
      </c>
      <c r="M2061" s="16" t="b">
        <v>1</v>
      </c>
      <c r="N2061" s="16" t="b">
        <v>0</v>
      </c>
      <c r="O2061" s="16" t="n">
        <v>530.0976876685875</v>
      </c>
      <c r="P2061" s="16" t="n">
        <v>300.032917</v>
      </c>
      <c r="Q2061" s="16" t="n">
        <v>3000</v>
      </c>
      <c r="R2061" s="16" t="n">
        <v>400</v>
      </c>
      <c r="S2061" s="16" t="n">
        <v>0.8205257446052927</v>
      </c>
      <c r="T2061" s="16" t="n">
        <v>0.4574773686764416</v>
      </c>
      <c r="U2061" s="16" t="n">
        <v>0.6496567490455938</v>
      </c>
      <c r="V2061" s="16" t="n">
        <v>0.58253702987108</v>
      </c>
      <c r="W2061" s="16" t="n">
        <v>0.5657782347715427</v>
      </c>
      <c r="X2061" s="16" t="n">
        <v>0.8113052126162794</v>
      </c>
      <c r="Y2061" s="16" t="n">
        <v>300.032917</v>
      </c>
      <c r="Z2061" s="16" t="n">
        <v>-43.49320973456157</v>
      </c>
      <c r="AA2061" s="16" t="n">
        <v>-193.6182932180217</v>
      </c>
      <c r="AB2061" s="16" t="n">
        <v>2600</v>
      </c>
      <c r="AC2061" s="16" t="n">
        <v>7.5</v>
      </c>
      <c r="AD2061" s="16" t="inlineStr">
        <is>
          <t>O2,O3</t>
        </is>
      </c>
      <c r="AE2061" s="16" t="n"/>
    </row>
    <row r="2062">
      <c r="A2062" s="16" t="inlineStr">
        <is>
          <t>KF-M05-3-0100</t>
        </is>
      </c>
      <c r="B2062" s="16" t="inlineStr">
        <is>
          <t>4.1</t>
        </is>
      </c>
      <c r="C2062" s="16" t="inlineStr">
        <is>
          <t>4.1c</t>
        </is>
      </c>
      <c r="D2062" s="16" t="inlineStr">
        <is>
          <t>conserva sus presiones y su clima</t>
        </is>
      </c>
      <c r="E2062" s="16" t="inlineStr">
        <is>
          <t>KF-M05</t>
        </is>
      </c>
      <c r="F2062" s="16" t="inlineStr">
        <is>
          <t>KF-M05-3</t>
        </is>
      </c>
      <c r="G2062" s="16" t="inlineStr">
        <is>
          <t>B09-3</t>
        </is>
      </c>
      <c r="H2062" s="16" t="inlineStr">
        <is>
          <t>lhs</t>
        </is>
      </c>
      <c r="I2062" s="16" t="inlineStr">
        <is>
          <t>INVIABLE</t>
        </is>
      </c>
      <c r="J2062" s="16" t="inlineStr">
        <is>
          <t>INVIABLE</t>
        </is>
      </c>
      <c r="K2062" s="16" t="b">
        <v>1</v>
      </c>
      <c r="L2062" s="16" t="b">
        <v>0</v>
      </c>
      <c r="M2062" s="16" t="b">
        <v>0</v>
      </c>
      <c r="N2062" s="16" t="b">
        <v>0</v>
      </c>
      <c r="O2062" s="16" t="n">
        <v>433.5303906599333</v>
      </c>
      <c r="P2062" s="16" t="n">
        <v>300.032917</v>
      </c>
      <c r="Q2062" s="16" t="n">
        <v>3000</v>
      </c>
      <c r="R2062" s="16" t="n">
        <v>400</v>
      </c>
      <c r="S2062" s="16" t="n">
        <v>0.6234923522563102</v>
      </c>
      <c r="T2062" s="16" t="n">
        <v>0.5636486150860984</v>
      </c>
      <c r="U2062" s="16" t="n">
        <v>0.4901374485016563</v>
      </c>
      <c r="V2062" s="16" t="n">
        <v>0.5579616964599987</v>
      </c>
      <c r="W2062" s="16" t="n">
        <v>0.5964786605163348</v>
      </c>
      <c r="X2062" s="16" t="n">
        <v>0.8654256659909125</v>
      </c>
      <c r="Y2062" s="16" t="n">
        <v>300.032917</v>
      </c>
      <c r="Z2062" s="16" t="n">
        <v>-6.268876564370671</v>
      </c>
      <c r="AA2062" s="16" t="n">
        <v>-31.87086937823166</v>
      </c>
      <c r="AB2062" s="16" t="n">
        <v>2600</v>
      </c>
      <c r="AC2062" s="16" t="n">
        <v>7.5</v>
      </c>
      <c r="AD2062" s="16" t="inlineStr">
        <is>
          <t>O2,O3</t>
        </is>
      </c>
      <c r="AE2062" s="16" t="n"/>
    </row>
    <row r="2063">
      <c r="A2063" s="16" t="inlineStr">
        <is>
          <t>KF-M05-3-0101</t>
        </is>
      </c>
      <c r="B2063" s="16" t="inlineStr">
        <is>
          <t>4.1</t>
        </is>
      </c>
      <c r="C2063" s="16" t="inlineStr">
        <is>
          <t>4.1c</t>
        </is>
      </c>
      <c r="D2063" s="16" t="inlineStr">
        <is>
          <t>conserva sus presiones y su clima</t>
        </is>
      </c>
      <c r="E2063" s="16" t="inlineStr">
        <is>
          <t>KF-M05</t>
        </is>
      </c>
      <c r="F2063" s="16" t="inlineStr">
        <is>
          <t>KF-M05-3</t>
        </is>
      </c>
      <c r="G2063" s="16" t="inlineStr">
        <is>
          <t>B09-3</t>
        </is>
      </c>
      <c r="H2063" s="16" t="inlineStr">
        <is>
          <t>lhs</t>
        </is>
      </c>
      <c r="I2063" s="16" t="inlineStr">
        <is>
          <t>NO_CONVERGIO</t>
        </is>
      </c>
      <c r="J2063" s="16" t="inlineStr">
        <is>
          <t>NO_CONVERGIO</t>
        </is>
      </c>
      <c r="K2063" s="16" t="b">
        <v>0</v>
      </c>
      <c r="L2063" s="16" t="b">
        <v>0</v>
      </c>
      <c r="M2063" s="16" t="b">
        <v>0</v>
      </c>
      <c r="N2063" s="16" t="b">
        <v>0</v>
      </c>
      <c r="O2063" s="16" t="n">
        <v>607.0267391474401</v>
      </c>
      <c r="P2063" s="16" t="n">
        <v>300.032917</v>
      </c>
      <c r="Q2063" s="16" t="n">
        <v>3000</v>
      </c>
      <c r="R2063" s="16" t="n">
        <v>400</v>
      </c>
      <c r="S2063" s="16" t="n">
        <v>0.7691799747928377</v>
      </c>
      <c r="T2063" s="16" t="n">
        <v>0.6131488429424535</v>
      </c>
      <c r="U2063" s="16" t="n">
        <v>0.4036024370207849</v>
      </c>
      <c r="V2063" s="16" t="n">
        <v>0.7439211793282419</v>
      </c>
      <c r="W2063" s="16" t="n">
        <v>0.9368023357544388</v>
      </c>
      <c r="X2063" s="16" t="n">
        <v>0.5441490594576188</v>
      </c>
      <c r="Y2063" s="16" t="n">
        <v>300.032917</v>
      </c>
      <c r="Z2063" s="16" t="n"/>
      <c r="AA2063" s="16" t="n"/>
      <c r="AB2063" s="16" t="n">
        <v>2600</v>
      </c>
      <c r="AC2063" s="16" t="n">
        <v>7.5</v>
      </c>
      <c r="AD2063" s="16" t="n"/>
      <c r="AE2063" s="16" t="n"/>
    </row>
    <row r="2064">
      <c r="A2064" s="16" t="inlineStr">
        <is>
          <t>KF-M05-3-0102</t>
        </is>
      </c>
      <c r="B2064" s="16" t="inlineStr">
        <is>
          <t>4.1</t>
        </is>
      </c>
      <c r="C2064" s="16" t="inlineStr">
        <is>
          <t>4.1c</t>
        </is>
      </c>
      <c r="D2064" s="16" t="inlineStr">
        <is>
          <t>conserva sus presiones y su clima</t>
        </is>
      </c>
      <c r="E2064" s="16" t="inlineStr">
        <is>
          <t>KF-M05</t>
        </is>
      </c>
      <c r="F2064" s="16" t="inlineStr">
        <is>
          <t>KF-M05-3</t>
        </is>
      </c>
      <c r="G2064" s="16" t="inlineStr">
        <is>
          <t>B09-3</t>
        </is>
      </c>
      <c r="H2064" s="16" t="inlineStr">
        <is>
          <t>lhs</t>
        </is>
      </c>
      <c r="I2064" s="16" t="inlineStr">
        <is>
          <t>CORREGIBLE</t>
        </is>
      </c>
      <c r="J2064" s="16" t="inlineStr">
        <is>
          <t>CORREGIBLE</t>
        </is>
      </c>
      <c r="K2064" s="16" t="b">
        <v>1</v>
      </c>
      <c r="L2064" s="16" t="b">
        <v>0</v>
      </c>
      <c r="M2064" s="16" t="b">
        <v>0</v>
      </c>
      <c r="N2064" s="16" t="b">
        <v>0</v>
      </c>
      <c r="O2064" s="16" t="n">
        <v>398.1850703270961</v>
      </c>
      <c r="P2064" s="16" t="n">
        <v>300.032917</v>
      </c>
      <c r="Q2064" s="16" t="n">
        <v>3000</v>
      </c>
      <c r="R2064" s="16" t="n">
        <v>400</v>
      </c>
      <c r="S2064" s="16" t="n">
        <v>0.5238861831522966</v>
      </c>
      <c r="T2064" s="16" t="n">
        <v>0.9190685331535901</v>
      </c>
      <c r="U2064" s="16" t="n">
        <v>0.7260518217827805</v>
      </c>
      <c r="V2064" s="16" t="n">
        <v>0.783179377158534</v>
      </c>
      <c r="W2064" s="16" t="n">
        <v>0.8025654044793009</v>
      </c>
      <c r="X2064" s="16" t="n">
        <v>0.8403759566584658</v>
      </c>
      <c r="Y2064" s="16" t="n">
        <v>300.032917</v>
      </c>
      <c r="Z2064" s="16" t="n">
        <v>11.12868489907746</v>
      </c>
      <c r="AA2064" s="16" t="n">
        <v>30.20536698459206</v>
      </c>
      <c r="AB2064" s="16" t="n">
        <v>2600</v>
      </c>
      <c r="AC2064" s="16" t="n">
        <v>7.5</v>
      </c>
      <c r="AD2064" s="16" t="inlineStr">
        <is>
          <t>O2</t>
        </is>
      </c>
      <c r="AE2064" s="16" t="n"/>
    </row>
    <row r="2065">
      <c r="A2065" s="16" t="inlineStr">
        <is>
          <t>KF-M05-3-0103</t>
        </is>
      </c>
      <c r="B2065" s="16" t="inlineStr">
        <is>
          <t>4.1</t>
        </is>
      </c>
      <c r="C2065" s="16" t="inlineStr">
        <is>
          <t>4.1c</t>
        </is>
      </c>
      <c r="D2065" s="16" t="inlineStr">
        <is>
          <t>conserva sus presiones y su clima</t>
        </is>
      </c>
      <c r="E2065" s="16" t="inlineStr">
        <is>
          <t>KF-M05</t>
        </is>
      </c>
      <c r="F2065" s="16" t="inlineStr">
        <is>
          <t>KF-M05-3</t>
        </is>
      </c>
      <c r="G2065" s="16" t="inlineStr">
        <is>
          <t>B09-3</t>
        </is>
      </c>
      <c r="H2065" s="16" t="inlineStr">
        <is>
          <t>lhs</t>
        </is>
      </c>
      <c r="I2065" s="16" t="inlineStr">
        <is>
          <t>CORREGIBLE</t>
        </is>
      </c>
      <c r="J2065" s="16" t="inlineStr">
        <is>
          <t>CORREGIBLE</t>
        </is>
      </c>
      <c r="K2065" s="16" t="b">
        <v>1</v>
      </c>
      <c r="L2065" s="16" t="b">
        <v>0</v>
      </c>
      <c r="M2065" s="16" t="b">
        <v>0</v>
      </c>
      <c r="N2065" s="16" t="b">
        <v>0</v>
      </c>
      <c r="O2065" s="16" t="n">
        <v>412.108925155677</v>
      </c>
      <c r="P2065" s="16" t="n">
        <v>300.032917</v>
      </c>
      <c r="Q2065" s="16" t="n">
        <v>3000</v>
      </c>
      <c r="R2065" s="16" t="n">
        <v>400</v>
      </c>
      <c r="S2065" s="16" t="n">
        <v>0.5633159091307038</v>
      </c>
      <c r="T2065" s="16" t="n">
        <v>0.8807382947863471</v>
      </c>
      <c r="U2065" s="16" t="n">
        <v>0.7850836216238811</v>
      </c>
      <c r="V2065" s="16" t="n">
        <v>0.6883125377442227</v>
      </c>
      <c r="W2065" s="16" t="n">
        <v>0.5746681955650894</v>
      </c>
      <c r="X2065" s="16" t="n">
        <v>0.7974075918004929</v>
      </c>
      <c r="Y2065" s="16" t="n">
        <v>300.032917</v>
      </c>
      <c r="Z2065" s="16" t="n">
        <v>10.43027657170336</v>
      </c>
      <c r="AA2065" s="16" t="n">
        <v>45.63428746257354</v>
      </c>
      <c r="AB2065" s="16" t="n">
        <v>2600</v>
      </c>
      <c r="AC2065" s="16" t="n">
        <v>7.5</v>
      </c>
      <c r="AD2065" s="16" t="inlineStr">
        <is>
          <t>O2</t>
        </is>
      </c>
      <c r="AE2065" s="16" t="n"/>
    </row>
    <row r="2066">
      <c r="A2066" s="16" t="inlineStr">
        <is>
          <t>KF-M05-3-0104</t>
        </is>
      </c>
      <c r="B2066" s="16" t="inlineStr">
        <is>
          <t>4.1</t>
        </is>
      </c>
      <c r="C2066" s="16" t="inlineStr">
        <is>
          <t>4.1c</t>
        </is>
      </c>
      <c r="D2066" s="16" t="inlineStr">
        <is>
          <t>conserva sus presiones y su clima</t>
        </is>
      </c>
      <c r="E2066" s="16" t="inlineStr">
        <is>
          <t>KF-M05</t>
        </is>
      </c>
      <c r="F2066" s="16" t="inlineStr">
        <is>
          <t>KF-M05-3</t>
        </is>
      </c>
      <c r="G2066" s="16" t="inlineStr">
        <is>
          <t>B09-3</t>
        </is>
      </c>
      <c r="H2066" s="16" t="inlineStr">
        <is>
          <t>lhs</t>
        </is>
      </c>
      <c r="I2066" s="16" t="inlineStr">
        <is>
          <t>CORREGIBLE</t>
        </is>
      </c>
      <c r="J2066" s="16" t="inlineStr">
        <is>
          <t>CORREGIBLE</t>
        </is>
      </c>
      <c r="K2066" s="16" t="b">
        <v>1</v>
      </c>
      <c r="L2066" s="16" t="b">
        <v>0</v>
      </c>
      <c r="M2066" s="16" t="b">
        <v>1</v>
      </c>
      <c r="N2066" s="16" t="b">
        <v>0</v>
      </c>
      <c r="O2066" s="16" t="n">
        <v>574.7326451137696</v>
      </c>
      <c r="P2066" s="16" t="n">
        <v>300.032917</v>
      </c>
      <c r="Q2066" s="16" t="n">
        <v>3000</v>
      </c>
      <c r="R2066" s="16" t="n">
        <v>400</v>
      </c>
      <c r="S2066" s="16" t="n">
        <v>0.5208047054218315</v>
      </c>
      <c r="T2066" s="16" t="n">
        <v>0.7532286083481653</v>
      </c>
      <c r="U2066" s="16" t="n">
        <v>0.569248508220914</v>
      </c>
      <c r="V2066" s="16" t="n">
        <v>0.441235520603863</v>
      </c>
      <c r="W2066" s="16" t="n">
        <v>0.6500387460067951</v>
      </c>
      <c r="X2066" s="16" t="n">
        <v>0.7236998406024135</v>
      </c>
      <c r="Y2066" s="16" t="n">
        <v>300.032917</v>
      </c>
      <c r="Z2066" s="16" t="n">
        <v>8.881724622013449</v>
      </c>
      <c r="AA2066" s="16" t="n">
        <v>82.98014281203749</v>
      </c>
      <c r="AB2066" s="16" t="n">
        <v>2600</v>
      </c>
      <c r="AC2066" s="16" t="n">
        <v>7.5</v>
      </c>
      <c r="AD2066" s="16" t="inlineStr">
        <is>
          <t>O2</t>
        </is>
      </c>
      <c r="AE2066" s="16" t="n"/>
    </row>
    <row r="2067">
      <c r="A2067" s="16" t="inlineStr">
        <is>
          <t>KF-M05-3-0105</t>
        </is>
      </c>
      <c r="B2067" s="16" t="inlineStr">
        <is>
          <t>4.1</t>
        </is>
      </c>
      <c r="C2067" s="16" t="inlineStr">
        <is>
          <t>4.1c</t>
        </is>
      </c>
      <c r="D2067" s="16" t="inlineStr">
        <is>
          <t>conserva sus presiones y su clima</t>
        </is>
      </c>
      <c r="E2067" s="16" t="inlineStr">
        <is>
          <t>KF-M05</t>
        </is>
      </c>
      <c r="F2067" s="16" t="inlineStr">
        <is>
          <t>KF-M05-3</t>
        </is>
      </c>
      <c r="G2067" s="16" t="inlineStr">
        <is>
          <t>B09-3</t>
        </is>
      </c>
      <c r="H2067" s="16" t="inlineStr">
        <is>
          <t>lhs</t>
        </is>
      </c>
      <c r="I2067" s="16" t="inlineStr">
        <is>
          <t>NO_CONVERGIO</t>
        </is>
      </c>
      <c r="J2067" s="16" t="inlineStr">
        <is>
          <t>NO_CONVERGIO</t>
        </is>
      </c>
      <c r="K2067" s="16" t="b">
        <v>0</v>
      </c>
      <c r="L2067" s="16" t="b">
        <v>0</v>
      </c>
      <c r="M2067" s="16" t="b">
        <v>0</v>
      </c>
      <c r="N2067" s="16" t="b">
        <v>0</v>
      </c>
      <c r="O2067" s="16" t="n">
        <v>538.6410604580078</v>
      </c>
      <c r="P2067" s="16" t="n">
        <v>300.032917</v>
      </c>
      <c r="Q2067" s="16" t="n">
        <v>3000</v>
      </c>
      <c r="R2067" s="16" t="n">
        <v>400</v>
      </c>
      <c r="S2067" s="16" t="n">
        <v>0.7603520714636853</v>
      </c>
      <c r="T2067" s="16" t="n">
        <v>0.6827852127917149</v>
      </c>
      <c r="U2067" s="16" t="n">
        <v>0.4507644711846562</v>
      </c>
      <c r="V2067" s="16" t="n">
        <v>0.94429037452828</v>
      </c>
      <c r="W2067" s="16" t="n">
        <v>0.6873957162075285</v>
      </c>
      <c r="X2067" s="16" t="n">
        <v>0.4072720592518252</v>
      </c>
      <c r="Y2067" s="16" t="n">
        <v>300.032917</v>
      </c>
      <c r="Z2067" s="16" t="n"/>
      <c r="AA2067" s="16" t="n"/>
      <c r="AB2067" s="16" t="n">
        <v>2600</v>
      </c>
      <c r="AC2067" s="16" t="n">
        <v>7.5</v>
      </c>
      <c r="AD2067" s="16" t="n"/>
      <c r="AE2067" s="16" t="n"/>
    </row>
    <row r="2068">
      <c r="A2068" s="16" t="inlineStr">
        <is>
          <t>KF-M05-3-0106</t>
        </is>
      </c>
      <c r="B2068" s="16" t="inlineStr">
        <is>
          <t>4.1</t>
        </is>
      </c>
      <c r="C2068" s="16" t="inlineStr">
        <is>
          <t>4.1c</t>
        </is>
      </c>
      <c r="D2068" s="16" t="inlineStr">
        <is>
          <t>conserva sus presiones y su clima</t>
        </is>
      </c>
      <c r="E2068" s="16" t="inlineStr">
        <is>
          <t>KF-M05</t>
        </is>
      </c>
      <c r="F2068" s="16" t="inlineStr">
        <is>
          <t>KF-M05-3</t>
        </is>
      </c>
      <c r="G2068" s="16" t="inlineStr">
        <is>
          <t>B09-3</t>
        </is>
      </c>
      <c r="H2068" s="16" t="inlineStr">
        <is>
          <t>lhs</t>
        </is>
      </c>
      <c r="I2068" s="16" t="inlineStr">
        <is>
          <t>INVIABLE</t>
        </is>
      </c>
      <c r="J2068" s="16" t="inlineStr">
        <is>
          <t>INVIABLE</t>
        </is>
      </c>
      <c r="K2068" s="16" t="b">
        <v>1</v>
      </c>
      <c r="L2068" s="16" t="b">
        <v>0</v>
      </c>
      <c r="M2068" s="16" t="b">
        <v>0</v>
      </c>
      <c r="N2068" s="16" t="b">
        <v>0</v>
      </c>
      <c r="O2068" s="16" t="n">
        <v>393.391808158521</v>
      </c>
      <c r="P2068" s="16" t="n">
        <v>300.032917</v>
      </c>
      <c r="Q2068" s="16" t="n">
        <v>3000</v>
      </c>
      <c r="R2068" s="16" t="n">
        <v>400</v>
      </c>
      <c r="S2068" s="16" t="n">
        <v>0.6938644255669242</v>
      </c>
      <c r="T2068" s="16" t="n">
        <v>0.5120895591942336</v>
      </c>
      <c r="U2068" s="16" t="n">
        <v>0.8962192850675224</v>
      </c>
      <c r="V2068" s="16" t="n">
        <v>0.7754842982323739</v>
      </c>
      <c r="W2068" s="16" t="n">
        <v>0.4820602046441834</v>
      </c>
      <c r="X2068" s="16" t="n">
        <v>0.8732936983354466</v>
      </c>
      <c r="Y2068" s="16" t="n">
        <v>300.032917</v>
      </c>
      <c r="Z2068" s="16" t="n">
        <v>-18.42406203426757</v>
      </c>
      <c r="AA2068" s="16" t="n">
        <v>-46.18336020599216</v>
      </c>
      <c r="AB2068" s="16" t="n">
        <v>2600</v>
      </c>
      <c r="AC2068" s="16" t="n">
        <v>7.5</v>
      </c>
      <c r="AD2068" s="16" t="inlineStr">
        <is>
          <t>O2,O3</t>
        </is>
      </c>
      <c r="AE2068" s="16" t="n"/>
    </row>
    <row r="2069">
      <c r="A2069" s="16" t="inlineStr">
        <is>
          <t>KF-M05-3-0107</t>
        </is>
      </c>
      <c r="B2069" s="16" t="inlineStr">
        <is>
          <t>4.1</t>
        </is>
      </c>
      <c r="C2069" s="16" t="inlineStr">
        <is>
          <t>4.1c</t>
        </is>
      </c>
      <c r="D2069" s="16" t="inlineStr">
        <is>
          <t>conserva sus presiones y su clima</t>
        </is>
      </c>
      <c r="E2069" s="16" t="inlineStr">
        <is>
          <t>KF-M05</t>
        </is>
      </c>
      <c r="F2069" s="16" t="inlineStr">
        <is>
          <t>KF-M05-3</t>
        </is>
      </c>
      <c r="G2069" s="16" t="inlineStr">
        <is>
          <t>B09-3</t>
        </is>
      </c>
      <c r="H2069" s="16" t="inlineStr">
        <is>
          <t>lhs</t>
        </is>
      </c>
      <c r="I2069" s="16" t="inlineStr">
        <is>
          <t>N2</t>
        </is>
      </c>
      <c r="J2069" s="16" t="inlineStr">
        <is>
          <t>NO_CONVERGIO</t>
        </is>
      </c>
      <c r="K2069" s="16" t="b">
        <v>0</v>
      </c>
      <c r="L2069" s="16" t="b">
        <v>0</v>
      </c>
      <c r="M2069" s="16" t="b">
        <v>1</v>
      </c>
      <c r="N2069" s="16" t="b">
        <v>0</v>
      </c>
      <c r="O2069" s="16" t="n">
        <v>526.0791871154097</v>
      </c>
      <c r="P2069" s="16" t="n">
        <v>300.032917</v>
      </c>
      <c r="Q2069" s="16" t="n">
        <v>3000</v>
      </c>
      <c r="R2069" s="16" t="n">
        <v>400</v>
      </c>
      <c r="S2069" s="16" t="n">
        <v>0.6445612049334356</v>
      </c>
      <c r="T2069" s="16" t="n">
        <v>0.6293477348761222</v>
      </c>
      <c r="U2069" s="16" t="n">
        <v>0.8381542035799397</v>
      </c>
      <c r="V2069" s="16" t="n">
        <v>0.888306515014144</v>
      </c>
      <c r="W2069" s="16" t="n">
        <v>0.7513507727115326</v>
      </c>
      <c r="X2069" s="16" t="n">
        <v>0.8938399963579369</v>
      </c>
      <c r="Y2069" s="16" t="n">
        <v>300.032917</v>
      </c>
      <c r="Z2069" s="16" t="n">
        <v>7.7583206475683</v>
      </c>
      <c r="AA2069" s="16" t="n">
        <v>117.9054429021166</v>
      </c>
      <c r="AB2069" s="16" t="n">
        <v>2600</v>
      </c>
      <c r="AC2069" s="16" t="n">
        <v>7.5</v>
      </c>
      <c r="AD2069" s="16" t="inlineStr">
        <is>
          <t>N2,O2,O5,C1,C3,C3</t>
        </is>
      </c>
      <c r="AE2069" s="16" t="n"/>
    </row>
    <row r="2070">
      <c r="A2070" s="16" t="inlineStr">
        <is>
          <t>KF-M05-3-0108</t>
        </is>
      </c>
      <c r="B2070" s="16" t="inlineStr">
        <is>
          <t>4.1</t>
        </is>
      </c>
      <c r="C2070" s="16" t="inlineStr">
        <is>
          <t>4.1c</t>
        </is>
      </c>
      <c r="D2070" s="16" t="inlineStr">
        <is>
          <t>conserva sus presiones y su clima</t>
        </is>
      </c>
      <c r="E2070" s="16" t="inlineStr">
        <is>
          <t>KF-M05</t>
        </is>
      </c>
      <c r="F2070" s="16" t="inlineStr">
        <is>
          <t>KF-M05-3</t>
        </is>
      </c>
      <c r="G2070" s="16" t="inlineStr">
        <is>
          <t>B09-3</t>
        </is>
      </c>
      <c r="H2070" s="16" t="inlineStr">
        <is>
          <t>lhs</t>
        </is>
      </c>
      <c r="I2070" s="16" t="inlineStr">
        <is>
          <t>INVIABLE</t>
        </is>
      </c>
      <c r="J2070" s="16" t="inlineStr">
        <is>
          <t>INVIABLE</t>
        </is>
      </c>
      <c r="K2070" s="16" t="b">
        <v>1</v>
      </c>
      <c r="L2070" s="16" t="b">
        <v>0</v>
      </c>
      <c r="M2070" s="16" t="b">
        <v>1</v>
      </c>
      <c r="N2070" s="16" t="b">
        <v>0</v>
      </c>
      <c r="O2070" s="16" t="n">
        <v>479.6386267756259</v>
      </c>
      <c r="P2070" s="16" t="n">
        <v>300.032917</v>
      </c>
      <c r="Q2070" s="16" t="n">
        <v>3000</v>
      </c>
      <c r="R2070" s="16" t="n">
        <v>400</v>
      </c>
      <c r="S2070" s="16" t="n">
        <v>0.6184322178385444</v>
      </c>
      <c r="T2070" s="16" t="n">
        <v>0.7078342554908323</v>
      </c>
      <c r="U2070" s="16" t="n">
        <v>0.6329283483430231</v>
      </c>
      <c r="V2070" s="16" t="n">
        <v>0.6740457298597666</v>
      </c>
      <c r="W2070" s="16" t="n">
        <v>0.8334052463119792</v>
      </c>
      <c r="X2070" s="16" t="n">
        <v>0.427678385224088</v>
      </c>
      <c r="Y2070" s="16" t="n">
        <v>300.032917</v>
      </c>
      <c r="Z2070" s="16" t="n">
        <v>-19.88770188603364</v>
      </c>
      <c r="AA2070" s="16" t="n">
        <v>-104.7736083829567</v>
      </c>
      <c r="AB2070" s="16" t="n">
        <v>2600</v>
      </c>
      <c r="AC2070" s="16" t="n">
        <v>7.5</v>
      </c>
      <c r="AD2070" s="16" t="inlineStr">
        <is>
          <t>O2,O3</t>
        </is>
      </c>
      <c r="AE2070" s="16" t="n"/>
    </row>
    <row r="2071">
      <c r="A2071" s="16" t="inlineStr">
        <is>
          <t>KF-M05-3-0109</t>
        </is>
      </c>
      <c r="B2071" s="16" t="inlineStr">
        <is>
          <t>4.1</t>
        </is>
      </c>
      <c r="C2071" s="16" t="inlineStr">
        <is>
          <t>4.1c</t>
        </is>
      </c>
      <c r="D2071" s="16" t="inlineStr">
        <is>
          <t>conserva sus presiones y su clima</t>
        </is>
      </c>
      <c r="E2071" s="16" t="inlineStr">
        <is>
          <t>KF-M05</t>
        </is>
      </c>
      <c r="F2071" s="16" t="inlineStr">
        <is>
          <t>KF-M05-3</t>
        </is>
      </c>
      <c r="G2071" s="16" t="inlineStr">
        <is>
          <t>B09-3</t>
        </is>
      </c>
      <c r="H2071" s="16" t="inlineStr">
        <is>
          <t>lhs</t>
        </is>
      </c>
      <c r="I2071" s="16" t="inlineStr">
        <is>
          <t>INVIABLE</t>
        </is>
      </c>
      <c r="J2071" s="16" t="inlineStr">
        <is>
          <t>INVIABLE</t>
        </is>
      </c>
      <c r="K2071" s="16" t="b">
        <v>1</v>
      </c>
      <c r="L2071" s="16" t="b">
        <v>0</v>
      </c>
      <c r="M2071" s="16" t="b">
        <v>1</v>
      </c>
      <c r="N2071" s="16" t="b">
        <v>0</v>
      </c>
      <c r="O2071" s="16" t="n">
        <v>481.8336133259558</v>
      </c>
      <c r="P2071" s="16" t="n">
        <v>300.032917</v>
      </c>
      <c r="Q2071" s="16" t="n">
        <v>3000</v>
      </c>
      <c r="R2071" s="16" t="n">
        <v>400</v>
      </c>
      <c r="S2071" s="16" t="n">
        <v>0.5002346812426254</v>
      </c>
      <c r="T2071" s="16" t="n">
        <v>0.4505074774487236</v>
      </c>
      <c r="U2071" s="16" t="n">
        <v>0.599709376052627</v>
      </c>
      <c r="V2071" s="16" t="n">
        <v>0.7373039447347439</v>
      </c>
      <c r="W2071" s="16" t="n">
        <v>0.8868430898819351</v>
      </c>
      <c r="X2071" s="16" t="n">
        <v>0.5762538785040965</v>
      </c>
      <c r="Y2071" s="16" t="n">
        <v>300.032917</v>
      </c>
      <c r="Z2071" s="16" t="n">
        <v>-6.186700341673769</v>
      </c>
      <c r="AA2071" s="16" t="n">
        <v>-61.82081233280786</v>
      </c>
      <c r="AB2071" s="16" t="n">
        <v>2600</v>
      </c>
      <c r="AC2071" s="16" t="n">
        <v>7.5</v>
      </c>
      <c r="AD2071" s="16" t="inlineStr">
        <is>
          <t>O2,O3</t>
        </is>
      </c>
      <c r="AE2071" s="16" t="n"/>
    </row>
    <row r="2072">
      <c r="A2072" s="16" t="inlineStr">
        <is>
          <t>KF-M05-3-0110</t>
        </is>
      </c>
      <c r="B2072" s="16" t="inlineStr">
        <is>
          <t>4.1</t>
        </is>
      </c>
      <c r="C2072" s="16" t="inlineStr">
        <is>
          <t>4.1c</t>
        </is>
      </c>
      <c r="D2072" s="16" t="inlineStr">
        <is>
          <t>conserva sus presiones y su clima</t>
        </is>
      </c>
      <c r="E2072" s="16" t="inlineStr">
        <is>
          <t>KF-M05</t>
        </is>
      </c>
      <c r="F2072" s="16" t="inlineStr">
        <is>
          <t>KF-M05-3</t>
        </is>
      </c>
      <c r="G2072" s="16" t="inlineStr">
        <is>
          <t>B09-3</t>
        </is>
      </c>
      <c r="H2072" s="16" t="inlineStr">
        <is>
          <t>lhs</t>
        </is>
      </c>
      <c r="I2072" s="16" t="inlineStr">
        <is>
          <t>CORREGIBLE</t>
        </is>
      </c>
      <c r="J2072" s="16" t="inlineStr">
        <is>
          <t>CORREGIBLE</t>
        </is>
      </c>
      <c r="K2072" s="16" t="b">
        <v>1</v>
      </c>
      <c r="L2072" s="16" t="b">
        <v>0</v>
      </c>
      <c r="M2072" s="16" t="b">
        <v>0</v>
      </c>
      <c r="N2072" s="16" t="b">
        <v>0</v>
      </c>
      <c r="O2072" s="16" t="n">
        <v>427.8966608009917</v>
      </c>
      <c r="P2072" s="16" t="n">
        <v>300.032917</v>
      </c>
      <c r="Q2072" s="16" t="n">
        <v>3000</v>
      </c>
      <c r="R2072" s="16" t="n">
        <v>400</v>
      </c>
      <c r="S2072" s="16" t="n">
        <v>0.8246437707548926</v>
      </c>
      <c r="T2072" s="16" t="n">
        <v>0.9367133651588544</v>
      </c>
      <c r="U2072" s="16" t="n">
        <v>0.840002132955602</v>
      </c>
      <c r="V2072" s="16" t="n">
        <v>0.5016010371702181</v>
      </c>
      <c r="W2072" s="16" t="n">
        <v>0.7974644794851975</v>
      </c>
      <c r="X2072" s="16" t="n">
        <v>0.935938930629493</v>
      </c>
      <c r="Y2072" s="16" t="n">
        <v>300.032917</v>
      </c>
      <c r="Z2072" s="16" t="n">
        <v>3.02195593447022</v>
      </c>
      <c r="AA2072" s="16" t="n">
        <v>9.240616918531686</v>
      </c>
      <c r="AB2072" s="16" t="n">
        <v>2600</v>
      </c>
      <c r="AC2072" s="16" t="n">
        <v>7.5</v>
      </c>
      <c r="AD2072" s="16" t="inlineStr">
        <is>
          <t>O2</t>
        </is>
      </c>
      <c r="AE2072" s="16" t="n"/>
    </row>
    <row r="2073">
      <c r="A2073" s="16" t="inlineStr">
        <is>
          <t>KF-M05-3-0111</t>
        </is>
      </c>
      <c r="B2073" s="16" t="inlineStr">
        <is>
          <t>4.1</t>
        </is>
      </c>
      <c r="C2073" s="16" t="inlineStr">
        <is>
          <t>4.1c</t>
        </is>
      </c>
      <c r="D2073" s="16" t="inlineStr">
        <is>
          <t>conserva sus presiones y su clima</t>
        </is>
      </c>
      <c r="E2073" s="16" t="inlineStr">
        <is>
          <t>KF-M05</t>
        </is>
      </c>
      <c r="F2073" s="16" t="inlineStr">
        <is>
          <t>KF-M05-3</t>
        </is>
      </c>
      <c r="G2073" s="16" t="inlineStr">
        <is>
          <t>B09-3</t>
        </is>
      </c>
      <c r="H2073" s="16" t="inlineStr">
        <is>
          <t>lhs</t>
        </is>
      </c>
      <c r="I2073" s="16" t="inlineStr">
        <is>
          <t>CORREGIBLE</t>
        </is>
      </c>
      <c r="J2073" s="16" t="inlineStr">
        <is>
          <t>CORREGIBLE</t>
        </is>
      </c>
      <c r="K2073" s="16" t="b">
        <v>1</v>
      </c>
      <c r="L2073" s="16" t="b">
        <v>0</v>
      </c>
      <c r="M2073" s="16" t="b">
        <v>1</v>
      </c>
      <c r="N2073" s="16" t="b">
        <v>0</v>
      </c>
      <c r="O2073" s="16" t="n">
        <v>528.1253283501076</v>
      </c>
      <c r="P2073" s="16" t="n">
        <v>300.032917</v>
      </c>
      <c r="Q2073" s="16" t="n">
        <v>3000</v>
      </c>
      <c r="R2073" s="16" t="n">
        <v>400</v>
      </c>
      <c r="S2073" s="16" t="n">
        <v>0.5331534119735771</v>
      </c>
      <c r="T2073" s="16" t="n">
        <v>0.7167317787286633</v>
      </c>
      <c r="U2073" s="16" t="n">
        <v>0.7531683313196632</v>
      </c>
      <c r="V2073" s="16" t="n">
        <v>0.5523285129749921</v>
      </c>
      <c r="W2073" s="16" t="n">
        <v>0.4412779929667575</v>
      </c>
      <c r="X2073" s="16" t="n">
        <v>0.9251772523621818</v>
      </c>
      <c r="Y2073" s="16" t="n">
        <v>300.032917</v>
      </c>
      <c r="Z2073" s="16" t="n">
        <v>10.71146108705386</v>
      </c>
      <c r="AA2073" s="16" t="n">
        <v>132.9292781643931</v>
      </c>
      <c r="AB2073" s="16" t="n">
        <v>2600</v>
      </c>
      <c r="AC2073" s="16" t="n">
        <v>7.5</v>
      </c>
      <c r="AD2073" s="16" t="inlineStr">
        <is>
          <t>O2</t>
        </is>
      </c>
      <c r="AE2073" s="16" t="n"/>
    </row>
    <row r="2074">
      <c r="A2074" s="16" t="inlineStr">
        <is>
          <t>KF-M05-3-0112</t>
        </is>
      </c>
      <c r="B2074" s="16" t="inlineStr">
        <is>
          <t>4.1</t>
        </is>
      </c>
      <c r="C2074" s="16" t="inlineStr">
        <is>
          <t>4.1c</t>
        </is>
      </c>
      <c r="D2074" s="16" t="inlineStr">
        <is>
          <t>conserva sus presiones y su clima</t>
        </is>
      </c>
      <c r="E2074" s="16" t="inlineStr">
        <is>
          <t>KF-M05</t>
        </is>
      </c>
      <c r="F2074" s="16" t="inlineStr">
        <is>
          <t>KF-M05-3</t>
        </is>
      </c>
      <c r="G2074" s="16" t="inlineStr">
        <is>
          <t>B09-3</t>
        </is>
      </c>
      <c r="H2074" s="16" t="inlineStr">
        <is>
          <t>lhs</t>
        </is>
      </c>
      <c r="I2074" s="16" t="inlineStr">
        <is>
          <t>NO_CONVERGIO</t>
        </is>
      </c>
      <c r="J2074" s="16" t="inlineStr">
        <is>
          <t>NO_CONVERGIO</t>
        </is>
      </c>
      <c r="K2074" s="16" t="b">
        <v>0</v>
      </c>
      <c r="L2074" s="16" t="b">
        <v>0</v>
      </c>
      <c r="M2074" s="16" t="b">
        <v>0</v>
      </c>
      <c r="N2074" s="16" t="b">
        <v>0</v>
      </c>
      <c r="O2074" s="16" t="n">
        <v>549.5591948967428</v>
      </c>
      <c r="P2074" s="16" t="n">
        <v>300.032917</v>
      </c>
      <c r="Q2074" s="16" t="n">
        <v>3000</v>
      </c>
      <c r="R2074" s="16" t="n">
        <v>400</v>
      </c>
      <c r="S2074" s="16" t="n">
        <v>0.6767949848886354</v>
      </c>
      <c r="T2074" s="16" t="n">
        <v>0.5555382181926882</v>
      </c>
      <c r="U2074" s="16" t="n">
        <v>0.4790885359643591</v>
      </c>
      <c r="V2074" s="16" t="n">
        <v>0.7932443807789986</v>
      </c>
      <c r="W2074" s="16" t="n">
        <v>0.4690612196017169</v>
      </c>
      <c r="X2074" s="16" t="n">
        <v>0.489934685135728</v>
      </c>
      <c r="Y2074" s="16" t="n">
        <v>300.032917</v>
      </c>
      <c r="Z2074" s="16" t="n"/>
      <c r="AA2074" s="16" t="n"/>
      <c r="AB2074" s="16" t="n">
        <v>2600</v>
      </c>
      <c r="AC2074" s="16" t="n">
        <v>7.5</v>
      </c>
      <c r="AD2074" s="16" t="n"/>
      <c r="AE2074" s="16" t="n"/>
    </row>
    <row r="2075">
      <c r="A2075" s="16" t="inlineStr">
        <is>
          <t>KF-M05-3-0113</t>
        </is>
      </c>
      <c r="B2075" s="16" t="inlineStr">
        <is>
          <t>4.1</t>
        </is>
      </c>
      <c r="C2075" s="16" t="inlineStr">
        <is>
          <t>4.1c</t>
        </is>
      </c>
      <c r="D2075" s="16" t="inlineStr">
        <is>
          <t>conserva sus presiones y su clima</t>
        </is>
      </c>
      <c r="E2075" s="16" t="inlineStr">
        <is>
          <t>KF-M05</t>
        </is>
      </c>
      <c r="F2075" s="16" t="inlineStr">
        <is>
          <t>KF-M05-3</t>
        </is>
      </c>
      <c r="G2075" s="16" t="inlineStr">
        <is>
          <t>B09-3</t>
        </is>
      </c>
      <c r="H2075" s="16" t="inlineStr">
        <is>
          <t>lhs</t>
        </is>
      </c>
      <c r="I2075" s="16" t="inlineStr">
        <is>
          <t>CORREGIBLE</t>
        </is>
      </c>
      <c r="J2075" s="16" t="inlineStr">
        <is>
          <t>CORREGIBLE</t>
        </is>
      </c>
      <c r="K2075" s="16" t="b">
        <v>1</v>
      </c>
      <c r="L2075" s="16" t="b">
        <v>0</v>
      </c>
      <c r="M2075" s="16" t="b">
        <v>1</v>
      </c>
      <c r="N2075" s="16" t="b">
        <v>0</v>
      </c>
      <c r="O2075" s="16" t="n">
        <v>501.5838575720338</v>
      </c>
      <c r="P2075" s="16" t="n">
        <v>300.032917</v>
      </c>
      <c r="Q2075" s="16" t="n">
        <v>3000</v>
      </c>
      <c r="R2075" s="16" t="n">
        <v>400</v>
      </c>
      <c r="S2075" s="16" t="n">
        <v>0.733799491050845</v>
      </c>
      <c r="T2075" s="16" t="n">
        <v>0.928756247597206</v>
      </c>
      <c r="U2075" s="16" t="n">
        <v>0.8884116001800599</v>
      </c>
      <c r="V2075" s="16" t="n">
        <v>0.4120208430150799</v>
      </c>
      <c r="W2075" s="16" t="n">
        <v>0.8138040273324144</v>
      </c>
      <c r="X2075" s="16" t="n">
        <v>0.5270141239415749</v>
      </c>
      <c r="Y2075" s="16" t="n">
        <v>300.032917</v>
      </c>
      <c r="Z2075" s="16" t="n">
        <v>6.87167066917617</v>
      </c>
      <c r="AA2075" s="16" t="n">
        <v>27.39479899546296</v>
      </c>
      <c r="AB2075" s="16" t="n">
        <v>2600</v>
      </c>
      <c r="AC2075" s="16" t="n">
        <v>7.5</v>
      </c>
      <c r="AD2075" s="16" t="inlineStr">
        <is>
          <t>O2</t>
        </is>
      </c>
      <c r="AE2075" s="16" t="n"/>
    </row>
    <row r="2076">
      <c r="A2076" s="16" t="inlineStr">
        <is>
          <t>KF-M05-3-0114</t>
        </is>
      </c>
      <c r="B2076" s="16" t="inlineStr">
        <is>
          <t>4.1</t>
        </is>
      </c>
      <c r="C2076" s="16" t="inlineStr">
        <is>
          <t>4.1c</t>
        </is>
      </c>
      <c r="D2076" s="16" t="inlineStr">
        <is>
          <t>conserva sus presiones y su clima</t>
        </is>
      </c>
      <c r="E2076" s="16" t="inlineStr">
        <is>
          <t>KF-M05</t>
        </is>
      </c>
      <c r="F2076" s="16" t="inlineStr">
        <is>
          <t>KF-M05-3</t>
        </is>
      </c>
      <c r="G2076" s="16" t="inlineStr">
        <is>
          <t>B09-3</t>
        </is>
      </c>
      <c r="H2076" s="16" t="inlineStr">
        <is>
          <t>lhs</t>
        </is>
      </c>
      <c r="I2076" s="16" t="inlineStr">
        <is>
          <t>NO_CONVERGIO</t>
        </is>
      </c>
      <c r="J2076" s="16" t="inlineStr">
        <is>
          <t>NO_CONVERGIO</t>
        </is>
      </c>
      <c r="K2076" s="16" t="b">
        <v>0</v>
      </c>
      <c r="L2076" s="16" t="b">
        <v>0</v>
      </c>
      <c r="M2076" s="16" t="b">
        <v>0</v>
      </c>
      <c r="N2076" s="16" t="b">
        <v>0</v>
      </c>
      <c r="O2076" s="16" t="n">
        <v>594.8844137508315</v>
      </c>
      <c r="P2076" s="16" t="n">
        <v>300.032917</v>
      </c>
      <c r="Q2076" s="16" t="n">
        <v>3000</v>
      </c>
      <c r="R2076" s="16" t="n">
        <v>400</v>
      </c>
      <c r="S2076" s="16" t="n">
        <v>0.5750145884290436</v>
      </c>
      <c r="T2076" s="16" t="n">
        <v>0.8007776816412739</v>
      </c>
      <c r="U2076" s="16" t="n">
        <v>0.5795917948073963</v>
      </c>
      <c r="V2076" s="16" t="n">
        <v>0.8545070254865198</v>
      </c>
      <c r="W2076" s="16" t="n">
        <v>0.8839348255497395</v>
      </c>
      <c r="X2076" s="16" t="n">
        <v>0.4377924319375321</v>
      </c>
      <c r="Y2076" s="16" t="n">
        <v>300.032917</v>
      </c>
      <c r="Z2076" s="16" t="n"/>
      <c r="AA2076" s="16" t="n"/>
      <c r="AB2076" s="16" t="n">
        <v>2600</v>
      </c>
      <c r="AC2076" s="16" t="n">
        <v>7.5</v>
      </c>
      <c r="AD2076" s="16" t="n"/>
      <c r="AE2076" s="16" t="n"/>
    </row>
    <row r="2077">
      <c r="A2077" s="16" t="inlineStr">
        <is>
          <t>KF-M05-3-0115</t>
        </is>
      </c>
      <c r="B2077" s="16" t="inlineStr">
        <is>
          <t>4.1</t>
        </is>
      </c>
      <c r="C2077" s="16" t="inlineStr">
        <is>
          <t>4.1c</t>
        </is>
      </c>
      <c r="D2077" s="16" t="inlineStr">
        <is>
          <t>conserva sus presiones y su clima</t>
        </is>
      </c>
      <c r="E2077" s="16" t="inlineStr">
        <is>
          <t>KF-M05</t>
        </is>
      </c>
      <c r="F2077" s="16" t="inlineStr">
        <is>
          <t>KF-M05-3</t>
        </is>
      </c>
      <c r="G2077" s="16" t="inlineStr">
        <is>
          <t>B09-3</t>
        </is>
      </c>
      <c r="H2077" s="16" t="inlineStr">
        <is>
          <t>lhs</t>
        </is>
      </c>
      <c r="I2077" s="16" t="inlineStr">
        <is>
          <t>INVIABLE</t>
        </is>
      </c>
      <c r="J2077" s="16" t="inlineStr">
        <is>
          <t>INVIABLE</t>
        </is>
      </c>
      <c r="K2077" s="16" t="b">
        <v>1</v>
      </c>
      <c r="L2077" s="16" t="b">
        <v>0</v>
      </c>
      <c r="M2077" s="16" t="b">
        <v>1</v>
      </c>
      <c r="N2077" s="16" t="b">
        <v>0</v>
      </c>
      <c r="O2077" s="16" t="n">
        <v>477.4454846923756</v>
      </c>
      <c r="P2077" s="16" t="n">
        <v>300.032917</v>
      </c>
      <c r="Q2077" s="16" t="n">
        <v>3000</v>
      </c>
      <c r="R2077" s="16" t="n">
        <v>400</v>
      </c>
      <c r="S2077" s="16" t="n">
        <v>0.5122525888040736</v>
      </c>
      <c r="T2077" s="16" t="n">
        <v>0.4847254722143514</v>
      </c>
      <c r="U2077" s="16" t="n">
        <v>0.7954562644918877</v>
      </c>
      <c r="V2077" s="16" t="n">
        <v>0.4965344964062146</v>
      </c>
      <c r="W2077" s="16" t="n">
        <v>0.6416082712307486</v>
      </c>
      <c r="X2077" s="16" t="n">
        <v>0.4691565883523769</v>
      </c>
      <c r="Y2077" s="16" t="n">
        <v>300.032917</v>
      </c>
      <c r="Z2077" s="16" t="n">
        <v>-6.44974542468793</v>
      </c>
      <c r="AA2077" s="16" t="n">
        <v>-42.94776054944963</v>
      </c>
      <c r="AB2077" s="16" t="n">
        <v>2600</v>
      </c>
      <c r="AC2077" s="16" t="n">
        <v>7.5</v>
      </c>
      <c r="AD2077" s="16" t="inlineStr">
        <is>
          <t>O2,O3</t>
        </is>
      </c>
      <c r="AE2077" s="16" t="n"/>
    </row>
    <row r="2078">
      <c r="A2078" s="16" t="inlineStr">
        <is>
          <t>KF-M05-3-0116</t>
        </is>
      </c>
      <c r="B2078" s="16" t="inlineStr">
        <is>
          <t>4.1</t>
        </is>
      </c>
      <c r="C2078" s="16" t="inlineStr">
        <is>
          <t>4.1c</t>
        </is>
      </c>
      <c r="D2078" s="16" t="inlineStr">
        <is>
          <t>conserva sus presiones y su clima</t>
        </is>
      </c>
      <c r="E2078" s="16" t="inlineStr">
        <is>
          <t>KF-M05</t>
        </is>
      </c>
      <c r="F2078" s="16" t="inlineStr">
        <is>
          <t>KF-M05-3</t>
        </is>
      </c>
      <c r="G2078" s="16" t="inlineStr">
        <is>
          <t>B09-3</t>
        </is>
      </c>
      <c r="H2078" s="16" t="inlineStr">
        <is>
          <t>lhs</t>
        </is>
      </c>
      <c r="I2078" s="16" t="inlineStr">
        <is>
          <t>INVIABLE</t>
        </is>
      </c>
      <c r="J2078" s="16" t="inlineStr">
        <is>
          <t>INVIABLE</t>
        </is>
      </c>
      <c r="K2078" s="16" t="b">
        <v>1</v>
      </c>
      <c r="L2078" s="16" t="b">
        <v>0</v>
      </c>
      <c r="M2078" s="16" t="b">
        <v>0</v>
      </c>
      <c r="N2078" s="16" t="b">
        <v>0</v>
      </c>
      <c r="O2078" s="16" t="n">
        <v>402.758110472168</v>
      </c>
      <c r="P2078" s="16" t="n">
        <v>300.032917</v>
      </c>
      <c r="Q2078" s="16" t="n">
        <v>3000</v>
      </c>
      <c r="R2078" s="16" t="n">
        <v>400</v>
      </c>
      <c r="S2078" s="16" t="n">
        <v>0.5486033714940894</v>
      </c>
      <c r="T2078" s="16" t="n">
        <v>0.6658938826028031</v>
      </c>
      <c r="U2078" s="16" t="n">
        <v>0.4256695837902948</v>
      </c>
      <c r="V2078" s="16" t="n">
        <v>0.6787594833492727</v>
      </c>
      <c r="W2078" s="16" t="n">
        <v>0.7828791867327348</v>
      </c>
      <c r="X2078" s="16" t="n">
        <v>0.4334897210219952</v>
      </c>
      <c r="Y2078" s="16" t="n">
        <v>300.032917</v>
      </c>
      <c r="Z2078" s="16" t="n">
        <v>-37.41273747653079</v>
      </c>
      <c r="AA2078" s="16" t="n">
        <v>-68.09087484061079</v>
      </c>
      <c r="AB2078" s="16" t="n">
        <v>2600</v>
      </c>
      <c r="AC2078" s="16" t="n">
        <v>7.5</v>
      </c>
      <c r="AD2078" s="16" t="inlineStr">
        <is>
          <t>O2,O3</t>
        </is>
      </c>
      <c r="AE2078" s="16" t="n"/>
    </row>
    <row r="2079">
      <c r="A2079" s="16" t="inlineStr">
        <is>
          <t>KF-M05-3-0117</t>
        </is>
      </c>
      <c r="B2079" s="16" t="inlineStr">
        <is>
          <t>4.1</t>
        </is>
      </c>
      <c r="C2079" s="16" t="inlineStr">
        <is>
          <t>4.1c</t>
        </is>
      </c>
      <c r="D2079" s="16" t="inlineStr">
        <is>
          <t>conserva sus presiones y su clima</t>
        </is>
      </c>
      <c r="E2079" s="16" t="inlineStr">
        <is>
          <t>KF-M05</t>
        </is>
      </c>
      <c r="F2079" s="16" t="inlineStr">
        <is>
          <t>KF-M05-3</t>
        </is>
      </c>
      <c r="G2079" s="16" t="inlineStr">
        <is>
          <t>B09-3</t>
        </is>
      </c>
      <c r="H2079" s="16" t="inlineStr">
        <is>
          <t>lhs</t>
        </is>
      </c>
      <c r="I2079" s="16" t="inlineStr">
        <is>
          <t>INVIABLE</t>
        </is>
      </c>
      <c r="J2079" s="16" t="inlineStr">
        <is>
          <t>INVIABLE</t>
        </is>
      </c>
      <c r="K2079" s="16" t="b">
        <v>1</v>
      </c>
      <c r="L2079" s="16" t="b">
        <v>0</v>
      </c>
      <c r="M2079" s="16" t="b">
        <v>0</v>
      </c>
      <c r="N2079" s="16" t="b">
        <v>0</v>
      </c>
      <c r="O2079" s="16" t="n">
        <v>395.1331527093238</v>
      </c>
      <c r="P2079" s="16" t="n">
        <v>300.032917</v>
      </c>
      <c r="Q2079" s="16" t="n">
        <v>3000</v>
      </c>
      <c r="R2079" s="16" t="n">
        <v>400</v>
      </c>
      <c r="S2079" s="16" t="n">
        <v>0.5396409652587254</v>
      </c>
      <c r="T2079" s="16" t="n">
        <v>0.4239263333677598</v>
      </c>
      <c r="U2079" s="16" t="n">
        <v>0.8037981456893669</v>
      </c>
      <c r="V2079" s="16" t="n">
        <v>0.4154989956145369</v>
      </c>
      <c r="W2079" s="16" t="n">
        <v>0.4229772129993928</v>
      </c>
      <c r="X2079" s="16" t="n">
        <v>0.6894660774163419</v>
      </c>
      <c r="Y2079" s="16" t="n">
        <v>300.032917</v>
      </c>
      <c r="Z2079" s="16" t="n">
        <v>-3.58672415573613</v>
      </c>
      <c r="AA2079" s="16" t="n">
        <v>-6.498330013330722</v>
      </c>
      <c r="AB2079" s="16" t="n">
        <v>2600</v>
      </c>
      <c r="AC2079" s="16" t="n">
        <v>7.5</v>
      </c>
      <c r="AD2079" s="16" t="inlineStr">
        <is>
          <t>O2,O3</t>
        </is>
      </c>
      <c r="AE2079" s="16" t="n"/>
    </row>
    <row r="2080">
      <c r="A2080" s="16" t="inlineStr">
        <is>
          <t>KF-M05-4-0000</t>
        </is>
      </c>
      <c r="B2080" s="16" t="inlineStr">
        <is>
          <t>4.1</t>
        </is>
      </c>
      <c r="C2080" s="16" t="inlineStr">
        <is>
          <t>4.1d</t>
        </is>
      </c>
      <c r="D2080" s="16" t="inlineStr">
        <is>
          <t>conserva su P_alta y sus temperaturas</t>
        </is>
      </c>
      <c r="E2080" s="16" t="inlineStr">
        <is>
          <t>KF-M05</t>
        </is>
      </c>
      <c r="F2080" s="16" t="inlineStr">
        <is>
          <t>KF-M05-4</t>
        </is>
      </c>
      <c r="G2080" s="16" t="inlineStr">
        <is>
          <t>B09-4</t>
        </is>
      </c>
      <c r="H2080" s="16" t="inlineStr">
        <is>
          <t>lhs</t>
        </is>
      </c>
      <c r="I2080" s="16" t="inlineStr">
        <is>
          <t>NO_CONVERGIO</t>
        </is>
      </c>
      <c r="J2080" s="16" t="inlineStr">
        <is>
          <t>NO_CONVERGIO</t>
        </is>
      </c>
      <c r="K2080" s="16" t="b">
        <v>0</v>
      </c>
      <c r="L2080" s="16" t="b">
        <v>0</v>
      </c>
      <c r="M2080" s="16" t="b">
        <v>0</v>
      </c>
      <c r="N2080" s="16" t="b">
        <v>0</v>
      </c>
      <c r="O2080" s="16" t="n">
        <v>623.15</v>
      </c>
      <c r="P2080" s="16" t="n">
        <v>300.032917</v>
      </c>
      <c r="Q2080" s="16" t="n">
        <v>3000</v>
      </c>
      <c r="R2080" s="16" t="n">
        <v>277.7324959896301</v>
      </c>
      <c r="S2080" s="16" t="n">
        <v>0.8334271101397417</v>
      </c>
      <c r="T2080" s="16" t="n">
        <v>0.4245459066808721</v>
      </c>
      <c r="U2080" s="16" t="n">
        <v>0.4364062228979181</v>
      </c>
      <c r="V2080" s="16" t="n">
        <v>0.5527604375851557</v>
      </c>
      <c r="W2080" s="16" t="n">
        <v>0.6480582858946049</v>
      </c>
      <c r="X2080" s="16" t="n">
        <v>0.712713098129072</v>
      </c>
      <c r="Y2080" s="16" t="n">
        <v>300.032917</v>
      </c>
      <c r="Z2080" s="16" t="n"/>
      <c r="AA2080" s="16" t="n"/>
      <c r="AB2080" s="16" t="n">
        <v>2722.26750401037</v>
      </c>
      <c r="AC2080" s="16" t="n">
        <v>10.80176084296601</v>
      </c>
      <c r="AD2080" s="16" t="n"/>
      <c r="AE2080" s="16" t="n"/>
    </row>
    <row r="2081">
      <c r="A2081" s="16" t="inlineStr">
        <is>
          <t>KF-M05-4-0001</t>
        </is>
      </c>
      <c r="B2081" s="16" t="inlineStr">
        <is>
          <t>4.1</t>
        </is>
      </c>
      <c r="C2081" s="16" t="inlineStr">
        <is>
          <t>4.1d</t>
        </is>
      </c>
      <c r="D2081" s="16" t="inlineStr">
        <is>
          <t>conserva su P_alta y sus temperaturas</t>
        </is>
      </c>
      <c r="E2081" s="16" t="inlineStr">
        <is>
          <t>KF-M05</t>
        </is>
      </c>
      <c r="F2081" s="16" t="inlineStr">
        <is>
          <t>KF-M05-4</t>
        </is>
      </c>
      <c r="G2081" s="16" t="inlineStr">
        <is>
          <t>B09-4</t>
        </is>
      </c>
      <c r="H2081" s="16" t="inlineStr">
        <is>
          <t>lhs</t>
        </is>
      </c>
      <c r="I2081" s="16" t="inlineStr">
        <is>
          <t>NO_CONVERGIO</t>
        </is>
      </c>
      <c r="J2081" s="16" t="inlineStr">
        <is>
          <t>NO_CONVERGIO</t>
        </is>
      </c>
      <c r="K2081" s="16" t="b">
        <v>0</v>
      </c>
      <c r="L2081" s="16" t="b">
        <v>0</v>
      </c>
      <c r="M2081" s="16" t="b">
        <v>0</v>
      </c>
      <c r="N2081" s="16" t="b">
        <v>0</v>
      </c>
      <c r="O2081" s="16" t="n">
        <v>623.15</v>
      </c>
      <c r="P2081" s="16" t="n">
        <v>300.032917</v>
      </c>
      <c r="Q2081" s="16" t="n">
        <v>3000</v>
      </c>
      <c r="R2081" s="16" t="n">
        <v>658.4872904346749</v>
      </c>
      <c r="S2081" s="16" t="n">
        <v>0.7808146252415522</v>
      </c>
      <c r="T2081" s="16" t="n">
        <v>0.7819920172620565</v>
      </c>
      <c r="U2081" s="16" t="n">
        <v>0.7768127186337077</v>
      </c>
      <c r="V2081" s="16" t="n">
        <v>0.7150358518800801</v>
      </c>
      <c r="W2081" s="16" t="n">
        <v>0.7153083103342315</v>
      </c>
      <c r="X2081" s="16" t="n">
        <v>0.5892223864605614</v>
      </c>
      <c r="Y2081" s="16" t="n">
        <v>300.032917</v>
      </c>
      <c r="Z2081" s="16" t="n"/>
      <c r="AA2081" s="16" t="n"/>
      <c r="AB2081" s="16" t="n">
        <v>2341.512709565325</v>
      </c>
      <c r="AC2081" s="16" t="n">
        <v>4.555896588405929</v>
      </c>
      <c r="AD2081" s="16" t="n"/>
      <c r="AE2081" s="16" t="n"/>
    </row>
    <row r="2082">
      <c r="A2082" s="16" t="inlineStr">
        <is>
          <t>KF-M05-4-0002</t>
        </is>
      </c>
      <c r="B2082" s="16" t="inlineStr">
        <is>
          <t>4.1</t>
        </is>
      </c>
      <c r="C2082" s="16" t="inlineStr">
        <is>
          <t>4.1d</t>
        </is>
      </c>
      <c r="D2082" s="16" t="inlineStr">
        <is>
          <t>conserva su P_alta y sus temperaturas</t>
        </is>
      </c>
      <c r="E2082" s="16" t="inlineStr">
        <is>
          <t>KF-M05</t>
        </is>
      </c>
      <c r="F2082" s="16" t="inlineStr">
        <is>
          <t>KF-M05-4</t>
        </is>
      </c>
      <c r="G2082" s="16" t="inlineStr">
        <is>
          <t>B09-4</t>
        </is>
      </c>
      <c r="H2082" s="16" t="inlineStr">
        <is>
          <t>lhs</t>
        </is>
      </c>
      <c r="I2082" s="16" t="inlineStr">
        <is>
          <t>NO_CONVERGIO</t>
        </is>
      </c>
      <c r="J2082" s="16" t="inlineStr">
        <is>
          <t>NO_CONVERGIO</t>
        </is>
      </c>
      <c r="K2082" s="16" t="b">
        <v>0</v>
      </c>
      <c r="L2082" s="16" t="b">
        <v>0</v>
      </c>
      <c r="M2082" s="16" t="b">
        <v>0</v>
      </c>
      <c r="N2082" s="16" t="b">
        <v>0</v>
      </c>
      <c r="O2082" s="16" t="n">
        <v>623.15</v>
      </c>
      <c r="P2082" s="16" t="n">
        <v>300.032917</v>
      </c>
      <c r="Q2082" s="16" t="n">
        <v>3000</v>
      </c>
      <c r="R2082" s="16" t="n">
        <v>1689.37007363071</v>
      </c>
      <c r="S2082" s="16" t="n">
        <v>0.7993133351345607</v>
      </c>
      <c r="T2082" s="16" t="n">
        <v>0.6765681834504499</v>
      </c>
      <c r="U2082" s="16" t="n">
        <v>0.6008918285518871</v>
      </c>
      <c r="V2082" s="16" t="n">
        <v>0.9180594973735176</v>
      </c>
      <c r="W2082" s="16" t="n">
        <v>0.5209932279504212</v>
      </c>
      <c r="X2082" s="16" t="n">
        <v>0.7960189280856018</v>
      </c>
      <c r="Y2082" s="16" t="n">
        <v>300.032917</v>
      </c>
      <c r="Z2082" s="16" t="n"/>
      <c r="AA2082" s="16" t="n"/>
      <c r="AB2082" s="16" t="n">
        <v>1310.62992636929</v>
      </c>
      <c r="AC2082" s="16" t="n">
        <v>1.775809839908286</v>
      </c>
      <c r="AD2082" s="16" t="n"/>
      <c r="AE2082" s="16" t="n"/>
    </row>
    <row r="2083">
      <c r="A2083" s="16" t="inlineStr">
        <is>
          <t>KF-M05-4-0003</t>
        </is>
      </c>
      <c r="B2083" s="16" t="inlineStr">
        <is>
          <t>4.1</t>
        </is>
      </c>
      <c r="C2083" s="16" t="inlineStr">
        <is>
          <t>4.1d</t>
        </is>
      </c>
      <c r="D2083" s="16" t="inlineStr">
        <is>
          <t>conserva su P_alta y sus temperaturas</t>
        </is>
      </c>
      <c r="E2083" s="16" t="inlineStr">
        <is>
          <t>KF-M05</t>
        </is>
      </c>
      <c r="F2083" s="16" t="inlineStr">
        <is>
          <t>KF-M05-4</t>
        </is>
      </c>
      <c r="G2083" s="16" t="inlineStr">
        <is>
          <t>B09-4</t>
        </is>
      </c>
      <c r="H2083" s="16" t="inlineStr">
        <is>
          <t>lhs</t>
        </is>
      </c>
      <c r="I2083" s="16" t="inlineStr">
        <is>
          <t>INVIABLE</t>
        </is>
      </c>
      <c r="J2083" s="16" t="inlineStr">
        <is>
          <t>INVIABLE</t>
        </is>
      </c>
      <c r="K2083" s="16" t="b">
        <v>1</v>
      </c>
      <c r="L2083" s="16" t="b">
        <v>0</v>
      </c>
      <c r="M2083" s="16" t="b">
        <v>1</v>
      </c>
      <c r="N2083" s="16" t="b">
        <v>0</v>
      </c>
      <c r="O2083" s="16" t="n">
        <v>623.15</v>
      </c>
      <c r="P2083" s="16" t="n">
        <v>300.032917</v>
      </c>
      <c r="Q2083" s="16" t="n">
        <v>3000</v>
      </c>
      <c r="R2083" s="16" t="n">
        <v>1603.622769789041</v>
      </c>
      <c r="S2083" s="16" t="n">
        <v>0.7245158630741031</v>
      </c>
      <c r="T2083" s="16" t="n">
        <v>0.9210305907685316</v>
      </c>
      <c r="U2083" s="16" t="n">
        <v>0.4058401800878103</v>
      </c>
      <c r="V2083" s="16" t="n">
        <v>0.4988090879683595</v>
      </c>
      <c r="W2083" s="16" t="n">
        <v>0.784421726640081</v>
      </c>
      <c r="X2083" s="16" t="n">
        <v>0.5377870515071276</v>
      </c>
      <c r="Y2083" s="16" t="n">
        <v>300.032917</v>
      </c>
      <c r="Z2083" s="16" t="n">
        <v>-1.07618475724716</v>
      </c>
      <c r="AA2083" s="16" t="n">
        <v>-8.661584891657355</v>
      </c>
      <c r="AB2083" s="16" t="n">
        <v>1396.377230210959</v>
      </c>
      <c r="AC2083" s="16" t="n">
        <v>1.870764157579687</v>
      </c>
      <c r="AD2083" s="16" t="inlineStr">
        <is>
          <t>O2,O3</t>
        </is>
      </c>
      <c r="AE2083" s="16" t="n"/>
    </row>
    <row r="2084">
      <c r="A2084" s="16" t="inlineStr">
        <is>
          <t>KF-M05-4-0004</t>
        </is>
      </c>
      <c r="B2084" s="16" t="inlineStr">
        <is>
          <t>4.1</t>
        </is>
      </c>
      <c r="C2084" s="16" t="inlineStr">
        <is>
          <t>4.1d</t>
        </is>
      </c>
      <c r="D2084" s="16" t="inlineStr">
        <is>
          <t>conserva su P_alta y sus temperaturas</t>
        </is>
      </c>
      <c r="E2084" s="16" t="inlineStr">
        <is>
          <t>KF-M05</t>
        </is>
      </c>
      <c r="F2084" s="16" t="inlineStr">
        <is>
          <t>KF-M05-4</t>
        </is>
      </c>
      <c r="G2084" s="16" t="inlineStr">
        <is>
          <t>B09-4</t>
        </is>
      </c>
      <c r="H2084" s="16" t="inlineStr">
        <is>
          <t>lhs</t>
        </is>
      </c>
      <c r="I2084" s="16" t="inlineStr">
        <is>
          <t>NO_CONVERGIO</t>
        </is>
      </c>
      <c r="J2084" s="16" t="inlineStr">
        <is>
          <t>NO_CONVERGIO</t>
        </is>
      </c>
      <c r="K2084" s="16" t="b">
        <v>0</v>
      </c>
      <c r="L2084" s="16" t="b">
        <v>0</v>
      </c>
      <c r="M2084" s="16" t="b">
        <v>0</v>
      </c>
      <c r="N2084" s="16" t="b">
        <v>0</v>
      </c>
      <c r="O2084" s="16" t="n">
        <v>623.15</v>
      </c>
      <c r="P2084" s="16" t="n">
        <v>300.032917</v>
      </c>
      <c r="Q2084" s="16" t="n">
        <v>3000</v>
      </c>
      <c r="R2084" s="16" t="n">
        <v>1644.868193236873</v>
      </c>
      <c r="S2084" s="16" t="n">
        <v>0.7795895099119212</v>
      </c>
      <c r="T2084" s="16" t="n">
        <v>0.9228440747516504</v>
      </c>
      <c r="U2084" s="16" t="n">
        <v>0.8211281668472667</v>
      </c>
      <c r="V2084" s="16" t="n">
        <v>0.7598714687464418</v>
      </c>
      <c r="W2084" s="16" t="n">
        <v>0.8837945090890933</v>
      </c>
      <c r="X2084" s="16" t="n">
        <v>0.5147751627895488</v>
      </c>
      <c r="Y2084" s="16" t="n">
        <v>300.032917</v>
      </c>
      <c r="Z2084" s="16" t="n"/>
      <c r="AA2084" s="16" t="n"/>
      <c r="AB2084" s="16" t="n">
        <v>1355.131806763127</v>
      </c>
      <c r="AC2084" s="16" t="n">
        <v>1.823854344278136</v>
      </c>
      <c r="AD2084" s="16" t="n"/>
      <c r="AE2084" s="16" t="n"/>
    </row>
    <row r="2085">
      <c r="A2085" s="16" t="inlineStr">
        <is>
          <t>KF-M05-3-0118</t>
        </is>
      </c>
      <c r="B2085" s="16" t="inlineStr">
        <is>
          <t>4.1</t>
        </is>
      </c>
      <c r="C2085" s="16" t="inlineStr">
        <is>
          <t>4.1c</t>
        </is>
      </c>
      <c r="D2085" s="16" t="inlineStr">
        <is>
          <t>conserva sus presiones y su clima</t>
        </is>
      </c>
      <c r="E2085" s="16" t="inlineStr">
        <is>
          <t>KF-M05</t>
        </is>
      </c>
      <c r="F2085" s="16" t="inlineStr">
        <is>
          <t>KF-M05-3</t>
        </is>
      </c>
      <c r="G2085" s="16" t="inlineStr">
        <is>
          <t>B09-3</t>
        </is>
      </c>
      <c r="H2085" s="16" t="inlineStr">
        <is>
          <t>lhs</t>
        </is>
      </c>
      <c r="I2085" s="16" t="inlineStr">
        <is>
          <t>NO_CONVERGIO</t>
        </is>
      </c>
      <c r="J2085" s="16" t="inlineStr">
        <is>
          <t>NO_CONVERGIO</t>
        </is>
      </c>
      <c r="K2085" s="16" t="b">
        <v>0</v>
      </c>
      <c r="L2085" s="16" t="b">
        <v>0</v>
      </c>
      <c r="M2085" s="16" t="b">
        <v>0</v>
      </c>
      <c r="N2085" s="16" t="b">
        <v>0</v>
      </c>
      <c r="O2085" s="16" t="n">
        <v>617.2336963279967</v>
      </c>
      <c r="P2085" s="16" t="n">
        <v>300.032917</v>
      </c>
      <c r="Q2085" s="16" t="n">
        <v>3000</v>
      </c>
      <c r="R2085" s="16" t="n">
        <v>400</v>
      </c>
      <c r="S2085" s="16" t="n">
        <v>0.7952326773607161</v>
      </c>
      <c r="T2085" s="16" t="n">
        <v>0.8986040420347448</v>
      </c>
      <c r="U2085" s="16" t="n">
        <v>0.5541591917063452</v>
      </c>
      <c r="V2085" s="16" t="n">
        <v>0.8030484089855119</v>
      </c>
      <c r="W2085" s="16" t="n">
        <v>0.6203273643069473</v>
      </c>
      <c r="X2085" s="16" t="n">
        <v>0.4231226004293428</v>
      </c>
      <c r="Y2085" s="16" t="n">
        <v>300.032917</v>
      </c>
      <c r="Z2085" s="16" t="n"/>
      <c r="AA2085" s="16" t="n"/>
      <c r="AB2085" s="16" t="n">
        <v>2600</v>
      </c>
      <c r="AC2085" s="16" t="n">
        <v>7.5</v>
      </c>
      <c r="AD2085" s="16" t="n"/>
      <c r="AE2085" s="16" t="n"/>
    </row>
    <row r="2086">
      <c r="A2086" s="16" t="inlineStr">
        <is>
          <t>KF-M05-4-0005</t>
        </is>
      </c>
      <c r="B2086" s="16" t="inlineStr">
        <is>
          <t>4.1</t>
        </is>
      </c>
      <c r="C2086" s="16" t="inlineStr">
        <is>
          <t>4.1d</t>
        </is>
      </c>
      <c r="D2086" s="16" t="inlineStr">
        <is>
          <t>conserva su P_alta y sus temperaturas</t>
        </is>
      </c>
      <c r="E2086" s="16" t="inlineStr">
        <is>
          <t>KF-M05</t>
        </is>
      </c>
      <c r="F2086" s="16" t="inlineStr">
        <is>
          <t>KF-M05-4</t>
        </is>
      </c>
      <c r="G2086" s="16" t="inlineStr">
        <is>
          <t>B09-4</t>
        </is>
      </c>
      <c r="H2086" s="16" t="inlineStr">
        <is>
          <t>lhs</t>
        </is>
      </c>
      <c r="I2086" s="16" t="inlineStr">
        <is>
          <t>NO_CONVERGIO</t>
        </is>
      </c>
      <c r="J2086" s="16" t="inlineStr">
        <is>
          <t>NO_CONVERGIO</t>
        </is>
      </c>
      <c r="K2086" s="16" t="b">
        <v>0</v>
      </c>
      <c r="L2086" s="16" t="b">
        <v>0</v>
      </c>
      <c r="M2086" s="16" t="b">
        <v>0</v>
      </c>
      <c r="N2086" s="16" t="b">
        <v>0</v>
      </c>
      <c r="O2086" s="16" t="n">
        <v>623.15</v>
      </c>
      <c r="P2086" s="16" t="n">
        <v>300.032917</v>
      </c>
      <c r="Q2086" s="16" t="n">
        <v>3000</v>
      </c>
      <c r="R2086" s="16" t="n">
        <v>311.9501833670746</v>
      </c>
      <c r="S2086" s="16" t="n">
        <v>0.6018927301104326</v>
      </c>
      <c r="T2086" s="16" t="n">
        <v>0.5948079442183686</v>
      </c>
      <c r="U2086" s="16" t="n">
        <v>0.5942214946774189</v>
      </c>
      <c r="V2086" s="16" t="n">
        <v>0.6851122655106562</v>
      </c>
      <c r="W2086" s="16" t="n">
        <v>0.9220606529295076</v>
      </c>
      <c r="X2086" s="16" t="n">
        <v>0.5943376900820583</v>
      </c>
      <c r="Y2086" s="16" t="n">
        <v>300.032917</v>
      </c>
      <c r="Z2086" s="16" t="n"/>
      <c r="AA2086" s="16" t="n"/>
      <c r="AB2086" s="16" t="n">
        <v>2688.049816632925</v>
      </c>
      <c r="AC2086" s="16" t="n">
        <v>9.616920136475358</v>
      </c>
      <c r="AD2086" s="16" t="n"/>
      <c r="AE2086" s="16" t="n"/>
    </row>
    <row r="2087">
      <c r="A2087" s="16" t="inlineStr">
        <is>
          <t>KF-M05-4-0006</t>
        </is>
      </c>
      <c r="B2087" s="16" t="inlineStr">
        <is>
          <t>4.1</t>
        </is>
      </c>
      <c r="C2087" s="16" t="inlineStr">
        <is>
          <t>4.1d</t>
        </is>
      </c>
      <c r="D2087" s="16" t="inlineStr">
        <is>
          <t>conserva su P_alta y sus temperaturas</t>
        </is>
      </c>
      <c r="E2087" s="16" t="inlineStr">
        <is>
          <t>KF-M05</t>
        </is>
      </c>
      <c r="F2087" s="16" t="inlineStr">
        <is>
          <t>KF-M05-4</t>
        </is>
      </c>
      <c r="G2087" s="16" t="inlineStr">
        <is>
          <t>B09-4</t>
        </is>
      </c>
      <c r="H2087" s="16" t="inlineStr">
        <is>
          <t>lhs</t>
        </is>
      </c>
      <c r="I2087" s="16" t="inlineStr">
        <is>
          <t>CORREGIBLE</t>
        </is>
      </c>
      <c r="J2087" s="16" t="inlineStr">
        <is>
          <t>CORREGIBLE</t>
        </is>
      </c>
      <c r="K2087" s="16" t="b">
        <v>1</v>
      </c>
      <c r="L2087" s="16" t="b">
        <v>0</v>
      </c>
      <c r="M2087" s="16" t="b">
        <v>0</v>
      </c>
      <c r="N2087" s="16" t="b">
        <v>0</v>
      </c>
      <c r="O2087" s="16" t="n">
        <v>623.15</v>
      </c>
      <c r="P2087" s="16" t="n">
        <v>300.032917</v>
      </c>
      <c r="Q2087" s="16" t="n">
        <v>3000</v>
      </c>
      <c r="R2087" s="16" t="n">
        <v>717.4976560746846</v>
      </c>
      <c r="S2087" s="16" t="n">
        <v>0.7074490701713816</v>
      </c>
      <c r="T2087" s="16" t="n">
        <v>0.7798099649437619</v>
      </c>
      <c r="U2087" s="16" t="n">
        <v>0.7470849694726065</v>
      </c>
      <c r="V2087" s="16" t="n">
        <v>0.4902354049657393</v>
      </c>
      <c r="W2087" s="16" t="n">
        <v>0.675556650756834</v>
      </c>
      <c r="X2087" s="16" t="n">
        <v>0.9343864763335442</v>
      </c>
      <c r="Y2087" s="16" t="n">
        <v>300.032917</v>
      </c>
      <c r="Z2087" s="16" t="n">
        <v>10.33978113967165</v>
      </c>
      <c r="AA2087" s="16" t="n">
        <v>115.7001312324382</v>
      </c>
      <c r="AB2087" s="16" t="n">
        <v>2282.502343925315</v>
      </c>
      <c r="AC2087" s="16" t="n">
        <v>4.181198328106773</v>
      </c>
      <c r="AD2087" s="16" t="inlineStr">
        <is>
          <t>O2</t>
        </is>
      </c>
      <c r="AE2087" s="16" t="n"/>
    </row>
    <row r="2088">
      <c r="A2088" s="16" t="inlineStr">
        <is>
          <t>KF-M05-4-0007</t>
        </is>
      </c>
      <c r="B2088" s="16" t="inlineStr">
        <is>
          <t>4.1</t>
        </is>
      </c>
      <c r="C2088" s="16" t="inlineStr">
        <is>
          <t>4.1d</t>
        </is>
      </c>
      <c r="D2088" s="16" t="inlineStr">
        <is>
          <t>conserva su P_alta y sus temperaturas</t>
        </is>
      </c>
      <c r="E2088" s="16" t="inlineStr">
        <is>
          <t>KF-M05</t>
        </is>
      </c>
      <c r="F2088" s="16" t="inlineStr">
        <is>
          <t>KF-M05-4</t>
        </is>
      </c>
      <c r="G2088" s="16" t="inlineStr">
        <is>
          <t>B09-4</t>
        </is>
      </c>
      <c r="H2088" s="16" t="inlineStr">
        <is>
          <t>lhs</t>
        </is>
      </c>
      <c r="I2088" s="16" t="inlineStr">
        <is>
          <t>CORREGIBLE</t>
        </is>
      </c>
      <c r="J2088" s="16" t="inlineStr">
        <is>
          <t>CORREGIBLE</t>
        </is>
      </c>
      <c r="K2088" s="16" t="b">
        <v>1</v>
      </c>
      <c r="L2088" s="16" t="b">
        <v>0</v>
      </c>
      <c r="M2088" s="16" t="b">
        <v>1</v>
      </c>
      <c r="N2088" s="16" t="b">
        <v>0</v>
      </c>
      <c r="O2088" s="16" t="n">
        <v>623.15</v>
      </c>
      <c r="P2088" s="16" t="n">
        <v>300.032917</v>
      </c>
      <c r="Q2088" s="16" t="n">
        <v>3000</v>
      </c>
      <c r="R2088" s="16" t="n">
        <v>1985.568583075025</v>
      </c>
      <c r="S2088" s="16" t="n">
        <v>0.6674852823014815</v>
      </c>
      <c r="T2088" s="16" t="n">
        <v>0.4743474509657058</v>
      </c>
      <c r="U2088" s="16" t="n">
        <v>0.8552952880093545</v>
      </c>
      <c r="V2088" s="16" t="n">
        <v>0.6317868821974737</v>
      </c>
      <c r="W2088" s="16" t="n">
        <v>0.691147485178345</v>
      </c>
      <c r="X2088" s="16" t="n">
        <v>0.7167816782310718</v>
      </c>
      <c r="Y2088" s="16" t="n">
        <v>300.032917</v>
      </c>
      <c r="Z2088" s="16" t="n">
        <v>1.29995498475212</v>
      </c>
      <c r="AA2088" s="16" t="n">
        <v>16.32677203002255</v>
      </c>
      <c r="AB2088" s="16" t="n">
        <v>1014.431416924975</v>
      </c>
      <c r="AC2088" s="16" t="n">
        <v>1.510902230007053</v>
      </c>
      <c r="AD2088" s="16" t="inlineStr">
        <is>
          <t>O2</t>
        </is>
      </c>
      <c r="AE2088" s="16" t="n"/>
    </row>
    <row r="2089">
      <c r="A2089" s="16" t="inlineStr">
        <is>
          <t>KF-M05-4-0008</t>
        </is>
      </c>
      <c r="B2089" s="16" t="inlineStr">
        <is>
          <t>4.1</t>
        </is>
      </c>
      <c r="C2089" s="16" t="inlineStr">
        <is>
          <t>4.1d</t>
        </is>
      </c>
      <c r="D2089" s="16" t="inlineStr">
        <is>
          <t>conserva su P_alta y sus temperaturas</t>
        </is>
      </c>
      <c r="E2089" s="16" t="inlineStr">
        <is>
          <t>KF-M05</t>
        </is>
      </c>
      <c r="F2089" s="16" t="inlineStr">
        <is>
          <t>KF-M05-4</t>
        </is>
      </c>
      <c r="G2089" s="16" t="inlineStr">
        <is>
          <t>B09-4</t>
        </is>
      </c>
      <c r="H2089" s="16" t="inlineStr">
        <is>
          <t>lhs</t>
        </is>
      </c>
      <c r="I2089" s="16" t="inlineStr">
        <is>
          <t>CORREGIBLE</t>
        </is>
      </c>
      <c r="J2089" s="16" t="inlineStr">
        <is>
          <t>CORREGIBLE</t>
        </is>
      </c>
      <c r="K2089" s="16" t="b">
        <v>1</v>
      </c>
      <c r="L2089" s="16" t="b">
        <v>0</v>
      </c>
      <c r="M2089" s="16" t="b">
        <v>1</v>
      </c>
      <c r="N2089" s="16" t="b">
        <v>0</v>
      </c>
      <c r="O2089" s="16" t="n">
        <v>623.15</v>
      </c>
      <c r="P2089" s="16" t="n">
        <v>300.032917</v>
      </c>
      <c r="Q2089" s="16" t="n">
        <v>3000</v>
      </c>
      <c r="R2089" s="16" t="n">
        <v>1294.931970627575</v>
      </c>
      <c r="S2089" s="16" t="n">
        <v>0.5983379434213126</v>
      </c>
      <c r="T2089" s="16" t="n">
        <v>0.493105345905525</v>
      </c>
      <c r="U2089" s="16" t="n">
        <v>0.7815915775723846</v>
      </c>
      <c r="V2089" s="16" t="n">
        <v>0.6446449772991598</v>
      </c>
      <c r="W2089" s="16" t="n">
        <v>0.9280429920221404</v>
      </c>
      <c r="X2089" s="16" t="n">
        <v>0.7544012196599233</v>
      </c>
      <c r="Y2089" s="16" t="n">
        <v>300.032917</v>
      </c>
      <c r="Z2089" s="16" t="n">
        <v>2.86171348981818</v>
      </c>
      <c r="AA2089" s="16" t="n">
        <v>38.94440527530641</v>
      </c>
      <c r="AB2089" s="16" t="n">
        <v>1705.068029372425</v>
      </c>
      <c r="AC2089" s="16" t="n">
        <v>2.316724019522108</v>
      </c>
      <c r="AD2089" s="16" t="inlineStr">
        <is>
          <t>O2</t>
        </is>
      </c>
      <c r="AE2089" s="16" t="n"/>
    </row>
    <row r="2090">
      <c r="A2090" s="16" t="inlineStr">
        <is>
          <t>KF-M05-4-0009</t>
        </is>
      </c>
      <c r="B2090" s="16" t="inlineStr">
        <is>
          <t>4.1</t>
        </is>
      </c>
      <c r="C2090" s="16" t="inlineStr">
        <is>
          <t>4.1d</t>
        </is>
      </c>
      <c r="D2090" s="16" t="inlineStr">
        <is>
          <t>conserva su P_alta y sus temperaturas</t>
        </is>
      </c>
      <c r="E2090" s="16" t="inlineStr">
        <is>
          <t>KF-M05</t>
        </is>
      </c>
      <c r="F2090" s="16" t="inlineStr">
        <is>
          <t>KF-M05-4</t>
        </is>
      </c>
      <c r="G2090" s="16" t="inlineStr">
        <is>
          <t>B09-4</t>
        </is>
      </c>
      <c r="H2090" s="16" t="inlineStr">
        <is>
          <t>lhs</t>
        </is>
      </c>
      <c r="I2090" s="16" t="inlineStr">
        <is>
          <t>CORREGIBLE</t>
        </is>
      </c>
      <c r="J2090" s="16" t="inlineStr">
        <is>
          <t>CORREGIBLE</t>
        </is>
      </c>
      <c r="K2090" s="16" t="b">
        <v>1</v>
      </c>
      <c r="L2090" s="16" t="b">
        <v>0</v>
      </c>
      <c r="M2090" s="16" t="b">
        <v>1</v>
      </c>
      <c r="N2090" s="16" t="b">
        <v>0</v>
      </c>
      <c r="O2090" s="16" t="n">
        <v>623.15</v>
      </c>
      <c r="P2090" s="16" t="n">
        <v>300.032917</v>
      </c>
      <c r="Q2090" s="16" t="n">
        <v>3000</v>
      </c>
      <c r="R2090" s="16" t="n">
        <v>1389.441794104605</v>
      </c>
      <c r="S2090" s="16" t="n">
        <v>0.6959044203101007</v>
      </c>
      <c r="T2090" s="16" t="n">
        <v>0.8066649976247875</v>
      </c>
      <c r="U2090" s="16" t="n">
        <v>0.7344945144718321</v>
      </c>
      <c r="V2090" s="16" t="n">
        <v>0.6757841274273484</v>
      </c>
      <c r="W2090" s="16" t="n">
        <v>0.6535175221413434</v>
      </c>
      <c r="X2090" s="16" t="n">
        <v>0.8271955238492686</v>
      </c>
      <c r="Y2090" s="16" t="n">
        <v>300.032917</v>
      </c>
      <c r="Z2090" s="16" t="n">
        <v>5.87407414706278</v>
      </c>
      <c r="AA2090" s="16" t="n">
        <v>85.58148872256584</v>
      </c>
      <c r="AB2090" s="16" t="n">
        <v>1610.558205895395</v>
      </c>
      <c r="AC2090" s="16" t="n">
        <v>2.15914046398272</v>
      </c>
      <c r="AD2090" s="16" t="inlineStr">
        <is>
          <t>O2</t>
        </is>
      </c>
      <c r="AE2090" s="16" t="n"/>
    </row>
    <row r="2091">
      <c r="A2091" s="16" t="inlineStr">
        <is>
          <t>KF-M05-4-0010</t>
        </is>
      </c>
      <c r="B2091" s="16" t="inlineStr">
        <is>
          <t>4.1</t>
        </is>
      </c>
      <c r="C2091" s="16" t="inlineStr">
        <is>
          <t>4.1d</t>
        </is>
      </c>
      <c r="D2091" s="16" t="inlineStr">
        <is>
          <t>conserva su P_alta y sus temperaturas</t>
        </is>
      </c>
      <c r="E2091" s="16" t="inlineStr">
        <is>
          <t>KF-M05</t>
        </is>
      </c>
      <c r="F2091" s="16" t="inlineStr">
        <is>
          <t>KF-M05-4</t>
        </is>
      </c>
      <c r="G2091" s="16" t="inlineStr">
        <is>
          <t>B09-4</t>
        </is>
      </c>
      <c r="H2091" s="16" t="inlineStr">
        <is>
          <t>lhs</t>
        </is>
      </c>
      <c r="I2091" s="16" t="inlineStr">
        <is>
          <t>CORREGIBLE</t>
        </is>
      </c>
      <c r="J2091" s="16" t="inlineStr">
        <is>
          <t>CORREGIBLE</t>
        </is>
      </c>
      <c r="K2091" s="16" t="b">
        <v>1</v>
      </c>
      <c r="L2091" s="16" t="b">
        <v>0</v>
      </c>
      <c r="M2091" s="16" t="b">
        <v>1</v>
      </c>
      <c r="N2091" s="16" t="b">
        <v>0</v>
      </c>
      <c r="O2091" s="16" t="n">
        <v>623.15</v>
      </c>
      <c r="P2091" s="16" t="n">
        <v>300.032917</v>
      </c>
      <c r="Q2091" s="16" t="n">
        <v>3000</v>
      </c>
      <c r="R2091" s="16" t="n">
        <v>634.7301069114964</v>
      </c>
      <c r="S2091" s="16" t="n">
        <v>0.5380878143173161</v>
      </c>
      <c r="T2091" s="16" t="n">
        <v>0.9280605296438692</v>
      </c>
      <c r="U2091" s="16" t="n">
        <v>0.9052158084196076</v>
      </c>
      <c r="V2091" s="16" t="n">
        <v>0.7981058433448969</v>
      </c>
      <c r="W2091" s="16" t="n">
        <v>0.8298866774703295</v>
      </c>
      <c r="X2091" s="16" t="n">
        <v>0.7612750238127561</v>
      </c>
      <c r="Y2091" s="16" t="n">
        <v>300.032917</v>
      </c>
      <c r="Z2091" s="16" t="n">
        <v>12.00780361105616</v>
      </c>
      <c r="AA2091" s="16" t="n">
        <v>207.6251387331309</v>
      </c>
      <c r="AB2091" s="16" t="n">
        <v>2365.269893088504</v>
      </c>
      <c r="AC2091" s="16" t="n">
        <v>4.726418311237134</v>
      </c>
      <c r="AD2091" s="16" t="inlineStr">
        <is>
          <t>O2</t>
        </is>
      </c>
      <c r="AE2091" s="16" t="n"/>
    </row>
    <row r="2092">
      <c r="A2092" s="16" t="inlineStr">
        <is>
          <t>KF-M05-4-0011</t>
        </is>
      </c>
      <c r="B2092" s="16" t="inlineStr">
        <is>
          <t>4.1</t>
        </is>
      </c>
      <c r="C2092" s="16" t="inlineStr">
        <is>
          <t>4.1d</t>
        </is>
      </c>
      <c r="D2092" s="16" t="inlineStr">
        <is>
          <t>conserva su P_alta y sus temperaturas</t>
        </is>
      </c>
      <c r="E2092" s="16" t="inlineStr">
        <is>
          <t>KF-M05</t>
        </is>
      </c>
      <c r="F2092" s="16" t="inlineStr">
        <is>
          <t>KF-M05-4</t>
        </is>
      </c>
      <c r="G2092" s="16" t="inlineStr">
        <is>
          <t>B09-4</t>
        </is>
      </c>
      <c r="H2092" s="16" t="inlineStr">
        <is>
          <t>lhs</t>
        </is>
      </c>
      <c r="I2092" s="16" t="inlineStr">
        <is>
          <t>NO_CONVERGIO</t>
        </is>
      </c>
      <c r="J2092" s="16" t="inlineStr">
        <is>
          <t>NO_CONVERGIO</t>
        </is>
      </c>
      <c r="K2092" s="16" t="b">
        <v>0</v>
      </c>
      <c r="L2092" s="16" t="b">
        <v>0</v>
      </c>
      <c r="M2092" s="16" t="b">
        <v>0</v>
      </c>
      <c r="N2092" s="16" t="b">
        <v>0</v>
      </c>
      <c r="O2092" s="16" t="n">
        <v>623.15</v>
      </c>
      <c r="P2092" s="16" t="n">
        <v>300.032917</v>
      </c>
      <c r="Q2092" s="16" t="n">
        <v>3000</v>
      </c>
      <c r="R2092" s="16" t="n">
        <v>1735.891137527924</v>
      </c>
      <c r="S2092" s="16" t="n">
        <v>0.8029467208125257</v>
      </c>
      <c r="T2092" s="16" t="n">
        <v>0.5982527768711979</v>
      </c>
      <c r="U2092" s="16" t="n">
        <v>0.4555901915858109</v>
      </c>
      <c r="V2092" s="16" t="n">
        <v>0.8343585195586927</v>
      </c>
      <c r="W2092" s="16" t="n">
        <v>0.8566908264547745</v>
      </c>
      <c r="X2092" s="16" t="n">
        <v>0.6768463356636216</v>
      </c>
      <c r="Y2092" s="16" t="n">
        <v>300.032917</v>
      </c>
      <c r="Z2092" s="16" t="n"/>
      <c r="AA2092" s="16" t="n"/>
      <c r="AB2092" s="16" t="n">
        <v>1264.108862472076</v>
      </c>
      <c r="AC2092" s="16" t="n">
        <v>1.728218973611611</v>
      </c>
      <c r="AD2092" s="16" t="n"/>
      <c r="AE2092" s="16" t="n"/>
    </row>
    <row r="2093">
      <c r="A2093" s="16" t="inlineStr">
        <is>
          <t>KF-M05-4-0012</t>
        </is>
      </c>
      <c r="B2093" s="16" t="inlineStr">
        <is>
          <t>4.1</t>
        </is>
      </c>
      <c r="C2093" s="16" t="inlineStr">
        <is>
          <t>4.1d</t>
        </is>
      </c>
      <c r="D2093" s="16" t="inlineStr">
        <is>
          <t>conserva su P_alta y sus temperaturas</t>
        </is>
      </c>
      <c r="E2093" s="16" t="inlineStr">
        <is>
          <t>KF-M05</t>
        </is>
      </c>
      <c r="F2093" s="16" t="inlineStr">
        <is>
          <t>KF-M05-4</t>
        </is>
      </c>
      <c r="G2093" s="16" t="inlineStr">
        <is>
          <t>B09-4</t>
        </is>
      </c>
      <c r="H2093" s="16" t="inlineStr">
        <is>
          <t>lhs</t>
        </is>
      </c>
      <c r="I2093" s="16" t="inlineStr">
        <is>
          <t>NO_CONVERGIO</t>
        </is>
      </c>
      <c r="J2093" s="16" t="inlineStr">
        <is>
          <t>NO_CONVERGIO</t>
        </is>
      </c>
      <c r="K2093" s="16" t="b">
        <v>0</v>
      </c>
      <c r="L2093" s="16" t="b">
        <v>0</v>
      </c>
      <c r="M2093" s="16" t="b">
        <v>0</v>
      </c>
      <c r="N2093" s="16" t="b">
        <v>0</v>
      </c>
      <c r="O2093" s="16" t="n">
        <v>623.15</v>
      </c>
      <c r="P2093" s="16" t="n">
        <v>300.032917</v>
      </c>
      <c r="Q2093" s="16" t="n">
        <v>3000</v>
      </c>
      <c r="R2093" s="16" t="n">
        <v>1138.318127629254</v>
      </c>
      <c r="S2093" s="16" t="n">
        <v>0.6456181897663748</v>
      </c>
      <c r="T2093" s="16" t="n">
        <v>0.8411171097658343</v>
      </c>
      <c r="U2093" s="16" t="n">
        <v>0.5814004432539954</v>
      </c>
      <c r="V2093" s="16" t="n">
        <v>0.7857332970793147</v>
      </c>
      <c r="W2093" s="16" t="n">
        <v>0.4937653962304343</v>
      </c>
      <c r="X2093" s="16" t="n">
        <v>0.6815823851800844</v>
      </c>
      <c r="Y2093" s="16" t="n">
        <v>300.032917</v>
      </c>
      <c r="Z2093" s="16" t="n"/>
      <c r="AA2093" s="16" t="n"/>
      <c r="AB2093" s="16" t="n">
        <v>1861.681872370746</v>
      </c>
      <c r="AC2093" s="16" t="n">
        <v>2.635467122225334</v>
      </c>
      <c r="AD2093" s="16" t="n"/>
      <c r="AE2093" s="16" t="n"/>
    </row>
    <row r="2094">
      <c r="A2094" s="16" t="inlineStr">
        <is>
          <t>KF-M05-4-0013</t>
        </is>
      </c>
      <c r="B2094" s="16" t="inlineStr">
        <is>
          <t>4.1</t>
        </is>
      </c>
      <c r="C2094" s="16" t="inlineStr">
        <is>
          <t>4.1d</t>
        </is>
      </c>
      <c r="D2094" s="16" t="inlineStr">
        <is>
          <t>conserva su P_alta y sus temperaturas</t>
        </is>
      </c>
      <c r="E2094" s="16" t="inlineStr">
        <is>
          <t>KF-M05</t>
        </is>
      </c>
      <c r="F2094" s="16" t="inlineStr">
        <is>
          <t>KF-M05-4</t>
        </is>
      </c>
      <c r="G2094" s="16" t="inlineStr">
        <is>
          <t>B09-4</t>
        </is>
      </c>
      <c r="H2094" s="16" t="inlineStr">
        <is>
          <t>lhs</t>
        </is>
      </c>
      <c r="I2094" s="16" t="inlineStr">
        <is>
          <t>INVIABLE</t>
        </is>
      </c>
      <c r="J2094" s="16" t="inlineStr">
        <is>
          <t>INVIABLE</t>
        </is>
      </c>
      <c r="K2094" s="16" t="b">
        <v>1</v>
      </c>
      <c r="L2094" s="16" t="b">
        <v>0</v>
      </c>
      <c r="M2094" s="16" t="b">
        <v>1</v>
      </c>
      <c r="N2094" s="16" t="b">
        <v>0</v>
      </c>
      <c r="O2094" s="16" t="n">
        <v>623.15</v>
      </c>
      <c r="P2094" s="16" t="n">
        <v>300.032917</v>
      </c>
      <c r="Q2094" s="16" t="n">
        <v>3000</v>
      </c>
      <c r="R2094" s="16" t="n">
        <v>437.2853716932784</v>
      </c>
      <c r="S2094" s="16" t="n">
        <v>0.7298851594154684</v>
      </c>
      <c r="T2094" s="16" t="n">
        <v>0.5924434185499144</v>
      </c>
      <c r="U2094" s="16" t="n">
        <v>0.6692511585898829</v>
      </c>
      <c r="V2094" s="16" t="n">
        <v>0.5192941760589942</v>
      </c>
      <c r="W2094" s="16" t="n">
        <v>0.6743756556368615</v>
      </c>
      <c r="X2094" s="16" t="n">
        <v>0.6411219790315156</v>
      </c>
      <c r="Y2094" s="16" t="n">
        <v>300.032917</v>
      </c>
      <c r="Z2094" s="16" t="n">
        <v>-15.64826240641829</v>
      </c>
      <c r="AA2094" s="16" t="n">
        <v>-99.2353711045308</v>
      </c>
      <c r="AB2094" s="16" t="n">
        <v>2562.714628306721</v>
      </c>
      <c r="AC2094" s="16" t="n">
        <v>6.86050847844109</v>
      </c>
      <c r="AD2094" s="16" t="inlineStr">
        <is>
          <t>O2,O3</t>
        </is>
      </c>
      <c r="AE2094" s="16" t="n"/>
    </row>
    <row r="2095">
      <c r="A2095" s="16" t="inlineStr">
        <is>
          <t>KF-M05-4-0014</t>
        </is>
      </c>
      <c r="B2095" s="16" t="inlineStr">
        <is>
          <t>4.1</t>
        </is>
      </c>
      <c r="C2095" s="16" t="inlineStr">
        <is>
          <t>4.1d</t>
        </is>
      </c>
      <c r="D2095" s="16" t="inlineStr">
        <is>
          <t>conserva su P_alta y sus temperaturas</t>
        </is>
      </c>
      <c r="E2095" s="16" t="inlineStr">
        <is>
          <t>KF-M05</t>
        </is>
      </c>
      <c r="F2095" s="16" t="inlineStr">
        <is>
          <t>KF-M05-4</t>
        </is>
      </c>
      <c r="G2095" s="16" t="inlineStr">
        <is>
          <t>B09-4</t>
        </is>
      </c>
      <c r="H2095" s="16" t="inlineStr">
        <is>
          <t>lhs</t>
        </is>
      </c>
      <c r="I2095" s="16" t="inlineStr">
        <is>
          <t>NO_CONVERGIO</t>
        </is>
      </c>
      <c r="J2095" s="16" t="inlineStr">
        <is>
          <t>NO_CONVERGIO</t>
        </is>
      </c>
      <c r="K2095" s="16" t="b">
        <v>0</v>
      </c>
      <c r="L2095" s="16" t="b">
        <v>0</v>
      </c>
      <c r="M2095" s="16" t="b">
        <v>0</v>
      </c>
      <c r="N2095" s="16" t="b">
        <v>0</v>
      </c>
      <c r="O2095" s="16" t="n">
        <v>623.15</v>
      </c>
      <c r="P2095" s="16" t="n">
        <v>300.032917</v>
      </c>
      <c r="Q2095" s="16" t="n">
        <v>3000</v>
      </c>
      <c r="R2095" s="16" t="n">
        <v>1660.614434685504</v>
      </c>
      <c r="S2095" s="16" t="n">
        <v>0.8242204246947057</v>
      </c>
      <c r="T2095" s="16" t="n">
        <v>0.914937195529518</v>
      </c>
      <c r="U2095" s="16" t="n">
        <v>0.4942126003760404</v>
      </c>
      <c r="V2095" s="16" t="n">
        <v>0.5480687813948359</v>
      </c>
      <c r="W2095" s="16" t="n">
        <v>0.4064070189614086</v>
      </c>
      <c r="X2095" s="16" t="n">
        <v>0.9053333813577866</v>
      </c>
      <c r="Y2095" s="16" t="n">
        <v>300.032917</v>
      </c>
      <c r="Z2095" s="16" t="n"/>
      <c r="AA2095" s="16" t="n"/>
      <c r="AB2095" s="16" t="n">
        <v>1339.385565314496</v>
      </c>
      <c r="AC2095" s="16" t="n">
        <v>1.806560232970729</v>
      </c>
      <c r="AD2095" s="16" t="n"/>
      <c r="AE2095" s="16" t="n"/>
    </row>
    <row r="2096">
      <c r="A2096" s="16" t="inlineStr">
        <is>
          <t>KF-M05-4-0015</t>
        </is>
      </c>
      <c r="B2096" s="16" t="inlineStr">
        <is>
          <t>4.1</t>
        </is>
      </c>
      <c r="C2096" s="16" t="inlineStr">
        <is>
          <t>4.1d</t>
        </is>
      </c>
      <c r="D2096" s="16" t="inlineStr">
        <is>
          <t>conserva su P_alta y sus temperaturas</t>
        </is>
      </c>
      <c r="E2096" s="16" t="inlineStr">
        <is>
          <t>KF-M05</t>
        </is>
      </c>
      <c r="F2096" s="16" t="inlineStr">
        <is>
          <t>KF-M05-4</t>
        </is>
      </c>
      <c r="G2096" s="16" t="inlineStr">
        <is>
          <t>B09-4</t>
        </is>
      </c>
      <c r="H2096" s="16" t="inlineStr">
        <is>
          <t>lhs</t>
        </is>
      </c>
      <c r="I2096" s="16" t="inlineStr">
        <is>
          <t>NO_CONVERGIO</t>
        </is>
      </c>
      <c r="J2096" s="16" t="inlineStr">
        <is>
          <t>NO_CONVERGIO</t>
        </is>
      </c>
      <c r="K2096" s="16" t="b">
        <v>0</v>
      </c>
      <c r="L2096" s="16" t="b">
        <v>0</v>
      </c>
      <c r="M2096" s="16" t="b">
        <v>0</v>
      </c>
      <c r="N2096" s="16" t="b">
        <v>0</v>
      </c>
      <c r="O2096" s="16" t="n">
        <v>623.15</v>
      </c>
      <c r="P2096" s="16" t="n">
        <v>300.032917</v>
      </c>
      <c r="Q2096" s="16" t="n">
        <v>3000</v>
      </c>
      <c r="R2096" s="16" t="n">
        <v>1705.63498112856</v>
      </c>
      <c r="S2096" s="16" t="n">
        <v>0.754073311067033</v>
      </c>
      <c r="T2096" s="16" t="n">
        <v>0.824713559608435</v>
      </c>
      <c r="U2096" s="16" t="n">
        <v>0.5725492996808392</v>
      </c>
      <c r="V2096" s="16" t="n">
        <v>0.8434858184801913</v>
      </c>
      <c r="W2096" s="16" t="n">
        <v>0.4009418555084996</v>
      </c>
      <c r="X2096" s="16" t="n">
        <v>0.6638963361030692</v>
      </c>
      <c r="Y2096" s="16" t="n">
        <v>300.032917</v>
      </c>
      <c r="Z2096" s="16" t="n"/>
      <c r="AA2096" s="16" t="n"/>
      <c r="AB2096" s="16" t="n">
        <v>1294.36501887144</v>
      </c>
      <c r="AC2096" s="16" t="n">
        <v>1.75887574609604</v>
      </c>
      <c r="AD2096" s="16" t="n"/>
      <c r="AE2096" s="16" t="n"/>
    </row>
    <row r="2097">
      <c r="A2097" s="16" t="inlineStr">
        <is>
          <t>KF-M05-4-0016</t>
        </is>
      </c>
      <c r="B2097" s="16" t="inlineStr">
        <is>
          <t>4.1</t>
        </is>
      </c>
      <c r="C2097" s="16" t="inlineStr">
        <is>
          <t>4.1d</t>
        </is>
      </c>
      <c r="D2097" s="16" t="inlineStr">
        <is>
          <t>conserva su P_alta y sus temperaturas</t>
        </is>
      </c>
      <c r="E2097" s="16" t="inlineStr">
        <is>
          <t>KF-M05</t>
        </is>
      </c>
      <c r="F2097" s="16" t="inlineStr">
        <is>
          <t>KF-M05-4</t>
        </is>
      </c>
      <c r="G2097" s="16" t="inlineStr">
        <is>
          <t>B09-4</t>
        </is>
      </c>
      <c r="H2097" s="16" t="inlineStr">
        <is>
          <t>lhs</t>
        </is>
      </c>
      <c r="I2097" s="16" t="inlineStr">
        <is>
          <t>INVIABLE</t>
        </is>
      </c>
      <c r="J2097" s="16" t="inlineStr">
        <is>
          <t>INVIABLE</t>
        </is>
      </c>
      <c r="K2097" s="16" t="b">
        <v>1</v>
      </c>
      <c r="L2097" s="16" t="b">
        <v>0</v>
      </c>
      <c r="M2097" s="16" t="b">
        <v>1</v>
      </c>
      <c r="N2097" s="16" t="b">
        <v>0</v>
      </c>
      <c r="O2097" s="16" t="n">
        <v>623.15</v>
      </c>
      <c r="P2097" s="16" t="n">
        <v>300.032917</v>
      </c>
      <c r="Q2097" s="16" t="n">
        <v>3000</v>
      </c>
      <c r="R2097" s="16" t="n">
        <v>1870.145025266477</v>
      </c>
      <c r="S2097" s="16" t="n">
        <v>0.5908219338012439</v>
      </c>
      <c r="T2097" s="16" t="n">
        <v>0.7722423689384923</v>
      </c>
      <c r="U2097" s="16" t="n">
        <v>0.5770970424460873</v>
      </c>
      <c r="V2097" s="16" t="n">
        <v>0.4260273001304476</v>
      </c>
      <c r="W2097" s="16" t="n">
        <v>0.7003651737922857</v>
      </c>
      <c r="X2097" s="16" t="n">
        <v>0.4454416846726108</v>
      </c>
      <c r="Y2097" s="16" t="n">
        <v>300.032917</v>
      </c>
      <c r="Z2097" s="16" t="n">
        <v>-0.5366891897381</v>
      </c>
      <c r="AA2097" s="16" t="n">
        <v>-3.789283116971746</v>
      </c>
      <c r="AB2097" s="16" t="n">
        <v>1129.854974733523</v>
      </c>
      <c r="AC2097" s="16" t="n">
        <v>1.60415366694491</v>
      </c>
      <c r="AD2097" s="16" t="inlineStr">
        <is>
          <t>O2,O3</t>
        </is>
      </c>
      <c r="AE2097" s="16" t="n"/>
    </row>
    <row r="2098">
      <c r="A2098" s="16" t="inlineStr">
        <is>
          <t>KF-M05-4-0017</t>
        </is>
      </c>
      <c r="B2098" s="16" t="inlineStr">
        <is>
          <t>4.1</t>
        </is>
      </c>
      <c r="C2098" s="16" t="inlineStr">
        <is>
          <t>4.1d</t>
        </is>
      </c>
      <c r="D2098" s="16" t="inlineStr">
        <is>
          <t>conserva su P_alta y sus temperaturas</t>
        </is>
      </c>
      <c r="E2098" s="16" t="inlineStr">
        <is>
          <t>KF-M05</t>
        </is>
      </c>
      <c r="F2098" s="16" t="inlineStr">
        <is>
          <t>KF-M05-4</t>
        </is>
      </c>
      <c r="G2098" s="16" t="inlineStr">
        <is>
          <t>B09-4</t>
        </is>
      </c>
      <c r="H2098" s="16" t="inlineStr">
        <is>
          <t>lhs</t>
        </is>
      </c>
      <c r="I2098" s="16" t="inlineStr">
        <is>
          <t>NO_CONVERGIO</t>
        </is>
      </c>
      <c r="J2098" s="16" t="inlineStr">
        <is>
          <t>NO_CONVERGIO</t>
        </is>
      </c>
      <c r="K2098" s="16" t="b">
        <v>0</v>
      </c>
      <c r="L2098" s="16" t="b">
        <v>0</v>
      </c>
      <c r="M2098" s="16" t="b">
        <v>0</v>
      </c>
      <c r="N2098" s="16" t="b">
        <v>0</v>
      </c>
      <c r="O2098" s="16" t="n">
        <v>623.15</v>
      </c>
      <c r="P2098" s="16" t="n">
        <v>300.032917</v>
      </c>
      <c r="Q2098" s="16" t="n">
        <v>3000</v>
      </c>
      <c r="R2098" s="16" t="n">
        <v>1465.485047228687</v>
      </c>
      <c r="S2098" s="16" t="n">
        <v>0.6133114015984311</v>
      </c>
      <c r="T2098" s="16" t="n">
        <v>0.5481276477604758</v>
      </c>
      <c r="U2098" s="16" t="n">
        <v>0.9089901767901152</v>
      </c>
      <c r="V2098" s="16" t="n">
        <v>0.8393310377223441</v>
      </c>
      <c r="W2098" s="16" t="n">
        <v>0.7708159960667471</v>
      </c>
      <c r="X2098" s="16" t="n">
        <v>0.404870143175765</v>
      </c>
      <c r="Y2098" s="16" t="n">
        <v>300.032917</v>
      </c>
      <c r="Z2098" s="16" t="n"/>
      <c r="AA2098" s="16" t="n"/>
      <c r="AB2098" s="16" t="n">
        <v>1534.514952771313</v>
      </c>
      <c r="AC2098" s="16" t="n">
        <v>2.047103793841612</v>
      </c>
      <c r="AD2098" s="16" t="n"/>
      <c r="AE2098" s="16" t="n"/>
    </row>
    <row r="2099">
      <c r="A2099" s="16" t="inlineStr">
        <is>
          <t>KF-M05-4-0018</t>
        </is>
      </c>
      <c r="B2099" s="16" t="inlineStr">
        <is>
          <t>4.1</t>
        </is>
      </c>
      <c r="C2099" s="16" t="inlineStr">
        <is>
          <t>4.1d</t>
        </is>
      </c>
      <c r="D2099" s="16" t="inlineStr">
        <is>
          <t>conserva su P_alta y sus temperaturas</t>
        </is>
      </c>
      <c r="E2099" s="16" t="inlineStr">
        <is>
          <t>KF-M05</t>
        </is>
      </c>
      <c r="F2099" s="16" t="inlineStr">
        <is>
          <t>KF-M05-4</t>
        </is>
      </c>
      <c r="G2099" s="16" t="inlineStr">
        <is>
          <t>B09-4</t>
        </is>
      </c>
      <c r="H2099" s="16" t="inlineStr">
        <is>
          <t>lhs</t>
        </is>
      </c>
      <c r="I2099" s="16" t="inlineStr">
        <is>
          <t>NO_CONVERGIO</t>
        </is>
      </c>
      <c r="J2099" s="16" t="inlineStr">
        <is>
          <t>NO_CONVERGIO</t>
        </is>
      </c>
      <c r="K2099" s="16" t="b">
        <v>0</v>
      </c>
      <c r="L2099" s="16" t="b">
        <v>0</v>
      </c>
      <c r="M2099" s="16" t="b">
        <v>0</v>
      </c>
      <c r="N2099" s="16" t="b">
        <v>0</v>
      </c>
      <c r="O2099" s="16" t="n">
        <v>623.15</v>
      </c>
      <c r="P2099" s="16" t="n">
        <v>300.032917</v>
      </c>
      <c r="Q2099" s="16" t="n">
        <v>3000</v>
      </c>
      <c r="R2099" s="16" t="n">
        <v>1977.78454007679</v>
      </c>
      <c r="S2099" s="16" t="n">
        <v>0.5418117246702819</v>
      </c>
      <c r="T2099" s="16" t="n">
        <v>0.5059651540151665</v>
      </c>
      <c r="U2099" s="16" t="n">
        <v>0.9015468900081344</v>
      </c>
      <c r="V2099" s="16" t="n">
        <v>0.8700563978160546</v>
      </c>
      <c r="W2099" s="16" t="n">
        <v>0.8976757433974513</v>
      </c>
      <c r="X2099" s="16" t="n">
        <v>0.695591952432127</v>
      </c>
      <c r="Y2099" s="16" t="n">
        <v>300.032917</v>
      </c>
      <c r="Z2099" s="16" t="n"/>
      <c r="AA2099" s="16" t="n"/>
      <c r="AB2099" s="16" t="n">
        <v>1022.21545992321</v>
      </c>
      <c r="AC2099" s="16" t="n">
        <v>1.516848746266124</v>
      </c>
      <c r="AD2099" s="16" t="n"/>
      <c r="AE2099" s="16" t="n"/>
    </row>
    <row r="2100">
      <c r="A2100" s="16" t="inlineStr">
        <is>
          <t>KF-M05-4-0019</t>
        </is>
      </c>
      <c r="B2100" s="16" t="inlineStr">
        <is>
          <t>4.1</t>
        </is>
      </c>
      <c r="C2100" s="16" t="inlineStr">
        <is>
          <t>4.1d</t>
        </is>
      </c>
      <c r="D2100" s="16" t="inlineStr">
        <is>
          <t>conserva su P_alta y sus temperaturas</t>
        </is>
      </c>
      <c r="E2100" s="16" t="inlineStr">
        <is>
          <t>KF-M05</t>
        </is>
      </c>
      <c r="F2100" s="16" t="inlineStr">
        <is>
          <t>KF-M05-4</t>
        </is>
      </c>
      <c r="G2100" s="16" t="inlineStr">
        <is>
          <t>B09-4</t>
        </is>
      </c>
      <c r="H2100" s="16" t="inlineStr">
        <is>
          <t>lhs</t>
        </is>
      </c>
      <c r="I2100" s="16" t="inlineStr">
        <is>
          <t>NO_CONVERGIO</t>
        </is>
      </c>
      <c r="J2100" s="16" t="inlineStr">
        <is>
          <t>NO_CONVERGIO</t>
        </is>
      </c>
      <c r="K2100" s="16" t="b">
        <v>0</v>
      </c>
      <c r="L2100" s="16" t="b">
        <v>0</v>
      </c>
      <c r="M2100" s="16" t="b">
        <v>0</v>
      </c>
      <c r="N2100" s="16" t="b">
        <v>0</v>
      </c>
      <c r="O2100" s="16" t="n">
        <v>623.15</v>
      </c>
      <c r="P2100" s="16" t="n">
        <v>300.032917</v>
      </c>
      <c r="Q2100" s="16" t="n">
        <v>3000</v>
      </c>
      <c r="R2100" s="16" t="n">
        <v>1838.875486340434</v>
      </c>
      <c r="S2100" s="16" t="n">
        <v>0.6761676545405224</v>
      </c>
      <c r="T2100" s="16" t="n">
        <v>0.6720647913048867</v>
      </c>
      <c r="U2100" s="16" t="n">
        <v>0.7558620231832552</v>
      </c>
      <c r="V2100" s="16" t="n">
        <v>0.8578229207360397</v>
      </c>
      <c r="W2100" s="16" t="n">
        <v>0.8782425309575499</v>
      </c>
      <c r="X2100" s="16" t="n">
        <v>0.5363377605147029</v>
      </c>
      <c r="Y2100" s="16" t="n">
        <v>300.032917</v>
      </c>
      <c r="Z2100" s="16" t="n"/>
      <c r="AA2100" s="16" t="n"/>
      <c r="AB2100" s="16" t="n">
        <v>1161.124513659566</v>
      </c>
      <c r="AC2100" s="16" t="n">
        <v>1.631431830096518</v>
      </c>
      <c r="AD2100" s="16" t="n"/>
      <c r="AE2100" s="16" t="n"/>
    </row>
    <row r="2101">
      <c r="A2101" s="16" t="inlineStr">
        <is>
          <t>KF-M05-4-0020</t>
        </is>
      </c>
      <c r="B2101" s="16" t="inlineStr">
        <is>
          <t>4.1</t>
        </is>
      </c>
      <c r="C2101" s="16" t="inlineStr">
        <is>
          <t>4.1d</t>
        </is>
      </c>
      <c r="D2101" s="16" t="inlineStr">
        <is>
          <t>conserva su P_alta y sus temperaturas</t>
        </is>
      </c>
      <c r="E2101" s="16" t="inlineStr">
        <is>
          <t>KF-M05</t>
        </is>
      </c>
      <c r="F2101" s="16" t="inlineStr">
        <is>
          <t>KF-M05-4</t>
        </is>
      </c>
      <c r="G2101" s="16" t="inlineStr">
        <is>
          <t>B09-4</t>
        </is>
      </c>
      <c r="H2101" s="16" t="inlineStr">
        <is>
          <t>lhs</t>
        </is>
      </c>
      <c r="I2101" s="16" t="inlineStr">
        <is>
          <t>CORREGIBLE</t>
        </is>
      </c>
      <c r="J2101" s="16" t="inlineStr">
        <is>
          <t>CORREGIBLE</t>
        </is>
      </c>
      <c r="K2101" s="16" t="b">
        <v>1</v>
      </c>
      <c r="L2101" s="16" t="b">
        <v>0</v>
      </c>
      <c r="M2101" s="16" t="b">
        <v>1</v>
      </c>
      <c r="N2101" s="16" t="b">
        <v>0</v>
      </c>
      <c r="O2101" s="16" t="n">
        <v>623.15</v>
      </c>
      <c r="P2101" s="16" t="n">
        <v>300.032917</v>
      </c>
      <c r="Q2101" s="16" t="n">
        <v>3000</v>
      </c>
      <c r="R2101" s="16" t="n">
        <v>613.7354778810571</v>
      </c>
      <c r="S2101" s="16" t="n">
        <v>0.70625141138347</v>
      </c>
      <c r="T2101" s="16" t="n">
        <v>0.6105928828991656</v>
      </c>
      <c r="U2101" s="16" t="n">
        <v>0.9230696890239442</v>
      </c>
      <c r="V2101" s="16" t="n">
        <v>0.5166289794390028</v>
      </c>
      <c r="W2101" s="16" t="n">
        <v>0.8257941003109228</v>
      </c>
      <c r="X2101" s="16" t="n">
        <v>0.7212822678429447</v>
      </c>
      <c r="Y2101" s="16" t="n">
        <v>300.032917</v>
      </c>
      <c r="Z2101" s="16" t="n">
        <v>4.87895767118368</v>
      </c>
      <c r="AA2101" s="16" t="n">
        <v>45.13256741474427</v>
      </c>
      <c r="AB2101" s="16" t="n">
        <v>2386.264522118943</v>
      </c>
      <c r="AC2101" s="16" t="n">
        <v>4.888099365475177</v>
      </c>
      <c r="AD2101" s="16" t="inlineStr">
        <is>
          <t>O2</t>
        </is>
      </c>
      <c r="AE2101" s="16" t="n"/>
    </row>
    <row r="2102">
      <c r="A2102" s="16" t="inlineStr">
        <is>
          <t>KF-M05-4-0021</t>
        </is>
      </c>
      <c r="B2102" s="16" t="inlineStr">
        <is>
          <t>4.1</t>
        </is>
      </c>
      <c r="C2102" s="16" t="inlineStr">
        <is>
          <t>4.1d</t>
        </is>
      </c>
      <c r="D2102" s="16" t="inlineStr">
        <is>
          <t>conserva su P_alta y sus temperaturas</t>
        </is>
      </c>
      <c r="E2102" s="16" t="inlineStr">
        <is>
          <t>KF-M05</t>
        </is>
      </c>
      <c r="F2102" s="16" t="inlineStr">
        <is>
          <t>KF-M05-4</t>
        </is>
      </c>
      <c r="G2102" s="16" t="inlineStr">
        <is>
          <t>B09-4</t>
        </is>
      </c>
      <c r="H2102" s="16" t="inlineStr">
        <is>
          <t>lhs</t>
        </is>
      </c>
      <c r="I2102" s="16" t="inlineStr">
        <is>
          <t>NO_CONVERGIO</t>
        </is>
      </c>
      <c r="J2102" s="16" t="inlineStr">
        <is>
          <t>NO_CONVERGIO</t>
        </is>
      </c>
      <c r="K2102" s="16" t="b">
        <v>0</v>
      </c>
      <c r="L2102" s="16" t="b">
        <v>0</v>
      </c>
      <c r="M2102" s="16" t="b">
        <v>0</v>
      </c>
      <c r="N2102" s="16" t="b">
        <v>0</v>
      </c>
      <c r="O2102" s="16" t="n">
        <v>623.15</v>
      </c>
      <c r="P2102" s="16" t="n">
        <v>300.032917</v>
      </c>
      <c r="Q2102" s="16" t="n">
        <v>3000</v>
      </c>
      <c r="R2102" s="16" t="n">
        <v>393.8492497318071</v>
      </c>
      <c r="S2102" s="16" t="n">
        <v>0.6531644423108921</v>
      </c>
      <c r="T2102" s="16" t="n">
        <v>0.5228742452832313</v>
      </c>
      <c r="U2102" s="16" t="n">
        <v>0.8667046734974475</v>
      </c>
      <c r="V2102" s="16" t="n">
        <v>0.8870418167149781</v>
      </c>
      <c r="W2102" s="16" t="n">
        <v>0.6228022707516609</v>
      </c>
      <c r="X2102" s="16" t="n">
        <v>0.4580499685917563</v>
      </c>
      <c r="Y2102" s="16" t="n">
        <v>300.032917</v>
      </c>
      <c r="Z2102" s="16" t="n"/>
      <c r="AA2102" s="16" t="n"/>
      <c r="AB2102" s="16" t="n">
        <v>2606.150750268193</v>
      </c>
      <c r="AC2102" s="16" t="n">
        <v>7.617127624447322</v>
      </c>
      <c r="AD2102" s="16" t="n"/>
      <c r="AE2102" s="16" t="n"/>
    </row>
    <row r="2103">
      <c r="A2103" s="16" t="inlineStr">
        <is>
          <t>KF-M05-4-0022</t>
        </is>
      </c>
      <c r="B2103" s="16" t="inlineStr">
        <is>
          <t>4.1</t>
        </is>
      </c>
      <c r="C2103" s="16" t="inlineStr">
        <is>
          <t>4.1d</t>
        </is>
      </c>
      <c r="D2103" s="16" t="inlineStr">
        <is>
          <t>conserva su P_alta y sus temperaturas</t>
        </is>
      </c>
      <c r="E2103" s="16" t="inlineStr">
        <is>
          <t>KF-M05</t>
        </is>
      </c>
      <c r="F2103" s="16" t="inlineStr">
        <is>
          <t>KF-M05-4</t>
        </is>
      </c>
      <c r="G2103" s="16" t="inlineStr">
        <is>
          <t>B09-4</t>
        </is>
      </c>
      <c r="H2103" s="16" t="inlineStr">
        <is>
          <t>lhs</t>
        </is>
      </c>
      <c r="I2103" s="16" t="inlineStr">
        <is>
          <t>NO_CONVERGIO</t>
        </is>
      </c>
      <c r="J2103" s="16" t="inlineStr">
        <is>
          <t>NO_CONVERGIO</t>
        </is>
      </c>
      <c r="K2103" s="16" t="b">
        <v>0</v>
      </c>
      <c r="L2103" s="16" t="b">
        <v>0</v>
      </c>
      <c r="M2103" s="16" t="b">
        <v>0</v>
      </c>
      <c r="N2103" s="16" t="b">
        <v>0</v>
      </c>
      <c r="O2103" s="16" t="n">
        <v>623.15</v>
      </c>
      <c r="P2103" s="16" t="n">
        <v>300.032917</v>
      </c>
      <c r="Q2103" s="16" t="n">
        <v>3000</v>
      </c>
      <c r="R2103" s="16" t="n">
        <v>784.4058810947986</v>
      </c>
      <c r="S2103" s="16" t="n">
        <v>0.7952625181166705</v>
      </c>
      <c r="T2103" s="16" t="n">
        <v>0.7485657451914667</v>
      </c>
      <c r="U2103" s="16" t="n">
        <v>0.7008530001819389</v>
      </c>
      <c r="V2103" s="16" t="n">
        <v>0.9385304818062288</v>
      </c>
      <c r="W2103" s="16" t="n">
        <v>0.8382385337584858</v>
      </c>
      <c r="X2103" s="16" t="n">
        <v>0.8607036365524761</v>
      </c>
      <c r="Y2103" s="16" t="n">
        <v>300.032917</v>
      </c>
      <c r="Z2103" s="16" t="n"/>
      <c r="AA2103" s="16" t="n"/>
      <c r="AB2103" s="16" t="n">
        <v>2215.594118905201</v>
      </c>
      <c r="AC2103" s="16" t="n">
        <v>3.824550621437064</v>
      </c>
      <c r="AD2103" s="16" t="n"/>
      <c r="AE2103" s="16" t="n"/>
    </row>
    <row r="2104">
      <c r="A2104" s="16" t="inlineStr">
        <is>
          <t>KF-M05-4-0023</t>
        </is>
      </c>
      <c r="B2104" s="16" t="inlineStr">
        <is>
          <t>4.1</t>
        </is>
      </c>
      <c r="C2104" s="16" t="inlineStr">
        <is>
          <t>4.1d</t>
        </is>
      </c>
      <c r="D2104" s="16" t="inlineStr">
        <is>
          <t>conserva su P_alta y sus temperaturas</t>
        </is>
      </c>
      <c r="E2104" s="16" t="inlineStr">
        <is>
          <t>KF-M05</t>
        </is>
      </c>
      <c r="F2104" s="16" t="inlineStr">
        <is>
          <t>KF-M05-4</t>
        </is>
      </c>
      <c r="G2104" s="16" t="inlineStr">
        <is>
          <t>B09-4</t>
        </is>
      </c>
      <c r="H2104" s="16" t="inlineStr">
        <is>
          <t>lhs</t>
        </is>
      </c>
      <c r="I2104" s="16" t="inlineStr">
        <is>
          <t>CORREGIBLE</t>
        </is>
      </c>
      <c r="J2104" s="16" t="inlineStr">
        <is>
          <t>CORREGIBLE</t>
        </is>
      </c>
      <c r="K2104" s="16" t="b">
        <v>1</v>
      </c>
      <c r="L2104" s="16" t="b">
        <v>0</v>
      </c>
      <c r="M2104" s="16" t="b">
        <v>1</v>
      </c>
      <c r="N2104" s="16" t="b">
        <v>0</v>
      </c>
      <c r="O2104" s="16" t="n">
        <v>623.15</v>
      </c>
      <c r="P2104" s="16" t="n">
        <v>300.032917</v>
      </c>
      <c r="Q2104" s="16" t="n">
        <v>3000</v>
      </c>
      <c r="R2104" s="16" t="n">
        <v>857.4331502762775</v>
      </c>
      <c r="S2104" s="16" t="n">
        <v>0.665306361983786</v>
      </c>
      <c r="T2104" s="16" t="n">
        <v>0.7155018686029728</v>
      </c>
      <c r="U2104" s="16" t="n">
        <v>0.8950582855081279</v>
      </c>
      <c r="V2104" s="16" t="n">
        <v>0.7737886791510455</v>
      </c>
      <c r="W2104" s="16" t="n">
        <v>0.8682110066006609</v>
      </c>
      <c r="X2104" s="16" t="n">
        <v>0.8074954358273252</v>
      </c>
      <c r="Y2104" s="16" t="n">
        <v>300.032917</v>
      </c>
      <c r="Z2104" s="16" t="n">
        <v>7.55516905724779</v>
      </c>
      <c r="AA2104" s="16" t="n">
        <v>124.4675281346185</v>
      </c>
      <c r="AB2104" s="16" t="n">
        <v>2142.566849723722</v>
      </c>
      <c r="AC2104" s="16" t="n">
        <v>3.498815037689359</v>
      </c>
      <c r="AD2104" s="16" t="inlineStr">
        <is>
          <t>O2</t>
        </is>
      </c>
      <c r="AE2104" s="16" t="n"/>
    </row>
    <row r="2105">
      <c r="A2105" s="16" t="inlineStr">
        <is>
          <t>KF-M05-4-0024</t>
        </is>
      </c>
      <c r="B2105" s="16" t="inlineStr">
        <is>
          <t>4.1</t>
        </is>
      </c>
      <c r="C2105" s="16" t="inlineStr">
        <is>
          <t>4.1d</t>
        </is>
      </c>
      <c r="D2105" s="16" t="inlineStr">
        <is>
          <t>conserva su P_alta y sus temperaturas</t>
        </is>
      </c>
      <c r="E2105" s="16" t="inlineStr">
        <is>
          <t>KF-M05</t>
        </is>
      </c>
      <c r="F2105" s="16" t="inlineStr">
        <is>
          <t>KF-M05-4</t>
        </is>
      </c>
      <c r="G2105" s="16" t="inlineStr">
        <is>
          <t>B09-4</t>
        </is>
      </c>
      <c r="H2105" s="16" t="inlineStr">
        <is>
          <t>lhs</t>
        </is>
      </c>
      <c r="I2105" s="16" t="inlineStr">
        <is>
          <t>CORREGIBLE</t>
        </is>
      </c>
      <c r="J2105" s="16" t="inlineStr">
        <is>
          <t>CORREGIBLE</t>
        </is>
      </c>
      <c r="K2105" s="16" t="b">
        <v>1</v>
      </c>
      <c r="L2105" s="16" t="b">
        <v>0</v>
      </c>
      <c r="M2105" s="16" t="b">
        <v>1</v>
      </c>
      <c r="N2105" s="16" t="b">
        <v>0</v>
      </c>
      <c r="O2105" s="16" t="n">
        <v>623.15</v>
      </c>
      <c r="P2105" s="16" t="n">
        <v>300.032917</v>
      </c>
      <c r="Q2105" s="16" t="n">
        <v>3000</v>
      </c>
      <c r="R2105" s="16" t="n">
        <v>534.6202301174767</v>
      </c>
      <c r="S2105" s="16" t="n">
        <v>0.5494509453307975</v>
      </c>
      <c r="T2105" s="16" t="n">
        <v>0.5424515807076006</v>
      </c>
      <c r="U2105" s="16" t="n">
        <v>0.4163692281200668</v>
      </c>
      <c r="V2105" s="16" t="n">
        <v>0.4292915223539957</v>
      </c>
      <c r="W2105" s="16" t="n">
        <v>0.4455348306980559</v>
      </c>
      <c r="X2105" s="16" t="n">
        <v>0.8760133476384657</v>
      </c>
      <c r="Y2105" s="16" t="n">
        <v>300.032917</v>
      </c>
      <c r="Z2105" s="16" t="n">
        <v>6.32633547541714</v>
      </c>
      <c r="AA2105" s="16" t="n">
        <v>65.84450299867635</v>
      </c>
      <c r="AB2105" s="16" t="n">
        <v>2465.379769882524</v>
      </c>
      <c r="AC2105" s="16" t="n">
        <v>5.611459931736561</v>
      </c>
      <c r="AD2105" s="16" t="inlineStr">
        <is>
          <t>O2</t>
        </is>
      </c>
      <c r="AE2105" s="16" t="n"/>
    </row>
    <row r="2106">
      <c r="A2106" s="16" t="inlineStr">
        <is>
          <t>KF-M05-4-0025</t>
        </is>
      </c>
      <c r="B2106" s="16" t="inlineStr">
        <is>
          <t>4.1</t>
        </is>
      </c>
      <c r="C2106" s="16" t="inlineStr">
        <is>
          <t>4.1d</t>
        </is>
      </c>
      <c r="D2106" s="16" t="inlineStr">
        <is>
          <t>conserva su P_alta y sus temperaturas</t>
        </is>
      </c>
      <c r="E2106" s="16" t="inlineStr">
        <is>
          <t>KF-M05</t>
        </is>
      </c>
      <c r="F2106" s="16" t="inlineStr">
        <is>
          <t>KF-M05-4</t>
        </is>
      </c>
      <c r="G2106" s="16" t="inlineStr">
        <is>
          <t>B09-4</t>
        </is>
      </c>
      <c r="H2106" s="16" t="inlineStr">
        <is>
          <t>lhs</t>
        </is>
      </c>
      <c r="I2106" s="16" t="inlineStr">
        <is>
          <t>NO_CONVERGIO</t>
        </is>
      </c>
      <c r="J2106" s="16" t="inlineStr">
        <is>
          <t>NO_CONVERGIO</t>
        </is>
      </c>
      <c r="K2106" s="16" t="b">
        <v>0</v>
      </c>
      <c r="L2106" s="16" t="b">
        <v>0</v>
      </c>
      <c r="M2106" s="16" t="b">
        <v>0</v>
      </c>
      <c r="N2106" s="16" t="b">
        <v>0</v>
      </c>
      <c r="O2106" s="16" t="n">
        <v>623.15</v>
      </c>
      <c r="P2106" s="16" t="n">
        <v>300.032917</v>
      </c>
      <c r="Q2106" s="16" t="n">
        <v>3000</v>
      </c>
      <c r="R2106" s="16" t="n">
        <v>1148.958789217814</v>
      </c>
      <c r="S2106" s="16" t="n">
        <v>0.760000652222367</v>
      </c>
      <c r="T2106" s="16" t="n">
        <v>0.7989701316277475</v>
      </c>
      <c r="U2106" s="16" t="n">
        <v>0.8519497851830971</v>
      </c>
      <c r="V2106" s="16" t="n">
        <v>0.8176075382046561</v>
      </c>
      <c r="W2106" s="16" t="n">
        <v>0.6387612054826345</v>
      </c>
      <c r="X2106" s="16" t="n">
        <v>0.877963936309893</v>
      </c>
      <c r="Y2106" s="16" t="n">
        <v>300.032917</v>
      </c>
      <c r="Z2106" s="16" t="n"/>
      <c r="AA2106" s="16" t="n"/>
      <c r="AB2106" s="16" t="n">
        <v>1851.041210782186</v>
      </c>
      <c r="AC2106" s="16" t="n">
        <v>2.611059707408944</v>
      </c>
      <c r="AD2106" s="16" t="n"/>
      <c r="AE2106" s="16" t="n"/>
    </row>
    <row r="2107">
      <c r="A2107" s="16" t="inlineStr">
        <is>
          <t>KF-M05-4-0026</t>
        </is>
      </c>
      <c r="B2107" s="16" t="inlineStr">
        <is>
          <t>4.1</t>
        </is>
      </c>
      <c r="C2107" s="16" t="inlineStr">
        <is>
          <t>4.1d</t>
        </is>
      </c>
      <c r="D2107" s="16" t="inlineStr">
        <is>
          <t>conserva su P_alta y sus temperaturas</t>
        </is>
      </c>
      <c r="E2107" s="16" t="inlineStr">
        <is>
          <t>KF-M05</t>
        </is>
      </c>
      <c r="F2107" s="16" t="inlineStr">
        <is>
          <t>KF-M05-4</t>
        </is>
      </c>
      <c r="G2107" s="16" t="inlineStr">
        <is>
          <t>B09-4</t>
        </is>
      </c>
      <c r="H2107" s="16" t="inlineStr">
        <is>
          <t>lhs</t>
        </is>
      </c>
      <c r="I2107" s="16" t="inlineStr">
        <is>
          <t>KALINA</t>
        </is>
      </c>
      <c r="J2107" s="16" t="inlineStr">
        <is>
          <t>KALINA</t>
        </is>
      </c>
      <c r="K2107" s="16" t="b">
        <v>1</v>
      </c>
      <c r="L2107" s="16" t="b">
        <v>0</v>
      </c>
      <c r="M2107" s="16" t="b">
        <v>1</v>
      </c>
      <c r="N2107" s="16" t="b">
        <v>0</v>
      </c>
      <c r="O2107" s="16" t="n">
        <v>623.15</v>
      </c>
      <c r="P2107" s="16" t="n">
        <v>300.032917</v>
      </c>
      <c r="Q2107" s="16" t="n">
        <v>3000</v>
      </c>
      <c r="R2107" s="16" t="n">
        <v>1912.454775916088</v>
      </c>
      <c r="S2107" s="16" t="n">
        <v>0.5701486289728103</v>
      </c>
      <c r="T2107" s="16" t="n">
        <v>0.8336554469031279</v>
      </c>
      <c r="U2107" s="16" t="n">
        <v>0.5098426675126411</v>
      </c>
      <c r="V2107" s="16" t="n">
        <v>0.6104842105459497</v>
      </c>
      <c r="W2107" s="16" t="n">
        <v>0.5093125678294237</v>
      </c>
      <c r="X2107" s="16" t="n">
        <v>0.911266002146186</v>
      </c>
      <c r="Y2107" s="16" t="n">
        <v>300.032917</v>
      </c>
      <c r="Z2107" s="16" t="n">
        <v>3.25503410212597</v>
      </c>
      <c r="AA2107" s="16" t="n">
        <v>48.44252869422144</v>
      </c>
      <c r="AB2107" s="16" t="n">
        <v>1087.545224083912</v>
      </c>
      <c r="AC2107" s="16" t="n">
        <v>1.56866454453176</v>
      </c>
      <c r="AD2107" s="16" t="n"/>
      <c r="AE2107" s="16" t="n"/>
    </row>
    <row r="2108">
      <c r="A2108" s="16" t="inlineStr">
        <is>
          <t>KF-M05-4-0027</t>
        </is>
      </c>
      <c r="B2108" s="16" t="inlineStr">
        <is>
          <t>4.1</t>
        </is>
      </c>
      <c r="C2108" s="16" t="inlineStr">
        <is>
          <t>4.1d</t>
        </is>
      </c>
      <c r="D2108" s="16" t="inlineStr">
        <is>
          <t>conserva su P_alta y sus temperaturas</t>
        </is>
      </c>
      <c r="E2108" s="16" t="inlineStr">
        <is>
          <t>KF-M05</t>
        </is>
      </c>
      <c r="F2108" s="16" t="inlineStr">
        <is>
          <t>KF-M05-4</t>
        </is>
      </c>
      <c r="G2108" s="16" t="inlineStr">
        <is>
          <t>B09-4</t>
        </is>
      </c>
      <c r="H2108" s="16" t="inlineStr">
        <is>
          <t>lhs</t>
        </is>
      </c>
      <c r="I2108" s="16" t="inlineStr">
        <is>
          <t>NO_CONVERGIO</t>
        </is>
      </c>
      <c r="J2108" s="16" t="inlineStr">
        <is>
          <t>NO_CONVERGIO</t>
        </is>
      </c>
      <c r="K2108" s="16" t="b">
        <v>0</v>
      </c>
      <c r="L2108" s="16" t="b">
        <v>0</v>
      </c>
      <c r="M2108" s="16" t="b">
        <v>0</v>
      </c>
      <c r="N2108" s="16" t="b">
        <v>0</v>
      </c>
      <c r="O2108" s="16" t="n">
        <v>623.15</v>
      </c>
      <c r="P2108" s="16" t="n">
        <v>300.032917</v>
      </c>
      <c r="Q2108" s="16" t="n">
        <v>3000</v>
      </c>
      <c r="R2108" s="16" t="n">
        <v>940.5262161009974</v>
      </c>
      <c r="S2108" s="16" t="n">
        <v>0.8405847594786373</v>
      </c>
      <c r="T2108" s="16" t="n">
        <v>0.5686280488306179</v>
      </c>
      <c r="U2108" s="16" t="n">
        <v>0.8041591743037557</v>
      </c>
      <c r="V2108" s="16" t="n">
        <v>0.7931826152909416</v>
      </c>
      <c r="W2108" s="16" t="n">
        <v>0.7104933269708599</v>
      </c>
      <c r="X2108" s="16" t="n">
        <v>0.4160096638629039</v>
      </c>
      <c r="Y2108" s="16" t="n">
        <v>300.032917</v>
      </c>
      <c r="Z2108" s="16" t="n"/>
      <c r="AA2108" s="16" t="n"/>
      <c r="AB2108" s="16" t="n">
        <v>2059.473783899003</v>
      </c>
      <c r="AC2108" s="16" t="n">
        <v>3.189703751626045</v>
      </c>
      <c r="AD2108" s="16" t="n"/>
      <c r="AE2108" s="16" t="n"/>
    </row>
    <row r="2109">
      <c r="A2109" s="16" t="inlineStr">
        <is>
          <t>KF-M05-4-0028</t>
        </is>
      </c>
      <c r="B2109" s="16" t="inlineStr">
        <is>
          <t>4.1</t>
        </is>
      </c>
      <c r="C2109" s="16" t="inlineStr">
        <is>
          <t>4.1d</t>
        </is>
      </c>
      <c r="D2109" s="16" t="inlineStr">
        <is>
          <t>conserva su P_alta y sus temperaturas</t>
        </is>
      </c>
      <c r="E2109" s="16" t="inlineStr">
        <is>
          <t>KF-M05</t>
        </is>
      </c>
      <c r="F2109" s="16" t="inlineStr">
        <is>
          <t>KF-M05-4</t>
        </is>
      </c>
      <c r="G2109" s="16" t="inlineStr">
        <is>
          <t>B09-4</t>
        </is>
      </c>
      <c r="H2109" s="16" t="inlineStr">
        <is>
          <t>lhs</t>
        </is>
      </c>
      <c r="I2109" s="16" t="inlineStr">
        <is>
          <t>INVIABLE</t>
        </is>
      </c>
      <c r="J2109" s="16" t="inlineStr">
        <is>
          <t>INVIABLE</t>
        </is>
      </c>
      <c r="K2109" s="16" t="b">
        <v>1</v>
      </c>
      <c r="L2109" s="16" t="b">
        <v>0</v>
      </c>
      <c r="M2109" s="16" t="b">
        <v>1</v>
      </c>
      <c r="N2109" s="16" t="b">
        <v>0</v>
      </c>
      <c r="O2109" s="16" t="n">
        <v>623.15</v>
      </c>
      <c r="P2109" s="16" t="n">
        <v>300.032917</v>
      </c>
      <c r="Q2109" s="16" t="n">
        <v>3000</v>
      </c>
      <c r="R2109" s="16" t="n">
        <v>1855.910961908544</v>
      </c>
      <c r="S2109" s="16" t="n">
        <v>0.5130454273206624</v>
      </c>
      <c r="T2109" s="16" t="n">
        <v>0.4784261955457656</v>
      </c>
      <c r="U2109" s="16" t="n">
        <v>0.44693281330219</v>
      </c>
      <c r="V2109" s="16" t="n">
        <v>0.6717790541537876</v>
      </c>
      <c r="W2109" s="16" t="n">
        <v>0.7590528766417766</v>
      </c>
      <c r="X2109" s="16" t="n">
        <v>0.5470954484665154</v>
      </c>
      <c r="Y2109" s="16" t="n">
        <v>300.032917</v>
      </c>
      <c r="Z2109" s="16" t="n">
        <v>-2.48722516645727</v>
      </c>
      <c r="AA2109" s="16" t="n">
        <v>-28.12711586853032</v>
      </c>
      <c r="AB2109" s="16" t="n">
        <v>1144.089038091456</v>
      </c>
      <c r="AC2109" s="16" t="n">
        <v>1.616456856806816</v>
      </c>
      <c r="AD2109" s="16" t="inlineStr">
        <is>
          <t>O2,O3</t>
        </is>
      </c>
      <c r="AE2109" s="16" t="n"/>
    </row>
    <row r="2110">
      <c r="A2110" s="16" t="inlineStr">
        <is>
          <t>KF-M05-4-0029</t>
        </is>
      </c>
      <c r="B2110" s="16" t="inlineStr">
        <is>
          <t>4.1</t>
        </is>
      </c>
      <c r="C2110" s="16" t="inlineStr">
        <is>
          <t>4.1d</t>
        </is>
      </c>
      <c r="D2110" s="16" t="inlineStr">
        <is>
          <t>conserva su P_alta y sus temperaturas</t>
        </is>
      </c>
      <c r="E2110" s="16" t="inlineStr">
        <is>
          <t>KF-M05</t>
        </is>
      </c>
      <c r="F2110" s="16" t="inlineStr">
        <is>
          <t>KF-M05-4</t>
        </is>
      </c>
      <c r="G2110" s="16" t="inlineStr">
        <is>
          <t>B09-4</t>
        </is>
      </c>
      <c r="H2110" s="16" t="inlineStr">
        <is>
          <t>lhs</t>
        </is>
      </c>
      <c r="I2110" s="16" t="inlineStr">
        <is>
          <t>NO_CONVERGIO</t>
        </is>
      </c>
      <c r="J2110" s="16" t="inlineStr">
        <is>
          <t>NO_CONVERGIO</t>
        </is>
      </c>
      <c r="K2110" s="16" t="b">
        <v>0</v>
      </c>
      <c r="L2110" s="16" t="b">
        <v>0</v>
      </c>
      <c r="M2110" s="16" t="b">
        <v>0</v>
      </c>
      <c r="N2110" s="16" t="b">
        <v>0</v>
      </c>
      <c r="O2110" s="16" t="n">
        <v>623.15</v>
      </c>
      <c r="P2110" s="16" t="n">
        <v>300.032917</v>
      </c>
      <c r="Q2110" s="16" t="n">
        <v>3000</v>
      </c>
      <c r="R2110" s="16" t="n">
        <v>697.4151106908666</v>
      </c>
      <c r="S2110" s="16" t="n">
        <v>0.8182918773981813</v>
      </c>
      <c r="T2110" s="16" t="n">
        <v>0.8768414224295299</v>
      </c>
      <c r="U2110" s="16" t="n">
        <v>0.4206265457254067</v>
      </c>
      <c r="V2110" s="16" t="n">
        <v>0.9412724776170992</v>
      </c>
      <c r="W2110" s="16" t="n">
        <v>0.4246228934691227</v>
      </c>
      <c r="X2110" s="16" t="n">
        <v>0.4769953071995351</v>
      </c>
      <c r="Y2110" s="16" t="n">
        <v>300.032917</v>
      </c>
      <c r="Z2110" s="16" t="n"/>
      <c r="AA2110" s="16" t="n"/>
      <c r="AB2110" s="16" t="n">
        <v>2302.584889309133</v>
      </c>
      <c r="AC2110" s="16" t="n">
        <v>4.301598795340366</v>
      </c>
      <c r="AD2110" s="16" t="n"/>
      <c r="AE2110" s="16" t="n"/>
    </row>
    <row r="2111">
      <c r="A2111" s="16" t="inlineStr">
        <is>
          <t>KF-M05-4-0030</t>
        </is>
      </c>
      <c r="B2111" s="16" t="inlineStr">
        <is>
          <t>4.1</t>
        </is>
      </c>
      <c r="C2111" s="16" t="inlineStr">
        <is>
          <t>4.1d</t>
        </is>
      </c>
      <c r="D2111" s="16" t="inlineStr">
        <is>
          <t>conserva su P_alta y sus temperaturas</t>
        </is>
      </c>
      <c r="E2111" s="16" t="inlineStr">
        <is>
          <t>KF-M05</t>
        </is>
      </c>
      <c r="F2111" s="16" t="inlineStr">
        <is>
          <t>KF-M05-4</t>
        </is>
      </c>
      <c r="G2111" s="16" t="inlineStr">
        <is>
          <t>B09-4</t>
        </is>
      </c>
      <c r="H2111" s="16" t="inlineStr">
        <is>
          <t>lhs</t>
        </is>
      </c>
      <c r="I2111" s="16" t="inlineStr">
        <is>
          <t>NO_CONVERGIO</t>
        </is>
      </c>
      <c r="J2111" s="16" t="inlineStr">
        <is>
          <t>NO_CONVERGIO</t>
        </is>
      </c>
      <c r="K2111" s="16" t="b">
        <v>0</v>
      </c>
      <c r="L2111" s="16" t="b">
        <v>0</v>
      </c>
      <c r="M2111" s="16" t="b">
        <v>0</v>
      </c>
      <c r="N2111" s="16" t="b">
        <v>0</v>
      </c>
      <c r="O2111" s="16" t="n">
        <v>623.15</v>
      </c>
      <c r="P2111" s="16" t="n">
        <v>300.032917</v>
      </c>
      <c r="Q2111" s="16" t="n">
        <v>3000</v>
      </c>
      <c r="R2111" s="16" t="n">
        <v>1542.557353209985</v>
      </c>
      <c r="S2111" s="16" t="n">
        <v>0.559546954847096</v>
      </c>
      <c r="T2111" s="16" t="n">
        <v>0.8890274914769645</v>
      </c>
      <c r="U2111" s="16" t="n">
        <v>0.6493108598804691</v>
      </c>
      <c r="V2111" s="16" t="n">
        <v>0.8118904237264808</v>
      </c>
      <c r="W2111" s="16" t="n">
        <v>0.7032631896836161</v>
      </c>
      <c r="X2111" s="16" t="n">
        <v>0.7512053763267434</v>
      </c>
      <c r="Y2111" s="16" t="n">
        <v>300.032917</v>
      </c>
      <c r="Z2111" s="16" t="n"/>
      <c r="AA2111" s="16" t="n"/>
      <c r="AB2111" s="16" t="n">
        <v>1457.442646790015</v>
      </c>
      <c r="AC2111" s="16" t="n">
        <v>1.944822339187032</v>
      </c>
      <c r="AD2111" s="16" t="n"/>
      <c r="AE2111" s="16" t="n"/>
    </row>
    <row r="2112">
      <c r="A2112" s="16" t="inlineStr">
        <is>
          <t>KF-M05-4-0031</t>
        </is>
      </c>
      <c r="B2112" s="16" t="inlineStr">
        <is>
          <t>4.1</t>
        </is>
      </c>
      <c r="C2112" s="16" t="inlineStr">
        <is>
          <t>4.1d</t>
        </is>
      </c>
      <c r="D2112" s="16" t="inlineStr">
        <is>
          <t>conserva su P_alta y sus temperaturas</t>
        </is>
      </c>
      <c r="E2112" s="16" t="inlineStr">
        <is>
          <t>KF-M05</t>
        </is>
      </c>
      <c r="F2112" s="16" t="inlineStr">
        <is>
          <t>KF-M05-4</t>
        </is>
      </c>
      <c r="G2112" s="16" t="inlineStr">
        <is>
          <t>B09-4</t>
        </is>
      </c>
      <c r="H2112" s="16" t="inlineStr">
        <is>
          <t>lhs</t>
        </is>
      </c>
      <c r="I2112" s="16" t="inlineStr">
        <is>
          <t>INVIABLE</t>
        </is>
      </c>
      <c r="J2112" s="16" t="inlineStr">
        <is>
          <t>INVIABLE</t>
        </is>
      </c>
      <c r="K2112" s="16" t="b">
        <v>1</v>
      </c>
      <c r="L2112" s="16" t="b">
        <v>0</v>
      </c>
      <c r="M2112" s="16" t="b">
        <v>1</v>
      </c>
      <c r="N2112" s="16" t="b">
        <v>0</v>
      </c>
      <c r="O2112" s="16" t="n">
        <v>623.15</v>
      </c>
      <c r="P2112" s="16" t="n">
        <v>300.032917</v>
      </c>
      <c r="Q2112" s="16" t="n">
        <v>3000</v>
      </c>
      <c r="R2112" s="16" t="n">
        <v>1516.723891032618</v>
      </c>
      <c r="S2112" s="16" t="n">
        <v>0.6261886973051616</v>
      </c>
      <c r="T2112" s="16" t="n">
        <v>0.5416680077049963</v>
      </c>
      <c r="U2112" s="16" t="n">
        <v>0.4295871687110013</v>
      </c>
      <c r="V2112" s="16" t="n">
        <v>0.582463015261897</v>
      </c>
      <c r="W2112" s="16" t="n">
        <v>0.6874859544621718</v>
      </c>
      <c r="X2112" s="16" t="n">
        <v>0.6691628268493972</v>
      </c>
      <c r="Y2112" s="16" t="n">
        <v>300.032917</v>
      </c>
      <c r="Z2112" s="16" t="n">
        <v>-0.37407117175449</v>
      </c>
      <c r="AA2112" s="16" t="n">
        <v>-4.199523238402058</v>
      </c>
      <c r="AB2112" s="16" t="n">
        <v>1483.276108967382</v>
      </c>
      <c r="AC2112" s="16" t="n">
        <v>1.977947349373877</v>
      </c>
      <c r="AD2112" s="16" t="inlineStr">
        <is>
          <t>O2,O3</t>
        </is>
      </c>
      <c r="AE2112" s="16" t="n"/>
    </row>
    <row r="2113">
      <c r="A2113" s="16" t="inlineStr">
        <is>
          <t>KF-M05-4-0032</t>
        </is>
      </c>
      <c r="B2113" s="16" t="inlineStr">
        <is>
          <t>4.1</t>
        </is>
      </c>
      <c r="C2113" s="16" t="inlineStr">
        <is>
          <t>4.1d</t>
        </is>
      </c>
      <c r="D2113" s="16" t="inlineStr">
        <is>
          <t>conserva su P_alta y sus temperaturas</t>
        </is>
      </c>
      <c r="E2113" s="16" t="inlineStr">
        <is>
          <t>KF-M05</t>
        </is>
      </c>
      <c r="F2113" s="16" t="inlineStr">
        <is>
          <t>KF-M05-4</t>
        </is>
      </c>
      <c r="G2113" s="16" t="inlineStr">
        <is>
          <t>B09-4</t>
        </is>
      </c>
      <c r="H2113" s="16" t="inlineStr">
        <is>
          <t>lhs</t>
        </is>
      </c>
      <c r="I2113" s="16" t="inlineStr">
        <is>
          <t>INVIABLE</t>
        </is>
      </c>
      <c r="J2113" s="16" t="inlineStr">
        <is>
          <t>INVIABLE</t>
        </is>
      </c>
      <c r="K2113" s="16" t="b">
        <v>1</v>
      </c>
      <c r="L2113" s="16" t="b">
        <v>0</v>
      </c>
      <c r="M2113" s="16" t="b">
        <v>1</v>
      </c>
      <c r="N2113" s="16" t="b">
        <v>0</v>
      </c>
      <c r="O2113" s="16" t="n">
        <v>623.15</v>
      </c>
      <c r="P2113" s="16" t="n">
        <v>300.032917</v>
      </c>
      <c r="Q2113" s="16" t="n">
        <v>3000</v>
      </c>
      <c r="R2113" s="16" t="n">
        <v>743.8490696558478</v>
      </c>
      <c r="S2113" s="16" t="n">
        <v>0.7207390787426582</v>
      </c>
      <c r="T2113" s="16" t="n">
        <v>0.4228167637137723</v>
      </c>
      <c r="U2113" s="16" t="n">
        <v>0.6060029266560072</v>
      </c>
      <c r="V2113" s="16" t="n">
        <v>0.4418339097235199</v>
      </c>
      <c r="W2113" s="16" t="n">
        <v>0.8329976944744291</v>
      </c>
      <c r="X2113" s="16" t="n">
        <v>0.5534784544771948</v>
      </c>
      <c r="Y2113" s="16" t="n">
        <v>300.032917</v>
      </c>
      <c r="Z2113" s="16" t="n">
        <v>-8.42670923620371</v>
      </c>
      <c r="AA2113" s="16" t="n">
        <v>-60.77853330094464</v>
      </c>
      <c r="AB2113" s="16" t="n">
        <v>2256.150930344152</v>
      </c>
      <c r="AC2113" s="16" t="n">
        <v>4.03307622793424</v>
      </c>
      <c r="AD2113" s="16" t="inlineStr">
        <is>
          <t>O2,O3</t>
        </is>
      </c>
      <c r="AE2113" s="16" t="n"/>
    </row>
    <row r="2114">
      <c r="A2114" s="16" t="inlineStr">
        <is>
          <t>KF-M05-4-0033</t>
        </is>
      </c>
      <c r="B2114" s="16" t="inlineStr">
        <is>
          <t>4.1</t>
        </is>
      </c>
      <c r="C2114" s="16" t="inlineStr">
        <is>
          <t>4.1d</t>
        </is>
      </c>
      <c r="D2114" s="16" t="inlineStr">
        <is>
          <t>conserva su P_alta y sus temperaturas</t>
        </is>
      </c>
      <c r="E2114" s="16" t="inlineStr">
        <is>
          <t>KF-M05</t>
        </is>
      </c>
      <c r="F2114" s="16" t="inlineStr">
        <is>
          <t>KF-M05-4</t>
        </is>
      </c>
      <c r="G2114" s="16" t="inlineStr">
        <is>
          <t>B09-4</t>
        </is>
      </c>
      <c r="H2114" s="16" t="inlineStr">
        <is>
          <t>lhs</t>
        </is>
      </c>
      <c r="I2114" s="16" t="inlineStr">
        <is>
          <t>NO_CONVERGIO</t>
        </is>
      </c>
      <c r="J2114" s="16" t="inlineStr">
        <is>
          <t>NO_CONVERGIO</t>
        </is>
      </c>
      <c r="K2114" s="16" t="b">
        <v>0</v>
      </c>
      <c r="L2114" s="16" t="b">
        <v>0</v>
      </c>
      <c r="M2114" s="16" t="b">
        <v>0</v>
      </c>
      <c r="N2114" s="16" t="b">
        <v>0</v>
      </c>
      <c r="O2114" s="16" t="n">
        <v>623.15</v>
      </c>
      <c r="P2114" s="16" t="n">
        <v>300.032917</v>
      </c>
      <c r="Q2114" s="16" t="n">
        <v>3000</v>
      </c>
      <c r="R2114" s="16" t="n">
        <v>1532.097235550491</v>
      </c>
      <c r="S2114" s="16" t="n">
        <v>0.5022607795824025</v>
      </c>
      <c r="T2114" s="16" t="n">
        <v>0.7170759753436055</v>
      </c>
      <c r="U2114" s="16" t="n">
        <v>0.5258109748746738</v>
      </c>
      <c r="V2114" s="16" t="n">
        <v>0.7112462027003268</v>
      </c>
      <c r="W2114" s="16" t="n">
        <v>0.7624688718809951</v>
      </c>
      <c r="X2114" s="16" t="n">
        <v>0.4619141583589686</v>
      </c>
      <c r="Y2114" s="16" t="n">
        <v>300.032917</v>
      </c>
      <c r="Z2114" s="16" t="n"/>
      <c r="AA2114" s="16" t="n"/>
      <c r="AB2114" s="16" t="n">
        <v>1467.902764449509</v>
      </c>
      <c r="AC2114" s="16" t="n">
        <v>1.9581002630829</v>
      </c>
      <c r="AD2114" s="16" t="n"/>
      <c r="AE2114" s="16" t="n"/>
    </row>
    <row r="2115">
      <c r="A2115" s="16" t="inlineStr">
        <is>
          <t>KF-M05-4-0034</t>
        </is>
      </c>
      <c r="B2115" s="16" t="inlineStr">
        <is>
          <t>4.1</t>
        </is>
      </c>
      <c r="C2115" s="16" t="inlineStr">
        <is>
          <t>4.1d</t>
        </is>
      </c>
      <c r="D2115" s="16" t="inlineStr">
        <is>
          <t>conserva su P_alta y sus temperaturas</t>
        </is>
      </c>
      <c r="E2115" s="16" t="inlineStr">
        <is>
          <t>KF-M05</t>
        </is>
      </c>
      <c r="F2115" s="16" t="inlineStr">
        <is>
          <t>KF-M05-4</t>
        </is>
      </c>
      <c r="G2115" s="16" t="inlineStr">
        <is>
          <t>B09-4</t>
        </is>
      </c>
      <c r="H2115" s="16" t="inlineStr">
        <is>
          <t>lhs</t>
        </is>
      </c>
      <c r="I2115" s="16" t="inlineStr">
        <is>
          <t>NO_CONVERGIO</t>
        </is>
      </c>
      <c r="J2115" s="16" t="inlineStr">
        <is>
          <t>NO_CONVERGIO</t>
        </is>
      </c>
      <c r="K2115" s="16" t="b">
        <v>0</v>
      </c>
      <c r="L2115" s="16" t="b">
        <v>0</v>
      </c>
      <c r="M2115" s="16" t="b">
        <v>0</v>
      </c>
      <c r="N2115" s="16" t="b">
        <v>0</v>
      </c>
      <c r="O2115" s="16" t="n">
        <v>623.15</v>
      </c>
      <c r="P2115" s="16" t="n">
        <v>300.032917</v>
      </c>
      <c r="Q2115" s="16" t="n">
        <v>3000</v>
      </c>
      <c r="R2115" s="16" t="n">
        <v>926.4880197481914</v>
      </c>
      <c r="S2115" s="16" t="n">
        <v>0.64680685769368</v>
      </c>
      <c r="T2115" s="16" t="n">
        <v>0.4325659880022738</v>
      </c>
      <c r="U2115" s="16" t="n">
        <v>0.8903217330033174</v>
      </c>
      <c r="V2115" s="16" t="n">
        <v>0.7828866349612504</v>
      </c>
      <c r="W2115" s="16" t="n">
        <v>0.4344344251411684</v>
      </c>
      <c r="X2115" s="16" t="n">
        <v>0.5876238217720176</v>
      </c>
      <c r="Y2115" s="16" t="n">
        <v>300.032917</v>
      </c>
      <c r="Z2115" s="16" t="n"/>
      <c r="AA2115" s="16" t="n"/>
      <c r="AB2115" s="16" t="n">
        <v>2073.511980251808</v>
      </c>
      <c r="AC2115" s="16" t="n">
        <v>3.238034314588725</v>
      </c>
      <c r="AD2115" s="16" t="n"/>
      <c r="AE2115" s="16" t="n"/>
    </row>
    <row r="2116">
      <c r="A2116" s="16" t="inlineStr">
        <is>
          <t>KF-M05-4-0035</t>
        </is>
      </c>
      <c r="B2116" s="16" t="inlineStr">
        <is>
          <t>4.1</t>
        </is>
      </c>
      <c r="C2116" s="16" t="inlineStr">
        <is>
          <t>4.1d</t>
        </is>
      </c>
      <c r="D2116" s="16" t="inlineStr">
        <is>
          <t>conserva su P_alta y sus temperaturas</t>
        </is>
      </c>
      <c r="E2116" s="16" t="inlineStr">
        <is>
          <t>KF-M05</t>
        </is>
      </c>
      <c r="F2116" s="16" t="inlineStr">
        <is>
          <t>KF-M05-4</t>
        </is>
      </c>
      <c r="G2116" s="16" t="inlineStr">
        <is>
          <t>B09-4</t>
        </is>
      </c>
      <c r="H2116" s="16" t="inlineStr">
        <is>
          <t>lhs</t>
        </is>
      </c>
      <c r="I2116" s="16" t="inlineStr">
        <is>
          <t>INVIABLE</t>
        </is>
      </c>
      <c r="J2116" s="16" t="inlineStr">
        <is>
          <t>INVIABLE</t>
        </is>
      </c>
      <c r="K2116" s="16" t="b">
        <v>1</v>
      </c>
      <c r="L2116" s="16" t="b">
        <v>0</v>
      </c>
      <c r="M2116" s="16" t="b">
        <v>1</v>
      </c>
      <c r="N2116" s="16" t="b">
        <v>0</v>
      </c>
      <c r="O2116" s="16" t="n">
        <v>623.15</v>
      </c>
      <c r="P2116" s="16" t="n">
        <v>300.032917</v>
      </c>
      <c r="Q2116" s="16" t="n">
        <v>3000</v>
      </c>
      <c r="R2116" s="16" t="n">
        <v>248.9591573277199</v>
      </c>
      <c r="S2116" s="16" t="n">
        <v>0.5945834948104383</v>
      </c>
      <c r="T2116" s="16" t="n">
        <v>0.6409010399078503</v>
      </c>
      <c r="U2116" s="16" t="n">
        <v>0.587484691634777</v>
      </c>
      <c r="V2116" s="16" t="n">
        <v>0.4095972704842587</v>
      </c>
      <c r="W2116" s="16" t="n">
        <v>0.5646701627547295</v>
      </c>
      <c r="X2116" s="16" t="n">
        <v>0.4240364898171956</v>
      </c>
      <c r="Y2116" s="16" t="n">
        <v>300.032917</v>
      </c>
      <c r="Z2116" s="16" t="n">
        <v>-62.11422885597077</v>
      </c>
      <c r="AA2116" s="16" t="n">
        <v>-232.5240853818369</v>
      </c>
      <c r="AB2116" s="16" t="n">
        <v>2751.04084267228</v>
      </c>
      <c r="AC2116" s="16" t="n">
        <v>12.05016932175313</v>
      </c>
      <c r="AD2116" s="16" t="inlineStr">
        <is>
          <t>O2,O3</t>
        </is>
      </c>
      <c r="AE2116" s="16" t="n"/>
    </row>
    <row r="2117">
      <c r="A2117" s="16" t="inlineStr">
        <is>
          <t>KF-M05-4-0036</t>
        </is>
      </c>
      <c r="B2117" s="16" t="inlineStr">
        <is>
          <t>4.1</t>
        </is>
      </c>
      <c r="C2117" s="16" t="inlineStr">
        <is>
          <t>4.1d</t>
        </is>
      </c>
      <c r="D2117" s="16" t="inlineStr">
        <is>
          <t>conserva su P_alta y sus temperaturas</t>
        </is>
      </c>
      <c r="E2117" s="16" t="inlineStr">
        <is>
          <t>KF-M05</t>
        </is>
      </c>
      <c r="F2117" s="16" t="inlineStr">
        <is>
          <t>KF-M05-4</t>
        </is>
      </c>
      <c r="G2117" s="16" t="inlineStr">
        <is>
          <t>B09-4</t>
        </is>
      </c>
      <c r="H2117" s="16" t="inlineStr">
        <is>
          <t>lhs</t>
        </is>
      </c>
      <c r="I2117" s="16" t="inlineStr">
        <is>
          <t>NO_CONVERGIO</t>
        </is>
      </c>
      <c r="J2117" s="16" t="inlineStr">
        <is>
          <t>NO_CONVERGIO</t>
        </is>
      </c>
      <c r="K2117" s="16" t="b">
        <v>0</v>
      </c>
      <c r="L2117" s="16" t="b">
        <v>0</v>
      </c>
      <c r="M2117" s="16" t="b">
        <v>0</v>
      </c>
      <c r="N2117" s="16" t="b">
        <v>0</v>
      </c>
      <c r="O2117" s="16" t="n">
        <v>623.15</v>
      </c>
      <c r="P2117" s="16" t="n">
        <v>300.032917</v>
      </c>
      <c r="Q2117" s="16" t="n">
        <v>3000</v>
      </c>
      <c r="R2117" s="16" t="n">
        <v>1244.77913727849</v>
      </c>
      <c r="S2117" s="16" t="n">
        <v>0.6710814657872408</v>
      </c>
      <c r="T2117" s="16" t="n">
        <v>0.7643961038031566</v>
      </c>
      <c r="U2117" s="16" t="n">
        <v>0.6131963543281634</v>
      </c>
      <c r="V2117" s="16" t="n">
        <v>0.6951773026456074</v>
      </c>
      <c r="W2117" s="16" t="n">
        <v>0.4997450394575842</v>
      </c>
      <c r="X2117" s="16" t="n">
        <v>0.5561580868554112</v>
      </c>
      <c r="Y2117" s="16" t="n">
        <v>300.032917</v>
      </c>
      <c r="Z2117" s="16" t="n"/>
      <c r="AA2117" s="16" t="n"/>
      <c r="AB2117" s="16" t="n">
        <v>1755.22086272151</v>
      </c>
      <c r="AC2117" s="16" t="n">
        <v>2.410066099403802</v>
      </c>
      <c r="AD2117" s="16" t="n"/>
      <c r="AE2117" s="16" t="n"/>
    </row>
    <row r="2118">
      <c r="A2118" s="16" t="inlineStr">
        <is>
          <t>KF-M05-4-0037</t>
        </is>
      </c>
      <c r="B2118" s="16" t="inlineStr">
        <is>
          <t>4.1</t>
        </is>
      </c>
      <c r="C2118" s="16" t="inlineStr">
        <is>
          <t>4.1d</t>
        </is>
      </c>
      <c r="D2118" s="16" t="inlineStr">
        <is>
          <t>conserva su P_alta y sus temperaturas</t>
        </is>
      </c>
      <c r="E2118" s="16" t="inlineStr">
        <is>
          <t>KF-M05</t>
        </is>
      </c>
      <c r="F2118" s="16" t="inlineStr">
        <is>
          <t>KF-M05-4</t>
        </is>
      </c>
      <c r="G2118" s="16" t="inlineStr">
        <is>
          <t>B09-4</t>
        </is>
      </c>
      <c r="H2118" s="16" t="inlineStr">
        <is>
          <t>lhs</t>
        </is>
      </c>
      <c r="I2118" s="16" t="inlineStr">
        <is>
          <t>INVIABLE</t>
        </is>
      </c>
      <c r="J2118" s="16" t="inlineStr">
        <is>
          <t>INVIABLE</t>
        </is>
      </c>
      <c r="K2118" s="16" t="b">
        <v>1</v>
      </c>
      <c r="L2118" s="16" t="b">
        <v>0</v>
      </c>
      <c r="M2118" s="16" t="b">
        <v>1</v>
      </c>
      <c r="N2118" s="16" t="b">
        <v>0</v>
      </c>
      <c r="O2118" s="16" t="n">
        <v>623.15</v>
      </c>
      <c r="P2118" s="16" t="n">
        <v>300.032917</v>
      </c>
      <c r="Q2118" s="16" t="n">
        <v>3000</v>
      </c>
      <c r="R2118" s="16" t="n">
        <v>761.7787907277252</v>
      </c>
      <c r="S2118" s="16" t="n">
        <v>0.5268018498386063</v>
      </c>
      <c r="T2118" s="16" t="n">
        <v>0.7469418746011856</v>
      </c>
      <c r="U2118" s="16" t="n">
        <v>0.5671744722316945</v>
      </c>
      <c r="V2118" s="16" t="n">
        <v>0.5085530480535072</v>
      </c>
      <c r="W2118" s="16" t="n">
        <v>0.8730299476598752</v>
      </c>
      <c r="X2118" s="16" t="n">
        <v>0.4987715306690976</v>
      </c>
      <c r="Y2118" s="16" t="n">
        <v>300.032917</v>
      </c>
      <c r="Z2118" s="16" t="n">
        <v>-0.8092635957546199</v>
      </c>
      <c r="AA2118" s="16" t="n">
        <v>-6.848136568177722</v>
      </c>
      <c r="AB2118" s="16" t="n">
        <v>2238.221209272275</v>
      </c>
      <c r="AC2118" s="16" t="n">
        <v>3.938151122761121</v>
      </c>
      <c r="AD2118" s="16" t="inlineStr">
        <is>
          <t>O2,O3</t>
        </is>
      </c>
      <c r="AE2118" s="16" t="n"/>
    </row>
    <row r="2119">
      <c r="A2119" s="16" t="inlineStr">
        <is>
          <t>KF-M05-4-0038</t>
        </is>
      </c>
      <c r="B2119" s="16" t="inlineStr">
        <is>
          <t>4.1</t>
        </is>
      </c>
      <c r="C2119" s="16" t="inlineStr">
        <is>
          <t>4.1d</t>
        </is>
      </c>
      <c r="D2119" s="16" t="inlineStr">
        <is>
          <t>conserva su P_alta y sus temperaturas</t>
        </is>
      </c>
      <c r="E2119" s="16" t="inlineStr">
        <is>
          <t>KF-M05</t>
        </is>
      </c>
      <c r="F2119" s="16" t="inlineStr">
        <is>
          <t>KF-M05-4</t>
        </is>
      </c>
      <c r="G2119" s="16" t="inlineStr">
        <is>
          <t>B09-4</t>
        </is>
      </c>
      <c r="H2119" s="16" t="inlineStr">
        <is>
          <t>lhs</t>
        </is>
      </c>
      <c r="I2119" s="16" t="inlineStr">
        <is>
          <t>N2</t>
        </is>
      </c>
      <c r="J2119" s="16" t="inlineStr">
        <is>
          <t>NO_CONVERGIO</t>
        </is>
      </c>
      <c r="K2119" s="16" t="b">
        <v>0</v>
      </c>
      <c r="L2119" s="16" t="b">
        <v>0</v>
      </c>
      <c r="M2119" s="16" t="b">
        <v>1</v>
      </c>
      <c r="N2119" s="16" t="b">
        <v>0</v>
      </c>
      <c r="O2119" s="16" t="n">
        <v>623.15</v>
      </c>
      <c r="P2119" s="16" t="n">
        <v>300.032917</v>
      </c>
      <c r="Q2119" s="16" t="n">
        <v>3000</v>
      </c>
      <c r="R2119" s="16" t="n">
        <v>1443.808752355641</v>
      </c>
      <c r="S2119" s="16" t="n">
        <v>0.7179743088959619</v>
      </c>
      <c r="T2119" s="16" t="n">
        <v>0.8948121486977875</v>
      </c>
      <c r="U2119" s="16" t="n">
        <v>0.5151300866481447</v>
      </c>
      <c r="V2119" s="16" t="n">
        <v>0.8066543362875732</v>
      </c>
      <c r="W2119" s="16" t="n">
        <v>0.4278052308777658</v>
      </c>
      <c r="X2119" s="16" t="n">
        <v>0.9467498828761068</v>
      </c>
      <c r="Y2119" s="16" t="n">
        <v>300.032917</v>
      </c>
      <c r="Z2119" s="16" t="n">
        <v>6.702511656174701</v>
      </c>
      <c r="AA2119" s="16" t="n">
        <v>127.8137920441183</v>
      </c>
      <c r="AB2119" s="16" t="n">
        <v>1556.191247644359</v>
      </c>
      <c r="AC2119" s="16" t="n">
        <v>2.077837521836158</v>
      </c>
      <c r="AD2119" s="16" t="inlineStr">
        <is>
          <t>N2,O5,C1,C3,C3</t>
        </is>
      </c>
      <c r="AE2119" s="16" t="n"/>
    </row>
    <row r="2120">
      <c r="A2120" s="16" t="inlineStr">
        <is>
          <t>KF-M05-3-0119</t>
        </is>
      </c>
      <c r="B2120" s="16" t="inlineStr">
        <is>
          <t>4.1</t>
        </is>
      </c>
      <c r="C2120" s="16" t="inlineStr">
        <is>
          <t>4.1c</t>
        </is>
      </c>
      <c r="D2120" s="16" t="inlineStr">
        <is>
          <t>conserva sus presiones y su clima</t>
        </is>
      </c>
      <c r="E2120" s="16" t="inlineStr">
        <is>
          <t>KF-M05</t>
        </is>
      </c>
      <c r="F2120" s="16" t="inlineStr">
        <is>
          <t>KF-M05-3</t>
        </is>
      </c>
      <c r="G2120" s="16" t="inlineStr">
        <is>
          <t>B09-3</t>
        </is>
      </c>
      <c r="H2120" s="16" t="inlineStr">
        <is>
          <t>lhs</t>
        </is>
      </c>
      <c r="I2120" s="16" t="inlineStr">
        <is>
          <t>NO_CONVERGIO</t>
        </is>
      </c>
      <c r="J2120" s="16" t="inlineStr">
        <is>
          <t>NO_CONVERGIO</t>
        </is>
      </c>
      <c r="K2120" s="16" t="b">
        <v>0</v>
      </c>
      <c r="L2120" s="16" t="b">
        <v>0</v>
      </c>
      <c r="M2120" s="16" t="b">
        <v>0</v>
      </c>
      <c r="N2120" s="16" t="b">
        <v>0</v>
      </c>
      <c r="O2120" s="16" t="n">
        <v>499.1973762759537</v>
      </c>
      <c r="P2120" s="16" t="n">
        <v>300.032917</v>
      </c>
      <c r="Q2120" s="16" t="n">
        <v>3000</v>
      </c>
      <c r="R2120" s="16" t="n">
        <v>400</v>
      </c>
      <c r="S2120" s="16" t="n">
        <v>0.7155132549253247</v>
      </c>
      <c r="T2120" s="16" t="n">
        <v>0.6852286009590516</v>
      </c>
      <c r="U2120" s="16" t="n">
        <v>0.4199918717464791</v>
      </c>
      <c r="V2120" s="16" t="n">
        <v>0.7759136752124256</v>
      </c>
      <c r="W2120" s="16" t="n">
        <v>0.876138660041847</v>
      </c>
      <c r="X2120" s="16" t="n">
        <v>0.4042365750728552</v>
      </c>
      <c r="Y2120" s="16" t="n">
        <v>300.032917</v>
      </c>
      <c r="Z2120" s="16" t="n"/>
      <c r="AA2120" s="16" t="n"/>
      <c r="AB2120" s="16" t="n">
        <v>2600</v>
      </c>
      <c r="AC2120" s="16" t="n">
        <v>7.5</v>
      </c>
      <c r="AD2120" s="16" t="n"/>
      <c r="AE2120" s="16" t="n"/>
    </row>
    <row r="2121">
      <c r="A2121" s="16" t="inlineStr">
        <is>
          <t>KF-M05-4-0039</t>
        </is>
      </c>
      <c r="B2121" s="16" t="inlineStr">
        <is>
          <t>4.1</t>
        </is>
      </c>
      <c r="C2121" s="16" t="inlineStr">
        <is>
          <t>4.1d</t>
        </is>
      </c>
      <c r="D2121" s="16" t="inlineStr">
        <is>
          <t>conserva su P_alta y sus temperaturas</t>
        </is>
      </c>
      <c r="E2121" s="16" t="inlineStr">
        <is>
          <t>KF-M05</t>
        </is>
      </c>
      <c r="F2121" s="16" t="inlineStr">
        <is>
          <t>KF-M05-4</t>
        </is>
      </c>
      <c r="G2121" s="16" t="inlineStr">
        <is>
          <t>B09-4</t>
        </is>
      </c>
      <c r="H2121" s="16" t="inlineStr">
        <is>
          <t>lhs</t>
        </is>
      </c>
      <c r="I2121" s="16" t="inlineStr">
        <is>
          <t>CORREGIBLE</t>
        </is>
      </c>
      <c r="J2121" s="16" t="inlineStr">
        <is>
          <t>CORREGIBLE</t>
        </is>
      </c>
      <c r="K2121" s="16" t="b">
        <v>1</v>
      </c>
      <c r="L2121" s="16" t="b">
        <v>0</v>
      </c>
      <c r="M2121" s="16" t="b">
        <v>1</v>
      </c>
      <c r="N2121" s="16" t="b">
        <v>0</v>
      </c>
      <c r="O2121" s="16" t="n">
        <v>623.15</v>
      </c>
      <c r="P2121" s="16" t="n">
        <v>300.032917</v>
      </c>
      <c r="Q2121" s="16" t="n">
        <v>3000</v>
      </c>
      <c r="R2121" s="16" t="n">
        <v>550.6035543014788</v>
      </c>
      <c r="S2121" s="16" t="n">
        <v>0.6153197539983232</v>
      </c>
      <c r="T2121" s="16" t="n">
        <v>0.7242879164876534</v>
      </c>
      <c r="U2121" s="16" t="n">
        <v>0.6370253806910162</v>
      </c>
      <c r="V2121" s="16" t="n">
        <v>0.6288992477412657</v>
      </c>
      <c r="W2121" s="16" t="n">
        <v>0.7425798364056229</v>
      </c>
      <c r="X2121" s="16" t="n">
        <v>0.598399069662008</v>
      </c>
      <c r="Y2121" s="16" t="n">
        <v>300.032917</v>
      </c>
      <c r="Z2121" s="16" t="n">
        <v>3.14285975417043</v>
      </c>
      <c r="AA2121" s="16" t="n">
        <v>33.9280069420017</v>
      </c>
      <c r="AB2121" s="16" t="n">
        <v>2449.396445698521</v>
      </c>
      <c r="AC2121" s="16" t="n">
        <v>5.448566353346446</v>
      </c>
      <c r="AD2121" s="16" t="inlineStr">
        <is>
          <t>O2</t>
        </is>
      </c>
      <c r="AE2121" s="16" t="n"/>
    </row>
    <row r="2122">
      <c r="A2122" s="16" t="inlineStr">
        <is>
          <t>KF-M05-4-0040</t>
        </is>
      </c>
      <c r="B2122" s="16" t="inlineStr">
        <is>
          <t>4.1</t>
        </is>
      </c>
      <c r="C2122" s="16" t="inlineStr">
        <is>
          <t>4.1d</t>
        </is>
      </c>
      <c r="D2122" s="16" t="inlineStr">
        <is>
          <t>conserva su P_alta y sus temperaturas</t>
        </is>
      </c>
      <c r="E2122" s="16" t="inlineStr">
        <is>
          <t>KF-M05</t>
        </is>
      </c>
      <c r="F2122" s="16" t="inlineStr">
        <is>
          <t>KF-M05-4</t>
        </is>
      </c>
      <c r="G2122" s="16" t="inlineStr">
        <is>
          <t>B09-4</t>
        </is>
      </c>
      <c r="H2122" s="16" t="inlineStr">
        <is>
          <t>lhs</t>
        </is>
      </c>
      <c r="I2122" s="16" t="inlineStr">
        <is>
          <t>CORREGIBLE</t>
        </is>
      </c>
      <c r="J2122" s="16" t="inlineStr">
        <is>
          <t>CORREGIBLE</t>
        </is>
      </c>
      <c r="K2122" s="16" t="b">
        <v>1</v>
      </c>
      <c r="L2122" s="16" t="b">
        <v>0</v>
      </c>
      <c r="M2122" s="16" t="b">
        <v>0</v>
      </c>
      <c r="N2122" s="16" t="b">
        <v>0</v>
      </c>
      <c r="O2122" s="16" t="n">
        <v>623.15</v>
      </c>
      <c r="P2122" s="16" t="n">
        <v>300.032917</v>
      </c>
      <c r="Q2122" s="16" t="n">
        <v>3000</v>
      </c>
      <c r="R2122" s="16" t="n">
        <v>1265.430422948261</v>
      </c>
      <c r="S2122" s="16" t="n">
        <v>0.8164712982669472</v>
      </c>
      <c r="T2122" s="16" t="n">
        <v>0.6164091107699821</v>
      </c>
      <c r="U2122" s="16" t="n">
        <v>0.7258572688583633</v>
      </c>
      <c r="V2122" s="16" t="n">
        <v>0.4139177722857825</v>
      </c>
      <c r="W2122" s="16" t="n">
        <v>0.889455454199875</v>
      </c>
      <c r="X2122" s="16" t="n">
        <v>0.6114940687567718</v>
      </c>
      <c r="Y2122" s="16" t="n">
        <v>300.032917</v>
      </c>
      <c r="Z2122" s="16" t="n">
        <v>2.4320884166753</v>
      </c>
      <c r="AA2122" s="16" t="n">
        <v>17.61144570019944</v>
      </c>
      <c r="AB2122" s="16" t="n">
        <v>1734.569577051739</v>
      </c>
      <c r="AC2122" s="16" t="n">
        <v>2.370734846891428</v>
      </c>
      <c r="AD2122" s="16" t="inlineStr">
        <is>
          <t>O2</t>
        </is>
      </c>
      <c r="AE2122" s="16" t="n"/>
    </row>
    <row r="2123">
      <c r="A2123" s="16" t="inlineStr">
        <is>
          <t>KF-M05-4-0041</t>
        </is>
      </c>
      <c r="B2123" s="16" t="inlineStr">
        <is>
          <t>4.1</t>
        </is>
      </c>
      <c r="C2123" s="16" t="inlineStr">
        <is>
          <t>4.1d</t>
        </is>
      </c>
      <c r="D2123" s="16" t="inlineStr">
        <is>
          <t>conserva su P_alta y sus temperaturas</t>
        </is>
      </c>
      <c r="E2123" s="16" t="inlineStr">
        <is>
          <t>KF-M05</t>
        </is>
      </c>
      <c r="F2123" s="16" t="inlineStr">
        <is>
          <t>KF-M05-4</t>
        </is>
      </c>
      <c r="G2123" s="16" t="inlineStr">
        <is>
          <t>B09-4</t>
        </is>
      </c>
      <c r="H2123" s="16" t="inlineStr">
        <is>
          <t>lhs</t>
        </is>
      </c>
      <c r="I2123" s="16" t="inlineStr">
        <is>
          <t>N2</t>
        </is>
      </c>
      <c r="J2123" s="16" t="inlineStr">
        <is>
          <t>NO_CONVERGIO</t>
        </is>
      </c>
      <c r="K2123" s="16" t="b">
        <v>0</v>
      </c>
      <c r="L2123" s="16" t="b">
        <v>0</v>
      </c>
      <c r="M2123" s="16" t="b">
        <v>1</v>
      </c>
      <c r="N2123" s="16" t="b">
        <v>0</v>
      </c>
      <c r="O2123" s="16" t="n">
        <v>623.15</v>
      </c>
      <c r="P2123" s="16" t="n">
        <v>300.032917</v>
      </c>
      <c r="Q2123" s="16" t="n">
        <v>3000</v>
      </c>
      <c r="R2123" s="16" t="n">
        <v>1721.464243854768</v>
      </c>
      <c r="S2123" s="16" t="n">
        <v>0.5809742205718562</v>
      </c>
      <c r="T2123" s="16" t="n">
        <v>0.5008090162623741</v>
      </c>
      <c r="U2123" s="16" t="n">
        <v>0.5472081580507304</v>
      </c>
      <c r="V2123" s="16" t="n">
        <v>0.828506295895953</v>
      </c>
      <c r="W2123" s="16" t="n">
        <v>0.5834488361334198</v>
      </c>
      <c r="X2123" s="16" t="n">
        <v>0.9201760843858946</v>
      </c>
      <c r="Y2123" s="16" t="n">
        <v>300.032917</v>
      </c>
      <c r="Z2123" s="16" t="n">
        <v>2.51802215276151</v>
      </c>
      <c r="AA2123" s="16" t="n">
        <v>51.63531584599653</v>
      </c>
      <c r="AB2123" s="16" t="n">
        <v>1278.535756145232</v>
      </c>
      <c r="AC2123" s="16" t="n">
        <v>1.742702475935419</v>
      </c>
      <c r="AD2123" s="16" t="inlineStr">
        <is>
          <t>N2,O5,C1,C3,C3</t>
        </is>
      </c>
      <c r="AE2123" s="16" t="n"/>
    </row>
    <row r="2124">
      <c r="A2124" s="16" t="inlineStr">
        <is>
          <t>KF-M05-4-0042</t>
        </is>
      </c>
      <c r="B2124" s="16" t="inlineStr">
        <is>
          <t>4.1</t>
        </is>
      </c>
      <c r="C2124" s="16" t="inlineStr">
        <is>
          <t>4.1d</t>
        </is>
      </c>
      <c r="D2124" s="16" t="inlineStr">
        <is>
          <t>conserva su P_alta y sus temperaturas</t>
        </is>
      </c>
      <c r="E2124" s="16" t="inlineStr">
        <is>
          <t>KF-M05</t>
        </is>
      </c>
      <c r="F2124" s="16" t="inlineStr">
        <is>
          <t>KF-M05-4</t>
        </is>
      </c>
      <c r="G2124" s="16" t="inlineStr">
        <is>
          <t>B09-4</t>
        </is>
      </c>
      <c r="H2124" s="16" t="inlineStr">
        <is>
          <t>lhs</t>
        </is>
      </c>
      <c r="I2124" s="16" t="inlineStr">
        <is>
          <t>NO_CONVERGIO</t>
        </is>
      </c>
      <c r="J2124" s="16" t="inlineStr">
        <is>
          <t>NO_CONVERGIO</t>
        </is>
      </c>
      <c r="K2124" s="16" t="b">
        <v>0</v>
      </c>
      <c r="L2124" s="16" t="b">
        <v>0</v>
      </c>
      <c r="M2124" s="16" t="b">
        <v>0</v>
      </c>
      <c r="N2124" s="16" t="b">
        <v>0</v>
      </c>
      <c r="O2124" s="16" t="n">
        <v>623.15</v>
      </c>
      <c r="P2124" s="16" t="n">
        <v>300.032917</v>
      </c>
      <c r="Q2124" s="16" t="n">
        <v>3000</v>
      </c>
      <c r="R2124" s="16" t="n">
        <v>242.2328870566766</v>
      </c>
      <c r="S2124" s="16" t="n">
        <v>0.7872124260728028</v>
      </c>
      <c r="T2124" s="16" t="n">
        <v>0.7604317990759032</v>
      </c>
      <c r="U2124" s="16" t="n">
        <v>0.6848809098622112</v>
      </c>
      <c r="V2124" s="16" t="n">
        <v>0.5407991289478562</v>
      </c>
      <c r="W2124" s="16" t="n">
        <v>0.5019096973607163</v>
      </c>
      <c r="X2124" s="16" t="n">
        <v>0.8968436744744032</v>
      </c>
      <c r="Y2124" s="16" t="n">
        <v>300.032917</v>
      </c>
      <c r="Z2124" s="16" t="n"/>
      <c r="AA2124" s="16" t="n"/>
      <c r="AB2124" s="16" t="n">
        <v>2757.767112943324</v>
      </c>
      <c r="AC2124" s="16" t="n">
        <v>12.38477580997527</v>
      </c>
      <c r="AD2124" s="16" t="n"/>
      <c r="AE2124" s="16" t="n"/>
    </row>
    <row r="2125">
      <c r="A2125" s="16" t="inlineStr">
        <is>
          <t>KF-M05-4-0043</t>
        </is>
      </c>
      <c r="B2125" s="16" t="inlineStr">
        <is>
          <t>4.1</t>
        </is>
      </c>
      <c r="C2125" s="16" t="inlineStr">
        <is>
          <t>4.1d</t>
        </is>
      </c>
      <c r="D2125" s="16" t="inlineStr">
        <is>
          <t>conserva su P_alta y sus temperaturas</t>
        </is>
      </c>
      <c r="E2125" s="16" t="inlineStr">
        <is>
          <t>KF-M05</t>
        </is>
      </c>
      <c r="F2125" s="16" t="inlineStr">
        <is>
          <t>KF-M05-4</t>
        </is>
      </c>
      <c r="G2125" s="16" t="inlineStr">
        <is>
          <t>B09-4</t>
        </is>
      </c>
      <c r="H2125" s="16" t="inlineStr">
        <is>
          <t>lhs</t>
        </is>
      </c>
      <c r="I2125" s="16" t="inlineStr">
        <is>
          <t>KALINA</t>
        </is>
      </c>
      <c r="J2125" s="16" t="inlineStr">
        <is>
          <t>KALINA</t>
        </is>
      </c>
      <c r="K2125" s="16" t="b">
        <v>1</v>
      </c>
      <c r="L2125" s="16" t="b">
        <v>0</v>
      </c>
      <c r="M2125" s="16" t="b">
        <v>1</v>
      </c>
      <c r="N2125" s="16" t="b">
        <v>0</v>
      </c>
      <c r="O2125" s="16" t="n">
        <v>623.15</v>
      </c>
      <c r="P2125" s="16" t="n">
        <v>300.032917</v>
      </c>
      <c r="Q2125" s="16" t="n">
        <v>3000</v>
      </c>
      <c r="R2125" s="16" t="n">
        <v>1932.666673272733</v>
      </c>
      <c r="S2125" s="16" t="n">
        <v>0.6214552490063988</v>
      </c>
      <c r="T2125" s="16" t="n">
        <v>0.4461466253262187</v>
      </c>
      <c r="U2125" s="16" t="n">
        <v>0.6639821706084419</v>
      </c>
      <c r="V2125" s="16" t="n">
        <v>0.58931327976778</v>
      </c>
      <c r="W2125" s="16" t="n">
        <v>0.696053037158646</v>
      </c>
      <c r="X2125" s="16" t="n">
        <v>0.8831553622210655</v>
      </c>
      <c r="Y2125" s="16" t="n">
        <v>300.032917</v>
      </c>
      <c r="Z2125" s="16" t="n">
        <v>1.79876471052546</v>
      </c>
      <c r="AA2125" s="16" t="n">
        <v>24.61055967005507</v>
      </c>
      <c r="AB2125" s="16" t="n">
        <v>1067.333326727267</v>
      </c>
      <c r="AC2125" s="16" t="n">
        <v>1.55225939448724</v>
      </c>
      <c r="AD2125" s="16" t="n"/>
      <c r="AE2125" s="16" t="n"/>
    </row>
    <row r="2126">
      <c r="A2126" s="16" t="inlineStr">
        <is>
          <t>KF-M05-4-0044</t>
        </is>
      </c>
      <c r="B2126" s="16" t="inlineStr">
        <is>
          <t>4.1</t>
        </is>
      </c>
      <c r="C2126" s="16" t="inlineStr">
        <is>
          <t>4.1d</t>
        </is>
      </c>
      <c r="D2126" s="16" t="inlineStr">
        <is>
          <t>conserva su P_alta y sus temperaturas</t>
        </is>
      </c>
      <c r="E2126" s="16" t="inlineStr">
        <is>
          <t>KF-M05</t>
        </is>
      </c>
      <c r="F2126" s="16" t="inlineStr">
        <is>
          <t>KF-M05-4</t>
        </is>
      </c>
      <c r="G2126" s="16" t="inlineStr">
        <is>
          <t>B09-4</t>
        </is>
      </c>
      <c r="H2126" s="16" t="inlineStr">
        <is>
          <t>lhs</t>
        </is>
      </c>
      <c r="I2126" s="16" t="inlineStr">
        <is>
          <t>CORREGIBLE</t>
        </is>
      </c>
      <c r="J2126" s="16" t="inlineStr">
        <is>
          <t>CORREGIBLE</t>
        </is>
      </c>
      <c r="K2126" s="16" t="b">
        <v>1</v>
      </c>
      <c r="L2126" s="16" t="b">
        <v>0</v>
      </c>
      <c r="M2126" s="16" t="b">
        <v>1</v>
      </c>
      <c r="N2126" s="16" t="b">
        <v>0</v>
      </c>
      <c r="O2126" s="16" t="n">
        <v>623.15</v>
      </c>
      <c r="P2126" s="16" t="n">
        <v>300.032917</v>
      </c>
      <c r="Q2126" s="16" t="n">
        <v>3000</v>
      </c>
      <c r="R2126" s="16" t="n">
        <v>916.06004469777</v>
      </c>
      <c r="S2126" s="16" t="n">
        <v>0.740625950701035</v>
      </c>
      <c r="T2126" s="16" t="n">
        <v>0.4530198172160027</v>
      </c>
      <c r="U2126" s="16" t="n">
        <v>0.4688228816952374</v>
      </c>
      <c r="V2126" s="16" t="n">
        <v>0.7629635557064463</v>
      </c>
      <c r="W2126" s="16" t="n">
        <v>0.6189381330103821</v>
      </c>
      <c r="X2126" s="16" t="n">
        <v>0.9231181896863504</v>
      </c>
      <c r="Y2126" s="16" t="n">
        <v>300.032917</v>
      </c>
      <c r="Z2126" s="16" t="n">
        <v>4.57394813260063</v>
      </c>
      <c r="AA2126" s="16" t="n">
        <v>78.8546191166874</v>
      </c>
      <c r="AB2126" s="16" t="n">
        <v>2083.93995530223</v>
      </c>
      <c r="AC2126" s="16" t="n">
        <v>3.27489449776163</v>
      </c>
      <c r="AD2126" s="16" t="inlineStr">
        <is>
          <t>O2</t>
        </is>
      </c>
      <c r="AE2126" s="16" t="n"/>
    </row>
    <row r="2127">
      <c r="A2127" s="16" t="inlineStr">
        <is>
          <t>KF-M05-4-0045</t>
        </is>
      </c>
      <c r="B2127" s="16" t="inlineStr">
        <is>
          <t>4.1</t>
        </is>
      </c>
      <c r="C2127" s="16" t="inlineStr">
        <is>
          <t>4.1d</t>
        </is>
      </c>
      <c r="D2127" s="16" t="inlineStr">
        <is>
          <t>conserva su P_alta y sus temperaturas</t>
        </is>
      </c>
      <c r="E2127" s="16" t="inlineStr">
        <is>
          <t>KF-M05</t>
        </is>
      </c>
      <c r="F2127" s="16" t="inlineStr">
        <is>
          <t>KF-M05-4</t>
        </is>
      </c>
      <c r="G2127" s="16" t="inlineStr">
        <is>
          <t>B09-4</t>
        </is>
      </c>
      <c r="H2127" s="16" t="inlineStr">
        <is>
          <t>lhs</t>
        </is>
      </c>
      <c r="I2127" s="16" t="inlineStr">
        <is>
          <t>CORREGIBLE</t>
        </is>
      </c>
      <c r="J2127" s="16" t="inlineStr">
        <is>
          <t>CORREGIBLE</t>
        </is>
      </c>
      <c r="K2127" s="16" t="b">
        <v>1</v>
      </c>
      <c r="L2127" s="16" t="b">
        <v>0</v>
      </c>
      <c r="M2127" s="16" t="b">
        <v>1</v>
      </c>
      <c r="N2127" s="16" t="b">
        <v>0</v>
      </c>
      <c r="O2127" s="16" t="n">
        <v>623.15</v>
      </c>
      <c r="P2127" s="16" t="n">
        <v>300.032917</v>
      </c>
      <c r="Q2127" s="16" t="n">
        <v>3000</v>
      </c>
      <c r="R2127" s="16" t="n">
        <v>640.6983780778833</v>
      </c>
      <c r="S2127" s="16" t="n">
        <v>0.5847003517216997</v>
      </c>
      <c r="T2127" s="16" t="n">
        <v>0.6606138111574704</v>
      </c>
      <c r="U2127" s="16" t="n">
        <v>0.4859226106667939</v>
      </c>
      <c r="V2127" s="16" t="n">
        <v>0.5307777968761197</v>
      </c>
      <c r="W2127" s="16" t="n">
        <v>0.7328919449510178</v>
      </c>
      <c r="X2127" s="16" t="n">
        <v>0.9421710176196836</v>
      </c>
      <c r="Y2127" s="16" t="n">
        <v>300.032917</v>
      </c>
      <c r="Z2127" s="16" t="n">
        <v>8.38695120502541</v>
      </c>
      <c r="AA2127" s="16" t="n">
        <v>107.2760663139331</v>
      </c>
      <c r="AB2127" s="16" t="n">
        <v>2359.301621922117</v>
      </c>
      <c r="AC2127" s="16" t="n">
        <v>4.682390501752324</v>
      </c>
      <c r="AD2127" s="16" t="inlineStr">
        <is>
          <t>O2</t>
        </is>
      </c>
      <c r="AE2127" s="16" t="n"/>
    </row>
    <row r="2128">
      <c r="A2128" s="16" t="inlineStr">
        <is>
          <t>KF-M05-4-0046</t>
        </is>
      </c>
      <c r="B2128" s="16" t="inlineStr">
        <is>
          <t>4.1</t>
        </is>
      </c>
      <c r="C2128" s="16" t="inlineStr">
        <is>
          <t>4.1d</t>
        </is>
      </c>
      <c r="D2128" s="16" t="inlineStr">
        <is>
          <t>conserva su P_alta y sus temperaturas</t>
        </is>
      </c>
      <c r="E2128" s="16" t="inlineStr">
        <is>
          <t>KF-M05</t>
        </is>
      </c>
      <c r="F2128" s="16" t="inlineStr">
        <is>
          <t>KF-M05-4</t>
        </is>
      </c>
      <c r="G2128" s="16" t="inlineStr">
        <is>
          <t>B09-4</t>
        </is>
      </c>
      <c r="H2128" s="16" t="inlineStr">
        <is>
          <t>lhs</t>
        </is>
      </c>
      <c r="I2128" s="16" t="inlineStr">
        <is>
          <t>CORREGIBLE</t>
        </is>
      </c>
      <c r="J2128" s="16" t="inlineStr">
        <is>
          <t>CORREGIBLE</t>
        </is>
      </c>
      <c r="K2128" s="16" t="b">
        <v>1</v>
      </c>
      <c r="L2128" s="16" t="b">
        <v>0</v>
      </c>
      <c r="M2128" s="16" t="b">
        <v>0</v>
      </c>
      <c r="N2128" s="16" t="b">
        <v>0</v>
      </c>
      <c r="O2128" s="16" t="n">
        <v>623.15</v>
      </c>
      <c r="P2128" s="16" t="n">
        <v>300.032917</v>
      </c>
      <c r="Q2128" s="16" t="n">
        <v>3000</v>
      </c>
      <c r="R2128" s="16" t="n">
        <v>1632.870834697738</v>
      </c>
      <c r="S2128" s="16" t="n">
        <v>0.814341071631254</v>
      </c>
      <c r="T2128" s="16" t="n">
        <v>0.8205964175682513</v>
      </c>
      <c r="U2128" s="16" t="n">
        <v>0.4910051897452685</v>
      </c>
      <c r="V2128" s="16" t="n">
        <v>0.452351834820366</v>
      </c>
      <c r="W2128" s="16" t="n">
        <v>0.7535822660600322</v>
      </c>
      <c r="X2128" s="16" t="n">
        <v>0.8169735106498839</v>
      </c>
      <c r="Y2128" s="16" t="n">
        <v>300.032917</v>
      </c>
      <c r="Z2128" s="16" t="n">
        <v>5.28741905406627</v>
      </c>
      <c r="AA2128" s="16" t="n">
        <v>48.8138459983051</v>
      </c>
      <c r="AB2128" s="16" t="n">
        <v>1367.129165302262</v>
      </c>
      <c r="AC2128" s="16" t="n">
        <v>1.837254935449522</v>
      </c>
      <c r="AD2128" s="16" t="inlineStr">
        <is>
          <t>O2</t>
        </is>
      </c>
      <c r="AE2128" s="16" t="n"/>
    </row>
    <row r="2129">
      <c r="A2129" s="16" t="inlineStr">
        <is>
          <t>KF-M05-4-0047</t>
        </is>
      </c>
      <c r="B2129" s="16" t="inlineStr">
        <is>
          <t>4.1</t>
        </is>
      </c>
      <c r="C2129" s="16" t="inlineStr">
        <is>
          <t>4.1d</t>
        </is>
      </c>
      <c r="D2129" s="16" t="inlineStr">
        <is>
          <t>conserva su P_alta y sus temperaturas</t>
        </is>
      </c>
      <c r="E2129" s="16" t="inlineStr">
        <is>
          <t>KF-M05</t>
        </is>
      </c>
      <c r="F2129" s="16" t="inlineStr">
        <is>
          <t>KF-M05-4</t>
        </is>
      </c>
      <c r="G2129" s="16" t="inlineStr">
        <is>
          <t>B09-4</t>
        </is>
      </c>
      <c r="H2129" s="16" t="inlineStr">
        <is>
          <t>lhs</t>
        </is>
      </c>
      <c r="I2129" s="16" t="inlineStr">
        <is>
          <t>INVIABLE</t>
        </is>
      </c>
      <c r="J2129" s="16" t="inlineStr">
        <is>
          <t>INVIABLE</t>
        </is>
      </c>
      <c r="K2129" s="16" t="b">
        <v>1</v>
      </c>
      <c r="L2129" s="16" t="b">
        <v>0</v>
      </c>
      <c r="M2129" s="16" t="b">
        <v>1</v>
      </c>
      <c r="N2129" s="16" t="b">
        <v>0</v>
      </c>
      <c r="O2129" s="16" t="n">
        <v>623.15</v>
      </c>
      <c r="P2129" s="16" t="n">
        <v>300.032917</v>
      </c>
      <c r="Q2129" s="16" t="n">
        <v>3000</v>
      </c>
      <c r="R2129" s="16" t="n">
        <v>326.7689904314831</v>
      </c>
      <c r="S2129" s="16" t="n">
        <v>0.6907457649188267</v>
      </c>
      <c r="T2129" s="16" t="n">
        <v>0.8599520033225619</v>
      </c>
      <c r="U2129" s="16" t="n">
        <v>0.4669572447269902</v>
      </c>
      <c r="V2129" s="16" t="n">
        <v>0.5653428336329571</v>
      </c>
      <c r="W2129" s="16" t="n">
        <v>0.7873224494915232</v>
      </c>
      <c r="X2129" s="16" t="n">
        <v>0.7083302326528843</v>
      </c>
      <c r="Y2129" s="16" t="n">
        <v>300.032917</v>
      </c>
      <c r="Z2129" s="16" t="n">
        <v>-15.66292757172173</v>
      </c>
      <c r="AA2129" s="16" t="n">
        <v>-107.2434162403941</v>
      </c>
      <c r="AB2129" s="16" t="n">
        <v>2673.231009568517</v>
      </c>
      <c r="AC2129" s="16" t="n">
        <v>9.180797712899992</v>
      </c>
      <c r="AD2129" s="16" t="inlineStr">
        <is>
          <t>O1,O2,O3</t>
        </is>
      </c>
      <c r="AE2129" s="16" t="n"/>
    </row>
    <row r="2130">
      <c r="A2130" s="16" t="inlineStr">
        <is>
          <t>KF-M05-4-0048</t>
        </is>
      </c>
      <c r="B2130" s="16" t="inlineStr">
        <is>
          <t>4.1</t>
        </is>
      </c>
      <c r="C2130" s="16" t="inlineStr">
        <is>
          <t>4.1d</t>
        </is>
      </c>
      <c r="D2130" s="16" t="inlineStr">
        <is>
          <t>conserva su P_alta y sus temperaturas</t>
        </is>
      </c>
      <c r="E2130" s="16" t="inlineStr">
        <is>
          <t>KF-M05</t>
        </is>
      </c>
      <c r="F2130" s="16" t="inlineStr">
        <is>
          <t>KF-M05-4</t>
        </is>
      </c>
      <c r="G2130" s="16" t="inlineStr">
        <is>
          <t>B09-4</t>
        </is>
      </c>
      <c r="H2130" s="16" t="inlineStr">
        <is>
          <t>lhs</t>
        </is>
      </c>
      <c r="I2130" s="16" t="inlineStr">
        <is>
          <t>CORREGIBLE</t>
        </is>
      </c>
      <c r="J2130" s="16" t="inlineStr">
        <is>
          <t>CORREGIBLE</t>
        </is>
      </c>
      <c r="K2130" s="16" t="b">
        <v>1</v>
      </c>
      <c r="L2130" s="16" t="b">
        <v>0</v>
      </c>
      <c r="M2130" s="16" t="b">
        <v>1</v>
      </c>
      <c r="N2130" s="16" t="b">
        <v>0</v>
      </c>
      <c r="O2130" s="16" t="n">
        <v>623.15</v>
      </c>
      <c r="P2130" s="16" t="n">
        <v>300.032917</v>
      </c>
      <c r="Q2130" s="16" t="n">
        <v>3000</v>
      </c>
      <c r="R2130" s="16" t="n">
        <v>1371.673223420608</v>
      </c>
      <c r="S2130" s="16" t="n">
        <v>0.6025717162682989</v>
      </c>
      <c r="T2130" s="16" t="n">
        <v>0.4288773858789257</v>
      </c>
      <c r="U2130" s="16" t="n">
        <v>0.8616643459926591</v>
      </c>
      <c r="V2130" s="16" t="n">
        <v>0.4813921477530946</v>
      </c>
      <c r="W2130" s="16" t="n">
        <v>0.9345448209022504</v>
      </c>
      <c r="X2130" s="16" t="n">
        <v>0.8236628594104443</v>
      </c>
      <c r="Y2130" s="16" t="n">
        <v>300.032917</v>
      </c>
      <c r="Z2130" s="16" t="n">
        <v>3.1773879303726</v>
      </c>
      <c r="AA2130" s="16" t="n">
        <v>34.30692112998344</v>
      </c>
      <c r="AB2130" s="16" t="n">
        <v>1628.326776579392</v>
      </c>
      <c r="AC2130" s="16" t="n">
        <v>2.18710983693241</v>
      </c>
      <c r="AD2130" s="16" t="inlineStr">
        <is>
          <t>O2</t>
        </is>
      </c>
      <c r="AE2130" s="16" t="n"/>
    </row>
    <row r="2131">
      <c r="A2131" s="16" t="inlineStr">
        <is>
          <t>KF-M05-4-0049</t>
        </is>
      </c>
      <c r="B2131" s="16" t="inlineStr">
        <is>
          <t>4.1</t>
        </is>
      </c>
      <c r="C2131" s="16" t="inlineStr">
        <is>
          <t>4.1d</t>
        </is>
      </c>
      <c r="D2131" s="16" t="inlineStr">
        <is>
          <t>conserva su P_alta y sus temperaturas</t>
        </is>
      </c>
      <c r="E2131" s="16" t="inlineStr">
        <is>
          <t>KF-M05</t>
        </is>
      </c>
      <c r="F2131" s="16" t="inlineStr">
        <is>
          <t>KF-M05-4</t>
        </is>
      </c>
      <c r="G2131" s="16" t="inlineStr">
        <is>
          <t>B09-4</t>
        </is>
      </c>
      <c r="H2131" s="16" t="inlineStr">
        <is>
          <t>lhs</t>
        </is>
      </c>
      <c r="I2131" s="16" t="inlineStr">
        <is>
          <t>CORREGIBLE</t>
        </is>
      </c>
      <c r="J2131" s="16" t="inlineStr">
        <is>
          <t>CORREGIBLE</t>
        </is>
      </c>
      <c r="K2131" s="16" t="b">
        <v>1</v>
      </c>
      <c r="L2131" s="16" t="b">
        <v>0</v>
      </c>
      <c r="M2131" s="16" t="b">
        <v>1</v>
      </c>
      <c r="N2131" s="16" t="b">
        <v>0</v>
      </c>
      <c r="O2131" s="16" t="n">
        <v>623.15</v>
      </c>
      <c r="P2131" s="16" t="n">
        <v>300.032917</v>
      </c>
      <c r="Q2131" s="16" t="n">
        <v>3000</v>
      </c>
      <c r="R2131" s="16" t="n">
        <v>1453.252767575627</v>
      </c>
      <c r="S2131" s="16" t="n">
        <v>0.6253165412340627</v>
      </c>
      <c r="T2131" s="16" t="n">
        <v>0.909730406111796</v>
      </c>
      <c r="U2131" s="16" t="n">
        <v>0.7040650225585721</v>
      </c>
      <c r="V2131" s="16" t="n">
        <v>0.5599861977199292</v>
      </c>
      <c r="W2131" s="16" t="n">
        <v>0.9452227617177592</v>
      </c>
      <c r="X2131" s="16" t="n">
        <v>0.5272748120039548</v>
      </c>
      <c r="Y2131" s="16" t="n">
        <v>300.032917</v>
      </c>
      <c r="Z2131" s="16" t="n">
        <v>3.96398092760893</v>
      </c>
      <c r="AA2131" s="16" t="n">
        <v>37.20322618222028</v>
      </c>
      <c r="AB2131" s="16" t="n">
        <v>1546.747232424373</v>
      </c>
      <c r="AC2131" s="16" t="n">
        <v>2.064334620194612</v>
      </c>
      <c r="AD2131" s="16" t="inlineStr">
        <is>
          <t>O2</t>
        </is>
      </c>
      <c r="AE2131" s="16" t="n"/>
    </row>
    <row r="2132">
      <c r="A2132" s="16" t="inlineStr">
        <is>
          <t>KF-M05-4-0050</t>
        </is>
      </c>
      <c r="B2132" s="16" t="inlineStr">
        <is>
          <t>4.1</t>
        </is>
      </c>
      <c r="C2132" s="16" t="inlineStr">
        <is>
          <t>4.1d</t>
        </is>
      </c>
      <c r="D2132" s="16" t="inlineStr">
        <is>
          <t>conserva su P_alta y sus temperaturas</t>
        </is>
      </c>
      <c r="E2132" s="16" t="inlineStr">
        <is>
          <t>KF-M05</t>
        </is>
      </c>
      <c r="F2132" s="16" t="inlineStr">
        <is>
          <t>KF-M05-4</t>
        </is>
      </c>
      <c r="G2132" s="16" t="inlineStr">
        <is>
          <t>B09-4</t>
        </is>
      </c>
      <c r="H2132" s="16" t="inlineStr">
        <is>
          <t>lhs</t>
        </is>
      </c>
      <c r="I2132" s="16" t="inlineStr">
        <is>
          <t>KALINA</t>
        </is>
      </c>
      <c r="J2132" s="16" t="inlineStr">
        <is>
          <t>KALINA</t>
        </is>
      </c>
      <c r="K2132" s="16" t="b">
        <v>1</v>
      </c>
      <c r="L2132" s="16" t="b">
        <v>0</v>
      </c>
      <c r="M2132" s="16" t="b">
        <v>1</v>
      </c>
      <c r="N2132" s="16" t="b">
        <v>0</v>
      </c>
      <c r="O2132" s="16" t="n">
        <v>623.15</v>
      </c>
      <c r="P2132" s="16" t="n">
        <v>300.032917</v>
      </c>
      <c r="Q2132" s="16" t="n">
        <v>3000</v>
      </c>
      <c r="R2132" s="16" t="n">
        <v>1564.577449935607</v>
      </c>
      <c r="S2132" s="16" t="n">
        <v>0.521719676357039</v>
      </c>
      <c r="T2132" s="16" t="n">
        <v>0.5123417698728765</v>
      </c>
      <c r="U2132" s="16" t="n">
        <v>0.8838800792292261</v>
      </c>
      <c r="V2132" s="16" t="n">
        <v>0.4070827849472962</v>
      </c>
      <c r="W2132" s="16" t="n">
        <v>0.924417695287324</v>
      </c>
      <c r="X2132" s="16" t="n">
        <v>0.9029052329643732</v>
      </c>
      <c r="Y2132" s="16" t="n">
        <v>300.032917</v>
      </c>
      <c r="Z2132" s="16" t="n">
        <v>2.91726153128542</v>
      </c>
      <c r="AA2132" s="16" t="n">
        <v>28.00022647387419</v>
      </c>
      <c r="AB2132" s="16" t="n">
        <v>1435.422550064393</v>
      </c>
      <c r="AC2132" s="16" t="n">
        <v>1.917450619094293</v>
      </c>
      <c r="AD2132" s="16" t="n"/>
      <c r="AE2132" s="16" t="n"/>
    </row>
    <row r="2133">
      <c r="A2133" s="16" t="inlineStr">
        <is>
          <t>KF-M05-4-0051</t>
        </is>
      </c>
      <c r="B2133" s="16" t="inlineStr">
        <is>
          <t>4.1</t>
        </is>
      </c>
      <c r="C2133" s="16" t="inlineStr">
        <is>
          <t>4.1d</t>
        </is>
      </c>
      <c r="D2133" s="16" t="inlineStr">
        <is>
          <t>conserva su P_alta y sus temperaturas</t>
        </is>
      </c>
      <c r="E2133" s="16" t="inlineStr">
        <is>
          <t>KF-M05</t>
        </is>
      </c>
      <c r="F2133" s="16" t="inlineStr">
        <is>
          <t>KF-M05-4</t>
        </is>
      </c>
      <c r="G2133" s="16" t="inlineStr">
        <is>
          <t>B09-4</t>
        </is>
      </c>
      <c r="H2133" s="16" t="inlineStr">
        <is>
          <t>lhs</t>
        </is>
      </c>
      <c r="I2133" s="16" t="inlineStr">
        <is>
          <t>NO_CONVERGIO</t>
        </is>
      </c>
      <c r="J2133" s="16" t="inlineStr">
        <is>
          <t>NO_CONVERGIO</t>
        </is>
      </c>
      <c r="K2133" s="16" t="b">
        <v>0</v>
      </c>
      <c r="L2133" s="16" t="b">
        <v>0</v>
      </c>
      <c r="M2133" s="16" t="b">
        <v>0</v>
      </c>
      <c r="N2133" s="16" t="b">
        <v>0</v>
      </c>
      <c r="O2133" s="16" t="n">
        <v>623.15</v>
      </c>
      <c r="P2133" s="16" t="n">
        <v>300.032917</v>
      </c>
      <c r="Q2133" s="16" t="n">
        <v>3000</v>
      </c>
      <c r="R2133" s="16" t="n">
        <v>1354.960781701227</v>
      </c>
      <c r="S2133" s="16" t="n">
        <v>0.7568139001921868</v>
      </c>
      <c r="T2133" s="16" t="n">
        <v>0.7873551632266478</v>
      </c>
      <c r="U2133" s="16" t="n">
        <v>0.7165326019485233</v>
      </c>
      <c r="V2133" s="16" t="n">
        <v>0.4467880267917289</v>
      </c>
      <c r="W2133" s="16" t="n">
        <v>0.8082409218130427</v>
      </c>
      <c r="X2133" s="16" t="n">
        <v>0.4700136276289168</v>
      </c>
      <c r="Y2133" s="16" t="n">
        <v>300.032917</v>
      </c>
      <c r="Z2133" s="16" t="n"/>
      <c r="AA2133" s="16" t="n"/>
      <c r="AB2133" s="16" t="n">
        <v>1645.039218298773</v>
      </c>
      <c r="AC2133" s="16" t="n">
        <v>2.214086223391158</v>
      </c>
      <c r="AD2133" s="16" t="n"/>
      <c r="AE2133" s="16" t="n"/>
    </row>
    <row r="2134">
      <c r="A2134" s="16" t="inlineStr">
        <is>
          <t>KF-M05-4-0052</t>
        </is>
      </c>
      <c r="B2134" s="16" t="inlineStr">
        <is>
          <t>4.1</t>
        </is>
      </c>
      <c r="C2134" s="16" t="inlineStr">
        <is>
          <t>4.1d</t>
        </is>
      </c>
      <c r="D2134" s="16" t="inlineStr">
        <is>
          <t>conserva su P_alta y sus temperaturas</t>
        </is>
      </c>
      <c r="E2134" s="16" t="inlineStr">
        <is>
          <t>KF-M05</t>
        </is>
      </c>
      <c r="F2134" s="16" t="inlineStr">
        <is>
          <t>KF-M05-4</t>
        </is>
      </c>
      <c r="G2134" s="16" t="inlineStr">
        <is>
          <t>B09-4</t>
        </is>
      </c>
      <c r="H2134" s="16" t="inlineStr">
        <is>
          <t>lhs</t>
        </is>
      </c>
      <c r="I2134" s="16" t="inlineStr">
        <is>
          <t>CORREGIBLE</t>
        </is>
      </c>
      <c r="J2134" s="16" t="inlineStr">
        <is>
          <t>CORREGIBLE</t>
        </is>
      </c>
      <c r="K2134" s="16" t="b">
        <v>1</v>
      </c>
      <c r="L2134" s="16" t="b">
        <v>0</v>
      </c>
      <c r="M2134" s="16" t="b">
        <v>1</v>
      </c>
      <c r="N2134" s="16" t="b">
        <v>0</v>
      </c>
      <c r="O2134" s="16" t="n">
        <v>623.15</v>
      </c>
      <c r="P2134" s="16" t="n">
        <v>300.032917</v>
      </c>
      <c r="Q2134" s="16" t="n">
        <v>3000</v>
      </c>
      <c r="R2134" s="16" t="n">
        <v>1401.104002216343</v>
      </c>
      <c r="S2134" s="16" t="n">
        <v>0.5111822677912201</v>
      </c>
      <c r="T2134" s="16" t="n">
        <v>0.5744780886248817</v>
      </c>
      <c r="U2134" s="16" t="n">
        <v>0.9271830226660528</v>
      </c>
      <c r="V2134" s="16" t="n">
        <v>0.5926527252340993</v>
      </c>
      <c r="W2134" s="16" t="n">
        <v>0.853138076166986</v>
      </c>
      <c r="X2134" s="16" t="n">
        <v>0.6170959754783599</v>
      </c>
      <c r="Y2134" s="16" t="n">
        <v>300.032917</v>
      </c>
      <c r="Z2134" s="16" t="n">
        <v>2.74931619075478</v>
      </c>
      <c r="AA2134" s="16" t="n">
        <v>31.74137032625941</v>
      </c>
      <c r="AB2134" s="16" t="n">
        <v>1598.895997783657</v>
      </c>
      <c r="AC2134" s="16" t="n">
        <v>2.141168675026576</v>
      </c>
      <c r="AD2134" s="16" t="inlineStr">
        <is>
          <t>O2</t>
        </is>
      </c>
      <c r="AE2134" s="16" t="n"/>
    </row>
    <row r="2135">
      <c r="A2135" s="16" t="inlineStr">
        <is>
          <t>KF-M05-4-0053</t>
        </is>
      </c>
      <c r="B2135" s="16" t="inlineStr">
        <is>
          <t>4.1</t>
        </is>
      </c>
      <c r="C2135" s="16" t="inlineStr">
        <is>
          <t>4.1d</t>
        </is>
      </c>
      <c r="D2135" s="16" t="inlineStr">
        <is>
          <t>conserva su P_alta y sus temperaturas</t>
        </is>
      </c>
      <c r="E2135" s="16" t="inlineStr">
        <is>
          <t>KF-M05</t>
        </is>
      </c>
      <c r="F2135" s="16" t="inlineStr">
        <is>
          <t>KF-M05-4</t>
        </is>
      </c>
      <c r="G2135" s="16" t="inlineStr">
        <is>
          <t>B09-4</t>
        </is>
      </c>
      <c r="H2135" s="16" t="inlineStr">
        <is>
          <t>lhs</t>
        </is>
      </c>
      <c r="I2135" s="16" t="inlineStr">
        <is>
          <t>NO_CONVERGIO</t>
        </is>
      </c>
      <c r="J2135" s="16" t="inlineStr">
        <is>
          <t>NO_CONVERGIO</t>
        </is>
      </c>
      <c r="K2135" s="16" t="b">
        <v>0</v>
      </c>
      <c r="L2135" s="16" t="b">
        <v>0</v>
      </c>
      <c r="M2135" s="16" t="b">
        <v>0</v>
      </c>
      <c r="N2135" s="16" t="b">
        <v>0</v>
      </c>
      <c r="O2135" s="16" t="n">
        <v>623.15</v>
      </c>
      <c r="P2135" s="16" t="n">
        <v>300.032917</v>
      </c>
      <c r="Q2135" s="16" t="n">
        <v>3000</v>
      </c>
      <c r="R2135" s="16" t="n">
        <v>984.7820692121492</v>
      </c>
      <c r="S2135" s="16" t="n">
        <v>0.8280226635481311</v>
      </c>
      <c r="T2135" s="16" t="n">
        <v>0.7072918935915462</v>
      </c>
      <c r="U2135" s="16" t="n">
        <v>0.5613087105806672</v>
      </c>
      <c r="V2135" s="16" t="n">
        <v>0.905584274438302</v>
      </c>
      <c r="W2135" s="16" t="n">
        <v>0.9465971623676864</v>
      </c>
      <c r="X2135" s="16" t="n">
        <v>0.6023092041453213</v>
      </c>
      <c r="Y2135" s="16" t="n">
        <v>300.032917</v>
      </c>
      <c r="Z2135" s="16" t="n"/>
      <c r="AA2135" s="16" t="n"/>
      <c r="AB2135" s="16" t="n">
        <v>2015.217930787851</v>
      </c>
      <c r="AC2135" s="16" t="n">
        <v>3.046359284750256</v>
      </c>
      <c r="AD2135" s="16" t="n"/>
      <c r="AE2135" s="16" t="n"/>
    </row>
    <row r="2136">
      <c r="A2136" s="16" t="inlineStr">
        <is>
          <t>KF-M05-4-0054</t>
        </is>
      </c>
      <c r="B2136" s="16" t="inlineStr">
        <is>
          <t>4.1</t>
        </is>
      </c>
      <c r="C2136" s="16" t="inlineStr">
        <is>
          <t>4.1d</t>
        </is>
      </c>
      <c r="D2136" s="16" t="inlineStr">
        <is>
          <t>conserva su P_alta y sus temperaturas</t>
        </is>
      </c>
      <c r="E2136" s="16" t="inlineStr">
        <is>
          <t>KF-M05</t>
        </is>
      </c>
      <c r="F2136" s="16" t="inlineStr">
        <is>
          <t>KF-M05-4</t>
        </is>
      </c>
      <c r="G2136" s="16" t="inlineStr">
        <is>
          <t>B09-4</t>
        </is>
      </c>
      <c r="H2136" s="16" t="inlineStr">
        <is>
          <t>lhs</t>
        </is>
      </c>
      <c r="I2136" s="16" t="inlineStr">
        <is>
          <t>CORREGIBLE</t>
        </is>
      </c>
      <c r="J2136" s="16" t="inlineStr">
        <is>
          <t>CORREGIBLE</t>
        </is>
      </c>
      <c r="K2136" s="16" t="b">
        <v>1</v>
      </c>
      <c r="L2136" s="16" t="b">
        <v>0</v>
      </c>
      <c r="M2136" s="16" t="b">
        <v>0</v>
      </c>
      <c r="N2136" s="16" t="b">
        <v>0</v>
      </c>
      <c r="O2136" s="16" t="n">
        <v>623.15</v>
      </c>
      <c r="P2136" s="16" t="n">
        <v>300.032917</v>
      </c>
      <c r="Q2136" s="16" t="n">
        <v>3000</v>
      </c>
      <c r="R2136" s="16" t="n">
        <v>1363.683993216255</v>
      </c>
      <c r="S2136" s="16" t="n">
        <v>0.7100977427976486</v>
      </c>
      <c r="T2136" s="16" t="n">
        <v>0.8953994472576268</v>
      </c>
      <c r="U2136" s="16" t="n">
        <v>0.45046369188258</v>
      </c>
      <c r="V2136" s="16" t="n">
        <v>0.4559800169121598</v>
      </c>
      <c r="W2136" s="16" t="n">
        <v>0.7474388613712801</v>
      </c>
      <c r="X2136" s="16" t="n">
        <v>0.8209427626923982</v>
      </c>
      <c r="Y2136" s="16" t="n">
        <v>300.032917</v>
      </c>
      <c r="Z2136" s="16" t="n">
        <v>6.92166681389349</v>
      </c>
      <c r="AA2136" s="16" t="n">
        <v>68.30623096087545</v>
      </c>
      <c r="AB2136" s="16" t="n">
        <v>1636.316006783745</v>
      </c>
      <c r="AC2136" s="16" t="n">
        <v>2.199923160294993</v>
      </c>
      <c r="AD2136" s="16" t="inlineStr">
        <is>
          <t>O2</t>
        </is>
      </c>
      <c r="AE2136" s="16" t="n"/>
    </row>
    <row r="2137">
      <c r="A2137" s="16" t="inlineStr">
        <is>
          <t>KF-M05-4-0055</t>
        </is>
      </c>
      <c r="B2137" s="16" t="inlineStr">
        <is>
          <t>4.1</t>
        </is>
      </c>
      <c r="C2137" s="16" t="inlineStr">
        <is>
          <t>4.1d</t>
        </is>
      </c>
      <c r="D2137" s="16" t="inlineStr">
        <is>
          <t>conserva su P_alta y sus temperaturas</t>
        </is>
      </c>
      <c r="E2137" s="16" t="inlineStr">
        <is>
          <t>KF-M05</t>
        </is>
      </c>
      <c r="F2137" s="16" t="inlineStr">
        <is>
          <t>KF-M05-4</t>
        </is>
      </c>
      <c r="G2137" s="16" t="inlineStr">
        <is>
          <t>B09-4</t>
        </is>
      </c>
      <c r="H2137" s="16" t="inlineStr">
        <is>
          <t>lhs</t>
        </is>
      </c>
      <c r="I2137" s="16" t="inlineStr">
        <is>
          <t>CORREGIBLE</t>
        </is>
      </c>
      <c r="J2137" s="16" t="inlineStr">
        <is>
          <t>CORREGIBLE</t>
        </is>
      </c>
      <c r="K2137" s="16" t="b">
        <v>1</v>
      </c>
      <c r="L2137" s="16" t="b">
        <v>0</v>
      </c>
      <c r="M2137" s="16" t="b">
        <v>1</v>
      </c>
      <c r="N2137" s="16" t="b">
        <v>0</v>
      </c>
      <c r="O2137" s="16" t="n">
        <v>623.15</v>
      </c>
      <c r="P2137" s="16" t="n">
        <v>300.032917</v>
      </c>
      <c r="Q2137" s="16" t="n">
        <v>3000</v>
      </c>
      <c r="R2137" s="16" t="n">
        <v>1219.800534846232</v>
      </c>
      <c r="S2137" s="16" t="n">
        <v>0.8040297487932886</v>
      </c>
      <c r="T2137" s="16" t="n">
        <v>0.5845452585551831</v>
      </c>
      <c r="U2137" s="16" t="n">
        <v>0.6960090666236722</v>
      </c>
      <c r="V2137" s="16" t="n">
        <v>0.6897565421322206</v>
      </c>
      <c r="W2137" s="16" t="n">
        <v>0.6251684812718127</v>
      </c>
      <c r="X2137" s="16" t="n">
        <v>0.7482173569652222</v>
      </c>
      <c r="Y2137" s="16" t="n">
        <v>300.032917</v>
      </c>
      <c r="Z2137" s="16" t="n">
        <v>3.41670532556971</v>
      </c>
      <c r="AA2137" s="16" t="n">
        <v>43.58133814885801</v>
      </c>
      <c r="AB2137" s="16" t="n">
        <v>1780.199465153768</v>
      </c>
      <c r="AC2137" s="16" t="n">
        <v>2.459418498597544</v>
      </c>
      <c r="AD2137" s="16" t="inlineStr">
        <is>
          <t>O2</t>
        </is>
      </c>
      <c r="AE2137" s="16" t="n"/>
    </row>
    <row r="2138">
      <c r="A2138" s="16" t="inlineStr">
        <is>
          <t>KF-M05-4-0056</t>
        </is>
      </c>
      <c r="B2138" s="16" t="inlineStr">
        <is>
          <t>4.1</t>
        </is>
      </c>
      <c r="C2138" s="16" t="inlineStr">
        <is>
          <t>4.1d</t>
        </is>
      </c>
      <c r="D2138" s="16" t="inlineStr">
        <is>
          <t>conserva su P_alta y sus temperaturas</t>
        </is>
      </c>
      <c r="E2138" s="16" t="inlineStr">
        <is>
          <t>KF-M05</t>
        </is>
      </c>
      <c r="F2138" s="16" t="inlineStr">
        <is>
          <t>KF-M05-4</t>
        </is>
      </c>
      <c r="G2138" s="16" t="inlineStr">
        <is>
          <t>B09-4</t>
        </is>
      </c>
      <c r="H2138" s="16" t="inlineStr">
        <is>
          <t>lhs</t>
        </is>
      </c>
      <c r="I2138" s="16" t="inlineStr">
        <is>
          <t>CORREGIBLE</t>
        </is>
      </c>
      <c r="J2138" s="16" t="inlineStr">
        <is>
          <t>CORREGIBLE</t>
        </is>
      </c>
      <c r="K2138" s="16" t="b">
        <v>1</v>
      </c>
      <c r="L2138" s="16" t="b">
        <v>0</v>
      </c>
      <c r="M2138" s="16" t="b">
        <v>1</v>
      </c>
      <c r="N2138" s="16" t="b">
        <v>0</v>
      </c>
      <c r="O2138" s="16" t="n">
        <v>623.15</v>
      </c>
      <c r="P2138" s="16" t="n">
        <v>300.032917</v>
      </c>
      <c r="Q2138" s="16" t="n">
        <v>3000</v>
      </c>
      <c r="R2138" s="16" t="n">
        <v>1038.578019270526</v>
      </c>
      <c r="S2138" s="16" t="n">
        <v>0.6510051219726256</v>
      </c>
      <c r="T2138" s="16" t="n">
        <v>0.5338701111491132</v>
      </c>
      <c r="U2138" s="16" t="n">
        <v>0.8418492448163398</v>
      </c>
      <c r="V2138" s="16" t="n">
        <v>0.6495132813264938</v>
      </c>
      <c r="W2138" s="16" t="n">
        <v>0.8488341845880623</v>
      </c>
      <c r="X2138" s="16" t="n">
        <v>0.8456750820788137</v>
      </c>
      <c r="Y2138" s="16" t="n">
        <v>300.032917</v>
      </c>
      <c r="Z2138" s="16" t="n">
        <v>4.99248177010712</v>
      </c>
      <c r="AA2138" s="16" t="n">
        <v>72.20522741317488</v>
      </c>
      <c r="AB2138" s="16" t="n">
        <v>1961.421980729474</v>
      </c>
      <c r="AC2138" s="16" t="n">
        <v>2.888564888083355</v>
      </c>
      <c r="AD2138" s="16" t="inlineStr">
        <is>
          <t>O2</t>
        </is>
      </c>
      <c r="AE2138" s="16" t="n"/>
    </row>
    <row r="2139">
      <c r="A2139" s="16" t="inlineStr">
        <is>
          <t>KF-M05-4-0057</t>
        </is>
      </c>
      <c r="B2139" s="16" t="inlineStr">
        <is>
          <t>4.1</t>
        </is>
      </c>
      <c r="C2139" s="16" t="inlineStr">
        <is>
          <t>4.1d</t>
        </is>
      </c>
      <c r="D2139" s="16" t="inlineStr">
        <is>
          <t>conserva su P_alta y sus temperaturas</t>
        </is>
      </c>
      <c r="E2139" s="16" t="inlineStr">
        <is>
          <t>KF-M05</t>
        </is>
      </c>
      <c r="F2139" s="16" t="inlineStr">
        <is>
          <t>KF-M05-4</t>
        </is>
      </c>
      <c r="G2139" s="16" t="inlineStr">
        <is>
          <t>B09-4</t>
        </is>
      </c>
      <c r="H2139" s="16" t="inlineStr">
        <is>
          <t>lhs</t>
        </is>
      </c>
      <c r="I2139" s="16" t="inlineStr">
        <is>
          <t>CORREGIBLE</t>
        </is>
      </c>
      <c r="J2139" s="16" t="inlineStr">
        <is>
          <t>CORREGIBLE</t>
        </is>
      </c>
      <c r="K2139" s="16" t="b">
        <v>1</v>
      </c>
      <c r="L2139" s="16" t="b">
        <v>0</v>
      </c>
      <c r="M2139" s="16" t="b">
        <v>1</v>
      </c>
      <c r="N2139" s="16" t="b">
        <v>0</v>
      </c>
      <c r="O2139" s="16" t="n">
        <v>623.15</v>
      </c>
      <c r="P2139" s="16" t="n">
        <v>300.032917</v>
      </c>
      <c r="Q2139" s="16" t="n">
        <v>3000</v>
      </c>
      <c r="R2139" s="16" t="n">
        <v>304.455000558565</v>
      </c>
      <c r="S2139" s="16" t="n">
        <v>0.5321454740416424</v>
      </c>
      <c r="T2139" s="16" t="n">
        <v>0.6019671347722052</v>
      </c>
      <c r="U2139" s="16" t="n">
        <v>0.831896338997995</v>
      </c>
      <c r="V2139" s="16" t="n">
        <v>0.6357410605627769</v>
      </c>
      <c r="W2139" s="16" t="n">
        <v>0.7780006712070457</v>
      </c>
      <c r="X2139" s="16" t="n">
        <v>0.8582709626403511</v>
      </c>
      <c r="Y2139" s="16" t="n">
        <v>300.032917</v>
      </c>
      <c r="Z2139" s="16" t="n">
        <v>8.90154092720487</v>
      </c>
      <c r="AA2139" s="16" t="n">
        <v>125.3441879005171</v>
      </c>
      <c r="AB2139" s="16" t="n">
        <v>2695.544999441435</v>
      </c>
      <c r="AC2139" s="16" t="n">
        <v>9.85367293851664</v>
      </c>
      <c r="AD2139" s="16" t="inlineStr">
        <is>
          <t>O2</t>
        </is>
      </c>
      <c r="AE2139" s="16" t="n"/>
    </row>
    <row r="2140">
      <c r="A2140" s="16" t="inlineStr">
        <is>
          <t>KF-M05-4-0058</t>
        </is>
      </c>
      <c r="B2140" s="16" t="inlineStr">
        <is>
          <t>4.1</t>
        </is>
      </c>
      <c r="C2140" s="16" t="inlineStr">
        <is>
          <t>4.1d</t>
        </is>
      </c>
      <c r="D2140" s="16" t="inlineStr">
        <is>
          <t>conserva su P_alta y sus temperaturas</t>
        </is>
      </c>
      <c r="E2140" s="16" t="inlineStr">
        <is>
          <t>KF-M05</t>
        </is>
      </c>
      <c r="F2140" s="16" t="inlineStr">
        <is>
          <t>KF-M05-4</t>
        </is>
      </c>
      <c r="G2140" s="16" t="inlineStr">
        <is>
          <t>B09-4</t>
        </is>
      </c>
      <c r="H2140" s="16" t="inlineStr">
        <is>
          <t>lhs</t>
        </is>
      </c>
      <c r="I2140" s="16" t="inlineStr">
        <is>
          <t>NO_CONVERGIO</t>
        </is>
      </c>
      <c r="J2140" s="16" t="inlineStr">
        <is>
          <t>NO_CONVERGIO</t>
        </is>
      </c>
      <c r="K2140" s="16" t="b">
        <v>0</v>
      </c>
      <c r="L2140" s="16" t="b">
        <v>0</v>
      </c>
      <c r="M2140" s="16" t="b">
        <v>0</v>
      </c>
      <c r="N2140" s="16" t="b">
        <v>0</v>
      </c>
      <c r="O2140" s="16" t="n">
        <v>623.15</v>
      </c>
      <c r="P2140" s="16" t="n">
        <v>300.032917</v>
      </c>
      <c r="Q2140" s="16" t="n">
        <v>3000</v>
      </c>
      <c r="R2140" s="16" t="n">
        <v>379.9587698226662</v>
      </c>
      <c r="S2140" s="16" t="n">
        <v>0.7839077685401803</v>
      </c>
      <c r="T2140" s="16" t="n">
        <v>0.862970928381891</v>
      </c>
      <c r="U2140" s="16" t="n">
        <v>0.6773895765383925</v>
      </c>
      <c r="V2140" s="16" t="n">
        <v>0.5993807531054032</v>
      </c>
      <c r="W2140" s="16" t="n">
        <v>0.6685451664238944</v>
      </c>
      <c r="X2140" s="16" t="n">
        <v>0.6516669437081936</v>
      </c>
      <c r="Y2140" s="16" t="n">
        <v>300.032917</v>
      </c>
      <c r="Z2140" s="16" t="n"/>
      <c r="AA2140" s="16" t="n"/>
      <c r="AB2140" s="16" t="n">
        <v>2620.041230177334</v>
      </c>
      <c r="AC2140" s="16" t="n">
        <v>7.895593517686551</v>
      </c>
      <c r="AD2140" s="16" t="n"/>
      <c r="AE2140" s="16" t="n"/>
    </row>
    <row r="2141">
      <c r="A2141" s="16" t="inlineStr">
        <is>
          <t>KF-M05-4-0059</t>
        </is>
      </c>
      <c r="B2141" s="16" t="inlineStr">
        <is>
          <t>4.1</t>
        </is>
      </c>
      <c r="C2141" s="16" t="inlineStr">
        <is>
          <t>4.1d</t>
        </is>
      </c>
      <c r="D2141" s="16" t="inlineStr">
        <is>
          <t>conserva su P_alta y sus temperaturas</t>
        </is>
      </c>
      <c r="E2141" s="16" t="inlineStr">
        <is>
          <t>KF-M05</t>
        </is>
      </c>
      <c r="F2141" s="16" t="inlineStr">
        <is>
          <t>KF-M05-4</t>
        </is>
      </c>
      <c r="G2141" s="16" t="inlineStr">
        <is>
          <t>B09-4</t>
        </is>
      </c>
      <c r="H2141" s="16" t="inlineStr">
        <is>
          <t>lhs</t>
        </is>
      </c>
      <c r="I2141" s="16" t="inlineStr">
        <is>
          <t>CORREGIBLE</t>
        </is>
      </c>
      <c r="J2141" s="16" t="inlineStr">
        <is>
          <t>CORREGIBLE</t>
        </is>
      </c>
      <c r="K2141" s="16" t="b">
        <v>1</v>
      </c>
      <c r="L2141" s="16" t="b">
        <v>0</v>
      </c>
      <c r="M2141" s="16" t="b">
        <v>1</v>
      </c>
      <c r="N2141" s="16" t="b">
        <v>0</v>
      </c>
      <c r="O2141" s="16" t="n">
        <v>623.15</v>
      </c>
      <c r="P2141" s="16" t="n">
        <v>300.032917</v>
      </c>
      <c r="Q2141" s="16" t="n">
        <v>3000</v>
      </c>
      <c r="R2141" s="16" t="n">
        <v>403.1456792546187</v>
      </c>
      <c r="S2141" s="16" t="n">
        <v>0.6057817625943478</v>
      </c>
      <c r="T2141" s="16" t="n">
        <v>0.792935115540957</v>
      </c>
      <c r="U2141" s="16" t="n">
        <v>0.6172205988530234</v>
      </c>
      <c r="V2141" s="16" t="n">
        <v>0.5839166391763891</v>
      </c>
      <c r="W2141" s="16" t="n">
        <v>0.7971815048567616</v>
      </c>
      <c r="X2141" s="16" t="n">
        <v>0.6351343596008088</v>
      </c>
      <c r="Y2141" s="16" t="n">
        <v>300.032917</v>
      </c>
      <c r="Z2141" s="16" t="n">
        <v>2.95379382764262</v>
      </c>
      <c r="AA2141" s="16" t="n">
        <v>28.17999599076282</v>
      </c>
      <c r="AB2141" s="16" t="n">
        <v>2596.854320745381</v>
      </c>
      <c r="AC2141" s="16" t="n">
        <v>7.441478736785023</v>
      </c>
      <c r="AD2141" s="16" t="inlineStr">
        <is>
          <t>O2</t>
        </is>
      </c>
      <c r="AE2141" s="16" t="n"/>
    </row>
    <row r="2142">
      <c r="A2142" s="16" t="inlineStr">
        <is>
          <t>KF-M05-4-0060</t>
        </is>
      </c>
      <c r="B2142" s="16" t="inlineStr">
        <is>
          <t>4.1</t>
        </is>
      </c>
      <c r="C2142" s="16" t="inlineStr">
        <is>
          <t>4.1d</t>
        </is>
      </c>
      <c r="D2142" s="16" t="inlineStr">
        <is>
          <t>conserva su P_alta y sus temperaturas</t>
        </is>
      </c>
      <c r="E2142" s="16" t="inlineStr">
        <is>
          <t>KF-M05</t>
        </is>
      </c>
      <c r="F2142" s="16" t="inlineStr">
        <is>
          <t>KF-M05-4</t>
        </is>
      </c>
      <c r="G2142" s="16" t="inlineStr">
        <is>
          <t>B09-4</t>
        </is>
      </c>
      <c r="H2142" s="16" t="inlineStr">
        <is>
          <t>lhs</t>
        </is>
      </c>
      <c r="I2142" s="16" t="inlineStr">
        <is>
          <t>NO_CONVERGIO</t>
        </is>
      </c>
      <c r="J2142" s="16" t="inlineStr">
        <is>
          <t>NO_CONVERGIO</t>
        </is>
      </c>
      <c r="K2142" s="16" t="b">
        <v>0</v>
      </c>
      <c r="L2142" s="16" t="b">
        <v>0</v>
      </c>
      <c r="M2142" s="16" t="b">
        <v>0</v>
      </c>
      <c r="N2142" s="16" t="b">
        <v>0</v>
      </c>
      <c r="O2142" s="16" t="n">
        <v>623.15</v>
      </c>
      <c r="P2142" s="16" t="n">
        <v>300.032917</v>
      </c>
      <c r="Q2142" s="16" t="n">
        <v>3000</v>
      </c>
      <c r="R2142" s="16" t="n">
        <v>1880.028816148849</v>
      </c>
      <c r="S2142" s="16" t="n">
        <v>0.7257493775946512</v>
      </c>
      <c r="T2142" s="16" t="n">
        <v>0.6491883668292989</v>
      </c>
      <c r="U2142" s="16" t="n">
        <v>0.55797500192525</v>
      </c>
      <c r="V2142" s="16" t="n">
        <v>0.8467546536187596</v>
      </c>
      <c r="W2142" s="16" t="n">
        <v>0.5751965009418367</v>
      </c>
      <c r="X2142" s="16" t="n">
        <v>0.8873105686666813</v>
      </c>
      <c r="Y2142" s="16" t="n">
        <v>300.032917</v>
      </c>
      <c r="Z2142" s="16" t="n"/>
      <c r="AA2142" s="16" t="n"/>
      <c r="AB2142" s="16" t="n">
        <v>1119.971183851151</v>
      </c>
      <c r="AC2142" s="16" t="n">
        <v>1.595720222068383</v>
      </c>
      <c r="AD2142" s="16" t="n"/>
      <c r="AE2142" s="16" t="n"/>
    </row>
    <row r="2143">
      <c r="A2143" s="16" t="inlineStr">
        <is>
          <t>KF-M05-4-0061</t>
        </is>
      </c>
      <c r="B2143" s="16" t="inlineStr">
        <is>
          <t>4.1</t>
        </is>
      </c>
      <c r="C2143" s="16" t="inlineStr">
        <is>
          <t>4.1d</t>
        </is>
      </c>
      <c r="D2143" s="16" t="inlineStr">
        <is>
          <t>conserva su P_alta y sus temperaturas</t>
        </is>
      </c>
      <c r="E2143" s="16" t="inlineStr">
        <is>
          <t>KF-M05</t>
        </is>
      </c>
      <c r="F2143" s="16" t="inlineStr">
        <is>
          <t>KF-M05-4</t>
        </is>
      </c>
      <c r="G2143" s="16" t="inlineStr">
        <is>
          <t>B09-4</t>
        </is>
      </c>
      <c r="H2143" s="16" t="inlineStr">
        <is>
          <t>lhs</t>
        </is>
      </c>
      <c r="I2143" s="16" t="inlineStr">
        <is>
          <t>NO_CONVERGIO</t>
        </is>
      </c>
      <c r="J2143" s="16" t="inlineStr">
        <is>
          <t>NO_CONVERGIO</t>
        </is>
      </c>
      <c r="K2143" s="16" t="b">
        <v>0</v>
      </c>
      <c r="L2143" s="16" t="b">
        <v>0</v>
      </c>
      <c r="M2143" s="16" t="b">
        <v>0</v>
      </c>
      <c r="N2143" s="16" t="b">
        <v>0</v>
      </c>
      <c r="O2143" s="16" t="n">
        <v>623.15</v>
      </c>
      <c r="P2143" s="16" t="n">
        <v>300.032917</v>
      </c>
      <c r="Q2143" s="16" t="n">
        <v>3000</v>
      </c>
      <c r="R2143" s="16" t="n">
        <v>410.2380346719654</v>
      </c>
      <c r="S2143" s="16" t="n">
        <v>0.5303674414489903</v>
      </c>
      <c r="T2143" s="16" t="n">
        <v>0.6366680328283923</v>
      </c>
      <c r="U2143" s="16" t="n">
        <v>0.8702382451324437</v>
      </c>
      <c r="V2143" s="16" t="n">
        <v>0.9245688431214142</v>
      </c>
      <c r="W2143" s="16" t="n">
        <v>0.6366704428623283</v>
      </c>
      <c r="X2143" s="16" t="n">
        <v>0.7293983739184251</v>
      </c>
      <c r="Y2143" s="16" t="n">
        <v>300.032917</v>
      </c>
      <c r="Z2143" s="16" t="n"/>
      <c r="AA2143" s="16" t="n"/>
      <c r="AB2143" s="16" t="n">
        <v>2589.761965328034</v>
      </c>
      <c r="AC2143" s="16" t="n">
        <v>7.31282754510771</v>
      </c>
      <c r="AD2143" s="16" t="n"/>
      <c r="AE2143" s="16" t="n"/>
    </row>
    <row r="2144">
      <c r="A2144" s="16" t="inlineStr">
        <is>
          <t>KF-M05-4-0062</t>
        </is>
      </c>
      <c r="B2144" s="16" t="inlineStr">
        <is>
          <t>4.1</t>
        </is>
      </c>
      <c r="C2144" s="16" t="inlineStr">
        <is>
          <t>4.1d</t>
        </is>
      </c>
      <c r="D2144" s="16" t="inlineStr">
        <is>
          <t>conserva su P_alta y sus temperaturas</t>
        </is>
      </c>
      <c r="E2144" s="16" t="inlineStr">
        <is>
          <t>KF-M05</t>
        </is>
      </c>
      <c r="F2144" s="16" t="inlineStr">
        <is>
          <t>KF-M05-4</t>
        </is>
      </c>
      <c r="G2144" s="16" t="inlineStr">
        <is>
          <t>B09-4</t>
        </is>
      </c>
      <c r="H2144" s="16" t="inlineStr">
        <is>
          <t>lhs</t>
        </is>
      </c>
      <c r="I2144" s="16" t="inlineStr">
        <is>
          <t>NO_CONVERGIO</t>
        </is>
      </c>
      <c r="J2144" s="16" t="inlineStr">
        <is>
          <t>NO_CONVERGIO</t>
        </is>
      </c>
      <c r="K2144" s="16" t="b">
        <v>0</v>
      </c>
      <c r="L2144" s="16" t="b">
        <v>0</v>
      </c>
      <c r="M2144" s="16" t="b">
        <v>0</v>
      </c>
      <c r="N2144" s="16" t="b">
        <v>0</v>
      </c>
      <c r="O2144" s="16" t="n">
        <v>623.15</v>
      </c>
      <c r="P2144" s="16" t="n">
        <v>300.032917</v>
      </c>
      <c r="Q2144" s="16" t="n">
        <v>3000</v>
      </c>
      <c r="R2144" s="16" t="n">
        <v>868.6065121977246</v>
      </c>
      <c r="S2144" s="16" t="n">
        <v>0.5691225270379997</v>
      </c>
      <c r="T2144" s="16" t="n">
        <v>0.9457812816888618</v>
      </c>
      <c r="U2144" s="16" t="n">
        <v>0.7969470969324761</v>
      </c>
      <c r="V2144" s="16" t="n">
        <v>0.8951446362976814</v>
      </c>
      <c r="W2144" s="16" t="n">
        <v>0.5263551524047542</v>
      </c>
      <c r="X2144" s="16" t="n">
        <v>0.9168757271130078</v>
      </c>
      <c r="Y2144" s="16" t="n">
        <v>300.032917</v>
      </c>
      <c r="Z2144" s="16" t="n"/>
      <c r="AA2144" s="16" t="n"/>
      <c r="AB2144" s="16" t="n">
        <v>2131.393487802276</v>
      </c>
      <c r="AC2144" s="16" t="n">
        <v>3.453807861064133</v>
      </c>
      <c r="AD2144" s="16" t="n"/>
      <c r="AE2144" s="16" t="n"/>
    </row>
    <row r="2145">
      <c r="A2145" s="16" t="inlineStr">
        <is>
          <t>KF-M05-4-0063</t>
        </is>
      </c>
      <c r="B2145" s="16" t="inlineStr">
        <is>
          <t>4.1</t>
        </is>
      </c>
      <c r="C2145" s="16" t="inlineStr">
        <is>
          <t>4.1d</t>
        </is>
      </c>
      <c r="D2145" s="16" t="inlineStr">
        <is>
          <t>conserva su P_alta y sus temperaturas</t>
        </is>
      </c>
      <c r="E2145" s="16" t="inlineStr">
        <is>
          <t>KF-M05</t>
        </is>
      </c>
      <c r="F2145" s="16" t="inlineStr">
        <is>
          <t>KF-M05-4</t>
        </is>
      </c>
      <c r="G2145" s="16" t="inlineStr">
        <is>
          <t>B09-4</t>
        </is>
      </c>
      <c r="H2145" s="16" t="inlineStr">
        <is>
          <t>lhs</t>
        </is>
      </c>
      <c r="I2145" s="16" t="inlineStr">
        <is>
          <t>INVIABLE</t>
        </is>
      </c>
      <c r="J2145" s="16" t="inlineStr">
        <is>
          <t>INVIABLE</t>
        </is>
      </c>
      <c r="K2145" s="16" t="b">
        <v>1</v>
      </c>
      <c r="L2145" s="16" t="b">
        <v>0</v>
      </c>
      <c r="M2145" s="16" t="b">
        <v>1</v>
      </c>
      <c r="N2145" s="16" t="b">
        <v>0</v>
      </c>
      <c r="O2145" s="16" t="n">
        <v>623.15</v>
      </c>
      <c r="P2145" s="16" t="n">
        <v>300.032917</v>
      </c>
      <c r="Q2145" s="16" t="n">
        <v>3000</v>
      </c>
      <c r="R2145" s="16" t="n">
        <v>1336.594633410128</v>
      </c>
      <c r="S2145" s="16" t="n">
        <v>0.5157031757789838</v>
      </c>
      <c r="T2145" s="16" t="n">
        <v>0.6826566291344771</v>
      </c>
      <c r="U2145" s="16" t="n">
        <v>0.6822244139504881</v>
      </c>
      <c r="V2145" s="16" t="n">
        <v>0.4857149535639266</v>
      </c>
      <c r="W2145" s="16" t="n">
        <v>0.6071577184081198</v>
      </c>
      <c r="X2145" s="16" t="n">
        <v>0.4221538271303219</v>
      </c>
      <c r="Y2145" s="16" t="n">
        <v>300.032917</v>
      </c>
      <c r="Z2145" s="16" t="n">
        <v>-1.08979739075062</v>
      </c>
      <c r="AA2145" s="16" t="n">
        <v>-8.268290181446915</v>
      </c>
      <c r="AB2145" s="16" t="n">
        <v>1663.405366589872</v>
      </c>
      <c r="AC2145" s="16" t="n">
        <v>2.244509984561238</v>
      </c>
      <c r="AD2145" s="16" t="inlineStr">
        <is>
          <t>O2,O3</t>
        </is>
      </c>
      <c r="AE2145" s="16" t="n"/>
    </row>
    <row r="2146">
      <c r="A2146" s="16" t="inlineStr">
        <is>
          <t>KF-M05-4-0064</t>
        </is>
      </c>
      <c r="B2146" s="16" t="inlineStr">
        <is>
          <t>4.1</t>
        </is>
      </c>
      <c r="C2146" s="16" t="inlineStr">
        <is>
          <t>4.1d</t>
        </is>
      </c>
      <c r="D2146" s="16" t="inlineStr">
        <is>
          <t>conserva su P_alta y sus temperaturas</t>
        </is>
      </c>
      <c r="E2146" s="16" t="inlineStr">
        <is>
          <t>KF-M05</t>
        </is>
      </c>
      <c r="F2146" s="16" t="inlineStr">
        <is>
          <t>KF-M05-4</t>
        </is>
      </c>
      <c r="G2146" s="16" t="inlineStr">
        <is>
          <t>B09-4</t>
        </is>
      </c>
      <c r="H2146" s="16" t="inlineStr">
        <is>
          <t>lhs</t>
        </is>
      </c>
      <c r="I2146" s="16" t="inlineStr">
        <is>
          <t>INVIABLE</t>
        </is>
      </c>
      <c r="J2146" s="16" t="inlineStr">
        <is>
          <t>INVIABLE</t>
        </is>
      </c>
      <c r="K2146" s="16" t="b">
        <v>1</v>
      </c>
      <c r="L2146" s="16" t="b">
        <v>0</v>
      </c>
      <c r="M2146" s="16" t="b">
        <v>1</v>
      </c>
      <c r="N2146" s="16" t="b">
        <v>0</v>
      </c>
      <c r="O2146" s="16" t="n">
        <v>623.15</v>
      </c>
      <c r="P2146" s="16" t="n">
        <v>300.032917</v>
      </c>
      <c r="Q2146" s="16" t="n">
        <v>3000</v>
      </c>
      <c r="R2146" s="16" t="n">
        <v>1200.703591873409</v>
      </c>
      <c r="S2146" s="16" t="n">
        <v>0.7682489443718665</v>
      </c>
      <c r="T2146" s="16" t="n">
        <v>0.4661651397965987</v>
      </c>
      <c r="U2146" s="16" t="n">
        <v>0.4621472389216491</v>
      </c>
      <c r="V2146" s="16" t="n">
        <v>0.4598625581474887</v>
      </c>
      <c r="W2146" s="16" t="n">
        <v>0.5883357438860644</v>
      </c>
      <c r="X2146" s="16" t="n">
        <v>0.5040091329275447</v>
      </c>
      <c r="Y2146" s="16" t="n">
        <v>300.032917</v>
      </c>
      <c r="Z2146" s="16" t="n">
        <v>-12.21279670111355</v>
      </c>
      <c r="AA2146" s="16" t="n">
        <v>-82.26467213656636</v>
      </c>
      <c r="AB2146" s="16" t="n">
        <v>1799.296408126591</v>
      </c>
      <c r="AC2146" s="16" t="n">
        <v>2.498535042540534</v>
      </c>
      <c r="AD2146" s="16" t="inlineStr">
        <is>
          <t>O2,O3</t>
        </is>
      </c>
      <c r="AE2146" s="16" t="n"/>
    </row>
    <row r="2147">
      <c r="A2147" s="16" t="inlineStr">
        <is>
          <t>KF-M05-4-0065</t>
        </is>
      </c>
      <c r="B2147" s="16" t="inlineStr">
        <is>
          <t>4.1</t>
        </is>
      </c>
      <c r="C2147" s="16" t="inlineStr">
        <is>
          <t>4.1d</t>
        </is>
      </c>
      <c r="D2147" s="16" t="inlineStr">
        <is>
          <t>conserva su P_alta y sus temperaturas</t>
        </is>
      </c>
      <c r="E2147" s="16" t="inlineStr">
        <is>
          <t>KF-M05</t>
        </is>
      </c>
      <c r="F2147" s="16" t="inlineStr">
        <is>
          <t>KF-M05-4</t>
        </is>
      </c>
      <c r="G2147" s="16" t="inlineStr">
        <is>
          <t>B09-4</t>
        </is>
      </c>
      <c r="H2147" s="16" t="inlineStr">
        <is>
          <t>lhs</t>
        </is>
      </c>
      <c r="I2147" s="16" t="inlineStr">
        <is>
          <t>NO_CONVERGIO</t>
        </is>
      </c>
      <c r="J2147" s="16" t="inlineStr">
        <is>
          <t>NO_CONVERGIO</t>
        </is>
      </c>
      <c r="K2147" s="16" t="b">
        <v>0</v>
      </c>
      <c r="L2147" s="16" t="b">
        <v>0</v>
      </c>
      <c r="M2147" s="16" t="b">
        <v>0</v>
      </c>
      <c r="N2147" s="16" t="b">
        <v>0</v>
      </c>
      <c r="O2147" s="16" t="n">
        <v>623.15</v>
      </c>
      <c r="P2147" s="16" t="n">
        <v>300.032917</v>
      </c>
      <c r="Q2147" s="16" t="n">
        <v>3000</v>
      </c>
      <c r="R2147" s="16" t="n">
        <v>215.7497448598479</v>
      </c>
      <c r="S2147" s="16" t="n">
        <v>0.6314461469136681</v>
      </c>
      <c r="T2147" s="16" t="n">
        <v>0.7678289889136587</v>
      </c>
      <c r="U2147" s="16" t="n">
        <v>0.7493415022447107</v>
      </c>
      <c r="V2147" s="16" t="n">
        <v>0.7372986764374955</v>
      </c>
      <c r="W2147" s="16" t="n">
        <v>0.7255235818822026</v>
      </c>
      <c r="X2147" s="16" t="n">
        <v>0.4944151872418549</v>
      </c>
      <c r="Y2147" s="16" t="n">
        <v>300.032917</v>
      </c>
      <c r="Z2147" s="16" t="n"/>
      <c r="AA2147" s="16" t="n"/>
      <c r="AB2147" s="16" t="n">
        <v>2784.250255140152</v>
      </c>
      <c r="AC2147" s="16" t="n">
        <v>13.90499906244995</v>
      </c>
      <c r="AD2147" s="16" t="n"/>
      <c r="AE2147" s="16" t="n"/>
    </row>
    <row r="2148">
      <c r="A2148" s="16" t="inlineStr">
        <is>
          <t>KF-M05-4-0066</t>
        </is>
      </c>
      <c r="B2148" s="16" t="inlineStr">
        <is>
          <t>4.1</t>
        </is>
      </c>
      <c r="C2148" s="16" t="inlineStr">
        <is>
          <t>4.1d</t>
        </is>
      </c>
      <c r="D2148" s="16" t="inlineStr">
        <is>
          <t>conserva su P_alta y sus temperaturas</t>
        </is>
      </c>
      <c r="E2148" s="16" t="inlineStr">
        <is>
          <t>KF-M05</t>
        </is>
      </c>
      <c r="F2148" s="16" t="inlineStr">
        <is>
          <t>KF-M05-4</t>
        </is>
      </c>
      <c r="G2148" s="16" t="inlineStr">
        <is>
          <t>B09-4</t>
        </is>
      </c>
      <c r="H2148" s="16" t="inlineStr">
        <is>
          <t>lhs</t>
        </is>
      </c>
      <c r="I2148" s="16" t="inlineStr">
        <is>
          <t>NO_CONVERGIO</t>
        </is>
      </c>
      <c r="J2148" s="16" t="inlineStr">
        <is>
          <t>NO_CONVERGIO</t>
        </is>
      </c>
      <c r="K2148" s="16" t="b">
        <v>0</v>
      </c>
      <c r="L2148" s="16" t="b">
        <v>0</v>
      </c>
      <c r="M2148" s="16" t="b">
        <v>0</v>
      </c>
      <c r="N2148" s="16" t="b">
        <v>0</v>
      </c>
      <c r="O2148" s="16" t="n">
        <v>623.15</v>
      </c>
      <c r="P2148" s="16" t="n">
        <v>300.032917</v>
      </c>
      <c r="Q2148" s="16" t="n">
        <v>3000</v>
      </c>
      <c r="R2148" s="16" t="n">
        <v>597.1431285749516</v>
      </c>
      <c r="S2148" s="16" t="n">
        <v>0.7359268957232388</v>
      </c>
      <c r="T2148" s="16" t="n">
        <v>0.4843444872344086</v>
      </c>
      <c r="U2148" s="16" t="n">
        <v>0.8029657618052888</v>
      </c>
      <c r="V2148" s="16" t="n">
        <v>0.7288361105242651</v>
      </c>
      <c r="W2148" s="16" t="n">
        <v>0.5661222298804156</v>
      </c>
      <c r="X2148" s="16" t="n">
        <v>0.628658299769683</v>
      </c>
      <c r="Y2148" s="16" t="n">
        <v>300.032917</v>
      </c>
      <c r="Z2148" s="16" t="n"/>
      <c r="AA2148" s="16" t="n"/>
      <c r="AB2148" s="16" t="n">
        <v>2402.856871425049</v>
      </c>
      <c r="AC2148" s="16" t="n">
        <v>5.023921161345909</v>
      </c>
      <c r="AD2148" s="16" t="n"/>
      <c r="AE2148" s="16" t="n"/>
    </row>
    <row r="2149">
      <c r="A2149" s="16" t="inlineStr">
        <is>
          <t>KF-M05-4-0067</t>
        </is>
      </c>
      <c r="B2149" s="16" t="inlineStr">
        <is>
          <t>4.1</t>
        </is>
      </c>
      <c r="C2149" s="16" t="inlineStr">
        <is>
          <t>4.1d</t>
        </is>
      </c>
      <c r="D2149" s="16" t="inlineStr">
        <is>
          <t>conserva su P_alta y sus temperaturas</t>
        </is>
      </c>
      <c r="E2149" s="16" t="inlineStr">
        <is>
          <t>KF-M05</t>
        </is>
      </c>
      <c r="F2149" s="16" t="inlineStr">
        <is>
          <t>KF-M05-4</t>
        </is>
      </c>
      <c r="G2149" s="16" t="inlineStr">
        <is>
          <t>B09-4</t>
        </is>
      </c>
      <c r="H2149" s="16" t="inlineStr">
        <is>
          <t>lhs</t>
        </is>
      </c>
      <c r="I2149" s="16" t="inlineStr">
        <is>
          <t>NO_CONVERGIO</t>
        </is>
      </c>
      <c r="J2149" s="16" t="inlineStr">
        <is>
          <t>NO_CONVERGIO</t>
        </is>
      </c>
      <c r="K2149" s="16" t="b">
        <v>0</v>
      </c>
      <c r="L2149" s="16" t="b">
        <v>0</v>
      </c>
      <c r="M2149" s="16" t="b">
        <v>0</v>
      </c>
      <c r="N2149" s="16" t="b">
        <v>0</v>
      </c>
      <c r="O2149" s="16" t="n">
        <v>623.15</v>
      </c>
      <c r="P2149" s="16" t="n">
        <v>300.032917</v>
      </c>
      <c r="Q2149" s="16" t="n">
        <v>3000</v>
      </c>
      <c r="R2149" s="16" t="n">
        <v>211.4165689488047</v>
      </c>
      <c r="S2149" s="16" t="n">
        <v>0.5073179231893835</v>
      </c>
      <c r="T2149" s="16" t="n">
        <v>0.4098948319714917</v>
      </c>
      <c r="U2149" s="16" t="n">
        <v>0.6925733392280566</v>
      </c>
      <c r="V2149" s="16" t="n">
        <v>0.6979294134488367</v>
      </c>
      <c r="W2149" s="16" t="n">
        <v>0.9375050358161384</v>
      </c>
      <c r="X2149" s="16" t="n">
        <v>0.5796211784022741</v>
      </c>
      <c r="Y2149" s="16" t="n">
        <v>300.032917</v>
      </c>
      <c r="Z2149" s="16" t="n"/>
      <c r="AA2149" s="16" t="n"/>
      <c r="AB2149" s="16" t="n">
        <v>2788.583431051195</v>
      </c>
      <c r="AC2149" s="16" t="n">
        <v>14.18999473369782</v>
      </c>
      <c r="AD2149" s="16" t="n"/>
      <c r="AE2149" s="16" t="n"/>
    </row>
    <row r="2150">
      <c r="A2150" s="16" t="inlineStr">
        <is>
          <t>KF-M05-4-0068</t>
        </is>
      </c>
      <c r="B2150" s="16" t="inlineStr">
        <is>
          <t>4.1</t>
        </is>
      </c>
      <c r="C2150" s="16" t="inlineStr">
        <is>
          <t>4.1d</t>
        </is>
      </c>
      <c r="D2150" s="16" t="inlineStr">
        <is>
          <t>conserva su P_alta y sus temperaturas</t>
        </is>
      </c>
      <c r="E2150" s="16" t="inlineStr">
        <is>
          <t>KF-M05</t>
        </is>
      </c>
      <c r="F2150" s="16" t="inlineStr">
        <is>
          <t>KF-M05-4</t>
        </is>
      </c>
      <c r="G2150" s="16" t="inlineStr">
        <is>
          <t>B09-4</t>
        </is>
      </c>
      <c r="H2150" s="16" t="inlineStr">
        <is>
          <t>lhs</t>
        </is>
      </c>
      <c r="I2150" s="16" t="inlineStr">
        <is>
          <t>INVIABLE</t>
        </is>
      </c>
      <c r="J2150" s="16" t="inlineStr">
        <is>
          <t>INVIABLE</t>
        </is>
      </c>
      <c r="K2150" s="16" t="b">
        <v>1</v>
      </c>
      <c r="L2150" s="16" t="b">
        <v>0</v>
      </c>
      <c r="M2150" s="16" t="b">
        <v>1</v>
      </c>
      <c r="N2150" s="16" t="b">
        <v>0</v>
      </c>
      <c r="O2150" s="16" t="n">
        <v>623.15</v>
      </c>
      <c r="P2150" s="16" t="n">
        <v>300.032917</v>
      </c>
      <c r="Q2150" s="16" t="n">
        <v>3000</v>
      </c>
      <c r="R2150" s="16" t="n">
        <v>580.1788294625379</v>
      </c>
      <c r="S2150" s="16" t="n">
        <v>0.7034438483267513</v>
      </c>
      <c r="T2150" s="16" t="n">
        <v>0.5798938861612671</v>
      </c>
      <c r="U2150" s="16" t="n">
        <v>0.8924190597023132</v>
      </c>
      <c r="V2150" s="16" t="n">
        <v>0.4956504805124441</v>
      </c>
      <c r="W2150" s="16" t="n">
        <v>0.9130854286619686</v>
      </c>
      <c r="X2150" s="16" t="n">
        <v>0.5727319765442961</v>
      </c>
      <c r="Y2150" s="16" t="n">
        <v>300.032917</v>
      </c>
      <c r="Z2150" s="16" t="n">
        <v>-0.95373816068192</v>
      </c>
      <c r="AA2150" s="16" t="n">
        <v>-7.050690106140109</v>
      </c>
      <c r="AB2150" s="16" t="n">
        <v>2419.821170537462</v>
      </c>
      <c r="AC2150" s="16" t="n">
        <v>5.170819491602476</v>
      </c>
      <c r="AD2150" s="16" t="inlineStr">
        <is>
          <t>O2,O3</t>
        </is>
      </c>
      <c r="AE2150" s="16" t="n"/>
    </row>
    <row r="2151">
      <c r="A2151" s="16" t="inlineStr">
        <is>
          <t>KF-M05-4-0069</t>
        </is>
      </c>
      <c r="B2151" s="16" t="inlineStr">
        <is>
          <t>4.1</t>
        </is>
      </c>
      <c r="C2151" s="16" t="inlineStr">
        <is>
          <t>4.1d</t>
        </is>
      </c>
      <c r="D2151" s="16" t="inlineStr">
        <is>
          <t>conserva su P_alta y sus temperaturas</t>
        </is>
      </c>
      <c r="E2151" s="16" t="inlineStr">
        <is>
          <t>KF-M05</t>
        </is>
      </c>
      <c r="F2151" s="16" t="inlineStr">
        <is>
          <t>KF-M05-4</t>
        </is>
      </c>
      <c r="G2151" s="16" t="inlineStr">
        <is>
          <t>B09-4</t>
        </is>
      </c>
      <c r="H2151" s="16" t="inlineStr">
        <is>
          <t>lhs</t>
        </is>
      </c>
      <c r="I2151" s="16" t="inlineStr">
        <is>
          <t>KALINA</t>
        </is>
      </c>
      <c r="J2151" s="16" t="inlineStr">
        <is>
          <t>KALINA</t>
        </is>
      </c>
      <c r="K2151" s="16" t="b">
        <v>1</v>
      </c>
      <c r="L2151" s="16" t="b">
        <v>0</v>
      </c>
      <c r="M2151" s="16" t="b">
        <v>1</v>
      </c>
      <c r="N2151" s="16" t="b">
        <v>0</v>
      </c>
      <c r="O2151" s="16" t="n">
        <v>623.15</v>
      </c>
      <c r="P2151" s="16" t="n">
        <v>300.032917</v>
      </c>
      <c r="Q2151" s="16" t="n">
        <v>3000</v>
      </c>
      <c r="R2151" s="16" t="n">
        <v>1901.57029174301</v>
      </c>
      <c r="S2151" s="16" t="n">
        <v>0.6722889314028215</v>
      </c>
      <c r="T2151" s="16" t="n">
        <v>0.9434500605232008</v>
      </c>
      <c r="U2151" s="16" t="n">
        <v>0.9358703516624142</v>
      </c>
      <c r="V2151" s="16" t="n">
        <v>0.7436214536700365</v>
      </c>
      <c r="W2151" s="16" t="n">
        <v>0.8667316247236431</v>
      </c>
      <c r="X2151" s="16" t="n">
        <v>0.9288542148159102</v>
      </c>
      <c r="Y2151" s="16" t="n">
        <v>300.032917</v>
      </c>
      <c r="Z2151" s="16" t="n">
        <v>4.14837841737031</v>
      </c>
      <c r="AA2151" s="16" t="n">
        <v>72.62794633518936</v>
      </c>
      <c r="AB2151" s="16" t="n">
        <v>1098.42970825699</v>
      </c>
      <c r="AC2151" s="16" t="n">
        <v>1.577643494445925</v>
      </c>
      <c r="AD2151" s="16" t="n"/>
      <c r="AE2151" s="16" t="n"/>
    </row>
    <row r="2152">
      <c r="A2152" s="16" t="inlineStr">
        <is>
          <t>KF-M05-4-0070</t>
        </is>
      </c>
      <c r="B2152" s="16" t="inlineStr">
        <is>
          <t>4.1</t>
        </is>
      </c>
      <c r="C2152" s="16" t="inlineStr">
        <is>
          <t>4.1d</t>
        </is>
      </c>
      <c r="D2152" s="16" t="inlineStr">
        <is>
          <t>conserva su P_alta y sus temperaturas</t>
        </is>
      </c>
      <c r="E2152" s="16" t="inlineStr">
        <is>
          <t>KF-M05</t>
        </is>
      </c>
      <c r="F2152" s="16" t="inlineStr">
        <is>
          <t>KF-M05-4</t>
        </is>
      </c>
      <c r="G2152" s="16" t="inlineStr">
        <is>
          <t>B09-4</t>
        </is>
      </c>
      <c r="H2152" s="16" t="inlineStr">
        <is>
          <t>lhs</t>
        </is>
      </c>
      <c r="I2152" s="16" t="inlineStr">
        <is>
          <t>NO_CONVERGIO</t>
        </is>
      </c>
      <c r="J2152" s="16" t="inlineStr">
        <is>
          <t>NO_CONVERGIO</t>
        </is>
      </c>
      <c r="K2152" s="16" t="b">
        <v>0</v>
      </c>
      <c r="L2152" s="16" t="b">
        <v>0</v>
      </c>
      <c r="M2152" s="16" t="b">
        <v>0</v>
      </c>
      <c r="N2152" s="16" t="b">
        <v>0</v>
      </c>
      <c r="O2152" s="16" t="n">
        <v>623.15</v>
      </c>
      <c r="P2152" s="16" t="n">
        <v>300.032917</v>
      </c>
      <c r="Q2152" s="16" t="n">
        <v>3000</v>
      </c>
      <c r="R2152" s="16" t="n">
        <v>1322.913885252509</v>
      </c>
      <c r="S2152" s="16" t="n">
        <v>0.6421787030771609</v>
      </c>
      <c r="T2152" s="16" t="n">
        <v>0.4032508501220294</v>
      </c>
      <c r="U2152" s="16" t="n">
        <v>0.9214456960378912</v>
      </c>
      <c r="V2152" s="16" t="n">
        <v>0.8821503544220968</v>
      </c>
      <c r="W2152" s="16" t="n">
        <v>0.7497791177240232</v>
      </c>
      <c r="X2152" s="16" t="n">
        <v>0.6878095525822612</v>
      </c>
      <c r="Y2152" s="16" t="n">
        <v>300.032917</v>
      </c>
      <c r="Z2152" s="16" t="n"/>
      <c r="AA2152" s="16" t="n"/>
      <c r="AB2152" s="16" t="n">
        <v>1677.086114747491</v>
      </c>
      <c r="AC2152" s="16" t="n">
        <v>2.267721303286026</v>
      </c>
      <c r="AD2152" s="16" t="n"/>
      <c r="AE2152" s="16" t="n"/>
    </row>
    <row r="2153">
      <c r="A2153" s="16" t="inlineStr">
        <is>
          <t>KF-M05-4-0071</t>
        </is>
      </c>
      <c r="B2153" s="16" t="inlineStr">
        <is>
          <t>4.1</t>
        </is>
      </c>
      <c r="C2153" s="16" t="inlineStr">
        <is>
          <t>4.1d</t>
        </is>
      </c>
      <c r="D2153" s="16" t="inlineStr">
        <is>
          <t>conserva su P_alta y sus temperaturas</t>
        </is>
      </c>
      <c r="E2153" s="16" t="inlineStr">
        <is>
          <t>KF-M05</t>
        </is>
      </c>
      <c r="F2153" s="16" t="inlineStr">
        <is>
          <t>KF-M05-4</t>
        </is>
      </c>
      <c r="G2153" s="16" t="inlineStr">
        <is>
          <t>B09-4</t>
        </is>
      </c>
      <c r="H2153" s="16" t="inlineStr">
        <is>
          <t>lhs</t>
        </is>
      </c>
      <c r="I2153" s="16" t="inlineStr">
        <is>
          <t>NO_CONVERGIO</t>
        </is>
      </c>
      <c r="J2153" s="16" t="inlineStr">
        <is>
          <t>NO_CONVERGIO</t>
        </is>
      </c>
      <c r="K2153" s="16" t="b">
        <v>0</v>
      </c>
      <c r="L2153" s="16" t="b">
        <v>0</v>
      </c>
      <c r="M2153" s="16" t="b">
        <v>0</v>
      </c>
      <c r="N2153" s="16" t="b">
        <v>0</v>
      </c>
      <c r="O2153" s="16" t="n">
        <v>623.15</v>
      </c>
      <c r="P2153" s="16" t="n">
        <v>300.032917</v>
      </c>
      <c r="Q2153" s="16" t="n">
        <v>3000</v>
      </c>
      <c r="R2153" s="16" t="n">
        <v>1061.882493709157</v>
      </c>
      <c r="S2153" s="16" t="n">
        <v>0.7708181964303351</v>
      </c>
      <c r="T2153" s="16" t="n">
        <v>0.8563919389119397</v>
      </c>
      <c r="U2153" s="16" t="n">
        <v>0.760130580814561</v>
      </c>
      <c r="V2153" s="16" t="n">
        <v>0.6663353194314899</v>
      </c>
      <c r="W2153" s="16" t="n">
        <v>0.4672100471060484</v>
      </c>
      <c r="X2153" s="16" t="n">
        <v>0.7647303583750417</v>
      </c>
      <c r="Y2153" s="16" t="n">
        <v>300.032917</v>
      </c>
      <c r="Z2153" s="16" t="n"/>
      <c r="AA2153" s="16" t="n"/>
      <c r="AB2153" s="16" t="n">
        <v>1938.117506290843</v>
      </c>
      <c r="AC2153" s="16" t="n">
        <v>2.825171351606896</v>
      </c>
      <c r="AD2153" s="16" t="n"/>
      <c r="AE2153" s="16" t="n"/>
    </row>
    <row r="2154">
      <c r="A2154" s="16" t="inlineStr">
        <is>
          <t>KF-M05-4-0072</t>
        </is>
      </c>
      <c r="B2154" s="16" t="inlineStr">
        <is>
          <t>4.1</t>
        </is>
      </c>
      <c r="C2154" s="16" t="inlineStr">
        <is>
          <t>4.1d</t>
        </is>
      </c>
      <c r="D2154" s="16" t="inlineStr">
        <is>
          <t>conserva su P_alta y sus temperaturas</t>
        </is>
      </c>
      <c r="E2154" s="16" t="inlineStr">
        <is>
          <t>KF-M05</t>
        </is>
      </c>
      <c r="F2154" s="16" t="inlineStr">
        <is>
          <t>KF-M05-4</t>
        </is>
      </c>
      <c r="G2154" s="16" t="inlineStr">
        <is>
          <t>B09-4</t>
        </is>
      </c>
      <c r="H2154" s="16" t="inlineStr">
        <is>
          <t>lhs</t>
        </is>
      </c>
      <c r="I2154" s="16" t="inlineStr">
        <is>
          <t>NO_CONVERGIO</t>
        </is>
      </c>
      <c r="J2154" s="16" t="inlineStr">
        <is>
          <t>NO_CONVERGIO</t>
        </is>
      </c>
      <c r="K2154" s="16" t="b">
        <v>0</v>
      </c>
      <c r="L2154" s="16" t="b">
        <v>0</v>
      </c>
      <c r="M2154" s="16" t="b">
        <v>0</v>
      </c>
      <c r="N2154" s="16" t="b">
        <v>0</v>
      </c>
      <c r="O2154" s="16" t="n">
        <v>623.15</v>
      </c>
      <c r="P2154" s="16" t="n">
        <v>300.032917</v>
      </c>
      <c r="Q2154" s="16" t="n">
        <v>3000</v>
      </c>
      <c r="R2154" s="16" t="n">
        <v>1781.454783781435</v>
      </c>
      <c r="S2154" s="16" t="n">
        <v>0.5378588155782071</v>
      </c>
      <c r="T2154" s="16" t="n">
        <v>0.5173684410544725</v>
      </c>
      <c r="U2154" s="16" t="n">
        <v>0.875060887508885</v>
      </c>
      <c r="V2154" s="16" t="n">
        <v>0.8630305609947136</v>
      </c>
      <c r="W2154" s="16" t="n">
        <v>0.9162147576588222</v>
      </c>
      <c r="X2154" s="16" t="n">
        <v>0.8022658450485505</v>
      </c>
      <c r="Y2154" s="16" t="n">
        <v>300.032917</v>
      </c>
      <c r="Z2154" s="16" t="n"/>
      <c r="AA2154" s="16" t="n"/>
      <c r="AB2154" s="16" t="n">
        <v>1218.545216218565</v>
      </c>
      <c r="AC2154" s="16" t="n">
        <v>1.684016921064929</v>
      </c>
      <c r="AD2154" s="16" t="n"/>
      <c r="AE2154" s="16" t="n"/>
    </row>
    <row r="2155">
      <c r="A2155" s="16" t="inlineStr">
        <is>
          <t>KF-M05-4-0073</t>
        </is>
      </c>
      <c r="B2155" s="16" t="inlineStr">
        <is>
          <t>4.1</t>
        </is>
      </c>
      <c r="C2155" s="16" t="inlineStr">
        <is>
          <t>4.1d</t>
        </is>
      </c>
      <c r="D2155" s="16" t="inlineStr">
        <is>
          <t>conserva su P_alta y sus temperaturas</t>
        </is>
      </c>
      <c r="E2155" s="16" t="inlineStr">
        <is>
          <t>KF-M05</t>
        </is>
      </c>
      <c r="F2155" s="16" t="inlineStr">
        <is>
          <t>KF-M05-4</t>
        </is>
      </c>
      <c r="G2155" s="16" t="inlineStr">
        <is>
          <t>B09-4</t>
        </is>
      </c>
      <c r="H2155" s="16" t="inlineStr">
        <is>
          <t>lhs</t>
        </is>
      </c>
      <c r="I2155" s="16" t="inlineStr">
        <is>
          <t>CORREGIBLE</t>
        </is>
      </c>
      <c r="J2155" s="16" t="inlineStr">
        <is>
          <t>CORREGIBLE</t>
        </is>
      </c>
      <c r="K2155" s="16" t="b">
        <v>1</v>
      </c>
      <c r="L2155" s="16" t="b">
        <v>0</v>
      </c>
      <c r="M2155" s="16" t="b">
        <v>1</v>
      </c>
      <c r="N2155" s="16" t="b">
        <v>0</v>
      </c>
      <c r="O2155" s="16" t="n">
        <v>623.15</v>
      </c>
      <c r="P2155" s="16" t="n">
        <v>300.032917</v>
      </c>
      <c r="Q2155" s="16" t="n">
        <v>3000</v>
      </c>
      <c r="R2155" s="16" t="n">
        <v>1168.272222193562</v>
      </c>
      <c r="S2155" s="16" t="n">
        <v>0.7889295709195945</v>
      </c>
      <c r="T2155" s="16" t="n">
        <v>0.6465052752193606</v>
      </c>
      <c r="U2155" s="16" t="n">
        <v>0.6560539953722622</v>
      </c>
      <c r="V2155" s="16" t="n">
        <v>0.7232139551056194</v>
      </c>
      <c r="W2155" s="16" t="n">
        <v>0.9064123950180164</v>
      </c>
      <c r="X2155" s="16" t="n">
        <v>0.7867443441859421</v>
      </c>
      <c r="Y2155" s="16" t="n">
        <v>300.032917</v>
      </c>
      <c r="Z2155" s="16" t="n">
        <v>4.63639018477323</v>
      </c>
      <c r="AA2155" s="16" t="n">
        <v>64.82640548172778</v>
      </c>
      <c r="AB2155" s="16" t="n">
        <v>1831.727777806438</v>
      </c>
      <c r="AC2155" s="16" t="n">
        <v>2.567894659317641</v>
      </c>
      <c r="AD2155" s="16" t="inlineStr">
        <is>
          <t>O2</t>
        </is>
      </c>
      <c r="AE2155" s="16" t="n"/>
    </row>
    <row r="2156">
      <c r="A2156" s="16" t="inlineStr">
        <is>
          <t>KF-M05-4-0074</t>
        </is>
      </c>
      <c r="B2156" s="16" t="inlineStr">
        <is>
          <t>4.1</t>
        </is>
      </c>
      <c r="C2156" s="16" t="inlineStr">
        <is>
          <t>4.1d</t>
        </is>
      </c>
      <c r="D2156" s="16" t="inlineStr">
        <is>
          <t>conserva su P_alta y sus temperaturas</t>
        </is>
      </c>
      <c r="E2156" s="16" t="inlineStr">
        <is>
          <t>KF-M05</t>
        </is>
      </c>
      <c r="F2156" s="16" t="inlineStr">
        <is>
          <t>KF-M05-4</t>
        </is>
      </c>
      <c r="G2156" s="16" t="inlineStr">
        <is>
          <t>B09-4</t>
        </is>
      </c>
      <c r="H2156" s="16" t="inlineStr">
        <is>
          <t>lhs</t>
        </is>
      </c>
      <c r="I2156" s="16" t="inlineStr">
        <is>
          <t>INVIABLE</t>
        </is>
      </c>
      <c r="J2156" s="16" t="inlineStr">
        <is>
          <t>INVIABLE</t>
        </is>
      </c>
      <c r="K2156" s="16" t="b">
        <v>1</v>
      </c>
      <c r="L2156" s="16" t="b">
        <v>0</v>
      </c>
      <c r="M2156" s="16" t="b">
        <v>1</v>
      </c>
      <c r="N2156" s="16" t="b">
        <v>0</v>
      </c>
      <c r="O2156" s="16" t="n">
        <v>623.15</v>
      </c>
      <c r="P2156" s="16" t="n">
        <v>300.032917</v>
      </c>
      <c r="Q2156" s="16" t="n">
        <v>3000</v>
      </c>
      <c r="R2156" s="16" t="n">
        <v>812.5008930628838</v>
      </c>
      <c r="S2156" s="16" t="n">
        <v>0.5768901093721096</v>
      </c>
      <c r="T2156" s="16" t="n">
        <v>0.4145547243043938</v>
      </c>
      <c r="U2156" s="16" t="n">
        <v>0.6284491953729225</v>
      </c>
      <c r="V2156" s="16" t="n">
        <v>0.4201027312344704</v>
      </c>
      <c r="W2156" s="16" t="n">
        <v>0.4577118385755683</v>
      </c>
      <c r="X2156" s="16" t="n">
        <v>0.5130675525093435</v>
      </c>
      <c r="Y2156" s="16" t="n">
        <v>300.032917</v>
      </c>
      <c r="Z2156" s="16" t="n">
        <v>-7.149541963823699</v>
      </c>
      <c r="AA2156" s="16" t="n">
        <v>-52.63310055073649</v>
      </c>
      <c r="AB2156" s="16" t="n">
        <v>2187.499106937116</v>
      </c>
      <c r="AC2156" s="16" t="n">
        <v>3.692303633896208</v>
      </c>
      <c r="AD2156" s="16" t="inlineStr">
        <is>
          <t>O2,O3</t>
        </is>
      </c>
      <c r="AE2156" s="16" t="n"/>
    </row>
    <row r="2157">
      <c r="A2157" s="16" t="inlineStr">
        <is>
          <t>KF-M05-4-0075</t>
        </is>
      </c>
      <c r="B2157" s="16" t="inlineStr">
        <is>
          <t>4.1</t>
        </is>
      </c>
      <c r="C2157" s="16" t="inlineStr">
        <is>
          <t>4.1d</t>
        </is>
      </c>
      <c r="D2157" s="16" t="inlineStr">
        <is>
          <t>conserva su P_alta y sus temperaturas</t>
        </is>
      </c>
      <c r="E2157" s="16" t="inlineStr">
        <is>
          <t>KF-M05</t>
        </is>
      </c>
      <c r="F2157" s="16" t="inlineStr">
        <is>
          <t>KF-M05-4</t>
        </is>
      </c>
      <c r="G2157" s="16" t="inlineStr">
        <is>
          <t>B09-4</t>
        </is>
      </c>
      <c r="H2157" s="16" t="inlineStr">
        <is>
          <t>lhs</t>
        </is>
      </c>
      <c r="I2157" s="16" t="inlineStr">
        <is>
          <t>CORREGIBLE</t>
        </is>
      </c>
      <c r="J2157" s="16" t="inlineStr">
        <is>
          <t>CORREGIBLE</t>
        </is>
      </c>
      <c r="K2157" s="16" t="b">
        <v>1</v>
      </c>
      <c r="L2157" s="16" t="b">
        <v>0</v>
      </c>
      <c r="M2157" s="16" t="b">
        <v>1</v>
      </c>
      <c r="N2157" s="16" t="b">
        <v>0</v>
      </c>
      <c r="O2157" s="16" t="n">
        <v>623.15</v>
      </c>
      <c r="P2157" s="16" t="n">
        <v>300.032917</v>
      </c>
      <c r="Q2157" s="16" t="n">
        <v>3000</v>
      </c>
      <c r="R2157" s="16" t="n">
        <v>693.3659915521961</v>
      </c>
      <c r="S2157" s="16" t="n">
        <v>0.7312529213806354</v>
      </c>
      <c r="T2157" s="16" t="n">
        <v>0.6134811296116592</v>
      </c>
      <c r="U2157" s="16" t="n">
        <v>0.8446980077189363</v>
      </c>
      <c r="V2157" s="16" t="n">
        <v>0.6835172283752379</v>
      </c>
      <c r="W2157" s="16" t="n">
        <v>0.5720648839987217</v>
      </c>
      <c r="X2157" s="16" t="n">
        <v>0.6931808912559901</v>
      </c>
      <c r="Y2157" s="16" t="n">
        <v>300.032917</v>
      </c>
      <c r="Z2157" s="16" t="n">
        <v>3.94249424168686</v>
      </c>
      <c r="AA2157" s="16" t="n">
        <v>45.55297000482128</v>
      </c>
      <c r="AB2157" s="16" t="n">
        <v>2306.634008447804</v>
      </c>
      <c r="AC2157" s="16" t="n">
        <v>4.326719274598518</v>
      </c>
      <c r="AD2157" s="16" t="inlineStr">
        <is>
          <t>O2</t>
        </is>
      </c>
      <c r="AE2157" s="16" t="n"/>
    </row>
    <row r="2158">
      <c r="A2158" s="16" t="inlineStr">
        <is>
          <t>KF-M05-4-0076</t>
        </is>
      </c>
      <c r="B2158" s="16" t="inlineStr">
        <is>
          <t>4.1</t>
        </is>
      </c>
      <c r="C2158" s="16" t="inlineStr">
        <is>
          <t>4.1d</t>
        </is>
      </c>
      <c r="D2158" s="16" t="inlineStr">
        <is>
          <t>conserva su P_alta y sus temperaturas</t>
        </is>
      </c>
      <c r="E2158" s="16" t="inlineStr">
        <is>
          <t>KF-M05</t>
        </is>
      </c>
      <c r="F2158" s="16" t="inlineStr">
        <is>
          <t>KF-M05-4</t>
        </is>
      </c>
      <c r="G2158" s="16" t="inlineStr">
        <is>
          <t>B09-4</t>
        </is>
      </c>
      <c r="H2158" s="16" t="inlineStr">
        <is>
          <t>lhs</t>
        </is>
      </c>
      <c r="I2158" s="16" t="inlineStr">
        <is>
          <t>NO_CONVERGIO</t>
        </is>
      </c>
      <c r="J2158" s="16" t="inlineStr">
        <is>
          <t>NO_CONVERGIO</t>
        </is>
      </c>
      <c r="K2158" s="16" t="b">
        <v>0</v>
      </c>
      <c r="L2158" s="16" t="b">
        <v>0</v>
      </c>
      <c r="M2158" s="16" t="b">
        <v>0</v>
      </c>
      <c r="N2158" s="16" t="b">
        <v>0</v>
      </c>
      <c r="O2158" s="16" t="n">
        <v>623.15</v>
      </c>
      <c r="P2158" s="16" t="n">
        <v>300.032917</v>
      </c>
      <c r="Q2158" s="16" t="n">
        <v>3000</v>
      </c>
      <c r="R2158" s="16" t="n">
        <v>264.9889017189072</v>
      </c>
      <c r="S2158" s="16" t="n">
        <v>0.6291314290547494</v>
      </c>
      <c r="T2158" s="16" t="n">
        <v>0.8081222066140288</v>
      </c>
      <c r="U2158" s="16" t="n">
        <v>0.8276859294388415</v>
      </c>
      <c r="V2158" s="16" t="n">
        <v>0.9107852113804052</v>
      </c>
      <c r="W2158" s="16" t="n">
        <v>0.4617381679387068</v>
      </c>
      <c r="X2158" s="16" t="n">
        <v>0.7317830909664182</v>
      </c>
      <c r="Y2158" s="16" t="n">
        <v>300.032917</v>
      </c>
      <c r="Z2158" s="16" t="n"/>
      <c r="AA2158" s="16" t="n"/>
      <c r="AB2158" s="16" t="n">
        <v>2735.011098281093</v>
      </c>
      <c r="AC2158" s="16" t="n">
        <v>11.32122885350993</v>
      </c>
      <c r="AD2158" s="16" t="n"/>
      <c r="AE2158" s="16" t="n"/>
    </row>
    <row r="2159">
      <c r="A2159" s="16" t="inlineStr">
        <is>
          <t>KF-M05-4-0077</t>
        </is>
      </c>
      <c r="B2159" s="16" t="inlineStr">
        <is>
          <t>4.1</t>
        </is>
      </c>
      <c r="C2159" s="16" t="inlineStr">
        <is>
          <t>4.1d</t>
        </is>
      </c>
      <c r="D2159" s="16" t="inlineStr">
        <is>
          <t>conserva su P_alta y sus temperaturas</t>
        </is>
      </c>
      <c r="E2159" s="16" t="inlineStr">
        <is>
          <t>KF-M05</t>
        </is>
      </c>
      <c r="F2159" s="16" t="inlineStr">
        <is>
          <t>KF-M05-4</t>
        </is>
      </c>
      <c r="G2159" s="16" t="inlineStr">
        <is>
          <t>B09-4</t>
        </is>
      </c>
      <c r="H2159" s="16" t="inlineStr">
        <is>
          <t>lhs</t>
        </is>
      </c>
      <c r="I2159" s="16" t="inlineStr">
        <is>
          <t>NO_CONVERGIO</t>
        </is>
      </c>
      <c r="J2159" s="16" t="inlineStr">
        <is>
          <t>NO_CONVERGIO</t>
        </is>
      </c>
      <c r="K2159" s="16" t="b">
        <v>0</v>
      </c>
      <c r="L2159" s="16" t="b">
        <v>0</v>
      </c>
      <c r="M2159" s="16" t="b">
        <v>0</v>
      </c>
      <c r="N2159" s="16" t="b">
        <v>0</v>
      </c>
      <c r="O2159" s="16" t="n">
        <v>623.15</v>
      </c>
      <c r="P2159" s="16" t="n">
        <v>300.032917</v>
      </c>
      <c r="Q2159" s="16" t="n">
        <v>3000</v>
      </c>
      <c r="R2159" s="16" t="n">
        <v>824.4186494617467</v>
      </c>
      <c r="S2159" s="16" t="n">
        <v>0.7487108372248217</v>
      </c>
      <c r="T2159" s="16" t="n">
        <v>0.6285907788523271</v>
      </c>
      <c r="U2159" s="16" t="n">
        <v>0.7659185163928715</v>
      </c>
      <c r="V2159" s="16" t="n">
        <v>0.8237519140706275</v>
      </c>
      <c r="W2159" s="16" t="n">
        <v>0.5936147630740582</v>
      </c>
      <c r="X2159" s="16" t="n">
        <v>0.4546982747139649</v>
      </c>
      <c r="Y2159" s="16" t="n">
        <v>300.032917</v>
      </c>
      <c r="Z2159" s="16" t="n"/>
      <c r="AA2159" s="16" t="n"/>
      <c r="AB2159" s="16" t="n">
        <v>2175.581350538253</v>
      </c>
      <c r="AC2159" s="16" t="n">
        <v>3.638927869910106</v>
      </c>
      <c r="AD2159" s="16" t="n"/>
      <c r="AE2159" s="16" t="n"/>
    </row>
    <row r="2160">
      <c r="A2160" s="16" t="inlineStr">
        <is>
          <t>KF-M05-4-0078</t>
        </is>
      </c>
      <c r="B2160" s="16" t="inlineStr">
        <is>
          <t>4.1</t>
        </is>
      </c>
      <c r="C2160" s="16" t="inlineStr">
        <is>
          <t>4.1d</t>
        </is>
      </c>
      <c r="D2160" s="16" t="inlineStr">
        <is>
          <t>conserva su P_alta y sus temperaturas</t>
        </is>
      </c>
      <c r="E2160" s="16" t="inlineStr">
        <is>
          <t>KF-M05</t>
        </is>
      </c>
      <c r="F2160" s="16" t="inlineStr">
        <is>
          <t>KF-M05-4</t>
        </is>
      </c>
      <c r="G2160" s="16" t="inlineStr">
        <is>
          <t>B09-4</t>
        </is>
      </c>
      <c r="H2160" s="16" t="inlineStr">
        <is>
          <t>lhs</t>
        </is>
      </c>
      <c r="I2160" s="16" t="inlineStr">
        <is>
          <t>NO_CONVERGIO</t>
        </is>
      </c>
      <c r="J2160" s="16" t="inlineStr">
        <is>
          <t>NO_CONVERGIO</t>
        </is>
      </c>
      <c r="K2160" s="16" t="b">
        <v>0</v>
      </c>
      <c r="L2160" s="16" t="b">
        <v>0</v>
      </c>
      <c r="M2160" s="16" t="b">
        <v>0</v>
      </c>
      <c r="N2160" s="16" t="b">
        <v>0</v>
      </c>
      <c r="O2160" s="16" t="n">
        <v>623.15</v>
      </c>
      <c r="P2160" s="16" t="n">
        <v>300.032917</v>
      </c>
      <c r="Q2160" s="16" t="n">
        <v>3000</v>
      </c>
      <c r="R2160" s="16" t="n">
        <v>1297.39077862042</v>
      </c>
      <c r="S2160" s="16" t="n">
        <v>0.698634318426141</v>
      </c>
      <c r="T2160" s="16" t="n">
        <v>0.7259557493548039</v>
      </c>
      <c r="U2160" s="16" t="n">
        <v>0.914473311919884</v>
      </c>
      <c r="V2160" s="16" t="n">
        <v>0.9359354767741572</v>
      </c>
      <c r="W2160" s="16" t="n">
        <v>0.5467388599922274</v>
      </c>
      <c r="X2160" s="16" t="n">
        <v>0.4393307447589374</v>
      </c>
      <c r="Y2160" s="16" t="n">
        <v>300.032917</v>
      </c>
      <c r="Z2160" s="16" t="n"/>
      <c r="AA2160" s="16" t="n"/>
      <c r="AB2160" s="16" t="n">
        <v>1702.60922137958</v>
      </c>
      <c r="AC2160" s="16" t="n">
        <v>2.312333376679344</v>
      </c>
      <c r="AD2160" s="16" t="n"/>
      <c r="AE2160" s="16" t="n"/>
    </row>
    <row r="2161">
      <c r="A2161" s="16" t="inlineStr">
        <is>
          <t>KF-M05-4-0079</t>
        </is>
      </c>
      <c r="B2161" s="16" t="inlineStr">
        <is>
          <t>4.1</t>
        </is>
      </c>
      <c r="C2161" s="16" t="inlineStr">
        <is>
          <t>4.1d</t>
        </is>
      </c>
      <c r="D2161" s="16" t="inlineStr">
        <is>
          <t>conserva su P_alta y sus temperaturas</t>
        </is>
      </c>
      <c r="E2161" s="16" t="inlineStr">
        <is>
          <t>KF-M05</t>
        </is>
      </c>
      <c r="F2161" s="16" t="inlineStr">
        <is>
          <t>KF-M05-4</t>
        </is>
      </c>
      <c r="G2161" s="16" t="inlineStr">
        <is>
          <t>B09-4</t>
        </is>
      </c>
      <c r="H2161" s="16" t="inlineStr">
        <is>
          <t>lhs</t>
        </is>
      </c>
      <c r="I2161" s="16" t="inlineStr">
        <is>
          <t>CORREGIBLE</t>
        </is>
      </c>
      <c r="J2161" s="16" t="inlineStr">
        <is>
          <t>CORREGIBLE</t>
        </is>
      </c>
      <c r="K2161" s="16" t="b">
        <v>1</v>
      </c>
      <c r="L2161" s="16" t="b">
        <v>0</v>
      </c>
      <c r="M2161" s="16" t="b">
        <v>1</v>
      </c>
      <c r="N2161" s="16" t="b">
        <v>0</v>
      </c>
      <c r="O2161" s="16" t="n">
        <v>623.15</v>
      </c>
      <c r="P2161" s="16" t="n">
        <v>300.032917</v>
      </c>
      <c r="Q2161" s="16" t="n">
        <v>3000</v>
      </c>
      <c r="R2161" s="16" t="n">
        <v>1417.030968481151</v>
      </c>
      <c r="S2161" s="16" t="n">
        <v>0.6085103354562726</v>
      </c>
      <c r="T2161" s="16" t="n">
        <v>0.8264174659144032</v>
      </c>
      <c r="U2161" s="16" t="n">
        <v>0.6439811361454926</v>
      </c>
      <c r="V2161" s="16" t="n">
        <v>0.7446387187111863</v>
      </c>
      <c r="W2161" s="16" t="n">
        <v>0.7936313423247887</v>
      </c>
      <c r="X2161" s="16" t="n">
        <v>0.7420260880369884</v>
      </c>
      <c r="Y2161" s="16" t="n">
        <v>300.032917</v>
      </c>
      <c r="Z2161" s="16" t="n">
        <v>4.83119545873404</v>
      </c>
      <c r="AA2161" s="16" t="n">
        <v>73.87271741208563</v>
      </c>
      <c r="AB2161" s="16" t="n">
        <v>1582.969031518849</v>
      </c>
      <c r="AC2161" s="16" t="n">
        <v>2.117102636942056</v>
      </c>
      <c r="AD2161" s="16" t="inlineStr">
        <is>
          <t>O2</t>
        </is>
      </c>
      <c r="AE2161" s="16" t="n"/>
    </row>
    <row r="2162">
      <c r="A2162" s="16" t="inlineStr">
        <is>
          <t>KF-M05-4-0080</t>
        </is>
      </c>
      <c r="B2162" s="16" t="inlineStr">
        <is>
          <t>4.1</t>
        </is>
      </c>
      <c r="C2162" s="16" t="inlineStr">
        <is>
          <t>4.1d</t>
        </is>
      </c>
      <c r="D2162" s="16" t="inlineStr">
        <is>
          <t>conserva su P_alta y sus temperaturas</t>
        </is>
      </c>
      <c r="E2162" s="16" t="inlineStr">
        <is>
          <t>KF-M05</t>
        </is>
      </c>
      <c r="F2162" s="16" t="inlineStr">
        <is>
          <t>KF-M05-4</t>
        </is>
      </c>
      <c r="G2162" s="16" t="inlineStr">
        <is>
          <t>B09-4</t>
        </is>
      </c>
      <c r="H2162" s="16" t="inlineStr">
        <is>
          <t>lhs</t>
        </is>
      </c>
      <c r="I2162" s="16" t="inlineStr">
        <is>
          <t>NO_CONVERGIO</t>
        </is>
      </c>
      <c r="J2162" s="16" t="inlineStr">
        <is>
          <t>NO_CONVERGIO</t>
        </is>
      </c>
      <c r="K2162" s="16" t="b">
        <v>0</v>
      </c>
      <c r="L2162" s="16" t="b">
        <v>0</v>
      </c>
      <c r="M2162" s="16" t="b">
        <v>0</v>
      </c>
      <c r="N2162" s="16" t="b">
        <v>0</v>
      </c>
      <c r="O2162" s="16" t="n">
        <v>623.15</v>
      </c>
      <c r="P2162" s="16" t="n">
        <v>300.032917</v>
      </c>
      <c r="Q2162" s="16" t="n">
        <v>3000</v>
      </c>
      <c r="R2162" s="16" t="n">
        <v>474.5501690374976</v>
      </c>
      <c r="S2162" s="16" t="n">
        <v>0.7523824571799971</v>
      </c>
      <c r="T2162" s="16" t="n">
        <v>0.6949263165635424</v>
      </c>
      <c r="U2162" s="16" t="n">
        <v>0.4976268519233164</v>
      </c>
      <c r="V2162" s="16" t="n">
        <v>0.8772822162754563</v>
      </c>
      <c r="W2162" s="16" t="n">
        <v>0.4728691269811755</v>
      </c>
      <c r="X2162" s="16" t="n">
        <v>0.5655468648959754</v>
      </c>
      <c r="Y2162" s="16" t="n">
        <v>300.032917</v>
      </c>
      <c r="Z2162" s="16" t="n"/>
      <c r="AA2162" s="16" t="n"/>
      <c r="AB2162" s="16" t="n">
        <v>2525.449830962502</v>
      </c>
      <c r="AC2162" s="16" t="n">
        <v>6.321776275171759</v>
      </c>
      <c r="AD2162" s="16" t="n"/>
      <c r="AE2162" s="16" t="n"/>
    </row>
    <row r="2163">
      <c r="A2163" s="16" t="inlineStr">
        <is>
          <t>KF-M05-4-0081</t>
        </is>
      </c>
      <c r="B2163" s="16" t="inlineStr">
        <is>
          <t>4.1</t>
        </is>
      </c>
      <c r="C2163" s="16" t="inlineStr">
        <is>
          <t>4.1d</t>
        </is>
      </c>
      <c r="D2163" s="16" t="inlineStr">
        <is>
          <t>conserva su P_alta y sus temperaturas</t>
        </is>
      </c>
      <c r="E2163" s="16" t="inlineStr">
        <is>
          <t>KF-M05</t>
        </is>
      </c>
      <c r="F2163" s="16" t="inlineStr">
        <is>
          <t>KF-M05-4</t>
        </is>
      </c>
      <c r="G2163" s="16" t="inlineStr">
        <is>
          <t>B09-4</t>
        </is>
      </c>
      <c r="H2163" s="16" t="inlineStr">
        <is>
          <t>lhs</t>
        </is>
      </c>
      <c r="I2163" s="16" t="inlineStr">
        <is>
          <t>NO_CONVERGIO</t>
        </is>
      </c>
      <c r="J2163" s="16" t="inlineStr">
        <is>
          <t>NO_CONVERGIO</t>
        </is>
      </c>
      <c r="K2163" s="16" t="b">
        <v>0</v>
      </c>
      <c r="L2163" s="16" t="b">
        <v>0</v>
      </c>
      <c r="M2163" s="16" t="b">
        <v>0</v>
      </c>
      <c r="N2163" s="16" t="b">
        <v>0</v>
      </c>
      <c r="O2163" s="16" t="n">
        <v>623.15</v>
      </c>
      <c r="P2163" s="16" t="n">
        <v>300.032917</v>
      </c>
      <c r="Q2163" s="16" t="n">
        <v>3000</v>
      </c>
      <c r="R2163" s="16" t="n">
        <v>1012.846611599754</v>
      </c>
      <c r="S2163" s="16" t="n">
        <v>0.6345041438868506</v>
      </c>
      <c r="T2163" s="16" t="n">
        <v>0.5008453083584724</v>
      </c>
      <c r="U2163" s="16" t="n">
        <v>0.4269051770967203</v>
      </c>
      <c r="V2163" s="16" t="n">
        <v>0.9313668037031616</v>
      </c>
      <c r="W2163" s="16" t="n">
        <v>0.6624396707005078</v>
      </c>
      <c r="X2163" s="16" t="n">
        <v>0.6069257853748313</v>
      </c>
      <c r="Y2163" s="16" t="n">
        <v>300.032917</v>
      </c>
      <c r="Z2163" s="16" t="n"/>
      <c r="AA2163" s="16" t="n"/>
      <c r="AB2163" s="16" t="n">
        <v>1987.153388400247</v>
      </c>
      <c r="AC2163" s="16" t="n">
        <v>2.961948991725027</v>
      </c>
      <c r="AD2163" s="16" t="n"/>
      <c r="AE2163" s="16" t="n"/>
    </row>
    <row r="2164">
      <c r="A2164" s="16" t="inlineStr">
        <is>
          <t>KF-M05-4-0082</t>
        </is>
      </c>
      <c r="B2164" s="16" t="inlineStr">
        <is>
          <t>4.1</t>
        </is>
      </c>
      <c r="C2164" s="16" t="inlineStr">
        <is>
          <t>4.1d</t>
        </is>
      </c>
      <c r="D2164" s="16" t="inlineStr">
        <is>
          <t>conserva su P_alta y sus temperaturas</t>
        </is>
      </c>
      <c r="E2164" s="16" t="inlineStr">
        <is>
          <t>KF-M05</t>
        </is>
      </c>
      <c r="F2164" s="16" t="inlineStr">
        <is>
          <t>KF-M05-4</t>
        </is>
      </c>
      <c r="G2164" s="16" t="inlineStr">
        <is>
          <t>B09-4</t>
        </is>
      </c>
      <c r="H2164" s="16" t="inlineStr">
        <is>
          <t>lhs</t>
        </is>
      </c>
      <c r="I2164" s="16" t="inlineStr">
        <is>
          <t>NO_CONVERGIO</t>
        </is>
      </c>
      <c r="J2164" s="16" t="inlineStr">
        <is>
          <t>NO_CONVERGIO</t>
        </is>
      </c>
      <c r="K2164" s="16" t="b">
        <v>0</v>
      </c>
      <c r="L2164" s="16" t="b">
        <v>0</v>
      </c>
      <c r="M2164" s="16" t="b">
        <v>0</v>
      </c>
      <c r="N2164" s="16" t="b">
        <v>0</v>
      </c>
      <c r="O2164" s="16" t="n">
        <v>623.15</v>
      </c>
      <c r="P2164" s="16" t="n">
        <v>300.032917</v>
      </c>
      <c r="Q2164" s="16" t="n">
        <v>3000</v>
      </c>
      <c r="R2164" s="16" t="n">
        <v>1944.788545631179</v>
      </c>
      <c r="S2164" s="16" t="n">
        <v>0.6938153720871321</v>
      </c>
      <c r="T2164" s="16" t="n">
        <v>0.6313259806648687</v>
      </c>
      <c r="U2164" s="16" t="n">
        <v>0.7366977206796701</v>
      </c>
      <c r="V2164" s="16" t="n">
        <v>0.9165258509812508</v>
      </c>
      <c r="W2164" s="16" t="n">
        <v>0.900387119760733</v>
      </c>
      <c r="X2164" s="16" t="n">
        <v>0.7729103307128076</v>
      </c>
      <c r="Y2164" s="16" t="n">
        <v>300.032917</v>
      </c>
      <c r="Z2164" s="16" t="n"/>
      <c r="AA2164" s="16" t="n"/>
      <c r="AB2164" s="16" t="n">
        <v>1055.211454368821</v>
      </c>
      <c r="AC2164" s="16" t="n">
        <v>1.54258415740841</v>
      </c>
      <c r="AD2164" s="16" t="n"/>
      <c r="AE2164" s="16" t="n"/>
    </row>
    <row r="2165">
      <c r="A2165" s="16" t="inlineStr">
        <is>
          <t>KF-M05-4-0083</t>
        </is>
      </c>
      <c r="B2165" s="16" t="inlineStr">
        <is>
          <t>4.1</t>
        </is>
      </c>
      <c r="C2165" s="16" t="inlineStr">
        <is>
          <t>4.1d</t>
        </is>
      </c>
      <c r="D2165" s="16" t="inlineStr">
        <is>
          <t>conserva su P_alta y sus temperaturas</t>
        </is>
      </c>
      <c r="E2165" s="16" t="inlineStr">
        <is>
          <t>KF-M05</t>
        </is>
      </c>
      <c r="F2165" s="16" t="inlineStr">
        <is>
          <t>KF-M05-4</t>
        </is>
      </c>
      <c r="G2165" s="16" t="inlineStr">
        <is>
          <t>B09-4</t>
        </is>
      </c>
      <c r="H2165" s="16" t="inlineStr">
        <is>
          <t>lhs</t>
        </is>
      </c>
      <c r="I2165" s="16" t="inlineStr">
        <is>
          <t>NO_CONVERGIO</t>
        </is>
      </c>
      <c r="J2165" s="16" t="inlineStr">
        <is>
          <t>NO_CONVERGIO</t>
        </is>
      </c>
      <c r="K2165" s="16" t="b">
        <v>0</v>
      </c>
      <c r="L2165" s="16" t="b">
        <v>0</v>
      </c>
      <c r="M2165" s="16" t="b">
        <v>0</v>
      </c>
      <c r="N2165" s="16" t="b">
        <v>0</v>
      </c>
      <c r="O2165" s="16" t="n">
        <v>623.15</v>
      </c>
      <c r="P2165" s="16" t="n">
        <v>300.032917</v>
      </c>
      <c r="Q2165" s="16" t="n">
        <v>3000</v>
      </c>
      <c r="R2165" s="16" t="n">
        <v>998.5759661858584</v>
      </c>
      <c r="S2165" s="16" t="n">
        <v>0.7943290478947429</v>
      </c>
      <c r="T2165" s="16" t="n">
        <v>0.4597465440637298</v>
      </c>
      <c r="U2165" s="16" t="n">
        <v>0.4765336608354859</v>
      </c>
      <c r="V2165" s="16" t="n">
        <v>0.4722465513188638</v>
      </c>
      <c r="W2165" s="16" t="n">
        <v>0.5345517543939944</v>
      </c>
      <c r="X2165" s="16" t="n">
        <v>0.4350281173347018</v>
      </c>
      <c r="Y2165" s="16" t="n">
        <v>300.032917</v>
      </c>
      <c r="Z2165" s="16" t="n"/>
      <c r="AA2165" s="16" t="n"/>
      <c r="AB2165" s="16" t="n">
        <v>2001.424033814142</v>
      </c>
      <c r="AC2165" s="16" t="n">
        <v>3.004278193734967</v>
      </c>
      <c r="AD2165" s="16" t="n"/>
      <c r="AE2165" s="16" t="n"/>
    </row>
    <row r="2166">
      <c r="A2166" s="16" t="inlineStr">
        <is>
          <t>KF-M05-4-0084</t>
        </is>
      </c>
      <c r="B2166" s="16" t="inlineStr">
        <is>
          <t>4.1</t>
        </is>
      </c>
      <c r="C2166" s="16" t="inlineStr">
        <is>
          <t>4.1d</t>
        </is>
      </c>
      <c r="D2166" s="16" t="inlineStr">
        <is>
          <t>conserva su P_alta y sus temperaturas</t>
        </is>
      </c>
      <c r="E2166" s="16" t="inlineStr">
        <is>
          <t>KF-M05</t>
        </is>
      </c>
      <c r="F2166" s="16" t="inlineStr">
        <is>
          <t>KF-M05-4</t>
        </is>
      </c>
      <c r="G2166" s="16" t="inlineStr">
        <is>
          <t>B09-4</t>
        </is>
      </c>
      <c r="H2166" s="16" t="inlineStr">
        <is>
          <t>lhs</t>
        </is>
      </c>
      <c r="I2166" s="16" t="inlineStr">
        <is>
          <t>NO_CONVERGIO</t>
        </is>
      </c>
      <c r="J2166" s="16" t="inlineStr">
        <is>
          <t>NO_CONVERGIO</t>
        </is>
      </c>
      <c r="K2166" s="16" t="b">
        <v>0</v>
      </c>
      <c r="L2166" s="16" t="b">
        <v>0</v>
      </c>
      <c r="M2166" s="16" t="b">
        <v>0</v>
      </c>
      <c r="N2166" s="16" t="b">
        <v>0</v>
      </c>
      <c r="O2166" s="16" t="n">
        <v>623.15</v>
      </c>
      <c r="P2166" s="16" t="n">
        <v>300.032917</v>
      </c>
      <c r="Q2166" s="16" t="n">
        <v>3000</v>
      </c>
      <c r="R2166" s="16" t="n">
        <v>1746.689665610918</v>
      </c>
      <c r="S2166" s="16" t="n">
        <v>0.583520866253423</v>
      </c>
      <c r="T2166" s="16" t="n">
        <v>0.7946372205651651</v>
      </c>
      <c r="U2166" s="16" t="n">
        <v>0.7243706431484664</v>
      </c>
      <c r="V2166" s="16" t="n">
        <v>0.7166180481035453</v>
      </c>
      <c r="W2166" s="16" t="n">
        <v>0.7712850396603985</v>
      </c>
      <c r="X2166" s="16" t="n">
        <v>0.4676991867848812</v>
      </c>
      <c r="Y2166" s="16" t="n">
        <v>300.032917</v>
      </c>
      <c r="Z2166" s="16" t="n"/>
      <c r="AA2166" s="16" t="n"/>
      <c r="AB2166" s="16" t="n">
        <v>1253.310334389082</v>
      </c>
      <c r="AC2166" s="16" t="n">
        <v>1.717534636555331</v>
      </c>
      <c r="AD2166" s="16" t="n"/>
      <c r="AE2166" s="16" t="n"/>
    </row>
    <row r="2167">
      <c r="A2167" s="16" t="inlineStr">
        <is>
          <t>KF-M05-4-0085</t>
        </is>
      </c>
      <c r="B2167" s="16" t="inlineStr">
        <is>
          <t>4.1</t>
        </is>
      </c>
      <c r="C2167" s="16" t="inlineStr">
        <is>
          <t>4.1d</t>
        </is>
      </c>
      <c r="D2167" s="16" t="inlineStr">
        <is>
          <t>conserva su P_alta y sus temperaturas</t>
        </is>
      </c>
      <c r="E2167" s="16" t="inlineStr">
        <is>
          <t>KF-M05</t>
        </is>
      </c>
      <c r="F2167" s="16" t="inlineStr">
        <is>
          <t>KF-M05-4</t>
        </is>
      </c>
      <c r="G2167" s="16" t="inlineStr">
        <is>
          <t>B09-4</t>
        </is>
      </c>
      <c r="H2167" s="16" t="inlineStr">
        <is>
          <t>lhs</t>
        </is>
      </c>
      <c r="I2167" s="16" t="inlineStr">
        <is>
          <t>NO_CONVERGIO</t>
        </is>
      </c>
      <c r="J2167" s="16" t="inlineStr">
        <is>
          <t>NO_CONVERGIO</t>
        </is>
      </c>
      <c r="K2167" s="16" t="b">
        <v>0</v>
      </c>
      <c r="L2167" s="16" t="b">
        <v>0</v>
      </c>
      <c r="M2167" s="16" t="b">
        <v>0</v>
      </c>
      <c r="N2167" s="16" t="b">
        <v>0</v>
      </c>
      <c r="O2167" s="16" t="n">
        <v>623.15</v>
      </c>
      <c r="P2167" s="16" t="n">
        <v>300.032917</v>
      </c>
      <c r="Q2167" s="16" t="n">
        <v>3000</v>
      </c>
      <c r="R2167" s="16" t="n">
        <v>358.8222479218133</v>
      </c>
      <c r="S2167" s="16" t="n">
        <v>0.7379615981750619</v>
      </c>
      <c r="T2167" s="16" t="n">
        <v>0.6654773982816009</v>
      </c>
      <c r="U2167" s="16" t="n">
        <v>0.5342725937531332</v>
      </c>
      <c r="V2167" s="16" t="n">
        <v>0.7317143069824582</v>
      </c>
      <c r="W2167" s="16" t="n">
        <v>0.5795827077317648</v>
      </c>
      <c r="X2167" s="16" t="n">
        <v>0.7674631759357724</v>
      </c>
      <c r="Y2167" s="16" t="n">
        <v>300.032917</v>
      </c>
      <c r="Z2167" s="16" t="n"/>
      <c r="AA2167" s="16" t="n"/>
      <c r="AB2167" s="16" t="n">
        <v>2641.177752078187</v>
      </c>
      <c r="AC2167" s="16" t="n">
        <v>8.3606855967685</v>
      </c>
      <c r="AD2167" s="16" t="n"/>
      <c r="AE2167" s="16" t="n"/>
    </row>
    <row r="2168">
      <c r="A2168" s="16" t="inlineStr">
        <is>
          <t>KF-M05-4-0086</t>
        </is>
      </c>
      <c r="B2168" s="16" t="inlineStr">
        <is>
          <t>4.1</t>
        </is>
      </c>
      <c r="C2168" s="16" t="inlineStr">
        <is>
          <t>4.1d</t>
        </is>
      </c>
      <c r="D2168" s="16" t="inlineStr">
        <is>
          <t>conserva su P_alta y sus temperaturas</t>
        </is>
      </c>
      <c r="E2168" s="16" t="inlineStr">
        <is>
          <t>KF-M05</t>
        </is>
      </c>
      <c r="F2168" s="16" t="inlineStr">
        <is>
          <t>KF-M05-4</t>
        </is>
      </c>
      <c r="G2168" s="16" t="inlineStr">
        <is>
          <t>B09-4</t>
        </is>
      </c>
      <c r="H2168" s="16" t="inlineStr">
        <is>
          <t>lhs</t>
        </is>
      </c>
      <c r="I2168" s="16" t="inlineStr">
        <is>
          <t>NO_CONVERGIO</t>
        </is>
      </c>
      <c r="J2168" s="16" t="inlineStr">
        <is>
          <t>NO_CONVERGIO</t>
        </is>
      </c>
      <c r="K2168" s="16" t="b">
        <v>0</v>
      </c>
      <c r="L2168" s="16" t="b">
        <v>0</v>
      </c>
      <c r="M2168" s="16" t="b">
        <v>0</v>
      </c>
      <c r="N2168" s="16" t="b">
        <v>0</v>
      </c>
      <c r="O2168" s="16" t="n">
        <v>623.15</v>
      </c>
      <c r="P2168" s="16" t="n">
        <v>300.032917</v>
      </c>
      <c r="Q2168" s="16" t="n">
        <v>3000</v>
      </c>
      <c r="R2168" s="16" t="n">
        <v>1584.006376056364</v>
      </c>
      <c r="S2168" s="16" t="n">
        <v>0.772676439907986</v>
      </c>
      <c r="T2168" s="16" t="n">
        <v>0.5735785258672418</v>
      </c>
      <c r="U2168" s="16" t="n">
        <v>0.8116920441864655</v>
      </c>
      <c r="V2168" s="16" t="n">
        <v>0.8535859977879208</v>
      </c>
      <c r="W2168" s="16" t="n">
        <v>0.4541116863087923</v>
      </c>
      <c r="X2168" s="16" t="n">
        <v>0.8678353725457411</v>
      </c>
      <c r="Y2168" s="16" t="n">
        <v>300.032917</v>
      </c>
      <c r="Z2168" s="16" t="n"/>
      <c r="AA2168" s="16" t="n"/>
      <c r="AB2168" s="16" t="n">
        <v>1415.993623943636</v>
      </c>
      <c r="AC2168" s="16" t="n">
        <v>1.89393177031836</v>
      </c>
      <c r="AD2168" s="16" t="n"/>
      <c r="AE2168" s="16" t="n"/>
    </row>
    <row r="2169">
      <c r="A2169" s="16" t="inlineStr">
        <is>
          <t>KF-M05-4-0087</t>
        </is>
      </c>
      <c r="B2169" s="16" t="inlineStr">
        <is>
          <t>4.1</t>
        </is>
      </c>
      <c r="C2169" s="16" t="inlineStr">
        <is>
          <t>4.1d</t>
        </is>
      </c>
      <c r="D2169" s="16" t="inlineStr">
        <is>
          <t>conserva su P_alta y sus temperaturas</t>
        </is>
      </c>
      <c r="E2169" s="16" t="inlineStr">
        <is>
          <t>KF-M05</t>
        </is>
      </c>
      <c r="F2169" s="16" t="inlineStr">
        <is>
          <t>KF-M05-4</t>
        </is>
      </c>
      <c r="G2169" s="16" t="inlineStr">
        <is>
          <t>B09-4</t>
        </is>
      </c>
      <c r="H2169" s="16" t="inlineStr">
        <is>
          <t>lhs</t>
        </is>
      </c>
      <c r="I2169" s="16" t="inlineStr">
        <is>
          <t>NO_CONVERGIO</t>
        </is>
      </c>
      <c r="J2169" s="16" t="inlineStr">
        <is>
          <t>NO_CONVERGIO</t>
        </is>
      </c>
      <c r="K2169" s="16" t="b">
        <v>0</v>
      </c>
      <c r="L2169" s="16" t="b">
        <v>0</v>
      </c>
      <c r="M2169" s="16" t="b">
        <v>0</v>
      </c>
      <c r="N2169" s="16" t="b">
        <v>0</v>
      </c>
      <c r="O2169" s="16" t="n">
        <v>623.15</v>
      </c>
      <c r="P2169" s="16" t="n">
        <v>300.032917</v>
      </c>
      <c r="Q2169" s="16" t="n">
        <v>3000</v>
      </c>
      <c r="R2169" s="16" t="n">
        <v>1495.349823108638</v>
      </c>
      <c r="S2169" s="16" t="n">
        <v>0.5885681218568491</v>
      </c>
      <c r="T2169" s="16" t="n">
        <v>0.9038072967017284</v>
      </c>
      <c r="U2169" s="16" t="n">
        <v>0.5525833375657212</v>
      </c>
      <c r="V2169" s="16" t="n">
        <v>0.7548914302223503</v>
      </c>
      <c r="W2169" s="16" t="n">
        <v>0.800729712749928</v>
      </c>
      <c r="X2169" s="16" t="n">
        <v>0.4482226178578365</v>
      </c>
      <c r="Y2169" s="16" t="n">
        <v>300.032917</v>
      </c>
      <c r="Z2169" s="16" t="n"/>
      <c r="AA2169" s="16" t="n"/>
      <c r="AB2169" s="16" t="n">
        <v>1504.650176891362</v>
      </c>
      <c r="AC2169" s="16" t="n">
        <v>2.006219517091586</v>
      </c>
      <c r="AD2169" s="16" t="n"/>
      <c r="AE2169" s="16" t="n"/>
    </row>
    <row r="2170">
      <c r="A2170" s="16" t="inlineStr">
        <is>
          <t>KF-M05-4-0088</t>
        </is>
      </c>
      <c r="B2170" s="16" t="inlineStr">
        <is>
          <t>4.1</t>
        </is>
      </c>
      <c r="C2170" s="16" t="inlineStr">
        <is>
          <t>4.1d</t>
        </is>
      </c>
      <c r="D2170" s="16" t="inlineStr">
        <is>
          <t>conserva su P_alta y sus temperaturas</t>
        </is>
      </c>
      <c r="E2170" s="16" t="inlineStr">
        <is>
          <t>KF-M05</t>
        </is>
      </c>
      <c r="F2170" s="16" t="inlineStr">
        <is>
          <t>KF-M05-4</t>
        </is>
      </c>
      <c r="G2170" s="16" t="inlineStr">
        <is>
          <t>B09-4</t>
        </is>
      </c>
      <c r="H2170" s="16" t="inlineStr">
        <is>
          <t>lhs</t>
        </is>
      </c>
      <c r="I2170" s="16" t="inlineStr">
        <is>
          <t>CORREGIBLE</t>
        </is>
      </c>
      <c r="J2170" s="16" t="inlineStr">
        <is>
          <t>CORREGIBLE</t>
        </is>
      </c>
      <c r="K2170" s="16" t="b">
        <v>1</v>
      </c>
      <c r="L2170" s="16" t="b">
        <v>0</v>
      </c>
      <c r="M2170" s="16" t="b">
        <v>1</v>
      </c>
      <c r="N2170" s="16" t="b">
        <v>0</v>
      </c>
      <c r="O2170" s="16" t="n">
        <v>623.15</v>
      </c>
      <c r="P2170" s="16" t="n">
        <v>300.032917</v>
      </c>
      <c r="Q2170" s="16" t="n">
        <v>3000</v>
      </c>
      <c r="R2170" s="16" t="n">
        <v>574.1498330490839</v>
      </c>
      <c r="S2170" s="16" t="n">
        <v>0.5047244696672515</v>
      </c>
      <c r="T2170" s="16" t="n">
        <v>0.689917842549014</v>
      </c>
      <c r="U2170" s="16" t="n">
        <v>0.5396728105613655</v>
      </c>
      <c r="V2170" s="16" t="n">
        <v>0.4406477658259286</v>
      </c>
      <c r="W2170" s="16" t="n">
        <v>0.5565256318646057</v>
      </c>
      <c r="X2170" s="16" t="n">
        <v>0.6450756116279691</v>
      </c>
      <c r="Y2170" s="16" t="n">
        <v>300.032917</v>
      </c>
      <c r="Z2170" s="16" t="n">
        <v>3.91460808076634</v>
      </c>
      <c r="AA2170" s="16" t="n">
        <v>36.21559326117521</v>
      </c>
      <c r="AB2170" s="16" t="n">
        <v>2425.850166950916</v>
      </c>
      <c r="AC2170" s="16" t="n">
        <v>5.225116907320482</v>
      </c>
      <c r="AD2170" s="16" t="inlineStr">
        <is>
          <t>O2</t>
        </is>
      </c>
      <c r="AE2170" s="16" t="n"/>
    </row>
    <row r="2171">
      <c r="A2171" s="16" t="inlineStr">
        <is>
          <t>KF-M05-4-0089</t>
        </is>
      </c>
      <c r="B2171" s="16" t="inlineStr">
        <is>
          <t>4.1</t>
        </is>
      </c>
      <c r="C2171" s="16" t="inlineStr">
        <is>
          <t>4.1d</t>
        </is>
      </c>
      <c r="D2171" s="16" t="inlineStr">
        <is>
          <t>conserva su P_alta y sus temperaturas</t>
        </is>
      </c>
      <c r="E2171" s="16" t="inlineStr">
        <is>
          <t>KF-M05</t>
        </is>
      </c>
      <c r="F2171" s="16" t="inlineStr">
        <is>
          <t>KF-M05-4</t>
        </is>
      </c>
      <c r="G2171" s="16" t="inlineStr">
        <is>
          <t>B09-4</t>
        </is>
      </c>
      <c r="H2171" s="16" t="inlineStr">
        <is>
          <t>lhs</t>
        </is>
      </c>
      <c r="I2171" s="16" t="inlineStr">
        <is>
          <t>NO_CONVERGIO</t>
        </is>
      </c>
      <c r="J2171" s="16" t="inlineStr">
        <is>
          <t>NO_CONVERGIO</t>
        </is>
      </c>
      <c r="K2171" s="16" t="b">
        <v>0</v>
      </c>
      <c r="L2171" s="16" t="b">
        <v>0</v>
      </c>
      <c r="M2171" s="16" t="b">
        <v>0</v>
      </c>
      <c r="N2171" s="16" t="b">
        <v>0</v>
      </c>
      <c r="O2171" s="16" t="n">
        <v>623.15</v>
      </c>
      <c r="P2171" s="16" t="n">
        <v>300.032917</v>
      </c>
      <c r="Q2171" s="16" t="n">
        <v>3000</v>
      </c>
      <c r="R2171" s="16" t="n">
        <v>875.8003192750004</v>
      </c>
      <c r="S2171" s="16" t="n">
        <v>0.8445193529279069</v>
      </c>
      <c r="T2171" s="16" t="n">
        <v>0.5632351211610772</v>
      </c>
      <c r="U2171" s="16" t="n">
        <v>0.5885095180030774</v>
      </c>
      <c r="V2171" s="16" t="n">
        <v>0.6238920313680393</v>
      </c>
      <c r="W2171" s="16" t="n">
        <v>0.7376902593335393</v>
      </c>
      <c r="X2171" s="16" t="n">
        <v>0.5626169384462252</v>
      </c>
      <c r="Y2171" s="16" t="n">
        <v>300.032917</v>
      </c>
      <c r="Z2171" s="16" t="n"/>
      <c r="AA2171" s="16" t="n"/>
      <c r="AB2171" s="16" t="n">
        <v>2124.199680725</v>
      </c>
      <c r="AC2171" s="16" t="n">
        <v>3.425438349329949</v>
      </c>
      <c r="AD2171" s="16" t="n"/>
      <c r="AE2171" s="16" t="n"/>
    </row>
    <row r="2172">
      <c r="A2172" s="16" t="inlineStr">
        <is>
          <t>KF-M05-4-0090</t>
        </is>
      </c>
      <c r="B2172" s="16" t="inlineStr">
        <is>
          <t>4.1</t>
        </is>
      </c>
      <c r="C2172" s="16" t="inlineStr">
        <is>
          <t>4.1d</t>
        </is>
      </c>
      <c r="D2172" s="16" t="inlineStr">
        <is>
          <t>conserva su P_alta y sus temperaturas</t>
        </is>
      </c>
      <c r="E2172" s="16" t="inlineStr">
        <is>
          <t>KF-M05</t>
        </is>
      </c>
      <c r="F2172" s="16" t="inlineStr">
        <is>
          <t>KF-M05-4</t>
        </is>
      </c>
      <c r="G2172" s="16" t="inlineStr">
        <is>
          <t>B09-4</t>
        </is>
      </c>
      <c r="H2172" s="16" t="inlineStr">
        <is>
          <t>lhs</t>
        </is>
      </c>
      <c r="I2172" s="16" t="inlineStr">
        <is>
          <t>CORREGIBLE</t>
        </is>
      </c>
      <c r="J2172" s="16" t="inlineStr">
        <is>
          <t>CORREGIBLE</t>
        </is>
      </c>
      <c r="K2172" s="16" t="b">
        <v>1</v>
      </c>
      <c r="L2172" s="16" t="b">
        <v>0</v>
      </c>
      <c r="M2172" s="16" t="b">
        <v>1</v>
      </c>
      <c r="N2172" s="16" t="b">
        <v>0</v>
      </c>
      <c r="O2172" s="16" t="n">
        <v>623.15</v>
      </c>
      <c r="P2172" s="16" t="n">
        <v>300.032917</v>
      </c>
      <c r="Q2172" s="16" t="n">
        <v>3000</v>
      </c>
      <c r="R2172" s="16" t="n">
        <v>1623.284938184243</v>
      </c>
      <c r="S2172" s="16" t="n">
        <v>0.56499620980944</v>
      </c>
      <c r="T2172" s="16" t="n">
        <v>0.872638238628004</v>
      </c>
      <c r="U2172" s="16" t="n">
        <v>0.5101457899996159</v>
      </c>
      <c r="V2172" s="16" t="n">
        <v>0.6183128253076146</v>
      </c>
      <c r="W2172" s="16" t="n">
        <v>0.552182602627912</v>
      </c>
      <c r="X2172" s="16" t="n">
        <v>0.5782988890053962</v>
      </c>
      <c r="Y2172" s="16" t="n">
        <v>300.032917</v>
      </c>
      <c r="Z2172" s="16" t="n">
        <v>1.93322210479957</v>
      </c>
      <c r="AA2172" s="16" t="n">
        <v>21.37531848834165</v>
      </c>
      <c r="AB2172" s="16" t="n">
        <v>1376.715061815757</v>
      </c>
      <c r="AC2172" s="16" t="n">
        <v>1.848104377384114</v>
      </c>
      <c r="AD2172" s="16" t="inlineStr">
        <is>
          <t>O2</t>
        </is>
      </c>
      <c r="AE2172" s="16" t="n"/>
    </row>
    <row r="2173">
      <c r="A2173" s="16" t="inlineStr">
        <is>
          <t>KF-M05-4-0091</t>
        </is>
      </c>
      <c r="B2173" s="16" t="inlineStr">
        <is>
          <t>4.1</t>
        </is>
      </c>
      <c r="C2173" s="16" t="inlineStr">
        <is>
          <t>4.1d</t>
        </is>
      </c>
      <c r="D2173" s="16" t="inlineStr">
        <is>
          <t>conserva su P_alta y sus temperaturas</t>
        </is>
      </c>
      <c r="E2173" s="16" t="inlineStr">
        <is>
          <t>KF-M05</t>
        </is>
      </c>
      <c r="F2173" s="16" t="inlineStr">
        <is>
          <t>KF-M05-4</t>
        </is>
      </c>
      <c r="G2173" s="16" t="inlineStr">
        <is>
          <t>B09-4</t>
        </is>
      </c>
      <c r="H2173" s="16" t="inlineStr">
        <is>
          <t>lhs</t>
        </is>
      </c>
      <c r="I2173" s="16" t="inlineStr">
        <is>
          <t>NO_CONVERGIO</t>
        </is>
      </c>
      <c r="J2173" s="16" t="inlineStr">
        <is>
          <t>NO_CONVERGIO</t>
        </is>
      </c>
      <c r="K2173" s="16" t="b">
        <v>0</v>
      </c>
      <c r="L2173" s="16" t="b">
        <v>0</v>
      </c>
      <c r="M2173" s="16" t="b">
        <v>0</v>
      </c>
      <c r="N2173" s="16" t="b">
        <v>0</v>
      </c>
      <c r="O2173" s="16" t="n">
        <v>623.15</v>
      </c>
      <c r="P2173" s="16" t="n">
        <v>300.032917</v>
      </c>
      <c r="Q2173" s="16" t="n">
        <v>3000</v>
      </c>
      <c r="R2173" s="16" t="n">
        <v>508.9121396980824</v>
      </c>
      <c r="S2173" s="16" t="n">
        <v>0.5615029682245881</v>
      </c>
      <c r="T2173" s="16" t="n">
        <v>0.5513842732775237</v>
      </c>
      <c r="U2173" s="16" t="n">
        <v>0.7121568574040192</v>
      </c>
      <c r="V2173" s="16" t="n">
        <v>0.9495782915772266</v>
      </c>
      <c r="W2173" s="16" t="n">
        <v>0.8610112684119324</v>
      </c>
      <c r="X2173" s="16" t="n">
        <v>0.8326289433121379</v>
      </c>
      <c r="Y2173" s="16" t="n">
        <v>300.032917</v>
      </c>
      <c r="Z2173" s="16" t="n"/>
      <c r="AA2173" s="16" t="n"/>
      <c r="AB2173" s="16" t="n">
        <v>2491.087860301918</v>
      </c>
      <c r="AC2173" s="16" t="n">
        <v>5.894927171082581</v>
      </c>
      <c r="AD2173" s="16" t="n"/>
      <c r="AE2173" s="16" t="n"/>
    </row>
    <row r="2174">
      <c r="A2174" s="16" t="inlineStr">
        <is>
          <t>KF-M05-4-0092</t>
        </is>
      </c>
      <c r="B2174" s="16" t="inlineStr">
        <is>
          <t>4.1</t>
        </is>
      </c>
      <c r="C2174" s="16" t="inlineStr">
        <is>
          <t>4.1d</t>
        </is>
      </c>
      <c r="D2174" s="16" t="inlineStr">
        <is>
          <t>conserva su P_alta y sus temperaturas</t>
        </is>
      </c>
      <c r="E2174" s="16" t="inlineStr">
        <is>
          <t>KF-M05</t>
        </is>
      </c>
      <c r="F2174" s="16" t="inlineStr">
        <is>
          <t>KF-M05-4</t>
        </is>
      </c>
      <c r="G2174" s="16" t="inlineStr">
        <is>
          <t>B09-4</t>
        </is>
      </c>
      <c r="H2174" s="16" t="inlineStr">
        <is>
          <t>lhs</t>
        </is>
      </c>
      <c r="I2174" s="16" t="inlineStr">
        <is>
          <t>CORREGIBLE</t>
        </is>
      </c>
      <c r="J2174" s="16" t="inlineStr">
        <is>
          <t>CORREGIBLE</t>
        </is>
      </c>
      <c r="K2174" s="16" t="b">
        <v>1</v>
      </c>
      <c r="L2174" s="16" t="b">
        <v>0</v>
      </c>
      <c r="M2174" s="16" t="b">
        <v>1</v>
      </c>
      <c r="N2174" s="16" t="b">
        <v>0</v>
      </c>
      <c r="O2174" s="16" t="n">
        <v>623.15</v>
      </c>
      <c r="P2174" s="16" t="n">
        <v>300.032917</v>
      </c>
      <c r="Q2174" s="16" t="n">
        <v>3000</v>
      </c>
      <c r="R2174" s="16" t="n">
        <v>667.3937332506657</v>
      </c>
      <c r="S2174" s="16" t="n">
        <v>0.7155809603229007</v>
      </c>
      <c r="T2174" s="16" t="n">
        <v>0.4444983437349527</v>
      </c>
      <c r="U2174" s="16" t="n">
        <v>0.9419801829793976</v>
      </c>
      <c r="V2174" s="16" t="n">
        <v>0.4767551257726903</v>
      </c>
      <c r="W2174" s="16" t="n">
        <v>0.5310546336085677</v>
      </c>
      <c r="X2174" s="16" t="n">
        <v>0.7935747862382123</v>
      </c>
      <c r="Y2174" s="16" t="n">
        <v>300.032917</v>
      </c>
      <c r="Z2174" s="16" t="n">
        <v>3.16267721924362</v>
      </c>
      <c r="AA2174" s="16" t="n">
        <v>29.99853577776305</v>
      </c>
      <c r="AB2174" s="16" t="n">
        <v>2332.606266749334</v>
      </c>
      <c r="AC2174" s="16" t="n">
        <v>4.495097647063511</v>
      </c>
      <c r="AD2174" s="16" t="inlineStr">
        <is>
          <t>O2</t>
        </is>
      </c>
      <c r="AE2174" s="16" t="n"/>
    </row>
    <row r="2175">
      <c r="A2175" s="16" t="inlineStr">
        <is>
          <t>KF-M05-4-0093</t>
        </is>
      </c>
      <c r="B2175" s="16" t="inlineStr">
        <is>
          <t>4.1</t>
        </is>
      </c>
      <c r="C2175" s="16" t="inlineStr">
        <is>
          <t>4.1d</t>
        </is>
      </c>
      <c r="D2175" s="16" t="inlineStr">
        <is>
          <t>conserva su P_alta y sus temperaturas</t>
        </is>
      </c>
      <c r="E2175" s="16" t="inlineStr">
        <is>
          <t>KF-M05</t>
        </is>
      </c>
      <c r="F2175" s="16" t="inlineStr">
        <is>
          <t>KF-M05-4</t>
        </is>
      </c>
      <c r="G2175" s="16" t="inlineStr">
        <is>
          <t>B09-4</t>
        </is>
      </c>
      <c r="H2175" s="16" t="inlineStr">
        <is>
          <t>lhs</t>
        </is>
      </c>
      <c r="I2175" s="16" t="inlineStr">
        <is>
          <t>CORREGIBLE</t>
        </is>
      </c>
      <c r="J2175" s="16" t="inlineStr">
        <is>
          <t>CORREGIBLE</t>
        </is>
      </c>
      <c r="K2175" s="16" t="b">
        <v>1</v>
      </c>
      <c r="L2175" s="16" t="b">
        <v>0</v>
      </c>
      <c r="M2175" s="16" t="b">
        <v>1</v>
      </c>
      <c r="N2175" s="16" t="b">
        <v>0</v>
      </c>
      <c r="O2175" s="16" t="n">
        <v>623.15</v>
      </c>
      <c r="P2175" s="16" t="n">
        <v>300.032917</v>
      </c>
      <c r="Q2175" s="16" t="n">
        <v>3000</v>
      </c>
      <c r="R2175" s="16" t="n">
        <v>788.2846212475242</v>
      </c>
      <c r="S2175" s="16" t="n">
        <v>0.5743698239653026</v>
      </c>
      <c r="T2175" s="16" t="n">
        <v>0.9398884219280946</v>
      </c>
      <c r="U2175" s="16" t="n">
        <v>0.9466129346111156</v>
      </c>
      <c r="V2175" s="16" t="n">
        <v>0.6143903854306959</v>
      </c>
      <c r="W2175" s="16" t="n">
        <v>0.7246450078733486</v>
      </c>
      <c r="X2175" s="16" t="n">
        <v>0.6601016489720446</v>
      </c>
      <c r="Y2175" s="16" t="n">
        <v>300.032917</v>
      </c>
      <c r="Z2175" s="16" t="n">
        <v>10.69084876071657</v>
      </c>
      <c r="AA2175" s="16" t="n">
        <v>130.9089196314521</v>
      </c>
      <c r="AB2175" s="16" t="n">
        <v>2211.715378752476</v>
      </c>
      <c r="AC2175" s="16" t="n">
        <v>3.805731989610881</v>
      </c>
      <c r="AD2175" s="16" t="inlineStr">
        <is>
          <t>O2</t>
        </is>
      </c>
      <c r="AE2175" s="16" t="n"/>
    </row>
    <row r="2176">
      <c r="A2176" s="16" t="inlineStr">
        <is>
          <t>KF-M05-4-0094</t>
        </is>
      </c>
      <c r="B2176" s="16" t="inlineStr">
        <is>
          <t>4.1</t>
        </is>
      </c>
      <c r="C2176" s="16" t="inlineStr">
        <is>
          <t>4.1d</t>
        </is>
      </c>
      <c r="D2176" s="16" t="inlineStr">
        <is>
          <t>conserva su P_alta y sus temperaturas</t>
        </is>
      </c>
      <c r="E2176" s="16" t="inlineStr">
        <is>
          <t>KF-M05</t>
        </is>
      </c>
      <c r="F2176" s="16" t="inlineStr">
        <is>
          <t>KF-M05-4</t>
        </is>
      </c>
      <c r="G2176" s="16" t="inlineStr">
        <is>
          <t>B09-4</t>
        </is>
      </c>
      <c r="H2176" s="16" t="inlineStr">
        <is>
          <t>lhs</t>
        </is>
      </c>
      <c r="I2176" s="16" t="inlineStr">
        <is>
          <t>CORREGIBLE</t>
        </is>
      </c>
      <c r="J2176" s="16" t="inlineStr">
        <is>
          <t>CORREGIBLE</t>
        </is>
      </c>
      <c r="K2176" s="16" t="b">
        <v>1</v>
      </c>
      <c r="L2176" s="16" t="b">
        <v>0</v>
      </c>
      <c r="M2176" s="16" t="b">
        <v>1</v>
      </c>
      <c r="N2176" s="16" t="b">
        <v>0</v>
      </c>
      <c r="O2176" s="16" t="n">
        <v>623.15</v>
      </c>
      <c r="P2176" s="16" t="n">
        <v>300.032917</v>
      </c>
      <c r="Q2176" s="16" t="n">
        <v>3000</v>
      </c>
      <c r="R2176" s="16" t="n">
        <v>491.5238671483665</v>
      </c>
      <c r="S2176" s="16" t="n">
        <v>0.6868489215394493</v>
      </c>
      <c r="T2176" s="16" t="n">
        <v>0.5586701060832564</v>
      </c>
      <c r="U2176" s="16" t="n">
        <v>0.8248569970394304</v>
      </c>
      <c r="V2176" s="16" t="n">
        <v>0.5747907041649543</v>
      </c>
      <c r="W2176" s="16" t="n">
        <v>0.4183252333836917</v>
      </c>
      <c r="X2176" s="16" t="n">
        <v>0.7806487977233878</v>
      </c>
      <c r="Y2176" s="16" t="n">
        <v>300.032917</v>
      </c>
      <c r="Z2176" s="16" t="n">
        <v>2.18300095261109</v>
      </c>
      <c r="AA2176" s="16" t="n">
        <v>21.99759641424535</v>
      </c>
      <c r="AB2176" s="16" t="n">
        <v>2508.476132851633</v>
      </c>
      <c r="AC2176" s="16" t="n">
        <v>6.103467604543504</v>
      </c>
      <c r="AD2176" s="16" t="inlineStr">
        <is>
          <t>O2</t>
        </is>
      </c>
      <c r="AE2176" s="16" t="n"/>
    </row>
    <row r="2177">
      <c r="A2177" s="16" t="inlineStr">
        <is>
          <t>KF-M05-4-0095</t>
        </is>
      </c>
      <c r="B2177" s="16" t="inlineStr">
        <is>
          <t>4.1</t>
        </is>
      </c>
      <c r="C2177" s="16" t="inlineStr">
        <is>
          <t>4.1d</t>
        </is>
      </c>
      <c r="D2177" s="16" t="inlineStr">
        <is>
          <t>conserva su P_alta y sus temperaturas</t>
        </is>
      </c>
      <c r="E2177" s="16" t="inlineStr">
        <is>
          <t>KF-M05</t>
        </is>
      </c>
      <c r="F2177" s="16" t="inlineStr">
        <is>
          <t>KF-M05-4</t>
        </is>
      </c>
      <c r="G2177" s="16" t="inlineStr">
        <is>
          <t>B09-4</t>
        </is>
      </c>
      <c r="H2177" s="16" t="inlineStr">
        <is>
          <t>lhs</t>
        </is>
      </c>
      <c r="I2177" s="16" t="inlineStr">
        <is>
          <t>KALINA</t>
        </is>
      </c>
      <c r="J2177" s="16" t="inlineStr">
        <is>
          <t>KALINA</t>
        </is>
      </c>
      <c r="K2177" s="16" t="b">
        <v>1</v>
      </c>
      <c r="L2177" s="16" t="b">
        <v>0</v>
      </c>
      <c r="M2177" s="16" t="b">
        <v>1</v>
      </c>
      <c r="N2177" s="16" t="b">
        <v>0</v>
      </c>
      <c r="O2177" s="16" t="n">
        <v>623.15</v>
      </c>
      <c r="P2177" s="16" t="n">
        <v>300.032917</v>
      </c>
      <c r="Q2177" s="16" t="n">
        <v>3000</v>
      </c>
      <c r="R2177" s="16" t="n">
        <v>955.2858388867096</v>
      </c>
      <c r="S2177" s="16" t="n">
        <v>0.5442986828505293</v>
      </c>
      <c r="T2177" s="16" t="n">
        <v>0.6841893026601418</v>
      </c>
      <c r="U2177" s="16" t="n">
        <v>0.6426228769604696</v>
      </c>
      <c r="V2177" s="16" t="n">
        <v>0.4042501998338983</v>
      </c>
      <c r="W2177" s="16" t="n">
        <v>0.8169858465652224</v>
      </c>
      <c r="X2177" s="16" t="n">
        <v>0.8915969849456308</v>
      </c>
      <c r="Y2177" s="16" t="n">
        <v>300.032917</v>
      </c>
      <c r="Z2177" s="16" t="n">
        <v>6.72007674251906</v>
      </c>
      <c r="AA2177" s="16" t="n">
        <v>64.20223460434978</v>
      </c>
      <c r="AB2177" s="16" t="n">
        <v>2044.71416111329</v>
      </c>
      <c r="AC2177" s="16" t="n">
        <v>3.140421304157718</v>
      </c>
      <c r="AD2177" s="16" t="n"/>
      <c r="AE2177" s="16" t="n"/>
    </row>
    <row r="2178">
      <c r="A2178" s="16" t="inlineStr">
        <is>
          <t>KF-M05-4-0096</t>
        </is>
      </c>
      <c r="B2178" s="16" t="inlineStr">
        <is>
          <t>4.1</t>
        </is>
      </c>
      <c r="C2178" s="16" t="inlineStr">
        <is>
          <t>4.1d</t>
        </is>
      </c>
      <c r="D2178" s="16" t="inlineStr">
        <is>
          <t>conserva su P_alta y sus temperaturas</t>
        </is>
      </c>
      <c r="E2178" s="16" t="inlineStr">
        <is>
          <t>KF-M05</t>
        </is>
      </c>
      <c r="F2178" s="16" t="inlineStr">
        <is>
          <t>KF-M05-4</t>
        </is>
      </c>
      <c r="G2178" s="16" t="inlineStr">
        <is>
          <t>B09-4</t>
        </is>
      </c>
      <c r="H2178" s="16" t="inlineStr">
        <is>
          <t>lhs</t>
        </is>
      </c>
      <c r="I2178" s="16" t="inlineStr">
        <is>
          <t>NO_CONVERGIO</t>
        </is>
      </c>
      <c r="J2178" s="16" t="inlineStr">
        <is>
          <t>NO_CONVERGIO</t>
        </is>
      </c>
      <c r="K2178" s="16" t="b">
        <v>0</v>
      </c>
      <c r="L2178" s="16" t="b">
        <v>0</v>
      </c>
      <c r="M2178" s="16" t="b">
        <v>0</v>
      </c>
      <c r="N2178" s="16" t="b">
        <v>0</v>
      </c>
      <c r="O2178" s="16" t="n">
        <v>623.15</v>
      </c>
      <c r="P2178" s="16" t="n">
        <v>300.032917</v>
      </c>
      <c r="Q2178" s="16" t="n">
        <v>3000</v>
      </c>
      <c r="R2178" s="16" t="n">
        <v>1820.487842189958</v>
      </c>
      <c r="S2178" s="16" t="n">
        <v>0.6172459641667749</v>
      </c>
      <c r="T2178" s="16" t="n">
        <v>0.8698799992430251</v>
      </c>
      <c r="U2178" s="16" t="n">
        <v>0.6209401941707593</v>
      </c>
      <c r="V2178" s="16" t="n">
        <v>0.8168477463612444</v>
      </c>
      <c r="W2178" s="16" t="n">
        <v>0.8433047162417991</v>
      </c>
      <c r="X2178" s="16" t="n">
        <v>0.7368600235159956</v>
      </c>
      <c r="Y2178" s="16" t="n">
        <v>300.032917</v>
      </c>
      <c r="Z2178" s="16" t="n"/>
      <c r="AA2178" s="16" t="n"/>
      <c r="AB2178" s="16" t="n">
        <v>1179.512157810042</v>
      </c>
      <c r="AC2178" s="16" t="n">
        <v>1.647909934070829</v>
      </c>
      <c r="AD2178" s="16" t="n"/>
      <c r="AE2178" s="16" t="n"/>
    </row>
    <row r="2179">
      <c r="A2179" s="16" t="inlineStr">
        <is>
          <t>KF-M05-4-0097</t>
        </is>
      </c>
      <c r="B2179" s="16" t="inlineStr">
        <is>
          <t>4.1</t>
        </is>
      </c>
      <c r="C2179" s="16" t="inlineStr">
        <is>
          <t>4.1d</t>
        </is>
      </c>
      <c r="D2179" s="16" t="inlineStr">
        <is>
          <t>conserva su P_alta y sus temperaturas</t>
        </is>
      </c>
      <c r="E2179" s="16" t="inlineStr">
        <is>
          <t>KF-M05</t>
        </is>
      </c>
      <c r="F2179" s="16" t="inlineStr">
        <is>
          <t>KF-M05-4</t>
        </is>
      </c>
      <c r="G2179" s="16" t="inlineStr">
        <is>
          <t>B09-4</t>
        </is>
      </c>
      <c r="H2179" s="16" t="inlineStr">
        <is>
          <t>lhs</t>
        </is>
      </c>
      <c r="I2179" s="16" t="inlineStr">
        <is>
          <t>NO_CONVERGIO</t>
        </is>
      </c>
      <c r="J2179" s="16" t="inlineStr">
        <is>
          <t>NO_CONVERGIO</t>
        </is>
      </c>
      <c r="K2179" s="16" t="b">
        <v>0</v>
      </c>
      <c r="L2179" s="16" t="b">
        <v>0</v>
      </c>
      <c r="M2179" s="16" t="b">
        <v>0</v>
      </c>
      <c r="N2179" s="16" t="b">
        <v>0</v>
      </c>
      <c r="O2179" s="16" t="n">
        <v>623.15</v>
      </c>
      <c r="P2179" s="16" t="n">
        <v>300.032917</v>
      </c>
      <c r="Q2179" s="16" t="n">
        <v>3000</v>
      </c>
      <c r="R2179" s="16" t="n">
        <v>893.066406969515</v>
      </c>
      <c r="S2179" s="16" t="n">
        <v>0.6613504306669395</v>
      </c>
      <c r="T2179" s="16" t="n">
        <v>0.8471740805937258</v>
      </c>
      <c r="U2179" s="16" t="n">
        <v>0.4395289423649786</v>
      </c>
      <c r="V2179" s="16" t="n">
        <v>0.9019098331746476</v>
      </c>
      <c r="W2179" s="16" t="n">
        <v>0.6474450129488035</v>
      </c>
      <c r="X2179" s="16" t="n">
        <v>0.4315911205385694</v>
      </c>
      <c r="Y2179" s="16" t="n">
        <v>300.032917</v>
      </c>
      <c r="Z2179" s="16" t="n"/>
      <c r="AA2179" s="16" t="n"/>
      <c r="AB2179" s="16" t="n">
        <v>2106.933593030485</v>
      </c>
      <c r="AC2179" s="16" t="n">
        <v>3.359212681820654</v>
      </c>
      <c r="AD2179" s="16" t="n"/>
      <c r="AE2179" s="16" t="n"/>
    </row>
    <row r="2180">
      <c r="A2180" s="16" t="inlineStr">
        <is>
          <t>KF-M05-4-0098</t>
        </is>
      </c>
      <c r="B2180" s="16" t="inlineStr">
        <is>
          <t>4.1</t>
        </is>
      </c>
      <c r="C2180" s="16" t="inlineStr">
        <is>
          <t>4.1d</t>
        </is>
      </c>
      <c r="D2180" s="16" t="inlineStr">
        <is>
          <t>conserva su P_alta y sus temperaturas</t>
        </is>
      </c>
      <c r="E2180" s="16" t="inlineStr">
        <is>
          <t>KF-M05</t>
        </is>
      </c>
      <c r="F2180" s="16" t="inlineStr">
        <is>
          <t>KF-M05-4</t>
        </is>
      </c>
      <c r="G2180" s="16" t="inlineStr">
        <is>
          <t>B09-4</t>
        </is>
      </c>
      <c r="H2180" s="16" t="inlineStr">
        <is>
          <t>lhs</t>
        </is>
      </c>
      <c r="I2180" s="16" t="inlineStr">
        <is>
          <t>CORREGIBLE</t>
        </is>
      </c>
      <c r="J2180" s="16" t="inlineStr">
        <is>
          <t>CORREGIBLE</t>
        </is>
      </c>
      <c r="K2180" s="16" t="b">
        <v>1</v>
      </c>
      <c r="L2180" s="16" t="b">
        <v>0</v>
      </c>
      <c r="M2180" s="16" t="b">
        <v>0</v>
      </c>
      <c r="N2180" s="16" t="b">
        <v>0</v>
      </c>
      <c r="O2180" s="16" t="n">
        <v>623.15</v>
      </c>
      <c r="P2180" s="16" t="n">
        <v>300.032917</v>
      </c>
      <c r="Q2180" s="16" t="n">
        <v>3000</v>
      </c>
      <c r="R2180" s="16" t="n">
        <v>1250.802765850564</v>
      </c>
      <c r="S2180" s="16" t="n">
        <v>0.8309115464628688</v>
      </c>
      <c r="T2180" s="16" t="n">
        <v>0.7423294998335458</v>
      </c>
      <c r="U2180" s="16" t="n">
        <v>0.4108496177070945</v>
      </c>
      <c r="V2180" s="16" t="n">
        <v>0.4682367345944238</v>
      </c>
      <c r="W2180" s="16" t="n">
        <v>0.8934152497542788</v>
      </c>
      <c r="X2180" s="16" t="n">
        <v>0.836383569993036</v>
      </c>
      <c r="Y2180" s="16" t="n">
        <v>300.032917</v>
      </c>
      <c r="Z2180" s="16" t="n">
        <v>6.24507827563496</v>
      </c>
      <c r="AA2180" s="16" t="n">
        <v>59.11308166546184</v>
      </c>
      <c r="AB2180" s="16" t="n">
        <v>1749.197234149436</v>
      </c>
      <c r="AC2180" s="16" t="n">
        <v>2.398459678780736</v>
      </c>
      <c r="AD2180" s="16" t="inlineStr">
        <is>
          <t>O2</t>
        </is>
      </c>
      <c r="AE2180" s="16" t="n"/>
    </row>
    <row r="2181">
      <c r="A2181" s="16" t="inlineStr">
        <is>
          <t>KF-M05-4-0099</t>
        </is>
      </c>
      <c r="B2181" s="16" t="inlineStr">
        <is>
          <t>4.1</t>
        </is>
      </c>
      <c r="C2181" s="16" t="inlineStr">
        <is>
          <t>4.1d</t>
        </is>
      </c>
      <c r="D2181" s="16" t="inlineStr">
        <is>
          <t>conserva su P_alta y sus temperaturas</t>
        </is>
      </c>
      <c r="E2181" s="16" t="inlineStr">
        <is>
          <t>KF-M05</t>
        </is>
      </c>
      <c r="F2181" s="16" t="inlineStr">
        <is>
          <t>KF-M05-4</t>
        </is>
      </c>
      <c r="G2181" s="16" t="inlineStr">
        <is>
          <t>B09-4</t>
        </is>
      </c>
      <c r="H2181" s="16" t="inlineStr">
        <is>
          <t>lhs</t>
        </is>
      </c>
      <c r="I2181" s="16" t="inlineStr">
        <is>
          <t>CORREGIBLE</t>
        </is>
      </c>
      <c r="J2181" s="16" t="inlineStr">
        <is>
          <t>CORREGIBLE</t>
        </is>
      </c>
      <c r="K2181" s="16" t="b">
        <v>1</v>
      </c>
      <c r="L2181" s="16" t="b">
        <v>0</v>
      </c>
      <c r="M2181" s="16" t="b">
        <v>1</v>
      </c>
      <c r="N2181" s="16" t="b">
        <v>0</v>
      </c>
      <c r="O2181" s="16" t="n">
        <v>623.15</v>
      </c>
      <c r="P2181" s="16" t="n">
        <v>300.032917</v>
      </c>
      <c r="Q2181" s="16" t="n">
        <v>3000</v>
      </c>
      <c r="R2181" s="16" t="n">
        <v>732.82340294424</v>
      </c>
      <c r="S2181" s="16" t="n">
        <v>0.7465876683982298</v>
      </c>
      <c r="T2181" s="16" t="n">
        <v>0.668671502113328</v>
      </c>
      <c r="U2181" s="16" t="n">
        <v>0.5037086181886181</v>
      </c>
      <c r="V2181" s="16" t="n">
        <v>0.7029855834370611</v>
      </c>
      <c r="W2181" s="16" t="n">
        <v>0.8068719399224087</v>
      </c>
      <c r="X2181" s="16" t="n">
        <v>0.8432270092747542</v>
      </c>
      <c r="Y2181" s="16" t="n">
        <v>300.032917</v>
      </c>
      <c r="Z2181" s="16" t="n">
        <v>5.27211189291571</v>
      </c>
      <c r="AA2181" s="16" t="n">
        <v>72.66953840226802</v>
      </c>
      <c r="AB2181" s="16" t="n">
        <v>2267.17659705576</v>
      </c>
      <c r="AC2181" s="16" t="n">
        <v>4.093755723339348</v>
      </c>
      <c r="AD2181" s="16" t="inlineStr">
        <is>
          <t>O2</t>
        </is>
      </c>
      <c r="AE2181" s="16" t="n"/>
    </row>
    <row r="2182">
      <c r="A2182" s="16" t="inlineStr">
        <is>
          <t>KF-M05-4-0100</t>
        </is>
      </c>
      <c r="B2182" s="16" t="inlineStr">
        <is>
          <t>4.1</t>
        </is>
      </c>
      <c r="C2182" s="16" t="inlineStr">
        <is>
          <t>4.1d</t>
        </is>
      </c>
      <c r="D2182" s="16" t="inlineStr">
        <is>
          <t>conserva su P_alta y sus temperaturas</t>
        </is>
      </c>
      <c r="E2182" s="16" t="inlineStr">
        <is>
          <t>KF-M05</t>
        </is>
      </c>
      <c r="F2182" s="16" t="inlineStr">
        <is>
          <t>KF-M05-4</t>
        </is>
      </c>
      <c r="G2182" s="16" t="inlineStr">
        <is>
          <t>B09-4</t>
        </is>
      </c>
      <c r="H2182" s="16" t="inlineStr">
        <is>
          <t>lhs</t>
        </is>
      </c>
      <c r="I2182" s="16" t="inlineStr">
        <is>
          <t>INVIABLE</t>
        </is>
      </c>
      <c r="J2182" s="16" t="inlineStr">
        <is>
          <t>INVIABLE</t>
        </is>
      </c>
      <c r="K2182" s="16" t="b">
        <v>1</v>
      </c>
      <c r="L2182" s="16" t="b">
        <v>0</v>
      </c>
      <c r="M2182" s="16" t="b">
        <v>1</v>
      </c>
      <c r="N2182" s="16" t="b">
        <v>0</v>
      </c>
      <c r="O2182" s="16" t="n">
        <v>623.15</v>
      </c>
      <c r="P2182" s="16" t="n">
        <v>300.032917</v>
      </c>
      <c r="Q2182" s="16" t="n">
        <v>3000</v>
      </c>
      <c r="R2182" s="16" t="n">
        <v>1187.251324131363</v>
      </c>
      <c r="S2182" s="16" t="n">
        <v>0.5512207905854647</v>
      </c>
      <c r="T2182" s="16" t="n">
        <v>0.7331948430163482</v>
      </c>
      <c r="U2182" s="16" t="n">
        <v>0.5297795494790801</v>
      </c>
      <c r="V2182" s="16" t="n">
        <v>0.5636946923855077</v>
      </c>
      <c r="W2182" s="16" t="n">
        <v>0.6306124662446735</v>
      </c>
      <c r="X2182" s="16" t="n">
        <v>0.4834062832671372</v>
      </c>
      <c r="Y2182" s="16" t="n">
        <v>300.032917</v>
      </c>
      <c r="Z2182" s="16" t="n">
        <v>-2.1991572144227</v>
      </c>
      <c r="AA2182" s="16" t="n">
        <v>-19.46476959190347</v>
      </c>
      <c r="AB2182" s="16" t="n">
        <v>1812.748675868637</v>
      </c>
      <c r="AC2182" s="16" t="n">
        <v>2.526844939250678</v>
      </c>
      <c r="AD2182" s="16" t="inlineStr">
        <is>
          <t>O2,O3</t>
        </is>
      </c>
      <c r="AE2182" s="16" t="n"/>
    </row>
    <row r="2183">
      <c r="A2183" s="16" t="inlineStr">
        <is>
          <t>KF-M05-4-0101</t>
        </is>
      </c>
      <c r="B2183" s="16" t="inlineStr">
        <is>
          <t>4.1</t>
        </is>
      </c>
      <c r="C2183" s="16" t="inlineStr">
        <is>
          <t>4.1d</t>
        </is>
      </c>
      <c r="D2183" s="16" t="inlineStr">
        <is>
          <t>conserva su P_alta y sus temperaturas</t>
        </is>
      </c>
      <c r="E2183" s="16" t="inlineStr">
        <is>
          <t>KF-M05</t>
        </is>
      </c>
      <c r="F2183" s="16" t="inlineStr">
        <is>
          <t>KF-M05-4</t>
        </is>
      </c>
      <c r="G2183" s="16" t="inlineStr">
        <is>
          <t>B09-4</t>
        </is>
      </c>
      <c r="H2183" s="16" t="inlineStr">
        <is>
          <t>lhs</t>
        </is>
      </c>
      <c r="I2183" s="16" t="inlineStr">
        <is>
          <t>NO_CONVERGIO</t>
        </is>
      </c>
      <c r="J2183" s="16" t="inlineStr">
        <is>
          <t>NO_CONVERGIO</t>
        </is>
      </c>
      <c r="K2183" s="16" t="b">
        <v>0</v>
      </c>
      <c r="L2183" s="16" t="b">
        <v>0</v>
      </c>
      <c r="M2183" s="16" t="b">
        <v>0</v>
      </c>
      <c r="N2183" s="16" t="b">
        <v>0</v>
      </c>
      <c r="O2183" s="16" t="n">
        <v>623.15</v>
      </c>
      <c r="P2183" s="16" t="n">
        <v>300.032917</v>
      </c>
      <c r="Q2183" s="16" t="n">
        <v>3000</v>
      </c>
      <c r="R2183" s="16" t="n">
        <v>969.1109883984024</v>
      </c>
      <c r="S2183" s="16" t="n">
        <v>0.8479413415898844</v>
      </c>
      <c r="T2183" s="16" t="n">
        <v>0.4720417491297297</v>
      </c>
      <c r="U2183" s="16" t="n">
        <v>0.608148754013681</v>
      </c>
      <c r="V2183" s="16" t="n">
        <v>0.8592016470776687</v>
      </c>
      <c r="W2183" s="16" t="n">
        <v>0.4399816093834959</v>
      </c>
      <c r="X2183" s="16" t="n">
        <v>0.6325527168310874</v>
      </c>
      <c r="Y2183" s="16" t="n">
        <v>300.032917</v>
      </c>
      <c r="Z2183" s="16" t="n"/>
      <c r="AA2183" s="16" t="n"/>
      <c r="AB2183" s="16" t="n">
        <v>2030.889011601598</v>
      </c>
      <c r="AC2183" s="16" t="n">
        <v>3.09562066255996</v>
      </c>
      <c r="AD2183" s="16" t="n"/>
      <c r="AE2183" s="16" t="n"/>
    </row>
    <row r="2184">
      <c r="A2184" s="16" t="inlineStr">
        <is>
          <t>KF-M05-4-0102</t>
        </is>
      </c>
      <c r="B2184" s="16" t="inlineStr">
        <is>
          <t>4.1</t>
        </is>
      </c>
      <c r="C2184" s="16" t="inlineStr">
        <is>
          <t>4.1d</t>
        </is>
      </c>
      <c r="D2184" s="16" t="inlineStr">
        <is>
          <t>conserva su P_alta y sus temperaturas</t>
        </is>
      </c>
      <c r="E2184" s="16" t="inlineStr">
        <is>
          <t>KF-M05</t>
        </is>
      </c>
      <c r="F2184" s="16" t="inlineStr">
        <is>
          <t>KF-M05-4</t>
        </is>
      </c>
      <c r="G2184" s="16" t="inlineStr">
        <is>
          <t>B09-4</t>
        </is>
      </c>
      <c r="H2184" s="16" t="inlineStr">
        <is>
          <t>lhs</t>
        </is>
      </c>
      <c r="I2184" s="16" t="inlineStr">
        <is>
          <t>CORREGIBLE</t>
        </is>
      </c>
      <c r="J2184" s="16" t="inlineStr">
        <is>
          <t>CORREGIBLE</t>
        </is>
      </c>
      <c r="K2184" s="16" t="b">
        <v>1</v>
      </c>
      <c r="L2184" s="16" t="b">
        <v>0</v>
      </c>
      <c r="M2184" s="16" t="b">
        <v>1</v>
      </c>
      <c r="N2184" s="16" t="b">
        <v>0</v>
      </c>
      <c r="O2184" s="16" t="n">
        <v>623.15</v>
      </c>
      <c r="P2184" s="16" t="n">
        <v>300.032917</v>
      </c>
      <c r="Q2184" s="16" t="n">
        <v>3000</v>
      </c>
      <c r="R2184" s="16" t="n">
        <v>1481.028943463043</v>
      </c>
      <c r="S2184" s="16" t="n">
        <v>0.5567691950281214</v>
      </c>
      <c r="T2184" s="16" t="n">
        <v>0.5303535896503924</v>
      </c>
      <c r="U2184" s="16" t="n">
        <v>0.6306918136618075</v>
      </c>
      <c r="V2184" s="16" t="n">
        <v>0.6593520863694775</v>
      </c>
      <c r="W2184" s="16" t="n">
        <v>0.6125658276407157</v>
      </c>
      <c r="X2184" s="16" t="n">
        <v>0.7012523578159353</v>
      </c>
      <c r="Y2184" s="16" t="n">
        <v>300.032917</v>
      </c>
      <c r="Z2184" s="16" t="n">
        <v>1.79713518882915</v>
      </c>
      <c r="AA2184" s="16" t="n">
        <v>24.22883908861974</v>
      </c>
      <c r="AB2184" s="16" t="n">
        <v>1518.971056536957</v>
      </c>
      <c r="AC2184" s="16" t="n">
        <v>2.025618751909868</v>
      </c>
      <c r="AD2184" s="16" t="inlineStr">
        <is>
          <t>O2</t>
        </is>
      </c>
      <c r="AE2184" s="16" t="n"/>
    </row>
    <row r="2185">
      <c r="A2185" s="16" t="inlineStr">
        <is>
          <t>KF-M05-4-0103</t>
        </is>
      </c>
      <c r="B2185" s="16" t="inlineStr">
        <is>
          <t>4.1</t>
        </is>
      </c>
      <c r="C2185" s="16" t="inlineStr">
        <is>
          <t>4.1d</t>
        </is>
      </c>
      <c r="D2185" s="16" t="inlineStr">
        <is>
          <t>conserva su P_alta y sus temperaturas</t>
        </is>
      </c>
      <c r="E2185" s="16" t="inlineStr">
        <is>
          <t>KF-M05</t>
        </is>
      </c>
      <c r="F2185" s="16" t="inlineStr">
        <is>
          <t>KF-M05-4</t>
        </is>
      </c>
      <c r="G2185" s="16" t="inlineStr">
        <is>
          <t>B09-4</t>
        </is>
      </c>
      <c r="H2185" s="16" t="inlineStr">
        <is>
          <t>lhs</t>
        </is>
      </c>
      <c r="I2185" s="16" t="inlineStr">
        <is>
          <t>CORREGIBLE</t>
        </is>
      </c>
      <c r="J2185" s="16" t="inlineStr">
        <is>
          <t>CORREGIBLE</t>
        </is>
      </c>
      <c r="K2185" s="16" t="b">
        <v>1</v>
      </c>
      <c r="L2185" s="16" t="b">
        <v>0</v>
      </c>
      <c r="M2185" s="16" t="b">
        <v>1</v>
      </c>
      <c r="N2185" s="16" t="b">
        <v>0</v>
      </c>
      <c r="O2185" s="16" t="n">
        <v>623.15</v>
      </c>
      <c r="P2185" s="16" t="n">
        <v>300.032917</v>
      </c>
      <c r="Q2185" s="16" t="n">
        <v>3000</v>
      </c>
      <c r="R2185" s="16" t="n">
        <v>836.3743523065269</v>
      </c>
      <c r="S2185" s="16" t="n">
        <v>0.6550402161790907</v>
      </c>
      <c r="T2185" s="16" t="n">
        <v>0.6991260600242284</v>
      </c>
      <c r="U2185" s="16" t="n">
        <v>0.8795935625446594</v>
      </c>
      <c r="V2185" s="16" t="n">
        <v>0.6614169721740595</v>
      </c>
      <c r="W2185" s="16" t="n">
        <v>0.5458008071416698</v>
      </c>
      <c r="X2185" s="16" t="n">
        <v>0.810430459904169</v>
      </c>
      <c r="Y2185" s="16" t="n">
        <v>300.032917</v>
      </c>
      <c r="Z2185" s="16" t="n">
        <v>7.56926425393831</v>
      </c>
      <c r="AA2185" s="16" t="n">
        <v>108.9833702256906</v>
      </c>
      <c r="AB2185" s="16" t="n">
        <v>2163.625647693473</v>
      </c>
      <c r="AC2185" s="16" t="n">
        <v>3.586910564302569</v>
      </c>
      <c r="AD2185" s="16" t="inlineStr">
        <is>
          <t>O2</t>
        </is>
      </c>
      <c r="AE2185" s="16" t="n"/>
    </row>
    <row r="2186">
      <c r="A2186" s="16" t="inlineStr">
        <is>
          <t>KF-M05-4-0104</t>
        </is>
      </c>
      <c r="B2186" s="16" t="inlineStr">
        <is>
          <t>4.1</t>
        </is>
      </c>
      <c r="C2186" s="16" t="inlineStr">
        <is>
          <t>4.1d</t>
        </is>
      </c>
      <c r="D2186" s="16" t="inlineStr">
        <is>
          <t>conserva su P_alta y sus temperaturas</t>
        </is>
      </c>
      <c r="E2186" s="16" t="inlineStr">
        <is>
          <t>KF-M05</t>
        </is>
      </c>
      <c r="F2186" s="16" t="inlineStr">
        <is>
          <t>KF-M05-4</t>
        </is>
      </c>
      <c r="G2186" s="16" t="inlineStr">
        <is>
          <t>B09-4</t>
        </is>
      </c>
      <c r="H2186" s="16" t="inlineStr">
        <is>
          <t>lhs</t>
        </is>
      </c>
      <c r="I2186" s="16" t="inlineStr">
        <is>
          <t>INVIABLE</t>
        </is>
      </c>
      <c r="J2186" s="16" t="inlineStr">
        <is>
          <t>INVIABLE</t>
        </is>
      </c>
      <c r="K2186" s="16" t="b">
        <v>1</v>
      </c>
      <c r="L2186" s="16" t="b">
        <v>0</v>
      </c>
      <c r="M2186" s="16" t="b">
        <v>1</v>
      </c>
      <c r="N2186" s="16" t="b">
        <v>0</v>
      </c>
      <c r="O2186" s="16" t="n">
        <v>623.15</v>
      </c>
      <c r="P2186" s="16" t="n">
        <v>300.032917</v>
      </c>
      <c r="Q2186" s="16" t="n">
        <v>3000</v>
      </c>
      <c r="R2186" s="16" t="n">
        <v>1116.146418431082</v>
      </c>
      <c r="S2186" s="16" t="n">
        <v>0.6374472717011478</v>
      </c>
      <c r="T2186" s="16" t="n">
        <v>0.408856758606152</v>
      </c>
      <c r="U2186" s="16" t="n">
        <v>0.6730305598507214</v>
      </c>
      <c r="V2186" s="16" t="n">
        <v>0.6543582466306272</v>
      </c>
      <c r="W2186" s="16" t="n">
        <v>0.44983481412352</v>
      </c>
      <c r="X2186" s="16" t="n">
        <v>0.509642767230632</v>
      </c>
      <c r="Y2186" s="16" t="n">
        <v>300.032917</v>
      </c>
      <c r="Z2186" s="16" t="n">
        <v>-5.52445303146656</v>
      </c>
      <c r="AA2186" s="16" t="n">
        <v>-53.05932882191021</v>
      </c>
      <c r="AB2186" s="16" t="n">
        <v>1883.853581568918</v>
      </c>
      <c r="AC2186" s="16" t="n">
        <v>2.687819402956978</v>
      </c>
      <c r="AD2186" s="16" t="inlineStr">
        <is>
          <t>O2,O3</t>
        </is>
      </c>
      <c r="AE2186" s="16" t="n"/>
    </row>
    <row r="2187">
      <c r="A2187" s="16" t="inlineStr">
        <is>
          <t>KF-M05-4-0105</t>
        </is>
      </c>
      <c r="B2187" s="16" t="inlineStr">
        <is>
          <t>4.1</t>
        </is>
      </c>
      <c r="C2187" s="16" t="inlineStr">
        <is>
          <t>4.1d</t>
        </is>
      </c>
      <c r="D2187" s="16" t="inlineStr">
        <is>
          <t>conserva su P_alta y sus temperaturas</t>
        </is>
      </c>
      <c r="E2187" s="16" t="inlineStr">
        <is>
          <t>KF-M05</t>
        </is>
      </c>
      <c r="F2187" s="16" t="inlineStr">
        <is>
          <t>KF-M05-4</t>
        </is>
      </c>
      <c r="G2187" s="16" t="inlineStr">
        <is>
          <t>B09-4</t>
        </is>
      </c>
      <c r="H2187" s="16" t="inlineStr">
        <is>
          <t>lhs</t>
        </is>
      </c>
      <c r="I2187" s="16" t="inlineStr">
        <is>
          <t>INVIABLE</t>
        </is>
      </c>
      <c r="J2187" s="16" t="inlineStr">
        <is>
          <t>INVIABLE</t>
        </is>
      </c>
      <c r="K2187" s="16" t="b">
        <v>1</v>
      </c>
      <c r="L2187" s="16" t="b">
        <v>0</v>
      </c>
      <c r="M2187" s="16" t="b">
        <v>1</v>
      </c>
      <c r="N2187" s="16" t="b">
        <v>0</v>
      </c>
      <c r="O2187" s="16" t="n">
        <v>623.15</v>
      </c>
      <c r="P2187" s="16" t="n">
        <v>300.032917</v>
      </c>
      <c r="Q2187" s="16" t="n">
        <v>3000</v>
      </c>
      <c r="R2187" s="16" t="n">
        <v>518.4935035506634</v>
      </c>
      <c r="S2187" s="16" t="n">
        <v>0.7423169522309858</v>
      </c>
      <c r="T2187" s="16" t="n">
        <v>0.7560666769686066</v>
      </c>
      <c r="U2187" s="16" t="n">
        <v>0.6575098234772451</v>
      </c>
      <c r="V2187" s="16" t="n">
        <v>0.5713129927269166</v>
      </c>
      <c r="W2187" s="16" t="n">
        <v>0.6595920550998206</v>
      </c>
      <c r="X2187" s="16" t="n">
        <v>0.6238344928494192</v>
      </c>
      <c r="Y2187" s="16" t="n">
        <v>300.032917</v>
      </c>
      <c r="Z2187" s="16" t="n">
        <v>-5.03899174590812</v>
      </c>
      <c r="AA2187" s="16" t="n">
        <v>-35.83292835042343</v>
      </c>
      <c r="AB2187" s="16" t="n">
        <v>2481.506496449337</v>
      </c>
      <c r="AC2187" s="16" t="n">
        <v>5.785993420276021</v>
      </c>
      <c r="AD2187" s="16" t="inlineStr">
        <is>
          <t>O2,O3</t>
        </is>
      </c>
      <c r="AE2187" s="16" t="n"/>
    </row>
    <row r="2188">
      <c r="A2188" s="16" t="inlineStr">
        <is>
          <t>KF-M05-4-0106</t>
        </is>
      </c>
      <c r="B2188" s="16" t="inlineStr">
        <is>
          <t>4.1</t>
        </is>
      </c>
      <c r="C2188" s="16" t="inlineStr">
        <is>
          <t>4.1d</t>
        </is>
      </c>
      <c r="D2188" s="16" t="inlineStr">
        <is>
          <t>conserva su P_alta y sus temperaturas</t>
        </is>
      </c>
      <c r="E2188" s="16" t="inlineStr">
        <is>
          <t>KF-M05</t>
        </is>
      </c>
      <c r="F2188" s="16" t="inlineStr">
        <is>
          <t>KF-M05-4</t>
        </is>
      </c>
      <c r="G2188" s="16" t="inlineStr">
        <is>
          <t>B09-4</t>
        </is>
      </c>
      <c r="H2188" s="16" t="inlineStr">
        <is>
          <t>lhs</t>
        </is>
      </c>
      <c r="I2188" s="16" t="inlineStr">
        <is>
          <t>INVIABLE</t>
        </is>
      </c>
      <c r="J2188" s="16" t="inlineStr">
        <is>
          <t>INVIABLE</t>
        </is>
      </c>
      <c r="K2188" s="16" t="b">
        <v>1</v>
      </c>
      <c r="L2188" s="16" t="b">
        <v>0</v>
      </c>
      <c r="M2188" s="16" t="b">
        <v>1</v>
      </c>
      <c r="N2188" s="16" t="b">
        <v>0</v>
      </c>
      <c r="O2188" s="16" t="n">
        <v>623.15</v>
      </c>
      <c r="P2188" s="16" t="n">
        <v>300.032917</v>
      </c>
      <c r="Q2188" s="16" t="n">
        <v>3000</v>
      </c>
      <c r="R2188" s="16" t="n">
        <v>340.4805605327427</v>
      </c>
      <c r="S2188" s="16" t="n">
        <v>0.6850874400579046</v>
      </c>
      <c r="T2188" s="16" t="n">
        <v>0.4399632055401686</v>
      </c>
      <c r="U2188" s="16" t="n">
        <v>0.5206010847555508</v>
      </c>
      <c r="V2188" s="16" t="n">
        <v>0.5373741182776102</v>
      </c>
      <c r="W2188" s="16" t="n">
        <v>0.6027516936753968</v>
      </c>
      <c r="X2188" s="16" t="n">
        <v>0.8672497730692061</v>
      </c>
      <c r="Y2188" s="16" t="n">
        <v>300.032917</v>
      </c>
      <c r="Z2188" s="16" t="n">
        <v>-16.07706778768398</v>
      </c>
      <c r="AA2188" s="16" t="n">
        <v>-134.5268244908904</v>
      </c>
      <c r="AB2188" s="16" t="n">
        <v>2659.519439467257</v>
      </c>
      <c r="AC2188" s="16" t="n">
        <v>8.811075719876527</v>
      </c>
      <c r="AD2188" s="16" t="inlineStr">
        <is>
          <t>O2,O3</t>
        </is>
      </c>
      <c r="AE2188" s="16" t="n"/>
    </row>
    <row r="2189">
      <c r="A2189" s="16" t="inlineStr">
        <is>
          <t>KF-M05-4-0107</t>
        </is>
      </c>
      <c r="B2189" s="16" t="inlineStr">
        <is>
          <t>4.1</t>
        </is>
      </c>
      <c r="C2189" s="16" t="inlineStr">
        <is>
          <t>4.1d</t>
        </is>
      </c>
      <c r="D2189" s="16" t="inlineStr">
        <is>
          <t>conserva su P_alta y sus temperaturas</t>
        </is>
      </c>
      <c r="E2189" s="16" t="inlineStr">
        <is>
          <t>KF-M05</t>
        </is>
      </c>
      <c r="F2189" s="16" t="inlineStr">
        <is>
          <t>KF-M05-4</t>
        </is>
      </c>
      <c r="G2189" s="16" t="inlineStr">
        <is>
          <t>B09-4</t>
        </is>
      </c>
      <c r="H2189" s="16" t="inlineStr">
        <is>
          <t>lhs</t>
        </is>
      </c>
      <c r="I2189" s="16" t="inlineStr">
        <is>
          <t>NO_CONVERGIO</t>
        </is>
      </c>
      <c r="J2189" s="16" t="inlineStr">
        <is>
          <t>NO_CONVERGIO</t>
        </is>
      </c>
      <c r="K2189" s="16" t="b">
        <v>0</v>
      </c>
      <c r="L2189" s="16" t="b">
        <v>0</v>
      </c>
      <c r="M2189" s="16" t="b">
        <v>0</v>
      </c>
      <c r="N2189" s="16" t="b">
        <v>0</v>
      </c>
      <c r="O2189" s="16" t="n">
        <v>623.15</v>
      </c>
      <c r="P2189" s="16" t="n">
        <v>300.032917</v>
      </c>
      <c r="Q2189" s="16" t="n">
        <v>3000</v>
      </c>
      <c r="R2189" s="16" t="n">
        <v>1231.21085181728</v>
      </c>
      <c r="S2189" s="16" t="n">
        <v>0.841766588618144</v>
      </c>
      <c r="T2189" s="16" t="n">
        <v>0.6220793925292364</v>
      </c>
      <c r="U2189" s="16" t="n">
        <v>0.7691055830068274</v>
      </c>
      <c r="V2189" s="16" t="n">
        <v>0.7515600360105199</v>
      </c>
      <c r="W2189" s="16" t="n">
        <v>0.5379060929639372</v>
      </c>
      <c r="X2189" s="16" t="n">
        <v>0.652581379039012</v>
      </c>
      <c r="Y2189" s="16" t="n">
        <v>300.032917</v>
      </c>
      <c r="Z2189" s="16" t="n"/>
      <c r="AA2189" s="16" t="n"/>
      <c r="AB2189" s="16" t="n">
        <v>1768.78914818272</v>
      </c>
      <c r="AC2189" s="16" t="n">
        <v>2.436625697029854</v>
      </c>
      <c r="AD2189" s="16" t="n"/>
      <c r="AE2189" s="16" t="n"/>
    </row>
    <row r="2190">
      <c r="A2190" s="16" t="inlineStr">
        <is>
          <t>KF-M05-4-0108</t>
        </is>
      </c>
      <c r="B2190" s="16" t="inlineStr">
        <is>
          <t>4.1</t>
        </is>
      </c>
      <c r="C2190" s="16" t="inlineStr">
        <is>
          <t>4.1d</t>
        </is>
      </c>
      <c r="D2190" s="16" t="inlineStr">
        <is>
          <t>conserva su P_alta y sus temperaturas</t>
        </is>
      </c>
      <c r="E2190" s="16" t="inlineStr">
        <is>
          <t>KF-M05</t>
        </is>
      </c>
      <c r="F2190" s="16" t="inlineStr">
        <is>
          <t>KF-M05-4</t>
        </is>
      </c>
      <c r="G2190" s="16" t="inlineStr">
        <is>
          <t>B09-4</t>
        </is>
      </c>
      <c r="H2190" s="16" t="inlineStr">
        <is>
          <t>lhs</t>
        </is>
      </c>
      <c r="I2190" s="16" t="inlineStr">
        <is>
          <t>CORREGIBLE</t>
        </is>
      </c>
      <c r="J2190" s="16" t="inlineStr">
        <is>
          <t>CORREGIBLE</t>
        </is>
      </c>
      <c r="K2190" s="16" t="b">
        <v>1</v>
      </c>
      <c r="L2190" s="16" t="b">
        <v>0</v>
      </c>
      <c r="M2190" s="16" t="b">
        <v>1</v>
      </c>
      <c r="N2190" s="16" t="b">
        <v>0</v>
      </c>
      <c r="O2190" s="16" t="n">
        <v>623.15</v>
      </c>
      <c r="P2190" s="16" t="n">
        <v>300.032917</v>
      </c>
      <c r="Q2190" s="16" t="n">
        <v>3000</v>
      </c>
      <c r="R2190" s="16" t="n">
        <v>1774.563414524257</v>
      </c>
      <c r="S2190" s="16" t="n">
        <v>0.6831851835164369</v>
      </c>
      <c r="T2190" s="16" t="n">
        <v>0.9046691121915148</v>
      </c>
      <c r="U2190" s="16" t="n">
        <v>0.9404647784557124</v>
      </c>
      <c r="V2190" s="16" t="n">
        <v>0.7679973771941926</v>
      </c>
      <c r="W2190" s="16" t="n">
        <v>0.4114125248489351</v>
      </c>
      <c r="X2190" s="16" t="n">
        <v>0.7760700653682583</v>
      </c>
      <c r="Y2190" s="16" t="n">
        <v>300.032917</v>
      </c>
      <c r="Z2190" s="16" t="n">
        <v>4.6144076354146</v>
      </c>
      <c r="AA2190" s="16" t="n">
        <v>72.82076163892349</v>
      </c>
      <c r="AB2190" s="16" t="n">
        <v>1225.436585475743</v>
      </c>
      <c r="AC2190" s="16" t="n">
        <v>1.69055666055432</v>
      </c>
      <c r="AD2190" s="16" t="inlineStr">
        <is>
          <t>O2</t>
        </is>
      </c>
      <c r="AE2190" s="16" t="n"/>
    </row>
    <row r="2191">
      <c r="A2191" s="16" t="inlineStr">
        <is>
          <t>KF-M05-4-0109</t>
        </is>
      </c>
      <c r="B2191" s="16" t="inlineStr">
        <is>
          <t>4.1</t>
        </is>
      </c>
      <c r="C2191" s="16" t="inlineStr">
        <is>
          <t>4.1d</t>
        </is>
      </c>
      <c r="D2191" s="16" t="inlineStr">
        <is>
          <t>conserva su P_alta y sus temperaturas</t>
        </is>
      </c>
      <c r="E2191" s="16" t="inlineStr">
        <is>
          <t>KF-M05</t>
        </is>
      </c>
      <c r="F2191" s="16" t="inlineStr">
        <is>
          <t>KF-M05-4</t>
        </is>
      </c>
      <c r="G2191" s="16" t="inlineStr">
        <is>
          <t>B09-4</t>
        </is>
      </c>
      <c r="H2191" s="16" t="inlineStr">
        <is>
          <t>lhs</t>
        </is>
      </c>
      <c r="I2191" s="16" t="inlineStr">
        <is>
          <t>NO_CONVERGIO</t>
        </is>
      </c>
      <c r="J2191" s="16" t="inlineStr">
        <is>
          <t>NO_CONVERGIO</t>
        </is>
      </c>
      <c r="K2191" s="16" t="b">
        <v>0</v>
      </c>
      <c r="L2191" s="16" t="b">
        <v>0</v>
      </c>
      <c r="M2191" s="16" t="b">
        <v>0</v>
      </c>
      <c r="N2191" s="16" t="b">
        <v>0</v>
      </c>
      <c r="O2191" s="16" t="n">
        <v>623.15</v>
      </c>
      <c r="P2191" s="16" t="n">
        <v>300.032917</v>
      </c>
      <c r="Q2191" s="16" t="n">
        <v>3000</v>
      </c>
      <c r="R2191" s="16" t="n">
        <v>442.8481545128487</v>
      </c>
      <c r="S2191" s="16" t="n">
        <v>0.5244297991410477</v>
      </c>
      <c r="T2191" s="16" t="n">
        <v>0.933024040317234</v>
      </c>
      <c r="U2191" s="16" t="n">
        <v>0.708467580774729</v>
      </c>
      <c r="V2191" s="16" t="n">
        <v>0.893320609986811</v>
      </c>
      <c r="W2191" s="16" t="n">
        <v>0.4781977228833377</v>
      </c>
      <c r="X2191" s="16" t="n">
        <v>0.488941264779215</v>
      </c>
      <c r="Y2191" s="16" t="n">
        <v>300.032917</v>
      </c>
      <c r="Z2191" s="16" t="n"/>
      <c r="AA2191" s="16" t="n"/>
      <c r="AB2191" s="16" t="n">
        <v>2557.151845487151</v>
      </c>
      <c r="AC2191" s="16" t="n">
        <v>6.774331041980122</v>
      </c>
      <c r="AD2191" s="16" t="n"/>
      <c r="AE2191" s="16" t="n"/>
    </row>
    <row r="2192">
      <c r="A2192" s="16" t="inlineStr">
        <is>
          <t>KF-M05-4-0110</t>
        </is>
      </c>
      <c r="B2192" s="16" t="inlineStr">
        <is>
          <t>4.1</t>
        </is>
      </c>
      <c r="C2192" s="16" t="inlineStr">
        <is>
          <t>4.1d</t>
        </is>
      </c>
      <c r="D2192" s="16" t="inlineStr">
        <is>
          <t>conserva su P_alta y sus temperaturas</t>
        </is>
      </c>
      <c r="E2192" s="16" t="inlineStr">
        <is>
          <t>KF-M05</t>
        </is>
      </c>
      <c r="F2192" s="16" t="inlineStr">
        <is>
          <t>KF-M05-4</t>
        </is>
      </c>
      <c r="G2192" s="16" t="inlineStr">
        <is>
          <t>B09-4</t>
        </is>
      </c>
      <c r="H2192" s="16" t="inlineStr">
        <is>
          <t>lhs</t>
        </is>
      </c>
      <c r="I2192" s="16" t="inlineStr">
        <is>
          <t>INVIABLE</t>
        </is>
      </c>
      <c r="J2192" s="16" t="inlineStr">
        <is>
          <t>INVIABLE</t>
        </is>
      </c>
      <c r="K2192" s="16" t="b">
        <v>1</v>
      </c>
      <c r="L2192" s="16" t="b">
        <v>0</v>
      </c>
      <c r="M2192" s="16" t="b">
        <v>1</v>
      </c>
      <c r="N2192" s="16" t="b">
        <v>0</v>
      </c>
      <c r="O2192" s="16" t="n">
        <v>623.15</v>
      </c>
      <c r="P2192" s="16" t="n">
        <v>300.032917</v>
      </c>
      <c r="Q2192" s="16" t="n">
        <v>3000</v>
      </c>
      <c r="R2192" s="16" t="n">
        <v>1092.779970317365</v>
      </c>
      <c r="S2192" s="16" t="n">
        <v>0.7653172929536274</v>
      </c>
      <c r="T2192" s="16" t="n">
        <v>0.7372393047178903</v>
      </c>
      <c r="U2192" s="16" t="n">
        <v>0.7908388597237379</v>
      </c>
      <c r="V2192" s="16" t="n">
        <v>0.4337094745487673</v>
      </c>
      <c r="W2192" s="16" t="n">
        <v>0.5130916583999143</v>
      </c>
      <c r="X2192" s="16" t="n">
        <v>0.40216648025934</v>
      </c>
      <c r="Y2192" s="16" t="n">
        <v>300.032917</v>
      </c>
      <c r="Z2192" s="16" t="n">
        <v>-0.60359429313949</v>
      </c>
      <c r="AA2192" s="16" t="n">
        <v>-3.572668927241494</v>
      </c>
      <c r="AB2192" s="16" t="n">
        <v>1907.220029682635</v>
      </c>
      <c r="AC2192" s="16" t="n">
        <v>2.745291899089932</v>
      </c>
      <c r="AD2192" s="16" t="inlineStr">
        <is>
          <t>O2,O3</t>
        </is>
      </c>
      <c r="AE2192" s="16" t="n"/>
    </row>
    <row r="2193">
      <c r="A2193" s="16" t="inlineStr">
        <is>
          <t>KF-M05-4-0111</t>
        </is>
      </c>
      <c r="B2193" s="16" t="inlineStr">
        <is>
          <t>4.1</t>
        </is>
      </c>
      <c r="C2193" s="16" t="inlineStr">
        <is>
          <t>4.1d</t>
        </is>
      </c>
      <c r="D2193" s="16" t="inlineStr">
        <is>
          <t>conserva su P_alta y sus temperaturas</t>
        </is>
      </c>
      <c r="E2193" s="16" t="inlineStr">
        <is>
          <t>KF-M05</t>
        </is>
      </c>
      <c r="F2193" s="16" t="inlineStr">
        <is>
          <t>KF-M05-4</t>
        </is>
      </c>
      <c r="G2193" s="16" t="inlineStr">
        <is>
          <t>B09-4</t>
        </is>
      </c>
      <c r="H2193" s="16" t="inlineStr">
        <is>
          <t>lhs</t>
        </is>
      </c>
      <c r="I2193" s="16" t="inlineStr">
        <is>
          <t>CORREGIBLE</t>
        </is>
      </c>
      <c r="J2193" s="16" t="inlineStr">
        <is>
          <t>CORREGIBLE</t>
        </is>
      </c>
      <c r="K2193" s="16" t="b">
        <v>1</v>
      </c>
      <c r="L2193" s="16" t="b">
        <v>0</v>
      </c>
      <c r="M2193" s="16" t="b">
        <v>1</v>
      </c>
      <c r="N2193" s="16" t="b">
        <v>0</v>
      </c>
      <c r="O2193" s="16" t="n">
        <v>623.15</v>
      </c>
      <c r="P2193" s="16" t="n">
        <v>300.032917</v>
      </c>
      <c r="Q2193" s="16" t="n">
        <v>3000</v>
      </c>
      <c r="R2193" s="16" t="n">
        <v>1569.858243825333</v>
      </c>
      <c r="S2193" s="16" t="n">
        <v>0.8098826014551939</v>
      </c>
      <c r="T2193" s="16" t="n">
        <v>0.7049875848988321</v>
      </c>
      <c r="U2193" s="16" t="n">
        <v>0.7872893411706769</v>
      </c>
      <c r="V2193" s="16" t="n">
        <v>0.5041598161894829</v>
      </c>
      <c r="W2193" s="16" t="n">
        <v>0.4767525876685652</v>
      </c>
      <c r="X2193" s="16" t="n">
        <v>0.4819680559983731</v>
      </c>
      <c r="Y2193" s="16" t="n">
        <v>300.032917</v>
      </c>
      <c r="Z2193" s="16" t="n">
        <v>1.04415030313812</v>
      </c>
      <c r="AA2193" s="16" t="n">
        <v>7.642399995739268</v>
      </c>
      <c r="AB2193" s="16" t="n">
        <v>1430.141756174667</v>
      </c>
      <c r="AC2193" s="16" t="n">
        <v>1.911000570783886</v>
      </c>
      <c r="AD2193" s="16" t="inlineStr">
        <is>
          <t>O2</t>
        </is>
      </c>
      <c r="AE2193" s="16" t="n"/>
    </row>
    <row r="2194">
      <c r="A2194" s="16" t="inlineStr">
        <is>
          <t>KF-M05-4-0112</t>
        </is>
      </c>
      <c r="B2194" s="16" t="inlineStr">
        <is>
          <t>4.1</t>
        </is>
      </c>
      <c r="C2194" s="16" t="inlineStr">
        <is>
          <t>4.1d</t>
        </is>
      </c>
      <c r="D2194" s="16" t="inlineStr">
        <is>
          <t>conserva su P_alta y sus temperaturas</t>
        </is>
      </c>
      <c r="E2194" s="16" t="inlineStr">
        <is>
          <t>KF-M05</t>
        </is>
      </c>
      <c r="F2194" s="16" t="inlineStr">
        <is>
          <t>KF-M05-4</t>
        </is>
      </c>
      <c r="G2194" s="16" t="inlineStr">
        <is>
          <t>B09-4</t>
        </is>
      </c>
      <c r="H2194" s="16" t="inlineStr">
        <is>
          <t>lhs</t>
        </is>
      </c>
      <c r="I2194" s="16" t="inlineStr">
        <is>
          <t>NO_CONVERGIO</t>
        </is>
      </c>
      <c r="J2194" s="16" t="inlineStr">
        <is>
          <t>NO_CONVERGIO</t>
        </is>
      </c>
      <c r="K2194" s="16" t="b">
        <v>0</v>
      </c>
      <c r="L2194" s="16" t="b">
        <v>0</v>
      </c>
      <c r="M2194" s="16" t="b">
        <v>0</v>
      </c>
      <c r="N2194" s="16" t="b">
        <v>0</v>
      </c>
      <c r="O2194" s="16" t="n">
        <v>623.15</v>
      </c>
      <c r="P2194" s="16" t="n">
        <v>300.032917</v>
      </c>
      <c r="Q2194" s="16" t="n">
        <v>3000</v>
      </c>
      <c r="R2194" s="16" t="n">
        <v>1801.301886600328</v>
      </c>
      <c r="S2194" s="16" t="n">
        <v>0.8076091525380407</v>
      </c>
      <c r="T2194" s="16" t="n">
        <v>0.8393459029470506</v>
      </c>
      <c r="U2194" s="16" t="n">
        <v>0.4788417571073514</v>
      </c>
      <c r="V2194" s="16" t="n">
        <v>0.8726004343101506</v>
      </c>
      <c r="W2194" s="16" t="n">
        <v>0.4875064050952192</v>
      </c>
      <c r="X2194" s="16" t="n">
        <v>0.5422058761397872</v>
      </c>
      <c r="Y2194" s="16" t="n">
        <v>300.032917</v>
      </c>
      <c r="Z2194" s="16" t="n"/>
      <c r="AA2194" s="16" t="n"/>
      <c r="AB2194" s="16" t="n">
        <v>1198.698113399672</v>
      </c>
      <c r="AC2194" s="16" t="n">
        <v>1.665462087347293</v>
      </c>
      <c r="AD2194" s="16" t="n"/>
      <c r="AE2194" s="16" t="n"/>
    </row>
    <row r="2195">
      <c r="A2195" s="16" t="inlineStr">
        <is>
          <t>KF-M05-4-0113</t>
        </is>
      </c>
      <c r="B2195" s="16" t="inlineStr">
        <is>
          <t>4.1</t>
        </is>
      </c>
      <c r="C2195" s="16" t="inlineStr">
        <is>
          <t>4.1d</t>
        </is>
      </c>
      <c r="D2195" s="16" t="inlineStr">
        <is>
          <t>conserva su P_alta y sus temperaturas</t>
        </is>
      </c>
      <c r="E2195" s="16" t="inlineStr">
        <is>
          <t>KF-M05</t>
        </is>
      </c>
      <c r="F2195" s="16" t="inlineStr">
        <is>
          <t>KF-M05-4</t>
        </is>
      </c>
      <c r="G2195" s="16" t="inlineStr">
        <is>
          <t>B09-4</t>
        </is>
      </c>
      <c r="H2195" s="16" t="inlineStr">
        <is>
          <t>lhs</t>
        </is>
      </c>
      <c r="I2195" s="16" t="inlineStr">
        <is>
          <t>NO_CONVERGIO</t>
        </is>
      </c>
      <c r="J2195" s="16" t="inlineStr">
        <is>
          <t>NO_CONVERGIO</t>
        </is>
      </c>
      <c r="K2195" s="16" t="b">
        <v>0</v>
      </c>
      <c r="L2195" s="16" t="b">
        <v>0</v>
      </c>
      <c r="M2195" s="16" t="b">
        <v>0</v>
      </c>
      <c r="N2195" s="16" t="b">
        <v>0</v>
      </c>
      <c r="O2195" s="16" t="n">
        <v>623.15</v>
      </c>
      <c r="P2195" s="16" t="n">
        <v>300.032917</v>
      </c>
      <c r="Q2195" s="16" t="n">
        <v>3000</v>
      </c>
      <c r="R2195" s="16" t="n">
        <v>1078.400243366366</v>
      </c>
      <c r="S2195" s="16" t="n">
        <v>0.552588461194808</v>
      </c>
      <c r="T2195" s="16" t="n">
        <v>0.8525483246186483</v>
      </c>
      <c r="U2195" s="16" t="n">
        <v>0.4454200249819117</v>
      </c>
      <c r="V2195" s="16" t="n">
        <v>0.7768330176153515</v>
      </c>
      <c r="W2195" s="16" t="n">
        <v>0.4198614456449754</v>
      </c>
      <c r="X2195" s="16" t="n">
        <v>0.52130039552218</v>
      </c>
      <c r="Y2195" s="16" t="n">
        <v>300.032917</v>
      </c>
      <c r="Z2195" s="16" t="n"/>
      <c r="AA2195" s="16" t="n"/>
      <c r="AB2195" s="16" t="n">
        <v>1921.599756633634</v>
      </c>
      <c r="AC2195" s="16" t="n">
        <v>2.781898481991353</v>
      </c>
      <c r="AD2195" s="16" t="n"/>
      <c r="AE2195" s="16" t="n"/>
    </row>
    <row r="2196">
      <c r="A2196" s="16" t="inlineStr">
        <is>
          <t>KF-M05-4-0114</t>
        </is>
      </c>
      <c r="B2196" s="16" t="inlineStr">
        <is>
          <t>4.1</t>
        </is>
      </c>
      <c r="C2196" s="16" t="inlineStr">
        <is>
          <t>4.1d</t>
        </is>
      </c>
      <c r="D2196" s="16" t="inlineStr">
        <is>
          <t>conserva su P_alta y sus temperaturas</t>
        </is>
      </c>
      <c r="E2196" s="16" t="inlineStr">
        <is>
          <t>KF-M05</t>
        </is>
      </c>
      <c r="F2196" s="16" t="inlineStr">
        <is>
          <t>KF-M05-4</t>
        </is>
      </c>
      <c r="G2196" s="16" t="inlineStr">
        <is>
          <t>B09-4</t>
        </is>
      </c>
      <c r="H2196" s="16" t="inlineStr">
        <is>
          <t>lhs</t>
        </is>
      </c>
      <c r="I2196" s="16" t="inlineStr">
        <is>
          <t>NO_CONVERGIO</t>
        </is>
      </c>
      <c r="J2196" s="16" t="inlineStr">
        <is>
          <t>NO_CONVERGIO</t>
        </is>
      </c>
      <c r="K2196" s="16" t="b">
        <v>0</v>
      </c>
      <c r="L2196" s="16" t="b">
        <v>0</v>
      </c>
      <c r="M2196" s="16" t="b">
        <v>0</v>
      </c>
      <c r="N2196" s="16" t="b">
        <v>0</v>
      </c>
      <c r="O2196" s="16" t="n">
        <v>623.15</v>
      </c>
      <c r="P2196" s="16" t="n">
        <v>300.032917</v>
      </c>
      <c r="Q2196" s="16" t="n">
        <v>3000</v>
      </c>
      <c r="R2196" s="16" t="n">
        <v>1677.964427433408</v>
      </c>
      <c r="S2196" s="16" t="n">
        <v>0.6599773086541001</v>
      </c>
      <c r="T2196" s="16" t="n">
        <v>0.4884774906051257</v>
      </c>
      <c r="U2196" s="16" t="n">
        <v>0.7715090730738807</v>
      </c>
      <c r="V2196" s="16" t="n">
        <v>0.6419259043210028</v>
      </c>
      <c r="W2196" s="16" t="n">
        <v>0.515057901781378</v>
      </c>
      <c r="X2196" s="16" t="n">
        <v>0.412077640834481</v>
      </c>
      <c r="Y2196" s="16" t="n">
        <v>300.032917</v>
      </c>
      <c r="Z2196" s="16" t="n"/>
      <c r="AA2196" s="16" t="n"/>
      <c r="AB2196" s="16" t="n">
        <v>1322.035572566592</v>
      </c>
      <c r="AC2196" s="16" t="n">
        <v>1.787880571812097</v>
      </c>
      <c r="AD2196" s="16" t="n"/>
      <c r="AE2196" s="16" t="n"/>
    </row>
    <row r="2197">
      <c r="A2197" s="16" t="inlineStr">
        <is>
          <t>KF-M05-5-0000</t>
        </is>
      </c>
      <c r="B2197" s="16" t="inlineStr">
        <is>
          <t>4.1</t>
        </is>
      </c>
      <c r="C2197" s="16" t="inlineStr">
        <is>
          <t>4.1e</t>
        </is>
      </c>
      <c r="D2197" s="16" t="inlineStr">
        <is>
          <t>conserva su fuente y su x_b</t>
        </is>
      </c>
      <c r="E2197" s="16" t="inlineStr">
        <is>
          <t>KF-M05</t>
        </is>
      </c>
      <c r="F2197" s="16" t="inlineStr">
        <is>
          <t>KF-M05-5</t>
        </is>
      </c>
      <c r="G2197" s="16" t="inlineStr">
        <is>
          <t>B09-5</t>
        </is>
      </c>
      <c r="H2197" s="16" t="inlineStr">
        <is>
          <t>lhs</t>
        </is>
      </c>
      <c r="I2197" s="16" t="inlineStr">
        <is>
          <t>NO_CONVERGIO</t>
        </is>
      </c>
      <c r="J2197" s="16" t="inlineStr">
        <is>
          <t>NO_CONVERGIO</t>
        </is>
      </c>
      <c r="K2197" s="16" t="b">
        <v>0</v>
      </c>
      <c r="L2197" s="16" t="b">
        <v>0</v>
      </c>
      <c r="M2197" s="16" t="b">
        <v>0</v>
      </c>
      <c r="N2197" s="16" t="b">
        <v>0</v>
      </c>
      <c r="O2197" s="16" t="n">
        <v>623.15</v>
      </c>
      <c r="P2197" s="16" t="n">
        <v>298.6943248147541</v>
      </c>
      <c r="Q2197" s="16" t="n">
        <v>3696.521691421201</v>
      </c>
      <c r="R2197" s="16" t="n">
        <v>1623.333334050623</v>
      </c>
      <c r="S2197" s="16" t="n">
        <v>0.5</v>
      </c>
      <c r="T2197" s="16" t="n">
        <v>0.9355408628192456</v>
      </c>
      <c r="U2197" s="16" t="n">
        <v>0.7278045531880982</v>
      </c>
      <c r="V2197" s="16" t="n">
        <v>0.9231664350593018</v>
      </c>
      <c r="W2197" s="16" t="n">
        <v>0.4930278563642847</v>
      </c>
      <c r="X2197" s="16" t="n">
        <v>0.522803413741783</v>
      </c>
      <c r="Y2197" s="16" t="n">
        <v>298.6943248147541</v>
      </c>
      <c r="Z2197" s="16" t="n"/>
      <c r="AA2197" s="16" t="n"/>
      <c r="AB2197" s="16" t="n">
        <v>2073.188357370578</v>
      </c>
      <c r="AC2197" s="16" t="n">
        <v>2.277118084058223</v>
      </c>
      <c r="AD2197" s="16" t="n"/>
      <c r="AE2197" s="16" t="n"/>
    </row>
    <row r="2198">
      <c r="A2198" s="16" t="inlineStr">
        <is>
          <t>KF-M05-5-0001</t>
        </is>
      </c>
      <c r="B2198" s="16" t="inlineStr">
        <is>
          <t>4.1</t>
        </is>
      </c>
      <c r="C2198" s="16" t="inlineStr">
        <is>
          <t>4.1e</t>
        </is>
      </c>
      <c r="D2198" s="16" t="inlineStr">
        <is>
          <t>conserva su fuente y su x_b</t>
        </is>
      </c>
      <c r="E2198" s="16" t="inlineStr">
        <is>
          <t>KF-M05</t>
        </is>
      </c>
      <c r="F2198" s="16" t="inlineStr">
        <is>
          <t>KF-M05-5</t>
        </is>
      </c>
      <c r="G2198" s="16" t="inlineStr">
        <is>
          <t>B09-5</t>
        </is>
      </c>
      <c r="H2198" s="16" t="inlineStr">
        <is>
          <t>lhs</t>
        </is>
      </c>
      <c r="I2198" s="16" t="inlineStr">
        <is>
          <t>NO_CONVERGIO</t>
        </is>
      </c>
      <c r="J2198" s="16" t="inlineStr">
        <is>
          <t>NO_CONVERGIO</t>
        </is>
      </c>
      <c r="K2198" s="16" t="b">
        <v>0</v>
      </c>
      <c r="L2198" s="16" t="b">
        <v>0</v>
      </c>
      <c r="M2198" s="16" t="b">
        <v>0</v>
      </c>
      <c r="N2198" s="16" t="b">
        <v>0</v>
      </c>
      <c r="O2198" s="16" t="n">
        <v>623.15</v>
      </c>
      <c r="P2198" s="16" t="n">
        <v>285.792877700477</v>
      </c>
      <c r="Q2198" s="16" t="n">
        <v>4259.735485157707</v>
      </c>
      <c r="R2198" s="16" t="n">
        <v>1333.812203890947</v>
      </c>
      <c r="S2198" s="16" t="n">
        <v>0.5</v>
      </c>
      <c r="T2198" s="16" t="n">
        <v>0.8186779006805416</v>
      </c>
      <c r="U2198" s="16" t="n">
        <v>0.6263645177406469</v>
      </c>
      <c r="V2198" s="16" t="n">
        <v>0.7861177588270256</v>
      </c>
      <c r="W2198" s="16" t="n">
        <v>0.4026455857810592</v>
      </c>
      <c r="X2198" s="16" t="n">
        <v>0.4183602424632275</v>
      </c>
      <c r="Y2198" s="16" t="n">
        <v>285.792877700477</v>
      </c>
      <c r="Z2198" s="16" t="n"/>
      <c r="AA2198" s="16" t="n"/>
      <c r="AB2198" s="16" t="n">
        <v>2925.923281266761</v>
      </c>
      <c r="AC2198" s="16" t="n">
        <v>3.193654603497678</v>
      </c>
      <c r="AD2198" s="16" t="n"/>
      <c r="AE2198" s="16" t="n"/>
    </row>
    <row r="2199">
      <c r="A2199" s="16" t="inlineStr">
        <is>
          <t>KF-M05-4-0115</t>
        </is>
      </c>
      <c r="B2199" s="16" t="inlineStr">
        <is>
          <t>4.1</t>
        </is>
      </c>
      <c r="C2199" s="16" t="inlineStr">
        <is>
          <t>4.1d</t>
        </is>
      </c>
      <c r="D2199" s="16" t="inlineStr">
        <is>
          <t>conserva su P_alta y sus temperaturas</t>
        </is>
      </c>
      <c r="E2199" s="16" t="inlineStr">
        <is>
          <t>KF-M05</t>
        </is>
      </c>
      <c r="F2199" s="16" t="inlineStr">
        <is>
          <t>KF-M05-4</t>
        </is>
      </c>
      <c r="G2199" s="16" t="inlineStr">
        <is>
          <t>B09-4</t>
        </is>
      </c>
      <c r="H2199" s="16" t="inlineStr">
        <is>
          <t>lhs</t>
        </is>
      </c>
      <c r="I2199" s="16" t="inlineStr">
        <is>
          <t>CORREGIBLE</t>
        </is>
      </c>
      <c r="J2199" s="16" t="inlineStr">
        <is>
          <t>CORREGIBLE</t>
        </is>
      </c>
      <c r="K2199" s="16" t="b">
        <v>1</v>
      </c>
      <c r="L2199" s="16" t="b">
        <v>0</v>
      </c>
      <c r="M2199" s="16" t="b">
        <v>0</v>
      </c>
      <c r="N2199" s="16" t="b">
        <v>0</v>
      </c>
      <c r="O2199" s="16" t="n">
        <v>623.15</v>
      </c>
      <c r="P2199" s="16" t="n">
        <v>300.032917</v>
      </c>
      <c r="Q2199" s="16" t="n">
        <v>3000</v>
      </c>
      <c r="R2199" s="16" t="n">
        <v>1812.737713808277</v>
      </c>
      <c r="S2199" s="16" t="n">
        <v>0.8380332648046387</v>
      </c>
      <c r="T2199" s="16" t="n">
        <v>0.8829651787036186</v>
      </c>
      <c r="U2199" s="16" t="n">
        <v>0.4003748065918531</v>
      </c>
      <c r="V2199" s="16" t="n">
        <v>0.5100965732455374</v>
      </c>
      <c r="W2199" s="16" t="n">
        <v>0.8195504526416268</v>
      </c>
      <c r="X2199" s="16" t="n">
        <v>0.6738002819107509</v>
      </c>
      <c r="Y2199" s="16" t="n">
        <v>300.032917</v>
      </c>
      <c r="Z2199" s="16" t="n">
        <v>2.26373098488837</v>
      </c>
      <c r="AA2199" s="16" t="n">
        <v>20.28819780646839</v>
      </c>
      <c r="AB2199" s="16" t="n">
        <v>1187.262286191723</v>
      </c>
      <c r="AC2199" s="16" t="n">
        <v>1.6549553623494</v>
      </c>
      <c r="AD2199" s="16" t="inlineStr">
        <is>
          <t>O2</t>
        </is>
      </c>
      <c r="AE2199" s="16" t="n"/>
    </row>
    <row r="2200">
      <c r="A2200" s="16" t="inlineStr">
        <is>
          <t>KF-M05-4-0116</t>
        </is>
      </c>
      <c r="B2200" s="16" t="inlineStr">
        <is>
          <t>4.1</t>
        </is>
      </c>
      <c r="C2200" s="16" t="inlineStr">
        <is>
          <t>4.1d</t>
        </is>
      </c>
      <c r="D2200" s="16" t="inlineStr">
        <is>
          <t>conserva su P_alta y sus temperaturas</t>
        </is>
      </c>
      <c r="E2200" s="16" t="inlineStr">
        <is>
          <t>KF-M05</t>
        </is>
      </c>
      <c r="F2200" s="16" t="inlineStr">
        <is>
          <t>KF-M05-4</t>
        </is>
      </c>
      <c r="G2200" s="16" t="inlineStr">
        <is>
          <t>B09-4</t>
        </is>
      </c>
      <c r="H2200" s="16" t="inlineStr">
        <is>
          <t>lhs</t>
        </is>
      </c>
      <c r="I2200" s="16" t="inlineStr">
        <is>
          <t>CORREGIBLE</t>
        </is>
      </c>
      <c r="J2200" s="16" t="inlineStr">
        <is>
          <t>CORREGIBLE</t>
        </is>
      </c>
      <c r="K2200" s="16" t="b">
        <v>1</v>
      </c>
      <c r="L2200" s="16" t="b">
        <v>0</v>
      </c>
      <c r="M2200" s="16" t="b">
        <v>0</v>
      </c>
      <c r="N2200" s="16" t="b">
        <v>0</v>
      </c>
      <c r="O2200" s="16" t="n">
        <v>623.15</v>
      </c>
      <c r="P2200" s="16" t="n">
        <v>300.032917</v>
      </c>
      <c r="Q2200" s="16" t="n">
        <v>3000</v>
      </c>
      <c r="R2200" s="16" t="n">
        <v>1967.420637620742</v>
      </c>
      <c r="S2200" s="16" t="n">
        <v>0.8208441997574155</v>
      </c>
      <c r="T2200" s="16" t="n">
        <v>0.6531860937120413</v>
      </c>
      <c r="U2200" s="16" t="n">
        <v>0.8383233650312771</v>
      </c>
      <c r="V2200" s="16" t="n">
        <v>0.5274957010917739</v>
      </c>
      <c r="W2200" s="16" t="n">
        <v>0.5990155007862484</v>
      </c>
      <c r="X2200" s="16" t="n">
        <v>0.7028499037071654</v>
      </c>
      <c r="Y2200" s="16" t="n">
        <v>300.032917</v>
      </c>
      <c r="Z2200" s="16" t="n">
        <v>2.51618409927005</v>
      </c>
      <c r="AA2200" s="16" t="n">
        <v>24.47404450699366</v>
      </c>
      <c r="AB2200" s="16" t="n">
        <v>1032.579362379258</v>
      </c>
      <c r="AC2200" s="16" t="n">
        <v>1.524839143513299</v>
      </c>
      <c r="AD2200" s="16" t="inlineStr">
        <is>
          <t>O2</t>
        </is>
      </c>
      <c r="AE2200" s="16" t="n"/>
    </row>
    <row r="2201">
      <c r="A2201" s="16" t="inlineStr">
        <is>
          <t>KF-M05-4-0117</t>
        </is>
      </c>
      <c r="B2201" s="16" t="inlineStr">
        <is>
          <t>4.1</t>
        </is>
      </c>
      <c r="C2201" s="16" t="inlineStr">
        <is>
          <t>4.1d</t>
        </is>
      </c>
      <c r="D2201" s="16" t="inlineStr">
        <is>
          <t>conserva su P_alta y sus temperaturas</t>
        </is>
      </c>
      <c r="E2201" s="16" t="inlineStr">
        <is>
          <t>KF-M05</t>
        </is>
      </c>
      <c r="F2201" s="16" t="inlineStr">
        <is>
          <t>KF-M05-4</t>
        </is>
      </c>
      <c r="G2201" s="16" t="inlineStr">
        <is>
          <t>B09-4</t>
        </is>
      </c>
      <c r="H2201" s="16" t="inlineStr">
        <is>
          <t>lhs</t>
        </is>
      </c>
      <c r="I2201" s="16" t="inlineStr">
        <is>
          <t>NO_CONVERGIO</t>
        </is>
      </c>
      <c r="J2201" s="16" t="inlineStr">
        <is>
          <t>NO_CONVERGIO</t>
        </is>
      </c>
      <c r="K2201" s="16" t="b">
        <v>0</v>
      </c>
      <c r="L2201" s="16" t="b">
        <v>0</v>
      </c>
      <c r="M2201" s="16" t="b">
        <v>0</v>
      </c>
      <c r="N2201" s="16" t="b">
        <v>0</v>
      </c>
      <c r="O2201" s="16" t="n">
        <v>623.15</v>
      </c>
      <c r="P2201" s="16" t="n">
        <v>300.032917</v>
      </c>
      <c r="Q2201" s="16" t="n">
        <v>3000</v>
      </c>
      <c r="R2201" s="16" t="n">
        <v>461.3153552063314</v>
      </c>
      <c r="S2201" s="16" t="n">
        <v>0.7758428759835099</v>
      </c>
      <c r="T2201" s="16" t="n">
        <v>0.8143564133971544</v>
      </c>
      <c r="U2201" s="16" t="n">
        <v>0.8140594133197598</v>
      </c>
      <c r="V2201" s="16" t="n">
        <v>0.5458386701860828</v>
      </c>
      <c r="W2201" s="16" t="n">
        <v>0.7198228637755583</v>
      </c>
      <c r="X2201" s="16" t="n">
        <v>0.5295563959968693</v>
      </c>
      <c r="Y2201" s="16" t="n">
        <v>300.032917</v>
      </c>
      <c r="Z2201" s="16" t="n"/>
      <c r="AA2201" s="16" t="n"/>
      <c r="AB2201" s="16" t="n">
        <v>2538.684644793669</v>
      </c>
      <c r="AC2201" s="16" t="n">
        <v>6.503143600451359</v>
      </c>
      <c r="AD2201" s="16" t="n"/>
      <c r="AE2201" s="16" t="n"/>
    </row>
    <row r="2202">
      <c r="A2202" s="16" t="inlineStr">
        <is>
          <t>KF-M05-5-0002</t>
        </is>
      </c>
      <c r="B2202" s="16" t="inlineStr">
        <is>
          <t>4.1</t>
        </is>
      </c>
      <c r="C2202" s="16" t="inlineStr">
        <is>
          <t>4.1e</t>
        </is>
      </c>
      <c r="D2202" s="16" t="inlineStr">
        <is>
          <t>conserva su fuente y su x_b</t>
        </is>
      </c>
      <c r="E2202" s="16" t="inlineStr">
        <is>
          <t>KF-M05</t>
        </is>
      </c>
      <c r="F2202" s="16" t="inlineStr">
        <is>
          <t>KF-M05-5</t>
        </is>
      </c>
      <c r="G2202" s="16" t="inlineStr">
        <is>
          <t>B09-5</t>
        </is>
      </c>
      <c r="H2202" s="16" t="inlineStr">
        <is>
          <t>lhs</t>
        </is>
      </c>
      <c r="I2202" s="16" t="inlineStr">
        <is>
          <t>NO_CONVERGIO</t>
        </is>
      </c>
      <c r="J2202" s="16" t="inlineStr">
        <is>
          <t>NO_CONVERGIO</t>
        </is>
      </c>
      <c r="K2202" s="16" t="b">
        <v>0</v>
      </c>
      <c r="L2202" s="16" t="b">
        <v>0</v>
      </c>
      <c r="M2202" s="16" t="b">
        <v>0</v>
      </c>
      <c r="N2202" s="16" t="b">
        <v>0</v>
      </c>
      <c r="O2202" s="16" t="n">
        <v>623.15</v>
      </c>
      <c r="P2202" s="16" t="n">
        <v>293.9570831222392</v>
      </c>
      <c r="Q2202" s="16" t="n">
        <v>2398.900733607323</v>
      </c>
      <c r="R2202" s="16" t="n">
        <v>1999.256496404628</v>
      </c>
      <c r="S2202" s="16" t="n">
        <v>0.5</v>
      </c>
      <c r="T2202" s="16" t="n">
        <v>0.629199434919313</v>
      </c>
      <c r="U2202" s="16" t="n">
        <v>0.7837551148376365</v>
      </c>
      <c r="V2202" s="16" t="n">
        <v>0.7477809644897682</v>
      </c>
      <c r="W2202" s="16" t="n">
        <v>0.7451043816170759</v>
      </c>
      <c r="X2202" s="16" t="n">
        <v>0.4467366980401533</v>
      </c>
      <c r="Y2202" s="16" t="n">
        <v>293.9570831222392</v>
      </c>
      <c r="Z2202" s="16" t="n"/>
      <c r="AA2202" s="16" t="n"/>
      <c r="AB2202" s="16" t="n">
        <v>399.6442372026947</v>
      </c>
      <c r="AC2202" s="16" t="n">
        <v>1.199896430458721</v>
      </c>
      <c r="AD2202" s="16" t="n"/>
      <c r="AE2202" s="16" t="n"/>
    </row>
    <row r="2203">
      <c r="A2203" s="16" t="inlineStr">
        <is>
          <t>KF-M05-4-0118</t>
        </is>
      </c>
      <c r="B2203" s="16" t="inlineStr">
        <is>
          <t>4.1</t>
        </is>
      </c>
      <c r="C2203" s="16" t="inlineStr">
        <is>
          <t>4.1d</t>
        </is>
      </c>
      <c r="D2203" s="16" t="inlineStr">
        <is>
          <t>conserva su P_alta y sus temperaturas</t>
        </is>
      </c>
      <c r="E2203" s="16" t="inlineStr">
        <is>
          <t>KF-M05</t>
        </is>
      </c>
      <c r="F2203" s="16" t="inlineStr">
        <is>
          <t>KF-M05-4</t>
        </is>
      </c>
      <c r="G2203" s="16" t="inlineStr">
        <is>
          <t>B09-4</t>
        </is>
      </c>
      <c r="H2203" s="16" t="inlineStr">
        <is>
          <t>lhs</t>
        </is>
      </c>
      <c r="I2203" s="16" t="inlineStr">
        <is>
          <t>KALINA</t>
        </is>
      </c>
      <c r="J2203" s="16" t="inlineStr">
        <is>
          <t>KALINA</t>
        </is>
      </c>
      <c r="K2203" s="16" t="b">
        <v>1</v>
      </c>
      <c r="L2203" s="16" t="b">
        <v>0</v>
      </c>
      <c r="M2203" s="16" t="b">
        <v>1</v>
      </c>
      <c r="N2203" s="16" t="b">
        <v>0</v>
      </c>
      <c r="O2203" s="16" t="n">
        <v>623.15</v>
      </c>
      <c r="P2203" s="16" t="n">
        <v>300.032917</v>
      </c>
      <c r="Q2203" s="16" t="n">
        <v>3000</v>
      </c>
      <c r="R2203" s="16" t="n">
        <v>1105.022250940919</v>
      </c>
      <c r="S2203" s="16" t="n">
        <v>0.5201064770535626</v>
      </c>
      <c r="T2203" s="16" t="n">
        <v>0.4553386422590642</v>
      </c>
      <c r="U2203" s="16" t="n">
        <v>0.7415645321997866</v>
      </c>
      <c r="V2203" s="16" t="n">
        <v>0.8026814487199451</v>
      </c>
      <c r="W2203" s="16" t="n">
        <v>0.4828044546530698</v>
      </c>
      <c r="X2203" s="16" t="n">
        <v>0.9382817120445428</v>
      </c>
      <c r="Y2203" s="16" t="n">
        <v>300.032917</v>
      </c>
      <c r="Z2203" s="16" t="n">
        <v>3.7361006984214</v>
      </c>
      <c r="AA2203" s="16" t="n">
        <v>76.99406646148795</v>
      </c>
      <c r="AB2203" s="16" t="n">
        <v>1894.977749059081</v>
      </c>
      <c r="AC2203" s="16" t="n">
        <v>2.71487745830052</v>
      </c>
      <c r="AD2203" s="16" t="n"/>
      <c r="AE2203" s="16" t="n"/>
    </row>
    <row r="2204">
      <c r="A2204" s="16" t="inlineStr">
        <is>
          <t>KF-M05-4-0119</t>
        </is>
      </c>
      <c r="B2204" s="16" t="inlineStr">
        <is>
          <t>4.1</t>
        </is>
      </c>
      <c r="C2204" s="16" t="inlineStr">
        <is>
          <t>4.1d</t>
        </is>
      </c>
      <c r="D2204" s="16" t="inlineStr">
        <is>
          <t>conserva su P_alta y sus temperaturas</t>
        </is>
      </c>
      <c r="E2204" s="16" t="inlineStr">
        <is>
          <t>KF-M05</t>
        </is>
      </c>
      <c r="F2204" s="16" t="inlineStr">
        <is>
          <t>KF-M05-4</t>
        </is>
      </c>
      <c r="G2204" s="16" t="inlineStr">
        <is>
          <t>B09-4</t>
        </is>
      </c>
      <c r="H2204" s="16" t="inlineStr">
        <is>
          <t>lhs</t>
        </is>
      </c>
      <c r="I2204" s="16" t="inlineStr">
        <is>
          <t>CORREGIBLE</t>
        </is>
      </c>
      <c r="J2204" s="16" t="inlineStr">
        <is>
          <t>CORREGIBLE</t>
        </is>
      </c>
      <c r="K2204" s="16" t="b">
        <v>1</v>
      </c>
      <c r="L2204" s="16" t="b">
        <v>0</v>
      </c>
      <c r="M2204" s="16" t="b">
        <v>1</v>
      </c>
      <c r="N2204" s="16" t="b">
        <v>0</v>
      </c>
      <c r="O2204" s="16" t="n">
        <v>623.15</v>
      </c>
      <c r="P2204" s="16" t="n">
        <v>300.032917</v>
      </c>
      <c r="Q2204" s="16" t="n">
        <v>3000</v>
      </c>
      <c r="R2204" s="16" t="n">
        <v>1046.365715679649</v>
      </c>
      <c r="S2204" s="16" t="n">
        <v>0.6789178270246243</v>
      </c>
      <c r="T2204" s="16" t="n">
        <v>0.5262836367487054</v>
      </c>
      <c r="U2204" s="16" t="n">
        <v>0.5439414367925711</v>
      </c>
      <c r="V2204" s="16" t="n">
        <v>0.6038853400117644</v>
      </c>
      <c r="W2204" s="16" t="n">
        <v>0.6796331680460839</v>
      </c>
      <c r="X2204" s="16" t="n">
        <v>0.8502386995557611</v>
      </c>
      <c r="Y2204" s="16" t="n">
        <v>300.032917</v>
      </c>
      <c r="Z2204" s="16" t="n">
        <v>4.53327738323397</v>
      </c>
      <c r="AA2204" s="16" t="n">
        <v>60.51702453091279</v>
      </c>
      <c r="AB2204" s="16" t="n">
        <v>1953.634284320351</v>
      </c>
      <c r="AC2204" s="16" t="n">
        <v>2.867066413822056</v>
      </c>
      <c r="AD2204" s="16" t="inlineStr">
        <is>
          <t>O2</t>
        </is>
      </c>
      <c r="AE2204" s="16" t="n"/>
    </row>
    <row r="2205">
      <c r="A2205" s="16" t="inlineStr">
        <is>
          <t>KF-M05-5-0003</t>
        </is>
      </c>
      <c r="B2205" s="16" t="inlineStr">
        <is>
          <t>4.1</t>
        </is>
      </c>
      <c r="C2205" s="16" t="inlineStr">
        <is>
          <t>4.1e</t>
        </is>
      </c>
      <c r="D2205" s="16" t="inlineStr">
        <is>
          <t>conserva su fuente y su x_b</t>
        </is>
      </c>
      <c r="E2205" s="16" t="inlineStr">
        <is>
          <t>KF-M05</t>
        </is>
      </c>
      <c r="F2205" s="16" t="inlineStr">
        <is>
          <t>KF-M05-5</t>
        </is>
      </c>
      <c r="G2205" s="16" t="inlineStr">
        <is>
          <t>B09-5</t>
        </is>
      </c>
      <c r="H2205" s="16" t="inlineStr">
        <is>
          <t>lhs</t>
        </is>
      </c>
      <c r="I2205" s="16" t="inlineStr">
        <is>
          <t>CORREGIBLE</t>
        </is>
      </c>
      <c r="J2205" s="16" t="inlineStr">
        <is>
          <t>CORREGIBLE</t>
        </is>
      </c>
      <c r="K2205" s="16" t="b">
        <v>1</v>
      </c>
      <c r="L2205" s="16" t="b">
        <v>0</v>
      </c>
      <c r="M2205" s="16" t="b">
        <v>1</v>
      </c>
      <c r="N2205" s="16" t="b">
        <v>0</v>
      </c>
      <c r="O2205" s="16" t="n">
        <v>623.15</v>
      </c>
      <c r="P2205" s="16" t="n">
        <v>288.1800670076448</v>
      </c>
      <c r="Q2205" s="16" t="n">
        <v>3850.822822006674</v>
      </c>
      <c r="R2205" s="16" t="n">
        <v>417.9409333174801</v>
      </c>
      <c r="S2205" s="16" t="n">
        <v>0.5</v>
      </c>
      <c r="T2205" s="16" t="n">
        <v>0.5908102157691023</v>
      </c>
      <c r="U2205" s="16" t="n">
        <v>0.415756968673867</v>
      </c>
      <c r="V2205" s="16" t="n">
        <v>0.5754733237181612</v>
      </c>
      <c r="W2205" s="16" t="n">
        <v>0.4080309947787325</v>
      </c>
      <c r="X2205" s="16" t="n">
        <v>0.8601501381429537</v>
      </c>
      <c r="Y2205" s="16" t="n">
        <v>288.1800670076448</v>
      </c>
      <c r="Z2205" s="16" t="n">
        <v>8.832147764746789</v>
      </c>
      <c r="AA2205" s="16" t="n">
        <v>125.0943519928301</v>
      </c>
      <c r="AB2205" s="16" t="n">
        <v>3432.881888689194</v>
      </c>
      <c r="AC2205" s="16" t="n">
        <v>9.213796771328637</v>
      </c>
      <c r="AD2205" s="16" t="inlineStr">
        <is>
          <t>O2</t>
        </is>
      </c>
      <c r="AE2205" s="16" t="n"/>
    </row>
    <row r="2206">
      <c r="A2206" s="16" t="inlineStr">
        <is>
          <t>KF-M05-5-0004</t>
        </is>
      </c>
      <c r="B2206" s="16" t="inlineStr">
        <is>
          <t>4.1</t>
        </is>
      </c>
      <c r="C2206" s="16" t="inlineStr">
        <is>
          <t>4.1e</t>
        </is>
      </c>
      <c r="D2206" s="16" t="inlineStr">
        <is>
          <t>conserva su fuente y su x_b</t>
        </is>
      </c>
      <c r="E2206" s="16" t="inlineStr">
        <is>
          <t>KF-M05</t>
        </is>
      </c>
      <c r="F2206" s="16" t="inlineStr">
        <is>
          <t>KF-M05-5</t>
        </is>
      </c>
      <c r="G2206" s="16" t="inlineStr">
        <is>
          <t>B09-5</t>
        </is>
      </c>
      <c r="H2206" s="16" t="inlineStr">
        <is>
          <t>lhs</t>
        </is>
      </c>
      <c r="I2206" s="16" t="inlineStr">
        <is>
          <t>CORREGIBLE</t>
        </is>
      </c>
      <c r="J2206" s="16" t="inlineStr">
        <is>
          <t>CORREGIBLE</t>
        </is>
      </c>
      <c r="K2206" s="16" t="b">
        <v>1</v>
      </c>
      <c r="L2206" s="16" t="b">
        <v>0</v>
      </c>
      <c r="M2206" s="16" t="b">
        <v>1</v>
      </c>
      <c r="N2206" s="16" t="b">
        <v>0</v>
      </c>
      <c r="O2206" s="16" t="n">
        <v>623.15</v>
      </c>
      <c r="P2206" s="16" t="n">
        <v>287.5165510717587</v>
      </c>
      <c r="Q2206" s="16" t="n">
        <v>4954.935104723754</v>
      </c>
      <c r="R2206" s="16" t="n">
        <v>300.7846846856282</v>
      </c>
      <c r="S2206" s="16" t="n">
        <v>0.5</v>
      </c>
      <c r="T2206" s="16" t="n">
        <v>0.6912457286366118</v>
      </c>
      <c r="U2206" s="16" t="n">
        <v>0.5696386578303997</v>
      </c>
      <c r="V2206" s="16" t="n">
        <v>0.7811454511270564</v>
      </c>
      <c r="W2206" s="16" t="n">
        <v>0.752470523057218</v>
      </c>
      <c r="X2206" s="16" t="n">
        <v>0.698212965819426</v>
      </c>
      <c r="Y2206" s="16" t="n">
        <v>287.5165510717587</v>
      </c>
      <c r="Z2206" s="16" t="n">
        <v>9.614410701999471</v>
      </c>
      <c r="AA2206" s="16" t="n">
        <v>148.8526141072059</v>
      </c>
      <c r="AB2206" s="16" t="n">
        <v>4654.150420038126</v>
      </c>
      <c r="AC2206" s="16" t="n">
        <v>16.47336236518331</v>
      </c>
      <c r="AD2206" s="16" t="inlineStr">
        <is>
          <t>O1,O2</t>
        </is>
      </c>
      <c r="AE2206" s="16" t="n"/>
    </row>
    <row r="2207">
      <c r="A2207" s="16" t="inlineStr">
        <is>
          <t>KF-M05-5-0005</t>
        </is>
      </c>
      <c r="B2207" s="16" t="inlineStr">
        <is>
          <t>4.1</t>
        </is>
      </c>
      <c r="C2207" s="16" t="inlineStr">
        <is>
          <t>4.1e</t>
        </is>
      </c>
      <c r="D2207" s="16" t="inlineStr">
        <is>
          <t>conserva su fuente y su x_b</t>
        </is>
      </c>
      <c r="E2207" s="16" t="inlineStr">
        <is>
          <t>KF-M05</t>
        </is>
      </c>
      <c r="F2207" s="16" t="inlineStr">
        <is>
          <t>KF-M05-5</t>
        </is>
      </c>
      <c r="G2207" s="16" t="inlineStr">
        <is>
          <t>B09-5</t>
        </is>
      </c>
      <c r="H2207" s="16" t="inlineStr">
        <is>
          <t>lhs</t>
        </is>
      </c>
      <c r="I2207" s="16" t="inlineStr">
        <is>
          <t>INVIABLE</t>
        </is>
      </c>
      <c r="J2207" s="16" t="inlineStr">
        <is>
          <t>INVIABLE</t>
        </is>
      </c>
      <c r="K2207" s="16" t="b">
        <v>1</v>
      </c>
      <c r="L2207" s="16" t="b">
        <v>0</v>
      </c>
      <c r="M2207" s="16" t="b">
        <v>1</v>
      </c>
      <c r="N2207" s="16" t="b">
        <v>0</v>
      </c>
      <c r="O2207" s="16" t="n">
        <v>623.15</v>
      </c>
      <c r="P2207" s="16" t="n">
        <v>298.5758950875044</v>
      </c>
      <c r="Q2207" s="16" t="n">
        <v>4134.748966412524</v>
      </c>
      <c r="R2207" s="16" t="n">
        <v>689.6020841936819</v>
      </c>
      <c r="S2207" s="16" t="n">
        <v>0.5</v>
      </c>
      <c r="T2207" s="16" t="n">
        <v>0.863713522818377</v>
      </c>
      <c r="U2207" s="16" t="n">
        <v>0.4247653728395726</v>
      </c>
      <c r="V2207" s="16" t="n">
        <v>0.4650537438552097</v>
      </c>
      <c r="W2207" s="16" t="n">
        <v>0.8285818361694091</v>
      </c>
      <c r="X2207" s="16" t="n">
        <v>0.5246730399762811</v>
      </c>
      <c r="Y2207" s="16" t="n">
        <v>298.5758950875044</v>
      </c>
      <c r="Z2207" s="16" t="n">
        <v>-0.90871104821699</v>
      </c>
      <c r="AA2207" s="16" t="n">
        <v>-7.341222281706479</v>
      </c>
      <c r="AB2207" s="16" t="n">
        <v>3445.146882218842</v>
      </c>
      <c r="AC2207" s="16" t="n">
        <v>5.995847549166103</v>
      </c>
      <c r="AD2207" s="16" t="inlineStr">
        <is>
          <t>O2,O3</t>
        </is>
      </c>
      <c r="AE2207" s="16" t="n"/>
    </row>
    <row r="2208">
      <c r="A2208" s="16" t="inlineStr">
        <is>
          <t>KF-M05-5-0006</t>
        </is>
      </c>
      <c r="B2208" s="16" t="inlineStr">
        <is>
          <t>4.1</t>
        </is>
      </c>
      <c r="C2208" s="16" t="inlineStr">
        <is>
          <t>4.1e</t>
        </is>
      </c>
      <c r="D2208" s="16" t="inlineStr">
        <is>
          <t>conserva su fuente y su x_b</t>
        </is>
      </c>
      <c r="E2208" s="16" t="inlineStr">
        <is>
          <t>KF-M05</t>
        </is>
      </c>
      <c r="F2208" s="16" t="inlineStr">
        <is>
          <t>KF-M05-5</t>
        </is>
      </c>
      <c r="G2208" s="16" t="inlineStr">
        <is>
          <t>B09-5</t>
        </is>
      </c>
      <c r="H2208" s="16" t="inlineStr">
        <is>
          <t>lhs</t>
        </is>
      </c>
      <c r="I2208" s="16" t="inlineStr">
        <is>
          <t>NO_CONVERGIO</t>
        </is>
      </c>
      <c r="J2208" s="16" t="inlineStr">
        <is>
          <t>NO_CONVERGIO</t>
        </is>
      </c>
      <c r="K2208" s="16" t="b">
        <v>0</v>
      </c>
      <c r="L2208" s="16" t="b">
        <v>0</v>
      </c>
      <c r="M2208" s="16" t="b">
        <v>0</v>
      </c>
      <c r="N2208" s="16" t="b">
        <v>0</v>
      </c>
      <c r="O2208" s="16" t="n">
        <v>623.15</v>
      </c>
      <c r="P2208" s="16" t="n">
        <v>296.5111437182537</v>
      </c>
      <c r="Q2208" s="16" t="n">
        <v>3898.314040768245</v>
      </c>
      <c r="R2208" s="16" t="n">
        <v>482.2514475058168</v>
      </c>
      <c r="S2208" s="16" t="n">
        <v>0.5</v>
      </c>
      <c r="T2208" s="16" t="n">
        <v>0.5077257037324319</v>
      </c>
      <c r="U2208" s="16" t="n">
        <v>0.4303872197848844</v>
      </c>
      <c r="V2208" s="16" t="n">
        <v>0.868521875659808</v>
      </c>
      <c r="W2208" s="16" t="n">
        <v>0.882412516270382</v>
      </c>
      <c r="X2208" s="16" t="n">
        <v>0.6915636678318666</v>
      </c>
      <c r="Y2208" s="16" t="n">
        <v>296.5111437182537</v>
      </c>
      <c r="Z2208" s="16" t="n"/>
      <c r="AA2208" s="16" t="n"/>
      <c r="AB2208" s="16" t="n">
        <v>3416.062593262428</v>
      </c>
      <c r="AC2208" s="16" t="n">
        <v>8.08357146656615</v>
      </c>
      <c r="AD2208" s="16" t="n"/>
      <c r="AE2208" s="16" t="n"/>
    </row>
    <row r="2209">
      <c r="A2209" s="16" t="inlineStr">
        <is>
          <t>KF-M05-5-0007</t>
        </is>
      </c>
      <c r="B2209" s="16" t="inlineStr">
        <is>
          <t>4.1</t>
        </is>
      </c>
      <c r="C2209" s="16" t="inlineStr">
        <is>
          <t>4.1e</t>
        </is>
      </c>
      <c r="D2209" s="16" t="inlineStr">
        <is>
          <t>conserva su fuente y su x_b</t>
        </is>
      </c>
      <c r="E2209" s="16" t="inlineStr">
        <is>
          <t>KF-M05</t>
        </is>
      </c>
      <c r="F2209" s="16" t="inlineStr">
        <is>
          <t>KF-M05-5</t>
        </is>
      </c>
      <c r="G2209" s="16" t="inlineStr">
        <is>
          <t>B09-5</t>
        </is>
      </c>
      <c r="H2209" s="16" t="inlineStr">
        <is>
          <t>lhs</t>
        </is>
      </c>
      <c r="I2209" s="16" t="inlineStr">
        <is>
          <t>INVIABLE</t>
        </is>
      </c>
      <c r="J2209" s="16" t="inlineStr">
        <is>
          <t>INVIABLE</t>
        </is>
      </c>
      <c r="K2209" s="16" t="b">
        <v>1</v>
      </c>
      <c r="L2209" s="16" t="b">
        <v>0</v>
      </c>
      <c r="M2209" s="16" t="b">
        <v>1</v>
      </c>
      <c r="N2209" s="16" t="b">
        <v>0</v>
      </c>
      <c r="O2209" s="16" t="n">
        <v>623.15</v>
      </c>
      <c r="P2209" s="16" t="n">
        <v>292.2812481810901</v>
      </c>
      <c r="Q2209" s="16" t="n">
        <v>4547.99780172768</v>
      </c>
      <c r="R2209" s="16" t="n">
        <v>437.4191915998528</v>
      </c>
      <c r="S2209" s="16" t="n">
        <v>0.5</v>
      </c>
      <c r="T2209" s="16" t="n">
        <v>0.4318978508326516</v>
      </c>
      <c r="U2209" s="16" t="n">
        <v>0.6903608354697245</v>
      </c>
      <c r="V2209" s="16" t="n">
        <v>0.439861565695864</v>
      </c>
      <c r="W2209" s="16" t="n">
        <v>0.4434074638215983</v>
      </c>
      <c r="X2209" s="16" t="n">
        <v>0.6050351454045397</v>
      </c>
      <c r="Y2209" s="16" t="n">
        <v>292.2812481810901</v>
      </c>
      <c r="Z2209" s="16" t="n">
        <v>-0.82735321786688</v>
      </c>
      <c r="AA2209" s="16" t="n">
        <v>-7.314528308568512</v>
      </c>
      <c r="AB2209" s="16" t="n">
        <v>4110.578610127827</v>
      </c>
      <c r="AC2209" s="16" t="n">
        <v>10.3973439873396</v>
      </c>
      <c r="AD2209" s="16" t="inlineStr">
        <is>
          <t>O2,O3</t>
        </is>
      </c>
      <c r="AE2209" s="16" t="n"/>
    </row>
    <row r="2210">
      <c r="A2210" s="16" t="inlineStr">
        <is>
          <t>KF-M05-5-0008</t>
        </is>
      </c>
      <c r="B2210" s="16" t="inlineStr">
        <is>
          <t>4.1</t>
        </is>
      </c>
      <c r="C2210" s="16" t="inlineStr">
        <is>
          <t>4.1e</t>
        </is>
      </c>
      <c r="D2210" s="16" t="inlineStr">
        <is>
          <t>conserva su fuente y su x_b</t>
        </is>
      </c>
      <c r="E2210" s="16" t="inlineStr">
        <is>
          <t>KF-M05</t>
        </is>
      </c>
      <c r="F2210" s="16" t="inlineStr">
        <is>
          <t>KF-M05-5</t>
        </is>
      </c>
      <c r="G2210" s="16" t="inlineStr">
        <is>
          <t>B09-5</t>
        </is>
      </c>
      <c r="H2210" s="16" t="inlineStr">
        <is>
          <t>lhs</t>
        </is>
      </c>
      <c r="I2210" s="16" t="inlineStr">
        <is>
          <t>CORREGIBLE</t>
        </is>
      </c>
      <c r="J2210" s="16" t="inlineStr">
        <is>
          <t>CORREGIBLE</t>
        </is>
      </c>
      <c r="K2210" s="16" t="b">
        <v>1</v>
      </c>
      <c r="L2210" s="16" t="b">
        <v>0</v>
      </c>
      <c r="M2210" s="16" t="b">
        <v>1</v>
      </c>
      <c r="N2210" s="16" t="b">
        <v>0</v>
      </c>
      <c r="O2210" s="16" t="n">
        <v>623.15</v>
      </c>
      <c r="P2210" s="16" t="n">
        <v>288.4512331567851</v>
      </c>
      <c r="Q2210" s="16" t="n">
        <v>3375.557229316533</v>
      </c>
      <c r="R2210" s="16" t="n">
        <v>1918.091984588147</v>
      </c>
      <c r="S2210" s="16" t="n">
        <v>0.5</v>
      </c>
      <c r="T2210" s="16" t="n">
        <v>0.5793841313850052</v>
      </c>
      <c r="U2210" s="16" t="n">
        <v>0.704336991975093</v>
      </c>
      <c r="V2210" s="16" t="n">
        <v>0.7307089167314562</v>
      </c>
      <c r="W2210" s="16" t="n">
        <v>0.5644857761265566</v>
      </c>
      <c r="X2210" s="16" t="n">
        <v>0.4966791928987666</v>
      </c>
      <c r="Y2210" s="16" t="n">
        <v>288.4512331567851</v>
      </c>
      <c r="Z2210" s="16" t="n">
        <v>0.07176526076065</v>
      </c>
      <c r="AA2210" s="16" t="n">
        <v>0.8206004830075173</v>
      </c>
      <c r="AB2210" s="16" t="n">
        <v>1457.465244728386</v>
      </c>
      <c r="AC2210" s="16" t="n">
        <v>1.759851590246509</v>
      </c>
      <c r="AD2210" s="16" t="inlineStr">
        <is>
          <t>O2</t>
        </is>
      </c>
      <c r="AE2210" s="16" t="n"/>
    </row>
    <row r="2211">
      <c r="A2211" s="16" t="inlineStr">
        <is>
          <t>KF-M05-5-0009</t>
        </is>
      </c>
      <c r="B2211" s="16" t="inlineStr">
        <is>
          <t>4.1</t>
        </is>
      </c>
      <c r="C2211" s="16" t="inlineStr">
        <is>
          <t>4.1e</t>
        </is>
      </c>
      <c r="D2211" s="16" t="inlineStr">
        <is>
          <t>conserva su fuente y su x_b</t>
        </is>
      </c>
      <c r="E2211" s="16" t="inlineStr">
        <is>
          <t>KF-M05</t>
        </is>
      </c>
      <c r="F2211" s="16" t="inlineStr">
        <is>
          <t>KF-M05-5</t>
        </is>
      </c>
      <c r="G2211" s="16" t="inlineStr">
        <is>
          <t>B09-5</t>
        </is>
      </c>
      <c r="H2211" s="16" t="inlineStr">
        <is>
          <t>lhs</t>
        </is>
      </c>
      <c r="I2211" s="16" t="inlineStr">
        <is>
          <t>NO_CONVERGIO</t>
        </is>
      </c>
      <c r="J2211" s="16" t="inlineStr">
        <is>
          <t>NO_CONVERGIO</t>
        </is>
      </c>
      <c r="K2211" s="16" t="b">
        <v>0</v>
      </c>
      <c r="L2211" s="16" t="b">
        <v>0</v>
      </c>
      <c r="M2211" s="16" t="b">
        <v>0</v>
      </c>
      <c r="N2211" s="16" t="b">
        <v>0</v>
      </c>
      <c r="O2211" s="16" t="n">
        <v>623.15</v>
      </c>
      <c r="P2211" s="16" t="n">
        <v>287.0565630639811</v>
      </c>
      <c r="Q2211" s="16" t="n">
        <v>3703.524601932885</v>
      </c>
      <c r="R2211" s="16" t="n">
        <v>1293.753795569448</v>
      </c>
      <c r="S2211" s="16" t="n">
        <v>0.5</v>
      </c>
      <c r="T2211" s="16" t="n">
        <v>0.5549298864569936</v>
      </c>
      <c r="U2211" s="16" t="n">
        <v>0.8812925181925719</v>
      </c>
      <c r="V2211" s="16" t="n">
        <v>0.8322074522927603</v>
      </c>
      <c r="W2211" s="16" t="n">
        <v>0.454963979620583</v>
      </c>
      <c r="X2211" s="16" t="n">
        <v>0.6386781011346671</v>
      </c>
      <c r="Y2211" s="16" t="n">
        <v>287.0565630639811</v>
      </c>
      <c r="Z2211" s="16" t="n"/>
      <c r="AA2211" s="16" t="n"/>
      <c r="AB2211" s="16" t="n">
        <v>2409.770806363436</v>
      </c>
      <c r="AC2211" s="16" t="n">
        <v>2.862619313362301</v>
      </c>
      <c r="AD2211" s="16" t="n"/>
      <c r="AE2211" s="16" t="n"/>
    </row>
    <row r="2212">
      <c r="A2212" s="16" t="inlineStr">
        <is>
          <t>KF-M05-5-0010</t>
        </is>
      </c>
      <c r="B2212" s="16" t="inlineStr">
        <is>
          <t>4.1</t>
        </is>
      </c>
      <c r="C2212" s="16" t="inlineStr">
        <is>
          <t>4.1e</t>
        </is>
      </c>
      <c r="D2212" s="16" t="inlineStr">
        <is>
          <t>conserva su fuente y su x_b</t>
        </is>
      </c>
      <c r="E2212" s="16" t="inlineStr">
        <is>
          <t>KF-M05</t>
        </is>
      </c>
      <c r="F2212" s="16" t="inlineStr">
        <is>
          <t>KF-M05-5</t>
        </is>
      </c>
      <c r="G2212" s="16" t="inlineStr">
        <is>
          <t>B09-5</t>
        </is>
      </c>
      <c r="H2212" s="16" t="inlineStr">
        <is>
          <t>lhs</t>
        </is>
      </c>
      <c r="I2212" s="16" t="inlineStr">
        <is>
          <t>NO_CONVERGIO</t>
        </is>
      </c>
      <c r="J2212" s="16" t="inlineStr">
        <is>
          <t>NO_CONVERGIO</t>
        </is>
      </c>
      <c r="K2212" s="16" t="b">
        <v>0</v>
      </c>
      <c r="L2212" s="16" t="b">
        <v>0</v>
      </c>
      <c r="M2212" s="16" t="b">
        <v>0</v>
      </c>
      <c r="N2212" s="16" t="b">
        <v>0</v>
      </c>
      <c r="O2212" s="16" t="n">
        <v>623.15</v>
      </c>
      <c r="P2212" s="16" t="n">
        <v>279.5885310255268</v>
      </c>
      <c r="Q2212" s="16" t="n">
        <v>2763.248023348929</v>
      </c>
      <c r="R2212" s="16" t="n">
        <v>843.0111301360287</v>
      </c>
      <c r="S2212" s="16" t="n">
        <v>0.5</v>
      </c>
      <c r="T2212" s="16" t="n">
        <v>0.8702025335686145</v>
      </c>
      <c r="U2212" s="16" t="n">
        <v>0.6741806314844514</v>
      </c>
      <c r="V2212" s="16" t="n">
        <v>0.7732113506418172</v>
      </c>
      <c r="W2212" s="16" t="n">
        <v>0.9075927016586464</v>
      </c>
      <c r="X2212" s="16" t="n">
        <v>0.5775232383043223</v>
      </c>
      <c r="Y2212" s="16" t="n">
        <v>279.5885310255268</v>
      </c>
      <c r="Z2212" s="16" t="n"/>
      <c r="AA2212" s="16" t="n"/>
      <c r="AB2212" s="16" t="n">
        <v>1920.2368932129</v>
      </c>
      <c r="AC2212" s="16" t="n">
        <v>3.27783100906752</v>
      </c>
      <c r="AD2212" s="16" t="n"/>
      <c r="AE2212" s="16" t="n"/>
    </row>
    <row r="2213">
      <c r="A2213" s="16" t="inlineStr">
        <is>
          <t>KF-M05-5-0011</t>
        </is>
      </c>
      <c r="B2213" s="16" t="inlineStr">
        <is>
          <t>4.1</t>
        </is>
      </c>
      <c r="C2213" s="16" t="inlineStr">
        <is>
          <t>4.1e</t>
        </is>
      </c>
      <c r="D2213" s="16" t="inlineStr">
        <is>
          <t>conserva su fuente y su x_b</t>
        </is>
      </c>
      <c r="E2213" s="16" t="inlineStr">
        <is>
          <t>KF-M05</t>
        </is>
      </c>
      <c r="F2213" s="16" t="inlineStr">
        <is>
          <t>KF-M05-5</t>
        </is>
      </c>
      <c r="G2213" s="16" t="inlineStr">
        <is>
          <t>B09-5</t>
        </is>
      </c>
      <c r="H2213" s="16" t="inlineStr">
        <is>
          <t>lhs</t>
        </is>
      </c>
      <c r="I2213" s="16" t="inlineStr">
        <is>
          <t>CORREGIBLE</t>
        </is>
      </c>
      <c r="J2213" s="16" t="inlineStr">
        <is>
          <t>CORREGIBLE</t>
        </is>
      </c>
      <c r="K2213" s="16" t="b">
        <v>1</v>
      </c>
      <c r="L2213" s="16" t="b">
        <v>0</v>
      </c>
      <c r="M2213" s="16" t="b">
        <v>1</v>
      </c>
      <c r="N2213" s="16" t="b">
        <v>0</v>
      </c>
      <c r="O2213" s="16" t="n">
        <v>623.15</v>
      </c>
      <c r="P2213" s="16" t="n">
        <v>279.7888537453707</v>
      </c>
      <c r="Q2213" s="16" t="n">
        <v>2660.445962270247</v>
      </c>
      <c r="R2213" s="16" t="n">
        <v>1765.702530021576</v>
      </c>
      <c r="S2213" s="16" t="n">
        <v>0.5</v>
      </c>
      <c r="T2213" s="16" t="n">
        <v>0.7668590544199648</v>
      </c>
      <c r="U2213" s="16" t="n">
        <v>0.9392781168986486</v>
      </c>
      <c r="V2213" s="16" t="n">
        <v>0.73684570100004</v>
      </c>
      <c r="W2213" s="16" t="n">
        <v>0.7905951507320177</v>
      </c>
      <c r="X2213" s="16" t="n">
        <v>0.804793479060717</v>
      </c>
      <c r="Y2213" s="16" t="n">
        <v>279.7888537453707</v>
      </c>
      <c r="Z2213" s="16" t="n">
        <v>2.95235280546904</v>
      </c>
      <c r="AA2213" s="16" t="n">
        <v>51.83566285384067</v>
      </c>
      <c r="AB2213" s="16" t="n">
        <v>894.7434322486711</v>
      </c>
      <c r="AC2213" s="16" t="n">
        <v>1.506735091010906</v>
      </c>
      <c r="AD2213" s="16" t="inlineStr">
        <is>
          <t>O2</t>
        </is>
      </c>
      <c r="AE2213" s="16" t="n"/>
    </row>
    <row r="2214">
      <c r="A2214" s="16" t="inlineStr">
        <is>
          <t>KF-M05-5-0012</t>
        </is>
      </c>
      <c r="B2214" s="16" t="inlineStr">
        <is>
          <t>4.1</t>
        </is>
      </c>
      <c r="C2214" s="16" t="inlineStr">
        <is>
          <t>4.1e</t>
        </is>
      </c>
      <c r="D2214" s="16" t="inlineStr">
        <is>
          <t>conserva su fuente y su x_b</t>
        </is>
      </c>
      <c r="E2214" s="16" t="inlineStr">
        <is>
          <t>KF-M05</t>
        </is>
      </c>
      <c r="F2214" s="16" t="inlineStr">
        <is>
          <t>KF-M05-5</t>
        </is>
      </c>
      <c r="G2214" s="16" t="inlineStr">
        <is>
          <t>B09-5</t>
        </is>
      </c>
      <c r="H2214" s="16" t="inlineStr">
        <is>
          <t>lhs</t>
        </is>
      </c>
      <c r="I2214" s="16" t="inlineStr">
        <is>
          <t>CORREGIBLE</t>
        </is>
      </c>
      <c r="J2214" s="16" t="inlineStr">
        <is>
          <t>CORREGIBLE</t>
        </is>
      </c>
      <c r="K2214" s="16" t="b">
        <v>1</v>
      </c>
      <c r="L2214" s="16" t="b">
        <v>0</v>
      </c>
      <c r="M2214" s="16" t="b">
        <v>1</v>
      </c>
      <c r="N2214" s="16" t="b">
        <v>0</v>
      </c>
      <c r="O2214" s="16" t="n">
        <v>623.15</v>
      </c>
      <c r="P2214" s="16" t="n">
        <v>289.2615354455962</v>
      </c>
      <c r="Q2214" s="16" t="n">
        <v>4216.081291031909</v>
      </c>
      <c r="R2214" s="16" t="n">
        <v>1470.474804198533</v>
      </c>
      <c r="S2214" s="16" t="n">
        <v>0.5</v>
      </c>
      <c r="T2214" s="16" t="n">
        <v>0.4932180991785515</v>
      </c>
      <c r="U2214" s="16" t="n">
        <v>0.6854359085462887</v>
      </c>
      <c r="V2214" s="16" t="n">
        <v>0.5653232519617851</v>
      </c>
      <c r="W2214" s="16" t="n">
        <v>0.8990288653476706</v>
      </c>
      <c r="X2214" s="16" t="n">
        <v>0.7561424961635145</v>
      </c>
      <c r="Y2214" s="16" t="n">
        <v>289.2615354455962</v>
      </c>
      <c r="Z2214" s="16" t="n">
        <v>4.46499388814618</v>
      </c>
      <c r="AA2214" s="16" t="n">
        <v>56.35258070133409</v>
      </c>
      <c r="AB2214" s="16" t="n">
        <v>2745.606486833376</v>
      </c>
      <c r="AC2214" s="16" t="n">
        <v>2.867156430694398</v>
      </c>
      <c r="AD2214" s="16" t="inlineStr">
        <is>
          <t>O2</t>
        </is>
      </c>
      <c r="AE2214" s="16" t="n"/>
    </row>
    <row r="2215">
      <c r="A2215" s="16" t="inlineStr">
        <is>
          <t>KF-M05-5-0013</t>
        </is>
      </c>
      <c r="B2215" s="16" t="inlineStr">
        <is>
          <t>4.1</t>
        </is>
      </c>
      <c r="C2215" s="16" t="inlineStr">
        <is>
          <t>4.1e</t>
        </is>
      </c>
      <c r="D2215" s="16" t="inlineStr">
        <is>
          <t>conserva su fuente y su x_b</t>
        </is>
      </c>
      <c r="E2215" s="16" t="inlineStr">
        <is>
          <t>KF-M05</t>
        </is>
      </c>
      <c r="F2215" s="16" t="inlineStr">
        <is>
          <t>KF-M05-5</t>
        </is>
      </c>
      <c r="G2215" s="16" t="inlineStr">
        <is>
          <t>B09-5</t>
        </is>
      </c>
      <c r="H2215" s="16" t="inlineStr">
        <is>
          <t>lhs</t>
        </is>
      </c>
      <c r="I2215" s="16" t="inlineStr">
        <is>
          <t>NO_CONVERGIO</t>
        </is>
      </c>
      <c r="J2215" s="16" t="inlineStr">
        <is>
          <t>NO_CONVERGIO</t>
        </is>
      </c>
      <c r="K2215" s="16" t="b">
        <v>0</v>
      </c>
      <c r="L2215" s="16" t="b">
        <v>0</v>
      </c>
      <c r="M2215" s="16" t="b">
        <v>0</v>
      </c>
      <c r="N2215" s="16" t="b">
        <v>0</v>
      </c>
      <c r="O2215" s="16" t="n">
        <v>623.15</v>
      </c>
      <c r="P2215" s="16" t="n">
        <v>284.5461184651663</v>
      </c>
      <c r="Q2215" s="16" t="n">
        <v>2307.164343100957</v>
      </c>
      <c r="R2215" s="16" t="n">
        <v>1892.756759088737</v>
      </c>
      <c r="S2215" s="16" t="n">
        <v>0.5</v>
      </c>
      <c r="T2215" s="16" t="n">
        <v>0.5580830428479771</v>
      </c>
      <c r="U2215" s="16" t="n">
        <v>0.8698448429430261</v>
      </c>
      <c r="V2215" s="16" t="n">
        <v>0.8755515243266738</v>
      </c>
      <c r="W2215" s="16" t="n">
        <v>0.6849335070515086</v>
      </c>
      <c r="X2215" s="16" t="n">
        <v>0.8917592003612709</v>
      </c>
      <c r="Y2215" s="16" t="n">
        <v>284.5461184651663</v>
      </c>
      <c r="Z2215" s="16" t="n"/>
      <c r="AA2215" s="16" t="n"/>
      <c r="AB2215" s="16" t="n">
        <v>414.4075840122202</v>
      </c>
      <c r="AC2215" s="16" t="n">
        <v>1.21894391977326</v>
      </c>
      <c r="AD2215" s="16" t="n"/>
      <c r="AE2215" s="16" t="n"/>
    </row>
    <row r="2216">
      <c r="A2216" s="16" t="inlineStr">
        <is>
          <t>KF-M05-5-0014</t>
        </is>
      </c>
      <c r="B2216" s="16" t="inlineStr">
        <is>
          <t>4.1</t>
        </is>
      </c>
      <c r="C2216" s="16" t="inlineStr">
        <is>
          <t>4.1e</t>
        </is>
      </c>
      <c r="D2216" s="16" t="inlineStr">
        <is>
          <t>conserva su fuente y su x_b</t>
        </is>
      </c>
      <c r="E2216" s="16" t="inlineStr">
        <is>
          <t>KF-M05</t>
        </is>
      </c>
      <c r="F2216" s="16" t="inlineStr">
        <is>
          <t>KF-M05-5</t>
        </is>
      </c>
      <c r="G2216" s="16" t="inlineStr">
        <is>
          <t>B09-5</t>
        </is>
      </c>
      <c r="H2216" s="16" t="inlineStr">
        <is>
          <t>lhs</t>
        </is>
      </c>
      <c r="I2216" s="16" t="inlineStr">
        <is>
          <t>CORREGIBLE</t>
        </is>
      </c>
      <c r="J2216" s="16" t="inlineStr">
        <is>
          <t>CORREGIBLE</t>
        </is>
      </c>
      <c r="K2216" s="16" t="b">
        <v>1</v>
      </c>
      <c r="L2216" s="16" t="b">
        <v>0</v>
      </c>
      <c r="M2216" s="16" t="b">
        <v>1</v>
      </c>
      <c r="N2216" s="16" t="b">
        <v>0</v>
      </c>
      <c r="O2216" s="16" t="n">
        <v>623.15</v>
      </c>
      <c r="P2216" s="16" t="n">
        <v>292.4847328811815</v>
      </c>
      <c r="Q2216" s="16" t="n">
        <v>2642.853838582022</v>
      </c>
      <c r="R2216" s="16" t="n">
        <v>331.0852826081823</v>
      </c>
      <c r="S2216" s="16" t="n">
        <v>0.5</v>
      </c>
      <c r="T2216" s="16" t="n">
        <v>0.7043031078389959</v>
      </c>
      <c r="U2216" s="16" t="n">
        <v>0.7495530285448186</v>
      </c>
      <c r="V2216" s="16" t="n">
        <v>0.7072738393339362</v>
      </c>
      <c r="W2216" s="16" t="n">
        <v>0.8080295601152049</v>
      </c>
      <c r="X2216" s="16" t="n">
        <v>0.5299119340721221</v>
      </c>
      <c r="Y2216" s="16" t="n">
        <v>292.4847328811815</v>
      </c>
      <c r="Z2216" s="16" t="n">
        <v>3.99828246476803</v>
      </c>
      <c r="AA2216" s="16" t="n">
        <v>45.37087067416468</v>
      </c>
      <c r="AB2216" s="16" t="n">
        <v>2311.76855597384</v>
      </c>
      <c r="AC2216" s="16" t="n">
        <v>7.982396009156546</v>
      </c>
      <c r="AD2216" s="16" t="inlineStr">
        <is>
          <t>O2</t>
        </is>
      </c>
      <c r="AE2216" s="16" t="n"/>
    </row>
    <row r="2217">
      <c r="A2217" s="16" t="inlineStr">
        <is>
          <t>KF-M05-5-0015</t>
        </is>
      </c>
      <c r="B2217" s="16" t="inlineStr">
        <is>
          <t>4.1</t>
        </is>
      </c>
      <c r="C2217" s="16" t="inlineStr">
        <is>
          <t>4.1e</t>
        </is>
      </c>
      <c r="D2217" s="16" t="inlineStr">
        <is>
          <t>conserva su fuente y su x_b</t>
        </is>
      </c>
      <c r="E2217" s="16" t="inlineStr">
        <is>
          <t>KF-M05</t>
        </is>
      </c>
      <c r="F2217" s="16" t="inlineStr">
        <is>
          <t>KF-M05-5</t>
        </is>
      </c>
      <c r="G2217" s="16" t="inlineStr">
        <is>
          <t>B09-5</t>
        </is>
      </c>
      <c r="H2217" s="16" t="inlineStr">
        <is>
          <t>lhs</t>
        </is>
      </c>
      <c r="I2217" s="16" t="inlineStr">
        <is>
          <t>INVIABLE</t>
        </is>
      </c>
      <c r="J2217" s="16" t="inlineStr">
        <is>
          <t>INVIABLE</t>
        </is>
      </c>
      <c r="K2217" s="16" t="b">
        <v>1</v>
      </c>
      <c r="L2217" s="16" t="b">
        <v>0</v>
      </c>
      <c r="M2217" s="16" t="b">
        <v>1</v>
      </c>
      <c r="N2217" s="16" t="b">
        <v>0</v>
      </c>
      <c r="O2217" s="16" t="n">
        <v>623.15</v>
      </c>
      <c r="P2217" s="16" t="n">
        <v>299.1130218017803</v>
      </c>
      <c r="Q2217" s="16" t="n">
        <v>3280.664679706368</v>
      </c>
      <c r="R2217" s="16" t="n">
        <v>1504.007862640998</v>
      </c>
      <c r="S2217" s="16" t="n">
        <v>0.5</v>
      </c>
      <c r="T2217" s="16" t="n">
        <v>0.8070718378874751</v>
      </c>
      <c r="U2217" s="16" t="n">
        <v>0.5082434458791854</v>
      </c>
      <c r="V2217" s="16" t="n">
        <v>0.6119318841433707</v>
      </c>
      <c r="W2217" s="16" t="n">
        <v>0.5776447873949926</v>
      </c>
      <c r="X2217" s="16" t="n">
        <v>0.4346664615251403</v>
      </c>
      <c r="Y2217" s="16" t="n">
        <v>299.1130218017803</v>
      </c>
      <c r="Z2217" s="16" t="n">
        <v>-2.31393568752788</v>
      </c>
      <c r="AA2217" s="16" t="n">
        <v>-20.30632933290784</v>
      </c>
      <c r="AB2217" s="16" t="n">
        <v>1776.65681706537</v>
      </c>
      <c r="AC2217" s="16" t="n">
        <v>2.181281601776741</v>
      </c>
      <c r="AD2217" s="16" t="inlineStr">
        <is>
          <t>O2,O3</t>
        </is>
      </c>
      <c r="AE2217" s="16" t="n"/>
    </row>
    <row r="2218">
      <c r="A2218" s="16" t="inlineStr">
        <is>
          <t>KF-M05-5-0016</t>
        </is>
      </c>
      <c r="B2218" s="16" t="inlineStr">
        <is>
          <t>4.1</t>
        </is>
      </c>
      <c r="C2218" s="16" t="inlineStr">
        <is>
          <t>4.1e</t>
        </is>
      </c>
      <c r="D2218" s="16" t="inlineStr">
        <is>
          <t>conserva su fuente y su x_b</t>
        </is>
      </c>
      <c r="E2218" s="16" t="inlineStr">
        <is>
          <t>KF-M05</t>
        </is>
      </c>
      <c r="F2218" s="16" t="inlineStr">
        <is>
          <t>KF-M05-5</t>
        </is>
      </c>
      <c r="G2218" s="16" t="inlineStr">
        <is>
          <t>B09-5</t>
        </is>
      </c>
      <c r="H2218" s="16" t="inlineStr">
        <is>
          <t>lhs</t>
        </is>
      </c>
      <c r="I2218" s="16" t="inlineStr">
        <is>
          <t>CORREGIBLE</t>
        </is>
      </c>
      <c r="J2218" s="16" t="inlineStr">
        <is>
          <t>CORREGIBLE</t>
        </is>
      </c>
      <c r="K2218" s="16" t="b">
        <v>1</v>
      </c>
      <c r="L2218" s="16" t="b">
        <v>0</v>
      </c>
      <c r="M2218" s="16" t="b">
        <v>1</v>
      </c>
      <c r="N2218" s="16" t="b">
        <v>0</v>
      </c>
      <c r="O2218" s="16" t="n">
        <v>623.15</v>
      </c>
      <c r="P2218" s="16" t="n">
        <v>280.9988915470071</v>
      </c>
      <c r="Q2218" s="16" t="n">
        <v>2982.605830223879</v>
      </c>
      <c r="R2218" s="16" t="n">
        <v>1019.504314790406</v>
      </c>
      <c r="S2218" s="16" t="n">
        <v>0.5</v>
      </c>
      <c r="T2218" s="16" t="n">
        <v>0.7518264994374739</v>
      </c>
      <c r="U2218" s="16" t="n">
        <v>0.7560595291051884</v>
      </c>
      <c r="V2218" s="16" t="n">
        <v>0.4882040800931189</v>
      </c>
      <c r="W2218" s="16" t="n">
        <v>0.4269641422716769</v>
      </c>
      <c r="X2218" s="16" t="n">
        <v>0.7459407834575279</v>
      </c>
      <c r="Y2218" s="16" t="n">
        <v>280.9988915470071</v>
      </c>
      <c r="Z2218" s="16" t="n">
        <v>6.723793001102731</v>
      </c>
      <c r="AA2218" s="16" t="n">
        <v>77.96512005440721</v>
      </c>
      <c r="AB2218" s="16" t="n">
        <v>1963.101515433473</v>
      </c>
      <c r="AC2218" s="16" t="n">
        <v>2.92554507808734</v>
      </c>
      <c r="AD2218" s="16" t="inlineStr">
        <is>
          <t>O2</t>
        </is>
      </c>
      <c r="AE2218" s="16" t="n"/>
    </row>
    <row r="2219">
      <c r="A2219" s="16" t="inlineStr">
        <is>
          <t>KF-M05-5-0017</t>
        </is>
      </c>
      <c r="B2219" s="16" t="inlineStr">
        <is>
          <t>4.1</t>
        </is>
      </c>
      <c r="C2219" s="16" t="inlineStr">
        <is>
          <t>4.1e</t>
        </is>
      </c>
      <c r="D2219" s="16" t="inlineStr">
        <is>
          <t>conserva su fuente y su x_b</t>
        </is>
      </c>
      <c r="E2219" s="16" t="inlineStr">
        <is>
          <t>KF-M05</t>
        </is>
      </c>
      <c r="F2219" s="16" t="inlineStr">
        <is>
          <t>KF-M05-5</t>
        </is>
      </c>
      <c r="G2219" s="16" t="inlineStr">
        <is>
          <t>B09-5</t>
        </is>
      </c>
      <c r="H2219" s="16" t="inlineStr">
        <is>
          <t>lhs</t>
        </is>
      </c>
      <c r="I2219" s="16" t="inlineStr">
        <is>
          <t>CORREGIBLE</t>
        </is>
      </c>
      <c r="J2219" s="16" t="inlineStr">
        <is>
          <t>CORREGIBLE</t>
        </is>
      </c>
      <c r="K2219" s="16" t="b">
        <v>1</v>
      </c>
      <c r="L2219" s="16" t="b">
        <v>0</v>
      </c>
      <c r="M2219" s="16" t="b">
        <v>1</v>
      </c>
      <c r="N2219" s="16" t="b">
        <v>0</v>
      </c>
      <c r="O2219" s="16" t="n">
        <v>623.15</v>
      </c>
      <c r="P2219" s="16" t="n">
        <v>291.6933145208963</v>
      </c>
      <c r="Q2219" s="16" t="n">
        <v>3744.982058753154</v>
      </c>
      <c r="R2219" s="16" t="n">
        <v>1439.657166970303</v>
      </c>
      <c r="S2219" s="16" t="n">
        <v>0.5</v>
      </c>
      <c r="T2219" s="16" t="n">
        <v>0.844900441884578</v>
      </c>
      <c r="U2219" s="16" t="n">
        <v>0.4034848591479167</v>
      </c>
      <c r="V2219" s="16" t="n">
        <v>0.7643781366336979</v>
      </c>
      <c r="W2219" s="16" t="n">
        <v>0.7015482565320739</v>
      </c>
      <c r="X2219" s="16" t="n">
        <v>0.8235170698532301</v>
      </c>
      <c r="Y2219" s="16" t="n">
        <v>291.6933145208963</v>
      </c>
      <c r="Z2219" s="16" t="n">
        <v>6.967798179320581</v>
      </c>
      <c r="AA2219" s="16" t="n">
        <v>125.7779733554939</v>
      </c>
      <c r="AB2219" s="16" t="n">
        <v>2305.324891782851</v>
      </c>
      <c r="AC2219" s="16" t="n">
        <v>2.601301299137981</v>
      </c>
      <c r="AD2219" s="16" t="inlineStr">
        <is>
          <t>O2</t>
        </is>
      </c>
      <c r="AE2219" s="16" t="n"/>
    </row>
    <row r="2220">
      <c r="A2220" s="16" t="inlineStr">
        <is>
          <t>KF-M05-5-0018</t>
        </is>
      </c>
      <c r="B2220" s="16" t="inlineStr">
        <is>
          <t>4.1</t>
        </is>
      </c>
      <c r="C2220" s="16" t="inlineStr">
        <is>
          <t>4.1e</t>
        </is>
      </c>
      <c r="D2220" s="16" t="inlineStr">
        <is>
          <t>conserva su fuente y su x_b</t>
        </is>
      </c>
      <c r="E2220" s="16" t="inlineStr">
        <is>
          <t>KF-M05</t>
        </is>
      </c>
      <c r="F2220" s="16" t="inlineStr">
        <is>
          <t>KF-M05-5</t>
        </is>
      </c>
      <c r="G2220" s="16" t="inlineStr">
        <is>
          <t>B09-5</t>
        </is>
      </c>
      <c r="H2220" s="16" t="inlineStr">
        <is>
          <t>lhs</t>
        </is>
      </c>
      <c r="I2220" s="16" t="inlineStr">
        <is>
          <t>INVIABLE</t>
        </is>
      </c>
      <c r="J2220" s="16" t="inlineStr">
        <is>
          <t>INVIABLE</t>
        </is>
      </c>
      <c r="K2220" s="16" t="b">
        <v>1</v>
      </c>
      <c r="L2220" s="16" t="b">
        <v>0</v>
      </c>
      <c r="M2220" s="16" t="b">
        <v>1</v>
      </c>
      <c r="N2220" s="16" t="b">
        <v>0</v>
      </c>
      <c r="O2220" s="16" t="n">
        <v>623.15</v>
      </c>
      <c r="P2220" s="16" t="n">
        <v>301.9779568290831</v>
      </c>
      <c r="Q2220" s="16" t="n">
        <v>2881.616193020881</v>
      </c>
      <c r="R2220" s="16" t="n">
        <v>1063.701320865642</v>
      </c>
      <c r="S2220" s="16" t="n">
        <v>0.5</v>
      </c>
      <c r="T2220" s="16" t="n">
        <v>0.5186821955126681</v>
      </c>
      <c r="U2220" s="16" t="n">
        <v>0.5852186110460345</v>
      </c>
      <c r="V2220" s="16" t="n">
        <v>0.421311402434515</v>
      </c>
      <c r="W2220" s="16" t="n">
        <v>0.5123404532973912</v>
      </c>
      <c r="X2220" s="16" t="n">
        <v>0.45977484014</v>
      </c>
      <c r="Y2220" s="16" t="n">
        <v>301.9779568290831</v>
      </c>
      <c r="Z2220" s="16" t="n">
        <v>-5.39614064252119</v>
      </c>
      <c r="AA2220" s="16" t="n">
        <v>-38.84709379382564</v>
      </c>
      <c r="AB2220" s="16" t="n">
        <v>1817.91487215524</v>
      </c>
      <c r="AC2220" s="16" t="n">
        <v>2.709046361506647</v>
      </c>
      <c r="AD2220" s="16" t="inlineStr">
        <is>
          <t>O2,O3</t>
        </is>
      </c>
      <c r="AE2220" s="16" t="n"/>
    </row>
    <row r="2221">
      <c r="A2221" s="16" t="inlineStr">
        <is>
          <t>KF-M05-5-0019</t>
        </is>
      </c>
      <c r="B2221" s="16" t="inlineStr">
        <is>
          <t>4.1</t>
        </is>
      </c>
      <c r="C2221" s="16" t="inlineStr">
        <is>
          <t>4.1e</t>
        </is>
      </c>
      <c r="D2221" s="16" t="inlineStr">
        <is>
          <t>conserva su fuente y su x_b</t>
        </is>
      </c>
      <c r="E2221" s="16" t="inlineStr">
        <is>
          <t>KF-M05</t>
        </is>
      </c>
      <c r="F2221" s="16" t="inlineStr">
        <is>
          <t>KF-M05-5</t>
        </is>
      </c>
      <c r="G2221" s="16" t="inlineStr">
        <is>
          <t>B09-5</t>
        </is>
      </c>
      <c r="H2221" s="16" t="inlineStr">
        <is>
          <t>lhs</t>
        </is>
      </c>
      <c r="I2221" s="16" t="inlineStr">
        <is>
          <t>CORREGIBLE</t>
        </is>
      </c>
      <c r="J2221" s="16" t="inlineStr">
        <is>
          <t>CORREGIBLE</t>
        </is>
      </c>
      <c r="K2221" s="16" t="b">
        <v>1</v>
      </c>
      <c r="L2221" s="16" t="b">
        <v>0</v>
      </c>
      <c r="M2221" s="16" t="b">
        <v>1</v>
      </c>
      <c r="N2221" s="16" t="b">
        <v>0</v>
      </c>
      <c r="O2221" s="16" t="n">
        <v>623.15</v>
      </c>
      <c r="P2221" s="16" t="n">
        <v>282.4501203048488</v>
      </c>
      <c r="Q2221" s="16" t="n">
        <v>4356.297293742958</v>
      </c>
      <c r="R2221" s="16" t="n">
        <v>1545.006974155254</v>
      </c>
      <c r="S2221" s="16" t="n">
        <v>0.5</v>
      </c>
      <c r="T2221" s="16" t="n">
        <v>0.6751304858357094</v>
      </c>
      <c r="U2221" s="16" t="n">
        <v>0.5293675592151138</v>
      </c>
      <c r="V2221" s="16" t="n">
        <v>0.5050708171632724</v>
      </c>
      <c r="W2221" s="16" t="n">
        <v>0.8610344303841374</v>
      </c>
      <c r="X2221" s="16" t="n">
        <v>0.6559358439436841</v>
      </c>
      <c r="Y2221" s="16" t="n">
        <v>282.4501203048488</v>
      </c>
      <c r="Z2221" s="16" t="n">
        <v>5.34929592584567</v>
      </c>
      <c r="AA2221" s="16" t="n">
        <v>57.44874842101301</v>
      </c>
      <c r="AB2221" s="16" t="n">
        <v>2811.290319587704</v>
      </c>
      <c r="AC2221" s="16" t="n">
        <v>2.819597171155038</v>
      </c>
      <c r="AD2221" s="16" t="inlineStr">
        <is>
          <t>O2</t>
        </is>
      </c>
      <c r="AE2221" s="16" t="n"/>
    </row>
    <row r="2222">
      <c r="A2222" s="16" t="inlineStr">
        <is>
          <t>KF-M05-5-0020</t>
        </is>
      </c>
      <c r="B2222" s="16" t="inlineStr">
        <is>
          <t>4.1</t>
        </is>
      </c>
      <c r="C2222" s="16" t="inlineStr">
        <is>
          <t>4.1e</t>
        </is>
      </c>
      <c r="D2222" s="16" t="inlineStr">
        <is>
          <t>conserva su fuente y su x_b</t>
        </is>
      </c>
      <c r="E2222" s="16" t="inlineStr">
        <is>
          <t>KF-M05</t>
        </is>
      </c>
      <c r="F2222" s="16" t="inlineStr">
        <is>
          <t>KF-M05-5</t>
        </is>
      </c>
      <c r="G2222" s="16" t="inlineStr">
        <is>
          <t>B09-5</t>
        </is>
      </c>
      <c r="H2222" s="16" t="inlineStr">
        <is>
          <t>lhs</t>
        </is>
      </c>
      <c r="I2222" s="16" t="inlineStr">
        <is>
          <t>CORREGIBLE</t>
        </is>
      </c>
      <c r="J2222" s="16" t="inlineStr">
        <is>
          <t>CORREGIBLE</t>
        </is>
      </c>
      <c r="K2222" s="16" t="b">
        <v>1</v>
      </c>
      <c r="L2222" s="16" t="b">
        <v>0</v>
      </c>
      <c r="M2222" s="16" t="b">
        <v>1</v>
      </c>
      <c r="N2222" s="16" t="b">
        <v>0</v>
      </c>
      <c r="O2222" s="16" t="n">
        <v>623.15</v>
      </c>
      <c r="P2222" s="16" t="n">
        <v>298.3026963488799</v>
      </c>
      <c r="Q2222" s="16" t="n">
        <v>2497.560737700327</v>
      </c>
      <c r="R2222" s="16" t="n">
        <v>285.3529383591147</v>
      </c>
      <c r="S2222" s="16" t="n">
        <v>0.5</v>
      </c>
      <c r="T2222" s="16" t="n">
        <v>0.8897697445157767</v>
      </c>
      <c r="U2222" s="16" t="n">
        <v>0.4620226780524413</v>
      </c>
      <c r="V2222" s="16" t="n">
        <v>0.6775568722680217</v>
      </c>
      <c r="W2222" s="16" t="n">
        <v>0.5341923871711481</v>
      </c>
      <c r="X2222" s="16" t="n">
        <v>0.7829484641785702</v>
      </c>
      <c r="Y2222" s="16" t="n">
        <v>298.3026963488799</v>
      </c>
      <c r="Z2222" s="16" t="n">
        <v>10.7898466789631</v>
      </c>
      <c r="AA2222" s="16" t="n">
        <v>158.5027802398976</v>
      </c>
      <c r="AB2222" s="16" t="n">
        <v>2212.207799341212</v>
      </c>
      <c r="AC2222" s="16" t="n">
        <v>8.75253204702299</v>
      </c>
      <c r="AD2222" s="16" t="inlineStr">
        <is>
          <t>O1,O2</t>
        </is>
      </c>
      <c r="AE2222" s="16" t="n"/>
    </row>
    <row r="2223">
      <c r="A2223" s="16" t="inlineStr">
        <is>
          <t>KF-M05-5-0021</t>
        </is>
      </c>
      <c r="B2223" s="16" t="inlineStr">
        <is>
          <t>4.1</t>
        </is>
      </c>
      <c r="C2223" s="16" t="inlineStr">
        <is>
          <t>4.1e</t>
        </is>
      </c>
      <c r="D2223" s="16" t="inlineStr">
        <is>
          <t>conserva su fuente y su x_b</t>
        </is>
      </c>
      <c r="E2223" s="16" t="inlineStr">
        <is>
          <t>KF-M05</t>
        </is>
      </c>
      <c r="F2223" s="16" t="inlineStr">
        <is>
          <t>KF-M05-5</t>
        </is>
      </c>
      <c r="G2223" s="16" t="inlineStr">
        <is>
          <t>B09-5</t>
        </is>
      </c>
      <c r="H2223" s="16" t="inlineStr">
        <is>
          <t>lhs</t>
        </is>
      </c>
      <c r="I2223" s="16" t="inlineStr">
        <is>
          <t>KALINA</t>
        </is>
      </c>
      <c r="J2223" s="16" t="inlineStr">
        <is>
          <t>KALINA</t>
        </is>
      </c>
      <c r="K2223" s="16" t="b">
        <v>1</v>
      </c>
      <c r="L2223" s="16" t="b">
        <v>0</v>
      </c>
      <c r="M2223" s="16" t="b">
        <v>1</v>
      </c>
      <c r="N2223" s="16" t="b">
        <v>0</v>
      </c>
      <c r="O2223" s="16" t="n">
        <v>623.15</v>
      </c>
      <c r="P2223" s="16" t="n">
        <v>293.4424369633516</v>
      </c>
      <c r="Q2223" s="16" t="n">
        <v>2581.218399638949</v>
      </c>
      <c r="R2223" s="16" t="n">
        <v>1452.540849569594</v>
      </c>
      <c r="S2223" s="16" t="n">
        <v>0.5</v>
      </c>
      <c r="T2223" s="16" t="n">
        <v>0.5734685136587898</v>
      </c>
      <c r="U2223" s="16" t="n">
        <v>0.9112917164702874</v>
      </c>
      <c r="V2223" s="16" t="n">
        <v>0.8077650226677853</v>
      </c>
      <c r="W2223" s="16" t="n">
        <v>0.419609244498067</v>
      </c>
      <c r="X2223" s="16" t="n">
        <v>0.92288818260965</v>
      </c>
      <c r="Y2223" s="16" t="n">
        <v>293.4424369633516</v>
      </c>
      <c r="Z2223" s="16" t="n">
        <v>2.7867717048603</v>
      </c>
      <c r="AA2223" s="16" t="n">
        <v>58.35464896854353</v>
      </c>
      <c r="AB2223" s="16" t="n">
        <v>1128.677550069355</v>
      </c>
      <c r="AC2223" s="16" t="n">
        <v>1.777036701173531</v>
      </c>
      <c r="AD2223" s="16" t="n"/>
      <c r="AE2223" s="16" t="n"/>
    </row>
    <row r="2224">
      <c r="A2224" s="16" t="inlineStr">
        <is>
          <t>KF-M05-5-0022</t>
        </is>
      </c>
      <c r="B2224" s="16" t="inlineStr">
        <is>
          <t>4.1</t>
        </is>
      </c>
      <c r="C2224" s="16" t="inlineStr">
        <is>
          <t>4.1e</t>
        </is>
      </c>
      <c r="D2224" s="16" t="inlineStr">
        <is>
          <t>conserva su fuente y su x_b</t>
        </is>
      </c>
      <c r="E2224" s="16" t="inlineStr">
        <is>
          <t>KF-M05</t>
        </is>
      </c>
      <c r="F2224" s="16" t="inlineStr">
        <is>
          <t>KF-M05-5</t>
        </is>
      </c>
      <c r="G2224" s="16" t="inlineStr">
        <is>
          <t>B09-5</t>
        </is>
      </c>
      <c r="H2224" s="16" t="inlineStr">
        <is>
          <t>lhs</t>
        </is>
      </c>
      <c r="I2224" s="16" t="inlineStr">
        <is>
          <t>CORREGIBLE</t>
        </is>
      </c>
      <c r="J2224" s="16" t="inlineStr">
        <is>
          <t>CORREGIBLE</t>
        </is>
      </c>
      <c r="K2224" s="16" t="b">
        <v>1</v>
      </c>
      <c r="L2224" s="16" t="b">
        <v>0</v>
      </c>
      <c r="M2224" s="16" t="b">
        <v>1</v>
      </c>
      <c r="N2224" s="16" t="b">
        <v>0</v>
      </c>
      <c r="O2224" s="16" t="n">
        <v>623.15</v>
      </c>
      <c r="P2224" s="16" t="n">
        <v>290.7578637775401</v>
      </c>
      <c r="Q2224" s="16" t="n">
        <v>3550.099941914199</v>
      </c>
      <c r="R2224" s="16" t="n">
        <v>1652.537268730338</v>
      </c>
      <c r="S2224" s="16" t="n">
        <v>0.5</v>
      </c>
      <c r="T2224" s="16" t="n">
        <v>0.775803879065428</v>
      </c>
      <c r="U2224" s="16" t="n">
        <v>0.7139188498031652</v>
      </c>
      <c r="V2224" s="16" t="n">
        <v>0.424503468719197</v>
      </c>
      <c r="W2224" s="16" t="n">
        <v>0.8220290523376983</v>
      </c>
      <c r="X2224" s="16" t="n">
        <v>0.5928445608293489</v>
      </c>
      <c r="Y2224" s="16" t="n">
        <v>290.7578637775401</v>
      </c>
      <c r="Z2224" s="16" t="n">
        <v>4.60113512876378</v>
      </c>
      <c r="AA2224" s="16" t="n">
        <v>40.54248769576103</v>
      </c>
      <c r="AB2224" s="16" t="n">
        <v>1897.562673183861</v>
      </c>
      <c r="AC2224" s="16" t="n">
        <v>2.148272241171165</v>
      </c>
      <c r="AD2224" s="16" t="inlineStr">
        <is>
          <t>O2</t>
        </is>
      </c>
      <c r="AE2224" s="16" t="n"/>
    </row>
    <row r="2225">
      <c r="A2225" s="16" t="inlineStr">
        <is>
          <t>KF-M05-5-0023</t>
        </is>
      </c>
      <c r="B2225" s="16" t="inlineStr">
        <is>
          <t>4.1</t>
        </is>
      </c>
      <c r="C2225" s="16" t="inlineStr">
        <is>
          <t>4.1e</t>
        </is>
      </c>
      <c r="D2225" s="16" t="inlineStr">
        <is>
          <t>conserva su fuente y su x_b</t>
        </is>
      </c>
      <c r="E2225" s="16" t="inlineStr">
        <is>
          <t>KF-M05</t>
        </is>
      </c>
      <c r="F2225" s="16" t="inlineStr">
        <is>
          <t>KF-M05-5</t>
        </is>
      </c>
      <c r="G2225" s="16" t="inlineStr">
        <is>
          <t>B09-5</t>
        </is>
      </c>
      <c r="H2225" s="16" t="inlineStr">
        <is>
          <t>lhs</t>
        </is>
      </c>
      <c r="I2225" s="16" t="inlineStr">
        <is>
          <t>NO_CONVERGIO</t>
        </is>
      </c>
      <c r="J2225" s="16" t="inlineStr">
        <is>
          <t>NO_CONVERGIO</t>
        </is>
      </c>
      <c r="K2225" s="16" t="b">
        <v>0</v>
      </c>
      <c r="L2225" s="16" t="b">
        <v>0</v>
      </c>
      <c r="M2225" s="16" t="b">
        <v>0</v>
      </c>
      <c r="N2225" s="16" t="b">
        <v>0</v>
      </c>
      <c r="O2225" s="16" t="n">
        <v>623.15</v>
      </c>
      <c r="P2225" s="16" t="n">
        <v>285.4695993360365</v>
      </c>
      <c r="Q2225" s="16" t="n">
        <v>2023.003329493351</v>
      </c>
      <c r="R2225" s="16" t="n">
        <v>398.0012403077027</v>
      </c>
      <c r="S2225" s="16" t="n">
        <v>0.5</v>
      </c>
      <c r="T2225" s="16" t="n">
        <v>0.7220646670601147</v>
      </c>
      <c r="U2225" s="16" t="n">
        <v>0.8123837721693512</v>
      </c>
      <c r="V2225" s="16" t="n">
        <v>0.7514306033100664</v>
      </c>
      <c r="W2225" s="16" t="n">
        <v>0.9427522306838936</v>
      </c>
      <c r="X2225" s="16" t="n">
        <v>0.5031617055088782</v>
      </c>
      <c r="Y2225" s="16" t="n">
        <v>285.4695993360365</v>
      </c>
      <c r="Z2225" s="16" t="n"/>
      <c r="AA2225" s="16" t="n"/>
      <c r="AB2225" s="16" t="n">
        <v>1625.002089185648</v>
      </c>
      <c r="AC2225" s="16" t="n">
        <v>5.082907098302827</v>
      </c>
      <c r="AD2225" s="16" t="n"/>
      <c r="AE2225" s="16" t="n"/>
    </row>
    <row r="2226">
      <c r="A2226" s="16" t="inlineStr">
        <is>
          <t>KF-M05-5-0024</t>
        </is>
      </c>
      <c r="B2226" s="16" t="inlineStr">
        <is>
          <t>4.1</t>
        </is>
      </c>
      <c r="C2226" s="16" t="inlineStr">
        <is>
          <t>4.1e</t>
        </is>
      </c>
      <c r="D2226" s="16" t="inlineStr">
        <is>
          <t>conserva su fuente y su x_b</t>
        </is>
      </c>
      <c r="E2226" s="16" t="inlineStr">
        <is>
          <t>KF-M05</t>
        </is>
      </c>
      <c r="F2226" s="16" t="inlineStr">
        <is>
          <t>KF-M05-5</t>
        </is>
      </c>
      <c r="G2226" s="16" t="inlineStr">
        <is>
          <t>B09-5</t>
        </is>
      </c>
      <c r="H2226" s="16" t="inlineStr">
        <is>
          <t>lhs</t>
        </is>
      </c>
      <c r="I2226" s="16" t="inlineStr">
        <is>
          <t>NO_CONVERGIO</t>
        </is>
      </c>
      <c r="J2226" s="16" t="inlineStr">
        <is>
          <t>NO_CONVERGIO</t>
        </is>
      </c>
      <c r="K2226" s="16" t="b">
        <v>0</v>
      </c>
      <c r="L2226" s="16" t="b">
        <v>0</v>
      </c>
      <c r="M2226" s="16" t="b">
        <v>0</v>
      </c>
      <c r="N2226" s="16" t="b">
        <v>0</v>
      </c>
      <c r="O2226" s="16" t="n">
        <v>623.15</v>
      </c>
      <c r="P2226" s="16" t="n">
        <v>299.0758366185503</v>
      </c>
      <c r="Q2226" s="16" t="n">
        <v>4414.941703170448</v>
      </c>
      <c r="R2226" s="16" t="n">
        <v>633.3388339605656</v>
      </c>
      <c r="S2226" s="16" t="n">
        <v>0.5</v>
      </c>
      <c r="T2226" s="16" t="n">
        <v>0.7318674696848304</v>
      </c>
      <c r="U2226" s="16" t="n">
        <v>0.8957650689484737</v>
      </c>
      <c r="V2226" s="16" t="n">
        <v>0.904996453516172</v>
      </c>
      <c r="W2226" s="16" t="n">
        <v>0.6470416100267411</v>
      </c>
      <c r="X2226" s="16" t="n">
        <v>0.4670075290017143</v>
      </c>
      <c r="Y2226" s="16" t="n">
        <v>299.0758366185503</v>
      </c>
      <c r="Z2226" s="16" t="n"/>
      <c r="AA2226" s="16" t="n"/>
      <c r="AB2226" s="16" t="n">
        <v>3781.602869209883</v>
      </c>
      <c r="AC2226" s="16" t="n">
        <v>6.970900040286084</v>
      </c>
      <c r="AD2226" s="16" t="n"/>
      <c r="AE2226" s="16" t="n"/>
    </row>
    <row r="2227">
      <c r="A2227" s="16" t="inlineStr">
        <is>
          <t>KF-M05-5-0025</t>
        </is>
      </c>
      <c r="B2227" s="16" t="inlineStr">
        <is>
          <t>4.1</t>
        </is>
      </c>
      <c r="C2227" s="16" t="inlineStr">
        <is>
          <t>4.1e</t>
        </is>
      </c>
      <c r="D2227" s="16" t="inlineStr">
        <is>
          <t>conserva su fuente y su x_b</t>
        </is>
      </c>
      <c r="E2227" s="16" t="inlineStr">
        <is>
          <t>KF-M05</t>
        </is>
      </c>
      <c r="F2227" s="16" t="inlineStr">
        <is>
          <t>KF-M05-5</t>
        </is>
      </c>
      <c r="G2227" s="16" t="inlineStr">
        <is>
          <t>B09-5</t>
        </is>
      </c>
      <c r="H2227" s="16" t="inlineStr">
        <is>
          <t>lhs</t>
        </is>
      </c>
      <c r="I2227" s="16" t="inlineStr">
        <is>
          <t>CORREGIBLE</t>
        </is>
      </c>
      <c r="J2227" s="16" t="inlineStr">
        <is>
          <t>CORREGIBLE</t>
        </is>
      </c>
      <c r="K2227" s="16" t="b">
        <v>1</v>
      </c>
      <c r="L2227" s="16" t="b">
        <v>0</v>
      </c>
      <c r="M2227" s="16" t="b">
        <v>1</v>
      </c>
      <c r="N2227" s="16" t="b">
        <v>0</v>
      </c>
      <c r="O2227" s="16" t="n">
        <v>623.15</v>
      </c>
      <c r="P2227" s="16" t="n">
        <v>282.9661089882925</v>
      </c>
      <c r="Q2227" s="16" t="n">
        <v>2448.353776692386</v>
      </c>
      <c r="R2227" s="16" t="n">
        <v>1180.898565539892</v>
      </c>
      <c r="S2227" s="16" t="n">
        <v>0.5</v>
      </c>
      <c r="T2227" s="16" t="n">
        <v>0.9110845003441688</v>
      </c>
      <c r="U2227" s="16" t="n">
        <v>0.4831633532883052</v>
      </c>
      <c r="V2227" s="16" t="n">
        <v>0.5217582867644803</v>
      </c>
      <c r="W2227" s="16" t="n">
        <v>0.7619363955437577</v>
      </c>
      <c r="X2227" s="16" t="n">
        <v>0.4793066344772811</v>
      </c>
      <c r="Y2227" s="16" t="n">
        <v>282.9661089882925</v>
      </c>
      <c r="Z2227" s="16" t="n">
        <v>0.68143894000049</v>
      </c>
      <c r="AA2227" s="16" t="n">
        <v>6.150275926147288</v>
      </c>
      <c r="AB2227" s="16" t="n">
        <v>1267.455211152494</v>
      </c>
      <c r="AC2227" s="16" t="n">
        <v>2.073297273905171</v>
      </c>
      <c r="AD2227" s="16" t="inlineStr">
        <is>
          <t>O2</t>
        </is>
      </c>
      <c r="AE2227" s="16" t="n"/>
    </row>
    <row r="2228">
      <c r="A2228" s="16" t="inlineStr">
        <is>
          <t>KF-M05-5-0026</t>
        </is>
      </c>
      <c r="B2228" s="16" t="inlineStr">
        <is>
          <t>4.1</t>
        </is>
      </c>
      <c r="C2228" s="16" t="inlineStr">
        <is>
          <t>4.1e</t>
        </is>
      </c>
      <c r="D2228" s="16" t="inlineStr">
        <is>
          <t>conserva su fuente y su x_b</t>
        </is>
      </c>
      <c r="E2228" s="16" t="inlineStr">
        <is>
          <t>KF-M05</t>
        </is>
      </c>
      <c r="F2228" s="16" t="inlineStr">
        <is>
          <t>KF-M05-5</t>
        </is>
      </c>
      <c r="G2228" s="16" t="inlineStr">
        <is>
          <t>B09-5</t>
        </is>
      </c>
      <c r="H2228" s="16" t="inlineStr">
        <is>
          <t>lhs</t>
        </is>
      </c>
      <c r="I2228" s="16" t="inlineStr">
        <is>
          <t>KALINA</t>
        </is>
      </c>
      <c r="J2228" s="16" t="inlineStr">
        <is>
          <t>KALINA</t>
        </is>
      </c>
      <c r="K2228" s="16" t="b">
        <v>1</v>
      </c>
      <c r="L2228" s="16" t="b">
        <v>0</v>
      </c>
      <c r="M2228" s="16" t="b">
        <v>1</v>
      </c>
      <c r="N2228" s="16" t="b">
        <v>0</v>
      </c>
      <c r="O2228" s="16" t="n">
        <v>623.15</v>
      </c>
      <c r="P2228" s="16" t="n">
        <v>302.58136184317</v>
      </c>
      <c r="Q2228" s="16" t="n">
        <v>4808.3419580395</v>
      </c>
      <c r="R2228" s="16" t="n">
        <v>1242.274389807265</v>
      </c>
      <c r="S2228" s="16" t="n">
        <v>0.5</v>
      </c>
      <c r="T2228" s="16" t="n">
        <v>0.9224916747106672</v>
      </c>
      <c r="U2228" s="16" t="n">
        <v>0.5760658994683791</v>
      </c>
      <c r="V2228" s="16" t="n">
        <v>0.4073021552349206</v>
      </c>
      <c r="W2228" s="16" t="n">
        <v>0.4101145100609968</v>
      </c>
      <c r="X2228" s="16" t="n">
        <v>0.8784157959492287</v>
      </c>
      <c r="Y2228" s="16" t="n">
        <v>302.58136184317</v>
      </c>
      <c r="Z2228" s="16" t="n">
        <v>8.457650032385521</v>
      </c>
      <c r="AA2228" s="16" t="n">
        <v>83.2699300980196</v>
      </c>
      <c r="AB2228" s="16" t="n">
        <v>3566.067568232236</v>
      </c>
      <c r="AC2228" s="16" t="n">
        <v>3.8705957375371</v>
      </c>
      <c r="AD2228" s="16" t="n"/>
      <c r="AE2228" s="16" t="n"/>
    </row>
    <row r="2229">
      <c r="A2229" s="16" t="inlineStr">
        <is>
          <t>KF-M05-5-0027</t>
        </is>
      </c>
      <c r="B2229" s="16" t="inlineStr">
        <is>
          <t>4.1</t>
        </is>
      </c>
      <c r="C2229" s="16" t="inlineStr">
        <is>
          <t>4.1e</t>
        </is>
      </c>
      <c r="D2229" s="16" t="inlineStr">
        <is>
          <t>conserva su fuente y su x_b</t>
        </is>
      </c>
      <c r="E2229" s="16" t="inlineStr">
        <is>
          <t>KF-M05</t>
        </is>
      </c>
      <c r="F2229" s="16" t="inlineStr">
        <is>
          <t>KF-M05-5</t>
        </is>
      </c>
      <c r="G2229" s="16" t="inlineStr">
        <is>
          <t>B09-5</t>
        </is>
      </c>
      <c r="H2229" s="16" t="inlineStr">
        <is>
          <t>lhs</t>
        </is>
      </c>
      <c r="I2229" s="16" t="inlineStr">
        <is>
          <t>CORREGIBLE</t>
        </is>
      </c>
      <c r="J2229" s="16" t="inlineStr">
        <is>
          <t>CORREGIBLE</t>
        </is>
      </c>
      <c r="K2229" s="16" t="b">
        <v>1</v>
      </c>
      <c r="L2229" s="16" t="b">
        <v>0</v>
      </c>
      <c r="M2229" s="16" t="b">
        <v>1</v>
      </c>
      <c r="N2229" s="16" t="b">
        <v>0</v>
      </c>
      <c r="O2229" s="16" t="n">
        <v>623.15</v>
      </c>
      <c r="P2229" s="16" t="n">
        <v>287.9479460832194</v>
      </c>
      <c r="Q2229" s="16" t="n">
        <v>4726.106434645086</v>
      </c>
      <c r="R2229" s="16" t="n">
        <v>308.3387227645604</v>
      </c>
      <c r="S2229" s="16" t="n">
        <v>0.5</v>
      </c>
      <c r="T2229" s="16" t="n">
        <v>0.800498273287114</v>
      </c>
      <c r="U2229" s="16" t="n">
        <v>0.9057803655751464</v>
      </c>
      <c r="V2229" s="16" t="n">
        <v>0.5395786491899937</v>
      </c>
      <c r="W2229" s="16" t="n">
        <v>0.486130820490501</v>
      </c>
      <c r="X2229" s="16" t="n">
        <v>0.9120834756427624</v>
      </c>
      <c r="Y2229" s="16" t="n">
        <v>287.9479460832194</v>
      </c>
      <c r="Z2229" s="16" t="n">
        <v>14.98162184258235</v>
      </c>
      <c r="AA2229" s="16" t="n">
        <v>201.6083581312895</v>
      </c>
      <c r="AB2229" s="16" t="n">
        <v>4417.767711880525</v>
      </c>
      <c r="AC2229" s="16" t="n">
        <v>15.3276448454832</v>
      </c>
      <c r="AD2229" s="16" t="inlineStr">
        <is>
          <t>O1,O2</t>
        </is>
      </c>
      <c r="AE2229" s="16" t="n"/>
    </row>
    <row r="2230">
      <c r="A2230" s="16" t="inlineStr">
        <is>
          <t>KF-M05-5-0028</t>
        </is>
      </c>
      <c r="B2230" s="16" t="inlineStr">
        <is>
          <t>4.1</t>
        </is>
      </c>
      <c r="C2230" s="16" t="inlineStr">
        <is>
          <t>4.1e</t>
        </is>
      </c>
      <c r="D2230" s="16" t="inlineStr">
        <is>
          <t>conserva su fuente y su x_b</t>
        </is>
      </c>
      <c r="E2230" s="16" t="inlineStr">
        <is>
          <t>KF-M05</t>
        </is>
      </c>
      <c r="F2230" s="16" t="inlineStr">
        <is>
          <t>KF-M05-5</t>
        </is>
      </c>
      <c r="G2230" s="16" t="inlineStr">
        <is>
          <t>B09-5</t>
        </is>
      </c>
      <c r="H2230" s="16" t="inlineStr">
        <is>
          <t>lhs</t>
        </is>
      </c>
      <c r="I2230" s="16" t="inlineStr">
        <is>
          <t>CORREGIBLE</t>
        </is>
      </c>
      <c r="J2230" s="16" t="inlineStr">
        <is>
          <t>CORREGIBLE</t>
        </is>
      </c>
      <c r="K2230" s="16" t="b">
        <v>1</v>
      </c>
      <c r="L2230" s="16" t="b">
        <v>0</v>
      </c>
      <c r="M2230" s="16" t="b">
        <v>1</v>
      </c>
      <c r="N2230" s="16" t="b">
        <v>0</v>
      </c>
      <c r="O2230" s="16" t="n">
        <v>623.15</v>
      </c>
      <c r="P2230" s="16" t="n">
        <v>287.2908203030757</v>
      </c>
      <c r="Q2230" s="16" t="n">
        <v>2241.170492303871</v>
      </c>
      <c r="R2230" s="16" t="n">
        <v>1936.380869402984</v>
      </c>
      <c r="S2230" s="16" t="n">
        <v>0.5</v>
      </c>
      <c r="T2230" s="16" t="n">
        <v>0.8925915570113148</v>
      </c>
      <c r="U2230" s="16" t="n">
        <v>0.801756183126513</v>
      </c>
      <c r="V2230" s="16" t="n">
        <v>0.7768775248833931</v>
      </c>
      <c r="W2230" s="16" t="n">
        <v>0.8066427815191872</v>
      </c>
      <c r="X2230" s="16" t="n">
        <v>0.8302889692881493</v>
      </c>
      <c r="Y2230" s="16" t="n">
        <v>287.2908203030757</v>
      </c>
      <c r="Z2230" s="16" t="n">
        <v>1.24030469120303</v>
      </c>
      <c r="AA2230" s="16" t="n">
        <v>23.22471425341656</v>
      </c>
      <c r="AB2230" s="16" t="n">
        <v>304.7896229008875</v>
      </c>
      <c r="AC2230" s="16" t="n">
        <v>1.157401690812438</v>
      </c>
      <c r="AD2230" s="16" t="inlineStr">
        <is>
          <t>O2</t>
        </is>
      </c>
      <c r="AE2230" s="16" t="n"/>
    </row>
    <row r="2231">
      <c r="A2231" s="16" t="inlineStr">
        <is>
          <t>KF-M05-5-0029</t>
        </is>
      </c>
      <c r="B2231" s="16" t="inlineStr">
        <is>
          <t>4.1</t>
        </is>
      </c>
      <c r="C2231" s="16" t="inlineStr">
        <is>
          <t>4.1e</t>
        </is>
      </c>
      <c r="D2231" s="16" t="inlineStr">
        <is>
          <t>conserva su fuente y su x_b</t>
        </is>
      </c>
      <c r="E2231" s="16" t="inlineStr">
        <is>
          <t>KF-M05</t>
        </is>
      </c>
      <c r="F2231" s="16" t="inlineStr">
        <is>
          <t>KF-M05-5</t>
        </is>
      </c>
      <c r="G2231" s="16" t="inlineStr">
        <is>
          <t>B09-5</t>
        </is>
      </c>
      <c r="H2231" s="16" t="inlineStr">
        <is>
          <t>lhs</t>
        </is>
      </c>
      <c r="I2231" s="16" t="inlineStr">
        <is>
          <t>NO_CONVERGIO</t>
        </is>
      </c>
      <c r="J2231" s="16" t="inlineStr">
        <is>
          <t>NO_CONVERGIO</t>
        </is>
      </c>
      <c r="K2231" s="16" t="b">
        <v>0</v>
      </c>
      <c r="L2231" s="16" t="b">
        <v>0</v>
      </c>
      <c r="M2231" s="16" t="b">
        <v>0</v>
      </c>
      <c r="N2231" s="16" t="b">
        <v>0</v>
      </c>
      <c r="O2231" s="16" t="n">
        <v>623.15</v>
      </c>
      <c r="P2231" s="16" t="n">
        <v>299.8913616016123</v>
      </c>
      <c r="Q2231" s="16" t="n">
        <v>3039.543245538026</v>
      </c>
      <c r="R2231" s="16" t="n">
        <v>1394.9557496091</v>
      </c>
      <c r="S2231" s="16" t="n">
        <v>0.5</v>
      </c>
      <c r="T2231" s="16" t="n">
        <v>0.5834364123417253</v>
      </c>
      <c r="U2231" s="16" t="n">
        <v>0.8550869621206723</v>
      </c>
      <c r="V2231" s="16" t="n">
        <v>0.8797139279465205</v>
      </c>
      <c r="W2231" s="16" t="n">
        <v>0.800117890541121</v>
      </c>
      <c r="X2231" s="16" t="n">
        <v>0.4251133485130509</v>
      </c>
      <c r="Y2231" s="16" t="n">
        <v>299.8913616016123</v>
      </c>
      <c r="Z2231" s="16" t="n"/>
      <c r="AA2231" s="16" t="n"/>
      <c r="AB2231" s="16" t="n">
        <v>1644.587495928926</v>
      </c>
      <c r="AC2231" s="16" t="n">
        <v>2.178953164922815</v>
      </c>
      <c r="AD2231" s="16" t="n"/>
      <c r="AE2231" s="16" t="n"/>
    </row>
    <row r="2232">
      <c r="A2232" s="16" t="inlineStr">
        <is>
          <t>KF-M05-5-0030</t>
        </is>
      </c>
      <c r="B2232" s="16" t="inlineStr">
        <is>
          <t>4.1</t>
        </is>
      </c>
      <c r="C2232" s="16" t="inlineStr">
        <is>
          <t>4.1e</t>
        </is>
      </c>
      <c r="D2232" s="16" t="inlineStr">
        <is>
          <t>conserva su fuente y su x_b</t>
        </is>
      </c>
      <c r="E2232" s="16" t="inlineStr">
        <is>
          <t>KF-M05</t>
        </is>
      </c>
      <c r="F2232" s="16" t="inlineStr">
        <is>
          <t>KF-M05-5</t>
        </is>
      </c>
      <c r="G2232" s="16" t="inlineStr">
        <is>
          <t>B09-5</t>
        </is>
      </c>
      <c r="H2232" s="16" t="inlineStr">
        <is>
          <t>lhs</t>
        </is>
      </c>
      <c r="I2232" s="16" t="inlineStr">
        <is>
          <t>KALINA</t>
        </is>
      </c>
      <c r="J2232" s="16" t="inlineStr">
        <is>
          <t>KALINA</t>
        </is>
      </c>
      <c r="K2232" s="16" t="b">
        <v>1</v>
      </c>
      <c r="L2232" s="16" t="b">
        <v>0</v>
      </c>
      <c r="M2232" s="16" t="b">
        <v>1</v>
      </c>
      <c r="N2232" s="16" t="b">
        <v>0</v>
      </c>
      <c r="O2232" s="16" t="n">
        <v>623.15</v>
      </c>
      <c r="P2232" s="16" t="n">
        <v>280.6127202613607</v>
      </c>
      <c r="Q2232" s="16" t="n">
        <v>4753.345145162022</v>
      </c>
      <c r="R2232" s="16" t="n">
        <v>1482.120404178754</v>
      </c>
      <c r="S2232" s="16" t="n">
        <v>0.5</v>
      </c>
      <c r="T2232" s="16" t="n">
        <v>0.8747121332331614</v>
      </c>
      <c r="U2232" s="16" t="n">
        <v>0.8903733332931976</v>
      </c>
      <c r="V2232" s="16" t="n">
        <v>0.4737936044076769</v>
      </c>
      <c r="W2232" s="16" t="n">
        <v>0.7242331377999762</v>
      </c>
      <c r="X2232" s="16" t="n">
        <v>0.899132234658375</v>
      </c>
      <c r="Y2232" s="16" t="n">
        <v>280.6127202613607</v>
      </c>
      <c r="Z2232" s="16" t="n">
        <v>7.71779422031508</v>
      </c>
      <c r="AA2232" s="16" t="n">
        <v>88.05676219827613</v>
      </c>
      <c r="AB2232" s="16" t="n">
        <v>3271.224740983268</v>
      </c>
      <c r="AC2232" s="16" t="n">
        <v>3.207124827213928</v>
      </c>
      <c r="AD2232" s="16" t="n"/>
      <c r="AE2232" s="16" t="n"/>
    </row>
    <row r="2233">
      <c r="A2233" s="16" t="inlineStr">
        <is>
          <t>KF-M05-5-0031</t>
        </is>
      </c>
      <c r="B2233" s="16" t="inlineStr">
        <is>
          <t>4.1</t>
        </is>
      </c>
      <c r="C2233" s="16" t="inlineStr">
        <is>
          <t>4.1e</t>
        </is>
      </c>
      <c r="D2233" s="16" t="inlineStr">
        <is>
          <t>conserva su fuente y su x_b</t>
        </is>
      </c>
      <c r="E2233" s="16" t="inlineStr">
        <is>
          <t>KF-M05</t>
        </is>
      </c>
      <c r="F2233" s="16" t="inlineStr">
        <is>
          <t>KF-M05-5</t>
        </is>
      </c>
      <c r="G2233" s="16" t="inlineStr">
        <is>
          <t>B09-5</t>
        </is>
      </c>
      <c r="H2233" s="16" t="inlineStr">
        <is>
          <t>lhs</t>
        </is>
      </c>
      <c r="I2233" s="16" t="inlineStr">
        <is>
          <t>NO_CONVERGIO</t>
        </is>
      </c>
      <c r="J2233" s="16" t="inlineStr">
        <is>
          <t>NO_CONVERGIO</t>
        </is>
      </c>
      <c r="K2233" s="16" t="b">
        <v>0</v>
      </c>
      <c r="L2233" s="16" t="b">
        <v>0</v>
      </c>
      <c r="M2233" s="16" t="b">
        <v>0</v>
      </c>
      <c r="N2233" s="16" t="b">
        <v>0</v>
      </c>
      <c r="O2233" s="16" t="n">
        <v>623.15</v>
      </c>
      <c r="P2233" s="16" t="n">
        <v>290.5647453374261</v>
      </c>
      <c r="Q2233" s="16" t="n">
        <v>4390.619788250367</v>
      </c>
      <c r="R2233" s="16" t="n">
        <v>1508.955169217455</v>
      </c>
      <c r="S2233" s="16" t="n">
        <v>0.5</v>
      </c>
      <c r="T2233" s="16" t="n">
        <v>0.9440885728981846</v>
      </c>
      <c r="U2233" s="16" t="n">
        <v>0.8525285707713151</v>
      </c>
      <c r="V2233" s="16" t="n">
        <v>0.6291397698760113</v>
      </c>
      <c r="W2233" s="16" t="n">
        <v>0.9023234712557164</v>
      </c>
      <c r="X2233" s="16" t="n">
        <v>0.6773595872609253</v>
      </c>
      <c r="Y2233" s="16" t="n">
        <v>290.5647453374261</v>
      </c>
      <c r="Z2233" s="16" t="n"/>
      <c r="AA2233" s="16" t="n"/>
      <c r="AB2233" s="16" t="n">
        <v>2881.664619032911</v>
      </c>
      <c r="AC2233" s="16" t="n">
        <v>2.909708570419189</v>
      </c>
      <c r="AD2233" s="16" t="n"/>
      <c r="AE2233" s="16" t="n"/>
    </row>
    <row r="2234">
      <c r="A2234" s="16" t="inlineStr">
        <is>
          <t>KF-M05-5-0032</t>
        </is>
      </c>
      <c r="B2234" s="16" t="inlineStr">
        <is>
          <t>4.1</t>
        </is>
      </c>
      <c r="C2234" s="16" t="inlineStr">
        <is>
          <t>4.1e</t>
        </is>
      </c>
      <c r="D2234" s="16" t="inlineStr">
        <is>
          <t>conserva su fuente y su x_b</t>
        </is>
      </c>
      <c r="E2234" s="16" t="inlineStr">
        <is>
          <t>KF-M05</t>
        </is>
      </c>
      <c r="F2234" s="16" t="inlineStr">
        <is>
          <t>KF-M05-5</t>
        </is>
      </c>
      <c r="G2234" s="16" t="inlineStr">
        <is>
          <t>B09-5</t>
        </is>
      </c>
      <c r="H2234" s="16" t="inlineStr">
        <is>
          <t>lhs</t>
        </is>
      </c>
      <c r="I2234" s="16" t="inlineStr">
        <is>
          <t>INVIABLE</t>
        </is>
      </c>
      <c r="J2234" s="16" t="inlineStr">
        <is>
          <t>INVIABLE</t>
        </is>
      </c>
      <c r="K2234" s="16" t="b">
        <v>1</v>
      </c>
      <c r="L2234" s="16" t="b">
        <v>0</v>
      </c>
      <c r="M2234" s="16" t="b">
        <v>1</v>
      </c>
      <c r="N2234" s="16" t="b">
        <v>0</v>
      </c>
      <c r="O2234" s="16" t="n">
        <v>623.15</v>
      </c>
      <c r="P2234" s="16" t="n">
        <v>286.0725324301919</v>
      </c>
      <c r="Q2234" s="16" t="n">
        <v>3112.088176010633</v>
      </c>
      <c r="R2234" s="16" t="n">
        <v>463.0112186721726</v>
      </c>
      <c r="S2234" s="16" t="n">
        <v>0.5</v>
      </c>
      <c r="T2234" s="16" t="n">
        <v>0.4175146120924258</v>
      </c>
      <c r="U2234" s="16" t="n">
        <v>0.8651376457783322</v>
      </c>
      <c r="V2234" s="16" t="n">
        <v>0.7043687000642778</v>
      </c>
      <c r="W2234" s="16" t="n">
        <v>0.4462210932454874</v>
      </c>
      <c r="X2234" s="16" t="n">
        <v>0.5191220141867544</v>
      </c>
      <c r="Y2234" s="16" t="n">
        <v>286.0725324301919</v>
      </c>
      <c r="Z2234" s="16" t="n">
        <v>-2.94205125328646</v>
      </c>
      <c r="AA2234" s="16" t="n">
        <v>-32.59042412919234</v>
      </c>
      <c r="AB2234" s="16" t="n">
        <v>2649.07695733846</v>
      </c>
      <c r="AC2234" s="16" t="n">
        <v>6.721409871958406</v>
      </c>
      <c r="AD2234" s="16" t="inlineStr">
        <is>
          <t>O2,O3</t>
        </is>
      </c>
      <c r="AE2234" s="16" t="n"/>
    </row>
    <row r="2235">
      <c r="A2235" s="16" t="inlineStr">
        <is>
          <t>KF-M05-5-0033</t>
        </is>
      </c>
      <c r="B2235" s="16" t="inlineStr">
        <is>
          <t>4.1</t>
        </is>
      </c>
      <c r="C2235" s="16" t="inlineStr">
        <is>
          <t>4.1e</t>
        </is>
      </c>
      <c r="D2235" s="16" t="inlineStr">
        <is>
          <t>conserva su fuente y su x_b</t>
        </is>
      </c>
      <c r="E2235" s="16" t="inlineStr">
        <is>
          <t>KF-M05</t>
        </is>
      </c>
      <c r="F2235" s="16" t="inlineStr">
        <is>
          <t>KF-M05-5</t>
        </is>
      </c>
      <c r="G2235" s="16" t="inlineStr">
        <is>
          <t>B09-5</t>
        </is>
      </c>
      <c r="H2235" s="16" t="inlineStr">
        <is>
          <t>lhs</t>
        </is>
      </c>
      <c r="I2235" s="16" t="inlineStr">
        <is>
          <t>NO_CONVERGIO</t>
        </is>
      </c>
      <c r="J2235" s="16" t="inlineStr">
        <is>
          <t>NO_CONVERGIO</t>
        </is>
      </c>
      <c r="K2235" s="16" t="b">
        <v>0</v>
      </c>
      <c r="L2235" s="16" t="b">
        <v>0</v>
      </c>
      <c r="M2235" s="16" t="b">
        <v>0</v>
      </c>
      <c r="N2235" s="16" t="b">
        <v>0</v>
      </c>
      <c r="O2235" s="16" t="n">
        <v>623.15</v>
      </c>
      <c r="P2235" s="16" t="n">
        <v>288.652859855827</v>
      </c>
      <c r="Q2235" s="16" t="n">
        <v>4277.63890933803</v>
      </c>
      <c r="R2235" s="16" t="n">
        <v>1607.875625516594</v>
      </c>
      <c r="S2235" s="16" t="n">
        <v>0.5</v>
      </c>
      <c r="T2235" s="16" t="n">
        <v>0.8290707018487652</v>
      </c>
      <c r="U2235" s="16" t="n">
        <v>0.9223209525094404</v>
      </c>
      <c r="V2235" s="16" t="n">
        <v>0.9134739062266812</v>
      </c>
      <c r="W2235" s="16" t="n">
        <v>0.6571669551601864</v>
      </c>
      <c r="X2235" s="16" t="n">
        <v>0.4690992033122526</v>
      </c>
      <c r="Y2235" s="16" t="n">
        <v>288.652859855827</v>
      </c>
      <c r="Z2235" s="16" t="n"/>
      <c r="AA2235" s="16" t="n"/>
      <c r="AB2235" s="16" t="n">
        <v>2669.763283821436</v>
      </c>
      <c r="AC2235" s="16" t="n">
        <v>2.660428979364414</v>
      </c>
      <c r="AD2235" s="16" t="n"/>
      <c r="AE2235" s="16" t="n"/>
    </row>
    <row r="2236">
      <c r="A2236" s="16" t="inlineStr">
        <is>
          <t>KF-M05-5-0034</t>
        </is>
      </c>
      <c r="B2236" s="16" t="inlineStr">
        <is>
          <t>4.1</t>
        </is>
      </c>
      <c r="C2236" s="16" t="inlineStr">
        <is>
          <t>4.1e</t>
        </is>
      </c>
      <c r="D2236" s="16" t="inlineStr">
        <is>
          <t>conserva su fuente y su x_b</t>
        </is>
      </c>
      <c r="E2236" s="16" t="inlineStr">
        <is>
          <t>KF-M05</t>
        </is>
      </c>
      <c r="F2236" s="16" t="inlineStr">
        <is>
          <t>KF-M05-5</t>
        </is>
      </c>
      <c r="G2236" s="16" t="inlineStr">
        <is>
          <t>B09-5</t>
        </is>
      </c>
      <c r="H2236" s="16" t="inlineStr">
        <is>
          <t>lhs</t>
        </is>
      </c>
      <c r="I2236" s="16" t="inlineStr">
        <is>
          <t>KALINA</t>
        </is>
      </c>
      <c r="J2236" s="16" t="inlineStr">
        <is>
          <t>KALINA</t>
        </is>
      </c>
      <c r="K2236" s="16" t="b">
        <v>1</v>
      </c>
      <c r="L2236" s="16" t="b">
        <v>0</v>
      </c>
      <c r="M2236" s="16" t="b">
        <v>1</v>
      </c>
      <c r="N2236" s="16" t="b">
        <v>0</v>
      </c>
      <c r="O2236" s="16" t="n">
        <v>623.15</v>
      </c>
      <c r="P2236" s="16" t="n">
        <v>278.7675794594728</v>
      </c>
      <c r="Q2236" s="16" t="n">
        <v>2523.41862017394</v>
      </c>
      <c r="R2236" s="16" t="n">
        <v>1318.317116914638</v>
      </c>
      <c r="S2236" s="16" t="n">
        <v>0.5</v>
      </c>
      <c r="T2236" s="16" t="n">
        <v>0.6078964004777367</v>
      </c>
      <c r="U2236" s="16" t="n">
        <v>0.7750130405266873</v>
      </c>
      <c r="V2236" s="16" t="n">
        <v>0.5560768076427551</v>
      </c>
      <c r="W2236" s="16" t="n">
        <v>0.4626857192754696</v>
      </c>
      <c r="X2236" s="16" t="n">
        <v>0.8900836898525522</v>
      </c>
      <c r="Y2236" s="16" t="n">
        <v>278.7675794594728</v>
      </c>
      <c r="Z2236" s="16" t="n">
        <v>3.11068924757264</v>
      </c>
      <c r="AA2236" s="16" t="n">
        <v>44.44173195144404</v>
      </c>
      <c r="AB2236" s="16" t="n">
        <v>1205.101503259302</v>
      </c>
      <c r="AC2236" s="16" t="n">
        <v>1.914121107734456</v>
      </c>
      <c r="AD2236" s="16" t="n"/>
      <c r="AE2236" s="16" t="n"/>
    </row>
    <row r="2237">
      <c r="A2237" s="16" t="inlineStr">
        <is>
          <t>KF-M05-5-0035</t>
        </is>
      </c>
      <c r="B2237" s="16" t="inlineStr">
        <is>
          <t>4.1</t>
        </is>
      </c>
      <c r="C2237" s="16" t="inlineStr">
        <is>
          <t>4.1e</t>
        </is>
      </c>
      <c r="D2237" s="16" t="inlineStr">
        <is>
          <t>conserva su fuente y su x_b</t>
        </is>
      </c>
      <c r="E2237" s="16" t="inlineStr">
        <is>
          <t>KF-M05</t>
        </is>
      </c>
      <c r="F2237" s="16" t="inlineStr">
        <is>
          <t>KF-M05-5</t>
        </is>
      </c>
      <c r="G2237" s="16" t="inlineStr">
        <is>
          <t>B09-5</t>
        </is>
      </c>
      <c r="H2237" s="16" t="inlineStr">
        <is>
          <t>lhs</t>
        </is>
      </c>
      <c r="I2237" s="16" t="inlineStr">
        <is>
          <t>KALINA</t>
        </is>
      </c>
      <c r="J2237" s="16" t="inlineStr">
        <is>
          <t>KALINA</t>
        </is>
      </c>
      <c r="K2237" s="16" t="b">
        <v>1</v>
      </c>
      <c r="L2237" s="16" t="b">
        <v>0</v>
      </c>
      <c r="M2237" s="16" t="b">
        <v>1</v>
      </c>
      <c r="N2237" s="16" t="b">
        <v>0</v>
      </c>
      <c r="O2237" s="16" t="n">
        <v>623.15</v>
      </c>
      <c r="P2237" s="16" t="n">
        <v>294.086709541707</v>
      </c>
      <c r="Q2237" s="16" t="n">
        <v>2932.411036467366</v>
      </c>
      <c r="R2237" s="16" t="n">
        <v>1174.954452581969</v>
      </c>
      <c r="S2237" s="16" t="n">
        <v>0.5</v>
      </c>
      <c r="T2237" s="16" t="n">
        <v>0.8438027508533359</v>
      </c>
      <c r="U2237" s="16" t="n">
        <v>0.4338275151339823</v>
      </c>
      <c r="V2237" s="16" t="n">
        <v>0.4973966800072619</v>
      </c>
      <c r="W2237" s="16" t="n">
        <v>0.4343252336413878</v>
      </c>
      <c r="X2237" s="16" t="n">
        <v>0.872161022603921</v>
      </c>
      <c r="Y2237" s="16" t="n">
        <v>294.086709541707</v>
      </c>
      <c r="Z2237" s="16" t="n">
        <v>6.01916206321789</v>
      </c>
      <c r="AA2237" s="16" t="n">
        <v>74.52127419302374</v>
      </c>
      <c r="AB2237" s="16" t="n">
        <v>1757.456583885396</v>
      </c>
      <c r="AC2237" s="16" t="n">
        <v>2.495765712469428</v>
      </c>
      <c r="AD2237" s="16" t="n"/>
      <c r="AE2237" s="16" t="n"/>
    </row>
    <row r="2238">
      <c r="A2238" s="16" t="inlineStr">
        <is>
          <t>KF-M05-5-0036</t>
        </is>
      </c>
      <c r="B2238" s="16" t="inlineStr">
        <is>
          <t>4.1</t>
        </is>
      </c>
      <c r="C2238" s="16" t="inlineStr">
        <is>
          <t>4.1e</t>
        </is>
      </c>
      <c r="D2238" s="16" t="inlineStr">
        <is>
          <t>conserva su fuente y su x_b</t>
        </is>
      </c>
      <c r="E2238" s="16" t="inlineStr">
        <is>
          <t>KF-M05</t>
        </is>
      </c>
      <c r="F2238" s="16" t="inlineStr">
        <is>
          <t>KF-M05-5</t>
        </is>
      </c>
      <c r="G2238" s="16" t="inlineStr">
        <is>
          <t>B09-5</t>
        </is>
      </c>
      <c r="H2238" s="16" t="inlineStr">
        <is>
          <t>lhs</t>
        </is>
      </c>
      <c r="I2238" s="16" t="inlineStr">
        <is>
          <t>INVIABLE</t>
        </is>
      </c>
      <c r="J2238" s="16" t="inlineStr">
        <is>
          <t>INVIABLE</t>
        </is>
      </c>
      <c r="K2238" s="16" t="b">
        <v>1</v>
      </c>
      <c r="L2238" s="16" t="b">
        <v>0</v>
      </c>
      <c r="M2238" s="16" t="b">
        <v>1</v>
      </c>
      <c r="N2238" s="16" t="b">
        <v>0</v>
      </c>
      <c r="O2238" s="16" t="n">
        <v>623.15</v>
      </c>
      <c r="P2238" s="16" t="n">
        <v>295.1065231135662</v>
      </c>
      <c r="Q2238" s="16" t="n">
        <v>3541.38959080714</v>
      </c>
      <c r="R2238" s="16" t="n">
        <v>1708.007145358487</v>
      </c>
      <c r="S2238" s="16" t="n">
        <v>0.5</v>
      </c>
      <c r="T2238" s="16" t="n">
        <v>0.8559371714710768</v>
      </c>
      <c r="U2238" s="16" t="n">
        <v>0.4462791636810688</v>
      </c>
      <c r="V2238" s="16" t="n">
        <v>0.6869762293597141</v>
      </c>
      <c r="W2238" s="16" t="n">
        <v>0.92238509643556</v>
      </c>
      <c r="X2238" s="16" t="n">
        <v>0.5089521523109599</v>
      </c>
      <c r="Y2238" s="16" t="n">
        <v>295.1065231135662</v>
      </c>
      <c r="Z2238" s="16" t="n">
        <v>-0.11675278449752</v>
      </c>
      <c r="AA2238" s="16" t="n">
        <v>-1.267873807797116</v>
      </c>
      <c r="AB2238" s="16" t="n">
        <v>1833.382445448654</v>
      </c>
      <c r="AC2238" s="16" t="n">
        <v>2.073404435356652</v>
      </c>
      <c r="AD2238" s="16" t="inlineStr">
        <is>
          <t>O2,O3</t>
        </is>
      </c>
      <c r="AE2238" s="16" t="n"/>
    </row>
    <row r="2239">
      <c r="A2239" s="16" t="inlineStr">
        <is>
          <t>KF-M05-5-0037</t>
        </is>
      </c>
      <c r="B2239" s="16" t="inlineStr">
        <is>
          <t>4.1</t>
        </is>
      </c>
      <c r="C2239" s="16" t="inlineStr">
        <is>
          <t>4.1e</t>
        </is>
      </c>
      <c r="D2239" s="16" t="inlineStr">
        <is>
          <t>conserva su fuente y su x_b</t>
        </is>
      </c>
      <c r="E2239" s="16" t="inlineStr">
        <is>
          <t>KF-M05</t>
        </is>
      </c>
      <c r="F2239" s="16" t="inlineStr">
        <is>
          <t>KF-M05-5</t>
        </is>
      </c>
      <c r="G2239" s="16" t="inlineStr">
        <is>
          <t>B09-5</t>
        </is>
      </c>
      <c r="H2239" s="16" t="inlineStr">
        <is>
          <t>lhs</t>
        </is>
      </c>
      <c r="I2239" s="16" t="inlineStr">
        <is>
          <t>INVIABLE</t>
        </is>
      </c>
      <c r="J2239" s="16" t="inlineStr">
        <is>
          <t>INVIABLE</t>
        </is>
      </c>
      <c r="K2239" s="16" t="b">
        <v>1</v>
      </c>
      <c r="L2239" s="16" t="b">
        <v>0</v>
      </c>
      <c r="M2239" s="16" t="b">
        <v>1</v>
      </c>
      <c r="N2239" s="16" t="b">
        <v>0</v>
      </c>
      <c r="O2239" s="16" t="n">
        <v>623.15</v>
      </c>
      <c r="P2239" s="16" t="n">
        <v>289.4454913558614</v>
      </c>
      <c r="Q2239" s="16" t="n">
        <v>2693.879925950606</v>
      </c>
      <c r="R2239" s="16" t="n">
        <v>1080.964267381771</v>
      </c>
      <c r="S2239" s="16" t="n">
        <v>0.5</v>
      </c>
      <c r="T2239" s="16" t="n">
        <v>0.5435589948899233</v>
      </c>
      <c r="U2239" s="16" t="n">
        <v>0.5105422772478606</v>
      </c>
      <c r="V2239" s="16" t="n">
        <v>0.6473340418084523</v>
      </c>
      <c r="W2239" s="16" t="n">
        <v>0.8718494085081223</v>
      </c>
      <c r="X2239" s="16" t="n">
        <v>0.5144319658149737</v>
      </c>
      <c r="Y2239" s="16" t="n">
        <v>289.4454913558614</v>
      </c>
      <c r="Z2239" s="16" t="n">
        <v>-3.7693685399961</v>
      </c>
      <c r="AA2239" s="16" t="n">
        <v>-39.63267434003888</v>
      </c>
      <c r="AB2239" s="16" t="n">
        <v>1612.915658568835</v>
      </c>
      <c r="AC2239" s="16" t="n">
        <v>2.492108210455019</v>
      </c>
      <c r="AD2239" s="16" t="inlineStr">
        <is>
          <t>O2,O3</t>
        </is>
      </c>
      <c r="AE2239" s="16" t="n"/>
    </row>
    <row r="2240">
      <c r="A2240" s="16" t="inlineStr">
        <is>
          <t>KF-M05-5-0038</t>
        </is>
      </c>
      <c r="B2240" s="16" t="inlineStr">
        <is>
          <t>4.1</t>
        </is>
      </c>
      <c r="C2240" s="16" t="inlineStr">
        <is>
          <t>4.1e</t>
        </is>
      </c>
      <c r="D2240" s="16" t="inlineStr">
        <is>
          <t>conserva su fuente y su x_b</t>
        </is>
      </c>
      <c r="E2240" s="16" t="inlineStr">
        <is>
          <t>KF-M05</t>
        </is>
      </c>
      <c r="F2240" s="16" t="inlineStr">
        <is>
          <t>KF-M05-5</t>
        </is>
      </c>
      <c r="G2240" s="16" t="inlineStr">
        <is>
          <t>B09-5</t>
        </is>
      </c>
      <c r="H2240" s="16" t="inlineStr">
        <is>
          <t>lhs</t>
        </is>
      </c>
      <c r="I2240" s="16" t="inlineStr">
        <is>
          <t>NO_CONVERGIO</t>
        </is>
      </c>
      <c r="J2240" s="16" t="inlineStr">
        <is>
          <t>NO_CONVERGIO</t>
        </is>
      </c>
      <c r="K2240" s="16" t="b">
        <v>0</v>
      </c>
      <c r="L2240" s="16" t="b">
        <v>0</v>
      </c>
      <c r="M2240" s="16" t="b">
        <v>0</v>
      </c>
      <c r="N2240" s="16" t="b">
        <v>0</v>
      </c>
      <c r="O2240" s="16" t="n">
        <v>623.15</v>
      </c>
      <c r="P2240" s="16" t="n">
        <v>284.3131228100066</v>
      </c>
      <c r="Q2240" s="16" t="n">
        <v>3266.690846925424</v>
      </c>
      <c r="R2240" s="16" t="n">
        <v>1873.264629785208</v>
      </c>
      <c r="S2240" s="16" t="n">
        <v>0.5</v>
      </c>
      <c r="T2240" s="16" t="n">
        <v>0.7803406592305189</v>
      </c>
      <c r="U2240" s="16" t="n">
        <v>0.7628678521190528</v>
      </c>
      <c r="V2240" s="16" t="n">
        <v>0.7275047256342363</v>
      </c>
      <c r="W2240" s="16" t="n">
        <v>0.6272376090569047</v>
      </c>
      <c r="X2240" s="16" t="n">
        <v>0.4012661929469449</v>
      </c>
      <c r="Y2240" s="16" t="n">
        <v>284.3131228100066</v>
      </c>
      <c r="Z2240" s="16" t="n"/>
      <c r="AA2240" s="16" t="n"/>
      <c r="AB2240" s="16" t="n">
        <v>1393.426217140216</v>
      </c>
      <c r="AC2240" s="16" t="n">
        <v>1.74384910438414</v>
      </c>
      <c r="AD2240" s="16" t="n"/>
      <c r="AE2240" s="16" t="n"/>
    </row>
    <row r="2241">
      <c r="A2241" s="16" t="inlineStr">
        <is>
          <t>KF-M05-5-0039</t>
        </is>
      </c>
      <c r="B2241" s="16" t="inlineStr">
        <is>
          <t>4.1</t>
        </is>
      </c>
      <c r="C2241" s="16" t="inlineStr">
        <is>
          <t>4.1e</t>
        </is>
      </c>
      <c r="D2241" s="16" t="inlineStr">
        <is>
          <t>conserva su fuente y su x_b</t>
        </is>
      </c>
      <c r="E2241" s="16" t="inlineStr">
        <is>
          <t>KF-M05</t>
        </is>
      </c>
      <c r="F2241" s="16" t="inlineStr">
        <is>
          <t>KF-M05-5</t>
        </is>
      </c>
      <c r="G2241" s="16" t="inlineStr">
        <is>
          <t>B09-5</t>
        </is>
      </c>
      <c r="H2241" s="16" t="inlineStr">
        <is>
          <t>lhs</t>
        </is>
      </c>
      <c r="I2241" s="16" t="inlineStr">
        <is>
          <t>NO_CONVERGIO</t>
        </is>
      </c>
      <c r="J2241" s="16" t="inlineStr">
        <is>
          <t>NO_CONVERGIO</t>
        </is>
      </c>
      <c r="K2241" s="16" t="b">
        <v>0</v>
      </c>
      <c r="L2241" s="16" t="b">
        <v>0</v>
      </c>
      <c r="M2241" s="16" t="b">
        <v>0</v>
      </c>
      <c r="N2241" s="16" t="b">
        <v>0</v>
      </c>
      <c r="O2241" s="16" t="n">
        <v>623.15</v>
      </c>
      <c r="P2241" s="16" t="n">
        <v>289.7982377552319</v>
      </c>
      <c r="Q2241" s="16" t="n">
        <v>4349.561378963209</v>
      </c>
      <c r="R2241" s="16" t="n">
        <v>511.9976364599426</v>
      </c>
      <c r="S2241" s="16" t="n">
        <v>0.5</v>
      </c>
      <c r="T2241" s="16" t="n">
        <v>0.4414372700523283</v>
      </c>
      <c r="U2241" s="16" t="n">
        <v>0.4058026869960179</v>
      </c>
      <c r="V2241" s="16" t="n">
        <v>0.8417416746194011</v>
      </c>
      <c r="W2241" s="16" t="n">
        <v>0.6914485090455644</v>
      </c>
      <c r="X2241" s="16" t="n">
        <v>0.5448603109209526</v>
      </c>
      <c r="Y2241" s="16" t="n">
        <v>289.7982377552319</v>
      </c>
      <c r="Z2241" s="16" t="n"/>
      <c r="AA2241" s="16" t="n"/>
      <c r="AB2241" s="16" t="n">
        <v>3837.563742503266</v>
      </c>
      <c r="AC2241" s="16" t="n">
        <v>8.495276284939468</v>
      </c>
      <c r="AD2241" s="16" t="n"/>
      <c r="AE2241" s="16" t="n"/>
    </row>
    <row r="2242">
      <c r="A2242" s="16" t="inlineStr">
        <is>
          <t>KF-M05-5-0040</t>
        </is>
      </c>
      <c r="B2242" s="16" t="inlineStr">
        <is>
          <t>4.1</t>
        </is>
      </c>
      <c r="C2242" s="16" t="inlineStr">
        <is>
          <t>4.1e</t>
        </is>
      </c>
      <c r="D2242" s="16" t="inlineStr">
        <is>
          <t>conserva su fuente y su x_b</t>
        </is>
      </c>
      <c r="E2242" s="16" t="inlineStr">
        <is>
          <t>KF-M05</t>
        </is>
      </c>
      <c r="F2242" s="16" t="inlineStr">
        <is>
          <t>KF-M05-5</t>
        </is>
      </c>
      <c r="G2242" s="16" t="inlineStr">
        <is>
          <t>B09-5</t>
        </is>
      </c>
      <c r="H2242" s="16" t="inlineStr">
        <is>
          <t>lhs</t>
        </is>
      </c>
      <c r="I2242" s="16" t="inlineStr">
        <is>
          <t>CORREGIBLE</t>
        </is>
      </c>
      <c r="J2242" s="16" t="inlineStr">
        <is>
          <t>CORREGIBLE</t>
        </is>
      </c>
      <c r="K2242" s="16" t="b">
        <v>1</v>
      </c>
      <c r="L2242" s="16" t="b">
        <v>0</v>
      </c>
      <c r="M2242" s="16" t="b">
        <v>1</v>
      </c>
      <c r="N2242" s="16" t="b">
        <v>0</v>
      </c>
      <c r="O2242" s="16" t="n">
        <v>623.15</v>
      </c>
      <c r="P2242" s="16" t="n">
        <v>285.2515048679393</v>
      </c>
      <c r="Q2242" s="16" t="n">
        <v>2956.501267095994</v>
      </c>
      <c r="R2242" s="16" t="n">
        <v>990.1207232407186</v>
      </c>
      <c r="S2242" s="16" t="n">
        <v>0.5</v>
      </c>
      <c r="T2242" s="16" t="n">
        <v>0.7971452209069008</v>
      </c>
      <c r="U2242" s="16" t="n">
        <v>0.6390970543339372</v>
      </c>
      <c r="V2242" s="16" t="n">
        <v>0.4137417658394673</v>
      </c>
      <c r="W2242" s="16" t="n">
        <v>0.8502436510085487</v>
      </c>
      <c r="X2242" s="16" t="n">
        <v>0.7604874447946488</v>
      </c>
      <c r="Y2242" s="16" t="n">
        <v>285.2515048679393</v>
      </c>
      <c r="Z2242" s="16" t="n">
        <v>7.74069206068929</v>
      </c>
      <c r="AA2242" s="16" t="n">
        <v>74.64030168580021</v>
      </c>
      <c r="AB2242" s="16" t="n">
        <v>1966.380543855275</v>
      </c>
      <c r="AC2242" s="16" t="n">
        <v>2.986000795356758</v>
      </c>
      <c r="AD2242" s="16" t="inlineStr">
        <is>
          <t>O2</t>
        </is>
      </c>
      <c r="AE2242" s="16" t="n"/>
    </row>
    <row r="2243">
      <c r="A2243" s="16" t="inlineStr">
        <is>
          <t>KF-M05-5-0041</t>
        </is>
      </c>
      <c r="B2243" s="16" t="inlineStr">
        <is>
          <t>4.1</t>
        </is>
      </c>
      <c r="C2243" s="16" t="inlineStr">
        <is>
          <t>4.1e</t>
        </is>
      </c>
      <c r="D2243" s="16" t="inlineStr">
        <is>
          <t>conserva su fuente y su x_b</t>
        </is>
      </c>
      <c r="E2243" s="16" t="inlineStr">
        <is>
          <t>KF-M05</t>
        </is>
      </c>
      <c r="F2243" s="16" t="inlineStr">
        <is>
          <t>KF-M05-5</t>
        </is>
      </c>
      <c r="G2243" s="16" t="inlineStr">
        <is>
          <t>B09-5</t>
        </is>
      </c>
      <c r="H2243" s="16" t="inlineStr">
        <is>
          <t>lhs</t>
        </is>
      </c>
      <c r="I2243" s="16" t="inlineStr">
        <is>
          <t>NO_CONVERGIO</t>
        </is>
      </c>
      <c r="J2243" s="16" t="inlineStr">
        <is>
          <t>NO_CONVERGIO</t>
        </is>
      </c>
      <c r="K2243" s="16" t="b">
        <v>0</v>
      </c>
      <c r="L2243" s="16" t="b">
        <v>0</v>
      </c>
      <c r="M2243" s="16" t="b">
        <v>0</v>
      </c>
      <c r="N2243" s="16" t="b">
        <v>0</v>
      </c>
      <c r="O2243" s="16" t="n">
        <v>623.15</v>
      </c>
      <c r="P2243" s="16" t="n">
        <v>279.8781412179223</v>
      </c>
      <c r="Q2243" s="16" t="n">
        <v>4997.473506554956</v>
      </c>
      <c r="R2243" s="16" t="n">
        <v>490.8133089762333</v>
      </c>
      <c r="S2243" s="16" t="n">
        <v>0.5</v>
      </c>
      <c r="T2243" s="16" t="n">
        <v>0.6438663309469856</v>
      </c>
      <c r="U2243" s="16" t="n">
        <v>0.8330489025294745</v>
      </c>
      <c r="V2243" s="16" t="n">
        <v>0.6809713889580715</v>
      </c>
      <c r="W2243" s="16" t="n">
        <v>0.8203612588508935</v>
      </c>
      <c r="X2243" s="16" t="n">
        <v>0.4162140930415819</v>
      </c>
      <c r="Y2243" s="16" t="n">
        <v>279.8781412179223</v>
      </c>
      <c r="Z2243" s="16" t="n"/>
      <c r="AA2243" s="16" t="n"/>
      <c r="AB2243" s="16" t="n">
        <v>4506.660197578723</v>
      </c>
      <c r="AC2243" s="16" t="n">
        <v>10.1820252531028</v>
      </c>
      <c r="AD2243" s="16" t="n"/>
      <c r="AE2243" s="16" t="n"/>
    </row>
    <row r="2244">
      <c r="A2244" s="16" t="inlineStr">
        <is>
          <t>KF-M05-5-0042</t>
        </is>
      </c>
      <c r="B2244" s="16" t="inlineStr">
        <is>
          <t>4.1</t>
        </is>
      </c>
      <c r="C2244" s="16" t="inlineStr">
        <is>
          <t>4.1e</t>
        </is>
      </c>
      <c r="D2244" s="16" t="inlineStr">
        <is>
          <t>conserva su fuente y su x_b</t>
        </is>
      </c>
      <c r="E2244" s="16" t="inlineStr">
        <is>
          <t>KF-M05</t>
        </is>
      </c>
      <c r="F2244" s="16" t="inlineStr">
        <is>
          <t>KF-M05-5</t>
        </is>
      </c>
      <c r="G2244" s="16" t="inlineStr">
        <is>
          <t>B09-5</t>
        </is>
      </c>
      <c r="H2244" s="16" t="inlineStr">
        <is>
          <t>lhs</t>
        </is>
      </c>
      <c r="I2244" s="16" t="inlineStr">
        <is>
          <t>INVIABLE</t>
        </is>
      </c>
      <c r="J2244" s="16" t="inlineStr">
        <is>
          <t>INVIABLE</t>
        </is>
      </c>
      <c r="K2244" s="16" t="b">
        <v>1</v>
      </c>
      <c r="L2244" s="16" t="b">
        <v>0</v>
      </c>
      <c r="M2244" s="16" t="b">
        <v>1</v>
      </c>
      <c r="N2244" s="16" t="b">
        <v>0</v>
      </c>
      <c r="O2244" s="16" t="n">
        <v>623.15</v>
      </c>
      <c r="P2244" s="16" t="n">
        <v>293.048285943396</v>
      </c>
      <c r="Q2244" s="16" t="n">
        <v>2402.88674772668</v>
      </c>
      <c r="R2244" s="16" t="n">
        <v>729.9780860451657</v>
      </c>
      <c r="S2244" s="16" t="n">
        <v>0.5</v>
      </c>
      <c r="T2244" s="16" t="n">
        <v>0.4584706114212786</v>
      </c>
      <c r="U2244" s="16" t="n">
        <v>0.4979251587649494</v>
      </c>
      <c r="V2244" s="16" t="n">
        <v>0.456536940573651</v>
      </c>
      <c r="W2244" s="16" t="n">
        <v>0.6707984474983413</v>
      </c>
      <c r="X2244" s="16" t="n">
        <v>0.650138071789236</v>
      </c>
      <c r="Y2244" s="16" t="n">
        <v>293.048285943396</v>
      </c>
      <c r="Z2244" s="16" t="n">
        <v>-0.29851878299881</v>
      </c>
      <c r="AA2244" s="16" t="n">
        <v>-2.894673677590525</v>
      </c>
      <c r="AB2244" s="16" t="n">
        <v>1672.908661681514</v>
      </c>
      <c r="AC2244" s="16" t="n">
        <v>3.291724496477565</v>
      </c>
      <c r="AD2244" s="16" t="inlineStr">
        <is>
          <t>O2,O3</t>
        </is>
      </c>
      <c r="AE2244" s="16" t="n"/>
    </row>
    <row r="2245">
      <c r="A2245" s="16" t="inlineStr">
        <is>
          <t>KF-M05-5-0043</t>
        </is>
      </c>
      <c r="B2245" s="16" t="inlineStr">
        <is>
          <t>4.1</t>
        </is>
      </c>
      <c r="C2245" s="16" t="inlineStr">
        <is>
          <t>4.1e</t>
        </is>
      </c>
      <c r="D2245" s="16" t="inlineStr">
        <is>
          <t>conserva su fuente y su x_b</t>
        </is>
      </c>
      <c r="E2245" s="16" t="inlineStr">
        <is>
          <t>KF-M05</t>
        </is>
      </c>
      <c r="F2245" s="16" t="inlineStr">
        <is>
          <t>KF-M05-5</t>
        </is>
      </c>
      <c r="G2245" s="16" t="inlineStr">
        <is>
          <t>B09-5</t>
        </is>
      </c>
      <c r="H2245" s="16" t="inlineStr">
        <is>
          <t>lhs</t>
        </is>
      </c>
      <c r="I2245" s="16" t="inlineStr">
        <is>
          <t>NO_CONVERGIO</t>
        </is>
      </c>
      <c r="J2245" s="16" t="inlineStr">
        <is>
          <t>NO_CONVERGIO</t>
        </is>
      </c>
      <c r="K2245" s="16" t="b">
        <v>0</v>
      </c>
      <c r="L2245" s="16" t="b">
        <v>0</v>
      </c>
      <c r="M2245" s="16" t="b">
        <v>0</v>
      </c>
      <c r="N2245" s="16" t="b">
        <v>0</v>
      </c>
      <c r="O2245" s="16" t="n">
        <v>623.15</v>
      </c>
      <c r="P2245" s="16" t="n">
        <v>293.6265130778764</v>
      </c>
      <c r="Q2245" s="16" t="n">
        <v>4048.841684997317</v>
      </c>
      <c r="R2245" s="16" t="n">
        <v>1110.417205846181</v>
      </c>
      <c r="S2245" s="16" t="n">
        <v>0.5</v>
      </c>
      <c r="T2245" s="16" t="n">
        <v>0.4247821523197056</v>
      </c>
      <c r="U2245" s="16" t="n">
        <v>0.5493972845341409</v>
      </c>
      <c r="V2245" s="16" t="n">
        <v>0.8110658630932899</v>
      </c>
      <c r="W2245" s="16" t="n">
        <v>0.5595615388292161</v>
      </c>
      <c r="X2245" s="16" t="n">
        <v>0.7170330681711736</v>
      </c>
      <c r="Y2245" s="16" t="n">
        <v>293.6265130778764</v>
      </c>
      <c r="Z2245" s="16" t="n"/>
      <c r="AA2245" s="16" t="n"/>
      <c r="AB2245" s="16" t="n">
        <v>2938.424479151136</v>
      </c>
      <c r="AC2245" s="16" t="n">
        <v>3.646234643772421</v>
      </c>
      <c r="AD2245" s="16" t="n"/>
      <c r="AE2245" s="16" t="n"/>
    </row>
    <row r="2246">
      <c r="A2246" s="16" t="inlineStr">
        <is>
          <t>KF-M05-5-0044</t>
        </is>
      </c>
      <c r="B2246" s="16" t="inlineStr">
        <is>
          <t>4.1</t>
        </is>
      </c>
      <c r="C2246" s="16" t="inlineStr">
        <is>
          <t>4.1e</t>
        </is>
      </c>
      <c r="D2246" s="16" t="inlineStr">
        <is>
          <t>conserva su fuente y su x_b</t>
        </is>
      </c>
      <c r="E2246" s="16" t="inlineStr">
        <is>
          <t>KF-M05</t>
        </is>
      </c>
      <c r="F2246" s="16" t="inlineStr">
        <is>
          <t>KF-M05-5</t>
        </is>
      </c>
      <c r="G2246" s="16" t="inlineStr">
        <is>
          <t>B09-5</t>
        </is>
      </c>
      <c r="H2246" s="16" t="inlineStr">
        <is>
          <t>lhs</t>
        </is>
      </c>
      <c r="I2246" s="16" t="inlineStr">
        <is>
          <t>CORREGIBLE</t>
        </is>
      </c>
      <c r="J2246" s="16" t="inlineStr">
        <is>
          <t>CORREGIBLE</t>
        </is>
      </c>
      <c r="K2246" s="16" t="b">
        <v>1</v>
      </c>
      <c r="L2246" s="16" t="b">
        <v>0</v>
      </c>
      <c r="M2246" s="16" t="b">
        <v>1</v>
      </c>
      <c r="N2246" s="16" t="b">
        <v>0</v>
      </c>
      <c r="O2246" s="16" t="n">
        <v>623.15</v>
      </c>
      <c r="P2246" s="16" t="n">
        <v>297.1561648797883</v>
      </c>
      <c r="Q2246" s="16" t="n">
        <v>3015.763396301076</v>
      </c>
      <c r="R2246" s="16" t="n">
        <v>268.3560550221556</v>
      </c>
      <c r="S2246" s="16" t="n">
        <v>0.5</v>
      </c>
      <c r="T2246" s="16" t="n">
        <v>0.6249376090973019</v>
      </c>
      <c r="U2246" s="16" t="n">
        <v>0.6052890348029776</v>
      </c>
      <c r="V2246" s="16" t="n">
        <v>0.4536502867603407</v>
      </c>
      <c r="W2246" s="16" t="n">
        <v>0.8902363800953579</v>
      </c>
      <c r="X2246" s="16" t="n">
        <v>0.9349653638949704</v>
      </c>
      <c r="Y2246" s="16" t="n">
        <v>297.1561648797883</v>
      </c>
      <c r="Z2246" s="16" t="n">
        <v>11.03529971513441</v>
      </c>
      <c r="AA2246" s="16" t="n">
        <v>118.5471055029785</v>
      </c>
      <c r="AB2246" s="16" t="n">
        <v>2747.407341278921</v>
      </c>
      <c r="AC2246" s="16" t="n">
        <v>11.23791820554261</v>
      </c>
      <c r="AD2246" s="16" t="inlineStr">
        <is>
          <t>O2</t>
        </is>
      </c>
      <c r="AE2246" s="16" t="n"/>
    </row>
    <row r="2247">
      <c r="A2247" s="16" t="inlineStr">
        <is>
          <t>KF-M05-5-0045</t>
        </is>
      </c>
      <c r="B2247" s="16" t="inlineStr">
        <is>
          <t>4.1</t>
        </is>
      </c>
      <c r="C2247" s="16" t="inlineStr">
        <is>
          <t>4.1e</t>
        </is>
      </c>
      <c r="D2247" s="16" t="inlineStr">
        <is>
          <t>conserva su fuente y su x_b</t>
        </is>
      </c>
      <c r="E2247" s="16" t="inlineStr">
        <is>
          <t>KF-M05</t>
        </is>
      </c>
      <c r="F2247" s="16" t="inlineStr">
        <is>
          <t>KF-M05-5</t>
        </is>
      </c>
      <c r="G2247" s="16" t="inlineStr">
        <is>
          <t>B09-5</t>
        </is>
      </c>
      <c r="H2247" s="16" t="inlineStr">
        <is>
          <t>lhs</t>
        </is>
      </c>
      <c r="I2247" s="16" t="inlineStr">
        <is>
          <t>CORREGIBLE</t>
        </is>
      </c>
      <c r="J2247" s="16" t="inlineStr">
        <is>
          <t>CORREGIBLE</t>
        </is>
      </c>
      <c r="K2247" s="16" t="b">
        <v>1</v>
      </c>
      <c r="L2247" s="16" t="b">
        <v>0</v>
      </c>
      <c r="M2247" s="16" t="b">
        <v>1</v>
      </c>
      <c r="N2247" s="16" t="b">
        <v>0</v>
      </c>
      <c r="O2247" s="16" t="n">
        <v>623.15</v>
      </c>
      <c r="P2247" s="16" t="n">
        <v>303.0084019609208</v>
      </c>
      <c r="Q2247" s="16" t="n">
        <v>4689.462116621972</v>
      </c>
      <c r="R2247" s="16" t="n">
        <v>1898.977479582325</v>
      </c>
      <c r="S2247" s="16" t="n">
        <v>0.5</v>
      </c>
      <c r="T2247" s="16" t="n">
        <v>0.6883307456934709</v>
      </c>
      <c r="U2247" s="16" t="n">
        <v>0.5246292282476724</v>
      </c>
      <c r="V2247" s="16" t="n">
        <v>0.5240318153353074</v>
      </c>
      <c r="W2247" s="16" t="n">
        <v>0.753486712546904</v>
      </c>
      <c r="X2247" s="16" t="n">
        <v>0.54153200788578</v>
      </c>
      <c r="Y2247" s="16" t="n">
        <v>303.0084019609208</v>
      </c>
      <c r="Z2247" s="16" t="n">
        <v>0.9845186451588001</v>
      </c>
      <c r="AA2247" s="16" t="n">
        <v>9.222194578600025</v>
      </c>
      <c r="AB2247" s="16" t="n">
        <v>2790.484637039647</v>
      </c>
      <c r="AC2247" s="16" t="n">
        <v>2.469466945786744</v>
      </c>
      <c r="AD2247" s="16" t="inlineStr">
        <is>
          <t>O2</t>
        </is>
      </c>
      <c r="AE2247" s="16" t="n"/>
    </row>
    <row r="2248">
      <c r="A2248" s="16" t="inlineStr">
        <is>
          <t>KF-M05-5-0046</t>
        </is>
      </c>
      <c r="B2248" s="16" t="inlineStr">
        <is>
          <t>4.1</t>
        </is>
      </c>
      <c r="C2248" s="16" t="inlineStr">
        <is>
          <t>4.1e</t>
        </is>
      </c>
      <c r="D2248" s="16" t="inlineStr">
        <is>
          <t>conserva su fuente y su x_b</t>
        </is>
      </c>
      <c r="E2248" s="16" t="inlineStr">
        <is>
          <t>KF-M05</t>
        </is>
      </c>
      <c r="F2248" s="16" t="inlineStr">
        <is>
          <t>KF-M05-5</t>
        </is>
      </c>
      <c r="G2248" s="16" t="inlineStr">
        <is>
          <t>B09-5</t>
        </is>
      </c>
      <c r="H2248" s="16" t="inlineStr">
        <is>
          <t>lhs</t>
        </is>
      </c>
      <c r="I2248" s="16" t="inlineStr">
        <is>
          <t>NO_CONVERGIO</t>
        </is>
      </c>
      <c r="J2248" s="16" t="inlineStr">
        <is>
          <t>NO_CONVERGIO</t>
        </is>
      </c>
      <c r="K2248" s="16" t="b">
        <v>0</v>
      </c>
      <c r="L2248" s="16" t="b">
        <v>0</v>
      </c>
      <c r="M2248" s="16" t="b">
        <v>0</v>
      </c>
      <c r="N2248" s="16" t="b">
        <v>0</v>
      </c>
      <c r="O2248" s="16" t="n">
        <v>623.15</v>
      </c>
      <c r="P2248" s="16" t="n">
        <v>289.6963109950477</v>
      </c>
      <c r="Q2248" s="16" t="n">
        <v>2801.462315630319</v>
      </c>
      <c r="R2248" s="16" t="n">
        <v>1137.71559452292</v>
      </c>
      <c r="S2248" s="16" t="n">
        <v>0.5</v>
      </c>
      <c r="T2248" s="16" t="n">
        <v>0.6573209375188411</v>
      </c>
      <c r="U2248" s="16" t="n">
        <v>0.6947409666403035</v>
      </c>
      <c r="V2248" s="16" t="n">
        <v>0.9312938028100484</v>
      </c>
      <c r="W2248" s="16" t="n">
        <v>0.8538481733964094</v>
      </c>
      <c r="X2248" s="16" t="n">
        <v>0.6632834446711762</v>
      </c>
      <c r="Y2248" s="16" t="n">
        <v>289.6963109950477</v>
      </c>
      <c r="Z2248" s="16" t="n"/>
      <c r="AA2248" s="16" t="n"/>
      <c r="AB2248" s="16" t="n">
        <v>1663.746721107398</v>
      </c>
      <c r="AC2248" s="16" t="n">
        <v>2.46235731418014</v>
      </c>
      <c r="AD2248" s="16" t="n"/>
      <c r="AE2248" s="16" t="n"/>
    </row>
    <row r="2249">
      <c r="A2249" s="16" t="inlineStr">
        <is>
          <t>KF-M05-5-0047</t>
        </is>
      </c>
      <c r="B2249" s="16" t="inlineStr">
        <is>
          <t>4.1</t>
        </is>
      </c>
      <c r="C2249" s="16" t="inlineStr">
        <is>
          <t>4.1e</t>
        </is>
      </c>
      <c r="D2249" s="16" t="inlineStr">
        <is>
          <t>conserva su fuente y su x_b</t>
        </is>
      </c>
      <c r="E2249" s="16" t="inlineStr">
        <is>
          <t>KF-M05</t>
        </is>
      </c>
      <c r="F2249" s="16" t="inlineStr">
        <is>
          <t>KF-M05-5</t>
        </is>
      </c>
      <c r="G2249" s="16" t="inlineStr">
        <is>
          <t>B09-5</t>
        </is>
      </c>
      <c r="H2249" s="16" t="inlineStr">
        <is>
          <t>lhs</t>
        </is>
      </c>
      <c r="I2249" s="16" t="inlineStr">
        <is>
          <t>KALINA</t>
        </is>
      </c>
      <c r="J2249" s="16" t="inlineStr">
        <is>
          <t>KALINA</t>
        </is>
      </c>
      <c r="K2249" s="16" t="b">
        <v>1</v>
      </c>
      <c r="L2249" s="16" t="b">
        <v>0</v>
      </c>
      <c r="M2249" s="16" t="b">
        <v>1</v>
      </c>
      <c r="N2249" s="16" t="b">
        <v>0</v>
      </c>
      <c r="O2249" s="16" t="n">
        <v>623.15</v>
      </c>
      <c r="P2249" s="16" t="n">
        <v>284.0673291406394</v>
      </c>
      <c r="Q2249" s="16" t="n">
        <v>4163.604261077337</v>
      </c>
      <c r="R2249" s="16" t="n">
        <v>1723.922022770217</v>
      </c>
      <c r="S2249" s="16" t="n">
        <v>0.5</v>
      </c>
      <c r="T2249" s="16" t="n">
        <v>0.895804280839949</v>
      </c>
      <c r="U2249" s="16" t="n">
        <v>0.4720208924841144</v>
      </c>
      <c r="V2249" s="16" t="n">
        <v>0.7236156253278285</v>
      </c>
      <c r="W2249" s="16" t="n">
        <v>0.6782778557752815</v>
      </c>
      <c r="X2249" s="16" t="n">
        <v>0.929425777871337</v>
      </c>
      <c r="Y2249" s="16" t="n">
        <v>284.0673291406394</v>
      </c>
      <c r="Z2249" s="16" t="n">
        <v>6.182073472884301</v>
      </c>
      <c r="AA2249" s="16" t="n">
        <v>114.6195503393071</v>
      </c>
      <c r="AB2249" s="16" t="n">
        <v>2439.682238307119</v>
      </c>
      <c r="AC2249" s="16" t="n">
        <v>2.41519291828915</v>
      </c>
      <c r="AD2249" s="16" t="n"/>
      <c r="AE2249" s="16" t="n"/>
    </row>
    <row r="2250">
      <c r="A2250" s="16" t="inlineStr">
        <is>
          <t>KF-M05-5-0048</t>
        </is>
      </c>
      <c r="B2250" s="16" t="inlineStr">
        <is>
          <t>4.1</t>
        </is>
      </c>
      <c r="C2250" s="16" t="inlineStr">
        <is>
          <t>4.1e</t>
        </is>
      </c>
      <c r="D2250" s="16" t="inlineStr">
        <is>
          <t>conserva su fuente y su x_b</t>
        </is>
      </c>
      <c r="E2250" s="16" t="inlineStr">
        <is>
          <t>KF-M05</t>
        </is>
      </c>
      <c r="F2250" s="16" t="inlineStr">
        <is>
          <t>KF-M05-5</t>
        </is>
      </c>
      <c r="G2250" s="16" t="inlineStr">
        <is>
          <t>B09-5</t>
        </is>
      </c>
      <c r="H2250" s="16" t="inlineStr">
        <is>
          <t>lhs</t>
        </is>
      </c>
      <c r="I2250" s="16" t="inlineStr">
        <is>
          <t>NO_CONVERGIO</t>
        </is>
      </c>
      <c r="J2250" s="16" t="inlineStr">
        <is>
          <t>NO_CONVERGIO</t>
        </is>
      </c>
      <c r="K2250" s="16" t="b">
        <v>0</v>
      </c>
      <c r="L2250" s="16" t="b">
        <v>0</v>
      </c>
      <c r="M2250" s="16" t="b">
        <v>0</v>
      </c>
      <c r="N2250" s="16" t="b">
        <v>0</v>
      </c>
      <c r="O2250" s="16" t="n">
        <v>623.15</v>
      </c>
      <c r="P2250" s="16" t="n">
        <v>287.7882845761089</v>
      </c>
      <c r="Q2250" s="16" t="n">
        <v>2858.055223514763</v>
      </c>
      <c r="R2250" s="16" t="n">
        <v>602.0603352086875</v>
      </c>
      <c r="S2250" s="16" t="n">
        <v>0.5</v>
      </c>
      <c r="T2250" s="16" t="n">
        <v>0.9265239010720066</v>
      </c>
      <c r="U2250" s="16" t="n">
        <v>0.8801106255721651</v>
      </c>
      <c r="V2250" s="16" t="n">
        <v>0.8845546400253118</v>
      </c>
      <c r="W2250" s="16" t="n">
        <v>0.4317371279321191</v>
      </c>
      <c r="X2250" s="16" t="n">
        <v>0.9000745275521693</v>
      </c>
      <c r="Y2250" s="16" t="n">
        <v>287.7882845761089</v>
      </c>
      <c r="Z2250" s="16" t="n"/>
      <c r="AA2250" s="16" t="n"/>
      <c r="AB2250" s="16" t="n">
        <v>2255.994888306076</v>
      </c>
      <c r="AC2250" s="16" t="n">
        <v>4.747124260434957</v>
      </c>
      <c r="AD2250" s="16" t="n"/>
      <c r="AE2250" s="16" t="n"/>
    </row>
    <row r="2251">
      <c r="A2251" s="16" t="inlineStr">
        <is>
          <t>KF-M05-5-0049</t>
        </is>
      </c>
      <c r="B2251" s="16" t="inlineStr">
        <is>
          <t>4.1</t>
        </is>
      </c>
      <c r="C2251" s="16" t="inlineStr">
        <is>
          <t>4.1e</t>
        </is>
      </c>
      <c r="D2251" s="16" t="inlineStr">
        <is>
          <t>conserva su fuente y su x_b</t>
        </is>
      </c>
      <c r="E2251" s="16" t="inlineStr">
        <is>
          <t>KF-M05</t>
        </is>
      </c>
      <c r="F2251" s="16" t="inlineStr">
        <is>
          <t>KF-M05-5</t>
        </is>
      </c>
      <c r="G2251" s="16" t="inlineStr">
        <is>
          <t>B09-5</t>
        </is>
      </c>
      <c r="H2251" s="16" t="inlineStr">
        <is>
          <t>lhs</t>
        </is>
      </c>
      <c r="I2251" s="16" t="inlineStr">
        <is>
          <t>NO_CONVERGIO</t>
        </is>
      </c>
      <c r="J2251" s="16" t="inlineStr">
        <is>
          <t>NO_CONVERGIO</t>
        </is>
      </c>
      <c r="K2251" s="16" t="b">
        <v>0</v>
      </c>
      <c r="L2251" s="16" t="b">
        <v>0</v>
      </c>
      <c r="M2251" s="16" t="b">
        <v>0</v>
      </c>
      <c r="N2251" s="16" t="b">
        <v>0</v>
      </c>
      <c r="O2251" s="16" t="n">
        <v>623.15</v>
      </c>
      <c r="P2251" s="16" t="n">
        <v>284.8861320277855</v>
      </c>
      <c r="Q2251" s="16" t="n">
        <v>3138.174180328562</v>
      </c>
      <c r="R2251" s="16" t="n">
        <v>705.595930134916</v>
      </c>
      <c r="S2251" s="16" t="n">
        <v>0.5</v>
      </c>
      <c r="T2251" s="16" t="n">
        <v>0.5326635084857522</v>
      </c>
      <c r="U2251" s="16" t="n">
        <v>0.8241309123820826</v>
      </c>
      <c r="V2251" s="16" t="n">
        <v>0.9319788840029736</v>
      </c>
      <c r="W2251" s="16" t="n">
        <v>0.4666059301430827</v>
      </c>
      <c r="X2251" s="16" t="n">
        <v>0.7898385467972748</v>
      </c>
      <c r="Y2251" s="16" t="n">
        <v>284.8861320277855</v>
      </c>
      <c r="Z2251" s="16" t="n"/>
      <c r="AA2251" s="16" t="n"/>
      <c r="AB2251" s="16" t="n">
        <v>2432.578250193646</v>
      </c>
      <c r="AC2251" s="16" t="n">
        <v>4.447551419023231</v>
      </c>
      <c r="AD2251" s="16" t="n"/>
      <c r="AE2251" s="16" t="n"/>
    </row>
    <row r="2252">
      <c r="A2252" s="16" t="inlineStr">
        <is>
          <t>KF-M05-5-0050</t>
        </is>
      </c>
      <c r="B2252" s="16" t="inlineStr">
        <is>
          <t>4.1</t>
        </is>
      </c>
      <c r="C2252" s="16" t="inlineStr">
        <is>
          <t>4.1e</t>
        </is>
      </c>
      <c r="D2252" s="16" t="inlineStr">
        <is>
          <t>conserva su fuente y su x_b</t>
        </is>
      </c>
      <c r="E2252" s="16" t="inlineStr">
        <is>
          <t>KF-M05</t>
        </is>
      </c>
      <c r="F2252" s="16" t="inlineStr">
        <is>
          <t>KF-M05-5</t>
        </is>
      </c>
      <c r="G2252" s="16" t="inlineStr">
        <is>
          <t>B09-5</t>
        </is>
      </c>
      <c r="H2252" s="16" t="inlineStr">
        <is>
          <t>lhs</t>
        </is>
      </c>
      <c r="I2252" s="16" t="inlineStr">
        <is>
          <t>CORREGIBLE</t>
        </is>
      </c>
      <c r="J2252" s="16" t="inlineStr">
        <is>
          <t>CORREGIBLE</t>
        </is>
      </c>
      <c r="K2252" s="16" t="b">
        <v>1</v>
      </c>
      <c r="L2252" s="16" t="b">
        <v>0</v>
      </c>
      <c r="M2252" s="16" t="b">
        <v>1</v>
      </c>
      <c r="N2252" s="16" t="b">
        <v>0</v>
      </c>
      <c r="O2252" s="16" t="n">
        <v>623.15</v>
      </c>
      <c r="P2252" s="16" t="n">
        <v>303.3580790917477</v>
      </c>
      <c r="Q2252" s="16" t="n">
        <v>4444.194259509013</v>
      </c>
      <c r="R2252" s="16" t="n">
        <v>929.5999537686112</v>
      </c>
      <c r="S2252" s="16" t="n">
        <v>0.5</v>
      </c>
      <c r="T2252" s="16" t="n">
        <v>0.8308463243372639</v>
      </c>
      <c r="U2252" s="16" t="n">
        <v>0.7372491615622546</v>
      </c>
      <c r="V2252" s="16" t="n">
        <v>0.599998388755437</v>
      </c>
      <c r="W2252" s="16" t="n">
        <v>0.8419914898963954</v>
      </c>
      <c r="X2252" s="16" t="n">
        <v>0.4905224774050116</v>
      </c>
      <c r="Y2252" s="16" t="n">
        <v>303.3580790917477</v>
      </c>
      <c r="Z2252" s="16" t="n">
        <v>6.27654511660406</v>
      </c>
      <c r="AA2252" s="16" t="n">
        <v>60.2656905854584</v>
      </c>
      <c r="AB2252" s="16" t="n">
        <v>3514.594305740402</v>
      </c>
      <c r="AC2252" s="16" t="n">
        <v>4.780759983358635</v>
      </c>
      <c r="AD2252" s="16" t="inlineStr">
        <is>
          <t>O2</t>
        </is>
      </c>
      <c r="AE2252" s="16" t="n"/>
    </row>
    <row r="2253">
      <c r="A2253" s="16" t="inlineStr">
        <is>
          <t>KF-M05-5-0051</t>
        </is>
      </c>
      <c r="B2253" s="16" t="inlineStr">
        <is>
          <t>4.1</t>
        </is>
      </c>
      <c r="C2253" s="16" t="inlineStr">
        <is>
          <t>4.1e</t>
        </is>
      </c>
      <c r="D2253" s="16" t="inlineStr">
        <is>
          <t>conserva su fuente y su x_b</t>
        </is>
      </c>
      <c r="E2253" s="16" t="inlineStr">
        <is>
          <t>KF-M05</t>
        </is>
      </c>
      <c r="F2253" s="16" t="inlineStr">
        <is>
          <t>KF-M05-5</t>
        </is>
      </c>
      <c r="G2253" s="16" t="inlineStr">
        <is>
          <t>B09-5</t>
        </is>
      </c>
      <c r="H2253" s="16" t="inlineStr">
        <is>
          <t>lhs</t>
        </is>
      </c>
      <c r="I2253" s="16" t="inlineStr">
        <is>
          <t>NO_CONVERGIO</t>
        </is>
      </c>
      <c r="J2253" s="16" t="inlineStr">
        <is>
          <t>NO_CONVERGIO</t>
        </is>
      </c>
      <c r="K2253" s="16" t="b">
        <v>0</v>
      </c>
      <c r="L2253" s="16" t="b">
        <v>0</v>
      </c>
      <c r="M2253" s="16" t="b">
        <v>0</v>
      </c>
      <c r="N2253" s="16" t="b">
        <v>0</v>
      </c>
      <c r="O2253" s="16" t="n">
        <v>623.15</v>
      </c>
      <c r="P2253" s="16" t="n">
        <v>279.2174817575262</v>
      </c>
      <c r="Q2253" s="16" t="n">
        <v>3592.848794240752</v>
      </c>
      <c r="R2253" s="16" t="n">
        <v>887.8096856778587</v>
      </c>
      <c r="S2253" s="16" t="n">
        <v>0.5</v>
      </c>
      <c r="T2253" s="16" t="n">
        <v>0.6735222579112203</v>
      </c>
      <c r="U2253" s="16" t="n">
        <v>0.6232145465786262</v>
      </c>
      <c r="V2253" s="16" t="n">
        <v>0.8597087728680608</v>
      </c>
      <c r="W2253" s="16" t="n">
        <v>0.9346407556146216</v>
      </c>
      <c r="X2253" s="16" t="n">
        <v>0.8388927318418533</v>
      </c>
      <c r="Y2253" s="16" t="n">
        <v>279.2174817575262</v>
      </c>
      <c r="Z2253" s="16" t="n"/>
      <c r="AA2253" s="16" t="n"/>
      <c r="AB2253" s="16" t="n">
        <v>2705.039108562893</v>
      </c>
      <c r="AC2253" s="16" t="n">
        <v>4.046868210834563</v>
      </c>
      <c r="AD2253" s="16" t="n"/>
      <c r="AE2253" s="16" t="n"/>
    </row>
    <row r="2254">
      <c r="A2254" s="16" t="inlineStr">
        <is>
          <t>KF-M05-5-0052</t>
        </is>
      </c>
      <c r="B2254" s="16" t="inlineStr">
        <is>
          <t>4.1</t>
        </is>
      </c>
      <c r="C2254" s="16" t="inlineStr">
        <is>
          <t>4.1e</t>
        </is>
      </c>
      <c r="D2254" s="16" t="inlineStr">
        <is>
          <t>conserva su fuente y su x_b</t>
        </is>
      </c>
      <c r="E2254" s="16" t="inlineStr">
        <is>
          <t>KF-M05</t>
        </is>
      </c>
      <c r="F2254" s="16" t="inlineStr">
        <is>
          <t>KF-M05-5</t>
        </is>
      </c>
      <c r="G2254" s="16" t="inlineStr">
        <is>
          <t>B09-5</t>
        </is>
      </c>
      <c r="H2254" s="16" t="inlineStr">
        <is>
          <t>lhs</t>
        </is>
      </c>
      <c r="I2254" s="16" t="inlineStr">
        <is>
          <t>CORREGIBLE</t>
        </is>
      </c>
      <c r="J2254" s="16" t="inlineStr">
        <is>
          <t>CORREGIBLE</t>
        </is>
      </c>
      <c r="K2254" s="16" t="b">
        <v>1</v>
      </c>
      <c r="L2254" s="16" t="b">
        <v>0</v>
      </c>
      <c r="M2254" s="16" t="b">
        <v>1</v>
      </c>
      <c r="N2254" s="16" t="b">
        <v>0</v>
      </c>
      <c r="O2254" s="16" t="n">
        <v>623.15</v>
      </c>
      <c r="P2254" s="16" t="n">
        <v>296.6732567406046</v>
      </c>
      <c r="Q2254" s="16" t="n">
        <v>2556.312813189159</v>
      </c>
      <c r="R2254" s="16" t="n">
        <v>573.5904750382401</v>
      </c>
      <c r="S2254" s="16" t="n">
        <v>0.5</v>
      </c>
      <c r="T2254" s="16" t="n">
        <v>0.6943157377855331</v>
      </c>
      <c r="U2254" s="16" t="n">
        <v>0.8466425256346684</v>
      </c>
      <c r="V2254" s="16" t="n">
        <v>0.8169622066480948</v>
      </c>
      <c r="W2254" s="16" t="n">
        <v>0.5723653903221173</v>
      </c>
      <c r="X2254" s="16" t="n">
        <v>0.8464557056210633</v>
      </c>
      <c r="Y2254" s="16" t="n">
        <v>296.6732567406046</v>
      </c>
      <c r="Z2254" s="16" t="n">
        <v>8.36523138326775</v>
      </c>
      <c r="AA2254" s="16" t="n">
        <v>164.6904718912091</v>
      </c>
      <c r="AB2254" s="16" t="n">
        <v>1982.722338150918</v>
      </c>
      <c r="AC2254" s="16" t="n">
        <v>4.456686302224133</v>
      </c>
      <c r="AD2254" s="16" t="inlineStr">
        <is>
          <t>O2</t>
        </is>
      </c>
      <c r="AE2254" s="16" t="n"/>
    </row>
    <row r="2255">
      <c r="A2255" s="16" t="inlineStr">
        <is>
          <t>KF-M05-5-0053</t>
        </is>
      </c>
      <c r="B2255" s="16" t="inlineStr">
        <is>
          <t>4.1</t>
        </is>
      </c>
      <c r="C2255" s="16" t="inlineStr">
        <is>
          <t>4.1e</t>
        </is>
      </c>
      <c r="D2255" s="16" t="inlineStr">
        <is>
          <t>conserva su fuente y su x_b</t>
        </is>
      </c>
      <c r="E2255" s="16" t="inlineStr">
        <is>
          <t>KF-M05</t>
        </is>
      </c>
      <c r="F2255" s="16" t="inlineStr">
        <is>
          <t>KF-M05-5</t>
        </is>
      </c>
      <c r="G2255" s="16" t="inlineStr">
        <is>
          <t>B09-5</t>
        </is>
      </c>
      <c r="H2255" s="16" t="inlineStr">
        <is>
          <t>lhs</t>
        </is>
      </c>
      <c r="I2255" s="16" t="inlineStr">
        <is>
          <t>KALINA</t>
        </is>
      </c>
      <c r="J2255" s="16" t="inlineStr">
        <is>
          <t>KALINA</t>
        </is>
      </c>
      <c r="K2255" s="16" t="b">
        <v>1</v>
      </c>
      <c r="L2255" s="16" t="b">
        <v>0</v>
      </c>
      <c r="M2255" s="16" t="b">
        <v>1</v>
      </c>
      <c r="N2255" s="16" t="b">
        <v>0</v>
      </c>
      <c r="O2255" s="16" t="n">
        <v>623.15</v>
      </c>
      <c r="P2255" s="16" t="n">
        <v>302.204421424404</v>
      </c>
      <c r="Q2255" s="16" t="n">
        <v>3976.493599186267</v>
      </c>
      <c r="R2255" s="16" t="n">
        <v>1810.585321724594</v>
      </c>
      <c r="S2255" s="16" t="n">
        <v>0.5</v>
      </c>
      <c r="T2255" s="16" t="n">
        <v>0.5962113823911759</v>
      </c>
      <c r="U2255" s="16" t="n">
        <v>0.9032400681577272</v>
      </c>
      <c r="V2255" s="16" t="n">
        <v>0.5363949776602055</v>
      </c>
      <c r="W2255" s="16" t="n">
        <v>0.6072109479619994</v>
      </c>
      <c r="X2255" s="16" t="n">
        <v>0.8128090615508282</v>
      </c>
      <c r="Y2255" s="16" t="n">
        <v>302.204421424404</v>
      </c>
      <c r="Z2255" s="16" t="n">
        <v>4.12765925209862</v>
      </c>
      <c r="AA2255" s="16" t="n">
        <v>51.36821183333726</v>
      </c>
      <c r="AB2255" s="16" t="n">
        <v>2165.908277461673</v>
      </c>
      <c r="AC2255" s="16" t="n">
        <v>2.196247562306885</v>
      </c>
      <c r="AD2255" s="16" t="n"/>
      <c r="AE2255" s="16" t="n"/>
    </row>
    <row r="2256">
      <c r="A2256" s="16" t="inlineStr">
        <is>
          <t>KF-M05-5-0054</t>
        </is>
      </c>
      <c r="B2256" s="16" t="inlineStr">
        <is>
          <t>4.1</t>
        </is>
      </c>
      <c r="C2256" s="16" t="inlineStr">
        <is>
          <t>4.1e</t>
        </is>
      </c>
      <c r="D2256" s="16" t="inlineStr">
        <is>
          <t>conserva su fuente y su x_b</t>
        </is>
      </c>
      <c r="E2256" s="16" t="inlineStr">
        <is>
          <t>KF-M05</t>
        </is>
      </c>
      <c r="F2256" s="16" t="inlineStr">
        <is>
          <t>KF-M05-5</t>
        </is>
      </c>
      <c r="G2256" s="16" t="inlineStr">
        <is>
          <t>B09-5</t>
        </is>
      </c>
      <c r="H2256" s="16" t="inlineStr">
        <is>
          <t>lhs</t>
        </is>
      </c>
      <c r="I2256" s="16" t="inlineStr">
        <is>
          <t>NO_CONVERGIO</t>
        </is>
      </c>
      <c r="J2256" s="16" t="inlineStr">
        <is>
          <t>NO_CONVERGIO</t>
        </is>
      </c>
      <c r="K2256" s="16" t="b">
        <v>0</v>
      </c>
      <c r="L2256" s="16" t="b">
        <v>0</v>
      </c>
      <c r="M2256" s="16" t="b">
        <v>0</v>
      </c>
      <c r="N2256" s="16" t="b">
        <v>0</v>
      </c>
      <c r="O2256" s="16" t="n">
        <v>623.15</v>
      </c>
      <c r="P2256" s="16" t="n">
        <v>280.2050537109457</v>
      </c>
      <c r="Q2256" s="16" t="n">
        <v>4597.210086874074</v>
      </c>
      <c r="R2256" s="16" t="n">
        <v>1965.782617444158</v>
      </c>
      <c r="S2256" s="16" t="n">
        <v>0.5</v>
      </c>
      <c r="T2256" s="16" t="n">
        <v>0.44638050980958</v>
      </c>
      <c r="U2256" s="16" t="n">
        <v>0.8766014178592545</v>
      </c>
      <c r="V2256" s="16" t="n">
        <v>0.9122298135214738</v>
      </c>
      <c r="W2256" s="16" t="n">
        <v>0.9176228542493235</v>
      </c>
      <c r="X2256" s="16" t="n">
        <v>0.6841790726845411</v>
      </c>
      <c r="Y2256" s="16" t="n">
        <v>280.2050537109457</v>
      </c>
      <c r="Z2256" s="16" t="n"/>
      <c r="AA2256" s="16" t="n"/>
      <c r="AB2256" s="16" t="n">
        <v>2631.427469429917</v>
      </c>
      <c r="AC2256" s="16" t="n">
        <v>2.338615697421929</v>
      </c>
      <c r="AD2256" s="16" t="n"/>
      <c r="AE2256" s="16" t="n"/>
    </row>
    <row r="2257">
      <c r="A2257" s="16" t="inlineStr">
        <is>
          <t>KF-M05-5-0055</t>
        </is>
      </c>
      <c r="B2257" s="16" t="inlineStr">
        <is>
          <t>4.1</t>
        </is>
      </c>
      <c r="C2257" s="16" t="inlineStr">
        <is>
          <t>4.1e</t>
        </is>
      </c>
      <c r="D2257" s="16" t="inlineStr">
        <is>
          <t>conserva su fuente y su x_b</t>
        </is>
      </c>
      <c r="E2257" s="16" t="inlineStr">
        <is>
          <t>KF-M05</t>
        </is>
      </c>
      <c r="F2257" s="16" t="inlineStr">
        <is>
          <t>KF-M05-5</t>
        </is>
      </c>
      <c r="G2257" s="16" t="inlineStr">
        <is>
          <t>B09-5</t>
        </is>
      </c>
      <c r="H2257" s="16" t="inlineStr">
        <is>
          <t>lhs</t>
        </is>
      </c>
      <c r="I2257" s="16" t="inlineStr">
        <is>
          <t>CORREGIBLE</t>
        </is>
      </c>
      <c r="J2257" s="16" t="inlineStr">
        <is>
          <t>CORREGIBLE</t>
        </is>
      </c>
      <c r="K2257" s="16" t="b">
        <v>1</v>
      </c>
      <c r="L2257" s="16" t="b">
        <v>0</v>
      </c>
      <c r="M2257" s="16" t="b">
        <v>1</v>
      </c>
      <c r="N2257" s="16" t="b">
        <v>0</v>
      </c>
      <c r="O2257" s="16" t="n">
        <v>623.15</v>
      </c>
      <c r="P2257" s="16" t="n">
        <v>295.7249569139911</v>
      </c>
      <c r="Q2257" s="16" t="n">
        <v>2533.586739828048</v>
      </c>
      <c r="R2257" s="16" t="n">
        <v>1555.389057277024</v>
      </c>
      <c r="S2257" s="16" t="n">
        <v>0.5</v>
      </c>
      <c r="T2257" s="16" t="n">
        <v>0.5340037860706393</v>
      </c>
      <c r="U2257" s="16" t="n">
        <v>0.7803598322806764</v>
      </c>
      <c r="V2257" s="16" t="n">
        <v>0.5074247743121583</v>
      </c>
      <c r="W2257" s="16" t="n">
        <v>0.6048061005436942</v>
      </c>
      <c r="X2257" s="16" t="n">
        <v>0.7382347568673848</v>
      </c>
      <c r="Y2257" s="16" t="n">
        <v>295.7249569139911</v>
      </c>
      <c r="Z2257" s="16" t="n">
        <v>2.16394469247402</v>
      </c>
      <c r="AA2257" s="16" t="n">
        <v>25.10029067527477</v>
      </c>
      <c r="AB2257" s="16" t="n">
        <v>978.1976825510242</v>
      </c>
      <c r="AC2257" s="16" t="n">
        <v>1.628908682348279</v>
      </c>
      <c r="AD2257" s="16" t="inlineStr">
        <is>
          <t>O2</t>
        </is>
      </c>
      <c r="AE2257" s="16" t="n"/>
    </row>
    <row r="2258">
      <c r="A2258" s="16" t="inlineStr">
        <is>
          <t>KF-M05-5-0056</t>
        </is>
      </c>
      <c r="B2258" s="16" t="inlineStr">
        <is>
          <t>4.1</t>
        </is>
      </c>
      <c r="C2258" s="16" t="inlineStr">
        <is>
          <t>4.1e</t>
        </is>
      </c>
      <c r="D2258" s="16" t="inlineStr">
        <is>
          <t>conserva su fuente y su x_b</t>
        </is>
      </c>
      <c r="E2258" s="16" t="inlineStr">
        <is>
          <t>KF-M05</t>
        </is>
      </c>
      <c r="F2258" s="16" t="inlineStr">
        <is>
          <t>KF-M05-5</t>
        </is>
      </c>
      <c r="G2258" s="16" t="inlineStr">
        <is>
          <t>B09-5</t>
        </is>
      </c>
      <c r="H2258" s="16" t="inlineStr">
        <is>
          <t>lhs</t>
        </is>
      </c>
      <c r="I2258" s="16" t="inlineStr">
        <is>
          <t>NO_CONVERGIO</t>
        </is>
      </c>
      <c r="J2258" s="16" t="inlineStr">
        <is>
          <t>NO_CONVERGIO</t>
        </is>
      </c>
      <c r="K2258" s="16" t="b">
        <v>0</v>
      </c>
      <c r="L2258" s="16" t="b">
        <v>0</v>
      </c>
      <c r="M2258" s="16" t="b">
        <v>0</v>
      </c>
      <c r="N2258" s="16" t="b">
        <v>0</v>
      </c>
      <c r="O2258" s="16" t="n">
        <v>623.15</v>
      </c>
      <c r="P2258" s="16" t="n">
        <v>283.1146924308542</v>
      </c>
      <c r="Q2258" s="16" t="n">
        <v>2717.240948695531</v>
      </c>
      <c r="R2258" s="16" t="n">
        <v>1629.451746926305</v>
      </c>
      <c r="S2258" s="16" t="n">
        <v>0.5</v>
      </c>
      <c r="T2258" s="16" t="n">
        <v>0.7277717549081979</v>
      </c>
      <c r="U2258" s="16" t="n">
        <v>0.4518820901253076</v>
      </c>
      <c r="V2258" s="16" t="n">
        <v>0.8543597602882871</v>
      </c>
      <c r="W2258" s="16" t="n">
        <v>0.8806003699165275</v>
      </c>
      <c r="X2258" s="16" t="n">
        <v>0.9210018685442384</v>
      </c>
      <c r="Y2258" s="16" t="n">
        <v>283.1146924308542</v>
      </c>
      <c r="Z2258" s="16" t="n"/>
      <c r="AA2258" s="16" t="n"/>
      <c r="AB2258" s="16" t="n">
        <v>1087.789201769225</v>
      </c>
      <c r="AC2258" s="16" t="n">
        <v>1.667579880055462</v>
      </c>
      <c r="AD2258" s="16" t="n"/>
      <c r="AE2258" s="16" t="n"/>
    </row>
    <row r="2259">
      <c r="A2259" s="16" t="inlineStr">
        <is>
          <t>KF-M05-5-0057</t>
        </is>
      </c>
      <c r="B2259" s="16" t="inlineStr">
        <is>
          <t>4.1</t>
        </is>
      </c>
      <c r="C2259" s="16" t="inlineStr">
        <is>
          <t>4.1e</t>
        </is>
      </c>
      <c r="D2259" s="16" t="inlineStr">
        <is>
          <t>conserva su fuente y su x_b</t>
        </is>
      </c>
      <c r="E2259" s="16" t="inlineStr">
        <is>
          <t>KF-M05</t>
        </is>
      </c>
      <c r="F2259" s="16" t="inlineStr">
        <is>
          <t>KF-M05-5</t>
        </is>
      </c>
      <c r="G2259" s="16" t="inlineStr">
        <is>
          <t>B09-5</t>
        </is>
      </c>
      <c r="H2259" s="16" t="inlineStr">
        <is>
          <t>lhs</t>
        </is>
      </c>
      <c r="I2259" s="16" t="inlineStr">
        <is>
          <t>CORREGIBLE</t>
        </is>
      </c>
      <c r="J2259" s="16" t="inlineStr">
        <is>
          <t>CORREGIBLE</t>
        </is>
      </c>
      <c r="K2259" s="16" t="b">
        <v>1</v>
      </c>
      <c r="L2259" s="16" t="b">
        <v>0</v>
      </c>
      <c r="M2259" s="16" t="b">
        <v>1</v>
      </c>
      <c r="N2259" s="16" t="b">
        <v>0</v>
      </c>
      <c r="O2259" s="16" t="n">
        <v>623.15</v>
      </c>
      <c r="P2259" s="16" t="n">
        <v>294.7606031920507</v>
      </c>
      <c r="Q2259" s="16" t="n">
        <v>2053.932495928782</v>
      </c>
      <c r="R2259" s="16" t="n">
        <v>1698.269053717214</v>
      </c>
      <c r="S2259" s="16" t="n">
        <v>0.5</v>
      </c>
      <c r="T2259" s="16" t="n">
        <v>0.7152731113984605</v>
      </c>
      <c r="U2259" s="16" t="n">
        <v>0.5193723054191712</v>
      </c>
      <c r="V2259" s="16" t="n">
        <v>0.4333760854618198</v>
      </c>
      <c r="W2259" s="16" t="n">
        <v>0.5066173810670457</v>
      </c>
      <c r="X2259" s="16" t="n">
        <v>0.6340601631920377</v>
      </c>
      <c r="Y2259" s="16" t="n">
        <v>294.7606031920507</v>
      </c>
      <c r="Z2259" s="16" t="n">
        <v>0.7320471183812201</v>
      </c>
      <c r="AA2259" s="16" t="n">
        <v>6.899598451612848</v>
      </c>
      <c r="AB2259" s="16" t="n">
        <v>355.6634422115678</v>
      </c>
      <c r="AC2259" s="16" t="n">
        <v>1.209427028911045</v>
      </c>
      <c r="AD2259" s="16" t="inlineStr">
        <is>
          <t>O2</t>
        </is>
      </c>
      <c r="AE2259" s="16" t="n"/>
    </row>
    <row r="2260">
      <c r="A2260" s="16" t="inlineStr">
        <is>
          <t>KF-M05-5-0058</t>
        </is>
      </c>
      <c r="B2260" s="16" t="inlineStr">
        <is>
          <t>4.1</t>
        </is>
      </c>
      <c r="C2260" s="16" t="inlineStr">
        <is>
          <t>4.1e</t>
        </is>
      </c>
      <c r="D2260" s="16" t="inlineStr">
        <is>
          <t>conserva su fuente y su x_b</t>
        </is>
      </c>
      <c r="E2260" s="16" t="inlineStr">
        <is>
          <t>KF-M05</t>
        </is>
      </c>
      <c r="F2260" s="16" t="inlineStr">
        <is>
          <t>KF-M05-5</t>
        </is>
      </c>
      <c r="G2260" s="16" t="inlineStr">
        <is>
          <t>B09-5</t>
        </is>
      </c>
      <c r="H2260" s="16" t="inlineStr">
        <is>
          <t>lhs</t>
        </is>
      </c>
      <c r="I2260" s="16" t="inlineStr">
        <is>
          <t>CORREGIBLE</t>
        </is>
      </c>
      <c r="J2260" s="16" t="inlineStr">
        <is>
          <t>CORREGIBLE</t>
        </is>
      </c>
      <c r="K2260" s="16" t="b">
        <v>1</v>
      </c>
      <c r="L2260" s="16" t="b">
        <v>0</v>
      </c>
      <c r="M2260" s="16" t="b">
        <v>1</v>
      </c>
      <c r="N2260" s="16" t="b">
        <v>0</v>
      </c>
      <c r="O2260" s="16" t="n">
        <v>623.15</v>
      </c>
      <c r="P2260" s="16" t="n">
        <v>296.3135626024662</v>
      </c>
      <c r="Q2260" s="16" t="n">
        <v>2221.580847465176</v>
      </c>
      <c r="R2260" s="16" t="n">
        <v>1007.013731465906</v>
      </c>
      <c r="S2260" s="16" t="n">
        <v>0.5</v>
      </c>
      <c r="T2260" s="16" t="n">
        <v>0.5023535091538297</v>
      </c>
      <c r="U2260" s="16" t="n">
        <v>0.8212608856796981</v>
      </c>
      <c r="V2260" s="16" t="n">
        <v>0.7200392253562287</v>
      </c>
      <c r="W2260" s="16" t="n">
        <v>0.8131631400702164</v>
      </c>
      <c r="X2260" s="16" t="n">
        <v>0.6228391552764485</v>
      </c>
      <c r="Y2260" s="16" t="n">
        <v>296.3135626024662</v>
      </c>
      <c r="Z2260" s="16" t="n">
        <v>1.391798913384</v>
      </c>
      <c r="AA2260" s="16" t="n">
        <v>18.95878598127464</v>
      </c>
      <c r="AB2260" s="16" t="n">
        <v>1214.56711599927</v>
      </c>
      <c r="AC2260" s="16" t="n">
        <v>2.20610779977273</v>
      </c>
      <c r="AD2260" s="16" t="inlineStr">
        <is>
          <t>O2</t>
        </is>
      </c>
      <c r="AE2260" s="16" t="n"/>
    </row>
    <row r="2261">
      <c r="A2261" s="16" t="inlineStr">
        <is>
          <t>KF-M05-5-0059</t>
        </is>
      </c>
      <c r="B2261" s="16" t="inlineStr">
        <is>
          <t>4.1</t>
        </is>
      </c>
      <c r="C2261" s="16" t="inlineStr">
        <is>
          <t>4.1e</t>
        </is>
      </c>
      <c r="D2261" s="16" t="inlineStr">
        <is>
          <t>conserva su fuente y su x_b</t>
        </is>
      </c>
      <c r="E2261" s="16" t="inlineStr">
        <is>
          <t>KF-M05</t>
        </is>
      </c>
      <c r="F2261" s="16" t="inlineStr">
        <is>
          <t>KF-M05-5</t>
        </is>
      </c>
      <c r="G2261" s="16" t="inlineStr">
        <is>
          <t>B09-5</t>
        </is>
      </c>
      <c r="H2261" s="16" t="inlineStr">
        <is>
          <t>lhs</t>
        </is>
      </c>
      <c r="I2261" s="16" t="inlineStr">
        <is>
          <t>NO_CONVERGIO</t>
        </is>
      </c>
      <c r="J2261" s="16" t="inlineStr">
        <is>
          <t>NO_CONVERGIO</t>
        </is>
      </c>
      <c r="K2261" s="16" t="b">
        <v>0</v>
      </c>
      <c r="L2261" s="16" t="b">
        <v>0</v>
      </c>
      <c r="M2261" s="16" t="b">
        <v>0</v>
      </c>
      <c r="N2261" s="16" t="b">
        <v>0</v>
      </c>
      <c r="O2261" s="16" t="n">
        <v>623.15</v>
      </c>
      <c r="P2261" s="16" t="n">
        <v>290.0258448347344</v>
      </c>
      <c r="Q2261" s="16" t="n">
        <v>3914.4647998364</v>
      </c>
      <c r="R2261" s="16" t="n">
        <v>583.3889723668001</v>
      </c>
      <c r="S2261" s="16" t="n">
        <v>0.5</v>
      </c>
      <c r="T2261" s="16" t="n">
        <v>0.915659532869728</v>
      </c>
      <c r="U2261" s="16" t="n">
        <v>0.6182237718104395</v>
      </c>
      <c r="V2261" s="16" t="n">
        <v>0.8867938612742033</v>
      </c>
      <c r="W2261" s="16" t="n">
        <v>0.4975847980875102</v>
      </c>
      <c r="X2261" s="16" t="n">
        <v>0.6802131916668005</v>
      </c>
      <c r="Y2261" s="16" t="n">
        <v>290.0258448347344</v>
      </c>
      <c r="Z2261" s="16" t="n"/>
      <c r="AA2261" s="16" t="n"/>
      <c r="AB2261" s="16" t="n">
        <v>3331.0758274696</v>
      </c>
      <c r="AC2261" s="16" t="n">
        <v>6.709871089875896</v>
      </c>
      <c r="AD2261" s="16" t="n"/>
      <c r="AE2261" s="16" t="n"/>
    </row>
    <row r="2262">
      <c r="A2262" s="16" t="inlineStr">
        <is>
          <t>KF-M05-5-0060</t>
        </is>
      </c>
      <c r="B2262" s="16" t="inlineStr">
        <is>
          <t>4.1</t>
        </is>
      </c>
      <c r="C2262" s="16" t="inlineStr">
        <is>
          <t>4.1e</t>
        </is>
      </c>
      <c r="D2262" s="16" t="inlineStr">
        <is>
          <t>conserva su fuente y su x_b</t>
        </is>
      </c>
      <c r="E2262" s="16" t="inlineStr">
        <is>
          <t>KF-M05</t>
        </is>
      </c>
      <c r="F2262" s="16" t="inlineStr">
        <is>
          <t>KF-M05-5</t>
        </is>
      </c>
      <c r="G2262" s="16" t="inlineStr">
        <is>
          <t>B09-5</t>
        </is>
      </c>
      <c r="H2262" s="16" t="inlineStr">
        <is>
          <t>lhs</t>
        </is>
      </c>
      <c r="I2262" s="16" t="inlineStr">
        <is>
          <t>CORREGIBLE</t>
        </is>
      </c>
      <c r="J2262" s="16" t="inlineStr">
        <is>
          <t>CORREGIBLE</t>
        </is>
      </c>
      <c r="K2262" s="16" t="b">
        <v>1</v>
      </c>
      <c r="L2262" s="16" t="b">
        <v>0</v>
      </c>
      <c r="M2262" s="16" t="b">
        <v>1</v>
      </c>
      <c r="N2262" s="16" t="b">
        <v>0</v>
      </c>
      <c r="O2262" s="16" t="n">
        <v>623.15</v>
      </c>
      <c r="P2262" s="16" t="n">
        <v>299.5966719754293</v>
      </c>
      <c r="Q2262" s="16" t="n">
        <v>4229.702644350538</v>
      </c>
      <c r="R2262" s="16" t="n">
        <v>788.2892307169246</v>
      </c>
      <c r="S2262" s="16" t="n">
        <v>0.5</v>
      </c>
      <c r="T2262" s="16" t="n">
        <v>0.6837405785918482</v>
      </c>
      <c r="U2262" s="16" t="n">
        <v>0.6121256448735308</v>
      </c>
      <c r="V2262" s="16" t="n">
        <v>0.6044102764453938</v>
      </c>
      <c r="W2262" s="16" t="n">
        <v>0.834485160060516</v>
      </c>
      <c r="X2262" s="16" t="n">
        <v>0.9084555460761156</v>
      </c>
      <c r="Y2262" s="16" t="n">
        <v>299.5966719754293</v>
      </c>
      <c r="Z2262" s="16" t="n">
        <v>9.20203798117711</v>
      </c>
      <c r="AA2262" s="16" t="n">
        <v>133.7975881386227</v>
      </c>
      <c r="AB2262" s="16" t="n">
        <v>3441.413413633614</v>
      </c>
      <c r="AC2262" s="16" t="n">
        <v>5.365673511109311</v>
      </c>
      <c r="AD2262" s="16" t="inlineStr">
        <is>
          <t>O2</t>
        </is>
      </c>
      <c r="AE2262" s="16" t="n"/>
    </row>
    <row r="2263">
      <c r="A2263" s="16" t="inlineStr">
        <is>
          <t>KF-M05-5-0061</t>
        </is>
      </c>
      <c r="B2263" s="16" t="inlineStr">
        <is>
          <t>4.1</t>
        </is>
      </c>
      <c r="C2263" s="16" t="inlineStr">
        <is>
          <t>4.1e</t>
        </is>
      </c>
      <c r="D2263" s="16" t="inlineStr">
        <is>
          <t>conserva su fuente y su x_b</t>
        </is>
      </c>
      <c r="E2263" s="16" t="inlineStr">
        <is>
          <t>KF-M05</t>
        </is>
      </c>
      <c r="F2263" s="16" t="inlineStr">
        <is>
          <t>KF-M05-5</t>
        </is>
      </c>
      <c r="G2263" s="16" t="inlineStr">
        <is>
          <t>B09-5</t>
        </is>
      </c>
      <c r="H2263" s="16" t="inlineStr">
        <is>
          <t>lhs</t>
        </is>
      </c>
      <c r="I2263" s="16" t="inlineStr">
        <is>
          <t>CORREGIBLE</t>
        </is>
      </c>
      <c r="J2263" s="16" t="inlineStr">
        <is>
          <t>CORREGIBLE</t>
        </is>
      </c>
      <c r="K2263" s="16" t="b">
        <v>1</v>
      </c>
      <c r="L2263" s="16" t="b">
        <v>0</v>
      </c>
      <c r="M2263" s="16" t="b">
        <v>1</v>
      </c>
      <c r="N2263" s="16" t="b">
        <v>0</v>
      </c>
      <c r="O2263" s="16" t="n">
        <v>623.15</v>
      </c>
      <c r="P2263" s="16" t="n">
        <v>282.2279959089475</v>
      </c>
      <c r="Q2263" s="16" t="n">
        <v>4654.55954516022</v>
      </c>
      <c r="R2263" s="16" t="n">
        <v>1363.193773342409</v>
      </c>
      <c r="S2263" s="16" t="n">
        <v>0.5</v>
      </c>
      <c r="T2263" s="16" t="n">
        <v>0.9067142988223024</v>
      </c>
      <c r="U2263" s="16" t="n">
        <v>0.5830451942664714</v>
      </c>
      <c r="V2263" s="16" t="n">
        <v>0.6217751366776599</v>
      </c>
      <c r="W2263" s="16" t="n">
        <v>0.7818635388016477</v>
      </c>
      <c r="X2263" s="16" t="n">
        <v>0.7627513118513001</v>
      </c>
      <c r="Y2263" s="16" t="n">
        <v>282.2279959089475</v>
      </c>
      <c r="Z2263" s="16" t="n">
        <v>9.755004864486621</v>
      </c>
      <c r="AA2263" s="16" t="n">
        <v>137.8577341043493</v>
      </c>
      <c r="AB2263" s="16" t="n">
        <v>3291.365771817811</v>
      </c>
      <c r="AC2263" s="16" t="n">
        <v>3.414451882176461</v>
      </c>
      <c r="AD2263" s="16" t="inlineStr">
        <is>
          <t>O2</t>
        </is>
      </c>
      <c r="AE2263" s="16" t="n"/>
    </row>
    <row r="2264">
      <c r="A2264" s="16" t="inlineStr">
        <is>
          <t>KF-M05-5-0062</t>
        </is>
      </c>
      <c r="B2264" s="16" t="inlineStr">
        <is>
          <t>4.1</t>
        </is>
      </c>
      <c r="C2264" s="16" t="inlineStr">
        <is>
          <t>4.1e</t>
        </is>
      </c>
      <c r="D2264" s="16" t="inlineStr">
        <is>
          <t>conserva su fuente y su x_b</t>
        </is>
      </c>
      <c r="E2264" s="16" t="inlineStr">
        <is>
          <t>KF-M05</t>
        </is>
      </c>
      <c r="F2264" s="16" t="inlineStr">
        <is>
          <t>KF-M05-5</t>
        </is>
      </c>
      <c r="G2264" s="16" t="inlineStr">
        <is>
          <t>B09-5</t>
        </is>
      </c>
      <c r="H2264" s="16" t="inlineStr">
        <is>
          <t>lhs</t>
        </is>
      </c>
      <c r="I2264" s="16" t="inlineStr">
        <is>
          <t>NO_CONVERGIO</t>
        </is>
      </c>
      <c r="J2264" s="16" t="inlineStr">
        <is>
          <t>NO_CONVERGIO</t>
        </is>
      </c>
      <c r="K2264" s="16" t="b">
        <v>0</v>
      </c>
      <c r="L2264" s="16" t="b">
        <v>0</v>
      </c>
      <c r="M2264" s="16" t="b">
        <v>0</v>
      </c>
      <c r="N2264" s="16" t="b">
        <v>0</v>
      </c>
      <c r="O2264" s="16" t="n">
        <v>623.15</v>
      </c>
      <c r="P2264" s="16" t="n">
        <v>285.6763984887064</v>
      </c>
      <c r="Q2264" s="16" t="n">
        <v>4873.243396133115</v>
      </c>
      <c r="R2264" s="16" t="n">
        <v>1850.891366576983</v>
      </c>
      <c r="S2264" s="16" t="n">
        <v>0.5</v>
      </c>
      <c r="T2264" s="16" t="n">
        <v>0.8099225629941593</v>
      </c>
      <c r="U2264" s="16" t="n">
        <v>0.787159208060606</v>
      </c>
      <c r="V2264" s="16" t="n">
        <v>0.8279370701645101</v>
      </c>
      <c r="W2264" s="16" t="n">
        <v>0.6198214854925661</v>
      </c>
      <c r="X2264" s="16" t="n">
        <v>0.7290392447900157</v>
      </c>
      <c r="Y2264" s="16" t="n">
        <v>285.6763984887064</v>
      </c>
      <c r="Z2264" s="16" t="n"/>
      <c r="AA2264" s="16" t="n"/>
      <c r="AB2264" s="16" t="n">
        <v>3022.352029556132</v>
      </c>
      <c r="AC2264" s="16" t="n">
        <v>2.632917028050996</v>
      </c>
      <c r="AD2264" s="16" t="n"/>
      <c r="AE2264" s="16" t="n"/>
    </row>
    <row r="2265">
      <c r="A2265" s="16" t="inlineStr">
        <is>
          <t>KF-M05-5-0063</t>
        </is>
      </c>
      <c r="B2265" s="16" t="inlineStr">
        <is>
          <t>4.1</t>
        </is>
      </c>
      <c r="C2265" s="16" t="inlineStr">
        <is>
          <t>4.1e</t>
        </is>
      </c>
      <c r="D2265" s="16" t="inlineStr">
        <is>
          <t>conserva su fuente y su x_b</t>
        </is>
      </c>
      <c r="E2265" s="16" t="inlineStr">
        <is>
          <t>KF-M05</t>
        </is>
      </c>
      <c r="F2265" s="16" t="inlineStr">
        <is>
          <t>KF-M05-5</t>
        </is>
      </c>
      <c r="G2265" s="16" t="inlineStr">
        <is>
          <t>B09-5</t>
        </is>
      </c>
      <c r="H2265" s="16" t="inlineStr">
        <is>
          <t>lhs</t>
        </is>
      </c>
      <c r="I2265" s="16" t="inlineStr">
        <is>
          <t>CORREGIBLE</t>
        </is>
      </c>
      <c r="J2265" s="16" t="inlineStr">
        <is>
          <t>CORREGIBLE</t>
        </is>
      </c>
      <c r="K2265" s="16" t="b">
        <v>1</v>
      </c>
      <c r="L2265" s="16" t="b">
        <v>0</v>
      </c>
      <c r="M2265" s="16" t="b">
        <v>1</v>
      </c>
      <c r="N2265" s="16" t="b">
        <v>0</v>
      </c>
      <c r="O2265" s="16" t="n">
        <v>623.15</v>
      </c>
      <c r="P2265" s="16" t="n">
        <v>300.3451283362824</v>
      </c>
      <c r="Q2265" s="16" t="n">
        <v>4642.224557439691</v>
      </c>
      <c r="R2265" s="16" t="n">
        <v>380.0306949122293</v>
      </c>
      <c r="S2265" s="16" t="n">
        <v>0.5</v>
      </c>
      <c r="T2265" s="16" t="n">
        <v>0.8806589975326629</v>
      </c>
      <c r="U2265" s="16" t="n">
        <v>0.9476034708418593</v>
      </c>
      <c r="V2265" s="16" t="n">
        <v>0.6515949535496112</v>
      </c>
      <c r="W2265" s="16" t="n">
        <v>0.5256491983139306</v>
      </c>
      <c r="X2265" s="16" t="n">
        <v>0.9422393966231412</v>
      </c>
      <c r="Y2265" s="16" t="n">
        <v>300.3451283362824</v>
      </c>
      <c r="Z2265" s="16" t="n">
        <v>16.24418236501899</v>
      </c>
      <c r="AA2265" s="16" t="n">
        <v>265.7538728698513</v>
      </c>
      <c r="AB2265" s="16" t="n">
        <v>4262.193862527462</v>
      </c>
      <c r="AC2265" s="16" t="n">
        <v>12.21539370263722</v>
      </c>
      <c r="AD2265" s="16" t="inlineStr">
        <is>
          <t>O1,O2</t>
        </is>
      </c>
      <c r="AE2265" s="16" t="n"/>
    </row>
    <row r="2266">
      <c r="A2266" s="16" t="inlineStr">
        <is>
          <t>KF-M05-5-0064</t>
        </is>
      </c>
      <c r="B2266" s="16" t="inlineStr">
        <is>
          <t>4.1</t>
        </is>
      </c>
      <c r="C2266" s="16" t="inlineStr">
        <is>
          <t>4.1e</t>
        </is>
      </c>
      <c r="D2266" s="16" t="inlineStr">
        <is>
          <t>conserva su fuente y su x_b</t>
        </is>
      </c>
      <c r="E2266" s="16" t="inlineStr">
        <is>
          <t>KF-M05</t>
        </is>
      </c>
      <c r="F2266" s="16" t="inlineStr">
        <is>
          <t>KF-M05-5</t>
        </is>
      </c>
      <c r="G2266" s="16" t="inlineStr">
        <is>
          <t>B09-5</t>
        </is>
      </c>
      <c r="H2266" s="16" t="inlineStr">
        <is>
          <t>lhs</t>
        </is>
      </c>
      <c r="I2266" s="16" t="inlineStr">
        <is>
          <t>CORREGIBLE</t>
        </is>
      </c>
      <c r="J2266" s="16" t="inlineStr">
        <is>
          <t>CORREGIBLE</t>
        </is>
      </c>
      <c r="K2266" s="16" t="b">
        <v>1</v>
      </c>
      <c r="L2266" s="16" t="b">
        <v>0</v>
      </c>
      <c r="M2266" s="16" t="b">
        <v>1</v>
      </c>
      <c r="N2266" s="16" t="b">
        <v>0</v>
      </c>
      <c r="O2266" s="16" t="n">
        <v>623.15</v>
      </c>
      <c r="P2266" s="16" t="n">
        <v>278.4965027536825</v>
      </c>
      <c r="Q2266" s="16" t="n">
        <v>3085.144476148409</v>
      </c>
      <c r="R2266" s="16" t="n">
        <v>1782.9854213851</v>
      </c>
      <c r="S2266" s="16" t="n">
        <v>0.5</v>
      </c>
      <c r="T2266" s="16" t="n">
        <v>0.5376495495030026</v>
      </c>
      <c r="U2266" s="16" t="n">
        <v>0.8038263548920455</v>
      </c>
      <c r="V2266" s="16" t="n">
        <v>0.4865959558220447</v>
      </c>
      <c r="W2266" s="16" t="n">
        <v>0.5180972723881891</v>
      </c>
      <c r="X2266" s="16" t="n">
        <v>0.5521397521854122</v>
      </c>
      <c r="Y2266" s="16" t="n">
        <v>278.4965027536825</v>
      </c>
      <c r="Z2266" s="16" t="n">
        <v>1.37750358241658</v>
      </c>
      <c r="AA2266" s="16" t="n">
        <v>13.35395559315776</v>
      </c>
      <c r="AB2266" s="16" t="n">
        <v>1302.159054763309</v>
      </c>
      <c r="AC2266" s="16" t="n">
        <v>1.730325127252996</v>
      </c>
      <c r="AD2266" s="16" t="inlineStr">
        <is>
          <t>O2</t>
        </is>
      </c>
      <c r="AE2266" s="16" t="n"/>
    </row>
    <row r="2267">
      <c r="A2267" s="16" t="inlineStr">
        <is>
          <t>KF-M05-5-0065</t>
        </is>
      </c>
      <c r="B2267" s="16" t="inlineStr">
        <is>
          <t>4.1</t>
        </is>
      </c>
      <c r="C2267" s="16" t="inlineStr">
        <is>
          <t>4.1e</t>
        </is>
      </c>
      <c r="D2267" s="16" t="inlineStr">
        <is>
          <t>conserva su fuente y su x_b</t>
        </is>
      </c>
      <c r="E2267" s="16" t="inlineStr">
        <is>
          <t>KF-M05</t>
        </is>
      </c>
      <c r="F2267" s="16" t="inlineStr">
        <is>
          <t>KF-M05-5</t>
        </is>
      </c>
      <c r="G2267" s="16" t="inlineStr">
        <is>
          <t>B09-5</t>
        </is>
      </c>
      <c r="H2267" s="16" t="inlineStr">
        <is>
          <t>lhs</t>
        </is>
      </c>
      <c r="I2267" s="16" t="inlineStr">
        <is>
          <t>CORREGIBLE</t>
        </is>
      </c>
      <c r="J2267" s="16" t="inlineStr">
        <is>
          <t>CORREGIBLE</t>
        </is>
      </c>
      <c r="K2267" s="16" t="b">
        <v>1</v>
      </c>
      <c r="L2267" s="16" t="b">
        <v>0</v>
      </c>
      <c r="M2267" s="16" t="b">
        <v>1</v>
      </c>
      <c r="N2267" s="16" t="b">
        <v>0</v>
      </c>
      <c r="O2267" s="16" t="n">
        <v>623.15</v>
      </c>
      <c r="P2267" s="16" t="n">
        <v>292.5949248235392</v>
      </c>
      <c r="Q2267" s="16" t="n">
        <v>2037.930113333558</v>
      </c>
      <c r="R2267" s="16" t="n">
        <v>941.2850065620332</v>
      </c>
      <c r="S2267" s="16" t="n">
        <v>0.5</v>
      </c>
      <c r="T2267" s="16" t="n">
        <v>0.6133582197832532</v>
      </c>
      <c r="U2267" s="16" t="n">
        <v>0.7447685447864727</v>
      </c>
      <c r="V2267" s="16" t="n">
        <v>0.6523927124927249</v>
      </c>
      <c r="W2267" s="16" t="n">
        <v>0.7118676664553114</v>
      </c>
      <c r="X2267" s="16" t="n">
        <v>0.6123906474574898</v>
      </c>
      <c r="Y2267" s="16" t="n">
        <v>292.5949248235392</v>
      </c>
      <c r="Z2267" s="16" t="n">
        <v>2.06199063976608</v>
      </c>
      <c r="AA2267" s="16" t="n">
        <v>26.00023745661592</v>
      </c>
      <c r="AB2267" s="16" t="n">
        <v>1096.645106771525</v>
      </c>
      <c r="AC2267" s="16" t="n">
        <v>2.165051072869983</v>
      </c>
      <c r="AD2267" s="16" t="inlineStr">
        <is>
          <t>O2</t>
        </is>
      </c>
      <c r="AE2267" s="16" t="n"/>
    </row>
    <row r="2268">
      <c r="A2268" s="16" t="inlineStr">
        <is>
          <t>KF-M05-5-0066</t>
        </is>
      </c>
      <c r="B2268" s="16" t="inlineStr">
        <is>
          <t>4.1</t>
        </is>
      </c>
      <c r="C2268" s="16" t="inlineStr">
        <is>
          <t>4.1e</t>
        </is>
      </c>
      <c r="D2268" s="16" t="inlineStr">
        <is>
          <t>conserva su fuente y su x_b</t>
        </is>
      </c>
      <c r="E2268" s="16" t="inlineStr">
        <is>
          <t>KF-M05</t>
        </is>
      </c>
      <c r="F2268" s="16" t="inlineStr">
        <is>
          <t>KF-M05-5</t>
        </is>
      </c>
      <c r="G2268" s="16" t="inlineStr">
        <is>
          <t>B09-5</t>
        </is>
      </c>
      <c r="H2268" s="16" t="inlineStr">
        <is>
          <t>lhs</t>
        </is>
      </c>
      <c r="I2268" s="16" t="inlineStr">
        <is>
          <t>KALINA</t>
        </is>
      </c>
      <c r="J2268" s="16" t="inlineStr">
        <is>
          <t>KALINA</t>
        </is>
      </c>
      <c r="K2268" s="16" t="b">
        <v>1</v>
      </c>
      <c r="L2268" s="16" t="b">
        <v>0</v>
      </c>
      <c r="M2268" s="16" t="b">
        <v>1</v>
      </c>
      <c r="N2268" s="16" t="b">
        <v>0</v>
      </c>
      <c r="O2268" s="16" t="n">
        <v>623.15</v>
      </c>
      <c r="P2268" s="16" t="n">
        <v>281.6673503731482</v>
      </c>
      <c r="Q2268" s="16" t="n">
        <v>4623.762886223372</v>
      </c>
      <c r="R2268" s="16" t="n">
        <v>1594.898411800404</v>
      </c>
      <c r="S2268" s="16" t="n">
        <v>0.5</v>
      </c>
      <c r="T2268" s="16" t="n">
        <v>0.5235882964213918</v>
      </c>
      <c r="U2268" s="16" t="n">
        <v>0.6797199106587513</v>
      </c>
      <c r="V2268" s="16" t="n">
        <v>0.5909625552418875</v>
      </c>
      <c r="W2268" s="16" t="n">
        <v>0.7319995103164187</v>
      </c>
      <c r="X2268" s="16" t="n">
        <v>0.9163037039560472</v>
      </c>
      <c r="Y2268" s="16" t="n">
        <v>281.6673503731482</v>
      </c>
      <c r="Z2268" s="16" t="n">
        <v>4.16381139617208</v>
      </c>
      <c r="AA2268" s="16" t="n">
        <v>60.66961000959023</v>
      </c>
      <c r="AB2268" s="16" t="n">
        <v>3028.864474422969</v>
      </c>
      <c r="AC2268" s="16" t="n">
        <v>2.899095548664965</v>
      </c>
      <c r="AD2268" s="16" t="n"/>
      <c r="AE2268" s="16" t="n"/>
    </row>
    <row r="2269">
      <c r="A2269" s="16" t="inlineStr">
        <is>
          <t>KF-M05-5-0067</t>
        </is>
      </c>
      <c r="B2269" s="16" t="inlineStr">
        <is>
          <t>4.1</t>
        </is>
      </c>
      <c r="C2269" s="16" t="inlineStr">
        <is>
          <t>4.1e</t>
        </is>
      </c>
      <c r="D2269" s="16" t="inlineStr">
        <is>
          <t>conserva su fuente y su x_b</t>
        </is>
      </c>
      <c r="E2269" s="16" t="inlineStr">
        <is>
          <t>KF-M05</t>
        </is>
      </c>
      <c r="F2269" s="16" t="inlineStr">
        <is>
          <t>KF-M05-5</t>
        </is>
      </c>
      <c r="G2269" s="16" t="inlineStr">
        <is>
          <t>B09-5</t>
        </is>
      </c>
      <c r="H2269" s="16" t="inlineStr">
        <is>
          <t>lhs</t>
        </is>
      </c>
      <c r="I2269" s="16" t="inlineStr">
        <is>
          <t>CORREGIBLE</t>
        </is>
      </c>
      <c r="J2269" s="16" t="inlineStr">
        <is>
          <t>CORREGIBLE</t>
        </is>
      </c>
      <c r="K2269" s="16" t="b">
        <v>1</v>
      </c>
      <c r="L2269" s="16" t="b">
        <v>0</v>
      </c>
      <c r="M2269" s="16" t="b">
        <v>1</v>
      </c>
      <c r="N2269" s="16" t="b">
        <v>0</v>
      </c>
      <c r="O2269" s="16" t="n">
        <v>623.15</v>
      </c>
      <c r="P2269" s="16" t="n">
        <v>288.7857113580475</v>
      </c>
      <c r="Q2269" s="16" t="n">
        <v>3954.235085225578</v>
      </c>
      <c r="R2269" s="16" t="n">
        <v>442.2624203117194</v>
      </c>
      <c r="S2269" s="16" t="n">
        <v>0.5</v>
      </c>
      <c r="T2269" s="16" t="n">
        <v>0.6489754306250159</v>
      </c>
      <c r="U2269" s="16" t="n">
        <v>0.6016327761069307</v>
      </c>
      <c r="V2269" s="16" t="n">
        <v>0.6909221343544656</v>
      </c>
      <c r="W2269" s="16" t="n">
        <v>0.5224104784620106</v>
      </c>
      <c r="X2269" s="16" t="n">
        <v>0.9482512639468262</v>
      </c>
      <c r="Y2269" s="16" t="n">
        <v>288.7857113580475</v>
      </c>
      <c r="Z2269" s="16" t="n">
        <v>10.33909339276847</v>
      </c>
      <c r="AA2269" s="16" t="n">
        <v>185.0975190559492</v>
      </c>
      <c r="AB2269" s="16" t="n">
        <v>3511.972664913858</v>
      </c>
      <c r="AC2269" s="16" t="n">
        <v>8.940924898024386</v>
      </c>
      <c r="AD2269" s="16" t="inlineStr">
        <is>
          <t>O2</t>
        </is>
      </c>
      <c r="AE2269" s="16" t="n"/>
    </row>
    <row r="2270">
      <c r="A2270" s="16" t="inlineStr">
        <is>
          <t>KF-M05-5-0068</t>
        </is>
      </c>
      <c r="B2270" s="16" t="inlineStr">
        <is>
          <t>4.1</t>
        </is>
      </c>
      <c r="C2270" s="16" t="inlineStr">
        <is>
          <t>4.1e</t>
        </is>
      </c>
      <c r="D2270" s="16" t="inlineStr">
        <is>
          <t>conserva su fuente y su x_b</t>
        </is>
      </c>
      <c r="E2270" s="16" t="inlineStr">
        <is>
          <t>KF-M05</t>
        </is>
      </c>
      <c r="F2270" s="16" t="inlineStr">
        <is>
          <t>KF-M05-5</t>
        </is>
      </c>
      <c r="G2270" s="16" t="inlineStr">
        <is>
          <t>B09-5</t>
        </is>
      </c>
      <c r="H2270" s="16" t="inlineStr">
        <is>
          <t>lhs</t>
        </is>
      </c>
      <c r="I2270" s="16" t="inlineStr">
        <is>
          <t>INVIABLE</t>
        </is>
      </c>
      <c r="J2270" s="16" t="inlineStr">
        <is>
          <t>INVIABLE</t>
        </is>
      </c>
      <c r="K2270" s="16" t="b">
        <v>1</v>
      </c>
      <c r="L2270" s="16" t="b">
        <v>0</v>
      </c>
      <c r="M2270" s="16" t="b">
        <v>1</v>
      </c>
      <c r="N2270" s="16" t="b">
        <v>0</v>
      </c>
      <c r="O2270" s="16" t="n">
        <v>623.15</v>
      </c>
      <c r="P2270" s="16" t="n">
        <v>300.9119610030603</v>
      </c>
      <c r="Q2270" s="16" t="n">
        <v>3418.411068120858</v>
      </c>
      <c r="R2270" s="16" t="n">
        <v>666.5971493891202</v>
      </c>
      <c r="S2270" s="16" t="n">
        <v>0.5</v>
      </c>
      <c r="T2270" s="16" t="n">
        <v>0.4832325749888811</v>
      </c>
      <c r="U2270" s="16" t="n">
        <v>0.9361202022598252</v>
      </c>
      <c r="V2270" s="16" t="n">
        <v>0.5305736276672779</v>
      </c>
      <c r="W2270" s="16" t="n">
        <v>0.7348631022573592</v>
      </c>
      <c r="X2270" s="16" t="n">
        <v>0.4081342059373591</v>
      </c>
      <c r="Y2270" s="16" t="n">
        <v>300.9119610030603</v>
      </c>
      <c r="Z2270" s="16" t="n">
        <v>-4.47803209422263</v>
      </c>
      <c r="AA2270" s="16" t="n">
        <v>-33.69905452529089</v>
      </c>
      <c r="AB2270" s="16" t="n">
        <v>2751.813918731737</v>
      </c>
      <c r="AC2270" s="16" t="n">
        <v>5.128151344861798</v>
      </c>
      <c r="AD2270" s="16" t="inlineStr">
        <is>
          <t>O2,O3</t>
        </is>
      </c>
      <c r="AE2270" s="16" t="n"/>
    </row>
    <row r="2271">
      <c r="A2271" s="16" t="inlineStr">
        <is>
          <t>KF-M05-5-0069</t>
        </is>
      </c>
      <c r="B2271" s="16" t="inlineStr">
        <is>
          <t>4.1</t>
        </is>
      </c>
      <c r="C2271" s="16" t="inlineStr">
        <is>
          <t>4.1e</t>
        </is>
      </c>
      <c r="D2271" s="16" t="inlineStr">
        <is>
          <t>conserva su fuente y su x_b</t>
        </is>
      </c>
      <c r="E2271" s="16" t="inlineStr">
        <is>
          <t>KF-M05</t>
        </is>
      </c>
      <c r="F2271" s="16" t="inlineStr">
        <is>
          <t>KF-M05-5</t>
        </is>
      </c>
      <c r="G2271" s="16" t="inlineStr">
        <is>
          <t>B09-5</t>
        </is>
      </c>
      <c r="H2271" s="16" t="inlineStr">
        <is>
          <t>lhs</t>
        </is>
      </c>
      <c r="I2271" s="16" t="inlineStr">
        <is>
          <t>INVIABLE</t>
        </is>
      </c>
      <c r="J2271" s="16" t="inlineStr">
        <is>
          <t>INVIABLE</t>
        </is>
      </c>
      <c r="K2271" s="16" t="b">
        <v>1</v>
      </c>
      <c r="L2271" s="16" t="b">
        <v>0</v>
      </c>
      <c r="M2271" s="16" t="b">
        <v>1</v>
      </c>
      <c r="N2271" s="16" t="b">
        <v>0</v>
      </c>
      <c r="O2271" s="16" t="n">
        <v>623.15</v>
      </c>
      <c r="P2271" s="16" t="n">
        <v>294.4369151726077</v>
      </c>
      <c r="Q2271" s="16" t="n">
        <v>3172.496828651316</v>
      </c>
      <c r="R2271" s="16" t="n">
        <v>1085.807565682524</v>
      </c>
      <c r="S2271" s="16" t="n">
        <v>0.5</v>
      </c>
      <c r="T2271" s="16" t="n">
        <v>0.4655946021504165</v>
      </c>
      <c r="U2271" s="16" t="n">
        <v>0.8396265304560063</v>
      </c>
      <c r="V2271" s="16" t="n">
        <v>0.663056112774899</v>
      </c>
      <c r="W2271" s="16" t="n">
        <v>0.502081266744443</v>
      </c>
      <c r="X2271" s="16" t="n">
        <v>0.413548100610644</v>
      </c>
      <c r="Y2271" s="16" t="n">
        <v>294.4369151726077</v>
      </c>
      <c r="Z2271" s="16" t="n">
        <v>-3.94358842903595</v>
      </c>
      <c r="AA2271" s="16" t="n">
        <v>-34.83659601618085</v>
      </c>
      <c r="AB2271" s="16" t="n">
        <v>2086.689262968792</v>
      </c>
      <c r="AC2271" s="16" t="n">
        <v>2.921785525280556</v>
      </c>
      <c r="AD2271" s="16" t="inlineStr">
        <is>
          <t>O2,O3</t>
        </is>
      </c>
      <c r="AE2271" s="16" t="n"/>
    </row>
    <row r="2272">
      <c r="A2272" s="16" t="inlineStr">
        <is>
          <t>KF-M05-5-0070</t>
        </is>
      </c>
      <c r="B2272" s="16" t="inlineStr">
        <is>
          <t>4.1</t>
        </is>
      </c>
      <c r="C2272" s="16" t="inlineStr">
        <is>
          <t>4.1e</t>
        </is>
      </c>
      <c r="D2272" s="16" t="inlineStr">
        <is>
          <t>conserva su fuente y su x_b</t>
        </is>
      </c>
      <c r="E2272" s="16" t="inlineStr">
        <is>
          <t>KF-M05</t>
        </is>
      </c>
      <c r="F2272" s="16" t="inlineStr">
        <is>
          <t>KF-M05-5</t>
        </is>
      </c>
      <c r="G2272" s="16" t="inlineStr">
        <is>
          <t>B09-5</t>
        </is>
      </c>
      <c r="H2272" s="16" t="inlineStr">
        <is>
          <t>lhs</t>
        </is>
      </c>
      <c r="I2272" s="16" t="inlineStr">
        <is>
          <t>NO_CONVERGIO</t>
        </is>
      </c>
      <c r="J2272" s="16" t="inlineStr">
        <is>
          <t>NO_CONVERGIO</t>
        </is>
      </c>
      <c r="K2272" s="16" t="b">
        <v>0</v>
      </c>
      <c r="L2272" s="16" t="b">
        <v>0</v>
      </c>
      <c r="M2272" s="16" t="b">
        <v>0</v>
      </c>
      <c r="N2272" s="16" t="b">
        <v>0</v>
      </c>
      <c r="O2272" s="16" t="n">
        <v>623.15</v>
      </c>
      <c r="P2272" s="16" t="n">
        <v>282.7658049182305</v>
      </c>
      <c r="Q2272" s="16" t="n">
        <v>3609.833779423224</v>
      </c>
      <c r="R2272" s="16" t="n">
        <v>640.3360215528666</v>
      </c>
      <c r="S2272" s="16" t="n">
        <v>0.5</v>
      </c>
      <c r="T2272" s="16" t="n">
        <v>0.8836086277030428</v>
      </c>
      <c r="U2272" s="16" t="n">
        <v>0.4936167390082641</v>
      </c>
      <c r="V2272" s="16" t="n">
        <v>0.9421053916736168</v>
      </c>
      <c r="W2272" s="16" t="n">
        <v>0.6815599753281072</v>
      </c>
      <c r="X2272" s="16" t="n">
        <v>0.8333173708308528</v>
      </c>
      <c r="Y2272" s="16" t="n">
        <v>282.7658049182305</v>
      </c>
      <c r="Z2272" s="16" t="n"/>
      <c r="AA2272" s="16" t="n"/>
      <c r="AB2272" s="16" t="n">
        <v>2969.497757870357</v>
      </c>
      <c r="AC2272" s="16" t="n">
        <v>5.63740545263889</v>
      </c>
      <c r="AD2272" s="16" t="n"/>
      <c r="AE2272" s="16" t="n"/>
    </row>
    <row r="2273">
      <c r="A2273" s="16" t="inlineStr">
        <is>
          <t>KF-M05-5-0071</t>
        </is>
      </c>
      <c r="B2273" s="16" t="inlineStr">
        <is>
          <t>4.1</t>
        </is>
      </c>
      <c r="C2273" s="16" t="inlineStr">
        <is>
          <t>4.1e</t>
        </is>
      </c>
      <c r="D2273" s="16" t="inlineStr">
        <is>
          <t>conserva su fuente y su x_b</t>
        </is>
      </c>
      <c r="E2273" s="16" t="inlineStr">
        <is>
          <t>KF-M05</t>
        </is>
      </c>
      <c r="F2273" s="16" t="inlineStr">
        <is>
          <t>KF-M05-5</t>
        </is>
      </c>
      <c r="G2273" s="16" t="inlineStr">
        <is>
          <t>B09-5</t>
        </is>
      </c>
      <c r="H2273" s="16" t="inlineStr">
        <is>
          <t>lhs</t>
        </is>
      </c>
      <c r="I2273" s="16" t="inlineStr">
        <is>
          <t>CORREGIBLE</t>
        </is>
      </c>
      <c r="J2273" s="16" t="inlineStr">
        <is>
          <t>CORREGIBLE</t>
        </is>
      </c>
      <c r="K2273" s="16" t="b">
        <v>1</v>
      </c>
      <c r="L2273" s="16" t="b">
        <v>0</v>
      </c>
      <c r="M2273" s="16" t="b">
        <v>1</v>
      </c>
      <c r="N2273" s="16" t="b">
        <v>0</v>
      </c>
      <c r="O2273" s="16" t="n">
        <v>623.15</v>
      </c>
      <c r="P2273" s="16" t="n">
        <v>279.0404739051577</v>
      </c>
      <c r="Q2273" s="16" t="n">
        <v>4711.298436297966</v>
      </c>
      <c r="R2273" s="16" t="n">
        <v>1675.810926994474</v>
      </c>
      <c r="S2273" s="16" t="n">
        <v>0.5</v>
      </c>
      <c r="T2273" s="16" t="n">
        <v>0.6023902205015723</v>
      </c>
      <c r="U2273" s="16" t="n">
        <v>0.7249903820831026</v>
      </c>
      <c r="V2273" s="16" t="n">
        <v>0.7711917626597316</v>
      </c>
      <c r="W2273" s="16" t="n">
        <v>0.5916138975885428</v>
      </c>
      <c r="X2273" s="16" t="n">
        <v>0.6462026296508809</v>
      </c>
      <c r="Y2273" s="16" t="n">
        <v>279.0404739051577</v>
      </c>
      <c r="Z2273" s="16" t="n">
        <v>4.07728977785866</v>
      </c>
      <c r="AA2273" s="16" t="n">
        <v>61.53605854575126</v>
      </c>
      <c r="AB2273" s="16" t="n">
        <v>3035.487509303493</v>
      </c>
      <c r="AC2273" s="16" t="n">
        <v>2.811354407831417</v>
      </c>
      <c r="AD2273" s="16" t="inlineStr">
        <is>
          <t>O2</t>
        </is>
      </c>
      <c r="AE2273" s="16" t="n"/>
    </row>
    <row r="2274">
      <c r="A2274" s="16" t="inlineStr">
        <is>
          <t>KF-M05-5-0072</t>
        </is>
      </c>
      <c r="B2274" s="16" t="inlineStr">
        <is>
          <t>4.1</t>
        </is>
      </c>
      <c r="C2274" s="16" t="inlineStr">
        <is>
          <t>4.1e</t>
        </is>
      </c>
      <c r="D2274" s="16" t="inlineStr">
        <is>
          <t>conserva su fuente y su x_b</t>
        </is>
      </c>
      <c r="E2274" s="16" t="inlineStr">
        <is>
          <t>KF-M05</t>
        </is>
      </c>
      <c r="F2274" s="16" t="inlineStr">
        <is>
          <t>KF-M05-5</t>
        </is>
      </c>
      <c r="G2274" s="16" t="inlineStr">
        <is>
          <t>B09-5</t>
        </is>
      </c>
      <c r="H2274" s="16" t="inlineStr">
        <is>
          <t>lhs</t>
        </is>
      </c>
      <c r="I2274" s="16" t="inlineStr">
        <is>
          <t>INVIABLE</t>
        </is>
      </c>
      <c r="J2274" s="16" t="inlineStr">
        <is>
          <t>INVIABLE</t>
        </is>
      </c>
      <c r="K2274" s="16" t="b">
        <v>1</v>
      </c>
      <c r="L2274" s="16" t="b">
        <v>0</v>
      </c>
      <c r="M2274" s="16" t="b">
        <v>1</v>
      </c>
      <c r="N2274" s="16" t="b">
        <v>0</v>
      </c>
      <c r="O2274" s="16" t="n">
        <v>623.15</v>
      </c>
      <c r="P2274" s="16" t="n">
        <v>284.9754595880655</v>
      </c>
      <c r="Q2274" s="16" t="n">
        <v>2143.916760886475</v>
      </c>
      <c r="R2274" s="16" t="n">
        <v>1207.774752618301</v>
      </c>
      <c r="S2274" s="16" t="n">
        <v>0.5</v>
      </c>
      <c r="T2274" s="16" t="n">
        <v>0.4349011469168574</v>
      </c>
      <c r="U2274" s="16" t="n">
        <v>0.7687971896640919</v>
      </c>
      <c r="V2274" s="16" t="n">
        <v>0.7405487907074428</v>
      </c>
      <c r="W2274" s="16" t="n">
        <v>0.4375398144077742</v>
      </c>
      <c r="X2274" s="16" t="n">
        <v>0.5471439443251185</v>
      </c>
      <c r="Y2274" s="16" t="n">
        <v>284.9754595880655</v>
      </c>
      <c r="Z2274" s="16" t="n">
        <v>-0.40348516632615</v>
      </c>
      <c r="AA2274" s="16" t="n">
        <v>-5.119363620380611</v>
      </c>
      <c r="AB2274" s="16" t="n">
        <v>936.142008268174</v>
      </c>
      <c r="AC2274" s="16" t="n">
        <v>1.775096520471833</v>
      </c>
      <c r="AD2274" s="16" t="inlineStr">
        <is>
          <t>O2,O3</t>
        </is>
      </c>
      <c r="AE2274" s="16" t="n"/>
    </row>
    <row r="2275">
      <c r="A2275" s="16" t="inlineStr">
        <is>
          <t>KF-M05-5-0073</t>
        </is>
      </c>
      <c r="B2275" s="16" t="inlineStr">
        <is>
          <t>4.1</t>
        </is>
      </c>
      <c r="C2275" s="16" t="inlineStr">
        <is>
          <t>4.1e</t>
        </is>
      </c>
      <c r="D2275" s="16" t="inlineStr">
        <is>
          <t>conserva su fuente y su x_b</t>
        </is>
      </c>
      <c r="E2275" s="16" t="inlineStr">
        <is>
          <t>KF-M05</t>
        </is>
      </c>
      <c r="F2275" s="16" t="inlineStr">
        <is>
          <t>KF-M05-5</t>
        </is>
      </c>
      <c r="G2275" s="16" t="inlineStr">
        <is>
          <t>B09-5</t>
        </is>
      </c>
      <c r="H2275" s="16" t="inlineStr">
        <is>
          <t>lhs</t>
        </is>
      </c>
      <c r="I2275" s="16" t="inlineStr">
        <is>
          <t>CORREGIBLE</t>
        </is>
      </c>
      <c r="J2275" s="16" t="inlineStr">
        <is>
          <t>CORREGIBLE</t>
        </is>
      </c>
      <c r="K2275" s="16" t="b">
        <v>1</v>
      </c>
      <c r="L2275" s="16" t="b">
        <v>0</v>
      </c>
      <c r="M2275" s="16" t="b">
        <v>1</v>
      </c>
      <c r="N2275" s="16" t="b">
        <v>0</v>
      </c>
      <c r="O2275" s="16" t="n">
        <v>623.15</v>
      </c>
      <c r="P2275" s="16" t="n">
        <v>291.8559619294758</v>
      </c>
      <c r="Q2275" s="16" t="n">
        <v>3225.403855702319</v>
      </c>
      <c r="R2275" s="16" t="n">
        <v>767.5282724125042</v>
      </c>
      <c r="S2275" s="16" t="n">
        <v>0.5</v>
      </c>
      <c r="T2275" s="16" t="n">
        <v>0.8143188078660597</v>
      </c>
      <c r="U2275" s="16" t="n">
        <v>0.5947302194281284</v>
      </c>
      <c r="V2275" s="16" t="n">
        <v>0.6707833209608332</v>
      </c>
      <c r="W2275" s="16" t="n">
        <v>0.6537697931976036</v>
      </c>
      <c r="X2275" s="16" t="n">
        <v>0.6578723736542278</v>
      </c>
      <c r="Y2275" s="16" t="n">
        <v>291.8559619294758</v>
      </c>
      <c r="Z2275" s="16" t="n">
        <v>7.0664678852726</v>
      </c>
      <c r="AA2275" s="16" t="n">
        <v>95.12773902626979</v>
      </c>
      <c r="AB2275" s="16" t="n">
        <v>2457.875583289815</v>
      </c>
      <c r="AC2275" s="16" t="n">
        <v>4.202325792591575</v>
      </c>
      <c r="AD2275" s="16" t="inlineStr">
        <is>
          <t>O2</t>
        </is>
      </c>
      <c r="AE2275" s="16" t="n"/>
    </row>
    <row r="2276">
      <c r="A2276" s="16" t="inlineStr">
        <is>
          <t>KF-M05-5-0074</t>
        </is>
      </c>
      <c r="B2276" s="16" t="inlineStr">
        <is>
          <t>4.1</t>
        </is>
      </c>
      <c r="C2276" s="16" t="inlineStr">
        <is>
          <t>4.1e</t>
        </is>
      </c>
      <c r="D2276" s="16" t="inlineStr">
        <is>
          <t>conserva su fuente y su x_b</t>
        </is>
      </c>
      <c r="E2276" s="16" t="inlineStr">
        <is>
          <t>KF-M05</t>
        </is>
      </c>
      <c r="F2276" s="16" t="inlineStr">
        <is>
          <t>KF-M05-5</t>
        </is>
      </c>
      <c r="G2276" s="16" t="inlineStr">
        <is>
          <t>B09-5</t>
        </is>
      </c>
      <c r="H2276" s="16" t="inlineStr">
        <is>
          <t>lhs</t>
        </is>
      </c>
      <c r="I2276" s="16" t="inlineStr">
        <is>
          <t>NO_CONVERGIO</t>
        </is>
      </c>
      <c r="J2276" s="16" t="inlineStr">
        <is>
          <t>NO_CONVERGIO</t>
        </is>
      </c>
      <c r="K2276" s="16" t="b">
        <v>0</v>
      </c>
      <c r="L2276" s="16" t="b">
        <v>0</v>
      </c>
      <c r="M2276" s="16" t="b">
        <v>0</v>
      </c>
      <c r="N2276" s="16" t="b">
        <v>0</v>
      </c>
      <c r="O2276" s="16" t="n">
        <v>623.15</v>
      </c>
      <c r="P2276" s="16" t="n">
        <v>286.5802395126872</v>
      </c>
      <c r="Q2276" s="16" t="n">
        <v>4115.160922667759</v>
      </c>
      <c r="R2276" s="16" t="n">
        <v>1120.85803084535</v>
      </c>
      <c r="S2276" s="16" t="n">
        <v>0.5</v>
      </c>
      <c r="T2276" s="16" t="n">
        <v>0.7360411129592908</v>
      </c>
      <c r="U2276" s="16" t="n">
        <v>0.5908866811252603</v>
      </c>
      <c r="V2276" s="16" t="n">
        <v>0.8954980276654385</v>
      </c>
      <c r="W2276" s="16" t="n">
        <v>0.6626386325276118</v>
      </c>
      <c r="X2276" s="16" t="n">
        <v>0.8211967730266905</v>
      </c>
      <c r="Y2276" s="16" t="n">
        <v>286.5802395126872</v>
      </c>
      <c r="Z2276" s="16" t="n"/>
      <c r="AA2276" s="16" t="n"/>
      <c r="AB2276" s="16" t="n">
        <v>2994.30289182241</v>
      </c>
      <c r="AC2276" s="16" t="n">
        <v>3.671438138837361</v>
      </c>
      <c r="AD2276" s="16" t="n"/>
      <c r="AE2276" s="16" t="n"/>
    </row>
    <row r="2277">
      <c r="A2277" s="16" t="inlineStr">
        <is>
          <t>KF-M05-5-0075</t>
        </is>
      </c>
      <c r="B2277" s="16" t="inlineStr">
        <is>
          <t>4.1</t>
        </is>
      </c>
      <c r="C2277" s="16" t="inlineStr">
        <is>
          <t>4.1e</t>
        </is>
      </c>
      <c r="D2277" s="16" t="inlineStr">
        <is>
          <t>conserva su fuente y su x_b</t>
        </is>
      </c>
      <c r="E2277" s="16" t="inlineStr">
        <is>
          <t>KF-M05</t>
        </is>
      </c>
      <c r="F2277" s="16" t="inlineStr">
        <is>
          <t>KF-M05-5</t>
        </is>
      </c>
      <c r="G2277" s="16" t="inlineStr">
        <is>
          <t>B09-5</t>
        </is>
      </c>
      <c r="H2277" s="16" t="inlineStr">
        <is>
          <t>lhs</t>
        </is>
      </c>
      <c r="I2277" s="16" t="inlineStr">
        <is>
          <t>CORREGIBLE</t>
        </is>
      </c>
      <c r="J2277" s="16" t="inlineStr">
        <is>
          <t>CORREGIBLE</t>
        </is>
      </c>
      <c r="K2277" s="16" t="b">
        <v>1</v>
      </c>
      <c r="L2277" s="16" t="b">
        <v>0</v>
      </c>
      <c r="M2277" s="16" t="b">
        <v>1</v>
      </c>
      <c r="N2277" s="16" t="b">
        <v>0</v>
      </c>
      <c r="O2277" s="16" t="n">
        <v>623.15</v>
      </c>
      <c r="P2277" s="16" t="n">
        <v>293.1990989307968</v>
      </c>
      <c r="Q2277" s="16" t="n">
        <v>2741.505040033135</v>
      </c>
      <c r="R2277" s="16" t="n">
        <v>1411.710802718265</v>
      </c>
      <c r="S2277" s="16" t="n">
        <v>0.5</v>
      </c>
      <c r="T2277" s="16" t="n">
        <v>0.4032988745833107</v>
      </c>
      <c r="U2277" s="16" t="n">
        <v>0.4424034127503111</v>
      </c>
      <c r="V2277" s="16" t="n">
        <v>0.5189656627119993</v>
      </c>
      <c r="W2277" s="16" t="n">
        <v>0.8672602882879186</v>
      </c>
      <c r="X2277" s="16" t="n">
        <v>0.7327703980328381</v>
      </c>
      <c r="Y2277" s="16" t="n">
        <v>293.1990989307968</v>
      </c>
      <c r="Z2277" s="16" t="n">
        <v>1.47962089925331</v>
      </c>
      <c r="AA2277" s="16" t="n">
        <v>17.21615475925168</v>
      </c>
      <c r="AB2277" s="16" t="n">
        <v>1329.79423731487</v>
      </c>
      <c r="AC2277" s="16" t="n">
        <v>1.941973550641064</v>
      </c>
      <c r="AD2277" s="16" t="inlineStr">
        <is>
          <t>O2</t>
        </is>
      </c>
      <c r="AE2277" s="16" t="n"/>
    </row>
    <row r="2278">
      <c r="A2278" s="16" t="inlineStr">
        <is>
          <t>KF-M05-5-0076</t>
        </is>
      </c>
      <c r="B2278" s="16" t="inlineStr">
        <is>
          <t>4.1</t>
        </is>
      </c>
      <c r="C2278" s="16" t="inlineStr">
        <is>
          <t>4.1e</t>
        </is>
      </c>
      <c r="D2278" s="16" t="inlineStr">
        <is>
          <t>conserva su fuente y su x_b</t>
        </is>
      </c>
      <c r="E2278" s="16" t="inlineStr">
        <is>
          <t>KF-M05</t>
        </is>
      </c>
      <c r="F2278" s="16" t="inlineStr">
        <is>
          <t>KF-M05-5</t>
        </is>
      </c>
      <c r="G2278" s="16" t="inlineStr">
        <is>
          <t>B09-5</t>
        </is>
      </c>
      <c r="H2278" s="16" t="inlineStr">
        <is>
          <t>lhs</t>
        </is>
      </c>
      <c r="I2278" s="16" t="inlineStr">
        <is>
          <t>NO_CONVERGIO</t>
        </is>
      </c>
      <c r="J2278" s="16" t="inlineStr">
        <is>
          <t>NO_CONVERGIO</t>
        </is>
      </c>
      <c r="K2278" s="16" t="b">
        <v>0</v>
      </c>
      <c r="L2278" s="16" t="b">
        <v>0</v>
      </c>
      <c r="M2278" s="16" t="b">
        <v>0</v>
      </c>
      <c r="N2278" s="16" t="b">
        <v>0</v>
      </c>
      <c r="O2278" s="16" t="n">
        <v>623.15</v>
      </c>
      <c r="P2278" s="16" t="n">
        <v>301.4950399963674</v>
      </c>
      <c r="Q2278" s="16" t="n">
        <v>3668.556329404948</v>
      </c>
      <c r="R2278" s="16" t="n">
        <v>554.015145120859</v>
      </c>
      <c r="S2278" s="16" t="n">
        <v>0.5</v>
      </c>
      <c r="T2278" s="16" t="n">
        <v>0.9388354352882849</v>
      </c>
      <c r="U2278" s="16" t="n">
        <v>0.4193441842726694</v>
      </c>
      <c r="V2278" s="16" t="n">
        <v>0.8212034063067515</v>
      </c>
      <c r="W2278" s="16" t="n">
        <v>0.545502967539059</v>
      </c>
      <c r="X2278" s="16" t="n">
        <v>0.4543540742930995</v>
      </c>
      <c r="Y2278" s="16" t="n">
        <v>301.4950399963674</v>
      </c>
      <c r="Z2278" s="16" t="n"/>
      <c r="AA2278" s="16" t="n"/>
      <c r="AB2278" s="16" t="n">
        <v>3114.541184284089</v>
      </c>
      <c r="AC2278" s="16" t="n">
        <v>6.621761808704072</v>
      </c>
      <c r="AD2278" s="16" t="n"/>
      <c r="AE2278" s="16" t="n"/>
    </row>
    <row r="2279">
      <c r="A2279" s="16" t="inlineStr">
        <is>
          <t>KF-M05-5-0077</t>
        </is>
      </c>
      <c r="B2279" s="16" t="inlineStr">
        <is>
          <t>4.1</t>
        </is>
      </c>
      <c r="C2279" s="16" t="inlineStr">
        <is>
          <t>4.1e</t>
        </is>
      </c>
      <c r="D2279" s="16" t="inlineStr">
        <is>
          <t>conserva su fuente y su x_b</t>
        </is>
      </c>
      <c r="E2279" s="16" t="inlineStr">
        <is>
          <t>KF-M05</t>
        </is>
      </c>
      <c r="F2279" s="16" t="inlineStr">
        <is>
          <t>KF-M05-5</t>
        </is>
      </c>
      <c r="G2279" s="16" t="inlineStr">
        <is>
          <t>B09-5</t>
        </is>
      </c>
      <c r="H2279" s="16" t="inlineStr">
        <is>
          <t>lhs</t>
        </is>
      </c>
      <c r="I2279" s="16" t="inlineStr">
        <is>
          <t>NO_CONVERGIO</t>
        </is>
      </c>
      <c r="J2279" s="16" t="inlineStr">
        <is>
          <t>NO_CONVERGIO</t>
        </is>
      </c>
      <c r="K2279" s="16" t="b">
        <v>0</v>
      </c>
      <c r="L2279" s="16" t="b">
        <v>0</v>
      </c>
      <c r="M2279" s="16" t="b">
        <v>0</v>
      </c>
      <c r="N2279" s="16" t="b">
        <v>0</v>
      </c>
      <c r="O2279" s="16" t="n">
        <v>623.15</v>
      </c>
      <c r="P2279" s="16" t="n">
        <v>283.669352272076</v>
      </c>
      <c r="Q2279" s="16" t="n">
        <v>2775.610115467278</v>
      </c>
      <c r="R2279" s="16" t="n">
        <v>614.2007766081051</v>
      </c>
      <c r="S2279" s="16" t="n">
        <v>0.5</v>
      </c>
      <c r="T2279" s="16" t="n">
        <v>0.6236859246715674</v>
      </c>
      <c r="U2279" s="16" t="n">
        <v>0.4898050027806833</v>
      </c>
      <c r="V2279" s="16" t="n">
        <v>0.8515185250695225</v>
      </c>
      <c r="W2279" s="16" t="n">
        <v>0.9472498167419372</v>
      </c>
      <c r="X2279" s="16" t="n">
        <v>0.7394500525917174</v>
      </c>
      <c r="Y2279" s="16" t="n">
        <v>283.669352272076</v>
      </c>
      <c r="Z2279" s="16" t="n"/>
      <c r="AA2279" s="16" t="n"/>
      <c r="AB2279" s="16" t="n">
        <v>2161.409338859173</v>
      </c>
      <c r="AC2279" s="16" t="n">
        <v>4.519059924989764</v>
      </c>
      <c r="AD2279" s="16" t="n"/>
      <c r="AE2279" s="16" t="n"/>
    </row>
    <row r="2280">
      <c r="A2280" s="16" t="inlineStr">
        <is>
          <t>KF-M05-5-0078</t>
        </is>
      </c>
      <c r="B2280" s="16" t="inlineStr">
        <is>
          <t>4.1</t>
        </is>
      </c>
      <c r="C2280" s="16" t="inlineStr">
        <is>
          <t>4.1e</t>
        </is>
      </c>
      <c r="D2280" s="16" t="inlineStr">
        <is>
          <t>conserva su fuente y su x_b</t>
        </is>
      </c>
      <c r="E2280" s="16" t="inlineStr">
        <is>
          <t>KF-M05</t>
        </is>
      </c>
      <c r="F2280" s="16" t="inlineStr">
        <is>
          <t>KF-M05-5</t>
        </is>
      </c>
      <c r="G2280" s="16" t="inlineStr">
        <is>
          <t>B09-5</t>
        </is>
      </c>
      <c r="H2280" s="16" t="inlineStr">
        <is>
          <t>lhs</t>
        </is>
      </c>
      <c r="I2280" s="16" t="inlineStr">
        <is>
          <t>INVIABLE</t>
        </is>
      </c>
      <c r="J2280" s="16" t="inlineStr">
        <is>
          <t>INVIABLE</t>
        </is>
      </c>
      <c r="K2280" s="16" t="b">
        <v>1</v>
      </c>
      <c r="L2280" s="16" t="b">
        <v>0</v>
      </c>
      <c r="M2280" s="16" t="b">
        <v>1</v>
      </c>
      <c r="N2280" s="16" t="b">
        <v>0</v>
      </c>
      <c r="O2280" s="16" t="n">
        <v>623.15</v>
      </c>
      <c r="P2280" s="16" t="n">
        <v>291.0159900725381</v>
      </c>
      <c r="Q2280" s="16" t="n">
        <v>2469.131631958141</v>
      </c>
      <c r="R2280" s="16" t="n">
        <v>206.1261602277809</v>
      </c>
      <c r="S2280" s="16" t="n">
        <v>0.5</v>
      </c>
      <c r="T2280" s="16" t="n">
        <v>0.6654483538293876</v>
      </c>
      <c r="U2280" s="16" t="n">
        <v>0.8407467384372262</v>
      </c>
      <c r="V2280" s="16" t="n">
        <v>0.5522575168791184</v>
      </c>
      <c r="W2280" s="16" t="n">
        <v>0.5971232939638551</v>
      </c>
      <c r="X2280" s="16" t="n">
        <v>0.445311481157921</v>
      </c>
      <c r="Y2280" s="16" t="n">
        <v>291.0159900725381</v>
      </c>
      <c r="Z2280" s="16" t="n">
        <v>-1.18668599761256</v>
      </c>
      <c r="AA2280" s="16" t="n">
        <v>-9.355764018709465</v>
      </c>
      <c r="AB2280" s="16" t="n">
        <v>2263.00547173036</v>
      </c>
      <c r="AC2280" s="16" t="n">
        <v>11.97873976417944</v>
      </c>
      <c r="AD2280" s="16" t="inlineStr">
        <is>
          <t>O2,O3</t>
        </is>
      </c>
      <c r="AE2280" s="16" t="n"/>
    </row>
    <row r="2281">
      <c r="A2281" s="16" t="inlineStr">
        <is>
          <t>KF-M05-5-0079</t>
        </is>
      </c>
      <c r="B2281" s="16" t="inlineStr">
        <is>
          <t>4.1</t>
        </is>
      </c>
      <c r="C2281" s="16" t="inlineStr">
        <is>
          <t>4.1e</t>
        </is>
      </c>
      <c r="D2281" s="16" t="inlineStr">
        <is>
          <t>conserva su fuente y su x_b</t>
        </is>
      </c>
      <c r="E2281" s="16" t="inlineStr">
        <is>
          <t>KF-M05</t>
        </is>
      </c>
      <c r="F2281" s="16" t="inlineStr">
        <is>
          <t>KF-M05-5</t>
        </is>
      </c>
      <c r="G2281" s="16" t="inlineStr">
        <is>
          <t>B09-5</t>
        </is>
      </c>
      <c r="H2281" s="16" t="inlineStr">
        <is>
          <t>lhs</t>
        </is>
      </c>
      <c r="I2281" s="16" t="inlineStr">
        <is>
          <t>CORREGIBLE</t>
        </is>
      </c>
      <c r="J2281" s="16" t="inlineStr">
        <is>
          <t>CORREGIBLE</t>
        </is>
      </c>
      <c r="K2281" s="16" t="b">
        <v>1</v>
      </c>
      <c r="L2281" s="16" t="b">
        <v>0</v>
      </c>
      <c r="M2281" s="16" t="b">
        <v>1</v>
      </c>
      <c r="N2281" s="16" t="b">
        <v>0</v>
      </c>
      <c r="O2281" s="16" t="n">
        <v>623.15</v>
      </c>
      <c r="P2281" s="16" t="n">
        <v>280.4115459512898</v>
      </c>
      <c r="Q2281" s="16" t="n">
        <v>2251.293058118749</v>
      </c>
      <c r="R2281" s="16" t="n">
        <v>223.2731954599453</v>
      </c>
      <c r="S2281" s="16" t="n">
        <v>0.5</v>
      </c>
      <c r="T2281" s="16" t="n">
        <v>0.7112236574564967</v>
      </c>
      <c r="U2281" s="16" t="n">
        <v>0.7075653589882964</v>
      </c>
      <c r="V2281" s="16" t="n">
        <v>0.6062942542896818</v>
      </c>
      <c r="W2281" s="16" t="n">
        <v>0.9282734043883124</v>
      </c>
      <c r="X2281" s="16" t="n">
        <v>0.844403629397769</v>
      </c>
      <c r="Y2281" s="16" t="n">
        <v>280.4115459512898</v>
      </c>
      <c r="Z2281" s="16" t="n">
        <v>12.25303964648969</v>
      </c>
      <c r="AA2281" s="16" t="n">
        <v>182.0588826137148</v>
      </c>
      <c r="AB2281" s="16" t="n">
        <v>2028.019862658804</v>
      </c>
      <c r="AC2281" s="16" t="n">
        <v>10.08313180398148</v>
      </c>
      <c r="AD2281" s="16" t="inlineStr">
        <is>
          <t>O2</t>
        </is>
      </c>
      <c r="AE2281" s="16" t="n"/>
    </row>
    <row r="2282">
      <c r="A2282" s="16" t="inlineStr">
        <is>
          <t>KF-M05-5-0080</t>
        </is>
      </c>
      <c r="B2282" s="16" t="inlineStr">
        <is>
          <t>4.1</t>
        </is>
      </c>
      <c r="C2282" s="16" t="inlineStr">
        <is>
          <t>4.1e</t>
        </is>
      </c>
      <c r="D2282" s="16" t="inlineStr">
        <is>
          <t>conserva su fuente y su x_b</t>
        </is>
      </c>
      <c r="E2282" s="16" t="inlineStr">
        <is>
          <t>KF-M05</t>
        </is>
      </c>
      <c r="F2282" s="16" t="inlineStr">
        <is>
          <t>KF-M05-5</t>
        </is>
      </c>
      <c r="G2282" s="16" t="inlineStr">
        <is>
          <t>B09-5</t>
        </is>
      </c>
      <c r="H2282" s="16" t="inlineStr">
        <is>
          <t>lhs</t>
        </is>
      </c>
      <c r="I2282" s="16" t="inlineStr">
        <is>
          <t>CORREGIBLE</t>
        </is>
      </c>
      <c r="J2282" s="16" t="inlineStr">
        <is>
          <t>CORREGIBLE</t>
        </is>
      </c>
      <c r="K2282" s="16" t="b">
        <v>1</v>
      </c>
      <c r="L2282" s="16" t="b">
        <v>0</v>
      </c>
      <c r="M2282" s="16" t="b">
        <v>1</v>
      </c>
      <c r="N2282" s="16" t="b">
        <v>0</v>
      </c>
      <c r="O2282" s="16" t="n">
        <v>623.15</v>
      </c>
      <c r="P2282" s="16" t="n">
        <v>281.1658667242498</v>
      </c>
      <c r="Q2282" s="16" t="n">
        <v>2101.253170065189</v>
      </c>
      <c r="R2282" s="16" t="n">
        <v>906.738368677016</v>
      </c>
      <c r="S2282" s="16" t="n">
        <v>0.5</v>
      </c>
      <c r="T2282" s="16" t="n">
        <v>0.8588581312006351</v>
      </c>
      <c r="U2282" s="16" t="n">
        <v>0.63184847896546</v>
      </c>
      <c r="V2282" s="16" t="n">
        <v>0.4041405485436614</v>
      </c>
      <c r="W2282" s="16" t="n">
        <v>0.7942333765699628</v>
      </c>
      <c r="X2282" s="16" t="n">
        <v>0.5582141811899808</v>
      </c>
      <c r="Y2282" s="16" t="n">
        <v>281.1658667242498</v>
      </c>
      <c r="Z2282" s="16" t="n">
        <v>4.3210349308872</v>
      </c>
      <c r="AA2282" s="16" t="n">
        <v>36.34928279231818</v>
      </c>
      <c r="AB2282" s="16" t="n">
        <v>1194.514801388174</v>
      </c>
      <c r="AC2282" s="16" t="n">
        <v>2.31737537822629</v>
      </c>
      <c r="AD2282" s="16" t="inlineStr">
        <is>
          <t>O2</t>
        </is>
      </c>
      <c r="AE2282" s="16" t="n"/>
    </row>
    <row r="2283">
      <c r="A2283" s="16" t="inlineStr">
        <is>
          <t>KF-M05-5-0081</t>
        </is>
      </c>
      <c r="B2283" s="16" t="inlineStr">
        <is>
          <t>4.1</t>
        </is>
      </c>
      <c r="C2283" s="16" t="inlineStr">
        <is>
          <t>4.1e</t>
        </is>
      </c>
      <c r="D2283" s="16" t="inlineStr">
        <is>
          <t>conserva su fuente y su x_b</t>
        </is>
      </c>
      <c r="E2283" s="16" t="inlineStr">
        <is>
          <t>KF-M05</t>
        </is>
      </c>
      <c r="F2283" s="16" t="inlineStr">
        <is>
          <t>KF-M05-5</t>
        </is>
      </c>
      <c r="G2283" s="16" t="inlineStr">
        <is>
          <t>B09-5</t>
        </is>
      </c>
      <c r="H2283" s="16" t="inlineStr">
        <is>
          <t>lhs</t>
        </is>
      </c>
      <c r="I2283" s="16" t="inlineStr">
        <is>
          <t>CORREGIBLE</t>
        </is>
      </c>
      <c r="J2283" s="16" t="inlineStr">
        <is>
          <t>CORREGIBLE</t>
        </is>
      </c>
      <c r="K2283" s="16" t="b">
        <v>1</v>
      </c>
      <c r="L2283" s="16" t="b">
        <v>0</v>
      </c>
      <c r="M2283" s="16" t="b">
        <v>1</v>
      </c>
      <c r="N2283" s="16" t="b">
        <v>0</v>
      </c>
      <c r="O2283" s="16" t="n">
        <v>623.15</v>
      </c>
      <c r="P2283" s="16" t="n">
        <v>290.3915815954688</v>
      </c>
      <c r="Q2283" s="16" t="n">
        <v>3437.304229085579</v>
      </c>
      <c r="R2283" s="16" t="n">
        <v>850.4135945532663</v>
      </c>
      <c r="S2283" s="16" t="n">
        <v>0.5</v>
      </c>
      <c r="T2283" s="16" t="n">
        <v>0.7853765030342357</v>
      </c>
      <c r="U2283" s="16" t="n">
        <v>0.437330867125423</v>
      </c>
      <c r="V2283" s="16" t="n">
        <v>0.4634803083345818</v>
      </c>
      <c r="W2283" s="16" t="n">
        <v>0.845607746515979</v>
      </c>
      <c r="X2283" s="16" t="n">
        <v>0.7211904462638243</v>
      </c>
      <c r="Y2283" s="16" t="n">
        <v>290.3915815954688</v>
      </c>
      <c r="Z2283" s="16" t="n">
        <v>8.28106276787245</v>
      </c>
      <c r="AA2283" s="16" t="n">
        <v>85.94034502573216</v>
      </c>
      <c r="AB2283" s="16" t="n">
        <v>2586.890634532313</v>
      </c>
      <c r="AC2283" s="16" t="n">
        <v>4.041920603222766</v>
      </c>
      <c r="AD2283" s="16" t="inlineStr">
        <is>
          <t>O2</t>
        </is>
      </c>
      <c r="AE2283" s="16" t="n"/>
    </row>
    <row r="2284">
      <c r="A2284" s="16" t="inlineStr">
        <is>
          <t>KF-M05-5-0082</t>
        </is>
      </c>
      <c r="B2284" s="16" t="inlineStr">
        <is>
          <t>4.1</t>
        </is>
      </c>
      <c r="C2284" s="16" t="inlineStr">
        <is>
          <t>4.1e</t>
        </is>
      </c>
      <c r="D2284" s="16" t="inlineStr">
        <is>
          <t>conserva su fuente y su x_b</t>
        </is>
      </c>
      <c r="E2284" s="16" t="inlineStr">
        <is>
          <t>KF-M05</t>
        </is>
      </c>
      <c r="F2284" s="16" t="inlineStr">
        <is>
          <t>KF-M05-5</t>
        </is>
      </c>
      <c r="G2284" s="16" t="inlineStr">
        <is>
          <t>B09-5</t>
        </is>
      </c>
      <c r="H2284" s="16" t="inlineStr">
        <is>
          <t>lhs</t>
        </is>
      </c>
      <c r="I2284" s="16" t="inlineStr">
        <is>
          <t>CORREGIBLE</t>
        </is>
      </c>
      <c r="J2284" s="16" t="inlineStr">
        <is>
          <t>CORREGIBLE</t>
        </is>
      </c>
      <c r="K2284" s="16" t="b">
        <v>1</v>
      </c>
      <c r="L2284" s="16" t="b">
        <v>0</v>
      </c>
      <c r="M2284" s="16" t="b">
        <v>1</v>
      </c>
      <c r="N2284" s="16" t="b">
        <v>0</v>
      </c>
      <c r="O2284" s="16" t="n">
        <v>623.15</v>
      </c>
      <c r="P2284" s="16" t="n">
        <v>295.9812109658663</v>
      </c>
      <c r="Q2284" s="16" t="n">
        <v>3215.82194942213</v>
      </c>
      <c r="R2284" s="16" t="n">
        <v>253.2073328472934</v>
      </c>
      <c r="S2284" s="16" t="n">
        <v>0.5</v>
      </c>
      <c r="T2284" s="16" t="n">
        <v>0.7569324409556373</v>
      </c>
      <c r="U2284" s="16" t="n">
        <v>0.7899161612449521</v>
      </c>
      <c r="V2284" s="16" t="n">
        <v>0.4943790014541251</v>
      </c>
      <c r="W2284" s="16" t="n">
        <v>0.6510237198248047</v>
      </c>
      <c r="X2284" s="16" t="n">
        <v>0.7791150432271102</v>
      </c>
      <c r="Y2284" s="16" t="n">
        <v>295.9812109658663</v>
      </c>
      <c r="Z2284" s="16" t="n">
        <v>12.55649153369841</v>
      </c>
      <c r="AA2284" s="16" t="n">
        <v>139.317117975242</v>
      </c>
      <c r="AB2284" s="16" t="n">
        <v>2962.614616574837</v>
      </c>
      <c r="AC2284" s="16" t="n">
        <v>12.70035078866202</v>
      </c>
      <c r="AD2284" s="16" t="inlineStr">
        <is>
          <t>O2</t>
        </is>
      </c>
      <c r="AE2284" s="16" t="n"/>
    </row>
    <row r="2285">
      <c r="A2285" s="16" t="inlineStr">
        <is>
          <t>KF-M05-5-0083</t>
        </is>
      </c>
      <c r="B2285" s="16" t="inlineStr">
        <is>
          <t>4.1</t>
        </is>
      </c>
      <c r="C2285" s="16" t="inlineStr">
        <is>
          <t>4.1e</t>
        </is>
      </c>
      <c r="D2285" s="16" t="inlineStr">
        <is>
          <t>conserva su fuente y su x_b</t>
        </is>
      </c>
      <c r="E2285" s="16" t="inlineStr">
        <is>
          <t>KF-M05</t>
        </is>
      </c>
      <c r="F2285" s="16" t="inlineStr">
        <is>
          <t>KF-M05-5</t>
        </is>
      </c>
      <c r="G2285" s="16" t="inlineStr">
        <is>
          <t>B09-5</t>
        </is>
      </c>
      <c r="H2285" s="16" t="inlineStr">
        <is>
          <t>lhs</t>
        </is>
      </c>
      <c r="I2285" s="16" t="inlineStr">
        <is>
          <t>NO_CONVERGIO</t>
        </is>
      </c>
      <c r="J2285" s="16" t="inlineStr">
        <is>
          <t>NO_CONVERGIO</t>
        </is>
      </c>
      <c r="K2285" s="16" t="b">
        <v>0</v>
      </c>
      <c r="L2285" s="16" t="b">
        <v>0</v>
      </c>
      <c r="M2285" s="16" t="b">
        <v>0</v>
      </c>
      <c r="N2285" s="16" t="b">
        <v>0</v>
      </c>
      <c r="O2285" s="16" t="n">
        <v>623.15</v>
      </c>
      <c r="P2285" s="16" t="n">
        <v>300.092561303306</v>
      </c>
      <c r="Q2285" s="16" t="n">
        <v>2363.516210743458</v>
      </c>
      <c r="R2285" s="16" t="n">
        <v>531.2335115650523</v>
      </c>
      <c r="S2285" s="16" t="n">
        <v>0.5</v>
      </c>
      <c r="T2285" s="16" t="n">
        <v>0.5484332946089112</v>
      </c>
      <c r="U2285" s="16" t="n">
        <v>0.9242835141317352</v>
      </c>
      <c r="V2285" s="16" t="n">
        <v>0.9041133698755736</v>
      </c>
      <c r="W2285" s="16" t="n">
        <v>0.5658472198785538</v>
      </c>
      <c r="X2285" s="16" t="n">
        <v>0.6737061520661621</v>
      </c>
      <c r="Y2285" s="16" t="n">
        <v>300.092561303306</v>
      </c>
      <c r="Z2285" s="16" t="n"/>
      <c r="AA2285" s="16" t="n"/>
      <c r="AB2285" s="16" t="n">
        <v>1832.282699178406</v>
      </c>
      <c r="AC2285" s="16" t="n">
        <v>4.449109778071735</v>
      </c>
      <c r="AD2285" s="16" t="n"/>
      <c r="AE2285" s="16" t="n"/>
    </row>
    <row r="2286">
      <c r="A2286" s="16" t="inlineStr">
        <is>
          <t>KF-M05-5-0084</t>
        </is>
      </c>
      <c r="B2286" s="16" t="inlineStr">
        <is>
          <t>4.1</t>
        </is>
      </c>
      <c r="C2286" s="16" t="inlineStr">
        <is>
          <t>4.1e</t>
        </is>
      </c>
      <c r="D2286" s="16" t="inlineStr">
        <is>
          <t>conserva su fuente y su x_b</t>
        </is>
      </c>
      <c r="E2286" s="16" t="inlineStr">
        <is>
          <t>KF-M05</t>
        </is>
      </c>
      <c r="F2286" s="16" t="inlineStr">
        <is>
          <t>KF-M05-5</t>
        </is>
      </c>
      <c r="G2286" s="16" t="inlineStr">
        <is>
          <t>B09-5</t>
        </is>
      </c>
      <c r="H2286" s="16" t="inlineStr">
        <is>
          <t>lhs</t>
        </is>
      </c>
      <c r="I2286" s="16" t="inlineStr">
        <is>
          <t>INVIABLE</t>
        </is>
      </c>
      <c r="J2286" s="16" t="inlineStr">
        <is>
          <t>INVIABLE</t>
        </is>
      </c>
      <c r="K2286" s="16" t="b">
        <v>1</v>
      </c>
      <c r="L2286" s="16" t="b">
        <v>0</v>
      </c>
      <c r="M2286" s="16" t="b">
        <v>1</v>
      </c>
      <c r="N2286" s="16" t="b">
        <v>0</v>
      </c>
      <c r="O2286" s="16" t="n">
        <v>623.15</v>
      </c>
      <c r="P2286" s="16" t="n">
        <v>295.4669350152149</v>
      </c>
      <c r="Q2286" s="16" t="n">
        <v>3175.444603241543</v>
      </c>
      <c r="R2286" s="16" t="n">
        <v>1831.310600185678</v>
      </c>
      <c r="S2286" s="16" t="n">
        <v>0.5</v>
      </c>
      <c r="T2286" s="16" t="n">
        <v>0.5668248574995749</v>
      </c>
      <c r="U2286" s="16" t="n">
        <v>0.4802088486360409</v>
      </c>
      <c r="V2286" s="16" t="n">
        <v>0.6386617801868243</v>
      </c>
      <c r="W2286" s="16" t="n">
        <v>0.530042859878274</v>
      </c>
      <c r="X2286" s="16" t="n">
        <v>0.5686094030010287</v>
      </c>
      <c r="Y2286" s="16" t="n">
        <v>295.4669350152149</v>
      </c>
      <c r="Z2286" s="16" t="n">
        <v>-0.7520542515776201</v>
      </c>
      <c r="AA2286" s="16" t="n">
        <v>-8.647644018400946</v>
      </c>
      <c r="AB2286" s="16" t="n">
        <v>1344.134003055865</v>
      </c>
      <c r="AC2286" s="16" t="n">
        <v>1.73397380156025</v>
      </c>
      <c r="AD2286" s="16" t="inlineStr">
        <is>
          <t>O2,O3</t>
        </is>
      </c>
      <c r="AE2286" s="16" t="n"/>
    </row>
    <row r="2287">
      <c r="A2287" s="16" t="inlineStr">
        <is>
          <t>KF-M05-5-0085</t>
        </is>
      </c>
      <c r="B2287" s="16" t="inlineStr">
        <is>
          <t>4.1</t>
        </is>
      </c>
      <c r="C2287" s="16" t="inlineStr">
        <is>
          <t>4.1e</t>
        </is>
      </c>
      <c r="D2287" s="16" t="inlineStr">
        <is>
          <t>conserva su fuente y su x_b</t>
        </is>
      </c>
      <c r="E2287" s="16" t="inlineStr">
        <is>
          <t>KF-M05</t>
        </is>
      </c>
      <c r="F2287" s="16" t="inlineStr">
        <is>
          <t>KF-M05-5</t>
        </is>
      </c>
      <c r="G2287" s="16" t="inlineStr">
        <is>
          <t>B09-5</t>
        </is>
      </c>
      <c r="H2287" s="16" t="inlineStr">
        <is>
          <t>lhs</t>
        </is>
      </c>
      <c r="I2287" s="16" t="inlineStr">
        <is>
          <t>CORREGIBLE</t>
        </is>
      </c>
      <c r="J2287" s="16" t="inlineStr">
        <is>
          <t>CORREGIBLE</t>
        </is>
      </c>
      <c r="K2287" s="16" t="b">
        <v>1</v>
      </c>
      <c r="L2287" s="16" t="b">
        <v>0</v>
      </c>
      <c r="M2287" s="16" t="b">
        <v>1</v>
      </c>
      <c r="N2287" s="16" t="b">
        <v>0</v>
      </c>
      <c r="O2287" s="16" t="n">
        <v>623.15</v>
      </c>
      <c r="P2287" s="16" t="n">
        <v>297.8115192503112</v>
      </c>
      <c r="Q2287" s="16" t="n">
        <v>4008.190899044529</v>
      </c>
      <c r="R2287" s="16" t="n">
        <v>366.9110403881865</v>
      </c>
      <c r="S2287" s="16" t="n">
        <v>0.5</v>
      </c>
      <c r="T2287" s="16" t="n">
        <v>0.7444111144082912</v>
      </c>
      <c r="U2287" s="16" t="n">
        <v>0.6673012750156166</v>
      </c>
      <c r="V2287" s="16" t="n">
        <v>0.6990168924948628</v>
      </c>
      <c r="W2287" s="16" t="n">
        <v>0.6361240416965845</v>
      </c>
      <c r="X2287" s="16" t="n">
        <v>0.8840752789107373</v>
      </c>
      <c r="Y2287" s="16" t="n">
        <v>297.8115192503112</v>
      </c>
      <c r="Z2287" s="16" t="n">
        <v>13.41845538633667</v>
      </c>
      <c r="AA2287" s="16" t="n">
        <v>229.1782084789232</v>
      </c>
      <c r="AB2287" s="16" t="n">
        <v>3641.279858656343</v>
      </c>
      <c r="AC2287" s="16" t="n">
        <v>10.92414906568067</v>
      </c>
      <c r="AD2287" s="16" t="inlineStr">
        <is>
          <t>O2</t>
        </is>
      </c>
      <c r="AE2287" s="16" t="n"/>
    </row>
    <row r="2288">
      <c r="A2288" s="16" t="inlineStr">
        <is>
          <t>KF-M05-5-0086</t>
        </is>
      </c>
      <c r="B2288" s="16" t="inlineStr">
        <is>
          <t>4.1</t>
        </is>
      </c>
      <c r="C2288" s="16" t="inlineStr">
        <is>
          <t>4.1e</t>
        </is>
      </c>
      <c r="D2288" s="16" t="inlineStr">
        <is>
          <t>conserva su fuente y su x_b</t>
        </is>
      </c>
      <c r="E2288" s="16" t="inlineStr">
        <is>
          <t>KF-M05</t>
        </is>
      </c>
      <c r="F2288" s="16" t="inlineStr">
        <is>
          <t>KF-M05-5</t>
        </is>
      </c>
      <c r="G2288" s="16" t="inlineStr">
        <is>
          <t>B09-5</t>
        </is>
      </c>
      <c r="H2288" s="16" t="inlineStr">
        <is>
          <t>lhs</t>
        </is>
      </c>
      <c r="I2288" s="16" t="inlineStr">
        <is>
          <t>NO_CONVERGIO</t>
        </is>
      </c>
      <c r="J2288" s="16" t="inlineStr">
        <is>
          <t>NO_CONVERGIO</t>
        </is>
      </c>
      <c r="K2288" s="16" t="b">
        <v>0</v>
      </c>
      <c r="L2288" s="16" t="b">
        <v>0</v>
      </c>
      <c r="M2288" s="16" t="b">
        <v>0</v>
      </c>
      <c r="N2288" s="16" t="b">
        <v>0</v>
      </c>
      <c r="O2288" s="16" t="n">
        <v>623.15</v>
      </c>
      <c r="P2288" s="16" t="n">
        <v>297.8987683831615</v>
      </c>
      <c r="Q2288" s="16" t="n">
        <v>4305.579001091715</v>
      </c>
      <c r="R2288" s="16" t="n">
        <v>772.3960756385934</v>
      </c>
      <c r="S2288" s="16" t="n">
        <v>0.5</v>
      </c>
      <c r="T2288" s="16" t="n">
        <v>0.5764944096928861</v>
      </c>
      <c r="U2288" s="16" t="n">
        <v>0.4767304241761963</v>
      </c>
      <c r="V2288" s="16" t="n">
        <v>0.948736195558128</v>
      </c>
      <c r="W2288" s="16" t="n">
        <v>0.8380199500950043</v>
      </c>
      <c r="X2288" s="16" t="n">
        <v>0.8672656224330522</v>
      </c>
      <c r="Y2288" s="16" t="n">
        <v>297.8987683831615</v>
      </c>
      <c r="Z2288" s="16" t="n"/>
      <c r="AA2288" s="16" t="n"/>
      <c r="AB2288" s="16" t="n">
        <v>3533.182925453122</v>
      </c>
      <c r="AC2288" s="16" t="n">
        <v>5.574314962089876</v>
      </c>
      <c r="AD2288" s="16" t="n"/>
      <c r="AE2288" s="16" t="n"/>
    </row>
    <row r="2289">
      <c r="A2289" s="16" t="inlineStr">
        <is>
          <t>KF-M05-5-0087</t>
        </is>
      </c>
      <c r="B2289" s="16" t="inlineStr">
        <is>
          <t>4.1</t>
        </is>
      </c>
      <c r="C2289" s="16" t="inlineStr">
        <is>
          <t>4.1e</t>
        </is>
      </c>
      <c r="D2289" s="16" t="inlineStr">
        <is>
          <t>conserva su fuente y su x_b</t>
        </is>
      </c>
      <c r="E2289" s="16" t="inlineStr">
        <is>
          <t>KF-M05</t>
        </is>
      </c>
      <c r="F2289" s="16" t="inlineStr">
        <is>
          <t>KF-M05-5</t>
        </is>
      </c>
      <c r="G2289" s="16" t="inlineStr">
        <is>
          <t>B09-5</t>
        </is>
      </c>
      <c r="H2289" s="16" t="inlineStr">
        <is>
          <t>lhs</t>
        </is>
      </c>
      <c r="I2289" s="16" t="inlineStr">
        <is>
          <t>CORREGIBLE</t>
        </is>
      </c>
      <c r="J2289" s="16" t="inlineStr">
        <is>
          <t>CORREGIBLE</t>
        </is>
      </c>
      <c r="K2289" s="16" t="b">
        <v>1</v>
      </c>
      <c r="L2289" s="16" t="b">
        <v>0</v>
      </c>
      <c r="M2289" s="16" t="b">
        <v>1</v>
      </c>
      <c r="N2289" s="16" t="b">
        <v>0</v>
      </c>
      <c r="O2289" s="16" t="n">
        <v>623.15</v>
      </c>
      <c r="P2289" s="16" t="n">
        <v>302.7354752707693</v>
      </c>
      <c r="Q2289" s="16" t="n">
        <v>4070.499094943948</v>
      </c>
      <c r="R2289" s="16" t="n">
        <v>1191.521270757587</v>
      </c>
      <c r="S2289" s="16" t="n">
        <v>0.5</v>
      </c>
      <c r="T2289" s="16" t="n">
        <v>0.4804267546782602</v>
      </c>
      <c r="U2289" s="16" t="n">
        <v>0.657848342974575</v>
      </c>
      <c r="V2289" s="16" t="n">
        <v>0.7923560464583499</v>
      </c>
      <c r="W2289" s="16" t="n">
        <v>0.7632989643815795</v>
      </c>
      <c r="X2289" s="16" t="n">
        <v>0.7513227650208778</v>
      </c>
      <c r="Y2289" s="16" t="n">
        <v>302.7354752707693</v>
      </c>
      <c r="Z2289" s="16" t="n">
        <v>3.568755914962</v>
      </c>
      <c r="AA2289" s="16" t="n">
        <v>59.92223521365845</v>
      </c>
      <c r="AB2289" s="16" t="n">
        <v>2878.977824186361</v>
      </c>
      <c r="AC2289" s="16" t="n">
        <v>3.416220251238874</v>
      </c>
      <c r="AD2289" s="16" t="inlineStr">
        <is>
          <t>O2</t>
        </is>
      </c>
      <c r="AE2289" s="16" t="n"/>
    </row>
    <row r="2290">
      <c r="A2290" s="16" t="inlineStr">
        <is>
          <t>KF-M05-5-0088</t>
        </is>
      </c>
      <c r="B2290" s="16" t="inlineStr">
        <is>
          <t>4.1</t>
        </is>
      </c>
      <c r="C2290" s="16" t="inlineStr">
        <is>
          <t>4.1e</t>
        </is>
      </c>
      <c r="D2290" s="16" t="inlineStr">
        <is>
          <t>conserva su fuente y su x_b</t>
        </is>
      </c>
      <c r="E2290" s="16" t="inlineStr">
        <is>
          <t>KF-M05</t>
        </is>
      </c>
      <c r="F2290" s="16" t="inlineStr">
        <is>
          <t>KF-M05-5</t>
        </is>
      </c>
      <c r="G2290" s="16" t="inlineStr">
        <is>
          <t>B09-5</t>
        </is>
      </c>
      <c r="H2290" s="16" t="inlineStr">
        <is>
          <t>lhs</t>
        </is>
      </c>
      <c r="I2290" s="16" t="inlineStr">
        <is>
          <t>INVIABLE</t>
        </is>
      </c>
      <c r="J2290" s="16" t="inlineStr">
        <is>
          <t>INVIABLE</t>
        </is>
      </c>
      <c r="K2290" s="16" t="b">
        <v>1</v>
      </c>
      <c r="L2290" s="16" t="b">
        <v>0</v>
      </c>
      <c r="M2290" s="16" t="b">
        <v>1</v>
      </c>
      <c r="N2290" s="16" t="b">
        <v>0</v>
      </c>
      <c r="O2290" s="16" t="n">
        <v>623.15</v>
      </c>
      <c r="P2290" s="16" t="n">
        <v>280.7324657079102</v>
      </c>
      <c r="Q2290" s="16" t="n">
        <v>4901.746927936991</v>
      </c>
      <c r="R2290" s="16" t="n">
        <v>960.8701258622416</v>
      </c>
      <c r="S2290" s="16" t="n">
        <v>0.5</v>
      </c>
      <c r="T2290" s="16" t="n">
        <v>0.4730992164253182</v>
      </c>
      <c r="U2290" s="16" t="n">
        <v>0.4096026090895288</v>
      </c>
      <c r="V2290" s="16" t="n">
        <v>0.6330266802060752</v>
      </c>
      <c r="W2290" s="16" t="n">
        <v>0.7435828395015879</v>
      </c>
      <c r="X2290" s="16" t="n">
        <v>0.590370381040903</v>
      </c>
      <c r="Y2290" s="16" t="n">
        <v>280.7324657079102</v>
      </c>
      <c r="Z2290" s="16" t="n">
        <v>-4.9078403729717</v>
      </c>
      <c r="AA2290" s="16" t="n">
        <v>-55.16651721456997</v>
      </c>
      <c r="AB2290" s="16" t="n">
        <v>3940.876802074749</v>
      </c>
      <c r="AC2290" s="16" t="n">
        <v>5.101362604585488</v>
      </c>
      <c r="AD2290" s="16" t="inlineStr">
        <is>
          <t>O2,O3</t>
        </is>
      </c>
      <c r="AE2290" s="16" t="n"/>
    </row>
    <row r="2291">
      <c r="A2291" s="16" t="inlineStr">
        <is>
          <t>KF-M05-5-0089</t>
        </is>
      </c>
      <c r="B2291" s="16" t="inlineStr">
        <is>
          <t>4.1</t>
        </is>
      </c>
      <c r="C2291" s="16" t="inlineStr">
        <is>
          <t>4.1e</t>
        </is>
      </c>
      <c r="D2291" s="16" t="inlineStr">
        <is>
          <t>conserva su fuente y su x_b</t>
        </is>
      </c>
      <c r="E2291" s="16" t="inlineStr">
        <is>
          <t>KF-M05</t>
        </is>
      </c>
      <c r="F2291" s="16" t="inlineStr">
        <is>
          <t>KF-M05-5</t>
        </is>
      </c>
      <c r="G2291" s="16" t="inlineStr">
        <is>
          <t>B09-5</t>
        </is>
      </c>
      <c r="H2291" s="16" t="inlineStr">
        <is>
          <t>lhs</t>
        </is>
      </c>
      <c r="I2291" s="16" t="inlineStr">
        <is>
          <t>CORREGIBLE</t>
        </is>
      </c>
      <c r="J2291" s="16" t="inlineStr">
        <is>
          <t>CORREGIBLE</t>
        </is>
      </c>
      <c r="K2291" s="16" t="b">
        <v>1</v>
      </c>
      <c r="L2291" s="16" t="b">
        <v>0</v>
      </c>
      <c r="M2291" s="16" t="b">
        <v>1</v>
      </c>
      <c r="N2291" s="16" t="b">
        <v>0</v>
      </c>
      <c r="O2291" s="16" t="n">
        <v>623.15</v>
      </c>
      <c r="P2291" s="16" t="n">
        <v>301.1124323778039</v>
      </c>
      <c r="Q2291" s="16" t="n">
        <v>3314.400824788548</v>
      </c>
      <c r="R2291" s="16" t="n">
        <v>1272.290929718981</v>
      </c>
      <c r="S2291" s="16" t="n">
        <v>0.5</v>
      </c>
      <c r="T2291" s="16" t="n">
        <v>0.6378079798058101</v>
      </c>
      <c r="U2291" s="16" t="n">
        <v>0.7326047265819353</v>
      </c>
      <c r="V2291" s="16" t="n">
        <v>0.4468146685369958</v>
      </c>
      <c r="W2291" s="16" t="n">
        <v>0.470704641318767</v>
      </c>
      <c r="X2291" s="16" t="n">
        <v>0.5356308234119558</v>
      </c>
      <c r="Y2291" s="16" t="n">
        <v>301.1124323778039</v>
      </c>
      <c r="Z2291" s="16" t="n">
        <v>1.98987615187753</v>
      </c>
      <c r="AA2291" s="16" t="n">
        <v>16.97747341285215</v>
      </c>
      <c r="AB2291" s="16" t="n">
        <v>2042.109895069566</v>
      </c>
      <c r="AC2291" s="16" t="n">
        <v>2.605065199608567</v>
      </c>
      <c r="AD2291" s="16" t="inlineStr">
        <is>
          <t>O2</t>
        </is>
      </c>
      <c r="AE2291" s="16" t="n"/>
    </row>
    <row r="2292">
      <c r="A2292" s="16" t="inlineStr">
        <is>
          <t>KF-M05-5-0090</t>
        </is>
      </c>
      <c r="B2292" s="16" t="inlineStr">
        <is>
          <t>4.1</t>
        </is>
      </c>
      <c r="C2292" s="16" t="inlineStr">
        <is>
          <t>4.1e</t>
        </is>
      </c>
      <c r="D2292" s="16" t="inlineStr">
        <is>
          <t>conserva su fuente y su x_b</t>
        </is>
      </c>
      <c r="E2292" s="16" t="inlineStr">
        <is>
          <t>KF-M05</t>
        </is>
      </c>
      <c r="F2292" s="16" t="inlineStr">
        <is>
          <t>KF-M05-5</t>
        </is>
      </c>
      <c r="G2292" s="16" t="inlineStr">
        <is>
          <t>B09-5</t>
        </is>
      </c>
      <c r="H2292" s="16" t="inlineStr">
        <is>
          <t>lhs</t>
        </is>
      </c>
      <c r="I2292" s="16" t="inlineStr">
        <is>
          <t>CORREGIBLE</t>
        </is>
      </c>
      <c r="J2292" s="16" t="inlineStr">
        <is>
          <t>CORREGIBLE</t>
        </is>
      </c>
      <c r="K2292" s="16" t="b">
        <v>1</v>
      </c>
      <c r="L2292" s="16" t="b">
        <v>0</v>
      </c>
      <c r="M2292" s="16" t="b">
        <v>1</v>
      </c>
      <c r="N2292" s="16" t="b">
        <v>0</v>
      </c>
      <c r="O2292" s="16" t="n">
        <v>623.15</v>
      </c>
      <c r="P2292" s="16" t="n">
        <v>301.8029592550915</v>
      </c>
      <c r="Q2292" s="16" t="n">
        <v>3761.347154945349</v>
      </c>
      <c r="R2292" s="16" t="n">
        <v>1533.906206495339</v>
      </c>
      <c r="S2292" s="16" t="n">
        <v>0.5</v>
      </c>
      <c r="T2292" s="16" t="n">
        <v>0.7660602720665552</v>
      </c>
      <c r="U2292" s="16" t="n">
        <v>0.5034942332396917</v>
      </c>
      <c r="V2292" s="16" t="n">
        <v>0.46908564719442</v>
      </c>
      <c r="W2292" s="16" t="n">
        <v>0.7114981793352628</v>
      </c>
      <c r="X2292" s="16" t="n">
        <v>0.6253383863783928</v>
      </c>
      <c r="Y2292" s="16" t="n">
        <v>301.8029592550915</v>
      </c>
      <c r="Z2292" s="16" t="n">
        <v>3.82421796941316</v>
      </c>
      <c r="AA2292" s="16" t="n">
        <v>36.71379720146987</v>
      </c>
      <c r="AB2292" s="16" t="n">
        <v>2227.44094845001</v>
      </c>
      <c r="AC2292" s="16" t="n">
        <v>2.452136342507705</v>
      </c>
      <c r="AD2292" s="16" t="inlineStr">
        <is>
          <t>O2</t>
        </is>
      </c>
      <c r="AE2292" s="16" t="n"/>
    </row>
    <row r="2293">
      <c r="A2293" s="16" t="inlineStr">
        <is>
          <t>KF-M05-5-0091</t>
        </is>
      </c>
      <c r="B2293" s="16" t="inlineStr">
        <is>
          <t>4.1</t>
        </is>
      </c>
      <c r="C2293" s="16" t="inlineStr">
        <is>
          <t>4.1e</t>
        </is>
      </c>
      <c r="D2293" s="16" t="inlineStr">
        <is>
          <t>conserva su fuente y su x_b</t>
        </is>
      </c>
      <c r="E2293" s="16" t="inlineStr">
        <is>
          <t>KF-M05</t>
        </is>
      </c>
      <c r="F2293" s="16" t="inlineStr">
        <is>
          <t>KF-M05-5</t>
        </is>
      </c>
      <c r="G2293" s="16" t="inlineStr">
        <is>
          <t>B09-5</t>
        </is>
      </c>
      <c r="H2293" s="16" t="inlineStr">
        <is>
          <t>lhs</t>
        </is>
      </c>
      <c r="I2293" s="16" t="inlineStr">
        <is>
          <t>NO_CONVERGIO</t>
        </is>
      </c>
      <c r="J2293" s="16" t="inlineStr">
        <is>
          <t>NO_CONVERGIO</t>
        </is>
      </c>
      <c r="K2293" s="16" t="b">
        <v>0</v>
      </c>
      <c r="L2293" s="16" t="b">
        <v>0</v>
      </c>
      <c r="M2293" s="16" t="b">
        <v>0</v>
      </c>
      <c r="N2293" s="16" t="b">
        <v>0</v>
      </c>
      <c r="O2293" s="16" t="n">
        <v>623.15</v>
      </c>
      <c r="P2293" s="16" t="n">
        <v>283.6526231984533</v>
      </c>
      <c r="Q2293" s="16" t="n">
        <v>4513.291469633039</v>
      </c>
      <c r="R2293" s="16" t="n">
        <v>820.7067047694444</v>
      </c>
      <c r="S2293" s="16" t="n">
        <v>0.5</v>
      </c>
      <c r="T2293" s="16" t="n">
        <v>0.8506683725122195</v>
      </c>
      <c r="U2293" s="16" t="n">
        <v>0.6486799114804176</v>
      </c>
      <c r="V2293" s="16" t="n">
        <v>0.8940432063505441</v>
      </c>
      <c r="W2293" s="16" t="n">
        <v>0.6427925236206167</v>
      </c>
      <c r="X2293" s="16" t="n">
        <v>0.7156010692061066</v>
      </c>
      <c r="Y2293" s="16" t="n">
        <v>283.6526231984533</v>
      </c>
      <c r="Z2293" s="16" t="n"/>
      <c r="AA2293" s="16" t="n"/>
      <c r="AB2293" s="16" t="n">
        <v>3692.584764863595</v>
      </c>
      <c r="AC2293" s="16" t="n">
        <v>5.49927451963601</v>
      </c>
      <c r="AD2293" s="16" t="n"/>
      <c r="AE2293" s="16" t="n"/>
    </row>
    <row r="2294">
      <c r="A2294" s="16" t="inlineStr">
        <is>
          <t>KF-M05-5-0092</t>
        </is>
      </c>
      <c r="B2294" s="16" t="inlineStr">
        <is>
          <t>4.1</t>
        </is>
      </c>
      <c r="C2294" s="16" t="inlineStr">
        <is>
          <t>4.1e</t>
        </is>
      </c>
      <c r="D2294" s="16" t="inlineStr">
        <is>
          <t>conserva su fuente y su x_b</t>
        </is>
      </c>
      <c r="E2294" s="16" t="inlineStr">
        <is>
          <t>KF-M05</t>
        </is>
      </c>
      <c r="F2294" s="16" t="inlineStr">
        <is>
          <t>KF-M05-5</t>
        </is>
      </c>
      <c r="G2294" s="16" t="inlineStr">
        <is>
          <t>B09-5</t>
        </is>
      </c>
      <c r="H2294" s="16" t="inlineStr">
        <is>
          <t>lhs</t>
        </is>
      </c>
      <c r="I2294" s="16" t="inlineStr">
        <is>
          <t>INVIABLE</t>
        </is>
      </c>
      <c r="J2294" s="16" t="inlineStr">
        <is>
          <t>INVIABLE</t>
        </is>
      </c>
      <c r="K2294" s="16" t="b">
        <v>1</v>
      </c>
      <c r="L2294" s="16" t="b">
        <v>0</v>
      </c>
      <c r="M2294" s="16" t="b">
        <v>1</v>
      </c>
      <c r="N2294" s="16" t="b">
        <v>0</v>
      </c>
      <c r="O2294" s="16" t="n">
        <v>623.15</v>
      </c>
      <c r="P2294" s="16" t="n">
        <v>278.2806227251887</v>
      </c>
      <c r="Q2294" s="16" t="n">
        <v>4786.747361690149</v>
      </c>
      <c r="R2294" s="16" t="n">
        <v>1034.26491436048</v>
      </c>
      <c r="S2294" s="16" t="n">
        <v>0.5</v>
      </c>
      <c r="T2294" s="16" t="n">
        <v>0.4389186803668382</v>
      </c>
      <c r="U2294" s="16" t="n">
        <v>0.6087270727663771</v>
      </c>
      <c r="V2294" s="16" t="n">
        <v>0.6704093115586154</v>
      </c>
      <c r="W2294" s="16" t="n">
        <v>0.725609877714638</v>
      </c>
      <c r="X2294" s="16" t="n">
        <v>0.5840127145312425</v>
      </c>
      <c r="Y2294" s="16" t="n">
        <v>278.2806227251887</v>
      </c>
      <c r="Z2294" s="16" t="n">
        <v>-0.8647151670275099</v>
      </c>
      <c r="AA2294" s="16" t="n">
        <v>-10.43890016948423</v>
      </c>
      <c r="AB2294" s="16" t="n">
        <v>3752.482447329669</v>
      </c>
      <c r="AC2294" s="16" t="n">
        <v>4.62816372790713</v>
      </c>
      <c r="AD2294" s="16" t="inlineStr">
        <is>
          <t>O2,O3</t>
        </is>
      </c>
      <c r="AE2294" s="16" t="n"/>
    </row>
    <row r="2295">
      <c r="A2295" s="16" t="inlineStr">
        <is>
          <t>KF-M05-5-0093</t>
        </is>
      </c>
      <c r="B2295" s="16" t="inlineStr">
        <is>
          <t>4.1</t>
        </is>
      </c>
      <c r="C2295" s="16" t="inlineStr">
        <is>
          <t>4.1e</t>
        </is>
      </c>
      <c r="D2295" s="16" t="inlineStr">
        <is>
          <t>conserva su fuente y su x_b</t>
        </is>
      </c>
      <c r="E2295" s="16" t="inlineStr">
        <is>
          <t>KF-M05</t>
        </is>
      </c>
      <c r="F2295" s="16" t="inlineStr">
        <is>
          <t>KF-M05-5</t>
        </is>
      </c>
      <c r="G2295" s="16" t="inlineStr">
        <is>
          <t>B09-5</t>
        </is>
      </c>
      <c r="H2295" s="16" t="inlineStr">
        <is>
          <t>lhs</t>
        </is>
      </c>
      <c r="I2295" s="16" t="inlineStr">
        <is>
          <t>CORREGIBLE</t>
        </is>
      </c>
      <c r="J2295" s="16" t="inlineStr">
        <is>
          <t>CORREGIBLE</t>
        </is>
      </c>
      <c r="K2295" s="16" t="b">
        <v>1</v>
      </c>
      <c r="L2295" s="16" t="b">
        <v>0</v>
      </c>
      <c r="M2295" s="16" t="b">
        <v>1</v>
      </c>
      <c r="N2295" s="16" t="b">
        <v>0</v>
      </c>
      <c r="O2295" s="16" t="n">
        <v>623.15</v>
      </c>
      <c r="P2295" s="16" t="n">
        <v>300.677775235457</v>
      </c>
      <c r="Q2295" s="16" t="n">
        <v>3788.411838826103</v>
      </c>
      <c r="R2295" s="16" t="n">
        <v>353.2544252426521</v>
      </c>
      <c r="S2295" s="16" t="n">
        <v>0.5</v>
      </c>
      <c r="T2295" s="16" t="n">
        <v>0.6545721800299429</v>
      </c>
      <c r="U2295" s="16" t="n">
        <v>0.5621365269773915</v>
      </c>
      <c r="V2295" s="16" t="n">
        <v>0.417312422325714</v>
      </c>
      <c r="W2295" s="16" t="n">
        <v>0.7686006374120121</v>
      </c>
      <c r="X2295" s="16" t="n">
        <v>0.7888178301930422</v>
      </c>
      <c r="Y2295" s="16" t="n">
        <v>300.677775235457</v>
      </c>
      <c r="Z2295" s="16" t="n">
        <v>10.17823036478066</v>
      </c>
      <c r="AA2295" s="16" t="n">
        <v>96.81979479147913</v>
      </c>
      <c r="AB2295" s="16" t="n">
        <v>3435.157413583451</v>
      </c>
      <c r="AC2295" s="16" t="n">
        <v>10.7243153039734</v>
      </c>
      <c r="AD2295" s="16" t="inlineStr">
        <is>
          <t>O2</t>
        </is>
      </c>
      <c r="AE2295" s="16" t="n"/>
    </row>
    <row r="2296">
      <c r="A2296" s="16" t="inlineStr">
        <is>
          <t>KF-M05-5-0094</t>
        </is>
      </c>
      <c r="B2296" s="16" t="inlineStr">
        <is>
          <t>4.1</t>
        </is>
      </c>
      <c r="C2296" s="16" t="inlineStr">
        <is>
          <t>4.1e</t>
        </is>
      </c>
      <c r="D2296" s="16" t="inlineStr">
        <is>
          <t>conserva su fuente y su x_b</t>
        </is>
      </c>
      <c r="E2296" s="16" t="inlineStr">
        <is>
          <t>KF-M05</t>
        </is>
      </c>
      <c r="F2296" s="16" t="inlineStr">
        <is>
          <t>KF-M05-5</t>
        </is>
      </c>
      <c r="G2296" s="16" t="inlineStr">
        <is>
          <t>B09-5</t>
        </is>
      </c>
      <c r="H2296" s="16" t="inlineStr">
        <is>
          <t>lhs</t>
        </is>
      </c>
      <c r="I2296" s="16" t="inlineStr">
        <is>
          <t>CORREGIBLE</t>
        </is>
      </c>
      <c r="J2296" s="16" t="inlineStr">
        <is>
          <t>CORREGIBLE</t>
        </is>
      </c>
      <c r="K2296" s="16" t="b">
        <v>1</v>
      </c>
      <c r="L2296" s="16" t="b">
        <v>0</v>
      </c>
      <c r="M2296" s="16" t="b">
        <v>1</v>
      </c>
      <c r="N2296" s="16" t="b">
        <v>0</v>
      </c>
      <c r="O2296" s="16" t="n">
        <v>623.15</v>
      </c>
      <c r="P2296" s="16" t="n">
        <v>291.2904652308292</v>
      </c>
      <c r="Q2296" s="16" t="n">
        <v>3845.309923918609</v>
      </c>
      <c r="R2296" s="16" t="n">
        <v>872.7964993701084</v>
      </c>
      <c r="S2296" s="16" t="n">
        <v>0.5</v>
      </c>
      <c r="T2296" s="16" t="n">
        <v>0.5980431481814447</v>
      </c>
      <c r="U2296" s="16" t="n">
        <v>0.5543807628616214</v>
      </c>
      <c r="V2296" s="16" t="n">
        <v>0.5501402965778752</v>
      </c>
      <c r="W2296" s="16" t="n">
        <v>0.6938750409349419</v>
      </c>
      <c r="X2296" s="16" t="n">
        <v>0.5704152693157915</v>
      </c>
      <c r="Y2296" s="16" t="n">
        <v>291.2904652308292</v>
      </c>
      <c r="Z2296" s="16" t="n">
        <v>0.2090435543694699</v>
      </c>
      <c r="AA2296" s="16" t="n">
        <v>2.119032692159422</v>
      </c>
      <c r="AB2296" s="16" t="n">
        <v>2972.513424548501</v>
      </c>
      <c r="AC2296" s="16" t="n">
        <v>4.405734815267643</v>
      </c>
      <c r="AD2296" s="16" t="inlineStr">
        <is>
          <t>O2</t>
        </is>
      </c>
      <c r="AE2296" s="16" t="n"/>
    </row>
    <row r="2297">
      <c r="A2297" s="16" t="inlineStr">
        <is>
          <t>KF-M05-5-0095</t>
        </is>
      </c>
      <c r="B2297" s="16" t="inlineStr">
        <is>
          <t>4.1</t>
        </is>
      </c>
      <c r="C2297" s="16" t="inlineStr">
        <is>
          <t>4.1e</t>
        </is>
      </c>
      <c r="D2297" s="16" t="inlineStr">
        <is>
          <t>conserva su fuente y su x_b</t>
        </is>
      </c>
      <c r="E2297" s="16" t="inlineStr">
        <is>
          <t>KF-M05</t>
        </is>
      </c>
      <c r="F2297" s="16" t="inlineStr">
        <is>
          <t>KF-M05-5</t>
        </is>
      </c>
      <c r="G2297" s="16" t="inlineStr">
        <is>
          <t>B09-5</t>
        </is>
      </c>
      <c r="H2297" s="16" t="inlineStr">
        <is>
          <t>lhs</t>
        </is>
      </c>
      <c r="I2297" s="16" t="inlineStr">
        <is>
          <t>CORREGIBLE</t>
        </is>
      </c>
      <c r="J2297" s="16" t="inlineStr">
        <is>
          <t>CORREGIBLE</t>
        </is>
      </c>
      <c r="K2297" s="16" t="b">
        <v>1</v>
      </c>
      <c r="L2297" s="16" t="b">
        <v>0</v>
      </c>
      <c r="M2297" s="16" t="b">
        <v>1</v>
      </c>
      <c r="N2297" s="16" t="b">
        <v>0</v>
      </c>
      <c r="O2297" s="16" t="n">
        <v>623.15</v>
      </c>
      <c r="P2297" s="16" t="n">
        <v>281.9704027662923</v>
      </c>
      <c r="Q2297" s="16" t="n">
        <v>3069.19437271592</v>
      </c>
      <c r="R2297" s="16" t="n">
        <v>1353.066689539028</v>
      </c>
      <c r="S2297" s="16" t="n">
        <v>0.5</v>
      </c>
      <c r="T2297" s="16" t="n">
        <v>0.4536402252655053</v>
      </c>
      <c r="U2297" s="16" t="n">
        <v>0.5433130449434425</v>
      </c>
      <c r="V2297" s="16" t="n">
        <v>0.5452033042127022</v>
      </c>
      <c r="W2297" s="16" t="n">
        <v>0.6311442554143591</v>
      </c>
      <c r="X2297" s="16" t="n">
        <v>0.6958001222138458</v>
      </c>
      <c r="Y2297" s="16" t="n">
        <v>281.9704027662923</v>
      </c>
      <c r="Z2297" s="16" t="n">
        <v>2.11143760702919</v>
      </c>
      <c r="AA2297" s="16" t="n">
        <v>25.50521629131839</v>
      </c>
      <c r="AB2297" s="16" t="n">
        <v>1716.127683176892</v>
      </c>
      <c r="AC2297" s="16" t="n">
        <v>2.268324537470917</v>
      </c>
      <c r="AD2297" s="16" t="inlineStr">
        <is>
          <t>O2</t>
        </is>
      </c>
      <c r="AE2297" s="16" t="n"/>
    </row>
    <row r="2298">
      <c r="A2298" s="16" t="inlineStr">
        <is>
          <t>KF-M05-5-0096</t>
        </is>
      </c>
      <c r="B2298" s="16" t="inlineStr">
        <is>
          <t>4.1</t>
        </is>
      </c>
      <c r="C2298" s="16" t="inlineStr">
        <is>
          <t>4.1e</t>
        </is>
      </c>
      <c r="D2298" s="16" t="inlineStr">
        <is>
          <t>conserva su fuente y su x_b</t>
        </is>
      </c>
      <c r="E2298" s="16" t="inlineStr">
        <is>
          <t>KF-M05</t>
        </is>
      </c>
      <c r="F2298" s="16" t="inlineStr">
        <is>
          <t>KF-M05-5</t>
        </is>
      </c>
      <c r="G2298" s="16" t="inlineStr">
        <is>
          <t>B09-5</t>
        </is>
      </c>
      <c r="H2298" s="16" t="inlineStr">
        <is>
          <t>lhs</t>
        </is>
      </c>
      <c r="I2298" s="16" t="inlineStr">
        <is>
          <t>KALINA</t>
        </is>
      </c>
      <c r="J2298" s="16" t="inlineStr">
        <is>
          <t>KALINA</t>
        </is>
      </c>
      <c r="K2298" s="16" t="b">
        <v>1</v>
      </c>
      <c r="L2298" s="16" t="b">
        <v>0</v>
      </c>
      <c r="M2298" s="16" t="b">
        <v>1</v>
      </c>
      <c r="N2298" s="16" t="b">
        <v>0</v>
      </c>
      <c r="O2298" s="16" t="n">
        <v>623.15</v>
      </c>
      <c r="P2298" s="16" t="n">
        <v>281.8867148012328</v>
      </c>
      <c r="Q2298" s="16" t="n">
        <v>3634.003878795266</v>
      </c>
      <c r="R2298" s="16" t="n">
        <v>654.5530203123838</v>
      </c>
      <c r="S2298" s="16" t="n">
        <v>0.5</v>
      </c>
      <c r="T2298" s="16" t="n">
        <v>0.410314210337539</v>
      </c>
      <c r="U2298" s="16" t="n">
        <v>0.4588147815310036</v>
      </c>
      <c r="V2298" s="16" t="n">
        <v>0.7998184169835948</v>
      </c>
      <c r="W2298" s="16" t="n">
        <v>0.9401385208836972</v>
      </c>
      <c r="X2298" s="16" t="n">
        <v>0.9393051122707698</v>
      </c>
      <c r="Y2298" s="16" t="n">
        <v>281.8867148012328</v>
      </c>
      <c r="Z2298" s="16" t="n">
        <v>5.20839053853468</v>
      </c>
      <c r="AA2298" s="16" t="n">
        <v>109.3555300296915</v>
      </c>
      <c r="AB2298" s="16" t="n">
        <v>2979.450858482882</v>
      </c>
      <c r="AC2298" s="16" t="n">
        <v>5.551886197180706</v>
      </c>
      <c r="AD2298" s="16" t="n"/>
      <c r="AE2298" s="16" t="n"/>
    </row>
    <row r="2299">
      <c r="A2299" s="16" t="inlineStr">
        <is>
          <t>KF-M05-5-0097</t>
        </is>
      </c>
      <c r="B2299" s="16" t="inlineStr">
        <is>
          <t>4.1</t>
        </is>
      </c>
      <c r="C2299" s="16" t="inlineStr">
        <is>
          <t>4.1e</t>
        </is>
      </c>
      <c r="D2299" s="16" t="inlineStr">
        <is>
          <t>conserva su fuente y su x_b</t>
        </is>
      </c>
      <c r="E2299" s="16" t="inlineStr">
        <is>
          <t>KF-M05</t>
        </is>
      </c>
      <c r="F2299" s="16" t="inlineStr">
        <is>
          <t>KF-M05-5</t>
        </is>
      </c>
      <c r="G2299" s="16" t="inlineStr">
        <is>
          <t>B09-5</t>
        </is>
      </c>
      <c r="H2299" s="16" t="inlineStr">
        <is>
          <t>lhs</t>
        </is>
      </c>
      <c r="I2299" s="16" t="inlineStr">
        <is>
          <t>NO_CONVERGIO</t>
        </is>
      </c>
      <c r="J2299" s="16" t="inlineStr">
        <is>
          <t>NO_CONVERGIO</t>
        </is>
      </c>
      <c r="K2299" s="16" t="b">
        <v>0</v>
      </c>
      <c r="L2299" s="16" t="b">
        <v>0</v>
      </c>
      <c r="M2299" s="16" t="b">
        <v>0</v>
      </c>
      <c r="N2299" s="16" t="b">
        <v>0</v>
      </c>
      <c r="O2299" s="16" t="n">
        <v>623.15</v>
      </c>
      <c r="P2299" s="16" t="n">
        <v>286.3657928328495</v>
      </c>
      <c r="Q2299" s="16" t="n">
        <v>4096.793341717359</v>
      </c>
      <c r="R2299" s="16" t="n">
        <v>1308.688046656212</v>
      </c>
      <c r="S2299" s="16" t="n">
        <v>0.5</v>
      </c>
      <c r="T2299" s="16" t="n">
        <v>0.4618198465194502</v>
      </c>
      <c r="U2299" s="16" t="n">
        <v>0.6380505168872938</v>
      </c>
      <c r="V2299" s="16" t="n">
        <v>0.8478497443309168</v>
      </c>
      <c r="W2299" s="16" t="n">
        <v>0.6232998489508861</v>
      </c>
      <c r="X2299" s="16" t="n">
        <v>0.6668828799023478</v>
      </c>
      <c r="Y2299" s="16" t="n">
        <v>286.3657928328495</v>
      </c>
      <c r="Z2299" s="16" t="n"/>
      <c r="AA2299" s="16" t="n"/>
      <c r="AB2299" s="16" t="n">
        <v>2788.105295061147</v>
      </c>
      <c r="AC2299" s="16" t="n">
        <v>3.130458287737056</v>
      </c>
      <c r="AD2299" s="16" t="n"/>
      <c r="AE2299" s="16" t="n"/>
    </row>
    <row r="2300">
      <c r="A2300" s="16" t="inlineStr">
        <is>
          <t>KF-M05-5-0098</t>
        </is>
      </c>
      <c r="B2300" s="16" t="inlineStr">
        <is>
          <t>4.1</t>
        </is>
      </c>
      <c r="C2300" s="16" t="inlineStr">
        <is>
          <t>4.1e</t>
        </is>
      </c>
      <c r="D2300" s="16" t="inlineStr">
        <is>
          <t>conserva su fuente y su x_b</t>
        </is>
      </c>
      <c r="E2300" s="16" t="inlineStr">
        <is>
          <t>KF-M05</t>
        </is>
      </c>
      <c r="F2300" s="16" t="inlineStr">
        <is>
          <t>KF-M05-5</t>
        </is>
      </c>
      <c r="G2300" s="16" t="inlineStr">
        <is>
          <t>B09-5</t>
        </is>
      </c>
      <c r="H2300" s="16" t="inlineStr">
        <is>
          <t>lhs</t>
        </is>
      </c>
      <c r="I2300" s="16" t="inlineStr">
        <is>
          <t>NO_CONVERGIO</t>
        </is>
      </c>
      <c r="J2300" s="16" t="inlineStr">
        <is>
          <t>NO_CONVERGIO</t>
        </is>
      </c>
      <c r="K2300" s="16" t="b">
        <v>0</v>
      </c>
      <c r="L2300" s="16" t="b">
        <v>0</v>
      </c>
      <c r="M2300" s="16" t="b">
        <v>0</v>
      </c>
      <c r="N2300" s="16" t="b">
        <v>0</v>
      </c>
      <c r="O2300" s="16" t="n">
        <v>623.15</v>
      </c>
      <c r="P2300" s="16" t="n">
        <v>298.2097219400337</v>
      </c>
      <c r="Q2300" s="16" t="n">
        <v>3503.407589856434</v>
      </c>
      <c r="R2300" s="16" t="n">
        <v>1052.863846776903</v>
      </c>
      <c r="S2300" s="16" t="n">
        <v>0.5</v>
      </c>
      <c r="T2300" s="16" t="n">
        <v>0.526412552307311</v>
      </c>
      <c r="U2300" s="16" t="n">
        <v>0.8285948168697717</v>
      </c>
      <c r="V2300" s="16" t="n">
        <v>0.8384180036743828</v>
      </c>
      <c r="W2300" s="16" t="n">
        <v>0.6139561825924018</v>
      </c>
      <c r="X2300" s="16" t="n">
        <v>0.6164690613170926</v>
      </c>
      <c r="Y2300" s="16" t="n">
        <v>298.2097219400337</v>
      </c>
      <c r="Z2300" s="16" t="n"/>
      <c r="AA2300" s="16" t="n"/>
      <c r="AB2300" s="16" t="n">
        <v>2450.543743079531</v>
      </c>
      <c r="AC2300" s="16" t="n">
        <v>3.32750298206297</v>
      </c>
      <c r="AD2300" s="16" t="n"/>
      <c r="AE2300" s="16" t="n"/>
    </row>
    <row r="2301">
      <c r="A2301" s="16" t="inlineStr">
        <is>
          <t>KF-M05-5-0099</t>
        </is>
      </c>
      <c r="B2301" s="16" t="inlineStr">
        <is>
          <t>4.1</t>
        </is>
      </c>
      <c r="C2301" s="16" t="inlineStr">
        <is>
          <t>4.1e</t>
        </is>
      </c>
      <c r="D2301" s="16" t="inlineStr">
        <is>
          <t>conserva su fuente y su x_b</t>
        </is>
      </c>
      <c r="E2301" s="16" t="inlineStr">
        <is>
          <t>KF-M05</t>
        </is>
      </c>
      <c r="F2301" s="16" t="inlineStr">
        <is>
          <t>KF-M05-5</t>
        </is>
      </c>
      <c r="G2301" s="16" t="inlineStr">
        <is>
          <t>B09-5</t>
        </is>
      </c>
      <c r="H2301" s="16" t="inlineStr">
        <is>
          <t>lhs</t>
        </is>
      </c>
      <c r="I2301" s="16" t="inlineStr">
        <is>
          <t>CORREGIBLE</t>
        </is>
      </c>
      <c r="J2301" s="16" t="inlineStr">
        <is>
          <t>CORREGIBLE</t>
        </is>
      </c>
      <c r="K2301" s="16" t="b">
        <v>1</v>
      </c>
      <c r="L2301" s="16" t="b">
        <v>0</v>
      </c>
      <c r="M2301" s="16" t="b">
        <v>1</v>
      </c>
      <c r="N2301" s="16" t="b">
        <v>0</v>
      </c>
      <c r="O2301" s="16" t="n">
        <v>623.15</v>
      </c>
      <c r="P2301" s="16" t="n">
        <v>283.3453539741016</v>
      </c>
      <c r="Q2301" s="16" t="n">
        <v>2923.845989055693</v>
      </c>
      <c r="R2301" s="16" t="n">
        <v>809.1007295238458</v>
      </c>
      <c r="S2301" s="16" t="n">
        <v>0.5</v>
      </c>
      <c r="T2301" s="16" t="n">
        <v>0.5607016531475758</v>
      </c>
      <c r="U2301" s="16" t="n">
        <v>0.6451360657213607</v>
      </c>
      <c r="V2301" s="16" t="n">
        <v>0.695131786617708</v>
      </c>
      <c r="W2301" s="16" t="n">
        <v>0.5861682555315733</v>
      </c>
      <c r="X2301" s="16" t="n">
        <v>0.7695812195811753</v>
      </c>
      <c r="Y2301" s="16" t="n">
        <v>283.3453539741016</v>
      </c>
      <c r="Z2301" s="16" t="n">
        <v>5.22903160333413</v>
      </c>
      <c r="AA2301" s="16" t="n">
        <v>83.62900648172679</v>
      </c>
      <c r="AB2301" s="16" t="n">
        <v>2114.745259531848</v>
      </c>
      <c r="AC2301" s="16" t="n">
        <v>3.613698371989321</v>
      </c>
      <c r="AD2301" s="16" t="inlineStr">
        <is>
          <t>O2</t>
        </is>
      </c>
      <c r="AE2301" s="16" t="n"/>
    </row>
    <row r="2302">
      <c r="A2302" s="16" t="inlineStr">
        <is>
          <t>KF-M05-5-0100</t>
        </is>
      </c>
      <c r="B2302" s="16" t="inlineStr">
        <is>
          <t>4.1</t>
        </is>
      </c>
      <c r="C2302" s="16" t="inlineStr">
        <is>
          <t>4.1e</t>
        </is>
      </c>
      <c r="D2302" s="16" t="inlineStr">
        <is>
          <t>conserva su fuente y su x_b</t>
        </is>
      </c>
      <c r="E2302" s="16" t="inlineStr">
        <is>
          <t>KF-M05</t>
        </is>
      </c>
      <c r="F2302" s="16" t="inlineStr">
        <is>
          <t>KF-M05-5</t>
        </is>
      </c>
      <c r="G2302" s="16" t="inlineStr">
        <is>
          <t>B09-5</t>
        </is>
      </c>
      <c r="H2302" s="16" t="inlineStr">
        <is>
          <t>lhs</t>
        </is>
      </c>
      <c r="I2302" s="16" t="inlineStr">
        <is>
          <t>INVIABLE</t>
        </is>
      </c>
      <c r="J2302" s="16" t="inlineStr">
        <is>
          <t>INVIABLE</t>
        </is>
      </c>
      <c r="K2302" s="16" t="b">
        <v>1</v>
      </c>
      <c r="L2302" s="16" t="b">
        <v>0</v>
      </c>
      <c r="M2302" s="16" t="b">
        <v>1</v>
      </c>
      <c r="N2302" s="16" t="b">
        <v>0</v>
      </c>
      <c r="O2302" s="16" t="n">
        <v>623.15</v>
      </c>
      <c r="P2302" s="16" t="n">
        <v>284.1668246856444</v>
      </c>
      <c r="Q2302" s="16" t="n">
        <v>3802.571323382816</v>
      </c>
      <c r="R2302" s="16" t="n">
        <v>723.8343620244974</v>
      </c>
      <c r="S2302" s="16" t="n">
        <v>0.5</v>
      </c>
      <c r="T2302" s="16" t="n">
        <v>0.4887291774701255</v>
      </c>
      <c r="U2302" s="16" t="n">
        <v>0.9308533079205484</v>
      </c>
      <c r="V2302" s="16" t="n">
        <v>0.58047058138861</v>
      </c>
      <c r="W2302" s="16" t="n">
        <v>0.5395191192843882</v>
      </c>
      <c r="X2302" s="16" t="n">
        <v>0.4404985140877177</v>
      </c>
      <c r="Y2302" s="16" t="n">
        <v>284.1668246856444</v>
      </c>
      <c r="Z2302" s="16" t="n">
        <v>-1.80745076446631</v>
      </c>
      <c r="AA2302" s="16" t="n">
        <v>-15.84957612680954</v>
      </c>
      <c r="AB2302" s="16" t="n">
        <v>3078.736961358319</v>
      </c>
      <c r="AC2302" s="16" t="n">
        <v>5.253372211768695</v>
      </c>
      <c r="AD2302" s="16" t="inlineStr">
        <is>
          <t>O2,O3</t>
        </is>
      </c>
      <c r="AE2302" s="16" t="n"/>
    </row>
    <row r="2303">
      <c r="A2303" s="16" t="inlineStr">
        <is>
          <t>KF-M05-5-0101</t>
        </is>
      </c>
      <c r="B2303" s="16" t="inlineStr">
        <is>
          <t>4.1</t>
        </is>
      </c>
      <c r="C2303" s="16" t="inlineStr">
        <is>
          <t>4.1e</t>
        </is>
      </c>
      <c r="D2303" s="16" t="inlineStr">
        <is>
          <t>conserva su fuente y su x_b</t>
        </is>
      </c>
      <c r="E2303" s="16" t="inlineStr">
        <is>
          <t>KF-M05</t>
        </is>
      </c>
      <c r="F2303" s="16" t="inlineStr">
        <is>
          <t>KF-M05-5</t>
        </is>
      </c>
      <c r="G2303" s="16" t="inlineStr">
        <is>
          <t>B09-5</t>
        </is>
      </c>
      <c r="H2303" s="16" t="inlineStr">
        <is>
          <t>lhs</t>
        </is>
      </c>
      <c r="I2303" s="16" t="inlineStr">
        <is>
          <t>NO_CONVERGIO</t>
        </is>
      </c>
      <c r="J2303" s="16" t="inlineStr">
        <is>
          <t>NO_CONVERGIO</t>
        </is>
      </c>
      <c r="K2303" s="16" t="b">
        <v>0</v>
      </c>
      <c r="L2303" s="16" t="b">
        <v>0</v>
      </c>
      <c r="M2303" s="16" t="b">
        <v>0</v>
      </c>
      <c r="N2303" s="16" t="b">
        <v>0</v>
      </c>
      <c r="O2303" s="16" t="n">
        <v>623.15</v>
      </c>
      <c r="P2303" s="16" t="n">
        <v>288.9553414617371</v>
      </c>
      <c r="Q2303" s="16" t="n">
        <v>3363.033421545289</v>
      </c>
      <c r="R2303" s="16" t="n">
        <v>968.3509404493616</v>
      </c>
      <c r="S2303" s="16" t="n">
        <v>0.5</v>
      </c>
      <c r="T2303" s="16" t="n">
        <v>0.4740847114993929</v>
      </c>
      <c r="U2303" s="16" t="n">
        <v>0.6640325073128396</v>
      </c>
      <c r="V2303" s="16" t="n">
        <v>0.9202034131303004</v>
      </c>
      <c r="W2303" s="16" t="n">
        <v>0.457149177001884</v>
      </c>
      <c r="X2303" s="16" t="n">
        <v>0.4857028493744426</v>
      </c>
      <c r="Y2303" s="16" t="n">
        <v>288.9553414617371</v>
      </c>
      <c r="Z2303" s="16" t="n"/>
      <c r="AA2303" s="16" t="n"/>
      <c r="AB2303" s="16" t="n">
        <v>2394.682481095927</v>
      </c>
      <c r="AC2303" s="16" t="n">
        <v>3.472948990977051</v>
      </c>
      <c r="AD2303" s="16" t="n"/>
      <c r="AE2303" s="16" t="n"/>
    </row>
    <row r="2304">
      <c r="A2304" s="16" t="inlineStr">
        <is>
          <t>KF-M05-5-0102</t>
        </is>
      </c>
      <c r="B2304" s="16" t="inlineStr">
        <is>
          <t>4.1</t>
        </is>
      </c>
      <c r="C2304" s="16" t="inlineStr">
        <is>
          <t>4.1e</t>
        </is>
      </c>
      <c r="D2304" s="16" t="inlineStr">
        <is>
          <t>conserva su fuente y su x_b</t>
        </is>
      </c>
      <c r="E2304" s="16" t="inlineStr">
        <is>
          <t>KF-M05</t>
        </is>
      </c>
      <c r="F2304" s="16" t="inlineStr">
        <is>
          <t>KF-M05-5</t>
        </is>
      </c>
      <c r="G2304" s="16" t="inlineStr">
        <is>
          <t>B09-5</t>
        </is>
      </c>
      <c r="H2304" s="16" t="inlineStr">
        <is>
          <t>lhs</t>
        </is>
      </c>
      <c r="I2304" s="16" t="inlineStr">
        <is>
          <t>NO_CONVERGIO</t>
        </is>
      </c>
      <c r="J2304" s="16" t="inlineStr">
        <is>
          <t>NO_CONVERGIO</t>
        </is>
      </c>
      <c r="K2304" s="16" t="b">
        <v>0</v>
      </c>
      <c r="L2304" s="16" t="b">
        <v>0</v>
      </c>
      <c r="M2304" s="16" t="b">
        <v>0</v>
      </c>
      <c r="N2304" s="16" t="b">
        <v>0</v>
      </c>
      <c r="O2304" s="16" t="n">
        <v>623.15</v>
      </c>
      <c r="P2304" s="16" t="n">
        <v>286.9985146432459</v>
      </c>
      <c r="Q2304" s="16" t="n">
        <v>4569.979239924716</v>
      </c>
      <c r="R2304" s="16" t="n">
        <v>1798.626992036524</v>
      </c>
      <c r="S2304" s="16" t="n">
        <v>0.5</v>
      </c>
      <c r="T2304" s="16" t="n">
        <v>0.7399846233090982</v>
      </c>
      <c r="U2304" s="16" t="n">
        <v>0.4643883722713667</v>
      </c>
      <c r="V2304" s="16" t="n">
        <v>0.9369453882938904</v>
      </c>
      <c r="W2304" s="16" t="n">
        <v>0.7191703587912046</v>
      </c>
      <c r="X2304" s="16" t="n">
        <v>0.4737188309689818</v>
      </c>
      <c r="Y2304" s="16" t="n">
        <v>286.9985146432459</v>
      </c>
      <c r="Z2304" s="16" t="n"/>
      <c r="AA2304" s="16" t="n"/>
      <c r="AB2304" s="16" t="n">
        <v>2771.352247888192</v>
      </c>
      <c r="AC2304" s="16" t="n">
        <v>2.540815444313045</v>
      </c>
      <c r="AD2304" s="16" t="n"/>
      <c r="AE2304" s="16" t="n"/>
    </row>
    <row r="2305">
      <c r="A2305" s="16" t="inlineStr">
        <is>
          <t>KF-M05-5-0103</t>
        </is>
      </c>
      <c r="B2305" s="16" t="inlineStr">
        <is>
          <t>4.1</t>
        </is>
      </c>
      <c r="C2305" s="16" t="inlineStr">
        <is>
          <t>4.1e</t>
        </is>
      </c>
      <c r="D2305" s="16" t="inlineStr">
        <is>
          <t>conserva su fuente y su x_b</t>
        </is>
      </c>
      <c r="E2305" s="16" t="inlineStr">
        <is>
          <t>KF-M05</t>
        </is>
      </c>
      <c r="F2305" s="16" t="inlineStr">
        <is>
          <t>KF-M05-5</t>
        </is>
      </c>
      <c r="G2305" s="16" t="inlineStr">
        <is>
          <t>B09-5</t>
        </is>
      </c>
      <c r="H2305" s="16" t="inlineStr">
        <is>
          <t>lhs</t>
        </is>
      </c>
      <c r="I2305" s="16" t="inlineStr">
        <is>
          <t>CORREGIBLE</t>
        </is>
      </c>
      <c r="J2305" s="16" t="inlineStr">
        <is>
          <t>CORREGIBLE</t>
        </is>
      </c>
      <c r="K2305" s="16" t="b">
        <v>1</v>
      </c>
      <c r="L2305" s="16" t="b">
        <v>0</v>
      </c>
      <c r="M2305" s="16" t="b">
        <v>1</v>
      </c>
      <c r="N2305" s="16" t="b">
        <v>0</v>
      </c>
      <c r="O2305" s="16" t="n">
        <v>623.15</v>
      </c>
      <c r="P2305" s="16" t="n">
        <v>300.5819823949162</v>
      </c>
      <c r="Q2305" s="16" t="n">
        <v>3479.489155037617</v>
      </c>
      <c r="R2305" s="16" t="n">
        <v>521.3504864564843</v>
      </c>
      <c r="S2305" s="16" t="n">
        <v>0.5</v>
      </c>
      <c r="T2305" s="16" t="n">
        <v>0.4195189967439587</v>
      </c>
      <c r="U2305" s="16" t="n">
        <v>0.9410653186619974</v>
      </c>
      <c r="V2305" s="16" t="n">
        <v>0.4787059191058698</v>
      </c>
      <c r="W2305" s="16" t="n">
        <v>0.4774210858776203</v>
      </c>
      <c r="X2305" s="16" t="n">
        <v>0.5828262538302718</v>
      </c>
      <c r="Y2305" s="16" t="n">
        <v>300.5819823949162</v>
      </c>
      <c r="Z2305" s="16" t="n">
        <v>0.6021124661446899</v>
      </c>
      <c r="AA2305" s="16" t="n">
        <v>5.592899570789626</v>
      </c>
      <c r="AB2305" s="16" t="n">
        <v>2958.138668581133</v>
      </c>
      <c r="AC2305" s="16" t="n">
        <v>6.673992343782038</v>
      </c>
      <c r="AD2305" s="16" t="inlineStr">
        <is>
          <t>O2</t>
        </is>
      </c>
      <c r="AE2305" s="16" t="n"/>
    </row>
    <row r="2306">
      <c r="A2306" s="16" t="inlineStr">
        <is>
          <t>KF-M05-5-0104</t>
        </is>
      </c>
      <c r="B2306" s="16" t="inlineStr">
        <is>
          <t>4.1</t>
        </is>
      </c>
      <c r="C2306" s="16" t="inlineStr">
        <is>
          <t>4.1e</t>
        </is>
      </c>
      <c r="D2306" s="16" t="inlineStr">
        <is>
          <t>conserva su fuente y su x_b</t>
        </is>
      </c>
      <c r="E2306" s="16" t="inlineStr">
        <is>
          <t>KF-M05</t>
        </is>
      </c>
      <c r="F2306" s="16" t="inlineStr">
        <is>
          <t>KF-M05-5</t>
        </is>
      </c>
      <c r="G2306" s="16" t="inlineStr">
        <is>
          <t>B09-5</t>
        </is>
      </c>
      <c r="H2306" s="16" t="inlineStr">
        <is>
          <t>lhs</t>
        </is>
      </c>
      <c r="I2306" s="16" t="inlineStr">
        <is>
          <t>KALINA</t>
        </is>
      </c>
      <c r="J2306" s="16" t="inlineStr">
        <is>
          <t>KALINA</t>
        </is>
      </c>
      <c r="K2306" s="16" t="b">
        <v>1</v>
      </c>
      <c r="L2306" s="16" t="b">
        <v>0</v>
      </c>
      <c r="M2306" s="16" t="b">
        <v>1</v>
      </c>
      <c r="N2306" s="16" t="b">
        <v>0</v>
      </c>
      <c r="O2306" s="16" t="n">
        <v>623.15</v>
      </c>
      <c r="P2306" s="16" t="n">
        <v>297.6075891015674</v>
      </c>
      <c r="Q2306" s="16" t="n">
        <v>4186.254584862701</v>
      </c>
      <c r="R2306" s="16" t="n">
        <v>1421.886942617437</v>
      </c>
      <c r="S2306" s="16" t="n">
        <v>0.5</v>
      </c>
      <c r="T2306" s="16" t="n">
        <v>0.7896863153645872</v>
      </c>
      <c r="U2306" s="16" t="n">
        <v>0.655886581762575</v>
      </c>
      <c r="V2306" s="16" t="n">
        <v>0.594822808476226</v>
      </c>
      <c r="W2306" s="16" t="n">
        <v>0.4884710725683974</v>
      </c>
      <c r="X2306" s="16" t="n">
        <v>0.8681560575291885</v>
      </c>
      <c r="Y2306" s="16" t="n">
        <v>297.6075891015674</v>
      </c>
      <c r="Z2306" s="16" t="n">
        <v>6.91984300271013</v>
      </c>
      <c r="AA2306" s="16" t="n">
        <v>99.74513258833036</v>
      </c>
      <c r="AB2306" s="16" t="n">
        <v>2764.367642245265</v>
      </c>
      <c r="AC2306" s="16" t="n">
        <v>2.944154320143459</v>
      </c>
      <c r="AD2306" s="16" t="n"/>
      <c r="AE2306" s="16" t="n"/>
    </row>
    <row r="2307">
      <c r="A2307" s="16" t="inlineStr">
        <is>
          <t>KF-M05-5-0105</t>
        </is>
      </c>
      <c r="B2307" s="16" t="inlineStr">
        <is>
          <t>4.1</t>
        </is>
      </c>
      <c r="C2307" s="16" t="inlineStr">
        <is>
          <t>4.1e</t>
        </is>
      </c>
      <c r="D2307" s="16" t="inlineStr">
        <is>
          <t>conserva su fuente y su x_b</t>
        </is>
      </c>
      <c r="E2307" s="16" t="inlineStr">
        <is>
          <t>KF-M05</t>
        </is>
      </c>
      <c r="F2307" s="16" t="inlineStr">
        <is>
          <t>KF-M05-5</t>
        </is>
      </c>
      <c r="G2307" s="16" t="inlineStr">
        <is>
          <t>B09-5</t>
        </is>
      </c>
      <c r="H2307" s="16" t="inlineStr">
        <is>
          <t>lhs</t>
        </is>
      </c>
      <c r="I2307" s="16" t="inlineStr">
        <is>
          <t>CORREGIBLE</t>
        </is>
      </c>
      <c r="J2307" s="16" t="inlineStr">
        <is>
          <t>CORREGIBLE</t>
        </is>
      </c>
      <c r="K2307" s="16" t="b">
        <v>1</v>
      </c>
      <c r="L2307" s="16" t="b">
        <v>0</v>
      </c>
      <c r="M2307" s="16" t="b">
        <v>1</v>
      </c>
      <c r="N2307" s="16" t="b">
        <v>0</v>
      </c>
      <c r="O2307" s="16" t="n">
        <v>623.15</v>
      </c>
      <c r="P2307" s="16" t="n">
        <v>295.5768800957231</v>
      </c>
      <c r="Q2307" s="16" t="n">
        <v>4826.011446144825</v>
      </c>
      <c r="R2307" s="16" t="n">
        <v>1837.459855400399</v>
      </c>
      <c r="S2307" s="16" t="n">
        <v>0.5</v>
      </c>
      <c r="T2307" s="16" t="n">
        <v>0.6193693486838527</v>
      </c>
      <c r="U2307" s="16" t="n">
        <v>0.9177152852739568</v>
      </c>
      <c r="V2307" s="16" t="n">
        <v>0.7534960075975077</v>
      </c>
      <c r="W2307" s="16" t="n">
        <v>0.6660135486110856</v>
      </c>
      <c r="X2307" s="16" t="n">
        <v>0.6295912766540228</v>
      </c>
      <c r="Y2307" s="16" t="n">
        <v>295.5768800957231</v>
      </c>
      <c r="Z2307" s="16" t="n">
        <v>4.380048140829349</v>
      </c>
      <c r="AA2307" s="16" t="n">
        <v>62.01125933345409</v>
      </c>
      <c r="AB2307" s="16" t="n">
        <v>2988.551590744426</v>
      </c>
      <c r="AC2307" s="16" t="n">
        <v>2.626458168302781</v>
      </c>
      <c r="AD2307" s="16" t="inlineStr">
        <is>
          <t>O2</t>
        </is>
      </c>
      <c r="AE2307" s="16" t="n"/>
    </row>
    <row r="2308">
      <c r="A2308" s="16" t="inlineStr">
        <is>
          <t>KF-M05-5-0106</t>
        </is>
      </c>
      <c r="B2308" s="16" t="inlineStr">
        <is>
          <t>4.1</t>
        </is>
      </c>
      <c r="C2308" s="16" t="inlineStr">
        <is>
          <t>4.1e</t>
        </is>
      </c>
      <c r="D2308" s="16" t="inlineStr">
        <is>
          <t>conserva su fuente y su x_b</t>
        </is>
      </c>
      <c r="E2308" s="16" t="inlineStr">
        <is>
          <t>KF-M05</t>
        </is>
      </c>
      <c r="F2308" s="16" t="inlineStr">
        <is>
          <t>KF-M05-5</t>
        </is>
      </c>
      <c r="G2308" s="16" t="inlineStr">
        <is>
          <t>B09-5</t>
        </is>
      </c>
      <c r="H2308" s="16" t="inlineStr">
        <is>
          <t>lhs</t>
        </is>
      </c>
      <c r="I2308" s="16" t="inlineStr">
        <is>
          <t>NO_CONVERGIO</t>
        </is>
      </c>
      <c r="J2308" s="16" t="inlineStr">
        <is>
          <t>NO_CONVERGIO</t>
        </is>
      </c>
      <c r="K2308" s="16" t="b">
        <v>0</v>
      </c>
      <c r="L2308" s="16" t="b">
        <v>0</v>
      </c>
      <c r="M2308" s="16" t="b">
        <v>0</v>
      </c>
      <c r="N2308" s="16" t="b">
        <v>0</v>
      </c>
      <c r="O2308" s="16" t="n">
        <v>623.15</v>
      </c>
      <c r="P2308" s="16" t="n">
        <v>302.4611713250135</v>
      </c>
      <c r="Q2308" s="16" t="n">
        <v>2156.504743363041</v>
      </c>
      <c r="R2308" s="16" t="n">
        <v>1735.81065581174</v>
      </c>
      <c r="S2308" s="16" t="n">
        <v>0.5</v>
      </c>
      <c r="T2308" s="16" t="n">
        <v>0.903302874712568</v>
      </c>
      <c r="U2308" s="16" t="n">
        <v>0.5575310280001806</v>
      </c>
      <c r="V2308" s="16" t="n">
        <v>0.865017941841442</v>
      </c>
      <c r="W2308" s="16" t="n">
        <v>0.7740009110666652</v>
      </c>
      <c r="X2308" s="16" t="n">
        <v>0.4959599813423894</v>
      </c>
      <c r="Y2308" s="16" t="n">
        <v>302.4611713250135</v>
      </c>
      <c r="Z2308" s="16" t="n"/>
      <c r="AA2308" s="16" t="n"/>
      <c r="AB2308" s="16" t="n">
        <v>420.694087551301</v>
      </c>
      <c r="AC2308" s="16" t="n">
        <v>1.242361738097849</v>
      </c>
      <c r="AD2308" s="16" t="n"/>
      <c r="AE2308" s="16" t="n"/>
    </row>
    <row r="2309">
      <c r="A2309" s="16" t="inlineStr">
        <is>
          <t>KF-M05-5-0107</t>
        </is>
      </c>
      <c r="B2309" s="16" t="inlineStr">
        <is>
          <t>4.1</t>
        </is>
      </c>
      <c r="C2309" s="16" t="inlineStr">
        <is>
          <t>4.1e</t>
        </is>
      </c>
      <c r="D2309" s="16" t="inlineStr">
        <is>
          <t>conserva su fuente y su x_b</t>
        </is>
      </c>
      <c r="E2309" s="16" t="inlineStr">
        <is>
          <t>KF-M05</t>
        </is>
      </c>
      <c r="F2309" s="16" t="inlineStr">
        <is>
          <t>KF-M05-5</t>
        </is>
      </c>
      <c r="G2309" s="16" t="inlineStr">
        <is>
          <t>B09-5</t>
        </is>
      </c>
      <c r="H2309" s="16" t="inlineStr">
        <is>
          <t>lhs</t>
        </is>
      </c>
      <c r="I2309" s="16" t="inlineStr">
        <is>
          <t>CORREGIBLE</t>
        </is>
      </c>
      <c r="J2309" s="16" t="inlineStr">
        <is>
          <t>CORREGIBLE</t>
        </is>
      </c>
      <c r="K2309" s="16" t="b">
        <v>1</v>
      </c>
      <c r="L2309" s="16" t="b">
        <v>0</v>
      </c>
      <c r="M2309" s="16" t="b">
        <v>1</v>
      </c>
      <c r="N2309" s="16" t="b">
        <v>0</v>
      </c>
      <c r="O2309" s="16" t="n">
        <v>623.15</v>
      </c>
      <c r="P2309" s="16" t="n">
        <v>303.2720447648547</v>
      </c>
      <c r="Q2309" s="16" t="n">
        <v>2097.808080703369</v>
      </c>
      <c r="R2309" s="16" t="n">
        <v>240.565599861495</v>
      </c>
      <c r="S2309" s="16" t="n">
        <v>0.5</v>
      </c>
      <c r="T2309" s="16" t="n">
        <v>0.7807544302213747</v>
      </c>
      <c r="U2309" s="16" t="n">
        <v>0.7205137646297837</v>
      </c>
      <c r="V2309" s="16" t="n">
        <v>0.5608239287711412</v>
      </c>
      <c r="W2309" s="16" t="n">
        <v>0.8746301452157408</v>
      </c>
      <c r="X2309" s="16" t="n">
        <v>0.8004317628307277</v>
      </c>
      <c r="Y2309" s="16" t="n">
        <v>303.2720447648547</v>
      </c>
      <c r="Z2309" s="16" t="n">
        <v>9.48157394117761</v>
      </c>
      <c r="AA2309" s="16" t="n">
        <v>110.7098299914712</v>
      </c>
      <c r="AB2309" s="16" t="n">
        <v>1857.242480841874</v>
      </c>
      <c r="AC2309" s="16" t="n">
        <v>8.720316129617769</v>
      </c>
      <c r="AD2309" s="16" t="inlineStr">
        <is>
          <t>O2</t>
        </is>
      </c>
      <c r="AE2309" s="16" t="n"/>
    </row>
    <row r="2310">
      <c r="A2310" s="16" t="inlineStr">
        <is>
          <t>KF-M05-5-0108</t>
        </is>
      </c>
      <c r="B2310" s="16" t="inlineStr">
        <is>
          <t>4.1</t>
        </is>
      </c>
      <c r="C2310" s="16" t="inlineStr">
        <is>
          <t>4.1e</t>
        </is>
      </c>
      <c r="D2310" s="16" t="inlineStr">
        <is>
          <t>conserva su fuente y su x_b</t>
        </is>
      </c>
      <c r="E2310" s="16" t="inlineStr">
        <is>
          <t>KF-M05</t>
        </is>
      </c>
      <c r="F2310" s="16" t="inlineStr">
        <is>
          <t>KF-M05-5</t>
        </is>
      </c>
      <c r="G2310" s="16" t="inlineStr">
        <is>
          <t>B09-5</t>
        </is>
      </c>
      <c r="H2310" s="16" t="inlineStr">
        <is>
          <t>lhs</t>
        </is>
      </c>
      <c r="I2310" s="16" t="inlineStr">
        <is>
          <t>INVIABLE</t>
        </is>
      </c>
      <c r="J2310" s="16" t="inlineStr">
        <is>
          <t>INVIABLE</t>
        </is>
      </c>
      <c r="K2310" s="16" t="b">
        <v>1</v>
      </c>
      <c r="L2310" s="16" t="b">
        <v>0</v>
      </c>
      <c r="M2310" s="16" t="b">
        <v>1</v>
      </c>
      <c r="N2310" s="16" t="b">
        <v>0</v>
      </c>
      <c r="O2310" s="16" t="n">
        <v>623.15</v>
      </c>
      <c r="P2310" s="16" t="n">
        <v>301.2574968865299</v>
      </c>
      <c r="Q2310" s="16" t="n">
        <v>2341.315308483828</v>
      </c>
      <c r="R2310" s="16" t="n">
        <v>1258.007650790563</v>
      </c>
      <c r="S2310" s="16" t="n">
        <v>0.5</v>
      </c>
      <c r="T2310" s="16" t="n">
        <v>0.497155006371295</v>
      </c>
      <c r="U2310" s="16" t="n">
        <v>0.6787802731884753</v>
      </c>
      <c r="V2310" s="16" t="n">
        <v>0.6163768757869479</v>
      </c>
      <c r="W2310" s="16" t="n">
        <v>0.7029835948965528</v>
      </c>
      <c r="X2310" s="16" t="n">
        <v>0.4575294615525725</v>
      </c>
      <c r="Y2310" s="16" t="n">
        <v>301.2574968865299</v>
      </c>
      <c r="Z2310" s="16" t="n">
        <v>-2.50380073083568</v>
      </c>
      <c r="AA2310" s="16" t="n">
        <v>-23.4446665006464</v>
      </c>
      <c r="AB2310" s="16" t="n">
        <v>1083.307657693264</v>
      </c>
      <c r="AC2310" s="16" t="n">
        <v>1.861129625890977</v>
      </c>
      <c r="AD2310" s="16" t="inlineStr">
        <is>
          <t>O2,O3</t>
        </is>
      </c>
      <c r="AE2310" s="16" t="n"/>
    </row>
    <row r="2311">
      <c r="A2311" s="16" t="inlineStr">
        <is>
          <t>KF-M05-5-0109</t>
        </is>
      </c>
      <c r="B2311" s="16" t="inlineStr">
        <is>
          <t>4.1</t>
        </is>
      </c>
      <c r="C2311" s="16" t="inlineStr">
        <is>
          <t>4.1e</t>
        </is>
      </c>
      <c r="D2311" s="16" t="inlineStr">
        <is>
          <t>conserva su fuente y su x_b</t>
        </is>
      </c>
      <c r="E2311" s="16" t="inlineStr">
        <is>
          <t>KF-M05</t>
        </is>
      </c>
      <c r="F2311" s="16" t="inlineStr">
        <is>
          <t>KF-M05-5</t>
        </is>
      </c>
      <c r="G2311" s="16" t="inlineStr">
        <is>
          <t>B09-5</t>
        </is>
      </c>
      <c r="H2311" s="16" t="inlineStr">
        <is>
          <t>lhs</t>
        </is>
      </c>
      <c r="I2311" s="16" t="inlineStr">
        <is>
          <t>CORREGIBLE</t>
        </is>
      </c>
      <c r="J2311" s="16" t="inlineStr">
        <is>
          <t>CORREGIBLE</t>
        </is>
      </c>
      <c r="K2311" s="16" t="b">
        <v>1</v>
      </c>
      <c r="L2311" s="16" t="b">
        <v>0</v>
      </c>
      <c r="M2311" s="16" t="b">
        <v>1</v>
      </c>
      <c r="N2311" s="16" t="b">
        <v>0</v>
      </c>
      <c r="O2311" s="16" t="n">
        <v>623.15</v>
      </c>
      <c r="P2311" s="16" t="n">
        <v>286.6944056692471</v>
      </c>
      <c r="Q2311" s="16" t="n">
        <v>4483.987463966094</v>
      </c>
      <c r="R2311" s="16" t="n">
        <v>1660.221978615952</v>
      </c>
      <c r="S2311" s="16" t="n">
        <v>0.5</v>
      </c>
      <c r="T2311" s="16" t="n">
        <v>0.8363730633282102</v>
      </c>
      <c r="U2311" s="16" t="n">
        <v>0.8910503460504133</v>
      </c>
      <c r="V2311" s="16" t="n">
        <v>0.5103106067315604</v>
      </c>
      <c r="W2311" s="16" t="n">
        <v>0.4146685657061709</v>
      </c>
      <c r="X2311" s="16" t="n">
        <v>0.5985099581714421</v>
      </c>
      <c r="Y2311" s="16" t="n">
        <v>286.6944056692471</v>
      </c>
      <c r="Z2311" s="16" t="n">
        <v>6.91042329933562</v>
      </c>
      <c r="AA2311" s="16" t="n">
        <v>72.34455841477197</v>
      </c>
      <c r="AB2311" s="16" t="n">
        <v>2823.765485350142</v>
      </c>
      <c r="AC2311" s="16" t="n">
        <v>2.700836106087561</v>
      </c>
      <c r="AD2311" s="16" t="inlineStr">
        <is>
          <t>O2</t>
        </is>
      </c>
      <c r="AE2311" s="16" t="n"/>
    </row>
    <row r="2312">
      <c r="A2312" s="16" t="inlineStr">
        <is>
          <t>KF-M05-5-0110</t>
        </is>
      </c>
      <c r="B2312" s="16" t="inlineStr">
        <is>
          <t>4.1</t>
        </is>
      </c>
      <c r="C2312" s="16" t="inlineStr">
        <is>
          <t>4.1e</t>
        </is>
      </c>
      <c r="D2312" s="16" t="inlineStr">
        <is>
          <t>conserva su fuente y su x_b</t>
        </is>
      </c>
      <c r="E2312" s="16" t="inlineStr">
        <is>
          <t>KF-M05</t>
        </is>
      </c>
      <c r="F2312" s="16" t="inlineStr">
        <is>
          <t>KF-M05-5</t>
        </is>
      </c>
      <c r="G2312" s="16" t="inlineStr">
        <is>
          <t>B09-5</t>
        </is>
      </c>
      <c r="H2312" s="16" t="inlineStr">
        <is>
          <t>lhs</t>
        </is>
      </c>
      <c r="I2312" s="16" t="inlineStr">
        <is>
          <t>CORREGIBLE</t>
        </is>
      </c>
      <c r="J2312" s="16" t="inlineStr">
        <is>
          <t>CORREGIBLE</t>
        </is>
      </c>
      <c r="K2312" s="16" t="b">
        <v>1</v>
      </c>
      <c r="L2312" s="16" t="b">
        <v>0</v>
      </c>
      <c r="M2312" s="16" t="b">
        <v>1</v>
      </c>
      <c r="N2312" s="16" t="b">
        <v>0</v>
      </c>
      <c r="O2312" s="16" t="n">
        <v>623.15</v>
      </c>
      <c r="P2312" s="16" t="n">
        <v>294.5156290309659</v>
      </c>
      <c r="Q2312" s="16" t="n">
        <v>3345.546793461149</v>
      </c>
      <c r="R2312" s="16" t="n">
        <v>1233.887343762725</v>
      </c>
      <c r="S2312" s="16" t="n">
        <v>0.5</v>
      </c>
      <c r="T2312" s="16" t="n">
        <v>0.4070295725764841</v>
      </c>
      <c r="U2312" s="16" t="n">
        <v>0.5394218694916112</v>
      </c>
      <c r="V2312" s="16" t="n">
        <v>0.8257194019385299</v>
      </c>
      <c r="W2312" s="16" t="n">
        <v>0.7765506200426867</v>
      </c>
      <c r="X2312" s="16" t="n">
        <v>0.8510544228854715</v>
      </c>
      <c r="Y2312" s="16" t="n">
        <v>294.5156290309659</v>
      </c>
      <c r="Z2312" s="16" t="n">
        <v>3.27712140063837</v>
      </c>
      <c r="AA2312" s="16" t="n">
        <v>65.1548695341174</v>
      </c>
      <c r="AB2312" s="16" t="n">
        <v>2111.659449698423</v>
      </c>
      <c r="AC2312" s="16" t="n">
        <v>2.711387559304193</v>
      </c>
      <c r="AD2312" s="16" t="inlineStr">
        <is>
          <t>O2</t>
        </is>
      </c>
      <c r="AE2312" s="16" t="n"/>
    </row>
    <row r="2313">
      <c r="A2313" s="16" t="inlineStr">
        <is>
          <t>KF-M05-5-0111</t>
        </is>
      </c>
      <c r="B2313" s="16" t="inlineStr">
        <is>
          <t>4.1</t>
        </is>
      </c>
      <c r="C2313" s="16" t="inlineStr">
        <is>
          <t>4.1e</t>
        </is>
      </c>
      <c r="D2313" s="16" t="inlineStr">
        <is>
          <t>conserva su fuente y su x_b</t>
        </is>
      </c>
      <c r="E2313" s="16" t="inlineStr">
        <is>
          <t>KF-M05</t>
        </is>
      </c>
      <c r="F2313" s="16" t="inlineStr">
        <is>
          <t>KF-M05-5</t>
        </is>
      </c>
      <c r="G2313" s="16" t="inlineStr">
        <is>
          <t>B09-5</t>
        </is>
      </c>
      <c r="H2313" s="16" t="inlineStr">
        <is>
          <t>lhs</t>
        </is>
      </c>
      <c r="I2313" s="16" t="inlineStr">
        <is>
          <t>CORREGIBLE</t>
        </is>
      </c>
      <c r="J2313" s="16" t="inlineStr">
        <is>
          <t>CORREGIBLE</t>
        </is>
      </c>
      <c r="K2313" s="16" t="b">
        <v>1</v>
      </c>
      <c r="L2313" s="16" t="b">
        <v>0</v>
      </c>
      <c r="M2313" s="16" t="b">
        <v>1</v>
      </c>
      <c r="N2313" s="16" t="b">
        <v>0</v>
      </c>
      <c r="O2313" s="16" t="n">
        <v>623.15</v>
      </c>
      <c r="P2313" s="16" t="n">
        <v>281.5314940941184</v>
      </c>
      <c r="Q2313" s="16" t="n">
        <v>2842.222597328956</v>
      </c>
      <c r="R2313" s="16" t="n">
        <v>348.3356244134676</v>
      </c>
      <c r="S2313" s="16" t="n">
        <v>0.5</v>
      </c>
      <c r="T2313" s="16" t="n">
        <v>0.9499456170741892</v>
      </c>
      <c r="U2313" s="16" t="n">
        <v>0.5370185836049917</v>
      </c>
      <c r="V2313" s="16" t="n">
        <v>0.7952841292394163</v>
      </c>
      <c r="W2313" s="16" t="n">
        <v>0.5524294283130384</v>
      </c>
      <c r="X2313" s="16" t="n">
        <v>0.8553613276488168</v>
      </c>
      <c r="Y2313" s="16" t="n">
        <v>281.5314940941184</v>
      </c>
      <c r="Z2313" s="16" t="n">
        <v>15.31453075238547</v>
      </c>
      <c r="AA2313" s="16" t="n">
        <v>304.3041348634619</v>
      </c>
      <c r="AB2313" s="16" t="n">
        <v>2493.886972915488</v>
      </c>
      <c r="AC2313" s="16" t="n">
        <v>8.159437043267481</v>
      </c>
      <c r="AD2313" s="16" t="inlineStr">
        <is>
          <t>O1,O2</t>
        </is>
      </c>
      <c r="AE2313" s="16" t="n"/>
    </row>
    <row r="2314">
      <c r="A2314" s="16" t="inlineStr">
        <is>
          <t>KF-M05-5-0112</t>
        </is>
      </c>
      <c r="B2314" s="16" t="inlineStr">
        <is>
          <t>4.1</t>
        </is>
      </c>
      <c r="C2314" s="16" t="inlineStr">
        <is>
          <t>4.1e</t>
        </is>
      </c>
      <c r="D2314" s="16" t="inlineStr">
        <is>
          <t>conserva su fuente y su x_b</t>
        </is>
      </c>
      <c r="E2314" s="16" t="inlineStr">
        <is>
          <t>KF-M05</t>
        </is>
      </c>
      <c r="F2314" s="16" t="inlineStr">
        <is>
          <t>KF-M05-5</t>
        </is>
      </c>
      <c r="G2314" s="16" t="inlineStr">
        <is>
          <t>B09-5</t>
        </is>
      </c>
      <c r="H2314" s="16" t="inlineStr">
        <is>
          <t>lhs</t>
        </is>
      </c>
      <c r="I2314" s="16" t="inlineStr">
        <is>
          <t>OMITIDO</t>
        </is>
      </c>
      <c r="J2314" s="16" t="n"/>
      <c r="K2314" s="16" t="b">
        <v>0</v>
      </c>
      <c r="L2314" s="16" t="b">
        <v>0</v>
      </c>
      <c r="M2314" s="16" t="n"/>
      <c r="N2314" s="16" t="b">
        <v>1</v>
      </c>
      <c r="O2314" s="16" t="n">
        <v>623.15</v>
      </c>
      <c r="P2314" s="16" t="n">
        <v>291.9384136358537</v>
      </c>
      <c r="Q2314" s="16" t="n">
        <v>2185.484689704686</v>
      </c>
      <c r="R2314" s="16" t="n">
        <v>1972.007263851724</v>
      </c>
      <c r="S2314" s="16" t="n">
        <v>0.5</v>
      </c>
      <c r="T2314" s="16" t="n">
        <v>0.5139318523352426</v>
      </c>
      <c r="U2314" s="16" t="n">
        <v>0.8611463999637032</v>
      </c>
      <c r="V2314" s="16" t="n">
        <v>0.4448821826351675</v>
      </c>
      <c r="W2314" s="16" t="n">
        <v>0.5508349485189691</v>
      </c>
      <c r="X2314" s="16" t="n">
        <v>0.8097394202578942</v>
      </c>
      <c r="Y2314" s="16" t="n"/>
      <c r="Z2314" s="16" t="n"/>
      <c r="AA2314" s="16" t="n"/>
      <c r="AB2314" s="16" t="n">
        <v>213.4774258529614</v>
      </c>
      <c r="AC2314" s="16" t="n">
        <v>1.108253873992329</v>
      </c>
      <c r="AD2314" s="16" t="n"/>
      <c r="AE2314" s="16" t="n"/>
    </row>
    <row r="2315">
      <c r="A2315" s="16" t="inlineStr">
        <is>
          <t>KF-M05-5-0113</t>
        </is>
      </c>
      <c r="B2315" s="16" t="inlineStr">
        <is>
          <t>4.1</t>
        </is>
      </c>
      <c r="C2315" s="16" t="inlineStr">
        <is>
          <t>4.1e</t>
        </is>
      </c>
      <c r="D2315" s="16" t="inlineStr">
        <is>
          <t>conserva su fuente y su x_b</t>
        </is>
      </c>
      <c r="E2315" s="16" t="inlineStr">
        <is>
          <t>KF-M05</t>
        </is>
      </c>
      <c r="F2315" s="16" t="inlineStr">
        <is>
          <t>KF-M05-5</t>
        </is>
      </c>
      <c r="G2315" s="16" t="inlineStr">
        <is>
          <t>B09-5</t>
        </is>
      </c>
      <c r="H2315" s="16" t="inlineStr">
        <is>
          <t>lhs</t>
        </is>
      </c>
      <c r="I2315" s="16" t="inlineStr">
        <is>
          <t>NO_CONVERGIO</t>
        </is>
      </c>
      <c r="J2315" s="16" t="inlineStr">
        <is>
          <t>NO_CONVERGIO</t>
        </is>
      </c>
      <c r="K2315" s="16" t="b">
        <v>0</v>
      </c>
      <c r="L2315" s="16" t="b">
        <v>0</v>
      </c>
      <c r="M2315" s="16" t="b">
        <v>0</v>
      </c>
      <c r="N2315" s="16" t="b">
        <v>0</v>
      </c>
      <c r="O2315" s="16" t="n">
        <v>623.15</v>
      </c>
      <c r="P2315" s="16" t="n">
        <v>291.0749233341306</v>
      </c>
      <c r="Q2315" s="16" t="n">
        <v>2296.829804719318</v>
      </c>
      <c r="R2315" s="16" t="n">
        <v>1749.264719203607</v>
      </c>
      <c r="S2315" s="16" t="n">
        <v>0.5</v>
      </c>
      <c r="T2315" s="16" t="n">
        <v>0.7002308599045635</v>
      </c>
      <c r="U2315" s="16" t="n">
        <v>0.7973248481666888</v>
      </c>
      <c r="V2315" s="16" t="n">
        <v>0.7579102847540813</v>
      </c>
      <c r="W2315" s="16" t="n">
        <v>0.7874785669143678</v>
      </c>
      <c r="X2315" s="16" t="n">
        <v>0.428331961016022</v>
      </c>
      <c r="Y2315" s="16" t="n">
        <v>291.0749233341306</v>
      </c>
      <c r="Z2315" s="16" t="n"/>
      <c r="AA2315" s="16" t="n"/>
      <c r="AB2315" s="16" t="n">
        <v>547.5650855157114</v>
      </c>
      <c r="AC2315" s="16" t="n">
        <v>1.313025855666376</v>
      </c>
      <c r="AD2315" s="16" t="n"/>
      <c r="AE2315" s="16" t="n"/>
    </row>
    <row r="2316">
      <c r="A2316" s="16" t="inlineStr">
        <is>
          <t>KF-M05-5-0114</t>
        </is>
      </c>
      <c r="B2316" s="16" t="inlineStr">
        <is>
          <t>4.1</t>
        </is>
      </c>
      <c r="C2316" s="16" t="inlineStr">
        <is>
          <t>4.1e</t>
        </is>
      </c>
      <c r="D2316" s="16" t="inlineStr">
        <is>
          <t>conserva su fuente y su x_b</t>
        </is>
      </c>
      <c r="E2316" s="16" t="inlineStr">
        <is>
          <t>KF-M05</t>
        </is>
      </c>
      <c r="F2316" s="16" t="inlineStr">
        <is>
          <t>KF-M05-5</t>
        </is>
      </c>
      <c r="G2316" s="16" t="inlineStr">
        <is>
          <t>B09-5</t>
        </is>
      </c>
      <c r="H2316" s="16" t="inlineStr">
        <is>
          <t>lhs</t>
        </is>
      </c>
      <c r="I2316" s="16" t="inlineStr">
        <is>
          <t>CORREGIBLE</t>
        </is>
      </c>
      <c r="J2316" s="16" t="inlineStr">
        <is>
          <t>CORREGIBLE</t>
        </is>
      </c>
      <c r="K2316" s="16" t="b">
        <v>1</v>
      </c>
      <c r="L2316" s="16" t="b">
        <v>0</v>
      </c>
      <c r="M2316" s="16" t="b">
        <v>1</v>
      </c>
      <c r="N2316" s="16" t="b">
        <v>0</v>
      </c>
      <c r="O2316" s="16" t="n">
        <v>623.15</v>
      </c>
      <c r="P2316" s="16" t="n">
        <v>296.810984573016</v>
      </c>
      <c r="Q2316" s="16" t="n">
        <v>4890.436241295985</v>
      </c>
      <c r="R2316" s="16" t="n">
        <v>899.6389921019817</v>
      </c>
      <c r="S2316" s="16" t="n">
        <v>0.5</v>
      </c>
      <c r="T2316" s="16" t="n">
        <v>0.6688130022762306</v>
      </c>
      <c r="U2316" s="16" t="n">
        <v>0.8138867224356992</v>
      </c>
      <c r="V2316" s="16" t="n">
        <v>0.6382600653723445</v>
      </c>
      <c r="W2316" s="16" t="n">
        <v>0.5809341964252914</v>
      </c>
      <c r="X2316" s="16" t="n">
        <v>0.7720234107278759</v>
      </c>
      <c r="Y2316" s="16" t="n">
        <v>296.810984573016</v>
      </c>
      <c r="Z2316" s="16" t="n">
        <v>9.137257373834473</v>
      </c>
      <c r="AA2316" s="16" t="n">
        <v>130.9696960234796</v>
      </c>
      <c r="AB2316" s="16" t="n">
        <v>3990.797249194004</v>
      </c>
      <c r="AC2316" s="16" t="n">
        <v>5.435998533000016</v>
      </c>
      <c r="AD2316" s="16" t="inlineStr">
        <is>
          <t>O2</t>
        </is>
      </c>
      <c r="AE2316" s="16" t="n"/>
    </row>
    <row r="2317">
      <c r="A2317" s="16" t="inlineStr">
        <is>
          <t>KF-M05-5-0115</t>
        </is>
      </c>
      <c r="B2317" s="16" t="inlineStr">
        <is>
          <t>4.1</t>
        </is>
      </c>
      <c r="C2317" s="16" t="inlineStr">
        <is>
          <t>4.1e</t>
        </is>
      </c>
      <c r="D2317" s="16" t="inlineStr">
        <is>
          <t>conserva su fuente y su x_b</t>
        </is>
      </c>
      <c r="E2317" s="16" t="inlineStr">
        <is>
          <t>KF-M05</t>
        </is>
      </c>
      <c r="F2317" s="16" t="inlineStr">
        <is>
          <t>KF-M05-5</t>
        </is>
      </c>
      <c r="G2317" s="16" t="inlineStr">
        <is>
          <t>B09-5</t>
        </is>
      </c>
      <c r="H2317" s="16" t="inlineStr">
        <is>
          <t>lhs</t>
        </is>
      </c>
      <c r="I2317" s="16" t="inlineStr">
        <is>
          <t>CORREGIBLE</t>
        </is>
      </c>
      <c r="J2317" s="16" t="inlineStr">
        <is>
          <t>CORREGIBLE</t>
        </is>
      </c>
      <c r="K2317" s="16" t="b">
        <v>1</v>
      </c>
      <c r="L2317" s="16" t="b">
        <v>0</v>
      </c>
      <c r="M2317" s="16" t="b">
        <v>1</v>
      </c>
      <c r="N2317" s="16" t="b">
        <v>0</v>
      </c>
      <c r="O2317" s="16" t="n">
        <v>623.15</v>
      </c>
      <c r="P2317" s="16" t="n">
        <v>299.33172109497</v>
      </c>
      <c r="Q2317" s="16" t="n">
        <v>3936.153236752837</v>
      </c>
      <c r="R2317" s="16" t="n">
        <v>1577.851469488883</v>
      </c>
      <c r="S2317" s="16" t="n">
        <v>0.5</v>
      </c>
      <c r="T2317" s="16" t="n">
        <v>0.7179105765584366</v>
      </c>
      <c r="U2317" s="16" t="n">
        <v>0.7575413518538482</v>
      </c>
      <c r="V2317" s="16" t="n">
        <v>0.4294007802877608</v>
      </c>
      <c r="W2317" s="16" t="n">
        <v>0.9246142603381468</v>
      </c>
      <c r="X2317" s="16" t="n">
        <v>0.708343181491603</v>
      </c>
      <c r="Y2317" s="16" t="n">
        <v>299.33172109497</v>
      </c>
      <c r="Z2317" s="16" t="n">
        <v>6.11610992543457</v>
      </c>
      <c r="AA2317" s="16" t="n">
        <v>57.38939142341798</v>
      </c>
      <c r="AB2317" s="16" t="n">
        <v>2358.301767263953</v>
      </c>
      <c r="AC2317" s="16" t="n">
        <v>2.494628495055928</v>
      </c>
      <c r="AD2317" s="16" t="inlineStr">
        <is>
          <t>O2</t>
        </is>
      </c>
      <c r="AE2317" s="16" t="n"/>
    </row>
    <row r="2318">
      <c r="A2318" s="16" t="inlineStr">
        <is>
          <t>KF-M05-5-0116</t>
        </is>
      </c>
      <c r="B2318" s="16" t="inlineStr">
        <is>
          <t>4.1</t>
        </is>
      </c>
      <c r="C2318" s="16" t="inlineStr">
        <is>
          <t>4.1e</t>
        </is>
      </c>
      <c r="D2318" s="16" t="inlineStr">
        <is>
          <t>conserva su fuente y su x_b</t>
        </is>
      </c>
      <c r="E2318" s="16" t="inlineStr">
        <is>
          <t>KF-M05</t>
        </is>
      </c>
      <c r="F2318" s="16" t="inlineStr">
        <is>
          <t>KF-M05-5</t>
        </is>
      </c>
      <c r="G2318" s="16" t="inlineStr">
        <is>
          <t>B09-5</t>
        </is>
      </c>
      <c r="H2318" s="16" t="inlineStr">
        <is>
          <t>lhs</t>
        </is>
      </c>
      <c r="I2318" s="16" t="inlineStr">
        <is>
          <t>CORREGIBLE</t>
        </is>
      </c>
      <c r="J2318" s="16" t="inlineStr">
        <is>
          <t>CORREGIBLE</t>
        </is>
      </c>
      <c r="K2318" s="16" t="b">
        <v>1</v>
      </c>
      <c r="L2318" s="16" t="b">
        <v>0</v>
      </c>
      <c r="M2318" s="16" t="b">
        <v>1</v>
      </c>
      <c r="N2318" s="16" t="b">
        <v>0</v>
      </c>
      <c r="O2318" s="16" t="n">
        <v>623.15</v>
      </c>
      <c r="P2318" s="16" t="n">
        <v>278.9057384225816</v>
      </c>
      <c r="Q2318" s="16" t="n">
        <v>4927.06901207824</v>
      </c>
      <c r="R2318" s="16" t="n">
        <v>1950.31158710057</v>
      </c>
      <c r="S2318" s="16" t="n">
        <v>0.5</v>
      </c>
      <c r="T2318" s="16" t="n">
        <v>0.8239520863417704</v>
      </c>
      <c r="U2318" s="16" t="n">
        <v>0.7394209684855928</v>
      </c>
      <c r="V2318" s="16" t="n">
        <v>0.6582133542797153</v>
      </c>
      <c r="W2318" s="16" t="n">
        <v>0.893638363393519</v>
      </c>
      <c r="X2318" s="16" t="n">
        <v>0.7030575858623664</v>
      </c>
      <c r="Y2318" s="16" t="n">
        <v>278.9057384225816</v>
      </c>
      <c r="Z2318" s="16" t="n">
        <v>7.05982145600116</v>
      </c>
      <c r="AA2318" s="16" t="n">
        <v>100.1276245692363</v>
      </c>
      <c r="AB2318" s="16" t="n">
        <v>2976.757424977671</v>
      </c>
      <c r="AC2318" s="16" t="n">
        <v>2.526298384661226</v>
      </c>
      <c r="AD2318" s="16" t="inlineStr">
        <is>
          <t>O2</t>
        </is>
      </c>
      <c r="AE2318" s="16" t="n"/>
    </row>
    <row r="2319">
      <c r="A2319" s="16" t="inlineStr">
        <is>
          <t>KF-M05-5-0117</t>
        </is>
      </c>
      <c r="B2319" s="16" t="inlineStr">
        <is>
          <t>4.1</t>
        </is>
      </c>
      <c r="C2319" s="16" t="inlineStr">
        <is>
          <t>4.1e</t>
        </is>
      </c>
      <c r="D2319" s="16" t="inlineStr">
        <is>
          <t>conserva su fuente y su x_b</t>
        </is>
      </c>
      <c r="E2319" s="16" t="inlineStr">
        <is>
          <t>KF-M05</t>
        </is>
      </c>
      <c r="F2319" s="16" t="inlineStr">
        <is>
          <t>KF-M05-5</t>
        </is>
      </c>
      <c r="G2319" s="16" t="inlineStr">
        <is>
          <t>B09-5</t>
        </is>
      </c>
      <c r="H2319" s="16" t="inlineStr">
        <is>
          <t>lhs</t>
        </is>
      </c>
      <c r="I2319" s="16" t="inlineStr">
        <is>
          <t>CORREGIBLE</t>
        </is>
      </c>
      <c r="J2319" s="16" t="inlineStr">
        <is>
          <t>CORREGIBLE</t>
        </is>
      </c>
      <c r="K2319" s="16" t="b">
        <v>1</v>
      </c>
      <c r="L2319" s="16" t="b">
        <v>0</v>
      </c>
      <c r="M2319" s="16" t="b">
        <v>1</v>
      </c>
      <c r="N2319" s="16" t="b">
        <v>0</v>
      </c>
      <c r="O2319" s="16" t="n">
        <v>623.15</v>
      </c>
      <c r="P2319" s="16" t="n">
        <v>294.978379313271</v>
      </c>
      <c r="Q2319" s="16" t="n">
        <v>2615.397367368532</v>
      </c>
      <c r="R2319" s="16" t="n">
        <v>1382.20115223934</v>
      </c>
      <c r="S2319" s="16" t="n">
        <v>0.5</v>
      </c>
      <c r="T2319" s="16" t="n">
        <v>0.9278889267092074</v>
      </c>
      <c r="U2319" s="16" t="n">
        <v>0.5181272952655399</v>
      </c>
      <c r="V2319" s="16" t="n">
        <v>0.5725396342510303</v>
      </c>
      <c r="W2319" s="16" t="n">
        <v>0.5951813143680351</v>
      </c>
      <c r="X2319" s="16" t="n">
        <v>0.6105842156342887</v>
      </c>
      <c r="Y2319" s="16" t="n">
        <v>294.978379313271</v>
      </c>
      <c r="Z2319" s="16" t="n">
        <v>3.40121870377784</v>
      </c>
      <c r="AA2319" s="16" t="n">
        <v>38.64235944826346</v>
      </c>
      <c r="AB2319" s="16" t="n">
        <v>1233.196215129191</v>
      </c>
      <c r="AC2319" s="16" t="n">
        <v>1.892197357187308</v>
      </c>
      <c r="AD2319" s="16" t="inlineStr">
        <is>
          <t>O2</t>
        </is>
      </c>
      <c r="AE2319" s="16" t="n"/>
    </row>
    <row r="2320">
      <c r="A2320" s="16" t="inlineStr">
        <is>
          <t>KF-M05-5-0118</t>
        </is>
      </c>
      <c r="B2320" s="16" t="inlineStr">
        <is>
          <t>4.1</t>
        </is>
      </c>
      <c r="C2320" s="16" t="inlineStr">
        <is>
          <t>4.1e</t>
        </is>
      </c>
      <c r="D2320" s="16" t="inlineStr">
        <is>
          <t>conserva su fuente y su x_b</t>
        </is>
      </c>
      <c r="E2320" s="16" t="inlineStr">
        <is>
          <t>KF-M05</t>
        </is>
      </c>
      <c r="F2320" s="16" t="inlineStr">
        <is>
          <t>KF-M05-5</t>
        </is>
      </c>
      <c r="G2320" s="16" t="inlineStr">
        <is>
          <t>B09-5</t>
        </is>
      </c>
      <c r="H2320" s="16" t="inlineStr">
        <is>
          <t>lhs</t>
        </is>
      </c>
      <c r="I2320" s="16" t="inlineStr">
        <is>
          <t>CORREGIBLE</t>
        </is>
      </c>
      <c r="J2320" s="16" t="inlineStr">
        <is>
          <t>CORREGIBLE</t>
        </is>
      </c>
      <c r="K2320" s="16" t="b">
        <v>1</v>
      </c>
      <c r="L2320" s="16" t="b">
        <v>0</v>
      </c>
      <c r="M2320" s="16" t="b">
        <v>1</v>
      </c>
      <c r="N2320" s="16" t="b">
        <v>0</v>
      </c>
      <c r="O2320" s="16" t="n">
        <v>623.15</v>
      </c>
      <c r="P2320" s="16" t="n">
        <v>292.7993013666695</v>
      </c>
      <c r="Q2320" s="16" t="n">
        <v>4452.322800832719</v>
      </c>
      <c r="R2320" s="16" t="n">
        <v>1147.987597075097</v>
      </c>
      <c r="S2320" s="16" t="n">
        <v>0.5</v>
      </c>
      <c r="T2320" s="16" t="n">
        <v>0.6389095372640892</v>
      </c>
      <c r="U2320" s="16" t="n">
        <v>0.7019926685073672</v>
      </c>
      <c r="V2320" s="16" t="n">
        <v>0.7154373552486781</v>
      </c>
      <c r="W2320" s="16" t="n">
        <v>0.9110384503065684</v>
      </c>
      <c r="X2320" s="16" t="n">
        <v>0.561003241224474</v>
      </c>
      <c r="Y2320" s="16" t="n">
        <v>292.7993013666695</v>
      </c>
      <c r="Z2320" s="16" t="n">
        <v>3.02937271814263</v>
      </c>
      <c r="AA2320" s="16" t="n">
        <v>36.85190760989099</v>
      </c>
      <c r="AB2320" s="16" t="n">
        <v>3304.335203757622</v>
      </c>
      <c r="AC2320" s="16" t="n">
        <v>3.878371867585139</v>
      </c>
      <c r="AD2320" s="16" t="inlineStr">
        <is>
          <t>O2</t>
        </is>
      </c>
      <c r="AE2320" s="16" t="n"/>
    </row>
    <row r="2321">
      <c r="A2321" s="16" t="inlineStr">
        <is>
          <t>KF-M05-5-0119</t>
        </is>
      </c>
      <c r="B2321" s="16" t="inlineStr">
        <is>
          <t>4.1</t>
        </is>
      </c>
      <c r="C2321" s="16" t="inlineStr">
        <is>
          <t>4.1e</t>
        </is>
      </c>
      <c r="D2321" s="16" t="inlineStr">
        <is>
          <t>conserva su fuente y su x_b</t>
        </is>
      </c>
      <c r="E2321" s="16" t="inlineStr">
        <is>
          <t>KF-M05</t>
        </is>
      </c>
      <c r="F2321" s="16" t="inlineStr">
        <is>
          <t>KF-M05-5</t>
        </is>
      </c>
      <c r="G2321" s="16" t="inlineStr">
        <is>
          <t>B09-5</t>
        </is>
      </c>
      <c r="H2321" s="16" t="inlineStr">
        <is>
          <t>lhs</t>
        </is>
      </c>
      <c r="I2321" s="16" t="inlineStr">
        <is>
          <t>CORREGIBLE</t>
        </is>
      </c>
      <c r="J2321" s="16" t="inlineStr">
        <is>
          <t>CORREGIBLE</t>
        </is>
      </c>
      <c r="K2321" s="16" t="b">
        <v>1</v>
      </c>
      <c r="L2321" s="16" t="b">
        <v>0</v>
      </c>
      <c r="M2321" s="16" t="b">
        <v>1</v>
      </c>
      <c r="N2321" s="16" t="b">
        <v>0</v>
      </c>
      <c r="O2321" s="16" t="n">
        <v>623.15</v>
      </c>
      <c r="P2321" s="16" t="n">
        <v>297.3446496650867</v>
      </c>
      <c r="Q2321" s="16" t="n">
        <v>3469.365505883858</v>
      </c>
      <c r="R2321" s="16" t="n">
        <v>750.2141281444486</v>
      </c>
      <c r="S2321" s="16" t="n">
        <v>0.5</v>
      </c>
      <c r="T2321" s="16" t="n">
        <v>0.7577701052260662</v>
      </c>
      <c r="U2321" s="16" t="n">
        <v>0.5671784555659551</v>
      </c>
      <c r="V2321" s="16" t="n">
        <v>0.5861402207517382</v>
      </c>
      <c r="W2321" s="16" t="n">
        <v>0.4822456957013029</v>
      </c>
      <c r="X2321" s="16" t="n">
        <v>0.7945587973903037</v>
      </c>
      <c r="Y2321" s="16" t="n">
        <v>297.3446496650867</v>
      </c>
      <c r="Z2321" s="16" t="n">
        <v>8.952316850753581</v>
      </c>
      <c r="AA2321" s="16" t="n">
        <v>122.4259062127758</v>
      </c>
      <c r="AB2321" s="16" t="n">
        <v>2719.151377739409</v>
      </c>
      <c r="AC2321" s="16" t="n">
        <v>4.624500360270281</v>
      </c>
      <c r="AD2321" s="16" t="inlineStr">
        <is>
          <t>O2</t>
        </is>
      </c>
      <c r="AE2321" s="16" t="n"/>
    </row>
    <row r="2322">
      <c r="A2322" s="16" t="inlineStr">
        <is>
          <t>KF-M05c-0000</t>
        </is>
      </c>
      <c r="B2322" s="16" t="inlineStr">
        <is>
          <t>4.2</t>
        </is>
      </c>
      <c r="C2322" s="16" t="inlineStr">
        <is>
          <t>4.2</t>
        </is>
      </c>
      <c r="D2322" s="16" t="inlineStr">
        <is>
          <t>presiones del profesor, malla T_fuente × ε_cond × clima</t>
        </is>
      </c>
      <c r="E2322" s="16" t="inlineStr">
        <is>
          <t>KF-M05c</t>
        </is>
      </c>
      <c r="F2322" s="16" t="inlineStr">
        <is>
          <t>KF-M05c</t>
        </is>
      </c>
      <c r="G2322" s="16" t="inlineStr">
        <is>
          <t>B10</t>
        </is>
      </c>
      <c r="H2322" s="16" t="inlineStr">
        <is>
          <t>malla</t>
        </is>
      </c>
      <c r="I2322" s="16" t="inlineStr">
        <is>
          <t>KALINA</t>
        </is>
      </c>
      <c r="J2322" s="16" t="inlineStr">
        <is>
          <t>KALINA</t>
        </is>
      </c>
      <c r="K2322" s="16" t="b">
        <v>1</v>
      </c>
      <c r="L2322" s="16" t="b">
        <v>1</v>
      </c>
      <c r="M2322" s="16" t="b">
        <v>0</v>
      </c>
      <c r="N2322" s="16" t="b">
        <v>0</v>
      </c>
      <c r="O2322" s="16" t="n">
        <v>400</v>
      </c>
      <c r="P2322" s="16" t="n">
        <v>278.15</v>
      </c>
      <c r="Q2322" s="16" t="n">
        <v>3000</v>
      </c>
      <c r="R2322" s="16" t="n">
        <v>400</v>
      </c>
      <c r="S2322" s="16" t="n">
        <v>0.5</v>
      </c>
      <c r="T2322" s="16" t="n">
        <v>0.85</v>
      </c>
      <c r="U2322" s="16" t="n">
        <v>0.75</v>
      </c>
      <c r="V2322" s="16" t="n">
        <v>0.85</v>
      </c>
      <c r="W2322" s="16" t="n">
        <v>0.75</v>
      </c>
      <c r="X2322" s="16" t="n">
        <v>0.85</v>
      </c>
      <c r="Y2322" s="16" t="n">
        <v>278.15</v>
      </c>
      <c r="Z2322" s="16" t="n">
        <v>7.98825020763136</v>
      </c>
      <c r="AA2322" s="16" t="n">
        <v>24.26678482119516</v>
      </c>
      <c r="AB2322" s="16" t="n">
        <v>2600</v>
      </c>
      <c r="AC2322" s="16" t="n">
        <v>7.5</v>
      </c>
      <c r="AD2322" s="16" t="n"/>
      <c r="AE2322" s="16" t="n"/>
    </row>
    <row r="2323">
      <c r="A2323" s="16" t="inlineStr">
        <is>
          <t>KF-M05c-0001</t>
        </is>
      </c>
      <c r="B2323" s="16" t="inlineStr">
        <is>
          <t>4.2</t>
        </is>
      </c>
      <c r="C2323" s="16" t="inlineStr">
        <is>
          <t>4.2</t>
        </is>
      </c>
      <c r="D2323" s="16" t="inlineStr">
        <is>
          <t>presiones del profesor, malla T_fuente × ε_cond × clima</t>
        </is>
      </c>
      <c r="E2323" s="16" t="inlineStr">
        <is>
          <t>KF-M05c</t>
        </is>
      </c>
      <c r="F2323" s="16" t="inlineStr">
        <is>
          <t>KF-M05c</t>
        </is>
      </c>
      <c r="G2323" s="16" t="inlineStr">
        <is>
          <t>B10</t>
        </is>
      </c>
      <c r="H2323" s="16" t="inlineStr">
        <is>
          <t>malla</t>
        </is>
      </c>
      <c r="I2323" s="16" t="inlineStr">
        <is>
          <t>KALINA</t>
        </is>
      </c>
      <c r="J2323" s="16" t="inlineStr">
        <is>
          <t>KALINA</t>
        </is>
      </c>
      <c r="K2323" s="16" t="b">
        <v>1</v>
      </c>
      <c r="L2323" s="16" t="b">
        <v>1</v>
      </c>
      <c r="M2323" s="16" t="b">
        <v>0</v>
      </c>
      <c r="N2323" s="16" t="b">
        <v>0</v>
      </c>
      <c r="O2323" s="16" t="n">
        <v>397.5</v>
      </c>
      <c r="P2323" s="16" t="n">
        <v>278.15</v>
      </c>
      <c r="Q2323" s="16" t="n">
        <v>3000</v>
      </c>
      <c r="R2323" s="16" t="n">
        <v>400</v>
      </c>
      <c r="S2323" s="16" t="n">
        <v>0.5</v>
      </c>
      <c r="T2323" s="16" t="n">
        <v>0.85</v>
      </c>
      <c r="U2323" s="16" t="n">
        <v>0.75</v>
      </c>
      <c r="V2323" s="16" t="n">
        <v>0.85</v>
      </c>
      <c r="W2323" s="16" t="n">
        <v>0.75</v>
      </c>
      <c r="X2323" s="16" t="n">
        <v>0.85</v>
      </c>
      <c r="Y2323" s="16" t="n">
        <v>278.15</v>
      </c>
      <c r="Z2323" s="16" t="n">
        <v>7.07027253857441</v>
      </c>
      <c r="AA2323" s="16" t="n">
        <v>19.21153877713304</v>
      </c>
      <c r="AB2323" s="16" t="n">
        <v>2600</v>
      </c>
      <c r="AC2323" s="16" t="n">
        <v>7.5</v>
      </c>
      <c r="AD2323" s="16" t="n"/>
      <c r="AE2323" s="16" t="n"/>
    </row>
    <row r="2324">
      <c r="A2324" s="16" t="inlineStr">
        <is>
          <t>KF-M05c-0002</t>
        </is>
      </c>
      <c r="B2324" s="16" t="inlineStr">
        <is>
          <t>4.2</t>
        </is>
      </c>
      <c r="C2324" s="16" t="inlineStr">
        <is>
          <t>4.2</t>
        </is>
      </c>
      <c r="D2324" s="16" t="inlineStr">
        <is>
          <t>presiones del profesor, malla T_fuente × ε_cond × clima</t>
        </is>
      </c>
      <c r="E2324" s="16" t="inlineStr">
        <is>
          <t>KF-M05c</t>
        </is>
      </c>
      <c r="F2324" s="16" t="inlineStr">
        <is>
          <t>KF-M05c</t>
        </is>
      </c>
      <c r="G2324" s="16" t="inlineStr">
        <is>
          <t>B10</t>
        </is>
      </c>
      <c r="H2324" s="16" t="inlineStr">
        <is>
          <t>malla</t>
        </is>
      </c>
      <c r="I2324" s="16" t="inlineStr">
        <is>
          <t>KALINA</t>
        </is>
      </c>
      <c r="J2324" s="16" t="inlineStr">
        <is>
          <t>KALINA</t>
        </is>
      </c>
      <c r="K2324" s="16" t="b">
        <v>1</v>
      </c>
      <c r="L2324" s="16" t="b">
        <v>1</v>
      </c>
      <c r="M2324" s="16" t="b">
        <v>0</v>
      </c>
      <c r="N2324" s="16" t="b">
        <v>0</v>
      </c>
      <c r="O2324" s="16" t="n">
        <v>395</v>
      </c>
      <c r="P2324" s="16" t="n">
        <v>278.15</v>
      </c>
      <c r="Q2324" s="16" t="n">
        <v>3000</v>
      </c>
      <c r="R2324" s="16" t="n">
        <v>400</v>
      </c>
      <c r="S2324" s="16" t="n">
        <v>0.5</v>
      </c>
      <c r="T2324" s="16" t="n">
        <v>0.85</v>
      </c>
      <c r="U2324" s="16" t="n">
        <v>0.75</v>
      </c>
      <c r="V2324" s="16" t="n">
        <v>0.85</v>
      </c>
      <c r="W2324" s="16" t="n">
        <v>0.75</v>
      </c>
      <c r="X2324" s="16" t="n">
        <v>0.85</v>
      </c>
      <c r="Y2324" s="16" t="n">
        <v>278.15</v>
      </c>
      <c r="Z2324" s="16" t="n">
        <v>5.88054377308624</v>
      </c>
      <c r="AA2324" s="16" t="n">
        <v>14.04704782003044</v>
      </c>
      <c r="AB2324" s="16" t="n">
        <v>2600</v>
      </c>
      <c r="AC2324" s="16" t="n">
        <v>7.5</v>
      </c>
      <c r="AD2324" s="16" t="n"/>
      <c r="AE2324" s="16" t="n"/>
    </row>
    <row r="2325">
      <c r="A2325" s="16" t="inlineStr">
        <is>
          <t>KF-M05c-0003</t>
        </is>
      </c>
      <c r="B2325" s="16" t="inlineStr">
        <is>
          <t>4.2</t>
        </is>
      </c>
      <c r="C2325" s="16" t="inlineStr">
        <is>
          <t>4.2</t>
        </is>
      </c>
      <c r="D2325" s="16" t="inlineStr">
        <is>
          <t>presiones del profesor, malla T_fuente × ε_cond × clima</t>
        </is>
      </c>
      <c r="E2325" s="16" t="inlineStr">
        <is>
          <t>KF-M05c</t>
        </is>
      </c>
      <c r="F2325" s="16" t="inlineStr">
        <is>
          <t>KF-M05c</t>
        </is>
      </c>
      <c r="G2325" s="16" t="inlineStr">
        <is>
          <t>B10</t>
        </is>
      </c>
      <c r="H2325" s="16" t="inlineStr">
        <is>
          <t>malla</t>
        </is>
      </c>
      <c r="I2325" s="16" t="inlineStr">
        <is>
          <t>KALINA</t>
        </is>
      </c>
      <c r="J2325" s="16" t="inlineStr">
        <is>
          <t>KALINA</t>
        </is>
      </c>
      <c r="K2325" s="16" t="b">
        <v>1</v>
      </c>
      <c r="L2325" s="16" t="b">
        <v>1</v>
      </c>
      <c r="M2325" s="16" t="b">
        <v>0</v>
      </c>
      <c r="N2325" s="16" t="b">
        <v>0</v>
      </c>
      <c r="O2325" s="16" t="n">
        <v>392.5</v>
      </c>
      <c r="P2325" s="16" t="n">
        <v>278.15</v>
      </c>
      <c r="Q2325" s="16" t="n">
        <v>3000</v>
      </c>
      <c r="R2325" s="16" t="n">
        <v>400</v>
      </c>
      <c r="S2325" s="16" t="n">
        <v>0.5</v>
      </c>
      <c r="T2325" s="16" t="n">
        <v>0.85</v>
      </c>
      <c r="U2325" s="16" t="n">
        <v>0.75</v>
      </c>
      <c r="V2325" s="16" t="n">
        <v>0.85</v>
      </c>
      <c r="W2325" s="16" t="n">
        <v>0.75</v>
      </c>
      <c r="X2325" s="16" t="n">
        <v>0.85</v>
      </c>
      <c r="Y2325" s="16" t="n">
        <v>278.15</v>
      </c>
      <c r="Z2325" s="16" t="n">
        <v>4.26525717612299</v>
      </c>
      <c r="AA2325" s="16" t="n">
        <v>8.744400174842223</v>
      </c>
      <c r="AB2325" s="16" t="n">
        <v>2600</v>
      </c>
      <c r="AC2325" s="16" t="n">
        <v>7.5</v>
      </c>
      <c r="AD2325" s="16" t="n"/>
      <c r="AE2325" s="16" t="n"/>
    </row>
    <row r="2326">
      <c r="A2326" s="16" t="inlineStr">
        <is>
          <t>KF-M05c-0004</t>
        </is>
      </c>
      <c r="B2326" s="16" t="inlineStr">
        <is>
          <t>4.2</t>
        </is>
      </c>
      <c r="C2326" s="16" t="inlineStr">
        <is>
          <t>4.2</t>
        </is>
      </c>
      <c r="D2326" s="16" t="inlineStr">
        <is>
          <t>presiones del profesor, malla T_fuente × ε_cond × clima</t>
        </is>
      </c>
      <c r="E2326" s="16" t="inlineStr">
        <is>
          <t>KF-M05c</t>
        </is>
      </c>
      <c r="F2326" s="16" t="inlineStr">
        <is>
          <t>KF-M05c</t>
        </is>
      </c>
      <c r="G2326" s="16" t="inlineStr">
        <is>
          <t>B10</t>
        </is>
      </c>
      <c r="H2326" s="16" t="inlineStr">
        <is>
          <t>malla</t>
        </is>
      </c>
      <c r="I2326" s="16" t="inlineStr">
        <is>
          <t>INVIABLE</t>
        </is>
      </c>
      <c r="J2326" s="16" t="inlineStr">
        <is>
          <t>INVIABLE</t>
        </is>
      </c>
      <c r="K2326" s="16" t="b">
        <v>1</v>
      </c>
      <c r="L2326" s="16" t="b">
        <v>0</v>
      </c>
      <c r="M2326" s="16" t="b">
        <v>0</v>
      </c>
      <c r="N2326" s="16" t="b">
        <v>0</v>
      </c>
      <c r="O2326" s="16" t="n">
        <v>387.5</v>
      </c>
      <c r="P2326" s="16" t="n">
        <v>278.15</v>
      </c>
      <c r="Q2326" s="16" t="n">
        <v>3000</v>
      </c>
      <c r="R2326" s="16" t="n">
        <v>400</v>
      </c>
      <c r="S2326" s="16" t="n">
        <v>0.5</v>
      </c>
      <c r="T2326" s="16" t="n">
        <v>0.85</v>
      </c>
      <c r="U2326" s="16" t="n">
        <v>0.75</v>
      </c>
      <c r="V2326" s="16" t="n">
        <v>0.85</v>
      </c>
      <c r="W2326" s="16" t="n">
        <v>0.75</v>
      </c>
      <c r="X2326" s="16" t="n">
        <v>0.85</v>
      </c>
      <c r="Y2326" s="16" t="n">
        <v>278.15</v>
      </c>
      <c r="Z2326" s="16" t="n">
        <v>-1.81248785746133</v>
      </c>
      <c r="AA2326" s="16" t="n">
        <v>-2.414741533998651</v>
      </c>
      <c r="AB2326" s="16" t="n">
        <v>2600</v>
      </c>
      <c r="AC2326" s="16" t="n">
        <v>7.5</v>
      </c>
      <c r="AD2326" s="16" t="inlineStr">
        <is>
          <t>O3</t>
        </is>
      </c>
      <c r="AE2326" s="16" t="n"/>
    </row>
    <row r="2327">
      <c r="A2327" s="16" t="inlineStr">
        <is>
          <t>KF-M05c-0005</t>
        </is>
      </c>
      <c r="B2327" s="16" t="inlineStr">
        <is>
          <t>4.2</t>
        </is>
      </c>
      <c r="C2327" s="16" t="inlineStr">
        <is>
          <t>4.2</t>
        </is>
      </c>
      <c r="D2327" s="16" t="inlineStr">
        <is>
          <t>presiones del profesor, malla T_fuente × ε_cond × clima</t>
        </is>
      </c>
      <c r="E2327" s="16" t="inlineStr">
        <is>
          <t>KF-M05c</t>
        </is>
      </c>
      <c r="F2327" s="16" t="inlineStr">
        <is>
          <t>KF-M05c</t>
        </is>
      </c>
      <c r="G2327" s="16" t="inlineStr">
        <is>
          <t>B10</t>
        </is>
      </c>
      <c r="H2327" s="16" t="inlineStr">
        <is>
          <t>malla</t>
        </is>
      </c>
      <c r="I2327" s="16" t="inlineStr">
        <is>
          <t>KALINA</t>
        </is>
      </c>
      <c r="J2327" s="16" t="inlineStr">
        <is>
          <t>KALINA</t>
        </is>
      </c>
      <c r="K2327" s="16" t="b">
        <v>1</v>
      </c>
      <c r="L2327" s="16" t="b">
        <v>1</v>
      </c>
      <c r="M2327" s="16" t="b">
        <v>0</v>
      </c>
      <c r="N2327" s="16" t="b">
        <v>0</v>
      </c>
      <c r="O2327" s="16" t="n">
        <v>390</v>
      </c>
      <c r="P2327" s="16" t="n">
        <v>278.15</v>
      </c>
      <c r="Q2327" s="16" t="n">
        <v>3000</v>
      </c>
      <c r="R2327" s="16" t="n">
        <v>400</v>
      </c>
      <c r="S2327" s="16" t="n">
        <v>0.5</v>
      </c>
      <c r="T2327" s="16" t="n">
        <v>0.85</v>
      </c>
      <c r="U2327" s="16" t="n">
        <v>0.75</v>
      </c>
      <c r="V2327" s="16" t="n">
        <v>0.85</v>
      </c>
      <c r="W2327" s="16" t="n">
        <v>0.75</v>
      </c>
      <c r="X2327" s="16" t="n">
        <v>0.85</v>
      </c>
      <c r="Y2327" s="16" t="n">
        <v>278.15</v>
      </c>
      <c r="Z2327" s="16" t="n">
        <v>1.92486772162567</v>
      </c>
      <c r="AA2327" s="16" t="n">
        <v>3.270273060813778</v>
      </c>
      <c r="AB2327" s="16" t="n">
        <v>2600</v>
      </c>
      <c r="AC2327" s="16" t="n">
        <v>7.5</v>
      </c>
      <c r="AD2327" s="16" t="n"/>
      <c r="AE2327" s="16" t="n"/>
    </row>
    <row r="2328">
      <c r="A2328" s="16" t="inlineStr">
        <is>
          <t>KF-M05c-0006</t>
        </is>
      </c>
      <c r="B2328" s="16" t="inlineStr">
        <is>
          <t>4.2</t>
        </is>
      </c>
      <c r="C2328" s="16" t="inlineStr">
        <is>
          <t>4.2</t>
        </is>
      </c>
      <c r="D2328" s="16" t="inlineStr">
        <is>
          <t>presiones del profesor, malla T_fuente × ε_cond × clima</t>
        </is>
      </c>
      <c r="E2328" s="16" t="inlineStr">
        <is>
          <t>KF-M05c</t>
        </is>
      </c>
      <c r="F2328" s="16" t="inlineStr">
        <is>
          <t>KF-M05c</t>
        </is>
      </c>
      <c r="G2328" s="16" t="inlineStr">
        <is>
          <t>B10</t>
        </is>
      </c>
      <c r="H2328" s="16" t="inlineStr">
        <is>
          <t>malla</t>
        </is>
      </c>
      <c r="I2328" s="16" t="inlineStr">
        <is>
          <t>NO_CONVERGIO</t>
        </is>
      </c>
      <c r="J2328" s="16" t="inlineStr">
        <is>
          <t>NO_CONVERGIO</t>
        </is>
      </c>
      <c r="K2328" s="16" t="b">
        <v>0</v>
      </c>
      <c r="L2328" s="16" t="b">
        <v>0</v>
      </c>
      <c r="M2328" s="16" t="b">
        <v>0</v>
      </c>
      <c r="N2328" s="16" t="b">
        <v>0</v>
      </c>
      <c r="O2328" s="16" t="n">
        <v>410</v>
      </c>
      <c r="P2328" s="16" t="n">
        <v>278.15</v>
      </c>
      <c r="Q2328" s="16" t="n">
        <v>3000</v>
      </c>
      <c r="R2328" s="16" t="n">
        <v>400</v>
      </c>
      <c r="S2328" s="16" t="n">
        <v>0.5</v>
      </c>
      <c r="T2328" s="16" t="n">
        <v>0.85</v>
      </c>
      <c r="U2328" s="16" t="n">
        <v>0.75</v>
      </c>
      <c r="V2328" s="16" t="n">
        <v>0.85</v>
      </c>
      <c r="W2328" s="16" t="n">
        <v>0.75</v>
      </c>
      <c r="X2328" s="16" t="n">
        <v>0.85</v>
      </c>
      <c r="Y2328" s="16" t="n">
        <v>278.15</v>
      </c>
      <c r="Z2328" s="16" t="n"/>
      <c r="AA2328" s="16" t="n"/>
      <c r="AB2328" s="16" t="n">
        <v>2600</v>
      </c>
      <c r="AC2328" s="16" t="n">
        <v>7.5</v>
      </c>
      <c r="AD2328" s="16" t="n"/>
      <c r="AE2328" s="16" t="n"/>
    </row>
    <row r="2329">
      <c r="A2329" s="16" t="inlineStr">
        <is>
          <t>KF-M05c-0007</t>
        </is>
      </c>
      <c r="B2329" s="16" t="inlineStr">
        <is>
          <t>4.2</t>
        </is>
      </c>
      <c r="C2329" s="16" t="inlineStr">
        <is>
          <t>4.2</t>
        </is>
      </c>
      <c r="D2329" s="16" t="inlineStr">
        <is>
          <t>presiones del profesor, malla T_fuente × ε_cond × clima</t>
        </is>
      </c>
      <c r="E2329" s="16" t="inlineStr">
        <is>
          <t>KF-M05c</t>
        </is>
      </c>
      <c r="F2329" s="16" t="inlineStr">
        <is>
          <t>KF-M05c</t>
        </is>
      </c>
      <c r="G2329" s="16" t="inlineStr">
        <is>
          <t>B10</t>
        </is>
      </c>
      <c r="H2329" s="16" t="inlineStr">
        <is>
          <t>malla</t>
        </is>
      </c>
      <c r="I2329" s="16" t="inlineStr">
        <is>
          <t>N2</t>
        </is>
      </c>
      <c r="J2329" s="16" t="inlineStr">
        <is>
          <t>NO_CONVERGIO</t>
        </is>
      </c>
      <c r="K2329" s="16" t="b">
        <v>0</v>
      </c>
      <c r="L2329" s="16" t="b">
        <v>0</v>
      </c>
      <c r="M2329" s="16" t="b">
        <v>0</v>
      </c>
      <c r="N2329" s="16" t="b">
        <v>0</v>
      </c>
      <c r="O2329" s="16" t="n">
        <v>385</v>
      </c>
      <c r="P2329" s="16" t="n">
        <v>278.15</v>
      </c>
      <c r="Q2329" s="16" t="n">
        <v>3000</v>
      </c>
      <c r="R2329" s="16" t="n">
        <v>400</v>
      </c>
      <c r="S2329" s="16" t="n">
        <v>0.5</v>
      </c>
      <c r="T2329" s="16" t="n">
        <v>0.85</v>
      </c>
      <c r="U2329" s="16" t="n">
        <v>0.75</v>
      </c>
      <c r="V2329" s="16" t="n">
        <v>0.85</v>
      </c>
      <c r="W2329" s="16" t="n">
        <v>0.75</v>
      </c>
      <c r="X2329" s="16" t="n">
        <v>0.85</v>
      </c>
      <c r="Y2329" s="16" t="n">
        <v>278.15</v>
      </c>
      <c r="Z2329" s="16" t="n">
        <v>-16.20089446060979</v>
      </c>
      <c r="AA2329" s="16" t="n">
        <v>-16.14503100698526</v>
      </c>
      <c r="AB2329" s="16" t="n">
        <v>2600</v>
      </c>
      <c r="AC2329" s="16" t="n">
        <v>7.5</v>
      </c>
      <c r="AD2329" s="16" t="inlineStr">
        <is>
          <t>N2,O3,O5,C1,C3,C3</t>
        </is>
      </c>
      <c r="AE2329" s="16" t="n"/>
    </row>
    <row r="2330">
      <c r="A2330" s="16" t="inlineStr">
        <is>
          <t>KF-M05c-0008</t>
        </is>
      </c>
      <c r="B2330" s="16" t="inlineStr">
        <is>
          <t>4.2</t>
        </is>
      </c>
      <c r="C2330" s="16" t="inlineStr">
        <is>
          <t>4.2</t>
        </is>
      </c>
      <c r="D2330" s="16" t="inlineStr">
        <is>
          <t>presiones del profesor, malla T_fuente × ε_cond × clima</t>
        </is>
      </c>
      <c r="E2330" s="16" t="inlineStr">
        <is>
          <t>KF-M05c</t>
        </is>
      </c>
      <c r="F2330" s="16" t="inlineStr">
        <is>
          <t>KF-M05c</t>
        </is>
      </c>
      <c r="G2330" s="16" t="inlineStr">
        <is>
          <t>B10</t>
        </is>
      </c>
      <c r="H2330" s="16" t="inlineStr">
        <is>
          <t>malla</t>
        </is>
      </c>
      <c r="I2330" s="16" t="inlineStr">
        <is>
          <t>KALINA</t>
        </is>
      </c>
      <c r="J2330" s="16" t="inlineStr">
        <is>
          <t>KALINA</t>
        </is>
      </c>
      <c r="K2330" s="16" t="b">
        <v>1</v>
      </c>
      <c r="L2330" s="16" t="b">
        <v>1</v>
      </c>
      <c r="M2330" s="16" t="b">
        <v>0</v>
      </c>
      <c r="N2330" s="16" t="b">
        <v>0</v>
      </c>
      <c r="O2330" s="16" t="n">
        <v>405</v>
      </c>
      <c r="P2330" s="16" t="n">
        <v>278.15</v>
      </c>
      <c r="Q2330" s="16" t="n">
        <v>3000</v>
      </c>
      <c r="R2330" s="16" t="n">
        <v>400</v>
      </c>
      <c r="S2330" s="16" t="n">
        <v>0.5</v>
      </c>
      <c r="T2330" s="16" t="n">
        <v>0.85</v>
      </c>
      <c r="U2330" s="16" t="n">
        <v>0.75</v>
      </c>
      <c r="V2330" s="16" t="n">
        <v>0.85</v>
      </c>
      <c r="W2330" s="16" t="n">
        <v>0.75</v>
      </c>
      <c r="X2330" s="16" t="n">
        <v>0.85</v>
      </c>
      <c r="Y2330" s="16" t="n">
        <v>278.15</v>
      </c>
      <c r="Z2330" s="16" t="n">
        <v>9.323139013613909</v>
      </c>
      <c r="AA2330" s="16" t="n">
        <v>34.14971102261887</v>
      </c>
      <c r="AB2330" s="16" t="n">
        <v>2600</v>
      </c>
      <c r="AC2330" s="16" t="n">
        <v>7.5</v>
      </c>
      <c r="AD2330" s="16" t="n"/>
      <c r="AE2330" s="16" t="n"/>
    </row>
    <row r="2331">
      <c r="A2331" s="16" t="inlineStr">
        <is>
          <t>KF-M05c-0009</t>
        </is>
      </c>
      <c r="B2331" s="16" t="inlineStr">
        <is>
          <t>4.2</t>
        </is>
      </c>
      <c r="C2331" s="16" t="inlineStr">
        <is>
          <t>4.2</t>
        </is>
      </c>
      <c r="D2331" s="16" t="inlineStr">
        <is>
          <t>presiones del profesor, malla T_fuente × ε_cond × clima</t>
        </is>
      </c>
      <c r="E2331" s="16" t="inlineStr">
        <is>
          <t>KF-M05c</t>
        </is>
      </c>
      <c r="F2331" s="16" t="inlineStr">
        <is>
          <t>KF-M05c</t>
        </is>
      </c>
      <c r="G2331" s="16" t="inlineStr">
        <is>
          <t>B10</t>
        </is>
      </c>
      <c r="H2331" s="16" t="inlineStr">
        <is>
          <t>malla</t>
        </is>
      </c>
      <c r="I2331" s="16" t="inlineStr">
        <is>
          <t>KALINA</t>
        </is>
      </c>
      <c r="J2331" s="16" t="inlineStr">
        <is>
          <t>KALINA</t>
        </is>
      </c>
      <c r="K2331" s="16" t="b">
        <v>1</v>
      </c>
      <c r="L2331" s="16" t="b">
        <v>1</v>
      </c>
      <c r="M2331" s="16" t="b">
        <v>0</v>
      </c>
      <c r="N2331" s="16" t="b">
        <v>0</v>
      </c>
      <c r="O2331" s="16" t="n">
        <v>402.5</v>
      </c>
      <c r="P2331" s="16" t="n">
        <v>278.15</v>
      </c>
      <c r="Q2331" s="16" t="n">
        <v>3000</v>
      </c>
      <c r="R2331" s="16" t="n">
        <v>400</v>
      </c>
      <c r="S2331" s="16" t="n">
        <v>0.5</v>
      </c>
      <c r="T2331" s="16" t="n">
        <v>0.85</v>
      </c>
      <c r="U2331" s="16" t="n">
        <v>0.75</v>
      </c>
      <c r="V2331" s="16" t="n">
        <v>0.85</v>
      </c>
      <c r="W2331" s="16" t="n">
        <v>0.75</v>
      </c>
      <c r="X2331" s="16" t="n">
        <v>0.85</v>
      </c>
      <c r="Y2331" s="16" t="n">
        <v>278.15</v>
      </c>
      <c r="Z2331" s="16" t="n">
        <v>8.72152401017583</v>
      </c>
      <c r="AA2331" s="16" t="n">
        <v>29.23839937149199</v>
      </c>
      <c r="AB2331" s="16" t="n">
        <v>2600</v>
      </c>
      <c r="AC2331" s="16" t="n">
        <v>7.5</v>
      </c>
      <c r="AD2331" s="16" t="n"/>
      <c r="AE2331" s="16" t="n"/>
    </row>
    <row r="2332">
      <c r="A2332" s="16" t="inlineStr">
        <is>
          <t>KF-M05c-0010</t>
        </is>
      </c>
      <c r="B2332" s="16" t="inlineStr">
        <is>
          <t>4.2</t>
        </is>
      </c>
      <c r="C2332" s="16" t="inlineStr">
        <is>
          <t>4.2</t>
        </is>
      </c>
      <c r="D2332" s="16" t="inlineStr">
        <is>
          <t>presiones del profesor, malla T_fuente × ε_cond × clima</t>
        </is>
      </c>
      <c r="E2332" s="16" t="inlineStr">
        <is>
          <t>KF-M05c</t>
        </is>
      </c>
      <c r="F2332" s="16" t="inlineStr">
        <is>
          <t>KF-M05c</t>
        </is>
      </c>
      <c r="G2332" s="16" t="inlineStr">
        <is>
          <t>B10</t>
        </is>
      </c>
      <c r="H2332" s="16" t="inlineStr">
        <is>
          <t>malla</t>
        </is>
      </c>
      <c r="I2332" s="16" t="inlineStr">
        <is>
          <t>KALINA</t>
        </is>
      </c>
      <c r="J2332" s="16" t="inlineStr">
        <is>
          <t>KALINA</t>
        </is>
      </c>
      <c r="K2332" s="16" t="b">
        <v>1</v>
      </c>
      <c r="L2332" s="16" t="b">
        <v>1</v>
      </c>
      <c r="M2332" s="16" t="b">
        <v>0</v>
      </c>
      <c r="N2332" s="16" t="b">
        <v>0</v>
      </c>
      <c r="O2332" s="16" t="n">
        <v>407.5</v>
      </c>
      <c r="P2332" s="16" t="n">
        <v>278.15</v>
      </c>
      <c r="Q2332" s="16" t="n">
        <v>3000</v>
      </c>
      <c r="R2332" s="16" t="n">
        <v>400</v>
      </c>
      <c r="S2332" s="16" t="n">
        <v>0.5</v>
      </c>
      <c r="T2332" s="16" t="n">
        <v>0.85</v>
      </c>
      <c r="U2332" s="16" t="n">
        <v>0.75</v>
      </c>
      <c r="V2332" s="16" t="n">
        <v>0.85</v>
      </c>
      <c r="W2332" s="16" t="n">
        <v>0.75</v>
      </c>
      <c r="X2332" s="16" t="n">
        <v>0.85</v>
      </c>
      <c r="Y2332" s="16" t="n">
        <v>278.15</v>
      </c>
      <c r="Z2332" s="16" t="n">
        <v>9.827276404536139</v>
      </c>
      <c r="AA2332" s="16" t="n">
        <v>39.02245760550685</v>
      </c>
      <c r="AB2332" s="16" t="n">
        <v>2600</v>
      </c>
      <c r="AC2332" s="16" t="n">
        <v>7.5</v>
      </c>
      <c r="AD2332" s="16" t="n"/>
      <c r="AE2332" s="16" t="n"/>
    </row>
    <row r="2333">
      <c r="A2333" s="16" t="inlineStr">
        <is>
          <t>KF-M05c-0011</t>
        </is>
      </c>
      <c r="B2333" s="16" t="inlineStr">
        <is>
          <t>4.2</t>
        </is>
      </c>
      <c r="C2333" s="16" t="inlineStr">
        <is>
          <t>4.2</t>
        </is>
      </c>
      <c r="D2333" s="16" t="inlineStr">
        <is>
          <t>presiones del profesor, malla T_fuente × ε_cond × clima</t>
        </is>
      </c>
      <c r="E2333" s="16" t="inlineStr">
        <is>
          <t>KF-M05c</t>
        </is>
      </c>
      <c r="F2333" s="16" t="inlineStr">
        <is>
          <t>KF-M05c</t>
        </is>
      </c>
      <c r="G2333" s="16" t="inlineStr">
        <is>
          <t>B10</t>
        </is>
      </c>
      <c r="H2333" s="16" t="inlineStr">
        <is>
          <t>malla</t>
        </is>
      </c>
      <c r="I2333" s="16" t="inlineStr">
        <is>
          <t>INVIABLE</t>
        </is>
      </c>
      <c r="J2333" s="16" t="inlineStr">
        <is>
          <t>INVIABLE</t>
        </is>
      </c>
      <c r="K2333" s="16" t="b">
        <v>1</v>
      </c>
      <c r="L2333" s="16" t="b">
        <v>0</v>
      </c>
      <c r="M2333" s="16" t="b">
        <v>0</v>
      </c>
      <c r="N2333" s="16" t="b">
        <v>0</v>
      </c>
      <c r="O2333" s="16" t="n">
        <v>387.5</v>
      </c>
      <c r="P2333" s="16" t="n">
        <v>278.15</v>
      </c>
      <c r="Q2333" s="16" t="n">
        <v>3000</v>
      </c>
      <c r="R2333" s="16" t="n">
        <v>400</v>
      </c>
      <c r="S2333" s="16" t="n">
        <v>0.5</v>
      </c>
      <c r="T2333" s="16" t="n">
        <v>0.85</v>
      </c>
      <c r="U2333" s="16" t="n">
        <v>0.75</v>
      </c>
      <c r="V2333" s="16" t="n">
        <v>0.85</v>
      </c>
      <c r="W2333" s="16" t="n">
        <v>0.75</v>
      </c>
      <c r="X2333" s="16" t="n">
        <v>0.875</v>
      </c>
      <c r="Y2333" s="16" t="n">
        <v>278.15</v>
      </c>
      <c r="Z2333" s="16" t="n">
        <v>-1.81606668289421</v>
      </c>
      <c r="AA2333" s="16" t="n">
        <v>-2.436855418914279</v>
      </c>
      <c r="AB2333" s="16" t="n">
        <v>2600</v>
      </c>
      <c r="AC2333" s="16" t="n">
        <v>7.5</v>
      </c>
      <c r="AD2333" s="16" t="inlineStr">
        <is>
          <t>O3</t>
        </is>
      </c>
      <c r="AE2333" s="16" t="n"/>
    </row>
    <row r="2334">
      <c r="A2334" s="16" t="inlineStr">
        <is>
          <t>KF-M05c-0012</t>
        </is>
      </c>
      <c r="B2334" s="16" t="inlineStr">
        <is>
          <t>4.2</t>
        </is>
      </c>
      <c r="C2334" s="16" t="inlineStr">
        <is>
          <t>4.2</t>
        </is>
      </c>
      <c r="D2334" s="16" t="inlineStr">
        <is>
          <t>presiones del profesor, malla T_fuente × ε_cond × clima</t>
        </is>
      </c>
      <c r="E2334" s="16" t="inlineStr">
        <is>
          <t>KF-M05c</t>
        </is>
      </c>
      <c r="F2334" s="16" t="inlineStr">
        <is>
          <t>KF-M05c</t>
        </is>
      </c>
      <c r="G2334" s="16" t="inlineStr">
        <is>
          <t>B10</t>
        </is>
      </c>
      <c r="H2334" s="16" t="inlineStr">
        <is>
          <t>malla</t>
        </is>
      </c>
      <c r="I2334" s="16" t="inlineStr">
        <is>
          <t>KALINA</t>
        </is>
      </c>
      <c r="J2334" s="16" t="inlineStr">
        <is>
          <t>KALINA</t>
        </is>
      </c>
      <c r="K2334" s="16" t="b">
        <v>1</v>
      </c>
      <c r="L2334" s="16" t="b">
        <v>1</v>
      </c>
      <c r="M2334" s="16" t="b">
        <v>0</v>
      </c>
      <c r="N2334" s="16" t="b">
        <v>0</v>
      </c>
      <c r="O2334" s="16" t="n">
        <v>390</v>
      </c>
      <c r="P2334" s="16" t="n">
        <v>278.15</v>
      </c>
      <c r="Q2334" s="16" t="n">
        <v>3000</v>
      </c>
      <c r="R2334" s="16" t="n">
        <v>400</v>
      </c>
      <c r="S2334" s="16" t="n">
        <v>0.5</v>
      </c>
      <c r="T2334" s="16" t="n">
        <v>0.85</v>
      </c>
      <c r="U2334" s="16" t="n">
        <v>0.75</v>
      </c>
      <c r="V2334" s="16" t="n">
        <v>0.85</v>
      </c>
      <c r="W2334" s="16" t="n">
        <v>0.75</v>
      </c>
      <c r="X2334" s="16" t="n">
        <v>0.875</v>
      </c>
      <c r="Y2334" s="16" t="n">
        <v>278.15</v>
      </c>
      <c r="Z2334" s="16" t="n">
        <v>1.89343193015721</v>
      </c>
      <c r="AA2334" s="16" t="n">
        <v>3.240752150170694</v>
      </c>
      <c r="AB2334" s="16" t="n">
        <v>2600</v>
      </c>
      <c r="AC2334" s="16" t="n">
        <v>7.5</v>
      </c>
      <c r="AD2334" s="16" t="n"/>
      <c r="AE2334" s="16" t="n"/>
    </row>
    <row r="2335">
      <c r="A2335" s="16" t="inlineStr">
        <is>
          <t>KF-M05c-0013</t>
        </is>
      </c>
      <c r="B2335" s="16" t="inlineStr">
        <is>
          <t>4.2</t>
        </is>
      </c>
      <c r="C2335" s="16" t="inlineStr">
        <is>
          <t>4.2</t>
        </is>
      </c>
      <c r="D2335" s="16" t="inlineStr">
        <is>
          <t>presiones del profesor, malla T_fuente × ε_cond × clima</t>
        </is>
      </c>
      <c r="E2335" s="16" t="inlineStr">
        <is>
          <t>KF-M05c</t>
        </is>
      </c>
      <c r="F2335" s="16" t="inlineStr">
        <is>
          <t>KF-M05c</t>
        </is>
      </c>
      <c r="G2335" s="16" t="inlineStr">
        <is>
          <t>B10</t>
        </is>
      </c>
      <c r="H2335" s="16" t="inlineStr">
        <is>
          <t>malla</t>
        </is>
      </c>
      <c r="I2335" s="16" t="inlineStr">
        <is>
          <t>N2</t>
        </is>
      </c>
      <c r="J2335" s="16" t="inlineStr">
        <is>
          <t>NO_CONVERGIO</t>
        </is>
      </c>
      <c r="K2335" s="16" t="b">
        <v>0</v>
      </c>
      <c r="L2335" s="16" t="b">
        <v>0</v>
      </c>
      <c r="M2335" s="16" t="b">
        <v>0</v>
      </c>
      <c r="N2335" s="16" t="b">
        <v>0</v>
      </c>
      <c r="O2335" s="16" t="n">
        <v>385</v>
      </c>
      <c r="P2335" s="16" t="n">
        <v>278.15</v>
      </c>
      <c r="Q2335" s="16" t="n">
        <v>3000</v>
      </c>
      <c r="R2335" s="16" t="n">
        <v>400</v>
      </c>
      <c r="S2335" s="16" t="n">
        <v>0.5</v>
      </c>
      <c r="T2335" s="16" t="n">
        <v>0.85</v>
      </c>
      <c r="U2335" s="16" t="n">
        <v>0.75</v>
      </c>
      <c r="V2335" s="16" t="n">
        <v>0.85</v>
      </c>
      <c r="W2335" s="16" t="n">
        <v>0.75</v>
      </c>
      <c r="X2335" s="16" t="n">
        <v>0.875</v>
      </c>
      <c r="Y2335" s="16" t="n">
        <v>278.15</v>
      </c>
      <c r="Z2335" s="16" t="n">
        <v>-16.18132248789483</v>
      </c>
      <c r="AA2335" s="16" t="n">
        <v>-16.17984898847672</v>
      </c>
      <c r="AB2335" s="16" t="n">
        <v>2600</v>
      </c>
      <c r="AC2335" s="16" t="n">
        <v>7.5</v>
      </c>
      <c r="AD2335" s="16" t="inlineStr">
        <is>
          <t>N2,O3,O5,C1,C3,C3</t>
        </is>
      </c>
      <c r="AE2335" s="16" t="n"/>
    </row>
    <row r="2336">
      <c r="A2336" s="16" t="inlineStr">
        <is>
          <t>KF-M05c-0014</t>
        </is>
      </c>
      <c r="B2336" s="16" t="inlineStr">
        <is>
          <t>4.2</t>
        </is>
      </c>
      <c r="C2336" s="16" t="inlineStr">
        <is>
          <t>4.2</t>
        </is>
      </c>
      <c r="D2336" s="16" t="inlineStr">
        <is>
          <t>presiones del profesor, malla T_fuente × ε_cond × clima</t>
        </is>
      </c>
      <c r="E2336" s="16" t="inlineStr">
        <is>
          <t>KF-M05c</t>
        </is>
      </c>
      <c r="F2336" s="16" t="inlineStr">
        <is>
          <t>KF-M05c</t>
        </is>
      </c>
      <c r="G2336" s="16" t="inlineStr">
        <is>
          <t>B10</t>
        </is>
      </c>
      <c r="H2336" s="16" t="inlineStr">
        <is>
          <t>malla</t>
        </is>
      </c>
      <c r="I2336" s="16" t="inlineStr">
        <is>
          <t>KALINA</t>
        </is>
      </c>
      <c r="J2336" s="16" t="inlineStr">
        <is>
          <t>KALINA</t>
        </is>
      </c>
      <c r="K2336" s="16" t="b">
        <v>1</v>
      </c>
      <c r="L2336" s="16" t="b">
        <v>1</v>
      </c>
      <c r="M2336" s="16" t="b">
        <v>0</v>
      </c>
      <c r="N2336" s="16" t="b">
        <v>0</v>
      </c>
      <c r="O2336" s="16" t="n">
        <v>392.5</v>
      </c>
      <c r="P2336" s="16" t="n">
        <v>278.15</v>
      </c>
      <c r="Q2336" s="16" t="n">
        <v>3000</v>
      </c>
      <c r="R2336" s="16" t="n">
        <v>400</v>
      </c>
      <c r="S2336" s="16" t="n">
        <v>0.5</v>
      </c>
      <c r="T2336" s="16" t="n">
        <v>0.85</v>
      </c>
      <c r="U2336" s="16" t="n">
        <v>0.75</v>
      </c>
      <c r="V2336" s="16" t="n">
        <v>0.85</v>
      </c>
      <c r="W2336" s="16" t="n">
        <v>0.75</v>
      </c>
      <c r="X2336" s="16" t="n">
        <v>0.875</v>
      </c>
      <c r="Y2336" s="16" t="n">
        <v>278.15</v>
      </c>
      <c r="Z2336" s="16" t="n">
        <v>4.21446600829496</v>
      </c>
      <c r="AA2336" s="16" t="n">
        <v>8.707018162371359</v>
      </c>
      <c r="AB2336" s="16" t="n">
        <v>2600</v>
      </c>
      <c r="AC2336" s="16" t="n">
        <v>7.5</v>
      </c>
      <c r="AD2336" s="16" t="n"/>
      <c r="AE2336" s="16" t="n"/>
    </row>
    <row r="2337">
      <c r="A2337" s="16" t="inlineStr">
        <is>
          <t>KF-M05c-0015</t>
        </is>
      </c>
      <c r="B2337" s="16" t="inlineStr">
        <is>
          <t>4.2</t>
        </is>
      </c>
      <c r="C2337" s="16" t="inlineStr">
        <is>
          <t>4.2</t>
        </is>
      </c>
      <c r="D2337" s="16" t="inlineStr">
        <is>
          <t>presiones del profesor, malla T_fuente × ε_cond × clima</t>
        </is>
      </c>
      <c r="E2337" s="16" t="inlineStr">
        <is>
          <t>KF-M05c</t>
        </is>
      </c>
      <c r="F2337" s="16" t="inlineStr">
        <is>
          <t>KF-M05c</t>
        </is>
      </c>
      <c r="G2337" s="16" t="inlineStr">
        <is>
          <t>B10</t>
        </is>
      </c>
      <c r="H2337" s="16" t="inlineStr">
        <is>
          <t>malla</t>
        </is>
      </c>
      <c r="I2337" s="16" t="inlineStr">
        <is>
          <t>KALINA</t>
        </is>
      </c>
      <c r="J2337" s="16" t="inlineStr">
        <is>
          <t>KALINA</t>
        </is>
      </c>
      <c r="K2337" s="16" t="b">
        <v>1</v>
      </c>
      <c r="L2337" s="16" t="b">
        <v>1</v>
      </c>
      <c r="M2337" s="16" t="b">
        <v>0</v>
      </c>
      <c r="N2337" s="16" t="b">
        <v>0</v>
      </c>
      <c r="O2337" s="16" t="n">
        <v>400</v>
      </c>
      <c r="P2337" s="16" t="n">
        <v>278.15</v>
      </c>
      <c r="Q2337" s="16" t="n">
        <v>3000</v>
      </c>
      <c r="R2337" s="16" t="n">
        <v>400</v>
      </c>
      <c r="S2337" s="16" t="n">
        <v>0.5</v>
      </c>
      <c r="T2337" s="16" t="n">
        <v>0.85</v>
      </c>
      <c r="U2337" s="16" t="n">
        <v>0.75</v>
      </c>
      <c r="V2337" s="16" t="n">
        <v>0.85</v>
      </c>
      <c r="W2337" s="16" t="n">
        <v>0.75</v>
      </c>
      <c r="X2337" s="16" t="n">
        <v>0.875</v>
      </c>
      <c r="Y2337" s="16" t="n">
        <v>278.15</v>
      </c>
      <c r="Z2337" s="16" t="n">
        <v>7.898965194204501</v>
      </c>
      <c r="AA2337" s="16" t="n">
        <v>24.2035194958123</v>
      </c>
      <c r="AB2337" s="16" t="n">
        <v>2600</v>
      </c>
      <c r="AC2337" s="16" t="n">
        <v>7.5</v>
      </c>
      <c r="AD2337" s="16" t="n"/>
      <c r="AE2337" s="16" t="n"/>
    </row>
    <row r="2338">
      <c r="A2338" s="16" t="inlineStr">
        <is>
          <t>KF-M05c-0016</t>
        </is>
      </c>
      <c r="B2338" s="16" t="inlineStr">
        <is>
          <t>4.2</t>
        </is>
      </c>
      <c r="C2338" s="16" t="inlineStr">
        <is>
          <t>4.2</t>
        </is>
      </c>
      <c r="D2338" s="16" t="inlineStr">
        <is>
          <t>presiones del profesor, malla T_fuente × ε_cond × clima</t>
        </is>
      </c>
      <c r="E2338" s="16" t="inlineStr">
        <is>
          <t>KF-M05c</t>
        </is>
      </c>
      <c r="F2338" s="16" t="inlineStr">
        <is>
          <t>KF-M05c</t>
        </is>
      </c>
      <c r="G2338" s="16" t="inlineStr">
        <is>
          <t>B10</t>
        </is>
      </c>
      <c r="H2338" s="16" t="inlineStr">
        <is>
          <t>malla</t>
        </is>
      </c>
      <c r="I2338" s="16" t="inlineStr">
        <is>
          <t>KALINA</t>
        </is>
      </c>
      <c r="J2338" s="16" t="inlineStr">
        <is>
          <t>KALINA</t>
        </is>
      </c>
      <c r="K2338" s="16" t="b">
        <v>1</v>
      </c>
      <c r="L2338" s="16" t="b">
        <v>1</v>
      </c>
      <c r="M2338" s="16" t="b">
        <v>0</v>
      </c>
      <c r="N2338" s="16" t="b">
        <v>0</v>
      </c>
      <c r="O2338" s="16" t="n">
        <v>395</v>
      </c>
      <c r="P2338" s="16" t="n">
        <v>278.15</v>
      </c>
      <c r="Q2338" s="16" t="n">
        <v>3000</v>
      </c>
      <c r="R2338" s="16" t="n">
        <v>400</v>
      </c>
      <c r="S2338" s="16" t="n">
        <v>0.5</v>
      </c>
      <c r="T2338" s="16" t="n">
        <v>0.85</v>
      </c>
      <c r="U2338" s="16" t="n">
        <v>0.75</v>
      </c>
      <c r="V2338" s="16" t="n">
        <v>0.85</v>
      </c>
      <c r="W2338" s="16" t="n">
        <v>0.75</v>
      </c>
      <c r="X2338" s="16" t="n">
        <v>0.875</v>
      </c>
      <c r="Y2338" s="16" t="n">
        <v>278.15</v>
      </c>
      <c r="Z2338" s="16" t="n">
        <v>5.81467000740549</v>
      </c>
      <c r="AA2338" s="16" t="n">
        <v>14.0013830732883</v>
      </c>
      <c r="AB2338" s="16" t="n">
        <v>2600</v>
      </c>
      <c r="AC2338" s="16" t="n">
        <v>7.5</v>
      </c>
      <c r="AD2338" s="16" t="n"/>
      <c r="AE2338" s="16" t="n"/>
    </row>
    <row r="2339">
      <c r="A2339" s="16" t="inlineStr">
        <is>
          <t>KF-M05c-0017</t>
        </is>
      </c>
      <c r="B2339" s="16" t="inlineStr">
        <is>
          <t>4.2</t>
        </is>
      </c>
      <c r="C2339" s="16" t="inlineStr">
        <is>
          <t>4.2</t>
        </is>
      </c>
      <c r="D2339" s="16" t="inlineStr">
        <is>
          <t>presiones del profesor, malla T_fuente × ε_cond × clima</t>
        </is>
      </c>
      <c r="E2339" s="16" t="inlineStr">
        <is>
          <t>KF-M05c</t>
        </is>
      </c>
      <c r="F2339" s="16" t="inlineStr">
        <is>
          <t>KF-M05c</t>
        </is>
      </c>
      <c r="G2339" s="16" t="inlineStr">
        <is>
          <t>B10</t>
        </is>
      </c>
      <c r="H2339" s="16" t="inlineStr">
        <is>
          <t>malla</t>
        </is>
      </c>
      <c r="I2339" s="16" t="inlineStr">
        <is>
          <t>KALINA</t>
        </is>
      </c>
      <c r="J2339" s="16" t="inlineStr">
        <is>
          <t>KALINA</t>
        </is>
      </c>
      <c r="K2339" s="16" t="b">
        <v>1</v>
      </c>
      <c r="L2339" s="16" t="b">
        <v>1</v>
      </c>
      <c r="M2339" s="16" t="b">
        <v>0</v>
      </c>
      <c r="N2339" s="16" t="b">
        <v>0</v>
      </c>
      <c r="O2339" s="16" t="n">
        <v>397.5</v>
      </c>
      <c r="P2339" s="16" t="n">
        <v>278.15</v>
      </c>
      <c r="Q2339" s="16" t="n">
        <v>3000</v>
      </c>
      <c r="R2339" s="16" t="n">
        <v>400</v>
      </c>
      <c r="S2339" s="16" t="n">
        <v>0.5</v>
      </c>
      <c r="T2339" s="16" t="n">
        <v>0.85</v>
      </c>
      <c r="U2339" s="16" t="n">
        <v>0.75</v>
      </c>
      <c r="V2339" s="16" t="n">
        <v>0.85</v>
      </c>
      <c r="W2339" s="16" t="n">
        <v>0.75</v>
      </c>
      <c r="X2339" s="16" t="n">
        <v>0.875</v>
      </c>
      <c r="Y2339" s="16" t="n">
        <v>278.15</v>
      </c>
      <c r="Z2339" s="16" t="n">
        <v>6.991871498777701</v>
      </c>
      <c r="AA2339" s="16" t="n">
        <v>19.15724642505967</v>
      </c>
      <c r="AB2339" s="16" t="n">
        <v>2600</v>
      </c>
      <c r="AC2339" s="16" t="n">
        <v>7.5</v>
      </c>
      <c r="AD2339" s="16" t="n"/>
      <c r="AE2339" s="16" t="n"/>
    </row>
    <row r="2340">
      <c r="A2340" s="16" t="inlineStr">
        <is>
          <t>KF-M05c-0018</t>
        </is>
      </c>
      <c r="B2340" s="16" t="inlineStr">
        <is>
          <t>4.2</t>
        </is>
      </c>
      <c r="C2340" s="16" t="inlineStr">
        <is>
          <t>4.2</t>
        </is>
      </c>
      <c r="D2340" s="16" t="inlineStr">
        <is>
          <t>presiones del profesor, malla T_fuente × ε_cond × clima</t>
        </is>
      </c>
      <c r="E2340" s="16" t="inlineStr">
        <is>
          <t>KF-M05c</t>
        </is>
      </c>
      <c r="F2340" s="16" t="inlineStr">
        <is>
          <t>KF-M05c</t>
        </is>
      </c>
      <c r="G2340" s="16" t="inlineStr">
        <is>
          <t>B10</t>
        </is>
      </c>
      <c r="H2340" s="16" t="inlineStr">
        <is>
          <t>malla</t>
        </is>
      </c>
      <c r="I2340" s="16" t="inlineStr">
        <is>
          <t>KALINA</t>
        </is>
      </c>
      <c r="J2340" s="16" t="inlineStr">
        <is>
          <t>KALINA</t>
        </is>
      </c>
      <c r="K2340" s="16" t="b">
        <v>1</v>
      </c>
      <c r="L2340" s="16" t="b">
        <v>1</v>
      </c>
      <c r="M2340" s="16" t="b">
        <v>0</v>
      </c>
      <c r="N2340" s="16" t="b">
        <v>0</v>
      </c>
      <c r="O2340" s="16" t="n">
        <v>405</v>
      </c>
      <c r="P2340" s="16" t="n">
        <v>278.15</v>
      </c>
      <c r="Q2340" s="16" t="n">
        <v>3000</v>
      </c>
      <c r="R2340" s="16" t="n">
        <v>400</v>
      </c>
      <c r="S2340" s="16" t="n">
        <v>0.5</v>
      </c>
      <c r="T2340" s="16" t="n">
        <v>0.85</v>
      </c>
      <c r="U2340" s="16" t="n">
        <v>0.75</v>
      </c>
      <c r="V2340" s="16" t="n">
        <v>0.85</v>
      </c>
      <c r="W2340" s="16" t="n">
        <v>0.75</v>
      </c>
      <c r="X2340" s="16" t="n">
        <v>0.875</v>
      </c>
      <c r="Y2340" s="16" t="n">
        <v>278.15</v>
      </c>
      <c r="Z2340" s="16" t="n">
        <v>9.21526413633638</v>
      </c>
      <c r="AA2340" s="16" t="n">
        <v>34.06751966191126</v>
      </c>
      <c r="AB2340" s="16" t="n">
        <v>2600</v>
      </c>
      <c r="AC2340" s="16" t="n">
        <v>7.5</v>
      </c>
      <c r="AD2340" s="16" t="n"/>
      <c r="AE2340" s="16" t="n"/>
    </row>
    <row r="2341">
      <c r="A2341" s="16" t="inlineStr">
        <is>
          <t>KF-M05c-0019</t>
        </is>
      </c>
      <c r="B2341" s="16" t="inlineStr">
        <is>
          <t>4.2</t>
        </is>
      </c>
      <c r="C2341" s="16" t="inlineStr">
        <is>
          <t>4.2</t>
        </is>
      </c>
      <c r="D2341" s="16" t="inlineStr">
        <is>
          <t>presiones del profesor, malla T_fuente × ε_cond × clima</t>
        </is>
      </c>
      <c r="E2341" s="16" t="inlineStr">
        <is>
          <t>KF-M05c</t>
        </is>
      </c>
      <c r="F2341" s="16" t="inlineStr">
        <is>
          <t>KF-M05c</t>
        </is>
      </c>
      <c r="G2341" s="16" t="inlineStr">
        <is>
          <t>B10</t>
        </is>
      </c>
      <c r="H2341" s="16" t="inlineStr">
        <is>
          <t>malla</t>
        </is>
      </c>
      <c r="I2341" s="16" t="inlineStr">
        <is>
          <t>KALINA</t>
        </is>
      </c>
      <c r="J2341" s="16" t="inlineStr">
        <is>
          <t>KALINA</t>
        </is>
      </c>
      <c r="K2341" s="16" t="b">
        <v>1</v>
      </c>
      <c r="L2341" s="16" t="b">
        <v>1</v>
      </c>
      <c r="M2341" s="16" t="b">
        <v>0</v>
      </c>
      <c r="N2341" s="16" t="b">
        <v>0</v>
      </c>
      <c r="O2341" s="16" t="n">
        <v>402.5</v>
      </c>
      <c r="P2341" s="16" t="n">
        <v>278.15</v>
      </c>
      <c r="Q2341" s="16" t="n">
        <v>3000</v>
      </c>
      <c r="R2341" s="16" t="n">
        <v>400</v>
      </c>
      <c r="S2341" s="16" t="n">
        <v>0.5</v>
      </c>
      <c r="T2341" s="16" t="n">
        <v>0.85</v>
      </c>
      <c r="U2341" s="16" t="n">
        <v>0.75</v>
      </c>
      <c r="V2341" s="16" t="n">
        <v>0.85</v>
      </c>
      <c r="W2341" s="16" t="n">
        <v>0.75</v>
      </c>
      <c r="X2341" s="16" t="n">
        <v>0.875</v>
      </c>
      <c r="Y2341" s="16" t="n">
        <v>278.15</v>
      </c>
      <c r="Z2341" s="16" t="n">
        <v>8.62253961204479</v>
      </c>
      <c r="AA2341" s="16" t="n">
        <v>29.1658544481487</v>
      </c>
      <c r="AB2341" s="16" t="n">
        <v>2600</v>
      </c>
      <c r="AC2341" s="16" t="n">
        <v>7.5</v>
      </c>
      <c r="AD2341" s="16" t="n"/>
      <c r="AE2341" s="16" t="n"/>
    </row>
    <row r="2342">
      <c r="A2342" s="16" t="inlineStr">
        <is>
          <t>KF-M05c-0020</t>
        </is>
      </c>
      <c r="B2342" s="16" t="inlineStr">
        <is>
          <t>4.2</t>
        </is>
      </c>
      <c r="C2342" s="16" t="inlineStr">
        <is>
          <t>4.2</t>
        </is>
      </c>
      <c r="D2342" s="16" t="inlineStr">
        <is>
          <t>presiones del profesor, malla T_fuente × ε_cond × clima</t>
        </is>
      </c>
      <c r="E2342" s="16" t="inlineStr">
        <is>
          <t>KF-M05c</t>
        </is>
      </c>
      <c r="F2342" s="16" t="inlineStr">
        <is>
          <t>KF-M05c</t>
        </is>
      </c>
      <c r="G2342" s="16" t="inlineStr">
        <is>
          <t>B10</t>
        </is>
      </c>
      <c r="H2342" s="16" t="inlineStr">
        <is>
          <t>malla</t>
        </is>
      </c>
      <c r="I2342" s="16" t="inlineStr">
        <is>
          <t>KALINA</t>
        </is>
      </c>
      <c r="J2342" s="16" t="inlineStr">
        <is>
          <t>KALINA</t>
        </is>
      </c>
      <c r="K2342" s="16" t="b">
        <v>1</v>
      </c>
      <c r="L2342" s="16" t="b">
        <v>1</v>
      </c>
      <c r="M2342" s="16" t="b">
        <v>0</v>
      </c>
      <c r="N2342" s="16" t="b">
        <v>0</v>
      </c>
      <c r="O2342" s="16" t="n">
        <v>407.5</v>
      </c>
      <c r="P2342" s="16" t="n">
        <v>278.15</v>
      </c>
      <c r="Q2342" s="16" t="n">
        <v>3000</v>
      </c>
      <c r="R2342" s="16" t="n">
        <v>400</v>
      </c>
      <c r="S2342" s="16" t="n">
        <v>0.5</v>
      </c>
      <c r="T2342" s="16" t="n">
        <v>0.85</v>
      </c>
      <c r="U2342" s="16" t="n">
        <v>0.75</v>
      </c>
      <c r="V2342" s="16" t="n">
        <v>0.85</v>
      </c>
      <c r="W2342" s="16" t="n">
        <v>0.75</v>
      </c>
      <c r="X2342" s="16" t="n">
        <v>0.875</v>
      </c>
      <c r="Y2342" s="16" t="n">
        <v>278.15</v>
      </c>
      <c r="Z2342" s="16" t="n">
        <v>9.711259112807371</v>
      </c>
      <c r="AA2342" s="16" t="n">
        <v>38.93035788313709</v>
      </c>
      <c r="AB2342" s="16" t="n">
        <v>2600</v>
      </c>
      <c r="AC2342" s="16" t="n">
        <v>7.5</v>
      </c>
      <c r="AD2342" s="16" t="n"/>
      <c r="AE2342" s="16" t="n"/>
    </row>
    <row r="2343">
      <c r="A2343" s="16" t="inlineStr">
        <is>
          <t>KF-M05c-0021</t>
        </is>
      </c>
      <c r="B2343" s="16" t="inlineStr">
        <is>
          <t>4.2</t>
        </is>
      </c>
      <c r="C2343" s="16" t="inlineStr">
        <is>
          <t>4.2</t>
        </is>
      </c>
      <c r="D2343" s="16" t="inlineStr">
        <is>
          <t>presiones del profesor, malla T_fuente × ε_cond × clima</t>
        </is>
      </c>
      <c r="E2343" s="16" t="inlineStr">
        <is>
          <t>KF-M05c</t>
        </is>
      </c>
      <c r="F2343" s="16" t="inlineStr">
        <is>
          <t>KF-M05c</t>
        </is>
      </c>
      <c r="G2343" s="16" t="inlineStr">
        <is>
          <t>B10</t>
        </is>
      </c>
      <c r="H2343" s="16" t="inlineStr">
        <is>
          <t>malla</t>
        </is>
      </c>
      <c r="I2343" s="16" t="inlineStr">
        <is>
          <t>KALINA</t>
        </is>
      </c>
      <c r="J2343" s="16" t="inlineStr">
        <is>
          <t>KALINA</t>
        </is>
      </c>
      <c r="K2343" s="16" t="b">
        <v>1</v>
      </c>
      <c r="L2343" s="16" t="b">
        <v>1</v>
      </c>
      <c r="M2343" s="16" t="b">
        <v>0</v>
      </c>
      <c r="N2343" s="16" t="b">
        <v>0</v>
      </c>
      <c r="O2343" s="16" t="n">
        <v>410</v>
      </c>
      <c r="P2343" s="16" t="n">
        <v>278.15</v>
      </c>
      <c r="Q2343" s="16" t="n">
        <v>3000</v>
      </c>
      <c r="R2343" s="16" t="n">
        <v>400</v>
      </c>
      <c r="S2343" s="16" t="n">
        <v>0.5</v>
      </c>
      <c r="T2343" s="16" t="n">
        <v>0.85</v>
      </c>
      <c r="U2343" s="16" t="n">
        <v>0.75</v>
      </c>
      <c r="V2343" s="16" t="n">
        <v>0.85</v>
      </c>
      <c r="W2343" s="16" t="n">
        <v>0.75</v>
      </c>
      <c r="X2343" s="16" t="n">
        <v>0.875</v>
      </c>
      <c r="Y2343" s="16" t="n">
        <v>278.15</v>
      </c>
      <c r="Z2343" s="16" t="n">
        <v>10.13331419447346</v>
      </c>
      <c r="AA2343" s="16" t="n">
        <v>43.77497493510791</v>
      </c>
      <c r="AB2343" s="16" t="n">
        <v>2600</v>
      </c>
      <c r="AC2343" s="16" t="n">
        <v>7.5</v>
      </c>
      <c r="AD2343" s="16" t="n"/>
      <c r="AE2343" s="16" t="n"/>
    </row>
    <row r="2344">
      <c r="A2344" s="16" t="inlineStr">
        <is>
          <t>KF-M05c-0022</t>
        </is>
      </c>
      <c r="B2344" s="16" t="inlineStr">
        <is>
          <t>4.2</t>
        </is>
      </c>
      <c r="C2344" s="16" t="inlineStr">
        <is>
          <t>4.2</t>
        </is>
      </c>
      <c r="D2344" s="16" t="inlineStr">
        <is>
          <t>presiones del profesor, malla T_fuente × ε_cond × clima</t>
        </is>
      </c>
      <c r="E2344" s="16" t="inlineStr">
        <is>
          <t>KF-M05c</t>
        </is>
      </c>
      <c r="F2344" s="16" t="inlineStr">
        <is>
          <t>KF-M05c</t>
        </is>
      </c>
      <c r="G2344" s="16" t="inlineStr">
        <is>
          <t>B10</t>
        </is>
      </c>
      <c r="H2344" s="16" t="inlineStr">
        <is>
          <t>malla</t>
        </is>
      </c>
      <c r="I2344" s="16" t="inlineStr">
        <is>
          <t>INVIABLE</t>
        </is>
      </c>
      <c r="J2344" s="16" t="inlineStr">
        <is>
          <t>INVIABLE</t>
        </is>
      </c>
      <c r="K2344" s="16" t="b">
        <v>1</v>
      </c>
      <c r="L2344" s="16" t="b">
        <v>0</v>
      </c>
      <c r="M2344" s="16" t="b">
        <v>0</v>
      </c>
      <c r="N2344" s="16" t="b">
        <v>0</v>
      </c>
      <c r="O2344" s="16" t="n">
        <v>387.5</v>
      </c>
      <c r="P2344" s="16" t="n">
        <v>278.15</v>
      </c>
      <c r="Q2344" s="16" t="n">
        <v>3000</v>
      </c>
      <c r="R2344" s="16" t="n">
        <v>400</v>
      </c>
      <c r="S2344" s="16" t="n">
        <v>0.5</v>
      </c>
      <c r="T2344" s="16" t="n">
        <v>0.85</v>
      </c>
      <c r="U2344" s="16" t="n">
        <v>0.75</v>
      </c>
      <c r="V2344" s="16" t="n">
        <v>0.85</v>
      </c>
      <c r="W2344" s="16" t="n">
        <v>0.75</v>
      </c>
      <c r="X2344" s="16" t="n">
        <v>0.9</v>
      </c>
      <c r="Y2344" s="16" t="n">
        <v>278.15</v>
      </c>
      <c r="Z2344" s="16" t="n">
        <v>-1.81945351155729</v>
      </c>
      <c r="AA2344" s="16" t="n">
        <v>-2.458033650297739</v>
      </c>
      <c r="AB2344" s="16" t="n">
        <v>2600</v>
      </c>
      <c r="AC2344" s="16" t="n">
        <v>7.5</v>
      </c>
      <c r="AD2344" s="16" t="inlineStr">
        <is>
          <t>O3</t>
        </is>
      </c>
      <c r="AE2344" s="16" t="n"/>
    </row>
    <row r="2345">
      <c r="A2345" s="16" t="inlineStr">
        <is>
          <t>KF-M05c-0023</t>
        </is>
      </c>
      <c r="B2345" s="16" t="inlineStr">
        <is>
          <t>4.2</t>
        </is>
      </c>
      <c r="C2345" s="16" t="inlineStr">
        <is>
          <t>4.2</t>
        </is>
      </c>
      <c r="D2345" s="16" t="inlineStr">
        <is>
          <t>presiones del profesor, malla T_fuente × ε_cond × clima</t>
        </is>
      </c>
      <c r="E2345" s="16" t="inlineStr">
        <is>
          <t>KF-M05c</t>
        </is>
      </c>
      <c r="F2345" s="16" t="inlineStr">
        <is>
          <t>KF-M05c</t>
        </is>
      </c>
      <c r="G2345" s="16" t="inlineStr">
        <is>
          <t>B10</t>
        </is>
      </c>
      <c r="H2345" s="16" t="inlineStr">
        <is>
          <t>malla</t>
        </is>
      </c>
      <c r="I2345" s="16" t="inlineStr">
        <is>
          <t>KALINA</t>
        </is>
      </c>
      <c r="J2345" s="16" t="inlineStr">
        <is>
          <t>KALINA</t>
        </is>
      </c>
      <c r="K2345" s="16" t="b">
        <v>1</v>
      </c>
      <c r="L2345" s="16" t="b">
        <v>1</v>
      </c>
      <c r="M2345" s="16" t="b">
        <v>0</v>
      </c>
      <c r="N2345" s="16" t="b">
        <v>0</v>
      </c>
      <c r="O2345" s="16" t="n">
        <v>390</v>
      </c>
      <c r="P2345" s="16" t="n">
        <v>278.15</v>
      </c>
      <c r="Q2345" s="16" t="n">
        <v>3000</v>
      </c>
      <c r="R2345" s="16" t="n">
        <v>400</v>
      </c>
      <c r="S2345" s="16" t="n">
        <v>0.5</v>
      </c>
      <c r="T2345" s="16" t="n">
        <v>0.85</v>
      </c>
      <c r="U2345" s="16" t="n">
        <v>0.75</v>
      </c>
      <c r="V2345" s="16" t="n">
        <v>0.85</v>
      </c>
      <c r="W2345" s="16" t="n">
        <v>0.75</v>
      </c>
      <c r="X2345" s="16" t="n">
        <v>0.9</v>
      </c>
      <c r="Y2345" s="16" t="n">
        <v>278.15</v>
      </c>
      <c r="Z2345" s="16" t="n">
        <v>1.86370829399791</v>
      </c>
      <c r="AA2345" s="16" t="n">
        <v>3.212422774523369</v>
      </c>
      <c r="AB2345" s="16" t="n">
        <v>2600</v>
      </c>
      <c r="AC2345" s="16" t="n">
        <v>7.5</v>
      </c>
      <c r="AD2345" s="16" t="n"/>
      <c r="AE2345" s="16" t="n"/>
    </row>
    <row r="2346">
      <c r="A2346" s="16" t="inlineStr">
        <is>
          <t>KF-M05c-0024</t>
        </is>
      </c>
      <c r="B2346" s="16" t="inlineStr">
        <is>
          <t>4.2</t>
        </is>
      </c>
      <c r="C2346" s="16" t="inlineStr">
        <is>
          <t>4.2</t>
        </is>
      </c>
      <c r="D2346" s="16" t="inlineStr">
        <is>
          <t>presiones del profesor, malla T_fuente × ε_cond × clima</t>
        </is>
      </c>
      <c r="E2346" s="16" t="inlineStr">
        <is>
          <t>KF-M05c</t>
        </is>
      </c>
      <c r="F2346" s="16" t="inlineStr">
        <is>
          <t>KF-M05c</t>
        </is>
      </c>
      <c r="G2346" s="16" t="inlineStr">
        <is>
          <t>B10</t>
        </is>
      </c>
      <c r="H2346" s="16" t="inlineStr">
        <is>
          <t>malla</t>
        </is>
      </c>
      <c r="I2346" s="16" t="inlineStr">
        <is>
          <t>N2</t>
        </is>
      </c>
      <c r="J2346" s="16" t="inlineStr">
        <is>
          <t>NO_CONVERGIO</t>
        </is>
      </c>
      <c r="K2346" s="16" t="b">
        <v>0</v>
      </c>
      <c r="L2346" s="16" t="b">
        <v>0</v>
      </c>
      <c r="M2346" s="16" t="b">
        <v>0</v>
      </c>
      <c r="N2346" s="16" t="b">
        <v>0</v>
      </c>
      <c r="O2346" s="16" t="n">
        <v>385</v>
      </c>
      <c r="P2346" s="16" t="n">
        <v>278.15</v>
      </c>
      <c r="Q2346" s="16" t="n">
        <v>3000</v>
      </c>
      <c r="R2346" s="16" t="n">
        <v>400</v>
      </c>
      <c r="S2346" s="16" t="n">
        <v>0.5</v>
      </c>
      <c r="T2346" s="16" t="n">
        <v>0.85</v>
      </c>
      <c r="U2346" s="16" t="n">
        <v>0.75</v>
      </c>
      <c r="V2346" s="16" t="n">
        <v>0.85</v>
      </c>
      <c r="W2346" s="16" t="n">
        <v>0.75</v>
      </c>
      <c r="X2346" s="16" t="n">
        <v>0.9</v>
      </c>
      <c r="Y2346" s="16" t="n">
        <v>278.15</v>
      </c>
      <c r="Z2346" s="16" t="n">
        <v>-16.16288716764467</v>
      </c>
      <c r="AA2346" s="16" t="n">
        <v>-16.21288950800283</v>
      </c>
      <c r="AB2346" s="16" t="n">
        <v>2600</v>
      </c>
      <c r="AC2346" s="16" t="n">
        <v>7.5</v>
      </c>
      <c r="AD2346" s="16" t="inlineStr">
        <is>
          <t>N2,O3,O5,C1,C3,C3</t>
        </is>
      </c>
      <c r="AE2346" s="16" t="n"/>
    </row>
    <row r="2347">
      <c r="A2347" s="16" t="inlineStr">
        <is>
          <t>KF-M05c-0025</t>
        </is>
      </c>
      <c r="B2347" s="16" t="inlineStr">
        <is>
          <t>4.2</t>
        </is>
      </c>
      <c r="C2347" s="16" t="inlineStr">
        <is>
          <t>4.2</t>
        </is>
      </c>
      <c r="D2347" s="16" t="inlineStr">
        <is>
          <t>presiones del profesor, malla T_fuente × ε_cond × clima</t>
        </is>
      </c>
      <c r="E2347" s="16" t="inlineStr">
        <is>
          <t>KF-M05c</t>
        </is>
      </c>
      <c r="F2347" s="16" t="inlineStr">
        <is>
          <t>KF-M05c</t>
        </is>
      </c>
      <c r="G2347" s="16" t="inlineStr">
        <is>
          <t>B10</t>
        </is>
      </c>
      <c r="H2347" s="16" t="inlineStr">
        <is>
          <t>malla</t>
        </is>
      </c>
      <c r="I2347" s="16" t="inlineStr">
        <is>
          <t>KALINA</t>
        </is>
      </c>
      <c r="J2347" s="16" t="inlineStr">
        <is>
          <t>KALINA</t>
        </is>
      </c>
      <c r="K2347" s="16" t="b">
        <v>1</v>
      </c>
      <c r="L2347" s="16" t="b">
        <v>1</v>
      </c>
      <c r="M2347" s="16" t="b">
        <v>0</v>
      </c>
      <c r="N2347" s="16" t="b">
        <v>0</v>
      </c>
      <c r="O2347" s="16" t="n">
        <v>392.5</v>
      </c>
      <c r="P2347" s="16" t="n">
        <v>278.15</v>
      </c>
      <c r="Q2347" s="16" t="n">
        <v>3000</v>
      </c>
      <c r="R2347" s="16" t="n">
        <v>400</v>
      </c>
      <c r="S2347" s="16" t="n">
        <v>0.5</v>
      </c>
      <c r="T2347" s="16" t="n">
        <v>0.85</v>
      </c>
      <c r="U2347" s="16" t="n">
        <v>0.75</v>
      </c>
      <c r="V2347" s="16" t="n">
        <v>0.85</v>
      </c>
      <c r="W2347" s="16" t="n">
        <v>0.75</v>
      </c>
      <c r="X2347" s="16" t="n">
        <v>0.9</v>
      </c>
      <c r="Y2347" s="16" t="n">
        <v>278.15</v>
      </c>
      <c r="Z2347" s="16" t="n">
        <v>4.16644225801248</v>
      </c>
      <c r="AA2347" s="16" t="n">
        <v>8.671118353084804</v>
      </c>
      <c r="AB2347" s="16" t="n">
        <v>2600</v>
      </c>
      <c r="AC2347" s="16" t="n">
        <v>7.5</v>
      </c>
      <c r="AD2347" s="16" t="n"/>
      <c r="AE2347" s="16" t="n"/>
    </row>
    <row r="2348">
      <c r="A2348" s="16" t="inlineStr">
        <is>
          <t>KF-M05c-0026</t>
        </is>
      </c>
      <c r="B2348" s="16" t="inlineStr">
        <is>
          <t>4.2</t>
        </is>
      </c>
      <c r="C2348" s="16" t="inlineStr">
        <is>
          <t>4.2</t>
        </is>
      </c>
      <c r="D2348" s="16" t="inlineStr">
        <is>
          <t>presiones del profesor, malla T_fuente × ε_cond × clima</t>
        </is>
      </c>
      <c r="E2348" s="16" t="inlineStr">
        <is>
          <t>KF-M05c</t>
        </is>
      </c>
      <c r="F2348" s="16" t="inlineStr">
        <is>
          <t>KF-M05c</t>
        </is>
      </c>
      <c r="G2348" s="16" t="inlineStr">
        <is>
          <t>B10</t>
        </is>
      </c>
      <c r="H2348" s="16" t="inlineStr">
        <is>
          <t>malla</t>
        </is>
      </c>
      <c r="I2348" s="16" t="inlineStr">
        <is>
          <t>KALINA</t>
        </is>
      </c>
      <c r="J2348" s="16" t="inlineStr">
        <is>
          <t>KALINA</t>
        </is>
      </c>
      <c r="K2348" s="16" t="b">
        <v>1</v>
      </c>
      <c r="L2348" s="16" t="b">
        <v>1</v>
      </c>
      <c r="M2348" s="16" t="b">
        <v>0</v>
      </c>
      <c r="N2348" s="16" t="b">
        <v>0</v>
      </c>
      <c r="O2348" s="16" t="n">
        <v>395</v>
      </c>
      <c r="P2348" s="16" t="n">
        <v>278.15</v>
      </c>
      <c r="Q2348" s="16" t="n">
        <v>3000</v>
      </c>
      <c r="R2348" s="16" t="n">
        <v>400</v>
      </c>
      <c r="S2348" s="16" t="n">
        <v>0.5</v>
      </c>
      <c r="T2348" s="16" t="n">
        <v>0.85</v>
      </c>
      <c r="U2348" s="16" t="n">
        <v>0.75</v>
      </c>
      <c r="V2348" s="16" t="n">
        <v>0.85</v>
      </c>
      <c r="W2348" s="16" t="n">
        <v>0.75</v>
      </c>
      <c r="X2348" s="16" t="n">
        <v>0.9</v>
      </c>
      <c r="Y2348" s="16" t="n">
        <v>278.15</v>
      </c>
      <c r="Z2348" s="16" t="n">
        <v>5.75239759016037</v>
      </c>
      <c r="AA2348" s="16" t="n">
        <v>13.95750773978707</v>
      </c>
      <c r="AB2348" s="16" t="n">
        <v>2600</v>
      </c>
      <c r="AC2348" s="16" t="n">
        <v>7.5</v>
      </c>
      <c r="AD2348" s="16" t="n"/>
      <c r="AE2348" s="16" t="n"/>
    </row>
    <row r="2349">
      <c r="A2349" s="16" t="inlineStr">
        <is>
          <t>KF-M05c-0027</t>
        </is>
      </c>
      <c r="B2349" s="16" t="inlineStr">
        <is>
          <t>4.2</t>
        </is>
      </c>
      <c r="C2349" s="16" t="inlineStr">
        <is>
          <t>4.2</t>
        </is>
      </c>
      <c r="D2349" s="16" t="inlineStr">
        <is>
          <t>presiones del profesor, malla T_fuente × ε_cond × clima</t>
        </is>
      </c>
      <c r="E2349" s="16" t="inlineStr">
        <is>
          <t>KF-M05c</t>
        </is>
      </c>
      <c r="F2349" s="16" t="inlineStr">
        <is>
          <t>KF-M05c</t>
        </is>
      </c>
      <c r="G2349" s="16" t="inlineStr">
        <is>
          <t>B10</t>
        </is>
      </c>
      <c r="H2349" s="16" t="inlineStr">
        <is>
          <t>malla</t>
        </is>
      </c>
      <c r="I2349" s="16" t="inlineStr">
        <is>
          <t>KALINA</t>
        </is>
      </c>
      <c r="J2349" s="16" t="inlineStr">
        <is>
          <t>KALINA</t>
        </is>
      </c>
      <c r="K2349" s="16" t="b">
        <v>1</v>
      </c>
      <c r="L2349" s="16" t="b">
        <v>1</v>
      </c>
      <c r="M2349" s="16" t="b">
        <v>0</v>
      </c>
      <c r="N2349" s="16" t="b">
        <v>0</v>
      </c>
      <c r="O2349" s="16" t="n">
        <v>397.5</v>
      </c>
      <c r="P2349" s="16" t="n">
        <v>278.15</v>
      </c>
      <c r="Q2349" s="16" t="n">
        <v>3000</v>
      </c>
      <c r="R2349" s="16" t="n">
        <v>400</v>
      </c>
      <c r="S2349" s="16" t="n">
        <v>0.5</v>
      </c>
      <c r="T2349" s="16" t="n">
        <v>0.85</v>
      </c>
      <c r="U2349" s="16" t="n">
        <v>0.75</v>
      </c>
      <c r="V2349" s="16" t="n">
        <v>0.85</v>
      </c>
      <c r="W2349" s="16" t="n">
        <v>0.75</v>
      </c>
      <c r="X2349" s="16" t="n">
        <v>0.9</v>
      </c>
      <c r="Y2349" s="16" t="n">
        <v>278.15</v>
      </c>
      <c r="Z2349" s="16" t="n">
        <v>6.91773681041121</v>
      </c>
      <c r="AA2349" s="16" t="n">
        <v>19.10503160912173</v>
      </c>
      <c r="AB2349" s="16" t="n">
        <v>2600</v>
      </c>
      <c r="AC2349" s="16" t="n">
        <v>7.5</v>
      </c>
      <c r="AD2349" s="16" t="n"/>
      <c r="AE2349" s="16" t="n"/>
    </row>
    <row r="2350">
      <c r="A2350" s="16" t="inlineStr">
        <is>
          <t>KF-M05c-0028</t>
        </is>
      </c>
      <c r="B2350" s="16" t="inlineStr">
        <is>
          <t>4.2</t>
        </is>
      </c>
      <c r="C2350" s="16" t="inlineStr">
        <is>
          <t>4.2</t>
        </is>
      </c>
      <c r="D2350" s="16" t="inlineStr">
        <is>
          <t>presiones del profesor, malla T_fuente × ε_cond × clima</t>
        </is>
      </c>
      <c r="E2350" s="16" t="inlineStr">
        <is>
          <t>KF-M05c</t>
        </is>
      </c>
      <c r="F2350" s="16" t="inlineStr">
        <is>
          <t>KF-M05c</t>
        </is>
      </c>
      <c r="G2350" s="16" t="inlineStr">
        <is>
          <t>B10</t>
        </is>
      </c>
      <c r="H2350" s="16" t="inlineStr">
        <is>
          <t>malla</t>
        </is>
      </c>
      <c r="I2350" s="16" t="inlineStr">
        <is>
          <t>KALINA</t>
        </is>
      </c>
      <c r="J2350" s="16" t="inlineStr">
        <is>
          <t>KALINA</t>
        </is>
      </c>
      <c r="K2350" s="16" t="b">
        <v>1</v>
      </c>
      <c r="L2350" s="16" t="b">
        <v>1</v>
      </c>
      <c r="M2350" s="16" t="b">
        <v>0</v>
      </c>
      <c r="N2350" s="16" t="b">
        <v>0</v>
      </c>
      <c r="O2350" s="16" t="n">
        <v>400</v>
      </c>
      <c r="P2350" s="16" t="n">
        <v>278.15</v>
      </c>
      <c r="Q2350" s="16" t="n">
        <v>3000</v>
      </c>
      <c r="R2350" s="16" t="n">
        <v>400</v>
      </c>
      <c r="S2350" s="16" t="n">
        <v>0.5</v>
      </c>
      <c r="T2350" s="16" t="n">
        <v>0.85</v>
      </c>
      <c r="U2350" s="16" t="n">
        <v>0.75</v>
      </c>
      <c r="V2350" s="16" t="n">
        <v>0.85</v>
      </c>
      <c r="W2350" s="16" t="n">
        <v>0.75</v>
      </c>
      <c r="X2350" s="16" t="n">
        <v>0.9</v>
      </c>
      <c r="Y2350" s="16" t="n">
        <v>278.15</v>
      </c>
      <c r="Z2350" s="16" t="n">
        <v>7.814530062252089</v>
      </c>
      <c r="AA2350" s="16" t="n">
        <v>24.1426288521708</v>
      </c>
      <c r="AB2350" s="16" t="n">
        <v>2600</v>
      </c>
      <c r="AC2350" s="16" t="n">
        <v>7.5</v>
      </c>
      <c r="AD2350" s="16" t="n"/>
      <c r="AE2350" s="16" t="n"/>
    </row>
    <row r="2351">
      <c r="A2351" s="16" t="inlineStr">
        <is>
          <t>KF-M05c-0029</t>
        </is>
      </c>
      <c r="B2351" s="16" t="inlineStr">
        <is>
          <t>4.2</t>
        </is>
      </c>
      <c r="C2351" s="16" t="inlineStr">
        <is>
          <t>4.2</t>
        </is>
      </c>
      <c r="D2351" s="16" t="inlineStr">
        <is>
          <t>presiones del profesor, malla T_fuente × ε_cond × clima</t>
        </is>
      </c>
      <c r="E2351" s="16" t="inlineStr">
        <is>
          <t>KF-M05c</t>
        </is>
      </c>
      <c r="F2351" s="16" t="inlineStr">
        <is>
          <t>KF-M05c</t>
        </is>
      </c>
      <c r="G2351" s="16" t="inlineStr">
        <is>
          <t>B10</t>
        </is>
      </c>
      <c r="H2351" s="16" t="inlineStr">
        <is>
          <t>malla</t>
        </is>
      </c>
      <c r="I2351" s="16" t="inlineStr">
        <is>
          <t>KALINA</t>
        </is>
      </c>
      <c r="J2351" s="16" t="inlineStr">
        <is>
          <t>KALINA</t>
        </is>
      </c>
      <c r="K2351" s="16" t="b">
        <v>1</v>
      </c>
      <c r="L2351" s="16" t="b">
        <v>1</v>
      </c>
      <c r="M2351" s="16" t="b">
        <v>0</v>
      </c>
      <c r="N2351" s="16" t="b">
        <v>0</v>
      </c>
      <c r="O2351" s="16" t="n">
        <v>402.5</v>
      </c>
      <c r="P2351" s="16" t="n">
        <v>278.15</v>
      </c>
      <c r="Q2351" s="16" t="n">
        <v>3000</v>
      </c>
      <c r="R2351" s="16" t="n">
        <v>400</v>
      </c>
      <c r="S2351" s="16" t="n">
        <v>0.5</v>
      </c>
      <c r="T2351" s="16" t="n">
        <v>0.85</v>
      </c>
      <c r="U2351" s="16" t="n">
        <v>0.75</v>
      </c>
      <c r="V2351" s="16" t="n">
        <v>0.85</v>
      </c>
      <c r="W2351" s="16" t="n">
        <v>0.75</v>
      </c>
      <c r="X2351" s="16" t="n">
        <v>0.9</v>
      </c>
      <c r="Y2351" s="16" t="n">
        <v>278.15</v>
      </c>
      <c r="Z2351" s="16" t="n">
        <v>8.528892955363169</v>
      </c>
      <c r="AA2351" s="16" t="n">
        <v>29.09595635059733</v>
      </c>
      <c r="AB2351" s="16" t="n">
        <v>2600</v>
      </c>
      <c r="AC2351" s="16" t="n">
        <v>7.5</v>
      </c>
      <c r="AD2351" s="16" t="n"/>
      <c r="AE2351" s="16" t="n"/>
    </row>
    <row r="2352">
      <c r="A2352" s="16" t="inlineStr">
        <is>
          <t>KF-M05c-0030</t>
        </is>
      </c>
      <c r="B2352" s="16" t="inlineStr">
        <is>
          <t>4.2</t>
        </is>
      </c>
      <c r="C2352" s="16" t="inlineStr">
        <is>
          <t>4.2</t>
        </is>
      </c>
      <c r="D2352" s="16" t="inlineStr">
        <is>
          <t>presiones del profesor, malla T_fuente × ε_cond × clima</t>
        </is>
      </c>
      <c r="E2352" s="16" t="inlineStr">
        <is>
          <t>KF-M05c</t>
        </is>
      </c>
      <c r="F2352" s="16" t="inlineStr">
        <is>
          <t>KF-M05c</t>
        </is>
      </c>
      <c r="G2352" s="16" t="inlineStr">
        <is>
          <t>B10</t>
        </is>
      </c>
      <c r="H2352" s="16" t="inlineStr">
        <is>
          <t>malla</t>
        </is>
      </c>
      <c r="I2352" s="16" t="inlineStr">
        <is>
          <t>KALINA</t>
        </is>
      </c>
      <c r="J2352" s="16" t="inlineStr">
        <is>
          <t>KALINA</t>
        </is>
      </c>
      <c r="K2352" s="16" t="b">
        <v>1</v>
      </c>
      <c r="L2352" s="16" t="b">
        <v>1</v>
      </c>
      <c r="M2352" s="16" t="b">
        <v>0</v>
      </c>
      <c r="N2352" s="16" t="b">
        <v>0</v>
      </c>
      <c r="O2352" s="16" t="n">
        <v>405</v>
      </c>
      <c r="P2352" s="16" t="n">
        <v>278.15</v>
      </c>
      <c r="Q2352" s="16" t="n">
        <v>3000</v>
      </c>
      <c r="R2352" s="16" t="n">
        <v>400</v>
      </c>
      <c r="S2352" s="16" t="n">
        <v>0.5</v>
      </c>
      <c r="T2352" s="16" t="n">
        <v>0.85</v>
      </c>
      <c r="U2352" s="16" t="n">
        <v>0.75</v>
      </c>
      <c r="V2352" s="16" t="n">
        <v>0.85</v>
      </c>
      <c r="W2352" s="16" t="n">
        <v>0.75</v>
      </c>
      <c r="X2352" s="16" t="n">
        <v>0.9</v>
      </c>
      <c r="Y2352" s="16" t="n">
        <v>278.15</v>
      </c>
      <c r="Z2352" s="16" t="n">
        <v>9.11326920797196</v>
      </c>
      <c r="AA2352" s="16" t="n">
        <v>33.98833194340354</v>
      </c>
      <c r="AB2352" s="16" t="n">
        <v>2600</v>
      </c>
      <c r="AC2352" s="16" t="n">
        <v>7.5</v>
      </c>
      <c r="AD2352" s="16" t="n"/>
      <c r="AE2352" s="16" t="n"/>
    </row>
    <row r="2353">
      <c r="A2353" s="16" t="inlineStr">
        <is>
          <t>KF-M05c-0031</t>
        </is>
      </c>
      <c r="B2353" s="16" t="inlineStr">
        <is>
          <t>4.2</t>
        </is>
      </c>
      <c r="C2353" s="16" t="inlineStr">
        <is>
          <t>4.2</t>
        </is>
      </c>
      <c r="D2353" s="16" t="inlineStr">
        <is>
          <t>presiones del profesor, malla T_fuente × ε_cond × clima</t>
        </is>
      </c>
      <c r="E2353" s="16" t="inlineStr">
        <is>
          <t>KF-M05c</t>
        </is>
      </c>
      <c r="F2353" s="16" t="inlineStr">
        <is>
          <t>KF-M05c</t>
        </is>
      </c>
      <c r="G2353" s="16" t="inlineStr">
        <is>
          <t>B10</t>
        </is>
      </c>
      <c r="H2353" s="16" t="inlineStr">
        <is>
          <t>malla</t>
        </is>
      </c>
      <c r="I2353" s="16" t="inlineStr">
        <is>
          <t>KALINA</t>
        </is>
      </c>
      <c r="J2353" s="16" t="inlineStr">
        <is>
          <t>KALINA</t>
        </is>
      </c>
      <c r="K2353" s="16" t="b">
        <v>1</v>
      </c>
      <c r="L2353" s="16" t="b">
        <v>1</v>
      </c>
      <c r="M2353" s="16" t="b">
        <v>0</v>
      </c>
      <c r="N2353" s="16" t="b">
        <v>0</v>
      </c>
      <c r="O2353" s="16" t="n">
        <v>407.5</v>
      </c>
      <c r="P2353" s="16" t="n">
        <v>278.15</v>
      </c>
      <c r="Q2353" s="16" t="n">
        <v>3000</v>
      </c>
      <c r="R2353" s="16" t="n">
        <v>400</v>
      </c>
      <c r="S2353" s="16" t="n">
        <v>0.5</v>
      </c>
      <c r="T2353" s="16" t="n">
        <v>0.85</v>
      </c>
      <c r="U2353" s="16" t="n">
        <v>0.75</v>
      </c>
      <c r="V2353" s="16" t="n">
        <v>0.85</v>
      </c>
      <c r="W2353" s="16" t="n">
        <v>0.75</v>
      </c>
      <c r="X2353" s="16" t="n">
        <v>0.9</v>
      </c>
      <c r="Y2353" s="16" t="n">
        <v>278.15</v>
      </c>
      <c r="Z2353" s="16" t="n">
        <v>9.601452783450929</v>
      </c>
      <c r="AA2353" s="16" t="n">
        <v>38.84147026117755</v>
      </c>
      <c r="AB2353" s="16" t="n">
        <v>2600</v>
      </c>
      <c r="AC2353" s="16" t="n">
        <v>7.5</v>
      </c>
      <c r="AD2353" s="16" t="n"/>
      <c r="AE2353" s="16" t="n"/>
    </row>
    <row r="2354">
      <c r="A2354" s="16" t="inlineStr">
        <is>
          <t>KF-M05c-0032</t>
        </is>
      </c>
      <c r="B2354" s="16" t="inlineStr">
        <is>
          <t>4.2</t>
        </is>
      </c>
      <c r="C2354" s="16" t="inlineStr">
        <is>
          <t>4.2</t>
        </is>
      </c>
      <c r="D2354" s="16" t="inlineStr">
        <is>
          <t>presiones del profesor, malla T_fuente × ε_cond × clima</t>
        </is>
      </c>
      <c r="E2354" s="16" t="inlineStr">
        <is>
          <t>KF-M05c</t>
        </is>
      </c>
      <c r="F2354" s="16" t="inlineStr">
        <is>
          <t>KF-M05c</t>
        </is>
      </c>
      <c r="G2354" s="16" t="inlineStr">
        <is>
          <t>B10</t>
        </is>
      </c>
      <c r="H2354" s="16" t="inlineStr">
        <is>
          <t>malla</t>
        </is>
      </c>
      <c r="I2354" s="16" t="inlineStr">
        <is>
          <t>KALINA</t>
        </is>
      </c>
      <c r="J2354" s="16" t="inlineStr">
        <is>
          <t>KALINA</t>
        </is>
      </c>
      <c r="K2354" s="16" t="b">
        <v>1</v>
      </c>
      <c r="L2354" s="16" t="b">
        <v>1</v>
      </c>
      <c r="M2354" s="16" t="b">
        <v>0</v>
      </c>
      <c r="N2354" s="16" t="b">
        <v>0</v>
      </c>
      <c r="O2354" s="16" t="n">
        <v>410</v>
      </c>
      <c r="P2354" s="16" t="n">
        <v>278.15</v>
      </c>
      <c r="Q2354" s="16" t="n">
        <v>3000</v>
      </c>
      <c r="R2354" s="16" t="n">
        <v>400</v>
      </c>
      <c r="S2354" s="16" t="n">
        <v>0.5</v>
      </c>
      <c r="T2354" s="16" t="n">
        <v>0.85</v>
      </c>
      <c r="U2354" s="16" t="n">
        <v>0.75</v>
      </c>
      <c r="V2354" s="16" t="n">
        <v>0.85</v>
      </c>
      <c r="W2354" s="16" t="n">
        <v>0.75</v>
      </c>
      <c r="X2354" s="16" t="n">
        <v>0.9</v>
      </c>
      <c r="Y2354" s="16" t="n">
        <v>278.15</v>
      </c>
      <c r="Z2354" s="16" t="n">
        <v>10.01622606824301</v>
      </c>
      <c r="AA2354" s="16" t="n">
        <v>43.67605955269838</v>
      </c>
      <c r="AB2354" s="16" t="n">
        <v>2600</v>
      </c>
      <c r="AC2354" s="16" t="n">
        <v>7.5</v>
      </c>
      <c r="AD2354" s="16" t="n"/>
      <c r="AE2354" s="16" t="n"/>
    </row>
    <row r="2355">
      <c r="A2355" s="16" t="inlineStr">
        <is>
          <t>KF-M05c-0033</t>
        </is>
      </c>
      <c r="B2355" s="16" t="inlineStr">
        <is>
          <t>4.2</t>
        </is>
      </c>
      <c r="C2355" s="16" t="inlineStr">
        <is>
          <t>4.2</t>
        </is>
      </c>
      <c r="D2355" s="16" t="inlineStr">
        <is>
          <t>presiones del profesor, malla T_fuente × ε_cond × clima</t>
        </is>
      </c>
      <c r="E2355" s="16" t="inlineStr">
        <is>
          <t>KF-M05c</t>
        </is>
      </c>
      <c r="F2355" s="16" t="inlineStr">
        <is>
          <t>KF-M05c</t>
        </is>
      </c>
      <c r="G2355" s="16" t="inlineStr">
        <is>
          <t>B10</t>
        </is>
      </c>
      <c r="H2355" s="16" t="inlineStr">
        <is>
          <t>malla</t>
        </is>
      </c>
      <c r="I2355" s="16" t="inlineStr">
        <is>
          <t>INVIABLE</t>
        </is>
      </c>
      <c r="J2355" s="16" t="inlineStr">
        <is>
          <t>INVIABLE</t>
        </is>
      </c>
      <c r="K2355" s="16" t="b">
        <v>1</v>
      </c>
      <c r="L2355" s="16" t="b">
        <v>0</v>
      </c>
      <c r="M2355" s="16" t="b">
        <v>0</v>
      </c>
      <c r="N2355" s="16" t="b">
        <v>0</v>
      </c>
      <c r="O2355" s="16" t="n">
        <v>387.5</v>
      </c>
      <c r="P2355" s="16" t="n">
        <v>278.15</v>
      </c>
      <c r="Q2355" s="16" t="n">
        <v>3000</v>
      </c>
      <c r="R2355" s="16" t="n">
        <v>400</v>
      </c>
      <c r="S2355" s="16" t="n">
        <v>0.5</v>
      </c>
      <c r="T2355" s="16" t="n">
        <v>0.85</v>
      </c>
      <c r="U2355" s="16" t="n">
        <v>0.75</v>
      </c>
      <c r="V2355" s="16" t="n">
        <v>0.85</v>
      </c>
      <c r="W2355" s="16" t="n">
        <v>0.75</v>
      </c>
      <c r="X2355" s="16" t="n">
        <v>0.925</v>
      </c>
      <c r="Y2355" s="16" t="n">
        <v>278.15</v>
      </c>
      <c r="Z2355" s="16" t="n">
        <v>-1.82266210003632</v>
      </c>
      <c r="AA2355" s="16" t="n">
        <v>-2.478331470535835</v>
      </c>
      <c r="AB2355" s="16" t="n">
        <v>2600</v>
      </c>
      <c r="AC2355" s="16" t="n">
        <v>7.5</v>
      </c>
      <c r="AD2355" s="16" t="inlineStr">
        <is>
          <t>O3</t>
        </is>
      </c>
      <c r="AE2355" s="16" t="n"/>
    </row>
    <row r="2356">
      <c r="A2356" s="16" t="inlineStr">
        <is>
          <t>KF-M05c-0034</t>
        </is>
      </c>
      <c r="B2356" s="16" t="inlineStr">
        <is>
          <t>4.2</t>
        </is>
      </c>
      <c r="C2356" s="16" t="inlineStr">
        <is>
          <t>4.2</t>
        </is>
      </c>
      <c r="D2356" s="16" t="inlineStr">
        <is>
          <t>presiones del profesor, malla T_fuente × ε_cond × clima</t>
        </is>
      </c>
      <c r="E2356" s="16" t="inlineStr">
        <is>
          <t>KF-M05c</t>
        </is>
      </c>
      <c r="F2356" s="16" t="inlineStr">
        <is>
          <t>KF-M05c</t>
        </is>
      </c>
      <c r="G2356" s="16" t="inlineStr">
        <is>
          <t>B10</t>
        </is>
      </c>
      <c r="H2356" s="16" t="inlineStr">
        <is>
          <t>malla</t>
        </is>
      </c>
      <c r="I2356" s="16" t="inlineStr">
        <is>
          <t>KALINA</t>
        </is>
      </c>
      <c r="J2356" s="16" t="inlineStr">
        <is>
          <t>KALINA</t>
        </is>
      </c>
      <c r="K2356" s="16" t="b">
        <v>1</v>
      </c>
      <c r="L2356" s="16" t="b">
        <v>1</v>
      </c>
      <c r="M2356" s="16" t="b">
        <v>0</v>
      </c>
      <c r="N2356" s="16" t="b">
        <v>0</v>
      </c>
      <c r="O2356" s="16" t="n">
        <v>390</v>
      </c>
      <c r="P2356" s="16" t="n">
        <v>278.15</v>
      </c>
      <c r="Q2356" s="16" t="n">
        <v>3000</v>
      </c>
      <c r="R2356" s="16" t="n">
        <v>400</v>
      </c>
      <c r="S2356" s="16" t="n">
        <v>0.5</v>
      </c>
      <c r="T2356" s="16" t="n">
        <v>0.85</v>
      </c>
      <c r="U2356" s="16" t="n">
        <v>0.75</v>
      </c>
      <c r="V2356" s="16" t="n">
        <v>0.85</v>
      </c>
      <c r="W2356" s="16" t="n">
        <v>0.75</v>
      </c>
      <c r="X2356" s="16" t="n">
        <v>0.925</v>
      </c>
      <c r="Y2356" s="16" t="n">
        <v>278.15</v>
      </c>
      <c r="Z2356" s="16" t="n">
        <v>1.8356071110783</v>
      </c>
      <c r="AA2356" s="16" t="n">
        <v>3.185262981441481</v>
      </c>
      <c r="AB2356" s="16" t="n">
        <v>2600</v>
      </c>
      <c r="AC2356" s="16" t="n">
        <v>7.5</v>
      </c>
      <c r="AD2356" s="16" t="n"/>
      <c r="AE2356" s="16" t="n"/>
    </row>
    <row r="2357">
      <c r="A2357" s="16" t="inlineStr">
        <is>
          <t>KF-M05c-0035</t>
        </is>
      </c>
      <c r="B2357" s="16" t="inlineStr">
        <is>
          <t>4.2</t>
        </is>
      </c>
      <c r="C2357" s="16" t="inlineStr">
        <is>
          <t>4.2</t>
        </is>
      </c>
      <c r="D2357" s="16" t="inlineStr">
        <is>
          <t>presiones del profesor, malla T_fuente × ε_cond × clima</t>
        </is>
      </c>
      <c r="E2357" s="16" t="inlineStr">
        <is>
          <t>KF-M05c</t>
        </is>
      </c>
      <c r="F2357" s="16" t="inlineStr">
        <is>
          <t>KF-M05c</t>
        </is>
      </c>
      <c r="G2357" s="16" t="inlineStr">
        <is>
          <t>B10</t>
        </is>
      </c>
      <c r="H2357" s="16" t="inlineStr">
        <is>
          <t>malla</t>
        </is>
      </c>
      <c r="I2357" s="16" t="inlineStr">
        <is>
          <t>N2</t>
        </is>
      </c>
      <c r="J2357" s="16" t="inlineStr">
        <is>
          <t>NO_CONVERGIO</t>
        </is>
      </c>
      <c r="K2357" s="16" t="b">
        <v>0</v>
      </c>
      <c r="L2357" s="16" t="b">
        <v>0</v>
      </c>
      <c r="M2357" s="16" t="b">
        <v>0</v>
      </c>
      <c r="N2357" s="16" t="b">
        <v>0</v>
      </c>
      <c r="O2357" s="16" t="n">
        <v>385</v>
      </c>
      <c r="P2357" s="16" t="n">
        <v>278.15</v>
      </c>
      <c r="Q2357" s="16" t="n">
        <v>3000</v>
      </c>
      <c r="R2357" s="16" t="n">
        <v>400</v>
      </c>
      <c r="S2357" s="16" t="n">
        <v>0.5</v>
      </c>
      <c r="T2357" s="16" t="n">
        <v>0.85</v>
      </c>
      <c r="U2357" s="16" t="n">
        <v>0.75</v>
      </c>
      <c r="V2357" s="16" t="n">
        <v>0.85</v>
      </c>
      <c r="W2357" s="16" t="n">
        <v>0.75</v>
      </c>
      <c r="X2357" s="16" t="n">
        <v>0.925</v>
      </c>
      <c r="Y2357" s="16" t="n">
        <v>278.15</v>
      </c>
      <c r="Z2357" s="16" t="n">
        <v>-16.1454711309228</v>
      </c>
      <c r="AA2357" s="16" t="n">
        <v>-16.24433032035395</v>
      </c>
      <c r="AB2357" s="16" t="n">
        <v>2600</v>
      </c>
      <c r="AC2357" s="16" t="n">
        <v>7.5</v>
      </c>
      <c r="AD2357" s="16" t="inlineStr">
        <is>
          <t>N2,O3,O5,C1,C3,C3</t>
        </is>
      </c>
      <c r="AE2357" s="16" t="n"/>
    </row>
    <row r="2358">
      <c r="A2358" s="16" t="inlineStr">
        <is>
          <t>KF-M05c-0036</t>
        </is>
      </c>
      <c r="B2358" s="16" t="inlineStr">
        <is>
          <t>4.2</t>
        </is>
      </c>
      <c r="C2358" s="16" t="inlineStr">
        <is>
          <t>4.2</t>
        </is>
      </c>
      <c r="D2358" s="16" t="inlineStr">
        <is>
          <t>presiones del profesor, malla T_fuente × ε_cond × clima</t>
        </is>
      </c>
      <c r="E2358" s="16" t="inlineStr">
        <is>
          <t>KF-M05c</t>
        </is>
      </c>
      <c r="F2358" s="16" t="inlineStr">
        <is>
          <t>KF-M05c</t>
        </is>
      </c>
      <c r="G2358" s="16" t="inlineStr">
        <is>
          <t>B10</t>
        </is>
      </c>
      <c r="H2358" s="16" t="inlineStr">
        <is>
          <t>malla</t>
        </is>
      </c>
      <c r="I2358" s="16" t="inlineStr">
        <is>
          <t>KALINA</t>
        </is>
      </c>
      <c r="J2358" s="16" t="inlineStr">
        <is>
          <t>KALINA</t>
        </is>
      </c>
      <c r="K2358" s="16" t="b">
        <v>1</v>
      </c>
      <c r="L2358" s="16" t="b">
        <v>1</v>
      </c>
      <c r="M2358" s="16" t="b">
        <v>0</v>
      </c>
      <c r="N2358" s="16" t="b">
        <v>0</v>
      </c>
      <c r="O2358" s="16" t="n">
        <v>392.5</v>
      </c>
      <c r="P2358" s="16" t="n">
        <v>278.15</v>
      </c>
      <c r="Q2358" s="16" t="n">
        <v>3000</v>
      </c>
      <c r="R2358" s="16" t="n">
        <v>400</v>
      </c>
      <c r="S2358" s="16" t="n">
        <v>0.5</v>
      </c>
      <c r="T2358" s="16" t="n">
        <v>0.85</v>
      </c>
      <c r="U2358" s="16" t="n">
        <v>0.75</v>
      </c>
      <c r="V2358" s="16" t="n">
        <v>0.85</v>
      </c>
      <c r="W2358" s="16" t="n">
        <v>0.75</v>
      </c>
      <c r="X2358" s="16" t="n">
        <v>0.925</v>
      </c>
      <c r="Y2358" s="16" t="n">
        <v>278.15</v>
      </c>
      <c r="Z2358" s="16" t="n">
        <v>4.12098837156902</v>
      </c>
      <c r="AA2358" s="16" t="n">
        <v>8.636633830864431</v>
      </c>
      <c r="AB2358" s="16" t="n">
        <v>2600</v>
      </c>
      <c r="AC2358" s="16" t="n">
        <v>7.5</v>
      </c>
      <c r="AD2358" s="16" t="n"/>
      <c r="AE2358" s="16" t="n"/>
    </row>
    <row r="2359">
      <c r="A2359" s="16" t="inlineStr">
        <is>
          <t>KF-M05c-0037</t>
        </is>
      </c>
      <c r="B2359" s="16" t="inlineStr">
        <is>
          <t>4.2</t>
        </is>
      </c>
      <c r="C2359" s="16" t="inlineStr">
        <is>
          <t>4.2</t>
        </is>
      </c>
      <c r="D2359" s="16" t="inlineStr">
        <is>
          <t>presiones del profesor, malla T_fuente × ε_cond × clima</t>
        </is>
      </c>
      <c r="E2359" s="16" t="inlineStr">
        <is>
          <t>KF-M05c</t>
        </is>
      </c>
      <c r="F2359" s="16" t="inlineStr">
        <is>
          <t>KF-M05c</t>
        </is>
      </c>
      <c r="G2359" s="16" t="inlineStr">
        <is>
          <t>B10</t>
        </is>
      </c>
      <c r="H2359" s="16" t="inlineStr">
        <is>
          <t>malla</t>
        </is>
      </c>
      <c r="I2359" s="16" t="inlineStr">
        <is>
          <t>KALINA</t>
        </is>
      </c>
      <c r="J2359" s="16" t="inlineStr">
        <is>
          <t>KALINA</t>
        </is>
      </c>
      <c r="K2359" s="16" t="b">
        <v>1</v>
      </c>
      <c r="L2359" s="16" t="b">
        <v>1</v>
      </c>
      <c r="M2359" s="16" t="b">
        <v>0</v>
      </c>
      <c r="N2359" s="16" t="b">
        <v>0</v>
      </c>
      <c r="O2359" s="16" t="n">
        <v>395</v>
      </c>
      <c r="P2359" s="16" t="n">
        <v>278.15</v>
      </c>
      <c r="Q2359" s="16" t="n">
        <v>3000</v>
      </c>
      <c r="R2359" s="16" t="n">
        <v>400</v>
      </c>
      <c r="S2359" s="16" t="n">
        <v>0.5</v>
      </c>
      <c r="T2359" s="16" t="n">
        <v>0.85</v>
      </c>
      <c r="U2359" s="16" t="n">
        <v>0.75</v>
      </c>
      <c r="V2359" s="16" t="n">
        <v>0.85</v>
      </c>
      <c r="W2359" s="16" t="n">
        <v>0.75</v>
      </c>
      <c r="X2359" s="16" t="n">
        <v>0.925</v>
      </c>
      <c r="Y2359" s="16" t="n">
        <v>278.15</v>
      </c>
      <c r="Z2359" s="16" t="n">
        <v>5.69342604971783</v>
      </c>
      <c r="AA2359" s="16" t="n">
        <v>13.91530922471041</v>
      </c>
      <c r="AB2359" s="16" t="n">
        <v>2600</v>
      </c>
      <c r="AC2359" s="16" t="n">
        <v>7.5</v>
      </c>
      <c r="AD2359" s="16" t="n"/>
      <c r="AE2359" s="16" t="n"/>
    </row>
    <row r="2360">
      <c r="A2360" s="16" t="inlineStr">
        <is>
          <t>KF-M05c-0038</t>
        </is>
      </c>
      <c r="B2360" s="16" t="inlineStr">
        <is>
          <t>4.2</t>
        </is>
      </c>
      <c r="C2360" s="16" t="inlineStr">
        <is>
          <t>4.2</t>
        </is>
      </c>
      <c r="D2360" s="16" t="inlineStr">
        <is>
          <t>presiones del profesor, malla T_fuente × ε_cond × clima</t>
        </is>
      </c>
      <c r="E2360" s="16" t="inlineStr">
        <is>
          <t>KF-M05c</t>
        </is>
      </c>
      <c r="F2360" s="16" t="inlineStr">
        <is>
          <t>KF-M05c</t>
        </is>
      </c>
      <c r="G2360" s="16" t="inlineStr">
        <is>
          <t>B10</t>
        </is>
      </c>
      <c r="H2360" s="16" t="inlineStr">
        <is>
          <t>malla</t>
        </is>
      </c>
      <c r="I2360" s="16" t="inlineStr">
        <is>
          <t>KALINA</t>
        </is>
      </c>
      <c r="J2360" s="16" t="inlineStr">
        <is>
          <t>KALINA</t>
        </is>
      </c>
      <c r="K2360" s="16" t="b">
        <v>1</v>
      </c>
      <c r="L2360" s="16" t="b">
        <v>1</v>
      </c>
      <c r="M2360" s="16" t="b">
        <v>0</v>
      </c>
      <c r="N2360" s="16" t="b">
        <v>0</v>
      </c>
      <c r="O2360" s="16" t="n">
        <v>397.5</v>
      </c>
      <c r="P2360" s="16" t="n">
        <v>278.15</v>
      </c>
      <c r="Q2360" s="16" t="n">
        <v>3000</v>
      </c>
      <c r="R2360" s="16" t="n">
        <v>400</v>
      </c>
      <c r="S2360" s="16" t="n">
        <v>0.5</v>
      </c>
      <c r="T2360" s="16" t="n">
        <v>0.85</v>
      </c>
      <c r="U2360" s="16" t="n">
        <v>0.75</v>
      </c>
      <c r="V2360" s="16" t="n">
        <v>0.85</v>
      </c>
      <c r="W2360" s="16" t="n">
        <v>0.75</v>
      </c>
      <c r="X2360" s="16" t="n">
        <v>0.925</v>
      </c>
      <c r="Y2360" s="16" t="n">
        <v>278.15</v>
      </c>
      <c r="Z2360" s="16" t="n">
        <v>6.84750615344273</v>
      </c>
      <c r="AA2360" s="16" t="n">
        <v>19.05475941090097</v>
      </c>
      <c r="AB2360" s="16" t="n">
        <v>2600</v>
      </c>
      <c r="AC2360" s="16" t="n">
        <v>7.5</v>
      </c>
      <c r="AD2360" s="16" t="n"/>
      <c r="AE2360" s="16" t="n"/>
    </row>
    <row r="2361">
      <c r="A2361" s="16" t="inlineStr">
        <is>
          <t>KF-M05c-0039</t>
        </is>
      </c>
      <c r="B2361" s="16" t="inlineStr">
        <is>
          <t>4.2</t>
        </is>
      </c>
      <c r="C2361" s="16" t="inlineStr">
        <is>
          <t>4.2</t>
        </is>
      </c>
      <c r="D2361" s="16" t="inlineStr">
        <is>
          <t>presiones del profesor, malla T_fuente × ε_cond × clima</t>
        </is>
      </c>
      <c r="E2361" s="16" t="inlineStr">
        <is>
          <t>KF-M05c</t>
        </is>
      </c>
      <c r="F2361" s="16" t="inlineStr">
        <is>
          <t>KF-M05c</t>
        </is>
      </c>
      <c r="G2361" s="16" t="inlineStr">
        <is>
          <t>B10</t>
        </is>
      </c>
      <c r="H2361" s="16" t="inlineStr">
        <is>
          <t>malla</t>
        </is>
      </c>
      <c r="I2361" s="16" t="inlineStr">
        <is>
          <t>KALINA</t>
        </is>
      </c>
      <c r="J2361" s="16" t="inlineStr">
        <is>
          <t>KALINA</t>
        </is>
      </c>
      <c r="K2361" s="16" t="b">
        <v>1</v>
      </c>
      <c r="L2361" s="16" t="b">
        <v>1</v>
      </c>
      <c r="M2361" s="16" t="b">
        <v>0</v>
      </c>
      <c r="N2361" s="16" t="b">
        <v>0</v>
      </c>
      <c r="O2361" s="16" t="n">
        <v>400</v>
      </c>
      <c r="P2361" s="16" t="n">
        <v>278.15</v>
      </c>
      <c r="Q2361" s="16" t="n">
        <v>3000</v>
      </c>
      <c r="R2361" s="16" t="n">
        <v>400</v>
      </c>
      <c r="S2361" s="16" t="n">
        <v>0.5</v>
      </c>
      <c r="T2361" s="16" t="n">
        <v>0.85</v>
      </c>
      <c r="U2361" s="16" t="n">
        <v>0.75</v>
      </c>
      <c r="V2361" s="16" t="n">
        <v>0.85</v>
      </c>
      <c r="W2361" s="16" t="n">
        <v>0.75</v>
      </c>
      <c r="X2361" s="16" t="n">
        <v>0.925</v>
      </c>
      <c r="Y2361" s="16" t="n">
        <v>278.15</v>
      </c>
      <c r="Z2361" s="16" t="n">
        <v>7.734515166662111</v>
      </c>
      <c r="AA2361" s="16" t="n">
        <v>24.08394533640426</v>
      </c>
      <c r="AB2361" s="16" t="n">
        <v>2600</v>
      </c>
      <c r="AC2361" s="16" t="n">
        <v>7.5</v>
      </c>
      <c r="AD2361" s="16" t="n"/>
      <c r="AE2361" s="16" t="n"/>
    </row>
    <row r="2362">
      <c r="A2362" s="16" t="inlineStr">
        <is>
          <t>KF-M05c-0040</t>
        </is>
      </c>
      <c r="B2362" s="16" t="inlineStr">
        <is>
          <t>4.2</t>
        </is>
      </c>
      <c r="C2362" s="16" t="inlineStr">
        <is>
          <t>4.2</t>
        </is>
      </c>
      <c r="D2362" s="16" t="inlineStr">
        <is>
          <t>presiones del profesor, malla T_fuente × ε_cond × clima</t>
        </is>
      </c>
      <c r="E2362" s="16" t="inlineStr">
        <is>
          <t>KF-M05c</t>
        </is>
      </c>
      <c r="F2362" s="16" t="inlineStr">
        <is>
          <t>KF-M05c</t>
        </is>
      </c>
      <c r="G2362" s="16" t="inlineStr">
        <is>
          <t>B10</t>
        </is>
      </c>
      <c r="H2362" s="16" t="inlineStr">
        <is>
          <t>malla</t>
        </is>
      </c>
      <c r="I2362" s="16" t="inlineStr">
        <is>
          <t>KALINA</t>
        </is>
      </c>
      <c r="J2362" s="16" t="inlineStr">
        <is>
          <t>KALINA</t>
        </is>
      </c>
      <c r="K2362" s="16" t="b">
        <v>1</v>
      </c>
      <c r="L2362" s="16" t="b">
        <v>1</v>
      </c>
      <c r="M2362" s="16" t="b">
        <v>0</v>
      </c>
      <c r="N2362" s="16" t="b">
        <v>0</v>
      </c>
      <c r="O2362" s="16" t="n">
        <v>402.5</v>
      </c>
      <c r="P2362" s="16" t="n">
        <v>278.15</v>
      </c>
      <c r="Q2362" s="16" t="n">
        <v>3000</v>
      </c>
      <c r="R2362" s="16" t="n">
        <v>400</v>
      </c>
      <c r="S2362" s="16" t="n">
        <v>0.5</v>
      </c>
      <c r="T2362" s="16" t="n">
        <v>0.85</v>
      </c>
      <c r="U2362" s="16" t="n">
        <v>0.75</v>
      </c>
      <c r="V2362" s="16" t="n">
        <v>0.85</v>
      </c>
      <c r="W2362" s="16" t="n">
        <v>0.75</v>
      </c>
      <c r="X2362" s="16" t="n">
        <v>0.925</v>
      </c>
      <c r="Y2362" s="16" t="n">
        <v>278.15</v>
      </c>
      <c r="Z2362" s="16" t="n">
        <v>8.440130003478171</v>
      </c>
      <c r="AA2362" s="16" t="n">
        <v>29.02853514702821</v>
      </c>
      <c r="AB2362" s="16" t="n">
        <v>2600</v>
      </c>
      <c r="AC2362" s="16" t="n">
        <v>7.5</v>
      </c>
      <c r="AD2362" s="16" t="n"/>
      <c r="AE2362" s="16" t="n"/>
    </row>
    <row r="2363">
      <c r="A2363" s="16" t="inlineStr">
        <is>
          <t>KF-M05c-0041</t>
        </is>
      </c>
      <c r="B2363" s="16" t="inlineStr">
        <is>
          <t>4.2</t>
        </is>
      </c>
      <c r="C2363" s="16" t="inlineStr">
        <is>
          <t>4.2</t>
        </is>
      </c>
      <c r="D2363" s="16" t="inlineStr">
        <is>
          <t>presiones del profesor, malla T_fuente × ε_cond × clima</t>
        </is>
      </c>
      <c r="E2363" s="16" t="inlineStr">
        <is>
          <t>KF-M05c</t>
        </is>
      </c>
      <c r="F2363" s="16" t="inlineStr">
        <is>
          <t>KF-M05c</t>
        </is>
      </c>
      <c r="G2363" s="16" t="inlineStr">
        <is>
          <t>B10</t>
        </is>
      </c>
      <c r="H2363" s="16" t="inlineStr">
        <is>
          <t>malla</t>
        </is>
      </c>
      <c r="I2363" s="16" t="inlineStr">
        <is>
          <t>KALINA</t>
        </is>
      </c>
      <c r="J2363" s="16" t="inlineStr">
        <is>
          <t>KALINA</t>
        </is>
      </c>
      <c r="K2363" s="16" t="b">
        <v>1</v>
      </c>
      <c r="L2363" s="16" t="b">
        <v>1</v>
      </c>
      <c r="M2363" s="16" t="b">
        <v>0</v>
      </c>
      <c r="N2363" s="16" t="b">
        <v>0</v>
      </c>
      <c r="O2363" s="16" t="n">
        <v>405</v>
      </c>
      <c r="P2363" s="16" t="n">
        <v>278.15</v>
      </c>
      <c r="Q2363" s="16" t="n">
        <v>3000</v>
      </c>
      <c r="R2363" s="16" t="n">
        <v>400</v>
      </c>
      <c r="S2363" s="16" t="n">
        <v>0.5</v>
      </c>
      <c r="T2363" s="16" t="n">
        <v>0.85</v>
      </c>
      <c r="U2363" s="16" t="n">
        <v>0.75</v>
      </c>
      <c r="V2363" s="16" t="n">
        <v>0.85</v>
      </c>
      <c r="W2363" s="16" t="n">
        <v>0.75</v>
      </c>
      <c r="X2363" s="16" t="n">
        <v>0.925</v>
      </c>
      <c r="Y2363" s="16" t="n">
        <v>278.15</v>
      </c>
      <c r="Z2363" s="16" t="n">
        <v>9.016519789676011</v>
      </c>
      <c r="AA2363" s="16" t="n">
        <v>33.91184142319838</v>
      </c>
      <c r="AB2363" s="16" t="n">
        <v>2600</v>
      </c>
      <c r="AC2363" s="16" t="n">
        <v>7.5</v>
      </c>
      <c r="AD2363" s="16" t="n"/>
      <c r="AE2363" s="16" t="n"/>
    </row>
    <row r="2364">
      <c r="A2364" s="16" t="inlineStr">
        <is>
          <t>KF-M05c-0042</t>
        </is>
      </c>
      <c r="B2364" s="16" t="inlineStr">
        <is>
          <t>4.2</t>
        </is>
      </c>
      <c r="C2364" s="16" t="inlineStr">
        <is>
          <t>4.2</t>
        </is>
      </c>
      <c r="D2364" s="16" t="inlineStr">
        <is>
          <t>presiones del profesor, malla T_fuente × ε_cond × clima</t>
        </is>
      </c>
      <c r="E2364" s="16" t="inlineStr">
        <is>
          <t>KF-M05c</t>
        </is>
      </c>
      <c r="F2364" s="16" t="inlineStr">
        <is>
          <t>KF-M05c</t>
        </is>
      </c>
      <c r="G2364" s="16" t="inlineStr">
        <is>
          <t>B10</t>
        </is>
      </c>
      <c r="H2364" s="16" t="inlineStr">
        <is>
          <t>malla</t>
        </is>
      </c>
      <c r="I2364" s="16" t="inlineStr">
        <is>
          <t>KALINA</t>
        </is>
      </c>
      <c r="J2364" s="16" t="inlineStr">
        <is>
          <t>KALINA</t>
        </is>
      </c>
      <c r="K2364" s="16" t="b">
        <v>1</v>
      </c>
      <c r="L2364" s="16" t="b">
        <v>1</v>
      </c>
      <c r="M2364" s="16" t="b">
        <v>0</v>
      </c>
      <c r="N2364" s="16" t="b">
        <v>0</v>
      </c>
      <c r="O2364" s="16" t="n">
        <v>407.5</v>
      </c>
      <c r="P2364" s="16" t="n">
        <v>278.15</v>
      </c>
      <c r="Q2364" s="16" t="n">
        <v>3000</v>
      </c>
      <c r="R2364" s="16" t="n">
        <v>400</v>
      </c>
      <c r="S2364" s="16" t="n">
        <v>0.5</v>
      </c>
      <c r="T2364" s="16" t="n">
        <v>0.85</v>
      </c>
      <c r="U2364" s="16" t="n">
        <v>0.75</v>
      </c>
      <c r="V2364" s="16" t="n">
        <v>0.85</v>
      </c>
      <c r="W2364" s="16" t="n">
        <v>0.75</v>
      </c>
      <c r="X2364" s="16" t="n">
        <v>0.925</v>
      </c>
      <c r="Y2364" s="16" t="n">
        <v>278.15</v>
      </c>
      <c r="Z2364" s="16" t="n">
        <v>9.49731359298422</v>
      </c>
      <c r="AA2364" s="16" t="n">
        <v>38.75557834983832</v>
      </c>
      <c r="AB2364" s="16" t="n">
        <v>2600</v>
      </c>
      <c r="AC2364" s="16" t="n">
        <v>7.5</v>
      </c>
      <c r="AD2364" s="16" t="n"/>
      <c r="AE2364" s="16" t="n"/>
    </row>
    <row r="2365">
      <c r="A2365" s="16" t="inlineStr">
        <is>
          <t>KF-M05c-0043</t>
        </is>
      </c>
      <c r="B2365" s="16" t="inlineStr">
        <is>
          <t>4.2</t>
        </is>
      </c>
      <c r="C2365" s="16" t="inlineStr">
        <is>
          <t>4.2</t>
        </is>
      </c>
      <c r="D2365" s="16" t="inlineStr">
        <is>
          <t>presiones del profesor, malla T_fuente × ε_cond × clima</t>
        </is>
      </c>
      <c r="E2365" s="16" t="inlineStr">
        <is>
          <t>KF-M05c</t>
        </is>
      </c>
      <c r="F2365" s="16" t="inlineStr">
        <is>
          <t>KF-M05c</t>
        </is>
      </c>
      <c r="G2365" s="16" t="inlineStr">
        <is>
          <t>B10</t>
        </is>
      </c>
      <c r="H2365" s="16" t="inlineStr">
        <is>
          <t>malla</t>
        </is>
      </c>
      <c r="I2365" s="16" t="inlineStr">
        <is>
          <t>KALINA</t>
        </is>
      </c>
      <c r="J2365" s="16" t="inlineStr">
        <is>
          <t>KALINA</t>
        </is>
      </c>
      <c r="K2365" s="16" t="b">
        <v>1</v>
      </c>
      <c r="L2365" s="16" t="b">
        <v>1</v>
      </c>
      <c r="M2365" s="16" t="b">
        <v>0</v>
      </c>
      <c r="N2365" s="16" t="b">
        <v>0</v>
      </c>
      <c r="O2365" s="16" t="n">
        <v>410</v>
      </c>
      <c r="P2365" s="16" t="n">
        <v>278.15</v>
      </c>
      <c r="Q2365" s="16" t="n">
        <v>3000</v>
      </c>
      <c r="R2365" s="16" t="n">
        <v>400</v>
      </c>
      <c r="S2365" s="16" t="n">
        <v>0.5</v>
      </c>
      <c r="T2365" s="16" t="n">
        <v>0.85</v>
      </c>
      <c r="U2365" s="16" t="n">
        <v>0.75</v>
      </c>
      <c r="V2365" s="16" t="n">
        <v>0.85</v>
      </c>
      <c r="W2365" s="16" t="n">
        <v>0.75</v>
      </c>
      <c r="X2365" s="16" t="n">
        <v>0.925</v>
      </c>
      <c r="Y2365" s="16" t="n">
        <v>278.15</v>
      </c>
      <c r="Z2365" s="16" t="n">
        <v>9.90516291348484</v>
      </c>
      <c r="AA2365" s="16" t="n">
        <v>43.58040685064078</v>
      </c>
      <c r="AB2365" s="16" t="n">
        <v>2600</v>
      </c>
      <c r="AC2365" s="16" t="n">
        <v>7.5</v>
      </c>
      <c r="AD2365" s="16" t="n"/>
      <c r="AE2365" s="16" t="n"/>
    </row>
    <row r="2366">
      <c r="A2366" s="16" t="inlineStr">
        <is>
          <t>KF-M05c-0044</t>
        </is>
      </c>
      <c r="B2366" s="16" t="inlineStr">
        <is>
          <t>4.2</t>
        </is>
      </c>
      <c r="C2366" s="16" t="inlineStr">
        <is>
          <t>4.2</t>
        </is>
      </c>
      <c r="D2366" s="16" t="inlineStr">
        <is>
          <t>presiones del profesor, malla T_fuente × ε_cond × clima</t>
        </is>
      </c>
      <c r="E2366" s="16" t="inlineStr">
        <is>
          <t>KF-M05c</t>
        </is>
      </c>
      <c r="F2366" s="16" t="inlineStr">
        <is>
          <t>KF-M05c</t>
        </is>
      </c>
      <c r="G2366" s="16" t="inlineStr">
        <is>
          <t>B10</t>
        </is>
      </c>
      <c r="H2366" s="16" t="inlineStr">
        <is>
          <t>malla</t>
        </is>
      </c>
      <c r="I2366" s="16" t="inlineStr">
        <is>
          <t>INVIABLE</t>
        </is>
      </c>
      <c r="J2366" s="16" t="inlineStr">
        <is>
          <t>INVIABLE</t>
        </is>
      </c>
      <c r="K2366" s="16" t="b">
        <v>1</v>
      </c>
      <c r="L2366" s="16" t="b">
        <v>0</v>
      </c>
      <c r="M2366" s="16" t="b">
        <v>0</v>
      </c>
      <c r="N2366" s="16" t="b">
        <v>0</v>
      </c>
      <c r="O2366" s="16" t="n">
        <v>387.5</v>
      </c>
      <c r="P2366" s="16" t="n">
        <v>278.15</v>
      </c>
      <c r="Q2366" s="16" t="n">
        <v>3000</v>
      </c>
      <c r="R2366" s="16" t="n">
        <v>400</v>
      </c>
      <c r="S2366" s="16" t="n">
        <v>0.5</v>
      </c>
      <c r="T2366" s="16" t="n">
        <v>0.85</v>
      </c>
      <c r="U2366" s="16" t="n">
        <v>0.75</v>
      </c>
      <c r="V2366" s="16" t="n">
        <v>0.85</v>
      </c>
      <c r="W2366" s="16" t="n">
        <v>0.75</v>
      </c>
      <c r="X2366" s="16" t="n">
        <v>0.95</v>
      </c>
      <c r="Y2366" s="16" t="n">
        <v>278.15</v>
      </c>
      <c r="Z2366" s="16" t="n">
        <v>-1.82571029349902</v>
      </c>
      <c r="AA2366" s="16" t="n">
        <v>-2.497810902963832</v>
      </c>
      <c r="AB2366" s="16" t="n">
        <v>2600</v>
      </c>
      <c r="AC2366" s="16" t="n">
        <v>7.5</v>
      </c>
      <c r="AD2366" s="16" t="inlineStr">
        <is>
          <t>O3</t>
        </is>
      </c>
      <c r="AE2366" s="16" t="n"/>
    </row>
    <row r="2367">
      <c r="A2367" s="16" t="inlineStr">
        <is>
          <t>KF-M05c-0045</t>
        </is>
      </c>
      <c r="B2367" s="16" t="inlineStr">
        <is>
          <t>4.2</t>
        </is>
      </c>
      <c r="C2367" s="16" t="inlineStr">
        <is>
          <t>4.2</t>
        </is>
      </c>
      <c r="D2367" s="16" t="inlineStr">
        <is>
          <t>presiones del profesor, malla T_fuente × ε_cond × clima</t>
        </is>
      </c>
      <c r="E2367" s="16" t="inlineStr">
        <is>
          <t>KF-M05c</t>
        </is>
      </c>
      <c r="F2367" s="16" t="inlineStr">
        <is>
          <t>KF-M05c</t>
        </is>
      </c>
      <c r="G2367" s="16" t="inlineStr">
        <is>
          <t>B10</t>
        </is>
      </c>
      <c r="H2367" s="16" t="inlineStr">
        <is>
          <t>malla</t>
        </is>
      </c>
      <c r="I2367" s="16" t="inlineStr">
        <is>
          <t>N2</t>
        </is>
      </c>
      <c r="J2367" s="16" t="inlineStr">
        <is>
          <t>NO_CONVERGIO</t>
        </is>
      </c>
      <c r="K2367" s="16" t="b">
        <v>0</v>
      </c>
      <c r="L2367" s="16" t="b">
        <v>0</v>
      </c>
      <c r="M2367" s="16" t="b">
        <v>0</v>
      </c>
      <c r="N2367" s="16" t="b">
        <v>0</v>
      </c>
      <c r="O2367" s="16" t="n">
        <v>385</v>
      </c>
      <c r="P2367" s="16" t="n">
        <v>278.15</v>
      </c>
      <c r="Q2367" s="16" t="n">
        <v>3000</v>
      </c>
      <c r="R2367" s="16" t="n">
        <v>400</v>
      </c>
      <c r="S2367" s="16" t="n">
        <v>0.5</v>
      </c>
      <c r="T2367" s="16" t="n">
        <v>0.85</v>
      </c>
      <c r="U2367" s="16" t="n">
        <v>0.75</v>
      </c>
      <c r="V2367" s="16" t="n">
        <v>0.85</v>
      </c>
      <c r="W2367" s="16" t="n">
        <v>0.75</v>
      </c>
      <c r="X2367" s="16" t="n">
        <v>0.95</v>
      </c>
      <c r="Y2367" s="16" t="n">
        <v>278.15</v>
      </c>
      <c r="Z2367" s="16" t="n">
        <v>-16.12900867820796</v>
      </c>
      <c r="AA2367" s="16" t="n">
        <v>-16.27424987269002</v>
      </c>
      <c r="AB2367" s="16" t="n">
        <v>2600</v>
      </c>
      <c r="AC2367" s="16" t="n">
        <v>7.5</v>
      </c>
      <c r="AD2367" s="16" t="inlineStr">
        <is>
          <t>N2,O3,O5,C1,C3,C3</t>
        </is>
      </c>
      <c r="AE2367" s="16" t="n"/>
    </row>
    <row r="2368">
      <c r="A2368" s="16" t="inlineStr">
        <is>
          <t>KF-M05c-0046</t>
        </is>
      </c>
      <c r="B2368" s="16" t="inlineStr">
        <is>
          <t>4.2</t>
        </is>
      </c>
      <c r="C2368" s="16" t="inlineStr">
        <is>
          <t>4.2</t>
        </is>
      </c>
      <c r="D2368" s="16" t="inlineStr">
        <is>
          <t>presiones del profesor, malla T_fuente × ε_cond × clima</t>
        </is>
      </c>
      <c r="E2368" s="16" t="inlineStr">
        <is>
          <t>KF-M05c</t>
        </is>
      </c>
      <c r="F2368" s="16" t="inlineStr">
        <is>
          <t>KF-M05c</t>
        </is>
      </c>
      <c r="G2368" s="16" t="inlineStr">
        <is>
          <t>B10</t>
        </is>
      </c>
      <c r="H2368" s="16" t="inlineStr">
        <is>
          <t>malla</t>
        </is>
      </c>
      <c r="I2368" s="16" t="inlineStr">
        <is>
          <t>KALINA</t>
        </is>
      </c>
      <c r="J2368" s="16" t="inlineStr">
        <is>
          <t>KALINA</t>
        </is>
      </c>
      <c r="K2368" s="16" t="b">
        <v>1</v>
      </c>
      <c r="L2368" s="16" t="b">
        <v>1</v>
      </c>
      <c r="M2368" s="16" t="b">
        <v>0</v>
      </c>
      <c r="N2368" s="16" t="b">
        <v>0</v>
      </c>
      <c r="O2368" s="16" t="n">
        <v>390</v>
      </c>
      <c r="P2368" s="16" t="n">
        <v>278.15</v>
      </c>
      <c r="Q2368" s="16" t="n">
        <v>3000</v>
      </c>
      <c r="R2368" s="16" t="n">
        <v>400</v>
      </c>
      <c r="S2368" s="16" t="n">
        <v>0.5</v>
      </c>
      <c r="T2368" s="16" t="n">
        <v>0.85</v>
      </c>
      <c r="U2368" s="16" t="n">
        <v>0.75</v>
      </c>
      <c r="V2368" s="16" t="n">
        <v>0.85</v>
      </c>
      <c r="W2368" s="16" t="n">
        <v>0.75</v>
      </c>
      <c r="X2368" s="16" t="n">
        <v>0.95</v>
      </c>
      <c r="Y2368" s="16" t="n">
        <v>278.15</v>
      </c>
      <c r="Z2368" s="16" t="n">
        <v>1.80895792289542</v>
      </c>
      <c r="AA2368" s="16" t="n">
        <v>3.159159704465148</v>
      </c>
      <c r="AB2368" s="16" t="n">
        <v>2600</v>
      </c>
      <c r="AC2368" s="16" t="n">
        <v>7.5</v>
      </c>
      <c r="AD2368" s="16" t="n"/>
      <c r="AE2368" s="16" t="n"/>
    </row>
    <row r="2369">
      <c r="A2369" s="16" t="inlineStr">
        <is>
          <t>KF-M05c-0047</t>
        </is>
      </c>
      <c r="B2369" s="16" t="inlineStr">
        <is>
          <t>4.2</t>
        </is>
      </c>
      <c r="C2369" s="16" t="inlineStr">
        <is>
          <t>4.2</t>
        </is>
      </c>
      <c r="D2369" s="16" t="inlineStr">
        <is>
          <t>presiones del profesor, malla T_fuente × ε_cond × clima</t>
        </is>
      </c>
      <c r="E2369" s="16" t="inlineStr">
        <is>
          <t>KF-M05c</t>
        </is>
      </c>
      <c r="F2369" s="16" t="inlineStr">
        <is>
          <t>KF-M05c</t>
        </is>
      </c>
      <c r="G2369" s="16" t="inlineStr">
        <is>
          <t>B10</t>
        </is>
      </c>
      <c r="H2369" s="16" t="inlineStr">
        <is>
          <t>malla</t>
        </is>
      </c>
      <c r="I2369" s="16" t="inlineStr">
        <is>
          <t>KALINA</t>
        </is>
      </c>
      <c r="J2369" s="16" t="inlineStr">
        <is>
          <t>KALINA</t>
        </is>
      </c>
      <c r="K2369" s="16" t="b">
        <v>1</v>
      </c>
      <c r="L2369" s="16" t="b">
        <v>1</v>
      </c>
      <c r="M2369" s="16" t="b">
        <v>0</v>
      </c>
      <c r="N2369" s="16" t="b">
        <v>0</v>
      </c>
      <c r="O2369" s="16" t="n">
        <v>392.5</v>
      </c>
      <c r="P2369" s="16" t="n">
        <v>278.15</v>
      </c>
      <c r="Q2369" s="16" t="n">
        <v>3000</v>
      </c>
      <c r="R2369" s="16" t="n">
        <v>400</v>
      </c>
      <c r="S2369" s="16" t="n">
        <v>0.5</v>
      </c>
      <c r="T2369" s="16" t="n">
        <v>0.85</v>
      </c>
      <c r="U2369" s="16" t="n">
        <v>0.75</v>
      </c>
      <c r="V2369" s="16" t="n">
        <v>0.85</v>
      </c>
      <c r="W2369" s="16" t="n">
        <v>0.75</v>
      </c>
      <c r="X2369" s="16" t="n">
        <v>0.95</v>
      </c>
      <c r="Y2369" s="16" t="n">
        <v>278.15</v>
      </c>
      <c r="Z2369" s="16" t="n">
        <v>4.07789446719596</v>
      </c>
      <c r="AA2369" s="16" t="n">
        <v>8.603476877844047</v>
      </c>
      <c r="AB2369" s="16" t="n">
        <v>2600</v>
      </c>
      <c r="AC2369" s="16" t="n">
        <v>7.5</v>
      </c>
      <c r="AD2369" s="16" t="n"/>
      <c r="AE2369" s="16" t="n"/>
    </row>
    <row r="2370">
      <c r="A2370" s="16" t="inlineStr">
        <is>
          <t>KF-M05c-0048</t>
        </is>
      </c>
      <c r="B2370" s="16" t="inlineStr">
        <is>
          <t>4.2</t>
        </is>
      </c>
      <c r="C2370" s="16" t="inlineStr">
        <is>
          <t>4.2</t>
        </is>
      </c>
      <c r="D2370" s="16" t="inlineStr">
        <is>
          <t>presiones del profesor, malla T_fuente × ε_cond × clima</t>
        </is>
      </c>
      <c r="E2370" s="16" t="inlineStr">
        <is>
          <t>KF-M05c</t>
        </is>
      </c>
      <c r="F2370" s="16" t="inlineStr">
        <is>
          <t>KF-M05c</t>
        </is>
      </c>
      <c r="G2370" s="16" t="inlineStr">
        <is>
          <t>B10</t>
        </is>
      </c>
      <c r="H2370" s="16" t="inlineStr">
        <is>
          <t>malla</t>
        </is>
      </c>
      <c r="I2370" s="16" t="inlineStr">
        <is>
          <t>KALINA</t>
        </is>
      </c>
      <c r="J2370" s="16" t="inlineStr">
        <is>
          <t>KALINA</t>
        </is>
      </c>
      <c r="K2370" s="16" t="b">
        <v>1</v>
      </c>
      <c r="L2370" s="16" t="b">
        <v>1</v>
      </c>
      <c r="M2370" s="16" t="b">
        <v>0</v>
      </c>
      <c r="N2370" s="16" t="b">
        <v>0</v>
      </c>
      <c r="O2370" s="16" t="n">
        <v>395</v>
      </c>
      <c r="P2370" s="16" t="n">
        <v>278.15</v>
      </c>
      <c r="Q2370" s="16" t="n">
        <v>3000</v>
      </c>
      <c r="R2370" s="16" t="n">
        <v>400</v>
      </c>
      <c r="S2370" s="16" t="n">
        <v>0.5</v>
      </c>
      <c r="T2370" s="16" t="n">
        <v>0.85</v>
      </c>
      <c r="U2370" s="16" t="n">
        <v>0.75</v>
      </c>
      <c r="V2370" s="16" t="n">
        <v>0.85</v>
      </c>
      <c r="W2370" s="16" t="n">
        <v>0.75</v>
      </c>
      <c r="X2370" s="16" t="n">
        <v>0.95</v>
      </c>
      <c r="Y2370" s="16" t="n">
        <v>278.15</v>
      </c>
      <c r="Z2370" s="16" t="n">
        <v>5.63749826675085</v>
      </c>
      <c r="AA2370" s="16" t="n">
        <v>13.87469447900486</v>
      </c>
      <c r="AB2370" s="16" t="n">
        <v>2600</v>
      </c>
      <c r="AC2370" s="16" t="n">
        <v>7.5</v>
      </c>
      <c r="AD2370" s="16" t="n"/>
      <c r="AE2370" s="16" t="n"/>
    </row>
    <row r="2371">
      <c r="A2371" s="16" t="inlineStr">
        <is>
          <t>KF-M05c-0049</t>
        </is>
      </c>
      <c r="B2371" s="16" t="inlineStr">
        <is>
          <t>4.2</t>
        </is>
      </c>
      <c r="C2371" s="16" t="inlineStr">
        <is>
          <t>4.2</t>
        </is>
      </c>
      <c r="D2371" s="16" t="inlineStr">
        <is>
          <t>presiones del profesor, malla T_fuente × ε_cond × clima</t>
        </is>
      </c>
      <c r="E2371" s="16" t="inlineStr">
        <is>
          <t>KF-M05c</t>
        </is>
      </c>
      <c r="F2371" s="16" t="inlineStr">
        <is>
          <t>KF-M05c</t>
        </is>
      </c>
      <c r="G2371" s="16" t="inlineStr">
        <is>
          <t>B10</t>
        </is>
      </c>
      <c r="H2371" s="16" t="inlineStr">
        <is>
          <t>malla</t>
        </is>
      </c>
      <c r="I2371" s="16" t="inlineStr">
        <is>
          <t>KALINA</t>
        </is>
      </c>
      <c r="J2371" s="16" t="inlineStr">
        <is>
          <t>KALINA</t>
        </is>
      </c>
      <c r="K2371" s="16" t="b">
        <v>1</v>
      </c>
      <c r="L2371" s="16" t="b">
        <v>1</v>
      </c>
      <c r="M2371" s="16" t="b">
        <v>0</v>
      </c>
      <c r="N2371" s="16" t="b">
        <v>0</v>
      </c>
      <c r="O2371" s="16" t="n">
        <v>397.5</v>
      </c>
      <c r="P2371" s="16" t="n">
        <v>278.15</v>
      </c>
      <c r="Q2371" s="16" t="n">
        <v>3000</v>
      </c>
      <c r="R2371" s="16" t="n">
        <v>400</v>
      </c>
      <c r="S2371" s="16" t="n">
        <v>0.5</v>
      </c>
      <c r="T2371" s="16" t="n">
        <v>0.85</v>
      </c>
      <c r="U2371" s="16" t="n">
        <v>0.75</v>
      </c>
      <c r="V2371" s="16" t="n">
        <v>0.85</v>
      </c>
      <c r="W2371" s="16" t="n">
        <v>0.75</v>
      </c>
      <c r="X2371" s="16" t="n">
        <v>0.95</v>
      </c>
      <c r="Y2371" s="16" t="n">
        <v>278.15</v>
      </c>
      <c r="Z2371" s="16" t="n">
        <v>6.780878528653909</v>
      </c>
      <c r="AA2371" s="16" t="n">
        <v>19.00632386121715</v>
      </c>
      <c r="AB2371" s="16" t="n">
        <v>2600</v>
      </c>
      <c r="AC2371" s="16" t="n">
        <v>7.5</v>
      </c>
      <c r="AD2371" s="16" t="n"/>
      <c r="AE2371" s="16" t="n"/>
    </row>
    <row r="2372">
      <c r="A2372" s="16" t="inlineStr">
        <is>
          <t>KF-M05c-0050</t>
        </is>
      </c>
      <c r="B2372" s="16" t="inlineStr">
        <is>
          <t>4.2</t>
        </is>
      </c>
      <c r="C2372" s="16" t="inlineStr">
        <is>
          <t>4.2</t>
        </is>
      </c>
      <c r="D2372" s="16" t="inlineStr">
        <is>
          <t>presiones del profesor, malla T_fuente × ε_cond × clima</t>
        </is>
      </c>
      <c r="E2372" s="16" t="inlineStr">
        <is>
          <t>KF-M05c</t>
        </is>
      </c>
      <c r="F2372" s="16" t="inlineStr">
        <is>
          <t>KF-M05c</t>
        </is>
      </c>
      <c r="G2372" s="16" t="inlineStr">
        <is>
          <t>B10</t>
        </is>
      </c>
      <c r="H2372" s="16" t="inlineStr">
        <is>
          <t>malla</t>
        </is>
      </c>
      <c r="I2372" s="16" t="inlineStr">
        <is>
          <t>KALINA</t>
        </is>
      </c>
      <c r="J2372" s="16" t="inlineStr">
        <is>
          <t>KALINA</t>
        </is>
      </c>
      <c r="K2372" s="16" t="b">
        <v>1</v>
      </c>
      <c r="L2372" s="16" t="b">
        <v>1</v>
      </c>
      <c r="M2372" s="16" t="b">
        <v>0</v>
      </c>
      <c r="N2372" s="16" t="b">
        <v>0</v>
      </c>
      <c r="O2372" s="16" t="n">
        <v>400</v>
      </c>
      <c r="P2372" s="16" t="n">
        <v>278.15</v>
      </c>
      <c r="Q2372" s="16" t="n">
        <v>3000</v>
      </c>
      <c r="R2372" s="16" t="n">
        <v>400</v>
      </c>
      <c r="S2372" s="16" t="n">
        <v>0.5</v>
      </c>
      <c r="T2372" s="16" t="n">
        <v>0.85</v>
      </c>
      <c r="U2372" s="16" t="n">
        <v>0.75</v>
      </c>
      <c r="V2372" s="16" t="n">
        <v>0.85</v>
      </c>
      <c r="W2372" s="16" t="n">
        <v>0.75</v>
      </c>
      <c r="X2372" s="16" t="n">
        <v>0.95</v>
      </c>
      <c r="Y2372" s="16" t="n">
        <v>278.15</v>
      </c>
      <c r="Z2372" s="16" t="n">
        <v>7.658583891659799</v>
      </c>
      <c r="AA2372" s="16" t="n">
        <v>24.02735386677956</v>
      </c>
      <c r="AB2372" s="16" t="n">
        <v>2600</v>
      </c>
      <c r="AC2372" s="16" t="n">
        <v>7.5</v>
      </c>
      <c r="AD2372" s="16" t="n"/>
      <c r="AE2372" s="16" t="n"/>
    </row>
    <row r="2373">
      <c r="A2373" s="16" t="inlineStr">
        <is>
          <t>KF-M05c-0051</t>
        </is>
      </c>
      <c r="B2373" s="16" t="inlineStr">
        <is>
          <t>4.2</t>
        </is>
      </c>
      <c r="C2373" s="16" t="inlineStr">
        <is>
          <t>4.2</t>
        </is>
      </c>
      <c r="D2373" s="16" t="inlineStr">
        <is>
          <t>presiones del profesor, malla T_fuente × ε_cond × clima</t>
        </is>
      </c>
      <c r="E2373" s="16" t="inlineStr">
        <is>
          <t>KF-M05c</t>
        </is>
      </c>
      <c r="F2373" s="16" t="inlineStr">
        <is>
          <t>KF-M05c</t>
        </is>
      </c>
      <c r="G2373" s="16" t="inlineStr">
        <is>
          <t>B10</t>
        </is>
      </c>
      <c r="H2373" s="16" t="inlineStr">
        <is>
          <t>malla</t>
        </is>
      </c>
      <c r="I2373" s="16" t="inlineStr">
        <is>
          <t>KALINA</t>
        </is>
      </c>
      <c r="J2373" s="16" t="inlineStr">
        <is>
          <t>KALINA</t>
        </is>
      </c>
      <c r="K2373" s="16" t="b">
        <v>1</v>
      </c>
      <c r="L2373" s="16" t="b">
        <v>1</v>
      </c>
      <c r="M2373" s="16" t="b">
        <v>0</v>
      </c>
      <c r="N2373" s="16" t="b">
        <v>0</v>
      </c>
      <c r="O2373" s="16" t="n">
        <v>407.5</v>
      </c>
      <c r="P2373" s="16" t="n">
        <v>278.15</v>
      </c>
      <c r="Q2373" s="16" t="n">
        <v>3000</v>
      </c>
      <c r="R2373" s="16" t="n">
        <v>400</v>
      </c>
      <c r="S2373" s="16" t="n">
        <v>0.5</v>
      </c>
      <c r="T2373" s="16" t="n">
        <v>0.85</v>
      </c>
      <c r="U2373" s="16" t="n">
        <v>0.75</v>
      </c>
      <c r="V2373" s="16" t="n">
        <v>0.85</v>
      </c>
      <c r="W2373" s="16" t="n">
        <v>0.75</v>
      </c>
      <c r="X2373" s="16" t="n">
        <v>0.95</v>
      </c>
      <c r="Y2373" s="16" t="n">
        <v>278.15</v>
      </c>
      <c r="Z2373" s="16" t="n">
        <v>9.398431413531121</v>
      </c>
      <c r="AA2373" s="16" t="n">
        <v>38.67255086958784</v>
      </c>
      <c r="AB2373" s="16" t="n">
        <v>2600</v>
      </c>
      <c r="AC2373" s="16" t="n">
        <v>7.5</v>
      </c>
      <c r="AD2373" s="16" t="n"/>
      <c r="AE2373" s="16" t="n"/>
    </row>
    <row r="2374">
      <c r="A2374" s="16" t="inlineStr">
        <is>
          <t>KF-M05c-0052</t>
        </is>
      </c>
      <c r="B2374" s="16" t="inlineStr">
        <is>
          <t>4.2</t>
        </is>
      </c>
      <c r="C2374" s="16" t="inlineStr">
        <is>
          <t>4.2</t>
        </is>
      </c>
      <c r="D2374" s="16" t="inlineStr">
        <is>
          <t>presiones del profesor, malla T_fuente × ε_cond × clima</t>
        </is>
      </c>
      <c r="E2374" s="16" t="inlineStr">
        <is>
          <t>KF-M05c</t>
        </is>
      </c>
      <c r="F2374" s="16" t="inlineStr">
        <is>
          <t>KF-M05c</t>
        </is>
      </c>
      <c r="G2374" s="16" t="inlineStr">
        <is>
          <t>B10</t>
        </is>
      </c>
      <c r="H2374" s="16" t="inlineStr">
        <is>
          <t>malla</t>
        </is>
      </c>
      <c r="I2374" s="16" t="inlineStr">
        <is>
          <t>KALINA</t>
        </is>
      </c>
      <c r="J2374" s="16" t="inlineStr">
        <is>
          <t>KALINA</t>
        </is>
      </c>
      <c r="K2374" s="16" t="b">
        <v>1</v>
      </c>
      <c r="L2374" s="16" t="b">
        <v>1</v>
      </c>
      <c r="M2374" s="16" t="b">
        <v>0</v>
      </c>
      <c r="N2374" s="16" t="b">
        <v>0</v>
      </c>
      <c r="O2374" s="16" t="n">
        <v>402.5</v>
      </c>
      <c r="P2374" s="16" t="n">
        <v>278.15</v>
      </c>
      <c r="Q2374" s="16" t="n">
        <v>3000</v>
      </c>
      <c r="R2374" s="16" t="n">
        <v>400</v>
      </c>
      <c r="S2374" s="16" t="n">
        <v>0.5</v>
      </c>
      <c r="T2374" s="16" t="n">
        <v>0.85</v>
      </c>
      <c r="U2374" s="16" t="n">
        <v>0.75</v>
      </c>
      <c r="V2374" s="16" t="n">
        <v>0.85</v>
      </c>
      <c r="W2374" s="16" t="n">
        <v>0.75</v>
      </c>
      <c r="X2374" s="16" t="n">
        <v>0.95</v>
      </c>
      <c r="Y2374" s="16" t="n">
        <v>278.15</v>
      </c>
      <c r="Z2374" s="16" t="n">
        <v>8.355875326318619</v>
      </c>
      <c r="AA2374" s="16" t="n">
        <v>28.96346024520299</v>
      </c>
      <c r="AB2374" s="16" t="n">
        <v>2600</v>
      </c>
      <c r="AC2374" s="16" t="n">
        <v>7.5</v>
      </c>
      <c r="AD2374" s="16" t="n"/>
      <c r="AE2374" s="16" t="n"/>
    </row>
    <row r="2375">
      <c r="A2375" s="16" t="inlineStr">
        <is>
          <t>KF-M05c-0053</t>
        </is>
      </c>
      <c r="B2375" s="16" t="inlineStr">
        <is>
          <t>4.2</t>
        </is>
      </c>
      <c r="C2375" s="16" t="inlineStr">
        <is>
          <t>4.2</t>
        </is>
      </c>
      <c r="D2375" s="16" t="inlineStr">
        <is>
          <t>presiones del profesor, malla T_fuente × ε_cond × clima</t>
        </is>
      </c>
      <c r="E2375" s="16" t="inlineStr">
        <is>
          <t>KF-M05c</t>
        </is>
      </c>
      <c r="F2375" s="16" t="inlineStr">
        <is>
          <t>KF-M05c</t>
        </is>
      </c>
      <c r="G2375" s="16" t="inlineStr">
        <is>
          <t>B10</t>
        </is>
      </c>
      <c r="H2375" s="16" t="inlineStr">
        <is>
          <t>malla</t>
        </is>
      </c>
      <c r="I2375" s="16" t="inlineStr">
        <is>
          <t>KALINA</t>
        </is>
      </c>
      <c r="J2375" s="16" t="inlineStr">
        <is>
          <t>KALINA</t>
        </is>
      </c>
      <c r="K2375" s="16" t="b">
        <v>1</v>
      </c>
      <c r="L2375" s="16" t="b">
        <v>1</v>
      </c>
      <c r="M2375" s="16" t="b">
        <v>0</v>
      </c>
      <c r="N2375" s="16" t="b">
        <v>0</v>
      </c>
      <c r="O2375" s="16" t="n">
        <v>405</v>
      </c>
      <c r="P2375" s="16" t="n">
        <v>278.15</v>
      </c>
      <c r="Q2375" s="16" t="n">
        <v>3000</v>
      </c>
      <c r="R2375" s="16" t="n">
        <v>400</v>
      </c>
      <c r="S2375" s="16" t="n">
        <v>0.5</v>
      </c>
      <c r="T2375" s="16" t="n">
        <v>0.85</v>
      </c>
      <c r="U2375" s="16" t="n">
        <v>0.75</v>
      </c>
      <c r="V2375" s="16" t="n">
        <v>0.85</v>
      </c>
      <c r="W2375" s="16" t="n">
        <v>0.75</v>
      </c>
      <c r="X2375" s="16" t="n">
        <v>0.95</v>
      </c>
      <c r="Y2375" s="16" t="n">
        <v>278.15</v>
      </c>
      <c r="Z2375" s="16" t="n">
        <v>8.92467645211101</v>
      </c>
      <c r="AA2375" s="16" t="n">
        <v>33.83796311182466</v>
      </c>
      <c r="AB2375" s="16" t="n">
        <v>2600</v>
      </c>
      <c r="AC2375" s="16" t="n">
        <v>7.5</v>
      </c>
      <c r="AD2375" s="16" t="n"/>
      <c r="AE2375" s="16" t="n"/>
    </row>
    <row r="2376">
      <c r="A2376" s="16" t="inlineStr">
        <is>
          <t>KF-M05c-0054</t>
        </is>
      </c>
      <c r="B2376" s="16" t="inlineStr">
        <is>
          <t>4.2</t>
        </is>
      </c>
      <c r="C2376" s="16" t="inlineStr">
        <is>
          <t>4.2</t>
        </is>
      </c>
      <c r="D2376" s="16" t="inlineStr">
        <is>
          <t>presiones del profesor, malla T_fuente × ε_cond × clima</t>
        </is>
      </c>
      <c r="E2376" s="16" t="inlineStr">
        <is>
          <t>KF-M05c</t>
        </is>
      </c>
      <c r="F2376" s="16" t="inlineStr">
        <is>
          <t>KF-M05c</t>
        </is>
      </c>
      <c r="G2376" s="16" t="inlineStr">
        <is>
          <t>B10</t>
        </is>
      </c>
      <c r="H2376" s="16" t="inlineStr">
        <is>
          <t>malla</t>
        </is>
      </c>
      <c r="I2376" s="16" t="inlineStr">
        <is>
          <t>KALINA</t>
        </is>
      </c>
      <c r="J2376" s="16" t="inlineStr">
        <is>
          <t>KALINA</t>
        </is>
      </c>
      <c r="K2376" s="16" t="b">
        <v>1</v>
      </c>
      <c r="L2376" s="16" t="b">
        <v>1</v>
      </c>
      <c r="M2376" s="16" t="b">
        <v>0</v>
      </c>
      <c r="N2376" s="16" t="b">
        <v>0</v>
      </c>
      <c r="O2376" s="16" t="n">
        <v>410</v>
      </c>
      <c r="P2376" s="16" t="n">
        <v>278.15</v>
      </c>
      <c r="Q2376" s="16" t="n">
        <v>3000</v>
      </c>
      <c r="R2376" s="16" t="n">
        <v>400</v>
      </c>
      <c r="S2376" s="16" t="n">
        <v>0.5</v>
      </c>
      <c r="T2376" s="16" t="n">
        <v>0.85</v>
      </c>
      <c r="U2376" s="16" t="n">
        <v>0.75</v>
      </c>
      <c r="V2376" s="16" t="n">
        <v>0.85</v>
      </c>
      <c r="W2376" s="16" t="n">
        <v>0.75</v>
      </c>
      <c r="X2376" s="16" t="n">
        <v>0.95</v>
      </c>
      <c r="Y2376" s="16" t="n">
        <v>278.15</v>
      </c>
      <c r="Z2376" s="16" t="n">
        <v>9.79968354680746</v>
      </c>
      <c r="AA2376" s="16" t="n">
        <v>43.48787117504922</v>
      </c>
      <c r="AB2376" s="16" t="n">
        <v>2600</v>
      </c>
      <c r="AC2376" s="16" t="n">
        <v>7.5</v>
      </c>
      <c r="AD2376" s="16" t="n"/>
      <c r="AE2376" s="16" t="n"/>
    </row>
    <row r="2377">
      <c r="A2377" s="16" t="inlineStr">
        <is>
          <t>KF-M05c-0055</t>
        </is>
      </c>
      <c r="B2377" s="16" t="inlineStr">
        <is>
          <t>4.2</t>
        </is>
      </c>
      <c r="C2377" s="16" t="inlineStr">
        <is>
          <t>4.2</t>
        </is>
      </c>
      <c r="D2377" s="16" t="inlineStr">
        <is>
          <t>presiones del profesor, malla T_fuente × ε_cond × clima</t>
        </is>
      </c>
      <c r="E2377" s="16" t="inlineStr">
        <is>
          <t>KF-M05c</t>
        </is>
      </c>
      <c r="F2377" s="16" t="inlineStr">
        <is>
          <t>KF-M05c</t>
        </is>
      </c>
      <c r="G2377" s="16" t="inlineStr">
        <is>
          <t>B10</t>
        </is>
      </c>
      <c r="H2377" s="16" t="inlineStr">
        <is>
          <t>malla</t>
        </is>
      </c>
      <c r="I2377" s="16" t="inlineStr">
        <is>
          <t>INVIABLE</t>
        </is>
      </c>
      <c r="J2377" s="16" t="inlineStr">
        <is>
          <t>INVIABLE</t>
        </is>
      </c>
      <c r="K2377" s="16" t="b">
        <v>1</v>
      </c>
      <c r="L2377" s="16" t="b">
        <v>0</v>
      </c>
      <c r="M2377" s="16" t="b">
        <v>0</v>
      </c>
      <c r="N2377" s="16" t="b">
        <v>0</v>
      </c>
      <c r="O2377" s="16" t="n">
        <v>387.5</v>
      </c>
      <c r="P2377" s="16" t="n">
        <v>290.65</v>
      </c>
      <c r="Q2377" s="16" t="n">
        <v>3000</v>
      </c>
      <c r="R2377" s="16" t="n">
        <v>400</v>
      </c>
      <c r="S2377" s="16" t="n">
        <v>0.5</v>
      </c>
      <c r="T2377" s="16" t="n">
        <v>0.85</v>
      </c>
      <c r="U2377" s="16" t="n">
        <v>0.75</v>
      </c>
      <c r="V2377" s="16" t="n">
        <v>0.85</v>
      </c>
      <c r="W2377" s="16" t="n">
        <v>0.75</v>
      </c>
      <c r="X2377" s="16" t="n">
        <v>0.85</v>
      </c>
      <c r="Y2377" s="16" t="n">
        <v>290.65</v>
      </c>
      <c r="Z2377" s="16" t="n">
        <v>-1.76406653769385</v>
      </c>
      <c r="AA2377" s="16" t="n">
        <v>-2.140123190572439</v>
      </c>
      <c r="AB2377" s="16" t="n">
        <v>2600</v>
      </c>
      <c r="AC2377" s="16" t="n">
        <v>7.5</v>
      </c>
      <c r="AD2377" s="16" t="inlineStr">
        <is>
          <t>O3</t>
        </is>
      </c>
      <c r="AE2377" s="16" t="n"/>
    </row>
    <row r="2378">
      <c r="A2378" s="16" t="inlineStr">
        <is>
          <t>KF-M05c-0056</t>
        </is>
      </c>
      <c r="B2378" s="16" t="inlineStr">
        <is>
          <t>4.2</t>
        </is>
      </c>
      <c r="C2378" s="16" t="inlineStr">
        <is>
          <t>4.2</t>
        </is>
      </c>
      <c r="D2378" s="16" t="inlineStr">
        <is>
          <t>presiones del profesor, malla T_fuente × ε_cond × clima</t>
        </is>
      </c>
      <c r="E2378" s="16" t="inlineStr">
        <is>
          <t>KF-M05c</t>
        </is>
      </c>
      <c r="F2378" s="16" t="inlineStr">
        <is>
          <t>KF-M05c</t>
        </is>
      </c>
      <c r="G2378" s="16" t="inlineStr">
        <is>
          <t>B10</t>
        </is>
      </c>
      <c r="H2378" s="16" t="inlineStr">
        <is>
          <t>malla</t>
        </is>
      </c>
      <c r="I2378" s="16" t="inlineStr">
        <is>
          <t>N2</t>
        </is>
      </c>
      <c r="J2378" s="16" t="inlineStr">
        <is>
          <t>NO_CONVERGIO</t>
        </is>
      </c>
      <c r="K2378" s="16" t="b">
        <v>0</v>
      </c>
      <c r="L2378" s="16" t="b">
        <v>0</v>
      </c>
      <c r="M2378" s="16" t="b">
        <v>0</v>
      </c>
      <c r="N2378" s="16" t="b">
        <v>0</v>
      </c>
      <c r="O2378" s="16" t="n">
        <v>385</v>
      </c>
      <c r="P2378" s="16" t="n">
        <v>290.65</v>
      </c>
      <c r="Q2378" s="16" t="n">
        <v>3000</v>
      </c>
      <c r="R2378" s="16" t="n">
        <v>400</v>
      </c>
      <c r="S2378" s="16" t="n">
        <v>0.5</v>
      </c>
      <c r="T2378" s="16" t="n">
        <v>0.85</v>
      </c>
      <c r="U2378" s="16" t="n">
        <v>0.75</v>
      </c>
      <c r="V2378" s="16" t="n">
        <v>0.85</v>
      </c>
      <c r="W2378" s="16" t="n">
        <v>0.75</v>
      </c>
      <c r="X2378" s="16" t="n">
        <v>0.85</v>
      </c>
      <c r="Y2378" s="16" t="n">
        <v>290.65</v>
      </c>
      <c r="Z2378" s="16" t="n">
        <v>-16.83325266984544</v>
      </c>
      <c r="AA2378" s="16" t="n">
        <v>-15.14741228362821</v>
      </c>
      <c r="AB2378" s="16" t="n">
        <v>2600</v>
      </c>
      <c r="AC2378" s="16" t="n">
        <v>7.5</v>
      </c>
      <c r="AD2378" s="16" t="inlineStr">
        <is>
          <t>N2,O3,O5,C1,C3,C3</t>
        </is>
      </c>
      <c r="AE2378" s="16" t="n"/>
    </row>
    <row r="2379">
      <c r="A2379" s="16" t="inlineStr">
        <is>
          <t>KF-M05c-0057</t>
        </is>
      </c>
      <c r="B2379" s="16" t="inlineStr">
        <is>
          <t>4.2</t>
        </is>
      </c>
      <c r="C2379" s="16" t="inlineStr">
        <is>
          <t>4.2</t>
        </is>
      </c>
      <c r="D2379" s="16" t="inlineStr">
        <is>
          <t>presiones del profesor, malla T_fuente × ε_cond × clima</t>
        </is>
      </c>
      <c r="E2379" s="16" t="inlineStr">
        <is>
          <t>KF-M05c</t>
        </is>
      </c>
      <c r="F2379" s="16" t="inlineStr">
        <is>
          <t>KF-M05c</t>
        </is>
      </c>
      <c r="G2379" s="16" t="inlineStr">
        <is>
          <t>B10</t>
        </is>
      </c>
      <c r="H2379" s="16" t="inlineStr">
        <is>
          <t>malla</t>
        </is>
      </c>
      <c r="I2379" s="16" t="inlineStr">
        <is>
          <t>KALINA</t>
        </is>
      </c>
      <c r="J2379" s="16" t="inlineStr">
        <is>
          <t>KALINA</t>
        </is>
      </c>
      <c r="K2379" s="16" t="b">
        <v>1</v>
      </c>
      <c r="L2379" s="16" t="b">
        <v>1</v>
      </c>
      <c r="M2379" s="16" t="b">
        <v>0</v>
      </c>
      <c r="N2379" s="16" t="b">
        <v>0</v>
      </c>
      <c r="O2379" s="16" t="n">
        <v>390</v>
      </c>
      <c r="P2379" s="16" t="n">
        <v>290.65</v>
      </c>
      <c r="Q2379" s="16" t="n">
        <v>3000</v>
      </c>
      <c r="R2379" s="16" t="n">
        <v>400</v>
      </c>
      <c r="S2379" s="16" t="n">
        <v>0.5</v>
      </c>
      <c r="T2379" s="16" t="n">
        <v>0.85</v>
      </c>
      <c r="U2379" s="16" t="n">
        <v>0.75</v>
      </c>
      <c r="V2379" s="16" t="n">
        <v>0.85</v>
      </c>
      <c r="W2379" s="16" t="n">
        <v>0.75</v>
      </c>
      <c r="X2379" s="16" t="n">
        <v>0.85</v>
      </c>
      <c r="Y2379" s="16" t="n">
        <v>290.65</v>
      </c>
      <c r="Z2379" s="16" t="n">
        <v>2.27141248330231</v>
      </c>
      <c r="AA2379" s="16" t="n">
        <v>3.568446523280935</v>
      </c>
      <c r="AB2379" s="16" t="n">
        <v>2600</v>
      </c>
      <c r="AC2379" s="16" t="n">
        <v>7.5</v>
      </c>
      <c r="AD2379" s="16" t="n"/>
      <c r="AE2379" s="16" t="n"/>
    </row>
    <row r="2380">
      <c r="A2380" s="16" t="inlineStr">
        <is>
          <t>KF-M05c-0058</t>
        </is>
      </c>
      <c r="B2380" s="16" t="inlineStr">
        <is>
          <t>4.2</t>
        </is>
      </c>
      <c r="C2380" s="16" t="inlineStr">
        <is>
          <t>4.2</t>
        </is>
      </c>
      <c r="D2380" s="16" t="inlineStr">
        <is>
          <t>presiones del profesor, malla T_fuente × ε_cond × clima</t>
        </is>
      </c>
      <c r="E2380" s="16" t="inlineStr">
        <is>
          <t>KF-M05c</t>
        </is>
      </c>
      <c r="F2380" s="16" t="inlineStr">
        <is>
          <t>KF-M05c</t>
        </is>
      </c>
      <c r="G2380" s="16" t="inlineStr">
        <is>
          <t>B10</t>
        </is>
      </c>
      <c r="H2380" s="16" t="inlineStr">
        <is>
          <t>malla</t>
        </is>
      </c>
      <c r="I2380" s="16" t="inlineStr">
        <is>
          <t>KALINA</t>
        </is>
      </c>
      <c r="J2380" s="16" t="inlineStr">
        <is>
          <t>KALINA</t>
        </is>
      </c>
      <c r="K2380" s="16" t="b">
        <v>1</v>
      </c>
      <c r="L2380" s="16" t="b">
        <v>1</v>
      </c>
      <c r="M2380" s="16" t="b">
        <v>0</v>
      </c>
      <c r="N2380" s="16" t="b">
        <v>0</v>
      </c>
      <c r="O2380" s="16" t="n">
        <v>392.5</v>
      </c>
      <c r="P2380" s="16" t="n">
        <v>290.65</v>
      </c>
      <c r="Q2380" s="16" t="n">
        <v>3000</v>
      </c>
      <c r="R2380" s="16" t="n">
        <v>400</v>
      </c>
      <c r="S2380" s="16" t="n">
        <v>0.5</v>
      </c>
      <c r="T2380" s="16" t="n">
        <v>0.85</v>
      </c>
      <c r="U2380" s="16" t="n">
        <v>0.75</v>
      </c>
      <c r="V2380" s="16" t="n">
        <v>0.85</v>
      </c>
      <c r="W2380" s="16" t="n">
        <v>0.75</v>
      </c>
      <c r="X2380" s="16" t="n">
        <v>0.85</v>
      </c>
      <c r="Y2380" s="16" t="n">
        <v>290.65</v>
      </c>
      <c r="Z2380" s="16" t="n">
        <v>4.73618031019524</v>
      </c>
      <c r="AA2380" s="16" t="n">
        <v>9.064689082524692</v>
      </c>
      <c r="AB2380" s="16" t="n">
        <v>2600</v>
      </c>
      <c r="AC2380" s="16" t="n">
        <v>7.5</v>
      </c>
      <c r="AD2380" s="16" t="n"/>
      <c r="AE2380" s="16" t="n"/>
    </row>
    <row r="2381">
      <c r="A2381" s="16" t="inlineStr">
        <is>
          <t>KF-M05c-0059</t>
        </is>
      </c>
      <c r="B2381" s="16" t="inlineStr">
        <is>
          <t>4.2</t>
        </is>
      </c>
      <c r="C2381" s="16" t="inlineStr">
        <is>
          <t>4.2</t>
        </is>
      </c>
      <c r="D2381" s="16" t="inlineStr">
        <is>
          <t>presiones del profesor, malla T_fuente × ε_cond × clima</t>
        </is>
      </c>
      <c r="E2381" s="16" t="inlineStr">
        <is>
          <t>KF-M05c</t>
        </is>
      </c>
      <c r="F2381" s="16" t="inlineStr">
        <is>
          <t>KF-M05c</t>
        </is>
      </c>
      <c r="G2381" s="16" t="inlineStr">
        <is>
          <t>B10</t>
        </is>
      </c>
      <c r="H2381" s="16" t="inlineStr">
        <is>
          <t>malla</t>
        </is>
      </c>
      <c r="I2381" s="16" t="inlineStr">
        <is>
          <t>KALINA</t>
        </is>
      </c>
      <c r="J2381" s="16" t="inlineStr">
        <is>
          <t>KALINA</t>
        </is>
      </c>
      <c r="K2381" s="16" t="b">
        <v>1</v>
      </c>
      <c r="L2381" s="16" t="b">
        <v>1</v>
      </c>
      <c r="M2381" s="16" t="b">
        <v>0</v>
      </c>
      <c r="N2381" s="16" t="b">
        <v>0</v>
      </c>
      <c r="O2381" s="16" t="n">
        <v>397.5</v>
      </c>
      <c r="P2381" s="16" t="n">
        <v>290.65</v>
      </c>
      <c r="Q2381" s="16" t="n">
        <v>3000</v>
      </c>
      <c r="R2381" s="16" t="n">
        <v>400</v>
      </c>
      <c r="S2381" s="16" t="n">
        <v>0.5</v>
      </c>
      <c r="T2381" s="16" t="n">
        <v>0.85</v>
      </c>
      <c r="U2381" s="16" t="n">
        <v>0.75</v>
      </c>
      <c r="V2381" s="16" t="n">
        <v>0.85</v>
      </c>
      <c r="W2381" s="16" t="n">
        <v>0.75</v>
      </c>
      <c r="X2381" s="16" t="n">
        <v>0.85</v>
      </c>
      <c r="Y2381" s="16" t="n">
        <v>290.65</v>
      </c>
      <c r="Z2381" s="16" t="n">
        <v>7.628253005686581</v>
      </c>
      <c r="AA2381" s="16" t="n">
        <v>19.57236228189984</v>
      </c>
      <c r="AB2381" s="16" t="n">
        <v>2600</v>
      </c>
      <c r="AC2381" s="16" t="n">
        <v>7.5</v>
      </c>
      <c r="AD2381" s="16" t="n"/>
      <c r="AE2381" s="16" t="n"/>
    </row>
    <row r="2382">
      <c r="A2382" s="16" t="inlineStr">
        <is>
          <t>KF-M05c-0060</t>
        </is>
      </c>
      <c r="B2382" s="16" t="inlineStr">
        <is>
          <t>4.2</t>
        </is>
      </c>
      <c r="C2382" s="16" t="inlineStr">
        <is>
          <t>4.2</t>
        </is>
      </c>
      <c r="D2382" s="16" t="inlineStr">
        <is>
          <t>presiones del profesor, malla T_fuente × ε_cond × clima</t>
        </is>
      </c>
      <c r="E2382" s="16" t="inlineStr">
        <is>
          <t>KF-M05c</t>
        </is>
      </c>
      <c r="F2382" s="16" t="inlineStr">
        <is>
          <t>KF-M05c</t>
        </is>
      </c>
      <c r="G2382" s="16" t="inlineStr">
        <is>
          <t>B10</t>
        </is>
      </c>
      <c r="H2382" s="16" t="inlineStr">
        <is>
          <t>malla</t>
        </is>
      </c>
      <c r="I2382" s="16" t="inlineStr">
        <is>
          <t>KALINA</t>
        </is>
      </c>
      <c r="J2382" s="16" t="inlineStr">
        <is>
          <t>KALINA</t>
        </is>
      </c>
      <c r="K2382" s="16" t="b">
        <v>1</v>
      </c>
      <c r="L2382" s="16" t="b">
        <v>1</v>
      </c>
      <c r="M2382" s="16" t="b">
        <v>0</v>
      </c>
      <c r="N2382" s="16" t="b">
        <v>0</v>
      </c>
      <c r="O2382" s="16" t="n">
        <v>395</v>
      </c>
      <c r="P2382" s="16" t="n">
        <v>290.65</v>
      </c>
      <c r="Q2382" s="16" t="n">
        <v>3000</v>
      </c>
      <c r="R2382" s="16" t="n">
        <v>400</v>
      </c>
      <c r="S2382" s="16" t="n">
        <v>0.5</v>
      </c>
      <c r="T2382" s="16" t="n">
        <v>0.85</v>
      </c>
      <c r="U2382" s="16" t="n">
        <v>0.75</v>
      </c>
      <c r="V2382" s="16" t="n">
        <v>0.85</v>
      </c>
      <c r="W2382" s="16" t="n">
        <v>0.75</v>
      </c>
      <c r="X2382" s="16" t="n">
        <v>0.85</v>
      </c>
      <c r="Y2382" s="16" t="n">
        <v>290.65</v>
      </c>
      <c r="Z2382" s="16" t="n">
        <v>6.40985176791654</v>
      </c>
      <c r="AA2382" s="16" t="n">
        <v>14.38816515089936</v>
      </c>
      <c r="AB2382" s="16" t="n">
        <v>2600</v>
      </c>
      <c r="AC2382" s="16" t="n">
        <v>7.5</v>
      </c>
      <c r="AD2382" s="16" t="n"/>
      <c r="AE2382" s="16" t="n"/>
    </row>
    <row r="2383">
      <c r="A2383" s="16" t="inlineStr">
        <is>
          <t>KF-M05c-0061</t>
        </is>
      </c>
      <c r="B2383" s="16" t="inlineStr">
        <is>
          <t>4.2</t>
        </is>
      </c>
      <c r="C2383" s="16" t="inlineStr">
        <is>
          <t>4.2</t>
        </is>
      </c>
      <c r="D2383" s="16" t="inlineStr">
        <is>
          <t>presiones del profesor, malla T_fuente × ε_cond × clima</t>
        </is>
      </c>
      <c r="E2383" s="16" t="inlineStr">
        <is>
          <t>KF-M05c</t>
        </is>
      </c>
      <c r="F2383" s="16" t="inlineStr">
        <is>
          <t>KF-M05c</t>
        </is>
      </c>
      <c r="G2383" s="16" t="inlineStr">
        <is>
          <t>B10</t>
        </is>
      </c>
      <c r="H2383" s="16" t="inlineStr">
        <is>
          <t>malla</t>
        </is>
      </c>
      <c r="I2383" s="16" t="inlineStr">
        <is>
          <t>KALINA</t>
        </is>
      </c>
      <c r="J2383" s="16" t="inlineStr">
        <is>
          <t>KALINA</t>
        </is>
      </c>
      <c r="K2383" s="16" t="b">
        <v>1</v>
      </c>
      <c r="L2383" s="16" t="b">
        <v>1</v>
      </c>
      <c r="M2383" s="16" t="b">
        <v>0</v>
      </c>
      <c r="N2383" s="16" t="b">
        <v>0</v>
      </c>
      <c r="O2383" s="16" t="n">
        <v>400</v>
      </c>
      <c r="P2383" s="16" t="n">
        <v>290.65</v>
      </c>
      <c r="Q2383" s="16" t="n">
        <v>3000</v>
      </c>
      <c r="R2383" s="16" t="n">
        <v>400</v>
      </c>
      <c r="S2383" s="16" t="n">
        <v>0.5</v>
      </c>
      <c r="T2383" s="16" t="n">
        <v>0.85</v>
      </c>
      <c r="U2383" s="16" t="n">
        <v>0.75</v>
      </c>
      <c r="V2383" s="16" t="n">
        <v>0.85</v>
      </c>
      <c r="W2383" s="16" t="n">
        <v>0.75</v>
      </c>
      <c r="X2383" s="16" t="n">
        <v>0.85</v>
      </c>
      <c r="Y2383" s="16" t="n">
        <v>290.65</v>
      </c>
      <c r="Z2383" s="16" t="n">
        <v>8.55985448101222</v>
      </c>
      <c r="AA2383" s="16" t="n">
        <v>24.64629010461304</v>
      </c>
      <c r="AB2383" s="16" t="n">
        <v>2600</v>
      </c>
      <c r="AC2383" s="16" t="n">
        <v>7.5</v>
      </c>
      <c r="AD2383" s="16" t="n"/>
      <c r="AE2383" s="16" t="n"/>
    </row>
    <row r="2384">
      <c r="A2384" s="16" t="inlineStr">
        <is>
          <t>KF-M05c-0062</t>
        </is>
      </c>
      <c r="B2384" s="16" t="inlineStr">
        <is>
          <t>4.2</t>
        </is>
      </c>
      <c r="C2384" s="16" t="inlineStr">
        <is>
          <t>4.2</t>
        </is>
      </c>
      <c r="D2384" s="16" t="inlineStr">
        <is>
          <t>presiones del profesor, malla T_fuente × ε_cond × clima</t>
        </is>
      </c>
      <c r="E2384" s="16" t="inlineStr">
        <is>
          <t>KF-M05c</t>
        </is>
      </c>
      <c r="F2384" s="16" t="inlineStr">
        <is>
          <t>KF-M05c</t>
        </is>
      </c>
      <c r="G2384" s="16" t="inlineStr">
        <is>
          <t>B10</t>
        </is>
      </c>
      <c r="H2384" s="16" t="inlineStr">
        <is>
          <t>malla</t>
        </is>
      </c>
      <c r="I2384" s="16" t="inlineStr">
        <is>
          <t>KALINA</t>
        </is>
      </c>
      <c r="J2384" s="16" t="inlineStr">
        <is>
          <t>KALINA</t>
        </is>
      </c>
      <c r="K2384" s="16" t="b">
        <v>1</v>
      </c>
      <c r="L2384" s="16" t="b">
        <v>1</v>
      </c>
      <c r="M2384" s="16" t="b">
        <v>0</v>
      </c>
      <c r="N2384" s="16" t="b">
        <v>0</v>
      </c>
      <c r="O2384" s="16" t="n">
        <v>402.5</v>
      </c>
      <c r="P2384" s="16" t="n">
        <v>290.65</v>
      </c>
      <c r="Q2384" s="16" t="n">
        <v>3000</v>
      </c>
      <c r="R2384" s="16" t="n">
        <v>400</v>
      </c>
      <c r="S2384" s="16" t="n">
        <v>0.5</v>
      </c>
      <c r="T2384" s="16" t="n">
        <v>0.85</v>
      </c>
      <c r="U2384" s="16" t="n">
        <v>0.75</v>
      </c>
      <c r="V2384" s="16" t="n">
        <v>0.85</v>
      </c>
      <c r="W2384" s="16" t="n">
        <v>0.75</v>
      </c>
      <c r="X2384" s="16" t="n">
        <v>0.85</v>
      </c>
      <c r="Y2384" s="16" t="n">
        <v>290.65</v>
      </c>
      <c r="Z2384" s="16" t="n">
        <v>9.29849366073328</v>
      </c>
      <c r="AA2384" s="16" t="n">
        <v>29.63569572559188</v>
      </c>
      <c r="AB2384" s="16" t="n">
        <v>2600</v>
      </c>
      <c r="AC2384" s="16" t="n">
        <v>7.5</v>
      </c>
      <c r="AD2384" s="16" t="n"/>
      <c r="AE2384" s="16" t="n"/>
    </row>
    <row r="2385">
      <c r="A2385" s="16" t="inlineStr">
        <is>
          <t>KF-M05c-0063</t>
        </is>
      </c>
      <c r="B2385" s="16" t="inlineStr">
        <is>
          <t>4.2</t>
        </is>
      </c>
      <c r="C2385" s="16" t="inlineStr">
        <is>
          <t>4.2</t>
        </is>
      </c>
      <c r="D2385" s="16" t="inlineStr">
        <is>
          <t>presiones del profesor, malla T_fuente × ε_cond × clima</t>
        </is>
      </c>
      <c r="E2385" s="16" t="inlineStr">
        <is>
          <t>KF-M05c</t>
        </is>
      </c>
      <c r="F2385" s="16" t="inlineStr">
        <is>
          <t>KF-M05c</t>
        </is>
      </c>
      <c r="G2385" s="16" t="inlineStr">
        <is>
          <t>B10</t>
        </is>
      </c>
      <c r="H2385" s="16" t="inlineStr">
        <is>
          <t>malla</t>
        </is>
      </c>
      <c r="I2385" s="16" t="inlineStr">
        <is>
          <t>KALINA</t>
        </is>
      </c>
      <c r="J2385" s="16" t="inlineStr">
        <is>
          <t>KALINA</t>
        </is>
      </c>
      <c r="K2385" s="16" t="b">
        <v>1</v>
      </c>
      <c r="L2385" s="16" t="b">
        <v>1</v>
      </c>
      <c r="M2385" s="16" t="b">
        <v>0</v>
      </c>
      <c r="N2385" s="16" t="b">
        <v>0</v>
      </c>
      <c r="O2385" s="16" t="n">
        <v>407.5</v>
      </c>
      <c r="P2385" s="16" t="n">
        <v>290.65</v>
      </c>
      <c r="Q2385" s="16" t="n">
        <v>3000</v>
      </c>
      <c r="R2385" s="16" t="n">
        <v>400</v>
      </c>
      <c r="S2385" s="16" t="n">
        <v>0.5</v>
      </c>
      <c r="T2385" s="16" t="n">
        <v>0.85</v>
      </c>
      <c r="U2385" s="16" t="n">
        <v>0.75</v>
      </c>
      <c r="V2385" s="16" t="n">
        <v>0.85</v>
      </c>
      <c r="W2385" s="16" t="n">
        <v>0.75</v>
      </c>
      <c r="X2385" s="16" t="n">
        <v>0.85</v>
      </c>
      <c r="Y2385" s="16" t="n">
        <v>290.65</v>
      </c>
      <c r="Z2385" s="16" t="n">
        <v>10.40226606249655</v>
      </c>
      <c r="AA2385" s="16" t="n">
        <v>39.45308371024852</v>
      </c>
      <c r="AB2385" s="16" t="n">
        <v>2600</v>
      </c>
      <c r="AC2385" s="16" t="n">
        <v>7.5</v>
      </c>
      <c r="AD2385" s="16" t="n"/>
      <c r="AE2385" s="16" t="n"/>
    </row>
    <row r="2386">
      <c r="A2386" s="16" t="inlineStr">
        <is>
          <t>KF-M05c-0064</t>
        </is>
      </c>
      <c r="B2386" s="16" t="inlineStr">
        <is>
          <t>4.2</t>
        </is>
      </c>
      <c r="C2386" s="16" t="inlineStr">
        <is>
          <t>4.2</t>
        </is>
      </c>
      <c r="D2386" s="16" t="inlineStr">
        <is>
          <t>presiones del profesor, malla T_fuente × ε_cond × clima</t>
        </is>
      </c>
      <c r="E2386" s="16" t="inlineStr">
        <is>
          <t>KF-M05c</t>
        </is>
      </c>
      <c r="F2386" s="16" t="inlineStr">
        <is>
          <t>KF-M05c</t>
        </is>
      </c>
      <c r="G2386" s="16" t="inlineStr">
        <is>
          <t>B10</t>
        </is>
      </c>
      <c r="H2386" s="16" t="inlineStr">
        <is>
          <t>malla</t>
        </is>
      </c>
      <c r="I2386" s="16" t="inlineStr">
        <is>
          <t>KALINA</t>
        </is>
      </c>
      <c r="J2386" s="16" t="inlineStr">
        <is>
          <t>KALINA</t>
        </is>
      </c>
      <c r="K2386" s="16" t="b">
        <v>1</v>
      </c>
      <c r="L2386" s="16" t="b">
        <v>1</v>
      </c>
      <c r="M2386" s="16" t="b">
        <v>0</v>
      </c>
      <c r="N2386" s="16" t="b">
        <v>0</v>
      </c>
      <c r="O2386" s="16" t="n">
        <v>405</v>
      </c>
      <c r="P2386" s="16" t="n">
        <v>290.65</v>
      </c>
      <c r="Q2386" s="16" t="n">
        <v>3000</v>
      </c>
      <c r="R2386" s="16" t="n">
        <v>400</v>
      </c>
      <c r="S2386" s="16" t="n">
        <v>0.5</v>
      </c>
      <c r="T2386" s="16" t="n">
        <v>0.85</v>
      </c>
      <c r="U2386" s="16" t="n">
        <v>0.75</v>
      </c>
      <c r="V2386" s="16" t="n">
        <v>0.85</v>
      </c>
      <c r="W2386" s="16" t="n">
        <v>0.75</v>
      </c>
      <c r="X2386" s="16" t="n">
        <v>0.85</v>
      </c>
      <c r="Y2386" s="16" t="n">
        <v>290.65</v>
      </c>
      <c r="Z2386" s="16" t="n">
        <v>9.90061964697048</v>
      </c>
      <c r="AA2386" s="16" t="n">
        <v>34.56401035899594</v>
      </c>
      <c r="AB2386" s="16" t="n">
        <v>2600</v>
      </c>
      <c r="AC2386" s="16" t="n">
        <v>7.5</v>
      </c>
      <c r="AD2386" s="16" t="n"/>
      <c r="AE2386" s="16" t="n"/>
    </row>
    <row r="2387">
      <c r="A2387" s="16" t="inlineStr">
        <is>
          <t>KF-M05c-0065</t>
        </is>
      </c>
      <c r="B2387" s="16" t="inlineStr">
        <is>
          <t>4.2</t>
        </is>
      </c>
      <c r="C2387" s="16" t="inlineStr">
        <is>
          <t>4.2</t>
        </is>
      </c>
      <c r="D2387" s="16" t="inlineStr">
        <is>
          <t>presiones del profesor, malla T_fuente × ε_cond × clima</t>
        </is>
      </c>
      <c r="E2387" s="16" t="inlineStr">
        <is>
          <t>KF-M05c</t>
        </is>
      </c>
      <c r="F2387" s="16" t="inlineStr">
        <is>
          <t>KF-M05c</t>
        </is>
      </c>
      <c r="G2387" s="16" t="inlineStr">
        <is>
          <t>B10</t>
        </is>
      </c>
      <c r="H2387" s="16" t="inlineStr">
        <is>
          <t>malla</t>
        </is>
      </c>
      <c r="I2387" s="16" t="inlineStr">
        <is>
          <t>CORREGIBLE</t>
        </is>
      </c>
      <c r="J2387" s="16" t="inlineStr">
        <is>
          <t>CORREGIBLE</t>
        </is>
      </c>
      <c r="K2387" s="16" t="b">
        <v>1</v>
      </c>
      <c r="L2387" s="16" t="b">
        <v>0</v>
      </c>
      <c r="M2387" s="16" t="b">
        <v>0</v>
      </c>
      <c r="N2387" s="16" t="b">
        <v>0</v>
      </c>
      <c r="O2387" s="16" t="n">
        <v>410</v>
      </c>
      <c r="P2387" s="16" t="n">
        <v>290.65</v>
      </c>
      <c r="Q2387" s="16" t="n">
        <v>3000</v>
      </c>
      <c r="R2387" s="16" t="n">
        <v>400</v>
      </c>
      <c r="S2387" s="16" t="n">
        <v>0.5</v>
      </c>
      <c r="T2387" s="16" t="n">
        <v>0.85</v>
      </c>
      <c r="U2387" s="16" t="n">
        <v>0.75</v>
      </c>
      <c r="V2387" s="16" t="n">
        <v>0.85</v>
      </c>
      <c r="W2387" s="16" t="n">
        <v>0.75</v>
      </c>
      <c r="X2387" s="16" t="n">
        <v>0.85</v>
      </c>
      <c r="Y2387" s="16" t="n">
        <v>290.65</v>
      </c>
      <c r="Z2387" s="16" t="n">
        <v>10.82754455641104</v>
      </c>
      <c r="AA2387" s="16" t="n">
        <v>44.3237413924102</v>
      </c>
      <c r="AB2387" s="16" t="n">
        <v>2600</v>
      </c>
      <c r="AC2387" s="16" t="n">
        <v>7.5</v>
      </c>
      <c r="AD2387" s="16" t="inlineStr">
        <is>
          <t>O2</t>
        </is>
      </c>
      <c r="AE2387" s="16" t="n"/>
    </row>
    <row r="2388">
      <c r="A2388" s="16" t="inlineStr">
        <is>
          <t>KF-M05c-0066</t>
        </is>
      </c>
      <c r="B2388" s="16" t="inlineStr">
        <is>
          <t>4.2</t>
        </is>
      </c>
      <c r="C2388" s="16" t="inlineStr">
        <is>
          <t>4.2</t>
        </is>
      </c>
      <c r="D2388" s="16" t="inlineStr">
        <is>
          <t>presiones del profesor, malla T_fuente × ε_cond × clima</t>
        </is>
      </c>
      <c r="E2388" s="16" t="inlineStr">
        <is>
          <t>KF-M05c</t>
        </is>
      </c>
      <c r="F2388" s="16" t="inlineStr">
        <is>
          <t>KF-M05c</t>
        </is>
      </c>
      <c r="G2388" s="16" t="inlineStr">
        <is>
          <t>B10</t>
        </is>
      </c>
      <c r="H2388" s="16" t="inlineStr">
        <is>
          <t>malla</t>
        </is>
      </c>
      <c r="I2388" s="16" t="inlineStr">
        <is>
          <t>INVIABLE</t>
        </is>
      </c>
      <c r="J2388" s="16" t="inlineStr">
        <is>
          <t>INVIABLE</t>
        </is>
      </c>
      <c r="K2388" s="16" t="b">
        <v>1</v>
      </c>
      <c r="L2388" s="16" t="b">
        <v>0</v>
      </c>
      <c r="M2388" s="16" t="b">
        <v>0</v>
      </c>
      <c r="N2388" s="16" t="b">
        <v>0</v>
      </c>
      <c r="O2388" s="16" t="n">
        <v>387.5</v>
      </c>
      <c r="P2388" s="16" t="n">
        <v>290.65</v>
      </c>
      <c r="Q2388" s="16" t="n">
        <v>3000</v>
      </c>
      <c r="R2388" s="16" t="n">
        <v>400</v>
      </c>
      <c r="S2388" s="16" t="n">
        <v>0.5</v>
      </c>
      <c r="T2388" s="16" t="n">
        <v>0.85</v>
      </c>
      <c r="U2388" s="16" t="n">
        <v>0.75</v>
      </c>
      <c r="V2388" s="16" t="n">
        <v>0.85</v>
      </c>
      <c r="W2388" s="16" t="n">
        <v>0.75</v>
      </c>
      <c r="X2388" s="16" t="n">
        <v>0.875</v>
      </c>
      <c r="Y2388" s="16" t="n">
        <v>290.65</v>
      </c>
      <c r="Z2388" s="16" t="n">
        <v>-1.76789561798991</v>
      </c>
      <c r="AA2388" s="16" t="n">
        <v>-2.160273675726499</v>
      </c>
      <c r="AB2388" s="16" t="n">
        <v>2600</v>
      </c>
      <c r="AC2388" s="16" t="n">
        <v>7.5</v>
      </c>
      <c r="AD2388" s="16" t="inlineStr">
        <is>
          <t>O3</t>
        </is>
      </c>
      <c r="AE2388" s="16" t="n"/>
    </row>
    <row r="2389">
      <c r="A2389" s="16" t="inlineStr">
        <is>
          <t>KF-M05c-0067</t>
        </is>
      </c>
      <c r="B2389" s="16" t="inlineStr">
        <is>
          <t>4.2</t>
        </is>
      </c>
      <c r="C2389" s="16" t="inlineStr">
        <is>
          <t>4.2</t>
        </is>
      </c>
      <c r="D2389" s="16" t="inlineStr">
        <is>
          <t>presiones del profesor, malla T_fuente × ε_cond × clima</t>
        </is>
      </c>
      <c r="E2389" s="16" t="inlineStr">
        <is>
          <t>KF-M05c</t>
        </is>
      </c>
      <c r="F2389" s="16" t="inlineStr">
        <is>
          <t>KF-M05c</t>
        </is>
      </c>
      <c r="G2389" s="16" t="inlineStr">
        <is>
          <t>B10</t>
        </is>
      </c>
      <c r="H2389" s="16" t="inlineStr">
        <is>
          <t>malla</t>
        </is>
      </c>
      <c r="I2389" s="16" t="inlineStr">
        <is>
          <t>KALINA</t>
        </is>
      </c>
      <c r="J2389" s="16" t="inlineStr">
        <is>
          <t>KALINA</t>
        </is>
      </c>
      <c r="K2389" s="16" t="b">
        <v>1</v>
      </c>
      <c r="L2389" s="16" t="b">
        <v>1</v>
      </c>
      <c r="M2389" s="16" t="b">
        <v>0</v>
      </c>
      <c r="N2389" s="16" t="b">
        <v>0</v>
      </c>
      <c r="O2389" s="16" t="n">
        <v>390</v>
      </c>
      <c r="P2389" s="16" t="n">
        <v>290.65</v>
      </c>
      <c r="Q2389" s="16" t="n">
        <v>3000</v>
      </c>
      <c r="R2389" s="16" t="n">
        <v>400</v>
      </c>
      <c r="S2389" s="16" t="n">
        <v>0.5</v>
      </c>
      <c r="T2389" s="16" t="n">
        <v>0.85</v>
      </c>
      <c r="U2389" s="16" t="n">
        <v>0.75</v>
      </c>
      <c r="V2389" s="16" t="n">
        <v>0.85</v>
      </c>
      <c r="W2389" s="16" t="n">
        <v>0.75</v>
      </c>
      <c r="X2389" s="16" t="n">
        <v>0.875</v>
      </c>
      <c r="Y2389" s="16" t="n">
        <v>290.65</v>
      </c>
      <c r="Z2389" s="16" t="n">
        <v>2.23738658714685</v>
      </c>
      <c r="AA2389" s="16" t="n">
        <v>3.541215686237193</v>
      </c>
      <c r="AB2389" s="16" t="n">
        <v>2600</v>
      </c>
      <c r="AC2389" s="16" t="n">
        <v>7.5</v>
      </c>
      <c r="AD2389" s="16" t="n"/>
      <c r="AE2389" s="16" t="n"/>
    </row>
    <row r="2390">
      <c r="A2390" s="16" t="inlineStr">
        <is>
          <t>KF-M05c-0068</t>
        </is>
      </c>
      <c r="B2390" s="16" t="inlineStr">
        <is>
          <t>4.2</t>
        </is>
      </c>
      <c r="C2390" s="16" t="inlineStr">
        <is>
          <t>4.2</t>
        </is>
      </c>
      <c r="D2390" s="16" t="inlineStr">
        <is>
          <t>presiones del profesor, malla T_fuente × ε_cond × clima</t>
        </is>
      </c>
      <c r="E2390" s="16" t="inlineStr">
        <is>
          <t>KF-M05c</t>
        </is>
      </c>
      <c r="F2390" s="16" t="inlineStr">
        <is>
          <t>KF-M05c</t>
        </is>
      </c>
      <c r="G2390" s="16" t="inlineStr">
        <is>
          <t>B10</t>
        </is>
      </c>
      <c r="H2390" s="16" t="inlineStr">
        <is>
          <t>malla</t>
        </is>
      </c>
      <c r="I2390" s="16" t="inlineStr">
        <is>
          <t>N2</t>
        </is>
      </c>
      <c r="J2390" s="16" t="inlineStr">
        <is>
          <t>NO_CONVERGIO</t>
        </is>
      </c>
      <c r="K2390" s="16" t="b">
        <v>0</v>
      </c>
      <c r="L2390" s="16" t="b">
        <v>0</v>
      </c>
      <c r="M2390" s="16" t="b">
        <v>0</v>
      </c>
      <c r="N2390" s="16" t="b">
        <v>0</v>
      </c>
      <c r="O2390" s="16" t="n">
        <v>385</v>
      </c>
      <c r="P2390" s="16" t="n">
        <v>290.65</v>
      </c>
      <c r="Q2390" s="16" t="n">
        <v>3000</v>
      </c>
      <c r="R2390" s="16" t="n">
        <v>400</v>
      </c>
      <c r="S2390" s="16" t="n">
        <v>0.5</v>
      </c>
      <c r="T2390" s="16" t="n">
        <v>0.85</v>
      </c>
      <c r="U2390" s="16" t="n">
        <v>0.75</v>
      </c>
      <c r="V2390" s="16" t="n">
        <v>0.85</v>
      </c>
      <c r="W2390" s="16" t="n">
        <v>0.75</v>
      </c>
      <c r="X2390" s="16" t="n">
        <v>0.875</v>
      </c>
      <c r="Y2390" s="16" t="n">
        <v>290.65</v>
      </c>
      <c r="Z2390" s="16" t="n">
        <v>-16.8102510886156</v>
      </c>
      <c r="AA2390" s="16" t="n">
        <v>-15.17987663792853</v>
      </c>
      <c r="AB2390" s="16" t="n">
        <v>2600</v>
      </c>
      <c r="AC2390" s="16" t="n">
        <v>7.5</v>
      </c>
      <c r="AD2390" s="16" t="inlineStr">
        <is>
          <t>N2,O3,O5,C1,C3,C3</t>
        </is>
      </c>
      <c r="AE2390" s="16" t="n"/>
    </row>
    <row r="2391">
      <c r="A2391" s="16" t="inlineStr">
        <is>
          <t>KF-M05c-0069</t>
        </is>
      </c>
      <c r="B2391" s="16" t="inlineStr">
        <is>
          <t>4.2</t>
        </is>
      </c>
      <c r="C2391" s="16" t="inlineStr">
        <is>
          <t>4.2</t>
        </is>
      </c>
      <c r="D2391" s="16" t="inlineStr">
        <is>
          <t>presiones del profesor, malla T_fuente × ε_cond × clima</t>
        </is>
      </c>
      <c r="E2391" s="16" t="inlineStr">
        <is>
          <t>KF-M05c</t>
        </is>
      </c>
      <c r="F2391" s="16" t="inlineStr">
        <is>
          <t>KF-M05c</t>
        </is>
      </c>
      <c r="G2391" s="16" t="inlineStr">
        <is>
          <t>B10</t>
        </is>
      </c>
      <c r="H2391" s="16" t="inlineStr">
        <is>
          <t>malla</t>
        </is>
      </c>
      <c r="I2391" s="16" t="inlineStr">
        <is>
          <t>KALINA</t>
        </is>
      </c>
      <c r="J2391" s="16" t="inlineStr">
        <is>
          <t>KALINA</t>
        </is>
      </c>
      <c r="K2391" s="16" t="b">
        <v>1</v>
      </c>
      <c r="L2391" s="16" t="b">
        <v>1</v>
      </c>
      <c r="M2391" s="16" t="b">
        <v>0</v>
      </c>
      <c r="N2391" s="16" t="b">
        <v>0</v>
      </c>
      <c r="O2391" s="16" t="n">
        <v>397.5</v>
      </c>
      <c r="P2391" s="16" t="n">
        <v>290.65</v>
      </c>
      <c r="Q2391" s="16" t="n">
        <v>3000</v>
      </c>
      <c r="R2391" s="16" t="n">
        <v>400</v>
      </c>
      <c r="S2391" s="16" t="n">
        <v>0.5</v>
      </c>
      <c r="T2391" s="16" t="n">
        <v>0.85</v>
      </c>
      <c r="U2391" s="16" t="n">
        <v>0.75</v>
      </c>
      <c r="V2391" s="16" t="n">
        <v>0.85</v>
      </c>
      <c r="W2391" s="16" t="n">
        <v>0.75</v>
      </c>
      <c r="X2391" s="16" t="n">
        <v>0.875</v>
      </c>
      <c r="Y2391" s="16" t="n">
        <v>290.65</v>
      </c>
      <c r="Z2391" s="16" t="n">
        <v>7.545509760297329</v>
      </c>
      <c r="AA2391" s="16" t="n">
        <v>19.52152805877805</v>
      </c>
      <c r="AB2391" s="16" t="n">
        <v>2600</v>
      </c>
      <c r="AC2391" s="16" t="n">
        <v>7.5</v>
      </c>
      <c r="AD2391" s="16" t="n"/>
      <c r="AE2391" s="16" t="n"/>
    </row>
    <row r="2392">
      <c r="A2392" s="16" t="inlineStr">
        <is>
          <t>KF-M05c-0070</t>
        </is>
      </c>
      <c r="B2392" s="16" t="inlineStr">
        <is>
          <t>4.2</t>
        </is>
      </c>
      <c r="C2392" s="16" t="inlineStr">
        <is>
          <t>4.2</t>
        </is>
      </c>
      <c r="D2392" s="16" t="inlineStr">
        <is>
          <t>presiones del profesor, malla T_fuente × ε_cond × clima</t>
        </is>
      </c>
      <c r="E2392" s="16" t="inlineStr">
        <is>
          <t>KF-M05c</t>
        </is>
      </c>
      <c r="F2392" s="16" t="inlineStr">
        <is>
          <t>KF-M05c</t>
        </is>
      </c>
      <c r="G2392" s="16" t="inlineStr">
        <is>
          <t>B10</t>
        </is>
      </c>
      <c r="H2392" s="16" t="inlineStr">
        <is>
          <t>malla</t>
        </is>
      </c>
      <c r="I2392" s="16" t="inlineStr">
        <is>
          <t>KALINA</t>
        </is>
      </c>
      <c r="J2392" s="16" t="inlineStr">
        <is>
          <t>KALINA</t>
        </is>
      </c>
      <c r="K2392" s="16" t="b">
        <v>1</v>
      </c>
      <c r="L2392" s="16" t="b">
        <v>1</v>
      </c>
      <c r="M2392" s="16" t="b">
        <v>0</v>
      </c>
      <c r="N2392" s="16" t="b">
        <v>0</v>
      </c>
      <c r="O2392" s="16" t="n">
        <v>392.5</v>
      </c>
      <c r="P2392" s="16" t="n">
        <v>290.65</v>
      </c>
      <c r="Q2392" s="16" t="n">
        <v>3000</v>
      </c>
      <c r="R2392" s="16" t="n">
        <v>400</v>
      </c>
      <c r="S2392" s="16" t="n">
        <v>0.5</v>
      </c>
      <c r="T2392" s="16" t="n">
        <v>0.85</v>
      </c>
      <c r="U2392" s="16" t="n">
        <v>0.75</v>
      </c>
      <c r="V2392" s="16" t="n">
        <v>0.85</v>
      </c>
      <c r="W2392" s="16" t="n">
        <v>0.75</v>
      </c>
      <c r="X2392" s="16" t="n">
        <v>0.875</v>
      </c>
      <c r="Y2392" s="16" t="n">
        <v>290.65</v>
      </c>
      <c r="Z2392" s="16" t="n">
        <v>4.681778922892111</v>
      </c>
      <c r="AA2392" s="16" t="n">
        <v>9.029950386524956</v>
      </c>
      <c r="AB2392" s="16" t="n">
        <v>2600</v>
      </c>
      <c r="AC2392" s="16" t="n">
        <v>7.5</v>
      </c>
      <c r="AD2392" s="16" t="n"/>
      <c r="AE2392" s="16" t="n"/>
    </row>
    <row r="2393">
      <c r="A2393" s="16" t="inlineStr">
        <is>
          <t>KF-M05c-0071</t>
        </is>
      </c>
      <c r="B2393" s="16" t="inlineStr">
        <is>
          <t>4.2</t>
        </is>
      </c>
      <c r="C2393" s="16" t="inlineStr">
        <is>
          <t>4.2</t>
        </is>
      </c>
      <c r="D2393" s="16" t="inlineStr">
        <is>
          <t>presiones del profesor, malla T_fuente × ε_cond × clima</t>
        </is>
      </c>
      <c r="E2393" s="16" t="inlineStr">
        <is>
          <t>KF-M05c</t>
        </is>
      </c>
      <c r="F2393" s="16" t="inlineStr">
        <is>
          <t>KF-M05c</t>
        </is>
      </c>
      <c r="G2393" s="16" t="inlineStr">
        <is>
          <t>B10</t>
        </is>
      </c>
      <c r="H2393" s="16" t="inlineStr">
        <is>
          <t>malla</t>
        </is>
      </c>
      <c r="I2393" s="16" t="inlineStr">
        <is>
          <t>KALINA</t>
        </is>
      </c>
      <c r="J2393" s="16" t="inlineStr">
        <is>
          <t>KALINA</t>
        </is>
      </c>
      <c r="K2393" s="16" t="b">
        <v>1</v>
      </c>
      <c r="L2393" s="16" t="b">
        <v>1</v>
      </c>
      <c r="M2393" s="16" t="b">
        <v>0</v>
      </c>
      <c r="N2393" s="16" t="b">
        <v>0</v>
      </c>
      <c r="O2393" s="16" t="n">
        <v>395</v>
      </c>
      <c r="P2393" s="16" t="n">
        <v>290.65</v>
      </c>
      <c r="Q2393" s="16" t="n">
        <v>3000</v>
      </c>
      <c r="R2393" s="16" t="n">
        <v>400</v>
      </c>
      <c r="S2393" s="16" t="n">
        <v>0.5</v>
      </c>
      <c r="T2393" s="16" t="n">
        <v>0.85</v>
      </c>
      <c r="U2393" s="16" t="n">
        <v>0.75</v>
      </c>
      <c r="V2393" s="16" t="n">
        <v>0.85</v>
      </c>
      <c r="W2393" s="16" t="n">
        <v>0.75</v>
      </c>
      <c r="X2393" s="16" t="n">
        <v>0.875</v>
      </c>
      <c r="Y2393" s="16" t="n">
        <v>290.65</v>
      </c>
      <c r="Z2393" s="16" t="n">
        <v>6.33993699441527</v>
      </c>
      <c r="AA2393" s="16" t="n">
        <v>14.34557910050073</v>
      </c>
      <c r="AB2393" s="16" t="n">
        <v>2600</v>
      </c>
      <c r="AC2393" s="16" t="n">
        <v>7.5</v>
      </c>
      <c r="AD2393" s="16" t="n"/>
      <c r="AE2393" s="16" t="n"/>
    </row>
    <row r="2394">
      <c r="A2394" s="16" t="inlineStr">
        <is>
          <t>KF-M05c-0072</t>
        </is>
      </c>
      <c r="B2394" s="16" t="inlineStr">
        <is>
          <t>4.2</t>
        </is>
      </c>
      <c r="C2394" s="16" t="inlineStr">
        <is>
          <t>4.2</t>
        </is>
      </c>
      <c r="D2394" s="16" t="inlineStr">
        <is>
          <t>presiones del profesor, malla T_fuente × ε_cond × clima</t>
        </is>
      </c>
      <c r="E2394" s="16" t="inlineStr">
        <is>
          <t>KF-M05c</t>
        </is>
      </c>
      <c r="F2394" s="16" t="inlineStr">
        <is>
          <t>KF-M05c</t>
        </is>
      </c>
      <c r="G2394" s="16" t="inlineStr">
        <is>
          <t>B10</t>
        </is>
      </c>
      <c r="H2394" s="16" t="inlineStr">
        <is>
          <t>malla</t>
        </is>
      </c>
      <c r="I2394" s="16" t="inlineStr">
        <is>
          <t>KALINA</t>
        </is>
      </c>
      <c r="J2394" s="16" t="inlineStr">
        <is>
          <t>KALINA</t>
        </is>
      </c>
      <c r="K2394" s="16" t="b">
        <v>1</v>
      </c>
      <c r="L2394" s="16" t="b">
        <v>1</v>
      </c>
      <c r="M2394" s="16" t="b">
        <v>0</v>
      </c>
      <c r="N2394" s="16" t="b">
        <v>0</v>
      </c>
      <c r="O2394" s="16" t="n">
        <v>400</v>
      </c>
      <c r="P2394" s="16" t="n">
        <v>290.65</v>
      </c>
      <c r="Q2394" s="16" t="n">
        <v>3000</v>
      </c>
      <c r="R2394" s="16" t="n">
        <v>400</v>
      </c>
      <c r="S2394" s="16" t="n">
        <v>0.5</v>
      </c>
      <c r="T2394" s="16" t="n">
        <v>0.85</v>
      </c>
      <c r="U2394" s="16" t="n">
        <v>0.75</v>
      </c>
      <c r="V2394" s="16" t="n">
        <v>0.85</v>
      </c>
      <c r="W2394" s="16" t="n">
        <v>0.75</v>
      </c>
      <c r="X2394" s="16" t="n">
        <v>0.875</v>
      </c>
      <c r="Y2394" s="16" t="n">
        <v>290.65</v>
      </c>
      <c r="Z2394" s="16" t="n">
        <v>8.466046765515079</v>
      </c>
      <c r="AA2394" s="16" t="n">
        <v>24.58687504077966</v>
      </c>
      <c r="AB2394" s="16" t="n">
        <v>2600</v>
      </c>
      <c r="AC2394" s="16" t="n">
        <v>7.5</v>
      </c>
      <c r="AD2394" s="16" t="n"/>
      <c r="AE2394" s="16" t="n"/>
    </row>
    <row r="2395">
      <c r="A2395" s="16" t="inlineStr">
        <is>
          <t>KF-M05c-0073</t>
        </is>
      </c>
      <c r="B2395" s="16" t="inlineStr">
        <is>
          <t>4.2</t>
        </is>
      </c>
      <c r="C2395" s="16" t="inlineStr">
        <is>
          <t>4.2</t>
        </is>
      </c>
      <c r="D2395" s="16" t="inlineStr">
        <is>
          <t>presiones del profesor, malla T_fuente × ε_cond × clima</t>
        </is>
      </c>
      <c r="E2395" s="16" t="inlineStr">
        <is>
          <t>KF-M05c</t>
        </is>
      </c>
      <c r="F2395" s="16" t="inlineStr">
        <is>
          <t>KF-M05c</t>
        </is>
      </c>
      <c r="G2395" s="16" t="inlineStr">
        <is>
          <t>B10</t>
        </is>
      </c>
      <c r="H2395" s="16" t="inlineStr">
        <is>
          <t>malla</t>
        </is>
      </c>
      <c r="I2395" s="16" t="inlineStr">
        <is>
          <t>KALINA</t>
        </is>
      </c>
      <c r="J2395" s="16" t="inlineStr">
        <is>
          <t>KALINA</t>
        </is>
      </c>
      <c r="K2395" s="16" t="b">
        <v>1</v>
      </c>
      <c r="L2395" s="16" t="b">
        <v>1</v>
      </c>
      <c r="M2395" s="16" t="b">
        <v>0</v>
      </c>
      <c r="N2395" s="16" t="b">
        <v>0</v>
      </c>
      <c r="O2395" s="16" t="n">
        <v>405</v>
      </c>
      <c r="P2395" s="16" t="n">
        <v>290.65</v>
      </c>
      <c r="Q2395" s="16" t="n">
        <v>3000</v>
      </c>
      <c r="R2395" s="16" t="n">
        <v>400</v>
      </c>
      <c r="S2395" s="16" t="n">
        <v>0.5</v>
      </c>
      <c r="T2395" s="16" t="n">
        <v>0.85</v>
      </c>
      <c r="U2395" s="16" t="n">
        <v>0.75</v>
      </c>
      <c r="V2395" s="16" t="n">
        <v>0.85</v>
      </c>
      <c r="W2395" s="16" t="n">
        <v>0.75</v>
      </c>
      <c r="X2395" s="16" t="n">
        <v>0.875</v>
      </c>
      <c r="Y2395" s="16" t="n">
        <v>290.65</v>
      </c>
      <c r="Z2395" s="16" t="n">
        <v>9.788023104352121</v>
      </c>
      <c r="AA2395" s="16" t="n">
        <v>34.48646360817479</v>
      </c>
      <c r="AB2395" s="16" t="n">
        <v>2600</v>
      </c>
      <c r="AC2395" s="16" t="n">
        <v>7.5</v>
      </c>
      <c r="AD2395" s="16" t="n"/>
      <c r="AE2395" s="16" t="n"/>
    </row>
    <row r="2396">
      <c r="A2396" s="16" t="inlineStr">
        <is>
          <t>KF-M05c-0074</t>
        </is>
      </c>
      <c r="B2396" s="16" t="inlineStr">
        <is>
          <t>4.2</t>
        </is>
      </c>
      <c r="C2396" s="16" t="inlineStr">
        <is>
          <t>4.2</t>
        </is>
      </c>
      <c r="D2396" s="16" t="inlineStr">
        <is>
          <t>presiones del profesor, malla T_fuente × ε_cond × clima</t>
        </is>
      </c>
      <c r="E2396" s="16" t="inlineStr">
        <is>
          <t>KF-M05c</t>
        </is>
      </c>
      <c r="F2396" s="16" t="inlineStr">
        <is>
          <t>KF-M05c</t>
        </is>
      </c>
      <c r="G2396" s="16" t="inlineStr">
        <is>
          <t>B10</t>
        </is>
      </c>
      <c r="H2396" s="16" t="inlineStr">
        <is>
          <t>malla</t>
        </is>
      </c>
      <c r="I2396" s="16" t="inlineStr">
        <is>
          <t>KALINA</t>
        </is>
      </c>
      <c r="J2396" s="16" t="inlineStr">
        <is>
          <t>KALINA</t>
        </is>
      </c>
      <c r="K2396" s="16" t="b">
        <v>1</v>
      </c>
      <c r="L2396" s="16" t="b">
        <v>1</v>
      </c>
      <c r="M2396" s="16" t="b">
        <v>0</v>
      </c>
      <c r="N2396" s="16" t="b">
        <v>0</v>
      </c>
      <c r="O2396" s="16" t="n">
        <v>402.5</v>
      </c>
      <c r="P2396" s="16" t="n">
        <v>290.65</v>
      </c>
      <c r="Q2396" s="16" t="n">
        <v>3000</v>
      </c>
      <c r="R2396" s="16" t="n">
        <v>400</v>
      </c>
      <c r="S2396" s="16" t="n">
        <v>0.5</v>
      </c>
      <c r="T2396" s="16" t="n">
        <v>0.85</v>
      </c>
      <c r="U2396" s="16" t="n">
        <v>0.75</v>
      </c>
      <c r="V2396" s="16" t="n">
        <v>0.85</v>
      </c>
      <c r="W2396" s="16" t="n">
        <v>0.75</v>
      </c>
      <c r="X2396" s="16" t="n">
        <v>0.875</v>
      </c>
      <c r="Y2396" s="16" t="n">
        <v>290.65</v>
      </c>
      <c r="Z2396" s="16" t="n">
        <v>9.19484398219911</v>
      </c>
      <c r="AA2396" s="16" t="n">
        <v>29.56737709669721</v>
      </c>
      <c r="AB2396" s="16" t="n">
        <v>2600</v>
      </c>
      <c r="AC2396" s="16" t="n">
        <v>7.5</v>
      </c>
      <c r="AD2396" s="16" t="n"/>
      <c r="AE2396" s="16" t="n"/>
    </row>
    <row r="2397">
      <c r="A2397" s="16" t="inlineStr">
        <is>
          <t>KF-M05c-0075</t>
        </is>
      </c>
      <c r="B2397" s="16" t="inlineStr">
        <is>
          <t>4.2</t>
        </is>
      </c>
      <c r="C2397" s="16" t="inlineStr">
        <is>
          <t>4.2</t>
        </is>
      </c>
      <c r="D2397" s="16" t="inlineStr">
        <is>
          <t>presiones del profesor, malla T_fuente × ε_cond × clima</t>
        </is>
      </c>
      <c r="E2397" s="16" t="inlineStr">
        <is>
          <t>KF-M05c</t>
        </is>
      </c>
      <c r="F2397" s="16" t="inlineStr">
        <is>
          <t>KF-M05c</t>
        </is>
      </c>
      <c r="G2397" s="16" t="inlineStr">
        <is>
          <t>B10</t>
        </is>
      </c>
      <c r="H2397" s="16" t="inlineStr">
        <is>
          <t>malla</t>
        </is>
      </c>
      <c r="I2397" s="16" t="inlineStr">
        <is>
          <t>KALINA</t>
        </is>
      </c>
      <c r="J2397" s="16" t="inlineStr">
        <is>
          <t>KALINA</t>
        </is>
      </c>
      <c r="K2397" s="16" t="b">
        <v>1</v>
      </c>
      <c r="L2397" s="16" t="b">
        <v>1</v>
      </c>
      <c r="M2397" s="16" t="b">
        <v>0</v>
      </c>
      <c r="N2397" s="16" t="b">
        <v>0</v>
      </c>
      <c r="O2397" s="16" t="n">
        <v>407.5</v>
      </c>
      <c r="P2397" s="16" t="n">
        <v>290.65</v>
      </c>
      <c r="Q2397" s="16" t="n">
        <v>3000</v>
      </c>
      <c r="R2397" s="16" t="n">
        <v>400</v>
      </c>
      <c r="S2397" s="16" t="n">
        <v>0.5</v>
      </c>
      <c r="T2397" s="16" t="n">
        <v>0.85</v>
      </c>
      <c r="U2397" s="16" t="n">
        <v>0.75</v>
      </c>
      <c r="V2397" s="16" t="n">
        <v>0.85</v>
      </c>
      <c r="W2397" s="16" t="n">
        <v>0.75</v>
      </c>
      <c r="X2397" s="16" t="n">
        <v>0.875</v>
      </c>
      <c r="Y2397" s="16" t="n">
        <v>290.65</v>
      </c>
      <c r="Z2397" s="16" t="n">
        <v>10.28140421693242</v>
      </c>
      <c r="AA2397" s="16" t="n">
        <v>39.365971038546</v>
      </c>
      <c r="AB2397" s="16" t="n">
        <v>2600</v>
      </c>
      <c r="AC2397" s="16" t="n">
        <v>7.5</v>
      </c>
      <c r="AD2397" s="16" t="n"/>
      <c r="AE2397" s="16" t="n"/>
    </row>
    <row r="2398">
      <c r="A2398" s="16" t="inlineStr">
        <is>
          <t>KF-M05c-0076</t>
        </is>
      </c>
      <c r="B2398" s="16" t="inlineStr">
        <is>
          <t>4.2</t>
        </is>
      </c>
      <c r="C2398" s="16" t="inlineStr">
        <is>
          <t>4.2</t>
        </is>
      </c>
      <c r="D2398" s="16" t="inlineStr">
        <is>
          <t>presiones del profesor, malla T_fuente × ε_cond × clima</t>
        </is>
      </c>
      <c r="E2398" s="16" t="inlineStr">
        <is>
          <t>KF-M05c</t>
        </is>
      </c>
      <c r="F2398" s="16" t="inlineStr">
        <is>
          <t>KF-M05c</t>
        </is>
      </c>
      <c r="G2398" s="16" t="inlineStr">
        <is>
          <t>B10</t>
        </is>
      </c>
      <c r="H2398" s="16" t="inlineStr">
        <is>
          <t>malla</t>
        </is>
      </c>
      <c r="I2398" s="16" t="inlineStr">
        <is>
          <t>KALINA</t>
        </is>
      </c>
      <c r="J2398" s="16" t="inlineStr">
        <is>
          <t>KALINA</t>
        </is>
      </c>
      <c r="K2398" s="16" t="b">
        <v>1</v>
      </c>
      <c r="L2398" s="16" t="b">
        <v>1</v>
      </c>
      <c r="M2398" s="16" t="b">
        <v>0</v>
      </c>
      <c r="N2398" s="16" t="b">
        <v>0</v>
      </c>
      <c r="O2398" s="16" t="n">
        <v>410</v>
      </c>
      <c r="P2398" s="16" t="n">
        <v>290.65</v>
      </c>
      <c r="Q2398" s="16" t="n">
        <v>3000</v>
      </c>
      <c r="R2398" s="16" t="n">
        <v>400</v>
      </c>
      <c r="S2398" s="16" t="n">
        <v>0.5</v>
      </c>
      <c r="T2398" s="16" t="n">
        <v>0.85</v>
      </c>
      <c r="U2398" s="16" t="n">
        <v>0.75</v>
      </c>
      <c r="V2398" s="16" t="n">
        <v>0.85</v>
      </c>
      <c r="W2398" s="16" t="n">
        <v>0.75</v>
      </c>
      <c r="X2398" s="16" t="n">
        <v>0.875</v>
      </c>
      <c r="Y2398" s="16" t="n">
        <v>290.65</v>
      </c>
      <c r="Z2398" s="16" t="n">
        <v>10.69895603715694</v>
      </c>
      <c r="AA2398" s="16" t="n">
        <v>44.22672240341669</v>
      </c>
      <c r="AB2398" s="16" t="n">
        <v>2600</v>
      </c>
      <c r="AC2398" s="16" t="n">
        <v>7.5</v>
      </c>
      <c r="AD2398" s="16" t="n"/>
      <c r="AE2398" s="16" t="n"/>
    </row>
    <row r="2399">
      <c r="A2399" s="16" t="inlineStr">
        <is>
          <t>KF-M05c-0077</t>
        </is>
      </c>
      <c r="B2399" s="16" t="inlineStr">
        <is>
          <t>4.2</t>
        </is>
      </c>
      <c r="C2399" s="16" t="inlineStr">
        <is>
          <t>4.2</t>
        </is>
      </c>
      <c r="D2399" s="16" t="inlineStr">
        <is>
          <t>presiones del profesor, malla T_fuente × ε_cond × clima</t>
        </is>
      </c>
      <c r="E2399" s="16" t="inlineStr">
        <is>
          <t>KF-M05c</t>
        </is>
      </c>
      <c r="F2399" s="16" t="inlineStr">
        <is>
          <t>KF-M05c</t>
        </is>
      </c>
      <c r="G2399" s="16" t="inlineStr">
        <is>
          <t>B10</t>
        </is>
      </c>
      <c r="H2399" s="16" t="inlineStr">
        <is>
          <t>malla</t>
        </is>
      </c>
      <c r="I2399" s="16" t="inlineStr">
        <is>
          <t>INVIABLE</t>
        </is>
      </c>
      <c r="J2399" s="16" t="inlineStr">
        <is>
          <t>INVIABLE</t>
        </is>
      </c>
      <c r="K2399" s="16" t="b">
        <v>1</v>
      </c>
      <c r="L2399" s="16" t="b">
        <v>0</v>
      </c>
      <c r="M2399" s="16" t="b">
        <v>0</v>
      </c>
      <c r="N2399" s="16" t="b">
        <v>0</v>
      </c>
      <c r="O2399" s="16" t="n">
        <v>387.5</v>
      </c>
      <c r="P2399" s="16" t="n">
        <v>290.65</v>
      </c>
      <c r="Q2399" s="16" t="n">
        <v>3000</v>
      </c>
      <c r="R2399" s="16" t="n">
        <v>400</v>
      </c>
      <c r="S2399" s="16" t="n">
        <v>0.5</v>
      </c>
      <c r="T2399" s="16" t="n">
        <v>0.85</v>
      </c>
      <c r="U2399" s="16" t="n">
        <v>0.75</v>
      </c>
      <c r="V2399" s="16" t="n">
        <v>0.85</v>
      </c>
      <c r="W2399" s="16" t="n">
        <v>0.75</v>
      </c>
      <c r="X2399" s="16" t="n">
        <v>0.9</v>
      </c>
      <c r="Y2399" s="16" t="n">
        <v>290.65</v>
      </c>
      <c r="Z2399" s="16" t="n">
        <v>-1.77151115386042</v>
      </c>
      <c r="AA2399" s="16" t="n">
        <v>-2.179547686356617</v>
      </c>
      <c r="AB2399" s="16" t="n">
        <v>2600</v>
      </c>
      <c r="AC2399" s="16" t="n">
        <v>7.5</v>
      </c>
      <c r="AD2399" s="16" t="inlineStr">
        <is>
          <t>O3</t>
        </is>
      </c>
      <c r="AE2399" s="16" t="n"/>
    </row>
    <row r="2400">
      <c r="A2400" s="16" t="inlineStr">
        <is>
          <t>KF-M05c-0078</t>
        </is>
      </c>
      <c r="B2400" s="16" t="inlineStr">
        <is>
          <t>4.2</t>
        </is>
      </c>
      <c r="C2400" s="16" t="inlineStr">
        <is>
          <t>4.2</t>
        </is>
      </c>
      <c r="D2400" s="16" t="inlineStr">
        <is>
          <t>presiones del profesor, malla T_fuente × ε_cond × clima</t>
        </is>
      </c>
      <c r="E2400" s="16" t="inlineStr">
        <is>
          <t>KF-M05c</t>
        </is>
      </c>
      <c r="F2400" s="16" t="inlineStr">
        <is>
          <t>KF-M05c</t>
        </is>
      </c>
      <c r="G2400" s="16" t="inlineStr">
        <is>
          <t>B10</t>
        </is>
      </c>
      <c r="H2400" s="16" t="inlineStr">
        <is>
          <t>malla</t>
        </is>
      </c>
      <c r="I2400" s="16" t="inlineStr">
        <is>
          <t>N2</t>
        </is>
      </c>
      <c r="J2400" s="16" t="inlineStr">
        <is>
          <t>NO_CONVERGIO</t>
        </is>
      </c>
      <c r="K2400" s="16" t="b">
        <v>0</v>
      </c>
      <c r="L2400" s="16" t="b">
        <v>0</v>
      </c>
      <c r="M2400" s="16" t="b">
        <v>0</v>
      </c>
      <c r="N2400" s="16" t="b">
        <v>0</v>
      </c>
      <c r="O2400" s="16" t="n">
        <v>385</v>
      </c>
      <c r="P2400" s="16" t="n">
        <v>290.65</v>
      </c>
      <c r="Q2400" s="16" t="n">
        <v>3000</v>
      </c>
      <c r="R2400" s="16" t="n">
        <v>400</v>
      </c>
      <c r="S2400" s="16" t="n">
        <v>0.5</v>
      </c>
      <c r="T2400" s="16" t="n">
        <v>0.85</v>
      </c>
      <c r="U2400" s="16" t="n">
        <v>0.75</v>
      </c>
      <c r="V2400" s="16" t="n">
        <v>0.85</v>
      </c>
      <c r="W2400" s="16" t="n">
        <v>0.75</v>
      </c>
      <c r="X2400" s="16" t="n">
        <v>0.9</v>
      </c>
      <c r="Y2400" s="16" t="n">
        <v>290.65</v>
      </c>
      <c r="Z2400" s="16" t="n">
        <v>-16.78857616254569</v>
      </c>
      <c r="AA2400" s="16" t="n">
        <v>-15.21070214382818</v>
      </c>
      <c r="AB2400" s="16" t="n">
        <v>2600</v>
      </c>
      <c r="AC2400" s="16" t="n">
        <v>7.5</v>
      </c>
      <c r="AD2400" s="16" t="inlineStr">
        <is>
          <t>N2,O3,O5,C1,C3,C3</t>
        </is>
      </c>
      <c r="AE2400" s="16" t="n"/>
    </row>
    <row r="2401">
      <c r="A2401" s="16" t="inlineStr">
        <is>
          <t>KF-M05c-0079</t>
        </is>
      </c>
      <c r="B2401" s="16" t="inlineStr">
        <is>
          <t>4.2</t>
        </is>
      </c>
      <c r="C2401" s="16" t="inlineStr">
        <is>
          <t>4.2</t>
        </is>
      </c>
      <c r="D2401" s="16" t="inlineStr">
        <is>
          <t>presiones del profesor, malla T_fuente × ε_cond × clima</t>
        </is>
      </c>
      <c r="E2401" s="16" t="inlineStr">
        <is>
          <t>KF-M05c</t>
        </is>
      </c>
      <c r="F2401" s="16" t="inlineStr">
        <is>
          <t>KF-M05c</t>
        </is>
      </c>
      <c r="G2401" s="16" t="inlineStr">
        <is>
          <t>B10</t>
        </is>
      </c>
      <c r="H2401" s="16" t="inlineStr">
        <is>
          <t>malla</t>
        </is>
      </c>
      <c r="I2401" s="16" t="inlineStr">
        <is>
          <t>KALINA</t>
        </is>
      </c>
      <c r="J2401" s="16" t="inlineStr">
        <is>
          <t>KALINA</t>
        </is>
      </c>
      <c r="K2401" s="16" t="b">
        <v>1</v>
      </c>
      <c r="L2401" s="16" t="b">
        <v>1</v>
      </c>
      <c r="M2401" s="16" t="b">
        <v>0</v>
      </c>
      <c r="N2401" s="16" t="b">
        <v>0</v>
      </c>
      <c r="O2401" s="16" t="n">
        <v>390</v>
      </c>
      <c r="P2401" s="16" t="n">
        <v>290.65</v>
      </c>
      <c r="Q2401" s="16" t="n">
        <v>3000</v>
      </c>
      <c r="R2401" s="16" t="n">
        <v>400</v>
      </c>
      <c r="S2401" s="16" t="n">
        <v>0.5</v>
      </c>
      <c r="T2401" s="16" t="n">
        <v>0.85</v>
      </c>
      <c r="U2401" s="16" t="n">
        <v>0.75</v>
      </c>
      <c r="V2401" s="16" t="n">
        <v>0.85</v>
      </c>
      <c r="W2401" s="16" t="n">
        <v>0.75</v>
      </c>
      <c r="X2401" s="16" t="n">
        <v>0.9</v>
      </c>
      <c r="Y2401" s="16" t="n">
        <v>290.65</v>
      </c>
      <c r="Z2401" s="16" t="n">
        <v>2.20530299862499</v>
      </c>
      <c r="AA2401" s="16" t="n">
        <v>3.5151600721926</v>
      </c>
      <c r="AB2401" s="16" t="n">
        <v>2600</v>
      </c>
      <c r="AC2401" s="16" t="n">
        <v>7.5</v>
      </c>
      <c r="AD2401" s="16" t="n"/>
      <c r="AE2401" s="16" t="n"/>
    </row>
    <row r="2402">
      <c r="A2402" s="16" t="inlineStr">
        <is>
          <t>KF-M05c-0080</t>
        </is>
      </c>
      <c r="B2402" s="16" t="inlineStr">
        <is>
          <t>4.2</t>
        </is>
      </c>
      <c r="C2402" s="16" t="inlineStr">
        <is>
          <t>4.2</t>
        </is>
      </c>
      <c r="D2402" s="16" t="inlineStr">
        <is>
          <t>presiones del profesor, malla T_fuente × ε_cond × clima</t>
        </is>
      </c>
      <c r="E2402" s="16" t="inlineStr">
        <is>
          <t>KF-M05c</t>
        </is>
      </c>
      <c r="F2402" s="16" t="inlineStr">
        <is>
          <t>KF-M05c</t>
        </is>
      </c>
      <c r="G2402" s="16" t="inlineStr">
        <is>
          <t>B10</t>
        </is>
      </c>
      <c r="H2402" s="16" t="inlineStr">
        <is>
          <t>malla</t>
        </is>
      </c>
      <c r="I2402" s="16" t="inlineStr">
        <is>
          <t>KALINA</t>
        </is>
      </c>
      <c r="J2402" s="16" t="inlineStr">
        <is>
          <t>KALINA</t>
        </is>
      </c>
      <c r="K2402" s="16" t="b">
        <v>1</v>
      </c>
      <c r="L2402" s="16" t="b">
        <v>1</v>
      </c>
      <c r="M2402" s="16" t="b">
        <v>0</v>
      </c>
      <c r="N2402" s="16" t="b">
        <v>0</v>
      </c>
      <c r="O2402" s="16" t="n">
        <v>392.5</v>
      </c>
      <c r="P2402" s="16" t="n">
        <v>290.65</v>
      </c>
      <c r="Q2402" s="16" t="n">
        <v>3000</v>
      </c>
      <c r="R2402" s="16" t="n">
        <v>400</v>
      </c>
      <c r="S2402" s="16" t="n">
        <v>0.5</v>
      </c>
      <c r="T2402" s="16" t="n">
        <v>0.85</v>
      </c>
      <c r="U2402" s="16" t="n">
        <v>0.75</v>
      </c>
      <c r="V2402" s="16" t="n">
        <v>0.85</v>
      </c>
      <c r="W2402" s="16" t="n">
        <v>0.75</v>
      </c>
      <c r="X2402" s="16" t="n">
        <v>0.9</v>
      </c>
      <c r="Y2402" s="16" t="n">
        <v>290.65</v>
      </c>
      <c r="Z2402" s="16" t="n">
        <v>4.63045909916048</v>
      </c>
      <c r="AA2402" s="16" t="n">
        <v>8.996672292615012</v>
      </c>
      <c r="AB2402" s="16" t="n">
        <v>2600</v>
      </c>
      <c r="AC2402" s="16" t="n">
        <v>7.5</v>
      </c>
      <c r="AD2402" s="16" t="n"/>
      <c r="AE2402" s="16" t="n"/>
    </row>
    <row r="2403">
      <c r="A2403" s="16" t="inlineStr">
        <is>
          <t>KF-M05c-0081</t>
        </is>
      </c>
      <c r="B2403" s="16" t="inlineStr">
        <is>
          <t>4.2</t>
        </is>
      </c>
      <c r="C2403" s="16" t="inlineStr">
        <is>
          <t>4.2</t>
        </is>
      </c>
      <c r="D2403" s="16" t="inlineStr">
        <is>
          <t>presiones del profesor, malla T_fuente × ε_cond × clima</t>
        </is>
      </c>
      <c r="E2403" s="16" t="inlineStr">
        <is>
          <t>KF-M05c</t>
        </is>
      </c>
      <c r="F2403" s="16" t="inlineStr">
        <is>
          <t>KF-M05c</t>
        </is>
      </c>
      <c r="G2403" s="16" t="inlineStr">
        <is>
          <t>B10</t>
        </is>
      </c>
      <c r="H2403" s="16" t="inlineStr">
        <is>
          <t>malla</t>
        </is>
      </c>
      <c r="I2403" s="16" t="inlineStr">
        <is>
          <t>KALINA</t>
        </is>
      </c>
      <c r="J2403" s="16" t="inlineStr">
        <is>
          <t>KALINA</t>
        </is>
      </c>
      <c r="K2403" s="16" t="b">
        <v>1</v>
      </c>
      <c r="L2403" s="16" t="b">
        <v>1</v>
      </c>
      <c r="M2403" s="16" t="b">
        <v>0</v>
      </c>
      <c r="N2403" s="16" t="b">
        <v>0</v>
      </c>
      <c r="O2403" s="16" t="n">
        <v>395</v>
      </c>
      <c r="P2403" s="16" t="n">
        <v>290.65</v>
      </c>
      <c r="Q2403" s="16" t="n">
        <v>3000</v>
      </c>
      <c r="R2403" s="16" t="n">
        <v>400</v>
      </c>
      <c r="S2403" s="16" t="n">
        <v>0.5</v>
      </c>
      <c r="T2403" s="16" t="n">
        <v>0.85</v>
      </c>
      <c r="U2403" s="16" t="n">
        <v>0.75</v>
      </c>
      <c r="V2403" s="16" t="n">
        <v>0.85</v>
      </c>
      <c r="W2403" s="16" t="n">
        <v>0.75</v>
      </c>
      <c r="X2403" s="16" t="n">
        <v>0.9</v>
      </c>
      <c r="Y2403" s="16" t="n">
        <v>290.65</v>
      </c>
      <c r="Z2403" s="16" t="n">
        <v>6.27380398348366</v>
      </c>
      <c r="AA2403" s="16" t="n">
        <v>14.30463372446134</v>
      </c>
      <c r="AB2403" s="16" t="n">
        <v>2600</v>
      </c>
      <c r="AC2403" s="16" t="n">
        <v>7.5</v>
      </c>
      <c r="AD2403" s="16" t="n"/>
      <c r="AE2403" s="16" t="n"/>
    </row>
    <row r="2404">
      <c r="A2404" s="16" t="inlineStr">
        <is>
          <t>KF-M05c-0082</t>
        </is>
      </c>
      <c r="B2404" s="16" t="inlineStr">
        <is>
          <t>4.2</t>
        </is>
      </c>
      <c r="C2404" s="16" t="inlineStr">
        <is>
          <t>4.2</t>
        </is>
      </c>
      <c r="D2404" s="16" t="inlineStr">
        <is>
          <t>presiones del profesor, malla T_fuente × ε_cond × clima</t>
        </is>
      </c>
      <c r="E2404" s="16" t="inlineStr">
        <is>
          <t>KF-M05c</t>
        </is>
      </c>
      <c r="F2404" s="16" t="inlineStr">
        <is>
          <t>KF-M05c</t>
        </is>
      </c>
      <c r="G2404" s="16" t="inlineStr">
        <is>
          <t>B10</t>
        </is>
      </c>
      <c r="H2404" s="16" t="inlineStr">
        <is>
          <t>malla</t>
        </is>
      </c>
      <c r="I2404" s="16" t="inlineStr">
        <is>
          <t>KALINA</t>
        </is>
      </c>
      <c r="J2404" s="16" t="inlineStr">
        <is>
          <t>KALINA</t>
        </is>
      </c>
      <c r="K2404" s="16" t="b">
        <v>1</v>
      </c>
      <c r="L2404" s="16" t="b">
        <v>1</v>
      </c>
      <c r="M2404" s="16" t="b">
        <v>0</v>
      </c>
      <c r="N2404" s="16" t="b">
        <v>0</v>
      </c>
      <c r="O2404" s="16" t="n">
        <v>397.5</v>
      </c>
      <c r="P2404" s="16" t="n">
        <v>290.65</v>
      </c>
      <c r="Q2404" s="16" t="n">
        <v>3000</v>
      </c>
      <c r="R2404" s="16" t="n">
        <v>400</v>
      </c>
      <c r="S2404" s="16" t="n">
        <v>0.5</v>
      </c>
      <c r="T2404" s="16" t="n">
        <v>0.85</v>
      </c>
      <c r="U2404" s="16" t="n">
        <v>0.75</v>
      </c>
      <c r="V2404" s="16" t="n">
        <v>0.85</v>
      </c>
      <c r="W2404" s="16" t="n">
        <v>0.75</v>
      </c>
      <c r="X2404" s="16" t="n">
        <v>0.9</v>
      </c>
      <c r="Y2404" s="16" t="n">
        <v>290.65</v>
      </c>
      <c r="Z2404" s="16" t="n">
        <v>7.467221310375349</v>
      </c>
      <c r="AA2404" s="16" t="n">
        <v>19.47260613992835</v>
      </c>
      <c r="AB2404" s="16" t="n">
        <v>2600</v>
      </c>
      <c r="AC2404" s="16" t="n">
        <v>7.5</v>
      </c>
      <c r="AD2404" s="16" t="n"/>
      <c r="AE2404" s="16" t="n"/>
    </row>
    <row r="2405">
      <c r="A2405" s="16" t="inlineStr">
        <is>
          <t>KF-M05c-0083</t>
        </is>
      </c>
      <c r="B2405" s="16" t="inlineStr">
        <is>
          <t>4.2</t>
        </is>
      </c>
      <c r="C2405" s="16" t="inlineStr">
        <is>
          <t>4.2</t>
        </is>
      </c>
      <c r="D2405" s="16" t="inlineStr">
        <is>
          <t>presiones del profesor, malla T_fuente × ε_cond × clima</t>
        </is>
      </c>
      <c r="E2405" s="16" t="inlineStr">
        <is>
          <t>KF-M05c</t>
        </is>
      </c>
      <c r="F2405" s="16" t="inlineStr">
        <is>
          <t>KF-M05c</t>
        </is>
      </c>
      <c r="G2405" s="16" t="inlineStr">
        <is>
          <t>B10</t>
        </is>
      </c>
      <c r="H2405" s="16" t="inlineStr">
        <is>
          <t>malla</t>
        </is>
      </c>
      <c r="I2405" s="16" t="inlineStr">
        <is>
          <t>KALINA</t>
        </is>
      </c>
      <c r="J2405" s="16" t="inlineStr">
        <is>
          <t>KALINA</t>
        </is>
      </c>
      <c r="K2405" s="16" t="b">
        <v>1</v>
      </c>
      <c r="L2405" s="16" t="b">
        <v>1</v>
      </c>
      <c r="M2405" s="16" t="b">
        <v>0</v>
      </c>
      <c r="N2405" s="16" t="b">
        <v>0</v>
      </c>
      <c r="O2405" s="16" t="n">
        <v>400</v>
      </c>
      <c r="P2405" s="16" t="n">
        <v>290.65</v>
      </c>
      <c r="Q2405" s="16" t="n">
        <v>3000</v>
      </c>
      <c r="R2405" s="16" t="n">
        <v>400</v>
      </c>
      <c r="S2405" s="16" t="n">
        <v>0.5</v>
      </c>
      <c r="T2405" s="16" t="n">
        <v>0.85</v>
      </c>
      <c r="U2405" s="16" t="n">
        <v>0.75</v>
      </c>
      <c r="V2405" s="16" t="n">
        <v>0.85</v>
      </c>
      <c r="W2405" s="16" t="n">
        <v>0.75</v>
      </c>
      <c r="X2405" s="16" t="n">
        <v>0.9</v>
      </c>
      <c r="Y2405" s="16" t="n">
        <v>290.65</v>
      </c>
      <c r="Z2405" s="16" t="n">
        <v>8.3772690579772</v>
      </c>
      <c r="AA2405" s="16" t="n">
        <v>24.52964397207233</v>
      </c>
      <c r="AB2405" s="16" t="n">
        <v>2600</v>
      </c>
      <c r="AC2405" s="16" t="n">
        <v>7.5</v>
      </c>
      <c r="AD2405" s="16" t="n"/>
      <c r="AE2405" s="16" t="n"/>
    </row>
    <row r="2406">
      <c r="A2406" s="16" t="inlineStr">
        <is>
          <t>KF-M05c-0084</t>
        </is>
      </c>
      <c r="B2406" s="16" t="inlineStr">
        <is>
          <t>4.2</t>
        </is>
      </c>
      <c r="C2406" s="16" t="inlineStr">
        <is>
          <t>4.2</t>
        </is>
      </c>
      <c r="D2406" s="16" t="inlineStr">
        <is>
          <t>presiones del profesor, malla T_fuente × ε_cond × clima</t>
        </is>
      </c>
      <c r="E2406" s="16" t="inlineStr">
        <is>
          <t>KF-M05c</t>
        </is>
      </c>
      <c r="F2406" s="16" t="inlineStr">
        <is>
          <t>KF-M05c</t>
        </is>
      </c>
      <c r="G2406" s="16" t="inlineStr">
        <is>
          <t>B10</t>
        </is>
      </c>
      <c r="H2406" s="16" t="inlineStr">
        <is>
          <t>malla</t>
        </is>
      </c>
      <c r="I2406" s="16" t="inlineStr">
        <is>
          <t>KALINA</t>
        </is>
      </c>
      <c r="J2406" s="16" t="inlineStr">
        <is>
          <t>KALINA</t>
        </is>
      </c>
      <c r="K2406" s="16" t="b">
        <v>1</v>
      </c>
      <c r="L2406" s="16" t="b">
        <v>1</v>
      </c>
      <c r="M2406" s="16" t="b">
        <v>0</v>
      </c>
      <c r="N2406" s="16" t="b">
        <v>0</v>
      </c>
      <c r="O2406" s="16" t="n">
        <v>402.5</v>
      </c>
      <c r="P2406" s="16" t="n">
        <v>290.65</v>
      </c>
      <c r="Q2406" s="16" t="n">
        <v>3000</v>
      </c>
      <c r="R2406" s="16" t="n">
        <v>400</v>
      </c>
      <c r="S2406" s="16" t="n">
        <v>0.5</v>
      </c>
      <c r="T2406" s="16" t="n">
        <v>0.85</v>
      </c>
      <c r="U2406" s="16" t="n">
        <v>0.75</v>
      </c>
      <c r="V2406" s="16" t="n">
        <v>0.85</v>
      </c>
      <c r="W2406" s="16" t="n">
        <v>0.75</v>
      </c>
      <c r="X2406" s="16" t="n">
        <v>0.9</v>
      </c>
      <c r="Y2406" s="16" t="n">
        <v>290.65</v>
      </c>
      <c r="Z2406" s="16" t="n">
        <v>9.096733295576231</v>
      </c>
      <c r="AA2406" s="16" t="n">
        <v>29.50151486396636</v>
      </c>
      <c r="AB2406" s="16" t="n">
        <v>2600</v>
      </c>
      <c r="AC2406" s="16" t="n">
        <v>7.5</v>
      </c>
      <c r="AD2406" s="16" t="n"/>
      <c r="AE2406" s="16" t="n"/>
    </row>
    <row r="2407">
      <c r="A2407" s="16" t="inlineStr">
        <is>
          <t>KF-M05c-0085</t>
        </is>
      </c>
      <c r="B2407" s="16" t="inlineStr">
        <is>
          <t>4.2</t>
        </is>
      </c>
      <c r="C2407" s="16" t="inlineStr">
        <is>
          <t>4.2</t>
        </is>
      </c>
      <c r="D2407" s="16" t="inlineStr">
        <is>
          <t>presiones del profesor, malla T_fuente × ε_cond × clima</t>
        </is>
      </c>
      <c r="E2407" s="16" t="inlineStr">
        <is>
          <t>KF-M05c</t>
        </is>
      </c>
      <c r="F2407" s="16" t="inlineStr">
        <is>
          <t>KF-M05c</t>
        </is>
      </c>
      <c r="G2407" s="16" t="inlineStr">
        <is>
          <t>B10</t>
        </is>
      </c>
      <c r="H2407" s="16" t="inlineStr">
        <is>
          <t>malla</t>
        </is>
      </c>
      <c r="I2407" s="16" t="inlineStr">
        <is>
          <t>KALINA</t>
        </is>
      </c>
      <c r="J2407" s="16" t="inlineStr">
        <is>
          <t>KALINA</t>
        </is>
      </c>
      <c r="K2407" s="16" t="b">
        <v>1</v>
      </c>
      <c r="L2407" s="16" t="b">
        <v>1</v>
      </c>
      <c r="M2407" s="16" t="b">
        <v>0</v>
      </c>
      <c r="N2407" s="16" t="b">
        <v>0</v>
      </c>
      <c r="O2407" s="16" t="n">
        <v>407.5</v>
      </c>
      <c r="P2407" s="16" t="n">
        <v>290.65</v>
      </c>
      <c r="Q2407" s="16" t="n">
        <v>3000</v>
      </c>
      <c r="R2407" s="16" t="n">
        <v>400</v>
      </c>
      <c r="S2407" s="16" t="n">
        <v>0.5</v>
      </c>
      <c r="T2407" s="16" t="n">
        <v>0.85</v>
      </c>
      <c r="U2407" s="16" t="n">
        <v>0.75</v>
      </c>
      <c r="V2407" s="16" t="n">
        <v>0.85</v>
      </c>
      <c r="W2407" s="16" t="n">
        <v>0.75</v>
      </c>
      <c r="X2407" s="16" t="n">
        <v>0.9</v>
      </c>
      <c r="Y2407" s="16" t="n">
        <v>290.65</v>
      </c>
      <c r="Z2407" s="16" t="n">
        <v>10.16696927791761</v>
      </c>
      <c r="AA2407" s="16" t="n">
        <v>39.28186354301658</v>
      </c>
      <c r="AB2407" s="16" t="n">
        <v>2600</v>
      </c>
      <c r="AC2407" s="16" t="n">
        <v>7.5</v>
      </c>
      <c r="AD2407" s="16" t="n"/>
      <c r="AE2407" s="16" t="n"/>
    </row>
    <row r="2408">
      <c r="A2408" s="16" t="inlineStr">
        <is>
          <t>KF-M05c-0086</t>
        </is>
      </c>
      <c r="B2408" s="16" t="inlineStr">
        <is>
          <t>4.2</t>
        </is>
      </c>
      <c r="C2408" s="16" t="inlineStr">
        <is>
          <t>4.2</t>
        </is>
      </c>
      <c r="D2408" s="16" t="inlineStr">
        <is>
          <t>presiones del profesor, malla T_fuente × ε_cond × clima</t>
        </is>
      </c>
      <c r="E2408" s="16" t="inlineStr">
        <is>
          <t>KF-M05c</t>
        </is>
      </c>
      <c r="F2408" s="16" t="inlineStr">
        <is>
          <t>KF-M05c</t>
        </is>
      </c>
      <c r="G2408" s="16" t="inlineStr">
        <is>
          <t>B10</t>
        </is>
      </c>
      <c r="H2408" s="16" t="inlineStr">
        <is>
          <t>malla</t>
        </is>
      </c>
      <c r="I2408" s="16" t="inlineStr">
        <is>
          <t>KALINA</t>
        </is>
      </c>
      <c r="J2408" s="16" t="inlineStr">
        <is>
          <t>KALINA</t>
        </is>
      </c>
      <c r="K2408" s="16" t="b">
        <v>1</v>
      </c>
      <c r="L2408" s="16" t="b">
        <v>1</v>
      </c>
      <c r="M2408" s="16" t="b">
        <v>0</v>
      </c>
      <c r="N2408" s="16" t="b">
        <v>0</v>
      </c>
      <c r="O2408" s="16" t="n">
        <v>405</v>
      </c>
      <c r="P2408" s="16" t="n">
        <v>290.65</v>
      </c>
      <c r="Q2408" s="16" t="n">
        <v>3000</v>
      </c>
      <c r="R2408" s="16" t="n">
        <v>400</v>
      </c>
      <c r="S2408" s="16" t="n">
        <v>0.5</v>
      </c>
      <c r="T2408" s="16" t="n">
        <v>0.85</v>
      </c>
      <c r="U2408" s="16" t="n">
        <v>0.75</v>
      </c>
      <c r="V2408" s="16" t="n">
        <v>0.85</v>
      </c>
      <c r="W2408" s="16" t="n">
        <v>0.75</v>
      </c>
      <c r="X2408" s="16" t="n">
        <v>0.9</v>
      </c>
      <c r="Y2408" s="16" t="n">
        <v>290.65</v>
      </c>
      <c r="Z2408" s="16" t="n">
        <v>9.681427202052401</v>
      </c>
      <c r="AA2408" s="16" t="n">
        <v>34.41164681133652</v>
      </c>
      <c r="AB2408" s="16" t="n">
        <v>2600</v>
      </c>
      <c r="AC2408" s="16" t="n">
        <v>7.5</v>
      </c>
      <c r="AD2408" s="16" t="n"/>
      <c r="AE2408" s="16" t="n"/>
    </row>
    <row r="2409">
      <c r="A2409" s="16" t="inlineStr">
        <is>
          <t>KF-M05c-0087</t>
        </is>
      </c>
      <c r="B2409" s="16" t="inlineStr">
        <is>
          <t>4.2</t>
        </is>
      </c>
      <c r="C2409" s="16" t="inlineStr">
        <is>
          <t>4.2</t>
        </is>
      </c>
      <c r="D2409" s="16" t="inlineStr">
        <is>
          <t>presiones del profesor, malla T_fuente × ε_cond × clima</t>
        </is>
      </c>
      <c r="E2409" s="16" t="inlineStr">
        <is>
          <t>KF-M05c</t>
        </is>
      </c>
      <c r="F2409" s="16" t="inlineStr">
        <is>
          <t>KF-M05c</t>
        </is>
      </c>
      <c r="G2409" s="16" t="inlineStr">
        <is>
          <t>B10</t>
        </is>
      </c>
      <c r="H2409" s="16" t="inlineStr">
        <is>
          <t>malla</t>
        </is>
      </c>
      <c r="I2409" s="16" t="inlineStr">
        <is>
          <t>KALINA</t>
        </is>
      </c>
      <c r="J2409" s="16" t="inlineStr">
        <is>
          <t>KALINA</t>
        </is>
      </c>
      <c r="K2409" s="16" t="b">
        <v>1</v>
      </c>
      <c r="L2409" s="16" t="b">
        <v>1</v>
      </c>
      <c r="M2409" s="16" t="b">
        <v>0</v>
      </c>
      <c r="N2409" s="16" t="b">
        <v>0</v>
      </c>
      <c r="O2409" s="16" t="n">
        <v>410</v>
      </c>
      <c r="P2409" s="16" t="n">
        <v>290.65</v>
      </c>
      <c r="Q2409" s="16" t="n">
        <v>3000</v>
      </c>
      <c r="R2409" s="16" t="n">
        <v>400</v>
      </c>
      <c r="S2409" s="16" t="n">
        <v>0.5</v>
      </c>
      <c r="T2409" s="16" t="n">
        <v>0.85</v>
      </c>
      <c r="U2409" s="16" t="n">
        <v>0.75</v>
      </c>
      <c r="V2409" s="16" t="n">
        <v>0.85</v>
      </c>
      <c r="W2409" s="16" t="n">
        <v>0.75</v>
      </c>
      <c r="X2409" s="16" t="n">
        <v>0.9</v>
      </c>
      <c r="Y2409" s="16" t="n">
        <v>290.65</v>
      </c>
      <c r="Z2409" s="16" t="n">
        <v>10.57718772500044</v>
      </c>
      <c r="AA2409" s="16" t="n">
        <v>44.13296432211532</v>
      </c>
      <c r="AB2409" s="16" t="n">
        <v>2600</v>
      </c>
      <c r="AC2409" s="16" t="n">
        <v>7.5</v>
      </c>
      <c r="AD2409" s="16" t="n"/>
      <c r="AE2409" s="16" t="n"/>
    </row>
    <row r="2410">
      <c r="A2410" s="16" t="inlineStr">
        <is>
          <t>KF-M05c-0088</t>
        </is>
      </c>
      <c r="B2410" s="16" t="inlineStr">
        <is>
          <t>4.2</t>
        </is>
      </c>
      <c r="C2410" s="16" t="inlineStr">
        <is>
          <t>4.2</t>
        </is>
      </c>
      <c r="D2410" s="16" t="inlineStr">
        <is>
          <t>presiones del profesor, malla T_fuente × ε_cond × clima</t>
        </is>
      </c>
      <c r="E2410" s="16" t="inlineStr">
        <is>
          <t>KF-M05c</t>
        </is>
      </c>
      <c r="F2410" s="16" t="inlineStr">
        <is>
          <t>KF-M05c</t>
        </is>
      </c>
      <c r="G2410" s="16" t="inlineStr">
        <is>
          <t>B10</t>
        </is>
      </c>
      <c r="H2410" s="16" t="inlineStr">
        <is>
          <t>malla</t>
        </is>
      </c>
      <c r="I2410" s="16" t="inlineStr">
        <is>
          <t>N2</t>
        </is>
      </c>
      <c r="J2410" s="16" t="inlineStr">
        <is>
          <t>NO_CONVERGIO</t>
        </is>
      </c>
      <c r="K2410" s="16" t="b">
        <v>0</v>
      </c>
      <c r="L2410" s="16" t="b">
        <v>0</v>
      </c>
      <c r="M2410" s="16" t="b">
        <v>0</v>
      </c>
      <c r="N2410" s="16" t="b">
        <v>0</v>
      </c>
      <c r="O2410" s="16" t="n">
        <v>385</v>
      </c>
      <c r="P2410" s="16" t="n">
        <v>290.65</v>
      </c>
      <c r="Q2410" s="16" t="n">
        <v>3000</v>
      </c>
      <c r="R2410" s="16" t="n">
        <v>400</v>
      </c>
      <c r="S2410" s="16" t="n">
        <v>0.5</v>
      </c>
      <c r="T2410" s="16" t="n">
        <v>0.85</v>
      </c>
      <c r="U2410" s="16" t="n">
        <v>0.75</v>
      </c>
      <c r="V2410" s="16" t="n">
        <v>0.85</v>
      </c>
      <c r="W2410" s="16" t="n">
        <v>0.75</v>
      </c>
      <c r="X2410" s="16" t="n">
        <v>0.925</v>
      </c>
      <c r="Y2410" s="16" t="n">
        <v>290.65</v>
      </c>
      <c r="Z2410" s="16" t="n">
        <v>-16.76809846594868</v>
      </c>
      <c r="AA2410" s="16" t="n">
        <v>-15.24003981063692</v>
      </c>
      <c r="AB2410" s="16" t="n">
        <v>2600</v>
      </c>
      <c r="AC2410" s="16" t="n">
        <v>7.5</v>
      </c>
      <c r="AD2410" s="16" t="inlineStr">
        <is>
          <t>N2,O3,O5,C1,C3,C3</t>
        </is>
      </c>
      <c r="AE2410" s="16" t="n"/>
    </row>
    <row r="2411">
      <c r="A2411" s="16" t="inlineStr">
        <is>
          <t>KF-M05c-0089</t>
        </is>
      </c>
      <c r="B2411" s="16" t="inlineStr">
        <is>
          <t>4.2</t>
        </is>
      </c>
      <c r="C2411" s="16" t="inlineStr">
        <is>
          <t>4.2</t>
        </is>
      </c>
      <c r="D2411" s="16" t="inlineStr">
        <is>
          <t>presiones del profesor, malla T_fuente × ε_cond × clima</t>
        </is>
      </c>
      <c r="E2411" s="16" t="inlineStr">
        <is>
          <t>KF-M05c</t>
        </is>
      </c>
      <c r="F2411" s="16" t="inlineStr">
        <is>
          <t>KF-M05c</t>
        </is>
      </c>
      <c r="G2411" s="16" t="inlineStr">
        <is>
          <t>B10</t>
        </is>
      </c>
      <c r="H2411" s="16" t="inlineStr">
        <is>
          <t>malla</t>
        </is>
      </c>
      <c r="I2411" s="16" t="inlineStr">
        <is>
          <t>KALINA</t>
        </is>
      </c>
      <c r="J2411" s="16" t="inlineStr">
        <is>
          <t>KALINA</t>
        </is>
      </c>
      <c r="K2411" s="16" t="b">
        <v>1</v>
      </c>
      <c r="L2411" s="16" t="b">
        <v>1</v>
      </c>
      <c r="M2411" s="16" t="b">
        <v>0</v>
      </c>
      <c r="N2411" s="16" t="b">
        <v>0</v>
      </c>
      <c r="O2411" s="16" t="n">
        <v>390</v>
      </c>
      <c r="P2411" s="16" t="n">
        <v>290.65</v>
      </c>
      <c r="Q2411" s="16" t="n">
        <v>3000</v>
      </c>
      <c r="R2411" s="16" t="n">
        <v>400</v>
      </c>
      <c r="S2411" s="16" t="n">
        <v>0.5</v>
      </c>
      <c r="T2411" s="16" t="n">
        <v>0.85</v>
      </c>
      <c r="U2411" s="16" t="n">
        <v>0.75</v>
      </c>
      <c r="V2411" s="16" t="n">
        <v>0.85</v>
      </c>
      <c r="W2411" s="16" t="n">
        <v>0.75</v>
      </c>
      <c r="X2411" s="16" t="n">
        <v>0.925</v>
      </c>
      <c r="Y2411" s="16" t="n">
        <v>290.65</v>
      </c>
      <c r="Z2411" s="16" t="n">
        <v>2.1749310151656</v>
      </c>
      <c r="AA2411" s="16" t="n">
        <v>3.490143381923621</v>
      </c>
      <c r="AB2411" s="16" t="n">
        <v>2600</v>
      </c>
      <c r="AC2411" s="16" t="n">
        <v>7.5</v>
      </c>
      <c r="AD2411" s="16" t="n"/>
      <c r="AE2411" s="16" t="n"/>
    </row>
    <row r="2412">
      <c r="A2412" s="16" t="inlineStr">
        <is>
          <t>KF-M05c-0090</t>
        </is>
      </c>
      <c r="B2412" s="16" t="inlineStr">
        <is>
          <t>4.2</t>
        </is>
      </c>
      <c r="C2412" s="16" t="inlineStr">
        <is>
          <t>4.2</t>
        </is>
      </c>
      <c r="D2412" s="16" t="inlineStr">
        <is>
          <t>presiones del profesor, malla T_fuente × ε_cond × clima</t>
        </is>
      </c>
      <c r="E2412" s="16" t="inlineStr">
        <is>
          <t>KF-M05c</t>
        </is>
      </c>
      <c r="F2412" s="16" t="inlineStr">
        <is>
          <t>KF-M05c</t>
        </is>
      </c>
      <c r="G2412" s="16" t="inlineStr">
        <is>
          <t>B10</t>
        </is>
      </c>
      <c r="H2412" s="16" t="inlineStr">
        <is>
          <t>malla</t>
        </is>
      </c>
      <c r="I2412" s="16" t="inlineStr">
        <is>
          <t>INVIABLE</t>
        </is>
      </c>
      <c r="J2412" s="16" t="inlineStr">
        <is>
          <t>INVIABLE</t>
        </is>
      </c>
      <c r="K2412" s="16" t="b">
        <v>1</v>
      </c>
      <c r="L2412" s="16" t="b">
        <v>0</v>
      </c>
      <c r="M2412" s="16" t="b">
        <v>0</v>
      </c>
      <c r="N2412" s="16" t="b">
        <v>0</v>
      </c>
      <c r="O2412" s="16" t="n">
        <v>387.5</v>
      </c>
      <c r="P2412" s="16" t="n">
        <v>290.65</v>
      </c>
      <c r="Q2412" s="16" t="n">
        <v>3000</v>
      </c>
      <c r="R2412" s="16" t="n">
        <v>400</v>
      </c>
      <c r="S2412" s="16" t="n">
        <v>0.5</v>
      </c>
      <c r="T2412" s="16" t="n">
        <v>0.85</v>
      </c>
      <c r="U2412" s="16" t="n">
        <v>0.75</v>
      </c>
      <c r="V2412" s="16" t="n">
        <v>0.85</v>
      </c>
      <c r="W2412" s="16" t="n">
        <v>0.75</v>
      </c>
      <c r="X2412" s="16" t="n">
        <v>0.925</v>
      </c>
      <c r="Y2412" s="16" t="n">
        <v>290.65</v>
      </c>
      <c r="Z2412" s="16" t="n">
        <v>-1.77494262001425</v>
      </c>
      <c r="AA2412" s="16" t="n">
        <v>-2.198042398606083</v>
      </c>
      <c r="AB2412" s="16" t="n">
        <v>2600</v>
      </c>
      <c r="AC2412" s="16" t="n">
        <v>7.5</v>
      </c>
      <c r="AD2412" s="16" t="inlineStr">
        <is>
          <t>O3</t>
        </is>
      </c>
      <c r="AE2412" s="16" t="n"/>
    </row>
    <row r="2413">
      <c r="A2413" s="16" t="inlineStr">
        <is>
          <t>KF-M05c-0091</t>
        </is>
      </c>
      <c r="B2413" s="16" t="inlineStr">
        <is>
          <t>4.2</t>
        </is>
      </c>
      <c r="C2413" s="16" t="inlineStr">
        <is>
          <t>4.2</t>
        </is>
      </c>
      <c r="D2413" s="16" t="inlineStr">
        <is>
          <t>presiones del profesor, malla T_fuente × ε_cond × clima</t>
        </is>
      </c>
      <c r="E2413" s="16" t="inlineStr">
        <is>
          <t>KF-M05c</t>
        </is>
      </c>
      <c r="F2413" s="16" t="inlineStr">
        <is>
          <t>KF-M05c</t>
        </is>
      </c>
      <c r="G2413" s="16" t="inlineStr">
        <is>
          <t>B10</t>
        </is>
      </c>
      <c r="H2413" s="16" t="inlineStr">
        <is>
          <t>malla</t>
        </is>
      </c>
      <c r="I2413" s="16" t="inlineStr">
        <is>
          <t>KALINA</t>
        </is>
      </c>
      <c r="J2413" s="16" t="inlineStr">
        <is>
          <t>KALINA</t>
        </is>
      </c>
      <c r="K2413" s="16" t="b">
        <v>1</v>
      </c>
      <c r="L2413" s="16" t="b">
        <v>1</v>
      </c>
      <c r="M2413" s="16" t="b">
        <v>0</v>
      </c>
      <c r="N2413" s="16" t="b">
        <v>0</v>
      </c>
      <c r="O2413" s="16" t="n">
        <v>397.5</v>
      </c>
      <c r="P2413" s="16" t="n">
        <v>290.65</v>
      </c>
      <c r="Q2413" s="16" t="n">
        <v>3000</v>
      </c>
      <c r="R2413" s="16" t="n">
        <v>400</v>
      </c>
      <c r="S2413" s="16" t="n">
        <v>0.5</v>
      </c>
      <c r="T2413" s="16" t="n">
        <v>0.85</v>
      </c>
      <c r="U2413" s="16" t="n">
        <v>0.75</v>
      </c>
      <c r="V2413" s="16" t="n">
        <v>0.85</v>
      </c>
      <c r="W2413" s="16" t="n">
        <v>0.75</v>
      </c>
      <c r="X2413" s="16" t="n">
        <v>0.925</v>
      </c>
      <c r="Y2413" s="16" t="n">
        <v>290.65</v>
      </c>
      <c r="Z2413" s="16" t="n">
        <v>7.393136541840501</v>
      </c>
      <c r="AA2413" s="16" t="n">
        <v>19.4255617952382</v>
      </c>
      <c r="AB2413" s="16" t="n">
        <v>2600</v>
      </c>
      <c r="AC2413" s="16" t="n">
        <v>7.5</v>
      </c>
      <c r="AD2413" s="16" t="n"/>
      <c r="AE2413" s="16" t="n"/>
    </row>
    <row r="2414">
      <c r="A2414" s="16" t="inlineStr">
        <is>
          <t>KF-M05c-0092</t>
        </is>
      </c>
      <c r="B2414" s="16" t="inlineStr">
        <is>
          <t>4.2</t>
        </is>
      </c>
      <c r="C2414" s="16" t="inlineStr">
        <is>
          <t>4.2</t>
        </is>
      </c>
      <c r="D2414" s="16" t="inlineStr">
        <is>
          <t>presiones del profesor, malla T_fuente × ε_cond × clima</t>
        </is>
      </c>
      <c r="E2414" s="16" t="inlineStr">
        <is>
          <t>KF-M05c</t>
        </is>
      </c>
      <c r="F2414" s="16" t="inlineStr">
        <is>
          <t>KF-M05c</t>
        </is>
      </c>
      <c r="G2414" s="16" t="inlineStr">
        <is>
          <t>B10</t>
        </is>
      </c>
      <c r="H2414" s="16" t="inlineStr">
        <is>
          <t>malla</t>
        </is>
      </c>
      <c r="I2414" s="16" t="inlineStr">
        <is>
          <t>KALINA</t>
        </is>
      </c>
      <c r="J2414" s="16" t="inlineStr">
        <is>
          <t>KALINA</t>
        </is>
      </c>
      <c r="K2414" s="16" t="b">
        <v>1</v>
      </c>
      <c r="L2414" s="16" t="b">
        <v>1</v>
      </c>
      <c r="M2414" s="16" t="b">
        <v>0</v>
      </c>
      <c r="N2414" s="16" t="b">
        <v>0</v>
      </c>
      <c r="O2414" s="16" t="n">
        <v>395</v>
      </c>
      <c r="P2414" s="16" t="n">
        <v>290.65</v>
      </c>
      <c r="Q2414" s="16" t="n">
        <v>3000</v>
      </c>
      <c r="R2414" s="16" t="n">
        <v>400</v>
      </c>
      <c r="S2414" s="16" t="n">
        <v>0.5</v>
      </c>
      <c r="T2414" s="16" t="n">
        <v>0.85</v>
      </c>
      <c r="U2414" s="16" t="n">
        <v>0.75</v>
      </c>
      <c r="V2414" s="16" t="n">
        <v>0.85</v>
      </c>
      <c r="W2414" s="16" t="n">
        <v>0.75</v>
      </c>
      <c r="X2414" s="16" t="n">
        <v>0.925</v>
      </c>
      <c r="Y2414" s="16" t="n">
        <v>290.65</v>
      </c>
      <c r="Z2414" s="16" t="n">
        <v>6.21123884715877</v>
      </c>
      <c r="AA2414" s="16" t="n">
        <v>14.26529636173647</v>
      </c>
      <c r="AB2414" s="16" t="n">
        <v>2600</v>
      </c>
      <c r="AC2414" s="16" t="n">
        <v>7.5</v>
      </c>
      <c r="AD2414" s="16" t="n"/>
      <c r="AE2414" s="16" t="n"/>
    </row>
    <row r="2415">
      <c r="A2415" s="16" t="inlineStr">
        <is>
          <t>KF-M05c-0093</t>
        </is>
      </c>
      <c r="B2415" s="16" t="inlineStr">
        <is>
          <t>4.2</t>
        </is>
      </c>
      <c r="C2415" s="16" t="inlineStr">
        <is>
          <t>4.2</t>
        </is>
      </c>
      <c r="D2415" s="16" t="inlineStr">
        <is>
          <t>presiones del profesor, malla T_fuente × ε_cond × clima</t>
        </is>
      </c>
      <c r="E2415" s="16" t="inlineStr">
        <is>
          <t>KF-M05c</t>
        </is>
      </c>
      <c r="F2415" s="16" t="inlineStr">
        <is>
          <t>KF-M05c</t>
        </is>
      </c>
      <c r="G2415" s="16" t="inlineStr">
        <is>
          <t>B10</t>
        </is>
      </c>
      <c r="H2415" s="16" t="inlineStr">
        <is>
          <t>malla</t>
        </is>
      </c>
      <c r="I2415" s="16" t="inlineStr">
        <is>
          <t>KALINA</t>
        </is>
      </c>
      <c r="J2415" s="16" t="inlineStr">
        <is>
          <t>KALINA</t>
        </is>
      </c>
      <c r="K2415" s="16" t="b">
        <v>1</v>
      </c>
      <c r="L2415" s="16" t="b">
        <v>1</v>
      </c>
      <c r="M2415" s="16" t="b">
        <v>0</v>
      </c>
      <c r="N2415" s="16" t="b">
        <v>0</v>
      </c>
      <c r="O2415" s="16" t="n">
        <v>392.5</v>
      </c>
      <c r="P2415" s="16" t="n">
        <v>290.65</v>
      </c>
      <c r="Q2415" s="16" t="n">
        <v>3000</v>
      </c>
      <c r="R2415" s="16" t="n">
        <v>400</v>
      </c>
      <c r="S2415" s="16" t="n">
        <v>0.5</v>
      </c>
      <c r="T2415" s="16" t="n">
        <v>0.85</v>
      </c>
      <c r="U2415" s="16" t="n">
        <v>0.75</v>
      </c>
      <c r="V2415" s="16" t="n">
        <v>0.85</v>
      </c>
      <c r="W2415" s="16" t="n">
        <v>0.75</v>
      </c>
      <c r="X2415" s="16" t="n">
        <v>0.925</v>
      </c>
      <c r="Y2415" s="16" t="n">
        <v>290.65</v>
      </c>
      <c r="Z2415" s="16" t="n">
        <v>4.58186236764943</v>
      </c>
      <c r="AA2415" s="16" t="n">
        <v>8.964688435325639</v>
      </c>
      <c r="AB2415" s="16" t="n">
        <v>2600</v>
      </c>
      <c r="AC2415" s="16" t="n">
        <v>7.5</v>
      </c>
      <c r="AD2415" s="16" t="n"/>
      <c r="AE2415" s="16" t="n"/>
    </row>
    <row r="2416">
      <c r="A2416" s="16" t="inlineStr">
        <is>
          <t>KF-M05c-0094</t>
        </is>
      </c>
      <c r="B2416" s="16" t="inlineStr">
        <is>
          <t>4.2</t>
        </is>
      </c>
      <c r="C2416" s="16" t="inlineStr">
        <is>
          <t>4.2</t>
        </is>
      </c>
      <c r="D2416" s="16" t="inlineStr">
        <is>
          <t>presiones del profesor, malla T_fuente × ε_cond × clima</t>
        </is>
      </c>
      <c r="E2416" s="16" t="inlineStr">
        <is>
          <t>KF-M05c</t>
        </is>
      </c>
      <c r="F2416" s="16" t="inlineStr">
        <is>
          <t>KF-M05c</t>
        </is>
      </c>
      <c r="G2416" s="16" t="inlineStr">
        <is>
          <t>B10</t>
        </is>
      </c>
      <c r="H2416" s="16" t="inlineStr">
        <is>
          <t>malla</t>
        </is>
      </c>
      <c r="I2416" s="16" t="inlineStr">
        <is>
          <t>KALINA</t>
        </is>
      </c>
      <c r="J2416" s="16" t="inlineStr">
        <is>
          <t>KALINA</t>
        </is>
      </c>
      <c r="K2416" s="16" t="b">
        <v>1</v>
      </c>
      <c r="L2416" s="16" t="b">
        <v>1</v>
      </c>
      <c r="M2416" s="16" t="b">
        <v>0</v>
      </c>
      <c r="N2416" s="16" t="b">
        <v>0</v>
      </c>
      <c r="O2416" s="16" t="n">
        <v>400</v>
      </c>
      <c r="P2416" s="16" t="n">
        <v>290.65</v>
      </c>
      <c r="Q2416" s="16" t="n">
        <v>3000</v>
      </c>
      <c r="R2416" s="16" t="n">
        <v>400</v>
      </c>
      <c r="S2416" s="16" t="n">
        <v>0.5</v>
      </c>
      <c r="T2416" s="16" t="n">
        <v>0.85</v>
      </c>
      <c r="U2416" s="16" t="n">
        <v>0.75</v>
      </c>
      <c r="V2416" s="16" t="n">
        <v>0.85</v>
      </c>
      <c r="W2416" s="16" t="n">
        <v>0.75</v>
      </c>
      <c r="X2416" s="16" t="n">
        <v>0.925</v>
      </c>
      <c r="Y2416" s="16" t="n">
        <v>290.65</v>
      </c>
      <c r="Z2416" s="16" t="n">
        <v>8.2932359636886</v>
      </c>
      <c r="AA2416" s="16" t="n">
        <v>24.47455924568436</v>
      </c>
      <c r="AB2416" s="16" t="n">
        <v>2600</v>
      </c>
      <c r="AC2416" s="16" t="n">
        <v>7.5</v>
      </c>
      <c r="AD2416" s="16" t="n"/>
      <c r="AE2416" s="16" t="n"/>
    </row>
    <row r="2417">
      <c r="A2417" s="16" t="inlineStr">
        <is>
          <t>KF-M05c-0095</t>
        </is>
      </c>
      <c r="B2417" s="16" t="inlineStr">
        <is>
          <t>4.2</t>
        </is>
      </c>
      <c r="C2417" s="16" t="inlineStr">
        <is>
          <t>4.2</t>
        </is>
      </c>
      <c r="D2417" s="16" t="inlineStr">
        <is>
          <t>presiones del profesor, malla T_fuente × ε_cond × clima</t>
        </is>
      </c>
      <c r="E2417" s="16" t="inlineStr">
        <is>
          <t>KF-M05c</t>
        </is>
      </c>
      <c r="F2417" s="16" t="inlineStr">
        <is>
          <t>KF-M05c</t>
        </is>
      </c>
      <c r="G2417" s="16" t="inlineStr">
        <is>
          <t>B10</t>
        </is>
      </c>
      <c r="H2417" s="16" t="inlineStr">
        <is>
          <t>malla</t>
        </is>
      </c>
      <c r="I2417" s="16" t="inlineStr">
        <is>
          <t>KALINA</t>
        </is>
      </c>
      <c r="J2417" s="16" t="inlineStr">
        <is>
          <t>KALINA</t>
        </is>
      </c>
      <c r="K2417" s="16" t="b">
        <v>1</v>
      </c>
      <c r="L2417" s="16" t="b">
        <v>1</v>
      </c>
      <c r="M2417" s="16" t="b">
        <v>0</v>
      </c>
      <c r="N2417" s="16" t="b">
        <v>0</v>
      </c>
      <c r="O2417" s="16" t="n">
        <v>405</v>
      </c>
      <c r="P2417" s="16" t="n">
        <v>290.65</v>
      </c>
      <c r="Q2417" s="16" t="n">
        <v>3000</v>
      </c>
      <c r="R2417" s="16" t="n">
        <v>400</v>
      </c>
      <c r="S2417" s="16" t="n">
        <v>0.5</v>
      </c>
      <c r="T2417" s="16" t="n">
        <v>0.85</v>
      </c>
      <c r="U2417" s="16" t="n">
        <v>0.75</v>
      </c>
      <c r="V2417" s="16" t="n">
        <v>0.85</v>
      </c>
      <c r="W2417" s="16" t="n">
        <v>0.75</v>
      </c>
      <c r="X2417" s="16" t="n">
        <v>0.925</v>
      </c>
      <c r="Y2417" s="16" t="n">
        <v>290.65</v>
      </c>
      <c r="Z2417" s="16" t="n">
        <v>9.580477601744491</v>
      </c>
      <c r="AA2417" s="16" t="n">
        <v>34.33950977176666</v>
      </c>
      <c r="AB2417" s="16" t="n">
        <v>2600</v>
      </c>
      <c r="AC2417" s="16" t="n">
        <v>7.5</v>
      </c>
      <c r="AD2417" s="16" t="n"/>
      <c r="AE2417" s="16" t="n"/>
    </row>
    <row r="2418">
      <c r="A2418" s="16" t="inlineStr">
        <is>
          <t>KF-M05c-0096</t>
        </is>
      </c>
      <c r="B2418" s="16" t="inlineStr">
        <is>
          <t>4.2</t>
        </is>
      </c>
      <c r="C2418" s="16" t="inlineStr">
        <is>
          <t>4.2</t>
        </is>
      </c>
      <c r="D2418" s="16" t="inlineStr">
        <is>
          <t>presiones del profesor, malla T_fuente × ε_cond × clima</t>
        </is>
      </c>
      <c r="E2418" s="16" t="inlineStr">
        <is>
          <t>KF-M05c</t>
        </is>
      </c>
      <c r="F2418" s="16" t="inlineStr">
        <is>
          <t>KF-M05c</t>
        </is>
      </c>
      <c r="G2418" s="16" t="inlineStr">
        <is>
          <t>B10</t>
        </is>
      </c>
      <c r="H2418" s="16" t="inlineStr">
        <is>
          <t>malla</t>
        </is>
      </c>
      <c r="I2418" s="16" t="inlineStr">
        <is>
          <t>KALINA</t>
        </is>
      </c>
      <c r="J2418" s="16" t="inlineStr">
        <is>
          <t>KALINA</t>
        </is>
      </c>
      <c r="K2418" s="16" t="b">
        <v>1</v>
      </c>
      <c r="L2418" s="16" t="b">
        <v>1</v>
      </c>
      <c r="M2418" s="16" t="b">
        <v>0</v>
      </c>
      <c r="N2418" s="16" t="b">
        <v>0</v>
      </c>
      <c r="O2418" s="16" t="n">
        <v>402.5</v>
      </c>
      <c r="P2418" s="16" t="n">
        <v>290.65</v>
      </c>
      <c r="Q2418" s="16" t="n">
        <v>3000</v>
      </c>
      <c r="R2418" s="16" t="n">
        <v>400</v>
      </c>
      <c r="S2418" s="16" t="n">
        <v>0.5</v>
      </c>
      <c r="T2418" s="16" t="n">
        <v>0.85</v>
      </c>
      <c r="U2418" s="16" t="n">
        <v>0.75</v>
      </c>
      <c r="V2418" s="16" t="n">
        <v>0.85</v>
      </c>
      <c r="W2418" s="16" t="n">
        <v>0.75</v>
      </c>
      <c r="X2418" s="16" t="n">
        <v>0.925</v>
      </c>
      <c r="Y2418" s="16" t="n">
        <v>290.65</v>
      </c>
      <c r="Z2418" s="16" t="n">
        <v>9.00384023465679</v>
      </c>
      <c r="AA2418" s="16" t="n">
        <v>29.43806485485739</v>
      </c>
      <c r="AB2418" s="16" t="n">
        <v>2600</v>
      </c>
      <c r="AC2418" s="16" t="n">
        <v>7.5</v>
      </c>
      <c r="AD2418" s="16" t="n"/>
      <c r="AE2418" s="16" t="n"/>
    </row>
    <row r="2419">
      <c r="A2419" s="16" t="inlineStr">
        <is>
          <t>KF-M05c-0097</t>
        </is>
      </c>
      <c r="B2419" s="16" t="inlineStr">
        <is>
          <t>4.2</t>
        </is>
      </c>
      <c r="C2419" s="16" t="inlineStr">
        <is>
          <t>4.2</t>
        </is>
      </c>
      <c r="D2419" s="16" t="inlineStr">
        <is>
          <t>presiones del profesor, malla T_fuente × ε_cond × clima</t>
        </is>
      </c>
      <c r="E2419" s="16" t="inlineStr">
        <is>
          <t>KF-M05c</t>
        </is>
      </c>
      <c r="F2419" s="16" t="inlineStr">
        <is>
          <t>KF-M05c</t>
        </is>
      </c>
      <c r="G2419" s="16" t="inlineStr">
        <is>
          <t>B10</t>
        </is>
      </c>
      <c r="H2419" s="16" t="inlineStr">
        <is>
          <t>malla</t>
        </is>
      </c>
      <c r="I2419" s="16" t="inlineStr">
        <is>
          <t>KALINA</t>
        </is>
      </c>
      <c r="J2419" s="16" t="inlineStr">
        <is>
          <t>KALINA</t>
        </is>
      </c>
      <c r="K2419" s="16" t="b">
        <v>1</v>
      </c>
      <c r="L2419" s="16" t="b">
        <v>1</v>
      </c>
      <c r="M2419" s="16" t="b">
        <v>0</v>
      </c>
      <c r="N2419" s="16" t="b">
        <v>0</v>
      </c>
      <c r="O2419" s="16" t="n">
        <v>407.5</v>
      </c>
      <c r="P2419" s="16" t="n">
        <v>290.65</v>
      </c>
      <c r="Q2419" s="16" t="n">
        <v>3000</v>
      </c>
      <c r="R2419" s="16" t="n">
        <v>400</v>
      </c>
      <c r="S2419" s="16" t="n">
        <v>0.5</v>
      </c>
      <c r="T2419" s="16" t="n">
        <v>0.85</v>
      </c>
      <c r="U2419" s="16" t="n">
        <v>0.75</v>
      </c>
      <c r="V2419" s="16" t="n">
        <v>0.85</v>
      </c>
      <c r="W2419" s="16" t="n">
        <v>0.75</v>
      </c>
      <c r="X2419" s="16" t="n">
        <v>0.925</v>
      </c>
      <c r="Y2419" s="16" t="n">
        <v>290.65</v>
      </c>
      <c r="Z2419" s="16" t="n">
        <v>10.05856722080557</v>
      </c>
      <c r="AA2419" s="16" t="n">
        <v>39.20069799468739</v>
      </c>
      <c r="AB2419" s="16" t="n">
        <v>2600</v>
      </c>
      <c r="AC2419" s="16" t="n">
        <v>7.5</v>
      </c>
      <c r="AD2419" s="16" t="n"/>
      <c r="AE2419" s="16" t="n"/>
    </row>
    <row r="2420">
      <c r="A2420" s="16" t="inlineStr">
        <is>
          <t>KF-M05c-0098</t>
        </is>
      </c>
      <c r="B2420" s="16" t="inlineStr">
        <is>
          <t>4.2</t>
        </is>
      </c>
      <c r="C2420" s="16" t="inlineStr">
        <is>
          <t>4.2</t>
        </is>
      </c>
      <c r="D2420" s="16" t="inlineStr">
        <is>
          <t>presiones del profesor, malla T_fuente × ε_cond × clima</t>
        </is>
      </c>
      <c r="E2420" s="16" t="inlineStr">
        <is>
          <t>KF-M05c</t>
        </is>
      </c>
      <c r="F2420" s="16" t="inlineStr">
        <is>
          <t>KF-M05c</t>
        </is>
      </c>
      <c r="G2420" s="16" t="inlineStr">
        <is>
          <t>B10</t>
        </is>
      </c>
      <c r="H2420" s="16" t="inlineStr">
        <is>
          <t>malla</t>
        </is>
      </c>
      <c r="I2420" s="16" t="inlineStr">
        <is>
          <t>KALINA</t>
        </is>
      </c>
      <c r="J2420" s="16" t="inlineStr">
        <is>
          <t>KALINA</t>
        </is>
      </c>
      <c r="K2420" s="16" t="b">
        <v>1</v>
      </c>
      <c r="L2420" s="16" t="b">
        <v>1</v>
      </c>
      <c r="M2420" s="16" t="b">
        <v>0</v>
      </c>
      <c r="N2420" s="16" t="b">
        <v>0</v>
      </c>
      <c r="O2420" s="16" t="n">
        <v>410</v>
      </c>
      <c r="P2420" s="16" t="n">
        <v>290.65</v>
      </c>
      <c r="Q2420" s="16" t="n">
        <v>3000</v>
      </c>
      <c r="R2420" s="16" t="n">
        <v>400</v>
      </c>
      <c r="S2420" s="16" t="n">
        <v>0.5</v>
      </c>
      <c r="T2420" s="16" t="n">
        <v>0.85</v>
      </c>
      <c r="U2420" s="16" t="n">
        <v>0.75</v>
      </c>
      <c r="V2420" s="16" t="n">
        <v>0.85</v>
      </c>
      <c r="W2420" s="16" t="n">
        <v>0.75</v>
      </c>
      <c r="X2420" s="16" t="n">
        <v>0.925</v>
      </c>
      <c r="Y2420" s="16" t="n">
        <v>290.65</v>
      </c>
      <c r="Z2420" s="16" t="n">
        <v>10.46179830280646</v>
      </c>
      <c r="AA2420" s="16" t="n">
        <v>44.04239935176489</v>
      </c>
      <c r="AB2420" s="16" t="n">
        <v>2600</v>
      </c>
      <c r="AC2420" s="16" t="n">
        <v>7.5</v>
      </c>
      <c r="AD2420" s="16" t="n"/>
      <c r="AE2420" s="16" t="n"/>
    </row>
    <row r="2421">
      <c r="A2421" s="16" t="inlineStr">
        <is>
          <t>KF-M05c-0099</t>
        </is>
      </c>
      <c r="B2421" s="16" t="inlineStr">
        <is>
          <t>4.2</t>
        </is>
      </c>
      <c r="C2421" s="16" t="inlineStr">
        <is>
          <t>4.2</t>
        </is>
      </c>
      <c r="D2421" s="16" t="inlineStr">
        <is>
          <t>presiones del profesor, malla T_fuente × ε_cond × clima</t>
        </is>
      </c>
      <c r="E2421" s="16" t="inlineStr">
        <is>
          <t>KF-M05c</t>
        </is>
      </c>
      <c r="F2421" s="16" t="inlineStr">
        <is>
          <t>KF-M05c</t>
        </is>
      </c>
      <c r="G2421" s="16" t="inlineStr">
        <is>
          <t>B10</t>
        </is>
      </c>
      <c r="H2421" s="16" t="inlineStr">
        <is>
          <t>malla</t>
        </is>
      </c>
      <c r="I2421" s="16" t="inlineStr">
        <is>
          <t>INVIABLE</t>
        </is>
      </c>
      <c r="J2421" s="16" t="inlineStr">
        <is>
          <t>INVIABLE</t>
        </is>
      </c>
      <c r="K2421" s="16" t="b">
        <v>1</v>
      </c>
      <c r="L2421" s="16" t="b">
        <v>0</v>
      </c>
      <c r="M2421" s="16" t="b">
        <v>0</v>
      </c>
      <c r="N2421" s="16" t="b">
        <v>0</v>
      </c>
      <c r="O2421" s="16" t="n">
        <v>387.5</v>
      </c>
      <c r="P2421" s="16" t="n">
        <v>290.65</v>
      </c>
      <c r="Q2421" s="16" t="n">
        <v>3000</v>
      </c>
      <c r="R2421" s="16" t="n">
        <v>400</v>
      </c>
      <c r="S2421" s="16" t="n">
        <v>0.5</v>
      </c>
      <c r="T2421" s="16" t="n">
        <v>0.85</v>
      </c>
      <c r="U2421" s="16" t="n">
        <v>0.75</v>
      </c>
      <c r="V2421" s="16" t="n">
        <v>0.85</v>
      </c>
      <c r="W2421" s="16" t="n">
        <v>0.75</v>
      </c>
      <c r="X2421" s="16" t="n">
        <v>0.95</v>
      </c>
      <c r="Y2421" s="16" t="n">
        <v>290.65</v>
      </c>
      <c r="Z2421" s="16" t="n">
        <v>-1.7781982732741</v>
      </c>
      <c r="AA2421" s="16" t="n">
        <v>-2.21578481942835</v>
      </c>
      <c r="AB2421" s="16" t="n">
        <v>2600</v>
      </c>
      <c r="AC2421" s="16" t="n">
        <v>7.5</v>
      </c>
      <c r="AD2421" s="16" t="inlineStr">
        <is>
          <t>O3</t>
        </is>
      </c>
      <c r="AE2421" s="16" t="n"/>
    </row>
    <row r="2422">
      <c r="A2422" s="16" t="inlineStr">
        <is>
          <t>KF-M05c-0100</t>
        </is>
      </c>
      <c r="B2422" s="16" t="inlineStr">
        <is>
          <t>4.2</t>
        </is>
      </c>
      <c r="C2422" s="16" t="inlineStr">
        <is>
          <t>4.2</t>
        </is>
      </c>
      <c r="D2422" s="16" t="inlineStr">
        <is>
          <t>presiones del profesor, malla T_fuente × ε_cond × clima</t>
        </is>
      </c>
      <c r="E2422" s="16" t="inlineStr">
        <is>
          <t>KF-M05c</t>
        </is>
      </c>
      <c r="F2422" s="16" t="inlineStr">
        <is>
          <t>KF-M05c</t>
        </is>
      </c>
      <c r="G2422" s="16" t="inlineStr">
        <is>
          <t>B10</t>
        </is>
      </c>
      <c r="H2422" s="16" t="inlineStr">
        <is>
          <t>malla</t>
        </is>
      </c>
      <c r="I2422" s="16" t="inlineStr">
        <is>
          <t>KALINA</t>
        </is>
      </c>
      <c r="J2422" s="16" t="inlineStr">
        <is>
          <t>KALINA</t>
        </is>
      </c>
      <c r="K2422" s="16" t="b">
        <v>1</v>
      </c>
      <c r="L2422" s="16" t="b">
        <v>1</v>
      </c>
      <c r="M2422" s="16" t="b">
        <v>0</v>
      </c>
      <c r="N2422" s="16" t="b">
        <v>0</v>
      </c>
      <c r="O2422" s="16" t="n">
        <v>390</v>
      </c>
      <c r="P2422" s="16" t="n">
        <v>290.65</v>
      </c>
      <c r="Q2422" s="16" t="n">
        <v>3000</v>
      </c>
      <c r="R2422" s="16" t="n">
        <v>400</v>
      </c>
      <c r="S2422" s="16" t="n">
        <v>0.5</v>
      </c>
      <c r="T2422" s="16" t="n">
        <v>0.85</v>
      </c>
      <c r="U2422" s="16" t="n">
        <v>0.75</v>
      </c>
      <c r="V2422" s="16" t="n">
        <v>0.85</v>
      </c>
      <c r="W2422" s="16" t="n">
        <v>0.75</v>
      </c>
      <c r="X2422" s="16" t="n">
        <v>0.95</v>
      </c>
      <c r="Y2422" s="16" t="n">
        <v>290.65</v>
      </c>
      <c r="Z2422" s="16" t="n">
        <v>2.14614183450767</v>
      </c>
      <c r="AA2422" s="16" t="n">
        <v>3.466109107623113</v>
      </c>
      <c r="AB2422" s="16" t="n">
        <v>2600</v>
      </c>
      <c r="AC2422" s="16" t="n">
        <v>7.5</v>
      </c>
      <c r="AD2422" s="16" t="n"/>
      <c r="AE2422" s="16" t="n"/>
    </row>
    <row r="2423">
      <c r="A2423" s="16" t="inlineStr">
        <is>
          <t>KF-M05c-0101</t>
        </is>
      </c>
      <c r="B2423" s="16" t="inlineStr">
        <is>
          <t>4.2</t>
        </is>
      </c>
      <c r="C2423" s="16" t="inlineStr">
        <is>
          <t>4.2</t>
        </is>
      </c>
      <c r="D2423" s="16" t="inlineStr">
        <is>
          <t>presiones del profesor, malla T_fuente × ε_cond × clima</t>
        </is>
      </c>
      <c r="E2423" s="16" t="inlineStr">
        <is>
          <t>KF-M05c</t>
        </is>
      </c>
      <c r="F2423" s="16" t="inlineStr">
        <is>
          <t>KF-M05c</t>
        </is>
      </c>
      <c r="G2423" s="16" t="inlineStr">
        <is>
          <t>B10</t>
        </is>
      </c>
      <c r="H2423" s="16" t="inlineStr">
        <is>
          <t>malla</t>
        </is>
      </c>
      <c r="I2423" s="16" t="inlineStr">
        <is>
          <t>N2</t>
        </is>
      </c>
      <c r="J2423" s="16" t="inlineStr">
        <is>
          <t>NO_CONVERGIO</t>
        </is>
      </c>
      <c r="K2423" s="16" t="b">
        <v>0</v>
      </c>
      <c r="L2423" s="16" t="b">
        <v>0</v>
      </c>
      <c r="M2423" s="16" t="b">
        <v>0</v>
      </c>
      <c r="N2423" s="16" t="b">
        <v>0</v>
      </c>
      <c r="O2423" s="16" t="n">
        <v>385</v>
      </c>
      <c r="P2423" s="16" t="n">
        <v>290.65</v>
      </c>
      <c r="Q2423" s="16" t="n">
        <v>3000</v>
      </c>
      <c r="R2423" s="16" t="n">
        <v>400</v>
      </c>
      <c r="S2423" s="16" t="n">
        <v>0.5</v>
      </c>
      <c r="T2423" s="16" t="n">
        <v>0.85</v>
      </c>
      <c r="U2423" s="16" t="n">
        <v>0.75</v>
      </c>
      <c r="V2423" s="16" t="n">
        <v>0.85</v>
      </c>
      <c r="W2423" s="16" t="n">
        <v>0.75</v>
      </c>
      <c r="X2423" s="16" t="n">
        <v>0.95</v>
      </c>
      <c r="Y2423" s="16" t="n">
        <v>290.65</v>
      </c>
      <c r="Z2423" s="16" t="n">
        <v>-16.74871670866523</v>
      </c>
      <c r="AA2423" s="16" t="n">
        <v>-15.26800305231027</v>
      </c>
      <c r="AB2423" s="16" t="n">
        <v>2600</v>
      </c>
      <c r="AC2423" s="16" t="n">
        <v>7.5</v>
      </c>
      <c r="AD2423" s="16" t="inlineStr">
        <is>
          <t>N2,O3,O5,C1,C3,C3</t>
        </is>
      </c>
      <c r="AE2423" s="16" t="n"/>
    </row>
    <row r="2424">
      <c r="A2424" s="16" t="inlineStr">
        <is>
          <t>KF-M05c-0102</t>
        </is>
      </c>
      <c r="B2424" s="16" t="inlineStr">
        <is>
          <t>4.2</t>
        </is>
      </c>
      <c r="C2424" s="16" t="inlineStr">
        <is>
          <t>4.2</t>
        </is>
      </c>
      <c r="D2424" s="16" t="inlineStr">
        <is>
          <t>presiones del profesor, malla T_fuente × ε_cond × clima</t>
        </is>
      </c>
      <c r="E2424" s="16" t="inlineStr">
        <is>
          <t>KF-M05c</t>
        </is>
      </c>
      <c r="F2424" s="16" t="inlineStr">
        <is>
          <t>KF-M05c</t>
        </is>
      </c>
      <c r="G2424" s="16" t="inlineStr">
        <is>
          <t>B10</t>
        </is>
      </c>
      <c r="H2424" s="16" t="inlineStr">
        <is>
          <t>malla</t>
        </is>
      </c>
      <c r="I2424" s="16" t="inlineStr">
        <is>
          <t>KALINA</t>
        </is>
      </c>
      <c r="J2424" s="16" t="inlineStr">
        <is>
          <t>KALINA</t>
        </is>
      </c>
      <c r="K2424" s="16" t="b">
        <v>1</v>
      </c>
      <c r="L2424" s="16" t="b">
        <v>1</v>
      </c>
      <c r="M2424" s="16" t="b">
        <v>0</v>
      </c>
      <c r="N2424" s="16" t="b">
        <v>0</v>
      </c>
      <c r="O2424" s="16" t="n">
        <v>392.5</v>
      </c>
      <c r="P2424" s="16" t="n">
        <v>290.65</v>
      </c>
      <c r="Q2424" s="16" t="n">
        <v>3000</v>
      </c>
      <c r="R2424" s="16" t="n">
        <v>400</v>
      </c>
      <c r="S2424" s="16" t="n">
        <v>0.5</v>
      </c>
      <c r="T2424" s="16" t="n">
        <v>0.85</v>
      </c>
      <c r="U2424" s="16" t="n">
        <v>0.75</v>
      </c>
      <c r="V2424" s="16" t="n">
        <v>0.85</v>
      </c>
      <c r="W2424" s="16" t="n">
        <v>0.75</v>
      </c>
      <c r="X2424" s="16" t="n">
        <v>0.95</v>
      </c>
      <c r="Y2424" s="16" t="n">
        <v>290.65</v>
      </c>
      <c r="Z2424" s="16" t="n">
        <v>4.535783472351349</v>
      </c>
      <c r="AA2424" s="16" t="n">
        <v>8.933929435528203</v>
      </c>
      <c r="AB2424" s="16" t="n">
        <v>2600</v>
      </c>
      <c r="AC2424" s="16" t="n">
        <v>7.5</v>
      </c>
      <c r="AD2424" s="16" t="n"/>
      <c r="AE2424" s="16" t="n"/>
    </row>
    <row r="2425">
      <c r="A2425" s="16" t="inlineStr">
        <is>
          <t>KF-M05c-0103</t>
        </is>
      </c>
      <c r="B2425" s="16" t="inlineStr">
        <is>
          <t>4.2</t>
        </is>
      </c>
      <c r="C2425" s="16" t="inlineStr">
        <is>
          <t>4.2</t>
        </is>
      </c>
      <c r="D2425" s="16" t="inlineStr">
        <is>
          <t>presiones del profesor, malla T_fuente × ε_cond × clima</t>
        </is>
      </c>
      <c r="E2425" s="16" t="inlineStr">
        <is>
          <t>KF-M05c</t>
        </is>
      </c>
      <c r="F2425" s="16" t="inlineStr">
        <is>
          <t>KF-M05c</t>
        </is>
      </c>
      <c r="G2425" s="16" t="inlineStr">
        <is>
          <t>B10</t>
        </is>
      </c>
      <c r="H2425" s="16" t="inlineStr">
        <is>
          <t>malla</t>
        </is>
      </c>
      <c r="I2425" s="16" t="inlineStr">
        <is>
          <t>KALINA</t>
        </is>
      </c>
      <c r="J2425" s="16" t="inlineStr">
        <is>
          <t>KALINA</t>
        </is>
      </c>
      <c r="K2425" s="16" t="b">
        <v>1</v>
      </c>
      <c r="L2425" s="16" t="b">
        <v>1</v>
      </c>
      <c r="M2425" s="16" t="b">
        <v>0</v>
      </c>
      <c r="N2425" s="16" t="b">
        <v>0</v>
      </c>
      <c r="O2425" s="16" t="n">
        <v>395</v>
      </c>
      <c r="P2425" s="16" t="n">
        <v>290.65</v>
      </c>
      <c r="Q2425" s="16" t="n">
        <v>3000</v>
      </c>
      <c r="R2425" s="16" t="n">
        <v>400</v>
      </c>
      <c r="S2425" s="16" t="n">
        <v>0.5</v>
      </c>
      <c r="T2425" s="16" t="n">
        <v>0.85</v>
      </c>
      <c r="U2425" s="16" t="n">
        <v>0.75</v>
      </c>
      <c r="V2425" s="16" t="n">
        <v>0.85</v>
      </c>
      <c r="W2425" s="16" t="n">
        <v>0.75</v>
      </c>
      <c r="X2425" s="16" t="n">
        <v>0.95</v>
      </c>
      <c r="Y2425" s="16" t="n">
        <v>290.65</v>
      </c>
      <c r="Z2425" s="16" t="n">
        <v>6.15189984360015</v>
      </c>
      <c r="AA2425" s="16" t="n">
        <v>14.22743111163047</v>
      </c>
      <c r="AB2425" s="16" t="n">
        <v>2600</v>
      </c>
      <c r="AC2425" s="16" t="n">
        <v>7.5</v>
      </c>
      <c r="AD2425" s="16" t="n"/>
      <c r="AE2425" s="16" t="n"/>
    </row>
    <row r="2426">
      <c r="A2426" s="16" t="inlineStr">
        <is>
          <t>KF-M05c-0104</t>
        </is>
      </c>
      <c r="B2426" s="16" t="inlineStr">
        <is>
          <t>4.2</t>
        </is>
      </c>
      <c r="C2426" s="16" t="inlineStr">
        <is>
          <t>4.2</t>
        </is>
      </c>
      <c r="D2426" s="16" t="inlineStr">
        <is>
          <t>presiones del profesor, malla T_fuente × ε_cond × clima</t>
        </is>
      </c>
      <c r="E2426" s="16" t="inlineStr">
        <is>
          <t>KF-M05c</t>
        </is>
      </c>
      <c r="F2426" s="16" t="inlineStr">
        <is>
          <t>KF-M05c</t>
        </is>
      </c>
      <c r="G2426" s="16" t="inlineStr">
        <is>
          <t>B10</t>
        </is>
      </c>
      <c r="H2426" s="16" t="inlineStr">
        <is>
          <t>malla</t>
        </is>
      </c>
      <c r="I2426" s="16" t="inlineStr">
        <is>
          <t>KALINA</t>
        </is>
      </c>
      <c r="J2426" s="16" t="inlineStr">
        <is>
          <t>KALINA</t>
        </is>
      </c>
      <c r="K2426" s="16" t="b">
        <v>1</v>
      </c>
      <c r="L2426" s="16" t="b">
        <v>1</v>
      </c>
      <c r="M2426" s="16" t="b">
        <v>0</v>
      </c>
      <c r="N2426" s="16" t="b">
        <v>0</v>
      </c>
      <c r="O2426" s="16" t="n">
        <v>397.5</v>
      </c>
      <c r="P2426" s="16" t="n">
        <v>290.65</v>
      </c>
      <c r="Q2426" s="16" t="n">
        <v>3000</v>
      </c>
      <c r="R2426" s="16" t="n">
        <v>400</v>
      </c>
      <c r="S2426" s="16" t="n">
        <v>0.5</v>
      </c>
      <c r="T2426" s="16" t="n">
        <v>0.85</v>
      </c>
      <c r="U2426" s="16" t="n">
        <v>0.75</v>
      </c>
      <c r="V2426" s="16" t="n">
        <v>0.85</v>
      </c>
      <c r="W2426" s="16" t="n">
        <v>0.75</v>
      </c>
      <c r="X2426" s="16" t="n">
        <v>0.95</v>
      </c>
      <c r="Y2426" s="16" t="n">
        <v>290.65</v>
      </c>
      <c r="Z2426" s="16" t="n">
        <v>7.322852946347489</v>
      </c>
      <c r="AA2426" s="16" t="n">
        <v>19.38023692865441</v>
      </c>
      <c r="AB2426" s="16" t="n">
        <v>2600</v>
      </c>
      <c r="AC2426" s="16" t="n">
        <v>7.5</v>
      </c>
      <c r="AD2426" s="16" t="n"/>
      <c r="AE2426" s="16" t="n"/>
    </row>
    <row r="2427">
      <c r="A2427" s="16" t="inlineStr">
        <is>
          <t>KF-M05c-0105</t>
        </is>
      </c>
      <c r="B2427" s="16" t="inlineStr">
        <is>
          <t>4.2</t>
        </is>
      </c>
      <c r="C2427" s="16" t="inlineStr">
        <is>
          <t>4.2</t>
        </is>
      </c>
      <c r="D2427" s="16" t="inlineStr">
        <is>
          <t>presiones del profesor, malla T_fuente × ε_cond × clima</t>
        </is>
      </c>
      <c r="E2427" s="16" t="inlineStr">
        <is>
          <t>KF-M05c</t>
        </is>
      </c>
      <c r="F2427" s="16" t="inlineStr">
        <is>
          <t>KF-M05c</t>
        </is>
      </c>
      <c r="G2427" s="16" t="inlineStr">
        <is>
          <t>B10</t>
        </is>
      </c>
      <c r="H2427" s="16" t="inlineStr">
        <is>
          <t>malla</t>
        </is>
      </c>
      <c r="I2427" s="16" t="inlineStr">
        <is>
          <t>KALINA</t>
        </is>
      </c>
      <c r="J2427" s="16" t="inlineStr">
        <is>
          <t>KALINA</t>
        </is>
      </c>
      <c r="K2427" s="16" t="b">
        <v>1</v>
      </c>
      <c r="L2427" s="16" t="b">
        <v>1</v>
      </c>
      <c r="M2427" s="16" t="b">
        <v>0</v>
      </c>
      <c r="N2427" s="16" t="b">
        <v>0</v>
      </c>
      <c r="O2427" s="16" t="n">
        <v>400</v>
      </c>
      <c r="P2427" s="16" t="n">
        <v>290.65</v>
      </c>
      <c r="Q2427" s="16" t="n">
        <v>3000</v>
      </c>
      <c r="R2427" s="16" t="n">
        <v>400</v>
      </c>
      <c r="S2427" s="16" t="n">
        <v>0.5</v>
      </c>
      <c r="T2427" s="16" t="n">
        <v>0.85</v>
      </c>
      <c r="U2427" s="16" t="n">
        <v>0.75</v>
      </c>
      <c r="V2427" s="16" t="n">
        <v>0.85</v>
      </c>
      <c r="W2427" s="16" t="n">
        <v>0.75</v>
      </c>
      <c r="X2427" s="16" t="n">
        <v>0.95</v>
      </c>
      <c r="Y2427" s="16" t="n">
        <v>290.65</v>
      </c>
      <c r="Z2427" s="16" t="n">
        <v>8.21349522156642</v>
      </c>
      <c r="AA2427" s="16" t="n">
        <v>24.42144211059545</v>
      </c>
      <c r="AB2427" s="16" t="n">
        <v>2600</v>
      </c>
      <c r="AC2427" s="16" t="n">
        <v>7.5</v>
      </c>
      <c r="AD2427" s="16" t="n"/>
      <c r="AE2427" s="16" t="n"/>
    </row>
    <row r="2428">
      <c r="A2428" s="16" t="inlineStr">
        <is>
          <t>KF-M05c-0106</t>
        </is>
      </c>
      <c r="B2428" s="16" t="inlineStr">
        <is>
          <t>4.2</t>
        </is>
      </c>
      <c r="C2428" s="16" t="inlineStr">
        <is>
          <t>4.2</t>
        </is>
      </c>
      <c r="D2428" s="16" t="inlineStr">
        <is>
          <t>presiones del profesor, malla T_fuente × ε_cond × clima</t>
        </is>
      </c>
      <c r="E2428" s="16" t="inlineStr">
        <is>
          <t>KF-M05c</t>
        </is>
      </c>
      <c r="F2428" s="16" t="inlineStr">
        <is>
          <t>KF-M05c</t>
        </is>
      </c>
      <c r="G2428" s="16" t="inlineStr">
        <is>
          <t>B10</t>
        </is>
      </c>
      <c r="H2428" s="16" t="inlineStr">
        <is>
          <t>malla</t>
        </is>
      </c>
      <c r="I2428" s="16" t="inlineStr">
        <is>
          <t>KALINA</t>
        </is>
      </c>
      <c r="J2428" s="16" t="inlineStr">
        <is>
          <t>KALINA</t>
        </is>
      </c>
      <c r="K2428" s="16" t="b">
        <v>1</v>
      </c>
      <c r="L2428" s="16" t="b">
        <v>1</v>
      </c>
      <c r="M2428" s="16" t="b">
        <v>0</v>
      </c>
      <c r="N2428" s="16" t="b">
        <v>0</v>
      </c>
      <c r="O2428" s="16" t="n">
        <v>405</v>
      </c>
      <c r="P2428" s="16" t="n">
        <v>290.65</v>
      </c>
      <c r="Q2428" s="16" t="n">
        <v>3000</v>
      </c>
      <c r="R2428" s="16" t="n">
        <v>400</v>
      </c>
      <c r="S2428" s="16" t="n">
        <v>0.5</v>
      </c>
      <c r="T2428" s="16" t="n">
        <v>0.85</v>
      </c>
      <c r="U2428" s="16" t="n">
        <v>0.75</v>
      </c>
      <c r="V2428" s="16" t="n">
        <v>0.85</v>
      </c>
      <c r="W2428" s="16" t="n">
        <v>0.75</v>
      </c>
      <c r="X2428" s="16" t="n">
        <v>0.95</v>
      </c>
      <c r="Y2428" s="16" t="n">
        <v>290.65</v>
      </c>
      <c r="Z2428" s="16" t="n">
        <v>9.484627232880239</v>
      </c>
      <c r="AA2428" s="16" t="n">
        <v>34.26982312744046</v>
      </c>
      <c r="AB2428" s="16" t="n">
        <v>2600</v>
      </c>
      <c r="AC2428" s="16" t="n">
        <v>7.5</v>
      </c>
      <c r="AD2428" s="16" t="n"/>
      <c r="AE2428" s="16" t="n"/>
    </row>
    <row r="2429">
      <c r="A2429" s="16" t="inlineStr">
        <is>
          <t>KF-M05c-0107</t>
        </is>
      </c>
      <c r="B2429" s="16" t="inlineStr">
        <is>
          <t>4.2</t>
        </is>
      </c>
      <c r="C2429" s="16" t="inlineStr">
        <is>
          <t>4.2</t>
        </is>
      </c>
      <c r="D2429" s="16" t="inlineStr">
        <is>
          <t>presiones del profesor, malla T_fuente × ε_cond × clima</t>
        </is>
      </c>
      <c r="E2429" s="16" t="inlineStr">
        <is>
          <t>KF-M05c</t>
        </is>
      </c>
      <c r="F2429" s="16" t="inlineStr">
        <is>
          <t>KF-M05c</t>
        </is>
      </c>
      <c r="G2429" s="16" t="inlineStr">
        <is>
          <t>B10</t>
        </is>
      </c>
      <c r="H2429" s="16" t="inlineStr">
        <is>
          <t>malla</t>
        </is>
      </c>
      <c r="I2429" s="16" t="inlineStr">
        <is>
          <t>KALINA</t>
        </is>
      </c>
      <c r="J2429" s="16" t="inlineStr">
        <is>
          <t>KALINA</t>
        </is>
      </c>
      <c r="K2429" s="16" t="b">
        <v>1</v>
      </c>
      <c r="L2429" s="16" t="b">
        <v>1</v>
      </c>
      <c r="M2429" s="16" t="b">
        <v>0</v>
      </c>
      <c r="N2429" s="16" t="b">
        <v>0</v>
      </c>
      <c r="O2429" s="16" t="n">
        <v>402.5</v>
      </c>
      <c r="P2429" s="16" t="n">
        <v>290.65</v>
      </c>
      <c r="Q2429" s="16" t="n">
        <v>3000</v>
      </c>
      <c r="R2429" s="16" t="n">
        <v>400</v>
      </c>
      <c r="S2429" s="16" t="n">
        <v>0.5</v>
      </c>
      <c r="T2429" s="16" t="n">
        <v>0.85</v>
      </c>
      <c r="U2429" s="16" t="n">
        <v>0.75</v>
      </c>
      <c r="V2429" s="16" t="n">
        <v>0.85</v>
      </c>
      <c r="W2429" s="16" t="n">
        <v>0.75</v>
      </c>
      <c r="X2429" s="16" t="n">
        <v>0.95</v>
      </c>
      <c r="Y2429" s="16" t="n">
        <v>290.65</v>
      </c>
      <c r="Z2429" s="16" t="n">
        <v>8.91566660535954</v>
      </c>
      <c r="AA2429" s="16" t="n">
        <v>29.37682598009791</v>
      </c>
      <c r="AB2429" s="16" t="n">
        <v>2600</v>
      </c>
      <c r="AC2429" s="16" t="n">
        <v>7.5</v>
      </c>
      <c r="AD2429" s="16" t="n"/>
      <c r="AE2429" s="16" t="n"/>
    </row>
    <row r="2430">
      <c r="A2430" s="16" t="inlineStr">
        <is>
          <t>KF-M05c-0108</t>
        </is>
      </c>
      <c r="B2430" s="16" t="inlineStr">
        <is>
          <t>4.2</t>
        </is>
      </c>
      <c r="C2430" s="16" t="inlineStr">
        <is>
          <t>4.2</t>
        </is>
      </c>
      <c r="D2430" s="16" t="inlineStr">
        <is>
          <t>presiones del profesor, malla T_fuente × ε_cond × clima</t>
        </is>
      </c>
      <c r="E2430" s="16" t="inlineStr">
        <is>
          <t>KF-M05c</t>
        </is>
      </c>
      <c r="F2430" s="16" t="inlineStr">
        <is>
          <t>KF-M05c</t>
        </is>
      </c>
      <c r="G2430" s="16" t="inlineStr">
        <is>
          <t>B10</t>
        </is>
      </c>
      <c r="H2430" s="16" t="inlineStr">
        <is>
          <t>malla</t>
        </is>
      </c>
      <c r="I2430" s="16" t="inlineStr">
        <is>
          <t>KALINA</t>
        </is>
      </c>
      <c r="J2430" s="16" t="inlineStr">
        <is>
          <t>KALINA</t>
        </is>
      </c>
      <c r="K2430" s="16" t="b">
        <v>1</v>
      </c>
      <c r="L2430" s="16" t="b">
        <v>1</v>
      </c>
      <c r="M2430" s="16" t="b">
        <v>0</v>
      </c>
      <c r="N2430" s="16" t="b">
        <v>0</v>
      </c>
      <c r="O2430" s="16" t="n">
        <v>407.5</v>
      </c>
      <c r="P2430" s="16" t="n">
        <v>290.65</v>
      </c>
      <c r="Q2430" s="16" t="n">
        <v>3000</v>
      </c>
      <c r="R2430" s="16" t="n">
        <v>400</v>
      </c>
      <c r="S2430" s="16" t="n">
        <v>0.5</v>
      </c>
      <c r="T2430" s="16" t="n">
        <v>0.85</v>
      </c>
      <c r="U2430" s="16" t="n">
        <v>0.75</v>
      </c>
      <c r="V2430" s="16" t="n">
        <v>0.85</v>
      </c>
      <c r="W2430" s="16" t="n">
        <v>0.75</v>
      </c>
      <c r="X2430" s="16" t="n">
        <v>0.95</v>
      </c>
      <c r="Y2430" s="16" t="n">
        <v>290.65</v>
      </c>
      <c r="Z2430" s="16" t="n">
        <v>9.95561654417159</v>
      </c>
      <c r="AA2430" s="16" t="n">
        <v>39.1222255442791</v>
      </c>
      <c r="AB2430" s="16" t="n">
        <v>2600</v>
      </c>
      <c r="AC2430" s="16" t="n">
        <v>7.5</v>
      </c>
      <c r="AD2430" s="16" t="n"/>
      <c r="AE2430" s="16" t="n"/>
    </row>
    <row r="2431">
      <c r="A2431" s="16" t="inlineStr">
        <is>
          <t>KF-M05c-0109</t>
        </is>
      </c>
      <c r="B2431" s="16" t="inlineStr">
        <is>
          <t>4.2</t>
        </is>
      </c>
      <c r="C2431" s="16" t="inlineStr">
        <is>
          <t>4.2</t>
        </is>
      </c>
      <c r="D2431" s="16" t="inlineStr">
        <is>
          <t>presiones del profesor, malla T_fuente × ε_cond × clima</t>
        </is>
      </c>
      <c r="E2431" s="16" t="inlineStr">
        <is>
          <t>KF-M05c</t>
        </is>
      </c>
      <c r="F2431" s="16" t="inlineStr">
        <is>
          <t>KF-M05c</t>
        </is>
      </c>
      <c r="G2431" s="16" t="inlineStr">
        <is>
          <t>B10</t>
        </is>
      </c>
      <c r="H2431" s="16" t="inlineStr">
        <is>
          <t>malla</t>
        </is>
      </c>
      <c r="I2431" s="16" t="inlineStr">
        <is>
          <t>KALINA</t>
        </is>
      </c>
      <c r="J2431" s="16" t="inlineStr">
        <is>
          <t>KALINA</t>
        </is>
      </c>
      <c r="K2431" s="16" t="b">
        <v>1</v>
      </c>
      <c r="L2431" s="16" t="b">
        <v>1</v>
      </c>
      <c r="M2431" s="16" t="b">
        <v>0</v>
      </c>
      <c r="N2431" s="16" t="b">
        <v>0</v>
      </c>
      <c r="O2431" s="16" t="n">
        <v>410</v>
      </c>
      <c r="P2431" s="16" t="n">
        <v>290.65</v>
      </c>
      <c r="Q2431" s="16" t="n">
        <v>3000</v>
      </c>
      <c r="R2431" s="16" t="n">
        <v>400</v>
      </c>
      <c r="S2431" s="16" t="n">
        <v>0.5</v>
      </c>
      <c r="T2431" s="16" t="n">
        <v>0.85</v>
      </c>
      <c r="U2431" s="16" t="n">
        <v>0.75</v>
      </c>
      <c r="V2431" s="16" t="n">
        <v>0.85</v>
      </c>
      <c r="W2431" s="16" t="n">
        <v>0.75</v>
      </c>
      <c r="X2431" s="16" t="n">
        <v>0.95</v>
      </c>
      <c r="Y2431" s="16" t="n">
        <v>290.65</v>
      </c>
      <c r="Z2431" s="16" t="n">
        <v>10.35220928666172</v>
      </c>
      <c r="AA2431" s="16" t="n">
        <v>43.95478936246403</v>
      </c>
      <c r="AB2431" s="16" t="n">
        <v>2600</v>
      </c>
      <c r="AC2431" s="16" t="n">
        <v>7.5</v>
      </c>
      <c r="AD2431" s="16" t="n"/>
      <c r="AE2431" s="16" t="n"/>
    </row>
    <row r="2432">
      <c r="A2432" s="16" t="inlineStr">
        <is>
          <t>KF-M05c-0110</t>
        </is>
      </c>
      <c r="B2432" s="16" t="inlineStr">
        <is>
          <t>4.2</t>
        </is>
      </c>
      <c r="C2432" s="16" t="inlineStr">
        <is>
          <t>4.2</t>
        </is>
      </c>
      <c r="D2432" s="16" t="inlineStr">
        <is>
          <t>presiones del profesor, malla T_fuente × ε_cond × clima</t>
        </is>
      </c>
      <c r="E2432" s="16" t="inlineStr">
        <is>
          <t>KF-M05c</t>
        </is>
      </c>
      <c r="F2432" s="16" t="inlineStr">
        <is>
          <t>KF-M05c</t>
        </is>
      </c>
      <c r="G2432" s="16" t="inlineStr">
        <is>
          <t>B10</t>
        </is>
      </c>
      <c r="H2432" s="16" t="inlineStr">
        <is>
          <t>malla</t>
        </is>
      </c>
      <c r="I2432" s="16" t="inlineStr">
        <is>
          <t>N2</t>
        </is>
      </c>
      <c r="J2432" s="16" t="inlineStr">
        <is>
          <t>NO_CONVERGIO</t>
        </is>
      </c>
      <c r="K2432" s="16" t="b">
        <v>0</v>
      </c>
      <c r="L2432" s="16" t="b">
        <v>0</v>
      </c>
      <c r="M2432" s="16" t="b">
        <v>0</v>
      </c>
      <c r="N2432" s="16" t="b">
        <v>0</v>
      </c>
      <c r="O2432" s="16" t="n">
        <v>385</v>
      </c>
      <c r="P2432" s="16" t="n">
        <v>300.032917</v>
      </c>
      <c r="Q2432" s="16" t="n">
        <v>3000</v>
      </c>
      <c r="R2432" s="16" t="n">
        <v>400</v>
      </c>
      <c r="S2432" s="16" t="n">
        <v>0.5</v>
      </c>
      <c r="T2432" s="16" t="n">
        <v>0.85</v>
      </c>
      <c r="U2432" s="16" t="n">
        <v>0.75</v>
      </c>
      <c r="V2432" s="16" t="n">
        <v>0.85</v>
      </c>
      <c r="W2432" s="16" t="n">
        <v>0.75</v>
      </c>
      <c r="X2432" s="16" t="n">
        <v>0.85</v>
      </c>
      <c r="Y2432" s="16" t="n">
        <v>300.032917</v>
      </c>
      <c r="Z2432" s="16" t="n">
        <v>-17.4427347649074</v>
      </c>
      <c r="AA2432" s="16" t="n">
        <v>-14.37099004710249</v>
      </c>
      <c r="AB2432" s="16" t="n">
        <v>2600</v>
      </c>
      <c r="AC2432" s="16" t="n">
        <v>7.5</v>
      </c>
      <c r="AD2432" s="16" t="inlineStr">
        <is>
          <t>N2,O3,O5,C1,C3,C3</t>
        </is>
      </c>
      <c r="AE2432" s="16" t="n"/>
    </row>
    <row r="2433">
      <c r="A2433" s="16" t="inlineStr">
        <is>
          <t>KF-M05c-0111</t>
        </is>
      </c>
      <c r="B2433" s="16" t="inlineStr">
        <is>
          <t>4.2</t>
        </is>
      </c>
      <c r="C2433" s="16" t="inlineStr">
        <is>
          <t>4.2</t>
        </is>
      </c>
      <c r="D2433" s="16" t="inlineStr">
        <is>
          <t>presiones del profesor, malla T_fuente × ε_cond × clima</t>
        </is>
      </c>
      <c r="E2433" s="16" t="inlineStr">
        <is>
          <t>KF-M05c</t>
        </is>
      </c>
      <c r="F2433" s="16" t="inlineStr">
        <is>
          <t>KF-M05c</t>
        </is>
      </c>
      <c r="G2433" s="16" t="inlineStr">
        <is>
          <t>B10</t>
        </is>
      </c>
      <c r="H2433" s="16" t="inlineStr">
        <is>
          <t>malla</t>
        </is>
      </c>
      <c r="I2433" s="16" t="inlineStr">
        <is>
          <t>CORREGIBLE</t>
        </is>
      </c>
      <c r="J2433" s="16" t="inlineStr">
        <is>
          <t>CORREGIBLE</t>
        </is>
      </c>
      <c r="K2433" s="16" t="b">
        <v>1</v>
      </c>
      <c r="L2433" s="16" t="b">
        <v>0</v>
      </c>
      <c r="M2433" s="16" t="b">
        <v>0</v>
      </c>
      <c r="N2433" s="16" t="b">
        <v>0</v>
      </c>
      <c r="O2433" s="16" t="n">
        <v>390</v>
      </c>
      <c r="P2433" s="16" t="n">
        <v>300.032917</v>
      </c>
      <c r="Q2433" s="16" t="n">
        <v>3000</v>
      </c>
      <c r="R2433" s="16" t="n">
        <v>400</v>
      </c>
      <c r="S2433" s="16" t="n">
        <v>0.5</v>
      </c>
      <c r="T2433" s="16" t="n">
        <v>0.85</v>
      </c>
      <c r="U2433" s="16" t="n">
        <v>0.75</v>
      </c>
      <c r="V2433" s="16" t="n">
        <v>0.85</v>
      </c>
      <c r="W2433" s="16" t="n">
        <v>0.75</v>
      </c>
      <c r="X2433" s="16" t="n">
        <v>0.85</v>
      </c>
      <c r="Y2433" s="16" t="n">
        <v>300.032917</v>
      </c>
      <c r="Z2433" s="16" t="n">
        <v>2.57059544313027</v>
      </c>
      <c r="AA2433" s="16" t="n">
        <v>3.78723165168511</v>
      </c>
      <c r="AB2433" s="16" t="n">
        <v>2600</v>
      </c>
      <c r="AC2433" s="16" t="n">
        <v>7.5</v>
      </c>
      <c r="AD2433" s="16" t="inlineStr">
        <is>
          <t>O2</t>
        </is>
      </c>
      <c r="AE2433" s="16" t="n"/>
    </row>
    <row r="2434">
      <c r="A2434" s="16" t="inlineStr">
        <is>
          <t>KF-M05c-0112</t>
        </is>
      </c>
      <c r="B2434" s="16" t="inlineStr">
        <is>
          <t>4.2</t>
        </is>
      </c>
      <c r="C2434" s="16" t="inlineStr">
        <is>
          <t>4.2</t>
        </is>
      </c>
      <c r="D2434" s="16" t="inlineStr">
        <is>
          <t>presiones del profesor, malla T_fuente × ε_cond × clima</t>
        </is>
      </c>
      <c r="E2434" s="16" t="inlineStr">
        <is>
          <t>KF-M05c</t>
        </is>
      </c>
      <c r="F2434" s="16" t="inlineStr">
        <is>
          <t>KF-M05c</t>
        </is>
      </c>
      <c r="G2434" s="16" t="inlineStr">
        <is>
          <t>B10</t>
        </is>
      </c>
      <c r="H2434" s="16" t="inlineStr">
        <is>
          <t>malla</t>
        </is>
      </c>
      <c r="I2434" s="16" t="inlineStr">
        <is>
          <t>INVIABLE</t>
        </is>
      </c>
      <c r="J2434" s="16" t="inlineStr">
        <is>
          <t>INVIABLE</t>
        </is>
      </c>
      <c r="K2434" s="16" t="b">
        <v>1</v>
      </c>
      <c r="L2434" s="16" t="b">
        <v>0</v>
      </c>
      <c r="M2434" s="16" t="b">
        <v>0</v>
      </c>
      <c r="N2434" s="16" t="b">
        <v>0</v>
      </c>
      <c r="O2434" s="16" t="n">
        <v>387.5</v>
      </c>
      <c r="P2434" s="16" t="n">
        <v>300.032917</v>
      </c>
      <c r="Q2434" s="16" t="n">
        <v>3000</v>
      </c>
      <c r="R2434" s="16" t="n">
        <v>400</v>
      </c>
      <c r="S2434" s="16" t="n">
        <v>0.5</v>
      </c>
      <c r="T2434" s="16" t="n">
        <v>0.85</v>
      </c>
      <c r="U2434" s="16" t="n">
        <v>0.75</v>
      </c>
      <c r="V2434" s="16" t="n">
        <v>0.85</v>
      </c>
      <c r="W2434" s="16" t="n">
        <v>0.75</v>
      </c>
      <c r="X2434" s="16" t="n">
        <v>0.85</v>
      </c>
      <c r="Y2434" s="16" t="n">
        <v>300.032917</v>
      </c>
      <c r="Z2434" s="16" t="n">
        <v>-1.72143998139851</v>
      </c>
      <c r="AA2434" s="16" t="n">
        <v>-1.931646151698401</v>
      </c>
      <c r="AB2434" s="16" t="n">
        <v>2600</v>
      </c>
      <c r="AC2434" s="16" t="n">
        <v>7.5</v>
      </c>
      <c r="AD2434" s="16" t="inlineStr">
        <is>
          <t>O3</t>
        </is>
      </c>
      <c r="AE2434" s="16" t="n"/>
    </row>
    <row r="2435">
      <c r="A2435" s="16" t="inlineStr">
        <is>
          <t>KF-M05c-0113</t>
        </is>
      </c>
      <c r="B2435" s="16" t="inlineStr">
        <is>
          <t>4.2</t>
        </is>
      </c>
      <c r="C2435" s="16" t="inlineStr">
        <is>
          <t>4.2</t>
        </is>
      </c>
      <c r="D2435" s="16" t="inlineStr">
        <is>
          <t>presiones del profesor, malla T_fuente × ε_cond × clima</t>
        </is>
      </c>
      <c r="E2435" s="16" t="inlineStr">
        <is>
          <t>KF-M05c</t>
        </is>
      </c>
      <c r="F2435" s="16" t="inlineStr">
        <is>
          <t>KF-M05c</t>
        </is>
      </c>
      <c r="G2435" s="16" t="inlineStr">
        <is>
          <t>B10</t>
        </is>
      </c>
      <c r="H2435" s="16" t="inlineStr">
        <is>
          <t>malla</t>
        </is>
      </c>
      <c r="I2435" s="16" t="inlineStr">
        <is>
          <t>CORREGIBLE</t>
        </is>
      </c>
      <c r="J2435" s="16" t="inlineStr">
        <is>
          <t>CORREGIBLE</t>
        </is>
      </c>
      <c r="K2435" s="16" t="b">
        <v>1</v>
      </c>
      <c r="L2435" s="16" t="b">
        <v>0</v>
      </c>
      <c r="M2435" s="16" t="b">
        <v>0</v>
      </c>
      <c r="N2435" s="16" t="b">
        <v>0</v>
      </c>
      <c r="O2435" s="16" t="n">
        <v>392.5</v>
      </c>
      <c r="P2435" s="16" t="n">
        <v>300.032917</v>
      </c>
      <c r="Q2435" s="16" t="n">
        <v>3000</v>
      </c>
      <c r="R2435" s="16" t="n">
        <v>400</v>
      </c>
      <c r="S2435" s="16" t="n">
        <v>0.5</v>
      </c>
      <c r="T2435" s="16" t="n">
        <v>0.85</v>
      </c>
      <c r="U2435" s="16" t="n">
        <v>0.75</v>
      </c>
      <c r="V2435" s="16" t="n">
        <v>0.85</v>
      </c>
      <c r="W2435" s="16" t="n">
        <v>0.75</v>
      </c>
      <c r="X2435" s="16" t="n">
        <v>0.85</v>
      </c>
      <c r="Y2435" s="16" t="n">
        <v>300.032917</v>
      </c>
      <c r="Z2435" s="16" t="n">
        <v>5.12419261224582</v>
      </c>
      <c r="AA2435" s="16" t="n">
        <v>9.274117509264082</v>
      </c>
      <c r="AB2435" s="16" t="n">
        <v>2600</v>
      </c>
      <c r="AC2435" s="16" t="n">
        <v>7.5</v>
      </c>
      <c r="AD2435" s="16" t="inlineStr">
        <is>
          <t>O2</t>
        </is>
      </c>
      <c r="AE2435" s="16" t="n"/>
    </row>
    <row r="2436">
      <c r="A2436" s="16" t="inlineStr">
        <is>
          <t>KF-M05c-0114</t>
        </is>
      </c>
      <c r="B2436" s="16" t="inlineStr">
        <is>
          <t>4.2</t>
        </is>
      </c>
      <c r="C2436" s="16" t="inlineStr">
        <is>
          <t>4.2</t>
        </is>
      </c>
      <c r="D2436" s="16" t="inlineStr">
        <is>
          <t>presiones del profesor, malla T_fuente × ε_cond × clima</t>
        </is>
      </c>
      <c r="E2436" s="16" t="inlineStr">
        <is>
          <t>KF-M05c</t>
        </is>
      </c>
      <c r="F2436" s="16" t="inlineStr">
        <is>
          <t>KF-M05c</t>
        </is>
      </c>
      <c r="G2436" s="16" t="inlineStr">
        <is>
          <t>B10</t>
        </is>
      </c>
      <c r="H2436" s="16" t="inlineStr">
        <is>
          <t>malla</t>
        </is>
      </c>
      <c r="I2436" s="16" t="inlineStr">
        <is>
          <t>CORREGIBLE</t>
        </is>
      </c>
      <c r="J2436" s="16" t="inlineStr">
        <is>
          <t>CORREGIBLE</t>
        </is>
      </c>
      <c r="K2436" s="16" t="b">
        <v>1</v>
      </c>
      <c r="L2436" s="16" t="b">
        <v>0</v>
      </c>
      <c r="M2436" s="16" t="b">
        <v>0</v>
      </c>
      <c r="N2436" s="16" t="b">
        <v>0</v>
      </c>
      <c r="O2436" s="16" t="n">
        <v>395</v>
      </c>
      <c r="P2436" s="16" t="n">
        <v>300.032917</v>
      </c>
      <c r="Q2436" s="16" t="n">
        <v>3000</v>
      </c>
      <c r="R2436" s="16" t="n">
        <v>400</v>
      </c>
      <c r="S2436" s="16" t="n">
        <v>0.5</v>
      </c>
      <c r="T2436" s="16" t="n">
        <v>0.85</v>
      </c>
      <c r="U2436" s="16" t="n">
        <v>0.75</v>
      </c>
      <c r="V2436" s="16" t="n">
        <v>0.85</v>
      </c>
      <c r="W2436" s="16" t="n">
        <v>0.75</v>
      </c>
      <c r="X2436" s="16" t="n">
        <v>0.85</v>
      </c>
      <c r="Y2436" s="16" t="n">
        <v>300.032917</v>
      </c>
      <c r="Z2436" s="16" t="n">
        <v>6.82585316938624</v>
      </c>
      <c r="AA2436" s="16" t="n">
        <v>14.57052191913538</v>
      </c>
      <c r="AB2436" s="16" t="n">
        <v>2600</v>
      </c>
      <c r="AC2436" s="16" t="n">
        <v>7.5</v>
      </c>
      <c r="AD2436" s="16" t="inlineStr">
        <is>
          <t>O2</t>
        </is>
      </c>
      <c r="AE2436" s="16" t="n"/>
    </row>
    <row r="2437">
      <c r="A2437" s="16" t="inlineStr">
        <is>
          <t>KF-M05c-0115</t>
        </is>
      </c>
      <c r="B2437" s="16" t="inlineStr">
        <is>
          <t>4.2</t>
        </is>
      </c>
      <c r="C2437" s="16" t="inlineStr">
        <is>
          <t>4.2</t>
        </is>
      </c>
      <c r="D2437" s="16" t="inlineStr">
        <is>
          <t>presiones del profesor, malla T_fuente × ε_cond × clima</t>
        </is>
      </c>
      <c r="E2437" s="16" t="inlineStr">
        <is>
          <t>KF-M05c</t>
        </is>
      </c>
      <c r="F2437" s="16" t="inlineStr">
        <is>
          <t>KF-M05c</t>
        </is>
      </c>
      <c r="G2437" s="16" t="inlineStr">
        <is>
          <t>B10</t>
        </is>
      </c>
      <c r="H2437" s="16" t="inlineStr">
        <is>
          <t>malla</t>
        </is>
      </c>
      <c r="I2437" s="16" t="inlineStr">
        <is>
          <t>CORREGIBLE</t>
        </is>
      </c>
      <c r="J2437" s="16" t="inlineStr">
        <is>
          <t>CORREGIBLE</t>
        </is>
      </c>
      <c r="K2437" s="16" t="b">
        <v>1</v>
      </c>
      <c r="L2437" s="16" t="b">
        <v>0</v>
      </c>
      <c r="M2437" s="16" t="b">
        <v>0</v>
      </c>
      <c r="N2437" s="16" t="b">
        <v>0</v>
      </c>
      <c r="O2437" s="16" t="n">
        <v>397.5</v>
      </c>
      <c r="P2437" s="16" t="n">
        <v>300.032917</v>
      </c>
      <c r="Q2437" s="16" t="n">
        <v>3000</v>
      </c>
      <c r="R2437" s="16" t="n">
        <v>400</v>
      </c>
      <c r="S2437" s="16" t="n">
        <v>0.5</v>
      </c>
      <c r="T2437" s="16" t="n">
        <v>0.85</v>
      </c>
      <c r="U2437" s="16" t="n">
        <v>0.75</v>
      </c>
      <c r="V2437" s="16" t="n">
        <v>0.85</v>
      </c>
      <c r="W2437" s="16" t="n">
        <v>0.75</v>
      </c>
      <c r="X2437" s="16" t="n">
        <v>0.85</v>
      </c>
      <c r="Y2437" s="16" t="n">
        <v>300.032917</v>
      </c>
      <c r="Z2437" s="16" t="n">
        <v>8.04584730801931</v>
      </c>
      <c r="AA2437" s="16" t="n">
        <v>19.71145173153341</v>
      </c>
      <c r="AB2437" s="16" t="n">
        <v>2600</v>
      </c>
      <c r="AC2437" s="16" t="n">
        <v>7.5</v>
      </c>
      <c r="AD2437" s="16" t="inlineStr">
        <is>
          <t>O2</t>
        </is>
      </c>
      <c r="AE2437" s="16" t="n"/>
    </row>
    <row r="2438">
      <c r="A2438" s="16" t="inlineStr">
        <is>
          <t>KF-M05c-0116</t>
        </is>
      </c>
      <c r="B2438" s="16" t="inlineStr">
        <is>
          <t>4.2</t>
        </is>
      </c>
      <c r="C2438" s="16" t="inlineStr">
        <is>
          <t>4.2</t>
        </is>
      </c>
      <c r="D2438" s="16" t="inlineStr">
        <is>
          <t>presiones del profesor, malla T_fuente × ε_cond × clima</t>
        </is>
      </c>
      <c r="E2438" s="16" t="inlineStr">
        <is>
          <t>KF-M05c</t>
        </is>
      </c>
      <c r="F2438" s="16" t="inlineStr">
        <is>
          <t>KF-M05c</t>
        </is>
      </c>
      <c r="G2438" s="16" t="inlineStr">
        <is>
          <t>B10</t>
        </is>
      </c>
      <c r="H2438" s="16" t="inlineStr">
        <is>
          <t>malla</t>
        </is>
      </c>
      <c r="I2438" s="16" t="inlineStr">
        <is>
          <t>CORREGIBLE</t>
        </is>
      </c>
      <c r="J2438" s="16" t="inlineStr">
        <is>
          <t>CORREGIBLE</t>
        </is>
      </c>
      <c r="K2438" s="16" t="b">
        <v>1</v>
      </c>
      <c r="L2438" s="16" t="b">
        <v>0</v>
      </c>
      <c r="M2438" s="16" t="b">
        <v>0</v>
      </c>
      <c r="N2438" s="16" t="b">
        <v>0</v>
      </c>
      <c r="O2438" s="16" t="n">
        <v>400</v>
      </c>
      <c r="P2438" s="16" t="n">
        <v>300.032917</v>
      </c>
      <c r="Q2438" s="16" t="n">
        <v>3000</v>
      </c>
      <c r="R2438" s="16" t="n">
        <v>400</v>
      </c>
      <c r="S2438" s="16" t="n">
        <v>0.5</v>
      </c>
      <c r="T2438" s="16" t="n">
        <v>0.85</v>
      </c>
      <c r="U2438" s="16" t="n">
        <v>0.75</v>
      </c>
      <c r="V2438" s="16" t="n">
        <v>0.85</v>
      </c>
      <c r="W2438" s="16" t="n">
        <v>0.75</v>
      </c>
      <c r="X2438" s="16" t="n">
        <v>0.85</v>
      </c>
      <c r="Y2438" s="16" t="n">
        <v>300.032917</v>
      </c>
      <c r="Z2438" s="16" t="n">
        <v>8.966163738086539</v>
      </c>
      <c r="AA2438" s="16" t="n">
        <v>24.72694734919684</v>
      </c>
      <c r="AB2438" s="16" t="n">
        <v>2600</v>
      </c>
      <c r="AC2438" s="16" t="n">
        <v>7.5</v>
      </c>
      <c r="AD2438" s="16" t="inlineStr">
        <is>
          <t>O2</t>
        </is>
      </c>
      <c r="AE2438" s="16" t="n"/>
    </row>
    <row r="2439">
      <c r="A2439" s="16" t="inlineStr">
        <is>
          <t>KF-M05c-0117</t>
        </is>
      </c>
      <c r="B2439" s="16" t="inlineStr">
        <is>
          <t>4.2</t>
        </is>
      </c>
      <c r="C2439" s="16" t="inlineStr">
        <is>
          <t>4.2</t>
        </is>
      </c>
      <c r="D2439" s="16" t="inlineStr">
        <is>
          <t>presiones del profesor, malla T_fuente × ε_cond × clima</t>
        </is>
      </c>
      <c r="E2439" s="16" t="inlineStr">
        <is>
          <t>KF-M05c</t>
        </is>
      </c>
      <c r="F2439" s="16" t="inlineStr">
        <is>
          <t>KF-M05c</t>
        </is>
      </c>
      <c r="G2439" s="16" t="inlineStr">
        <is>
          <t>B10</t>
        </is>
      </c>
      <c r="H2439" s="16" t="inlineStr">
        <is>
          <t>malla</t>
        </is>
      </c>
      <c r="I2439" s="16" t="inlineStr">
        <is>
          <t>CORREGIBLE</t>
        </is>
      </c>
      <c r="J2439" s="16" t="inlineStr">
        <is>
          <t>CORREGIBLE</t>
        </is>
      </c>
      <c r="K2439" s="16" t="b">
        <v>1</v>
      </c>
      <c r="L2439" s="16" t="b">
        <v>0</v>
      </c>
      <c r="M2439" s="16" t="b">
        <v>0</v>
      </c>
      <c r="N2439" s="16" t="b">
        <v>0</v>
      </c>
      <c r="O2439" s="16" t="n">
        <v>407.5</v>
      </c>
      <c r="P2439" s="16" t="n">
        <v>300.032917</v>
      </c>
      <c r="Q2439" s="16" t="n">
        <v>3000</v>
      </c>
      <c r="R2439" s="16" t="n">
        <v>400</v>
      </c>
      <c r="S2439" s="16" t="n">
        <v>0.5</v>
      </c>
      <c r="T2439" s="16" t="n">
        <v>0.85</v>
      </c>
      <c r="U2439" s="16" t="n">
        <v>0.75</v>
      </c>
      <c r="V2439" s="16" t="n">
        <v>0.85</v>
      </c>
      <c r="W2439" s="16" t="n">
        <v>0.75</v>
      </c>
      <c r="X2439" s="16" t="n">
        <v>0.85</v>
      </c>
      <c r="Y2439" s="16" t="n">
        <v>300.032917</v>
      </c>
      <c r="Z2439" s="16" t="n">
        <v>10.74402461100542</v>
      </c>
      <c r="AA2439" s="16" t="n">
        <v>39.27206021588064</v>
      </c>
      <c r="AB2439" s="16" t="n">
        <v>2600</v>
      </c>
      <c r="AC2439" s="16" t="n">
        <v>7.5</v>
      </c>
      <c r="AD2439" s="16" t="inlineStr">
        <is>
          <t>O2</t>
        </is>
      </c>
      <c r="AE2439" s="16" t="n"/>
    </row>
    <row r="2440">
      <c r="A2440" s="16" t="inlineStr">
        <is>
          <t>KF-M05c-0118</t>
        </is>
      </c>
      <c r="B2440" s="16" t="inlineStr">
        <is>
          <t>4.2</t>
        </is>
      </c>
      <c r="C2440" s="16" t="inlineStr">
        <is>
          <t>4.2</t>
        </is>
      </c>
      <c r="D2440" s="16" t="inlineStr">
        <is>
          <t>presiones del profesor, malla T_fuente × ε_cond × clima</t>
        </is>
      </c>
      <c r="E2440" s="16" t="inlineStr">
        <is>
          <t>KF-M05c</t>
        </is>
      </c>
      <c r="F2440" s="16" t="inlineStr">
        <is>
          <t>KF-M05c</t>
        </is>
      </c>
      <c r="G2440" s="16" t="inlineStr">
        <is>
          <t>B10</t>
        </is>
      </c>
      <c r="H2440" s="16" t="inlineStr">
        <is>
          <t>malla</t>
        </is>
      </c>
      <c r="I2440" s="16" t="inlineStr">
        <is>
          <t>CORREGIBLE</t>
        </is>
      </c>
      <c r="J2440" s="16" t="inlineStr">
        <is>
          <t>CORREGIBLE</t>
        </is>
      </c>
      <c r="K2440" s="16" t="b">
        <v>1</v>
      </c>
      <c r="L2440" s="16" t="b">
        <v>0</v>
      </c>
      <c r="M2440" s="16" t="b">
        <v>0</v>
      </c>
      <c r="N2440" s="16" t="b">
        <v>0</v>
      </c>
      <c r="O2440" s="16" t="n">
        <v>402.5</v>
      </c>
      <c r="P2440" s="16" t="n">
        <v>300.032917</v>
      </c>
      <c r="Q2440" s="16" t="n">
        <v>3000</v>
      </c>
      <c r="R2440" s="16" t="n">
        <v>400</v>
      </c>
      <c r="S2440" s="16" t="n">
        <v>0.5</v>
      </c>
      <c r="T2440" s="16" t="n">
        <v>0.85</v>
      </c>
      <c r="U2440" s="16" t="n">
        <v>0.75</v>
      </c>
      <c r="V2440" s="16" t="n">
        <v>0.85</v>
      </c>
      <c r="W2440" s="16" t="n">
        <v>0.75</v>
      </c>
      <c r="X2440" s="16" t="n">
        <v>0.85</v>
      </c>
      <c r="Y2440" s="16" t="n">
        <v>300.032917</v>
      </c>
      <c r="Z2440" s="16" t="n">
        <v>9.686678225135273</v>
      </c>
      <c r="AA2440" s="16" t="n">
        <v>29.64339411042131</v>
      </c>
      <c r="AB2440" s="16" t="n">
        <v>2600</v>
      </c>
      <c r="AC2440" s="16" t="n">
        <v>7.5</v>
      </c>
      <c r="AD2440" s="16" t="inlineStr">
        <is>
          <t>O2</t>
        </is>
      </c>
      <c r="AE2440" s="16" t="n"/>
    </row>
    <row r="2441">
      <c r="A2441" s="16" t="inlineStr">
        <is>
          <t>KF-M05c-0119</t>
        </is>
      </c>
      <c r="B2441" s="16" t="inlineStr">
        <is>
          <t>4.2</t>
        </is>
      </c>
      <c r="C2441" s="16" t="inlineStr">
        <is>
          <t>4.2</t>
        </is>
      </c>
      <c r="D2441" s="16" t="inlineStr">
        <is>
          <t>presiones del profesor, malla T_fuente × ε_cond × clima</t>
        </is>
      </c>
      <c r="E2441" s="16" t="inlineStr">
        <is>
          <t>KF-M05c</t>
        </is>
      </c>
      <c r="F2441" s="16" t="inlineStr">
        <is>
          <t>KF-M05c</t>
        </is>
      </c>
      <c r="G2441" s="16" t="inlineStr">
        <is>
          <t>B10</t>
        </is>
      </c>
      <c r="H2441" s="16" t="inlineStr">
        <is>
          <t>malla</t>
        </is>
      </c>
      <c r="I2441" s="16" t="inlineStr">
        <is>
          <t>CORREGIBLE</t>
        </is>
      </c>
      <c r="J2441" s="16" t="inlineStr">
        <is>
          <t>CORREGIBLE</t>
        </is>
      </c>
      <c r="K2441" s="16" t="b">
        <v>1</v>
      </c>
      <c r="L2441" s="16" t="b">
        <v>0</v>
      </c>
      <c r="M2441" s="16" t="b">
        <v>0</v>
      </c>
      <c r="N2441" s="16" t="b">
        <v>0</v>
      </c>
      <c r="O2441" s="16" t="n">
        <v>405</v>
      </c>
      <c r="P2441" s="16" t="n">
        <v>300.032917</v>
      </c>
      <c r="Q2441" s="16" t="n">
        <v>3000</v>
      </c>
      <c r="R2441" s="16" t="n">
        <v>400</v>
      </c>
      <c r="S2441" s="16" t="n">
        <v>0.5</v>
      </c>
      <c r="T2441" s="16" t="n">
        <v>0.85</v>
      </c>
      <c r="U2441" s="16" t="n">
        <v>0.75</v>
      </c>
      <c r="V2441" s="16" t="n">
        <v>0.85</v>
      </c>
      <c r="W2441" s="16" t="n">
        <v>0.75</v>
      </c>
      <c r="X2441" s="16" t="n">
        <v>0.85</v>
      </c>
      <c r="Y2441" s="16" t="n">
        <v>300.032917</v>
      </c>
      <c r="Z2441" s="16" t="n">
        <v>10.26677825002931</v>
      </c>
      <c r="AA2441" s="16" t="n">
        <v>34.48448766706491</v>
      </c>
      <c r="AB2441" s="16" t="n">
        <v>2600</v>
      </c>
      <c r="AC2441" s="16" t="n">
        <v>7.5</v>
      </c>
      <c r="AD2441" s="16" t="inlineStr">
        <is>
          <t>O2</t>
        </is>
      </c>
      <c r="AE2441" s="16" t="n"/>
    </row>
    <row r="2442">
      <c r="A2442" s="16" t="inlineStr">
        <is>
          <t>KF-M05c-0120</t>
        </is>
      </c>
      <c r="B2442" s="16" t="inlineStr">
        <is>
          <t>4.2</t>
        </is>
      </c>
      <c r="C2442" s="16" t="inlineStr">
        <is>
          <t>4.2</t>
        </is>
      </c>
      <c r="D2442" s="16" t="inlineStr">
        <is>
          <t>presiones del profesor, malla T_fuente × ε_cond × clima</t>
        </is>
      </c>
      <c r="E2442" s="16" t="inlineStr">
        <is>
          <t>KF-M05c</t>
        </is>
      </c>
      <c r="F2442" s="16" t="inlineStr">
        <is>
          <t>KF-M05c</t>
        </is>
      </c>
      <c r="G2442" s="16" t="inlineStr">
        <is>
          <t>B10</t>
        </is>
      </c>
      <c r="H2442" s="16" t="inlineStr">
        <is>
          <t>malla</t>
        </is>
      </c>
      <c r="I2442" s="16" t="inlineStr">
        <is>
          <t>CORREGIBLE</t>
        </is>
      </c>
      <c r="J2442" s="16" t="inlineStr">
        <is>
          <t>CORREGIBLE</t>
        </is>
      </c>
      <c r="K2442" s="16" t="b">
        <v>1</v>
      </c>
      <c r="L2442" s="16" t="b">
        <v>0</v>
      </c>
      <c r="M2442" s="16" t="b">
        <v>0</v>
      </c>
      <c r="N2442" s="16" t="b">
        <v>0</v>
      </c>
      <c r="O2442" s="16" t="n">
        <v>410</v>
      </c>
      <c r="P2442" s="16" t="n">
        <v>300.032917</v>
      </c>
      <c r="Q2442" s="16" t="n">
        <v>3000</v>
      </c>
      <c r="R2442" s="16" t="n">
        <v>400</v>
      </c>
      <c r="S2442" s="16" t="n">
        <v>0.5</v>
      </c>
      <c r="T2442" s="16" t="n">
        <v>0.85</v>
      </c>
      <c r="U2442" s="16" t="n">
        <v>0.75</v>
      </c>
      <c r="V2442" s="16" t="n">
        <v>0.85</v>
      </c>
      <c r="W2442" s="16" t="n">
        <v>0.75</v>
      </c>
      <c r="X2442" s="16" t="n">
        <v>0.85</v>
      </c>
      <c r="Y2442" s="16" t="n">
        <v>300.032917</v>
      </c>
      <c r="Z2442" s="16" t="n">
        <v>11.14335337860045</v>
      </c>
      <c r="AA2442" s="16" t="n">
        <v>44.02665454489584</v>
      </c>
      <c r="AB2442" s="16" t="n">
        <v>2600</v>
      </c>
      <c r="AC2442" s="16" t="n">
        <v>7.5</v>
      </c>
      <c r="AD2442" s="16" t="inlineStr">
        <is>
          <t>O2</t>
        </is>
      </c>
      <c r="AE2442" s="16" t="n"/>
    </row>
    <row r="2443">
      <c r="A2443" s="16" t="inlineStr">
        <is>
          <t>KF-M05c-0121</t>
        </is>
      </c>
      <c r="B2443" s="16" t="inlineStr">
        <is>
          <t>4.2</t>
        </is>
      </c>
      <c r="C2443" s="16" t="inlineStr">
        <is>
          <t>4.2</t>
        </is>
      </c>
      <c r="D2443" s="16" t="inlineStr">
        <is>
          <t>presiones del profesor, malla T_fuente × ε_cond × clima</t>
        </is>
      </c>
      <c r="E2443" s="16" t="inlineStr">
        <is>
          <t>KF-M05c</t>
        </is>
      </c>
      <c r="F2443" s="16" t="inlineStr">
        <is>
          <t>KF-M05c</t>
        </is>
      </c>
      <c r="G2443" s="16" t="inlineStr">
        <is>
          <t>B10</t>
        </is>
      </c>
      <c r="H2443" s="16" t="inlineStr">
        <is>
          <t>malla</t>
        </is>
      </c>
      <c r="I2443" s="16" t="inlineStr">
        <is>
          <t>N2</t>
        </is>
      </c>
      <c r="J2443" s="16" t="inlineStr">
        <is>
          <t>NO_CONVERGIO</t>
        </is>
      </c>
      <c r="K2443" s="16" t="b">
        <v>0</v>
      </c>
      <c r="L2443" s="16" t="b">
        <v>0</v>
      </c>
      <c r="M2443" s="16" t="b">
        <v>0</v>
      </c>
      <c r="N2443" s="16" t="b">
        <v>0</v>
      </c>
      <c r="O2443" s="16" t="n">
        <v>385</v>
      </c>
      <c r="P2443" s="16" t="n">
        <v>300.032917</v>
      </c>
      <c r="Q2443" s="16" t="n">
        <v>3000</v>
      </c>
      <c r="R2443" s="16" t="n">
        <v>400</v>
      </c>
      <c r="S2443" s="16" t="n">
        <v>0.5</v>
      </c>
      <c r="T2443" s="16" t="n">
        <v>0.85</v>
      </c>
      <c r="U2443" s="16" t="n">
        <v>0.75</v>
      </c>
      <c r="V2443" s="16" t="n">
        <v>0.85</v>
      </c>
      <c r="W2443" s="16" t="n">
        <v>0.75</v>
      </c>
      <c r="X2443" s="16" t="n">
        <v>0.875</v>
      </c>
      <c r="Y2443" s="16" t="n">
        <v>300.032917</v>
      </c>
      <c r="Z2443" s="16" t="n">
        <v>-17.41654502278679</v>
      </c>
      <c r="AA2443" s="16" t="n">
        <v>-14.40135992294992</v>
      </c>
      <c r="AB2443" s="16" t="n">
        <v>2600</v>
      </c>
      <c r="AC2443" s="16" t="n">
        <v>7.5</v>
      </c>
      <c r="AD2443" s="16" t="inlineStr">
        <is>
          <t>N2,O3,O5,C1,C3,C3</t>
        </is>
      </c>
      <c r="AE2443" s="16" t="n"/>
    </row>
    <row r="2444">
      <c r="A2444" s="16" t="inlineStr">
        <is>
          <t>KF-M05c-0122</t>
        </is>
      </c>
      <c r="B2444" s="16" t="inlineStr">
        <is>
          <t>4.2</t>
        </is>
      </c>
      <c r="C2444" s="16" t="inlineStr">
        <is>
          <t>4.2</t>
        </is>
      </c>
      <c r="D2444" s="16" t="inlineStr">
        <is>
          <t>presiones del profesor, malla T_fuente × ε_cond × clima</t>
        </is>
      </c>
      <c r="E2444" s="16" t="inlineStr">
        <is>
          <t>KF-M05c</t>
        </is>
      </c>
      <c r="F2444" s="16" t="inlineStr">
        <is>
          <t>KF-M05c</t>
        </is>
      </c>
      <c r="G2444" s="16" t="inlineStr">
        <is>
          <t>B10</t>
        </is>
      </c>
      <c r="H2444" s="16" t="inlineStr">
        <is>
          <t>malla</t>
        </is>
      </c>
      <c r="I2444" s="16" t="inlineStr">
        <is>
          <t>KALINA</t>
        </is>
      </c>
      <c r="J2444" s="16" t="inlineStr">
        <is>
          <t>KALINA</t>
        </is>
      </c>
      <c r="K2444" s="16" t="b">
        <v>1</v>
      </c>
      <c r="L2444" s="16" t="b">
        <v>1</v>
      </c>
      <c r="M2444" s="16" t="b">
        <v>0</v>
      </c>
      <c r="N2444" s="16" t="b">
        <v>0</v>
      </c>
      <c r="O2444" s="16" t="n">
        <v>390</v>
      </c>
      <c r="P2444" s="16" t="n">
        <v>300.032917</v>
      </c>
      <c r="Q2444" s="16" t="n">
        <v>3000</v>
      </c>
      <c r="R2444" s="16" t="n">
        <v>400</v>
      </c>
      <c r="S2444" s="16" t="n">
        <v>0.5</v>
      </c>
      <c r="T2444" s="16" t="n">
        <v>0.85</v>
      </c>
      <c r="U2444" s="16" t="n">
        <v>0.75</v>
      </c>
      <c r="V2444" s="16" t="n">
        <v>0.85</v>
      </c>
      <c r="W2444" s="16" t="n">
        <v>0.75</v>
      </c>
      <c r="X2444" s="16" t="n">
        <v>0.875</v>
      </c>
      <c r="Y2444" s="16" t="n">
        <v>300.032917</v>
      </c>
      <c r="Z2444" s="16" t="n">
        <v>2.53932312022593</v>
      </c>
      <c r="AA2444" s="16" t="n">
        <v>3.769197404130745</v>
      </c>
      <c r="AB2444" s="16" t="n">
        <v>2600</v>
      </c>
      <c r="AC2444" s="16" t="n">
        <v>7.5</v>
      </c>
      <c r="AD2444" s="16" t="n"/>
      <c r="AE2444" s="16" t="n"/>
    </row>
    <row r="2445">
      <c r="A2445" s="16" t="inlineStr">
        <is>
          <t>KF-M05c-0123</t>
        </is>
      </c>
      <c r="B2445" s="16" t="inlineStr">
        <is>
          <t>4.2</t>
        </is>
      </c>
      <c r="C2445" s="16" t="inlineStr">
        <is>
          <t>4.2</t>
        </is>
      </c>
      <c r="D2445" s="16" t="inlineStr">
        <is>
          <t>presiones del profesor, malla T_fuente × ε_cond × clima</t>
        </is>
      </c>
      <c r="E2445" s="16" t="inlineStr">
        <is>
          <t>KF-M05c</t>
        </is>
      </c>
      <c r="F2445" s="16" t="inlineStr">
        <is>
          <t>KF-M05c</t>
        </is>
      </c>
      <c r="G2445" s="16" t="inlineStr">
        <is>
          <t>B10</t>
        </is>
      </c>
      <c r="H2445" s="16" t="inlineStr">
        <is>
          <t>malla</t>
        </is>
      </c>
      <c r="I2445" s="16" t="inlineStr">
        <is>
          <t>INVIABLE</t>
        </is>
      </c>
      <c r="J2445" s="16" t="inlineStr">
        <is>
          <t>INVIABLE</t>
        </is>
      </c>
      <c r="K2445" s="16" t="b">
        <v>1</v>
      </c>
      <c r="L2445" s="16" t="b">
        <v>0</v>
      </c>
      <c r="M2445" s="16" t="b">
        <v>0</v>
      </c>
      <c r="N2445" s="16" t="b">
        <v>0</v>
      </c>
      <c r="O2445" s="16" t="n">
        <v>387.5</v>
      </c>
      <c r="P2445" s="16" t="n">
        <v>300.032917</v>
      </c>
      <c r="Q2445" s="16" t="n">
        <v>3000</v>
      </c>
      <c r="R2445" s="16" t="n">
        <v>400</v>
      </c>
      <c r="S2445" s="16" t="n">
        <v>0.5</v>
      </c>
      <c r="T2445" s="16" t="n">
        <v>0.85</v>
      </c>
      <c r="U2445" s="16" t="n">
        <v>0.75</v>
      </c>
      <c r="V2445" s="16" t="n">
        <v>0.85</v>
      </c>
      <c r="W2445" s="16" t="n">
        <v>0.75</v>
      </c>
      <c r="X2445" s="16" t="n">
        <v>0.875</v>
      </c>
      <c r="Y2445" s="16" t="n">
        <v>300.032917</v>
      </c>
      <c r="Z2445" s="16" t="n">
        <v>-1.72548853069321</v>
      </c>
      <c r="AA2445" s="16" t="n">
        <v>-1.950261848976155</v>
      </c>
      <c r="AB2445" s="16" t="n">
        <v>2600</v>
      </c>
      <c r="AC2445" s="16" t="n">
        <v>7.5</v>
      </c>
      <c r="AD2445" s="16" t="inlineStr">
        <is>
          <t>O3</t>
        </is>
      </c>
      <c r="AE2445" s="16" t="n"/>
    </row>
    <row r="2446">
      <c r="A2446" s="16" t="inlineStr">
        <is>
          <t>KF-M05c-0124</t>
        </is>
      </c>
      <c r="B2446" s="16" t="inlineStr">
        <is>
          <t>4.2</t>
        </is>
      </c>
      <c r="C2446" s="16" t="inlineStr">
        <is>
          <t>4.2</t>
        </is>
      </c>
      <c r="D2446" s="16" t="inlineStr">
        <is>
          <t>presiones del profesor, malla T_fuente × ε_cond × clima</t>
        </is>
      </c>
      <c r="E2446" s="16" t="inlineStr">
        <is>
          <t>KF-M05c</t>
        </is>
      </c>
      <c r="F2446" s="16" t="inlineStr">
        <is>
          <t>KF-M05c</t>
        </is>
      </c>
      <c r="G2446" s="16" t="inlineStr">
        <is>
          <t>B10</t>
        </is>
      </c>
      <c r="H2446" s="16" t="inlineStr">
        <is>
          <t>malla</t>
        </is>
      </c>
      <c r="I2446" s="16" t="inlineStr">
        <is>
          <t>CORREGIBLE</t>
        </is>
      </c>
      <c r="J2446" s="16" t="inlineStr">
        <is>
          <t>CORREGIBLE</t>
        </is>
      </c>
      <c r="K2446" s="16" t="b">
        <v>1</v>
      </c>
      <c r="L2446" s="16" t="b">
        <v>0</v>
      </c>
      <c r="M2446" s="16" t="b">
        <v>0</v>
      </c>
      <c r="N2446" s="16" t="b">
        <v>0</v>
      </c>
      <c r="O2446" s="16" t="n">
        <v>392.5</v>
      </c>
      <c r="P2446" s="16" t="n">
        <v>300.032917</v>
      </c>
      <c r="Q2446" s="16" t="n">
        <v>3000</v>
      </c>
      <c r="R2446" s="16" t="n">
        <v>400</v>
      </c>
      <c r="S2446" s="16" t="n">
        <v>0.5</v>
      </c>
      <c r="T2446" s="16" t="n">
        <v>0.85</v>
      </c>
      <c r="U2446" s="16" t="n">
        <v>0.75</v>
      </c>
      <c r="V2446" s="16" t="n">
        <v>0.85</v>
      </c>
      <c r="W2446" s="16" t="n">
        <v>0.75</v>
      </c>
      <c r="X2446" s="16" t="n">
        <v>0.875</v>
      </c>
      <c r="Y2446" s="16" t="n">
        <v>300.032917</v>
      </c>
      <c r="Z2446" s="16" t="n">
        <v>5.08200249901325</v>
      </c>
      <c r="AA2446" s="16" t="n">
        <v>9.269354906916281</v>
      </c>
      <c r="AB2446" s="16" t="n">
        <v>2600</v>
      </c>
      <c r="AC2446" s="16" t="n">
        <v>7.5</v>
      </c>
      <c r="AD2446" s="16" t="inlineStr">
        <is>
          <t>O2</t>
        </is>
      </c>
      <c r="AE2446" s="16" t="n"/>
    </row>
    <row r="2447">
      <c r="A2447" s="16" t="inlineStr">
        <is>
          <t>KF-M05c-0125</t>
        </is>
      </c>
      <c r="B2447" s="16" t="inlineStr">
        <is>
          <t>4.2</t>
        </is>
      </c>
      <c r="C2447" s="16" t="inlineStr">
        <is>
          <t>4.2</t>
        </is>
      </c>
      <c r="D2447" s="16" t="inlineStr">
        <is>
          <t>presiones del profesor, malla T_fuente × ε_cond × clima</t>
        </is>
      </c>
      <c r="E2447" s="16" t="inlineStr">
        <is>
          <t>KF-M05c</t>
        </is>
      </c>
      <c r="F2447" s="16" t="inlineStr">
        <is>
          <t>KF-M05c</t>
        </is>
      </c>
      <c r="G2447" s="16" t="inlineStr">
        <is>
          <t>B10</t>
        </is>
      </c>
      <c r="H2447" s="16" t="inlineStr">
        <is>
          <t>malla</t>
        </is>
      </c>
      <c r="I2447" s="16" t="inlineStr">
        <is>
          <t>CORREGIBLE</t>
        </is>
      </c>
      <c r="J2447" s="16" t="inlineStr">
        <is>
          <t>CORREGIBLE</t>
        </is>
      </c>
      <c r="K2447" s="16" t="b">
        <v>1</v>
      </c>
      <c r="L2447" s="16" t="b">
        <v>0</v>
      </c>
      <c r="M2447" s="16" t="b">
        <v>0</v>
      </c>
      <c r="N2447" s="16" t="b">
        <v>0</v>
      </c>
      <c r="O2447" s="16" t="n">
        <v>395</v>
      </c>
      <c r="P2447" s="16" t="n">
        <v>300.032917</v>
      </c>
      <c r="Q2447" s="16" t="n">
        <v>3000</v>
      </c>
      <c r="R2447" s="16" t="n">
        <v>400</v>
      </c>
      <c r="S2447" s="16" t="n">
        <v>0.5</v>
      </c>
      <c r="T2447" s="16" t="n">
        <v>0.85</v>
      </c>
      <c r="U2447" s="16" t="n">
        <v>0.75</v>
      </c>
      <c r="V2447" s="16" t="n">
        <v>0.85</v>
      </c>
      <c r="W2447" s="16" t="n">
        <v>0.75</v>
      </c>
      <c r="X2447" s="16" t="n">
        <v>0.875</v>
      </c>
      <c r="Y2447" s="16" t="n">
        <v>300.032917</v>
      </c>
      <c r="Z2447" s="16" t="n">
        <v>6.77706696276616</v>
      </c>
      <c r="AA2447" s="16" t="n">
        <v>14.58370200772919</v>
      </c>
      <c r="AB2447" s="16" t="n">
        <v>2600</v>
      </c>
      <c r="AC2447" s="16" t="n">
        <v>7.5</v>
      </c>
      <c r="AD2447" s="16" t="inlineStr">
        <is>
          <t>O2</t>
        </is>
      </c>
      <c r="AE2447" s="16" t="n"/>
    </row>
    <row r="2448">
      <c r="A2448" s="16" t="inlineStr">
        <is>
          <t>KF-M05c-0126</t>
        </is>
      </c>
      <c r="B2448" s="16" t="inlineStr">
        <is>
          <t>4.2</t>
        </is>
      </c>
      <c r="C2448" s="16" t="inlineStr">
        <is>
          <t>4.2</t>
        </is>
      </c>
      <c r="D2448" s="16" t="inlineStr">
        <is>
          <t>presiones del profesor, malla T_fuente × ε_cond × clima</t>
        </is>
      </c>
      <c r="E2448" s="16" t="inlineStr">
        <is>
          <t>KF-M05c</t>
        </is>
      </c>
      <c r="F2448" s="16" t="inlineStr">
        <is>
          <t>KF-M05c</t>
        </is>
      </c>
      <c r="G2448" s="16" t="inlineStr">
        <is>
          <t>B10</t>
        </is>
      </c>
      <c r="H2448" s="16" t="inlineStr">
        <is>
          <t>malla</t>
        </is>
      </c>
      <c r="I2448" s="16" t="inlineStr">
        <is>
          <t>CORREGIBLE</t>
        </is>
      </c>
      <c r="J2448" s="16" t="inlineStr">
        <is>
          <t>CORREGIBLE</t>
        </is>
      </c>
      <c r="K2448" s="16" t="b">
        <v>1</v>
      </c>
      <c r="L2448" s="16" t="b">
        <v>0</v>
      </c>
      <c r="M2448" s="16" t="b">
        <v>0</v>
      </c>
      <c r="N2448" s="16" t="b">
        <v>0</v>
      </c>
      <c r="O2448" s="16" t="n">
        <v>397.5</v>
      </c>
      <c r="P2448" s="16" t="n">
        <v>300.032917</v>
      </c>
      <c r="Q2448" s="16" t="n">
        <v>3000</v>
      </c>
      <c r="R2448" s="16" t="n">
        <v>400</v>
      </c>
      <c r="S2448" s="16" t="n">
        <v>0.5</v>
      </c>
      <c r="T2448" s="16" t="n">
        <v>0.85</v>
      </c>
      <c r="U2448" s="16" t="n">
        <v>0.75</v>
      </c>
      <c r="V2448" s="16" t="n">
        <v>0.85</v>
      </c>
      <c r="W2448" s="16" t="n">
        <v>0.75</v>
      </c>
      <c r="X2448" s="16" t="n">
        <v>0.875</v>
      </c>
      <c r="Y2448" s="16" t="n">
        <v>300.032917</v>
      </c>
      <c r="Z2448" s="16" t="n">
        <v>7.99284313433802</v>
      </c>
      <c r="AA2448" s="16" t="n">
        <v>19.74692597964181</v>
      </c>
      <c r="AB2448" s="16" t="n">
        <v>2600</v>
      </c>
      <c r="AC2448" s="16" t="n">
        <v>7.5</v>
      </c>
      <c r="AD2448" s="16" t="inlineStr">
        <is>
          <t>O2</t>
        </is>
      </c>
      <c r="AE2448" s="16" t="n"/>
    </row>
    <row r="2449">
      <c r="A2449" s="16" t="inlineStr">
        <is>
          <t>KF-M05c-0127</t>
        </is>
      </c>
      <c r="B2449" s="16" t="inlineStr">
        <is>
          <t>4.2</t>
        </is>
      </c>
      <c r="C2449" s="16" t="inlineStr">
        <is>
          <t>4.2</t>
        </is>
      </c>
      <c r="D2449" s="16" t="inlineStr">
        <is>
          <t>presiones del profesor, malla T_fuente × ε_cond × clima</t>
        </is>
      </c>
      <c r="E2449" s="16" t="inlineStr">
        <is>
          <t>KF-M05c</t>
        </is>
      </c>
      <c r="F2449" s="16" t="inlineStr">
        <is>
          <t>KF-M05c</t>
        </is>
      </c>
      <c r="G2449" s="16" t="inlineStr">
        <is>
          <t>B10</t>
        </is>
      </c>
      <c r="H2449" s="16" t="inlineStr">
        <is>
          <t>malla</t>
        </is>
      </c>
      <c r="I2449" s="16" t="inlineStr">
        <is>
          <t>CORREGIBLE</t>
        </is>
      </c>
      <c r="J2449" s="16" t="inlineStr">
        <is>
          <t>CORREGIBLE</t>
        </is>
      </c>
      <c r="K2449" s="16" t="b">
        <v>1</v>
      </c>
      <c r="L2449" s="16" t="b">
        <v>0</v>
      </c>
      <c r="M2449" s="16" t="b">
        <v>0</v>
      </c>
      <c r="N2449" s="16" t="b">
        <v>0</v>
      </c>
      <c r="O2449" s="16" t="n">
        <v>400</v>
      </c>
      <c r="P2449" s="16" t="n">
        <v>300.032917</v>
      </c>
      <c r="Q2449" s="16" t="n">
        <v>3000</v>
      </c>
      <c r="R2449" s="16" t="n">
        <v>400</v>
      </c>
      <c r="S2449" s="16" t="n">
        <v>0.5</v>
      </c>
      <c r="T2449" s="16" t="n">
        <v>0.85</v>
      </c>
      <c r="U2449" s="16" t="n">
        <v>0.75</v>
      </c>
      <c r="V2449" s="16" t="n">
        <v>0.85</v>
      </c>
      <c r="W2449" s="16" t="n">
        <v>0.75</v>
      </c>
      <c r="X2449" s="16" t="n">
        <v>0.875</v>
      </c>
      <c r="Y2449" s="16" t="n">
        <v>300.032917</v>
      </c>
      <c r="Z2449" s="16" t="n">
        <v>8.910386927927071</v>
      </c>
      <c r="AA2449" s="16" t="n">
        <v>24.78880952369359</v>
      </c>
      <c r="AB2449" s="16" t="n">
        <v>2600</v>
      </c>
      <c r="AC2449" s="16" t="n">
        <v>7.5</v>
      </c>
      <c r="AD2449" s="16" t="inlineStr">
        <is>
          <t>O2</t>
        </is>
      </c>
      <c r="AE2449" s="16" t="n"/>
    </row>
    <row r="2450">
      <c r="A2450" s="16" t="inlineStr">
        <is>
          <t>KF-M05c-0128</t>
        </is>
      </c>
      <c r="B2450" s="16" t="inlineStr">
        <is>
          <t>4.2</t>
        </is>
      </c>
      <c r="C2450" s="16" t="inlineStr">
        <is>
          <t>4.2</t>
        </is>
      </c>
      <c r="D2450" s="16" t="inlineStr">
        <is>
          <t>presiones del profesor, malla T_fuente × ε_cond × clima</t>
        </is>
      </c>
      <c r="E2450" s="16" t="inlineStr">
        <is>
          <t>KF-M05c</t>
        </is>
      </c>
      <c r="F2450" s="16" t="inlineStr">
        <is>
          <t>KF-M05c</t>
        </is>
      </c>
      <c r="G2450" s="16" t="inlineStr">
        <is>
          <t>B10</t>
        </is>
      </c>
      <c r="H2450" s="16" t="inlineStr">
        <is>
          <t>malla</t>
        </is>
      </c>
      <c r="I2450" s="16" t="inlineStr">
        <is>
          <t>CORREGIBLE</t>
        </is>
      </c>
      <c r="J2450" s="16" t="inlineStr">
        <is>
          <t>CORREGIBLE</t>
        </is>
      </c>
      <c r="K2450" s="16" t="b">
        <v>1</v>
      </c>
      <c r="L2450" s="16" t="b">
        <v>0</v>
      </c>
      <c r="M2450" s="16" t="b">
        <v>0</v>
      </c>
      <c r="N2450" s="16" t="b">
        <v>0</v>
      </c>
      <c r="O2450" s="16" t="n">
        <v>405</v>
      </c>
      <c r="P2450" s="16" t="n">
        <v>300.032917</v>
      </c>
      <c r="Q2450" s="16" t="n">
        <v>3000</v>
      </c>
      <c r="R2450" s="16" t="n">
        <v>400</v>
      </c>
      <c r="S2450" s="16" t="n">
        <v>0.5</v>
      </c>
      <c r="T2450" s="16" t="n">
        <v>0.85</v>
      </c>
      <c r="U2450" s="16" t="n">
        <v>0.75</v>
      </c>
      <c r="V2450" s="16" t="n">
        <v>0.85</v>
      </c>
      <c r="W2450" s="16" t="n">
        <v>0.75</v>
      </c>
      <c r="X2450" s="16" t="n">
        <v>0.875</v>
      </c>
      <c r="Y2450" s="16" t="n">
        <v>300.032917</v>
      </c>
      <c r="Z2450" s="16" t="n">
        <v>10.208105210542</v>
      </c>
      <c r="AA2450" s="16" t="n">
        <v>34.61102392754908</v>
      </c>
      <c r="AB2450" s="16" t="n">
        <v>2600</v>
      </c>
      <c r="AC2450" s="16" t="n">
        <v>7.5</v>
      </c>
      <c r="AD2450" s="16" t="inlineStr">
        <is>
          <t>O2</t>
        </is>
      </c>
      <c r="AE2450" s="16" t="n"/>
    </row>
    <row r="2451">
      <c r="A2451" s="16" t="inlineStr">
        <is>
          <t>KF-M05c-0129</t>
        </is>
      </c>
      <c r="B2451" s="16" t="inlineStr">
        <is>
          <t>4.2</t>
        </is>
      </c>
      <c r="C2451" s="16" t="inlineStr">
        <is>
          <t>4.2</t>
        </is>
      </c>
      <c r="D2451" s="16" t="inlineStr">
        <is>
          <t>presiones del profesor, malla T_fuente × ε_cond × clima</t>
        </is>
      </c>
      <c r="E2451" s="16" t="inlineStr">
        <is>
          <t>KF-M05c</t>
        </is>
      </c>
      <c r="F2451" s="16" t="inlineStr">
        <is>
          <t>KF-M05c</t>
        </is>
      </c>
      <c r="G2451" s="16" t="inlineStr">
        <is>
          <t>B10</t>
        </is>
      </c>
      <c r="H2451" s="16" t="inlineStr">
        <is>
          <t>malla</t>
        </is>
      </c>
      <c r="I2451" s="16" t="inlineStr">
        <is>
          <t>CORREGIBLE</t>
        </is>
      </c>
      <c r="J2451" s="16" t="inlineStr">
        <is>
          <t>CORREGIBLE</t>
        </is>
      </c>
      <c r="K2451" s="16" t="b">
        <v>1</v>
      </c>
      <c r="L2451" s="16" t="b">
        <v>0</v>
      </c>
      <c r="M2451" s="16" t="b">
        <v>0</v>
      </c>
      <c r="N2451" s="16" t="b">
        <v>0</v>
      </c>
      <c r="O2451" s="16" t="n">
        <v>402.5</v>
      </c>
      <c r="P2451" s="16" t="n">
        <v>300.032917</v>
      </c>
      <c r="Q2451" s="16" t="n">
        <v>3000</v>
      </c>
      <c r="R2451" s="16" t="n">
        <v>400</v>
      </c>
      <c r="S2451" s="16" t="n">
        <v>0.5</v>
      </c>
      <c r="T2451" s="16" t="n">
        <v>0.85</v>
      </c>
      <c r="U2451" s="16" t="n">
        <v>0.75</v>
      </c>
      <c r="V2451" s="16" t="n">
        <v>0.85</v>
      </c>
      <c r="W2451" s="16" t="n">
        <v>0.75</v>
      </c>
      <c r="X2451" s="16" t="n">
        <v>0.875</v>
      </c>
      <c r="Y2451" s="16" t="n">
        <v>300.032917</v>
      </c>
      <c r="Z2451" s="16" t="n">
        <v>9.62909858136285</v>
      </c>
      <c r="AA2451" s="16" t="n">
        <v>29.7356117431819</v>
      </c>
      <c r="AB2451" s="16" t="n">
        <v>2600</v>
      </c>
      <c r="AC2451" s="16" t="n">
        <v>7.5</v>
      </c>
      <c r="AD2451" s="16" t="inlineStr">
        <is>
          <t>O2</t>
        </is>
      </c>
      <c r="AE2451" s="16" t="n"/>
    </row>
    <row r="2452">
      <c r="A2452" s="16" t="inlineStr">
        <is>
          <t>KF-M05c-0130</t>
        </is>
      </c>
      <c r="B2452" s="16" t="inlineStr">
        <is>
          <t>4.2</t>
        </is>
      </c>
      <c r="C2452" s="16" t="inlineStr">
        <is>
          <t>4.2</t>
        </is>
      </c>
      <c r="D2452" s="16" t="inlineStr">
        <is>
          <t>presiones del profesor, malla T_fuente × ε_cond × clima</t>
        </is>
      </c>
      <c r="E2452" s="16" t="inlineStr">
        <is>
          <t>KF-M05c</t>
        </is>
      </c>
      <c r="F2452" s="16" t="inlineStr">
        <is>
          <t>KF-M05c</t>
        </is>
      </c>
      <c r="G2452" s="16" t="inlineStr">
        <is>
          <t>B10</t>
        </is>
      </c>
      <c r="H2452" s="16" t="inlineStr">
        <is>
          <t>malla</t>
        </is>
      </c>
      <c r="I2452" s="16" t="inlineStr">
        <is>
          <t>CORREGIBLE</t>
        </is>
      </c>
      <c r="J2452" s="16" t="inlineStr">
        <is>
          <t>CORREGIBLE</t>
        </is>
      </c>
      <c r="K2452" s="16" t="b">
        <v>1</v>
      </c>
      <c r="L2452" s="16" t="b">
        <v>0</v>
      </c>
      <c r="M2452" s="16" t="b">
        <v>0</v>
      </c>
      <c r="N2452" s="16" t="b">
        <v>0</v>
      </c>
      <c r="O2452" s="16" t="n">
        <v>407.5</v>
      </c>
      <c r="P2452" s="16" t="n">
        <v>300.032917</v>
      </c>
      <c r="Q2452" s="16" t="n">
        <v>3000</v>
      </c>
      <c r="R2452" s="16" t="n">
        <v>400</v>
      </c>
      <c r="S2452" s="16" t="n">
        <v>0.5</v>
      </c>
      <c r="T2452" s="16" t="n">
        <v>0.85</v>
      </c>
      <c r="U2452" s="16" t="n">
        <v>0.75</v>
      </c>
      <c r="V2452" s="16" t="n">
        <v>0.85</v>
      </c>
      <c r="W2452" s="16" t="n">
        <v>0.75</v>
      </c>
      <c r="X2452" s="16" t="n">
        <v>0.875</v>
      </c>
      <c r="Y2452" s="16" t="n">
        <v>300.032917</v>
      </c>
      <c r="Z2452" s="16" t="n">
        <v>10.68480950202294</v>
      </c>
      <c r="AA2452" s="16" t="n">
        <v>39.436945976789</v>
      </c>
      <c r="AB2452" s="16" t="n">
        <v>2600</v>
      </c>
      <c r="AC2452" s="16" t="n">
        <v>7.5</v>
      </c>
      <c r="AD2452" s="16" t="inlineStr">
        <is>
          <t>O2</t>
        </is>
      </c>
      <c r="AE2452" s="16" t="n"/>
    </row>
    <row r="2453">
      <c r="A2453" s="16" t="inlineStr">
        <is>
          <t>KF-M05c-0131</t>
        </is>
      </c>
      <c r="B2453" s="16" t="inlineStr">
        <is>
          <t>4.2</t>
        </is>
      </c>
      <c r="C2453" s="16" t="inlineStr">
        <is>
          <t>4.2</t>
        </is>
      </c>
      <c r="D2453" s="16" t="inlineStr">
        <is>
          <t>presiones del profesor, malla T_fuente × ε_cond × clima</t>
        </is>
      </c>
      <c r="E2453" s="16" t="inlineStr">
        <is>
          <t>KF-M05c</t>
        </is>
      </c>
      <c r="F2453" s="16" t="inlineStr">
        <is>
          <t>KF-M05c</t>
        </is>
      </c>
      <c r="G2453" s="16" t="inlineStr">
        <is>
          <t>B10</t>
        </is>
      </c>
      <c r="H2453" s="16" t="inlineStr">
        <is>
          <t>malla</t>
        </is>
      </c>
      <c r="I2453" s="16" t="inlineStr">
        <is>
          <t>CORREGIBLE</t>
        </is>
      </c>
      <c r="J2453" s="16" t="inlineStr">
        <is>
          <t>CORREGIBLE</t>
        </is>
      </c>
      <c r="K2453" s="16" t="b">
        <v>1</v>
      </c>
      <c r="L2453" s="16" t="b">
        <v>0</v>
      </c>
      <c r="M2453" s="16" t="b">
        <v>0</v>
      </c>
      <c r="N2453" s="16" t="b">
        <v>0</v>
      </c>
      <c r="O2453" s="16" t="n">
        <v>410</v>
      </c>
      <c r="P2453" s="16" t="n">
        <v>300.032917</v>
      </c>
      <c r="Q2453" s="16" t="n">
        <v>3000</v>
      </c>
      <c r="R2453" s="16" t="n">
        <v>400</v>
      </c>
      <c r="S2453" s="16" t="n">
        <v>0.5</v>
      </c>
      <c r="T2453" s="16" t="n">
        <v>0.85</v>
      </c>
      <c r="U2453" s="16" t="n">
        <v>0.75</v>
      </c>
      <c r="V2453" s="16" t="n">
        <v>0.85</v>
      </c>
      <c r="W2453" s="16" t="n">
        <v>0.75</v>
      </c>
      <c r="X2453" s="16" t="n">
        <v>0.875</v>
      </c>
      <c r="Y2453" s="16" t="n">
        <v>300.032917</v>
      </c>
      <c r="Z2453" s="16" t="n">
        <v>11.08404683595824</v>
      </c>
      <c r="AA2453" s="16" t="n">
        <v>44.23405649817641</v>
      </c>
      <c r="AB2453" s="16" t="n">
        <v>2600</v>
      </c>
      <c r="AC2453" s="16" t="n">
        <v>7.5</v>
      </c>
      <c r="AD2453" s="16" t="inlineStr">
        <is>
          <t>O2</t>
        </is>
      </c>
      <c r="AE2453" s="16" t="n"/>
    </row>
    <row r="2454">
      <c r="A2454" s="16" t="inlineStr">
        <is>
          <t>KF-M05c-0132</t>
        </is>
      </c>
      <c r="B2454" s="16" t="inlineStr">
        <is>
          <t>4.2</t>
        </is>
      </c>
      <c r="C2454" s="16" t="inlineStr">
        <is>
          <t>4.2</t>
        </is>
      </c>
      <c r="D2454" s="16" t="inlineStr">
        <is>
          <t>presiones del profesor, malla T_fuente × ε_cond × clima</t>
        </is>
      </c>
      <c r="E2454" s="16" t="inlineStr">
        <is>
          <t>KF-M05c</t>
        </is>
      </c>
      <c r="F2454" s="16" t="inlineStr">
        <is>
          <t>KF-M05c</t>
        </is>
      </c>
      <c r="G2454" s="16" t="inlineStr">
        <is>
          <t>B10</t>
        </is>
      </c>
      <c r="H2454" s="16" t="inlineStr">
        <is>
          <t>malla</t>
        </is>
      </c>
      <c r="I2454" s="16" t="inlineStr">
        <is>
          <t>KALINA</t>
        </is>
      </c>
      <c r="J2454" s="16" t="inlineStr">
        <is>
          <t>KALINA</t>
        </is>
      </c>
      <c r="K2454" s="16" t="b">
        <v>1</v>
      </c>
      <c r="L2454" s="16" t="b">
        <v>1</v>
      </c>
      <c r="M2454" s="16" t="b">
        <v>0</v>
      </c>
      <c r="N2454" s="16" t="b">
        <v>0</v>
      </c>
      <c r="O2454" s="16" t="n">
        <v>390</v>
      </c>
      <c r="P2454" s="16" t="n">
        <v>300.032917</v>
      </c>
      <c r="Q2454" s="16" t="n">
        <v>3000</v>
      </c>
      <c r="R2454" s="16" t="n">
        <v>400</v>
      </c>
      <c r="S2454" s="16" t="n">
        <v>0.5</v>
      </c>
      <c r="T2454" s="16" t="n">
        <v>0.85</v>
      </c>
      <c r="U2454" s="16" t="n">
        <v>0.75</v>
      </c>
      <c r="V2454" s="16" t="n">
        <v>0.85</v>
      </c>
      <c r="W2454" s="16" t="n">
        <v>0.75</v>
      </c>
      <c r="X2454" s="16" t="n">
        <v>0.9</v>
      </c>
      <c r="Y2454" s="16" t="n">
        <v>300.032917</v>
      </c>
      <c r="Z2454" s="16" t="n">
        <v>2.50513099243128</v>
      </c>
      <c r="AA2454" s="16" t="n">
        <v>3.744850416839959</v>
      </c>
      <c r="AB2454" s="16" t="n">
        <v>2600</v>
      </c>
      <c r="AC2454" s="16" t="n">
        <v>7.5</v>
      </c>
      <c r="AD2454" s="16" t="n"/>
      <c r="AE2454" s="16" t="n"/>
    </row>
    <row r="2455">
      <c r="A2455" s="16" t="inlineStr">
        <is>
          <t>KF-M05c-0133</t>
        </is>
      </c>
      <c r="B2455" s="16" t="inlineStr">
        <is>
          <t>4.2</t>
        </is>
      </c>
      <c r="C2455" s="16" t="inlineStr">
        <is>
          <t>4.2</t>
        </is>
      </c>
      <c r="D2455" s="16" t="inlineStr">
        <is>
          <t>presiones del profesor, malla T_fuente × ε_cond × clima</t>
        </is>
      </c>
      <c r="E2455" s="16" t="inlineStr">
        <is>
          <t>KF-M05c</t>
        </is>
      </c>
      <c r="F2455" s="16" t="inlineStr">
        <is>
          <t>KF-M05c</t>
        </is>
      </c>
      <c r="G2455" s="16" t="inlineStr">
        <is>
          <t>B10</t>
        </is>
      </c>
      <c r="H2455" s="16" t="inlineStr">
        <is>
          <t>malla</t>
        </is>
      </c>
      <c r="I2455" s="16" t="inlineStr">
        <is>
          <t>INVIABLE</t>
        </is>
      </c>
      <c r="J2455" s="16" t="inlineStr">
        <is>
          <t>INVIABLE</t>
        </is>
      </c>
      <c r="K2455" s="16" t="b">
        <v>1</v>
      </c>
      <c r="L2455" s="16" t="b">
        <v>0</v>
      </c>
      <c r="M2455" s="16" t="b">
        <v>0</v>
      </c>
      <c r="N2455" s="16" t="b">
        <v>0</v>
      </c>
      <c r="O2455" s="16" t="n">
        <v>387.5</v>
      </c>
      <c r="P2455" s="16" t="n">
        <v>300.032917</v>
      </c>
      <c r="Q2455" s="16" t="n">
        <v>3000</v>
      </c>
      <c r="R2455" s="16" t="n">
        <v>400</v>
      </c>
      <c r="S2455" s="16" t="n">
        <v>0.5</v>
      </c>
      <c r="T2455" s="16" t="n">
        <v>0.85</v>
      </c>
      <c r="U2455" s="16" t="n">
        <v>0.75</v>
      </c>
      <c r="V2455" s="16" t="n">
        <v>0.85</v>
      </c>
      <c r="W2455" s="16" t="n">
        <v>0.75</v>
      </c>
      <c r="X2455" s="16" t="n">
        <v>0.9</v>
      </c>
      <c r="Y2455" s="16" t="n">
        <v>300.032917</v>
      </c>
      <c r="Z2455" s="16" t="n">
        <v>-1.729320529611</v>
      </c>
      <c r="AA2455" s="16" t="n">
        <v>-1.968098306121616</v>
      </c>
      <c r="AB2455" s="16" t="n">
        <v>2600</v>
      </c>
      <c r="AC2455" s="16" t="n">
        <v>7.5</v>
      </c>
      <c r="AD2455" s="16" t="inlineStr">
        <is>
          <t>O3</t>
        </is>
      </c>
      <c r="AE2455" s="16" t="n"/>
    </row>
    <row r="2456">
      <c r="A2456" s="16" t="inlineStr">
        <is>
          <t>KF-M05c-0134</t>
        </is>
      </c>
      <c r="B2456" s="16" t="inlineStr">
        <is>
          <t>4.2</t>
        </is>
      </c>
      <c r="C2456" s="16" t="inlineStr">
        <is>
          <t>4.2</t>
        </is>
      </c>
      <c r="D2456" s="16" t="inlineStr">
        <is>
          <t>presiones del profesor, malla T_fuente × ε_cond × clima</t>
        </is>
      </c>
      <c r="E2456" s="16" t="inlineStr">
        <is>
          <t>KF-M05c</t>
        </is>
      </c>
      <c r="F2456" s="16" t="inlineStr">
        <is>
          <t>KF-M05c</t>
        </is>
      </c>
      <c r="G2456" s="16" t="inlineStr">
        <is>
          <t>B10</t>
        </is>
      </c>
      <c r="H2456" s="16" t="inlineStr">
        <is>
          <t>malla</t>
        </is>
      </c>
      <c r="I2456" s="16" t="inlineStr">
        <is>
          <t>N2</t>
        </is>
      </c>
      <c r="J2456" s="16" t="inlineStr">
        <is>
          <t>NO_CONVERGIO</t>
        </is>
      </c>
      <c r="K2456" s="16" t="b">
        <v>0</v>
      </c>
      <c r="L2456" s="16" t="b">
        <v>0</v>
      </c>
      <c r="M2456" s="16" t="b">
        <v>0</v>
      </c>
      <c r="N2456" s="16" t="b">
        <v>0</v>
      </c>
      <c r="O2456" s="16" t="n">
        <v>385</v>
      </c>
      <c r="P2456" s="16" t="n">
        <v>300.032917</v>
      </c>
      <c r="Q2456" s="16" t="n">
        <v>3000</v>
      </c>
      <c r="R2456" s="16" t="n">
        <v>400</v>
      </c>
      <c r="S2456" s="16" t="n">
        <v>0.5</v>
      </c>
      <c r="T2456" s="16" t="n">
        <v>0.85</v>
      </c>
      <c r="U2456" s="16" t="n">
        <v>0.75</v>
      </c>
      <c r="V2456" s="16" t="n">
        <v>0.85</v>
      </c>
      <c r="W2456" s="16" t="n">
        <v>0.75</v>
      </c>
      <c r="X2456" s="16" t="n">
        <v>0.9</v>
      </c>
      <c r="Y2456" s="16" t="n">
        <v>300.032917</v>
      </c>
      <c r="Z2456" s="16" t="n">
        <v>-17.39176952480002</v>
      </c>
      <c r="AA2456" s="16" t="n">
        <v>-14.43032855491555</v>
      </c>
      <c r="AB2456" s="16" t="n">
        <v>2600</v>
      </c>
      <c r="AC2456" s="16" t="n">
        <v>7.5</v>
      </c>
      <c r="AD2456" s="16" t="inlineStr">
        <is>
          <t>N2,O3,O5,C1,C3,C3</t>
        </is>
      </c>
      <c r="AE2456" s="16" t="n"/>
    </row>
    <row r="2457">
      <c r="A2457" s="16" t="inlineStr">
        <is>
          <t>KF-M05c-0135</t>
        </is>
      </c>
      <c r="B2457" s="16" t="inlineStr">
        <is>
          <t>4.2</t>
        </is>
      </c>
      <c r="C2457" s="16" t="inlineStr">
        <is>
          <t>4.2</t>
        </is>
      </c>
      <c r="D2457" s="16" t="inlineStr">
        <is>
          <t>presiones del profesor, malla T_fuente × ε_cond × clima</t>
        </is>
      </c>
      <c r="E2457" s="16" t="inlineStr">
        <is>
          <t>KF-M05c</t>
        </is>
      </c>
      <c r="F2457" s="16" t="inlineStr">
        <is>
          <t>KF-M05c</t>
        </is>
      </c>
      <c r="G2457" s="16" t="inlineStr">
        <is>
          <t>B10</t>
        </is>
      </c>
      <c r="H2457" s="16" t="inlineStr">
        <is>
          <t>malla</t>
        </is>
      </c>
      <c r="I2457" s="16" t="inlineStr">
        <is>
          <t>CORREGIBLE</t>
        </is>
      </c>
      <c r="J2457" s="16" t="inlineStr">
        <is>
          <t>CORREGIBLE</t>
        </is>
      </c>
      <c r="K2457" s="16" t="b">
        <v>1</v>
      </c>
      <c r="L2457" s="16" t="b">
        <v>0</v>
      </c>
      <c r="M2457" s="16" t="b">
        <v>0</v>
      </c>
      <c r="N2457" s="16" t="b">
        <v>0</v>
      </c>
      <c r="O2457" s="16" t="n">
        <v>395</v>
      </c>
      <c r="P2457" s="16" t="n">
        <v>300.032917</v>
      </c>
      <c r="Q2457" s="16" t="n">
        <v>3000</v>
      </c>
      <c r="R2457" s="16" t="n">
        <v>400</v>
      </c>
      <c r="S2457" s="16" t="n">
        <v>0.5</v>
      </c>
      <c r="T2457" s="16" t="n">
        <v>0.85</v>
      </c>
      <c r="U2457" s="16" t="n">
        <v>0.75</v>
      </c>
      <c r="V2457" s="16" t="n">
        <v>0.85</v>
      </c>
      <c r="W2457" s="16" t="n">
        <v>0.75</v>
      </c>
      <c r="X2457" s="16" t="n">
        <v>0.9</v>
      </c>
      <c r="Y2457" s="16" t="n">
        <v>300.032917</v>
      </c>
      <c r="Z2457" s="16" t="n">
        <v>6.71762419483181</v>
      </c>
      <c r="AA2457" s="16" t="n">
        <v>14.56682777841254</v>
      </c>
      <c r="AB2457" s="16" t="n">
        <v>2600</v>
      </c>
      <c r="AC2457" s="16" t="n">
        <v>7.5</v>
      </c>
      <c r="AD2457" s="16" t="inlineStr">
        <is>
          <t>O2</t>
        </is>
      </c>
      <c r="AE2457" s="16" t="n"/>
    </row>
    <row r="2458">
      <c r="A2458" s="16" t="inlineStr">
        <is>
          <t>KF-M05c-0136</t>
        </is>
      </c>
      <c r="B2458" s="16" t="inlineStr">
        <is>
          <t>4.2</t>
        </is>
      </c>
      <c r="C2458" s="16" t="inlineStr">
        <is>
          <t>4.2</t>
        </is>
      </c>
      <c r="D2458" s="16" t="inlineStr">
        <is>
          <t>presiones del profesor, malla T_fuente × ε_cond × clima</t>
        </is>
      </c>
      <c r="E2458" s="16" t="inlineStr">
        <is>
          <t>KF-M05c</t>
        </is>
      </c>
      <c r="F2458" s="16" t="inlineStr">
        <is>
          <t>KF-M05c</t>
        </is>
      </c>
      <c r="G2458" s="16" t="inlineStr">
        <is>
          <t>B10</t>
        </is>
      </c>
      <c r="H2458" s="16" t="inlineStr">
        <is>
          <t>malla</t>
        </is>
      </c>
      <c r="I2458" s="16" t="inlineStr">
        <is>
          <t>CORREGIBLE</t>
        </is>
      </c>
      <c r="J2458" s="16" t="inlineStr">
        <is>
          <t>CORREGIBLE</t>
        </is>
      </c>
      <c r="K2458" s="16" t="b">
        <v>1</v>
      </c>
      <c r="L2458" s="16" t="b">
        <v>0</v>
      </c>
      <c r="M2458" s="16" t="b">
        <v>0</v>
      </c>
      <c r="N2458" s="16" t="b">
        <v>0</v>
      </c>
      <c r="O2458" s="16" t="n">
        <v>397.5</v>
      </c>
      <c r="P2458" s="16" t="n">
        <v>300.032917</v>
      </c>
      <c r="Q2458" s="16" t="n">
        <v>3000</v>
      </c>
      <c r="R2458" s="16" t="n">
        <v>400</v>
      </c>
      <c r="S2458" s="16" t="n">
        <v>0.5</v>
      </c>
      <c r="T2458" s="16" t="n">
        <v>0.85</v>
      </c>
      <c r="U2458" s="16" t="n">
        <v>0.75</v>
      </c>
      <c r="V2458" s="16" t="n">
        <v>0.85</v>
      </c>
      <c r="W2458" s="16" t="n">
        <v>0.75</v>
      </c>
      <c r="X2458" s="16" t="n">
        <v>0.9</v>
      </c>
      <c r="Y2458" s="16" t="n">
        <v>300.032917</v>
      </c>
      <c r="Z2458" s="16" t="n">
        <v>7.92796249264113</v>
      </c>
      <c r="AA2458" s="16" t="n">
        <v>19.74322714303093</v>
      </c>
      <c r="AB2458" s="16" t="n">
        <v>2600</v>
      </c>
      <c r="AC2458" s="16" t="n">
        <v>7.5</v>
      </c>
      <c r="AD2458" s="16" t="inlineStr">
        <is>
          <t>O2</t>
        </is>
      </c>
      <c r="AE2458" s="16" t="n"/>
    </row>
    <row r="2459">
      <c r="A2459" s="16" t="inlineStr">
        <is>
          <t>KF-M05c-0137</t>
        </is>
      </c>
      <c r="B2459" s="16" t="inlineStr">
        <is>
          <t>4.2</t>
        </is>
      </c>
      <c r="C2459" s="16" t="inlineStr">
        <is>
          <t>4.2</t>
        </is>
      </c>
      <c r="D2459" s="16" t="inlineStr">
        <is>
          <t>presiones del profesor, malla T_fuente × ε_cond × clima</t>
        </is>
      </c>
      <c r="E2459" s="16" t="inlineStr">
        <is>
          <t>KF-M05c</t>
        </is>
      </c>
      <c r="F2459" s="16" t="inlineStr">
        <is>
          <t>KF-M05c</t>
        </is>
      </c>
      <c r="G2459" s="16" t="inlineStr">
        <is>
          <t>B10</t>
        </is>
      </c>
      <c r="H2459" s="16" t="inlineStr">
        <is>
          <t>malla</t>
        </is>
      </c>
      <c r="I2459" s="16" t="inlineStr">
        <is>
          <t>KALINA</t>
        </is>
      </c>
      <c r="J2459" s="16" t="inlineStr">
        <is>
          <t>KALINA</t>
        </is>
      </c>
      <c r="K2459" s="16" t="b">
        <v>1</v>
      </c>
      <c r="L2459" s="16" t="b">
        <v>1</v>
      </c>
      <c r="M2459" s="16" t="b">
        <v>0</v>
      </c>
      <c r="N2459" s="16" t="b">
        <v>0</v>
      </c>
      <c r="O2459" s="16" t="n">
        <v>392.5</v>
      </c>
      <c r="P2459" s="16" t="n">
        <v>300.032917</v>
      </c>
      <c r="Q2459" s="16" t="n">
        <v>3000</v>
      </c>
      <c r="R2459" s="16" t="n">
        <v>400</v>
      </c>
      <c r="S2459" s="16" t="n">
        <v>0.5</v>
      </c>
      <c r="T2459" s="16" t="n">
        <v>0.85</v>
      </c>
      <c r="U2459" s="16" t="n">
        <v>0.75</v>
      </c>
      <c r="V2459" s="16" t="n">
        <v>0.85</v>
      </c>
      <c r="W2459" s="16" t="n">
        <v>0.75</v>
      </c>
      <c r="X2459" s="16" t="n">
        <v>0.9</v>
      </c>
      <c r="Y2459" s="16" t="n">
        <v>300.032917</v>
      </c>
      <c r="Z2459" s="16" t="n">
        <v>5.03069679744179</v>
      </c>
      <c r="AA2459" s="16" t="n">
        <v>9.243526126449924</v>
      </c>
      <c r="AB2459" s="16" t="n">
        <v>2600</v>
      </c>
      <c r="AC2459" s="16" t="n">
        <v>7.5</v>
      </c>
      <c r="AD2459" s="16" t="n"/>
      <c r="AE2459" s="16" t="n"/>
    </row>
    <row r="2460">
      <c r="A2460" s="16" t="inlineStr">
        <is>
          <t>KF-M05c-0138</t>
        </is>
      </c>
      <c r="B2460" s="16" t="inlineStr">
        <is>
          <t>4.2</t>
        </is>
      </c>
      <c r="C2460" s="16" t="inlineStr">
        <is>
          <t>4.2</t>
        </is>
      </c>
      <c r="D2460" s="16" t="inlineStr">
        <is>
          <t>presiones del profesor, malla T_fuente × ε_cond × clima</t>
        </is>
      </c>
      <c r="E2460" s="16" t="inlineStr">
        <is>
          <t>KF-M05c</t>
        </is>
      </c>
      <c r="F2460" s="16" t="inlineStr">
        <is>
          <t>KF-M05c</t>
        </is>
      </c>
      <c r="G2460" s="16" t="inlineStr">
        <is>
          <t>B10</t>
        </is>
      </c>
      <c r="H2460" s="16" t="inlineStr">
        <is>
          <t>malla</t>
        </is>
      </c>
      <c r="I2460" s="16" t="inlineStr">
        <is>
          <t>CORREGIBLE</t>
        </is>
      </c>
      <c r="J2460" s="16" t="inlineStr">
        <is>
          <t>CORREGIBLE</t>
        </is>
      </c>
      <c r="K2460" s="16" t="b">
        <v>1</v>
      </c>
      <c r="L2460" s="16" t="b">
        <v>0</v>
      </c>
      <c r="M2460" s="16" t="b">
        <v>0</v>
      </c>
      <c r="N2460" s="16" t="b">
        <v>0</v>
      </c>
      <c r="O2460" s="16" t="n">
        <v>400</v>
      </c>
      <c r="P2460" s="16" t="n">
        <v>300.032917</v>
      </c>
      <c r="Q2460" s="16" t="n">
        <v>3000</v>
      </c>
      <c r="R2460" s="16" t="n">
        <v>400</v>
      </c>
      <c r="S2460" s="16" t="n">
        <v>0.5</v>
      </c>
      <c r="T2460" s="16" t="n">
        <v>0.85</v>
      </c>
      <c r="U2460" s="16" t="n">
        <v>0.75</v>
      </c>
      <c r="V2460" s="16" t="n">
        <v>0.85</v>
      </c>
      <c r="W2460" s="16" t="n">
        <v>0.75</v>
      </c>
      <c r="X2460" s="16" t="n">
        <v>0.9</v>
      </c>
      <c r="Y2460" s="16" t="n">
        <v>300.032917</v>
      </c>
      <c r="Z2460" s="16" t="n">
        <v>8.841484218058419</v>
      </c>
      <c r="AA2460" s="16" t="n">
        <v>24.80149985170236</v>
      </c>
      <c r="AB2460" s="16" t="n">
        <v>2600</v>
      </c>
      <c r="AC2460" s="16" t="n">
        <v>7.5</v>
      </c>
      <c r="AD2460" s="16" t="inlineStr">
        <is>
          <t>O2</t>
        </is>
      </c>
      <c r="AE2460" s="16" t="n"/>
    </row>
    <row r="2461">
      <c r="A2461" s="16" t="inlineStr">
        <is>
          <t>KF-M05c-0139</t>
        </is>
      </c>
      <c r="B2461" s="16" t="inlineStr">
        <is>
          <t>4.2</t>
        </is>
      </c>
      <c r="C2461" s="16" t="inlineStr">
        <is>
          <t>4.2</t>
        </is>
      </c>
      <c r="D2461" s="16" t="inlineStr">
        <is>
          <t>presiones del profesor, malla T_fuente × ε_cond × clima</t>
        </is>
      </c>
      <c r="E2461" s="16" t="inlineStr">
        <is>
          <t>KF-M05c</t>
        </is>
      </c>
      <c r="F2461" s="16" t="inlineStr">
        <is>
          <t>KF-M05c</t>
        </is>
      </c>
      <c r="G2461" s="16" t="inlineStr">
        <is>
          <t>B10</t>
        </is>
      </c>
      <c r="H2461" s="16" t="inlineStr">
        <is>
          <t>malla</t>
        </is>
      </c>
      <c r="I2461" s="16" t="inlineStr">
        <is>
          <t>CORREGIBLE</t>
        </is>
      </c>
      <c r="J2461" s="16" t="inlineStr">
        <is>
          <t>CORREGIBLE</t>
        </is>
      </c>
      <c r="K2461" s="16" t="b">
        <v>1</v>
      </c>
      <c r="L2461" s="16" t="b">
        <v>0</v>
      </c>
      <c r="M2461" s="16" t="b">
        <v>0</v>
      </c>
      <c r="N2461" s="16" t="b">
        <v>0</v>
      </c>
      <c r="O2461" s="16" t="n">
        <v>402.5</v>
      </c>
      <c r="P2461" s="16" t="n">
        <v>300.032917</v>
      </c>
      <c r="Q2461" s="16" t="n">
        <v>3000</v>
      </c>
      <c r="R2461" s="16" t="n">
        <v>400</v>
      </c>
      <c r="S2461" s="16" t="n">
        <v>0.5</v>
      </c>
      <c r="T2461" s="16" t="n">
        <v>0.85</v>
      </c>
      <c r="U2461" s="16" t="n">
        <v>0.75</v>
      </c>
      <c r="V2461" s="16" t="n">
        <v>0.85</v>
      </c>
      <c r="W2461" s="16" t="n">
        <v>0.75</v>
      </c>
      <c r="X2461" s="16" t="n">
        <v>0.9</v>
      </c>
      <c r="Y2461" s="16" t="n">
        <v>300.032917</v>
      </c>
      <c r="Z2461" s="16" t="n">
        <v>9.55713650366355</v>
      </c>
      <c r="AA2461" s="16" t="n">
        <v>29.76782087944019</v>
      </c>
      <c r="AB2461" s="16" t="n">
        <v>2600</v>
      </c>
      <c r="AC2461" s="16" t="n">
        <v>7.5</v>
      </c>
      <c r="AD2461" s="16" t="inlineStr">
        <is>
          <t>O2</t>
        </is>
      </c>
      <c r="AE2461" s="16" t="n"/>
    </row>
    <row r="2462">
      <c r="A2462" s="16" t="inlineStr">
        <is>
          <t>KF-M05c-0140</t>
        </is>
      </c>
      <c r="B2462" s="16" t="inlineStr">
        <is>
          <t>4.2</t>
        </is>
      </c>
      <c r="C2462" s="16" t="inlineStr">
        <is>
          <t>4.2</t>
        </is>
      </c>
      <c r="D2462" s="16" t="inlineStr">
        <is>
          <t>presiones del profesor, malla T_fuente × ε_cond × clima</t>
        </is>
      </c>
      <c r="E2462" s="16" t="inlineStr">
        <is>
          <t>KF-M05c</t>
        </is>
      </c>
      <c r="F2462" s="16" t="inlineStr">
        <is>
          <t>KF-M05c</t>
        </is>
      </c>
      <c r="G2462" s="16" t="inlineStr">
        <is>
          <t>B10</t>
        </is>
      </c>
      <c r="H2462" s="16" t="inlineStr">
        <is>
          <t>malla</t>
        </is>
      </c>
      <c r="I2462" s="16" t="inlineStr">
        <is>
          <t>CORREGIBLE</t>
        </is>
      </c>
      <c r="J2462" s="16" t="inlineStr">
        <is>
          <t>CORREGIBLE</t>
        </is>
      </c>
      <c r="K2462" s="16" t="b">
        <v>1</v>
      </c>
      <c r="L2462" s="16" t="b">
        <v>0</v>
      </c>
      <c r="M2462" s="16" t="b">
        <v>0</v>
      </c>
      <c r="N2462" s="16" t="b">
        <v>0</v>
      </c>
      <c r="O2462" s="16" t="n">
        <v>405</v>
      </c>
      <c r="P2462" s="16" t="n">
        <v>300.032917</v>
      </c>
      <c r="Q2462" s="16" t="n">
        <v>3000</v>
      </c>
      <c r="R2462" s="16" t="n">
        <v>400</v>
      </c>
      <c r="S2462" s="16" t="n">
        <v>0.5</v>
      </c>
      <c r="T2462" s="16" t="n">
        <v>0.85</v>
      </c>
      <c r="U2462" s="16" t="n">
        <v>0.75</v>
      </c>
      <c r="V2462" s="16" t="n">
        <v>0.85</v>
      </c>
      <c r="W2462" s="16" t="n">
        <v>0.75</v>
      </c>
      <c r="X2462" s="16" t="n">
        <v>0.9</v>
      </c>
      <c r="Y2462" s="16" t="n">
        <v>300.032917</v>
      </c>
      <c r="Z2462" s="16" t="n">
        <v>10.13378009899356</v>
      </c>
      <c r="AA2462" s="16" t="n">
        <v>34.6658397539171</v>
      </c>
      <c r="AB2462" s="16" t="n">
        <v>2600</v>
      </c>
      <c r="AC2462" s="16" t="n">
        <v>7.5</v>
      </c>
      <c r="AD2462" s="16" t="inlineStr">
        <is>
          <t>O2</t>
        </is>
      </c>
      <c r="AE2462" s="16" t="n"/>
    </row>
    <row r="2463">
      <c r="A2463" s="16" t="inlineStr">
        <is>
          <t>KF-M05c-0141</t>
        </is>
      </c>
      <c r="B2463" s="16" t="inlineStr">
        <is>
          <t>4.2</t>
        </is>
      </c>
      <c r="C2463" s="16" t="inlineStr">
        <is>
          <t>4.2</t>
        </is>
      </c>
      <c r="D2463" s="16" t="inlineStr">
        <is>
          <t>presiones del profesor, malla T_fuente × ε_cond × clima</t>
        </is>
      </c>
      <c r="E2463" s="16" t="inlineStr">
        <is>
          <t>KF-M05c</t>
        </is>
      </c>
      <c r="F2463" s="16" t="inlineStr">
        <is>
          <t>KF-M05c</t>
        </is>
      </c>
      <c r="G2463" s="16" t="inlineStr">
        <is>
          <t>B10</t>
        </is>
      </c>
      <c r="H2463" s="16" t="inlineStr">
        <is>
          <t>malla</t>
        </is>
      </c>
      <c r="I2463" s="16" t="inlineStr">
        <is>
          <t>CORREGIBLE</t>
        </is>
      </c>
      <c r="J2463" s="16" t="inlineStr">
        <is>
          <t>CORREGIBLE</t>
        </is>
      </c>
      <c r="K2463" s="16" t="b">
        <v>1</v>
      </c>
      <c r="L2463" s="16" t="b">
        <v>0</v>
      </c>
      <c r="M2463" s="16" t="b">
        <v>0</v>
      </c>
      <c r="N2463" s="16" t="b">
        <v>0</v>
      </c>
      <c r="O2463" s="16" t="n">
        <v>407.5</v>
      </c>
      <c r="P2463" s="16" t="n">
        <v>300.032917</v>
      </c>
      <c r="Q2463" s="16" t="n">
        <v>3000</v>
      </c>
      <c r="R2463" s="16" t="n">
        <v>400</v>
      </c>
      <c r="S2463" s="16" t="n">
        <v>0.5</v>
      </c>
      <c r="T2463" s="16" t="n">
        <v>0.85</v>
      </c>
      <c r="U2463" s="16" t="n">
        <v>0.75</v>
      </c>
      <c r="V2463" s="16" t="n">
        <v>0.85</v>
      </c>
      <c r="W2463" s="16" t="n">
        <v>0.75</v>
      </c>
      <c r="X2463" s="16" t="n">
        <v>0.9</v>
      </c>
      <c r="Y2463" s="16" t="n">
        <v>300.032917</v>
      </c>
      <c r="Z2463" s="16" t="n">
        <v>10.60865951374593</v>
      </c>
      <c r="AA2463" s="16" t="n">
        <v>39.51749460812051</v>
      </c>
      <c r="AB2463" s="16" t="n">
        <v>2600</v>
      </c>
      <c r="AC2463" s="16" t="n">
        <v>7.5</v>
      </c>
      <c r="AD2463" s="16" t="inlineStr">
        <is>
          <t>O2</t>
        </is>
      </c>
      <c r="AE2463" s="16" t="n"/>
    </row>
    <row r="2464">
      <c r="A2464" s="16" t="inlineStr">
        <is>
          <t>KF-M05c-0142</t>
        </is>
      </c>
      <c r="B2464" s="16" t="inlineStr">
        <is>
          <t>4.2</t>
        </is>
      </c>
      <c r="C2464" s="16" t="inlineStr">
        <is>
          <t>4.2</t>
        </is>
      </c>
      <c r="D2464" s="16" t="inlineStr">
        <is>
          <t>presiones del profesor, malla T_fuente × ε_cond × clima</t>
        </is>
      </c>
      <c r="E2464" s="16" t="inlineStr">
        <is>
          <t>KF-M05c</t>
        </is>
      </c>
      <c r="F2464" s="16" t="inlineStr">
        <is>
          <t>KF-M05c</t>
        </is>
      </c>
      <c r="G2464" s="16" t="inlineStr">
        <is>
          <t>B10</t>
        </is>
      </c>
      <c r="H2464" s="16" t="inlineStr">
        <is>
          <t>malla</t>
        </is>
      </c>
      <c r="I2464" s="16" t="inlineStr">
        <is>
          <t>CORREGIBLE</t>
        </is>
      </c>
      <c r="J2464" s="16" t="inlineStr">
        <is>
          <t>CORREGIBLE</t>
        </is>
      </c>
      <c r="K2464" s="16" t="b">
        <v>1</v>
      </c>
      <c r="L2464" s="16" t="b">
        <v>0</v>
      </c>
      <c r="M2464" s="16" t="b">
        <v>0</v>
      </c>
      <c r="N2464" s="16" t="b">
        <v>0</v>
      </c>
      <c r="O2464" s="16" t="n">
        <v>410</v>
      </c>
      <c r="P2464" s="16" t="n">
        <v>300.032917</v>
      </c>
      <c r="Q2464" s="16" t="n">
        <v>3000</v>
      </c>
      <c r="R2464" s="16" t="n">
        <v>400</v>
      </c>
      <c r="S2464" s="16" t="n">
        <v>0.5</v>
      </c>
      <c r="T2464" s="16" t="n">
        <v>0.85</v>
      </c>
      <c r="U2464" s="16" t="n">
        <v>0.75</v>
      </c>
      <c r="V2464" s="16" t="n">
        <v>0.85</v>
      </c>
      <c r="W2464" s="16" t="n">
        <v>0.75</v>
      </c>
      <c r="X2464" s="16" t="n">
        <v>0.9</v>
      </c>
      <c r="Y2464" s="16" t="n">
        <v>300.032917</v>
      </c>
      <c r="Z2464" s="16" t="n">
        <v>11.00651104717289</v>
      </c>
      <c r="AA2464" s="16" t="n">
        <v>44.34356958702261</v>
      </c>
      <c r="AB2464" s="16" t="n">
        <v>2600</v>
      </c>
      <c r="AC2464" s="16" t="n">
        <v>7.5</v>
      </c>
      <c r="AD2464" s="16" t="inlineStr">
        <is>
          <t>O2</t>
        </is>
      </c>
      <c r="AE2464" s="16" t="n"/>
    </row>
    <row r="2465">
      <c r="A2465" s="16" t="inlineStr">
        <is>
          <t>KF-M05c-0143</t>
        </is>
      </c>
      <c r="B2465" s="16" t="inlineStr">
        <is>
          <t>4.2</t>
        </is>
      </c>
      <c r="C2465" s="16" t="inlineStr">
        <is>
          <t>4.2</t>
        </is>
      </c>
      <c r="D2465" s="16" t="inlineStr">
        <is>
          <t>presiones del profesor, malla T_fuente × ε_cond × clima</t>
        </is>
      </c>
      <c r="E2465" s="16" t="inlineStr">
        <is>
          <t>KF-M05c</t>
        </is>
      </c>
      <c r="F2465" s="16" t="inlineStr">
        <is>
          <t>KF-M05c</t>
        </is>
      </c>
      <c r="G2465" s="16" t="inlineStr">
        <is>
          <t>B10</t>
        </is>
      </c>
      <c r="H2465" s="16" t="inlineStr">
        <is>
          <t>malla</t>
        </is>
      </c>
      <c r="I2465" s="16" t="inlineStr">
        <is>
          <t>INVIABLE</t>
        </is>
      </c>
      <c r="J2465" s="16" t="inlineStr">
        <is>
          <t>INVIABLE</t>
        </is>
      </c>
      <c r="K2465" s="16" t="b">
        <v>1</v>
      </c>
      <c r="L2465" s="16" t="b">
        <v>0</v>
      </c>
      <c r="M2465" s="16" t="b">
        <v>0</v>
      </c>
      <c r="N2465" s="16" t="b">
        <v>0</v>
      </c>
      <c r="O2465" s="16" t="n">
        <v>387.5</v>
      </c>
      <c r="P2465" s="16" t="n">
        <v>300.032917</v>
      </c>
      <c r="Q2465" s="16" t="n">
        <v>3000</v>
      </c>
      <c r="R2465" s="16" t="n">
        <v>400</v>
      </c>
      <c r="S2465" s="16" t="n">
        <v>0.5</v>
      </c>
      <c r="T2465" s="16" t="n">
        <v>0.85</v>
      </c>
      <c r="U2465" s="16" t="n">
        <v>0.75</v>
      </c>
      <c r="V2465" s="16" t="n">
        <v>0.85</v>
      </c>
      <c r="W2465" s="16" t="n">
        <v>0.75</v>
      </c>
      <c r="X2465" s="16" t="n">
        <v>0.925</v>
      </c>
      <c r="Y2465" s="16" t="n">
        <v>300.032917</v>
      </c>
      <c r="Z2465" s="16" t="n">
        <v>-1.73295061259835</v>
      </c>
      <c r="AA2465" s="16" t="n">
        <v>-1.985195986767009</v>
      </c>
      <c r="AB2465" s="16" t="n">
        <v>2600</v>
      </c>
      <c r="AC2465" s="16" t="n">
        <v>7.5</v>
      </c>
      <c r="AD2465" s="16" t="inlineStr">
        <is>
          <t>O3</t>
        </is>
      </c>
      <c r="AE2465" s="16" t="n"/>
    </row>
    <row r="2466">
      <c r="A2466" s="16" t="inlineStr">
        <is>
          <t>KF-M05c-0144</t>
        </is>
      </c>
      <c r="B2466" s="16" t="inlineStr">
        <is>
          <t>4.2</t>
        </is>
      </c>
      <c r="C2466" s="16" t="inlineStr">
        <is>
          <t>4.2</t>
        </is>
      </c>
      <c r="D2466" s="16" t="inlineStr">
        <is>
          <t>presiones del profesor, malla T_fuente × ε_cond × clima</t>
        </is>
      </c>
      <c r="E2466" s="16" t="inlineStr">
        <is>
          <t>KF-M05c</t>
        </is>
      </c>
      <c r="F2466" s="16" t="inlineStr">
        <is>
          <t>KF-M05c</t>
        </is>
      </c>
      <c r="G2466" s="16" t="inlineStr">
        <is>
          <t>B10</t>
        </is>
      </c>
      <c r="H2466" s="16" t="inlineStr">
        <is>
          <t>malla</t>
        </is>
      </c>
      <c r="I2466" s="16" t="inlineStr">
        <is>
          <t>N2</t>
        </is>
      </c>
      <c r="J2466" s="16" t="inlineStr">
        <is>
          <t>NO_CONVERGIO</t>
        </is>
      </c>
      <c r="K2466" s="16" t="b">
        <v>0</v>
      </c>
      <c r="L2466" s="16" t="b">
        <v>0</v>
      </c>
      <c r="M2466" s="16" t="b">
        <v>0</v>
      </c>
      <c r="N2466" s="16" t="b">
        <v>0</v>
      </c>
      <c r="O2466" s="16" t="n">
        <v>385</v>
      </c>
      <c r="P2466" s="16" t="n">
        <v>300.032917</v>
      </c>
      <c r="Q2466" s="16" t="n">
        <v>3000</v>
      </c>
      <c r="R2466" s="16" t="n">
        <v>400</v>
      </c>
      <c r="S2466" s="16" t="n">
        <v>0.5</v>
      </c>
      <c r="T2466" s="16" t="n">
        <v>0.85</v>
      </c>
      <c r="U2466" s="16" t="n">
        <v>0.75</v>
      </c>
      <c r="V2466" s="16" t="n">
        <v>0.85</v>
      </c>
      <c r="W2466" s="16" t="n">
        <v>0.75</v>
      </c>
      <c r="X2466" s="16" t="n">
        <v>0.925</v>
      </c>
      <c r="Y2466" s="16" t="n">
        <v>300.032917</v>
      </c>
      <c r="Z2466" s="16" t="n">
        <v>-17.3685057644425</v>
      </c>
      <c r="AA2466" s="16" t="n">
        <v>-14.45770731886516</v>
      </c>
      <c r="AB2466" s="16" t="n">
        <v>2600</v>
      </c>
      <c r="AC2466" s="16" t="n">
        <v>7.5</v>
      </c>
      <c r="AD2466" s="16" t="inlineStr">
        <is>
          <t>N2,O3,O5,C1,C3,C3</t>
        </is>
      </c>
      <c r="AE2466" s="16" t="n"/>
    </row>
    <row r="2467">
      <c r="A2467" s="16" t="inlineStr">
        <is>
          <t>KF-M05c-0145</t>
        </is>
      </c>
      <c r="B2467" s="16" t="inlineStr">
        <is>
          <t>4.2</t>
        </is>
      </c>
      <c r="C2467" s="16" t="inlineStr">
        <is>
          <t>4.2</t>
        </is>
      </c>
      <c r="D2467" s="16" t="inlineStr">
        <is>
          <t>presiones del profesor, malla T_fuente × ε_cond × clima</t>
        </is>
      </c>
      <c r="E2467" s="16" t="inlineStr">
        <is>
          <t>KF-M05c</t>
        </is>
      </c>
      <c r="F2467" s="16" t="inlineStr">
        <is>
          <t>KF-M05c</t>
        </is>
      </c>
      <c r="G2467" s="16" t="inlineStr">
        <is>
          <t>B10</t>
        </is>
      </c>
      <c r="H2467" s="16" t="inlineStr">
        <is>
          <t>malla</t>
        </is>
      </c>
      <c r="I2467" s="16" t="inlineStr">
        <is>
          <t>KALINA</t>
        </is>
      </c>
      <c r="J2467" s="16" t="inlineStr">
        <is>
          <t>KALINA</t>
        </is>
      </c>
      <c r="K2467" s="16" t="b">
        <v>1</v>
      </c>
      <c r="L2467" s="16" t="b">
        <v>1</v>
      </c>
      <c r="M2467" s="16" t="b">
        <v>0</v>
      </c>
      <c r="N2467" s="16" t="b">
        <v>0</v>
      </c>
      <c r="O2467" s="16" t="n">
        <v>390</v>
      </c>
      <c r="P2467" s="16" t="n">
        <v>300.032917</v>
      </c>
      <c r="Q2467" s="16" t="n">
        <v>3000</v>
      </c>
      <c r="R2467" s="16" t="n">
        <v>400</v>
      </c>
      <c r="S2467" s="16" t="n">
        <v>0.5</v>
      </c>
      <c r="T2467" s="16" t="n">
        <v>0.85</v>
      </c>
      <c r="U2467" s="16" t="n">
        <v>0.75</v>
      </c>
      <c r="V2467" s="16" t="n">
        <v>0.85</v>
      </c>
      <c r="W2467" s="16" t="n">
        <v>0.75</v>
      </c>
      <c r="X2467" s="16" t="n">
        <v>0.925</v>
      </c>
      <c r="Y2467" s="16" t="n">
        <v>300.032917</v>
      </c>
      <c r="Z2467" s="16" t="n">
        <v>2.47276958810384</v>
      </c>
      <c r="AA2467" s="16" t="n">
        <v>3.721478139534681</v>
      </c>
      <c r="AB2467" s="16" t="n">
        <v>2600</v>
      </c>
      <c r="AC2467" s="16" t="n">
        <v>7.5</v>
      </c>
      <c r="AD2467" s="16" t="n"/>
      <c r="AE2467" s="16" t="n"/>
    </row>
    <row r="2468">
      <c r="A2468" s="16" t="inlineStr">
        <is>
          <t>KF-M05c-0146</t>
        </is>
      </c>
      <c r="B2468" s="16" t="inlineStr">
        <is>
          <t>4.2</t>
        </is>
      </c>
      <c r="C2468" s="16" t="inlineStr">
        <is>
          <t>4.2</t>
        </is>
      </c>
      <c r="D2468" s="16" t="inlineStr">
        <is>
          <t>presiones del profesor, malla T_fuente × ε_cond × clima</t>
        </is>
      </c>
      <c r="E2468" s="16" t="inlineStr">
        <is>
          <t>KF-M05c</t>
        </is>
      </c>
      <c r="F2468" s="16" t="inlineStr">
        <is>
          <t>KF-M05c</t>
        </is>
      </c>
      <c r="G2468" s="16" t="inlineStr">
        <is>
          <t>B10</t>
        </is>
      </c>
      <c r="H2468" s="16" t="inlineStr">
        <is>
          <t>malla</t>
        </is>
      </c>
      <c r="I2468" s="16" t="inlineStr">
        <is>
          <t>KALINA</t>
        </is>
      </c>
      <c r="J2468" s="16" t="inlineStr">
        <is>
          <t>KALINA</t>
        </is>
      </c>
      <c r="K2468" s="16" t="b">
        <v>1</v>
      </c>
      <c r="L2468" s="16" t="b">
        <v>1</v>
      </c>
      <c r="M2468" s="16" t="b">
        <v>0</v>
      </c>
      <c r="N2468" s="16" t="b">
        <v>0</v>
      </c>
      <c r="O2468" s="16" t="n">
        <v>392.5</v>
      </c>
      <c r="P2468" s="16" t="n">
        <v>300.032917</v>
      </c>
      <c r="Q2468" s="16" t="n">
        <v>3000</v>
      </c>
      <c r="R2468" s="16" t="n">
        <v>400</v>
      </c>
      <c r="S2468" s="16" t="n">
        <v>0.5</v>
      </c>
      <c r="T2468" s="16" t="n">
        <v>0.85</v>
      </c>
      <c r="U2468" s="16" t="n">
        <v>0.75</v>
      </c>
      <c r="V2468" s="16" t="n">
        <v>0.85</v>
      </c>
      <c r="W2468" s="16" t="n">
        <v>0.75</v>
      </c>
      <c r="X2468" s="16" t="n">
        <v>0.925</v>
      </c>
      <c r="Y2468" s="16" t="n">
        <v>300.032917</v>
      </c>
      <c r="Z2468" s="16" t="n">
        <v>4.97936822145177</v>
      </c>
      <c r="AA2468" s="16" t="n">
        <v>9.21343113669958</v>
      </c>
      <c r="AB2468" s="16" t="n">
        <v>2600</v>
      </c>
      <c r="AC2468" s="16" t="n">
        <v>7.5</v>
      </c>
      <c r="AD2468" s="16" t="n"/>
      <c r="AE2468" s="16" t="n"/>
    </row>
    <row r="2469">
      <c r="A2469" s="16" t="inlineStr">
        <is>
          <t>KF-M05c-0147</t>
        </is>
      </c>
      <c r="B2469" s="16" t="inlineStr">
        <is>
          <t>4.2</t>
        </is>
      </c>
      <c r="C2469" s="16" t="inlineStr">
        <is>
          <t>4.2</t>
        </is>
      </c>
      <c r="D2469" s="16" t="inlineStr">
        <is>
          <t>presiones del profesor, malla T_fuente × ε_cond × clima</t>
        </is>
      </c>
      <c r="E2469" s="16" t="inlineStr">
        <is>
          <t>KF-M05c</t>
        </is>
      </c>
      <c r="F2469" s="16" t="inlineStr">
        <is>
          <t>KF-M05c</t>
        </is>
      </c>
      <c r="G2469" s="16" t="inlineStr">
        <is>
          <t>B10</t>
        </is>
      </c>
      <c r="H2469" s="16" t="inlineStr">
        <is>
          <t>malla</t>
        </is>
      </c>
      <c r="I2469" s="16" t="inlineStr">
        <is>
          <t>CORREGIBLE</t>
        </is>
      </c>
      <c r="J2469" s="16" t="inlineStr">
        <is>
          <t>CORREGIBLE</t>
        </is>
      </c>
      <c r="K2469" s="16" t="b">
        <v>1</v>
      </c>
      <c r="L2469" s="16" t="b">
        <v>0</v>
      </c>
      <c r="M2469" s="16" t="b">
        <v>0</v>
      </c>
      <c r="N2469" s="16" t="b">
        <v>0</v>
      </c>
      <c r="O2469" s="16" t="n">
        <v>400</v>
      </c>
      <c r="P2469" s="16" t="n">
        <v>300.032917</v>
      </c>
      <c r="Q2469" s="16" t="n">
        <v>3000</v>
      </c>
      <c r="R2469" s="16" t="n">
        <v>400</v>
      </c>
      <c r="S2469" s="16" t="n">
        <v>0.5</v>
      </c>
      <c r="T2469" s="16" t="n">
        <v>0.85</v>
      </c>
      <c r="U2469" s="16" t="n">
        <v>0.75</v>
      </c>
      <c r="V2469" s="16" t="n">
        <v>0.85</v>
      </c>
      <c r="W2469" s="16" t="n">
        <v>0.75</v>
      </c>
      <c r="X2469" s="16" t="n">
        <v>0.925</v>
      </c>
      <c r="Y2469" s="16" t="n">
        <v>300.032917</v>
      </c>
      <c r="Z2469" s="16" t="n">
        <v>8.761314683736229</v>
      </c>
      <c r="AA2469" s="16" t="n">
        <v>24.7703499573587</v>
      </c>
      <c r="AB2469" s="16" t="n">
        <v>2600</v>
      </c>
      <c r="AC2469" s="16" t="n">
        <v>7.5</v>
      </c>
      <c r="AD2469" s="16" t="inlineStr">
        <is>
          <t>O2</t>
        </is>
      </c>
      <c r="AE2469" s="16" t="n"/>
    </row>
    <row r="2470">
      <c r="A2470" s="16" t="inlineStr">
        <is>
          <t>KF-M05c-0148</t>
        </is>
      </c>
      <c r="B2470" s="16" t="inlineStr">
        <is>
          <t>4.2</t>
        </is>
      </c>
      <c r="C2470" s="16" t="inlineStr">
        <is>
          <t>4.2</t>
        </is>
      </c>
      <c r="D2470" s="16" t="inlineStr">
        <is>
          <t>presiones del profesor, malla T_fuente × ε_cond × clima</t>
        </is>
      </c>
      <c r="E2470" s="16" t="inlineStr">
        <is>
          <t>KF-M05c</t>
        </is>
      </c>
      <c r="F2470" s="16" t="inlineStr">
        <is>
          <t>KF-M05c</t>
        </is>
      </c>
      <c r="G2470" s="16" t="inlineStr">
        <is>
          <t>B10</t>
        </is>
      </c>
      <c r="H2470" s="16" t="inlineStr">
        <is>
          <t>malla</t>
        </is>
      </c>
      <c r="I2470" s="16" t="inlineStr">
        <is>
          <t>KALINA</t>
        </is>
      </c>
      <c r="J2470" s="16" t="inlineStr">
        <is>
          <t>KALINA</t>
        </is>
      </c>
      <c r="K2470" s="16" t="b">
        <v>1</v>
      </c>
      <c r="L2470" s="16" t="b">
        <v>1</v>
      </c>
      <c r="M2470" s="16" t="b">
        <v>0</v>
      </c>
      <c r="N2470" s="16" t="b">
        <v>0</v>
      </c>
      <c r="O2470" s="16" t="n">
        <v>395</v>
      </c>
      <c r="P2470" s="16" t="n">
        <v>300.032917</v>
      </c>
      <c r="Q2470" s="16" t="n">
        <v>3000</v>
      </c>
      <c r="R2470" s="16" t="n">
        <v>400</v>
      </c>
      <c r="S2470" s="16" t="n">
        <v>0.5</v>
      </c>
      <c r="T2470" s="16" t="n">
        <v>0.85</v>
      </c>
      <c r="U2470" s="16" t="n">
        <v>0.75</v>
      </c>
      <c r="V2470" s="16" t="n">
        <v>0.85</v>
      </c>
      <c r="W2470" s="16" t="n">
        <v>0.75</v>
      </c>
      <c r="X2470" s="16" t="n">
        <v>0.925</v>
      </c>
      <c r="Y2470" s="16" t="n">
        <v>300.032917</v>
      </c>
      <c r="Z2470" s="16" t="n">
        <v>6.65232534043693</v>
      </c>
      <c r="AA2470" s="16" t="n">
        <v>14.53053450803232</v>
      </c>
      <c r="AB2470" s="16" t="n">
        <v>2600</v>
      </c>
      <c r="AC2470" s="16" t="n">
        <v>7.5</v>
      </c>
      <c r="AD2470" s="16" t="n"/>
      <c r="AE2470" s="16" t="n"/>
    </row>
    <row r="2471">
      <c r="A2471" s="16" t="inlineStr">
        <is>
          <t>KF-M05c-0149</t>
        </is>
      </c>
      <c r="B2471" s="16" t="inlineStr">
        <is>
          <t>4.2</t>
        </is>
      </c>
      <c r="C2471" s="16" t="inlineStr">
        <is>
          <t>4.2</t>
        </is>
      </c>
      <c r="D2471" s="16" t="inlineStr">
        <is>
          <t>presiones del profesor, malla T_fuente × ε_cond × clima</t>
        </is>
      </c>
      <c r="E2471" s="16" t="inlineStr">
        <is>
          <t>KF-M05c</t>
        </is>
      </c>
      <c r="F2471" s="16" t="inlineStr">
        <is>
          <t>KF-M05c</t>
        </is>
      </c>
      <c r="G2471" s="16" t="inlineStr">
        <is>
          <t>B10</t>
        </is>
      </c>
      <c r="H2471" s="16" t="inlineStr">
        <is>
          <t>malla</t>
        </is>
      </c>
      <c r="I2471" s="16" t="inlineStr">
        <is>
          <t>KALINA</t>
        </is>
      </c>
      <c r="J2471" s="16" t="inlineStr">
        <is>
          <t>KALINA</t>
        </is>
      </c>
      <c r="K2471" s="16" t="b">
        <v>1</v>
      </c>
      <c r="L2471" s="16" t="b">
        <v>1</v>
      </c>
      <c r="M2471" s="16" t="b">
        <v>0</v>
      </c>
      <c r="N2471" s="16" t="b">
        <v>0</v>
      </c>
      <c r="O2471" s="16" t="n">
        <v>397.5</v>
      </c>
      <c r="P2471" s="16" t="n">
        <v>300.032917</v>
      </c>
      <c r="Q2471" s="16" t="n">
        <v>3000</v>
      </c>
      <c r="R2471" s="16" t="n">
        <v>400</v>
      </c>
      <c r="S2471" s="16" t="n">
        <v>0.5</v>
      </c>
      <c r="T2471" s="16" t="n">
        <v>0.85</v>
      </c>
      <c r="U2471" s="16" t="n">
        <v>0.75</v>
      </c>
      <c r="V2471" s="16" t="n">
        <v>0.85</v>
      </c>
      <c r="W2471" s="16" t="n">
        <v>0.75</v>
      </c>
      <c r="X2471" s="16" t="n">
        <v>0.925</v>
      </c>
      <c r="Y2471" s="16" t="n">
        <v>300.032917</v>
      </c>
      <c r="Z2471" s="16" t="n">
        <v>7.85359576768476</v>
      </c>
      <c r="AA2471" s="16" t="n">
        <v>19.70645040516087</v>
      </c>
      <c r="AB2471" s="16" t="n">
        <v>2600</v>
      </c>
      <c r="AC2471" s="16" t="n">
        <v>7.5</v>
      </c>
      <c r="AD2471" s="16" t="n"/>
      <c r="AE2471" s="16" t="n"/>
    </row>
    <row r="2472">
      <c r="A2472" s="16" t="inlineStr">
        <is>
          <t>KF-M05c-0150</t>
        </is>
      </c>
      <c r="B2472" s="16" t="inlineStr">
        <is>
          <t>4.2</t>
        </is>
      </c>
      <c r="C2472" s="16" t="inlineStr">
        <is>
          <t>4.2</t>
        </is>
      </c>
      <c r="D2472" s="16" t="inlineStr">
        <is>
          <t>presiones del profesor, malla T_fuente × ε_cond × clima</t>
        </is>
      </c>
      <c r="E2472" s="16" t="inlineStr">
        <is>
          <t>KF-M05c</t>
        </is>
      </c>
      <c r="F2472" s="16" t="inlineStr">
        <is>
          <t>KF-M05c</t>
        </is>
      </c>
      <c r="G2472" s="16" t="inlineStr">
        <is>
          <t>B10</t>
        </is>
      </c>
      <c r="H2472" s="16" t="inlineStr">
        <is>
          <t>malla</t>
        </is>
      </c>
      <c r="I2472" s="16" t="inlineStr">
        <is>
          <t>CORREGIBLE</t>
        </is>
      </c>
      <c r="J2472" s="16" t="inlineStr">
        <is>
          <t>CORREGIBLE</t>
        </is>
      </c>
      <c r="K2472" s="16" t="b">
        <v>1</v>
      </c>
      <c r="L2472" s="16" t="b">
        <v>0</v>
      </c>
      <c r="M2472" s="16" t="b">
        <v>0</v>
      </c>
      <c r="N2472" s="16" t="b">
        <v>0</v>
      </c>
      <c r="O2472" s="16" t="n">
        <v>402.5</v>
      </c>
      <c r="P2472" s="16" t="n">
        <v>300.032917</v>
      </c>
      <c r="Q2472" s="16" t="n">
        <v>3000</v>
      </c>
      <c r="R2472" s="16" t="n">
        <v>400</v>
      </c>
      <c r="S2472" s="16" t="n">
        <v>0.5</v>
      </c>
      <c r="T2472" s="16" t="n">
        <v>0.85</v>
      </c>
      <c r="U2472" s="16" t="n">
        <v>0.75</v>
      </c>
      <c r="V2472" s="16" t="n">
        <v>0.85</v>
      </c>
      <c r="W2472" s="16" t="n">
        <v>0.75</v>
      </c>
      <c r="X2472" s="16" t="n">
        <v>0.925</v>
      </c>
      <c r="Y2472" s="16" t="n">
        <v>300.032917</v>
      </c>
      <c r="Z2472" s="16" t="n">
        <v>9.472789993629711</v>
      </c>
      <c r="AA2472" s="16" t="n">
        <v>29.74635977964905</v>
      </c>
      <c r="AB2472" s="16" t="n">
        <v>2600</v>
      </c>
      <c r="AC2472" s="16" t="n">
        <v>7.5</v>
      </c>
      <c r="AD2472" s="16" t="inlineStr">
        <is>
          <t>O2</t>
        </is>
      </c>
      <c r="AE2472" s="16" t="n"/>
    </row>
    <row r="2473">
      <c r="A2473" s="16" t="inlineStr">
        <is>
          <t>KF-M05c-0151</t>
        </is>
      </c>
      <c r="B2473" s="16" t="inlineStr">
        <is>
          <t>4.2</t>
        </is>
      </c>
      <c r="C2473" s="16" t="inlineStr">
        <is>
          <t>4.2</t>
        </is>
      </c>
      <c r="D2473" s="16" t="inlineStr">
        <is>
          <t>presiones del profesor, malla T_fuente × ε_cond × clima</t>
        </is>
      </c>
      <c r="E2473" s="16" t="inlineStr">
        <is>
          <t>KF-M05c</t>
        </is>
      </c>
      <c r="F2473" s="16" t="inlineStr">
        <is>
          <t>KF-M05c</t>
        </is>
      </c>
      <c r="G2473" s="16" t="inlineStr">
        <is>
          <t>B10</t>
        </is>
      </c>
      <c r="H2473" s="16" t="inlineStr">
        <is>
          <t>malla</t>
        </is>
      </c>
      <c r="I2473" s="16" t="inlineStr">
        <is>
          <t>CORREGIBLE</t>
        </is>
      </c>
      <c r="J2473" s="16" t="inlineStr">
        <is>
          <t>CORREGIBLE</t>
        </is>
      </c>
      <c r="K2473" s="16" t="b">
        <v>1</v>
      </c>
      <c r="L2473" s="16" t="b">
        <v>0</v>
      </c>
      <c r="M2473" s="16" t="b">
        <v>0</v>
      </c>
      <c r="N2473" s="16" t="b">
        <v>0</v>
      </c>
      <c r="O2473" s="16" t="n">
        <v>405</v>
      </c>
      <c r="P2473" s="16" t="n">
        <v>300.032917</v>
      </c>
      <c r="Q2473" s="16" t="n">
        <v>3000</v>
      </c>
      <c r="R2473" s="16" t="n">
        <v>400</v>
      </c>
      <c r="S2473" s="16" t="n">
        <v>0.5</v>
      </c>
      <c r="T2473" s="16" t="n">
        <v>0.85</v>
      </c>
      <c r="U2473" s="16" t="n">
        <v>0.75</v>
      </c>
      <c r="V2473" s="16" t="n">
        <v>0.85</v>
      </c>
      <c r="W2473" s="16" t="n">
        <v>0.75</v>
      </c>
      <c r="X2473" s="16" t="n">
        <v>0.925</v>
      </c>
      <c r="Y2473" s="16" t="n">
        <v>300.032917</v>
      </c>
      <c r="Z2473" s="16" t="n">
        <v>10.04594616129781</v>
      </c>
      <c r="AA2473" s="16" t="n">
        <v>34.6563472373629</v>
      </c>
      <c r="AB2473" s="16" t="n">
        <v>2600</v>
      </c>
      <c r="AC2473" s="16" t="n">
        <v>7.5</v>
      </c>
      <c r="AD2473" s="16" t="inlineStr">
        <is>
          <t>O2</t>
        </is>
      </c>
      <c r="AE2473" s="16" t="n"/>
    </row>
    <row r="2474">
      <c r="A2474" s="16" t="inlineStr">
        <is>
          <t>KF-M05c-0152</t>
        </is>
      </c>
      <c r="B2474" s="16" t="inlineStr">
        <is>
          <t>4.2</t>
        </is>
      </c>
      <c r="C2474" s="16" t="inlineStr">
        <is>
          <t>4.2</t>
        </is>
      </c>
      <c r="D2474" s="16" t="inlineStr">
        <is>
          <t>presiones del profesor, malla T_fuente × ε_cond × clima</t>
        </is>
      </c>
      <c r="E2474" s="16" t="inlineStr">
        <is>
          <t>KF-M05c</t>
        </is>
      </c>
      <c r="F2474" s="16" t="inlineStr">
        <is>
          <t>KF-M05c</t>
        </is>
      </c>
      <c r="G2474" s="16" t="inlineStr">
        <is>
          <t>B10</t>
        </is>
      </c>
      <c r="H2474" s="16" t="inlineStr">
        <is>
          <t>malla</t>
        </is>
      </c>
      <c r="I2474" s="16" t="inlineStr">
        <is>
          <t>CORREGIBLE</t>
        </is>
      </c>
      <c r="J2474" s="16" t="inlineStr">
        <is>
          <t>CORREGIBLE</t>
        </is>
      </c>
      <c r="K2474" s="16" t="b">
        <v>1</v>
      </c>
      <c r="L2474" s="16" t="b">
        <v>0</v>
      </c>
      <c r="M2474" s="16" t="b">
        <v>0</v>
      </c>
      <c r="N2474" s="16" t="b">
        <v>0</v>
      </c>
      <c r="O2474" s="16" t="n">
        <v>407.5</v>
      </c>
      <c r="P2474" s="16" t="n">
        <v>300.032917</v>
      </c>
      <c r="Q2474" s="16" t="n">
        <v>3000</v>
      </c>
      <c r="R2474" s="16" t="n">
        <v>400</v>
      </c>
      <c r="S2474" s="16" t="n">
        <v>0.5</v>
      </c>
      <c r="T2474" s="16" t="n">
        <v>0.85</v>
      </c>
      <c r="U2474" s="16" t="n">
        <v>0.75</v>
      </c>
      <c r="V2474" s="16" t="n">
        <v>0.85</v>
      </c>
      <c r="W2474" s="16" t="n">
        <v>0.75</v>
      </c>
      <c r="X2474" s="16" t="n">
        <v>0.925</v>
      </c>
      <c r="Y2474" s="16" t="n">
        <v>300.032917</v>
      </c>
      <c r="Z2474" s="16" t="n">
        <v>10.51787054707193</v>
      </c>
      <c r="AA2474" s="16" t="n">
        <v>39.5222695169974</v>
      </c>
      <c r="AB2474" s="16" t="n">
        <v>2600</v>
      </c>
      <c r="AC2474" s="16" t="n">
        <v>7.5</v>
      </c>
      <c r="AD2474" s="16" t="inlineStr">
        <is>
          <t>O2</t>
        </is>
      </c>
      <c r="AE2474" s="16" t="n"/>
    </row>
    <row r="2475">
      <c r="A2475" s="16" t="inlineStr">
        <is>
          <t>KF-M05c-0153</t>
        </is>
      </c>
      <c r="B2475" s="16" t="inlineStr">
        <is>
          <t>4.2</t>
        </is>
      </c>
      <c r="C2475" s="16" t="inlineStr">
        <is>
          <t>4.2</t>
        </is>
      </c>
      <c r="D2475" s="16" t="inlineStr">
        <is>
          <t>presiones del profesor, malla T_fuente × ε_cond × clima</t>
        </is>
      </c>
      <c r="E2475" s="16" t="inlineStr">
        <is>
          <t>KF-M05c</t>
        </is>
      </c>
      <c r="F2475" s="16" t="inlineStr">
        <is>
          <t>KF-M05c</t>
        </is>
      </c>
      <c r="G2475" s="16" t="inlineStr">
        <is>
          <t>B10</t>
        </is>
      </c>
      <c r="H2475" s="16" t="inlineStr">
        <is>
          <t>malla</t>
        </is>
      </c>
      <c r="I2475" s="16" t="inlineStr">
        <is>
          <t>CORREGIBLE</t>
        </is>
      </c>
      <c r="J2475" s="16" t="inlineStr">
        <is>
          <t>CORREGIBLE</t>
        </is>
      </c>
      <c r="K2475" s="16" t="b">
        <v>1</v>
      </c>
      <c r="L2475" s="16" t="b">
        <v>0</v>
      </c>
      <c r="M2475" s="16" t="b">
        <v>0</v>
      </c>
      <c r="N2475" s="16" t="b">
        <v>0</v>
      </c>
      <c r="O2475" s="16" t="n">
        <v>410</v>
      </c>
      <c r="P2475" s="16" t="n">
        <v>300.032917</v>
      </c>
      <c r="Q2475" s="16" t="n">
        <v>3000</v>
      </c>
      <c r="R2475" s="16" t="n">
        <v>400</v>
      </c>
      <c r="S2475" s="16" t="n">
        <v>0.5</v>
      </c>
      <c r="T2475" s="16" t="n">
        <v>0.85</v>
      </c>
      <c r="U2475" s="16" t="n">
        <v>0.75</v>
      </c>
      <c r="V2475" s="16" t="n">
        <v>0.85</v>
      </c>
      <c r="W2475" s="16" t="n">
        <v>0.75</v>
      </c>
      <c r="X2475" s="16" t="n">
        <v>0.925</v>
      </c>
      <c r="Y2475" s="16" t="n">
        <v>300.032917</v>
      </c>
      <c r="Z2475" s="16" t="n">
        <v>10.91319668505189</v>
      </c>
      <c r="AA2475" s="16" t="n">
        <v>44.36497406671455</v>
      </c>
      <c r="AB2475" s="16" t="n">
        <v>2600</v>
      </c>
      <c r="AC2475" s="16" t="n">
        <v>7.5</v>
      </c>
      <c r="AD2475" s="16" t="inlineStr">
        <is>
          <t>O2</t>
        </is>
      </c>
      <c r="AE2475" s="16" t="n"/>
    </row>
    <row r="2476">
      <c r="A2476" s="16" t="inlineStr">
        <is>
          <t>KF-M05c-0154</t>
        </is>
      </c>
      <c r="B2476" s="16" t="inlineStr">
        <is>
          <t>4.2</t>
        </is>
      </c>
      <c r="C2476" s="16" t="inlineStr">
        <is>
          <t>4.2</t>
        </is>
      </c>
      <c r="D2476" s="16" t="inlineStr">
        <is>
          <t>presiones del profesor, malla T_fuente × ε_cond × clima</t>
        </is>
      </c>
      <c r="E2476" s="16" t="inlineStr">
        <is>
          <t>KF-M05c</t>
        </is>
      </c>
      <c r="F2476" s="16" t="inlineStr">
        <is>
          <t>KF-M05c</t>
        </is>
      </c>
      <c r="G2476" s="16" t="inlineStr">
        <is>
          <t>B10</t>
        </is>
      </c>
      <c r="H2476" s="16" t="inlineStr">
        <is>
          <t>malla</t>
        </is>
      </c>
      <c r="I2476" s="16" t="inlineStr">
        <is>
          <t>INVIABLE</t>
        </is>
      </c>
      <c r="J2476" s="16" t="inlineStr">
        <is>
          <t>INVIABLE</t>
        </is>
      </c>
      <c r="K2476" s="16" t="b">
        <v>1</v>
      </c>
      <c r="L2476" s="16" t="b">
        <v>0</v>
      </c>
      <c r="M2476" s="16" t="b">
        <v>0</v>
      </c>
      <c r="N2476" s="16" t="b">
        <v>0</v>
      </c>
      <c r="O2476" s="16" t="n">
        <v>387.5</v>
      </c>
      <c r="P2476" s="16" t="n">
        <v>300.032917</v>
      </c>
      <c r="Q2476" s="16" t="n">
        <v>3000</v>
      </c>
      <c r="R2476" s="16" t="n">
        <v>400</v>
      </c>
      <c r="S2476" s="16" t="n">
        <v>0.5</v>
      </c>
      <c r="T2476" s="16" t="n">
        <v>0.85</v>
      </c>
      <c r="U2476" s="16" t="n">
        <v>0.75</v>
      </c>
      <c r="V2476" s="16" t="n">
        <v>0.85</v>
      </c>
      <c r="W2476" s="16" t="n">
        <v>0.75</v>
      </c>
      <c r="X2476" s="16" t="n">
        <v>0.95</v>
      </c>
      <c r="Y2476" s="16" t="n">
        <v>300.032917</v>
      </c>
      <c r="Z2476" s="16" t="n">
        <v>-1.73640133275227</v>
      </c>
      <c r="AA2476" s="16" t="n">
        <v>-2.001621448853644</v>
      </c>
      <c r="AB2476" s="16" t="n">
        <v>2600</v>
      </c>
      <c r="AC2476" s="16" t="n">
        <v>7.5</v>
      </c>
      <c r="AD2476" s="16" t="inlineStr">
        <is>
          <t>O3</t>
        </is>
      </c>
      <c r="AE2476" s="16" t="n"/>
    </row>
    <row r="2477">
      <c r="A2477" s="16" t="inlineStr">
        <is>
          <t>KF-M05c-0155</t>
        </is>
      </c>
      <c r="B2477" s="16" t="inlineStr">
        <is>
          <t>4.2</t>
        </is>
      </c>
      <c r="C2477" s="16" t="inlineStr">
        <is>
          <t>4.2</t>
        </is>
      </c>
      <c r="D2477" s="16" t="inlineStr">
        <is>
          <t>presiones del profesor, malla T_fuente × ε_cond × clima</t>
        </is>
      </c>
      <c r="E2477" s="16" t="inlineStr">
        <is>
          <t>KF-M05c</t>
        </is>
      </c>
      <c r="F2477" s="16" t="inlineStr">
        <is>
          <t>KF-M05c</t>
        </is>
      </c>
      <c r="G2477" s="16" t="inlineStr">
        <is>
          <t>B10</t>
        </is>
      </c>
      <c r="H2477" s="16" t="inlineStr">
        <is>
          <t>malla</t>
        </is>
      </c>
      <c r="I2477" s="16" t="inlineStr">
        <is>
          <t>KALINA</t>
        </is>
      </c>
      <c r="J2477" s="16" t="inlineStr">
        <is>
          <t>KALINA</t>
        </is>
      </c>
      <c r="K2477" s="16" t="b">
        <v>1</v>
      </c>
      <c r="L2477" s="16" t="b">
        <v>1</v>
      </c>
      <c r="M2477" s="16" t="b">
        <v>0</v>
      </c>
      <c r="N2477" s="16" t="b">
        <v>0</v>
      </c>
      <c r="O2477" s="16" t="n">
        <v>390</v>
      </c>
      <c r="P2477" s="16" t="n">
        <v>300.032917</v>
      </c>
      <c r="Q2477" s="16" t="n">
        <v>3000</v>
      </c>
      <c r="R2477" s="16" t="n">
        <v>400</v>
      </c>
      <c r="S2477" s="16" t="n">
        <v>0.5</v>
      </c>
      <c r="T2477" s="16" t="n">
        <v>0.85</v>
      </c>
      <c r="U2477" s="16" t="n">
        <v>0.75</v>
      </c>
      <c r="V2477" s="16" t="n">
        <v>0.85</v>
      </c>
      <c r="W2477" s="16" t="n">
        <v>0.75</v>
      </c>
      <c r="X2477" s="16" t="n">
        <v>0.95</v>
      </c>
      <c r="Y2477" s="16" t="n">
        <v>300.032917</v>
      </c>
      <c r="Z2477" s="16" t="n">
        <v>2.4420791897284</v>
      </c>
      <c r="AA2477" s="16" t="n">
        <v>3.699010057356048</v>
      </c>
      <c r="AB2477" s="16" t="n">
        <v>2600</v>
      </c>
      <c r="AC2477" s="16" t="n">
        <v>7.5</v>
      </c>
      <c r="AD2477" s="16" t="n"/>
      <c r="AE2477" s="16" t="n"/>
    </row>
    <row r="2478">
      <c r="A2478" s="16" t="inlineStr">
        <is>
          <t>KF-M05c-0156</t>
        </is>
      </c>
      <c r="B2478" s="16" t="inlineStr">
        <is>
          <t>4.2</t>
        </is>
      </c>
      <c r="C2478" s="16" t="inlineStr">
        <is>
          <t>4.2</t>
        </is>
      </c>
      <c r="D2478" s="16" t="inlineStr">
        <is>
          <t>presiones del profesor, malla T_fuente × ε_cond × clima</t>
        </is>
      </c>
      <c r="E2478" s="16" t="inlineStr">
        <is>
          <t>KF-M05c</t>
        </is>
      </c>
      <c r="F2478" s="16" t="inlineStr">
        <is>
          <t>KF-M05c</t>
        </is>
      </c>
      <c r="G2478" s="16" t="inlineStr">
        <is>
          <t>B10</t>
        </is>
      </c>
      <c r="H2478" s="16" t="inlineStr">
        <is>
          <t>malla</t>
        </is>
      </c>
      <c r="I2478" s="16" t="inlineStr">
        <is>
          <t>N2</t>
        </is>
      </c>
      <c r="J2478" s="16" t="inlineStr">
        <is>
          <t>NO_CONVERGIO</t>
        </is>
      </c>
      <c r="K2478" s="16" t="b">
        <v>0</v>
      </c>
      <c r="L2478" s="16" t="b">
        <v>0</v>
      </c>
      <c r="M2478" s="16" t="b">
        <v>0</v>
      </c>
      <c r="N2478" s="16" t="b">
        <v>0</v>
      </c>
      <c r="O2478" s="16" t="n">
        <v>385</v>
      </c>
      <c r="P2478" s="16" t="n">
        <v>300.032917</v>
      </c>
      <c r="Q2478" s="16" t="n">
        <v>3000</v>
      </c>
      <c r="R2478" s="16" t="n">
        <v>400</v>
      </c>
      <c r="S2478" s="16" t="n">
        <v>0.5</v>
      </c>
      <c r="T2478" s="16" t="n">
        <v>0.85</v>
      </c>
      <c r="U2478" s="16" t="n">
        <v>0.75</v>
      </c>
      <c r="V2478" s="16" t="n">
        <v>0.85</v>
      </c>
      <c r="W2478" s="16" t="n">
        <v>0.75</v>
      </c>
      <c r="X2478" s="16" t="n">
        <v>0.95</v>
      </c>
      <c r="Y2478" s="16" t="n">
        <v>300.032917</v>
      </c>
      <c r="Z2478" s="16" t="n">
        <v>-17.34643634335547</v>
      </c>
      <c r="AA2478" s="16" t="n">
        <v>-14.48387371345403</v>
      </c>
      <c r="AB2478" s="16" t="n">
        <v>2600</v>
      </c>
      <c r="AC2478" s="16" t="n">
        <v>7.5</v>
      </c>
      <c r="AD2478" s="16" t="inlineStr">
        <is>
          <t>N2,O3,O5,C1,C3,C3</t>
        </is>
      </c>
      <c r="AE2478" s="16" t="n"/>
    </row>
    <row r="2479">
      <c r="A2479" s="16" t="inlineStr">
        <is>
          <t>KF-M05c-0157</t>
        </is>
      </c>
      <c r="B2479" s="16" t="inlineStr">
        <is>
          <t>4.2</t>
        </is>
      </c>
      <c r="C2479" s="16" t="inlineStr">
        <is>
          <t>4.2</t>
        </is>
      </c>
      <c r="D2479" s="16" t="inlineStr">
        <is>
          <t>presiones del profesor, malla T_fuente × ε_cond × clima</t>
        </is>
      </c>
      <c r="E2479" s="16" t="inlineStr">
        <is>
          <t>KF-M05c</t>
        </is>
      </c>
      <c r="F2479" s="16" t="inlineStr">
        <is>
          <t>KF-M05c</t>
        </is>
      </c>
      <c r="G2479" s="16" t="inlineStr">
        <is>
          <t>B10</t>
        </is>
      </c>
      <c r="H2479" s="16" t="inlineStr">
        <is>
          <t>malla</t>
        </is>
      </c>
      <c r="I2479" s="16" t="inlineStr">
        <is>
          <t>KALINA</t>
        </is>
      </c>
      <c r="J2479" s="16" t="inlineStr">
        <is>
          <t>KALINA</t>
        </is>
      </c>
      <c r="K2479" s="16" t="b">
        <v>1</v>
      </c>
      <c r="L2479" s="16" t="b">
        <v>1</v>
      </c>
      <c r="M2479" s="16" t="b">
        <v>0</v>
      </c>
      <c r="N2479" s="16" t="b">
        <v>0</v>
      </c>
      <c r="O2479" s="16" t="n">
        <v>392.5</v>
      </c>
      <c r="P2479" s="16" t="n">
        <v>300.032917</v>
      </c>
      <c r="Q2479" s="16" t="n">
        <v>3000</v>
      </c>
      <c r="R2479" s="16" t="n">
        <v>400</v>
      </c>
      <c r="S2479" s="16" t="n">
        <v>0.5</v>
      </c>
      <c r="T2479" s="16" t="n">
        <v>0.85</v>
      </c>
      <c r="U2479" s="16" t="n">
        <v>0.75</v>
      </c>
      <c r="V2479" s="16" t="n">
        <v>0.85</v>
      </c>
      <c r="W2479" s="16" t="n">
        <v>0.75</v>
      </c>
      <c r="X2479" s="16" t="n">
        <v>0.95</v>
      </c>
      <c r="Y2479" s="16" t="n">
        <v>300.032917</v>
      </c>
      <c r="Z2479" s="16" t="n">
        <v>4.93071799283961</v>
      </c>
      <c r="AA2479" s="16" t="n">
        <v>9.1845009038874</v>
      </c>
      <c r="AB2479" s="16" t="n">
        <v>2600</v>
      </c>
      <c r="AC2479" s="16" t="n">
        <v>7.5</v>
      </c>
      <c r="AD2479" s="16" t="n"/>
      <c r="AE2479" s="16" t="n"/>
    </row>
    <row r="2480">
      <c r="A2480" s="16" t="inlineStr">
        <is>
          <t>KF-M05c-0158</t>
        </is>
      </c>
      <c r="B2480" s="16" t="inlineStr">
        <is>
          <t>4.2</t>
        </is>
      </c>
      <c r="C2480" s="16" t="inlineStr">
        <is>
          <t>4.2</t>
        </is>
      </c>
      <c r="D2480" s="16" t="inlineStr">
        <is>
          <t>presiones del profesor, malla T_fuente × ε_cond × clima</t>
        </is>
      </c>
      <c r="E2480" s="16" t="inlineStr">
        <is>
          <t>KF-M05c</t>
        </is>
      </c>
      <c r="F2480" s="16" t="inlineStr">
        <is>
          <t>KF-M05c</t>
        </is>
      </c>
      <c r="G2480" s="16" t="inlineStr">
        <is>
          <t>B10</t>
        </is>
      </c>
      <c r="H2480" s="16" t="inlineStr">
        <is>
          <t>malla</t>
        </is>
      </c>
      <c r="I2480" s="16" t="inlineStr">
        <is>
          <t>KALINA</t>
        </is>
      </c>
      <c r="J2480" s="16" t="inlineStr">
        <is>
          <t>KALINA</t>
        </is>
      </c>
      <c r="K2480" s="16" t="b">
        <v>1</v>
      </c>
      <c r="L2480" s="16" t="b">
        <v>1</v>
      </c>
      <c r="M2480" s="16" t="b">
        <v>0</v>
      </c>
      <c r="N2480" s="16" t="b">
        <v>0</v>
      </c>
      <c r="O2480" s="16" t="n">
        <v>395</v>
      </c>
      <c r="P2480" s="16" t="n">
        <v>300.032917</v>
      </c>
      <c r="Q2480" s="16" t="n">
        <v>3000</v>
      </c>
      <c r="R2480" s="16" t="n">
        <v>400</v>
      </c>
      <c r="S2480" s="16" t="n">
        <v>0.5</v>
      </c>
      <c r="T2480" s="16" t="n">
        <v>0.85</v>
      </c>
      <c r="U2480" s="16" t="n">
        <v>0.75</v>
      </c>
      <c r="V2480" s="16" t="n">
        <v>0.85</v>
      </c>
      <c r="W2480" s="16" t="n">
        <v>0.75</v>
      </c>
      <c r="X2480" s="16" t="n">
        <v>0.95</v>
      </c>
      <c r="Y2480" s="16" t="n">
        <v>300.032917</v>
      </c>
      <c r="Z2480" s="16" t="n">
        <v>6.590047575921409</v>
      </c>
      <c r="AA2480" s="16" t="n">
        <v>14.49473499955584</v>
      </c>
      <c r="AB2480" s="16" t="n">
        <v>2600</v>
      </c>
      <c r="AC2480" s="16" t="n">
        <v>7.5</v>
      </c>
      <c r="AD2480" s="16" t="n"/>
      <c r="AE2480" s="16" t="n"/>
    </row>
    <row r="2481">
      <c r="A2481" s="16" t="inlineStr">
        <is>
          <t>KF-M05c-0159</t>
        </is>
      </c>
      <c r="B2481" s="16" t="inlineStr">
        <is>
          <t>4.2</t>
        </is>
      </c>
      <c r="C2481" s="16" t="inlineStr">
        <is>
          <t>4.2</t>
        </is>
      </c>
      <c r="D2481" s="16" t="inlineStr">
        <is>
          <t>presiones del profesor, malla T_fuente × ε_cond × clima</t>
        </is>
      </c>
      <c r="E2481" s="16" t="inlineStr">
        <is>
          <t>KF-M05c</t>
        </is>
      </c>
      <c r="F2481" s="16" t="inlineStr">
        <is>
          <t>KF-M05c</t>
        </is>
      </c>
      <c r="G2481" s="16" t="inlineStr">
        <is>
          <t>B10</t>
        </is>
      </c>
      <c r="H2481" s="16" t="inlineStr">
        <is>
          <t>malla</t>
        </is>
      </c>
      <c r="I2481" s="16" t="inlineStr">
        <is>
          <t>KALINA</t>
        </is>
      </c>
      <c r="J2481" s="16" t="inlineStr">
        <is>
          <t>KALINA</t>
        </is>
      </c>
      <c r="K2481" s="16" t="b">
        <v>1</v>
      </c>
      <c r="L2481" s="16" t="b">
        <v>1</v>
      </c>
      <c r="M2481" s="16" t="b">
        <v>0</v>
      </c>
      <c r="N2481" s="16" t="b">
        <v>0</v>
      </c>
      <c r="O2481" s="16" t="n">
        <v>397.5</v>
      </c>
      <c r="P2481" s="16" t="n">
        <v>300.032917</v>
      </c>
      <c r="Q2481" s="16" t="n">
        <v>3000</v>
      </c>
      <c r="R2481" s="16" t="n">
        <v>400</v>
      </c>
      <c r="S2481" s="16" t="n">
        <v>0.5</v>
      </c>
      <c r="T2481" s="16" t="n">
        <v>0.85</v>
      </c>
      <c r="U2481" s="16" t="n">
        <v>0.75</v>
      </c>
      <c r="V2481" s="16" t="n">
        <v>0.85</v>
      </c>
      <c r="W2481" s="16" t="n">
        <v>0.75</v>
      </c>
      <c r="X2481" s="16" t="n">
        <v>0.95</v>
      </c>
      <c r="Y2481" s="16" t="n">
        <v>300.032917</v>
      </c>
      <c r="Z2481" s="16" t="n">
        <v>7.78017930624588</v>
      </c>
      <c r="AA2481" s="16" t="n">
        <v>19.66344790150421</v>
      </c>
      <c r="AB2481" s="16" t="n">
        <v>2600</v>
      </c>
      <c r="AC2481" s="16" t="n">
        <v>7.5</v>
      </c>
      <c r="AD2481" s="16" t="n"/>
      <c r="AE2481" s="16" t="n"/>
    </row>
    <row r="2482">
      <c r="A2482" s="16" t="inlineStr">
        <is>
          <t>KF-M05c-0160</t>
        </is>
      </c>
      <c r="B2482" s="16" t="inlineStr">
        <is>
          <t>4.2</t>
        </is>
      </c>
      <c r="C2482" s="16" t="inlineStr">
        <is>
          <t>4.2</t>
        </is>
      </c>
      <c r="D2482" s="16" t="inlineStr">
        <is>
          <t>presiones del profesor, malla T_fuente × ε_cond × clima</t>
        </is>
      </c>
      <c r="E2482" s="16" t="inlineStr">
        <is>
          <t>KF-M05c</t>
        </is>
      </c>
      <c r="F2482" s="16" t="inlineStr">
        <is>
          <t>KF-M05c</t>
        </is>
      </c>
      <c r="G2482" s="16" t="inlineStr">
        <is>
          <t>B10</t>
        </is>
      </c>
      <c r="H2482" s="16" t="inlineStr">
        <is>
          <t>malla</t>
        </is>
      </c>
      <c r="I2482" s="16" t="inlineStr">
        <is>
          <t>KALINA</t>
        </is>
      </c>
      <c r="J2482" s="16" t="inlineStr">
        <is>
          <t>KALINA</t>
        </is>
      </c>
      <c r="K2482" s="16" t="b">
        <v>1</v>
      </c>
      <c r="L2482" s="16" t="b">
        <v>1</v>
      </c>
      <c r="M2482" s="16" t="b">
        <v>0</v>
      </c>
      <c r="N2482" s="16" t="b">
        <v>0</v>
      </c>
      <c r="O2482" s="16" t="n">
        <v>400</v>
      </c>
      <c r="P2482" s="16" t="n">
        <v>300.032917</v>
      </c>
      <c r="Q2482" s="16" t="n">
        <v>3000</v>
      </c>
      <c r="R2482" s="16" t="n">
        <v>400</v>
      </c>
      <c r="S2482" s="16" t="n">
        <v>0.5</v>
      </c>
      <c r="T2482" s="16" t="n">
        <v>0.85</v>
      </c>
      <c r="U2482" s="16" t="n">
        <v>0.75</v>
      </c>
      <c r="V2482" s="16" t="n">
        <v>0.85</v>
      </c>
      <c r="W2482" s="16" t="n">
        <v>0.75</v>
      </c>
      <c r="X2482" s="16" t="n">
        <v>0.95</v>
      </c>
      <c r="Y2482" s="16" t="n">
        <v>300.032917</v>
      </c>
      <c r="Z2482" s="16" t="n">
        <v>8.678328382407271</v>
      </c>
      <c r="AA2482" s="16" t="n">
        <v>24.71982148139507</v>
      </c>
      <c r="AB2482" s="16" t="n">
        <v>2600</v>
      </c>
      <c r="AC2482" s="16" t="n">
        <v>7.5</v>
      </c>
      <c r="AD2482" s="16" t="n"/>
      <c r="AE2482" s="16" t="n"/>
    </row>
    <row r="2483">
      <c r="A2483" s="16" t="inlineStr">
        <is>
          <t>KF-M05c-0161</t>
        </is>
      </c>
      <c r="B2483" s="16" t="inlineStr">
        <is>
          <t>4.2</t>
        </is>
      </c>
      <c r="C2483" s="16" t="inlineStr">
        <is>
          <t>4.2</t>
        </is>
      </c>
      <c r="D2483" s="16" t="inlineStr">
        <is>
          <t>presiones del profesor, malla T_fuente × ε_cond × clima</t>
        </is>
      </c>
      <c r="E2483" s="16" t="inlineStr">
        <is>
          <t>KF-M05c</t>
        </is>
      </c>
      <c r="F2483" s="16" t="inlineStr">
        <is>
          <t>KF-M05c</t>
        </is>
      </c>
      <c r="G2483" s="16" t="inlineStr">
        <is>
          <t>B10</t>
        </is>
      </c>
      <c r="H2483" s="16" t="inlineStr">
        <is>
          <t>malla</t>
        </is>
      </c>
      <c r="I2483" s="16" t="inlineStr">
        <is>
          <t>KALINA</t>
        </is>
      </c>
      <c r="J2483" s="16" t="inlineStr">
        <is>
          <t>KALINA</t>
        </is>
      </c>
      <c r="K2483" s="16" t="b">
        <v>1</v>
      </c>
      <c r="L2483" s="16" t="b">
        <v>1</v>
      </c>
      <c r="M2483" s="16" t="b">
        <v>0</v>
      </c>
      <c r="N2483" s="16" t="b">
        <v>0</v>
      </c>
      <c r="O2483" s="16" t="n">
        <v>402.5</v>
      </c>
      <c r="P2483" s="16" t="n">
        <v>300.032917</v>
      </c>
      <c r="Q2483" s="16" t="n">
        <v>3000</v>
      </c>
      <c r="R2483" s="16" t="n">
        <v>400</v>
      </c>
      <c r="S2483" s="16" t="n">
        <v>0.5</v>
      </c>
      <c r="T2483" s="16" t="n">
        <v>0.85</v>
      </c>
      <c r="U2483" s="16" t="n">
        <v>0.75</v>
      </c>
      <c r="V2483" s="16" t="n">
        <v>0.85</v>
      </c>
      <c r="W2483" s="16" t="n">
        <v>0.75</v>
      </c>
      <c r="X2483" s="16" t="n">
        <v>0.95</v>
      </c>
      <c r="Y2483" s="16" t="n">
        <v>300.032917</v>
      </c>
      <c r="Z2483" s="16" t="n">
        <v>9.381829068196421</v>
      </c>
      <c r="AA2483" s="16" t="n">
        <v>29.68971006541539</v>
      </c>
      <c r="AB2483" s="16" t="n">
        <v>2600</v>
      </c>
      <c r="AC2483" s="16" t="n">
        <v>7.5</v>
      </c>
      <c r="AD2483" s="16" t="n"/>
      <c r="AE2483" s="16" t="n"/>
    </row>
    <row r="2484">
      <c r="A2484" s="16" t="inlineStr">
        <is>
          <t>KF-M05c-0162</t>
        </is>
      </c>
      <c r="B2484" s="16" t="inlineStr">
        <is>
          <t>4.2</t>
        </is>
      </c>
      <c r="C2484" s="16" t="inlineStr">
        <is>
          <t>4.2</t>
        </is>
      </c>
      <c r="D2484" s="16" t="inlineStr">
        <is>
          <t>presiones del profesor, malla T_fuente × ε_cond × clima</t>
        </is>
      </c>
      <c r="E2484" s="16" t="inlineStr">
        <is>
          <t>KF-M05c</t>
        </is>
      </c>
      <c r="F2484" s="16" t="inlineStr">
        <is>
          <t>KF-M05c</t>
        </is>
      </c>
      <c r="G2484" s="16" t="inlineStr">
        <is>
          <t>B10</t>
        </is>
      </c>
      <c r="H2484" s="16" t="inlineStr">
        <is>
          <t>malla</t>
        </is>
      </c>
      <c r="I2484" s="16" t="inlineStr">
        <is>
          <t>KALINA</t>
        </is>
      </c>
      <c r="J2484" s="16" t="inlineStr">
        <is>
          <t>KALINA</t>
        </is>
      </c>
      <c r="K2484" s="16" t="b">
        <v>1</v>
      </c>
      <c r="L2484" s="16" t="b">
        <v>1</v>
      </c>
      <c r="M2484" s="16" t="b">
        <v>0</v>
      </c>
      <c r="N2484" s="16" t="b">
        <v>0</v>
      </c>
      <c r="O2484" s="16" t="n">
        <v>405</v>
      </c>
      <c r="P2484" s="16" t="n">
        <v>300.032917</v>
      </c>
      <c r="Q2484" s="16" t="n">
        <v>3000</v>
      </c>
      <c r="R2484" s="16" t="n">
        <v>400</v>
      </c>
      <c r="S2484" s="16" t="n">
        <v>0.5</v>
      </c>
      <c r="T2484" s="16" t="n">
        <v>0.85</v>
      </c>
      <c r="U2484" s="16" t="n">
        <v>0.75</v>
      </c>
      <c r="V2484" s="16" t="n">
        <v>0.85</v>
      </c>
      <c r="W2484" s="16" t="n">
        <v>0.75</v>
      </c>
      <c r="X2484" s="16" t="n">
        <v>0.95</v>
      </c>
      <c r="Y2484" s="16" t="n">
        <v>300.032917</v>
      </c>
      <c r="Z2484" s="16" t="n">
        <v>9.948632653544861</v>
      </c>
      <c r="AA2484" s="16" t="n">
        <v>34.59662588089954</v>
      </c>
      <c r="AB2484" s="16" t="n">
        <v>2600</v>
      </c>
      <c r="AC2484" s="16" t="n">
        <v>7.5</v>
      </c>
      <c r="AD2484" s="16" t="n"/>
      <c r="AE2484" s="16" t="n"/>
    </row>
    <row r="2485">
      <c r="A2485" s="16" t="inlineStr">
        <is>
          <t>KF-M05c-0163</t>
        </is>
      </c>
      <c r="B2485" s="16" t="inlineStr">
        <is>
          <t>4.2</t>
        </is>
      </c>
      <c r="C2485" s="16" t="inlineStr">
        <is>
          <t>4.2</t>
        </is>
      </c>
      <c r="D2485" s="16" t="inlineStr">
        <is>
          <t>presiones del profesor, malla T_fuente × ε_cond × clima</t>
        </is>
      </c>
      <c r="E2485" s="16" t="inlineStr">
        <is>
          <t>KF-M05c</t>
        </is>
      </c>
      <c r="F2485" s="16" t="inlineStr">
        <is>
          <t>KF-M05c</t>
        </is>
      </c>
      <c r="G2485" s="16" t="inlineStr">
        <is>
          <t>B10</t>
        </is>
      </c>
      <c r="H2485" s="16" t="inlineStr">
        <is>
          <t>malla</t>
        </is>
      </c>
      <c r="I2485" s="16" t="inlineStr">
        <is>
          <t>KALINA</t>
        </is>
      </c>
      <c r="J2485" s="16" t="inlineStr">
        <is>
          <t>KALINA</t>
        </is>
      </c>
      <c r="K2485" s="16" t="b">
        <v>1</v>
      </c>
      <c r="L2485" s="16" t="b">
        <v>1</v>
      </c>
      <c r="M2485" s="16" t="b">
        <v>0</v>
      </c>
      <c r="N2485" s="16" t="b">
        <v>0</v>
      </c>
      <c r="O2485" s="16" t="n">
        <v>407.5</v>
      </c>
      <c r="P2485" s="16" t="n">
        <v>300.032917</v>
      </c>
      <c r="Q2485" s="16" t="n">
        <v>3000</v>
      </c>
      <c r="R2485" s="16" t="n">
        <v>400</v>
      </c>
      <c r="S2485" s="16" t="n">
        <v>0.5</v>
      </c>
      <c r="T2485" s="16" t="n">
        <v>0.85</v>
      </c>
      <c r="U2485" s="16" t="n">
        <v>0.75</v>
      </c>
      <c r="V2485" s="16" t="n">
        <v>0.85</v>
      </c>
      <c r="W2485" s="16" t="n">
        <v>0.75</v>
      </c>
      <c r="X2485" s="16" t="n">
        <v>0.95</v>
      </c>
      <c r="Y2485" s="16" t="n">
        <v>300.032917</v>
      </c>
      <c r="Z2485" s="16" t="n">
        <v>10.41540869428664</v>
      </c>
      <c r="AA2485" s="16" t="n">
        <v>39.46245238457458</v>
      </c>
      <c r="AB2485" s="16" t="n">
        <v>2600</v>
      </c>
      <c r="AC2485" s="16" t="n">
        <v>7.5</v>
      </c>
      <c r="AD2485" s="16" t="n"/>
      <c r="AE2485" s="16" t="n"/>
    </row>
    <row r="2486">
      <c r="A2486" s="16" t="inlineStr">
        <is>
          <t>KF-M05c-0164</t>
        </is>
      </c>
      <c r="B2486" s="16" t="inlineStr">
        <is>
          <t>4.2</t>
        </is>
      </c>
      <c r="C2486" s="16" t="inlineStr">
        <is>
          <t>4.2</t>
        </is>
      </c>
      <c r="D2486" s="16" t="inlineStr">
        <is>
          <t>presiones del profesor, malla T_fuente × ε_cond × clima</t>
        </is>
      </c>
      <c r="E2486" s="16" t="inlineStr">
        <is>
          <t>KF-M05c</t>
        </is>
      </c>
      <c r="F2486" s="16" t="inlineStr">
        <is>
          <t>KF-M05c</t>
        </is>
      </c>
      <c r="G2486" s="16" t="inlineStr">
        <is>
          <t>B10</t>
        </is>
      </c>
      <c r="H2486" s="16" t="inlineStr">
        <is>
          <t>malla</t>
        </is>
      </c>
      <c r="I2486" s="16" t="inlineStr">
        <is>
          <t>KALINA</t>
        </is>
      </c>
      <c r="J2486" s="16" t="inlineStr">
        <is>
          <t>KALINA</t>
        </is>
      </c>
      <c r="K2486" s="16" t="b">
        <v>1</v>
      </c>
      <c r="L2486" s="16" t="b">
        <v>1</v>
      </c>
      <c r="M2486" s="16" t="b">
        <v>0</v>
      </c>
      <c r="N2486" s="16" t="b">
        <v>0</v>
      </c>
      <c r="O2486" s="16" t="n">
        <v>410</v>
      </c>
      <c r="P2486" s="16" t="n">
        <v>300.032917</v>
      </c>
      <c r="Q2486" s="16" t="n">
        <v>3000</v>
      </c>
      <c r="R2486" s="16" t="n">
        <v>400</v>
      </c>
      <c r="S2486" s="16" t="n">
        <v>0.5</v>
      </c>
      <c r="T2486" s="16" t="n">
        <v>0.85</v>
      </c>
      <c r="U2486" s="16" t="n">
        <v>0.75</v>
      </c>
      <c r="V2486" s="16" t="n">
        <v>0.85</v>
      </c>
      <c r="W2486" s="16" t="n">
        <v>0.75</v>
      </c>
      <c r="X2486" s="16" t="n">
        <v>0.95</v>
      </c>
      <c r="Y2486" s="16" t="n">
        <v>300.032917</v>
      </c>
      <c r="Z2486" s="16" t="n">
        <v>10.80651724015787</v>
      </c>
      <c r="AA2486" s="16" t="n">
        <v>44.30802720897731</v>
      </c>
      <c r="AB2486" s="16" t="n">
        <v>2600</v>
      </c>
      <c r="AC2486" s="16" t="n">
        <v>7.5</v>
      </c>
      <c r="AD2486" s="16" t="n"/>
      <c r="AE2486" s="16" t="n"/>
    </row>
    <row r="2487">
      <c r="A2487" s="16" t="inlineStr">
        <is>
          <t>KF-M07-A1-0000</t>
        </is>
      </c>
      <c r="B2487" s="16" t="inlineStr">
        <is>
          <t>5.1</t>
        </is>
      </c>
      <c r="C2487" s="16" t="inlineStr">
        <is>
          <t>5.1a</t>
        </is>
      </c>
      <c r="D2487" s="16" t="inlineStr">
        <is>
          <t>libre, desde el mejor de 3.2</t>
        </is>
      </c>
      <c r="E2487" s="16" t="inlineStr">
        <is>
          <t>KF-M07</t>
        </is>
      </c>
      <c r="F2487" s="16" t="inlineStr">
        <is>
          <t>KF-M07-A1</t>
        </is>
      </c>
      <c r="G2487" s="16" t="inlineStr">
        <is>
          <t>B11-A1</t>
        </is>
      </c>
      <c r="H2487" s="16" t="inlineStr">
        <is>
          <t>busqueda</t>
        </is>
      </c>
      <c r="I2487" s="16" t="inlineStr">
        <is>
          <t>KALINA</t>
        </is>
      </c>
      <c r="J2487" s="16" t="inlineStr">
        <is>
          <t>KALINA</t>
        </is>
      </c>
      <c r="K2487" s="16" t="b">
        <v>1</v>
      </c>
      <c r="L2487" s="16" t="b">
        <v>1</v>
      </c>
      <c r="M2487" s="16" t="b">
        <v>0</v>
      </c>
      <c r="N2487" s="16" t="b">
        <v>0</v>
      </c>
      <c r="O2487" s="16" t="n">
        <v>436.0969531091276</v>
      </c>
      <c r="P2487" s="16" t="n">
        <v>279.0977013205448</v>
      </c>
      <c r="Q2487" s="16" t="n">
        <v>3481.823024523768</v>
      </c>
      <c r="R2487" s="16" t="n">
        <v>808.3402577390962</v>
      </c>
      <c r="S2487" s="16" t="n">
        <v>0.6347489709498951</v>
      </c>
      <c r="T2487" s="16" t="n">
        <v>0.9184829805028722</v>
      </c>
      <c r="U2487" s="16" t="n">
        <v>0.7460814839003643</v>
      </c>
      <c r="V2487" s="16" t="n">
        <v>0.6777311085206517</v>
      </c>
      <c r="W2487" s="16" t="n">
        <v>0.9415298192493302</v>
      </c>
      <c r="X2487" s="16" t="n">
        <v>0.8418262585071621</v>
      </c>
      <c r="Y2487" s="16" t="n">
        <v>279.0977013205448</v>
      </c>
      <c r="Z2487" s="16" t="n">
        <v>12.30159889633283</v>
      </c>
      <c r="AA2487" s="16" t="n">
        <v>91.41821112392584</v>
      </c>
      <c r="AB2487" s="16" t="n">
        <v>2673.482766784672</v>
      </c>
      <c r="AC2487" s="16" t="n">
        <v>4.307373029103269</v>
      </c>
      <c r="AD2487" s="16" t="n"/>
      <c r="AE2487" s="16" t="n"/>
    </row>
    <row r="2488">
      <c r="A2488" s="16" t="inlineStr">
        <is>
          <t>KF-M07-A1-0001</t>
        </is>
      </c>
      <c r="B2488" s="16" t="inlineStr">
        <is>
          <t>5.1</t>
        </is>
      </c>
      <c r="C2488" s="16" t="inlineStr">
        <is>
          <t>5.1a</t>
        </is>
      </c>
      <c r="D2488" s="16" t="inlineStr">
        <is>
          <t>libre, desde el mejor de 3.2</t>
        </is>
      </c>
      <c r="E2488" s="16" t="inlineStr">
        <is>
          <t>KF-M07</t>
        </is>
      </c>
      <c r="F2488" s="16" t="inlineStr">
        <is>
          <t>KF-M07-A1</t>
        </is>
      </c>
      <c r="G2488" s="16" t="inlineStr">
        <is>
          <t>B11-A1</t>
        </is>
      </c>
      <c r="H2488" s="16" t="inlineStr">
        <is>
          <t>busqueda</t>
        </is>
      </c>
      <c r="I2488" s="16" t="inlineStr">
        <is>
          <t>CORREGIBLE</t>
        </is>
      </c>
      <c r="J2488" s="16" t="inlineStr">
        <is>
          <t>CORREGIBLE</t>
        </is>
      </c>
      <c r="K2488" s="16" t="b">
        <v>1</v>
      </c>
      <c r="L2488" s="16" t="b">
        <v>0</v>
      </c>
      <c r="M2488" s="16" t="b">
        <v>1</v>
      </c>
      <c r="N2488" s="16" t="b">
        <v>0</v>
      </c>
      <c r="O2488" s="16" t="n">
        <v>448.0969531091276</v>
      </c>
      <c r="P2488" s="16" t="n">
        <v>279.0977013205448</v>
      </c>
      <c r="Q2488" s="16" t="n">
        <v>3481.823024523768</v>
      </c>
      <c r="R2488" s="16" t="n">
        <v>808.3402577390962</v>
      </c>
      <c r="S2488" s="16" t="n">
        <v>0.6347489709498951</v>
      </c>
      <c r="T2488" s="16" t="n">
        <v>0.9184829805028722</v>
      </c>
      <c r="U2488" s="16" t="n">
        <v>0.7460814839003644</v>
      </c>
      <c r="V2488" s="16" t="n">
        <v>0.6777311085206517</v>
      </c>
      <c r="W2488" s="16" t="n">
        <v>0.9415298192493302</v>
      </c>
      <c r="X2488" s="16" t="n">
        <v>0.8418262585071621</v>
      </c>
      <c r="Y2488" s="16" t="n">
        <v>279.0977013205448</v>
      </c>
      <c r="Z2488" s="16" t="n">
        <v>12.445887730834</v>
      </c>
      <c r="AA2488" s="16" t="n">
        <v>113.1741443576212</v>
      </c>
      <c r="AB2488" s="16" t="n">
        <v>2673.482766784672</v>
      </c>
      <c r="AC2488" s="16" t="n">
        <v>4.307373029103269</v>
      </c>
      <c r="AD2488" s="16" t="inlineStr">
        <is>
          <t>O2</t>
        </is>
      </c>
      <c r="AE2488" s="16" t="n"/>
    </row>
    <row r="2489">
      <c r="A2489" s="16" t="inlineStr">
        <is>
          <t>KF-M07-A1-0002</t>
        </is>
      </c>
      <c r="B2489" s="16" t="inlineStr">
        <is>
          <t>5.1</t>
        </is>
      </c>
      <c r="C2489" s="16" t="inlineStr">
        <is>
          <t>5.1a</t>
        </is>
      </c>
      <c r="D2489" s="16" t="inlineStr">
        <is>
          <t>libre, desde el mejor de 3.2</t>
        </is>
      </c>
      <c r="E2489" s="16" t="inlineStr">
        <is>
          <t>KF-M07</t>
        </is>
      </c>
      <c r="F2489" s="16" t="inlineStr">
        <is>
          <t>KF-M07-A1</t>
        </is>
      </c>
      <c r="G2489" s="16" t="inlineStr">
        <is>
          <t>B11-A1</t>
        </is>
      </c>
      <c r="H2489" s="16" t="inlineStr">
        <is>
          <t>busqueda</t>
        </is>
      </c>
      <c r="I2489" s="16" t="inlineStr">
        <is>
          <t>KALINA</t>
        </is>
      </c>
      <c r="J2489" s="16" t="inlineStr">
        <is>
          <t>KALINA</t>
        </is>
      </c>
      <c r="K2489" s="16" t="b">
        <v>1</v>
      </c>
      <c r="L2489" s="16" t="b">
        <v>1</v>
      </c>
      <c r="M2489" s="16" t="b">
        <v>0</v>
      </c>
      <c r="N2489" s="16" t="b">
        <v>0</v>
      </c>
      <c r="O2489" s="16" t="n">
        <v>424.0969531091276</v>
      </c>
      <c r="P2489" s="16" t="n">
        <v>279.0977013205448</v>
      </c>
      <c r="Q2489" s="16" t="n">
        <v>3481.823024523768</v>
      </c>
      <c r="R2489" s="16" t="n">
        <v>808.3402577390962</v>
      </c>
      <c r="S2489" s="16" t="n">
        <v>0.6347489709498951</v>
      </c>
      <c r="T2489" s="16" t="n">
        <v>0.9184829805028722</v>
      </c>
      <c r="U2489" s="16" t="n">
        <v>0.7460814839003644</v>
      </c>
      <c r="V2489" s="16" t="n">
        <v>0.6777311085206517</v>
      </c>
      <c r="W2489" s="16" t="n">
        <v>0.9415298192493302</v>
      </c>
      <c r="X2489" s="16" t="n">
        <v>0.8418262585071621</v>
      </c>
      <c r="Y2489" s="16" t="n">
        <v>279.0977013205448</v>
      </c>
      <c r="Z2489" s="16" t="n">
        <v>12.03318097317471</v>
      </c>
      <c r="AA2489" s="16" t="n">
        <v>73.34441933233077</v>
      </c>
      <c r="AB2489" s="16" t="n">
        <v>2673.482766784672</v>
      </c>
      <c r="AC2489" s="16" t="n">
        <v>4.307373029103269</v>
      </c>
      <c r="AD2489" s="16" t="n"/>
      <c r="AE2489" s="16" t="n"/>
    </row>
    <row r="2490">
      <c r="A2490" s="16" t="inlineStr">
        <is>
          <t>KF-M07-A1-0003</t>
        </is>
      </c>
      <c r="B2490" s="16" t="inlineStr">
        <is>
          <t>5.1</t>
        </is>
      </c>
      <c r="C2490" s="16" t="inlineStr">
        <is>
          <t>5.1a</t>
        </is>
      </c>
      <c r="D2490" s="16" t="inlineStr">
        <is>
          <t>libre, desde el mejor de 3.2</t>
        </is>
      </c>
      <c r="E2490" s="16" t="inlineStr">
        <is>
          <t>KF-M07</t>
        </is>
      </c>
      <c r="F2490" s="16" t="inlineStr">
        <is>
          <t>KF-M07-A1</t>
        </is>
      </c>
      <c r="G2490" s="16" t="inlineStr">
        <is>
          <t>B11-A1</t>
        </is>
      </c>
      <c r="H2490" s="16" t="inlineStr">
        <is>
          <t>busqueda</t>
        </is>
      </c>
      <c r="I2490" s="16" t="inlineStr">
        <is>
          <t>KALINA</t>
        </is>
      </c>
      <c r="J2490" s="16" t="inlineStr">
        <is>
          <t>KALINA</t>
        </is>
      </c>
      <c r="K2490" s="16" t="b">
        <v>1</v>
      </c>
      <c r="L2490" s="16" t="b">
        <v>1</v>
      </c>
      <c r="M2490" s="16" t="b">
        <v>0</v>
      </c>
      <c r="N2490" s="16" t="b">
        <v>0</v>
      </c>
      <c r="O2490" s="16" t="n">
        <v>436.0969531091276</v>
      </c>
      <c r="P2490" s="16" t="n">
        <v>281.6377013205448</v>
      </c>
      <c r="Q2490" s="16" t="n">
        <v>3481.823024523768</v>
      </c>
      <c r="R2490" s="16" t="n">
        <v>808.3402577390962</v>
      </c>
      <c r="S2490" s="16" t="n">
        <v>0.6347489709498951</v>
      </c>
      <c r="T2490" s="16" t="n">
        <v>0.9184829805028722</v>
      </c>
      <c r="U2490" s="16" t="n">
        <v>0.7460814839003644</v>
      </c>
      <c r="V2490" s="16" t="n">
        <v>0.6777311085206517</v>
      </c>
      <c r="W2490" s="16" t="n">
        <v>0.9415298192493302</v>
      </c>
      <c r="X2490" s="16" t="n">
        <v>0.8418262585071621</v>
      </c>
      <c r="Y2490" s="16" t="n">
        <v>281.6377013205448</v>
      </c>
      <c r="Z2490" s="16" t="n">
        <v>12.39294749092153</v>
      </c>
      <c r="AA2490" s="16" t="n">
        <v>91.63883436357033</v>
      </c>
      <c r="AB2490" s="16" t="n">
        <v>2673.482766784672</v>
      </c>
      <c r="AC2490" s="16" t="n">
        <v>4.307373029103269</v>
      </c>
      <c r="AD2490" s="16" t="n"/>
      <c r="AE2490" s="16" t="n"/>
    </row>
    <row r="2491">
      <c r="A2491" s="16" t="inlineStr">
        <is>
          <t>KF-M07-A1-0004</t>
        </is>
      </c>
      <c r="B2491" s="16" t="inlineStr">
        <is>
          <t>5.1</t>
        </is>
      </c>
      <c r="C2491" s="16" t="inlineStr">
        <is>
          <t>5.1a</t>
        </is>
      </c>
      <c r="D2491" s="16" t="inlineStr">
        <is>
          <t>libre, desde el mejor de 3.2</t>
        </is>
      </c>
      <c r="E2491" s="16" t="inlineStr">
        <is>
          <t>KF-M07</t>
        </is>
      </c>
      <c r="F2491" s="16" t="inlineStr">
        <is>
          <t>KF-M07-A1</t>
        </is>
      </c>
      <c r="G2491" s="16" t="inlineStr">
        <is>
          <t>B11-A1</t>
        </is>
      </c>
      <c r="H2491" s="16" t="inlineStr">
        <is>
          <t>busqueda</t>
        </is>
      </c>
      <c r="I2491" s="16" t="inlineStr">
        <is>
          <t>KALINA</t>
        </is>
      </c>
      <c r="J2491" s="16" t="inlineStr">
        <is>
          <t>KALINA</t>
        </is>
      </c>
      <c r="K2491" s="16" t="b">
        <v>1</v>
      </c>
      <c r="L2491" s="16" t="b">
        <v>1</v>
      </c>
      <c r="M2491" s="16" t="b">
        <v>0</v>
      </c>
      <c r="N2491" s="16" t="b">
        <v>0</v>
      </c>
      <c r="O2491" s="16" t="n">
        <v>436.0969531091276</v>
      </c>
      <c r="P2491" s="16" t="n">
        <v>278.15</v>
      </c>
      <c r="Q2491" s="16" t="n">
        <v>3481.823024523768</v>
      </c>
      <c r="R2491" s="16" t="n">
        <v>808.3402577390962</v>
      </c>
      <c r="S2491" s="16" t="n">
        <v>0.6347489709498951</v>
      </c>
      <c r="T2491" s="16" t="n">
        <v>0.9184829805028722</v>
      </c>
      <c r="U2491" s="16" t="n">
        <v>0.7460814839003644</v>
      </c>
      <c r="V2491" s="16" t="n">
        <v>0.6777311085206517</v>
      </c>
      <c r="W2491" s="16" t="n">
        <v>0.9415298192493302</v>
      </c>
      <c r="X2491" s="16" t="n">
        <v>0.8418262585071621</v>
      </c>
      <c r="Y2491" s="16" t="n">
        <v>278.15</v>
      </c>
      <c r="Z2491" s="16" t="n">
        <v>12.26785002752522</v>
      </c>
      <c r="AA2491" s="16" t="n">
        <v>91.33611118807409</v>
      </c>
      <c r="AB2491" s="16" t="n">
        <v>2673.482766784672</v>
      </c>
      <c r="AC2491" s="16" t="n">
        <v>4.307373029103269</v>
      </c>
      <c r="AD2491" s="16" t="n"/>
      <c r="AE2491" s="16" t="n"/>
    </row>
    <row r="2492">
      <c r="A2492" s="16" t="inlineStr">
        <is>
          <t>KF-M07-A1-0005</t>
        </is>
      </c>
      <c r="B2492" s="16" t="inlineStr">
        <is>
          <t>5.1</t>
        </is>
      </c>
      <c r="C2492" s="16" t="inlineStr">
        <is>
          <t>5.1a</t>
        </is>
      </c>
      <c r="D2492" s="16" t="inlineStr">
        <is>
          <t>libre, desde el mejor de 3.2</t>
        </is>
      </c>
      <c r="E2492" s="16" t="inlineStr">
        <is>
          <t>KF-M07</t>
        </is>
      </c>
      <c r="F2492" s="16" t="inlineStr">
        <is>
          <t>KF-M07-A1</t>
        </is>
      </c>
      <c r="G2492" s="16" t="inlineStr">
        <is>
          <t>B11-A1</t>
        </is>
      </c>
      <c r="H2492" s="16" t="inlineStr">
        <is>
          <t>busqueda</t>
        </is>
      </c>
      <c r="I2492" s="16" t="inlineStr">
        <is>
          <t>KALINA</t>
        </is>
      </c>
      <c r="J2492" s="16" t="inlineStr">
        <is>
          <t>KALINA</t>
        </is>
      </c>
      <c r="K2492" s="16" t="b">
        <v>1</v>
      </c>
      <c r="L2492" s="16" t="b">
        <v>1</v>
      </c>
      <c r="M2492" s="16" t="b">
        <v>0</v>
      </c>
      <c r="N2492" s="16" t="b">
        <v>0</v>
      </c>
      <c r="O2492" s="16" t="n">
        <v>436.0969531091276</v>
      </c>
      <c r="P2492" s="16" t="n">
        <v>279.0977013205448</v>
      </c>
      <c r="Q2492" s="16" t="n">
        <v>3781.823024523768</v>
      </c>
      <c r="R2492" s="16" t="n">
        <v>808.3402577390962</v>
      </c>
      <c r="S2492" s="16" t="n">
        <v>0.6347489709498951</v>
      </c>
      <c r="T2492" s="16" t="n">
        <v>0.9184829805028722</v>
      </c>
      <c r="U2492" s="16" t="n">
        <v>0.7460814839003644</v>
      </c>
      <c r="V2492" s="16" t="n">
        <v>0.6777311085206517</v>
      </c>
      <c r="W2492" s="16" t="n">
        <v>0.9415298192493302</v>
      </c>
      <c r="X2492" s="16" t="n">
        <v>0.8418262585071621</v>
      </c>
      <c r="Y2492" s="16" t="n">
        <v>279.0977013205448</v>
      </c>
      <c r="Z2492" s="16" t="n">
        <v>12.79776015044396</v>
      </c>
      <c r="AA2492" s="16" t="n">
        <v>89.19944676852531</v>
      </c>
      <c r="AB2492" s="16" t="n">
        <v>2973.482766784672</v>
      </c>
      <c r="AC2492" s="16" t="n">
        <v>4.678503870512914</v>
      </c>
      <c r="AD2492" s="16" t="n"/>
      <c r="AE2492" s="16" t="n"/>
    </row>
    <row r="2493">
      <c r="A2493" s="16" t="inlineStr">
        <is>
          <t>KF-M07-A1-0006</t>
        </is>
      </c>
      <c r="B2493" s="16" t="inlineStr">
        <is>
          <t>5.1</t>
        </is>
      </c>
      <c r="C2493" s="16" t="inlineStr">
        <is>
          <t>5.1a</t>
        </is>
      </c>
      <c r="D2493" s="16" t="inlineStr">
        <is>
          <t>libre, desde el mejor de 3.2</t>
        </is>
      </c>
      <c r="E2493" s="16" t="inlineStr">
        <is>
          <t>KF-M07</t>
        </is>
      </c>
      <c r="F2493" s="16" t="inlineStr">
        <is>
          <t>KF-M07-A1</t>
        </is>
      </c>
      <c r="G2493" s="16" t="inlineStr">
        <is>
          <t>B11-A1</t>
        </is>
      </c>
      <c r="H2493" s="16" t="inlineStr">
        <is>
          <t>busqueda</t>
        </is>
      </c>
      <c r="I2493" s="16" t="inlineStr">
        <is>
          <t>KALINA</t>
        </is>
      </c>
      <c r="J2493" s="16" t="inlineStr">
        <is>
          <t>KALINA</t>
        </is>
      </c>
      <c r="K2493" s="16" t="b">
        <v>1</v>
      </c>
      <c r="L2493" s="16" t="b">
        <v>1</v>
      </c>
      <c r="M2493" s="16" t="b">
        <v>0</v>
      </c>
      <c r="N2493" s="16" t="b">
        <v>0</v>
      </c>
      <c r="O2493" s="16" t="n">
        <v>436.0969531091276</v>
      </c>
      <c r="P2493" s="16" t="n">
        <v>279.0977013205448</v>
      </c>
      <c r="Q2493" s="16" t="n">
        <v>3181.823024523768</v>
      </c>
      <c r="R2493" s="16" t="n">
        <v>808.3402577390962</v>
      </c>
      <c r="S2493" s="16" t="n">
        <v>0.6347489709498951</v>
      </c>
      <c r="T2493" s="16" t="n">
        <v>0.9184829805028722</v>
      </c>
      <c r="U2493" s="16" t="n">
        <v>0.7460814839003644</v>
      </c>
      <c r="V2493" s="16" t="n">
        <v>0.6777311085206517</v>
      </c>
      <c r="W2493" s="16" t="n">
        <v>0.9415298192493302</v>
      </c>
      <c r="X2493" s="16" t="n">
        <v>0.8418262585071621</v>
      </c>
      <c r="Y2493" s="16" t="n">
        <v>279.0977013205448</v>
      </c>
      <c r="Z2493" s="16" t="n">
        <v>11.71086746636211</v>
      </c>
      <c r="AA2493" s="16" t="n">
        <v>93.07712156038168</v>
      </c>
      <c r="AB2493" s="16" t="n">
        <v>2373.482766784672</v>
      </c>
      <c r="AC2493" s="16" t="n">
        <v>3.936242187693625</v>
      </c>
      <c r="AD2493" s="16" t="n"/>
      <c r="AE2493" s="16" t="n"/>
    </row>
    <row r="2494">
      <c r="A2494" s="16" t="inlineStr">
        <is>
          <t>KF-M07-A1-0007</t>
        </is>
      </c>
      <c r="B2494" s="16" t="inlineStr">
        <is>
          <t>5.1</t>
        </is>
      </c>
      <c r="C2494" s="16" t="inlineStr">
        <is>
          <t>5.1a</t>
        </is>
      </c>
      <c r="D2494" s="16" t="inlineStr">
        <is>
          <t>libre, desde el mejor de 3.2</t>
        </is>
      </c>
      <c r="E2494" s="16" t="inlineStr">
        <is>
          <t>KF-M07</t>
        </is>
      </c>
      <c r="F2494" s="16" t="inlineStr">
        <is>
          <t>KF-M07-A1</t>
        </is>
      </c>
      <c r="G2494" s="16" t="inlineStr">
        <is>
          <t>B11-A1</t>
        </is>
      </c>
      <c r="H2494" s="16" t="inlineStr">
        <is>
          <t>busqueda</t>
        </is>
      </c>
      <c r="I2494" s="16" t="inlineStr">
        <is>
          <t>KALINA</t>
        </is>
      </c>
      <c r="J2494" s="16" t="inlineStr">
        <is>
          <t>KALINA</t>
        </is>
      </c>
      <c r="K2494" s="16" t="b">
        <v>1</v>
      </c>
      <c r="L2494" s="16" t="b">
        <v>1</v>
      </c>
      <c r="M2494" s="16" t="b">
        <v>0</v>
      </c>
      <c r="N2494" s="16" t="b">
        <v>0</v>
      </c>
      <c r="O2494" s="16" t="n">
        <v>436.0969531091276</v>
      </c>
      <c r="P2494" s="16" t="n">
        <v>279.0977013205448</v>
      </c>
      <c r="Q2494" s="16" t="n">
        <v>3481.823024523768</v>
      </c>
      <c r="R2494" s="16" t="n">
        <v>1028.340257739096</v>
      </c>
      <c r="S2494" s="16" t="n">
        <v>0.6347489709498951</v>
      </c>
      <c r="T2494" s="16" t="n">
        <v>0.9184829805028722</v>
      </c>
      <c r="U2494" s="16" t="n">
        <v>0.7460814839003644</v>
      </c>
      <c r="V2494" s="16" t="n">
        <v>0.6777311085206517</v>
      </c>
      <c r="W2494" s="16" t="n">
        <v>0.9415298192493302</v>
      </c>
      <c r="X2494" s="16" t="n">
        <v>0.8418262585071621</v>
      </c>
      <c r="Y2494" s="16" t="n">
        <v>279.0977013205448</v>
      </c>
      <c r="Z2494" s="16" t="n">
        <v>10.37700505714663</v>
      </c>
      <c r="AA2494" s="16" t="n">
        <v>77.03508178855098</v>
      </c>
      <c r="AB2494" s="16" t="n">
        <v>2453.482766784672</v>
      </c>
      <c r="AC2494" s="16" t="n">
        <v>3.385866689862836</v>
      </c>
      <c r="AD2494" s="16" t="n"/>
      <c r="AE2494" s="16" t="n"/>
    </row>
    <row r="2495">
      <c r="A2495" s="16" t="inlineStr">
        <is>
          <t>KF-M07-A1-0008</t>
        </is>
      </c>
      <c r="B2495" s="16" t="inlineStr">
        <is>
          <t>5.1</t>
        </is>
      </c>
      <c r="C2495" s="16" t="inlineStr">
        <is>
          <t>5.1a</t>
        </is>
      </c>
      <c r="D2495" s="16" t="inlineStr">
        <is>
          <t>libre, desde el mejor de 3.2</t>
        </is>
      </c>
      <c r="E2495" s="16" t="inlineStr">
        <is>
          <t>KF-M07</t>
        </is>
      </c>
      <c r="F2495" s="16" t="inlineStr">
        <is>
          <t>KF-M07-A1</t>
        </is>
      </c>
      <c r="G2495" s="16" t="inlineStr">
        <is>
          <t>B11-A1</t>
        </is>
      </c>
      <c r="H2495" s="16" t="inlineStr">
        <is>
          <t>busqueda</t>
        </is>
      </c>
      <c r="I2495" s="16" t="inlineStr">
        <is>
          <t>CORREGIBLE</t>
        </is>
      </c>
      <c r="J2495" s="16" t="inlineStr">
        <is>
          <t>CORREGIBLE</t>
        </is>
      </c>
      <c r="K2495" s="16" t="b">
        <v>1</v>
      </c>
      <c r="L2495" s="16" t="b">
        <v>0</v>
      </c>
      <c r="M2495" s="16" t="b">
        <v>0</v>
      </c>
      <c r="N2495" s="16" t="b">
        <v>0</v>
      </c>
      <c r="O2495" s="16" t="n">
        <v>436.0969531091276</v>
      </c>
      <c r="P2495" s="16" t="n">
        <v>279.0977013205448</v>
      </c>
      <c r="Q2495" s="16" t="n">
        <v>3481.823024523768</v>
      </c>
      <c r="R2495" s="16" t="n">
        <v>588.3402577390962</v>
      </c>
      <c r="S2495" s="16" t="n">
        <v>0.6347489709498951</v>
      </c>
      <c r="T2495" s="16" t="n">
        <v>0.9184829805028722</v>
      </c>
      <c r="U2495" s="16" t="n">
        <v>0.7460814839003644</v>
      </c>
      <c r="V2495" s="16" t="n">
        <v>0.6777311085206517</v>
      </c>
      <c r="W2495" s="16" t="n">
        <v>0.9415298192493302</v>
      </c>
      <c r="X2495" s="16" t="n">
        <v>0.8418262585071621</v>
      </c>
      <c r="Y2495" s="16" t="n">
        <v>279.0977013205448</v>
      </c>
      <c r="Z2495" s="16" t="n">
        <v>14.74250692935163</v>
      </c>
      <c r="AA2495" s="16" t="n">
        <v>109.698157994205</v>
      </c>
      <c r="AB2495" s="16" t="n">
        <v>2893.482766784672</v>
      </c>
      <c r="AC2495" s="16" t="n">
        <v>5.918043136983171</v>
      </c>
      <c r="AD2495" s="16" t="inlineStr">
        <is>
          <t>O2</t>
        </is>
      </c>
      <c r="AE2495" s="16" t="n"/>
    </row>
    <row r="2496">
      <c r="A2496" s="16" t="inlineStr">
        <is>
          <t>KF-M07-A1-0009</t>
        </is>
      </c>
      <c r="B2496" s="16" t="inlineStr">
        <is>
          <t>5.1</t>
        </is>
      </c>
      <c r="C2496" s="16" t="inlineStr">
        <is>
          <t>5.1a</t>
        </is>
      </c>
      <c r="D2496" s="16" t="inlineStr">
        <is>
          <t>libre, desde el mejor de 3.2</t>
        </is>
      </c>
      <c r="E2496" s="16" t="inlineStr">
        <is>
          <t>KF-M07</t>
        </is>
      </c>
      <c r="F2496" s="16" t="inlineStr">
        <is>
          <t>KF-M07-A1</t>
        </is>
      </c>
      <c r="G2496" s="16" t="inlineStr">
        <is>
          <t>B11-A1</t>
        </is>
      </c>
      <c r="H2496" s="16" t="inlineStr">
        <is>
          <t>busqueda</t>
        </is>
      </c>
      <c r="I2496" s="16" t="inlineStr">
        <is>
          <t>KALINA</t>
        </is>
      </c>
      <c r="J2496" s="16" t="inlineStr">
        <is>
          <t>KALINA</t>
        </is>
      </c>
      <c r="K2496" s="16" t="b">
        <v>1</v>
      </c>
      <c r="L2496" s="16" t="b">
        <v>1</v>
      </c>
      <c r="M2496" s="16" t="b">
        <v>0</v>
      </c>
      <c r="N2496" s="16" t="b">
        <v>0</v>
      </c>
      <c r="O2496" s="16" t="n">
        <v>436.0969531091276</v>
      </c>
      <c r="P2496" s="16" t="n">
        <v>279.0977013205448</v>
      </c>
      <c r="Q2496" s="16" t="n">
        <v>3481.823024523768</v>
      </c>
      <c r="R2496" s="16" t="n">
        <v>808.3402577390962</v>
      </c>
      <c r="S2496" s="16" t="n">
        <v>0.6697489709498952</v>
      </c>
      <c r="T2496" s="16" t="n">
        <v>0.9184829805028722</v>
      </c>
      <c r="U2496" s="16" t="n">
        <v>0.7460814839003644</v>
      </c>
      <c r="V2496" s="16" t="n">
        <v>0.6777311085206517</v>
      </c>
      <c r="W2496" s="16" t="n">
        <v>0.9415298192493302</v>
      </c>
      <c r="X2496" s="16" t="n">
        <v>0.8418262585071621</v>
      </c>
      <c r="Y2496" s="16" t="n">
        <v>279.0977013205448</v>
      </c>
      <c r="Z2496" s="16" t="n">
        <v>12.67836413546399</v>
      </c>
      <c r="AA2496" s="16" t="n">
        <v>102.014461913424</v>
      </c>
      <c r="AB2496" s="16" t="n">
        <v>2673.482766784672</v>
      </c>
      <c r="AC2496" s="16" t="n">
        <v>4.307373029103269</v>
      </c>
      <c r="AD2496" s="16" t="n"/>
      <c r="AE2496" s="16" t="n"/>
    </row>
    <row r="2497">
      <c r="A2497" s="16" t="inlineStr">
        <is>
          <t>KF-M07-A1-0010</t>
        </is>
      </c>
      <c r="B2497" s="16" t="inlineStr">
        <is>
          <t>5.1</t>
        </is>
      </c>
      <c r="C2497" s="16" t="inlineStr">
        <is>
          <t>5.1a</t>
        </is>
      </c>
      <c r="D2497" s="16" t="inlineStr">
        <is>
          <t>libre, desde el mejor de 3.2</t>
        </is>
      </c>
      <c r="E2497" s="16" t="inlineStr">
        <is>
          <t>KF-M07</t>
        </is>
      </c>
      <c r="F2497" s="16" t="inlineStr">
        <is>
          <t>KF-M07-A1</t>
        </is>
      </c>
      <c r="G2497" s="16" t="inlineStr">
        <is>
          <t>B11-A1</t>
        </is>
      </c>
      <c r="H2497" s="16" t="inlineStr">
        <is>
          <t>busqueda</t>
        </is>
      </c>
      <c r="I2497" s="16" t="inlineStr">
        <is>
          <t>KALINA</t>
        </is>
      </c>
      <c r="J2497" s="16" t="inlineStr">
        <is>
          <t>KALINA</t>
        </is>
      </c>
      <c r="K2497" s="16" t="b">
        <v>1</v>
      </c>
      <c r="L2497" s="16" t="b">
        <v>1</v>
      </c>
      <c r="M2497" s="16" t="b">
        <v>0</v>
      </c>
      <c r="N2497" s="16" t="b">
        <v>0</v>
      </c>
      <c r="O2497" s="16" t="n">
        <v>436.0969531091276</v>
      </c>
      <c r="P2497" s="16" t="n">
        <v>279.0977013205448</v>
      </c>
      <c r="Q2497" s="16" t="n">
        <v>3481.823024523768</v>
      </c>
      <c r="R2497" s="16" t="n">
        <v>808.3402577390962</v>
      </c>
      <c r="S2497" s="16" t="n">
        <v>0.5997489709498951</v>
      </c>
      <c r="T2497" s="16" t="n">
        <v>0.9184829805028722</v>
      </c>
      <c r="U2497" s="16" t="n">
        <v>0.7460814839003644</v>
      </c>
      <c r="V2497" s="16" t="n">
        <v>0.6777311085206517</v>
      </c>
      <c r="W2497" s="16" t="n">
        <v>0.9415298192493302</v>
      </c>
      <c r="X2497" s="16" t="n">
        <v>0.8418262585071621</v>
      </c>
      <c r="Y2497" s="16" t="n">
        <v>279.0977013205448</v>
      </c>
      <c r="Z2497" s="16" t="n">
        <v>11.90375535398265</v>
      </c>
      <c r="AA2497" s="16" t="n">
        <v>80.84321482119421</v>
      </c>
      <c r="AB2497" s="16" t="n">
        <v>2673.482766784672</v>
      </c>
      <c r="AC2497" s="16" t="n">
        <v>4.307373029103269</v>
      </c>
      <c r="AD2497" s="16" t="n"/>
      <c r="AE2497" s="16" t="n"/>
    </row>
    <row r="2498">
      <c r="A2498" s="16" t="inlineStr">
        <is>
          <t>KF-M07-A1-0011</t>
        </is>
      </c>
      <c r="B2498" s="16" t="inlineStr">
        <is>
          <t>5.1</t>
        </is>
      </c>
      <c r="C2498" s="16" t="inlineStr">
        <is>
          <t>5.1a</t>
        </is>
      </c>
      <c r="D2498" s="16" t="inlineStr">
        <is>
          <t>libre, desde el mejor de 3.2</t>
        </is>
      </c>
      <c r="E2498" s="16" t="inlineStr">
        <is>
          <t>KF-M07</t>
        </is>
      </c>
      <c r="F2498" s="16" t="inlineStr">
        <is>
          <t>KF-M07-A1</t>
        </is>
      </c>
      <c r="G2498" s="16" t="inlineStr">
        <is>
          <t>B11-A1</t>
        </is>
      </c>
      <c r="H2498" s="16" t="inlineStr">
        <is>
          <t>busqueda</t>
        </is>
      </c>
      <c r="I2498" s="16" t="inlineStr">
        <is>
          <t>KALINA</t>
        </is>
      </c>
      <c r="J2498" s="16" t="inlineStr">
        <is>
          <t>KALINA</t>
        </is>
      </c>
      <c r="K2498" s="16" t="b">
        <v>1</v>
      </c>
      <c r="L2498" s="16" t="b">
        <v>1</v>
      </c>
      <c r="M2498" s="16" t="b">
        <v>0</v>
      </c>
      <c r="N2498" s="16" t="b">
        <v>0</v>
      </c>
      <c r="O2498" s="16" t="n">
        <v>436.0969531091276</v>
      </c>
      <c r="P2498" s="16" t="n">
        <v>279.0977013205448</v>
      </c>
      <c r="Q2498" s="16" t="n">
        <v>3481.823024523768</v>
      </c>
      <c r="R2498" s="16" t="n">
        <v>808.3402577390962</v>
      </c>
      <c r="S2498" s="16" t="n">
        <v>0.6347489709498951</v>
      </c>
      <c r="T2498" s="16" t="n">
        <v>0.95</v>
      </c>
      <c r="U2498" s="16" t="n">
        <v>0.7460814839003644</v>
      </c>
      <c r="V2498" s="16" t="n">
        <v>0.6777311085206517</v>
      </c>
      <c r="W2498" s="16" t="n">
        <v>0.9415298192493302</v>
      </c>
      <c r="X2498" s="16" t="n">
        <v>0.8418262585071621</v>
      </c>
      <c r="Y2498" s="16" t="n">
        <v>279.0977013205448</v>
      </c>
      <c r="Z2498" s="16" t="n">
        <v>12.74050241318179</v>
      </c>
      <c r="AA2498" s="16" t="n">
        <v>94.70442550555239</v>
      </c>
      <c r="AB2498" s="16" t="n">
        <v>2673.482766784672</v>
      </c>
      <c r="AC2498" s="16" t="n">
        <v>4.307373029103269</v>
      </c>
      <c r="AD2498" s="16" t="n"/>
      <c r="AE2498" s="16" t="n"/>
    </row>
    <row r="2499">
      <c r="A2499" s="16" t="inlineStr">
        <is>
          <t>KF-M07-A1-0012</t>
        </is>
      </c>
      <c r="B2499" s="16" t="inlineStr">
        <is>
          <t>5.1</t>
        </is>
      </c>
      <c r="C2499" s="16" t="inlineStr">
        <is>
          <t>5.1a</t>
        </is>
      </c>
      <c r="D2499" s="16" t="inlineStr">
        <is>
          <t>libre, desde el mejor de 3.2</t>
        </is>
      </c>
      <c r="E2499" s="16" t="inlineStr">
        <is>
          <t>KF-M07</t>
        </is>
      </c>
      <c r="F2499" s="16" t="inlineStr">
        <is>
          <t>KF-M07-A1</t>
        </is>
      </c>
      <c r="G2499" s="16" t="inlineStr">
        <is>
          <t>B11-A1</t>
        </is>
      </c>
      <c r="H2499" s="16" t="inlineStr">
        <is>
          <t>busqueda</t>
        </is>
      </c>
      <c r="I2499" s="16" t="inlineStr">
        <is>
          <t>KALINA</t>
        </is>
      </c>
      <c r="J2499" s="16" t="inlineStr">
        <is>
          <t>KALINA</t>
        </is>
      </c>
      <c r="K2499" s="16" t="b">
        <v>1</v>
      </c>
      <c r="L2499" s="16" t="b">
        <v>1</v>
      </c>
      <c r="M2499" s="16" t="b">
        <v>0</v>
      </c>
      <c r="N2499" s="16" t="b">
        <v>0</v>
      </c>
      <c r="O2499" s="16" t="n">
        <v>436.0969531091276</v>
      </c>
      <c r="P2499" s="16" t="n">
        <v>279.0977013205448</v>
      </c>
      <c r="Q2499" s="16" t="n">
        <v>3481.823024523768</v>
      </c>
      <c r="R2499" s="16" t="n">
        <v>808.3402577390962</v>
      </c>
      <c r="S2499" s="16" t="n">
        <v>0.6347489709498951</v>
      </c>
      <c r="T2499" s="16" t="n">
        <v>0.8634829805028723</v>
      </c>
      <c r="U2499" s="16" t="n">
        <v>0.7460814839003644</v>
      </c>
      <c r="V2499" s="16" t="n">
        <v>0.6777311085206517</v>
      </c>
      <c r="W2499" s="16" t="n">
        <v>0.9415298192493302</v>
      </c>
      <c r="X2499" s="16" t="n">
        <v>0.8418262585071621</v>
      </c>
      <c r="Y2499" s="16" t="n">
        <v>279.0977013205448</v>
      </c>
      <c r="Z2499" s="16" t="n">
        <v>11.53485576919891</v>
      </c>
      <c r="AA2499" s="16" t="n">
        <v>85.68144892757552</v>
      </c>
      <c r="AB2499" s="16" t="n">
        <v>2673.482766784672</v>
      </c>
      <c r="AC2499" s="16" t="n">
        <v>4.307373029103269</v>
      </c>
      <c r="AD2499" s="16" t="n"/>
      <c r="AE2499" s="16" t="n"/>
    </row>
    <row r="2500">
      <c r="A2500" s="16" t="inlineStr">
        <is>
          <t>KF-M07-A1-0013</t>
        </is>
      </c>
      <c r="B2500" s="16" t="inlineStr">
        <is>
          <t>5.1</t>
        </is>
      </c>
      <c r="C2500" s="16" t="inlineStr">
        <is>
          <t>5.1a</t>
        </is>
      </c>
      <c r="D2500" s="16" t="inlineStr">
        <is>
          <t>libre, desde el mejor de 3.2</t>
        </is>
      </c>
      <c r="E2500" s="16" t="inlineStr">
        <is>
          <t>KF-M07</t>
        </is>
      </c>
      <c r="F2500" s="16" t="inlineStr">
        <is>
          <t>KF-M07-A1</t>
        </is>
      </c>
      <c r="G2500" s="16" t="inlineStr">
        <is>
          <t>B11-A1</t>
        </is>
      </c>
      <c r="H2500" s="16" t="inlineStr">
        <is>
          <t>busqueda</t>
        </is>
      </c>
      <c r="I2500" s="16" t="inlineStr">
        <is>
          <t>KALINA</t>
        </is>
      </c>
      <c r="J2500" s="16" t="inlineStr">
        <is>
          <t>KALINA</t>
        </is>
      </c>
      <c r="K2500" s="16" t="b">
        <v>1</v>
      </c>
      <c r="L2500" s="16" t="b">
        <v>1</v>
      </c>
      <c r="M2500" s="16" t="b">
        <v>0</v>
      </c>
      <c r="N2500" s="16" t="b">
        <v>0</v>
      </c>
      <c r="O2500" s="16" t="n">
        <v>436.0969531091276</v>
      </c>
      <c r="P2500" s="16" t="n">
        <v>279.0977013205448</v>
      </c>
      <c r="Q2500" s="16" t="n">
        <v>3481.823024523768</v>
      </c>
      <c r="R2500" s="16" t="n">
        <v>808.3402577390962</v>
      </c>
      <c r="S2500" s="16" t="n">
        <v>0.6347489709498951</v>
      </c>
      <c r="T2500" s="16" t="n">
        <v>0.9184829805028722</v>
      </c>
      <c r="U2500" s="16" t="n">
        <v>0.8010814839003644</v>
      </c>
      <c r="V2500" s="16" t="n">
        <v>0.6777311085206517</v>
      </c>
      <c r="W2500" s="16" t="n">
        <v>0.9415298192493302</v>
      </c>
      <c r="X2500" s="16" t="n">
        <v>0.8418262585071621</v>
      </c>
      <c r="Y2500" s="16" t="n">
        <v>279.0977013205448</v>
      </c>
      <c r="Z2500" s="16" t="n">
        <v>12.3420055976041</v>
      </c>
      <c r="AA2500" s="16" t="n">
        <v>91.73316990283558</v>
      </c>
      <c r="AB2500" s="16" t="n">
        <v>2673.482766784672</v>
      </c>
      <c r="AC2500" s="16" t="n">
        <v>4.307373029103269</v>
      </c>
      <c r="AD2500" s="16" t="n"/>
      <c r="AE2500" s="16" t="n"/>
    </row>
    <row r="2501">
      <c r="A2501" s="16" t="inlineStr">
        <is>
          <t>KF-M07-A1-0014</t>
        </is>
      </c>
      <c r="B2501" s="16" t="inlineStr">
        <is>
          <t>5.1</t>
        </is>
      </c>
      <c r="C2501" s="16" t="inlineStr">
        <is>
          <t>5.1a</t>
        </is>
      </c>
      <c r="D2501" s="16" t="inlineStr">
        <is>
          <t>libre, desde el mejor de 3.2</t>
        </is>
      </c>
      <c r="E2501" s="16" t="inlineStr">
        <is>
          <t>KF-M07</t>
        </is>
      </c>
      <c r="F2501" s="16" t="inlineStr">
        <is>
          <t>KF-M07-A1</t>
        </is>
      </c>
      <c r="G2501" s="16" t="inlineStr">
        <is>
          <t>B11-A1</t>
        </is>
      </c>
      <c r="H2501" s="16" t="inlineStr">
        <is>
          <t>busqueda</t>
        </is>
      </c>
      <c r="I2501" s="16" t="inlineStr">
        <is>
          <t>KALINA</t>
        </is>
      </c>
      <c r="J2501" s="16" t="inlineStr">
        <is>
          <t>KALINA</t>
        </is>
      </c>
      <c r="K2501" s="16" t="b">
        <v>1</v>
      </c>
      <c r="L2501" s="16" t="b">
        <v>1</v>
      </c>
      <c r="M2501" s="16" t="b">
        <v>0</v>
      </c>
      <c r="N2501" s="16" t="b">
        <v>0</v>
      </c>
      <c r="O2501" s="16" t="n">
        <v>436.0969531091276</v>
      </c>
      <c r="P2501" s="16" t="n">
        <v>279.0977013205448</v>
      </c>
      <c r="Q2501" s="16" t="n">
        <v>3481.823024523768</v>
      </c>
      <c r="R2501" s="16" t="n">
        <v>808.3402577390962</v>
      </c>
      <c r="S2501" s="16" t="n">
        <v>0.6347489709498951</v>
      </c>
      <c r="T2501" s="16" t="n">
        <v>0.9184829805028722</v>
      </c>
      <c r="U2501" s="16" t="n">
        <v>0.6910814839003644</v>
      </c>
      <c r="V2501" s="16" t="n">
        <v>0.6777311085206517</v>
      </c>
      <c r="W2501" s="16" t="n">
        <v>0.9415298192493302</v>
      </c>
      <c r="X2501" s="16" t="n">
        <v>0.8418262585071621</v>
      </c>
      <c r="Y2501" s="16" t="n">
        <v>279.0977013205448</v>
      </c>
      <c r="Z2501" s="16" t="n">
        <v>12.25473939626919</v>
      </c>
      <c r="AA2501" s="16" t="n">
        <v>91.05310130447492</v>
      </c>
      <c r="AB2501" s="16" t="n">
        <v>2673.482766784672</v>
      </c>
      <c r="AC2501" s="16" t="n">
        <v>4.307373029103269</v>
      </c>
      <c r="AD2501" s="16" t="n"/>
      <c r="AE2501" s="16" t="n"/>
    </row>
    <row r="2502">
      <c r="A2502" s="16" t="inlineStr">
        <is>
          <t>KF-M07-A1-0015</t>
        </is>
      </c>
      <c r="B2502" s="16" t="inlineStr">
        <is>
          <t>5.1</t>
        </is>
      </c>
      <c r="C2502" s="16" t="inlineStr">
        <is>
          <t>5.1a</t>
        </is>
      </c>
      <c r="D2502" s="16" t="inlineStr">
        <is>
          <t>libre, desde el mejor de 3.2</t>
        </is>
      </c>
      <c r="E2502" s="16" t="inlineStr">
        <is>
          <t>KF-M07</t>
        </is>
      </c>
      <c r="F2502" s="16" t="inlineStr">
        <is>
          <t>KF-M07-A1</t>
        </is>
      </c>
      <c r="G2502" s="16" t="inlineStr">
        <is>
          <t>B11-A1</t>
        </is>
      </c>
      <c r="H2502" s="16" t="inlineStr">
        <is>
          <t>busqueda</t>
        </is>
      </c>
      <c r="I2502" s="16" t="inlineStr">
        <is>
          <t>KALINA</t>
        </is>
      </c>
      <c r="J2502" s="16" t="inlineStr">
        <is>
          <t>KALINA</t>
        </is>
      </c>
      <c r="K2502" s="16" t="b">
        <v>1</v>
      </c>
      <c r="L2502" s="16" t="b">
        <v>1</v>
      </c>
      <c r="M2502" s="16" t="b">
        <v>0</v>
      </c>
      <c r="N2502" s="16" t="b">
        <v>0</v>
      </c>
      <c r="O2502" s="16" t="n">
        <v>436.0969531091276</v>
      </c>
      <c r="P2502" s="16" t="n">
        <v>279.0977013205448</v>
      </c>
      <c r="Q2502" s="16" t="n">
        <v>3481.823024523768</v>
      </c>
      <c r="R2502" s="16" t="n">
        <v>808.3402577390962</v>
      </c>
      <c r="S2502" s="16" t="n">
        <v>0.6347489709498951</v>
      </c>
      <c r="T2502" s="16" t="n">
        <v>0.9184829805028722</v>
      </c>
      <c r="U2502" s="16" t="n">
        <v>0.7460814839003644</v>
      </c>
      <c r="V2502" s="16" t="n">
        <v>0.7327311085206516</v>
      </c>
      <c r="W2502" s="16" t="n">
        <v>0.9415298192493302</v>
      </c>
      <c r="X2502" s="16" t="n">
        <v>0.8418262585071621</v>
      </c>
      <c r="Y2502" s="16" t="n">
        <v>279.0977013205448</v>
      </c>
      <c r="Z2502" s="16" t="n">
        <v>12.37329773969334</v>
      </c>
      <c r="AA2502" s="16" t="n">
        <v>99.46931049060738</v>
      </c>
      <c r="AB2502" s="16" t="n">
        <v>2673.482766784672</v>
      </c>
      <c r="AC2502" s="16" t="n">
        <v>4.307373029103269</v>
      </c>
      <c r="AD2502" s="16" t="n"/>
      <c r="AE2502" s="16" t="n"/>
    </row>
    <row r="2503">
      <c r="A2503" s="16" t="inlineStr">
        <is>
          <t>KF-M07-A1-0016</t>
        </is>
      </c>
      <c r="B2503" s="16" t="inlineStr">
        <is>
          <t>5.1</t>
        </is>
      </c>
      <c r="C2503" s="16" t="inlineStr">
        <is>
          <t>5.1a</t>
        </is>
      </c>
      <c r="D2503" s="16" t="inlineStr">
        <is>
          <t>libre, desde el mejor de 3.2</t>
        </is>
      </c>
      <c r="E2503" s="16" t="inlineStr">
        <is>
          <t>KF-M07</t>
        </is>
      </c>
      <c r="F2503" s="16" t="inlineStr">
        <is>
          <t>KF-M07-A1</t>
        </is>
      </c>
      <c r="G2503" s="16" t="inlineStr">
        <is>
          <t>B11-A1</t>
        </is>
      </c>
      <c r="H2503" s="16" t="inlineStr">
        <is>
          <t>busqueda</t>
        </is>
      </c>
      <c r="I2503" s="16" t="inlineStr">
        <is>
          <t>KALINA</t>
        </is>
      </c>
      <c r="J2503" s="16" t="inlineStr">
        <is>
          <t>KALINA</t>
        </is>
      </c>
      <c r="K2503" s="16" t="b">
        <v>1</v>
      </c>
      <c r="L2503" s="16" t="b">
        <v>1</v>
      </c>
      <c r="M2503" s="16" t="b">
        <v>0</v>
      </c>
      <c r="N2503" s="16" t="b">
        <v>0</v>
      </c>
      <c r="O2503" s="16" t="n">
        <v>436.0969531091276</v>
      </c>
      <c r="P2503" s="16" t="n">
        <v>279.0977013205448</v>
      </c>
      <c r="Q2503" s="16" t="n">
        <v>3481.823024523768</v>
      </c>
      <c r="R2503" s="16" t="n">
        <v>808.3402577390962</v>
      </c>
      <c r="S2503" s="16" t="n">
        <v>0.6347489709498951</v>
      </c>
      <c r="T2503" s="16" t="n">
        <v>0.9184829805028722</v>
      </c>
      <c r="U2503" s="16" t="n">
        <v>0.7460814839003644</v>
      </c>
      <c r="V2503" s="16" t="n">
        <v>0.6227311085206517</v>
      </c>
      <c r="W2503" s="16" t="n">
        <v>0.9415298192493302</v>
      </c>
      <c r="X2503" s="16" t="n">
        <v>0.8418262585071621</v>
      </c>
      <c r="Y2503" s="16" t="n">
        <v>279.0977013205448</v>
      </c>
      <c r="Z2503" s="16" t="n">
        <v>12.20159612998611</v>
      </c>
      <c r="AA2503" s="16" t="n">
        <v>83.29781714009846</v>
      </c>
      <c r="AB2503" s="16" t="n">
        <v>2673.482766784672</v>
      </c>
      <c r="AC2503" s="16" t="n">
        <v>4.307373029103269</v>
      </c>
      <c r="AD2503" s="16" t="n"/>
      <c r="AE2503" s="16" t="n"/>
    </row>
    <row r="2504">
      <c r="A2504" s="16" t="inlineStr">
        <is>
          <t>KF-M07-A1-0017</t>
        </is>
      </c>
      <c r="B2504" s="16" t="inlineStr">
        <is>
          <t>5.1</t>
        </is>
      </c>
      <c r="C2504" s="16" t="inlineStr">
        <is>
          <t>5.1a</t>
        </is>
      </c>
      <c r="D2504" s="16" t="inlineStr">
        <is>
          <t>libre, desde el mejor de 3.2</t>
        </is>
      </c>
      <c r="E2504" s="16" t="inlineStr">
        <is>
          <t>KF-M07</t>
        </is>
      </c>
      <c r="F2504" s="16" t="inlineStr">
        <is>
          <t>KF-M07-A1</t>
        </is>
      </c>
      <c r="G2504" s="16" t="inlineStr">
        <is>
          <t>B11-A1</t>
        </is>
      </c>
      <c r="H2504" s="16" t="inlineStr">
        <is>
          <t>busqueda</t>
        </is>
      </c>
      <c r="I2504" s="16" t="inlineStr">
        <is>
          <t>KALINA</t>
        </is>
      </c>
      <c r="J2504" s="16" t="inlineStr">
        <is>
          <t>KALINA</t>
        </is>
      </c>
      <c r="K2504" s="16" t="b">
        <v>1</v>
      </c>
      <c r="L2504" s="16" t="b">
        <v>1</v>
      </c>
      <c r="M2504" s="16" t="b">
        <v>0</v>
      </c>
      <c r="N2504" s="16" t="b">
        <v>0</v>
      </c>
      <c r="O2504" s="16" t="n">
        <v>436.0969531091276</v>
      </c>
      <c r="P2504" s="16" t="n">
        <v>279.0977013205448</v>
      </c>
      <c r="Q2504" s="16" t="n">
        <v>3481.823024523768</v>
      </c>
      <c r="R2504" s="16" t="n">
        <v>808.3402577390962</v>
      </c>
      <c r="S2504" s="16" t="n">
        <v>0.6347489709498951</v>
      </c>
      <c r="T2504" s="16" t="n">
        <v>0.9184829805028722</v>
      </c>
      <c r="U2504" s="16" t="n">
        <v>0.7460814839003644</v>
      </c>
      <c r="V2504" s="16" t="n">
        <v>0.6777311085206517</v>
      </c>
      <c r="W2504" s="16" t="n">
        <v>0.95</v>
      </c>
      <c r="X2504" s="16" t="n">
        <v>0.8418262585071621</v>
      </c>
      <c r="Y2504" s="16" t="n">
        <v>279.0977013205448</v>
      </c>
      <c r="Z2504" s="16" t="n">
        <v>12.33948933311182</v>
      </c>
      <c r="AA2504" s="16" t="n">
        <v>91.51464258148845</v>
      </c>
      <c r="AB2504" s="16" t="n">
        <v>2673.482766784672</v>
      </c>
      <c r="AC2504" s="16" t="n">
        <v>4.307373029103269</v>
      </c>
      <c r="AD2504" s="16" t="n"/>
      <c r="AE2504" s="16" t="n"/>
    </row>
    <row r="2505">
      <c r="A2505" s="16" t="inlineStr">
        <is>
          <t>KF-M07-A1-0018</t>
        </is>
      </c>
      <c r="B2505" s="16" t="inlineStr">
        <is>
          <t>5.1</t>
        </is>
      </c>
      <c r="C2505" s="16" t="inlineStr">
        <is>
          <t>5.1a</t>
        </is>
      </c>
      <c r="D2505" s="16" t="inlineStr">
        <is>
          <t>libre, desde el mejor de 3.2</t>
        </is>
      </c>
      <c r="E2505" s="16" t="inlineStr">
        <is>
          <t>KF-M07</t>
        </is>
      </c>
      <c r="F2505" s="16" t="inlineStr">
        <is>
          <t>KF-M07-A1</t>
        </is>
      </c>
      <c r="G2505" s="16" t="inlineStr">
        <is>
          <t>B11-A1</t>
        </is>
      </c>
      <c r="H2505" s="16" t="inlineStr">
        <is>
          <t>busqueda</t>
        </is>
      </c>
      <c r="I2505" s="16" t="inlineStr">
        <is>
          <t>KALINA</t>
        </is>
      </c>
      <c r="J2505" s="16" t="inlineStr">
        <is>
          <t>KALINA</t>
        </is>
      </c>
      <c r="K2505" s="16" t="b">
        <v>1</v>
      </c>
      <c r="L2505" s="16" t="b">
        <v>1</v>
      </c>
      <c r="M2505" s="16" t="b">
        <v>0</v>
      </c>
      <c r="N2505" s="16" t="b">
        <v>0</v>
      </c>
      <c r="O2505" s="16" t="n">
        <v>436.0969531091276</v>
      </c>
      <c r="P2505" s="16" t="n">
        <v>279.0977013205448</v>
      </c>
      <c r="Q2505" s="16" t="n">
        <v>3481.823024523768</v>
      </c>
      <c r="R2505" s="16" t="n">
        <v>808.3402577390962</v>
      </c>
      <c r="S2505" s="16" t="n">
        <v>0.6347489709498951</v>
      </c>
      <c r="T2505" s="16" t="n">
        <v>0.9184829805028722</v>
      </c>
      <c r="U2505" s="16" t="n">
        <v>0.7460814839003644</v>
      </c>
      <c r="V2505" s="16" t="n">
        <v>0.6777311085206517</v>
      </c>
      <c r="W2505" s="16" t="n">
        <v>0.8865298192493303</v>
      </c>
      <c r="X2505" s="16" t="n">
        <v>0.8418262585071621</v>
      </c>
      <c r="Y2505" s="16" t="n">
        <v>279.0977013205448</v>
      </c>
      <c r="Z2505" s="16" t="n">
        <v>12.05965613980863</v>
      </c>
      <c r="AA2505" s="16" t="n">
        <v>90.79300759126512</v>
      </c>
      <c r="AB2505" s="16" t="n">
        <v>2673.482766784672</v>
      </c>
      <c r="AC2505" s="16" t="n">
        <v>4.307373029103269</v>
      </c>
      <c r="AD2505" s="16" t="n"/>
      <c r="AE2505" s="16" t="n"/>
    </row>
    <row r="2506">
      <c r="A2506" s="16" t="inlineStr">
        <is>
          <t>KF-M07-A1-0019</t>
        </is>
      </c>
      <c r="B2506" s="16" t="inlineStr">
        <is>
          <t>5.1</t>
        </is>
      </c>
      <c r="C2506" s="16" t="inlineStr">
        <is>
          <t>5.1a</t>
        </is>
      </c>
      <c r="D2506" s="16" t="inlineStr">
        <is>
          <t>libre, desde el mejor de 3.2</t>
        </is>
      </c>
      <c r="E2506" s="16" t="inlineStr">
        <is>
          <t>KF-M07</t>
        </is>
      </c>
      <c r="F2506" s="16" t="inlineStr">
        <is>
          <t>KF-M07-A1</t>
        </is>
      </c>
      <c r="G2506" s="16" t="inlineStr">
        <is>
          <t>B11-A1</t>
        </is>
      </c>
      <c r="H2506" s="16" t="inlineStr">
        <is>
          <t>busqueda</t>
        </is>
      </c>
      <c r="I2506" s="16" t="inlineStr">
        <is>
          <t>KALINA</t>
        </is>
      </c>
      <c r="J2506" s="16" t="inlineStr">
        <is>
          <t>KALINA</t>
        </is>
      </c>
      <c r="K2506" s="16" t="b">
        <v>1</v>
      </c>
      <c r="L2506" s="16" t="b">
        <v>1</v>
      </c>
      <c r="M2506" s="16" t="b">
        <v>0</v>
      </c>
      <c r="N2506" s="16" t="b">
        <v>0</v>
      </c>
      <c r="O2506" s="16" t="n">
        <v>436.0969531091276</v>
      </c>
      <c r="P2506" s="16" t="n">
        <v>279.0977013205448</v>
      </c>
      <c r="Q2506" s="16" t="n">
        <v>3481.823024523768</v>
      </c>
      <c r="R2506" s="16" t="n">
        <v>808.3402577390962</v>
      </c>
      <c r="S2506" s="16" t="n">
        <v>0.6347489709498951</v>
      </c>
      <c r="T2506" s="16" t="n">
        <v>0.9184829805028722</v>
      </c>
      <c r="U2506" s="16" t="n">
        <v>0.7460814839003644</v>
      </c>
      <c r="V2506" s="16" t="n">
        <v>0.6777311085206517</v>
      </c>
      <c r="W2506" s="16" t="n">
        <v>0.9415298192493302</v>
      </c>
      <c r="X2506" s="16" t="n">
        <v>0.896826258507162</v>
      </c>
      <c r="Y2506" s="16" t="n">
        <v>279.0977013205448</v>
      </c>
      <c r="Z2506" s="16" t="n">
        <v>11.93890468037676</v>
      </c>
      <c r="AA2506" s="16" t="n">
        <v>90.51878338148624</v>
      </c>
      <c r="AB2506" s="16" t="n">
        <v>2673.482766784672</v>
      </c>
      <c r="AC2506" s="16" t="n">
        <v>4.307373029103269</v>
      </c>
      <c r="AD2506" s="16" t="n"/>
      <c r="AE2506" s="16" t="n"/>
    </row>
    <row r="2507">
      <c r="A2507" s="16" t="inlineStr">
        <is>
          <t>KF-M07-A1-0020</t>
        </is>
      </c>
      <c r="B2507" s="16" t="inlineStr">
        <is>
          <t>5.1</t>
        </is>
      </c>
      <c r="C2507" s="16" t="inlineStr">
        <is>
          <t>5.1a</t>
        </is>
      </c>
      <c r="D2507" s="16" t="inlineStr">
        <is>
          <t>libre, desde el mejor de 3.2</t>
        </is>
      </c>
      <c r="E2507" s="16" t="inlineStr">
        <is>
          <t>KF-M07</t>
        </is>
      </c>
      <c r="F2507" s="16" t="inlineStr">
        <is>
          <t>KF-M07-A1</t>
        </is>
      </c>
      <c r="G2507" s="16" t="inlineStr">
        <is>
          <t>B11-A1</t>
        </is>
      </c>
      <c r="H2507" s="16" t="inlineStr">
        <is>
          <t>busqueda</t>
        </is>
      </c>
      <c r="I2507" s="16" t="inlineStr">
        <is>
          <t>CORREGIBLE</t>
        </is>
      </c>
      <c r="J2507" s="16" t="inlineStr">
        <is>
          <t>CORREGIBLE</t>
        </is>
      </c>
      <c r="K2507" s="16" t="b">
        <v>1</v>
      </c>
      <c r="L2507" s="16" t="b">
        <v>0</v>
      </c>
      <c r="M2507" s="16" t="b">
        <v>0</v>
      </c>
      <c r="N2507" s="16" t="b">
        <v>0</v>
      </c>
      <c r="O2507" s="16" t="n">
        <v>436.0969531091276</v>
      </c>
      <c r="P2507" s="16" t="n">
        <v>279.0977013205448</v>
      </c>
      <c r="Q2507" s="16" t="n">
        <v>3481.823024523768</v>
      </c>
      <c r="R2507" s="16" t="n">
        <v>808.3402577390962</v>
      </c>
      <c r="S2507" s="16" t="n">
        <v>0.6347489709498951</v>
      </c>
      <c r="T2507" s="16" t="n">
        <v>0.9184829805028722</v>
      </c>
      <c r="U2507" s="16" t="n">
        <v>0.7460814839003644</v>
      </c>
      <c r="V2507" s="16" t="n">
        <v>0.6777311085206517</v>
      </c>
      <c r="W2507" s="16" t="n">
        <v>0.9415298192493302</v>
      </c>
      <c r="X2507" s="16" t="n">
        <v>0.7868262585071621</v>
      </c>
      <c r="Y2507" s="16" t="n">
        <v>279.0977013205448</v>
      </c>
      <c r="Z2507" s="16" t="n">
        <v>12.68920264600564</v>
      </c>
      <c r="AA2507" s="16" t="n">
        <v>92.19739139695402</v>
      </c>
      <c r="AB2507" s="16" t="n">
        <v>2673.482766784672</v>
      </c>
      <c r="AC2507" s="16" t="n">
        <v>4.307373029103269</v>
      </c>
      <c r="AD2507" s="16" t="inlineStr">
        <is>
          <t>O2</t>
        </is>
      </c>
      <c r="AE2507" s="16" t="n"/>
    </row>
    <row r="2508">
      <c r="A2508" s="16" t="inlineStr">
        <is>
          <t>KF-M07-A1-0021</t>
        </is>
      </c>
      <c r="B2508" s="16" t="inlineStr">
        <is>
          <t>5.1</t>
        </is>
      </c>
      <c r="C2508" s="16" t="inlineStr">
        <is>
          <t>5.1a</t>
        </is>
      </c>
      <c r="D2508" s="16" t="inlineStr">
        <is>
          <t>libre, desde el mejor de 3.2</t>
        </is>
      </c>
      <c r="E2508" s="16" t="inlineStr">
        <is>
          <t>KF-M07</t>
        </is>
      </c>
      <c r="F2508" s="16" t="inlineStr">
        <is>
          <t>KF-M07-A1</t>
        </is>
      </c>
      <c r="G2508" s="16" t="inlineStr">
        <is>
          <t>B11-A1</t>
        </is>
      </c>
      <c r="H2508" s="16" t="inlineStr">
        <is>
          <t>busqueda</t>
        </is>
      </c>
      <c r="I2508" s="16" t="inlineStr">
        <is>
          <t>KALINA</t>
        </is>
      </c>
      <c r="J2508" s="16" t="inlineStr">
        <is>
          <t>KALINA</t>
        </is>
      </c>
      <c r="K2508" s="16" t="b">
        <v>1</v>
      </c>
      <c r="L2508" s="16" t="b">
        <v>0</v>
      </c>
      <c r="M2508" s="16" t="b">
        <v>1</v>
      </c>
      <c r="N2508" s="16" t="b">
        <v>0</v>
      </c>
      <c r="O2508" s="16" t="n">
        <v>448.0969531091276</v>
      </c>
      <c r="P2508" s="16" t="n">
        <v>279.0977013205448</v>
      </c>
      <c r="Q2508" s="16" t="n">
        <v>3781.823024523768</v>
      </c>
      <c r="R2508" s="16" t="n">
        <v>808.3402577390962</v>
      </c>
      <c r="S2508" s="16" t="n">
        <v>0.6347489709498951</v>
      </c>
      <c r="T2508" s="16" t="n">
        <v>0.9184829805028722</v>
      </c>
      <c r="U2508" s="16" t="n">
        <v>0.7460814839003644</v>
      </c>
      <c r="V2508" s="16" t="n">
        <v>0.6777311085206517</v>
      </c>
      <c r="W2508" s="16" t="n">
        <v>0.9415298192493302</v>
      </c>
      <c r="X2508" s="16" t="n">
        <v>0.8418262585071621</v>
      </c>
      <c r="Y2508" s="16" t="n">
        <v>279.0977013205448</v>
      </c>
      <c r="Z2508" s="16" t="n">
        <v>13.00203191503108</v>
      </c>
      <c r="AA2508" s="16" t="n">
        <v>110.7738147168991</v>
      </c>
      <c r="AB2508" s="16" t="n">
        <v>2973.482766784672</v>
      </c>
      <c r="AC2508" s="16" t="n">
        <v>4.678503870512914</v>
      </c>
      <c r="AD2508" s="16" t="n"/>
      <c r="AE2508" s="16" t="n"/>
    </row>
    <row r="2509">
      <c r="A2509" s="16" t="inlineStr">
        <is>
          <t>KF-M07-A1-0022</t>
        </is>
      </c>
      <c r="B2509" s="16" t="inlineStr">
        <is>
          <t>5.1</t>
        </is>
      </c>
      <c r="C2509" s="16" t="inlineStr">
        <is>
          <t>5.1a</t>
        </is>
      </c>
      <c r="D2509" s="16" t="inlineStr">
        <is>
          <t>libre, desde el mejor de 3.2</t>
        </is>
      </c>
      <c r="E2509" s="16" t="inlineStr">
        <is>
          <t>KF-M07</t>
        </is>
      </c>
      <c r="F2509" s="16" t="inlineStr">
        <is>
          <t>KF-M07-A1</t>
        </is>
      </c>
      <c r="G2509" s="16" t="inlineStr">
        <is>
          <t>B11-A1</t>
        </is>
      </c>
      <c r="H2509" s="16" t="inlineStr">
        <is>
          <t>busqueda</t>
        </is>
      </c>
      <c r="I2509" s="16" t="inlineStr">
        <is>
          <t>KALINA</t>
        </is>
      </c>
      <c r="J2509" s="16" t="inlineStr">
        <is>
          <t>KALINA</t>
        </is>
      </c>
      <c r="K2509" s="16" t="b">
        <v>1</v>
      </c>
      <c r="L2509" s="16" t="b">
        <v>1</v>
      </c>
      <c r="M2509" s="16" t="b">
        <v>0</v>
      </c>
      <c r="N2509" s="16" t="b">
        <v>0</v>
      </c>
      <c r="O2509" s="16" t="n">
        <v>424.0969531091276</v>
      </c>
      <c r="P2509" s="16" t="n">
        <v>279.0977013205448</v>
      </c>
      <c r="Q2509" s="16" t="n">
        <v>3781.823024523768</v>
      </c>
      <c r="R2509" s="16" t="n">
        <v>808.3402577390962</v>
      </c>
      <c r="S2509" s="16" t="n">
        <v>0.6347489709498951</v>
      </c>
      <c r="T2509" s="16" t="n">
        <v>0.9184829805028722</v>
      </c>
      <c r="U2509" s="16" t="n">
        <v>0.7460814839003644</v>
      </c>
      <c r="V2509" s="16" t="n">
        <v>0.6777311085206517</v>
      </c>
      <c r="W2509" s="16" t="n">
        <v>0.9415298192493302</v>
      </c>
      <c r="X2509" s="16" t="n">
        <v>0.8418262585071621</v>
      </c>
      <c r="Y2509" s="16" t="n">
        <v>279.0977013205448</v>
      </c>
      <c r="Z2509" s="16" t="n">
        <v>12.45440761227609</v>
      </c>
      <c r="AA2509" s="16" t="n">
        <v>70.77220062444242</v>
      </c>
      <c r="AB2509" s="16" t="n">
        <v>2973.482766784672</v>
      </c>
      <c r="AC2509" s="16" t="n">
        <v>4.678503870512914</v>
      </c>
      <c r="AD2509" s="16" t="n"/>
      <c r="AE2509" s="16" t="n"/>
    </row>
    <row r="2510">
      <c r="A2510" s="16" t="inlineStr">
        <is>
          <t>KF-M07-A1-0023</t>
        </is>
      </c>
      <c r="B2510" s="16" t="inlineStr">
        <is>
          <t>5.1</t>
        </is>
      </c>
      <c r="C2510" s="16" t="inlineStr">
        <is>
          <t>5.1a</t>
        </is>
      </c>
      <c r="D2510" s="16" t="inlineStr">
        <is>
          <t>libre, desde el mejor de 3.2</t>
        </is>
      </c>
      <c r="E2510" s="16" t="inlineStr">
        <is>
          <t>KF-M07</t>
        </is>
      </c>
      <c r="F2510" s="16" t="inlineStr">
        <is>
          <t>KF-M07-A1</t>
        </is>
      </c>
      <c r="G2510" s="16" t="inlineStr">
        <is>
          <t>B11-A1</t>
        </is>
      </c>
      <c r="H2510" s="16" t="inlineStr">
        <is>
          <t>busqueda</t>
        </is>
      </c>
      <c r="I2510" s="16" t="inlineStr">
        <is>
          <t>KALINA</t>
        </is>
      </c>
      <c r="J2510" s="16" t="inlineStr">
        <is>
          <t>KALINA</t>
        </is>
      </c>
      <c r="K2510" s="16" t="b">
        <v>1</v>
      </c>
      <c r="L2510" s="16" t="b">
        <v>1</v>
      </c>
      <c r="M2510" s="16" t="b">
        <v>0</v>
      </c>
      <c r="N2510" s="16" t="b">
        <v>0</v>
      </c>
      <c r="O2510" s="16" t="n">
        <v>436.0969531091276</v>
      </c>
      <c r="P2510" s="16" t="n">
        <v>281.6377013205448</v>
      </c>
      <c r="Q2510" s="16" t="n">
        <v>3781.823024523768</v>
      </c>
      <c r="R2510" s="16" t="n">
        <v>808.3402577390962</v>
      </c>
      <c r="S2510" s="16" t="n">
        <v>0.6347489709498951</v>
      </c>
      <c r="T2510" s="16" t="n">
        <v>0.9184829805028722</v>
      </c>
      <c r="U2510" s="16" t="n">
        <v>0.7460814839003644</v>
      </c>
      <c r="V2510" s="16" t="n">
        <v>0.6777311085206517</v>
      </c>
      <c r="W2510" s="16" t="n">
        <v>0.9415298192493302</v>
      </c>
      <c r="X2510" s="16" t="n">
        <v>0.8418262585071621</v>
      </c>
      <c r="Y2510" s="16" t="n">
        <v>281.6377013205448</v>
      </c>
      <c r="Z2510" s="16" t="n">
        <v>12.89468779591546</v>
      </c>
      <c r="AA2510" s="16" t="n">
        <v>89.4225825364358</v>
      </c>
      <c r="AB2510" s="16" t="n">
        <v>2973.482766784672</v>
      </c>
      <c r="AC2510" s="16" t="n">
        <v>4.678503870512914</v>
      </c>
      <c r="AD2510" s="16" t="n"/>
      <c r="AE2510" s="16" t="n"/>
    </row>
    <row r="2511">
      <c r="A2511" s="16" t="inlineStr">
        <is>
          <t>KF-M07-A1-0024</t>
        </is>
      </c>
      <c r="B2511" s="16" t="inlineStr">
        <is>
          <t>5.1</t>
        </is>
      </c>
      <c r="C2511" s="16" t="inlineStr">
        <is>
          <t>5.1a</t>
        </is>
      </c>
      <c r="D2511" s="16" t="inlineStr">
        <is>
          <t>libre, desde el mejor de 3.2</t>
        </is>
      </c>
      <c r="E2511" s="16" t="inlineStr">
        <is>
          <t>KF-M07</t>
        </is>
      </c>
      <c r="F2511" s="16" t="inlineStr">
        <is>
          <t>KF-M07-A1</t>
        </is>
      </c>
      <c r="G2511" s="16" t="inlineStr">
        <is>
          <t>B11-A1</t>
        </is>
      </c>
      <c r="H2511" s="16" t="inlineStr">
        <is>
          <t>busqueda</t>
        </is>
      </c>
      <c r="I2511" s="16" t="inlineStr">
        <is>
          <t>KALINA</t>
        </is>
      </c>
      <c r="J2511" s="16" t="inlineStr">
        <is>
          <t>KALINA</t>
        </is>
      </c>
      <c r="K2511" s="16" t="b">
        <v>1</v>
      </c>
      <c r="L2511" s="16" t="b">
        <v>1</v>
      </c>
      <c r="M2511" s="16" t="b">
        <v>0</v>
      </c>
      <c r="N2511" s="16" t="b">
        <v>0</v>
      </c>
      <c r="O2511" s="16" t="n">
        <v>436.0969531091276</v>
      </c>
      <c r="P2511" s="16" t="n">
        <v>278.15</v>
      </c>
      <c r="Q2511" s="16" t="n">
        <v>3781.823024523768</v>
      </c>
      <c r="R2511" s="16" t="n">
        <v>808.3402577390962</v>
      </c>
      <c r="S2511" s="16" t="n">
        <v>0.6347489709498951</v>
      </c>
      <c r="T2511" s="16" t="n">
        <v>0.9184829805028722</v>
      </c>
      <c r="U2511" s="16" t="n">
        <v>0.7460814839003644</v>
      </c>
      <c r="V2511" s="16" t="n">
        <v>0.6777311085206517</v>
      </c>
      <c r="W2511" s="16" t="n">
        <v>0.9415298192493302</v>
      </c>
      <c r="X2511" s="16" t="n">
        <v>0.8418262585071621</v>
      </c>
      <c r="Y2511" s="16" t="n">
        <v>278.15</v>
      </c>
      <c r="Z2511" s="16" t="n">
        <v>12.76195569084965</v>
      </c>
      <c r="AA2511" s="16" t="n">
        <v>89.11641565366214</v>
      </c>
      <c r="AB2511" s="16" t="n">
        <v>2973.482766784672</v>
      </c>
      <c r="AC2511" s="16" t="n">
        <v>4.678503870512914</v>
      </c>
      <c r="AD2511" s="16" t="n"/>
      <c r="AE2511" s="16" t="n"/>
    </row>
    <row r="2512">
      <c r="A2512" s="16" t="inlineStr">
        <is>
          <t>KF-M07-A1-0025</t>
        </is>
      </c>
      <c r="B2512" s="16" t="inlineStr">
        <is>
          <t>5.1</t>
        </is>
      </c>
      <c r="C2512" s="16" t="inlineStr">
        <is>
          <t>5.1a</t>
        </is>
      </c>
      <c r="D2512" s="16" t="inlineStr">
        <is>
          <t>libre, desde el mejor de 3.2</t>
        </is>
      </c>
      <c r="E2512" s="16" t="inlineStr">
        <is>
          <t>KF-M07</t>
        </is>
      </c>
      <c r="F2512" s="16" t="inlineStr">
        <is>
          <t>KF-M07-A1</t>
        </is>
      </c>
      <c r="G2512" s="16" t="inlineStr">
        <is>
          <t>B11-A1</t>
        </is>
      </c>
      <c r="H2512" s="16" t="inlineStr">
        <is>
          <t>busqueda</t>
        </is>
      </c>
      <c r="I2512" s="16" t="inlineStr">
        <is>
          <t>KALINA</t>
        </is>
      </c>
      <c r="J2512" s="16" t="inlineStr">
        <is>
          <t>KALINA</t>
        </is>
      </c>
      <c r="K2512" s="16" t="b">
        <v>1</v>
      </c>
      <c r="L2512" s="16" t="b">
        <v>1</v>
      </c>
      <c r="M2512" s="16" t="b">
        <v>0</v>
      </c>
      <c r="N2512" s="16" t="b">
        <v>0</v>
      </c>
      <c r="O2512" s="16" t="n">
        <v>436.0969531091276</v>
      </c>
      <c r="P2512" s="16" t="n">
        <v>279.0977013205448</v>
      </c>
      <c r="Q2512" s="16" t="n">
        <v>4081.823024523768</v>
      </c>
      <c r="R2512" s="16" t="n">
        <v>808.3402577390962</v>
      </c>
      <c r="S2512" s="16" t="n">
        <v>0.6347489709498951</v>
      </c>
      <c r="T2512" s="16" t="n">
        <v>0.9184829805028722</v>
      </c>
      <c r="U2512" s="16" t="n">
        <v>0.7460814839003644</v>
      </c>
      <c r="V2512" s="16" t="n">
        <v>0.6777311085206517</v>
      </c>
      <c r="W2512" s="16" t="n">
        <v>0.9415298192493302</v>
      </c>
      <c r="X2512" s="16" t="n">
        <v>0.8418262585071621</v>
      </c>
      <c r="Y2512" s="16" t="n">
        <v>279.0977013205448</v>
      </c>
      <c r="Z2512" s="16" t="n">
        <v>13.20991426855364</v>
      </c>
      <c r="AA2512" s="16" t="n">
        <v>86.49834218376981</v>
      </c>
      <c r="AB2512" s="16" t="n">
        <v>3273.482766784672</v>
      </c>
      <c r="AC2512" s="16" t="n">
        <v>5.049634711922558</v>
      </c>
      <c r="AD2512" s="16" t="n"/>
      <c r="AE2512" s="16" t="n"/>
    </row>
    <row r="2513">
      <c r="A2513" s="16" t="inlineStr">
        <is>
          <t>KF-M07-A1-0026</t>
        </is>
      </c>
      <c r="B2513" s="16" t="inlineStr">
        <is>
          <t>5.1</t>
        </is>
      </c>
      <c r="C2513" s="16" t="inlineStr">
        <is>
          <t>5.1a</t>
        </is>
      </c>
      <c r="D2513" s="16" t="inlineStr">
        <is>
          <t>libre, desde el mejor de 3.2</t>
        </is>
      </c>
      <c r="E2513" s="16" t="inlineStr">
        <is>
          <t>KF-M07</t>
        </is>
      </c>
      <c r="F2513" s="16" t="inlineStr">
        <is>
          <t>KF-M07-A1</t>
        </is>
      </c>
      <c r="G2513" s="16" t="inlineStr">
        <is>
          <t>B11-A1</t>
        </is>
      </c>
      <c r="H2513" s="16" t="inlineStr">
        <is>
          <t>busqueda</t>
        </is>
      </c>
      <c r="I2513" s="16" t="inlineStr">
        <is>
          <t>KALINA</t>
        </is>
      </c>
      <c r="J2513" s="16" t="inlineStr">
        <is>
          <t>KALINA</t>
        </is>
      </c>
      <c r="K2513" s="16" t="b">
        <v>1</v>
      </c>
      <c r="L2513" s="16" t="b">
        <v>1</v>
      </c>
      <c r="M2513" s="16" t="b">
        <v>0</v>
      </c>
      <c r="N2513" s="16" t="b">
        <v>0</v>
      </c>
      <c r="O2513" s="16" t="n">
        <v>436.0969531091276</v>
      </c>
      <c r="P2513" s="16" t="n">
        <v>279.0977013205448</v>
      </c>
      <c r="Q2513" s="16" t="n">
        <v>3481.823024523768</v>
      </c>
      <c r="R2513" s="16" t="n">
        <v>808.3402577390962</v>
      </c>
      <c r="S2513" s="16" t="n">
        <v>0.6347489709498951</v>
      </c>
      <c r="T2513" s="16" t="n">
        <v>0.9184829805028722</v>
      </c>
      <c r="U2513" s="16" t="n">
        <v>0.7460814839003644</v>
      </c>
      <c r="V2513" s="16" t="n">
        <v>0.6777311085206517</v>
      </c>
      <c r="W2513" s="16" t="n">
        <v>0.9415298192493302</v>
      </c>
      <c r="X2513" s="16" t="n">
        <v>0.8418262585071621</v>
      </c>
      <c r="Y2513" s="16" t="n">
        <v>279.0977013205448</v>
      </c>
      <c r="Z2513" s="16" t="n">
        <v>12.30159889633283</v>
      </c>
      <c r="AA2513" s="16" t="n">
        <v>91.41821112392584</v>
      </c>
      <c r="AB2513" s="16" t="n">
        <v>2673.482766784672</v>
      </c>
      <c r="AC2513" s="16" t="n">
        <v>4.307373029103269</v>
      </c>
      <c r="AD2513" s="16" t="n"/>
      <c r="AE2513" s="16" t="n"/>
    </row>
    <row r="2514">
      <c r="A2514" s="16" t="inlineStr">
        <is>
          <t>KF-M07-A1-0027</t>
        </is>
      </c>
      <c r="B2514" s="16" t="inlineStr">
        <is>
          <t>5.1</t>
        </is>
      </c>
      <c r="C2514" s="16" t="inlineStr">
        <is>
          <t>5.1a</t>
        </is>
      </c>
      <c r="D2514" s="16" t="inlineStr">
        <is>
          <t>libre, desde el mejor de 3.2</t>
        </is>
      </c>
      <c r="E2514" s="16" t="inlineStr">
        <is>
          <t>KF-M07</t>
        </is>
      </c>
      <c r="F2514" s="16" t="inlineStr">
        <is>
          <t>KF-M07-A1</t>
        </is>
      </c>
      <c r="G2514" s="16" t="inlineStr">
        <is>
          <t>B11-A1</t>
        </is>
      </c>
      <c r="H2514" s="16" t="inlineStr">
        <is>
          <t>busqueda</t>
        </is>
      </c>
      <c r="I2514" s="16" t="inlineStr">
        <is>
          <t>KALINA</t>
        </is>
      </c>
      <c r="J2514" s="16" t="inlineStr">
        <is>
          <t>KALINA</t>
        </is>
      </c>
      <c r="K2514" s="16" t="b">
        <v>1</v>
      </c>
      <c r="L2514" s="16" t="b">
        <v>1</v>
      </c>
      <c r="M2514" s="16" t="b">
        <v>0</v>
      </c>
      <c r="N2514" s="16" t="b">
        <v>0</v>
      </c>
      <c r="O2514" s="16" t="n">
        <v>436.0969531091276</v>
      </c>
      <c r="P2514" s="16" t="n">
        <v>279.0977013205448</v>
      </c>
      <c r="Q2514" s="16" t="n">
        <v>3781.823024523768</v>
      </c>
      <c r="R2514" s="16" t="n">
        <v>1028.340257739096</v>
      </c>
      <c r="S2514" s="16" t="n">
        <v>0.6347489709498951</v>
      </c>
      <c r="T2514" s="16" t="n">
        <v>0.9184829805028722</v>
      </c>
      <c r="U2514" s="16" t="n">
        <v>0.7460814839003644</v>
      </c>
      <c r="V2514" s="16" t="n">
        <v>0.6777311085206517</v>
      </c>
      <c r="W2514" s="16" t="n">
        <v>0.9415298192493302</v>
      </c>
      <c r="X2514" s="16" t="n">
        <v>0.8418262585071621</v>
      </c>
      <c r="Y2514" s="16" t="n">
        <v>279.0977013205448</v>
      </c>
      <c r="Z2514" s="16" t="n">
        <v>10.90319805183698</v>
      </c>
      <c r="AA2514" s="16" t="n">
        <v>75.9207104803024</v>
      </c>
      <c r="AB2514" s="16" t="n">
        <v>2753.482766784672</v>
      </c>
      <c r="AC2514" s="16" t="n">
        <v>3.677598923179829</v>
      </c>
      <c r="AD2514" s="16" t="n"/>
      <c r="AE2514" s="16" t="n"/>
    </row>
    <row r="2515">
      <c r="A2515" s="16" t="inlineStr">
        <is>
          <t>KF-M07-A1-0028</t>
        </is>
      </c>
      <c r="B2515" s="16" t="inlineStr">
        <is>
          <t>5.1</t>
        </is>
      </c>
      <c r="C2515" s="16" t="inlineStr">
        <is>
          <t>5.1a</t>
        </is>
      </c>
      <c r="D2515" s="16" t="inlineStr">
        <is>
          <t>libre, desde el mejor de 3.2</t>
        </is>
      </c>
      <c r="E2515" s="16" t="inlineStr">
        <is>
          <t>KF-M07</t>
        </is>
      </c>
      <c r="F2515" s="16" t="inlineStr">
        <is>
          <t>KF-M07-A1</t>
        </is>
      </c>
      <c r="G2515" s="16" t="inlineStr">
        <is>
          <t>B11-A1</t>
        </is>
      </c>
      <c r="H2515" s="16" t="inlineStr">
        <is>
          <t>busqueda</t>
        </is>
      </c>
      <c r="I2515" s="16" t="inlineStr">
        <is>
          <t>CORREGIBLE</t>
        </is>
      </c>
      <c r="J2515" s="16" t="inlineStr">
        <is>
          <t>CORREGIBLE</t>
        </is>
      </c>
      <c r="K2515" s="16" t="b">
        <v>1</v>
      </c>
      <c r="L2515" s="16" t="b">
        <v>0</v>
      </c>
      <c r="M2515" s="16" t="b">
        <v>0</v>
      </c>
      <c r="N2515" s="16" t="b">
        <v>0</v>
      </c>
      <c r="O2515" s="16" t="n">
        <v>436.0969531091276</v>
      </c>
      <c r="P2515" s="16" t="n">
        <v>279.0977013205448</v>
      </c>
      <c r="Q2515" s="16" t="n">
        <v>3781.823024523768</v>
      </c>
      <c r="R2515" s="16" t="n">
        <v>588.3402577390962</v>
      </c>
      <c r="S2515" s="16" t="n">
        <v>0.6347489709498951</v>
      </c>
      <c r="T2515" s="16" t="n">
        <v>0.9184829805028722</v>
      </c>
      <c r="U2515" s="16" t="n">
        <v>0.7460814839003644</v>
      </c>
      <c r="V2515" s="16" t="n">
        <v>0.6777311085206517</v>
      </c>
      <c r="W2515" s="16" t="n">
        <v>0.9415298192493302</v>
      </c>
      <c r="X2515" s="16" t="n">
        <v>0.8418262585071621</v>
      </c>
      <c r="Y2515" s="16" t="n">
        <v>279.0977013205448</v>
      </c>
      <c r="Z2515" s="16" t="n">
        <v>15.21315249897212</v>
      </c>
      <c r="AA2515" s="16" t="n">
        <v>106.1659439173819</v>
      </c>
      <c r="AB2515" s="16" t="n">
        <v>3193.482766784672</v>
      </c>
      <c r="AC2515" s="16" t="n">
        <v>6.427952149758966</v>
      </c>
      <c r="AD2515" s="16" t="inlineStr">
        <is>
          <t>O2</t>
        </is>
      </c>
      <c r="AE2515" s="16" t="n"/>
    </row>
    <row r="2516">
      <c r="A2516" s="16" t="inlineStr">
        <is>
          <t>KF-M07-A1-0029</t>
        </is>
      </c>
      <c r="B2516" s="16" t="inlineStr">
        <is>
          <t>5.1</t>
        </is>
      </c>
      <c r="C2516" s="16" t="inlineStr">
        <is>
          <t>5.1a</t>
        </is>
      </c>
      <c r="D2516" s="16" t="inlineStr">
        <is>
          <t>libre, desde el mejor de 3.2</t>
        </is>
      </c>
      <c r="E2516" s="16" t="inlineStr">
        <is>
          <t>KF-M07</t>
        </is>
      </c>
      <c r="F2516" s="16" t="inlineStr">
        <is>
          <t>KF-M07-A1</t>
        </is>
      </c>
      <c r="G2516" s="16" t="inlineStr">
        <is>
          <t>B11-A1</t>
        </is>
      </c>
      <c r="H2516" s="16" t="inlineStr">
        <is>
          <t>busqueda</t>
        </is>
      </c>
      <c r="I2516" s="16" t="inlineStr">
        <is>
          <t>KALINA</t>
        </is>
      </c>
      <c r="J2516" s="16" t="inlineStr">
        <is>
          <t>KALINA</t>
        </is>
      </c>
      <c r="K2516" s="16" t="b">
        <v>1</v>
      </c>
      <c r="L2516" s="16" t="b">
        <v>1</v>
      </c>
      <c r="M2516" s="16" t="b">
        <v>0</v>
      </c>
      <c r="N2516" s="16" t="b">
        <v>0</v>
      </c>
      <c r="O2516" s="16" t="n">
        <v>436.0969531091276</v>
      </c>
      <c r="P2516" s="16" t="n">
        <v>279.0977013205448</v>
      </c>
      <c r="Q2516" s="16" t="n">
        <v>3781.823024523768</v>
      </c>
      <c r="R2516" s="16" t="n">
        <v>808.3402577390962</v>
      </c>
      <c r="S2516" s="16" t="n">
        <v>0.6697489709498952</v>
      </c>
      <c r="T2516" s="16" t="n">
        <v>0.9184829805028722</v>
      </c>
      <c r="U2516" s="16" t="n">
        <v>0.7460814839003644</v>
      </c>
      <c r="V2516" s="16" t="n">
        <v>0.6777311085206517</v>
      </c>
      <c r="W2516" s="16" t="n">
        <v>0.9415298192493302</v>
      </c>
      <c r="X2516" s="16" t="n">
        <v>0.8418262585071621</v>
      </c>
      <c r="Y2516" s="16" t="n">
        <v>279.0977013205448</v>
      </c>
      <c r="Z2516" s="16" t="n">
        <v>13.20594953062949</v>
      </c>
      <c r="AA2516" s="16" t="n">
        <v>100.2666282590297</v>
      </c>
      <c r="AB2516" s="16" t="n">
        <v>2973.482766784672</v>
      </c>
      <c r="AC2516" s="16" t="n">
        <v>4.678503870512914</v>
      </c>
      <c r="AD2516" s="16" t="n"/>
      <c r="AE2516" s="16" t="n"/>
    </row>
    <row r="2517">
      <c r="A2517" s="16" t="inlineStr">
        <is>
          <t>KF-M07-A1-0030</t>
        </is>
      </c>
      <c r="B2517" s="16" t="inlineStr">
        <is>
          <t>5.1</t>
        </is>
      </c>
      <c r="C2517" s="16" t="inlineStr">
        <is>
          <t>5.1a</t>
        </is>
      </c>
      <c r="D2517" s="16" t="inlineStr">
        <is>
          <t>libre, desde el mejor de 3.2</t>
        </is>
      </c>
      <c r="E2517" s="16" t="inlineStr">
        <is>
          <t>KF-M07</t>
        </is>
      </c>
      <c r="F2517" s="16" t="inlineStr">
        <is>
          <t>KF-M07-A1</t>
        </is>
      </c>
      <c r="G2517" s="16" t="inlineStr">
        <is>
          <t>B11-A1</t>
        </is>
      </c>
      <c r="H2517" s="16" t="inlineStr">
        <is>
          <t>busqueda</t>
        </is>
      </c>
      <c r="I2517" s="16" t="inlineStr">
        <is>
          <t>KALINA</t>
        </is>
      </c>
      <c r="J2517" s="16" t="inlineStr">
        <is>
          <t>KALINA</t>
        </is>
      </c>
      <c r="K2517" s="16" t="b">
        <v>1</v>
      </c>
      <c r="L2517" s="16" t="b">
        <v>1</v>
      </c>
      <c r="M2517" s="16" t="b">
        <v>0</v>
      </c>
      <c r="N2517" s="16" t="b">
        <v>0</v>
      </c>
      <c r="O2517" s="16" t="n">
        <v>436.0969531091276</v>
      </c>
      <c r="P2517" s="16" t="n">
        <v>279.0977013205448</v>
      </c>
      <c r="Q2517" s="16" t="n">
        <v>3781.823024523768</v>
      </c>
      <c r="R2517" s="16" t="n">
        <v>808.3402577390962</v>
      </c>
      <c r="S2517" s="16" t="n">
        <v>0.5997489709498951</v>
      </c>
      <c r="T2517" s="16" t="n">
        <v>0.9184829805028722</v>
      </c>
      <c r="U2517" s="16" t="n">
        <v>0.7460814839003644</v>
      </c>
      <c r="V2517" s="16" t="n">
        <v>0.6777311085206517</v>
      </c>
      <c r="W2517" s="16" t="n">
        <v>0.9415298192493302</v>
      </c>
      <c r="X2517" s="16" t="n">
        <v>0.8418262585071621</v>
      </c>
      <c r="Y2517" s="16" t="n">
        <v>279.0977013205448</v>
      </c>
      <c r="Z2517" s="16" t="n">
        <v>12.35989091930802</v>
      </c>
      <c r="AA2517" s="16" t="n">
        <v>78.140596408844</v>
      </c>
      <c r="AB2517" s="16" t="n">
        <v>2973.482766784672</v>
      </c>
      <c r="AC2517" s="16" t="n">
        <v>4.678503870512914</v>
      </c>
      <c r="AD2517" s="16" t="n"/>
      <c r="AE2517" s="16" t="n"/>
    </row>
    <row r="2518">
      <c r="A2518" s="16" t="inlineStr">
        <is>
          <t>KF-M07-A1-0031</t>
        </is>
      </c>
      <c r="B2518" s="16" t="inlineStr">
        <is>
          <t>5.1</t>
        </is>
      </c>
      <c r="C2518" s="16" t="inlineStr">
        <is>
          <t>5.1a</t>
        </is>
      </c>
      <c r="D2518" s="16" t="inlineStr">
        <is>
          <t>libre, desde el mejor de 3.2</t>
        </is>
      </c>
      <c r="E2518" s="16" t="inlineStr">
        <is>
          <t>KF-M07</t>
        </is>
      </c>
      <c r="F2518" s="16" t="inlineStr">
        <is>
          <t>KF-M07-A1</t>
        </is>
      </c>
      <c r="G2518" s="16" t="inlineStr">
        <is>
          <t>B11-A1</t>
        </is>
      </c>
      <c r="H2518" s="16" t="inlineStr">
        <is>
          <t>busqueda</t>
        </is>
      </c>
      <c r="I2518" s="16" t="inlineStr">
        <is>
          <t>KALINA</t>
        </is>
      </c>
      <c r="J2518" s="16" t="inlineStr">
        <is>
          <t>KALINA</t>
        </is>
      </c>
      <c r="K2518" s="16" t="b">
        <v>1</v>
      </c>
      <c r="L2518" s="16" t="b">
        <v>1</v>
      </c>
      <c r="M2518" s="16" t="b">
        <v>0</v>
      </c>
      <c r="N2518" s="16" t="b">
        <v>0</v>
      </c>
      <c r="O2518" s="16" t="n">
        <v>436.0969531091276</v>
      </c>
      <c r="P2518" s="16" t="n">
        <v>279.0977013205448</v>
      </c>
      <c r="Q2518" s="16" t="n">
        <v>3781.823024523768</v>
      </c>
      <c r="R2518" s="16" t="n">
        <v>808.3402577390962</v>
      </c>
      <c r="S2518" s="16" t="n">
        <v>0.6347489709498951</v>
      </c>
      <c r="T2518" s="16" t="n">
        <v>0.95</v>
      </c>
      <c r="U2518" s="16" t="n">
        <v>0.7460814839003644</v>
      </c>
      <c r="V2518" s="16" t="n">
        <v>0.6777311085206517</v>
      </c>
      <c r="W2518" s="16" t="n">
        <v>0.9415298192493302</v>
      </c>
      <c r="X2518" s="16" t="n">
        <v>0.8418262585071621</v>
      </c>
      <c r="Y2518" s="16" t="n">
        <v>279.0977013205448</v>
      </c>
      <c r="Z2518" s="16" t="n">
        <v>13.2574465374705</v>
      </c>
      <c r="AA2518" s="16" t="n">
        <v>92.42723044582696</v>
      </c>
      <c r="AB2518" s="16" t="n">
        <v>2973.482766784672</v>
      </c>
      <c r="AC2518" s="16" t="n">
        <v>4.678503870512914</v>
      </c>
      <c r="AD2518" s="16" t="n"/>
      <c r="AE2518" s="16" t="n"/>
    </row>
    <row r="2519">
      <c r="A2519" s="16" t="inlineStr">
        <is>
          <t>KF-M07-A1-0032</t>
        </is>
      </c>
      <c r="B2519" s="16" t="inlineStr">
        <is>
          <t>5.1</t>
        </is>
      </c>
      <c r="C2519" s="16" t="inlineStr">
        <is>
          <t>5.1a</t>
        </is>
      </c>
      <c r="D2519" s="16" t="inlineStr">
        <is>
          <t>libre, desde el mejor de 3.2</t>
        </is>
      </c>
      <c r="E2519" s="16" t="inlineStr">
        <is>
          <t>KF-M07</t>
        </is>
      </c>
      <c r="F2519" s="16" t="inlineStr">
        <is>
          <t>KF-M07-A1</t>
        </is>
      </c>
      <c r="G2519" s="16" t="inlineStr">
        <is>
          <t>B11-A1</t>
        </is>
      </c>
      <c r="H2519" s="16" t="inlineStr">
        <is>
          <t>busqueda</t>
        </is>
      </c>
      <c r="I2519" s="16" t="inlineStr">
        <is>
          <t>KALINA</t>
        </is>
      </c>
      <c r="J2519" s="16" t="inlineStr">
        <is>
          <t>KALINA</t>
        </is>
      </c>
      <c r="K2519" s="16" t="b">
        <v>1</v>
      </c>
      <c r="L2519" s="16" t="b">
        <v>1</v>
      </c>
      <c r="M2519" s="16" t="b">
        <v>0</v>
      </c>
      <c r="N2519" s="16" t="b">
        <v>0</v>
      </c>
      <c r="O2519" s="16" t="n">
        <v>436.0969531091276</v>
      </c>
      <c r="P2519" s="16" t="n">
        <v>279.0977013205448</v>
      </c>
      <c r="Q2519" s="16" t="n">
        <v>3781.823024523768</v>
      </c>
      <c r="R2519" s="16" t="n">
        <v>808.3402577390962</v>
      </c>
      <c r="S2519" s="16" t="n">
        <v>0.6347489709498951</v>
      </c>
      <c r="T2519" s="16" t="n">
        <v>0.8634829805028723</v>
      </c>
      <c r="U2519" s="16" t="n">
        <v>0.7460814839003644</v>
      </c>
      <c r="V2519" s="16" t="n">
        <v>0.6777311085206517</v>
      </c>
      <c r="W2519" s="16" t="n">
        <v>0.9415298192493302</v>
      </c>
      <c r="X2519" s="16" t="n">
        <v>0.8418262585071621</v>
      </c>
      <c r="Y2519" s="16" t="n">
        <v>279.0977013205448</v>
      </c>
      <c r="Z2519" s="16" t="n">
        <v>11.99471297321429</v>
      </c>
      <c r="AA2519" s="16" t="n">
        <v>83.56466194710028</v>
      </c>
      <c r="AB2519" s="16" t="n">
        <v>2973.482766784672</v>
      </c>
      <c r="AC2519" s="16" t="n">
        <v>4.678503870512914</v>
      </c>
      <c r="AD2519" s="16" t="n"/>
      <c r="AE2519" s="16" t="n"/>
    </row>
    <row r="2520">
      <c r="A2520" s="16" t="inlineStr">
        <is>
          <t>KF-M07-A1-0033</t>
        </is>
      </c>
      <c r="B2520" s="16" t="inlineStr">
        <is>
          <t>5.1</t>
        </is>
      </c>
      <c r="C2520" s="16" t="inlineStr">
        <is>
          <t>5.1a</t>
        </is>
      </c>
      <c r="D2520" s="16" t="inlineStr">
        <is>
          <t>libre, desde el mejor de 3.2</t>
        </is>
      </c>
      <c r="E2520" s="16" t="inlineStr">
        <is>
          <t>KF-M07</t>
        </is>
      </c>
      <c r="F2520" s="16" t="inlineStr">
        <is>
          <t>KF-M07-A1</t>
        </is>
      </c>
      <c r="G2520" s="16" t="inlineStr">
        <is>
          <t>B11-A1</t>
        </is>
      </c>
      <c r="H2520" s="16" t="inlineStr">
        <is>
          <t>busqueda</t>
        </is>
      </c>
      <c r="I2520" s="16" t="inlineStr">
        <is>
          <t>KALINA</t>
        </is>
      </c>
      <c r="J2520" s="16" t="inlineStr">
        <is>
          <t>KALINA</t>
        </is>
      </c>
      <c r="K2520" s="16" t="b">
        <v>1</v>
      </c>
      <c r="L2520" s="16" t="b">
        <v>1</v>
      </c>
      <c r="M2520" s="16" t="b">
        <v>0</v>
      </c>
      <c r="N2520" s="16" t="b">
        <v>0</v>
      </c>
      <c r="O2520" s="16" t="n">
        <v>436.0969531091276</v>
      </c>
      <c r="P2520" s="16" t="n">
        <v>279.0977013205448</v>
      </c>
      <c r="Q2520" s="16" t="n">
        <v>3781.823024523768</v>
      </c>
      <c r="R2520" s="16" t="n">
        <v>808.3402577390962</v>
      </c>
      <c r="S2520" s="16" t="n">
        <v>0.6347489709498951</v>
      </c>
      <c r="T2520" s="16" t="n">
        <v>0.9184829805028722</v>
      </c>
      <c r="U2520" s="16" t="n">
        <v>0.8010814839003644</v>
      </c>
      <c r="V2520" s="16" t="n">
        <v>0.6777311085206517</v>
      </c>
      <c r="W2520" s="16" t="n">
        <v>0.9415298192493302</v>
      </c>
      <c r="X2520" s="16" t="n">
        <v>0.8418262585071621</v>
      </c>
      <c r="Y2520" s="16" t="n">
        <v>279.0977013205448</v>
      </c>
      <c r="Z2520" s="16" t="n">
        <v>12.84556290871567</v>
      </c>
      <c r="AA2520" s="16" t="n">
        <v>89.54870950880444</v>
      </c>
      <c r="AB2520" s="16" t="n">
        <v>2973.482766784672</v>
      </c>
      <c r="AC2520" s="16" t="n">
        <v>4.678503870512914</v>
      </c>
      <c r="AD2520" s="16" t="n"/>
      <c r="AE2520" s="16" t="n"/>
    </row>
    <row r="2521">
      <c r="A2521" s="16" t="inlineStr">
        <is>
          <t>KF-M07-A1-0034</t>
        </is>
      </c>
      <c r="B2521" s="16" t="inlineStr">
        <is>
          <t>5.1</t>
        </is>
      </c>
      <c r="C2521" s="16" t="inlineStr">
        <is>
          <t>5.1a</t>
        </is>
      </c>
      <c r="D2521" s="16" t="inlineStr">
        <is>
          <t>libre, desde el mejor de 3.2</t>
        </is>
      </c>
      <c r="E2521" s="16" t="inlineStr">
        <is>
          <t>KF-M07</t>
        </is>
      </c>
      <c r="F2521" s="16" t="inlineStr">
        <is>
          <t>KF-M07-A1</t>
        </is>
      </c>
      <c r="G2521" s="16" t="inlineStr">
        <is>
          <t>B11-A1</t>
        </is>
      </c>
      <c r="H2521" s="16" t="inlineStr">
        <is>
          <t>busqueda</t>
        </is>
      </c>
      <c r="I2521" s="16" t="inlineStr">
        <is>
          <t>KALINA</t>
        </is>
      </c>
      <c r="J2521" s="16" t="inlineStr">
        <is>
          <t>KALINA</t>
        </is>
      </c>
      <c r="K2521" s="16" t="b">
        <v>1</v>
      </c>
      <c r="L2521" s="16" t="b">
        <v>1</v>
      </c>
      <c r="M2521" s="16" t="b">
        <v>0</v>
      </c>
      <c r="N2521" s="16" t="b">
        <v>0</v>
      </c>
      <c r="O2521" s="16" t="n">
        <v>436.0969531091276</v>
      </c>
      <c r="P2521" s="16" t="n">
        <v>279.0977013205448</v>
      </c>
      <c r="Q2521" s="16" t="n">
        <v>3781.823024523768</v>
      </c>
      <c r="R2521" s="16" t="n">
        <v>808.3402577390962</v>
      </c>
      <c r="S2521" s="16" t="n">
        <v>0.6347489709498951</v>
      </c>
      <c r="T2521" s="16" t="n">
        <v>0.9184829805028722</v>
      </c>
      <c r="U2521" s="16" t="n">
        <v>0.6910814839003644</v>
      </c>
      <c r="V2521" s="16" t="n">
        <v>0.6777311085206517</v>
      </c>
      <c r="W2521" s="16" t="n">
        <v>0.9415298192493302</v>
      </c>
      <c r="X2521" s="16" t="n">
        <v>0.8418262585071621</v>
      </c>
      <c r="Y2521" s="16" t="n">
        <v>279.0977013205448</v>
      </c>
      <c r="Z2521" s="16" t="n">
        <v>12.74232601404055</v>
      </c>
      <c r="AA2521" s="16" t="n">
        <v>88.79458152231955</v>
      </c>
      <c r="AB2521" s="16" t="n">
        <v>2973.482766784672</v>
      </c>
      <c r="AC2521" s="16" t="n">
        <v>4.678503870512914</v>
      </c>
      <c r="AD2521" s="16" t="n"/>
      <c r="AE2521" s="16" t="n"/>
    </row>
    <row r="2522">
      <c r="A2522" s="16" t="inlineStr">
        <is>
          <t>KF-M07-A1-0035</t>
        </is>
      </c>
      <c r="B2522" s="16" t="inlineStr">
        <is>
          <t>5.1</t>
        </is>
      </c>
      <c r="C2522" s="16" t="inlineStr">
        <is>
          <t>5.1a</t>
        </is>
      </c>
      <c r="D2522" s="16" t="inlineStr">
        <is>
          <t>libre, desde el mejor de 3.2</t>
        </is>
      </c>
      <c r="E2522" s="16" t="inlineStr">
        <is>
          <t>KF-M07</t>
        </is>
      </c>
      <c r="F2522" s="16" t="inlineStr">
        <is>
          <t>KF-M07-A1</t>
        </is>
      </c>
      <c r="G2522" s="16" t="inlineStr">
        <is>
          <t>B11-A1</t>
        </is>
      </c>
      <c r="H2522" s="16" t="inlineStr">
        <is>
          <t>busqueda</t>
        </is>
      </c>
      <c r="I2522" s="16" t="inlineStr">
        <is>
          <t>KALINA</t>
        </is>
      </c>
      <c r="J2522" s="16" t="inlineStr">
        <is>
          <t>KALINA</t>
        </is>
      </c>
      <c r="K2522" s="16" t="b">
        <v>1</v>
      </c>
      <c r="L2522" s="16" t="b">
        <v>1</v>
      </c>
      <c r="M2522" s="16" t="b">
        <v>0</v>
      </c>
      <c r="N2522" s="16" t="b">
        <v>0</v>
      </c>
      <c r="O2522" s="16" t="n">
        <v>436.0969531091276</v>
      </c>
      <c r="P2522" s="16" t="n">
        <v>279.0977013205448</v>
      </c>
      <c r="Q2522" s="16" t="n">
        <v>3781.823024523768</v>
      </c>
      <c r="R2522" s="16" t="n">
        <v>808.3402577390962</v>
      </c>
      <c r="S2522" s="16" t="n">
        <v>0.6347489709498951</v>
      </c>
      <c r="T2522" s="16" t="n">
        <v>0.9184829805028722</v>
      </c>
      <c r="U2522" s="16" t="n">
        <v>0.7460814839003644</v>
      </c>
      <c r="V2522" s="16" t="n">
        <v>0.7327311085206516</v>
      </c>
      <c r="W2522" s="16" t="n">
        <v>0.9415298192493302</v>
      </c>
      <c r="X2522" s="16" t="n">
        <v>0.8418262585071621</v>
      </c>
      <c r="Y2522" s="16" t="n">
        <v>279.0977013205448</v>
      </c>
      <c r="Z2522" s="16" t="n">
        <v>12.89463131313613</v>
      </c>
      <c r="AA2522" s="16" t="n">
        <v>97.27420223465262</v>
      </c>
      <c r="AB2522" s="16" t="n">
        <v>2973.482766784672</v>
      </c>
      <c r="AC2522" s="16" t="n">
        <v>4.678503870512914</v>
      </c>
      <c r="AD2522" s="16" t="n"/>
      <c r="AE2522" s="16" t="n"/>
    </row>
    <row r="2523">
      <c r="A2523" s="16" t="inlineStr">
        <is>
          <t>KF-M07-A1-0036</t>
        </is>
      </c>
      <c r="B2523" s="16" t="inlineStr">
        <is>
          <t>5.1</t>
        </is>
      </c>
      <c r="C2523" s="16" t="inlineStr">
        <is>
          <t>5.1a</t>
        </is>
      </c>
      <c r="D2523" s="16" t="inlineStr">
        <is>
          <t>libre, desde el mejor de 3.2</t>
        </is>
      </c>
      <c r="E2523" s="16" t="inlineStr">
        <is>
          <t>KF-M07</t>
        </is>
      </c>
      <c r="F2523" s="16" t="inlineStr">
        <is>
          <t>KF-M07-A1</t>
        </is>
      </c>
      <c r="G2523" s="16" t="inlineStr">
        <is>
          <t>B11-A1</t>
        </is>
      </c>
      <c r="H2523" s="16" t="inlineStr">
        <is>
          <t>busqueda</t>
        </is>
      </c>
      <c r="I2523" s="16" t="inlineStr">
        <is>
          <t>KALINA</t>
        </is>
      </c>
      <c r="J2523" s="16" t="inlineStr">
        <is>
          <t>KALINA</t>
        </is>
      </c>
      <c r="K2523" s="16" t="b">
        <v>1</v>
      </c>
      <c r="L2523" s="16" t="b">
        <v>1</v>
      </c>
      <c r="M2523" s="16" t="b">
        <v>0</v>
      </c>
      <c r="N2523" s="16" t="b">
        <v>0</v>
      </c>
      <c r="O2523" s="16" t="n">
        <v>436.0969531091276</v>
      </c>
      <c r="P2523" s="16" t="n">
        <v>279.0977013205448</v>
      </c>
      <c r="Q2523" s="16" t="n">
        <v>3781.823024523768</v>
      </c>
      <c r="R2523" s="16" t="n">
        <v>808.3402577390962</v>
      </c>
      <c r="S2523" s="16" t="n">
        <v>0.6347489709498951</v>
      </c>
      <c r="T2523" s="16" t="n">
        <v>0.9184829805028722</v>
      </c>
      <c r="U2523" s="16" t="n">
        <v>0.7460814839003644</v>
      </c>
      <c r="V2523" s="16" t="n">
        <v>0.6227311085206517</v>
      </c>
      <c r="W2523" s="16" t="n">
        <v>0.9415298192493302</v>
      </c>
      <c r="X2523" s="16" t="n">
        <v>0.8418262585071621</v>
      </c>
      <c r="Y2523" s="16" t="n">
        <v>279.0977013205448</v>
      </c>
      <c r="Z2523" s="16" t="n">
        <v>12.66958142774679</v>
      </c>
      <c r="AA2523" s="16" t="n">
        <v>81.06718427288985</v>
      </c>
      <c r="AB2523" s="16" t="n">
        <v>2973.482766784672</v>
      </c>
      <c r="AC2523" s="16" t="n">
        <v>4.678503870512914</v>
      </c>
      <c r="AD2523" s="16" t="n"/>
      <c r="AE2523" s="16" t="n"/>
    </row>
    <row r="2524">
      <c r="A2524" s="16" t="inlineStr">
        <is>
          <t>KF-M07-A1-0037</t>
        </is>
      </c>
      <c r="B2524" s="16" t="inlineStr">
        <is>
          <t>5.1</t>
        </is>
      </c>
      <c r="C2524" s="16" t="inlineStr">
        <is>
          <t>5.1a</t>
        </is>
      </c>
      <c r="D2524" s="16" t="inlineStr">
        <is>
          <t>libre, desde el mejor de 3.2</t>
        </is>
      </c>
      <c r="E2524" s="16" t="inlineStr">
        <is>
          <t>KF-M07</t>
        </is>
      </c>
      <c r="F2524" s="16" t="inlineStr">
        <is>
          <t>KF-M07-A1</t>
        </is>
      </c>
      <c r="G2524" s="16" t="inlineStr">
        <is>
          <t>B11-A1</t>
        </is>
      </c>
      <c r="H2524" s="16" t="inlineStr">
        <is>
          <t>busqueda</t>
        </is>
      </c>
      <c r="I2524" s="16" t="inlineStr">
        <is>
          <t>KALINA</t>
        </is>
      </c>
      <c r="J2524" s="16" t="inlineStr">
        <is>
          <t>KALINA</t>
        </is>
      </c>
      <c r="K2524" s="16" t="b">
        <v>1</v>
      </c>
      <c r="L2524" s="16" t="b">
        <v>1</v>
      </c>
      <c r="M2524" s="16" t="b">
        <v>0</v>
      </c>
      <c r="N2524" s="16" t="b">
        <v>0</v>
      </c>
      <c r="O2524" s="16" t="n">
        <v>436.0969531091276</v>
      </c>
      <c r="P2524" s="16" t="n">
        <v>279.0977013205448</v>
      </c>
      <c r="Q2524" s="16" t="n">
        <v>3781.823024523768</v>
      </c>
      <c r="R2524" s="16" t="n">
        <v>808.3402577390962</v>
      </c>
      <c r="S2524" s="16" t="n">
        <v>0.6347489709498951</v>
      </c>
      <c r="T2524" s="16" t="n">
        <v>0.9184829805028722</v>
      </c>
      <c r="U2524" s="16" t="n">
        <v>0.7460814839003644</v>
      </c>
      <c r="V2524" s="16" t="n">
        <v>0.6777311085206517</v>
      </c>
      <c r="W2524" s="16" t="n">
        <v>0.95</v>
      </c>
      <c r="X2524" s="16" t="n">
        <v>0.8418262585071621</v>
      </c>
      <c r="Y2524" s="16" t="n">
        <v>279.0977013205448</v>
      </c>
      <c r="Z2524" s="16" t="n">
        <v>12.84351626374689</v>
      </c>
      <c r="AA2524" s="16" t="n">
        <v>89.31083754119197</v>
      </c>
      <c r="AB2524" s="16" t="n">
        <v>2973.482766784672</v>
      </c>
      <c r="AC2524" s="16" t="n">
        <v>4.678503870512914</v>
      </c>
      <c r="AD2524" s="16" t="n"/>
      <c r="AE2524" s="16" t="n"/>
    </row>
    <row r="2525">
      <c r="A2525" s="16" t="inlineStr">
        <is>
          <t>KF-M07-A1-0038</t>
        </is>
      </c>
      <c r="B2525" s="16" t="inlineStr">
        <is>
          <t>5.1</t>
        </is>
      </c>
      <c r="C2525" s="16" t="inlineStr">
        <is>
          <t>5.1a</t>
        </is>
      </c>
      <c r="D2525" s="16" t="inlineStr">
        <is>
          <t>libre, desde el mejor de 3.2</t>
        </is>
      </c>
      <c r="E2525" s="16" t="inlineStr">
        <is>
          <t>KF-M07</t>
        </is>
      </c>
      <c r="F2525" s="16" t="inlineStr">
        <is>
          <t>KF-M07-A1</t>
        </is>
      </c>
      <c r="G2525" s="16" t="inlineStr">
        <is>
          <t>B11-A1</t>
        </is>
      </c>
      <c r="H2525" s="16" t="inlineStr">
        <is>
          <t>busqueda</t>
        </is>
      </c>
      <c r="I2525" s="16" t="inlineStr">
        <is>
          <t>KALINA</t>
        </is>
      </c>
      <c r="J2525" s="16" t="inlineStr">
        <is>
          <t>KALINA</t>
        </is>
      </c>
      <c r="K2525" s="16" t="b">
        <v>1</v>
      </c>
      <c r="L2525" s="16" t="b">
        <v>1</v>
      </c>
      <c r="M2525" s="16" t="b">
        <v>0</v>
      </c>
      <c r="N2525" s="16" t="b">
        <v>0</v>
      </c>
      <c r="O2525" s="16" t="n">
        <v>436.0969531091276</v>
      </c>
      <c r="P2525" s="16" t="n">
        <v>279.0977013205448</v>
      </c>
      <c r="Q2525" s="16" t="n">
        <v>3781.823024523768</v>
      </c>
      <c r="R2525" s="16" t="n">
        <v>808.3402577390962</v>
      </c>
      <c r="S2525" s="16" t="n">
        <v>0.6347489709498951</v>
      </c>
      <c r="T2525" s="16" t="n">
        <v>0.9184829805028722</v>
      </c>
      <c r="U2525" s="16" t="n">
        <v>0.7460814839003644</v>
      </c>
      <c r="V2525" s="16" t="n">
        <v>0.6777311085206517</v>
      </c>
      <c r="W2525" s="16" t="n">
        <v>0.8865298192493303</v>
      </c>
      <c r="X2525" s="16" t="n">
        <v>0.8418262585071621</v>
      </c>
      <c r="Y2525" s="16" t="n">
        <v>279.0977013205448</v>
      </c>
      <c r="Z2525" s="16" t="n">
        <v>12.50625909416707</v>
      </c>
      <c r="AA2525" s="16" t="n">
        <v>88.47727563992794</v>
      </c>
      <c r="AB2525" s="16" t="n">
        <v>2973.482766784672</v>
      </c>
      <c r="AC2525" s="16" t="n">
        <v>4.678503870512914</v>
      </c>
      <c r="AD2525" s="16" t="n"/>
      <c r="AE2525" s="16" t="n"/>
    </row>
    <row r="2526">
      <c r="A2526" s="16" t="inlineStr">
        <is>
          <t>KF-M07-A1-0039</t>
        </is>
      </c>
      <c r="B2526" s="16" t="inlineStr">
        <is>
          <t>5.1</t>
        </is>
      </c>
      <c r="C2526" s="16" t="inlineStr">
        <is>
          <t>5.1a</t>
        </is>
      </c>
      <c r="D2526" s="16" t="inlineStr">
        <is>
          <t>libre, desde el mejor de 3.2</t>
        </is>
      </c>
      <c r="E2526" s="16" t="inlineStr">
        <is>
          <t>KF-M07</t>
        </is>
      </c>
      <c r="F2526" s="16" t="inlineStr">
        <is>
          <t>KF-M07-A1</t>
        </is>
      </c>
      <c r="G2526" s="16" t="inlineStr">
        <is>
          <t>B11-A1</t>
        </is>
      </c>
      <c r="H2526" s="16" t="inlineStr">
        <is>
          <t>busqueda</t>
        </is>
      </c>
      <c r="I2526" s="16" t="inlineStr">
        <is>
          <t>KALINA</t>
        </is>
      </c>
      <c r="J2526" s="16" t="inlineStr">
        <is>
          <t>KALINA</t>
        </is>
      </c>
      <c r="K2526" s="16" t="b">
        <v>1</v>
      </c>
      <c r="L2526" s="16" t="b">
        <v>1</v>
      </c>
      <c r="M2526" s="16" t="b">
        <v>0</v>
      </c>
      <c r="N2526" s="16" t="b">
        <v>0</v>
      </c>
      <c r="O2526" s="16" t="n">
        <v>436.0969531091276</v>
      </c>
      <c r="P2526" s="16" t="n">
        <v>279.0977013205448</v>
      </c>
      <c r="Q2526" s="16" t="n">
        <v>3781.823024523768</v>
      </c>
      <c r="R2526" s="16" t="n">
        <v>808.3402577390962</v>
      </c>
      <c r="S2526" s="16" t="n">
        <v>0.6347489709498951</v>
      </c>
      <c r="T2526" s="16" t="n">
        <v>0.9184829805028722</v>
      </c>
      <c r="U2526" s="16" t="n">
        <v>0.7460814839003644</v>
      </c>
      <c r="V2526" s="16" t="n">
        <v>0.6777311085206517</v>
      </c>
      <c r="W2526" s="16" t="n">
        <v>0.9415298192493302</v>
      </c>
      <c r="X2526" s="16" t="n">
        <v>0.896826258507162</v>
      </c>
      <c r="Y2526" s="16" t="n">
        <v>279.0977013205448</v>
      </c>
      <c r="Z2526" s="16" t="n">
        <v>12.43886497545856</v>
      </c>
      <c r="AA2526" s="16" t="n">
        <v>88.35202349484268</v>
      </c>
      <c r="AB2526" s="16" t="n">
        <v>2973.482766784672</v>
      </c>
      <c r="AC2526" s="16" t="n">
        <v>4.678503870512914</v>
      </c>
      <c r="AD2526" s="16" t="n"/>
      <c r="AE2526" s="16" t="n"/>
    </row>
    <row r="2527">
      <c r="A2527" s="16" t="inlineStr">
        <is>
          <t>KF-M07-A1-0040</t>
        </is>
      </c>
      <c r="B2527" s="16" t="inlineStr">
        <is>
          <t>5.1</t>
        </is>
      </c>
      <c r="C2527" s="16" t="inlineStr">
        <is>
          <t>5.1a</t>
        </is>
      </c>
      <c r="D2527" s="16" t="inlineStr">
        <is>
          <t>libre, desde el mejor de 3.2</t>
        </is>
      </c>
      <c r="E2527" s="16" t="inlineStr">
        <is>
          <t>KF-M07</t>
        </is>
      </c>
      <c r="F2527" s="16" t="inlineStr">
        <is>
          <t>KF-M07-A1</t>
        </is>
      </c>
      <c r="G2527" s="16" t="inlineStr">
        <is>
          <t>B11-A1</t>
        </is>
      </c>
      <c r="H2527" s="16" t="inlineStr">
        <is>
          <t>busqueda</t>
        </is>
      </c>
      <c r="I2527" s="16" t="inlineStr">
        <is>
          <t>CORREGIBLE</t>
        </is>
      </c>
      <c r="J2527" s="16" t="inlineStr">
        <is>
          <t>CORREGIBLE</t>
        </is>
      </c>
      <c r="K2527" s="16" t="b">
        <v>1</v>
      </c>
      <c r="L2527" s="16" t="b">
        <v>0</v>
      </c>
      <c r="M2527" s="16" t="b">
        <v>0</v>
      </c>
      <c r="N2527" s="16" t="b">
        <v>0</v>
      </c>
      <c r="O2527" s="16" t="n">
        <v>436.0969531091276</v>
      </c>
      <c r="P2527" s="16" t="n">
        <v>279.0977013205448</v>
      </c>
      <c r="Q2527" s="16" t="n">
        <v>3781.823024523768</v>
      </c>
      <c r="R2527" s="16" t="n">
        <v>808.3402577390962</v>
      </c>
      <c r="S2527" s="16" t="n">
        <v>0.6347489709498951</v>
      </c>
      <c r="T2527" s="16" t="n">
        <v>0.9184829805028722</v>
      </c>
      <c r="U2527" s="16" t="n">
        <v>0.7460814839003644</v>
      </c>
      <c r="V2527" s="16" t="n">
        <v>0.6777311085206517</v>
      </c>
      <c r="W2527" s="16" t="n">
        <v>0.9415298192493302</v>
      </c>
      <c r="X2527" s="16" t="n">
        <v>0.7868262585071621</v>
      </c>
      <c r="Y2527" s="16" t="n">
        <v>279.0977013205448</v>
      </c>
      <c r="Z2527" s="16" t="n">
        <v>13.20031115251013</v>
      </c>
      <c r="AA2527" s="16" t="n">
        <v>90.07547268095124</v>
      </c>
      <c r="AB2527" s="16" t="n">
        <v>2973.482766784672</v>
      </c>
      <c r="AC2527" s="16" t="n">
        <v>4.678503870512914</v>
      </c>
      <c r="AD2527" s="16" t="inlineStr">
        <is>
          <t>O2</t>
        </is>
      </c>
      <c r="AE2527" s="16" t="n"/>
    </row>
    <row r="2528">
      <c r="A2528" s="16" t="inlineStr">
        <is>
          <t>KF-M07-A1-0041</t>
        </is>
      </c>
      <c r="B2528" s="16" t="inlineStr">
        <is>
          <t>5.1</t>
        </is>
      </c>
      <c r="C2528" s="16" t="inlineStr">
        <is>
          <t>5.1a</t>
        </is>
      </c>
      <c r="D2528" s="16" t="inlineStr">
        <is>
          <t>libre, desde el mejor de 3.2</t>
        </is>
      </c>
      <c r="E2528" s="16" t="inlineStr">
        <is>
          <t>KF-M07</t>
        </is>
      </c>
      <c r="F2528" s="16" t="inlineStr">
        <is>
          <t>KF-M07-A1</t>
        </is>
      </c>
      <c r="G2528" s="16" t="inlineStr">
        <is>
          <t>B11-A1</t>
        </is>
      </c>
      <c r="H2528" s="16" t="inlineStr">
        <is>
          <t>busqueda</t>
        </is>
      </c>
      <c r="I2528" s="16" t="inlineStr">
        <is>
          <t>KALINA</t>
        </is>
      </c>
      <c r="J2528" s="16" t="inlineStr">
        <is>
          <t>KALINA</t>
        </is>
      </c>
      <c r="K2528" s="16" t="b">
        <v>1</v>
      </c>
      <c r="L2528" s="16" t="b">
        <v>0</v>
      </c>
      <c r="M2528" s="16" t="b">
        <v>1</v>
      </c>
      <c r="N2528" s="16" t="b">
        <v>0</v>
      </c>
      <c r="O2528" s="16" t="n">
        <v>448.0969531091276</v>
      </c>
      <c r="P2528" s="16" t="n">
        <v>279.0977013205448</v>
      </c>
      <c r="Q2528" s="16" t="n">
        <v>3781.823024523768</v>
      </c>
      <c r="R2528" s="16" t="n">
        <v>808.3402577390962</v>
      </c>
      <c r="S2528" s="16" t="n">
        <v>0.6347489709498951</v>
      </c>
      <c r="T2528" s="16" t="n">
        <v>0.95</v>
      </c>
      <c r="U2528" s="16" t="n">
        <v>0.7460814839003644</v>
      </c>
      <c r="V2528" s="16" t="n">
        <v>0.6777311085206517</v>
      </c>
      <c r="W2528" s="16" t="n">
        <v>0.9415298192493302</v>
      </c>
      <c r="X2528" s="16" t="n">
        <v>0.8418262585071621</v>
      </c>
      <c r="Y2528" s="16" t="n">
        <v>279.0977013205448</v>
      </c>
      <c r="Z2528" s="16" t="n">
        <v>13.46342439501073</v>
      </c>
      <c r="AA2528" s="16" t="n">
        <v>114.7386654322108</v>
      </c>
      <c r="AB2528" s="16" t="n">
        <v>2973.482766784672</v>
      </c>
      <c r="AC2528" s="16" t="n">
        <v>4.678503870512914</v>
      </c>
      <c r="AD2528" s="16" t="n"/>
      <c r="AE2528" s="16" t="n"/>
    </row>
    <row r="2529">
      <c r="A2529" s="16" t="inlineStr">
        <is>
          <t>KF-M07-A1-0042</t>
        </is>
      </c>
      <c r="B2529" s="16" t="inlineStr">
        <is>
          <t>5.1</t>
        </is>
      </c>
      <c r="C2529" s="16" t="inlineStr">
        <is>
          <t>5.1a</t>
        </is>
      </c>
      <c r="D2529" s="16" t="inlineStr">
        <is>
          <t>libre, desde el mejor de 3.2</t>
        </is>
      </c>
      <c r="E2529" s="16" t="inlineStr">
        <is>
          <t>KF-M07</t>
        </is>
      </c>
      <c r="F2529" s="16" t="inlineStr">
        <is>
          <t>KF-M07-A1</t>
        </is>
      </c>
      <c r="G2529" s="16" t="inlineStr">
        <is>
          <t>B11-A1</t>
        </is>
      </c>
      <c r="H2529" s="16" t="inlineStr">
        <is>
          <t>busqueda</t>
        </is>
      </c>
      <c r="I2529" s="16" t="inlineStr">
        <is>
          <t>KALINA</t>
        </is>
      </c>
      <c r="J2529" s="16" t="inlineStr">
        <is>
          <t>KALINA</t>
        </is>
      </c>
      <c r="K2529" s="16" t="b">
        <v>1</v>
      </c>
      <c r="L2529" s="16" t="b">
        <v>1</v>
      </c>
      <c r="M2529" s="16" t="b">
        <v>0</v>
      </c>
      <c r="N2529" s="16" t="b">
        <v>0</v>
      </c>
      <c r="O2529" s="16" t="n">
        <v>424.0969531091276</v>
      </c>
      <c r="P2529" s="16" t="n">
        <v>279.0977013205448</v>
      </c>
      <c r="Q2529" s="16" t="n">
        <v>3781.823024523768</v>
      </c>
      <c r="R2529" s="16" t="n">
        <v>808.3402577390962</v>
      </c>
      <c r="S2529" s="16" t="n">
        <v>0.6347489709498951</v>
      </c>
      <c r="T2529" s="16" t="n">
        <v>0.95</v>
      </c>
      <c r="U2529" s="16" t="n">
        <v>0.7460814839003644</v>
      </c>
      <c r="V2529" s="16" t="n">
        <v>0.6777311085206517</v>
      </c>
      <c r="W2529" s="16" t="n">
        <v>0.9415298192493302</v>
      </c>
      <c r="X2529" s="16" t="n">
        <v>0.8418262585071621</v>
      </c>
      <c r="Y2529" s="16" t="n">
        <v>279.0977013205448</v>
      </c>
      <c r="Z2529" s="16" t="n">
        <v>12.90875750303493</v>
      </c>
      <c r="AA2529" s="16" t="n">
        <v>73.37011435685817</v>
      </c>
      <c r="AB2529" s="16" t="n">
        <v>2973.482766784672</v>
      </c>
      <c r="AC2529" s="16" t="n">
        <v>4.678503870512914</v>
      </c>
      <c r="AD2529" s="16" t="n"/>
      <c r="AE2529" s="16" t="n"/>
    </row>
    <row r="2530">
      <c r="A2530" s="16" t="inlineStr">
        <is>
          <t>KF-M07-A1-0043</t>
        </is>
      </c>
      <c r="B2530" s="16" t="inlineStr">
        <is>
          <t>5.1</t>
        </is>
      </c>
      <c r="C2530" s="16" t="inlineStr">
        <is>
          <t>5.1a</t>
        </is>
      </c>
      <c r="D2530" s="16" t="inlineStr">
        <is>
          <t>libre, desde el mejor de 3.2</t>
        </is>
      </c>
      <c r="E2530" s="16" t="inlineStr">
        <is>
          <t>KF-M07</t>
        </is>
      </c>
      <c r="F2530" s="16" t="inlineStr">
        <is>
          <t>KF-M07-A1</t>
        </is>
      </c>
      <c r="G2530" s="16" t="inlineStr">
        <is>
          <t>B11-A1</t>
        </is>
      </c>
      <c r="H2530" s="16" t="inlineStr">
        <is>
          <t>busqueda</t>
        </is>
      </c>
      <c r="I2530" s="16" t="inlineStr">
        <is>
          <t>KALINA</t>
        </is>
      </c>
      <c r="J2530" s="16" t="inlineStr">
        <is>
          <t>KALINA</t>
        </is>
      </c>
      <c r="K2530" s="16" t="b">
        <v>1</v>
      </c>
      <c r="L2530" s="16" t="b">
        <v>1</v>
      </c>
      <c r="M2530" s="16" t="b">
        <v>0</v>
      </c>
      <c r="N2530" s="16" t="b">
        <v>0</v>
      </c>
      <c r="O2530" s="16" t="n">
        <v>436.0969531091276</v>
      </c>
      <c r="P2530" s="16" t="n">
        <v>281.6377013205448</v>
      </c>
      <c r="Q2530" s="16" t="n">
        <v>3781.823024523768</v>
      </c>
      <c r="R2530" s="16" t="n">
        <v>808.3402577390962</v>
      </c>
      <c r="S2530" s="16" t="n">
        <v>0.6347489709498951</v>
      </c>
      <c r="T2530" s="16" t="n">
        <v>0.95</v>
      </c>
      <c r="U2530" s="16" t="n">
        <v>0.7460814839003644</v>
      </c>
      <c r="V2530" s="16" t="n">
        <v>0.6777311085206517</v>
      </c>
      <c r="W2530" s="16" t="n">
        <v>0.9415298192493302</v>
      </c>
      <c r="X2530" s="16" t="n">
        <v>0.8418262585071621</v>
      </c>
      <c r="Y2530" s="16" t="n">
        <v>281.6377013205448</v>
      </c>
      <c r="Z2530" s="16" t="n">
        <v>13.35783826414325</v>
      </c>
      <c r="AA2530" s="16" t="n">
        <v>92.65857272494458</v>
      </c>
      <c r="AB2530" s="16" t="n">
        <v>2973.482766784672</v>
      </c>
      <c r="AC2530" s="16" t="n">
        <v>4.678503870512914</v>
      </c>
      <c r="AD2530" s="16" t="n"/>
      <c r="AE2530" s="16" t="n"/>
    </row>
    <row r="2531">
      <c r="A2531" s="16" t="inlineStr">
        <is>
          <t>KF-M07-A1-0044</t>
        </is>
      </c>
      <c r="B2531" s="16" t="inlineStr">
        <is>
          <t>5.1</t>
        </is>
      </c>
      <c r="C2531" s="16" t="inlineStr">
        <is>
          <t>5.1a</t>
        </is>
      </c>
      <c r="D2531" s="16" t="inlineStr">
        <is>
          <t>libre, desde el mejor de 3.2</t>
        </is>
      </c>
      <c r="E2531" s="16" t="inlineStr">
        <is>
          <t>KF-M07</t>
        </is>
      </c>
      <c r="F2531" s="16" t="inlineStr">
        <is>
          <t>KF-M07-A1</t>
        </is>
      </c>
      <c r="G2531" s="16" t="inlineStr">
        <is>
          <t>B11-A1</t>
        </is>
      </c>
      <c r="H2531" s="16" t="inlineStr">
        <is>
          <t>busqueda</t>
        </is>
      </c>
      <c r="I2531" s="16" t="inlineStr">
        <is>
          <t>KALINA</t>
        </is>
      </c>
      <c r="J2531" s="16" t="inlineStr">
        <is>
          <t>KALINA</t>
        </is>
      </c>
      <c r="K2531" s="16" t="b">
        <v>1</v>
      </c>
      <c r="L2531" s="16" t="b">
        <v>1</v>
      </c>
      <c r="M2531" s="16" t="b">
        <v>0</v>
      </c>
      <c r="N2531" s="16" t="b">
        <v>0</v>
      </c>
      <c r="O2531" s="16" t="n">
        <v>436.0969531091276</v>
      </c>
      <c r="P2531" s="16" t="n">
        <v>278.15</v>
      </c>
      <c r="Q2531" s="16" t="n">
        <v>3781.823024523768</v>
      </c>
      <c r="R2531" s="16" t="n">
        <v>808.3402577390962</v>
      </c>
      <c r="S2531" s="16" t="n">
        <v>0.6347489709498951</v>
      </c>
      <c r="T2531" s="16" t="n">
        <v>0.95</v>
      </c>
      <c r="U2531" s="16" t="n">
        <v>0.7460814839003644</v>
      </c>
      <c r="V2531" s="16" t="n">
        <v>0.6777311085206517</v>
      </c>
      <c r="W2531" s="16" t="n">
        <v>0.9415298192493302</v>
      </c>
      <c r="X2531" s="16" t="n">
        <v>0.8418262585071621</v>
      </c>
      <c r="Y2531" s="16" t="n">
        <v>278.15</v>
      </c>
      <c r="Z2531" s="16" t="n">
        <v>13.22036228470146</v>
      </c>
      <c r="AA2531" s="16" t="n">
        <v>92.34114646011736</v>
      </c>
      <c r="AB2531" s="16" t="n">
        <v>2973.482766784672</v>
      </c>
      <c r="AC2531" s="16" t="n">
        <v>4.678503870512914</v>
      </c>
      <c r="AD2531" s="16" t="n"/>
      <c r="AE2531" s="16" t="n"/>
    </row>
    <row r="2532">
      <c r="A2532" s="16" t="inlineStr">
        <is>
          <t>KF-M07-A1-0045</t>
        </is>
      </c>
      <c r="B2532" s="16" t="inlineStr">
        <is>
          <t>5.1</t>
        </is>
      </c>
      <c r="C2532" s="16" t="inlineStr">
        <is>
          <t>5.1a</t>
        </is>
      </c>
      <c r="D2532" s="16" t="inlineStr">
        <is>
          <t>libre, desde el mejor de 3.2</t>
        </is>
      </c>
      <c r="E2532" s="16" t="inlineStr">
        <is>
          <t>KF-M07</t>
        </is>
      </c>
      <c r="F2532" s="16" t="inlineStr">
        <is>
          <t>KF-M07-A1</t>
        </is>
      </c>
      <c r="G2532" s="16" t="inlineStr">
        <is>
          <t>B11-A1</t>
        </is>
      </c>
      <c r="H2532" s="16" t="inlineStr">
        <is>
          <t>busqueda</t>
        </is>
      </c>
      <c r="I2532" s="16" t="inlineStr">
        <is>
          <t>KALINA</t>
        </is>
      </c>
      <c r="J2532" s="16" t="inlineStr">
        <is>
          <t>KALINA</t>
        </is>
      </c>
      <c r="K2532" s="16" t="b">
        <v>1</v>
      </c>
      <c r="L2532" s="16" t="b">
        <v>1</v>
      </c>
      <c r="M2532" s="16" t="b">
        <v>0</v>
      </c>
      <c r="N2532" s="16" t="b">
        <v>0</v>
      </c>
      <c r="O2532" s="16" t="n">
        <v>436.0969531091276</v>
      </c>
      <c r="P2532" s="16" t="n">
        <v>279.0977013205448</v>
      </c>
      <c r="Q2532" s="16" t="n">
        <v>4081.823024523768</v>
      </c>
      <c r="R2532" s="16" t="n">
        <v>808.3402577390962</v>
      </c>
      <c r="S2532" s="16" t="n">
        <v>0.6347489709498951</v>
      </c>
      <c r="T2532" s="16" t="n">
        <v>0.95</v>
      </c>
      <c r="U2532" s="16" t="n">
        <v>0.7460814839003644</v>
      </c>
      <c r="V2532" s="16" t="n">
        <v>0.6777311085206517</v>
      </c>
      <c r="W2532" s="16" t="n">
        <v>0.9415298192493302</v>
      </c>
      <c r="X2532" s="16" t="n">
        <v>0.8418262585071621</v>
      </c>
      <c r="Y2532" s="16" t="n">
        <v>279.0977013205448</v>
      </c>
      <c r="Z2532" s="16" t="n">
        <v>13.68794628036867</v>
      </c>
      <c r="AA2532" s="16" t="n">
        <v>89.65125791625248</v>
      </c>
      <c r="AB2532" s="16" t="n">
        <v>3273.482766784672</v>
      </c>
      <c r="AC2532" s="16" t="n">
        <v>5.049634711922558</v>
      </c>
      <c r="AD2532" s="16" t="n"/>
      <c r="AE2532" s="16" t="n"/>
    </row>
    <row r="2533">
      <c r="A2533" s="16" t="inlineStr">
        <is>
          <t>KF-M07-A1-0046</t>
        </is>
      </c>
      <c r="B2533" s="16" t="inlineStr">
        <is>
          <t>5.1</t>
        </is>
      </c>
      <c r="C2533" s="16" t="inlineStr">
        <is>
          <t>5.1a</t>
        </is>
      </c>
      <c r="D2533" s="16" t="inlineStr">
        <is>
          <t>libre, desde el mejor de 3.2</t>
        </is>
      </c>
      <c r="E2533" s="16" t="inlineStr">
        <is>
          <t>KF-M07</t>
        </is>
      </c>
      <c r="F2533" s="16" t="inlineStr">
        <is>
          <t>KF-M07-A1</t>
        </is>
      </c>
      <c r="G2533" s="16" t="inlineStr">
        <is>
          <t>B11-A1</t>
        </is>
      </c>
      <c r="H2533" s="16" t="inlineStr">
        <is>
          <t>busqueda</t>
        </is>
      </c>
      <c r="I2533" s="16" t="inlineStr">
        <is>
          <t>KALINA</t>
        </is>
      </c>
      <c r="J2533" s="16" t="inlineStr">
        <is>
          <t>KALINA</t>
        </is>
      </c>
      <c r="K2533" s="16" t="b">
        <v>1</v>
      </c>
      <c r="L2533" s="16" t="b">
        <v>1</v>
      </c>
      <c r="M2533" s="16" t="b">
        <v>0</v>
      </c>
      <c r="N2533" s="16" t="b">
        <v>0</v>
      </c>
      <c r="O2533" s="16" t="n">
        <v>436.0969531091276</v>
      </c>
      <c r="P2533" s="16" t="n">
        <v>279.0977013205448</v>
      </c>
      <c r="Q2533" s="16" t="n">
        <v>3481.823024523768</v>
      </c>
      <c r="R2533" s="16" t="n">
        <v>808.3402577390962</v>
      </c>
      <c r="S2533" s="16" t="n">
        <v>0.6347489709498951</v>
      </c>
      <c r="T2533" s="16" t="n">
        <v>0.95</v>
      </c>
      <c r="U2533" s="16" t="n">
        <v>0.7460814839003644</v>
      </c>
      <c r="V2533" s="16" t="n">
        <v>0.6777311085206517</v>
      </c>
      <c r="W2533" s="16" t="n">
        <v>0.9415298192493302</v>
      </c>
      <c r="X2533" s="16" t="n">
        <v>0.8418262585071621</v>
      </c>
      <c r="Y2533" s="16" t="n">
        <v>279.0977013205448</v>
      </c>
      <c r="Z2533" s="16" t="n">
        <v>12.74050241318179</v>
      </c>
      <c r="AA2533" s="16" t="n">
        <v>94.70442550555239</v>
      </c>
      <c r="AB2533" s="16" t="n">
        <v>2673.482766784672</v>
      </c>
      <c r="AC2533" s="16" t="n">
        <v>4.307373029103269</v>
      </c>
      <c r="AD2533" s="16" t="n"/>
      <c r="AE2533" s="16" t="n"/>
    </row>
    <row r="2534">
      <c r="A2534" s="16" t="inlineStr">
        <is>
          <t>KF-M07-A1-0047</t>
        </is>
      </c>
      <c r="B2534" s="16" t="inlineStr">
        <is>
          <t>5.1</t>
        </is>
      </c>
      <c r="C2534" s="16" t="inlineStr">
        <is>
          <t>5.1a</t>
        </is>
      </c>
      <c r="D2534" s="16" t="inlineStr">
        <is>
          <t>libre, desde el mejor de 3.2</t>
        </is>
      </c>
      <c r="E2534" s="16" t="inlineStr">
        <is>
          <t>KF-M07</t>
        </is>
      </c>
      <c r="F2534" s="16" t="inlineStr">
        <is>
          <t>KF-M07-A1</t>
        </is>
      </c>
      <c r="G2534" s="16" t="inlineStr">
        <is>
          <t>B11-A1</t>
        </is>
      </c>
      <c r="H2534" s="16" t="inlineStr">
        <is>
          <t>busqueda</t>
        </is>
      </c>
      <c r="I2534" s="16" t="inlineStr">
        <is>
          <t>KALINA</t>
        </is>
      </c>
      <c r="J2534" s="16" t="inlineStr">
        <is>
          <t>KALINA</t>
        </is>
      </c>
      <c r="K2534" s="16" t="b">
        <v>1</v>
      </c>
      <c r="L2534" s="16" t="b">
        <v>1</v>
      </c>
      <c r="M2534" s="16" t="b">
        <v>0</v>
      </c>
      <c r="N2534" s="16" t="b">
        <v>0</v>
      </c>
      <c r="O2534" s="16" t="n">
        <v>436.0969531091276</v>
      </c>
      <c r="P2534" s="16" t="n">
        <v>279.0977013205448</v>
      </c>
      <c r="Q2534" s="16" t="n">
        <v>3781.823024523768</v>
      </c>
      <c r="R2534" s="16" t="n">
        <v>1028.340257739096</v>
      </c>
      <c r="S2534" s="16" t="n">
        <v>0.6347489709498951</v>
      </c>
      <c r="T2534" s="16" t="n">
        <v>0.95</v>
      </c>
      <c r="U2534" s="16" t="n">
        <v>0.7460814839003644</v>
      </c>
      <c r="V2534" s="16" t="n">
        <v>0.6777311085206517</v>
      </c>
      <c r="W2534" s="16" t="n">
        <v>0.9415298192493302</v>
      </c>
      <c r="X2534" s="16" t="n">
        <v>0.8418262585071621</v>
      </c>
      <c r="Y2534" s="16" t="n">
        <v>279.0977013205448</v>
      </c>
      <c r="Z2534" s="16" t="n">
        <v>11.29740160250169</v>
      </c>
      <c r="AA2534" s="16" t="n">
        <v>78.682980235446</v>
      </c>
      <c r="AB2534" s="16" t="n">
        <v>2753.482766784672</v>
      </c>
      <c r="AC2534" s="16" t="n">
        <v>3.677598923179829</v>
      </c>
      <c r="AD2534" s="16" t="n"/>
      <c r="AE2534" s="16" t="n"/>
    </row>
    <row r="2535">
      <c r="A2535" s="16" t="inlineStr">
        <is>
          <t>KF-M07-A1-0048</t>
        </is>
      </c>
      <c r="B2535" s="16" t="inlineStr">
        <is>
          <t>5.1</t>
        </is>
      </c>
      <c r="C2535" s="16" t="inlineStr">
        <is>
          <t>5.1a</t>
        </is>
      </c>
      <c r="D2535" s="16" t="inlineStr">
        <is>
          <t>libre, desde el mejor de 3.2</t>
        </is>
      </c>
      <c r="E2535" s="16" t="inlineStr">
        <is>
          <t>KF-M07</t>
        </is>
      </c>
      <c r="F2535" s="16" t="inlineStr">
        <is>
          <t>KF-M07-A1</t>
        </is>
      </c>
      <c r="G2535" s="16" t="inlineStr">
        <is>
          <t>B11-A1</t>
        </is>
      </c>
      <c r="H2535" s="16" t="inlineStr">
        <is>
          <t>busqueda</t>
        </is>
      </c>
      <c r="I2535" s="16" t="inlineStr">
        <is>
          <t>CORREGIBLE</t>
        </is>
      </c>
      <c r="J2535" s="16" t="inlineStr">
        <is>
          <t>CORREGIBLE</t>
        </is>
      </c>
      <c r="K2535" s="16" t="b">
        <v>1</v>
      </c>
      <c r="L2535" s="16" t="b">
        <v>0</v>
      </c>
      <c r="M2535" s="16" t="b">
        <v>0</v>
      </c>
      <c r="N2535" s="16" t="b">
        <v>0</v>
      </c>
      <c r="O2535" s="16" t="n">
        <v>436.0969531091276</v>
      </c>
      <c r="P2535" s="16" t="n">
        <v>279.0977013205448</v>
      </c>
      <c r="Q2535" s="16" t="n">
        <v>3781.823024523768</v>
      </c>
      <c r="R2535" s="16" t="n">
        <v>588.3402577390962</v>
      </c>
      <c r="S2535" s="16" t="n">
        <v>0.6347489709498951</v>
      </c>
      <c r="T2535" s="16" t="n">
        <v>0.95</v>
      </c>
      <c r="U2535" s="16" t="n">
        <v>0.7460814839003644</v>
      </c>
      <c r="V2535" s="16" t="n">
        <v>0.6777311085206517</v>
      </c>
      <c r="W2535" s="16" t="n">
        <v>0.9415298192493302</v>
      </c>
      <c r="X2535" s="16" t="n">
        <v>0.8418262585071621</v>
      </c>
      <c r="Y2535" s="16" t="n">
        <v>279.0977013205448</v>
      </c>
      <c r="Z2535" s="16" t="n">
        <v>15.75664164975191</v>
      </c>
      <c r="AA2535" s="16" t="n">
        <v>109.9925456274698</v>
      </c>
      <c r="AB2535" s="16" t="n">
        <v>3193.482766784672</v>
      </c>
      <c r="AC2535" s="16" t="n">
        <v>6.427952149758966</v>
      </c>
      <c r="AD2535" s="16" t="inlineStr">
        <is>
          <t>O2</t>
        </is>
      </c>
      <c r="AE2535" s="16" t="n"/>
    </row>
    <row r="2536">
      <c r="A2536" s="16" t="inlineStr">
        <is>
          <t>KF-M07-A1-0049</t>
        </is>
      </c>
      <c r="B2536" s="16" t="inlineStr">
        <is>
          <t>5.1</t>
        </is>
      </c>
      <c r="C2536" s="16" t="inlineStr">
        <is>
          <t>5.1a</t>
        </is>
      </c>
      <c r="D2536" s="16" t="inlineStr">
        <is>
          <t>libre, desde el mejor de 3.2</t>
        </is>
      </c>
      <c r="E2536" s="16" t="inlineStr">
        <is>
          <t>KF-M07</t>
        </is>
      </c>
      <c r="F2536" s="16" t="inlineStr">
        <is>
          <t>KF-M07-A1</t>
        </is>
      </c>
      <c r="G2536" s="16" t="inlineStr">
        <is>
          <t>B11-A1</t>
        </is>
      </c>
      <c r="H2536" s="16" t="inlineStr">
        <is>
          <t>busqueda</t>
        </is>
      </c>
      <c r="I2536" s="16" t="inlineStr">
        <is>
          <t>KALINA</t>
        </is>
      </c>
      <c r="J2536" s="16" t="inlineStr">
        <is>
          <t>KALINA</t>
        </is>
      </c>
      <c r="K2536" s="16" t="b">
        <v>1</v>
      </c>
      <c r="L2536" s="16" t="b">
        <v>1</v>
      </c>
      <c r="M2536" s="16" t="b">
        <v>0</v>
      </c>
      <c r="N2536" s="16" t="b">
        <v>0</v>
      </c>
      <c r="O2536" s="16" t="n">
        <v>436.0969531091276</v>
      </c>
      <c r="P2536" s="16" t="n">
        <v>279.0977013205448</v>
      </c>
      <c r="Q2536" s="16" t="n">
        <v>3781.823024523768</v>
      </c>
      <c r="R2536" s="16" t="n">
        <v>808.3402577390962</v>
      </c>
      <c r="S2536" s="16" t="n">
        <v>0.6697489709498952</v>
      </c>
      <c r="T2536" s="16" t="n">
        <v>0.95</v>
      </c>
      <c r="U2536" s="16" t="n">
        <v>0.7460814839003644</v>
      </c>
      <c r="V2536" s="16" t="n">
        <v>0.6777311085206517</v>
      </c>
      <c r="W2536" s="16" t="n">
        <v>0.9415298192493302</v>
      </c>
      <c r="X2536" s="16" t="n">
        <v>0.8418262585071621</v>
      </c>
      <c r="Y2536" s="16" t="n">
        <v>279.0977013205448</v>
      </c>
      <c r="Z2536" s="16" t="n">
        <v>13.6772989134413</v>
      </c>
      <c r="AA2536" s="16" t="n">
        <v>103.8753862965861</v>
      </c>
      <c r="AB2536" s="16" t="n">
        <v>2973.482766784672</v>
      </c>
      <c r="AC2536" s="16" t="n">
        <v>4.678503870512914</v>
      </c>
      <c r="AD2536" s="16" t="n"/>
      <c r="AE2536" s="16" t="n"/>
    </row>
    <row r="2537">
      <c r="A2537" s="16" t="inlineStr">
        <is>
          <t>KF-M07-A1-0050</t>
        </is>
      </c>
      <c r="B2537" s="16" t="inlineStr">
        <is>
          <t>5.1</t>
        </is>
      </c>
      <c r="C2537" s="16" t="inlineStr">
        <is>
          <t>5.1a</t>
        </is>
      </c>
      <c r="D2537" s="16" t="inlineStr">
        <is>
          <t>libre, desde el mejor de 3.2</t>
        </is>
      </c>
      <c r="E2537" s="16" t="inlineStr">
        <is>
          <t>KF-M07</t>
        </is>
      </c>
      <c r="F2537" s="16" t="inlineStr">
        <is>
          <t>KF-M07-A1</t>
        </is>
      </c>
      <c r="G2537" s="16" t="inlineStr">
        <is>
          <t>B11-A1</t>
        </is>
      </c>
      <c r="H2537" s="16" t="inlineStr">
        <is>
          <t>busqueda</t>
        </is>
      </c>
      <c r="I2537" s="16" t="inlineStr">
        <is>
          <t>KALINA</t>
        </is>
      </c>
      <c r="J2537" s="16" t="inlineStr">
        <is>
          <t>KALINA</t>
        </is>
      </c>
      <c r="K2537" s="16" t="b">
        <v>1</v>
      </c>
      <c r="L2537" s="16" t="b">
        <v>1</v>
      </c>
      <c r="M2537" s="16" t="b">
        <v>0</v>
      </c>
      <c r="N2537" s="16" t="b">
        <v>0</v>
      </c>
      <c r="O2537" s="16" t="n">
        <v>436.0969531091276</v>
      </c>
      <c r="P2537" s="16" t="n">
        <v>279.0977013205448</v>
      </c>
      <c r="Q2537" s="16" t="n">
        <v>3781.823024523768</v>
      </c>
      <c r="R2537" s="16" t="n">
        <v>808.3402577390962</v>
      </c>
      <c r="S2537" s="16" t="n">
        <v>0.5997489709498951</v>
      </c>
      <c r="T2537" s="16" t="n">
        <v>0.95</v>
      </c>
      <c r="U2537" s="16" t="n">
        <v>0.7460814839003644</v>
      </c>
      <c r="V2537" s="16" t="n">
        <v>0.6777311085206517</v>
      </c>
      <c r="W2537" s="16" t="n">
        <v>0.9415298192493302</v>
      </c>
      <c r="X2537" s="16" t="n">
        <v>0.8418262585071621</v>
      </c>
      <c r="Y2537" s="16" t="n">
        <v>279.0977013205448</v>
      </c>
      <c r="Z2537" s="16" t="n">
        <v>12.80731155557322</v>
      </c>
      <c r="AA2537" s="16" t="n">
        <v>80.987623009131</v>
      </c>
      <c r="AB2537" s="16" t="n">
        <v>2973.482766784672</v>
      </c>
      <c r="AC2537" s="16" t="n">
        <v>4.678503870512914</v>
      </c>
      <c r="AD2537" s="16" t="n"/>
      <c r="AE2537" s="16" t="n"/>
    </row>
    <row r="2538">
      <c r="A2538" s="16" t="inlineStr">
        <is>
          <t>KF-M07-A1-0051</t>
        </is>
      </c>
      <c r="B2538" s="16" t="inlineStr">
        <is>
          <t>5.1</t>
        </is>
      </c>
      <c r="C2538" s="16" t="inlineStr">
        <is>
          <t>5.1a</t>
        </is>
      </c>
      <c r="D2538" s="16" t="inlineStr">
        <is>
          <t>libre, desde el mejor de 3.2</t>
        </is>
      </c>
      <c r="E2538" s="16" t="inlineStr">
        <is>
          <t>KF-M07</t>
        </is>
      </c>
      <c r="F2538" s="16" t="inlineStr">
        <is>
          <t>KF-M07-A1</t>
        </is>
      </c>
      <c r="G2538" s="16" t="inlineStr">
        <is>
          <t>B11-A1</t>
        </is>
      </c>
      <c r="H2538" s="16" t="inlineStr">
        <is>
          <t>busqueda</t>
        </is>
      </c>
      <c r="I2538" s="16" t="inlineStr">
        <is>
          <t>KALINA</t>
        </is>
      </c>
      <c r="J2538" s="16" t="inlineStr">
        <is>
          <t>KALINA</t>
        </is>
      </c>
      <c r="K2538" s="16" t="b">
        <v>1</v>
      </c>
      <c r="L2538" s="16" t="b">
        <v>1</v>
      </c>
      <c r="M2538" s="16" t="b">
        <v>0</v>
      </c>
      <c r="N2538" s="16" t="b">
        <v>0</v>
      </c>
      <c r="O2538" s="16" t="n">
        <v>436.0969531091276</v>
      </c>
      <c r="P2538" s="16" t="n">
        <v>279.0977013205448</v>
      </c>
      <c r="Q2538" s="16" t="n">
        <v>3781.823024523768</v>
      </c>
      <c r="R2538" s="16" t="n">
        <v>808.3402577390962</v>
      </c>
      <c r="S2538" s="16" t="n">
        <v>0.6347489709498951</v>
      </c>
      <c r="T2538" s="16" t="n">
        <v>0.895</v>
      </c>
      <c r="U2538" s="16" t="n">
        <v>0.7460814839003644</v>
      </c>
      <c r="V2538" s="16" t="n">
        <v>0.6777311085206517</v>
      </c>
      <c r="W2538" s="16" t="n">
        <v>0.9415298192493302</v>
      </c>
      <c r="X2538" s="16" t="n">
        <v>0.8418262585071621</v>
      </c>
      <c r="Y2538" s="16" t="n">
        <v>279.0977013205448</v>
      </c>
      <c r="Z2538" s="16" t="n">
        <v>12.45502127451642</v>
      </c>
      <c r="AA2538" s="16" t="n">
        <v>86.7939139210615</v>
      </c>
      <c r="AB2538" s="16" t="n">
        <v>2973.482766784672</v>
      </c>
      <c r="AC2538" s="16" t="n">
        <v>4.678503870512914</v>
      </c>
      <c r="AD2538" s="16" t="n"/>
      <c r="AE2538" s="16" t="n"/>
    </row>
    <row r="2539">
      <c r="A2539" s="16" t="inlineStr">
        <is>
          <t>KF-M07-A1-0052</t>
        </is>
      </c>
      <c r="B2539" s="16" t="inlineStr">
        <is>
          <t>5.1</t>
        </is>
      </c>
      <c r="C2539" s="16" t="inlineStr">
        <is>
          <t>5.1a</t>
        </is>
      </c>
      <c r="D2539" s="16" t="inlineStr">
        <is>
          <t>libre, desde el mejor de 3.2</t>
        </is>
      </c>
      <c r="E2539" s="16" t="inlineStr">
        <is>
          <t>KF-M07</t>
        </is>
      </c>
      <c r="F2539" s="16" t="inlineStr">
        <is>
          <t>KF-M07-A1</t>
        </is>
      </c>
      <c r="G2539" s="16" t="inlineStr">
        <is>
          <t>B11-A1</t>
        </is>
      </c>
      <c r="H2539" s="16" t="inlineStr">
        <is>
          <t>busqueda</t>
        </is>
      </c>
      <c r="I2539" s="16" t="inlineStr">
        <is>
          <t>KALINA</t>
        </is>
      </c>
      <c r="J2539" s="16" t="inlineStr">
        <is>
          <t>KALINA</t>
        </is>
      </c>
      <c r="K2539" s="16" t="b">
        <v>1</v>
      </c>
      <c r="L2539" s="16" t="b">
        <v>1</v>
      </c>
      <c r="M2539" s="16" t="b">
        <v>0</v>
      </c>
      <c r="N2539" s="16" t="b">
        <v>0</v>
      </c>
      <c r="O2539" s="16" t="n">
        <v>436.0969531091276</v>
      </c>
      <c r="P2539" s="16" t="n">
        <v>279.0977013205448</v>
      </c>
      <c r="Q2539" s="16" t="n">
        <v>3781.823024523768</v>
      </c>
      <c r="R2539" s="16" t="n">
        <v>808.3402577390962</v>
      </c>
      <c r="S2539" s="16" t="n">
        <v>0.6347489709498951</v>
      </c>
      <c r="T2539" s="16" t="n">
        <v>0.95</v>
      </c>
      <c r="U2539" s="16" t="n">
        <v>0.8010814839003644</v>
      </c>
      <c r="V2539" s="16" t="n">
        <v>0.6777311085206517</v>
      </c>
      <c r="W2539" s="16" t="n">
        <v>0.9415298192493302</v>
      </c>
      <c r="X2539" s="16" t="n">
        <v>0.8418262585071621</v>
      </c>
      <c r="Y2539" s="16" t="n">
        <v>279.0977013205448</v>
      </c>
      <c r="Z2539" s="16" t="n">
        <v>13.3051049476497</v>
      </c>
      <c r="AA2539" s="16" t="n">
        <v>92.77614047170816</v>
      </c>
      <c r="AB2539" s="16" t="n">
        <v>2973.482766784672</v>
      </c>
      <c r="AC2539" s="16" t="n">
        <v>4.678503870512914</v>
      </c>
      <c r="AD2539" s="16" t="n"/>
      <c r="AE2539" s="16" t="n"/>
    </row>
    <row r="2540">
      <c r="A2540" s="16" t="inlineStr">
        <is>
          <t>KF-M07-A1-0053</t>
        </is>
      </c>
      <c r="B2540" s="16" t="inlineStr">
        <is>
          <t>5.1</t>
        </is>
      </c>
      <c r="C2540" s="16" t="inlineStr">
        <is>
          <t>5.1a</t>
        </is>
      </c>
      <c r="D2540" s="16" t="inlineStr">
        <is>
          <t>libre, desde el mejor de 3.2</t>
        </is>
      </c>
      <c r="E2540" s="16" t="inlineStr">
        <is>
          <t>KF-M07</t>
        </is>
      </c>
      <c r="F2540" s="16" t="inlineStr">
        <is>
          <t>KF-M07-A1</t>
        </is>
      </c>
      <c r="G2540" s="16" t="inlineStr">
        <is>
          <t>B11-A1</t>
        </is>
      </c>
      <c r="H2540" s="16" t="inlineStr">
        <is>
          <t>busqueda</t>
        </is>
      </c>
      <c r="I2540" s="16" t="inlineStr">
        <is>
          <t>KALINA</t>
        </is>
      </c>
      <c r="J2540" s="16" t="inlineStr">
        <is>
          <t>KALINA</t>
        </is>
      </c>
      <c r="K2540" s="16" t="b">
        <v>1</v>
      </c>
      <c r="L2540" s="16" t="b">
        <v>1</v>
      </c>
      <c r="M2540" s="16" t="b">
        <v>0</v>
      </c>
      <c r="N2540" s="16" t="b">
        <v>0</v>
      </c>
      <c r="O2540" s="16" t="n">
        <v>436.0969531091276</v>
      </c>
      <c r="P2540" s="16" t="n">
        <v>279.0977013205448</v>
      </c>
      <c r="Q2540" s="16" t="n">
        <v>3781.823024523768</v>
      </c>
      <c r="R2540" s="16" t="n">
        <v>808.3402577390962</v>
      </c>
      <c r="S2540" s="16" t="n">
        <v>0.6347489709498951</v>
      </c>
      <c r="T2540" s="16" t="n">
        <v>0.95</v>
      </c>
      <c r="U2540" s="16" t="n">
        <v>0.6910814839003644</v>
      </c>
      <c r="V2540" s="16" t="n">
        <v>0.6777311085206517</v>
      </c>
      <c r="W2540" s="16" t="n">
        <v>0.9415298192493302</v>
      </c>
      <c r="X2540" s="16" t="n">
        <v>0.8418262585071621</v>
      </c>
      <c r="Y2540" s="16" t="n">
        <v>279.0977013205448</v>
      </c>
      <c r="Z2540" s="16" t="n">
        <v>13.20217982655779</v>
      </c>
      <c r="AA2540" s="16" t="n">
        <v>92.0227741175854</v>
      </c>
      <c r="AB2540" s="16" t="n">
        <v>2973.482766784672</v>
      </c>
      <c r="AC2540" s="16" t="n">
        <v>4.678503870512914</v>
      </c>
      <c r="AD2540" s="16" t="n"/>
      <c r="AE2540" s="16" t="n"/>
    </row>
    <row r="2541">
      <c r="A2541" s="16" t="inlineStr">
        <is>
          <t>KF-M07-A1-0054</t>
        </is>
      </c>
      <c r="B2541" s="16" t="inlineStr">
        <is>
          <t>5.1</t>
        </is>
      </c>
      <c r="C2541" s="16" t="inlineStr">
        <is>
          <t>5.1a</t>
        </is>
      </c>
      <c r="D2541" s="16" t="inlineStr">
        <is>
          <t>libre, desde el mejor de 3.2</t>
        </is>
      </c>
      <c r="E2541" s="16" t="inlineStr">
        <is>
          <t>KF-M07</t>
        </is>
      </c>
      <c r="F2541" s="16" t="inlineStr">
        <is>
          <t>KF-M07-A1</t>
        </is>
      </c>
      <c r="G2541" s="16" t="inlineStr">
        <is>
          <t>B11-A1</t>
        </is>
      </c>
      <c r="H2541" s="16" t="inlineStr">
        <is>
          <t>busqueda</t>
        </is>
      </c>
      <c r="I2541" s="16" t="inlineStr">
        <is>
          <t>KALINA</t>
        </is>
      </c>
      <c r="J2541" s="16" t="inlineStr">
        <is>
          <t>KALINA</t>
        </is>
      </c>
      <c r="K2541" s="16" t="b">
        <v>1</v>
      </c>
      <c r="L2541" s="16" t="b">
        <v>1</v>
      </c>
      <c r="M2541" s="16" t="b">
        <v>0</v>
      </c>
      <c r="N2541" s="16" t="b">
        <v>0</v>
      </c>
      <c r="O2541" s="16" t="n">
        <v>436.0969531091276</v>
      </c>
      <c r="P2541" s="16" t="n">
        <v>279.0977013205448</v>
      </c>
      <c r="Q2541" s="16" t="n">
        <v>3781.823024523768</v>
      </c>
      <c r="R2541" s="16" t="n">
        <v>808.3402577390962</v>
      </c>
      <c r="S2541" s="16" t="n">
        <v>0.6347489709498951</v>
      </c>
      <c r="T2541" s="16" t="n">
        <v>0.95</v>
      </c>
      <c r="U2541" s="16" t="n">
        <v>0.7460814839003644</v>
      </c>
      <c r="V2541" s="16" t="n">
        <v>0.7327311085206516</v>
      </c>
      <c r="W2541" s="16" t="n">
        <v>0.9415298192493302</v>
      </c>
      <c r="X2541" s="16" t="n">
        <v>0.8418262585071621</v>
      </c>
      <c r="Y2541" s="16" t="n">
        <v>279.0977013205448</v>
      </c>
      <c r="Z2541" s="16" t="n">
        <v>13.35546307501219</v>
      </c>
      <c r="AA2541" s="16" t="n">
        <v>100.7803535035686</v>
      </c>
      <c r="AB2541" s="16" t="n">
        <v>2973.482766784672</v>
      </c>
      <c r="AC2541" s="16" t="n">
        <v>4.678503870512914</v>
      </c>
      <c r="AD2541" s="16" t="n"/>
      <c r="AE2541" s="16" t="n"/>
    </row>
    <row r="2542">
      <c r="A2542" s="16" t="inlineStr">
        <is>
          <t>KF-M07-A1-0055</t>
        </is>
      </c>
      <c r="B2542" s="16" t="inlineStr">
        <is>
          <t>5.1</t>
        </is>
      </c>
      <c r="C2542" s="16" t="inlineStr">
        <is>
          <t>5.1a</t>
        </is>
      </c>
      <c r="D2542" s="16" t="inlineStr">
        <is>
          <t>libre, desde el mejor de 3.2</t>
        </is>
      </c>
      <c r="E2542" s="16" t="inlineStr">
        <is>
          <t>KF-M07</t>
        </is>
      </c>
      <c r="F2542" s="16" t="inlineStr">
        <is>
          <t>KF-M07-A1</t>
        </is>
      </c>
      <c r="G2542" s="16" t="inlineStr">
        <is>
          <t>B11-A1</t>
        </is>
      </c>
      <c r="H2542" s="16" t="inlineStr">
        <is>
          <t>busqueda</t>
        </is>
      </c>
      <c r="I2542" s="16" t="inlineStr">
        <is>
          <t>KALINA</t>
        </is>
      </c>
      <c r="J2542" s="16" t="inlineStr">
        <is>
          <t>KALINA</t>
        </is>
      </c>
      <c r="K2542" s="16" t="b">
        <v>1</v>
      </c>
      <c r="L2542" s="16" t="b">
        <v>1</v>
      </c>
      <c r="M2542" s="16" t="b">
        <v>0</v>
      </c>
      <c r="N2542" s="16" t="b">
        <v>0</v>
      </c>
      <c r="O2542" s="16" t="n">
        <v>436.0969531091276</v>
      </c>
      <c r="P2542" s="16" t="n">
        <v>279.0977013205448</v>
      </c>
      <c r="Q2542" s="16" t="n">
        <v>3781.823024523768</v>
      </c>
      <c r="R2542" s="16" t="n">
        <v>808.3402577390962</v>
      </c>
      <c r="S2542" s="16" t="n">
        <v>0.6347489709498951</v>
      </c>
      <c r="T2542" s="16" t="n">
        <v>0.95</v>
      </c>
      <c r="U2542" s="16" t="n">
        <v>0.7460814839003644</v>
      </c>
      <c r="V2542" s="16" t="n">
        <v>0.6227311085206517</v>
      </c>
      <c r="W2542" s="16" t="n">
        <v>0.9415298192493302</v>
      </c>
      <c r="X2542" s="16" t="n">
        <v>0.8418262585071621</v>
      </c>
      <c r="Y2542" s="16" t="n">
        <v>279.0977013205448</v>
      </c>
      <c r="Z2542" s="16" t="n">
        <v>13.12739762535092</v>
      </c>
      <c r="AA2542" s="16" t="n">
        <v>84.01516126583648</v>
      </c>
      <c r="AB2542" s="16" t="n">
        <v>2973.482766784672</v>
      </c>
      <c r="AC2542" s="16" t="n">
        <v>4.678503870512914</v>
      </c>
      <c r="AD2542" s="16" t="n"/>
      <c r="AE2542" s="16" t="n"/>
    </row>
    <row r="2543">
      <c r="A2543" s="16" t="inlineStr">
        <is>
          <t>KF-M07-A1-0056</t>
        </is>
      </c>
      <c r="B2543" s="16" t="inlineStr">
        <is>
          <t>5.1</t>
        </is>
      </c>
      <c r="C2543" s="16" t="inlineStr">
        <is>
          <t>5.1a</t>
        </is>
      </c>
      <c r="D2543" s="16" t="inlineStr">
        <is>
          <t>libre, desde el mejor de 3.2</t>
        </is>
      </c>
      <c r="E2543" s="16" t="inlineStr">
        <is>
          <t>KF-M07</t>
        </is>
      </c>
      <c r="F2543" s="16" t="inlineStr">
        <is>
          <t>KF-M07-A1</t>
        </is>
      </c>
      <c r="G2543" s="16" t="inlineStr">
        <is>
          <t>B11-A1</t>
        </is>
      </c>
      <c r="H2543" s="16" t="inlineStr">
        <is>
          <t>busqueda</t>
        </is>
      </c>
      <c r="I2543" s="16" t="inlineStr">
        <is>
          <t>KALINA</t>
        </is>
      </c>
      <c r="J2543" s="16" t="inlineStr">
        <is>
          <t>KALINA</t>
        </is>
      </c>
      <c r="K2543" s="16" t="b">
        <v>1</v>
      </c>
      <c r="L2543" s="16" t="b">
        <v>1</v>
      </c>
      <c r="M2543" s="16" t="b">
        <v>0</v>
      </c>
      <c r="N2543" s="16" t="b">
        <v>0</v>
      </c>
      <c r="O2543" s="16" t="n">
        <v>436.0969531091276</v>
      </c>
      <c r="P2543" s="16" t="n">
        <v>279.0977013205448</v>
      </c>
      <c r="Q2543" s="16" t="n">
        <v>3781.823024523768</v>
      </c>
      <c r="R2543" s="16" t="n">
        <v>808.3402577390962</v>
      </c>
      <c r="S2543" s="16" t="n">
        <v>0.6347489709498951</v>
      </c>
      <c r="T2543" s="16" t="n">
        <v>0.95</v>
      </c>
      <c r="U2543" s="16" t="n">
        <v>0.7460814839003644</v>
      </c>
      <c r="V2543" s="16" t="n">
        <v>0.6777311085206517</v>
      </c>
      <c r="W2543" s="16" t="n">
        <v>0.95</v>
      </c>
      <c r="X2543" s="16" t="n">
        <v>0.8418262585071621</v>
      </c>
      <c r="Y2543" s="16" t="n">
        <v>279.0977013205448</v>
      </c>
      <c r="Z2543" s="16" t="n">
        <v>13.30484648410884</v>
      </c>
      <c r="AA2543" s="16" t="n">
        <v>92.54252638208756</v>
      </c>
      <c r="AB2543" s="16" t="n">
        <v>2973.482766784672</v>
      </c>
      <c r="AC2543" s="16" t="n">
        <v>4.678503870512914</v>
      </c>
      <c r="AD2543" s="16" t="n"/>
      <c r="AE2543" s="16" t="n"/>
    </row>
    <row r="2544">
      <c r="A2544" s="16" t="inlineStr">
        <is>
          <t>KF-M07-A1-0057</t>
        </is>
      </c>
      <c r="B2544" s="16" t="inlineStr">
        <is>
          <t>5.1</t>
        </is>
      </c>
      <c r="C2544" s="16" t="inlineStr">
        <is>
          <t>5.1a</t>
        </is>
      </c>
      <c r="D2544" s="16" t="inlineStr">
        <is>
          <t>libre, desde el mejor de 3.2</t>
        </is>
      </c>
      <c r="E2544" s="16" t="inlineStr">
        <is>
          <t>KF-M07</t>
        </is>
      </c>
      <c r="F2544" s="16" t="inlineStr">
        <is>
          <t>KF-M07-A1</t>
        </is>
      </c>
      <c r="G2544" s="16" t="inlineStr">
        <is>
          <t>B11-A1</t>
        </is>
      </c>
      <c r="H2544" s="16" t="inlineStr">
        <is>
          <t>busqueda</t>
        </is>
      </c>
      <c r="I2544" s="16" t="inlineStr">
        <is>
          <t>KALINA</t>
        </is>
      </c>
      <c r="J2544" s="16" t="inlineStr">
        <is>
          <t>KALINA</t>
        </is>
      </c>
      <c r="K2544" s="16" t="b">
        <v>1</v>
      </c>
      <c r="L2544" s="16" t="b">
        <v>1</v>
      </c>
      <c r="M2544" s="16" t="b">
        <v>0</v>
      </c>
      <c r="N2544" s="16" t="b">
        <v>0</v>
      </c>
      <c r="O2544" s="16" t="n">
        <v>436.0969531091276</v>
      </c>
      <c r="P2544" s="16" t="n">
        <v>279.0977013205448</v>
      </c>
      <c r="Q2544" s="16" t="n">
        <v>3781.823024523768</v>
      </c>
      <c r="R2544" s="16" t="n">
        <v>808.3402577390962</v>
      </c>
      <c r="S2544" s="16" t="n">
        <v>0.6347489709498951</v>
      </c>
      <c r="T2544" s="16" t="n">
        <v>0.95</v>
      </c>
      <c r="U2544" s="16" t="n">
        <v>0.7460814839003644</v>
      </c>
      <c r="V2544" s="16" t="n">
        <v>0.6777311085206517</v>
      </c>
      <c r="W2544" s="16" t="n">
        <v>0.8865298192493303</v>
      </c>
      <c r="X2544" s="16" t="n">
        <v>0.8418262585071621</v>
      </c>
      <c r="Y2544" s="16" t="n">
        <v>279.0977013205448</v>
      </c>
      <c r="Z2544" s="16" t="n">
        <v>12.95547744378875</v>
      </c>
      <c r="AA2544" s="16" t="n">
        <v>91.6797443984302</v>
      </c>
      <c r="AB2544" s="16" t="n">
        <v>2973.482766784672</v>
      </c>
      <c r="AC2544" s="16" t="n">
        <v>4.678503870512914</v>
      </c>
      <c r="AD2544" s="16" t="n"/>
      <c r="AE2544" s="16" t="n"/>
    </row>
    <row r="2545">
      <c r="A2545" s="16" t="inlineStr">
        <is>
          <t>KF-M07-A1-0058</t>
        </is>
      </c>
      <c r="B2545" s="16" t="inlineStr">
        <is>
          <t>5.1</t>
        </is>
      </c>
      <c r="C2545" s="16" t="inlineStr">
        <is>
          <t>5.1a</t>
        </is>
      </c>
      <c r="D2545" s="16" t="inlineStr">
        <is>
          <t>libre, desde el mejor de 3.2</t>
        </is>
      </c>
      <c r="E2545" s="16" t="inlineStr">
        <is>
          <t>KF-M07</t>
        </is>
      </c>
      <c r="F2545" s="16" t="inlineStr">
        <is>
          <t>KF-M07-A1</t>
        </is>
      </c>
      <c r="G2545" s="16" t="inlineStr">
        <is>
          <t>B11-A1</t>
        </is>
      </c>
      <c r="H2545" s="16" t="inlineStr">
        <is>
          <t>busqueda</t>
        </is>
      </c>
      <c r="I2545" s="16" t="inlineStr">
        <is>
          <t>KALINA</t>
        </is>
      </c>
      <c r="J2545" s="16" t="inlineStr">
        <is>
          <t>KALINA</t>
        </is>
      </c>
      <c r="K2545" s="16" t="b">
        <v>1</v>
      </c>
      <c r="L2545" s="16" t="b">
        <v>1</v>
      </c>
      <c r="M2545" s="16" t="b">
        <v>0</v>
      </c>
      <c r="N2545" s="16" t="b">
        <v>0</v>
      </c>
      <c r="O2545" s="16" t="n">
        <v>436.0969531091276</v>
      </c>
      <c r="P2545" s="16" t="n">
        <v>279.0977013205448</v>
      </c>
      <c r="Q2545" s="16" t="n">
        <v>3781.823024523768</v>
      </c>
      <c r="R2545" s="16" t="n">
        <v>808.3402577390962</v>
      </c>
      <c r="S2545" s="16" t="n">
        <v>0.6347489709498951</v>
      </c>
      <c r="T2545" s="16" t="n">
        <v>0.95</v>
      </c>
      <c r="U2545" s="16" t="n">
        <v>0.7460814839003644</v>
      </c>
      <c r="V2545" s="16" t="n">
        <v>0.6777311085206517</v>
      </c>
      <c r="W2545" s="16" t="n">
        <v>0.9415298192493302</v>
      </c>
      <c r="X2545" s="16" t="n">
        <v>0.896826258507162</v>
      </c>
      <c r="Y2545" s="16" t="n">
        <v>279.0977013205448</v>
      </c>
      <c r="Z2545" s="16" t="n">
        <v>12.88752548482112</v>
      </c>
      <c r="AA2545" s="16" t="n">
        <v>91.55302639082748</v>
      </c>
      <c r="AB2545" s="16" t="n">
        <v>2973.482766784672</v>
      </c>
      <c r="AC2545" s="16" t="n">
        <v>4.678503870512914</v>
      </c>
      <c r="AD2545" s="16" t="n"/>
      <c r="AE2545" s="16" t="n"/>
    </row>
    <row r="2546">
      <c r="A2546" s="16" t="inlineStr">
        <is>
          <t>KF-M07-A1-0059</t>
        </is>
      </c>
      <c r="B2546" s="16" t="inlineStr">
        <is>
          <t>5.1</t>
        </is>
      </c>
      <c r="C2546" s="16" t="inlineStr">
        <is>
          <t>5.1a</t>
        </is>
      </c>
      <c r="D2546" s="16" t="inlineStr">
        <is>
          <t>libre, desde el mejor de 3.2</t>
        </is>
      </c>
      <c r="E2546" s="16" t="inlineStr">
        <is>
          <t>KF-M07</t>
        </is>
      </c>
      <c r="F2546" s="16" t="inlineStr">
        <is>
          <t>KF-M07-A1</t>
        </is>
      </c>
      <c r="G2546" s="16" t="inlineStr">
        <is>
          <t>B11-A1</t>
        </is>
      </c>
      <c r="H2546" s="16" t="inlineStr">
        <is>
          <t>busqueda</t>
        </is>
      </c>
      <c r="I2546" s="16" t="inlineStr">
        <is>
          <t>CORREGIBLE</t>
        </is>
      </c>
      <c r="J2546" s="16" t="inlineStr">
        <is>
          <t>CORREGIBLE</t>
        </is>
      </c>
      <c r="K2546" s="16" t="b">
        <v>1</v>
      </c>
      <c r="L2546" s="16" t="b">
        <v>0</v>
      </c>
      <c r="M2546" s="16" t="b">
        <v>0</v>
      </c>
      <c r="N2546" s="16" t="b">
        <v>0</v>
      </c>
      <c r="O2546" s="16" t="n">
        <v>436.0969531091276</v>
      </c>
      <c r="P2546" s="16" t="n">
        <v>279.0977013205448</v>
      </c>
      <c r="Q2546" s="16" t="n">
        <v>3781.823024523768</v>
      </c>
      <c r="R2546" s="16" t="n">
        <v>808.3402577390962</v>
      </c>
      <c r="S2546" s="16" t="n">
        <v>0.6347489709498951</v>
      </c>
      <c r="T2546" s="16" t="n">
        <v>0.95</v>
      </c>
      <c r="U2546" s="16" t="n">
        <v>0.7460814839003644</v>
      </c>
      <c r="V2546" s="16" t="n">
        <v>0.6777311085206517</v>
      </c>
      <c r="W2546" s="16" t="n">
        <v>0.9415298192493302</v>
      </c>
      <c r="X2546" s="16" t="n">
        <v>0.7868262585071621</v>
      </c>
      <c r="Y2546" s="16" t="n">
        <v>279.0977013205448</v>
      </c>
      <c r="Z2546" s="16" t="n">
        <v>13.67342017979734</v>
      </c>
      <c r="AA2546" s="16" t="n">
        <v>93.33950563114676</v>
      </c>
      <c r="AB2546" s="16" t="n">
        <v>2973.482766784672</v>
      </c>
      <c r="AC2546" s="16" t="n">
        <v>4.678503870512914</v>
      </c>
      <c r="AD2546" s="16" t="inlineStr">
        <is>
          <t>O2</t>
        </is>
      </c>
      <c r="AE2546" s="16" t="n"/>
    </row>
    <row r="2547">
      <c r="A2547" s="16" t="inlineStr">
        <is>
          <t>KF-M07-A1-0060</t>
        </is>
      </c>
      <c r="B2547" s="16" t="inlineStr">
        <is>
          <t>5.1</t>
        </is>
      </c>
      <c r="C2547" s="16" t="inlineStr">
        <is>
          <t>5.1a</t>
        </is>
      </c>
      <c r="D2547" s="16" t="inlineStr">
        <is>
          <t>libre, desde el mejor de 3.2</t>
        </is>
      </c>
      <c r="E2547" s="16" t="inlineStr">
        <is>
          <t>KF-M07</t>
        </is>
      </c>
      <c r="F2547" s="16" t="inlineStr">
        <is>
          <t>KF-M07-A1</t>
        </is>
      </c>
      <c r="G2547" s="16" t="inlineStr">
        <is>
          <t>B11-A1</t>
        </is>
      </c>
      <c r="H2547" s="16" t="inlineStr">
        <is>
          <t>busqueda</t>
        </is>
      </c>
      <c r="I2547" s="16" t="inlineStr">
        <is>
          <t>KALINA</t>
        </is>
      </c>
      <c r="J2547" s="16" t="inlineStr">
        <is>
          <t>KALINA</t>
        </is>
      </c>
      <c r="K2547" s="16" t="b">
        <v>1</v>
      </c>
      <c r="L2547" s="16" t="b">
        <v>0</v>
      </c>
      <c r="M2547" s="16" t="b">
        <v>1</v>
      </c>
      <c r="N2547" s="16" t="b">
        <v>0</v>
      </c>
      <c r="O2547" s="16" t="n">
        <v>448.0969531091276</v>
      </c>
      <c r="P2547" s="16" t="n">
        <v>279.0977013205448</v>
      </c>
      <c r="Q2547" s="16" t="n">
        <v>4081.823024523768</v>
      </c>
      <c r="R2547" s="16" t="n">
        <v>808.3402577390962</v>
      </c>
      <c r="S2547" s="16" t="n">
        <v>0.6347489709498951</v>
      </c>
      <c r="T2547" s="16" t="n">
        <v>0.95</v>
      </c>
      <c r="U2547" s="16" t="n">
        <v>0.7460814839003644</v>
      </c>
      <c r="V2547" s="16" t="n">
        <v>0.6777311085206517</v>
      </c>
      <c r="W2547" s="16" t="n">
        <v>0.9415298192493302</v>
      </c>
      <c r="X2547" s="16" t="n">
        <v>0.8418262585071621</v>
      </c>
      <c r="Y2547" s="16" t="n">
        <v>279.0977013205448</v>
      </c>
      <c r="Z2547" s="16" t="n">
        <v>13.95951507471393</v>
      </c>
      <c r="AA2547" s="16" t="n">
        <v>111.9291351197226</v>
      </c>
      <c r="AB2547" s="16" t="n">
        <v>3273.482766784672</v>
      </c>
      <c r="AC2547" s="16" t="n">
        <v>5.049634711922558</v>
      </c>
      <c r="AD2547" s="16" t="n"/>
      <c r="AE2547" s="16" t="n"/>
    </row>
    <row r="2548">
      <c r="A2548" s="16" t="inlineStr">
        <is>
          <t>KF-M07-A1-0061</t>
        </is>
      </c>
      <c r="B2548" s="16" t="inlineStr">
        <is>
          <t>5.1</t>
        </is>
      </c>
      <c r="C2548" s="16" t="inlineStr">
        <is>
          <t>5.1a</t>
        </is>
      </c>
      <c r="D2548" s="16" t="inlineStr">
        <is>
          <t>libre, desde el mejor de 3.2</t>
        </is>
      </c>
      <c r="E2548" s="16" t="inlineStr">
        <is>
          <t>KF-M07</t>
        </is>
      </c>
      <c r="F2548" s="16" t="inlineStr">
        <is>
          <t>KF-M07-A1</t>
        </is>
      </c>
      <c r="G2548" s="16" t="inlineStr">
        <is>
          <t>B11-A1</t>
        </is>
      </c>
      <c r="H2548" s="16" t="inlineStr">
        <is>
          <t>busqueda</t>
        </is>
      </c>
      <c r="I2548" s="16" t="inlineStr">
        <is>
          <t>KALINA</t>
        </is>
      </c>
      <c r="J2548" s="16" t="inlineStr">
        <is>
          <t>KALINA</t>
        </is>
      </c>
      <c r="K2548" s="16" t="b">
        <v>1</v>
      </c>
      <c r="L2548" s="16" t="b">
        <v>1</v>
      </c>
      <c r="M2548" s="16" t="b">
        <v>0</v>
      </c>
      <c r="N2548" s="16" t="b">
        <v>0</v>
      </c>
      <c r="O2548" s="16" t="n">
        <v>424.0969531091276</v>
      </c>
      <c r="P2548" s="16" t="n">
        <v>279.0977013205448</v>
      </c>
      <c r="Q2548" s="16" t="n">
        <v>4081.823024523768</v>
      </c>
      <c r="R2548" s="16" t="n">
        <v>808.3402577390962</v>
      </c>
      <c r="S2548" s="16" t="n">
        <v>0.6347489709498951</v>
      </c>
      <c r="T2548" s="16" t="n">
        <v>0.95</v>
      </c>
      <c r="U2548" s="16" t="n">
        <v>0.7460814839003644</v>
      </c>
      <c r="V2548" s="16" t="n">
        <v>0.6777311085206517</v>
      </c>
      <c r="W2548" s="16" t="n">
        <v>0.9415298192493302</v>
      </c>
      <c r="X2548" s="16" t="n">
        <v>0.8418262585071621</v>
      </c>
      <c r="Y2548" s="16" t="n">
        <v>279.0977013205448</v>
      </c>
      <c r="Z2548" s="16" t="n">
        <v>13.25216761534976</v>
      </c>
      <c r="AA2548" s="16" t="n">
        <v>70.13682128520243</v>
      </c>
      <c r="AB2548" s="16" t="n">
        <v>3273.482766784672</v>
      </c>
      <c r="AC2548" s="16" t="n">
        <v>5.049634711922558</v>
      </c>
      <c r="AD2548" s="16" t="n"/>
      <c r="AE2548" s="16" t="n"/>
    </row>
    <row r="2549">
      <c r="A2549" s="16" t="inlineStr">
        <is>
          <t>KF-M07-A1-0062</t>
        </is>
      </c>
      <c r="B2549" s="16" t="inlineStr">
        <is>
          <t>5.1</t>
        </is>
      </c>
      <c r="C2549" s="16" t="inlineStr">
        <is>
          <t>5.1a</t>
        </is>
      </c>
      <c r="D2549" s="16" t="inlineStr">
        <is>
          <t>libre, desde el mejor de 3.2</t>
        </is>
      </c>
      <c r="E2549" s="16" t="inlineStr">
        <is>
          <t>KF-M07</t>
        </is>
      </c>
      <c r="F2549" s="16" t="inlineStr">
        <is>
          <t>KF-M07-A1</t>
        </is>
      </c>
      <c r="G2549" s="16" t="inlineStr">
        <is>
          <t>B11-A1</t>
        </is>
      </c>
      <c r="H2549" s="16" t="inlineStr">
        <is>
          <t>busqueda</t>
        </is>
      </c>
      <c r="I2549" s="16" t="inlineStr">
        <is>
          <t>KALINA</t>
        </is>
      </c>
      <c r="J2549" s="16" t="inlineStr">
        <is>
          <t>KALINA</t>
        </is>
      </c>
      <c r="K2549" s="16" t="b">
        <v>1</v>
      </c>
      <c r="L2549" s="16" t="b">
        <v>1</v>
      </c>
      <c r="M2549" s="16" t="b">
        <v>0</v>
      </c>
      <c r="N2549" s="16" t="b">
        <v>0</v>
      </c>
      <c r="O2549" s="16" t="n">
        <v>436.0969531091276</v>
      </c>
      <c r="P2549" s="16" t="n">
        <v>281.6377013205448</v>
      </c>
      <c r="Q2549" s="16" t="n">
        <v>4081.823024523768</v>
      </c>
      <c r="R2549" s="16" t="n">
        <v>808.3402577390962</v>
      </c>
      <c r="S2549" s="16" t="n">
        <v>0.6347489709498951</v>
      </c>
      <c r="T2549" s="16" t="n">
        <v>0.95</v>
      </c>
      <c r="U2549" s="16" t="n">
        <v>0.7460814839003644</v>
      </c>
      <c r="V2549" s="16" t="n">
        <v>0.6777311085206517</v>
      </c>
      <c r="W2549" s="16" t="n">
        <v>0.9415298192493302</v>
      </c>
      <c r="X2549" s="16" t="n">
        <v>0.8418262585071621</v>
      </c>
      <c r="Y2549" s="16" t="n">
        <v>281.6377013205448</v>
      </c>
      <c r="Z2549" s="16" t="n">
        <v>13.79348182588999</v>
      </c>
      <c r="AA2549" s="16" t="n">
        <v>89.88353568615889</v>
      </c>
      <c r="AB2549" s="16" t="n">
        <v>3273.482766784672</v>
      </c>
      <c r="AC2549" s="16" t="n">
        <v>5.049634711922558</v>
      </c>
      <c r="AD2549" s="16" t="n"/>
      <c r="AE2549" s="16" t="n"/>
    </row>
    <row r="2550">
      <c r="A2550" s="16" t="inlineStr">
        <is>
          <t>KF-M07-A1-0063</t>
        </is>
      </c>
      <c r="B2550" s="16" t="inlineStr">
        <is>
          <t>5.1</t>
        </is>
      </c>
      <c r="C2550" s="16" t="inlineStr">
        <is>
          <t>5.1a</t>
        </is>
      </c>
      <c r="D2550" s="16" t="inlineStr">
        <is>
          <t>libre, desde el mejor de 3.2</t>
        </is>
      </c>
      <c r="E2550" s="16" t="inlineStr">
        <is>
          <t>KF-M07</t>
        </is>
      </c>
      <c r="F2550" s="16" t="inlineStr">
        <is>
          <t>KF-M07-A1</t>
        </is>
      </c>
      <c r="G2550" s="16" t="inlineStr">
        <is>
          <t>B11-A1</t>
        </is>
      </c>
      <c r="H2550" s="16" t="inlineStr">
        <is>
          <t>busqueda</t>
        </is>
      </c>
      <c r="I2550" s="16" t="inlineStr">
        <is>
          <t>KALINA</t>
        </is>
      </c>
      <c r="J2550" s="16" t="inlineStr">
        <is>
          <t>KALINA</t>
        </is>
      </c>
      <c r="K2550" s="16" t="b">
        <v>1</v>
      </c>
      <c r="L2550" s="16" t="b">
        <v>1</v>
      </c>
      <c r="M2550" s="16" t="b">
        <v>0</v>
      </c>
      <c r="N2550" s="16" t="b">
        <v>0</v>
      </c>
      <c r="O2550" s="16" t="n">
        <v>436.0969531091276</v>
      </c>
      <c r="P2550" s="16" t="n">
        <v>278.15</v>
      </c>
      <c r="Q2550" s="16" t="n">
        <v>4081.823024523768</v>
      </c>
      <c r="R2550" s="16" t="n">
        <v>808.3402577390962</v>
      </c>
      <c r="S2550" s="16" t="n">
        <v>0.6347489709498951</v>
      </c>
      <c r="T2550" s="16" t="n">
        <v>0.95</v>
      </c>
      <c r="U2550" s="16" t="n">
        <v>0.7460814839003644</v>
      </c>
      <c r="V2550" s="16" t="n">
        <v>0.6777311085206517</v>
      </c>
      <c r="W2550" s="16" t="n">
        <v>0.9415298192493302</v>
      </c>
      <c r="X2550" s="16" t="n">
        <v>0.8418262585071621</v>
      </c>
      <c r="Y2550" s="16" t="n">
        <v>278.15</v>
      </c>
      <c r="Z2550" s="16" t="n">
        <v>13.64896985230811</v>
      </c>
      <c r="AA2550" s="16" t="n">
        <v>89.56483622215487</v>
      </c>
      <c r="AB2550" s="16" t="n">
        <v>3273.482766784672</v>
      </c>
      <c r="AC2550" s="16" t="n">
        <v>5.049634711922558</v>
      </c>
      <c r="AD2550" s="16" t="n"/>
      <c r="AE2550" s="16" t="n"/>
    </row>
    <row r="2551">
      <c r="A2551" s="16" t="inlineStr">
        <is>
          <t>KF-M07-A1-0064</t>
        </is>
      </c>
      <c r="B2551" s="16" t="inlineStr">
        <is>
          <t>5.1</t>
        </is>
      </c>
      <c r="C2551" s="16" t="inlineStr">
        <is>
          <t>5.1a</t>
        </is>
      </c>
      <c r="D2551" s="16" t="inlineStr">
        <is>
          <t>libre, desde el mejor de 3.2</t>
        </is>
      </c>
      <c r="E2551" s="16" t="inlineStr">
        <is>
          <t>KF-M07</t>
        </is>
      </c>
      <c r="F2551" s="16" t="inlineStr">
        <is>
          <t>KF-M07-A1</t>
        </is>
      </c>
      <c r="G2551" s="16" t="inlineStr">
        <is>
          <t>B11-A1</t>
        </is>
      </c>
      <c r="H2551" s="16" t="inlineStr">
        <is>
          <t>busqueda</t>
        </is>
      </c>
      <c r="I2551" s="16" t="inlineStr">
        <is>
          <t>KALINA</t>
        </is>
      </c>
      <c r="J2551" s="16" t="inlineStr">
        <is>
          <t>KALINA</t>
        </is>
      </c>
      <c r="K2551" s="16" t="b">
        <v>1</v>
      </c>
      <c r="L2551" s="16" t="b">
        <v>1</v>
      </c>
      <c r="M2551" s="16" t="b">
        <v>0</v>
      </c>
      <c r="N2551" s="16" t="b">
        <v>0</v>
      </c>
      <c r="O2551" s="16" t="n">
        <v>436.0969531091276</v>
      </c>
      <c r="P2551" s="16" t="n">
        <v>279.0977013205448</v>
      </c>
      <c r="Q2551" s="16" t="n">
        <v>4381.823024523768</v>
      </c>
      <c r="R2551" s="16" t="n">
        <v>808.3402577390962</v>
      </c>
      <c r="S2551" s="16" t="n">
        <v>0.6347489709498951</v>
      </c>
      <c r="T2551" s="16" t="n">
        <v>0.95</v>
      </c>
      <c r="U2551" s="16" t="n">
        <v>0.7460814839003644</v>
      </c>
      <c r="V2551" s="16" t="n">
        <v>0.6777311085206517</v>
      </c>
      <c r="W2551" s="16" t="n">
        <v>0.9415298192493302</v>
      </c>
      <c r="X2551" s="16" t="n">
        <v>0.8418262585071621</v>
      </c>
      <c r="Y2551" s="16" t="n">
        <v>279.0977013205448</v>
      </c>
      <c r="Z2551" s="16" t="n">
        <v>14.03959682892471</v>
      </c>
      <c r="AA2551" s="16" t="n">
        <v>86.43379102231073</v>
      </c>
      <c r="AB2551" s="16" t="n">
        <v>3573.482766784672</v>
      </c>
      <c r="AC2551" s="16" t="n">
        <v>5.420765553332204</v>
      </c>
      <c r="AD2551" s="16" t="n"/>
      <c r="AE2551" s="16" t="n"/>
    </row>
    <row r="2552">
      <c r="A2552" s="16" t="inlineStr">
        <is>
          <t>KF-M07-A1-0065</t>
        </is>
      </c>
      <c r="B2552" s="16" t="inlineStr">
        <is>
          <t>5.1</t>
        </is>
      </c>
      <c r="C2552" s="16" t="inlineStr">
        <is>
          <t>5.1a</t>
        </is>
      </c>
      <c r="D2552" s="16" t="inlineStr">
        <is>
          <t>libre, desde el mejor de 3.2</t>
        </is>
      </c>
      <c r="E2552" s="16" t="inlineStr">
        <is>
          <t>KF-M07</t>
        </is>
      </c>
      <c r="F2552" s="16" t="inlineStr">
        <is>
          <t>KF-M07-A1</t>
        </is>
      </c>
      <c r="G2552" s="16" t="inlineStr">
        <is>
          <t>B11-A1</t>
        </is>
      </c>
      <c r="H2552" s="16" t="inlineStr">
        <is>
          <t>busqueda</t>
        </is>
      </c>
      <c r="I2552" s="16" t="inlineStr">
        <is>
          <t>KALINA</t>
        </is>
      </c>
      <c r="J2552" s="16" t="inlineStr">
        <is>
          <t>KALINA</t>
        </is>
      </c>
      <c r="K2552" s="16" t="b">
        <v>1</v>
      </c>
      <c r="L2552" s="16" t="b">
        <v>1</v>
      </c>
      <c r="M2552" s="16" t="b">
        <v>0</v>
      </c>
      <c r="N2552" s="16" t="b">
        <v>0</v>
      </c>
      <c r="O2552" s="16" t="n">
        <v>436.0969531091276</v>
      </c>
      <c r="P2552" s="16" t="n">
        <v>279.0977013205448</v>
      </c>
      <c r="Q2552" s="16" t="n">
        <v>3781.823024523768</v>
      </c>
      <c r="R2552" s="16" t="n">
        <v>808.3402577390962</v>
      </c>
      <c r="S2552" s="16" t="n">
        <v>0.6347489709498951</v>
      </c>
      <c r="T2552" s="16" t="n">
        <v>0.95</v>
      </c>
      <c r="U2552" s="16" t="n">
        <v>0.7460814839003644</v>
      </c>
      <c r="V2552" s="16" t="n">
        <v>0.6777311085206517</v>
      </c>
      <c r="W2552" s="16" t="n">
        <v>0.9415298192493302</v>
      </c>
      <c r="X2552" s="16" t="n">
        <v>0.8418262585071621</v>
      </c>
      <c r="Y2552" s="16" t="n">
        <v>279.0977013205448</v>
      </c>
      <c r="Z2552" s="16" t="n">
        <v>13.2574465374705</v>
      </c>
      <c r="AA2552" s="16" t="n">
        <v>92.42723044582696</v>
      </c>
      <c r="AB2552" s="16" t="n">
        <v>2973.482766784672</v>
      </c>
      <c r="AC2552" s="16" t="n">
        <v>4.678503870512914</v>
      </c>
      <c r="AD2552" s="16" t="n"/>
      <c r="AE2552" s="16" t="n"/>
    </row>
    <row r="2553">
      <c r="A2553" s="16" t="inlineStr">
        <is>
          <t>KF-M07-A1-0066</t>
        </is>
      </c>
      <c r="B2553" s="16" t="inlineStr">
        <is>
          <t>5.1</t>
        </is>
      </c>
      <c r="C2553" s="16" t="inlineStr">
        <is>
          <t>5.1a</t>
        </is>
      </c>
      <c r="D2553" s="16" t="inlineStr">
        <is>
          <t>libre, desde el mejor de 3.2</t>
        </is>
      </c>
      <c r="E2553" s="16" t="inlineStr">
        <is>
          <t>KF-M07</t>
        </is>
      </c>
      <c r="F2553" s="16" t="inlineStr">
        <is>
          <t>KF-M07-A1</t>
        </is>
      </c>
      <c r="G2553" s="16" t="inlineStr">
        <is>
          <t>B11-A1</t>
        </is>
      </c>
      <c r="H2553" s="16" t="inlineStr">
        <is>
          <t>busqueda</t>
        </is>
      </c>
      <c r="I2553" s="16" t="inlineStr">
        <is>
          <t>KALINA</t>
        </is>
      </c>
      <c r="J2553" s="16" t="inlineStr">
        <is>
          <t>KALINA</t>
        </is>
      </c>
      <c r="K2553" s="16" t="b">
        <v>1</v>
      </c>
      <c r="L2553" s="16" t="b">
        <v>1</v>
      </c>
      <c r="M2553" s="16" t="b">
        <v>0</v>
      </c>
      <c r="N2553" s="16" t="b">
        <v>0</v>
      </c>
      <c r="O2553" s="16" t="n">
        <v>436.0969531091276</v>
      </c>
      <c r="P2553" s="16" t="n">
        <v>279.0977013205448</v>
      </c>
      <c r="Q2553" s="16" t="n">
        <v>4081.823024523768</v>
      </c>
      <c r="R2553" s="16" t="n">
        <v>1028.340257739096</v>
      </c>
      <c r="S2553" s="16" t="n">
        <v>0.6347489709498951</v>
      </c>
      <c r="T2553" s="16" t="n">
        <v>0.95</v>
      </c>
      <c r="U2553" s="16" t="n">
        <v>0.7460814839003644</v>
      </c>
      <c r="V2553" s="16" t="n">
        <v>0.6777311085206517</v>
      </c>
      <c r="W2553" s="16" t="n">
        <v>0.9415298192493302</v>
      </c>
      <c r="X2553" s="16" t="n">
        <v>0.8418262585071621</v>
      </c>
      <c r="Y2553" s="16" t="n">
        <v>279.0977013205448</v>
      </c>
      <c r="Z2553" s="16" t="n">
        <v>11.75868375146699</v>
      </c>
      <c r="AA2553" s="16" t="n">
        <v>76.94330500357252</v>
      </c>
      <c r="AB2553" s="16" t="n">
        <v>3053.482766784672</v>
      </c>
      <c r="AC2553" s="16" t="n">
        <v>3.969331156496823</v>
      </c>
      <c r="AD2553" s="16" t="n"/>
      <c r="AE2553" s="16" t="n"/>
    </row>
    <row r="2554">
      <c r="A2554" s="16" t="inlineStr">
        <is>
          <t>KF-M07-A1-0067</t>
        </is>
      </c>
      <c r="B2554" s="16" t="inlineStr">
        <is>
          <t>5.1</t>
        </is>
      </c>
      <c r="C2554" s="16" t="inlineStr">
        <is>
          <t>5.1a</t>
        </is>
      </c>
      <c r="D2554" s="16" t="inlineStr">
        <is>
          <t>libre, desde el mejor de 3.2</t>
        </is>
      </c>
      <c r="E2554" s="16" t="inlineStr">
        <is>
          <t>KF-M07</t>
        </is>
      </c>
      <c r="F2554" s="16" t="inlineStr">
        <is>
          <t>KF-M07-A1</t>
        </is>
      </c>
      <c r="G2554" s="16" t="inlineStr">
        <is>
          <t>B11-A1</t>
        </is>
      </c>
      <c r="H2554" s="16" t="inlineStr">
        <is>
          <t>busqueda</t>
        </is>
      </c>
      <c r="I2554" s="16" t="inlineStr">
        <is>
          <t>CORREGIBLE</t>
        </is>
      </c>
      <c r="J2554" s="16" t="inlineStr">
        <is>
          <t>CORREGIBLE</t>
        </is>
      </c>
      <c r="K2554" s="16" t="b">
        <v>1</v>
      </c>
      <c r="L2554" s="16" t="b">
        <v>0</v>
      </c>
      <c r="M2554" s="16" t="b">
        <v>0</v>
      </c>
      <c r="N2554" s="16" t="b">
        <v>0</v>
      </c>
      <c r="O2554" s="16" t="n">
        <v>436.0969531091276</v>
      </c>
      <c r="P2554" s="16" t="n">
        <v>279.0977013205448</v>
      </c>
      <c r="Q2554" s="16" t="n">
        <v>4081.823024523768</v>
      </c>
      <c r="R2554" s="16" t="n">
        <v>588.3402577390962</v>
      </c>
      <c r="S2554" s="16" t="n">
        <v>0.6347489709498951</v>
      </c>
      <c r="T2554" s="16" t="n">
        <v>0.95</v>
      </c>
      <c r="U2554" s="16" t="n">
        <v>0.7460814839003644</v>
      </c>
      <c r="V2554" s="16" t="n">
        <v>0.6777311085206517</v>
      </c>
      <c r="W2554" s="16" t="n">
        <v>0.9415298192493302</v>
      </c>
      <c r="X2554" s="16" t="n">
        <v>0.8418262585071621</v>
      </c>
      <c r="Y2554" s="16" t="n">
        <v>279.0977013205448</v>
      </c>
      <c r="Z2554" s="16" t="n">
        <v>16.1539922712124</v>
      </c>
      <c r="AA2554" s="16" t="n">
        <v>105.9319127632258</v>
      </c>
      <c r="AB2554" s="16" t="n">
        <v>3493.482766784672</v>
      </c>
      <c r="AC2554" s="16" t="n">
        <v>6.937861162534763</v>
      </c>
      <c r="AD2554" s="16" t="inlineStr">
        <is>
          <t>O2</t>
        </is>
      </c>
      <c r="AE2554" s="16" t="n"/>
    </row>
    <row r="2555">
      <c r="A2555" s="16" t="inlineStr">
        <is>
          <t>KF-M07-A1-0068</t>
        </is>
      </c>
      <c r="B2555" s="16" t="inlineStr">
        <is>
          <t>5.1</t>
        </is>
      </c>
      <c r="C2555" s="16" t="inlineStr">
        <is>
          <t>5.1a</t>
        </is>
      </c>
      <c r="D2555" s="16" t="inlineStr">
        <is>
          <t>libre, desde el mejor de 3.2</t>
        </is>
      </c>
      <c r="E2555" s="16" t="inlineStr">
        <is>
          <t>KF-M07</t>
        </is>
      </c>
      <c r="F2555" s="16" t="inlineStr">
        <is>
          <t>KF-M07-A1</t>
        </is>
      </c>
      <c r="G2555" s="16" t="inlineStr">
        <is>
          <t>B11-A1</t>
        </is>
      </c>
      <c r="H2555" s="16" t="inlineStr">
        <is>
          <t>busqueda</t>
        </is>
      </c>
      <c r="I2555" s="16" t="inlineStr">
        <is>
          <t>KALINA</t>
        </is>
      </c>
      <c r="J2555" s="16" t="inlineStr">
        <is>
          <t>KALINA</t>
        </is>
      </c>
      <c r="K2555" s="16" t="b">
        <v>1</v>
      </c>
      <c r="L2555" s="16" t="b">
        <v>1</v>
      </c>
      <c r="M2555" s="16" t="b">
        <v>0</v>
      </c>
      <c r="N2555" s="16" t="b">
        <v>0</v>
      </c>
      <c r="O2555" s="16" t="n">
        <v>436.0969531091276</v>
      </c>
      <c r="P2555" s="16" t="n">
        <v>279.0977013205448</v>
      </c>
      <c r="Q2555" s="16" t="n">
        <v>4081.823024523768</v>
      </c>
      <c r="R2555" s="16" t="n">
        <v>808.3402577390962</v>
      </c>
      <c r="S2555" s="16" t="n">
        <v>0.6697489709498952</v>
      </c>
      <c r="T2555" s="16" t="n">
        <v>0.95</v>
      </c>
      <c r="U2555" s="16" t="n">
        <v>0.7460814839003644</v>
      </c>
      <c r="V2555" s="16" t="n">
        <v>0.6777311085206517</v>
      </c>
      <c r="W2555" s="16" t="n">
        <v>0.9415298192493302</v>
      </c>
      <c r="X2555" s="16" t="n">
        <v>0.8418262585071621</v>
      </c>
      <c r="Y2555" s="16" t="n">
        <v>279.0977013205448</v>
      </c>
      <c r="Z2555" s="16" t="n">
        <v>14.14165667155382</v>
      </c>
      <c r="AA2555" s="16" t="n">
        <v>101.5664030487117</v>
      </c>
      <c r="AB2555" s="16" t="n">
        <v>3273.482766784672</v>
      </c>
      <c r="AC2555" s="16" t="n">
        <v>5.049634711922558</v>
      </c>
      <c r="AD2555" s="16" t="n"/>
      <c r="AE2555" s="16" t="n"/>
    </row>
    <row r="2556">
      <c r="A2556" s="16" t="inlineStr">
        <is>
          <t>KF-M07-A1-0069</t>
        </is>
      </c>
      <c r="B2556" s="16" t="inlineStr">
        <is>
          <t>5.1</t>
        </is>
      </c>
      <c r="C2556" s="16" t="inlineStr">
        <is>
          <t>5.1a</t>
        </is>
      </c>
      <c r="D2556" s="16" t="inlineStr">
        <is>
          <t>libre, desde el mejor de 3.2</t>
        </is>
      </c>
      <c r="E2556" s="16" t="inlineStr">
        <is>
          <t>KF-M07</t>
        </is>
      </c>
      <c r="F2556" s="16" t="inlineStr">
        <is>
          <t>KF-M07-A1</t>
        </is>
      </c>
      <c r="G2556" s="16" t="inlineStr">
        <is>
          <t>B11-A1</t>
        </is>
      </c>
      <c r="H2556" s="16" t="inlineStr">
        <is>
          <t>busqueda</t>
        </is>
      </c>
      <c r="I2556" s="16" t="inlineStr">
        <is>
          <t>KALINA</t>
        </is>
      </c>
      <c r="J2556" s="16" t="inlineStr">
        <is>
          <t>KALINA</t>
        </is>
      </c>
      <c r="K2556" s="16" t="b">
        <v>1</v>
      </c>
      <c r="L2556" s="16" t="b">
        <v>1</v>
      </c>
      <c r="M2556" s="16" t="b">
        <v>0</v>
      </c>
      <c r="N2556" s="16" t="b">
        <v>0</v>
      </c>
      <c r="O2556" s="16" t="n">
        <v>436.0969531091276</v>
      </c>
      <c r="P2556" s="16" t="n">
        <v>279.0977013205448</v>
      </c>
      <c r="Q2556" s="16" t="n">
        <v>4081.823024523768</v>
      </c>
      <c r="R2556" s="16" t="n">
        <v>808.3402577390962</v>
      </c>
      <c r="S2556" s="16" t="n">
        <v>0.5997489709498951</v>
      </c>
      <c r="T2556" s="16" t="n">
        <v>0.95</v>
      </c>
      <c r="U2556" s="16" t="n">
        <v>0.7460814839003644</v>
      </c>
      <c r="V2556" s="16" t="n">
        <v>0.6777311085206517</v>
      </c>
      <c r="W2556" s="16" t="n">
        <v>0.9415298192493302</v>
      </c>
      <c r="X2556" s="16" t="n">
        <v>0.8418262585071621</v>
      </c>
      <c r="Y2556" s="16" t="n">
        <v>279.0977013205448</v>
      </c>
      <c r="Z2556" s="16" t="n">
        <v>13.1928790237575</v>
      </c>
      <c r="AA2556" s="16" t="n">
        <v>77.73162436599439</v>
      </c>
      <c r="AB2556" s="16" t="n">
        <v>3273.482766784672</v>
      </c>
      <c r="AC2556" s="16" t="n">
        <v>5.049634711922558</v>
      </c>
      <c r="AD2556" s="16" t="n"/>
      <c r="AE2556" s="16" t="n"/>
    </row>
    <row r="2557">
      <c r="A2557" s="16" t="inlineStr">
        <is>
          <t>KF-M07-A1-0070</t>
        </is>
      </c>
      <c r="B2557" s="16" t="inlineStr">
        <is>
          <t>5.1</t>
        </is>
      </c>
      <c r="C2557" s="16" t="inlineStr">
        <is>
          <t>5.1a</t>
        </is>
      </c>
      <c r="D2557" s="16" t="inlineStr">
        <is>
          <t>libre, desde el mejor de 3.2</t>
        </is>
      </c>
      <c r="E2557" s="16" t="inlineStr">
        <is>
          <t>KF-M07</t>
        </is>
      </c>
      <c r="F2557" s="16" t="inlineStr">
        <is>
          <t>KF-M07-A1</t>
        </is>
      </c>
      <c r="G2557" s="16" t="inlineStr">
        <is>
          <t>B11-A1</t>
        </is>
      </c>
      <c r="H2557" s="16" t="inlineStr">
        <is>
          <t>busqueda</t>
        </is>
      </c>
      <c r="I2557" s="16" t="inlineStr">
        <is>
          <t>KALINA</t>
        </is>
      </c>
      <c r="J2557" s="16" t="inlineStr">
        <is>
          <t>KALINA</t>
        </is>
      </c>
      <c r="K2557" s="16" t="b">
        <v>1</v>
      </c>
      <c r="L2557" s="16" t="b">
        <v>1</v>
      </c>
      <c r="M2557" s="16" t="b">
        <v>0</v>
      </c>
      <c r="N2557" s="16" t="b">
        <v>0</v>
      </c>
      <c r="O2557" s="16" t="n">
        <v>436.0969531091276</v>
      </c>
      <c r="P2557" s="16" t="n">
        <v>279.0977013205448</v>
      </c>
      <c r="Q2557" s="16" t="n">
        <v>4081.823024523768</v>
      </c>
      <c r="R2557" s="16" t="n">
        <v>808.3402577390962</v>
      </c>
      <c r="S2557" s="16" t="n">
        <v>0.6347489709498951</v>
      </c>
      <c r="T2557" s="16" t="n">
        <v>0.895</v>
      </c>
      <c r="U2557" s="16" t="n">
        <v>0.7460814839003644</v>
      </c>
      <c r="V2557" s="16" t="n">
        <v>0.6777311085206517</v>
      </c>
      <c r="W2557" s="16" t="n">
        <v>0.9415298192493302</v>
      </c>
      <c r="X2557" s="16" t="n">
        <v>0.8418262585071621</v>
      </c>
      <c r="Y2557" s="16" t="n">
        <v>279.0977013205448</v>
      </c>
      <c r="Z2557" s="16" t="n">
        <v>12.85349841110138</v>
      </c>
      <c r="AA2557" s="16" t="n">
        <v>84.14859977162423</v>
      </c>
      <c r="AB2557" s="16" t="n">
        <v>3273.482766784672</v>
      </c>
      <c r="AC2557" s="16" t="n">
        <v>5.049634711922558</v>
      </c>
      <c r="AD2557" s="16" t="n"/>
      <c r="AE2557" s="16" t="n"/>
    </row>
    <row r="2558">
      <c r="A2558" s="16" t="inlineStr">
        <is>
          <t>KF-M07-A1-0071</t>
        </is>
      </c>
      <c r="B2558" s="16" t="inlineStr">
        <is>
          <t>5.1</t>
        </is>
      </c>
      <c r="C2558" s="16" t="inlineStr">
        <is>
          <t>5.1a</t>
        </is>
      </c>
      <c r="D2558" s="16" t="inlineStr">
        <is>
          <t>libre, desde el mejor de 3.2</t>
        </is>
      </c>
      <c r="E2558" s="16" t="inlineStr">
        <is>
          <t>KF-M07</t>
        </is>
      </c>
      <c r="F2558" s="16" t="inlineStr">
        <is>
          <t>KF-M07-A1</t>
        </is>
      </c>
      <c r="G2558" s="16" t="inlineStr">
        <is>
          <t>B11-A1</t>
        </is>
      </c>
      <c r="H2558" s="16" t="inlineStr">
        <is>
          <t>busqueda</t>
        </is>
      </c>
      <c r="I2558" s="16" t="inlineStr">
        <is>
          <t>KALINA</t>
        </is>
      </c>
      <c r="J2558" s="16" t="inlineStr">
        <is>
          <t>KALINA</t>
        </is>
      </c>
      <c r="K2558" s="16" t="b">
        <v>1</v>
      </c>
      <c r="L2558" s="16" t="b">
        <v>1</v>
      </c>
      <c r="M2558" s="16" t="b">
        <v>0</v>
      </c>
      <c r="N2558" s="16" t="b">
        <v>0</v>
      </c>
      <c r="O2558" s="16" t="n">
        <v>436.0969531091276</v>
      </c>
      <c r="P2558" s="16" t="n">
        <v>279.0977013205448</v>
      </c>
      <c r="Q2558" s="16" t="n">
        <v>4081.823024523768</v>
      </c>
      <c r="R2558" s="16" t="n">
        <v>808.3402577390962</v>
      </c>
      <c r="S2558" s="16" t="n">
        <v>0.6347489709498951</v>
      </c>
      <c r="T2558" s="16" t="n">
        <v>0.95</v>
      </c>
      <c r="U2558" s="16" t="n">
        <v>0.8010814839003644</v>
      </c>
      <c r="V2558" s="16" t="n">
        <v>0.6777311085206517</v>
      </c>
      <c r="W2558" s="16" t="n">
        <v>0.9415298192493302</v>
      </c>
      <c r="X2558" s="16" t="n">
        <v>0.8418262585071621</v>
      </c>
      <c r="Y2558" s="16" t="n">
        <v>279.0977013205448</v>
      </c>
      <c r="Z2558" s="16" t="n">
        <v>13.7437091473884</v>
      </c>
      <c r="AA2558" s="16" t="n">
        <v>90.03439753356295</v>
      </c>
      <c r="AB2558" s="16" t="n">
        <v>3273.482766784672</v>
      </c>
      <c r="AC2558" s="16" t="n">
        <v>5.049634711922558</v>
      </c>
      <c r="AD2558" s="16" t="n"/>
      <c r="AE2558" s="16" t="n"/>
    </row>
    <row r="2559">
      <c r="A2559" s="16" t="inlineStr">
        <is>
          <t>KF-M07-A1-0072</t>
        </is>
      </c>
      <c r="B2559" s="16" t="inlineStr">
        <is>
          <t>5.1</t>
        </is>
      </c>
      <c r="C2559" s="16" t="inlineStr">
        <is>
          <t>5.1a</t>
        </is>
      </c>
      <c r="D2559" s="16" t="inlineStr">
        <is>
          <t>libre, desde el mejor de 3.2</t>
        </is>
      </c>
      <c r="E2559" s="16" t="inlineStr">
        <is>
          <t>KF-M07</t>
        </is>
      </c>
      <c r="F2559" s="16" t="inlineStr">
        <is>
          <t>KF-M07-A1</t>
        </is>
      </c>
      <c r="G2559" s="16" t="inlineStr">
        <is>
          <t>B11-A1</t>
        </is>
      </c>
      <c r="H2559" s="16" t="inlineStr">
        <is>
          <t>busqueda</t>
        </is>
      </c>
      <c r="I2559" s="16" t="inlineStr">
        <is>
          <t>KALINA</t>
        </is>
      </c>
      <c r="J2559" s="16" t="inlineStr">
        <is>
          <t>KALINA</t>
        </is>
      </c>
      <c r="K2559" s="16" t="b">
        <v>1</v>
      </c>
      <c r="L2559" s="16" t="b">
        <v>1</v>
      </c>
      <c r="M2559" s="16" t="b">
        <v>0</v>
      </c>
      <c r="N2559" s="16" t="b">
        <v>0</v>
      </c>
      <c r="O2559" s="16" t="n">
        <v>436.0969531091276</v>
      </c>
      <c r="P2559" s="16" t="n">
        <v>279.0977013205448</v>
      </c>
      <c r="Q2559" s="16" t="n">
        <v>4081.823024523768</v>
      </c>
      <c r="R2559" s="16" t="n">
        <v>808.3402577390962</v>
      </c>
      <c r="S2559" s="16" t="n">
        <v>0.6347489709498951</v>
      </c>
      <c r="T2559" s="16" t="n">
        <v>0.95</v>
      </c>
      <c r="U2559" s="16" t="n">
        <v>0.6910814839003644</v>
      </c>
      <c r="V2559" s="16" t="n">
        <v>0.6777311085206517</v>
      </c>
      <c r="W2559" s="16" t="n">
        <v>0.9415298192493302</v>
      </c>
      <c r="X2559" s="16" t="n">
        <v>0.8418262585071621</v>
      </c>
      <c r="Y2559" s="16" t="n">
        <v>279.0977013205448</v>
      </c>
      <c r="Z2559" s="16" t="n">
        <v>13.62327843491286</v>
      </c>
      <c r="AA2559" s="16" t="n">
        <v>89.20712137582348</v>
      </c>
      <c r="AB2559" s="16" t="n">
        <v>3273.482766784672</v>
      </c>
      <c r="AC2559" s="16" t="n">
        <v>5.049634711922558</v>
      </c>
      <c r="AD2559" s="16" t="n"/>
      <c r="AE2559" s="16" t="n"/>
    </row>
    <row r="2560">
      <c r="A2560" s="16" t="inlineStr">
        <is>
          <t>KF-M07-A1-0073</t>
        </is>
      </c>
      <c r="B2560" s="16" t="inlineStr">
        <is>
          <t>5.1</t>
        </is>
      </c>
      <c r="C2560" s="16" t="inlineStr">
        <is>
          <t>5.1a</t>
        </is>
      </c>
      <c r="D2560" s="16" t="inlineStr">
        <is>
          <t>libre, desde el mejor de 3.2</t>
        </is>
      </c>
      <c r="E2560" s="16" t="inlineStr">
        <is>
          <t>KF-M07</t>
        </is>
      </c>
      <c r="F2560" s="16" t="inlineStr">
        <is>
          <t>KF-M07-A1</t>
        </is>
      </c>
      <c r="G2560" s="16" t="inlineStr">
        <is>
          <t>B11-A1</t>
        </is>
      </c>
      <c r="H2560" s="16" t="inlineStr">
        <is>
          <t>busqueda</t>
        </is>
      </c>
      <c r="I2560" s="16" t="inlineStr">
        <is>
          <t>KALINA</t>
        </is>
      </c>
      <c r="J2560" s="16" t="inlineStr">
        <is>
          <t>KALINA</t>
        </is>
      </c>
      <c r="K2560" s="16" t="b">
        <v>1</v>
      </c>
      <c r="L2560" s="16" t="b">
        <v>1</v>
      </c>
      <c r="M2560" s="16" t="b">
        <v>0</v>
      </c>
      <c r="N2560" s="16" t="b">
        <v>0</v>
      </c>
      <c r="O2560" s="16" t="n">
        <v>436.0969531091276</v>
      </c>
      <c r="P2560" s="16" t="n">
        <v>279.0977013205448</v>
      </c>
      <c r="Q2560" s="16" t="n">
        <v>4081.823024523768</v>
      </c>
      <c r="R2560" s="16" t="n">
        <v>808.3402577390962</v>
      </c>
      <c r="S2560" s="16" t="n">
        <v>0.6347489709498951</v>
      </c>
      <c r="T2560" s="16" t="n">
        <v>0.95</v>
      </c>
      <c r="U2560" s="16" t="n">
        <v>0.7460814839003644</v>
      </c>
      <c r="V2560" s="16" t="n">
        <v>0.7327311085206516</v>
      </c>
      <c r="W2560" s="16" t="n">
        <v>0.9415298192493302</v>
      </c>
      <c r="X2560" s="16" t="n">
        <v>0.8418262585071621</v>
      </c>
      <c r="Y2560" s="16" t="n">
        <v>279.0977013205448</v>
      </c>
      <c r="Z2560" s="16" t="n">
        <v>13.81269063587785</v>
      </c>
      <c r="AA2560" s="16" t="n">
        <v>97.98321631416334</v>
      </c>
      <c r="AB2560" s="16" t="n">
        <v>3273.482766784672</v>
      </c>
      <c r="AC2560" s="16" t="n">
        <v>5.049634711922558</v>
      </c>
      <c r="AD2560" s="16" t="n"/>
      <c r="AE2560" s="16" t="n"/>
    </row>
    <row r="2561">
      <c r="A2561" s="16" t="inlineStr">
        <is>
          <t>KF-M07-A1-0074</t>
        </is>
      </c>
      <c r="B2561" s="16" t="inlineStr">
        <is>
          <t>5.1</t>
        </is>
      </c>
      <c r="C2561" s="16" t="inlineStr">
        <is>
          <t>5.1a</t>
        </is>
      </c>
      <c r="D2561" s="16" t="inlineStr">
        <is>
          <t>libre, desde el mejor de 3.2</t>
        </is>
      </c>
      <c r="E2561" s="16" t="inlineStr">
        <is>
          <t>KF-M07</t>
        </is>
      </c>
      <c r="F2561" s="16" t="inlineStr">
        <is>
          <t>KF-M07-A1</t>
        </is>
      </c>
      <c r="G2561" s="16" t="inlineStr">
        <is>
          <t>B11-A1</t>
        </is>
      </c>
      <c r="H2561" s="16" t="inlineStr">
        <is>
          <t>busqueda</t>
        </is>
      </c>
      <c r="I2561" s="16" t="inlineStr">
        <is>
          <t>KALINA</t>
        </is>
      </c>
      <c r="J2561" s="16" t="inlineStr">
        <is>
          <t>KALINA</t>
        </is>
      </c>
      <c r="K2561" s="16" t="b">
        <v>1</v>
      </c>
      <c r="L2561" s="16" t="b">
        <v>1</v>
      </c>
      <c r="M2561" s="16" t="b">
        <v>0</v>
      </c>
      <c r="N2561" s="16" t="b">
        <v>0</v>
      </c>
      <c r="O2561" s="16" t="n">
        <v>436.0969531091276</v>
      </c>
      <c r="P2561" s="16" t="n">
        <v>279.0977013205448</v>
      </c>
      <c r="Q2561" s="16" t="n">
        <v>4081.823024523768</v>
      </c>
      <c r="R2561" s="16" t="n">
        <v>808.3402577390962</v>
      </c>
      <c r="S2561" s="16" t="n">
        <v>0.6347489709498951</v>
      </c>
      <c r="T2561" s="16" t="n">
        <v>0.95</v>
      </c>
      <c r="U2561" s="16" t="n">
        <v>0.7460814839003644</v>
      </c>
      <c r="V2561" s="16" t="n">
        <v>0.6227311085206517</v>
      </c>
      <c r="W2561" s="16" t="n">
        <v>0.9415298192493302</v>
      </c>
      <c r="X2561" s="16" t="n">
        <v>0.8418262585071621</v>
      </c>
      <c r="Y2561" s="16" t="n">
        <v>279.0977013205448</v>
      </c>
      <c r="Z2561" s="16" t="n">
        <v>13.52840241146454</v>
      </c>
      <c r="AA2561" s="16" t="n">
        <v>81.27671595801155</v>
      </c>
      <c r="AB2561" s="16" t="n">
        <v>3273.482766784672</v>
      </c>
      <c r="AC2561" s="16" t="n">
        <v>5.049634711922558</v>
      </c>
      <c r="AD2561" s="16" t="n"/>
      <c r="AE2561" s="16" t="n"/>
    </row>
    <row r="2562">
      <c r="A2562" s="16" t="inlineStr">
        <is>
          <t>KF-M07-A1-0075</t>
        </is>
      </c>
      <c r="B2562" s="16" t="inlineStr">
        <is>
          <t>5.1</t>
        </is>
      </c>
      <c r="C2562" s="16" t="inlineStr">
        <is>
          <t>5.1a</t>
        </is>
      </c>
      <c r="D2562" s="16" t="inlineStr">
        <is>
          <t>libre, desde el mejor de 3.2</t>
        </is>
      </c>
      <c r="E2562" s="16" t="inlineStr">
        <is>
          <t>KF-M07</t>
        </is>
      </c>
      <c r="F2562" s="16" t="inlineStr">
        <is>
          <t>KF-M07-A1</t>
        </is>
      </c>
      <c r="G2562" s="16" t="inlineStr">
        <is>
          <t>B11-A1</t>
        </is>
      </c>
      <c r="H2562" s="16" t="inlineStr">
        <is>
          <t>busqueda</t>
        </is>
      </c>
      <c r="I2562" s="16" t="inlineStr">
        <is>
          <t>KALINA</t>
        </is>
      </c>
      <c r="J2562" s="16" t="inlineStr">
        <is>
          <t>KALINA</t>
        </is>
      </c>
      <c r="K2562" s="16" t="b">
        <v>1</v>
      </c>
      <c r="L2562" s="16" t="b">
        <v>1</v>
      </c>
      <c r="M2562" s="16" t="b">
        <v>0</v>
      </c>
      <c r="N2562" s="16" t="b">
        <v>0</v>
      </c>
      <c r="O2562" s="16" t="n">
        <v>436.0969531091276</v>
      </c>
      <c r="P2562" s="16" t="n">
        <v>279.0977013205448</v>
      </c>
      <c r="Q2562" s="16" t="n">
        <v>4081.823024523768</v>
      </c>
      <c r="R2562" s="16" t="n">
        <v>808.3402577390962</v>
      </c>
      <c r="S2562" s="16" t="n">
        <v>0.6347489709498951</v>
      </c>
      <c r="T2562" s="16" t="n">
        <v>0.95</v>
      </c>
      <c r="U2562" s="16" t="n">
        <v>0.7460814839003644</v>
      </c>
      <c r="V2562" s="16" t="n">
        <v>0.6777311085206517</v>
      </c>
      <c r="W2562" s="16" t="n">
        <v>0.95</v>
      </c>
      <c r="X2562" s="16" t="n">
        <v>0.8418262585071621</v>
      </c>
      <c r="Y2562" s="16" t="n">
        <v>279.0977013205448</v>
      </c>
      <c r="Z2562" s="16" t="n">
        <v>13.74430678815094</v>
      </c>
      <c r="AA2562" s="16" t="n">
        <v>89.78265622705116</v>
      </c>
      <c r="AB2562" s="16" t="n">
        <v>3273.482766784672</v>
      </c>
      <c r="AC2562" s="16" t="n">
        <v>5.049634711922558</v>
      </c>
      <c r="AD2562" s="16" t="n"/>
      <c r="AE2562" s="16" t="n"/>
    </row>
    <row r="2563">
      <c r="A2563" s="16" t="inlineStr">
        <is>
          <t>KF-M07-A1-0076</t>
        </is>
      </c>
      <c r="B2563" s="16" t="inlineStr">
        <is>
          <t>5.1</t>
        </is>
      </c>
      <c r="C2563" s="16" t="inlineStr">
        <is>
          <t>5.1a</t>
        </is>
      </c>
      <c r="D2563" s="16" t="inlineStr">
        <is>
          <t>libre, desde el mejor de 3.2</t>
        </is>
      </c>
      <c r="E2563" s="16" t="inlineStr">
        <is>
          <t>KF-M07</t>
        </is>
      </c>
      <c r="F2563" s="16" t="inlineStr">
        <is>
          <t>KF-M07-A1</t>
        </is>
      </c>
      <c r="G2563" s="16" t="inlineStr">
        <is>
          <t>B11-A1</t>
        </is>
      </c>
      <c r="H2563" s="16" t="inlineStr">
        <is>
          <t>busqueda</t>
        </is>
      </c>
      <c r="I2563" s="16" t="inlineStr">
        <is>
          <t>KALINA</t>
        </is>
      </c>
      <c r="J2563" s="16" t="inlineStr">
        <is>
          <t>KALINA</t>
        </is>
      </c>
      <c r="K2563" s="16" t="b">
        <v>1</v>
      </c>
      <c r="L2563" s="16" t="b">
        <v>1</v>
      </c>
      <c r="M2563" s="16" t="b">
        <v>0</v>
      </c>
      <c r="N2563" s="16" t="b">
        <v>0</v>
      </c>
      <c r="O2563" s="16" t="n">
        <v>436.0969531091276</v>
      </c>
      <c r="P2563" s="16" t="n">
        <v>279.0977013205448</v>
      </c>
      <c r="Q2563" s="16" t="n">
        <v>4081.823024523768</v>
      </c>
      <c r="R2563" s="16" t="n">
        <v>808.3402577390962</v>
      </c>
      <c r="S2563" s="16" t="n">
        <v>0.6347489709498951</v>
      </c>
      <c r="T2563" s="16" t="n">
        <v>0.95</v>
      </c>
      <c r="U2563" s="16" t="n">
        <v>0.7460814839003644</v>
      </c>
      <c r="V2563" s="16" t="n">
        <v>0.6777311085206517</v>
      </c>
      <c r="W2563" s="16" t="n">
        <v>0.8865298192493303</v>
      </c>
      <c r="X2563" s="16" t="n">
        <v>0.8418262585071621</v>
      </c>
      <c r="Y2563" s="16" t="n">
        <v>279.0977013205448</v>
      </c>
      <c r="Z2563" s="16" t="n">
        <v>13.32974113090427</v>
      </c>
      <c r="AA2563" s="16" t="n">
        <v>88.79933463626433</v>
      </c>
      <c r="AB2563" s="16" t="n">
        <v>3273.482766784672</v>
      </c>
      <c r="AC2563" s="16" t="n">
        <v>5.049634711922558</v>
      </c>
      <c r="AD2563" s="16" t="n"/>
      <c r="AE2563" s="16" t="n"/>
    </row>
    <row r="2564">
      <c r="A2564" s="16" t="inlineStr">
        <is>
          <t>KF-M07-A1-0077</t>
        </is>
      </c>
      <c r="B2564" s="16" t="inlineStr">
        <is>
          <t>5.1</t>
        </is>
      </c>
      <c r="C2564" s="16" t="inlineStr">
        <is>
          <t>5.1a</t>
        </is>
      </c>
      <c r="D2564" s="16" t="inlineStr">
        <is>
          <t>libre, desde el mejor de 3.2</t>
        </is>
      </c>
      <c r="E2564" s="16" t="inlineStr">
        <is>
          <t>KF-M07</t>
        </is>
      </c>
      <c r="F2564" s="16" t="inlineStr">
        <is>
          <t>KF-M07-A1</t>
        </is>
      </c>
      <c r="G2564" s="16" t="inlineStr">
        <is>
          <t>B11-A1</t>
        </is>
      </c>
      <c r="H2564" s="16" t="inlineStr">
        <is>
          <t>busqueda</t>
        </is>
      </c>
      <c r="I2564" s="16" t="inlineStr">
        <is>
          <t>KALINA</t>
        </is>
      </c>
      <c r="J2564" s="16" t="inlineStr">
        <is>
          <t>KALINA</t>
        </is>
      </c>
      <c r="K2564" s="16" t="b">
        <v>1</v>
      </c>
      <c r="L2564" s="16" t="b">
        <v>1</v>
      </c>
      <c r="M2564" s="16" t="b">
        <v>0</v>
      </c>
      <c r="N2564" s="16" t="b">
        <v>0</v>
      </c>
      <c r="O2564" s="16" t="n">
        <v>436.0969531091276</v>
      </c>
      <c r="P2564" s="16" t="n">
        <v>279.0977013205448</v>
      </c>
      <c r="Q2564" s="16" t="n">
        <v>4081.823024523768</v>
      </c>
      <c r="R2564" s="16" t="n">
        <v>808.3402577390962</v>
      </c>
      <c r="S2564" s="16" t="n">
        <v>0.6347489709498951</v>
      </c>
      <c r="T2564" s="16" t="n">
        <v>0.95</v>
      </c>
      <c r="U2564" s="16" t="n">
        <v>0.7460814839003644</v>
      </c>
      <c r="V2564" s="16" t="n">
        <v>0.6777311085206517</v>
      </c>
      <c r="W2564" s="16" t="n">
        <v>0.9415298192493302</v>
      </c>
      <c r="X2564" s="16" t="n">
        <v>0.896826258507162</v>
      </c>
      <c r="Y2564" s="16" t="n">
        <v>279.0977013205448</v>
      </c>
      <c r="Z2564" s="16" t="n">
        <v>13.32447965364104</v>
      </c>
      <c r="AA2564" s="16" t="n">
        <v>88.83171085737865</v>
      </c>
      <c r="AB2564" s="16" t="n">
        <v>3273.482766784672</v>
      </c>
      <c r="AC2564" s="16" t="n">
        <v>5.049634711922558</v>
      </c>
      <c r="AD2564" s="16" t="n"/>
      <c r="AE2564" s="16" t="n"/>
    </row>
    <row r="2565">
      <c r="A2565" s="16" t="inlineStr">
        <is>
          <t>KF-M07-A1-0078</t>
        </is>
      </c>
      <c r="B2565" s="16" t="inlineStr">
        <is>
          <t>5.1</t>
        </is>
      </c>
      <c r="C2565" s="16" t="inlineStr">
        <is>
          <t>5.1a</t>
        </is>
      </c>
      <c r="D2565" s="16" t="inlineStr">
        <is>
          <t>libre, desde el mejor de 3.2</t>
        </is>
      </c>
      <c r="E2565" s="16" t="inlineStr">
        <is>
          <t>KF-M07</t>
        </is>
      </c>
      <c r="F2565" s="16" t="inlineStr">
        <is>
          <t>KF-M07-A1</t>
        </is>
      </c>
      <c r="G2565" s="16" t="inlineStr">
        <is>
          <t>B11-A1</t>
        </is>
      </c>
      <c r="H2565" s="16" t="inlineStr">
        <is>
          <t>busqueda</t>
        </is>
      </c>
      <c r="I2565" s="16" t="inlineStr">
        <is>
          <t>CORREGIBLE</t>
        </is>
      </c>
      <c r="J2565" s="16" t="inlineStr">
        <is>
          <t>CORREGIBLE</t>
        </is>
      </c>
      <c r="K2565" s="16" t="b">
        <v>1</v>
      </c>
      <c r="L2565" s="16" t="b">
        <v>0</v>
      </c>
      <c r="M2565" s="16" t="b">
        <v>0</v>
      </c>
      <c r="N2565" s="16" t="b">
        <v>0</v>
      </c>
      <c r="O2565" s="16" t="n">
        <v>436.0969531091276</v>
      </c>
      <c r="P2565" s="16" t="n">
        <v>279.0977013205448</v>
      </c>
      <c r="Q2565" s="16" t="n">
        <v>4081.823024523768</v>
      </c>
      <c r="R2565" s="16" t="n">
        <v>808.3402577390962</v>
      </c>
      <c r="S2565" s="16" t="n">
        <v>0.6347489709498951</v>
      </c>
      <c r="T2565" s="16" t="n">
        <v>0.95</v>
      </c>
      <c r="U2565" s="16" t="n">
        <v>0.7460814839003644</v>
      </c>
      <c r="V2565" s="16" t="n">
        <v>0.6777311085206517</v>
      </c>
      <c r="W2565" s="16" t="n">
        <v>0.9415298192493302</v>
      </c>
      <c r="X2565" s="16" t="n">
        <v>0.7868262585071621</v>
      </c>
      <c r="Y2565" s="16" t="n">
        <v>279.0977013205448</v>
      </c>
      <c r="Z2565" s="16" t="n">
        <v>14.10264329561828</v>
      </c>
      <c r="AA2565" s="16" t="n">
        <v>90.54973735541296</v>
      </c>
      <c r="AB2565" s="16" t="n">
        <v>3273.482766784672</v>
      </c>
      <c r="AC2565" s="16" t="n">
        <v>5.049634711922558</v>
      </c>
      <c r="AD2565" s="16" t="inlineStr">
        <is>
          <t>O2</t>
        </is>
      </c>
      <c r="AE2565" s="16" t="n"/>
    </row>
    <row r="2566">
      <c r="A2566" s="16" t="inlineStr">
        <is>
          <t>KF-M07-A1-0079</t>
        </is>
      </c>
      <c r="B2566" s="16" t="inlineStr">
        <is>
          <t>5.1</t>
        </is>
      </c>
      <c r="C2566" s="16" t="inlineStr">
        <is>
          <t>5.1a</t>
        </is>
      </c>
      <c r="D2566" s="16" t="inlineStr">
        <is>
          <t>libre, desde el mejor de 3.2</t>
        </is>
      </c>
      <c r="E2566" s="16" t="inlineStr">
        <is>
          <t>KF-M07</t>
        </is>
      </c>
      <c r="F2566" s="16" t="inlineStr">
        <is>
          <t>KF-M07-A1</t>
        </is>
      </c>
      <c r="G2566" s="16" t="inlineStr">
        <is>
          <t>B11-A1</t>
        </is>
      </c>
      <c r="H2566" s="16" t="inlineStr">
        <is>
          <t>busqueda</t>
        </is>
      </c>
      <c r="I2566" s="16" t="inlineStr">
        <is>
          <t>CORREGIBLE</t>
        </is>
      </c>
      <c r="J2566" s="16" t="inlineStr">
        <is>
          <t>CORREGIBLE</t>
        </is>
      </c>
      <c r="K2566" s="16" t="b">
        <v>1</v>
      </c>
      <c r="L2566" s="16" t="b">
        <v>0</v>
      </c>
      <c r="M2566" s="16" t="b">
        <v>1</v>
      </c>
      <c r="N2566" s="16" t="b">
        <v>0</v>
      </c>
      <c r="O2566" s="16" t="n">
        <v>448.0969531091276</v>
      </c>
      <c r="P2566" s="16" t="n">
        <v>279.0977013205448</v>
      </c>
      <c r="Q2566" s="16" t="n">
        <v>4081.823024523768</v>
      </c>
      <c r="R2566" s="16" t="n">
        <v>808.3402577390962</v>
      </c>
      <c r="S2566" s="16" t="n">
        <v>0.6697489709498952</v>
      </c>
      <c r="T2566" s="16" t="n">
        <v>0.95</v>
      </c>
      <c r="U2566" s="16" t="n">
        <v>0.7460814839003644</v>
      </c>
      <c r="V2566" s="16" t="n">
        <v>0.6777311085206517</v>
      </c>
      <c r="W2566" s="16" t="n">
        <v>0.9415298192493302</v>
      </c>
      <c r="X2566" s="16" t="n">
        <v>0.8418262585071621</v>
      </c>
      <c r="Y2566" s="16" t="n">
        <v>279.0977013205448</v>
      </c>
      <c r="Z2566" s="16" t="n">
        <v>14.38283975765372</v>
      </c>
      <c r="AA2566" s="16" t="n">
        <v>124.6308760898454</v>
      </c>
      <c r="AB2566" s="16" t="n">
        <v>3273.482766784672</v>
      </c>
      <c r="AC2566" s="16" t="n">
        <v>5.049634711922558</v>
      </c>
      <c r="AD2566" s="16" t="inlineStr">
        <is>
          <t>O2</t>
        </is>
      </c>
      <c r="AE2566" s="16" t="n"/>
    </row>
    <row r="2567">
      <c r="A2567" s="16" t="inlineStr">
        <is>
          <t>KF-M07-A1-0080</t>
        </is>
      </c>
      <c r="B2567" s="16" t="inlineStr">
        <is>
          <t>5.1</t>
        </is>
      </c>
      <c r="C2567" s="16" t="inlineStr">
        <is>
          <t>5.1a</t>
        </is>
      </c>
      <c r="D2567" s="16" t="inlineStr">
        <is>
          <t>libre, desde el mejor de 3.2</t>
        </is>
      </c>
      <c r="E2567" s="16" t="inlineStr">
        <is>
          <t>KF-M07</t>
        </is>
      </c>
      <c r="F2567" s="16" t="inlineStr">
        <is>
          <t>KF-M07-A1</t>
        </is>
      </c>
      <c r="G2567" s="16" t="inlineStr">
        <is>
          <t>B11-A1</t>
        </is>
      </c>
      <c r="H2567" s="16" t="inlineStr">
        <is>
          <t>busqueda</t>
        </is>
      </c>
      <c r="I2567" s="16" t="inlineStr">
        <is>
          <t>KALINA</t>
        </is>
      </c>
      <c r="J2567" s="16" t="inlineStr">
        <is>
          <t>KALINA</t>
        </is>
      </c>
      <c r="K2567" s="16" t="b">
        <v>1</v>
      </c>
      <c r="L2567" s="16" t="b">
        <v>1</v>
      </c>
      <c r="M2567" s="16" t="b">
        <v>0</v>
      </c>
      <c r="N2567" s="16" t="b">
        <v>0</v>
      </c>
      <c r="O2567" s="16" t="n">
        <v>424.0969531091276</v>
      </c>
      <c r="P2567" s="16" t="n">
        <v>279.0977013205448</v>
      </c>
      <c r="Q2567" s="16" t="n">
        <v>4081.823024523768</v>
      </c>
      <c r="R2567" s="16" t="n">
        <v>808.3402577390962</v>
      </c>
      <c r="S2567" s="16" t="n">
        <v>0.6697489709498952</v>
      </c>
      <c r="T2567" s="16" t="n">
        <v>0.95</v>
      </c>
      <c r="U2567" s="16" t="n">
        <v>0.7460814839003644</v>
      </c>
      <c r="V2567" s="16" t="n">
        <v>0.6777311085206517</v>
      </c>
      <c r="W2567" s="16" t="n">
        <v>0.9415298192493302</v>
      </c>
      <c r="X2567" s="16" t="n">
        <v>0.8418262585071621</v>
      </c>
      <c r="Y2567" s="16" t="n">
        <v>279.0977013205448</v>
      </c>
      <c r="Z2567" s="16" t="n">
        <v>13.75105607966179</v>
      </c>
      <c r="AA2567" s="16" t="n">
        <v>81.5621984251225</v>
      </c>
      <c r="AB2567" s="16" t="n">
        <v>3273.482766784672</v>
      </c>
      <c r="AC2567" s="16" t="n">
        <v>5.049634711922558</v>
      </c>
      <c r="AD2567" s="16" t="n"/>
      <c r="AE2567" s="16" t="n"/>
    </row>
    <row r="2568">
      <c r="A2568" s="16" t="inlineStr">
        <is>
          <t>KF-M07-A1-0081</t>
        </is>
      </c>
      <c r="B2568" s="16" t="inlineStr">
        <is>
          <t>5.1</t>
        </is>
      </c>
      <c r="C2568" s="16" t="inlineStr">
        <is>
          <t>5.1a</t>
        </is>
      </c>
      <c r="D2568" s="16" t="inlineStr">
        <is>
          <t>libre, desde el mejor de 3.2</t>
        </is>
      </c>
      <c r="E2568" s="16" t="inlineStr">
        <is>
          <t>KF-M07</t>
        </is>
      </c>
      <c r="F2568" s="16" t="inlineStr">
        <is>
          <t>KF-M07-A1</t>
        </is>
      </c>
      <c r="G2568" s="16" t="inlineStr">
        <is>
          <t>B11-A1</t>
        </is>
      </c>
      <c r="H2568" s="16" t="inlineStr">
        <is>
          <t>busqueda</t>
        </is>
      </c>
      <c r="I2568" s="16" t="inlineStr">
        <is>
          <t>KALINA</t>
        </is>
      </c>
      <c r="J2568" s="16" t="inlineStr">
        <is>
          <t>KALINA</t>
        </is>
      </c>
      <c r="K2568" s="16" t="b">
        <v>1</v>
      </c>
      <c r="L2568" s="16" t="b">
        <v>1</v>
      </c>
      <c r="M2568" s="16" t="b">
        <v>0</v>
      </c>
      <c r="N2568" s="16" t="b">
        <v>0</v>
      </c>
      <c r="O2568" s="16" t="n">
        <v>436.0969531091276</v>
      </c>
      <c r="P2568" s="16" t="n">
        <v>281.6377013205448</v>
      </c>
      <c r="Q2568" s="16" t="n">
        <v>4081.823024523768</v>
      </c>
      <c r="R2568" s="16" t="n">
        <v>808.3402577390962</v>
      </c>
      <c r="S2568" s="16" t="n">
        <v>0.6697489709498952</v>
      </c>
      <c r="T2568" s="16" t="n">
        <v>0.95</v>
      </c>
      <c r="U2568" s="16" t="n">
        <v>0.7460814839003644</v>
      </c>
      <c r="V2568" s="16" t="n">
        <v>0.6777311085206517</v>
      </c>
      <c r="W2568" s="16" t="n">
        <v>0.9415298192493302</v>
      </c>
      <c r="X2568" s="16" t="n">
        <v>0.8418262585071621</v>
      </c>
      <c r="Y2568" s="16" t="n">
        <v>281.6377013205448</v>
      </c>
      <c r="Z2568" s="16" t="n">
        <v>14.25098841403692</v>
      </c>
      <c r="AA2568" s="16" t="n">
        <v>101.8288712960333</v>
      </c>
      <c r="AB2568" s="16" t="n">
        <v>3273.482766784672</v>
      </c>
      <c r="AC2568" s="16" t="n">
        <v>5.049634711922558</v>
      </c>
      <c r="AD2568" s="16" t="n"/>
      <c r="AE2568" s="16" t="n"/>
    </row>
    <row r="2569">
      <c r="A2569" s="16" t="inlineStr">
        <is>
          <t>KF-M07-A1-0082</t>
        </is>
      </c>
      <c r="B2569" s="16" t="inlineStr">
        <is>
          <t>5.1</t>
        </is>
      </c>
      <c r="C2569" s="16" t="inlineStr">
        <is>
          <t>5.1a</t>
        </is>
      </c>
      <c r="D2569" s="16" t="inlineStr">
        <is>
          <t>libre, desde el mejor de 3.2</t>
        </is>
      </c>
      <c r="E2569" s="16" t="inlineStr">
        <is>
          <t>KF-M07</t>
        </is>
      </c>
      <c r="F2569" s="16" t="inlineStr">
        <is>
          <t>KF-M07-A1</t>
        </is>
      </c>
      <c r="G2569" s="16" t="inlineStr">
        <is>
          <t>B11-A1</t>
        </is>
      </c>
      <c r="H2569" s="16" t="inlineStr">
        <is>
          <t>busqueda</t>
        </is>
      </c>
      <c r="I2569" s="16" t="inlineStr">
        <is>
          <t>KALINA</t>
        </is>
      </c>
      <c r="J2569" s="16" t="inlineStr">
        <is>
          <t>KALINA</t>
        </is>
      </c>
      <c r="K2569" s="16" t="b">
        <v>1</v>
      </c>
      <c r="L2569" s="16" t="b">
        <v>1</v>
      </c>
      <c r="M2569" s="16" t="b">
        <v>0</v>
      </c>
      <c r="N2569" s="16" t="b">
        <v>0</v>
      </c>
      <c r="O2569" s="16" t="n">
        <v>436.0969531091276</v>
      </c>
      <c r="P2569" s="16" t="n">
        <v>278.15</v>
      </c>
      <c r="Q2569" s="16" t="n">
        <v>4081.823024523768</v>
      </c>
      <c r="R2569" s="16" t="n">
        <v>808.3402577390962</v>
      </c>
      <c r="S2569" s="16" t="n">
        <v>0.6697489709498952</v>
      </c>
      <c r="T2569" s="16" t="n">
        <v>0.95</v>
      </c>
      <c r="U2569" s="16" t="n">
        <v>0.7460814839003644</v>
      </c>
      <c r="V2569" s="16" t="n">
        <v>0.6777311085206517</v>
      </c>
      <c r="W2569" s="16" t="n">
        <v>0.9415298192493302</v>
      </c>
      <c r="X2569" s="16" t="n">
        <v>0.8418262585071621</v>
      </c>
      <c r="Y2569" s="16" t="n">
        <v>278.15</v>
      </c>
      <c r="Z2569" s="16" t="n">
        <v>14.10128497805661</v>
      </c>
      <c r="AA2569" s="16" t="n">
        <v>101.4687570902613</v>
      </c>
      <c r="AB2569" s="16" t="n">
        <v>3273.482766784672</v>
      </c>
      <c r="AC2569" s="16" t="n">
        <v>5.049634711922558</v>
      </c>
      <c r="AD2569" s="16" t="n"/>
      <c r="AE2569" s="16" t="n"/>
    </row>
    <row r="2570">
      <c r="A2570" s="16" t="inlineStr">
        <is>
          <t>KF-M07-A1-0083</t>
        </is>
      </c>
      <c r="B2570" s="16" t="inlineStr">
        <is>
          <t>5.1</t>
        </is>
      </c>
      <c r="C2570" s="16" t="inlineStr">
        <is>
          <t>5.1a</t>
        </is>
      </c>
      <c r="D2570" s="16" t="inlineStr">
        <is>
          <t>libre, desde el mejor de 3.2</t>
        </is>
      </c>
      <c r="E2570" s="16" t="inlineStr">
        <is>
          <t>KF-M07</t>
        </is>
      </c>
      <c r="F2570" s="16" t="inlineStr">
        <is>
          <t>KF-M07-A1</t>
        </is>
      </c>
      <c r="G2570" s="16" t="inlineStr">
        <is>
          <t>B11-A1</t>
        </is>
      </c>
      <c r="H2570" s="16" t="inlineStr">
        <is>
          <t>busqueda</t>
        </is>
      </c>
      <c r="I2570" s="16" t="inlineStr">
        <is>
          <t>KALINA</t>
        </is>
      </c>
      <c r="J2570" s="16" t="inlineStr">
        <is>
          <t>KALINA</t>
        </is>
      </c>
      <c r="K2570" s="16" t="b">
        <v>1</v>
      </c>
      <c r="L2570" s="16" t="b">
        <v>1</v>
      </c>
      <c r="M2570" s="16" t="b">
        <v>0</v>
      </c>
      <c r="N2570" s="16" t="b">
        <v>0</v>
      </c>
      <c r="O2570" s="16" t="n">
        <v>436.0969531091276</v>
      </c>
      <c r="P2570" s="16" t="n">
        <v>279.0977013205448</v>
      </c>
      <c r="Q2570" s="16" t="n">
        <v>4381.823024523768</v>
      </c>
      <c r="R2570" s="16" t="n">
        <v>808.3402577390962</v>
      </c>
      <c r="S2570" s="16" t="n">
        <v>0.6697489709498952</v>
      </c>
      <c r="T2570" s="16" t="n">
        <v>0.95</v>
      </c>
      <c r="U2570" s="16" t="n">
        <v>0.7460814839003644</v>
      </c>
      <c r="V2570" s="16" t="n">
        <v>0.6777311085206517</v>
      </c>
      <c r="W2570" s="16" t="n">
        <v>0.9415298192493302</v>
      </c>
      <c r="X2570" s="16" t="n">
        <v>0.8418262585071621</v>
      </c>
      <c r="Y2570" s="16" t="n">
        <v>279.0977013205448</v>
      </c>
      <c r="Z2570" s="16" t="n">
        <v>14.53054088950701</v>
      </c>
      <c r="AA2570" s="16" t="n">
        <v>98.80162850024109</v>
      </c>
      <c r="AB2570" s="16" t="n">
        <v>3573.482766784672</v>
      </c>
      <c r="AC2570" s="16" t="n">
        <v>5.420765553332204</v>
      </c>
      <c r="AD2570" s="16" t="n"/>
      <c r="AE2570" s="16" t="n"/>
    </row>
    <row r="2571">
      <c r="A2571" s="16" t="inlineStr">
        <is>
          <t>KF-M07-A1-0084</t>
        </is>
      </c>
      <c r="B2571" s="16" t="inlineStr">
        <is>
          <t>5.1</t>
        </is>
      </c>
      <c r="C2571" s="16" t="inlineStr">
        <is>
          <t>5.1a</t>
        </is>
      </c>
      <c r="D2571" s="16" t="inlineStr">
        <is>
          <t>libre, desde el mejor de 3.2</t>
        </is>
      </c>
      <c r="E2571" s="16" t="inlineStr">
        <is>
          <t>KF-M07</t>
        </is>
      </c>
      <c r="F2571" s="16" t="inlineStr">
        <is>
          <t>KF-M07-A1</t>
        </is>
      </c>
      <c r="G2571" s="16" t="inlineStr">
        <is>
          <t>B11-A1</t>
        </is>
      </c>
      <c r="H2571" s="16" t="inlineStr">
        <is>
          <t>busqueda</t>
        </is>
      </c>
      <c r="I2571" s="16" t="inlineStr">
        <is>
          <t>KALINA</t>
        </is>
      </c>
      <c r="J2571" s="16" t="inlineStr">
        <is>
          <t>KALINA</t>
        </is>
      </c>
      <c r="K2571" s="16" t="b">
        <v>1</v>
      </c>
      <c r="L2571" s="16" t="b">
        <v>1</v>
      </c>
      <c r="M2571" s="16" t="b">
        <v>0</v>
      </c>
      <c r="N2571" s="16" t="b">
        <v>0</v>
      </c>
      <c r="O2571" s="16" t="n">
        <v>436.0969531091276</v>
      </c>
      <c r="P2571" s="16" t="n">
        <v>279.0977013205448</v>
      </c>
      <c r="Q2571" s="16" t="n">
        <v>3781.823024523768</v>
      </c>
      <c r="R2571" s="16" t="n">
        <v>808.3402577390962</v>
      </c>
      <c r="S2571" s="16" t="n">
        <v>0.6697489709498952</v>
      </c>
      <c r="T2571" s="16" t="n">
        <v>0.95</v>
      </c>
      <c r="U2571" s="16" t="n">
        <v>0.7460814839003644</v>
      </c>
      <c r="V2571" s="16" t="n">
        <v>0.6777311085206517</v>
      </c>
      <c r="W2571" s="16" t="n">
        <v>0.9415298192493302</v>
      </c>
      <c r="X2571" s="16" t="n">
        <v>0.8418262585071621</v>
      </c>
      <c r="Y2571" s="16" t="n">
        <v>279.0977013205448</v>
      </c>
      <c r="Z2571" s="16" t="n">
        <v>13.6772989134413</v>
      </c>
      <c r="AA2571" s="16" t="n">
        <v>103.8753862965861</v>
      </c>
      <c r="AB2571" s="16" t="n">
        <v>2973.482766784672</v>
      </c>
      <c r="AC2571" s="16" t="n">
        <v>4.678503870512914</v>
      </c>
      <c r="AD2571" s="16" t="n"/>
      <c r="AE2571" s="16" t="n"/>
    </row>
    <row r="2572">
      <c r="A2572" s="16" t="inlineStr">
        <is>
          <t>KF-M07-A1-0085</t>
        </is>
      </c>
      <c r="B2572" s="16" t="inlineStr">
        <is>
          <t>5.1</t>
        </is>
      </c>
      <c r="C2572" s="16" t="inlineStr">
        <is>
          <t>5.1a</t>
        </is>
      </c>
      <c r="D2572" s="16" t="inlineStr">
        <is>
          <t>libre, desde el mejor de 3.2</t>
        </is>
      </c>
      <c r="E2572" s="16" t="inlineStr">
        <is>
          <t>KF-M07</t>
        </is>
      </c>
      <c r="F2572" s="16" t="inlineStr">
        <is>
          <t>KF-M07-A1</t>
        </is>
      </c>
      <c r="G2572" s="16" t="inlineStr">
        <is>
          <t>B11-A1</t>
        </is>
      </c>
      <c r="H2572" s="16" t="inlineStr">
        <is>
          <t>busqueda</t>
        </is>
      </c>
      <c r="I2572" s="16" t="inlineStr">
        <is>
          <t>KALINA</t>
        </is>
      </c>
      <c r="J2572" s="16" t="inlineStr">
        <is>
          <t>KALINA</t>
        </is>
      </c>
      <c r="K2572" s="16" t="b">
        <v>1</v>
      </c>
      <c r="L2572" s="16" t="b">
        <v>1</v>
      </c>
      <c r="M2572" s="16" t="b">
        <v>0</v>
      </c>
      <c r="N2572" s="16" t="b">
        <v>0</v>
      </c>
      <c r="O2572" s="16" t="n">
        <v>436.0969531091276</v>
      </c>
      <c r="P2572" s="16" t="n">
        <v>279.0977013205448</v>
      </c>
      <c r="Q2572" s="16" t="n">
        <v>4081.823024523768</v>
      </c>
      <c r="R2572" s="16" t="n">
        <v>1028.340257739096</v>
      </c>
      <c r="S2572" s="16" t="n">
        <v>0.6697489709498952</v>
      </c>
      <c r="T2572" s="16" t="n">
        <v>0.95</v>
      </c>
      <c r="U2572" s="16" t="n">
        <v>0.7460814839003644</v>
      </c>
      <c r="V2572" s="16" t="n">
        <v>0.6777311085206517</v>
      </c>
      <c r="W2572" s="16" t="n">
        <v>0.9415298192493302</v>
      </c>
      <c r="X2572" s="16" t="n">
        <v>0.8418262585071621</v>
      </c>
      <c r="Y2572" s="16" t="n">
        <v>279.0977013205448</v>
      </c>
      <c r="Z2572" s="16" t="n">
        <v>12.15953422641154</v>
      </c>
      <c r="AA2572" s="16" t="n">
        <v>87.23779455317117</v>
      </c>
      <c r="AB2572" s="16" t="n">
        <v>3053.482766784672</v>
      </c>
      <c r="AC2572" s="16" t="n">
        <v>3.969331156496823</v>
      </c>
      <c r="AD2572" s="16" t="n"/>
      <c r="AE2572" s="16" t="n"/>
    </row>
    <row r="2573">
      <c r="A2573" s="16" t="inlineStr">
        <is>
          <t>KF-M07-A1-0086</t>
        </is>
      </c>
      <c r="B2573" s="16" t="inlineStr">
        <is>
          <t>5.1</t>
        </is>
      </c>
      <c r="C2573" s="16" t="inlineStr">
        <is>
          <t>5.1a</t>
        </is>
      </c>
      <c r="D2573" s="16" t="inlineStr">
        <is>
          <t>libre, desde el mejor de 3.2</t>
        </is>
      </c>
      <c r="E2573" s="16" t="inlineStr">
        <is>
          <t>KF-M07</t>
        </is>
      </c>
      <c r="F2573" s="16" t="inlineStr">
        <is>
          <t>KF-M07-A1</t>
        </is>
      </c>
      <c r="G2573" s="16" t="inlineStr">
        <is>
          <t>B11-A1</t>
        </is>
      </c>
      <c r="H2573" s="16" t="inlineStr">
        <is>
          <t>busqueda</t>
        </is>
      </c>
      <c r="I2573" s="16" t="inlineStr">
        <is>
          <t>CORREGIBLE</t>
        </is>
      </c>
      <c r="J2573" s="16" t="inlineStr">
        <is>
          <t>CORREGIBLE</t>
        </is>
      </c>
      <c r="K2573" s="16" t="b">
        <v>1</v>
      </c>
      <c r="L2573" s="16" t="b">
        <v>0</v>
      </c>
      <c r="M2573" s="16" t="b">
        <v>0</v>
      </c>
      <c r="N2573" s="16" t="b">
        <v>0</v>
      </c>
      <c r="O2573" s="16" t="n">
        <v>436.0969531091276</v>
      </c>
      <c r="P2573" s="16" t="n">
        <v>279.0977013205448</v>
      </c>
      <c r="Q2573" s="16" t="n">
        <v>4081.823024523768</v>
      </c>
      <c r="R2573" s="16" t="n">
        <v>588.3402577390962</v>
      </c>
      <c r="S2573" s="16" t="n">
        <v>0.6697489709498952</v>
      </c>
      <c r="T2573" s="16" t="n">
        <v>0.95</v>
      </c>
      <c r="U2573" s="16" t="n">
        <v>0.7460814839003644</v>
      </c>
      <c r="V2573" s="16" t="n">
        <v>0.6777311085206517</v>
      </c>
      <c r="W2573" s="16" t="n">
        <v>0.9415298192493302</v>
      </c>
      <c r="X2573" s="16" t="n">
        <v>0.8418262585071621</v>
      </c>
      <c r="Y2573" s="16" t="n">
        <v>279.0977013205448</v>
      </c>
      <c r="Z2573" s="16" t="n">
        <v>16.62823818621716</v>
      </c>
      <c r="AA2573" s="16" t="n">
        <v>119.5700378956093</v>
      </c>
      <c r="AB2573" s="16" t="n">
        <v>3493.482766784672</v>
      </c>
      <c r="AC2573" s="16" t="n">
        <v>6.937861162534763</v>
      </c>
      <c r="AD2573" s="16" t="inlineStr">
        <is>
          <t>O2</t>
        </is>
      </c>
      <c r="AE2573" s="16" t="n"/>
    </row>
    <row r="2574">
      <c r="A2574" s="16" t="inlineStr">
        <is>
          <t>KF-M07-A1-0087</t>
        </is>
      </c>
      <c r="B2574" s="16" t="inlineStr">
        <is>
          <t>5.1</t>
        </is>
      </c>
      <c r="C2574" s="16" t="inlineStr">
        <is>
          <t>5.1a</t>
        </is>
      </c>
      <c r="D2574" s="16" t="inlineStr">
        <is>
          <t>libre, desde el mejor de 3.2</t>
        </is>
      </c>
      <c r="E2574" s="16" t="inlineStr">
        <is>
          <t>KF-M07</t>
        </is>
      </c>
      <c r="F2574" s="16" t="inlineStr">
        <is>
          <t>KF-M07-A1</t>
        </is>
      </c>
      <c r="G2574" s="16" t="inlineStr">
        <is>
          <t>B11-A1</t>
        </is>
      </c>
      <c r="H2574" s="16" t="inlineStr">
        <is>
          <t>busqueda</t>
        </is>
      </c>
      <c r="I2574" s="16" t="inlineStr">
        <is>
          <t>CORREGIBLE</t>
        </is>
      </c>
      <c r="J2574" s="16" t="inlineStr">
        <is>
          <t>CORREGIBLE</t>
        </is>
      </c>
      <c r="K2574" s="16" t="b">
        <v>1</v>
      </c>
      <c r="L2574" s="16" t="b">
        <v>0</v>
      </c>
      <c r="M2574" s="16" t="b">
        <v>0</v>
      </c>
      <c r="N2574" s="16" t="b">
        <v>0</v>
      </c>
      <c r="O2574" s="16" t="n">
        <v>436.0969531091276</v>
      </c>
      <c r="P2574" s="16" t="n">
        <v>279.0977013205448</v>
      </c>
      <c r="Q2574" s="16" t="n">
        <v>4081.823024523768</v>
      </c>
      <c r="R2574" s="16" t="n">
        <v>808.3402577390962</v>
      </c>
      <c r="S2574" s="16" t="n">
        <v>0.7047489709498951</v>
      </c>
      <c r="T2574" s="16" t="n">
        <v>0.95</v>
      </c>
      <c r="U2574" s="16" t="n">
        <v>0.7460814839003644</v>
      </c>
      <c r="V2574" s="16" t="n">
        <v>0.6777311085206517</v>
      </c>
      <c r="W2574" s="16" t="n">
        <v>0.9415298192493302</v>
      </c>
      <c r="X2574" s="16" t="n">
        <v>0.8418262585071621</v>
      </c>
      <c r="Y2574" s="16" t="n">
        <v>279.0977013205448</v>
      </c>
      <c r="Z2574" s="16" t="n">
        <v>14.56085130194191</v>
      </c>
      <c r="AA2574" s="16" t="n">
        <v>113.4404723678731</v>
      </c>
      <c r="AB2574" s="16" t="n">
        <v>3273.482766784672</v>
      </c>
      <c r="AC2574" s="16" t="n">
        <v>5.049634711922558</v>
      </c>
      <c r="AD2574" s="16" t="inlineStr">
        <is>
          <t>O2</t>
        </is>
      </c>
      <c r="AE2574" s="16" t="n"/>
    </row>
    <row r="2575">
      <c r="A2575" s="16" t="inlineStr">
        <is>
          <t>KF-M07-A1-0088</t>
        </is>
      </c>
      <c r="B2575" s="16" t="inlineStr">
        <is>
          <t>5.1</t>
        </is>
      </c>
      <c r="C2575" s="16" t="inlineStr">
        <is>
          <t>5.1a</t>
        </is>
      </c>
      <c r="D2575" s="16" t="inlineStr">
        <is>
          <t>libre, desde el mejor de 3.2</t>
        </is>
      </c>
      <c r="E2575" s="16" t="inlineStr">
        <is>
          <t>KF-M07</t>
        </is>
      </c>
      <c r="F2575" s="16" t="inlineStr">
        <is>
          <t>KF-M07-A1</t>
        </is>
      </c>
      <c r="G2575" s="16" t="inlineStr">
        <is>
          <t>B11-A1</t>
        </is>
      </c>
      <c r="H2575" s="16" t="inlineStr">
        <is>
          <t>busqueda</t>
        </is>
      </c>
      <c r="I2575" s="16" t="inlineStr">
        <is>
          <t>KALINA</t>
        </is>
      </c>
      <c r="J2575" s="16" t="inlineStr">
        <is>
          <t>KALINA</t>
        </is>
      </c>
      <c r="K2575" s="16" t="b">
        <v>1</v>
      </c>
      <c r="L2575" s="16" t="b">
        <v>1</v>
      </c>
      <c r="M2575" s="16" t="b">
        <v>0</v>
      </c>
      <c r="N2575" s="16" t="b">
        <v>0</v>
      </c>
      <c r="O2575" s="16" t="n">
        <v>436.0969531091276</v>
      </c>
      <c r="P2575" s="16" t="n">
        <v>279.0977013205448</v>
      </c>
      <c r="Q2575" s="16" t="n">
        <v>4081.823024523768</v>
      </c>
      <c r="R2575" s="16" t="n">
        <v>808.3402577390962</v>
      </c>
      <c r="S2575" s="16" t="n">
        <v>0.6347489709498951</v>
      </c>
      <c r="T2575" s="16" t="n">
        <v>0.95</v>
      </c>
      <c r="U2575" s="16" t="n">
        <v>0.7460814839003644</v>
      </c>
      <c r="V2575" s="16" t="n">
        <v>0.6777311085206517</v>
      </c>
      <c r="W2575" s="16" t="n">
        <v>0.9415298192493302</v>
      </c>
      <c r="X2575" s="16" t="n">
        <v>0.8418262585071621</v>
      </c>
      <c r="Y2575" s="16" t="n">
        <v>279.0977013205448</v>
      </c>
      <c r="Z2575" s="16" t="n">
        <v>13.68794628036867</v>
      </c>
      <c r="AA2575" s="16" t="n">
        <v>89.65125791625248</v>
      </c>
      <c r="AB2575" s="16" t="n">
        <v>3273.482766784672</v>
      </c>
      <c r="AC2575" s="16" t="n">
        <v>5.049634711922558</v>
      </c>
      <c r="AD2575" s="16" t="n"/>
      <c r="AE2575" s="16" t="n"/>
    </row>
    <row r="2576">
      <c r="A2576" s="16" t="inlineStr">
        <is>
          <t>KF-M07-A1-0089</t>
        </is>
      </c>
      <c r="B2576" s="16" t="inlineStr">
        <is>
          <t>5.1</t>
        </is>
      </c>
      <c r="C2576" s="16" t="inlineStr">
        <is>
          <t>5.1a</t>
        </is>
      </c>
      <c r="D2576" s="16" t="inlineStr">
        <is>
          <t>libre, desde el mejor de 3.2</t>
        </is>
      </c>
      <c r="E2576" s="16" t="inlineStr">
        <is>
          <t>KF-M07</t>
        </is>
      </c>
      <c r="F2576" s="16" t="inlineStr">
        <is>
          <t>KF-M07-A1</t>
        </is>
      </c>
      <c r="G2576" s="16" t="inlineStr">
        <is>
          <t>B11-A1</t>
        </is>
      </c>
      <c r="H2576" s="16" t="inlineStr">
        <is>
          <t>busqueda</t>
        </is>
      </c>
      <c r="I2576" s="16" t="inlineStr">
        <is>
          <t>KALINA</t>
        </is>
      </c>
      <c r="J2576" s="16" t="inlineStr">
        <is>
          <t>KALINA</t>
        </is>
      </c>
      <c r="K2576" s="16" t="b">
        <v>1</v>
      </c>
      <c r="L2576" s="16" t="b">
        <v>1</v>
      </c>
      <c r="M2576" s="16" t="b">
        <v>0</v>
      </c>
      <c r="N2576" s="16" t="b">
        <v>0</v>
      </c>
      <c r="O2576" s="16" t="n">
        <v>436.0969531091276</v>
      </c>
      <c r="P2576" s="16" t="n">
        <v>279.0977013205448</v>
      </c>
      <c r="Q2576" s="16" t="n">
        <v>4081.823024523768</v>
      </c>
      <c r="R2576" s="16" t="n">
        <v>808.3402577390962</v>
      </c>
      <c r="S2576" s="16" t="n">
        <v>0.6697489709498952</v>
      </c>
      <c r="T2576" s="16" t="n">
        <v>0.895</v>
      </c>
      <c r="U2576" s="16" t="n">
        <v>0.7460814839003644</v>
      </c>
      <c r="V2576" s="16" t="n">
        <v>0.6777311085206517</v>
      </c>
      <c r="W2576" s="16" t="n">
        <v>0.9415298192493302</v>
      </c>
      <c r="X2576" s="16" t="n">
        <v>0.8418262585071621</v>
      </c>
      <c r="Y2576" s="16" t="n">
        <v>279.0977013205448</v>
      </c>
      <c r="Z2576" s="16" t="n">
        <v>13.28573013684065</v>
      </c>
      <c r="AA2576" s="16" t="n">
        <v>95.37132943337072</v>
      </c>
      <c r="AB2576" s="16" t="n">
        <v>3273.482766784672</v>
      </c>
      <c r="AC2576" s="16" t="n">
        <v>5.049634711922558</v>
      </c>
      <c r="AD2576" s="16" t="n"/>
      <c r="AE2576" s="16" t="n"/>
    </row>
    <row r="2577">
      <c r="A2577" s="16" t="inlineStr">
        <is>
          <t>KF-M07-A1-0090</t>
        </is>
      </c>
      <c r="B2577" s="16" t="inlineStr">
        <is>
          <t>5.1</t>
        </is>
      </c>
      <c r="C2577" s="16" t="inlineStr">
        <is>
          <t>5.1a</t>
        </is>
      </c>
      <c r="D2577" s="16" t="inlineStr">
        <is>
          <t>libre, desde el mejor de 3.2</t>
        </is>
      </c>
      <c r="E2577" s="16" t="inlineStr">
        <is>
          <t>KF-M07</t>
        </is>
      </c>
      <c r="F2577" s="16" t="inlineStr">
        <is>
          <t>KF-M07-A1</t>
        </is>
      </c>
      <c r="G2577" s="16" t="inlineStr">
        <is>
          <t>B11-A1</t>
        </is>
      </c>
      <c r="H2577" s="16" t="inlineStr">
        <is>
          <t>busqueda</t>
        </is>
      </c>
      <c r="I2577" s="16" t="inlineStr">
        <is>
          <t>KALINA</t>
        </is>
      </c>
      <c r="J2577" s="16" t="inlineStr">
        <is>
          <t>KALINA</t>
        </is>
      </c>
      <c r="K2577" s="16" t="b">
        <v>1</v>
      </c>
      <c r="L2577" s="16" t="b">
        <v>1</v>
      </c>
      <c r="M2577" s="16" t="b">
        <v>0</v>
      </c>
      <c r="N2577" s="16" t="b">
        <v>0</v>
      </c>
      <c r="O2577" s="16" t="n">
        <v>436.0969531091276</v>
      </c>
      <c r="P2577" s="16" t="n">
        <v>279.0977013205448</v>
      </c>
      <c r="Q2577" s="16" t="n">
        <v>4081.823024523768</v>
      </c>
      <c r="R2577" s="16" t="n">
        <v>808.3402577390962</v>
      </c>
      <c r="S2577" s="16" t="n">
        <v>0.6697489709498952</v>
      </c>
      <c r="T2577" s="16" t="n">
        <v>0.95</v>
      </c>
      <c r="U2577" s="16" t="n">
        <v>0.8010814839003644</v>
      </c>
      <c r="V2577" s="16" t="n">
        <v>0.6777311085206517</v>
      </c>
      <c r="W2577" s="16" t="n">
        <v>0.9415298192493302</v>
      </c>
      <c r="X2577" s="16" t="n">
        <v>0.8418262585071621</v>
      </c>
      <c r="Y2577" s="16" t="n">
        <v>279.0977013205448</v>
      </c>
      <c r="Z2577" s="16" t="n">
        <v>14.19317411018851</v>
      </c>
      <c r="AA2577" s="16" t="n">
        <v>101.9572130862894</v>
      </c>
      <c r="AB2577" s="16" t="n">
        <v>3273.482766784672</v>
      </c>
      <c r="AC2577" s="16" t="n">
        <v>5.049634711922558</v>
      </c>
      <c r="AD2577" s="16" t="n"/>
      <c r="AE2577" s="16" t="n"/>
    </row>
    <row r="2578">
      <c r="A2578" s="16" t="inlineStr">
        <is>
          <t>KF-M07-A1-0091</t>
        </is>
      </c>
      <c r="B2578" s="16" t="inlineStr">
        <is>
          <t>5.1</t>
        </is>
      </c>
      <c r="C2578" s="16" t="inlineStr">
        <is>
          <t>5.1a</t>
        </is>
      </c>
      <c r="D2578" s="16" t="inlineStr">
        <is>
          <t>libre, desde el mejor de 3.2</t>
        </is>
      </c>
      <c r="E2578" s="16" t="inlineStr">
        <is>
          <t>KF-M07</t>
        </is>
      </c>
      <c r="F2578" s="16" t="inlineStr">
        <is>
          <t>KF-M07-A1</t>
        </is>
      </c>
      <c r="G2578" s="16" t="inlineStr">
        <is>
          <t>B11-A1</t>
        </is>
      </c>
      <c r="H2578" s="16" t="inlineStr">
        <is>
          <t>busqueda</t>
        </is>
      </c>
      <c r="I2578" s="16" t="inlineStr">
        <is>
          <t>KALINA</t>
        </is>
      </c>
      <c r="J2578" s="16" t="inlineStr">
        <is>
          <t>KALINA</t>
        </is>
      </c>
      <c r="K2578" s="16" t="b">
        <v>1</v>
      </c>
      <c r="L2578" s="16" t="b">
        <v>1</v>
      </c>
      <c r="M2578" s="16" t="b">
        <v>0</v>
      </c>
      <c r="N2578" s="16" t="b">
        <v>0</v>
      </c>
      <c r="O2578" s="16" t="n">
        <v>436.0969531091276</v>
      </c>
      <c r="P2578" s="16" t="n">
        <v>279.0977013205448</v>
      </c>
      <c r="Q2578" s="16" t="n">
        <v>4081.823024523768</v>
      </c>
      <c r="R2578" s="16" t="n">
        <v>808.3402577390962</v>
      </c>
      <c r="S2578" s="16" t="n">
        <v>0.6697489709498952</v>
      </c>
      <c r="T2578" s="16" t="n">
        <v>0.95</v>
      </c>
      <c r="U2578" s="16" t="n">
        <v>0.6910814839003644</v>
      </c>
      <c r="V2578" s="16" t="n">
        <v>0.6777311085206517</v>
      </c>
      <c r="W2578" s="16" t="n">
        <v>0.9415298192493302</v>
      </c>
      <c r="X2578" s="16" t="n">
        <v>0.8418262585071621</v>
      </c>
      <c r="Y2578" s="16" t="n">
        <v>279.0977013205448</v>
      </c>
      <c r="Z2578" s="16" t="n">
        <v>14.08191165925149</v>
      </c>
      <c r="AA2578" s="16" t="n">
        <v>101.1133748968718</v>
      </c>
      <c r="AB2578" s="16" t="n">
        <v>3273.482766784672</v>
      </c>
      <c r="AC2578" s="16" t="n">
        <v>5.049634711922558</v>
      </c>
      <c r="AD2578" s="16" t="n"/>
      <c r="AE2578" s="16" t="n"/>
    </row>
    <row r="2579">
      <c r="A2579" s="16" t="inlineStr">
        <is>
          <t>KF-M07-A1-0092</t>
        </is>
      </c>
      <c r="B2579" s="16" t="inlineStr">
        <is>
          <t>5.1</t>
        </is>
      </c>
      <c r="C2579" s="16" t="inlineStr">
        <is>
          <t>5.1a</t>
        </is>
      </c>
      <c r="D2579" s="16" t="inlineStr">
        <is>
          <t>libre, desde el mejor de 3.2</t>
        </is>
      </c>
      <c r="E2579" s="16" t="inlineStr">
        <is>
          <t>KF-M07</t>
        </is>
      </c>
      <c r="F2579" s="16" t="inlineStr">
        <is>
          <t>KF-M07-A1</t>
        </is>
      </c>
      <c r="G2579" s="16" t="inlineStr">
        <is>
          <t>B11-A1</t>
        </is>
      </c>
      <c r="H2579" s="16" t="inlineStr">
        <is>
          <t>busqueda</t>
        </is>
      </c>
      <c r="I2579" s="16" t="inlineStr">
        <is>
          <t>KALINA</t>
        </is>
      </c>
      <c r="J2579" s="16" t="inlineStr">
        <is>
          <t>KALINA</t>
        </is>
      </c>
      <c r="K2579" s="16" t="b">
        <v>1</v>
      </c>
      <c r="L2579" s="16" t="b">
        <v>1</v>
      </c>
      <c r="M2579" s="16" t="b">
        <v>0</v>
      </c>
      <c r="N2579" s="16" t="b">
        <v>0</v>
      </c>
      <c r="O2579" s="16" t="n">
        <v>436.0969531091276</v>
      </c>
      <c r="P2579" s="16" t="n">
        <v>279.0977013205448</v>
      </c>
      <c r="Q2579" s="16" t="n">
        <v>4081.823024523768</v>
      </c>
      <c r="R2579" s="16" t="n">
        <v>808.3402577390962</v>
      </c>
      <c r="S2579" s="16" t="n">
        <v>0.6697489709498952</v>
      </c>
      <c r="T2579" s="16" t="n">
        <v>0.95</v>
      </c>
      <c r="U2579" s="16" t="n">
        <v>0.7460814839003644</v>
      </c>
      <c r="V2579" s="16" t="n">
        <v>0.7327311085206516</v>
      </c>
      <c r="W2579" s="16" t="n">
        <v>0.9415298192493302</v>
      </c>
      <c r="X2579" s="16" t="n">
        <v>0.8418262585071621</v>
      </c>
      <c r="Y2579" s="16" t="n">
        <v>279.0977013205448</v>
      </c>
      <c r="Z2579" s="16" t="n">
        <v>14.26281378725739</v>
      </c>
      <c r="AA2579" s="16" t="n">
        <v>110.9042907194865</v>
      </c>
      <c r="AB2579" s="16" t="n">
        <v>3273.482766784672</v>
      </c>
      <c r="AC2579" s="16" t="n">
        <v>5.049634711922558</v>
      </c>
      <c r="AD2579" s="16" t="n"/>
      <c r="AE2579" s="16" t="n"/>
    </row>
    <row r="2580">
      <c r="A2580" s="16" t="inlineStr">
        <is>
          <t>KF-M07-A1-0093</t>
        </is>
      </c>
      <c r="B2580" s="16" t="inlineStr">
        <is>
          <t>5.1</t>
        </is>
      </c>
      <c r="C2580" s="16" t="inlineStr">
        <is>
          <t>5.1a</t>
        </is>
      </c>
      <c r="D2580" s="16" t="inlineStr">
        <is>
          <t>libre, desde el mejor de 3.2</t>
        </is>
      </c>
      <c r="E2580" s="16" t="inlineStr">
        <is>
          <t>KF-M07</t>
        </is>
      </c>
      <c r="F2580" s="16" t="inlineStr">
        <is>
          <t>KF-M07-A1</t>
        </is>
      </c>
      <c r="G2580" s="16" t="inlineStr">
        <is>
          <t>B11-A1</t>
        </is>
      </c>
      <c r="H2580" s="16" t="inlineStr">
        <is>
          <t>busqueda</t>
        </is>
      </c>
      <c r="I2580" s="16" t="inlineStr">
        <is>
          <t>KALINA</t>
        </is>
      </c>
      <c r="J2580" s="16" t="inlineStr">
        <is>
          <t>KALINA</t>
        </is>
      </c>
      <c r="K2580" s="16" t="b">
        <v>1</v>
      </c>
      <c r="L2580" s="16" t="b">
        <v>1</v>
      </c>
      <c r="M2580" s="16" t="b">
        <v>0</v>
      </c>
      <c r="N2580" s="16" t="b">
        <v>0</v>
      </c>
      <c r="O2580" s="16" t="n">
        <v>436.0969531091276</v>
      </c>
      <c r="P2580" s="16" t="n">
        <v>279.0977013205448</v>
      </c>
      <c r="Q2580" s="16" t="n">
        <v>4081.823024523768</v>
      </c>
      <c r="R2580" s="16" t="n">
        <v>808.3402577390962</v>
      </c>
      <c r="S2580" s="16" t="n">
        <v>0.6697489709498952</v>
      </c>
      <c r="T2580" s="16" t="n">
        <v>0.95</v>
      </c>
      <c r="U2580" s="16" t="n">
        <v>0.7460814839003644</v>
      </c>
      <c r="V2580" s="16" t="n">
        <v>0.6227311085206517</v>
      </c>
      <c r="W2580" s="16" t="n">
        <v>0.9415298192493302</v>
      </c>
      <c r="X2580" s="16" t="n">
        <v>0.8418262585071621</v>
      </c>
      <c r="Y2580" s="16" t="n">
        <v>279.0977013205448</v>
      </c>
      <c r="Z2580" s="16" t="n">
        <v>13.98198341276855</v>
      </c>
      <c r="AA2580" s="16" t="n">
        <v>92.14888764688706</v>
      </c>
      <c r="AB2580" s="16" t="n">
        <v>3273.482766784672</v>
      </c>
      <c r="AC2580" s="16" t="n">
        <v>5.049634711922558</v>
      </c>
      <c r="AD2580" s="16" t="n"/>
      <c r="AE2580" s="16" t="n"/>
    </row>
    <row r="2581">
      <c r="A2581" s="16" t="inlineStr">
        <is>
          <t>KF-M07-A1-0094</t>
        </is>
      </c>
      <c r="B2581" s="16" t="inlineStr">
        <is>
          <t>5.1</t>
        </is>
      </c>
      <c r="C2581" s="16" t="inlineStr">
        <is>
          <t>5.1a</t>
        </is>
      </c>
      <c r="D2581" s="16" t="inlineStr">
        <is>
          <t>libre, desde el mejor de 3.2</t>
        </is>
      </c>
      <c r="E2581" s="16" t="inlineStr">
        <is>
          <t>KF-M07</t>
        </is>
      </c>
      <c r="F2581" s="16" t="inlineStr">
        <is>
          <t>KF-M07-A1</t>
        </is>
      </c>
      <c r="G2581" s="16" t="inlineStr">
        <is>
          <t>B11-A1</t>
        </is>
      </c>
      <c r="H2581" s="16" t="inlineStr">
        <is>
          <t>busqueda</t>
        </is>
      </c>
      <c r="I2581" s="16" t="inlineStr">
        <is>
          <t>KALINA</t>
        </is>
      </c>
      <c r="J2581" s="16" t="inlineStr">
        <is>
          <t>KALINA</t>
        </is>
      </c>
      <c r="K2581" s="16" t="b">
        <v>1</v>
      </c>
      <c r="L2581" s="16" t="b">
        <v>1</v>
      </c>
      <c r="M2581" s="16" t="b">
        <v>0</v>
      </c>
      <c r="N2581" s="16" t="b">
        <v>0</v>
      </c>
      <c r="O2581" s="16" t="n">
        <v>436.0969531091276</v>
      </c>
      <c r="P2581" s="16" t="n">
        <v>279.0977013205448</v>
      </c>
      <c r="Q2581" s="16" t="n">
        <v>4081.823024523768</v>
      </c>
      <c r="R2581" s="16" t="n">
        <v>808.3402577390962</v>
      </c>
      <c r="S2581" s="16" t="n">
        <v>0.6697489709498952</v>
      </c>
      <c r="T2581" s="16" t="n">
        <v>0.95</v>
      </c>
      <c r="U2581" s="16" t="n">
        <v>0.7460814839003644</v>
      </c>
      <c r="V2581" s="16" t="n">
        <v>0.6777311085206517</v>
      </c>
      <c r="W2581" s="16" t="n">
        <v>0.95</v>
      </c>
      <c r="X2581" s="16" t="n">
        <v>0.8418262585071621</v>
      </c>
      <c r="Y2581" s="16" t="n">
        <v>279.0977013205448</v>
      </c>
      <c r="Z2581" s="16" t="n">
        <v>14.18786987958668</v>
      </c>
      <c r="AA2581" s="16" t="n">
        <v>101.6837774051044</v>
      </c>
      <c r="AB2581" s="16" t="n">
        <v>3273.482766784672</v>
      </c>
      <c r="AC2581" s="16" t="n">
        <v>5.049634711922558</v>
      </c>
      <c r="AD2581" s="16" t="n"/>
      <c r="AE2581" s="16" t="n"/>
    </row>
    <row r="2582">
      <c r="A2582" s="16" t="inlineStr">
        <is>
          <t>KF-M07-A1-0095</t>
        </is>
      </c>
      <c r="B2582" s="16" t="inlineStr">
        <is>
          <t>5.1</t>
        </is>
      </c>
      <c r="C2582" s="16" t="inlineStr">
        <is>
          <t>5.1a</t>
        </is>
      </c>
      <c r="D2582" s="16" t="inlineStr">
        <is>
          <t>libre, desde el mejor de 3.2</t>
        </is>
      </c>
      <c r="E2582" s="16" t="inlineStr">
        <is>
          <t>KF-M07</t>
        </is>
      </c>
      <c r="F2582" s="16" t="inlineStr">
        <is>
          <t>KF-M07-A1</t>
        </is>
      </c>
      <c r="G2582" s="16" t="inlineStr">
        <is>
          <t>B11-A1</t>
        </is>
      </c>
      <c r="H2582" s="16" t="inlineStr">
        <is>
          <t>busqueda</t>
        </is>
      </c>
      <c r="I2582" s="16" t="inlineStr">
        <is>
          <t>KALINA</t>
        </is>
      </c>
      <c r="J2582" s="16" t="inlineStr">
        <is>
          <t>KALINA</t>
        </is>
      </c>
      <c r="K2582" s="16" t="b">
        <v>1</v>
      </c>
      <c r="L2582" s="16" t="b">
        <v>1</v>
      </c>
      <c r="M2582" s="16" t="b">
        <v>0</v>
      </c>
      <c r="N2582" s="16" t="b">
        <v>0</v>
      </c>
      <c r="O2582" s="16" t="n">
        <v>436.0969531091276</v>
      </c>
      <c r="P2582" s="16" t="n">
        <v>279.0977013205448</v>
      </c>
      <c r="Q2582" s="16" t="n">
        <v>4081.823024523768</v>
      </c>
      <c r="R2582" s="16" t="n">
        <v>808.3402577390962</v>
      </c>
      <c r="S2582" s="16" t="n">
        <v>0.6697489709498952</v>
      </c>
      <c r="T2582" s="16" t="n">
        <v>0.95</v>
      </c>
      <c r="U2582" s="16" t="n">
        <v>0.7460814839003644</v>
      </c>
      <c r="V2582" s="16" t="n">
        <v>0.6777311085206517</v>
      </c>
      <c r="W2582" s="16" t="n">
        <v>0.8865298192493303</v>
      </c>
      <c r="X2582" s="16" t="n">
        <v>0.8418262585071621</v>
      </c>
      <c r="Y2582" s="16" t="n">
        <v>279.0977013205448</v>
      </c>
      <c r="Z2582" s="16" t="n">
        <v>13.8466764953979</v>
      </c>
      <c r="AA2582" s="16" t="n">
        <v>100.8051236649019</v>
      </c>
      <c r="AB2582" s="16" t="n">
        <v>3273.482766784672</v>
      </c>
      <c r="AC2582" s="16" t="n">
        <v>5.049634711922558</v>
      </c>
      <c r="AD2582" s="16" t="n"/>
      <c r="AE2582" s="16" t="n"/>
    </row>
    <row r="2583">
      <c r="A2583" s="16" t="inlineStr">
        <is>
          <t>KF-M07-A1-0096</t>
        </is>
      </c>
      <c r="B2583" s="16" t="inlineStr">
        <is>
          <t>5.1</t>
        </is>
      </c>
      <c r="C2583" s="16" t="inlineStr">
        <is>
          <t>5.1a</t>
        </is>
      </c>
      <c r="D2583" s="16" t="inlineStr">
        <is>
          <t>libre, desde el mejor de 3.2</t>
        </is>
      </c>
      <c r="E2583" s="16" t="inlineStr">
        <is>
          <t>KF-M07</t>
        </is>
      </c>
      <c r="F2583" s="16" t="inlineStr">
        <is>
          <t>KF-M07-A1</t>
        </is>
      </c>
      <c r="G2583" s="16" t="inlineStr">
        <is>
          <t>B11-A1</t>
        </is>
      </c>
      <c r="H2583" s="16" t="inlineStr">
        <is>
          <t>busqueda</t>
        </is>
      </c>
      <c r="I2583" s="16" t="inlineStr">
        <is>
          <t>KALINA</t>
        </is>
      </c>
      <c r="J2583" s="16" t="inlineStr">
        <is>
          <t>KALINA</t>
        </is>
      </c>
      <c r="K2583" s="16" t="b">
        <v>1</v>
      </c>
      <c r="L2583" s="16" t="b">
        <v>1</v>
      </c>
      <c r="M2583" s="16" t="b">
        <v>0</v>
      </c>
      <c r="N2583" s="16" t="b">
        <v>0</v>
      </c>
      <c r="O2583" s="16" t="n">
        <v>436.0969531091276</v>
      </c>
      <c r="P2583" s="16" t="n">
        <v>279.0977013205448</v>
      </c>
      <c r="Q2583" s="16" t="n">
        <v>4081.823024523768</v>
      </c>
      <c r="R2583" s="16" t="n">
        <v>808.3402577390962</v>
      </c>
      <c r="S2583" s="16" t="n">
        <v>0.6697489709498952</v>
      </c>
      <c r="T2583" s="16" t="n">
        <v>0.95</v>
      </c>
      <c r="U2583" s="16" t="n">
        <v>0.7460814839003644</v>
      </c>
      <c r="V2583" s="16" t="n">
        <v>0.6777311085206517</v>
      </c>
      <c r="W2583" s="16" t="n">
        <v>0.9415298192493302</v>
      </c>
      <c r="X2583" s="16" t="n">
        <v>0.896826258507162</v>
      </c>
      <c r="Y2583" s="16" t="n">
        <v>279.0977013205448</v>
      </c>
      <c r="Z2583" s="16" t="n">
        <v>13.73220227345188</v>
      </c>
      <c r="AA2583" s="16" t="n">
        <v>100.5574309644446</v>
      </c>
      <c r="AB2583" s="16" t="n">
        <v>3273.482766784672</v>
      </c>
      <c r="AC2583" s="16" t="n">
        <v>5.049634711922558</v>
      </c>
      <c r="AD2583" s="16" t="n"/>
      <c r="AE2583" s="16" t="n"/>
    </row>
    <row r="2584">
      <c r="A2584" s="16" t="inlineStr">
        <is>
          <t>KF-M07-A1-0097</t>
        </is>
      </c>
      <c r="B2584" s="16" t="inlineStr">
        <is>
          <t>5.1</t>
        </is>
      </c>
      <c r="C2584" s="16" t="inlineStr">
        <is>
          <t>5.1a</t>
        </is>
      </c>
      <c r="D2584" s="16" t="inlineStr">
        <is>
          <t>libre, desde el mejor de 3.2</t>
        </is>
      </c>
      <c r="E2584" s="16" t="inlineStr">
        <is>
          <t>KF-M07</t>
        </is>
      </c>
      <c r="F2584" s="16" t="inlineStr">
        <is>
          <t>KF-M07-A1</t>
        </is>
      </c>
      <c r="G2584" s="16" t="inlineStr">
        <is>
          <t>B11-A1</t>
        </is>
      </c>
      <c r="H2584" s="16" t="inlineStr">
        <is>
          <t>busqueda</t>
        </is>
      </c>
      <c r="I2584" s="16" t="inlineStr">
        <is>
          <t>CORREGIBLE</t>
        </is>
      </c>
      <c r="J2584" s="16" t="inlineStr">
        <is>
          <t>CORREGIBLE</t>
        </is>
      </c>
      <c r="K2584" s="16" t="b">
        <v>1</v>
      </c>
      <c r="L2584" s="16" t="b">
        <v>0</v>
      </c>
      <c r="M2584" s="16" t="b">
        <v>0</v>
      </c>
      <c r="N2584" s="16" t="b">
        <v>0</v>
      </c>
      <c r="O2584" s="16" t="n">
        <v>436.0969531091276</v>
      </c>
      <c r="P2584" s="16" t="n">
        <v>279.0977013205448</v>
      </c>
      <c r="Q2584" s="16" t="n">
        <v>4081.823024523768</v>
      </c>
      <c r="R2584" s="16" t="n">
        <v>808.3402577390962</v>
      </c>
      <c r="S2584" s="16" t="n">
        <v>0.6697489709498952</v>
      </c>
      <c r="T2584" s="16" t="n">
        <v>0.95</v>
      </c>
      <c r="U2584" s="16" t="n">
        <v>0.7460814839003644</v>
      </c>
      <c r="V2584" s="16" t="n">
        <v>0.6777311085206517</v>
      </c>
      <c r="W2584" s="16" t="n">
        <v>0.9415298192493302</v>
      </c>
      <c r="X2584" s="16" t="n">
        <v>0.7868262585071621</v>
      </c>
      <c r="Y2584" s="16" t="n">
        <v>279.0977013205448</v>
      </c>
      <c r="Z2584" s="16" t="n">
        <v>14.56465090437648</v>
      </c>
      <c r="AA2584" s="16" t="n">
        <v>102.3372042923148</v>
      </c>
      <c r="AB2584" s="16" t="n">
        <v>3273.482766784672</v>
      </c>
      <c r="AC2584" s="16" t="n">
        <v>5.049634711922558</v>
      </c>
      <c r="AD2584" s="16" t="inlineStr">
        <is>
          <t>O2</t>
        </is>
      </c>
      <c r="AE2584" s="16" t="n"/>
    </row>
    <row r="2585">
      <c r="A2585" s="16" t="inlineStr">
        <is>
          <t>KF-M07-A1-0098</t>
        </is>
      </c>
      <c r="B2585" s="16" t="inlineStr">
        <is>
          <t>5.1</t>
        </is>
      </c>
      <c r="C2585" s="16" t="inlineStr">
        <is>
          <t>5.1a</t>
        </is>
      </c>
      <c r="D2585" s="16" t="inlineStr">
        <is>
          <t>libre, desde el mejor de 3.2</t>
        </is>
      </c>
      <c r="E2585" s="16" t="inlineStr">
        <is>
          <t>KF-M07</t>
        </is>
      </c>
      <c r="F2585" s="16" t="inlineStr">
        <is>
          <t>KF-M07-A1</t>
        </is>
      </c>
      <c r="G2585" s="16" t="inlineStr">
        <is>
          <t>B11-A1</t>
        </is>
      </c>
      <c r="H2585" s="16" t="inlineStr">
        <is>
          <t>busqueda</t>
        </is>
      </c>
      <c r="I2585" s="16" t="inlineStr">
        <is>
          <t>KALINA</t>
        </is>
      </c>
      <c r="J2585" s="16" t="inlineStr">
        <is>
          <t>KALINA</t>
        </is>
      </c>
      <c r="K2585" s="16" t="b">
        <v>1</v>
      </c>
      <c r="L2585" s="16" t="b">
        <v>0</v>
      </c>
      <c r="M2585" s="16" t="b">
        <v>1</v>
      </c>
      <c r="N2585" s="16" t="b">
        <v>0</v>
      </c>
      <c r="O2585" s="16" t="n">
        <v>448.0969531091276</v>
      </c>
      <c r="P2585" s="16" t="n">
        <v>279.0977013205448</v>
      </c>
      <c r="Q2585" s="16" t="n">
        <v>4381.823024523768</v>
      </c>
      <c r="R2585" s="16" t="n">
        <v>808.3402577390962</v>
      </c>
      <c r="S2585" s="16" t="n">
        <v>0.6697489709498952</v>
      </c>
      <c r="T2585" s="16" t="n">
        <v>0.95</v>
      </c>
      <c r="U2585" s="16" t="n">
        <v>0.7460814839003644</v>
      </c>
      <c r="V2585" s="16" t="n">
        <v>0.6777311085206517</v>
      </c>
      <c r="W2585" s="16" t="n">
        <v>0.9415298192493302</v>
      </c>
      <c r="X2585" s="16" t="n">
        <v>0.8418262585071621</v>
      </c>
      <c r="Y2585" s="16" t="n">
        <v>279.0977013205448</v>
      </c>
      <c r="Z2585" s="16" t="n">
        <v>14.83744144512735</v>
      </c>
      <c r="AA2585" s="16" t="n">
        <v>121.9172359410215</v>
      </c>
      <c r="AB2585" s="16" t="n">
        <v>3573.482766784672</v>
      </c>
      <c r="AC2585" s="16" t="n">
        <v>5.420765553332204</v>
      </c>
      <c r="AD2585" s="16" t="n"/>
      <c r="AE2585" s="16" t="n"/>
    </row>
    <row r="2586">
      <c r="A2586" s="16" t="inlineStr">
        <is>
          <t>KF-M07-A1-0099</t>
        </is>
      </c>
      <c r="B2586" s="16" t="inlineStr">
        <is>
          <t>5.1</t>
        </is>
      </c>
      <c r="C2586" s="16" t="inlineStr">
        <is>
          <t>5.1a</t>
        </is>
      </c>
      <c r="D2586" s="16" t="inlineStr">
        <is>
          <t>libre, desde el mejor de 3.2</t>
        </is>
      </c>
      <c r="E2586" s="16" t="inlineStr">
        <is>
          <t>KF-M07</t>
        </is>
      </c>
      <c r="F2586" s="16" t="inlineStr">
        <is>
          <t>KF-M07-A1</t>
        </is>
      </c>
      <c r="G2586" s="16" t="inlineStr">
        <is>
          <t>B11-A1</t>
        </is>
      </c>
      <c r="H2586" s="16" t="inlineStr">
        <is>
          <t>busqueda</t>
        </is>
      </c>
      <c r="I2586" s="16" t="inlineStr">
        <is>
          <t>KALINA</t>
        </is>
      </c>
      <c r="J2586" s="16" t="inlineStr">
        <is>
          <t>KALINA</t>
        </is>
      </c>
      <c r="K2586" s="16" t="b">
        <v>1</v>
      </c>
      <c r="L2586" s="16" t="b">
        <v>1</v>
      </c>
      <c r="M2586" s="16" t="b">
        <v>0</v>
      </c>
      <c r="N2586" s="16" t="b">
        <v>0</v>
      </c>
      <c r="O2586" s="16" t="n">
        <v>424.0969531091276</v>
      </c>
      <c r="P2586" s="16" t="n">
        <v>279.0977013205448</v>
      </c>
      <c r="Q2586" s="16" t="n">
        <v>4381.823024523768</v>
      </c>
      <c r="R2586" s="16" t="n">
        <v>808.3402577390962</v>
      </c>
      <c r="S2586" s="16" t="n">
        <v>0.6697489709498952</v>
      </c>
      <c r="T2586" s="16" t="n">
        <v>0.95</v>
      </c>
      <c r="U2586" s="16" t="n">
        <v>0.7460814839003644</v>
      </c>
      <c r="V2586" s="16" t="n">
        <v>0.6777311085206517</v>
      </c>
      <c r="W2586" s="16" t="n">
        <v>0.9415298192493302</v>
      </c>
      <c r="X2586" s="16" t="n">
        <v>0.8418262585071621</v>
      </c>
      <c r="Y2586" s="16" t="n">
        <v>279.0977013205448</v>
      </c>
      <c r="Z2586" s="16" t="n">
        <v>14.05916891843635</v>
      </c>
      <c r="AA2586" s="16" t="n">
        <v>78.31661866915518</v>
      </c>
      <c r="AB2586" s="16" t="n">
        <v>3573.482766784672</v>
      </c>
      <c r="AC2586" s="16" t="n">
        <v>5.420765553332204</v>
      </c>
      <c r="AD2586" s="16" t="n"/>
      <c r="AE2586" s="16" t="n"/>
    </row>
    <row r="2587">
      <c r="A2587" s="16" t="inlineStr">
        <is>
          <t>KF-M07-A1-0100</t>
        </is>
      </c>
      <c r="B2587" s="16" t="inlineStr">
        <is>
          <t>5.1</t>
        </is>
      </c>
      <c r="C2587" s="16" t="inlineStr">
        <is>
          <t>5.1a</t>
        </is>
      </c>
      <c r="D2587" s="16" t="inlineStr">
        <is>
          <t>libre, desde el mejor de 3.2</t>
        </is>
      </c>
      <c r="E2587" s="16" t="inlineStr">
        <is>
          <t>KF-M07</t>
        </is>
      </c>
      <c r="F2587" s="16" t="inlineStr">
        <is>
          <t>KF-M07-A1</t>
        </is>
      </c>
      <c r="G2587" s="16" t="inlineStr">
        <is>
          <t>B11-A1</t>
        </is>
      </c>
      <c r="H2587" s="16" t="inlineStr">
        <is>
          <t>busqueda</t>
        </is>
      </c>
      <c r="I2587" s="16" t="inlineStr">
        <is>
          <t>KALINA</t>
        </is>
      </c>
      <c r="J2587" s="16" t="inlineStr">
        <is>
          <t>KALINA</t>
        </is>
      </c>
      <c r="K2587" s="16" t="b">
        <v>1</v>
      </c>
      <c r="L2587" s="16" t="b">
        <v>1</v>
      </c>
      <c r="M2587" s="16" t="b">
        <v>0</v>
      </c>
      <c r="N2587" s="16" t="b">
        <v>0</v>
      </c>
      <c r="O2587" s="16" t="n">
        <v>436.0969531091276</v>
      </c>
      <c r="P2587" s="16" t="n">
        <v>281.6377013205448</v>
      </c>
      <c r="Q2587" s="16" t="n">
        <v>4381.823024523768</v>
      </c>
      <c r="R2587" s="16" t="n">
        <v>808.3402577390962</v>
      </c>
      <c r="S2587" s="16" t="n">
        <v>0.6697489709498952</v>
      </c>
      <c r="T2587" s="16" t="n">
        <v>0.95</v>
      </c>
      <c r="U2587" s="16" t="n">
        <v>0.7460814839003644</v>
      </c>
      <c r="V2587" s="16" t="n">
        <v>0.6777311085206517</v>
      </c>
      <c r="W2587" s="16" t="n">
        <v>0.9415298192493302</v>
      </c>
      <c r="X2587" s="16" t="n">
        <v>0.8418262585071621</v>
      </c>
      <c r="Y2587" s="16" t="n">
        <v>281.6377013205448</v>
      </c>
      <c r="Z2587" s="16" t="n">
        <v>14.64466944923078</v>
      </c>
      <c r="AA2587" s="16" t="n">
        <v>99.06541762216716</v>
      </c>
      <c r="AB2587" s="16" t="n">
        <v>3573.482766784672</v>
      </c>
      <c r="AC2587" s="16" t="n">
        <v>5.420765553332204</v>
      </c>
      <c r="AD2587" s="16" t="n"/>
      <c r="AE2587" s="16" t="n"/>
    </row>
    <row r="2588">
      <c r="A2588" s="16" t="inlineStr">
        <is>
          <t>KF-M07-A1-0101</t>
        </is>
      </c>
      <c r="B2588" s="16" t="inlineStr">
        <is>
          <t>5.1</t>
        </is>
      </c>
      <c r="C2588" s="16" t="inlineStr">
        <is>
          <t>5.1a</t>
        </is>
      </c>
      <c r="D2588" s="16" t="inlineStr">
        <is>
          <t>libre, desde el mejor de 3.2</t>
        </is>
      </c>
      <c r="E2588" s="16" t="inlineStr">
        <is>
          <t>KF-M07</t>
        </is>
      </c>
      <c r="F2588" s="16" t="inlineStr">
        <is>
          <t>KF-M07-A1</t>
        </is>
      </c>
      <c r="G2588" s="16" t="inlineStr">
        <is>
          <t>B11-A1</t>
        </is>
      </c>
      <c r="H2588" s="16" t="inlineStr">
        <is>
          <t>busqueda</t>
        </is>
      </c>
      <c r="I2588" s="16" t="inlineStr">
        <is>
          <t>KALINA</t>
        </is>
      </c>
      <c r="J2588" s="16" t="inlineStr">
        <is>
          <t>KALINA</t>
        </is>
      </c>
      <c r="K2588" s="16" t="b">
        <v>1</v>
      </c>
      <c r="L2588" s="16" t="b">
        <v>1</v>
      </c>
      <c r="M2588" s="16" t="b">
        <v>0</v>
      </c>
      <c r="N2588" s="16" t="b">
        <v>0</v>
      </c>
      <c r="O2588" s="16" t="n">
        <v>436.0969531091276</v>
      </c>
      <c r="P2588" s="16" t="n">
        <v>278.15</v>
      </c>
      <c r="Q2588" s="16" t="n">
        <v>4381.823024523768</v>
      </c>
      <c r="R2588" s="16" t="n">
        <v>808.3402577390962</v>
      </c>
      <c r="S2588" s="16" t="n">
        <v>0.6697489709498952</v>
      </c>
      <c r="T2588" s="16" t="n">
        <v>0.95</v>
      </c>
      <c r="U2588" s="16" t="n">
        <v>0.7460814839003644</v>
      </c>
      <c r="V2588" s="16" t="n">
        <v>0.6777311085206517</v>
      </c>
      <c r="W2588" s="16" t="n">
        <v>0.9415298192493302</v>
      </c>
      <c r="X2588" s="16" t="n">
        <v>0.8418262585071621</v>
      </c>
      <c r="Y2588" s="16" t="n">
        <v>278.15</v>
      </c>
      <c r="Z2588" s="16" t="n">
        <v>14.48840468674088</v>
      </c>
      <c r="AA2588" s="16" t="n">
        <v>98.70350101241938</v>
      </c>
      <c r="AB2588" s="16" t="n">
        <v>3573.482766784672</v>
      </c>
      <c r="AC2588" s="16" t="n">
        <v>5.420765553332204</v>
      </c>
      <c r="AD2588" s="16" t="n"/>
      <c r="AE2588" s="16" t="n"/>
    </row>
    <row r="2589">
      <c r="A2589" s="16" t="inlineStr">
        <is>
          <t>KF-M07-A1-0102</t>
        </is>
      </c>
      <c r="B2589" s="16" t="inlineStr">
        <is>
          <t>5.1</t>
        </is>
      </c>
      <c r="C2589" s="16" t="inlineStr">
        <is>
          <t>5.1a</t>
        </is>
      </c>
      <c r="D2589" s="16" t="inlineStr">
        <is>
          <t>libre, desde el mejor de 3.2</t>
        </is>
      </c>
      <c r="E2589" s="16" t="inlineStr">
        <is>
          <t>KF-M07</t>
        </is>
      </c>
      <c r="F2589" s="16" t="inlineStr">
        <is>
          <t>KF-M07-A1</t>
        </is>
      </c>
      <c r="G2589" s="16" t="inlineStr">
        <is>
          <t>B11-A1</t>
        </is>
      </c>
      <c r="H2589" s="16" t="inlineStr">
        <is>
          <t>busqueda</t>
        </is>
      </c>
      <c r="I2589" s="16" t="inlineStr">
        <is>
          <t>KALINA</t>
        </is>
      </c>
      <c r="J2589" s="16" t="inlineStr">
        <is>
          <t>KALINA</t>
        </is>
      </c>
      <c r="K2589" s="16" t="b">
        <v>1</v>
      </c>
      <c r="L2589" s="16" t="b">
        <v>1</v>
      </c>
      <c r="M2589" s="16" t="b">
        <v>0</v>
      </c>
      <c r="N2589" s="16" t="b">
        <v>0</v>
      </c>
      <c r="O2589" s="16" t="n">
        <v>436.0969531091276</v>
      </c>
      <c r="P2589" s="16" t="n">
        <v>279.0977013205448</v>
      </c>
      <c r="Q2589" s="16" t="n">
        <v>4681.823024523768</v>
      </c>
      <c r="R2589" s="16" t="n">
        <v>808.3402577390962</v>
      </c>
      <c r="S2589" s="16" t="n">
        <v>0.6697489709498952</v>
      </c>
      <c r="T2589" s="16" t="n">
        <v>0.95</v>
      </c>
      <c r="U2589" s="16" t="n">
        <v>0.7460814839003644</v>
      </c>
      <c r="V2589" s="16" t="n">
        <v>0.6777311085206517</v>
      </c>
      <c r="W2589" s="16" t="n">
        <v>0.9415298192493302</v>
      </c>
      <c r="X2589" s="16" t="n">
        <v>0.8418262585071621</v>
      </c>
      <c r="Y2589" s="16" t="n">
        <v>279.0977013205448</v>
      </c>
      <c r="Z2589" s="16" t="n">
        <v>14.85046010808612</v>
      </c>
      <c r="AA2589" s="16" t="n">
        <v>95.62682169507868</v>
      </c>
      <c r="AB2589" s="16" t="n">
        <v>3873.482766784672</v>
      </c>
      <c r="AC2589" s="16" t="n">
        <v>5.791896394741849</v>
      </c>
      <c r="AD2589" s="16" t="n"/>
      <c r="AE2589" s="16" t="n"/>
    </row>
    <row r="2590">
      <c r="A2590" s="16" t="inlineStr">
        <is>
          <t>KF-M07-A1-0103</t>
        </is>
      </c>
      <c r="B2590" s="16" t="inlineStr">
        <is>
          <t>5.1</t>
        </is>
      </c>
      <c r="C2590" s="16" t="inlineStr">
        <is>
          <t>5.1a</t>
        </is>
      </c>
      <c r="D2590" s="16" t="inlineStr">
        <is>
          <t>libre, desde el mejor de 3.2</t>
        </is>
      </c>
      <c r="E2590" s="16" t="inlineStr">
        <is>
          <t>KF-M07</t>
        </is>
      </c>
      <c r="F2590" s="16" t="inlineStr">
        <is>
          <t>KF-M07-A1</t>
        </is>
      </c>
      <c r="G2590" s="16" t="inlineStr">
        <is>
          <t>B11-A1</t>
        </is>
      </c>
      <c r="H2590" s="16" t="inlineStr">
        <is>
          <t>busqueda</t>
        </is>
      </c>
      <c r="I2590" s="16" t="inlineStr">
        <is>
          <t>KALINA</t>
        </is>
      </c>
      <c r="J2590" s="16" t="inlineStr">
        <is>
          <t>KALINA</t>
        </is>
      </c>
      <c r="K2590" s="16" t="b">
        <v>1</v>
      </c>
      <c r="L2590" s="16" t="b">
        <v>1</v>
      </c>
      <c r="M2590" s="16" t="b">
        <v>0</v>
      </c>
      <c r="N2590" s="16" t="b">
        <v>0</v>
      </c>
      <c r="O2590" s="16" t="n">
        <v>436.0969531091276</v>
      </c>
      <c r="P2590" s="16" t="n">
        <v>279.0977013205448</v>
      </c>
      <c r="Q2590" s="16" t="n">
        <v>4081.823024523768</v>
      </c>
      <c r="R2590" s="16" t="n">
        <v>808.3402577390962</v>
      </c>
      <c r="S2590" s="16" t="n">
        <v>0.6697489709498952</v>
      </c>
      <c r="T2590" s="16" t="n">
        <v>0.95</v>
      </c>
      <c r="U2590" s="16" t="n">
        <v>0.7460814839003644</v>
      </c>
      <c r="V2590" s="16" t="n">
        <v>0.6777311085206517</v>
      </c>
      <c r="W2590" s="16" t="n">
        <v>0.9415298192493302</v>
      </c>
      <c r="X2590" s="16" t="n">
        <v>0.8418262585071621</v>
      </c>
      <c r="Y2590" s="16" t="n">
        <v>279.0977013205448</v>
      </c>
      <c r="Z2590" s="16" t="n">
        <v>14.14165667155382</v>
      </c>
      <c r="AA2590" s="16" t="n">
        <v>101.5664030487117</v>
      </c>
      <c r="AB2590" s="16" t="n">
        <v>3273.482766784672</v>
      </c>
      <c r="AC2590" s="16" t="n">
        <v>5.049634711922558</v>
      </c>
      <c r="AD2590" s="16" t="n"/>
      <c r="AE2590" s="16" t="n"/>
    </row>
    <row r="2591">
      <c r="A2591" s="16" t="inlineStr">
        <is>
          <t>KF-M07-A1-0104</t>
        </is>
      </c>
      <c r="B2591" s="16" t="inlineStr">
        <is>
          <t>5.1</t>
        </is>
      </c>
      <c r="C2591" s="16" t="inlineStr">
        <is>
          <t>5.1a</t>
        </is>
      </c>
      <c r="D2591" s="16" t="inlineStr">
        <is>
          <t>libre, desde el mejor de 3.2</t>
        </is>
      </c>
      <c r="E2591" s="16" t="inlineStr">
        <is>
          <t>KF-M07</t>
        </is>
      </c>
      <c r="F2591" s="16" t="inlineStr">
        <is>
          <t>KF-M07-A1</t>
        </is>
      </c>
      <c r="G2591" s="16" t="inlineStr">
        <is>
          <t>B11-A1</t>
        </is>
      </c>
      <c r="H2591" s="16" t="inlineStr">
        <is>
          <t>busqueda</t>
        </is>
      </c>
      <c r="I2591" s="16" t="inlineStr">
        <is>
          <t>KALINA</t>
        </is>
      </c>
      <c r="J2591" s="16" t="inlineStr">
        <is>
          <t>KALINA</t>
        </is>
      </c>
      <c r="K2591" s="16" t="b">
        <v>1</v>
      </c>
      <c r="L2591" s="16" t="b">
        <v>1</v>
      </c>
      <c r="M2591" s="16" t="b">
        <v>0</v>
      </c>
      <c r="N2591" s="16" t="b">
        <v>0</v>
      </c>
      <c r="O2591" s="16" t="n">
        <v>436.0969531091276</v>
      </c>
      <c r="P2591" s="16" t="n">
        <v>279.0977013205448</v>
      </c>
      <c r="Q2591" s="16" t="n">
        <v>4381.823024523768</v>
      </c>
      <c r="R2591" s="16" t="n">
        <v>1028.340257739096</v>
      </c>
      <c r="S2591" s="16" t="n">
        <v>0.6697489709498952</v>
      </c>
      <c r="T2591" s="16" t="n">
        <v>0.95</v>
      </c>
      <c r="U2591" s="16" t="n">
        <v>0.7460814839003644</v>
      </c>
      <c r="V2591" s="16" t="n">
        <v>0.6777311085206517</v>
      </c>
      <c r="W2591" s="16" t="n">
        <v>0.9415298192493302</v>
      </c>
      <c r="X2591" s="16" t="n">
        <v>0.8418262585071621</v>
      </c>
      <c r="Y2591" s="16" t="n">
        <v>279.0977013205448</v>
      </c>
      <c r="Z2591" s="16" t="n">
        <v>12.57879252283329</v>
      </c>
      <c r="AA2591" s="16" t="n">
        <v>85.44567911216542</v>
      </c>
      <c r="AB2591" s="16" t="n">
        <v>3353.482766784672</v>
      </c>
      <c r="AC2591" s="16" t="n">
        <v>4.261063389813818</v>
      </c>
      <c r="AD2591" s="16" t="n"/>
      <c r="AE2591" s="16" t="n"/>
    </row>
    <row r="2592">
      <c r="A2592" s="16" t="inlineStr">
        <is>
          <t>KF-M07-A1-0105</t>
        </is>
      </c>
      <c r="B2592" s="16" t="inlineStr">
        <is>
          <t>5.1</t>
        </is>
      </c>
      <c r="C2592" s="16" t="inlineStr">
        <is>
          <t>5.1a</t>
        </is>
      </c>
      <c r="D2592" s="16" t="inlineStr">
        <is>
          <t>libre, desde el mejor de 3.2</t>
        </is>
      </c>
      <c r="E2592" s="16" t="inlineStr">
        <is>
          <t>KF-M07</t>
        </is>
      </c>
      <c r="F2592" s="16" t="inlineStr">
        <is>
          <t>KF-M07-A1</t>
        </is>
      </c>
      <c r="G2592" s="16" t="inlineStr">
        <is>
          <t>B11-A1</t>
        </is>
      </c>
      <c r="H2592" s="16" t="inlineStr">
        <is>
          <t>busqueda</t>
        </is>
      </c>
      <c r="I2592" s="16" t="inlineStr">
        <is>
          <t>CORREGIBLE</t>
        </is>
      </c>
      <c r="J2592" s="16" t="inlineStr">
        <is>
          <t>CORREGIBLE</t>
        </is>
      </c>
      <c r="K2592" s="16" t="b">
        <v>1</v>
      </c>
      <c r="L2592" s="16" t="b">
        <v>0</v>
      </c>
      <c r="M2592" s="16" t="b">
        <v>0</v>
      </c>
      <c r="N2592" s="16" t="b">
        <v>0</v>
      </c>
      <c r="O2592" s="16" t="n">
        <v>436.0969531091276</v>
      </c>
      <c r="P2592" s="16" t="n">
        <v>279.0977013205448</v>
      </c>
      <c r="Q2592" s="16" t="n">
        <v>4381.823024523768</v>
      </c>
      <c r="R2592" s="16" t="n">
        <v>588.3402577390962</v>
      </c>
      <c r="S2592" s="16" t="n">
        <v>0.6697489709498952</v>
      </c>
      <c r="T2592" s="16" t="n">
        <v>0.95</v>
      </c>
      <c r="U2592" s="16" t="n">
        <v>0.7460814839003644</v>
      </c>
      <c r="V2592" s="16" t="n">
        <v>0.6777311085206517</v>
      </c>
      <c r="W2592" s="16" t="n">
        <v>0.9415298192493302</v>
      </c>
      <c r="X2592" s="16" t="n">
        <v>0.8418262585071621</v>
      </c>
      <c r="Y2592" s="16" t="n">
        <v>279.0977013205448</v>
      </c>
      <c r="Z2592" s="16" t="n">
        <v>16.99429361408021</v>
      </c>
      <c r="AA2592" s="16" t="n">
        <v>115.6917674296044</v>
      </c>
      <c r="AB2592" s="16" t="n">
        <v>3793.482766784672</v>
      </c>
      <c r="AC2592" s="16" t="n">
        <v>7.44777017531056</v>
      </c>
      <c r="AD2592" s="16" t="inlineStr">
        <is>
          <t>O2</t>
        </is>
      </c>
      <c r="AE2592" s="16" t="n"/>
    </row>
    <row r="2593">
      <c r="A2593" s="16" t="inlineStr">
        <is>
          <t>KF-M07-A1-0106</t>
        </is>
      </c>
      <c r="B2593" s="16" t="inlineStr">
        <is>
          <t>5.1</t>
        </is>
      </c>
      <c r="C2593" s="16" t="inlineStr">
        <is>
          <t>5.1a</t>
        </is>
      </c>
      <c r="D2593" s="16" t="inlineStr">
        <is>
          <t>libre, desde el mejor de 3.2</t>
        </is>
      </c>
      <c r="E2593" s="16" t="inlineStr">
        <is>
          <t>KF-M07</t>
        </is>
      </c>
      <c r="F2593" s="16" t="inlineStr">
        <is>
          <t>KF-M07-A1</t>
        </is>
      </c>
      <c r="G2593" s="16" t="inlineStr">
        <is>
          <t>B11-A1</t>
        </is>
      </c>
      <c r="H2593" s="16" t="inlineStr">
        <is>
          <t>busqueda</t>
        </is>
      </c>
      <c r="I2593" s="16" t="inlineStr">
        <is>
          <t>KALINA</t>
        </is>
      </c>
      <c r="J2593" s="16" t="inlineStr">
        <is>
          <t>KALINA</t>
        </is>
      </c>
      <c r="K2593" s="16" t="b">
        <v>1</v>
      </c>
      <c r="L2593" s="16" t="b">
        <v>1</v>
      </c>
      <c r="M2593" s="16" t="b">
        <v>0</v>
      </c>
      <c r="N2593" s="16" t="b">
        <v>0</v>
      </c>
      <c r="O2593" s="16" t="n">
        <v>436.0969531091276</v>
      </c>
      <c r="P2593" s="16" t="n">
        <v>279.0977013205448</v>
      </c>
      <c r="Q2593" s="16" t="n">
        <v>4381.823024523768</v>
      </c>
      <c r="R2593" s="16" t="n">
        <v>808.3402577390962</v>
      </c>
      <c r="S2593" s="16" t="n">
        <v>0.7047489709498951</v>
      </c>
      <c r="T2593" s="16" t="n">
        <v>0.95</v>
      </c>
      <c r="U2593" s="16" t="n">
        <v>0.7460814839003644</v>
      </c>
      <c r="V2593" s="16" t="n">
        <v>0.6777311085206517</v>
      </c>
      <c r="W2593" s="16" t="n">
        <v>0.9415298192493302</v>
      </c>
      <c r="X2593" s="16" t="n">
        <v>0.8418262585071621</v>
      </c>
      <c r="Y2593" s="16" t="n">
        <v>279.0977013205448</v>
      </c>
      <c r="Z2593" s="16" t="n">
        <v>14.97793863825945</v>
      </c>
      <c r="AA2593" s="16" t="n">
        <v>111.1205978072659</v>
      </c>
      <c r="AB2593" s="16" t="n">
        <v>3573.482766784672</v>
      </c>
      <c r="AC2593" s="16" t="n">
        <v>5.420765553332204</v>
      </c>
      <c r="AD2593" s="16" t="n"/>
      <c r="AE2593" s="16" t="n"/>
    </row>
    <row r="2594">
      <c r="A2594" s="16" t="inlineStr">
        <is>
          <t>KF-M07-A1-0107</t>
        </is>
      </c>
      <c r="B2594" s="16" t="inlineStr">
        <is>
          <t>5.1</t>
        </is>
      </c>
      <c r="C2594" s="16" t="inlineStr">
        <is>
          <t>5.1a</t>
        </is>
      </c>
      <c r="D2594" s="16" t="inlineStr">
        <is>
          <t>libre, desde el mejor de 3.2</t>
        </is>
      </c>
      <c r="E2594" s="16" t="inlineStr">
        <is>
          <t>KF-M07</t>
        </is>
      </c>
      <c r="F2594" s="16" t="inlineStr">
        <is>
          <t>KF-M07-A1</t>
        </is>
      </c>
      <c r="G2594" s="16" t="inlineStr">
        <is>
          <t>B11-A1</t>
        </is>
      </c>
      <c r="H2594" s="16" t="inlineStr">
        <is>
          <t>busqueda</t>
        </is>
      </c>
      <c r="I2594" s="16" t="inlineStr">
        <is>
          <t>KALINA</t>
        </is>
      </c>
      <c r="J2594" s="16" t="inlineStr">
        <is>
          <t>KALINA</t>
        </is>
      </c>
      <c r="K2594" s="16" t="b">
        <v>1</v>
      </c>
      <c r="L2594" s="16" t="b">
        <v>1</v>
      </c>
      <c r="M2594" s="16" t="b">
        <v>0</v>
      </c>
      <c r="N2594" s="16" t="b">
        <v>0</v>
      </c>
      <c r="O2594" s="16" t="n">
        <v>436.0969531091276</v>
      </c>
      <c r="P2594" s="16" t="n">
        <v>279.0977013205448</v>
      </c>
      <c r="Q2594" s="16" t="n">
        <v>4381.823024523768</v>
      </c>
      <c r="R2594" s="16" t="n">
        <v>808.3402577390962</v>
      </c>
      <c r="S2594" s="16" t="n">
        <v>0.6347489709498951</v>
      </c>
      <c r="T2594" s="16" t="n">
        <v>0.95</v>
      </c>
      <c r="U2594" s="16" t="n">
        <v>0.7460814839003644</v>
      </c>
      <c r="V2594" s="16" t="n">
        <v>0.6777311085206517</v>
      </c>
      <c r="W2594" s="16" t="n">
        <v>0.9415298192493302</v>
      </c>
      <c r="X2594" s="16" t="n">
        <v>0.8418262585071621</v>
      </c>
      <c r="Y2594" s="16" t="n">
        <v>279.0977013205448</v>
      </c>
      <c r="Z2594" s="16" t="n">
        <v>14.03959682892471</v>
      </c>
      <c r="AA2594" s="16" t="n">
        <v>86.43379102231073</v>
      </c>
      <c r="AB2594" s="16" t="n">
        <v>3573.482766784672</v>
      </c>
      <c r="AC2594" s="16" t="n">
        <v>5.420765553332204</v>
      </c>
      <c r="AD2594" s="16" t="n"/>
      <c r="AE2594" s="16" t="n"/>
    </row>
    <row r="2595">
      <c r="A2595" s="16" t="inlineStr">
        <is>
          <t>KF-M07-A1-0108</t>
        </is>
      </c>
      <c r="B2595" s="16" t="inlineStr">
        <is>
          <t>5.1</t>
        </is>
      </c>
      <c r="C2595" s="16" t="inlineStr">
        <is>
          <t>5.1a</t>
        </is>
      </c>
      <c r="D2595" s="16" t="inlineStr">
        <is>
          <t>libre, desde el mejor de 3.2</t>
        </is>
      </c>
      <c r="E2595" s="16" t="inlineStr">
        <is>
          <t>KF-M07</t>
        </is>
      </c>
      <c r="F2595" s="16" t="inlineStr">
        <is>
          <t>KF-M07-A1</t>
        </is>
      </c>
      <c r="G2595" s="16" t="inlineStr">
        <is>
          <t>B11-A1</t>
        </is>
      </c>
      <c r="H2595" s="16" t="inlineStr">
        <is>
          <t>busqueda</t>
        </is>
      </c>
      <c r="I2595" s="16" t="inlineStr">
        <is>
          <t>KALINA</t>
        </is>
      </c>
      <c r="J2595" s="16" t="inlineStr">
        <is>
          <t>KALINA</t>
        </is>
      </c>
      <c r="K2595" s="16" t="b">
        <v>1</v>
      </c>
      <c r="L2595" s="16" t="b">
        <v>1</v>
      </c>
      <c r="M2595" s="16" t="b">
        <v>0</v>
      </c>
      <c r="N2595" s="16" t="b">
        <v>0</v>
      </c>
      <c r="O2595" s="16" t="n">
        <v>436.0969531091276</v>
      </c>
      <c r="P2595" s="16" t="n">
        <v>279.0977013205448</v>
      </c>
      <c r="Q2595" s="16" t="n">
        <v>4381.823024523768</v>
      </c>
      <c r="R2595" s="16" t="n">
        <v>808.3402577390962</v>
      </c>
      <c r="S2595" s="16" t="n">
        <v>0.6697489709498952</v>
      </c>
      <c r="T2595" s="16" t="n">
        <v>0.895</v>
      </c>
      <c r="U2595" s="16" t="n">
        <v>0.7460814839003644</v>
      </c>
      <c r="V2595" s="16" t="n">
        <v>0.6777311085206517</v>
      </c>
      <c r="W2595" s="16" t="n">
        <v>0.9415298192493302</v>
      </c>
      <c r="X2595" s="16" t="n">
        <v>0.8418262585071621</v>
      </c>
      <c r="Y2595" s="16" t="n">
        <v>279.0977013205448</v>
      </c>
      <c r="Z2595" s="16" t="n">
        <v>13.64521430580083</v>
      </c>
      <c r="AA2595" s="16" t="n">
        <v>92.7359750995054</v>
      </c>
      <c r="AB2595" s="16" t="n">
        <v>3573.482766784672</v>
      </c>
      <c r="AC2595" s="16" t="n">
        <v>5.420765553332204</v>
      </c>
      <c r="AD2595" s="16" t="n"/>
      <c r="AE2595" s="16" t="n"/>
    </row>
    <row r="2596">
      <c r="A2596" s="16" t="inlineStr">
        <is>
          <t>KF-M07-A1-0109</t>
        </is>
      </c>
      <c r="B2596" s="16" t="inlineStr">
        <is>
          <t>5.1</t>
        </is>
      </c>
      <c r="C2596" s="16" t="inlineStr">
        <is>
          <t>5.1a</t>
        </is>
      </c>
      <c r="D2596" s="16" t="inlineStr">
        <is>
          <t>libre, desde el mejor de 3.2</t>
        </is>
      </c>
      <c r="E2596" s="16" t="inlineStr">
        <is>
          <t>KF-M07</t>
        </is>
      </c>
      <c r="F2596" s="16" t="inlineStr">
        <is>
          <t>KF-M07-A1</t>
        </is>
      </c>
      <c r="G2596" s="16" t="inlineStr">
        <is>
          <t>B11-A1</t>
        </is>
      </c>
      <c r="H2596" s="16" t="inlineStr">
        <is>
          <t>busqueda</t>
        </is>
      </c>
      <c r="I2596" s="16" t="inlineStr">
        <is>
          <t>KALINA</t>
        </is>
      </c>
      <c r="J2596" s="16" t="inlineStr">
        <is>
          <t>KALINA</t>
        </is>
      </c>
      <c r="K2596" s="16" t="b">
        <v>1</v>
      </c>
      <c r="L2596" s="16" t="b">
        <v>1</v>
      </c>
      <c r="M2596" s="16" t="b">
        <v>0</v>
      </c>
      <c r="N2596" s="16" t="b">
        <v>0</v>
      </c>
      <c r="O2596" s="16" t="n">
        <v>436.0969531091276</v>
      </c>
      <c r="P2596" s="16" t="n">
        <v>279.0977013205448</v>
      </c>
      <c r="Q2596" s="16" t="n">
        <v>4381.823024523768</v>
      </c>
      <c r="R2596" s="16" t="n">
        <v>808.3402577390962</v>
      </c>
      <c r="S2596" s="16" t="n">
        <v>0.6697489709498952</v>
      </c>
      <c r="T2596" s="16" t="n">
        <v>0.95</v>
      </c>
      <c r="U2596" s="16" t="n">
        <v>0.8010814839003644</v>
      </c>
      <c r="V2596" s="16" t="n">
        <v>0.6777311085206517</v>
      </c>
      <c r="W2596" s="16" t="n">
        <v>0.9415298192493302</v>
      </c>
      <c r="X2596" s="16" t="n">
        <v>0.8418262585071621</v>
      </c>
      <c r="Y2596" s="16" t="n">
        <v>279.0977013205448</v>
      </c>
      <c r="Z2596" s="16" t="n">
        <v>14.58986212573143</v>
      </c>
      <c r="AA2596" s="16" t="n">
        <v>99.22719877549116</v>
      </c>
      <c r="AB2596" s="16" t="n">
        <v>3573.482766784672</v>
      </c>
      <c r="AC2596" s="16" t="n">
        <v>5.420765553332204</v>
      </c>
      <c r="AD2596" s="16" t="n"/>
      <c r="AE2596" s="16" t="n"/>
    </row>
    <row r="2597">
      <c r="A2597" s="16" t="inlineStr">
        <is>
          <t>KF-M07-A1-0110</t>
        </is>
      </c>
      <c r="B2597" s="16" t="inlineStr">
        <is>
          <t>5.1</t>
        </is>
      </c>
      <c r="C2597" s="16" t="inlineStr">
        <is>
          <t>5.1a</t>
        </is>
      </c>
      <c r="D2597" s="16" t="inlineStr">
        <is>
          <t>libre, desde el mejor de 3.2</t>
        </is>
      </c>
      <c r="E2597" s="16" t="inlineStr">
        <is>
          <t>KF-M07</t>
        </is>
      </c>
      <c r="F2597" s="16" t="inlineStr">
        <is>
          <t>KF-M07-A1</t>
        </is>
      </c>
      <c r="G2597" s="16" t="inlineStr">
        <is>
          <t>B11-A1</t>
        </is>
      </c>
      <c r="H2597" s="16" t="inlineStr">
        <is>
          <t>busqueda</t>
        </is>
      </c>
      <c r="I2597" s="16" t="inlineStr">
        <is>
          <t>KALINA</t>
        </is>
      </c>
      <c r="J2597" s="16" t="inlineStr">
        <is>
          <t>KALINA</t>
        </is>
      </c>
      <c r="K2597" s="16" t="b">
        <v>1</v>
      </c>
      <c r="L2597" s="16" t="b">
        <v>1</v>
      </c>
      <c r="M2597" s="16" t="b">
        <v>0</v>
      </c>
      <c r="N2597" s="16" t="b">
        <v>0</v>
      </c>
      <c r="O2597" s="16" t="n">
        <v>436.0969531091276</v>
      </c>
      <c r="P2597" s="16" t="n">
        <v>279.0977013205448</v>
      </c>
      <c r="Q2597" s="16" t="n">
        <v>4381.823024523768</v>
      </c>
      <c r="R2597" s="16" t="n">
        <v>808.3402577390962</v>
      </c>
      <c r="S2597" s="16" t="n">
        <v>0.6697489709498952</v>
      </c>
      <c r="T2597" s="16" t="n">
        <v>0.95</v>
      </c>
      <c r="U2597" s="16" t="n">
        <v>0.6910814839003644</v>
      </c>
      <c r="V2597" s="16" t="n">
        <v>0.6777311085206517</v>
      </c>
      <c r="W2597" s="16" t="n">
        <v>0.9415298192493302</v>
      </c>
      <c r="X2597" s="16" t="n">
        <v>0.8418262585071621</v>
      </c>
      <c r="Y2597" s="16" t="n">
        <v>279.0977013205448</v>
      </c>
      <c r="Z2597" s="16" t="n">
        <v>14.46174271250011</v>
      </c>
      <c r="AA2597" s="16" t="n">
        <v>98.30830473756784</v>
      </c>
      <c r="AB2597" s="16" t="n">
        <v>3573.482766784672</v>
      </c>
      <c r="AC2597" s="16" t="n">
        <v>5.420765553332204</v>
      </c>
      <c r="AD2597" s="16" t="n"/>
      <c r="AE2597" s="16" t="n"/>
    </row>
    <row r="2598">
      <c r="A2598" s="16" t="inlineStr">
        <is>
          <t>KF-M07-A1-0111</t>
        </is>
      </c>
      <c r="B2598" s="16" t="inlineStr">
        <is>
          <t>5.1</t>
        </is>
      </c>
      <c r="C2598" s="16" t="inlineStr">
        <is>
          <t>5.1a</t>
        </is>
      </c>
      <c r="D2598" s="16" t="inlineStr">
        <is>
          <t>libre, desde el mejor de 3.2</t>
        </is>
      </c>
      <c r="E2598" s="16" t="inlineStr">
        <is>
          <t>KF-M07</t>
        </is>
      </c>
      <c r="F2598" s="16" t="inlineStr">
        <is>
          <t>KF-M07-A1</t>
        </is>
      </c>
      <c r="G2598" s="16" t="inlineStr">
        <is>
          <t>B11-A1</t>
        </is>
      </c>
      <c r="H2598" s="16" t="inlineStr">
        <is>
          <t>busqueda</t>
        </is>
      </c>
      <c r="I2598" s="16" t="inlineStr">
        <is>
          <t>KALINA</t>
        </is>
      </c>
      <c r="J2598" s="16" t="inlineStr">
        <is>
          <t>KALINA</t>
        </is>
      </c>
      <c r="K2598" s="16" t="b">
        <v>1</v>
      </c>
      <c r="L2598" s="16" t="b">
        <v>1</v>
      </c>
      <c r="M2598" s="16" t="b">
        <v>0</v>
      </c>
      <c r="N2598" s="16" t="b">
        <v>0</v>
      </c>
      <c r="O2598" s="16" t="n">
        <v>436.0969531091276</v>
      </c>
      <c r="P2598" s="16" t="n">
        <v>279.0977013205448</v>
      </c>
      <c r="Q2598" s="16" t="n">
        <v>4381.823024523768</v>
      </c>
      <c r="R2598" s="16" t="n">
        <v>808.3402577390962</v>
      </c>
      <c r="S2598" s="16" t="n">
        <v>0.6697489709498952</v>
      </c>
      <c r="T2598" s="16" t="n">
        <v>0.95</v>
      </c>
      <c r="U2598" s="16" t="n">
        <v>0.7460814839003644</v>
      </c>
      <c r="V2598" s="16" t="n">
        <v>0.7327311085206516</v>
      </c>
      <c r="W2598" s="16" t="n">
        <v>0.9415298192493302</v>
      </c>
      <c r="X2598" s="16" t="n">
        <v>0.8418262585071621</v>
      </c>
      <c r="Y2598" s="16" t="n">
        <v>279.0977013205448</v>
      </c>
      <c r="Z2598" s="16" t="n">
        <v>14.67927656777835</v>
      </c>
      <c r="AA2598" s="16" t="n">
        <v>108.1417359066728</v>
      </c>
      <c r="AB2598" s="16" t="n">
        <v>3573.482766784672</v>
      </c>
      <c r="AC2598" s="16" t="n">
        <v>5.420765553332204</v>
      </c>
      <c r="AD2598" s="16" t="n"/>
      <c r="AE2598" s="16" t="n"/>
    </row>
    <row r="2599">
      <c r="A2599" s="16" t="inlineStr">
        <is>
          <t>KF-M07-A1-0112</t>
        </is>
      </c>
      <c r="B2599" s="16" t="inlineStr">
        <is>
          <t>5.1</t>
        </is>
      </c>
      <c r="C2599" s="16" t="inlineStr">
        <is>
          <t>5.1a</t>
        </is>
      </c>
      <c r="D2599" s="16" t="inlineStr">
        <is>
          <t>libre, desde el mejor de 3.2</t>
        </is>
      </c>
      <c r="E2599" s="16" t="inlineStr">
        <is>
          <t>KF-M07</t>
        </is>
      </c>
      <c r="F2599" s="16" t="inlineStr">
        <is>
          <t>KF-M07-A1</t>
        </is>
      </c>
      <c r="G2599" s="16" t="inlineStr">
        <is>
          <t>B11-A1</t>
        </is>
      </c>
      <c r="H2599" s="16" t="inlineStr">
        <is>
          <t>busqueda</t>
        </is>
      </c>
      <c r="I2599" s="16" t="inlineStr">
        <is>
          <t>KALINA</t>
        </is>
      </c>
      <c r="J2599" s="16" t="inlineStr">
        <is>
          <t>KALINA</t>
        </is>
      </c>
      <c r="K2599" s="16" t="b">
        <v>1</v>
      </c>
      <c r="L2599" s="16" t="b">
        <v>1</v>
      </c>
      <c r="M2599" s="16" t="b">
        <v>0</v>
      </c>
      <c r="N2599" s="16" t="b">
        <v>0</v>
      </c>
      <c r="O2599" s="16" t="n">
        <v>436.0969531091276</v>
      </c>
      <c r="P2599" s="16" t="n">
        <v>279.0977013205448</v>
      </c>
      <c r="Q2599" s="16" t="n">
        <v>4381.823024523768</v>
      </c>
      <c r="R2599" s="16" t="n">
        <v>808.3402577390962</v>
      </c>
      <c r="S2599" s="16" t="n">
        <v>0.6697489709498952</v>
      </c>
      <c r="T2599" s="16" t="n">
        <v>0.95</v>
      </c>
      <c r="U2599" s="16" t="n">
        <v>0.7460814839003644</v>
      </c>
      <c r="V2599" s="16" t="n">
        <v>0.6227311085206517</v>
      </c>
      <c r="W2599" s="16" t="n">
        <v>0.9415298192493302</v>
      </c>
      <c r="X2599" s="16" t="n">
        <v>0.8418262585071621</v>
      </c>
      <c r="Y2599" s="16" t="n">
        <v>279.0977013205448</v>
      </c>
      <c r="Z2599" s="16" t="n">
        <v>14.34134705173025</v>
      </c>
      <c r="AA2599" s="16" t="n">
        <v>89.40635886590351</v>
      </c>
      <c r="AB2599" s="16" t="n">
        <v>3573.482766784672</v>
      </c>
      <c r="AC2599" s="16" t="n">
        <v>5.420765553332204</v>
      </c>
      <c r="AD2599" s="16" t="n"/>
      <c r="AE2599" s="16" t="n"/>
    </row>
    <row r="2600">
      <c r="A2600" s="16" t="inlineStr">
        <is>
          <t>KF-M07-A1-0113</t>
        </is>
      </c>
      <c r="B2600" s="16" t="inlineStr">
        <is>
          <t>5.1</t>
        </is>
      </c>
      <c r="C2600" s="16" t="inlineStr">
        <is>
          <t>5.1a</t>
        </is>
      </c>
      <c r="D2600" s="16" t="inlineStr">
        <is>
          <t>libre, desde el mejor de 3.2</t>
        </is>
      </c>
      <c r="E2600" s="16" t="inlineStr">
        <is>
          <t>KF-M07</t>
        </is>
      </c>
      <c r="F2600" s="16" t="inlineStr">
        <is>
          <t>KF-M07-A1</t>
        </is>
      </c>
      <c r="G2600" s="16" t="inlineStr">
        <is>
          <t>B11-A1</t>
        </is>
      </c>
      <c r="H2600" s="16" t="inlineStr">
        <is>
          <t>busqueda</t>
        </is>
      </c>
      <c r="I2600" s="16" t="inlineStr">
        <is>
          <t>KALINA</t>
        </is>
      </c>
      <c r="J2600" s="16" t="inlineStr">
        <is>
          <t>KALINA</t>
        </is>
      </c>
      <c r="K2600" s="16" t="b">
        <v>1</v>
      </c>
      <c r="L2600" s="16" t="b">
        <v>1</v>
      </c>
      <c r="M2600" s="16" t="b">
        <v>0</v>
      </c>
      <c r="N2600" s="16" t="b">
        <v>0</v>
      </c>
      <c r="O2600" s="16" t="n">
        <v>436.0969531091276</v>
      </c>
      <c r="P2600" s="16" t="n">
        <v>279.0977013205448</v>
      </c>
      <c r="Q2600" s="16" t="n">
        <v>4381.823024523768</v>
      </c>
      <c r="R2600" s="16" t="n">
        <v>808.3402577390962</v>
      </c>
      <c r="S2600" s="16" t="n">
        <v>0.6697489709498952</v>
      </c>
      <c r="T2600" s="16" t="n">
        <v>0.95</v>
      </c>
      <c r="U2600" s="16" t="n">
        <v>0.7460814839003644</v>
      </c>
      <c r="V2600" s="16" t="n">
        <v>0.6777311085206517</v>
      </c>
      <c r="W2600" s="16" t="n">
        <v>0.95</v>
      </c>
      <c r="X2600" s="16" t="n">
        <v>0.8418262585071621</v>
      </c>
      <c r="Y2600" s="16" t="n">
        <v>279.0977013205448</v>
      </c>
      <c r="Z2600" s="16" t="n">
        <v>14.58466394170047</v>
      </c>
      <c r="AA2600" s="16" t="n">
        <v>98.93439855683104</v>
      </c>
      <c r="AB2600" s="16" t="n">
        <v>3573.482766784672</v>
      </c>
      <c r="AC2600" s="16" t="n">
        <v>5.420765553332204</v>
      </c>
      <c r="AD2600" s="16" t="n"/>
      <c r="AE2600" s="16" t="n"/>
    </row>
    <row r="2601">
      <c r="A2601" s="16" t="inlineStr">
        <is>
          <t>KF-M07-A1-0114</t>
        </is>
      </c>
      <c r="B2601" s="16" t="inlineStr">
        <is>
          <t>5.1</t>
        </is>
      </c>
      <c r="C2601" s="16" t="inlineStr">
        <is>
          <t>5.1a</t>
        </is>
      </c>
      <c r="D2601" s="16" t="inlineStr">
        <is>
          <t>libre, desde el mejor de 3.2</t>
        </is>
      </c>
      <c r="E2601" s="16" t="inlineStr">
        <is>
          <t>KF-M07</t>
        </is>
      </c>
      <c r="F2601" s="16" t="inlineStr">
        <is>
          <t>KF-M07-A1</t>
        </is>
      </c>
      <c r="G2601" s="16" t="inlineStr">
        <is>
          <t>B11-A1</t>
        </is>
      </c>
      <c r="H2601" s="16" t="inlineStr">
        <is>
          <t>busqueda</t>
        </is>
      </c>
      <c r="I2601" s="16" t="inlineStr">
        <is>
          <t>KALINA</t>
        </is>
      </c>
      <c r="J2601" s="16" t="inlineStr">
        <is>
          <t>KALINA</t>
        </is>
      </c>
      <c r="K2601" s="16" t="b">
        <v>1</v>
      </c>
      <c r="L2601" s="16" t="b">
        <v>1</v>
      </c>
      <c r="M2601" s="16" t="b">
        <v>0</v>
      </c>
      <c r="N2601" s="16" t="b">
        <v>0</v>
      </c>
      <c r="O2601" s="16" t="n">
        <v>436.0969531091276</v>
      </c>
      <c r="P2601" s="16" t="n">
        <v>279.0977013205448</v>
      </c>
      <c r="Q2601" s="16" t="n">
        <v>4381.823024523768</v>
      </c>
      <c r="R2601" s="16" t="n">
        <v>808.3402577390962</v>
      </c>
      <c r="S2601" s="16" t="n">
        <v>0.6697489709498952</v>
      </c>
      <c r="T2601" s="16" t="n">
        <v>0.95</v>
      </c>
      <c r="U2601" s="16" t="n">
        <v>0.7460814839003644</v>
      </c>
      <c r="V2601" s="16" t="n">
        <v>0.6777311085206517</v>
      </c>
      <c r="W2601" s="16" t="n">
        <v>0.8865298192493303</v>
      </c>
      <c r="X2601" s="16" t="n">
        <v>0.8418262585071621</v>
      </c>
      <c r="Y2601" s="16" t="n">
        <v>279.0977013205448</v>
      </c>
      <c r="Z2601" s="16" t="n">
        <v>14.18574348412714</v>
      </c>
      <c r="AA2601" s="16" t="n">
        <v>97.94044238826274</v>
      </c>
      <c r="AB2601" s="16" t="n">
        <v>3573.482766784672</v>
      </c>
      <c r="AC2601" s="16" t="n">
        <v>5.420765553332204</v>
      </c>
      <c r="AD2601" s="16" t="n"/>
      <c r="AE2601" s="16" t="n"/>
    </row>
    <row r="2602">
      <c r="A2602" s="16" t="inlineStr">
        <is>
          <t>KF-M07-A1-0115</t>
        </is>
      </c>
      <c r="B2602" s="16" t="inlineStr">
        <is>
          <t>5.1</t>
        </is>
      </c>
      <c r="C2602" s="16" t="inlineStr">
        <is>
          <t>5.1a</t>
        </is>
      </c>
      <c r="D2602" s="16" t="inlineStr">
        <is>
          <t>libre, desde el mejor de 3.2</t>
        </is>
      </c>
      <c r="E2602" s="16" t="inlineStr">
        <is>
          <t>KF-M07</t>
        </is>
      </c>
      <c r="F2602" s="16" t="inlineStr">
        <is>
          <t>KF-M07-A1</t>
        </is>
      </c>
      <c r="G2602" s="16" t="inlineStr">
        <is>
          <t>B11-A1</t>
        </is>
      </c>
      <c r="H2602" s="16" t="inlineStr">
        <is>
          <t>busqueda</t>
        </is>
      </c>
      <c r="I2602" s="16" t="inlineStr">
        <is>
          <t>KALINA</t>
        </is>
      </c>
      <c r="J2602" s="16" t="inlineStr">
        <is>
          <t>KALINA</t>
        </is>
      </c>
      <c r="K2602" s="16" t="b">
        <v>1</v>
      </c>
      <c r="L2602" s="16" t="b">
        <v>1</v>
      </c>
      <c r="M2602" s="16" t="b">
        <v>0</v>
      </c>
      <c r="N2602" s="16" t="b">
        <v>0</v>
      </c>
      <c r="O2602" s="16" t="n">
        <v>436.0969531091276</v>
      </c>
      <c r="P2602" s="16" t="n">
        <v>279.0977013205448</v>
      </c>
      <c r="Q2602" s="16" t="n">
        <v>4381.823024523768</v>
      </c>
      <c r="R2602" s="16" t="n">
        <v>808.3402577390962</v>
      </c>
      <c r="S2602" s="16" t="n">
        <v>0.6697489709498952</v>
      </c>
      <c r="T2602" s="16" t="n">
        <v>0.95</v>
      </c>
      <c r="U2602" s="16" t="n">
        <v>0.7460814839003644</v>
      </c>
      <c r="V2602" s="16" t="n">
        <v>0.6777311085206517</v>
      </c>
      <c r="W2602" s="16" t="n">
        <v>0.9415298192493302</v>
      </c>
      <c r="X2602" s="16" t="n">
        <v>0.896826258507162</v>
      </c>
      <c r="Y2602" s="16" t="n">
        <v>279.0977013205448</v>
      </c>
      <c r="Z2602" s="16" t="n">
        <v>14.12779212816193</v>
      </c>
      <c r="AA2602" s="16" t="n">
        <v>97.84707163300948</v>
      </c>
      <c r="AB2602" s="16" t="n">
        <v>3573.482766784672</v>
      </c>
      <c r="AC2602" s="16" t="n">
        <v>5.420765553332204</v>
      </c>
      <c r="AD2602" s="16" t="n"/>
      <c r="AE2602" s="16" t="n"/>
    </row>
    <row r="2603">
      <c r="A2603" s="16" t="inlineStr">
        <is>
          <t>KF-M07-A1-0116</t>
        </is>
      </c>
      <c r="B2603" s="16" t="inlineStr">
        <is>
          <t>5.1</t>
        </is>
      </c>
      <c r="C2603" s="16" t="inlineStr">
        <is>
          <t>5.1a</t>
        </is>
      </c>
      <c r="D2603" s="16" t="inlineStr">
        <is>
          <t>libre, desde el mejor de 3.2</t>
        </is>
      </c>
      <c r="E2603" s="16" t="inlineStr">
        <is>
          <t>KF-M07</t>
        </is>
      </c>
      <c r="F2603" s="16" t="inlineStr">
        <is>
          <t>KF-M07-A1</t>
        </is>
      </c>
      <c r="G2603" s="16" t="inlineStr">
        <is>
          <t>B11-A1</t>
        </is>
      </c>
      <c r="H2603" s="16" t="inlineStr">
        <is>
          <t>busqueda</t>
        </is>
      </c>
      <c r="I2603" s="16" t="inlineStr">
        <is>
          <t>CORREGIBLE</t>
        </is>
      </c>
      <c r="J2603" s="16" t="inlineStr">
        <is>
          <t>CORREGIBLE</t>
        </is>
      </c>
      <c r="K2603" s="16" t="b">
        <v>1</v>
      </c>
      <c r="L2603" s="16" t="b">
        <v>0</v>
      </c>
      <c r="M2603" s="16" t="b">
        <v>0</v>
      </c>
      <c r="N2603" s="16" t="b">
        <v>0</v>
      </c>
      <c r="O2603" s="16" t="n">
        <v>436.0969531091276</v>
      </c>
      <c r="P2603" s="16" t="n">
        <v>279.0977013205448</v>
      </c>
      <c r="Q2603" s="16" t="n">
        <v>4381.823024523768</v>
      </c>
      <c r="R2603" s="16" t="n">
        <v>808.3402577390962</v>
      </c>
      <c r="S2603" s="16" t="n">
        <v>0.6697489709498952</v>
      </c>
      <c r="T2603" s="16" t="n">
        <v>0.95</v>
      </c>
      <c r="U2603" s="16" t="n">
        <v>0.7460814839003644</v>
      </c>
      <c r="V2603" s="16" t="n">
        <v>0.6777311085206517</v>
      </c>
      <c r="W2603" s="16" t="n">
        <v>0.9415298192493302</v>
      </c>
      <c r="X2603" s="16" t="n">
        <v>0.7868262585071621</v>
      </c>
      <c r="Y2603" s="16" t="n">
        <v>279.0977013205448</v>
      </c>
      <c r="Z2603" s="16" t="n">
        <v>14.96864150301782</v>
      </c>
      <c r="AA2603" s="16" t="n">
        <v>99.69339788275718</v>
      </c>
      <c r="AB2603" s="16" t="n">
        <v>3573.482766784672</v>
      </c>
      <c r="AC2603" s="16" t="n">
        <v>5.420765553332204</v>
      </c>
      <c r="AD2603" s="16" t="inlineStr">
        <is>
          <t>O2</t>
        </is>
      </c>
      <c r="AE2603" s="16" t="n"/>
    </row>
    <row r="2604">
      <c r="A2604" s="16" t="inlineStr">
        <is>
          <t>KF-M07-A2-0000</t>
        </is>
      </c>
      <c r="B2604" s="16" t="inlineStr">
        <is>
          <t>5.1</t>
        </is>
      </c>
      <c r="C2604" s="16" t="inlineStr">
        <is>
          <t>5.1b</t>
        </is>
      </c>
      <c r="D2604" s="16" t="inlineStr">
        <is>
          <t>libre, desde el mejor de 2.4</t>
        </is>
      </c>
      <c r="E2604" s="16" t="inlineStr">
        <is>
          <t>KF-M07</t>
        </is>
      </c>
      <c r="F2604" s="16" t="inlineStr">
        <is>
          <t>KF-M07-A2</t>
        </is>
      </c>
      <c r="G2604" s="16" t="inlineStr">
        <is>
          <t>B11-A2</t>
        </is>
      </c>
      <c r="H2604" s="16" t="inlineStr">
        <is>
          <t>busqueda</t>
        </is>
      </c>
      <c r="I2604" s="16" t="inlineStr">
        <is>
          <t>KALINA</t>
        </is>
      </c>
      <c r="J2604" s="16" t="inlineStr">
        <is>
          <t>KALINA</t>
        </is>
      </c>
      <c r="K2604" s="16" t="b">
        <v>1</v>
      </c>
      <c r="L2604" s="16" t="b">
        <v>1</v>
      </c>
      <c r="M2604" s="16" t="b">
        <v>0</v>
      </c>
      <c r="N2604" s="16" t="b">
        <v>0</v>
      </c>
      <c r="O2604" s="16" t="n">
        <v>420</v>
      </c>
      <c r="P2604" s="16" t="n">
        <v>278.15</v>
      </c>
      <c r="Q2604" s="16" t="n">
        <v>3000</v>
      </c>
      <c r="R2604" s="16" t="n">
        <v>393.75</v>
      </c>
      <c r="S2604" s="16" t="n">
        <v>0.5</v>
      </c>
      <c r="T2604" s="16" t="n">
        <v>0.85</v>
      </c>
      <c r="U2604" s="16" t="n">
        <v>0.75</v>
      </c>
      <c r="V2604" s="16" t="n">
        <v>0.85</v>
      </c>
      <c r="W2604" s="16" t="n">
        <v>0.75</v>
      </c>
      <c r="X2604" s="16" t="n">
        <v>0.8</v>
      </c>
      <c r="Y2604" s="16" t="n">
        <v>278.15</v>
      </c>
      <c r="Z2604" s="16" t="n">
        <v>11.90841397447066</v>
      </c>
      <c r="AA2604" s="16" t="n">
        <v>64.29434111942909</v>
      </c>
      <c r="AB2604" s="16" t="n">
        <v>2606.25</v>
      </c>
      <c r="AC2604" s="16" t="n">
        <v>7.619047619047619</v>
      </c>
      <c r="AD2604" s="16" t="n"/>
      <c r="AE2604" s="16" t="n"/>
    </row>
    <row r="2605">
      <c r="A2605" s="16" t="inlineStr">
        <is>
          <t>KF-M07-A2-0001</t>
        </is>
      </c>
      <c r="B2605" s="16" t="inlineStr">
        <is>
          <t>5.1</t>
        </is>
      </c>
      <c r="C2605" s="16" t="inlineStr">
        <is>
          <t>5.1b</t>
        </is>
      </c>
      <c r="D2605" s="16" t="inlineStr">
        <is>
          <t>libre, desde el mejor de 2.4</t>
        </is>
      </c>
      <c r="E2605" s="16" t="inlineStr">
        <is>
          <t>KF-M07</t>
        </is>
      </c>
      <c r="F2605" s="16" t="inlineStr">
        <is>
          <t>KF-M07-A2</t>
        </is>
      </c>
      <c r="G2605" s="16" t="inlineStr">
        <is>
          <t>B11-A2</t>
        </is>
      </c>
      <c r="H2605" s="16" t="inlineStr">
        <is>
          <t>busqueda</t>
        </is>
      </c>
      <c r="I2605" s="16" t="inlineStr">
        <is>
          <t>CORREGIBLE</t>
        </is>
      </c>
      <c r="J2605" s="16" t="inlineStr">
        <is>
          <t>CORREGIBLE</t>
        </is>
      </c>
      <c r="K2605" s="16" t="b">
        <v>1</v>
      </c>
      <c r="L2605" s="16" t="b">
        <v>0</v>
      </c>
      <c r="M2605" s="16" t="b">
        <v>1</v>
      </c>
      <c r="N2605" s="16" t="b">
        <v>0</v>
      </c>
      <c r="O2605" s="16" t="n">
        <v>432</v>
      </c>
      <c r="P2605" s="16" t="n">
        <v>278.15</v>
      </c>
      <c r="Q2605" s="16" t="n">
        <v>3000</v>
      </c>
      <c r="R2605" s="16" t="n">
        <v>393.75</v>
      </c>
      <c r="S2605" s="16" t="n">
        <v>0.5</v>
      </c>
      <c r="T2605" s="16" t="n">
        <v>0.85</v>
      </c>
      <c r="U2605" s="16" t="n">
        <v>0.75</v>
      </c>
      <c r="V2605" s="16" t="n">
        <v>0.85</v>
      </c>
      <c r="W2605" s="16" t="n">
        <v>0.75</v>
      </c>
      <c r="X2605" s="16" t="n">
        <v>0.8</v>
      </c>
      <c r="Y2605" s="16" t="n">
        <v>278.15</v>
      </c>
      <c r="Z2605" s="16" t="n">
        <v>12.84161975052354</v>
      </c>
      <c r="AA2605" s="16" t="n">
        <v>89.72892653309714</v>
      </c>
      <c r="AB2605" s="16" t="n">
        <v>2606.25</v>
      </c>
      <c r="AC2605" s="16" t="n">
        <v>7.619047619047619</v>
      </c>
      <c r="AD2605" s="16" t="inlineStr">
        <is>
          <t>O2</t>
        </is>
      </c>
      <c r="AE2605" s="16" t="n"/>
    </row>
    <row r="2606">
      <c r="A2606" s="16" t="inlineStr">
        <is>
          <t>KF-M07-A2-0002</t>
        </is>
      </c>
      <c r="B2606" s="16" t="inlineStr">
        <is>
          <t>5.1</t>
        </is>
      </c>
      <c r="C2606" s="16" t="inlineStr">
        <is>
          <t>5.1b</t>
        </is>
      </c>
      <c r="D2606" s="16" t="inlineStr">
        <is>
          <t>libre, desde el mejor de 2.4</t>
        </is>
      </c>
      <c r="E2606" s="16" t="inlineStr">
        <is>
          <t>KF-M07</t>
        </is>
      </c>
      <c r="F2606" s="16" t="inlineStr">
        <is>
          <t>KF-M07-A2</t>
        </is>
      </c>
      <c r="G2606" s="16" t="inlineStr">
        <is>
          <t>B11-A2</t>
        </is>
      </c>
      <c r="H2606" s="16" t="inlineStr">
        <is>
          <t>busqueda</t>
        </is>
      </c>
      <c r="I2606" s="16" t="inlineStr">
        <is>
          <t>KALINA</t>
        </is>
      </c>
      <c r="J2606" s="16" t="inlineStr">
        <is>
          <t>KALINA</t>
        </is>
      </c>
      <c r="K2606" s="16" t="b">
        <v>1</v>
      </c>
      <c r="L2606" s="16" t="b">
        <v>1</v>
      </c>
      <c r="M2606" s="16" t="b">
        <v>0</v>
      </c>
      <c r="N2606" s="16" t="b">
        <v>0</v>
      </c>
      <c r="O2606" s="16" t="n">
        <v>408</v>
      </c>
      <c r="P2606" s="16" t="n">
        <v>278.15</v>
      </c>
      <c r="Q2606" s="16" t="n">
        <v>3000</v>
      </c>
      <c r="R2606" s="16" t="n">
        <v>393.75</v>
      </c>
      <c r="S2606" s="16" t="n">
        <v>0.5</v>
      </c>
      <c r="T2606" s="16" t="n">
        <v>0.85</v>
      </c>
      <c r="U2606" s="16" t="n">
        <v>0.75</v>
      </c>
      <c r="V2606" s="16" t="n">
        <v>0.85</v>
      </c>
      <c r="W2606" s="16" t="n">
        <v>0.75</v>
      </c>
      <c r="X2606" s="16" t="n">
        <v>0.8</v>
      </c>
      <c r="Y2606" s="16" t="n">
        <v>278.15</v>
      </c>
      <c r="Z2606" s="16" t="n">
        <v>10.24886802790408</v>
      </c>
      <c r="AA2606" s="16" t="n">
        <v>40.48774961250873</v>
      </c>
      <c r="AB2606" s="16" t="n">
        <v>2606.25</v>
      </c>
      <c r="AC2606" s="16" t="n">
        <v>7.619047619047619</v>
      </c>
      <c r="AD2606" s="16" t="n"/>
      <c r="AE2606" s="16" t="n"/>
    </row>
    <row r="2607">
      <c r="A2607" s="16" t="inlineStr">
        <is>
          <t>KF-M07-A2-0003</t>
        </is>
      </c>
      <c r="B2607" s="16" t="inlineStr">
        <is>
          <t>5.1</t>
        </is>
      </c>
      <c r="C2607" s="16" t="inlineStr">
        <is>
          <t>5.1b</t>
        </is>
      </c>
      <c r="D2607" s="16" t="inlineStr">
        <is>
          <t>libre, desde el mejor de 2.4</t>
        </is>
      </c>
      <c r="E2607" s="16" t="inlineStr">
        <is>
          <t>KF-M07</t>
        </is>
      </c>
      <c r="F2607" s="16" t="inlineStr">
        <is>
          <t>KF-M07-A2</t>
        </is>
      </c>
      <c r="G2607" s="16" t="inlineStr">
        <is>
          <t>B11-A2</t>
        </is>
      </c>
      <c r="H2607" s="16" t="inlineStr">
        <is>
          <t>busqueda</t>
        </is>
      </c>
      <c r="I2607" s="16" t="inlineStr">
        <is>
          <t>CORREGIBLE</t>
        </is>
      </c>
      <c r="J2607" s="16" t="inlineStr">
        <is>
          <t>CORREGIBLE</t>
        </is>
      </c>
      <c r="K2607" s="16" t="b">
        <v>1</v>
      </c>
      <c r="L2607" s="16" t="b">
        <v>0</v>
      </c>
      <c r="M2607" s="16" t="b">
        <v>0</v>
      </c>
      <c r="N2607" s="16" t="b">
        <v>0</v>
      </c>
      <c r="O2607" s="16" t="n">
        <v>420</v>
      </c>
      <c r="P2607" s="16" t="n">
        <v>280.69</v>
      </c>
      <c r="Q2607" s="16" t="n">
        <v>3000</v>
      </c>
      <c r="R2607" s="16" t="n">
        <v>393.75</v>
      </c>
      <c r="S2607" s="16" t="n">
        <v>0.5</v>
      </c>
      <c r="T2607" s="16" t="n">
        <v>0.85</v>
      </c>
      <c r="U2607" s="16" t="n">
        <v>0.75</v>
      </c>
      <c r="V2607" s="16" t="n">
        <v>0.85</v>
      </c>
      <c r="W2607" s="16" t="n">
        <v>0.75</v>
      </c>
      <c r="X2607" s="16" t="n">
        <v>0.8</v>
      </c>
      <c r="Y2607" s="16" t="n">
        <v>280.69</v>
      </c>
      <c r="Z2607" s="16" t="n">
        <v>12.01054932458493</v>
      </c>
      <c r="AA2607" s="16" t="n">
        <v>64.3537036245875</v>
      </c>
      <c r="AB2607" s="16" t="n">
        <v>2606.25</v>
      </c>
      <c r="AC2607" s="16" t="n">
        <v>7.619047619047619</v>
      </c>
      <c r="AD2607" s="16" t="inlineStr">
        <is>
          <t>O2</t>
        </is>
      </c>
      <c r="AE2607" s="16" t="n"/>
    </row>
    <row r="2608">
      <c r="A2608" s="16" t="inlineStr">
        <is>
          <t>KF-M07-A2-0004</t>
        </is>
      </c>
      <c r="B2608" s="16" t="inlineStr">
        <is>
          <t>5.1</t>
        </is>
      </c>
      <c r="C2608" s="16" t="inlineStr">
        <is>
          <t>5.1b</t>
        </is>
      </c>
      <c r="D2608" s="16" t="inlineStr">
        <is>
          <t>libre, desde el mejor de 2.4</t>
        </is>
      </c>
      <c r="E2608" s="16" t="inlineStr">
        <is>
          <t>KF-M07</t>
        </is>
      </c>
      <c r="F2608" s="16" t="inlineStr">
        <is>
          <t>KF-M07-A2</t>
        </is>
      </c>
      <c r="G2608" s="16" t="inlineStr">
        <is>
          <t>B11-A2</t>
        </is>
      </c>
      <c r="H2608" s="16" t="inlineStr">
        <is>
          <t>busqueda</t>
        </is>
      </c>
      <c r="I2608" s="16" t="inlineStr">
        <is>
          <t>KALINA</t>
        </is>
      </c>
      <c r="J2608" s="16" t="inlineStr">
        <is>
          <t>KALINA</t>
        </is>
      </c>
      <c r="K2608" s="16" t="b">
        <v>1</v>
      </c>
      <c r="L2608" s="16" t="b">
        <v>1</v>
      </c>
      <c r="M2608" s="16" t="b">
        <v>0</v>
      </c>
      <c r="N2608" s="16" t="b">
        <v>0</v>
      </c>
      <c r="O2608" s="16" t="n">
        <v>420</v>
      </c>
      <c r="P2608" s="16" t="n">
        <v>278.15</v>
      </c>
      <c r="Q2608" s="16" t="n">
        <v>3300</v>
      </c>
      <c r="R2608" s="16" t="n">
        <v>393.75</v>
      </c>
      <c r="S2608" s="16" t="n">
        <v>0.5</v>
      </c>
      <c r="T2608" s="16" t="n">
        <v>0.85</v>
      </c>
      <c r="U2608" s="16" t="n">
        <v>0.75</v>
      </c>
      <c r="V2608" s="16" t="n">
        <v>0.85</v>
      </c>
      <c r="W2608" s="16" t="n">
        <v>0.75</v>
      </c>
      <c r="X2608" s="16" t="n">
        <v>0.8</v>
      </c>
      <c r="Y2608" s="16" t="n">
        <v>278.15</v>
      </c>
      <c r="Z2608" s="16" t="n">
        <v>11.63475772669044</v>
      </c>
      <c r="AA2608" s="16" t="n">
        <v>56.27608581842766</v>
      </c>
      <c r="AB2608" s="16" t="n">
        <v>2906.25</v>
      </c>
      <c r="AC2608" s="16" t="n">
        <v>8.380952380952381</v>
      </c>
      <c r="AD2608" s="16" t="n"/>
      <c r="AE2608" s="16" t="n"/>
    </row>
    <row r="2609">
      <c r="A2609" s="16" t="inlineStr">
        <is>
          <t>KF-M07-A2-0005</t>
        </is>
      </c>
      <c r="B2609" s="16" t="inlineStr">
        <is>
          <t>5.1</t>
        </is>
      </c>
      <c r="C2609" s="16" t="inlineStr">
        <is>
          <t>5.1b</t>
        </is>
      </c>
      <c r="D2609" s="16" t="inlineStr">
        <is>
          <t>libre, desde el mejor de 2.4</t>
        </is>
      </c>
      <c r="E2609" s="16" t="inlineStr">
        <is>
          <t>KF-M07</t>
        </is>
      </c>
      <c r="F2609" s="16" t="inlineStr">
        <is>
          <t>KF-M07-A2</t>
        </is>
      </c>
      <c r="G2609" s="16" t="inlineStr">
        <is>
          <t>B11-A2</t>
        </is>
      </c>
      <c r="H2609" s="16" t="inlineStr">
        <is>
          <t>busqueda</t>
        </is>
      </c>
      <c r="I2609" s="16" t="inlineStr">
        <is>
          <t>CORREGIBLE</t>
        </is>
      </c>
      <c r="J2609" s="16" t="inlineStr">
        <is>
          <t>CORREGIBLE</t>
        </is>
      </c>
      <c r="K2609" s="16" t="b">
        <v>1</v>
      </c>
      <c r="L2609" s="16" t="b">
        <v>0</v>
      </c>
      <c r="M2609" s="16" t="b">
        <v>0</v>
      </c>
      <c r="N2609" s="16" t="b">
        <v>0</v>
      </c>
      <c r="O2609" s="16" t="n">
        <v>420</v>
      </c>
      <c r="P2609" s="16" t="n">
        <v>278.15</v>
      </c>
      <c r="Q2609" s="16" t="n">
        <v>2700</v>
      </c>
      <c r="R2609" s="16" t="n">
        <v>393.75</v>
      </c>
      <c r="S2609" s="16" t="n">
        <v>0.5</v>
      </c>
      <c r="T2609" s="16" t="n">
        <v>0.85</v>
      </c>
      <c r="U2609" s="16" t="n">
        <v>0.75</v>
      </c>
      <c r="V2609" s="16" t="n">
        <v>0.85</v>
      </c>
      <c r="W2609" s="16" t="n">
        <v>0.75</v>
      </c>
      <c r="X2609" s="16" t="n">
        <v>0.8</v>
      </c>
      <c r="Y2609" s="16" t="n">
        <v>278.15</v>
      </c>
      <c r="Z2609" s="16" t="n">
        <v>11.93281466696896</v>
      </c>
      <c r="AA2609" s="16" t="n">
        <v>71.67753472926267</v>
      </c>
      <c r="AB2609" s="16" t="n">
        <v>2306.25</v>
      </c>
      <c r="AC2609" s="16" t="n">
        <v>6.857142857142857</v>
      </c>
      <c r="AD2609" s="16" t="inlineStr">
        <is>
          <t>O2</t>
        </is>
      </c>
      <c r="AE2609" s="16" t="n"/>
    </row>
    <row r="2610">
      <c r="A2610" s="16" t="inlineStr">
        <is>
          <t>KF-M07-A2-0006</t>
        </is>
      </c>
      <c r="B2610" s="16" t="inlineStr">
        <is>
          <t>5.1</t>
        </is>
      </c>
      <c r="C2610" s="16" t="inlineStr">
        <is>
          <t>5.1b</t>
        </is>
      </c>
      <c r="D2610" s="16" t="inlineStr">
        <is>
          <t>libre, desde el mejor de 2.4</t>
        </is>
      </c>
      <c r="E2610" s="16" t="inlineStr">
        <is>
          <t>KF-M07</t>
        </is>
      </c>
      <c r="F2610" s="16" t="inlineStr">
        <is>
          <t>KF-M07-A2</t>
        </is>
      </c>
      <c r="G2610" s="16" t="inlineStr">
        <is>
          <t>B11-A2</t>
        </is>
      </c>
      <c r="H2610" s="16" t="inlineStr">
        <is>
          <t>busqueda</t>
        </is>
      </c>
      <c r="I2610" s="16" t="inlineStr">
        <is>
          <t>KALINA</t>
        </is>
      </c>
      <c r="J2610" s="16" t="inlineStr">
        <is>
          <t>KALINA</t>
        </is>
      </c>
      <c r="K2610" s="16" t="b">
        <v>1</v>
      </c>
      <c r="L2610" s="16" t="b">
        <v>1</v>
      </c>
      <c r="M2610" s="16" t="b">
        <v>0</v>
      </c>
      <c r="N2610" s="16" t="b">
        <v>0</v>
      </c>
      <c r="O2610" s="16" t="n">
        <v>420</v>
      </c>
      <c r="P2610" s="16" t="n">
        <v>278.15</v>
      </c>
      <c r="Q2610" s="16" t="n">
        <v>3000</v>
      </c>
      <c r="R2610" s="16" t="n">
        <v>613.75</v>
      </c>
      <c r="S2610" s="16" t="n">
        <v>0.5</v>
      </c>
      <c r="T2610" s="16" t="n">
        <v>0.85</v>
      </c>
      <c r="U2610" s="16" t="n">
        <v>0.75</v>
      </c>
      <c r="V2610" s="16" t="n">
        <v>0.85</v>
      </c>
      <c r="W2610" s="16" t="n">
        <v>0.75</v>
      </c>
      <c r="X2610" s="16" t="n">
        <v>0.8</v>
      </c>
      <c r="Y2610" s="16" t="n">
        <v>278.15</v>
      </c>
      <c r="Z2610" s="16" t="n">
        <v>9.46707066539871</v>
      </c>
      <c r="AA2610" s="16" t="n">
        <v>51.00766768135985</v>
      </c>
      <c r="AB2610" s="16" t="n">
        <v>2386.25</v>
      </c>
      <c r="AC2610" s="16" t="n">
        <v>4.887983706720978</v>
      </c>
      <c r="AD2610" s="16" t="n"/>
      <c r="AE2610" s="16" t="n"/>
    </row>
    <row r="2611">
      <c r="A2611" s="16" t="inlineStr">
        <is>
          <t>KF-M07-A2-0007</t>
        </is>
      </c>
      <c r="B2611" s="16" t="inlineStr">
        <is>
          <t>5.1</t>
        </is>
      </c>
      <c r="C2611" s="16" t="inlineStr">
        <is>
          <t>5.1b</t>
        </is>
      </c>
      <c r="D2611" s="16" t="inlineStr">
        <is>
          <t>libre, desde el mejor de 2.4</t>
        </is>
      </c>
      <c r="E2611" s="16" t="inlineStr">
        <is>
          <t>KF-M07</t>
        </is>
      </c>
      <c r="F2611" s="16" t="inlineStr">
        <is>
          <t>KF-M07-A2</t>
        </is>
      </c>
      <c r="G2611" s="16" t="inlineStr">
        <is>
          <t>B11-A2</t>
        </is>
      </c>
      <c r="H2611" s="16" t="inlineStr">
        <is>
          <t>busqueda</t>
        </is>
      </c>
      <c r="I2611" s="16" t="inlineStr">
        <is>
          <t>CORREGIBLE</t>
        </is>
      </c>
      <c r="J2611" s="16" t="inlineStr">
        <is>
          <t>CORREGIBLE</t>
        </is>
      </c>
      <c r="K2611" s="16" t="b">
        <v>1</v>
      </c>
      <c r="L2611" s="16" t="b">
        <v>0</v>
      </c>
      <c r="M2611" s="16" t="b">
        <v>0</v>
      </c>
      <c r="N2611" s="16" t="b">
        <v>0</v>
      </c>
      <c r="O2611" s="16" t="n">
        <v>420</v>
      </c>
      <c r="P2611" s="16" t="n">
        <v>278.15</v>
      </c>
      <c r="Q2611" s="16" t="n">
        <v>3000</v>
      </c>
      <c r="R2611" s="16" t="n">
        <v>300</v>
      </c>
      <c r="S2611" s="16" t="n">
        <v>0.5</v>
      </c>
      <c r="T2611" s="16" t="n">
        <v>0.85</v>
      </c>
      <c r="U2611" s="16" t="n">
        <v>0.75</v>
      </c>
      <c r="V2611" s="16" t="n">
        <v>0.85</v>
      </c>
      <c r="W2611" s="16" t="n">
        <v>0.75</v>
      </c>
      <c r="X2611" s="16" t="n">
        <v>0.8</v>
      </c>
      <c r="Y2611" s="16" t="n">
        <v>278.15</v>
      </c>
      <c r="Z2611" s="16" t="n">
        <v>13.26199479913055</v>
      </c>
      <c r="AA2611" s="16" t="n">
        <v>71.66275833828891</v>
      </c>
      <c r="AB2611" s="16" t="n">
        <v>2700</v>
      </c>
      <c r="AC2611" s="16" t="n">
        <v>10</v>
      </c>
      <c r="AD2611" s="16" t="inlineStr">
        <is>
          <t>O2</t>
        </is>
      </c>
      <c r="AE2611" s="16" t="n"/>
    </row>
    <row r="2612">
      <c r="A2612" s="16" t="inlineStr">
        <is>
          <t>KF-M07-A2-0008</t>
        </is>
      </c>
      <c r="B2612" s="16" t="inlineStr">
        <is>
          <t>5.1</t>
        </is>
      </c>
      <c r="C2612" s="16" t="inlineStr">
        <is>
          <t>5.1b</t>
        </is>
      </c>
      <c r="D2612" s="16" t="inlineStr">
        <is>
          <t>libre, desde el mejor de 2.4</t>
        </is>
      </c>
      <c r="E2612" s="16" t="inlineStr">
        <is>
          <t>KF-M07</t>
        </is>
      </c>
      <c r="F2612" s="16" t="inlineStr">
        <is>
          <t>KF-M07-A2</t>
        </is>
      </c>
      <c r="G2612" s="16" t="inlineStr">
        <is>
          <t>B11-A2</t>
        </is>
      </c>
      <c r="H2612" s="16" t="inlineStr">
        <is>
          <t>busqueda</t>
        </is>
      </c>
      <c r="I2612" s="16" t="inlineStr">
        <is>
          <t>CORREGIBLE</t>
        </is>
      </c>
      <c r="J2612" s="16" t="inlineStr">
        <is>
          <t>CORREGIBLE</t>
        </is>
      </c>
      <c r="K2612" s="16" t="b">
        <v>1</v>
      </c>
      <c r="L2612" s="16" t="b">
        <v>0</v>
      </c>
      <c r="M2612" s="16" t="b">
        <v>0</v>
      </c>
      <c r="N2612" s="16" t="b">
        <v>0</v>
      </c>
      <c r="O2612" s="16" t="n">
        <v>420</v>
      </c>
      <c r="P2612" s="16" t="n">
        <v>278.15</v>
      </c>
      <c r="Q2612" s="16" t="n">
        <v>3000</v>
      </c>
      <c r="R2612" s="16" t="n">
        <v>393.75</v>
      </c>
      <c r="S2612" s="16" t="n">
        <v>0.535</v>
      </c>
      <c r="T2612" s="16" t="n">
        <v>0.85</v>
      </c>
      <c r="U2612" s="16" t="n">
        <v>0.75</v>
      </c>
      <c r="V2612" s="16" t="n">
        <v>0.85</v>
      </c>
      <c r="W2612" s="16" t="n">
        <v>0.75</v>
      </c>
      <c r="X2612" s="16" t="n">
        <v>0.8</v>
      </c>
      <c r="Y2612" s="16" t="n">
        <v>278.15</v>
      </c>
      <c r="Z2612" s="16" t="n">
        <v>12.84223524727109</v>
      </c>
      <c r="AA2612" s="16" t="n">
        <v>79.28377774915374</v>
      </c>
      <c r="AB2612" s="16" t="n">
        <v>2606.25</v>
      </c>
      <c r="AC2612" s="16" t="n">
        <v>7.619047619047619</v>
      </c>
      <c r="AD2612" s="16" t="inlineStr">
        <is>
          <t>O2</t>
        </is>
      </c>
      <c r="AE2612" s="16" t="n"/>
    </row>
    <row r="2613">
      <c r="A2613" s="16" t="inlineStr">
        <is>
          <t>KF-M07-A2-0009</t>
        </is>
      </c>
      <c r="B2613" s="16" t="inlineStr">
        <is>
          <t>5.1</t>
        </is>
      </c>
      <c r="C2613" s="16" t="inlineStr">
        <is>
          <t>5.1b</t>
        </is>
      </c>
      <c r="D2613" s="16" t="inlineStr">
        <is>
          <t>libre, desde el mejor de 2.4</t>
        </is>
      </c>
      <c r="E2613" s="16" t="inlineStr">
        <is>
          <t>KF-M07</t>
        </is>
      </c>
      <c r="F2613" s="16" t="inlineStr">
        <is>
          <t>KF-M07-A2</t>
        </is>
      </c>
      <c r="G2613" s="16" t="inlineStr">
        <is>
          <t>B11-A2</t>
        </is>
      </c>
      <c r="H2613" s="16" t="inlineStr">
        <is>
          <t>busqueda</t>
        </is>
      </c>
      <c r="I2613" s="16" t="inlineStr">
        <is>
          <t>KALINA</t>
        </is>
      </c>
      <c r="J2613" s="16" t="inlineStr">
        <is>
          <t>KALINA</t>
        </is>
      </c>
      <c r="K2613" s="16" t="b">
        <v>1</v>
      </c>
      <c r="L2613" s="16" t="b">
        <v>1</v>
      </c>
      <c r="M2613" s="16" t="b">
        <v>0</v>
      </c>
      <c r="N2613" s="16" t="b">
        <v>0</v>
      </c>
      <c r="O2613" s="16" t="n">
        <v>420</v>
      </c>
      <c r="P2613" s="16" t="n">
        <v>278.15</v>
      </c>
      <c r="Q2613" s="16" t="n">
        <v>3000</v>
      </c>
      <c r="R2613" s="16" t="n">
        <v>393.75</v>
      </c>
      <c r="S2613" s="16" t="n">
        <v>0.5</v>
      </c>
      <c r="T2613" s="16" t="n">
        <v>0.905</v>
      </c>
      <c r="U2613" s="16" t="n">
        <v>0.75</v>
      </c>
      <c r="V2613" s="16" t="n">
        <v>0.85</v>
      </c>
      <c r="W2613" s="16" t="n">
        <v>0.75</v>
      </c>
      <c r="X2613" s="16" t="n">
        <v>0.8</v>
      </c>
      <c r="Y2613" s="16" t="n">
        <v>278.15</v>
      </c>
      <c r="Z2613" s="16" t="n">
        <v>12.71872263705213</v>
      </c>
      <c r="AA2613" s="16" t="n">
        <v>68.71916057251637</v>
      </c>
      <c r="AB2613" s="16" t="n">
        <v>2606.25</v>
      </c>
      <c r="AC2613" s="16" t="n">
        <v>7.619047619047619</v>
      </c>
      <c r="AD2613" s="16" t="n"/>
      <c r="AE2613" s="16" t="n"/>
    </row>
    <row r="2614">
      <c r="A2614" s="16" t="inlineStr">
        <is>
          <t>KF-M07-A2-0010</t>
        </is>
      </c>
      <c r="B2614" s="16" t="inlineStr">
        <is>
          <t>5.1</t>
        </is>
      </c>
      <c r="C2614" s="16" t="inlineStr">
        <is>
          <t>5.1b</t>
        </is>
      </c>
      <c r="D2614" s="16" t="inlineStr">
        <is>
          <t>libre, desde el mejor de 2.4</t>
        </is>
      </c>
      <c r="E2614" s="16" t="inlineStr">
        <is>
          <t>KF-M07</t>
        </is>
      </c>
      <c r="F2614" s="16" t="inlineStr">
        <is>
          <t>KF-M07-A2</t>
        </is>
      </c>
      <c r="G2614" s="16" t="inlineStr">
        <is>
          <t>B11-A2</t>
        </is>
      </c>
      <c r="H2614" s="16" t="inlineStr">
        <is>
          <t>busqueda</t>
        </is>
      </c>
      <c r="I2614" s="16" t="inlineStr">
        <is>
          <t>CORREGIBLE</t>
        </is>
      </c>
      <c r="J2614" s="16" t="inlineStr">
        <is>
          <t>CORREGIBLE</t>
        </is>
      </c>
      <c r="K2614" s="16" t="b">
        <v>1</v>
      </c>
      <c r="L2614" s="16" t="b">
        <v>0</v>
      </c>
      <c r="M2614" s="16" t="b">
        <v>0</v>
      </c>
      <c r="N2614" s="16" t="b">
        <v>0</v>
      </c>
      <c r="O2614" s="16" t="n">
        <v>420</v>
      </c>
      <c r="P2614" s="16" t="n">
        <v>278.15</v>
      </c>
      <c r="Q2614" s="16" t="n">
        <v>3000</v>
      </c>
      <c r="R2614" s="16" t="n">
        <v>393.75</v>
      </c>
      <c r="S2614" s="16" t="n">
        <v>0.5</v>
      </c>
      <c r="T2614" s="16" t="n">
        <v>0.795</v>
      </c>
      <c r="U2614" s="16" t="n">
        <v>0.75</v>
      </c>
      <c r="V2614" s="16" t="n">
        <v>0.85</v>
      </c>
      <c r="W2614" s="16" t="n">
        <v>0.75</v>
      </c>
      <c r="X2614" s="16" t="n">
        <v>0.8</v>
      </c>
      <c r="Y2614" s="16" t="n">
        <v>278.15</v>
      </c>
      <c r="Z2614" s="16" t="n">
        <v>11.09661555726124</v>
      </c>
      <c r="AA2614" s="16" t="n">
        <v>59.8678114423614</v>
      </c>
      <c r="AB2614" s="16" t="n">
        <v>2606.25</v>
      </c>
      <c r="AC2614" s="16" t="n">
        <v>7.619047619047619</v>
      </c>
      <c r="AD2614" s="16" t="inlineStr">
        <is>
          <t>O2</t>
        </is>
      </c>
      <c r="AE2614" s="16" t="n"/>
    </row>
    <row r="2615">
      <c r="A2615" s="16" t="inlineStr">
        <is>
          <t>KF-M07-A2-0011</t>
        </is>
      </c>
      <c r="B2615" s="16" t="inlineStr">
        <is>
          <t>5.1</t>
        </is>
      </c>
      <c r="C2615" s="16" t="inlineStr">
        <is>
          <t>5.1b</t>
        </is>
      </c>
      <c r="D2615" s="16" t="inlineStr">
        <is>
          <t>libre, desde el mejor de 2.4</t>
        </is>
      </c>
      <c r="E2615" s="16" t="inlineStr">
        <is>
          <t>KF-M07</t>
        </is>
      </c>
      <c r="F2615" s="16" t="inlineStr">
        <is>
          <t>KF-M07-A2</t>
        </is>
      </c>
      <c r="G2615" s="16" t="inlineStr">
        <is>
          <t>B11-A2</t>
        </is>
      </c>
      <c r="H2615" s="16" t="inlineStr">
        <is>
          <t>busqueda</t>
        </is>
      </c>
      <c r="I2615" s="16" t="inlineStr">
        <is>
          <t>KALINA</t>
        </is>
      </c>
      <c r="J2615" s="16" t="inlineStr">
        <is>
          <t>KALINA</t>
        </is>
      </c>
      <c r="K2615" s="16" t="b">
        <v>1</v>
      </c>
      <c r="L2615" s="16" t="b">
        <v>1</v>
      </c>
      <c r="M2615" s="16" t="b">
        <v>0</v>
      </c>
      <c r="N2615" s="16" t="b">
        <v>0</v>
      </c>
      <c r="O2615" s="16" t="n">
        <v>420</v>
      </c>
      <c r="P2615" s="16" t="n">
        <v>278.15</v>
      </c>
      <c r="Q2615" s="16" t="n">
        <v>3000</v>
      </c>
      <c r="R2615" s="16" t="n">
        <v>393.75</v>
      </c>
      <c r="S2615" s="16" t="n">
        <v>0.5</v>
      </c>
      <c r="T2615" s="16" t="n">
        <v>0.85</v>
      </c>
      <c r="U2615" s="16" t="n">
        <v>0.8049999999999999</v>
      </c>
      <c r="V2615" s="16" t="n">
        <v>0.85</v>
      </c>
      <c r="W2615" s="16" t="n">
        <v>0.75</v>
      </c>
      <c r="X2615" s="16" t="n">
        <v>0.8</v>
      </c>
      <c r="Y2615" s="16" t="n">
        <v>278.15</v>
      </c>
      <c r="Z2615" s="16" t="n">
        <v>11.95869995979849</v>
      </c>
      <c r="AA2615" s="16" t="n">
        <v>64.58118220430705</v>
      </c>
      <c r="AB2615" s="16" t="n">
        <v>2606.25</v>
      </c>
      <c r="AC2615" s="16" t="n">
        <v>7.619047619047619</v>
      </c>
      <c r="AD2615" s="16" t="n"/>
      <c r="AE2615" s="16" t="n"/>
    </row>
    <row r="2616">
      <c r="A2616" s="16" t="inlineStr">
        <is>
          <t>KF-M07-A2-0012</t>
        </is>
      </c>
      <c r="B2616" s="16" t="inlineStr">
        <is>
          <t>5.1</t>
        </is>
      </c>
      <c r="C2616" s="16" t="inlineStr">
        <is>
          <t>5.1b</t>
        </is>
      </c>
      <c r="D2616" s="16" t="inlineStr">
        <is>
          <t>libre, desde el mejor de 2.4</t>
        </is>
      </c>
      <c r="E2616" s="16" t="inlineStr">
        <is>
          <t>KF-M07</t>
        </is>
      </c>
      <c r="F2616" s="16" t="inlineStr">
        <is>
          <t>KF-M07-A2</t>
        </is>
      </c>
      <c r="G2616" s="16" t="inlineStr">
        <is>
          <t>B11-A2</t>
        </is>
      </c>
      <c r="H2616" s="16" t="inlineStr">
        <is>
          <t>busqueda</t>
        </is>
      </c>
      <c r="I2616" s="16" t="inlineStr">
        <is>
          <t>KALINA</t>
        </is>
      </c>
      <c r="J2616" s="16" t="inlineStr">
        <is>
          <t>KALINA</t>
        </is>
      </c>
      <c r="K2616" s="16" t="b">
        <v>1</v>
      </c>
      <c r="L2616" s="16" t="b">
        <v>1</v>
      </c>
      <c r="M2616" s="16" t="b">
        <v>0</v>
      </c>
      <c r="N2616" s="16" t="b">
        <v>0</v>
      </c>
      <c r="O2616" s="16" t="n">
        <v>420</v>
      </c>
      <c r="P2616" s="16" t="n">
        <v>278.15</v>
      </c>
      <c r="Q2616" s="16" t="n">
        <v>3000</v>
      </c>
      <c r="R2616" s="16" t="n">
        <v>393.75</v>
      </c>
      <c r="S2616" s="16" t="n">
        <v>0.5</v>
      </c>
      <c r="T2616" s="16" t="n">
        <v>0.85</v>
      </c>
      <c r="U2616" s="16" t="n">
        <v>0.6950000000000001</v>
      </c>
      <c r="V2616" s="16" t="n">
        <v>0.85</v>
      </c>
      <c r="W2616" s="16" t="n">
        <v>0.75</v>
      </c>
      <c r="X2616" s="16" t="n">
        <v>0.8</v>
      </c>
      <c r="Y2616" s="16" t="n">
        <v>278.15</v>
      </c>
      <c r="Z2616" s="16" t="n">
        <v>11.85013799202847</v>
      </c>
      <c r="AA2616" s="16" t="n">
        <v>63.96209365714466</v>
      </c>
      <c r="AB2616" s="16" t="n">
        <v>2606.25</v>
      </c>
      <c r="AC2616" s="16" t="n">
        <v>7.619047619047619</v>
      </c>
      <c r="AD2616" s="16" t="n"/>
      <c r="AE2616" s="16" t="n"/>
    </row>
    <row r="2617">
      <c r="A2617" s="16" t="inlineStr">
        <is>
          <t>KF-M07-A2-0013</t>
        </is>
      </c>
      <c r="B2617" s="16" t="inlineStr">
        <is>
          <t>5.1</t>
        </is>
      </c>
      <c r="C2617" s="16" t="inlineStr">
        <is>
          <t>5.1b</t>
        </is>
      </c>
      <c r="D2617" s="16" t="inlineStr">
        <is>
          <t>libre, desde el mejor de 2.4</t>
        </is>
      </c>
      <c r="E2617" s="16" t="inlineStr">
        <is>
          <t>KF-M07</t>
        </is>
      </c>
      <c r="F2617" s="16" t="inlineStr">
        <is>
          <t>KF-M07-A2</t>
        </is>
      </c>
      <c r="G2617" s="16" t="inlineStr">
        <is>
          <t>B11-A2</t>
        </is>
      </c>
      <c r="H2617" s="16" t="inlineStr">
        <is>
          <t>busqueda</t>
        </is>
      </c>
      <c r="I2617" s="16" t="inlineStr">
        <is>
          <t>CORREGIBLE</t>
        </is>
      </c>
      <c r="J2617" s="16" t="inlineStr">
        <is>
          <t>CORREGIBLE</t>
        </is>
      </c>
      <c r="K2617" s="16" t="b">
        <v>1</v>
      </c>
      <c r="L2617" s="16" t="b">
        <v>0</v>
      </c>
      <c r="M2617" s="16" t="b">
        <v>0</v>
      </c>
      <c r="N2617" s="16" t="b">
        <v>0</v>
      </c>
      <c r="O2617" s="16" t="n">
        <v>420</v>
      </c>
      <c r="P2617" s="16" t="n">
        <v>278.15</v>
      </c>
      <c r="Q2617" s="16" t="n">
        <v>3000</v>
      </c>
      <c r="R2617" s="16" t="n">
        <v>393.75</v>
      </c>
      <c r="S2617" s="16" t="n">
        <v>0.5</v>
      </c>
      <c r="T2617" s="16" t="n">
        <v>0.85</v>
      </c>
      <c r="U2617" s="16" t="n">
        <v>0.75</v>
      </c>
      <c r="V2617" s="16" t="n">
        <v>0.905</v>
      </c>
      <c r="W2617" s="16" t="n">
        <v>0.75</v>
      </c>
      <c r="X2617" s="16" t="n">
        <v>0.8</v>
      </c>
      <c r="Y2617" s="16" t="n">
        <v>278.15</v>
      </c>
      <c r="Z2617" s="16" t="n">
        <v>12.16272633096975</v>
      </c>
      <c r="AA2617" s="16" t="n">
        <v>69.70479731345247</v>
      </c>
      <c r="AB2617" s="16" t="n">
        <v>2606.25</v>
      </c>
      <c r="AC2617" s="16" t="n">
        <v>7.619047619047619</v>
      </c>
      <c r="AD2617" s="16" t="inlineStr">
        <is>
          <t>O2</t>
        </is>
      </c>
      <c r="AE2617" s="16" t="n"/>
    </row>
    <row r="2618">
      <c r="A2618" s="16" t="inlineStr">
        <is>
          <t>KF-M07-A2-0014</t>
        </is>
      </c>
      <c r="B2618" s="16" t="inlineStr">
        <is>
          <t>5.1</t>
        </is>
      </c>
      <c r="C2618" s="16" t="inlineStr">
        <is>
          <t>5.1b</t>
        </is>
      </c>
      <c r="D2618" s="16" t="inlineStr">
        <is>
          <t>libre, desde el mejor de 2.4</t>
        </is>
      </c>
      <c r="E2618" s="16" t="inlineStr">
        <is>
          <t>KF-M07</t>
        </is>
      </c>
      <c r="F2618" s="16" t="inlineStr">
        <is>
          <t>KF-M07-A2</t>
        </is>
      </c>
      <c r="G2618" s="16" t="inlineStr">
        <is>
          <t>B11-A2</t>
        </is>
      </c>
      <c r="H2618" s="16" t="inlineStr">
        <is>
          <t>busqueda</t>
        </is>
      </c>
      <c r="I2618" s="16" t="inlineStr">
        <is>
          <t>KALINA</t>
        </is>
      </c>
      <c r="J2618" s="16" t="inlineStr">
        <is>
          <t>KALINA</t>
        </is>
      </c>
      <c r="K2618" s="16" t="b">
        <v>1</v>
      </c>
      <c r="L2618" s="16" t="b">
        <v>1</v>
      </c>
      <c r="M2618" s="16" t="b">
        <v>0</v>
      </c>
      <c r="N2618" s="16" t="b">
        <v>0</v>
      </c>
      <c r="O2618" s="16" t="n">
        <v>420</v>
      </c>
      <c r="P2618" s="16" t="n">
        <v>278.15</v>
      </c>
      <c r="Q2618" s="16" t="n">
        <v>3000</v>
      </c>
      <c r="R2618" s="16" t="n">
        <v>393.75</v>
      </c>
      <c r="S2618" s="16" t="n">
        <v>0.5</v>
      </c>
      <c r="T2618" s="16" t="n">
        <v>0.85</v>
      </c>
      <c r="U2618" s="16" t="n">
        <v>0.75</v>
      </c>
      <c r="V2618" s="16" t="n">
        <v>0.795</v>
      </c>
      <c r="W2618" s="16" t="n">
        <v>0.75</v>
      </c>
      <c r="X2618" s="16" t="n">
        <v>0.8</v>
      </c>
      <c r="Y2618" s="16" t="n">
        <v>278.15</v>
      </c>
      <c r="Z2618" s="16" t="n">
        <v>11.61319641779901</v>
      </c>
      <c r="AA2618" s="16" t="n">
        <v>58.82630448573201</v>
      </c>
      <c r="AB2618" s="16" t="n">
        <v>2606.25</v>
      </c>
      <c r="AC2618" s="16" t="n">
        <v>7.619047619047619</v>
      </c>
      <c r="AD2618" s="16" t="n"/>
      <c r="AE2618" s="16" t="n"/>
    </row>
    <row r="2619">
      <c r="A2619" s="16" t="inlineStr">
        <is>
          <t>KF-M07-A2-0015</t>
        </is>
      </c>
      <c r="B2619" s="16" t="inlineStr">
        <is>
          <t>5.1</t>
        </is>
      </c>
      <c r="C2619" s="16" t="inlineStr">
        <is>
          <t>5.1b</t>
        </is>
      </c>
      <c r="D2619" s="16" t="inlineStr">
        <is>
          <t>libre, desde el mejor de 2.4</t>
        </is>
      </c>
      <c r="E2619" s="16" t="inlineStr">
        <is>
          <t>KF-M07</t>
        </is>
      </c>
      <c r="F2619" s="16" t="inlineStr">
        <is>
          <t>KF-M07-A2</t>
        </is>
      </c>
      <c r="G2619" s="16" t="inlineStr">
        <is>
          <t>B11-A2</t>
        </is>
      </c>
      <c r="H2619" s="16" t="inlineStr">
        <is>
          <t>busqueda</t>
        </is>
      </c>
      <c r="I2619" s="16" t="inlineStr">
        <is>
          <t>KALINA</t>
        </is>
      </c>
      <c r="J2619" s="16" t="inlineStr">
        <is>
          <t>KALINA</t>
        </is>
      </c>
      <c r="K2619" s="16" t="b">
        <v>1</v>
      </c>
      <c r="L2619" s="16" t="b">
        <v>1</v>
      </c>
      <c r="M2619" s="16" t="b">
        <v>0</v>
      </c>
      <c r="N2619" s="16" t="b">
        <v>0</v>
      </c>
      <c r="O2619" s="16" t="n">
        <v>420</v>
      </c>
      <c r="P2619" s="16" t="n">
        <v>278.15</v>
      </c>
      <c r="Q2619" s="16" t="n">
        <v>3000</v>
      </c>
      <c r="R2619" s="16" t="n">
        <v>393.75</v>
      </c>
      <c r="S2619" s="16" t="n">
        <v>0.5</v>
      </c>
      <c r="T2619" s="16" t="n">
        <v>0.85</v>
      </c>
      <c r="U2619" s="16" t="n">
        <v>0.75</v>
      </c>
      <c r="V2619" s="16" t="n">
        <v>0.85</v>
      </c>
      <c r="W2619" s="16" t="n">
        <v>0.8049999999999999</v>
      </c>
      <c r="X2619" s="16" t="n">
        <v>0.8</v>
      </c>
      <c r="Y2619" s="16" t="n">
        <v>278.15</v>
      </c>
      <c r="Z2619" s="16" t="n">
        <v>12.36983746255648</v>
      </c>
      <c r="AA2619" s="16" t="n">
        <v>64.7487922189103</v>
      </c>
      <c r="AB2619" s="16" t="n">
        <v>2606.25</v>
      </c>
      <c r="AC2619" s="16" t="n">
        <v>7.619047619047619</v>
      </c>
      <c r="AD2619" s="16" t="n"/>
      <c r="AE2619" s="16" t="n"/>
    </row>
    <row r="2620">
      <c r="A2620" s="16" t="inlineStr">
        <is>
          <t>KF-M07-A2-0016</t>
        </is>
      </c>
      <c r="B2620" s="16" t="inlineStr">
        <is>
          <t>5.1</t>
        </is>
      </c>
      <c r="C2620" s="16" t="inlineStr">
        <is>
          <t>5.1b</t>
        </is>
      </c>
      <c r="D2620" s="16" t="inlineStr">
        <is>
          <t>libre, desde el mejor de 2.4</t>
        </is>
      </c>
      <c r="E2620" s="16" t="inlineStr">
        <is>
          <t>KF-M07</t>
        </is>
      </c>
      <c r="F2620" s="16" t="inlineStr">
        <is>
          <t>KF-M07-A2</t>
        </is>
      </c>
      <c r="G2620" s="16" t="inlineStr">
        <is>
          <t>B11-A2</t>
        </is>
      </c>
      <c r="H2620" s="16" t="inlineStr">
        <is>
          <t>busqueda</t>
        </is>
      </c>
      <c r="I2620" s="16" t="inlineStr">
        <is>
          <t>CORREGIBLE</t>
        </is>
      </c>
      <c r="J2620" s="16" t="inlineStr">
        <is>
          <t>CORREGIBLE</t>
        </is>
      </c>
      <c r="K2620" s="16" t="b">
        <v>1</v>
      </c>
      <c r="L2620" s="16" t="b">
        <v>0</v>
      </c>
      <c r="M2620" s="16" t="b">
        <v>0</v>
      </c>
      <c r="N2620" s="16" t="b">
        <v>0</v>
      </c>
      <c r="O2620" s="16" t="n">
        <v>420</v>
      </c>
      <c r="P2620" s="16" t="n">
        <v>278.15</v>
      </c>
      <c r="Q2620" s="16" t="n">
        <v>3000</v>
      </c>
      <c r="R2620" s="16" t="n">
        <v>393.75</v>
      </c>
      <c r="S2620" s="16" t="n">
        <v>0.5</v>
      </c>
      <c r="T2620" s="16" t="n">
        <v>0.85</v>
      </c>
      <c r="U2620" s="16" t="n">
        <v>0.75</v>
      </c>
      <c r="V2620" s="16" t="n">
        <v>0.85</v>
      </c>
      <c r="W2620" s="16" t="n">
        <v>0.6950000000000001</v>
      </c>
      <c r="X2620" s="16" t="n">
        <v>0.8</v>
      </c>
      <c r="Y2620" s="16" t="n">
        <v>278.15</v>
      </c>
      <c r="Z2620" s="16" t="n">
        <v>11.47922735521104</v>
      </c>
      <c r="AA2620" s="16" t="n">
        <v>63.84000527370564</v>
      </c>
      <c r="AB2620" s="16" t="n">
        <v>2606.25</v>
      </c>
      <c r="AC2620" s="16" t="n">
        <v>7.619047619047619</v>
      </c>
      <c r="AD2620" s="16" t="inlineStr">
        <is>
          <t>O2</t>
        </is>
      </c>
      <c r="AE2620" s="16" t="n"/>
    </row>
    <row r="2621">
      <c r="A2621" s="16" t="inlineStr">
        <is>
          <t>KF-M07-A2-0017</t>
        </is>
      </c>
      <c r="B2621" s="16" t="inlineStr">
        <is>
          <t>5.1</t>
        </is>
      </c>
      <c r="C2621" s="16" t="inlineStr">
        <is>
          <t>5.1b</t>
        </is>
      </c>
      <c r="D2621" s="16" t="inlineStr">
        <is>
          <t>libre, desde el mejor de 2.4</t>
        </is>
      </c>
      <c r="E2621" s="16" t="inlineStr">
        <is>
          <t>KF-M07</t>
        </is>
      </c>
      <c r="F2621" s="16" t="inlineStr">
        <is>
          <t>KF-M07-A2</t>
        </is>
      </c>
      <c r="G2621" s="16" t="inlineStr">
        <is>
          <t>B11-A2</t>
        </is>
      </c>
      <c r="H2621" s="16" t="inlineStr">
        <is>
          <t>busqueda</t>
        </is>
      </c>
      <c r="I2621" s="16" t="inlineStr">
        <is>
          <t>KALINA</t>
        </is>
      </c>
      <c r="J2621" s="16" t="inlineStr">
        <is>
          <t>KALINA</t>
        </is>
      </c>
      <c r="K2621" s="16" t="b">
        <v>1</v>
      </c>
      <c r="L2621" s="16" t="b">
        <v>1</v>
      </c>
      <c r="M2621" s="16" t="b">
        <v>0</v>
      </c>
      <c r="N2621" s="16" t="b">
        <v>0</v>
      </c>
      <c r="O2621" s="16" t="n">
        <v>420</v>
      </c>
      <c r="P2621" s="16" t="n">
        <v>278.15</v>
      </c>
      <c r="Q2621" s="16" t="n">
        <v>3000</v>
      </c>
      <c r="R2621" s="16" t="n">
        <v>393.75</v>
      </c>
      <c r="S2621" s="16" t="n">
        <v>0.5</v>
      </c>
      <c r="T2621" s="16" t="n">
        <v>0.85</v>
      </c>
      <c r="U2621" s="16" t="n">
        <v>0.75</v>
      </c>
      <c r="V2621" s="16" t="n">
        <v>0.85</v>
      </c>
      <c r="W2621" s="16" t="n">
        <v>0.75</v>
      </c>
      <c r="X2621" s="16" t="n">
        <v>0.855</v>
      </c>
      <c r="Y2621" s="16" t="n">
        <v>278.15</v>
      </c>
      <c r="Z2621" s="16" t="n">
        <v>11.54689458987405</v>
      </c>
      <c r="AA2621" s="16" t="n">
        <v>63.9512376062917</v>
      </c>
      <c r="AB2621" s="16" t="n">
        <v>2606.25</v>
      </c>
      <c r="AC2621" s="16" t="n">
        <v>7.619047619047619</v>
      </c>
      <c r="AD2621" s="16" t="n"/>
      <c r="AE2621" s="16" t="n"/>
    </row>
    <row r="2622">
      <c r="A2622" s="16" t="inlineStr">
        <is>
          <t>KF-M07-A2-0018</t>
        </is>
      </c>
      <c r="B2622" s="16" t="inlineStr">
        <is>
          <t>5.1</t>
        </is>
      </c>
      <c r="C2622" s="16" t="inlineStr">
        <is>
          <t>5.1b</t>
        </is>
      </c>
      <c r="D2622" s="16" t="inlineStr">
        <is>
          <t>libre, desde el mejor de 2.4</t>
        </is>
      </c>
      <c r="E2622" s="16" t="inlineStr">
        <is>
          <t>KF-M07</t>
        </is>
      </c>
      <c r="F2622" s="16" t="inlineStr">
        <is>
          <t>KF-M07-A2</t>
        </is>
      </c>
      <c r="G2622" s="16" t="inlineStr">
        <is>
          <t>B11-A2</t>
        </is>
      </c>
      <c r="H2622" s="16" t="inlineStr">
        <is>
          <t>busqueda</t>
        </is>
      </c>
      <c r="I2622" s="16" t="inlineStr">
        <is>
          <t>CORREGIBLE</t>
        </is>
      </c>
      <c r="J2622" s="16" t="inlineStr">
        <is>
          <t>CORREGIBLE</t>
        </is>
      </c>
      <c r="K2622" s="16" t="b">
        <v>1</v>
      </c>
      <c r="L2622" s="16" t="b">
        <v>0</v>
      </c>
      <c r="M2622" s="16" t="b">
        <v>0</v>
      </c>
      <c r="N2622" s="16" t="b">
        <v>0</v>
      </c>
      <c r="O2622" s="16" t="n">
        <v>420</v>
      </c>
      <c r="P2622" s="16" t="n">
        <v>278.15</v>
      </c>
      <c r="Q2622" s="16" t="n">
        <v>3000</v>
      </c>
      <c r="R2622" s="16" t="n">
        <v>393.75</v>
      </c>
      <c r="S2622" s="16" t="n">
        <v>0.5</v>
      </c>
      <c r="T2622" s="16" t="n">
        <v>0.85</v>
      </c>
      <c r="U2622" s="16" t="n">
        <v>0.75</v>
      </c>
      <c r="V2622" s="16" t="n">
        <v>0.85</v>
      </c>
      <c r="W2622" s="16" t="n">
        <v>0.75</v>
      </c>
      <c r="X2622" s="16" t="n">
        <v>0.7450000000000001</v>
      </c>
      <c r="Y2622" s="16" t="n">
        <v>278.15</v>
      </c>
      <c r="Z2622" s="16" t="n">
        <v>12.21901858372232</v>
      </c>
      <c r="AA2622" s="16" t="n">
        <v>64.10056637329129</v>
      </c>
      <c r="AB2622" s="16" t="n">
        <v>2606.25</v>
      </c>
      <c r="AC2622" s="16" t="n">
        <v>7.619047619047619</v>
      </c>
      <c r="AD2622" s="16" t="inlineStr">
        <is>
          <t>O2</t>
        </is>
      </c>
      <c r="AE2622" s="16" t="n"/>
    </row>
    <row r="2623">
      <c r="A2623" s="16" t="inlineStr">
        <is>
          <t>KF-M07-A2-0019</t>
        </is>
      </c>
      <c r="B2623" s="16" t="inlineStr">
        <is>
          <t>5.1</t>
        </is>
      </c>
      <c r="C2623" s="16" t="inlineStr">
        <is>
          <t>5.1b</t>
        </is>
      </c>
      <c r="D2623" s="16" t="inlineStr">
        <is>
          <t>libre, desde el mejor de 2.4</t>
        </is>
      </c>
      <c r="E2623" s="16" t="inlineStr">
        <is>
          <t>KF-M07</t>
        </is>
      </c>
      <c r="F2623" s="16" t="inlineStr">
        <is>
          <t>KF-M07-A2</t>
        </is>
      </c>
      <c r="G2623" s="16" t="inlineStr">
        <is>
          <t>B11-A2</t>
        </is>
      </c>
      <c r="H2623" s="16" t="inlineStr">
        <is>
          <t>busqueda</t>
        </is>
      </c>
      <c r="I2623" s="16" t="inlineStr">
        <is>
          <t>CORREGIBLE</t>
        </is>
      </c>
      <c r="J2623" s="16" t="inlineStr">
        <is>
          <t>CORREGIBLE</t>
        </is>
      </c>
      <c r="K2623" s="16" t="b">
        <v>1</v>
      </c>
      <c r="L2623" s="16" t="b">
        <v>0</v>
      </c>
      <c r="M2623" s="16" t="b">
        <v>1</v>
      </c>
      <c r="N2623" s="16" t="b">
        <v>0</v>
      </c>
      <c r="O2623" s="16" t="n">
        <v>432</v>
      </c>
      <c r="P2623" s="16" t="n">
        <v>278.15</v>
      </c>
      <c r="Q2623" s="16" t="n">
        <v>3000</v>
      </c>
      <c r="R2623" s="16" t="n">
        <v>393.75</v>
      </c>
      <c r="S2623" s="16" t="n">
        <v>0.5</v>
      </c>
      <c r="T2623" s="16" t="n">
        <v>0.905</v>
      </c>
      <c r="U2623" s="16" t="n">
        <v>0.75</v>
      </c>
      <c r="V2623" s="16" t="n">
        <v>0.85</v>
      </c>
      <c r="W2623" s="16" t="n">
        <v>0.75</v>
      </c>
      <c r="X2623" s="16" t="n">
        <v>0.8</v>
      </c>
      <c r="Y2623" s="16" t="n">
        <v>278.15</v>
      </c>
      <c r="Z2623" s="16" t="n">
        <v>13.70638239108635</v>
      </c>
      <c r="AA2623" s="16" t="n">
        <v>95.85708173231414</v>
      </c>
      <c r="AB2623" s="16" t="n">
        <v>2606.25</v>
      </c>
      <c r="AC2623" s="16" t="n">
        <v>7.619047619047619</v>
      </c>
      <c r="AD2623" s="16" t="inlineStr">
        <is>
          <t>O2</t>
        </is>
      </c>
      <c r="AE2623" s="16" t="n"/>
    </row>
    <row r="2624">
      <c r="A2624" s="16" t="inlineStr">
        <is>
          <t>KF-M07-A2-0020</t>
        </is>
      </c>
      <c r="B2624" s="16" t="inlineStr">
        <is>
          <t>5.1</t>
        </is>
      </c>
      <c r="C2624" s="16" t="inlineStr">
        <is>
          <t>5.1b</t>
        </is>
      </c>
      <c r="D2624" s="16" t="inlineStr">
        <is>
          <t>libre, desde el mejor de 2.4</t>
        </is>
      </c>
      <c r="E2624" s="16" t="inlineStr">
        <is>
          <t>KF-M07</t>
        </is>
      </c>
      <c r="F2624" s="16" t="inlineStr">
        <is>
          <t>KF-M07-A2</t>
        </is>
      </c>
      <c r="G2624" s="16" t="inlineStr">
        <is>
          <t>B11-A2</t>
        </is>
      </c>
      <c r="H2624" s="16" t="inlineStr">
        <is>
          <t>busqueda</t>
        </is>
      </c>
      <c r="I2624" s="16" t="inlineStr">
        <is>
          <t>KALINA</t>
        </is>
      </c>
      <c r="J2624" s="16" t="inlineStr">
        <is>
          <t>KALINA</t>
        </is>
      </c>
      <c r="K2624" s="16" t="b">
        <v>1</v>
      </c>
      <c r="L2624" s="16" t="b">
        <v>1</v>
      </c>
      <c r="M2624" s="16" t="b">
        <v>0</v>
      </c>
      <c r="N2624" s="16" t="b">
        <v>0</v>
      </c>
      <c r="O2624" s="16" t="n">
        <v>408</v>
      </c>
      <c r="P2624" s="16" t="n">
        <v>278.15</v>
      </c>
      <c r="Q2624" s="16" t="n">
        <v>3000</v>
      </c>
      <c r="R2624" s="16" t="n">
        <v>393.75</v>
      </c>
      <c r="S2624" s="16" t="n">
        <v>0.5</v>
      </c>
      <c r="T2624" s="16" t="n">
        <v>0.905</v>
      </c>
      <c r="U2624" s="16" t="n">
        <v>0.75</v>
      </c>
      <c r="V2624" s="16" t="n">
        <v>0.85</v>
      </c>
      <c r="W2624" s="16" t="n">
        <v>0.75</v>
      </c>
      <c r="X2624" s="16" t="n">
        <v>0.8</v>
      </c>
      <c r="Y2624" s="16" t="n">
        <v>278.15</v>
      </c>
      <c r="Z2624" s="16" t="n">
        <v>10.9734586523632</v>
      </c>
      <c r="AA2624" s="16" t="n">
        <v>43.37460590558342</v>
      </c>
      <c r="AB2624" s="16" t="n">
        <v>2606.25</v>
      </c>
      <c r="AC2624" s="16" t="n">
        <v>7.619047619047619</v>
      </c>
      <c r="AD2624" s="16" t="n"/>
      <c r="AE2624" s="16" t="n"/>
    </row>
    <row r="2625">
      <c r="A2625" s="16" t="inlineStr">
        <is>
          <t>KF-M07-A2-0021</t>
        </is>
      </c>
      <c r="B2625" s="16" t="inlineStr">
        <is>
          <t>5.1</t>
        </is>
      </c>
      <c r="C2625" s="16" t="inlineStr">
        <is>
          <t>5.1b</t>
        </is>
      </c>
      <c r="D2625" s="16" t="inlineStr">
        <is>
          <t>libre, desde el mejor de 2.4</t>
        </is>
      </c>
      <c r="E2625" s="16" t="inlineStr">
        <is>
          <t>KF-M07</t>
        </is>
      </c>
      <c r="F2625" s="16" t="inlineStr">
        <is>
          <t>KF-M07-A2</t>
        </is>
      </c>
      <c r="G2625" s="16" t="inlineStr">
        <is>
          <t>B11-A2</t>
        </is>
      </c>
      <c r="H2625" s="16" t="inlineStr">
        <is>
          <t>busqueda</t>
        </is>
      </c>
      <c r="I2625" s="16" t="inlineStr">
        <is>
          <t>CORREGIBLE</t>
        </is>
      </c>
      <c r="J2625" s="16" t="inlineStr">
        <is>
          <t>CORREGIBLE</t>
        </is>
      </c>
      <c r="K2625" s="16" t="b">
        <v>1</v>
      </c>
      <c r="L2625" s="16" t="b">
        <v>0</v>
      </c>
      <c r="M2625" s="16" t="b">
        <v>0</v>
      </c>
      <c r="N2625" s="16" t="b">
        <v>0</v>
      </c>
      <c r="O2625" s="16" t="n">
        <v>420</v>
      </c>
      <c r="P2625" s="16" t="n">
        <v>280.69</v>
      </c>
      <c r="Q2625" s="16" t="n">
        <v>3000</v>
      </c>
      <c r="R2625" s="16" t="n">
        <v>393.75</v>
      </c>
      <c r="S2625" s="16" t="n">
        <v>0.5</v>
      </c>
      <c r="T2625" s="16" t="n">
        <v>0.905</v>
      </c>
      <c r="U2625" s="16" t="n">
        <v>0.75</v>
      </c>
      <c r="V2625" s="16" t="n">
        <v>0.85</v>
      </c>
      <c r="W2625" s="16" t="n">
        <v>0.75</v>
      </c>
      <c r="X2625" s="16" t="n">
        <v>0.8</v>
      </c>
      <c r="Y2625" s="16" t="n">
        <v>280.69</v>
      </c>
      <c r="Z2625" s="16" t="n">
        <v>12.82962978182396</v>
      </c>
      <c r="AA2625" s="16" t="n">
        <v>68.79330407539848</v>
      </c>
      <c r="AB2625" s="16" t="n">
        <v>2606.25</v>
      </c>
      <c r="AC2625" s="16" t="n">
        <v>7.619047619047619</v>
      </c>
      <c r="AD2625" s="16" t="inlineStr">
        <is>
          <t>O2</t>
        </is>
      </c>
      <c r="AE2625" s="16" t="n"/>
    </row>
    <row r="2626">
      <c r="A2626" s="16" t="inlineStr">
        <is>
          <t>KF-M07-A2-0022</t>
        </is>
      </c>
      <c r="B2626" s="16" t="inlineStr">
        <is>
          <t>5.1</t>
        </is>
      </c>
      <c r="C2626" s="16" t="inlineStr">
        <is>
          <t>5.1b</t>
        </is>
      </c>
      <c r="D2626" s="16" t="inlineStr">
        <is>
          <t>libre, desde el mejor de 2.4</t>
        </is>
      </c>
      <c r="E2626" s="16" t="inlineStr">
        <is>
          <t>KF-M07</t>
        </is>
      </c>
      <c r="F2626" s="16" t="inlineStr">
        <is>
          <t>KF-M07-A2</t>
        </is>
      </c>
      <c r="G2626" s="16" t="inlineStr">
        <is>
          <t>B11-A2</t>
        </is>
      </c>
      <c r="H2626" s="16" t="inlineStr">
        <is>
          <t>busqueda</t>
        </is>
      </c>
      <c r="I2626" s="16" t="inlineStr">
        <is>
          <t>KALINA</t>
        </is>
      </c>
      <c r="J2626" s="16" t="inlineStr">
        <is>
          <t>KALINA</t>
        </is>
      </c>
      <c r="K2626" s="16" t="b">
        <v>1</v>
      </c>
      <c r="L2626" s="16" t="b">
        <v>1</v>
      </c>
      <c r="M2626" s="16" t="b">
        <v>0</v>
      </c>
      <c r="N2626" s="16" t="b">
        <v>0</v>
      </c>
      <c r="O2626" s="16" t="n">
        <v>420</v>
      </c>
      <c r="P2626" s="16" t="n">
        <v>278.15</v>
      </c>
      <c r="Q2626" s="16" t="n">
        <v>3300</v>
      </c>
      <c r="R2626" s="16" t="n">
        <v>393.75</v>
      </c>
      <c r="S2626" s="16" t="n">
        <v>0.5</v>
      </c>
      <c r="T2626" s="16" t="n">
        <v>0.905</v>
      </c>
      <c r="U2626" s="16" t="n">
        <v>0.75</v>
      </c>
      <c r="V2626" s="16" t="n">
        <v>0.85</v>
      </c>
      <c r="W2626" s="16" t="n">
        <v>0.75</v>
      </c>
      <c r="X2626" s="16" t="n">
        <v>0.8</v>
      </c>
      <c r="Y2626" s="16" t="n">
        <v>278.15</v>
      </c>
      <c r="Z2626" s="16" t="n">
        <v>12.44043815924933</v>
      </c>
      <c r="AA2626" s="16" t="n">
        <v>60.21403067571046</v>
      </c>
      <c r="AB2626" s="16" t="n">
        <v>2906.25</v>
      </c>
      <c r="AC2626" s="16" t="n">
        <v>8.380952380952381</v>
      </c>
      <c r="AD2626" s="16" t="n"/>
      <c r="AE2626" s="16" t="n"/>
    </row>
    <row r="2627">
      <c r="A2627" s="16" t="inlineStr">
        <is>
          <t>KF-M07-A2-0023</t>
        </is>
      </c>
      <c r="B2627" s="16" t="inlineStr">
        <is>
          <t>5.1</t>
        </is>
      </c>
      <c r="C2627" s="16" t="inlineStr">
        <is>
          <t>5.1b</t>
        </is>
      </c>
      <c r="D2627" s="16" t="inlineStr">
        <is>
          <t>libre, desde el mejor de 2.4</t>
        </is>
      </c>
      <c r="E2627" s="16" t="inlineStr">
        <is>
          <t>KF-M07</t>
        </is>
      </c>
      <c r="F2627" s="16" t="inlineStr">
        <is>
          <t>KF-M07-A2</t>
        </is>
      </c>
      <c r="G2627" s="16" t="inlineStr">
        <is>
          <t>B11-A2</t>
        </is>
      </c>
      <c r="H2627" s="16" t="inlineStr">
        <is>
          <t>busqueda</t>
        </is>
      </c>
      <c r="I2627" s="16" t="inlineStr">
        <is>
          <t>CORREGIBLE</t>
        </is>
      </c>
      <c r="J2627" s="16" t="inlineStr">
        <is>
          <t>CORREGIBLE</t>
        </is>
      </c>
      <c r="K2627" s="16" t="b">
        <v>1</v>
      </c>
      <c r="L2627" s="16" t="b">
        <v>0</v>
      </c>
      <c r="M2627" s="16" t="b">
        <v>0</v>
      </c>
      <c r="N2627" s="16" t="b">
        <v>0</v>
      </c>
      <c r="O2627" s="16" t="n">
        <v>420</v>
      </c>
      <c r="P2627" s="16" t="n">
        <v>278.15</v>
      </c>
      <c r="Q2627" s="16" t="n">
        <v>2700</v>
      </c>
      <c r="R2627" s="16" t="n">
        <v>393.75</v>
      </c>
      <c r="S2627" s="16" t="n">
        <v>0.5</v>
      </c>
      <c r="T2627" s="16" t="n">
        <v>0.905</v>
      </c>
      <c r="U2627" s="16" t="n">
        <v>0.75</v>
      </c>
      <c r="V2627" s="16" t="n">
        <v>0.85</v>
      </c>
      <c r="W2627" s="16" t="n">
        <v>0.75</v>
      </c>
      <c r="X2627" s="16" t="n">
        <v>0.8</v>
      </c>
      <c r="Y2627" s="16" t="n">
        <v>278.15</v>
      </c>
      <c r="Z2627" s="16" t="n">
        <v>12.73635912497738</v>
      </c>
      <c r="AA2627" s="16" t="n">
        <v>76.56315956514798</v>
      </c>
      <c r="AB2627" s="16" t="n">
        <v>2306.25</v>
      </c>
      <c r="AC2627" s="16" t="n">
        <v>6.857142857142857</v>
      </c>
      <c r="AD2627" s="16" t="inlineStr">
        <is>
          <t>O2</t>
        </is>
      </c>
      <c r="AE2627" s="16" t="n"/>
    </row>
    <row r="2628">
      <c r="A2628" s="16" t="inlineStr">
        <is>
          <t>KF-M07-A2-0024</t>
        </is>
      </c>
      <c r="B2628" s="16" t="inlineStr">
        <is>
          <t>5.1</t>
        </is>
      </c>
      <c r="C2628" s="16" t="inlineStr">
        <is>
          <t>5.1b</t>
        </is>
      </c>
      <c r="D2628" s="16" t="inlineStr">
        <is>
          <t>libre, desde el mejor de 2.4</t>
        </is>
      </c>
      <c r="E2628" s="16" t="inlineStr">
        <is>
          <t>KF-M07</t>
        </is>
      </c>
      <c r="F2628" s="16" t="inlineStr">
        <is>
          <t>KF-M07-A2</t>
        </is>
      </c>
      <c r="G2628" s="16" t="inlineStr">
        <is>
          <t>B11-A2</t>
        </is>
      </c>
      <c r="H2628" s="16" t="inlineStr">
        <is>
          <t>busqueda</t>
        </is>
      </c>
      <c r="I2628" s="16" t="inlineStr">
        <is>
          <t>KALINA</t>
        </is>
      </c>
      <c r="J2628" s="16" t="inlineStr">
        <is>
          <t>KALINA</t>
        </is>
      </c>
      <c r="K2628" s="16" t="b">
        <v>1</v>
      </c>
      <c r="L2628" s="16" t="b">
        <v>1</v>
      </c>
      <c r="M2628" s="16" t="b">
        <v>0</v>
      </c>
      <c r="N2628" s="16" t="b">
        <v>0</v>
      </c>
      <c r="O2628" s="16" t="n">
        <v>420</v>
      </c>
      <c r="P2628" s="16" t="n">
        <v>278.15</v>
      </c>
      <c r="Q2628" s="16" t="n">
        <v>3000</v>
      </c>
      <c r="R2628" s="16" t="n">
        <v>613.75</v>
      </c>
      <c r="S2628" s="16" t="n">
        <v>0.5</v>
      </c>
      <c r="T2628" s="16" t="n">
        <v>0.905</v>
      </c>
      <c r="U2628" s="16" t="n">
        <v>0.75</v>
      </c>
      <c r="V2628" s="16" t="n">
        <v>0.85</v>
      </c>
      <c r="W2628" s="16" t="n">
        <v>0.75</v>
      </c>
      <c r="X2628" s="16" t="n">
        <v>0.8</v>
      </c>
      <c r="Y2628" s="16" t="n">
        <v>278.15</v>
      </c>
      <c r="Z2628" s="16" t="n">
        <v>10.1192852416452</v>
      </c>
      <c r="AA2628" s="16" t="n">
        <v>54.55355958888133</v>
      </c>
      <c r="AB2628" s="16" t="n">
        <v>2386.25</v>
      </c>
      <c r="AC2628" s="16" t="n">
        <v>4.887983706720978</v>
      </c>
      <c r="AD2628" s="16" t="n"/>
      <c r="AE2628" s="16" t="n"/>
    </row>
    <row r="2629">
      <c r="A2629" s="16" t="inlineStr">
        <is>
          <t>KF-M07-A2-0025</t>
        </is>
      </c>
      <c r="B2629" s="16" t="inlineStr">
        <is>
          <t>5.1</t>
        </is>
      </c>
      <c r="C2629" s="16" t="inlineStr">
        <is>
          <t>5.1b</t>
        </is>
      </c>
      <c r="D2629" s="16" t="inlineStr">
        <is>
          <t>libre, desde el mejor de 2.4</t>
        </is>
      </c>
      <c r="E2629" s="16" t="inlineStr">
        <is>
          <t>KF-M07</t>
        </is>
      </c>
      <c r="F2629" s="16" t="inlineStr">
        <is>
          <t>KF-M07-A2</t>
        </is>
      </c>
      <c r="G2629" s="16" t="inlineStr">
        <is>
          <t>B11-A2</t>
        </is>
      </c>
      <c r="H2629" s="16" t="inlineStr">
        <is>
          <t>busqueda</t>
        </is>
      </c>
      <c r="I2629" s="16" t="inlineStr">
        <is>
          <t>CORREGIBLE</t>
        </is>
      </c>
      <c r="J2629" s="16" t="inlineStr">
        <is>
          <t>CORREGIBLE</t>
        </is>
      </c>
      <c r="K2629" s="16" t="b">
        <v>1</v>
      </c>
      <c r="L2629" s="16" t="b">
        <v>0</v>
      </c>
      <c r="M2629" s="16" t="b">
        <v>0</v>
      </c>
      <c r="N2629" s="16" t="b">
        <v>0</v>
      </c>
      <c r="O2629" s="16" t="n">
        <v>420</v>
      </c>
      <c r="P2629" s="16" t="n">
        <v>278.15</v>
      </c>
      <c r="Q2629" s="16" t="n">
        <v>3000</v>
      </c>
      <c r="R2629" s="16" t="n">
        <v>300</v>
      </c>
      <c r="S2629" s="16" t="n">
        <v>0.5</v>
      </c>
      <c r="T2629" s="16" t="n">
        <v>0.905</v>
      </c>
      <c r="U2629" s="16" t="n">
        <v>0.75</v>
      </c>
      <c r="V2629" s="16" t="n">
        <v>0.85</v>
      </c>
      <c r="W2629" s="16" t="n">
        <v>0.75</v>
      </c>
      <c r="X2629" s="16" t="n">
        <v>0.8</v>
      </c>
      <c r="Y2629" s="16" t="n">
        <v>278.15</v>
      </c>
      <c r="Z2629" s="16" t="n">
        <v>14.17001186186783</v>
      </c>
      <c r="AA2629" s="16" t="n">
        <v>76.63334712156231</v>
      </c>
      <c r="AB2629" s="16" t="n">
        <v>2700</v>
      </c>
      <c r="AC2629" s="16" t="n">
        <v>10</v>
      </c>
      <c r="AD2629" s="16" t="inlineStr">
        <is>
          <t>O2</t>
        </is>
      </c>
      <c r="AE2629" s="16" t="n"/>
    </row>
    <row r="2630">
      <c r="A2630" s="16" t="inlineStr">
        <is>
          <t>KF-M07-A2-0026</t>
        </is>
      </c>
      <c r="B2630" s="16" t="inlineStr">
        <is>
          <t>5.1</t>
        </is>
      </c>
      <c r="C2630" s="16" t="inlineStr">
        <is>
          <t>5.1b</t>
        </is>
      </c>
      <c r="D2630" s="16" t="inlineStr">
        <is>
          <t>libre, desde el mejor de 2.4</t>
        </is>
      </c>
      <c r="E2630" s="16" t="inlineStr">
        <is>
          <t>KF-M07</t>
        </is>
      </c>
      <c r="F2630" s="16" t="inlineStr">
        <is>
          <t>KF-M07-A2</t>
        </is>
      </c>
      <c r="G2630" s="16" t="inlineStr">
        <is>
          <t>B11-A2</t>
        </is>
      </c>
      <c r="H2630" s="16" t="inlineStr">
        <is>
          <t>busqueda</t>
        </is>
      </c>
      <c r="I2630" s="16" t="inlineStr">
        <is>
          <t>CORREGIBLE</t>
        </is>
      </c>
      <c r="J2630" s="16" t="inlineStr">
        <is>
          <t>CORREGIBLE</t>
        </is>
      </c>
      <c r="K2630" s="16" t="b">
        <v>1</v>
      </c>
      <c r="L2630" s="16" t="b">
        <v>0</v>
      </c>
      <c r="M2630" s="16" t="b">
        <v>0</v>
      </c>
      <c r="N2630" s="16" t="b">
        <v>0</v>
      </c>
      <c r="O2630" s="16" t="n">
        <v>420</v>
      </c>
      <c r="P2630" s="16" t="n">
        <v>278.15</v>
      </c>
      <c r="Q2630" s="16" t="n">
        <v>3000</v>
      </c>
      <c r="R2630" s="16" t="n">
        <v>393.75</v>
      </c>
      <c r="S2630" s="16" t="n">
        <v>0.535</v>
      </c>
      <c r="T2630" s="16" t="n">
        <v>0.905</v>
      </c>
      <c r="U2630" s="16" t="n">
        <v>0.75</v>
      </c>
      <c r="V2630" s="16" t="n">
        <v>0.85</v>
      </c>
      <c r="W2630" s="16" t="n">
        <v>0.75</v>
      </c>
      <c r="X2630" s="16" t="n">
        <v>0.8</v>
      </c>
      <c r="Y2630" s="16" t="n">
        <v>278.15</v>
      </c>
      <c r="Z2630" s="16" t="n">
        <v>13.71575873246682</v>
      </c>
      <c r="AA2630" s="16" t="n">
        <v>84.75076107052379</v>
      </c>
      <c r="AB2630" s="16" t="n">
        <v>2606.25</v>
      </c>
      <c r="AC2630" s="16" t="n">
        <v>7.619047619047619</v>
      </c>
      <c r="AD2630" s="16" t="inlineStr">
        <is>
          <t>O2</t>
        </is>
      </c>
      <c r="AE2630" s="16" t="n"/>
    </row>
    <row r="2631">
      <c r="A2631" s="16" t="inlineStr">
        <is>
          <t>KF-M07-A2-0027</t>
        </is>
      </c>
      <c r="B2631" s="16" t="inlineStr">
        <is>
          <t>5.1</t>
        </is>
      </c>
      <c r="C2631" s="16" t="inlineStr">
        <is>
          <t>5.1b</t>
        </is>
      </c>
      <c r="D2631" s="16" t="inlineStr">
        <is>
          <t>libre, desde el mejor de 2.4</t>
        </is>
      </c>
      <c r="E2631" s="16" t="inlineStr">
        <is>
          <t>KF-M07</t>
        </is>
      </c>
      <c r="F2631" s="16" t="inlineStr">
        <is>
          <t>KF-M07-A2</t>
        </is>
      </c>
      <c r="G2631" s="16" t="inlineStr">
        <is>
          <t>B11-A2</t>
        </is>
      </c>
      <c r="H2631" s="16" t="inlineStr">
        <is>
          <t>busqueda</t>
        </is>
      </c>
      <c r="I2631" s="16" t="inlineStr">
        <is>
          <t>KALINA</t>
        </is>
      </c>
      <c r="J2631" s="16" t="inlineStr">
        <is>
          <t>KALINA</t>
        </is>
      </c>
      <c r="K2631" s="16" t="b">
        <v>1</v>
      </c>
      <c r="L2631" s="16" t="b">
        <v>1</v>
      </c>
      <c r="M2631" s="16" t="b">
        <v>0</v>
      </c>
      <c r="N2631" s="16" t="b">
        <v>0</v>
      </c>
      <c r="O2631" s="16" t="n">
        <v>420</v>
      </c>
      <c r="P2631" s="16" t="n">
        <v>278.15</v>
      </c>
      <c r="Q2631" s="16" t="n">
        <v>3000</v>
      </c>
      <c r="R2631" s="16" t="n">
        <v>393.75</v>
      </c>
      <c r="S2631" s="16" t="n">
        <v>0.5</v>
      </c>
      <c r="T2631" s="16" t="n">
        <v>0.95</v>
      </c>
      <c r="U2631" s="16" t="n">
        <v>0.75</v>
      </c>
      <c r="V2631" s="16" t="n">
        <v>0.85</v>
      </c>
      <c r="W2631" s="16" t="n">
        <v>0.75</v>
      </c>
      <c r="X2631" s="16" t="n">
        <v>0.8</v>
      </c>
      <c r="Y2631" s="16" t="n">
        <v>278.15</v>
      </c>
      <c r="Z2631" s="16" t="n">
        <v>13.38063968777891</v>
      </c>
      <c r="AA2631" s="16" t="n">
        <v>72.33843765129036</v>
      </c>
      <c r="AB2631" s="16" t="n">
        <v>2606.25</v>
      </c>
      <c r="AC2631" s="16" t="n">
        <v>7.619047619047619</v>
      </c>
      <c r="AD2631" s="16" t="n"/>
      <c r="AE2631" s="16" t="n"/>
    </row>
    <row r="2632">
      <c r="A2632" s="16" t="inlineStr">
        <is>
          <t>KF-M07-A2-0028</t>
        </is>
      </c>
      <c r="B2632" s="16" t="inlineStr">
        <is>
          <t>5.1</t>
        </is>
      </c>
      <c r="C2632" s="16" t="inlineStr">
        <is>
          <t>5.1b</t>
        </is>
      </c>
      <c r="D2632" s="16" t="inlineStr">
        <is>
          <t>libre, desde el mejor de 2.4</t>
        </is>
      </c>
      <c r="E2632" s="16" t="inlineStr">
        <is>
          <t>KF-M07</t>
        </is>
      </c>
      <c r="F2632" s="16" t="inlineStr">
        <is>
          <t>KF-M07-A2</t>
        </is>
      </c>
      <c r="G2632" s="16" t="inlineStr">
        <is>
          <t>B11-A2</t>
        </is>
      </c>
      <c r="H2632" s="16" t="inlineStr">
        <is>
          <t>busqueda</t>
        </is>
      </c>
      <c r="I2632" s="16" t="inlineStr">
        <is>
          <t>KALINA</t>
        </is>
      </c>
      <c r="J2632" s="16" t="inlineStr">
        <is>
          <t>KALINA</t>
        </is>
      </c>
      <c r="K2632" s="16" t="b">
        <v>1</v>
      </c>
      <c r="L2632" s="16" t="b">
        <v>1</v>
      </c>
      <c r="M2632" s="16" t="b">
        <v>0</v>
      </c>
      <c r="N2632" s="16" t="b">
        <v>0</v>
      </c>
      <c r="O2632" s="16" t="n">
        <v>420</v>
      </c>
      <c r="P2632" s="16" t="n">
        <v>278.15</v>
      </c>
      <c r="Q2632" s="16" t="n">
        <v>3000</v>
      </c>
      <c r="R2632" s="16" t="n">
        <v>393.75</v>
      </c>
      <c r="S2632" s="16" t="n">
        <v>0.5</v>
      </c>
      <c r="T2632" s="16" t="n">
        <v>0.85</v>
      </c>
      <c r="U2632" s="16" t="n">
        <v>0.75</v>
      </c>
      <c r="V2632" s="16" t="n">
        <v>0.85</v>
      </c>
      <c r="W2632" s="16" t="n">
        <v>0.75</v>
      </c>
      <c r="X2632" s="16" t="n">
        <v>0.8</v>
      </c>
      <c r="Y2632" s="16" t="n">
        <v>278.15</v>
      </c>
      <c r="Z2632" s="16" t="n">
        <v>11.90841397447066</v>
      </c>
      <c r="AA2632" s="16" t="n">
        <v>64.29434111942909</v>
      </c>
      <c r="AB2632" s="16" t="n">
        <v>2606.25</v>
      </c>
      <c r="AC2632" s="16" t="n">
        <v>7.619047619047619</v>
      </c>
      <c r="AD2632" s="16" t="n"/>
      <c r="AE2632" s="16" t="n"/>
    </row>
    <row r="2633">
      <c r="A2633" s="16" t="inlineStr">
        <is>
          <t>KF-M07-A2-0029</t>
        </is>
      </c>
      <c r="B2633" s="16" t="inlineStr">
        <is>
          <t>5.1</t>
        </is>
      </c>
      <c r="C2633" s="16" t="inlineStr">
        <is>
          <t>5.1b</t>
        </is>
      </c>
      <c r="D2633" s="16" t="inlineStr">
        <is>
          <t>libre, desde el mejor de 2.4</t>
        </is>
      </c>
      <c r="E2633" s="16" t="inlineStr">
        <is>
          <t>KF-M07</t>
        </is>
      </c>
      <c r="F2633" s="16" t="inlineStr">
        <is>
          <t>KF-M07-A2</t>
        </is>
      </c>
      <c r="G2633" s="16" t="inlineStr">
        <is>
          <t>B11-A2</t>
        </is>
      </c>
      <c r="H2633" s="16" t="inlineStr">
        <is>
          <t>busqueda</t>
        </is>
      </c>
      <c r="I2633" s="16" t="inlineStr">
        <is>
          <t>KALINA</t>
        </is>
      </c>
      <c r="J2633" s="16" t="inlineStr">
        <is>
          <t>KALINA</t>
        </is>
      </c>
      <c r="K2633" s="16" t="b">
        <v>1</v>
      </c>
      <c r="L2633" s="16" t="b">
        <v>1</v>
      </c>
      <c r="M2633" s="16" t="b">
        <v>0</v>
      </c>
      <c r="N2633" s="16" t="b">
        <v>0</v>
      </c>
      <c r="O2633" s="16" t="n">
        <v>420</v>
      </c>
      <c r="P2633" s="16" t="n">
        <v>278.15</v>
      </c>
      <c r="Q2633" s="16" t="n">
        <v>3000</v>
      </c>
      <c r="R2633" s="16" t="n">
        <v>393.75</v>
      </c>
      <c r="S2633" s="16" t="n">
        <v>0.5</v>
      </c>
      <c r="T2633" s="16" t="n">
        <v>0.905</v>
      </c>
      <c r="U2633" s="16" t="n">
        <v>0.8049999999999999</v>
      </c>
      <c r="V2633" s="16" t="n">
        <v>0.85</v>
      </c>
      <c r="W2633" s="16" t="n">
        <v>0.75</v>
      </c>
      <c r="X2633" s="16" t="n">
        <v>0.8</v>
      </c>
      <c r="Y2633" s="16" t="n">
        <v>278.15</v>
      </c>
      <c r="Z2633" s="16" t="n">
        <v>12.76872585021695</v>
      </c>
      <c r="AA2633" s="16" t="n">
        <v>69.00570293453001</v>
      </c>
      <c r="AB2633" s="16" t="n">
        <v>2606.25</v>
      </c>
      <c r="AC2633" s="16" t="n">
        <v>7.619047619047619</v>
      </c>
      <c r="AD2633" s="16" t="n"/>
      <c r="AE2633" s="16" t="n"/>
    </row>
    <row r="2634">
      <c r="A2634" s="16" t="inlineStr">
        <is>
          <t>KF-M07-A2-0030</t>
        </is>
      </c>
      <c r="B2634" s="16" t="inlineStr">
        <is>
          <t>5.1</t>
        </is>
      </c>
      <c r="C2634" s="16" t="inlineStr">
        <is>
          <t>5.1b</t>
        </is>
      </c>
      <c r="D2634" s="16" t="inlineStr">
        <is>
          <t>libre, desde el mejor de 2.4</t>
        </is>
      </c>
      <c r="E2634" s="16" t="inlineStr">
        <is>
          <t>KF-M07</t>
        </is>
      </c>
      <c r="F2634" s="16" t="inlineStr">
        <is>
          <t>KF-M07-A2</t>
        </is>
      </c>
      <c r="G2634" s="16" t="inlineStr">
        <is>
          <t>B11-A2</t>
        </is>
      </c>
      <c r="H2634" s="16" t="inlineStr">
        <is>
          <t>busqueda</t>
        </is>
      </c>
      <c r="I2634" s="16" t="inlineStr">
        <is>
          <t>KALINA</t>
        </is>
      </c>
      <c r="J2634" s="16" t="inlineStr">
        <is>
          <t>KALINA</t>
        </is>
      </c>
      <c r="K2634" s="16" t="b">
        <v>1</v>
      </c>
      <c r="L2634" s="16" t="b">
        <v>1</v>
      </c>
      <c r="M2634" s="16" t="b">
        <v>0</v>
      </c>
      <c r="N2634" s="16" t="b">
        <v>0</v>
      </c>
      <c r="O2634" s="16" t="n">
        <v>420</v>
      </c>
      <c r="P2634" s="16" t="n">
        <v>278.15</v>
      </c>
      <c r="Q2634" s="16" t="n">
        <v>3000</v>
      </c>
      <c r="R2634" s="16" t="n">
        <v>393.75</v>
      </c>
      <c r="S2634" s="16" t="n">
        <v>0.5</v>
      </c>
      <c r="T2634" s="16" t="n">
        <v>0.905</v>
      </c>
      <c r="U2634" s="16" t="n">
        <v>0.6950000000000001</v>
      </c>
      <c r="V2634" s="16" t="n">
        <v>0.85</v>
      </c>
      <c r="W2634" s="16" t="n">
        <v>0.75</v>
      </c>
      <c r="X2634" s="16" t="n">
        <v>0.8</v>
      </c>
      <c r="Y2634" s="16" t="n">
        <v>278.15</v>
      </c>
      <c r="Z2634" s="16" t="n">
        <v>12.66077439848891</v>
      </c>
      <c r="AA2634" s="16" t="n">
        <v>68.38725913691761</v>
      </c>
      <c r="AB2634" s="16" t="n">
        <v>2606.25</v>
      </c>
      <c r="AC2634" s="16" t="n">
        <v>7.619047619047619</v>
      </c>
      <c r="AD2634" s="16" t="n"/>
      <c r="AE2634" s="16" t="n"/>
    </row>
    <row r="2635">
      <c r="A2635" s="16" t="inlineStr">
        <is>
          <t>KF-M07-A2-0031</t>
        </is>
      </c>
      <c r="B2635" s="16" t="inlineStr">
        <is>
          <t>5.1</t>
        </is>
      </c>
      <c r="C2635" s="16" t="inlineStr">
        <is>
          <t>5.1b</t>
        </is>
      </c>
      <c r="D2635" s="16" t="inlineStr">
        <is>
          <t>libre, desde el mejor de 2.4</t>
        </is>
      </c>
      <c r="E2635" s="16" t="inlineStr">
        <is>
          <t>KF-M07</t>
        </is>
      </c>
      <c r="F2635" s="16" t="inlineStr">
        <is>
          <t>KF-M07-A2</t>
        </is>
      </c>
      <c r="G2635" s="16" t="inlineStr">
        <is>
          <t>B11-A2</t>
        </is>
      </c>
      <c r="H2635" s="16" t="inlineStr">
        <is>
          <t>busqueda</t>
        </is>
      </c>
      <c r="I2635" s="16" t="inlineStr">
        <is>
          <t>CORREGIBLE</t>
        </is>
      </c>
      <c r="J2635" s="16" t="inlineStr">
        <is>
          <t>CORREGIBLE</t>
        </is>
      </c>
      <c r="K2635" s="16" t="b">
        <v>1</v>
      </c>
      <c r="L2635" s="16" t="b">
        <v>0</v>
      </c>
      <c r="M2635" s="16" t="b">
        <v>0</v>
      </c>
      <c r="N2635" s="16" t="b">
        <v>0</v>
      </c>
      <c r="O2635" s="16" t="n">
        <v>420</v>
      </c>
      <c r="P2635" s="16" t="n">
        <v>278.15</v>
      </c>
      <c r="Q2635" s="16" t="n">
        <v>3000</v>
      </c>
      <c r="R2635" s="16" t="n">
        <v>393.75</v>
      </c>
      <c r="S2635" s="16" t="n">
        <v>0.5</v>
      </c>
      <c r="T2635" s="16" t="n">
        <v>0.905</v>
      </c>
      <c r="U2635" s="16" t="n">
        <v>0.75</v>
      </c>
      <c r="V2635" s="16" t="n">
        <v>0.905</v>
      </c>
      <c r="W2635" s="16" t="n">
        <v>0.75</v>
      </c>
      <c r="X2635" s="16" t="n">
        <v>0.8</v>
      </c>
      <c r="Y2635" s="16" t="n">
        <v>278.15</v>
      </c>
      <c r="Z2635" s="16" t="n">
        <v>12.98717127609969</v>
      </c>
      <c r="AA2635" s="16" t="n">
        <v>74.4900451157304</v>
      </c>
      <c r="AB2635" s="16" t="n">
        <v>2606.25</v>
      </c>
      <c r="AC2635" s="16" t="n">
        <v>7.619047619047619</v>
      </c>
      <c r="AD2635" s="16" t="inlineStr">
        <is>
          <t>O2</t>
        </is>
      </c>
      <c r="AE2635" s="16" t="n"/>
    </row>
    <row r="2636">
      <c r="A2636" s="16" t="inlineStr">
        <is>
          <t>KF-M07-A2-0032</t>
        </is>
      </c>
      <c r="B2636" s="16" t="inlineStr">
        <is>
          <t>5.1</t>
        </is>
      </c>
      <c r="C2636" s="16" t="inlineStr">
        <is>
          <t>5.1b</t>
        </is>
      </c>
      <c r="D2636" s="16" t="inlineStr">
        <is>
          <t>libre, desde el mejor de 2.4</t>
        </is>
      </c>
      <c r="E2636" s="16" t="inlineStr">
        <is>
          <t>KF-M07</t>
        </is>
      </c>
      <c r="F2636" s="16" t="inlineStr">
        <is>
          <t>KF-M07-A2</t>
        </is>
      </c>
      <c r="G2636" s="16" t="inlineStr">
        <is>
          <t>B11-A2</t>
        </is>
      </c>
      <c r="H2636" s="16" t="inlineStr">
        <is>
          <t>busqueda</t>
        </is>
      </c>
      <c r="I2636" s="16" t="inlineStr">
        <is>
          <t>KALINA</t>
        </is>
      </c>
      <c r="J2636" s="16" t="inlineStr">
        <is>
          <t>KALINA</t>
        </is>
      </c>
      <c r="K2636" s="16" t="b">
        <v>1</v>
      </c>
      <c r="L2636" s="16" t="b">
        <v>1</v>
      </c>
      <c r="M2636" s="16" t="b">
        <v>0</v>
      </c>
      <c r="N2636" s="16" t="b">
        <v>0</v>
      </c>
      <c r="O2636" s="16" t="n">
        <v>420</v>
      </c>
      <c r="P2636" s="16" t="n">
        <v>278.15</v>
      </c>
      <c r="Q2636" s="16" t="n">
        <v>3000</v>
      </c>
      <c r="R2636" s="16" t="n">
        <v>393.75</v>
      </c>
      <c r="S2636" s="16" t="n">
        <v>0.5</v>
      </c>
      <c r="T2636" s="16" t="n">
        <v>0.905</v>
      </c>
      <c r="U2636" s="16" t="n">
        <v>0.75</v>
      </c>
      <c r="V2636" s="16" t="n">
        <v>0.795</v>
      </c>
      <c r="W2636" s="16" t="n">
        <v>0.75</v>
      </c>
      <c r="X2636" s="16" t="n">
        <v>0.8</v>
      </c>
      <c r="Y2636" s="16" t="n">
        <v>278.15</v>
      </c>
      <c r="Z2636" s="16" t="n">
        <v>12.4082000901214</v>
      </c>
      <c r="AA2636" s="16" t="n">
        <v>62.89416897408736</v>
      </c>
      <c r="AB2636" s="16" t="n">
        <v>2606.25</v>
      </c>
      <c r="AC2636" s="16" t="n">
        <v>7.619047619047619</v>
      </c>
      <c r="AD2636" s="16" t="n"/>
      <c r="AE2636" s="16" t="n"/>
    </row>
    <row r="2637">
      <c r="A2637" s="16" t="inlineStr">
        <is>
          <t>KF-M07-A2-0033</t>
        </is>
      </c>
      <c r="B2637" s="16" t="inlineStr">
        <is>
          <t>5.1</t>
        </is>
      </c>
      <c r="C2637" s="16" t="inlineStr">
        <is>
          <t>5.1b</t>
        </is>
      </c>
      <c r="D2637" s="16" t="inlineStr">
        <is>
          <t>libre, desde el mejor de 2.4</t>
        </is>
      </c>
      <c r="E2637" s="16" t="inlineStr">
        <is>
          <t>KF-M07</t>
        </is>
      </c>
      <c r="F2637" s="16" t="inlineStr">
        <is>
          <t>KF-M07-A2</t>
        </is>
      </c>
      <c r="G2637" s="16" t="inlineStr">
        <is>
          <t>B11-A2</t>
        </is>
      </c>
      <c r="H2637" s="16" t="inlineStr">
        <is>
          <t>busqueda</t>
        </is>
      </c>
      <c r="I2637" s="16" t="inlineStr">
        <is>
          <t>KALINA</t>
        </is>
      </c>
      <c r="J2637" s="16" t="inlineStr">
        <is>
          <t>KALINA</t>
        </is>
      </c>
      <c r="K2637" s="16" t="b">
        <v>1</v>
      </c>
      <c r="L2637" s="16" t="b">
        <v>1</v>
      </c>
      <c r="M2637" s="16" t="b">
        <v>0</v>
      </c>
      <c r="N2637" s="16" t="b">
        <v>0</v>
      </c>
      <c r="O2637" s="16" t="n">
        <v>420</v>
      </c>
      <c r="P2637" s="16" t="n">
        <v>278.15</v>
      </c>
      <c r="Q2637" s="16" t="n">
        <v>3000</v>
      </c>
      <c r="R2637" s="16" t="n">
        <v>393.75</v>
      </c>
      <c r="S2637" s="16" t="n">
        <v>0.5</v>
      </c>
      <c r="T2637" s="16" t="n">
        <v>0.905</v>
      </c>
      <c r="U2637" s="16" t="n">
        <v>0.75</v>
      </c>
      <c r="V2637" s="16" t="n">
        <v>0.85</v>
      </c>
      <c r="W2637" s="16" t="n">
        <v>0.8049999999999999</v>
      </c>
      <c r="X2637" s="16" t="n">
        <v>0.8</v>
      </c>
      <c r="Y2637" s="16" t="n">
        <v>278.15</v>
      </c>
      <c r="Z2637" s="16" t="n">
        <v>13.21168397473728</v>
      </c>
      <c r="AA2637" s="16" t="n">
        <v>69.2035438030243</v>
      </c>
      <c r="AB2637" s="16" t="n">
        <v>2606.25</v>
      </c>
      <c r="AC2637" s="16" t="n">
        <v>7.619047619047619</v>
      </c>
      <c r="AD2637" s="16" t="n"/>
      <c r="AE2637" s="16" t="n"/>
    </row>
    <row r="2638">
      <c r="A2638" s="16" t="inlineStr">
        <is>
          <t>KF-M07-A2-0034</t>
        </is>
      </c>
      <c r="B2638" s="16" t="inlineStr">
        <is>
          <t>5.1</t>
        </is>
      </c>
      <c r="C2638" s="16" t="inlineStr">
        <is>
          <t>5.1b</t>
        </is>
      </c>
      <c r="D2638" s="16" t="inlineStr">
        <is>
          <t>libre, desde el mejor de 2.4</t>
        </is>
      </c>
      <c r="E2638" s="16" t="inlineStr">
        <is>
          <t>KF-M07</t>
        </is>
      </c>
      <c r="F2638" s="16" t="inlineStr">
        <is>
          <t>KF-M07-A2</t>
        </is>
      </c>
      <c r="G2638" s="16" t="inlineStr">
        <is>
          <t>B11-A2</t>
        </is>
      </c>
      <c r="H2638" s="16" t="inlineStr">
        <is>
          <t>busqueda</t>
        </is>
      </c>
      <c r="I2638" s="16" t="inlineStr">
        <is>
          <t>CORREGIBLE</t>
        </is>
      </c>
      <c r="J2638" s="16" t="inlineStr">
        <is>
          <t>CORREGIBLE</t>
        </is>
      </c>
      <c r="K2638" s="16" t="b">
        <v>1</v>
      </c>
      <c r="L2638" s="16" t="b">
        <v>0</v>
      </c>
      <c r="M2638" s="16" t="b">
        <v>0</v>
      </c>
      <c r="N2638" s="16" t="b">
        <v>0</v>
      </c>
      <c r="O2638" s="16" t="n">
        <v>420</v>
      </c>
      <c r="P2638" s="16" t="n">
        <v>278.15</v>
      </c>
      <c r="Q2638" s="16" t="n">
        <v>3000</v>
      </c>
      <c r="R2638" s="16" t="n">
        <v>393.75</v>
      </c>
      <c r="S2638" s="16" t="n">
        <v>0.5</v>
      </c>
      <c r="T2638" s="16" t="n">
        <v>0.905</v>
      </c>
      <c r="U2638" s="16" t="n">
        <v>0.75</v>
      </c>
      <c r="V2638" s="16" t="n">
        <v>0.85</v>
      </c>
      <c r="W2638" s="16" t="n">
        <v>0.6950000000000001</v>
      </c>
      <c r="X2638" s="16" t="n">
        <v>0.8</v>
      </c>
      <c r="Y2638" s="16" t="n">
        <v>278.15</v>
      </c>
      <c r="Z2638" s="16" t="n">
        <v>12.26076864910928</v>
      </c>
      <c r="AA2638" s="16" t="n">
        <v>68.2380196608481</v>
      </c>
      <c r="AB2638" s="16" t="n">
        <v>2606.25</v>
      </c>
      <c r="AC2638" s="16" t="n">
        <v>7.619047619047619</v>
      </c>
      <c r="AD2638" s="16" t="inlineStr">
        <is>
          <t>O2</t>
        </is>
      </c>
      <c r="AE2638" s="16" t="n"/>
    </row>
    <row r="2639">
      <c r="A2639" s="16" t="inlineStr">
        <is>
          <t>KF-M07-A2-0035</t>
        </is>
      </c>
      <c r="B2639" s="16" t="inlineStr">
        <is>
          <t>5.1</t>
        </is>
      </c>
      <c r="C2639" s="16" t="inlineStr">
        <is>
          <t>5.1b</t>
        </is>
      </c>
      <c r="D2639" s="16" t="inlineStr">
        <is>
          <t>libre, desde el mejor de 2.4</t>
        </is>
      </c>
      <c r="E2639" s="16" t="inlineStr">
        <is>
          <t>KF-M07</t>
        </is>
      </c>
      <c r="F2639" s="16" t="inlineStr">
        <is>
          <t>KF-M07-A2</t>
        </is>
      </c>
      <c r="G2639" s="16" t="inlineStr">
        <is>
          <t>B11-A2</t>
        </is>
      </c>
      <c r="H2639" s="16" t="inlineStr">
        <is>
          <t>busqueda</t>
        </is>
      </c>
      <c r="I2639" s="16" t="inlineStr">
        <is>
          <t>KALINA</t>
        </is>
      </c>
      <c r="J2639" s="16" t="inlineStr">
        <is>
          <t>KALINA</t>
        </is>
      </c>
      <c r="K2639" s="16" t="b">
        <v>1</v>
      </c>
      <c r="L2639" s="16" t="b">
        <v>1</v>
      </c>
      <c r="M2639" s="16" t="b">
        <v>0</v>
      </c>
      <c r="N2639" s="16" t="b">
        <v>0</v>
      </c>
      <c r="O2639" s="16" t="n">
        <v>420</v>
      </c>
      <c r="P2639" s="16" t="n">
        <v>278.15</v>
      </c>
      <c r="Q2639" s="16" t="n">
        <v>3000</v>
      </c>
      <c r="R2639" s="16" t="n">
        <v>393.75</v>
      </c>
      <c r="S2639" s="16" t="n">
        <v>0.5</v>
      </c>
      <c r="T2639" s="16" t="n">
        <v>0.905</v>
      </c>
      <c r="U2639" s="16" t="n">
        <v>0.75</v>
      </c>
      <c r="V2639" s="16" t="n">
        <v>0.85</v>
      </c>
      <c r="W2639" s="16" t="n">
        <v>0.75</v>
      </c>
      <c r="X2639" s="16" t="n">
        <v>0.855</v>
      </c>
      <c r="Y2639" s="16" t="n">
        <v>278.15</v>
      </c>
      <c r="Z2639" s="16" t="n">
        <v>12.33588410853519</v>
      </c>
      <c r="AA2639" s="16" t="n">
        <v>68.35456308579269</v>
      </c>
      <c r="AB2639" s="16" t="n">
        <v>2606.25</v>
      </c>
      <c r="AC2639" s="16" t="n">
        <v>7.619047619047619</v>
      </c>
      <c r="AD2639" s="16" t="n"/>
      <c r="AE2639" s="16" t="n"/>
    </row>
    <row r="2640">
      <c r="A2640" s="16" t="inlineStr">
        <is>
          <t>KF-M07-A2-0036</t>
        </is>
      </c>
      <c r="B2640" s="16" t="inlineStr">
        <is>
          <t>5.1</t>
        </is>
      </c>
      <c r="C2640" s="16" t="inlineStr">
        <is>
          <t>5.1b</t>
        </is>
      </c>
      <c r="D2640" s="16" t="inlineStr">
        <is>
          <t>libre, desde el mejor de 2.4</t>
        </is>
      </c>
      <c r="E2640" s="16" t="inlineStr">
        <is>
          <t>KF-M07</t>
        </is>
      </c>
      <c r="F2640" s="16" t="inlineStr">
        <is>
          <t>KF-M07-A2</t>
        </is>
      </c>
      <c r="G2640" s="16" t="inlineStr">
        <is>
          <t>B11-A2</t>
        </is>
      </c>
      <c r="H2640" s="16" t="inlineStr">
        <is>
          <t>busqueda</t>
        </is>
      </c>
      <c r="I2640" s="16" t="inlineStr">
        <is>
          <t>CORREGIBLE</t>
        </is>
      </c>
      <c r="J2640" s="16" t="inlineStr">
        <is>
          <t>CORREGIBLE</t>
        </is>
      </c>
      <c r="K2640" s="16" t="b">
        <v>1</v>
      </c>
      <c r="L2640" s="16" t="b">
        <v>0</v>
      </c>
      <c r="M2640" s="16" t="b">
        <v>0</v>
      </c>
      <c r="N2640" s="16" t="b">
        <v>0</v>
      </c>
      <c r="O2640" s="16" t="n">
        <v>420</v>
      </c>
      <c r="P2640" s="16" t="n">
        <v>278.15</v>
      </c>
      <c r="Q2640" s="16" t="n">
        <v>3000</v>
      </c>
      <c r="R2640" s="16" t="n">
        <v>393.75</v>
      </c>
      <c r="S2640" s="16" t="n">
        <v>0.5</v>
      </c>
      <c r="T2640" s="16" t="n">
        <v>0.905</v>
      </c>
      <c r="U2640" s="16" t="n">
        <v>0.75</v>
      </c>
      <c r="V2640" s="16" t="n">
        <v>0.85</v>
      </c>
      <c r="W2640" s="16" t="n">
        <v>0.75</v>
      </c>
      <c r="X2640" s="16" t="n">
        <v>0.7450000000000001</v>
      </c>
      <c r="Y2640" s="16" t="n">
        <v>278.15</v>
      </c>
      <c r="Z2640" s="16" t="n">
        <v>13.06085748413264</v>
      </c>
      <c r="AA2640" s="16" t="n">
        <v>68.58763571788427</v>
      </c>
      <c r="AB2640" s="16" t="n">
        <v>2606.25</v>
      </c>
      <c r="AC2640" s="16" t="n">
        <v>7.619047619047619</v>
      </c>
      <c r="AD2640" s="16" t="inlineStr">
        <is>
          <t>O2</t>
        </is>
      </c>
      <c r="AE2640" s="16" t="n"/>
    </row>
    <row r="2641">
      <c r="A2641" s="16" t="inlineStr">
        <is>
          <t>KF-M07-A2-0037</t>
        </is>
      </c>
      <c r="B2641" s="16" t="inlineStr">
        <is>
          <t>5.1</t>
        </is>
      </c>
      <c r="C2641" s="16" t="inlineStr">
        <is>
          <t>5.1b</t>
        </is>
      </c>
      <c r="D2641" s="16" t="inlineStr">
        <is>
          <t>libre, desde el mejor de 2.4</t>
        </is>
      </c>
      <c r="E2641" s="16" t="inlineStr">
        <is>
          <t>KF-M07</t>
        </is>
      </c>
      <c r="F2641" s="16" t="inlineStr">
        <is>
          <t>KF-M07-A2</t>
        </is>
      </c>
      <c r="G2641" s="16" t="inlineStr">
        <is>
          <t>B11-A2</t>
        </is>
      </c>
      <c r="H2641" s="16" t="inlineStr">
        <is>
          <t>busqueda</t>
        </is>
      </c>
      <c r="I2641" s="16" t="inlineStr">
        <is>
          <t>CORREGIBLE</t>
        </is>
      </c>
      <c r="J2641" s="16" t="inlineStr">
        <is>
          <t>CORREGIBLE</t>
        </is>
      </c>
      <c r="K2641" s="16" t="b">
        <v>1</v>
      </c>
      <c r="L2641" s="16" t="b">
        <v>0</v>
      </c>
      <c r="M2641" s="16" t="b">
        <v>1</v>
      </c>
      <c r="N2641" s="16" t="b">
        <v>0</v>
      </c>
      <c r="O2641" s="16" t="n">
        <v>432</v>
      </c>
      <c r="P2641" s="16" t="n">
        <v>278.15</v>
      </c>
      <c r="Q2641" s="16" t="n">
        <v>3000</v>
      </c>
      <c r="R2641" s="16" t="n">
        <v>393.75</v>
      </c>
      <c r="S2641" s="16" t="n">
        <v>0.5</v>
      </c>
      <c r="T2641" s="16" t="n">
        <v>0.95</v>
      </c>
      <c r="U2641" s="16" t="n">
        <v>0.75</v>
      </c>
      <c r="V2641" s="16" t="n">
        <v>0.85</v>
      </c>
      <c r="W2641" s="16" t="n">
        <v>0.75</v>
      </c>
      <c r="X2641" s="16" t="n">
        <v>0.8</v>
      </c>
      <c r="Y2641" s="16" t="n">
        <v>278.15</v>
      </c>
      <c r="Z2641" s="16" t="n">
        <v>14.41239386447037</v>
      </c>
      <c r="AA2641" s="16" t="n">
        <v>100.8683187241242</v>
      </c>
      <c r="AB2641" s="16" t="n">
        <v>2606.25</v>
      </c>
      <c r="AC2641" s="16" t="n">
        <v>7.619047619047619</v>
      </c>
      <c r="AD2641" s="16" t="inlineStr">
        <is>
          <t>O1,O2</t>
        </is>
      </c>
      <c r="AE2641" s="16" t="n"/>
    </row>
    <row r="2642">
      <c r="A2642" s="16" t="inlineStr">
        <is>
          <t>KF-M07-A2-0038</t>
        </is>
      </c>
      <c r="B2642" s="16" t="inlineStr">
        <is>
          <t>5.1</t>
        </is>
      </c>
      <c r="C2642" s="16" t="inlineStr">
        <is>
          <t>5.1b</t>
        </is>
      </c>
      <c r="D2642" s="16" t="inlineStr">
        <is>
          <t>libre, desde el mejor de 2.4</t>
        </is>
      </c>
      <c r="E2642" s="16" t="inlineStr">
        <is>
          <t>KF-M07</t>
        </is>
      </c>
      <c r="F2642" s="16" t="inlineStr">
        <is>
          <t>KF-M07-A2</t>
        </is>
      </c>
      <c r="G2642" s="16" t="inlineStr">
        <is>
          <t>B11-A2</t>
        </is>
      </c>
      <c r="H2642" s="16" t="inlineStr">
        <is>
          <t>busqueda</t>
        </is>
      </c>
      <c r="I2642" s="16" t="inlineStr">
        <is>
          <t>KALINA</t>
        </is>
      </c>
      <c r="J2642" s="16" t="inlineStr">
        <is>
          <t>KALINA</t>
        </is>
      </c>
      <c r="K2642" s="16" t="b">
        <v>1</v>
      </c>
      <c r="L2642" s="16" t="b">
        <v>1</v>
      </c>
      <c r="M2642" s="16" t="b">
        <v>0</v>
      </c>
      <c r="N2642" s="16" t="b">
        <v>0</v>
      </c>
      <c r="O2642" s="16" t="n">
        <v>408</v>
      </c>
      <c r="P2642" s="16" t="n">
        <v>278.15</v>
      </c>
      <c r="Q2642" s="16" t="n">
        <v>3000</v>
      </c>
      <c r="R2642" s="16" t="n">
        <v>393.75</v>
      </c>
      <c r="S2642" s="16" t="n">
        <v>0.5</v>
      </c>
      <c r="T2642" s="16" t="n">
        <v>0.95</v>
      </c>
      <c r="U2642" s="16" t="n">
        <v>0.75</v>
      </c>
      <c r="V2642" s="16" t="n">
        <v>0.85</v>
      </c>
      <c r="W2642" s="16" t="n">
        <v>0.75</v>
      </c>
      <c r="X2642" s="16" t="n">
        <v>0.8</v>
      </c>
      <c r="Y2642" s="16" t="n">
        <v>278.15</v>
      </c>
      <c r="Z2642" s="16" t="n">
        <v>11.56555679957556</v>
      </c>
      <c r="AA2642" s="16" t="n">
        <v>45.7359954311614</v>
      </c>
      <c r="AB2642" s="16" t="n">
        <v>2606.25</v>
      </c>
      <c r="AC2642" s="16" t="n">
        <v>7.619047619047619</v>
      </c>
      <c r="AD2642" s="16" t="n"/>
      <c r="AE2642" s="16" t="n"/>
    </row>
    <row r="2643">
      <c r="A2643" s="16" t="inlineStr">
        <is>
          <t>KF-M07-A2-0039</t>
        </is>
      </c>
      <c r="B2643" s="16" t="inlineStr">
        <is>
          <t>5.1</t>
        </is>
      </c>
      <c r="C2643" s="16" t="inlineStr">
        <is>
          <t>5.1b</t>
        </is>
      </c>
      <c r="D2643" s="16" t="inlineStr">
        <is>
          <t>libre, desde el mejor de 2.4</t>
        </is>
      </c>
      <c r="E2643" s="16" t="inlineStr">
        <is>
          <t>KF-M07</t>
        </is>
      </c>
      <c r="F2643" s="16" t="inlineStr">
        <is>
          <t>KF-M07-A2</t>
        </is>
      </c>
      <c r="G2643" s="16" t="inlineStr">
        <is>
          <t>B11-A2</t>
        </is>
      </c>
      <c r="H2643" s="16" t="inlineStr">
        <is>
          <t>busqueda</t>
        </is>
      </c>
      <c r="I2643" s="16" t="inlineStr">
        <is>
          <t>CORREGIBLE</t>
        </is>
      </c>
      <c r="J2643" s="16" t="inlineStr">
        <is>
          <t>CORREGIBLE</t>
        </is>
      </c>
      <c r="K2643" s="16" t="b">
        <v>1</v>
      </c>
      <c r="L2643" s="16" t="b">
        <v>0</v>
      </c>
      <c r="M2643" s="16" t="b">
        <v>0</v>
      </c>
      <c r="N2643" s="16" t="b">
        <v>0</v>
      </c>
      <c r="O2643" s="16" t="n">
        <v>420</v>
      </c>
      <c r="P2643" s="16" t="n">
        <v>280.69</v>
      </c>
      <c r="Q2643" s="16" t="n">
        <v>3000</v>
      </c>
      <c r="R2643" s="16" t="n">
        <v>393.75</v>
      </c>
      <c r="S2643" s="16" t="n">
        <v>0.5</v>
      </c>
      <c r="T2643" s="16" t="n">
        <v>0.95</v>
      </c>
      <c r="U2643" s="16" t="n">
        <v>0.75</v>
      </c>
      <c r="V2643" s="16" t="n">
        <v>0.85</v>
      </c>
      <c r="W2643" s="16" t="n">
        <v>0.75</v>
      </c>
      <c r="X2643" s="16" t="n">
        <v>0.8</v>
      </c>
      <c r="Y2643" s="16" t="n">
        <v>280.69</v>
      </c>
      <c r="Z2643" s="16" t="n">
        <v>13.4985938033909</v>
      </c>
      <c r="AA2643" s="16" t="n">
        <v>72.42408849537179</v>
      </c>
      <c r="AB2643" s="16" t="n">
        <v>2606.25</v>
      </c>
      <c r="AC2643" s="16" t="n">
        <v>7.619047619047619</v>
      </c>
      <c r="AD2643" s="16" t="inlineStr">
        <is>
          <t>O2</t>
        </is>
      </c>
      <c r="AE2643" s="16" t="n"/>
    </row>
    <row r="2644">
      <c r="A2644" s="16" t="inlineStr">
        <is>
          <t>KF-M07-A2-0040</t>
        </is>
      </c>
      <c r="B2644" s="16" t="inlineStr">
        <is>
          <t>5.1</t>
        </is>
      </c>
      <c r="C2644" s="16" t="inlineStr">
        <is>
          <t>5.1b</t>
        </is>
      </c>
      <c r="D2644" s="16" t="inlineStr">
        <is>
          <t>libre, desde el mejor de 2.4</t>
        </is>
      </c>
      <c r="E2644" s="16" t="inlineStr">
        <is>
          <t>KF-M07</t>
        </is>
      </c>
      <c r="F2644" s="16" t="inlineStr">
        <is>
          <t>KF-M07-A2</t>
        </is>
      </c>
      <c r="G2644" s="16" t="inlineStr">
        <is>
          <t>B11-A2</t>
        </is>
      </c>
      <c r="H2644" s="16" t="inlineStr">
        <is>
          <t>busqueda</t>
        </is>
      </c>
      <c r="I2644" s="16" t="inlineStr">
        <is>
          <t>KALINA</t>
        </is>
      </c>
      <c r="J2644" s="16" t="inlineStr">
        <is>
          <t>KALINA</t>
        </is>
      </c>
      <c r="K2644" s="16" t="b">
        <v>1</v>
      </c>
      <c r="L2644" s="16" t="b">
        <v>1</v>
      </c>
      <c r="M2644" s="16" t="b">
        <v>0</v>
      </c>
      <c r="N2644" s="16" t="b">
        <v>0</v>
      </c>
      <c r="O2644" s="16" t="n">
        <v>420</v>
      </c>
      <c r="P2644" s="16" t="n">
        <v>278.15</v>
      </c>
      <c r="Q2644" s="16" t="n">
        <v>3300</v>
      </c>
      <c r="R2644" s="16" t="n">
        <v>393.75</v>
      </c>
      <c r="S2644" s="16" t="n">
        <v>0.5</v>
      </c>
      <c r="T2644" s="16" t="n">
        <v>0.95</v>
      </c>
      <c r="U2644" s="16" t="n">
        <v>0.75</v>
      </c>
      <c r="V2644" s="16" t="n">
        <v>0.85</v>
      </c>
      <c r="W2644" s="16" t="n">
        <v>0.75</v>
      </c>
      <c r="X2644" s="16" t="n">
        <v>0.8</v>
      </c>
      <c r="Y2644" s="16" t="n">
        <v>278.15</v>
      </c>
      <c r="Z2644" s="16" t="n">
        <v>13.09862969189399</v>
      </c>
      <c r="AA2644" s="16" t="n">
        <v>63.43506931300643</v>
      </c>
      <c r="AB2644" s="16" t="n">
        <v>2906.25</v>
      </c>
      <c r="AC2644" s="16" t="n">
        <v>8.380952380952381</v>
      </c>
      <c r="AD2644" s="16" t="n"/>
      <c r="AE2644" s="16" t="n"/>
    </row>
    <row r="2645">
      <c r="A2645" s="16" t="inlineStr">
        <is>
          <t>KF-M07-A2-0041</t>
        </is>
      </c>
      <c r="B2645" s="16" t="inlineStr">
        <is>
          <t>5.1</t>
        </is>
      </c>
      <c r="C2645" s="16" t="inlineStr">
        <is>
          <t>5.1b</t>
        </is>
      </c>
      <c r="D2645" s="16" t="inlineStr">
        <is>
          <t>libre, desde el mejor de 2.4</t>
        </is>
      </c>
      <c r="E2645" s="16" t="inlineStr">
        <is>
          <t>KF-M07</t>
        </is>
      </c>
      <c r="F2645" s="16" t="inlineStr">
        <is>
          <t>KF-M07-A2</t>
        </is>
      </c>
      <c r="G2645" s="16" t="inlineStr">
        <is>
          <t>B11-A2</t>
        </is>
      </c>
      <c r="H2645" s="16" t="inlineStr">
        <is>
          <t>busqueda</t>
        </is>
      </c>
      <c r="I2645" s="16" t="inlineStr">
        <is>
          <t>CORREGIBLE</t>
        </is>
      </c>
      <c r="J2645" s="16" t="inlineStr">
        <is>
          <t>CORREGIBLE</t>
        </is>
      </c>
      <c r="K2645" s="16" t="b">
        <v>1</v>
      </c>
      <c r="L2645" s="16" t="b">
        <v>0</v>
      </c>
      <c r="M2645" s="16" t="b">
        <v>0</v>
      </c>
      <c r="N2645" s="16" t="b">
        <v>0</v>
      </c>
      <c r="O2645" s="16" t="n">
        <v>420</v>
      </c>
      <c r="P2645" s="16" t="n">
        <v>278.15</v>
      </c>
      <c r="Q2645" s="16" t="n">
        <v>2700</v>
      </c>
      <c r="R2645" s="16" t="n">
        <v>393.75</v>
      </c>
      <c r="S2645" s="16" t="n">
        <v>0.5</v>
      </c>
      <c r="T2645" s="16" t="n">
        <v>0.95</v>
      </c>
      <c r="U2645" s="16" t="n">
        <v>0.75</v>
      </c>
      <c r="V2645" s="16" t="n">
        <v>0.85</v>
      </c>
      <c r="W2645" s="16" t="n">
        <v>0.75</v>
      </c>
      <c r="X2645" s="16" t="n">
        <v>0.8</v>
      </c>
      <c r="Y2645" s="16" t="n">
        <v>278.15</v>
      </c>
      <c r="Z2645" s="16" t="n">
        <v>13.3925973077306</v>
      </c>
      <c r="AA2645" s="16" t="n">
        <v>80.55866873422538</v>
      </c>
      <c r="AB2645" s="16" t="n">
        <v>2306.25</v>
      </c>
      <c r="AC2645" s="16" t="n">
        <v>6.857142857142857</v>
      </c>
      <c r="AD2645" s="16" t="inlineStr">
        <is>
          <t>O2</t>
        </is>
      </c>
      <c r="AE2645" s="16" t="n"/>
    </row>
    <row r="2646">
      <c r="A2646" s="16" t="inlineStr">
        <is>
          <t>KF-M07-A2-0042</t>
        </is>
      </c>
      <c r="B2646" s="16" t="inlineStr">
        <is>
          <t>5.1</t>
        </is>
      </c>
      <c r="C2646" s="16" t="inlineStr">
        <is>
          <t>5.1b</t>
        </is>
      </c>
      <c r="D2646" s="16" t="inlineStr">
        <is>
          <t>libre, desde el mejor de 2.4</t>
        </is>
      </c>
      <c r="E2646" s="16" t="inlineStr">
        <is>
          <t>KF-M07</t>
        </is>
      </c>
      <c r="F2646" s="16" t="inlineStr">
        <is>
          <t>KF-M07-A2</t>
        </is>
      </c>
      <c r="G2646" s="16" t="inlineStr">
        <is>
          <t>B11-A2</t>
        </is>
      </c>
      <c r="H2646" s="16" t="inlineStr">
        <is>
          <t>busqueda</t>
        </is>
      </c>
      <c r="I2646" s="16" t="inlineStr">
        <is>
          <t>KALINA</t>
        </is>
      </c>
      <c r="J2646" s="16" t="inlineStr">
        <is>
          <t>KALINA</t>
        </is>
      </c>
      <c r="K2646" s="16" t="b">
        <v>1</v>
      </c>
      <c r="L2646" s="16" t="b">
        <v>1</v>
      </c>
      <c r="M2646" s="16" t="b">
        <v>0</v>
      </c>
      <c r="N2646" s="16" t="b">
        <v>0</v>
      </c>
      <c r="O2646" s="16" t="n">
        <v>420</v>
      </c>
      <c r="P2646" s="16" t="n">
        <v>278.15</v>
      </c>
      <c r="Q2646" s="16" t="n">
        <v>3000</v>
      </c>
      <c r="R2646" s="16" t="n">
        <v>613.75</v>
      </c>
      <c r="S2646" s="16" t="n">
        <v>0.5</v>
      </c>
      <c r="T2646" s="16" t="n">
        <v>0.95</v>
      </c>
      <c r="U2646" s="16" t="n">
        <v>0.75</v>
      </c>
      <c r="V2646" s="16" t="n">
        <v>0.85</v>
      </c>
      <c r="W2646" s="16" t="n">
        <v>0.75</v>
      </c>
      <c r="X2646" s="16" t="n">
        <v>0.8</v>
      </c>
      <c r="Y2646" s="16" t="n">
        <v>278.15</v>
      </c>
      <c r="Z2646" s="16" t="n">
        <v>10.65222880879868</v>
      </c>
      <c r="AA2646" s="16" t="n">
        <v>57.45408478550366</v>
      </c>
      <c r="AB2646" s="16" t="n">
        <v>2386.25</v>
      </c>
      <c r="AC2646" s="16" t="n">
        <v>4.887983706720978</v>
      </c>
      <c r="AD2646" s="16" t="n"/>
      <c r="AE2646" s="16" t="n"/>
    </row>
    <row r="2647">
      <c r="A2647" s="16" t="inlineStr">
        <is>
          <t>KF-M07-A2-0043</t>
        </is>
      </c>
      <c r="B2647" s="16" t="inlineStr">
        <is>
          <t>5.1</t>
        </is>
      </c>
      <c r="C2647" s="16" t="inlineStr">
        <is>
          <t>5.1b</t>
        </is>
      </c>
      <c r="D2647" s="16" t="inlineStr">
        <is>
          <t>libre, desde el mejor de 2.4</t>
        </is>
      </c>
      <c r="E2647" s="16" t="inlineStr">
        <is>
          <t>KF-M07</t>
        </is>
      </c>
      <c r="F2647" s="16" t="inlineStr">
        <is>
          <t>KF-M07-A2</t>
        </is>
      </c>
      <c r="G2647" s="16" t="inlineStr">
        <is>
          <t>B11-A2</t>
        </is>
      </c>
      <c r="H2647" s="16" t="inlineStr">
        <is>
          <t>busqueda</t>
        </is>
      </c>
      <c r="I2647" s="16" t="inlineStr">
        <is>
          <t>CORREGIBLE</t>
        </is>
      </c>
      <c r="J2647" s="16" t="inlineStr">
        <is>
          <t>CORREGIBLE</t>
        </is>
      </c>
      <c r="K2647" s="16" t="b">
        <v>1</v>
      </c>
      <c r="L2647" s="16" t="b">
        <v>0</v>
      </c>
      <c r="M2647" s="16" t="b">
        <v>0</v>
      </c>
      <c r="N2647" s="16" t="b">
        <v>0</v>
      </c>
      <c r="O2647" s="16" t="n">
        <v>420</v>
      </c>
      <c r="P2647" s="16" t="n">
        <v>278.15</v>
      </c>
      <c r="Q2647" s="16" t="n">
        <v>3000</v>
      </c>
      <c r="R2647" s="16" t="n">
        <v>300</v>
      </c>
      <c r="S2647" s="16" t="n">
        <v>0.5</v>
      </c>
      <c r="T2647" s="16" t="n">
        <v>0.95</v>
      </c>
      <c r="U2647" s="16" t="n">
        <v>0.75</v>
      </c>
      <c r="V2647" s="16" t="n">
        <v>0.85</v>
      </c>
      <c r="W2647" s="16" t="n">
        <v>0.75</v>
      </c>
      <c r="X2647" s="16" t="n">
        <v>0.8</v>
      </c>
      <c r="Y2647" s="16" t="n">
        <v>278.15</v>
      </c>
      <c r="Z2647" s="16" t="n">
        <v>14.91143589504281</v>
      </c>
      <c r="AA2647" s="16" t="n">
        <v>80.69811106764551</v>
      </c>
      <c r="AB2647" s="16" t="n">
        <v>2700</v>
      </c>
      <c r="AC2647" s="16" t="n">
        <v>10</v>
      </c>
      <c r="AD2647" s="16" t="inlineStr">
        <is>
          <t>O1,O2</t>
        </is>
      </c>
      <c r="AE2647" s="16" t="n"/>
    </row>
    <row r="2648">
      <c r="A2648" s="16" t="inlineStr">
        <is>
          <t>KF-M07-A2-0044</t>
        </is>
      </c>
      <c r="B2648" s="16" t="inlineStr">
        <is>
          <t>5.1</t>
        </is>
      </c>
      <c r="C2648" s="16" t="inlineStr">
        <is>
          <t>5.1b</t>
        </is>
      </c>
      <c r="D2648" s="16" t="inlineStr">
        <is>
          <t>libre, desde el mejor de 2.4</t>
        </is>
      </c>
      <c r="E2648" s="16" t="inlineStr">
        <is>
          <t>KF-M07</t>
        </is>
      </c>
      <c r="F2648" s="16" t="inlineStr">
        <is>
          <t>KF-M07-A2</t>
        </is>
      </c>
      <c r="G2648" s="16" t="inlineStr">
        <is>
          <t>B11-A2</t>
        </is>
      </c>
      <c r="H2648" s="16" t="inlineStr">
        <is>
          <t>busqueda</t>
        </is>
      </c>
      <c r="I2648" s="16" t="inlineStr">
        <is>
          <t>CORREGIBLE</t>
        </is>
      </c>
      <c r="J2648" s="16" t="inlineStr">
        <is>
          <t>CORREGIBLE</t>
        </is>
      </c>
      <c r="K2648" s="16" t="b">
        <v>1</v>
      </c>
      <c r="L2648" s="16" t="b">
        <v>0</v>
      </c>
      <c r="M2648" s="16" t="b">
        <v>0</v>
      </c>
      <c r="N2648" s="16" t="b">
        <v>0</v>
      </c>
      <c r="O2648" s="16" t="n">
        <v>420</v>
      </c>
      <c r="P2648" s="16" t="n">
        <v>278.15</v>
      </c>
      <c r="Q2648" s="16" t="n">
        <v>3000</v>
      </c>
      <c r="R2648" s="16" t="n">
        <v>393.75</v>
      </c>
      <c r="S2648" s="16" t="n">
        <v>0.535</v>
      </c>
      <c r="T2648" s="16" t="n">
        <v>0.95</v>
      </c>
      <c r="U2648" s="16" t="n">
        <v>0.75</v>
      </c>
      <c r="V2648" s="16" t="n">
        <v>0.85</v>
      </c>
      <c r="W2648" s="16" t="n">
        <v>0.75</v>
      </c>
      <c r="X2648" s="16" t="n">
        <v>0.8</v>
      </c>
      <c r="Y2648" s="16" t="n">
        <v>278.15</v>
      </c>
      <c r="Z2648" s="16" t="n">
        <v>14.42895588995345</v>
      </c>
      <c r="AA2648" s="16" t="n">
        <v>89.22140961107675</v>
      </c>
      <c r="AB2648" s="16" t="n">
        <v>2606.25</v>
      </c>
      <c r="AC2648" s="16" t="n">
        <v>7.619047619047619</v>
      </c>
      <c r="AD2648" s="16" t="inlineStr">
        <is>
          <t>O2</t>
        </is>
      </c>
      <c r="AE2648" s="16" t="n"/>
    </row>
    <row r="2649">
      <c r="A2649" s="16" t="inlineStr">
        <is>
          <t>KF-M07-A2-0045</t>
        </is>
      </c>
      <c r="B2649" s="16" t="inlineStr">
        <is>
          <t>5.1</t>
        </is>
      </c>
      <c r="C2649" s="16" t="inlineStr">
        <is>
          <t>5.1b</t>
        </is>
      </c>
      <c r="D2649" s="16" t="inlineStr">
        <is>
          <t>libre, desde el mejor de 2.4</t>
        </is>
      </c>
      <c r="E2649" s="16" t="inlineStr">
        <is>
          <t>KF-M07</t>
        </is>
      </c>
      <c r="F2649" s="16" t="inlineStr">
        <is>
          <t>KF-M07-A2</t>
        </is>
      </c>
      <c r="G2649" s="16" t="inlineStr">
        <is>
          <t>B11-A2</t>
        </is>
      </c>
      <c r="H2649" s="16" t="inlineStr">
        <is>
          <t>busqueda</t>
        </is>
      </c>
      <c r="I2649" s="16" t="inlineStr">
        <is>
          <t>KALINA</t>
        </is>
      </c>
      <c r="J2649" s="16" t="inlineStr">
        <is>
          <t>KALINA</t>
        </is>
      </c>
      <c r="K2649" s="16" t="b">
        <v>1</v>
      </c>
      <c r="L2649" s="16" t="b">
        <v>1</v>
      </c>
      <c r="M2649" s="16" t="b">
        <v>0</v>
      </c>
      <c r="N2649" s="16" t="b">
        <v>0</v>
      </c>
      <c r="O2649" s="16" t="n">
        <v>420</v>
      </c>
      <c r="P2649" s="16" t="n">
        <v>278.15</v>
      </c>
      <c r="Q2649" s="16" t="n">
        <v>3000</v>
      </c>
      <c r="R2649" s="16" t="n">
        <v>393.75</v>
      </c>
      <c r="S2649" s="16" t="n">
        <v>0.5</v>
      </c>
      <c r="T2649" s="16" t="n">
        <v>0.895</v>
      </c>
      <c r="U2649" s="16" t="n">
        <v>0.75</v>
      </c>
      <c r="V2649" s="16" t="n">
        <v>0.85</v>
      </c>
      <c r="W2649" s="16" t="n">
        <v>0.75</v>
      </c>
      <c r="X2649" s="16" t="n">
        <v>0.8</v>
      </c>
      <c r="Y2649" s="16" t="n">
        <v>278.15</v>
      </c>
      <c r="Z2649" s="16" t="n">
        <v>12.57150016006878</v>
      </c>
      <c r="AA2649" s="16" t="n">
        <v>67.91475092631754</v>
      </c>
      <c r="AB2649" s="16" t="n">
        <v>2606.25</v>
      </c>
      <c r="AC2649" s="16" t="n">
        <v>7.619047619047619</v>
      </c>
      <c r="AD2649" s="16" t="n"/>
      <c r="AE2649" s="16" t="n"/>
    </row>
    <row r="2650">
      <c r="A2650" s="16" t="inlineStr">
        <is>
          <t>KF-M07-A2-0046</t>
        </is>
      </c>
      <c r="B2650" s="16" t="inlineStr">
        <is>
          <t>5.1</t>
        </is>
      </c>
      <c r="C2650" s="16" t="inlineStr">
        <is>
          <t>5.1b</t>
        </is>
      </c>
      <c r="D2650" s="16" t="inlineStr">
        <is>
          <t>libre, desde el mejor de 2.4</t>
        </is>
      </c>
      <c r="E2650" s="16" t="inlineStr">
        <is>
          <t>KF-M07</t>
        </is>
      </c>
      <c r="F2650" s="16" t="inlineStr">
        <is>
          <t>KF-M07-A2</t>
        </is>
      </c>
      <c r="G2650" s="16" t="inlineStr">
        <is>
          <t>B11-A2</t>
        </is>
      </c>
      <c r="H2650" s="16" t="inlineStr">
        <is>
          <t>busqueda</t>
        </is>
      </c>
      <c r="I2650" s="16" t="inlineStr">
        <is>
          <t>KALINA</t>
        </is>
      </c>
      <c r="J2650" s="16" t="inlineStr">
        <is>
          <t>KALINA</t>
        </is>
      </c>
      <c r="K2650" s="16" t="b">
        <v>1</v>
      </c>
      <c r="L2650" s="16" t="b">
        <v>1</v>
      </c>
      <c r="M2650" s="16" t="b">
        <v>0</v>
      </c>
      <c r="N2650" s="16" t="b">
        <v>0</v>
      </c>
      <c r="O2650" s="16" t="n">
        <v>420</v>
      </c>
      <c r="P2650" s="16" t="n">
        <v>278.15</v>
      </c>
      <c r="Q2650" s="16" t="n">
        <v>3000</v>
      </c>
      <c r="R2650" s="16" t="n">
        <v>393.75</v>
      </c>
      <c r="S2650" s="16" t="n">
        <v>0.5</v>
      </c>
      <c r="T2650" s="16" t="n">
        <v>0.95</v>
      </c>
      <c r="U2650" s="16" t="n">
        <v>0.8049999999999999</v>
      </c>
      <c r="V2650" s="16" t="n">
        <v>0.85</v>
      </c>
      <c r="W2650" s="16" t="n">
        <v>0.75</v>
      </c>
      <c r="X2650" s="16" t="n">
        <v>0.8</v>
      </c>
      <c r="Y2650" s="16" t="n">
        <v>278.15</v>
      </c>
      <c r="Z2650" s="16" t="n">
        <v>13.43040904430358</v>
      </c>
      <c r="AA2650" s="16" t="n">
        <v>72.62473342820395</v>
      </c>
      <c r="AB2650" s="16" t="n">
        <v>2606.25</v>
      </c>
      <c r="AC2650" s="16" t="n">
        <v>7.619047619047619</v>
      </c>
      <c r="AD2650" s="16" t="n"/>
      <c r="AE2650" s="16" t="n"/>
    </row>
    <row r="2651">
      <c r="A2651" s="16" t="inlineStr">
        <is>
          <t>KF-M07-A2-0047</t>
        </is>
      </c>
      <c r="B2651" s="16" t="inlineStr">
        <is>
          <t>5.1</t>
        </is>
      </c>
      <c r="C2651" s="16" t="inlineStr">
        <is>
          <t>5.1b</t>
        </is>
      </c>
      <c r="D2651" s="16" t="inlineStr">
        <is>
          <t>libre, desde el mejor de 2.4</t>
        </is>
      </c>
      <c r="E2651" s="16" t="inlineStr">
        <is>
          <t>KF-M07</t>
        </is>
      </c>
      <c r="F2651" s="16" t="inlineStr">
        <is>
          <t>KF-M07-A2</t>
        </is>
      </c>
      <c r="G2651" s="16" t="inlineStr">
        <is>
          <t>B11-A2</t>
        </is>
      </c>
      <c r="H2651" s="16" t="inlineStr">
        <is>
          <t>busqueda</t>
        </is>
      </c>
      <c r="I2651" s="16" t="inlineStr">
        <is>
          <t>KALINA</t>
        </is>
      </c>
      <c r="J2651" s="16" t="inlineStr">
        <is>
          <t>KALINA</t>
        </is>
      </c>
      <c r="K2651" s="16" t="b">
        <v>1</v>
      </c>
      <c r="L2651" s="16" t="b">
        <v>1</v>
      </c>
      <c r="M2651" s="16" t="b">
        <v>0</v>
      </c>
      <c r="N2651" s="16" t="b">
        <v>0</v>
      </c>
      <c r="O2651" s="16" t="n">
        <v>420</v>
      </c>
      <c r="P2651" s="16" t="n">
        <v>278.15</v>
      </c>
      <c r="Q2651" s="16" t="n">
        <v>3000</v>
      </c>
      <c r="R2651" s="16" t="n">
        <v>393.75</v>
      </c>
      <c r="S2651" s="16" t="n">
        <v>0.5</v>
      </c>
      <c r="T2651" s="16" t="n">
        <v>0.95</v>
      </c>
      <c r="U2651" s="16" t="n">
        <v>0.6950000000000001</v>
      </c>
      <c r="V2651" s="16" t="n">
        <v>0.85</v>
      </c>
      <c r="W2651" s="16" t="n">
        <v>0.75</v>
      </c>
      <c r="X2651" s="16" t="n">
        <v>0.8</v>
      </c>
      <c r="Y2651" s="16" t="n">
        <v>278.15</v>
      </c>
      <c r="Z2651" s="16" t="n">
        <v>13.32295875442874</v>
      </c>
      <c r="AA2651" s="16" t="n">
        <v>72.0068191025579</v>
      </c>
      <c r="AB2651" s="16" t="n">
        <v>2606.25</v>
      </c>
      <c r="AC2651" s="16" t="n">
        <v>7.619047619047619</v>
      </c>
      <c r="AD2651" s="16" t="n"/>
      <c r="AE2651" s="16" t="n"/>
    </row>
    <row r="2652">
      <c r="A2652" s="16" t="inlineStr">
        <is>
          <t>KF-M07-A2-0048</t>
        </is>
      </c>
      <c r="B2652" s="16" t="inlineStr">
        <is>
          <t>5.1</t>
        </is>
      </c>
      <c r="C2652" s="16" t="inlineStr">
        <is>
          <t>5.1b</t>
        </is>
      </c>
      <c r="D2652" s="16" t="inlineStr">
        <is>
          <t>libre, desde el mejor de 2.4</t>
        </is>
      </c>
      <c r="E2652" s="16" t="inlineStr">
        <is>
          <t>KF-M07</t>
        </is>
      </c>
      <c r="F2652" s="16" t="inlineStr">
        <is>
          <t>KF-M07-A2</t>
        </is>
      </c>
      <c r="G2652" s="16" t="inlineStr">
        <is>
          <t>B11-A2</t>
        </is>
      </c>
      <c r="H2652" s="16" t="inlineStr">
        <is>
          <t>busqueda</t>
        </is>
      </c>
      <c r="I2652" s="16" t="inlineStr">
        <is>
          <t>CORREGIBLE</t>
        </is>
      </c>
      <c r="J2652" s="16" t="inlineStr">
        <is>
          <t>CORREGIBLE</t>
        </is>
      </c>
      <c r="K2652" s="16" t="b">
        <v>1</v>
      </c>
      <c r="L2652" s="16" t="b">
        <v>0</v>
      </c>
      <c r="M2652" s="16" t="b">
        <v>0</v>
      </c>
      <c r="N2652" s="16" t="b">
        <v>0</v>
      </c>
      <c r="O2652" s="16" t="n">
        <v>420</v>
      </c>
      <c r="P2652" s="16" t="n">
        <v>278.15</v>
      </c>
      <c r="Q2652" s="16" t="n">
        <v>3000</v>
      </c>
      <c r="R2652" s="16" t="n">
        <v>393.75</v>
      </c>
      <c r="S2652" s="16" t="n">
        <v>0.5</v>
      </c>
      <c r="T2652" s="16" t="n">
        <v>0.95</v>
      </c>
      <c r="U2652" s="16" t="n">
        <v>0.75</v>
      </c>
      <c r="V2652" s="16" t="n">
        <v>0.905</v>
      </c>
      <c r="W2652" s="16" t="n">
        <v>0.75</v>
      </c>
      <c r="X2652" s="16" t="n">
        <v>0.8</v>
      </c>
      <c r="Y2652" s="16" t="n">
        <v>278.15</v>
      </c>
      <c r="Z2652" s="16" t="n">
        <v>13.66049217079425</v>
      </c>
      <c r="AA2652" s="16" t="n">
        <v>78.40386126402854</v>
      </c>
      <c r="AB2652" s="16" t="n">
        <v>2606.25</v>
      </c>
      <c r="AC2652" s="16" t="n">
        <v>7.619047619047619</v>
      </c>
      <c r="AD2652" s="16" t="inlineStr">
        <is>
          <t>O2</t>
        </is>
      </c>
      <c r="AE2652" s="16" t="n"/>
    </row>
    <row r="2653">
      <c r="A2653" s="16" t="inlineStr">
        <is>
          <t>KF-M07-A2-0049</t>
        </is>
      </c>
      <c r="B2653" s="16" t="inlineStr">
        <is>
          <t>5.1</t>
        </is>
      </c>
      <c r="C2653" s="16" t="inlineStr">
        <is>
          <t>5.1b</t>
        </is>
      </c>
      <c r="D2653" s="16" t="inlineStr">
        <is>
          <t>libre, desde el mejor de 2.4</t>
        </is>
      </c>
      <c r="E2653" s="16" t="inlineStr">
        <is>
          <t>KF-M07</t>
        </is>
      </c>
      <c r="F2653" s="16" t="inlineStr">
        <is>
          <t>KF-M07-A2</t>
        </is>
      </c>
      <c r="G2653" s="16" t="inlineStr">
        <is>
          <t>B11-A2</t>
        </is>
      </c>
      <c r="H2653" s="16" t="inlineStr">
        <is>
          <t>busqueda</t>
        </is>
      </c>
      <c r="I2653" s="16" t="inlineStr">
        <is>
          <t>KALINA</t>
        </is>
      </c>
      <c r="J2653" s="16" t="inlineStr">
        <is>
          <t>KALINA</t>
        </is>
      </c>
      <c r="K2653" s="16" t="b">
        <v>1</v>
      </c>
      <c r="L2653" s="16" t="b">
        <v>1</v>
      </c>
      <c r="M2653" s="16" t="b">
        <v>0</v>
      </c>
      <c r="N2653" s="16" t="b">
        <v>0</v>
      </c>
      <c r="O2653" s="16" t="n">
        <v>420</v>
      </c>
      <c r="P2653" s="16" t="n">
        <v>278.15</v>
      </c>
      <c r="Q2653" s="16" t="n">
        <v>3000</v>
      </c>
      <c r="R2653" s="16" t="n">
        <v>393.75</v>
      </c>
      <c r="S2653" s="16" t="n">
        <v>0.5</v>
      </c>
      <c r="T2653" s="16" t="n">
        <v>0.95</v>
      </c>
      <c r="U2653" s="16" t="n">
        <v>0.75</v>
      </c>
      <c r="V2653" s="16" t="n">
        <v>0.795</v>
      </c>
      <c r="W2653" s="16" t="n">
        <v>0.75</v>
      </c>
      <c r="X2653" s="16" t="n">
        <v>0.8</v>
      </c>
      <c r="Y2653" s="16" t="n">
        <v>278.15</v>
      </c>
      <c r="Z2653" s="16" t="n">
        <v>13.0576397802993</v>
      </c>
      <c r="AA2653" s="16" t="n">
        <v>66.22115378936343</v>
      </c>
      <c r="AB2653" s="16" t="n">
        <v>2606.25</v>
      </c>
      <c r="AC2653" s="16" t="n">
        <v>7.619047619047619</v>
      </c>
      <c r="AD2653" s="16" t="n"/>
      <c r="AE2653" s="16" t="n"/>
    </row>
    <row r="2654">
      <c r="A2654" s="16" t="inlineStr">
        <is>
          <t>KF-M07-A2-0050</t>
        </is>
      </c>
      <c r="B2654" s="16" t="inlineStr">
        <is>
          <t>5.1</t>
        </is>
      </c>
      <c r="C2654" s="16" t="inlineStr">
        <is>
          <t>5.1b</t>
        </is>
      </c>
      <c r="D2654" s="16" t="inlineStr">
        <is>
          <t>libre, desde el mejor de 2.4</t>
        </is>
      </c>
      <c r="E2654" s="16" t="inlineStr">
        <is>
          <t>KF-M07</t>
        </is>
      </c>
      <c r="F2654" s="16" t="inlineStr">
        <is>
          <t>KF-M07-A2</t>
        </is>
      </c>
      <c r="G2654" s="16" t="inlineStr">
        <is>
          <t>B11-A2</t>
        </is>
      </c>
      <c r="H2654" s="16" t="inlineStr">
        <is>
          <t>busqueda</t>
        </is>
      </c>
      <c r="I2654" s="16" t="inlineStr">
        <is>
          <t>KALINA</t>
        </is>
      </c>
      <c r="J2654" s="16" t="inlineStr">
        <is>
          <t>KALINA</t>
        </is>
      </c>
      <c r="K2654" s="16" t="b">
        <v>1</v>
      </c>
      <c r="L2654" s="16" t="b">
        <v>1</v>
      </c>
      <c r="M2654" s="16" t="b">
        <v>0</v>
      </c>
      <c r="N2654" s="16" t="b">
        <v>0</v>
      </c>
      <c r="O2654" s="16" t="n">
        <v>420</v>
      </c>
      <c r="P2654" s="16" t="n">
        <v>278.15</v>
      </c>
      <c r="Q2654" s="16" t="n">
        <v>3000</v>
      </c>
      <c r="R2654" s="16" t="n">
        <v>393.75</v>
      </c>
      <c r="S2654" s="16" t="n">
        <v>0.5</v>
      </c>
      <c r="T2654" s="16" t="n">
        <v>0.95</v>
      </c>
      <c r="U2654" s="16" t="n">
        <v>0.75</v>
      </c>
      <c r="V2654" s="16" t="n">
        <v>0.85</v>
      </c>
      <c r="W2654" s="16" t="n">
        <v>0.8049999999999999</v>
      </c>
      <c r="X2654" s="16" t="n">
        <v>0.8</v>
      </c>
      <c r="Y2654" s="16" t="n">
        <v>278.15</v>
      </c>
      <c r="Z2654" s="16" t="n">
        <v>13.89941578479586</v>
      </c>
      <c r="AA2654" s="16" t="n">
        <v>72.84738312386479</v>
      </c>
      <c r="AB2654" s="16" t="n">
        <v>2606.25</v>
      </c>
      <c r="AC2654" s="16" t="n">
        <v>7.619047619047619</v>
      </c>
      <c r="AD2654" s="16" t="n"/>
      <c r="AE2654" s="16" t="n"/>
    </row>
    <row r="2655">
      <c r="A2655" s="16" t="inlineStr">
        <is>
          <t>KF-M07-A2-0051</t>
        </is>
      </c>
      <c r="B2655" s="16" t="inlineStr">
        <is>
          <t>5.1</t>
        </is>
      </c>
      <c r="C2655" s="16" t="inlineStr">
        <is>
          <t>5.1b</t>
        </is>
      </c>
      <c r="D2655" s="16" t="inlineStr">
        <is>
          <t>libre, desde el mejor de 2.4</t>
        </is>
      </c>
      <c r="E2655" s="16" t="inlineStr">
        <is>
          <t>KF-M07</t>
        </is>
      </c>
      <c r="F2655" s="16" t="inlineStr">
        <is>
          <t>KF-M07-A2</t>
        </is>
      </c>
      <c r="G2655" s="16" t="inlineStr">
        <is>
          <t>B11-A2</t>
        </is>
      </c>
      <c r="H2655" s="16" t="inlineStr">
        <is>
          <t>busqueda</t>
        </is>
      </c>
      <c r="I2655" s="16" t="inlineStr">
        <is>
          <t>CORREGIBLE</t>
        </is>
      </c>
      <c r="J2655" s="16" t="inlineStr">
        <is>
          <t>CORREGIBLE</t>
        </is>
      </c>
      <c r="K2655" s="16" t="b">
        <v>1</v>
      </c>
      <c r="L2655" s="16" t="b">
        <v>0</v>
      </c>
      <c r="M2655" s="16" t="b">
        <v>0</v>
      </c>
      <c r="N2655" s="16" t="b">
        <v>0</v>
      </c>
      <c r="O2655" s="16" t="n">
        <v>420</v>
      </c>
      <c r="P2655" s="16" t="n">
        <v>278.15</v>
      </c>
      <c r="Q2655" s="16" t="n">
        <v>3000</v>
      </c>
      <c r="R2655" s="16" t="n">
        <v>393.75</v>
      </c>
      <c r="S2655" s="16" t="n">
        <v>0.5</v>
      </c>
      <c r="T2655" s="16" t="n">
        <v>0.95</v>
      </c>
      <c r="U2655" s="16" t="n">
        <v>0.75</v>
      </c>
      <c r="V2655" s="16" t="n">
        <v>0.85</v>
      </c>
      <c r="W2655" s="16" t="n">
        <v>0.6950000000000001</v>
      </c>
      <c r="X2655" s="16" t="n">
        <v>0.8</v>
      </c>
      <c r="Y2655" s="16" t="n">
        <v>278.15</v>
      </c>
      <c r="Z2655" s="16" t="n">
        <v>12.89904512457652</v>
      </c>
      <c r="AA2655" s="16" t="n">
        <v>71.83474140113667</v>
      </c>
      <c r="AB2655" s="16" t="n">
        <v>2606.25</v>
      </c>
      <c r="AC2655" s="16" t="n">
        <v>7.619047619047619</v>
      </c>
      <c r="AD2655" s="16" t="inlineStr">
        <is>
          <t>O2</t>
        </is>
      </c>
      <c r="AE2655" s="16" t="n"/>
    </row>
    <row r="2656">
      <c r="A2656" s="16" t="inlineStr">
        <is>
          <t>KF-M07-A2-0052</t>
        </is>
      </c>
      <c r="B2656" s="16" t="inlineStr">
        <is>
          <t>5.1</t>
        </is>
      </c>
      <c r="C2656" s="16" t="inlineStr">
        <is>
          <t>5.1b</t>
        </is>
      </c>
      <c r="D2656" s="16" t="inlineStr">
        <is>
          <t>libre, desde el mejor de 2.4</t>
        </is>
      </c>
      <c r="E2656" s="16" t="inlineStr">
        <is>
          <t>KF-M07</t>
        </is>
      </c>
      <c r="F2656" s="16" t="inlineStr">
        <is>
          <t>KF-M07-A2</t>
        </is>
      </c>
      <c r="G2656" s="16" t="inlineStr">
        <is>
          <t>B11-A2</t>
        </is>
      </c>
      <c r="H2656" s="16" t="inlineStr">
        <is>
          <t>busqueda</t>
        </is>
      </c>
      <c r="I2656" s="16" t="inlineStr">
        <is>
          <t>KALINA</t>
        </is>
      </c>
      <c r="J2656" s="16" t="inlineStr">
        <is>
          <t>KALINA</t>
        </is>
      </c>
      <c r="K2656" s="16" t="b">
        <v>1</v>
      </c>
      <c r="L2656" s="16" t="b">
        <v>1</v>
      </c>
      <c r="M2656" s="16" t="b">
        <v>0</v>
      </c>
      <c r="N2656" s="16" t="b">
        <v>0</v>
      </c>
      <c r="O2656" s="16" t="n">
        <v>420</v>
      </c>
      <c r="P2656" s="16" t="n">
        <v>278.15</v>
      </c>
      <c r="Q2656" s="16" t="n">
        <v>3000</v>
      </c>
      <c r="R2656" s="16" t="n">
        <v>393.75</v>
      </c>
      <c r="S2656" s="16" t="n">
        <v>0.5</v>
      </c>
      <c r="T2656" s="16" t="n">
        <v>0.95</v>
      </c>
      <c r="U2656" s="16" t="n">
        <v>0.75</v>
      </c>
      <c r="V2656" s="16" t="n">
        <v>0.85</v>
      </c>
      <c r="W2656" s="16" t="n">
        <v>0.75</v>
      </c>
      <c r="X2656" s="16" t="n">
        <v>0.855</v>
      </c>
      <c r="Y2656" s="16" t="n">
        <v>278.15</v>
      </c>
      <c r="Z2656" s="16" t="n">
        <v>12.98072159203808</v>
      </c>
      <c r="AA2656" s="16" t="n">
        <v>71.95657401652849</v>
      </c>
      <c r="AB2656" s="16" t="n">
        <v>2606.25</v>
      </c>
      <c r="AC2656" s="16" t="n">
        <v>7.619047619047619</v>
      </c>
      <c r="AD2656" s="16" t="n"/>
      <c r="AE2656" s="16" t="n"/>
    </row>
    <row r="2657">
      <c r="A2657" s="16" t="inlineStr">
        <is>
          <t>KF-M07-A2-0053</t>
        </is>
      </c>
      <c r="B2657" s="16" t="inlineStr">
        <is>
          <t>5.1</t>
        </is>
      </c>
      <c r="C2657" s="16" t="inlineStr">
        <is>
          <t>5.1b</t>
        </is>
      </c>
      <c r="D2657" s="16" t="inlineStr">
        <is>
          <t>libre, desde el mejor de 2.4</t>
        </is>
      </c>
      <c r="E2657" s="16" t="inlineStr">
        <is>
          <t>KF-M07</t>
        </is>
      </c>
      <c r="F2657" s="16" t="inlineStr">
        <is>
          <t>KF-M07-A2</t>
        </is>
      </c>
      <c r="G2657" s="16" t="inlineStr">
        <is>
          <t>B11-A2</t>
        </is>
      </c>
      <c r="H2657" s="16" t="inlineStr">
        <is>
          <t>busqueda</t>
        </is>
      </c>
      <c r="I2657" s="16" t="inlineStr">
        <is>
          <t>CORREGIBLE</t>
        </is>
      </c>
      <c r="J2657" s="16" t="inlineStr">
        <is>
          <t>CORREGIBLE</t>
        </is>
      </c>
      <c r="K2657" s="16" t="b">
        <v>1</v>
      </c>
      <c r="L2657" s="16" t="b">
        <v>0</v>
      </c>
      <c r="M2657" s="16" t="b">
        <v>0</v>
      </c>
      <c r="N2657" s="16" t="b">
        <v>0</v>
      </c>
      <c r="O2657" s="16" t="n">
        <v>420</v>
      </c>
      <c r="P2657" s="16" t="n">
        <v>278.15</v>
      </c>
      <c r="Q2657" s="16" t="n">
        <v>3000</v>
      </c>
      <c r="R2657" s="16" t="n">
        <v>393.75</v>
      </c>
      <c r="S2657" s="16" t="n">
        <v>0.5</v>
      </c>
      <c r="T2657" s="16" t="n">
        <v>0.95</v>
      </c>
      <c r="U2657" s="16" t="n">
        <v>0.75</v>
      </c>
      <c r="V2657" s="16" t="n">
        <v>0.85</v>
      </c>
      <c r="W2657" s="16" t="n">
        <v>0.75</v>
      </c>
      <c r="X2657" s="16" t="n">
        <v>0.7450000000000001</v>
      </c>
      <c r="Y2657" s="16" t="n">
        <v>278.15</v>
      </c>
      <c r="Z2657" s="16" t="n">
        <v>13.7478936258819</v>
      </c>
      <c r="AA2657" s="16" t="n">
        <v>72.25641823270736</v>
      </c>
      <c r="AB2657" s="16" t="n">
        <v>2606.25</v>
      </c>
      <c r="AC2657" s="16" t="n">
        <v>7.619047619047619</v>
      </c>
      <c r="AD2657" s="16" t="inlineStr">
        <is>
          <t>O2</t>
        </is>
      </c>
      <c r="AE2657" s="16" t="n"/>
    </row>
    <row r="2658">
      <c r="A2658" s="16" t="inlineStr">
        <is>
          <t>KF-M07-A2-0054</t>
        </is>
      </c>
      <c r="B2658" s="16" t="inlineStr">
        <is>
          <t>5.1</t>
        </is>
      </c>
      <c r="C2658" s="16" t="inlineStr">
        <is>
          <t>5.1b</t>
        </is>
      </c>
      <c r="D2658" s="16" t="inlineStr">
        <is>
          <t>libre, desde el mejor de 2.4</t>
        </is>
      </c>
      <c r="E2658" s="16" t="inlineStr">
        <is>
          <t>KF-M07</t>
        </is>
      </c>
      <c r="F2658" s="16" t="inlineStr">
        <is>
          <t>KF-M07-A2</t>
        </is>
      </c>
      <c r="G2658" s="16" t="inlineStr">
        <is>
          <t>B11-A2</t>
        </is>
      </c>
      <c r="H2658" s="16" t="inlineStr">
        <is>
          <t>busqueda</t>
        </is>
      </c>
      <c r="I2658" s="16" t="inlineStr">
        <is>
          <t>CORREGIBLE</t>
        </is>
      </c>
      <c r="J2658" s="16" t="inlineStr">
        <is>
          <t>CORREGIBLE</t>
        </is>
      </c>
      <c r="K2658" s="16" t="b">
        <v>1</v>
      </c>
      <c r="L2658" s="16" t="b">
        <v>0</v>
      </c>
      <c r="M2658" s="16" t="b">
        <v>1</v>
      </c>
      <c r="N2658" s="16" t="b">
        <v>0</v>
      </c>
      <c r="O2658" s="16" t="n">
        <v>432</v>
      </c>
      <c r="P2658" s="16" t="n">
        <v>278.15</v>
      </c>
      <c r="Q2658" s="16" t="n">
        <v>3000</v>
      </c>
      <c r="R2658" s="16" t="n">
        <v>393.75</v>
      </c>
      <c r="S2658" s="16" t="n">
        <v>0.5</v>
      </c>
      <c r="T2658" s="16" t="n">
        <v>0.95</v>
      </c>
      <c r="U2658" s="16" t="n">
        <v>0.75</v>
      </c>
      <c r="V2658" s="16" t="n">
        <v>0.85</v>
      </c>
      <c r="W2658" s="16" t="n">
        <v>0.8049999999999999</v>
      </c>
      <c r="X2658" s="16" t="n">
        <v>0.8</v>
      </c>
      <c r="Y2658" s="16" t="n">
        <v>278.15</v>
      </c>
      <c r="Z2658" s="16" t="n">
        <v>14.80218071969796</v>
      </c>
      <c r="AA2658" s="16" t="n">
        <v>101.4082530133347</v>
      </c>
      <c r="AB2658" s="16" t="n">
        <v>2606.25</v>
      </c>
      <c r="AC2658" s="16" t="n">
        <v>7.619047619047619</v>
      </c>
      <c r="AD2658" s="16" t="inlineStr">
        <is>
          <t>O1,O2</t>
        </is>
      </c>
      <c r="AE2658" s="16" t="n"/>
    </row>
    <row r="2659">
      <c r="A2659" s="16" t="inlineStr">
        <is>
          <t>KF-M07-A2-0055</t>
        </is>
      </c>
      <c r="B2659" s="16" t="inlineStr">
        <is>
          <t>5.1</t>
        </is>
      </c>
      <c r="C2659" s="16" t="inlineStr">
        <is>
          <t>5.1b</t>
        </is>
      </c>
      <c r="D2659" s="16" t="inlineStr">
        <is>
          <t>libre, desde el mejor de 2.4</t>
        </is>
      </c>
      <c r="E2659" s="16" t="inlineStr">
        <is>
          <t>KF-M07</t>
        </is>
      </c>
      <c r="F2659" s="16" t="inlineStr">
        <is>
          <t>KF-M07-A2</t>
        </is>
      </c>
      <c r="G2659" s="16" t="inlineStr">
        <is>
          <t>B11-A2</t>
        </is>
      </c>
      <c r="H2659" s="16" t="inlineStr">
        <is>
          <t>busqueda</t>
        </is>
      </c>
      <c r="I2659" s="16" t="inlineStr">
        <is>
          <t>KALINA</t>
        </is>
      </c>
      <c r="J2659" s="16" t="inlineStr">
        <is>
          <t>KALINA</t>
        </is>
      </c>
      <c r="K2659" s="16" t="b">
        <v>1</v>
      </c>
      <c r="L2659" s="16" t="b">
        <v>1</v>
      </c>
      <c r="M2659" s="16" t="b">
        <v>0</v>
      </c>
      <c r="N2659" s="16" t="b">
        <v>0</v>
      </c>
      <c r="O2659" s="16" t="n">
        <v>408</v>
      </c>
      <c r="P2659" s="16" t="n">
        <v>278.15</v>
      </c>
      <c r="Q2659" s="16" t="n">
        <v>3000</v>
      </c>
      <c r="R2659" s="16" t="n">
        <v>393.75</v>
      </c>
      <c r="S2659" s="16" t="n">
        <v>0.5</v>
      </c>
      <c r="T2659" s="16" t="n">
        <v>0.95</v>
      </c>
      <c r="U2659" s="16" t="n">
        <v>0.75</v>
      </c>
      <c r="V2659" s="16" t="n">
        <v>0.85</v>
      </c>
      <c r="W2659" s="16" t="n">
        <v>0.8049999999999999</v>
      </c>
      <c r="X2659" s="16" t="n">
        <v>0.8</v>
      </c>
      <c r="Y2659" s="16" t="n">
        <v>278.15</v>
      </c>
      <c r="Z2659" s="16" t="n">
        <v>12.26573805591331</v>
      </c>
      <c r="AA2659" s="16" t="n">
        <v>46.2946005438135</v>
      </c>
      <c r="AB2659" s="16" t="n">
        <v>2606.25</v>
      </c>
      <c r="AC2659" s="16" t="n">
        <v>7.619047619047619</v>
      </c>
      <c r="AD2659" s="16" t="n"/>
      <c r="AE2659" s="16" t="n"/>
    </row>
    <row r="2660">
      <c r="A2660" s="16" t="inlineStr">
        <is>
          <t>KF-M07-A2-0056</t>
        </is>
      </c>
      <c r="B2660" s="16" t="inlineStr">
        <is>
          <t>5.1</t>
        </is>
      </c>
      <c r="C2660" s="16" t="inlineStr">
        <is>
          <t>5.1b</t>
        </is>
      </c>
      <c r="D2660" s="16" t="inlineStr">
        <is>
          <t>libre, desde el mejor de 2.4</t>
        </is>
      </c>
      <c r="E2660" s="16" t="inlineStr">
        <is>
          <t>KF-M07</t>
        </is>
      </c>
      <c r="F2660" s="16" t="inlineStr">
        <is>
          <t>KF-M07-A2</t>
        </is>
      </c>
      <c r="G2660" s="16" t="inlineStr">
        <is>
          <t>B11-A2</t>
        </is>
      </c>
      <c r="H2660" s="16" t="inlineStr">
        <is>
          <t>busqueda</t>
        </is>
      </c>
      <c r="I2660" s="16" t="inlineStr">
        <is>
          <t>CORREGIBLE</t>
        </is>
      </c>
      <c r="J2660" s="16" t="inlineStr">
        <is>
          <t>CORREGIBLE</t>
        </is>
      </c>
      <c r="K2660" s="16" t="b">
        <v>1</v>
      </c>
      <c r="L2660" s="16" t="b">
        <v>0</v>
      </c>
      <c r="M2660" s="16" t="b">
        <v>0</v>
      </c>
      <c r="N2660" s="16" t="b">
        <v>0</v>
      </c>
      <c r="O2660" s="16" t="n">
        <v>420</v>
      </c>
      <c r="P2660" s="16" t="n">
        <v>280.69</v>
      </c>
      <c r="Q2660" s="16" t="n">
        <v>3000</v>
      </c>
      <c r="R2660" s="16" t="n">
        <v>393.75</v>
      </c>
      <c r="S2660" s="16" t="n">
        <v>0.5</v>
      </c>
      <c r="T2660" s="16" t="n">
        <v>0.95</v>
      </c>
      <c r="U2660" s="16" t="n">
        <v>0.75</v>
      </c>
      <c r="V2660" s="16" t="n">
        <v>0.85</v>
      </c>
      <c r="W2660" s="16" t="n">
        <v>0.8049999999999999</v>
      </c>
      <c r="X2660" s="16" t="n">
        <v>0.8</v>
      </c>
      <c r="Y2660" s="16" t="n">
        <v>280.69</v>
      </c>
      <c r="Z2660" s="16" t="n">
        <v>14.01859658970856</v>
      </c>
      <c r="AA2660" s="16" t="n">
        <v>72.94383892537728</v>
      </c>
      <c r="AB2660" s="16" t="n">
        <v>2606.25</v>
      </c>
      <c r="AC2660" s="16" t="n">
        <v>7.619047619047619</v>
      </c>
      <c r="AD2660" s="16" t="inlineStr">
        <is>
          <t>O2</t>
        </is>
      </c>
      <c r="AE2660" s="16" t="n"/>
    </row>
    <row r="2661">
      <c r="A2661" s="16" t="inlineStr">
        <is>
          <t>KF-M07-A2-0057</t>
        </is>
      </c>
      <c r="B2661" s="16" t="inlineStr">
        <is>
          <t>5.1</t>
        </is>
      </c>
      <c r="C2661" s="16" t="inlineStr">
        <is>
          <t>5.1b</t>
        </is>
      </c>
      <c r="D2661" s="16" t="inlineStr">
        <is>
          <t>libre, desde el mejor de 2.4</t>
        </is>
      </c>
      <c r="E2661" s="16" t="inlineStr">
        <is>
          <t>KF-M07</t>
        </is>
      </c>
      <c r="F2661" s="16" t="inlineStr">
        <is>
          <t>KF-M07-A2</t>
        </is>
      </c>
      <c r="G2661" s="16" t="inlineStr">
        <is>
          <t>B11-A2</t>
        </is>
      </c>
      <c r="H2661" s="16" t="inlineStr">
        <is>
          <t>busqueda</t>
        </is>
      </c>
      <c r="I2661" s="16" t="inlineStr">
        <is>
          <t>KALINA</t>
        </is>
      </c>
      <c r="J2661" s="16" t="inlineStr">
        <is>
          <t>KALINA</t>
        </is>
      </c>
      <c r="K2661" s="16" t="b">
        <v>1</v>
      </c>
      <c r="L2661" s="16" t="b">
        <v>1</v>
      </c>
      <c r="M2661" s="16" t="b">
        <v>0</v>
      </c>
      <c r="N2661" s="16" t="b">
        <v>0</v>
      </c>
      <c r="O2661" s="16" t="n">
        <v>420</v>
      </c>
      <c r="P2661" s="16" t="n">
        <v>278.15</v>
      </c>
      <c r="Q2661" s="16" t="n">
        <v>3300</v>
      </c>
      <c r="R2661" s="16" t="n">
        <v>393.75</v>
      </c>
      <c r="S2661" s="16" t="n">
        <v>0.5</v>
      </c>
      <c r="T2661" s="16" t="n">
        <v>0.95</v>
      </c>
      <c r="U2661" s="16" t="n">
        <v>0.75</v>
      </c>
      <c r="V2661" s="16" t="n">
        <v>0.85</v>
      </c>
      <c r="W2661" s="16" t="n">
        <v>0.8049999999999999</v>
      </c>
      <c r="X2661" s="16" t="n">
        <v>0.8</v>
      </c>
      <c r="Y2661" s="16" t="n">
        <v>278.15</v>
      </c>
      <c r="Z2661" s="16" t="n">
        <v>13.72901375684154</v>
      </c>
      <c r="AA2661" s="16" t="n">
        <v>64.02212209382003</v>
      </c>
      <c r="AB2661" s="16" t="n">
        <v>2906.25</v>
      </c>
      <c r="AC2661" s="16" t="n">
        <v>8.380952380952381</v>
      </c>
      <c r="AD2661" s="16" t="n"/>
      <c r="AE2661" s="16" t="n"/>
    </row>
    <row r="2662">
      <c r="A2662" s="16" t="inlineStr">
        <is>
          <t>KF-M07-A2-0058</t>
        </is>
      </c>
      <c r="B2662" s="16" t="inlineStr">
        <is>
          <t>5.1</t>
        </is>
      </c>
      <c r="C2662" s="16" t="inlineStr">
        <is>
          <t>5.1b</t>
        </is>
      </c>
      <c r="D2662" s="16" t="inlineStr">
        <is>
          <t>libre, desde el mejor de 2.4</t>
        </is>
      </c>
      <c r="E2662" s="16" t="inlineStr">
        <is>
          <t>KF-M07</t>
        </is>
      </c>
      <c r="F2662" s="16" t="inlineStr">
        <is>
          <t>KF-M07-A2</t>
        </is>
      </c>
      <c r="G2662" s="16" t="inlineStr">
        <is>
          <t>B11-A2</t>
        </is>
      </c>
      <c r="H2662" s="16" t="inlineStr">
        <is>
          <t>busqueda</t>
        </is>
      </c>
      <c r="I2662" s="16" t="inlineStr">
        <is>
          <t>CORREGIBLE</t>
        </is>
      </c>
      <c r="J2662" s="16" t="inlineStr">
        <is>
          <t>CORREGIBLE</t>
        </is>
      </c>
      <c r="K2662" s="16" t="b">
        <v>1</v>
      </c>
      <c r="L2662" s="16" t="b">
        <v>0</v>
      </c>
      <c r="M2662" s="16" t="b">
        <v>0</v>
      </c>
      <c r="N2662" s="16" t="b">
        <v>0</v>
      </c>
      <c r="O2662" s="16" t="n">
        <v>420</v>
      </c>
      <c r="P2662" s="16" t="n">
        <v>278.15</v>
      </c>
      <c r="Q2662" s="16" t="n">
        <v>2700</v>
      </c>
      <c r="R2662" s="16" t="n">
        <v>393.75</v>
      </c>
      <c r="S2662" s="16" t="n">
        <v>0.5</v>
      </c>
      <c r="T2662" s="16" t="n">
        <v>0.95</v>
      </c>
      <c r="U2662" s="16" t="n">
        <v>0.75</v>
      </c>
      <c r="V2662" s="16" t="n">
        <v>0.85</v>
      </c>
      <c r="W2662" s="16" t="n">
        <v>0.8049999999999999</v>
      </c>
      <c r="X2662" s="16" t="n">
        <v>0.8</v>
      </c>
      <c r="Y2662" s="16" t="n">
        <v>278.15</v>
      </c>
      <c r="Z2662" s="16" t="n">
        <v>13.81489310341233</v>
      </c>
      <c r="AA2662" s="16" t="n">
        <v>81.02051474345521</v>
      </c>
      <c r="AB2662" s="16" t="n">
        <v>2306.25</v>
      </c>
      <c r="AC2662" s="16" t="n">
        <v>6.857142857142857</v>
      </c>
      <c r="AD2662" s="16" t="inlineStr">
        <is>
          <t>O2</t>
        </is>
      </c>
      <c r="AE2662" s="16" t="n"/>
    </row>
    <row r="2663">
      <c r="A2663" s="16" t="inlineStr">
        <is>
          <t>KF-M07-A2-0059</t>
        </is>
      </c>
      <c r="B2663" s="16" t="inlineStr">
        <is>
          <t>5.1</t>
        </is>
      </c>
      <c r="C2663" s="16" t="inlineStr">
        <is>
          <t>5.1b</t>
        </is>
      </c>
      <c r="D2663" s="16" t="inlineStr">
        <is>
          <t>libre, desde el mejor de 2.4</t>
        </is>
      </c>
      <c r="E2663" s="16" t="inlineStr">
        <is>
          <t>KF-M07</t>
        </is>
      </c>
      <c r="F2663" s="16" t="inlineStr">
        <is>
          <t>KF-M07-A2</t>
        </is>
      </c>
      <c r="G2663" s="16" t="inlineStr">
        <is>
          <t>B11-A2</t>
        </is>
      </c>
      <c r="H2663" s="16" t="inlineStr">
        <is>
          <t>busqueda</t>
        </is>
      </c>
      <c r="I2663" s="16" t="inlineStr">
        <is>
          <t>KALINA</t>
        </is>
      </c>
      <c r="J2663" s="16" t="inlineStr">
        <is>
          <t>KALINA</t>
        </is>
      </c>
      <c r="K2663" s="16" t="b">
        <v>1</v>
      </c>
      <c r="L2663" s="16" t="b">
        <v>1</v>
      </c>
      <c r="M2663" s="16" t="b">
        <v>0</v>
      </c>
      <c r="N2663" s="16" t="b">
        <v>0</v>
      </c>
      <c r="O2663" s="16" t="n">
        <v>420</v>
      </c>
      <c r="P2663" s="16" t="n">
        <v>278.15</v>
      </c>
      <c r="Q2663" s="16" t="n">
        <v>3000</v>
      </c>
      <c r="R2663" s="16" t="n">
        <v>613.75</v>
      </c>
      <c r="S2663" s="16" t="n">
        <v>0.5</v>
      </c>
      <c r="T2663" s="16" t="n">
        <v>0.95</v>
      </c>
      <c r="U2663" s="16" t="n">
        <v>0.75</v>
      </c>
      <c r="V2663" s="16" t="n">
        <v>0.85</v>
      </c>
      <c r="W2663" s="16" t="n">
        <v>0.8049999999999999</v>
      </c>
      <c r="X2663" s="16" t="n">
        <v>0.8</v>
      </c>
      <c r="Y2663" s="16" t="n">
        <v>278.15</v>
      </c>
      <c r="Z2663" s="16" t="n">
        <v>11.06423438758095</v>
      </c>
      <c r="AA2663" s="16" t="n">
        <v>57.85862523831677</v>
      </c>
      <c r="AB2663" s="16" t="n">
        <v>2386.25</v>
      </c>
      <c r="AC2663" s="16" t="n">
        <v>4.887983706720978</v>
      </c>
      <c r="AD2663" s="16" t="n"/>
      <c r="AE2663" s="16" t="n"/>
    </row>
    <row r="2664">
      <c r="A2664" s="16" t="inlineStr">
        <is>
          <t>KF-M07-A2-0060</t>
        </is>
      </c>
      <c r="B2664" s="16" t="inlineStr">
        <is>
          <t>5.1</t>
        </is>
      </c>
      <c r="C2664" s="16" t="inlineStr">
        <is>
          <t>5.1b</t>
        </is>
      </c>
      <c r="D2664" s="16" t="inlineStr">
        <is>
          <t>libre, desde el mejor de 2.4</t>
        </is>
      </c>
      <c r="E2664" s="16" t="inlineStr">
        <is>
          <t>KF-M07</t>
        </is>
      </c>
      <c r="F2664" s="16" t="inlineStr">
        <is>
          <t>KF-M07-A2</t>
        </is>
      </c>
      <c r="G2664" s="16" t="inlineStr">
        <is>
          <t>B11-A2</t>
        </is>
      </c>
      <c r="H2664" s="16" t="inlineStr">
        <is>
          <t>busqueda</t>
        </is>
      </c>
      <c r="I2664" s="16" t="inlineStr">
        <is>
          <t>CORREGIBLE</t>
        </is>
      </c>
      <c r="J2664" s="16" t="inlineStr">
        <is>
          <t>CORREGIBLE</t>
        </is>
      </c>
      <c r="K2664" s="16" t="b">
        <v>1</v>
      </c>
      <c r="L2664" s="16" t="b">
        <v>0</v>
      </c>
      <c r="M2664" s="16" t="b">
        <v>0</v>
      </c>
      <c r="N2664" s="16" t="b">
        <v>0</v>
      </c>
      <c r="O2664" s="16" t="n">
        <v>420</v>
      </c>
      <c r="P2664" s="16" t="n">
        <v>278.15</v>
      </c>
      <c r="Q2664" s="16" t="n">
        <v>3000</v>
      </c>
      <c r="R2664" s="16" t="n">
        <v>300</v>
      </c>
      <c r="S2664" s="16" t="n">
        <v>0.5</v>
      </c>
      <c r="T2664" s="16" t="n">
        <v>0.95</v>
      </c>
      <c r="U2664" s="16" t="n">
        <v>0.75</v>
      </c>
      <c r="V2664" s="16" t="n">
        <v>0.85</v>
      </c>
      <c r="W2664" s="16" t="n">
        <v>0.8049999999999999</v>
      </c>
      <c r="X2664" s="16" t="n">
        <v>0.8</v>
      </c>
      <c r="Y2664" s="16" t="n">
        <v>278.15</v>
      </c>
      <c r="Z2664" s="16" t="n">
        <v>15.50924884923074</v>
      </c>
      <c r="AA2664" s="16" t="n">
        <v>81.37256772327413</v>
      </c>
      <c r="AB2664" s="16" t="n">
        <v>2700</v>
      </c>
      <c r="AC2664" s="16" t="n">
        <v>10</v>
      </c>
      <c r="AD2664" s="16" t="inlineStr">
        <is>
          <t>O1,O2</t>
        </is>
      </c>
      <c r="AE2664" s="16" t="n"/>
    </row>
    <row r="2665">
      <c r="A2665" s="16" t="inlineStr">
        <is>
          <t>KF-M07-A2-0061</t>
        </is>
      </c>
      <c r="B2665" s="16" t="inlineStr">
        <is>
          <t>5.1</t>
        </is>
      </c>
      <c r="C2665" s="16" t="inlineStr">
        <is>
          <t>5.1b</t>
        </is>
      </c>
      <c r="D2665" s="16" t="inlineStr">
        <is>
          <t>libre, desde el mejor de 2.4</t>
        </is>
      </c>
      <c r="E2665" s="16" t="inlineStr">
        <is>
          <t>KF-M07</t>
        </is>
      </c>
      <c r="F2665" s="16" t="inlineStr">
        <is>
          <t>KF-M07-A2</t>
        </is>
      </c>
      <c r="G2665" s="16" t="inlineStr">
        <is>
          <t>B11-A2</t>
        </is>
      </c>
      <c r="H2665" s="16" t="inlineStr">
        <is>
          <t>busqueda</t>
        </is>
      </c>
      <c r="I2665" s="16" t="inlineStr">
        <is>
          <t>CORREGIBLE</t>
        </is>
      </c>
      <c r="J2665" s="16" t="inlineStr">
        <is>
          <t>CORREGIBLE</t>
        </is>
      </c>
      <c r="K2665" s="16" t="b">
        <v>1</v>
      </c>
      <c r="L2665" s="16" t="b">
        <v>0</v>
      </c>
      <c r="M2665" s="16" t="b">
        <v>0</v>
      </c>
      <c r="N2665" s="16" t="b">
        <v>0</v>
      </c>
      <c r="O2665" s="16" t="n">
        <v>420</v>
      </c>
      <c r="P2665" s="16" t="n">
        <v>278.15</v>
      </c>
      <c r="Q2665" s="16" t="n">
        <v>3000</v>
      </c>
      <c r="R2665" s="16" t="n">
        <v>393.75</v>
      </c>
      <c r="S2665" s="16" t="n">
        <v>0.535</v>
      </c>
      <c r="T2665" s="16" t="n">
        <v>0.95</v>
      </c>
      <c r="U2665" s="16" t="n">
        <v>0.75</v>
      </c>
      <c r="V2665" s="16" t="n">
        <v>0.85</v>
      </c>
      <c r="W2665" s="16" t="n">
        <v>0.8049999999999999</v>
      </c>
      <c r="X2665" s="16" t="n">
        <v>0.8</v>
      </c>
      <c r="Y2665" s="16" t="n">
        <v>278.15</v>
      </c>
      <c r="Z2665" s="16" t="n">
        <v>14.86790589131942</v>
      </c>
      <c r="AA2665" s="16" t="n">
        <v>89.77501246229208</v>
      </c>
      <c r="AB2665" s="16" t="n">
        <v>2606.25</v>
      </c>
      <c r="AC2665" s="16" t="n">
        <v>7.619047619047619</v>
      </c>
      <c r="AD2665" s="16" t="inlineStr">
        <is>
          <t>O2</t>
        </is>
      </c>
      <c r="AE2665" s="16" t="n"/>
    </row>
    <row r="2666">
      <c r="A2666" s="16" t="inlineStr">
        <is>
          <t>KF-M07-A2-0062</t>
        </is>
      </c>
      <c r="B2666" s="16" t="inlineStr">
        <is>
          <t>5.1</t>
        </is>
      </c>
      <c r="C2666" s="16" t="inlineStr">
        <is>
          <t>5.1b</t>
        </is>
      </c>
      <c r="D2666" s="16" t="inlineStr">
        <is>
          <t>libre, desde el mejor de 2.4</t>
        </is>
      </c>
      <c r="E2666" s="16" t="inlineStr">
        <is>
          <t>KF-M07</t>
        </is>
      </c>
      <c r="F2666" s="16" t="inlineStr">
        <is>
          <t>KF-M07-A2</t>
        </is>
      </c>
      <c r="G2666" s="16" t="inlineStr">
        <is>
          <t>B11-A2</t>
        </is>
      </c>
      <c r="H2666" s="16" t="inlineStr">
        <is>
          <t>busqueda</t>
        </is>
      </c>
      <c r="I2666" s="16" t="inlineStr">
        <is>
          <t>KALINA</t>
        </is>
      </c>
      <c r="J2666" s="16" t="inlineStr">
        <is>
          <t>KALINA</t>
        </is>
      </c>
      <c r="K2666" s="16" t="b">
        <v>1</v>
      </c>
      <c r="L2666" s="16" t="b">
        <v>1</v>
      </c>
      <c r="M2666" s="16" t="b">
        <v>0</v>
      </c>
      <c r="N2666" s="16" t="b">
        <v>0</v>
      </c>
      <c r="O2666" s="16" t="n">
        <v>420</v>
      </c>
      <c r="P2666" s="16" t="n">
        <v>278.15</v>
      </c>
      <c r="Q2666" s="16" t="n">
        <v>3000</v>
      </c>
      <c r="R2666" s="16" t="n">
        <v>393.75</v>
      </c>
      <c r="S2666" s="16" t="n">
        <v>0.5</v>
      </c>
      <c r="T2666" s="16" t="n">
        <v>0.895</v>
      </c>
      <c r="U2666" s="16" t="n">
        <v>0.75</v>
      </c>
      <c r="V2666" s="16" t="n">
        <v>0.85</v>
      </c>
      <c r="W2666" s="16" t="n">
        <v>0.8049999999999999</v>
      </c>
      <c r="X2666" s="16" t="n">
        <v>0.8</v>
      </c>
      <c r="Y2666" s="16" t="n">
        <v>278.15</v>
      </c>
      <c r="Z2666" s="16" t="n">
        <v>13.05872623322535</v>
      </c>
      <c r="AA2666" s="16" t="n">
        <v>68.39368472867136</v>
      </c>
      <c r="AB2666" s="16" t="n">
        <v>2606.25</v>
      </c>
      <c r="AC2666" s="16" t="n">
        <v>7.619047619047619</v>
      </c>
      <c r="AD2666" s="16" t="n"/>
      <c r="AE2666" s="16" t="n"/>
    </row>
    <row r="2667">
      <c r="A2667" s="16" t="inlineStr">
        <is>
          <t>KF-M07-A2-0063</t>
        </is>
      </c>
      <c r="B2667" s="16" t="inlineStr">
        <is>
          <t>5.1</t>
        </is>
      </c>
      <c r="C2667" s="16" t="inlineStr">
        <is>
          <t>5.1b</t>
        </is>
      </c>
      <c r="D2667" s="16" t="inlineStr">
        <is>
          <t>libre, desde el mejor de 2.4</t>
        </is>
      </c>
      <c r="E2667" s="16" t="inlineStr">
        <is>
          <t>KF-M07</t>
        </is>
      </c>
      <c r="F2667" s="16" t="inlineStr">
        <is>
          <t>KF-M07-A2</t>
        </is>
      </c>
      <c r="G2667" s="16" t="inlineStr">
        <is>
          <t>B11-A2</t>
        </is>
      </c>
      <c r="H2667" s="16" t="inlineStr">
        <is>
          <t>busqueda</t>
        </is>
      </c>
      <c r="I2667" s="16" t="inlineStr">
        <is>
          <t>KALINA</t>
        </is>
      </c>
      <c r="J2667" s="16" t="inlineStr">
        <is>
          <t>KALINA</t>
        </is>
      </c>
      <c r="K2667" s="16" t="b">
        <v>1</v>
      </c>
      <c r="L2667" s="16" t="b">
        <v>1</v>
      </c>
      <c r="M2667" s="16" t="b">
        <v>0</v>
      </c>
      <c r="N2667" s="16" t="b">
        <v>0</v>
      </c>
      <c r="O2667" s="16" t="n">
        <v>420</v>
      </c>
      <c r="P2667" s="16" t="n">
        <v>278.15</v>
      </c>
      <c r="Q2667" s="16" t="n">
        <v>3000</v>
      </c>
      <c r="R2667" s="16" t="n">
        <v>393.75</v>
      </c>
      <c r="S2667" s="16" t="n">
        <v>0.5</v>
      </c>
      <c r="T2667" s="16" t="n">
        <v>0.95</v>
      </c>
      <c r="U2667" s="16" t="n">
        <v>0.8049999999999999</v>
      </c>
      <c r="V2667" s="16" t="n">
        <v>0.85</v>
      </c>
      <c r="W2667" s="16" t="n">
        <v>0.8049999999999999</v>
      </c>
      <c r="X2667" s="16" t="n">
        <v>0.8</v>
      </c>
      <c r="Y2667" s="16" t="n">
        <v>278.15</v>
      </c>
      <c r="Z2667" s="16" t="n">
        <v>13.95089382228256</v>
      </c>
      <c r="AA2667" s="16" t="n">
        <v>73.1336783610914</v>
      </c>
      <c r="AB2667" s="16" t="n">
        <v>2606.25</v>
      </c>
      <c r="AC2667" s="16" t="n">
        <v>7.619047619047619</v>
      </c>
      <c r="AD2667" s="16" t="n"/>
      <c r="AE2667" s="16" t="n"/>
    </row>
    <row r="2668">
      <c r="A2668" s="16" t="inlineStr">
        <is>
          <t>KF-M07-A2-0064</t>
        </is>
      </c>
      <c r="B2668" s="16" t="inlineStr">
        <is>
          <t>5.1</t>
        </is>
      </c>
      <c r="C2668" s="16" t="inlineStr">
        <is>
          <t>5.1b</t>
        </is>
      </c>
      <c r="D2668" s="16" t="inlineStr">
        <is>
          <t>libre, desde el mejor de 2.4</t>
        </is>
      </c>
      <c r="E2668" s="16" t="inlineStr">
        <is>
          <t>KF-M07</t>
        </is>
      </c>
      <c r="F2668" s="16" t="inlineStr">
        <is>
          <t>KF-M07-A2</t>
        </is>
      </c>
      <c r="G2668" s="16" t="inlineStr">
        <is>
          <t>B11-A2</t>
        </is>
      </c>
      <c r="H2668" s="16" t="inlineStr">
        <is>
          <t>busqueda</t>
        </is>
      </c>
      <c r="I2668" s="16" t="inlineStr">
        <is>
          <t>KALINA</t>
        </is>
      </c>
      <c r="J2668" s="16" t="inlineStr">
        <is>
          <t>KALINA</t>
        </is>
      </c>
      <c r="K2668" s="16" t="b">
        <v>1</v>
      </c>
      <c r="L2668" s="16" t="b">
        <v>1</v>
      </c>
      <c r="M2668" s="16" t="b">
        <v>0</v>
      </c>
      <c r="N2668" s="16" t="b">
        <v>0</v>
      </c>
      <c r="O2668" s="16" t="n">
        <v>420</v>
      </c>
      <c r="P2668" s="16" t="n">
        <v>278.15</v>
      </c>
      <c r="Q2668" s="16" t="n">
        <v>3000</v>
      </c>
      <c r="R2668" s="16" t="n">
        <v>393.75</v>
      </c>
      <c r="S2668" s="16" t="n">
        <v>0.5</v>
      </c>
      <c r="T2668" s="16" t="n">
        <v>0.95</v>
      </c>
      <c r="U2668" s="16" t="n">
        <v>0.6950000000000001</v>
      </c>
      <c r="V2668" s="16" t="n">
        <v>0.85</v>
      </c>
      <c r="W2668" s="16" t="n">
        <v>0.8049999999999999</v>
      </c>
      <c r="X2668" s="16" t="n">
        <v>0.8</v>
      </c>
      <c r="Y2668" s="16" t="n">
        <v>278.15</v>
      </c>
      <c r="Z2668" s="16" t="n">
        <v>13.83975981497462</v>
      </c>
      <c r="AA2668" s="16" t="n">
        <v>72.51576750686876</v>
      </c>
      <c r="AB2668" s="16" t="n">
        <v>2606.25</v>
      </c>
      <c r="AC2668" s="16" t="n">
        <v>7.619047619047619</v>
      </c>
      <c r="AD2668" s="16" t="n"/>
      <c r="AE2668" s="16" t="n"/>
    </row>
    <row r="2669">
      <c r="A2669" s="16" t="inlineStr">
        <is>
          <t>KF-M07-A2-0065</t>
        </is>
      </c>
      <c r="B2669" s="16" t="inlineStr">
        <is>
          <t>5.1</t>
        </is>
      </c>
      <c r="C2669" s="16" t="inlineStr">
        <is>
          <t>5.1b</t>
        </is>
      </c>
      <c r="D2669" s="16" t="inlineStr">
        <is>
          <t>libre, desde el mejor de 2.4</t>
        </is>
      </c>
      <c r="E2669" s="16" t="inlineStr">
        <is>
          <t>KF-M07</t>
        </is>
      </c>
      <c r="F2669" s="16" t="inlineStr">
        <is>
          <t>KF-M07-A2</t>
        </is>
      </c>
      <c r="G2669" s="16" t="inlineStr">
        <is>
          <t>B11-A2</t>
        </is>
      </c>
      <c r="H2669" s="16" t="inlineStr">
        <is>
          <t>busqueda</t>
        </is>
      </c>
      <c r="I2669" s="16" t="inlineStr">
        <is>
          <t>CORREGIBLE</t>
        </is>
      </c>
      <c r="J2669" s="16" t="inlineStr">
        <is>
          <t>CORREGIBLE</t>
        </is>
      </c>
      <c r="K2669" s="16" t="b">
        <v>1</v>
      </c>
      <c r="L2669" s="16" t="b">
        <v>0</v>
      </c>
      <c r="M2669" s="16" t="b">
        <v>0</v>
      </c>
      <c r="N2669" s="16" t="b">
        <v>0</v>
      </c>
      <c r="O2669" s="16" t="n">
        <v>420</v>
      </c>
      <c r="P2669" s="16" t="n">
        <v>278.15</v>
      </c>
      <c r="Q2669" s="16" t="n">
        <v>3000</v>
      </c>
      <c r="R2669" s="16" t="n">
        <v>393.75</v>
      </c>
      <c r="S2669" s="16" t="n">
        <v>0.5</v>
      </c>
      <c r="T2669" s="16" t="n">
        <v>0.95</v>
      </c>
      <c r="U2669" s="16" t="n">
        <v>0.75</v>
      </c>
      <c r="V2669" s="16" t="n">
        <v>0.905</v>
      </c>
      <c r="W2669" s="16" t="n">
        <v>0.8049999999999999</v>
      </c>
      <c r="X2669" s="16" t="n">
        <v>0.8</v>
      </c>
      <c r="Y2669" s="16" t="n">
        <v>278.15</v>
      </c>
      <c r="Z2669" s="16" t="n">
        <v>14.14037298402924</v>
      </c>
      <c r="AA2669" s="16" t="n">
        <v>78.72942801462465</v>
      </c>
      <c r="AB2669" s="16" t="n">
        <v>2606.25</v>
      </c>
      <c r="AC2669" s="16" t="n">
        <v>7.619047619047619</v>
      </c>
      <c r="AD2669" s="16" t="inlineStr">
        <is>
          <t>O2</t>
        </is>
      </c>
      <c r="AE2669" s="16" t="n"/>
    </row>
    <row r="2670">
      <c r="A2670" s="16" t="inlineStr">
        <is>
          <t>KF-M07-A2-0066</t>
        </is>
      </c>
      <c r="B2670" s="16" t="inlineStr">
        <is>
          <t>5.1</t>
        </is>
      </c>
      <c r="C2670" s="16" t="inlineStr">
        <is>
          <t>5.1b</t>
        </is>
      </c>
      <c r="D2670" s="16" t="inlineStr">
        <is>
          <t>libre, desde el mejor de 2.4</t>
        </is>
      </c>
      <c r="E2670" s="16" t="inlineStr">
        <is>
          <t>KF-M07</t>
        </is>
      </c>
      <c r="F2670" s="16" t="inlineStr">
        <is>
          <t>KF-M07-A2</t>
        </is>
      </c>
      <c r="G2670" s="16" t="inlineStr">
        <is>
          <t>B11-A2</t>
        </is>
      </c>
      <c r="H2670" s="16" t="inlineStr">
        <is>
          <t>busqueda</t>
        </is>
      </c>
      <c r="I2670" s="16" t="inlineStr">
        <is>
          <t>KALINA</t>
        </is>
      </c>
      <c r="J2670" s="16" t="inlineStr">
        <is>
          <t>KALINA</t>
        </is>
      </c>
      <c r="K2670" s="16" t="b">
        <v>1</v>
      </c>
      <c r="L2670" s="16" t="b">
        <v>1</v>
      </c>
      <c r="M2670" s="16" t="b">
        <v>0</v>
      </c>
      <c r="N2670" s="16" t="b">
        <v>0</v>
      </c>
      <c r="O2670" s="16" t="n">
        <v>420</v>
      </c>
      <c r="P2670" s="16" t="n">
        <v>278.15</v>
      </c>
      <c r="Q2670" s="16" t="n">
        <v>3000</v>
      </c>
      <c r="R2670" s="16" t="n">
        <v>393.75</v>
      </c>
      <c r="S2670" s="16" t="n">
        <v>0.5</v>
      </c>
      <c r="T2670" s="16" t="n">
        <v>0.95</v>
      </c>
      <c r="U2670" s="16" t="n">
        <v>0.75</v>
      </c>
      <c r="V2670" s="16" t="n">
        <v>0.795</v>
      </c>
      <c r="W2670" s="16" t="n">
        <v>0.8049999999999999</v>
      </c>
      <c r="X2670" s="16" t="n">
        <v>0.8</v>
      </c>
      <c r="Y2670" s="16" t="n">
        <v>278.15</v>
      </c>
      <c r="Z2670" s="16" t="n">
        <v>13.62235986845629</v>
      </c>
      <c r="AA2670" s="16" t="n">
        <v>66.93170077529348</v>
      </c>
      <c r="AB2670" s="16" t="n">
        <v>2606.25</v>
      </c>
      <c r="AC2670" s="16" t="n">
        <v>7.619047619047619</v>
      </c>
      <c r="AD2670" s="16" t="n"/>
      <c r="AE2670" s="16" t="n"/>
    </row>
    <row r="2671">
      <c r="A2671" s="16" t="inlineStr">
        <is>
          <t>KF-M07-A2-0067</t>
        </is>
      </c>
      <c r="B2671" s="16" t="inlineStr">
        <is>
          <t>5.1</t>
        </is>
      </c>
      <c r="C2671" s="16" t="inlineStr">
        <is>
          <t>5.1b</t>
        </is>
      </c>
      <c r="D2671" s="16" t="inlineStr">
        <is>
          <t>libre, desde el mejor de 2.4</t>
        </is>
      </c>
      <c r="E2671" s="16" t="inlineStr">
        <is>
          <t>KF-M07</t>
        </is>
      </c>
      <c r="F2671" s="16" t="inlineStr">
        <is>
          <t>KF-M07-A2</t>
        </is>
      </c>
      <c r="G2671" s="16" t="inlineStr">
        <is>
          <t>B11-A2</t>
        </is>
      </c>
      <c r="H2671" s="16" t="inlineStr">
        <is>
          <t>busqueda</t>
        </is>
      </c>
      <c r="I2671" s="16" t="inlineStr">
        <is>
          <t>KALINA</t>
        </is>
      </c>
      <c r="J2671" s="16" t="inlineStr">
        <is>
          <t>KALINA</t>
        </is>
      </c>
      <c r="K2671" s="16" t="b">
        <v>1</v>
      </c>
      <c r="L2671" s="16" t="b">
        <v>1</v>
      </c>
      <c r="M2671" s="16" t="b">
        <v>0</v>
      </c>
      <c r="N2671" s="16" t="b">
        <v>0</v>
      </c>
      <c r="O2671" s="16" t="n">
        <v>420</v>
      </c>
      <c r="P2671" s="16" t="n">
        <v>278.15</v>
      </c>
      <c r="Q2671" s="16" t="n">
        <v>3000</v>
      </c>
      <c r="R2671" s="16" t="n">
        <v>393.75</v>
      </c>
      <c r="S2671" s="16" t="n">
        <v>0.5</v>
      </c>
      <c r="T2671" s="16" t="n">
        <v>0.95</v>
      </c>
      <c r="U2671" s="16" t="n">
        <v>0.75</v>
      </c>
      <c r="V2671" s="16" t="n">
        <v>0.85</v>
      </c>
      <c r="W2671" s="16" t="n">
        <v>0.8599999999999999</v>
      </c>
      <c r="X2671" s="16" t="n">
        <v>0.8</v>
      </c>
      <c r="Y2671" s="16" t="n">
        <v>278.15</v>
      </c>
      <c r="Z2671" s="16" t="n">
        <v>14.46019148298592</v>
      </c>
      <c r="AA2671" s="16" t="n">
        <v>73.36362954249785</v>
      </c>
      <c r="AB2671" s="16" t="n">
        <v>2606.25</v>
      </c>
      <c r="AC2671" s="16" t="n">
        <v>7.619047619047619</v>
      </c>
      <c r="AD2671" s="16" t="n"/>
      <c r="AE2671" s="16" t="n"/>
    </row>
    <row r="2672">
      <c r="A2672" s="16" t="inlineStr">
        <is>
          <t>KF-M07-A2-0068</t>
        </is>
      </c>
      <c r="B2672" s="16" t="inlineStr">
        <is>
          <t>5.1</t>
        </is>
      </c>
      <c r="C2672" s="16" t="inlineStr">
        <is>
          <t>5.1b</t>
        </is>
      </c>
      <c r="D2672" s="16" t="inlineStr">
        <is>
          <t>libre, desde el mejor de 2.4</t>
        </is>
      </c>
      <c r="E2672" s="16" t="inlineStr">
        <is>
          <t>KF-M07</t>
        </is>
      </c>
      <c r="F2672" s="16" t="inlineStr">
        <is>
          <t>KF-M07-A2</t>
        </is>
      </c>
      <c r="G2672" s="16" t="inlineStr">
        <is>
          <t>B11-A2</t>
        </is>
      </c>
      <c r="H2672" s="16" t="inlineStr">
        <is>
          <t>busqueda</t>
        </is>
      </c>
      <c r="I2672" s="16" t="inlineStr">
        <is>
          <t>KALINA</t>
        </is>
      </c>
      <c r="J2672" s="16" t="inlineStr">
        <is>
          <t>KALINA</t>
        </is>
      </c>
      <c r="K2672" s="16" t="b">
        <v>1</v>
      </c>
      <c r="L2672" s="16" t="b">
        <v>1</v>
      </c>
      <c r="M2672" s="16" t="b">
        <v>0</v>
      </c>
      <c r="N2672" s="16" t="b">
        <v>0</v>
      </c>
      <c r="O2672" s="16" t="n">
        <v>420</v>
      </c>
      <c r="P2672" s="16" t="n">
        <v>278.15</v>
      </c>
      <c r="Q2672" s="16" t="n">
        <v>3000</v>
      </c>
      <c r="R2672" s="16" t="n">
        <v>393.75</v>
      </c>
      <c r="S2672" s="16" t="n">
        <v>0.5</v>
      </c>
      <c r="T2672" s="16" t="n">
        <v>0.95</v>
      </c>
      <c r="U2672" s="16" t="n">
        <v>0.75</v>
      </c>
      <c r="V2672" s="16" t="n">
        <v>0.85</v>
      </c>
      <c r="W2672" s="16" t="n">
        <v>0.75</v>
      </c>
      <c r="X2672" s="16" t="n">
        <v>0.8</v>
      </c>
      <c r="Y2672" s="16" t="n">
        <v>278.15</v>
      </c>
      <c r="Z2672" s="16" t="n">
        <v>13.38063968777891</v>
      </c>
      <c r="AA2672" s="16" t="n">
        <v>72.33843765129036</v>
      </c>
      <c r="AB2672" s="16" t="n">
        <v>2606.25</v>
      </c>
      <c r="AC2672" s="16" t="n">
        <v>7.619047619047619</v>
      </c>
      <c r="AD2672" s="16" t="n"/>
      <c r="AE2672" s="16" t="n"/>
    </row>
    <row r="2673">
      <c r="A2673" s="16" t="inlineStr">
        <is>
          <t>KF-M07-A2-0069</t>
        </is>
      </c>
      <c r="B2673" s="16" t="inlineStr">
        <is>
          <t>5.1</t>
        </is>
      </c>
      <c r="C2673" s="16" t="inlineStr">
        <is>
          <t>5.1b</t>
        </is>
      </c>
      <c r="D2673" s="16" t="inlineStr">
        <is>
          <t>libre, desde el mejor de 2.4</t>
        </is>
      </c>
      <c r="E2673" s="16" t="inlineStr">
        <is>
          <t>KF-M07</t>
        </is>
      </c>
      <c r="F2673" s="16" t="inlineStr">
        <is>
          <t>KF-M07-A2</t>
        </is>
      </c>
      <c r="G2673" s="16" t="inlineStr">
        <is>
          <t>B11-A2</t>
        </is>
      </c>
      <c r="H2673" s="16" t="inlineStr">
        <is>
          <t>busqueda</t>
        </is>
      </c>
      <c r="I2673" s="16" t="inlineStr">
        <is>
          <t>KALINA</t>
        </is>
      </c>
      <c r="J2673" s="16" t="inlineStr">
        <is>
          <t>KALINA</t>
        </is>
      </c>
      <c r="K2673" s="16" t="b">
        <v>1</v>
      </c>
      <c r="L2673" s="16" t="b">
        <v>1</v>
      </c>
      <c r="M2673" s="16" t="b">
        <v>0</v>
      </c>
      <c r="N2673" s="16" t="b">
        <v>0</v>
      </c>
      <c r="O2673" s="16" t="n">
        <v>420</v>
      </c>
      <c r="P2673" s="16" t="n">
        <v>278.15</v>
      </c>
      <c r="Q2673" s="16" t="n">
        <v>3000</v>
      </c>
      <c r="R2673" s="16" t="n">
        <v>393.75</v>
      </c>
      <c r="S2673" s="16" t="n">
        <v>0.5</v>
      </c>
      <c r="T2673" s="16" t="n">
        <v>0.95</v>
      </c>
      <c r="U2673" s="16" t="n">
        <v>0.75</v>
      </c>
      <c r="V2673" s="16" t="n">
        <v>0.85</v>
      </c>
      <c r="W2673" s="16" t="n">
        <v>0.8049999999999999</v>
      </c>
      <c r="X2673" s="16" t="n">
        <v>0.855</v>
      </c>
      <c r="Y2673" s="16" t="n">
        <v>278.15</v>
      </c>
      <c r="Z2673" s="16" t="n">
        <v>13.52116454173167</v>
      </c>
      <c r="AA2673" s="16" t="n">
        <v>72.51125831426383</v>
      </c>
      <c r="AB2673" s="16" t="n">
        <v>2606.25</v>
      </c>
      <c r="AC2673" s="16" t="n">
        <v>7.619047619047619</v>
      </c>
      <c r="AD2673" s="16" t="n"/>
      <c r="AE2673" s="16" t="n"/>
    </row>
    <row r="2674">
      <c r="A2674" s="16" t="inlineStr">
        <is>
          <t>KF-M07-A2-0070</t>
        </is>
      </c>
      <c r="B2674" s="16" t="inlineStr">
        <is>
          <t>5.1</t>
        </is>
      </c>
      <c r="C2674" s="16" t="inlineStr">
        <is>
          <t>5.1b</t>
        </is>
      </c>
      <c r="D2674" s="16" t="inlineStr">
        <is>
          <t>libre, desde el mejor de 2.4</t>
        </is>
      </c>
      <c r="E2674" s="16" t="inlineStr">
        <is>
          <t>KF-M07</t>
        </is>
      </c>
      <c r="F2674" s="16" t="inlineStr">
        <is>
          <t>KF-M07-A2</t>
        </is>
      </c>
      <c r="G2674" s="16" t="inlineStr">
        <is>
          <t>B11-A2</t>
        </is>
      </c>
      <c r="H2674" s="16" t="inlineStr">
        <is>
          <t>busqueda</t>
        </is>
      </c>
      <c r="I2674" s="16" t="inlineStr">
        <is>
          <t>NO_CONVERGIO</t>
        </is>
      </c>
      <c r="J2674" s="16" t="inlineStr">
        <is>
          <t>NO_CONVERGIO</t>
        </is>
      </c>
      <c r="K2674" s="16" t="b">
        <v>0</v>
      </c>
      <c r="L2674" s="16" t="b">
        <v>0</v>
      </c>
      <c r="M2674" s="16" t="b">
        <v>0</v>
      </c>
      <c r="N2674" s="16" t="b">
        <v>0</v>
      </c>
      <c r="O2674" s="16" t="n">
        <v>420</v>
      </c>
      <c r="P2674" s="16" t="n">
        <v>278.15</v>
      </c>
      <c r="Q2674" s="16" t="n">
        <v>3000</v>
      </c>
      <c r="R2674" s="16" t="n">
        <v>393.75</v>
      </c>
      <c r="S2674" s="16" t="n">
        <v>0.5</v>
      </c>
      <c r="T2674" s="16" t="n">
        <v>0.95</v>
      </c>
      <c r="U2674" s="16" t="n">
        <v>0.75</v>
      </c>
      <c r="V2674" s="16" t="n">
        <v>0.85</v>
      </c>
      <c r="W2674" s="16" t="n">
        <v>0.8049999999999999</v>
      </c>
      <c r="X2674" s="16" t="n">
        <v>0.7450000000000001</v>
      </c>
      <c r="Y2674" s="16" t="n">
        <v>278.15</v>
      </c>
      <c r="Z2674" s="16" t="n"/>
      <c r="AA2674" s="16" t="n"/>
      <c r="AB2674" s="16" t="n">
        <v>2606.25</v>
      </c>
      <c r="AC2674" s="16" t="n">
        <v>7.619047619047619</v>
      </c>
      <c r="AD2674" s="16" t="n"/>
      <c r="AE2674" s="16" t="n"/>
    </row>
    <row r="2675">
      <c r="A2675" s="16" t="inlineStr">
        <is>
          <t>KF-M07-A2-0071</t>
        </is>
      </c>
      <c r="B2675" s="16" t="inlineStr">
        <is>
          <t>5.1</t>
        </is>
      </c>
      <c r="C2675" s="16" t="inlineStr">
        <is>
          <t>5.1b</t>
        </is>
      </c>
      <c r="D2675" s="16" t="inlineStr">
        <is>
          <t>libre, desde el mejor de 2.4</t>
        </is>
      </c>
      <c r="E2675" s="16" t="inlineStr">
        <is>
          <t>KF-M07</t>
        </is>
      </c>
      <c r="F2675" s="16" t="inlineStr">
        <is>
          <t>KF-M07-A2</t>
        </is>
      </c>
      <c r="G2675" s="16" t="inlineStr">
        <is>
          <t>B11-A2</t>
        </is>
      </c>
      <c r="H2675" s="16" t="inlineStr">
        <is>
          <t>busqueda</t>
        </is>
      </c>
      <c r="I2675" s="16" t="inlineStr">
        <is>
          <t>CORREGIBLE</t>
        </is>
      </c>
      <c r="J2675" s="16" t="inlineStr">
        <is>
          <t>CORREGIBLE</t>
        </is>
      </c>
      <c r="K2675" s="16" t="b">
        <v>1</v>
      </c>
      <c r="L2675" s="16" t="b">
        <v>0</v>
      </c>
      <c r="M2675" s="16" t="b">
        <v>1</v>
      </c>
      <c r="N2675" s="16" t="b">
        <v>0</v>
      </c>
      <c r="O2675" s="16" t="n">
        <v>432</v>
      </c>
      <c r="P2675" s="16" t="n">
        <v>278.15</v>
      </c>
      <c r="Q2675" s="16" t="n">
        <v>3000</v>
      </c>
      <c r="R2675" s="16" t="n">
        <v>393.75</v>
      </c>
      <c r="S2675" s="16" t="n">
        <v>0.5</v>
      </c>
      <c r="T2675" s="16" t="n">
        <v>0.95</v>
      </c>
      <c r="U2675" s="16" t="n">
        <v>0.75</v>
      </c>
      <c r="V2675" s="16" t="n">
        <v>0.85</v>
      </c>
      <c r="W2675" s="16" t="n">
        <v>0.8599999999999999</v>
      </c>
      <c r="X2675" s="16" t="n">
        <v>0.8</v>
      </c>
      <c r="Y2675" s="16" t="n">
        <v>278.15</v>
      </c>
      <c r="Z2675" s="16" t="n">
        <v>15.21263529817885</v>
      </c>
      <c r="AA2675" s="16" t="n">
        <v>101.9434730275419</v>
      </c>
      <c r="AB2675" s="16" t="n">
        <v>2606.25</v>
      </c>
      <c r="AC2675" s="16" t="n">
        <v>7.619047619047619</v>
      </c>
      <c r="AD2675" s="16" t="inlineStr">
        <is>
          <t>O1,O2</t>
        </is>
      </c>
      <c r="AE2675" s="16" t="n"/>
    </row>
    <row r="2676">
      <c r="A2676" s="16" t="inlineStr">
        <is>
          <t>KF-M07-A2-0072</t>
        </is>
      </c>
      <c r="B2676" s="16" t="inlineStr">
        <is>
          <t>5.1</t>
        </is>
      </c>
      <c r="C2676" s="16" t="inlineStr">
        <is>
          <t>5.1b</t>
        </is>
      </c>
      <c r="D2676" s="16" t="inlineStr">
        <is>
          <t>libre, desde el mejor de 2.4</t>
        </is>
      </c>
      <c r="E2676" s="16" t="inlineStr">
        <is>
          <t>KF-M07</t>
        </is>
      </c>
      <c r="F2676" s="16" t="inlineStr">
        <is>
          <t>KF-M07-A2</t>
        </is>
      </c>
      <c r="G2676" s="16" t="inlineStr">
        <is>
          <t>B11-A2</t>
        </is>
      </c>
      <c r="H2676" s="16" t="inlineStr">
        <is>
          <t>busqueda</t>
        </is>
      </c>
      <c r="I2676" s="16" t="inlineStr">
        <is>
          <t>KALINA</t>
        </is>
      </c>
      <c r="J2676" s="16" t="inlineStr">
        <is>
          <t>KALINA</t>
        </is>
      </c>
      <c r="K2676" s="16" t="b">
        <v>1</v>
      </c>
      <c r="L2676" s="16" t="b">
        <v>1</v>
      </c>
      <c r="M2676" s="16" t="b">
        <v>0</v>
      </c>
      <c r="N2676" s="16" t="b">
        <v>0</v>
      </c>
      <c r="O2676" s="16" t="n">
        <v>408</v>
      </c>
      <c r="P2676" s="16" t="n">
        <v>278.15</v>
      </c>
      <c r="Q2676" s="16" t="n">
        <v>3000</v>
      </c>
      <c r="R2676" s="16" t="n">
        <v>393.75</v>
      </c>
      <c r="S2676" s="16" t="n">
        <v>0.5</v>
      </c>
      <c r="T2676" s="16" t="n">
        <v>0.95</v>
      </c>
      <c r="U2676" s="16" t="n">
        <v>0.75</v>
      </c>
      <c r="V2676" s="16" t="n">
        <v>0.85</v>
      </c>
      <c r="W2676" s="16" t="n">
        <v>0.8599999999999999</v>
      </c>
      <c r="X2676" s="16" t="n">
        <v>0.8</v>
      </c>
      <c r="Y2676" s="16" t="n">
        <v>278.15</v>
      </c>
      <c r="Z2676" s="16" t="n">
        <v>13.04976309565917</v>
      </c>
      <c r="AA2676" s="16" t="n">
        <v>46.86252252285718</v>
      </c>
      <c r="AB2676" s="16" t="n">
        <v>2606.25</v>
      </c>
      <c r="AC2676" s="16" t="n">
        <v>7.619047619047619</v>
      </c>
      <c r="AD2676" s="16" t="n"/>
      <c r="AE2676" s="16" t="n"/>
    </row>
    <row r="2677">
      <c r="A2677" s="16" t="inlineStr">
        <is>
          <t>KF-M07-A2-0073</t>
        </is>
      </c>
      <c r="B2677" s="16" t="inlineStr">
        <is>
          <t>5.1</t>
        </is>
      </c>
      <c r="C2677" s="16" t="inlineStr">
        <is>
          <t>5.1b</t>
        </is>
      </c>
      <c r="D2677" s="16" t="inlineStr">
        <is>
          <t>libre, desde el mejor de 2.4</t>
        </is>
      </c>
      <c r="E2677" s="16" t="inlineStr">
        <is>
          <t>KF-M07</t>
        </is>
      </c>
      <c r="F2677" s="16" t="inlineStr">
        <is>
          <t>KF-M07-A2</t>
        </is>
      </c>
      <c r="G2677" s="16" t="inlineStr">
        <is>
          <t>B11-A2</t>
        </is>
      </c>
      <c r="H2677" s="16" t="inlineStr">
        <is>
          <t>busqueda</t>
        </is>
      </c>
      <c r="I2677" s="16" t="inlineStr">
        <is>
          <t>CORREGIBLE</t>
        </is>
      </c>
      <c r="J2677" s="16" t="inlineStr">
        <is>
          <t>CORREGIBLE</t>
        </is>
      </c>
      <c r="K2677" s="16" t="b">
        <v>1</v>
      </c>
      <c r="L2677" s="16" t="b">
        <v>0</v>
      </c>
      <c r="M2677" s="16" t="b">
        <v>0</v>
      </c>
      <c r="N2677" s="16" t="b">
        <v>0</v>
      </c>
      <c r="O2677" s="16" t="n">
        <v>420</v>
      </c>
      <c r="P2677" s="16" t="n">
        <v>280.69</v>
      </c>
      <c r="Q2677" s="16" t="n">
        <v>3000</v>
      </c>
      <c r="R2677" s="16" t="n">
        <v>393.75</v>
      </c>
      <c r="S2677" s="16" t="n">
        <v>0.5</v>
      </c>
      <c r="T2677" s="16" t="n">
        <v>0.95</v>
      </c>
      <c r="U2677" s="16" t="n">
        <v>0.75</v>
      </c>
      <c r="V2677" s="16" t="n">
        <v>0.85</v>
      </c>
      <c r="W2677" s="16" t="n">
        <v>0.8599999999999999</v>
      </c>
      <c r="X2677" s="16" t="n">
        <v>0.8</v>
      </c>
      <c r="Y2677" s="16" t="n">
        <v>280.69</v>
      </c>
      <c r="Z2677" s="16" t="n">
        <v>14.57784050617804</v>
      </c>
      <c r="AA2677" s="16" t="n">
        <v>73.45765461982387</v>
      </c>
      <c r="AB2677" s="16" t="n">
        <v>2606.25</v>
      </c>
      <c r="AC2677" s="16" t="n">
        <v>7.619047619047619</v>
      </c>
      <c r="AD2677" s="16" t="inlineStr">
        <is>
          <t>O2</t>
        </is>
      </c>
      <c r="AE2677" s="16" t="n"/>
    </row>
    <row r="2678">
      <c r="A2678" s="16" t="inlineStr">
        <is>
          <t>KF-M07-A2-0074</t>
        </is>
      </c>
      <c r="B2678" s="16" t="inlineStr">
        <is>
          <t>5.1</t>
        </is>
      </c>
      <c r="C2678" s="16" t="inlineStr">
        <is>
          <t>5.1b</t>
        </is>
      </c>
      <c r="D2678" s="16" t="inlineStr">
        <is>
          <t>libre, desde el mejor de 2.4</t>
        </is>
      </c>
      <c r="E2678" s="16" t="inlineStr">
        <is>
          <t>KF-M07</t>
        </is>
      </c>
      <c r="F2678" s="16" t="inlineStr">
        <is>
          <t>KF-M07-A2</t>
        </is>
      </c>
      <c r="G2678" s="16" t="inlineStr">
        <is>
          <t>B11-A2</t>
        </is>
      </c>
      <c r="H2678" s="16" t="inlineStr">
        <is>
          <t>busqueda</t>
        </is>
      </c>
      <c r="I2678" s="16" t="inlineStr">
        <is>
          <t>KALINA</t>
        </is>
      </c>
      <c r="J2678" s="16" t="inlineStr">
        <is>
          <t>KALINA</t>
        </is>
      </c>
      <c r="K2678" s="16" t="b">
        <v>1</v>
      </c>
      <c r="L2678" s="16" t="b">
        <v>1</v>
      </c>
      <c r="M2678" s="16" t="b">
        <v>0</v>
      </c>
      <c r="N2678" s="16" t="b">
        <v>0</v>
      </c>
      <c r="O2678" s="16" t="n">
        <v>420</v>
      </c>
      <c r="P2678" s="16" t="n">
        <v>278.15</v>
      </c>
      <c r="Q2678" s="16" t="n">
        <v>3300</v>
      </c>
      <c r="R2678" s="16" t="n">
        <v>393.75</v>
      </c>
      <c r="S2678" s="16" t="n">
        <v>0.5</v>
      </c>
      <c r="T2678" s="16" t="n">
        <v>0.95</v>
      </c>
      <c r="U2678" s="16" t="n">
        <v>0.75</v>
      </c>
      <c r="V2678" s="16" t="n">
        <v>0.85</v>
      </c>
      <c r="W2678" s="16" t="n">
        <v>0.8599999999999999</v>
      </c>
      <c r="X2678" s="16" t="n">
        <v>0.8</v>
      </c>
      <c r="Y2678" s="16" t="n">
        <v>278.15</v>
      </c>
      <c r="Z2678" s="16" t="n">
        <v>14.42065801547762</v>
      </c>
      <c r="AA2678" s="16" t="n">
        <v>64.61800130542478</v>
      </c>
      <c r="AB2678" s="16" t="n">
        <v>2906.25</v>
      </c>
      <c r="AC2678" s="16" t="n">
        <v>8.380952380952381</v>
      </c>
      <c r="AD2678" s="16" t="n"/>
      <c r="AE2678" s="16" t="n"/>
    </row>
    <row r="2679">
      <c r="A2679" s="16" t="inlineStr">
        <is>
          <t>KF-M07-A2-0075</t>
        </is>
      </c>
      <c r="B2679" s="16" t="inlineStr">
        <is>
          <t>5.1</t>
        </is>
      </c>
      <c r="C2679" s="16" t="inlineStr">
        <is>
          <t>5.1b</t>
        </is>
      </c>
      <c r="D2679" s="16" t="inlineStr">
        <is>
          <t>libre, desde el mejor de 2.4</t>
        </is>
      </c>
      <c r="E2679" s="16" t="inlineStr">
        <is>
          <t>KF-M07</t>
        </is>
      </c>
      <c r="F2679" s="16" t="inlineStr">
        <is>
          <t>KF-M07-A2</t>
        </is>
      </c>
      <c r="G2679" s="16" t="inlineStr">
        <is>
          <t>B11-A2</t>
        </is>
      </c>
      <c r="H2679" s="16" t="inlineStr">
        <is>
          <t>busqueda</t>
        </is>
      </c>
      <c r="I2679" s="16" t="inlineStr">
        <is>
          <t>CORREGIBLE</t>
        </is>
      </c>
      <c r="J2679" s="16" t="inlineStr">
        <is>
          <t>CORREGIBLE</t>
        </is>
      </c>
      <c r="K2679" s="16" t="b">
        <v>1</v>
      </c>
      <c r="L2679" s="16" t="b">
        <v>0</v>
      </c>
      <c r="M2679" s="16" t="b">
        <v>0</v>
      </c>
      <c r="N2679" s="16" t="b">
        <v>0</v>
      </c>
      <c r="O2679" s="16" t="n">
        <v>420</v>
      </c>
      <c r="P2679" s="16" t="n">
        <v>278.15</v>
      </c>
      <c r="Q2679" s="16" t="n">
        <v>2700</v>
      </c>
      <c r="R2679" s="16" t="n">
        <v>393.75</v>
      </c>
      <c r="S2679" s="16" t="n">
        <v>0.5</v>
      </c>
      <c r="T2679" s="16" t="n">
        <v>0.95</v>
      </c>
      <c r="U2679" s="16" t="n">
        <v>0.75</v>
      </c>
      <c r="V2679" s="16" t="n">
        <v>0.85</v>
      </c>
      <c r="W2679" s="16" t="n">
        <v>0.8599999999999999</v>
      </c>
      <c r="X2679" s="16" t="n">
        <v>0.8</v>
      </c>
      <c r="Y2679" s="16" t="n">
        <v>278.15</v>
      </c>
      <c r="Z2679" s="16" t="n">
        <v>14.26376631881601</v>
      </c>
      <c r="AA2679" s="16" t="n">
        <v>81.47708772812989</v>
      </c>
      <c r="AB2679" s="16" t="n">
        <v>2306.25</v>
      </c>
      <c r="AC2679" s="16" t="n">
        <v>6.857142857142857</v>
      </c>
      <c r="AD2679" s="16" t="inlineStr">
        <is>
          <t>O2</t>
        </is>
      </c>
      <c r="AE2679" s="16" t="n"/>
    </row>
    <row r="2680">
      <c r="A2680" s="16" t="inlineStr">
        <is>
          <t>KF-M07-A2-0076</t>
        </is>
      </c>
      <c r="B2680" s="16" t="inlineStr">
        <is>
          <t>5.1</t>
        </is>
      </c>
      <c r="C2680" s="16" t="inlineStr">
        <is>
          <t>5.1b</t>
        </is>
      </c>
      <c r="D2680" s="16" t="inlineStr">
        <is>
          <t>libre, desde el mejor de 2.4</t>
        </is>
      </c>
      <c r="E2680" s="16" t="inlineStr">
        <is>
          <t>KF-M07</t>
        </is>
      </c>
      <c r="F2680" s="16" t="inlineStr">
        <is>
          <t>KF-M07-A2</t>
        </is>
      </c>
      <c r="G2680" s="16" t="inlineStr">
        <is>
          <t>B11-A2</t>
        </is>
      </c>
      <c r="H2680" s="16" t="inlineStr">
        <is>
          <t>busqueda</t>
        </is>
      </c>
      <c r="I2680" s="16" t="inlineStr">
        <is>
          <t>KALINA</t>
        </is>
      </c>
      <c r="J2680" s="16" t="inlineStr">
        <is>
          <t>KALINA</t>
        </is>
      </c>
      <c r="K2680" s="16" t="b">
        <v>1</v>
      </c>
      <c r="L2680" s="16" t="b">
        <v>1</v>
      </c>
      <c r="M2680" s="16" t="b">
        <v>0</v>
      </c>
      <c r="N2680" s="16" t="b">
        <v>0</v>
      </c>
      <c r="O2680" s="16" t="n">
        <v>420</v>
      </c>
      <c r="P2680" s="16" t="n">
        <v>278.15</v>
      </c>
      <c r="Q2680" s="16" t="n">
        <v>3000</v>
      </c>
      <c r="R2680" s="16" t="n">
        <v>613.75</v>
      </c>
      <c r="S2680" s="16" t="n">
        <v>0.5</v>
      </c>
      <c r="T2680" s="16" t="n">
        <v>0.95</v>
      </c>
      <c r="U2680" s="16" t="n">
        <v>0.75</v>
      </c>
      <c r="V2680" s="16" t="n">
        <v>0.85</v>
      </c>
      <c r="W2680" s="16" t="n">
        <v>0.8599999999999999</v>
      </c>
      <c r="X2680" s="16" t="n">
        <v>0.8</v>
      </c>
      <c r="Y2680" s="16" t="n">
        <v>278.15</v>
      </c>
      <c r="Z2680" s="16" t="n">
        <v>11.50948474965955</v>
      </c>
      <c r="AA2680" s="16" t="n">
        <v>58.26894845119094</v>
      </c>
      <c r="AB2680" s="16" t="n">
        <v>2386.25</v>
      </c>
      <c r="AC2680" s="16" t="n">
        <v>4.887983706720978</v>
      </c>
      <c r="AD2680" s="16" t="n"/>
      <c r="AE2680" s="16" t="n"/>
    </row>
    <row r="2681">
      <c r="A2681" s="16" t="inlineStr">
        <is>
          <t>KF-M07-A2-0077</t>
        </is>
      </c>
      <c r="B2681" s="16" t="inlineStr">
        <is>
          <t>5.1</t>
        </is>
      </c>
      <c r="C2681" s="16" t="inlineStr">
        <is>
          <t>5.1b</t>
        </is>
      </c>
      <c r="D2681" s="16" t="inlineStr">
        <is>
          <t>libre, desde el mejor de 2.4</t>
        </is>
      </c>
      <c r="E2681" s="16" t="inlineStr">
        <is>
          <t>KF-M07</t>
        </is>
      </c>
      <c r="F2681" s="16" t="inlineStr">
        <is>
          <t>KF-M07-A2</t>
        </is>
      </c>
      <c r="G2681" s="16" t="inlineStr">
        <is>
          <t>B11-A2</t>
        </is>
      </c>
      <c r="H2681" s="16" t="inlineStr">
        <is>
          <t>busqueda</t>
        </is>
      </c>
      <c r="I2681" s="16" t="inlineStr">
        <is>
          <t>CORREGIBLE</t>
        </is>
      </c>
      <c r="J2681" s="16" t="inlineStr">
        <is>
          <t>CORREGIBLE</t>
        </is>
      </c>
      <c r="K2681" s="16" t="b">
        <v>1</v>
      </c>
      <c r="L2681" s="16" t="b">
        <v>0</v>
      </c>
      <c r="M2681" s="16" t="b">
        <v>0</v>
      </c>
      <c r="N2681" s="16" t="b">
        <v>0</v>
      </c>
      <c r="O2681" s="16" t="n">
        <v>420</v>
      </c>
      <c r="P2681" s="16" t="n">
        <v>278.15</v>
      </c>
      <c r="Q2681" s="16" t="n">
        <v>3000</v>
      </c>
      <c r="R2681" s="16" t="n">
        <v>300</v>
      </c>
      <c r="S2681" s="16" t="n">
        <v>0.5</v>
      </c>
      <c r="T2681" s="16" t="n">
        <v>0.95</v>
      </c>
      <c r="U2681" s="16" t="n">
        <v>0.75</v>
      </c>
      <c r="V2681" s="16" t="n">
        <v>0.85</v>
      </c>
      <c r="W2681" s="16" t="n">
        <v>0.8599999999999999</v>
      </c>
      <c r="X2681" s="16" t="n">
        <v>0.8</v>
      </c>
      <c r="Y2681" s="16" t="n">
        <v>278.15</v>
      </c>
      <c r="Z2681" s="16" t="n">
        <v>16.15296208382954</v>
      </c>
      <c r="AA2681" s="16" t="n">
        <v>82.04213728270412</v>
      </c>
      <c r="AB2681" s="16" t="n">
        <v>2700</v>
      </c>
      <c r="AC2681" s="16" t="n">
        <v>10</v>
      </c>
      <c r="AD2681" s="16" t="inlineStr">
        <is>
          <t>O1,O2</t>
        </is>
      </c>
      <c r="AE2681" s="16" t="n"/>
    </row>
    <row r="2682">
      <c r="A2682" s="16" t="inlineStr">
        <is>
          <t>KF-M07-A2-0078</t>
        </is>
      </c>
      <c r="B2682" s="16" t="inlineStr">
        <is>
          <t>5.1</t>
        </is>
      </c>
      <c r="C2682" s="16" t="inlineStr">
        <is>
          <t>5.1b</t>
        </is>
      </c>
      <c r="D2682" s="16" t="inlineStr">
        <is>
          <t>libre, desde el mejor de 2.4</t>
        </is>
      </c>
      <c r="E2682" s="16" t="inlineStr">
        <is>
          <t>KF-M07</t>
        </is>
      </c>
      <c r="F2682" s="16" t="inlineStr">
        <is>
          <t>KF-M07-A2</t>
        </is>
      </c>
      <c r="G2682" s="16" t="inlineStr">
        <is>
          <t>B11-A2</t>
        </is>
      </c>
      <c r="H2682" s="16" t="inlineStr">
        <is>
          <t>busqueda</t>
        </is>
      </c>
      <c r="I2682" s="16" t="inlineStr">
        <is>
          <t>CORREGIBLE</t>
        </is>
      </c>
      <c r="J2682" s="16" t="inlineStr">
        <is>
          <t>CORREGIBLE</t>
        </is>
      </c>
      <c r="K2682" s="16" t="b">
        <v>1</v>
      </c>
      <c r="L2682" s="16" t="b">
        <v>0</v>
      </c>
      <c r="M2682" s="16" t="b">
        <v>0</v>
      </c>
      <c r="N2682" s="16" t="b">
        <v>0</v>
      </c>
      <c r="O2682" s="16" t="n">
        <v>420</v>
      </c>
      <c r="P2682" s="16" t="n">
        <v>278.15</v>
      </c>
      <c r="Q2682" s="16" t="n">
        <v>3000</v>
      </c>
      <c r="R2682" s="16" t="n">
        <v>393.75</v>
      </c>
      <c r="S2682" s="16" t="n">
        <v>0.535</v>
      </c>
      <c r="T2682" s="16" t="n">
        <v>0.95</v>
      </c>
      <c r="U2682" s="16" t="n">
        <v>0.75</v>
      </c>
      <c r="V2682" s="16" t="n">
        <v>0.85</v>
      </c>
      <c r="W2682" s="16" t="n">
        <v>0.8599999999999999</v>
      </c>
      <c r="X2682" s="16" t="n">
        <v>0.8</v>
      </c>
      <c r="Y2682" s="16" t="n">
        <v>278.15</v>
      </c>
      <c r="Z2682" s="16" t="n">
        <v>15.33304726736075</v>
      </c>
      <c r="AA2682" s="16" t="n">
        <v>90.3246165718232</v>
      </c>
      <c r="AB2682" s="16" t="n">
        <v>2606.25</v>
      </c>
      <c r="AC2682" s="16" t="n">
        <v>7.619047619047619</v>
      </c>
      <c r="AD2682" s="16" t="inlineStr">
        <is>
          <t>O2</t>
        </is>
      </c>
      <c r="AE2682" s="16" t="n"/>
    </row>
    <row r="2683">
      <c r="A2683" s="16" t="inlineStr">
        <is>
          <t>KF-M07-A2-0079</t>
        </is>
      </c>
      <c r="B2683" s="16" t="inlineStr">
        <is>
          <t>5.1</t>
        </is>
      </c>
      <c r="C2683" s="16" t="inlineStr">
        <is>
          <t>5.1b</t>
        </is>
      </c>
      <c r="D2683" s="16" t="inlineStr">
        <is>
          <t>libre, desde el mejor de 2.4</t>
        </is>
      </c>
      <c r="E2683" s="16" t="inlineStr">
        <is>
          <t>KF-M07</t>
        </is>
      </c>
      <c r="F2683" s="16" t="inlineStr">
        <is>
          <t>KF-M07-A2</t>
        </is>
      </c>
      <c r="G2683" s="16" t="inlineStr">
        <is>
          <t>B11-A2</t>
        </is>
      </c>
      <c r="H2683" s="16" t="inlineStr">
        <is>
          <t>busqueda</t>
        </is>
      </c>
      <c r="I2683" s="16" t="inlineStr">
        <is>
          <t>KALINA</t>
        </is>
      </c>
      <c r="J2683" s="16" t="inlineStr">
        <is>
          <t>KALINA</t>
        </is>
      </c>
      <c r="K2683" s="16" t="b">
        <v>1</v>
      </c>
      <c r="L2683" s="16" t="b">
        <v>1</v>
      </c>
      <c r="M2683" s="16" t="b">
        <v>0</v>
      </c>
      <c r="N2683" s="16" t="b">
        <v>0</v>
      </c>
      <c r="O2683" s="16" t="n">
        <v>420</v>
      </c>
      <c r="P2683" s="16" t="n">
        <v>278.15</v>
      </c>
      <c r="Q2683" s="16" t="n">
        <v>3000</v>
      </c>
      <c r="R2683" s="16" t="n">
        <v>393.75</v>
      </c>
      <c r="S2683" s="16" t="n">
        <v>0.5</v>
      </c>
      <c r="T2683" s="16" t="n">
        <v>0.895</v>
      </c>
      <c r="U2683" s="16" t="n">
        <v>0.75</v>
      </c>
      <c r="V2683" s="16" t="n">
        <v>0.85</v>
      </c>
      <c r="W2683" s="16" t="n">
        <v>0.8599999999999999</v>
      </c>
      <c r="X2683" s="16" t="n">
        <v>0.8</v>
      </c>
      <c r="Y2683" s="16" t="n">
        <v>278.15</v>
      </c>
      <c r="Z2683" s="16" t="n">
        <v>13.58535759883674</v>
      </c>
      <c r="AA2683" s="16" t="n">
        <v>68.87948184864794</v>
      </c>
      <c r="AB2683" s="16" t="n">
        <v>2606.25</v>
      </c>
      <c r="AC2683" s="16" t="n">
        <v>7.619047619047619</v>
      </c>
      <c r="AD2683" s="16" t="n"/>
      <c r="AE2683" s="16" t="n"/>
    </row>
    <row r="2684">
      <c r="A2684" s="16" t="inlineStr">
        <is>
          <t>KF-M07-A2-0080</t>
        </is>
      </c>
      <c r="B2684" s="16" t="inlineStr">
        <is>
          <t>5.1</t>
        </is>
      </c>
      <c r="C2684" s="16" t="inlineStr">
        <is>
          <t>5.1b</t>
        </is>
      </c>
      <c r="D2684" s="16" t="inlineStr">
        <is>
          <t>libre, desde el mejor de 2.4</t>
        </is>
      </c>
      <c r="E2684" s="16" t="inlineStr">
        <is>
          <t>KF-M07</t>
        </is>
      </c>
      <c r="F2684" s="16" t="inlineStr">
        <is>
          <t>KF-M07-A2</t>
        </is>
      </c>
      <c r="G2684" s="16" t="inlineStr">
        <is>
          <t>B11-A2</t>
        </is>
      </c>
      <c r="H2684" s="16" t="inlineStr">
        <is>
          <t>busqueda</t>
        </is>
      </c>
      <c r="I2684" s="16" t="inlineStr">
        <is>
          <t>KALINA</t>
        </is>
      </c>
      <c r="J2684" s="16" t="inlineStr">
        <is>
          <t>KALINA</t>
        </is>
      </c>
      <c r="K2684" s="16" t="b">
        <v>1</v>
      </c>
      <c r="L2684" s="16" t="b">
        <v>1</v>
      </c>
      <c r="M2684" s="16" t="b">
        <v>0</v>
      </c>
      <c r="N2684" s="16" t="b">
        <v>0</v>
      </c>
      <c r="O2684" s="16" t="n">
        <v>420</v>
      </c>
      <c r="P2684" s="16" t="n">
        <v>278.15</v>
      </c>
      <c r="Q2684" s="16" t="n">
        <v>3000</v>
      </c>
      <c r="R2684" s="16" t="n">
        <v>393.75</v>
      </c>
      <c r="S2684" s="16" t="n">
        <v>0.5</v>
      </c>
      <c r="T2684" s="16" t="n">
        <v>0.95</v>
      </c>
      <c r="U2684" s="16" t="n">
        <v>0.8049999999999999</v>
      </c>
      <c r="V2684" s="16" t="n">
        <v>0.85</v>
      </c>
      <c r="W2684" s="16" t="n">
        <v>0.8599999999999999</v>
      </c>
      <c r="X2684" s="16" t="n">
        <v>0.8</v>
      </c>
      <c r="Y2684" s="16" t="n">
        <v>278.15</v>
      </c>
      <c r="Z2684" s="16" t="n">
        <v>14.51352396200809</v>
      </c>
      <c r="AA2684" s="16" t="n">
        <v>73.64992046181392</v>
      </c>
      <c r="AB2684" s="16" t="n">
        <v>2606.25</v>
      </c>
      <c r="AC2684" s="16" t="n">
        <v>7.619047619047619</v>
      </c>
      <c r="AD2684" s="16" t="n"/>
      <c r="AE2684" s="16" t="n"/>
    </row>
    <row r="2685">
      <c r="A2685" s="16" t="inlineStr">
        <is>
          <t>KF-M07-A2-0081</t>
        </is>
      </c>
      <c r="B2685" s="16" t="inlineStr">
        <is>
          <t>5.1</t>
        </is>
      </c>
      <c r="C2685" s="16" t="inlineStr">
        <is>
          <t>5.1b</t>
        </is>
      </c>
      <c r="D2685" s="16" t="inlineStr">
        <is>
          <t>libre, desde el mejor de 2.4</t>
        </is>
      </c>
      <c r="E2685" s="16" t="inlineStr">
        <is>
          <t>KF-M07</t>
        </is>
      </c>
      <c r="F2685" s="16" t="inlineStr">
        <is>
          <t>KF-M07-A2</t>
        </is>
      </c>
      <c r="G2685" s="16" t="inlineStr">
        <is>
          <t>B11-A2</t>
        </is>
      </c>
      <c r="H2685" s="16" t="inlineStr">
        <is>
          <t>busqueda</t>
        </is>
      </c>
      <c r="I2685" s="16" t="inlineStr">
        <is>
          <t>KALINA</t>
        </is>
      </c>
      <c r="J2685" s="16" t="inlineStr">
        <is>
          <t>KALINA</t>
        </is>
      </c>
      <c r="K2685" s="16" t="b">
        <v>1</v>
      </c>
      <c r="L2685" s="16" t="b">
        <v>1</v>
      </c>
      <c r="M2685" s="16" t="b">
        <v>0</v>
      </c>
      <c r="N2685" s="16" t="b">
        <v>0</v>
      </c>
      <c r="O2685" s="16" t="n">
        <v>420</v>
      </c>
      <c r="P2685" s="16" t="n">
        <v>278.15</v>
      </c>
      <c r="Q2685" s="16" t="n">
        <v>3000</v>
      </c>
      <c r="R2685" s="16" t="n">
        <v>393.75</v>
      </c>
      <c r="S2685" s="16" t="n">
        <v>0.5</v>
      </c>
      <c r="T2685" s="16" t="n">
        <v>0.95</v>
      </c>
      <c r="U2685" s="16" t="n">
        <v>0.6950000000000001</v>
      </c>
      <c r="V2685" s="16" t="n">
        <v>0.85</v>
      </c>
      <c r="W2685" s="16" t="n">
        <v>0.8599999999999999</v>
      </c>
      <c r="X2685" s="16" t="n">
        <v>0.8</v>
      </c>
      <c r="Y2685" s="16" t="n">
        <v>278.15</v>
      </c>
      <c r="Z2685" s="16" t="n">
        <v>14.39838801258759</v>
      </c>
      <c r="AA2685" s="16" t="n">
        <v>73.03201848448154</v>
      </c>
      <c r="AB2685" s="16" t="n">
        <v>2606.25</v>
      </c>
      <c r="AC2685" s="16" t="n">
        <v>7.619047619047619</v>
      </c>
      <c r="AD2685" s="16" t="n"/>
      <c r="AE2685" s="16" t="n"/>
    </row>
    <row r="2686">
      <c r="A2686" s="16" t="inlineStr">
        <is>
          <t>KF-M07-A2-0082</t>
        </is>
      </c>
      <c r="B2686" s="16" t="inlineStr">
        <is>
          <t>5.1</t>
        </is>
      </c>
      <c r="C2686" s="16" t="inlineStr">
        <is>
          <t>5.1b</t>
        </is>
      </c>
      <c r="D2686" s="16" t="inlineStr">
        <is>
          <t>libre, desde el mejor de 2.4</t>
        </is>
      </c>
      <c r="E2686" s="16" t="inlineStr">
        <is>
          <t>KF-M07</t>
        </is>
      </c>
      <c r="F2686" s="16" t="inlineStr">
        <is>
          <t>KF-M07-A2</t>
        </is>
      </c>
      <c r="G2686" s="16" t="inlineStr">
        <is>
          <t>B11-A2</t>
        </is>
      </c>
      <c r="H2686" s="16" t="inlineStr">
        <is>
          <t>busqueda</t>
        </is>
      </c>
      <c r="I2686" s="16" t="inlineStr">
        <is>
          <t>KALINA</t>
        </is>
      </c>
      <c r="J2686" s="16" t="inlineStr">
        <is>
          <t>KALINA</t>
        </is>
      </c>
      <c r="K2686" s="16" t="b">
        <v>1</v>
      </c>
      <c r="L2686" s="16" t="b">
        <v>1</v>
      </c>
      <c r="M2686" s="16" t="b">
        <v>0</v>
      </c>
      <c r="N2686" s="16" t="b">
        <v>0</v>
      </c>
      <c r="O2686" s="16" t="n">
        <v>420</v>
      </c>
      <c r="P2686" s="16" t="n">
        <v>278.15</v>
      </c>
      <c r="Q2686" s="16" t="n">
        <v>3000</v>
      </c>
      <c r="R2686" s="16" t="n">
        <v>393.75</v>
      </c>
      <c r="S2686" s="16" t="n">
        <v>0.5</v>
      </c>
      <c r="T2686" s="16" t="n">
        <v>0.95</v>
      </c>
      <c r="U2686" s="16" t="n">
        <v>0.75</v>
      </c>
      <c r="V2686" s="16" t="n">
        <v>0.905</v>
      </c>
      <c r="W2686" s="16" t="n">
        <v>0.8599999999999999</v>
      </c>
      <c r="X2686" s="16" t="n">
        <v>0.8</v>
      </c>
      <c r="Y2686" s="16" t="n">
        <v>278.15</v>
      </c>
      <c r="Z2686" s="16" t="n">
        <v>14.65726373296689</v>
      </c>
      <c r="AA2686" s="16" t="n">
        <v>79.05088969937006</v>
      </c>
      <c r="AB2686" s="16" t="n">
        <v>2606.25</v>
      </c>
      <c r="AC2686" s="16" t="n">
        <v>7.619047619047619</v>
      </c>
      <c r="AD2686" s="16" t="n"/>
      <c r="AE2686" s="16" t="n"/>
    </row>
    <row r="2687">
      <c r="A2687" s="16" t="inlineStr">
        <is>
          <t>KF-M07-A2-0083</t>
        </is>
      </c>
      <c r="B2687" s="16" t="inlineStr">
        <is>
          <t>5.1</t>
        </is>
      </c>
      <c r="C2687" s="16" t="inlineStr">
        <is>
          <t>5.1b</t>
        </is>
      </c>
      <c r="D2687" s="16" t="inlineStr">
        <is>
          <t>libre, desde el mejor de 2.4</t>
        </is>
      </c>
      <c r="E2687" s="16" t="inlineStr">
        <is>
          <t>KF-M07</t>
        </is>
      </c>
      <c r="F2687" s="16" t="inlineStr">
        <is>
          <t>KF-M07-A2</t>
        </is>
      </c>
      <c r="G2687" s="16" t="inlineStr">
        <is>
          <t>B11-A2</t>
        </is>
      </c>
      <c r="H2687" s="16" t="inlineStr">
        <is>
          <t>busqueda</t>
        </is>
      </c>
      <c r="I2687" s="16" t="inlineStr">
        <is>
          <t>KALINA</t>
        </is>
      </c>
      <c r="J2687" s="16" t="inlineStr">
        <is>
          <t>KALINA</t>
        </is>
      </c>
      <c r="K2687" s="16" t="b">
        <v>1</v>
      </c>
      <c r="L2687" s="16" t="b">
        <v>1</v>
      </c>
      <c r="M2687" s="16" t="b">
        <v>0</v>
      </c>
      <c r="N2687" s="16" t="b">
        <v>0</v>
      </c>
      <c r="O2687" s="16" t="n">
        <v>420</v>
      </c>
      <c r="P2687" s="16" t="n">
        <v>278.15</v>
      </c>
      <c r="Q2687" s="16" t="n">
        <v>3000</v>
      </c>
      <c r="R2687" s="16" t="n">
        <v>393.75</v>
      </c>
      <c r="S2687" s="16" t="n">
        <v>0.5</v>
      </c>
      <c r="T2687" s="16" t="n">
        <v>0.95</v>
      </c>
      <c r="U2687" s="16" t="n">
        <v>0.75</v>
      </c>
      <c r="V2687" s="16" t="n">
        <v>0.795</v>
      </c>
      <c r="W2687" s="16" t="n">
        <v>0.8599999999999999</v>
      </c>
      <c r="X2687" s="16" t="n">
        <v>0.8</v>
      </c>
      <c r="Y2687" s="16" t="n">
        <v>278.15</v>
      </c>
      <c r="Z2687" s="16" t="n">
        <v>14.23312036497439</v>
      </c>
      <c r="AA2687" s="16" t="n">
        <v>67.65185567660454</v>
      </c>
      <c r="AB2687" s="16" t="n">
        <v>2606.25</v>
      </c>
      <c r="AC2687" s="16" t="n">
        <v>7.619047619047619</v>
      </c>
      <c r="AD2687" s="16" t="n"/>
      <c r="AE2687" s="16" t="n"/>
    </row>
    <row r="2688">
      <c r="A2688" s="16" t="inlineStr">
        <is>
          <t>KF-M07-A2-0084</t>
        </is>
      </c>
      <c r="B2688" s="16" t="inlineStr">
        <is>
          <t>5.1</t>
        </is>
      </c>
      <c r="C2688" s="16" t="inlineStr">
        <is>
          <t>5.1b</t>
        </is>
      </c>
      <c r="D2688" s="16" t="inlineStr">
        <is>
          <t>libre, desde el mejor de 2.4</t>
        </is>
      </c>
      <c r="E2688" s="16" t="inlineStr">
        <is>
          <t>KF-M07</t>
        </is>
      </c>
      <c r="F2688" s="16" t="inlineStr">
        <is>
          <t>KF-M07-A2</t>
        </is>
      </c>
      <c r="G2688" s="16" t="inlineStr">
        <is>
          <t>B11-A2</t>
        </is>
      </c>
      <c r="H2688" s="16" t="inlineStr">
        <is>
          <t>busqueda</t>
        </is>
      </c>
      <c r="I2688" s="16" t="inlineStr">
        <is>
          <t>KALINA</t>
        </is>
      </c>
      <c r="J2688" s="16" t="inlineStr">
        <is>
          <t>KALINA</t>
        </is>
      </c>
      <c r="K2688" s="16" t="b">
        <v>1</v>
      </c>
      <c r="L2688" s="16" t="b">
        <v>1</v>
      </c>
      <c r="M2688" s="16" t="b">
        <v>0</v>
      </c>
      <c r="N2688" s="16" t="b">
        <v>0</v>
      </c>
      <c r="O2688" s="16" t="n">
        <v>420</v>
      </c>
      <c r="P2688" s="16" t="n">
        <v>278.15</v>
      </c>
      <c r="Q2688" s="16" t="n">
        <v>3000</v>
      </c>
      <c r="R2688" s="16" t="n">
        <v>393.75</v>
      </c>
      <c r="S2688" s="16" t="n">
        <v>0.5</v>
      </c>
      <c r="T2688" s="16" t="n">
        <v>0.95</v>
      </c>
      <c r="U2688" s="16" t="n">
        <v>0.75</v>
      </c>
      <c r="V2688" s="16" t="n">
        <v>0.85</v>
      </c>
      <c r="W2688" s="16" t="n">
        <v>0.915</v>
      </c>
      <c r="X2688" s="16" t="n">
        <v>0.8</v>
      </c>
      <c r="Y2688" s="16" t="n">
        <v>278.15</v>
      </c>
      <c r="Z2688" s="16" t="n">
        <v>15.06818501601989</v>
      </c>
      <c r="AA2688" s="16" t="n">
        <v>73.88725432748508</v>
      </c>
      <c r="AB2688" s="16" t="n">
        <v>2606.25</v>
      </c>
      <c r="AC2688" s="16" t="n">
        <v>7.619047619047619</v>
      </c>
      <c r="AD2688" s="16" t="n"/>
      <c r="AE2688" s="16" t="n"/>
    </row>
    <row r="2689">
      <c r="A2689" s="16" t="inlineStr">
        <is>
          <t>KF-M07-A2-0085</t>
        </is>
      </c>
      <c r="B2689" s="16" t="inlineStr">
        <is>
          <t>5.1</t>
        </is>
      </c>
      <c r="C2689" s="16" t="inlineStr">
        <is>
          <t>5.1b</t>
        </is>
      </c>
      <c r="D2689" s="16" t="inlineStr">
        <is>
          <t>libre, desde el mejor de 2.4</t>
        </is>
      </c>
      <c r="E2689" s="16" t="inlineStr">
        <is>
          <t>KF-M07</t>
        </is>
      </c>
      <c r="F2689" s="16" t="inlineStr">
        <is>
          <t>KF-M07-A2</t>
        </is>
      </c>
      <c r="G2689" s="16" t="inlineStr">
        <is>
          <t>B11-A2</t>
        </is>
      </c>
      <c r="H2689" s="16" t="inlineStr">
        <is>
          <t>busqueda</t>
        </is>
      </c>
      <c r="I2689" s="16" t="inlineStr">
        <is>
          <t>KALINA</t>
        </is>
      </c>
      <c r="J2689" s="16" t="inlineStr">
        <is>
          <t>KALINA</t>
        </is>
      </c>
      <c r="K2689" s="16" t="b">
        <v>1</v>
      </c>
      <c r="L2689" s="16" t="b">
        <v>1</v>
      </c>
      <c r="M2689" s="16" t="b">
        <v>0</v>
      </c>
      <c r="N2689" s="16" t="b">
        <v>0</v>
      </c>
      <c r="O2689" s="16" t="n">
        <v>420</v>
      </c>
      <c r="P2689" s="16" t="n">
        <v>278.15</v>
      </c>
      <c r="Q2689" s="16" t="n">
        <v>3000</v>
      </c>
      <c r="R2689" s="16" t="n">
        <v>393.75</v>
      </c>
      <c r="S2689" s="16" t="n">
        <v>0.5</v>
      </c>
      <c r="T2689" s="16" t="n">
        <v>0.95</v>
      </c>
      <c r="U2689" s="16" t="n">
        <v>0.75</v>
      </c>
      <c r="V2689" s="16" t="n">
        <v>0.85</v>
      </c>
      <c r="W2689" s="16" t="n">
        <v>0.8049999999999999</v>
      </c>
      <c r="X2689" s="16" t="n">
        <v>0.8</v>
      </c>
      <c r="Y2689" s="16" t="n">
        <v>278.15</v>
      </c>
      <c r="Z2689" s="16" t="n">
        <v>13.89941578479586</v>
      </c>
      <c r="AA2689" s="16" t="n">
        <v>72.84738312386479</v>
      </c>
      <c r="AB2689" s="16" t="n">
        <v>2606.25</v>
      </c>
      <c r="AC2689" s="16" t="n">
        <v>7.619047619047619</v>
      </c>
      <c r="AD2689" s="16" t="n"/>
      <c r="AE2689" s="16" t="n"/>
    </row>
    <row r="2690">
      <c r="A2690" s="16" t="inlineStr">
        <is>
          <t>KF-M07-A2-0086</t>
        </is>
      </c>
      <c r="B2690" s="16" t="inlineStr">
        <is>
          <t>5.1</t>
        </is>
      </c>
      <c r="C2690" s="16" t="inlineStr">
        <is>
          <t>5.1b</t>
        </is>
      </c>
      <c r="D2690" s="16" t="inlineStr">
        <is>
          <t>libre, desde el mejor de 2.4</t>
        </is>
      </c>
      <c r="E2690" s="16" t="inlineStr">
        <is>
          <t>KF-M07</t>
        </is>
      </c>
      <c r="F2690" s="16" t="inlineStr">
        <is>
          <t>KF-M07-A2</t>
        </is>
      </c>
      <c r="G2690" s="16" t="inlineStr">
        <is>
          <t>B11-A2</t>
        </is>
      </c>
      <c r="H2690" s="16" t="inlineStr">
        <is>
          <t>busqueda</t>
        </is>
      </c>
      <c r="I2690" s="16" t="inlineStr">
        <is>
          <t>KALINA</t>
        </is>
      </c>
      <c r="J2690" s="16" t="inlineStr">
        <is>
          <t>KALINA</t>
        </is>
      </c>
      <c r="K2690" s="16" t="b">
        <v>1</v>
      </c>
      <c r="L2690" s="16" t="b">
        <v>1</v>
      </c>
      <c r="M2690" s="16" t="b">
        <v>0</v>
      </c>
      <c r="N2690" s="16" t="b">
        <v>0</v>
      </c>
      <c r="O2690" s="16" t="n">
        <v>420</v>
      </c>
      <c r="P2690" s="16" t="n">
        <v>278.15</v>
      </c>
      <c r="Q2690" s="16" t="n">
        <v>3000</v>
      </c>
      <c r="R2690" s="16" t="n">
        <v>393.75</v>
      </c>
      <c r="S2690" s="16" t="n">
        <v>0.5</v>
      </c>
      <c r="T2690" s="16" t="n">
        <v>0.95</v>
      </c>
      <c r="U2690" s="16" t="n">
        <v>0.75</v>
      </c>
      <c r="V2690" s="16" t="n">
        <v>0.85</v>
      </c>
      <c r="W2690" s="16" t="n">
        <v>0.8599999999999999</v>
      </c>
      <c r="X2690" s="16" t="n">
        <v>0.855</v>
      </c>
      <c r="Y2690" s="16" t="n">
        <v>278.15</v>
      </c>
      <c r="Z2690" s="16" t="n">
        <v>14.10486357952595</v>
      </c>
      <c r="AA2690" s="16" t="n">
        <v>73.07108770527276</v>
      </c>
      <c r="AB2690" s="16" t="n">
        <v>2606.25</v>
      </c>
      <c r="AC2690" s="16" t="n">
        <v>7.619047619047619</v>
      </c>
      <c r="AD2690" s="16" t="n"/>
      <c r="AE2690" s="16" t="n"/>
    </row>
    <row r="2691">
      <c r="A2691" s="16" t="inlineStr">
        <is>
          <t>KF-M07-A2-0087</t>
        </is>
      </c>
      <c r="B2691" s="16" t="inlineStr">
        <is>
          <t>5.1</t>
        </is>
      </c>
      <c r="C2691" s="16" t="inlineStr">
        <is>
          <t>5.1b</t>
        </is>
      </c>
      <c r="D2691" s="16" t="inlineStr">
        <is>
          <t>libre, desde el mejor de 2.4</t>
        </is>
      </c>
      <c r="E2691" s="16" t="inlineStr">
        <is>
          <t>KF-M07</t>
        </is>
      </c>
      <c r="F2691" s="16" t="inlineStr">
        <is>
          <t>KF-M07-A2</t>
        </is>
      </c>
      <c r="G2691" s="16" t="inlineStr">
        <is>
          <t>B11-A2</t>
        </is>
      </c>
      <c r="H2691" s="16" t="inlineStr">
        <is>
          <t>busqueda</t>
        </is>
      </c>
      <c r="I2691" s="16" t="inlineStr">
        <is>
          <t>CORREGIBLE</t>
        </is>
      </c>
      <c r="J2691" s="16" t="inlineStr">
        <is>
          <t>CORREGIBLE</t>
        </is>
      </c>
      <c r="K2691" s="16" t="b">
        <v>1</v>
      </c>
      <c r="L2691" s="16" t="b">
        <v>0</v>
      </c>
      <c r="M2691" s="16" t="b">
        <v>0</v>
      </c>
      <c r="N2691" s="16" t="b">
        <v>0</v>
      </c>
      <c r="O2691" s="16" t="n">
        <v>420</v>
      </c>
      <c r="P2691" s="16" t="n">
        <v>278.15</v>
      </c>
      <c r="Q2691" s="16" t="n">
        <v>3000</v>
      </c>
      <c r="R2691" s="16" t="n">
        <v>393.75</v>
      </c>
      <c r="S2691" s="16" t="n">
        <v>0.5</v>
      </c>
      <c r="T2691" s="16" t="n">
        <v>0.95</v>
      </c>
      <c r="U2691" s="16" t="n">
        <v>0.75</v>
      </c>
      <c r="V2691" s="16" t="n">
        <v>0.85</v>
      </c>
      <c r="W2691" s="16" t="n">
        <v>0.8599999999999999</v>
      </c>
      <c r="X2691" s="16" t="n">
        <v>0.7450000000000001</v>
      </c>
      <c r="Y2691" s="16" t="n">
        <v>278.15</v>
      </c>
      <c r="Z2691" s="16" t="n">
        <v>14.81797429391452</v>
      </c>
      <c r="AA2691" s="16" t="n">
        <v>73.43552329286381</v>
      </c>
      <c r="AB2691" s="16" t="n">
        <v>2606.25</v>
      </c>
      <c r="AC2691" s="16" t="n">
        <v>7.619047619047619</v>
      </c>
      <c r="AD2691" s="16" t="inlineStr">
        <is>
          <t>O2</t>
        </is>
      </c>
      <c r="AE2691" s="16" t="n"/>
    </row>
    <row r="2692">
      <c r="A2692" s="16" t="inlineStr">
        <is>
          <t>KF-M07-A2-0088</t>
        </is>
      </c>
      <c r="B2692" s="16" t="inlineStr">
        <is>
          <t>5.1</t>
        </is>
      </c>
      <c r="C2692" s="16" t="inlineStr">
        <is>
          <t>5.1b</t>
        </is>
      </c>
      <c r="D2692" s="16" t="inlineStr">
        <is>
          <t>libre, desde el mejor de 2.4</t>
        </is>
      </c>
      <c r="E2692" s="16" t="inlineStr">
        <is>
          <t>KF-M07</t>
        </is>
      </c>
      <c r="F2692" s="16" t="inlineStr">
        <is>
          <t>KF-M07-A2</t>
        </is>
      </c>
      <c r="G2692" s="16" t="inlineStr">
        <is>
          <t>B11-A2</t>
        </is>
      </c>
      <c r="H2692" s="16" t="inlineStr">
        <is>
          <t>busqueda</t>
        </is>
      </c>
      <c r="I2692" s="16" t="inlineStr">
        <is>
          <t>CORREGIBLE</t>
        </is>
      </c>
      <c r="J2692" s="16" t="inlineStr">
        <is>
          <t>CORREGIBLE</t>
        </is>
      </c>
      <c r="K2692" s="16" t="b">
        <v>1</v>
      </c>
      <c r="L2692" s="16" t="b">
        <v>0</v>
      </c>
      <c r="M2692" s="16" t="b">
        <v>1</v>
      </c>
      <c r="N2692" s="16" t="b">
        <v>0</v>
      </c>
      <c r="O2692" s="16" t="n">
        <v>432</v>
      </c>
      <c r="P2692" s="16" t="n">
        <v>278.15</v>
      </c>
      <c r="Q2692" s="16" t="n">
        <v>3000</v>
      </c>
      <c r="R2692" s="16" t="n">
        <v>393.75</v>
      </c>
      <c r="S2692" s="16" t="n">
        <v>0.5</v>
      </c>
      <c r="T2692" s="16" t="n">
        <v>0.95</v>
      </c>
      <c r="U2692" s="16" t="n">
        <v>0.75</v>
      </c>
      <c r="V2692" s="16" t="n">
        <v>0.85</v>
      </c>
      <c r="W2692" s="16" t="n">
        <v>0.915</v>
      </c>
      <c r="X2692" s="16" t="n">
        <v>0.8</v>
      </c>
      <c r="Y2692" s="16" t="n">
        <v>278.15</v>
      </c>
      <c r="Z2692" s="16" t="n">
        <v>15.64546648194214</v>
      </c>
      <c r="AA2692" s="16" t="n">
        <v>102.4735939540989</v>
      </c>
      <c r="AB2692" s="16" t="n">
        <v>2606.25</v>
      </c>
      <c r="AC2692" s="16" t="n">
        <v>7.619047619047619</v>
      </c>
      <c r="AD2692" s="16" t="inlineStr">
        <is>
          <t>O1,O2</t>
        </is>
      </c>
      <c r="AE2692" s="16" t="n"/>
    </row>
    <row r="2693">
      <c r="A2693" s="16" t="inlineStr">
        <is>
          <t>KF-M07-A2-0089</t>
        </is>
      </c>
      <c r="B2693" s="16" t="inlineStr">
        <is>
          <t>5.1</t>
        </is>
      </c>
      <c r="C2693" s="16" t="inlineStr">
        <is>
          <t>5.1b</t>
        </is>
      </c>
      <c r="D2693" s="16" t="inlineStr">
        <is>
          <t>libre, desde el mejor de 2.4</t>
        </is>
      </c>
      <c r="E2693" s="16" t="inlineStr">
        <is>
          <t>KF-M07</t>
        </is>
      </c>
      <c r="F2693" s="16" t="inlineStr">
        <is>
          <t>KF-M07-A2</t>
        </is>
      </c>
      <c r="G2693" s="16" t="inlineStr">
        <is>
          <t>B11-A2</t>
        </is>
      </c>
      <c r="H2693" s="16" t="inlineStr">
        <is>
          <t>busqueda</t>
        </is>
      </c>
      <c r="I2693" s="16" t="inlineStr">
        <is>
          <t>KALINA</t>
        </is>
      </c>
      <c r="J2693" s="16" t="inlineStr">
        <is>
          <t>KALINA</t>
        </is>
      </c>
      <c r="K2693" s="16" t="b">
        <v>1</v>
      </c>
      <c r="L2693" s="16" t="b">
        <v>1</v>
      </c>
      <c r="M2693" s="16" t="b">
        <v>0</v>
      </c>
      <c r="N2693" s="16" t="b">
        <v>0</v>
      </c>
      <c r="O2693" s="16" t="n">
        <v>408</v>
      </c>
      <c r="P2693" s="16" t="n">
        <v>278.15</v>
      </c>
      <c r="Q2693" s="16" t="n">
        <v>3000</v>
      </c>
      <c r="R2693" s="16" t="n">
        <v>393.75</v>
      </c>
      <c r="S2693" s="16" t="n">
        <v>0.5</v>
      </c>
      <c r="T2693" s="16" t="n">
        <v>0.95</v>
      </c>
      <c r="U2693" s="16" t="n">
        <v>0.75</v>
      </c>
      <c r="V2693" s="16" t="n">
        <v>0.85</v>
      </c>
      <c r="W2693" s="16" t="n">
        <v>0.915</v>
      </c>
      <c r="X2693" s="16" t="n">
        <v>0.8</v>
      </c>
      <c r="Y2693" s="16" t="n">
        <v>278.15</v>
      </c>
      <c r="Z2693" s="16" t="n">
        <v>13.93347179357018</v>
      </c>
      <c r="AA2693" s="16" t="n">
        <v>47.43988245712004</v>
      </c>
      <c r="AB2693" s="16" t="n">
        <v>2606.25</v>
      </c>
      <c r="AC2693" s="16" t="n">
        <v>7.619047619047619</v>
      </c>
      <c r="AD2693" s="16" t="n"/>
      <c r="AE2693" s="16" t="n"/>
    </row>
    <row r="2694">
      <c r="A2694" s="16" t="inlineStr">
        <is>
          <t>KF-M07-A2-0090</t>
        </is>
      </c>
      <c r="B2694" s="16" t="inlineStr">
        <is>
          <t>5.1</t>
        </is>
      </c>
      <c r="C2694" s="16" t="inlineStr">
        <is>
          <t>5.1b</t>
        </is>
      </c>
      <c r="D2694" s="16" t="inlineStr">
        <is>
          <t>libre, desde el mejor de 2.4</t>
        </is>
      </c>
      <c r="E2694" s="16" t="inlineStr">
        <is>
          <t>KF-M07</t>
        </is>
      </c>
      <c r="F2694" s="16" t="inlineStr">
        <is>
          <t>KF-M07-A2</t>
        </is>
      </c>
      <c r="G2694" s="16" t="inlineStr">
        <is>
          <t>B11-A2</t>
        </is>
      </c>
      <c r="H2694" s="16" t="inlineStr">
        <is>
          <t>busqueda</t>
        </is>
      </c>
      <c r="I2694" s="16" t="inlineStr">
        <is>
          <t>KALINA</t>
        </is>
      </c>
      <c r="J2694" s="16" t="inlineStr">
        <is>
          <t>KALINA</t>
        </is>
      </c>
      <c r="K2694" s="16" t="b">
        <v>1</v>
      </c>
      <c r="L2694" s="16" t="b">
        <v>1</v>
      </c>
      <c r="M2694" s="16" t="b">
        <v>0</v>
      </c>
      <c r="N2694" s="16" t="b">
        <v>0</v>
      </c>
      <c r="O2694" s="16" t="n">
        <v>420</v>
      </c>
      <c r="P2694" s="16" t="n">
        <v>280.69</v>
      </c>
      <c r="Q2694" s="16" t="n">
        <v>3000</v>
      </c>
      <c r="R2694" s="16" t="n">
        <v>393.75</v>
      </c>
      <c r="S2694" s="16" t="n">
        <v>0.5</v>
      </c>
      <c r="T2694" s="16" t="n">
        <v>0.95</v>
      </c>
      <c r="U2694" s="16" t="n">
        <v>0.75</v>
      </c>
      <c r="V2694" s="16" t="n">
        <v>0.85</v>
      </c>
      <c r="W2694" s="16" t="n">
        <v>0.915</v>
      </c>
      <c r="X2694" s="16" t="n">
        <v>0.8</v>
      </c>
      <c r="Y2694" s="16" t="n">
        <v>280.69</v>
      </c>
      <c r="Z2694" s="16" t="n">
        <v>15.18233874616843</v>
      </c>
      <c r="AA2694" s="16" t="n">
        <v>73.97153853960299</v>
      </c>
      <c r="AB2694" s="16" t="n">
        <v>2606.25</v>
      </c>
      <c r="AC2694" s="16" t="n">
        <v>7.619047619047619</v>
      </c>
      <c r="AD2694" s="16" t="n"/>
      <c r="AE2694" s="16" t="n"/>
    </row>
    <row r="2695">
      <c r="A2695" s="16" t="inlineStr">
        <is>
          <t>KF-M07-A2-0091</t>
        </is>
      </c>
      <c r="B2695" s="16" t="inlineStr">
        <is>
          <t>5.1</t>
        </is>
      </c>
      <c r="C2695" s="16" t="inlineStr">
        <is>
          <t>5.1b</t>
        </is>
      </c>
      <c r="D2695" s="16" t="inlineStr">
        <is>
          <t>libre, desde el mejor de 2.4</t>
        </is>
      </c>
      <c r="E2695" s="16" t="inlineStr">
        <is>
          <t>KF-M07</t>
        </is>
      </c>
      <c r="F2695" s="16" t="inlineStr">
        <is>
          <t>KF-M07-A2</t>
        </is>
      </c>
      <c r="G2695" s="16" t="inlineStr">
        <is>
          <t>B11-A2</t>
        </is>
      </c>
      <c r="H2695" s="16" t="inlineStr">
        <is>
          <t>busqueda</t>
        </is>
      </c>
      <c r="I2695" s="16" t="inlineStr">
        <is>
          <t>KALINA</t>
        </is>
      </c>
      <c r="J2695" s="16" t="inlineStr">
        <is>
          <t>KALINA</t>
        </is>
      </c>
      <c r="K2695" s="16" t="b">
        <v>1</v>
      </c>
      <c r="L2695" s="16" t="b">
        <v>1</v>
      </c>
      <c r="M2695" s="16" t="b">
        <v>0</v>
      </c>
      <c r="N2695" s="16" t="b">
        <v>0</v>
      </c>
      <c r="O2695" s="16" t="n">
        <v>420</v>
      </c>
      <c r="P2695" s="16" t="n">
        <v>278.15</v>
      </c>
      <c r="Q2695" s="16" t="n">
        <v>3300</v>
      </c>
      <c r="R2695" s="16" t="n">
        <v>393.75</v>
      </c>
      <c r="S2695" s="16" t="n">
        <v>0.5</v>
      </c>
      <c r="T2695" s="16" t="n">
        <v>0.95</v>
      </c>
      <c r="U2695" s="16" t="n">
        <v>0.75</v>
      </c>
      <c r="V2695" s="16" t="n">
        <v>0.85</v>
      </c>
      <c r="W2695" s="16" t="n">
        <v>0.915</v>
      </c>
      <c r="X2695" s="16" t="n">
        <v>0.8</v>
      </c>
      <c r="Y2695" s="16" t="n">
        <v>278.15</v>
      </c>
      <c r="Z2695" s="16" t="n">
        <v>15.18278766550411</v>
      </c>
      <c r="AA2695" s="16" t="n">
        <v>65.22278609212</v>
      </c>
      <c r="AB2695" s="16" t="n">
        <v>2906.25</v>
      </c>
      <c r="AC2695" s="16" t="n">
        <v>8.380952380952381</v>
      </c>
      <c r="AD2695" s="16" t="n"/>
      <c r="AE2695" s="16" t="n"/>
    </row>
    <row r="2696">
      <c r="A2696" s="16" t="inlineStr">
        <is>
          <t>KF-M07-A2-0092</t>
        </is>
      </c>
      <c r="B2696" s="16" t="inlineStr">
        <is>
          <t>5.1</t>
        </is>
      </c>
      <c r="C2696" s="16" t="inlineStr">
        <is>
          <t>5.1b</t>
        </is>
      </c>
      <c r="D2696" s="16" t="inlineStr">
        <is>
          <t>libre, desde el mejor de 2.4</t>
        </is>
      </c>
      <c r="E2696" s="16" t="inlineStr">
        <is>
          <t>KF-M07</t>
        </is>
      </c>
      <c r="F2696" s="16" t="inlineStr">
        <is>
          <t>KF-M07-A2</t>
        </is>
      </c>
      <c r="G2696" s="16" t="inlineStr">
        <is>
          <t>B11-A2</t>
        </is>
      </c>
      <c r="H2696" s="16" t="inlineStr">
        <is>
          <t>busqueda</t>
        </is>
      </c>
      <c r="I2696" s="16" t="inlineStr">
        <is>
          <t>KALINA</t>
        </is>
      </c>
      <c r="J2696" s="16" t="inlineStr">
        <is>
          <t>KALINA</t>
        </is>
      </c>
      <c r="K2696" s="16" t="b">
        <v>1</v>
      </c>
      <c r="L2696" s="16" t="b">
        <v>1</v>
      </c>
      <c r="M2696" s="16" t="b">
        <v>0</v>
      </c>
      <c r="N2696" s="16" t="b">
        <v>0</v>
      </c>
      <c r="O2696" s="16" t="n">
        <v>420</v>
      </c>
      <c r="P2696" s="16" t="n">
        <v>278.15</v>
      </c>
      <c r="Q2696" s="16" t="n">
        <v>2700</v>
      </c>
      <c r="R2696" s="16" t="n">
        <v>393.75</v>
      </c>
      <c r="S2696" s="16" t="n">
        <v>0.5</v>
      </c>
      <c r="T2696" s="16" t="n">
        <v>0.95</v>
      </c>
      <c r="U2696" s="16" t="n">
        <v>0.75</v>
      </c>
      <c r="V2696" s="16" t="n">
        <v>0.85</v>
      </c>
      <c r="W2696" s="16" t="n">
        <v>0.915</v>
      </c>
      <c r="X2696" s="16" t="n">
        <v>0.8</v>
      </c>
      <c r="Y2696" s="16" t="n">
        <v>278.15</v>
      </c>
      <c r="Z2696" s="16" t="n">
        <v>14.74189596960736</v>
      </c>
      <c r="AA2696" s="16" t="n">
        <v>81.9280552836683</v>
      </c>
      <c r="AB2696" s="16" t="n">
        <v>2306.25</v>
      </c>
      <c r="AC2696" s="16" t="n">
        <v>6.857142857142857</v>
      </c>
      <c r="AD2696" s="16" t="n"/>
      <c r="AE2696" s="16" t="n"/>
    </row>
    <row r="2697">
      <c r="A2697" s="16" t="inlineStr">
        <is>
          <t>KF-M07-A2-0093</t>
        </is>
      </c>
      <c r="B2697" s="16" t="inlineStr">
        <is>
          <t>5.1</t>
        </is>
      </c>
      <c r="C2697" s="16" t="inlineStr">
        <is>
          <t>5.1b</t>
        </is>
      </c>
      <c r="D2697" s="16" t="inlineStr">
        <is>
          <t>libre, desde el mejor de 2.4</t>
        </is>
      </c>
      <c r="E2697" s="16" t="inlineStr">
        <is>
          <t>KF-M07</t>
        </is>
      </c>
      <c r="F2697" s="16" t="inlineStr">
        <is>
          <t>KF-M07-A2</t>
        </is>
      </c>
      <c r="G2697" s="16" t="inlineStr">
        <is>
          <t>B11-A2</t>
        </is>
      </c>
      <c r="H2697" s="16" t="inlineStr">
        <is>
          <t>busqueda</t>
        </is>
      </c>
      <c r="I2697" s="16" t="inlineStr">
        <is>
          <t>KALINA</t>
        </is>
      </c>
      <c r="J2697" s="16" t="inlineStr">
        <is>
          <t>KALINA</t>
        </is>
      </c>
      <c r="K2697" s="16" t="b">
        <v>1</v>
      </c>
      <c r="L2697" s="16" t="b">
        <v>1</v>
      </c>
      <c r="M2697" s="16" t="b">
        <v>0</v>
      </c>
      <c r="N2697" s="16" t="b">
        <v>0</v>
      </c>
      <c r="O2697" s="16" t="n">
        <v>420</v>
      </c>
      <c r="P2697" s="16" t="n">
        <v>278.15</v>
      </c>
      <c r="Q2697" s="16" t="n">
        <v>3000</v>
      </c>
      <c r="R2697" s="16" t="n">
        <v>613.75</v>
      </c>
      <c r="S2697" s="16" t="n">
        <v>0.5</v>
      </c>
      <c r="T2697" s="16" t="n">
        <v>0.95</v>
      </c>
      <c r="U2697" s="16" t="n">
        <v>0.75</v>
      </c>
      <c r="V2697" s="16" t="n">
        <v>0.85</v>
      </c>
      <c r="W2697" s="16" t="n">
        <v>0.915</v>
      </c>
      <c r="X2697" s="16" t="n">
        <v>0.8</v>
      </c>
      <c r="Y2697" s="16" t="n">
        <v>278.15</v>
      </c>
      <c r="Z2697" s="16" t="n">
        <v>11.99209576305496</v>
      </c>
      <c r="AA2697" s="16" t="n">
        <v>58.68511530275908</v>
      </c>
      <c r="AB2697" s="16" t="n">
        <v>2386.25</v>
      </c>
      <c r="AC2697" s="16" t="n">
        <v>4.887983706720978</v>
      </c>
      <c r="AD2697" s="16" t="n"/>
      <c r="AE2697" s="16" t="n"/>
    </row>
    <row r="2698">
      <c r="A2698" s="16" t="inlineStr">
        <is>
          <t>KF-M07-A2-0094</t>
        </is>
      </c>
      <c r="B2698" s="16" t="inlineStr">
        <is>
          <t>5.1</t>
        </is>
      </c>
      <c r="C2698" s="16" t="inlineStr">
        <is>
          <t>5.1b</t>
        </is>
      </c>
      <c r="D2698" s="16" t="inlineStr">
        <is>
          <t>libre, desde el mejor de 2.4</t>
        </is>
      </c>
      <c r="E2698" s="16" t="inlineStr">
        <is>
          <t>KF-M07</t>
        </is>
      </c>
      <c r="F2698" s="16" t="inlineStr">
        <is>
          <t>KF-M07-A2</t>
        </is>
      </c>
      <c r="G2698" s="16" t="inlineStr">
        <is>
          <t>B11-A2</t>
        </is>
      </c>
      <c r="H2698" s="16" t="inlineStr">
        <is>
          <t>busqueda</t>
        </is>
      </c>
      <c r="I2698" s="16" t="inlineStr">
        <is>
          <t>CORREGIBLE</t>
        </is>
      </c>
      <c r="J2698" s="16" t="inlineStr">
        <is>
          <t>CORREGIBLE</t>
        </is>
      </c>
      <c r="K2698" s="16" t="b">
        <v>1</v>
      </c>
      <c r="L2698" s="16" t="b">
        <v>0</v>
      </c>
      <c r="M2698" s="16" t="b">
        <v>0</v>
      </c>
      <c r="N2698" s="16" t="b">
        <v>0</v>
      </c>
      <c r="O2698" s="16" t="n">
        <v>420</v>
      </c>
      <c r="P2698" s="16" t="n">
        <v>278.15</v>
      </c>
      <c r="Q2698" s="16" t="n">
        <v>3000</v>
      </c>
      <c r="R2698" s="16" t="n">
        <v>300</v>
      </c>
      <c r="S2698" s="16" t="n">
        <v>0.5</v>
      </c>
      <c r="T2698" s="16" t="n">
        <v>0.95</v>
      </c>
      <c r="U2698" s="16" t="n">
        <v>0.75</v>
      </c>
      <c r="V2698" s="16" t="n">
        <v>0.85</v>
      </c>
      <c r="W2698" s="16" t="n">
        <v>0.915</v>
      </c>
      <c r="X2698" s="16" t="n">
        <v>0.8</v>
      </c>
      <c r="Y2698" s="16" t="n">
        <v>278.15</v>
      </c>
      <c r="Z2698" s="16" t="n">
        <v>16.84818685410456</v>
      </c>
      <c r="AA2698" s="16" t="n">
        <v>82.70621604969227</v>
      </c>
      <c r="AB2698" s="16" t="n">
        <v>2700</v>
      </c>
      <c r="AC2698" s="16" t="n">
        <v>10</v>
      </c>
      <c r="AD2698" s="16" t="inlineStr">
        <is>
          <t>O1,O2</t>
        </is>
      </c>
      <c r="AE2698" s="16" t="n"/>
    </row>
    <row r="2699">
      <c r="A2699" s="16" t="inlineStr">
        <is>
          <t>KF-M07-A2-0095</t>
        </is>
      </c>
      <c r="B2699" s="16" t="inlineStr">
        <is>
          <t>5.1</t>
        </is>
      </c>
      <c r="C2699" s="16" t="inlineStr">
        <is>
          <t>5.1b</t>
        </is>
      </c>
      <c r="D2699" s="16" t="inlineStr">
        <is>
          <t>libre, desde el mejor de 2.4</t>
        </is>
      </c>
      <c r="E2699" s="16" t="inlineStr">
        <is>
          <t>KF-M07</t>
        </is>
      </c>
      <c r="F2699" s="16" t="inlineStr">
        <is>
          <t>KF-M07-A2</t>
        </is>
      </c>
      <c r="G2699" s="16" t="inlineStr">
        <is>
          <t>B11-A2</t>
        </is>
      </c>
      <c r="H2699" s="16" t="inlineStr">
        <is>
          <t>busqueda</t>
        </is>
      </c>
      <c r="I2699" s="16" t="inlineStr">
        <is>
          <t>CORREGIBLE</t>
        </is>
      </c>
      <c r="J2699" s="16" t="inlineStr">
        <is>
          <t>CORREGIBLE</t>
        </is>
      </c>
      <c r="K2699" s="16" t="b">
        <v>1</v>
      </c>
      <c r="L2699" s="16" t="b">
        <v>0</v>
      </c>
      <c r="M2699" s="16" t="b">
        <v>0</v>
      </c>
      <c r="N2699" s="16" t="b">
        <v>0</v>
      </c>
      <c r="O2699" s="16" t="n">
        <v>420</v>
      </c>
      <c r="P2699" s="16" t="n">
        <v>278.15</v>
      </c>
      <c r="Q2699" s="16" t="n">
        <v>3000</v>
      </c>
      <c r="R2699" s="16" t="n">
        <v>393.75</v>
      </c>
      <c r="S2699" s="16" t="n">
        <v>0.535</v>
      </c>
      <c r="T2699" s="16" t="n">
        <v>0.95</v>
      </c>
      <c r="U2699" s="16" t="n">
        <v>0.75</v>
      </c>
      <c r="V2699" s="16" t="n">
        <v>0.85</v>
      </c>
      <c r="W2699" s="16" t="n">
        <v>0.915</v>
      </c>
      <c r="X2699" s="16" t="n">
        <v>0.8</v>
      </c>
      <c r="Y2699" s="16" t="n">
        <v>278.15</v>
      </c>
      <c r="Z2699" s="16" t="n">
        <v>15.82685015666591</v>
      </c>
      <c r="AA2699" s="16" t="n">
        <v>90.86981435342076</v>
      </c>
      <c r="AB2699" s="16" t="n">
        <v>2606.25</v>
      </c>
      <c r="AC2699" s="16" t="n">
        <v>7.619047619047619</v>
      </c>
      <c r="AD2699" s="16" t="inlineStr">
        <is>
          <t>O2</t>
        </is>
      </c>
      <c r="AE2699" s="16" t="n"/>
    </row>
    <row r="2700">
      <c r="A2700" s="16" t="inlineStr">
        <is>
          <t>KF-M07-A2-0096</t>
        </is>
      </c>
      <c r="B2700" s="16" t="inlineStr">
        <is>
          <t>5.1</t>
        </is>
      </c>
      <c r="C2700" s="16" t="inlineStr">
        <is>
          <t>5.1b</t>
        </is>
      </c>
      <c r="D2700" s="16" t="inlineStr">
        <is>
          <t>libre, desde el mejor de 2.4</t>
        </is>
      </c>
      <c r="E2700" s="16" t="inlineStr">
        <is>
          <t>KF-M07</t>
        </is>
      </c>
      <c r="F2700" s="16" t="inlineStr">
        <is>
          <t>KF-M07-A2</t>
        </is>
      </c>
      <c r="G2700" s="16" t="inlineStr">
        <is>
          <t>B11-A2</t>
        </is>
      </c>
      <c r="H2700" s="16" t="inlineStr">
        <is>
          <t>busqueda</t>
        </is>
      </c>
      <c r="I2700" s="16" t="inlineStr">
        <is>
          <t>KALINA</t>
        </is>
      </c>
      <c r="J2700" s="16" t="inlineStr">
        <is>
          <t>KALINA</t>
        </is>
      </c>
      <c r="K2700" s="16" t="b">
        <v>1</v>
      </c>
      <c r="L2700" s="16" t="b">
        <v>1</v>
      </c>
      <c r="M2700" s="16" t="b">
        <v>0</v>
      </c>
      <c r="N2700" s="16" t="b">
        <v>0</v>
      </c>
      <c r="O2700" s="16" t="n">
        <v>420</v>
      </c>
      <c r="P2700" s="16" t="n">
        <v>278.15</v>
      </c>
      <c r="Q2700" s="16" t="n">
        <v>3000</v>
      </c>
      <c r="R2700" s="16" t="n">
        <v>393.75</v>
      </c>
      <c r="S2700" s="16" t="n">
        <v>0.5</v>
      </c>
      <c r="T2700" s="16" t="n">
        <v>0.895</v>
      </c>
      <c r="U2700" s="16" t="n">
        <v>0.75</v>
      </c>
      <c r="V2700" s="16" t="n">
        <v>0.85</v>
      </c>
      <c r="W2700" s="16" t="n">
        <v>0.915</v>
      </c>
      <c r="X2700" s="16" t="n">
        <v>0.8</v>
      </c>
      <c r="Y2700" s="16" t="n">
        <v>278.15</v>
      </c>
      <c r="Z2700" s="16" t="n">
        <v>14.15628485758795</v>
      </c>
      <c r="AA2700" s="16" t="n">
        <v>69.3722148563109</v>
      </c>
      <c r="AB2700" s="16" t="n">
        <v>2606.25</v>
      </c>
      <c r="AC2700" s="16" t="n">
        <v>7.619047619047619</v>
      </c>
      <c r="AD2700" s="16" t="n"/>
      <c r="AE2700" s="16" t="n"/>
    </row>
    <row r="2701">
      <c r="A2701" s="16" t="inlineStr">
        <is>
          <t>KF-M07-A2-0097</t>
        </is>
      </c>
      <c r="B2701" s="16" t="inlineStr">
        <is>
          <t>5.1</t>
        </is>
      </c>
      <c r="C2701" s="16" t="inlineStr">
        <is>
          <t>5.1b</t>
        </is>
      </c>
      <c r="D2701" s="16" t="inlineStr">
        <is>
          <t>libre, desde el mejor de 2.4</t>
        </is>
      </c>
      <c r="E2701" s="16" t="inlineStr">
        <is>
          <t>KF-M07</t>
        </is>
      </c>
      <c r="F2701" s="16" t="inlineStr">
        <is>
          <t>KF-M07-A2</t>
        </is>
      </c>
      <c r="G2701" s="16" t="inlineStr">
        <is>
          <t>B11-A2</t>
        </is>
      </c>
      <c r="H2701" s="16" t="inlineStr">
        <is>
          <t>busqueda</t>
        </is>
      </c>
      <c r="I2701" s="16" t="inlineStr">
        <is>
          <t>KALINA</t>
        </is>
      </c>
      <c r="J2701" s="16" t="inlineStr">
        <is>
          <t>KALINA</t>
        </is>
      </c>
      <c r="K2701" s="16" t="b">
        <v>1</v>
      </c>
      <c r="L2701" s="16" t="b">
        <v>1</v>
      </c>
      <c r="M2701" s="16" t="b">
        <v>0</v>
      </c>
      <c r="N2701" s="16" t="b">
        <v>0</v>
      </c>
      <c r="O2701" s="16" t="n">
        <v>420</v>
      </c>
      <c r="P2701" s="16" t="n">
        <v>278.15</v>
      </c>
      <c r="Q2701" s="16" t="n">
        <v>3000</v>
      </c>
      <c r="R2701" s="16" t="n">
        <v>393.75</v>
      </c>
      <c r="S2701" s="16" t="n">
        <v>0.5</v>
      </c>
      <c r="T2701" s="16" t="n">
        <v>0.95</v>
      </c>
      <c r="U2701" s="16" t="n">
        <v>0.8049999999999999</v>
      </c>
      <c r="V2701" s="16" t="n">
        <v>0.85</v>
      </c>
      <c r="W2701" s="16" t="n">
        <v>0.915</v>
      </c>
      <c r="X2701" s="16" t="n">
        <v>0.8</v>
      </c>
      <c r="Y2701" s="16" t="n">
        <v>278.15</v>
      </c>
      <c r="Z2701" s="16" t="n">
        <v>15.12354085071482</v>
      </c>
      <c r="AA2701" s="16" t="n">
        <v>74.17353943847115</v>
      </c>
      <c r="AB2701" s="16" t="n">
        <v>2606.25</v>
      </c>
      <c r="AC2701" s="16" t="n">
        <v>7.619047619047619</v>
      </c>
      <c r="AD2701" s="16" t="n"/>
      <c r="AE2701" s="16" t="n"/>
    </row>
    <row r="2702">
      <c r="A2702" s="16" t="inlineStr">
        <is>
          <t>KF-M07-A2-0098</t>
        </is>
      </c>
      <c r="B2702" s="16" t="inlineStr">
        <is>
          <t>5.1</t>
        </is>
      </c>
      <c r="C2702" s="16" t="inlineStr">
        <is>
          <t>5.1b</t>
        </is>
      </c>
      <c r="D2702" s="16" t="inlineStr">
        <is>
          <t>libre, desde el mejor de 2.4</t>
        </is>
      </c>
      <c r="E2702" s="16" t="inlineStr">
        <is>
          <t>KF-M07</t>
        </is>
      </c>
      <c r="F2702" s="16" t="inlineStr">
        <is>
          <t>KF-M07-A2</t>
        </is>
      </c>
      <c r="G2702" s="16" t="inlineStr">
        <is>
          <t>B11-A2</t>
        </is>
      </c>
      <c r="H2702" s="16" t="inlineStr">
        <is>
          <t>busqueda</t>
        </is>
      </c>
      <c r="I2702" s="16" t="inlineStr">
        <is>
          <t>KALINA</t>
        </is>
      </c>
      <c r="J2702" s="16" t="inlineStr">
        <is>
          <t>KALINA</t>
        </is>
      </c>
      <c r="K2702" s="16" t="b">
        <v>1</v>
      </c>
      <c r="L2702" s="16" t="b">
        <v>1</v>
      </c>
      <c r="M2702" s="16" t="b">
        <v>0</v>
      </c>
      <c r="N2702" s="16" t="b">
        <v>0</v>
      </c>
      <c r="O2702" s="16" t="n">
        <v>420</v>
      </c>
      <c r="P2702" s="16" t="n">
        <v>278.15</v>
      </c>
      <c r="Q2702" s="16" t="n">
        <v>3000</v>
      </c>
      <c r="R2702" s="16" t="n">
        <v>393.75</v>
      </c>
      <c r="S2702" s="16" t="n">
        <v>0.5</v>
      </c>
      <c r="T2702" s="16" t="n">
        <v>0.95</v>
      </c>
      <c r="U2702" s="16" t="n">
        <v>0.6950000000000001</v>
      </c>
      <c r="V2702" s="16" t="n">
        <v>0.85</v>
      </c>
      <c r="W2702" s="16" t="n">
        <v>0.915</v>
      </c>
      <c r="X2702" s="16" t="n">
        <v>0.8</v>
      </c>
      <c r="Y2702" s="16" t="n">
        <v>278.15</v>
      </c>
      <c r="Z2702" s="16" t="n">
        <v>15.0040385275127</v>
      </c>
      <c r="AA2702" s="16" t="n">
        <v>73.55564955140612</v>
      </c>
      <c r="AB2702" s="16" t="n">
        <v>2606.25</v>
      </c>
      <c r="AC2702" s="16" t="n">
        <v>7.619047619047619</v>
      </c>
      <c r="AD2702" s="16" t="n"/>
      <c r="AE2702" s="16" t="n"/>
    </row>
    <row r="2703">
      <c r="A2703" s="16" t="inlineStr">
        <is>
          <t>KF-M07-A2-0099</t>
        </is>
      </c>
      <c r="B2703" s="16" t="inlineStr">
        <is>
          <t>5.1</t>
        </is>
      </c>
      <c r="C2703" s="16" t="inlineStr">
        <is>
          <t>5.1b</t>
        </is>
      </c>
      <c r="D2703" s="16" t="inlineStr">
        <is>
          <t>libre, desde el mejor de 2.4</t>
        </is>
      </c>
      <c r="E2703" s="16" t="inlineStr">
        <is>
          <t>KF-M07</t>
        </is>
      </c>
      <c r="F2703" s="16" t="inlineStr">
        <is>
          <t>KF-M07-A2</t>
        </is>
      </c>
      <c r="G2703" s="16" t="inlineStr">
        <is>
          <t>B11-A2</t>
        </is>
      </c>
      <c r="H2703" s="16" t="inlineStr">
        <is>
          <t>busqueda</t>
        </is>
      </c>
      <c r="I2703" s="16" t="inlineStr">
        <is>
          <t>KALINA</t>
        </is>
      </c>
      <c r="J2703" s="16" t="inlineStr">
        <is>
          <t>KALINA</t>
        </is>
      </c>
      <c r="K2703" s="16" t="b">
        <v>1</v>
      </c>
      <c r="L2703" s="16" t="b">
        <v>1</v>
      </c>
      <c r="M2703" s="16" t="b">
        <v>0</v>
      </c>
      <c r="N2703" s="16" t="b">
        <v>0</v>
      </c>
      <c r="O2703" s="16" t="n">
        <v>420</v>
      </c>
      <c r="P2703" s="16" t="n">
        <v>278.15</v>
      </c>
      <c r="Q2703" s="16" t="n">
        <v>3000</v>
      </c>
      <c r="R2703" s="16" t="n">
        <v>393.75</v>
      </c>
      <c r="S2703" s="16" t="n">
        <v>0.5</v>
      </c>
      <c r="T2703" s="16" t="n">
        <v>0.95</v>
      </c>
      <c r="U2703" s="16" t="n">
        <v>0.75</v>
      </c>
      <c r="V2703" s="16" t="n">
        <v>0.905</v>
      </c>
      <c r="W2703" s="16" t="n">
        <v>0.915</v>
      </c>
      <c r="X2703" s="16" t="n">
        <v>0.8</v>
      </c>
      <c r="Y2703" s="16" t="n">
        <v>278.15</v>
      </c>
      <c r="Z2703" s="16" t="n">
        <v>15.21737375807237</v>
      </c>
      <c r="AA2703" s="16" t="n">
        <v>79.37711927688585</v>
      </c>
      <c r="AB2703" s="16" t="n">
        <v>2606.25</v>
      </c>
      <c r="AC2703" s="16" t="n">
        <v>7.619047619047619</v>
      </c>
      <c r="AD2703" s="16" t="n"/>
      <c r="AE2703" s="16" t="n"/>
    </row>
    <row r="2704">
      <c r="A2704" s="16" t="inlineStr">
        <is>
          <t>KF-M07-A2-0100</t>
        </is>
      </c>
      <c r="B2704" s="16" t="inlineStr">
        <is>
          <t>5.1</t>
        </is>
      </c>
      <c r="C2704" s="16" t="inlineStr">
        <is>
          <t>5.1b</t>
        </is>
      </c>
      <c r="D2704" s="16" t="inlineStr">
        <is>
          <t>libre, desde el mejor de 2.4</t>
        </is>
      </c>
      <c r="E2704" s="16" t="inlineStr">
        <is>
          <t>KF-M07</t>
        </is>
      </c>
      <c r="F2704" s="16" t="inlineStr">
        <is>
          <t>KF-M07-A2</t>
        </is>
      </c>
      <c r="G2704" s="16" t="inlineStr">
        <is>
          <t>B11-A2</t>
        </is>
      </c>
      <c r="H2704" s="16" t="inlineStr">
        <is>
          <t>busqueda</t>
        </is>
      </c>
      <c r="I2704" s="16" t="inlineStr">
        <is>
          <t>KALINA</t>
        </is>
      </c>
      <c r="J2704" s="16" t="inlineStr">
        <is>
          <t>KALINA</t>
        </is>
      </c>
      <c r="K2704" s="16" t="b">
        <v>1</v>
      </c>
      <c r="L2704" s="16" t="b">
        <v>1</v>
      </c>
      <c r="M2704" s="16" t="b">
        <v>0</v>
      </c>
      <c r="N2704" s="16" t="b">
        <v>0</v>
      </c>
      <c r="O2704" s="16" t="n">
        <v>420</v>
      </c>
      <c r="P2704" s="16" t="n">
        <v>278.15</v>
      </c>
      <c r="Q2704" s="16" t="n">
        <v>3000</v>
      </c>
      <c r="R2704" s="16" t="n">
        <v>393.75</v>
      </c>
      <c r="S2704" s="16" t="n">
        <v>0.5</v>
      </c>
      <c r="T2704" s="16" t="n">
        <v>0.95</v>
      </c>
      <c r="U2704" s="16" t="n">
        <v>0.75</v>
      </c>
      <c r="V2704" s="16" t="n">
        <v>0.795</v>
      </c>
      <c r="W2704" s="16" t="n">
        <v>0.915</v>
      </c>
      <c r="X2704" s="16" t="n">
        <v>0.8</v>
      </c>
      <c r="Y2704" s="16" t="n">
        <v>278.15</v>
      </c>
      <c r="Z2704" s="16" t="n">
        <v>14.89561708401034</v>
      </c>
      <c r="AA2704" s="16" t="n">
        <v>68.38162936245652</v>
      </c>
      <c r="AB2704" s="16" t="n">
        <v>2606.25</v>
      </c>
      <c r="AC2704" s="16" t="n">
        <v>7.619047619047619</v>
      </c>
      <c r="AD2704" s="16" t="n"/>
      <c r="AE2704" s="16" t="n"/>
    </row>
    <row r="2705">
      <c r="A2705" s="16" t="inlineStr">
        <is>
          <t>KF-M07-A2-0101</t>
        </is>
      </c>
      <c r="B2705" s="16" t="inlineStr">
        <is>
          <t>5.1</t>
        </is>
      </c>
      <c r="C2705" s="16" t="inlineStr">
        <is>
          <t>5.1b</t>
        </is>
      </c>
      <c r="D2705" s="16" t="inlineStr">
        <is>
          <t>libre, desde el mejor de 2.4</t>
        </is>
      </c>
      <c r="E2705" s="16" t="inlineStr">
        <is>
          <t>KF-M07</t>
        </is>
      </c>
      <c r="F2705" s="16" t="inlineStr">
        <is>
          <t>KF-M07-A2</t>
        </is>
      </c>
      <c r="G2705" s="16" t="inlineStr">
        <is>
          <t>B11-A2</t>
        </is>
      </c>
      <c r="H2705" s="16" t="inlineStr">
        <is>
          <t>busqueda</t>
        </is>
      </c>
      <c r="I2705" s="16" t="inlineStr">
        <is>
          <t>KALINA</t>
        </is>
      </c>
      <c r="J2705" s="16" t="inlineStr">
        <is>
          <t>KALINA</t>
        </is>
      </c>
      <c r="K2705" s="16" t="b">
        <v>1</v>
      </c>
      <c r="L2705" s="16" t="b">
        <v>1</v>
      </c>
      <c r="M2705" s="16" t="b">
        <v>0</v>
      </c>
      <c r="N2705" s="16" t="b">
        <v>0</v>
      </c>
      <c r="O2705" s="16" t="n">
        <v>420</v>
      </c>
      <c r="P2705" s="16" t="n">
        <v>278.15</v>
      </c>
      <c r="Q2705" s="16" t="n">
        <v>3000</v>
      </c>
      <c r="R2705" s="16" t="n">
        <v>393.75</v>
      </c>
      <c r="S2705" s="16" t="n">
        <v>0.5</v>
      </c>
      <c r="T2705" s="16" t="n">
        <v>0.95</v>
      </c>
      <c r="U2705" s="16" t="n">
        <v>0.75</v>
      </c>
      <c r="V2705" s="16" t="n">
        <v>0.85</v>
      </c>
      <c r="W2705" s="16" t="n">
        <v>0.95</v>
      </c>
      <c r="X2705" s="16" t="n">
        <v>0.8</v>
      </c>
      <c r="Y2705" s="16" t="n">
        <v>278.15</v>
      </c>
      <c r="Z2705" s="16" t="n">
        <v>15.48239750048667</v>
      </c>
      <c r="AA2705" s="16" t="n">
        <v>74.2243204819607</v>
      </c>
      <c r="AB2705" s="16" t="n">
        <v>2606.25</v>
      </c>
      <c r="AC2705" s="16" t="n">
        <v>7.619047619047619</v>
      </c>
      <c r="AD2705" s="16" t="n"/>
      <c r="AE2705" s="16" t="n"/>
    </row>
    <row r="2706">
      <c r="A2706" s="16" t="inlineStr">
        <is>
          <t>KF-M07-A2-0102</t>
        </is>
      </c>
      <c r="B2706" s="16" t="inlineStr">
        <is>
          <t>5.1</t>
        </is>
      </c>
      <c r="C2706" s="16" t="inlineStr">
        <is>
          <t>5.1b</t>
        </is>
      </c>
      <c r="D2706" s="16" t="inlineStr">
        <is>
          <t>libre, desde el mejor de 2.4</t>
        </is>
      </c>
      <c r="E2706" s="16" t="inlineStr">
        <is>
          <t>KF-M07</t>
        </is>
      </c>
      <c r="F2706" s="16" t="inlineStr">
        <is>
          <t>KF-M07-A2</t>
        </is>
      </c>
      <c r="G2706" s="16" t="inlineStr">
        <is>
          <t>B11-A2</t>
        </is>
      </c>
      <c r="H2706" s="16" t="inlineStr">
        <is>
          <t>busqueda</t>
        </is>
      </c>
      <c r="I2706" s="16" t="inlineStr">
        <is>
          <t>KALINA</t>
        </is>
      </c>
      <c r="J2706" s="16" t="inlineStr">
        <is>
          <t>KALINA</t>
        </is>
      </c>
      <c r="K2706" s="16" t="b">
        <v>1</v>
      </c>
      <c r="L2706" s="16" t="b">
        <v>1</v>
      </c>
      <c r="M2706" s="16" t="b">
        <v>0</v>
      </c>
      <c r="N2706" s="16" t="b">
        <v>0</v>
      </c>
      <c r="O2706" s="16" t="n">
        <v>420</v>
      </c>
      <c r="P2706" s="16" t="n">
        <v>278.15</v>
      </c>
      <c r="Q2706" s="16" t="n">
        <v>3000</v>
      </c>
      <c r="R2706" s="16" t="n">
        <v>393.75</v>
      </c>
      <c r="S2706" s="16" t="n">
        <v>0.5</v>
      </c>
      <c r="T2706" s="16" t="n">
        <v>0.95</v>
      </c>
      <c r="U2706" s="16" t="n">
        <v>0.75</v>
      </c>
      <c r="V2706" s="16" t="n">
        <v>0.85</v>
      </c>
      <c r="W2706" s="16" t="n">
        <v>0.8599999999999999</v>
      </c>
      <c r="X2706" s="16" t="n">
        <v>0.8</v>
      </c>
      <c r="Y2706" s="16" t="n">
        <v>278.15</v>
      </c>
      <c r="Z2706" s="16" t="n">
        <v>14.46019148298592</v>
      </c>
      <c r="AA2706" s="16" t="n">
        <v>73.36362954249785</v>
      </c>
      <c r="AB2706" s="16" t="n">
        <v>2606.25</v>
      </c>
      <c r="AC2706" s="16" t="n">
        <v>7.619047619047619</v>
      </c>
      <c r="AD2706" s="16" t="n"/>
      <c r="AE2706" s="16" t="n"/>
    </row>
    <row r="2707">
      <c r="A2707" s="16" t="inlineStr">
        <is>
          <t>KF-M07-A2-0103</t>
        </is>
      </c>
      <c r="B2707" s="16" t="inlineStr">
        <is>
          <t>5.1</t>
        </is>
      </c>
      <c r="C2707" s="16" t="inlineStr">
        <is>
          <t>5.1b</t>
        </is>
      </c>
      <c r="D2707" s="16" t="inlineStr">
        <is>
          <t>libre, desde el mejor de 2.4</t>
        </is>
      </c>
      <c r="E2707" s="16" t="inlineStr">
        <is>
          <t>KF-M07</t>
        </is>
      </c>
      <c r="F2707" s="16" t="inlineStr">
        <is>
          <t>KF-M07-A2</t>
        </is>
      </c>
      <c r="G2707" s="16" t="inlineStr">
        <is>
          <t>B11-A2</t>
        </is>
      </c>
      <c r="H2707" s="16" t="inlineStr">
        <is>
          <t>busqueda</t>
        </is>
      </c>
      <c r="I2707" s="16" t="inlineStr">
        <is>
          <t>KALINA</t>
        </is>
      </c>
      <c r="J2707" s="16" t="inlineStr">
        <is>
          <t>KALINA</t>
        </is>
      </c>
      <c r="K2707" s="16" t="b">
        <v>1</v>
      </c>
      <c r="L2707" s="16" t="b">
        <v>1</v>
      </c>
      <c r="M2707" s="16" t="b">
        <v>0</v>
      </c>
      <c r="N2707" s="16" t="b">
        <v>0</v>
      </c>
      <c r="O2707" s="16" t="n">
        <v>420</v>
      </c>
      <c r="P2707" s="16" t="n">
        <v>278.15</v>
      </c>
      <c r="Q2707" s="16" t="n">
        <v>3000</v>
      </c>
      <c r="R2707" s="16" t="n">
        <v>393.75</v>
      </c>
      <c r="S2707" s="16" t="n">
        <v>0.5</v>
      </c>
      <c r="T2707" s="16" t="n">
        <v>0.95</v>
      </c>
      <c r="U2707" s="16" t="n">
        <v>0.75</v>
      </c>
      <c r="V2707" s="16" t="n">
        <v>0.85</v>
      </c>
      <c r="W2707" s="16" t="n">
        <v>0.915</v>
      </c>
      <c r="X2707" s="16" t="n">
        <v>0.855</v>
      </c>
      <c r="Y2707" s="16" t="n">
        <v>278.15</v>
      </c>
      <c r="Z2707" s="16" t="n">
        <v>14.73717504685678</v>
      </c>
      <c r="AA2707" s="16" t="n">
        <v>73.63608829645634</v>
      </c>
      <c r="AB2707" s="16" t="n">
        <v>2606.25</v>
      </c>
      <c r="AC2707" s="16" t="n">
        <v>7.619047619047619</v>
      </c>
      <c r="AD2707" s="16" t="n"/>
      <c r="AE2707" s="16" t="n"/>
    </row>
    <row r="2708">
      <c r="A2708" s="16" t="inlineStr">
        <is>
          <t>KF-M07-A2-0104</t>
        </is>
      </c>
      <c r="B2708" s="16" t="inlineStr">
        <is>
          <t>5.1</t>
        </is>
      </c>
      <c r="C2708" s="16" t="inlineStr">
        <is>
          <t>5.1b</t>
        </is>
      </c>
      <c r="D2708" s="16" t="inlineStr">
        <is>
          <t>libre, desde el mejor de 2.4</t>
        </is>
      </c>
      <c r="E2708" s="16" t="inlineStr">
        <is>
          <t>KF-M07</t>
        </is>
      </c>
      <c r="F2708" s="16" t="inlineStr">
        <is>
          <t>KF-M07-A2</t>
        </is>
      </c>
      <c r="G2708" s="16" t="inlineStr">
        <is>
          <t>B11-A2</t>
        </is>
      </c>
      <c r="H2708" s="16" t="inlineStr">
        <is>
          <t>busqueda</t>
        </is>
      </c>
      <c r="I2708" s="16" t="inlineStr">
        <is>
          <t>CORREGIBLE</t>
        </is>
      </c>
      <c r="J2708" s="16" t="inlineStr">
        <is>
          <t>CORREGIBLE</t>
        </is>
      </c>
      <c r="K2708" s="16" t="b">
        <v>1</v>
      </c>
      <c r="L2708" s="16" t="b">
        <v>0</v>
      </c>
      <c r="M2708" s="16" t="b">
        <v>0</v>
      </c>
      <c r="N2708" s="16" t="b">
        <v>0</v>
      </c>
      <c r="O2708" s="16" t="n">
        <v>420</v>
      </c>
      <c r="P2708" s="16" t="n">
        <v>278.15</v>
      </c>
      <c r="Q2708" s="16" t="n">
        <v>3000</v>
      </c>
      <c r="R2708" s="16" t="n">
        <v>393.75</v>
      </c>
      <c r="S2708" s="16" t="n">
        <v>0.5</v>
      </c>
      <c r="T2708" s="16" t="n">
        <v>0.95</v>
      </c>
      <c r="U2708" s="16" t="n">
        <v>0.75</v>
      </c>
      <c r="V2708" s="16" t="n">
        <v>0.85</v>
      </c>
      <c r="W2708" s="16" t="n">
        <v>0.915</v>
      </c>
      <c r="X2708" s="16" t="n">
        <v>0.7450000000000001</v>
      </c>
      <c r="Y2708" s="16" t="n">
        <v>278.15</v>
      </c>
      <c r="Z2708" s="16" t="n">
        <v>15.41518263849304</v>
      </c>
      <c r="AA2708" s="16" t="n">
        <v>74.00959370633322</v>
      </c>
      <c r="AB2708" s="16" t="n">
        <v>2606.25</v>
      </c>
      <c r="AC2708" s="16" t="n">
        <v>7.619047619047619</v>
      </c>
      <c r="AD2708" s="16" t="inlineStr">
        <is>
          <t>O2</t>
        </is>
      </c>
      <c r="AE2708" s="16" t="n"/>
    </row>
    <row r="2709">
      <c r="A2709" s="16" t="inlineStr">
        <is>
          <t>KF-M07-A3-0000</t>
        </is>
      </c>
      <c r="B2709" s="16" t="inlineStr">
        <is>
          <t>5.1</t>
        </is>
      </c>
      <c r="C2709" s="16" t="inlineStr">
        <is>
          <t>5.1c</t>
        </is>
      </c>
      <c r="D2709" s="16" t="inlineStr">
        <is>
          <t>conserva sus temperaturas</t>
        </is>
      </c>
      <c r="E2709" s="16" t="inlineStr">
        <is>
          <t>KF-M07</t>
        </is>
      </c>
      <c r="F2709" s="16" t="inlineStr">
        <is>
          <t>KF-M07-A3</t>
        </is>
      </c>
      <c r="G2709" s="16" t="inlineStr">
        <is>
          <t>B11-A3</t>
        </is>
      </c>
      <c r="H2709" s="16" t="inlineStr">
        <is>
          <t>busqueda</t>
        </is>
      </c>
      <c r="I2709" s="16" t="inlineStr">
        <is>
          <t>KALINA</t>
        </is>
      </c>
      <c r="J2709" s="16" t="inlineStr">
        <is>
          <t>KALINA</t>
        </is>
      </c>
      <c r="K2709" s="16" t="b">
        <v>1</v>
      </c>
      <c r="L2709" s="16" t="b">
        <v>1</v>
      </c>
      <c r="M2709" s="16" t="b">
        <v>0</v>
      </c>
      <c r="N2709" s="16" t="b">
        <v>0</v>
      </c>
      <c r="O2709" s="16" t="n">
        <v>623.15</v>
      </c>
      <c r="P2709" s="16" t="n">
        <v>300.032917</v>
      </c>
      <c r="Q2709" s="16" t="n">
        <v>3905.950043184831</v>
      </c>
      <c r="R2709" s="16" t="n">
        <v>1359.556702008076</v>
      </c>
      <c r="S2709" s="16" t="n">
        <v>0.8294780327808849</v>
      </c>
      <c r="T2709" s="16" t="n">
        <v>0.8360559074586479</v>
      </c>
      <c r="U2709" s="16" t="n">
        <v>0.8375342727183488</v>
      </c>
      <c r="V2709" s="16" t="n">
        <v>0.4963658855761367</v>
      </c>
      <c r="W2709" s="16" t="n">
        <v>0.9166775946077288</v>
      </c>
      <c r="X2709" s="16" t="n">
        <v>0.9457881775355844</v>
      </c>
      <c r="Y2709" s="16" t="n">
        <v>300.032917</v>
      </c>
      <c r="Z2709" s="16" t="n">
        <v>9.28909448226735</v>
      </c>
      <c r="AA2709" s="16" t="n">
        <v>96.71083465503172</v>
      </c>
      <c r="AB2709" s="16" t="n">
        <v>2546.393341176755</v>
      </c>
      <c r="AC2709" s="16" t="n">
        <v>2.872958544072278</v>
      </c>
      <c r="AD2709" s="16" t="n"/>
      <c r="AE2709" s="16" t="n"/>
    </row>
    <row r="2710">
      <c r="A2710" s="16" t="inlineStr">
        <is>
          <t>KF-M07-A3-0001</t>
        </is>
      </c>
      <c r="B2710" s="16" t="inlineStr">
        <is>
          <t>5.1</t>
        </is>
      </c>
      <c r="C2710" s="16" t="inlineStr">
        <is>
          <t>5.1c</t>
        </is>
      </c>
      <c r="D2710" s="16" t="inlineStr">
        <is>
          <t>conserva sus temperaturas</t>
        </is>
      </c>
      <c r="E2710" s="16" t="inlineStr">
        <is>
          <t>KF-M07</t>
        </is>
      </c>
      <c r="F2710" s="16" t="inlineStr">
        <is>
          <t>KF-M07-A3</t>
        </is>
      </c>
      <c r="G2710" s="16" t="inlineStr">
        <is>
          <t>B11-A3</t>
        </is>
      </c>
      <c r="H2710" s="16" t="inlineStr">
        <is>
          <t>busqueda</t>
        </is>
      </c>
      <c r="I2710" s="16" t="inlineStr">
        <is>
          <t>KALINA</t>
        </is>
      </c>
      <c r="J2710" s="16" t="inlineStr">
        <is>
          <t>KALINA</t>
        </is>
      </c>
      <c r="K2710" s="16" t="b">
        <v>1</v>
      </c>
      <c r="L2710" s="16" t="b">
        <v>1</v>
      </c>
      <c r="M2710" s="16" t="b">
        <v>0</v>
      </c>
      <c r="N2710" s="16" t="b">
        <v>0</v>
      </c>
      <c r="O2710" s="16" t="n">
        <v>623.15</v>
      </c>
      <c r="P2710" s="16" t="n">
        <v>300.032917</v>
      </c>
      <c r="Q2710" s="16" t="n">
        <v>4205.950043184831</v>
      </c>
      <c r="R2710" s="16" t="n">
        <v>1359.556702008076</v>
      </c>
      <c r="S2710" s="16" t="n">
        <v>0.8294780327808849</v>
      </c>
      <c r="T2710" s="16" t="n">
        <v>0.8360559074586479</v>
      </c>
      <c r="U2710" s="16" t="n">
        <v>0.8375342727183488</v>
      </c>
      <c r="V2710" s="16" t="n">
        <v>0.4963658855761367</v>
      </c>
      <c r="W2710" s="16" t="n">
        <v>0.9166775946077288</v>
      </c>
      <c r="X2710" s="16" t="n">
        <v>0.9457881775355844</v>
      </c>
      <c r="Y2710" s="16" t="n">
        <v>300.032917</v>
      </c>
      <c r="Z2710" s="16" t="n">
        <v>9.85588262454424</v>
      </c>
      <c r="AA2710" s="16" t="n">
        <v>102.1957086760585</v>
      </c>
      <c r="AB2710" s="16" t="n">
        <v>2846.393341176755</v>
      </c>
      <c r="AC2710" s="16" t="n">
        <v>3.093618704517883</v>
      </c>
      <c r="AD2710" s="16" t="n"/>
      <c r="AE2710" s="16" t="n"/>
    </row>
    <row r="2711">
      <c r="A2711" s="16" t="inlineStr">
        <is>
          <t>KF-M07-A3-0002</t>
        </is>
      </c>
      <c r="B2711" s="16" t="inlineStr">
        <is>
          <t>5.1</t>
        </is>
      </c>
      <c r="C2711" s="16" t="inlineStr">
        <is>
          <t>5.1c</t>
        </is>
      </c>
      <c r="D2711" s="16" t="inlineStr">
        <is>
          <t>conserva sus temperaturas</t>
        </is>
      </c>
      <c r="E2711" s="16" t="inlineStr">
        <is>
          <t>KF-M07</t>
        </is>
      </c>
      <c r="F2711" s="16" t="inlineStr">
        <is>
          <t>KF-M07-A3</t>
        </is>
      </c>
      <c r="G2711" s="16" t="inlineStr">
        <is>
          <t>B11-A3</t>
        </is>
      </c>
      <c r="H2711" s="16" t="inlineStr">
        <is>
          <t>busqueda</t>
        </is>
      </c>
      <c r="I2711" s="16" t="inlineStr">
        <is>
          <t>KALINA</t>
        </is>
      </c>
      <c r="J2711" s="16" t="inlineStr">
        <is>
          <t>KALINA</t>
        </is>
      </c>
      <c r="K2711" s="16" t="b">
        <v>1</v>
      </c>
      <c r="L2711" s="16" t="b">
        <v>1</v>
      </c>
      <c r="M2711" s="16" t="b">
        <v>0</v>
      </c>
      <c r="N2711" s="16" t="b">
        <v>0</v>
      </c>
      <c r="O2711" s="16" t="n">
        <v>623.15</v>
      </c>
      <c r="P2711" s="16" t="n">
        <v>300.032917</v>
      </c>
      <c r="Q2711" s="16" t="n">
        <v>3605.950043184831</v>
      </c>
      <c r="R2711" s="16" t="n">
        <v>1359.556702008076</v>
      </c>
      <c r="S2711" s="16" t="n">
        <v>0.8294780327808849</v>
      </c>
      <c r="T2711" s="16" t="n">
        <v>0.8360559074586479</v>
      </c>
      <c r="U2711" s="16" t="n">
        <v>0.8375342727183488</v>
      </c>
      <c r="V2711" s="16" t="n">
        <v>0.4963658855761367</v>
      </c>
      <c r="W2711" s="16" t="n">
        <v>0.9166775946077288</v>
      </c>
      <c r="X2711" s="16" t="n">
        <v>0.9457881775355844</v>
      </c>
      <c r="Y2711" s="16" t="n">
        <v>300.032917</v>
      </c>
      <c r="Z2711" s="16" t="n">
        <v>8.66201721741896</v>
      </c>
      <c r="AA2711" s="16" t="n">
        <v>90.55205192047404</v>
      </c>
      <c r="AB2711" s="16" t="n">
        <v>2246.393341176755</v>
      </c>
      <c r="AC2711" s="16" t="n">
        <v>2.652298383626673</v>
      </c>
      <c r="AD2711" s="16" t="n"/>
      <c r="AE2711" s="16" t="n"/>
    </row>
    <row r="2712">
      <c r="A2712" s="16" t="inlineStr">
        <is>
          <t>KF-M07-A3-0003</t>
        </is>
      </c>
      <c r="B2712" s="16" t="inlineStr">
        <is>
          <t>5.1</t>
        </is>
      </c>
      <c r="C2712" s="16" t="inlineStr">
        <is>
          <t>5.1c</t>
        </is>
      </c>
      <c r="D2712" s="16" t="inlineStr">
        <is>
          <t>conserva sus temperaturas</t>
        </is>
      </c>
      <c r="E2712" s="16" t="inlineStr">
        <is>
          <t>KF-M07</t>
        </is>
      </c>
      <c r="F2712" s="16" t="inlineStr">
        <is>
          <t>KF-M07-A3</t>
        </is>
      </c>
      <c r="G2712" s="16" t="inlineStr">
        <is>
          <t>B11-A3</t>
        </is>
      </c>
      <c r="H2712" s="16" t="inlineStr">
        <is>
          <t>busqueda</t>
        </is>
      </c>
      <c r="I2712" s="16" t="inlineStr">
        <is>
          <t>KALINA</t>
        </is>
      </c>
      <c r="J2712" s="16" t="inlineStr">
        <is>
          <t>KALINA</t>
        </is>
      </c>
      <c r="K2712" s="16" t="b">
        <v>1</v>
      </c>
      <c r="L2712" s="16" t="b">
        <v>1</v>
      </c>
      <c r="M2712" s="16" t="b">
        <v>0</v>
      </c>
      <c r="N2712" s="16" t="b">
        <v>0</v>
      </c>
      <c r="O2712" s="16" t="n">
        <v>623.15</v>
      </c>
      <c r="P2712" s="16" t="n">
        <v>300.032917</v>
      </c>
      <c r="Q2712" s="16" t="n">
        <v>3905.950043184831</v>
      </c>
      <c r="R2712" s="16" t="n">
        <v>1579.556702008076</v>
      </c>
      <c r="S2712" s="16" t="n">
        <v>0.8294780327808849</v>
      </c>
      <c r="T2712" s="16" t="n">
        <v>0.8360559074586479</v>
      </c>
      <c r="U2712" s="16" t="n">
        <v>0.8375342727183488</v>
      </c>
      <c r="V2712" s="16" t="n">
        <v>0.4963658855761367</v>
      </c>
      <c r="W2712" s="16" t="n">
        <v>0.9166775946077288</v>
      </c>
      <c r="X2712" s="16" t="n">
        <v>0.9457881775355844</v>
      </c>
      <c r="Y2712" s="16" t="n">
        <v>300.032917</v>
      </c>
      <c r="Z2712" s="16" t="n">
        <v>8.01478224880967</v>
      </c>
      <c r="AA2712" s="16" t="n">
        <v>83.42952311695001</v>
      </c>
      <c r="AB2712" s="16" t="n">
        <v>2326.393341176755</v>
      </c>
      <c r="AC2712" s="16" t="n">
        <v>2.472814073859603</v>
      </c>
      <c r="AD2712" s="16" t="n"/>
      <c r="AE2712" s="16" t="n"/>
    </row>
    <row r="2713">
      <c r="A2713" s="16" t="inlineStr">
        <is>
          <t>KF-M07-A3-0004</t>
        </is>
      </c>
      <c r="B2713" s="16" t="inlineStr">
        <is>
          <t>5.1</t>
        </is>
      </c>
      <c r="C2713" s="16" t="inlineStr">
        <is>
          <t>5.1c</t>
        </is>
      </c>
      <c r="D2713" s="16" t="inlineStr">
        <is>
          <t>conserva sus temperaturas</t>
        </is>
      </c>
      <c r="E2713" s="16" t="inlineStr">
        <is>
          <t>KF-M07</t>
        </is>
      </c>
      <c r="F2713" s="16" t="inlineStr">
        <is>
          <t>KF-M07-A3</t>
        </is>
      </c>
      <c r="G2713" s="16" t="inlineStr">
        <is>
          <t>B11-A3</t>
        </is>
      </c>
      <c r="H2713" s="16" t="inlineStr">
        <is>
          <t>busqueda</t>
        </is>
      </c>
      <c r="I2713" s="16" t="inlineStr">
        <is>
          <t>CORREGIBLE</t>
        </is>
      </c>
      <c r="J2713" s="16" t="inlineStr">
        <is>
          <t>CORREGIBLE</t>
        </is>
      </c>
      <c r="K2713" s="16" t="b">
        <v>1</v>
      </c>
      <c r="L2713" s="16" t="b">
        <v>0</v>
      </c>
      <c r="M2713" s="16" t="b">
        <v>0</v>
      </c>
      <c r="N2713" s="16" t="b">
        <v>0</v>
      </c>
      <c r="O2713" s="16" t="n">
        <v>623.15</v>
      </c>
      <c r="P2713" s="16" t="n">
        <v>300.032917</v>
      </c>
      <c r="Q2713" s="16" t="n">
        <v>3905.950043184831</v>
      </c>
      <c r="R2713" s="16" t="n">
        <v>1139.556702008077</v>
      </c>
      <c r="S2713" s="16" t="n">
        <v>0.8294780327808849</v>
      </c>
      <c r="T2713" s="16" t="n">
        <v>0.8360559074586479</v>
      </c>
      <c r="U2713" s="16" t="n">
        <v>0.8375342727183488</v>
      </c>
      <c r="V2713" s="16" t="n">
        <v>0.4963658855761367</v>
      </c>
      <c r="W2713" s="16" t="n">
        <v>0.9166775946077288</v>
      </c>
      <c r="X2713" s="16" t="n">
        <v>0.9457881775355844</v>
      </c>
      <c r="Y2713" s="16" t="n">
        <v>300.032917</v>
      </c>
      <c r="Z2713" s="16" t="n">
        <v>10.75978855769891</v>
      </c>
      <c r="AA2713" s="16" t="n">
        <v>112.0444980055587</v>
      </c>
      <c r="AB2713" s="16" t="n">
        <v>2766.393341176754</v>
      </c>
      <c r="AC2713" s="16" t="n">
        <v>3.427604818875566</v>
      </c>
      <c r="AD2713" s="16" t="inlineStr">
        <is>
          <t>O2</t>
        </is>
      </c>
      <c r="AE2713" s="16" t="n"/>
    </row>
    <row r="2714">
      <c r="A2714" s="16" t="inlineStr">
        <is>
          <t>KF-M07-A3-0005</t>
        </is>
      </c>
      <c r="B2714" s="16" t="inlineStr">
        <is>
          <t>5.1</t>
        </is>
      </c>
      <c r="C2714" s="16" t="inlineStr">
        <is>
          <t>5.1c</t>
        </is>
      </c>
      <c r="D2714" s="16" t="inlineStr">
        <is>
          <t>conserva sus temperaturas</t>
        </is>
      </c>
      <c r="E2714" s="16" t="inlineStr">
        <is>
          <t>KF-M07</t>
        </is>
      </c>
      <c r="F2714" s="16" t="inlineStr">
        <is>
          <t>KF-M07-A3</t>
        </is>
      </c>
      <c r="G2714" s="16" t="inlineStr">
        <is>
          <t>B11-A3</t>
        </is>
      </c>
      <c r="H2714" s="16" t="inlineStr">
        <is>
          <t>busqueda</t>
        </is>
      </c>
      <c r="I2714" s="16" t="inlineStr">
        <is>
          <t>KALINA</t>
        </is>
      </c>
      <c r="J2714" s="16" t="inlineStr">
        <is>
          <t>KALINA</t>
        </is>
      </c>
      <c r="K2714" s="16" t="b">
        <v>1</v>
      </c>
      <c r="L2714" s="16" t="b">
        <v>1</v>
      </c>
      <c r="M2714" s="16" t="b">
        <v>0</v>
      </c>
      <c r="N2714" s="16" t="b">
        <v>0</v>
      </c>
      <c r="O2714" s="16" t="n">
        <v>623.15</v>
      </c>
      <c r="P2714" s="16" t="n">
        <v>300.032917</v>
      </c>
      <c r="Q2714" s="16" t="n">
        <v>3905.950043184831</v>
      </c>
      <c r="R2714" s="16" t="n">
        <v>1359.556702008076</v>
      </c>
      <c r="S2714" s="16" t="n">
        <v>0.85</v>
      </c>
      <c r="T2714" s="16" t="n">
        <v>0.8360559074586479</v>
      </c>
      <c r="U2714" s="16" t="n">
        <v>0.8375342727183488</v>
      </c>
      <c r="V2714" s="16" t="n">
        <v>0.4963658855761367</v>
      </c>
      <c r="W2714" s="16" t="n">
        <v>0.9166775946077288</v>
      </c>
      <c r="X2714" s="16" t="n">
        <v>0.9457881775355844</v>
      </c>
      <c r="Y2714" s="16" t="n">
        <v>300.032917</v>
      </c>
      <c r="Z2714" s="16" t="n">
        <v>9.35320884349996</v>
      </c>
      <c r="AA2714" s="16" t="n">
        <v>96.33472428672439</v>
      </c>
      <c r="AB2714" s="16" t="n">
        <v>2546.393341176755</v>
      </c>
      <c r="AC2714" s="16" t="n">
        <v>2.872958544072278</v>
      </c>
      <c r="AD2714" s="16" t="n"/>
      <c r="AE2714" s="16" t="n"/>
    </row>
    <row r="2715">
      <c r="A2715" s="16" t="inlineStr">
        <is>
          <t>KF-M07-A3-0006</t>
        </is>
      </c>
      <c r="B2715" s="16" t="inlineStr">
        <is>
          <t>5.1</t>
        </is>
      </c>
      <c r="C2715" s="16" t="inlineStr">
        <is>
          <t>5.1c</t>
        </is>
      </c>
      <c r="D2715" s="16" t="inlineStr">
        <is>
          <t>conserva sus temperaturas</t>
        </is>
      </c>
      <c r="E2715" s="16" t="inlineStr">
        <is>
          <t>KF-M07</t>
        </is>
      </c>
      <c r="F2715" s="16" t="inlineStr">
        <is>
          <t>KF-M07-A3</t>
        </is>
      </c>
      <c r="G2715" s="16" t="inlineStr">
        <is>
          <t>B11-A3</t>
        </is>
      </c>
      <c r="H2715" s="16" t="inlineStr">
        <is>
          <t>busqueda</t>
        </is>
      </c>
      <c r="I2715" s="16" t="inlineStr">
        <is>
          <t>KALINA</t>
        </is>
      </c>
      <c r="J2715" s="16" t="inlineStr">
        <is>
          <t>KALINA</t>
        </is>
      </c>
      <c r="K2715" s="16" t="b">
        <v>1</v>
      </c>
      <c r="L2715" s="16" t="b">
        <v>1</v>
      </c>
      <c r="M2715" s="16" t="b">
        <v>0</v>
      </c>
      <c r="N2715" s="16" t="b">
        <v>0</v>
      </c>
      <c r="O2715" s="16" t="n">
        <v>623.15</v>
      </c>
      <c r="P2715" s="16" t="n">
        <v>300.032917</v>
      </c>
      <c r="Q2715" s="16" t="n">
        <v>3905.950043184831</v>
      </c>
      <c r="R2715" s="16" t="n">
        <v>1359.556702008076</v>
      </c>
      <c r="S2715" s="16" t="n">
        <v>0.7944780327808849</v>
      </c>
      <c r="T2715" s="16" t="n">
        <v>0.8360559074586479</v>
      </c>
      <c r="U2715" s="16" t="n">
        <v>0.8375342727183488</v>
      </c>
      <c r="V2715" s="16" t="n">
        <v>0.4963658855761367</v>
      </c>
      <c r="W2715" s="16" t="n">
        <v>0.9166775946077288</v>
      </c>
      <c r="X2715" s="16" t="n">
        <v>0.9457881775355844</v>
      </c>
      <c r="Y2715" s="16" t="n">
        <v>300.032917</v>
      </c>
      <c r="Z2715" s="16" t="n">
        <v>9.12921030428179</v>
      </c>
      <c r="AA2715" s="16" t="n">
        <v>96.74247973939632</v>
      </c>
      <c r="AB2715" s="16" t="n">
        <v>2546.393341176755</v>
      </c>
      <c r="AC2715" s="16" t="n">
        <v>2.872958544072278</v>
      </c>
      <c r="AD2715" s="16" t="n"/>
      <c r="AE2715" s="16" t="n"/>
    </row>
    <row r="2716">
      <c r="A2716" s="16" t="inlineStr">
        <is>
          <t>KF-M07-A3-0007</t>
        </is>
      </c>
      <c r="B2716" s="16" t="inlineStr">
        <is>
          <t>5.1</t>
        </is>
      </c>
      <c r="C2716" s="16" t="inlineStr">
        <is>
          <t>5.1c</t>
        </is>
      </c>
      <c r="D2716" s="16" t="inlineStr">
        <is>
          <t>conserva sus temperaturas</t>
        </is>
      </c>
      <c r="E2716" s="16" t="inlineStr">
        <is>
          <t>KF-M07</t>
        </is>
      </c>
      <c r="F2716" s="16" t="inlineStr">
        <is>
          <t>KF-M07-A3</t>
        </is>
      </c>
      <c r="G2716" s="16" t="inlineStr">
        <is>
          <t>B11-A3</t>
        </is>
      </c>
      <c r="H2716" s="16" t="inlineStr">
        <is>
          <t>busqueda</t>
        </is>
      </c>
      <c r="I2716" s="16" t="inlineStr">
        <is>
          <t>KALINA</t>
        </is>
      </c>
      <c r="J2716" s="16" t="inlineStr">
        <is>
          <t>KALINA</t>
        </is>
      </c>
      <c r="K2716" s="16" t="b">
        <v>1</v>
      </c>
      <c r="L2716" s="16" t="b">
        <v>1</v>
      </c>
      <c r="M2716" s="16" t="b">
        <v>0</v>
      </c>
      <c r="N2716" s="16" t="b">
        <v>0</v>
      </c>
      <c r="O2716" s="16" t="n">
        <v>623.15</v>
      </c>
      <c r="P2716" s="16" t="n">
        <v>300.032917</v>
      </c>
      <c r="Q2716" s="16" t="n">
        <v>3905.950043184831</v>
      </c>
      <c r="R2716" s="16" t="n">
        <v>1359.556702008076</v>
      </c>
      <c r="S2716" s="16" t="n">
        <v>0.8294780327808849</v>
      </c>
      <c r="T2716" s="16" t="n">
        <v>0.8910559074586479</v>
      </c>
      <c r="U2716" s="16" t="n">
        <v>0.8375342727183488</v>
      </c>
      <c r="V2716" s="16" t="n">
        <v>0.4963658855761367</v>
      </c>
      <c r="W2716" s="16" t="n">
        <v>0.9166775946077288</v>
      </c>
      <c r="X2716" s="16" t="n">
        <v>0.9457881775355844</v>
      </c>
      <c r="Y2716" s="16" t="n">
        <v>300.032917</v>
      </c>
      <c r="Z2716" s="16" t="n">
        <v>9.92642054614293</v>
      </c>
      <c r="AA2716" s="16" t="n">
        <v>103.3595012593186</v>
      </c>
      <c r="AB2716" s="16" t="n">
        <v>2546.393341176755</v>
      </c>
      <c r="AC2716" s="16" t="n">
        <v>2.872958544072278</v>
      </c>
      <c r="AD2716" s="16" t="n"/>
      <c r="AE2716" s="16" t="n"/>
    </row>
    <row r="2717">
      <c r="A2717" s="16" t="inlineStr">
        <is>
          <t>KF-M07-A3-0008</t>
        </is>
      </c>
      <c r="B2717" s="16" t="inlineStr">
        <is>
          <t>5.1</t>
        </is>
      </c>
      <c r="C2717" s="16" t="inlineStr">
        <is>
          <t>5.1c</t>
        </is>
      </c>
      <c r="D2717" s="16" t="inlineStr">
        <is>
          <t>conserva sus temperaturas</t>
        </is>
      </c>
      <c r="E2717" s="16" t="inlineStr">
        <is>
          <t>KF-M07</t>
        </is>
      </c>
      <c r="F2717" s="16" t="inlineStr">
        <is>
          <t>KF-M07-A3</t>
        </is>
      </c>
      <c r="G2717" s="16" t="inlineStr">
        <is>
          <t>B11-A3</t>
        </is>
      </c>
      <c r="H2717" s="16" t="inlineStr">
        <is>
          <t>busqueda</t>
        </is>
      </c>
      <c r="I2717" s="16" t="inlineStr">
        <is>
          <t>KALINA</t>
        </is>
      </c>
      <c r="J2717" s="16" t="inlineStr">
        <is>
          <t>KALINA</t>
        </is>
      </c>
      <c r="K2717" s="16" t="b">
        <v>1</v>
      </c>
      <c r="L2717" s="16" t="b">
        <v>1</v>
      </c>
      <c r="M2717" s="16" t="b">
        <v>0</v>
      </c>
      <c r="N2717" s="16" t="b">
        <v>0</v>
      </c>
      <c r="O2717" s="16" t="n">
        <v>623.15</v>
      </c>
      <c r="P2717" s="16" t="n">
        <v>300.032917</v>
      </c>
      <c r="Q2717" s="16" t="n">
        <v>3905.950043184831</v>
      </c>
      <c r="R2717" s="16" t="n">
        <v>1359.556702008076</v>
      </c>
      <c r="S2717" s="16" t="n">
        <v>0.8294780327808849</v>
      </c>
      <c r="T2717" s="16" t="n">
        <v>0.7810559074586479</v>
      </c>
      <c r="U2717" s="16" t="n">
        <v>0.8375342727183488</v>
      </c>
      <c r="V2717" s="16" t="n">
        <v>0.4963658855761367</v>
      </c>
      <c r="W2717" s="16" t="n">
        <v>0.9166775946077288</v>
      </c>
      <c r="X2717" s="16" t="n">
        <v>0.9457881775355844</v>
      </c>
      <c r="Y2717" s="16" t="n">
        <v>300.032917</v>
      </c>
      <c r="Z2717" s="16" t="n">
        <v>8.65142431034147</v>
      </c>
      <c r="AA2717" s="16" t="n">
        <v>90.06029158746941</v>
      </c>
      <c r="AB2717" s="16" t="n">
        <v>2546.393341176755</v>
      </c>
      <c r="AC2717" s="16" t="n">
        <v>2.872958544072278</v>
      </c>
      <c r="AD2717" s="16" t="n"/>
      <c r="AE2717" s="16" t="n"/>
    </row>
    <row r="2718">
      <c r="A2718" s="16" t="inlineStr">
        <is>
          <t>KF-M07-A3-0009</t>
        </is>
      </c>
      <c r="B2718" s="16" t="inlineStr">
        <is>
          <t>5.1</t>
        </is>
      </c>
      <c r="C2718" s="16" t="inlineStr">
        <is>
          <t>5.1c</t>
        </is>
      </c>
      <c r="D2718" s="16" t="inlineStr">
        <is>
          <t>conserva sus temperaturas</t>
        </is>
      </c>
      <c r="E2718" s="16" t="inlineStr">
        <is>
          <t>KF-M07</t>
        </is>
      </c>
      <c r="F2718" s="16" t="inlineStr">
        <is>
          <t>KF-M07-A3</t>
        </is>
      </c>
      <c r="G2718" s="16" t="inlineStr">
        <is>
          <t>B11-A3</t>
        </is>
      </c>
      <c r="H2718" s="16" t="inlineStr">
        <is>
          <t>busqueda</t>
        </is>
      </c>
      <c r="I2718" s="16" t="inlineStr">
        <is>
          <t>KALINA</t>
        </is>
      </c>
      <c r="J2718" s="16" t="inlineStr">
        <is>
          <t>KALINA</t>
        </is>
      </c>
      <c r="K2718" s="16" t="b">
        <v>1</v>
      </c>
      <c r="L2718" s="16" t="b">
        <v>1</v>
      </c>
      <c r="M2718" s="16" t="b">
        <v>0</v>
      </c>
      <c r="N2718" s="16" t="b">
        <v>0</v>
      </c>
      <c r="O2718" s="16" t="n">
        <v>623.15</v>
      </c>
      <c r="P2718" s="16" t="n">
        <v>300.032917</v>
      </c>
      <c r="Q2718" s="16" t="n">
        <v>3905.950043184831</v>
      </c>
      <c r="R2718" s="16" t="n">
        <v>1359.556702008076</v>
      </c>
      <c r="S2718" s="16" t="n">
        <v>0.8294780327808849</v>
      </c>
      <c r="T2718" s="16" t="n">
        <v>0.8360559074586479</v>
      </c>
      <c r="U2718" s="16" t="n">
        <v>0.8925342727183487</v>
      </c>
      <c r="V2718" s="16" t="n">
        <v>0.4963658855761367</v>
      </c>
      <c r="W2718" s="16" t="n">
        <v>0.9166775946077288</v>
      </c>
      <c r="X2718" s="16" t="n">
        <v>0.9457881775355844</v>
      </c>
      <c r="Y2718" s="16" t="n">
        <v>300.032917</v>
      </c>
      <c r="Z2718" s="16" t="n">
        <v>9.31417650233403</v>
      </c>
      <c r="AA2718" s="16" t="n">
        <v>96.98171110115391</v>
      </c>
      <c r="AB2718" s="16" t="n">
        <v>2546.393341176755</v>
      </c>
      <c r="AC2718" s="16" t="n">
        <v>2.872958544072278</v>
      </c>
      <c r="AD2718" s="16" t="n"/>
      <c r="AE2718" s="16" t="n"/>
    </row>
    <row r="2719">
      <c r="A2719" s="16" t="inlineStr">
        <is>
          <t>KF-M07-A3-0010</t>
        </is>
      </c>
      <c r="B2719" s="16" t="inlineStr">
        <is>
          <t>5.1</t>
        </is>
      </c>
      <c r="C2719" s="16" t="inlineStr">
        <is>
          <t>5.1c</t>
        </is>
      </c>
      <c r="D2719" s="16" t="inlineStr">
        <is>
          <t>conserva sus temperaturas</t>
        </is>
      </c>
      <c r="E2719" s="16" t="inlineStr">
        <is>
          <t>KF-M07</t>
        </is>
      </c>
      <c r="F2719" s="16" t="inlineStr">
        <is>
          <t>KF-M07-A3</t>
        </is>
      </c>
      <c r="G2719" s="16" t="inlineStr">
        <is>
          <t>B11-A3</t>
        </is>
      </c>
      <c r="H2719" s="16" t="inlineStr">
        <is>
          <t>busqueda</t>
        </is>
      </c>
      <c r="I2719" s="16" t="inlineStr">
        <is>
          <t>KALINA</t>
        </is>
      </c>
      <c r="J2719" s="16" t="inlineStr">
        <is>
          <t>KALINA</t>
        </is>
      </c>
      <c r="K2719" s="16" t="b">
        <v>1</v>
      </c>
      <c r="L2719" s="16" t="b">
        <v>1</v>
      </c>
      <c r="M2719" s="16" t="b">
        <v>0</v>
      </c>
      <c r="N2719" s="16" t="b">
        <v>0</v>
      </c>
      <c r="O2719" s="16" t="n">
        <v>623.15</v>
      </c>
      <c r="P2719" s="16" t="n">
        <v>300.032917</v>
      </c>
      <c r="Q2719" s="16" t="n">
        <v>3905.950043184831</v>
      </c>
      <c r="R2719" s="16" t="n">
        <v>1359.556702008076</v>
      </c>
      <c r="S2719" s="16" t="n">
        <v>0.8294780327808849</v>
      </c>
      <c r="T2719" s="16" t="n">
        <v>0.8360559074586479</v>
      </c>
      <c r="U2719" s="16" t="n">
        <v>0.7825342727183489</v>
      </c>
      <c r="V2719" s="16" t="n">
        <v>0.4963658855761367</v>
      </c>
      <c r="W2719" s="16" t="n">
        <v>0.9166775946077288</v>
      </c>
      <c r="X2719" s="16" t="n">
        <v>0.9457881775355844</v>
      </c>
      <c r="Y2719" s="16" t="n">
        <v>300.032917</v>
      </c>
      <c r="Z2719" s="16" t="n">
        <v>9.26048055843258</v>
      </c>
      <c r="AA2719" s="16" t="n">
        <v>96.40187986788372</v>
      </c>
      <c r="AB2719" s="16" t="n">
        <v>2546.393341176755</v>
      </c>
      <c r="AC2719" s="16" t="n">
        <v>2.872958544072278</v>
      </c>
      <c r="AD2719" s="16" t="n"/>
      <c r="AE2719" s="16" t="n"/>
    </row>
    <row r="2720">
      <c r="A2720" s="16" t="inlineStr">
        <is>
          <t>KF-M07-A3-0011</t>
        </is>
      </c>
      <c r="B2720" s="16" t="inlineStr">
        <is>
          <t>5.1</t>
        </is>
      </c>
      <c r="C2720" s="16" t="inlineStr">
        <is>
          <t>5.1c</t>
        </is>
      </c>
      <c r="D2720" s="16" t="inlineStr">
        <is>
          <t>conserva sus temperaturas</t>
        </is>
      </c>
      <c r="E2720" s="16" t="inlineStr">
        <is>
          <t>KF-M07</t>
        </is>
      </c>
      <c r="F2720" s="16" t="inlineStr">
        <is>
          <t>KF-M07-A3</t>
        </is>
      </c>
      <c r="G2720" s="16" t="inlineStr">
        <is>
          <t>B11-A3</t>
        </is>
      </c>
      <c r="H2720" s="16" t="inlineStr">
        <is>
          <t>busqueda</t>
        </is>
      </c>
      <c r="I2720" s="16" t="inlineStr">
        <is>
          <t>NO_CONVERGIO</t>
        </is>
      </c>
      <c r="J2720" s="16" t="inlineStr">
        <is>
          <t>NO_CONVERGIO</t>
        </is>
      </c>
      <c r="K2720" s="16" t="b">
        <v>0</v>
      </c>
      <c r="L2720" s="16" t="b">
        <v>0</v>
      </c>
      <c r="M2720" s="16" t="b">
        <v>0</v>
      </c>
      <c r="N2720" s="16" t="b">
        <v>0</v>
      </c>
      <c r="O2720" s="16" t="n">
        <v>623.15</v>
      </c>
      <c r="P2720" s="16" t="n">
        <v>300.032917</v>
      </c>
      <c r="Q2720" s="16" t="n">
        <v>3905.950043184831</v>
      </c>
      <c r="R2720" s="16" t="n">
        <v>1359.556702008076</v>
      </c>
      <c r="S2720" s="16" t="n">
        <v>0.8294780327808849</v>
      </c>
      <c r="T2720" s="16" t="n">
        <v>0.8360559074586479</v>
      </c>
      <c r="U2720" s="16" t="n">
        <v>0.8375342727183488</v>
      </c>
      <c r="V2720" s="16" t="n">
        <v>0.5513658855761367</v>
      </c>
      <c r="W2720" s="16" t="n">
        <v>0.9166775946077288</v>
      </c>
      <c r="X2720" s="16" t="n">
        <v>0.9457881775355844</v>
      </c>
      <c r="Y2720" s="16" t="n">
        <v>300.032917</v>
      </c>
      <c r="Z2720" s="16" t="n"/>
      <c r="AA2720" s="16" t="n"/>
      <c r="AB2720" s="16" t="n">
        <v>2546.393341176755</v>
      </c>
      <c r="AC2720" s="16" t="n">
        <v>2.872958544072278</v>
      </c>
      <c r="AD2720" s="16" t="n"/>
      <c r="AE2720" s="16" t="n"/>
    </row>
    <row r="2721">
      <c r="A2721" s="16" t="inlineStr">
        <is>
          <t>KF-M07-A3-0012</t>
        </is>
      </c>
      <c r="B2721" s="16" t="inlineStr">
        <is>
          <t>5.1</t>
        </is>
      </c>
      <c r="C2721" s="16" t="inlineStr">
        <is>
          <t>5.1c</t>
        </is>
      </c>
      <c r="D2721" s="16" t="inlineStr">
        <is>
          <t>conserva sus temperaturas</t>
        </is>
      </c>
      <c r="E2721" s="16" t="inlineStr">
        <is>
          <t>KF-M07</t>
        </is>
      </c>
      <c r="F2721" s="16" t="inlineStr">
        <is>
          <t>KF-M07-A3</t>
        </is>
      </c>
      <c r="G2721" s="16" t="inlineStr">
        <is>
          <t>B11-A3</t>
        </is>
      </c>
      <c r="H2721" s="16" t="inlineStr">
        <is>
          <t>busqueda</t>
        </is>
      </c>
      <c r="I2721" s="16" t="inlineStr">
        <is>
          <t>KALINA</t>
        </is>
      </c>
      <c r="J2721" s="16" t="inlineStr">
        <is>
          <t>KALINA</t>
        </is>
      </c>
      <c r="K2721" s="16" t="b">
        <v>1</v>
      </c>
      <c r="L2721" s="16" t="b">
        <v>1</v>
      </c>
      <c r="M2721" s="16" t="b">
        <v>0</v>
      </c>
      <c r="N2721" s="16" t="b">
        <v>0</v>
      </c>
      <c r="O2721" s="16" t="n">
        <v>623.15</v>
      </c>
      <c r="P2721" s="16" t="n">
        <v>300.032917</v>
      </c>
      <c r="Q2721" s="16" t="n">
        <v>3905.950043184831</v>
      </c>
      <c r="R2721" s="16" t="n">
        <v>1359.556702008076</v>
      </c>
      <c r="S2721" s="16" t="n">
        <v>0.8294780327808849</v>
      </c>
      <c r="T2721" s="16" t="n">
        <v>0.8360559074586479</v>
      </c>
      <c r="U2721" s="16" t="n">
        <v>0.8375342727183488</v>
      </c>
      <c r="V2721" s="16" t="n">
        <v>0.4413658855761367</v>
      </c>
      <c r="W2721" s="16" t="n">
        <v>0.9166775946077288</v>
      </c>
      <c r="X2721" s="16" t="n">
        <v>0.9457881775355844</v>
      </c>
      <c r="Y2721" s="16" t="n">
        <v>300.032917</v>
      </c>
      <c r="Z2721" s="16" t="n">
        <v>9.183640308803071</v>
      </c>
      <c r="AA2721" s="16" t="n">
        <v>84.75672654259922</v>
      </c>
      <c r="AB2721" s="16" t="n">
        <v>2546.393341176755</v>
      </c>
      <c r="AC2721" s="16" t="n">
        <v>2.872958544072278</v>
      </c>
      <c r="AD2721" s="16" t="n"/>
      <c r="AE2721" s="16" t="n"/>
    </row>
    <row r="2722">
      <c r="A2722" s="16" t="inlineStr">
        <is>
          <t>KF-M07-A3-0013</t>
        </is>
      </c>
      <c r="B2722" s="16" t="inlineStr">
        <is>
          <t>5.1</t>
        </is>
      </c>
      <c r="C2722" s="16" t="inlineStr">
        <is>
          <t>5.1c</t>
        </is>
      </c>
      <c r="D2722" s="16" t="inlineStr">
        <is>
          <t>conserva sus temperaturas</t>
        </is>
      </c>
      <c r="E2722" s="16" t="inlineStr">
        <is>
          <t>KF-M07</t>
        </is>
      </c>
      <c r="F2722" s="16" t="inlineStr">
        <is>
          <t>KF-M07-A3</t>
        </is>
      </c>
      <c r="G2722" s="16" t="inlineStr">
        <is>
          <t>B11-A3</t>
        </is>
      </c>
      <c r="H2722" s="16" t="inlineStr">
        <is>
          <t>busqueda</t>
        </is>
      </c>
      <c r="I2722" s="16" t="inlineStr">
        <is>
          <t>KALINA</t>
        </is>
      </c>
      <c r="J2722" s="16" t="inlineStr">
        <is>
          <t>KALINA</t>
        </is>
      </c>
      <c r="K2722" s="16" t="b">
        <v>1</v>
      </c>
      <c r="L2722" s="16" t="b">
        <v>1</v>
      </c>
      <c r="M2722" s="16" t="b">
        <v>0</v>
      </c>
      <c r="N2722" s="16" t="b">
        <v>0</v>
      </c>
      <c r="O2722" s="16" t="n">
        <v>623.15</v>
      </c>
      <c r="P2722" s="16" t="n">
        <v>300.032917</v>
      </c>
      <c r="Q2722" s="16" t="n">
        <v>3905.950043184831</v>
      </c>
      <c r="R2722" s="16" t="n">
        <v>1359.556702008076</v>
      </c>
      <c r="S2722" s="16" t="n">
        <v>0.8294780327808849</v>
      </c>
      <c r="T2722" s="16" t="n">
        <v>0.8360559074586479</v>
      </c>
      <c r="U2722" s="16" t="n">
        <v>0.8375342727183488</v>
      </c>
      <c r="V2722" s="16" t="n">
        <v>0.4963658855761367</v>
      </c>
      <c r="W2722" s="16" t="n">
        <v>0.95</v>
      </c>
      <c r="X2722" s="16" t="n">
        <v>0.9457881775355844</v>
      </c>
      <c r="Y2722" s="16" t="n">
        <v>300.032917</v>
      </c>
      <c r="Z2722" s="16" t="n">
        <v>9.32427775836857</v>
      </c>
      <c r="AA2722" s="16" t="n">
        <v>96.90623415377974</v>
      </c>
      <c r="AB2722" s="16" t="n">
        <v>2546.393341176755</v>
      </c>
      <c r="AC2722" s="16" t="n">
        <v>2.872958544072278</v>
      </c>
      <c r="AD2722" s="16" t="n"/>
      <c r="AE2722" s="16" t="n"/>
    </row>
    <row r="2723">
      <c r="A2723" s="16" t="inlineStr">
        <is>
          <t>KF-M07-A3-0014</t>
        </is>
      </c>
      <c r="B2723" s="16" t="inlineStr">
        <is>
          <t>5.1</t>
        </is>
      </c>
      <c r="C2723" s="16" t="inlineStr">
        <is>
          <t>5.1c</t>
        </is>
      </c>
      <c r="D2723" s="16" t="inlineStr">
        <is>
          <t>conserva sus temperaturas</t>
        </is>
      </c>
      <c r="E2723" s="16" t="inlineStr">
        <is>
          <t>KF-M07</t>
        </is>
      </c>
      <c r="F2723" s="16" t="inlineStr">
        <is>
          <t>KF-M07-A3</t>
        </is>
      </c>
      <c r="G2723" s="16" t="inlineStr">
        <is>
          <t>B11-A3</t>
        </is>
      </c>
      <c r="H2723" s="16" t="inlineStr">
        <is>
          <t>busqueda</t>
        </is>
      </c>
      <c r="I2723" s="16" t="inlineStr">
        <is>
          <t>KALINA</t>
        </is>
      </c>
      <c r="J2723" s="16" t="inlineStr">
        <is>
          <t>KALINA</t>
        </is>
      </c>
      <c r="K2723" s="16" t="b">
        <v>1</v>
      </c>
      <c r="L2723" s="16" t="b">
        <v>1</v>
      </c>
      <c r="M2723" s="16" t="b">
        <v>0</v>
      </c>
      <c r="N2723" s="16" t="b">
        <v>0</v>
      </c>
      <c r="O2723" s="16" t="n">
        <v>623.15</v>
      </c>
      <c r="P2723" s="16" t="n">
        <v>300.032917</v>
      </c>
      <c r="Q2723" s="16" t="n">
        <v>3905.950043184831</v>
      </c>
      <c r="R2723" s="16" t="n">
        <v>1359.556702008076</v>
      </c>
      <c r="S2723" s="16" t="n">
        <v>0.8294780327808849</v>
      </c>
      <c r="T2723" s="16" t="n">
        <v>0.8360559074586479</v>
      </c>
      <c r="U2723" s="16" t="n">
        <v>0.8375342727183488</v>
      </c>
      <c r="V2723" s="16" t="n">
        <v>0.4963658855761367</v>
      </c>
      <c r="W2723" s="16" t="n">
        <v>0.8616775946077286</v>
      </c>
      <c r="X2723" s="16" t="n">
        <v>0.9457881775355844</v>
      </c>
      <c r="Y2723" s="16" t="n">
        <v>300.032917</v>
      </c>
      <c r="Z2723" s="16" t="n">
        <v>9.23099447823463</v>
      </c>
      <c r="AA2723" s="16" t="n">
        <v>96.3865115173635</v>
      </c>
      <c r="AB2723" s="16" t="n">
        <v>2546.393341176755</v>
      </c>
      <c r="AC2723" s="16" t="n">
        <v>2.872958544072278</v>
      </c>
      <c r="AD2723" s="16" t="n"/>
      <c r="AE2723" s="16" t="n"/>
    </row>
    <row r="2724">
      <c r="A2724" s="16" t="inlineStr">
        <is>
          <t>KF-M07-A3-0015</t>
        </is>
      </c>
      <c r="B2724" s="16" t="inlineStr">
        <is>
          <t>5.1</t>
        </is>
      </c>
      <c r="C2724" s="16" t="inlineStr">
        <is>
          <t>5.1c</t>
        </is>
      </c>
      <c r="D2724" s="16" t="inlineStr">
        <is>
          <t>conserva sus temperaturas</t>
        </is>
      </c>
      <c r="E2724" s="16" t="inlineStr">
        <is>
          <t>KF-M07</t>
        </is>
      </c>
      <c r="F2724" s="16" t="inlineStr">
        <is>
          <t>KF-M07-A3</t>
        </is>
      </c>
      <c r="G2724" s="16" t="inlineStr">
        <is>
          <t>B11-A3</t>
        </is>
      </c>
      <c r="H2724" s="16" t="inlineStr">
        <is>
          <t>busqueda</t>
        </is>
      </c>
      <c r="I2724" s="16" t="inlineStr">
        <is>
          <t>KALINA</t>
        </is>
      </c>
      <c r="J2724" s="16" t="inlineStr">
        <is>
          <t>KALINA</t>
        </is>
      </c>
      <c r="K2724" s="16" t="b">
        <v>1</v>
      </c>
      <c r="L2724" s="16" t="b">
        <v>1</v>
      </c>
      <c r="M2724" s="16" t="b">
        <v>0</v>
      </c>
      <c r="N2724" s="16" t="b">
        <v>0</v>
      </c>
      <c r="O2724" s="16" t="n">
        <v>623.15</v>
      </c>
      <c r="P2724" s="16" t="n">
        <v>300.032917</v>
      </c>
      <c r="Q2724" s="16" t="n">
        <v>3905.950043184831</v>
      </c>
      <c r="R2724" s="16" t="n">
        <v>1359.556702008076</v>
      </c>
      <c r="S2724" s="16" t="n">
        <v>0.8294780327808849</v>
      </c>
      <c r="T2724" s="16" t="n">
        <v>0.8360559074586479</v>
      </c>
      <c r="U2724" s="16" t="n">
        <v>0.8375342727183488</v>
      </c>
      <c r="V2724" s="16" t="n">
        <v>0.4963658855761367</v>
      </c>
      <c r="W2724" s="16" t="n">
        <v>0.9166775946077288</v>
      </c>
      <c r="X2724" s="16" t="n">
        <v>0.95</v>
      </c>
      <c r="Y2724" s="16" t="n">
        <v>300.032917</v>
      </c>
      <c r="Z2724" s="16" t="n">
        <v>9.260107495951807</v>
      </c>
      <c r="AA2724" s="16" t="n">
        <v>96.55326836346488</v>
      </c>
      <c r="AB2724" s="16" t="n">
        <v>2546.393341176755</v>
      </c>
      <c r="AC2724" s="16" t="n">
        <v>2.872958544072278</v>
      </c>
      <c r="AD2724" s="16" t="n"/>
      <c r="AE2724" s="16" t="n"/>
    </row>
    <row r="2725">
      <c r="A2725" s="16" t="inlineStr">
        <is>
          <t>KF-M07-A3-0016</t>
        </is>
      </c>
      <c r="B2725" s="16" t="inlineStr">
        <is>
          <t>5.1</t>
        </is>
      </c>
      <c r="C2725" s="16" t="inlineStr">
        <is>
          <t>5.1c</t>
        </is>
      </c>
      <c r="D2725" s="16" t="inlineStr">
        <is>
          <t>conserva sus temperaturas</t>
        </is>
      </c>
      <c r="E2725" s="16" t="inlineStr">
        <is>
          <t>KF-M07</t>
        </is>
      </c>
      <c r="F2725" s="16" t="inlineStr">
        <is>
          <t>KF-M07-A3</t>
        </is>
      </c>
      <c r="G2725" s="16" t="inlineStr">
        <is>
          <t>B11-A3</t>
        </is>
      </c>
      <c r="H2725" s="16" t="inlineStr">
        <is>
          <t>busqueda</t>
        </is>
      </c>
      <c r="I2725" s="16" t="inlineStr">
        <is>
          <t>CORREGIBLE</t>
        </is>
      </c>
      <c r="J2725" s="16" t="inlineStr">
        <is>
          <t>CORREGIBLE</t>
        </is>
      </c>
      <c r="K2725" s="16" t="b">
        <v>1</v>
      </c>
      <c r="L2725" s="16" t="b">
        <v>0</v>
      </c>
      <c r="M2725" s="16" t="b">
        <v>0</v>
      </c>
      <c r="N2725" s="16" t="b">
        <v>0</v>
      </c>
      <c r="O2725" s="16" t="n">
        <v>623.15</v>
      </c>
      <c r="P2725" s="16" t="n">
        <v>300.032917</v>
      </c>
      <c r="Q2725" s="16" t="n">
        <v>3905.950043184831</v>
      </c>
      <c r="R2725" s="16" t="n">
        <v>1359.556702008076</v>
      </c>
      <c r="S2725" s="16" t="n">
        <v>0.8294780327808849</v>
      </c>
      <c r="T2725" s="16" t="n">
        <v>0.8360559074586479</v>
      </c>
      <c r="U2725" s="16" t="n">
        <v>0.8375342727183488</v>
      </c>
      <c r="V2725" s="16" t="n">
        <v>0.4963658855761367</v>
      </c>
      <c r="W2725" s="16" t="n">
        <v>0.9166775946077288</v>
      </c>
      <c r="X2725" s="16" t="n">
        <v>0.8907881775355844</v>
      </c>
      <c r="Y2725" s="16" t="n">
        <v>300.032917</v>
      </c>
      <c r="Z2725" s="16" t="n">
        <v>9.643670253463821</v>
      </c>
      <c r="AA2725" s="16" t="n">
        <v>98.3175869744334</v>
      </c>
      <c r="AB2725" s="16" t="n">
        <v>2546.393341176755</v>
      </c>
      <c r="AC2725" s="16" t="n">
        <v>2.872958544072278</v>
      </c>
      <c r="AD2725" s="16" t="inlineStr">
        <is>
          <t>O2</t>
        </is>
      </c>
      <c r="AE2725" s="16" t="n"/>
    </row>
    <row r="2726">
      <c r="A2726" s="16" t="inlineStr">
        <is>
          <t>KF-M07-A3-0017</t>
        </is>
      </c>
      <c r="B2726" s="16" t="inlineStr">
        <is>
          <t>5.1</t>
        </is>
      </c>
      <c r="C2726" s="16" t="inlineStr">
        <is>
          <t>5.1c</t>
        </is>
      </c>
      <c r="D2726" s="16" t="inlineStr">
        <is>
          <t>conserva sus temperaturas</t>
        </is>
      </c>
      <c r="E2726" s="16" t="inlineStr">
        <is>
          <t>KF-M07</t>
        </is>
      </c>
      <c r="F2726" s="16" t="inlineStr">
        <is>
          <t>KF-M07-A3</t>
        </is>
      </c>
      <c r="G2726" s="16" t="inlineStr">
        <is>
          <t>B11-A3</t>
        </is>
      </c>
      <c r="H2726" s="16" t="inlineStr">
        <is>
          <t>busqueda</t>
        </is>
      </c>
      <c r="I2726" s="16" t="inlineStr">
        <is>
          <t>KALINA</t>
        </is>
      </c>
      <c r="J2726" s="16" t="inlineStr">
        <is>
          <t>KALINA</t>
        </is>
      </c>
      <c r="K2726" s="16" t="b">
        <v>1</v>
      </c>
      <c r="L2726" s="16" t="b">
        <v>1</v>
      </c>
      <c r="M2726" s="16" t="b">
        <v>0</v>
      </c>
      <c r="N2726" s="16" t="b">
        <v>0</v>
      </c>
      <c r="O2726" s="16" t="n">
        <v>623.15</v>
      </c>
      <c r="P2726" s="16" t="n">
        <v>300.032917</v>
      </c>
      <c r="Q2726" s="16" t="n">
        <v>4205.950043184831</v>
      </c>
      <c r="R2726" s="16" t="n">
        <v>1359.556702008076</v>
      </c>
      <c r="S2726" s="16" t="n">
        <v>0.8294780327808849</v>
      </c>
      <c r="T2726" s="16" t="n">
        <v>0.8910559074586479</v>
      </c>
      <c r="U2726" s="16" t="n">
        <v>0.8375342727183488</v>
      </c>
      <c r="V2726" s="16" t="n">
        <v>0.4963658855761367</v>
      </c>
      <c r="W2726" s="16" t="n">
        <v>0.9166775946077288</v>
      </c>
      <c r="X2726" s="16" t="n">
        <v>0.9457881775355844</v>
      </c>
      <c r="Y2726" s="16" t="n">
        <v>300.032917</v>
      </c>
      <c r="Z2726" s="16" t="n">
        <v>10.53368080142938</v>
      </c>
      <c r="AA2726" s="16" t="n">
        <v>109.2386395474132</v>
      </c>
      <c r="AB2726" s="16" t="n">
        <v>2846.393341176755</v>
      </c>
      <c r="AC2726" s="16" t="n">
        <v>3.093618704517883</v>
      </c>
      <c r="AD2726" s="16" t="n"/>
      <c r="AE2726" s="16" t="n"/>
    </row>
    <row r="2727">
      <c r="A2727" s="16" t="inlineStr">
        <is>
          <t>KF-M07-A3-0018</t>
        </is>
      </c>
      <c r="B2727" s="16" t="inlineStr">
        <is>
          <t>5.1</t>
        </is>
      </c>
      <c r="C2727" s="16" t="inlineStr">
        <is>
          <t>5.1c</t>
        </is>
      </c>
      <c r="D2727" s="16" t="inlineStr">
        <is>
          <t>conserva sus temperaturas</t>
        </is>
      </c>
      <c r="E2727" s="16" t="inlineStr">
        <is>
          <t>KF-M07</t>
        </is>
      </c>
      <c r="F2727" s="16" t="inlineStr">
        <is>
          <t>KF-M07-A3</t>
        </is>
      </c>
      <c r="G2727" s="16" t="inlineStr">
        <is>
          <t>B11-A3</t>
        </is>
      </c>
      <c r="H2727" s="16" t="inlineStr">
        <is>
          <t>busqueda</t>
        </is>
      </c>
      <c r="I2727" s="16" t="inlineStr">
        <is>
          <t>KALINA</t>
        </is>
      </c>
      <c r="J2727" s="16" t="inlineStr">
        <is>
          <t>KALINA</t>
        </is>
      </c>
      <c r="K2727" s="16" t="b">
        <v>1</v>
      </c>
      <c r="L2727" s="16" t="b">
        <v>1</v>
      </c>
      <c r="M2727" s="16" t="b">
        <v>0</v>
      </c>
      <c r="N2727" s="16" t="b">
        <v>0</v>
      </c>
      <c r="O2727" s="16" t="n">
        <v>623.15</v>
      </c>
      <c r="P2727" s="16" t="n">
        <v>300.032917</v>
      </c>
      <c r="Q2727" s="16" t="n">
        <v>3605.950043184831</v>
      </c>
      <c r="R2727" s="16" t="n">
        <v>1359.556702008076</v>
      </c>
      <c r="S2727" s="16" t="n">
        <v>0.8294780327808849</v>
      </c>
      <c r="T2727" s="16" t="n">
        <v>0.8910559074586479</v>
      </c>
      <c r="U2727" s="16" t="n">
        <v>0.8375342727183488</v>
      </c>
      <c r="V2727" s="16" t="n">
        <v>0.4963658855761367</v>
      </c>
      <c r="W2727" s="16" t="n">
        <v>0.9166775946077288</v>
      </c>
      <c r="X2727" s="16" t="n">
        <v>0.9457881775355844</v>
      </c>
      <c r="Y2727" s="16" t="n">
        <v>300.032917</v>
      </c>
      <c r="Z2727" s="16" t="n">
        <v>9.25494206235201</v>
      </c>
      <c r="AA2727" s="16" t="n">
        <v>96.76215463852589</v>
      </c>
      <c r="AB2727" s="16" t="n">
        <v>2246.393341176755</v>
      </c>
      <c r="AC2727" s="16" t="n">
        <v>2.652298383626673</v>
      </c>
      <c r="AD2727" s="16" t="n"/>
      <c r="AE2727" s="16" t="n"/>
    </row>
    <row r="2728">
      <c r="A2728" s="16" t="inlineStr">
        <is>
          <t>KF-M07-A3-0019</t>
        </is>
      </c>
      <c r="B2728" s="16" t="inlineStr">
        <is>
          <t>5.1</t>
        </is>
      </c>
      <c r="C2728" s="16" t="inlineStr">
        <is>
          <t>5.1c</t>
        </is>
      </c>
      <c r="D2728" s="16" t="inlineStr">
        <is>
          <t>conserva sus temperaturas</t>
        </is>
      </c>
      <c r="E2728" s="16" t="inlineStr">
        <is>
          <t>KF-M07</t>
        </is>
      </c>
      <c r="F2728" s="16" t="inlineStr">
        <is>
          <t>KF-M07-A3</t>
        </is>
      </c>
      <c r="G2728" s="16" t="inlineStr">
        <is>
          <t>B11-A3</t>
        </is>
      </c>
      <c r="H2728" s="16" t="inlineStr">
        <is>
          <t>busqueda</t>
        </is>
      </c>
      <c r="I2728" s="16" t="inlineStr">
        <is>
          <t>KALINA</t>
        </is>
      </c>
      <c r="J2728" s="16" t="inlineStr">
        <is>
          <t>KALINA</t>
        </is>
      </c>
      <c r="K2728" s="16" t="b">
        <v>1</v>
      </c>
      <c r="L2728" s="16" t="b">
        <v>1</v>
      </c>
      <c r="M2728" s="16" t="b">
        <v>0</v>
      </c>
      <c r="N2728" s="16" t="b">
        <v>0</v>
      </c>
      <c r="O2728" s="16" t="n">
        <v>623.15</v>
      </c>
      <c r="P2728" s="16" t="n">
        <v>300.032917</v>
      </c>
      <c r="Q2728" s="16" t="n">
        <v>3905.950043184831</v>
      </c>
      <c r="R2728" s="16" t="n">
        <v>1579.556702008076</v>
      </c>
      <c r="S2728" s="16" t="n">
        <v>0.8294780327808849</v>
      </c>
      <c r="T2728" s="16" t="n">
        <v>0.8910559074586479</v>
      </c>
      <c r="U2728" s="16" t="n">
        <v>0.8375342727183488</v>
      </c>
      <c r="V2728" s="16" t="n">
        <v>0.4963658855761367</v>
      </c>
      <c r="W2728" s="16" t="n">
        <v>0.9166775946077288</v>
      </c>
      <c r="X2728" s="16" t="n">
        <v>0.9457881775355844</v>
      </c>
      <c r="Y2728" s="16" t="n">
        <v>300.032917</v>
      </c>
      <c r="Z2728" s="16" t="n">
        <v>8.56647081136137</v>
      </c>
      <c r="AA2728" s="16" t="n">
        <v>89.18224965298936</v>
      </c>
      <c r="AB2728" s="16" t="n">
        <v>2326.393341176755</v>
      </c>
      <c r="AC2728" s="16" t="n">
        <v>2.472814073859603</v>
      </c>
      <c r="AD2728" s="16" t="n"/>
      <c r="AE2728" s="16" t="n"/>
    </row>
    <row r="2729">
      <c r="A2729" s="16" t="inlineStr">
        <is>
          <t>KF-M07-A3-0020</t>
        </is>
      </c>
      <c r="B2729" s="16" t="inlineStr">
        <is>
          <t>5.1</t>
        </is>
      </c>
      <c r="C2729" s="16" t="inlineStr">
        <is>
          <t>5.1c</t>
        </is>
      </c>
      <c r="D2729" s="16" t="inlineStr">
        <is>
          <t>conserva sus temperaturas</t>
        </is>
      </c>
      <c r="E2729" s="16" t="inlineStr">
        <is>
          <t>KF-M07</t>
        </is>
      </c>
      <c r="F2729" s="16" t="inlineStr">
        <is>
          <t>KF-M07-A3</t>
        </is>
      </c>
      <c r="G2729" s="16" t="inlineStr">
        <is>
          <t>B11-A3</t>
        </is>
      </c>
      <c r="H2729" s="16" t="inlineStr">
        <is>
          <t>busqueda</t>
        </is>
      </c>
      <c r="I2729" s="16" t="inlineStr">
        <is>
          <t>CORREGIBLE</t>
        </is>
      </c>
      <c r="J2729" s="16" t="inlineStr">
        <is>
          <t>CORREGIBLE</t>
        </is>
      </c>
      <c r="K2729" s="16" t="b">
        <v>1</v>
      </c>
      <c r="L2729" s="16" t="b">
        <v>0</v>
      </c>
      <c r="M2729" s="16" t="b">
        <v>0</v>
      </c>
      <c r="N2729" s="16" t="b">
        <v>0</v>
      </c>
      <c r="O2729" s="16" t="n">
        <v>623.15</v>
      </c>
      <c r="P2729" s="16" t="n">
        <v>300.032917</v>
      </c>
      <c r="Q2729" s="16" t="n">
        <v>3905.950043184831</v>
      </c>
      <c r="R2729" s="16" t="n">
        <v>1139.556702008077</v>
      </c>
      <c r="S2729" s="16" t="n">
        <v>0.8294780327808849</v>
      </c>
      <c r="T2729" s="16" t="n">
        <v>0.8910559074586479</v>
      </c>
      <c r="U2729" s="16" t="n">
        <v>0.8375342727183488</v>
      </c>
      <c r="V2729" s="16" t="n">
        <v>0.4963658855761367</v>
      </c>
      <c r="W2729" s="16" t="n">
        <v>0.9166775946077288</v>
      </c>
      <c r="X2729" s="16" t="n">
        <v>0.9457881775355844</v>
      </c>
      <c r="Y2729" s="16" t="n">
        <v>300.032917</v>
      </c>
      <c r="Z2729" s="16" t="n">
        <v>11.49597765905338</v>
      </c>
      <c r="AA2729" s="16" t="n">
        <v>119.728593440811</v>
      </c>
      <c r="AB2729" s="16" t="n">
        <v>2766.393341176754</v>
      </c>
      <c r="AC2729" s="16" t="n">
        <v>3.427604818875566</v>
      </c>
      <c r="AD2729" s="16" t="inlineStr">
        <is>
          <t>O2</t>
        </is>
      </c>
      <c r="AE2729" s="16" t="n"/>
    </row>
    <row r="2730">
      <c r="A2730" s="16" t="inlineStr">
        <is>
          <t>KF-M07-A3-0021</t>
        </is>
      </c>
      <c r="B2730" s="16" t="inlineStr">
        <is>
          <t>5.1</t>
        </is>
      </c>
      <c r="C2730" s="16" t="inlineStr">
        <is>
          <t>5.1c</t>
        </is>
      </c>
      <c r="D2730" s="16" t="inlineStr">
        <is>
          <t>conserva sus temperaturas</t>
        </is>
      </c>
      <c r="E2730" s="16" t="inlineStr">
        <is>
          <t>KF-M07</t>
        </is>
      </c>
      <c r="F2730" s="16" t="inlineStr">
        <is>
          <t>KF-M07-A3</t>
        </is>
      </c>
      <c r="G2730" s="16" t="inlineStr">
        <is>
          <t>B11-A3</t>
        </is>
      </c>
      <c r="H2730" s="16" t="inlineStr">
        <is>
          <t>busqueda</t>
        </is>
      </c>
      <c r="I2730" s="16" t="inlineStr">
        <is>
          <t>KALINA</t>
        </is>
      </c>
      <c r="J2730" s="16" t="inlineStr">
        <is>
          <t>KALINA</t>
        </is>
      </c>
      <c r="K2730" s="16" t="b">
        <v>1</v>
      </c>
      <c r="L2730" s="16" t="b">
        <v>1</v>
      </c>
      <c r="M2730" s="16" t="b">
        <v>0</v>
      </c>
      <c r="N2730" s="16" t="b">
        <v>0</v>
      </c>
      <c r="O2730" s="16" t="n">
        <v>623.15</v>
      </c>
      <c r="P2730" s="16" t="n">
        <v>300.032917</v>
      </c>
      <c r="Q2730" s="16" t="n">
        <v>3905.950043184831</v>
      </c>
      <c r="R2730" s="16" t="n">
        <v>1359.556702008076</v>
      </c>
      <c r="S2730" s="16" t="n">
        <v>0.85</v>
      </c>
      <c r="T2730" s="16" t="n">
        <v>0.8910559074586479</v>
      </c>
      <c r="U2730" s="16" t="n">
        <v>0.8375342727183488</v>
      </c>
      <c r="V2730" s="16" t="n">
        <v>0.4963658855761367</v>
      </c>
      <c r="W2730" s="16" t="n">
        <v>0.9166775946077288</v>
      </c>
      <c r="X2730" s="16" t="n">
        <v>0.9457881775355844</v>
      </c>
      <c r="Y2730" s="16" t="n">
        <v>300.032917</v>
      </c>
      <c r="Z2730" s="16" t="n">
        <v>9.995372048369219</v>
      </c>
      <c r="AA2730" s="16" t="n">
        <v>102.9623871481746</v>
      </c>
      <c r="AB2730" s="16" t="n">
        <v>2546.393341176755</v>
      </c>
      <c r="AC2730" s="16" t="n">
        <v>2.872958544072278</v>
      </c>
      <c r="AD2730" s="16" t="n"/>
      <c r="AE2730" s="16" t="n"/>
    </row>
    <row r="2731">
      <c r="A2731" s="16" t="inlineStr">
        <is>
          <t>KF-M07-A3-0022</t>
        </is>
      </c>
      <c r="B2731" s="16" t="inlineStr">
        <is>
          <t>5.1</t>
        </is>
      </c>
      <c r="C2731" s="16" t="inlineStr">
        <is>
          <t>5.1c</t>
        </is>
      </c>
      <c r="D2731" s="16" t="inlineStr">
        <is>
          <t>conserva sus temperaturas</t>
        </is>
      </c>
      <c r="E2731" s="16" t="inlineStr">
        <is>
          <t>KF-M07</t>
        </is>
      </c>
      <c r="F2731" s="16" t="inlineStr">
        <is>
          <t>KF-M07-A3</t>
        </is>
      </c>
      <c r="G2731" s="16" t="inlineStr">
        <is>
          <t>B11-A3</t>
        </is>
      </c>
      <c r="H2731" s="16" t="inlineStr">
        <is>
          <t>busqueda</t>
        </is>
      </c>
      <c r="I2731" s="16" t="inlineStr">
        <is>
          <t>KALINA</t>
        </is>
      </c>
      <c r="J2731" s="16" t="inlineStr">
        <is>
          <t>KALINA</t>
        </is>
      </c>
      <c r="K2731" s="16" t="b">
        <v>1</v>
      </c>
      <c r="L2731" s="16" t="b">
        <v>1</v>
      </c>
      <c r="M2731" s="16" t="b">
        <v>0</v>
      </c>
      <c r="N2731" s="16" t="b">
        <v>0</v>
      </c>
      <c r="O2731" s="16" t="n">
        <v>623.15</v>
      </c>
      <c r="P2731" s="16" t="n">
        <v>300.032917</v>
      </c>
      <c r="Q2731" s="16" t="n">
        <v>3905.950043184831</v>
      </c>
      <c r="R2731" s="16" t="n">
        <v>1359.556702008076</v>
      </c>
      <c r="S2731" s="16" t="n">
        <v>0.7944780327808849</v>
      </c>
      <c r="T2731" s="16" t="n">
        <v>0.8910559074586479</v>
      </c>
      <c r="U2731" s="16" t="n">
        <v>0.8375342727183488</v>
      </c>
      <c r="V2731" s="16" t="n">
        <v>0.4963658855761367</v>
      </c>
      <c r="W2731" s="16" t="n">
        <v>0.9166775946077288</v>
      </c>
      <c r="X2731" s="16" t="n">
        <v>0.9457881775355844</v>
      </c>
      <c r="Y2731" s="16" t="n">
        <v>300.032917</v>
      </c>
      <c r="Z2731" s="16" t="n">
        <v>9.75502436943535</v>
      </c>
      <c r="AA2731" s="16" t="n">
        <v>103.3869475850861</v>
      </c>
      <c r="AB2731" s="16" t="n">
        <v>2546.393341176755</v>
      </c>
      <c r="AC2731" s="16" t="n">
        <v>2.872958544072278</v>
      </c>
      <c r="AD2731" s="16" t="n"/>
      <c r="AE2731" s="16" t="n"/>
    </row>
    <row r="2732">
      <c r="A2732" s="16" t="inlineStr">
        <is>
          <t>KF-M07-A3-0023</t>
        </is>
      </c>
      <c r="B2732" s="16" t="inlineStr">
        <is>
          <t>5.1</t>
        </is>
      </c>
      <c r="C2732" s="16" t="inlineStr">
        <is>
          <t>5.1c</t>
        </is>
      </c>
      <c r="D2732" s="16" t="inlineStr">
        <is>
          <t>conserva sus temperaturas</t>
        </is>
      </c>
      <c r="E2732" s="16" t="inlineStr">
        <is>
          <t>KF-M07</t>
        </is>
      </c>
      <c r="F2732" s="16" t="inlineStr">
        <is>
          <t>KF-M07-A3</t>
        </is>
      </c>
      <c r="G2732" s="16" t="inlineStr">
        <is>
          <t>B11-A3</t>
        </is>
      </c>
      <c r="H2732" s="16" t="inlineStr">
        <is>
          <t>busqueda</t>
        </is>
      </c>
      <c r="I2732" s="16" t="inlineStr">
        <is>
          <t>KALINA</t>
        </is>
      </c>
      <c r="J2732" s="16" t="inlineStr">
        <is>
          <t>KALINA</t>
        </is>
      </c>
      <c r="K2732" s="16" t="b">
        <v>1</v>
      </c>
      <c r="L2732" s="16" t="b">
        <v>1</v>
      </c>
      <c r="M2732" s="16" t="b">
        <v>0</v>
      </c>
      <c r="N2732" s="16" t="b">
        <v>0</v>
      </c>
      <c r="O2732" s="16" t="n">
        <v>623.15</v>
      </c>
      <c r="P2732" s="16" t="n">
        <v>300.032917</v>
      </c>
      <c r="Q2732" s="16" t="n">
        <v>3905.950043184831</v>
      </c>
      <c r="R2732" s="16" t="n">
        <v>1359.556702008076</v>
      </c>
      <c r="S2732" s="16" t="n">
        <v>0.8294780327808849</v>
      </c>
      <c r="T2732" s="16" t="n">
        <v>0.946055907458648</v>
      </c>
      <c r="U2732" s="16" t="n">
        <v>0.8375342727183488</v>
      </c>
      <c r="V2732" s="16" t="n">
        <v>0.4963658855761367</v>
      </c>
      <c r="W2732" s="16" t="n">
        <v>0.9166775946077288</v>
      </c>
      <c r="X2732" s="16" t="n">
        <v>0.9457881775355844</v>
      </c>
      <c r="Y2732" s="16" t="n">
        <v>300.032917</v>
      </c>
      <c r="Z2732" s="16" t="n">
        <v>10.56340290371979</v>
      </c>
      <c r="AA2732" s="16" t="n">
        <v>110.0062930715762</v>
      </c>
      <c r="AB2732" s="16" t="n">
        <v>2546.393341176755</v>
      </c>
      <c r="AC2732" s="16" t="n">
        <v>2.872958544072278</v>
      </c>
      <c r="AD2732" s="16" t="n"/>
      <c r="AE2732" s="16" t="n"/>
    </row>
    <row r="2733">
      <c r="A2733" s="16" t="inlineStr">
        <is>
          <t>KF-M07-A3-0024</t>
        </is>
      </c>
      <c r="B2733" s="16" t="inlineStr">
        <is>
          <t>5.1</t>
        </is>
      </c>
      <c r="C2733" s="16" t="inlineStr">
        <is>
          <t>5.1c</t>
        </is>
      </c>
      <c r="D2733" s="16" t="inlineStr">
        <is>
          <t>conserva sus temperaturas</t>
        </is>
      </c>
      <c r="E2733" s="16" t="inlineStr">
        <is>
          <t>KF-M07</t>
        </is>
      </c>
      <c r="F2733" s="16" t="inlineStr">
        <is>
          <t>KF-M07-A3</t>
        </is>
      </c>
      <c r="G2733" s="16" t="inlineStr">
        <is>
          <t>B11-A3</t>
        </is>
      </c>
      <c r="H2733" s="16" t="inlineStr">
        <is>
          <t>busqueda</t>
        </is>
      </c>
      <c r="I2733" s="16" t="inlineStr">
        <is>
          <t>KALINA</t>
        </is>
      </c>
      <c r="J2733" s="16" t="inlineStr">
        <is>
          <t>KALINA</t>
        </is>
      </c>
      <c r="K2733" s="16" t="b">
        <v>1</v>
      </c>
      <c r="L2733" s="16" t="b">
        <v>1</v>
      </c>
      <c r="M2733" s="16" t="b">
        <v>0</v>
      </c>
      <c r="N2733" s="16" t="b">
        <v>0</v>
      </c>
      <c r="O2733" s="16" t="n">
        <v>623.15</v>
      </c>
      <c r="P2733" s="16" t="n">
        <v>300.032917</v>
      </c>
      <c r="Q2733" s="16" t="n">
        <v>3905.950043184831</v>
      </c>
      <c r="R2733" s="16" t="n">
        <v>1359.556702008076</v>
      </c>
      <c r="S2733" s="16" t="n">
        <v>0.8294780327808849</v>
      </c>
      <c r="T2733" s="16" t="n">
        <v>0.8360559074586479</v>
      </c>
      <c r="U2733" s="16" t="n">
        <v>0.8375342727183488</v>
      </c>
      <c r="V2733" s="16" t="n">
        <v>0.4963658855761367</v>
      </c>
      <c r="W2733" s="16" t="n">
        <v>0.9166775946077288</v>
      </c>
      <c r="X2733" s="16" t="n">
        <v>0.9457881775355844</v>
      </c>
      <c r="Y2733" s="16" t="n">
        <v>300.032917</v>
      </c>
      <c r="Z2733" s="16" t="n">
        <v>9.28909448226735</v>
      </c>
      <c r="AA2733" s="16" t="n">
        <v>96.71083465503172</v>
      </c>
      <c r="AB2733" s="16" t="n">
        <v>2546.393341176755</v>
      </c>
      <c r="AC2733" s="16" t="n">
        <v>2.872958544072278</v>
      </c>
      <c r="AD2733" s="16" t="n"/>
      <c r="AE2733" s="16" t="n"/>
    </row>
    <row r="2734">
      <c r="A2734" s="16" t="inlineStr">
        <is>
          <t>KF-M07-A3-0025</t>
        </is>
      </c>
      <c r="B2734" s="16" t="inlineStr">
        <is>
          <t>5.1</t>
        </is>
      </c>
      <c r="C2734" s="16" t="inlineStr">
        <is>
          <t>5.1c</t>
        </is>
      </c>
      <c r="D2734" s="16" t="inlineStr">
        <is>
          <t>conserva sus temperaturas</t>
        </is>
      </c>
      <c r="E2734" s="16" t="inlineStr">
        <is>
          <t>KF-M07</t>
        </is>
      </c>
      <c r="F2734" s="16" t="inlineStr">
        <is>
          <t>KF-M07-A3</t>
        </is>
      </c>
      <c r="G2734" s="16" t="inlineStr">
        <is>
          <t>B11-A3</t>
        </is>
      </c>
      <c r="H2734" s="16" t="inlineStr">
        <is>
          <t>busqueda</t>
        </is>
      </c>
      <c r="I2734" s="16" t="inlineStr">
        <is>
          <t>KALINA</t>
        </is>
      </c>
      <c r="J2734" s="16" t="inlineStr">
        <is>
          <t>KALINA</t>
        </is>
      </c>
      <c r="K2734" s="16" t="b">
        <v>1</v>
      </c>
      <c r="L2734" s="16" t="b">
        <v>1</v>
      </c>
      <c r="M2734" s="16" t="b">
        <v>0</v>
      </c>
      <c r="N2734" s="16" t="b">
        <v>0</v>
      </c>
      <c r="O2734" s="16" t="n">
        <v>623.15</v>
      </c>
      <c r="P2734" s="16" t="n">
        <v>300.032917</v>
      </c>
      <c r="Q2734" s="16" t="n">
        <v>3905.950043184831</v>
      </c>
      <c r="R2734" s="16" t="n">
        <v>1359.556702008076</v>
      </c>
      <c r="S2734" s="16" t="n">
        <v>0.8294780327808849</v>
      </c>
      <c r="T2734" s="16" t="n">
        <v>0.8910559074586479</v>
      </c>
      <c r="U2734" s="16" t="n">
        <v>0.8925342727183487</v>
      </c>
      <c r="V2734" s="16" t="n">
        <v>0.4963658855761367</v>
      </c>
      <c r="W2734" s="16" t="n">
        <v>0.9166775946077288</v>
      </c>
      <c r="X2734" s="16" t="n">
        <v>0.9457881775355844</v>
      </c>
      <c r="Y2734" s="16" t="n">
        <v>300.032917</v>
      </c>
      <c r="Z2734" s="16" t="n">
        <v>9.95136156508736</v>
      </c>
      <c r="AA2734" s="16" t="n">
        <v>103.6296048789396</v>
      </c>
      <c r="AB2734" s="16" t="n">
        <v>2546.393341176755</v>
      </c>
      <c r="AC2734" s="16" t="n">
        <v>2.872958544072278</v>
      </c>
      <c r="AD2734" s="16" t="n"/>
      <c r="AE2734" s="16" t="n"/>
    </row>
    <row r="2735">
      <c r="A2735" s="16" t="inlineStr">
        <is>
          <t>KF-M07-A3-0026</t>
        </is>
      </c>
      <c r="B2735" s="16" t="inlineStr">
        <is>
          <t>5.1</t>
        </is>
      </c>
      <c r="C2735" s="16" t="inlineStr">
        <is>
          <t>5.1c</t>
        </is>
      </c>
      <c r="D2735" s="16" t="inlineStr">
        <is>
          <t>conserva sus temperaturas</t>
        </is>
      </c>
      <c r="E2735" s="16" t="inlineStr">
        <is>
          <t>KF-M07</t>
        </is>
      </c>
      <c r="F2735" s="16" t="inlineStr">
        <is>
          <t>KF-M07-A3</t>
        </is>
      </c>
      <c r="G2735" s="16" t="inlineStr">
        <is>
          <t>B11-A3</t>
        </is>
      </c>
      <c r="H2735" s="16" t="inlineStr">
        <is>
          <t>busqueda</t>
        </is>
      </c>
      <c r="I2735" s="16" t="inlineStr">
        <is>
          <t>KALINA</t>
        </is>
      </c>
      <c r="J2735" s="16" t="inlineStr">
        <is>
          <t>KALINA</t>
        </is>
      </c>
      <c r="K2735" s="16" t="b">
        <v>1</v>
      </c>
      <c r="L2735" s="16" t="b">
        <v>1</v>
      </c>
      <c r="M2735" s="16" t="b">
        <v>0</v>
      </c>
      <c r="N2735" s="16" t="b">
        <v>0</v>
      </c>
      <c r="O2735" s="16" t="n">
        <v>623.15</v>
      </c>
      <c r="P2735" s="16" t="n">
        <v>300.032917</v>
      </c>
      <c r="Q2735" s="16" t="n">
        <v>3905.950043184831</v>
      </c>
      <c r="R2735" s="16" t="n">
        <v>1359.556702008076</v>
      </c>
      <c r="S2735" s="16" t="n">
        <v>0.8294780327808849</v>
      </c>
      <c r="T2735" s="16" t="n">
        <v>0.8910559074586479</v>
      </c>
      <c r="U2735" s="16" t="n">
        <v>0.7825342727183489</v>
      </c>
      <c r="V2735" s="16" t="n">
        <v>0.4963658855761367</v>
      </c>
      <c r="W2735" s="16" t="n">
        <v>0.9166775946077288</v>
      </c>
      <c r="X2735" s="16" t="n">
        <v>0.9457881775355844</v>
      </c>
      <c r="Y2735" s="16" t="n">
        <v>300.032917</v>
      </c>
      <c r="Z2735" s="16" t="n">
        <v>9.897967501692451</v>
      </c>
      <c r="AA2735" s="16" t="n">
        <v>103.0514280321245</v>
      </c>
      <c r="AB2735" s="16" t="n">
        <v>2546.393341176755</v>
      </c>
      <c r="AC2735" s="16" t="n">
        <v>2.872958544072278</v>
      </c>
      <c r="AD2735" s="16" t="n"/>
      <c r="AE2735" s="16" t="n"/>
    </row>
    <row r="2736">
      <c r="A2736" s="16" t="inlineStr">
        <is>
          <t>KF-M07-A3-0027</t>
        </is>
      </c>
      <c r="B2736" s="16" t="inlineStr">
        <is>
          <t>5.1</t>
        </is>
      </c>
      <c r="C2736" s="16" t="inlineStr">
        <is>
          <t>5.1c</t>
        </is>
      </c>
      <c r="D2736" s="16" t="inlineStr">
        <is>
          <t>conserva sus temperaturas</t>
        </is>
      </c>
      <c r="E2736" s="16" t="inlineStr">
        <is>
          <t>KF-M07</t>
        </is>
      </c>
      <c r="F2736" s="16" t="inlineStr">
        <is>
          <t>KF-M07-A3</t>
        </is>
      </c>
      <c r="G2736" s="16" t="inlineStr">
        <is>
          <t>B11-A3</t>
        </is>
      </c>
      <c r="H2736" s="16" t="inlineStr">
        <is>
          <t>busqueda</t>
        </is>
      </c>
      <c r="I2736" s="16" t="inlineStr">
        <is>
          <t>NO_CONVERGIO</t>
        </is>
      </c>
      <c r="J2736" s="16" t="inlineStr">
        <is>
          <t>NO_CONVERGIO</t>
        </is>
      </c>
      <c r="K2736" s="16" t="b">
        <v>0</v>
      </c>
      <c r="L2736" s="16" t="b">
        <v>0</v>
      </c>
      <c r="M2736" s="16" t="b">
        <v>0</v>
      </c>
      <c r="N2736" s="16" t="b">
        <v>0</v>
      </c>
      <c r="O2736" s="16" t="n">
        <v>623.15</v>
      </c>
      <c r="P2736" s="16" t="n">
        <v>300.032917</v>
      </c>
      <c r="Q2736" s="16" t="n">
        <v>3905.950043184831</v>
      </c>
      <c r="R2736" s="16" t="n">
        <v>1359.556702008076</v>
      </c>
      <c r="S2736" s="16" t="n">
        <v>0.8294780327808849</v>
      </c>
      <c r="T2736" s="16" t="n">
        <v>0.8910559074586479</v>
      </c>
      <c r="U2736" s="16" t="n">
        <v>0.8375342727183488</v>
      </c>
      <c r="V2736" s="16" t="n">
        <v>0.5513658855761367</v>
      </c>
      <c r="W2736" s="16" t="n">
        <v>0.9166775946077288</v>
      </c>
      <c r="X2736" s="16" t="n">
        <v>0.9457881775355844</v>
      </c>
      <c r="Y2736" s="16" t="n">
        <v>300.032917</v>
      </c>
      <c r="Z2736" s="16" t="n"/>
      <c r="AA2736" s="16" t="n"/>
      <c r="AB2736" s="16" t="n">
        <v>2546.393341176755</v>
      </c>
      <c r="AC2736" s="16" t="n">
        <v>2.872958544072278</v>
      </c>
      <c r="AD2736" s="16" t="n"/>
      <c r="AE2736" s="16" t="n"/>
    </row>
    <row r="2737">
      <c r="A2737" s="16" t="inlineStr">
        <is>
          <t>KF-M07-A3-0028</t>
        </is>
      </c>
      <c r="B2737" s="16" t="inlineStr">
        <is>
          <t>5.1</t>
        </is>
      </c>
      <c r="C2737" s="16" t="inlineStr">
        <is>
          <t>5.1c</t>
        </is>
      </c>
      <c r="D2737" s="16" t="inlineStr">
        <is>
          <t>conserva sus temperaturas</t>
        </is>
      </c>
      <c r="E2737" s="16" t="inlineStr">
        <is>
          <t>KF-M07</t>
        </is>
      </c>
      <c r="F2737" s="16" t="inlineStr">
        <is>
          <t>KF-M07-A3</t>
        </is>
      </c>
      <c r="G2737" s="16" t="inlineStr">
        <is>
          <t>B11-A3</t>
        </is>
      </c>
      <c r="H2737" s="16" t="inlineStr">
        <is>
          <t>busqueda</t>
        </is>
      </c>
      <c r="I2737" s="16" t="inlineStr">
        <is>
          <t>KALINA</t>
        </is>
      </c>
      <c r="J2737" s="16" t="inlineStr">
        <is>
          <t>KALINA</t>
        </is>
      </c>
      <c r="K2737" s="16" t="b">
        <v>1</v>
      </c>
      <c r="L2737" s="16" t="b">
        <v>1</v>
      </c>
      <c r="M2737" s="16" t="b">
        <v>0</v>
      </c>
      <c r="N2737" s="16" t="b">
        <v>0</v>
      </c>
      <c r="O2737" s="16" t="n">
        <v>623.15</v>
      </c>
      <c r="P2737" s="16" t="n">
        <v>300.032917</v>
      </c>
      <c r="Q2737" s="16" t="n">
        <v>3905.950043184831</v>
      </c>
      <c r="R2737" s="16" t="n">
        <v>1359.556702008076</v>
      </c>
      <c r="S2737" s="16" t="n">
        <v>0.8294780327808849</v>
      </c>
      <c r="T2737" s="16" t="n">
        <v>0.8910559074586479</v>
      </c>
      <c r="U2737" s="16" t="n">
        <v>0.8375342727183488</v>
      </c>
      <c r="V2737" s="16" t="n">
        <v>0.4413658855761367</v>
      </c>
      <c r="W2737" s="16" t="n">
        <v>0.9166775946077288</v>
      </c>
      <c r="X2737" s="16" t="n">
        <v>0.9457881775355844</v>
      </c>
      <c r="Y2737" s="16" t="n">
        <v>300.032917</v>
      </c>
      <c r="Z2737" s="16" t="n">
        <v>9.81777688443815</v>
      </c>
      <c r="AA2737" s="16" t="n">
        <v>90.61889575758669</v>
      </c>
      <c r="AB2737" s="16" t="n">
        <v>2546.393341176755</v>
      </c>
      <c r="AC2737" s="16" t="n">
        <v>2.872958544072278</v>
      </c>
      <c r="AD2737" s="16" t="n"/>
      <c r="AE2737" s="16" t="n"/>
    </row>
    <row r="2738">
      <c r="A2738" s="16" t="inlineStr">
        <is>
          <t>KF-M07-A3-0029</t>
        </is>
      </c>
      <c r="B2738" s="16" t="inlineStr">
        <is>
          <t>5.1</t>
        </is>
      </c>
      <c r="C2738" s="16" t="inlineStr">
        <is>
          <t>5.1c</t>
        </is>
      </c>
      <c r="D2738" s="16" t="inlineStr">
        <is>
          <t>conserva sus temperaturas</t>
        </is>
      </c>
      <c r="E2738" s="16" t="inlineStr">
        <is>
          <t>KF-M07</t>
        </is>
      </c>
      <c r="F2738" s="16" t="inlineStr">
        <is>
          <t>KF-M07-A3</t>
        </is>
      </c>
      <c r="G2738" s="16" t="inlineStr">
        <is>
          <t>B11-A3</t>
        </is>
      </c>
      <c r="H2738" s="16" t="inlineStr">
        <is>
          <t>busqueda</t>
        </is>
      </c>
      <c r="I2738" s="16" t="inlineStr">
        <is>
          <t>KALINA</t>
        </is>
      </c>
      <c r="J2738" s="16" t="inlineStr">
        <is>
          <t>KALINA</t>
        </is>
      </c>
      <c r="K2738" s="16" t="b">
        <v>1</v>
      </c>
      <c r="L2738" s="16" t="b">
        <v>1</v>
      </c>
      <c r="M2738" s="16" t="b">
        <v>0</v>
      </c>
      <c r="N2738" s="16" t="b">
        <v>0</v>
      </c>
      <c r="O2738" s="16" t="n">
        <v>623.15</v>
      </c>
      <c r="P2738" s="16" t="n">
        <v>300.032917</v>
      </c>
      <c r="Q2738" s="16" t="n">
        <v>3905.950043184831</v>
      </c>
      <c r="R2738" s="16" t="n">
        <v>1359.556702008076</v>
      </c>
      <c r="S2738" s="16" t="n">
        <v>0.8294780327808849</v>
      </c>
      <c r="T2738" s="16" t="n">
        <v>0.8910559074586479</v>
      </c>
      <c r="U2738" s="16" t="n">
        <v>0.8375342727183488</v>
      </c>
      <c r="V2738" s="16" t="n">
        <v>0.4963658855761367</v>
      </c>
      <c r="W2738" s="16" t="n">
        <v>0.95</v>
      </c>
      <c r="X2738" s="16" t="n">
        <v>0.9457881775355844</v>
      </c>
      <c r="Y2738" s="16" t="n">
        <v>300.032917</v>
      </c>
      <c r="Z2738" s="16" t="n">
        <v>9.96398730855724</v>
      </c>
      <c r="AA2738" s="16" t="n">
        <v>103.5679060222478</v>
      </c>
      <c r="AB2738" s="16" t="n">
        <v>2546.393341176755</v>
      </c>
      <c r="AC2738" s="16" t="n">
        <v>2.872958544072278</v>
      </c>
      <c r="AD2738" s="16" t="n"/>
      <c r="AE2738" s="16" t="n"/>
    </row>
    <row r="2739">
      <c r="A2739" s="16" t="inlineStr">
        <is>
          <t>KF-M07-A3-0030</t>
        </is>
      </c>
      <c r="B2739" s="16" t="inlineStr">
        <is>
          <t>5.1</t>
        </is>
      </c>
      <c r="C2739" s="16" t="inlineStr">
        <is>
          <t>5.1c</t>
        </is>
      </c>
      <c r="D2739" s="16" t="inlineStr">
        <is>
          <t>conserva sus temperaturas</t>
        </is>
      </c>
      <c r="E2739" s="16" t="inlineStr">
        <is>
          <t>KF-M07</t>
        </is>
      </c>
      <c r="F2739" s="16" t="inlineStr">
        <is>
          <t>KF-M07-A3</t>
        </is>
      </c>
      <c r="G2739" s="16" t="inlineStr">
        <is>
          <t>B11-A3</t>
        </is>
      </c>
      <c r="H2739" s="16" t="inlineStr">
        <is>
          <t>busqueda</t>
        </is>
      </c>
      <c r="I2739" s="16" t="inlineStr">
        <is>
          <t>KALINA</t>
        </is>
      </c>
      <c r="J2739" s="16" t="inlineStr">
        <is>
          <t>KALINA</t>
        </is>
      </c>
      <c r="K2739" s="16" t="b">
        <v>1</v>
      </c>
      <c r="L2739" s="16" t="b">
        <v>1</v>
      </c>
      <c r="M2739" s="16" t="b">
        <v>0</v>
      </c>
      <c r="N2739" s="16" t="b">
        <v>0</v>
      </c>
      <c r="O2739" s="16" t="n">
        <v>623.15</v>
      </c>
      <c r="P2739" s="16" t="n">
        <v>300.032917</v>
      </c>
      <c r="Q2739" s="16" t="n">
        <v>3905.950043184831</v>
      </c>
      <c r="R2739" s="16" t="n">
        <v>1359.556702008076</v>
      </c>
      <c r="S2739" s="16" t="n">
        <v>0.8294780327808849</v>
      </c>
      <c r="T2739" s="16" t="n">
        <v>0.8910559074586479</v>
      </c>
      <c r="U2739" s="16" t="n">
        <v>0.8375342727183488</v>
      </c>
      <c r="V2739" s="16" t="n">
        <v>0.4963658855761367</v>
      </c>
      <c r="W2739" s="16" t="n">
        <v>0.8616775946077286</v>
      </c>
      <c r="X2739" s="16" t="n">
        <v>0.9457881775355844</v>
      </c>
      <c r="Y2739" s="16" t="n">
        <v>300.032917</v>
      </c>
      <c r="Z2739" s="16" t="n">
        <v>9.86438469048424</v>
      </c>
      <c r="AA2739" s="16" t="n">
        <v>103.013591454298</v>
      </c>
      <c r="AB2739" s="16" t="n">
        <v>2546.393341176755</v>
      </c>
      <c r="AC2739" s="16" t="n">
        <v>2.872958544072278</v>
      </c>
      <c r="AD2739" s="16" t="n"/>
      <c r="AE2739" s="16" t="n"/>
    </row>
    <row r="2740">
      <c r="A2740" s="16" t="inlineStr">
        <is>
          <t>KF-M07-A3-0031</t>
        </is>
      </c>
      <c r="B2740" s="16" t="inlineStr">
        <is>
          <t>5.1</t>
        </is>
      </c>
      <c r="C2740" s="16" t="inlineStr">
        <is>
          <t>5.1c</t>
        </is>
      </c>
      <c r="D2740" s="16" t="inlineStr">
        <is>
          <t>conserva sus temperaturas</t>
        </is>
      </c>
      <c r="E2740" s="16" t="inlineStr">
        <is>
          <t>KF-M07</t>
        </is>
      </c>
      <c r="F2740" s="16" t="inlineStr">
        <is>
          <t>KF-M07-A3</t>
        </is>
      </c>
      <c r="G2740" s="16" t="inlineStr">
        <is>
          <t>B11-A3</t>
        </is>
      </c>
      <c r="H2740" s="16" t="inlineStr">
        <is>
          <t>busqueda</t>
        </is>
      </c>
      <c r="I2740" s="16" t="inlineStr">
        <is>
          <t>KALINA</t>
        </is>
      </c>
      <c r="J2740" s="16" t="inlineStr">
        <is>
          <t>KALINA</t>
        </is>
      </c>
      <c r="K2740" s="16" t="b">
        <v>1</v>
      </c>
      <c r="L2740" s="16" t="b">
        <v>1</v>
      </c>
      <c r="M2740" s="16" t="b">
        <v>0</v>
      </c>
      <c r="N2740" s="16" t="b">
        <v>0</v>
      </c>
      <c r="O2740" s="16" t="n">
        <v>623.15</v>
      </c>
      <c r="P2740" s="16" t="n">
        <v>300.032917</v>
      </c>
      <c r="Q2740" s="16" t="n">
        <v>3905.950043184831</v>
      </c>
      <c r="R2740" s="16" t="n">
        <v>1359.556702008076</v>
      </c>
      <c r="S2740" s="16" t="n">
        <v>0.8294780327808849</v>
      </c>
      <c r="T2740" s="16" t="n">
        <v>0.8910559074586479</v>
      </c>
      <c r="U2740" s="16" t="n">
        <v>0.8375342727183488</v>
      </c>
      <c r="V2740" s="16" t="n">
        <v>0.4963658855761367</v>
      </c>
      <c r="W2740" s="16" t="n">
        <v>0.9166775946077288</v>
      </c>
      <c r="X2740" s="16" t="n">
        <v>0.95</v>
      </c>
      <c r="Y2740" s="16" t="n">
        <v>300.032917</v>
      </c>
      <c r="Z2740" s="16" t="n">
        <v>9.89565949683754</v>
      </c>
      <c r="AA2740" s="16" t="n">
        <v>103.1922157807571</v>
      </c>
      <c r="AB2740" s="16" t="n">
        <v>2546.393341176755</v>
      </c>
      <c r="AC2740" s="16" t="n">
        <v>2.872958544072278</v>
      </c>
      <c r="AD2740" s="16" t="n"/>
      <c r="AE2740" s="16" t="n"/>
    </row>
    <row r="2741">
      <c r="A2741" s="16" t="inlineStr">
        <is>
          <t>KF-M07-A3-0032</t>
        </is>
      </c>
      <c r="B2741" s="16" t="inlineStr">
        <is>
          <t>5.1</t>
        </is>
      </c>
      <c r="C2741" s="16" t="inlineStr">
        <is>
          <t>5.1c</t>
        </is>
      </c>
      <c r="D2741" s="16" t="inlineStr">
        <is>
          <t>conserva sus temperaturas</t>
        </is>
      </c>
      <c r="E2741" s="16" t="inlineStr">
        <is>
          <t>KF-M07</t>
        </is>
      </c>
      <c r="F2741" s="16" t="inlineStr">
        <is>
          <t>KF-M07-A3</t>
        </is>
      </c>
      <c r="G2741" s="16" t="inlineStr">
        <is>
          <t>B11-A3</t>
        </is>
      </c>
      <c r="H2741" s="16" t="inlineStr">
        <is>
          <t>busqueda</t>
        </is>
      </c>
      <c r="I2741" s="16" t="inlineStr">
        <is>
          <t>CORREGIBLE</t>
        </is>
      </c>
      <c r="J2741" s="16" t="inlineStr">
        <is>
          <t>CORREGIBLE</t>
        </is>
      </c>
      <c r="K2741" s="16" t="b">
        <v>1</v>
      </c>
      <c r="L2741" s="16" t="b">
        <v>0</v>
      </c>
      <c r="M2741" s="16" t="b">
        <v>0</v>
      </c>
      <c r="N2741" s="16" t="b">
        <v>0</v>
      </c>
      <c r="O2741" s="16" t="n">
        <v>623.15</v>
      </c>
      <c r="P2741" s="16" t="n">
        <v>300.032917</v>
      </c>
      <c r="Q2741" s="16" t="n">
        <v>3905.950043184831</v>
      </c>
      <c r="R2741" s="16" t="n">
        <v>1359.556702008076</v>
      </c>
      <c r="S2741" s="16" t="n">
        <v>0.8294780327808849</v>
      </c>
      <c r="T2741" s="16" t="n">
        <v>0.8910559074586479</v>
      </c>
      <c r="U2741" s="16" t="n">
        <v>0.8375342727183488</v>
      </c>
      <c r="V2741" s="16" t="n">
        <v>0.4963658855761367</v>
      </c>
      <c r="W2741" s="16" t="n">
        <v>0.9166775946077288</v>
      </c>
      <c r="X2741" s="16" t="n">
        <v>0.8907881775355844</v>
      </c>
      <c r="Y2741" s="16" t="n">
        <v>300.032917</v>
      </c>
      <c r="Z2741" s="16" t="n">
        <v>10.30806915702313</v>
      </c>
      <c r="AA2741" s="16" t="n">
        <v>105.1223345428561</v>
      </c>
      <c r="AB2741" s="16" t="n">
        <v>2546.393341176755</v>
      </c>
      <c r="AC2741" s="16" t="n">
        <v>2.872958544072278</v>
      </c>
      <c r="AD2741" s="16" t="inlineStr">
        <is>
          <t>O2</t>
        </is>
      </c>
      <c r="AE2741" s="16" t="n"/>
    </row>
    <row r="2742">
      <c r="A2742" s="16" t="inlineStr">
        <is>
          <t>KF-M07-A3-0033</t>
        </is>
      </c>
      <c r="B2742" s="16" t="inlineStr">
        <is>
          <t>5.1</t>
        </is>
      </c>
      <c r="C2742" s="16" t="inlineStr">
        <is>
          <t>5.1c</t>
        </is>
      </c>
      <c r="D2742" s="16" t="inlineStr">
        <is>
          <t>conserva sus temperaturas</t>
        </is>
      </c>
      <c r="E2742" s="16" t="inlineStr">
        <is>
          <t>KF-M07</t>
        </is>
      </c>
      <c r="F2742" s="16" t="inlineStr">
        <is>
          <t>KF-M07-A3</t>
        </is>
      </c>
      <c r="G2742" s="16" t="inlineStr">
        <is>
          <t>B11-A3</t>
        </is>
      </c>
      <c r="H2742" s="16" t="inlineStr">
        <is>
          <t>busqueda</t>
        </is>
      </c>
      <c r="I2742" s="16" t="inlineStr">
        <is>
          <t>KALINA</t>
        </is>
      </c>
      <c r="J2742" s="16" t="inlineStr">
        <is>
          <t>KALINA</t>
        </is>
      </c>
      <c r="K2742" s="16" t="b">
        <v>1</v>
      </c>
      <c r="L2742" s="16" t="b">
        <v>1</v>
      </c>
      <c r="M2742" s="16" t="b">
        <v>0</v>
      </c>
      <c r="N2742" s="16" t="b">
        <v>0</v>
      </c>
      <c r="O2742" s="16" t="n">
        <v>623.15</v>
      </c>
      <c r="P2742" s="16" t="n">
        <v>300.032917</v>
      </c>
      <c r="Q2742" s="16" t="n">
        <v>4205.950043184831</v>
      </c>
      <c r="R2742" s="16" t="n">
        <v>1359.556702008076</v>
      </c>
      <c r="S2742" s="16" t="n">
        <v>0.8294780327808849</v>
      </c>
      <c r="T2742" s="16" t="n">
        <v>0.946055907458648</v>
      </c>
      <c r="U2742" s="16" t="n">
        <v>0.8375342727183488</v>
      </c>
      <c r="V2742" s="16" t="n">
        <v>0.4963658855761367</v>
      </c>
      <c r="W2742" s="16" t="n">
        <v>0.9166775946077288</v>
      </c>
      <c r="X2742" s="16" t="n">
        <v>0.9457881775355844</v>
      </c>
      <c r="Y2742" s="16" t="n">
        <v>300.032917</v>
      </c>
      <c r="Z2742" s="16" t="n">
        <v>11.21109069909357</v>
      </c>
      <c r="AA2742" s="16" t="n">
        <v>116.2794452085863</v>
      </c>
      <c r="AB2742" s="16" t="n">
        <v>2846.393341176755</v>
      </c>
      <c r="AC2742" s="16" t="n">
        <v>3.093618704517883</v>
      </c>
      <c r="AD2742" s="16" t="n"/>
      <c r="AE2742" s="16" t="n"/>
    </row>
    <row r="2743">
      <c r="A2743" s="16" t="inlineStr">
        <is>
          <t>KF-M07-A3-0034</t>
        </is>
      </c>
      <c r="B2743" s="16" t="inlineStr">
        <is>
          <t>5.1</t>
        </is>
      </c>
      <c r="C2743" s="16" t="inlineStr">
        <is>
          <t>5.1c</t>
        </is>
      </c>
      <c r="D2743" s="16" t="inlineStr">
        <is>
          <t>conserva sus temperaturas</t>
        </is>
      </c>
      <c r="E2743" s="16" t="inlineStr">
        <is>
          <t>KF-M07</t>
        </is>
      </c>
      <c r="F2743" s="16" t="inlineStr">
        <is>
          <t>KF-M07-A3</t>
        </is>
      </c>
      <c r="G2743" s="16" t="inlineStr">
        <is>
          <t>B11-A3</t>
        </is>
      </c>
      <c r="H2743" s="16" t="inlineStr">
        <is>
          <t>busqueda</t>
        </is>
      </c>
      <c r="I2743" s="16" t="inlineStr">
        <is>
          <t>KALINA</t>
        </is>
      </c>
      <c r="J2743" s="16" t="inlineStr">
        <is>
          <t>KALINA</t>
        </is>
      </c>
      <c r="K2743" s="16" t="b">
        <v>1</v>
      </c>
      <c r="L2743" s="16" t="b">
        <v>1</v>
      </c>
      <c r="M2743" s="16" t="b">
        <v>0</v>
      </c>
      <c r="N2743" s="16" t="b">
        <v>0</v>
      </c>
      <c r="O2743" s="16" t="n">
        <v>623.15</v>
      </c>
      <c r="P2743" s="16" t="n">
        <v>300.032917</v>
      </c>
      <c r="Q2743" s="16" t="n">
        <v>3605.950043184831</v>
      </c>
      <c r="R2743" s="16" t="n">
        <v>1359.556702008076</v>
      </c>
      <c r="S2743" s="16" t="n">
        <v>0.8294780327808849</v>
      </c>
      <c r="T2743" s="16" t="n">
        <v>0.946055907458648</v>
      </c>
      <c r="U2743" s="16" t="n">
        <v>0.8375342727183488</v>
      </c>
      <c r="V2743" s="16" t="n">
        <v>0.4963658855761367</v>
      </c>
      <c r="W2743" s="16" t="n">
        <v>0.9166775946077288</v>
      </c>
      <c r="X2743" s="16" t="n">
        <v>0.9457881775355844</v>
      </c>
      <c r="Y2743" s="16" t="n">
        <v>300.032917</v>
      </c>
      <c r="Z2743" s="16" t="n">
        <v>9.84756899855048</v>
      </c>
      <c r="AA2743" s="16" t="n">
        <v>102.9706380030016</v>
      </c>
      <c r="AB2743" s="16" t="n">
        <v>2246.393341176755</v>
      </c>
      <c r="AC2743" s="16" t="n">
        <v>2.652298383626673</v>
      </c>
      <c r="AD2743" s="16" t="n"/>
      <c r="AE2743" s="16" t="n"/>
    </row>
    <row r="2744">
      <c r="A2744" s="16" t="inlineStr">
        <is>
          <t>KF-M07-A3-0035</t>
        </is>
      </c>
      <c r="B2744" s="16" t="inlineStr">
        <is>
          <t>5.1</t>
        </is>
      </c>
      <c r="C2744" s="16" t="inlineStr">
        <is>
          <t>5.1c</t>
        </is>
      </c>
      <c r="D2744" s="16" t="inlineStr">
        <is>
          <t>conserva sus temperaturas</t>
        </is>
      </c>
      <c r="E2744" s="16" t="inlineStr">
        <is>
          <t>KF-M07</t>
        </is>
      </c>
      <c r="F2744" s="16" t="inlineStr">
        <is>
          <t>KF-M07-A3</t>
        </is>
      </c>
      <c r="G2744" s="16" t="inlineStr">
        <is>
          <t>B11-A3</t>
        </is>
      </c>
      <c r="H2744" s="16" t="inlineStr">
        <is>
          <t>busqueda</t>
        </is>
      </c>
      <c r="I2744" s="16" t="inlineStr">
        <is>
          <t>KALINA</t>
        </is>
      </c>
      <c r="J2744" s="16" t="inlineStr">
        <is>
          <t>KALINA</t>
        </is>
      </c>
      <c r="K2744" s="16" t="b">
        <v>1</v>
      </c>
      <c r="L2744" s="16" t="b">
        <v>1</v>
      </c>
      <c r="M2744" s="16" t="b">
        <v>0</v>
      </c>
      <c r="N2744" s="16" t="b">
        <v>0</v>
      </c>
      <c r="O2744" s="16" t="n">
        <v>623.15</v>
      </c>
      <c r="P2744" s="16" t="n">
        <v>300.032917</v>
      </c>
      <c r="Q2744" s="16" t="n">
        <v>3905.950043184831</v>
      </c>
      <c r="R2744" s="16" t="n">
        <v>1579.556702008076</v>
      </c>
      <c r="S2744" s="16" t="n">
        <v>0.8294780327808849</v>
      </c>
      <c r="T2744" s="16" t="n">
        <v>0.946055907458648</v>
      </c>
      <c r="U2744" s="16" t="n">
        <v>0.8375342727183488</v>
      </c>
      <c r="V2744" s="16" t="n">
        <v>0.4963658855761367</v>
      </c>
      <c r="W2744" s="16" t="n">
        <v>0.9166775946077288</v>
      </c>
      <c r="X2744" s="16" t="n">
        <v>0.9457881775355844</v>
      </c>
      <c r="Y2744" s="16" t="n">
        <v>300.032917</v>
      </c>
      <c r="Z2744" s="16" t="n">
        <v>9.117902564555459</v>
      </c>
      <c r="AA2744" s="16" t="n">
        <v>94.93357973835305</v>
      </c>
      <c r="AB2744" s="16" t="n">
        <v>2326.393341176755</v>
      </c>
      <c r="AC2744" s="16" t="n">
        <v>2.472814073859603</v>
      </c>
      <c r="AD2744" s="16" t="n"/>
      <c r="AE2744" s="16" t="n"/>
    </row>
    <row r="2745">
      <c r="A2745" s="16" t="inlineStr">
        <is>
          <t>KF-M07-A3-0036</t>
        </is>
      </c>
      <c r="B2745" s="16" t="inlineStr">
        <is>
          <t>5.1</t>
        </is>
      </c>
      <c r="C2745" s="16" t="inlineStr">
        <is>
          <t>5.1c</t>
        </is>
      </c>
      <c r="D2745" s="16" t="inlineStr">
        <is>
          <t>conserva sus temperaturas</t>
        </is>
      </c>
      <c r="E2745" s="16" t="inlineStr">
        <is>
          <t>KF-M07</t>
        </is>
      </c>
      <c r="F2745" s="16" t="inlineStr">
        <is>
          <t>KF-M07-A3</t>
        </is>
      </c>
      <c r="G2745" s="16" t="inlineStr">
        <is>
          <t>B11-A3</t>
        </is>
      </c>
      <c r="H2745" s="16" t="inlineStr">
        <is>
          <t>busqueda</t>
        </is>
      </c>
      <c r="I2745" s="16" t="inlineStr">
        <is>
          <t>CORREGIBLE</t>
        </is>
      </c>
      <c r="J2745" s="16" t="inlineStr">
        <is>
          <t>CORREGIBLE</t>
        </is>
      </c>
      <c r="K2745" s="16" t="b">
        <v>1</v>
      </c>
      <c r="L2745" s="16" t="b">
        <v>0</v>
      </c>
      <c r="M2745" s="16" t="b">
        <v>0</v>
      </c>
      <c r="N2745" s="16" t="b">
        <v>0</v>
      </c>
      <c r="O2745" s="16" t="n">
        <v>623.15</v>
      </c>
      <c r="P2745" s="16" t="n">
        <v>300.032917</v>
      </c>
      <c r="Q2745" s="16" t="n">
        <v>3905.950043184831</v>
      </c>
      <c r="R2745" s="16" t="n">
        <v>1139.556702008077</v>
      </c>
      <c r="S2745" s="16" t="n">
        <v>0.8294780327808849</v>
      </c>
      <c r="T2745" s="16" t="n">
        <v>0.946055907458648</v>
      </c>
      <c r="U2745" s="16" t="n">
        <v>0.8375342727183488</v>
      </c>
      <c r="V2745" s="16" t="n">
        <v>0.4963658855761367</v>
      </c>
      <c r="W2745" s="16" t="n">
        <v>0.9166775946077288</v>
      </c>
      <c r="X2745" s="16" t="n">
        <v>0.9457881775355844</v>
      </c>
      <c r="Y2745" s="16" t="n">
        <v>300.032917</v>
      </c>
      <c r="Z2745" s="16" t="n">
        <v>12.23169030870648</v>
      </c>
      <c r="AA2745" s="16" t="n">
        <v>127.4100106035309</v>
      </c>
      <c r="AB2745" s="16" t="n">
        <v>2766.393341176754</v>
      </c>
      <c r="AC2745" s="16" t="n">
        <v>3.427604818875566</v>
      </c>
      <c r="AD2745" s="16" t="inlineStr">
        <is>
          <t>O2</t>
        </is>
      </c>
      <c r="AE2745" s="16" t="n"/>
    </row>
    <row r="2746">
      <c r="A2746" s="16" t="inlineStr">
        <is>
          <t>KF-M07-A3-0037</t>
        </is>
      </c>
      <c r="B2746" s="16" t="inlineStr">
        <is>
          <t>5.1</t>
        </is>
      </c>
      <c r="C2746" s="16" t="inlineStr">
        <is>
          <t>5.1c</t>
        </is>
      </c>
      <c r="D2746" s="16" t="inlineStr">
        <is>
          <t>conserva sus temperaturas</t>
        </is>
      </c>
      <c r="E2746" s="16" t="inlineStr">
        <is>
          <t>KF-M07</t>
        </is>
      </c>
      <c r="F2746" s="16" t="inlineStr">
        <is>
          <t>KF-M07-A3</t>
        </is>
      </c>
      <c r="G2746" s="16" t="inlineStr">
        <is>
          <t>B11-A3</t>
        </is>
      </c>
      <c r="H2746" s="16" t="inlineStr">
        <is>
          <t>busqueda</t>
        </is>
      </c>
      <c r="I2746" s="16" t="inlineStr">
        <is>
          <t>KALINA</t>
        </is>
      </c>
      <c r="J2746" s="16" t="inlineStr">
        <is>
          <t>KALINA</t>
        </is>
      </c>
      <c r="K2746" s="16" t="b">
        <v>1</v>
      </c>
      <c r="L2746" s="16" t="b">
        <v>1</v>
      </c>
      <c r="M2746" s="16" t="b">
        <v>0</v>
      </c>
      <c r="N2746" s="16" t="b">
        <v>0</v>
      </c>
      <c r="O2746" s="16" t="n">
        <v>623.15</v>
      </c>
      <c r="P2746" s="16" t="n">
        <v>300.032917</v>
      </c>
      <c r="Q2746" s="16" t="n">
        <v>3905.950043184831</v>
      </c>
      <c r="R2746" s="16" t="n">
        <v>1359.556702008076</v>
      </c>
      <c r="S2746" s="16" t="n">
        <v>0.85</v>
      </c>
      <c r="T2746" s="16" t="n">
        <v>0.946055907458648</v>
      </c>
      <c r="U2746" s="16" t="n">
        <v>0.8375342727183488</v>
      </c>
      <c r="V2746" s="16" t="n">
        <v>0.4963658855761367</v>
      </c>
      <c r="W2746" s="16" t="n">
        <v>0.9166775946077288</v>
      </c>
      <c r="X2746" s="16" t="n">
        <v>0.9457881775355844</v>
      </c>
      <c r="Y2746" s="16" t="n">
        <v>300.032917</v>
      </c>
      <c r="Z2746" s="16" t="n">
        <v>10.63717461377035</v>
      </c>
      <c r="AA2746" s="16" t="n">
        <v>109.5880762768501</v>
      </c>
      <c r="AB2746" s="16" t="n">
        <v>2546.393341176755</v>
      </c>
      <c r="AC2746" s="16" t="n">
        <v>2.872958544072278</v>
      </c>
      <c r="AD2746" s="16" t="n"/>
      <c r="AE2746" s="16" t="n"/>
    </row>
    <row r="2747">
      <c r="A2747" s="16" t="inlineStr">
        <is>
          <t>KF-M07-A3-0038</t>
        </is>
      </c>
      <c r="B2747" s="16" t="inlineStr">
        <is>
          <t>5.1</t>
        </is>
      </c>
      <c r="C2747" s="16" t="inlineStr">
        <is>
          <t>5.1c</t>
        </is>
      </c>
      <c r="D2747" s="16" t="inlineStr">
        <is>
          <t>conserva sus temperaturas</t>
        </is>
      </c>
      <c r="E2747" s="16" t="inlineStr">
        <is>
          <t>KF-M07</t>
        </is>
      </c>
      <c r="F2747" s="16" t="inlineStr">
        <is>
          <t>KF-M07-A3</t>
        </is>
      </c>
      <c r="G2747" s="16" t="inlineStr">
        <is>
          <t>B11-A3</t>
        </is>
      </c>
      <c r="H2747" s="16" t="inlineStr">
        <is>
          <t>busqueda</t>
        </is>
      </c>
      <c r="I2747" s="16" t="inlineStr">
        <is>
          <t>KALINA</t>
        </is>
      </c>
      <c r="J2747" s="16" t="inlineStr">
        <is>
          <t>KALINA</t>
        </is>
      </c>
      <c r="K2747" s="16" t="b">
        <v>1</v>
      </c>
      <c r="L2747" s="16" t="b">
        <v>1</v>
      </c>
      <c r="M2747" s="16" t="b">
        <v>0</v>
      </c>
      <c r="N2747" s="16" t="b">
        <v>0</v>
      </c>
      <c r="O2747" s="16" t="n">
        <v>623.15</v>
      </c>
      <c r="P2747" s="16" t="n">
        <v>300.032917</v>
      </c>
      <c r="Q2747" s="16" t="n">
        <v>3905.950043184831</v>
      </c>
      <c r="R2747" s="16" t="n">
        <v>1359.556702008076</v>
      </c>
      <c r="S2747" s="16" t="n">
        <v>0.7944780327808849</v>
      </c>
      <c r="T2747" s="16" t="n">
        <v>0.946055907458648</v>
      </c>
      <c r="U2747" s="16" t="n">
        <v>0.8375342727183488</v>
      </c>
      <c r="V2747" s="16" t="n">
        <v>0.4963658855761367</v>
      </c>
      <c r="W2747" s="16" t="n">
        <v>0.9166775946077288</v>
      </c>
      <c r="X2747" s="16" t="n">
        <v>0.9457881775355844</v>
      </c>
      <c r="Y2747" s="16" t="n">
        <v>300.032917</v>
      </c>
      <c r="Z2747" s="16" t="n">
        <v>10.38052222258579</v>
      </c>
      <c r="AA2747" s="16" t="n">
        <v>110.0296876303527</v>
      </c>
      <c r="AB2747" s="16" t="n">
        <v>2546.393341176755</v>
      </c>
      <c r="AC2747" s="16" t="n">
        <v>2.872958544072278</v>
      </c>
      <c r="AD2747" s="16" t="n"/>
      <c r="AE2747" s="16" t="n"/>
    </row>
    <row r="2748">
      <c r="A2748" s="16" t="inlineStr">
        <is>
          <t>KF-M07-A3-0039</t>
        </is>
      </c>
      <c r="B2748" s="16" t="inlineStr">
        <is>
          <t>5.1</t>
        </is>
      </c>
      <c r="C2748" s="16" t="inlineStr">
        <is>
          <t>5.1c</t>
        </is>
      </c>
      <c r="D2748" s="16" t="inlineStr">
        <is>
          <t>conserva sus temperaturas</t>
        </is>
      </c>
      <c r="E2748" s="16" t="inlineStr">
        <is>
          <t>KF-M07</t>
        </is>
      </c>
      <c r="F2748" s="16" t="inlineStr">
        <is>
          <t>KF-M07-A3</t>
        </is>
      </c>
      <c r="G2748" s="16" t="inlineStr">
        <is>
          <t>B11-A3</t>
        </is>
      </c>
      <c r="H2748" s="16" t="inlineStr">
        <is>
          <t>busqueda</t>
        </is>
      </c>
      <c r="I2748" s="16" t="inlineStr">
        <is>
          <t>KALINA</t>
        </is>
      </c>
      <c r="J2748" s="16" t="inlineStr">
        <is>
          <t>KALINA</t>
        </is>
      </c>
      <c r="K2748" s="16" t="b">
        <v>1</v>
      </c>
      <c r="L2748" s="16" t="b">
        <v>1</v>
      </c>
      <c r="M2748" s="16" t="b">
        <v>0</v>
      </c>
      <c r="N2748" s="16" t="b">
        <v>0</v>
      </c>
      <c r="O2748" s="16" t="n">
        <v>623.15</v>
      </c>
      <c r="P2748" s="16" t="n">
        <v>300.032917</v>
      </c>
      <c r="Q2748" s="16" t="n">
        <v>3905.950043184831</v>
      </c>
      <c r="R2748" s="16" t="n">
        <v>1359.556702008076</v>
      </c>
      <c r="S2748" s="16" t="n">
        <v>0.8294780327808849</v>
      </c>
      <c r="T2748" s="16" t="n">
        <v>0.95</v>
      </c>
      <c r="U2748" s="16" t="n">
        <v>0.8375342727183488</v>
      </c>
      <c r="V2748" s="16" t="n">
        <v>0.4963658855761367</v>
      </c>
      <c r="W2748" s="16" t="n">
        <v>0.9166775946077288</v>
      </c>
      <c r="X2748" s="16" t="n">
        <v>0.9457881775355844</v>
      </c>
      <c r="Y2748" s="16" t="n">
        <v>300.032917</v>
      </c>
      <c r="Z2748" s="16" t="n">
        <v>10.60906814288675</v>
      </c>
      <c r="AA2748" s="16" t="n">
        <v>110.4828670148186</v>
      </c>
      <c r="AB2748" s="16" t="n">
        <v>2546.393341176755</v>
      </c>
      <c r="AC2748" s="16" t="n">
        <v>2.872958544072278</v>
      </c>
      <c r="AD2748" s="16" t="n"/>
      <c r="AE2748" s="16" t="n"/>
    </row>
    <row r="2749">
      <c r="A2749" s="16" t="inlineStr">
        <is>
          <t>KF-M07-A3-0040</t>
        </is>
      </c>
      <c r="B2749" s="16" t="inlineStr">
        <is>
          <t>5.1</t>
        </is>
      </c>
      <c r="C2749" s="16" t="inlineStr">
        <is>
          <t>5.1c</t>
        </is>
      </c>
      <c r="D2749" s="16" t="inlineStr">
        <is>
          <t>conserva sus temperaturas</t>
        </is>
      </c>
      <c r="E2749" s="16" t="inlineStr">
        <is>
          <t>KF-M07</t>
        </is>
      </c>
      <c r="F2749" s="16" t="inlineStr">
        <is>
          <t>KF-M07-A3</t>
        </is>
      </c>
      <c r="G2749" s="16" t="inlineStr">
        <is>
          <t>B11-A3</t>
        </is>
      </c>
      <c r="H2749" s="16" t="inlineStr">
        <is>
          <t>busqueda</t>
        </is>
      </c>
      <c r="I2749" s="16" t="inlineStr">
        <is>
          <t>KALINA</t>
        </is>
      </c>
      <c r="J2749" s="16" t="inlineStr">
        <is>
          <t>KALINA</t>
        </is>
      </c>
      <c r="K2749" s="16" t="b">
        <v>1</v>
      </c>
      <c r="L2749" s="16" t="b">
        <v>1</v>
      </c>
      <c r="M2749" s="16" t="b">
        <v>0</v>
      </c>
      <c r="N2749" s="16" t="b">
        <v>0</v>
      </c>
      <c r="O2749" s="16" t="n">
        <v>623.15</v>
      </c>
      <c r="P2749" s="16" t="n">
        <v>300.032917</v>
      </c>
      <c r="Q2749" s="16" t="n">
        <v>3905.950043184831</v>
      </c>
      <c r="R2749" s="16" t="n">
        <v>1359.556702008076</v>
      </c>
      <c r="S2749" s="16" t="n">
        <v>0.8294780327808849</v>
      </c>
      <c r="T2749" s="16" t="n">
        <v>0.8910559074586479</v>
      </c>
      <c r="U2749" s="16" t="n">
        <v>0.8375342727183488</v>
      </c>
      <c r="V2749" s="16" t="n">
        <v>0.4963658855761367</v>
      </c>
      <c r="W2749" s="16" t="n">
        <v>0.9166775946077288</v>
      </c>
      <c r="X2749" s="16" t="n">
        <v>0.9457881775355844</v>
      </c>
      <c r="Y2749" s="16" t="n">
        <v>300.032917</v>
      </c>
      <c r="Z2749" s="16" t="n">
        <v>9.92642054614293</v>
      </c>
      <c r="AA2749" s="16" t="n">
        <v>103.3595012593186</v>
      </c>
      <c r="AB2749" s="16" t="n">
        <v>2546.393341176755</v>
      </c>
      <c r="AC2749" s="16" t="n">
        <v>2.872958544072278</v>
      </c>
      <c r="AD2749" s="16" t="n"/>
      <c r="AE2749" s="16" t="n"/>
    </row>
    <row r="2750">
      <c r="A2750" s="16" t="inlineStr">
        <is>
          <t>KF-M07-A3-0041</t>
        </is>
      </c>
      <c r="B2750" s="16" t="inlineStr">
        <is>
          <t>5.1</t>
        </is>
      </c>
      <c r="C2750" s="16" t="inlineStr">
        <is>
          <t>5.1c</t>
        </is>
      </c>
      <c r="D2750" s="16" t="inlineStr">
        <is>
          <t>conserva sus temperaturas</t>
        </is>
      </c>
      <c r="E2750" s="16" t="inlineStr">
        <is>
          <t>KF-M07</t>
        </is>
      </c>
      <c r="F2750" s="16" t="inlineStr">
        <is>
          <t>KF-M07-A3</t>
        </is>
      </c>
      <c r="G2750" s="16" t="inlineStr">
        <is>
          <t>B11-A3</t>
        </is>
      </c>
      <c r="H2750" s="16" t="inlineStr">
        <is>
          <t>busqueda</t>
        </is>
      </c>
      <c r="I2750" s="16" t="inlineStr">
        <is>
          <t>KALINA</t>
        </is>
      </c>
      <c r="J2750" s="16" t="inlineStr">
        <is>
          <t>KALINA</t>
        </is>
      </c>
      <c r="K2750" s="16" t="b">
        <v>1</v>
      </c>
      <c r="L2750" s="16" t="b">
        <v>1</v>
      </c>
      <c r="M2750" s="16" t="b">
        <v>0</v>
      </c>
      <c r="N2750" s="16" t="b">
        <v>0</v>
      </c>
      <c r="O2750" s="16" t="n">
        <v>623.15</v>
      </c>
      <c r="P2750" s="16" t="n">
        <v>300.032917</v>
      </c>
      <c r="Q2750" s="16" t="n">
        <v>3905.950043184831</v>
      </c>
      <c r="R2750" s="16" t="n">
        <v>1359.556702008076</v>
      </c>
      <c r="S2750" s="16" t="n">
        <v>0.8294780327808849</v>
      </c>
      <c r="T2750" s="16" t="n">
        <v>0.946055907458648</v>
      </c>
      <c r="U2750" s="16" t="n">
        <v>0.8925342727183487</v>
      </c>
      <c r="V2750" s="16" t="n">
        <v>0.4963658855761367</v>
      </c>
      <c r="W2750" s="16" t="n">
        <v>0.9166775946077288</v>
      </c>
      <c r="X2750" s="16" t="n">
        <v>0.9457881775355844</v>
      </c>
      <c r="Y2750" s="16" t="n">
        <v>300.032917</v>
      </c>
      <c r="Z2750" s="16" t="n">
        <v>10.5882030615104</v>
      </c>
      <c r="AA2750" s="16" t="n">
        <v>110.2756239704046</v>
      </c>
      <c r="AB2750" s="16" t="n">
        <v>2546.393341176755</v>
      </c>
      <c r="AC2750" s="16" t="n">
        <v>2.872958544072278</v>
      </c>
      <c r="AD2750" s="16" t="n"/>
      <c r="AE2750" s="16" t="n"/>
    </row>
    <row r="2751">
      <c r="A2751" s="16" t="inlineStr">
        <is>
          <t>KF-M07-A3-0042</t>
        </is>
      </c>
      <c r="B2751" s="16" t="inlineStr">
        <is>
          <t>5.1</t>
        </is>
      </c>
      <c r="C2751" s="16" t="inlineStr">
        <is>
          <t>5.1c</t>
        </is>
      </c>
      <c r="D2751" s="16" t="inlineStr">
        <is>
          <t>conserva sus temperaturas</t>
        </is>
      </c>
      <c r="E2751" s="16" t="inlineStr">
        <is>
          <t>KF-M07</t>
        </is>
      </c>
      <c r="F2751" s="16" t="inlineStr">
        <is>
          <t>KF-M07-A3</t>
        </is>
      </c>
      <c r="G2751" s="16" t="inlineStr">
        <is>
          <t>B11-A3</t>
        </is>
      </c>
      <c r="H2751" s="16" t="inlineStr">
        <is>
          <t>busqueda</t>
        </is>
      </c>
      <c r="I2751" s="16" t="inlineStr">
        <is>
          <t>KALINA</t>
        </is>
      </c>
      <c r="J2751" s="16" t="inlineStr">
        <is>
          <t>KALINA</t>
        </is>
      </c>
      <c r="K2751" s="16" t="b">
        <v>1</v>
      </c>
      <c r="L2751" s="16" t="b">
        <v>1</v>
      </c>
      <c r="M2751" s="16" t="b">
        <v>0</v>
      </c>
      <c r="N2751" s="16" t="b">
        <v>0</v>
      </c>
      <c r="O2751" s="16" t="n">
        <v>623.15</v>
      </c>
      <c r="P2751" s="16" t="n">
        <v>300.032917</v>
      </c>
      <c r="Q2751" s="16" t="n">
        <v>3905.950043184831</v>
      </c>
      <c r="R2751" s="16" t="n">
        <v>1359.556702008076</v>
      </c>
      <c r="S2751" s="16" t="n">
        <v>0.8294780327808849</v>
      </c>
      <c r="T2751" s="16" t="n">
        <v>0.946055907458648</v>
      </c>
      <c r="U2751" s="16" t="n">
        <v>0.7825342727183489</v>
      </c>
      <c r="V2751" s="16" t="n">
        <v>0.4963658855761367</v>
      </c>
      <c r="W2751" s="16" t="n">
        <v>0.9166775946077288</v>
      </c>
      <c r="X2751" s="16" t="n">
        <v>0.9457881775355844</v>
      </c>
      <c r="Y2751" s="16" t="n">
        <v>300.032917</v>
      </c>
      <c r="Z2751" s="16" t="n">
        <v>10.5351104662816</v>
      </c>
      <c r="AA2751" s="16" t="n">
        <v>109.6991001162995</v>
      </c>
      <c r="AB2751" s="16" t="n">
        <v>2546.393341176755</v>
      </c>
      <c r="AC2751" s="16" t="n">
        <v>2.872958544072278</v>
      </c>
      <c r="AD2751" s="16" t="n"/>
      <c r="AE2751" s="16" t="n"/>
    </row>
    <row r="2752">
      <c r="A2752" s="16" t="inlineStr">
        <is>
          <t>KF-M07-A3-0043</t>
        </is>
      </c>
      <c r="B2752" s="16" t="inlineStr">
        <is>
          <t>5.1</t>
        </is>
      </c>
      <c r="C2752" s="16" t="inlineStr">
        <is>
          <t>5.1c</t>
        </is>
      </c>
      <c r="D2752" s="16" t="inlineStr">
        <is>
          <t>conserva sus temperaturas</t>
        </is>
      </c>
      <c r="E2752" s="16" t="inlineStr">
        <is>
          <t>KF-M07</t>
        </is>
      </c>
      <c r="F2752" s="16" t="inlineStr">
        <is>
          <t>KF-M07-A3</t>
        </is>
      </c>
      <c r="G2752" s="16" t="inlineStr">
        <is>
          <t>B11-A3</t>
        </is>
      </c>
      <c r="H2752" s="16" t="inlineStr">
        <is>
          <t>busqueda</t>
        </is>
      </c>
      <c r="I2752" s="16" t="inlineStr">
        <is>
          <t>NO_CONVERGIO</t>
        </is>
      </c>
      <c r="J2752" s="16" t="inlineStr">
        <is>
          <t>NO_CONVERGIO</t>
        </is>
      </c>
      <c r="K2752" s="16" t="b">
        <v>0</v>
      </c>
      <c r="L2752" s="16" t="b">
        <v>0</v>
      </c>
      <c r="M2752" s="16" t="b">
        <v>0</v>
      </c>
      <c r="N2752" s="16" t="b">
        <v>0</v>
      </c>
      <c r="O2752" s="16" t="n">
        <v>623.15</v>
      </c>
      <c r="P2752" s="16" t="n">
        <v>300.032917</v>
      </c>
      <c r="Q2752" s="16" t="n">
        <v>3905.950043184831</v>
      </c>
      <c r="R2752" s="16" t="n">
        <v>1359.556702008076</v>
      </c>
      <c r="S2752" s="16" t="n">
        <v>0.8294780327808849</v>
      </c>
      <c r="T2752" s="16" t="n">
        <v>0.946055907458648</v>
      </c>
      <c r="U2752" s="16" t="n">
        <v>0.8375342727183488</v>
      </c>
      <c r="V2752" s="16" t="n">
        <v>0.5513658855761367</v>
      </c>
      <c r="W2752" s="16" t="n">
        <v>0.9166775946077288</v>
      </c>
      <c r="X2752" s="16" t="n">
        <v>0.9457881775355844</v>
      </c>
      <c r="Y2752" s="16" t="n">
        <v>300.032917</v>
      </c>
      <c r="Z2752" s="16" t="n"/>
      <c r="AA2752" s="16" t="n"/>
      <c r="AB2752" s="16" t="n">
        <v>2546.393341176755</v>
      </c>
      <c r="AC2752" s="16" t="n">
        <v>2.872958544072278</v>
      </c>
      <c r="AD2752" s="16" t="n"/>
      <c r="AE2752" s="16" t="n"/>
    </row>
    <row r="2753">
      <c r="A2753" s="16" t="inlineStr">
        <is>
          <t>KF-M07-A3-0044</t>
        </is>
      </c>
      <c r="B2753" s="16" t="inlineStr">
        <is>
          <t>5.1</t>
        </is>
      </c>
      <c r="C2753" s="16" t="inlineStr">
        <is>
          <t>5.1c</t>
        </is>
      </c>
      <c r="D2753" s="16" t="inlineStr">
        <is>
          <t>conserva sus temperaturas</t>
        </is>
      </c>
      <c r="E2753" s="16" t="inlineStr">
        <is>
          <t>KF-M07</t>
        </is>
      </c>
      <c r="F2753" s="16" t="inlineStr">
        <is>
          <t>KF-M07-A3</t>
        </is>
      </c>
      <c r="G2753" s="16" t="inlineStr">
        <is>
          <t>B11-A3</t>
        </is>
      </c>
      <c r="H2753" s="16" t="inlineStr">
        <is>
          <t>busqueda</t>
        </is>
      </c>
      <c r="I2753" s="16" t="inlineStr">
        <is>
          <t>KALINA</t>
        </is>
      </c>
      <c r="J2753" s="16" t="inlineStr">
        <is>
          <t>KALINA</t>
        </is>
      </c>
      <c r="K2753" s="16" t="b">
        <v>1</v>
      </c>
      <c r="L2753" s="16" t="b">
        <v>1</v>
      </c>
      <c r="M2753" s="16" t="b">
        <v>0</v>
      </c>
      <c r="N2753" s="16" t="b">
        <v>0</v>
      </c>
      <c r="O2753" s="16" t="n">
        <v>623.15</v>
      </c>
      <c r="P2753" s="16" t="n">
        <v>300.032917</v>
      </c>
      <c r="Q2753" s="16" t="n">
        <v>3905.950043184831</v>
      </c>
      <c r="R2753" s="16" t="n">
        <v>1359.556702008076</v>
      </c>
      <c r="S2753" s="16" t="n">
        <v>0.8294780327808849</v>
      </c>
      <c r="T2753" s="16" t="n">
        <v>0.946055907458648</v>
      </c>
      <c r="U2753" s="16" t="n">
        <v>0.8375342727183488</v>
      </c>
      <c r="V2753" s="16" t="n">
        <v>0.4413658855761367</v>
      </c>
      <c r="W2753" s="16" t="n">
        <v>0.9166775946077288</v>
      </c>
      <c r="X2753" s="16" t="n">
        <v>0.9457881775355844</v>
      </c>
      <c r="Y2753" s="16" t="n">
        <v>300.032917</v>
      </c>
      <c r="Z2753" s="16" t="n">
        <v>10.45158600928719</v>
      </c>
      <c r="AA2753" s="16" t="n">
        <v>96.47928509872868</v>
      </c>
      <c r="AB2753" s="16" t="n">
        <v>2546.393341176755</v>
      </c>
      <c r="AC2753" s="16" t="n">
        <v>2.872958544072278</v>
      </c>
      <c r="AD2753" s="16" t="n"/>
      <c r="AE2753" s="16" t="n"/>
    </row>
    <row r="2754">
      <c r="A2754" s="16" t="inlineStr">
        <is>
          <t>KF-M07-A3-0045</t>
        </is>
      </c>
      <c r="B2754" s="16" t="inlineStr">
        <is>
          <t>5.1</t>
        </is>
      </c>
      <c r="C2754" s="16" t="inlineStr">
        <is>
          <t>5.1c</t>
        </is>
      </c>
      <c r="D2754" s="16" t="inlineStr">
        <is>
          <t>conserva sus temperaturas</t>
        </is>
      </c>
      <c r="E2754" s="16" t="inlineStr">
        <is>
          <t>KF-M07</t>
        </is>
      </c>
      <c r="F2754" s="16" t="inlineStr">
        <is>
          <t>KF-M07-A3</t>
        </is>
      </c>
      <c r="G2754" s="16" t="inlineStr">
        <is>
          <t>B11-A3</t>
        </is>
      </c>
      <c r="H2754" s="16" t="inlineStr">
        <is>
          <t>busqueda</t>
        </is>
      </c>
      <c r="I2754" s="16" t="inlineStr">
        <is>
          <t>KALINA</t>
        </is>
      </c>
      <c r="J2754" s="16" t="inlineStr">
        <is>
          <t>KALINA</t>
        </is>
      </c>
      <c r="K2754" s="16" t="b">
        <v>1</v>
      </c>
      <c r="L2754" s="16" t="b">
        <v>1</v>
      </c>
      <c r="M2754" s="16" t="b">
        <v>0</v>
      </c>
      <c r="N2754" s="16" t="b">
        <v>0</v>
      </c>
      <c r="O2754" s="16" t="n">
        <v>623.15</v>
      </c>
      <c r="P2754" s="16" t="n">
        <v>300.032917</v>
      </c>
      <c r="Q2754" s="16" t="n">
        <v>3905.950043184831</v>
      </c>
      <c r="R2754" s="16" t="n">
        <v>1359.556702008076</v>
      </c>
      <c r="S2754" s="16" t="n">
        <v>0.8294780327808849</v>
      </c>
      <c r="T2754" s="16" t="n">
        <v>0.946055907458648</v>
      </c>
      <c r="U2754" s="16" t="n">
        <v>0.8375342727183488</v>
      </c>
      <c r="V2754" s="16" t="n">
        <v>0.4963658855761367</v>
      </c>
      <c r="W2754" s="16" t="n">
        <v>0.95</v>
      </c>
      <c r="X2754" s="16" t="n">
        <v>0.9457881775355844</v>
      </c>
      <c r="Y2754" s="16" t="n">
        <v>300.032917</v>
      </c>
      <c r="Z2754" s="16" t="n">
        <v>10.6033554918878</v>
      </c>
      <c r="AA2754" s="16" t="n">
        <v>110.227722781425</v>
      </c>
      <c r="AB2754" s="16" t="n">
        <v>2546.393341176755</v>
      </c>
      <c r="AC2754" s="16" t="n">
        <v>2.872958544072278</v>
      </c>
      <c r="AD2754" s="16" t="n"/>
      <c r="AE2754" s="16" t="n"/>
    </row>
    <row r="2755">
      <c r="A2755" s="16" t="inlineStr">
        <is>
          <t>KF-M07-A3-0046</t>
        </is>
      </c>
      <c r="B2755" s="16" t="inlineStr">
        <is>
          <t>5.1</t>
        </is>
      </c>
      <c r="C2755" s="16" t="inlineStr">
        <is>
          <t>5.1c</t>
        </is>
      </c>
      <c r="D2755" s="16" t="inlineStr">
        <is>
          <t>conserva sus temperaturas</t>
        </is>
      </c>
      <c r="E2755" s="16" t="inlineStr">
        <is>
          <t>KF-M07</t>
        </is>
      </c>
      <c r="F2755" s="16" t="inlineStr">
        <is>
          <t>KF-M07-A3</t>
        </is>
      </c>
      <c r="G2755" s="16" t="inlineStr">
        <is>
          <t>B11-A3</t>
        </is>
      </c>
      <c r="H2755" s="16" t="inlineStr">
        <is>
          <t>busqueda</t>
        </is>
      </c>
      <c r="I2755" s="16" t="inlineStr">
        <is>
          <t>KALINA</t>
        </is>
      </c>
      <c r="J2755" s="16" t="inlineStr">
        <is>
          <t>KALINA</t>
        </is>
      </c>
      <c r="K2755" s="16" t="b">
        <v>1</v>
      </c>
      <c r="L2755" s="16" t="b">
        <v>1</v>
      </c>
      <c r="M2755" s="16" t="b">
        <v>0</v>
      </c>
      <c r="N2755" s="16" t="b">
        <v>0</v>
      </c>
      <c r="O2755" s="16" t="n">
        <v>623.15</v>
      </c>
      <c r="P2755" s="16" t="n">
        <v>300.032917</v>
      </c>
      <c r="Q2755" s="16" t="n">
        <v>3905.950043184831</v>
      </c>
      <c r="R2755" s="16" t="n">
        <v>1359.556702008076</v>
      </c>
      <c r="S2755" s="16" t="n">
        <v>0.8294780327808849</v>
      </c>
      <c r="T2755" s="16" t="n">
        <v>0.946055907458648</v>
      </c>
      <c r="U2755" s="16" t="n">
        <v>0.8375342727183488</v>
      </c>
      <c r="V2755" s="16" t="n">
        <v>0.4963658855761367</v>
      </c>
      <c r="W2755" s="16" t="n">
        <v>0.8616775946077286</v>
      </c>
      <c r="X2755" s="16" t="n">
        <v>0.9457881775355844</v>
      </c>
      <c r="Y2755" s="16" t="n">
        <v>300.032917</v>
      </c>
      <c r="Z2755" s="16" t="n">
        <v>10.49742719885381</v>
      </c>
      <c r="AA2755" s="16" t="n">
        <v>109.6387623405796</v>
      </c>
      <c r="AB2755" s="16" t="n">
        <v>2546.393341176755</v>
      </c>
      <c r="AC2755" s="16" t="n">
        <v>2.872958544072278</v>
      </c>
      <c r="AD2755" s="16" t="n"/>
      <c r="AE2755" s="16" t="n"/>
    </row>
    <row r="2756">
      <c r="A2756" s="16" t="inlineStr">
        <is>
          <t>KF-M07-A3-0047</t>
        </is>
      </c>
      <c r="B2756" s="16" t="inlineStr">
        <is>
          <t>5.1</t>
        </is>
      </c>
      <c r="C2756" s="16" t="inlineStr">
        <is>
          <t>5.1c</t>
        </is>
      </c>
      <c r="D2756" s="16" t="inlineStr">
        <is>
          <t>conserva sus temperaturas</t>
        </is>
      </c>
      <c r="E2756" s="16" t="inlineStr">
        <is>
          <t>KF-M07</t>
        </is>
      </c>
      <c r="F2756" s="16" t="inlineStr">
        <is>
          <t>KF-M07-A3</t>
        </is>
      </c>
      <c r="G2756" s="16" t="inlineStr">
        <is>
          <t>B11-A3</t>
        </is>
      </c>
      <c r="H2756" s="16" t="inlineStr">
        <is>
          <t>busqueda</t>
        </is>
      </c>
      <c r="I2756" s="16" t="inlineStr">
        <is>
          <t>KALINA</t>
        </is>
      </c>
      <c r="J2756" s="16" t="inlineStr">
        <is>
          <t>KALINA</t>
        </is>
      </c>
      <c r="K2756" s="16" t="b">
        <v>1</v>
      </c>
      <c r="L2756" s="16" t="b">
        <v>1</v>
      </c>
      <c r="M2756" s="16" t="b">
        <v>0</v>
      </c>
      <c r="N2756" s="16" t="b">
        <v>0</v>
      </c>
      <c r="O2756" s="16" t="n">
        <v>623.15</v>
      </c>
      <c r="P2756" s="16" t="n">
        <v>300.032917</v>
      </c>
      <c r="Q2756" s="16" t="n">
        <v>3905.950043184831</v>
      </c>
      <c r="R2756" s="16" t="n">
        <v>1359.556702008076</v>
      </c>
      <c r="S2756" s="16" t="n">
        <v>0.8294780327808849</v>
      </c>
      <c r="T2756" s="16" t="n">
        <v>0.946055907458648</v>
      </c>
      <c r="U2756" s="16" t="n">
        <v>0.8375342727183488</v>
      </c>
      <c r="V2756" s="16" t="n">
        <v>0.4963658855761367</v>
      </c>
      <c r="W2756" s="16" t="n">
        <v>0.9166775946077288</v>
      </c>
      <c r="X2756" s="16" t="n">
        <v>0.95</v>
      </c>
      <c r="Y2756" s="16" t="n">
        <v>300.032917</v>
      </c>
      <c r="Z2756" s="16" t="n">
        <v>10.53089685065494</v>
      </c>
      <c r="AA2756" s="16" t="n">
        <v>109.8294403236143</v>
      </c>
      <c r="AB2756" s="16" t="n">
        <v>2546.393341176755</v>
      </c>
      <c r="AC2756" s="16" t="n">
        <v>2.872958544072278</v>
      </c>
      <c r="AD2756" s="16" t="n"/>
      <c r="AE2756" s="16" t="n"/>
    </row>
    <row r="2757">
      <c r="A2757" s="16" t="inlineStr">
        <is>
          <t>KF-M07-A3-0048</t>
        </is>
      </c>
      <c r="B2757" s="16" t="inlineStr">
        <is>
          <t>5.1</t>
        </is>
      </c>
      <c r="C2757" s="16" t="inlineStr">
        <is>
          <t>5.1c</t>
        </is>
      </c>
      <c r="D2757" s="16" t="inlineStr">
        <is>
          <t>conserva sus temperaturas</t>
        </is>
      </c>
      <c r="E2757" s="16" t="inlineStr">
        <is>
          <t>KF-M07</t>
        </is>
      </c>
      <c r="F2757" s="16" t="inlineStr">
        <is>
          <t>KF-M07-A3</t>
        </is>
      </c>
      <c r="G2757" s="16" t="inlineStr">
        <is>
          <t>B11-A3</t>
        </is>
      </c>
      <c r="H2757" s="16" t="inlineStr">
        <is>
          <t>busqueda</t>
        </is>
      </c>
      <c r="I2757" s="16" t="inlineStr">
        <is>
          <t>CORREGIBLE</t>
        </is>
      </c>
      <c r="J2757" s="16" t="inlineStr">
        <is>
          <t>CORREGIBLE</t>
        </is>
      </c>
      <c r="K2757" s="16" t="b">
        <v>1</v>
      </c>
      <c r="L2757" s="16" t="b">
        <v>0</v>
      </c>
      <c r="M2757" s="16" t="b">
        <v>0</v>
      </c>
      <c r="N2757" s="16" t="b">
        <v>0</v>
      </c>
      <c r="O2757" s="16" t="n">
        <v>623.15</v>
      </c>
      <c r="P2757" s="16" t="n">
        <v>300.032917</v>
      </c>
      <c r="Q2757" s="16" t="n">
        <v>3905.950043184831</v>
      </c>
      <c r="R2757" s="16" t="n">
        <v>1359.556702008076</v>
      </c>
      <c r="S2757" s="16" t="n">
        <v>0.8294780327808849</v>
      </c>
      <c r="T2757" s="16" t="n">
        <v>0.946055907458648</v>
      </c>
      <c r="U2757" s="16" t="n">
        <v>0.8375342727183488</v>
      </c>
      <c r="V2757" s="16" t="n">
        <v>0.4963658855761367</v>
      </c>
      <c r="W2757" s="16" t="n">
        <v>0.9166775946077288</v>
      </c>
      <c r="X2757" s="16" t="n">
        <v>0.8907881775355844</v>
      </c>
      <c r="Y2757" s="16" t="n">
        <v>300.032917</v>
      </c>
      <c r="Z2757" s="16" t="n">
        <v>10.97162556487748</v>
      </c>
      <c r="AA2757" s="16" t="n">
        <v>111.9224548904796</v>
      </c>
      <c r="AB2757" s="16" t="n">
        <v>2546.393341176755</v>
      </c>
      <c r="AC2757" s="16" t="n">
        <v>2.872958544072278</v>
      </c>
      <c r="AD2757" s="16" t="inlineStr">
        <is>
          <t>O2</t>
        </is>
      </c>
      <c r="AE2757" s="16" t="n"/>
    </row>
    <row r="2758">
      <c r="A2758" s="16" t="inlineStr">
        <is>
          <t>KF-M07-A3-0049</t>
        </is>
      </c>
      <c r="B2758" s="16" t="inlineStr">
        <is>
          <t>5.1</t>
        </is>
      </c>
      <c r="C2758" s="16" t="inlineStr">
        <is>
          <t>5.1c</t>
        </is>
      </c>
      <c r="D2758" s="16" t="inlineStr">
        <is>
          <t>conserva sus temperaturas</t>
        </is>
      </c>
      <c r="E2758" s="16" t="inlineStr">
        <is>
          <t>KF-M07</t>
        </is>
      </c>
      <c r="F2758" s="16" t="inlineStr">
        <is>
          <t>KF-M07-A3</t>
        </is>
      </c>
      <c r="G2758" s="16" t="inlineStr">
        <is>
          <t>B11-A3</t>
        </is>
      </c>
      <c r="H2758" s="16" t="inlineStr">
        <is>
          <t>busqueda</t>
        </is>
      </c>
      <c r="I2758" s="16" t="inlineStr">
        <is>
          <t>KALINA</t>
        </is>
      </c>
      <c r="J2758" s="16" t="inlineStr">
        <is>
          <t>KALINA</t>
        </is>
      </c>
      <c r="K2758" s="16" t="b">
        <v>1</v>
      </c>
      <c r="L2758" s="16" t="b">
        <v>1</v>
      </c>
      <c r="M2758" s="16" t="b">
        <v>0</v>
      </c>
      <c r="N2758" s="16" t="b">
        <v>0</v>
      </c>
      <c r="O2758" s="16" t="n">
        <v>623.15</v>
      </c>
      <c r="P2758" s="16" t="n">
        <v>300.032917</v>
      </c>
      <c r="Q2758" s="16" t="n">
        <v>4505.950043184831</v>
      </c>
      <c r="R2758" s="16" t="n">
        <v>1359.556702008076</v>
      </c>
      <c r="S2758" s="16" t="n">
        <v>0.8294780327808849</v>
      </c>
      <c r="T2758" s="16" t="n">
        <v>0.946055907458648</v>
      </c>
      <c r="U2758" s="16" t="n">
        <v>0.8375342727183488</v>
      </c>
      <c r="V2758" s="16" t="n">
        <v>0.4963658855761367</v>
      </c>
      <c r="W2758" s="16" t="n">
        <v>0.9166775946077288</v>
      </c>
      <c r="X2758" s="16" t="n">
        <v>0.9457881775355844</v>
      </c>
      <c r="Y2758" s="16" t="n">
        <v>300.032917</v>
      </c>
      <c r="Z2758" s="16" t="n">
        <v>11.80035502192042</v>
      </c>
      <c r="AA2758" s="16" t="n">
        <v>121.8992533340864</v>
      </c>
      <c r="AB2758" s="16" t="n">
        <v>3146.393341176755</v>
      </c>
      <c r="AC2758" s="16" t="n">
        <v>3.314278864963488</v>
      </c>
      <c r="AD2758" s="16" t="n"/>
      <c r="AE2758" s="16" t="n"/>
    </row>
    <row r="2759">
      <c r="A2759" s="16" t="inlineStr">
        <is>
          <t>KF-M07-A3-0050</t>
        </is>
      </c>
      <c r="B2759" s="16" t="inlineStr">
        <is>
          <t>5.1</t>
        </is>
      </c>
      <c r="C2759" s="16" t="inlineStr">
        <is>
          <t>5.1c</t>
        </is>
      </c>
      <c r="D2759" s="16" t="inlineStr">
        <is>
          <t>conserva sus temperaturas</t>
        </is>
      </c>
      <c r="E2759" s="16" t="inlineStr">
        <is>
          <t>KF-M07</t>
        </is>
      </c>
      <c r="F2759" s="16" t="inlineStr">
        <is>
          <t>KF-M07-A3</t>
        </is>
      </c>
      <c r="G2759" s="16" t="inlineStr">
        <is>
          <t>B11-A3</t>
        </is>
      </c>
      <c r="H2759" s="16" t="inlineStr">
        <is>
          <t>busqueda</t>
        </is>
      </c>
      <c r="I2759" s="16" t="inlineStr">
        <is>
          <t>KALINA</t>
        </is>
      </c>
      <c r="J2759" s="16" t="inlineStr">
        <is>
          <t>KALINA</t>
        </is>
      </c>
      <c r="K2759" s="16" t="b">
        <v>1</v>
      </c>
      <c r="L2759" s="16" t="b">
        <v>1</v>
      </c>
      <c r="M2759" s="16" t="b">
        <v>0</v>
      </c>
      <c r="N2759" s="16" t="b">
        <v>0</v>
      </c>
      <c r="O2759" s="16" t="n">
        <v>623.15</v>
      </c>
      <c r="P2759" s="16" t="n">
        <v>300.032917</v>
      </c>
      <c r="Q2759" s="16" t="n">
        <v>3905.950043184831</v>
      </c>
      <c r="R2759" s="16" t="n">
        <v>1359.556702008076</v>
      </c>
      <c r="S2759" s="16" t="n">
        <v>0.8294780327808849</v>
      </c>
      <c r="T2759" s="16" t="n">
        <v>0.946055907458648</v>
      </c>
      <c r="U2759" s="16" t="n">
        <v>0.8375342727183488</v>
      </c>
      <c r="V2759" s="16" t="n">
        <v>0.4963658855761367</v>
      </c>
      <c r="W2759" s="16" t="n">
        <v>0.9166775946077288</v>
      </c>
      <c r="X2759" s="16" t="n">
        <v>0.9457881775355844</v>
      </c>
      <c r="Y2759" s="16" t="n">
        <v>300.032917</v>
      </c>
      <c r="Z2759" s="16" t="n">
        <v>10.56340290371979</v>
      </c>
      <c r="AA2759" s="16" t="n">
        <v>110.0062930715762</v>
      </c>
      <c r="AB2759" s="16" t="n">
        <v>2546.393341176755</v>
      </c>
      <c r="AC2759" s="16" t="n">
        <v>2.872958544072278</v>
      </c>
      <c r="AD2759" s="16" t="n"/>
      <c r="AE2759" s="16" t="n"/>
    </row>
    <row r="2760">
      <c r="A2760" s="16" t="inlineStr">
        <is>
          <t>KF-M07-A3-0051</t>
        </is>
      </c>
      <c r="B2760" s="16" t="inlineStr">
        <is>
          <t>5.1</t>
        </is>
      </c>
      <c r="C2760" s="16" t="inlineStr">
        <is>
          <t>5.1c</t>
        </is>
      </c>
      <c r="D2760" s="16" t="inlineStr">
        <is>
          <t>conserva sus temperaturas</t>
        </is>
      </c>
      <c r="E2760" s="16" t="inlineStr">
        <is>
          <t>KF-M07</t>
        </is>
      </c>
      <c r="F2760" s="16" t="inlineStr">
        <is>
          <t>KF-M07-A3</t>
        </is>
      </c>
      <c r="G2760" s="16" t="inlineStr">
        <is>
          <t>B11-A3</t>
        </is>
      </c>
      <c r="H2760" s="16" t="inlineStr">
        <is>
          <t>busqueda</t>
        </is>
      </c>
      <c r="I2760" s="16" t="inlineStr">
        <is>
          <t>KALINA</t>
        </is>
      </c>
      <c r="J2760" s="16" t="inlineStr">
        <is>
          <t>KALINA</t>
        </is>
      </c>
      <c r="K2760" s="16" t="b">
        <v>1</v>
      </c>
      <c r="L2760" s="16" t="b">
        <v>1</v>
      </c>
      <c r="M2760" s="16" t="b">
        <v>0</v>
      </c>
      <c r="N2760" s="16" t="b">
        <v>0</v>
      </c>
      <c r="O2760" s="16" t="n">
        <v>623.15</v>
      </c>
      <c r="P2760" s="16" t="n">
        <v>300.032917</v>
      </c>
      <c r="Q2760" s="16" t="n">
        <v>4205.950043184831</v>
      </c>
      <c r="R2760" s="16" t="n">
        <v>1579.556702008076</v>
      </c>
      <c r="S2760" s="16" t="n">
        <v>0.8294780327808849</v>
      </c>
      <c r="T2760" s="16" t="n">
        <v>0.946055907458648</v>
      </c>
      <c r="U2760" s="16" t="n">
        <v>0.8375342727183488</v>
      </c>
      <c r="V2760" s="16" t="n">
        <v>0.4963658855761367</v>
      </c>
      <c r="W2760" s="16" t="n">
        <v>0.9166775946077288</v>
      </c>
      <c r="X2760" s="16" t="n">
        <v>0.9457881775355844</v>
      </c>
      <c r="Y2760" s="16" t="n">
        <v>300.032917</v>
      </c>
      <c r="Z2760" s="16" t="n">
        <v>9.77993298114264</v>
      </c>
      <c r="AA2760" s="16" t="n">
        <v>101.4155121176465</v>
      </c>
      <c r="AB2760" s="16" t="n">
        <v>2626.393341176755</v>
      </c>
      <c r="AC2760" s="16" t="n">
        <v>2.662740779003276</v>
      </c>
      <c r="AD2760" s="16" t="n"/>
      <c r="AE2760" s="16" t="n"/>
    </row>
    <row r="2761">
      <c r="A2761" s="16" t="inlineStr">
        <is>
          <t>KF-M07-A3-0052</t>
        </is>
      </c>
      <c r="B2761" s="16" t="inlineStr">
        <is>
          <t>5.1</t>
        </is>
      </c>
      <c r="C2761" s="16" t="inlineStr">
        <is>
          <t>5.1c</t>
        </is>
      </c>
      <c r="D2761" s="16" t="inlineStr">
        <is>
          <t>conserva sus temperaturas</t>
        </is>
      </c>
      <c r="E2761" s="16" t="inlineStr">
        <is>
          <t>KF-M07</t>
        </is>
      </c>
      <c r="F2761" s="16" t="inlineStr">
        <is>
          <t>KF-M07-A3</t>
        </is>
      </c>
      <c r="G2761" s="16" t="inlineStr">
        <is>
          <t>B11-A3</t>
        </is>
      </c>
      <c r="H2761" s="16" t="inlineStr">
        <is>
          <t>busqueda</t>
        </is>
      </c>
      <c r="I2761" s="16" t="inlineStr">
        <is>
          <t>CORREGIBLE</t>
        </is>
      </c>
      <c r="J2761" s="16" t="inlineStr">
        <is>
          <t>CORREGIBLE</t>
        </is>
      </c>
      <c r="K2761" s="16" t="b">
        <v>1</v>
      </c>
      <c r="L2761" s="16" t="b">
        <v>0</v>
      </c>
      <c r="M2761" s="16" t="b">
        <v>0</v>
      </c>
      <c r="N2761" s="16" t="b">
        <v>0</v>
      </c>
      <c r="O2761" s="16" t="n">
        <v>623.15</v>
      </c>
      <c r="P2761" s="16" t="n">
        <v>300.032917</v>
      </c>
      <c r="Q2761" s="16" t="n">
        <v>4205.950043184831</v>
      </c>
      <c r="R2761" s="16" t="n">
        <v>1139.556702008077</v>
      </c>
      <c r="S2761" s="16" t="n">
        <v>0.8294780327808849</v>
      </c>
      <c r="T2761" s="16" t="n">
        <v>0.946055907458648</v>
      </c>
      <c r="U2761" s="16" t="n">
        <v>0.8375342727183488</v>
      </c>
      <c r="V2761" s="16" t="n">
        <v>0.4963658855761367</v>
      </c>
      <c r="W2761" s="16" t="n">
        <v>0.9166775946077288</v>
      </c>
      <c r="X2761" s="16" t="n">
        <v>0.9457881775355844</v>
      </c>
      <c r="Y2761" s="16" t="n">
        <v>300.032917</v>
      </c>
      <c r="Z2761" s="16" t="n">
        <v>12.86325879408163</v>
      </c>
      <c r="AA2761" s="16" t="n">
        <v>133.4466173761082</v>
      </c>
      <c r="AB2761" s="16" t="n">
        <v>3066.393341176754</v>
      </c>
      <c r="AC2761" s="16" t="n">
        <v>3.69086508444318</v>
      </c>
      <c r="AD2761" s="16" t="inlineStr">
        <is>
          <t>O2</t>
        </is>
      </c>
      <c r="AE2761" s="16" t="n"/>
    </row>
    <row r="2762">
      <c r="A2762" s="16" t="inlineStr">
        <is>
          <t>KF-M07-A3-0053</t>
        </is>
      </c>
      <c r="B2762" s="16" t="inlineStr">
        <is>
          <t>5.1</t>
        </is>
      </c>
      <c r="C2762" s="16" t="inlineStr">
        <is>
          <t>5.1c</t>
        </is>
      </c>
      <c r="D2762" s="16" t="inlineStr">
        <is>
          <t>conserva sus temperaturas</t>
        </is>
      </c>
      <c r="E2762" s="16" t="inlineStr">
        <is>
          <t>KF-M07</t>
        </is>
      </c>
      <c r="F2762" s="16" t="inlineStr">
        <is>
          <t>KF-M07-A3</t>
        </is>
      </c>
      <c r="G2762" s="16" t="inlineStr">
        <is>
          <t>B11-A3</t>
        </is>
      </c>
      <c r="H2762" s="16" t="inlineStr">
        <is>
          <t>busqueda</t>
        </is>
      </c>
      <c r="I2762" s="16" t="inlineStr">
        <is>
          <t>KALINA</t>
        </is>
      </c>
      <c r="J2762" s="16" t="inlineStr">
        <is>
          <t>KALINA</t>
        </is>
      </c>
      <c r="K2762" s="16" t="b">
        <v>1</v>
      </c>
      <c r="L2762" s="16" t="b">
        <v>1</v>
      </c>
      <c r="M2762" s="16" t="b">
        <v>0</v>
      </c>
      <c r="N2762" s="16" t="b">
        <v>0</v>
      </c>
      <c r="O2762" s="16" t="n">
        <v>623.15</v>
      </c>
      <c r="P2762" s="16" t="n">
        <v>300.032917</v>
      </c>
      <c r="Q2762" s="16" t="n">
        <v>4205.950043184831</v>
      </c>
      <c r="R2762" s="16" t="n">
        <v>1359.556702008076</v>
      </c>
      <c r="S2762" s="16" t="n">
        <v>0.85</v>
      </c>
      <c r="T2762" s="16" t="n">
        <v>0.946055907458648</v>
      </c>
      <c r="U2762" s="16" t="n">
        <v>0.8375342727183488</v>
      </c>
      <c r="V2762" s="16" t="n">
        <v>0.4963658855761367</v>
      </c>
      <c r="W2762" s="16" t="n">
        <v>0.9166775946077288</v>
      </c>
      <c r="X2762" s="16" t="n">
        <v>0.9457881775355844</v>
      </c>
      <c r="Y2762" s="16" t="n">
        <v>300.032917</v>
      </c>
      <c r="Z2762" s="16" t="n">
        <v>11.28574453878601</v>
      </c>
      <c r="AA2762" s="16" t="n">
        <v>115.8152747374754</v>
      </c>
      <c r="AB2762" s="16" t="n">
        <v>2846.393341176755</v>
      </c>
      <c r="AC2762" s="16" t="n">
        <v>3.093618704517883</v>
      </c>
      <c r="AD2762" s="16" t="n"/>
      <c r="AE2762" s="16" t="n"/>
    </row>
    <row r="2763">
      <c r="A2763" s="16" t="inlineStr">
        <is>
          <t>KF-M07-A3-0054</t>
        </is>
      </c>
      <c r="B2763" s="16" t="inlineStr">
        <is>
          <t>5.1</t>
        </is>
      </c>
      <c r="C2763" s="16" t="inlineStr">
        <is>
          <t>5.1c</t>
        </is>
      </c>
      <c r="D2763" s="16" t="inlineStr">
        <is>
          <t>conserva sus temperaturas</t>
        </is>
      </c>
      <c r="E2763" s="16" t="inlineStr">
        <is>
          <t>KF-M07</t>
        </is>
      </c>
      <c r="F2763" s="16" t="inlineStr">
        <is>
          <t>KF-M07-A3</t>
        </is>
      </c>
      <c r="G2763" s="16" t="inlineStr">
        <is>
          <t>B11-A3</t>
        </is>
      </c>
      <c r="H2763" s="16" t="inlineStr">
        <is>
          <t>busqueda</t>
        </is>
      </c>
      <c r="I2763" s="16" t="inlineStr">
        <is>
          <t>KALINA</t>
        </is>
      </c>
      <c r="J2763" s="16" t="inlineStr">
        <is>
          <t>KALINA</t>
        </is>
      </c>
      <c r="K2763" s="16" t="b">
        <v>1</v>
      </c>
      <c r="L2763" s="16" t="b">
        <v>1</v>
      </c>
      <c r="M2763" s="16" t="b">
        <v>0</v>
      </c>
      <c r="N2763" s="16" t="b">
        <v>0</v>
      </c>
      <c r="O2763" s="16" t="n">
        <v>623.15</v>
      </c>
      <c r="P2763" s="16" t="n">
        <v>300.032917</v>
      </c>
      <c r="Q2763" s="16" t="n">
        <v>4205.950043184831</v>
      </c>
      <c r="R2763" s="16" t="n">
        <v>1359.556702008076</v>
      </c>
      <c r="S2763" s="16" t="n">
        <v>0.7944780327808849</v>
      </c>
      <c r="T2763" s="16" t="n">
        <v>0.946055907458648</v>
      </c>
      <c r="U2763" s="16" t="n">
        <v>0.8375342727183488</v>
      </c>
      <c r="V2763" s="16" t="n">
        <v>0.4963658855761367</v>
      </c>
      <c r="W2763" s="16" t="n">
        <v>0.9166775946077288</v>
      </c>
      <c r="X2763" s="16" t="n">
        <v>0.9457881775355844</v>
      </c>
      <c r="Y2763" s="16" t="n">
        <v>300.032917</v>
      </c>
      <c r="Z2763" s="16" t="n">
        <v>11.02197318905251</v>
      </c>
      <c r="AA2763" s="16" t="n">
        <v>116.3297638392871</v>
      </c>
      <c r="AB2763" s="16" t="n">
        <v>2846.393341176755</v>
      </c>
      <c r="AC2763" s="16" t="n">
        <v>3.093618704517883</v>
      </c>
      <c r="AD2763" s="16" t="n"/>
      <c r="AE2763" s="16" t="n"/>
    </row>
    <row r="2764">
      <c r="A2764" s="16" t="inlineStr">
        <is>
          <t>KF-M07-A3-0055</t>
        </is>
      </c>
      <c r="B2764" s="16" t="inlineStr">
        <is>
          <t>5.1</t>
        </is>
      </c>
      <c r="C2764" s="16" t="inlineStr">
        <is>
          <t>5.1c</t>
        </is>
      </c>
      <c r="D2764" s="16" t="inlineStr">
        <is>
          <t>conserva sus temperaturas</t>
        </is>
      </c>
      <c r="E2764" s="16" t="inlineStr">
        <is>
          <t>KF-M07</t>
        </is>
      </c>
      <c r="F2764" s="16" t="inlineStr">
        <is>
          <t>KF-M07-A3</t>
        </is>
      </c>
      <c r="G2764" s="16" t="inlineStr">
        <is>
          <t>B11-A3</t>
        </is>
      </c>
      <c r="H2764" s="16" t="inlineStr">
        <is>
          <t>busqueda</t>
        </is>
      </c>
      <c r="I2764" s="16" t="inlineStr">
        <is>
          <t>KALINA</t>
        </is>
      </c>
      <c r="J2764" s="16" t="inlineStr">
        <is>
          <t>KALINA</t>
        </is>
      </c>
      <c r="K2764" s="16" t="b">
        <v>1</v>
      </c>
      <c r="L2764" s="16" t="b">
        <v>1</v>
      </c>
      <c r="M2764" s="16" t="b">
        <v>0</v>
      </c>
      <c r="N2764" s="16" t="b">
        <v>0</v>
      </c>
      <c r="O2764" s="16" t="n">
        <v>623.15</v>
      </c>
      <c r="P2764" s="16" t="n">
        <v>300.032917</v>
      </c>
      <c r="Q2764" s="16" t="n">
        <v>4205.950043184831</v>
      </c>
      <c r="R2764" s="16" t="n">
        <v>1359.556702008076</v>
      </c>
      <c r="S2764" s="16" t="n">
        <v>0.8294780327808849</v>
      </c>
      <c r="T2764" s="16" t="n">
        <v>0.95</v>
      </c>
      <c r="U2764" s="16" t="n">
        <v>0.8375342727183488</v>
      </c>
      <c r="V2764" s="16" t="n">
        <v>0.4963658855761367</v>
      </c>
      <c r="W2764" s="16" t="n">
        <v>0.9166775946077288</v>
      </c>
      <c r="X2764" s="16" t="n">
        <v>0.9457881775355844</v>
      </c>
      <c r="Y2764" s="16" t="n">
        <v>300.032917</v>
      </c>
      <c r="Z2764" s="16" t="n">
        <v>11.25965337766178</v>
      </c>
      <c r="AA2764" s="16" t="n">
        <v>116.784265199558</v>
      </c>
      <c r="AB2764" s="16" t="n">
        <v>2846.393341176755</v>
      </c>
      <c r="AC2764" s="16" t="n">
        <v>3.093618704517883</v>
      </c>
      <c r="AD2764" s="16" t="n"/>
      <c r="AE2764" s="16" t="n"/>
    </row>
    <row r="2765">
      <c r="A2765" s="16" t="inlineStr">
        <is>
          <t>KF-M07-A3-0056</t>
        </is>
      </c>
      <c r="B2765" s="16" t="inlineStr">
        <is>
          <t>5.1</t>
        </is>
      </c>
      <c r="C2765" s="16" t="inlineStr">
        <is>
          <t>5.1c</t>
        </is>
      </c>
      <c r="D2765" s="16" t="inlineStr">
        <is>
          <t>conserva sus temperaturas</t>
        </is>
      </c>
      <c r="E2765" s="16" t="inlineStr">
        <is>
          <t>KF-M07</t>
        </is>
      </c>
      <c r="F2765" s="16" t="inlineStr">
        <is>
          <t>KF-M07-A3</t>
        </is>
      </c>
      <c r="G2765" s="16" t="inlineStr">
        <is>
          <t>B11-A3</t>
        </is>
      </c>
      <c r="H2765" s="16" t="inlineStr">
        <is>
          <t>busqueda</t>
        </is>
      </c>
      <c r="I2765" s="16" t="inlineStr">
        <is>
          <t>KALINA</t>
        </is>
      </c>
      <c r="J2765" s="16" t="inlineStr">
        <is>
          <t>KALINA</t>
        </is>
      </c>
      <c r="K2765" s="16" t="b">
        <v>1</v>
      </c>
      <c r="L2765" s="16" t="b">
        <v>1</v>
      </c>
      <c r="M2765" s="16" t="b">
        <v>0</v>
      </c>
      <c r="N2765" s="16" t="b">
        <v>0</v>
      </c>
      <c r="O2765" s="16" t="n">
        <v>623.15</v>
      </c>
      <c r="P2765" s="16" t="n">
        <v>300.032917</v>
      </c>
      <c r="Q2765" s="16" t="n">
        <v>4205.950043184831</v>
      </c>
      <c r="R2765" s="16" t="n">
        <v>1359.556702008076</v>
      </c>
      <c r="S2765" s="16" t="n">
        <v>0.8294780327808849</v>
      </c>
      <c r="T2765" s="16" t="n">
        <v>0.8910559074586479</v>
      </c>
      <c r="U2765" s="16" t="n">
        <v>0.8375342727183488</v>
      </c>
      <c r="V2765" s="16" t="n">
        <v>0.4963658855761367</v>
      </c>
      <c r="W2765" s="16" t="n">
        <v>0.9166775946077288</v>
      </c>
      <c r="X2765" s="16" t="n">
        <v>0.9457881775355844</v>
      </c>
      <c r="Y2765" s="16" t="n">
        <v>300.032917</v>
      </c>
      <c r="Z2765" s="16" t="n">
        <v>10.53368080142938</v>
      </c>
      <c r="AA2765" s="16" t="n">
        <v>109.2386395474132</v>
      </c>
      <c r="AB2765" s="16" t="n">
        <v>2846.393341176755</v>
      </c>
      <c r="AC2765" s="16" t="n">
        <v>3.093618704517883</v>
      </c>
      <c r="AD2765" s="16" t="n"/>
      <c r="AE2765" s="16" t="n"/>
    </row>
    <row r="2766">
      <c r="A2766" s="16" t="inlineStr">
        <is>
          <t>KF-M07-A3-0057</t>
        </is>
      </c>
      <c r="B2766" s="16" t="inlineStr">
        <is>
          <t>5.1</t>
        </is>
      </c>
      <c r="C2766" s="16" t="inlineStr">
        <is>
          <t>5.1c</t>
        </is>
      </c>
      <c r="D2766" s="16" t="inlineStr">
        <is>
          <t>conserva sus temperaturas</t>
        </is>
      </c>
      <c r="E2766" s="16" t="inlineStr">
        <is>
          <t>KF-M07</t>
        </is>
      </c>
      <c r="F2766" s="16" t="inlineStr">
        <is>
          <t>KF-M07-A3</t>
        </is>
      </c>
      <c r="G2766" s="16" t="inlineStr">
        <is>
          <t>B11-A3</t>
        </is>
      </c>
      <c r="H2766" s="16" t="inlineStr">
        <is>
          <t>busqueda</t>
        </is>
      </c>
      <c r="I2766" s="16" t="inlineStr">
        <is>
          <t>KALINA</t>
        </is>
      </c>
      <c r="J2766" s="16" t="inlineStr">
        <is>
          <t>KALINA</t>
        </is>
      </c>
      <c r="K2766" s="16" t="b">
        <v>1</v>
      </c>
      <c r="L2766" s="16" t="b">
        <v>1</v>
      </c>
      <c r="M2766" s="16" t="b">
        <v>0</v>
      </c>
      <c r="N2766" s="16" t="b">
        <v>0</v>
      </c>
      <c r="O2766" s="16" t="n">
        <v>623.15</v>
      </c>
      <c r="P2766" s="16" t="n">
        <v>300.032917</v>
      </c>
      <c r="Q2766" s="16" t="n">
        <v>4205.950043184831</v>
      </c>
      <c r="R2766" s="16" t="n">
        <v>1359.556702008076</v>
      </c>
      <c r="S2766" s="16" t="n">
        <v>0.8294780327808849</v>
      </c>
      <c r="T2766" s="16" t="n">
        <v>0.946055907458648</v>
      </c>
      <c r="U2766" s="16" t="n">
        <v>0.8925342727183487</v>
      </c>
      <c r="V2766" s="16" t="n">
        <v>0.4963658855761367</v>
      </c>
      <c r="W2766" s="16" t="n">
        <v>0.9166775946077288</v>
      </c>
      <c r="X2766" s="16" t="n">
        <v>0.9457881775355844</v>
      </c>
      <c r="Y2766" s="16" t="n">
        <v>300.032917</v>
      </c>
      <c r="Z2766" s="16" t="n">
        <v>11.23875915337438</v>
      </c>
      <c r="AA2766" s="16" t="n">
        <v>116.5794132074658</v>
      </c>
      <c r="AB2766" s="16" t="n">
        <v>2846.393341176755</v>
      </c>
      <c r="AC2766" s="16" t="n">
        <v>3.093618704517883</v>
      </c>
      <c r="AD2766" s="16" t="n"/>
      <c r="AE2766" s="16" t="n"/>
    </row>
    <row r="2767">
      <c r="A2767" s="16" t="inlineStr">
        <is>
          <t>KF-M07-A3-0058</t>
        </is>
      </c>
      <c r="B2767" s="16" t="inlineStr">
        <is>
          <t>5.1</t>
        </is>
      </c>
      <c r="C2767" s="16" t="inlineStr">
        <is>
          <t>5.1c</t>
        </is>
      </c>
      <c r="D2767" s="16" t="inlineStr">
        <is>
          <t>conserva sus temperaturas</t>
        </is>
      </c>
      <c r="E2767" s="16" t="inlineStr">
        <is>
          <t>KF-M07</t>
        </is>
      </c>
      <c r="F2767" s="16" t="inlineStr">
        <is>
          <t>KF-M07-A3</t>
        </is>
      </c>
      <c r="G2767" s="16" t="inlineStr">
        <is>
          <t>B11-A3</t>
        </is>
      </c>
      <c r="H2767" s="16" t="inlineStr">
        <is>
          <t>busqueda</t>
        </is>
      </c>
      <c r="I2767" s="16" t="inlineStr">
        <is>
          <t>KALINA</t>
        </is>
      </c>
      <c r="J2767" s="16" t="inlineStr">
        <is>
          <t>KALINA</t>
        </is>
      </c>
      <c r="K2767" s="16" t="b">
        <v>1</v>
      </c>
      <c r="L2767" s="16" t="b">
        <v>1</v>
      </c>
      <c r="M2767" s="16" t="b">
        <v>0</v>
      </c>
      <c r="N2767" s="16" t="b">
        <v>0</v>
      </c>
      <c r="O2767" s="16" t="n">
        <v>623.15</v>
      </c>
      <c r="P2767" s="16" t="n">
        <v>300.032917</v>
      </c>
      <c r="Q2767" s="16" t="n">
        <v>4205.950043184831</v>
      </c>
      <c r="R2767" s="16" t="n">
        <v>1359.556702008076</v>
      </c>
      <c r="S2767" s="16" t="n">
        <v>0.8294780327808849</v>
      </c>
      <c r="T2767" s="16" t="n">
        <v>0.946055907458648</v>
      </c>
      <c r="U2767" s="16" t="n">
        <v>0.7825342727183489</v>
      </c>
      <c r="V2767" s="16" t="n">
        <v>0.4963658855761367</v>
      </c>
      <c r="W2767" s="16" t="n">
        <v>0.9166775946077288</v>
      </c>
      <c r="X2767" s="16" t="n">
        <v>0.9457881775355844</v>
      </c>
      <c r="Y2767" s="16" t="n">
        <v>300.032917</v>
      </c>
      <c r="Z2767" s="16" t="n">
        <v>11.17952547203738</v>
      </c>
      <c r="AA2767" s="16" t="n">
        <v>115.937309547665</v>
      </c>
      <c r="AB2767" s="16" t="n">
        <v>2846.393341176755</v>
      </c>
      <c r="AC2767" s="16" t="n">
        <v>3.093618704517883</v>
      </c>
      <c r="AD2767" s="16" t="n"/>
      <c r="AE2767" s="16" t="n"/>
    </row>
    <row r="2768">
      <c r="A2768" s="16" t="inlineStr">
        <is>
          <t>KF-M07-A3-0059</t>
        </is>
      </c>
      <c r="B2768" s="16" t="inlineStr">
        <is>
          <t>5.1</t>
        </is>
      </c>
      <c r="C2768" s="16" t="inlineStr">
        <is>
          <t>5.1c</t>
        </is>
      </c>
      <c r="D2768" s="16" t="inlineStr">
        <is>
          <t>conserva sus temperaturas</t>
        </is>
      </c>
      <c r="E2768" s="16" t="inlineStr">
        <is>
          <t>KF-M07</t>
        </is>
      </c>
      <c r="F2768" s="16" t="inlineStr">
        <is>
          <t>KF-M07-A3</t>
        </is>
      </c>
      <c r="G2768" s="16" t="inlineStr">
        <is>
          <t>B11-A3</t>
        </is>
      </c>
      <c r="H2768" s="16" t="inlineStr">
        <is>
          <t>busqueda</t>
        </is>
      </c>
      <c r="I2768" s="16" t="inlineStr">
        <is>
          <t>NO_CONVERGIO</t>
        </is>
      </c>
      <c r="J2768" s="16" t="inlineStr">
        <is>
          <t>NO_CONVERGIO</t>
        </is>
      </c>
      <c r="K2768" s="16" t="b">
        <v>0</v>
      </c>
      <c r="L2768" s="16" t="b">
        <v>0</v>
      </c>
      <c r="M2768" s="16" t="b">
        <v>0</v>
      </c>
      <c r="N2768" s="16" t="b">
        <v>0</v>
      </c>
      <c r="O2768" s="16" t="n">
        <v>623.15</v>
      </c>
      <c r="P2768" s="16" t="n">
        <v>300.032917</v>
      </c>
      <c r="Q2768" s="16" t="n">
        <v>4205.950043184831</v>
      </c>
      <c r="R2768" s="16" t="n">
        <v>1359.556702008076</v>
      </c>
      <c r="S2768" s="16" t="n">
        <v>0.8294780327808849</v>
      </c>
      <c r="T2768" s="16" t="n">
        <v>0.946055907458648</v>
      </c>
      <c r="U2768" s="16" t="n">
        <v>0.8375342727183488</v>
      </c>
      <c r="V2768" s="16" t="n">
        <v>0.5513658855761367</v>
      </c>
      <c r="W2768" s="16" t="n">
        <v>0.9166775946077288</v>
      </c>
      <c r="X2768" s="16" t="n">
        <v>0.9457881775355844</v>
      </c>
      <c r="Y2768" s="16" t="n">
        <v>300.032917</v>
      </c>
      <c r="Z2768" s="16" t="n"/>
      <c r="AA2768" s="16" t="n"/>
      <c r="AB2768" s="16" t="n">
        <v>2846.393341176755</v>
      </c>
      <c r="AC2768" s="16" t="n">
        <v>3.093618704517883</v>
      </c>
      <c r="AD2768" s="16" t="n"/>
      <c r="AE2768" s="16" t="n"/>
    </row>
    <row r="2769">
      <c r="A2769" s="16" t="inlineStr">
        <is>
          <t>KF-M07-A3-0060</t>
        </is>
      </c>
      <c r="B2769" s="16" t="inlineStr">
        <is>
          <t>5.1</t>
        </is>
      </c>
      <c r="C2769" s="16" t="inlineStr">
        <is>
          <t>5.1c</t>
        </is>
      </c>
      <c r="D2769" s="16" t="inlineStr">
        <is>
          <t>conserva sus temperaturas</t>
        </is>
      </c>
      <c r="E2769" s="16" t="inlineStr">
        <is>
          <t>KF-M07</t>
        </is>
      </c>
      <c r="F2769" s="16" t="inlineStr">
        <is>
          <t>KF-M07-A3</t>
        </is>
      </c>
      <c r="G2769" s="16" t="inlineStr">
        <is>
          <t>B11-A3</t>
        </is>
      </c>
      <c r="H2769" s="16" t="inlineStr">
        <is>
          <t>busqueda</t>
        </is>
      </c>
      <c r="I2769" s="16" t="inlineStr">
        <is>
          <t>KALINA</t>
        </is>
      </c>
      <c r="J2769" s="16" t="inlineStr">
        <is>
          <t>KALINA</t>
        </is>
      </c>
      <c r="K2769" s="16" t="b">
        <v>1</v>
      </c>
      <c r="L2769" s="16" t="b">
        <v>1</v>
      </c>
      <c r="M2769" s="16" t="b">
        <v>0</v>
      </c>
      <c r="N2769" s="16" t="b">
        <v>0</v>
      </c>
      <c r="O2769" s="16" t="n">
        <v>623.15</v>
      </c>
      <c r="P2769" s="16" t="n">
        <v>300.032917</v>
      </c>
      <c r="Q2769" s="16" t="n">
        <v>4205.950043184831</v>
      </c>
      <c r="R2769" s="16" t="n">
        <v>1359.556702008076</v>
      </c>
      <c r="S2769" s="16" t="n">
        <v>0.8294780327808849</v>
      </c>
      <c r="T2769" s="16" t="n">
        <v>0.946055907458648</v>
      </c>
      <c r="U2769" s="16" t="n">
        <v>0.8375342727183488</v>
      </c>
      <c r="V2769" s="16" t="n">
        <v>0.4413658855761367</v>
      </c>
      <c r="W2769" s="16" t="n">
        <v>0.9166775946077288</v>
      </c>
      <c r="X2769" s="16" t="n">
        <v>0.9457881775355844</v>
      </c>
      <c r="Y2769" s="16" t="n">
        <v>300.032917</v>
      </c>
      <c r="Z2769" s="16" t="n">
        <v>11.08323439646611</v>
      </c>
      <c r="AA2769" s="16" t="n">
        <v>101.8303047151895</v>
      </c>
      <c r="AB2769" s="16" t="n">
        <v>2846.393341176755</v>
      </c>
      <c r="AC2769" s="16" t="n">
        <v>3.093618704517883</v>
      </c>
      <c r="AD2769" s="16" t="n"/>
      <c r="AE2769" s="16" t="n"/>
    </row>
    <row r="2770">
      <c r="A2770" s="16" t="inlineStr">
        <is>
          <t>KF-M07-A3-0061</t>
        </is>
      </c>
      <c r="B2770" s="16" t="inlineStr">
        <is>
          <t>5.1</t>
        </is>
      </c>
      <c r="C2770" s="16" t="inlineStr">
        <is>
          <t>5.1c</t>
        </is>
      </c>
      <c r="D2770" s="16" t="inlineStr">
        <is>
          <t>conserva sus temperaturas</t>
        </is>
      </c>
      <c r="E2770" s="16" t="inlineStr">
        <is>
          <t>KF-M07</t>
        </is>
      </c>
      <c r="F2770" s="16" t="inlineStr">
        <is>
          <t>KF-M07-A3</t>
        </is>
      </c>
      <c r="G2770" s="16" t="inlineStr">
        <is>
          <t>B11-A3</t>
        </is>
      </c>
      <c r="H2770" s="16" t="inlineStr">
        <is>
          <t>busqueda</t>
        </is>
      </c>
      <c r="I2770" s="16" t="inlineStr">
        <is>
          <t>KALINA</t>
        </is>
      </c>
      <c r="J2770" s="16" t="inlineStr">
        <is>
          <t>KALINA</t>
        </is>
      </c>
      <c r="K2770" s="16" t="b">
        <v>1</v>
      </c>
      <c r="L2770" s="16" t="b">
        <v>1</v>
      </c>
      <c r="M2770" s="16" t="b">
        <v>0</v>
      </c>
      <c r="N2770" s="16" t="b">
        <v>0</v>
      </c>
      <c r="O2770" s="16" t="n">
        <v>623.15</v>
      </c>
      <c r="P2770" s="16" t="n">
        <v>300.032917</v>
      </c>
      <c r="Q2770" s="16" t="n">
        <v>4205.950043184831</v>
      </c>
      <c r="R2770" s="16" t="n">
        <v>1359.556702008076</v>
      </c>
      <c r="S2770" s="16" t="n">
        <v>0.8294780327808849</v>
      </c>
      <c r="T2770" s="16" t="n">
        <v>0.946055907458648</v>
      </c>
      <c r="U2770" s="16" t="n">
        <v>0.8375342727183488</v>
      </c>
      <c r="V2770" s="16" t="n">
        <v>0.4963658855761367</v>
      </c>
      <c r="W2770" s="16" t="n">
        <v>0.95</v>
      </c>
      <c r="X2770" s="16" t="n">
        <v>0.9457881775355844</v>
      </c>
      <c r="Y2770" s="16" t="n">
        <v>300.032917</v>
      </c>
      <c r="Z2770" s="16" t="n">
        <v>11.25587263179074</v>
      </c>
      <c r="AA2770" s="16" t="n">
        <v>116.5286394974584</v>
      </c>
      <c r="AB2770" s="16" t="n">
        <v>2846.393341176755</v>
      </c>
      <c r="AC2770" s="16" t="n">
        <v>3.093618704517883</v>
      </c>
      <c r="AD2770" s="16" t="n"/>
      <c r="AE2770" s="16" t="n"/>
    </row>
    <row r="2771">
      <c r="A2771" s="16" t="inlineStr">
        <is>
          <t>KF-M07-A3-0062</t>
        </is>
      </c>
      <c r="B2771" s="16" t="inlineStr">
        <is>
          <t>5.1</t>
        </is>
      </c>
      <c r="C2771" s="16" t="inlineStr">
        <is>
          <t>5.1c</t>
        </is>
      </c>
      <c r="D2771" s="16" t="inlineStr">
        <is>
          <t>conserva sus temperaturas</t>
        </is>
      </c>
      <c r="E2771" s="16" t="inlineStr">
        <is>
          <t>KF-M07</t>
        </is>
      </c>
      <c r="F2771" s="16" t="inlineStr">
        <is>
          <t>KF-M07-A3</t>
        </is>
      </c>
      <c r="G2771" s="16" t="inlineStr">
        <is>
          <t>B11-A3</t>
        </is>
      </c>
      <c r="H2771" s="16" t="inlineStr">
        <is>
          <t>busqueda</t>
        </is>
      </c>
      <c r="I2771" s="16" t="inlineStr">
        <is>
          <t>KALINA</t>
        </is>
      </c>
      <c r="J2771" s="16" t="inlineStr">
        <is>
          <t>KALINA</t>
        </is>
      </c>
      <c r="K2771" s="16" t="b">
        <v>1</v>
      </c>
      <c r="L2771" s="16" t="b">
        <v>1</v>
      </c>
      <c r="M2771" s="16" t="b">
        <v>0</v>
      </c>
      <c r="N2771" s="16" t="b">
        <v>0</v>
      </c>
      <c r="O2771" s="16" t="n">
        <v>623.15</v>
      </c>
      <c r="P2771" s="16" t="n">
        <v>300.032917</v>
      </c>
      <c r="Q2771" s="16" t="n">
        <v>4205.950043184831</v>
      </c>
      <c r="R2771" s="16" t="n">
        <v>1359.556702008076</v>
      </c>
      <c r="S2771" s="16" t="n">
        <v>0.8294780327808849</v>
      </c>
      <c r="T2771" s="16" t="n">
        <v>0.946055907458648</v>
      </c>
      <c r="U2771" s="16" t="n">
        <v>0.8375342727183488</v>
      </c>
      <c r="V2771" s="16" t="n">
        <v>0.4963658855761367</v>
      </c>
      <c r="W2771" s="16" t="n">
        <v>0.8616775946077286</v>
      </c>
      <c r="X2771" s="16" t="n">
        <v>0.9457881775355844</v>
      </c>
      <c r="Y2771" s="16" t="n">
        <v>300.032917</v>
      </c>
      <c r="Z2771" s="16" t="n">
        <v>11.13711931434949</v>
      </c>
      <c r="AA2771" s="16" t="n">
        <v>115.8656194516693</v>
      </c>
      <c r="AB2771" s="16" t="n">
        <v>2846.393341176755</v>
      </c>
      <c r="AC2771" s="16" t="n">
        <v>3.093618704517883</v>
      </c>
      <c r="AD2771" s="16" t="n"/>
      <c r="AE2771" s="16" t="n"/>
    </row>
    <row r="2772">
      <c r="A2772" s="16" t="inlineStr">
        <is>
          <t>KF-M07-A3-0063</t>
        </is>
      </c>
      <c r="B2772" s="16" t="inlineStr">
        <is>
          <t>5.1</t>
        </is>
      </c>
      <c r="C2772" s="16" t="inlineStr">
        <is>
          <t>5.1c</t>
        </is>
      </c>
      <c r="D2772" s="16" t="inlineStr">
        <is>
          <t>conserva sus temperaturas</t>
        </is>
      </c>
      <c r="E2772" s="16" t="inlineStr">
        <is>
          <t>KF-M07</t>
        </is>
      </c>
      <c r="F2772" s="16" t="inlineStr">
        <is>
          <t>KF-M07-A3</t>
        </is>
      </c>
      <c r="G2772" s="16" t="inlineStr">
        <is>
          <t>B11-A3</t>
        </is>
      </c>
      <c r="H2772" s="16" t="inlineStr">
        <is>
          <t>busqueda</t>
        </is>
      </c>
      <c r="I2772" s="16" t="inlineStr">
        <is>
          <t>KALINA</t>
        </is>
      </c>
      <c r="J2772" s="16" t="inlineStr">
        <is>
          <t>KALINA</t>
        </is>
      </c>
      <c r="K2772" s="16" t="b">
        <v>1</v>
      </c>
      <c r="L2772" s="16" t="b">
        <v>1</v>
      </c>
      <c r="M2772" s="16" t="b">
        <v>0</v>
      </c>
      <c r="N2772" s="16" t="b">
        <v>0</v>
      </c>
      <c r="O2772" s="16" t="n">
        <v>623.15</v>
      </c>
      <c r="P2772" s="16" t="n">
        <v>300.032917</v>
      </c>
      <c r="Q2772" s="16" t="n">
        <v>4205.950043184831</v>
      </c>
      <c r="R2772" s="16" t="n">
        <v>1359.556702008076</v>
      </c>
      <c r="S2772" s="16" t="n">
        <v>0.8294780327808849</v>
      </c>
      <c r="T2772" s="16" t="n">
        <v>0.946055907458648</v>
      </c>
      <c r="U2772" s="16" t="n">
        <v>0.8375342727183488</v>
      </c>
      <c r="V2772" s="16" t="n">
        <v>0.4963658855761367</v>
      </c>
      <c r="W2772" s="16" t="n">
        <v>0.9166775946077288</v>
      </c>
      <c r="X2772" s="16" t="n">
        <v>0.95</v>
      </c>
      <c r="Y2772" s="16" t="n">
        <v>300.032917</v>
      </c>
      <c r="Z2772" s="16" t="n">
        <v>11.17688882308038</v>
      </c>
      <c r="AA2772" s="16" t="n">
        <v>116.09275171919</v>
      </c>
      <c r="AB2772" s="16" t="n">
        <v>2846.393341176755</v>
      </c>
      <c r="AC2772" s="16" t="n">
        <v>3.093618704517883</v>
      </c>
      <c r="AD2772" s="16" t="n"/>
      <c r="AE2772" s="16" t="n"/>
    </row>
    <row r="2773">
      <c r="A2773" s="16" t="inlineStr">
        <is>
          <t>KF-M07-A3-0064</t>
        </is>
      </c>
      <c r="B2773" s="16" t="inlineStr">
        <is>
          <t>5.1</t>
        </is>
      </c>
      <c r="C2773" s="16" t="inlineStr">
        <is>
          <t>5.1c</t>
        </is>
      </c>
      <c r="D2773" s="16" t="inlineStr">
        <is>
          <t>conserva sus temperaturas</t>
        </is>
      </c>
      <c r="E2773" s="16" t="inlineStr">
        <is>
          <t>KF-M07</t>
        </is>
      </c>
      <c r="F2773" s="16" t="inlineStr">
        <is>
          <t>KF-M07-A3</t>
        </is>
      </c>
      <c r="G2773" s="16" t="inlineStr">
        <is>
          <t>B11-A3</t>
        </is>
      </c>
      <c r="H2773" s="16" t="inlineStr">
        <is>
          <t>busqueda</t>
        </is>
      </c>
      <c r="I2773" s="16" t="inlineStr">
        <is>
          <t>CORREGIBLE</t>
        </is>
      </c>
      <c r="J2773" s="16" t="inlineStr">
        <is>
          <t>CORREGIBLE</t>
        </is>
      </c>
      <c r="K2773" s="16" t="b">
        <v>1</v>
      </c>
      <c r="L2773" s="16" t="b">
        <v>0</v>
      </c>
      <c r="M2773" s="16" t="b">
        <v>0</v>
      </c>
      <c r="N2773" s="16" t="b">
        <v>0</v>
      </c>
      <c r="O2773" s="16" t="n">
        <v>623.15</v>
      </c>
      <c r="P2773" s="16" t="n">
        <v>300.032917</v>
      </c>
      <c r="Q2773" s="16" t="n">
        <v>4205.950043184831</v>
      </c>
      <c r="R2773" s="16" t="n">
        <v>1359.556702008076</v>
      </c>
      <c r="S2773" s="16" t="n">
        <v>0.8294780327808849</v>
      </c>
      <c r="T2773" s="16" t="n">
        <v>0.946055907458648</v>
      </c>
      <c r="U2773" s="16" t="n">
        <v>0.8375342727183488</v>
      </c>
      <c r="V2773" s="16" t="n">
        <v>0.4963658855761367</v>
      </c>
      <c r="W2773" s="16" t="n">
        <v>0.9166775946077288</v>
      </c>
      <c r="X2773" s="16" t="n">
        <v>0.8907881775355844</v>
      </c>
      <c r="Y2773" s="16" t="n">
        <v>300.032917</v>
      </c>
      <c r="Z2773" s="16" t="n">
        <v>11.64613892460022</v>
      </c>
      <c r="AA2773" s="16" t="n">
        <v>118.3649342421068</v>
      </c>
      <c r="AB2773" s="16" t="n">
        <v>2846.393341176755</v>
      </c>
      <c r="AC2773" s="16" t="n">
        <v>3.093618704517883</v>
      </c>
      <c r="AD2773" s="16" t="inlineStr">
        <is>
          <t>O2</t>
        </is>
      </c>
      <c r="AE2773" s="16" t="n"/>
    </row>
    <row r="2774">
      <c r="A2774" s="16" t="inlineStr">
        <is>
          <t>KF-M07-A3-0065</t>
        </is>
      </c>
      <c r="B2774" s="16" t="inlineStr">
        <is>
          <t>5.1</t>
        </is>
      </c>
      <c r="C2774" s="16" t="inlineStr">
        <is>
          <t>5.1c</t>
        </is>
      </c>
      <c r="D2774" s="16" t="inlineStr">
        <is>
          <t>conserva sus temperaturas</t>
        </is>
      </c>
      <c r="E2774" s="16" t="inlineStr">
        <is>
          <t>KF-M07</t>
        </is>
      </c>
      <c r="F2774" s="16" t="inlineStr">
        <is>
          <t>KF-M07-A3</t>
        </is>
      </c>
      <c r="G2774" s="16" t="inlineStr">
        <is>
          <t>B11-A3</t>
        </is>
      </c>
      <c r="H2774" s="16" t="inlineStr">
        <is>
          <t>busqueda</t>
        </is>
      </c>
      <c r="I2774" s="16" t="inlineStr">
        <is>
          <t>KALINA</t>
        </is>
      </c>
      <c r="J2774" s="16" t="inlineStr">
        <is>
          <t>KALINA</t>
        </is>
      </c>
      <c r="K2774" s="16" t="b">
        <v>1</v>
      </c>
      <c r="L2774" s="16" t="b">
        <v>1</v>
      </c>
      <c r="M2774" s="16" t="b">
        <v>0</v>
      </c>
      <c r="N2774" s="16" t="b">
        <v>0</v>
      </c>
      <c r="O2774" s="16" t="n">
        <v>623.15</v>
      </c>
      <c r="P2774" s="16" t="n">
        <v>300.032917</v>
      </c>
      <c r="Q2774" s="16" t="n">
        <v>4805.950043184831</v>
      </c>
      <c r="R2774" s="16" t="n">
        <v>1359.556702008076</v>
      </c>
      <c r="S2774" s="16" t="n">
        <v>0.8294780327808849</v>
      </c>
      <c r="T2774" s="16" t="n">
        <v>0.946055907458648</v>
      </c>
      <c r="U2774" s="16" t="n">
        <v>0.8375342727183488</v>
      </c>
      <c r="V2774" s="16" t="n">
        <v>0.4963658855761367</v>
      </c>
      <c r="W2774" s="16" t="n">
        <v>0.9166775946077288</v>
      </c>
      <c r="X2774" s="16" t="n">
        <v>0.9457881775355844</v>
      </c>
      <c r="Y2774" s="16" t="n">
        <v>300.032917</v>
      </c>
      <c r="Z2774" s="16" t="n">
        <v>12.33897333074047</v>
      </c>
      <c r="AA2774" s="16" t="n">
        <v>126.9530626778009</v>
      </c>
      <c r="AB2774" s="16" t="n">
        <v>3446.393341176755</v>
      </c>
      <c r="AC2774" s="16" t="n">
        <v>3.534939025409093</v>
      </c>
      <c r="AD2774" s="16" t="n"/>
      <c r="AE2774" s="16" t="n"/>
    </row>
    <row r="2775">
      <c r="A2775" s="16" t="inlineStr">
        <is>
          <t>KF-M07-A3-0066</t>
        </is>
      </c>
      <c r="B2775" s="16" t="inlineStr">
        <is>
          <t>5.1</t>
        </is>
      </c>
      <c r="C2775" s="16" t="inlineStr">
        <is>
          <t>5.1c</t>
        </is>
      </c>
      <c r="D2775" s="16" t="inlineStr">
        <is>
          <t>conserva sus temperaturas</t>
        </is>
      </c>
      <c r="E2775" s="16" t="inlineStr">
        <is>
          <t>KF-M07</t>
        </is>
      </c>
      <c r="F2775" s="16" t="inlineStr">
        <is>
          <t>KF-M07-A3</t>
        </is>
      </c>
      <c r="G2775" s="16" t="inlineStr">
        <is>
          <t>B11-A3</t>
        </is>
      </c>
      <c r="H2775" s="16" t="inlineStr">
        <is>
          <t>busqueda</t>
        </is>
      </c>
      <c r="I2775" s="16" t="inlineStr">
        <is>
          <t>KALINA</t>
        </is>
      </c>
      <c r="J2775" s="16" t="inlineStr">
        <is>
          <t>KALINA</t>
        </is>
      </c>
      <c r="K2775" s="16" t="b">
        <v>1</v>
      </c>
      <c r="L2775" s="16" t="b">
        <v>1</v>
      </c>
      <c r="M2775" s="16" t="b">
        <v>0</v>
      </c>
      <c r="N2775" s="16" t="b">
        <v>0</v>
      </c>
      <c r="O2775" s="16" t="n">
        <v>623.15</v>
      </c>
      <c r="P2775" s="16" t="n">
        <v>300.032917</v>
      </c>
      <c r="Q2775" s="16" t="n">
        <v>4205.950043184831</v>
      </c>
      <c r="R2775" s="16" t="n">
        <v>1359.556702008076</v>
      </c>
      <c r="S2775" s="16" t="n">
        <v>0.8294780327808849</v>
      </c>
      <c r="T2775" s="16" t="n">
        <v>0.946055907458648</v>
      </c>
      <c r="U2775" s="16" t="n">
        <v>0.8375342727183488</v>
      </c>
      <c r="V2775" s="16" t="n">
        <v>0.4963658855761367</v>
      </c>
      <c r="W2775" s="16" t="n">
        <v>0.9166775946077288</v>
      </c>
      <c r="X2775" s="16" t="n">
        <v>0.9457881775355844</v>
      </c>
      <c r="Y2775" s="16" t="n">
        <v>300.032917</v>
      </c>
      <c r="Z2775" s="16" t="n">
        <v>11.21109069909357</v>
      </c>
      <c r="AA2775" s="16" t="n">
        <v>116.2794452085863</v>
      </c>
      <c r="AB2775" s="16" t="n">
        <v>2846.393341176755</v>
      </c>
      <c r="AC2775" s="16" t="n">
        <v>3.093618704517883</v>
      </c>
      <c r="AD2775" s="16" t="n"/>
      <c r="AE2775" s="16" t="n"/>
    </row>
    <row r="2776">
      <c r="A2776" s="16" t="inlineStr">
        <is>
          <t>KF-M07-A3-0067</t>
        </is>
      </c>
      <c r="B2776" s="16" t="inlineStr">
        <is>
          <t>5.1</t>
        </is>
      </c>
      <c r="C2776" s="16" t="inlineStr">
        <is>
          <t>5.1c</t>
        </is>
      </c>
      <c r="D2776" s="16" t="inlineStr">
        <is>
          <t>conserva sus temperaturas</t>
        </is>
      </c>
      <c r="E2776" s="16" t="inlineStr">
        <is>
          <t>KF-M07</t>
        </is>
      </c>
      <c r="F2776" s="16" t="inlineStr">
        <is>
          <t>KF-M07-A3</t>
        </is>
      </c>
      <c r="G2776" s="16" t="inlineStr">
        <is>
          <t>B11-A3</t>
        </is>
      </c>
      <c r="H2776" s="16" t="inlineStr">
        <is>
          <t>busqueda</t>
        </is>
      </c>
      <c r="I2776" s="16" t="inlineStr">
        <is>
          <t>KALINA</t>
        </is>
      </c>
      <c r="J2776" s="16" t="inlineStr">
        <is>
          <t>KALINA</t>
        </is>
      </c>
      <c r="K2776" s="16" t="b">
        <v>1</v>
      </c>
      <c r="L2776" s="16" t="b">
        <v>1</v>
      </c>
      <c r="M2776" s="16" t="b">
        <v>0</v>
      </c>
      <c r="N2776" s="16" t="b">
        <v>0</v>
      </c>
      <c r="O2776" s="16" t="n">
        <v>623.15</v>
      </c>
      <c r="P2776" s="16" t="n">
        <v>300.032917</v>
      </c>
      <c r="Q2776" s="16" t="n">
        <v>4505.950043184831</v>
      </c>
      <c r="R2776" s="16" t="n">
        <v>1579.556702008076</v>
      </c>
      <c r="S2776" s="16" t="n">
        <v>0.8294780327808849</v>
      </c>
      <c r="T2776" s="16" t="n">
        <v>0.946055907458648</v>
      </c>
      <c r="U2776" s="16" t="n">
        <v>0.8375342727183488</v>
      </c>
      <c r="V2776" s="16" t="n">
        <v>0.4963658855761367</v>
      </c>
      <c r="W2776" s="16" t="n">
        <v>0.9166775946077288</v>
      </c>
      <c r="X2776" s="16" t="n">
        <v>0.9457881775355844</v>
      </c>
      <c r="Y2776" s="16" t="n">
        <v>300.032917</v>
      </c>
      <c r="Z2776" s="16" t="n">
        <v>10.38241770367671</v>
      </c>
      <c r="AA2776" s="16" t="n">
        <v>107.2309007933862</v>
      </c>
      <c r="AB2776" s="16" t="n">
        <v>2926.393341176755</v>
      </c>
      <c r="AC2776" s="16" t="n">
        <v>2.852667484146949</v>
      </c>
      <c r="AD2776" s="16" t="n"/>
      <c r="AE2776" s="16" t="n"/>
    </row>
    <row r="2777">
      <c r="A2777" s="16" t="inlineStr">
        <is>
          <t>KF-M07-A3-0068</t>
        </is>
      </c>
      <c r="B2777" s="16" t="inlineStr">
        <is>
          <t>5.1</t>
        </is>
      </c>
      <c r="C2777" s="16" t="inlineStr">
        <is>
          <t>5.1c</t>
        </is>
      </c>
      <c r="D2777" s="16" t="inlineStr">
        <is>
          <t>conserva sus temperaturas</t>
        </is>
      </c>
      <c r="E2777" s="16" t="inlineStr">
        <is>
          <t>KF-M07</t>
        </is>
      </c>
      <c r="F2777" s="16" t="inlineStr">
        <is>
          <t>KF-M07-A3</t>
        </is>
      </c>
      <c r="G2777" s="16" t="inlineStr">
        <is>
          <t>B11-A3</t>
        </is>
      </c>
      <c r="H2777" s="16" t="inlineStr">
        <is>
          <t>busqueda</t>
        </is>
      </c>
      <c r="I2777" s="16" t="inlineStr">
        <is>
          <t>CORREGIBLE</t>
        </is>
      </c>
      <c r="J2777" s="16" t="inlineStr">
        <is>
          <t>CORREGIBLE</t>
        </is>
      </c>
      <c r="K2777" s="16" t="b">
        <v>1</v>
      </c>
      <c r="L2777" s="16" t="b">
        <v>0</v>
      </c>
      <c r="M2777" s="16" t="b">
        <v>0</v>
      </c>
      <c r="N2777" s="16" t="b">
        <v>0</v>
      </c>
      <c r="O2777" s="16" t="n">
        <v>623.15</v>
      </c>
      <c r="P2777" s="16" t="n">
        <v>300.032917</v>
      </c>
      <c r="Q2777" s="16" t="n">
        <v>4505.950043184831</v>
      </c>
      <c r="R2777" s="16" t="n">
        <v>1139.556702008077</v>
      </c>
      <c r="S2777" s="16" t="n">
        <v>0.8294780327808849</v>
      </c>
      <c r="T2777" s="16" t="n">
        <v>0.946055907458648</v>
      </c>
      <c r="U2777" s="16" t="n">
        <v>0.8375342727183488</v>
      </c>
      <c r="V2777" s="16" t="n">
        <v>0.4963658855761367</v>
      </c>
      <c r="W2777" s="16" t="n">
        <v>0.9166775946077288</v>
      </c>
      <c r="X2777" s="16" t="n">
        <v>0.9457881775355844</v>
      </c>
      <c r="Y2777" s="16" t="n">
        <v>300.032917</v>
      </c>
      <c r="Z2777" s="16" t="n">
        <v>13.43767625005752</v>
      </c>
      <c r="AA2777" s="16" t="n">
        <v>138.8448559781011</v>
      </c>
      <c r="AB2777" s="16" t="n">
        <v>3366.393341176754</v>
      </c>
      <c r="AC2777" s="16" t="n">
        <v>3.954125350010793</v>
      </c>
      <c r="AD2777" s="16" t="inlineStr">
        <is>
          <t>O2</t>
        </is>
      </c>
      <c r="AE2777" s="16" t="n"/>
    </row>
    <row r="2778">
      <c r="A2778" s="16" t="inlineStr">
        <is>
          <t>KF-M07-A3-0069</t>
        </is>
      </c>
      <c r="B2778" s="16" t="inlineStr">
        <is>
          <t>5.1</t>
        </is>
      </c>
      <c r="C2778" s="16" t="inlineStr">
        <is>
          <t>5.1c</t>
        </is>
      </c>
      <c r="D2778" s="16" t="inlineStr">
        <is>
          <t>conserva sus temperaturas</t>
        </is>
      </c>
      <c r="E2778" s="16" t="inlineStr">
        <is>
          <t>KF-M07</t>
        </is>
      </c>
      <c r="F2778" s="16" t="inlineStr">
        <is>
          <t>KF-M07-A3</t>
        </is>
      </c>
      <c r="G2778" s="16" t="inlineStr">
        <is>
          <t>B11-A3</t>
        </is>
      </c>
      <c r="H2778" s="16" t="inlineStr">
        <is>
          <t>busqueda</t>
        </is>
      </c>
      <c r="I2778" s="16" t="inlineStr">
        <is>
          <t>KALINA</t>
        </is>
      </c>
      <c r="J2778" s="16" t="inlineStr">
        <is>
          <t>KALINA</t>
        </is>
      </c>
      <c r="K2778" s="16" t="b">
        <v>1</v>
      </c>
      <c r="L2778" s="16" t="b">
        <v>1</v>
      </c>
      <c r="M2778" s="16" t="b">
        <v>0</v>
      </c>
      <c r="N2778" s="16" t="b">
        <v>0</v>
      </c>
      <c r="O2778" s="16" t="n">
        <v>623.15</v>
      </c>
      <c r="P2778" s="16" t="n">
        <v>300.032917</v>
      </c>
      <c r="Q2778" s="16" t="n">
        <v>4505.950043184831</v>
      </c>
      <c r="R2778" s="16" t="n">
        <v>1359.556702008076</v>
      </c>
      <c r="S2778" s="16" t="n">
        <v>0.85</v>
      </c>
      <c r="T2778" s="16" t="n">
        <v>0.946055907458648</v>
      </c>
      <c r="U2778" s="16" t="n">
        <v>0.8375342727183488</v>
      </c>
      <c r="V2778" s="16" t="n">
        <v>0.4963658855761367</v>
      </c>
      <c r="W2778" s="16" t="n">
        <v>0.9166775946077288</v>
      </c>
      <c r="X2778" s="16" t="n">
        <v>0.9457881775355844</v>
      </c>
      <c r="Y2778" s="16" t="n">
        <v>300.032917</v>
      </c>
      <c r="Z2778" s="16" t="n">
        <v>11.87547305666734</v>
      </c>
      <c r="AA2778" s="16" t="n">
        <v>121.3928254197563</v>
      </c>
      <c r="AB2778" s="16" t="n">
        <v>3146.393341176755</v>
      </c>
      <c r="AC2778" s="16" t="n">
        <v>3.314278864963488</v>
      </c>
      <c r="AD2778" s="16" t="n"/>
      <c r="AE2778" s="16" t="n"/>
    </row>
    <row r="2779">
      <c r="A2779" s="16" t="inlineStr">
        <is>
          <t>KF-M07-A3-0070</t>
        </is>
      </c>
      <c r="B2779" s="16" t="inlineStr">
        <is>
          <t>5.1</t>
        </is>
      </c>
      <c r="C2779" s="16" t="inlineStr">
        <is>
          <t>5.1c</t>
        </is>
      </c>
      <c r="D2779" s="16" t="inlineStr">
        <is>
          <t>conserva sus temperaturas</t>
        </is>
      </c>
      <c r="E2779" s="16" t="inlineStr">
        <is>
          <t>KF-M07</t>
        </is>
      </c>
      <c r="F2779" s="16" t="inlineStr">
        <is>
          <t>KF-M07-A3</t>
        </is>
      </c>
      <c r="G2779" s="16" t="inlineStr">
        <is>
          <t>B11-A3</t>
        </is>
      </c>
      <c r="H2779" s="16" t="inlineStr">
        <is>
          <t>busqueda</t>
        </is>
      </c>
      <c r="I2779" s="16" t="inlineStr">
        <is>
          <t>KALINA</t>
        </is>
      </c>
      <c r="J2779" s="16" t="inlineStr">
        <is>
          <t>KALINA</t>
        </is>
      </c>
      <c r="K2779" s="16" t="b">
        <v>1</v>
      </c>
      <c r="L2779" s="16" t="b">
        <v>1</v>
      </c>
      <c r="M2779" s="16" t="b">
        <v>0</v>
      </c>
      <c r="N2779" s="16" t="b">
        <v>0</v>
      </c>
      <c r="O2779" s="16" t="n">
        <v>623.15</v>
      </c>
      <c r="P2779" s="16" t="n">
        <v>300.032917</v>
      </c>
      <c r="Q2779" s="16" t="n">
        <v>4505.950043184831</v>
      </c>
      <c r="R2779" s="16" t="n">
        <v>1359.556702008076</v>
      </c>
      <c r="S2779" s="16" t="n">
        <v>0.7944780327808849</v>
      </c>
      <c r="T2779" s="16" t="n">
        <v>0.946055907458648</v>
      </c>
      <c r="U2779" s="16" t="n">
        <v>0.8375342727183488</v>
      </c>
      <c r="V2779" s="16" t="n">
        <v>0.4963658855761367</v>
      </c>
      <c r="W2779" s="16" t="n">
        <v>0.9166775946077288</v>
      </c>
      <c r="X2779" s="16" t="n">
        <v>0.9457881775355844</v>
      </c>
      <c r="Y2779" s="16" t="n">
        <v>300.032917</v>
      </c>
      <c r="Z2779" s="16" t="n">
        <v>11.60611522134726</v>
      </c>
      <c r="AA2779" s="16" t="n">
        <v>121.9751641643304</v>
      </c>
      <c r="AB2779" s="16" t="n">
        <v>3146.393341176755</v>
      </c>
      <c r="AC2779" s="16" t="n">
        <v>3.314278864963488</v>
      </c>
      <c r="AD2779" s="16" t="n"/>
      <c r="AE2779" s="16" t="n"/>
    </row>
    <row r="2780">
      <c r="A2780" s="16" t="inlineStr">
        <is>
          <t>KF-M07-A3-0071</t>
        </is>
      </c>
      <c r="B2780" s="16" t="inlineStr">
        <is>
          <t>5.1</t>
        </is>
      </c>
      <c r="C2780" s="16" t="inlineStr">
        <is>
          <t>5.1c</t>
        </is>
      </c>
      <c r="D2780" s="16" t="inlineStr">
        <is>
          <t>conserva sus temperaturas</t>
        </is>
      </c>
      <c r="E2780" s="16" t="inlineStr">
        <is>
          <t>KF-M07</t>
        </is>
      </c>
      <c r="F2780" s="16" t="inlineStr">
        <is>
          <t>KF-M07-A3</t>
        </is>
      </c>
      <c r="G2780" s="16" t="inlineStr">
        <is>
          <t>B11-A3</t>
        </is>
      </c>
      <c r="H2780" s="16" t="inlineStr">
        <is>
          <t>busqueda</t>
        </is>
      </c>
      <c r="I2780" s="16" t="inlineStr">
        <is>
          <t>KALINA</t>
        </is>
      </c>
      <c r="J2780" s="16" t="inlineStr">
        <is>
          <t>KALINA</t>
        </is>
      </c>
      <c r="K2780" s="16" t="b">
        <v>1</v>
      </c>
      <c r="L2780" s="16" t="b">
        <v>1</v>
      </c>
      <c r="M2780" s="16" t="b">
        <v>0</v>
      </c>
      <c r="N2780" s="16" t="b">
        <v>0</v>
      </c>
      <c r="O2780" s="16" t="n">
        <v>623.15</v>
      </c>
      <c r="P2780" s="16" t="n">
        <v>300.032917</v>
      </c>
      <c r="Q2780" s="16" t="n">
        <v>4505.950043184831</v>
      </c>
      <c r="R2780" s="16" t="n">
        <v>1359.556702008076</v>
      </c>
      <c r="S2780" s="16" t="n">
        <v>0.8294780327808849</v>
      </c>
      <c r="T2780" s="16" t="n">
        <v>0.95</v>
      </c>
      <c r="U2780" s="16" t="n">
        <v>0.8375342727183488</v>
      </c>
      <c r="V2780" s="16" t="n">
        <v>0.4963658855761367</v>
      </c>
      <c r="W2780" s="16" t="n">
        <v>0.9166775946077288</v>
      </c>
      <c r="X2780" s="16" t="n">
        <v>0.9457881775355844</v>
      </c>
      <c r="Y2780" s="16" t="n">
        <v>300.032917</v>
      </c>
      <c r="Z2780" s="16" t="n">
        <v>11.85157408579857</v>
      </c>
      <c r="AA2780" s="16" t="n">
        <v>122.429598358561</v>
      </c>
      <c r="AB2780" s="16" t="n">
        <v>3146.393341176755</v>
      </c>
      <c r="AC2780" s="16" t="n">
        <v>3.314278864963488</v>
      </c>
      <c r="AD2780" s="16" t="n"/>
      <c r="AE2780" s="16" t="n"/>
    </row>
    <row r="2781">
      <c r="A2781" s="16" t="inlineStr">
        <is>
          <t>KF-M07-A3-0072</t>
        </is>
      </c>
      <c r="B2781" s="16" t="inlineStr">
        <is>
          <t>5.1</t>
        </is>
      </c>
      <c r="C2781" s="16" t="inlineStr">
        <is>
          <t>5.1c</t>
        </is>
      </c>
      <c r="D2781" s="16" t="inlineStr">
        <is>
          <t>conserva sus temperaturas</t>
        </is>
      </c>
      <c r="E2781" s="16" t="inlineStr">
        <is>
          <t>KF-M07</t>
        </is>
      </c>
      <c r="F2781" s="16" t="inlineStr">
        <is>
          <t>KF-M07-A3</t>
        </is>
      </c>
      <c r="G2781" s="16" t="inlineStr">
        <is>
          <t>B11-A3</t>
        </is>
      </c>
      <c r="H2781" s="16" t="inlineStr">
        <is>
          <t>busqueda</t>
        </is>
      </c>
      <c r="I2781" s="16" t="inlineStr">
        <is>
          <t>KALINA</t>
        </is>
      </c>
      <c r="J2781" s="16" t="inlineStr">
        <is>
          <t>KALINA</t>
        </is>
      </c>
      <c r="K2781" s="16" t="b">
        <v>1</v>
      </c>
      <c r="L2781" s="16" t="b">
        <v>1</v>
      </c>
      <c r="M2781" s="16" t="b">
        <v>0</v>
      </c>
      <c r="N2781" s="16" t="b">
        <v>0</v>
      </c>
      <c r="O2781" s="16" t="n">
        <v>623.15</v>
      </c>
      <c r="P2781" s="16" t="n">
        <v>300.032917</v>
      </c>
      <c r="Q2781" s="16" t="n">
        <v>4505.950043184831</v>
      </c>
      <c r="R2781" s="16" t="n">
        <v>1359.556702008076</v>
      </c>
      <c r="S2781" s="16" t="n">
        <v>0.8294780327808849</v>
      </c>
      <c r="T2781" s="16" t="n">
        <v>0.8910559074586479</v>
      </c>
      <c r="U2781" s="16" t="n">
        <v>0.8375342727183488</v>
      </c>
      <c r="V2781" s="16" t="n">
        <v>0.4963658855761367</v>
      </c>
      <c r="W2781" s="16" t="n">
        <v>0.9166775946077288</v>
      </c>
      <c r="X2781" s="16" t="n">
        <v>0.9457881775355844</v>
      </c>
      <c r="Y2781" s="16" t="n">
        <v>300.032917</v>
      </c>
      <c r="Z2781" s="16" t="n">
        <v>11.08587903361167</v>
      </c>
      <c r="AA2781" s="16" t="n">
        <v>114.5023734593544</v>
      </c>
      <c r="AB2781" s="16" t="n">
        <v>3146.393341176755</v>
      </c>
      <c r="AC2781" s="16" t="n">
        <v>3.314278864963488</v>
      </c>
      <c r="AD2781" s="16" t="n"/>
      <c r="AE2781" s="16" t="n"/>
    </row>
    <row r="2782">
      <c r="A2782" s="16" t="inlineStr">
        <is>
          <t>KF-M07-A3-0073</t>
        </is>
      </c>
      <c r="B2782" s="16" t="inlineStr">
        <is>
          <t>5.1</t>
        </is>
      </c>
      <c r="C2782" s="16" t="inlineStr">
        <is>
          <t>5.1c</t>
        </is>
      </c>
      <c r="D2782" s="16" t="inlineStr">
        <is>
          <t>conserva sus temperaturas</t>
        </is>
      </c>
      <c r="E2782" s="16" t="inlineStr">
        <is>
          <t>KF-M07</t>
        </is>
      </c>
      <c r="F2782" s="16" t="inlineStr">
        <is>
          <t>KF-M07-A3</t>
        </is>
      </c>
      <c r="G2782" s="16" t="inlineStr">
        <is>
          <t>B11-A3</t>
        </is>
      </c>
      <c r="H2782" s="16" t="inlineStr">
        <is>
          <t>busqueda</t>
        </is>
      </c>
      <c r="I2782" s="16" t="inlineStr">
        <is>
          <t>KALINA</t>
        </is>
      </c>
      <c r="J2782" s="16" t="inlineStr">
        <is>
          <t>KALINA</t>
        </is>
      </c>
      <c r="K2782" s="16" t="b">
        <v>1</v>
      </c>
      <c r="L2782" s="16" t="b">
        <v>1</v>
      </c>
      <c r="M2782" s="16" t="b">
        <v>0</v>
      </c>
      <c r="N2782" s="16" t="b">
        <v>0</v>
      </c>
      <c r="O2782" s="16" t="n">
        <v>623.15</v>
      </c>
      <c r="P2782" s="16" t="n">
        <v>300.032917</v>
      </c>
      <c r="Q2782" s="16" t="n">
        <v>4505.950043184831</v>
      </c>
      <c r="R2782" s="16" t="n">
        <v>1359.556702008076</v>
      </c>
      <c r="S2782" s="16" t="n">
        <v>0.8294780327808849</v>
      </c>
      <c r="T2782" s="16" t="n">
        <v>0.946055907458648</v>
      </c>
      <c r="U2782" s="16" t="n">
        <v>0.8925342727183487</v>
      </c>
      <c r="V2782" s="16" t="n">
        <v>0.4963658855761367</v>
      </c>
      <c r="W2782" s="16" t="n">
        <v>0.9166775946077288</v>
      </c>
      <c r="X2782" s="16" t="n">
        <v>0.9457881775355844</v>
      </c>
      <c r="Y2782" s="16" t="n">
        <v>300.032917</v>
      </c>
      <c r="Z2782" s="16" t="n">
        <v>11.83089535856264</v>
      </c>
      <c r="AA2782" s="16" t="n">
        <v>122.2297115463574</v>
      </c>
      <c r="AB2782" s="16" t="n">
        <v>3146.393341176755</v>
      </c>
      <c r="AC2782" s="16" t="n">
        <v>3.314278864963488</v>
      </c>
      <c r="AD2782" s="16" t="n"/>
      <c r="AE2782" s="16" t="n"/>
    </row>
    <row r="2783">
      <c r="A2783" s="16" t="inlineStr">
        <is>
          <t>KF-M07-A3-0074</t>
        </is>
      </c>
      <c r="B2783" s="16" t="inlineStr">
        <is>
          <t>5.1</t>
        </is>
      </c>
      <c r="C2783" s="16" t="inlineStr">
        <is>
          <t>5.1c</t>
        </is>
      </c>
      <c r="D2783" s="16" t="inlineStr">
        <is>
          <t>conserva sus temperaturas</t>
        </is>
      </c>
      <c r="E2783" s="16" t="inlineStr">
        <is>
          <t>KF-M07</t>
        </is>
      </c>
      <c r="F2783" s="16" t="inlineStr">
        <is>
          <t>KF-M07-A3</t>
        </is>
      </c>
      <c r="G2783" s="16" t="inlineStr">
        <is>
          <t>B11-A3</t>
        </is>
      </c>
      <c r="H2783" s="16" t="inlineStr">
        <is>
          <t>busqueda</t>
        </is>
      </c>
      <c r="I2783" s="16" t="inlineStr">
        <is>
          <t>KALINA</t>
        </is>
      </c>
      <c r="J2783" s="16" t="inlineStr">
        <is>
          <t>KALINA</t>
        </is>
      </c>
      <c r="K2783" s="16" t="b">
        <v>1</v>
      </c>
      <c r="L2783" s="16" t="b">
        <v>1</v>
      </c>
      <c r="M2783" s="16" t="b">
        <v>0</v>
      </c>
      <c r="N2783" s="16" t="b">
        <v>0</v>
      </c>
      <c r="O2783" s="16" t="n">
        <v>623.15</v>
      </c>
      <c r="P2783" s="16" t="n">
        <v>300.032917</v>
      </c>
      <c r="Q2783" s="16" t="n">
        <v>4505.950043184831</v>
      </c>
      <c r="R2783" s="16" t="n">
        <v>1359.556702008076</v>
      </c>
      <c r="S2783" s="16" t="n">
        <v>0.8294780327808849</v>
      </c>
      <c r="T2783" s="16" t="n">
        <v>0.946055907458648</v>
      </c>
      <c r="U2783" s="16" t="n">
        <v>0.7825342727183489</v>
      </c>
      <c r="V2783" s="16" t="n">
        <v>0.4963658855761367</v>
      </c>
      <c r="W2783" s="16" t="n">
        <v>0.9166775946077288</v>
      </c>
      <c r="X2783" s="16" t="n">
        <v>0.9457881775355844</v>
      </c>
      <c r="Y2783" s="16" t="n">
        <v>300.032917</v>
      </c>
      <c r="Z2783" s="16" t="n">
        <v>11.76551267090013</v>
      </c>
      <c r="AA2783" s="16" t="n">
        <v>121.5223413854227</v>
      </c>
      <c r="AB2783" s="16" t="n">
        <v>3146.393341176755</v>
      </c>
      <c r="AC2783" s="16" t="n">
        <v>3.314278864963488</v>
      </c>
      <c r="AD2783" s="16" t="n"/>
      <c r="AE2783" s="16" t="n"/>
    </row>
    <row r="2784">
      <c r="A2784" s="16" t="inlineStr">
        <is>
          <t>KF-M07-A3-0075</t>
        </is>
      </c>
      <c r="B2784" s="16" t="inlineStr">
        <is>
          <t>5.1</t>
        </is>
      </c>
      <c r="C2784" s="16" t="inlineStr">
        <is>
          <t>5.1c</t>
        </is>
      </c>
      <c r="D2784" s="16" t="inlineStr">
        <is>
          <t>conserva sus temperaturas</t>
        </is>
      </c>
      <c r="E2784" s="16" t="inlineStr">
        <is>
          <t>KF-M07</t>
        </is>
      </c>
      <c r="F2784" s="16" t="inlineStr">
        <is>
          <t>KF-M07-A3</t>
        </is>
      </c>
      <c r="G2784" s="16" t="inlineStr">
        <is>
          <t>B11-A3</t>
        </is>
      </c>
      <c r="H2784" s="16" t="inlineStr">
        <is>
          <t>busqueda</t>
        </is>
      </c>
      <c r="I2784" s="16" t="inlineStr">
        <is>
          <t>NO_CONVERGIO</t>
        </is>
      </c>
      <c r="J2784" s="16" t="inlineStr">
        <is>
          <t>NO_CONVERGIO</t>
        </is>
      </c>
      <c r="K2784" s="16" t="b">
        <v>0</v>
      </c>
      <c r="L2784" s="16" t="b">
        <v>0</v>
      </c>
      <c r="M2784" s="16" t="b">
        <v>0</v>
      </c>
      <c r="N2784" s="16" t="b">
        <v>0</v>
      </c>
      <c r="O2784" s="16" t="n">
        <v>623.15</v>
      </c>
      <c r="P2784" s="16" t="n">
        <v>300.032917</v>
      </c>
      <c r="Q2784" s="16" t="n">
        <v>4505.950043184831</v>
      </c>
      <c r="R2784" s="16" t="n">
        <v>1359.556702008076</v>
      </c>
      <c r="S2784" s="16" t="n">
        <v>0.8294780327808849</v>
      </c>
      <c r="T2784" s="16" t="n">
        <v>0.946055907458648</v>
      </c>
      <c r="U2784" s="16" t="n">
        <v>0.8375342727183488</v>
      </c>
      <c r="V2784" s="16" t="n">
        <v>0.5513658855761367</v>
      </c>
      <c r="W2784" s="16" t="n">
        <v>0.9166775946077288</v>
      </c>
      <c r="X2784" s="16" t="n">
        <v>0.9457881775355844</v>
      </c>
      <c r="Y2784" s="16" t="n">
        <v>300.032917</v>
      </c>
      <c r="Z2784" s="16" t="n"/>
      <c r="AA2784" s="16" t="n"/>
      <c r="AB2784" s="16" t="n">
        <v>3146.393341176755</v>
      </c>
      <c r="AC2784" s="16" t="n">
        <v>3.314278864963488</v>
      </c>
      <c r="AD2784" s="16" t="n"/>
      <c r="AE2784" s="16" t="n"/>
    </row>
    <row r="2785">
      <c r="A2785" s="16" t="inlineStr">
        <is>
          <t>KF-M07-A3-0076</t>
        </is>
      </c>
      <c r="B2785" s="16" t="inlineStr">
        <is>
          <t>5.1</t>
        </is>
      </c>
      <c r="C2785" s="16" t="inlineStr">
        <is>
          <t>5.1c</t>
        </is>
      </c>
      <c r="D2785" s="16" t="inlineStr">
        <is>
          <t>conserva sus temperaturas</t>
        </is>
      </c>
      <c r="E2785" s="16" t="inlineStr">
        <is>
          <t>KF-M07</t>
        </is>
      </c>
      <c r="F2785" s="16" t="inlineStr">
        <is>
          <t>KF-M07-A3</t>
        </is>
      </c>
      <c r="G2785" s="16" t="inlineStr">
        <is>
          <t>B11-A3</t>
        </is>
      </c>
      <c r="H2785" s="16" t="inlineStr">
        <is>
          <t>busqueda</t>
        </is>
      </c>
      <c r="I2785" s="16" t="inlineStr">
        <is>
          <t>KALINA</t>
        </is>
      </c>
      <c r="J2785" s="16" t="inlineStr">
        <is>
          <t>KALINA</t>
        </is>
      </c>
      <c r="K2785" s="16" t="b">
        <v>1</v>
      </c>
      <c r="L2785" s="16" t="b">
        <v>1</v>
      </c>
      <c r="M2785" s="16" t="b">
        <v>0</v>
      </c>
      <c r="N2785" s="16" t="b">
        <v>0</v>
      </c>
      <c r="O2785" s="16" t="n">
        <v>623.15</v>
      </c>
      <c r="P2785" s="16" t="n">
        <v>300.032917</v>
      </c>
      <c r="Q2785" s="16" t="n">
        <v>4505.950043184831</v>
      </c>
      <c r="R2785" s="16" t="n">
        <v>1359.556702008076</v>
      </c>
      <c r="S2785" s="16" t="n">
        <v>0.8294780327808849</v>
      </c>
      <c r="T2785" s="16" t="n">
        <v>0.946055907458648</v>
      </c>
      <c r="U2785" s="16" t="n">
        <v>0.8375342727183488</v>
      </c>
      <c r="V2785" s="16" t="n">
        <v>0.4413658855761367</v>
      </c>
      <c r="W2785" s="16" t="n">
        <v>0.9166775946077288</v>
      </c>
      <c r="X2785" s="16" t="n">
        <v>0.9457881775355844</v>
      </c>
      <c r="Y2785" s="16" t="n">
        <v>300.032917</v>
      </c>
      <c r="Z2785" s="16" t="n">
        <v>11.65669381774798</v>
      </c>
      <c r="AA2785" s="16" t="n">
        <v>106.5996110639049</v>
      </c>
      <c r="AB2785" s="16" t="n">
        <v>3146.393341176755</v>
      </c>
      <c r="AC2785" s="16" t="n">
        <v>3.314278864963488</v>
      </c>
      <c r="AD2785" s="16" t="n"/>
      <c r="AE2785" s="16" t="n"/>
    </row>
    <row r="2786">
      <c r="A2786" s="16" t="inlineStr">
        <is>
          <t>KF-M07-A3-0077</t>
        </is>
      </c>
      <c r="B2786" s="16" t="inlineStr">
        <is>
          <t>5.1</t>
        </is>
      </c>
      <c r="C2786" s="16" t="inlineStr">
        <is>
          <t>5.1c</t>
        </is>
      </c>
      <c r="D2786" s="16" t="inlineStr">
        <is>
          <t>conserva sus temperaturas</t>
        </is>
      </c>
      <c r="E2786" s="16" t="inlineStr">
        <is>
          <t>KF-M07</t>
        </is>
      </c>
      <c r="F2786" s="16" t="inlineStr">
        <is>
          <t>KF-M07-A3</t>
        </is>
      </c>
      <c r="G2786" s="16" t="inlineStr">
        <is>
          <t>B11-A3</t>
        </is>
      </c>
      <c r="H2786" s="16" t="inlineStr">
        <is>
          <t>busqueda</t>
        </is>
      </c>
      <c r="I2786" s="16" t="inlineStr">
        <is>
          <t>KALINA</t>
        </is>
      </c>
      <c r="J2786" s="16" t="inlineStr">
        <is>
          <t>KALINA</t>
        </is>
      </c>
      <c r="K2786" s="16" t="b">
        <v>1</v>
      </c>
      <c r="L2786" s="16" t="b">
        <v>1</v>
      </c>
      <c r="M2786" s="16" t="b">
        <v>0</v>
      </c>
      <c r="N2786" s="16" t="b">
        <v>0</v>
      </c>
      <c r="O2786" s="16" t="n">
        <v>623.15</v>
      </c>
      <c r="P2786" s="16" t="n">
        <v>300.032917</v>
      </c>
      <c r="Q2786" s="16" t="n">
        <v>4505.950043184831</v>
      </c>
      <c r="R2786" s="16" t="n">
        <v>1359.556702008076</v>
      </c>
      <c r="S2786" s="16" t="n">
        <v>0.8294780327808849</v>
      </c>
      <c r="T2786" s="16" t="n">
        <v>0.946055907458648</v>
      </c>
      <c r="U2786" s="16" t="n">
        <v>0.8375342727183488</v>
      </c>
      <c r="V2786" s="16" t="n">
        <v>0.4963658855761367</v>
      </c>
      <c r="W2786" s="16" t="n">
        <v>0.95</v>
      </c>
      <c r="X2786" s="16" t="n">
        <v>0.9457881775355844</v>
      </c>
      <c r="Y2786" s="16" t="n">
        <v>300.032917</v>
      </c>
      <c r="Z2786" s="16" t="n">
        <v>11.84996648600961</v>
      </c>
      <c r="AA2786" s="16" t="n">
        <v>122.1763562268776</v>
      </c>
      <c r="AB2786" s="16" t="n">
        <v>3146.393341176755</v>
      </c>
      <c r="AC2786" s="16" t="n">
        <v>3.314278864963488</v>
      </c>
      <c r="AD2786" s="16" t="n"/>
      <c r="AE2786" s="16" t="n"/>
    </row>
    <row r="2787">
      <c r="A2787" s="16" t="inlineStr">
        <is>
          <t>KF-M07-A3-0078</t>
        </is>
      </c>
      <c r="B2787" s="16" t="inlineStr">
        <is>
          <t>5.1</t>
        </is>
      </c>
      <c r="C2787" s="16" t="inlineStr">
        <is>
          <t>5.1c</t>
        </is>
      </c>
      <c r="D2787" s="16" t="inlineStr">
        <is>
          <t>conserva sus temperaturas</t>
        </is>
      </c>
      <c r="E2787" s="16" t="inlineStr">
        <is>
          <t>KF-M07</t>
        </is>
      </c>
      <c r="F2787" s="16" t="inlineStr">
        <is>
          <t>KF-M07-A3</t>
        </is>
      </c>
      <c r="G2787" s="16" t="inlineStr">
        <is>
          <t>B11-A3</t>
        </is>
      </c>
      <c r="H2787" s="16" t="inlineStr">
        <is>
          <t>busqueda</t>
        </is>
      </c>
      <c r="I2787" s="16" t="inlineStr">
        <is>
          <t>KALINA</t>
        </is>
      </c>
      <c r="J2787" s="16" t="inlineStr">
        <is>
          <t>KALINA</t>
        </is>
      </c>
      <c r="K2787" s="16" t="b">
        <v>1</v>
      </c>
      <c r="L2787" s="16" t="b">
        <v>1</v>
      </c>
      <c r="M2787" s="16" t="b">
        <v>0</v>
      </c>
      <c r="N2787" s="16" t="b">
        <v>0</v>
      </c>
      <c r="O2787" s="16" t="n">
        <v>623.15</v>
      </c>
      <c r="P2787" s="16" t="n">
        <v>300.032917</v>
      </c>
      <c r="Q2787" s="16" t="n">
        <v>4505.950043184831</v>
      </c>
      <c r="R2787" s="16" t="n">
        <v>1359.556702008076</v>
      </c>
      <c r="S2787" s="16" t="n">
        <v>0.8294780327808849</v>
      </c>
      <c r="T2787" s="16" t="n">
        <v>0.946055907458648</v>
      </c>
      <c r="U2787" s="16" t="n">
        <v>0.8375342727183488</v>
      </c>
      <c r="V2787" s="16" t="n">
        <v>0.4963658855761367</v>
      </c>
      <c r="W2787" s="16" t="n">
        <v>0.8616775946077286</v>
      </c>
      <c r="X2787" s="16" t="n">
        <v>0.9457881775355844</v>
      </c>
      <c r="Y2787" s="16" t="n">
        <v>300.032917</v>
      </c>
      <c r="Z2787" s="16" t="n">
        <v>11.71838232772458</v>
      </c>
      <c r="AA2787" s="16" t="n">
        <v>121.4388429925461</v>
      </c>
      <c r="AB2787" s="16" t="n">
        <v>3146.393341176755</v>
      </c>
      <c r="AC2787" s="16" t="n">
        <v>3.314278864963488</v>
      </c>
      <c r="AD2787" s="16" t="n"/>
      <c r="AE2787" s="16" t="n"/>
    </row>
    <row r="2788">
      <c r="A2788" s="16" t="inlineStr">
        <is>
          <t>KF-M07-A3-0079</t>
        </is>
      </c>
      <c r="B2788" s="16" t="inlineStr">
        <is>
          <t>5.1</t>
        </is>
      </c>
      <c r="C2788" s="16" t="inlineStr">
        <is>
          <t>5.1c</t>
        </is>
      </c>
      <c r="D2788" s="16" t="inlineStr">
        <is>
          <t>conserva sus temperaturas</t>
        </is>
      </c>
      <c r="E2788" s="16" t="inlineStr">
        <is>
          <t>KF-M07</t>
        </is>
      </c>
      <c r="F2788" s="16" t="inlineStr">
        <is>
          <t>KF-M07-A3</t>
        </is>
      </c>
      <c r="G2788" s="16" t="inlineStr">
        <is>
          <t>B11-A3</t>
        </is>
      </c>
      <c r="H2788" s="16" t="inlineStr">
        <is>
          <t>busqueda</t>
        </is>
      </c>
      <c r="I2788" s="16" t="inlineStr">
        <is>
          <t>KALINA</t>
        </is>
      </c>
      <c r="J2788" s="16" t="inlineStr">
        <is>
          <t>KALINA</t>
        </is>
      </c>
      <c r="K2788" s="16" t="b">
        <v>1</v>
      </c>
      <c r="L2788" s="16" t="b">
        <v>1</v>
      </c>
      <c r="M2788" s="16" t="b">
        <v>0</v>
      </c>
      <c r="N2788" s="16" t="b">
        <v>0</v>
      </c>
      <c r="O2788" s="16" t="n">
        <v>623.15</v>
      </c>
      <c r="P2788" s="16" t="n">
        <v>300.032917</v>
      </c>
      <c r="Q2788" s="16" t="n">
        <v>4505.950043184831</v>
      </c>
      <c r="R2788" s="16" t="n">
        <v>1359.556702008076</v>
      </c>
      <c r="S2788" s="16" t="n">
        <v>0.8294780327808849</v>
      </c>
      <c r="T2788" s="16" t="n">
        <v>0.946055907458648</v>
      </c>
      <c r="U2788" s="16" t="n">
        <v>0.8375342727183488</v>
      </c>
      <c r="V2788" s="16" t="n">
        <v>0.4963658855761367</v>
      </c>
      <c r="W2788" s="16" t="n">
        <v>0.9166775946077288</v>
      </c>
      <c r="X2788" s="16" t="n">
        <v>0.95</v>
      </c>
      <c r="Y2788" s="16" t="n">
        <v>300.032917</v>
      </c>
      <c r="Z2788" s="16" t="n">
        <v>11.76464503231909</v>
      </c>
      <c r="AA2788" s="16" t="n">
        <v>121.7037316821716</v>
      </c>
      <c r="AB2788" s="16" t="n">
        <v>3146.393341176755</v>
      </c>
      <c r="AC2788" s="16" t="n">
        <v>3.314278864963488</v>
      </c>
      <c r="AD2788" s="16" t="n"/>
      <c r="AE2788" s="16" t="n"/>
    </row>
    <row r="2789">
      <c r="A2789" s="16" t="inlineStr">
        <is>
          <t>KF-M07-A3-0080</t>
        </is>
      </c>
      <c r="B2789" s="16" t="inlineStr">
        <is>
          <t>5.1</t>
        </is>
      </c>
      <c r="C2789" s="16" t="inlineStr">
        <is>
          <t>5.1c</t>
        </is>
      </c>
      <c r="D2789" s="16" t="inlineStr">
        <is>
          <t>conserva sus temperaturas</t>
        </is>
      </c>
      <c r="E2789" s="16" t="inlineStr">
        <is>
          <t>KF-M07</t>
        </is>
      </c>
      <c r="F2789" s="16" t="inlineStr">
        <is>
          <t>KF-M07-A3</t>
        </is>
      </c>
      <c r="G2789" s="16" t="inlineStr">
        <is>
          <t>B11-A3</t>
        </is>
      </c>
      <c r="H2789" s="16" t="inlineStr">
        <is>
          <t>busqueda</t>
        </is>
      </c>
      <c r="I2789" s="16" t="inlineStr">
        <is>
          <t>CORREGIBLE</t>
        </is>
      </c>
      <c r="J2789" s="16" t="inlineStr">
        <is>
          <t>CORREGIBLE</t>
        </is>
      </c>
      <c r="K2789" s="16" t="b">
        <v>1</v>
      </c>
      <c r="L2789" s="16" t="b">
        <v>0</v>
      </c>
      <c r="M2789" s="16" t="b">
        <v>0</v>
      </c>
      <c r="N2789" s="16" t="b">
        <v>0</v>
      </c>
      <c r="O2789" s="16" t="n">
        <v>623.15</v>
      </c>
      <c r="P2789" s="16" t="n">
        <v>300.032917</v>
      </c>
      <c r="Q2789" s="16" t="n">
        <v>4505.950043184831</v>
      </c>
      <c r="R2789" s="16" t="n">
        <v>1359.556702008076</v>
      </c>
      <c r="S2789" s="16" t="n">
        <v>0.8294780327808849</v>
      </c>
      <c r="T2789" s="16" t="n">
        <v>0.946055907458648</v>
      </c>
      <c r="U2789" s="16" t="n">
        <v>0.8375342727183488</v>
      </c>
      <c r="V2789" s="16" t="n">
        <v>0.4963658855761367</v>
      </c>
      <c r="W2789" s="16" t="n">
        <v>0.9166775946077288</v>
      </c>
      <c r="X2789" s="16" t="n">
        <v>0.8907881775355844</v>
      </c>
      <c r="Y2789" s="16" t="n">
        <v>300.032917</v>
      </c>
      <c r="Z2789" s="16" t="n">
        <v>12.25927557620339</v>
      </c>
      <c r="AA2789" s="16" t="n">
        <v>124.1368294245121</v>
      </c>
      <c r="AB2789" s="16" t="n">
        <v>3146.393341176755</v>
      </c>
      <c r="AC2789" s="16" t="n">
        <v>3.314278864963488</v>
      </c>
      <c r="AD2789" s="16" t="inlineStr">
        <is>
          <t>O2</t>
        </is>
      </c>
      <c r="AE2789" s="16" t="n"/>
    </row>
    <row r="2790">
      <c r="A2790" s="16" t="inlineStr">
        <is>
          <t>KF-M07-A3-0081</t>
        </is>
      </c>
      <c r="B2790" s="16" t="inlineStr">
        <is>
          <t>5.1</t>
        </is>
      </c>
      <c r="C2790" s="16" t="inlineStr">
        <is>
          <t>5.1c</t>
        </is>
      </c>
      <c r="D2790" s="16" t="inlineStr">
        <is>
          <t>conserva sus temperaturas</t>
        </is>
      </c>
      <c r="E2790" s="16" t="inlineStr">
        <is>
          <t>KF-M07</t>
        </is>
      </c>
      <c r="F2790" s="16" t="inlineStr">
        <is>
          <t>KF-M07-A3</t>
        </is>
      </c>
      <c r="G2790" s="16" t="inlineStr">
        <is>
          <t>B11-A3</t>
        </is>
      </c>
      <c r="H2790" s="16" t="inlineStr">
        <is>
          <t>busqueda</t>
        </is>
      </c>
      <c r="I2790" s="16" t="inlineStr">
        <is>
          <t>KALINA</t>
        </is>
      </c>
      <c r="J2790" s="16" t="inlineStr">
        <is>
          <t>KALINA</t>
        </is>
      </c>
      <c r="K2790" s="16" t="b">
        <v>1</v>
      </c>
      <c r="L2790" s="16" t="b">
        <v>1</v>
      </c>
      <c r="M2790" s="16" t="b">
        <v>0</v>
      </c>
      <c r="N2790" s="16" t="b">
        <v>0</v>
      </c>
      <c r="O2790" s="16" t="n">
        <v>623.15</v>
      </c>
      <c r="P2790" s="16" t="n">
        <v>300.032917</v>
      </c>
      <c r="Q2790" s="16" t="n">
        <v>5000</v>
      </c>
      <c r="R2790" s="16" t="n">
        <v>1359.556702008076</v>
      </c>
      <c r="S2790" s="16" t="n">
        <v>0.8294780327808849</v>
      </c>
      <c r="T2790" s="16" t="n">
        <v>0.946055907458648</v>
      </c>
      <c r="U2790" s="16" t="n">
        <v>0.8375342727183488</v>
      </c>
      <c r="V2790" s="16" t="n">
        <v>0.4963658855761367</v>
      </c>
      <c r="W2790" s="16" t="n">
        <v>0.9166775946077288</v>
      </c>
      <c r="X2790" s="16" t="n">
        <v>0.9457881775355844</v>
      </c>
      <c r="Y2790" s="16" t="n">
        <v>300.032917</v>
      </c>
      <c r="Z2790" s="16" t="n">
        <v>12.6634113366047</v>
      </c>
      <c r="AA2790" s="16" t="n">
        <v>129.9544616608258</v>
      </c>
      <c r="AB2790" s="16" t="n">
        <v>3640.443297991924</v>
      </c>
      <c r="AC2790" s="16" t="n">
        <v>3.677669340760087</v>
      </c>
      <c r="AD2790" s="16" t="n"/>
      <c r="AE2790" s="16" t="n"/>
    </row>
    <row r="2791">
      <c r="A2791" s="16" t="inlineStr">
        <is>
          <t>KF-M07-A3-0082</t>
        </is>
      </c>
      <c r="B2791" s="16" t="inlineStr">
        <is>
          <t>5.1</t>
        </is>
      </c>
      <c r="C2791" s="16" t="inlineStr">
        <is>
          <t>5.1c</t>
        </is>
      </c>
      <c r="D2791" s="16" t="inlineStr">
        <is>
          <t>conserva sus temperaturas</t>
        </is>
      </c>
      <c r="E2791" s="16" t="inlineStr">
        <is>
          <t>KF-M07</t>
        </is>
      </c>
      <c r="F2791" s="16" t="inlineStr">
        <is>
          <t>KF-M07-A3</t>
        </is>
      </c>
      <c r="G2791" s="16" t="inlineStr">
        <is>
          <t>B11-A3</t>
        </is>
      </c>
      <c r="H2791" s="16" t="inlineStr">
        <is>
          <t>busqueda</t>
        </is>
      </c>
      <c r="I2791" s="16" t="inlineStr">
        <is>
          <t>KALINA</t>
        </is>
      </c>
      <c r="J2791" s="16" t="inlineStr">
        <is>
          <t>KALINA</t>
        </is>
      </c>
      <c r="K2791" s="16" t="b">
        <v>1</v>
      </c>
      <c r="L2791" s="16" t="b">
        <v>1</v>
      </c>
      <c r="M2791" s="16" t="b">
        <v>0</v>
      </c>
      <c r="N2791" s="16" t="b">
        <v>0</v>
      </c>
      <c r="O2791" s="16" t="n">
        <v>623.15</v>
      </c>
      <c r="P2791" s="16" t="n">
        <v>300.032917</v>
      </c>
      <c r="Q2791" s="16" t="n">
        <v>4505.950043184831</v>
      </c>
      <c r="R2791" s="16" t="n">
        <v>1359.556702008076</v>
      </c>
      <c r="S2791" s="16" t="n">
        <v>0.8294780327808849</v>
      </c>
      <c r="T2791" s="16" t="n">
        <v>0.946055907458648</v>
      </c>
      <c r="U2791" s="16" t="n">
        <v>0.8375342727183488</v>
      </c>
      <c r="V2791" s="16" t="n">
        <v>0.4963658855761367</v>
      </c>
      <c r="W2791" s="16" t="n">
        <v>0.9166775946077288</v>
      </c>
      <c r="X2791" s="16" t="n">
        <v>0.9457881775355844</v>
      </c>
      <c r="Y2791" s="16" t="n">
        <v>300.032917</v>
      </c>
      <c r="Z2791" s="16" t="n">
        <v>11.80035502192042</v>
      </c>
      <c r="AA2791" s="16" t="n">
        <v>121.8992533340864</v>
      </c>
      <c r="AB2791" s="16" t="n">
        <v>3146.393341176755</v>
      </c>
      <c r="AC2791" s="16" t="n">
        <v>3.314278864963488</v>
      </c>
      <c r="AD2791" s="16" t="n"/>
      <c r="AE2791" s="16" t="n"/>
    </row>
    <row r="2792">
      <c r="A2792" s="16" t="inlineStr">
        <is>
          <t>KF-M07-A3-0083</t>
        </is>
      </c>
      <c r="B2792" s="16" t="inlineStr">
        <is>
          <t>5.1</t>
        </is>
      </c>
      <c r="C2792" s="16" t="inlineStr">
        <is>
          <t>5.1c</t>
        </is>
      </c>
      <c r="D2792" s="16" t="inlineStr">
        <is>
          <t>conserva sus temperaturas</t>
        </is>
      </c>
      <c r="E2792" s="16" t="inlineStr">
        <is>
          <t>KF-M07</t>
        </is>
      </c>
      <c r="F2792" s="16" t="inlineStr">
        <is>
          <t>KF-M07-A3</t>
        </is>
      </c>
      <c r="G2792" s="16" t="inlineStr">
        <is>
          <t>B11-A3</t>
        </is>
      </c>
      <c r="H2792" s="16" t="inlineStr">
        <is>
          <t>busqueda</t>
        </is>
      </c>
      <c r="I2792" s="16" t="inlineStr">
        <is>
          <t>KALINA</t>
        </is>
      </c>
      <c r="J2792" s="16" t="inlineStr">
        <is>
          <t>KALINA</t>
        </is>
      </c>
      <c r="K2792" s="16" t="b">
        <v>1</v>
      </c>
      <c r="L2792" s="16" t="b">
        <v>1</v>
      </c>
      <c r="M2792" s="16" t="b">
        <v>0</v>
      </c>
      <c r="N2792" s="16" t="b">
        <v>0</v>
      </c>
      <c r="O2792" s="16" t="n">
        <v>623.15</v>
      </c>
      <c r="P2792" s="16" t="n">
        <v>300.032917</v>
      </c>
      <c r="Q2792" s="16" t="n">
        <v>4805.950043184831</v>
      </c>
      <c r="R2792" s="16" t="n">
        <v>1579.556702008076</v>
      </c>
      <c r="S2792" s="16" t="n">
        <v>0.8294780327808849</v>
      </c>
      <c r="T2792" s="16" t="n">
        <v>0.946055907458648</v>
      </c>
      <c r="U2792" s="16" t="n">
        <v>0.8375342727183488</v>
      </c>
      <c r="V2792" s="16" t="n">
        <v>0.4963658855761367</v>
      </c>
      <c r="W2792" s="16" t="n">
        <v>0.9166775946077288</v>
      </c>
      <c r="X2792" s="16" t="n">
        <v>0.9457881775355844</v>
      </c>
      <c r="Y2792" s="16" t="n">
        <v>300.032917</v>
      </c>
      <c r="Z2792" s="16" t="n">
        <v>10.93327555198987</v>
      </c>
      <c r="AA2792" s="16" t="n">
        <v>112.4687519890408</v>
      </c>
      <c r="AB2792" s="16" t="n">
        <v>3226.393341176755</v>
      </c>
      <c r="AC2792" s="16" t="n">
        <v>3.042594189290622</v>
      </c>
      <c r="AD2792" s="16" t="n"/>
      <c r="AE2792" s="16" t="n"/>
    </row>
    <row r="2793">
      <c r="A2793" s="16" t="inlineStr">
        <is>
          <t>KF-M07-A3-0084</t>
        </is>
      </c>
      <c r="B2793" s="16" t="inlineStr">
        <is>
          <t>5.1</t>
        </is>
      </c>
      <c r="C2793" s="16" t="inlineStr">
        <is>
          <t>5.1c</t>
        </is>
      </c>
      <c r="D2793" s="16" t="inlineStr">
        <is>
          <t>conserva sus temperaturas</t>
        </is>
      </c>
      <c r="E2793" s="16" t="inlineStr">
        <is>
          <t>KF-M07</t>
        </is>
      </c>
      <c r="F2793" s="16" t="inlineStr">
        <is>
          <t>KF-M07-A3</t>
        </is>
      </c>
      <c r="G2793" s="16" t="inlineStr">
        <is>
          <t>B11-A3</t>
        </is>
      </c>
      <c r="H2793" s="16" t="inlineStr">
        <is>
          <t>busqueda</t>
        </is>
      </c>
      <c r="I2793" s="16" t="inlineStr">
        <is>
          <t>CORREGIBLE</t>
        </is>
      </c>
      <c r="J2793" s="16" t="inlineStr">
        <is>
          <t>CORREGIBLE</t>
        </is>
      </c>
      <c r="K2793" s="16" t="b">
        <v>1</v>
      </c>
      <c r="L2793" s="16" t="b">
        <v>0</v>
      </c>
      <c r="M2793" s="16" t="b">
        <v>0</v>
      </c>
      <c r="N2793" s="16" t="b">
        <v>0</v>
      </c>
      <c r="O2793" s="16" t="n">
        <v>623.15</v>
      </c>
      <c r="P2793" s="16" t="n">
        <v>300.032917</v>
      </c>
      <c r="Q2793" s="16" t="n">
        <v>4805.950043184831</v>
      </c>
      <c r="R2793" s="16" t="n">
        <v>1139.556702008077</v>
      </c>
      <c r="S2793" s="16" t="n">
        <v>0.8294780327808849</v>
      </c>
      <c r="T2793" s="16" t="n">
        <v>0.946055907458648</v>
      </c>
      <c r="U2793" s="16" t="n">
        <v>0.8375342727183488</v>
      </c>
      <c r="V2793" s="16" t="n">
        <v>0.4963658855761367</v>
      </c>
      <c r="W2793" s="16" t="n">
        <v>0.9166775946077288</v>
      </c>
      <c r="X2793" s="16" t="n">
        <v>0.9457881775355844</v>
      </c>
      <c r="Y2793" s="16" t="n">
        <v>300.032917</v>
      </c>
      <c r="Z2793" s="16" t="n">
        <v>13.96256614223713</v>
      </c>
      <c r="AA2793" s="16" t="n">
        <v>143.6902470987307</v>
      </c>
      <c r="AB2793" s="16" t="n">
        <v>3666.393341176753</v>
      </c>
      <c r="AC2793" s="16" t="n">
        <v>4.217385615578406</v>
      </c>
      <c r="AD2793" s="16" t="inlineStr">
        <is>
          <t>O2</t>
        </is>
      </c>
      <c r="AE2793" s="16" t="n"/>
    </row>
    <row r="2794">
      <c r="A2794" s="16" t="inlineStr">
        <is>
          <t>KF-M07-A3-0085</t>
        </is>
      </c>
      <c r="B2794" s="16" t="inlineStr">
        <is>
          <t>5.1</t>
        </is>
      </c>
      <c r="C2794" s="16" t="inlineStr">
        <is>
          <t>5.1c</t>
        </is>
      </c>
      <c r="D2794" s="16" t="inlineStr">
        <is>
          <t>conserva sus temperaturas</t>
        </is>
      </c>
      <c r="E2794" s="16" t="inlineStr">
        <is>
          <t>KF-M07</t>
        </is>
      </c>
      <c r="F2794" s="16" t="inlineStr">
        <is>
          <t>KF-M07-A3</t>
        </is>
      </c>
      <c r="G2794" s="16" t="inlineStr">
        <is>
          <t>B11-A3</t>
        </is>
      </c>
      <c r="H2794" s="16" t="inlineStr">
        <is>
          <t>busqueda</t>
        </is>
      </c>
      <c r="I2794" s="16" t="inlineStr">
        <is>
          <t>KALINA</t>
        </is>
      </c>
      <c r="J2794" s="16" t="inlineStr">
        <is>
          <t>KALINA</t>
        </is>
      </c>
      <c r="K2794" s="16" t="b">
        <v>1</v>
      </c>
      <c r="L2794" s="16" t="b">
        <v>1</v>
      </c>
      <c r="M2794" s="16" t="b">
        <v>0</v>
      </c>
      <c r="N2794" s="16" t="b">
        <v>0</v>
      </c>
      <c r="O2794" s="16" t="n">
        <v>623.15</v>
      </c>
      <c r="P2794" s="16" t="n">
        <v>300.032917</v>
      </c>
      <c r="Q2794" s="16" t="n">
        <v>4805.950043184831</v>
      </c>
      <c r="R2794" s="16" t="n">
        <v>1359.556702008076</v>
      </c>
      <c r="S2794" s="16" t="n">
        <v>0.85</v>
      </c>
      <c r="T2794" s="16" t="n">
        <v>0.946055907458648</v>
      </c>
      <c r="U2794" s="16" t="n">
        <v>0.8375342727183488</v>
      </c>
      <c r="V2794" s="16" t="n">
        <v>0.4963658855761367</v>
      </c>
      <c r="W2794" s="16" t="n">
        <v>0.9166775946077288</v>
      </c>
      <c r="X2794" s="16" t="n">
        <v>0.9457881775355844</v>
      </c>
      <c r="Y2794" s="16" t="n">
        <v>300.032917</v>
      </c>
      <c r="Z2794" s="16" t="n">
        <v>12.41425267835023</v>
      </c>
      <c r="AA2794" s="16" t="n">
        <v>126.4081780253534</v>
      </c>
      <c r="AB2794" s="16" t="n">
        <v>3446.393341176755</v>
      </c>
      <c r="AC2794" s="16" t="n">
        <v>3.534939025409093</v>
      </c>
      <c r="AD2794" s="16" t="n"/>
      <c r="AE2794" s="16" t="n"/>
    </row>
    <row r="2795">
      <c r="A2795" s="16" t="inlineStr">
        <is>
          <t>KF-M07-A3-0086</t>
        </is>
      </c>
      <c r="B2795" s="16" t="inlineStr">
        <is>
          <t>5.1</t>
        </is>
      </c>
      <c r="C2795" s="16" t="inlineStr">
        <is>
          <t>5.1c</t>
        </is>
      </c>
      <c r="D2795" s="16" t="inlineStr">
        <is>
          <t>conserva sus temperaturas</t>
        </is>
      </c>
      <c r="E2795" s="16" t="inlineStr">
        <is>
          <t>KF-M07</t>
        </is>
      </c>
      <c r="F2795" s="16" t="inlineStr">
        <is>
          <t>KF-M07-A3</t>
        </is>
      </c>
      <c r="G2795" s="16" t="inlineStr">
        <is>
          <t>B11-A3</t>
        </is>
      </c>
      <c r="H2795" s="16" t="inlineStr">
        <is>
          <t>busqueda</t>
        </is>
      </c>
      <c r="I2795" s="16" t="inlineStr">
        <is>
          <t>KALINA</t>
        </is>
      </c>
      <c r="J2795" s="16" t="inlineStr">
        <is>
          <t>KALINA</t>
        </is>
      </c>
      <c r="K2795" s="16" t="b">
        <v>1</v>
      </c>
      <c r="L2795" s="16" t="b">
        <v>1</v>
      </c>
      <c r="M2795" s="16" t="b">
        <v>0</v>
      </c>
      <c r="N2795" s="16" t="b">
        <v>0</v>
      </c>
      <c r="O2795" s="16" t="n">
        <v>623.15</v>
      </c>
      <c r="P2795" s="16" t="n">
        <v>300.032917</v>
      </c>
      <c r="Q2795" s="16" t="n">
        <v>4805.950043184831</v>
      </c>
      <c r="R2795" s="16" t="n">
        <v>1359.556702008076</v>
      </c>
      <c r="S2795" s="16" t="n">
        <v>0.7944780327808849</v>
      </c>
      <c r="T2795" s="16" t="n">
        <v>0.946055907458648</v>
      </c>
      <c r="U2795" s="16" t="n">
        <v>0.8375342727183488</v>
      </c>
      <c r="V2795" s="16" t="n">
        <v>0.4963658855761367</v>
      </c>
      <c r="W2795" s="16" t="n">
        <v>0.9166775946077288</v>
      </c>
      <c r="X2795" s="16" t="n">
        <v>0.9457881775355844</v>
      </c>
      <c r="Y2795" s="16" t="n">
        <v>300.032917</v>
      </c>
      <c r="Z2795" s="16" t="n">
        <v>12.14050605318523</v>
      </c>
      <c r="AA2795" s="16" t="n">
        <v>127.0526939559924</v>
      </c>
      <c r="AB2795" s="16" t="n">
        <v>3446.393341176755</v>
      </c>
      <c r="AC2795" s="16" t="n">
        <v>3.534939025409093</v>
      </c>
      <c r="AD2795" s="16" t="n"/>
      <c r="AE2795" s="16" t="n"/>
    </row>
    <row r="2796">
      <c r="A2796" s="16" t="inlineStr">
        <is>
          <t>KF-M07-A3-0087</t>
        </is>
      </c>
      <c r="B2796" s="16" t="inlineStr">
        <is>
          <t>5.1</t>
        </is>
      </c>
      <c r="C2796" s="16" t="inlineStr">
        <is>
          <t>5.1c</t>
        </is>
      </c>
      <c r="D2796" s="16" t="inlineStr">
        <is>
          <t>conserva sus temperaturas</t>
        </is>
      </c>
      <c r="E2796" s="16" t="inlineStr">
        <is>
          <t>KF-M07</t>
        </is>
      </c>
      <c r="F2796" s="16" t="inlineStr">
        <is>
          <t>KF-M07-A3</t>
        </is>
      </c>
      <c r="G2796" s="16" t="inlineStr">
        <is>
          <t>B11-A3</t>
        </is>
      </c>
      <c r="H2796" s="16" t="inlineStr">
        <is>
          <t>busqueda</t>
        </is>
      </c>
      <c r="I2796" s="16" t="inlineStr">
        <is>
          <t>KALINA</t>
        </is>
      </c>
      <c r="J2796" s="16" t="inlineStr">
        <is>
          <t>KALINA</t>
        </is>
      </c>
      <c r="K2796" s="16" t="b">
        <v>1</v>
      </c>
      <c r="L2796" s="16" t="b">
        <v>1</v>
      </c>
      <c r="M2796" s="16" t="b">
        <v>0</v>
      </c>
      <c r="N2796" s="16" t="b">
        <v>0</v>
      </c>
      <c r="O2796" s="16" t="n">
        <v>623.15</v>
      </c>
      <c r="P2796" s="16" t="n">
        <v>300.032917</v>
      </c>
      <c r="Q2796" s="16" t="n">
        <v>4805.950043184831</v>
      </c>
      <c r="R2796" s="16" t="n">
        <v>1359.556702008076</v>
      </c>
      <c r="S2796" s="16" t="n">
        <v>0.8294780327808849</v>
      </c>
      <c r="T2796" s="16" t="n">
        <v>0.95</v>
      </c>
      <c r="U2796" s="16" t="n">
        <v>0.8375342727183488</v>
      </c>
      <c r="V2796" s="16" t="n">
        <v>0.4963658855761367</v>
      </c>
      <c r="W2796" s="16" t="n">
        <v>0.9166775946077288</v>
      </c>
      <c r="X2796" s="16" t="n">
        <v>0.9457881775355844</v>
      </c>
      <c r="Y2796" s="16" t="n">
        <v>300.032917</v>
      </c>
      <c r="Z2796" s="16" t="n">
        <v>12.39264024587155</v>
      </c>
      <c r="AA2796" s="16" t="n">
        <v>127.5065767290047</v>
      </c>
      <c r="AB2796" s="16" t="n">
        <v>3446.393341176755</v>
      </c>
      <c r="AC2796" s="16" t="n">
        <v>3.534939025409093</v>
      </c>
      <c r="AD2796" s="16" t="n"/>
      <c r="AE2796" s="16" t="n"/>
    </row>
    <row r="2797">
      <c r="A2797" s="16" t="inlineStr">
        <is>
          <t>KF-M07-A3-0088</t>
        </is>
      </c>
      <c r="B2797" s="16" t="inlineStr">
        <is>
          <t>5.1</t>
        </is>
      </c>
      <c r="C2797" s="16" t="inlineStr">
        <is>
          <t>5.1c</t>
        </is>
      </c>
      <c r="D2797" s="16" t="inlineStr">
        <is>
          <t>conserva sus temperaturas</t>
        </is>
      </c>
      <c r="E2797" s="16" t="inlineStr">
        <is>
          <t>KF-M07</t>
        </is>
      </c>
      <c r="F2797" s="16" t="inlineStr">
        <is>
          <t>KF-M07-A3</t>
        </is>
      </c>
      <c r="G2797" s="16" t="inlineStr">
        <is>
          <t>B11-A3</t>
        </is>
      </c>
      <c r="H2797" s="16" t="inlineStr">
        <is>
          <t>busqueda</t>
        </is>
      </c>
      <c r="I2797" s="16" t="inlineStr">
        <is>
          <t>KALINA</t>
        </is>
      </c>
      <c r="J2797" s="16" t="inlineStr">
        <is>
          <t>KALINA</t>
        </is>
      </c>
      <c r="K2797" s="16" t="b">
        <v>1</v>
      </c>
      <c r="L2797" s="16" t="b">
        <v>1</v>
      </c>
      <c r="M2797" s="16" t="b">
        <v>0</v>
      </c>
      <c r="N2797" s="16" t="b">
        <v>0</v>
      </c>
      <c r="O2797" s="16" t="n">
        <v>623.15</v>
      </c>
      <c r="P2797" s="16" t="n">
        <v>300.032917</v>
      </c>
      <c r="Q2797" s="16" t="n">
        <v>4805.950043184831</v>
      </c>
      <c r="R2797" s="16" t="n">
        <v>1359.556702008076</v>
      </c>
      <c r="S2797" s="16" t="n">
        <v>0.8294780327808849</v>
      </c>
      <c r="T2797" s="16" t="n">
        <v>0.8910559074586479</v>
      </c>
      <c r="U2797" s="16" t="n">
        <v>0.8375342727183488</v>
      </c>
      <c r="V2797" s="16" t="n">
        <v>0.4963658855761367</v>
      </c>
      <c r="W2797" s="16" t="n">
        <v>0.9166775946077288</v>
      </c>
      <c r="X2797" s="16" t="n">
        <v>0.9457881775355844</v>
      </c>
      <c r="Y2797" s="16" t="n">
        <v>300.032917</v>
      </c>
      <c r="Z2797" s="16" t="n">
        <v>11.59034005215268</v>
      </c>
      <c r="AA2797" s="16" t="n">
        <v>119.2329669050889</v>
      </c>
      <c r="AB2797" s="16" t="n">
        <v>3446.393341176755</v>
      </c>
      <c r="AC2797" s="16" t="n">
        <v>3.534939025409093</v>
      </c>
      <c r="AD2797" s="16" t="n"/>
      <c r="AE2797" s="16" t="n"/>
    </row>
    <row r="2798">
      <c r="A2798" s="16" t="inlineStr">
        <is>
          <t>KF-M07-A3-0089</t>
        </is>
      </c>
      <c r="B2798" s="16" t="inlineStr">
        <is>
          <t>5.1</t>
        </is>
      </c>
      <c r="C2798" s="16" t="inlineStr">
        <is>
          <t>5.1c</t>
        </is>
      </c>
      <c r="D2798" s="16" t="inlineStr">
        <is>
          <t>conserva sus temperaturas</t>
        </is>
      </c>
      <c r="E2798" s="16" t="inlineStr">
        <is>
          <t>KF-M07</t>
        </is>
      </c>
      <c r="F2798" s="16" t="inlineStr">
        <is>
          <t>KF-M07-A3</t>
        </is>
      </c>
      <c r="G2798" s="16" t="inlineStr">
        <is>
          <t>B11-A3</t>
        </is>
      </c>
      <c r="H2798" s="16" t="inlineStr">
        <is>
          <t>busqueda</t>
        </is>
      </c>
      <c r="I2798" s="16" t="inlineStr">
        <is>
          <t>KALINA</t>
        </is>
      </c>
      <c r="J2798" s="16" t="inlineStr">
        <is>
          <t>KALINA</t>
        </is>
      </c>
      <c r="K2798" s="16" t="b">
        <v>1</v>
      </c>
      <c r="L2798" s="16" t="b">
        <v>1</v>
      </c>
      <c r="M2798" s="16" t="b">
        <v>0</v>
      </c>
      <c r="N2798" s="16" t="b">
        <v>0</v>
      </c>
      <c r="O2798" s="16" t="n">
        <v>623.15</v>
      </c>
      <c r="P2798" s="16" t="n">
        <v>300.032917</v>
      </c>
      <c r="Q2798" s="16" t="n">
        <v>4805.950043184831</v>
      </c>
      <c r="R2798" s="16" t="n">
        <v>1359.556702008076</v>
      </c>
      <c r="S2798" s="16" t="n">
        <v>0.8294780327808849</v>
      </c>
      <c r="T2798" s="16" t="n">
        <v>0.946055907458648</v>
      </c>
      <c r="U2798" s="16" t="n">
        <v>0.8925342727183487</v>
      </c>
      <c r="V2798" s="16" t="n">
        <v>0.4963658855761367</v>
      </c>
      <c r="W2798" s="16" t="n">
        <v>0.9166775946077288</v>
      </c>
      <c r="X2798" s="16" t="n">
        <v>0.9457881775355844</v>
      </c>
      <c r="Y2798" s="16" t="n">
        <v>300.032917</v>
      </c>
      <c r="Z2798" s="16" t="n">
        <v>12.37239139721886</v>
      </c>
      <c r="AA2798" s="16" t="n">
        <v>127.3138768095758</v>
      </c>
      <c r="AB2798" s="16" t="n">
        <v>3446.393341176755</v>
      </c>
      <c r="AC2798" s="16" t="n">
        <v>3.534939025409093</v>
      </c>
      <c r="AD2798" s="16" t="n"/>
      <c r="AE2798" s="16" t="n"/>
    </row>
    <row r="2799">
      <c r="A2799" s="16" t="inlineStr">
        <is>
          <t>KF-M07-A3-0090</t>
        </is>
      </c>
      <c r="B2799" s="16" t="inlineStr">
        <is>
          <t>5.1</t>
        </is>
      </c>
      <c r="C2799" s="16" t="inlineStr">
        <is>
          <t>5.1c</t>
        </is>
      </c>
      <c r="D2799" s="16" t="inlineStr">
        <is>
          <t>conserva sus temperaturas</t>
        </is>
      </c>
      <c r="E2799" s="16" t="inlineStr">
        <is>
          <t>KF-M07</t>
        </is>
      </c>
      <c r="F2799" s="16" t="inlineStr">
        <is>
          <t>KF-M07-A3</t>
        </is>
      </c>
      <c r="G2799" s="16" t="inlineStr">
        <is>
          <t>B11-A3</t>
        </is>
      </c>
      <c r="H2799" s="16" t="inlineStr">
        <is>
          <t>busqueda</t>
        </is>
      </c>
      <c r="I2799" s="16" t="inlineStr">
        <is>
          <t>KALINA</t>
        </is>
      </c>
      <c r="J2799" s="16" t="inlineStr">
        <is>
          <t>KALINA</t>
        </is>
      </c>
      <c r="K2799" s="16" t="b">
        <v>1</v>
      </c>
      <c r="L2799" s="16" t="b">
        <v>1</v>
      </c>
      <c r="M2799" s="16" t="b">
        <v>0</v>
      </c>
      <c r="N2799" s="16" t="b">
        <v>0</v>
      </c>
      <c r="O2799" s="16" t="n">
        <v>623.15</v>
      </c>
      <c r="P2799" s="16" t="n">
        <v>300.032917</v>
      </c>
      <c r="Q2799" s="16" t="n">
        <v>4805.950043184831</v>
      </c>
      <c r="R2799" s="16" t="n">
        <v>1359.556702008076</v>
      </c>
      <c r="S2799" s="16" t="n">
        <v>0.8294780327808849</v>
      </c>
      <c r="T2799" s="16" t="n">
        <v>0.946055907458648</v>
      </c>
      <c r="U2799" s="16" t="n">
        <v>0.7825342727183489</v>
      </c>
      <c r="V2799" s="16" t="n">
        <v>0.4963658855761367</v>
      </c>
      <c r="W2799" s="16" t="n">
        <v>0.9166775946077288</v>
      </c>
      <c r="X2799" s="16" t="n">
        <v>0.9457881775355844</v>
      </c>
      <c r="Y2799" s="16" t="n">
        <v>300.032917</v>
      </c>
      <c r="Z2799" s="16" t="n">
        <v>12.30084705664219</v>
      </c>
      <c r="AA2799" s="16" t="n">
        <v>126.5415276694552</v>
      </c>
      <c r="AB2799" s="16" t="n">
        <v>3446.393341176755</v>
      </c>
      <c r="AC2799" s="16" t="n">
        <v>3.534939025409093</v>
      </c>
      <c r="AD2799" s="16" t="n"/>
      <c r="AE2799" s="16" t="n"/>
    </row>
    <row r="2800">
      <c r="A2800" s="16" t="inlineStr">
        <is>
          <t>KF-M07-A3-0091</t>
        </is>
      </c>
      <c r="B2800" s="16" t="inlineStr">
        <is>
          <t>5.1</t>
        </is>
      </c>
      <c r="C2800" s="16" t="inlineStr">
        <is>
          <t>5.1c</t>
        </is>
      </c>
      <c r="D2800" s="16" t="inlineStr">
        <is>
          <t>conserva sus temperaturas</t>
        </is>
      </c>
      <c r="E2800" s="16" t="inlineStr">
        <is>
          <t>KF-M07</t>
        </is>
      </c>
      <c r="F2800" s="16" t="inlineStr">
        <is>
          <t>KF-M07-A3</t>
        </is>
      </c>
      <c r="G2800" s="16" t="inlineStr">
        <is>
          <t>B11-A3</t>
        </is>
      </c>
      <c r="H2800" s="16" t="inlineStr">
        <is>
          <t>busqueda</t>
        </is>
      </c>
      <c r="I2800" s="16" t="inlineStr">
        <is>
          <t>NO_CONVERGIO</t>
        </is>
      </c>
      <c r="J2800" s="16" t="inlineStr">
        <is>
          <t>NO_CONVERGIO</t>
        </is>
      </c>
      <c r="K2800" s="16" t="b">
        <v>0</v>
      </c>
      <c r="L2800" s="16" t="b">
        <v>0</v>
      </c>
      <c r="M2800" s="16" t="b">
        <v>0</v>
      </c>
      <c r="N2800" s="16" t="b">
        <v>0</v>
      </c>
      <c r="O2800" s="16" t="n">
        <v>623.15</v>
      </c>
      <c r="P2800" s="16" t="n">
        <v>300.032917</v>
      </c>
      <c r="Q2800" s="16" t="n">
        <v>4805.950043184831</v>
      </c>
      <c r="R2800" s="16" t="n">
        <v>1359.556702008076</v>
      </c>
      <c r="S2800" s="16" t="n">
        <v>0.8294780327808849</v>
      </c>
      <c r="T2800" s="16" t="n">
        <v>0.946055907458648</v>
      </c>
      <c r="U2800" s="16" t="n">
        <v>0.8375342727183488</v>
      </c>
      <c r="V2800" s="16" t="n">
        <v>0.5513658855761367</v>
      </c>
      <c r="W2800" s="16" t="n">
        <v>0.9166775946077288</v>
      </c>
      <c r="X2800" s="16" t="n">
        <v>0.9457881775355844</v>
      </c>
      <c r="Y2800" s="16" t="n">
        <v>300.032917</v>
      </c>
      <c r="Z2800" s="16" t="n"/>
      <c r="AA2800" s="16" t="n"/>
      <c r="AB2800" s="16" t="n">
        <v>3446.393341176755</v>
      </c>
      <c r="AC2800" s="16" t="n">
        <v>3.534939025409093</v>
      </c>
      <c r="AD2800" s="16" t="n"/>
      <c r="AE2800" s="16" t="n"/>
    </row>
    <row r="2801">
      <c r="A2801" s="16" t="inlineStr">
        <is>
          <t>KF-M07-A3-0092</t>
        </is>
      </c>
      <c r="B2801" s="16" t="inlineStr">
        <is>
          <t>5.1</t>
        </is>
      </c>
      <c r="C2801" s="16" t="inlineStr">
        <is>
          <t>5.1c</t>
        </is>
      </c>
      <c r="D2801" s="16" t="inlineStr">
        <is>
          <t>conserva sus temperaturas</t>
        </is>
      </c>
      <c r="E2801" s="16" t="inlineStr">
        <is>
          <t>KF-M07</t>
        </is>
      </c>
      <c r="F2801" s="16" t="inlineStr">
        <is>
          <t>KF-M07-A3</t>
        </is>
      </c>
      <c r="G2801" s="16" t="inlineStr">
        <is>
          <t>B11-A3</t>
        </is>
      </c>
      <c r="H2801" s="16" t="inlineStr">
        <is>
          <t>busqueda</t>
        </is>
      </c>
      <c r="I2801" s="16" t="inlineStr">
        <is>
          <t>KALINA</t>
        </is>
      </c>
      <c r="J2801" s="16" t="inlineStr">
        <is>
          <t>KALINA</t>
        </is>
      </c>
      <c r="K2801" s="16" t="b">
        <v>1</v>
      </c>
      <c r="L2801" s="16" t="b">
        <v>1</v>
      </c>
      <c r="M2801" s="16" t="b">
        <v>0</v>
      </c>
      <c r="N2801" s="16" t="b">
        <v>0</v>
      </c>
      <c r="O2801" s="16" t="n">
        <v>623.15</v>
      </c>
      <c r="P2801" s="16" t="n">
        <v>300.032917</v>
      </c>
      <c r="Q2801" s="16" t="n">
        <v>4805.950043184831</v>
      </c>
      <c r="R2801" s="16" t="n">
        <v>1359.556702008076</v>
      </c>
      <c r="S2801" s="16" t="n">
        <v>0.8294780327808849</v>
      </c>
      <c r="T2801" s="16" t="n">
        <v>0.946055907458648</v>
      </c>
      <c r="U2801" s="16" t="n">
        <v>0.8375342727183488</v>
      </c>
      <c r="V2801" s="16" t="n">
        <v>0.4413658855761367</v>
      </c>
      <c r="W2801" s="16" t="n">
        <v>0.9166775946077288</v>
      </c>
      <c r="X2801" s="16" t="n">
        <v>0.9457881775355844</v>
      </c>
      <c r="Y2801" s="16" t="n">
        <v>300.032917</v>
      </c>
      <c r="Z2801" s="16" t="n">
        <v>12.17975778584519</v>
      </c>
      <c r="AA2801" s="16" t="n">
        <v>110.8655793074958</v>
      </c>
      <c r="AB2801" s="16" t="n">
        <v>3446.393341176755</v>
      </c>
      <c r="AC2801" s="16" t="n">
        <v>3.534939025409093</v>
      </c>
      <c r="AD2801" s="16" t="n"/>
      <c r="AE2801" s="16" t="n"/>
    </row>
    <row r="2802">
      <c r="A2802" s="16" t="inlineStr">
        <is>
          <t>KF-M07-A3-0093</t>
        </is>
      </c>
      <c r="B2802" s="16" t="inlineStr">
        <is>
          <t>5.1</t>
        </is>
      </c>
      <c r="C2802" s="16" t="inlineStr">
        <is>
          <t>5.1c</t>
        </is>
      </c>
      <c r="D2802" s="16" t="inlineStr">
        <is>
          <t>conserva sus temperaturas</t>
        </is>
      </c>
      <c r="E2802" s="16" t="inlineStr">
        <is>
          <t>KF-M07</t>
        </is>
      </c>
      <c r="F2802" s="16" t="inlineStr">
        <is>
          <t>KF-M07-A3</t>
        </is>
      </c>
      <c r="G2802" s="16" t="inlineStr">
        <is>
          <t>B11-A3</t>
        </is>
      </c>
      <c r="H2802" s="16" t="inlineStr">
        <is>
          <t>busqueda</t>
        </is>
      </c>
      <c r="I2802" s="16" t="inlineStr">
        <is>
          <t>KALINA</t>
        </is>
      </c>
      <c r="J2802" s="16" t="inlineStr">
        <is>
          <t>KALINA</t>
        </is>
      </c>
      <c r="K2802" s="16" t="b">
        <v>1</v>
      </c>
      <c r="L2802" s="16" t="b">
        <v>1</v>
      </c>
      <c r="M2802" s="16" t="b">
        <v>0</v>
      </c>
      <c r="N2802" s="16" t="b">
        <v>0</v>
      </c>
      <c r="O2802" s="16" t="n">
        <v>623.15</v>
      </c>
      <c r="P2802" s="16" t="n">
        <v>300.032917</v>
      </c>
      <c r="Q2802" s="16" t="n">
        <v>4805.950043184831</v>
      </c>
      <c r="R2802" s="16" t="n">
        <v>1359.556702008076</v>
      </c>
      <c r="S2802" s="16" t="n">
        <v>0.8294780327808849</v>
      </c>
      <c r="T2802" s="16" t="n">
        <v>0.946055907458648</v>
      </c>
      <c r="U2802" s="16" t="n">
        <v>0.8375342727183488</v>
      </c>
      <c r="V2802" s="16" t="n">
        <v>0.4963658855761367</v>
      </c>
      <c r="W2802" s="16" t="n">
        <v>0.95</v>
      </c>
      <c r="X2802" s="16" t="n">
        <v>0.9457881775355844</v>
      </c>
      <c r="Y2802" s="16" t="n">
        <v>300.032917</v>
      </c>
      <c r="Z2802" s="16" t="n">
        <v>12.39341428621817</v>
      </c>
      <c r="AA2802" s="16" t="n">
        <v>127.2582090496567</v>
      </c>
      <c r="AB2802" s="16" t="n">
        <v>3446.393341176755</v>
      </c>
      <c r="AC2802" s="16" t="n">
        <v>3.534939025409093</v>
      </c>
      <c r="AD2802" s="16" t="n"/>
      <c r="AE2802" s="16" t="n"/>
    </row>
    <row r="2803">
      <c r="A2803" s="16" t="inlineStr">
        <is>
          <t>KF-M07-A3-0094</t>
        </is>
      </c>
      <c r="B2803" s="16" t="inlineStr">
        <is>
          <t>5.1</t>
        </is>
      </c>
      <c r="C2803" s="16" t="inlineStr">
        <is>
          <t>5.1c</t>
        </is>
      </c>
      <c r="D2803" s="16" t="inlineStr">
        <is>
          <t>conserva sus temperaturas</t>
        </is>
      </c>
      <c r="E2803" s="16" t="inlineStr">
        <is>
          <t>KF-M07</t>
        </is>
      </c>
      <c r="F2803" s="16" t="inlineStr">
        <is>
          <t>KF-M07-A3</t>
        </is>
      </c>
      <c r="G2803" s="16" t="inlineStr">
        <is>
          <t>B11-A3</t>
        </is>
      </c>
      <c r="H2803" s="16" t="inlineStr">
        <is>
          <t>busqueda</t>
        </is>
      </c>
      <c r="I2803" s="16" t="inlineStr">
        <is>
          <t>KALINA</t>
        </is>
      </c>
      <c r="J2803" s="16" t="inlineStr">
        <is>
          <t>KALINA</t>
        </is>
      </c>
      <c r="K2803" s="16" t="b">
        <v>1</v>
      </c>
      <c r="L2803" s="16" t="b">
        <v>1</v>
      </c>
      <c r="M2803" s="16" t="b">
        <v>0</v>
      </c>
      <c r="N2803" s="16" t="b">
        <v>0</v>
      </c>
      <c r="O2803" s="16" t="n">
        <v>623.15</v>
      </c>
      <c r="P2803" s="16" t="n">
        <v>300.032917</v>
      </c>
      <c r="Q2803" s="16" t="n">
        <v>4805.950043184831</v>
      </c>
      <c r="R2803" s="16" t="n">
        <v>1359.556702008076</v>
      </c>
      <c r="S2803" s="16" t="n">
        <v>0.8294780327808849</v>
      </c>
      <c r="T2803" s="16" t="n">
        <v>0.946055907458648</v>
      </c>
      <c r="U2803" s="16" t="n">
        <v>0.8375342727183488</v>
      </c>
      <c r="V2803" s="16" t="n">
        <v>0.4963658855761367</v>
      </c>
      <c r="W2803" s="16" t="n">
        <v>0.8616775946077286</v>
      </c>
      <c r="X2803" s="16" t="n">
        <v>0.9457881775355844</v>
      </c>
      <c r="Y2803" s="16" t="n">
        <v>300.032917</v>
      </c>
      <c r="Z2803" s="16" t="n">
        <v>12.24899421906722</v>
      </c>
      <c r="AA2803" s="16" t="n">
        <v>126.4457958443398</v>
      </c>
      <c r="AB2803" s="16" t="n">
        <v>3446.393341176755</v>
      </c>
      <c r="AC2803" s="16" t="n">
        <v>3.534939025409093</v>
      </c>
      <c r="AD2803" s="16" t="n"/>
      <c r="AE2803" s="16" t="n"/>
    </row>
    <row r="2804">
      <c r="A2804" s="16" t="inlineStr">
        <is>
          <t>KF-M07-A3-0095</t>
        </is>
      </c>
      <c r="B2804" s="16" t="inlineStr">
        <is>
          <t>5.1</t>
        </is>
      </c>
      <c r="C2804" s="16" t="inlineStr">
        <is>
          <t>5.1c</t>
        </is>
      </c>
      <c r="D2804" s="16" t="inlineStr">
        <is>
          <t>conserva sus temperaturas</t>
        </is>
      </c>
      <c r="E2804" s="16" t="inlineStr">
        <is>
          <t>KF-M07</t>
        </is>
      </c>
      <c r="F2804" s="16" t="inlineStr">
        <is>
          <t>KF-M07-A3</t>
        </is>
      </c>
      <c r="G2804" s="16" t="inlineStr">
        <is>
          <t>B11-A3</t>
        </is>
      </c>
      <c r="H2804" s="16" t="inlineStr">
        <is>
          <t>busqueda</t>
        </is>
      </c>
      <c r="I2804" s="16" t="inlineStr">
        <is>
          <t>KALINA</t>
        </is>
      </c>
      <c r="J2804" s="16" t="inlineStr">
        <is>
          <t>KALINA</t>
        </is>
      </c>
      <c r="K2804" s="16" t="b">
        <v>1</v>
      </c>
      <c r="L2804" s="16" t="b">
        <v>1</v>
      </c>
      <c r="M2804" s="16" t="b">
        <v>0</v>
      </c>
      <c r="N2804" s="16" t="b">
        <v>0</v>
      </c>
      <c r="O2804" s="16" t="n">
        <v>623.15</v>
      </c>
      <c r="P2804" s="16" t="n">
        <v>300.032917</v>
      </c>
      <c r="Q2804" s="16" t="n">
        <v>4805.950043184831</v>
      </c>
      <c r="R2804" s="16" t="n">
        <v>1359.556702008076</v>
      </c>
      <c r="S2804" s="16" t="n">
        <v>0.8294780327808849</v>
      </c>
      <c r="T2804" s="16" t="n">
        <v>0.946055907458648</v>
      </c>
      <c r="U2804" s="16" t="n">
        <v>0.8375342727183488</v>
      </c>
      <c r="V2804" s="16" t="n">
        <v>0.4963658855761367</v>
      </c>
      <c r="W2804" s="16" t="n">
        <v>0.9166775946077288</v>
      </c>
      <c r="X2804" s="16" t="n">
        <v>0.95</v>
      </c>
      <c r="Y2804" s="16" t="n">
        <v>300.032917</v>
      </c>
      <c r="Z2804" s="16" t="n">
        <v>12.30191504303404</v>
      </c>
      <c r="AA2804" s="16" t="n">
        <v>126.749580217851</v>
      </c>
      <c r="AB2804" s="16" t="n">
        <v>3446.393341176755</v>
      </c>
      <c r="AC2804" s="16" t="n">
        <v>3.534939025409093</v>
      </c>
      <c r="AD2804" s="16" t="n"/>
      <c r="AE2804" s="16" t="n"/>
    </row>
    <row r="2805">
      <c r="A2805" s="16" t="inlineStr">
        <is>
          <t>KF-M07-A3-0096</t>
        </is>
      </c>
      <c r="B2805" s="16" t="inlineStr">
        <is>
          <t>5.1</t>
        </is>
      </c>
      <c r="C2805" s="16" t="inlineStr">
        <is>
          <t>5.1c</t>
        </is>
      </c>
      <c r="D2805" s="16" t="inlineStr">
        <is>
          <t>conserva sus temperaturas</t>
        </is>
      </c>
      <c r="E2805" s="16" t="inlineStr">
        <is>
          <t>KF-M07</t>
        </is>
      </c>
      <c r="F2805" s="16" t="inlineStr">
        <is>
          <t>KF-M07-A3</t>
        </is>
      </c>
      <c r="G2805" s="16" t="inlineStr">
        <is>
          <t>B11-A3</t>
        </is>
      </c>
      <c r="H2805" s="16" t="inlineStr">
        <is>
          <t>busqueda</t>
        </is>
      </c>
      <c r="I2805" s="16" t="inlineStr">
        <is>
          <t>CORREGIBLE</t>
        </is>
      </c>
      <c r="J2805" s="16" t="inlineStr">
        <is>
          <t>CORREGIBLE</t>
        </is>
      </c>
      <c r="K2805" s="16" t="b">
        <v>1</v>
      </c>
      <c r="L2805" s="16" t="b">
        <v>0</v>
      </c>
      <c r="M2805" s="16" t="b">
        <v>0</v>
      </c>
      <c r="N2805" s="16" t="b">
        <v>0</v>
      </c>
      <c r="O2805" s="16" t="n">
        <v>623.15</v>
      </c>
      <c r="P2805" s="16" t="n">
        <v>300.032917</v>
      </c>
      <c r="Q2805" s="16" t="n">
        <v>4805.950043184831</v>
      </c>
      <c r="R2805" s="16" t="n">
        <v>1359.556702008076</v>
      </c>
      <c r="S2805" s="16" t="n">
        <v>0.8294780327808849</v>
      </c>
      <c r="T2805" s="16" t="n">
        <v>0.946055907458648</v>
      </c>
      <c r="U2805" s="16" t="n">
        <v>0.8375342727183488</v>
      </c>
      <c r="V2805" s="16" t="n">
        <v>0.4963658855761367</v>
      </c>
      <c r="W2805" s="16" t="n">
        <v>0.9166775946077288</v>
      </c>
      <c r="X2805" s="16" t="n">
        <v>0.8907881775355844</v>
      </c>
      <c r="Y2805" s="16" t="n">
        <v>300.032917</v>
      </c>
      <c r="Z2805" s="16" t="n">
        <v>12.81925906419399</v>
      </c>
      <c r="AA2805" s="16" t="n">
        <v>129.3279796242402</v>
      </c>
      <c r="AB2805" s="16" t="n">
        <v>3446.393341176755</v>
      </c>
      <c r="AC2805" s="16" t="n">
        <v>3.534939025409093</v>
      </c>
      <c r="AD2805" s="16" t="inlineStr">
        <is>
          <t>O2</t>
        </is>
      </c>
      <c r="AE2805" s="16" t="n"/>
    </row>
    <row r="2806">
      <c r="A2806" s="16" t="inlineStr">
        <is>
          <t>KF-M07-A3-0097</t>
        </is>
      </c>
      <c r="B2806" s="16" t="inlineStr">
        <is>
          <t>5.1</t>
        </is>
      </c>
      <c r="C2806" s="16" t="inlineStr">
        <is>
          <t>5.1c</t>
        </is>
      </c>
      <c r="D2806" s="16" t="inlineStr">
        <is>
          <t>conserva sus temperaturas</t>
        </is>
      </c>
      <c r="E2806" s="16" t="inlineStr">
        <is>
          <t>KF-M07</t>
        </is>
      </c>
      <c r="F2806" s="16" t="inlineStr">
        <is>
          <t>KF-M07-A3</t>
        </is>
      </c>
      <c r="G2806" s="16" t="inlineStr">
        <is>
          <t>B11-A3</t>
        </is>
      </c>
      <c r="H2806" s="16" t="inlineStr">
        <is>
          <t>busqueda</t>
        </is>
      </c>
      <c r="I2806" s="16" t="inlineStr">
        <is>
          <t>KALINA</t>
        </is>
      </c>
      <c r="J2806" s="16" t="inlineStr">
        <is>
          <t>KALINA</t>
        </is>
      </c>
      <c r="K2806" s="16" t="b">
        <v>1</v>
      </c>
      <c r="L2806" s="16" t="b">
        <v>1</v>
      </c>
      <c r="M2806" s="16" t="b">
        <v>0</v>
      </c>
      <c r="N2806" s="16" t="b">
        <v>0</v>
      </c>
      <c r="O2806" s="16" t="n">
        <v>623.15</v>
      </c>
      <c r="P2806" s="16" t="n">
        <v>300.032917</v>
      </c>
      <c r="Q2806" s="16" t="n">
        <v>4700</v>
      </c>
      <c r="R2806" s="16" t="n">
        <v>1359.556702008076</v>
      </c>
      <c r="S2806" s="16" t="n">
        <v>0.8294780327808849</v>
      </c>
      <c r="T2806" s="16" t="n">
        <v>0.946055907458648</v>
      </c>
      <c r="U2806" s="16" t="n">
        <v>0.8375342727183488</v>
      </c>
      <c r="V2806" s="16" t="n">
        <v>0.4963658855761367</v>
      </c>
      <c r="W2806" s="16" t="n">
        <v>0.9166775946077288</v>
      </c>
      <c r="X2806" s="16" t="n">
        <v>0.9457881775355844</v>
      </c>
      <c r="Y2806" s="16" t="n">
        <v>300.032917</v>
      </c>
      <c r="Z2806" s="16" t="n">
        <v>12.15411321365867</v>
      </c>
      <c r="AA2806" s="16" t="n">
        <v>125.2281253671833</v>
      </c>
      <c r="AB2806" s="16" t="n">
        <v>3340.443297991924</v>
      </c>
      <c r="AC2806" s="16" t="n">
        <v>3.457009180314481</v>
      </c>
      <c r="AD2806" s="16" t="n"/>
      <c r="AE2806" s="16" t="n"/>
    </row>
    <row r="2807">
      <c r="A2807" s="16" t="inlineStr">
        <is>
          <t>KF-M07-A3-0098</t>
        </is>
      </c>
      <c r="B2807" s="16" t="inlineStr">
        <is>
          <t>5.1</t>
        </is>
      </c>
      <c r="C2807" s="16" t="inlineStr">
        <is>
          <t>5.1c</t>
        </is>
      </c>
      <c r="D2807" s="16" t="inlineStr">
        <is>
          <t>conserva sus temperaturas</t>
        </is>
      </c>
      <c r="E2807" s="16" t="inlineStr">
        <is>
          <t>KF-M07</t>
        </is>
      </c>
      <c r="F2807" s="16" t="inlineStr">
        <is>
          <t>KF-M07-A3</t>
        </is>
      </c>
      <c r="G2807" s="16" t="inlineStr">
        <is>
          <t>B11-A3</t>
        </is>
      </c>
      <c r="H2807" s="16" t="inlineStr">
        <is>
          <t>busqueda</t>
        </is>
      </c>
      <c r="I2807" s="16" t="inlineStr">
        <is>
          <t>KALINA</t>
        </is>
      </c>
      <c r="J2807" s="16" t="inlineStr">
        <is>
          <t>KALINA</t>
        </is>
      </c>
      <c r="K2807" s="16" t="b">
        <v>1</v>
      </c>
      <c r="L2807" s="16" t="b">
        <v>1</v>
      </c>
      <c r="M2807" s="16" t="b">
        <v>0</v>
      </c>
      <c r="N2807" s="16" t="b">
        <v>0</v>
      </c>
      <c r="O2807" s="16" t="n">
        <v>623.15</v>
      </c>
      <c r="P2807" s="16" t="n">
        <v>300.032917</v>
      </c>
      <c r="Q2807" s="16" t="n">
        <v>5000</v>
      </c>
      <c r="R2807" s="16" t="n">
        <v>1579.556702008076</v>
      </c>
      <c r="S2807" s="16" t="n">
        <v>0.8294780327808849</v>
      </c>
      <c r="T2807" s="16" t="n">
        <v>0.946055907458648</v>
      </c>
      <c r="U2807" s="16" t="n">
        <v>0.8375342727183488</v>
      </c>
      <c r="V2807" s="16" t="n">
        <v>0.4963658855761367</v>
      </c>
      <c r="W2807" s="16" t="n">
        <v>0.9166775946077288</v>
      </c>
      <c r="X2807" s="16" t="n">
        <v>0.9457881775355844</v>
      </c>
      <c r="Y2807" s="16" t="n">
        <v>300.032917</v>
      </c>
      <c r="Z2807" s="16" t="n">
        <v>11.26516362875531</v>
      </c>
      <c r="AA2807" s="16" t="n">
        <v>115.5837041830696</v>
      </c>
      <c r="AB2807" s="16" t="n">
        <v>3420.443297991924</v>
      </c>
      <c r="AC2807" s="16" t="n">
        <v>3.165445085727878</v>
      </c>
      <c r="AD2807" s="16" t="n"/>
      <c r="AE2807" s="16" t="n"/>
    </row>
    <row r="2808">
      <c r="A2808" s="16" t="inlineStr">
        <is>
          <t>KF-M07-A3-0099</t>
        </is>
      </c>
      <c r="B2808" s="16" t="inlineStr">
        <is>
          <t>5.1</t>
        </is>
      </c>
      <c r="C2808" s="16" t="inlineStr">
        <is>
          <t>5.1c</t>
        </is>
      </c>
      <c r="D2808" s="16" t="inlineStr">
        <is>
          <t>conserva sus temperaturas</t>
        </is>
      </c>
      <c r="E2808" s="16" t="inlineStr">
        <is>
          <t>KF-M07</t>
        </is>
      </c>
      <c r="F2808" s="16" t="inlineStr">
        <is>
          <t>KF-M07-A3</t>
        </is>
      </c>
      <c r="G2808" s="16" t="inlineStr">
        <is>
          <t>B11-A3</t>
        </is>
      </c>
      <c r="H2808" s="16" t="inlineStr">
        <is>
          <t>busqueda</t>
        </is>
      </c>
      <c r="I2808" s="16" t="inlineStr">
        <is>
          <t>CORREGIBLE</t>
        </is>
      </c>
      <c r="J2808" s="16" t="inlineStr">
        <is>
          <t>CORREGIBLE</t>
        </is>
      </c>
      <c r="K2808" s="16" t="b">
        <v>1</v>
      </c>
      <c r="L2808" s="16" t="b">
        <v>0</v>
      </c>
      <c r="M2808" s="16" t="b">
        <v>0</v>
      </c>
      <c r="N2808" s="16" t="b">
        <v>0</v>
      </c>
      <c r="O2808" s="16" t="n">
        <v>623.15</v>
      </c>
      <c r="P2808" s="16" t="n">
        <v>300.032917</v>
      </c>
      <c r="Q2808" s="16" t="n">
        <v>5000</v>
      </c>
      <c r="R2808" s="16" t="n">
        <v>1139.556702008077</v>
      </c>
      <c r="S2808" s="16" t="n">
        <v>0.8294780327808849</v>
      </c>
      <c r="T2808" s="16" t="n">
        <v>0.946055907458648</v>
      </c>
      <c r="U2808" s="16" t="n">
        <v>0.8375342727183488</v>
      </c>
      <c r="V2808" s="16" t="n">
        <v>0.4963658855761367</v>
      </c>
      <c r="W2808" s="16" t="n">
        <v>0.9166775946077288</v>
      </c>
      <c r="X2808" s="16" t="n">
        <v>0.9457881775355844</v>
      </c>
      <c r="Y2808" s="16" t="n">
        <v>300.032917</v>
      </c>
      <c r="Z2808" s="16" t="n">
        <v>14.27864879658943</v>
      </c>
      <c r="AA2808" s="16" t="n">
        <v>146.5630070225768</v>
      </c>
      <c r="AB2808" s="16" t="n">
        <v>3860.443297991923</v>
      </c>
      <c r="AC2808" s="16" t="n">
        <v>4.387671092793558</v>
      </c>
      <c r="AD2808" s="16" t="inlineStr">
        <is>
          <t>O2</t>
        </is>
      </c>
      <c r="AE2808" s="16" t="n"/>
    </row>
    <row r="2809">
      <c r="A2809" s="16" t="inlineStr">
        <is>
          <t>KF-M07-A3-0100</t>
        </is>
      </c>
      <c r="B2809" s="16" t="inlineStr">
        <is>
          <t>5.1</t>
        </is>
      </c>
      <c r="C2809" s="16" t="inlineStr">
        <is>
          <t>5.1c</t>
        </is>
      </c>
      <c r="D2809" s="16" t="inlineStr">
        <is>
          <t>conserva sus temperaturas</t>
        </is>
      </c>
      <c r="E2809" s="16" t="inlineStr">
        <is>
          <t>KF-M07</t>
        </is>
      </c>
      <c r="F2809" s="16" t="inlineStr">
        <is>
          <t>KF-M07-A3</t>
        </is>
      </c>
      <c r="G2809" s="16" t="inlineStr">
        <is>
          <t>B11-A3</t>
        </is>
      </c>
      <c r="H2809" s="16" t="inlineStr">
        <is>
          <t>busqueda</t>
        </is>
      </c>
      <c r="I2809" s="16" t="inlineStr">
        <is>
          <t>KALINA</t>
        </is>
      </c>
      <c r="J2809" s="16" t="inlineStr">
        <is>
          <t>KALINA</t>
        </is>
      </c>
      <c r="K2809" s="16" t="b">
        <v>1</v>
      </c>
      <c r="L2809" s="16" t="b">
        <v>1</v>
      </c>
      <c r="M2809" s="16" t="b">
        <v>0</v>
      </c>
      <c r="N2809" s="16" t="b">
        <v>0</v>
      </c>
      <c r="O2809" s="16" t="n">
        <v>623.15</v>
      </c>
      <c r="P2809" s="16" t="n">
        <v>300.032917</v>
      </c>
      <c r="Q2809" s="16" t="n">
        <v>5000</v>
      </c>
      <c r="R2809" s="16" t="n">
        <v>1359.556702008076</v>
      </c>
      <c r="S2809" s="16" t="n">
        <v>0.85</v>
      </c>
      <c r="T2809" s="16" t="n">
        <v>0.946055907458648</v>
      </c>
      <c r="U2809" s="16" t="n">
        <v>0.8375342727183488</v>
      </c>
      <c r="V2809" s="16" t="n">
        <v>0.4963658855761367</v>
      </c>
      <c r="W2809" s="16" t="n">
        <v>0.9166775946077288</v>
      </c>
      <c r="X2809" s="16" t="n">
        <v>0.9457881775355844</v>
      </c>
      <c r="Y2809" s="16" t="n">
        <v>300.032917</v>
      </c>
      <c r="Z2809" s="16" t="n">
        <v>12.73867502186851</v>
      </c>
      <c r="AA2809" s="16" t="n">
        <v>129.3867377753007</v>
      </c>
      <c r="AB2809" s="16" t="n">
        <v>3640.443297991924</v>
      </c>
      <c r="AC2809" s="16" t="n">
        <v>3.677669340760087</v>
      </c>
      <c r="AD2809" s="16" t="n"/>
      <c r="AE2809" s="16" t="n"/>
    </row>
    <row r="2810">
      <c r="A2810" s="16" t="inlineStr">
        <is>
          <t>KF-M07-A3-0101</t>
        </is>
      </c>
      <c r="B2810" s="16" t="inlineStr">
        <is>
          <t>5.1</t>
        </is>
      </c>
      <c r="C2810" s="16" t="inlineStr">
        <is>
          <t>5.1c</t>
        </is>
      </c>
      <c r="D2810" s="16" t="inlineStr">
        <is>
          <t>conserva sus temperaturas</t>
        </is>
      </c>
      <c r="E2810" s="16" t="inlineStr">
        <is>
          <t>KF-M07</t>
        </is>
      </c>
      <c r="F2810" s="16" t="inlineStr">
        <is>
          <t>KF-M07-A3</t>
        </is>
      </c>
      <c r="G2810" s="16" t="inlineStr">
        <is>
          <t>B11-A3</t>
        </is>
      </c>
      <c r="H2810" s="16" t="inlineStr">
        <is>
          <t>busqueda</t>
        </is>
      </c>
      <c r="I2810" s="16" t="inlineStr">
        <is>
          <t>KALINA</t>
        </is>
      </c>
      <c r="J2810" s="16" t="inlineStr">
        <is>
          <t>KALINA</t>
        </is>
      </c>
      <c r="K2810" s="16" t="b">
        <v>1</v>
      </c>
      <c r="L2810" s="16" t="b">
        <v>0</v>
      </c>
      <c r="M2810" s="16" t="b">
        <v>1</v>
      </c>
      <c r="N2810" s="16" t="b">
        <v>0</v>
      </c>
      <c r="O2810" s="16" t="n">
        <v>623.15</v>
      </c>
      <c r="P2810" s="16" t="n">
        <v>300.032917</v>
      </c>
      <c r="Q2810" s="16" t="n">
        <v>5000</v>
      </c>
      <c r="R2810" s="16" t="n">
        <v>1359.556702008076</v>
      </c>
      <c r="S2810" s="16" t="n">
        <v>0.7944780327808849</v>
      </c>
      <c r="T2810" s="16" t="n">
        <v>0.946055907458648</v>
      </c>
      <c r="U2810" s="16" t="n">
        <v>0.8375342727183488</v>
      </c>
      <c r="V2810" s="16" t="n">
        <v>0.4963658855761367</v>
      </c>
      <c r="W2810" s="16" t="n">
        <v>0.9166775946077288</v>
      </c>
      <c r="X2810" s="16" t="n">
        <v>0.9457881775355844</v>
      </c>
      <c r="Y2810" s="16" t="n">
        <v>300.032917</v>
      </c>
      <c r="Z2810" s="16" t="n">
        <v>12.46260384749201</v>
      </c>
      <c r="AA2810" s="16" t="n">
        <v>130.0682549375357</v>
      </c>
      <c r="AB2810" s="16" t="n">
        <v>3640.443297991924</v>
      </c>
      <c r="AC2810" s="16" t="n">
        <v>3.677669340760087</v>
      </c>
      <c r="AD2810" s="16" t="n"/>
      <c r="AE2810" s="16" t="n"/>
    </row>
    <row r="2811">
      <c r="A2811" s="16" t="inlineStr">
        <is>
          <t>KF-M07-A3-0102</t>
        </is>
      </c>
      <c r="B2811" s="16" t="inlineStr">
        <is>
          <t>5.1</t>
        </is>
      </c>
      <c r="C2811" s="16" t="inlineStr">
        <is>
          <t>5.1c</t>
        </is>
      </c>
      <c r="D2811" s="16" t="inlineStr">
        <is>
          <t>conserva sus temperaturas</t>
        </is>
      </c>
      <c r="E2811" s="16" t="inlineStr">
        <is>
          <t>KF-M07</t>
        </is>
      </c>
      <c r="F2811" s="16" t="inlineStr">
        <is>
          <t>KF-M07-A3</t>
        </is>
      </c>
      <c r="G2811" s="16" t="inlineStr">
        <is>
          <t>B11-A3</t>
        </is>
      </c>
      <c r="H2811" s="16" t="inlineStr">
        <is>
          <t>busqueda</t>
        </is>
      </c>
      <c r="I2811" s="16" t="inlineStr">
        <is>
          <t>KALINA</t>
        </is>
      </c>
      <c r="J2811" s="16" t="inlineStr">
        <is>
          <t>KALINA</t>
        </is>
      </c>
      <c r="K2811" s="16" t="b">
        <v>1</v>
      </c>
      <c r="L2811" s="16" t="b">
        <v>1</v>
      </c>
      <c r="M2811" s="16" t="b">
        <v>0</v>
      </c>
      <c r="N2811" s="16" t="b">
        <v>0</v>
      </c>
      <c r="O2811" s="16" t="n">
        <v>623.15</v>
      </c>
      <c r="P2811" s="16" t="n">
        <v>300.032917</v>
      </c>
      <c r="Q2811" s="16" t="n">
        <v>5000</v>
      </c>
      <c r="R2811" s="16" t="n">
        <v>1359.556702008076</v>
      </c>
      <c r="S2811" s="16" t="n">
        <v>0.8294780327808849</v>
      </c>
      <c r="T2811" s="16" t="n">
        <v>0.95</v>
      </c>
      <c r="U2811" s="16" t="n">
        <v>0.8375342727183488</v>
      </c>
      <c r="V2811" s="16" t="n">
        <v>0.4963658855761367</v>
      </c>
      <c r="W2811" s="16" t="n">
        <v>0.9166775946077288</v>
      </c>
      <c r="X2811" s="16" t="n">
        <v>0.9457881775355844</v>
      </c>
      <c r="Y2811" s="16" t="n">
        <v>300.032917</v>
      </c>
      <c r="Z2811" s="16" t="n">
        <v>12.71856312080804</v>
      </c>
      <c r="AA2811" s="16" t="n">
        <v>130.5218487092357</v>
      </c>
      <c r="AB2811" s="16" t="n">
        <v>3640.443297991924</v>
      </c>
      <c r="AC2811" s="16" t="n">
        <v>3.677669340760087</v>
      </c>
      <c r="AD2811" s="16" t="n"/>
      <c r="AE2811" s="16" t="n"/>
    </row>
    <row r="2812">
      <c r="A2812" s="16" t="inlineStr">
        <is>
          <t>KF-M07-A3-0103</t>
        </is>
      </c>
      <c r="B2812" s="16" t="inlineStr">
        <is>
          <t>5.1</t>
        </is>
      </c>
      <c r="C2812" s="16" t="inlineStr">
        <is>
          <t>5.1c</t>
        </is>
      </c>
      <c r="D2812" s="16" t="inlineStr">
        <is>
          <t>conserva sus temperaturas</t>
        </is>
      </c>
      <c r="E2812" s="16" t="inlineStr">
        <is>
          <t>KF-M07</t>
        </is>
      </c>
      <c r="F2812" s="16" t="inlineStr">
        <is>
          <t>KF-M07-A3</t>
        </is>
      </c>
      <c r="G2812" s="16" t="inlineStr">
        <is>
          <t>B11-A3</t>
        </is>
      </c>
      <c r="H2812" s="16" t="inlineStr">
        <is>
          <t>busqueda</t>
        </is>
      </c>
      <c r="I2812" s="16" t="inlineStr">
        <is>
          <t>KALINA</t>
        </is>
      </c>
      <c r="J2812" s="16" t="inlineStr">
        <is>
          <t>KALINA</t>
        </is>
      </c>
      <c r="K2812" s="16" t="b">
        <v>1</v>
      </c>
      <c r="L2812" s="16" t="b">
        <v>1</v>
      </c>
      <c r="M2812" s="16" t="b">
        <v>0</v>
      </c>
      <c r="N2812" s="16" t="b">
        <v>0</v>
      </c>
      <c r="O2812" s="16" t="n">
        <v>623.15</v>
      </c>
      <c r="P2812" s="16" t="n">
        <v>300.032917</v>
      </c>
      <c r="Q2812" s="16" t="n">
        <v>5000</v>
      </c>
      <c r="R2812" s="16" t="n">
        <v>1359.556702008076</v>
      </c>
      <c r="S2812" s="16" t="n">
        <v>0.8294780327808849</v>
      </c>
      <c r="T2812" s="16" t="n">
        <v>0.8910559074586479</v>
      </c>
      <c r="U2812" s="16" t="n">
        <v>0.8375342727183488</v>
      </c>
      <c r="V2812" s="16" t="n">
        <v>0.4963658855761367</v>
      </c>
      <c r="W2812" s="16" t="n">
        <v>0.9166775946077288</v>
      </c>
      <c r="X2812" s="16" t="n">
        <v>0.9457881775355844</v>
      </c>
      <c r="Y2812" s="16" t="n">
        <v>300.032917</v>
      </c>
      <c r="Z2812" s="16" t="n">
        <v>11.89405775312999</v>
      </c>
      <c r="AA2812" s="16" t="n">
        <v>122.0408289391703</v>
      </c>
      <c r="AB2812" s="16" t="n">
        <v>3640.443297991924</v>
      </c>
      <c r="AC2812" s="16" t="n">
        <v>3.677669340760087</v>
      </c>
      <c r="AD2812" s="16" t="n"/>
      <c r="AE2812" s="16" t="n"/>
    </row>
    <row r="2813">
      <c r="A2813" s="16" t="inlineStr">
        <is>
          <t>KF-M07-A3-0104</t>
        </is>
      </c>
      <c r="B2813" s="16" t="inlineStr">
        <is>
          <t>5.1</t>
        </is>
      </c>
      <c r="C2813" s="16" t="inlineStr">
        <is>
          <t>5.1c</t>
        </is>
      </c>
      <c r="D2813" s="16" t="inlineStr">
        <is>
          <t>conserva sus temperaturas</t>
        </is>
      </c>
      <c r="E2813" s="16" t="inlineStr">
        <is>
          <t>KF-M07</t>
        </is>
      </c>
      <c r="F2813" s="16" t="inlineStr">
        <is>
          <t>KF-M07-A3</t>
        </is>
      </c>
      <c r="G2813" s="16" t="inlineStr">
        <is>
          <t>B11-A3</t>
        </is>
      </c>
      <c r="H2813" s="16" t="inlineStr">
        <is>
          <t>busqueda</t>
        </is>
      </c>
      <c r="I2813" s="16" t="inlineStr">
        <is>
          <t>KALINA</t>
        </is>
      </c>
      <c r="J2813" s="16" t="inlineStr">
        <is>
          <t>KALINA</t>
        </is>
      </c>
      <c r="K2813" s="16" t="b">
        <v>1</v>
      </c>
      <c r="L2813" s="16" t="b">
        <v>1</v>
      </c>
      <c r="M2813" s="16" t="b">
        <v>0</v>
      </c>
      <c r="N2813" s="16" t="b">
        <v>0</v>
      </c>
      <c r="O2813" s="16" t="n">
        <v>623.15</v>
      </c>
      <c r="P2813" s="16" t="n">
        <v>300.032917</v>
      </c>
      <c r="Q2813" s="16" t="n">
        <v>5000</v>
      </c>
      <c r="R2813" s="16" t="n">
        <v>1359.556702008076</v>
      </c>
      <c r="S2813" s="16" t="n">
        <v>0.8294780327808849</v>
      </c>
      <c r="T2813" s="16" t="n">
        <v>0.946055907458648</v>
      </c>
      <c r="U2813" s="16" t="n">
        <v>0.8925342727183487</v>
      </c>
      <c r="V2813" s="16" t="n">
        <v>0.4963658855761367</v>
      </c>
      <c r="W2813" s="16" t="n">
        <v>0.9166775946077288</v>
      </c>
      <c r="X2813" s="16" t="n">
        <v>0.9457881775355844</v>
      </c>
      <c r="Y2813" s="16" t="n">
        <v>300.032917</v>
      </c>
      <c r="Z2813" s="16" t="n">
        <v>12.69869483689943</v>
      </c>
      <c r="AA2813" s="16" t="n">
        <v>130.3348443149099</v>
      </c>
      <c r="AB2813" s="16" t="n">
        <v>3640.443297991924</v>
      </c>
      <c r="AC2813" s="16" t="n">
        <v>3.677669340760087</v>
      </c>
      <c r="AD2813" s="16" t="n"/>
      <c r="AE2813" s="16" t="n"/>
    </row>
    <row r="2814">
      <c r="A2814" s="16" t="inlineStr">
        <is>
          <t>KF-M07-A3-0105</t>
        </is>
      </c>
      <c r="B2814" s="16" t="inlineStr">
        <is>
          <t>5.1</t>
        </is>
      </c>
      <c r="C2814" s="16" t="inlineStr">
        <is>
          <t>5.1c</t>
        </is>
      </c>
      <c r="D2814" s="16" t="inlineStr">
        <is>
          <t>conserva sus temperaturas</t>
        </is>
      </c>
      <c r="E2814" s="16" t="inlineStr">
        <is>
          <t>KF-M07</t>
        </is>
      </c>
      <c r="F2814" s="16" t="inlineStr">
        <is>
          <t>KF-M07-A3</t>
        </is>
      </c>
      <c r="G2814" s="16" t="inlineStr">
        <is>
          <t>B11-A3</t>
        </is>
      </c>
      <c r="H2814" s="16" t="inlineStr">
        <is>
          <t>busqueda</t>
        </is>
      </c>
      <c r="I2814" s="16" t="inlineStr">
        <is>
          <t>KALINA</t>
        </is>
      </c>
      <c r="J2814" s="16" t="inlineStr">
        <is>
          <t>KALINA</t>
        </is>
      </c>
      <c r="K2814" s="16" t="b">
        <v>1</v>
      </c>
      <c r="L2814" s="16" t="b">
        <v>1</v>
      </c>
      <c r="M2814" s="16" t="b">
        <v>0</v>
      </c>
      <c r="N2814" s="16" t="b">
        <v>0</v>
      </c>
      <c r="O2814" s="16" t="n">
        <v>623.15</v>
      </c>
      <c r="P2814" s="16" t="n">
        <v>300.032917</v>
      </c>
      <c r="Q2814" s="16" t="n">
        <v>5000</v>
      </c>
      <c r="R2814" s="16" t="n">
        <v>1359.556702008076</v>
      </c>
      <c r="S2814" s="16" t="n">
        <v>0.8294780327808849</v>
      </c>
      <c r="T2814" s="16" t="n">
        <v>0.946055907458648</v>
      </c>
      <c r="U2814" s="16" t="n">
        <v>0.7825342727183489</v>
      </c>
      <c r="V2814" s="16" t="n">
        <v>0.4963658855761367</v>
      </c>
      <c r="W2814" s="16" t="n">
        <v>0.9166775946077288</v>
      </c>
      <c r="X2814" s="16" t="n">
        <v>0.9457881775355844</v>
      </c>
      <c r="Y2814" s="16" t="n">
        <v>300.032917</v>
      </c>
      <c r="Z2814" s="16" t="n">
        <v>12.62315625633228</v>
      </c>
      <c r="AA2814" s="16" t="n">
        <v>129.5206074127984</v>
      </c>
      <c r="AB2814" s="16" t="n">
        <v>3640.443297991924</v>
      </c>
      <c r="AC2814" s="16" t="n">
        <v>3.677669340760087</v>
      </c>
      <c r="AD2814" s="16" t="n"/>
      <c r="AE2814" s="16" t="n"/>
    </row>
    <row r="2815">
      <c r="A2815" s="16" t="inlineStr">
        <is>
          <t>KF-M07-A3-0106</t>
        </is>
      </c>
      <c r="B2815" s="16" t="inlineStr">
        <is>
          <t>5.1</t>
        </is>
      </c>
      <c r="C2815" s="16" t="inlineStr">
        <is>
          <t>5.1c</t>
        </is>
      </c>
      <c r="D2815" s="16" t="inlineStr">
        <is>
          <t>conserva sus temperaturas</t>
        </is>
      </c>
      <c r="E2815" s="16" t="inlineStr">
        <is>
          <t>KF-M07</t>
        </is>
      </c>
      <c r="F2815" s="16" t="inlineStr">
        <is>
          <t>KF-M07-A3</t>
        </is>
      </c>
      <c r="G2815" s="16" t="inlineStr">
        <is>
          <t>B11-A3</t>
        </is>
      </c>
      <c r="H2815" s="16" t="inlineStr">
        <is>
          <t>busqueda</t>
        </is>
      </c>
      <c r="I2815" s="16" t="inlineStr">
        <is>
          <t>NO_CONVERGIO</t>
        </is>
      </c>
      <c r="J2815" s="16" t="inlineStr">
        <is>
          <t>NO_CONVERGIO</t>
        </is>
      </c>
      <c r="K2815" s="16" t="b">
        <v>0</v>
      </c>
      <c r="L2815" s="16" t="b">
        <v>0</v>
      </c>
      <c r="M2815" s="16" t="b">
        <v>0</v>
      </c>
      <c r="N2815" s="16" t="b">
        <v>0</v>
      </c>
      <c r="O2815" s="16" t="n">
        <v>623.15</v>
      </c>
      <c r="P2815" s="16" t="n">
        <v>300.032917</v>
      </c>
      <c r="Q2815" s="16" t="n">
        <v>5000</v>
      </c>
      <c r="R2815" s="16" t="n">
        <v>1359.556702008076</v>
      </c>
      <c r="S2815" s="16" t="n">
        <v>0.8294780327808849</v>
      </c>
      <c r="T2815" s="16" t="n">
        <v>0.946055907458648</v>
      </c>
      <c r="U2815" s="16" t="n">
        <v>0.8375342727183488</v>
      </c>
      <c r="V2815" s="16" t="n">
        <v>0.5513658855761367</v>
      </c>
      <c r="W2815" s="16" t="n">
        <v>0.9166775946077288</v>
      </c>
      <c r="X2815" s="16" t="n">
        <v>0.9457881775355844</v>
      </c>
      <c r="Y2815" s="16" t="n">
        <v>300.032917</v>
      </c>
      <c r="Z2815" s="16" t="n"/>
      <c r="AA2815" s="16" t="n"/>
      <c r="AB2815" s="16" t="n">
        <v>3640.443297991924</v>
      </c>
      <c r="AC2815" s="16" t="n">
        <v>3.677669340760087</v>
      </c>
      <c r="AD2815" s="16" t="n"/>
      <c r="AE2815" s="16" t="n"/>
    </row>
    <row r="2816">
      <c r="A2816" s="16" t="inlineStr">
        <is>
          <t>KF-M07-A3-0107</t>
        </is>
      </c>
      <c r="B2816" s="16" t="inlineStr">
        <is>
          <t>5.1</t>
        </is>
      </c>
      <c r="C2816" s="16" t="inlineStr">
        <is>
          <t>5.1c</t>
        </is>
      </c>
      <c r="D2816" s="16" t="inlineStr">
        <is>
          <t>conserva sus temperaturas</t>
        </is>
      </c>
      <c r="E2816" s="16" t="inlineStr">
        <is>
          <t>KF-M07</t>
        </is>
      </c>
      <c r="F2816" s="16" t="inlineStr">
        <is>
          <t>KF-M07-A3</t>
        </is>
      </c>
      <c r="G2816" s="16" t="inlineStr">
        <is>
          <t>B11-A3</t>
        </is>
      </c>
      <c r="H2816" s="16" t="inlineStr">
        <is>
          <t>busqueda</t>
        </is>
      </c>
      <c r="I2816" s="16" t="inlineStr">
        <is>
          <t>KALINA</t>
        </is>
      </c>
      <c r="J2816" s="16" t="inlineStr">
        <is>
          <t>KALINA</t>
        </is>
      </c>
      <c r="K2816" s="16" t="b">
        <v>1</v>
      </c>
      <c r="L2816" s="16" t="b">
        <v>1</v>
      </c>
      <c r="M2816" s="16" t="b">
        <v>0</v>
      </c>
      <c r="N2816" s="16" t="b">
        <v>0</v>
      </c>
      <c r="O2816" s="16" t="n">
        <v>623.15</v>
      </c>
      <c r="P2816" s="16" t="n">
        <v>300.032917</v>
      </c>
      <c r="Q2816" s="16" t="n">
        <v>5000</v>
      </c>
      <c r="R2816" s="16" t="n">
        <v>1359.556702008076</v>
      </c>
      <c r="S2816" s="16" t="n">
        <v>0.8294780327808849</v>
      </c>
      <c r="T2816" s="16" t="n">
        <v>0.946055907458648</v>
      </c>
      <c r="U2816" s="16" t="n">
        <v>0.8375342727183488</v>
      </c>
      <c r="V2816" s="16" t="n">
        <v>0.4413658855761367</v>
      </c>
      <c r="W2816" s="16" t="n">
        <v>0.9166775946077288</v>
      </c>
      <c r="X2816" s="16" t="n">
        <v>0.9457881775355844</v>
      </c>
      <c r="Y2816" s="16" t="n">
        <v>300.032917</v>
      </c>
      <c r="Z2816" s="16" t="n">
        <v>12.49426380317381</v>
      </c>
      <c r="AA2816" s="16" t="n">
        <v>113.3871747605827</v>
      </c>
      <c r="AB2816" s="16" t="n">
        <v>3640.443297991924</v>
      </c>
      <c r="AC2816" s="16" t="n">
        <v>3.677669340760087</v>
      </c>
      <c r="AD2816" s="16" t="n"/>
      <c r="AE2816" s="16" t="n"/>
    </row>
    <row r="2817">
      <c r="A2817" s="16" t="inlineStr">
        <is>
          <t>KF-M07-A3-0108</t>
        </is>
      </c>
      <c r="B2817" s="16" t="inlineStr">
        <is>
          <t>5.1</t>
        </is>
      </c>
      <c r="C2817" s="16" t="inlineStr">
        <is>
          <t>5.1c</t>
        </is>
      </c>
      <c r="D2817" s="16" t="inlineStr">
        <is>
          <t>conserva sus temperaturas</t>
        </is>
      </c>
      <c r="E2817" s="16" t="inlineStr">
        <is>
          <t>KF-M07</t>
        </is>
      </c>
      <c r="F2817" s="16" t="inlineStr">
        <is>
          <t>KF-M07-A3</t>
        </is>
      </c>
      <c r="G2817" s="16" t="inlineStr">
        <is>
          <t>B11-A3</t>
        </is>
      </c>
      <c r="H2817" s="16" t="inlineStr">
        <is>
          <t>busqueda</t>
        </is>
      </c>
      <c r="I2817" s="16" t="inlineStr">
        <is>
          <t>KALINA</t>
        </is>
      </c>
      <c r="J2817" s="16" t="inlineStr">
        <is>
          <t>KALINA</t>
        </is>
      </c>
      <c r="K2817" s="16" t="b">
        <v>1</v>
      </c>
      <c r="L2817" s="16" t="b">
        <v>1</v>
      </c>
      <c r="M2817" s="16" t="b">
        <v>0</v>
      </c>
      <c r="N2817" s="16" t="b">
        <v>0</v>
      </c>
      <c r="O2817" s="16" t="n">
        <v>623.15</v>
      </c>
      <c r="P2817" s="16" t="n">
        <v>300.032917</v>
      </c>
      <c r="Q2817" s="16" t="n">
        <v>5000</v>
      </c>
      <c r="R2817" s="16" t="n">
        <v>1359.556702008076</v>
      </c>
      <c r="S2817" s="16" t="n">
        <v>0.8294780327808849</v>
      </c>
      <c r="T2817" s="16" t="n">
        <v>0.946055907458648</v>
      </c>
      <c r="U2817" s="16" t="n">
        <v>0.8375342727183488</v>
      </c>
      <c r="V2817" s="16" t="n">
        <v>0.4963658855761367</v>
      </c>
      <c r="W2817" s="16" t="n">
        <v>0.95</v>
      </c>
      <c r="X2817" s="16" t="n">
        <v>0.9457881775355844</v>
      </c>
      <c r="Y2817" s="16" t="n">
        <v>300.032917</v>
      </c>
      <c r="Z2817" s="16" t="n">
        <v>12.7209764111569</v>
      </c>
      <c r="AA2817" s="16" t="n">
        <v>130.2778178218835</v>
      </c>
      <c r="AB2817" s="16" t="n">
        <v>3640.443297991924</v>
      </c>
      <c r="AC2817" s="16" t="n">
        <v>3.677669340760087</v>
      </c>
      <c r="AD2817" s="16" t="n"/>
      <c r="AE2817" s="16" t="n"/>
    </row>
    <row r="2818">
      <c r="A2818" s="16" t="inlineStr">
        <is>
          <t>KF-M07-A3-0109</t>
        </is>
      </c>
      <c r="B2818" s="16" t="inlineStr">
        <is>
          <t>5.1</t>
        </is>
      </c>
      <c r="C2818" s="16" t="inlineStr">
        <is>
          <t>5.1c</t>
        </is>
      </c>
      <c r="D2818" s="16" t="inlineStr">
        <is>
          <t>conserva sus temperaturas</t>
        </is>
      </c>
      <c r="E2818" s="16" t="inlineStr">
        <is>
          <t>KF-M07</t>
        </is>
      </c>
      <c r="F2818" s="16" t="inlineStr">
        <is>
          <t>KF-M07-A3</t>
        </is>
      </c>
      <c r="G2818" s="16" t="inlineStr">
        <is>
          <t>B11-A3</t>
        </is>
      </c>
      <c r="H2818" s="16" t="inlineStr">
        <is>
          <t>busqueda</t>
        </is>
      </c>
      <c r="I2818" s="16" t="inlineStr">
        <is>
          <t>KALINA</t>
        </is>
      </c>
      <c r="J2818" s="16" t="inlineStr">
        <is>
          <t>KALINA</t>
        </is>
      </c>
      <c r="K2818" s="16" t="b">
        <v>1</v>
      </c>
      <c r="L2818" s="16" t="b">
        <v>1</v>
      </c>
      <c r="M2818" s="16" t="b">
        <v>0</v>
      </c>
      <c r="N2818" s="16" t="b">
        <v>0</v>
      </c>
      <c r="O2818" s="16" t="n">
        <v>623.15</v>
      </c>
      <c r="P2818" s="16" t="n">
        <v>300.032917</v>
      </c>
      <c r="Q2818" s="16" t="n">
        <v>5000</v>
      </c>
      <c r="R2818" s="16" t="n">
        <v>1359.556702008076</v>
      </c>
      <c r="S2818" s="16" t="n">
        <v>0.8294780327808849</v>
      </c>
      <c r="T2818" s="16" t="n">
        <v>0.946055907458648</v>
      </c>
      <c r="U2818" s="16" t="n">
        <v>0.8375342727183488</v>
      </c>
      <c r="V2818" s="16" t="n">
        <v>0.4963658855761367</v>
      </c>
      <c r="W2818" s="16" t="n">
        <v>0.8616775946077286</v>
      </c>
      <c r="X2818" s="16" t="n">
        <v>0.9457881775355844</v>
      </c>
      <c r="Y2818" s="16" t="n">
        <v>300.032917</v>
      </c>
      <c r="Z2818" s="16" t="n">
        <v>12.5682502401505</v>
      </c>
      <c r="AA2818" s="16" t="n">
        <v>129.4167441760853</v>
      </c>
      <c r="AB2818" s="16" t="n">
        <v>3640.443297991924</v>
      </c>
      <c r="AC2818" s="16" t="n">
        <v>3.677669340760087</v>
      </c>
      <c r="AD2818" s="16" t="n"/>
      <c r="AE2818" s="16" t="n"/>
    </row>
    <row r="2819">
      <c r="A2819" s="16" t="inlineStr">
        <is>
          <t>KF-M07-A3-0110</t>
        </is>
      </c>
      <c r="B2819" s="16" t="inlineStr">
        <is>
          <t>5.1</t>
        </is>
      </c>
      <c r="C2819" s="16" t="inlineStr">
        <is>
          <t>5.1c</t>
        </is>
      </c>
      <c r="D2819" s="16" t="inlineStr">
        <is>
          <t>conserva sus temperaturas</t>
        </is>
      </c>
      <c r="E2819" s="16" t="inlineStr">
        <is>
          <t>KF-M07</t>
        </is>
      </c>
      <c r="F2819" s="16" t="inlineStr">
        <is>
          <t>KF-M07-A3</t>
        </is>
      </c>
      <c r="G2819" s="16" t="inlineStr">
        <is>
          <t>B11-A3</t>
        </is>
      </c>
      <c r="H2819" s="16" t="inlineStr">
        <is>
          <t>busqueda</t>
        </is>
      </c>
      <c r="I2819" s="16" t="inlineStr">
        <is>
          <t>KALINA</t>
        </is>
      </c>
      <c r="J2819" s="16" t="inlineStr">
        <is>
          <t>KALINA</t>
        </is>
      </c>
      <c r="K2819" s="16" t="b">
        <v>1</v>
      </c>
      <c r="L2819" s="16" t="b">
        <v>1</v>
      </c>
      <c r="M2819" s="16" t="b">
        <v>0</v>
      </c>
      <c r="N2819" s="16" t="b">
        <v>0</v>
      </c>
      <c r="O2819" s="16" t="n">
        <v>623.15</v>
      </c>
      <c r="P2819" s="16" t="n">
        <v>300.032917</v>
      </c>
      <c r="Q2819" s="16" t="n">
        <v>5000</v>
      </c>
      <c r="R2819" s="16" t="n">
        <v>1359.556702008076</v>
      </c>
      <c r="S2819" s="16" t="n">
        <v>0.8294780327808849</v>
      </c>
      <c r="T2819" s="16" t="n">
        <v>0.946055907458648</v>
      </c>
      <c r="U2819" s="16" t="n">
        <v>0.8375342727183488</v>
      </c>
      <c r="V2819" s="16" t="n">
        <v>0.4963658855761367</v>
      </c>
      <c r="W2819" s="16" t="n">
        <v>0.9166775946077288</v>
      </c>
      <c r="X2819" s="16" t="n">
        <v>0.95</v>
      </c>
      <c r="Y2819" s="16" t="n">
        <v>300.032917</v>
      </c>
      <c r="Z2819" s="16" t="n">
        <v>12.62555536175114</v>
      </c>
      <c r="AA2819" s="16" t="n">
        <v>129.7462353334533</v>
      </c>
      <c r="AB2819" s="16" t="n">
        <v>3640.443297991924</v>
      </c>
      <c r="AC2819" s="16" t="n">
        <v>3.677669340760087</v>
      </c>
      <c r="AD2819" s="16" t="n"/>
      <c r="AE2819" s="16" t="n"/>
    </row>
    <row r="2820">
      <c r="A2820" s="16" t="inlineStr">
        <is>
          <t>KF-M07-A3-0111</t>
        </is>
      </c>
      <c r="B2820" s="16" t="inlineStr">
        <is>
          <t>5.1</t>
        </is>
      </c>
      <c r="C2820" s="16" t="inlineStr">
        <is>
          <t>5.1c</t>
        </is>
      </c>
      <c r="D2820" s="16" t="inlineStr">
        <is>
          <t>conserva sus temperaturas</t>
        </is>
      </c>
      <c r="E2820" s="16" t="inlineStr">
        <is>
          <t>KF-M07</t>
        </is>
      </c>
      <c r="F2820" s="16" t="inlineStr">
        <is>
          <t>KF-M07-A3</t>
        </is>
      </c>
      <c r="G2820" s="16" t="inlineStr">
        <is>
          <t>B11-A3</t>
        </is>
      </c>
      <c r="H2820" s="16" t="inlineStr">
        <is>
          <t>busqueda</t>
        </is>
      </c>
      <c r="I2820" s="16" t="inlineStr">
        <is>
          <t>CORREGIBLE</t>
        </is>
      </c>
      <c r="J2820" s="16" t="inlineStr">
        <is>
          <t>CORREGIBLE</t>
        </is>
      </c>
      <c r="K2820" s="16" t="b">
        <v>1</v>
      </c>
      <c r="L2820" s="16" t="b">
        <v>0</v>
      </c>
      <c r="M2820" s="16" t="b">
        <v>0</v>
      </c>
      <c r="N2820" s="16" t="b">
        <v>0</v>
      </c>
      <c r="O2820" s="16" t="n">
        <v>623.15</v>
      </c>
      <c r="P2820" s="16" t="n">
        <v>300.032917</v>
      </c>
      <c r="Q2820" s="16" t="n">
        <v>5000</v>
      </c>
      <c r="R2820" s="16" t="n">
        <v>1359.556702008076</v>
      </c>
      <c r="S2820" s="16" t="n">
        <v>0.8294780327808849</v>
      </c>
      <c r="T2820" s="16" t="n">
        <v>0.946055907458648</v>
      </c>
      <c r="U2820" s="16" t="n">
        <v>0.8375342727183488</v>
      </c>
      <c r="V2820" s="16" t="n">
        <v>0.4963658855761367</v>
      </c>
      <c r="W2820" s="16" t="n">
        <v>0.9166775946077288</v>
      </c>
      <c r="X2820" s="16" t="n">
        <v>0.8907881775355844</v>
      </c>
      <c r="Y2820" s="16" t="n">
        <v>300.032917</v>
      </c>
      <c r="Z2820" s="16" t="n">
        <v>13.15635094450626</v>
      </c>
      <c r="AA2820" s="16" t="n">
        <v>132.4113295304518</v>
      </c>
      <c r="AB2820" s="16" t="n">
        <v>3640.443297991924</v>
      </c>
      <c r="AC2820" s="16" t="n">
        <v>3.677669340760087</v>
      </c>
      <c r="AD2820" s="16" t="inlineStr">
        <is>
          <t>O2</t>
        </is>
      </c>
      <c r="AE2820" s="16" t="n"/>
    </row>
    <row r="2821">
      <c r="A2821" s="16" t="inlineStr">
        <is>
          <t>KF-M07-A4-0000</t>
        </is>
      </c>
      <c r="B2821" s="16" t="inlineStr">
        <is>
          <t>5.1</t>
        </is>
      </c>
      <c r="C2821" s="16" t="inlineStr">
        <is>
          <t>5.1d</t>
        </is>
      </c>
      <c r="D2821" s="16" t="inlineStr">
        <is>
          <t>conserva sus presiones y su clima</t>
        </is>
      </c>
      <c r="E2821" s="16" t="inlineStr">
        <is>
          <t>KF-M07</t>
        </is>
      </c>
      <c r="F2821" s="16" t="inlineStr">
        <is>
          <t>KF-M07-A4</t>
        </is>
      </c>
      <c r="G2821" s="16" t="inlineStr">
        <is>
          <t>B11-A4</t>
        </is>
      </c>
      <c r="H2821" s="16" t="inlineStr">
        <is>
          <t>busqueda</t>
        </is>
      </c>
      <c r="I2821" s="16" t="inlineStr">
        <is>
          <t>KALINA</t>
        </is>
      </c>
      <c r="J2821" s="16" t="inlineStr">
        <is>
          <t>KALINA</t>
        </is>
      </c>
      <c r="K2821" s="16" t="b">
        <v>1</v>
      </c>
      <c r="L2821" s="16" t="b">
        <v>1</v>
      </c>
      <c r="M2821" s="16" t="b">
        <v>0</v>
      </c>
      <c r="N2821" s="16" t="b">
        <v>0</v>
      </c>
      <c r="O2821" s="16" t="n">
        <v>403</v>
      </c>
      <c r="P2821" s="16" t="n">
        <v>300.032917</v>
      </c>
      <c r="Q2821" s="16" t="n">
        <v>3000</v>
      </c>
      <c r="R2821" s="16" t="n">
        <v>400</v>
      </c>
      <c r="S2821" s="16" t="n">
        <v>0.5</v>
      </c>
      <c r="T2821" s="16" t="n">
        <v>0.85</v>
      </c>
      <c r="U2821" s="16" t="n">
        <v>0.75</v>
      </c>
      <c r="V2821" s="16" t="n">
        <v>0.85</v>
      </c>
      <c r="W2821" s="16" t="n">
        <v>0.75</v>
      </c>
      <c r="X2821" s="16" t="n">
        <v>0.95</v>
      </c>
      <c r="Y2821" s="16" t="n">
        <v>300.032917</v>
      </c>
      <c r="Z2821" s="16" t="n">
        <v>9.504720128032099</v>
      </c>
      <c r="AA2821" s="16" t="n">
        <v>30.67541128254607</v>
      </c>
      <c r="AB2821" s="16" t="n">
        <v>2600</v>
      </c>
      <c r="AC2821" s="16" t="n">
        <v>7.5</v>
      </c>
      <c r="AD2821" s="16" t="n"/>
      <c r="AE2821" s="16" t="n"/>
    </row>
    <row r="2822">
      <c r="A2822" s="16" t="inlineStr">
        <is>
          <t>KF-M07-A4-0001</t>
        </is>
      </c>
      <c r="B2822" s="16" t="inlineStr">
        <is>
          <t>5.1</t>
        </is>
      </c>
      <c r="C2822" s="16" t="inlineStr">
        <is>
          <t>5.1d</t>
        </is>
      </c>
      <c r="D2822" s="16" t="inlineStr">
        <is>
          <t>conserva sus presiones y su clima</t>
        </is>
      </c>
      <c r="E2822" s="16" t="inlineStr">
        <is>
          <t>KF-M07</t>
        </is>
      </c>
      <c r="F2822" s="16" t="inlineStr">
        <is>
          <t>KF-M07-A4</t>
        </is>
      </c>
      <c r="G2822" s="16" t="inlineStr">
        <is>
          <t>B11-A4</t>
        </is>
      </c>
      <c r="H2822" s="16" t="inlineStr">
        <is>
          <t>busqueda</t>
        </is>
      </c>
      <c r="I2822" s="16" t="inlineStr">
        <is>
          <t>CORREGIBLE</t>
        </is>
      </c>
      <c r="J2822" s="16" t="inlineStr">
        <is>
          <t>CORREGIBLE</t>
        </is>
      </c>
      <c r="K2822" s="16" t="b">
        <v>1</v>
      </c>
      <c r="L2822" s="16" t="b">
        <v>0</v>
      </c>
      <c r="M2822" s="16" t="b">
        <v>0</v>
      </c>
      <c r="N2822" s="16" t="b">
        <v>0</v>
      </c>
      <c r="O2822" s="16" t="n">
        <v>415</v>
      </c>
      <c r="P2822" s="16" t="n">
        <v>300.032917</v>
      </c>
      <c r="Q2822" s="16" t="n">
        <v>3000</v>
      </c>
      <c r="R2822" s="16" t="n">
        <v>400</v>
      </c>
      <c r="S2822" s="16" t="n">
        <v>0.5</v>
      </c>
      <c r="T2822" s="16" t="n">
        <v>0.85</v>
      </c>
      <c r="U2822" s="16" t="n">
        <v>0.75</v>
      </c>
      <c r="V2822" s="16" t="n">
        <v>0.85</v>
      </c>
      <c r="W2822" s="16" t="n">
        <v>0.75</v>
      </c>
      <c r="X2822" s="16" t="n">
        <v>0.95</v>
      </c>
      <c r="Y2822" s="16" t="n">
        <v>300.032917</v>
      </c>
      <c r="Z2822" s="16" t="n">
        <v>11.42417313596014</v>
      </c>
      <c r="AA2822" s="16" t="n">
        <v>54.01874847580754</v>
      </c>
      <c r="AB2822" s="16" t="n">
        <v>2600</v>
      </c>
      <c r="AC2822" s="16" t="n">
        <v>7.5</v>
      </c>
      <c r="AD2822" s="16" t="inlineStr">
        <is>
          <t>O2</t>
        </is>
      </c>
      <c r="AE2822" s="16" t="n"/>
    </row>
    <row r="2823">
      <c r="A2823" s="16" t="inlineStr">
        <is>
          <t>KF-M07-A4-0002</t>
        </is>
      </c>
      <c r="B2823" s="16" t="inlineStr">
        <is>
          <t>5.1</t>
        </is>
      </c>
      <c r="C2823" s="16" t="inlineStr">
        <is>
          <t>5.1d</t>
        </is>
      </c>
      <c r="D2823" s="16" t="inlineStr">
        <is>
          <t>conserva sus presiones y su clima</t>
        </is>
      </c>
      <c r="E2823" s="16" t="inlineStr">
        <is>
          <t>KF-M07</t>
        </is>
      </c>
      <c r="F2823" s="16" t="inlineStr">
        <is>
          <t>KF-M07-A4</t>
        </is>
      </c>
      <c r="G2823" s="16" t="inlineStr">
        <is>
          <t>B11-A4</t>
        </is>
      </c>
      <c r="H2823" s="16" t="inlineStr">
        <is>
          <t>busqueda</t>
        </is>
      </c>
      <c r="I2823" s="16" t="inlineStr">
        <is>
          <t>KALINA</t>
        </is>
      </c>
      <c r="J2823" s="16" t="inlineStr">
        <is>
          <t>KALINA</t>
        </is>
      </c>
      <c r="K2823" s="16" t="b">
        <v>1</v>
      </c>
      <c r="L2823" s="16" t="b">
        <v>1</v>
      </c>
      <c r="M2823" s="16" t="b">
        <v>0</v>
      </c>
      <c r="N2823" s="16" t="b">
        <v>0</v>
      </c>
      <c r="O2823" s="16" t="n">
        <v>391</v>
      </c>
      <c r="P2823" s="16" t="n">
        <v>300.032917</v>
      </c>
      <c r="Q2823" s="16" t="n">
        <v>3000</v>
      </c>
      <c r="R2823" s="16" t="n">
        <v>400</v>
      </c>
      <c r="S2823" s="16" t="n">
        <v>0.5</v>
      </c>
      <c r="T2823" s="16" t="n">
        <v>0.85</v>
      </c>
      <c r="U2823" s="16" t="n">
        <v>0.75</v>
      </c>
      <c r="V2823" s="16" t="n">
        <v>0.85</v>
      </c>
      <c r="W2823" s="16" t="n">
        <v>0.75</v>
      </c>
      <c r="X2823" s="16" t="n">
        <v>0.95</v>
      </c>
      <c r="Y2823" s="16" t="n">
        <v>300.032917</v>
      </c>
      <c r="Z2823" s="16" t="n">
        <v>3.57410568726834</v>
      </c>
      <c r="AA2823" s="16" t="n">
        <v>5.916628833656313</v>
      </c>
      <c r="AB2823" s="16" t="n">
        <v>2600</v>
      </c>
      <c r="AC2823" s="16" t="n">
        <v>7.5</v>
      </c>
      <c r="AD2823" s="16" t="n"/>
      <c r="AE2823" s="16" t="n"/>
    </row>
    <row r="2824">
      <c r="A2824" s="16" t="inlineStr">
        <is>
          <t>KF-M07-A4-0003</t>
        </is>
      </c>
      <c r="B2824" s="16" t="inlineStr">
        <is>
          <t>5.1</t>
        </is>
      </c>
      <c r="C2824" s="16" t="inlineStr">
        <is>
          <t>5.1d</t>
        </is>
      </c>
      <c r="D2824" s="16" t="inlineStr">
        <is>
          <t>conserva sus presiones y su clima</t>
        </is>
      </c>
      <c r="E2824" s="16" t="inlineStr">
        <is>
          <t>KF-M07</t>
        </is>
      </c>
      <c r="F2824" s="16" t="inlineStr">
        <is>
          <t>KF-M07-A4</t>
        </is>
      </c>
      <c r="G2824" s="16" t="inlineStr">
        <is>
          <t>B11-A4</t>
        </is>
      </c>
      <c r="H2824" s="16" t="inlineStr">
        <is>
          <t>busqueda</t>
        </is>
      </c>
      <c r="I2824" s="16" t="inlineStr">
        <is>
          <t>CORREGIBLE</t>
        </is>
      </c>
      <c r="J2824" s="16" t="inlineStr">
        <is>
          <t>CORREGIBLE</t>
        </is>
      </c>
      <c r="K2824" s="16" t="b">
        <v>1</v>
      </c>
      <c r="L2824" s="16" t="b">
        <v>0</v>
      </c>
      <c r="M2824" s="16" t="b">
        <v>0</v>
      </c>
      <c r="N2824" s="16" t="b">
        <v>0</v>
      </c>
      <c r="O2824" s="16" t="n">
        <v>403</v>
      </c>
      <c r="P2824" s="16" t="n">
        <v>300.032917</v>
      </c>
      <c r="Q2824" s="16" t="n">
        <v>3000</v>
      </c>
      <c r="R2824" s="16" t="n">
        <v>400</v>
      </c>
      <c r="S2824" s="16" t="n">
        <v>0.535</v>
      </c>
      <c r="T2824" s="16" t="n">
        <v>0.85</v>
      </c>
      <c r="U2824" s="16" t="n">
        <v>0.75</v>
      </c>
      <c r="V2824" s="16" t="n">
        <v>0.85</v>
      </c>
      <c r="W2824" s="16" t="n">
        <v>0.75</v>
      </c>
      <c r="X2824" s="16" t="n">
        <v>0.95</v>
      </c>
      <c r="Y2824" s="16" t="n">
        <v>300.032917</v>
      </c>
      <c r="Z2824" s="16" t="n">
        <v>11.26975106970232</v>
      </c>
      <c r="AA2824" s="16" t="n">
        <v>45.45217814542532</v>
      </c>
      <c r="AB2824" s="16" t="n">
        <v>2600</v>
      </c>
      <c r="AC2824" s="16" t="n">
        <v>7.5</v>
      </c>
      <c r="AD2824" s="16" t="inlineStr">
        <is>
          <t>O2</t>
        </is>
      </c>
      <c r="AE2824" s="16" t="n"/>
    </row>
    <row r="2825">
      <c r="A2825" s="16" t="inlineStr">
        <is>
          <t>KF-M07-A4-0004</t>
        </is>
      </c>
      <c r="B2825" s="16" t="inlineStr">
        <is>
          <t>5.1</t>
        </is>
      </c>
      <c r="C2825" s="16" t="inlineStr">
        <is>
          <t>5.1d</t>
        </is>
      </c>
      <c r="D2825" s="16" t="inlineStr">
        <is>
          <t>conserva sus presiones y su clima</t>
        </is>
      </c>
      <c r="E2825" s="16" t="inlineStr">
        <is>
          <t>KF-M07</t>
        </is>
      </c>
      <c r="F2825" s="16" t="inlineStr">
        <is>
          <t>KF-M07-A4</t>
        </is>
      </c>
      <c r="G2825" s="16" t="inlineStr">
        <is>
          <t>B11-A4</t>
        </is>
      </c>
      <c r="H2825" s="16" t="inlineStr">
        <is>
          <t>busqueda</t>
        </is>
      </c>
      <c r="I2825" s="16" t="inlineStr">
        <is>
          <t>KALINA</t>
        </is>
      </c>
      <c r="J2825" s="16" t="inlineStr">
        <is>
          <t>KALINA</t>
        </is>
      </c>
      <c r="K2825" s="16" t="b">
        <v>1</v>
      </c>
      <c r="L2825" s="16" t="b">
        <v>1</v>
      </c>
      <c r="M2825" s="16" t="b">
        <v>0</v>
      </c>
      <c r="N2825" s="16" t="b">
        <v>0</v>
      </c>
      <c r="O2825" s="16" t="n">
        <v>403</v>
      </c>
      <c r="P2825" s="16" t="n">
        <v>300.032917</v>
      </c>
      <c r="Q2825" s="16" t="n">
        <v>3000</v>
      </c>
      <c r="R2825" s="16" t="n">
        <v>400</v>
      </c>
      <c r="S2825" s="16" t="n">
        <v>0.5</v>
      </c>
      <c r="T2825" s="16" t="n">
        <v>0.905</v>
      </c>
      <c r="U2825" s="16" t="n">
        <v>0.75</v>
      </c>
      <c r="V2825" s="16" t="n">
        <v>0.85</v>
      </c>
      <c r="W2825" s="16" t="n">
        <v>0.75</v>
      </c>
      <c r="X2825" s="16" t="n">
        <v>0.95</v>
      </c>
      <c r="Y2825" s="16" t="n">
        <v>300.032917</v>
      </c>
      <c r="Z2825" s="16" t="n">
        <v>10.2032153132085</v>
      </c>
      <c r="AA2825" s="16" t="n">
        <v>32.93341583647243</v>
      </c>
      <c r="AB2825" s="16" t="n">
        <v>2600</v>
      </c>
      <c r="AC2825" s="16" t="n">
        <v>7.5</v>
      </c>
      <c r="AD2825" s="16" t="n"/>
      <c r="AE2825" s="16" t="n"/>
    </row>
    <row r="2826">
      <c r="A2826" s="16" t="inlineStr">
        <is>
          <t>KF-M07-A4-0005</t>
        </is>
      </c>
      <c r="B2826" s="16" t="inlineStr">
        <is>
          <t>5.1</t>
        </is>
      </c>
      <c r="C2826" s="16" t="inlineStr">
        <is>
          <t>5.1d</t>
        </is>
      </c>
      <c r="D2826" s="16" t="inlineStr">
        <is>
          <t>conserva sus presiones y su clima</t>
        </is>
      </c>
      <c r="E2826" s="16" t="inlineStr">
        <is>
          <t>KF-M07</t>
        </is>
      </c>
      <c r="F2826" s="16" t="inlineStr">
        <is>
          <t>KF-M07-A4</t>
        </is>
      </c>
      <c r="G2826" s="16" t="inlineStr">
        <is>
          <t>B11-A4</t>
        </is>
      </c>
      <c r="H2826" s="16" t="inlineStr">
        <is>
          <t>busqueda</t>
        </is>
      </c>
      <c r="I2826" s="16" t="inlineStr">
        <is>
          <t>KALINA</t>
        </is>
      </c>
      <c r="J2826" s="16" t="inlineStr">
        <is>
          <t>KALINA</t>
        </is>
      </c>
      <c r="K2826" s="16" t="b">
        <v>1</v>
      </c>
      <c r="L2826" s="16" t="b">
        <v>1</v>
      </c>
      <c r="M2826" s="16" t="b">
        <v>0</v>
      </c>
      <c r="N2826" s="16" t="b">
        <v>0</v>
      </c>
      <c r="O2826" s="16" t="n">
        <v>403</v>
      </c>
      <c r="P2826" s="16" t="n">
        <v>300.032917</v>
      </c>
      <c r="Q2826" s="16" t="n">
        <v>3000</v>
      </c>
      <c r="R2826" s="16" t="n">
        <v>400</v>
      </c>
      <c r="S2826" s="16" t="n">
        <v>0.5</v>
      </c>
      <c r="T2826" s="16" t="n">
        <v>0.795</v>
      </c>
      <c r="U2826" s="16" t="n">
        <v>0.75</v>
      </c>
      <c r="V2826" s="16" t="n">
        <v>0.85</v>
      </c>
      <c r="W2826" s="16" t="n">
        <v>0.75</v>
      </c>
      <c r="X2826" s="16" t="n">
        <v>0.95</v>
      </c>
      <c r="Y2826" s="16" t="n">
        <v>300.032917</v>
      </c>
      <c r="Z2826" s="16" t="n">
        <v>8.806028727968581</v>
      </c>
      <c r="AA2826" s="16" t="n">
        <v>28.41727856684528</v>
      </c>
      <c r="AB2826" s="16" t="n">
        <v>2600</v>
      </c>
      <c r="AC2826" s="16" t="n">
        <v>7.5</v>
      </c>
      <c r="AD2826" s="16" t="n"/>
      <c r="AE2826" s="16" t="n"/>
    </row>
    <row r="2827">
      <c r="A2827" s="16" t="inlineStr">
        <is>
          <t>KF-M07-A4-0006</t>
        </is>
      </c>
      <c r="B2827" s="16" t="inlineStr">
        <is>
          <t>5.1</t>
        </is>
      </c>
      <c r="C2827" s="16" t="inlineStr">
        <is>
          <t>5.1d</t>
        </is>
      </c>
      <c r="D2827" s="16" t="inlineStr">
        <is>
          <t>conserva sus presiones y su clima</t>
        </is>
      </c>
      <c r="E2827" s="16" t="inlineStr">
        <is>
          <t>KF-M07</t>
        </is>
      </c>
      <c r="F2827" s="16" t="inlineStr">
        <is>
          <t>KF-M07-A4</t>
        </is>
      </c>
      <c r="G2827" s="16" t="inlineStr">
        <is>
          <t>B11-A4</t>
        </is>
      </c>
      <c r="H2827" s="16" t="inlineStr">
        <is>
          <t>busqueda</t>
        </is>
      </c>
      <c r="I2827" s="16" t="inlineStr">
        <is>
          <t>KALINA</t>
        </is>
      </c>
      <c r="J2827" s="16" t="inlineStr">
        <is>
          <t>KALINA</t>
        </is>
      </c>
      <c r="K2827" s="16" t="b">
        <v>1</v>
      </c>
      <c r="L2827" s="16" t="b">
        <v>1</v>
      </c>
      <c r="M2827" s="16" t="b">
        <v>0</v>
      </c>
      <c r="N2827" s="16" t="b">
        <v>0</v>
      </c>
      <c r="O2827" s="16" t="n">
        <v>403</v>
      </c>
      <c r="P2827" s="16" t="n">
        <v>300.032917</v>
      </c>
      <c r="Q2827" s="16" t="n">
        <v>3000</v>
      </c>
      <c r="R2827" s="16" t="n">
        <v>400</v>
      </c>
      <c r="S2827" s="16" t="n">
        <v>0.5</v>
      </c>
      <c r="T2827" s="16" t="n">
        <v>0.85</v>
      </c>
      <c r="U2827" s="16" t="n">
        <v>0.8049999999999999</v>
      </c>
      <c r="V2827" s="16" t="n">
        <v>0.85</v>
      </c>
      <c r="W2827" s="16" t="n">
        <v>0.75</v>
      </c>
      <c r="X2827" s="16" t="n">
        <v>0.95</v>
      </c>
      <c r="Y2827" s="16" t="n">
        <v>300.032917</v>
      </c>
      <c r="Z2827" s="16" t="n">
        <v>9.59084925921792</v>
      </c>
      <c r="AA2827" s="16" t="n">
        <v>30.96226131039606</v>
      </c>
      <c r="AB2827" s="16" t="n">
        <v>2600</v>
      </c>
      <c r="AC2827" s="16" t="n">
        <v>7.5</v>
      </c>
      <c r="AD2827" s="16" t="n"/>
      <c r="AE2827" s="16" t="n"/>
    </row>
    <row r="2828">
      <c r="A2828" s="16" t="inlineStr">
        <is>
          <t>KF-M07-A4-0007</t>
        </is>
      </c>
      <c r="B2828" s="16" t="inlineStr">
        <is>
          <t>5.1</t>
        </is>
      </c>
      <c r="C2828" s="16" t="inlineStr">
        <is>
          <t>5.1d</t>
        </is>
      </c>
      <c r="D2828" s="16" t="inlineStr">
        <is>
          <t>conserva sus presiones y su clima</t>
        </is>
      </c>
      <c r="E2828" s="16" t="inlineStr">
        <is>
          <t>KF-M07</t>
        </is>
      </c>
      <c r="F2828" s="16" t="inlineStr">
        <is>
          <t>KF-M07-A4</t>
        </is>
      </c>
      <c r="G2828" s="16" t="inlineStr">
        <is>
          <t>B11-A4</t>
        </is>
      </c>
      <c r="H2828" s="16" t="inlineStr">
        <is>
          <t>busqueda</t>
        </is>
      </c>
      <c r="I2828" s="16" t="inlineStr">
        <is>
          <t>KALINA</t>
        </is>
      </c>
      <c r="J2828" s="16" t="inlineStr">
        <is>
          <t>KALINA</t>
        </is>
      </c>
      <c r="K2828" s="16" t="b">
        <v>1</v>
      </c>
      <c r="L2828" s="16" t="b">
        <v>1</v>
      </c>
      <c r="M2828" s="16" t="b">
        <v>0</v>
      </c>
      <c r="N2828" s="16" t="b">
        <v>0</v>
      </c>
      <c r="O2828" s="16" t="n">
        <v>403</v>
      </c>
      <c r="P2828" s="16" t="n">
        <v>300.032917</v>
      </c>
      <c r="Q2828" s="16" t="n">
        <v>3000</v>
      </c>
      <c r="R2828" s="16" t="n">
        <v>400</v>
      </c>
      <c r="S2828" s="16" t="n">
        <v>0.5</v>
      </c>
      <c r="T2828" s="16" t="n">
        <v>0.85</v>
      </c>
      <c r="U2828" s="16" t="n">
        <v>0.6950000000000001</v>
      </c>
      <c r="V2828" s="16" t="n">
        <v>0.85</v>
      </c>
      <c r="W2828" s="16" t="n">
        <v>0.75</v>
      </c>
      <c r="X2828" s="16" t="n">
        <v>0.95</v>
      </c>
      <c r="Y2828" s="16" t="n">
        <v>300.032917</v>
      </c>
      <c r="Z2828" s="16" t="n">
        <v>9.404896825189709</v>
      </c>
      <c r="AA2828" s="16" t="n">
        <v>30.34315876730637</v>
      </c>
      <c r="AB2828" s="16" t="n">
        <v>2600</v>
      </c>
      <c r="AC2828" s="16" t="n">
        <v>7.5</v>
      </c>
      <c r="AD2828" s="16" t="n"/>
      <c r="AE2828" s="16" t="n"/>
    </row>
    <row r="2829">
      <c r="A2829" s="16" t="inlineStr">
        <is>
          <t>KF-M07-A4-0008</t>
        </is>
      </c>
      <c r="B2829" s="16" t="inlineStr">
        <is>
          <t>5.1</t>
        </is>
      </c>
      <c r="C2829" s="16" t="inlineStr">
        <is>
          <t>5.1d</t>
        </is>
      </c>
      <c r="D2829" s="16" t="inlineStr">
        <is>
          <t>conserva sus presiones y su clima</t>
        </is>
      </c>
      <c r="E2829" s="16" t="inlineStr">
        <is>
          <t>KF-M07</t>
        </is>
      </c>
      <c r="F2829" s="16" t="inlineStr">
        <is>
          <t>KF-M07-A4</t>
        </is>
      </c>
      <c r="G2829" s="16" t="inlineStr">
        <is>
          <t>B11-A4</t>
        </is>
      </c>
      <c r="H2829" s="16" t="inlineStr">
        <is>
          <t>busqueda</t>
        </is>
      </c>
      <c r="I2829" s="16" t="inlineStr">
        <is>
          <t>KALINA</t>
        </is>
      </c>
      <c r="J2829" s="16" t="inlineStr">
        <is>
          <t>KALINA</t>
        </is>
      </c>
      <c r="K2829" s="16" t="b">
        <v>1</v>
      </c>
      <c r="L2829" s="16" t="b">
        <v>1</v>
      </c>
      <c r="M2829" s="16" t="b">
        <v>0</v>
      </c>
      <c r="N2829" s="16" t="b">
        <v>0</v>
      </c>
      <c r="O2829" s="16" t="n">
        <v>403</v>
      </c>
      <c r="P2829" s="16" t="n">
        <v>300.032917</v>
      </c>
      <c r="Q2829" s="16" t="n">
        <v>3000</v>
      </c>
      <c r="R2829" s="16" t="n">
        <v>400</v>
      </c>
      <c r="S2829" s="16" t="n">
        <v>0.5</v>
      </c>
      <c r="T2829" s="16" t="n">
        <v>0.85</v>
      </c>
      <c r="U2829" s="16" t="n">
        <v>0.75</v>
      </c>
      <c r="V2829" s="16" t="n">
        <v>0.905</v>
      </c>
      <c r="W2829" s="16" t="n">
        <v>0.75</v>
      </c>
      <c r="X2829" s="16" t="n">
        <v>0.95</v>
      </c>
      <c r="Y2829" s="16" t="n">
        <v>300.032917</v>
      </c>
      <c r="Z2829" s="16" t="n">
        <v>9.876519521873909</v>
      </c>
      <c r="AA2829" s="16" t="n">
        <v>33.91758289452113</v>
      </c>
      <c r="AB2829" s="16" t="n">
        <v>2600</v>
      </c>
      <c r="AC2829" s="16" t="n">
        <v>7.5</v>
      </c>
      <c r="AD2829" s="16" t="n"/>
      <c r="AE2829" s="16" t="n"/>
    </row>
    <row r="2830">
      <c r="A2830" s="16" t="inlineStr">
        <is>
          <t>KF-M07-A4-0009</t>
        </is>
      </c>
      <c r="B2830" s="16" t="inlineStr">
        <is>
          <t>5.1</t>
        </is>
      </c>
      <c r="C2830" s="16" t="inlineStr">
        <is>
          <t>5.1d</t>
        </is>
      </c>
      <c r="D2830" s="16" t="inlineStr">
        <is>
          <t>conserva sus presiones y su clima</t>
        </is>
      </c>
      <c r="E2830" s="16" t="inlineStr">
        <is>
          <t>KF-M07</t>
        </is>
      </c>
      <c r="F2830" s="16" t="inlineStr">
        <is>
          <t>KF-M07-A4</t>
        </is>
      </c>
      <c r="G2830" s="16" t="inlineStr">
        <is>
          <t>B11-A4</t>
        </is>
      </c>
      <c r="H2830" s="16" t="inlineStr">
        <is>
          <t>busqueda</t>
        </is>
      </c>
      <c r="I2830" s="16" t="inlineStr">
        <is>
          <t>KALINA</t>
        </is>
      </c>
      <c r="J2830" s="16" t="inlineStr">
        <is>
          <t>KALINA</t>
        </is>
      </c>
      <c r="K2830" s="16" t="b">
        <v>1</v>
      </c>
      <c r="L2830" s="16" t="b">
        <v>1</v>
      </c>
      <c r="M2830" s="16" t="b">
        <v>0</v>
      </c>
      <c r="N2830" s="16" t="b">
        <v>0</v>
      </c>
      <c r="O2830" s="16" t="n">
        <v>403</v>
      </c>
      <c r="P2830" s="16" t="n">
        <v>300.032917</v>
      </c>
      <c r="Q2830" s="16" t="n">
        <v>3000</v>
      </c>
      <c r="R2830" s="16" t="n">
        <v>400</v>
      </c>
      <c r="S2830" s="16" t="n">
        <v>0.5</v>
      </c>
      <c r="T2830" s="16" t="n">
        <v>0.85</v>
      </c>
      <c r="U2830" s="16" t="n">
        <v>0.75</v>
      </c>
      <c r="V2830" s="16" t="n">
        <v>0.795</v>
      </c>
      <c r="W2830" s="16" t="n">
        <v>0.75</v>
      </c>
      <c r="X2830" s="16" t="n">
        <v>0.95</v>
      </c>
      <c r="Y2830" s="16" t="n">
        <v>300.032917</v>
      </c>
      <c r="Z2830" s="16" t="n">
        <v>9.079830541637239</v>
      </c>
      <c r="AA2830" s="16" t="n">
        <v>27.42551373826248</v>
      </c>
      <c r="AB2830" s="16" t="n">
        <v>2600</v>
      </c>
      <c r="AC2830" s="16" t="n">
        <v>7.5</v>
      </c>
      <c r="AD2830" s="16" t="n"/>
      <c r="AE2830" s="16" t="n"/>
    </row>
    <row r="2831">
      <c r="A2831" s="16" t="inlineStr">
        <is>
          <t>KF-M07-A4-0010</t>
        </is>
      </c>
      <c r="B2831" s="16" t="inlineStr">
        <is>
          <t>5.1</t>
        </is>
      </c>
      <c r="C2831" s="16" t="inlineStr">
        <is>
          <t>5.1d</t>
        </is>
      </c>
      <c r="D2831" s="16" t="inlineStr">
        <is>
          <t>conserva sus presiones y su clima</t>
        </is>
      </c>
      <c r="E2831" s="16" t="inlineStr">
        <is>
          <t>KF-M07</t>
        </is>
      </c>
      <c r="F2831" s="16" t="inlineStr">
        <is>
          <t>KF-M07-A4</t>
        </is>
      </c>
      <c r="G2831" s="16" t="inlineStr">
        <is>
          <t>B11-A4</t>
        </is>
      </c>
      <c r="H2831" s="16" t="inlineStr">
        <is>
          <t>busqueda</t>
        </is>
      </c>
      <c r="I2831" s="16" t="inlineStr">
        <is>
          <t>KALINA</t>
        </is>
      </c>
      <c r="J2831" s="16" t="inlineStr">
        <is>
          <t>KALINA</t>
        </is>
      </c>
      <c r="K2831" s="16" t="b">
        <v>1</v>
      </c>
      <c r="L2831" s="16" t="b">
        <v>1</v>
      </c>
      <c r="M2831" s="16" t="b">
        <v>0</v>
      </c>
      <c r="N2831" s="16" t="b">
        <v>0</v>
      </c>
      <c r="O2831" s="16" t="n">
        <v>403</v>
      </c>
      <c r="P2831" s="16" t="n">
        <v>300.032917</v>
      </c>
      <c r="Q2831" s="16" t="n">
        <v>3000</v>
      </c>
      <c r="R2831" s="16" t="n">
        <v>400</v>
      </c>
      <c r="S2831" s="16" t="n">
        <v>0.5</v>
      </c>
      <c r="T2831" s="16" t="n">
        <v>0.85</v>
      </c>
      <c r="U2831" s="16" t="n">
        <v>0.75</v>
      </c>
      <c r="V2831" s="16" t="n">
        <v>0.85</v>
      </c>
      <c r="W2831" s="16" t="n">
        <v>0.8049999999999999</v>
      </c>
      <c r="X2831" s="16" t="n">
        <v>0.95</v>
      </c>
      <c r="Y2831" s="16" t="n">
        <v>300.032917</v>
      </c>
      <c r="Z2831" s="16" t="n">
        <v>10.23477468381743</v>
      </c>
      <c r="AA2831" s="16" t="n">
        <v>31.17365839722608</v>
      </c>
      <c r="AB2831" s="16" t="n">
        <v>2600</v>
      </c>
      <c r="AC2831" s="16" t="n">
        <v>7.5</v>
      </c>
      <c r="AD2831" s="16" t="n"/>
      <c r="AE2831" s="16" t="n"/>
    </row>
    <row r="2832">
      <c r="A2832" s="16" t="inlineStr">
        <is>
          <t>KF-M07-A4-0011</t>
        </is>
      </c>
      <c r="B2832" s="16" t="inlineStr">
        <is>
          <t>5.1</t>
        </is>
      </c>
      <c r="C2832" s="16" t="inlineStr">
        <is>
          <t>5.1d</t>
        </is>
      </c>
      <c r="D2832" s="16" t="inlineStr">
        <is>
          <t>conserva sus presiones y su clima</t>
        </is>
      </c>
      <c r="E2832" s="16" t="inlineStr">
        <is>
          <t>KF-M07</t>
        </is>
      </c>
      <c r="F2832" s="16" t="inlineStr">
        <is>
          <t>KF-M07-A4</t>
        </is>
      </c>
      <c r="G2832" s="16" t="inlineStr">
        <is>
          <t>B11-A4</t>
        </is>
      </c>
      <c r="H2832" s="16" t="inlineStr">
        <is>
          <t>busqueda</t>
        </is>
      </c>
      <c r="I2832" s="16" t="inlineStr">
        <is>
          <t>KALINA</t>
        </is>
      </c>
      <c r="J2832" s="16" t="inlineStr">
        <is>
          <t>KALINA</t>
        </is>
      </c>
      <c r="K2832" s="16" t="b">
        <v>1</v>
      </c>
      <c r="L2832" s="16" t="b">
        <v>1</v>
      </c>
      <c r="M2832" s="16" t="b">
        <v>0</v>
      </c>
      <c r="N2832" s="16" t="b">
        <v>0</v>
      </c>
      <c r="O2832" s="16" t="n">
        <v>403</v>
      </c>
      <c r="P2832" s="16" t="n">
        <v>300.032917</v>
      </c>
      <c r="Q2832" s="16" t="n">
        <v>3000</v>
      </c>
      <c r="R2832" s="16" t="n">
        <v>400</v>
      </c>
      <c r="S2832" s="16" t="n">
        <v>0.5</v>
      </c>
      <c r="T2832" s="16" t="n">
        <v>0.85</v>
      </c>
      <c r="U2832" s="16" t="n">
        <v>0.75</v>
      </c>
      <c r="V2832" s="16" t="n">
        <v>0.85</v>
      </c>
      <c r="W2832" s="16" t="n">
        <v>0.6950000000000001</v>
      </c>
      <c r="X2832" s="16" t="n">
        <v>0.95</v>
      </c>
      <c r="Y2832" s="16" t="n">
        <v>300.032917</v>
      </c>
      <c r="Z2832" s="16" t="n">
        <v>8.854819244096269</v>
      </c>
      <c r="AA2832" s="16" t="n">
        <v>30.17904024862937</v>
      </c>
      <c r="AB2832" s="16" t="n">
        <v>2600</v>
      </c>
      <c r="AC2832" s="16" t="n">
        <v>7.5</v>
      </c>
      <c r="AD2832" s="16" t="n"/>
      <c r="AE2832" s="16" t="n"/>
    </row>
    <row r="2833">
      <c r="A2833" s="16" t="inlineStr">
        <is>
          <t>KF-M07-A4-0012</t>
        </is>
      </c>
      <c r="B2833" s="16" t="inlineStr">
        <is>
          <t>5.1</t>
        </is>
      </c>
      <c r="C2833" s="16" t="inlineStr">
        <is>
          <t>5.1d</t>
        </is>
      </c>
      <c r="D2833" s="16" t="inlineStr">
        <is>
          <t>conserva sus presiones y su clima</t>
        </is>
      </c>
      <c r="E2833" s="16" t="inlineStr">
        <is>
          <t>KF-M07</t>
        </is>
      </c>
      <c r="F2833" s="16" t="inlineStr">
        <is>
          <t>KF-M07-A4</t>
        </is>
      </c>
      <c r="G2833" s="16" t="inlineStr">
        <is>
          <t>B11-A4</t>
        </is>
      </c>
      <c r="H2833" s="16" t="inlineStr">
        <is>
          <t>busqueda</t>
        </is>
      </c>
      <c r="I2833" s="16" t="inlineStr">
        <is>
          <t>CORREGIBLE</t>
        </is>
      </c>
      <c r="J2833" s="16" t="inlineStr">
        <is>
          <t>CORREGIBLE</t>
        </is>
      </c>
      <c r="K2833" s="16" t="b">
        <v>1</v>
      </c>
      <c r="L2833" s="16" t="b">
        <v>0</v>
      </c>
      <c r="M2833" s="16" t="b">
        <v>0</v>
      </c>
      <c r="N2833" s="16" t="b">
        <v>0</v>
      </c>
      <c r="O2833" s="16" t="n">
        <v>403</v>
      </c>
      <c r="P2833" s="16" t="n">
        <v>300.032917</v>
      </c>
      <c r="Q2833" s="16" t="n">
        <v>3000</v>
      </c>
      <c r="R2833" s="16" t="n">
        <v>400</v>
      </c>
      <c r="S2833" s="16" t="n">
        <v>0.5</v>
      </c>
      <c r="T2833" s="16" t="n">
        <v>0.85</v>
      </c>
      <c r="U2833" s="16" t="n">
        <v>0.75</v>
      </c>
      <c r="V2833" s="16" t="n">
        <v>0.85</v>
      </c>
      <c r="W2833" s="16" t="n">
        <v>0.75</v>
      </c>
      <c r="X2833" s="16" t="n">
        <v>0.895</v>
      </c>
      <c r="Y2833" s="16" t="n">
        <v>300.032917</v>
      </c>
      <c r="Z2833" s="16" t="n">
        <v>9.6977221470387</v>
      </c>
      <c r="AA2833" s="16" t="n">
        <v>30.74952462452906</v>
      </c>
      <c r="AB2833" s="16" t="n">
        <v>2600</v>
      </c>
      <c r="AC2833" s="16" t="n">
        <v>7.5</v>
      </c>
      <c r="AD2833" s="16" t="inlineStr">
        <is>
          <t>O2</t>
        </is>
      </c>
      <c r="AE2833" s="16" t="n"/>
    </row>
    <row r="2834">
      <c r="A2834" s="16" t="inlineStr">
        <is>
          <t>KF-M07-A4-0013</t>
        </is>
      </c>
      <c r="B2834" s="16" t="inlineStr">
        <is>
          <t>5.1</t>
        </is>
      </c>
      <c r="C2834" s="16" t="inlineStr">
        <is>
          <t>5.1d</t>
        </is>
      </c>
      <c r="D2834" s="16" t="inlineStr">
        <is>
          <t>conserva sus presiones y su clima</t>
        </is>
      </c>
      <c r="E2834" s="16" t="inlineStr">
        <is>
          <t>KF-M07</t>
        </is>
      </c>
      <c r="F2834" s="16" t="inlineStr">
        <is>
          <t>KF-M07-A4</t>
        </is>
      </c>
      <c r="G2834" s="16" t="inlineStr">
        <is>
          <t>B11-A4</t>
        </is>
      </c>
      <c r="H2834" s="16" t="inlineStr">
        <is>
          <t>busqueda</t>
        </is>
      </c>
      <c r="I2834" s="16" t="inlineStr">
        <is>
          <t>CORREGIBLE</t>
        </is>
      </c>
      <c r="J2834" s="16" t="inlineStr">
        <is>
          <t>CORREGIBLE</t>
        </is>
      </c>
      <c r="K2834" s="16" t="b">
        <v>1</v>
      </c>
      <c r="L2834" s="16" t="b">
        <v>0</v>
      </c>
      <c r="M2834" s="16" t="b">
        <v>0</v>
      </c>
      <c r="N2834" s="16" t="b">
        <v>0</v>
      </c>
      <c r="O2834" s="16" t="n">
        <v>415</v>
      </c>
      <c r="P2834" s="16" t="n">
        <v>300.032917</v>
      </c>
      <c r="Q2834" s="16" t="n">
        <v>3000</v>
      </c>
      <c r="R2834" s="16" t="n">
        <v>400</v>
      </c>
      <c r="S2834" s="16" t="n">
        <v>0.5</v>
      </c>
      <c r="T2834" s="16" t="n">
        <v>0.85</v>
      </c>
      <c r="U2834" s="16" t="n">
        <v>0.75</v>
      </c>
      <c r="V2834" s="16" t="n">
        <v>0.85</v>
      </c>
      <c r="W2834" s="16" t="n">
        <v>0.8049999999999999</v>
      </c>
      <c r="X2834" s="16" t="n">
        <v>0.95</v>
      </c>
      <c r="Y2834" s="16" t="n">
        <v>300.032917</v>
      </c>
      <c r="Z2834" s="16" t="n">
        <v>11.97424653780448</v>
      </c>
      <c r="AA2834" s="16" t="n">
        <v>54.50130912555221</v>
      </c>
      <c r="AB2834" s="16" t="n">
        <v>2600</v>
      </c>
      <c r="AC2834" s="16" t="n">
        <v>7.5</v>
      </c>
      <c r="AD2834" s="16" t="inlineStr">
        <is>
          <t>O2</t>
        </is>
      </c>
      <c r="AE2834" s="16" t="n"/>
    </row>
    <row r="2835">
      <c r="A2835" s="16" t="inlineStr">
        <is>
          <t>KF-M07-A4-0014</t>
        </is>
      </c>
      <c r="B2835" s="16" t="inlineStr">
        <is>
          <t>5.1</t>
        </is>
      </c>
      <c r="C2835" s="16" t="inlineStr">
        <is>
          <t>5.1d</t>
        </is>
      </c>
      <c r="D2835" s="16" t="inlineStr">
        <is>
          <t>conserva sus presiones y su clima</t>
        </is>
      </c>
      <c r="E2835" s="16" t="inlineStr">
        <is>
          <t>KF-M07</t>
        </is>
      </c>
      <c r="F2835" s="16" t="inlineStr">
        <is>
          <t>KF-M07-A4</t>
        </is>
      </c>
      <c r="G2835" s="16" t="inlineStr">
        <is>
          <t>B11-A4</t>
        </is>
      </c>
      <c r="H2835" s="16" t="inlineStr">
        <is>
          <t>busqueda</t>
        </is>
      </c>
      <c r="I2835" s="16" t="inlineStr">
        <is>
          <t>KALINA</t>
        </is>
      </c>
      <c r="J2835" s="16" t="inlineStr">
        <is>
          <t>KALINA</t>
        </is>
      </c>
      <c r="K2835" s="16" t="b">
        <v>1</v>
      </c>
      <c r="L2835" s="16" t="b">
        <v>1</v>
      </c>
      <c r="M2835" s="16" t="b">
        <v>0</v>
      </c>
      <c r="N2835" s="16" t="b">
        <v>0</v>
      </c>
      <c r="O2835" s="16" t="n">
        <v>391</v>
      </c>
      <c r="P2835" s="16" t="n">
        <v>300.032917</v>
      </c>
      <c r="Q2835" s="16" t="n">
        <v>3000</v>
      </c>
      <c r="R2835" s="16" t="n">
        <v>400</v>
      </c>
      <c r="S2835" s="16" t="n">
        <v>0.5</v>
      </c>
      <c r="T2835" s="16" t="n">
        <v>0.85</v>
      </c>
      <c r="U2835" s="16" t="n">
        <v>0.75</v>
      </c>
      <c r="V2835" s="16" t="n">
        <v>0.85</v>
      </c>
      <c r="W2835" s="16" t="n">
        <v>0.8049999999999999</v>
      </c>
      <c r="X2835" s="16" t="n">
        <v>0.95</v>
      </c>
      <c r="Y2835" s="16" t="n">
        <v>300.032917</v>
      </c>
      <c r="Z2835" s="16" t="n">
        <v>4.37388868994087</v>
      </c>
      <c r="AA2835" s="16" t="n">
        <v>6.429431725777462</v>
      </c>
      <c r="AB2835" s="16" t="n">
        <v>2600</v>
      </c>
      <c r="AC2835" s="16" t="n">
        <v>7.5</v>
      </c>
      <c r="AD2835" s="16" t="n"/>
      <c r="AE2835" s="16" t="n"/>
    </row>
    <row r="2836">
      <c r="A2836" s="16" t="inlineStr">
        <is>
          <t>KF-M07-A4-0015</t>
        </is>
      </c>
      <c r="B2836" s="16" t="inlineStr">
        <is>
          <t>5.1</t>
        </is>
      </c>
      <c r="C2836" s="16" t="inlineStr">
        <is>
          <t>5.1d</t>
        </is>
      </c>
      <c r="D2836" s="16" t="inlineStr">
        <is>
          <t>conserva sus presiones y su clima</t>
        </is>
      </c>
      <c r="E2836" s="16" t="inlineStr">
        <is>
          <t>KF-M07</t>
        </is>
      </c>
      <c r="F2836" s="16" t="inlineStr">
        <is>
          <t>KF-M07-A4</t>
        </is>
      </c>
      <c r="G2836" s="16" t="inlineStr">
        <is>
          <t>B11-A4</t>
        </is>
      </c>
      <c r="H2836" s="16" t="inlineStr">
        <is>
          <t>busqueda</t>
        </is>
      </c>
      <c r="I2836" s="16" t="inlineStr">
        <is>
          <t>CORREGIBLE</t>
        </is>
      </c>
      <c r="J2836" s="16" t="inlineStr">
        <is>
          <t>CORREGIBLE</t>
        </is>
      </c>
      <c r="K2836" s="16" t="b">
        <v>1</v>
      </c>
      <c r="L2836" s="16" t="b">
        <v>0</v>
      </c>
      <c r="M2836" s="16" t="b">
        <v>0</v>
      </c>
      <c r="N2836" s="16" t="b">
        <v>0</v>
      </c>
      <c r="O2836" s="16" t="n">
        <v>403</v>
      </c>
      <c r="P2836" s="16" t="n">
        <v>300.032917</v>
      </c>
      <c r="Q2836" s="16" t="n">
        <v>3000</v>
      </c>
      <c r="R2836" s="16" t="n">
        <v>400</v>
      </c>
      <c r="S2836" s="16" t="n">
        <v>0.535</v>
      </c>
      <c r="T2836" s="16" t="n">
        <v>0.85</v>
      </c>
      <c r="U2836" s="16" t="n">
        <v>0.75</v>
      </c>
      <c r="V2836" s="16" t="n">
        <v>0.85</v>
      </c>
      <c r="W2836" s="16" t="n">
        <v>0.8049999999999999</v>
      </c>
      <c r="X2836" s="16" t="n">
        <v>0.95</v>
      </c>
      <c r="Y2836" s="16" t="n">
        <v>300.032917</v>
      </c>
      <c r="Z2836" s="16" t="n">
        <v>11.86651095786718</v>
      </c>
      <c r="AA2836" s="16" t="n">
        <v>45.92722817312976</v>
      </c>
      <c r="AB2836" s="16" t="n">
        <v>2600</v>
      </c>
      <c r="AC2836" s="16" t="n">
        <v>7.5</v>
      </c>
      <c r="AD2836" s="16" t="inlineStr">
        <is>
          <t>O2</t>
        </is>
      </c>
      <c r="AE2836" s="16" t="n"/>
    </row>
    <row r="2837">
      <c r="A2837" s="16" t="inlineStr">
        <is>
          <t>KF-M07-A4-0016</t>
        </is>
      </c>
      <c r="B2837" s="16" t="inlineStr">
        <is>
          <t>5.1</t>
        </is>
      </c>
      <c r="C2837" s="16" t="inlineStr">
        <is>
          <t>5.1d</t>
        </is>
      </c>
      <c r="D2837" s="16" t="inlineStr">
        <is>
          <t>conserva sus presiones y su clima</t>
        </is>
      </c>
      <c r="E2837" s="16" t="inlineStr">
        <is>
          <t>KF-M07</t>
        </is>
      </c>
      <c r="F2837" s="16" t="inlineStr">
        <is>
          <t>KF-M07-A4</t>
        </is>
      </c>
      <c r="G2837" s="16" t="inlineStr">
        <is>
          <t>B11-A4</t>
        </is>
      </c>
      <c r="H2837" s="16" t="inlineStr">
        <is>
          <t>busqueda</t>
        </is>
      </c>
      <c r="I2837" s="16" t="inlineStr">
        <is>
          <t>KALINA</t>
        </is>
      </c>
      <c r="J2837" s="16" t="inlineStr">
        <is>
          <t>KALINA</t>
        </is>
      </c>
      <c r="K2837" s="16" t="b">
        <v>1</v>
      </c>
      <c r="L2837" s="16" t="b">
        <v>1</v>
      </c>
      <c r="M2837" s="16" t="b">
        <v>0</v>
      </c>
      <c r="N2837" s="16" t="b">
        <v>0</v>
      </c>
      <c r="O2837" s="16" t="n">
        <v>403</v>
      </c>
      <c r="P2837" s="16" t="n">
        <v>300.032917</v>
      </c>
      <c r="Q2837" s="16" t="n">
        <v>3000</v>
      </c>
      <c r="R2837" s="16" t="n">
        <v>400</v>
      </c>
      <c r="S2837" s="16" t="n">
        <v>0.5</v>
      </c>
      <c r="T2837" s="16" t="n">
        <v>0.905</v>
      </c>
      <c r="U2837" s="16" t="n">
        <v>0.75</v>
      </c>
      <c r="V2837" s="16" t="n">
        <v>0.85</v>
      </c>
      <c r="W2837" s="16" t="n">
        <v>0.8049999999999999</v>
      </c>
      <c r="X2837" s="16" t="n">
        <v>0.95</v>
      </c>
      <c r="Y2837" s="16" t="n">
        <v>300.032917</v>
      </c>
      <c r="Z2837" s="16" t="n">
        <v>10.98555073324297</v>
      </c>
      <c r="AA2837" s="16" t="n">
        <v>33.46395266170888</v>
      </c>
      <c r="AB2837" s="16" t="n">
        <v>2600</v>
      </c>
      <c r="AC2837" s="16" t="n">
        <v>7.5</v>
      </c>
      <c r="AD2837" s="16" t="n"/>
      <c r="AE2837" s="16" t="n"/>
    </row>
    <row r="2838">
      <c r="A2838" s="16" t="inlineStr">
        <is>
          <t>KF-M07-A4-0017</t>
        </is>
      </c>
      <c r="B2838" s="16" t="inlineStr">
        <is>
          <t>5.1</t>
        </is>
      </c>
      <c r="C2838" s="16" t="inlineStr">
        <is>
          <t>5.1d</t>
        </is>
      </c>
      <c r="D2838" s="16" t="inlineStr">
        <is>
          <t>conserva sus presiones y su clima</t>
        </is>
      </c>
      <c r="E2838" s="16" t="inlineStr">
        <is>
          <t>KF-M07</t>
        </is>
      </c>
      <c r="F2838" s="16" t="inlineStr">
        <is>
          <t>KF-M07-A4</t>
        </is>
      </c>
      <c r="G2838" s="16" t="inlineStr">
        <is>
          <t>B11-A4</t>
        </is>
      </c>
      <c r="H2838" s="16" t="inlineStr">
        <is>
          <t>busqueda</t>
        </is>
      </c>
      <c r="I2838" s="16" t="inlineStr">
        <is>
          <t>KALINA</t>
        </is>
      </c>
      <c r="J2838" s="16" t="inlineStr">
        <is>
          <t>KALINA</t>
        </is>
      </c>
      <c r="K2838" s="16" t="b">
        <v>1</v>
      </c>
      <c r="L2838" s="16" t="b">
        <v>1</v>
      </c>
      <c r="M2838" s="16" t="b">
        <v>0</v>
      </c>
      <c r="N2838" s="16" t="b">
        <v>0</v>
      </c>
      <c r="O2838" s="16" t="n">
        <v>403</v>
      </c>
      <c r="P2838" s="16" t="n">
        <v>300.032917</v>
      </c>
      <c r="Q2838" s="16" t="n">
        <v>3000</v>
      </c>
      <c r="R2838" s="16" t="n">
        <v>400</v>
      </c>
      <c r="S2838" s="16" t="n">
        <v>0.5</v>
      </c>
      <c r="T2838" s="16" t="n">
        <v>0.795</v>
      </c>
      <c r="U2838" s="16" t="n">
        <v>0.75</v>
      </c>
      <c r="V2838" s="16" t="n">
        <v>0.85</v>
      </c>
      <c r="W2838" s="16" t="n">
        <v>0.8049999999999999</v>
      </c>
      <c r="X2838" s="16" t="n">
        <v>0.95</v>
      </c>
      <c r="Y2838" s="16" t="n">
        <v>300.032917</v>
      </c>
      <c r="Z2838" s="16" t="n">
        <v>9.483802447756521</v>
      </c>
      <c r="AA2838" s="16" t="n">
        <v>28.88325002192138</v>
      </c>
      <c r="AB2838" s="16" t="n">
        <v>2600</v>
      </c>
      <c r="AC2838" s="16" t="n">
        <v>7.5</v>
      </c>
      <c r="AD2838" s="16" t="n"/>
      <c r="AE2838" s="16" t="n"/>
    </row>
    <row r="2839">
      <c r="A2839" s="16" t="inlineStr">
        <is>
          <t>KF-M07-A4-0018</t>
        </is>
      </c>
      <c r="B2839" s="16" t="inlineStr">
        <is>
          <t>5.1</t>
        </is>
      </c>
      <c r="C2839" s="16" t="inlineStr">
        <is>
          <t>5.1d</t>
        </is>
      </c>
      <c r="D2839" s="16" t="inlineStr">
        <is>
          <t>conserva sus presiones y su clima</t>
        </is>
      </c>
      <c r="E2839" s="16" t="inlineStr">
        <is>
          <t>KF-M07</t>
        </is>
      </c>
      <c r="F2839" s="16" t="inlineStr">
        <is>
          <t>KF-M07-A4</t>
        </is>
      </c>
      <c r="G2839" s="16" t="inlineStr">
        <is>
          <t>B11-A4</t>
        </is>
      </c>
      <c r="H2839" s="16" t="inlineStr">
        <is>
          <t>busqueda</t>
        </is>
      </c>
      <c r="I2839" s="16" t="inlineStr">
        <is>
          <t>KALINA</t>
        </is>
      </c>
      <c r="J2839" s="16" t="inlineStr">
        <is>
          <t>KALINA</t>
        </is>
      </c>
      <c r="K2839" s="16" t="b">
        <v>1</v>
      </c>
      <c r="L2839" s="16" t="b">
        <v>1</v>
      </c>
      <c r="M2839" s="16" t="b">
        <v>0</v>
      </c>
      <c r="N2839" s="16" t="b">
        <v>0</v>
      </c>
      <c r="O2839" s="16" t="n">
        <v>403</v>
      </c>
      <c r="P2839" s="16" t="n">
        <v>300.032917</v>
      </c>
      <c r="Q2839" s="16" t="n">
        <v>3000</v>
      </c>
      <c r="R2839" s="16" t="n">
        <v>400</v>
      </c>
      <c r="S2839" s="16" t="n">
        <v>0.5</v>
      </c>
      <c r="T2839" s="16" t="n">
        <v>0.85</v>
      </c>
      <c r="U2839" s="16" t="n">
        <v>0.8049999999999999</v>
      </c>
      <c r="V2839" s="16" t="n">
        <v>0.85</v>
      </c>
      <c r="W2839" s="16" t="n">
        <v>0.8049999999999999</v>
      </c>
      <c r="X2839" s="16" t="n">
        <v>0.95</v>
      </c>
      <c r="Y2839" s="16" t="n">
        <v>300.032917</v>
      </c>
      <c r="Z2839" s="16" t="n">
        <v>10.32627600274124</v>
      </c>
      <c r="AA2839" s="16" t="n">
        <v>31.46074823077214</v>
      </c>
      <c r="AB2839" s="16" t="n">
        <v>2600</v>
      </c>
      <c r="AC2839" s="16" t="n">
        <v>7.5</v>
      </c>
      <c r="AD2839" s="16" t="n"/>
      <c r="AE2839" s="16" t="n"/>
    </row>
    <row r="2840">
      <c r="A2840" s="16" t="inlineStr">
        <is>
          <t>KF-M07-A4-0019</t>
        </is>
      </c>
      <c r="B2840" s="16" t="inlineStr">
        <is>
          <t>5.1</t>
        </is>
      </c>
      <c r="C2840" s="16" t="inlineStr">
        <is>
          <t>5.1d</t>
        </is>
      </c>
      <c r="D2840" s="16" t="inlineStr">
        <is>
          <t>conserva sus presiones y su clima</t>
        </is>
      </c>
      <c r="E2840" s="16" t="inlineStr">
        <is>
          <t>KF-M07</t>
        </is>
      </c>
      <c r="F2840" s="16" t="inlineStr">
        <is>
          <t>KF-M07-A4</t>
        </is>
      </c>
      <c r="G2840" s="16" t="inlineStr">
        <is>
          <t>B11-A4</t>
        </is>
      </c>
      <c r="H2840" s="16" t="inlineStr">
        <is>
          <t>busqueda</t>
        </is>
      </c>
      <c r="I2840" s="16" t="inlineStr">
        <is>
          <t>KALINA</t>
        </is>
      </c>
      <c r="J2840" s="16" t="inlineStr">
        <is>
          <t>KALINA</t>
        </is>
      </c>
      <c r="K2840" s="16" t="b">
        <v>1</v>
      </c>
      <c r="L2840" s="16" t="b">
        <v>1</v>
      </c>
      <c r="M2840" s="16" t="b">
        <v>0</v>
      </c>
      <c r="N2840" s="16" t="b">
        <v>0</v>
      </c>
      <c r="O2840" s="16" t="n">
        <v>403</v>
      </c>
      <c r="P2840" s="16" t="n">
        <v>300.032917</v>
      </c>
      <c r="Q2840" s="16" t="n">
        <v>3000</v>
      </c>
      <c r="R2840" s="16" t="n">
        <v>400</v>
      </c>
      <c r="S2840" s="16" t="n">
        <v>0.5</v>
      </c>
      <c r="T2840" s="16" t="n">
        <v>0.85</v>
      </c>
      <c r="U2840" s="16" t="n">
        <v>0.6950000000000001</v>
      </c>
      <c r="V2840" s="16" t="n">
        <v>0.85</v>
      </c>
      <c r="W2840" s="16" t="n">
        <v>0.8049999999999999</v>
      </c>
      <c r="X2840" s="16" t="n">
        <v>0.95</v>
      </c>
      <c r="Y2840" s="16" t="n">
        <v>300.032917</v>
      </c>
      <c r="Z2840" s="16" t="n">
        <v>10.12872958304949</v>
      </c>
      <c r="AA2840" s="16" t="n">
        <v>30.84112799921897</v>
      </c>
      <c r="AB2840" s="16" t="n">
        <v>2600</v>
      </c>
      <c r="AC2840" s="16" t="n">
        <v>7.5</v>
      </c>
      <c r="AD2840" s="16" t="n"/>
      <c r="AE2840" s="16" t="n"/>
    </row>
    <row r="2841">
      <c r="A2841" s="16" t="inlineStr">
        <is>
          <t>KF-M07-A4-0020</t>
        </is>
      </c>
      <c r="B2841" s="16" t="inlineStr">
        <is>
          <t>5.1</t>
        </is>
      </c>
      <c r="C2841" s="16" t="inlineStr">
        <is>
          <t>5.1d</t>
        </is>
      </c>
      <c r="D2841" s="16" t="inlineStr">
        <is>
          <t>conserva sus presiones y su clima</t>
        </is>
      </c>
      <c r="E2841" s="16" t="inlineStr">
        <is>
          <t>KF-M07</t>
        </is>
      </c>
      <c r="F2841" s="16" t="inlineStr">
        <is>
          <t>KF-M07-A4</t>
        </is>
      </c>
      <c r="G2841" s="16" t="inlineStr">
        <is>
          <t>B11-A4</t>
        </is>
      </c>
      <c r="H2841" s="16" t="inlineStr">
        <is>
          <t>busqueda</t>
        </is>
      </c>
      <c r="I2841" s="16" t="inlineStr">
        <is>
          <t>KALINA</t>
        </is>
      </c>
      <c r="J2841" s="16" t="inlineStr">
        <is>
          <t>KALINA</t>
        </is>
      </c>
      <c r="K2841" s="16" t="b">
        <v>1</v>
      </c>
      <c r="L2841" s="16" t="b">
        <v>1</v>
      </c>
      <c r="M2841" s="16" t="b">
        <v>0</v>
      </c>
      <c r="N2841" s="16" t="b">
        <v>0</v>
      </c>
      <c r="O2841" s="16" t="n">
        <v>403</v>
      </c>
      <c r="P2841" s="16" t="n">
        <v>300.032917</v>
      </c>
      <c r="Q2841" s="16" t="n">
        <v>3000</v>
      </c>
      <c r="R2841" s="16" t="n">
        <v>400</v>
      </c>
      <c r="S2841" s="16" t="n">
        <v>0.5</v>
      </c>
      <c r="T2841" s="16" t="n">
        <v>0.85</v>
      </c>
      <c r="U2841" s="16" t="n">
        <v>0.75</v>
      </c>
      <c r="V2841" s="16" t="n">
        <v>0.905</v>
      </c>
      <c r="W2841" s="16" t="n">
        <v>0.8049999999999999</v>
      </c>
      <c r="X2841" s="16" t="n">
        <v>0.95</v>
      </c>
      <c r="Y2841" s="16" t="n">
        <v>300.032917</v>
      </c>
      <c r="Z2841" s="16" t="n">
        <v>10.56042939107185</v>
      </c>
      <c r="AA2841" s="16" t="n">
        <v>34.23217406936012</v>
      </c>
      <c r="AB2841" s="16" t="n">
        <v>2600</v>
      </c>
      <c r="AC2841" s="16" t="n">
        <v>7.5</v>
      </c>
      <c r="AD2841" s="16" t="n"/>
      <c r="AE2841" s="16" t="n"/>
    </row>
    <row r="2842">
      <c r="A2842" s="16" t="inlineStr">
        <is>
          <t>KF-M07-A4-0021</t>
        </is>
      </c>
      <c r="B2842" s="16" t="inlineStr">
        <is>
          <t>5.1</t>
        </is>
      </c>
      <c r="C2842" s="16" t="inlineStr">
        <is>
          <t>5.1d</t>
        </is>
      </c>
      <c r="D2842" s="16" t="inlineStr">
        <is>
          <t>conserva sus presiones y su clima</t>
        </is>
      </c>
      <c r="E2842" s="16" t="inlineStr">
        <is>
          <t>KF-M07</t>
        </is>
      </c>
      <c r="F2842" s="16" t="inlineStr">
        <is>
          <t>KF-M07-A4</t>
        </is>
      </c>
      <c r="G2842" s="16" t="inlineStr">
        <is>
          <t>B11-A4</t>
        </is>
      </c>
      <c r="H2842" s="16" t="inlineStr">
        <is>
          <t>busqueda</t>
        </is>
      </c>
      <c r="I2842" s="16" t="inlineStr">
        <is>
          <t>KALINA</t>
        </is>
      </c>
      <c r="J2842" s="16" t="inlineStr">
        <is>
          <t>KALINA</t>
        </is>
      </c>
      <c r="K2842" s="16" t="b">
        <v>1</v>
      </c>
      <c r="L2842" s="16" t="b">
        <v>1</v>
      </c>
      <c r="M2842" s="16" t="b">
        <v>0</v>
      </c>
      <c r="N2842" s="16" t="b">
        <v>0</v>
      </c>
      <c r="O2842" s="16" t="n">
        <v>403</v>
      </c>
      <c r="P2842" s="16" t="n">
        <v>300.032917</v>
      </c>
      <c r="Q2842" s="16" t="n">
        <v>3000</v>
      </c>
      <c r="R2842" s="16" t="n">
        <v>400</v>
      </c>
      <c r="S2842" s="16" t="n">
        <v>0.5</v>
      </c>
      <c r="T2842" s="16" t="n">
        <v>0.85</v>
      </c>
      <c r="U2842" s="16" t="n">
        <v>0.75</v>
      </c>
      <c r="V2842" s="16" t="n">
        <v>0.795</v>
      </c>
      <c r="W2842" s="16" t="n">
        <v>0.8049999999999999</v>
      </c>
      <c r="X2842" s="16" t="n">
        <v>0.95</v>
      </c>
      <c r="Y2842" s="16" t="n">
        <v>300.032917</v>
      </c>
      <c r="Z2842" s="16" t="n">
        <v>9.86241551691908</v>
      </c>
      <c r="AA2842" s="16" t="n">
        <v>28.1090385976747</v>
      </c>
      <c r="AB2842" s="16" t="n">
        <v>2600</v>
      </c>
      <c r="AC2842" s="16" t="n">
        <v>7.5</v>
      </c>
      <c r="AD2842" s="16" t="n"/>
      <c r="AE2842" s="16" t="n"/>
    </row>
    <row r="2843">
      <c r="A2843" s="16" t="inlineStr">
        <is>
          <t>KF-M07-A4-0022</t>
        </is>
      </c>
      <c r="B2843" s="16" t="inlineStr">
        <is>
          <t>5.1</t>
        </is>
      </c>
      <c r="C2843" s="16" t="inlineStr">
        <is>
          <t>5.1d</t>
        </is>
      </c>
      <c r="D2843" s="16" t="inlineStr">
        <is>
          <t>conserva sus presiones y su clima</t>
        </is>
      </c>
      <c r="E2843" s="16" t="inlineStr">
        <is>
          <t>KF-M07</t>
        </is>
      </c>
      <c r="F2843" s="16" t="inlineStr">
        <is>
          <t>KF-M07-A4</t>
        </is>
      </c>
      <c r="G2843" s="16" t="inlineStr">
        <is>
          <t>B11-A4</t>
        </is>
      </c>
      <c r="H2843" s="16" t="inlineStr">
        <is>
          <t>busqueda</t>
        </is>
      </c>
      <c r="I2843" s="16" t="inlineStr">
        <is>
          <t>KALINA</t>
        </is>
      </c>
      <c r="J2843" s="16" t="inlineStr">
        <is>
          <t>KALINA</t>
        </is>
      </c>
      <c r="K2843" s="16" t="b">
        <v>1</v>
      </c>
      <c r="L2843" s="16" t="b">
        <v>1</v>
      </c>
      <c r="M2843" s="16" t="b">
        <v>0</v>
      </c>
      <c r="N2843" s="16" t="b">
        <v>0</v>
      </c>
      <c r="O2843" s="16" t="n">
        <v>403</v>
      </c>
      <c r="P2843" s="16" t="n">
        <v>300.032917</v>
      </c>
      <c r="Q2843" s="16" t="n">
        <v>3000</v>
      </c>
      <c r="R2843" s="16" t="n">
        <v>400</v>
      </c>
      <c r="S2843" s="16" t="n">
        <v>0.5</v>
      </c>
      <c r="T2843" s="16" t="n">
        <v>0.85</v>
      </c>
      <c r="U2843" s="16" t="n">
        <v>0.75</v>
      </c>
      <c r="V2843" s="16" t="n">
        <v>0.85</v>
      </c>
      <c r="W2843" s="16" t="n">
        <v>0.8599999999999999</v>
      </c>
      <c r="X2843" s="16" t="n">
        <v>0.95</v>
      </c>
      <c r="Y2843" s="16" t="n">
        <v>300.032917</v>
      </c>
      <c r="Z2843" s="16" t="n">
        <v>11.06076777930363</v>
      </c>
      <c r="AA2843" s="16" t="n">
        <v>31.67377880902511</v>
      </c>
      <c r="AB2843" s="16" t="n">
        <v>2600</v>
      </c>
      <c r="AC2843" s="16" t="n">
        <v>7.5</v>
      </c>
      <c r="AD2843" s="16" t="n"/>
      <c r="AE2843" s="16" t="n"/>
    </row>
    <row r="2844">
      <c r="A2844" s="16" t="inlineStr">
        <is>
          <t>KF-M07-A4-0023</t>
        </is>
      </c>
      <c r="B2844" s="16" t="inlineStr">
        <is>
          <t>5.1</t>
        </is>
      </c>
      <c r="C2844" s="16" t="inlineStr">
        <is>
          <t>5.1d</t>
        </is>
      </c>
      <c r="D2844" s="16" t="inlineStr">
        <is>
          <t>conserva sus presiones y su clima</t>
        </is>
      </c>
      <c r="E2844" s="16" t="inlineStr">
        <is>
          <t>KF-M07</t>
        </is>
      </c>
      <c r="F2844" s="16" t="inlineStr">
        <is>
          <t>KF-M07-A4</t>
        </is>
      </c>
      <c r="G2844" s="16" t="inlineStr">
        <is>
          <t>B11-A4</t>
        </is>
      </c>
      <c r="H2844" s="16" t="inlineStr">
        <is>
          <t>busqueda</t>
        </is>
      </c>
      <c r="I2844" s="16" t="inlineStr">
        <is>
          <t>KALINA</t>
        </is>
      </c>
      <c r="J2844" s="16" t="inlineStr">
        <is>
          <t>KALINA</t>
        </is>
      </c>
      <c r="K2844" s="16" t="b">
        <v>1</v>
      </c>
      <c r="L2844" s="16" t="b">
        <v>1</v>
      </c>
      <c r="M2844" s="16" t="b">
        <v>0</v>
      </c>
      <c r="N2844" s="16" t="b">
        <v>0</v>
      </c>
      <c r="O2844" s="16" t="n">
        <v>403</v>
      </c>
      <c r="P2844" s="16" t="n">
        <v>300.032917</v>
      </c>
      <c r="Q2844" s="16" t="n">
        <v>3000</v>
      </c>
      <c r="R2844" s="16" t="n">
        <v>400</v>
      </c>
      <c r="S2844" s="16" t="n">
        <v>0.5</v>
      </c>
      <c r="T2844" s="16" t="n">
        <v>0.85</v>
      </c>
      <c r="U2844" s="16" t="n">
        <v>0.75</v>
      </c>
      <c r="V2844" s="16" t="n">
        <v>0.85</v>
      </c>
      <c r="W2844" s="16" t="n">
        <v>0.75</v>
      </c>
      <c r="X2844" s="16" t="n">
        <v>0.95</v>
      </c>
      <c r="Y2844" s="16" t="n">
        <v>300.032917</v>
      </c>
      <c r="Z2844" s="16" t="n">
        <v>9.504720128032099</v>
      </c>
      <c r="AA2844" s="16" t="n">
        <v>30.67541128254607</v>
      </c>
      <c r="AB2844" s="16" t="n">
        <v>2600</v>
      </c>
      <c r="AC2844" s="16" t="n">
        <v>7.5</v>
      </c>
      <c r="AD2844" s="16" t="n"/>
      <c r="AE2844" s="16" t="n"/>
    </row>
    <row r="2845">
      <c r="A2845" s="16" t="inlineStr">
        <is>
          <t>KF-M07-A4-0024</t>
        </is>
      </c>
      <c r="B2845" s="16" t="inlineStr">
        <is>
          <t>5.1</t>
        </is>
      </c>
      <c r="C2845" s="16" t="inlineStr">
        <is>
          <t>5.1d</t>
        </is>
      </c>
      <c r="D2845" s="16" t="inlineStr">
        <is>
          <t>conserva sus presiones y su clima</t>
        </is>
      </c>
      <c r="E2845" s="16" t="inlineStr">
        <is>
          <t>KF-M07</t>
        </is>
      </c>
      <c r="F2845" s="16" t="inlineStr">
        <is>
          <t>KF-M07-A4</t>
        </is>
      </c>
      <c r="G2845" s="16" t="inlineStr">
        <is>
          <t>B11-A4</t>
        </is>
      </c>
      <c r="H2845" s="16" t="inlineStr">
        <is>
          <t>busqueda</t>
        </is>
      </c>
      <c r="I2845" s="16" t="inlineStr">
        <is>
          <t>CORREGIBLE</t>
        </is>
      </c>
      <c r="J2845" s="16" t="inlineStr">
        <is>
          <t>CORREGIBLE</t>
        </is>
      </c>
      <c r="K2845" s="16" t="b">
        <v>1</v>
      </c>
      <c r="L2845" s="16" t="b">
        <v>0</v>
      </c>
      <c r="M2845" s="16" t="b">
        <v>0</v>
      </c>
      <c r="N2845" s="16" t="b">
        <v>0</v>
      </c>
      <c r="O2845" s="16" t="n">
        <v>403</v>
      </c>
      <c r="P2845" s="16" t="n">
        <v>300.032917</v>
      </c>
      <c r="Q2845" s="16" t="n">
        <v>3000</v>
      </c>
      <c r="R2845" s="16" t="n">
        <v>400</v>
      </c>
      <c r="S2845" s="16" t="n">
        <v>0.5</v>
      </c>
      <c r="T2845" s="16" t="n">
        <v>0.85</v>
      </c>
      <c r="U2845" s="16" t="n">
        <v>0.75</v>
      </c>
      <c r="V2845" s="16" t="n">
        <v>0.85</v>
      </c>
      <c r="W2845" s="16" t="n">
        <v>0.8049999999999999</v>
      </c>
      <c r="X2845" s="16" t="n">
        <v>0.895</v>
      </c>
      <c r="Y2845" s="16" t="n">
        <v>300.032917</v>
      </c>
      <c r="Z2845" s="16" t="n">
        <v>10.41579603319428</v>
      </c>
      <c r="AA2845" s="16" t="n">
        <v>31.23990614691996</v>
      </c>
      <c r="AB2845" s="16" t="n">
        <v>2600</v>
      </c>
      <c r="AC2845" s="16" t="n">
        <v>7.5</v>
      </c>
      <c r="AD2845" s="16" t="inlineStr">
        <is>
          <t>O2</t>
        </is>
      </c>
      <c r="AE2845" s="16" t="n"/>
    </row>
    <row r="2846">
      <c r="A2846" s="16" t="inlineStr">
        <is>
          <t>KF-M07-A4-0025</t>
        </is>
      </c>
      <c r="B2846" s="16" t="inlineStr">
        <is>
          <t>5.1</t>
        </is>
      </c>
      <c r="C2846" s="16" t="inlineStr">
        <is>
          <t>5.1d</t>
        </is>
      </c>
      <c r="D2846" s="16" t="inlineStr">
        <is>
          <t>conserva sus presiones y su clima</t>
        </is>
      </c>
      <c r="E2846" s="16" t="inlineStr">
        <is>
          <t>KF-M07</t>
        </is>
      </c>
      <c r="F2846" s="16" t="inlineStr">
        <is>
          <t>KF-M07-A4</t>
        </is>
      </c>
      <c r="G2846" s="16" t="inlineStr">
        <is>
          <t>B11-A4</t>
        </is>
      </c>
      <c r="H2846" s="16" t="inlineStr">
        <is>
          <t>busqueda</t>
        </is>
      </c>
      <c r="I2846" s="16" t="inlineStr">
        <is>
          <t>KALINA</t>
        </is>
      </c>
      <c r="J2846" s="16" t="inlineStr">
        <is>
          <t>KALINA</t>
        </is>
      </c>
      <c r="K2846" s="16" t="b">
        <v>1</v>
      </c>
      <c r="L2846" s="16" t="b">
        <v>1</v>
      </c>
      <c r="M2846" s="16" t="b">
        <v>0</v>
      </c>
      <c r="N2846" s="16" t="b">
        <v>0</v>
      </c>
      <c r="O2846" s="16" t="n">
        <v>415</v>
      </c>
      <c r="P2846" s="16" t="n">
        <v>300.032917</v>
      </c>
      <c r="Q2846" s="16" t="n">
        <v>3000</v>
      </c>
      <c r="R2846" s="16" t="n">
        <v>400</v>
      </c>
      <c r="S2846" s="16" t="n">
        <v>0.5</v>
      </c>
      <c r="T2846" s="16" t="n">
        <v>0.85</v>
      </c>
      <c r="U2846" s="16" t="n">
        <v>0.75</v>
      </c>
      <c r="V2846" s="16" t="n">
        <v>0.85</v>
      </c>
      <c r="W2846" s="16" t="n">
        <v>0.8599999999999999</v>
      </c>
      <c r="X2846" s="16" t="n">
        <v>0.95</v>
      </c>
      <c r="Y2846" s="16" t="n">
        <v>300.032917</v>
      </c>
      <c r="Z2846" s="16" t="n">
        <v>12.57057628767882</v>
      </c>
      <c r="AA2846" s="16" t="n">
        <v>54.98480958225588</v>
      </c>
      <c r="AB2846" s="16" t="n">
        <v>2600</v>
      </c>
      <c r="AC2846" s="16" t="n">
        <v>7.5</v>
      </c>
      <c r="AD2846" s="16" t="n"/>
      <c r="AE2846" s="16" t="n"/>
    </row>
    <row r="2847">
      <c r="A2847" s="16" t="inlineStr">
        <is>
          <t>KF-M07-A4-0026</t>
        </is>
      </c>
      <c r="B2847" s="16" t="inlineStr">
        <is>
          <t>5.1</t>
        </is>
      </c>
      <c r="C2847" s="16" t="inlineStr">
        <is>
          <t>5.1d</t>
        </is>
      </c>
      <c r="D2847" s="16" t="inlineStr">
        <is>
          <t>conserva sus presiones y su clima</t>
        </is>
      </c>
      <c r="E2847" s="16" t="inlineStr">
        <is>
          <t>KF-M07</t>
        </is>
      </c>
      <c r="F2847" s="16" t="inlineStr">
        <is>
          <t>KF-M07-A4</t>
        </is>
      </c>
      <c r="G2847" s="16" t="inlineStr">
        <is>
          <t>B11-A4</t>
        </is>
      </c>
      <c r="H2847" s="16" t="inlineStr">
        <is>
          <t>busqueda</t>
        </is>
      </c>
      <c r="I2847" s="16" t="inlineStr">
        <is>
          <t>KALINA</t>
        </is>
      </c>
      <c r="J2847" s="16" t="inlineStr">
        <is>
          <t>KALINA</t>
        </is>
      </c>
      <c r="K2847" s="16" t="b">
        <v>1</v>
      </c>
      <c r="L2847" s="16" t="b">
        <v>1</v>
      </c>
      <c r="M2847" s="16" t="b">
        <v>0</v>
      </c>
      <c r="N2847" s="16" t="b">
        <v>0</v>
      </c>
      <c r="O2847" s="16" t="n">
        <v>391</v>
      </c>
      <c r="P2847" s="16" t="n">
        <v>300.032917</v>
      </c>
      <c r="Q2847" s="16" t="n">
        <v>3000</v>
      </c>
      <c r="R2847" s="16" t="n">
        <v>400</v>
      </c>
      <c r="S2847" s="16" t="n">
        <v>0.5</v>
      </c>
      <c r="T2847" s="16" t="n">
        <v>0.85</v>
      </c>
      <c r="U2847" s="16" t="n">
        <v>0.75</v>
      </c>
      <c r="V2847" s="16" t="n">
        <v>0.85</v>
      </c>
      <c r="W2847" s="16" t="n">
        <v>0.8599999999999999</v>
      </c>
      <c r="X2847" s="16" t="n">
        <v>0.95</v>
      </c>
      <c r="Y2847" s="16" t="n">
        <v>300.032917</v>
      </c>
      <c r="Z2847" s="16" t="n">
        <v>5.409887667959571</v>
      </c>
      <c r="AA2847" s="16" t="n">
        <v>6.944466087092684</v>
      </c>
      <c r="AB2847" s="16" t="n">
        <v>2600</v>
      </c>
      <c r="AC2847" s="16" t="n">
        <v>7.5</v>
      </c>
      <c r="AD2847" s="16" t="n"/>
      <c r="AE2847" s="16" t="n"/>
    </row>
    <row r="2848">
      <c r="A2848" s="16" t="inlineStr">
        <is>
          <t>KF-M07-A4-0027</t>
        </is>
      </c>
      <c r="B2848" s="16" t="inlineStr">
        <is>
          <t>5.1</t>
        </is>
      </c>
      <c r="C2848" s="16" t="inlineStr">
        <is>
          <t>5.1d</t>
        </is>
      </c>
      <c r="D2848" s="16" t="inlineStr">
        <is>
          <t>conserva sus presiones y su clima</t>
        </is>
      </c>
      <c r="E2848" s="16" t="inlineStr">
        <is>
          <t>KF-M07</t>
        </is>
      </c>
      <c r="F2848" s="16" t="inlineStr">
        <is>
          <t>KF-M07-A4</t>
        </is>
      </c>
      <c r="G2848" s="16" t="inlineStr">
        <is>
          <t>B11-A4</t>
        </is>
      </c>
      <c r="H2848" s="16" t="inlineStr">
        <is>
          <t>busqueda</t>
        </is>
      </c>
      <c r="I2848" s="16" t="inlineStr">
        <is>
          <t>CORREGIBLE</t>
        </is>
      </c>
      <c r="J2848" s="16" t="inlineStr">
        <is>
          <t>CORREGIBLE</t>
        </is>
      </c>
      <c r="K2848" s="16" t="b">
        <v>1</v>
      </c>
      <c r="L2848" s="16" t="b">
        <v>0</v>
      </c>
      <c r="M2848" s="16" t="b">
        <v>0</v>
      </c>
      <c r="N2848" s="16" t="b">
        <v>0</v>
      </c>
      <c r="O2848" s="16" t="n">
        <v>403</v>
      </c>
      <c r="P2848" s="16" t="n">
        <v>300.032917</v>
      </c>
      <c r="Q2848" s="16" t="n">
        <v>3000</v>
      </c>
      <c r="R2848" s="16" t="n">
        <v>400</v>
      </c>
      <c r="S2848" s="16" t="n">
        <v>0.535</v>
      </c>
      <c r="T2848" s="16" t="n">
        <v>0.85</v>
      </c>
      <c r="U2848" s="16" t="n">
        <v>0.75</v>
      </c>
      <c r="V2848" s="16" t="n">
        <v>0.85</v>
      </c>
      <c r="W2848" s="16" t="n">
        <v>0.8599999999999999</v>
      </c>
      <c r="X2848" s="16" t="n">
        <v>0.95</v>
      </c>
      <c r="Y2848" s="16" t="n">
        <v>300.032917</v>
      </c>
      <c r="Z2848" s="16" t="n">
        <v>12.51799690849024</v>
      </c>
      <c r="AA2848" s="16" t="n">
        <v>46.40333589300896</v>
      </c>
      <c r="AB2848" s="16" t="n">
        <v>2600</v>
      </c>
      <c r="AC2848" s="16" t="n">
        <v>7.5</v>
      </c>
      <c r="AD2848" s="16" t="inlineStr">
        <is>
          <t>O2</t>
        </is>
      </c>
      <c r="AE2848" s="16" t="n"/>
    </row>
    <row r="2849">
      <c r="A2849" s="16" t="inlineStr">
        <is>
          <t>KF-M07-A4-0028</t>
        </is>
      </c>
      <c r="B2849" s="16" t="inlineStr">
        <is>
          <t>5.1</t>
        </is>
      </c>
      <c r="C2849" s="16" t="inlineStr">
        <is>
          <t>5.1d</t>
        </is>
      </c>
      <c r="D2849" s="16" t="inlineStr">
        <is>
          <t>conserva sus presiones y su clima</t>
        </is>
      </c>
      <c r="E2849" s="16" t="inlineStr">
        <is>
          <t>KF-M07</t>
        </is>
      </c>
      <c r="F2849" s="16" t="inlineStr">
        <is>
          <t>KF-M07-A4</t>
        </is>
      </c>
      <c r="G2849" s="16" t="inlineStr">
        <is>
          <t>B11-A4</t>
        </is>
      </c>
      <c r="H2849" s="16" t="inlineStr">
        <is>
          <t>busqueda</t>
        </is>
      </c>
      <c r="I2849" s="16" t="inlineStr">
        <is>
          <t>KALINA</t>
        </is>
      </c>
      <c r="J2849" s="16" t="inlineStr">
        <is>
          <t>KALINA</t>
        </is>
      </c>
      <c r="K2849" s="16" t="b">
        <v>1</v>
      </c>
      <c r="L2849" s="16" t="b">
        <v>1</v>
      </c>
      <c r="M2849" s="16" t="b">
        <v>0</v>
      </c>
      <c r="N2849" s="16" t="b">
        <v>0</v>
      </c>
      <c r="O2849" s="16" t="n">
        <v>403</v>
      </c>
      <c r="P2849" s="16" t="n">
        <v>300.032917</v>
      </c>
      <c r="Q2849" s="16" t="n">
        <v>3000</v>
      </c>
      <c r="R2849" s="16" t="n">
        <v>400</v>
      </c>
      <c r="S2849" s="16" t="n">
        <v>0.5</v>
      </c>
      <c r="T2849" s="16" t="n">
        <v>0.905</v>
      </c>
      <c r="U2849" s="16" t="n">
        <v>0.75</v>
      </c>
      <c r="V2849" s="16" t="n">
        <v>0.85</v>
      </c>
      <c r="W2849" s="16" t="n">
        <v>0.8599999999999999</v>
      </c>
      <c r="X2849" s="16" t="n">
        <v>0.95</v>
      </c>
      <c r="Y2849" s="16" t="n">
        <v>300.032917</v>
      </c>
      <c r="Z2849" s="16" t="n">
        <v>11.87071211368471</v>
      </c>
      <c r="AA2849" s="16" t="n">
        <v>33.99648698731216</v>
      </c>
      <c r="AB2849" s="16" t="n">
        <v>2600</v>
      </c>
      <c r="AC2849" s="16" t="n">
        <v>7.5</v>
      </c>
      <c r="AD2849" s="16" t="n"/>
      <c r="AE2849" s="16" t="n"/>
    </row>
    <row r="2850">
      <c r="A2850" s="16" t="inlineStr">
        <is>
          <t>KF-M07-A4-0029</t>
        </is>
      </c>
      <c r="B2850" s="16" t="inlineStr">
        <is>
          <t>5.1</t>
        </is>
      </c>
      <c r="C2850" s="16" t="inlineStr">
        <is>
          <t>5.1d</t>
        </is>
      </c>
      <c r="D2850" s="16" t="inlineStr">
        <is>
          <t>conserva sus presiones y su clima</t>
        </is>
      </c>
      <c r="E2850" s="16" t="inlineStr">
        <is>
          <t>KF-M07</t>
        </is>
      </c>
      <c r="F2850" s="16" t="inlineStr">
        <is>
          <t>KF-M07-A4</t>
        </is>
      </c>
      <c r="G2850" s="16" t="inlineStr">
        <is>
          <t>B11-A4</t>
        </is>
      </c>
      <c r="H2850" s="16" t="inlineStr">
        <is>
          <t>busqueda</t>
        </is>
      </c>
      <c r="I2850" s="16" t="inlineStr">
        <is>
          <t>KALINA</t>
        </is>
      </c>
      <c r="J2850" s="16" t="inlineStr">
        <is>
          <t>KALINA</t>
        </is>
      </c>
      <c r="K2850" s="16" t="b">
        <v>1</v>
      </c>
      <c r="L2850" s="16" t="b">
        <v>1</v>
      </c>
      <c r="M2850" s="16" t="b">
        <v>0</v>
      </c>
      <c r="N2850" s="16" t="b">
        <v>0</v>
      </c>
      <c r="O2850" s="16" t="n">
        <v>403</v>
      </c>
      <c r="P2850" s="16" t="n">
        <v>300.032917</v>
      </c>
      <c r="Q2850" s="16" t="n">
        <v>3000</v>
      </c>
      <c r="R2850" s="16" t="n">
        <v>400</v>
      </c>
      <c r="S2850" s="16" t="n">
        <v>0.5</v>
      </c>
      <c r="T2850" s="16" t="n">
        <v>0.795</v>
      </c>
      <c r="U2850" s="16" t="n">
        <v>0.75</v>
      </c>
      <c r="V2850" s="16" t="n">
        <v>0.85</v>
      </c>
      <c r="W2850" s="16" t="n">
        <v>0.8599999999999999</v>
      </c>
      <c r="X2850" s="16" t="n">
        <v>0.95</v>
      </c>
      <c r="Y2850" s="16" t="n">
        <v>300.032917</v>
      </c>
      <c r="Z2850" s="16" t="n">
        <v>10.25062958683342</v>
      </c>
      <c r="AA2850" s="16" t="n">
        <v>29.3509709878204</v>
      </c>
      <c r="AB2850" s="16" t="n">
        <v>2600</v>
      </c>
      <c r="AC2850" s="16" t="n">
        <v>7.5</v>
      </c>
      <c r="AD2850" s="16" t="n"/>
      <c r="AE2850" s="16" t="n"/>
    </row>
    <row r="2851">
      <c r="A2851" s="16" t="inlineStr">
        <is>
          <t>KF-M07-A4-0030</t>
        </is>
      </c>
      <c r="B2851" s="16" t="inlineStr">
        <is>
          <t>5.1</t>
        </is>
      </c>
      <c r="C2851" s="16" t="inlineStr">
        <is>
          <t>5.1d</t>
        </is>
      </c>
      <c r="D2851" s="16" t="inlineStr">
        <is>
          <t>conserva sus presiones y su clima</t>
        </is>
      </c>
      <c r="E2851" s="16" t="inlineStr">
        <is>
          <t>KF-M07</t>
        </is>
      </c>
      <c r="F2851" s="16" t="inlineStr">
        <is>
          <t>KF-M07-A4</t>
        </is>
      </c>
      <c r="G2851" s="16" t="inlineStr">
        <is>
          <t>B11-A4</t>
        </is>
      </c>
      <c r="H2851" s="16" t="inlineStr">
        <is>
          <t>busqueda</t>
        </is>
      </c>
      <c r="I2851" s="16" t="inlineStr">
        <is>
          <t>KALINA</t>
        </is>
      </c>
      <c r="J2851" s="16" t="inlineStr">
        <is>
          <t>KALINA</t>
        </is>
      </c>
      <c r="K2851" s="16" t="b">
        <v>1</v>
      </c>
      <c r="L2851" s="16" t="b">
        <v>1</v>
      </c>
      <c r="M2851" s="16" t="b">
        <v>0</v>
      </c>
      <c r="N2851" s="16" t="b">
        <v>0</v>
      </c>
      <c r="O2851" s="16" t="n">
        <v>403</v>
      </c>
      <c r="P2851" s="16" t="n">
        <v>300.032917</v>
      </c>
      <c r="Q2851" s="16" t="n">
        <v>3000</v>
      </c>
      <c r="R2851" s="16" t="n">
        <v>400</v>
      </c>
      <c r="S2851" s="16" t="n">
        <v>0.5</v>
      </c>
      <c r="T2851" s="16" t="n">
        <v>0.85</v>
      </c>
      <c r="U2851" s="16" t="n">
        <v>0.8049999999999999</v>
      </c>
      <c r="V2851" s="16" t="n">
        <v>0.85</v>
      </c>
      <c r="W2851" s="16" t="n">
        <v>0.8599999999999999</v>
      </c>
      <c r="X2851" s="16" t="n">
        <v>0.95</v>
      </c>
      <c r="Y2851" s="16" t="n">
        <v>300.032917</v>
      </c>
      <c r="Z2851" s="16" t="n">
        <v>11.15837965932493</v>
      </c>
      <c r="AA2851" s="16" t="n">
        <v>31.96110744047982</v>
      </c>
      <c r="AB2851" s="16" t="n">
        <v>2600</v>
      </c>
      <c r="AC2851" s="16" t="n">
        <v>7.5</v>
      </c>
      <c r="AD2851" s="16" t="n"/>
      <c r="AE2851" s="16" t="n"/>
    </row>
    <row r="2852">
      <c r="A2852" s="16" t="inlineStr">
        <is>
          <t>KF-M07-A4-0031</t>
        </is>
      </c>
      <c r="B2852" s="16" t="inlineStr">
        <is>
          <t>5.1</t>
        </is>
      </c>
      <c r="C2852" s="16" t="inlineStr">
        <is>
          <t>5.1d</t>
        </is>
      </c>
      <c r="D2852" s="16" t="inlineStr">
        <is>
          <t>conserva sus presiones y su clima</t>
        </is>
      </c>
      <c r="E2852" s="16" t="inlineStr">
        <is>
          <t>KF-M07</t>
        </is>
      </c>
      <c r="F2852" s="16" t="inlineStr">
        <is>
          <t>KF-M07-A4</t>
        </is>
      </c>
      <c r="G2852" s="16" t="inlineStr">
        <is>
          <t>B11-A4</t>
        </is>
      </c>
      <c r="H2852" s="16" t="inlineStr">
        <is>
          <t>busqueda</t>
        </is>
      </c>
      <c r="I2852" s="16" t="inlineStr">
        <is>
          <t>KALINA</t>
        </is>
      </c>
      <c r="J2852" s="16" t="inlineStr">
        <is>
          <t>KALINA</t>
        </is>
      </c>
      <c r="K2852" s="16" t="b">
        <v>1</v>
      </c>
      <c r="L2852" s="16" t="b">
        <v>1</v>
      </c>
      <c r="M2852" s="16" t="b">
        <v>0</v>
      </c>
      <c r="N2852" s="16" t="b">
        <v>0</v>
      </c>
      <c r="O2852" s="16" t="n">
        <v>403</v>
      </c>
      <c r="P2852" s="16" t="n">
        <v>300.032917</v>
      </c>
      <c r="Q2852" s="16" t="n">
        <v>3000</v>
      </c>
      <c r="R2852" s="16" t="n">
        <v>400</v>
      </c>
      <c r="S2852" s="16" t="n">
        <v>0.5</v>
      </c>
      <c r="T2852" s="16" t="n">
        <v>0.85</v>
      </c>
      <c r="U2852" s="16" t="n">
        <v>0.6950000000000001</v>
      </c>
      <c r="V2852" s="16" t="n">
        <v>0.85</v>
      </c>
      <c r="W2852" s="16" t="n">
        <v>0.8599999999999999</v>
      </c>
      <c r="X2852" s="16" t="n">
        <v>0.95</v>
      </c>
      <c r="Y2852" s="16" t="n">
        <v>300.032917</v>
      </c>
      <c r="Z2852" s="16" t="n">
        <v>10.9476463230969</v>
      </c>
      <c r="AA2852" s="16" t="n">
        <v>31.34097170942162</v>
      </c>
      <c r="AB2852" s="16" t="n">
        <v>2600</v>
      </c>
      <c r="AC2852" s="16" t="n">
        <v>7.5</v>
      </c>
      <c r="AD2852" s="16" t="n"/>
      <c r="AE2852" s="16" t="n"/>
    </row>
    <row r="2853">
      <c r="A2853" s="16" t="inlineStr">
        <is>
          <t>KF-M07-A4-0032</t>
        </is>
      </c>
      <c r="B2853" s="16" t="inlineStr">
        <is>
          <t>5.1</t>
        </is>
      </c>
      <c r="C2853" s="16" t="inlineStr">
        <is>
          <t>5.1d</t>
        </is>
      </c>
      <c r="D2853" s="16" t="inlineStr">
        <is>
          <t>conserva sus presiones y su clima</t>
        </is>
      </c>
      <c r="E2853" s="16" t="inlineStr">
        <is>
          <t>KF-M07</t>
        </is>
      </c>
      <c r="F2853" s="16" t="inlineStr">
        <is>
          <t>KF-M07-A4</t>
        </is>
      </c>
      <c r="G2853" s="16" t="inlineStr">
        <is>
          <t>B11-A4</t>
        </is>
      </c>
      <c r="H2853" s="16" t="inlineStr">
        <is>
          <t>busqueda</t>
        </is>
      </c>
      <c r="I2853" s="16" t="inlineStr">
        <is>
          <t>KALINA</t>
        </is>
      </c>
      <c r="J2853" s="16" t="inlineStr">
        <is>
          <t>KALINA</t>
        </is>
      </c>
      <c r="K2853" s="16" t="b">
        <v>1</v>
      </c>
      <c r="L2853" s="16" t="b">
        <v>1</v>
      </c>
      <c r="M2853" s="16" t="b">
        <v>0</v>
      </c>
      <c r="N2853" s="16" t="b">
        <v>0</v>
      </c>
      <c r="O2853" s="16" t="n">
        <v>403</v>
      </c>
      <c r="P2853" s="16" t="n">
        <v>300.032917</v>
      </c>
      <c r="Q2853" s="16" t="n">
        <v>3000</v>
      </c>
      <c r="R2853" s="16" t="n">
        <v>400</v>
      </c>
      <c r="S2853" s="16" t="n">
        <v>0.5</v>
      </c>
      <c r="T2853" s="16" t="n">
        <v>0.85</v>
      </c>
      <c r="U2853" s="16" t="n">
        <v>0.75</v>
      </c>
      <c r="V2853" s="16" t="n">
        <v>0.905</v>
      </c>
      <c r="W2853" s="16" t="n">
        <v>0.8599999999999999</v>
      </c>
      <c r="X2853" s="16" t="n">
        <v>0.95</v>
      </c>
      <c r="Y2853" s="16" t="n">
        <v>300.032917</v>
      </c>
      <c r="Z2853" s="16" t="n">
        <v>11.33416017137542</v>
      </c>
      <c r="AA2853" s="16" t="n">
        <v>34.54804630174058</v>
      </c>
      <c r="AB2853" s="16" t="n">
        <v>2600</v>
      </c>
      <c r="AC2853" s="16" t="n">
        <v>7.5</v>
      </c>
      <c r="AD2853" s="16" t="n"/>
      <c r="AE2853" s="16" t="n"/>
    </row>
    <row r="2854">
      <c r="A2854" s="16" t="inlineStr">
        <is>
          <t>KF-M07-A4-0033</t>
        </is>
      </c>
      <c r="B2854" s="16" t="inlineStr">
        <is>
          <t>5.1</t>
        </is>
      </c>
      <c r="C2854" s="16" t="inlineStr">
        <is>
          <t>5.1d</t>
        </is>
      </c>
      <c r="D2854" s="16" t="inlineStr">
        <is>
          <t>conserva sus presiones y su clima</t>
        </is>
      </c>
      <c r="E2854" s="16" t="inlineStr">
        <is>
          <t>KF-M07</t>
        </is>
      </c>
      <c r="F2854" s="16" t="inlineStr">
        <is>
          <t>KF-M07-A4</t>
        </is>
      </c>
      <c r="G2854" s="16" t="inlineStr">
        <is>
          <t>B11-A4</t>
        </is>
      </c>
      <c r="H2854" s="16" t="inlineStr">
        <is>
          <t>busqueda</t>
        </is>
      </c>
      <c r="I2854" s="16" t="inlineStr">
        <is>
          <t>KALINA</t>
        </is>
      </c>
      <c r="J2854" s="16" t="inlineStr">
        <is>
          <t>KALINA</t>
        </is>
      </c>
      <c r="K2854" s="16" t="b">
        <v>1</v>
      </c>
      <c r="L2854" s="16" t="b">
        <v>1</v>
      </c>
      <c r="M2854" s="16" t="b">
        <v>0</v>
      </c>
      <c r="N2854" s="16" t="b">
        <v>0</v>
      </c>
      <c r="O2854" s="16" t="n">
        <v>403</v>
      </c>
      <c r="P2854" s="16" t="n">
        <v>300.032917</v>
      </c>
      <c r="Q2854" s="16" t="n">
        <v>3000</v>
      </c>
      <c r="R2854" s="16" t="n">
        <v>400</v>
      </c>
      <c r="S2854" s="16" t="n">
        <v>0.5</v>
      </c>
      <c r="T2854" s="16" t="n">
        <v>0.85</v>
      </c>
      <c r="U2854" s="16" t="n">
        <v>0.75</v>
      </c>
      <c r="V2854" s="16" t="n">
        <v>0.795</v>
      </c>
      <c r="W2854" s="16" t="n">
        <v>0.8599999999999999</v>
      </c>
      <c r="X2854" s="16" t="n">
        <v>0.95</v>
      </c>
      <c r="Y2854" s="16" t="n">
        <v>300.032917</v>
      </c>
      <c r="Z2854" s="16" t="n">
        <v>10.74788509154604</v>
      </c>
      <c r="AA2854" s="16" t="n">
        <v>28.79491596975809</v>
      </c>
      <c r="AB2854" s="16" t="n">
        <v>2600</v>
      </c>
      <c r="AC2854" s="16" t="n">
        <v>7.5</v>
      </c>
      <c r="AD2854" s="16" t="n"/>
      <c r="AE2854" s="16" t="n"/>
    </row>
    <row r="2855">
      <c r="A2855" s="16" t="inlineStr">
        <is>
          <t>KF-M07-A4-0034</t>
        </is>
      </c>
      <c r="B2855" s="16" t="inlineStr">
        <is>
          <t>5.1</t>
        </is>
      </c>
      <c r="C2855" s="16" t="inlineStr">
        <is>
          <t>5.1d</t>
        </is>
      </c>
      <c r="D2855" s="16" t="inlineStr">
        <is>
          <t>conserva sus presiones y su clima</t>
        </is>
      </c>
      <c r="E2855" s="16" t="inlineStr">
        <is>
          <t>KF-M07</t>
        </is>
      </c>
      <c r="F2855" s="16" t="inlineStr">
        <is>
          <t>KF-M07-A4</t>
        </is>
      </c>
      <c r="G2855" s="16" t="inlineStr">
        <is>
          <t>B11-A4</t>
        </is>
      </c>
      <c r="H2855" s="16" t="inlineStr">
        <is>
          <t>busqueda</t>
        </is>
      </c>
      <c r="I2855" s="16" t="inlineStr">
        <is>
          <t>KALINA</t>
        </is>
      </c>
      <c r="J2855" s="16" t="inlineStr">
        <is>
          <t>KALINA</t>
        </is>
      </c>
      <c r="K2855" s="16" t="b">
        <v>1</v>
      </c>
      <c r="L2855" s="16" t="b">
        <v>1</v>
      </c>
      <c r="M2855" s="16" t="b">
        <v>0</v>
      </c>
      <c r="N2855" s="16" t="b">
        <v>0</v>
      </c>
      <c r="O2855" s="16" t="n">
        <v>403</v>
      </c>
      <c r="P2855" s="16" t="n">
        <v>300.032917</v>
      </c>
      <c r="Q2855" s="16" t="n">
        <v>3000</v>
      </c>
      <c r="R2855" s="16" t="n">
        <v>400</v>
      </c>
      <c r="S2855" s="16" t="n">
        <v>0.5</v>
      </c>
      <c r="T2855" s="16" t="n">
        <v>0.85</v>
      </c>
      <c r="U2855" s="16" t="n">
        <v>0.75</v>
      </c>
      <c r="V2855" s="16" t="n">
        <v>0.85</v>
      </c>
      <c r="W2855" s="16" t="n">
        <v>0.915</v>
      </c>
      <c r="X2855" s="16" t="n">
        <v>0.95</v>
      </c>
      <c r="Y2855" s="16" t="n">
        <v>300.032917</v>
      </c>
      <c r="Z2855" s="16" t="n">
        <v>12.00289687214687</v>
      </c>
      <c r="AA2855" s="16" t="n">
        <v>32.17575792808989</v>
      </c>
      <c r="AB2855" s="16" t="n">
        <v>2600</v>
      </c>
      <c r="AC2855" s="16" t="n">
        <v>7.5</v>
      </c>
      <c r="AD2855" s="16" t="n"/>
      <c r="AE2855" s="16" t="n"/>
    </row>
    <row r="2856">
      <c r="A2856" s="16" t="inlineStr">
        <is>
          <t>KF-M07-A4-0035</t>
        </is>
      </c>
      <c r="B2856" s="16" t="inlineStr">
        <is>
          <t>5.1</t>
        </is>
      </c>
      <c r="C2856" s="16" t="inlineStr">
        <is>
          <t>5.1d</t>
        </is>
      </c>
      <c r="D2856" s="16" t="inlineStr">
        <is>
          <t>conserva sus presiones y su clima</t>
        </is>
      </c>
      <c r="E2856" s="16" t="inlineStr">
        <is>
          <t>KF-M07</t>
        </is>
      </c>
      <c r="F2856" s="16" t="inlineStr">
        <is>
          <t>KF-M07-A4</t>
        </is>
      </c>
      <c r="G2856" s="16" t="inlineStr">
        <is>
          <t>B11-A4</t>
        </is>
      </c>
      <c r="H2856" s="16" t="inlineStr">
        <is>
          <t>busqueda</t>
        </is>
      </c>
      <c r="I2856" s="16" t="inlineStr">
        <is>
          <t>KALINA</t>
        </is>
      </c>
      <c r="J2856" s="16" t="inlineStr">
        <is>
          <t>KALINA</t>
        </is>
      </c>
      <c r="K2856" s="16" t="b">
        <v>1</v>
      </c>
      <c r="L2856" s="16" t="b">
        <v>1</v>
      </c>
      <c r="M2856" s="16" t="b">
        <v>0</v>
      </c>
      <c r="N2856" s="16" t="b">
        <v>0</v>
      </c>
      <c r="O2856" s="16" t="n">
        <v>403</v>
      </c>
      <c r="P2856" s="16" t="n">
        <v>300.032917</v>
      </c>
      <c r="Q2856" s="16" t="n">
        <v>3000</v>
      </c>
      <c r="R2856" s="16" t="n">
        <v>400</v>
      </c>
      <c r="S2856" s="16" t="n">
        <v>0.5</v>
      </c>
      <c r="T2856" s="16" t="n">
        <v>0.85</v>
      </c>
      <c r="U2856" s="16" t="n">
        <v>0.75</v>
      </c>
      <c r="V2856" s="16" t="n">
        <v>0.85</v>
      </c>
      <c r="W2856" s="16" t="n">
        <v>0.8049999999999999</v>
      </c>
      <c r="X2856" s="16" t="n">
        <v>0.95</v>
      </c>
      <c r="Y2856" s="16" t="n">
        <v>300.032917</v>
      </c>
      <c r="Z2856" s="16" t="n">
        <v>10.23477468381743</v>
      </c>
      <c r="AA2856" s="16" t="n">
        <v>31.17365839722608</v>
      </c>
      <c r="AB2856" s="16" t="n">
        <v>2600</v>
      </c>
      <c r="AC2856" s="16" t="n">
        <v>7.5</v>
      </c>
      <c r="AD2856" s="16" t="n"/>
      <c r="AE2856" s="16" t="n"/>
    </row>
    <row r="2857">
      <c r="A2857" s="16" t="inlineStr">
        <is>
          <t>KF-M07-A4-0036</t>
        </is>
      </c>
      <c r="B2857" s="16" t="inlineStr">
        <is>
          <t>5.1</t>
        </is>
      </c>
      <c r="C2857" s="16" t="inlineStr">
        <is>
          <t>5.1d</t>
        </is>
      </c>
      <c r="D2857" s="16" t="inlineStr">
        <is>
          <t>conserva sus presiones y su clima</t>
        </is>
      </c>
      <c r="E2857" s="16" t="inlineStr">
        <is>
          <t>KF-M07</t>
        </is>
      </c>
      <c r="F2857" s="16" t="inlineStr">
        <is>
          <t>KF-M07-A4</t>
        </is>
      </c>
      <c r="G2857" s="16" t="inlineStr">
        <is>
          <t>B11-A4</t>
        </is>
      </c>
      <c r="H2857" s="16" t="inlineStr">
        <is>
          <t>busqueda</t>
        </is>
      </c>
      <c r="I2857" s="16" t="inlineStr">
        <is>
          <t>CORREGIBLE</t>
        </is>
      </c>
      <c r="J2857" s="16" t="inlineStr">
        <is>
          <t>CORREGIBLE</t>
        </is>
      </c>
      <c r="K2857" s="16" t="b">
        <v>1</v>
      </c>
      <c r="L2857" s="16" t="b">
        <v>0</v>
      </c>
      <c r="M2857" s="16" t="b">
        <v>0</v>
      </c>
      <c r="N2857" s="16" t="b">
        <v>0</v>
      </c>
      <c r="O2857" s="16" t="n">
        <v>403</v>
      </c>
      <c r="P2857" s="16" t="n">
        <v>300.032917</v>
      </c>
      <c r="Q2857" s="16" t="n">
        <v>3000</v>
      </c>
      <c r="R2857" s="16" t="n">
        <v>400</v>
      </c>
      <c r="S2857" s="16" t="n">
        <v>0.5</v>
      </c>
      <c r="T2857" s="16" t="n">
        <v>0.85</v>
      </c>
      <c r="U2857" s="16" t="n">
        <v>0.75</v>
      </c>
      <c r="V2857" s="16" t="n">
        <v>0.85</v>
      </c>
      <c r="W2857" s="16" t="n">
        <v>0.8599999999999999</v>
      </c>
      <c r="X2857" s="16" t="n">
        <v>0.895</v>
      </c>
      <c r="Y2857" s="16" t="n">
        <v>300.032917</v>
      </c>
      <c r="Z2857" s="16" t="n">
        <v>11.22758165517693</v>
      </c>
      <c r="AA2857" s="16" t="n">
        <v>31.73137647701122</v>
      </c>
      <c r="AB2857" s="16" t="n">
        <v>2600</v>
      </c>
      <c r="AC2857" s="16" t="n">
        <v>7.5</v>
      </c>
      <c r="AD2857" s="16" t="inlineStr">
        <is>
          <t>O2</t>
        </is>
      </c>
      <c r="AE2857" s="16" t="n"/>
    </row>
    <row r="2858">
      <c r="A2858" s="16" t="inlineStr">
        <is>
          <t>KF-M07-A4-0037</t>
        </is>
      </c>
      <c r="B2858" s="16" t="inlineStr">
        <is>
          <t>5.1</t>
        </is>
      </c>
      <c r="C2858" s="16" t="inlineStr">
        <is>
          <t>5.1d</t>
        </is>
      </c>
      <c r="D2858" s="16" t="inlineStr">
        <is>
          <t>conserva sus presiones y su clima</t>
        </is>
      </c>
      <c r="E2858" s="16" t="inlineStr">
        <is>
          <t>KF-M07</t>
        </is>
      </c>
      <c r="F2858" s="16" t="inlineStr">
        <is>
          <t>KF-M07-A4</t>
        </is>
      </c>
      <c r="G2858" s="16" t="inlineStr">
        <is>
          <t>B11-A4</t>
        </is>
      </c>
      <c r="H2858" s="16" t="inlineStr">
        <is>
          <t>busqueda</t>
        </is>
      </c>
      <c r="I2858" s="16" t="inlineStr">
        <is>
          <t>CORREGIBLE</t>
        </is>
      </c>
      <c r="J2858" s="16" t="inlineStr">
        <is>
          <t>CORREGIBLE</t>
        </is>
      </c>
      <c r="K2858" s="16" t="b">
        <v>1</v>
      </c>
      <c r="L2858" s="16" t="b">
        <v>0</v>
      </c>
      <c r="M2858" s="16" t="b">
        <v>1</v>
      </c>
      <c r="N2858" s="16" t="b">
        <v>0</v>
      </c>
      <c r="O2858" s="16" t="n">
        <v>427</v>
      </c>
      <c r="P2858" s="16" t="n">
        <v>300.032917</v>
      </c>
      <c r="Q2858" s="16" t="n">
        <v>3000</v>
      </c>
      <c r="R2858" s="16" t="n">
        <v>400</v>
      </c>
      <c r="S2858" s="16" t="n">
        <v>0.5</v>
      </c>
      <c r="T2858" s="16" t="n">
        <v>0.85</v>
      </c>
      <c r="U2858" s="16" t="n">
        <v>0.75</v>
      </c>
      <c r="V2858" s="16" t="n">
        <v>0.85</v>
      </c>
      <c r="W2858" s="16" t="n">
        <v>0.8599999999999999</v>
      </c>
      <c r="X2858" s="16" t="n">
        <v>0.95</v>
      </c>
      <c r="Y2858" s="16" t="n">
        <v>300.032917</v>
      </c>
      <c r="Z2858" s="16" t="n">
        <v>13.21749643403334</v>
      </c>
      <c r="AA2858" s="16" t="n">
        <v>79.21513535356489</v>
      </c>
      <c r="AB2858" s="16" t="n">
        <v>2600</v>
      </c>
      <c r="AC2858" s="16" t="n">
        <v>7.5</v>
      </c>
      <c r="AD2858" s="16" t="inlineStr">
        <is>
          <t>O2</t>
        </is>
      </c>
      <c r="AE2858" s="16" t="n"/>
    </row>
    <row r="2859">
      <c r="A2859" s="16" t="inlineStr">
        <is>
          <t>KF-M07-A4-0038</t>
        </is>
      </c>
      <c r="B2859" s="16" t="inlineStr">
        <is>
          <t>5.1</t>
        </is>
      </c>
      <c r="C2859" s="16" t="inlineStr">
        <is>
          <t>5.1d</t>
        </is>
      </c>
      <c r="D2859" s="16" t="inlineStr">
        <is>
          <t>conserva sus presiones y su clima</t>
        </is>
      </c>
      <c r="E2859" s="16" t="inlineStr">
        <is>
          <t>KF-M07</t>
        </is>
      </c>
      <c r="F2859" s="16" t="inlineStr">
        <is>
          <t>KF-M07-A4</t>
        </is>
      </c>
      <c r="G2859" s="16" t="inlineStr">
        <is>
          <t>B11-A4</t>
        </is>
      </c>
      <c r="H2859" s="16" t="inlineStr">
        <is>
          <t>busqueda</t>
        </is>
      </c>
      <c r="I2859" s="16" t="inlineStr">
        <is>
          <t>KALINA</t>
        </is>
      </c>
      <c r="J2859" s="16" t="inlineStr">
        <is>
          <t>KALINA</t>
        </is>
      </c>
      <c r="K2859" s="16" t="b">
        <v>1</v>
      </c>
      <c r="L2859" s="16" t="b">
        <v>1</v>
      </c>
      <c r="M2859" s="16" t="b">
        <v>0</v>
      </c>
      <c r="N2859" s="16" t="b">
        <v>0</v>
      </c>
      <c r="O2859" s="16" t="n">
        <v>403</v>
      </c>
      <c r="P2859" s="16" t="n">
        <v>300.032917</v>
      </c>
      <c r="Q2859" s="16" t="n">
        <v>3000</v>
      </c>
      <c r="R2859" s="16" t="n">
        <v>400</v>
      </c>
      <c r="S2859" s="16" t="n">
        <v>0.5</v>
      </c>
      <c r="T2859" s="16" t="n">
        <v>0.85</v>
      </c>
      <c r="U2859" s="16" t="n">
        <v>0.75</v>
      </c>
      <c r="V2859" s="16" t="n">
        <v>0.85</v>
      </c>
      <c r="W2859" s="16" t="n">
        <v>0.8599999999999999</v>
      </c>
      <c r="X2859" s="16" t="n">
        <v>0.95</v>
      </c>
      <c r="Y2859" s="16" t="n">
        <v>300.032917</v>
      </c>
      <c r="Z2859" s="16" t="n">
        <v>11.06076777930363</v>
      </c>
      <c r="AA2859" s="16" t="n">
        <v>31.67377880902511</v>
      </c>
      <c r="AB2859" s="16" t="n">
        <v>2600</v>
      </c>
      <c r="AC2859" s="16" t="n">
        <v>7.5</v>
      </c>
      <c r="AD2859" s="16" t="n"/>
      <c r="AE2859" s="16" t="n"/>
    </row>
    <row r="2860">
      <c r="A2860" s="16" t="inlineStr">
        <is>
          <t>KF-M07-A4-0039</t>
        </is>
      </c>
      <c r="B2860" s="16" t="inlineStr">
        <is>
          <t>5.1</t>
        </is>
      </c>
      <c r="C2860" s="16" t="inlineStr">
        <is>
          <t>5.1d</t>
        </is>
      </c>
      <c r="D2860" s="16" t="inlineStr">
        <is>
          <t>conserva sus presiones y su clima</t>
        </is>
      </c>
      <c r="E2860" s="16" t="inlineStr">
        <is>
          <t>KF-M07</t>
        </is>
      </c>
      <c r="F2860" s="16" t="inlineStr">
        <is>
          <t>KF-M07-A4</t>
        </is>
      </c>
      <c r="G2860" s="16" t="inlineStr">
        <is>
          <t>B11-A4</t>
        </is>
      </c>
      <c r="H2860" s="16" t="inlineStr">
        <is>
          <t>busqueda</t>
        </is>
      </c>
      <c r="I2860" s="16" t="inlineStr">
        <is>
          <t>CORREGIBLE</t>
        </is>
      </c>
      <c r="J2860" s="16" t="inlineStr">
        <is>
          <t>CORREGIBLE</t>
        </is>
      </c>
      <c r="K2860" s="16" t="b">
        <v>1</v>
      </c>
      <c r="L2860" s="16" t="b">
        <v>0</v>
      </c>
      <c r="M2860" s="16" t="b">
        <v>0</v>
      </c>
      <c r="N2860" s="16" t="b">
        <v>0</v>
      </c>
      <c r="O2860" s="16" t="n">
        <v>415</v>
      </c>
      <c r="P2860" s="16" t="n">
        <v>300.032917</v>
      </c>
      <c r="Q2860" s="16" t="n">
        <v>3000</v>
      </c>
      <c r="R2860" s="16" t="n">
        <v>400</v>
      </c>
      <c r="S2860" s="16" t="n">
        <v>0.535</v>
      </c>
      <c r="T2860" s="16" t="n">
        <v>0.85</v>
      </c>
      <c r="U2860" s="16" t="n">
        <v>0.75</v>
      </c>
      <c r="V2860" s="16" t="n">
        <v>0.85</v>
      </c>
      <c r="W2860" s="16" t="n">
        <v>0.8599999999999999</v>
      </c>
      <c r="X2860" s="16" t="n">
        <v>0.95</v>
      </c>
      <c r="Y2860" s="16" t="n">
        <v>300.032917</v>
      </c>
      <c r="Z2860" s="16" t="n">
        <v>13.40914024851076</v>
      </c>
      <c r="AA2860" s="16" t="n">
        <v>69.70168038657384</v>
      </c>
      <c r="AB2860" s="16" t="n">
        <v>2600</v>
      </c>
      <c r="AC2860" s="16" t="n">
        <v>7.5</v>
      </c>
      <c r="AD2860" s="16" t="inlineStr">
        <is>
          <t>O2</t>
        </is>
      </c>
      <c r="AE2860" s="16" t="n"/>
    </row>
    <row r="2861">
      <c r="A2861" s="16" t="inlineStr">
        <is>
          <t>KF-M07-A4-0040</t>
        </is>
      </c>
      <c r="B2861" s="16" t="inlineStr">
        <is>
          <t>5.1</t>
        </is>
      </c>
      <c r="C2861" s="16" t="inlineStr">
        <is>
          <t>5.1d</t>
        </is>
      </c>
      <c r="D2861" s="16" t="inlineStr">
        <is>
          <t>conserva sus presiones y su clima</t>
        </is>
      </c>
      <c r="E2861" s="16" t="inlineStr">
        <is>
          <t>KF-M07</t>
        </is>
      </c>
      <c r="F2861" s="16" t="inlineStr">
        <is>
          <t>KF-M07-A4</t>
        </is>
      </c>
      <c r="G2861" s="16" t="inlineStr">
        <is>
          <t>B11-A4</t>
        </is>
      </c>
      <c r="H2861" s="16" t="inlineStr">
        <is>
          <t>busqueda</t>
        </is>
      </c>
      <c r="I2861" s="16" t="inlineStr">
        <is>
          <t>KALINA</t>
        </is>
      </c>
      <c r="J2861" s="16" t="inlineStr">
        <is>
          <t>KALINA</t>
        </is>
      </c>
      <c r="K2861" s="16" t="b">
        <v>1</v>
      </c>
      <c r="L2861" s="16" t="b">
        <v>1</v>
      </c>
      <c r="M2861" s="16" t="b">
        <v>0</v>
      </c>
      <c r="N2861" s="16" t="b">
        <v>0</v>
      </c>
      <c r="O2861" s="16" t="n">
        <v>415</v>
      </c>
      <c r="P2861" s="16" t="n">
        <v>300.032917</v>
      </c>
      <c r="Q2861" s="16" t="n">
        <v>3000</v>
      </c>
      <c r="R2861" s="16" t="n">
        <v>400</v>
      </c>
      <c r="S2861" s="16" t="n">
        <v>0.5</v>
      </c>
      <c r="T2861" s="16" t="n">
        <v>0.905</v>
      </c>
      <c r="U2861" s="16" t="n">
        <v>0.75</v>
      </c>
      <c r="V2861" s="16" t="n">
        <v>0.85</v>
      </c>
      <c r="W2861" s="16" t="n">
        <v>0.8599999999999999</v>
      </c>
      <c r="X2861" s="16" t="n">
        <v>0.95</v>
      </c>
      <c r="Y2861" s="16" t="n">
        <v>300.032917</v>
      </c>
      <c r="Z2861" s="16" t="n">
        <v>13.44452955200616</v>
      </c>
      <c r="AA2861" s="16" t="n">
        <v>58.81552889605027</v>
      </c>
      <c r="AB2861" s="16" t="n">
        <v>2600</v>
      </c>
      <c r="AC2861" s="16" t="n">
        <v>7.5</v>
      </c>
      <c r="AD2861" s="16" t="n"/>
      <c r="AE2861" s="16" t="n"/>
    </row>
    <row r="2862">
      <c r="A2862" s="16" t="inlineStr">
        <is>
          <t>KF-M07-A4-0041</t>
        </is>
      </c>
      <c r="B2862" s="16" t="inlineStr">
        <is>
          <t>5.1</t>
        </is>
      </c>
      <c r="C2862" s="16" t="inlineStr">
        <is>
          <t>5.1d</t>
        </is>
      </c>
      <c r="D2862" s="16" t="inlineStr">
        <is>
          <t>conserva sus presiones y su clima</t>
        </is>
      </c>
      <c r="E2862" s="16" t="inlineStr">
        <is>
          <t>KF-M07</t>
        </is>
      </c>
      <c r="F2862" s="16" t="inlineStr">
        <is>
          <t>KF-M07-A4</t>
        </is>
      </c>
      <c r="G2862" s="16" t="inlineStr">
        <is>
          <t>B11-A4</t>
        </is>
      </c>
      <c r="H2862" s="16" t="inlineStr">
        <is>
          <t>busqueda</t>
        </is>
      </c>
      <c r="I2862" s="16" t="inlineStr">
        <is>
          <t>KALINA</t>
        </is>
      </c>
      <c r="J2862" s="16" t="inlineStr">
        <is>
          <t>KALINA</t>
        </is>
      </c>
      <c r="K2862" s="16" t="b">
        <v>1</v>
      </c>
      <c r="L2862" s="16" t="b">
        <v>1</v>
      </c>
      <c r="M2862" s="16" t="b">
        <v>0</v>
      </c>
      <c r="N2862" s="16" t="b">
        <v>0</v>
      </c>
      <c r="O2862" s="16" t="n">
        <v>415</v>
      </c>
      <c r="P2862" s="16" t="n">
        <v>300.032917</v>
      </c>
      <c r="Q2862" s="16" t="n">
        <v>3000</v>
      </c>
      <c r="R2862" s="16" t="n">
        <v>400</v>
      </c>
      <c r="S2862" s="16" t="n">
        <v>0.5</v>
      </c>
      <c r="T2862" s="16" t="n">
        <v>0.795</v>
      </c>
      <c r="U2862" s="16" t="n">
        <v>0.75</v>
      </c>
      <c r="V2862" s="16" t="n">
        <v>0.85</v>
      </c>
      <c r="W2862" s="16" t="n">
        <v>0.8599999999999999</v>
      </c>
      <c r="X2862" s="16" t="n">
        <v>0.95</v>
      </c>
      <c r="Y2862" s="16" t="n">
        <v>300.032917</v>
      </c>
      <c r="Z2862" s="16" t="n">
        <v>11.6963385067949</v>
      </c>
      <c r="AA2862" s="16" t="n">
        <v>51.15388174719254</v>
      </c>
      <c r="AB2862" s="16" t="n">
        <v>2600</v>
      </c>
      <c r="AC2862" s="16" t="n">
        <v>7.5</v>
      </c>
      <c r="AD2862" s="16" t="n"/>
      <c r="AE2862" s="16" t="n"/>
    </row>
    <row r="2863">
      <c r="A2863" s="16" t="inlineStr">
        <is>
          <t>KF-M07-A4-0042</t>
        </is>
      </c>
      <c r="B2863" s="16" t="inlineStr">
        <is>
          <t>5.1</t>
        </is>
      </c>
      <c r="C2863" s="16" t="inlineStr">
        <is>
          <t>5.1d</t>
        </is>
      </c>
      <c r="D2863" s="16" t="inlineStr">
        <is>
          <t>conserva sus presiones y su clima</t>
        </is>
      </c>
      <c r="E2863" s="16" t="inlineStr">
        <is>
          <t>KF-M07</t>
        </is>
      </c>
      <c r="F2863" s="16" t="inlineStr">
        <is>
          <t>KF-M07-A4</t>
        </is>
      </c>
      <c r="G2863" s="16" t="inlineStr">
        <is>
          <t>B11-A4</t>
        </is>
      </c>
      <c r="H2863" s="16" t="inlineStr">
        <is>
          <t>busqueda</t>
        </is>
      </c>
      <c r="I2863" s="16" t="inlineStr">
        <is>
          <t>KALINA</t>
        </is>
      </c>
      <c r="J2863" s="16" t="inlineStr">
        <is>
          <t>KALINA</t>
        </is>
      </c>
      <c r="K2863" s="16" t="b">
        <v>1</v>
      </c>
      <c r="L2863" s="16" t="b">
        <v>1</v>
      </c>
      <c r="M2863" s="16" t="b">
        <v>0</v>
      </c>
      <c r="N2863" s="16" t="b">
        <v>0</v>
      </c>
      <c r="O2863" s="16" t="n">
        <v>415</v>
      </c>
      <c r="P2863" s="16" t="n">
        <v>300.032917</v>
      </c>
      <c r="Q2863" s="16" t="n">
        <v>3000</v>
      </c>
      <c r="R2863" s="16" t="n">
        <v>400</v>
      </c>
      <c r="S2863" s="16" t="n">
        <v>0.5</v>
      </c>
      <c r="T2863" s="16" t="n">
        <v>0.85</v>
      </c>
      <c r="U2863" s="16" t="n">
        <v>0.8049999999999999</v>
      </c>
      <c r="V2863" s="16" t="n">
        <v>0.85</v>
      </c>
      <c r="W2863" s="16" t="n">
        <v>0.8599999999999999</v>
      </c>
      <c r="X2863" s="16" t="n">
        <v>0.95</v>
      </c>
      <c r="Y2863" s="16" t="n">
        <v>300.032917</v>
      </c>
      <c r="Z2863" s="16" t="n">
        <v>12.63367152062305</v>
      </c>
      <c r="AA2863" s="16" t="n">
        <v>55.27210674837835</v>
      </c>
      <c r="AB2863" s="16" t="n">
        <v>2600</v>
      </c>
      <c r="AC2863" s="16" t="n">
        <v>7.5</v>
      </c>
      <c r="AD2863" s="16" t="n"/>
      <c r="AE2863" s="16" t="n"/>
    </row>
    <row r="2864">
      <c r="A2864" s="16" t="inlineStr">
        <is>
          <t>KF-M07-A4-0043</t>
        </is>
      </c>
      <c r="B2864" s="16" t="inlineStr">
        <is>
          <t>5.1</t>
        </is>
      </c>
      <c r="C2864" s="16" t="inlineStr">
        <is>
          <t>5.1d</t>
        </is>
      </c>
      <c r="D2864" s="16" t="inlineStr">
        <is>
          <t>conserva sus presiones y su clima</t>
        </is>
      </c>
      <c r="E2864" s="16" t="inlineStr">
        <is>
          <t>KF-M07</t>
        </is>
      </c>
      <c r="F2864" s="16" t="inlineStr">
        <is>
          <t>KF-M07-A4</t>
        </is>
      </c>
      <c r="G2864" s="16" t="inlineStr">
        <is>
          <t>B11-A4</t>
        </is>
      </c>
      <c r="H2864" s="16" t="inlineStr">
        <is>
          <t>busqueda</t>
        </is>
      </c>
      <c r="I2864" s="16" t="inlineStr">
        <is>
          <t>KALINA</t>
        </is>
      </c>
      <c r="J2864" s="16" t="inlineStr">
        <is>
          <t>KALINA</t>
        </is>
      </c>
      <c r="K2864" s="16" t="b">
        <v>1</v>
      </c>
      <c r="L2864" s="16" t="b">
        <v>1</v>
      </c>
      <c r="M2864" s="16" t="b">
        <v>0</v>
      </c>
      <c r="N2864" s="16" t="b">
        <v>0</v>
      </c>
      <c r="O2864" s="16" t="n">
        <v>415</v>
      </c>
      <c r="P2864" s="16" t="n">
        <v>300.032917</v>
      </c>
      <c r="Q2864" s="16" t="n">
        <v>3000</v>
      </c>
      <c r="R2864" s="16" t="n">
        <v>400</v>
      </c>
      <c r="S2864" s="16" t="n">
        <v>0.5</v>
      </c>
      <c r="T2864" s="16" t="n">
        <v>0.85</v>
      </c>
      <c r="U2864" s="16" t="n">
        <v>0.6950000000000001</v>
      </c>
      <c r="V2864" s="16" t="n">
        <v>0.85</v>
      </c>
      <c r="W2864" s="16" t="n">
        <v>0.8599999999999999</v>
      </c>
      <c r="X2864" s="16" t="n">
        <v>0.95</v>
      </c>
      <c r="Y2864" s="16" t="n">
        <v>300.032917</v>
      </c>
      <c r="Z2864" s="16" t="n">
        <v>12.49746210350944</v>
      </c>
      <c r="AA2864" s="16" t="n">
        <v>54.65203908457352</v>
      </c>
      <c r="AB2864" s="16" t="n">
        <v>2600</v>
      </c>
      <c r="AC2864" s="16" t="n">
        <v>7.5</v>
      </c>
      <c r="AD2864" s="16" t="n"/>
      <c r="AE2864" s="16" t="n"/>
    </row>
    <row r="2865">
      <c r="A2865" s="16" t="inlineStr">
        <is>
          <t>KF-M07-A4-0044</t>
        </is>
      </c>
      <c r="B2865" s="16" t="inlineStr">
        <is>
          <t>5.1</t>
        </is>
      </c>
      <c r="C2865" s="16" t="inlineStr">
        <is>
          <t>5.1d</t>
        </is>
      </c>
      <c r="D2865" s="16" t="inlineStr">
        <is>
          <t>conserva sus presiones y su clima</t>
        </is>
      </c>
      <c r="E2865" s="16" t="inlineStr">
        <is>
          <t>KF-M07</t>
        </is>
      </c>
      <c r="F2865" s="16" t="inlineStr">
        <is>
          <t>KF-M07-A4</t>
        </is>
      </c>
      <c r="G2865" s="16" t="inlineStr">
        <is>
          <t>B11-A4</t>
        </is>
      </c>
      <c r="H2865" s="16" t="inlineStr">
        <is>
          <t>busqueda</t>
        </is>
      </c>
      <c r="I2865" s="16" t="inlineStr">
        <is>
          <t>CORREGIBLE</t>
        </is>
      </c>
      <c r="J2865" s="16" t="inlineStr">
        <is>
          <t>CORREGIBLE</t>
        </is>
      </c>
      <c r="K2865" s="16" t="b">
        <v>1</v>
      </c>
      <c r="L2865" s="16" t="b">
        <v>0</v>
      </c>
      <c r="M2865" s="16" t="b">
        <v>0</v>
      </c>
      <c r="N2865" s="16" t="b">
        <v>0</v>
      </c>
      <c r="O2865" s="16" t="n">
        <v>415</v>
      </c>
      <c r="P2865" s="16" t="n">
        <v>300.032917</v>
      </c>
      <c r="Q2865" s="16" t="n">
        <v>3000</v>
      </c>
      <c r="R2865" s="16" t="n">
        <v>400</v>
      </c>
      <c r="S2865" s="16" t="n">
        <v>0.5</v>
      </c>
      <c r="T2865" s="16" t="n">
        <v>0.85</v>
      </c>
      <c r="U2865" s="16" t="n">
        <v>0.75</v>
      </c>
      <c r="V2865" s="16" t="n">
        <v>0.905</v>
      </c>
      <c r="W2865" s="16" t="n">
        <v>0.8599999999999999</v>
      </c>
      <c r="X2865" s="16" t="n">
        <v>0.95</v>
      </c>
      <c r="Y2865" s="16" t="n">
        <v>300.032917</v>
      </c>
      <c r="Z2865" s="16" t="n">
        <v>12.73159950562657</v>
      </c>
      <c r="AA2865" s="16" t="n">
        <v>59.33577505419487</v>
      </c>
      <c r="AB2865" s="16" t="n">
        <v>2600</v>
      </c>
      <c r="AC2865" s="16" t="n">
        <v>7.5</v>
      </c>
      <c r="AD2865" s="16" t="inlineStr">
        <is>
          <t>O2</t>
        </is>
      </c>
      <c r="AE2865" s="16" t="n"/>
    </row>
    <row r="2866">
      <c r="A2866" s="16" t="inlineStr">
        <is>
          <t>KF-M07-A4-0045</t>
        </is>
      </c>
      <c r="B2866" s="16" t="inlineStr">
        <is>
          <t>5.1</t>
        </is>
      </c>
      <c r="C2866" s="16" t="inlineStr">
        <is>
          <t>5.1d</t>
        </is>
      </c>
      <c r="D2866" s="16" t="inlineStr">
        <is>
          <t>conserva sus presiones y su clima</t>
        </is>
      </c>
      <c r="E2866" s="16" t="inlineStr">
        <is>
          <t>KF-M07</t>
        </is>
      </c>
      <c r="F2866" s="16" t="inlineStr">
        <is>
          <t>KF-M07-A4</t>
        </is>
      </c>
      <c r="G2866" s="16" t="inlineStr">
        <is>
          <t>B11-A4</t>
        </is>
      </c>
      <c r="H2866" s="16" t="inlineStr">
        <is>
          <t>busqueda</t>
        </is>
      </c>
      <c r="I2866" s="16" t="inlineStr">
        <is>
          <t>KALINA</t>
        </is>
      </c>
      <c r="J2866" s="16" t="inlineStr">
        <is>
          <t>KALINA</t>
        </is>
      </c>
      <c r="K2866" s="16" t="b">
        <v>1</v>
      </c>
      <c r="L2866" s="16" t="b">
        <v>1</v>
      </c>
      <c r="M2866" s="16" t="b">
        <v>0</v>
      </c>
      <c r="N2866" s="16" t="b">
        <v>0</v>
      </c>
      <c r="O2866" s="16" t="n">
        <v>415</v>
      </c>
      <c r="P2866" s="16" t="n">
        <v>300.032917</v>
      </c>
      <c r="Q2866" s="16" t="n">
        <v>3000</v>
      </c>
      <c r="R2866" s="16" t="n">
        <v>400</v>
      </c>
      <c r="S2866" s="16" t="n">
        <v>0.5</v>
      </c>
      <c r="T2866" s="16" t="n">
        <v>0.85</v>
      </c>
      <c r="U2866" s="16" t="n">
        <v>0.75</v>
      </c>
      <c r="V2866" s="16" t="n">
        <v>0.795</v>
      </c>
      <c r="W2866" s="16" t="n">
        <v>0.8599999999999999</v>
      </c>
      <c r="X2866" s="16" t="n">
        <v>0.95</v>
      </c>
      <c r="Y2866" s="16" t="n">
        <v>300.032917</v>
      </c>
      <c r="Z2866" s="16" t="n">
        <v>12.38193136329266</v>
      </c>
      <c r="AA2866" s="16" t="n">
        <v>50.6311470600285</v>
      </c>
      <c r="AB2866" s="16" t="n">
        <v>2600</v>
      </c>
      <c r="AC2866" s="16" t="n">
        <v>7.5</v>
      </c>
      <c r="AD2866" s="16" t="n"/>
      <c r="AE2866" s="16" t="n"/>
    </row>
    <row r="2867">
      <c r="A2867" s="16" t="inlineStr">
        <is>
          <t>KF-M07-A4-0046</t>
        </is>
      </c>
      <c r="B2867" s="16" t="inlineStr">
        <is>
          <t>5.1</t>
        </is>
      </c>
      <c r="C2867" s="16" t="inlineStr">
        <is>
          <t>5.1d</t>
        </is>
      </c>
      <c r="D2867" s="16" t="inlineStr">
        <is>
          <t>conserva sus presiones y su clima</t>
        </is>
      </c>
      <c r="E2867" s="16" t="inlineStr">
        <is>
          <t>KF-M07</t>
        </is>
      </c>
      <c r="F2867" s="16" t="inlineStr">
        <is>
          <t>KF-M07-A4</t>
        </is>
      </c>
      <c r="G2867" s="16" t="inlineStr">
        <is>
          <t>B11-A4</t>
        </is>
      </c>
      <c r="H2867" s="16" t="inlineStr">
        <is>
          <t>busqueda</t>
        </is>
      </c>
      <c r="I2867" s="16" t="inlineStr">
        <is>
          <t>KALINA</t>
        </is>
      </c>
      <c r="J2867" s="16" t="inlineStr">
        <is>
          <t>KALINA</t>
        </is>
      </c>
      <c r="K2867" s="16" t="b">
        <v>1</v>
      </c>
      <c r="L2867" s="16" t="b">
        <v>1</v>
      </c>
      <c r="M2867" s="16" t="b">
        <v>0</v>
      </c>
      <c r="N2867" s="16" t="b">
        <v>0</v>
      </c>
      <c r="O2867" s="16" t="n">
        <v>415</v>
      </c>
      <c r="P2867" s="16" t="n">
        <v>300.032917</v>
      </c>
      <c r="Q2867" s="16" t="n">
        <v>3000</v>
      </c>
      <c r="R2867" s="16" t="n">
        <v>400</v>
      </c>
      <c r="S2867" s="16" t="n">
        <v>0.5</v>
      </c>
      <c r="T2867" s="16" t="n">
        <v>0.85</v>
      </c>
      <c r="U2867" s="16" t="n">
        <v>0.75</v>
      </c>
      <c r="V2867" s="16" t="n">
        <v>0.85</v>
      </c>
      <c r="W2867" s="16" t="n">
        <v>0.915</v>
      </c>
      <c r="X2867" s="16" t="n">
        <v>0.95</v>
      </c>
      <c r="Y2867" s="16" t="n">
        <v>300.032917</v>
      </c>
      <c r="Z2867" s="16" t="n">
        <v>13.21933711698698</v>
      </c>
      <c r="AA2867" s="16" t="n">
        <v>55.46968315283303</v>
      </c>
      <c r="AB2867" s="16" t="n">
        <v>2600</v>
      </c>
      <c r="AC2867" s="16" t="n">
        <v>7.5</v>
      </c>
      <c r="AD2867" s="16" t="n"/>
      <c r="AE2867" s="16" t="n"/>
    </row>
    <row r="2868">
      <c r="A2868" s="16" t="inlineStr">
        <is>
          <t>KF-M07-A4-0047</t>
        </is>
      </c>
      <c r="B2868" s="16" t="inlineStr">
        <is>
          <t>5.1</t>
        </is>
      </c>
      <c r="C2868" s="16" t="inlineStr">
        <is>
          <t>5.1d</t>
        </is>
      </c>
      <c r="D2868" s="16" t="inlineStr">
        <is>
          <t>conserva sus presiones y su clima</t>
        </is>
      </c>
      <c r="E2868" s="16" t="inlineStr">
        <is>
          <t>KF-M07</t>
        </is>
      </c>
      <c r="F2868" s="16" t="inlineStr">
        <is>
          <t>KF-M07-A4</t>
        </is>
      </c>
      <c r="G2868" s="16" t="inlineStr">
        <is>
          <t>B11-A4</t>
        </is>
      </c>
      <c r="H2868" s="16" t="inlineStr">
        <is>
          <t>busqueda</t>
        </is>
      </c>
      <c r="I2868" s="16" t="inlineStr">
        <is>
          <t>CORREGIBLE</t>
        </is>
      </c>
      <c r="J2868" s="16" t="inlineStr">
        <is>
          <t>CORREGIBLE</t>
        </is>
      </c>
      <c r="K2868" s="16" t="b">
        <v>1</v>
      </c>
      <c r="L2868" s="16" t="b">
        <v>0</v>
      </c>
      <c r="M2868" s="16" t="b">
        <v>0</v>
      </c>
      <c r="N2868" s="16" t="b">
        <v>0</v>
      </c>
      <c r="O2868" s="16" t="n">
        <v>415</v>
      </c>
      <c r="P2868" s="16" t="n">
        <v>300.032917</v>
      </c>
      <c r="Q2868" s="16" t="n">
        <v>3000</v>
      </c>
      <c r="R2868" s="16" t="n">
        <v>400</v>
      </c>
      <c r="S2868" s="16" t="n">
        <v>0.5</v>
      </c>
      <c r="T2868" s="16" t="n">
        <v>0.85</v>
      </c>
      <c r="U2868" s="16" t="n">
        <v>0.75</v>
      </c>
      <c r="V2868" s="16" t="n">
        <v>0.85</v>
      </c>
      <c r="W2868" s="16" t="n">
        <v>0.8049999999999999</v>
      </c>
      <c r="X2868" s="16" t="n">
        <v>0.95</v>
      </c>
      <c r="Y2868" s="16" t="n">
        <v>300.032917</v>
      </c>
      <c r="Z2868" s="16" t="n">
        <v>11.97424653780448</v>
      </c>
      <c r="AA2868" s="16" t="n">
        <v>54.50130912555221</v>
      </c>
      <c r="AB2868" s="16" t="n">
        <v>2600</v>
      </c>
      <c r="AC2868" s="16" t="n">
        <v>7.5</v>
      </c>
      <c r="AD2868" s="16" t="inlineStr">
        <is>
          <t>O2</t>
        </is>
      </c>
      <c r="AE2868" s="16" t="n"/>
    </row>
    <row r="2869">
      <c r="A2869" s="16" t="inlineStr">
        <is>
          <t>KF-M07-A4-0048</t>
        </is>
      </c>
      <c r="B2869" s="16" t="inlineStr">
        <is>
          <t>5.1</t>
        </is>
      </c>
      <c r="C2869" s="16" t="inlineStr">
        <is>
          <t>5.1d</t>
        </is>
      </c>
      <c r="D2869" s="16" t="inlineStr">
        <is>
          <t>conserva sus presiones y su clima</t>
        </is>
      </c>
      <c r="E2869" s="16" t="inlineStr">
        <is>
          <t>KF-M07</t>
        </is>
      </c>
      <c r="F2869" s="16" t="inlineStr">
        <is>
          <t>KF-M07-A4</t>
        </is>
      </c>
      <c r="G2869" s="16" t="inlineStr">
        <is>
          <t>B11-A4</t>
        </is>
      </c>
      <c r="H2869" s="16" t="inlineStr">
        <is>
          <t>busqueda</t>
        </is>
      </c>
      <c r="I2869" s="16" t="inlineStr">
        <is>
          <t>CORREGIBLE</t>
        </is>
      </c>
      <c r="J2869" s="16" t="inlineStr">
        <is>
          <t>CORREGIBLE</t>
        </is>
      </c>
      <c r="K2869" s="16" t="b">
        <v>1</v>
      </c>
      <c r="L2869" s="16" t="b">
        <v>0</v>
      </c>
      <c r="M2869" s="16" t="b">
        <v>0</v>
      </c>
      <c r="N2869" s="16" t="b">
        <v>0</v>
      </c>
      <c r="O2869" s="16" t="n">
        <v>415</v>
      </c>
      <c r="P2869" s="16" t="n">
        <v>300.032917</v>
      </c>
      <c r="Q2869" s="16" t="n">
        <v>3000</v>
      </c>
      <c r="R2869" s="16" t="n">
        <v>400</v>
      </c>
      <c r="S2869" s="16" t="n">
        <v>0.5</v>
      </c>
      <c r="T2869" s="16" t="n">
        <v>0.85</v>
      </c>
      <c r="U2869" s="16" t="n">
        <v>0.75</v>
      </c>
      <c r="V2869" s="16" t="n">
        <v>0.85</v>
      </c>
      <c r="W2869" s="16" t="n">
        <v>0.8599999999999999</v>
      </c>
      <c r="X2869" s="16" t="n">
        <v>0.895</v>
      </c>
      <c r="Y2869" s="16" t="n">
        <v>300.032917</v>
      </c>
      <c r="Z2869" s="16" t="n">
        <v>12.77321220285821</v>
      </c>
      <c r="AA2869" s="16" t="n">
        <v>54.95110348893471</v>
      </c>
      <c r="AB2869" s="16" t="n">
        <v>2600</v>
      </c>
      <c r="AC2869" s="16" t="n">
        <v>7.5</v>
      </c>
      <c r="AD2869" s="16" t="inlineStr">
        <is>
          <t>O2</t>
        </is>
      </c>
      <c r="AE2869" s="16" t="n"/>
    </row>
    <row r="2870">
      <c r="A2870" s="16" t="inlineStr">
        <is>
          <t>KF-M07-A4-0049</t>
        </is>
      </c>
      <c r="B2870" s="16" t="inlineStr">
        <is>
          <t>5.1</t>
        </is>
      </c>
      <c r="C2870" s="16" t="inlineStr">
        <is>
          <t>5.1d</t>
        </is>
      </c>
      <c r="D2870" s="16" t="inlineStr">
        <is>
          <t>conserva sus presiones y su clima</t>
        </is>
      </c>
      <c r="E2870" s="16" t="inlineStr">
        <is>
          <t>KF-M07</t>
        </is>
      </c>
      <c r="F2870" s="16" t="inlineStr">
        <is>
          <t>KF-M07-A4</t>
        </is>
      </c>
      <c r="G2870" s="16" t="inlineStr">
        <is>
          <t>B11-A4</t>
        </is>
      </c>
      <c r="H2870" s="16" t="inlineStr">
        <is>
          <t>busqueda</t>
        </is>
      </c>
      <c r="I2870" s="16" t="inlineStr">
        <is>
          <t>CORREGIBLE</t>
        </is>
      </c>
      <c r="J2870" s="16" t="inlineStr">
        <is>
          <t>CORREGIBLE</t>
        </is>
      </c>
      <c r="K2870" s="16" t="b">
        <v>1</v>
      </c>
      <c r="L2870" s="16" t="b">
        <v>0</v>
      </c>
      <c r="M2870" s="16" t="b">
        <v>1</v>
      </c>
      <c r="N2870" s="16" t="b">
        <v>0</v>
      </c>
      <c r="O2870" s="16" t="n">
        <v>427</v>
      </c>
      <c r="P2870" s="16" t="n">
        <v>300.032917</v>
      </c>
      <c r="Q2870" s="16" t="n">
        <v>3000</v>
      </c>
      <c r="R2870" s="16" t="n">
        <v>400</v>
      </c>
      <c r="S2870" s="16" t="n">
        <v>0.5</v>
      </c>
      <c r="T2870" s="16" t="n">
        <v>0.905</v>
      </c>
      <c r="U2870" s="16" t="n">
        <v>0.75</v>
      </c>
      <c r="V2870" s="16" t="n">
        <v>0.85</v>
      </c>
      <c r="W2870" s="16" t="n">
        <v>0.8599999999999999</v>
      </c>
      <c r="X2870" s="16" t="n">
        <v>0.95</v>
      </c>
      <c r="Y2870" s="16" t="n">
        <v>300.032917</v>
      </c>
      <c r="Z2870" s="16" t="n">
        <v>14.11619463150544</v>
      </c>
      <c r="AA2870" s="16" t="n">
        <v>84.61547064255568</v>
      </c>
      <c r="AB2870" s="16" t="n">
        <v>2600</v>
      </c>
      <c r="AC2870" s="16" t="n">
        <v>7.5</v>
      </c>
      <c r="AD2870" s="16" t="inlineStr">
        <is>
          <t>O2</t>
        </is>
      </c>
      <c r="AE2870" s="16" t="n"/>
    </row>
    <row r="2871">
      <c r="A2871" s="16" t="inlineStr">
        <is>
          <t>KF-M07-A4-0050</t>
        </is>
      </c>
      <c r="B2871" s="16" t="inlineStr">
        <is>
          <t>5.1</t>
        </is>
      </c>
      <c r="C2871" s="16" t="inlineStr">
        <is>
          <t>5.1d</t>
        </is>
      </c>
      <c r="D2871" s="16" t="inlineStr">
        <is>
          <t>conserva sus presiones y su clima</t>
        </is>
      </c>
      <c r="E2871" s="16" t="inlineStr">
        <is>
          <t>KF-M07</t>
        </is>
      </c>
      <c r="F2871" s="16" t="inlineStr">
        <is>
          <t>KF-M07-A4</t>
        </is>
      </c>
      <c r="G2871" s="16" t="inlineStr">
        <is>
          <t>B11-A4</t>
        </is>
      </c>
      <c r="H2871" s="16" t="inlineStr">
        <is>
          <t>busqueda</t>
        </is>
      </c>
      <c r="I2871" s="16" t="inlineStr">
        <is>
          <t>KALINA</t>
        </is>
      </c>
      <c r="J2871" s="16" t="inlineStr">
        <is>
          <t>KALINA</t>
        </is>
      </c>
      <c r="K2871" s="16" t="b">
        <v>1</v>
      </c>
      <c r="L2871" s="16" t="b">
        <v>1</v>
      </c>
      <c r="M2871" s="16" t="b">
        <v>0</v>
      </c>
      <c r="N2871" s="16" t="b">
        <v>0</v>
      </c>
      <c r="O2871" s="16" t="n">
        <v>403</v>
      </c>
      <c r="P2871" s="16" t="n">
        <v>300.032917</v>
      </c>
      <c r="Q2871" s="16" t="n">
        <v>3000</v>
      </c>
      <c r="R2871" s="16" t="n">
        <v>400</v>
      </c>
      <c r="S2871" s="16" t="n">
        <v>0.5</v>
      </c>
      <c r="T2871" s="16" t="n">
        <v>0.905</v>
      </c>
      <c r="U2871" s="16" t="n">
        <v>0.75</v>
      </c>
      <c r="V2871" s="16" t="n">
        <v>0.85</v>
      </c>
      <c r="W2871" s="16" t="n">
        <v>0.8599999999999999</v>
      </c>
      <c r="X2871" s="16" t="n">
        <v>0.95</v>
      </c>
      <c r="Y2871" s="16" t="n">
        <v>300.032917</v>
      </c>
      <c r="Z2871" s="16" t="n">
        <v>11.87071211366249</v>
      </c>
      <c r="AA2871" s="16" t="n">
        <v>33.99648698724853</v>
      </c>
      <c r="AB2871" s="16" t="n">
        <v>2600</v>
      </c>
      <c r="AC2871" s="16" t="n">
        <v>7.5</v>
      </c>
      <c r="AD2871" s="16" t="n"/>
      <c r="AE2871" s="16" t="n"/>
    </row>
    <row r="2872">
      <c r="A2872" s="16" t="inlineStr">
        <is>
          <t>KF-M07-A4-0051</t>
        </is>
      </c>
      <c r="B2872" s="16" t="inlineStr">
        <is>
          <t>5.1</t>
        </is>
      </c>
      <c r="C2872" s="16" t="inlineStr">
        <is>
          <t>5.1d</t>
        </is>
      </c>
      <c r="D2872" s="16" t="inlineStr">
        <is>
          <t>conserva sus presiones y su clima</t>
        </is>
      </c>
      <c r="E2872" s="16" t="inlineStr">
        <is>
          <t>KF-M07</t>
        </is>
      </c>
      <c r="F2872" s="16" t="inlineStr">
        <is>
          <t>KF-M07-A4</t>
        </is>
      </c>
      <c r="G2872" s="16" t="inlineStr">
        <is>
          <t>B11-A4</t>
        </is>
      </c>
      <c r="H2872" s="16" t="inlineStr">
        <is>
          <t>busqueda</t>
        </is>
      </c>
      <c r="I2872" s="16" t="inlineStr">
        <is>
          <t>CORREGIBLE</t>
        </is>
      </c>
      <c r="J2872" s="16" t="inlineStr">
        <is>
          <t>CORREGIBLE</t>
        </is>
      </c>
      <c r="K2872" s="16" t="b">
        <v>1</v>
      </c>
      <c r="L2872" s="16" t="b">
        <v>0</v>
      </c>
      <c r="M2872" s="16" t="b">
        <v>0</v>
      </c>
      <c r="N2872" s="16" t="b">
        <v>0</v>
      </c>
      <c r="O2872" s="16" t="n">
        <v>415</v>
      </c>
      <c r="P2872" s="16" t="n">
        <v>300.032917</v>
      </c>
      <c r="Q2872" s="16" t="n">
        <v>3000</v>
      </c>
      <c r="R2872" s="16" t="n">
        <v>400</v>
      </c>
      <c r="S2872" s="16" t="n">
        <v>0.535</v>
      </c>
      <c r="T2872" s="16" t="n">
        <v>0.905</v>
      </c>
      <c r="U2872" s="16" t="n">
        <v>0.75</v>
      </c>
      <c r="V2872" s="16" t="n">
        <v>0.85</v>
      </c>
      <c r="W2872" s="16" t="n">
        <v>0.8599999999999999</v>
      </c>
      <c r="X2872" s="16" t="n">
        <v>0.95</v>
      </c>
      <c r="Y2872" s="16" t="n">
        <v>300.032917</v>
      </c>
      <c r="Z2872" s="16" t="n">
        <v>14.33443724500837</v>
      </c>
      <c r="AA2872" s="16" t="n">
        <v>74.52397375878881</v>
      </c>
      <c r="AB2872" s="16" t="n">
        <v>2600</v>
      </c>
      <c r="AC2872" s="16" t="n">
        <v>7.5</v>
      </c>
      <c r="AD2872" s="16" t="inlineStr">
        <is>
          <t>O2</t>
        </is>
      </c>
      <c r="AE2872" s="16" t="n"/>
    </row>
    <row r="2873">
      <c r="A2873" s="16" t="inlineStr">
        <is>
          <t>KF-M07-A4-0052</t>
        </is>
      </c>
      <c r="B2873" s="16" t="inlineStr">
        <is>
          <t>5.1</t>
        </is>
      </c>
      <c r="C2873" s="16" t="inlineStr">
        <is>
          <t>5.1d</t>
        </is>
      </c>
      <c r="D2873" s="16" t="inlineStr">
        <is>
          <t>conserva sus presiones y su clima</t>
        </is>
      </c>
      <c r="E2873" s="16" t="inlineStr">
        <is>
          <t>KF-M07</t>
        </is>
      </c>
      <c r="F2873" s="16" t="inlineStr">
        <is>
          <t>KF-M07-A4</t>
        </is>
      </c>
      <c r="G2873" s="16" t="inlineStr">
        <is>
          <t>B11-A4</t>
        </is>
      </c>
      <c r="H2873" s="16" t="inlineStr">
        <is>
          <t>busqueda</t>
        </is>
      </c>
      <c r="I2873" s="16" t="inlineStr">
        <is>
          <t>KALINA</t>
        </is>
      </c>
      <c r="J2873" s="16" t="inlineStr">
        <is>
          <t>KALINA</t>
        </is>
      </c>
      <c r="K2873" s="16" t="b">
        <v>1</v>
      </c>
      <c r="L2873" s="16" t="b">
        <v>1</v>
      </c>
      <c r="M2873" s="16" t="b">
        <v>0</v>
      </c>
      <c r="N2873" s="16" t="b">
        <v>0</v>
      </c>
      <c r="O2873" s="16" t="n">
        <v>415</v>
      </c>
      <c r="P2873" s="16" t="n">
        <v>300.032917</v>
      </c>
      <c r="Q2873" s="16" t="n">
        <v>3000</v>
      </c>
      <c r="R2873" s="16" t="n">
        <v>400</v>
      </c>
      <c r="S2873" s="16" t="n">
        <v>0.5</v>
      </c>
      <c r="T2873" s="16" t="n">
        <v>0.95</v>
      </c>
      <c r="U2873" s="16" t="n">
        <v>0.75</v>
      </c>
      <c r="V2873" s="16" t="n">
        <v>0.85</v>
      </c>
      <c r="W2873" s="16" t="n">
        <v>0.8599999999999999</v>
      </c>
      <c r="X2873" s="16" t="n">
        <v>0.95</v>
      </c>
      <c r="Y2873" s="16" t="n">
        <v>300.032917</v>
      </c>
      <c r="Z2873" s="16" t="n">
        <v>14.15937069834813</v>
      </c>
      <c r="AA2873" s="16" t="n">
        <v>61.94959870263656</v>
      </c>
      <c r="AB2873" s="16" t="n">
        <v>2600</v>
      </c>
      <c r="AC2873" s="16" t="n">
        <v>7.5</v>
      </c>
      <c r="AD2873" s="16" t="n"/>
      <c r="AE2873" s="16" t="n"/>
    </row>
    <row r="2874">
      <c r="A2874" s="16" t="inlineStr">
        <is>
          <t>KF-M07-A4-0053</t>
        </is>
      </c>
      <c r="B2874" s="16" t="inlineStr">
        <is>
          <t>5.1</t>
        </is>
      </c>
      <c r="C2874" s="16" t="inlineStr">
        <is>
          <t>5.1d</t>
        </is>
      </c>
      <c r="D2874" s="16" t="inlineStr">
        <is>
          <t>conserva sus presiones y su clima</t>
        </is>
      </c>
      <c r="E2874" s="16" t="inlineStr">
        <is>
          <t>KF-M07</t>
        </is>
      </c>
      <c r="F2874" s="16" t="inlineStr">
        <is>
          <t>KF-M07-A4</t>
        </is>
      </c>
      <c r="G2874" s="16" t="inlineStr">
        <is>
          <t>B11-A4</t>
        </is>
      </c>
      <c r="H2874" s="16" t="inlineStr">
        <is>
          <t>busqueda</t>
        </is>
      </c>
      <c r="I2874" s="16" t="inlineStr">
        <is>
          <t>KALINA</t>
        </is>
      </c>
      <c r="J2874" s="16" t="inlineStr">
        <is>
          <t>KALINA</t>
        </is>
      </c>
      <c r="K2874" s="16" t="b">
        <v>1</v>
      </c>
      <c r="L2874" s="16" t="b">
        <v>1</v>
      </c>
      <c r="M2874" s="16" t="b">
        <v>0</v>
      </c>
      <c r="N2874" s="16" t="b">
        <v>0</v>
      </c>
      <c r="O2874" s="16" t="n">
        <v>415</v>
      </c>
      <c r="P2874" s="16" t="n">
        <v>300.032917</v>
      </c>
      <c r="Q2874" s="16" t="n">
        <v>3000</v>
      </c>
      <c r="R2874" s="16" t="n">
        <v>400</v>
      </c>
      <c r="S2874" s="16" t="n">
        <v>0.5</v>
      </c>
      <c r="T2874" s="16" t="n">
        <v>0.85</v>
      </c>
      <c r="U2874" s="16" t="n">
        <v>0.75</v>
      </c>
      <c r="V2874" s="16" t="n">
        <v>0.85</v>
      </c>
      <c r="W2874" s="16" t="n">
        <v>0.8599999999999999</v>
      </c>
      <c r="X2874" s="16" t="n">
        <v>0.95</v>
      </c>
      <c r="Y2874" s="16" t="n">
        <v>300.032917</v>
      </c>
      <c r="Z2874" s="16" t="n">
        <v>12.57057628767882</v>
      </c>
      <c r="AA2874" s="16" t="n">
        <v>54.98480958225588</v>
      </c>
      <c r="AB2874" s="16" t="n">
        <v>2600</v>
      </c>
      <c r="AC2874" s="16" t="n">
        <v>7.5</v>
      </c>
      <c r="AD2874" s="16" t="n"/>
      <c r="AE2874" s="16" t="n"/>
    </row>
    <row r="2875">
      <c r="A2875" s="16" t="inlineStr">
        <is>
          <t>KF-M07-A4-0054</t>
        </is>
      </c>
      <c r="B2875" s="16" t="inlineStr">
        <is>
          <t>5.1</t>
        </is>
      </c>
      <c r="C2875" s="16" t="inlineStr">
        <is>
          <t>5.1d</t>
        </is>
      </c>
      <c r="D2875" s="16" t="inlineStr">
        <is>
          <t>conserva sus presiones y su clima</t>
        </is>
      </c>
      <c r="E2875" s="16" t="inlineStr">
        <is>
          <t>KF-M07</t>
        </is>
      </c>
      <c r="F2875" s="16" t="inlineStr">
        <is>
          <t>KF-M07-A4</t>
        </is>
      </c>
      <c r="G2875" s="16" t="inlineStr">
        <is>
          <t>B11-A4</t>
        </is>
      </c>
      <c r="H2875" s="16" t="inlineStr">
        <is>
          <t>busqueda</t>
        </is>
      </c>
      <c r="I2875" s="16" t="inlineStr">
        <is>
          <t>KALINA</t>
        </is>
      </c>
      <c r="J2875" s="16" t="inlineStr">
        <is>
          <t>KALINA</t>
        </is>
      </c>
      <c r="K2875" s="16" t="b">
        <v>1</v>
      </c>
      <c r="L2875" s="16" t="b">
        <v>1</v>
      </c>
      <c r="M2875" s="16" t="b">
        <v>0</v>
      </c>
      <c r="N2875" s="16" t="b">
        <v>0</v>
      </c>
      <c r="O2875" s="16" t="n">
        <v>415</v>
      </c>
      <c r="P2875" s="16" t="n">
        <v>300.032917</v>
      </c>
      <c r="Q2875" s="16" t="n">
        <v>3000</v>
      </c>
      <c r="R2875" s="16" t="n">
        <v>400</v>
      </c>
      <c r="S2875" s="16" t="n">
        <v>0.5</v>
      </c>
      <c r="T2875" s="16" t="n">
        <v>0.905</v>
      </c>
      <c r="U2875" s="16" t="n">
        <v>0.8049999999999999</v>
      </c>
      <c r="V2875" s="16" t="n">
        <v>0.85</v>
      </c>
      <c r="W2875" s="16" t="n">
        <v>0.8599999999999999</v>
      </c>
      <c r="X2875" s="16" t="n">
        <v>0.95</v>
      </c>
      <c r="Y2875" s="16" t="n">
        <v>300.032917</v>
      </c>
      <c r="Z2875" s="16" t="n">
        <v>13.50739836334303</v>
      </c>
      <c r="AA2875" s="16" t="n">
        <v>59.10265429304312</v>
      </c>
      <c r="AB2875" s="16" t="n">
        <v>2600</v>
      </c>
      <c r="AC2875" s="16" t="n">
        <v>7.5</v>
      </c>
      <c r="AD2875" s="16" t="n"/>
      <c r="AE2875" s="16" t="n"/>
    </row>
    <row r="2876">
      <c r="A2876" s="16" t="inlineStr">
        <is>
          <t>KF-M07-A4-0055</t>
        </is>
      </c>
      <c r="B2876" s="16" t="inlineStr">
        <is>
          <t>5.1</t>
        </is>
      </c>
      <c r="C2876" s="16" t="inlineStr">
        <is>
          <t>5.1d</t>
        </is>
      </c>
      <c r="D2876" s="16" t="inlineStr">
        <is>
          <t>conserva sus presiones y su clima</t>
        </is>
      </c>
      <c r="E2876" s="16" t="inlineStr">
        <is>
          <t>KF-M07</t>
        </is>
      </c>
      <c r="F2876" s="16" t="inlineStr">
        <is>
          <t>KF-M07-A4</t>
        </is>
      </c>
      <c r="G2876" s="16" t="inlineStr">
        <is>
          <t>B11-A4</t>
        </is>
      </c>
      <c r="H2876" s="16" t="inlineStr">
        <is>
          <t>busqueda</t>
        </is>
      </c>
      <c r="I2876" s="16" t="inlineStr">
        <is>
          <t>KALINA</t>
        </is>
      </c>
      <c r="J2876" s="16" t="inlineStr">
        <is>
          <t>KALINA</t>
        </is>
      </c>
      <c r="K2876" s="16" t="b">
        <v>1</v>
      </c>
      <c r="L2876" s="16" t="b">
        <v>1</v>
      </c>
      <c r="M2876" s="16" t="b">
        <v>0</v>
      </c>
      <c r="N2876" s="16" t="b">
        <v>0</v>
      </c>
      <c r="O2876" s="16" t="n">
        <v>415</v>
      </c>
      <c r="P2876" s="16" t="n">
        <v>300.032917</v>
      </c>
      <c r="Q2876" s="16" t="n">
        <v>3000</v>
      </c>
      <c r="R2876" s="16" t="n">
        <v>400</v>
      </c>
      <c r="S2876" s="16" t="n">
        <v>0.5</v>
      </c>
      <c r="T2876" s="16" t="n">
        <v>0.905</v>
      </c>
      <c r="U2876" s="16" t="n">
        <v>0.6950000000000001</v>
      </c>
      <c r="V2876" s="16" t="n">
        <v>0.85</v>
      </c>
      <c r="W2876" s="16" t="n">
        <v>0.8599999999999999</v>
      </c>
      <c r="X2876" s="16" t="n">
        <v>0.95</v>
      </c>
      <c r="Y2876" s="16" t="n">
        <v>300.032917</v>
      </c>
      <c r="Z2876" s="16" t="n">
        <v>13.37167775465045</v>
      </c>
      <c r="AA2876" s="16" t="n">
        <v>58.48295735988681</v>
      </c>
      <c r="AB2876" s="16" t="n">
        <v>2600</v>
      </c>
      <c r="AC2876" s="16" t="n">
        <v>7.5</v>
      </c>
      <c r="AD2876" s="16" t="n"/>
      <c r="AE2876" s="16" t="n"/>
    </row>
    <row r="2877">
      <c r="A2877" s="16" t="inlineStr">
        <is>
          <t>KF-M07-A4-0056</t>
        </is>
      </c>
      <c r="B2877" s="16" t="inlineStr">
        <is>
          <t>5.1</t>
        </is>
      </c>
      <c r="C2877" s="16" t="inlineStr">
        <is>
          <t>5.1d</t>
        </is>
      </c>
      <c r="D2877" s="16" t="inlineStr">
        <is>
          <t>conserva sus presiones y su clima</t>
        </is>
      </c>
      <c r="E2877" s="16" t="inlineStr">
        <is>
          <t>KF-M07</t>
        </is>
      </c>
      <c r="F2877" s="16" t="inlineStr">
        <is>
          <t>KF-M07-A4</t>
        </is>
      </c>
      <c r="G2877" s="16" t="inlineStr">
        <is>
          <t>B11-A4</t>
        </is>
      </c>
      <c r="H2877" s="16" t="inlineStr">
        <is>
          <t>busqueda</t>
        </is>
      </c>
      <c r="I2877" s="16" t="inlineStr">
        <is>
          <t>CORREGIBLE</t>
        </is>
      </c>
      <c r="J2877" s="16" t="inlineStr">
        <is>
          <t>CORREGIBLE</t>
        </is>
      </c>
      <c r="K2877" s="16" t="b">
        <v>1</v>
      </c>
      <c r="L2877" s="16" t="b">
        <v>0</v>
      </c>
      <c r="M2877" s="16" t="b">
        <v>0</v>
      </c>
      <c r="N2877" s="16" t="b">
        <v>0</v>
      </c>
      <c r="O2877" s="16" t="n">
        <v>415</v>
      </c>
      <c r="P2877" s="16" t="n">
        <v>300.032917</v>
      </c>
      <c r="Q2877" s="16" t="n">
        <v>3000</v>
      </c>
      <c r="R2877" s="16" t="n">
        <v>400</v>
      </c>
      <c r="S2877" s="16" t="n">
        <v>0.5</v>
      </c>
      <c r="T2877" s="16" t="n">
        <v>0.905</v>
      </c>
      <c r="U2877" s="16" t="n">
        <v>0.75</v>
      </c>
      <c r="V2877" s="16" t="n">
        <v>0.905</v>
      </c>
      <c r="W2877" s="16" t="n">
        <v>0.8599999999999999</v>
      </c>
      <c r="X2877" s="16" t="n">
        <v>0.95</v>
      </c>
      <c r="Y2877" s="16" t="n">
        <v>300.032917</v>
      </c>
      <c r="Z2877" s="16" t="n">
        <v>13.6120486113327</v>
      </c>
      <c r="AA2877" s="16" t="n">
        <v>63.4487044664955</v>
      </c>
      <c r="AB2877" s="16" t="n">
        <v>2600</v>
      </c>
      <c r="AC2877" s="16" t="n">
        <v>7.5</v>
      </c>
      <c r="AD2877" s="16" t="inlineStr">
        <is>
          <t>O2</t>
        </is>
      </c>
      <c r="AE2877" s="16" t="n"/>
    </row>
    <row r="2878">
      <c r="A2878" s="16" t="inlineStr">
        <is>
          <t>KF-M07-A4-0057</t>
        </is>
      </c>
      <c r="B2878" s="16" t="inlineStr">
        <is>
          <t>5.1</t>
        </is>
      </c>
      <c r="C2878" s="16" t="inlineStr">
        <is>
          <t>5.1d</t>
        </is>
      </c>
      <c r="D2878" s="16" t="inlineStr">
        <is>
          <t>conserva sus presiones y su clima</t>
        </is>
      </c>
      <c r="E2878" s="16" t="inlineStr">
        <is>
          <t>KF-M07</t>
        </is>
      </c>
      <c r="F2878" s="16" t="inlineStr">
        <is>
          <t>KF-M07-A4</t>
        </is>
      </c>
      <c r="G2878" s="16" t="inlineStr">
        <is>
          <t>B11-A4</t>
        </is>
      </c>
      <c r="H2878" s="16" t="inlineStr">
        <is>
          <t>busqueda</t>
        </is>
      </c>
      <c r="I2878" s="16" t="inlineStr">
        <is>
          <t>KALINA</t>
        </is>
      </c>
      <c r="J2878" s="16" t="inlineStr">
        <is>
          <t>KALINA</t>
        </is>
      </c>
      <c r="K2878" s="16" t="b">
        <v>1</v>
      </c>
      <c r="L2878" s="16" t="b">
        <v>1</v>
      </c>
      <c r="M2878" s="16" t="b">
        <v>0</v>
      </c>
      <c r="N2878" s="16" t="b">
        <v>0</v>
      </c>
      <c r="O2878" s="16" t="n">
        <v>415</v>
      </c>
      <c r="P2878" s="16" t="n">
        <v>300.032917</v>
      </c>
      <c r="Q2878" s="16" t="n">
        <v>3000</v>
      </c>
      <c r="R2878" s="16" t="n">
        <v>400</v>
      </c>
      <c r="S2878" s="16" t="n">
        <v>0.5</v>
      </c>
      <c r="T2878" s="16" t="n">
        <v>0.905</v>
      </c>
      <c r="U2878" s="16" t="n">
        <v>0.75</v>
      </c>
      <c r="V2878" s="16" t="n">
        <v>0.795</v>
      </c>
      <c r="W2878" s="16" t="n">
        <v>0.8599999999999999</v>
      </c>
      <c r="X2878" s="16" t="n">
        <v>0.95</v>
      </c>
      <c r="Y2878" s="16" t="n">
        <v>300.032917</v>
      </c>
      <c r="Z2878" s="16" t="n">
        <v>13.24813230911751</v>
      </c>
      <c r="AA2878" s="16" t="n">
        <v>54.17968164813972</v>
      </c>
      <c r="AB2878" s="16" t="n">
        <v>2600</v>
      </c>
      <c r="AC2878" s="16" t="n">
        <v>7.5</v>
      </c>
      <c r="AD2878" s="16" t="n"/>
      <c r="AE2878" s="16" t="n"/>
    </row>
    <row r="2879">
      <c r="A2879" s="16" t="inlineStr">
        <is>
          <t>KF-M07-A4-0058</t>
        </is>
      </c>
      <c r="B2879" s="16" t="inlineStr">
        <is>
          <t>5.1</t>
        </is>
      </c>
      <c r="C2879" s="16" t="inlineStr">
        <is>
          <t>5.1d</t>
        </is>
      </c>
      <c r="D2879" s="16" t="inlineStr">
        <is>
          <t>conserva sus presiones y su clima</t>
        </is>
      </c>
      <c r="E2879" s="16" t="inlineStr">
        <is>
          <t>KF-M07</t>
        </is>
      </c>
      <c r="F2879" s="16" t="inlineStr">
        <is>
          <t>KF-M07-A4</t>
        </is>
      </c>
      <c r="G2879" s="16" t="inlineStr">
        <is>
          <t>B11-A4</t>
        </is>
      </c>
      <c r="H2879" s="16" t="inlineStr">
        <is>
          <t>busqueda</t>
        </is>
      </c>
      <c r="I2879" s="16" t="inlineStr">
        <is>
          <t>KALINA</t>
        </is>
      </c>
      <c r="J2879" s="16" t="inlineStr">
        <is>
          <t>KALINA</t>
        </is>
      </c>
      <c r="K2879" s="16" t="b">
        <v>1</v>
      </c>
      <c r="L2879" s="16" t="b">
        <v>1</v>
      </c>
      <c r="M2879" s="16" t="b">
        <v>0</v>
      </c>
      <c r="N2879" s="16" t="b">
        <v>0</v>
      </c>
      <c r="O2879" s="16" t="n">
        <v>415</v>
      </c>
      <c r="P2879" s="16" t="n">
        <v>300.032917</v>
      </c>
      <c r="Q2879" s="16" t="n">
        <v>3000</v>
      </c>
      <c r="R2879" s="16" t="n">
        <v>400</v>
      </c>
      <c r="S2879" s="16" t="n">
        <v>0.5</v>
      </c>
      <c r="T2879" s="16" t="n">
        <v>0.905</v>
      </c>
      <c r="U2879" s="16" t="n">
        <v>0.75</v>
      </c>
      <c r="V2879" s="16" t="n">
        <v>0.85</v>
      </c>
      <c r="W2879" s="16" t="n">
        <v>0.915</v>
      </c>
      <c r="X2879" s="16" t="n">
        <v>0.95</v>
      </c>
      <c r="Y2879" s="16" t="n">
        <v>300.032917</v>
      </c>
      <c r="Z2879" s="16" t="n">
        <v>14.13797566721693</v>
      </c>
      <c r="AA2879" s="16" t="n">
        <v>59.33189212540989</v>
      </c>
      <c r="AB2879" s="16" t="n">
        <v>2600</v>
      </c>
      <c r="AC2879" s="16" t="n">
        <v>7.5</v>
      </c>
      <c r="AD2879" s="16" t="n"/>
      <c r="AE2879" s="16" t="n"/>
    </row>
    <row r="2880">
      <c r="A2880" s="16" t="inlineStr">
        <is>
          <t>KF-M07-A4-0059</t>
        </is>
      </c>
      <c r="B2880" s="16" t="inlineStr">
        <is>
          <t>5.1</t>
        </is>
      </c>
      <c r="C2880" s="16" t="inlineStr">
        <is>
          <t>5.1d</t>
        </is>
      </c>
      <c r="D2880" s="16" t="inlineStr">
        <is>
          <t>conserva sus presiones y su clima</t>
        </is>
      </c>
      <c r="E2880" s="16" t="inlineStr">
        <is>
          <t>KF-M07</t>
        </is>
      </c>
      <c r="F2880" s="16" t="inlineStr">
        <is>
          <t>KF-M07-A4</t>
        </is>
      </c>
      <c r="G2880" s="16" t="inlineStr">
        <is>
          <t>B11-A4</t>
        </is>
      </c>
      <c r="H2880" s="16" t="inlineStr">
        <is>
          <t>busqueda</t>
        </is>
      </c>
      <c r="I2880" s="16" t="inlineStr">
        <is>
          <t>KALINA</t>
        </is>
      </c>
      <c r="J2880" s="16" t="inlineStr">
        <is>
          <t>KALINA</t>
        </is>
      </c>
      <c r="K2880" s="16" t="b">
        <v>1</v>
      </c>
      <c r="L2880" s="16" t="b">
        <v>1</v>
      </c>
      <c r="M2880" s="16" t="b">
        <v>0</v>
      </c>
      <c r="N2880" s="16" t="b">
        <v>0</v>
      </c>
      <c r="O2880" s="16" t="n">
        <v>415</v>
      </c>
      <c r="P2880" s="16" t="n">
        <v>300.032917</v>
      </c>
      <c r="Q2880" s="16" t="n">
        <v>3000</v>
      </c>
      <c r="R2880" s="16" t="n">
        <v>400</v>
      </c>
      <c r="S2880" s="16" t="n">
        <v>0.5</v>
      </c>
      <c r="T2880" s="16" t="n">
        <v>0.905</v>
      </c>
      <c r="U2880" s="16" t="n">
        <v>0.75</v>
      </c>
      <c r="V2880" s="16" t="n">
        <v>0.85</v>
      </c>
      <c r="W2880" s="16" t="n">
        <v>0.8049999999999999</v>
      </c>
      <c r="X2880" s="16" t="n">
        <v>0.95</v>
      </c>
      <c r="Y2880" s="16" t="n">
        <v>300.032917</v>
      </c>
      <c r="Z2880" s="16" t="n">
        <v>12.80714248262477</v>
      </c>
      <c r="AA2880" s="16" t="n">
        <v>58.30064446510738</v>
      </c>
      <c r="AB2880" s="16" t="n">
        <v>2600</v>
      </c>
      <c r="AC2880" s="16" t="n">
        <v>7.5</v>
      </c>
      <c r="AD2880" s="16" t="n"/>
      <c r="AE2880" s="16" t="n"/>
    </row>
    <row r="2881">
      <c r="A2881" s="16" t="inlineStr">
        <is>
          <t>KF-M07-A4-0060</t>
        </is>
      </c>
      <c r="B2881" s="16" t="inlineStr">
        <is>
          <t>5.1</t>
        </is>
      </c>
      <c r="C2881" s="16" t="inlineStr">
        <is>
          <t>5.1d</t>
        </is>
      </c>
      <c r="D2881" s="16" t="inlineStr">
        <is>
          <t>conserva sus presiones y su clima</t>
        </is>
      </c>
      <c r="E2881" s="16" t="inlineStr">
        <is>
          <t>KF-M07</t>
        </is>
      </c>
      <c r="F2881" s="16" t="inlineStr">
        <is>
          <t>KF-M07-A4</t>
        </is>
      </c>
      <c r="G2881" s="16" t="inlineStr">
        <is>
          <t>B11-A4</t>
        </is>
      </c>
      <c r="H2881" s="16" t="inlineStr">
        <is>
          <t>busqueda</t>
        </is>
      </c>
      <c r="I2881" s="16" t="inlineStr">
        <is>
          <t>CORREGIBLE</t>
        </is>
      </c>
      <c r="J2881" s="16" t="inlineStr">
        <is>
          <t>CORREGIBLE</t>
        </is>
      </c>
      <c r="K2881" s="16" t="b">
        <v>1</v>
      </c>
      <c r="L2881" s="16" t="b">
        <v>0</v>
      </c>
      <c r="M2881" s="16" t="b">
        <v>0</v>
      </c>
      <c r="N2881" s="16" t="b">
        <v>0</v>
      </c>
      <c r="O2881" s="16" t="n">
        <v>415</v>
      </c>
      <c r="P2881" s="16" t="n">
        <v>300.032917</v>
      </c>
      <c r="Q2881" s="16" t="n">
        <v>3000</v>
      </c>
      <c r="R2881" s="16" t="n">
        <v>400</v>
      </c>
      <c r="S2881" s="16" t="n">
        <v>0.5</v>
      </c>
      <c r="T2881" s="16" t="n">
        <v>0.905</v>
      </c>
      <c r="U2881" s="16" t="n">
        <v>0.75</v>
      </c>
      <c r="V2881" s="16" t="n">
        <v>0.85</v>
      </c>
      <c r="W2881" s="16" t="n">
        <v>0.8599999999999999</v>
      </c>
      <c r="X2881" s="16" t="n">
        <v>0.895</v>
      </c>
      <c r="Y2881" s="16" t="n">
        <v>300.032917</v>
      </c>
      <c r="Z2881" s="16" t="n">
        <v>13.66365190239002</v>
      </c>
      <c r="AA2881" s="16" t="n">
        <v>58.80019232498972</v>
      </c>
      <c r="AB2881" s="16" t="n">
        <v>2600</v>
      </c>
      <c r="AC2881" s="16" t="n">
        <v>7.5</v>
      </c>
      <c r="AD2881" s="16" t="inlineStr">
        <is>
          <t>O2</t>
        </is>
      </c>
      <c r="AE2881" s="16" t="n"/>
    </row>
    <row r="2882">
      <c r="A2882" s="16" t="inlineStr">
        <is>
          <t>KF-M07-A4-0061</t>
        </is>
      </c>
      <c r="B2882" s="16" t="inlineStr">
        <is>
          <t>5.1</t>
        </is>
      </c>
      <c r="C2882" s="16" t="inlineStr">
        <is>
          <t>5.1d</t>
        </is>
      </c>
      <c r="D2882" s="16" t="inlineStr">
        <is>
          <t>conserva sus presiones y su clima</t>
        </is>
      </c>
      <c r="E2882" s="16" t="inlineStr">
        <is>
          <t>KF-M07</t>
        </is>
      </c>
      <c r="F2882" s="16" t="inlineStr">
        <is>
          <t>KF-M07-A4</t>
        </is>
      </c>
      <c r="G2882" s="16" t="inlineStr">
        <is>
          <t>B11-A4</t>
        </is>
      </c>
      <c r="H2882" s="16" t="inlineStr">
        <is>
          <t>busqueda</t>
        </is>
      </c>
      <c r="I2882" s="16" t="inlineStr">
        <is>
          <t>CORREGIBLE</t>
        </is>
      </c>
      <c r="J2882" s="16" t="inlineStr">
        <is>
          <t>CORREGIBLE</t>
        </is>
      </c>
      <c r="K2882" s="16" t="b">
        <v>1</v>
      </c>
      <c r="L2882" s="16" t="b">
        <v>0</v>
      </c>
      <c r="M2882" s="16" t="b">
        <v>1</v>
      </c>
      <c r="N2882" s="16" t="b">
        <v>0</v>
      </c>
      <c r="O2882" s="16" t="n">
        <v>427</v>
      </c>
      <c r="P2882" s="16" t="n">
        <v>300.032917</v>
      </c>
      <c r="Q2882" s="16" t="n">
        <v>3000</v>
      </c>
      <c r="R2882" s="16" t="n">
        <v>400</v>
      </c>
      <c r="S2882" s="16" t="n">
        <v>0.5</v>
      </c>
      <c r="T2882" s="16" t="n">
        <v>0.95</v>
      </c>
      <c r="U2882" s="16" t="n">
        <v>0.75</v>
      </c>
      <c r="V2882" s="16" t="n">
        <v>0.85</v>
      </c>
      <c r="W2882" s="16" t="n">
        <v>0.8599999999999999</v>
      </c>
      <c r="X2882" s="16" t="n">
        <v>0.95</v>
      </c>
      <c r="Y2882" s="16" t="n">
        <v>300.032917</v>
      </c>
      <c r="Z2882" s="16" t="n">
        <v>14.85121727626648</v>
      </c>
      <c r="AA2882" s="16" t="n">
        <v>89.03361956440514</v>
      </c>
      <c r="AB2882" s="16" t="n">
        <v>2600</v>
      </c>
      <c r="AC2882" s="16" t="n">
        <v>7.5</v>
      </c>
      <c r="AD2882" s="16" t="inlineStr">
        <is>
          <t>O2</t>
        </is>
      </c>
      <c r="AE2882" s="16" t="n"/>
    </row>
    <row r="2883">
      <c r="A2883" s="16" t="inlineStr">
        <is>
          <t>KF-M07-A4-0062</t>
        </is>
      </c>
      <c r="B2883" s="16" t="inlineStr">
        <is>
          <t>5.1</t>
        </is>
      </c>
      <c r="C2883" s="16" t="inlineStr">
        <is>
          <t>5.1d</t>
        </is>
      </c>
      <c r="D2883" s="16" t="inlineStr">
        <is>
          <t>conserva sus presiones y su clima</t>
        </is>
      </c>
      <c r="E2883" s="16" t="inlineStr">
        <is>
          <t>KF-M07</t>
        </is>
      </c>
      <c r="F2883" s="16" t="inlineStr">
        <is>
          <t>KF-M07-A4</t>
        </is>
      </c>
      <c r="G2883" s="16" t="inlineStr">
        <is>
          <t>B11-A4</t>
        </is>
      </c>
      <c r="H2883" s="16" t="inlineStr">
        <is>
          <t>busqueda</t>
        </is>
      </c>
      <c r="I2883" s="16" t="inlineStr">
        <is>
          <t>KALINA</t>
        </is>
      </c>
      <c r="J2883" s="16" t="inlineStr">
        <is>
          <t>KALINA</t>
        </is>
      </c>
      <c r="K2883" s="16" t="b">
        <v>1</v>
      </c>
      <c r="L2883" s="16" t="b">
        <v>1</v>
      </c>
      <c r="M2883" s="16" t="b">
        <v>0</v>
      </c>
      <c r="N2883" s="16" t="b">
        <v>0</v>
      </c>
      <c r="O2883" s="16" t="n">
        <v>403</v>
      </c>
      <c r="P2883" s="16" t="n">
        <v>300.032917</v>
      </c>
      <c r="Q2883" s="16" t="n">
        <v>3000</v>
      </c>
      <c r="R2883" s="16" t="n">
        <v>400</v>
      </c>
      <c r="S2883" s="16" t="n">
        <v>0.5</v>
      </c>
      <c r="T2883" s="16" t="n">
        <v>0.95</v>
      </c>
      <c r="U2883" s="16" t="n">
        <v>0.75</v>
      </c>
      <c r="V2883" s="16" t="n">
        <v>0.85</v>
      </c>
      <c r="W2883" s="16" t="n">
        <v>0.8599999999999999</v>
      </c>
      <c r="X2883" s="16" t="n">
        <v>0.95</v>
      </c>
      <c r="Y2883" s="16" t="n">
        <v>300.032917</v>
      </c>
      <c r="Z2883" s="16" t="n">
        <v>12.53324970480001</v>
      </c>
      <c r="AA2883" s="16" t="n">
        <v>35.89681048041053</v>
      </c>
      <c r="AB2883" s="16" t="n">
        <v>2600</v>
      </c>
      <c r="AC2883" s="16" t="n">
        <v>7.5</v>
      </c>
      <c r="AD2883" s="16" t="n"/>
      <c r="AE2883" s="16" t="n"/>
    </row>
    <row r="2884">
      <c r="A2884" s="16" t="inlineStr">
        <is>
          <t>KF-M07-A4-0063</t>
        </is>
      </c>
      <c r="B2884" s="16" t="inlineStr">
        <is>
          <t>5.1</t>
        </is>
      </c>
      <c r="C2884" s="16" t="inlineStr">
        <is>
          <t>5.1d</t>
        </is>
      </c>
      <c r="D2884" s="16" t="inlineStr">
        <is>
          <t>conserva sus presiones y su clima</t>
        </is>
      </c>
      <c r="E2884" s="16" t="inlineStr">
        <is>
          <t>KF-M07</t>
        </is>
      </c>
      <c r="F2884" s="16" t="inlineStr">
        <is>
          <t>KF-M07-A4</t>
        </is>
      </c>
      <c r="G2884" s="16" t="inlineStr">
        <is>
          <t>B11-A4</t>
        </is>
      </c>
      <c r="H2884" s="16" t="inlineStr">
        <is>
          <t>busqueda</t>
        </is>
      </c>
      <c r="I2884" s="16" t="inlineStr">
        <is>
          <t>CORREGIBLE</t>
        </is>
      </c>
      <c r="J2884" s="16" t="inlineStr">
        <is>
          <t>CORREGIBLE</t>
        </is>
      </c>
      <c r="K2884" s="16" t="b">
        <v>1</v>
      </c>
      <c r="L2884" s="16" t="b">
        <v>0</v>
      </c>
      <c r="M2884" s="16" t="b">
        <v>0</v>
      </c>
      <c r="N2884" s="16" t="b">
        <v>0</v>
      </c>
      <c r="O2884" s="16" t="n">
        <v>415</v>
      </c>
      <c r="P2884" s="16" t="n">
        <v>300.032917</v>
      </c>
      <c r="Q2884" s="16" t="n">
        <v>3000</v>
      </c>
      <c r="R2884" s="16" t="n">
        <v>400</v>
      </c>
      <c r="S2884" s="16" t="n">
        <v>0.535</v>
      </c>
      <c r="T2884" s="16" t="n">
        <v>0.95</v>
      </c>
      <c r="U2884" s="16" t="n">
        <v>0.75</v>
      </c>
      <c r="V2884" s="16" t="n">
        <v>0.85</v>
      </c>
      <c r="W2884" s="16" t="n">
        <v>0.8599999999999999</v>
      </c>
      <c r="X2884" s="16" t="n">
        <v>0.95</v>
      </c>
      <c r="Y2884" s="16" t="n">
        <v>300.032917</v>
      </c>
      <c r="Z2884" s="16" t="n">
        <v>15.09121576374913</v>
      </c>
      <c r="AA2884" s="16" t="n">
        <v>78.46921750931544</v>
      </c>
      <c r="AB2884" s="16" t="n">
        <v>2600</v>
      </c>
      <c r="AC2884" s="16" t="n">
        <v>7.5</v>
      </c>
      <c r="AD2884" s="16" t="inlineStr">
        <is>
          <t>O2</t>
        </is>
      </c>
      <c r="AE2884" s="16" t="n"/>
    </row>
    <row r="2885">
      <c r="A2885" s="16" t="inlineStr">
        <is>
          <t>KF-M07-A4-0064</t>
        </is>
      </c>
      <c r="B2885" s="16" t="inlineStr">
        <is>
          <t>5.1</t>
        </is>
      </c>
      <c r="C2885" s="16" t="inlineStr">
        <is>
          <t>5.1d</t>
        </is>
      </c>
      <c r="D2885" s="16" t="inlineStr">
        <is>
          <t>conserva sus presiones y su clima</t>
        </is>
      </c>
      <c r="E2885" s="16" t="inlineStr">
        <is>
          <t>KF-M07</t>
        </is>
      </c>
      <c r="F2885" s="16" t="inlineStr">
        <is>
          <t>KF-M07-A4</t>
        </is>
      </c>
      <c r="G2885" s="16" t="inlineStr">
        <is>
          <t>B11-A4</t>
        </is>
      </c>
      <c r="H2885" s="16" t="inlineStr">
        <is>
          <t>busqueda</t>
        </is>
      </c>
      <c r="I2885" s="16" t="inlineStr">
        <is>
          <t>KALINA</t>
        </is>
      </c>
      <c r="J2885" s="16" t="inlineStr">
        <is>
          <t>KALINA</t>
        </is>
      </c>
      <c r="K2885" s="16" t="b">
        <v>1</v>
      </c>
      <c r="L2885" s="16" t="b">
        <v>1</v>
      </c>
      <c r="M2885" s="16" t="b">
        <v>0</v>
      </c>
      <c r="N2885" s="16" t="b">
        <v>0</v>
      </c>
      <c r="O2885" s="16" t="n">
        <v>415</v>
      </c>
      <c r="P2885" s="16" t="n">
        <v>300.032917</v>
      </c>
      <c r="Q2885" s="16" t="n">
        <v>3000</v>
      </c>
      <c r="R2885" s="16" t="n">
        <v>400</v>
      </c>
      <c r="S2885" s="16" t="n">
        <v>0.5</v>
      </c>
      <c r="T2885" s="16" t="n">
        <v>0.895</v>
      </c>
      <c r="U2885" s="16" t="n">
        <v>0.75</v>
      </c>
      <c r="V2885" s="16" t="n">
        <v>0.85</v>
      </c>
      <c r="W2885" s="16" t="n">
        <v>0.8599999999999999</v>
      </c>
      <c r="X2885" s="16" t="n">
        <v>0.95</v>
      </c>
      <c r="Y2885" s="16" t="n">
        <v>300.032917</v>
      </c>
      <c r="Z2885" s="16" t="n">
        <v>13.28565011453173</v>
      </c>
      <c r="AA2885" s="16" t="n">
        <v>58.11904998472705</v>
      </c>
      <c r="AB2885" s="16" t="n">
        <v>2600</v>
      </c>
      <c r="AC2885" s="16" t="n">
        <v>7.5</v>
      </c>
      <c r="AD2885" s="16" t="n"/>
      <c r="AE2885" s="16" t="n"/>
    </row>
    <row r="2886">
      <c r="A2886" s="16" t="inlineStr">
        <is>
          <t>KF-M07-A4-0065</t>
        </is>
      </c>
      <c r="B2886" s="16" t="inlineStr">
        <is>
          <t>5.1</t>
        </is>
      </c>
      <c r="C2886" s="16" t="inlineStr">
        <is>
          <t>5.1d</t>
        </is>
      </c>
      <c r="D2886" s="16" t="inlineStr">
        <is>
          <t>conserva sus presiones y su clima</t>
        </is>
      </c>
      <c r="E2886" s="16" t="inlineStr">
        <is>
          <t>KF-M07</t>
        </is>
      </c>
      <c r="F2886" s="16" t="inlineStr">
        <is>
          <t>KF-M07-A4</t>
        </is>
      </c>
      <c r="G2886" s="16" t="inlineStr">
        <is>
          <t>B11-A4</t>
        </is>
      </c>
      <c r="H2886" s="16" t="inlineStr">
        <is>
          <t>busqueda</t>
        </is>
      </c>
      <c r="I2886" s="16" t="inlineStr">
        <is>
          <t>KALINA</t>
        </is>
      </c>
      <c r="J2886" s="16" t="inlineStr">
        <is>
          <t>KALINA</t>
        </is>
      </c>
      <c r="K2886" s="16" t="b">
        <v>1</v>
      </c>
      <c r="L2886" s="16" t="b">
        <v>1</v>
      </c>
      <c r="M2886" s="16" t="b">
        <v>0</v>
      </c>
      <c r="N2886" s="16" t="b">
        <v>0</v>
      </c>
      <c r="O2886" s="16" t="n">
        <v>415</v>
      </c>
      <c r="P2886" s="16" t="n">
        <v>300.032917</v>
      </c>
      <c r="Q2886" s="16" t="n">
        <v>3000</v>
      </c>
      <c r="R2886" s="16" t="n">
        <v>400</v>
      </c>
      <c r="S2886" s="16" t="n">
        <v>0.5</v>
      </c>
      <c r="T2886" s="16" t="n">
        <v>0.95</v>
      </c>
      <c r="U2886" s="16" t="n">
        <v>0.8049999999999999</v>
      </c>
      <c r="V2886" s="16" t="n">
        <v>0.85</v>
      </c>
      <c r="W2886" s="16" t="n">
        <v>0.8599999999999999</v>
      </c>
      <c r="X2886" s="16" t="n">
        <v>0.95</v>
      </c>
      <c r="Y2886" s="16" t="n">
        <v>300.032917</v>
      </c>
      <c r="Z2886" s="16" t="n">
        <v>14.22205770556991</v>
      </c>
      <c r="AA2886" s="16" t="n">
        <v>62.23658614953733</v>
      </c>
      <c r="AB2886" s="16" t="n">
        <v>2600</v>
      </c>
      <c r="AC2886" s="16" t="n">
        <v>7.5</v>
      </c>
      <c r="AD2886" s="16" t="n"/>
      <c r="AE2886" s="16" t="n"/>
    </row>
    <row r="2887">
      <c r="A2887" s="16" t="inlineStr">
        <is>
          <t>KF-M07-A4-0066</t>
        </is>
      </c>
      <c r="B2887" s="16" t="inlineStr">
        <is>
          <t>5.1</t>
        </is>
      </c>
      <c r="C2887" s="16" t="inlineStr">
        <is>
          <t>5.1d</t>
        </is>
      </c>
      <c r="D2887" s="16" t="inlineStr">
        <is>
          <t>conserva sus presiones y su clima</t>
        </is>
      </c>
      <c r="E2887" s="16" t="inlineStr">
        <is>
          <t>KF-M07</t>
        </is>
      </c>
      <c r="F2887" s="16" t="inlineStr">
        <is>
          <t>KF-M07-A4</t>
        </is>
      </c>
      <c r="G2887" s="16" t="inlineStr">
        <is>
          <t>B11-A4</t>
        </is>
      </c>
      <c r="H2887" s="16" t="inlineStr">
        <is>
          <t>busqueda</t>
        </is>
      </c>
      <c r="I2887" s="16" t="inlineStr">
        <is>
          <t>KALINA</t>
        </is>
      </c>
      <c r="J2887" s="16" t="inlineStr">
        <is>
          <t>KALINA</t>
        </is>
      </c>
      <c r="K2887" s="16" t="b">
        <v>1</v>
      </c>
      <c r="L2887" s="16" t="b">
        <v>1</v>
      </c>
      <c r="M2887" s="16" t="b">
        <v>0</v>
      </c>
      <c r="N2887" s="16" t="b">
        <v>0</v>
      </c>
      <c r="O2887" s="16" t="n">
        <v>415</v>
      </c>
      <c r="P2887" s="16" t="n">
        <v>300.032917</v>
      </c>
      <c r="Q2887" s="16" t="n">
        <v>3000</v>
      </c>
      <c r="R2887" s="16" t="n">
        <v>400</v>
      </c>
      <c r="S2887" s="16" t="n">
        <v>0.5</v>
      </c>
      <c r="T2887" s="16" t="n">
        <v>0.95</v>
      </c>
      <c r="U2887" s="16" t="n">
        <v>0.6950000000000001</v>
      </c>
      <c r="V2887" s="16" t="n">
        <v>0.85</v>
      </c>
      <c r="W2887" s="16" t="n">
        <v>0.8599999999999999</v>
      </c>
      <c r="X2887" s="16" t="n">
        <v>0.95</v>
      </c>
      <c r="Y2887" s="16" t="n">
        <v>300.032917</v>
      </c>
      <c r="Z2887" s="16" t="n">
        <v>14.08673344493966</v>
      </c>
      <c r="AA2887" s="16" t="n">
        <v>61.61718992679633</v>
      </c>
      <c r="AB2887" s="16" t="n">
        <v>2600</v>
      </c>
      <c r="AC2887" s="16" t="n">
        <v>7.5</v>
      </c>
      <c r="AD2887" s="16" t="n"/>
      <c r="AE2887" s="16" t="n"/>
    </row>
    <row r="2888">
      <c r="A2888" s="16" t="inlineStr">
        <is>
          <t>KF-M07-A4-0067</t>
        </is>
      </c>
      <c r="B2888" s="16" t="inlineStr">
        <is>
          <t>5.1</t>
        </is>
      </c>
      <c r="C2888" s="16" t="inlineStr">
        <is>
          <t>5.1d</t>
        </is>
      </c>
      <c r="D2888" s="16" t="inlineStr">
        <is>
          <t>conserva sus presiones y su clima</t>
        </is>
      </c>
      <c r="E2888" s="16" t="inlineStr">
        <is>
          <t>KF-M07</t>
        </is>
      </c>
      <c r="F2888" s="16" t="inlineStr">
        <is>
          <t>KF-M07-A4</t>
        </is>
      </c>
      <c r="G2888" s="16" t="inlineStr">
        <is>
          <t>B11-A4</t>
        </is>
      </c>
      <c r="H2888" s="16" t="inlineStr">
        <is>
          <t>busqueda</t>
        </is>
      </c>
      <c r="I2888" s="16" t="inlineStr">
        <is>
          <t>CORREGIBLE</t>
        </is>
      </c>
      <c r="J2888" s="16" t="inlineStr">
        <is>
          <t>CORREGIBLE</t>
        </is>
      </c>
      <c r="K2888" s="16" t="b">
        <v>1</v>
      </c>
      <c r="L2888" s="16" t="b">
        <v>0</v>
      </c>
      <c r="M2888" s="16" t="b">
        <v>0</v>
      </c>
      <c r="N2888" s="16" t="b">
        <v>0</v>
      </c>
      <c r="O2888" s="16" t="n">
        <v>415</v>
      </c>
      <c r="P2888" s="16" t="n">
        <v>300.032917</v>
      </c>
      <c r="Q2888" s="16" t="n">
        <v>3000</v>
      </c>
      <c r="R2888" s="16" t="n">
        <v>400</v>
      </c>
      <c r="S2888" s="16" t="n">
        <v>0.5</v>
      </c>
      <c r="T2888" s="16" t="n">
        <v>0.95</v>
      </c>
      <c r="U2888" s="16" t="n">
        <v>0.75</v>
      </c>
      <c r="V2888" s="16" t="n">
        <v>0.905</v>
      </c>
      <c r="W2888" s="16" t="n">
        <v>0.8599999999999999</v>
      </c>
      <c r="X2888" s="16" t="n">
        <v>0.95</v>
      </c>
      <c r="Y2888" s="16" t="n">
        <v>300.032917</v>
      </c>
      <c r="Z2888" s="16" t="n">
        <v>14.33218967153533</v>
      </c>
      <c r="AA2888" s="16" t="n">
        <v>66.81369398190803</v>
      </c>
      <c r="AB2888" s="16" t="n">
        <v>2600</v>
      </c>
      <c r="AC2888" s="16" t="n">
        <v>7.5</v>
      </c>
      <c r="AD2888" s="16" t="inlineStr">
        <is>
          <t>O2</t>
        </is>
      </c>
      <c r="AE2888" s="16" t="n"/>
    </row>
    <row r="2889">
      <c r="A2889" s="16" t="inlineStr">
        <is>
          <t>KF-M07-A4-0068</t>
        </is>
      </c>
      <c r="B2889" s="16" t="inlineStr">
        <is>
          <t>5.1</t>
        </is>
      </c>
      <c r="C2889" s="16" t="inlineStr">
        <is>
          <t>5.1d</t>
        </is>
      </c>
      <c r="D2889" s="16" t="inlineStr">
        <is>
          <t>conserva sus presiones y su clima</t>
        </is>
      </c>
      <c r="E2889" s="16" t="inlineStr">
        <is>
          <t>KF-M07</t>
        </is>
      </c>
      <c r="F2889" s="16" t="inlineStr">
        <is>
          <t>KF-M07-A4</t>
        </is>
      </c>
      <c r="G2889" s="16" t="inlineStr">
        <is>
          <t>B11-A4</t>
        </is>
      </c>
      <c r="H2889" s="16" t="inlineStr">
        <is>
          <t>busqueda</t>
        </is>
      </c>
      <c r="I2889" s="16" t="inlineStr">
        <is>
          <t>KALINA</t>
        </is>
      </c>
      <c r="J2889" s="16" t="inlineStr">
        <is>
          <t>KALINA</t>
        </is>
      </c>
      <c r="K2889" s="16" t="b">
        <v>1</v>
      </c>
      <c r="L2889" s="16" t="b">
        <v>1</v>
      </c>
      <c r="M2889" s="16" t="b">
        <v>0</v>
      </c>
      <c r="N2889" s="16" t="b">
        <v>0</v>
      </c>
      <c r="O2889" s="16" t="n">
        <v>415</v>
      </c>
      <c r="P2889" s="16" t="n">
        <v>300.032917</v>
      </c>
      <c r="Q2889" s="16" t="n">
        <v>3000</v>
      </c>
      <c r="R2889" s="16" t="n">
        <v>400</v>
      </c>
      <c r="S2889" s="16" t="n">
        <v>0.5</v>
      </c>
      <c r="T2889" s="16" t="n">
        <v>0.95</v>
      </c>
      <c r="U2889" s="16" t="n">
        <v>0.75</v>
      </c>
      <c r="V2889" s="16" t="n">
        <v>0.795</v>
      </c>
      <c r="W2889" s="16" t="n">
        <v>0.8599999999999999</v>
      </c>
      <c r="X2889" s="16" t="n">
        <v>0.95</v>
      </c>
      <c r="Y2889" s="16" t="n">
        <v>300.032917</v>
      </c>
      <c r="Z2889" s="16" t="n">
        <v>13.9566406153647</v>
      </c>
      <c r="AA2889" s="16" t="n">
        <v>57.0828392908976</v>
      </c>
      <c r="AB2889" s="16" t="n">
        <v>2600</v>
      </c>
      <c r="AC2889" s="16" t="n">
        <v>7.5</v>
      </c>
      <c r="AD2889" s="16" t="n"/>
      <c r="AE2889" s="16" t="n"/>
    </row>
    <row r="2890">
      <c r="A2890" s="16" t="inlineStr">
        <is>
          <t>KF-M07-A4-0069</t>
        </is>
      </c>
      <c r="B2890" s="16" t="inlineStr">
        <is>
          <t>5.1</t>
        </is>
      </c>
      <c r="C2890" s="16" t="inlineStr">
        <is>
          <t>5.1d</t>
        </is>
      </c>
      <c r="D2890" s="16" t="inlineStr">
        <is>
          <t>conserva sus presiones y su clima</t>
        </is>
      </c>
      <c r="E2890" s="16" t="inlineStr">
        <is>
          <t>KF-M07</t>
        </is>
      </c>
      <c r="F2890" s="16" t="inlineStr">
        <is>
          <t>KF-M07-A4</t>
        </is>
      </c>
      <c r="G2890" s="16" t="inlineStr">
        <is>
          <t>B11-A4</t>
        </is>
      </c>
      <c r="H2890" s="16" t="inlineStr">
        <is>
          <t>busqueda</t>
        </is>
      </c>
      <c r="I2890" s="16" t="inlineStr">
        <is>
          <t>KALINA</t>
        </is>
      </c>
      <c r="J2890" s="16" t="inlineStr">
        <is>
          <t>KALINA</t>
        </is>
      </c>
      <c r="K2890" s="16" t="b">
        <v>1</v>
      </c>
      <c r="L2890" s="16" t="b">
        <v>1</v>
      </c>
      <c r="M2890" s="16" t="b">
        <v>0</v>
      </c>
      <c r="N2890" s="16" t="b">
        <v>0</v>
      </c>
      <c r="O2890" s="16" t="n">
        <v>415</v>
      </c>
      <c r="P2890" s="16" t="n">
        <v>300.032917</v>
      </c>
      <c r="Q2890" s="16" t="n">
        <v>3000</v>
      </c>
      <c r="R2890" s="16" t="n">
        <v>400</v>
      </c>
      <c r="S2890" s="16" t="n">
        <v>0.5</v>
      </c>
      <c r="T2890" s="16" t="n">
        <v>0.95</v>
      </c>
      <c r="U2890" s="16" t="n">
        <v>0.75</v>
      </c>
      <c r="V2890" s="16" t="n">
        <v>0.85</v>
      </c>
      <c r="W2890" s="16" t="n">
        <v>0.915</v>
      </c>
      <c r="X2890" s="16" t="n">
        <v>0.95</v>
      </c>
      <c r="Y2890" s="16" t="n">
        <v>300.032917</v>
      </c>
      <c r="Z2890" s="16" t="n">
        <v>14.88938303198443</v>
      </c>
      <c r="AA2890" s="16" t="n">
        <v>62.49174211411858</v>
      </c>
      <c r="AB2890" s="16" t="n">
        <v>2600</v>
      </c>
      <c r="AC2890" s="16" t="n">
        <v>7.5</v>
      </c>
      <c r="AD2890" s="16" t="n"/>
      <c r="AE2890" s="16" t="n"/>
    </row>
    <row r="2891">
      <c r="A2891" s="16" t="inlineStr">
        <is>
          <t>KF-M07-A4-0070</t>
        </is>
      </c>
      <c r="B2891" s="16" t="inlineStr">
        <is>
          <t>5.1</t>
        </is>
      </c>
      <c r="C2891" s="16" t="inlineStr">
        <is>
          <t>5.1d</t>
        </is>
      </c>
      <c r="D2891" s="16" t="inlineStr">
        <is>
          <t>conserva sus presiones y su clima</t>
        </is>
      </c>
      <c r="E2891" s="16" t="inlineStr">
        <is>
          <t>KF-M07</t>
        </is>
      </c>
      <c r="F2891" s="16" t="inlineStr">
        <is>
          <t>KF-M07-A4</t>
        </is>
      </c>
      <c r="G2891" s="16" t="inlineStr">
        <is>
          <t>B11-A4</t>
        </is>
      </c>
      <c r="H2891" s="16" t="inlineStr">
        <is>
          <t>busqueda</t>
        </is>
      </c>
      <c r="I2891" s="16" t="inlineStr">
        <is>
          <t>KALINA</t>
        </is>
      </c>
      <c r="J2891" s="16" t="inlineStr">
        <is>
          <t>KALINA</t>
        </is>
      </c>
      <c r="K2891" s="16" t="b">
        <v>1</v>
      </c>
      <c r="L2891" s="16" t="b">
        <v>1</v>
      </c>
      <c r="M2891" s="16" t="b">
        <v>0</v>
      </c>
      <c r="N2891" s="16" t="b">
        <v>0</v>
      </c>
      <c r="O2891" s="16" t="n">
        <v>415</v>
      </c>
      <c r="P2891" s="16" t="n">
        <v>300.032917</v>
      </c>
      <c r="Q2891" s="16" t="n">
        <v>3000</v>
      </c>
      <c r="R2891" s="16" t="n">
        <v>400</v>
      </c>
      <c r="S2891" s="16" t="n">
        <v>0.5</v>
      </c>
      <c r="T2891" s="16" t="n">
        <v>0.95</v>
      </c>
      <c r="U2891" s="16" t="n">
        <v>0.75</v>
      </c>
      <c r="V2891" s="16" t="n">
        <v>0.85</v>
      </c>
      <c r="W2891" s="16" t="n">
        <v>0.8049999999999999</v>
      </c>
      <c r="X2891" s="16" t="n">
        <v>0.95</v>
      </c>
      <c r="Y2891" s="16" t="n">
        <v>300.032917</v>
      </c>
      <c r="Z2891" s="16" t="n">
        <v>13.48838523839911</v>
      </c>
      <c r="AA2891" s="16" t="n">
        <v>61.40901013070697</v>
      </c>
      <c r="AB2891" s="16" t="n">
        <v>2600</v>
      </c>
      <c r="AC2891" s="16" t="n">
        <v>7.5</v>
      </c>
      <c r="AD2891" s="16" t="n"/>
      <c r="AE2891" s="16" t="n"/>
    </row>
    <row r="2892">
      <c r="A2892" s="16" t="inlineStr">
        <is>
          <t>KF-M07-A4-0071</t>
        </is>
      </c>
      <c r="B2892" s="16" t="inlineStr">
        <is>
          <t>5.1</t>
        </is>
      </c>
      <c r="C2892" s="16" t="inlineStr">
        <is>
          <t>5.1d</t>
        </is>
      </c>
      <c r="D2892" s="16" t="inlineStr">
        <is>
          <t>conserva sus presiones y su clima</t>
        </is>
      </c>
      <c r="E2892" s="16" t="inlineStr">
        <is>
          <t>KF-M07</t>
        </is>
      </c>
      <c r="F2892" s="16" t="inlineStr">
        <is>
          <t>KF-M07-A4</t>
        </is>
      </c>
      <c r="G2892" s="16" t="inlineStr">
        <is>
          <t>B11-A4</t>
        </is>
      </c>
      <c r="H2892" s="16" t="inlineStr">
        <is>
          <t>busqueda</t>
        </is>
      </c>
      <c r="I2892" s="16" t="inlineStr">
        <is>
          <t>CORREGIBLE</t>
        </is>
      </c>
      <c r="J2892" s="16" t="inlineStr">
        <is>
          <t>CORREGIBLE</t>
        </is>
      </c>
      <c r="K2892" s="16" t="b">
        <v>1</v>
      </c>
      <c r="L2892" s="16" t="b">
        <v>0</v>
      </c>
      <c r="M2892" s="16" t="b">
        <v>0</v>
      </c>
      <c r="N2892" s="16" t="b">
        <v>0</v>
      </c>
      <c r="O2892" s="16" t="n">
        <v>415</v>
      </c>
      <c r="P2892" s="16" t="n">
        <v>300.032917</v>
      </c>
      <c r="Q2892" s="16" t="n">
        <v>3000</v>
      </c>
      <c r="R2892" s="16" t="n">
        <v>400</v>
      </c>
      <c r="S2892" s="16" t="n">
        <v>0.5</v>
      </c>
      <c r="T2892" s="16" t="n">
        <v>0.95</v>
      </c>
      <c r="U2892" s="16" t="n">
        <v>0.75</v>
      </c>
      <c r="V2892" s="16" t="n">
        <v>0.85</v>
      </c>
      <c r="W2892" s="16" t="n">
        <v>0.8599999999999999</v>
      </c>
      <c r="X2892" s="16" t="n">
        <v>0.895</v>
      </c>
      <c r="Y2892" s="16" t="n">
        <v>300.032917</v>
      </c>
      <c r="Z2892" s="16" t="n">
        <v>14.3917346336003</v>
      </c>
      <c r="AA2892" s="16" t="n">
        <v>61.94903251493886</v>
      </c>
      <c r="AB2892" s="16" t="n">
        <v>2600</v>
      </c>
      <c r="AC2892" s="16" t="n">
        <v>7.5</v>
      </c>
      <c r="AD2892" s="16" t="inlineStr">
        <is>
          <t>O2</t>
        </is>
      </c>
      <c r="AE2892" s="16" t="n"/>
    </row>
    <row r="2893">
      <c r="A2893" s="16" t="inlineStr">
        <is>
          <t>KF-M07-A4-0072</t>
        </is>
      </c>
      <c r="B2893" s="16" t="inlineStr">
        <is>
          <t>5.1</t>
        </is>
      </c>
      <c r="C2893" s="16" t="inlineStr">
        <is>
          <t>5.1d</t>
        </is>
      </c>
      <c r="D2893" s="16" t="inlineStr">
        <is>
          <t>conserva sus presiones y su clima</t>
        </is>
      </c>
      <c r="E2893" s="16" t="inlineStr">
        <is>
          <t>KF-M07</t>
        </is>
      </c>
      <c r="F2893" s="16" t="inlineStr">
        <is>
          <t>KF-M07-A4</t>
        </is>
      </c>
      <c r="G2893" s="16" t="inlineStr">
        <is>
          <t>B11-A4</t>
        </is>
      </c>
      <c r="H2893" s="16" t="inlineStr">
        <is>
          <t>busqueda</t>
        </is>
      </c>
      <c r="I2893" s="16" t="inlineStr">
        <is>
          <t>CORREGIBLE</t>
        </is>
      </c>
      <c r="J2893" s="16" t="inlineStr">
        <is>
          <t>CORREGIBLE</t>
        </is>
      </c>
      <c r="K2893" s="16" t="b">
        <v>1</v>
      </c>
      <c r="L2893" s="16" t="b">
        <v>0</v>
      </c>
      <c r="M2893" s="16" t="b">
        <v>1</v>
      </c>
      <c r="N2893" s="16" t="b">
        <v>0</v>
      </c>
      <c r="O2893" s="16" t="n">
        <v>427</v>
      </c>
      <c r="P2893" s="16" t="n">
        <v>300.032917</v>
      </c>
      <c r="Q2893" s="16" t="n">
        <v>3000</v>
      </c>
      <c r="R2893" s="16" t="n">
        <v>400</v>
      </c>
      <c r="S2893" s="16" t="n">
        <v>0.5</v>
      </c>
      <c r="T2893" s="16" t="n">
        <v>0.95</v>
      </c>
      <c r="U2893" s="16" t="n">
        <v>0.75</v>
      </c>
      <c r="V2893" s="16" t="n">
        <v>0.85</v>
      </c>
      <c r="W2893" s="16" t="n">
        <v>0.915</v>
      </c>
      <c r="X2893" s="16" t="n">
        <v>0.95</v>
      </c>
      <c r="Y2893" s="16" t="n">
        <v>300.032917</v>
      </c>
      <c r="Z2893" s="16" t="n">
        <v>15.375186735132</v>
      </c>
      <c r="AA2893" s="16" t="n">
        <v>89.55471732438446</v>
      </c>
      <c r="AB2893" s="16" t="n">
        <v>2600</v>
      </c>
      <c r="AC2893" s="16" t="n">
        <v>7.5</v>
      </c>
      <c r="AD2893" s="16" t="inlineStr">
        <is>
          <t>O2</t>
        </is>
      </c>
      <c r="AE2893" s="16" t="n"/>
    </row>
    <row r="2894">
      <c r="A2894" s="16" t="inlineStr">
        <is>
          <t>KF-M07-A4-0073</t>
        </is>
      </c>
      <c r="B2894" s="16" t="inlineStr">
        <is>
          <t>5.1</t>
        </is>
      </c>
      <c r="C2894" s="16" t="inlineStr">
        <is>
          <t>5.1d</t>
        </is>
      </c>
      <c r="D2894" s="16" t="inlineStr">
        <is>
          <t>conserva sus presiones y su clima</t>
        </is>
      </c>
      <c r="E2894" s="16" t="inlineStr">
        <is>
          <t>KF-M07</t>
        </is>
      </c>
      <c r="F2894" s="16" t="inlineStr">
        <is>
          <t>KF-M07-A4</t>
        </is>
      </c>
      <c r="G2894" s="16" t="inlineStr">
        <is>
          <t>B11-A4</t>
        </is>
      </c>
      <c r="H2894" s="16" t="inlineStr">
        <is>
          <t>busqueda</t>
        </is>
      </c>
      <c r="I2894" s="16" t="inlineStr">
        <is>
          <t>KALINA</t>
        </is>
      </c>
      <c r="J2894" s="16" t="inlineStr">
        <is>
          <t>KALINA</t>
        </is>
      </c>
      <c r="K2894" s="16" t="b">
        <v>1</v>
      </c>
      <c r="L2894" s="16" t="b">
        <v>1</v>
      </c>
      <c r="M2894" s="16" t="b">
        <v>0</v>
      </c>
      <c r="N2894" s="16" t="b">
        <v>0</v>
      </c>
      <c r="O2894" s="16" t="n">
        <v>403</v>
      </c>
      <c r="P2894" s="16" t="n">
        <v>300.032917</v>
      </c>
      <c r="Q2894" s="16" t="n">
        <v>3000</v>
      </c>
      <c r="R2894" s="16" t="n">
        <v>400</v>
      </c>
      <c r="S2894" s="16" t="n">
        <v>0.5</v>
      </c>
      <c r="T2894" s="16" t="n">
        <v>0.95</v>
      </c>
      <c r="U2894" s="16" t="n">
        <v>0.75</v>
      </c>
      <c r="V2894" s="16" t="n">
        <v>0.85</v>
      </c>
      <c r="W2894" s="16" t="n">
        <v>0.915</v>
      </c>
      <c r="X2894" s="16" t="n">
        <v>0.95</v>
      </c>
      <c r="Y2894" s="16" t="n">
        <v>300.032917</v>
      </c>
      <c r="Z2894" s="16" t="n">
        <v>13.598128566933</v>
      </c>
      <c r="AA2894" s="16" t="n">
        <v>36.45795973977134</v>
      </c>
      <c r="AB2894" s="16" t="n">
        <v>2600</v>
      </c>
      <c r="AC2894" s="16" t="n">
        <v>7.5</v>
      </c>
      <c r="AD2894" s="16" t="n"/>
      <c r="AE2894" s="16" t="n"/>
    </row>
    <row r="2895">
      <c r="A2895" s="16" t="inlineStr">
        <is>
          <t>KF-M07-A4-0074</t>
        </is>
      </c>
      <c r="B2895" s="16" t="inlineStr">
        <is>
          <t>5.1</t>
        </is>
      </c>
      <c r="C2895" s="16" t="inlineStr">
        <is>
          <t>5.1d</t>
        </is>
      </c>
      <c r="D2895" s="16" t="inlineStr">
        <is>
          <t>conserva sus presiones y su clima</t>
        </is>
      </c>
      <c r="E2895" s="16" t="inlineStr">
        <is>
          <t>KF-M07</t>
        </is>
      </c>
      <c r="F2895" s="16" t="inlineStr">
        <is>
          <t>KF-M07-A4</t>
        </is>
      </c>
      <c r="G2895" s="16" t="inlineStr">
        <is>
          <t>B11-A4</t>
        </is>
      </c>
      <c r="H2895" s="16" t="inlineStr">
        <is>
          <t>busqueda</t>
        </is>
      </c>
      <c r="I2895" s="16" t="inlineStr">
        <is>
          <t>CORREGIBLE</t>
        </is>
      </c>
      <c r="J2895" s="16" t="inlineStr">
        <is>
          <t>CORREGIBLE</t>
        </is>
      </c>
      <c r="K2895" s="16" t="b">
        <v>1</v>
      </c>
      <c r="L2895" s="16" t="b">
        <v>0</v>
      </c>
      <c r="M2895" s="16" t="b">
        <v>0</v>
      </c>
      <c r="N2895" s="16" t="b">
        <v>0</v>
      </c>
      <c r="O2895" s="16" t="n">
        <v>415</v>
      </c>
      <c r="P2895" s="16" t="n">
        <v>300.032917</v>
      </c>
      <c r="Q2895" s="16" t="n">
        <v>3000</v>
      </c>
      <c r="R2895" s="16" t="n">
        <v>400</v>
      </c>
      <c r="S2895" s="16" t="n">
        <v>0.535</v>
      </c>
      <c r="T2895" s="16" t="n">
        <v>0.95</v>
      </c>
      <c r="U2895" s="16" t="n">
        <v>0.75</v>
      </c>
      <c r="V2895" s="16" t="n">
        <v>0.85</v>
      </c>
      <c r="W2895" s="16" t="n">
        <v>0.915</v>
      </c>
      <c r="X2895" s="16" t="n">
        <v>0.95</v>
      </c>
      <c r="Y2895" s="16" t="n">
        <v>300.032917</v>
      </c>
      <c r="Z2895" s="16" t="n">
        <v>15.67036353833164</v>
      </c>
      <c r="AA2895" s="16" t="n">
        <v>78.98443692823356</v>
      </c>
      <c r="AB2895" s="16" t="n">
        <v>2600</v>
      </c>
      <c r="AC2895" s="16" t="n">
        <v>7.5</v>
      </c>
      <c r="AD2895" s="16" t="inlineStr">
        <is>
          <t>O2</t>
        </is>
      </c>
      <c r="AE2895" s="16" t="n"/>
    </row>
    <row r="2896">
      <c r="A2896" s="16" t="inlineStr">
        <is>
          <t>KF-M07-A4-0075</t>
        </is>
      </c>
      <c r="B2896" s="16" t="inlineStr">
        <is>
          <t>5.1</t>
        </is>
      </c>
      <c r="C2896" s="16" t="inlineStr">
        <is>
          <t>5.1d</t>
        </is>
      </c>
      <c r="D2896" s="16" t="inlineStr">
        <is>
          <t>conserva sus presiones y su clima</t>
        </is>
      </c>
      <c r="E2896" s="16" t="inlineStr">
        <is>
          <t>KF-M07</t>
        </is>
      </c>
      <c r="F2896" s="16" t="inlineStr">
        <is>
          <t>KF-M07-A4</t>
        </is>
      </c>
      <c r="G2896" s="16" t="inlineStr">
        <is>
          <t>B11-A4</t>
        </is>
      </c>
      <c r="H2896" s="16" t="inlineStr">
        <is>
          <t>busqueda</t>
        </is>
      </c>
      <c r="I2896" s="16" t="inlineStr">
        <is>
          <t>KALINA</t>
        </is>
      </c>
      <c r="J2896" s="16" t="inlineStr">
        <is>
          <t>KALINA</t>
        </is>
      </c>
      <c r="K2896" s="16" t="b">
        <v>1</v>
      </c>
      <c r="L2896" s="16" t="b">
        <v>1</v>
      </c>
      <c r="M2896" s="16" t="b">
        <v>0</v>
      </c>
      <c r="N2896" s="16" t="b">
        <v>0</v>
      </c>
      <c r="O2896" s="16" t="n">
        <v>415</v>
      </c>
      <c r="P2896" s="16" t="n">
        <v>300.032917</v>
      </c>
      <c r="Q2896" s="16" t="n">
        <v>3000</v>
      </c>
      <c r="R2896" s="16" t="n">
        <v>400</v>
      </c>
      <c r="S2896" s="16" t="n">
        <v>0.5</v>
      </c>
      <c r="T2896" s="16" t="n">
        <v>0.895</v>
      </c>
      <c r="U2896" s="16" t="n">
        <v>0.75</v>
      </c>
      <c r="V2896" s="16" t="n">
        <v>0.85</v>
      </c>
      <c r="W2896" s="16" t="n">
        <v>0.915</v>
      </c>
      <c r="X2896" s="16" t="n">
        <v>0.95</v>
      </c>
      <c r="Y2896" s="16" t="n">
        <v>300.032917</v>
      </c>
      <c r="Z2896" s="16" t="n">
        <v>13.97097076267265</v>
      </c>
      <c r="AA2896" s="16" t="n">
        <v>58.62968485081453</v>
      </c>
      <c r="AB2896" s="16" t="n">
        <v>2600</v>
      </c>
      <c r="AC2896" s="16" t="n">
        <v>7.5</v>
      </c>
      <c r="AD2896" s="16" t="n"/>
      <c r="AE2896" s="16" t="n"/>
    </row>
    <row r="2897">
      <c r="A2897" s="16" t="inlineStr">
        <is>
          <t>KF-M07-A4-0076</t>
        </is>
      </c>
      <c r="B2897" s="16" t="inlineStr">
        <is>
          <t>5.1</t>
        </is>
      </c>
      <c r="C2897" s="16" t="inlineStr">
        <is>
          <t>5.1d</t>
        </is>
      </c>
      <c r="D2897" s="16" t="inlineStr">
        <is>
          <t>conserva sus presiones y su clima</t>
        </is>
      </c>
      <c r="E2897" s="16" t="inlineStr">
        <is>
          <t>KF-M07</t>
        </is>
      </c>
      <c r="F2897" s="16" t="inlineStr">
        <is>
          <t>KF-M07-A4</t>
        </is>
      </c>
      <c r="G2897" s="16" t="inlineStr">
        <is>
          <t>B11-A4</t>
        </is>
      </c>
      <c r="H2897" s="16" t="inlineStr">
        <is>
          <t>busqueda</t>
        </is>
      </c>
      <c r="I2897" s="16" t="inlineStr">
        <is>
          <t>KALINA</t>
        </is>
      </c>
      <c r="J2897" s="16" t="inlineStr">
        <is>
          <t>KALINA</t>
        </is>
      </c>
      <c r="K2897" s="16" t="b">
        <v>1</v>
      </c>
      <c r="L2897" s="16" t="b">
        <v>1</v>
      </c>
      <c r="M2897" s="16" t="b">
        <v>0</v>
      </c>
      <c r="N2897" s="16" t="b">
        <v>0</v>
      </c>
      <c r="O2897" s="16" t="n">
        <v>415</v>
      </c>
      <c r="P2897" s="16" t="n">
        <v>300.032917</v>
      </c>
      <c r="Q2897" s="16" t="n">
        <v>3000</v>
      </c>
      <c r="R2897" s="16" t="n">
        <v>400</v>
      </c>
      <c r="S2897" s="16" t="n">
        <v>0.5</v>
      </c>
      <c r="T2897" s="16" t="n">
        <v>0.95</v>
      </c>
      <c r="U2897" s="16" t="n">
        <v>0.8049999999999999</v>
      </c>
      <c r="V2897" s="16" t="n">
        <v>0.85</v>
      </c>
      <c r="W2897" s="16" t="n">
        <v>0.915</v>
      </c>
      <c r="X2897" s="16" t="n">
        <v>0.95</v>
      </c>
      <c r="Y2897" s="16" t="n">
        <v>300.032917</v>
      </c>
      <c r="Z2897" s="16" t="n">
        <v>14.95498227948265</v>
      </c>
      <c r="AA2897" s="16" t="n">
        <v>62.77896051128174</v>
      </c>
      <c r="AB2897" s="16" t="n">
        <v>2600</v>
      </c>
      <c r="AC2897" s="16" t="n">
        <v>7.5</v>
      </c>
      <c r="AD2897" s="16" t="n"/>
      <c r="AE2897" s="16" t="n"/>
    </row>
    <row r="2898">
      <c r="A2898" s="16" t="inlineStr">
        <is>
          <t>KF-M07-A4-0077</t>
        </is>
      </c>
      <c r="B2898" s="16" t="inlineStr">
        <is>
          <t>5.1</t>
        </is>
      </c>
      <c r="C2898" s="16" t="inlineStr">
        <is>
          <t>5.1d</t>
        </is>
      </c>
      <c r="D2898" s="16" t="inlineStr">
        <is>
          <t>conserva sus presiones y su clima</t>
        </is>
      </c>
      <c r="E2898" s="16" t="inlineStr">
        <is>
          <t>KF-M07</t>
        </is>
      </c>
      <c r="F2898" s="16" t="inlineStr">
        <is>
          <t>KF-M07-A4</t>
        </is>
      </c>
      <c r="G2898" s="16" t="inlineStr">
        <is>
          <t>B11-A4</t>
        </is>
      </c>
      <c r="H2898" s="16" t="inlineStr">
        <is>
          <t>busqueda</t>
        </is>
      </c>
      <c r="I2898" s="16" t="inlineStr">
        <is>
          <t>KALINA</t>
        </is>
      </c>
      <c r="J2898" s="16" t="inlineStr">
        <is>
          <t>KALINA</t>
        </is>
      </c>
      <c r="K2898" s="16" t="b">
        <v>1</v>
      </c>
      <c r="L2898" s="16" t="b">
        <v>1</v>
      </c>
      <c r="M2898" s="16" t="b">
        <v>0</v>
      </c>
      <c r="N2898" s="16" t="b">
        <v>0</v>
      </c>
      <c r="O2898" s="16" t="n">
        <v>415</v>
      </c>
      <c r="P2898" s="16" t="n">
        <v>300.032917</v>
      </c>
      <c r="Q2898" s="16" t="n">
        <v>3000</v>
      </c>
      <c r="R2898" s="16" t="n">
        <v>400</v>
      </c>
      <c r="S2898" s="16" t="n">
        <v>0.5</v>
      </c>
      <c r="T2898" s="16" t="n">
        <v>0.95</v>
      </c>
      <c r="U2898" s="16" t="n">
        <v>0.6950000000000001</v>
      </c>
      <c r="V2898" s="16" t="n">
        <v>0.85</v>
      </c>
      <c r="W2898" s="16" t="n">
        <v>0.915</v>
      </c>
      <c r="X2898" s="16" t="n">
        <v>0.95</v>
      </c>
      <c r="Y2898" s="16" t="n">
        <v>300.032917</v>
      </c>
      <c r="Z2898" s="16" t="n">
        <v>14.81336914636253</v>
      </c>
      <c r="AA2898" s="16" t="n">
        <v>62.15906039723085</v>
      </c>
      <c r="AB2898" s="16" t="n">
        <v>2600</v>
      </c>
      <c r="AC2898" s="16" t="n">
        <v>7.5</v>
      </c>
      <c r="AD2898" s="16" t="n"/>
      <c r="AE2898" s="16" t="n"/>
    </row>
    <row r="2899">
      <c r="A2899" s="16" t="inlineStr">
        <is>
          <t>KF-M07-A4-0078</t>
        </is>
      </c>
      <c r="B2899" s="16" t="inlineStr">
        <is>
          <t>5.1</t>
        </is>
      </c>
      <c r="C2899" s="16" t="inlineStr">
        <is>
          <t>5.1d</t>
        </is>
      </c>
      <c r="D2899" s="16" t="inlineStr">
        <is>
          <t>conserva sus presiones y su clima</t>
        </is>
      </c>
      <c r="E2899" s="16" t="inlineStr">
        <is>
          <t>KF-M07</t>
        </is>
      </c>
      <c r="F2899" s="16" t="inlineStr">
        <is>
          <t>KF-M07-A4</t>
        </is>
      </c>
      <c r="G2899" s="16" t="inlineStr">
        <is>
          <t>B11-A4</t>
        </is>
      </c>
      <c r="H2899" s="16" t="inlineStr">
        <is>
          <t>busqueda</t>
        </is>
      </c>
      <c r="I2899" s="16" t="inlineStr">
        <is>
          <t>KALINA</t>
        </is>
      </c>
      <c r="J2899" s="16" t="inlineStr">
        <is>
          <t>KALINA</t>
        </is>
      </c>
      <c r="K2899" s="16" t="b">
        <v>1</v>
      </c>
      <c r="L2899" s="16" t="b">
        <v>1</v>
      </c>
      <c r="M2899" s="16" t="b">
        <v>0</v>
      </c>
      <c r="N2899" s="16" t="b">
        <v>0</v>
      </c>
      <c r="O2899" s="16" t="n">
        <v>415</v>
      </c>
      <c r="P2899" s="16" t="n">
        <v>300.032917</v>
      </c>
      <c r="Q2899" s="16" t="n">
        <v>3000</v>
      </c>
      <c r="R2899" s="16" t="n">
        <v>400</v>
      </c>
      <c r="S2899" s="16" t="n">
        <v>0.5</v>
      </c>
      <c r="T2899" s="16" t="n">
        <v>0.95</v>
      </c>
      <c r="U2899" s="16" t="n">
        <v>0.75</v>
      </c>
      <c r="V2899" s="16" t="n">
        <v>0.905</v>
      </c>
      <c r="W2899" s="16" t="n">
        <v>0.915</v>
      </c>
      <c r="X2899" s="16" t="n">
        <v>0.95</v>
      </c>
      <c r="Y2899" s="16" t="n">
        <v>300.032917</v>
      </c>
      <c r="Z2899" s="16" t="n">
        <v>15.01289365447205</v>
      </c>
      <c r="AA2899" s="16" t="n">
        <v>67.15532485388626</v>
      </c>
      <c r="AB2899" s="16" t="n">
        <v>2600</v>
      </c>
      <c r="AC2899" s="16" t="n">
        <v>7.5</v>
      </c>
      <c r="AD2899" s="16" t="n"/>
      <c r="AE2899" s="16" t="n"/>
    </row>
    <row r="2900">
      <c r="A2900" s="16" t="inlineStr">
        <is>
          <t>KF-M07-A4-0079</t>
        </is>
      </c>
      <c r="B2900" s="16" t="inlineStr">
        <is>
          <t>5.1</t>
        </is>
      </c>
      <c r="C2900" s="16" t="inlineStr">
        <is>
          <t>5.1d</t>
        </is>
      </c>
      <c r="D2900" s="16" t="inlineStr">
        <is>
          <t>conserva sus presiones y su clima</t>
        </is>
      </c>
      <c r="E2900" s="16" t="inlineStr">
        <is>
          <t>KF-M07</t>
        </is>
      </c>
      <c r="F2900" s="16" t="inlineStr">
        <is>
          <t>KF-M07-A4</t>
        </is>
      </c>
      <c r="G2900" s="16" t="inlineStr">
        <is>
          <t>B11-A4</t>
        </is>
      </c>
      <c r="H2900" s="16" t="inlineStr">
        <is>
          <t>busqueda</t>
        </is>
      </c>
      <c r="I2900" s="16" t="inlineStr">
        <is>
          <t>KALINA</t>
        </is>
      </c>
      <c r="J2900" s="16" t="inlineStr">
        <is>
          <t>KALINA</t>
        </is>
      </c>
      <c r="K2900" s="16" t="b">
        <v>1</v>
      </c>
      <c r="L2900" s="16" t="b">
        <v>1</v>
      </c>
      <c r="M2900" s="16" t="b">
        <v>0</v>
      </c>
      <c r="N2900" s="16" t="b">
        <v>0</v>
      </c>
      <c r="O2900" s="16" t="n">
        <v>415</v>
      </c>
      <c r="P2900" s="16" t="n">
        <v>300.032917</v>
      </c>
      <c r="Q2900" s="16" t="n">
        <v>3000</v>
      </c>
      <c r="R2900" s="16" t="n">
        <v>400</v>
      </c>
      <c r="S2900" s="16" t="n">
        <v>0.5</v>
      </c>
      <c r="T2900" s="16" t="n">
        <v>0.95</v>
      </c>
      <c r="U2900" s="16" t="n">
        <v>0.75</v>
      </c>
      <c r="V2900" s="16" t="n">
        <v>0.795</v>
      </c>
      <c r="W2900" s="16" t="n">
        <v>0.915</v>
      </c>
      <c r="X2900" s="16" t="n">
        <v>0.95</v>
      </c>
      <c r="Y2900" s="16" t="n">
        <v>300.032917</v>
      </c>
      <c r="Z2900" s="16" t="n">
        <v>14.7425208906908</v>
      </c>
      <c r="AA2900" s="16" t="n">
        <v>57.82817058545697</v>
      </c>
      <c r="AB2900" s="16" t="n">
        <v>2600</v>
      </c>
      <c r="AC2900" s="16" t="n">
        <v>7.5</v>
      </c>
      <c r="AD2900" s="16" t="n"/>
      <c r="AE2900" s="16" t="n"/>
    </row>
    <row r="2901">
      <c r="A2901" s="16" t="inlineStr">
        <is>
          <t>KF-M07-A4-0080</t>
        </is>
      </c>
      <c r="B2901" s="16" t="inlineStr">
        <is>
          <t>5.1</t>
        </is>
      </c>
      <c r="C2901" s="16" t="inlineStr">
        <is>
          <t>5.1d</t>
        </is>
      </c>
      <c r="D2901" s="16" t="inlineStr">
        <is>
          <t>conserva sus presiones y su clima</t>
        </is>
      </c>
      <c r="E2901" s="16" t="inlineStr">
        <is>
          <t>KF-M07</t>
        </is>
      </c>
      <c r="F2901" s="16" t="inlineStr">
        <is>
          <t>KF-M07-A4</t>
        </is>
      </c>
      <c r="G2901" s="16" t="inlineStr">
        <is>
          <t>B11-A4</t>
        </is>
      </c>
      <c r="H2901" s="16" t="inlineStr">
        <is>
          <t>busqueda</t>
        </is>
      </c>
      <c r="I2901" s="16" t="inlineStr">
        <is>
          <t>KALINA</t>
        </is>
      </c>
      <c r="J2901" s="16" t="inlineStr">
        <is>
          <t>KALINA</t>
        </is>
      </c>
      <c r="K2901" s="16" t="b">
        <v>1</v>
      </c>
      <c r="L2901" s="16" t="b">
        <v>1</v>
      </c>
      <c r="M2901" s="16" t="b">
        <v>0</v>
      </c>
      <c r="N2901" s="16" t="b">
        <v>0</v>
      </c>
      <c r="O2901" s="16" t="n">
        <v>415</v>
      </c>
      <c r="P2901" s="16" t="n">
        <v>300.032917</v>
      </c>
      <c r="Q2901" s="16" t="n">
        <v>3000</v>
      </c>
      <c r="R2901" s="16" t="n">
        <v>400</v>
      </c>
      <c r="S2901" s="16" t="n">
        <v>0.5</v>
      </c>
      <c r="T2901" s="16" t="n">
        <v>0.95</v>
      </c>
      <c r="U2901" s="16" t="n">
        <v>0.75</v>
      </c>
      <c r="V2901" s="16" t="n">
        <v>0.85</v>
      </c>
      <c r="W2901" s="16" t="n">
        <v>0.95</v>
      </c>
      <c r="X2901" s="16" t="n">
        <v>0.95</v>
      </c>
      <c r="Y2901" s="16" t="n">
        <v>300.032917</v>
      </c>
      <c r="Z2901" s="16" t="n">
        <v>15.38832443751932</v>
      </c>
      <c r="AA2901" s="16" t="n">
        <v>62.83754463116379</v>
      </c>
      <c r="AB2901" s="16" t="n">
        <v>2600</v>
      </c>
      <c r="AC2901" s="16" t="n">
        <v>7.5</v>
      </c>
      <c r="AD2901" s="16" t="n"/>
      <c r="AE2901" s="16" t="n"/>
    </row>
    <row r="2902">
      <c r="A2902" s="16" t="inlineStr">
        <is>
          <t>KF-M07-A4-0081</t>
        </is>
      </c>
      <c r="B2902" s="16" t="inlineStr">
        <is>
          <t>5.1</t>
        </is>
      </c>
      <c r="C2902" s="16" t="inlineStr">
        <is>
          <t>5.1d</t>
        </is>
      </c>
      <c r="D2902" s="16" t="inlineStr">
        <is>
          <t>conserva sus presiones y su clima</t>
        </is>
      </c>
      <c r="E2902" s="16" t="inlineStr">
        <is>
          <t>KF-M07</t>
        </is>
      </c>
      <c r="F2902" s="16" t="inlineStr">
        <is>
          <t>KF-M07-A4</t>
        </is>
      </c>
      <c r="G2902" s="16" t="inlineStr">
        <is>
          <t>B11-A4</t>
        </is>
      </c>
      <c r="H2902" s="16" t="inlineStr">
        <is>
          <t>busqueda</t>
        </is>
      </c>
      <c r="I2902" s="16" t="inlineStr">
        <is>
          <t>KALINA</t>
        </is>
      </c>
      <c r="J2902" s="16" t="inlineStr">
        <is>
          <t>KALINA</t>
        </is>
      </c>
      <c r="K2902" s="16" t="b">
        <v>1</v>
      </c>
      <c r="L2902" s="16" t="b">
        <v>1</v>
      </c>
      <c r="M2902" s="16" t="b">
        <v>0</v>
      </c>
      <c r="N2902" s="16" t="b">
        <v>0</v>
      </c>
      <c r="O2902" s="16" t="n">
        <v>415</v>
      </c>
      <c r="P2902" s="16" t="n">
        <v>300.032917</v>
      </c>
      <c r="Q2902" s="16" t="n">
        <v>3000</v>
      </c>
      <c r="R2902" s="16" t="n">
        <v>400</v>
      </c>
      <c r="S2902" s="16" t="n">
        <v>0.5</v>
      </c>
      <c r="T2902" s="16" t="n">
        <v>0.95</v>
      </c>
      <c r="U2902" s="16" t="n">
        <v>0.75</v>
      </c>
      <c r="V2902" s="16" t="n">
        <v>0.85</v>
      </c>
      <c r="W2902" s="16" t="n">
        <v>0.8599999999999999</v>
      </c>
      <c r="X2902" s="16" t="n">
        <v>0.95</v>
      </c>
      <c r="Y2902" s="16" t="n">
        <v>300.032917</v>
      </c>
      <c r="Z2902" s="16" t="n">
        <v>14.1593706983086</v>
      </c>
      <c r="AA2902" s="16" t="n">
        <v>61.9495987024445</v>
      </c>
      <c r="AB2902" s="16" t="n">
        <v>2600</v>
      </c>
      <c r="AC2902" s="16" t="n">
        <v>7.5</v>
      </c>
      <c r="AD2902" s="16" t="n"/>
      <c r="AE2902" s="16" t="n"/>
    </row>
    <row r="2903">
      <c r="A2903" s="16" t="inlineStr">
        <is>
          <t>KF-M07-A4-0082</t>
        </is>
      </c>
      <c r="B2903" s="16" t="inlineStr">
        <is>
          <t>5.1</t>
        </is>
      </c>
      <c r="C2903" s="16" t="inlineStr">
        <is>
          <t>5.1d</t>
        </is>
      </c>
      <c r="D2903" s="16" t="inlineStr">
        <is>
          <t>conserva sus presiones y su clima</t>
        </is>
      </c>
      <c r="E2903" s="16" t="inlineStr">
        <is>
          <t>KF-M07</t>
        </is>
      </c>
      <c r="F2903" s="16" t="inlineStr">
        <is>
          <t>KF-M07-A4</t>
        </is>
      </c>
      <c r="G2903" s="16" t="inlineStr">
        <is>
          <t>B11-A4</t>
        </is>
      </c>
      <c r="H2903" s="16" t="inlineStr">
        <is>
          <t>busqueda</t>
        </is>
      </c>
      <c r="I2903" s="16" t="inlineStr">
        <is>
          <t>CORREGIBLE</t>
        </is>
      </c>
      <c r="J2903" s="16" t="inlineStr">
        <is>
          <t>CORREGIBLE</t>
        </is>
      </c>
      <c r="K2903" s="16" t="b">
        <v>1</v>
      </c>
      <c r="L2903" s="16" t="b">
        <v>0</v>
      </c>
      <c r="M2903" s="16" t="b">
        <v>0</v>
      </c>
      <c r="N2903" s="16" t="b">
        <v>0</v>
      </c>
      <c r="O2903" s="16" t="n">
        <v>415</v>
      </c>
      <c r="P2903" s="16" t="n">
        <v>300.032917</v>
      </c>
      <c r="Q2903" s="16" t="n">
        <v>3000</v>
      </c>
      <c r="R2903" s="16" t="n">
        <v>400</v>
      </c>
      <c r="S2903" s="16" t="n">
        <v>0.5</v>
      </c>
      <c r="T2903" s="16" t="n">
        <v>0.95</v>
      </c>
      <c r="U2903" s="16" t="n">
        <v>0.75</v>
      </c>
      <c r="V2903" s="16" t="n">
        <v>0.85</v>
      </c>
      <c r="W2903" s="16" t="n">
        <v>0.915</v>
      </c>
      <c r="X2903" s="16" t="n">
        <v>0.895</v>
      </c>
      <c r="Y2903" s="16" t="n">
        <v>300.032917</v>
      </c>
      <c r="Z2903" s="16" t="n">
        <v>15.10467683294145</v>
      </c>
      <c r="AA2903" s="16" t="n">
        <v>62.49215809914487</v>
      </c>
      <c r="AB2903" s="16" t="n">
        <v>2600</v>
      </c>
      <c r="AC2903" s="16" t="n">
        <v>7.5</v>
      </c>
      <c r="AD2903" s="16" t="inlineStr">
        <is>
          <t>O2</t>
        </is>
      </c>
      <c r="AE2903" s="16" t="n"/>
    </row>
    <row r="2904">
      <c r="A2904" s="16" t="inlineStr">
        <is>
          <t>KF-M07-A4-0083</t>
        </is>
      </c>
      <c r="B2904" s="16" t="inlineStr">
        <is>
          <t>5.1</t>
        </is>
      </c>
      <c r="C2904" s="16" t="inlineStr">
        <is>
          <t>5.1d</t>
        </is>
      </c>
      <c r="D2904" s="16" t="inlineStr">
        <is>
          <t>conserva sus presiones y su clima</t>
        </is>
      </c>
      <c r="E2904" s="16" t="inlineStr">
        <is>
          <t>KF-M07</t>
        </is>
      </c>
      <c r="F2904" s="16" t="inlineStr">
        <is>
          <t>KF-M07-A4</t>
        </is>
      </c>
      <c r="G2904" s="16" t="inlineStr">
        <is>
          <t>B11-A4</t>
        </is>
      </c>
      <c r="H2904" s="16" t="inlineStr">
        <is>
          <t>busqueda</t>
        </is>
      </c>
      <c r="I2904" s="16" t="inlineStr">
        <is>
          <t>CORREGIBLE</t>
        </is>
      </c>
      <c r="J2904" s="16" t="inlineStr">
        <is>
          <t>CORREGIBLE</t>
        </is>
      </c>
      <c r="K2904" s="16" t="b">
        <v>1</v>
      </c>
      <c r="L2904" s="16" t="b">
        <v>0</v>
      </c>
      <c r="M2904" s="16" t="b">
        <v>1</v>
      </c>
      <c r="N2904" s="16" t="b">
        <v>0</v>
      </c>
      <c r="O2904" s="16" t="n">
        <v>427</v>
      </c>
      <c r="P2904" s="16" t="n">
        <v>300.032917</v>
      </c>
      <c r="Q2904" s="16" t="n">
        <v>3000</v>
      </c>
      <c r="R2904" s="16" t="n">
        <v>400</v>
      </c>
      <c r="S2904" s="16" t="n">
        <v>0.5</v>
      </c>
      <c r="T2904" s="16" t="n">
        <v>0.95</v>
      </c>
      <c r="U2904" s="16" t="n">
        <v>0.75</v>
      </c>
      <c r="V2904" s="16" t="n">
        <v>0.85</v>
      </c>
      <c r="W2904" s="16" t="n">
        <v>0.95</v>
      </c>
      <c r="X2904" s="16" t="n">
        <v>0.95</v>
      </c>
      <c r="Y2904" s="16" t="n">
        <v>300.032917</v>
      </c>
      <c r="Z2904" s="16" t="n">
        <v>15.72536319843622</v>
      </c>
      <c r="AA2904" s="16" t="n">
        <v>89.88648461733669</v>
      </c>
      <c r="AB2904" s="16" t="n">
        <v>2600</v>
      </c>
      <c r="AC2904" s="16" t="n">
        <v>7.5</v>
      </c>
      <c r="AD2904" s="16" t="inlineStr">
        <is>
          <t>O2</t>
        </is>
      </c>
      <c r="AE2904" s="16" t="n"/>
    </row>
    <row r="2905">
      <c r="A2905" s="16" t="inlineStr">
        <is>
          <t>KF-M07-A4-0084</t>
        </is>
      </c>
      <c r="B2905" s="16" t="inlineStr">
        <is>
          <t>5.1</t>
        </is>
      </c>
      <c r="C2905" s="16" t="inlineStr">
        <is>
          <t>5.1d</t>
        </is>
      </c>
      <c r="D2905" s="16" t="inlineStr">
        <is>
          <t>conserva sus presiones y su clima</t>
        </is>
      </c>
      <c r="E2905" s="16" t="inlineStr">
        <is>
          <t>KF-M07</t>
        </is>
      </c>
      <c r="F2905" s="16" t="inlineStr">
        <is>
          <t>KF-M07-A4</t>
        </is>
      </c>
      <c r="G2905" s="16" t="inlineStr">
        <is>
          <t>B11-A4</t>
        </is>
      </c>
      <c r="H2905" s="16" t="inlineStr">
        <is>
          <t>busqueda</t>
        </is>
      </c>
      <c r="I2905" s="16" t="inlineStr">
        <is>
          <t>KALINA</t>
        </is>
      </c>
      <c r="J2905" s="16" t="inlineStr">
        <is>
          <t>KALINA</t>
        </is>
      </c>
      <c r="K2905" s="16" t="b">
        <v>1</v>
      </c>
      <c r="L2905" s="16" t="b">
        <v>1</v>
      </c>
      <c r="M2905" s="16" t="b">
        <v>0</v>
      </c>
      <c r="N2905" s="16" t="b">
        <v>0</v>
      </c>
      <c r="O2905" s="16" t="n">
        <v>403</v>
      </c>
      <c r="P2905" s="16" t="n">
        <v>300.032917</v>
      </c>
      <c r="Q2905" s="16" t="n">
        <v>3000</v>
      </c>
      <c r="R2905" s="16" t="n">
        <v>400</v>
      </c>
      <c r="S2905" s="16" t="n">
        <v>0.5</v>
      </c>
      <c r="T2905" s="16" t="n">
        <v>0.95</v>
      </c>
      <c r="U2905" s="16" t="n">
        <v>0.75</v>
      </c>
      <c r="V2905" s="16" t="n">
        <v>0.85</v>
      </c>
      <c r="W2905" s="16" t="n">
        <v>0.95</v>
      </c>
      <c r="X2905" s="16" t="n">
        <v>0.95</v>
      </c>
      <c r="Y2905" s="16" t="n">
        <v>300.032917</v>
      </c>
      <c r="Z2905" s="16" t="n">
        <v>14.35740292690714</v>
      </c>
      <c r="AA2905" s="16" t="n">
        <v>36.81613975128165</v>
      </c>
      <c r="AB2905" s="16" t="n">
        <v>2600</v>
      </c>
      <c r="AC2905" s="16" t="n">
        <v>7.5</v>
      </c>
      <c r="AD2905" s="16" t="n"/>
      <c r="AE2905" s="16" t="n"/>
    </row>
    <row r="2906">
      <c r="A2906" s="16" t="inlineStr">
        <is>
          <t>KF-M07-A4-0085</t>
        </is>
      </c>
      <c r="B2906" s="16" t="inlineStr">
        <is>
          <t>5.1</t>
        </is>
      </c>
      <c r="C2906" s="16" t="inlineStr">
        <is>
          <t>5.1d</t>
        </is>
      </c>
      <c r="D2906" s="16" t="inlineStr">
        <is>
          <t>conserva sus presiones y su clima</t>
        </is>
      </c>
      <c r="E2906" s="16" t="inlineStr">
        <is>
          <t>KF-M07</t>
        </is>
      </c>
      <c r="F2906" s="16" t="inlineStr">
        <is>
          <t>KF-M07-A4</t>
        </is>
      </c>
      <c r="G2906" s="16" t="inlineStr">
        <is>
          <t>B11-A4</t>
        </is>
      </c>
      <c r="H2906" s="16" t="inlineStr">
        <is>
          <t>busqueda</t>
        </is>
      </c>
      <c r="I2906" s="16" t="inlineStr">
        <is>
          <t>CORREGIBLE</t>
        </is>
      </c>
      <c r="J2906" s="16" t="inlineStr">
        <is>
          <t>CORREGIBLE</t>
        </is>
      </c>
      <c r="K2906" s="16" t="b">
        <v>1</v>
      </c>
      <c r="L2906" s="16" t="b">
        <v>0</v>
      </c>
      <c r="M2906" s="16" t="b">
        <v>0</v>
      </c>
      <c r="N2906" s="16" t="b">
        <v>0</v>
      </c>
      <c r="O2906" s="16" t="n">
        <v>415</v>
      </c>
      <c r="P2906" s="16" t="n">
        <v>300.032917</v>
      </c>
      <c r="Q2906" s="16" t="n">
        <v>3000</v>
      </c>
      <c r="R2906" s="16" t="n">
        <v>400</v>
      </c>
      <c r="S2906" s="16" t="n">
        <v>0.535</v>
      </c>
      <c r="T2906" s="16" t="n">
        <v>0.95</v>
      </c>
      <c r="U2906" s="16" t="n">
        <v>0.75</v>
      </c>
      <c r="V2906" s="16" t="n">
        <v>0.85</v>
      </c>
      <c r="W2906" s="16" t="n">
        <v>0.95</v>
      </c>
      <c r="X2906" s="16" t="n">
        <v>0.95</v>
      </c>
      <c r="Y2906" s="16" t="n">
        <v>300.032917</v>
      </c>
      <c r="Z2906" s="16" t="n">
        <v>16.05918173381948</v>
      </c>
      <c r="AA2906" s="16" t="n">
        <v>79.31268801365191</v>
      </c>
      <c r="AB2906" s="16" t="n">
        <v>2600</v>
      </c>
      <c r="AC2906" s="16" t="n">
        <v>7.5</v>
      </c>
      <c r="AD2906" s="16" t="inlineStr">
        <is>
          <t>O2</t>
        </is>
      </c>
      <c r="AE2906" s="16" t="n"/>
    </row>
    <row r="2907">
      <c r="A2907" s="16" t="inlineStr">
        <is>
          <t>KF-M07-A4-0086</t>
        </is>
      </c>
      <c r="B2907" s="16" t="inlineStr">
        <is>
          <t>5.1</t>
        </is>
      </c>
      <c r="C2907" s="16" t="inlineStr">
        <is>
          <t>5.1d</t>
        </is>
      </c>
      <c r="D2907" s="16" t="inlineStr">
        <is>
          <t>conserva sus presiones y su clima</t>
        </is>
      </c>
      <c r="E2907" s="16" t="inlineStr">
        <is>
          <t>KF-M07</t>
        </is>
      </c>
      <c r="F2907" s="16" t="inlineStr">
        <is>
          <t>KF-M07-A4</t>
        </is>
      </c>
      <c r="G2907" s="16" t="inlineStr">
        <is>
          <t>B11-A4</t>
        </is>
      </c>
      <c r="H2907" s="16" t="inlineStr">
        <is>
          <t>busqueda</t>
        </is>
      </c>
      <c r="I2907" s="16" t="inlineStr">
        <is>
          <t>KALINA</t>
        </is>
      </c>
      <c r="J2907" s="16" t="inlineStr">
        <is>
          <t>KALINA</t>
        </is>
      </c>
      <c r="K2907" s="16" t="b">
        <v>1</v>
      </c>
      <c r="L2907" s="16" t="b">
        <v>1</v>
      </c>
      <c r="M2907" s="16" t="b">
        <v>0</v>
      </c>
      <c r="N2907" s="16" t="b">
        <v>0</v>
      </c>
      <c r="O2907" s="16" t="n">
        <v>415</v>
      </c>
      <c r="P2907" s="16" t="n">
        <v>300.032917</v>
      </c>
      <c r="Q2907" s="16" t="n">
        <v>3000</v>
      </c>
      <c r="R2907" s="16" t="n">
        <v>400</v>
      </c>
      <c r="S2907" s="16" t="n">
        <v>0.5</v>
      </c>
      <c r="T2907" s="16" t="n">
        <v>0.895</v>
      </c>
      <c r="U2907" s="16" t="n">
        <v>0.75</v>
      </c>
      <c r="V2907" s="16" t="n">
        <v>0.85</v>
      </c>
      <c r="W2907" s="16" t="n">
        <v>0.95</v>
      </c>
      <c r="X2907" s="16" t="n">
        <v>0.95</v>
      </c>
      <c r="Y2907" s="16" t="n">
        <v>300.032917</v>
      </c>
      <c r="Z2907" s="16" t="n">
        <v>14.43935877947456</v>
      </c>
      <c r="AA2907" s="16" t="n">
        <v>58.95539188379866</v>
      </c>
      <c r="AB2907" s="16" t="n">
        <v>2600</v>
      </c>
      <c r="AC2907" s="16" t="n">
        <v>7.5</v>
      </c>
      <c r="AD2907" s="16" t="n"/>
      <c r="AE2907" s="16" t="n"/>
    </row>
    <row r="2908">
      <c r="A2908" s="16" t="inlineStr">
        <is>
          <t>KF-M07-A4-0087</t>
        </is>
      </c>
      <c r="B2908" s="16" t="inlineStr">
        <is>
          <t>5.1</t>
        </is>
      </c>
      <c r="C2908" s="16" t="inlineStr">
        <is>
          <t>5.1d</t>
        </is>
      </c>
      <c r="D2908" s="16" t="inlineStr">
        <is>
          <t>conserva sus presiones y su clima</t>
        </is>
      </c>
      <c r="E2908" s="16" t="inlineStr">
        <is>
          <t>KF-M07</t>
        </is>
      </c>
      <c r="F2908" s="16" t="inlineStr">
        <is>
          <t>KF-M07-A4</t>
        </is>
      </c>
      <c r="G2908" s="16" t="inlineStr">
        <is>
          <t>B11-A4</t>
        </is>
      </c>
      <c r="H2908" s="16" t="inlineStr">
        <is>
          <t>busqueda</t>
        </is>
      </c>
      <c r="I2908" s="16" t="inlineStr">
        <is>
          <t>KALINA</t>
        </is>
      </c>
      <c r="J2908" s="16" t="inlineStr">
        <is>
          <t>KALINA</t>
        </is>
      </c>
      <c r="K2908" s="16" t="b">
        <v>1</v>
      </c>
      <c r="L2908" s="16" t="b">
        <v>1</v>
      </c>
      <c r="M2908" s="16" t="b">
        <v>0</v>
      </c>
      <c r="N2908" s="16" t="b">
        <v>0</v>
      </c>
      <c r="O2908" s="16" t="n">
        <v>415</v>
      </c>
      <c r="P2908" s="16" t="n">
        <v>300.032917</v>
      </c>
      <c r="Q2908" s="16" t="n">
        <v>3000</v>
      </c>
      <c r="R2908" s="16" t="n">
        <v>400</v>
      </c>
      <c r="S2908" s="16" t="n">
        <v>0.5</v>
      </c>
      <c r="T2908" s="16" t="n">
        <v>0.95</v>
      </c>
      <c r="U2908" s="16" t="n">
        <v>0.8049999999999999</v>
      </c>
      <c r="V2908" s="16" t="n">
        <v>0.85</v>
      </c>
      <c r="W2908" s="16" t="n">
        <v>0.95</v>
      </c>
      <c r="X2908" s="16" t="n">
        <v>0.95</v>
      </c>
      <c r="Y2908" s="16" t="n">
        <v>300.032917</v>
      </c>
      <c r="Z2908" s="16" t="n">
        <v>15.45592814854537</v>
      </c>
      <c r="AA2908" s="16" t="n">
        <v>63.12491245690914</v>
      </c>
      <c r="AB2908" s="16" t="n">
        <v>2600</v>
      </c>
      <c r="AC2908" s="16" t="n">
        <v>7.5</v>
      </c>
      <c r="AD2908" s="16" t="n"/>
      <c r="AE2908" s="16" t="n"/>
    </row>
    <row r="2909">
      <c r="A2909" s="16" t="inlineStr">
        <is>
          <t>KF-M07-A4-0088</t>
        </is>
      </c>
      <c r="B2909" s="16" t="inlineStr">
        <is>
          <t>5.1</t>
        </is>
      </c>
      <c r="C2909" s="16" t="inlineStr">
        <is>
          <t>5.1d</t>
        </is>
      </c>
      <c r="D2909" s="16" t="inlineStr">
        <is>
          <t>conserva sus presiones y su clima</t>
        </is>
      </c>
      <c r="E2909" s="16" t="inlineStr">
        <is>
          <t>KF-M07</t>
        </is>
      </c>
      <c r="F2909" s="16" t="inlineStr">
        <is>
          <t>KF-M07-A4</t>
        </is>
      </c>
      <c r="G2909" s="16" t="inlineStr">
        <is>
          <t>B11-A4</t>
        </is>
      </c>
      <c r="H2909" s="16" t="inlineStr">
        <is>
          <t>busqueda</t>
        </is>
      </c>
      <c r="I2909" s="16" t="inlineStr">
        <is>
          <t>KALINA</t>
        </is>
      </c>
      <c r="J2909" s="16" t="inlineStr">
        <is>
          <t>KALINA</t>
        </is>
      </c>
      <c r="K2909" s="16" t="b">
        <v>1</v>
      </c>
      <c r="L2909" s="16" t="b">
        <v>1</v>
      </c>
      <c r="M2909" s="16" t="b">
        <v>0</v>
      </c>
      <c r="N2909" s="16" t="b">
        <v>0</v>
      </c>
      <c r="O2909" s="16" t="n">
        <v>415</v>
      </c>
      <c r="P2909" s="16" t="n">
        <v>300.032917</v>
      </c>
      <c r="Q2909" s="16" t="n">
        <v>3000</v>
      </c>
      <c r="R2909" s="16" t="n">
        <v>400</v>
      </c>
      <c r="S2909" s="16" t="n">
        <v>0.5</v>
      </c>
      <c r="T2909" s="16" t="n">
        <v>0.95</v>
      </c>
      <c r="U2909" s="16" t="n">
        <v>0.6950000000000001</v>
      </c>
      <c r="V2909" s="16" t="n">
        <v>0.85</v>
      </c>
      <c r="W2909" s="16" t="n">
        <v>0.95</v>
      </c>
      <c r="X2909" s="16" t="n">
        <v>0.95</v>
      </c>
      <c r="Y2909" s="16" t="n">
        <v>300.032917</v>
      </c>
      <c r="Z2909" s="16" t="n">
        <v>15.30999011785465</v>
      </c>
      <c r="AA2909" s="16" t="n">
        <v>62.50469211454389</v>
      </c>
      <c r="AB2909" s="16" t="n">
        <v>2600</v>
      </c>
      <c r="AC2909" s="16" t="n">
        <v>7.5</v>
      </c>
      <c r="AD2909" s="16" t="n"/>
      <c r="AE2909" s="16" t="n"/>
    </row>
    <row r="2910">
      <c r="A2910" s="16" t="inlineStr">
        <is>
          <t>KF-M07-A4-0089</t>
        </is>
      </c>
      <c r="B2910" s="16" t="inlineStr">
        <is>
          <t>5.1</t>
        </is>
      </c>
      <c r="C2910" s="16" t="inlineStr">
        <is>
          <t>5.1d</t>
        </is>
      </c>
      <c r="D2910" s="16" t="inlineStr">
        <is>
          <t>conserva sus presiones y su clima</t>
        </is>
      </c>
      <c r="E2910" s="16" t="inlineStr">
        <is>
          <t>KF-M07</t>
        </is>
      </c>
      <c r="F2910" s="16" t="inlineStr">
        <is>
          <t>KF-M07-A4</t>
        </is>
      </c>
      <c r="G2910" s="16" t="inlineStr">
        <is>
          <t>B11-A4</t>
        </is>
      </c>
      <c r="H2910" s="16" t="inlineStr">
        <is>
          <t>busqueda</t>
        </is>
      </c>
      <c r="I2910" s="16" t="inlineStr">
        <is>
          <t>KALINA</t>
        </is>
      </c>
      <c r="J2910" s="16" t="inlineStr">
        <is>
          <t>KALINA</t>
        </is>
      </c>
      <c r="K2910" s="16" t="b">
        <v>1</v>
      </c>
      <c r="L2910" s="16" t="b">
        <v>1</v>
      </c>
      <c r="M2910" s="16" t="b">
        <v>0</v>
      </c>
      <c r="N2910" s="16" t="b">
        <v>0</v>
      </c>
      <c r="O2910" s="16" t="n">
        <v>415</v>
      </c>
      <c r="P2910" s="16" t="n">
        <v>300.032917</v>
      </c>
      <c r="Q2910" s="16" t="n">
        <v>3000</v>
      </c>
      <c r="R2910" s="16" t="n">
        <v>400</v>
      </c>
      <c r="S2910" s="16" t="n">
        <v>0.5</v>
      </c>
      <c r="T2910" s="16" t="n">
        <v>0.95</v>
      </c>
      <c r="U2910" s="16" t="n">
        <v>0.75</v>
      </c>
      <c r="V2910" s="16" t="n">
        <v>0.905</v>
      </c>
      <c r="W2910" s="16" t="n">
        <v>0.95</v>
      </c>
      <c r="X2910" s="16" t="n">
        <v>0.95</v>
      </c>
      <c r="Y2910" s="16" t="n">
        <v>300.032917</v>
      </c>
      <c r="Z2910" s="16" t="n">
        <v>15.47807094977513</v>
      </c>
      <c r="AA2910" s="16" t="n">
        <v>67.37329969697572</v>
      </c>
      <c r="AB2910" s="16" t="n">
        <v>2600</v>
      </c>
      <c r="AC2910" s="16" t="n">
        <v>7.5</v>
      </c>
      <c r="AD2910" s="16" t="n"/>
      <c r="AE2910" s="16" t="n"/>
    </row>
    <row r="2911">
      <c r="A2911" s="16" t="inlineStr">
        <is>
          <t>KF-M07-A4-0090</t>
        </is>
      </c>
      <c r="B2911" s="16" t="inlineStr">
        <is>
          <t>5.1</t>
        </is>
      </c>
      <c r="C2911" s="16" t="inlineStr">
        <is>
          <t>5.1d</t>
        </is>
      </c>
      <c r="D2911" s="16" t="inlineStr">
        <is>
          <t>conserva sus presiones y su clima</t>
        </is>
      </c>
      <c r="E2911" s="16" t="inlineStr">
        <is>
          <t>KF-M07</t>
        </is>
      </c>
      <c r="F2911" s="16" t="inlineStr">
        <is>
          <t>KF-M07-A4</t>
        </is>
      </c>
      <c r="G2911" s="16" t="inlineStr">
        <is>
          <t>B11-A4</t>
        </is>
      </c>
      <c r="H2911" s="16" t="inlineStr">
        <is>
          <t>busqueda</t>
        </is>
      </c>
      <c r="I2911" s="16" t="inlineStr">
        <is>
          <t>KALINA</t>
        </is>
      </c>
      <c r="J2911" s="16" t="inlineStr">
        <is>
          <t>KALINA</t>
        </is>
      </c>
      <c r="K2911" s="16" t="b">
        <v>1</v>
      </c>
      <c r="L2911" s="16" t="b">
        <v>1</v>
      </c>
      <c r="M2911" s="16" t="b">
        <v>0</v>
      </c>
      <c r="N2911" s="16" t="b">
        <v>0</v>
      </c>
      <c r="O2911" s="16" t="n">
        <v>415</v>
      </c>
      <c r="P2911" s="16" t="n">
        <v>300.032917</v>
      </c>
      <c r="Q2911" s="16" t="n">
        <v>3000</v>
      </c>
      <c r="R2911" s="16" t="n">
        <v>400</v>
      </c>
      <c r="S2911" s="16" t="n">
        <v>0.5</v>
      </c>
      <c r="T2911" s="16" t="n">
        <v>0.95</v>
      </c>
      <c r="U2911" s="16" t="n">
        <v>0.75</v>
      </c>
      <c r="V2911" s="16" t="n">
        <v>0.795</v>
      </c>
      <c r="W2911" s="16" t="n">
        <v>0.95</v>
      </c>
      <c r="X2911" s="16" t="n">
        <v>0.95</v>
      </c>
      <c r="Y2911" s="16" t="n">
        <v>300.032917</v>
      </c>
      <c r="Z2911" s="16" t="n">
        <v>15.27972059831128</v>
      </c>
      <c r="AA2911" s="16" t="n">
        <v>58.30343019824237</v>
      </c>
      <c r="AB2911" s="16" t="n">
        <v>2600</v>
      </c>
      <c r="AC2911" s="16" t="n">
        <v>7.5</v>
      </c>
      <c r="AD2911" s="16" t="n"/>
      <c r="AE2911" s="16" t="n"/>
    </row>
    <row r="2912">
      <c r="A2912" s="16" t="inlineStr">
        <is>
          <t>KF-M07-A4-0091</t>
        </is>
      </c>
      <c r="B2912" s="16" t="inlineStr">
        <is>
          <t>5.1</t>
        </is>
      </c>
      <c r="C2912" s="16" t="inlineStr">
        <is>
          <t>5.1d</t>
        </is>
      </c>
      <c r="D2912" s="16" t="inlineStr">
        <is>
          <t>conserva sus presiones y su clima</t>
        </is>
      </c>
      <c r="E2912" s="16" t="inlineStr">
        <is>
          <t>KF-M07</t>
        </is>
      </c>
      <c r="F2912" s="16" t="inlineStr">
        <is>
          <t>KF-M07-A4</t>
        </is>
      </c>
      <c r="G2912" s="16" t="inlineStr">
        <is>
          <t>B11-A4</t>
        </is>
      </c>
      <c r="H2912" s="16" t="inlineStr">
        <is>
          <t>busqueda</t>
        </is>
      </c>
      <c r="I2912" s="16" t="inlineStr">
        <is>
          <t>KALINA</t>
        </is>
      </c>
      <c r="J2912" s="16" t="inlineStr">
        <is>
          <t>KALINA</t>
        </is>
      </c>
      <c r="K2912" s="16" t="b">
        <v>1</v>
      </c>
      <c r="L2912" s="16" t="b">
        <v>1</v>
      </c>
      <c r="M2912" s="16" t="b">
        <v>0</v>
      </c>
      <c r="N2912" s="16" t="b">
        <v>0</v>
      </c>
      <c r="O2912" s="16" t="n">
        <v>415</v>
      </c>
      <c r="P2912" s="16" t="n">
        <v>300.032917</v>
      </c>
      <c r="Q2912" s="16" t="n">
        <v>3000</v>
      </c>
      <c r="R2912" s="16" t="n">
        <v>400</v>
      </c>
      <c r="S2912" s="16" t="n">
        <v>0.5</v>
      </c>
      <c r="T2912" s="16" t="n">
        <v>0.95</v>
      </c>
      <c r="U2912" s="16" t="n">
        <v>0.75</v>
      </c>
      <c r="V2912" s="16" t="n">
        <v>0.85</v>
      </c>
      <c r="W2912" s="16" t="n">
        <v>0.895</v>
      </c>
      <c r="X2912" s="16" t="n">
        <v>0.95</v>
      </c>
      <c r="Y2912" s="16" t="n">
        <v>300.032917</v>
      </c>
      <c r="Z2912" s="16" t="n">
        <v>14.61661897857167</v>
      </c>
      <c r="AA2912" s="16" t="n">
        <v>62.29442433401123</v>
      </c>
      <c r="AB2912" s="16" t="n">
        <v>2600</v>
      </c>
      <c r="AC2912" s="16" t="n">
        <v>7.5</v>
      </c>
      <c r="AD2912" s="16" t="n"/>
      <c r="AE2912" s="16" t="n"/>
    </row>
    <row r="2913">
      <c r="A2913" s="16" t="inlineStr">
        <is>
          <t>KF-M07-A4-0092</t>
        </is>
      </c>
      <c r="B2913" s="16" t="inlineStr">
        <is>
          <t>5.1</t>
        </is>
      </c>
      <c r="C2913" s="16" t="inlineStr">
        <is>
          <t>5.1d</t>
        </is>
      </c>
      <c r="D2913" s="16" t="inlineStr">
        <is>
          <t>conserva sus presiones y su clima</t>
        </is>
      </c>
      <c r="E2913" s="16" t="inlineStr">
        <is>
          <t>KF-M07</t>
        </is>
      </c>
      <c r="F2913" s="16" t="inlineStr">
        <is>
          <t>KF-M07-A4</t>
        </is>
      </c>
      <c r="G2913" s="16" t="inlineStr">
        <is>
          <t>B11-A4</t>
        </is>
      </c>
      <c r="H2913" s="16" t="inlineStr">
        <is>
          <t>busqueda</t>
        </is>
      </c>
      <c r="I2913" s="16" t="inlineStr">
        <is>
          <t>CORREGIBLE</t>
        </is>
      </c>
      <c r="J2913" s="16" t="inlineStr">
        <is>
          <t>CORREGIBLE</t>
        </is>
      </c>
      <c r="K2913" s="16" t="b">
        <v>1</v>
      </c>
      <c r="L2913" s="16" t="b">
        <v>0</v>
      </c>
      <c r="M2913" s="16" t="b">
        <v>0</v>
      </c>
      <c r="N2913" s="16" t="b">
        <v>0</v>
      </c>
      <c r="O2913" s="16" t="n">
        <v>415</v>
      </c>
      <c r="P2913" s="16" t="n">
        <v>300.032917</v>
      </c>
      <c r="Q2913" s="16" t="n">
        <v>3000</v>
      </c>
      <c r="R2913" s="16" t="n">
        <v>400</v>
      </c>
      <c r="S2913" s="16" t="n">
        <v>0.5</v>
      </c>
      <c r="T2913" s="16" t="n">
        <v>0.95</v>
      </c>
      <c r="U2913" s="16" t="n">
        <v>0.75</v>
      </c>
      <c r="V2913" s="16" t="n">
        <v>0.85</v>
      </c>
      <c r="W2913" s="16" t="n">
        <v>0.95</v>
      </c>
      <c r="X2913" s="16" t="n">
        <v>0.895</v>
      </c>
      <c r="Y2913" s="16" t="n">
        <v>300.032917</v>
      </c>
      <c r="Z2913" s="16" t="n">
        <v>15.59185608503708</v>
      </c>
      <c r="AA2913" s="16" t="n">
        <v>62.83826862366875</v>
      </c>
      <c r="AB2913" s="16" t="n">
        <v>2600</v>
      </c>
      <c r="AC2913" s="16" t="n">
        <v>7.5</v>
      </c>
      <c r="AD2913" s="16" t="inlineStr">
        <is>
          <t>O2</t>
        </is>
      </c>
      <c r="AE2913" s="16" t="n"/>
    </row>
    <row r="2914">
      <c r="A2914" s="16" t="inlineStr">
        <is>
          <t>KF-M07-A4-0093</t>
        </is>
      </c>
      <c r="B2914" s="16" t="inlineStr">
        <is>
          <t>5.1</t>
        </is>
      </c>
      <c r="C2914" s="16" t="inlineStr">
        <is>
          <t>5.1d</t>
        </is>
      </c>
      <c r="D2914" s="16" t="inlineStr">
        <is>
          <t>conserva sus presiones y su clima</t>
        </is>
      </c>
      <c r="E2914" s="16" t="inlineStr">
        <is>
          <t>KF-M07</t>
        </is>
      </c>
      <c r="F2914" s="16" t="inlineStr">
        <is>
          <t>KF-M07-A4</t>
        </is>
      </c>
      <c r="G2914" s="16" t="inlineStr">
        <is>
          <t>B11-A4</t>
        </is>
      </c>
      <c r="H2914" s="16" t="inlineStr">
        <is>
          <t>busqueda</t>
        </is>
      </c>
      <c r="I2914" s="16" t="inlineStr">
        <is>
          <t>CORREGIBLE</t>
        </is>
      </c>
      <c r="J2914" s="16" t="inlineStr">
        <is>
          <t>CORREGIBLE</t>
        </is>
      </c>
      <c r="K2914" s="16" t="b">
        <v>1</v>
      </c>
      <c r="L2914" s="16" t="b">
        <v>0</v>
      </c>
      <c r="M2914" s="16" t="b">
        <v>1</v>
      </c>
      <c r="N2914" s="16" t="b">
        <v>0</v>
      </c>
      <c r="O2914" s="16" t="n">
        <v>427</v>
      </c>
      <c r="P2914" s="16" t="n">
        <v>300.032917</v>
      </c>
      <c r="Q2914" s="16" t="n">
        <v>3000</v>
      </c>
      <c r="R2914" s="16" t="n">
        <v>400</v>
      </c>
      <c r="S2914" s="16" t="n">
        <v>0.5</v>
      </c>
      <c r="T2914" s="16" t="n">
        <v>0.95</v>
      </c>
      <c r="U2914" s="16" t="n">
        <v>0.75</v>
      </c>
      <c r="V2914" s="16" t="n">
        <v>0.905</v>
      </c>
      <c r="W2914" s="16" t="n">
        <v>0.95</v>
      </c>
      <c r="X2914" s="16" t="n">
        <v>0.95</v>
      </c>
      <c r="Y2914" s="16" t="n">
        <v>300.032917</v>
      </c>
      <c r="Z2914" s="16" t="n">
        <v>15.75294661445909</v>
      </c>
      <c r="AA2914" s="16" t="n">
        <v>96.19104623554512</v>
      </c>
      <c r="AB2914" s="16" t="n">
        <v>2600</v>
      </c>
      <c r="AC2914" s="16" t="n">
        <v>7.5</v>
      </c>
      <c r="AD2914" s="16" t="inlineStr">
        <is>
          <t>O2</t>
        </is>
      </c>
      <c r="AE2914" s="16" t="n"/>
    </row>
    <row r="2915">
      <c r="A2915" s="16" t="inlineStr">
        <is>
          <t>KF-M07-A4-0094</t>
        </is>
      </c>
      <c r="B2915" s="16" t="inlineStr">
        <is>
          <t>5.1</t>
        </is>
      </c>
      <c r="C2915" s="16" t="inlineStr">
        <is>
          <t>5.1d</t>
        </is>
      </c>
      <c r="D2915" s="16" t="inlineStr">
        <is>
          <t>conserva sus presiones y su clima</t>
        </is>
      </c>
      <c r="E2915" s="16" t="inlineStr">
        <is>
          <t>KF-M07</t>
        </is>
      </c>
      <c r="F2915" s="16" t="inlineStr">
        <is>
          <t>KF-M07-A4</t>
        </is>
      </c>
      <c r="G2915" s="16" t="inlineStr">
        <is>
          <t>B11-A4</t>
        </is>
      </c>
      <c r="H2915" s="16" t="inlineStr">
        <is>
          <t>busqueda</t>
        </is>
      </c>
      <c r="I2915" s="16" t="inlineStr">
        <is>
          <t>KALINA</t>
        </is>
      </c>
      <c r="J2915" s="16" t="inlineStr">
        <is>
          <t>KALINA</t>
        </is>
      </c>
      <c r="K2915" s="16" t="b">
        <v>1</v>
      </c>
      <c r="L2915" s="16" t="b">
        <v>1</v>
      </c>
      <c r="M2915" s="16" t="b">
        <v>0</v>
      </c>
      <c r="N2915" s="16" t="b">
        <v>0</v>
      </c>
      <c r="O2915" s="16" t="n">
        <v>403</v>
      </c>
      <c r="P2915" s="16" t="n">
        <v>300.032917</v>
      </c>
      <c r="Q2915" s="16" t="n">
        <v>3000</v>
      </c>
      <c r="R2915" s="16" t="n">
        <v>400</v>
      </c>
      <c r="S2915" s="16" t="n">
        <v>0.5</v>
      </c>
      <c r="T2915" s="16" t="n">
        <v>0.95</v>
      </c>
      <c r="U2915" s="16" t="n">
        <v>0.75</v>
      </c>
      <c r="V2915" s="16" t="n">
        <v>0.905</v>
      </c>
      <c r="W2915" s="16" t="n">
        <v>0.95</v>
      </c>
      <c r="X2915" s="16" t="n">
        <v>0.95</v>
      </c>
      <c r="Y2915" s="16" t="n">
        <v>300.032917</v>
      </c>
      <c r="Z2915" s="16" t="n">
        <v>14.53675789554302</v>
      </c>
      <c r="AA2915" s="16" t="n">
        <v>39.69063774204135</v>
      </c>
      <c r="AB2915" s="16" t="n">
        <v>2600</v>
      </c>
      <c r="AC2915" s="16" t="n">
        <v>7.5</v>
      </c>
      <c r="AD2915" s="16" t="n"/>
      <c r="AE2915" s="16" t="n"/>
    </row>
    <row r="2916">
      <c r="A2916" s="16" t="inlineStr">
        <is>
          <t>KF-M07-A4-0095</t>
        </is>
      </c>
      <c r="B2916" s="16" t="inlineStr">
        <is>
          <t>5.1</t>
        </is>
      </c>
      <c r="C2916" s="16" t="inlineStr">
        <is>
          <t>5.1d</t>
        </is>
      </c>
      <c r="D2916" s="16" t="inlineStr">
        <is>
          <t>conserva sus presiones y su clima</t>
        </is>
      </c>
      <c r="E2916" s="16" t="inlineStr">
        <is>
          <t>KF-M07</t>
        </is>
      </c>
      <c r="F2916" s="16" t="inlineStr">
        <is>
          <t>KF-M07-A4</t>
        </is>
      </c>
      <c r="G2916" s="16" t="inlineStr">
        <is>
          <t>B11-A4</t>
        </is>
      </c>
      <c r="H2916" s="16" t="inlineStr">
        <is>
          <t>busqueda</t>
        </is>
      </c>
      <c r="I2916" s="16" t="inlineStr">
        <is>
          <t>CORREGIBLE</t>
        </is>
      </c>
      <c r="J2916" s="16" t="inlineStr">
        <is>
          <t>CORREGIBLE</t>
        </is>
      </c>
      <c r="K2916" s="16" t="b">
        <v>1</v>
      </c>
      <c r="L2916" s="16" t="b">
        <v>0</v>
      </c>
      <c r="M2916" s="16" t="b">
        <v>0</v>
      </c>
      <c r="N2916" s="16" t="b">
        <v>0</v>
      </c>
      <c r="O2916" s="16" t="n">
        <v>415</v>
      </c>
      <c r="P2916" s="16" t="n">
        <v>300.032917</v>
      </c>
      <c r="Q2916" s="16" t="n">
        <v>3000</v>
      </c>
      <c r="R2916" s="16" t="n">
        <v>400</v>
      </c>
      <c r="S2916" s="16" t="n">
        <v>0.535</v>
      </c>
      <c r="T2916" s="16" t="n">
        <v>0.95</v>
      </c>
      <c r="U2916" s="16" t="n">
        <v>0.75</v>
      </c>
      <c r="V2916" s="16" t="n">
        <v>0.905</v>
      </c>
      <c r="W2916" s="16" t="n">
        <v>0.95</v>
      </c>
      <c r="X2916" s="16" t="n">
        <v>0.95</v>
      </c>
      <c r="Y2916" s="16" t="n">
        <v>300.032917</v>
      </c>
      <c r="Z2916" s="16" t="n">
        <v>16.11667272563153</v>
      </c>
      <c r="AA2916" s="16" t="n">
        <v>84.85145538652222</v>
      </c>
      <c r="AB2916" s="16" t="n">
        <v>2600</v>
      </c>
      <c r="AC2916" s="16" t="n">
        <v>7.5</v>
      </c>
      <c r="AD2916" s="16" t="inlineStr">
        <is>
          <t>O2</t>
        </is>
      </c>
      <c r="AE2916" s="16" t="n"/>
    </row>
    <row r="2917">
      <c r="A2917" s="16" t="inlineStr">
        <is>
          <t>KF-M07-A4-0096</t>
        </is>
      </c>
      <c r="B2917" s="16" t="inlineStr">
        <is>
          <t>5.1</t>
        </is>
      </c>
      <c r="C2917" s="16" t="inlineStr">
        <is>
          <t>5.1d</t>
        </is>
      </c>
      <c r="D2917" s="16" t="inlineStr">
        <is>
          <t>conserva sus presiones y su clima</t>
        </is>
      </c>
      <c r="E2917" s="16" t="inlineStr">
        <is>
          <t>KF-M07</t>
        </is>
      </c>
      <c r="F2917" s="16" t="inlineStr">
        <is>
          <t>KF-M07-A4</t>
        </is>
      </c>
      <c r="G2917" s="16" t="inlineStr">
        <is>
          <t>B11-A4</t>
        </is>
      </c>
      <c r="H2917" s="16" t="inlineStr">
        <is>
          <t>busqueda</t>
        </is>
      </c>
      <c r="I2917" s="16" t="inlineStr">
        <is>
          <t>KALINA</t>
        </is>
      </c>
      <c r="J2917" s="16" t="inlineStr">
        <is>
          <t>KALINA</t>
        </is>
      </c>
      <c r="K2917" s="16" t="b">
        <v>1</v>
      </c>
      <c r="L2917" s="16" t="b">
        <v>1</v>
      </c>
      <c r="M2917" s="16" t="b">
        <v>0</v>
      </c>
      <c r="N2917" s="16" t="b">
        <v>0</v>
      </c>
      <c r="O2917" s="16" t="n">
        <v>415</v>
      </c>
      <c r="P2917" s="16" t="n">
        <v>300.032917</v>
      </c>
      <c r="Q2917" s="16" t="n">
        <v>3000</v>
      </c>
      <c r="R2917" s="16" t="n">
        <v>400</v>
      </c>
      <c r="S2917" s="16" t="n">
        <v>0.5</v>
      </c>
      <c r="T2917" s="16" t="n">
        <v>0.895</v>
      </c>
      <c r="U2917" s="16" t="n">
        <v>0.75</v>
      </c>
      <c r="V2917" s="16" t="n">
        <v>0.905</v>
      </c>
      <c r="W2917" s="16" t="n">
        <v>0.95</v>
      </c>
      <c r="X2917" s="16" t="n">
        <v>0.95</v>
      </c>
      <c r="Y2917" s="16" t="n">
        <v>300.032917</v>
      </c>
      <c r="Z2917" s="16" t="n">
        <v>14.52771503797724</v>
      </c>
      <c r="AA2917" s="16" t="n">
        <v>63.22805394475225</v>
      </c>
      <c r="AB2917" s="16" t="n">
        <v>2600</v>
      </c>
      <c r="AC2917" s="16" t="n">
        <v>7.5</v>
      </c>
      <c r="AD2917" s="16" t="n"/>
      <c r="AE2917" s="16" t="n"/>
    </row>
    <row r="2918">
      <c r="A2918" s="16" t="inlineStr">
        <is>
          <t>KF-M07-A4-0097</t>
        </is>
      </c>
      <c r="B2918" s="16" t="inlineStr">
        <is>
          <t>5.1</t>
        </is>
      </c>
      <c r="C2918" s="16" t="inlineStr">
        <is>
          <t>5.1d</t>
        </is>
      </c>
      <c r="D2918" s="16" t="inlineStr">
        <is>
          <t>conserva sus presiones y su clima</t>
        </is>
      </c>
      <c r="E2918" s="16" t="inlineStr">
        <is>
          <t>KF-M07</t>
        </is>
      </c>
      <c r="F2918" s="16" t="inlineStr">
        <is>
          <t>KF-M07-A4</t>
        </is>
      </c>
      <c r="G2918" s="16" t="inlineStr">
        <is>
          <t>B11-A4</t>
        </is>
      </c>
      <c r="H2918" s="16" t="inlineStr">
        <is>
          <t>busqueda</t>
        </is>
      </c>
      <c r="I2918" s="16" t="inlineStr">
        <is>
          <t>KALINA</t>
        </is>
      </c>
      <c r="J2918" s="16" t="inlineStr">
        <is>
          <t>KALINA</t>
        </is>
      </c>
      <c r="K2918" s="16" t="b">
        <v>1</v>
      </c>
      <c r="L2918" s="16" t="b">
        <v>1</v>
      </c>
      <c r="M2918" s="16" t="b">
        <v>0</v>
      </c>
      <c r="N2918" s="16" t="b">
        <v>0</v>
      </c>
      <c r="O2918" s="16" t="n">
        <v>415</v>
      </c>
      <c r="P2918" s="16" t="n">
        <v>300.032917</v>
      </c>
      <c r="Q2918" s="16" t="n">
        <v>3000</v>
      </c>
      <c r="R2918" s="16" t="n">
        <v>400</v>
      </c>
      <c r="S2918" s="16" t="n">
        <v>0.5</v>
      </c>
      <c r="T2918" s="16" t="n">
        <v>0.95</v>
      </c>
      <c r="U2918" s="16" t="n">
        <v>0.8049999999999999</v>
      </c>
      <c r="V2918" s="16" t="n">
        <v>0.905</v>
      </c>
      <c r="W2918" s="16" t="n">
        <v>0.95</v>
      </c>
      <c r="X2918" s="16" t="n">
        <v>0.95</v>
      </c>
      <c r="Y2918" s="16" t="n">
        <v>300.032917</v>
      </c>
      <c r="Z2918" s="16" t="n">
        <v>15.54135973901577</v>
      </c>
      <c r="AA2918" s="16" t="n">
        <v>67.66149904208571</v>
      </c>
      <c r="AB2918" s="16" t="n">
        <v>2600</v>
      </c>
      <c r="AC2918" s="16" t="n">
        <v>7.5</v>
      </c>
      <c r="AD2918" s="16" t="n"/>
      <c r="AE2918" s="16" t="n"/>
    </row>
    <row r="2919">
      <c r="A2919" s="16" t="inlineStr">
        <is>
          <t>KF-M07-A4-0098</t>
        </is>
      </c>
      <c r="B2919" s="16" t="inlineStr">
        <is>
          <t>5.1</t>
        </is>
      </c>
      <c r="C2919" s="16" t="inlineStr">
        <is>
          <t>5.1d</t>
        </is>
      </c>
      <c r="D2919" s="16" t="inlineStr">
        <is>
          <t>conserva sus presiones y su clima</t>
        </is>
      </c>
      <c r="E2919" s="16" t="inlineStr">
        <is>
          <t>KF-M07</t>
        </is>
      </c>
      <c r="F2919" s="16" t="inlineStr">
        <is>
          <t>KF-M07-A4</t>
        </is>
      </c>
      <c r="G2919" s="16" t="inlineStr">
        <is>
          <t>B11-A4</t>
        </is>
      </c>
      <c r="H2919" s="16" t="inlineStr">
        <is>
          <t>busqueda</t>
        </is>
      </c>
      <c r="I2919" s="16" t="inlineStr">
        <is>
          <t>KALINA</t>
        </is>
      </c>
      <c r="J2919" s="16" t="inlineStr">
        <is>
          <t>KALINA</t>
        </is>
      </c>
      <c r="K2919" s="16" t="b">
        <v>1</v>
      </c>
      <c r="L2919" s="16" t="b">
        <v>1</v>
      </c>
      <c r="M2919" s="16" t="b">
        <v>0</v>
      </c>
      <c r="N2919" s="16" t="b">
        <v>0</v>
      </c>
      <c r="O2919" s="16" t="n">
        <v>415</v>
      </c>
      <c r="P2919" s="16" t="n">
        <v>300.032917</v>
      </c>
      <c r="Q2919" s="16" t="n">
        <v>3000</v>
      </c>
      <c r="R2919" s="16" t="n">
        <v>400</v>
      </c>
      <c r="S2919" s="16" t="n">
        <v>0.5</v>
      </c>
      <c r="T2919" s="16" t="n">
        <v>0.95</v>
      </c>
      <c r="U2919" s="16" t="n">
        <v>0.6950000000000001</v>
      </c>
      <c r="V2919" s="16" t="n">
        <v>0.905</v>
      </c>
      <c r="W2919" s="16" t="n">
        <v>0.95</v>
      </c>
      <c r="X2919" s="16" t="n">
        <v>0.95</v>
      </c>
      <c r="Y2919" s="16" t="n">
        <v>300.032917</v>
      </c>
      <c r="Z2919" s="16" t="n">
        <v>15.4047350236186</v>
      </c>
      <c r="AA2919" s="16" t="n">
        <v>67.03948410074005</v>
      </c>
      <c r="AB2919" s="16" t="n">
        <v>2600</v>
      </c>
      <c r="AC2919" s="16" t="n">
        <v>7.5</v>
      </c>
      <c r="AD2919" s="16" t="n"/>
      <c r="AE2919" s="16" t="n"/>
    </row>
    <row r="2920">
      <c r="A2920" s="16" t="inlineStr">
        <is>
          <t>KF-M07-A4-0099</t>
        </is>
      </c>
      <c r="B2920" s="16" t="inlineStr">
        <is>
          <t>5.1</t>
        </is>
      </c>
      <c r="C2920" s="16" t="inlineStr">
        <is>
          <t>5.1d</t>
        </is>
      </c>
      <c r="D2920" s="16" t="inlineStr">
        <is>
          <t>conserva sus presiones y su clima</t>
        </is>
      </c>
      <c r="E2920" s="16" t="inlineStr">
        <is>
          <t>KF-M07</t>
        </is>
      </c>
      <c r="F2920" s="16" t="inlineStr">
        <is>
          <t>KF-M07-A4</t>
        </is>
      </c>
      <c r="G2920" s="16" t="inlineStr">
        <is>
          <t>B11-A4</t>
        </is>
      </c>
      <c r="H2920" s="16" t="inlineStr">
        <is>
          <t>busqueda</t>
        </is>
      </c>
      <c r="I2920" s="16" t="inlineStr">
        <is>
          <t>KALINA</t>
        </is>
      </c>
      <c r="J2920" s="16" t="inlineStr">
        <is>
          <t>KALINA</t>
        </is>
      </c>
      <c r="K2920" s="16" t="b">
        <v>1</v>
      </c>
      <c r="L2920" s="16" t="b">
        <v>1</v>
      </c>
      <c r="M2920" s="16" t="b">
        <v>0</v>
      </c>
      <c r="N2920" s="16" t="b">
        <v>0</v>
      </c>
      <c r="O2920" s="16" t="n">
        <v>415</v>
      </c>
      <c r="P2920" s="16" t="n">
        <v>300.032917</v>
      </c>
      <c r="Q2920" s="16" t="n">
        <v>3000</v>
      </c>
      <c r="R2920" s="16" t="n">
        <v>400</v>
      </c>
      <c r="S2920" s="16" t="n">
        <v>0.5</v>
      </c>
      <c r="T2920" s="16" t="n">
        <v>0.95</v>
      </c>
      <c r="U2920" s="16" t="n">
        <v>0.75</v>
      </c>
      <c r="V2920" s="16" t="n">
        <v>0.95</v>
      </c>
      <c r="W2920" s="16" t="n">
        <v>0.95</v>
      </c>
      <c r="X2920" s="16" t="n">
        <v>0.95</v>
      </c>
      <c r="Y2920" s="16" t="n">
        <v>300.032917</v>
      </c>
      <c r="Z2920" s="16" t="n">
        <v>15.5395391958456</v>
      </c>
      <c r="AA2920" s="16" t="n">
        <v>71.0885414146187</v>
      </c>
      <c r="AB2920" s="16" t="n">
        <v>2600</v>
      </c>
      <c r="AC2920" s="16" t="n">
        <v>7.5</v>
      </c>
      <c r="AD2920" s="16" t="n"/>
      <c r="AE2920" s="16" t="n"/>
    </row>
    <row r="2921">
      <c r="A2921" s="16" t="inlineStr">
        <is>
          <t>KF-M07-A4-0100</t>
        </is>
      </c>
      <c r="B2921" s="16" t="inlineStr">
        <is>
          <t>5.1</t>
        </is>
      </c>
      <c r="C2921" s="16" t="inlineStr">
        <is>
          <t>5.1d</t>
        </is>
      </c>
      <c r="D2921" s="16" t="inlineStr">
        <is>
          <t>conserva sus presiones y su clima</t>
        </is>
      </c>
      <c r="E2921" s="16" t="inlineStr">
        <is>
          <t>KF-M07</t>
        </is>
      </c>
      <c r="F2921" s="16" t="inlineStr">
        <is>
          <t>KF-M07-A4</t>
        </is>
      </c>
      <c r="G2921" s="16" t="inlineStr">
        <is>
          <t>B11-A4</t>
        </is>
      </c>
      <c r="H2921" s="16" t="inlineStr">
        <is>
          <t>busqueda</t>
        </is>
      </c>
      <c r="I2921" s="16" t="inlineStr">
        <is>
          <t>KALINA</t>
        </is>
      </c>
      <c r="J2921" s="16" t="inlineStr">
        <is>
          <t>KALINA</t>
        </is>
      </c>
      <c r="K2921" s="16" t="b">
        <v>1</v>
      </c>
      <c r="L2921" s="16" t="b">
        <v>1</v>
      </c>
      <c r="M2921" s="16" t="b">
        <v>0</v>
      </c>
      <c r="N2921" s="16" t="b">
        <v>0</v>
      </c>
      <c r="O2921" s="16" t="n">
        <v>415</v>
      </c>
      <c r="P2921" s="16" t="n">
        <v>300.032917</v>
      </c>
      <c r="Q2921" s="16" t="n">
        <v>3000</v>
      </c>
      <c r="R2921" s="16" t="n">
        <v>400</v>
      </c>
      <c r="S2921" s="16" t="n">
        <v>0.5</v>
      </c>
      <c r="T2921" s="16" t="n">
        <v>0.95</v>
      </c>
      <c r="U2921" s="16" t="n">
        <v>0.75</v>
      </c>
      <c r="V2921" s="16" t="n">
        <v>0.85</v>
      </c>
      <c r="W2921" s="16" t="n">
        <v>0.95</v>
      </c>
      <c r="X2921" s="16" t="n">
        <v>0.95</v>
      </c>
      <c r="Y2921" s="16" t="n">
        <v>300.032917</v>
      </c>
      <c r="Z2921" s="16" t="n">
        <v>15.38832443751127</v>
      </c>
      <c r="AA2921" s="16" t="n">
        <v>62.83754463112982</v>
      </c>
      <c r="AB2921" s="16" t="n">
        <v>2600</v>
      </c>
      <c r="AC2921" s="16" t="n">
        <v>7.5</v>
      </c>
      <c r="AD2921" s="16" t="n"/>
      <c r="AE2921" s="16" t="n"/>
    </row>
    <row r="2922">
      <c r="A2922" s="16" t="inlineStr">
        <is>
          <t>KF-M07-A4-0101</t>
        </is>
      </c>
      <c r="B2922" s="16" t="inlineStr">
        <is>
          <t>5.1</t>
        </is>
      </c>
      <c r="C2922" s="16" t="inlineStr">
        <is>
          <t>5.1d</t>
        </is>
      </c>
      <c r="D2922" s="16" t="inlineStr">
        <is>
          <t>conserva sus presiones y su clima</t>
        </is>
      </c>
      <c r="E2922" s="16" t="inlineStr">
        <is>
          <t>KF-M07</t>
        </is>
      </c>
      <c r="F2922" s="16" t="inlineStr">
        <is>
          <t>KF-M07-A4</t>
        </is>
      </c>
      <c r="G2922" s="16" t="inlineStr">
        <is>
          <t>B11-A4</t>
        </is>
      </c>
      <c r="H2922" s="16" t="inlineStr">
        <is>
          <t>busqueda</t>
        </is>
      </c>
      <c r="I2922" s="16" t="inlineStr">
        <is>
          <t>KALINA</t>
        </is>
      </c>
      <c r="J2922" s="16" t="inlineStr">
        <is>
          <t>KALINA</t>
        </is>
      </c>
      <c r="K2922" s="16" t="b">
        <v>1</v>
      </c>
      <c r="L2922" s="16" t="b">
        <v>1</v>
      </c>
      <c r="M2922" s="16" t="b">
        <v>0</v>
      </c>
      <c r="N2922" s="16" t="b">
        <v>0</v>
      </c>
      <c r="O2922" s="16" t="n">
        <v>415</v>
      </c>
      <c r="P2922" s="16" t="n">
        <v>300.032917</v>
      </c>
      <c r="Q2922" s="16" t="n">
        <v>3000</v>
      </c>
      <c r="R2922" s="16" t="n">
        <v>400</v>
      </c>
      <c r="S2922" s="16" t="n">
        <v>0.5</v>
      </c>
      <c r="T2922" s="16" t="n">
        <v>0.95</v>
      </c>
      <c r="U2922" s="16" t="n">
        <v>0.75</v>
      </c>
      <c r="V2922" s="16" t="n">
        <v>0.905</v>
      </c>
      <c r="W2922" s="16" t="n">
        <v>0.895</v>
      </c>
      <c r="X2922" s="16" t="n">
        <v>0.95</v>
      </c>
      <c r="Y2922" s="16" t="n">
        <v>300.032917</v>
      </c>
      <c r="Z2922" s="16" t="n">
        <v>14.7585602613892</v>
      </c>
      <c r="AA2922" s="16" t="n">
        <v>67.03096968149354</v>
      </c>
      <c r="AB2922" s="16" t="n">
        <v>2600</v>
      </c>
      <c r="AC2922" s="16" t="n">
        <v>7.5</v>
      </c>
      <c r="AD2922" s="16" t="n"/>
      <c r="AE2922" s="16" t="n"/>
    </row>
    <row r="2923">
      <c r="A2923" s="16" t="inlineStr">
        <is>
          <t>KF-M07-A4-0102</t>
        </is>
      </c>
      <c r="B2923" s="16" t="inlineStr">
        <is>
          <t>5.1</t>
        </is>
      </c>
      <c r="C2923" s="16" t="inlineStr">
        <is>
          <t>5.1d</t>
        </is>
      </c>
      <c r="D2923" s="16" t="inlineStr">
        <is>
          <t>conserva sus presiones y su clima</t>
        </is>
      </c>
      <c r="E2923" s="16" t="inlineStr">
        <is>
          <t>KF-M07</t>
        </is>
      </c>
      <c r="F2923" s="16" t="inlineStr">
        <is>
          <t>KF-M07-A4</t>
        </is>
      </c>
      <c r="G2923" s="16" t="inlineStr">
        <is>
          <t>B11-A4</t>
        </is>
      </c>
      <c r="H2923" s="16" t="inlineStr">
        <is>
          <t>busqueda</t>
        </is>
      </c>
      <c r="I2923" s="16" t="inlineStr">
        <is>
          <t>CORREGIBLE</t>
        </is>
      </c>
      <c r="J2923" s="16" t="inlineStr">
        <is>
          <t>CORREGIBLE</t>
        </is>
      </c>
      <c r="K2923" s="16" t="b">
        <v>1</v>
      </c>
      <c r="L2923" s="16" t="b">
        <v>0</v>
      </c>
      <c r="M2923" s="16" t="b">
        <v>0</v>
      </c>
      <c r="N2923" s="16" t="b">
        <v>0</v>
      </c>
      <c r="O2923" s="16" t="n">
        <v>415</v>
      </c>
      <c r="P2923" s="16" t="n">
        <v>300.032917</v>
      </c>
      <c r="Q2923" s="16" t="n">
        <v>3000</v>
      </c>
      <c r="R2923" s="16" t="n">
        <v>400</v>
      </c>
      <c r="S2923" s="16" t="n">
        <v>0.5</v>
      </c>
      <c r="T2923" s="16" t="n">
        <v>0.95</v>
      </c>
      <c r="U2923" s="16" t="n">
        <v>0.75</v>
      </c>
      <c r="V2923" s="16" t="n">
        <v>0.905</v>
      </c>
      <c r="W2923" s="16" t="n">
        <v>0.95</v>
      </c>
      <c r="X2923" s="16" t="n">
        <v>0.895</v>
      </c>
      <c r="Y2923" s="16" t="n">
        <v>300.032917</v>
      </c>
      <c r="Z2923" s="16" t="n">
        <v>15.68623770966773</v>
      </c>
      <c r="AA2923" s="16" t="n">
        <v>67.28613955498157</v>
      </c>
      <c r="AB2923" s="16" t="n">
        <v>2600</v>
      </c>
      <c r="AC2923" s="16" t="n">
        <v>7.5</v>
      </c>
      <c r="AD2923" s="16" t="inlineStr">
        <is>
          <t>O2</t>
        </is>
      </c>
      <c r="AE2923" s="16" t="n"/>
    </row>
    <row r="2924">
      <c r="A2924" s="16" t="inlineStr">
        <is>
          <t>KF-M07-A4-0103</t>
        </is>
      </c>
      <c r="B2924" s="16" t="inlineStr">
        <is>
          <t>5.1</t>
        </is>
      </c>
      <c r="C2924" s="16" t="inlineStr">
        <is>
          <t>5.1d</t>
        </is>
      </c>
      <c r="D2924" s="16" t="inlineStr">
        <is>
          <t>conserva sus presiones y su clima</t>
        </is>
      </c>
      <c r="E2924" s="16" t="inlineStr">
        <is>
          <t>KF-M07</t>
        </is>
      </c>
      <c r="F2924" s="16" t="inlineStr">
        <is>
          <t>KF-M07-A4</t>
        </is>
      </c>
      <c r="G2924" s="16" t="inlineStr">
        <is>
          <t>B11-A4</t>
        </is>
      </c>
      <c r="H2924" s="16" t="inlineStr">
        <is>
          <t>busqueda</t>
        </is>
      </c>
      <c r="I2924" s="16" t="inlineStr">
        <is>
          <t>CORREGIBLE</t>
        </is>
      </c>
      <c r="J2924" s="16" t="inlineStr">
        <is>
          <t>CORREGIBLE</t>
        </is>
      </c>
      <c r="K2924" s="16" t="b">
        <v>1</v>
      </c>
      <c r="L2924" s="16" t="b">
        <v>0</v>
      </c>
      <c r="M2924" s="16" t="b">
        <v>1</v>
      </c>
      <c r="N2924" s="16" t="b">
        <v>0</v>
      </c>
      <c r="O2924" s="16" t="n">
        <v>427</v>
      </c>
      <c r="P2924" s="16" t="n">
        <v>300.032917</v>
      </c>
      <c r="Q2924" s="16" t="n">
        <v>3000</v>
      </c>
      <c r="R2924" s="16" t="n">
        <v>400</v>
      </c>
      <c r="S2924" s="16" t="n">
        <v>0.5</v>
      </c>
      <c r="T2924" s="16" t="n">
        <v>0.95</v>
      </c>
      <c r="U2924" s="16" t="n">
        <v>0.8049999999999999</v>
      </c>
      <c r="V2924" s="16" t="n">
        <v>0.905</v>
      </c>
      <c r="W2924" s="16" t="n">
        <v>0.95</v>
      </c>
      <c r="X2924" s="16" t="n">
        <v>0.95</v>
      </c>
      <c r="Y2924" s="16" t="n">
        <v>300.032917</v>
      </c>
      <c r="Z2924" s="16" t="n">
        <v>15.79762177420511</v>
      </c>
      <c r="AA2924" s="16" t="n">
        <v>96.48042733850774</v>
      </c>
      <c r="AB2924" s="16" t="n">
        <v>2600</v>
      </c>
      <c r="AC2924" s="16" t="n">
        <v>7.5</v>
      </c>
      <c r="AD2924" s="16" t="inlineStr">
        <is>
          <t>O2</t>
        </is>
      </c>
      <c r="AE2924" s="16" t="n"/>
    </row>
    <row r="2925">
      <c r="A2925" s="16" t="inlineStr">
        <is>
          <t>KF-M07-A4-0104</t>
        </is>
      </c>
      <c r="B2925" s="16" t="inlineStr">
        <is>
          <t>5.1</t>
        </is>
      </c>
      <c r="C2925" s="16" t="inlineStr">
        <is>
          <t>5.1d</t>
        </is>
      </c>
      <c r="D2925" s="16" t="inlineStr">
        <is>
          <t>conserva sus presiones y su clima</t>
        </is>
      </c>
      <c r="E2925" s="16" t="inlineStr">
        <is>
          <t>KF-M07</t>
        </is>
      </c>
      <c r="F2925" s="16" t="inlineStr">
        <is>
          <t>KF-M07-A4</t>
        </is>
      </c>
      <c r="G2925" s="16" t="inlineStr">
        <is>
          <t>B11-A4</t>
        </is>
      </c>
      <c r="H2925" s="16" t="inlineStr">
        <is>
          <t>busqueda</t>
        </is>
      </c>
      <c r="I2925" s="16" t="inlineStr">
        <is>
          <t>KALINA</t>
        </is>
      </c>
      <c r="J2925" s="16" t="inlineStr">
        <is>
          <t>KALINA</t>
        </is>
      </c>
      <c r="K2925" s="16" t="b">
        <v>1</v>
      </c>
      <c r="L2925" s="16" t="b">
        <v>1</v>
      </c>
      <c r="M2925" s="16" t="b">
        <v>0</v>
      </c>
      <c r="N2925" s="16" t="b">
        <v>0</v>
      </c>
      <c r="O2925" s="16" t="n">
        <v>403</v>
      </c>
      <c r="P2925" s="16" t="n">
        <v>300.032917</v>
      </c>
      <c r="Q2925" s="16" t="n">
        <v>3000</v>
      </c>
      <c r="R2925" s="16" t="n">
        <v>400</v>
      </c>
      <c r="S2925" s="16" t="n">
        <v>0.5</v>
      </c>
      <c r="T2925" s="16" t="n">
        <v>0.95</v>
      </c>
      <c r="U2925" s="16" t="n">
        <v>0.8049999999999999</v>
      </c>
      <c r="V2925" s="16" t="n">
        <v>0.905</v>
      </c>
      <c r="W2925" s="16" t="n">
        <v>0.95</v>
      </c>
      <c r="X2925" s="16" t="n">
        <v>0.95</v>
      </c>
      <c r="Y2925" s="16" t="n">
        <v>300.032917</v>
      </c>
      <c r="Z2925" s="16" t="n">
        <v>14.63919838857826</v>
      </c>
      <c r="AA2925" s="16" t="n">
        <v>39.97875561500133</v>
      </c>
      <c r="AB2925" s="16" t="n">
        <v>2600</v>
      </c>
      <c r="AC2925" s="16" t="n">
        <v>7.5</v>
      </c>
      <c r="AD2925" s="16" t="n"/>
      <c r="AE2925" s="16" t="n"/>
    </row>
    <row r="2926">
      <c r="A2926" s="16" t="inlineStr">
        <is>
          <t>KF-M07-A4-0105</t>
        </is>
      </c>
      <c r="B2926" s="16" t="inlineStr">
        <is>
          <t>5.1</t>
        </is>
      </c>
      <c r="C2926" s="16" t="inlineStr">
        <is>
          <t>5.1d</t>
        </is>
      </c>
      <c r="D2926" s="16" t="inlineStr">
        <is>
          <t>conserva sus presiones y su clima</t>
        </is>
      </c>
      <c r="E2926" s="16" t="inlineStr">
        <is>
          <t>KF-M07</t>
        </is>
      </c>
      <c r="F2926" s="16" t="inlineStr">
        <is>
          <t>KF-M07-A4</t>
        </is>
      </c>
      <c r="G2926" s="16" t="inlineStr">
        <is>
          <t>B11-A4</t>
        </is>
      </c>
      <c r="H2926" s="16" t="inlineStr">
        <is>
          <t>busqueda</t>
        </is>
      </c>
      <c r="I2926" s="16" t="inlineStr">
        <is>
          <t>CORREGIBLE</t>
        </is>
      </c>
      <c r="J2926" s="16" t="inlineStr">
        <is>
          <t>CORREGIBLE</t>
        </is>
      </c>
      <c r="K2926" s="16" t="b">
        <v>1</v>
      </c>
      <c r="L2926" s="16" t="b">
        <v>0</v>
      </c>
      <c r="M2926" s="16" t="b">
        <v>0</v>
      </c>
      <c r="N2926" s="16" t="b">
        <v>0</v>
      </c>
      <c r="O2926" s="16" t="n">
        <v>415</v>
      </c>
      <c r="P2926" s="16" t="n">
        <v>300.032917</v>
      </c>
      <c r="Q2926" s="16" t="n">
        <v>3000</v>
      </c>
      <c r="R2926" s="16" t="n">
        <v>400</v>
      </c>
      <c r="S2926" s="16" t="n">
        <v>0.535</v>
      </c>
      <c r="T2926" s="16" t="n">
        <v>0.95</v>
      </c>
      <c r="U2926" s="16" t="n">
        <v>0.8049999999999999</v>
      </c>
      <c r="V2926" s="16" t="n">
        <v>0.905</v>
      </c>
      <c r="W2926" s="16" t="n">
        <v>0.95</v>
      </c>
      <c r="X2926" s="16" t="n">
        <v>0.95</v>
      </c>
      <c r="Y2926" s="16" t="n">
        <v>300.032917</v>
      </c>
      <c r="Z2926" s="16" t="n">
        <v>16.17459688078331</v>
      </c>
      <c r="AA2926" s="16" t="n">
        <v>85.17407575198656</v>
      </c>
      <c r="AB2926" s="16" t="n">
        <v>2600</v>
      </c>
      <c r="AC2926" s="16" t="n">
        <v>7.5</v>
      </c>
      <c r="AD2926" s="16" t="inlineStr">
        <is>
          <t>O2</t>
        </is>
      </c>
      <c r="AE2926" s="16" t="n"/>
    </row>
    <row r="2927">
      <c r="A2927" s="16" t="inlineStr">
        <is>
          <t>KF-M07-A4-0106</t>
        </is>
      </c>
      <c r="B2927" s="16" t="inlineStr">
        <is>
          <t>5.1</t>
        </is>
      </c>
      <c r="C2927" s="16" t="inlineStr">
        <is>
          <t>5.1d</t>
        </is>
      </c>
      <c r="D2927" s="16" t="inlineStr">
        <is>
          <t>conserva sus presiones y su clima</t>
        </is>
      </c>
      <c r="E2927" s="16" t="inlineStr">
        <is>
          <t>KF-M07</t>
        </is>
      </c>
      <c r="F2927" s="16" t="inlineStr">
        <is>
          <t>KF-M07-A4</t>
        </is>
      </c>
      <c r="G2927" s="16" t="inlineStr">
        <is>
          <t>B11-A4</t>
        </is>
      </c>
      <c r="H2927" s="16" t="inlineStr">
        <is>
          <t>busqueda</t>
        </is>
      </c>
      <c r="I2927" s="16" t="inlineStr">
        <is>
          <t>KALINA</t>
        </is>
      </c>
      <c r="J2927" s="16" t="inlineStr">
        <is>
          <t>KALINA</t>
        </is>
      </c>
      <c r="K2927" s="16" t="b">
        <v>1</v>
      </c>
      <c r="L2927" s="16" t="b">
        <v>1</v>
      </c>
      <c r="M2927" s="16" t="b">
        <v>0</v>
      </c>
      <c r="N2927" s="16" t="b">
        <v>0</v>
      </c>
      <c r="O2927" s="16" t="n">
        <v>415</v>
      </c>
      <c r="P2927" s="16" t="n">
        <v>300.032917</v>
      </c>
      <c r="Q2927" s="16" t="n">
        <v>3000</v>
      </c>
      <c r="R2927" s="16" t="n">
        <v>400</v>
      </c>
      <c r="S2927" s="16" t="n">
        <v>0.5</v>
      </c>
      <c r="T2927" s="16" t="n">
        <v>0.895</v>
      </c>
      <c r="U2927" s="16" t="n">
        <v>0.8049999999999999</v>
      </c>
      <c r="V2927" s="16" t="n">
        <v>0.905</v>
      </c>
      <c r="W2927" s="16" t="n">
        <v>0.95</v>
      </c>
      <c r="X2927" s="16" t="n">
        <v>0.95</v>
      </c>
      <c r="Y2927" s="16" t="n">
        <v>300.032917</v>
      </c>
      <c r="Z2927" s="16" t="n">
        <v>14.5912140270692</v>
      </c>
      <c r="AA2927" s="16" t="n">
        <v>63.51635446670961</v>
      </c>
      <c r="AB2927" s="16" t="n">
        <v>2600</v>
      </c>
      <c r="AC2927" s="16" t="n">
        <v>7.5</v>
      </c>
      <c r="AD2927" s="16" t="n"/>
      <c r="AE2927" s="16" t="n"/>
    </row>
    <row r="2928">
      <c r="A2928" s="16" t="inlineStr">
        <is>
          <t>KF-M07-A4-0107</t>
        </is>
      </c>
      <c r="B2928" s="16" t="inlineStr">
        <is>
          <t>5.1</t>
        </is>
      </c>
      <c r="C2928" s="16" t="inlineStr">
        <is>
          <t>5.1d</t>
        </is>
      </c>
      <c r="D2928" s="16" t="inlineStr">
        <is>
          <t>conserva sus presiones y su clima</t>
        </is>
      </c>
      <c r="E2928" s="16" t="inlineStr">
        <is>
          <t>KF-M07</t>
        </is>
      </c>
      <c r="F2928" s="16" t="inlineStr">
        <is>
          <t>KF-M07-A4</t>
        </is>
      </c>
      <c r="G2928" s="16" t="inlineStr">
        <is>
          <t>B11-A4</t>
        </is>
      </c>
      <c r="H2928" s="16" t="inlineStr">
        <is>
          <t>busqueda</t>
        </is>
      </c>
      <c r="I2928" s="16" t="inlineStr">
        <is>
          <t>KALINA</t>
        </is>
      </c>
      <c r="J2928" s="16" t="inlineStr">
        <is>
          <t>KALINA</t>
        </is>
      </c>
      <c r="K2928" s="16" t="b">
        <v>1</v>
      </c>
      <c r="L2928" s="16" t="b">
        <v>1</v>
      </c>
      <c r="M2928" s="16" t="b">
        <v>0</v>
      </c>
      <c r="N2928" s="16" t="b">
        <v>0</v>
      </c>
      <c r="O2928" s="16" t="n">
        <v>415</v>
      </c>
      <c r="P2928" s="16" t="n">
        <v>300.032917</v>
      </c>
      <c r="Q2928" s="16" t="n">
        <v>3000</v>
      </c>
      <c r="R2928" s="16" t="n">
        <v>400</v>
      </c>
      <c r="S2928" s="16" t="n">
        <v>0.5</v>
      </c>
      <c r="T2928" s="16" t="n">
        <v>0.95</v>
      </c>
      <c r="U2928" s="16" t="n">
        <v>0.8599999999999999</v>
      </c>
      <c r="V2928" s="16" t="n">
        <v>0.905</v>
      </c>
      <c r="W2928" s="16" t="n">
        <v>0.95</v>
      </c>
      <c r="X2928" s="16" t="n">
        <v>0.95</v>
      </c>
      <c r="Y2928" s="16" t="n">
        <v>300.032917</v>
      </c>
      <c r="Z2928" s="16" t="n">
        <v>15.59653373390988</v>
      </c>
      <c r="AA2928" s="16" t="n">
        <v>67.91283439526151</v>
      </c>
      <c r="AB2928" s="16" t="n">
        <v>2600</v>
      </c>
      <c r="AC2928" s="16" t="n">
        <v>7.5</v>
      </c>
      <c r="AD2928" s="16" t="n"/>
      <c r="AE2928" s="16" t="n"/>
    </row>
    <row r="2929">
      <c r="A2929" s="16" t="inlineStr">
        <is>
          <t>KF-M07-A4-0108</t>
        </is>
      </c>
      <c r="B2929" s="16" t="inlineStr">
        <is>
          <t>5.1</t>
        </is>
      </c>
      <c r="C2929" s="16" t="inlineStr">
        <is>
          <t>5.1d</t>
        </is>
      </c>
      <c r="D2929" s="16" t="inlineStr">
        <is>
          <t>conserva sus presiones y su clima</t>
        </is>
      </c>
      <c r="E2929" s="16" t="inlineStr">
        <is>
          <t>KF-M07</t>
        </is>
      </c>
      <c r="F2929" s="16" t="inlineStr">
        <is>
          <t>KF-M07-A4</t>
        </is>
      </c>
      <c r="G2929" s="16" t="inlineStr">
        <is>
          <t>B11-A4</t>
        </is>
      </c>
      <c r="H2929" s="16" t="inlineStr">
        <is>
          <t>busqueda</t>
        </is>
      </c>
      <c r="I2929" s="16" t="inlineStr">
        <is>
          <t>KALINA</t>
        </is>
      </c>
      <c r="J2929" s="16" t="inlineStr">
        <is>
          <t>KALINA</t>
        </is>
      </c>
      <c r="K2929" s="16" t="b">
        <v>1</v>
      </c>
      <c r="L2929" s="16" t="b">
        <v>1</v>
      </c>
      <c r="M2929" s="16" t="b">
        <v>0</v>
      </c>
      <c r="N2929" s="16" t="b">
        <v>0</v>
      </c>
      <c r="O2929" s="16" t="n">
        <v>415</v>
      </c>
      <c r="P2929" s="16" t="n">
        <v>300.032917</v>
      </c>
      <c r="Q2929" s="16" t="n">
        <v>3000</v>
      </c>
      <c r="R2929" s="16" t="n">
        <v>400</v>
      </c>
      <c r="S2929" s="16" t="n">
        <v>0.5</v>
      </c>
      <c r="T2929" s="16" t="n">
        <v>0.95</v>
      </c>
      <c r="U2929" s="16" t="n">
        <v>0.75</v>
      </c>
      <c r="V2929" s="16" t="n">
        <v>0.905</v>
      </c>
      <c r="W2929" s="16" t="n">
        <v>0.95</v>
      </c>
      <c r="X2929" s="16" t="n">
        <v>0.95</v>
      </c>
      <c r="Y2929" s="16" t="n">
        <v>300.032917</v>
      </c>
      <c r="Z2929" s="16" t="n">
        <v>15.47807094977513</v>
      </c>
      <c r="AA2929" s="16" t="n">
        <v>67.37329969697572</v>
      </c>
      <c r="AB2929" s="16" t="n">
        <v>2600</v>
      </c>
      <c r="AC2929" s="16" t="n">
        <v>7.5</v>
      </c>
      <c r="AD2929" s="16" t="n"/>
      <c r="AE2929" s="16" t="n"/>
    </row>
    <row r="2930">
      <c r="A2930" s="16" t="inlineStr">
        <is>
          <t>KF-M07-A4-0109</t>
        </is>
      </c>
      <c r="B2930" s="16" t="inlineStr">
        <is>
          <t>5.1</t>
        </is>
      </c>
      <c r="C2930" s="16" t="inlineStr">
        <is>
          <t>5.1d</t>
        </is>
      </c>
      <c r="D2930" s="16" t="inlineStr">
        <is>
          <t>conserva sus presiones y su clima</t>
        </is>
      </c>
      <c r="E2930" s="16" t="inlineStr">
        <is>
          <t>KF-M07</t>
        </is>
      </c>
      <c r="F2930" s="16" t="inlineStr">
        <is>
          <t>KF-M07-A4</t>
        </is>
      </c>
      <c r="G2930" s="16" t="inlineStr">
        <is>
          <t>B11-A4</t>
        </is>
      </c>
      <c r="H2930" s="16" t="inlineStr">
        <is>
          <t>busqueda</t>
        </is>
      </c>
      <c r="I2930" s="16" t="inlineStr">
        <is>
          <t>KALINA</t>
        </is>
      </c>
      <c r="J2930" s="16" t="inlineStr">
        <is>
          <t>KALINA</t>
        </is>
      </c>
      <c r="K2930" s="16" t="b">
        <v>1</v>
      </c>
      <c r="L2930" s="16" t="b">
        <v>1</v>
      </c>
      <c r="M2930" s="16" t="b">
        <v>0</v>
      </c>
      <c r="N2930" s="16" t="b">
        <v>0</v>
      </c>
      <c r="O2930" s="16" t="n">
        <v>415</v>
      </c>
      <c r="P2930" s="16" t="n">
        <v>300.032917</v>
      </c>
      <c r="Q2930" s="16" t="n">
        <v>3000</v>
      </c>
      <c r="R2930" s="16" t="n">
        <v>400</v>
      </c>
      <c r="S2930" s="16" t="n">
        <v>0.5</v>
      </c>
      <c r="T2930" s="16" t="n">
        <v>0.95</v>
      </c>
      <c r="U2930" s="16" t="n">
        <v>0.8049999999999999</v>
      </c>
      <c r="V2930" s="16" t="n">
        <v>0.95</v>
      </c>
      <c r="W2930" s="16" t="n">
        <v>0.95</v>
      </c>
      <c r="X2930" s="16" t="n">
        <v>0.95</v>
      </c>
      <c r="Y2930" s="16" t="n">
        <v>300.032917</v>
      </c>
      <c r="Z2930" s="16" t="n">
        <v>15.59965738845141</v>
      </c>
      <c r="AA2930" s="16" t="n">
        <v>71.37748121622712</v>
      </c>
      <c r="AB2930" s="16" t="n">
        <v>2600</v>
      </c>
      <c r="AC2930" s="16" t="n">
        <v>7.5</v>
      </c>
      <c r="AD2930" s="16" t="n"/>
      <c r="AE2930" s="16" t="n"/>
    </row>
    <row r="2931">
      <c r="A2931" s="16" t="inlineStr">
        <is>
          <t>KF-M07-A4-0110</t>
        </is>
      </c>
      <c r="B2931" s="16" t="inlineStr">
        <is>
          <t>5.1</t>
        </is>
      </c>
      <c r="C2931" s="16" t="inlineStr">
        <is>
          <t>5.1d</t>
        </is>
      </c>
      <c r="D2931" s="16" t="inlineStr">
        <is>
          <t>conserva sus presiones y su clima</t>
        </is>
      </c>
      <c r="E2931" s="16" t="inlineStr">
        <is>
          <t>KF-M07</t>
        </is>
      </c>
      <c r="F2931" s="16" t="inlineStr">
        <is>
          <t>KF-M07-A4</t>
        </is>
      </c>
      <c r="G2931" s="16" t="inlineStr">
        <is>
          <t>B11-A4</t>
        </is>
      </c>
      <c r="H2931" s="16" t="inlineStr">
        <is>
          <t>busqueda</t>
        </is>
      </c>
      <c r="I2931" s="16" t="inlineStr">
        <is>
          <t>KALINA</t>
        </is>
      </c>
      <c r="J2931" s="16" t="inlineStr">
        <is>
          <t>KALINA</t>
        </is>
      </c>
      <c r="K2931" s="16" t="b">
        <v>1</v>
      </c>
      <c r="L2931" s="16" t="b">
        <v>1</v>
      </c>
      <c r="M2931" s="16" t="b">
        <v>0</v>
      </c>
      <c r="N2931" s="16" t="b">
        <v>0</v>
      </c>
      <c r="O2931" s="16" t="n">
        <v>415</v>
      </c>
      <c r="P2931" s="16" t="n">
        <v>300.032917</v>
      </c>
      <c r="Q2931" s="16" t="n">
        <v>3000</v>
      </c>
      <c r="R2931" s="16" t="n">
        <v>400</v>
      </c>
      <c r="S2931" s="16" t="n">
        <v>0.5</v>
      </c>
      <c r="T2931" s="16" t="n">
        <v>0.95</v>
      </c>
      <c r="U2931" s="16" t="n">
        <v>0.8049999999999999</v>
      </c>
      <c r="V2931" s="16" t="n">
        <v>0.85</v>
      </c>
      <c r="W2931" s="16" t="n">
        <v>0.95</v>
      </c>
      <c r="X2931" s="16" t="n">
        <v>0.95</v>
      </c>
      <c r="Y2931" s="16" t="n">
        <v>300.032917</v>
      </c>
      <c r="Z2931" s="16" t="n">
        <v>15.45592814854537</v>
      </c>
      <c r="AA2931" s="16" t="n">
        <v>63.12491245690914</v>
      </c>
      <c r="AB2931" s="16" t="n">
        <v>2600</v>
      </c>
      <c r="AC2931" s="16" t="n">
        <v>7.5</v>
      </c>
      <c r="AD2931" s="16" t="n"/>
      <c r="AE2931" s="16" t="n"/>
    </row>
    <row r="2932">
      <c r="A2932" s="16" t="inlineStr">
        <is>
          <t>KF-M07-A4-0111</t>
        </is>
      </c>
      <c r="B2932" s="16" t="inlineStr">
        <is>
          <t>5.1</t>
        </is>
      </c>
      <c r="C2932" s="16" t="inlineStr">
        <is>
          <t>5.1d</t>
        </is>
      </c>
      <c r="D2932" s="16" t="inlineStr">
        <is>
          <t>conserva sus presiones y su clima</t>
        </is>
      </c>
      <c r="E2932" s="16" t="inlineStr">
        <is>
          <t>KF-M07</t>
        </is>
      </c>
      <c r="F2932" s="16" t="inlineStr">
        <is>
          <t>KF-M07-A4</t>
        </is>
      </c>
      <c r="G2932" s="16" t="inlineStr">
        <is>
          <t>B11-A4</t>
        </is>
      </c>
      <c r="H2932" s="16" t="inlineStr">
        <is>
          <t>busqueda</t>
        </is>
      </c>
      <c r="I2932" s="16" t="inlineStr">
        <is>
          <t>KALINA</t>
        </is>
      </c>
      <c r="J2932" s="16" t="inlineStr">
        <is>
          <t>KALINA</t>
        </is>
      </c>
      <c r="K2932" s="16" t="b">
        <v>1</v>
      </c>
      <c r="L2932" s="16" t="b">
        <v>1</v>
      </c>
      <c r="M2932" s="16" t="b">
        <v>0</v>
      </c>
      <c r="N2932" s="16" t="b">
        <v>0</v>
      </c>
      <c r="O2932" s="16" t="n">
        <v>415</v>
      </c>
      <c r="P2932" s="16" t="n">
        <v>300.032917</v>
      </c>
      <c r="Q2932" s="16" t="n">
        <v>3000</v>
      </c>
      <c r="R2932" s="16" t="n">
        <v>400</v>
      </c>
      <c r="S2932" s="16" t="n">
        <v>0.5</v>
      </c>
      <c r="T2932" s="16" t="n">
        <v>0.95</v>
      </c>
      <c r="U2932" s="16" t="n">
        <v>0.8049999999999999</v>
      </c>
      <c r="V2932" s="16" t="n">
        <v>0.905</v>
      </c>
      <c r="W2932" s="16" t="n">
        <v>0.895</v>
      </c>
      <c r="X2932" s="16" t="n">
        <v>0.95</v>
      </c>
      <c r="Y2932" s="16" t="n">
        <v>300.032917</v>
      </c>
      <c r="Z2932" s="16" t="n">
        <v>14.81897540039945</v>
      </c>
      <c r="AA2932" s="16" t="n">
        <v>67.31905181639739</v>
      </c>
      <c r="AB2932" s="16" t="n">
        <v>2600</v>
      </c>
      <c r="AC2932" s="16" t="n">
        <v>7.5</v>
      </c>
      <c r="AD2932" s="16" t="n"/>
      <c r="AE2932" s="16" t="n"/>
    </row>
    <row r="2933">
      <c r="A2933" s="16" t="inlineStr">
        <is>
          <t>KF-M07-A4-0112</t>
        </is>
      </c>
      <c r="B2933" s="16" t="inlineStr">
        <is>
          <t>5.1</t>
        </is>
      </c>
      <c r="C2933" s="16" t="inlineStr">
        <is>
          <t>5.1d</t>
        </is>
      </c>
      <c r="D2933" s="16" t="inlineStr">
        <is>
          <t>conserva sus presiones y su clima</t>
        </is>
      </c>
      <c r="E2933" s="16" t="inlineStr">
        <is>
          <t>KF-M07</t>
        </is>
      </c>
      <c r="F2933" s="16" t="inlineStr">
        <is>
          <t>KF-M07-A4</t>
        </is>
      </c>
      <c r="G2933" s="16" t="inlineStr">
        <is>
          <t>B11-A4</t>
        </is>
      </c>
      <c r="H2933" s="16" t="inlineStr">
        <is>
          <t>busqueda</t>
        </is>
      </c>
      <c r="I2933" s="16" t="inlineStr">
        <is>
          <t>CORREGIBLE</t>
        </is>
      </c>
      <c r="J2933" s="16" t="inlineStr">
        <is>
          <t>CORREGIBLE</t>
        </is>
      </c>
      <c r="K2933" s="16" t="b">
        <v>1</v>
      </c>
      <c r="L2933" s="16" t="b">
        <v>0</v>
      </c>
      <c r="M2933" s="16" t="b">
        <v>0</v>
      </c>
      <c r="N2933" s="16" t="b">
        <v>0</v>
      </c>
      <c r="O2933" s="16" t="n">
        <v>415</v>
      </c>
      <c r="P2933" s="16" t="n">
        <v>300.032917</v>
      </c>
      <c r="Q2933" s="16" t="n">
        <v>3000</v>
      </c>
      <c r="R2933" s="16" t="n">
        <v>400</v>
      </c>
      <c r="S2933" s="16" t="n">
        <v>0.5</v>
      </c>
      <c r="T2933" s="16" t="n">
        <v>0.95</v>
      </c>
      <c r="U2933" s="16" t="n">
        <v>0.8049999999999999</v>
      </c>
      <c r="V2933" s="16" t="n">
        <v>0.905</v>
      </c>
      <c r="W2933" s="16" t="n">
        <v>0.95</v>
      </c>
      <c r="X2933" s="16" t="n">
        <v>0.895</v>
      </c>
      <c r="Y2933" s="16" t="n">
        <v>300.032917</v>
      </c>
      <c r="Z2933" s="16" t="n">
        <v>15.75340921427991</v>
      </c>
      <c r="AA2933" s="16" t="n">
        <v>67.58836247211232</v>
      </c>
      <c r="AB2933" s="16" t="n">
        <v>2600</v>
      </c>
      <c r="AC2933" s="16" t="n">
        <v>7.5</v>
      </c>
      <c r="AD2933" s="16" t="inlineStr">
        <is>
          <t>O2</t>
        </is>
      </c>
      <c r="AE2933" s="16" t="n"/>
    </row>
    <row r="2934">
      <c r="A2934" s="16" t="inlineStr">
        <is>
          <t>KF-M07-A5-0000</t>
        </is>
      </c>
      <c r="B2934" s="16" t="inlineStr">
        <is>
          <t>5.1</t>
        </is>
      </c>
      <c r="C2934" s="16" t="inlineStr">
        <is>
          <t>5.1e</t>
        </is>
      </c>
      <c r="D2934" s="16" t="inlineStr">
        <is>
          <t>conserva su fuente y su x_b</t>
        </is>
      </c>
      <c r="E2934" s="16" t="inlineStr">
        <is>
          <t>KF-M07</t>
        </is>
      </c>
      <c r="F2934" s="16" t="inlineStr">
        <is>
          <t>KF-M07-A5</t>
        </is>
      </c>
      <c r="G2934" s="16" t="inlineStr">
        <is>
          <t>B11-A5</t>
        </is>
      </c>
      <c r="H2934" s="16" t="inlineStr">
        <is>
          <t>busqueda</t>
        </is>
      </c>
      <c r="I2934" s="16" t="inlineStr">
        <is>
          <t>KALINA</t>
        </is>
      </c>
      <c r="J2934" s="16" t="inlineStr">
        <is>
          <t>KALINA</t>
        </is>
      </c>
      <c r="K2934" s="16" t="b">
        <v>1</v>
      </c>
      <c r="L2934" s="16" t="b">
        <v>0</v>
      </c>
      <c r="M2934" s="16" t="b">
        <v>1</v>
      </c>
      <c r="N2934" s="16" t="b">
        <v>0</v>
      </c>
      <c r="O2934" s="16" t="n">
        <v>623.15</v>
      </c>
      <c r="P2934" s="16" t="n">
        <v>302.58136184317</v>
      </c>
      <c r="Q2934" s="16" t="n">
        <v>4808.3419580395</v>
      </c>
      <c r="R2934" s="16" t="n">
        <v>1242.274389807265</v>
      </c>
      <c r="S2934" s="16" t="n">
        <v>0.5</v>
      </c>
      <c r="T2934" s="16" t="n">
        <v>0.9224916747106672</v>
      </c>
      <c r="U2934" s="16" t="n">
        <v>0.5760658994683791</v>
      </c>
      <c r="V2934" s="16" t="n">
        <v>0.4073021552349206</v>
      </c>
      <c r="W2934" s="16" t="n">
        <v>0.4101145100609968</v>
      </c>
      <c r="X2934" s="16" t="n">
        <v>0.8784157959492287</v>
      </c>
      <c r="Y2934" s="16" t="n">
        <v>302.58136184317</v>
      </c>
      <c r="Z2934" s="16" t="n">
        <v>8.457650032385521</v>
      </c>
      <c r="AA2934" s="16" t="n">
        <v>83.2699300980196</v>
      </c>
      <c r="AB2934" s="16" t="n">
        <v>3566.067568232236</v>
      </c>
      <c r="AC2934" s="16" t="n">
        <v>3.8705957375371</v>
      </c>
      <c r="AD2934" s="16" t="n"/>
      <c r="AE2934" s="16" t="n"/>
    </row>
    <row r="2935">
      <c r="A2935" s="16" t="inlineStr">
        <is>
          <t>KF-M07-A5-0001</t>
        </is>
      </c>
      <c r="B2935" s="16" t="inlineStr">
        <is>
          <t>5.1</t>
        </is>
      </c>
      <c r="C2935" s="16" t="inlineStr">
        <is>
          <t>5.1e</t>
        </is>
      </c>
      <c r="D2935" s="16" t="inlineStr">
        <is>
          <t>conserva su fuente y su x_b</t>
        </is>
      </c>
      <c r="E2935" s="16" t="inlineStr">
        <is>
          <t>KF-M07</t>
        </is>
      </c>
      <c r="F2935" s="16" t="inlineStr">
        <is>
          <t>KF-M07-A5</t>
        </is>
      </c>
      <c r="G2935" s="16" t="inlineStr">
        <is>
          <t>B11-A5</t>
        </is>
      </c>
      <c r="H2935" s="16" t="inlineStr">
        <is>
          <t>busqueda</t>
        </is>
      </c>
      <c r="I2935" s="16" t="inlineStr">
        <is>
          <t>KALINA</t>
        </is>
      </c>
      <c r="J2935" s="16" t="inlineStr">
        <is>
          <t>KALINA</t>
        </is>
      </c>
      <c r="K2935" s="16" t="b">
        <v>1</v>
      </c>
      <c r="L2935" s="16" t="b">
        <v>0</v>
      </c>
      <c r="M2935" s="16" t="b">
        <v>1</v>
      </c>
      <c r="N2935" s="16" t="b">
        <v>0</v>
      </c>
      <c r="O2935" s="16" t="n">
        <v>623.15</v>
      </c>
      <c r="P2935" s="16" t="n">
        <v>303.55</v>
      </c>
      <c r="Q2935" s="16" t="n">
        <v>4808.3419580395</v>
      </c>
      <c r="R2935" s="16" t="n">
        <v>1242.274389807265</v>
      </c>
      <c r="S2935" s="16" t="n">
        <v>0.5</v>
      </c>
      <c r="T2935" s="16" t="n">
        <v>0.9224916747106672</v>
      </c>
      <c r="U2935" s="16" t="n">
        <v>0.5760658994683791</v>
      </c>
      <c r="V2935" s="16" t="n">
        <v>0.4073021552349206</v>
      </c>
      <c r="W2935" s="16" t="n">
        <v>0.4101145100609968</v>
      </c>
      <c r="X2935" s="16" t="n">
        <v>0.8784157959492287</v>
      </c>
      <c r="Y2935" s="16" t="n">
        <v>303.55</v>
      </c>
      <c r="Z2935" s="16" t="n">
        <v>8.49198389817373</v>
      </c>
      <c r="AA2935" s="16" t="n">
        <v>83.49810305980223</v>
      </c>
      <c r="AB2935" s="16" t="n">
        <v>3566.067568232236</v>
      </c>
      <c r="AC2935" s="16" t="n">
        <v>3.8705957375371</v>
      </c>
      <c r="AD2935" s="16" t="n"/>
      <c r="AE2935" s="16" t="n"/>
    </row>
    <row r="2936">
      <c r="A2936" s="16" t="inlineStr">
        <is>
          <t>KF-M07-A5-0002</t>
        </is>
      </c>
      <c r="B2936" s="16" t="inlineStr">
        <is>
          <t>5.1</t>
        </is>
      </c>
      <c r="C2936" s="16" t="inlineStr">
        <is>
          <t>5.1e</t>
        </is>
      </c>
      <c r="D2936" s="16" t="inlineStr">
        <is>
          <t>conserva su fuente y su x_b</t>
        </is>
      </c>
      <c r="E2936" s="16" t="inlineStr">
        <is>
          <t>KF-M07</t>
        </is>
      </c>
      <c r="F2936" s="16" t="inlineStr">
        <is>
          <t>KF-M07-A5</t>
        </is>
      </c>
      <c r="G2936" s="16" t="inlineStr">
        <is>
          <t>B11-A5</t>
        </is>
      </c>
      <c r="H2936" s="16" t="inlineStr">
        <is>
          <t>busqueda</t>
        </is>
      </c>
      <c r="I2936" s="16" t="inlineStr">
        <is>
          <t>KALINA</t>
        </is>
      </c>
      <c r="J2936" s="16" t="inlineStr">
        <is>
          <t>KALINA</t>
        </is>
      </c>
      <c r="K2936" s="16" t="b">
        <v>1</v>
      </c>
      <c r="L2936" s="16" t="b">
        <v>0</v>
      </c>
      <c r="M2936" s="16" t="b">
        <v>1</v>
      </c>
      <c r="N2936" s="16" t="b">
        <v>0</v>
      </c>
      <c r="O2936" s="16" t="n">
        <v>623.15</v>
      </c>
      <c r="P2936" s="16" t="n">
        <v>300.0413618431699</v>
      </c>
      <c r="Q2936" s="16" t="n">
        <v>4808.3419580395</v>
      </c>
      <c r="R2936" s="16" t="n">
        <v>1242.274389807265</v>
      </c>
      <c r="S2936" s="16" t="n">
        <v>0.5</v>
      </c>
      <c r="T2936" s="16" t="n">
        <v>0.9224916747106672</v>
      </c>
      <c r="U2936" s="16" t="n">
        <v>0.5760658994683791</v>
      </c>
      <c r="V2936" s="16" t="n">
        <v>0.4073021552349206</v>
      </c>
      <c r="W2936" s="16" t="n">
        <v>0.4101145100609968</v>
      </c>
      <c r="X2936" s="16" t="n">
        <v>0.8784157959492287</v>
      </c>
      <c r="Y2936" s="16" t="n">
        <v>300.0413618431699</v>
      </c>
      <c r="Z2936" s="16" t="n">
        <v>8.368318072526479</v>
      </c>
      <c r="AA2936" s="16" t="n">
        <v>82.67341911235339</v>
      </c>
      <c r="AB2936" s="16" t="n">
        <v>3566.067568232236</v>
      </c>
      <c r="AC2936" s="16" t="n">
        <v>3.8705957375371</v>
      </c>
      <c r="AD2936" s="16" t="n"/>
      <c r="AE2936" s="16" t="n"/>
    </row>
    <row r="2937">
      <c r="A2937" s="16" t="inlineStr">
        <is>
          <t>KF-M07-A5-0003</t>
        </is>
      </c>
      <c r="B2937" s="16" t="inlineStr">
        <is>
          <t>5.1</t>
        </is>
      </c>
      <c r="C2937" s="16" t="inlineStr">
        <is>
          <t>5.1e</t>
        </is>
      </c>
      <c r="D2937" s="16" t="inlineStr">
        <is>
          <t>conserva su fuente y su x_b</t>
        </is>
      </c>
      <c r="E2937" s="16" t="inlineStr">
        <is>
          <t>KF-M07</t>
        </is>
      </c>
      <c r="F2937" s="16" t="inlineStr">
        <is>
          <t>KF-M07-A5</t>
        </is>
      </c>
      <c r="G2937" s="16" t="inlineStr">
        <is>
          <t>B11-A5</t>
        </is>
      </c>
      <c r="H2937" s="16" t="inlineStr">
        <is>
          <t>busqueda</t>
        </is>
      </c>
      <c r="I2937" s="16" t="inlineStr">
        <is>
          <t>KALINA</t>
        </is>
      </c>
      <c r="J2937" s="16" t="inlineStr">
        <is>
          <t>KALINA</t>
        </is>
      </c>
      <c r="K2937" s="16" t="b">
        <v>1</v>
      </c>
      <c r="L2937" s="16" t="b">
        <v>0</v>
      </c>
      <c r="M2937" s="16" t="b">
        <v>1</v>
      </c>
      <c r="N2937" s="16" t="b">
        <v>0</v>
      </c>
      <c r="O2937" s="16" t="n">
        <v>623.15</v>
      </c>
      <c r="P2937" s="16" t="n">
        <v>302.58136184317</v>
      </c>
      <c r="Q2937" s="16" t="n">
        <v>5000</v>
      </c>
      <c r="R2937" s="16" t="n">
        <v>1242.274389807265</v>
      </c>
      <c r="S2937" s="16" t="n">
        <v>0.5</v>
      </c>
      <c r="T2937" s="16" t="n">
        <v>0.9224916747106672</v>
      </c>
      <c r="U2937" s="16" t="n">
        <v>0.5760658994683791</v>
      </c>
      <c r="V2937" s="16" t="n">
        <v>0.4073021552349206</v>
      </c>
      <c r="W2937" s="16" t="n">
        <v>0.4101145100609968</v>
      </c>
      <c r="X2937" s="16" t="n">
        <v>0.8784157959492287</v>
      </c>
      <c r="Y2937" s="16" t="n">
        <v>302.58136184317</v>
      </c>
      <c r="Z2937" s="16" t="n">
        <v>8.59283312712399</v>
      </c>
      <c r="AA2937" s="16" t="n">
        <v>84.3752915898271</v>
      </c>
      <c r="AB2937" s="16" t="n">
        <v>3757.725610192735</v>
      </c>
      <c r="AC2937" s="16" t="n">
        <v>4.024875696564698</v>
      </c>
      <c r="AD2937" s="16" t="n"/>
      <c r="AE2937" s="16" t="n"/>
    </row>
    <row r="2938">
      <c r="A2938" s="16" t="inlineStr">
        <is>
          <t>KF-M07-A5-0004</t>
        </is>
      </c>
      <c r="B2938" s="16" t="inlineStr">
        <is>
          <t>5.1</t>
        </is>
      </c>
      <c r="C2938" s="16" t="inlineStr">
        <is>
          <t>5.1e</t>
        </is>
      </c>
      <c r="D2938" s="16" t="inlineStr">
        <is>
          <t>conserva su fuente y su x_b</t>
        </is>
      </c>
      <c r="E2938" s="16" t="inlineStr">
        <is>
          <t>KF-M07</t>
        </is>
      </c>
      <c r="F2938" s="16" t="inlineStr">
        <is>
          <t>KF-M07-A5</t>
        </is>
      </c>
      <c r="G2938" s="16" t="inlineStr">
        <is>
          <t>B11-A5</t>
        </is>
      </c>
      <c r="H2938" s="16" t="inlineStr">
        <is>
          <t>busqueda</t>
        </is>
      </c>
      <c r="I2938" s="16" t="inlineStr">
        <is>
          <t>KALINA</t>
        </is>
      </c>
      <c r="J2938" s="16" t="inlineStr">
        <is>
          <t>KALINA</t>
        </is>
      </c>
      <c r="K2938" s="16" t="b">
        <v>1</v>
      </c>
      <c r="L2938" s="16" t="b">
        <v>0</v>
      </c>
      <c r="M2938" s="16" t="b">
        <v>1</v>
      </c>
      <c r="N2938" s="16" t="b">
        <v>0</v>
      </c>
      <c r="O2938" s="16" t="n">
        <v>623.15</v>
      </c>
      <c r="P2938" s="16" t="n">
        <v>302.58136184317</v>
      </c>
      <c r="Q2938" s="16" t="n">
        <v>4508.3419580395</v>
      </c>
      <c r="R2938" s="16" t="n">
        <v>1242.274389807265</v>
      </c>
      <c r="S2938" s="16" t="n">
        <v>0.5</v>
      </c>
      <c r="T2938" s="16" t="n">
        <v>0.9224916747106672</v>
      </c>
      <c r="U2938" s="16" t="n">
        <v>0.5760658994683791</v>
      </c>
      <c r="V2938" s="16" t="n">
        <v>0.4073021552349206</v>
      </c>
      <c r="W2938" s="16" t="n">
        <v>0.4101145100609968</v>
      </c>
      <c r="X2938" s="16" t="n">
        <v>0.8784157959492287</v>
      </c>
      <c r="Y2938" s="16" t="n">
        <v>302.58136184317</v>
      </c>
      <c r="Z2938" s="16" t="n">
        <v>8.2153680067303</v>
      </c>
      <c r="AA2938" s="16" t="n">
        <v>81.22235980138451</v>
      </c>
      <c r="AB2938" s="16" t="n">
        <v>3266.067568232236</v>
      </c>
      <c r="AC2938" s="16" t="n">
        <v>3.629103195743218</v>
      </c>
      <c r="AD2938" s="16" t="n"/>
      <c r="AE2938" s="16" t="n"/>
    </row>
    <row r="2939">
      <c r="A2939" s="16" t="inlineStr">
        <is>
          <t>KF-M07-A5-0005</t>
        </is>
      </c>
      <c r="B2939" s="16" t="inlineStr">
        <is>
          <t>5.1</t>
        </is>
      </c>
      <c r="C2939" s="16" t="inlineStr">
        <is>
          <t>5.1e</t>
        </is>
      </c>
      <c r="D2939" s="16" t="inlineStr">
        <is>
          <t>conserva su fuente y su x_b</t>
        </is>
      </c>
      <c r="E2939" s="16" t="inlineStr">
        <is>
          <t>KF-M07</t>
        </is>
      </c>
      <c r="F2939" s="16" t="inlineStr">
        <is>
          <t>KF-M07-A5</t>
        </is>
      </c>
      <c r="G2939" s="16" t="inlineStr">
        <is>
          <t>B11-A5</t>
        </is>
      </c>
      <c r="H2939" s="16" t="inlineStr">
        <is>
          <t>busqueda</t>
        </is>
      </c>
      <c r="I2939" s="16" t="inlineStr">
        <is>
          <t>KALINA</t>
        </is>
      </c>
      <c r="J2939" s="16" t="inlineStr">
        <is>
          <t>KALINA</t>
        </is>
      </c>
      <c r="K2939" s="16" t="b">
        <v>1</v>
      </c>
      <c r="L2939" s="16" t="b">
        <v>0</v>
      </c>
      <c r="M2939" s="16" t="b">
        <v>1</v>
      </c>
      <c r="N2939" s="16" t="b">
        <v>0</v>
      </c>
      <c r="O2939" s="16" t="n">
        <v>623.15</v>
      </c>
      <c r="P2939" s="16" t="n">
        <v>302.58136184317</v>
      </c>
      <c r="Q2939" s="16" t="n">
        <v>4808.3419580395</v>
      </c>
      <c r="R2939" s="16" t="n">
        <v>1462.274389807265</v>
      </c>
      <c r="S2939" s="16" t="n">
        <v>0.5</v>
      </c>
      <c r="T2939" s="16" t="n">
        <v>0.9224916747106672</v>
      </c>
      <c r="U2939" s="16" t="n">
        <v>0.5760658994683791</v>
      </c>
      <c r="V2939" s="16" t="n">
        <v>0.4073021552349206</v>
      </c>
      <c r="W2939" s="16" t="n">
        <v>0.4101145100609968</v>
      </c>
      <c r="X2939" s="16" t="n">
        <v>0.8784157959492287</v>
      </c>
      <c r="Y2939" s="16" t="n">
        <v>302.58136184317</v>
      </c>
      <c r="Z2939" s="16" t="n">
        <v>7.46005019239962</v>
      </c>
      <c r="AA2939" s="16" t="n">
        <v>73.42524415437495</v>
      </c>
      <c r="AB2939" s="16" t="n">
        <v>3346.067568232236</v>
      </c>
      <c r="AC2939" s="16" t="n">
        <v>3.288262443461972</v>
      </c>
      <c r="AD2939" s="16" t="n"/>
      <c r="AE2939" s="16" t="n"/>
    </row>
    <row r="2940">
      <c r="A2940" s="16" t="inlineStr">
        <is>
          <t>KF-M07-A5-0006</t>
        </is>
      </c>
      <c r="B2940" s="16" t="inlineStr">
        <is>
          <t>5.1</t>
        </is>
      </c>
      <c r="C2940" s="16" t="inlineStr">
        <is>
          <t>5.1e</t>
        </is>
      </c>
      <c r="D2940" s="16" t="inlineStr">
        <is>
          <t>conserva su fuente y su x_b</t>
        </is>
      </c>
      <c r="E2940" s="16" t="inlineStr">
        <is>
          <t>KF-M07</t>
        </is>
      </c>
      <c r="F2940" s="16" t="inlineStr">
        <is>
          <t>KF-M07-A5</t>
        </is>
      </c>
      <c r="G2940" s="16" t="inlineStr">
        <is>
          <t>B11-A5</t>
        </is>
      </c>
      <c r="H2940" s="16" t="inlineStr">
        <is>
          <t>busqueda</t>
        </is>
      </c>
      <c r="I2940" s="16" t="inlineStr">
        <is>
          <t>KALINA</t>
        </is>
      </c>
      <c r="J2940" s="16" t="inlineStr">
        <is>
          <t>KALINA</t>
        </is>
      </c>
      <c r="K2940" s="16" t="b">
        <v>1</v>
      </c>
      <c r="L2940" s="16" t="b">
        <v>0</v>
      </c>
      <c r="M2940" s="16" t="b">
        <v>1</v>
      </c>
      <c r="N2940" s="16" t="b">
        <v>0</v>
      </c>
      <c r="O2940" s="16" t="n">
        <v>623.15</v>
      </c>
      <c r="P2940" s="16" t="n">
        <v>302.58136184317</v>
      </c>
      <c r="Q2940" s="16" t="n">
        <v>4808.3419580395</v>
      </c>
      <c r="R2940" s="16" t="n">
        <v>1022.274389807265</v>
      </c>
      <c r="S2940" s="16" t="n">
        <v>0.5</v>
      </c>
      <c r="T2940" s="16" t="n">
        <v>0.9224916747106672</v>
      </c>
      <c r="U2940" s="16" t="n">
        <v>0.5760658994683791</v>
      </c>
      <c r="V2940" s="16" t="n">
        <v>0.4073021552349206</v>
      </c>
      <c r="W2940" s="16" t="n">
        <v>0.4101145100609968</v>
      </c>
      <c r="X2940" s="16" t="n">
        <v>0.8784157959492287</v>
      </c>
      <c r="Y2940" s="16" t="n">
        <v>302.58136184317</v>
      </c>
      <c r="Z2940" s="16" t="n">
        <v>9.634106726677301</v>
      </c>
      <c r="AA2940" s="16" t="n">
        <v>94.88905668338508</v>
      </c>
      <c r="AB2940" s="16" t="n">
        <v>3786.067568232236</v>
      </c>
      <c r="AC2940" s="16" t="n">
        <v>4.703572745225522</v>
      </c>
      <c r="AD2940" s="16" t="n"/>
      <c r="AE2940" s="16" t="n"/>
    </row>
    <row r="2941">
      <c r="A2941" s="16" t="inlineStr">
        <is>
          <t>KF-M07-A5-0007</t>
        </is>
      </c>
      <c r="B2941" s="16" t="inlineStr">
        <is>
          <t>5.1</t>
        </is>
      </c>
      <c r="C2941" s="16" t="inlineStr">
        <is>
          <t>5.1e</t>
        </is>
      </c>
      <c r="D2941" s="16" t="inlineStr">
        <is>
          <t>conserva su fuente y su x_b</t>
        </is>
      </c>
      <c r="E2941" s="16" t="inlineStr">
        <is>
          <t>KF-M07</t>
        </is>
      </c>
      <c r="F2941" s="16" t="inlineStr">
        <is>
          <t>KF-M07-A5</t>
        </is>
      </c>
      <c r="G2941" s="16" t="inlineStr">
        <is>
          <t>B11-A5</t>
        </is>
      </c>
      <c r="H2941" s="16" t="inlineStr">
        <is>
          <t>busqueda</t>
        </is>
      </c>
      <c r="I2941" s="16" t="inlineStr">
        <is>
          <t>KALINA</t>
        </is>
      </c>
      <c r="J2941" s="16" t="inlineStr">
        <is>
          <t>KALINA</t>
        </is>
      </c>
      <c r="K2941" s="16" t="b">
        <v>1</v>
      </c>
      <c r="L2941" s="16" t="b">
        <v>0</v>
      </c>
      <c r="M2941" s="16" t="b">
        <v>1</v>
      </c>
      <c r="N2941" s="16" t="b">
        <v>0</v>
      </c>
      <c r="O2941" s="16" t="n">
        <v>623.15</v>
      </c>
      <c r="P2941" s="16" t="n">
        <v>302.58136184317</v>
      </c>
      <c r="Q2941" s="16" t="n">
        <v>4808.3419580395</v>
      </c>
      <c r="R2941" s="16" t="n">
        <v>1242.274389807265</v>
      </c>
      <c r="S2941" s="16" t="n">
        <v>0.5</v>
      </c>
      <c r="T2941" s="16" t="n">
        <v>0.95</v>
      </c>
      <c r="U2941" s="16" t="n">
        <v>0.5760658994683791</v>
      </c>
      <c r="V2941" s="16" t="n">
        <v>0.4073021552349206</v>
      </c>
      <c r="W2941" s="16" t="n">
        <v>0.4101145100609968</v>
      </c>
      <c r="X2941" s="16" t="n">
        <v>0.8784157959492287</v>
      </c>
      <c r="Y2941" s="16" t="n">
        <v>302.58136184317</v>
      </c>
      <c r="Z2941" s="16" t="n">
        <v>8.730526433073511</v>
      </c>
      <c r="AA2941" s="16" t="n">
        <v>85.96597558006876</v>
      </c>
      <c r="AB2941" s="16" t="n">
        <v>3566.067568232236</v>
      </c>
      <c r="AC2941" s="16" t="n">
        <v>3.8705957375371</v>
      </c>
      <c r="AD2941" s="16" t="n"/>
      <c r="AE2941" s="16" t="n"/>
    </row>
    <row r="2942">
      <c r="A2942" s="16" t="inlineStr">
        <is>
          <t>KF-M07-A5-0008</t>
        </is>
      </c>
      <c r="B2942" s="16" t="inlineStr">
        <is>
          <t>5.1</t>
        </is>
      </c>
      <c r="C2942" s="16" t="inlineStr">
        <is>
          <t>5.1e</t>
        </is>
      </c>
      <c r="D2942" s="16" t="inlineStr">
        <is>
          <t>conserva su fuente y su x_b</t>
        </is>
      </c>
      <c r="E2942" s="16" t="inlineStr">
        <is>
          <t>KF-M07</t>
        </is>
      </c>
      <c r="F2942" s="16" t="inlineStr">
        <is>
          <t>KF-M07-A5</t>
        </is>
      </c>
      <c r="G2942" s="16" t="inlineStr">
        <is>
          <t>B11-A5</t>
        </is>
      </c>
      <c r="H2942" s="16" t="inlineStr">
        <is>
          <t>busqueda</t>
        </is>
      </c>
      <c r="I2942" s="16" t="inlineStr">
        <is>
          <t>KALINA</t>
        </is>
      </c>
      <c r="J2942" s="16" t="inlineStr">
        <is>
          <t>KALINA</t>
        </is>
      </c>
      <c r="K2942" s="16" t="b">
        <v>1</v>
      </c>
      <c r="L2942" s="16" t="b">
        <v>0</v>
      </c>
      <c r="M2942" s="16" t="b">
        <v>1</v>
      </c>
      <c r="N2942" s="16" t="b">
        <v>0</v>
      </c>
      <c r="O2942" s="16" t="n">
        <v>623.15</v>
      </c>
      <c r="P2942" s="16" t="n">
        <v>302.58136184317</v>
      </c>
      <c r="Q2942" s="16" t="n">
        <v>4808.3419580395</v>
      </c>
      <c r="R2942" s="16" t="n">
        <v>1242.274389807265</v>
      </c>
      <c r="S2942" s="16" t="n">
        <v>0.5</v>
      </c>
      <c r="T2942" s="16" t="n">
        <v>0.8674916747106671</v>
      </c>
      <c r="U2942" s="16" t="n">
        <v>0.5760658994683791</v>
      </c>
      <c r="V2942" s="16" t="n">
        <v>0.4073021552349206</v>
      </c>
      <c r="W2942" s="16" t="n">
        <v>0.4101145100609968</v>
      </c>
      <c r="X2942" s="16" t="n">
        <v>0.8784157959492287</v>
      </c>
      <c r="Y2942" s="16" t="n">
        <v>302.58136184317</v>
      </c>
      <c r="Z2942" s="16" t="n">
        <v>7.911524152474369</v>
      </c>
      <c r="AA2942" s="16" t="n">
        <v>77.87593627000365</v>
      </c>
      <c r="AB2942" s="16" t="n">
        <v>3566.067568232236</v>
      </c>
      <c r="AC2942" s="16" t="n">
        <v>3.8705957375371</v>
      </c>
      <c r="AD2942" s="16" t="n"/>
      <c r="AE2942" s="16" t="n"/>
    </row>
    <row r="2943">
      <c r="A2943" s="16" t="inlineStr">
        <is>
          <t>KF-M07-A5-0009</t>
        </is>
      </c>
      <c r="B2943" s="16" t="inlineStr">
        <is>
          <t>5.1</t>
        </is>
      </c>
      <c r="C2943" s="16" t="inlineStr">
        <is>
          <t>5.1e</t>
        </is>
      </c>
      <c r="D2943" s="16" t="inlineStr">
        <is>
          <t>conserva su fuente y su x_b</t>
        </is>
      </c>
      <c r="E2943" s="16" t="inlineStr">
        <is>
          <t>KF-M07</t>
        </is>
      </c>
      <c r="F2943" s="16" t="inlineStr">
        <is>
          <t>KF-M07-A5</t>
        </is>
      </c>
      <c r="G2943" s="16" t="inlineStr">
        <is>
          <t>B11-A5</t>
        </is>
      </c>
      <c r="H2943" s="16" t="inlineStr">
        <is>
          <t>busqueda</t>
        </is>
      </c>
      <c r="I2943" s="16" t="inlineStr">
        <is>
          <t>KALINA</t>
        </is>
      </c>
      <c r="J2943" s="16" t="inlineStr">
        <is>
          <t>KALINA</t>
        </is>
      </c>
      <c r="K2943" s="16" t="b">
        <v>1</v>
      </c>
      <c r="L2943" s="16" t="b">
        <v>0</v>
      </c>
      <c r="M2943" s="16" t="b">
        <v>1</v>
      </c>
      <c r="N2943" s="16" t="b">
        <v>0</v>
      </c>
      <c r="O2943" s="16" t="n">
        <v>623.15</v>
      </c>
      <c r="P2943" s="16" t="n">
        <v>302.58136184317</v>
      </c>
      <c r="Q2943" s="16" t="n">
        <v>4808.3419580395</v>
      </c>
      <c r="R2943" s="16" t="n">
        <v>1242.274389807265</v>
      </c>
      <c r="S2943" s="16" t="n">
        <v>0.5</v>
      </c>
      <c r="T2943" s="16" t="n">
        <v>0.9224916747106672</v>
      </c>
      <c r="U2943" s="16" t="n">
        <v>0.6310658994683791</v>
      </c>
      <c r="V2943" s="16" t="n">
        <v>0.4073021552349206</v>
      </c>
      <c r="W2943" s="16" t="n">
        <v>0.4101145100609968</v>
      </c>
      <c r="X2943" s="16" t="n">
        <v>0.8784157959492287</v>
      </c>
      <c r="Y2943" s="16" t="n">
        <v>302.58136184317</v>
      </c>
      <c r="Z2943" s="16" t="n">
        <v>8.52065855725853</v>
      </c>
      <c r="AA2943" s="16" t="n">
        <v>83.90920523105854</v>
      </c>
      <c r="AB2943" s="16" t="n">
        <v>3566.067568232236</v>
      </c>
      <c r="AC2943" s="16" t="n">
        <v>3.8705957375371</v>
      </c>
      <c r="AD2943" s="16" t="n"/>
      <c r="AE2943" s="16" t="n"/>
    </row>
    <row r="2944">
      <c r="A2944" s="16" t="inlineStr">
        <is>
          <t>KF-M07-A5-0010</t>
        </is>
      </c>
      <c r="B2944" s="16" t="inlineStr">
        <is>
          <t>5.1</t>
        </is>
      </c>
      <c r="C2944" s="16" t="inlineStr">
        <is>
          <t>5.1e</t>
        </is>
      </c>
      <c r="D2944" s="16" t="inlineStr">
        <is>
          <t>conserva su fuente y su x_b</t>
        </is>
      </c>
      <c r="E2944" s="16" t="inlineStr">
        <is>
          <t>KF-M07</t>
        </is>
      </c>
      <c r="F2944" s="16" t="inlineStr">
        <is>
          <t>KF-M07-A5</t>
        </is>
      </c>
      <c r="G2944" s="16" t="inlineStr">
        <is>
          <t>B11-A5</t>
        </is>
      </c>
      <c r="H2944" s="16" t="inlineStr">
        <is>
          <t>busqueda</t>
        </is>
      </c>
      <c r="I2944" s="16" t="inlineStr">
        <is>
          <t>KALINA</t>
        </is>
      </c>
      <c r="J2944" s="16" t="inlineStr">
        <is>
          <t>KALINA</t>
        </is>
      </c>
      <c r="K2944" s="16" t="b">
        <v>1</v>
      </c>
      <c r="L2944" s="16" t="b">
        <v>0</v>
      </c>
      <c r="M2944" s="16" t="b">
        <v>1</v>
      </c>
      <c r="N2944" s="16" t="b">
        <v>0</v>
      </c>
      <c r="O2944" s="16" t="n">
        <v>623.15</v>
      </c>
      <c r="P2944" s="16" t="n">
        <v>302.58136184317</v>
      </c>
      <c r="Q2944" s="16" t="n">
        <v>4808.3419580395</v>
      </c>
      <c r="R2944" s="16" t="n">
        <v>1242.274389807265</v>
      </c>
      <c r="S2944" s="16" t="n">
        <v>0.5</v>
      </c>
      <c r="T2944" s="16" t="n">
        <v>0.9224916747106672</v>
      </c>
      <c r="U2944" s="16" t="n">
        <v>0.521065899468379</v>
      </c>
      <c r="V2944" s="16" t="n">
        <v>0.4073021552349206</v>
      </c>
      <c r="W2944" s="16" t="n">
        <v>0.4101145100609968</v>
      </c>
      <c r="X2944" s="16" t="n">
        <v>0.8784157959492287</v>
      </c>
      <c r="Y2944" s="16" t="n">
        <v>302.58136184317</v>
      </c>
      <c r="Z2944" s="16" t="n">
        <v>8.381298703260889</v>
      </c>
      <c r="AA2944" s="16" t="n">
        <v>82.4956695375991</v>
      </c>
      <c r="AB2944" s="16" t="n">
        <v>3566.067568232236</v>
      </c>
      <c r="AC2944" s="16" t="n">
        <v>3.8705957375371</v>
      </c>
      <c r="AD2944" s="16" t="n"/>
      <c r="AE2944" s="16" t="n"/>
    </row>
    <row r="2945">
      <c r="A2945" s="16" t="inlineStr">
        <is>
          <t>KF-M07-A5-0011</t>
        </is>
      </c>
      <c r="B2945" s="16" t="inlineStr">
        <is>
          <t>5.1</t>
        </is>
      </c>
      <c r="C2945" s="16" t="inlineStr">
        <is>
          <t>5.1e</t>
        </is>
      </c>
      <c r="D2945" s="16" t="inlineStr">
        <is>
          <t>conserva su fuente y su x_b</t>
        </is>
      </c>
      <c r="E2945" s="16" t="inlineStr">
        <is>
          <t>KF-M07</t>
        </is>
      </c>
      <c r="F2945" s="16" t="inlineStr">
        <is>
          <t>KF-M07-A5</t>
        </is>
      </c>
      <c r="G2945" s="16" t="inlineStr">
        <is>
          <t>B11-A5</t>
        </is>
      </c>
      <c r="H2945" s="16" t="inlineStr">
        <is>
          <t>busqueda</t>
        </is>
      </c>
      <c r="I2945" s="16" t="inlineStr">
        <is>
          <t>KALINA</t>
        </is>
      </c>
      <c r="J2945" s="16" t="inlineStr">
        <is>
          <t>KALINA</t>
        </is>
      </c>
      <c r="K2945" s="16" t="b">
        <v>1</v>
      </c>
      <c r="L2945" s="16" t="b">
        <v>0</v>
      </c>
      <c r="M2945" s="16" t="b">
        <v>1</v>
      </c>
      <c r="N2945" s="16" t="b">
        <v>0</v>
      </c>
      <c r="O2945" s="16" t="n">
        <v>623.15</v>
      </c>
      <c r="P2945" s="16" t="n">
        <v>302.58136184317</v>
      </c>
      <c r="Q2945" s="16" t="n">
        <v>4808.3419580395</v>
      </c>
      <c r="R2945" s="16" t="n">
        <v>1242.274389807265</v>
      </c>
      <c r="S2945" s="16" t="n">
        <v>0.5</v>
      </c>
      <c r="T2945" s="16" t="n">
        <v>0.9224916747106672</v>
      </c>
      <c r="U2945" s="16" t="n">
        <v>0.5760658994683791</v>
      </c>
      <c r="V2945" s="16" t="n">
        <v>0.4623021552349206</v>
      </c>
      <c r="W2945" s="16" t="n">
        <v>0.4101145100609968</v>
      </c>
      <c r="X2945" s="16" t="n">
        <v>0.8784157959492287</v>
      </c>
      <c r="Y2945" s="16" t="n">
        <v>302.58136184317</v>
      </c>
      <c r="Z2945" s="16" t="n">
        <v>8.9610426876534</v>
      </c>
      <c r="AA2945" s="16" t="n">
        <v>100.1077514037278</v>
      </c>
      <c r="AB2945" s="16" t="n">
        <v>3566.067568232236</v>
      </c>
      <c r="AC2945" s="16" t="n">
        <v>3.8705957375371</v>
      </c>
      <c r="AD2945" s="16" t="n"/>
      <c r="AE2945" s="16" t="n"/>
    </row>
    <row r="2946">
      <c r="A2946" s="16" t="inlineStr">
        <is>
          <t>KF-M07-A5-0012</t>
        </is>
      </c>
      <c r="B2946" s="16" t="inlineStr">
        <is>
          <t>5.1</t>
        </is>
      </c>
      <c r="C2946" s="16" t="inlineStr">
        <is>
          <t>5.1e</t>
        </is>
      </c>
      <c r="D2946" s="16" t="inlineStr">
        <is>
          <t>conserva su fuente y su x_b</t>
        </is>
      </c>
      <c r="E2946" s="16" t="inlineStr">
        <is>
          <t>KF-M07</t>
        </is>
      </c>
      <c r="F2946" s="16" t="inlineStr">
        <is>
          <t>KF-M07-A5</t>
        </is>
      </c>
      <c r="G2946" s="16" t="inlineStr">
        <is>
          <t>B11-A5</t>
        </is>
      </c>
      <c r="H2946" s="16" t="inlineStr">
        <is>
          <t>busqueda</t>
        </is>
      </c>
      <c r="I2946" s="16" t="inlineStr">
        <is>
          <t>KALINA</t>
        </is>
      </c>
      <c r="J2946" s="16" t="inlineStr">
        <is>
          <t>KALINA</t>
        </is>
      </c>
      <c r="K2946" s="16" t="b">
        <v>1</v>
      </c>
      <c r="L2946" s="16" t="b">
        <v>0</v>
      </c>
      <c r="M2946" s="16" t="b">
        <v>1</v>
      </c>
      <c r="N2946" s="16" t="b">
        <v>0</v>
      </c>
      <c r="O2946" s="16" t="n">
        <v>623.15</v>
      </c>
      <c r="P2946" s="16" t="n">
        <v>302.58136184317</v>
      </c>
      <c r="Q2946" s="16" t="n">
        <v>4808.3419580395</v>
      </c>
      <c r="R2946" s="16" t="n">
        <v>1242.274389807265</v>
      </c>
      <c r="S2946" s="16" t="n">
        <v>0.5</v>
      </c>
      <c r="T2946" s="16" t="n">
        <v>0.9224916747106672</v>
      </c>
      <c r="U2946" s="16" t="n">
        <v>0.5760658994683791</v>
      </c>
      <c r="V2946" s="16" t="n">
        <v>0.4</v>
      </c>
      <c r="W2946" s="16" t="n">
        <v>0.4101145100609968</v>
      </c>
      <c r="X2946" s="16" t="n">
        <v>0.8784157959492287</v>
      </c>
      <c r="Y2946" s="16" t="n">
        <v>302.58136184317</v>
      </c>
      <c r="Z2946" s="16" t="n">
        <v>8.37999891546645</v>
      </c>
      <c r="AA2946" s="16" t="n">
        <v>81.03375610262115</v>
      </c>
      <c r="AB2946" s="16" t="n">
        <v>3566.067568232236</v>
      </c>
      <c r="AC2946" s="16" t="n">
        <v>3.8705957375371</v>
      </c>
      <c r="AD2946" s="16" t="n"/>
      <c r="AE2946" s="16" t="n"/>
    </row>
    <row r="2947">
      <c r="A2947" s="16" t="inlineStr">
        <is>
          <t>KF-M07-A5-0013</t>
        </is>
      </c>
      <c r="B2947" s="16" t="inlineStr">
        <is>
          <t>5.1</t>
        </is>
      </c>
      <c r="C2947" s="16" t="inlineStr">
        <is>
          <t>5.1e</t>
        </is>
      </c>
      <c r="D2947" s="16" t="inlineStr">
        <is>
          <t>conserva su fuente y su x_b</t>
        </is>
      </c>
      <c r="E2947" s="16" t="inlineStr">
        <is>
          <t>KF-M07</t>
        </is>
      </c>
      <c r="F2947" s="16" t="inlineStr">
        <is>
          <t>KF-M07-A5</t>
        </is>
      </c>
      <c r="G2947" s="16" t="inlineStr">
        <is>
          <t>B11-A5</t>
        </is>
      </c>
      <c r="H2947" s="16" t="inlineStr">
        <is>
          <t>busqueda</t>
        </is>
      </c>
      <c r="I2947" s="16" t="inlineStr">
        <is>
          <t>KALINA</t>
        </is>
      </c>
      <c r="J2947" s="16" t="inlineStr">
        <is>
          <t>KALINA</t>
        </is>
      </c>
      <c r="K2947" s="16" t="b">
        <v>1</v>
      </c>
      <c r="L2947" s="16" t="b">
        <v>0</v>
      </c>
      <c r="M2947" s="16" t="b">
        <v>1</v>
      </c>
      <c r="N2947" s="16" t="b">
        <v>0</v>
      </c>
      <c r="O2947" s="16" t="n">
        <v>623.15</v>
      </c>
      <c r="P2947" s="16" t="n">
        <v>302.58136184317</v>
      </c>
      <c r="Q2947" s="16" t="n">
        <v>4808.3419580395</v>
      </c>
      <c r="R2947" s="16" t="n">
        <v>1242.274389807265</v>
      </c>
      <c r="S2947" s="16" t="n">
        <v>0.5</v>
      </c>
      <c r="T2947" s="16" t="n">
        <v>0.9224916747106672</v>
      </c>
      <c r="U2947" s="16" t="n">
        <v>0.5760658994683791</v>
      </c>
      <c r="V2947" s="16" t="n">
        <v>0.4073021552349206</v>
      </c>
      <c r="W2947" s="16" t="n">
        <v>0.4651145100609968</v>
      </c>
      <c r="X2947" s="16" t="n">
        <v>0.8784157959492287</v>
      </c>
      <c r="Y2947" s="16" t="n">
        <v>302.58136184317</v>
      </c>
      <c r="Z2947" s="16" t="n">
        <v>8.65761731826446</v>
      </c>
      <c r="AA2947" s="16" t="n">
        <v>84.60831426561718</v>
      </c>
      <c r="AB2947" s="16" t="n">
        <v>3566.067568232236</v>
      </c>
      <c r="AC2947" s="16" t="n">
        <v>3.8705957375371</v>
      </c>
      <c r="AD2947" s="16" t="n"/>
      <c r="AE2947" s="16" t="n"/>
    </row>
    <row r="2948">
      <c r="A2948" s="16" t="inlineStr">
        <is>
          <t>KF-M07-A5-0014</t>
        </is>
      </c>
      <c r="B2948" s="16" t="inlineStr">
        <is>
          <t>5.1</t>
        </is>
      </c>
      <c r="C2948" s="16" t="inlineStr">
        <is>
          <t>5.1e</t>
        </is>
      </c>
      <c r="D2948" s="16" t="inlineStr">
        <is>
          <t>conserva su fuente y su x_b</t>
        </is>
      </c>
      <c r="E2948" s="16" t="inlineStr">
        <is>
          <t>KF-M07</t>
        </is>
      </c>
      <c r="F2948" s="16" t="inlineStr">
        <is>
          <t>KF-M07-A5</t>
        </is>
      </c>
      <c r="G2948" s="16" t="inlineStr">
        <is>
          <t>B11-A5</t>
        </is>
      </c>
      <c r="H2948" s="16" t="inlineStr">
        <is>
          <t>busqueda</t>
        </is>
      </c>
      <c r="I2948" s="16" t="inlineStr">
        <is>
          <t>N2</t>
        </is>
      </c>
      <c r="J2948" s="16" t="inlineStr">
        <is>
          <t>NO_CONVERGIO</t>
        </is>
      </c>
      <c r="K2948" s="16" t="b">
        <v>0</v>
      </c>
      <c r="L2948" s="16" t="b">
        <v>0</v>
      </c>
      <c r="M2948" s="16" t="b">
        <v>1</v>
      </c>
      <c r="N2948" s="16" t="b">
        <v>0</v>
      </c>
      <c r="O2948" s="16" t="n">
        <v>623.15</v>
      </c>
      <c r="P2948" s="16" t="n">
        <v>302.58136184317</v>
      </c>
      <c r="Q2948" s="16" t="n">
        <v>4808.3419580395</v>
      </c>
      <c r="R2948" s="16" t="n">
        <v>1242.274389807265</v>
      </c>
      <c r="S2948" s="16" t="n">
        <v>0.5</v>
      </c>
      <c r="T2948" s="16" t="n">
        <v>0.9224916747106672</v>
      </c>
      <c r="U2948" s="16" t="n">
        <v>0.5760658994683791</v>
      </c>
      <c r="V2948" s="16" t="n">
        <v>0.4073021552349206</v>
      </c>
      <c r="W2948" s="16" t="n">
        <v>0.4</v>
      </c>
      <c r="X2948" s="16" t="n">
        <v>0.8784157959492287</v>
      </c>
      <c r="Y2948" s="16" t="n">
        <v>302.58136184317</v>
      </c>
      <c r="Z2948" s="16" t="n">
        <v>8.437006930773549</v>
      </c>
      <c r="AA2948" s="16" t="n">
        <v>83.13050931633185</v>
      </c>
      <c r="AB2948" s="16" t="n">
        <v>3566.067568232236</v>
      </c>
      <c r="AC2948" s="16" t="n">
        <v>3.8705957375371</v>
      </c>
      <c r="AD2948" s="16" t="inlineStr">
        <is>
          <t>N2</t>
        </is>
      </c>
      <c r="AE2948" s="16" t="n"/>
    </row>
    <row r="2949">
      <c r="A2949" s="16" t="inlineStr">
        <is>
          <t>KF-M07-A5-0015</t>
        </is>
      </c>
      <c r="B2949" s="16" t="inlineStr">
        <is>
          <t>5.1</t>
        </is>
      </c>
      <c r="C2949" s="16" t="inlineStr">
        <is>
          <t>5.1e</t>
        </is>
      </c>
      <c r="D2949" s="16" t="inlineStr">
        <is>
          <t>conserva su fuente y su x_b</t>
        </is>
      </c>
      <c r="E2949" s="16" t="inlineStr">
        <is>
          <t>KF-M07</t>
        </is>
      </c>
      <c r="F2949" s="16" t="inlineStr">
        <is>
          <t>KF-M07-A5</t>
        </is>
      </c>
      <c r="G2949" s="16" t="inlineStr">
        <is>
          <t>B11-A5</t>
        </is>
      </c>
      <c r="H2949" s="16" t="inlineStr">
        <is>
          <t>busqueda</t>
        </is>
      </c>
      <c r="I2949" s="16" t="inlineStr">
        <is>
          <t>KALINA</t>
        </is>
      </c>
      <c r="J2949" s="16" t="inlineStr">
        <is>
          <t>KALINA</t>
        </is>
      </c>
      <c r="K2949" s="16" t="b">
        <v>1</v>
      </c>
      <c r="L2949" s="16" t="b">
        <v>0</v>
      </c>
      <c r="M2949" s="16" t="b">
        <v>1</v>
      </c>
      <c r="N2949" s="16" t="b">
        <v>0</v>
      </c>
      <c r="O2949" s="16" t="n">
        <v>623.15</v>
      </c>
      <c r="P2949" s="16" t="n">
        <v>302.58136184317</v>
      </c>
      <c r="Q2949" s="16" t="n">
        <v>4808.3419580395</v>
      </c>
      <c r="R2949" s="16" t="n">
        <v>1242.274389807265</v>
      </c>
      <c r="S2949" s="16" t="n">
        <v>0.5</v>
      </c>
      <c r="T2949" s="16" t="n">
        <v>0.9224916747106672</v>
      </c>
      <c r="U2949" s="16" t="n">
        <v>0.5760658994683791</v>
      </c>
      <c r="V2949" s="16" t="n">
        <v>0.4073021552349206</v>
      </c>
      <c r="W2949" s="16" t="n">
        <v>0.4101145100609968</v>
      </c>
      <c r="X2949" s="16" t="n">
        <v>0.9334157959492286</v>
      </c>
      <c r="Y2949" s="16" t="n">
        <v>302.58136184317</v>
      </c>
      <c r="Z2949" s="16" t="n">
        <v>7.997266784392069</v>
      </c>
      <c r="AA2949" s="16" t="n">
        <v>80.15105142061846</v>
      </c>
      <c r="AB2949" s="16" t="n">
        <v>3566.067568232236</v>
      </c>
      <c r="AC2949" s="16" t="n">
        <v>3.8705957375371</v>
      </c>
      <c r="AD2949" s="16" t="n"/>
      <c r="AE2949" s="16" t="n"/>
    </row>
    <row r="2950">
      <c r="A2950" s="16" t="inlineStr">
        <is>
          <t>KF-M07-A5-0016</t>
        </is>
      </c>
      <c r="B2950" s="16" t="inlineStr">
        <is>
          <t>5.1</t>
        </is>
      </c>
      <c r="C2950" s="16" t="inlineStr">
        <is>
          <t>5.1e</t>
        </is>
      </c>
      <c r="D2950" s="16" t="inlineStr">
        <is>
          <t>conserva su fuente y su x_b</t>
        </is>
      </c>
      <c r="E2950" s="16" t="inlineStr">
        <is>
          <t>KF-M07</t>
        </is>
      </c>
      <c r="F2950" s="16" t="inlineStr">
        <is>
          <t>KF-M07-A5</t>
        </is>
      </c>
      <c r="G2950" s="16" t="inlineStr">
        <is>
          <t>B11-A5</t>
        </is>
      </c>
      <c r="H2950" s="16" t="inlineStr">
        <is>
          <t>busqueda</t>
        </is>
      </c>
      <c r="I2950" s="16" t="inlineStr">
        <is>
          <t>KALINA</t>
        </is>
      </c>
      <c r="J2950" s="16" t="inlineStr">
        <is>
          <t>KALINA</t>
        </is>
      </c>
      <c r="K2950" s="16" t="b">
        <v>1</v>
      </c>
      <c r="L2950" s="16" t="b">
        <v>0</v>
      </c>
      <c r="M2950" s="16" t="b">
        <v>1</v>
      </c>
      <c r="N2950" s="16" t="b">
        <v>0</v>
      </c>
      <c r="O2950" s="16" t="n">
        <v>623.15</v>
      </c>
      <c r="P2950" s="16" t="n">
        <v>302.58136184317</v>
      </c>
      <c r="Q2950" s="16" t="n">
        <v>4808.3419580395</v>
      </c>
      <c r="R2950" s="16" t="n">
        <v>1242.274389807265</v>
      </c>
      <c r="S2950" s="16" t="n">
        <v>0.5</v>
      </c>
      <c r="T2950" s="16" t="n">
        <v>0.9224916747106672</v>
      </c>
      <c r="U2950" s="16" t="n">
        <v>0.5760658994683791</v>
      </c>
      <c r="V2950" s="16" t="n">
        <v>0.4073021552349206</v>
      </c>
      <c r="W2950" s="16" t="n">
        <v>0.4101145100609968</v>
      </c>
      <c r="X2950" s="16" t="n">
        <v>0.8234157959492288</v>
      </c>
      <c r="Y2950" s="16" t="n">
        <v>302.58136184317</v>
      </c>
      <c r="Z2950" s="16" t="n">
        <v>8.980239224794941</v>
      </c>
      <c r="AA2950" s="16" t="n">
        <v>86.6788660263264</v>
      </c>
      <c r="AB2950" s="16" t="n">
        <v>3566.067568232236</v>
      </c>
      <c r="AC2950" s="16" t="n">
        <v>3.8705957375371</v>
      </c>
      <c r="AD2950" s="16" t="n"/>
      <c r="AE2950" s="16" t="n"/>
    </row>
    <row r="2951">
      <c r="A2951" s="16" t="inlineStr">
        <is>
          <t>KF-M07-A5-0017</t>
        </is>
      </c>
      <c r="B2951" s="16" t="inlineStr">
        <is>
          <t>5.1</t>
        </is>
      </c>
      <c r="C2951" s="16" t="inlineStr">
        <is>
          <t>5.1e</t>
        </is>
      </c>
      <c r="D2951" s="16" t="inlineStr">
        <is>
          <t>conserva su fuente y su x_b</t>
        </is>
      </c>
      <c r="E2951" s="16" t="inlineStr">
        <is>
          <t>KF-M07</t>
        </is>
      </c>
      <c r="F2951" s="16" t="inlineStr">
        <is>
          <t>KF-M07-A5</t>
        </is>
      </c>
      <c r="G2951" s="16" t="inlineStr">
        <is>
          <t>B11-A5</t>
        </is>
      </c>
      <c r="H2951" s="16" t="inlineStr">
        <is>
          <t>busqueda</t>
        </is>
      </c>
      <c r="I2951" s="16" t="inlineStr">
        <is>
          <t>KALINA</t>
        </is>
      </c>
      <c r="J2951" s="16" t="inlineStr">
        <is>
          <t>KALINA</t>
        </is>
      </c>
      <c r="K2951" s="16" t="b">
        <v>1</v>
      </c>
      <c r="L2951" s="16" t="b">
        <v>0</v>
      </c>
      <c r="M2951" s="16" t="b">
        <v>1</v>
      </c>
      <c r="N2951" s="16" t="b">
        <v>0</v>
      </c>
      <c r="O2951" s="16" t="n">
        <v>623.15</v>
      </c>
      <c r="P2951" s="16" t="n">
        <v>303.55</v>
      </c>
      <c r="Q2951" s="16" t="n">
        <v>4808.3419580395</v>
      </c>
      <c r="R2951" s="16" t="n">
        <v>1022.274389807265</v>
      </c>
      <c r="S2951" s="16" t="n">
        <v>0.5</v>
      </c>
      <c r="T2951" s="16" t="n">
        <v>0.9224916747106672</v>
      </c>
      <c r="U2951" s="16" t="n">
        <v>0.5760658994683791</v>
      </c>
      <c r="V2951" s="16" t="n">
        <v>0.4073021552349206</v>
      </c>
      <c r="W2951" s="16" t="n">
        <v>0.4101145100609968</v>
      </c>
      <c r="X2951" s="16" t="n">
        <v>0.8784157959492287</v>
      </c>
      <c r="Y2951" s="16" t="n">
        <v>303.55</v>
      </c>
      <c r="Z2951" s="16" t="n">
        <v>9.67310852602802</v>
      </c>
      <c r="AA2951" s="16" t="n">
        <v>95.14817376271012</v>
      </c>
      <c r="AB2951" s="16" t="n">
        <v>3786.067568232236</v>
      </c>
      <c r="AC2951" s="16" t="n">
        <v>4.703572745225522</v>
      </c>
      <c r="AD2951" s="16" t="n"/>
      <c r="AE2951" s="16" t="n"/>
    </row>
    <row r="2952">
      <c r="A2952" s="16" t="inlineStr">
        <is>
          <t>KF-M07-A5-0018</t>
        </is>
      </c>
      <c r="B2952" s="16" t="inlineStr">
        <is>
          <t>5.1</t>
        </is>
      </c>
      <c r="C2952" s="16" t="inlineStr">
        <is>
          <t>5.1e</t>
        </is>
      </c>
      <c r="D2952" s="16" t="inlineStr">
        <is>
          <t>conserva su fuente y su x_b</t>
        </is>
      </c>
      <c r="E2952" s="16" t="inlineStr">
        <is>
          <t>KF-M07</t>
        </is>
      </c>
      <c r="F2952" s="16" t="inlineStr">
        <is>
          <t>KF-M07-A5</t>
        </is>
      </c>
      <c r="G2952" s="16" t="inlineStr">
        <is>
          <t>B11-A5</t>
        </is>
      </c>
      <c r="H2952" s="16" t="inlineStr">
        <is>
          <t>busqueda</t>
        </is>
      </c>
      <c r="I2952" s="16" t="inlineStr">
        <is>
          <t>KALINA</t>
        </is>
      </c>
      <c r="J2952" s="16" t="inlineStr">
        <is>
          <t>KALINA</t>
        </is>
      </c>
      <c r="K2952" s="16" t="b">
        <v>1</v>
      </c>
      <c r="L2952" s="16" t="b">
        <v>0</v>
      </c>
      <c r="M2952" s="16" t="b">
        <v>1</v>
      </c>
      <c r="N2952" s="16" t="b">
        <v>0</v>
      </c>
      <c r="O2952" s="16" t="n">
        <v>623.15</v>
      </c>
      <c r="P2952" s="16" t="n">
        <v>300.0413618431699</v>
      </c>
      <c r="Q2952" s="16" t="n">
        <v>4808.3419580395</v>
      </c>
      <c r="R2952" s="16" t="n">
        <v>1022.274389807265</v>
      </c>
      <c r="S2952" s="16" t="n">
        <v>0.5</v>
      </c>
      <c r="T2952" s="16" t="n">
        <v>0.9224916747106672</v>
      </c>
      <c r="U2952" s="16" t="n">
        <v>0.5760658994683791</v>
      </c>
      <c r="V2952" s="16" t="n">
        <v>0.4073021552349206</v>
      </c>
      <c r="W2952" s="16" t="n">
        <v>0.4101145100609968</v>
      </c>
      <c r="X2952" s="16" t="n">
        <v>0.8784157959492287</v>
      </c>
      <c r="Y2952" s="16" t="n">
        <v>300.0413618431699</v>
      </c>
      <c r="Z2952" s="16" t="n">
        <v>9.532634585178361</v>
      </c>
      <c r="AA2952" s="16" t="n">
        <v>94.21169127169564</v>
      </c>
      <c r="AB2952" s="16" t="n">
        <v>3786.067568232236</v>
      </c>
      <c r="AC2952" s="16" t="n">
        <v>4.703572745225522</v>
      </c>
      <c r="AD2952" s="16" t="n"/>
      <c r="AE2952" s="16" t="n"/>
    </row>
    <row r="2953">
      <c r="A2953" s="16" t="inlineStr">
        <is>
          <t>KF-M07-A5-0019</t>
        </is>
      </c>
      <c r="B2953" s="16" t="inlineStr">
        <is>
          <t>5.1</t>
        </is>
      </c>
      <c r="C2953" s="16" t="inlineStr">
        <is>
          <t>5.1e</t>
        </is>
      </c>
      <c r="D2953" s="16" t="inlineStr">
        <is>
          <t>conserva su fuente y su x_b</t>
        </is>
      </c>
      <c r="E2953" s="16" t="inlineStr">
        <is>
          <t>KF-M07</t>
        </is>
      </c>
      <c r="F2953" s="16" t="inlineStr">
        <is>
          <t>KF-M07-A5</t>
        </is>
      </c>
      <c r="G2953" s="16" t="inlineStr">
        <is>
          <t>B11-A5</t>
        </is>
      </c>
      <c r="H2953" s="16" t="inlineStr">
        <is>
          <t>busqueda</t>
        </is>
      </c>
      <c r="I2953" s="16" t="inlineStr">
        <is>
          <t>KALINA</t>
        </is>
      </c>
      <c r="J2953" s="16" t="inlineStr">
        <is>
          <t>KALINA</t>
        </is>
      </c>
      <c r="K2953" s="16" t="b">
        <v>1</v>
      </c>
      <c r="L2953" s="16" t="b">
        <v>0</v>
      </c>
      <c r="M2953" s="16" t="b">
        <v>1</v>
      </c>
      <c r="N2953" s="16" t="b">
        <v>0</v>
      </c>
      <c r="O2953" s="16" t="n">
        <v>623.15</v>
      </c>
      <c r="P2953" s="16" t="n">
        <v>302.58136184317</v>
      </c>
      <c r="Q2953" s="16" t="n">
        <v>5000</v>
      </c>
      <c r="R2953" s="16" t="n">
        <v>1022.274389807265</v>
      </c>
      <c r="S2953" s="16" t="n">
        <v>0.5</v>
      </c>
      <c r="T2953" s="16" t="n">
        <v>0.9224916747106672</v>
      </c>
      <c r="U2953" s="16" t="n">
        <v>0.5760658994683791</v>
      </c>
      <c r="V2953" s="16" t="n">
        <v>0.4073021552349206</v>
      </c>
      <c r="W2953" s="16" t="n">
        <v>0.4101145100609968</v>
      </c>
      <c r="X2953" s="16" t="n">
        <v>0.8784157959492287</v>
      </c>
      <c r="Y2953" s="16" t="n">
        <v>302.58136184317</v>
      </c>
      <c r="Z2953" s="16" t="n">
        <v>9.75622442773053</v>
      </c>
      <c r="AA2953" s="16" t="n">
        <v>95.83494688800612</v>
      </c>
      <c r="AB2953" s="16" t="n">
        <v>3977.725610192736</v>
      </c>
      <c r="AC2953" s="16" t="n">
        <v>4.891054740149246</v>
      </c>
      <c r="AD2953" s="16" t="n"/>
      <c r="AE2953" s="16" t="n"/>
    </row>
    <row r="2954">
      <c r="A2954" s="16" t="inlineStr">
        <is>
          <t>KF-M07-A5-0020</t>
        </is>
      </c>
      <c r="B2954" s="16" t="inlineStr">
        <is>
          <t>5.1</t>
        </is>
      </c>
      <c r="C2954" s="16" t="inlineStr">
        <is>
          <t>5.1e</t>
        </is>
      </c>
      <c r="D2954" s="16" t="inlineStr">
        <is>
          <t>conserva su fuente y su x_b</t>
        </is>
      </c>
      <c r="E2954" s="16" t="inlineStr">
        <is>
          <t>KF-M07</t>
        </is>
      </c>
      <c r="F2954" s="16" t="inlineStr">
        <is>
          <t>KF-M07-A5</t>
        </is>
      </c>
      <c r="G2954" s="16" t="inlineStr">
        <is>
          <t>B11-A5</t>
        </is>
      </c>
      <c r="H2954" s="16" t="inlineStr">
        <is>
          <t>busqueda</t>
        </is>
      </c>
      <c r="I2954" s="16" t="inlineStr">
        <is>
          <t>KALINA</t>
        </is>
      </c>
      <c r="J2954" s="16" t="inlineStr">
        <is>
          <t>KALINA</t>
        </is>
      </c>
      <c r="K2954" s="16" t="b">
        <v>1</v>
      </c>
      <c r="L2954" s="16" t="b">
        <v>0</v>
      </c>
      <c r="M2954" s="16" t="b">
        <v>1</v>
      </c>
      <c r="N2954" s="16" t="b">
        <v>0</v>
      </c>
      <c r="O2954" s="16" t="n">
        <v>623.15</v>
      </c>
      <c r="P2954" s="16" t="n">
        <v>302.58136184317</v>
      </c>
      <c r="Q2954" s="16" t="n">
        <v>4508.3419580395</v>
      </c>
      <c r="R2954" s="16" t="n">
        <v>1022.274389807265</v>
      </c>
      <c r="S2954" s="16" t="n">
        <v>0.5</v>
      </c>
      <c r="T2954" s="16" t="n">
        <v>0.9224916747106672</v>
      </c>
      <c r="U2954" s="16" t="n">
        <v>0.5760658994683791</v>
      </c>
      <c r="V2954" s="16" t="n">
        <v>0.4073021552349206</v>
      </c>
      <c r="W2954" s="16" t="n">
        <v>0.4101145100609968</v>
      </c>
      <c r="X2954" s="16" t="n">
        <v>0.8784157959492287</v>
      </c>
      <c r="Y2954" s="16" t="n">
        <v>302.58136184317</v>
      </c>
      <c r="Z2954" s="16" t="n">
        <v>9.41293489193132</v>
      </c>
      <c r="AA2954" s="16" t="n">
        <v>93.09890536799448</v>
      </c>
      <c r="AB2954" s="16" t="n">
        <v>3486.067568232236</v>
      </c>
      <c r="AC2954" s="16" t="n">
        <v>4.410109460816567</v>
      </c>
      <c r="AD2954" s="16" t="n"/>
      <c r="AE2954" s="16" t="n"/>
    </row>
    <row r="2955">
      <c r="A2955" s="16" t="inlineStr">
        <is>
          <t>KF-M07-A5-0021</t>
        </is>
      </c>
      <c r="B2955" s="16" t="inlineStr">
        <is>
          <t>5.1</t>
        </is>
      </c>
      <c r="C2955" s="16" t="inlineStr">
        <is>
          <t>5.1e</t>
        </is>
      </c>
      <c r="D2955" s="16" t="inlineStr">
        <is>
          <t>conserva su fuente y su x_b</t>
        </is>
      </c>
      <c r="E2955" s="16" t="inlineStr">
        <is>
          <t>KF-M07</t>
        </is>
      </c>
      <c r="F2955" s="16" t="inlineStr">
        <is>
          <t>KF-M07-A5</t>
        </is>
      </c>
      <c r="G2955" s="16" t="inlineStr">
        <is>
          <t>B11-A5</t>
        </is>
      </c>
      <c r="H2955" s="16" t="inlineStr">
        <is>
          <t>busqueda</t>
        </is>
      </c>
      <c r="I2955" s="16" t="inlineStr">
        <is>
          <t>KALINA</t>
        </is>
      </c>
      <c r="J2955" s="16" t="inlineStr">
        <is>
          <t>KALINA</t>
        </is>
      </c>
      <c r="K2955" s="16" t="b">
        <v>1</v>
      </c>
      <c r="L2955" s="16" t="b">
        <v>0</v>
      </c>
      <c r="M2955" s="16" t="b">
        <v>1</v>
      </c>
      <c r="N2955" s="16" t="b">
        <v>0</v>
      </c>
      <c r="O2955" s="16" t="n">
        <v>623.15</v>
      </c>
      <c r="P2955" s="16" t="n">
        <v>302.58136184317</v>
      </c>
      <c r="Q2955" s="16" t="n">
        <v>4808.3419580395</v>
      </c>
      <c r="R2955" s="16" t="n">
        <v>1242.274389807264</v>
      </c>
      <c r="S2955" s="16" t="n">
        <v>0.5</v>
      </c>
      <c r="T2955" s="16" t="n">
        <v>0.9224916747106672</v>
      </c>
      <c r="U2955" s="16" t="n">
        <v>0.5760658994683791</v>
      </c>
      <c r="V2955" s="16" t="n">
        <v>0.4073021552349206</v>
      </c>
      <c r="W2955" s="16" t="n">
        <v>0.4101145100609968</v>
      </c>
      <c r="X2955" s="16" t="n">
        <v>0.8784157959492287</v>
      </c>
      <c r="Y2955" s="16" t="n">
        <v>302.58136184317</v>
      </c>
      <c r="Z2955" s="16" t="n">
        <v>8.457650032374241</v>
      </c>
      <c r="AA2955" s="16" t="n">
        <v>83.26993009790772</v>
      </c>
      <c r="AB2955" s="16" t="n">
        <v>3566.067568232236</v>
      </c>
      <c r="AC2955" s="16" t="n">
        <v>3.870595737537101</v>
      </c>
      <c r="AD2955" s="16" t="n"/>
      <c r="AE2955" s="16" t="n"/>
    </row>
    <row r="2956">
      <c r="A2956" s="16" t="inlineStr">
        <is>
          <t>KF-M07-A5-0022</t>
        </is>
      </c>
      <c r="B2956" s="16" t="inlineStr">
        <is>
          <t>5.1</t>
        </is>
      </c>
      <c r="C2956" s="16" t="inlineStr">
        <is>
          <t>5.1e</t>
        </is>
      </c>
      <c r="D2956" s="16" t="inlineStr">
        <is>
          <t>conserva su fuente y su x_b</t>
        </is>
      </c>
      <c r="E2956" s="16" t="inlineStr">
        <is>
          <t>KF-M07</t>
        </is>
      </c>
      <c r="F2956" s="16" t="inlineStr">
        <is>
          <t>KF-M07-A5</t>
        </is>
      </c>
      <c r="G2956" s="16" t="inlineStr">
        <is>
          <t>B11-A5</t>
        </is>
      </c>
      <c r="H2956" s="16" t="inlineStr">
        <is>
          <t>busqueda</t>
        </is>
      </c>
      <c r="I2956" s="16" t="inlineStr">
        <is>
          <t>NO_CONVERGIO</t>
        </is>
      </c>
      <c r="J2956" s="16" t="inlineStr">
        <is>
          <t>NO_CONVERGIO</t>
        </is>
      </c>
      <c r="K2956" s="16" t="b">
        <v>0</v>
      </c>
      <c r="L2956" s="16" t="b">
        <v>0</v>
      </c>
      <c r="M2956" s="16" t="b">
        <v>0</v>
      </c>
      <c r="N2956" s="16" t="b">
        <v>0</v>
      </c>
      <c r="O2956" s="16" t="n">
        <v>623.15</v>
      </c>
      <c r="P2956" s="16" t="n">
        <v>302.58136184317</v>
      </c>
      <c r="Q2956" s="16" t="n">
        <v>4808.3419580395</v>
      </c>
      <c r="R2956" s="16" t="n">
        <v>802.2743898072646</v>
      </c>
      <c r="S2956" s="16" t="n">
        <v>0.5</v>
      </c>
      <c r="T2956" s="16" t="n">
        <v>0.9224916747106672</v>
      </c>
      <c r="U2956" s="16" t="n">
        <v>0.5760658994683791</v>
      </c>
      <c r="V2956" s="16" t="n">
        <v>0.4073021552349206</v>
      </c>
      <c r="W2956" s="16" t="n">
        <v>0.4101145100609968</v>
      </c>
      <c r="X2956" s="16" t="n">
        <v>0.8784157959492287</v>
      </c>
      <c r="Y2956" s="16" t="n">
        <v>302.58136184317</v>
      </c>
      <c r="Z2956" s="16" t="n"/>
      <c r="AA2956" s="16" t="n"/>
      <c r="AB2956" s="16" t="n">
        <v>4006.067568232236</v>
      </c>
      <c r="AC2956" s="16" t="n">
        <v>5.993388320914293</v>
      </c>
      <c r="AD2956" s="16" t="n"/>
      <c r="AE2956" s="16" t="n"/>
    </row>
    <row r="2957">
      <c r="A2957" s="16" t="inlineStr">
        <is>
          <t>KF-M07-A5-0023</t>
        </is>
      </c>
      <c r="B2957" s="16" t="inlineStr">
        <is>
          <t>5.1</t>
        </is>
      </c>
      <c r="C2957" s="16" t="inlineStr">
        <is>
          <t>5.1e</t>
        </is>
      </c>
      <c r="D2957" s="16" t="inlineStr">
        <is>
          <t>conserva su fuente y su x_b</t>
        </is>
      </c>
      <c r="E2957" s="16" t="inlineStr">
        <is>
          <t>KF-M07</t>
        </is>
      </c>
      <c r="F2957" s="16" t="inlineStr">
        <is>
          <t>KF-M07-A5</t>
        </is>
      </c>
      <c r="G2957" s="16" t="inlineStr">
        <is>
          <t>B11-A5</t>
        </is>
      </c>
      <c r="H2957" s="16" t="inlineStr">
        <is>
          <t>busqueda</t>
        </is>
      </c>
      <c r="I2957" s="16" t="inlineStr">
        <is>
          <t>CORREGIBLE</t>
        </is>
      </c>
      <c r="J2957" s="16" t="inlineStr">
        <is>
          <t>CORREGIBLE</t>
        </is>
      </c>
      <c r="K2957" s="16" t="b">
        <v>1</v>
      </c>
      <c r="L2957" s="16" t="b">
        <v>0</v>
      </c>
      <c r="M2957" s="16" t="b">
        <v>1</v>
      </c>
      <c r="N2957" s="16" t="b">
        <v>0</v>
      </c>
      <c r="O2957" s="16" t="n">
        <v>623.15</v>
      </c>
      <c r="P2957" s="16" t="n">
        <v>302.58136184317</v>
      </c>
      <c r="Q2957" s="16" t="n">
        <v>4808.3419580395</v>
      </c>
      <c r="R2957" s="16" t="n">
        <v>1022.274389807265</v>
      </c>
      <c r="S2957" s="16" t="n">
        <v>0.5</v>
      </c>
      <c r="T2957" s="16" t="n">
        <v>0.95</v>
      </c>
      <c r="U2957" s="16" t="n">
        <v>0.5760658994683791</v>
      </c>
      <c r="V2957" s="16" t="n">
        <v>0.4073021552349206</v>
      </c>
      <c r="W2957" s="16" t="n">
        <v>0.4101145100609968</v>
      </c>
      <c r="X2957" s="16" t="n">
        <v>0.8784157959492287</v>
      </c>
      <c r="Y2957" s="16" t="n">
        <v>302.58136184317</v>
      </c>
      <c r="Z2957" s="16" t="n">
        <v>9.94265903166791</v>
      </c>
      <c r="AA2957" s="16" t="n">
        <v>97.9402317627905</v>
      </c>
      <c r="AB2957" s="16" t="n">
        <v>3786.067568232236</v>
      </c>
      <c r="AC2957" s="16" t="n">
        <v>4.703572745225522</v>
      </c>
      <c r="AD2957" s="16" t="inlineStr">
        <is>
          <t>O1</t>
        </is>
      </c>
      <c r="AE2957" s="16" t="n"/>
    </row>
    <row r="2958">
      <c r="A2958" s="16" t="inlineStr">
        <is>
          <t>KF-M07-A5-0024</t>
        </is>
      </c>
      <c r="B2958" s="16" t="inlineStr">
        <is>
          <t>5.1</t>
        </is>
      </c>
      <c r="C2958" s="16" t="inlineStr">
        <is>
          <t>5.1e</t>
        </is>
      </c>
      <c r="D2958" s="16" t="inlineStr">
        <is>
          <t>conserva su fuente y su x_b</t>
        </is>
      </c>
      <c r="E2958" s="16" t="inlineStr">
        <is>
          <t>KF-M07</t>
        </is>
      </c>
      <c r="F2958" s="16" t="inlineStr">
        <is>
          <t>KF-M07-A5</t>
        </is>
      </c>
      <c r="G2958" s="16" t="inlineStr">
        <is>
          <t>B11-A5</t>
        </is>
      </c>
      <c r="H2958" s="16" t="inlineStr">
        <is>
          <t>busqueda</t>
        </is>
      </c>
      <c r="I2958" s="16" t="inlineStr">
        <is>
          <t>KALINA</t>
        </is>
      </c>
      <c r="J2958" s="16" t="inlineStr">
        <is>
          <t>KALINA</t>
        </is>
      </c>
      <c r="K2958" s="16" t="b">
        <v>1</v>
      </c>
      <c r="L2958" s="16" t="b">
        <v>0</v>
      </c>
      <c r="M2958" s="16" t="b">
        <v>1</v>
      </c>
      <c r="N2958" s="16" t="b">
        <v>0</v>
      </c>
      <c r="O2958" s="16" t="n">
        <v>623.15</v>
      </c>
      <c r="P2958" s="16" t="n">
        <v>302.58136184317</v>
      </c>
      <c r="Q2958" s="16" t="n">
        <v>4808.3419580395</v>
      </c>
      <c r="R2958" s="16" t="n">
        <v>1022.274389807265</v>
      </c>
      <c r="S2958" s="16" t="n">
        <v>0.5</v>
      </c>
      <c r="T2958" s="16" t="n">
        <v>0.8674916747106671</v>
      </c>
      <c r="U2958" s="16" t="n">
        <v>0.5760658994683791</v>
      </c>
      <c r="V2958" s="16" t="n">
        <v>0.4073021552349206</v>
      </c>
      <c r="W2958" s="16" t="n">
        <v>0.4101145100609968</v>
      </c>
      <c r="X2958" s="16" t="n">
        <v>0.8784157959492287</v>
      </c>
      <c r="Y2958" s="16" t="n">
        <v>302.58136184317</v>
      </c>
      <c r="Z2958" s="16" t="n">
        <v>9.01650338688321</v>
      </c>
      <c r="AA2958" s="16" t="n">
        <v>88.78404659074216</v>
      </c>
      <c r="AB2958" s="16" t="n">
        <v>3786.067568232236</v>
      </c>
      <c r="AC2958" s="16" t="n">
        <v>4.703572745225522</v>
      </c>
      <c r="AD2958" s="16" t="n"/>
      <c r="AE2958" s="16" t="n"/>
    </row>
    <row r="2959">
      <c r="A2959" s="16" t="inlineStr">
        <is>
          <t>KF-M07-A5-0025</t>
        </is>
      </c>
      <c r="B2959" s="16" t="inlineStr">
        <is>
          <t>5.1</t>
        </is>
      </c>
      <c r="C2959" s="16" t="inlineStr">
        <is>
          <t>5.1e</t>
        </is>
      </c>
      <c r="D2959" s="16" t="inlineStr">
        <is>
          <t>conserva su fuente y su x_b</t>
        </is>
      </c>
      <c r="E2959" s="16" t="inlineStr">
        <is>
          <t>KF-M07</t>
        </is>
      </c>
      <c r="F2959" s="16" t="inlineStr">
        <is>
          <t>KF-M07-A5</t>
        </is>
      </c>
      <c r="G2959" s="16" t="inlineStr">
        <is>
          <t>B11-A5</t>
        </is>
      </c>
      <c r="H2959" s="16" t="inlineStr">
        <is>
          <t>busqueda</t>
        </is>
      </c>
      <c r="I2959" s="16" t="inlineStr">
        <is>
          <t>KALINA</t>
        </is>
      </c>
      <c r="J2959" s="16" t="inlineStr">
        <is>
          <t>KALINA</t>
        </is>
      </c>
      <c r="K2959" s="16" t="b">
        <v>1</v>
      </c>
      <c r="L2959" s="16" t="b">
        <v>0</v>
      </c>
      <c r="M2959" s="16" t="b">
        <v>1</v>
      </c>
      <c r="N2959" s="16" t="b">
        <v>0</v>
      </c>
      <c r="O2959" s="16" t="n">
        <v>623.15</v>
      </c>
      <c r="P2959" s="16" t="n">
        <v>302.58136184317</v>
      </c>
      <c r="Q2959" s="16" t="n">
        <v>4808.3419580395</v>
      </c>
      <c r="R2959" s="16" t="n">
        <v>1022.274389807265</v>
      </c>
      <c r="S2959" s="16" t="n">
        <v>0.5</v>
      </c>
      <c r="T2959" s="16" t="n">
        <v>0.9224916747106672</v>
      </c>
      <c r="U2959" s="16" t="n">
        <v>0.6310658994683791</v>
      </c>
      <c r="V2959" s="16" t="n">
        <v>0.4073021552349206</v>
      </c>
      <c r="W2959" s="16" t="n">
        <v>0.4101145100609968</v>
      </c>
      <c r="X2959" s="16" t="n">
        <v>0.8784157959492287</v>
      </c>
      <c r="Y2959" s="16" t="n">
        <v>302.58136184317</v>
      </c>
      <c r="Z2959" s="16" t="n">
        <v>9.70009518739637</v>
      </c>
      <c r="AA2959" s="16" t="n">
        <v>95.56182752646446</v>
      </c>
      <c r="AB2959" s="16" t="n">
        <v>3786.067568232236</v>
      </c>
      <c r="AC2959" s="16" t="n">
        <v>4.703572745225522</v>
      </c>
      <c r="AD2959" s="16" t="n"/>
      <c r="AE2959" s="16" t="n"/>
    </row>
    <row r="2960">
      <c r="A2960" s="16" t="inlineStr">
        <is>
          <t>KF-M07-A5-0026</t>
        </is>
      </c>
      <c r="B2960" s="16" t="inlineStr">
        <is>
          <t>5.1</t>
        </is>
      </c>
      <c r="C2960" s="16" t="inlineStr">
        <is>
          <t>5.1e</t>
        </is>
      </c>
      <c r="D2960" s="16" t="inlineStr">
        <is>
          <t>conserva su fuente y su x_b</t>
        </is>
      </c>
      <c r="E2960" s="16" t="inlineStr">
        <is>
          <t>KF-M07</t>
        </is>
      </c>
      <c r="F2960" s="16" t="inlineStr">
        <is>
          <t>KF-M07-A5</t>
        </is>
      </c>
      <c r="G2960" s="16" t="inlineStr">
        <is>
          <t>B11-A5</t>
        </is>
      </c>
      <c r="H2960" s="16" t="inlineStr">
        <is>
          <t>busqueda</t>
        </is>
      </c>
      <c r="I2960" s="16" t="inlineStr">
        <is>
          <t>KALINA</t>
        </is>
      </c>
      <c r="J2960" s="16" t="inlineStr">
        <is>
          <t>KALINA</t>
        </is>
      </c>
      <c r="K2960" s="16" t="b">
        <v>1</v>
      </c>
      <c r="L2960" s="16" t="b">
        <v>0</v>
      </c>
      <c r="M2960" s="16" t="b">
        <v>1</v>
      </c>
      <c r="N2960" s="16" t="b">
        <v>0</v>
      </c>
      <c r="O2960" s="16" t="n">
        <v>623.15</v>
      </c>
      <c r="P2960" s="16" t="n">
        <v>302.58136184317</v>
      </c>
      <c r="Q2960" s="16" t="n">
        <v>4808.3419580395</v>
      </c>
      <c r="R2960" s="16" t="n">
        <v>1022.274389807265</v>
      </c>
      <c r="S2960" s="16" t="n">
        <v>0.5</v>
      </c>
      <c r="T2960" s="16" t="n">
        <v>0.9224916747106672</v>
      </c>
      <c r="U2960" s="16" t="n">
        <v>0.521065899468379</v>
      </c>
      <c r="V2960" s="16" t="n">
        <v>0.4073021552349206</v>
      </c>
      <c r="W2960" s="16" t="n">
        <v>0.4101145100609968</v>
      </c>
      <c r="X2960" s="16" t="n">
        <v>0.8784157959492287</v>
      </c>
      <c r="Y2960" s="16" t="n">
        <v>302.58136184317</v>
      </c>
      <c r="Z2960" s="16" t="n">
        <v>9.55414543779823</v>
      </c>
      <c r="AA2960" s="16" t="n">
        <v>94.07425010443234</v>
      </c>
      <c r="AB2960" s="16" t="n">
        <v>3786.067568232236</v>
      </c>
      <c r="AC2960" s="16" t="n">
        <v>4.703572745225522</v>
      </c>
      <c r="AD2960" s="16" t="n"/>
      <c r="AE2960" s="16" t="n"/>
    </row>
    <row r="2961">
      <c r="A2961" s="16" t="inlineStr">
        <is>
          <t>KF-M07-A5-0027</t>
        </is>
      </c>
      <c r="B2961" s="16" t="inlineStr">
        <is>
          <t>5.1</t>
        </is>
      </c>
      <c r="C2961" s="16" t="inlineStr">
        <is>
          <t>5.1e</t>
        </is>
      </c>
      <c r="D2961" s="16" t="inlineStr">
        <is>
          <t>conserva su fuente y su x_b</t>
        </is>
      </c>
      <c r="E2961" s="16" t="inlineStr">
        <is>
          <t>KF-M07</t>
        </is>
      </c>
      <c r="F2961" s="16" t="inlineStr">
        <is>
          <t>KF-M07-A5</t>
        </is>
      </c>
      <c r="G2961" s="16" t="inlineStr">
        <is>
          <t>B11-A5</t>
        </is>
      </c>
      <c r="H2961" s="16" t="inlineStr">
        <is>
          <t>busqueda</t>
        </is>
      </c>
      <c r="I2961" s="16" t="inlineStr">
        <is>
          <t>KALINA</t>
        </is>
      </c>
      <c r="J2961" s="16" t="inlineStr">
        <is>
          <t>KALINA</t>
        </is>
      </c>
      <c r="K2961" s="16" t="b">
        <v>1</v>
      </c>
      <c r="L2961" s="16" t="b">
        <v>0</v>
      </c>
      <c r="M2961" s="16" t="b">
        <v>1</v>
      </c>
      <c r="N2961" s="16" t="b">
        <v>0</v>
      </c>
      <c r="O2961" s="16" t="n">
        <v>623.15</v>
      </c>
      <c r="P2961" s="16" t="n">
        <v>302.58136184317</v>
      </c>
      <c r="Q2961" s="16" t="n">
        <v>4808.3419580395</v>
      </c>
      <c r="R2961" s="16" t="n">
        <v>1022.274389807265</v>
      </c>
      <c r="S2961" s="16" t="n">
        <v>0.5</v>
      </c>
      <c r="T2961" s="16" t="n">
        <v>0.9224916747106672</v>
      </c>
      <c r="U2961" s="16" t="n">
        <v>0.5760658994683791</v>
      </c>
      <c r="V2961" s="16" t="n">
        <v>0.4623021552349206</v>
      </c>
      <c r="W2961" s="16" t="n">
        <v>0.4101145100609968</v>
      </c>
      <c r="X2961" s="16" t="n">
        <v>0.8784157959492287</v>
      </c>
      <c r="Y2961" s="16" t="n">
        <v>302.58136184317</v>
      </c>
      <c r="Z2961" s="16" t="n">
        <v>10.19692840484169</v>
      </c>
      <c r="AA2961" s="16" t="n">
        <v>113.9697594887854</v>
      </c>
      <c r="AB2961" s="16" t="n">
        <v>3786.067568232236</v>
      </c>
      <c r="AC2961" s="16" t="n">
        <v>4.703572745225522</v>
      </c>
      <c r="AD2961" s="16" t="n"/>
      <c r="AE2961" s="16" t="n"/>
    </row>
    <row r="2962">
      <c r="A2962" s="16" t="inlineStr">
        <is>
          <t>KF-M07-A5-0028</t>
        </is>
      </c>
      <c r="B2962" s="16" t="inlineStr">
        <is>
          <t>5.1</t>
        </is>
      </c>
      <c r="C2962" s="16" t="inlineStr">
        <is>
          <t>5.1e</t>
        </is>
      </c>
      <c r="D2962" s="16" t="inlineStr">
        <is>
          <t>conserva su fuente y su x_b</t>
        </is>
      </c>
      <c r="E2962" s="16" t="inlineStr">
        <is>
          <t>KF-M07</t>
        </is>
      </c>
      <c r="F2962" s="16" t="inlineStr">
        <is>
          <t>KF-M07-A5</t>
        </is>
      </c>
      <c r="G2962" s="16" t="inlineStr">
        <is>
          <t>B11-A5</t>
        </is>
      </c>
      <c r="H2962" s="16" t="inlineStr">
        <is>
          <t>busqueda</t>
        </is>
      </c>
      <c r="I2962" s="16" t="inlineStr">
        <is>
          <t>KALINA</t>
        </is>
      </c>
      <c r="J2962" s="16" t="inlineStr">
        <is>
          <t>KALINA</t>
        </is>
      </c>
      <c r="K2962" s="16" t="b">
        <v>1</v>
      </c>
      <c r="L2962" s="16" t="b">
        <v>0</v>
      </c>
      <c r="M2962" s="16" t="b">
        <v>1</v>
      </c>
      <c r="N2962" s="16" t="b">
        <v>0</v>
      </c>
      <c r="O2962" s="16" t="n">
        <v>623.15</v>
      </c>
      <c r="P2962" s="16" t="n">
        <v>302.58136184317</v>
      </c>
      <c r="Q2962" s="16" t="n">
        <v>4808.3419580395</v>
      </c>
      <c r="R2962" s="16" t="n">
        <v>1022.274389807265</v>
      </c>
      <c r="S2962" s="16" t="n">
        <v>0.5</v>
      </c>
      <c r="T2962" s="16" t="n">
        <v>0.9224916747106672</v>
      </c>
      <c r="U2962" s="16" t="n">
        <v>0.5760658994683791</v>
      </c>
      <c r="V2962" s="16" t="n">
        <v>0.4</v>
      </c>
      <c r="W2962" s="16" t="n">
        <v>0.4101145100609968</v>
      </c>
      <c r="X2962" s="16" t="n">
        <v>0.8784157959492287</v>
      </c>
      <c r="Y2962" s="16" t="n">
        <v>302.58136184317</v>
      </c>
      <c r="Z2962" s="16" t="n">
        <v>9.54725558359509</v>
      </c>
      <c r="AA2962" s="16" t="n">
        <v>92.35510815355764</v>
      </c>
      <c r="AB2962" s="16" t="n">
        <v>3786.067568232236</v>
      </c>
      <c r="AC2962" s="16" t="n">
        <v>4.703572745225522</v>
      </c>
      <c r="AD2962" s="16" t="n"/>
      <c r="AE2962" s="16" t="n"/>
    </row>
    <row r="2963">
      <c r="A2963" s="16" t="inlineStr">
        <is>
          <t>KF-M07-A5-0029</t>
        </is>
      </c>
      <c r="B2963" s="16" t="inlineStr">
        <is>
          <t>5.1</t>
        </is>
      </c>
      <c r="C2963" s="16" t="inlineStr">
        <is>
          <t>5.1e</t>
        </is>
      </c>
      <c r="D2963" s="16" t="inlineStr">
        <is>
          <t>conserva su fuente y su x_b</t>
        </is>
      </c>
      <c r="E2963" s="16" t="inlineStr">
        <is>
          <t>KF-M07</t>
        </is>
      </c>
      <c r="F2963" s="16" t="inlineStr">
        <is>
          <t>KF-M07-A5</t>
        </is>
      </c>
      <c r="G2963" s="16" t="inlineStr">
        <is>
          <t>B11-A5</t>
        </is>
      </c>
      <c r="H2963" s="16" t="inlineStr">
        <is>
          <t>busqueda</t>
        </is>
      </c>
      <c r="I2963" s="16" t="inlineStr">
        <is>
          <t>KALINA</t>
        </is>
      </c>
      <c r="J2963" s="16" t="inlineStr">
        <is>
          <t>KALINA</t>
        </is>
      </c>
      <c r="K2963" s="16" t="b">
        <v>1</v>
      </c>
      <c r="L2963" s="16" t="b">
        <v>0</v>
      </c>
      <c r="M2963" s="16" t="b">
        <v>1</v>
      </c>
      <c r="N2963" s="16" t="b">
        <v>0</v>
      </c>
      <c r="O2963" s="16" t="n">
        <v>623.15</v>
      </c>
      <c r="P2963" s="16" t="n">
        <v>302.58136184317</v>
      </c>
      <c r="Q2963" s="16" t="n">
        <v>4808.3419580395</v>
      </c>
      <c r="R2963" s="16" t="n">
        <v>1022.274389807265</v>
      </c>
      <c r="S2963" s="16" t="n">
        <v>0.5</v>
      </c>
      <c r="T2963" s="16" t="n">
        <v>0.9224916747106672</v>
      </c>
      <c r="U2963" s="16" t="n">
        <v>0.5760658994683791</v>
      </c>
      <c r="V2963" s="16" t="n">
        <v>0.4073021552349206</v>
      </c>
      <c r="W2963" s="16" t="n">
        <v>0.4651145100609968</v>
      </c>
      <c r="X2963" s="16" t="n">
        <v>0.8784157959492287</v>
      </c>
      <c r="Y2963" s="16" t="n">
        <v>302.58136184317</v>
      </c>
      <c r="Z2963" s="16" t="n">
        <v>9.86132663214096</v>
      </c>
      <c r="AA2963" s="16" t="n">
        <v>96.40812579579141</v>
      </c>
      <c r="AB2963" s="16" t="n">
        <v>3786.067568232236</v>
      </c>
      <c r="AC2963" s="16" t="n">
        <v>4.703572745225522</v>
      </c>
      <c r="AD2963" s="16" t="n"/>
      <c r="AE2963" s="16" t="n"/>
    </row>
    <row r="2964">
      <c r="A2964" s="16" t="inlineStr">
        <is>
          <t>KF-M07-A5-0030</t>
        </is>
      </c>
      <c r="B2964" s="16" t="inlineStr">
        <is>
          <t>5.1</t>
        </is>
      </c>
      <c r="C2964" s="16" t="inlineStr">
        <is>
          <t>5.1e</t>
        </is>
      </c>
      <c r="D2964" s="16" t="inlineStr">
        <is>
          <t>conserva su fuente y su x_b</t>
        </is>
      </c>
      <c r="E2964" s="16" t="inlineStr">
        <is>
          <t>KF-M07</t>
        </is>
      </c>
      <c r="F2964" s="16" t="inlineStr">
        <is>
          <t>KF-M07-A5</t>
        </is>
      </c>
      <c r="G2964" s="16" t="inlineStr">
        <is>
          <t>B11-A5</t>
        </is>
      </c>
      <c r="H2964" s="16" t="inlineStr">
        <is>
          <t>busqueda</t>
        </is>
      </c>
      <c r="I2964" s="16" t="inlineStr">
        <is>
          <t>KALINA</t>
        </is>
      </c>
      <c r="J2964" s="16" t="inlineStr">
        <is>
          <t>KALINA</t>
        </is>
      </c>
      <c r="K2964" s="16" t="b">
        <v>1</v>
      </c>
      <c r="L2964" s="16" t="b">
        <v>0</v>
      </c>
      <c r="M2964" s="16" t="b">
        <v>1</v>
      </c>
      <c r="N2964" s="16" t="b">
        <v>0</v>
      </c>
      <c r="O2964" s="16" t="n">
        <v>623.15</v>
      </c>
      <c r="P2964" s="16" t="n">
        <v>302.58136184317</v>
      </c>
      <c r="Q2964" s="16" t="n">
        <v>4808.3419580395</v>
      </c>
      <c r="R2964" s="16" t="n">
        <v>1022.274389807265</v>
      </c>
      <c r="S2964" s="16" t="n">
        <v>0.5</v>
      </c>
      <c r="T2964" s="16" t="n">
        <v>0.9224916747106672</v>
      </c>
      <c r="U2964" s="16" t="n">
        <v>0.5760658994683791</v>
      </c>
      <c r="V2964" s="16" t="n">
        <v>0.4073021552349206</v>
      </c>
      <c r="W2964" s="16" t="n">
        <v>0.4</v>
      </c>
      <c r="X2964" s="16" t="n">
        <v>0.8784157959492287</v>
      </c>
      <c r="Y2964" s="16" t="n">
        <v>302.58136184317</v>
      </c>
      <c r="Z2964" s="16" t="n">
        <v>9.592464308763269</v>
      </c>
      <c r="AA2964" s="16" t="n">
        <v>94.60822659924057</v>
      </c>
      <c r="AB2964" s="16" t="n">
        <v>3786.067568232236</v>
      </c>
      <c r="AC2964" s="16" t="n">
        <v>4.703572745225522</v>
      </c>
      <c r="AD2964" s="16" t="n"/>
      <c r="AE2964" s="16" t="n"/>
    </row>
    <row r="2965">
      <c r="A2965" s="16" t="inlineStr">
        <is>
          <t>KF-M07-A5-0031</t>
        </is>
      </c>
      <c r="B2965" s="16" t="inlineStr">
        <is>
          <t>5.1</t>
        </is>
      </c>
      <c r="C2965" s="16" t="inlineStr">
        <is>
          <t>5.1e</t>
        </is>
      </c>
      <c r="D2965" s="16" t="inlineStr">
        <is>
          <t>conserva su fuente y su x_b</t>
        </is>
      </c>
      <c r="E2965" s="16" t="inlineStr">
        <is>
          <t>KF-M07</t>
        </is>
      </c>
      <c r="F2965" s="16" t="inlineStr">
        <is>
          <t>KF-M07-A5</t>
        </is>
      </c>
      <c r="G2965" s="16" t="inlineStr">
        <is>
          <t>B11-A5</t>
        </is>
      </c>
      <c r="H2965" s="16" t="inlineStr">
        <is>
          <t>busqueda</t>
        </is>
      </c>
      <c r="I2965" s="16" t="inlineStr">
        <is>
          <t>KALINA</t>
        </is>
      </c>
      <c r="J2965" s="16" t="inlineStr">
        <is>
          <t>KALINA</t>
        </is>
      </c>
      <c r="K2965" s="16" t="b">
        <v>1</v>
      </c>
      <c r="L2965" s="16" t="b">
        <v>0</v>
      </c>
      <c r="M2965" s="16" t="b">
        <v>1</v>
      </c>
      <c r="N2965" s="16" t="b">
        <v>0</v>
      </c>
      <c r="O2965" s="16" t="n">
        <v>623.15</v>
      </c>
      <c r="P2965" s="16" t="n">
        <v>302.58136184317</v>
      </c>
      <c r="Q2965" s="16" t="n">
        <v>4808.3419580395</v>
      </c>
      <c r="R2965" s="16" t="n">
        <v>1022.274389807265</v>
      </c>
      <c r="S2965" s="16" t="n">
        <v>0.5</v>
      </c>
      <c r="T2965" s="16" t="n">
        <v>0.9224916747106672</v>
      </c>
      <c r="U2965" s="16" t="n">
        <v>0.5760658994683791</v>
      </c>
      <c r="V2965" s="16" t="n">
        <v>0.4073021552349206</v>
      </c>
      <c r="W2965" s="16" t="n">
        <v>0.4101145100609968</v>
      </c>
      <c r="X2965" s="16" t="n">
        <v>0.9334157959492286</v>
      </c>
      <c r="Y2965" s="16" t="n">
        <v>302.58136184317</v>
      </c>
      <c r="Z2965" s="16" t="n">
        <v>9.117349196044898</v>
      </c>
      <c r="AA2965" s="16" t="n">
        <v>91.39021818707528</v>
      </c>
      <c r="AB2965" s="16" t="n">
        <v>3786.067568232236</v>
      </c>
      <c r="AC2965" s="16" t="n">
        <v>4.703572745225522</v>
      </c>
      <c r="AD2965" s="16" t="n"/>
      <c r="AE2965" s="16" t="n"/>
    </row>
    <row r="2966">
      <c r="A2966" s="16" t="inlineStr">
        <is>
          <t>KF-M07-A5-0032</t>
        </is>
      </c>
      <c r="B2966" s="16" t="inlineStr">
        <is>
          <t>5.1</t>
        </is>
      </c>
      <c r="C2966" s="16" t="inlineStr">
        <is>
          <t>5.1e</t>
        </is>
      </c>
      <c r="D2966" s="16" t="inlineStr">
        <is>
          <t>conserva su fuente y su x_b</t>
        </is>
      </c>
      <c r="E2966" s="16" t="inlineStr">
        <is>
          <t>KF-M07</t>
        </is>
      </c>
      <c r="F2966" s="16" t="inlineStr">
        <is>
          <t>KF-M07-A5</t>
        </is>
      </c>
      <c r="G2966" s="16" t="inlineStr">
        <is>
          <t>B11-A5</t>
        </is>
      </c>
      <c r="H2966" s="16" t="inlineStr">
        <is>
          <t>busqueda</t>
        </is>
      </c>
      <c r="I2966" s="16" t="inlineStr">
        <is>
          <t>CORREGIBLE</t>
        </is>
      </c>
      <c r="J2966" s="16" t="inlineStr">
        <is>
          <t>CORREGIBLE</t>
        </is>
      </c>
      <c r="K2966" s="16" t="b">
        <v>1</v>
      </c>
      <c r="L2966" s="16" t="b">
        <v>0</v>
      </c>
      <c r="M2966" s="16" t="b">
        <v>1</v>
      </c>
      <c r="N2966" s="16" t="b">
        <v>0</v>
      </c>
      <c r="O2966" s="16" t="n">
        <v>623.15</v>
      </c>
      <c r="P2966" s="16" t="n">
        <v>302.58136184317</v>
      </c>
      <c r="Q2966" s="16" t="n">
        <v>4808.3419580395</v>
      </c>
      <c r="R2966" s="16" t="n">
        <v>1022.274389807265</v>
      </c>
      <c r="S2966" s="16" t="n">
        <v>0.5</v>
      </c>
      <c r="T2966" s="16" t="n">
        <v>0.9224916747106672</v>
      </c>
      <c r="U2966" s="16" t="n">
        <v>0.5760658994683791</v>
      </c>
      <c r="V2966" s="16" t="n">
        <v>0.4073021552349206</v>
      </c>
      <c r="W2966" s="16" t="n">
        <v>0.4101145100609968</v>
      </c>
      <c r="X2966" s="16" t="n">
        <v>0.8234157959492288</v>
      </c>
      <c r="Y2966" s="16" t="n">
        <v>302.58136184317</v>
      </c>
      <c r="Z2966" s="16" t="n">
        <v>10.19383082692019</v>
      </c>
      <c r="AA2966" s="16" t="n">
        <v>98.44910160339988</v>
      </c>
      <c r="AB2966" s="16" t="n">
        <v>3786.067568232236</v>
      </c>
      <c r="AC2966" s="16" t="n">
        <v>4.703572745225522</v>
      </c>
      <c r="AD2966" s="16" t="inlineStr">
        <is>
          <t>O2</t>
        </is>
      </c>
      <c r="AE2966" s="16" t="n"/>
    </row>
    <row r="2967">
      <c r="A2967" s="16" t="inlineStr">
        <is>
          <t>KF-M07-A5-0033</t>
        </is>
      </c>
      <c r="B2967" s="16" t="inlineStr">
        <is>
          <t>5.1</t>
        </is>
      </c>
      <c r="C2967" s="16" t="inlineStr">
        <is>
          <t>5.1e</t>
        </is>
      </c>
      <c r="D2967" s="16" t="inlineStr">
        <is>
          <t>conserva su fuente y su x_b</t>
        </is>
      </c>
      <c r="E2967" s="16" t="inlineStr">
        <is>
          <t>KF-M07</t>
        </is>
      </c>
      <c r="F2967" s="16" t="inlineStr">
        <is>
          <t>KF-M07-A5</t>
        </is>
      </c>
      <c r="G2967" s="16" t="inlineStr">
        <is>
          <t>B11-A5</t>
        </is>
      </c>
      <c r="H2967" s="16" t="inlineStr">
        <is>
          <t>busqueda</t>
        </is>
      </c>
      <c r="I2967" s="16" t="inlineStr">
        <is>
          <t>NO_CONVERGIO</t>
        </is>
      </c>
      <c r="J2967" s="16" t="inlineStr">
        <is>
          <t>NO_CONVERGIO</t>
        </is>
      </c>
      <c r="K2967" s="16" t="b">
        <v>0</v>
      </c>
      <c r="L2967" s="16" t="b">
        <v>0</v>
      </c>
      <c r="M2967" s="16" t="b">
        <v>0</v>
      </c>
      <c r="N2967" s="16" t="b">
        <v>0</v>
      </c>
      <c r="O2967" s="16" t="n">
        <v>623.15</v>
      </c>
      <c r="P2967" s="16" t="n">
        <v>303.55</v>
      </c>
      <c r="Q2967" s="16" t="n">
        <v>4808.3419580395</v>
      </c>
      <c r="R2967" s="16" t="n">
        <v>1022.274389807265</v>
      </c>
      <c r="S2967" s="16" t="n">
        <v>0.5</v>
      </c>
      <c r="T2967" s="16" t="n">
        <v>0.9224916747106672</v>
      </c>
      <c r="U2967" s="16" t="n">
        <v>0.5760658994683791</v>
      </c>
      <c r="V2967" s="16" t="n">
        <v>0.4623021552349206</v>
      </c>
      <c r="W2967" s="16" t="n">
        <v>0.4101145100609968</v>
      </c>
      <c r="X2967" s="16" t="n">
        <v>0.8784157959492287</v>
      </c>
      <c r="Y2967" s="16" t="n">
        <v>303.55</v>
      </c>
      <c r="Z2967" s="16" t="n"/>
      <c r="AA2967" s="16" t="n"/>
      <c r="AB2967" s="16" t="n">
        <v>3786.067568232236</v>
      </c>
      <c r="AC2967" s="16" t="n">
        <v>4.703572745225522</v>
      </c>
      <c r="AD2967" s="16" t="n"/>
      <c r="AE2967" s="16" t="n"/>
    </row>
    <row r="2968">
      <c r="A2968" s="16" t="inlineStr">
        <is>
          <t>KF-M07-A5-0034</t>
        </is>
      </c>
      <c r="B2968" s="16" t="inlineStr">
        <is>
          <t>5.1</t>
        </is>
      </c>
      <c r="C2968" s="16" t="inlineStr">
        <is>
          <t>5.1e</t>
        </is>
      </c>
      <c r="D2968" s="16" t="inlineStr">
        <is>
          <t>conserva su fuente y su x_b</t>
        </is>
      </c>
      <c r="E2968" s="16" t="inlineStr">
        <is>
          <t>KF-M07</t>
        </is>
      </c>
      <c r="F2968" s="16" t="inlineStr">
        <is>
          <t>KF-M07-A5</t>
        </is>
      </c>
      <c r="G2968" s="16" t="inlineStr">
        <is>
          <t>B11-A5</t>
        </is>
      </c>
      <c r="H2968" s="16" t="inlineStr">
        <is>
          <t>busqueda</t>
        </is>
      </c>
      <c r="I2968" s="16" t="inlineStr">
        <is>
          <t>KALINA</t>
        </is>
      </c>
      <c r="J2968" s="16" t="inlineStr">
        <is>
          <t>KALINA</t>
        </is>
      </c>
      <c r="K2968" s="16" t="b">
        <v>1</v>
      </c>
      <c r="L2968" s="16" t="b">
        <v>0</v>
      </c>
      <c r="M2968" s="16" t="b">
        <v>1</v>
      </c>
      <c r="N2968" s="16" t="b">
        <v>0</v>
      </c>
      <c r="O2968" s="16" t="n">
        <v>623.15</v>
      </c>
      <c r="P2968" s="16" t="n">
        <v>300.0413618431699</v>
      </c>
      <c r="Q2968" s="16" t="n">
        <v>4808.3419580395</v>
      </c>
      <c r="R2968" s="16" t="n">
        <v>1022.274389807265</v>
      </c>
      <c r="S2968" s="16" t="n">
        <v>0.5</v>
      </c>
      <c r="T2968" s="16" t="n">
        <v>0.9224916747106672</v>
      </c>
      <c r="U2968" s="16" t="n">
        <v>0.5760658994683791</v>
      </c>
      <c r="V2968" s="16" t="n">
        <v>0.4623021552349206</v>
      </c>
      <c r="W2968" s="16" t="n">
        <v>0.4101145100609968</v>
      </c>
      <c r="X2968" s="16" t="n">
        <v>0.8784157959492287</v>
      </c>
      <c r="Y2968" s="16" t="n">
        <v>300.0413618431699</v>
      </c>
      <c r="Z2968" s="16" t="n">
        <v>10.10457014052119</v>
      </c>
      <c r="AA2968" s="16" t="n">
        <v>113.335495971239</v>
      </c>
      <c r="AB2968" s="16" t="n">
        <v>3786.067568232236</v>
      </c>
      <c r="AC2968" s="16" t="n">
        <v>4.703572745225522</v>
      </c>
      <c r="AD2968" s="16" t="n"/>
      <c r="AE2968" s="16" t="n"/>
    </row>
    <row r="2969">
      <c r="A2969" s="16" t="inlineStr">
        <is>
          <t>KF-M07-A5-0035</t>
        </is>
      </c>
      <c r="B2969" s="16" t="inlineStr">
        <is>
          <t>5.1</t>
        </is>
      </c>
      <c r="C2969" s="16" t="inlineStr">
        <is>
          <t>5.1e</t>
        </is>
      </c>
      <c r="D2969" s="16" t="inlineStr">
        <is>
          <t>conserva su fuente y su x_b</t>
        </is>
      </c>
      <c r="E2969" s="16" t="inlineStr">
        <is>
          <t>KF-M07</t>
        </is>
      </c>
      <c r="F2969" s="16" t="inlineStr">
        <is>
          <t>KF-M07-A5</t>
        </is>
      </c>
      <c r="G2969" s="16" t="inlineStr">
        <is>
          <t>B11-A5</t>
        </is>
      </c>
      <c r="H2969" s="16" t="inlineStr">
        <is>
          <t>busqueda</t>
        </is>
      </c>
      <c r="I2969" s="16" t="inlineStr">
        <is>
          <t>CORREGIBLE</t>
        </is>
      </c>
      <c r="J2969" s="16" t="inlineStr">
        <is>
          <t>CORREGIBLE</t>
        </is>
      </c>
      <c r="K2969" s="16" t="b">
        <v>1</v>
      </c>
      <c r="L2969" s="16" t="b">
        <v>0</v>
      </c>
      <c r="M2969" s="16" t="b">
        <v>1</v>
      </c>
      <c r="N2969" s="16" t="b">
        <v>0</v>
      </c>
      <c r="O2969" s="16" t="n">
        <v>623.15</v>
      </c>
      <c r="P2969" s="16" t="n">
        <v>302.58136184317</v>
      </c>
      <c r="Q2969" s="16" t="n">
        <v>5000</v>
      </c>
      <c r="R2969" s="16" t="n">
        <v>1022.274389807265</v>
      </c>
      <c r="S2969" s="16" t="n">
        <v>0.5</v>
      </c>
      <c r="T2969" s="16" t="n">
        <v>0.9224916747106672</v>
      </c>
      <c r="U2969" s="16" t="n">
        <v>0.5760658994683791</v>
      </c>
      <c r="V2969" s="16" t="n">
        <v>0.4623021552349206</v>
      </c>
      <c r="W2969" s="16" t="n">
        <v>0.4101145100609968</v>
      </c>
      <c r="X2969" s="16" t="n">
        <v>0.8784157959492287</v>
      </c>
      <c r="Y2969" s="16" t="n">
        <v>302.58136184317</v>
      </c>
      <c r="Z2969" s="16" t="n">
        <v>10.35171943047159</v>
      </c>
      <c r="AA2969" s="16" t="n">
        <v>115.4107585777296</v>
      </c>
      <c r="AB2969" s="16" t="n">
        <v>3977.725610192736</v>
      </c>
      <c r="AC2969" s="16" t="n">
        <v>4.891054740149246</v>
      </c>
      <c r="AD2969" s="16" t="inlineStr">
        <is>
          <t>O1</t>
        </is>
      </c>
      <c r="AE2969" s="16" t="n"/>
    </row>
    <row r="2970">
      <c r="A2970" s="16" t="inlineStr">
        <is>
          <t>KF-M07-A5-0036</t>
        </is>
      </c>
      <c r="B2970" s="16" t="inlineStr">
        <is>
          <t>5.1</t>
        </is>
      </c>
      <c r="C2970" s="16" t="inlineStr">
        <is>
          <t>5.1e</t>
        </is>
      </c>
      <c r="D2970" s="16" t="inlineStr">
        <is>
          <t>conserva su fuente y su x_b</t>
        </is>
      </c>
      <c r="E2970" s="16" t="inlineStr">
        <is>
          <t>KF-M07</t>
        </is>
      </c>
      <c r="F2970" s="16" t="inlineStr">
        <is>
          <t>KF-M07-A5</t>
        </is>
      </c>
      <c r="G2970" s="16" t="inlineStr">
        <is>
          <t>B11-A5</t>
        </is>
      </c>
      <c r="H2970" s="16" t="inlineStr">
        <is>
          <t>busqueda</t>
        </is>
      </c>
      <c r="I2970" s="16" t="inlineStr">
        <is>
          <t>KALINA</t>
        </is>
      </c>
      <c r="J2970" s="16" t="inlineStr">
        <is>
          <t>KALINA</t>
        </is>
      </c>
      <c r="K2970" s="16" t="b">
        <v>1</v>
      </c>
      <c r="L2970" s="16" t="b">
        <v>0</v>
      </c>
      <c r="M2970" s="16" t="b">
        <v>1</v>
      </c>
      <c r="N2970" s="16" t="b">
        <v>0</v>
      </c>
      <c r="O2970" s="16" t="n">
        <v>623.15</v>
      </c>
      <c r="P2970" s="16" t="n">
        <v>302.58136184317</v>
      </c>
      <c r="Q2970" s="16" t="n">
        <v>4508.3419580395</v>
      </c>
      <c r="R2970" s="16" t="n">
        <v>1022.274389807265</v>
      </c>
      <c r="S2970" s="16" t="n">
        <v>0.5</v>
      </c>
      <c r="T2970" s="16" t="n">
        <v>0.9224916747106672</v>
      </c>
      <c r="U2970" s="16" t="n">
        <v>0.5760658994683791</v>
      </c>
      <c r="V2970" s="16" t="n">
        <v>0.4623021552349206</v>
      </c>
      <c r="W2970" s="16" t="n">
        <v>0.4101145100609968</v>
      </c>
      <c r="X2970" s="16" t="n">
        <v>0.8784157959492287</v>
      </c>
      <c r="Y2970" s="16" t="n">
        <v>302.58136184317</v>
      </c>
      <c r="Z2970" s="16" t="n">
        <v>9.925198982426011</v>
      </c>
      <c r="AA2970" s="16" t="n">
        <v>111.366436716006</v>
      </c>
      <c r="AB2970" s="16" t="n">
        <v>3486.067568232236</v>
      </c>
      <c r="AC2970" s="16" t="n">
        <v>4.410109460816567</v>
      </c>
      <c r="AD2970" s="16" t="n"/>
      <c r="AE2970" s="16" t="n"/>
    </row>
    <row r="2971">
      <c r="A2971" s="16" t="inlineStr">
        <is>
          <t>KF-M07-A5-0037</t>
        </is>
      </c>
      <c r="B2971" s="16" t="inlineStr">
        <is>
          <t>5.1</t>
        </is>
      </c>
      <c r="C2971" s="16" t="inlineStr">
        <is>
          <t>5.1e</t>
        </is>
      </c>
      <c r="D2971" s="16" t="inlineStr">
        <is>
          <t>conserva su fuente y su x_b</t>
        </is>
      </c>
      <c r="E2971" s="16" t="inlineStr">
        <is>
          <t>KF-M07</t>
        </is>
      </c>
      <c r="F2971" s="16" t="inlineStr">
        <is>
          <t>KF-M07-A5</t>
        </is>
      </c>
      <c r="G2971" s="16" t="inlineStr">
        <is>
          <t>B11-A5</t>
        </is>
      </c>
      <c r="H2971" s="16" t="inlineStr">
        <is>
          <t>busqueda</t>
        </is>
      </c>
      <c r="I2971" s="16" t="inlineStr">
        <is>
          <t>KALINA</t>
        </is>
      </c>
      <c r="J2971" s="16" t="inlineStr">
        <is>
          <t>KALINA</t>
        </is>
      </c>
      <c r="K2971" s="16" t="b">
        <v>1</v>
      </c>
      <c r="L2971" s="16" t="b">
        <v>0</v>
      </c>
      <c r="M2971" s="16" t="b">
        <v>1</v>
      </c>
      <c r="N2971" s="16" t="b">
        <v>0</v>
      </c>
      <c r="O2971" s="16" t="n">
        <v>623.15</v>
      </c>
      <c r="P2971" s="16" t="n">
        <v>302.58136184317</v>
      </c>
      <c r="Q2971" s="16" t="n">
        <v>4808.3419580395</v>
      </c>
      <c r="R2971" s="16" t="n">
        <v>1242.274389807264</v>
      </c>
      <c r="S2971" s="16" t="n">
        <v>0.5</v>
      </c>
      <c r="T2971" s="16" t="n">
        <v>0.9224916747106672</v>
      </c>
      <c r="U2971" s="16" t="n">
        <v>0.5760658994683791</v>
      </c>
      <c r="V2971" s="16" t="n">
        <v>0.4623021552349206</v>
      </c>
      <c r="W2971" s="16" t="n">
        <v>0.4101145100609968</v>
      </c>
      <c r="X2971" s="16" t="n">
        <v>0.8784157959492287</v>
      </c>
      <c r="Y2971" s="16" t="n">
        <v>302.58136184317</v>
      </c>
      <c r="Z2971" s="16" t="n">
        <v>8.961042687563161</v>
      </c>
      <c r="AA2971" s="16" t="n">
        <v>100.1077514027202</v>
      </c>
      <c r="AB2971" s="16" t="n">
        <v>3566.067568232236</v>
      </c>
      <c r="AC2971" s="16" t="n">
        <v>3.870595737537101</v>
      </c>
      <c r="AD2971" s="16" t="n"/>
      <c r="AE2971" s="16" t="n"/>
    </row>
    <row r="2972">
      <c r="A2972" s="16" t="inlineStr">
        <is>
          <t>KF-M07-A5-0038</t>
        </is>
      </c>
      <c r="B2972" s="16" t="inlineStr">
        <is>
          <t>5.1</t>
        </is>
      </c>
      <c r="C2972" s="16" t="inlineStr">
        <is>
          <t>5.1e</t>
        </is>
      </c>
      <c r="D2972" s="16" t="inlineStr">
        <is>
          <t>conserva su fuente y su x_b</t>
        </is>
      </c>
      <c r="E2972" s="16" t="inlineStr">
        <is>
          <t>KF-M07</t>
        </is>
      </c>
      <c r="F2972" s="16" t="inlineStr">
        <is>
          <t>KF-M07-A5</t>
        </is>
      </c>
      <c r="G2972" s="16" t="inlineStr">
        <is>
          <t>B11-A5</t>
        </is>
      </c>
      <c r="H2972" s="16" t="inlineStr">
        <is>
          <t>busqueda</t>
        </is>
      </c>
      <c r="I2972" s="16" t="inlineStr">
        <is>
          <t>CORREGIBLE</t>
        </is>
      </c>
      <c r="J2972" s="16" t="inlineStr">
        <is>
          <t>CORREGIBLE</t>
        </is>
      </c>
      <c r="K2972" s="16" t="b">
        <v>1</v>
      </c>
      <c r="L2972" s="16" t="b">
        <v>0</v>
      </c>
      <c r="M2972" s="16" t="b">
        <v>1</v>
      </c>
      <c r="N2972" s="16" t="b">
        <v>0</v>
      </c>
      <c r="O2972" s="16" t="n">
        <v>623.15</v>
      </c>
      <c r="P2972" s="16" t="n">
        <v>302.58136184317</v>
      </c>
      <c r="Q2972" s="16" t="n">
        <v>4808.3419580395</v>
      </c>
      <c r="R2972" s="16" t="n">
        <v>802.2743898072646</v>
      </c>
      <c r="S2972" s="16" t="n">
        <v>0.5</v>
      </c>
      <c r="T2972" s="16" t="n">
        <v>0.9224916747106672</v>
      </c>
      <c r="U2972" s="16" t="n">
        <v>0.5760658994683791</v>
      </c>
      <c r="V2972" s="16" t="n">
        <v>0.4623021552349206</v>
      </c>
      <c r="W2972" s="16" t="n">
        <v>0.4101145100609968</v>
      </c>
      <c r="X2972" s="16" t="n">
        <v>0.8784157959492287</v>
      </c>
      <c r="Y2972" s="16" t="n">
        <v>302.58136184317</v>
      </c>
      <c r="Z2972" s="16" t="n">
        <v>11.69007371301246</v>
      </c>
      <c r="AA2972" s="16" t="n">
        <v>130.7310774820628</v>
      </c>
      <c r="AB2972" s="16" t="n">
        <v>4006.067568232236</v>
      </c>
      <c r="AC2972" s="16" t="n">
        <v>5.993388320914293</v>
      </c>
      <c r="AD2972" s="16" t="inlineStr">
        <is>
          <t>O1,O2</t>
        </is>
      </c>
      <c r="AE2972" s="16" t="n"/>
    </row>
    <row r="2973">
      <c r="A2973" s="16" t="inlineStr">
        <is>
          <t>KF-M07-A5-0039</t>
        </is>
      </c>
      <c r="B2973" s="16" t="inlineStr">
        <is>
          <t>5.1</t>
        </is>
      </c>
      <c r="C2973" s="16" t="inlineStr">
        <is>
          <t>5.1e</t>
        </is>
      </c>
      <c r="D2973" s="16" t="inlineStr">
        <is>
          <t>conserva su fuente y su x_b</t>
        </is>
      </c>
      <c r="E2973" s="16" t="inlineStr">
        <is>
          <t>KF-M07</t>
        </is>
      </c>
      <c r="F2973" s="16" t="inlineStr">
        <is>
          <t>KF-M07-A5</t>
        </is>
      </c>
      <c r="G2973" s="16" t="inlineStr">
        <is>
          <t>B11-A5</t>
        </is>
      </c>
      <c r="H2973" s="16" t="inlineStr">
        <is>
          <t>busqueda</t>
        </is>
      </c>
      <c r="I2973" s="16" t="inlineStr">
        <is>
          <t>CORREGIBLE</t>
        </is>
      </c>
      <c r="J2973" s="16" t="inlineStr">
        <is>
          <t>CORREGIBLE</t>
        </is>
      </c>
      <c r="K2973" s="16" t="b">
        <v>1</v>
      </c>
      <c r="L2973" s="16" t="b">
        <v>0</v>
      </c>
      <c r="M2973" s="16" t="b">
        <v>1</v>
      </c>
      <c r="N2973" s="16" t="b">
        <v>0</v>
      </c>
      <c r="O2973" s="16" t="n">
        <v>623.15</v>
      </c>
      <c r="P2973" s="16" t="n">
        <v>302.58136184317</v>
      </c>
      <c r="Q2973" s="16" t="n">
        <v>4808.3419580395</v>
      </c>
      <c r="R2973" s="16" t="n">
        <v>1022.274389807265</v>
      </c>
      <c r="S2973" s="16" t="n">
        <v>0.5</v>
      </c>
      <c r="T2973" s="16" t="n">
        <v>0.95</v>
      </c>
      <c r="U2973" s="16" t="n">
        <v>0.5760658994683791</v>
      </c>
      <c r="V2973" s="16" t="n">
        <v>0.4623021552349206</v>
      </c>
      <c r="W2973" s="16" t="n">
        <v>0.4101145100609968</v>
      </c>
      <c r="X2973" s="16" t="n">
        <v>0.8784157959492287</v>
      </c>
      <c r="Y2973" s="16" t="n">
        <v>302.58136184317</v>
      </c>
      <c r="Z2973" s="16" t="n">
        <v>10.51908192999232</v>
      </c>
      <c r="AA2973" s="16" t="n">
        <v>117.5881996518267</v>
      </c>
      <c r="AB2973" s="16" t="n">
        <v>3786.067568232236</v>
      </c>
      <c r="AC2973" s="16" t="n">
        <v>4.703572745225522</v>
      </c>
      <c r="AD2973" s="16" t="inlineStr">
        <is>
          <t>O1</t>
        </is>
      </c>
      <c r="AE2973" s="16" t="n"/>
    </row>
    <row r="2974">
      <c r="A2974" s="16" t="inlineStr">
        <is>
          <t>KF-M07-A5-0040</t>
        </is>
      </c>
      <c r="B2974" s="16" t="inlineStr">
        <is>
          <t>5.1</t>
        </is>
      </c>
      <c r="C2974" s="16" t="inlineStr">
        <is>
          <t>5.1e</t>
        </is>
      </c>
      <c r="D2974" s="16" t="inlineStr">
        <is>
          <t>conserva su fuente y su x_b</t>
        </is>
      </c>
      <c r="E2974" s="16" t="inlineStr">
        <is>
          <t>KF-M07</t>
        </is>
      </c>
      <c r="F2974" s="16" t="inlineStr">
        <is>
          <t>KF-M07-A5</t>
        </is>
      </c>
      <c r="G2974" s="16" t="inlineStr">
        <is>
          <t>B11-A5</t>
        </is>
      </c>
      <c r="H2974" s="16" t="inlineStr">
        <is>
          <t>busqueda</t>
        </is>
      </c>
      <c r="I2974" s="16" t="inlineStr">
        <is>
          <t>KALINA</t>
        </is>
      </c>
      <c r="J2974" s="16" t="inlineStr">
        <is>
          <t>KALINA</t>
        </is>
      </c>
      <c r="K2974" s="16" t="b">
        <v>1</v>
      </c>
      <c r="L2974" s="16" t="b">
        <v>0</v>
      </c>
      <c r="M2974" s="16" t="b">
        <v>1</v>
      </c>
      <c r="N2974" s="16" t="b">
        <v>0</v>
      </c>
      <c r="O2974" s="16" t="n">
        <v>623.15</v>
      </c>
      <c r="P2974" s="16" t="n">
        <v>302.58136184317</v>
      </c>
      <c r="Q2974" s="16" t="n">
        <v>4808.3419580395</v>
      </c>
      <c r="R2974" s="16" t="n">
        <v>1022.274389807265</v>
      </c>
      <c r="S2974" s="16" t="n">
        <v>0.5</v>
      </c>
      <c r="T2974" s="16" t="n">
        <v>0.8674916747106671</v>
      </c>
      <c r="U2974" s="16" t="n">
        <v>0.5760658994683791</v>
      </c>
      <c r="V2974" s="16" t="n">
        <v>0.4623021552349206</v>
      </c>
      <c r="W2974" s="16" t="n">
        <v>0.4101145100609968</v>
      </c>
      <c r="X2974" s="16" t="n">
        <v>0.8784157959492287</v>
      </c>
      <c r="Y2974" s="16" t="n">
        <v>302.58136184317</v>
      </c>
      <c r="Z2974" s="16" t="n">
        <v>9.552077519765319</v>
      </c>
      <c r="AA2974" s="16" t="n">
        <v>106.7300512874371</v>
      </c>
      <c r="AB2974" s="16" t="n">
        <v>3786.067568232236</v>
      </c>
      <c r="AC2974" s="16" t="n">
        <v>4.703572745225522</v>
      </c>
      <c r="AD2974" s="16" t="n"/>
      <c r="AE2974" s="16" t="n"/>
    </row>
    <row r="2975">
      <c r="A2975" s="16" t="inlineStr">
        <is>
          <t>KF-M07-A5-0041</t>
        </is>
      </c>
      <c r="B2975" s="16" t="inlineStr">
        <is>
          <t>5.1</t>
        </is>
      </c>
      <c r="C2975" s="16" t="inlineStr">
        <is>
          <t>5.1e</t>
        </is>
      </c>
      <c r="D2975" s="16" t="inlineStr">
        <is>
          <t>conserva su fuente y su x_b</t>
        </is>
      </c>
      <c r="E2975" s="16" t="inlineStr">
        <is>
          <t>KF-M07</t>
        </is>
      </c>
      <c r="F2975" s="16" t="inlineStr">
        <is>
          <t>KF-M07-A5</t>
        </is>
      </c>
      <c r="G2975" s="16" t="inlineStr">
        <is>
          <t>B11-A5</t>
        </is>
      </c>
      <c r="H2975" s="16" t="inlineStr">
        <is>
          <t>busqueda</t>
        </is>
      </c>
      <c r="I2975" s="16" t="inlineStr">
        <is>
          <t>KALINA</t>
        </is>
      </c>
      <c r="J2975" s="16" t="inlineStr">
        <is>
          <t>KALINA</t>
        </is>
      </c>
      <c r="K2975" s="16" t="b">
        <v>1</v>
      </c>
      <c r="L2975" s="16" t="b">
        <v>0</v>
      </c>
      <c r="M2975" s="16" t="b">
        <v>1</v>
      </c>
      <c r="N2975" s="16" t="b">
        <v>0</v>
      </c>
      <c r="O2975" s="16" t="n">
        <v>623.15</v>
      </c>
      <c r="P2975" s="16" t="n">
        <v>302.58136184317</v>
      </c>
      <c r="Q2975" s="16" t="n">
        <v>4808.3419580395</v>
      </c>
      <c r="R2975" s="16" t="n">
        <v>1022.274389807265</v>
      </c>
      <c r="S2975" s="16" t="n">
        <v>0.5</v>
      </c>
      <c r="T2975" s="16" t="n">
        <v>0.9224916747106672</v>
      </c>
      <c r="U2975" s="16" t="n">
        <v>0.6310658994683791</v>
      </c>
      <c r="V2975" s="16" t="n">
        <v>0.4623021552349206</v>
      </c>
      <c r="W2975" s="16" t="n">
        <v>0.4101145100609968</v>
      </c>
      <c r="X2975" s="16" t="n">
        <v>0.8784157959492287</v>
      </c>
      <c r="Y2975" s="16" t="n">
        <v>302.58136184317</v>
      </c>
      <c r="Z2975" s="16" t="n">
        <v>10.25512041604304</v>
      </c>
      <c r="AA2975" s="16" t="n">
        <v>114.6484250746504</v>
      </c>
      <c r="AB2975" s="16" t="n">
        <v>3786.067568232236</v>
      </c>
      <c r="AC2975" s="16" t="n">
        <v>4.703572745225522</v>
      </c>
      <c r="AD2975" s="16" t="n"/>
      <c r="AE2975" s="16" t="n"/>
    </row>
    <row r="2976">
      <c r="A2976" s="16" t="inlineStr">
        <is>
          <t>KF-M07-A5-0042</t>
        </is>
      </c>
      <c r="B2976" s="16" t="inlineStr">
        <is>
          <t>5.1</t>
        </is>
      </c>
      <c r="C2976" s="16" t="inlineStr">
        <is>
          <t>5.1e</t>
        </is>
      </c>
      <c r="D2976" s="16" t="inlineStr">
        <is>
          <t>conserva su fuente y su x_b</t>
        </is>
      </c>
      <c r="E2976" s="16" t="inlineStr">
        <is>
          <t>KF-M07</t>
        </is>
      </c>
      <c r="F2976" s="16" t="inlineStr">
        <is>
          <t>KF-M07-A5</t>
        </is>
      </c>
      <c r="G2976" s="16" t="inlineStr">
        <is>
          <t>B11-A5</t>
        </is>
      </c>
      <c r="H2976" s="16" t="inlineStr">
        <is>
          <t>busqueda</t>
        </is>
      </c>
      <c r="I2976" s="16" t="inlineStr">
        <is>
          <t>KALINA</t>
        </is>
      </c>
      <c r="J2976" s="16" t="inlineStr">
        <is>
          <t>KALINA</t>
        </is>
      </c>
      <c r="K2976" s="16" t="b">
        <v>1</v>
      </c>
      <c r="L2976" s="16" t="b">
        <v>0</v>
      </c>
      <c r="M2976" s="16" t="b">
        <v>1</v>
      </c>
      <c r="N2976" s="16" t="b">
        <v>0</v>
      </c>
      <c r="O2976" s="16" t="n">
        <v>623.15</v>
      </c>
      <c r="P2976" s="16" t="n">
        <v>302.58136184317</v>
      </c>
      <c r="Q2976" s="16" t="n">
        <v>4808.3419580395</v>
      </c>
      <c r="R2976" s="16" t="n">
        <v>1022.274389807265</v>
      </c>
      <c r="S2976" s="16" t="n">
        <v>0.5</v>
      </c>
      <c r="T2976" s="16" t="n">
        <v>0.9224916747106672</v>
      </c>
      <c r="U2976" s="16" t="n">
        <v>0.521065899468379</v>
      </c>
      <c r="V2976" s="16" t="n">
        <v>0.4623021552349206</v>
      </c>
      <c r="W2976" s="16" t="n">
        <v>0.4101145100609968</v>
      </c>
      <c r="X2976" s="16" t="n">
        <v>0.8784157959492287</v>
      </c>
      <c r="Y2976" s="16" t="n">
        <v>302.58136184317</v>
      </c>
      <c r="Z2976" s="16" t="n">
        <v>10.12641227869155</v>
      </c>
      <c r="AA2976" s="16" t="n">
        <v>113.1478058871937</v>
      </c>
      <c r="AB2976" s="16" t="n">
        <v>3786.067568232236</v>
      </c>
      <c r="AC2976" s="16" t="n">
        <v>4.703572745225522</v>
      </c>
      <c r="AD2976" s="16" t="n"/>
      <c r="AE2976" s="16" t="n"/>
    </row>
    <row r="2977">
      <c r="A2977" s="16" t="inlineStr">
        <is>
          <t>KF-M07-A5-0043</t>
        </is>
      </c>
      <c r="B2977" s="16" t="inlineStr">
        <is>
          <t>5.1</t>
        </is>
      </c>
      <c r="C2977" s="16" t="inlineStr">
        <is>
          <t>5.1e</t>
        </is>
      </c>
      <c r="D2977" s="16" t="inlineStr">
        <is>
          <t>conserva su fuente y su x_b</t>
        </is>
      </c>
      <c r="E2977" s="16" t="inlineStr">
        <is>
          <t>KF-M07</t>
        </is>
      </c>
      <c r="F2977" s="16" t="inlineStr">
        <is>
          <t>KF-M07-A5</t>
        </is>
      </c>
      <c r="G2977" s="16" t="inlineStr">
        <is>
          <t>B11-A5</t>
        </is>
      </c>
      <c r="H2977" s="16" t="inlineStr">
        <is>
          <t>busqueda</t>
        </is>
      </c>
      <c r="I2977" s="16" t="inlineStr">
        <is>
          <t>CORREGIBLE</t>
        </is>
      </c>
      <c r="J2977" s="16" t="inlineStr">
        <is>
          <t>CORREGIBLE</t>
        </is>
      </c>
      <c r="K2977" s="16" t="b">
        <v>1</v>
      </c>
      <c r="L2977" s="16" t="b">
        <v>0</v>
      </c>
      <c r="M2977" s="16" t="b">
        <v>1</v>
      </c>
      <c r="N2977" s="16" t="b">
        <v>0</v>
      </c>
      <c r="O2977" s="16" t="n">
        <v>623.15</v>
      </c>
      <c r="P2977" s="16" t="n">
        <v>302.58136184317</v>
      </c>
      <c r="Q2977" s="16" t="n">
        <v>4808.3419580395</v>
      </c>
      <c r="R2977" s="16" t="n">
        <v>1022.274389807265</v>
      </c>
      <c r="S2977" s="16" t="n">
        <v>0.5</v>
      </c>
      <c r="T2977" s="16" t="n">
        <v>0.9224916747106672</v>
      </c>
      <c r="U2977" s="16" t="n">
        <v>0.5760658994683791</v>
      </c>
      <c r="V2977" s="16" t="n">
        <v>0.5173021552349206</v>
      </c>
      <c r="W2977" s="16" t="n">
        <v>0.4101145100609968</v>
      </c>
      <c r="X2977" s="16" t="n">
        <v>0.8784157959492287</v>
      </c>
      <c r="Y2977" s="16" t="n">
        <v>302.58136184317</v>
      </c>
      <c r="Z2977" s="16" t="n">
        <v>10.63826036480284</v>
      </c>
      <c r="AA2977" s="16" t="n">
        <v>133.0982454642416</v>
      </c>
      <c r="AB2977" s="16" t="n">
        <v>3786.067568232236</v>
      </c>
      <c r="AC2977" s="16" t="n">
        <v>4.703572745225522</v>
      </c>
      <c r="AD2977" s="16" t="inlineStr">
        <is>
          <t>O1</t>
        </is>
      </c>
      <c r="AE2977" s="16" t="n"/>
    </row>
    <row r="2978">
      <c r="A2978" s="16" t="inlineStr">
        <is>
          <t>KF-M07-A5-0044</t>
        </is>
      </c>
      <c r="B2978" s="16" t="inlineStr">
        <is>
          <t>5.1</t>
        </is>
      </c>
      <c r="C2978" s="16" t="inlineStr">
        <is>
          <t>5.1e</t>
        </is>
      </c>
      <c r="D2978" s="16" t="inlineStr">
        <is>
          <t>conserva su fuente y su x_b</t>
        </is>
      </c>
      <c r="E2978" s="16" t="inlineStr">
        <is>
          <t>KF-M07</t>
        </is>
      </c>
      <c r="F2978" s="16" t="inlineStr">
        <is>
          <t>KF-M07-A5</t>
        </is>
      </c>
      <c r="G2978" s="16" t="inlineStr">
        <is>
          <t>B11-A5</t>
        </is>
      </c>
      <c r="H2978" s="16" t="inlineStr">
        <is>
          <t>busqueda</t>
        </is>
      </c>
      <c r="I2978" s="16" t="inlineStr">
        <is>
          <t>KALINA</t>
        </is>
      </c>
      <c r="J2978" s="16" t="inlineStr">
        <is>
          <t>KALINA</t>
        </is>
      </c>
      <c r="K2978" s="16" t="b">
        <v>1</v>
      </c>
      <c r="L2978" s="16" t="b">
        <v>0</v>
      </c>
      <c r="M2978" s="16" t="b">
        <v>1</v>
      </c>
      <c r="N2978" s="16" t="b">
        <v>0</v>
      </c>
      <c r="O2978" s="16" t="n">
        <v>623.15</v>
      </c>
      <c r="P2978" s="16" t="n">
        <v>302.58136184317</v>
      </c>
      <c r="Q2978" s="16" t="n">
        <v>4808.3419580395</v>
      </c>
      <c r="R2978" s="16" t="n">
        <v>1022.274389807265</v>
      </c>
      <c r="S2978" s="16" t="n">
        <v>0.5</v>
      </c>
      <c r="T2978" s="16" t="n">
        <v>0.9224916747106672</v>
      </c>
      <c r="U2978" s="16" t="n">
        <v>0.5760658994683791</v>
      </c>
      <c r="V2978" s="16" t="n">
        <v>0.4073021552349206</v>
      </c>
      <c r="W2978" s="16" t="n">
        <v>0.4101145100609968</v>
      </c>
      <c r="X2978" s="16" t="n">
        <v>0.8784157959492287</v>
      </c>
      <c r="Y2978" s="16" t="n">
        <v>302.58136184317</v>
      </c>
      <c r="Z2978" s="16" t="n">
        <v>9.634106726677301</v>
      </c>
      <c r="AA2978" s="16" t="n">
        <v>94.88905668338508</v>
      </c>
      <c r="AB2978" s="16" t="n">
        <v>3786.067568232236</v>
      </c>
      <c r="AC2978" s="16" t="n">
        <v>4.703572745225522</v>
      </c>
      <c r="AD2978" s="16" t="n"/>
      <c r="AE2978" s="16" t="n"/>
    </row>
    <row r="2979">
      <c r="A2979" s="16" t="inlineStr">
        <is>
          <t>KF-M07-A5-0045</t>
        </is>
      </c>
      <c r="B2979" s="16" t="inlineStr">
        <is>
          <t>5.1</t>
        </is>
      </c>
      <c r="C2979" s="16" t="inlineStr">
        <is>
          <t>5.1e</t>
        </is>
      </c>
      <c r="D2979" s="16" t="inlineStr">
        <is>
          <t>conserva su fuente y su x_b</t>
        </is>
      </c>
      <c r="E2979" s="16" t="inlineStr">
        <is>
          <t>KF-M07</t>
        </is>
      </c>
      <c r="F2979" s="16" t="inlineStr">
        <is>
          <t>KF-M07-A5</t>
        </is>
      </c>
      <c r="G2979" s="16" t="inlineStr">
        <is>
          <t>B11-A5</t>
        </is>
      </c>
      <c r="H2979" s="16" t="inlineStr">
        <is>
          <t>busqueda</t>
        </is>
      </c>
      <c r="I2979" s="16" t="inlineStr">
        <is>
          <t>KALINA</t>
        </is>
      </c>
      <c r="J2979" s="16" t="inlineStr">
        <is>
          <t>KALINA</t>
        </is>
      </c>
      <c r="K2979" s="16" t="b">
        <v>1</v>
      </c>
      <c r="L2979" s="16" t="b">
        <v>0</v>
      </c>
      <c r="M2979" s="16" t="b">
        <v>1</v>
      </c>
      <c r="N2979" s="16" t="b">
        <v>0</v>
      </c>
      <c r="O2979" s="16" t="n">
        <v>623.15</v>
      </c>
      <c r="P2979" s="16" t="n">
        <v>302.58136184317</v>
      </c>
      <c r="Q2979" s="16" t="n">
        <v>4808.3419580395</v>
      </c>
      <c r="R2979" s="16" t="n">
        <v>1022.274389807265</v>
      </c>
      <c r="S2979" s="16" t="n">
        <v>0.5</v>
      </c>
      <c r="T2979" s="16" t="n">
        <v>0.9224916747106672</v>
      </c>
      <c r="U2979" s="16" t="n">
        <v>0.5760658994683791</v>
      </c>
      <c r="V2979" s="16" t="n">
        <v>0.4623021552349206</v>
      </c>
      <c r="W2979" s="16" t="n">
        <v>0.4651145100609968</v>
      </c>
      <c r="X2979" s="16" t="n">
        <v>0.8784157959492287</v>
      </c>
      <c r="Y2979" s="16" t="n">
        <v>302.58136184317</v>
      </c>
      <c r="Z2979" s="16" t="n">
        <v>10.37529860248645</v>
      </c>
      <c r="AA2979" s="16" t="n">
        <v>115.2019415921935</v>
      </c>
      <c r="AB2979" s="16" t="n">
        <v>3786.067568232236</v>
      </c>
      <c r="AC2979" s="16" t="n">
        <v>4.703572745225522</v>
      </c>
      <c r="AD2979" s="16" t="n"/>
      <c r="AE2979" s="16" t="n"/>
    </row>
    <row r="2980">
      <c r="A2980" s="16" t="inlineStr">
        <is>
          <t>KF-M07-A5-0046</t>
        </is>
      </c>
      <c r="B2980" s="16" t="inlineStr">
        <is>
          <t>5.1</t>
        </is>
      </c>
      <c r="C2980" s="16" t="inlineStr">
        <is>
          <t>5.1e</t>
        </is>
      </c>
      <c r="D2980" s="16" t="inlineStr">
        <is>
          <t>conserva su fuente y su x_b</t>
        </is>
      </c>
      <c r="E2980" s="16" t="inlineStr">
        <is>
          <t>KF-M07</t>
        </is>
      </c>
      <c r="F2980" s="16" t="inlineStr">
        <is>
          <t>KF-M07-A5</t>
        </is>
      </c>
      <c r="G2980" s="16" t="inlineStr">
        <is>
          <t>B11-A5</t>
        </is>
      </c>
      <c r="H2980" s="16" t="inlineStr">
        <is>
          <t>busqueda</t>
        </is>
      </c>
      <c r="I2980" s="16" t="inlineStr">
        <is>
          <t>KALINA</t>
        </is>
      </c>
      <c r="J2980" s="16" t="inlineStr">
        <is>
          <t>KALINA</t>
        </is>
      </c>
      <c r="K2980" s="16" t="b">
        <v>1</v>
      </c>
      <c r="L2980" s="16" t="b">
        <v>0</v>
      </c>
      <c r="M2980" s="16" t="b">
        <v>1</v>
      </c>
      <c r="N2980" s="16" t="b">
        <v>0</v>
      </c>
      <c r="O2980" s="16" t="n">
        <v>623.15</v>
      </c>
      <c r="P2980" s="16" t="n">
        <v>302.58136184317</v>
      </c>
      <c r="Q2980" s="16" t="n">
        <v>4808.3419580395</v>
      </c>
      <c r="R2980" s="16" t="n">
        <v>1022.274389807265</v>
      </c>
      <c r="S2980" s="16" t="n">
        <v>0.5</v>
      </c>
      <c r="T2980" s="16" t="n">
        <v>0.9224916747106672</v>
      </c>
      <c r="U2980" s="16" t="n">
        <v>0.5760658994683791</v>
      </c>
      <c r="V2980" s="16" t="n">
        <v>0.4623021552349206</v>
      </c>
      <c r="W2980" s="16" t="n">
        <v>0.4</v>
      </c>
      <c r="X2980" s="16" t="n">
        <v>0.8784157959492287</v>
      </c>
      <c r="Y2980" s="16" t="n">
        <v>302.58136184317</v>
      </c>
      <c r="Z2980" s="16" t="n">
        <v>10.16419401357318</v>
      </c>
      <c r="AA2980" s="16" t="n">
        <v>113.7418859798726</v>
      </c>
      <c r="AB2980" s="16" t="n">
        <v>3786.067568232236</v>
      </c>
      <c r="AC2980" s="16" t="n">
        <v>4.703572745225522</v>
      </c>
      <c r="AD2980" s="16" t="n"/>
      <c r="AE2980" s="16" t="n"/>
    </row>
    <row r="2981">
      <c r="A2981" s="16" t="inlineStr">
        <is>
          <t>KF-M07-A5-0047</t>
        </is>
      </c>
      <c r="B2981" s="16" t="inlineStr">
        <is>
          <t>5.1</t>
        </is>
      </c>
      <c r="C2981" s="16" t="inlineStr">
        <is>
          <t>5.1e</t>
        </is>
      </c>
      <c r="D2981" s="16" t="inlineStr">
        <is>
          <t>conserva su fuente y su x_b</t>
        </is>
      </c>
      <c r="E2981" s="16" t="inlineStr">
        <is>
          <t>KF-M07</t>
        </is>
      </c>
      <c r="F2981" s="16" t="inlineStr">
        <is>
          <t>KF-M07-A5</t>
        </is>
      </c>
      <c r="G2981" s="16" t="inlineStr">
        <is>
          <t>B11-A5</t>
        </is>
      </c>
      <c r="H2981" s="16" t="inlineStr">
        <is>
          <t>busqueda</t>
        </is>
      </c>
      <c r="I2981" s="16" t="inlineStr">
        <is>
          <t>KALINA</t>
        </is>
      </c>
      <c r="J2981" s="16" t="inlineStr">
        <is>
          <t>KALINA</t>
        </is>
      </c>
      <c r="K2981" s="16" t="b">
        <v>1</v>
      </c>
      <c r="L2981" s="16" t="b">
        <v>0</v>
      </c>
      <c r="M2981" s="16" t="b">
        <v>1</v>
      </c>
      <c r="N2981" s="16" t="b">
        <v>0</v>
      </c>
      <c r="O2981" s="16" t="n">
        <v>623.15</v>
      </c>
      <c r="P2981" s="16" t="n">
        <v>302.58136184317</v>
      </c>
      <c r="Q2981" s="16" t="n">
        <v>4808.3419580395</v>
      </c>
      <c r="R2981" s="16" t="n">
        <v>1022.274389807265</v>
      </c>
      <c r="S2981" s="16" t="n">
        <v>0.5</v>
      </c>
      <c r="T2981" s="16" t="n">
        <v>0.9224916747106672</v>
      </c>
      <c r="U2981" s="16" t="n">
        <v>0.5760658994683791</v>
      </c>
      <c r="V2981" s="16" t="n">
        <v>0.4623021552349206</v>
      </c>
      <c r="W2981" s="16" t="n">
        <v>0.4101145100609968</v>
      </c>
      <c r="X2981" s="16" t="n">
        <v>0.9334157959492286</v>
      </c>
      <c r="Y2981" s="16" t="n">
        <v>302.58136184317</v>
      </c>
      <c r="Z2981" s="16" t="n">
        <v>9.666495382409391</v>
      </c>
      <c r="AA2981" s="16" t="n">
        <v>110.2648985812337</v>
      </c>
      <c r="AB2981" s="16" t="n">
        <v>3786.067568232236</v>
      </c>
      <c r="AC2981" s="16" t="n">
        <v>4.703572745225522</v>
      </c>
      <c r="AD2981" s="16" t="n"/>
      <c r="AE2981" s="16" t="n"/>
    </row>
    <row r="2982">
      <c r="A2982" s="16" t="inlineStr">
        <is>
          <t>KF-M07-A5-0048</t>
        </is>
      </c>
      <c r="B2982" s="16" t="inlineStr">
        <is>
          <t>5.1</t>
        </is>
      </c>
      <c r="C2982" s="16" t="inlineStr">
        <is>
          <t>5.1e</t>
        </is>
      </c>
      <c r="D2982" s="16" t="inlineStr">
        <is>
          <t>conserva su fuente y su x_b</t>
        </is>
      </c>
      <c r="E2982" s="16" t="inlineStr">
        <is>
          <t>KF-M07</t>
        </is>
      </c>
      <c r="F2982" s="16" t="inlineStr">
        <is>
          <t>KF-M07-A5</t>
        </is>
      </c>
      <c r="G2982" s="16" t="inlineStr">
        <is>
          <t>B11-A5</t>
        </is>
      </c>
      <c r="H2982" s="16" t="inlineStr">
        <is>
          <t>busqueda</t>
        </is>
      </c>
      <c r="I2982" s="16" t="inlineStr">
        <is>
          <t>CORREGIBLE</t>
        </is>
      </c>
      <c r="J2982" s="16" t="inlineStr">
        <is>
          <t>CORREGIBLE</t>
        </is>
      </c>
      <c r="K2982" s="16" t="b">
        <v>1</v>
      </c>
      <c r="L2982" s="16" t="b">
        <v>0</v>
      </c>
      <c r="M2982" s="16" t="b">
        <v>1</v>
      </c>
      <c r="N2982" s="16" t="b">
        <v>0</v>
      </c>
      <c r="O2982" s="16" t="n">
        <v>623.15</v>
      </c>
      <c r="P2982" s="16" t="n">
        <v>302.58136184317</v>
      </c>
      <c r="Q2982" s="16" t="n">
        <v>4808.3419580395</v>
      </c>
      <c r="R2982" s="16" t="n">
        <v>1022.274389807265</v>
      </c>
      <c r="S2982" s="16" t="n">
        <v>0.5</v>
      </c>
      <c r="T2982" s="16" t="n">
        <v>0.9224916747106672</v>
      </c>
      <c r="U2982" s="16" t="n">
        <v>0.5760658994683791</v>
      </c>
      <c r="V2982" s="16" t="n">
        <v>0.4623021552349206</v>
      </c>
      <c r="W2982" s="16" t="n">
        <v>0.4101145100609968</v>
      </c>
      <c r="X2982" s="16" t="n">
        <v>0.8234157959492288</v>
      </c>
      <c r="Y2982" s="16" t="n">
        <v>302.58136184317</v>
      </c>
      <c r="Z2982" s="16" t="n">
        <v>10.71624557300974</v>
      </c>
      <c r="AA2982" s="16" t="n">
        <v>117.0541447212339</v>
      </c>
      <c r="AB2982" s="16" t="n">
        <v>3786.067568232236</v>
      </c>
      <c r="AC2982" s="16" t="n">
        <v>4.703572745225522</v>
      </c>
      <c r="AD2982" s="16" t="inlineStr">
        <is>
          <t>O2</t>
        </is>
      </c>
      <c r="AE2982" s="16" t="n"/>
    </row>
    <row r="2983">
      <c r="A2983" s="16" t="inlineStr">
        <is>
          <t>KF-M07-A5-0049</t>
        </is>
      </c>
      <c r="B2983" s="16" t="inlineStr">
        <is>
          <t>5.1</t>
        </is>
      </c>
      <c r="C2983" s="16" t="inlineStr">
        <is>
          <t>5.1e</t>
        </is>
      </c>
      <c r="D2983" s="16" t="inlineStr">
        <is>
          <t>conserva su fuente y su x_b</t>
        </is>
      </c>
      <c r="E2983" s="16" t="inlineStr">
        <is>
          <t>KF-M07</t>
        </is>
      </c>
      <c r="F2983" s="16" t="inlineStr">
        <is>
          <t>KF-M07-A5</t>
        </is>
      </c>
      <c r="G2983" s="16" t="inlineStr">
        <is>
          <t>B11-A5</t>
        </is>
      </c>
      <c r="H2983" s="16" t="inlineStr">
        <is>
          <t>busqueda</t>
        </is>
      </c>
      <c r="I2983" s="16" t="inlineStr">
        <is>
          <t>KALINA</t>
        </is>
      </c>
      <c r="J2983" s="16" t="inlineStr">
        <is>
          <t>KALINA</t>
        </is>
      </c>
      <c r="K2983" s="16" t="b">
        <v>1</v>
      </c>
      <c r="L2983" s="16" t="b">
        <v>0</v>
      </c>
      <c r="M2983" s="16" t="b">
        <v>1</v>
      </c>
      <c r="N2983" s="16" t="b">
        <v>0</v>
      </c>
      <c r="O2983" s="16" t="n">
        <v>623.15</v>
      </c>
      <c r="P2983" s="16" t="n">
        <v>303.55</v>
      </c>
      <c r="Q2983" s="16" t="n">
        <v>4808.3419580395</v>
      </c>
      <c r="R2983" s="16" t="n">
        <v>1022.274389807265</v>
      </c>
      <c r="S2983" s="16" t="n">
        <v>0.5</v>
      </c>
      <c r="T2983" s="16" t="n">
        <v>0.9224916747106672</v>
      </c>
      <c r="U2983" s="16" t="n">
        <v>0.5760658994683791</v>
      </c>
      <c r="V2983" s="16" t="n">
        <v>0.4623021552349206</v>
      </c>
      <c r="W2983" s="16" t="n">
        <v>0.4651145100609968</v>
      </c>
      <c r="X2983" s="16" t="n">
        <v>0.8784157959492287</v>
      </c>
      <c r="Y2983" s="16" t="n">
        <v>303.55</v>
      </c>
      <c r="Z2983" s="16" t="n">
        <v>10.40998121458808</v>
      </c>
      <c r="AA2983" s="16" t="n">
        <v>115.4357394753929</v>
      </c>
      <c r="AB2983" s="16" t="n">
        <v>3786.067568232236</v>
      </c>
      <c r="AC2983" s="16" t="n">
        <v>4.703572745225522</v>
      </c>
      <c r="AD2983" s="16" t="n"/>
      <c r="AE2983" s="16" t="n"/>
    </row>
    <row r="2984">
      <c r="A2984" s="16" t="inlineStr">
        <is>
          <t>KF-M07-A5-0050</t>
        </is>
      </c>
      <c r="B2984" s="16" t="inlineStr">
        <is>
          <t>5.1</t>
        </is>
      </c>
      <c r="C2984" s="16" t="inlineStr">
        <is>
          <t>5.1e</t>
        </is>
      </c>
      <c r="D2984" s="16" t="inlineStr">
        <is>
          <t>conserva su fuente y su x_b</t>
        </is>
      </c>
      <c r="E2984" s="16" t="inlineStr">
        <is>
          <t>KF-M07</t>
        </is>
      </c>
      <c r="F2984" s="16" t="inlineStr">
        <is>
          <t>KF-M07-A5</t>
        </is>
      </c>
      <c r="G2984" s="16" t="inlineStr">
        <is>
          <t>B11-A5</t>
        </is>
      </c>
      <c r="H2984" s="16" t="inlineStr">
        <is>
          <t>busqueda</t>
        </is>
      </c>
      <c r="I2984" s="16" t="inlineStr">
        <is>
          <t>KALINA</t>
        </is>
      </c>
      <c r="J2984" s="16" t="inlineStr">
        <is>
          <t>KALINA</t>
        </is>
      </c>
      <c r="K2984" s="16" t="b">
        <v>1</v>
      </c>
      <c r="L2984" s="16" t="b">
        <v>0</v>
      </c>
      <c r="M2984" s="16" t="b">
        <v>1</v>
      </c>
      <c r="N2984" s="16" t="b">
        <v>0</v>
      </c>
      <c r="O2984" s="16" t="n">
        <v>623.15</v>
      </c>
      <c r="P2984" s="16" t="n">
        <v>300.0413618431699</v>
      </c>
      <c r="Q2984" s="16" t="n">
        <v>4808.3419580395</v>
      </c>
      <c r="R2984" s="16" t="n">
        <v>1022.274389807265</v>
      </c>
      <c r="S2984" s="16" t="n">
        <v>0.5</v>
      </c>
      <c r="T2984" s="16" t="n">
        <v>0.9224916747106672</v>
      </c>
      <c r="U2984" s="16" t="n">
        <v>0.5760658994683791</v>
      </c>
      <c r="V2984" s="16" t="n">
        <v>0.4623021552349206</v>
      </c>
      <c r="W2984" s="16" t="n">
        <v>0.4651145100609968</v>
      </c>
      <c r="X2984" s="16" t="n">
        <v>0.8784157959492287</v>
      </c>
      <c r="Y2984" s="16" t="n">
        <v>300.0413618431699</v>
      </c>
      <c r="Z2984" s="16" t="n">
        <v>10.285067084057</v>
      </c>
      <c r="AA2984" s="16" t="n">
        <v>114.5907886152842</v>
      </c>
      <c r="AB2984" s="16" t="n">
        <v>3786.067568232236</v>
      </c>
      <c r="AC2984" s="16" t="n">
        <v>4.703572745225522</v>
      </c>
      <c r="AD2984" s="16" t="n"/>
      <c r="AE2984" s="16" t="n"/>
    </row>
    <row r="2985">
      <c r="A2985" s="16" t="inlineStr">
        <is>
          <t>KF-M07-A5-0051</t>
        </is>
      </c>
      <c r="B2985" s="16" t="inlineStr">
        <is>
          <t>5.1</t>
        </is>
      </c>
      <c r="C2985" s="16" t="inlineStr">
        <is>
          <t>5.1e</t>
        </is>
      </c>
      <c r="D2985" s="16" t="inlineStr">
        <is>
          <t>conserva su fuente y su x_b</t>
        </is>
      </c>
      <c r="E2985" s="16" t="inlineStr">
        <is>
          <t>KF-M07</t>
        </is>
      </c>
      <c r="F2985" s="16" t="inlineStr">
        <is>
          <t>KF-M07-A5</t>
        </is>
      </c>
      <c r="G2985" s="16" t="inlineStr">
        <is>
          <t>B11-A5</t>
        </is>
      </c>
      <c r="H2985" s="16" t="inlineStr">
        <is>
          <t>busqueda</t>
        </is>
      </c>
      <c r="I2985" s="16" t="inlineStr">
        <is>
          <t>CORREGIBLE</t>
        </is>
      </c>
      <c r="J2985" s="16" t="inlineStr">
        <is>
          <t>CORREGIBLE</t>
        </is>
      </c>
      <c r="K2985" s="16" t="b">
        <v>1</v>
      </c>
      <c r="L2985" s="16" t="b">
        <v>0</v>
      </c>
      <c r="M2985" s="16" t="b">
        <v>1</v>
      </c>
      <c r="N2985" s="16" t="b">
        <v>0</v>
      </c>
      <c r="O2985" s="16" t="n">
        <v>623.15</v>
      </c>
      <c r="P2985" s="16" t="n">
        <v>302.58136184317</v>
      </c>
      <c r="Q2985" s="16" t="n">
        <v>5000</v>
      </c>
      <c r="R2985" s="16" t="n">
        <v>1022.274389807265</v>
      </c>
      <c r="S2985" s="16" t="n">
        <v>0.5</v>
      </c>
      <c r="T2985" s="16" t="n">
        <v>0.9224916747106672</v>
      </c>
      <c r="U2985" s="16" t="n">
        <v>0.5760658994683791</v>
      </c>
      <c r="V2985" s="16" t="n">
        <v>0.4623021552349206</v>
      </c>
      <c r="W2985" s="16" t="n">
        <v>0.4651145100609968</v>
      </c>
      <c r="X2985" s="16" t="n">
        <v>0.8784157959492287</v>
      </c>
      <c r="Y2985" s="16" t="n">
        <v>302.58136184317</v>
      </c>
      <c r="Z2985" s="16" t="n">
        <v>10.53889730789731</v>
      </c>
      <c r="AA2985" s="16" t="n">
        <v>116.7076008271446</v>
      </c>
      <c r="AB2985" s="16" t="n">
        <v>3977.725610192736</v>
      </c>
      <c r="AC2985" s="16" t="n">
        <v>4.891054740149246</v>
      </c>
      <c r="AD2985" s="16" t="inlineStr">
        <is>
          <t>O1</t>
        </is>
      </c>
      <c r="AE2985" s="16" t="n"/>
    </row>
    <row r="2986">
      <c r="A2986" s="16" t="inlineStr">
        <is>
          <t>KF-M07-A5-0052</t>
        </is>
      </c>
      <c r="B2986" s="16" t="inlineStr">
        <is>
          <t>5.1</t>
        </is>
      </c>
      <c r="C2986" s="16" t="inlineStr">
        <is>
          <t>5.1e</t>
        </is>
      </c>
      <c r="D2986" s="16" t="inlineStr">
        <is>
          <t>conserva su fuente y su x_b</t>
        </is>
      </c>
      <c r="E2986" s="16" t="inlineStr">
        <is>
          <t>KF-M07</t>
        </is>
      </c>
      <c r="F2986" s="16" t="inlineStr">
        <is>
          <t>KF-M07-A5</t>
        </is>
      </c>
      <c r="G2986" s="16" t="inlineStr">
        <is>
          <t>B11-A5</t>
        </is>
      </c>
      <c r="H2986" s="16" t="inlineStr">
        <is>
          <t>busqueda</t>
        </is>
      </c>
      <c r="I2986" s="16" t="inlineStr">
        <is>
          <t>KALINA</t>
        </is>
      </c>
      <c r="J2986" s="16" t="inlineStr">
        <is>
          <t>KALINA</t>
        </is>
      </c>
      <c r="K2986" s="16" t="b">
        <v>1</v>
      </c>
      <c r="L2986" s="16" t="b">
        <v>0</v>
      </c>
      <c r="M2986" s="16" t="b">
        <v>1</v>
      </c>
      <c r="N2986" s="16" t="b">
        <v>0</v>
      </c>
      <c r="O2986" s="16" t="n">
        <v>623.15</v>
      </c>
      <c r="P2986" s="16" t="n">
        <v>302.58136184317</v>
      </c>
      <c r="Q2986" s="16" t="n">
        <v>4508.3419580395</v>
      </c>
      <c r="R2986" s="16" t="n">
        <v>1022.274389807265</v>
      </c>
      <c r="S2986" s="16" t="n">
        <v>0.5</v>
      </c>
      <c r="T2986" s="16" t="n">
        <v>0.9224916747106672</v>
      </c>
      <c r="U2986" s="16" t="n">
        <v>0.5760658994683791</v>
      </c>
      <c r="V2986" s="16" t="n">
        <v>0.4623021552349206</v>
      </c>
      <c r="W2986" s="16" t="n">
        <v>0.4651145100609968</v>
      </c>
      <c r="X2986" s="16" t="n">
        <v>0.8784157959492287</v>
      </c>
      <c r="Y2986" s="16" t="n">
        <v>302.58136184317</v>
      </c>
      <c r="Z2986" s="16" t="n">
        <v>10.08978238399011</v>
      </c>
      <c r="AA2986" s="16" t="n">
        <v>112.4979979861485</v>
      </c>
      <c r="AB2986" s="16" t="n">
        <v>3486.067568232236</v>
      </c>
      <c r="AC2986" s="16" t="n">
        <v>4.410109460816567</v>
      </c>
      <c r="AD2986" s="16" t="n"/>
      <c r="AE2986" s="16" t="n"/>
    </row>
    <row r="2987">
      <c r="A2987" s="16" t="inlineStr">
        <is>
          <t>KF-M07-A5-0053</t>
        </is>
      </c>
      <c r="B2987" s="16" t="inlineStr">
        <is>
          <t>5.1</t>
        </is>
      </c>
      <c r="C2987" s="16" t="inlineStr">
        <is>
          <t>5.1e</t>
        </is>
      </c>
      <c r="D2987" s="16" t="inlineStr">
        <is>
          <t>conserva su fuente y su x_b</t>
        </is>
      </c>
      <c r="E2987" s="16" t="inlineStr">
        <is>
          <t>KF-M07</t>
        </is>
      </c>
      <c r="F2987" s="16" t="inlineStr">
        <is>
          <t>KF-M07-A5</t>
        </is>
      </c>
      <c r="G2987" s="16" t="inlineStr">
        <is>
          <t>B11-A5</t>
        </is>
      </c>
      <c r="H2987" s="16" t="inlineStr">
        <is>
          <t>busqueda</t>
        </is>
      </c>
      <c r="I2987" s="16" t="inlineStr">
        <is>
          <t>KALINA</t>
        </is>
      </c>
      <c r="J2987" s="16" t="inlineStr">
        <is>
          <t>KALINA</t>
        </is>
      </c>
      <c r="K2987" s="16" t="b">
        <v>1</v>
      </c>
      <c r="L2987" s="16" t="b">
        <v>0</v>
      </c>
      <c r="M2987" s="16" t="b">
        <v>1</v>
      </c>
      <c r="N2987" s="16" t="b">
        <v>0</v>
      </c>
      <c r="O2987" s="16" t="n">
        <v>623.15</v>
      </c>
      <c r="P2987" s="16" t="n">
        <v>302.58136184317</v>
      </c>
      <c r="Q2987" s="16" t="n">
        <v>4808.3419580395</v>
      </c>
      <c r="R2987" s="16" t="n">
        <v>1242.274389807264</v>
      </c>
      <c r="S2987" s="16" t="n">
        <v>0.5</v>
      </c>
      <c r="T2987" s="16" t="n">
        <v>0.9224916747106672</v>
      </c>
      <c r="U2987" s="16" t="n">
        <v>0.5760658994683791</v>
      </c>
      <c r="V2987" s="16" t="n">
        <v>0.4623021552349206</v>
      </c>
      <c r="W2987" s="16" t="n">
        <v>0.4651145100609968</v>
      </c>
      <c r="X2987" s="16" t="n">
        <v>0.8784157959492287</v>
      </c>
      <c r="Y2987" s="16" t="n">
        <v>302.58136184317</v>
      </c>
      <c r="Z2987" s="16" t="n">
        <v>9.11797047716812</v>
      </c>
      <c r="AA2987" s="16" t="n">
        <v>101.1928650154806</v>
      </c>
      <c r="AB2987" s="16" t="n">
        <v>3566.067568232236</v>
      </c>
      <c r="AC2987" s="16" t="n">
        <v>3.870595737537101</v>
      </c>
      <c r="AD2987" s="16" t="n"/>
      <c r="AE2987" s="16" t="n"/>
    </row>
    <row r="2988">
      <c r="A2988" s="16" t="inlineStr">
        <is>
          <t>KF-M07-A5-0054</t>
        </is>
      </c>
      <c r="B2988" s="16" t="inlineStr">
        <is>
          <t>5.1</t>
        </is>
      </c>
      <c r="C2988" s="16" t="inlineStr">
        <is>
          <t>5.1e</t>
        </is>
      </c>
      <c r="D2988" s="16" t="inlineStr">
        <is>
          <t>conserva su fuente y su x_b</t>
        </is>
      </c>
      <c r="E2988" s="16" t="inlineStr">
        <is>
          <t>KF-M07</t>
        </is>
      </c>
      <c r="F2988" s="16" t="inlineStr">
        <is>
          <t>KF-M07-A5</t>
        </is>
      </c>
      <c r="G2988" s="16" t="inlineStr">
        <is>
          <t>B11-A5</t>
        </is>
      </c>
      <c r="H2988" s="16" t="inlineStr">
        <is>
          <t>busqueda</t>
        </is>
      </c>
      <c r="I2988" s="16" t="inlineStr">
        <is>
          <t>CORREGIBLE</t>
        </is>
      </c>
      <c r="J2988" s="16" t="inlineStr">
        <is>
          <t>CORREGIBLE</t>
        </is>
      </c>
      <c r="K2988" s="16" t="b">
        <v>1</v>
      </c>
      <c r="L2988" s="16" t="b">
        <v>0</v>
      </c>
      <c r="M2988" s="16" t="b">
        <v>1</v>
      </c>
      <c r="N2988" s="16" t="b">
        <v>0</v>
      </c>
      <c r="O2988" s="16" t="n">
        <v>623.15</v>
      </c>
      <c r="P2988" s="16" t="n">
        <v>302.58136184317</v>
      </c>
      <c r="Q2988" s="16" t="n">
        <v>4808.3419580395</v>
      </c>
      <c r="R2988" s="16" t="n">
        <v>802.2743898072646</v>
      </c>
      <c r="S2988" s="16" t="n">
        <v>0.5</v>
      </c>
      <c r="T2988" s="16" t="n">
        <v>0.9224916747106672</v>
      </c>
      <c r="U2988" s="16" t="n">
        <v>0.5760658994683791</v>
      </c>
      <c r="V2988" s="16" t="n">
        <v>0.4623021552349206</v>
      </c>
      <c r="W2988" s="16" t="n">
        <v>0.4651145100609968</v>
      </c>
      <c r="X2988" s="16" t="n">
        <v>0.8784157959492287</v>
      </c>
      <c r="Y2988" s="16" t="n">
        <v>302.58136184317</v>
      </c>
      <c r="Z2988" s="16" t="n">
        <v>11.89610597429628</v>
      </c>
      <c r="AA2988" s="16" t="n">
        <v>132.1613146758181</v>
      </c>
      <c r="AB2988" s="16" t="n">
        <v>4006.067568232236</v>
      </c>
      <c r="AC2988" s="16" t="n">
        <v>5.993388320914293</v>
      </c>
      <c r="AD2988" s="16" t="inlineStr">
        <is>
          <t>O1,O2</t>
        </is>
      </c>
      <c r="AE2988" s="16" t="n"/>
    </row>
    <row r="2989">
      <c r="A2989" s="16" t="inlineStr">
        <is>
          <t>KF-M07-A5-0055</t>
        </is>
      </c>
      <c r="B2989" s="16" t="inlineStr">
        <is>
          <t>5.1</t>
        </is>
      </c>
      <c r="C2989" s="16" t="inlineStr">
        <is>
          <t>5.1e</t>
        </is>
      </c>
      <c r="D2989" s="16" t="inlineStr">
        <is>
          <t>conserva su fuente y su x_b</t>
        </is>
      </c>
      <c r="E2989" s="16" t="inlineStr">
        <is>
          <t>KF-M07</t>
        </is>
      </c>
      <c r="F2989" s="16" t="inlineStr">
        <is>
          <t>KF-M07-A5</t>
        </is>
      </c>
      <c r="G2989" s="16" t="inlineStr">
        <is>
          <t>B11-A5</t>
        </is>
      </c>
      <c r="H2989" s="16" t="inlineStr">
        <is>
          <t>busqueda</t>
        </is>
      </c>
      <c r="I2989" s="16" t="inlineStr">
        <is>
          <t>CORREGIBLE</t>
        </is>
      </c>
      <c r="J2989" s="16" t="inlineStr">
        <is>
          <t>CORREGIBLE</t>
        </is>
      </c>
      <c r="K2989" s="16" t="b">
        <v>1</v>
      </c>
      <c r="L2989" s="16" t="b">
        <v>0</v>
      </c>
      <c r="M2989" s="16" t="b">
        <v>1</v>
      </c>
      <c r="N2989" s="16" t="b">
        <v>0</v>
      </c>
      <c r="O2989" s="16" t="n">
        <v>623.15</v>
      </c>
      <c r="P2989" s="16" t="n">
        <v>302.58136184317</v>
      </c>
      <c r="Q2989" s="16" t="n">
        <v>4808.3419580395</v>
      </c>
      <c r="R2989" s="16" t="n">
        <v>1022.274389807265</v>
      </c>
      <c r="S2989" s="16" t="n">
        <v>0.5</v>
      </c>
      <c r="T2989" s="16" t="n">
        <v>0.95</v>
      </c>
      <c r="U2989" s="16" t="n">
        <v>0.5760658994683791</v>
      </c>
      <c r="V2989" s="16" t="n">
        <v>0.4623021552349206</v>
      </c>
      <c r="W2989" s="16" t="n">
        <v>0.4651145100609968</v>
      </c>
      <c r="X2989" s="16" t="n">
        <v>0.8784157959492287</v>
      </c>
      <c r="Y2989" s="16" t="n">
        <v>302.58136184317</v>
      </c>
      <c r="Z2989" s="16" t="n">
        <v>10.70296437679233</v>
      </c>
      <c r="AA2989" s="16" t="n">
        <v>118.8577899645978</v>
      </c>
      <c r="AB2989" s="16" t="n">
        <v>3786.067568232236</v>
      </c>
      <c r="AC2989" s="16" t="n">
        <v>4.703572745225522</v>
      </c>
      <c r="AD2989" s="16" t="inlineStr">
        <is>
          <t>O1</t>
        </is>
      </c>
      <c r="AE2989" s="16" t="n"/>
    </row>
    <row r="2990">
      <c r="A2990" s="16" t="inlineStr">
        <is>
          <t>KF-M07-A5-0056</t>
        </is>
      </c>
      <c r="B2990" s="16" t="inlineStr">
        <is>
          <t>5.1</t>
        </is>
      </c>
      <c r="C2990" s="16" t="inlineStr">
        <is>
          <t>5.1e</t>
        </is>
      </c>
      <c r="D2990" s="16" t="inlineStr">
        <is>
          <t>conserva su fuente y su x_b</t>
        </is>
      </c>
      <c r="E2990" s="16" t="inlineStr">
        <is>
          <t>KF-M07</t>
        </is>
      </c>
      <c r="F2990" s="16" t="inlineStr">
        <is>
          <t>KF-M07-A5</t>
        </is>
      </c>
      <c r="G2990" s="16" t="inlineStr">
        <is>
          <t>B11-A5</t>
        </is>
      </c>
      <c r="H2990" s="16" t="inlineStr">
        <is>
          <t>busqueda</t>
        </is>
      </c>
      <c r="I2990" s="16" t="inlineStr">
        <is>
          <t>KALINA</t>
        </is>
      </c>
      <c r="J2990" s="16" t="inlineStr">
        <is>
          <t>KALINA</t>
        </is>
      </c>
      <c r="K2990" s="16" t="b">
        <v>1</v>
      </c>
      <c r="L2990" s="16" t="b">
        <v>0</v>
      </c>
      <c r="M2990" s="16" t="b">
        <v>1</v>
      </c>
      <c r="N2990" s="16" t="b">
        <v>0</v>
      </c>
      <c r="O2990" s="16" t="n">
        <v>623.15</v>
      </c>
      <c r="P2990" s="16" t="n">
        <v>302.58136184317</v>
      </c>
      <c r="Q2990" s="16" t="n">
        <v>4808.3419580395</v>
      </c>
      <c r="R2990" s="16" t="n">
        <v>1022.274389807265</v>
      </c>
      <c r="S2990" s="16" t="n">
        <v>0.5</v>
      </c>
      <c r="T2990" s="16" t="n">
        <v>0.8674916747106671</v>
      </c>
      <c r="U2990" s="16" t="n">
        <v>0.5760658994683791</v>
      </c>
      <c r="V2990" s="16" t="n">
        <v>0.4623021552349206</v>
      </c>
      <c r="W2990" s="16" t="n">
        <v>0.4651145100609968</v>
      </c>
      <c r="X2990" s="16" t="n">
        <v>0.8784157959492287</v>
      </c>
      <c r="Y2990" s="16" t="n">
        <v>302.58136184317</v>
      </c>
      <c r="Z2990" s="16" t="n">
        <v>9.71943565299763</v>
      </c>
      <c r="AA2990" s="16" t="n">
        <v>107.8875656550536</v>
      </c>
      <c r="AB2990" s="16" t="n">
        <v>3786.067568232236</v>
      </c>
      <c r="AC2990" s="16" t="n">
        <v>4.703572745225522</v>
      </c>
      <c r="AD2990" s="16" t="n"/>
      <c r="AE2990" s="16" t="n"/>
    </row>
    <row r="2991">
      <c r="A2991" s="16" t="inlineStr">
        <is>
          <t>KF-M07-A5-0057</t>
        </is>
      </c>
      <c r="B2991" s="16" t="inlineStr">
        <is>
          <t>5.1</t>
        </is>
      </c>
      <c r="C2991" s="16" t="inlineStr">
        <is>
          <t>5.1e</t>
        </is>
      </c>
      <c r="D2991" s="16" t="inlineStr">
        <is>
          <t>conserva su fuente y su x_b</t>
        </is>
      </c>
      <c r="E2991" s="16" t="inlineStr">
        <is>
          <t>KF-M07</t>
        </is>
      </c>
      <c r="F2991" s="16" t="inlineStr">
        <is>
          <t>KF-M07-A5</t>
        </is>
      </c>
      <c r="G2991" s="16" t="inlineStr">
        <is>
          <t>B11-A5</t>
        </is>
      </c>
      <c r="H2991" s="16" t="inlineStr">
        <is>
          <t>busqueda</t>
        </is>
      </c>
      <c r="I2991" s="16" t="inlineStr">
        <is>
          <t>KALINA</t>
        </is>
      </c>
      <c r="J2991" s="16" t="inlineStr">
        <is>
          <t>KALINA</t>
        </is>
      </c>
      <c r="K2991" s="16" t="b">
        <v>1</v>
      </c>
      <c r="L2991" s="16" t="b">
        <v>0</v>
      </c>
      <c r="M2991" s="16" t="b">
        <v>1</v>
      </c>
      <c r="N2991" s="16" t="b">
        <v>0</v>
      </c>
      <c r="O2991" s="16" t="n">
        <v>623.15</v>
      </c>
      <c r="P2991" s="16" t="n">
        <v>302.58136184317</v>
      </c>
      <c r="Q2991" s="16" t="n">
        <v>4808.3419580395</v>
      </c>
      <c r="R2991" s="16" t="n">
        <v>1022.274389807265</v>
      </c>
      <c r="S2991" s="16" t="n">
        <v>0.5</v>
      </c>
      <c r="T2991" s="16" t="n">
        <v>0.9224916747106672</v>
      </c>
      <c r="U2991" s="16" t="n">
        <v>0.6310658994683791</v>
      </c>
      <c r="V2991" s="16" t="n">
        <v>0.4623021552349206</v>
      </c>
      <c r="W2991" s="16" t="n">
        <v>0.4651145100609968</v>
      </c>
      <c r="X2991" s="16" t="n">
        <v>0.8784157959492287</v>
      </c>
      <c r="Y2991" s="16" t="n">
        <v>302.58136184317</v>
      </c>
      <c r="Z2991" s="16" t="n">
        <v>10.43404879022391</v>
      </c>
      <c r="AA2991" s="16" t="n">
        <v>115.881999667784</v>
      </c>
      <c r="AB2991" s="16" t="n">
        <v>3786.067568232236</v>
      </c>
      <c r="AC2991" s="16" t="n">
        <v>4.703572745225522</v>
      </c>
      <c r="AD2991" s="16" t="n"/>
      <c r="AE2991" s="16" t="n"/>
    </row>
    <row r="2992">
      <c r="A2992" s="16" t="inlineStr">
        <is>
          <t>KF-M07-A5-0058</t>
        </is>
      </c>
      <c r="B2992" s="16" t="inlineStr">
        <is>
          <t>5.1</t>
        </is>
      </c>
      <c r="C2992" s="16" t="inlineStr">
        <is>
          <t>5.1e</t>
        </is>
      </c>
      <c r="D2992" s="16" t="inlineStr">
        <is>
          <t>conserva su fuente y su x_b</t>
        </is>
      </c>
      <c r="E2992" s="16" t="inlineStr">
        <is>
          <t>KF-M07</t>
        </is>
      </c>
      <c r="F2992" s="16" t="inlineStr">
        <is>
          <t>KF-M07-A5</t>
        </is>
      </c>
      <c r="G2992" s="16" t="inlineStr">
        <is>
          <t>B11-A5</t>
        </is>
      </c>
      <c r="H2992" s="16" t="inlineStr">
        <is>
          <t>busqueda</t>
        </is>
      </c>
      <c r="I2992" s="16" t="inlineStr">
        <is>
          <t>KALINA</t>
        </is>
      </c>
      <c r="J2992" s="16" t="inlineStr">
        <is>
          <t>KALINA</t>
        </is>
      </c>
      <c r="K2992" s="16" t="b">
        <v>1</v>
      </c>
      <c r="L2992" s="16" t="b">
        <v>0</v>
      </c>
      <c r="M2992" s="16" t="b">
        <v>1</v>
      </c>
      <c r="N2992" s="16" t="b">
        <v>0</v>
      </c>
      <c r="O2992" s="16" t="n">
        <v>623.15</v>
      </c>
      <c r="P2992" s="16" t="n">
        <v>302.58136184317</v>
      </c>
      <c r="Q2992" s="16" t="n">
        <v>4808.3419580395</v>
      </c>
      <c r="R2992" s="16" t="n">
        <v>1022.274389807265</v>
      </c>
      <c r="S2992" s="16" t="n">
        <v>0.5</v>
      </c>
      <c r="T2992" s="16" t="n">
        <v>0.9224916747106672</v>
      </c>
      <c r="U2992" s="16" t="n">
        <v>0.521065899468379</v>
      </c>
      <c r="V2992" s="16" t="n">
        <v>0.4623021552349206</v>
      </c>
      <c r="W2992" s="16" t="n">
        <v>0.4651145100609968</v>
      </c>
      <c r="X2992" s="16" t="n">
        <v>0.8784157959492287</v>
      </c>
      <c r="Y2992" s="16" t="n">
        <v>302.58136184317</v>
      </c>
      <c r="Z2992" s="16" t="n">
        <v>10.30410728154062</v>
      </c>
      <c r="AA2992" s="16" t="n">
        <v>114.3783014935005</v>
      </c>
      <c r="AB2992" s="16" t="n">
        <v>3786.067568232236</v>
      </c>
      <c r="AC2992" s="16" t="n">
        <v>4.703572745225522</v>
      </c>
      <c r="AD2992" s="16" t="n"/>
      <c r="AE2992" s="16" t="n"/>
    </row>
    <row r="2993">
      <c r="A2993" s="16" t="inlineStr">
        <is>
          <t>KF-M07-A5-0059</t>
        </is>
      </c>
      <c r="B2993" s="16" t="inlineStr">
        <is>
          <t>5.1</t>
        </is>
      </c>
      <c r="C2993" s="16" t="inlineStr">
        <is>
          <t>5.1e</t>
        </is>
      </c>
      <c r="D2993" s="16" t="inlineStr">
        <is>
          <t>conserva su fuente y su x_b</t>
        </is>
      </c>
      <c r="E2993" s="16" t="inlineStr">
        <is>
          <t>KF-M07</t>
        </is>
      </c>
      <c r="F2993" s="16" t="inlineStr">
        <is>
          <t>KF-M07-A5</t>
        </is>
      </c>
      <c r="G2993" s="16" t="inlineStr">
        <is>
          <t>B11-A5</t>
        </is>
      </c>
      <c r="H2993" s="16" t="inlineStr">
        <is>
          <t>busqueda</t>
        </is>
      </c>
      <c r="I2993" s="16" t="inlineStr">
        <is>
          <t>CORREGIBLE</t>
        </is>
      </c>
      <c r="J2993" s="16" t="inlineStr">
        <is>
          <t>CORREGIBLE</t>
        </is>
      </c>
      <c r="K2993" s="16" t="b">
        <v>1</v>
      </c>
      <c r="L2993" s="16" t="b">
        <v>0</v>
      </c>
      <c r="M2993" s="16" t="b">
        <v>1</v>
      </c>
      <c r="N2993" s="16" t="b">
        <v>0</v>
      </c>
      <c r="O2993" s="16" t="n">
        <v>623.15</v>
      </c>
      <c r="P2993" s="16" t="n">
        <v>302.58136184317</v>
      </c>
      <c r="Q2993" s="16" t="n">
        <v>4808.3419580395</v>
      </c>
      <c r="R2993" s="16" t="n">
        <v>1022.274389807265</v>
      </c>
      <c r="S2993" s="16" t="n">
        <v>0.5</v>
      </c>
      <c r="T2993" s="16" t="n">
        <v>0.9224916747106672</v>
      </c>
      <c r="U2993" s="16" t="n">
        <v>0.5760658994683791</v>
      </c>
      <c r="V2993" s="16" t="n">
        <v>0.5173021552349206</v>
      </c>
      <c r="W2993" s="16" t="n">
        <v>0.4651145100609968</v>
      </c>
      <c r="X2993" s="16" t="n">
        <v>0.8784157959492287</v>
      </c>
      <c r="Y2993" s="16" t="n">
        <v>302.58136184317</v>
      </c>
      <c r="Z2993" s="16" t="n">
        <v>10.77679547736513</v>
      </c>
      <c r="AA2993" s="16" t="n">
        <v>134.0649355604628</v>
      </c>
      <c r="AB2993" s="16" t="n">
        <v>3786.067568232236</v>
      </c>
      <c r="AC2993" s="16" t="n">
        <v>4.703572745225522</v>
      </c>
      <c r="AD2993" s="16" t="inlineStr">
        <is>
          <t>O1</t>
        </is>
      </c>
      <c r="AE2993" s="16" t="n"/>
    </row>
    <row r="2994">
      <c r="A2994" s="16" t="inlineStr">
        <is>
          <t>KF-M07-A5-0060</t>
        </is>
      </c>
      <c r="B2994" s="16" t="inlineStr">
        <is>
          <t>5.1</t>
        </is>
      </c>
      <c r="C2994" s="16" t="inlineStr">
        <is>
          <t>5.1e</t>
        </is>
      </c>
      <c r="D2994" s="16" t="inlineStr">
        <is>
          <t>conserva su fuente y su x_b</t>
        </is>
      </c>
      <c r="E2994" s="16" t="inlineStr">
        <is>
          <t>KF-M07</t>
        </is>
      </c>
      <c r="F2994" s="16" t="inlineStr">
        <is>
          <t>KF-M07-A5</t>
        </is>
      </c>
      <c r="G2994" s="16" t="inlineStr">
        <is>
          <t>B11-A5</t>
        </is>
      </c>
      <c r="H2994" s="16" t="inlineStr">
        <is>
          <t>busqueda</t>
        </is>
      </c>
      <c r="I2994" s="16" t="inlineStr">
        <is>
          <t>KALINA</t>
        </is>
      </c>
      <c r="J2994" s="16" t="inlineStr">
        <is>
          <t>KALINA</t>
        </is>
      </c>
      <c r="K2994" s="16" t="b">
        <v>1</v>
      </c>
      <c r="L2994" s="16" t="b">
        <v>0</v>
      </c>
      <c r="M2994" s="16" t="b">
        <v>1</v>
      </c>
      <c r="N2994" s="16" t="b">
        <v>0</v>
      </c>
      <c r="O2994" s="16" t="n">
        <v>623.15</v>
      </c>
      <c r="P2994" s="16" t="n">
        <v>302.58136184317</v>
      </c>
      <c r="Q2994" s="16" t="n">
        <v>4808.3419580395</v>
      </c>
      <c r="R2994" s="16" t="n">
        <v>1022.274389807265</v>
      </c>
      <c r="S2994" s="16" t="n">
        <v>0.5</v>
      </c>
      <c r="T2994" s="16" t="n">
        <v>0.9224916747106672</v>
      </c>
      <c r="U2994" s="16" t="n">
        <v>0.5760658994683791</v>
      </c>
      <c r="V2994" s="16" t="n">
        <v>0.4073021552349206</v>
      </c>
      <c r="W2994" s="16" t="n">
        <v>0.4651145100609968</v>
      </c>
      <c r="X2994" s="16" t="n">
        <v>0.8784157959492287</v>
      </c>
      <c r="Y2994" s="16" t="n">
        <v>302.58136184317</v>
      </c>
      <c r="Z2994" s="16" t="n">
        <v>9.86132663214096</v>
      </c>
      <c r="AA2994" s="16" t="n">
        <v>96.40812579579141</v>
      </c>
      <c r="AB2994" s="16" t="n">
        <v>3786.067568232236</v>
      </c>
      <c r="AC2994" s="16" t="n">
        <v>4.703572745225522</v>
      </c>
      <c r="AD2994" s="16" t="n"/>
      <c r="AE2994" s="16" t="n"/>
    </row>
    <row r="2995">
      <c r="A2995" s="16" t="inlineStr">
        <is>
          <t>KF-M07-A5-0061</t>
        </is>
      </c>
      <c r="B2995" s="16" t="inlineStr">
        <is>
          <t>5.1</t>
        </is>
      </c>
      <c r="C2995" s="16" t="inlineStr">
        <is>
          <t>5.1e</t>
        </is>
      </c>
      <c r="D2995" s="16" t="inlineStr">
        <is>
          <t>conserva su fuente y su x_b</t>
        </is>
      </c>
      <c r="E2995" s="16" t="inlineStr">
        <is>
          <t>KF-M07</t>
        </is>
      </c>
      <c r="F2995" s="16" t="inlineStr">
        <is>
          <t>KF-M07-A5</t>
        </is>
      </c>
      <c r="G2995" s="16" t="inlineStr">
        <is>
          <t>B11-A5</t>
        </is>
      </c>
      <c r="H2995" s="16" t="inlineStr">
        <is>
          <t>busqueda</t>
        </is>
      </c>
      <c r="I2995" s="16" t="inlineStr">
        <is>
          <t>KALINA</t>
        </is>
      </c>
      <c r="J2995" s="16" t="inlineStr">
        <is>
          <t>KALINA</t>
        </is>
      </c>
      <c r="K2995" s="16" t="b">
        <v>1</v>
      </c>
      <c r="L2995" s="16" t="b">
        <v>0</v>
      </c>
      <c r="M2995" s="16" t="b">
        <v>1</v>
      </c>
      <c r="N2995" s="16" t="b">
        <v>0</v>
      </c>
      <c r="O2995" s="16" t="n">
        <v>623.15</v>
      </c>
      <c r="P2995" s="16" t="n">
        <v>302.58136184317</v>
      </c>
      <c r="Q2995" s="16" t="n">
        <v>4808.3419580395</v>
      </c>
      <c r="R2995" s="16" t="n">
        <v>1022.274389807265</v>
      </c>
      <c r="S2995" s="16" t="n">
        <v>0.5</v>
      </c>
      <c r="T2995" s="16" t="n">
        <v>0.9224916747106672</v>
      </c>
      <c r="U2995" s="16" t="n">
        <v>0.5760658994683791</v>
      </c>
      <c r="V2995" s="16" t="n">
        <v>0.4623021552349206</v>
      </c>
      <c r="W2995" s="16" t="n">
        <v>0.5201145100609968</v>
      </c>
      <c r="X2995" s="16" t="n">
        <v>0.8784157959492287</v>
      </c>
      <c r="Y2995" s="16" t="n">
        <v>302.58136184317</v>
      </c>
      <c r="Z2995" s="16" t="n">
        <v>10.55425600687045</v>
      </c>
      <c r="AA2995" s="16" t="n">
        <v>116.422273350076</v>
      </c>
      <c r="AB2995" s="16" t="n">
        <v>3786.067568232236</v>
      </c>
      <c r="AC2995" s="16" t="n">
        <v>4.703572745225522</v>
      </c>
      <c r="AD2995" s="16" t="n"/>
      <c r="AE2995" s="16" t="n"/>
    </row>
    <row r="2996">
      <c r="A2996" s="16" t="inlineStr">
        <is>
          <t>KF-M07-A5-0062</t>
        </is>
      </c>
      <c r="B2996" s="16" t="inlineStr">
        <is>
          <t>5.1</t>
        </is>
      </c>
      <c r="C2996" s="16" t="inlineStr">
        <is>
          <t>5.1e</t>
        </is>
      </c>
      <c r="D2996" s="16" t="inlineStr">
        <is>
          <t>conserva su fuente y su x_b</t>
        </is>
      </c>
      <c r="E2996" s="16" t="inlineStr">
        <is>
          <t>KF-M07</t>
        </is>
      </c>
      <c r="F2996" s="16" t="inlineStr">
        <is>
          <t>KF-M07-A5</t>
        </is>
      </c>
      <c r="G2996" s="16" t="inlineStr">
        <is>
          <t>B11-A5</t>
        </is>
      </c>
      <c r="H2996" s="16" t="inlineStr">
        <is>
          <t>busqueda</t>
        </is>
      </c>
      <c r="I2996" s="16" t="inlineStr">
        <is>
          <t>KALINA</t>
        </is>
      </c>
      <c r="J2996" s="16" t="inlineStr">
        <is>
          <t>KALINA</t>
        </is>
      </c>
      <c r="K2996" s="16" t="b">
        <v>1</v>
      </c>
      <c r="L2996" s="16" t="b">
        <v>0</v>
      </c>
      <c r="M2996" s="16" t="b">
        <v>1</v>
      </c>
      <c r="N2996" s="16" t="b">
        <v>0</v>
      </c>
      <c r="O2996" s="16" t="n">
        <v>623.15</v>
      </c>
      <c r="P2996" s="16" t="n">
        <v>302.58136184317</v>
      </c>
      <c r="Q2996" s="16" t="n">
        <v>4808.3419580395</v>
      </c>
      <c r="R2996" s="16" t="n">
        <v>1022.274389807265</v>
      </c>
      <c r="S2996" s="16" t="n">
        <v>0.5</v>
      </c>
      <c r="T2996" s="16" t="n">
        <v>0.9224916747106672</v>
      </c>
      <c r="U2996" s="16" t="n">
        <v>0.5760658994683791</v>
      </c>
      <c r="V2996" s="16" t="n">
        <v>0.4623021552349206</v>
      </c>
      <c r="W2996" s="16" t="n">
        <v>0.4101145100609968</v>
      </c>
      <c r="X2996" s="16" t="n">
        <v>0.8784157959492287</v>
      </c>
      <c r="Y2996" s="16" t="n">
        <v>302.58136184317</v>
      </c>
      <c r="Z2996" s="16" t="n">
        <v>10.19692840484169</v>
      </c>
      <c r="AA2996" s="16" t="n">
        <v>113.9697594887854</v>
      </c>
      <c r="AB2996" s="16" t="n">
        <v>3786.067568232236</v>
      </c>
      <c r="AC2996" s="16" t="n">
        <v>4.703572745225522</v>
      </c>
      <c r="AD2996" s="16" t="n"/>
      <c r="AE2996" s="16" t="n"/>
    </row>
    <row r="2997">
      <c r="A2997" s="16" t="inlineStr">
        <is>
          <t>KF-M07-A5-0063</t>
        </is>
      </c>
      <c r="B2997" s="16" t="inlineStr">
        <is>
          <t>5.1</t>
        </is>
      </c>
      <c r="C2997" s="16" t="inlineStr">
        <is>
          <t>5.1e</t>
        </is>
      </c>
      <c r="D2997" s="16" t="inlineStr">
        <is>
          <t>conserva su fuente y su x_b</t>
        </is>
      </c>
      <c r="E2997" s="16" t="inlineStr">
        <is>
          <t>KF-M07</t>
        </is>
      </c>
      <c r="F2997" s="16" t="inlineStr">
        <is>
          <t>KF-M07-A5</t>
        </is>
      </c>
      <c r="G2997" s="16" t="inlineStr">
        <is>
          <t>B11-A5</t>
        </is>
      </c>
      <c r="H2997" s="16" t="inlineStr">
        <is>
          <t>busqueda</t>
        </is>
      </c>
      <c r="I2997" s="16" t="inlineStr">
        <is>
          <t>KALINA</t>
        </is>
      </c>
      <c r="J2997" s="16" t="inlineStr">
        <is>
          <t>KALINA</t>
        </is>
      </c>
      <c r="K2997" s="16" t="b">
        <v>1</v>
      </c>
      <c r="L2997" s="16" t="b">
        <v>0</v>
      </c>
      <c r="M2997" s="16" t="b">
        <v>1</v>
      </c>
      <c r="N2997" s="16" t="b">
        <v>0</v>
      </c>
      <c r="O2997" s="16" t="n">
        <v>623.15</v>
      </c>
      <c r="P2997" s="16" t="n">
        <v>302.58136184317</v>
      </c>
      <c r="Q2997" s="16" t="n">
        <v>4808.3419580395</v>
      </c>
      <c r="R2997" s="16" t="n">
        <v>1022.274389807265</v>
      </c>
      <c r="S2997" s="16" t="n">
        <v>0.5</v>
      </c>
      <c r="T2997" s="16" t="n">
        <v>0.9224916747106672</v>
      </c>
      <c r="U2997" s="16" t="n">
        <v>0.5760658994683791</v>
      </c>
      <c r="V2997" s="16" t="n">
        <v>0.4623021552349206</v>
      </c>
      <c r="W2997" s="16" t="n">
        <v>0.4651145100609968</v>
      </c>
      <c r="X2997" s="16" t="n">
        <v>0.9334157959492286</v>
      </c>
      <c r="Y2997" s="16" t="n">
        <v>302.58136184317</v>
      </c>
      <c r="Z2997" s="16" t="n">
        <v>9.86197149010583</v>
      </c>
      <c r="AA2997" s="16" t="n">
        <v>111.6681544159736</v>
      </c>
      <c r="AB2997" s="16" t="n">
        <v>3786.067568232236</v>
      </c>
      <c r="AC2997" s="16" t="n">
        <v>4.703572745225522</v>
      </c>
      <c r="AD2997" s="16" t="n"/>
      <c r="AE2997" s="16" t="n"/>
    </row>
    <row r="2998">
      <c r="A2998" s="16" t="inlineStr">
        <is>
          <t>KF-M07-A5-0064</t>
        </is>
      </c>
      <c r="B2998" s="16" t="inlineStr">
        <is>
          <t>5.1</t>
        </is>
      </c>
      <c r="C2998" s="16" t="inlineStr">
        <is>
          <t>5.1e</t>
        </is>
      </c>
      <c r="D2998" s="16" t="inlineStr">
        <is>
          <t>conserva su fuente y su x_b</t>
        </is>
      </c>
      <c r="E2998" s="16" t="inlineStr">
        <is>
          <t>KF-M07</t>
        </is>
      </c>
      <c r="F2998" s="16" t="inlineStr">
        <is>
          <t>KF-M07-A5</t>
        </is>
      </c>
      <c r="G2998" s="16" t="inlineStr">
        <is>
          <t>B11-A5</t>
        </is>
      </c>
      <c r="H2998" s="16" t="inlineStr">
        <is>
          <t>busqueda</t>
        </is>
      </c>
      <c r="I2998" s="16" t="inlineStr">
        <is>
          <t>CORREGIBLE</t>
        </is>
      </c>
      <c r="J2998" s="16" t="inlineStr">
        <is>
          <t>CORREGIBLE</t>
        </is>
      </c>
      <c r="K2998" s="16" t="b">
        <v>1</v>
      </c>
      <c r="L2998" s="16" t="b">
        <v>0</v>
      </c>
      <c r="M2998" s="16" t="b">
        <v>1</v>
      </c>
      <c r="N2998" s="16" t="b">
        <v>0</v>
      </c>
      <c r="O2998" s="16" t="n">
        <v>623.15</v>
      </c>
      <c r="P2998" s="16" t="n">
        <v>302.58136184317</v>
      </c>
      <c r="Q2998" s="16" t="n">
        <v>4808.3419580395</v>
      </c>
      <c r="R2998" s="16" t="n">
        <v>1022.274389807265</v>
      </c>
      <c r="S2998" s="16" t="n">
        <v>0.5</v>
      </c>
      <c r="T2998" s="16" t="n">
        <v>0.9224916747106672</v>
      </c>
      <c r="U2998" s="16" t="n">
        <v>0.5760658994683791</v>
      </c>
      <c r="V2998" s="16" t="n">
        <v>0.4623021552349206</v>
      </c>
      <c r="W2998" s="16" t="n">
        <v>0.4651145100609968</v>
      </c>
      <c r="X2998" s="16" t="n">
        <v>0.8234157959492288</v>
      </c>
      <c r="Y2998" s="16" t="n">
        <v>302.58136184317</v>
      </c>
      <c r="Z2998" s="16" t="n">
        <v>10.88082863827208</v>
      </c>
      <c r="AA2998" s="16" t="n">
        <v>118.1713218609676</v>
      </c>
      <c r="AB2998" s="16" t="n">
        <v>3786.067568232236</v>
      </c>
      <c r="AC2998" s="16" t="n">
        <v>4.703572745225522</v>
      </c>
      <c r="AD2998" s="16" t="inlineStr">
        <is>
          <t>O2</t>
        </is>
      </c>
      <c r="AE2998" s="16" t="n"/>
    </row>
    <row r="2999">
      <c r="A2999" s="16" t="inlineStr">
        <is>
          <t>KF-M07-A5-0065</t>
        </is>
      </c>
      <c r="B2999" s="16" t="inlineStr">
        <is>
          <t>5.1</t>
        </is>
      </c>
      <c r="C2999" s="16" t="inlineStr">
        <is>
          <t>5.1e</t>
        </is>
      </c>
      <c r="D2999" s="16" t="inlineStr">
        <is>
          <t>conserva su fuente y su x_b</t>
        </is>
      </c>
      <c r="E2999" s="16" t="inlineStr">
        <is>
          <t>KF-M07</t>
        </is>
      </c>
      <c r="F2999" s="16" t="inlineStr">
        <is>
          <t>KF-M07-A5</t>
        </is>
      </c>
      <c r="G2999" s="16" t="inlineStr">
        <is>
          <t>B11-A5</t>
        </is>
      </c>
      <c r="H2999" s="16" t="inlineStr">
        <is>
          <t>busqueda</t>
        </is>
      </c>
      <c r="I2999" s="16" t="inlineStr">
        <is>
          <t>KALINA</t>
        </is>
      </c>
      <c r="J2999" s="16" t="inlineStr">
        <is>
          <t>KALINA</t>
        </is>
      </c>
      <c r="K2999" s="16" t="b">
        <v>1</v>
      </c>
      <c r="L2999" s="16" t="b">
        <v>0</v>
      </c>
      <c r="M2999" s="16" t="b">
        <v>1</v>
      </c>
      <c r="N2999" s="16" t="b">
        <v>0</v>
      </c>
      <c r="O2999" s="16" t="n">
        <v>623.15</v>
      </c>
      <c r="P2999" s="16" t="n">
        <v>303.55</v>
      </c>
      <c r="Q2999" s="16" t="n">
        <v>4808.3419580395</v>
      </c>
      <c r="R2999" s="16" t="n">
        <v>1022.274389807265</v>
      </c>
      <c r="S2999" s="16" t="n">
        <v>0.5</v>
      </c>
      <c r="T2999" s="16" t="n">
        <v>0.9224916747106672</v>
      </c>
      <c r="U2999" s="16" t="n">
        <v>0.5760658994683791</v>
      </c>
      <c r="V2999" s="16" t="n">
        <v>0.4623021552349206</v>
      </c>
      <c r="W2999" s="16" t="n">
        <v>0.5201145100609968</v>
      </c>
      <c r="X2999" s="16" t="n">
        <v>0.8784157959492287</v>
      </c>
      <c r="Y2999" s="16" t="n">
        <v>303.55</v>
      </c>
      <c r="Z2999" s="16" t="n">
        <v>10.58811992277289</v>
      </c>
      <c r="AA2999" s="16" t="n">
        <v>116.6474515257714</v>
      </c>
      <c r="AB2999" s="16" t="n">
        <v>3786.067568232236</v>
      </c>
      <c r="AC2999" s="16" t="n">
        <v>4.703572745225522</v>
      </c>
      <c r="AD2999" s="16" t="n"/>
      <c r="AE2999" s="16" t="n"/>
    </row>
    <row r="3000">
      <c r="A3000" s="16" t="inlineStr">
        <is>
          <t>KF-M07-A5-0066</t>
        </is>
      </c>
      <c r="B3000" s="16" t="inlineStr">
        <is>
          <t>5.1</t>
        </is>
      </c>
      <c r="C3000" s="16" t="inlineStr">
        <is>
          <t>5.1e</t>
        </is>
      </c>
      <c r="D3000" s="16" t="inlineStr">
        <is>
          <t>conserva su fuente y su x_b</t>
        </is>
      </c>
      <c r="E3000" s="16" t="inlineStr">
        <is>
          <t>KF-M07</t>
        </is>
      </c>
      <c r="F3000" s="16" t="inlineStr">
        <is>
          <t>KF-M07-A5</t>
        </is>
      </c>
      <c r="G3000" s="16" t="inlineStr">
        <is>
          <t>B11-A5</t>
        </is>
      </c>
      <c r="H3000" s="16" t="inlineStr">
        <is>
          <t>busqueda</t>
        </is>
      </c>
      <c r="I3000" s="16" t="inlineStr">
        <is>
          <t>KALINA</t>
        </is>
      </c>
      <c r="J3000" s="16" t="inlineStr">
        <is>
          <t>KALINA</t>
        </is>
      </c>
      <c r="K3000" s="16" t="b">
        <v>1</v>
      </c>
      <c r="L3000" s="16" t="b">
        <v>0</v>
      </c>
      <c r="M3000" s="16" t="b">
        <v>1</v>
      </c>
      <c r="N3000" s="16" t="b">
        <v>0</v>
      </c>
      <c r="O3000" s="16" t="n">
        <v>623.15</v>
      </c>
      <c r="P3000" s="16" t="n">
        <v>300.0413618431699</v>
      </c>
      <c r="Q3000" s="16" t="n">
        <v>4808.3419580395</v>
      </c>
      <c r="R3000" s="16" t="n">
        <v>1022.274389807265</v>
      </c>
      <c r="S3000" s="16" t="n">
        <v>0.5</v>
      </c>
      <c r="T3000" s="16" t="n">
        <v>0.9224916747106672</v>
      </c>
      <c r="U3000" s="16" t="n">
        <v>0.5760658994683791</v>
      </c>
      <c r="V3000" s="16" t="n">
        <v>0.4623021552349206</v>
      </c>
      <c r="W3000" s="16" t="n">
        <v>0.5201145100609968</v>
      </c>
      <c r="X3000" s="16" t="n">
        <v>0.8784157959492287</v>
      </c>
      <c r="Y3000" s="16" t="n">
        <v>300.0413618431699</v>
      </c>
      <c r="Z3000" s="16" t="n">
        <v>10.46615874269381</v>
      </c>
      <c r="AA3000" s="16" t="n">
        <v>115.8337614312896</v>
      </c>
      <c r="AB3000" s="16" t="n">
        <v>3786.067568232236</v>
      </c>
      <c r="AC3000" s="16" t="n">
        <v>4.703572745225522</v>
      </c>
      <c r="AD3000" s="16" t="n"/>
      <c r="AE3000" s="16" t="n"/>
    </row>
    <row r="3001">
      <c r="A3001" s="16" t="inlineStr">
        <is>
          <t>KF-M07-A5-0067</t>
        </is>
      </c>
      <c r="B3001" s="16" t="inlineStr">
        <is>
          <t>5.1</t>
        </is>
      </c>
      <c r="C3001" s="16" t="inlineStr">
        <is>
          <t>5.1e</t>
        </is>
      </c>
      <c r="D3001" s="16" t="inlineStr">
        <is>
          <t>conserva su fuente y su x_b</t>
        </is>
      </c>
      <c r="E3001" s="16" t="inlineStr">
        <is>
          <t>KF-M07</t>
        </is>
      </c>
      <c r="F3001" s="16" t="inlineStr">
        <is>
          <t>KF-M07-A5</t>
        </is>
      </c>
      <c r="G3001" s="16" t="inlineStr">
        <is>
          <t>B11-A5</t>
        </is>
      </c>
      <c r="H3001" s="16" t="inlineStr">
        <is>
          <t>busqueda</t>
        </is>
      </c>
      <c r="I3001" s="16" t="inlineStr">
        <is>
          <t>CORREGIBLE</t>
        </is>
      </c>
      <c r="J3001" s="16" t="inlineStr">
        <is>
          <t>CORREGIBLE</t>
        </is>
      </c>
      <c r="K3001" s="16" t="b">
        <v>1</v>
      </c>
      <c r="L3001" s="16" t="b">
        <v>0</v>
      </c>
      <c r="M3001" s="16" t="b">
        <v>1</v>
      </c>
      <c r="N3001" s="16" t="b">
        <v>0</v>
      </c>
      <c r="O3001" s="16" t="n">
        <v>623.15</v>
      </c>
      <c r="P3001" s="16" t="n">
        <v>302.58136184317</v>
      </c>
      <c r="Q3001" s="16" t="n">
        <v>5000</v>
      </c>
      <c r="R3001" s="16" t="n">
        <v>1022.274389807265</v>
      </c>
      <c r="S3001" s="16" t="n">
        <v>0.5</v>
      </c>
      <c r="T3001" s="16" t="n">
        <v>0.9224916747106672</v>
      </c>
      <c r="U3001" s="16" t="n">
        <v>0.5760658994683791</v>
      </c>
      <c r="V3001" s="16" t="n">
        <v>0.4623021552349206</v>
      </c>
      <c r="W3001" s="16" t="n">
        <v>0.5201145100609968</v>
      </c>
      <c r="X3001" s="16" t="n">
        <v>0.8784157959492287</v>
      </c>
      <c r="Y3001" s="16" t="n">
        <v>302.58136184317</v>
      </c>
      <c r="Z3001" s="16" t="n">
        <v>10.72668516031787</v>
      </c>
      <c r="AA3001" s="16" t="n">
        <v>117.991522272226</v>
      </c>
      <c r="AB3001" s="16" t="n">
        <v>3977.725610192736</v>
      </c>
      <c r="AC3001" s="16" t="n">
        <v>4.891054740149246</v>
      </c>
      <c r="AD3001" s="16" t="inlineStr">
        <is>
          <t>O1</t>
        </is>
      </c>
      <c r="AE3001" s="16" t="n"/>
    </row>
    <row r="3002">
      <c r="A3002" s="16" t="inlineStr">
        <is>
          <t>KF-M07-A5-0068</t>
        </is>
      </c>
      <c r="B3002" s="16" t="inlineStr">
        <is>
          <t>5.1</t>
        </is>
      </c>
      <c r="C3002" s="16" t="inlineStr">
        <is>
          <t>5.1e</t>
        </is>
      </c>
      <c r="D3002" s="16" t="inlineStr">
        <is>
          <t>conserva su fuente y su x_b</t>
        </is>
      </c>
      <c r="E3002" s="16" t="inlineStr">
        <is>
          <t>KF-M07</t>
        </is>
      </c>
      <c r="F3002" s="16" t="inlineStr">
        <is>
          <t>KF-M07-A5</t>
        </is>
      </c>
      <c r="G3002" s="16" t="inlineStr">
        <is>
          <t>B11-A5</t>
        </is>
      </c>
      <c r="H3002" s="16" t="inlineStr">
        <is>
          <t>busqueda</t>
        </is>
      </c>
      <c r="I3002" s="16" t="inlineStr">
        <is>
          <t>KALINA</t>
        </is>
      </c>
      <c r="J3002" s="16" t="inlineStr">
        <is>
          <t>KALINA</t>
        </is>
      </c>
      <c r="K3002" s="16" t="b">
        <v>1</v>
      </c>
      <c r="L3002" s="16" t="b">
        <v>0</v>
      </c>
      <c r="M3002" s="16" t="b">
        <v>1</v>
      </c>
      <c r="N3002" s="16" t="b">
        <v>0</v>
      </c>
      <c r="O3002" s="16" t="n">
        <v>623.15</v>
      </c>
      <c r="P3002" s="16" t="n">
        <v>302.58136184317</v>
      </c>
      <c r="Q3002" s="16" t="n">
        <v>4508.3419580395</v>
      </c>
      <c r="R3002" s="16" t="n">
        <v>1022.274389807265</v>
      </c>
      <c r="S3002" s="16" t="n">
        <v>0.5</v>
      </c>
      <c r="T3002" s="16" t="n">
        <v>0.9224916747106672</v>
      </c>
      <c r="U3002" s="16" t="n">
        <v>0.5760658994683791</v>
      </c>
      <c r="V3002" s="16" t="n">
        <v>0.4623021552349206</v>
      </c>
      <c r="W3002" s="16" t="n">
        <v>0.5201145100609968</v>
      </c>
      <c r="X3002" s="16" t="n">
        <v>0.8784157959492287</v>
      </c>
      <c r="Y3002" s="16" t="n">
        <v>302.58136184317</v>
      </c>
      <c r="Z3002" s="16" t="n">
        <v>10.25491306354014</v>
      </c>
      <c r="AA3002" s="16" t="n">
        <v>113.6192743541506</v>
      </c>
      <c r="AB3002" s="16" t="n">
        <v>3486.067568232236</v>
      </c>
      <c r="AC3002" s="16" t="n">
        <v>4.410109460816567</v>
      </c>
      <c r="AD3002" s="16" t="n"/>
      <c r="AE3002" s="16" t="n"/>
    </row>
    <row r="3003">
      <c r="A3003" s="16" t="inlineStr">
        <is>
          <t>KF-M07-A5-0069</t>
        </is>
      </c>
      <c r="B3003" s="16" t="inlineStr">
        <is>
          <t>5.1</t>
        </is>
      </c>
      <c r="C3003" s="16" t="inlineStr">
        <is>
          <t>5.1e</t>
        </is>
      </c>
      <c r="D3003" s="16" t="inlineStr">
        <is>
          <t>conserva su fuente y su x_b</t>
        </is>
      </c>
      <c r="E3003" s="16" t="inlineStr">
        <is>
          <t>KF-M07</t>
        </is>
      </c>
      <c r="F3003" s="16" t="inlineStr">
        <is>
          <t>KF-M07-A5</t>
        </is>
      </c>
      <c r="G3003" s="16" t="inlineStr">
        <is>
          <t>B11-A5</t>
        </is>
      </c>
      <c r="H3003" s="16" t="inlineStr">
        <is>
          <t>busqueda</t>
        </is>
      </c>
      <c r="I3003" s="16" t="inlineStr">
        <is>
          <t>KALINA</t>
        </is>
      </c>
      <c r="J3003" s="16" t="inlineStr">
        <is>
          <t>KALINA</t>
        </is>
      </c>
      <c r="K3003" s="16" t="b">
        <v>1</v>
      </c>
      <c r="L3003" s="16" t="b">
        <v>0</v>
      </c>
      <c r="M3003" s="16" t="b">
        <v>1</v>
      </c>
      <c r="N3003" s="16" t="b">
        <v>0</v>
      </c>
      <c r="O3003" s="16" t="n">
        <v>623.15</v>
      </c>
      <c r="P3003" s="16" t="n">
        <v>302.58136184317</v>
      </c>
      <c r="Q3003" s="16" t="n">
        <v>4808.3419580395</v>
      </c>
      <c r="R3003" s="16" t="n">
        <v>1242.274389807264</v>
      </c>
      <c r="S3003" s="16" t="n">
        <v>0.5</v>
      </c>
      <c r="T3003" s="16" t="n">
        <v>0.9224916747106672</v>
      </c>
      <c r="U3003" s="16" t="n">
        <v>0.5760658994683791</v>
      </c>
      <c r="V3003" s="16" t="n">
        <v>0.4623021552349206</v>
      </c>
      <c r="W3003" s="16" t="n">
        <v>0.5201145100609968</v>
      </c>
      <c r="X3003" s="16" t="n">
        <v>0.8784157959492287</v>
      </c>
      <c r="Y3003" s="16" t="n">
        <v>302.58136184317</v>
      </c>
      <c r="Z3003" s="16" t="n">
        <v>9.275410141165599</v>
      </c>
      <c r="AA3003" s="16" t="n">
        <v>102.2675292569687</v>
      </c>
      <c r="AB3003" s="16" t="n">
        <v>3566.067568232236</v>
      </c>
      <c r="AC3003" s="16" t="n">
        <v>3.870595737537101</v>
      </c>
      <c r="AD3003" s="16" t="n"/>
      <c r="AE3003" s="16" t="n"/>
    </row>
    <row r="3004">
      <c r="A3004" s="16" t="inlineStr">
        <is>
          <t>KF-M07-A5-0070</t>
        </is>
      </c>
      <c r="B3004" s="16" t="inlineStr">
        <is>
          <t>5.1</t>
        </is>
      </c>
      <c r="C3004" s="16" t="inlineStr">
        <is>
          <t>5.1e</t>
        </is>
      </c>
      <c r="D3004" s="16" t="inlineStr">
        <is>
          <t>conserva su fuente y su x_b</t>
        </is>
      </c>
      <c r="E3004" s="16" t="inlineStr">
        <is>
          <t>KF-M07</t>
        </is>
      </c>
      <c r="F3004" s="16" t="inlineStr">
        <is>
          <t>KF-M07-A5</t>
        </is>
      </c>
      <c r="G3004" s="16" t="inlineStr">
        <is>
          <t>B11-A5</t>
        </is>
      </c>
      <c r="H3004" s="16" t="inlineStr">
        <is>
          <t>busqueda</t>
        </is>
      </c>
      <c r="I3004" s="16" t="inlineStr">
        <is>
          <t>CORREGIBLE</t>
        </is>
      </c>
      <c r="J3004" s="16" t="inlineStr">
        <is>
          <t>CORREGIBLE</t>
        </is>
      </c>
      <c r="K3004" s="16" t="b">
        <v>1</v>
      </c>
      <c r="L3004" s="16" t="b">
        <v>0</v>
      </c>
      <c r="M3004" s="16" t="b">
        <v>1</v>
      </c>
      <c r="N3004" s="16" t="b">
        <v>0</v>
      </c>
      <c r="O3004" s="16" t="n">
        <v>623.15</v>
      </c>
      <c r="P3004" s="16" t="n">
        <v>302.58136184317</v>
      </c>
      <c r="Q3004" s="16" t="n">
        <v>4808.3419580395</v>
      </c>
      <c r="R3004" s="16" t="n">
        <v>802.2743898072646</v>
      </c>
      <c r="S3004" s="16" t="n">
        <v>0.5</v>
      </c>
      <c r="T3004" s="16" t="n">
        <v>0.9224916747106672</v>
      </c>
      <c r="U3004" s="16" t="n">
        <v>0.5760658994683791</v>
      </c>
      <c r="V3004" s="16" t="n">
        <v>0.4623021552349206</v>
      </c>
      <c r="W3004" s="16" t="n">
        <v>0.5201145100609968</v>
      </c>
      <c r="X3004" s="16" t="n">
        <v>0.8784157959492287</v>
      </c>
      <c r="Y3004" s="16" t="n">
        <v>302.58136184317</v>
      </c>
      <c r="Z3004" s="16" t="n">
        <v>12.10273680719303</v>
      </c>
      <c r="AA3004" s="16" t="n">
        <v>133.5767496784944</v>
      </c>
      <c r="AB3004" s="16" t="n">
        <v>4006.067568232236</v>
      </c>
      <c r="AC3004" s="16" t="n">
        <v>5.993388320914293</v>
      </c>
      <c r="AD3004" s="16" t="inlineStr">
        <is>
          <t>O1,O2</t>
        </is>
      </c>
      <c r="AE3004" s="16" t="n"/>
    </row>
    <row r="3005">
      <c r="A3005" s="16" t="inlineStr">
        <is>
          <t>KF-M07-A5-0071</t>
        </is>
      </c>
      <c r="B3005" s="16" t="inlineStr">
        <is>
          <t>5.1</t>
        </is>
      </c>
      <c r="C3005" s="16" t="inlineStr">
        <is>
          <t>5.1e</t>
        </is>
      </c>
      <c r="D3005" s="16" t="inlineStr">
        <is>
          <t>conserva su fuente y su x_b</t>
        </is>
      </c>
      <c r="E3005" s="16" t="inlineStr">
        <is>
          <t>KF-M07</t>
        </is>
      </c>
      <c r="F3005" s="16" t="inlineStr">
        <is>
          <t>KF-M07-A5</t>
        </is>
      </c>
      <c r="G3005" s="16" t="inlineStr">
        <is>
          <t>B11-A5</t>
        </is>
      </c>
      <c r="H3005" s="16" t="inlineStr">
        <is>
          <t>busqueda</t>
        </is>
      </c>
      <c r="I3005" s="16" t="inlineStr">
        <is>
          <t>CORREGIBLE</t>
        </is>
      </c>
      <c r="J3005" s="16" t="inlineStr">
        <is>
          <t>CORREGIBLE</t>
        </is>
      </c>
      <c r="K3005" s="16" t="b">
        <v>1</v>
      </c>
      <c r="L3005" s="16" t="b">
        <v>0</v>
      </c>
      <c r="M3005" s="16" t="b">
        <v>1</v>
      </c>
      <c r="N3005" s="16" t="b">
        <v>0</v>
      </c>
      <c r="O3005" s="16" t="n">
        <v>623.15</v>
      </c>
      <c r="P3005" s="16" t="n">
        <v>302.58136184317</v>
      </c>
      <c r="Q3005" s="16" t="n">
        <v>4808.3419580395</v>
      </c>
      <c r="R3005" s="16" t="n">
        <v>1022.274389807265</v>
      </c>
      <c r="S3005" s="16" t="n">
        <v>0.5</v>
      </c>
      <c r="T3005" s="16" t="n">
        <v>0.95</v>
      </c>
      <c r="U3005" s="16" t="n">
        <v>0.5760658994683791</v>
      </c>
      <c r="V3005" s="16" t="n">
        <v>0.4623021552349206</v>
      </c>
      <c r="W3005" s="16" t="n">
        <v>0.5201145100609968</v>
      </c>
      <c r="X3005" s="16" t="n">
        <v>0.8784157959492287</v>
      </c>
      <c r="Y3005" s="16" t="n">
        <v>302.58136184317</v>
      </c>
      <c r="Z3005" s="16" t="n">
        <v>10.88745455640483</v>
      </c>
      <c r="AA3005" s="16" t="n">
        <v>120.1151794297793</v>
      </c>
      <c r="AB3005" s="16" t="n">
        <v>3786.067568232236</v>
      </c>
      <c r="AC3005" s="16" t="n">
        <v>4.703572745225522</v>
      </c>
      <c r="AD3005" s="16" t="inlineStr">
        <is>
          <t>O1</t>
        </is>
      </c>
      <c r="AE3005" s="16" t="n"/>
    </row>
    <row r="3006">
      <c r="A3006" s="16" t="inlineStr">
        <is>
          <t>KF-M07-A5-0072</t>
        </is>
      </c>
      <c r="B3006" s="16" t="inlineStr">
        <is>
          <t>5.1</t>
        </is>
      </c>
      <c r="C3006" s="16" t="inlineStr">
        <is>
          <t>5.1e</t>
        </is>
      </c>
      <c r="D3006" s="16" t="inlineStr">
        <is>
          <t>conserva su fuente y su x_b</t>
        </is>
      </c>
      <c r="E3006" s="16" t="inlineStr">
        <is>
          <t>KF-M07</t>
        </is>
      </c>
      <c r="F3006" s="16" t="inlineStr">
        <is>
          <t>KF-M07-A5</t>
        </is>
      </c>
      <c r="G3006" s="16" t="inlineStr">
        <is>
          <t>B11-A5</t>
        </is>
      </c>
      <c r="H3006" s="16" t="inlineStr">
        <is>
          <t>busqueda</t>
        </is>
      </c>
      <c r="I3006" s="16" t="inlineStr">
        <is>
          <t>KALINA</t>
        </is>
      </c>
      <c r="J3006" s="16" t="inlineStr">
        <is>
          <t>KALINA</t>
        </is>
      </c>
      <c r="K3006" s="16" t="b">
        <v>1</v>
      </c>
      <c r="L3006" s="16" t="b">
        <v>0</v>
      </c>
      <c r="M3006" s="16" t="b">
        <v>1</v>
      </c>
      <c r="N3006" s="16" t="b">
        <v>0</v>
      </c>
      <c r="O3006" s="16" t="n">
        <v>623.15</v>
      </c>
      <c r="P3006" s="16" t="n">
        <v>302.58136184317</v>
      </c>
      <c r="Q3006" s="16" t="n">
        <v>4808.3419580395</v>
      </c>
      <c r="R3006" s="16" t="n">
        <v>1022.274389807265</v>
      </c>
      <c r="S3006" s="16" t="n">
        <v>0.5</v>
      </c>
      <c r="T3006" s="16" t="n">
        <v>0.8674916747106671</v>
      </c>
      <c r="U3006" s="16" t="n">
        <v>0.5760658994683791</v>
      </c>
      <c r="V3006" s="16" t="n">
        <v>0.4623021552349206</v>
      </c>
      <c r="W3006" s="16" t="n">
        <v>0.5201145100609968</v>
      </c>
      <c r="X3006" s="16" t="n">
        <v>0.8784157959492287</v>
      </c>
      <c r="Y3006" s="16" t="n">
        <v>302.58136184317</v>
      </c>
      <c r="Z3006" s="16" t="n">
        <v>9.8873404357174</v>
      </c>
      <c r="AA3006" s="16" t="n">
        <v>109.0339310170368</v>
      </c>
      <c r="AB3006" s="16" t="n">
        <v>3786.067568232236</v>
      </c>
      <c r="AC3006" s="16" t="n">
        <v>4.703572745225522</v>
      </c>
      <c r="AD3006" s="16" t="n"/>
      <c r="AE3006" s="16" t="n"/>
    </row>
    <row r="3007">
      <c r="A3007" s="16" t="inlineStr">
        <is>
          <t>KF-M07-A5-0073</t>
        </is>
      </c>
      <c r="B3007" s="16" t="inlineStr">
        <is>
          <t>5.1</t>
        </is>
      </c>
      <c r="C3007" s="16" t="inlineStr">
        <is>
          <t>5.1e</t>
        </is>
      </c>
      <c r="D3007" s="16" t="inlineStr">
        <is>
          <t>conserva su fuente y su x_b</t>
        </is>
      </c>
      <c r="E3007" s="16" t="inlineStr">
        <is>
          <t>KF-M07</t>
        </is>
      </c>
      <c r="F3007" s="16" t="inlineStr">
        <is>
          <t>KF-M07-A5</t>
        </is>
      </c>
      <c r="G3007" s="16" t="inlineStr">
        <is>
          <t>B11-A5</t>
        </is>
      </c>
      <c r="H3007" s="16" t="inlineStr">
        <is>
          <t>busqueda</t>
        </is>
      </c>
      <c r="I3007" s="16" t="inlineStr">
        <is>
          <t>KALINA</t>
        </is>
      </c>
      <c r="J3007" s="16" t="inlineStr">
        <is>
          <t>KALINA</t>
        </is>
      </c>
      <c r="K3007" s="16" t="b">
        <v>1</v>
      </c>
      <c r="L3007" s="16" t="b">
        <v>0</v>
      </c>
      <c r="M3007" s="16" t="b">
        <v>1</v>
      </c>
      <c r="N3007" s="16" t="b">
        <v>0</v>
      </c>
      <c r="O3007" s="16" t="n">
        <v>623.15</v>
      </c>
      <c r="P3007" s="16" t="n">
        <v>302.58136184317</v>
      </c>
      <c r="Q3007" s="16" t="n">
        <v>4808.3419580395</v>
      </c>
      <c r="R3007" s="16" t="n">
        <v>1022.274389807265</v>
      </c>
      <c r="S3007" s="16" t="n">
        <v>0.5</v>
      </c>
      <c r="T3007" s="16" t="n">
        <v>0.9224916747106672</v>
      </c>
      <c r="U3007" s="16" t="n">
        <v>0.6310658994683791</v>
      </c>
      <c r="V3007" s="16" t="n">
        <v>0.4623021552349206</v>
      </c>
      <c r="W3007" s="16" t="n">
        <v>0.5201145100609968</v>
      </c>
      <c r="X3007" s="16" t="n">
        <v>0.8784157959492287</v>
      </c>
      <c r="Y3007" s="16" t="n">
        <v>302.58136184317</v>
      </c>
      <c r="Z3007" s="16" t="n">
        <v>10.61356587528504</v>
      </c>
      <c r="AA3007" s="16" t="n">
        <v>117.1036920011706</v>
      </c>
      <c r="AB3007" s="16" t="n">
        <v>3786.067568232236</v>
      </c>
      <c r="AC3007" s="16" t="n">
        <v>4.703572745225522</v>
      </c>
      <c r="AD3007" s="16" t="n"/>
      <c r="AE3007" s="16" t="n"/>
    </row>
    <row r="3008">
      <c r="A3008" s="16" t="inlineStr">
        <is>
          <t>KF-M07-A5-0074</t>
        </is>
      </c>
      <c r="B3008" s="16" t="inlineStr">
        <is>
          <t>5.1</t>
        </is>
      </c>
      <c r="C3008" s="16" t="inlineStr">
        <is>
          <t>5.1e</t>
        </is>
      </c>
      <c r="D3008" s="16" t="inlineStr">
        <is>
          <t>conserva su fuente y su x_b</t>
        </is>
      </c>
      <c r="E3008" s="16" t="inlineStr">
        <is>
          <t>KF-M07</t>
        </is>
      </c>
      <c r="F3008" s="16" t="inlineStr">
        <is>
          <t>KF-M07-A5</t>
        </is>
      </c>
      <c r="G3008" s="16" t="inlineStr">
        <is>
          <t>B11-A5</t>
        </is>
      </c>
      <c r="H3008" s="16" t="inlineStr">
        <is>
          <t>busqueda</t>
        </is>
      </c>
      <c r="I3008" s="16" t="inlineStr">
        <is>
          <t>KALINA</t>
        </is>
      </c>
      <c r="J3008" s="16" t="inlineStr">
        <is>
          <t>KALINA</t>
        </is>
      </c>
      <c r="K3008" s="16" t="b">
        <v>1</v>
      </c>
      <c r="L3008" s="16" t="b">
        <v>0</v>
      </c>
      <c r="M3008" s="16" t="b">
        <v>1</v>
      </c>
      <c r="N3008" s="16" t="b">
        <v>0</v>
      </c>
      <c r="O3008" s="16" t="n">
        <v>623.15</v>
      </c>
      <c r="P3008" s="16" t="n">
        <v>302.58136184317</v>
      </c>
      <c r="Q3008" s="16" t="n">
        <v>4808.3419580395</v>
      </c>
      <c r="R3008" s="16" t="n">
        <v>1022.274389807265</v>
      </c>
      <c r="S3008" s="16" t="n">
        <v>0.5</v>
      </c>
      <c r="T3008" s="16" t="n">
        <v>0.9224916747106672</v>
      </c>
      <c r="U3008" s="16" t="n">
        <v>0.521065899468379</v>
      </c>
      <c r="V3008" s="16" t="n">
        <v>0.4623021552349206</v>
      </c>
      <c r="W3008" s="16" t="n">
        <v>0.5201145100609968</v>
      </c>
      <c r="X3008" s="16" t="n">
        <v>0.8784157959492287</v>
      </c>
      <c r="Y3008" s="16" t="n">
        <v>302.58136184317</v>
      </c>
      <c r="Z3008" s="16" t="n">
        <v>10.48238767787894</v>
      </c>
      <c r="AA3008" s="16" t="n">
        <v>115.5969854084867</v>
      </c>
      <c r="AB3008" s="16" t="n">
        <v>3786.067568232236</v>
      </c>
      <c r="AC3008" s="16" t="n">
        <v>4.703572745225522</v>
      </c>
      <c r="AD3008" s="16" t="n"/>
      <c r="AE3008" s="16" t="n"/>
    </row>
    <row r="3009">
      <c r="A3009" s="16" t="inlineStr">
        <is>
          <t>KF-M07-A5-0075</t>
        </is>
      </c>
      <c r="B3009" s="16" t="inlineStr">
        <is>
          <t>5.1</t>
        </is>
      </c>
      <c r="C3009" s="16" t="inlineStr">
        <is>
          <t>5.1e</t>
        </is>
      </c>
      <c r="D3009" s="16" t="inlineStr">
        <is>
          <t>conserva su fuente y su x_b</t>
        </is>
      </c>
      <c r="E3009" s="16" t="inlineStr">
        <is>
          <t>KF-M07</t>
        </is>
      </c>
      <c r="F3009" s="16" t="inlineStr">
        <is>
          <t>KF-M07-A5</t>
        </is>
      </c>
      <c r="G3009" s="16" t="inlineStr">
        <is>
          <t>B11-A5</t>
        </is>
      </c>
      <c r="H3009" s="16" t="inlineStr">
        <is>
          <t>busqueda</t>
        </is>
      </c>
      <c r="I3009" s="16" t="inlineStr">
        <is>
          <t>CORREGIBLE</t>
        </is>
      </c>
      <c r="J3009" s="16" t="inlineStr">
        <is>
          <t>CORREGIBLE</t>
        </is>
      </c>
      <c r="K3009" s="16" t="b">
        <v>1</v>
      </c>
      <c r="L3009" s="16" t="b">
        <v>0</v>
      </c>
      <c r="M3009" s="16" t="b">
        <v>1</v>
      </c>
      <c r="N3009" s="16" t="b">
        <v>0</v>
      </c>
      <c r="O3009" s="16" t="n">
        <v>623.15</v>
      </c>
      <c r="P3009" s="16" t="n">
        <v>302.58136184317</v>
      </c>
      <c r="Q3009" s="16" t="n">
        <v>4808.3419580395</v>
      </c>
      <c r="R3009" s="16" t="n">
        <v>1022.274389807265</v>
      </c>
      <c r="S3009" s="16" t="n">
        <v>0.5</v>
      </c>
      <c r="T3009" s="16" t="n">
        <v>0.9224916747106672</v>
      </c>
      <c r="U3009" s="16" t="n">
        <v>0.5760658994683791</v>
      </c>
      <c r="V3009" s="16" t="n">
        <v>0.5173021552349206</v>
      </c>
      <c r="W3009" s="16" t="n">
        <v>0.5201145100609968</v>
      </c>
      <c r="X3009" s="16" t="n">
        <v>0.8784157959492287</v>
      </c>
      <c r="Y3009" s="16" t="n">
        <v>302.58136184317</v>
      </c>
      <c r="Z3009" s="16" t="n">
        <v>10.91549995562785</v>
      </c>
      <c r="AA3009" s="16" t="n">
        <v>135.022035760822</v>
      </c>
      <c r="AB3009" s="16" t="n">
        <v>3786.067568232236</v>
      </c>
      <c r="AC3009" s="16" t="n">
        <v>4.703572745225522</v>
      </c>
      <c r="AD3009" s="16" t="inlineStr">
        <is>
          <t>O1</t>
        </is>
      </c>
      <c r="AE3009" s="16" t="n"/>
    </row>
    <row r="3010">
      <c r="A3010" s="16" t="inlineStr">
        <is>
          <t>KF-M07-A5-0076</t>
        </is>
      </c>
      <c r="B3010" s="16" t="inlineStr">
        <is>
          <t>5.1</t>
        </is>
      </c>
      <c r="C3010" s="16" t="inlineStr">
        <is>
          <t>5.1e</t>
        </is>
      </c>
      <c r="D3010" s="16" t="inlineStr">
        <is>
          <t>conserva su fuente y su x_b</t>
        </is>
      </c>
      <c r="E3010" s="16" t="inlineStr">
        <is>
          <t>KF-M07</t>
        </is>
      </c>
      <c r="F3010" s="16" t="inlineStr">
        <is>
          <t>KF-M07-A5</t>
        </is>
      </c>
      <c r="G3010" s="16" t="inlineStr">
        <is>
          <t>B11-A5</t>
        </is>
      </c>
      <c r="H3010" s="16" t="inlineStr">
        <is>
          <t>busqueda</t>
        </is>
      </c>
      <c r="I3010" s="16" t="inlineStr">
        <is>
          <t>KALINA</t>
        </is>
      </c>
      <c r="J3010" s="16" t="inlineStr">
        <is>
          <t>KALINA</t>
        </is>
      </c>
      <c r="K3010" s="16" t="b">
        <v>1</v>
      </c>
      <c r="L3010" s="16" t="b">
        <v>0</v>
      </c>
      <c r="M3010" s="16" t="b">
        <v>1</v>
      </c>
      <c r="N3010" s="16" t="b">
        <v>0</v>
      </c>
      <c r="O3010" s="16" t="n">
        <v>623.15</v>
      </c>
      <c r="P3010" s="16" t="n">
        <v>302.58136184317</v>
      </c>
      <c r="Q3010" s="16" t="n">
        <v>4808.3419580395</v>
      </c>
      <c r="R3010" s="16" t="n">
        <v>1022.274389807265</v>
      </c>
      <c r="S3010" s="16" t="n">
        <v>0.5</v>
      </c>
      <c r="T3010" s="16" t="n">
        <v>0.9224916747106672</v>
      </c>
      <c r="U3010" s="16" t="n">
        <v>0.5760658994683791</v>
      </c>
      <c r="V3010" s="16" t="n">
        <v>0.4073021552349206</v>
      </c>
      <c r="W3010" s="16" t="n">
        <v>0.5201145100609968</v>
      </c>
      <c r="X3010" s="16" t="n">
        <v>0.8784157959492287</v>
      </c>
      <c r="Y3010" s="16" t="n">
        <v>302.58136184317</v>
      </c>
      <c r="Z3010" s="16" t="n">
        <v>10.08984024079818</v>
      </c>
      <c r="AA3010" s="16" t="n">
        <v>97.9136002877612</v>
      </c>
      <c r="AB3010" s="16" t="n">
        <v>3786.067568232236</v>
      </c>
      <c r="AC3010" s="16" t="n">
        <v>4.703572745225522</v>
      </c>
      <c r="AD3010" s="16" t="n"/>
      <c r="AE3010" s="16" t="n"/>
    </row>
    <row r="3011">
      <c r="A3011" s="16" t="inlineStr">
        <is>
          <t>KF-M07-A5-0077</t>
        </is>
      </c>
      <c r="B3011" s="16" t="inlineStr">
        <is>
          <t>5.1</t>
        </is>
      </c>
      <c r="C3011" s="16" t="inlineStr">
        <is>
          <t>5.1e</t>
        </is>
      </c>
      <c r="D3011" s="16" t="inlineStr">
        <is>
          <t>conserva su fuente y su x_b</t>
        </is>
      </c>
      <c r="E3011" s="16" t="inlineStr">
        <is>
          <t>KF-M07</t>
        </is>
      </c>
      <c r="F3011" s="16" t="inlineStr">
        <is>
          <t>KF-M07-A5</t>
        </is>
      </c>
      <c r="G3011" s="16" t="inlineStr">
        <is>
          <t>B11-A5</t>
        </is>
      </c>
      <c r="H3011" s="16" t="inlineStr">
        <is>
          <t>busqueda</t>
        </is>
      </c>
      <c r="I3011" s="16" t="inlineStr">
        <is>
          <t>KALINA</t>
        </is>
      </c>
      <c r="J3011" s="16" t="inlineStr">
        <is>
          <t>KALINA</t>
        </is>
      </c>
      <c r="K3011" s="16" t="b">
        <v>1</v>
      </c>
      <c r="L3011" s="16" t="b">
        <v>0</v>
      </c>
      <c r="M3011" s="16" t="b">
        <v>1</v>
      </c>
      <c r="N3011" s="16" t="b">
        <v>0</v>
      </c>
      <c r="O3011" s="16" t="n">
        <v>623.15</v>
      </c>
      <c r="P3011" s="16" t="n">
        <v>302.58136184317</v>
      </c>
      <c r="Q3011" s="16" t="n">
        <v>4808.3419580395</v>
      </c>
      <c r="R3011" s="16" t="n">
        <v>1022.274389807265</v>
      </c>
      <c r="S3011" s="16" t="n">
        <v>0.5</v>
      </c>
      <c r="T3011" s="16" t="n">
        <v>0.9224916747106672</v>
      </c>
      <c r="U3011" s="16" t="n">
        <v>0.5760658994683791</v>
      </c>
      <c r="V3011" s="16" t="n">
        <v>0.4623021552349206</v>
      </c>
      <c r="W3011" s="16" t="n">
        <v>0.5751145100609969</v>
      </c>
      <c r="X3011" s="16" t="n">
        <v>0.8784157959492287</v>
      </c>
      <c r="Y3011" s="16" t="n">
        <v>302.58136184317</v>
      </c>
      <c r="Z3011" s="16" t="n">
        <v>10.73374388365607</v>
      </c>
      <c r="AA3011" s="16" t="n">
        <v>117.6305348053192</v>
      </c>
      <c r="AB3011" s="16" t="n">
        <v>3786.067568232236</v>
      </c>
      <c r="AC3011" s="16" t="n">
        <v>4.703572745225522</v>
      </c>
      <c r="AD3011" s="16" t="n"/>
      <c r="AE3011" s="16" t="n"/>
    </row>
    <row r="3012">
      <c r="A3012" s="16" t="inlineStr">
        <is>
          <t>KF-M07-A5-0078</t>
        </is>
      </c>
      <c r="B3012" s="16" t="inlineStr">
        <is>
          <t>5.1</t>
        </is>
      </c>
      <c r="C3012" s="16" t="inlineStr">
        <is>
          <t>5.1e</t>
        </is>
      </c>
      <c r="D3012" s="16" t="inlineStr">
        <is>
          <t>conserva su fuente y su x_b</t>
        </is>
      </c>
      <c r="E3012" s="16" t="inlineStr">
        <is>
          <t>KF-M07</t>
        </is>
      </c>
      <c r="F3012" s="16" t="inlineStr">
        <is>
          <t>KF-M07-A5</t>
        </is>
      </c>
      <c r="G3012" s="16" t="inlineStr">
        <is>
          <t>B11-A5</t>
        </is>
      </c>
      <c r="H3012" s="16" t="inlineStr">
        <is>
          <t>busqueda</t>
        </is>
      </c>
      <c r="I3012" s="16" t="inlineStr">
        <is>
          <t>KALINA</t>
        </is>
      </c>
      <c r="J3012" s="16" t="inlineStr">
        <is>
          <t>KALINA</t>
        </is>
      </c>
      <c r="K3012" s="16" t="b">
        <v>1</v>
      </c>
      <c r="L3012" s="16" t="b">
        <v>0</v>
      </c>
      <c r="M3012" s="16" t="b">
        <v>1</v>
      </c>
      <c r="N3012" s="16" t="b">
        <v>0</v>
      </c>
      <c r="O3012" s="16" t="n">
        <v>623.15</v>
      </c>
      <c r="P3012" s="16" t="n">
        <v>302.58136184317</v>
      </c>
      <c r="Q3012" s="16" t="n">
        <v>4808.3419580395</v>
      </c>
      <c r="R3012" s="16" t="n">
        <v>1022.274389807265</v>
      </c>
      <c r="S3012" s="16" t="n">
        <v>0.5</v>
      </c>
      <c r="T3012" s="16" t="n">
        <v>0.9224916747106672</v>
      </c>
      <c r="U3012" s="16" t="n">
        <v>0.5760658994683791</v>
      </c>
      <c r="V3012" s="16" t="n">
        <v>0.4623021552349206</v>
      </c>
      <c r="W3012" s="16" t="n">
        <v>0.4651145100609968</v>
      </c>
      <c r="X3012" s="16" t="n">
        <v>0.8784157959492287</v>
      </c>
      <c r="Y3012" s="16" t="n">
        <v>302.58136184317</v>
      </c>
      <c r="Z3012" s="16" t="n">
        <v>10.37529860248645</v>
      </c>
      <c r="AA3012" s="16" t="n">
        <v>115.2019415921935</v>
      </c>
      <c r="AB3012" s="16" t="n">
        <v>3786.067568232236</v>
      </c>
      <c r="AC3012" s="16" t="n">
        <v>4.703572745225522</v>
      </c>
      <c r="AD3012" s="16" t="n"/>
      <c r="AE3012" s="16" t="n"/>
    </row>
    <row r="3013">
      <c r="A3013" s="16" t="inlineStr">
        <is>
          <t>KF-M07-A5-0079</t>
        </is>
      </c>
      <c r="B3013" s="16" t="inlineStr">
        <is>
          <t>5.1</t>
        </is>
      </c>
      <c r="C3013" s="16" t="inlineStr">
        <is>
          <t>5.1e</t>
        </is>
      </c>
      <c r="D3013" s="16" t="inlineStr">
        <is>
          <t>conserva su fuente y su x_b</t>
        </is>
      </c>
      <c r="E3013" s="16" t="inlineStr">
        <is>
          <t>KF-M07</t>
        </is>
      </c>
      <c r="F3013" s="16" t="inlineStr">
        <is>
          <t>KF-M07-A5</t>
        </is>
      </c>
      <c r="G3013" s="16" t="inlineStr">
        <is>
          <t>B11-A5</t>
        </is>
      </c>
      <c r="H3013" s="16" t="inlineStr">
        <is>
          <t>busqueda</t>
        </is>
      </c>
      <c r="I3013" s="16" t="inlineStr">
        <is>
          <t>KALINA</t>
        </is>
      </c>
      <c r="J3013" s="16" t="inlineStr">
        <is>
          <t>KALINA</t>
        </is>
      </c>
      <c r="K3013" s="16" t="b">
        <v>1</v>
      </c>
      <c r="L3013" s="16" t="b">
        <v>0</v>
      </c>
      <c r="M3013" s="16" t="b">
        <v>1</v>
      </c>
      <c r="N3013" s="16" t="b">
        <v>0</v>
      </c>
      <c r="O3013" s="16" t="n">
        <v>623.15</v>
      </c>
      <c r="P3013" s="16" t="n">
        <v>302.58136184317</v>
      </c>
      <c r="Q3013" s="16" t="n">
        <v>4808.3419580395</v>
      </c>
      <c r="R3013" s="16" t="n">
        <v>1022.274389807265</v>
      </c>
      <c r="S3013" s="16" t="n">
        <v>0.5</v>
      </c>
      <c r="T3013" s="16" t="n">
        <v>0.9224916747106672</v>
      </c>
      <c r="U3013" s="16" t="n">
        <v>0.5760658994683791</v>
      </c>
      <c r="V3013" s="16" t="n">
        <v>0.4623021552349206</v>
      </c>
      <c r="W3013" s="16" t="n">
        <v>0.5201145100609968</v>
      </c>
      <c r="X3013" s="16" t="n">
        <v>0.9334157959492286</v>
      </c>
      <c r="Y3013" s="16" t="n">
        <v>302.58136184317</v>
      </c>
      <c r="Z3013" s="16" t="n">
        <v>10.05776558407294</v>
      </c>
      <c r="AA3013" s="16" t="n">
        <v>113.0534817003707</v>
      </c>
      <c r="AB3013" s="16" t="n">
        <v>3786.067568232236</v>
      </c>
      <c r="AC3013" s="16" t="n">
        <v>4.703572745225522</v>
      </c>
      <c r="AD3013" s="16" t="n"/>
      <c r="AE3013" s="16" t="n"/>
    </row>
    <row r="3014">
      <c r="A3014" s="16" t="inlineStr">
        <is>
          <t>KF-M07-A5-0080</t>
        </is>
      </c>
      <c r="B3014" s="16" t="inlineStr">
        <is>
          <t>5.1</t>
        </is>
      </c>
      <c r="C3014" s="16" t="inlineStr">
        <is>
          <t>5.1e</t>
        </is>
      </c>
      <c r="D3014" s="16" t="inlineStr">
        <is>
          <t>conserva su fuente y su x_b</t>
        </is>
      </c>
      <c r="E3014" s="16" t="inlineStr">
        <is>
          <t>KF-M07</t>
        </is>
      </c>
      <c r="F3014" s="16" t="inlineStr">
        <is>
          <t>KF-M07-A5</t>
        </is>
      </c>
      <c r="G3014" s="16" t="inlineStr">
        <is>
          <t>B11-A5</t>
        </is>
      </c>
      <c r="H3014" s="16" t="inlineStr">
        <is>
          <t>busqueda</t>
        </is>
      </c>
      <c r="I3014" s="16" t="inlineStr">
        <is>
          <t>CORREGIBLE</t>
        </is>
      </c>
      <c r="J3014" s="16" t="inlineStr">
        <is>
          <t>CORREGIBLE</t>
        </is>
      </c>
      <c r="K3014" s="16" t="b">
        <v>1</v>
      </c>
      <c r="L3014" s="16" t="b">
        <v>0</v>
      </c>
      <c r="M3014" s="16" t="b">
        <v>1</v>
      </c>
      <c r="N3014" s="16" t="b">
        <v>0</v>
      </c>
      <c r="O3014" s="16" t="n">
        <v>623.15</v>
      </c>
      <c r="P3014" s="16" t="n">
        <v>302.58136184317</v>
      </c>
      <c r="Q3014" s="16" t="n">
        <v>4808.3419580395</v>
      </c>
      <c r="R3014" s="16" t="n">
        <v>1022.274389807265</v>
      </c>
      <c r="S3014" s="16" t="n">
        <v>0.5</v>
      </c>
      <c r="T3014" s="16" t="n">
        <v>0.9224916747106672</v>
      </c>
      <c r="U3014" s="16" t="n">
        <v>0.5760658994683791</v>
      </c>
      <c r="V3014" s="16" t="n">
        <v>0.4623021552349206</v>
      </c>
      <c r="W3014" s="16" t="n">
        <v>0.5201145100609968</v>
      </c>
      <c r="X3014" s="16" t="n">
        <v>0.8234157959492288</v>
      </c>
      <c r="Y3014" s="16" t="n">
        <v>302.58136184317</v>
      </c>
      <c r="Z3014" s="16" t="n">
        <v>11.04609704145114</v>
      </c>
      <c r="AA3014" s="16" t="n">
        <v>119.2797451112517</v>
      </c>
      <c r="AB3014" s="16" t="n">
        <v>3786.067568232236</v>
      </c>
      <c r="AC3014" s="16" t="n">
        <v>4.703572745225522</v>
      </c>
      <c r="AD3014" s="16" t="inlineStr">
        <is>
          <t>O2</t>
        </is>
      </c>
      <c r="AE3014" s="16" t="n"/>
    </row>
    <row r="3015">
      <c r="A3015" s="16" t="inlineStr">
        <is>
          <t>KF-M07-A5-0081</t>
        </is>
      </c>
      <c r="B3015" s="16" t="inlineStr">
        <is>
          <t>5.1</t>
        </is>
      </c>
      <c r="C3015" s="16" t="inlineStr">
        <is>
          <t>5.1e</t>
        </is>
      </c>
      <c r="D3015" s="16" t="inlineStr">
        <is>
          <t>conserva su fuente y su x_b</t>
        </is>
      </c>
      <c r="E3015" s="16" t="inlineStr">
        <is>
          <t>KF-M07</t>
        </is>
      </c>
      <c r="F3015" s="16" t="inlineStr">
        <is>
          <t>KF-M07-A5</t>
        </is>
      </c>
      <c r="G3015" s="16" t="inlineStr">
        <is>
          <t>B11-A5</t>
        </is>
      </c>
      <c r="H3015" s="16" t="inlineStr">
        <is>
          <t>busqueda</t>
        </is>
      </c>
      <c r="I3015" s="16" t="inlineStr">
        <is>
          <t>KALINA</t>
        </is>
      </c>
      <c r="J3015" s="16" t="inlineStr">
        <is>
          <t>KALINA</t>
        </is>
      </c>
      <c r="K3015" s="16" t="b">
        <v>1</v>
      </c>
      <c r="L3015" s="16" t="b">
        <v>0</v>
      </c>
      <c r="M3015" s="16" t="b">
        <v>1</v>
      </c>
      <c r="N3015" s="16" t="b">
        <v>0</v>
      </c>
      <c r="O3015" s="16" t="n">
        <v>623.15</v>
      </c>
      <c r="P3015" s="16" t="n">
        <v>303.55</v>
      </c>
      <c r="Q3015" s="16" t="n">
        <v>4808.3419580395</v>
      </c>
      <c r="R3015" s="16" t="n">
        <v>1022.274389807265</v>
      </c>
      <c r="S3015" s="16" t="n">
        <v>0.5</v>
      </c>
      <c r="T3015" s="16" t="n">
        <v>0.9224916747106672</v>
      </c>
      <c r="U3015" s="16" t="n">
        <v>0.5760658994683791</v>
      </c>
      <c r="V3015" s="16" t="n">
        <v>0.4623021552349206</v>
      </c>
      <c r="W3015" s="16" t="n">
        <v>0.5751145100609969</v>
      </c>
      <c r="X3015" s="16" t="n">
        <v>0.8784157959492287</v>
      </c>
      <c r="Y3015" s="16" t="n">
        <v>303.55</v>
      </c>
      <c r="Z3015" s="16" t="n">
        <v>10.76678831768187</v>
      </c>
      <c r="AA3015" s="16" t="n">
        <v>117.8472808458402</v>
      </c>
      <c r="AB3015" s="16" t="n">
        <v>3786.067568232236</v>
      </c>
      <c r="AC3015" s="16" t="n">
        <v>4.703572745225522</v>
      </c>
      <c r="AD3015" s="16" t="n"/>
      <c r="AE3015" s="16" t="n"/>
    </row>
    <row r="3016">
      <c r="A3016" s="16" t="inlineStr">
        <is>
          <t>KF-M07-A5-0082</t>
        </is>
      </c>
      <c r="B3016" s="16" t="inlineStr">
        <is>
          <t>5.1</t>
        </is>
      </c>
      <c r="C3016" s="16" t="inlineStr">
        <is>
          <t>5.1e</t>
        </is>
      </c>
      <c r="D3016" s="16" t="inlineStr">
        <is>
          <t>conserva su fuente y su x_b</t>
        </is>
      </c>
      <c r="E3016" s="16" t="inlineStr">
        <is>
          <t>KF-M07</t>
        </is>
      </c>
      <c r="F3016" s="16" t="inlineStr">
        <is>
          <t>KF-M07-A5</t>
        </is>
      </c>
      <c r="G3016" s="16" t="inlineStr">
        <is>
          <t>B11-A5</t>
        </is>
      </c>
      <c r="H3016" s="16" t="inlineStr">
        <is>
          <t>busqueda</t>
        </is>
      </c>
      <c r="I3016" s="16" t="inlineStr">
        <is>
          <t>KALINA</t>
        </is>
      </c>
      <c r="J3016" s="16" t="inlineStr">
        <is>
          <t>KALINA</t>
        </is>
      </c>
      <c r="K3016" s="16" t="b">
        <v>1</v>
      </c>
      <c r="L3016" s="16" t="b">
        <v>0</v>
      </c>
      <c r="M3016" s="16" t="b">
        <v>1</v>
      </c>
      <c r="N3016" s="16" t="b">
        <v>0</v>
      </c>
      <c r="O3016" s="16" t="n">
        <v>623.15</v>
      </c>
      <c r="P3016" s="16" t="n">
        <v>300.0413618431699</v>
      </c>
      <c r="Q3016" s="16" t="n">
        <v>4808.3419580395</v>
      </c>
      <c r="R3016" s="16" t="n">
        <v>1022.274389807265</v>
      </c>
      <c r="S3016" s="16" t="n">
        <v>0.5</v>
      </c>
      <c r="T3016" s="16" t="n">
        <v>0.9224916747106672</v>
      </c>
      <c r="U3016" s="16" t="n">
        <v>0.5760658994683791</v>
      </c>
      <c r="V3016" s="16" t="n">
        <v>0.4623021552349206</v>
      </c>
      <c r="W3016" s="16" t="n">
        <v>0.5751145100609969</v>
      </c>
      <c r="X3016" s="16" t="n">
        <v>0.8784157959492287</v>
      </c>
      <c r="Y3016" s="16" t="n">
        <v>300.0413618431699</v>
      </c>
      <c r="Z3016" s="16" t="n">
        <v>10.64778293406377</v>
      </c>
      <c r="AA3016" s="16" t="n">
        <v>117.0641664306488</v>
      </c>
      <c r="AB3016" s="16" t="n">
        <v>3786.067568232236</v>
      </c>
      <c r="AC3016" s="16" t="n">
        <v>4.703572745225522</v>
      </c>
      <c r="AD3016" s="16" t="n"/>
      <c r="AE3016" s="16" t="n"/>
    </row>
    <row r="3017">
      <c r="A3017" s="16" t="inlineStr">
        <is>
          <t>KF-M07-A5-0083</t>
        </is>
      </c>
      <c r="B3017" s="16" t="inlineStr">
        <is>
          <t>5.1</t>
        </is>
      </c>
      <c r="C3017" s="16" t="inlineStr">
        <is>
          <t>5.1e</t>
        </is>
      </c>
      <c r="D3017" s="16" t="inlineStr">
        <is>
          <t>conserva su fuente y su x_b</t>
        </is>
      </c>
      <c r="E3017" s="16" t="inlineStr">
        <is>
          <t>KF-M07</t>
        </is>
      </c>
      <c r="F3017" s="16" t="inlineStr">
        <is>
          <t>KF-M07-A5</t>
        </is>
      </c>
      <c r="G3017" s="16" t="inlineStr">
        <is>
          <t>B11-A5</t>
        </is>
      </c>
      <c r="H3017" s="16" t="inlineStr">
        <is>
          <t>busqueda</t>
        </is>
      </c>
      <c r="I3017" s="16" t="inlineStr">
        <is>
          <t>CORREGIBLE</t>
        </is>
      </c>
      <c r="J3017" s="16" t="inlineStr">
        <is>
          <t>CORREGIBLE</t>
        </is>
      </c>
      <c r="K3017" s="16" t="b">
        <v>1</v>
      </c>
      <c r="L3017" s="16" t="b">
        <v>0</v>
      </c>
      <c r="M3017" s="16" t="b">
        <v>1</v>
      </c>
      <c r="N3017" s="16" t="b">
        <v>0</v>
      </c>
      <c r="O3017" s="16" t="n">
        <v>623.15</v>
      </c>
      <c r="P3017" s="16" t="n">
        <v>302.58136184317</v>
      </c>
      <c r="Q3017" s="16" t="n">
        <v>5000</v>
      </c>
      <c r="R3017" s="16" t="n">
        <v>1022.274389807265</v>
      </c>
      <c r="S3017" s="16" t="n">
        <v>0.5</v>
      </c>
      <c r="T3017" s="16" t="n">
        <v>0.9224916747106672</v>
      </c>
      <c r="U3017" s="16" t="n">
        <v>0.5760658994683791</v>
      </c>
      <c r="V3017" s="16" t="n">
        <v>0.4623021552349206</v>
      </c>
      <c r="W3017" s="16" t="n">
        <v>0.5751145100609969</v>
      </c>
      <c r="X3017" s="16" t="n">
        <v>0.8784157959492287</v>
      </c>
      <c r="Y3017" s="16" t="n">
        <v>302.58136184317</v>
      </c>
      <c r="Z3017" s="16" t="n">
        <v>10.91502029744059</v>
      </c>
      <c r="AA3017" s="16" t="n">
        <v>119.2622847604222</v>
      </c>
      <c r="AB3017" s="16" t="n">
        <v>3977.725610192736</v>
      </c>
      <c r="AC3017" s="16" t="n">
        <v>4.891054740149246</v>
      </c>
      <c r="AD3017" s="16" t="inlineStr">
        <is>
          <t>O1</t>
        </is>
      </c>
      <c r="AE3017" s="16" t="n"/>
    </row>
    <row r="3018">
      <c r="A3018" s="16" t="inlineStr">
        <is>
          <t>KF-M07-A5-0084</t>
        </is>
      </c>
      <c r="B3018" s="16" t="inlineStr">
        <is>
          <t>5.1</t>
        </is>
      </c>
      <c r="C3018" s="16" t="inlineStr">
        <is>
          <t>5.1e</t>
        </is>
      </c>
      <c r="D3018" s="16" t="inlineStr">
        <is>
          <t>conserva su fuente y su x_b</t>
        </is>
      </c>
      <c r="E3018" s="16" t="inlineStr">
        <is>
          <t>KF-M07</t>
        </is>
      </c>
      <c r="F3018" s="16" t="inlineStr">
        <is>
          <t>KF-M07-A5</t>
        </is>
      </c>
      <c r="G3018" s="16" t="inlineStr">
        <is>
          <t>B11-A5</t>
        </is>
      </c>
      <c r="H3018" s="16" t="inlineStr">
        <is>
          <t>busqueda</t>
        </is>
      </c>
      <c r="I3018" s="16" t="inlineStr">
        <is>
          <t>KALINA</t>
        </is>
      </c>
      <c r="J3018" s="16" t="inlineStr">
        <is>
          <t>KALINA</t>
        </is>
      </c>
      <c r="K3018" s="16" t="b">
        <v>1</v>
      </c>
      <c r="L3018" s="16" t="b">
        <v>0</v>
      </c>
      <c r="M3018" s="16" t="b">
        <v>1</v>
      </c>
      <c r="N3018" s="16" t="b">
        <v>0</v>
      </c>
      <c r="O3018" s="16" t="n">
        <v>623.15</v>
      </c>
      <c r="P3018" s="16" t="n">
        <v>302.58136184317</v>
      </c>
      <c r="Q3018" s="16" t="n">
        <v>4508.3419580395</v>
      </c>
      <c r="R3018" s="16" t="n">
        <v>1022.274389807265</v>
      </c>
      <c r="S3018" s="16" t="n">
        <v>0.5</v>
      </c>
      <c r="T3018" s="16" t="n">
        <v>0.9224916747106672</v>
      </c>
      <c r="U3018" s="16" t="n">
        <v>0.5760658994683791</v>
      </c>
      <c r="V3018" s="16" t="n">
        <v>0.4623021552349206</v>
      </c>
      <c r="W3018" s="16" t="n">
        <v>0.5751145100609969</v>
      </c>
      <c r="X3018" s="16" t="n">
        <v>0.8784157959492287</v>
      </c>
      <c r="Y3018" s="16" t="n">
        <v>302.58136184317</v>
      </c>
      <c r="Z3018" s="16" t="n">
        <v>10.42054763304371</v>
      </c>
      <c r="AA3018" s="16" t="n">
        <v>114.7301054376168</v>
      </c>
      <c r="AB3018" s="16" t="n">
        <v>3486.067568232236</v>
      </c>
      <c r="AC3018" s="16" t="n">
        <v>4.410109460816567</v>
      </c>
      <c r="AD3018" s="16" t="n"/>
      <c r="AE3018" s="16" t="n"/>
    </row>
    <row r="3019">
      <c r="A3019" s="16" t="inlineStr">
        <is>
          <t>KF-M07-A5-0085</t>
        </is>
      </c>
      <c r="B3019" s="16" t="inlineStr">
        <is>
          <t>5.1</t>
        </is>
      </c>
      <c r="C3019" s="16" t="inlineStr">
        <is>
          <t>5.1e</t>
        </is>
      </c>
      <c r="D3019" s="16" t="inlineStr">
        <is>
          <t>conserva su fuente y su x_b</t>
        </is>
      </c>
      <c r="E3019" s="16" t="inlineStr">
        <is>
          <t>KF-M07</t>
        </is>
      </c>
      <c r="F3019" s="16" t="inlineStr">
        <is>
          <t>KF-M07-A5</t>
        </is>
      </c>
      <c r="G3019" s="16" t="inlineStr">
        <is>
          <t>B11-A5</t>
        </is>
      </c>
      <c r="H3019" s="16" t="inlineStr">
        <is>
          <t>busqueda</t>
        </is>
      </c>
      <c r="I3019" s="16" t="inlineStr">
        <is>
          <t>KALINA</t>
        </is>
      </c>
      <c r="J3019" s="16" t="inlineStr">
        <is>
          <t>KALINA</t>
        </is>
      </c>
      <c r="K3019" s="16" t="b">
        <v>1</v>
      </c>
      <c r="L3019" s="16" t="b">
        <v>0</v>
      </c>
      <c r="M3019" s="16" t="b">
        <v>1</v>
      </c>
      <c r="N3019" s="16" t="b">
        <v>0</v>
      </c>
      <c r="O3019" s="16" t="n">
        <v>623.15</v>
      </c>
      <c r="P3019" s="16" t="n">
        <v>302.58136184317</v>
      </c>
      <c r="Q3019" s="16" t="n">
        <v>4808.3419580395</v>
      </c>
      <c r="R3019" s="16" t="n">
        <v>1242.274389807264</v>
      </c>
      <c r="S3019" s="16" t="n">
        <v>0.5</v>
      </c>
      <c r="T3019" s="16" t="n">
        <v>0.9224916747106672</v>
      </c>
      <c r="U3019" s="16" t="n">
        <v>0.5760658994683791</v>
      </c>
      <c r="V3019" s="16" t="n">
        <v>0.4623021552349206</v>
      </c>
      <c r="W3019" s="16" t="n">
        <v>0.5751145100609969</v>
      </c>
      <c r="X3019" s="16" t="n">
        <v>0.8784157959492287</v>
      </c>
      <c r="Y3019" s="16" t="n">
        <v>302.58136184317</v>
      </c>
      <c r="Z3019" s="16" t="n">
        <v>9.43330931079554</v>
      </c>
      <c r="AA3019" s="16" t="n">
        <v>103.3315347318638</v>
      </c>
      <c r="AB3019" s="16" t="n">
        <v>3566.067568232236</v>
      </c>
      <c r="AC3019" s="16" t="n">
        <v>3.870595737537101</v>
      </c>
      <c r="AD3019" s="16" t="n"/>
      <c r="AE3019" s="16" t="n"/>
    </row>
    <row r="3020">
      <c r="A3020" s="16" t="inlineStr">
        <is>
          <t>KF-M07-A5-0086</t>
        </is>
      </c>
      <c r="B3020" s="16" t="inlineStr">
        <is>
          <t>5.1</t>
        </is>
      </c>
      <c r="C3020" s="16" t="inlineStr">
        <is>
          <t>5.1e</t>
        </is>
      </c>
      <c r="D3020" s="16" t="inlineStr">
        <is>
          <t>conserva su fuente y su x_b</t>
        </is>
      </c>
      <c r="E3020" s="16" t="inlineStr">
        <is>
          <t>KF-M07</t>
        </is>
      </c>
      <c r="F3020" s="16" t="inlineStr">
        <is>
          <t>KF-M07-A5</t>
        </is>
      </c>
      <c r="G3020" s="16" t="inlineStr">
        <is>
          <t>B11-A5</t>
        </is>
      </c>
      <c r="H3020" s="16" t="inlineStr">
        <is>
          <t>busqueda</t>
        </is>
      </c>
      <c r="I3020" s="16" t="inlineStr">
        <is>
          <t>CORREGIBLE</t>
        </is>
      </c>
      <c r="J3020" s="16" t="inlineStr">
        <is>
          <t>CORREGIBLE</t>
        </is>
      </c>
      <c r="K3020" s="16" t="b">
        <v>1</v>
      </c>
      <c r="L3020" s="16" t="b">
        <v>0</v>
      </c>
      <c r="M3020" s="16" t="b">
        <v>1</v>
      </c>
      <c r="N3020" s="16" t="b">
        <v>0</v>
      </c>
      <c r="O3020" s="16" t="n">
        <v>623.15</v>
      </c>
      <c r="P3020" s="16" t="n">
        <v>302.58136184317</v>
      </c>
      <c r="Q3020" s="16" t="n">
        <v>4808.3419580395</v>
      </c>
      <c r="R3020" s="16" t="n">
        <v>802.2743898072646</v>
      </c>
      <c r="S3020" s="16" t="n">
        <v>0.5</v>
      </c>
      <c r="T3020" s="16" t="n">
        <v>0.9224916747106672</v>
      </c>
      <c r="U3020" s="16" t="n">
        <v>0.5760658994683791</v>
      </c>
      <c r="V3020" s="16" t="n">
        <v>0.4623021552349206</v>
      </c>
      <c r="W3020" s="16" t="n">
        <v>0.5751145100609969</v>
      </c>
      <c r="X3020" s="16" t="n">
        <v>0.8784157959492287</v>
      </c>
      <c r="Y3020" s="16" t="n">
        <v>302.58136184317</v>
      </c>
      <c r="Z3020" s="16" t="n">
        <v>12.30990097862588</v>
      </c>
      <c r="AA3020" s="16" t="n">
        <v>134.9771513219027</v>
      </c>
      <c r="AB3020" s="16" t="n">
        <v>4006.067568232236</v>
      </c>
      <c r="AC3020" s="16" t="n">
        <v>5.993388320914293</v>
      </c>
      <c r="AD3020" s="16" t="inlineStr">
        <is>
          <t>O1,O2</t>
        </is>
      </c>
      <c r="AE3020" s="16" t="n"/>
    </row>
    <row r="3021">
      <c r="A3021" s="16" t="inlineStr">
        <is>
          <t>KF-M07-A5-0087</t>
        </is>
      </c>
      <c r="B3021" s="16" t="inlineStr">
        <is>
          <t>5.1</t>
        </is>
      </c>
      <c r="C3021" s="16" t="inlineStr">
        <is>
          <t>5.1e</t>
        </is>
      </c>
      <c r="D3021" s="16" t="inlineStr">
        <is>
          <t>conserva su fuente y su x_b</t>
        </is>
      </c>
      <c r="E3021" s="16" t="inlineStr">
        <is>
          <t>KF-M07</t>
        </is>
      </c>
      <c r="F3021" s="16" t="inlineStr">
        <is>
          <t>KF-M07-A5</t>
        </is>
      </c>
      <c r="G3021" s="16" t="inlineStr">
        <is>
          <t>B11-A5</t>
        </is>
      </c>
      <c r="H3021" s="16" t="inlineStr">
        <is>
          <t>busqueda</t>
        </is>
      </c>
      <c r="I3021" s="16" t="inlineStr">
        <is>
          <t>CORREGIBLE</t>
        </is>
      </c>
      <c r="J3021" s="16" t="inlineStr">
        <is>
          <t>CORREGIBLE</t>
        </is>
      </c>
      <c r="K3021" s="16" t="b">
        <v>1</v>
      </c>
      <c r="L3021" s="16" t="b">
        <v>0</v>
      </c>
      <c r="M3021" s="16" t="b">
        <v>1</v>
      </c>
      <c r="N3021" s="16" t="b">
        <v>0</v>
      </c>
      <c r="O3021" s="16" t="n">
        <v>623.15</v>
      </c>
      <c r="P3021" s="16" t="n">
        <v>302.58136184317</v>
      </c>
      <c r="Q3021" s="16" t="n">
        <v>4808.3419580395</v>
      </c>
      <c r="R3021" s="16" t="n">
        <v>1022.274389807265</v>
      </c>
      <c r="S3021" s="16" t="n">
        <v>0.5</v>
      </c>
      <c r="T3021" s="16" t="n">
        <v>0.95</v>
      </c>
      <c r="U3021" s="16" t="n">
        <v>0.5760658994683791</v>
      </c>
      <c r="V3021" s="16" t="n">
        <v>0.4623021552349206</v>
      </c>
      <c r="W3021" s="16" t="n">
        <v>0.5751145100609969</v>
      </c>
      <c r="X3021" s="16" t="n">
        <v>0.8784157959492287</v>
      </c>
      <c r="Y3021" s="16" t="n">
        <v>302.58136184317</v>
      </c>
      <c r="Z3021" s="16" t="n">
        <v>11.07249369190287</v>
      </c>
      <c r="AA3021" s="16" t="n">
        <v>121.3601390540516</v>
      </c>
      <c r="AB3021" s="16" t="n">
        <v>3786.067568232236</v>
      </c>
      <c r="AC3021" s="16" t="n">
        <v>4.703572745225522</v>
      </c>
      <c r="AD3021" s="16" t="inlineStr">
        <is>
          <t>O1</t>
        </is>
      </c>
      <c r="AE3021" s="16" t="n"/>
    </row>
    <row r="3022">
      <c r="A3022" s="16" t="inlineStr">
        <is>
          <t>KF-M07-A5-0088</t>
        </is>
      </c>
      <c r="B3022" s="16" t="inlineStr">
        <is>
          <t>5.1</t>
        </is>
      </c>
      <c r="C3022" s="16" t="inlineStr">
        <is>
          <t>5.1e</t>
        </is>
      </c>
      <c r="D3022" s="16" t="inlineStr">
        <is>
          <t>conserva su fuente y su x_b</t>
        </is>
      </c>
      <c r="E3022" s="16" t="inlineStr">
        <is>
          <t>KF-M07</t>
        </is>
      </c>
      <c r="F3022" s="16" t="inlineStr">
        <is>
          <t>KF-M07-A5</t>
        </is>
      </c>
      <c r="G3022" s="16" t="inlineStr">
        <is>
          <t>B11-A5</t>
        </is>
      </c>
      <c r="H3022" s="16" t="inlineStr">
        <is>
          <t>busqueda</t>
        </is>
      </c>
      <c r="I3022" s="16" t="inlineStr">
        <is>
          <t>KALINA</t>
        </is>
      </c>
      <c r="J3022" s="16" t="inlineStr">
        <is>
          <t>KALINA</t>
        </is>
      </c>
      <c r="K3022" s="16" t="b">
        <v>1</v>
      </c>
      <c r="L3022" s="16" t="b">
        <v>0</v>
      </c>
      <c r="M3022" s="16" t="b">
        <v>1</v>
      </c>
      <c r="N3022" s="16" t="b">
        <v>0</v>
      </c>
      <c r="O3022" s="16" t="n">
        <v>623.15</v>
      </c>
      <c r="P3022" s="16" t="n">
        <v>302.58136184317</v>
      </c>
      <c r="Q3022" s="16" t="n">
        <v>4808.3419580395</v>
      </c>
      <c r="R3022" s="16" t="n">
        <v>1022.274389807265</v>
      </c>
      <c r="S3022" s="16" t="n">
        <v>0.5</v>
      </c>
      <c r="T3022" s="16" t="n">
        <v>0.8674916747106671</v>
      </c>
      <c r="U3022" s="16" t="n">
        <v>0.5760658994683791</v>
      </c>
      <c r="V3022" s="16" t="n">
        <v>0.4623021552349206</v>
      </c>
      <c r="W3022" s="16" t="n">
        <v>0.5751145100609969</v>
      </c>
      <c r="X3022" s="16" t="n">
        <v>0.8784157959492287</v>
      </c>
      <c r="Y3022" s="16" t="n">
        <v>302.58136184317</v>
      </c>
      <c r="Z3022" s="16" t="n">
        <v>10.05573913179167</v>
      </c>
      <c r="AA3022" s="16" t="n">
        <v>110.1689448292299</v>
      </c>
      <c r="AB3022" s="16" t="n">
        <v>3786.067568232236</v>
      </c>
      <c r="AC3022" s="16" t="n">
        <v>4.703572745225522</v>
      </c>
      <c r="AD3022" s="16" t="n"/>
      <c r="AE3022" s="16" t="n"/>
    </row>
    <row r="3023">
      <c r="A3023" s="16" t="inlineStr">
        <is>
          <t>KF-M07-A5-0089</t>
        </is>
      </c>
      <c r="B3023" s="16" t="inlineStr">
        <is>
          <t>5.1</t>
        </is>
      </c>
      <c r="C3023" s="16" t="inlineStr">
        <is>
          <t>5.1e</t>
        </is>
      </c>
      <c r="D3023" s="16" t="inlineStr">
        <is>
          <t>conserva su fuente y su x_b</t>
        </is>
      </c>
      <c r="E3023" s="16" t="inlineStr">
        <is>
          <t>KF-M07</t>
        </is>
      </c>
      <c r="F3023" s="16" t="inlineStr">
        <is>
          <t>KF-M07-A5</t>
        </is>
      </c>
      <c r="G3023" s="16" t="inlineStr">
        <is>
          <t>B11-A5</t>
        </is>
      </c>
      <c r="H3023" s="16" t="inlineStr">
        <is>
          <t>busqueda</t>
        </is>
      </c>
      <c r="I3023" s="16" t="inlineStr">
        <is>
          <t>KALINA</t>
        </is>
      </c>
      <c r="J3023" s="16" t="inlineStr">
        <is>
          <t>KALINA</t>
        </is>
      </c>
      <c r="K3023" s="16" t="b">
        <v>1</v>
      </c>
      <c r="L3023" s="16" t="b">
        <v>0</v>
      </c>
      <c r="M3023" s="16" t="b">
        <v>1</v>
      </c>
      <c r="N3023" s="16" t="b">
        <v>0</v>
      </c>
      <c r="O3023" s="16" t="n">
        <v>623.15</v>
      </c>
      <c r="P3023" s="16" t="n">
        <v>302.58136184317</v>
      </c>
      <c r="Q3023" s="16" t="n">
        <v>4808.3419580395</v>
      </c>
      <c r="R3023" s="16" t="n">
        <v>1022.274389807265</v>
      </c>
      <c r="S3023" s="16" t="n">
        <v>0.5</v>
      </c>
      <c r="T3023" s="16" t="n">
        <v>0.9224916747106672</v>
      </c>
      <c r="U3023" s="16" t="n">
        <v>0.6310658994683791</v>
      </c>
      <c r="V3023" s="16" t="n">
        <v>0.4623021552349206</v>
      </c>
      <c r="W3023" s="16" t="n">
        <v>0.5751145100609969</v>
      </c>
      <c r="X3023" s="16" t="n">
        <v>0.8784157959492287</v>
      </c>
      <c r="Y3023" s="16" t="n">
        <v>302.58136184317</v>
      </c>
      <c r="Z3023" s="16" t="n">
        <v>10.79361451309326</v>
      </c>
      <c r="AA3023" s="16" t="n">
        <v>118.3132807767193</v>
      </c>
      <c r="AB3023" s="16" t="n">
        <v>3786.067568232236</v>
      </c>
      <c r="AC3023" s="16" t="n">
        <v>4.703572745225522</v>
      </c>
      <c r="AD3023" s="16" t="n"/>
      <c r="AE3023" s="16" t="n"/>
    </row>
    <row r="3024">
      <c r="A3024" s="16" t="inlineStr">
        <is>
          <t>KF-M07-A5-0090</t>
        </is>
      </c>
      <c r="B3024" s="16" t="inlineStr">
        <is>
          <t>5.1</t>
        </is>
      </c>
      <c r="C3024" s="16" t="inlineStr">
        <is>
          <t>5.1e</t>
        </is>
      </c>
      <c r="D3024" s="16" t="inlineStr">
        <is>
          <t>conserva su fuente y su x_b</t>
        </is>
      </c>
      <c r="E3024" s="16" t="inlineStr">
        <is>
          <t>KF-M07</t>
        </is>
      </c>
      <c r="F3024" s="16" t="inlineStr">
        <is>
          <t>KF-M07-A5</t>
        </is>
      </c>
      <c r="G3024" s="16" t="inlineStr">
        <is>
          <t>B11-A5</t>
        </is>
      </c>
      <c r="H3024" s="16" t="inlineStr">
        <is>
          <t>busqueda</t>
        </is>
      </c>
      <c r="I3024" s="16" t="inlineStr">
        <is>
          <t>KALINA</t>
        </is>
      </c>
      <c r="J3024" s="16" t="inlineStr">
        <is>
          <t>KALINA</t>
        </is>
      </c>
      <c r="K3024" s="16" t="b">
        <v>1</v>
      </c>
      <c r="L3024" s="16" t="b">
        <v>0</v>
      </c>
      <c r="M3024" s="16" t="b">
        <v>1</v>
      </c>
      <c r="N3024" s="16" t="b">
        <v>0</v>
      </c>
      <c r="O3024" s="16" t="n">
        <v>623.15</v>
      </c>
      <c r="P3024" s="16" t="n">
        <v>302.58136184317</v>
      </c>
      <c r="Q3024" s="16" t="n">
        <v>4808.3419580395</v>
      </c>
      <c r="R3024" s="16" t="n">
        <v>1022.274389807265</v>
      </c>
      <c r="S3024" s="16" t="n">
        <v>0.5</v>
      </c>
      <c r="T3024" s="16" t="n">
        <v>0.9224916747106672</v>
      </c>
      <c r="U3024" s="16" t="n">
        <v>0.521065899468379</v>
      </c>
      <c r="V3024" s="16" t="n">
        <v>0.4623021552349206</v>
      </c>
      <c r="W3024" s="16" t="n">
        <v>0.5751145100609969</v>
      </c>
      <c r="X3024" s="16" t="n">
        <v>0.8784157959492287</v>
      </c>
      <c r="Y3024" s="16" t="n">
        <v>302.58136184317</v>
      </c>
      <c r="Z3024" s="16" t="n">
        <v>10.6611972306511</v>
      </c>
      <c r="AA3024" s="16" t="n">
        <v>116.8036392000708</v>
      </c>
      <c r="AB3024" s="16" t="n">
        <v>3786.067568232236</v>
      </c>
      <c r="AC3024" s="16" t="n">
        <v>4.703572745225522</v>
      </c>
      <c r="AD3024" s="16" t="n"/>
      <c r="AE3024" s="16" t="n"/>
    </row>
    <row r="3025">
      <c r="A3025" s="16" t="inlineStr">
        <is>
          <t>KF-M07-A5-0091</t>
        </is>
      </c>
      <c r="B3025" s="16" t="inlineStr">
        <is>
          <t>5.1</t>
        </is>
      </c>
      <c r="C3025" s="16" t="inlineStr">
        <is>
          <t>5.1e</t>
        </is>
      </c>
      <c r="D3025" s="16" t="inlineStr">
        <is>
          <t>conserva su fuente y su x_b</t>
        </is>
      </c>
      <c r="E3025" s="16" t="inlineStr">
        <is>
          <t>KF-M07</t>
        </is>
      </c>
      <c r="F3025" s="16" t="inlineStr">
        <is>
          <t>KF-M07-A5</t>
        </is>
      </c>
      <c r="G3025" s="16" t="inlineStr">
        <is>
          <t>B11-A5</t>
        </is>
      </c>
      <c r="H3025" s="16" t="inlineStr">
        <is>
          <t>busqueda</t>
        </is>
      </c>
      <c r="I3025" s="16" t="inlineStr">
        <is>
          <t>CORREGIBLE</t>
        </is>
      </c>
      <c r="J3025" s="16" t="inlineStr">
        <is>
          <t>CORREGIBLE</t>
        </is>
      </c>
      <c r="K3025" s="16" t="b">
        <v>1</v>
      </c>
      <c r="L3025" s="16" t="b">
        <v>0</v>
      </c>
      <c r="M3025" s="16" t="b">
        <v>1</v>
      </c>
      <c r="N3025" s="16" t="b">
        <v>0</v>
      </c>
      <c r="O3025" s="16" t="n">
        <v>623.15</v>
      </c>
      <c r="P3025" s="16" t="n">
        <v>302.58136184317</v>
      </c>
      <c r="Q3025" s="16" t="n">
        <v>4808.3419580395</v>
      </c>
      <c r="R3025" s="16" t="n">
        <v>1022.274389807265</v>
      </c>
      <c r="S3025" s="16" t="n">
        <v>0.5</v>
      </c>
      <c r="T3025" s="16" t="n">
        <v>0.9224916747106672</v>
      </c>
      <c r="U3025" s="16" t="n">
        <v>0.5760658994683791</v>
      </c>
      <c r="V3025" s="16" t="n">
        <v>0.5173021552349206</v>
      </c>
      <c r="W3025" s="16" t="n">
        <v>0.5751145100609969</v>
      </c>
      <c r="X3025" s="16" t="n">
        <v>0.8784157959492287</v>
      </c>
      <c r="Y3025" s="16" t="n">
        <v>302.58136184317</v>
      </c>
      <c r="Z3025" s="16" t="n">
        <v>11.05435711398752</v>
      </c>
      <c r="AA3025" s="16" t="n">
        <v>135.9695779907346</v>
      </c>
      <c r="AB3025" s="16" t="n">
        <v>3786.067568232236</v>
      </c>
      <c r="AC3025" s="16" t="n">
        <v>4.703572745225522</v>
      </c>
      <c r="AD3025" s="16" t="inlineStr">
        <is>
          <t>O1</t>
        </is>
      </c>
      <c r="AE3025" s="16" t="n"/>
    </row>
    <row r="3026">
      <c r="A3026" s="16" t="inlineStr">
        <is>
          <t>KF-M07-A5-0092</t>
        </is>
      </c>
      <c r="B3026" s="16" t="inlineStr">
        <is>
          <t>5.1</t>
        </is>
      </c>
      <c r="C3026" s="16" t="inlineStr">
        <is>
          <t>5.1e</t>
        </is>
      </c>
      <c r="D3026" s="16" t="inlineStr">
        <is>
          <t>conserva su fuente y su x_b</t>
        </is>
      </c>
      <c r="E3026" s="16" t="inlineStr">
        <is>
          <t>KF-M07</t>
        </is>
      </c>
      <c r="F3026" s="16" t="inlineStr">
        <is>
          <t>KF-M07-A5</t>
        </is>
      </c>
      <c r="G3026" s="16" t="inlineStr">
        <is>
          <t>B11-A5</t>
        </is>
      </c>
      <c r="H3026" s="16" t="inlineStr">
        <is>
          <t>busqueda</t>
        </is>
      </c>
      <c r="I3026" s="16" t="inlineStr">
        <is>
          <t>KALINA</t>
        </is>
      </c>
      <c r="J3026" s="16" t="inlineStr">
        <is>
          <t>KALINA</t>
        </is>
      </c>
      <c r="K3026" s="16" t="b">
        <v>1</v>
      </c>
      <c r="L3026" s="16" t="b">
        <v>0</v>
      </c>
      <c r="M3026" s="16" t="b">
        <v>1</v>
      </c>
      <c r="N3026" s="16" t="b">
        <v>0</v>
      </c>
      <c r="O3026" s="16" t="n">
        <v>623.15</v>
      </c>
      <c r="P3026" s="16" t="n">
        <v>302.58136184317</v>
      </c>
      <c r="Q3026" s="16" t="n">
        <v>4808.3419580395</v>
      </c>
      <c r="R3026" s="16" t="n">
        <v>1022.274389807265</v>
      </c>
      <c r="S3026" s="16" t="n">
        <v>0.5</v>
      </c>
      <c r="T3026" s="16" t="n">
        <v>0.9224916747106672</v>
      </c>
      <c r="U3026" s="16" t="n">
        <v>0.5760658994683791</v>
      </c>
      <c r="V3026" s="16" t="n">
        <v>0.4073021552349206</v>
      </c>
      <c r="W3026" s="16" t="n">
        <v>0.5751145100609969</v>
      </c>
      <c r="X3026" s="16" t="n">
        <v>0.8784157959492287</v>
      </c>
      <c r="Y3026" s="16" t="n">
        <v>302.58136184317</v>
      </c>
      <c r="Z3026" s="16" t="n">
        <v>10.31955207194941</v>
      </c>
      <c r="AA3026" s="16" t="n">
        <v>99.40499421320597</v>
      </c>
      <c r="AB3026" s="16" t="n">
        <v>3786.067568232236</v>
      </c>
      <c r="AC3026" s="16" t="n">
        <v>4.703572745225522</v>
      </c>
      <c r="AD3026" s="16" t="n"/>
      <c r="AE3026" s="16" t="n"/>
    </row>
    <row r="3027">
      <c r="A3027" s="16" t="inlineStr">
        <is>
          <t>KF-M07-A5-0093</t>
        </is>
      </c>
      <c r="B3027" s="16" t="inlineStr">
        <is>
          <t>5.1</t>
        </is>
      </c>
      <c r="C3027" s="16" t="inlineStr">
        <is>
          <t>5.1e</t>
        </is>
      </c>
      <c r="D3027" s="16" t="inlineStr">
        <is>
          <t>conserva su fuente y su x_b</t>
        </is>
      </c>
      <c r="E3027" s="16" t="inlineStr">
        <is>
          <t>KF-M07</t>
        </is>
      </c>
      <c r="F3027" s="16" t="inlineStr">
        <is>
          <t>KF-M07-A5</t>
        </is>
      </c>
      <c r="G3027" s="16" t="inlineStr">
        <is>
          <t>B11-A5</t>
        </is>
      </c>
      <c r="H3027" s="16" t="inlineStr">
        <is>
          <t>busqueda</t>
        </is>
      </c>
      <c r="I3027" s="16" t="inlineStr">
        <is>
          <t>KALINA</t>
        </is>
      </c>
      <c r="J3027" s="16" t="inlineStr">
        <is>
          <t>KALINA</t>
        </is>
      </c>
      <c r="K3027" s="16" t="b">
        <v>1</v>
      </c>
      <c r="L3027" s="16" t="b">
        <v>0</v>
      </c>
      <c r="M3027" s="16" t="b">
        <v>1</v>
      </c>
      <c r="N3027" s="16" t="b">
        <v>0</v>
      </c>
      <c r="O3027" s="16" t="n">
        <v>623.15</v>
      </c>
      <c r="P3027" s="16" t="n">
        <v>302.58136184317</v>
      </c>
      <c r="Q3027" s="16" t="n">
        <v>4808.3419580395</v>
      </c>
      <c r="R3027" s="16" t="n">
        <v>1022.274389807265</v>
      </c>
      <c r="S3027" s="16" t="n">
        <v>0.5</v>
      </c>
      <c r="T3027" s="16" t="n">
        <v>0.9224916747106672</v>
      </c>
      <c r="U3027" s="16" t="n">
        <v>0.5760658994683791</v>
      </c>
      <c r="V3027" s="16" t="n">
        <v>0.4623021552349206</v>
      </c>
      <c r="W3027" s="16" t="n">
        <v>0.6301145100609968</v>
      </c>
      <c r="X3027" s="16" t="n">
        <v>0.8784157959492287</v>
      </c>
      <c r="Y3027" s="16" t="n">
        <v>302.58136184317</v>
      </c>
      <c r="Z3027" s="16" t="n">
        <v>10.9137155760239</v>
      </c>
      <c r="AA3027" s="16" t="n">
        <v>118.8265889675895</v>
      </c>
      <c r="AB3027" s="16" t="n">
        <v>3786.067568232236</v>
      </c>
      <c r="AC3027" s="16" t="n">
        <v>4.703572745225522</v>
      </c>
      <c r="AD3027" s="16" t="n"/>
      <c r="AE3027" s="16" t="n"/>
    </row>
    <row r="3028">
      <c r="A3028" s="16" t="inlineStr">
        <is>
          <t>KF-M07-A5-0094</t>
        </is>
      </c>
      <c r="B3028" s="16" t="inlineStr">
        <is>
          <t>5.1</t>
        </is>
      </c>
      <c r="C3028" s="16" t="inlineStr">
        <is>
          <t>5.1e</t>
        </is>
      </c>
      <c r="D3028" s="16" t="inlineStr">
        <is>
          <t>conserva su fuente y su x_b</t>
        </is>
      </c>
      <c r="E3028" s="16" t="inlineStr">
        <is>
          <t>KF-M07</t>
        </is>
      </c>
      <c r="F3028" s="16" t="inlineStr">
        <is>
          <t>KF-M07-A5</t>
        </is>
      </c>
      <c r="G3028" s="16" t="inlineStr">
        <is>
          <t>B11-A5</t>
        </is>
      </c>
      <c r="H3028" s="16" t="inlineStr">
        <is>
          <t>busqueda</t>
        </is>
      </c>
      <c r="I3028" s="16" t="inlineStr">
        <is>
          <t>KALINA</t>
        </is>
      </c>
      <c r="J3028" s="16" t="inlineStr">
        <is>
          <t>KALINA</t>
        </is>
      </c>
      <c r="K3028" s="16" t="b">
        <v>1</v>
      </c>
      <c r="L3028" s="16" t="b">
        <v>0</v>
      </c>
      <c r="M3028" s="16" t="b">
        <v>1</v>
      </c>
      <c r="N3028" s="16" t="b">
        <v>0</v>
      </c>
      <c r="O3028" s="16" t="n">
        <v>623.15</v>
      </c>
      <c r="P3028" s="16" t="n">
        <v>302.58136184317</v>
      </c>
      <c r="Q3028" s="16" t="n">
        <v>4808.3419580395</v>
      </c>
      <c r="R3028" s="16" t="n">
        <v>1022.274389807265</v>
      </c>
      <c r="S3028" s="16" t="n">
        <v>0.5</v>
      </c>
      <c r="T3028" s="16" t="n">
        <v>0.9224916747106672</v>
      </c>
      <c r="U3028" s="16" t="n">
        <v>0.5760658994683791</v>
      </c>
      <c r="V3028" s="16" t="n">
        <v>0.4623021552349206</v>
      </c>
      <c r="W3028" s="16" t="n">
        <v>0.5201145100609968</v>
      </c>
      <c r="X3028" s="16" t="n">
        <v>0.8784157959492287</v>
      </c>
      <c r="Y3028" s="16" t="n">
        <v>302.58136184317</v>
      </c>
      <c r="Z3028" s="16" t="n">
        <v>10.55425600687045</v>
      </c>
      <c r="AA3028" s="16" t="n">
        <v>116.422273350076</v>
      </c>
      <c r="AB3028" s="16" t="n">
        <v>3786.067568232236</v>
      </c>
      <c r="AC3028" s="16" t="n">
        <v>4.703572745225522</v>
      </c>
      <c r="AD3028" s="16" t="n"/>
      <c r="AE3028" s="16" t="n"/>
    </row>
    <row r="3029">
      <c r="A3029" s="16" t="inlineStr">
        <is>
          <t>KF-M07-A5-0095</t>
        </is>
      </c>
      <c r="B3029" s="16" t="inlineStr">
        <is>
          <t>5.1</t>
        </is>
      </c>
      <c r="C3029" s="16" t="inlineStr">
        <is>
          <t>5.1e</t>
        </is>
      </c>
      <c r="D3029" s="16" t="inlineStr">
        <is>
          <t>conserva su fuente y su x_b</t>
        </is>
      </c>
      <c r="E3029" s="16" t="inlineStr">
        <is>
          <t>KF-M07</t>
        </is>
      </c>
      <c r="F3029" s="16" t="inlineStr">
        <is>
          <t>KF-M07-A5</t>
        </is>
      </c>
      <c r="G3029" s="16" t="inlineStr">
        <is>
          <t>B11-A5</t>
        </is>
      </c>
      <c r="H3029" s="16" t="inlineStr">
        <is>
          <t>busqueda</t>
        </is>
      </c>
      <c r="I3029" s="16" t="inlineStr">
        <is>
          <t>KALINA</t>
        </is>
      </c>
      <c r="J3029" s="16" t="inlineStr">
        <is>
          <t>KALINA</t>
        </is>
      </c>
      <c r="K3029" s="16" t="b">
        <v>1</v>
      </c>
      <c r="L3029" s="16" t="b">
        <v>0</v>
      </c>
      <c r="M3029" s="16" t="b">
        <v>1</v>
      </c>
      <c r="N3029" s="16" t="b">
        <v>0</v>
      </c>
      <c r="O3029" s="16" t="n">
        <v>623.15</v>
      </c>
      <c r="P3029" s="16" t="n">
        <v>302.58136184317</v>
      </c>
      <c r="Q3029" s="16" t="n">
        <v>4808.3419580395</v>
      </c>
      <c r="R3029" s="16" t="n">
        <v>1022.274389807265</v>
      </c>
      <c r="S3029" s="16" t="n">
        <v>0.5</v>
      </c>
      <c r="T3029" s="16" t="n">
        <v>0.9224916747106672</v>
      </c>
      <c r="U3029" s="16" t="n">
        <v>0.5760658994683791</v>
      </c>
      <c r="V3029" s="16" t="n">
        <v>0.4623021552349206</v>
      </c>
      <c r="W3029" s="16" t="n">
        <v>0.5751145100609969</v>
      </c>
      <c r="X3029" s="16" t="n">
        <v>0.9334157959492286</v>
      </c>
      <c r="Y3029" s="16" t="n">
        <v>302.58136184317</v>
      </c>
      <c r="Z3029" s="16" t="n">
        <v>10.25381582184081</v>
      </c>
      <c r="AA3029" s="16" t="n">
        <v>114.4208011100503</v>
      </c>
      <c r="AB3029" s="16" t="n">
        <v>3786.067568232236</v>
      </c>
      <c r="AC3029" s="16" t="n">
        <v>4.703572745225522</v>
      </c>
      <c r="AD3029" s="16" t="n"/>
      <c r="AE3029" s="16" t="n"/>
    </row>
    <row r="3030">
      <c r="A3030" s="16" t="inlineStr">
        <is>
          <t>KF-M07-A5-0096</t>
        </is>
      </c>
      <c r="B3030" s="16" t="inlineStr">
        <is>
          <t>5.1</t>
        </is>
      </c>
      <c r="C3030" s="16" t="inlineStr">
        <is>
          <t>5.1e</t>
        </is>
      </c>
      <c r="D3030" s="16" t="inlineStr">
        <is>
          <t>conserva su fuente y su x_b</t>
        </is>
      </c>
      <c r="E3030" s="16" t="inlineStr">
        <is>
          <t>KF-M07</t>
        </is>
      </c>
      <c r="F3030" s="16" t="inlineStr">
        <is>
          <t>KF-M07-A5</t>
        </is>
      </c>
      <c r="G3030" s="16" t="inlineStr">
        <is>
          <t>B11-A5</t>
        </is>
      </c>
      <c r="H3030" s="16" t="inlineStr">
        <is>
          <t>busqueda</t>
        </is>
      </c>
      <c r="I3030" s="16" t="inlineStr">
        <is>
          <t>CORREGIBLE</t>
        </is>
      </c>
      <c r="J3030" s="16" t="inlineStr">
        <is>
          <t>CORREGIBLE</t>
        </is>
      </c>
      <c r="K3030" s="16" t="b">
        <v>1</v>
      </c>
      <c r="L3030" s="16" t="b">
        <v>0</v>
      </c>
      <c r="M3030" s="16" t="b">
        <v>1</v>
      </c>
      <c r="N3030" s="16" t="b">
        <v>0</v>
      </c>
      <c r="O3030" s="16" t="n">
        <v>623.15</v>
      </c>
      <c r="P3030" s="16" t="n">
        <v>302.58136184317</v>
      </c>
      <c r="Q3030" s="16" t="n">
        <v>4808.3419580395</v>
      </c>
      <c r="R3030" s="16" t="n">
        <v>1022.274389807265</v>
      </c>
      <c r="S3030" s="16" t="n">
        <v>0.5</v>
      </c>
      <c r="T3030" s="16" t="n">
        <v>0.9224916747106672</v>
      </c>
      <c r="U3030" s="16" t="n">
        <v>0.5760658994683791</v>
      </c>
      <c r="V3030" s="16" t="n">
        <v>0.4623021552349206</v>
      </c>
      <c r="W3030" s="16" t="n">
        <v>0.5751145100609969</v>
      </c>
      <c r="X3030" s="16" t="n">
        <v>0.8234157959492288</v>
      </c>
      <c r="Y3030" s="16" t="n">
        <v>302.58136184317</v>
      </c>
      <c r="Z3030" s="16" t="n">
        <v>11.21201281853252</v>
      </c>
      <c r="AA3030" s="16" t="n">
        <v>120.379218414657</v>
      </c>
      <c r="AB3030" s="16" t="n">
        <v>3786.067568232236</v>
      </c>
      <c r="AC3030" s="16" t="n">
        <v>4.703572745225522</v>
      </c>
      <c r="AD3030" s="16" t="inlineStr">
        <is>
          <t>O2</t>
        </is>
      </c>
      <c r="AE3030" s="16" t="n"/>
    </row>
    <row r="3031">
      <c r="A3031" s="16" t="inlineStr">
        <is>
          <t>KF-M07-A5-0097</t>
        </is>
      </c>
      <c r="B3031" s="16" t="inlineStr">
        <is>
          <t>5.1</t>
        </is>
      </c>
      <c r="C3031" s="16" t="inlineStr">
        <is>
          <t>5.1e</t>
        </is>
      </c>
      <c r="D3031" s="16" t="inlineStr">
        <is>
          <t>conserva su fuente y su x_b</t>
        </is>
      </c>
      <c r="E3031" s="16" t="inlineStr">
        <is>
          <t>KF-M07</t>
        </is>
      </c>
      <c r="F3031" s="16" t="inlineStr">
        <is>
          <t>KF-M07-A5</t>
        </is>
      </c>
      <c r="G3031" s="16" t="inlineStr">
        <is>
          <t>B11-A5</t>
        </is>
      </c>
      <c r="H3031" s="16" t="inlineStr">
        <is>
          <t>busqueda</t>
        </is>
      </c>
      <c r="I3031" s="16" t="inlineStr">
        <is>
          <t>KALINA</t>
        </is>
      </c>
      <c r="J3031" s="16" t="inlineStr">
        <is>
          <t>KALINA</t>
        </is>
      </c>
      <c r="K3031" s="16" t="b">
        <v>1</v>
      </c>
      <c r="L3031" s="16" t="b">
        <v>0</v>
      </c>
      <c r="M3031" s="16" t="b">
        <v>1</v>
      </c>
      <c r="N3031" s="16" t="b">
        <v>0</v>
      </c>
      <c r="O3031" s="16" t="n">
        <v>623.15</v>
      </c>
      <c r="P3031" s="16" t="n">
        <v>303.55</v>
      </c>
      <c r="Q3031" s="16" t="n">
        <v>4808.3419580395</v>
      </c>
      <c r="R3031" s="16" t="n">
        <v>1022.274389807265</v>
      </c>
      <c r="S3031" s="16" t="n">
        <v>0.5</v>
      </c>
      <c r="T3031" s="16" t="n">
        <v>0.9224916747106672</v>
      </c>
      <c r="U3031" s="16" t="n">
        <v>0.5760658994683791</v>
      </c>
      <c r="V3031" s="16" t="n">
        <v>0.4623021552349206</v>
      </c>
      <c r="W3031" s="16" t="n">
        <v>0.6301145100609968</v>
      </c>
      <c r="X3031" s="16" t="n">
        <v>0.8784157959492287</v>
      </c>
      <c r="Y3031" s="16" t="n">
        <v>303.55</v>
      </c>
      <c r="Z3031" s="16" t="n">
        <v>10.94594037673284</v>
      </c>
      <c r="AA3031" s="16" t="n">
        <v>119.0350907889633</v>
      </c>
      <c r="AB3031" s="16" t="n">
        <v>3786.067568232236</v>
      </c>
      <c r="AC3031" s="16" t="n">
        <v>4.703572745225522</v>
      </c>
      <c r="AD3031" s="16" t="n"/>
      <c r="AE3031" s="16" t="n"/>
    </row>
    <row r="3032">
      <c r="A3032" s="16" t="inlineStr">
        <is>
          <t>KF-M07-A5-0098</t>
        </is>
      </c>
      <c r="B3032" s="16" t="inlineStr">
        <is>
          <t>5.1</t>
        </is>
      </c>
      <c r="C3032" s="16" t="inlineStr">
        <is>
          <t>5.1e</t>
        </is>
      </c>
      <c r="D3032" s="16" t="inlineStr">
        <is>
          <t>conserva su fuente y su x_b</t>
        </is>
      </c>
      <c r="E3032" s="16" t="inlineStr">
        <is>
          <t>KF-M07</t>
        </is>
      </c>
      <c r="F3032" s="16" t="inlineStr">
        <is>
          <t>KF-M07-A5</t>
        </is>
      </c>
      <c r="G3032" s="16" t="inlineStr">
        <is>
          <t>B11-A5</t>
        </is>
      </c>
      <c r="H3032" s="16" t="inlineStr">
        <is>
          <t>busqueda</t>
        </is>
      </c>
      <c r="I3032" s="16" t="inlineStr">
        <is>
          <t>KALINA</t>
        </is>
      </c>
      <c r="J3032" s="16" t="inlineStr">
        <is>
          <t>KALINA</t>
        </is>
      </c>
      <c r="K3032" s="16" t="b">
        <v>1</v>
      </c>
      <c r="L3032" s="16" t="b">
        <v>0</v>
      </c>
      <c r="M3032" s="16" t="b">
        <v>1</v>
      </c>
      <c r="N3032" s="16" t="b">
        <v>0</v>
      </c>
      <c r="O3032" s="16" t="n">
        <v>623.15</v>
      </c>
      <c r="P3032" s="16" t="n">
        <v>300.0413618431699</v>
      </c>
      <c r="Q3032" s="16" t="n">
        <v>4808.3419580395</v>
      </c>
      <c r="R3032" s="16" t="n">
        <v>1022.274389807265</v>
      </c>
      <c r="S3032" s="16" t="n">
        <v>0.5</v>
      </c>
      <c r="T3032" s="16" t="n">
        <v>0.9224916747106672</v>
      </c>
      <c r="U3032" s="16" t="n">
        <v>0.5760658994683791</v>
      </c>
      <c r="V3032" s="16" t="n">
        <v>0.4623021552349206</v>
      </c>
      <c r="W3032" s="16" t="n">
        <v>0.6301145100609968</v>
      </c>
      <c r="X3032" s="16" t="n">
        <v>0.8784157959492287</v>
      </c>
      <c r="Y3032" s="16" t="n">
        <v>300.0413618431699</v>
      </c>
      <c r="Z3032" s="16" t="n">
        <v>10.82988831220833</v>
      </c>
      <c r="AA3032" s="16" t="n">
        <v>118.2818451159383</v>
      </c>
      <c r="AB3032" s="16" t="n">
        <v>3786.067568232236</v>
      </c>
      <c r="AC3032" s="16" t="n">
        <v>4.703572745225522</v>
      </c>
      <c r="AD3032" s="16" t="n"/>
      <c r="AE3032" s="16" t="n"/>
    </row>
    <row r="3033">
      <c r="A3033" s="16" t="inlineStr">
        <is>
          <t>KF-M07-A5-0099</t>
        </is>
      </c>
      <c r="B3033" s="16" t="inlineStr">
        <is>
          <t>5.1</t>
        </is>
      </c>
      <c r="C3033" s="16" t="inlineStr">
        <is>
          <t>5.1e</t>
        </is>
      </c>
      <c r="D3033" s="16" t="inlineStr">
        <is>
          <t>conserva su fuente y su x_b</t>
        </is>
      </c>
      <c r="E3033" s="16" t="inlineStr">
        <is>
          <t>KF-M07</t>
        </is>
      </c>
      <c r="F3033" s="16" t="inlineStr">
        <is>
          <t>KF-M07-A5</t>
        </is>
      </c>
      <c r="G3033" s="16" t="inlineStr">
        <is>
          <t>B11-A5</t>
        </is>
      </c>
      <c r="H3033" s="16" t="inlineStr">
        <is>
          <t>busqueda</t>
        </is>
      </c>
      <c r="I3033" s="16" t="inlineStr">
        <is>
          <t>CORREGIBLE</t>
        </is>
      </c>
      <c r="J3033" s="16" t="inlineStr">
        <is>
          <t>CORREGIBLE</t>
        </is>
      </c>
      <c r="K3033" s="16" t="b">
        <v>1</v>
      </c>
      <c r="L3033" s="16" t="b">
        <v>0</v>
      </c>
      <c r="M3033" s="16" t="b">
        <v>1</v>
      </c>
      <c r="N3033" s="16" t="b">
        <v>0</v>
      </c>
      <c r="O3033" s="16" t="n">
        <v>623.15</v>
      </c>
      <c r="P3033" s="16" t="n">
        <v>302.58136184317</v>
      </c>
      <c r="Q3033" s="16" t="n">
        <v>5000</v>
      </c>
      <c r="R3033" s="16" t="n">
        <v>1022.274389807265</v>
      </c>
      <c r="S3033" s="16" t="n">
        <v>0.5</v>
      </c>
      <c r="T3033" s="16" t="n">
        <v>0.9224916747106672</v>
      </c>
      <c r="U3033" s="16" t="n">
        <v>0.5760658994683791</v>
      </c>
      <c r="V3033" s="16" t="n">
        <v>0.4623021552349206</v>
      </c>
      <c r="W3033" s="16" t="n">
        <v>0.6301145100609968</v>
      </c>
      <c r="X3033" s="16" t="n">
        <v>0.8784157959492287</v>
      </c>
      <c r="Y3033" s="16" t="n">
        <v>302.58136184317</v>
      </c>
      <c r="Z3033" s="16" t="n">
        <v>11.10385492056371</v>
      </c>
      <c r="AA3033" s="16" t="n">
        <v>120.5197668218611</v>
      </c>
      <c r="AB3033" s="16" t="n">
        <v>3977.725610192736</v>
      </c>
      <c r="AC3033" s="16" t="n">
        <v>4.891054740149246</v>
      </c>
      <c r="AD3033" s="16" t="inlineStr">
        <is>
          <t>O1</t>
        </is>
      </c>
      <c r="AE3033" s="16" t="n"/>
    </row>
    <row r="3034">
      <c r="A3034" s="16" t="inlineStr">
        <is>
          <t>KF-M07-A5-0100</t>
        </is>
      </c>
      <c r="B3034" s="16" t="inlineStr">
        <is>
          <t>5.1</t>
        </is>
      </c>
      <c r="C3034" s="16" t="inlineStr">
        <is>
          <t>5.1e</t>
        </is>
      </c>
      <c r="D3034" s="16" t="inlineStr">
        <is>
          <t>conserva su fuente y su x_b</t>
        </is>
      </c>
      <c r="E3034" s="16" t="inlineStr">
        <is>
          <t>KF-M07</t>
        </is>
      </c>
      <c r="F3034" s="16" t="inlineStr">
        <is>
          <t>KF-M07-A5</t>
        </is>
      </c>
      <c r="G3034" s="16" t="inlineStr">
        <is>
          <t>B11-A5</t>
        </is>
      </c>
      <c r="H3034" s="16" t="inlineStr">
        <is>
          <t>busqueda</t>
        </is>
      </c>
      <c r="I3034" s="16" t="inlineStr">
        <is>
          <t>KALINA</t>
        </is>
      </c>
      <c r="J3034" s="16" t="inlineStr">
        <is>
          <t>KALINA</t>
        </is>
      </c>
      <c r="K3034" s="16" t="b">
        <v>1</v>
      </c>
      <c r="L3034" s="16" t="b">
        <v>0</v>
      </c>
      <c r="M3034" s="16" t="b">
        <v>1</v>
      </c>
      <c r="N3034" s="16" t="b">
        <v>0</v>
      </c>
      <c r="O3034" s="16" t="n">
        <v>623.15</v>
      </c>
      <c r="P3034" s="16" t="n">
        <v>302.58136184317</v>
      </c>
      <c r="Q3034" s="16" t="n">
        <v>4508.3419580395</v>
      </c>
      <c r="R3034" s="16" t="n">
        <v>1022.274389807265</v>
      </c>
      <c r="S3034" s="16" t="n">
        <v>0.5</v>
      </c>
      <c r="T3034" s="16" t="n">
        <v>0.9224916747106672</v>
      </c>
      <c r="U3034" s="16" t="n">
        <v>0.5760658994683791</v>
      </c>
      <c r="V3034" s="16" t="n">
        <v>0.4623021552349206</v>
      </c>
      <c r="W3034" s="16" t="n">
        <v>0.6301145100609968</v>
      </c>
      <c r="X3034" s="16" t="n">
        <v>0.8784157959492287</v>
      </c>
      <c r="Y3034" s="16" t="n">
        <v>302.58136184317</v>
      </c>
      <c r="Z3034" s="16" t="n">
        <v>10.58663555469139</v>
      </c>
      <c r="AA3034" s="16" t="n">
        <v>115.8302954077332</v>
      </c>
      <c r="AB3034" s="16" t="n">
        <v>3486.067568232236</v>
      </c>
      <c r="AC3034" s="16" t="n">
        <v>4.410109460816567</v>
      </c>
      <c r="AD3034" s="16" t="n"/>
      <c r="AE3034" s="16" t="n"/>
    </row>
    <row r="3035">
      <c r="A3035" s="16" t="inlineStr">
        <is>
          <t>KF-M07-A5-0101</t>
        </is>
      </c>
      <c r="B3035" s="16" t="inlineStr">
        <is>
          <t>5.1</t>
        </is>
      </c>
      <c r="C3035" s="16" t="inlineStr">
        <is>
          <t>5.1e</t>
        </is>
      </c>
      <c r="D3035" s="16" t="inlineStr">
        <is>
          <t>conserva su fuente y su x_b</t>
        </is>
      </c>
      <c r="E3035" s="16" t="inlineStr">
        <is>
          <t>KF-M07</t>
        </is>
      </c>
      <c r="F3035" s="16" t="inlineStr">
        <is>
          <t>KF-M07-A5</t>
        </is>
      </c>
      <c r="G3035" s="16" t="inlineStr">
        <is>
          <t>B11-A5</t>
        </is>
      </c>
      <c r="H3035" s="16" t="inlineStr">
        <is>
          <t>busqueda</t>
        </is>
      </c>
      <c r="I3035" s="16" t="inlineStr">
        <is>
          <t>KALINA</t>
        </is>
      </c>
      <c r="J3035" s="16" t="inlineStr">
        <is>
          <t>KALINA</t>
        </is>
      </c>
      <c r="K3035" s="16" t="b">
        <v>1</v>
      </c>
      <c r="L3035" s="16" t="b">
        <v>0</v>
      </c>
      <c r="M3035" s="16" t="b">
        <v>1</v>
      </c>
      <c r="N3035" s="16" t="b">
        <v>0</v>
      </c>
      <c r="O3035" s="16" t="n">
        <v>623.15</v>
      </c>
      <c r="P3035" s="16" t="n">
        <v>302.58136184317</v>
      </c>
      <c r="Q3035" s="16" t="n">
        <v>4808.3419580395</v>
      </c>
      <c r="R3035" s="16" t="n">
        <v>1242.274389807264</v>
      </c>
      <c r="S3035" s="16" t="n">
        <v>0.5</v>
      </c>
      <c r="T3035" s="16" t="n">
        <v>0.9224916747106672</v>
      </c>
      <c r="U3035" s="16" t="n">
        <v>0.5760658994683791</v>
      </c>
      <c r="V3035" s="16" t="n">
        <v>0.4623021552349206</v>
      </c>
      <c r="W3035" s="16" t="n">
        <v>0.6301145100609968</v>
      </c>
      <c r="X3035" s="16" t="n">
        <v>0.8784157959492287</v>
      </c>
      <c r="Y3035" s="16" t="n">
        <v>302.58136184317</v>
      </c>
      <c r="Z3035" s="16" t="n">
        <v>9.59162455744533</v>
      </c>
      <c r="AA3035" s="16" t="n">
        <v>104.3847463939479</v>
      </c>
      <c r="AB3035" s="16" t="n">
        <v>3566.067568232236</v>
      </c>
      <c r="AC3035" s="16" t="n">
        <v>3.870595737537101</v>
      </c>
      <c r="AD3035" s="16" t="n"/>
      <c r="AE3035" s="16" t="n"/>
    </row>
    <row r="3036">
      <c r="A3036" s="16" t="inlineStr">
        <is>
          <t>KF-M07-A5-0102</t>
        </is>
      </c>
      <c r="B3036" s="16" t="inlineStr">
        <is>
          <t>5.1</t>
        </is>
      </c>
      <c r="C3036" s="16" t="inlineStr">
        <is>
          <t>5.1e</t>
        </is>
      </c>
      <c r="D3036" s="16" t="inlineStr">
        <is>
          <t>conserva su fuente y su x_b</t>
        </is>
      </c>
      <c r="E3036" s="16" t="inlineStr">
        <is>
          <t>KF-M07</t>
        </is>
      </c>
      <c r="F3036" s="16" t="inlineStr">
        <is>
          <t>KF-M07-A5</t>
        </is>
      </c>
      <c r="G3036" s="16" t="inlineStr">
        <is>
          <t>B11-A5</t>
        </is>
      </c>
      <c r="H3036" s="16" t="inlineStr">
        <is>
          <t>busqueda</t>
        </is>
      </c>
      <c r="I3036" s="16" t="inlineStr">
        <is>
          <t>CORREGIBLE</t>
        </is>
      </c>
      <c r="J3036" s="16" t="inlineStr">
        <is>
          <t>CORREGIBLE</t>
        </is>
      </c>
      <c r="K3036" s="16" t="b">
        <v>1</v>
      </c>
      <c r="L3036" s="16" t="b">
        <v>0</v>
      </c>
      <c r="M3036" s="16" t="b">
        <v>1</v>
      </c>
      <c r="N3036" s="16" t="b">
        <v>0</v>
      </c>
      <c r="O3036" s="16" t="n">
        <v>623.15</v>
      </c>
      <c r="P3036" s="16" t="n">
        <v>302.58136184317</v>
      </c>
      <c r="Q3036" s="16" t="n">
        <v>4808.3419580395</v>
      </c>
      <c r="R3036" s="16" t="n">
        <v>802.2743898072646</v>
      </c>
      <c r="S3036" s="16" t="n">
        <v>0.5</v>
      </c>
      <c r="T3036" s="16" t="n">
        <v>0.9224916747106672</v>
      </c>
      <c r="U3036" s="16" t="n">
        <v>0.5760658994683791</v>
      </c>
      <c r="V3036" s="16" t="n">
        <v>0.4623021552349206</v>
      </c>
      <c r="W3036" s="16" t="n">
        <v>0.6301145100609968</v>
      </c>
      <c r="X3036" s="16" t="n">
        <v>0.8784157959492287</v>
      </c>
      <c r="Y3036" s="16" t="n">
        <v>302.58136184317</v>
      </c>
      <c r="Z3036" s="16" t="n">
        <v>12.51754403848055</v>
      </c>
      <c r="AA3036" s="16" t="n">
        <v>136.3623777237138</v>
      </c>
      <c r="AB3036" s="16" t="n">
        <v>4006.067568232236</v>
      </c>
      <c r="AC3036" s="16" t="n">
        <v>5.993388320914293</v>
      </c>
      <c r="AD3036" s="16" t="inlineStr">
        <is>
          <t>O1,O2</t>
        </is>
      </c>
      <c r="AE3036" s="16" t="n"/>
    </row>
    <row r="3037">
      <c r="A3037" s="16" t="inlineStr">
        <is>
          <t>KF-M07-A5-0103</t>
        </is>
      </c>
      <c r="B3037" s="16" t="inlineStr">
        <is>
          <t>5.1</t>
        </is>
      </c>
      <c r="C3037" s="16" t="inlineStr">
        <is>
          <t>5.1e</t>
        </is>
      </c>
      <c r="D3037" s="16" t="inlineStr">
        <is>
          <t>conserva su fuente y su x_b</t>
        </is>
      </c>
      <c r="E3037" s="16" t="inlineStr">
        <is>
          <t>KF-M07</t>
        </is>
      </c>
      <c r="F3037" s="16" t="inlineStr">
        <is>
          <t>KF-M07-A5</t>
        </is>
      </c>
      <c r="G3037" s="16" t="inlineStr">
        <is>
          <t>B11-A5</t>
        </is>
      </c>
      <c r="H3037" s="16" t="inlineStr">
        <is>
          <t>busqueda</t>
        </is>
      </c>
      <c r="I3037" s="16" t="inlineStr">
        <is>
          <t>CORREGIBLE</t>
        </is>
      </c>
      <c r="J3037" s="16" t="inlineStr">
        <is>
          <t>CORREGIBLE</t>
        </is>
      </c>
      <c r="K3037" s="16" t="b">
        <v>1</v>
      </c>
      <c r="L3037" s="16" t="b">
        <v>0</v>
      </c>
      <c r="M3037" s="16" t="b">
        <v>1</v>
      </c>
      <c r="N3037" s="16" t="b">
        <v>0</v>
      </c>
      <c r="O3037" s="16" t="n">
        <v>623.15</v>
      </c>
      <c r="P3037" s="16" t="n">
        <v>302.58136184317</v>
      </c>
      <c r="Q3037" s="16" t="n">
        <v>4808.3419580395</v>
      </c>
      <c r="R3037" s="16" t="n">
        <v>1022.274389807265</v>
      </c>
      <c r="S3037" s="16" t="n">
        <v>0.5</v>
      </c>
      <c r="T3037" s="16" t="n">
        <v>0.95</v>
      </c>
      <c r="U3037" s="16" t="n">
        <v>0.5760658994683791</v>
      </c>
      <c r="V3037" s="16" t="n">
        <v>0.4623021552349206</v>
      </c>
      <c r="W3037" s="16" t="n">
        <v>0.6301145100609968</v>
      </c>
      <c r="X3037" s="16" t="n">
        <v>0.8784157959492287</v>
      </c>
      <c r="Y3037" s="16" t="n">
        <v>302.58136184317</v>
      </c>
      <c r="Z3037" s="16" t="n">
        <v>11.25803363613821</v>
      </c>
      <c r="AA3037" s="16" t="n">
        <v>122.5925270750881</v>
      </c>
      <c r="AB3037" s="16" t="n">
        <v>3786.067568232236</v>
      </c>
      <c r="AC3037" s="16" t="n">
        <v>4.703572745225522</v>
      </c>
      <c r="AD3037" s="16" t="inlineStr">
        <is>
          <t>O1</t>
        </is>
      </c>
      <c r="AE3037" s="16" t="n"/>
    </row>
    <row r="3038">
      <c r="A3038" s="16" t="inlineStr">
        <is>
          <t>KF-M07-A5-0104</t>
        </is>
      </c>
      <c r="B3038" s="16" t="inlineStr">
        <is>
          <t>5.1</t>
        </is>
      </c>
      <c r="C3038" s="16" t="inlineStr">
        <is>
          <t>5.1e</t>
        </is>
      </c>
      <c r="D3038" s="16" t="inlineStr">
        <is>
          <t>conserva su fuente y su x_b</t>
        </is>
      </c>
      <c r="E3038" s="16" t="inlineStr">
        <is>
          <t>KF-M07</t>
        </is>
      </c>
      <c r="F3038" s="16" t="inlineStr">
        <is>
          <t>KF-M07-A5</t>
        </is>
      </c>
      <c r="G3038" s="16" t="inlineStr">
        <is>
          <t>B11-A5</t>
        </is>
      </c>
      <c r="H3038" s="16" t="inlineStr">
        <is>
          <t>busqueda</t>
        </is>
      </c>
      <c r="I3038" s="16" t="inlineStr">
        <is>
          <t>KALINA</t>
        </is>
      </c>
      <c r="J3038" s="16" t="inlineStr">
        <is>
          <t>KALINA</t>
        </is>
      </c>
      <c r="K3038" s="16" t="b">
        <v>1</v>
      </c>
      <c r="L3038" s="16" t="b">
        <v>0</v>
      </c>
      <c r="M3038" s="16" t="b">
        <v>1</v>
      </c>
      <c r="N3038" s="16" t="b">
        <v>0</v>
      </c>
      <c r="O3038" s="16" t="n">
        <v>623.15</v>
      </c>
      <c r="P3038" s="16" t="n">
        <v>302.58136184317</v>
      </c>
      <c r="Q3038" s="16" t="n">
        <v>4808.3419580395</v>
      </c>
      <c r="R3038" s="16" t="n">
        <v>1022.274389807265</v>
      </c>
      <c r="S3038" s="16" t="n">
        <v>0.5</v>
      </c>
      <c r="T3038" s="16" t="n">
        <v>0.8674916747106671</v>
      </c>
      <c r="U3038" s="16" t="n">
        <v>0.5760658994683791</v>
      </c>
      <c r="V3038" s="16" t="n">
        <v>0.4623021552349206</v>
      </c>
      <c r="W3038" s="16" t="n">
        <v>0.6301145100609968</v>
      </c>
      <c r="X3038" s="16" t="n">
        <v>0.8784157959492287</v>
      </c>
      <c r="Y3038" s="16" t="n">
        <v>302.58136184317</v>
      </c>
      <c r="Z3038" s="16" t="n">
        <v>10.22458806079233</v>
      </c>
      <c r="AA3038" s="16" t="n">
        <v>111.2924795771858</v>
      </c>
      <c r="AB3038" s="16" t="n">
        <v>3786.067568232236</v>
      </c>
      <c r="AC3038" s="16" t="n">
        <v>4.703572745225522</v>
      </c>
      <c r="AD3038" s="16" t="n"/>
      <c r="AE3038" s="16" t="n"/>
    </row>
    <row r="3039">
      <c r="A3039" s="16" t="inlineStr">
        <is>
          <t>KF-M07-A5-0105</t>
        </is>
      </c>
      <c r="B3039" s="16" t="inlineStr">
        <is>
          <t>5.1</t>
        </is>
      </c>
      <c r="C3039" s="16" t="inlineStr">
        <is>
          <t>5.1e</t>
        </is>
      </c>
      <c r="D3039" s="16" t="inlineStr">
        <is>
          <t>conserva su fuente y su x_b</t>
        </is>
      </c>
      <c r="E3039" s="16" t="inlineStr">
        <is>
          <t>KF-M07</t>
        </is>
      </c>
      <c r="F3039" s="16" t="inlineStr">
        <is>
          <t>KF-M07-A5</t>
        </is>
      </c>
      <c r="G3039" s="16" t="inlineStr">
        <is>
          <t>B11-A5</t>
        </is>
      </c>
      <c r="H3039" s="16" t="inlineStr">
        <is>
          <t>busqueda</t>
        </is>
      </c>
      <c r="I3039" s="16" t="inlineStr">
        <is>
          <t>KALINA</t>
        </is>
      </c>
      <c r="J3039" s="16" t="inlineStr">
        <is>
          <t>KALINA</t>
        </is>
      </c>
      <c r="K3039" s="16" t="b">
        <v>1</v>
      </c>
      <c r="L3039" s="16" t="b">
        <v>0</v>
      </c>
      <c r="M3039" s="16" t="b">
        <v>1</v>
      </c>
      <c r="N3039" s="16" t="b">
        <v>0</v>
      </c>
      <c r="O3039" s="16" t="n">
        <v>623.15</v>
      </c>
      <c r="P3039" s="16" t="n">
        <v>302.58136184317</v>
      </c>
      <c r="Q3039" s="16" t="n">
        <v>4808.3419580395</v>
      </c>
      <c r="R3039" s="16" t="n">
        <v>1022.274389807265</v>
      </c>
      <c r="S3039" s="16" t="n">
        <v>0.5</v>
      </c>
      <c r="T3039" s="16" t="n">
        <v>0.9224916747106672</v>
      </c>
      <c r="U3039" s="16" t="n">
        <v>0.6310658994683791</v>
      </c>
      <c r="V3039" s="16" t="n">
        <v>0.4623021552349206</v>
      </c>
      <c r="W3039" s="16" t="n">
        <v>0.6301145100609968</v>
      </c>
      <c r="X3039" s="16" t="n">
        <v>0.8784157959492287</v>
      </c>
      <c r="Y3039" s="16" t="n">
        <v>302.58136184317</v>
      </c>
      <c r="Z3039" s="16" t="n">
        <v>10.9741449207242</v>
      </c>
      <c r="AA3039" s="16" t="n">
        <v>119.5106099163639</v>
      </c>
      <c r="AB3039" s="16" t="n">
        <v>3786.067568232236</v>
      </c>
      <c r="AC3039" s="16" t="n">
        <v>4.703572745225522</v>
      </c>
      <c r="AD3039" s="16" t="n"/>
      <c r="AE3039" s="16" t="n"/>
    </row>
    <row r="3040">
      <c r="A3040" s="16" t="inlineStr">
        <is>
          <t>KF-M07-A5-0106</t>
        </is>
      </c>
      <c r="B3040" s="16" t="inlineStr">
        <is>
          <t>5.1</t>
        </is>
      </c>
      <c r="C3040" s="16" t="inlineStr">
        <is>
          <t>5.1e</t>
        </is>
      </c>
      <c r="D3040" s="16" t="inlineStr">
        <is>
          <t>conserva su fuente y su x_b</t>
        </is>
      </c>
      <c r="E3040" s="16" t="inlineStr">
        <is>
          <t>KF-M07</t>
        </is>
      </c>
      <c r="F3040" s="16" t="inlineStr">
        <is>
          <t>KF-M07-A5</t>
        </is>
      </c>
      <c r="G3040" s="16" t="inlineStr">
        <is>
          <t>B11-A5</t>
        </is>
      </c>
      <c r="H3040" s="16" t="inlineStr">
        <is>
          <t>busqueda</t>
        </is>
      </c>
      <c r="I3040" s="16" t="inlineStr">
        <is>
          <t>KALINA</t>
        </is>
      </c>
      <c r="J3040" s="16" t="inlineStr">
        <is>
          <t>KALINA</t>
        </is>
      </c>
      <c r="K3040" s="16" t="b">
        <v>1</v>
      </c>
      <c r="L3040" s="16" t="b">
        <v>0</v>
      </c>
      <c r="M3040" s="16" t="b">
        <v>1</v>
      </c>
      <c r="N3040" s="16" t="b">
        <v>0</v>
      </c>
      <c r="O3040" s="16" t="n">
        <v>623.15</v>
      </c>
      <c r="P3040" s="16" t="n">
        <v>302.58136184317</v>
      </c>
      <c r="Q3040" s="16" t="n">
        <v>4808.3419580395</v>
      </c>
      <c r="R3040" s="16" t="n">
        <v>1022.274389807265</v>
      </c>
      <c r="S3040" s="16" t="n">
        <v>0.5</v>
      </c>
      <c r="T3040" s="16" t="n">
        <v>0.9224916747106672</v>
      </c>
      <c r="U3040" s="16" t="n">
        <v>0.521065899468379</v>
      </c>
      <c r="V3040" s="16" t="n">
        <v>0.4623021552349206</v>
      </c>
      <c r="W3040" s="16" t="n">
        <v>0.6301145100609968</v>
      </c>
      <c r="X3040" s="16" t="n">
        <v>0.8784157959492287</v>
      </c>
      <c r="Y3040" s="16" t="n">
        <v>302.58136184317</v>
      </c>
      <c r="Z3040" s="16" t="n">
        <v>10.84048952840703</v>
      </c>
      <c r="AA3040" s="16" t="n">
        <v>117.9981257089067</v>
      </c>
      <c r="AB3040" s="16" t="n">
        <v>3786.067568232236</v>
      </c>
      <c r="AC3040" s="16" t="n">
        <v>4.703572745225522</v>
      </c>
      <c r="AD3040" s="16" t="n"/>
      <c r="AE3040" s="16" t="n"/>
    </row>
    <row r="3041">
      <c r="A3041" s="16" t="inlineStr">
        <is>
          <t>KF-M07-A5-0107</t>
        </is>
      </c>
      <c r="B3041" s="16" t="inlineStr">
        <is>
          <t>5.1</t>
        </is>
      </c>
      <c r="C3041" s="16" t="inlineStr">
        <is>
          <t>5.1e</t>
        </is>
      </c>
      <c r="D3041" s="16" t="inlineStr">
        <is>
          <t>conserva su fuente y su x_b</t>
        </is>
      </c>
      <c r="E3041" s="16" t="inlineStr">
        <is>
          <t>KF-M07</t>
        </is>
      </c>
      <c r="F3041" s="16" t="inlineStr">
        <is>
          <t>KF-M07-A5</t>
        </is>
      </c>
      <c r="G3041" s="16" t="inlineStr">
        <is>
          <t>B11-A5</t>
        </is>
      </c>
      <c r="H3041" s="16" t="inlineStr">
        <is>
          <t>busqueda</t>
        </is>
      </c>
      <c r="I3041" s="16" t="inlineStr">
        <is>
          <t>CORREGIBLE</t>
        </is>
      </c>
      <c r="J3041" s="16" t="inlineStr">
        <is>
          <t>CORREGIBLE</t>
        </is>
      </c>
      <c r="K3041" s="16" t="b">
        <v>1</v>
      </c>
      <c r="L3041" s="16" t="b">
        <v>0</v>
      </c>
      <c r="M3041" s="16" t="b">
        <v>1</v>
      </c>
      <c r="N3041" s="16" t="b">
        <v>0</v>
      </c>
      <c r="O3041" s="16" t="n">
        <v>623.15</v>
      </c>
      <c r="P3041" s="16" t="n">
        <v>302.58136184317</v>
      </c>
      <c r="Q3041" s="16" t="n">
        <v>4808.3419580395</v>
      </c>
      <c r="R3041" s="16" t="n">
        <v>1022.274389807265</v>
      </c>
      <c r="S3041" s="16" t="n">
        <v>0.5</v>
      </c>
      <c r="T3041" s="16" t="n">
        <v>0.9224916747106672</v>
      </c>
      <c r="U3041" s="16" t="n">
        <v>0.5760658994683791</v>
      </c>
      <c r="V3041" s="16" t="n">
        <v>0.5173021552349206</v>
      </c>
      <c r="W3041" s="16" t="n">
        <v>0.6301145100609968</v>
      </c>
      <c r="X3041" s="16" t="n">
        <v>0.8784157959492287</v>
      </c>
      <c r="Y3041" s="16" t="n">
        <v>302.58136184317</v>
      </c>
      <c r="Z3041" s="16" t="n">
        <v>11.19333121652894</v>
      </c>
      <c r="AA3041" s="16" t="n">
        <v>136.9074667508612</v>
      </c>
      <c r="AB3041" s="16" t="n">
        <v>3786.067568232236</v>
      </c>
      <c r="AC3041" s="16" t="n">
        <v>4.703572745225522</v>
      </c>
      <c r="AD3041" s="16" t="inlineStr">
        <is>
          <t>O1</t>
        </is>
      </c>
      <c r="AE3041" s="16" t="n"/>
    </row>
    <row r="3042">
      <c r="A3042" s="16" t="inlineStr">
        <is>
          <t>KF-M07-A5-0108</t>
        </is>
      </c>
      <c r="B3042" s="16" t="inlineStr">
        <is>
          <t>5.1</t>
        </is>
      </c>
      <c r="C3042" s="16" t="inlineStr">
        <is>
          <t>5.1e</t>
        </is>
      </c>
      <c r="D3042" s="16" t="inlineStr">
        <is>
          <t>conserva su fuente y su x_b</t>
        </is>
      </c>
      <c r="E3042" s="16" t="inlineStr">
        <is>
          <t>KF-M07</t>
        </is>
      </c>
      <c r="F3042" s="16" t="inlineStr">
        <is>
          <t>KF-M07-A5</t>
        </is>
      </c>
      <c r="G3042" s="16" t="inlineStr">
        <is>
          <t>B11-A5</t>
        </is>
      </c>
      <c r="H3042" s="16" t="inlineStr">
        <is>
          <t>busqueda</t>
        </is>
      </c>
      <c r="I3042" s="16" t="inlineStr">
        <is>
          <t>KALINA</t>
        </is>
      </c>
      <c r="J3042" s="16" t="inlineStr">
        <is>
          <t>KALINA</t>
        </is>
      </c>
      <c r="K3042" s="16" t="b">
        <v>1</v>
      </c>
      <c r="L3042" s="16" t="b">
        <v>0</v>
      </c>
      <c r="M3042" s="16" t="b">
        <v>1</v>
      </c>
      <c r="N3042" s="16" t="b">
        <v>0</v>
      </c>
      <c r="O3042" s="16" t="n">
        <v>623.15</v>
      </c>
      <c r="P3042" s="16" t="n">
        <v>302.58136184317</v>
      </c>
      <c r="Q3042" s="16" t="n">
        <v>4808.3419580395</v>
      </c>
      <c r="R3042" s="16" t="n">
        <v>1022.274389807265</v>
      </c>
      <c r="S3042" s="16" t="n">
        <v>0.5</v>
      </c>
      <c r="T3042" s="16" t="n">
        <v>0.9224916747106672</v>
      </c>
      <c r="U3042" s="16" t="n">
        <v>0.5760658994683791</v>
      </c>
      <c r="V3042" s="16" t="n">
        <v>0.4073021552349206</v>
      </c>
      <c r="W3042" s="16" t="n">
        <v>0.6301145100609968</v>
      </c>
      <c r="X3042" s="16" t="n">
        <v>0.8784157959492287</v>
      </c>
      <c r="Y3042" s="16" t="n">
        <v>302.58136184317</v>
      </c>
      <c r="Z3042" s="16" t="n">
        <v>10.55037401280335</v>
      </c>
      <c r="AA3042" s="16" t="n">
        <v>100.8819015247383</v>
      </c>
      <c r="AB3042" s="16" t="n">
        <v>3786.067568232236</v>
      </c>
      <c r="AC3042" s="16" t="n">
        <v>4.703572745225522</v>
      </c>
      <c r="AD3042" s="16" t="n"/>
      <c r="AE3042" s="16" t="n"/>
    </row>
    <row r="3043">
      <c r="A3043" s="16" t="inlineStr">
        <is>
          <t>KF-M07-A5-0109</t>
        </is>
      </c>
      <c r="B3043" s="16" t="inlineStr">
        <is>
          <t>5.1</t>
        </is>
      </c>
      <c r="C3043" s="16" t="inlineStr">
        <is>
          <t>5.1e</t>
        </is>
      </c>
      <c r="D3043" s="16" t="inlineStr">
        <is>
          <t>conserva su fuente y su x_b</t>
        </is>
      </c>
      <c r="E3043" s="16" t="inlineStr">
        <is>
          <t>KF-M07</t>
        </is>
      </c>
      <c r="F3043" s="16" t="inlineStr">
        <is>
          <t>KF-M07-A5</t>
        </is>
      </c>
      <c r="G3043" s="16" t="inlineStr">
        <is>
          <t>B11-A5</t>
        </is>
      </c>
      <c r="H3043" s="16" t="inlineStr">
        <is>
          <t>busqueda</t>
        </is>
      </c>
      <c r="I3043" s="16" t="inlineStr">
        <is>
          <t>KALINA</t>
        </is>
      </c>
      <c r="J3043" s="16" t="inlineStr">
        <is>
          <t>KALINA</t>
        </is>
      </c>
      <c r="K3043" s="16" t="b">
        <v>1</v>
      </c>
      <c r="L3043" s="16" t="b">
        <v>0</v>
      </c>
      <c r="M3043" s="16" t="b">
        <v>1</v>
      </c>
      <c r="N3043" s="16" t="b">
        <v>0</v>
      </c>
      <c r="O3043" s="16" t="n">
        <v>623.15</v>
      </c>
      <c r="P3043" s="16" t="n">
        <v>302.58136184317</v>
      </c>
      <c r="Q3043" s="16" t="n">
        <v>4808.3419580395</v>
      </c>
      <c r="R3043" s="16" t="n">
        <v>1022.274389807265</v>
      </c>
      <c r="S3043" s="16" t="n">
        <v>0.5</v>
      </c>
      <c r="T3043" s="16" t="n">
        <v>0.9224916747106672</v>
      </c>
      <c r="U3043" s="16" t="n">
        <v>0.5760658994683791</v>
      </c>
      <c r="V3043" s="16" t="n">
        <v>0.4623021552349206</v>
      </c>
      <c r="W3043" s="16" t="n">
        <v>0.6851145100609968</v>
      </c>
      <c r="X3043" s="16" t="n">
        <v>0.8784157959492287</v>
      </c>
      <c r="Y3043" s="16" t="n">
        <v>302.58136184317</v>
      </c>
      <c r="Z3043" s="16" t="n">
        <v>11.09411449162054</v>
      </c>
      <c r="AA3043" s="16" t="n">
        <v>120.0102463384592</v>
      </c>
      <c r="AB3043" s="16" t="n">
        <v>3786.067568232236</v>
      </c>
      <c r="AC3043" s="16" t="n">
        <v>4.703572745225522</v>
      </c>
      <c r="AD3043" s="16" t="n"/>
      <c r="AE3043" s="16" t="n"/>
    </row>
    <row r="3044">
      <c r="A3044" s="16" t="inlineStr">
        <is>
          <t>KF-M07-A5-0110</t>
        </is>
      </c>
      <c r="B3044" s="16" t="inlineStr">
        <is>
          <t>5.1</t>
        </is>
      </c>
      <c r="C3044" s="16" t="inlineStr">
        <is>
          <t>5.1e</t>
        </is>
      </c>
      <c r="D3044" s="16" t="inlineStr">
        <is>
          <t>conserva su fuente y su x_b</t>
        </is>
      </c>
      <c r="E3044" s="16" t="inlineStr">
        <is>
          <t>KF-M07</t>
        </is>
      </c>
      <c r="F3044" s="16" t="inlineStr">
        <is>
          <t>KF-M07-A5</t>
        </is>
      </c>
      <c r="G3044" s="16" t="inlineStr">
        <is>
          <t>B11-A5</t>
        </is>
      </c>
      <c r="H3044" s="16" t="inlineStr">
        <is>
          <t>busqueda</t>
        </is>
      </c>
      <c r="I3044" s="16" t="inlineStr">
        <is>
          <t>KALINA</t>
        </is>
      </c>
      <c r="J3044" s="16" t="inlineStr">
        <is>
          <t>KALINA</t>
        </is>
      </c>
      <c r="K3044" s="16" t="b">
        <v>1</v>
      </c>
      <c r="L3044" s="16" t="b">
        <v>0</v>
      </c>
      <c r="M3044" s="16" t="b">
        <v>1</v>
      </c>
      <c r="N3044" s="16" t="b">
        <v>0</v>
      </c>
      <c r="O3044" s="16" t="n">
        <v>623.15</v>
      </c>
      <c r="P3044" s="16" t="n">
        <v>302.58136184317</v>
      </c>
      <c r="Q3044" s="16" t="n">
        <v>4808.3419580395</v>
      </c>
      <c r="R3044" s="16" t="n">
        <v>1022.274389807265</v>
      </c>
      <c r="S3044" s="16" t="n">
        <v>0.5</v>
      </c>
      <c r="T3044" s="16" t="n">
        <v>0.9224916747106672</v>
      </c>
      <c r="U3044" s="16" t="n">
        <v>0.5760658994683791</v>
      </c>
      <c r="V3044" s="16" t="n">
        <v>0.4623021552349206</v>
      </c>
      <c r="W3044" s="16" t="n">
        <v>0.5751145100609969</v>
      </c>
      <c r="X3044" s="16" t="n">
        <v>0.8784157959492287</v>
      </c>
      <c r="Y3044" s="16" t="n">
        <v>302.58136184317</v>
      </c>
      <c r="Z3044" s="16" t="n">
        <v>10.73374388369152</v>
      </c>
      <c r="AA3044" s="16" t="n">
        <v>117.6305348057124</v>
      </c>
      <c r="AB3044" s="16" t="n">
        <v>3786.067568232236</v>
      </c>
      <c r="AC3044" s="16" t="n">
        <v>4.703572745225522</v>
      </c>
      <c r="AD3044" s="16" t="n"/>
      <c r="AE3044" s="16" t="n"/>
    </row>
    <row r="3045">
      <c r="A3045" s="16" t="inlineStr">
        <is>
          <t>KF-M07-A5-0111</t>
        </is>
      </c>
      <c r="B3045" s="16" t="inlineStr">
        <is>
          <t>5.1</t>
        </is>
      </c>
      <c r="C3045" s="16" t="inlineStr">
        <is>
          <t>5.1e</t>
        </is>
      </c>
      <c r="D3045" s="16" t="inlineStr">
        <is>
          <t>conserva su fuente y su x_b</t>
        </is>
      </c>
      <c r="E3045" s="16" t="inlineStr">
        <is>
          <t>KF-M07</t>
        </is>
      </c>
      <c r="F3045" s="16" t="inlineStr">
        <is>
          <t>KF-M07-A5</t>
        </is>
      </c>
      <c r="G3045" s="16" t="inlineStr">
        <is>
          <t>B11-A5</t>
        </is>
      </c>
      <c r="H3045" s="16" t="inlineStr">
        <is>
          <t>busqueda</t>
        </is>
      </c>
      <c r="I3045" s="16" t="inlineStr">
        <is>
          <t>KALINA</t>
        </is>
      </c>
      <c r="J3045" s="16" t="inlineStr">
        <is>
          <t>KALINA</t>
        </is>
      </c>
      <c r="K3045" s="16" t="b">
        <v>1</v>
      </c>
      <c r="L3045" s="16" t="b">
        <v>0</v>
      </c>
      <c r="M3045" s="16" t="b">
        <v>1</v>
      </c>
      <c r="N3045" s="16" t="b">
        <v>0</v>
      </c>
      <c r="O3045" s="16" t="n">
        <v>623.15</v>
      </c>
      <c r="P3045" s="16" t="n">
        <v>302.58136184317</v>
      </c>
      <c r="Q3045" s="16" t="n">
        <v>4808.3419580395</v>
      </c>
      <c r="R3045" s="16" t="n">
        <v>1022.274389807265</v>
      </c>
      <c r="S3045" s="16" t="n">
        <v>0.5</v>
      </c>
      <c r="T3045" s="16" t="n">
        <v>0.9224916747106672</v>
      </c>
      <c r="U3045" s="16" t="n">
        <v>0.5760658994683791</v>
      </c>
      <c r="V3045" s="16" t="n">
        <v>0.4623021552349206</v>
      </c>
      <c r="W3045" s="16" t="n">
        <v>0.6301145100609968</v>
      </c>
      <c r="X3045" s="16" t="n">
        <v>0.9334157959492286</v>
      </c>
      <c r="Y3045" s="16" t="n">
        <v>302.58136184317</v>
      </c>
      <c r="Z3045" s="16" t="n">
        <v>10.45007123280905</v>
      </c>
      <c r="AA3045" s="16" t="n">
        <v>115.7701227466977</v>
      </c>
      <c r="AB3045" s="16" t="n">
        <v>3786.067568232236</v>
      </c>
      <c r="AC3045" s="16" t="n">
        <v>4.703572745225522</v>
      </c>
      <c r="AD3045" s="16" t="n"/>
      <c r="AE3045" s="16" t="n"/>
    </row>
    <row r="3046">
      <c r="A3046" s="16" t="inlineStr">
        <is>
          <t>KF-M07-A5-0112</t>
        </is>
      </c>
      <c r="B3046" s="16" t="inlineStr">
        <is>
          <t>5.1</t>
        </is>
      </c>
      <c r="C3046" s="16" t="inlineStr">
        <is>
          <t>5.1e</t>
        </is>
      </c>
      <c r="D3046" s="16" t="inlineStr">
        <is>
          <t>conserva su fuente y su x_b</t>
        </is>
      </c>
      <c r="E3046" s="16" t="inlineStr">
        <is>
          <t>KF-M07</t>
        </is>
      </c>
      <c r="F3046" s="16" t="inlineStr">
        <is>
          <t>KF-M07-A5</t>
        </is>
      </c>
      <c r="G3046" s="16" t="inlineStr">
        <is>
          <t>B11-A5</t>
        </is>
      </c>
      <c r="H3046" s="16" t="inlineStr">
        <is>
          <t>busqueda</t>
        </is>
      </c>
      <c r="I3046" s="16" t="inlineStr">
        <is>
          <t>CORREGIBLE</t>
        </is>
      </c>
      <c r="J3046" s="16" t="inlineStr">
        <is>
          <t>CORREGIBLE</t>
        </is>
      </c>
      <c r="K3046" s="16" t="b">
        <v>1</v>
      </c>
      <c r="L3046" s="16" t="b">
        <v>0</v>
      </c>
      <c r="M3046" s="16" t="b">
        <v>1</v>
      </c>
      <c r="N3046" s="16" t="b">
        <v>0</v>
      </c>
      <c r="O3046" s="16" t="n">
        <v>623.15</v>
      </c>
      <c r="P3046" s="16" t="n">
        <v>302.58136184317</v>
      </c>
      <c r="Q3046" s="16" t="n">
        <v>4808.3419580395</v>
      </c>
      <c r="R3046" s="16" t="n">
        <v>1022.274389807265</v>
      </c>
      <c r="S3046" s="16" t="n">
        <v>0.5</v>
      </c>
      <c r="T3046" s="16" t="n">
        <v>0.9224916747106672</v>
      </c>
      <c r="U3046" s="16" t="n">
        <v>0.5760658994683791</v>
      </c>
      <c r="V3046" s="16" t="n">
        <v>0.4623021552349206</v>
      </c>
      <c r="W3046" s="16" t="n">
        <v>0.6301145100609968</v>
      </c>
      <c r="X3046" s="16" t="n">
        <v>0.8234157959492288</v>
      </c>
      <c r="Y3046" s="16" t="n">
        <v>302.58136184317</v>
      </c>
      <c r="Z3046" s="16" t="n">
        <v>11.37852454836716</v>
      </c>
      <c r="AA3046" s="16" t="n">
        <v>121.4694738076508</v>
      </c>
      <c r="AB3046" s="16" t="n">
        <v>3786.067568232236</v>
      </c>
      <c r="AC3046" s="16" t="n">
        <v>4.703572745225522</v>
      </c>
      <c r="AD3046" s="16" t="inlineStr">
        <is>
          <t>O2</t>
        </is>
      </c>
      <c r="AE3046" s="16" t="n"/>
    </row>
    <row r="3047">
      <c r="A3047" s="16" t="inlineStr">
        <is>
          <t>KF-M06-VER-0000</t>
        </is>
      </c>
      <c r="B3047" s="16" t="inlineStr">
        <is>
          <t>6.1</t>
        </is>
      </c>
      <c r="C3047" s="16" t="inlineStr">
        <is>
          <t>6.1a</t>
        </is>
      </c>
      <c r="D3047" s="16" t="inlineStr">
        <is>
          <t>teqp frente al motor real</t>
        </is>
      </c>
      <c r="E3047" s="16" t="inlineStr">
        <is>
          <t>KF-M06</t>
        </is>
      </c>
      <c r="F3047" s="16" t="inlineStr">
        <is>
          <t>KF-M06-VER</t>
        </is>
      </c>
      <c r="G3047" s="16" t="inlineStr">
        <is>
          <t>B12</t>
        </is>
      </c>
      <c r="H3047" s="16" t="inlineStr">
        <is>
          <t>control</t>
        </is>
      </c>
      <c r="I3047" s="16" t="inlineStr">
        <is>
          <t>KALINA</t>
        </is>
      </c>
      <c r="J3047" s="16" t="inlineStr">
        <is>
          <t>KALINA</t>
        </is>
      </c>
      <c r="K3047" s="16" t="b">
        <v>1</v>
      </c>
      <c r="L3047" s="16" t="b">
        <v>1</v>
      </c>
      <c r="M3047" s="16" t="b">
        <v>0</v>
      </c>
      <c r="N3047" s="16" t="b">
        <v>0</v>
      </c>
      <c r="O3047" s="16" t="n">
        <v>410</v>
      </c>
      <c r="P3047" s="16" t="n">
        <v>300.032917</v>
      </c>
      <c r="Q3047" s="16" t="n">
        <v>3000</v>
      </c>
      <c r="R3047" s="16" t="n">
        <v>400</v>
      </c>
      <c r="S3047" s="16" t="n">
        <v>0.5</v>
      </c>
      <c r="T3047" s="16" t="n">
        <v>0.85</v>
      </c>
      <c r="U3047" s="16" t="n">
        <v>0.75</v>
      </c>
      <c r="V3047" s="16" t="n">
        <v>0.85</v>
      </c>
      <c r="W3047" s="16" t="n">
        <v>0.75</v>
      </c>
      <c r="X3047" s="16" t="n">
        <v>0.95</v>
      </c>
      <c r="Y3047" s="16" t="n">
        <v>300.032917</v>
      </c>
      <c r="Z3047" s="16" t="n">
        <v>10.80651724015787</v>
      </c>
      <c r="AA3047" s="16" t="n">
        <v>44.30802720897731</v>
      </c>
      <c r="AB3047" s="16" t="n">
        <v>2600</v>
      </c>
      <c r="AC3047" s="16" t="n">
        <v>7.5</v>
      </c>
      <c r="AD3047" s="16" t="n"/>
      <c r="AE3047" s="16" t="n"/>
    </row>
    <row r="3048">
      <c r="A3048" s="16" t="inlineStr">
        <is>
          <t>KF-M06-VER-0001</t>
        </is>
      </c>
      <c r="B3048" s="16" t="inlineStr">
        <is>
          <t>6.1</t>
        </is>
      </c>
      <c r="C3048" s="16" t="inlineStr">
        <is>
          <t>6.1a</t>
        </is>
      </c>
      <c r="D3048" s="16" t="inlineStr">
        <is>
          <t>teqp frente al motor real</t>
        </is>
      </c>
      <c r="E3048" s="16" t="inlineStr">
        <is>
          <t>KF-M06</t>
        </is>
      </c>
      <c r="F3048" s="16" t="inlineStr">
        <is>
          <t>KF-M06-VER</t>
        </is>
      </c>
      <c r="G3048" s="16" t="inlineStr">
        <is>
          <t>B12</t>
        </is>
      </c>
      <c r="H3048" s="16" t="inlineStr">
        <is>
          <t>control</t>
        </is>
      </c>
      <c r="I3048" s="16" t="inlineStr">
        <is>
          <t>KALINA</t>
        </is>
      </c>
      <c r="J3048" s="16" t="inlineStr">
        <is>
          <t>KALINA</t>
        </is>
      </c>
      <c r="K3048" s="16" t="b">
        <v>1</v>
      </c>
      <c r="L3048" s="16" t="b">
        <v>1</v>
      </c>
      <c r="M3048" s="16" t="b">
        <v>0</v>
      </c>
      <c r="N3048" s="16" t="b">
        <v>0</v>
      </c>
      <c r="O3048" s="16" t="n">
        <v>390</v>
      </c>
      <c r="P3048" s="16" t="n">
        <v>300.032917</v>
      </c>
      <c r="Q3048" s="16" t="n">
        <v>3000</v>
      </c>
      <c r="R3048" s="16" t="n">
        <v>400</v>
      </c>
      <c r="S3048" s="16" t="n">
        <v>0.5</v>
      </c>
      <c r="T3048" s="16" t="n">
        <v>0.85</v>
      </c>
      <c r="U3048" s="16" t="n">
        <v>0.75</v>
      </c>
      <c r="V3048" s="16" t="n">
        <v>0.85</v>
      </c>
      <c r="W3048" s="16" t="n">
        <v>0.75</v>
      </c>
      <c r="X3048" s="16" t="n">
        <v>0.875</v>
      </c>
      <c r="Y3048" s="16" t="n">
        <v>300.032917</v>
      </c>
      <c r="Z3048" s="16" t="n">
        <v>2.53932312022593</v>
      </c>
      <c r="AA3048" s="16" t="n">
        <v>3.769197404130745</v>
      </c>
      <c r="AB3048" s="16" t="n">
        <v>2600</v>
      </c>
      <c r="AC3048" s="16" t="n">
        <v>7.5</v>
      </c>
      <c r="AD3048" s="16" t="n"/>
      <c r="AE3048" s="16" t="n"/>
    </row>
    <row r="3049">
      <c r="A3049" s="16" t="inlineStr">
        <is>
          <t>KF-M06-VER-0002</t>
        </is>
      </c>
      <c r="B3049" s="16" t="inlineStr">
        <is>
          <t>6.1</t>
        </is>
      </c>
      <c r="C3049" s="16" t="inlineStr">
        <is>
          <t>6.1a</t>
        </is>
      </c>
      <c r="D3049" s="16" t="inlineStr">
        <is>
          <t>teqp frente al motor real</t>
        </is>
      </c>
      <c r="E3049" s="16" t="inlineStr">
        <is>
          <t>KF-M06</t>
        </is>
      </c>
      <c r="F3049" s="16" t="inlineStr">
        <is>
          <t>KF-M06-VER</t>
        </is>
      </c>
      <c r="G3049" s="16" t="inlineStr">
        <is>
          <t>B12</t>
        </is>
      </c>
      <c r="H3049" s="16" t="inlineStr">
        <is>
          <t>control</t>
        </is>
      </c>
      <c r="I3049" s="16" t="inlineStr">
        <is>
          <t>KALINA</t>
        </is>
      </c>
      <c r="J3049" s="16" t="inlineStr">
        <is>
          <t>KALINA</t>
        </is>
      </c>
      <c r="K3049" s="16" t="b">
        <v>1</v>
      </c>
      <c r="L3049" s="16" t="b">
        <v>1</v>
      </c>
      <c r="M3049" s="16" t="b">
        <v>0</v>
      </c>
      <c r="N3049" s="16" t="b">
        <v>0</v>
      </c>
      <c r="O3049" s="16" t="n">
        <v>403</v>
      </c>
      <c r="P3049" s="16" t="n">
        <v>300.032917</v>
      </c>
      <c r="Q3049" s="16" t="n">
        <v>3000</v>
      </c>
      <c r="R3049" s="16" t="n">
        <v>563.6363636363637</v>
      </c>
      <c r="S3049" s="16" t="n">
        <v>0.5</v>
      </c>
      <c r="T3049" s="16" t="n">
        <v>0.85</v>
      </c>
      <c r="U3049" s="16" t="n">
        <v>0.75</v>
      </c>
      <c r="V3049" s="16" t="n">
        <v>0.85</v>
      </c>
      <c r="W3049" s="16" t="n">
        <v>0.75</v>
      </c>
      <c r="X3049" s="16" t="n">
        <v>0.8</v>
      </c>
      <c r="Y3049" s="16" t="n">
        <v>300.032917</v>
      </c>
      <c r="Z3049" s="16" t="n">
        <v>8.481891205006569</v>
      </c>
      <c r="AA3049" s="16" t="n">
        <v>25.94188172942141</v>
      </c>
      <c r="AB3049" s="16" t="n">
        <v>2436.363636363636</v>
      </c>
      <c r="AC3049" s="16" t="n">
        <v>5.322580645161289</v>
      </c>
      <c r="AD3049" s="16" t="n"/>
      <c r="AE3049" s="16" t="n"/>
    </row>
    <row r="3050">
      <c r="A3050" s="16" t="inlineStr">
        <is>
          <t>KF-M06-VER-0003</t>
        </is>
      </c>
      <c r="B3050" s="16" t="inlineStr">
        <is>
          <t>6.1</t>
        </is>
      </c>
      <c r="C3050" s="16" t="inlineStr">
        <is>
          <t>6.1a</t>
        </is>
      </c>
      <c r="D3050" s="16" t="inlineStr">
        <is>
          <t>teqp frente al motor real</t>
        </is>
      </c>
      <c r="E3050" s="16" t="inlineStr">
        <is>
          <t>KF-M06</t>
        </is>
      </c>
      <c r="F3050" s="16" t="inlineStr">
        <is>
          <t>KF-M06-VER</t>
        </is>
      </c>
      <c r="G3050" s="16" t="inlineStr">
        <is>
          <t>B12</t>
        </is>
      </c>
      <c r="H3050" s="16" t="inlineStr">
        <is>
          <t>control</t>
        </is>
      </c>
      <c r="I3050" s="16" t="inlineStr">
        <is>
          <t>KALINA</t>
        </is>
      </c>
      <c r="J3050" s="16" t="inlineStr">
        <is>
          <t>KALINA</t>
        </is>
      </c>
      <c r="K3050" s="16" t="b">
        <v>1</v>
      </c>
      <c r="L3050" s="16" t="b">
        <v>1</v>
      </c>
      <c r="M3050" s="16" t="b">
        <v>0</v>
      </c>
      <c r="N3050" s="16" t="b">
        <v>0</v>
      </c>
      <c r="O3050" s="16" t="n">
        <v>420</v>
      </c>
      <c r="P3050" s="16" t="n">
        <v>300.032917</v>
      </c>
      <c r="Q3050" s="16" t="n">
        <v>3000</v>
      </c>
      <c r="R3050" s="16" t="n">
        <v>736.3636363639999</v>
      </c>
      <c r="S3050" s="16" t="n">
        <v>0.5</v>
      </c>
      <c r="T3050" s="16" t="n">
        <v>0.85</v>
      </c>
      <c r="U3050" s="16" t="n">
        <v>0.75</v>
      </c>
      <c r="V3050" s="16" t="n">
        <v>0.85</v>
      </c>
      <c r="W3050" s="16" t="n">
        <v>0.75</v>
      </c>
      <c r="X3050" s="16" t="n">
        <v>0.8</v>
      </c>
      <c r="Y3050" s="16" t="n">
        <v>300.032917</v>
      </c>
      <c r="Z3050" s="16" t="n">
        <v>9.15042106800586</v>
      </c>
      <c r="AA3050" s="16" t="n">
        <v>45.99923564200601</v>
      </c>
      <c r="AB3050" s="16" t="n">
        <v>2263.636363636</v>
      </c>
      <c r="AC3050" s="16" t="n">
        <v>4.074074074072063</v>
      </c>
      <c r="AD3050" s="16" t="n"/>
      <c r="AE3050" s="16" t="n"/>
    </row>
    <row r="3051">
      <c r="A3051" s="16" t="inlineStr">
        <is>
          <t>KF-M06-VER-0004</t>
        </is>
      </c>
      <c r="B3051" s="16" t="inlineStr">
        <is>
          <t>6.1</t>
        </is>
      </c>
      <c r="C3051" s="16" t="inlineStr">
        <is>
          <t>6.1a</t>
        </is>
      </c>
      <c r="D3051" s="16" t="inlineStr">
        <is>
          <t>teqp frente al motor real</t>
        </is>
      </c>
      <c r="E3051" s="16" t="inlineStr">
        <is>
          <t>KF-M06</t>
        </is>
      </c>
      <c r="F3051" s="16" t="inlineStr">
        <is>
          <t>KF-M06-VER</t>
        </is>
      </c>
      <c r="G3051" s="16" t="inlineStr">
        <is>
          <t>B12</t>
        </is>
      </c>
      <c r="H3051" s="16" t="inlineStr">
        <is>
          <t>control</t>
        </is>
      </c>
      <c r="I3051" s="16" t="inlineStr">
        <is>
          <t>KALINA</t>
        </is>
      </c>
      <c r="J3051" s="16" t="inlineStr">
        <is>
          <t>KALINA</t>
        </is>
      </c>
      <c r="K3051" s="16" t="b">
        <v>1</v>
      </c>
      <c r="L3051" s="16" t="b">
        <v>1</v>
      </c>
      <c r="M3051" s="16" t="b">
        <v>0</v>
      </c>
      <c r="N3051" s="16" t="b">
        <v>0</v>
      </c>
      <c r="O3051" s="16" t="n">
        <v>436.0969531091276</v>
      </c>
      <c r="P3051" s="16" t="n">
        <v>279.0977013205448</v>
      </c>
      <c r="Q3051" s="16" t="n">
        <v>4381.823024523768</v>
      </c>
      <c r="R3051" s="16" t="n">
        <v>808.3402577390962</v>
      </c>
      <c r="S3051" s="16" t="n">
        <v>0.7047489709498951</v>
      </c>
      <c r="T3051" s="16" t="n">
        <v>0.95</v>
      </c>
      <c r="U3051" s="16" t="n">
        <v>0.7460814839003644</v>
      </c>
      <c r="V3051" s="16" t="n">
        <v>0.6777311085206517</v>
      </c>
      <c r="W3051" s="16" t="n">
        <v>0.9415298192493302</v>
      </c>
      <c r="X3051" s="16" t="n">
        <v>0.8418262585071621</v>
      </c>
      <c r="Y3051" s="16" t="n">
        <v>279.0977013205448</v>
      </c>
      <c r="Z3051" s="16" t="n">
        <v>14.97793863825945</v>
      </c>
      <c r="AA3051" s="16" t="n">
        <v>111.1205978072659</v>
      </c>
      <c r="AB3051" s="16" t="n">
        <v>3573.482766784672</v>
      </c>
      <c r="AC3051" s="16" t="n">
        <v>5.420765553332204</v>
      </c>
      <c r="AD3051" s="16" t="n"/>
      <c r="AE3051" s="16" t="n"/>
    </row>
    <row r="3052">
      <c r="A3052" s="16" t="inlineStr">
        <is>
          <t>KF-M06-VER-0005</t>
        </is>
      </c>
      <c r="B3052" s="16" t="inlineStr">
        <is>
          <t>6.1</t>
        </is>
      </c>
      <c r="C3052" s="16" t="inlineStr">
        <is>
          <t>6.1a</t>
        </is>
      </c>
      <c r="D3052" s="16" t="inlineStr">
        <is>
          <t>teqp frente al motor real</t>
        </is>
      </c>
      <c r="E3052" s="16" t="inlineStr">
        <is>
          <t>KF-M06</t>
        </is>
      </c>
      <c r="F3052" s="16" t="inlineStr">
        <is>
          <t>KF-M06-VER</t>
        </is>
      </c>
      <c r="G3052" s="16" t="inlineStr">
        <is>
          <t>B12</t>
        </is>
      </c>
      <c r="H3052" s="16" t="inlineStr">
        <is>
          <t>control</t>
        </is>
      </c>
      <c r="I3052" s="16" t="inlineStr">
        <is>
          <t>KALINA</t>
        </is>
      </c>
      <c r="J3052" s="16" t="inlineStr">
        <is>
          <t>KALINA</t>
        </is>
      </c>
      <c r="K3052" s="16" t="b">
        <v>1</v>
      </c>
      <c r="L3052" s="16" t="b">
        <v>1</v>
      </c>
      <c r="M3052" s="16" t="b">
        <v>0</v>
      </c>
      <c r="N3052" s="16" t="b">
        <v>0</v>
      </c>
      <c r="O3052" s="16" t="n">
        <v>420</v>
      </c>
      <c r="P3052" s="16" t="n">
        <v>278.15</v>
      </c>
      <c r="Q3052" s="16" t="n">
        <v>3000</v>
      </c>
      <c r="R3052" s="16" t="n">
        <v>393.75</v>
      </c>
      <c r="S3052" s="16" t="n">
        <v>0.5</v>
      </c>
      <c r="T3052" s="16" t="n">
        <v>0.95</v>
      </c>
      <c r="U3052" s="16" t="n">
        <v>0.75</v>
      </c>
      <c r="V3052" s="16" t="n">
        <v>0.85</v>
      </c>
      <c r="W3052" s="16" t="n">
        <v>0.95</v>
      </c>
      <c r="X3052" s="16" t="n">
        <v>0.8</v>
      </c>
      <c r="Y3052" s="16" t="n">
        <v>278.15</v>
      </c>
      <c r="Z3052" s="16" t="n">
        <v>15.48239750048667</v>
      </c>
      <c r="AA3052" s="16" t="n">
        <v>74.2243204819607</v>
      </c>
      <c r="AB3052" s="16" t="n">
        <v>2606.25</v>
      </c>
      <c r="AC3052" s="16" t="n">
        <v>7.619047619047619</v>
      </c>
      <c r="AD3052" s="16" t="n"/>
      <c r="AE3052" s="16" t="n"/>
    </row>
    <row r="3053">
      <c r="A3053" s="16" t="inlineStr">
        <is>
          <t>KF-M06-VER-0006</t>
        </is>
      </c>
      <c r="B3053" s="16" t="inlineStr">
        <is>
          <t>6.1</t>
        </is>
      </c>
      <c r="C3053" s="16" t="inlineStr">
        <is>
          <t>6.1a</t>
        </is>
      </c>
      <c r="D3053" s="16" t="inlineStr">
        <is>
          <t>teqp frente al motor real</t>
        </is>
      </c>
      <c r="E3053" s="16" t="inlineStr">
        <is>
          <t>KF-M06</t>
        </is>
      </c>
      <c r="F3053" s="16" t="inlineStr">
        <is>
          <t>KF-M06-VER</t>
        </is>
      </c>
      <c r="G3053" s="16" t="inlineStr">
        <is>
          <t>B12</t>
        </is>
      </c>
      <c r="H3053" s="16" t="inlineStr">
        <is>
          <t>control</t>
        </is>
      </c>
      <c r="I3053" s="16" t="inlineStr">
        <is>
          <t>KALINA</t>
        </is>
      </c>
      <c r="J3053" s="16" t="inlineStr">
        <is>
          <t>KALINA</t>
        </is>
      </c>
      <c r="K3053" s="16" t="b">
        <v>1</v>
      </c>
      <c r="L3053" s="16" t="b">
        <v>1</v>
      </c>
      <c r="M3053" s="16" t="b">
        <v>0</v>
      </c>
      <c r="N3053" s="16" t="b">
        <v>0</v>
      </c>
      <c r="O3053" s="16" t="n">
        <v>623.15</v>
      </c>
      <c r="P3053" s="16" t="n">
        <v>300.032917</v>
      </c>
      <c r="Q3053" s="16" t="n">
        <v>5000</v>
      </c>
      <c r="R3053" s="16" t="n">
        <v>1359.556702008076</v>
      </c>
      <c r="S3053" s="16" t="n">
        <v>0.85</v>
      </c>
      <c r="T3053" s="16" t="n">
        <v>0.946055907458648</v>
      </c>
      <c r="U3053" s="16" t="n">
        <v>0.8375342727183488</v>
      </c>
      <c r="V3053" s="16" t="n">
        <v>0.4963658855761367</v>
      </c>
      <c r="W3053" s="16" t="n">
        <v>0.9166775946077288</v>
      </c>
      <c r="X3053" s="16" t="n">
        <v>0.9457881775355844</v>
      </c>
      <c r="Y3053" s="16" t="n">
        <v>300.032917</v>
      </c>
      <c r="Z3053" s="16" t="n">
        <v>12.73867502186853</v>
      </c>
      <c r="AA3053" s="16" t="n">
        <v>129.3867377753009</v>
      </c>
      <c r="AB3053" s="16" t="n">
        <v>3640.443297991924</v>
      </c>
      <c r="AC3053" s="16" t="n">
        <v>3.677669340760087</v>
      </c>
      <c r="AD3053" s="16" t="n"/>
      <c r="AE3053" s="16" t="n"/>
    </row>
    <row r="3054">
      <c r="A3054" s="16" t="inlineStr">
        <is>
          <t>KF-M06-VER-0007</t>
        </is>
      </c>
      <c r="B3054" s="16" t="inlineStr">
        <is>
          <t>6.1</t>
        </is>
      </c>
      <c r="C3054" s="16" t="inlineStr">
        <is>
          <t>6.1a</t>
        </is>
      </c>
      <c r="D3054" s="16" t="inlineStr">
        <is>
          <t>teqp frente al motor real</t>
        </is>
      </c>
      <c r="E3054" s="16" t="inlineStr">
        <is>
          <t>KF-M06</t>
        </is>
      </c>
      <c r="F3054" s="16" t="inlineStr">
        <is>
          <t>KF-M06-VER</t>
        </is>
      </c>
      <c r="G3054" s="16" t="inlineStr">
        <is>
          <t>B12</t>
        </is>
      </c>
      <c r="H3054" s="16" t="inlineStr">
        <is>
          <t>control</t>
        </is>
      </c>
      <c r="I3054" s="16" t="inlineStr">
        <is>
          <t>NO_CONVERGIO</t>
        </is>
      </c>
      <c r="J3054" s="16" t="inlineStr">
        <is>
          <t>NO_CONVERGIO</t>
        </is>
      </c>
      <c r="K3054" s="16" t="b">
        <v>0</v>
      </c>
      <c r="L3054" s="16" t="b">
        <v>0</v>
      </c>
      <c r="M3054" s="16" t="b">
        <v>0</v>
      </c>
      <c r="N3054" s="16" t="b">
        <v>0</v>
      </c>
      <c r="O3054" s="16" t="n">
        <v>420</v>
      </c>
      <c r="P3054" s="16" t="n">
        <v>300.032917</v>
      </c>
      <c r="Q3054" s="16" t="n">
        <v>3000</v>
      </c>
      <c r="R3054" s="16" t="n">
        <v>736.3636363639999</v>
      </c>
      <c r="S3054" s="16" t="n">
        <v>0.5</v>
      </c>
      <c r="T3054" s="16" t="n">
        <v>0.85</v>
      </c>
      <c r="U3054" s="16" t="n">
        <v>0.75</v>
      </c>
      <c r="V3054" s="16" t="n">
        <v>0.85</v>
      </c>
      <c r="W3054" s="16" t="n">
        <v>0.75</v>
      </c>
      <c r="X3054" s="16" t="n">
        <v>0.8</v>
      </c>
      <c r="Y3054" s="16" t="n">
        <v>300.032917</v>
      </c>
      <c r="Z3054" s="16" t="n"/>
      <c r="AA3054" s="16" t="n"/>
      <c r="AB3054" s="16" t="n">
        <v>2263.636363636</v>
      </c>
      <c r="AC3054" s="16" t="n">
        <v>4.074074074072063</v>
      </c>
      <c r="AD3054" s="16" t="n"/>
      <c r="AE3054" s="16" t="n"/>
    </row>
    <row r="3055">
      <c r="A3055" s="16" t="inlineStr">
        <is>
          <t>KF-M06-VER-0008</t>
        </is>
      </c>
      <c r="B3055" s="16" t="inlineStr">
        <is>
          <t>6.1</t>
        </is>
      </c>
      <c r="C3055" s="16" t="inlineStr">
        <is>
          <t>6.1a</t>
        </is>
      </c>
      <c r="D3055" s="16" t="inlineStr">
        <is>
          <t>teqp frente al motor real</t>
        </is>
      </c>
      <c r="E3055" s="16" t="inlineStr">
        <is>
          <t>KF-M06</t>
        </is>
      </c>
      <c r="F3055" s="16" t="inlineStr">
        <is>
          <t>KF-M06-VER</t>
        </is>
      </c>
      <c r="G3055" s="16" t="inlineStr">
        <is>
          <t>B12</t>
        </is>
      </c>
      <c r="H3055" s="16" t="inlineStr">
        <is>
          <t>control</t>
        </is>
      </c>
      <c r="I3055" s="16" t="inlineStr">
        <is>
          <t>NO_CONVERGIO</t>
        </is>
      </c>
      <c r="J3055" s="16" t="inlineStr">
        <is>
          <t>NO_CONVERGIO</t>
        </is>
      </c>
      <c r="K3055" s="16" t="b">
        <v>0</v>
      </c>
      <c r="L3055" s="16" t="b">
        <v>0</v>
      </c>
      <c r="M3055" s="16" t="b">
        <v>0</v>
      </c>
      <c r="N3055" s="16" t="b">
        <v>0</v>
      </c>
      <c r="O3055" s="16" t="n">
        <v>390</v>
      </c>
      <c r="P3055" s="16" t="n">
        <v>300.032917</v>
      </c>
      <c r="Q3055" s="16" t="n">
        <v>3000</v>
      </c>
      <c r="R3055" s="16" t="n">
        <v>400</v>
      </c>
      <c r="S3055" s="16" t="n">
        <v>0.5</v>
      </c>
      <c r="T3055" s="16" t="n">
        <v>0.85</v>
      </c>
      <c r="U3055" s="16" t="n">
        <v>0.75</v>
      </c>
      <c r="V3055" s="16" t="n">
        <v>0.85</v>
      </c>
      <c r="W3055" s="16" t="n">
        <v>0.75</v>
      </c>
      <c r="X3055" s="16" t="n">
        <v>0.875</v>
      </c>
      <c r="Y3055" s="16" t="n">
        <v>300.032917</v>
      </c>
      <c r="Z3055" s="16" t="n"/>
      <c r="AA3055" s="16" t="n"/>
      <c r="AB3055" s="16" t="n">
        <v>2600</v>
      </c>
      <c r="AC3055" s="16" t="n">
        <v>7.5</v>
      </c>
      <c r="AD3055" s="16" t="n"/>
      <c r="AE3055" s="16" t="n"/>
    </row>
    <row r="3056">
      <c r="A3056" s="16" t="inlineStr">
        <is>
          <t>KF-M06-VER-0009</t>
        </is>
      </c>
      <c r="B3056" s="16" t="inlineStr">
        <is>
          <t>6.1</t>
        </is>
      </c>
      <c r="C3056" s="16" t="inlineStr">
        <is>
          <t>6.1a</t>
        </is>
      </c>
      <c r="D3056" s="16" t="inlineStr">
        <is>
          <t>teqp frente al motor real</t>
        </is>
      </c>
      <c r="E3056" s="16" t="inlineStr">
        <is>
          <t>KF-M06</t>
        </is>
      </c>
      <c r="F3056" s="16" t="inlineStr">
        <is>
          <t>KF-M06-VER</t>
        </is>
      </c>
      <c r="G3056" s="16" t="inlineStr">
        <is>
          <t>B12</t>
        </is>
      </c>
      <c r="H3056" s="16" t="inlineStr">
        <is>
          <t>control</t>
        </is>
      </c>
      <c r="I3056" s="16" t="inlineStr">
        <is>
          <t>NO_CONVERGIO</t>
        </is>
      </c>
      <c r="J3056" s="16" t="inlineStr">
        <is>
          <t>NO_CONVERGIO</t>
        </is>
      </c>
      <c r="K3056" s="16" t="b">
        <v>0</v>
      </c>
      <c r="L3056" s="16" t="b">
        <v>0</v>
      </c>
      <c r="M3056" s="16" t="b">
        <v>0</v>
      </c>
      <c r="N3056" s="16" t="b">
        <v>0</v>
      </c>
      <c r="O3056" s="16" t="n">
        <v>403</v>
      </c>
      <c r="P3056" s="16" t="n">
        <v>300.032917</v>
      </c>
      <c r="Q3056" s="16" t="n">
        <v>3000</v>
      </c>
      <c r="R3056" s="16" t="n">
        <v>563.6363636363637</v>
      </c>
      <c r="S3056" s="16" t="n">
        <v>0.5</v>
      </c>
      <c r="T3056" s="16" t="n">
        <v>0.85</v>
      </c>
      <c r="U3056" s="16" t="n">
        <v>0.75</v>
      </c>
      <c r="V3056" s="16" t="n">
        <v>0.85</v>
      </c>
      <c r="W3056" s="16" t="n">
        <v>0.75</v>
      </c>
      <c r="X3056" s="16" t="n">
        <v>0.8</v>
      </c>
      <c r="Y3056" s="16" t="n">
        <v>300.032917</v>
      </c>
      <c r="Z3056" s="16" t="n"/>
      <c r="AA3056" s="16" t="n"/>
      <c r="AB3056" s="16" t="n">
        <v>2436.363636363636</v>
      </c>
      <c r="AC3056" s="16" t="n">
        <v>5.322580645161289</v>
      </c>
      <c r="AD3056" s="16" t="n"/>
      <c r="AE3056" s="16" t="n"/>
    </row>
    <row r="3057">
      <c r="A3057" s="16" t="inlineStr">
        <is>
          <t>KF-M06-VER-0010</t>
        </is>
      </c>
      <c r="B3057" s="16" t="inlineStr">
        <is>
          <t>6.1</t>
        </is>
      </c>
      <c r="C3057" s="16" t="inlineStr">
        <is>
          <t>6.1a</t>
        </is>
      </c>
      <c r="D3057" s="16" t="inlineStr">
        <is>
          <t>teqp frente al motor real</t>
        </is>
      </c>
      <c r="E3057" s="16" t="inlineStr">
        <is>
          <t>KF-M06</t>
        </is>
      </c>
      <c r="F3057" s="16" t="inlineStr">
        <is>
          <t>KF-M06-VER</t>
        </is>
      </c>
      <c r="G3057" s="16" t="inlineStr">
        <is>
          <t>B12</t>
        </is>
      </c>
      <c r="H3057" s="16" t="inlineStr">
        <is>
          <t>control</t>
        </is>
      </c>
      <c r="I3057" s="16" t="inlineStr">
        <is>
          <t>KALINA</t>
        </is>
      </c>
      <c r="J3057" s="16" t="inlineStr">
        <is>
          <t>KALINA</t>
        </is>
      </c>
      <c r="K3057" s="16" t="b">
        <v>1</v>
      </c>
      <c r="L3057" s="16" t="b">
        <v>1</v>
      </c>
      <c r="M3057" s="16" t="b">
        <v>0</v>
      </c>
      <c r="N3057" s="16" t="b">
        <v>0</v>
      </c>
      <c r="O3057" s="16" t="n">
        <v>415</v>
      </c>
      <c r="P3057" s="16" t="n">
        <v>300.032917</v>
      </c>
      <c r="Q3057" s="16" t="n">
        <v>3000</v>
      </c>
      <c r="R3057" s="16" t="n">
        <v>400</v>
      </c>
      <c r="S3057" s="16" t="n">
        <v>0.5</v>
      </c>
      <c r="T3057" s="16" t="n">
        <v>0.95</v>
      </c>
      <c r="U3057" s="16" t="n">
        <v>0.8049999999999999</v>
      </c>
      <c r="V3057" s="16" t="n">
        <v>0.95</v>
      </c>
      <c r="W3057" s="16" t="n">
        <v>0.95</v>
      </c>
      <c r="X3057" s="16" t="n">
        <v>0.95</v>
      </c>
      <c r="Y3057" s="16" t="n">
        <v>300.032917</v>
      </c>
      <c r="Z3057" s="16" t="n">
        <v>15.59965738845141</v>
      </c>
      <c r="AA3057" s="16" t="n">
        <v>71.37748121622712</v>
      </c>
      <c r="AB3057" s="16" t="n">
        <v>2600</v>
      </c>
      <c r="AC3057" s="16" t="n">
        <v>7.5</v>
      </c>
      <c r="AD3057" s="16" t="n"/>
      <c r="AE3057" s="16" t="n"/>
    </row>
    <row r="3058">
      <c r="A3058" s="16" t="inlineStr">
        <is>
          <t>KF-M06-VER-0011</t>
        </is>
      </c>
      <c r="B3058" s="16" t="inlineStr">
        <is>
          <t>6.1</t>
        </is>
      </c>
      <c r="C3058" s="16" t="inlineStr">
        <is>
          <t>6.1a</t>
        </is>
      </c>
      <c r="D3058" s="16" t="inlineStr">
        <is>
          <t>teqp frente al motor real</t>
        </is>
      </c>
      <c r="E3058" s="16" t="inlineStr">
        <is>
          <t>KF-M06</t>
        </is>
      </c>
      <c r="F3058" s="16" t="inlineStr">
        <is>
          <t>KF-M06-VER</t>
        </is>
      </c>
      <c r="G3058" s="16" t="inlineStr">
        <is>
          <t>B12</t>
        </is>
      </c>
      <c r="H3058" s="16" t="inlineStr">
        <is>
          <t>control</t>
        </is>
      </c>
      <c r="I3058" s="16" t="inlineStr">
        <is>
          <t>NO_CONVERGIO</t>
        </is>
      </c>
      <c r="J3058" s="16" t="inlineStr">
        <is>
          <t>NO_CONVERGIO</t>
        </is>
      </c>
      <c r="K3058" s="16" t="b">
        <v>0</v>
      </c>
      <c r="L3058" s="16" t="b">
        <v>0</v>
      </c>
      <c r="M3058" s="16" t="b">
        <v>0</v>
      </c>
      <c r="N3058" s="16" t="b">
        <v>0</v>
      </c>
      <c r="O3058" s="16" t="n">
        <v>436.0969531091276</v>
      </c>
      <c r="P3058" s="16" t="n">
        <v>279.0977013205448</v>
      </c>
      <c r="Q3058" s="16" t="n">
        <v>4381.823024523768</v>
      </c>
      <c r="R3058" s="16" t="n">
        <v>808.3402577390962</v>
      </c>
      <c r="S3058" s="16" t="n">
        <v>0.7047489709498951</v>
      </c>
      <c r="T3058" s="16" t="n">
        <v>0.95</v>
      </c>
      <c r="U3058" s="16" t="n">
        <v>0.7460814839003644</v>
      </c>
      <c r="V3058" s="16" t="n">
        <v>0.6777311085206517</v>
      </c>
      <c r="W3058" s="16" t="n">
        <v>0.9415298192493302</v>
      </c>
      <c r="X3058" s="16" t="n">
        <v>0.8418262585071621</v>
      </c>
      <c r="Y3058" s="16" t="n">
        <v>279.0977013205448</v>
      </c>
      <c r="Z3058" s="16" t="n"/>
      <c r="AA3058" s="16" t="n"/>
      <c r="AB3058" s="16" t="n">
        <v>3573.482766784672</v>
      </c>
      <c r="AC3058" s="16" t="n">
        <v>5.420765553332204</v>
      </c>
      <c r="AD3058" s="16" t="n"/>
      <c r="AE3058" s="16" t="n"/>
    </row>
    <row r="3059">
      <c r="A3059" s="16" t="inlineStr">
        <is>
          <t>KF-M06-VER-0012</t>
        </is>
      </c>
      <c r="B3059" s="16" t="inlineStr">
        <is>
          <t>6.1</t>
        </is>
      </c>
      <c r="C3059" s="16" t="inlineStr">
        <is>
          <t>6.1a</t>
        </is>
      </c>
      <c r="D3059" s="16" t="inlineStr">
        <is>
          <t>teqp frente al motor real</t>
        </is>
      </c>
      <c r="E3059" s="16" t="inlineStr">
        <is>
          <t>KF-M06</t>
        </is>
      </c>
      <c r="F3059" s="16" t="inlineStr">
        <is>
          <t>KF-M06-VER</t>
        </is>
      </c>
      <c r="G3059" s="16" t="inlineStr">
        <is>
          <t>B12</t>
        </is>
      </c>
      <c r="H3059" s="16" t="inlineStr">
        <is>
          <t>control</t>
        </is>
      </c>
      <c r="I3059" s="16" t="inlineStr">
        <is>
          <t>NO_CONVERGIO</t>
        </is>
      </c>
      <c r="J3059" s="16" t="inlineStr">
        <is>
          <t>NO_CONVERGIO</t>
        </is>
      </c>
      <c r="K3059" s="16" t="b">
        <v>0</v>
      </c>
      <c r="L3059" s="16" t="b">
        <v>0</v>
      </c>
      <c r="M3059" s="16" t="b">
        <v>0</v>
      </c>
      <c r="N3059" s="16" t="b">
        <v>0</v>
      </c>
      <c r="O3059" s="16" t="n">
        <v>420</v>
      </c>
      <c r="P3059" s="16" t="n">
        <v>278.15</v>
      </c>
      <c r="Q3059" s="16" t="n">
        <v>3000</v>
      </c>
      <c r="R3059" s="16" t="n">
        <v>393.75</v>
      </c>
      <c r="S3059" s="16" t="n">
        <v>0.5</v>
      </c>
      <c r="T3059" s="16" t="n">
        <v>0.95</v>
      </c>
      <c r="U3059" s="16" t="n">
        <v>0.75</v>
      </c>
      <c r="V3059" s="16" t="n">
        <v>0.85</v>
      </c>
      <c r="W3059" s="16" t="n">
        <v>0.95</v>
      </c>
      <c r="X3059" s="16" t="n">
        <v>0.8</v>
      </c>
      <c r="Y3059" s="16" t="n">
        <v>278.15</v>
      </c>
      <c r="Z3059" s="16" t="n"/>
      <c r="AA3059" s="16" t="n"/>
      <c r="AB3059" s="16" t="n">
        <v>2606.25</v>
      </c>
      <c r="AC3059" s="16" t="n">
        <v>7.619047619047619</v>
      </c>
      <c r="AD3059" s="16" t="n"/>
      <c r="AE3059" s="16" t="n"/>
    </row>
    <row r="3060">
      <c r="A3060" s="16" t="inlineStr">
        <is>
          <t>KF-M06-VER-0013</t>
        </is>
      </c>
      <c r="B3060" s="16" t="inlineStr">
        <is>
          <t>6.1</t>
        </is>
      </c>
      <c r="C3060" s="16" t="inlineStr">
        <is>
          <t>6.1a</t>
        </is>
      </c>
      <c r="D3060" s="16" t="inlineStr">
        <is>
          <t>teqp frente al motor real</t>
        </is>
      </c>
      <c r="E3060" s="16" t="inlineStr">
        <is>
          <t>KF-M06</t>
        </is>
      </c>
      <c r="F3060" s="16" t="inlineStr">
        <is>
          <t>KF-M06-VER</t>
        </is>
      </c>
      <c r="G3060" s="16" t="inlineStr">
        <is>
          <t>B12</t>
        </is>
      </c>
      <c r="H3060" s="16" t="inlineStr">
        <is>
          <t>control</t>
        </is>
      </c>
      <c r="I3060" s="16" t="inlineStr">
        <is>
          <t>KALINA</t>
        </is>
      </c>
      <c r="J3060" s="16" t="inlineStr">
        <is>
          <t>KALINA</t>
        </is>
      </c>
      <c r="K3060" s="16" t="b">
        <v>1</v>
      </c>
      <c r="L3060" s="16" t="b">
        <v>1</v>
      </c>
      <c r="M3060" s="16" t="b">
        <v>0</v>
      </c>
      <c r="N3060" s="16" t="b">
        <v>0</v>
      </c>
      <c r="O3060" s="16" t="n">
        <v>436.0969531091276</v>
      </c>
      <c r="P3060" s="16" t="n">
        <v>279.0977013205448</v>
      </c>
      <c r="Q3060" s="16" t="n">
        <v>3481.823024523768</v>
      </c>
      <c r="R3060" s="16" t="n">
        <v>808.3402577390962</v>
      </c>
      <c r="S3060" s="16" t="n">
        <v>0.6347489709498951</v>
      </c>
      <c r="T3060" s="16" t="n">
        <v>0.9184829805028722</v>
      </c>
      <c r="U3060" s="16" t="n">
        <v>0.7460814839003643</v>
      </c>
      <c r="V3060" s="16" t="n">
        <v>0.6777311085206517</v>
      </c>
      <c r="W3060" s="16" t="n">
        <v>0.9415298192493302</v>
      </c>
      <c r="X3060" s="16" t="n">
        <v>0.8418262585071621</v>
      </c>
      <c r="Y3060" s="16" t="n">
        <v>279.0977013205448</v>
      </c>
      <c r="Z3060" s="16" t="n">
        <v>12.30159889633283</v>
      </c>
      <c r="AA3060" s="16" t="n">
        <v>91.41821112392584</v>
      </c>
      <c r="AB3060" s="16" t="n">
        <v>2673.482766784672</v>
      </c>
      <c r="AC3060" s="16" t="n">
        <v>4.307373029103269</v>
      </c>
      <c r="AD3060" s="16" t="n"/>
      <c r="AE3060" s="16" t="n"/>
    </row>
    <row r="3061">
      <c r="A3061" s="16" t="inlineStr">
        <is>
          <t>KF-M06-VER-0014</t>
        </is>
      </c>
      <c r="B3061" s="16" t="inlineStr">
        <is>
          <t>6.1</t>
        </is>
      </c>
      <c r="C3061" s="16" t="inlineStr">
        <is>
          <t>6.1a</t>
        </is>
      </c>
      <c r="D3061" s="16" t="inlineStr">
        <is>
          <t>teqp frente al motor real</t>
        </is>
      </c>
      <c r="E3061" s="16" t="inlineStr">
        <is>
          <t>KF-M06</t>
        </is>
      </c>
      <c r="F3061" s="16" t="inlineStr">
        <is>
          <t>KF-M06-VER</t>
        </is>
      </c>
      <c r="G3061" s="16" t="inlineStr">
        <is>
          <t>B12</t>
        </is>
      </c>
      <c r="H3061" s="16" t="inlineStr">
        <is>
          <t>control</t>
        </is>
      </c>
      <c r="I3061" s="16" t="inlineStr">
        <is>
          <t>KALINA</t>
        </is>
      </c>
      <c r="J3061" s="16" t="inlineStr">
        <is>
          <t>KALINA</t>
        </is>
      </c>
      <c r="K3061" s="16" t="b">
        <v>1</v>
      </c>
      <c r="L3061" s="16" t="b">
        <v>0</v>
      </c>
      <c r="M3061" s="16" t="b">
        <v>1</v>
      </c>
      <c r="N3061" s="16" t="b">
        <v>0</v>
      </c>
      <c r="O3061" s="16" t="n">
        <v>623.15</v>
      </c>
      <c r="P3061" s="16" t="n">
        <v>302.58136184317</v>
      </c>
      <c r="Q3061" s="16" t="n">
        <v>4808.3419580395</v>
      </c>
      <c r="R3061" s="16" t="n">
        <v>1022.274389807265</v>
      </c>
      <c r="S3061" s="16" t="n">
        <v>0.5</v>
      </c>
      <c r="T3061" s="16" t="n">
        <v>0.9224916747106672</v>
      </c>
      <c r="U3061" s="16" t="n">
        <v>0.5760658994683791</v>
      </c>
      <c r="V3061" s="16" t="n">
        <v>0.4623021552349206</v>
      </c>
      <c r="W3061" s="16" t="n">
        <v>0.6851145100609968</v>
      </c>
      <c r="X3061" s="16" t="n">
        <v>0.8784157959492287</v>
      </c>
      <c r="Y3061" s="16" t="n">
        <v>302.58136184317</v>
      </c>
      <c r="Z3061" s="16" t="n">
        <v>11.09411449156198</v>
      </c>
      <c r="AA3061" s="16" t="n">
        <v>120.0102463378141</v>
      </c>
      <c r="AB3061" s="16" t="n">
        <v>3786.067568232236</v>
      </c>
      <c r="AC3061" s="16" t="n">
        <v>4.703572745225522</v>
      </c>
      <c r="AD3061" s="16" t="n"/>
      <c r="AE3061" s="16" t="n"/>
    </row>
    <row r="3062">
      <c r="A3062" s="16" t="inlineStr">
        <is>
          <t>KF-M06-VER-0015</t>
        </is>
      </c>
      <c r="B3062" s="16" t="inlineStr">
        <is>
          <t>6.1</t>
        </is>
      </c>
      <c r="C3062" s="16" t="inlineStr">
        <is>
          <t>6.1a</t>
        </is>
      </c>
      <c r="D3062" s="16" t="inlineStr">
        <is>
          <t>teqp frente al motor real</t>
        </is>
      </c>
      <c r="E3062" s="16" t="inlineStr">
        <is>
          <t>KF-M06</t>
        </is>
      </c>
      <c r="F3062" s="16" t="inlineStr">
        <is>
          <t>KF-M06-VER</t>
        </is>
      </c>
      <c r="G3062" s="16" t="inlineStr">
        <is>
          <t>B12</t>
        </is>
      </c>
      <c r="H3062" s="16" t="inlineStr">
        <is>
          <t>control</t>
        </is>
      </c>
      <c r="I3062" s="16" t="inlineStr">
        <is>
          <t>KALINA</t>
        </is>
      </c>
      <c r="J3062" s="16" t="inlineStr">
        <is>
          <t>KALINA</t>
        </is>
      </c>
      <c r="K3062" s="16" t="b">
        <v>1</v>
      </c>
      <c r="L3062" s="16" t="b">
        <v>0</v>
      </c>
      <c r="M3062" s="16" t="b">
        <v>1</v>
      </c>
      <c r="N3062" s="16" t="b">
        <v>0</v>
      </c>
      <c r="O3062" s="16" t="n">
        <v>438.2259566657808</v>
      </c>
      <c r="P3062" s="16" t="n">
        <v>282.8953248402438</v>
      </c>
      <c r="Q3062" s="16" t="n">
        <v>3655.031570453786</v>
      </c>
      <c r="R3062" s="16" t="n">
        <v>2494.528668778344</v>
      </c>
      <c r="S3062" s="16" t="n">
        <v>0.5781880347009879</v>
      </c>
      <c r="T3062" s="16" t="n">
        <v>0.7807499296946772</v>
      </c>
      <c r="U3062" s="16" t="n">
        <v>0.8717826943293954</v>
      </c>
      <c r="V3062" s="16" t="n">
        <v>0.8204551584792749</v>
      </c>
      <c r="W3062" s="16" t="n">
        <v>0.8725835974278591</v>
      </c>
      <c r="X3062" s="16" t="n">
        <v>0.8379501788293323</v>
      </c>
      <c r="Y3062" s="16" t="n">
        <v>282.8953248402438</v>
      </c>
      <c r="Z3062" s="16" t="n">
        <v>2.66901697023742</v>
      </c>
      <c r="AA3062" s="16" t="n">
        <v>20.7356703696453</v>
      </c>
      <c r="AB3062" s="16" t="n">
        <v>1160.502901675442</v>
      </c>
      <c r="AC3062" s="16" t="n">
        <v>1.465219308240614</v>
      </c>
      <c r="AD3062" s="16" t="n"/>
      <c r="AE3062" s="16" t="n"/>
    </row>
    <row r="3063">
      <c r="A3063" s="16" t="inlineStr">
        <is>
          <t>KF-M06-VER-0016</t>
        </is>
      </c>
      <c r="B3063" s="16" t="inlineStr">
        <is>
          <t>6.1</t>
        </is>
      </c>
      <c r="C3063" s="16" t="inlineStr">
        <is>
          <t>6.1a</t>
        </is>
      </c>
      <c r="D3063" s="16" t="inlineStr">
        <is>
          <t>teqp frente al motor real</t>
        </is>
      </c>
      <c r="E3063" s="16" t="inlineStr">
        <is>
          <t>KF-M06</t>
        </is>
      </c>
      <c r="F3063" s="16" t="inlineStr">
        <is>
          <t>KF-M06-VER</t>
        </is>
      </c>
      <c r="G3063" s="16" t="inlineStr">
        <is>
          <t>B12</t>
        </is>
      </c>
      <c r="H3063" s="16" t="inlineStr">
        <is>
          <t>control</t>
        </is>
      </c>
      <c r="I3063" s="16" t="inlineStr">
        <is>
          <t>NO_CONVERGIO</t>
        </is>
      </c>
      <c r="J3063" s="16" t="inlineStr">
        <is>
          <t>NO_CONVERGIO</t>
        </is>
      </c>
      <c r="K3063" s="16" t="b">
        <v>0</v>
      </c>
      <c r="L3063" s="16" t="b">
        <v>0</v>
      </c>
      <c r="M3063" s="16" t="b">
        <v>0</v>
      </c>
      <c r="N3063" s="16" t="b">
        <v>0</v>
      </c>
      <c r="O3063" s="16" t="n">
        <v>623.15</v>
      </c>
      <c r="P3063" s="16" t="n">
        <v>300.032917</v>
      </c>
      <c r="Q3063" s="16" t="n">
        <v>5000</v>
      </c>
      <c r="R3063" s="16" t="n">
        <v>1359.556702008076</v>
      </c>
      <c r="S3063" s="16" t="n">
        <v>0.85</v>
      </c>
      <c r="T3063" s="16" t="n">
        <v>0.946055907458648</v>
      </c>
      <c r="U3063" s="16" t="n">
        <v>0.8375342727183488</v>
      </c>
      <c r="V3063" s="16" t="n">
        <v>0.4963658855761367</v>
      </c>
      <c r="W3063" s="16" t="n">
        <v>0.9166775946077288</v>
      </c>
      <c r="X3063" s="16" t="n">
        <v>0.9457881775355844</v>
      </c>
      <c r="Y3063" s="16" t="n">
        <v>300.032917</v>
      </c>
      <c r="Z3063" s="16" t="n"/>
      <c r="AA3063" s="16" t="n"/>
      <c r="AB3063" s="16" t="n">
        <v>3640.443297991924</v>
      </c>
      <c r="AC3063" s="16" t="n">
        <v>3.677669340760087</v>
      </c>
      <c r="AD3063" s="16" t="n"/>
      <c r="AE3063" s="16" t="n"/>
    </row>
    <row r="3064">
      <c r="A3064" s="16" t="inlineStr">
        <is>
          <t>KF-M06-VER-0017</t>
        </is>
      </c>
      <c r="B3064" s="16" t="inlineStr">
        <is>
          <t>6.1</t>
        </is>
      </c>
      <c r="C3064" s="16" t="inlineStr">
        <is>
          <t>6.1a</t>
        </is>
      </c>
      <c r="D3064" s="16" t="inlineStr">
        <is>
          <t>teqp frente al motor real</t>
        </is>
      </c>
      <c r="E3064" s="16" t="inlineStr">
        <is>
          <t>KF-M06</t>
        </is>
      </c>
      <c r="F3064" s="16" t="inlineStr">
        <is>
          <t>KF-M06-VER</t>
        </is>
      </c>
      <c r="G3064" s="16" t="inlineStr">
        <is>
          <t>B12</t>
        </is>
      </c>
      <c r="H3064" s="16" t="inlineStr">
        <is>
          <t>control</t>
        </is>
      </c>
      <c r="I3064" s="16" t="inlineStr">
        <is>
          <t>KALINA</t>
        </is>
      </c>
      <c r="J3064" s="16" t="inlineStr">
        <is>
          <t>KALINA</t>
        </is>
      </c>
      <c r="K3064" s="16" t="b">
        <v>1</v>
      </c>
      <c r="L3064" s="16" t="b">
        <v>0</v>
      </c>
      <c r="M3064" s="16" t="b">
        <v>1</v>
      </c>
      <c r="N3064" s="16" t="b">
        <v>0</v>
      </c>
      <c r="O3064" s="16" t="n">
        <v>623.15</v>
      </c>
      <c r="P3064" s="16" t="n">
        <v>300.032917</v>
      </c>
      <c r="Q3064" s="16" t="n">
        <v>3000</v>
      </c>
      <c r="R3064" s="16" t="n">
        <v>1318.181818182</v>
      </c>
      <c r="S3064" s="16" t="n">
        <v>0.5</v>
      </c>
      <c r="T3064" s="16" t="n">
        <v>0.85</v>
      </c>
      <c r="U3064" s="16" t="n">
        <v>0.75</v>
      </c>
      <c r="V3064" s="16" t="n">
        <v>0.4</v>
      </c>
      <c r="W3064" s="16" t="n">
        <v>0.75</v>
      </c>
      <c r="X3064" s="16" t="n">
        <v>0.8</v>
      </c>
      <c r="Y3064" s="16" t="n">
        <v>300.032917</v>
      </c>
      <c r="Z3064" s="16" t="n">
        <v>6.2705141296361</v>
      </c>
      <c r="AA3064" s="16" t="n">
        <v>58.77681796654025</v>
      </c>
      <c r="AB3064" s="16" t="n">
        <v>1681.818181818</v>
      </c>
      <c r="AC3064" s="16" t="n">
        <v>2.275862068965204</v>
      </c>
      <c r="AD3064" s="16" t="n"/>
      <c r="AE3064" s="16" t="n"/>
    </row>
    <row r="3065">
      <c r="A3065" s="16" t="inlineStr">
        <is>
          <t>KF-M06-VER-0018</t>
        </is>
      </c>
      <c r="B3065" s="16" t="inlineStr">
        <is>
          <t>6.1</t>
        </is>
      </c>
      <c r="C3065" s="16" t="inlineStr">
        <is>
          <t>6.1a</t>
        </is>
      </c>
      <c r="D3065" s="16" t="inlineStr">
        <is>
          <t>teqp frente al motor real</t>
        </is>
      </c>
      <c r="E3065" s="16" t="inlineStr">
        <is>
          <t>KF-M06</t>
        </is>
      </c>
      <c r="F3065" s="16" t="inlineStr">
        <is>
          <t>KF-M06-VER</t>
        </is>
      </c>
      <c r="G3065" s="16" t="inlineStr">
        <is>
          <t>B12</t>
        </is>
      </c>
      <c r="H3065" s="16" t="inlineStr">
        <is>
          <t>control</t>
        </is>
      </c>
      <c r="I3065" s="16" t="inlineStr">
        <is>
          <t>KALINA</t>
        </is>
      </c>
      <c r="J3065" s="16" t="inlineStr">
        <is>
          <t>KALINA</t>
        </is>
      </c>
      <c r="K3065" s="16" t="b">
        <v>1</v>
      </c>
      <c r="L3065" s="16" t="b">
        <v>1</v>
      </c>
      <c r="M3065" s="16" t="b">
        <v>0</v>
      </c>
      <c r="N3065" s="16" t="b">
        <v>0</v>
      </c>
      <c r="O3065" s="16" t="n">
        <v>410</v>
      </c>
      <c r="P3065" s="16" t="n">
        <v>300.032917</v>
      </c>
      <c r="Q3065" s="16" t="n">
        <v>3000</v>
      </c>
      <c r="R3065" s="16" t="n">
        <v>400</v>
      </c>
      <c r="S3065" s="16" t="n">
        <v>0.5</v>
      </c>
      <c r="T3065" s="16" t="n">
        <v>0.85</v>
      </c>
      <c r="U3065" s="16" t="n">
        <v>0.75</v>
      </c>
      <c r="V3065" s="16" t="n">
        <v>0.85</v>
      </c>
      <c r="W3065" s="16" t="n">
        <v>0.75</v>
      </c>
      <c r="X3065" s="16" t="n">
        <v>0.95</v>
      </c>
      <c r="Y3065" s="16" t="n">
        <v>300.032917</v>
      </c>
      <c r="Z3065" s="16" t="n">
        <v>10.80660869676167</v>
      </c>
      <c r="AA3065" s="16" t="n">
        <v>44.30475135014125</v>
      </c>
      <c r="AB3065" s="16" t="n">
        <v>2600</v>
      </c>
      <c r="AC3065" s="16" t="n">
        <v>7.5</v>
      </c>
      <c r="AD3065" s="16" t="n"/>
      <c r="AE3065" s="16" t="n"/>
    </row>
    <row r="3066">
      <c r="A3066" s="16" t="inlineStr">
        <is>
          <t>KF-M06-VER-0019</t>
        </is>
      </c>
      <c r="B3066" s="16" t="inlineStr">
        <is>
          <t>6.1</t>
        </is>
      </c>
      <c r="C3066" s="16" t="inlineStr">
        <is>
          <t>6.1a</t>
        </is>
      </c>
      <c r="D3066" s="16" t="inlineStr">
        <is>
          <t>teqp frente al motor real</t>
        </is>
      </c>
      <c r="E3066" s="16" t="inlineStr">
        <is>
          <t>KF-M06</t>
        </is>
      </c>
      <c r="F3066" s="16" t="inlineStr">
        <is>
          <t>KF-M06-VER</t>
        </is>
      </c>
      <c r="G3066" s="16" t="inlineStr">
        <is>
          <t>B12</t>
        </is>
      </c>
      <c r="H3066" s="16" t="inlineStr">
        <is>
          <t>control</t>
        </is>
      </c>
      <c r="I3066" s="16" t="inlineStr">
        <is>
          <t>NO_CONVERGIO</t>
        </is>
      </c>
      <c r="J3066" s="16" t="inlineStr">
        <is>
          <t>NO_CONVERGIO</t>
        </is>
      </c>
      <c r="K3066" s="16" t="b">
        <v>0</v>
      </c>
      <c r="L3066" s="16" t="b">
        <v>0</v>
      </c>
      <c r="M3066" s="16" t="b">
        <v>0</v>
      </c>
      <c r="N3066" s="16" t="b">
        <v>0</v>
      </c>
      <c r="O3066" s="16" t="n">
        <v>623.15</v>
      </c>
      <c r="P3066" s="16" t="n">
        <v>302.58136184317</v>
      </c>
      <c r="Q3066" s="16" t="n">
        <v>4808.3419580395</v>
      </c>
      <c r="R3066" s="16" t="n">
        <v>1022.274389807265</v>
      </c>
      <c r="S3066" s="16" t="n">
        <v>0.5</v>
      </c>
      <c r="T3066" s="16" t="n">
        <v>0.9224916747106672</v>
      </c>
      <c r="U3066" s="16" t="n">
        <v>0.5760658994683791</v>
      </c>
      <c r="V3066" s="16" t="n">
        <v>0.4623021552349206</v>
      </c>
      <c r="W3066" s="16" t="n">
        <v>0.6851145100609968</v>
      </c>
      <c r="X3066" s="16" t="n">
        <v>0.8784157959492287</v>
      </c>
      <c r="Y3066" s="16" t="n">
        <v>302.58136184317</v>
      </c>
      <c r="Z3066" s="16" t="n"/>
      <c r="AA3066" s="16" t="n"/>
      <c r="AB3066" s="16" t="n">
        <v>3786.067568232236</v>
      </c>
      <c r="AC3066" s="16" t="n">
        <v>4.703572745225522</v>
      </c>
      <c r="AD3066" s="16" t="n"/>
      <c r="AE3066" s="16" t="n"/>
    </row>
    <row r="3067">
      <c r="A3067" s="16" t="inlineStr">
        <is>
          <t>KF-M06-VER-0020</t>
        </is>
      </c>
      <c r="B3067" s="16" t="inlineStr">
        <is>
          <t>6.1</t>
        </is>
      </c>
      <c r="C3067" s="16" t="inlineStr">
        <is>
          <t>6.1a</t>
        </is>
      </c>
      <c r="D3067" s="16" t="inlineStr">
        <is>
          <t>teqp frente al motor real</t>
        </is>
      </c>
      <c r="E3067" s="16" t="inlineStr">
        <is>
          <t>KF-M06</t>
        </is>
      </c>
      <c r="F3067" s="16" t="inlineStr">
        <is>
          <t>KF-M06-VER</t>
        </is>
      </c>
      <c r="G3067" s="16" t="inlineStr">
        <is>
          <t>B12</t>
        </is>
      </c>
      <c r="H3067" s="16" t="inlineStr">
        <is>
          <t>control</t>
        </is>
      </c>
      <c r="I3067" s="16" t="inlineStr">
        <is>
          <t>NO_CONVERGIO</t>
        </is>
      </c>
      <c r="J3067" s="16" t="inlineStr">
        <is>
          <t>NO_CONVERGIO</t>
        </is>
      </c>
      <c r="K3067" s="16" t="b">
        <v>0</v>
      </c>
      <c r="L3067" s="16" t="b">
        <v>0</v>
      </c>
      <c r="M3067" s="16" t="b">
        <v>0</v>
      </c>
      <c r="N3067" s="16" t="b">
        <v>0</v>
      </c>
      <c r="O3067" s="16" t="n">
        <v>436.0969531091276</v>
      </c>
      <c r="P3067" s="16" t="n">
        <v>279.0977013205448</v>
      </c>
      <c r="Q3067" s="16" t="n">
        <v>3481.823024523768</v>
      </c>
      <c r="R3067" s="16" t="n">
        <v>808.3402577390962</v>
      </c>
      <c r="S3067" s="16" t="n">
        <v>0.6347489709498951</v>
      </c>
      <c r="T3067" s="16" t="n">
        <v>0.9184829805028722</v>
      </c>
      <c r="U3067" s="16" t="n">
        <v>0.7460814839003643</v>
      </c>
      <c r="V3067" s="16" t="n">
        <v>0.6777311085206517</v>
      </c>
      <c r="W3067" s="16" t="n">
        <v>0.9415298192493302</v>
      </c>
      <c r="X3067" s="16" t="n">
        <v>0.8418262585071621</v>
      </c>
      <c r="Y3067" s="16" t="n">
        <v>279.0977013205448</v>
      </c>
      <c r="Z3067" s="16" t="n"/>
      <c r="AA3067" s="16" t="n"/>
      <c r="AB3067" s="16" t="n">
        <v>2673.482766784672</v>
      </c>
      <c r="AC3067" s="16" t="n">
        <v>4.307373029103269</v>
      </c>
      <c r="AD3067" s="16" t="n"/>
      <c r="AE3067" s="16" t="n"/>
    </row>
    <row r="3068">
      <c r="A3068" s="16" t="inlineStr">
        <is>
          <t>KF-M06-VER-0021</t>
        </is>
      </c>
      <c r="B3068" s="16" t="inlineStr">
        <is>
          <t>6.1</t>
        </is>
      </c>
      <c r="C3068" s="16" t="inlineStr">
        <is>
          <t>6.1a</t>
        </is>
      </c>
      <c r="D3068" s="16" t="inlineStr">
        <is>
          <t>teqp frente al motor real</t>
        </is>
      </c>
      <c r="E3068" s="16" t="inlineStr">
        <is>
          <t>KF-M06</t>
        </is>
      </c>
      <c r="F3068" s="16" t="inlineStr">
        <is>
          <t>KF-M06-VER</t>
        </is>
      </c>
      <c r="G3068" s="16" t="inlineStr">
        <is>
          <t>B12</t>
        </is>
      </c>
      <c r="H3068" s="16" t="inlineStr">
        <is>
          <t>control</t>
        </is>
      </c>
      <c r="I3068" s="16" t="inlineStr">
        <is>
          <t>NO_CONVERGIO</t>
        </is>
      </c>
      <c r="J3068" s="16" t="inlineStr">
        <is>
          <t>NO_CONVERGIO</t>
        </is>
      </c>
      <c r="K3068" s="16" t="b">
        <v>0</v>
      </c>
      <c r="L3068" s="16" t="b">
        <v>0</v>
      </c>
      <c r="M3068" s="16" t="b">
        <v>0</v>
      </c>
      <c r="N3068" s="16" t="b">
        <v>0</v>
      </c>
      <c r="O3068" s="16" t="n">
        <v>438.2259566657808</v>
      </c>
      <c r="P3068" s="16" t="n">
        <v>282.8953248402438</v>
      </c>
      <c r="Q3068" s="16" t="n">
        <v>3655.031570453786</v>
      </c>
      <c r="R3068" s="16" t="n">
        <v>2494.528668778344</v>
      </c>
      <c r="S3068" s="16" t="n">
        <v>0.5781880347009879</v>
      </c>
      <c r="T3068" s="16" t="n">
        <v>0.7807499296946772</v>
      </c>
      <c r="U3068" s="16" t="n">
        <v>0.8717826943293954</v>
      </c>
      <c r="V3068" s="16" t="n">
        <v>0.8204551584792749</v>
      </c>
      <c r="W3068" s="16" t="n">
        <v>0.8725835974278591</v>
      </c>
      <c r="X3068" s="16" t="n">
        <v>0.8379501788293323</v>
      </c>
      <c r="Y3068" s="16" t="n">
        <v>282.8953248402438</v>
      </c>
      <c r="Z3068" s="16" t="n"/>
      <c r="AA3068" s="16" t="n"/>
      <c r="AB3068" s="16" t="n">
        <v>1160.502901675442</v>
      </c>
      <c r="AC3068" s="16" t="n">
        <v>1.465219308240614</v>
      </c>
      <c r="AD3068" s="16" t="n"/>
      <c r="AE3068" s="16" t="n"/>
    </row>
    <row r="3069">
      <c r="A3069" s="16" t="inlineStr">
        <is>
          <t>KF-M06-VER-0022</t>
        </is>
      </c>
      <c r="B3069" s="16" t="inlineStr">
        <is>
          <t>6.1</t>
        </is>
      </c>
      <c r="C3069" s="16" t="inlineStr">
        <is>
          <t>6.1a</t>
        </is>
      </c>
      <c r="D3069" s="16" t="inlineStr">
        <is>
          <t>teqp frente al motor real</t>
        </is>
      </c>
      <c r="E3069" s="16" t="inlineStr">
        <is>
          <t>KF-M06</t>
        </is>
      </c>
      <c r="F3069" s="16" t="inlineStr">
        <is>
          <t>KF-M06-VER</t>
        </is>
      </c>
      <c r="G3069" s="16" t="inlineStr">
        <is>
          <t>B12</t>
        </is>
      </c>
      <c r="H3069" s="16" t="inlineStr">
        <is>
          <t>control</t>
        </is>
      </c>
      <c r="I3069" s="16" t="inlineStr">
        <is>
          <t>NO_CONVERGIO</t>
        </is>
      </c>
      <c r="J3069" s="16" t="inlineStr">
        <is>
          <t>NO_CONVERGIO</t>
        </is>
      </c>
      <c r="K3069" s="16" t="b">
        <v>0</v>
      </c>
      <c r="L3069" s="16" t="b">
        <v>0</v>
      </c>
      <c r="M3069" s="16" t="b">
        <v>0</v>
      </c>
      <c r="N3069" s="16" t="b">
        <v>0</v>
      </c>
      <c r="O3069" s="16" t="n">
        <v>623.15</v>
      </c>
      <c r="P3069" s="16" t="n">
        <v>300.032917</v>
      </c>
      <c r="Q3069" s="16" t="n">
        <v>3000</v>
      </c>
      <c r="R3069" s="16" t="n">
        <v>1318.181818182</v>
      </c>
      <c r="S3069" s="16" t="n">
        <v>0.5</v>
      </c>
      <c r="T3069" s="16" t="n">
        <v>0.85</v>
      </c>
      <c r="U3069" s="16" t="n">
        <v>0.75</v>
      </c>
      <c r="V3069" s="16" t="n">
        <v>0.4</v>
      </c>
      <c r="W3069" s="16" t="n">
        <v>0.75</v>
      </c>
      <c r="X3069" s="16" t="n">
        <v>0.8</v>
      </c>
      <c r="Y3069" s="16" t="n">
        <v>300.032917</v>
      </c>
      <c r="Z3069" s="16" t="n"/>
      <c r="AA3069" s="16" t="n"/>
      <c r="AB3069" s="16" t="n">
        <v>1681.818181818</v>
      </c>
      <c r="AC3069" s="16" t="n">
        <v>2.275862068965204</v>
      </c>
      <c r="AD3069" s="16" t="n"/>
      <c r="AE3069" s="16" t="n"/>
    </row>
    <row r="3070">
      <c r="A3070" s="16" t="inlineStr">
        <is>
          <t>KF-M06-VER-0023</t>
        </is>
      </c>
      <c r="B3070" s="16" t="inlineStr">
        <is>
          <t>6.1</t>
        </is>
      </c>
      <c r="C3070" s="16" t="inlineStr">
        <is>
          <t>6.1a</t>
        </is>
      </c>
      <c r="D3070" s="16" t="inlineStr">
        <is>
          <t>teqp frente al motor real</t>
        </is>
      </c>
      <c r="E3070" s="16" t="inlineStr">
        <is>
          <t>KF-M06</t>
        </is>
      </c>
      <c r="F3070" s="16" t="inlineStr">
        <is>
          <t>KF-M06-VER</t>
        </is>
      </c>
      <c r="G3070" s="16" t="inlineStr">
        <is>
          <t>B12</t>
        </is>
      </c>
      <c r="H3070" s="16" t="inlineStr">
        <is>
          <t>control</t>
        </is>
      </c>
      <c r="I3070" s="16" t="inlineStr">
        <is>
          <t>KALINA</t>
        </is>
      </c>
      <c r="J3070" s="16" t="inlineStr">
        <is>
          <t>KALINA</t>
        </is>
      </c>
      <c r="K3070" s="16" t="b">
        <v>1</v>
      </c>
      <c r="L3070" s="16" t="b">
        <v>1</v>
      </c>
      <c r="M3070" s="16" t="b">
        <v>0</v>
      </c>
      <c r="N3070" s="16" t="b">
        <v>0</v>
      </c>
      <c r="O3070" s="16" t="n">
        <v>415</v>
      </c>
      <c r="P3070" s="16" t="n">
        <v>300.032917</v>
      </c>
      <c r="Q3070" s="16" t="n">
        <v>3000</v>
      </c>
      <c r="R3070" s="16" t="n">
        <v>400</v>
      </c>
      <c r="S3070" s="16" t="n">
        <v>0.5</v>
      </c>
      <c r="T3070" s="16" t="n">
        <v>0.95</v>
      </c>
      <c r="U3070" s="16" t="n">
        <v>0.8049999999999999</v>
      </c>
      <c r="V3070" s="16" t="n">
        <v>0.95</v>
      </c>
      <c r="W3070" s="16" t="n">
        <v>0.95</v>
      </c>
      <c r="X3070" s="16" t="n">
        <v>0.95</v>
      </c>
      <c r="Y3070" s="16" t="n">
        <v>300.032917</v>
      </c>
      <c r="Z3070" s="16" t="n">
        <v>15.59993576058993</v>
      </c>
      <c r="AA3070" s="16" t="n">
        <v>71.37318383207614</v>
      </c>
      <c r="AB3070" s="16" t="n">
        <v>2600</v>
      </c>
      <c r="AC3070" s="16" t="n">
        <v>7.5</v>
      </c>
      <c r="AD3070" s="16" t="n"/>
      <c r="AE3070" s="16" t="n"/>
    </row>
    <row r="3071">
      <c r="A3071" s="16" t="inlineStr">
        <is>
          <t>KF-M06-PISO-0000</t>
        </is>
      </c>
      <c r="B3071" s="16" t="inlineStr">
        <is>
          <t>6.1</t>
        </is>
      </c>
      <c r="C3071" s="16" t="inlineStr">
        <is>
          <t>6.1b</t>
        </is>
      </c>
      <c r="D3071" s="16" t="inlineStr">
        <is>
          <t>piso de cavitación a 30.4 °C</t>
        </is>
      </c>
      <c r="E3071" s="16" t="inlineStr">
        <is>
          <t>KF-M06</t>
        </is>
      </c>
      <c r="F3071" s="16" t="inlineStr">
        <is>
          <t>KF-M06-PISO</t>
        </is>
      </c>
      <c r="G3071" s="16" t="inlineStr">
        <is>
          <t>B12</t>
        </is>
      </c>
      <c r="H3071" s="16" t="inlineStr">
        <is>
          <t>control</t>
        </is>
      </c>
      <c r="I3071" s="16" t="inlineStr">
        <is>
          <t>CORREGIBLE</t>
        </is>
      </c>
      <c r="J3071" s="16" t="inlineStr">
        <is>
          <t>CORREGIBLE</t>
        </is>
      </c>
      <c r="K3071" s="16" t="b">
        <v>1</v>
      </c>
      <c r="L3071" s="16" t="b">
        <v>0</v>
      </c>
      <c r="M3071" s="16" t="b">
        <v>0</v>
      </c>
      <c r="N3071" s="16" t="b">
        <v>0</v>
      </c>
      <c r="O3071" s="16" t="n">
        <v>403</v>
      </c>
      <c r="P3071" s="16" t="n">
        <v>300.032917</v>
      </c>
      <c r="Q3071" s="16" t="n">
        <v>3000</v>
      </c>
      <c r="R3071" s="16" t="n">
        <v>563.6363636363637</v>
      </c>
      <c r="S3071" s="16" t="n">
        <v>0.5</v>
      </c>
      <c r="T3071" s="16" t="n">
        <v>0.85</v>
      </c>
      <c r="U3071" s="16" t="n">
        <v>0.75</v>
      </c>
      <c r="V3071" s="16" t="n">
        <v>0.85</v>
      </c>
      <c r="W3071" s="16" t="n">
        <v>0.75</v>
      </c>
      <c r="X3071" s="16" t="n">
        <v>0.8</v>
      </c>
      <c r="Y3071" s="16" t="n">
        <v>303.55</v>
      </c>
      <c r="Z3071" s="16" t="n">
        <v>8.481891205006569</v>
      </c>
      <c r="AA3071" s="16" t="n">
        <v>25.94188172942141</v>
      </c>
      <c r="AB3071" s="16" t="n">
        <v>2436.363636363636</v>
      </c>
      <c r="AC3071" s="16" t="n">
        <v>5.322580645161289</v>
      </c>
      <c r="AD3071" s="16" t="inlineStr">
        <is>
          <t>O2</t>
        </is>
      </c>
      <c r="AE3071" s="16" t="n"/>
    </row>
    <row r="3072">
      <c r="A3072" s="16" t="inlineStr">
        <is>
          <t>KF-M06-PISO-0001</t>
        </is>
      </c>
      <c r="B3072" s="16" t="inlineStr">
        <is>
          <t>6.1</t>
        </is>
      </c>
      <c r="C3072" s="16" t="inlineStr">
        <is>
          <t>6.1b</t>
        </is>
      </c>
      <c r="D3072" s="16" t="inlineStr">
        <is>
          <t>piso de cavitación a 30.4 °C</t>
        </is>
      </c>
      <c r="E3072" s="16" t="inlineStr">
        <is>
          <t>KF-M06</t>
        </is>
      </c>
      <c r="F3072" s="16" t="inlineStr">
        <is>
          <t>KF-M06-PISO</t>
        </is>
      </c>
      <c r="G3072" s="16" t="inlineStr">
        <is>
          <t>B12</t>
        </is>
      </c>
      <c r="H3072" s="16" t="inlineStr">
        <is>
          <t>control</t>
        </is>
      </c>
      <c r="I3072" s="16" t="inlineStr">
        <is>
          <t>CORREGIBLE</t>
        </is>
      </c>
      <c r="J3072" s="16" t="inlineStr">
        <is>
          <t>CORREGIBLE</t>
        </is>
      </c>
      <c r="K3072" s="16" t="b">
        <v>1</v>
      </c>
      <c r="L3072" s="16" t="b">
        <v>0</v>
      </c>
      <c r="M3072" s="16" t="b">
        <v>0</v>
      </c>
      <c r="N3072" s="16" t="b">
        <v>0</v>
      </c>
      <c r="O3072" s="16" t="n">
        <v>410</v>
      </c>
      <c r="P3072" s="16" t="n">
        <v>300.032917</v>
      </c>
      <c r="Q3072" s="16" t="n">
        <v>3000</v>
      </c>
      <c r="R3072" s="16" t="n">
        <v>400</v>
      </c>
      <c r="S3072" s="16" t="n">
        <v>0.5</v>
      </c>
      <c r="T3072" s="16" t="n">
        <v>0.85</v>
      </c>
      <c r="U3072" s="16" t="n">
        <v>0.75</v>
      </c>
      <c r="V3072" s="16" t="n">
        <v>0.85</v>
      </c>
      <c r="W3072" s="16" t="n">
        <v>0.75</v>
      </c>
      <c r="X3072" s="16" t="n">
        <v>0.95</v>
      </c>
      <c r="Y3072" s="16" t="n">
        <v>303.55</v>
      </c>
      <c r="Z3072" s="16" t="n">
        <v>10.80651724015787</v>
      </c>
      <c r="AA3072" s="16" t="n">
        <v>44.30802720897731</v>
      </c>
      <c r="AB3072" s="16" t="n">
        <v>2600</v>
      </c>
      <c r="AC3072" s="16" t="n">
        <v>7.5</v>
      </c>
      <c r="AD3072" s="16" t="inlineStr">
        <is>
          <t>O2</t>
        </is>
      </c>
      <c r="AE3072" s="16" t="n"/>
    </row>
    <row r="3073">
      <c r="A3073" s="16" t="inlineStr">
        <is>
          <t>KF-M06-PISO-0002</t>
        </is>
      </c>
      <c r="B3073" s="16" t="inlineStr">
        <is>
          <t>6.1</t>
        </is>
      </c>
      <c r="C3073" s="16" t="inlineStr">
        <is>
          <t>6.1b</t>
        </is>
      </c>
      <c r="D3073" s="16" t="inlineStr">
        <is>
          <t>piso de cavitación a 30.4 °C</t>
        </is>
      </c>
      <c r="E3073" s="16" t="inlineStr">
        <is>
          <t>KF-M06</t>
        </is>
      </c>
      <c r="F3073" s="16" t="inlineStr">
        <is>
          <t>KF-M06-PISO</t>
        </is>
      </c>
      <c r="G3073" s="16" t="inlineStr">
        <is>
          <t>B12</t>
        </is>
      </c>
      <c r="H3073" s="16" t="inlineStr">
        <is>
          <t>control</t>
        </is>
      </c>
      <c r="I3073" s="16" t="inlineStr">
        <is>
          <t>CORREGIBLE</t>
        </is>
      </c>
      <c r="J3073" s="16" t="inlineStr">
        <is>
          <t>CORREGIBLE</t>
        </is>
      </c>
      <c r="K3073" s="16" t="b">
        <v>1</v>
      </c>
      <c r="L3073" s="16" t="b">
        <v>0</v>
      </c>
      <c r="M3073" s="16" t="b">
        <v>0</v>
      </c>
      <c r="N3073" s="16" t="b">
        <v>0</v>
      </c>
      <c r="O3073" s="16" t="n">
        <v>420</v>
      </c>
      <c r="P3073" s="16" t="n">
        <v>300.032917</v>
      </c>
      <c r="Q3073" s="16" t="n">
        <v>3000</v>
      </c>
      <c r="R3073" s="16" t="n">
        <v>736.3636363639999</v>
      </c>
      <c r="S3073" s="16" t="n">
        <v>0.5</v>
      </c>
      <c r="T3073" s="16" t="n">
        <v>0.85</v>
      </c>
      <c r="U3073" s="16" t="n">
        <v>0.75</v>
      </c>
      <c r="V3073" s="16" t="n">
        <v>0.85</v>
      </c>
      <c r="W3073" s="16" t="n">
        <v>0.75</v>
      </c>
      <c r="X3073" s="16" t="n">
        <v>0.8</v>
      </c>
      <c r="Y3073" s="16" t="n">
        <v>303.55</v>
      </c>
      <c r="Z3073" s="16" t="n">
        <v>9.15042106800586</v>
      </c>
      <c r="AA3073" s="16" t="n">
        <v>45.99923564200601</v>
      </c>
      <c r="AB3073" s="16" t="n">
        <v>2263.636363636</v>
      </c>
      <c r="AC3073" s="16" t="n">
        <v>4.074074074072063</v>
      </c>
      <c r="AD3073" s="16" t="inlineStr">
        <is>
          <t>O2</t>
        </is>
      </c>
      <c r="AE3073" s="16" t="n"/>
    </row>
    <row r="3074">
      <c r="A3074" s="16" t="inlineStr">
        <is>
          <t>KF-M06-PISO-0003</t>
        </is>
      </c>
      <c r="B3074" s="16" t="inlineStr">
        <is>
          <t>6.1</t>
        </is>
      </c>
      <c r="C3074" s="16" t="inlineStr">
        <is>
          <t>6.1b</t>
        </is>
      </c>
      <c r="D3074" s="16" t="inlineStr">
        <is>
          <t>piso de cavitación a 30.4 °C</t>
        </is>
      </c>
      <c r="E3074" s="16" t="inlineStr">
        <is>
          <t>KF-M06</t>
        </is>
      </c>
      <c r="F3074" s="16" t="inlineStr">
        <is>
          <t>KF-M06-PISO</t>
        </is>
      </c>
      <c r="G3074" s="16" t="inlineStr">
        <is>
          <t>B12</t>
        </is>
      </c>
      <c r="H3074" s="16" t="inlineStr">
        <is>
          <t>control</t>
        </is>
      </c>
      <c r="I3074" s="16" t="inlineStr">
        <is>
          <t>CORREGIBLE</t>
        </is>
      </c>
      <c r="J3074" s="16" t="inlineStr">
        <is>
          <t>CORREGIBLE</t>
        </is>
      </c>
      <c r="K3074" s="16" t="b">
        <v>1</v>
      </c>
      <c r="L3074" s="16" t="b">
        <v>0</v>
      </c>
      <c r="M3074" s="16" t="b">
        <v>0</v>
      </c>
      <c r="N3074" s="16" t="b">
        <v>0</v>
      </c>
      <c r="O3074" s="16" t="n">
        <v>390</v>
      </c>
      <c r="P3074" s="16" t="n">
        <v>300.032917</v>
      </c>
      <c r="Q3074" s="16" t="n">
        <v>3000</v>
      </c>
      <c r="R3074" s="16" t="n">
        <v>400</v>
      </c>
      <c r="S3074" s="16" t="n">
        <v>0.5</v>
      </c>
      <c r="T3074" s="16" t="n">
        <v>0.85</v>
      </c>
      <c r="U3074" s="16" t="n">
        <v>0.75</v>
      </c>
      <c r="V3074" s="16" t="n">
        <v>0.85</v>
      </c>
      <c r="W3074" s="16" t="n">
        <v>0.75</v>
      </c>
      <c r="X3074" s="16" t="n">
        <v>0.875</v>
      </c>
      <c r="Y3074" s="16" t="n">
        <v>303.55</v>
      </c>
      <c r="Z3074" s="16" t="n">
        <v>2.53932312022593</v>
      </c>
      <c r="AA3074" s="16" t="n">
        <v>3.769197404130745</v>
      </c>
      <c r="AB3074" s="16" t="n">
        <v>2600</v>
      </c>
      <c r="AC3074" s="16" t="n">
        <v>7.5</v>
      </c>
      <c r="AD3074" s="16" t="inlineStr">
        <is>
          <t>O2</t>
        </is>
      </c>
      <c r="AE3074" s="16" t="n"/>
    </row>
    <row r="3075">
      <c r="A3075" s="16" t="inlineStr">
        <is>
          <t>KF-M06-PISO-0004</t>
        </is>
      </c>
      <c r="B3075" s="16" t="inlineStr">
        <is>
          <t>6.1</t>
        </is>
      </c>
      <c r="C3075" s="16" t="inlineStr">
        <is>
          <t>6.1b</t>
        </is>
      </c>
      <c r="D3075" s="16" t="inlineStr">
        <is>
          <t>piso de cavitación a 30.4 °C</t>
        </is>
      </c>
      <c r="E3075" s="16" t="inlineStr">
        <is>
          <t>KF-M06</t>
        </is>
      </c>
      <c r="F3075" s="16" t="inlineStr">
        <is>
          <t>KF-M06-PISO</t>
        </is>
      </c>
      <c r="G3075" s="16" t="inlineStr">
        <is>
          <t>B12</t>
        </is>
      </c>
      <c r="H3075" s="16" t="inlineStr">
        <is>
          <t>control</t>
        </is>
      </c>
      <c r="I3075" s="16" t="inlineStr">
        <is>
          <t>CORREGIBLE</t>
        </is>
      </c>
      <c r="J3075" s="16" t="inlineStr">
        <is>
          <t>CORREGIBLE</t>
        </is>
      </c>
      <c r="K3075" s="16" t="b">
        <v>1</v>
      </c>
      <c r="L3075" s="16" t="b">
        <v>0</v>
      </c>
      <c r="M3075" s="16" t="b">
        <v>0</v>
      </c>
      <c r="N3075" s="16" t="b">
        <v>0</v>
      </c>
      <c r="O3075" s="16" t="n">
        <v>436.0969531091276</v>
      </c>
      <c r="P3075" s="16" t="n">
        <v>279.0977013205448</v>
      </c>
      <c r="Q3075" s="16" t="n">
        <v>4381.823024523768</v>
      </c>
      <c r="R3075" s="16" t="n">
        <v>808.3402577390962</v>
      </c>
      <c r="S3075" s="16" t="n">
        <v>0.7047489709498951</v>
      </c>
      <c r="T3075" s="16" t="n">
        <v>0.95</v>
      </c>
      <c r="U3075" s="16" t="n">
        <v>0.7460814839003644</v>
      </c>
      <c r="V3075" s="16" t="n">
        <v>0.6777311085206517</v>
      </c>
      <c r="W3075" s="16" t="n">
        <v>0.9415298192493302</v>
      </c>
      <c r="X3075" s="16" t="n">
        <v>0.8418262585071621</v>
      </c>
      <c r="Y3075" s="16" t="n">
        <v>303.55</v>
      </c>
      <c r="Z3075" s="16" t="n">
        <v>14.97793863825945</v>
      </c>
      <c r="AA3075" s="16" t="n">
        <v>111.1205978072659</v>
      </c>
      <c r="AB3075" s="16" t="n">
        <v>3573.482766784672</v>
      </c>
      <c r="AC3075" s="16" t="n">
        <v>5.420765553332204</v>
      </c>
      <c r="AD3075" s="16" t="inlineStr">
        <is>
          <t>O2</t>
        </is>
      </c>
      <c r="AE3075" s="16" t="n"/>
    </row>
    <row r="3076">
      <c r="A3076" s="16" t="inlineStr">
        <is>
          <t>KF-M06-PISO-0005</t>
        </is>
      </c>
      <c r="B3076" s="16" t="inlineStr">
        <is>
          <t>6.1</t>
        </is>
      </c>
      <c r="C3076" s="16" t="inlineStr">
        <is>
          <t>6.1b</t>
        </is>
      </c>
      <c r="D3076" s="16" t="inlineStr">
        <is>
          <t>piso de cavitación a 30.4 °C</t>
        </is>
      </c>
      <c r="E3076" s="16" t="inlineStr">
        <is>
          <t>KF-M06</t>
        </is>
      </c>
      <c r="F3076" s="16" t="inlineStr">
        <is>
          <t>KF-M06-PISO</t>
        </is>
      </c>
      <c r="G3076" s="16" t="inlineStr">
        <is>
          <t>B12</t>
        </is>
      </c>
      <c r="H3076" s="16" t="inlineStr">
        <is>
          <t>control</t>
        </is>
      </c>
      <c r="I3076" s="16" t="inlineStr">
        <is>
          <t>CORREGIBLE</t>
        </is>
      </c>
      <c r="J3076" s="16" t="inlineStr">
        <is>
          <t>CORREGIBLE</t>
        </is>
      </c>
      <c r="K3076" s="16" t="b">
        <v>1</v>
      </c>
      <c r="L3076" s="16" t="b">
        <v>0</v>
      </c>
      <c r="M3076" s="16" t="b">
        <v>0</v>
      </c>
      <c r="N3076" s="16" t="b">
        <v>0</v>
      </c>
      <c r="O3076" s="16" t="n">
        <v>420</v>
      </c>
      <c r="P3076" s="16" t="n">
        <v>278.15</v>
      </c>
      <c r="Q3076" s="16" t="n">
        <v>3000</v>
      </c>
      <c r="R3076" s="16" t="n">
        <v>393.75</v>
      </c>
      <c r="S3076" s="16" t="n">
        <v>0.5</v>
      </c>
      <c r="T3076" s="16" t="n">
        <v>0.95</v>
      </c>
      <c r="U3076" s="16" t="n">
        <v>0.75</v>
      </c>
      <c r="V3076" s="16" t="n">
        <v>0.85</v>
      </c>
      <c r="W3076" s="16" t="n">
        <v>0.95</v>
      </c>
      <c r="X3076" s="16" t="n">
        <v>0.8</v>
      </c>
      <c r="Y3076" s="16" t="n">
        <v>303.55</v>
      </c>
      <c r="Z3076" s="16" t="n">
        <v>15.48239750048667</v>
      </c>
      <c r="AA3076" s="16" t="n">
        <v>74.2243204819607</v>
      </c>
      <c r="AB3076" s="16" t="n">
        <v>2606.25</v>
      </c>
      <c r="AC3076" s="16" t="n">
        <v>7.619047619047619</v>
      </c>
      <c r="AD3076" s="16" t="inlineStr">
        <is>
          <t>O2</t>
        </is>
      </c>
      <c r="AE3076" s="16" t="n"/>
    </row>
    <row r="3077">
      <c r="A3077" s="16" t="inlineStr">
        <is>
          <t>KF-M06-PISO-0006</t>
        </is>
      </c>
      <c r="B3077" s="16" t="inlineStr">
        <is>
          <t>6.1</t>
        </is>
      </c>
      <c r="C3077" s="16" t="inlineStr">
        <is>
          <t>6.1b</t>
        </is>
      </c>
      <c r="D3077" s="16" t="inlineStr">
        <is>
          <t>piso de cavitación a 30.4 °C</t>
        </is>
      </c>
      <c r="E3077" s="16" t="inlineStr">
        <is>
          <t>KF-M06</t>
        </is>
      </c>
      <c r="F3077" s="16" t="inlineStr">
        <is>
          <t>KF-M06-PISO</t>
        </is>
      </c>
      <c r="G3077" s="16" t="inlineStr">
        <is>
          <t>B12</t>
        </is>
      </c>
      <c r="H3077" s="16" t="inlineStr">
        <is>
          <t>control</t>
        </is>
      </c>
      <c r="I3077" s="16" t="inlineStr">
        <is>
          <t>CORREGIBLE</t>
        </is>
      </c>
      <c r="J3077" s="16" t="inlineStr">
        <is>
          <t>CORREGIBLE</t>
        </is>
      </c>
      <c r="K3077" s="16" t="b">
        <v>1</v>
      </c>
      <c r="L3077" s="16" t="b">
        <v>0</v>
      </c>
      <c r="M3077" s="16" t="b">
        <v>0</v>
      </c>
      <c r="N3077" s="16" t="b">
        <v>0</v>
      </c>
      <c r="O3077" s="16" t="n">
        <v>415</v>
      </c>
      <c r="P3077" s="16" t="n">
        <v>300.032917</v>
      </c>
      <c r="Q3077" s="16" t="n">
        <v>3000</v>
      </c>
      <c r="R3077" s="16" t="n">
        <v>400</v>
      </c>
      <c r="S3077" s="16" t="n">
        <v>0.5</v>
      </c>
      <c r="T3077" s="16" t="n">
        <v>0.95</v>
      </c>
      <c r="U3077" s="16" t="n">
        <v>0.8049999999999999</v>
      </c>
      <c r="V3077" s="16" t="n">
        <v>0.95</v>
      </c>
      <c r="W3077" s="16" t="n">
        <v>0.95</v>
      </c>
      <c r="X3077" s="16" t="n">
        <v>0.95</v>
      </c>
      <c r="Y3077" s="16" t="n">
        <v>303.55</v>
      </c>
      <c r="Z3077" s="16" t="n">
        <v>15.59965738845141</v>
      </c>
      <c r="AA3077" s="16" t="n">
        <v>71.37748121622712</v>
      </c>
      <c r="AB3077" s="16" t="n">
        <v>2600</v>
      </c>
      <c r="AC3077" s="16" t="n">
        <v>7.5</v>
      </c>
      <c r="AD3077" s="16" t="inlineStr">
        <is>
          <t>O2</t>
        </is>
      </c>
      <c r="AE3077" s="16" t="n"/>
    </row>
    <row r="3078">
      <c r="A3078" s="16" t="inlineStr">
        <is>
          <t>KF-M06-PISO-0007</t>
        </is>
      </c>
      <c r="B3078" s="16" t="inlineStr">
        <is>
          <t>6.1</t>
        </is>
      </c>
      <c r="C3078" s="16" t="inlineStr">
        <is>
          <t>6.1b</t>
        </is>
      </c>
      <c r="D3078" s="16" t="inlineStr">
        <is>
          <t>piso de cavitación a 30.4 °C</t>
        </is>
      </c>
      <c r="E3078" s="16" t="inlineStr">
        <is>
          <t>KF-M06</t>
        </is>
      </c>
      <c r="F3078" s="16" t="inlineStr">
        <is>
          <t>KF-M06-PISO</t>
        </is>
      </c>
      <c r="G3078" s="16" t="inlineStr">
        <is>
          <t>B12</t>
        </is>
      </c>
      <c r="H3078" s="16" t="inlineStr">
        <is>
          <t>control</t>
        </is>
      </c>
      <c r="I3078" s="16" t="inlineStr">
        <is>
          <t>CORREGIBLE</t>
        </is>
      </c>
      <c r="J3078" s="16" t="inlineStr">
        <is>
          <t>CORREGIBLE</t>
        </is>
      </c>
      <c r="K3078" s="16" t="b">
        <v>1</v>
      </c>
      <c r="L3078" s="16" t="b">
        <v>0</v>
      </c>
      <c r="M3078" s="16" t="b">
        <v>0</v>
      </c>
      <c r="N3078" s="16" t="b">
        <v>0</v>
      </c>
      <c r="O3078" s="16" t="n">
        <v>436.0969531091276</v>
      </c>
      <c r="P3078" s="16" t="n">
        <v>279.0977013205448</v>
      </c>
      <c r="Q3078" s="16" t="n">
        <v>3481.823024523768</v>
      </c>
      <c r="R3078" s="16" t="n">
        <v>808.3402577390962</v>
      </c>
      <c r="S3078" s="16" t="n">
        <v>0.6347489709498951</v>
      </c>
      <c r="T3078" s="16" t="n">
        <v>0.9184829805028722</v>
      </c>
      <c r="U3078" s="16" t="n">
        <v>0.7460814839003643</v>
      </c>
      <c r="V3078" s="16" t="n">
        <v>0.6777311085206517</v>
      </c>
      <c r="W3078" s="16" t="n">
        <v>0.9415298192493302</v>
      </c>
      <c r="X3078" s="16" t="n">
        <v>0.8418262585071621</v>
      </c>
      <c r="Y3078" s="16" t="n">
        <v>303.55</v>
      </c>
      <c r="Z3078" s="16" t="n">
        <v>12.30159889633283</v>
      </c>
      <c r="AA3078" s="16" t="n">
        <v>91.41821112392584</v>
      </c>
      <c r="AB3078" s="16" t="n">
        <v>2673.482766784672</v>
      </c>
      <c r="AC3078" s="16" t="n">
        <v>4.307373029103269</v>
      </c>
      <c r="AD3078" s="16" t="inlineStr">
        <is>
          <t>O2</t>
        </is>
      </c>
      <c r="AE3078" s="16" t="n"/>
    </row>
    <row r="3079">
      <c r="A3079" s="16" t="inlineStr">
        <is>
          <t>KF-M06-PISO-0008</t>
        </is>
      </c>
      <c r="B3079" s="16" t="inlineStr">
        <is>
          <t>6.1</t>
        </is>
      </c>
      <c r="C3079" s="16" t="inlineStr">
        <is>
          <t>6.1b</t>
        </is>
      </c>
      <c r="D3079" s="16" t="inlineStr">
        <is>
          <t>piso de cavitación a 30.4 °C</t>
        </is>
      </c>
      <c r="E3079" s="16" t="inlineStr">
        <is>
          <t>KF-M06</t>
        </is>
      </c>
      <c r="F3079" s="16" t="inlineStr">
        <is>
          <t>KF-M06-PISO</t>
        </is>
      </c>
      <c r="G3079" s="16" t="inlineStr">
        <is>
          <t>B12</t>
        </is>
      </c>
      <c r="H3079" s="16" t="inlineStr">
        <is>
          <t>control</t>
        </is>
      </c>
      <c r="I3079" s="16" t="inlineStr">
        <is>
          <t>KALINA</t>
        </is>
      </c>
      <c r="J3079" s="16" t="inlineStr">
        <is>
          <t>KALINA</t>
        </is>
      </c>
      <c r="K3079" s="16" t="b">
        <v>1</v>
      </c>
      <c r="L3079" s="16" t="b">
        <v>1</v>
      </c>
      <c r="M3079" s="16" t="b">
        <v>0</v>
      </c>
      <c r="N3079" s="16" t="b">
        <v>0</v>
      </c>
      <c r="O3079" s="16" t="n">
        <v>623.15</v>
      </c>
      <c r="P3079" s="16" t="n">
        <v>300.032917</v>
      </c>
      <c r="Q3079" s="16" t="n">
        <v>5000</v>
      </c>
      <c r="R3079" s="16" t="n">
        <v>1359.556702008076</v>
      </c>
      <c r="S3079" s="16" t="n">
        <v>0.85</v>
      </c>
      <c r="T3079" s="16" t="n">
        <v>0.946055907458648</v>
      </c>
      <c r="U3079" s="16" t="n">
        <v>0.8375342727183488</v>
      </c>
      <c r="V3079" s="16" t="n">
        <v>0.4963658855761367</v>
      </c>
      <c r="W3079" s="16" t="n">
        <v>0.9166775946077288</v>
      </c>
      <c r="X3079" s="16" t="n">
        <v>0.9457881775355844</v>
      </c>
      <c r="Y3079" s="16" t="n">
        <v>303.55</v>
      </c>
      <c r="Z3079" s="16" t="n">
        <v>12.73867502186853</v>
      </c>
      <c r="AA3079" s="16" t="n">
        <v>129.3867377753009</v>
      </c>
      <c r="AB3079" s="16" t="n">
        <v>3640.443297991924</v>
      </c>
      <c r="AC3079" s="16" t="n">
        <v>3.677669340760087</v>
      </c>
      <c r="AD3079" s="16" t="n"/>
      <c r="AE3079" s="16" t="n"/>
    </row>
    <row r="3080">
      <c r="A3080" s="16" t="inlineStr">
        <is>
          <t>KF-M06-PISO-0009</t>
        </is>
      </c>
      <c r="B3080" s="16" t="inlineStr">
        <is>
          <t>6.1</t>
        </is>
      </c>
      <c r="C3080" s="16" t="inlineStr">
        <is>
          <t>6.1b</t>
        </is>
      </c>
      <c r="D3080" s="16" t="inlineStr">
        <is>
          <t>piso de cavitación a 30.4 °C</t>
        </is>
      </c>
      <c r="E3080" s="16" t="inlineStr">
        <is>
          <t>KF-M06</t>
        </is>
      </c>
      <c r="F3080" s="16" t="inlineStr">
        <is>
          <t>KF-M06-PISO</t>
        </is>
      </c>
      <c r="G3080" s="16" t="inlineStr">
        <is>
          <t>B12</t>
        </is>
      </c>
      <c r="H3080" s="16" t="inlineStr">
        <is>
          <t>control</t>
        </is>
      </c>
      <c r="I3080" s="16" t="inlineStr">
        <is>
          <t>KALINA</t>
        </is>
      </c>
      <c r="J3080" s="16" t="inlineStr">
        <is>
          <t>KALINA</t>
        </is>
      </c>
      <c r="K3080" s="16" t="b">
        <v>1</v>
      </c>
      <c r="L3080" s="16" t="b">
        <v>0</v>
      </c>
      <c r="M3080" s="16" t="b">
        <v>1</v>
      </c>
      <c r="N3080" s="16" t="b">
        <v>0</v>
      </c>
      <c r="O3080" s="16" t="n">
        <v>623.15</v>
      </c>
      <c r="P3080" s="16" t="n">
        <v>302.58136184317</v>
      </c>
      <c r="Q3080" s="16" t="n">
        <v>4808.3419580395</v>
      </c>
      <c r="R3080" s="16" t="n">
        <v>1022.274389807265</v>
      </c>
      <c r="S3080" s="16" t="n">
        <v>0.5</v>
      </c>
      <c r="T3080" s="16" t="n">
        <v>0.9224916747106672</v>
      </c>
      <c r="U3080" s="16" t="n">
        <v>0.5760658994683791</v>
      </c>
      <c r="V3080" s="16" t="n">
        <v>0.4623021552349206</v>
      </c>
      <c r="W3080" s="16" t="n">
        <v>0.6851145100609968</v>
      </c>
      <c r="X3080" s="16" t="n">
        <v>0.8784157959492287</v>
      </c>
      <c r="Y3080" s="16" t="n">
        <v>303.55</v>
      </c>
      <c r="Z3080" s="16" t="n">
        <v>11.09411449156198</v>
      </c>
      <c r="AA3080" s="16" t="n">
        <v>120.0102463378141</v>
      </c>
      <c r="AB3080" s="16" t="n">
        <v>3786.067568232236</v>
      </c>
      <c r="AC3080" s="16" t="n">
        <v>4.703572745225522</v>
      </c>
      <c r="AD3080" s="16" t="n"/>
      <c r="AE3080" s="16" t="n"/>
    </row>
    <row r="3081">
      <c r="A3081" s="16" t="inlineStr">
        <is>
          <t>KF-M06-PISO-0010</t>
        </is>
      </c>
      <c r="B3081" s="16" t="inlineStr">
        <is>
          <t>6.1</t>
        </is>
      </c>
      <c r="C3081" s="16" t="inlineStr">
        <is>
          <t>6.1b</t>
        </is>
      </c>
      <c r="D3081" s="16" t="inlineStr">
        <is>
          <t>piso de cavitación a 30.4 °C</t>
        </is>
      </c>
      <c r="E3081" s="16" t="inlineStr">
        <is>
          <t>KF-M06</t>
        </is>
      </c>
      <c r="F3081" s="16" t="inlineStr">
        <is>
          <t>KF-M06-PISO</t>
        </is>
      </c>
      <c r="G3081" s="16" t="inlineStr">
        <is>
          <t>B12</t>
        </is>
      </c>
      <c r="H3081" s="16" t="inlineStr">
        <is>
          <t>control</t>
        </is>
      </c>
      <c r="I3081" s="16" t="inlineStr">
        <is>
          <t>KALINA</t>
        </is>
      </c>
      <c r="J3081" s="16" t="inlineStr">
        <is>
          <t>KALINA</t>
        </is>
      </c>
      <c r="K3081" s="16" t="b">
        <v>1</v>
      </c>
      <c r="L3081" s="16" t="b">
        <v>0</v>
      </c>
      <c r="M3081" s="16" t="b">
        <v>1</v>
      </c>
      <c r="N3081" s="16" t="b">
        <v>0</v>
      </c>
      <c r="O3081" s="16" t="n">
        <v>438.2259566657808</v>
      </c>
      <c r="P3081" s="16" t="n">
        <v>282.8953248402438</v>
      </c>
      <c r="Q3081" s="16" t="n">
        <v>3655.031570453786</v>
      </c>
      <c r="R3081" s="16" t="n">
        <v>2494.528668778344</v>
      </c>
      <c r="S3081" s="16" t="n">
        <v>0.5781880347009879</v>
      </c>
      <c r="T3081" s="16" t="n">
        <v>0.7807499296946772</v>
      </c>
      <c r="U3081" s="16" t="n">
        <v>0.8717826943293954</v>
      </c>
      <c r="V3081" s="16" t="n">
        <v>0.8204551584792749</v>
      </c>
      <c r="W3081" s="16" t="n">
        <v>0.8725835974278591</v>
      </c>
      <c r="X3081" s="16" t="n">
        <v>0.8379501788293323</v>
      </c>
      <c r="Y3081" s="16" t="n">
        <v>303.55</v>
      </c>
      <c r="Z3081" s="16" t="n">
        <v>2.66901697023742</v>
      </c>
      <c r="AA3081" s="16" t="n">
        <v>20.7356703696453</v>
      </c>
      <c r="AB3081" s="16" t="n">
        <v>1160.502901675442</v>
      </c>
      <c r="AC3081" s="16" t="n">
        <v>1.465219308240614</v>
      </c>
      <c r="AD3081" s="16" t="n"/>
      <c r="AE3081" s="16" t="n"/>
    </row>
    <row r="3082">
      <c r="A3082" s="16" t="inlineStr">
        <is>
          <t>KF-M06-PISO-0011</t>
        </is>
      </c>
      <c r="B3082" s="16" t="inlineStr">
        <is>
          <t>6.1</t>
        </is>
      </c>
      <c r="C3082" s="16" t="inlineStr">
        <is>
          <t>6.1b</t>
        </is>
      </c>
      <c r="D3082" s="16" t="inlineStr">
        <is>
          <t>piso de cavitación a 30.4 °C</t>
        </is>
      </c>
      <c r="E3082" s="16" t="inlineStr">
        <is>
          <t>KF-M06</t>
        </is>
      </c>
      <c r="F3082" s="16" t="inlineStr">
        <is>
          <t>KF-M06-PISO</t>
        </is>
      </c>
      <c r="G3082" s="16" t="inlineStr">
        <is>
          <t>B12</t>
        </is>
      </c>
      <c r="H3082" s="16" t="inlineStr">
        <is>
          <t>control</t>
        </is>
      </c>
      <c r="I3082" s="16" t="inlineStr">
        <is>
          <t>CORREGIBLE</t>
        </is>
      </c>
      <c r="J3082" s="16" t="inlineStr">
        <is>
          <t>CORREGIBLE</t>
        </is>
      </c>
      <c r="K3082" s="16" t="b">
        <v>1</v>
      </c>
      <c r="L3082" s="16" t="b">
        <v>0</v>
      </c>
      <c r="M3082" s="16" t="b">
        <v>1</v>
      </c>
      <c r="N3082" s="16" t="b">
        <v>0</v>
      </c>
      <c r="O3082" s="16" t="n">
        <v>623.15</v>
      </c>
      <c r="P3082" s="16" t="n">
        <v>300.032917</v>
      </c>
      <c r="Q3082" s="16" t="n">
        <v>3000</v>
      </c>
      <c r="R3082" s="16" t="n">
        <v>1318.181818182</v>
      </c>
      <c r="S3082" s="16" t="n">
        <v>0.5</v>
      </c>
      <c r="T3082" s="16" t="n">
        <v>0.85</v>
      </c>
      <c r="U3082" s="16" t="n">
        <v>0.75</v>
      </c>
      <c r="V3082" s="16" t="n">
        <v>0.4</v>
      </c>
      <c r="W3082" s="16" t="n">
        <v>0.75</v>
      </c>
      <c r="X3082" s="16" t="n">
        <v>0.8</v>
      </c>
      <c r="Y3082" s="16" t="n">
        <v>303.55</v>
      </c>
      <c r="Z3082" s="16" t="n">
        <v>6.2705141296361</v>
      </c>
      <c r="AA3082" s="16" t="n">
        <v>58.77681796654025</v>
      </c>
      <c r="AB3082" s="16" t="n">
        <v>1681.818181818</v>
      </c>
      <c r="AC3082" s="16" t="n">
        <v>2.275862068965204</v>
      </c>
      <c r="AD3082" s="16" t="inlineStr">
        <is>
          <t>O2</t>
        </is>
      </c>
      <c r="AE3082" s="16" t="n"/>
    </row>
    <row r="3083">
      <c r="A3083" s="16" t="inlineStr">
        <is>
          <t>KF-M06-SUB-0000</t>
        </is>
      </c>
      <c r="B3083" s="16" t="inlineStr">
        <is>
          <t>6.1</t>
        </is>
      </c>
      <c r="C3083" s="16" t="inlineStr">
        <is>
          <t>6.1c</t>
        </is>
      </c>
      <c r="D3083" s="16" t="inlineStr">
        <is>
          <t>costo de exigir subenfriamiento</t>
        </is>
      </c>
      <c r="E3083" s="16" t="inlineStr">
        <is>
          <t>KF-M06</t>
        </is>
      </c>
      <c r="F3083" s="16" t="inlineStr">
        <is>
          <t>KF-M06-SUB</t>
        </is>
      </c>
      <c r="G3083" s="16" t="inlineStr">
        <is>
          <t>B12</t>
        </is>
      </c>
      <c r="H3083" s="16" t="inlineStr">
        <is>
          <t>busqueda</t>
        </is>
      </c>
      <c r="I3083" s="16" t="inlineStr">
        <is>
          <t>KALINA</t>
        </is>
      </c>
      <c r="J3083" s="16" t="inlineStr">
        <is>
          <t>KALINA</t>
        </is>
      </c>
      <c r="K3083" s="16" t="b">
        <v>1</v>
      </c>
      <c r="L3083" s="16" t="b">
        <v>1</v>
      </c>
      <c r="M3083" s="16" t="n"/>
      <c r="N3083" s="16" t="b">
        <v>0</v>
      </c>
      <c r="O3083" s="16" t="n"/>
      <c r="P3083" s="16" t="n"/>
      <c r="Q3083" s="16" t="n"/>
      <c r="R3083" s="16" t="n">
        <v>808.3402577390962</v>
      </c>
      <c r="S3083" s="16" t="n"/>
      <c r="T3083" s="16" t="n"/>
      <c r="U3083" s="16" t="n"/>
      <c r="V3083" s="16" t="n"/>
      <c r="W3083" s="16" t="n"/>
      <c r="X3083" s="16" t="n"/>
      <c r="Y3083" s="16" t="n"/>
      <c r="Z3083" s="16" t="n">
        <v>14.97793863825945</v>
      </c>
      <c r="AA3083" s="16" t="n"/>
      <c r="AB3083" s="16" t="n"/>
      <c r="AC3083" s="16" t="n"/>
      <c r="AD3083" s="16" t="n"/>
      <c r="AE3083" s="16" t="n"/>
    </row>
    <row r="3084">
      <c r="A3084" s="16" t="inlineStr">
        <is>
          <t>KF-M06-SUB-0001</t>
        </is>
      </c>
      <c r="B3084" s="16" t="inlineStr">
        <is>
          <t>6.1</t>
        </is>
      </c>
      <c r="C3084" s="16" t="inlineStr">
        <is>
          <t>6.1c</t>
        </is>
      </c>
      <c r="D3084" s="16" t="inlineStr">
        <is>
          <t>costo de exigir subenfriamiento</t>
        </is>
      </c>
      <c r="E3084" s="16" t="inlineStr">
        <is>
          <t>KF-M06</t>
        </is>
      </c>
      <c r="F3084" s="16" t="inlineStr">
        <is>
          <t>KF-M06-SUB</t>
        </is>
      </c>
      <c r="G3084" s="16" t="inlineStr">
        <is>
          <t>B12</t>
        </is>
      </c>
      <c r="H3084" s="16" t="inlineStr">
        <is>
          <t>busqueda</t>
        </is>
      </c>
      <c r="I3084" s="16" t="inlineStr">
        <is>
          <t>KALINA</t>
        </is>
      </c>
      <c r="J3084" s="16" t="inlineStr">
        <is>
          <t>KALINA</t>
        </is>
      </c>
      <c r="K3084" s="16" t="b">
        <v>1</v>
      </c>
      <c r="L3084" s="16" t="b">
        <v>1</v>
      </c>
      <c r="M3084" s="16" t="n"/>
      <c r="N3084" s="16" t="b">
        <v>0</v>
      </c>
      <c r="O3084" s="16" t="n"/>
      <c r="P3084" s="16" t="n"/>
      <c r="Q3084" s="16" t="n"/>
      <c r="R3084" s="16" t="n">
        <v>2500</v>
      </c>
      <c r="S3084" s="16" t="n"/>
      <c r="T3084" s="16" t="n"/>
      <c r="U3084" s="16" t="n"/>
      <c r="V3084" s="16" t="n"/>
      <c r="W3084" s="16" t="n"/>
      <c r="X3084" s="16" t="n"/>
      <c r="Y3084" s="16" t="n"/>
      <c r="Z3084" s="16" t="n">
        <v>5.15595693953484</v>
      </c>
      <c r="AA3084" s="16" t="n"/>
      <c r="AB3084" s="16" t="n"/>
      <c r="AC3084" s="16" t="n"/>
      <c r="AD3084" s="16" t="n"/>
      <c r="AE3084" s="16" t="n"/>
    </row>
    <row r="3085">
      <c r="A3085" s="16" t="inlineStr">
        <is>
          <t>KF-M06-SUB-0002</t>
        </is>
      </c>
      <c r="B3085" s="16" t="inlineStr">
        <is>
          <t>6.1</t>
        </is>
      </c>
      <c r="C3085" s="16" t="inlineStr">
        <is>
          <t>6.1c</t>
        </is>
      </c>
      <c r="D3085" s="16" t="inlineStr">
        <is>
          <t>costo de exigir subenfriamiento</t>
        </is>
      </c>
      <c r="E3085" s="16" t="inlineStr">
        <is>
          <t>KF-M06</t>
        </is>
      </c>
      <c r="F3085" s="16" t="inlineStr">
        <is>
          <t>KF-M06-SUB</t>
        </is>
      </c>
      <c r="G3085" s="16" t="inlineStr">
        <is>
          <t>B12</t>
        </is>
      </c>
      <c r="H3085" s="16" t="inlineStr">
        <is>
          <t>busqueda</t>
        </is>
      </c>
      <c r="I3085" s="16" t="inlineStr">
        <is>
          <t>KALINA</t>
        </is>
      </c>
      <c r="J3085" s="16" t="inlineStr">
        <is>
          <t>KALINA</t>
        </is>
      </c>
      <c r="K3085" s="16" t="b">
        <v>1</v>
      </c>
      <c r="L3085" s="16" t="b">
        <v>1</v>
      </c>
      <c r="M3085" s="16" t="n"/>
      <c r="N3085" s="16" t="b">
        <v>0</v>
      </c>
      <c r="O3085" s="16" t="n"/>
      <c r="P3085" s="16" t="n"/>
      <c r="Q3085" s="16" t="n"/>
      <c r="R3085" s="16" t="n">
        <v>1654.170128869548</v>
      </c>
      <c r="S3085" s="16" t="n"/>
      <c r="T3085" s="16" t="n"/>
      <c r="U3085" s="16" t="n"/>
      <c r="V3085" s="16" t="n"/>
      <c r="W3085" s="16" t="n"/>
      <c r="X3085" s="16" t="n"/>
      <c r="Y3085" s="16" t="n"/>
      <c r="Z3085" s="16" t="n">
        <v>8.868758436132209</v>
      </c>
      <c r="AA3085" s="16" t="n"/>
      <c r="AB3085" s="16" t="n"/>
      <c r="AC3085" s="16" t="n"/>
      <c r="AD3085" s="16" t="n"/>
      <c r="AE3085" s="16" t="n"/>
    </row>
    <row r="3086">
      <c r="A3086" s="16" t="inlineStr">
        <is>
          <t>KF-M06-SUB-0003</t>
        </is>
      </c>
      <c r="B3086" s="16" t="inlineStr">
        <is>
          <t>6.1</t>
        </is>
      </c>
      <c r="C3086" s="16" t="inlineStr">
        <is>
          <t>6.1c</t>
        </is>
      </c>
      <c r="D3086" s="16" t="inlineStr">
        <is>
          <t>costo de exigir subenfriamiento</t>
        </is>
      </c>
      <c r="E3086" s="16" t="inlineStr">
        <is>
          <t>KF-M06</t>
        </is>
      </c>
      <c r="F3086" s="16" t="inlineStr">
        <is>
          <t>KF-M06-SUB</t>
        </is>
      </c>
      <c r="G3086" s="16" t="inlineStr">
        <is>
          <t>B12</t>
        </is>
      </c>
      <c r="H3086" s="16" t="inlineStr">
        <is>
          <t>busqueda</t>
        </is>
      </c>
      <c r="I3086" s="16" t="inlineStr">
        <is>
          <t>NO_CONVERGIO</t>
        </is>
      </c>
      <c r="J3086" s="16" t="inlineStr">
        <is>
          <t>NO_CONVERGIO</t>
        </is>
      </c>
      <c r="K3086" s="16" t="b">
        <v>0</v>
      </c>
      <c r="L3086" s="16" t="b">
        <v>0</v>
      </c>
      <c r="M3086" s="16" t="n"/>
      <c r="N3086" s="16" t="b">
        <v>0</v>
      </c>
      <c r="O3086" s="16" t="n"/>
      <c r="P3086" s="16" t="n"/>
      <c r="Q3086" s="16" t="n"/>
      <c r="R3086" s="16" t="n">
        <v>1231.255193304322</v>
      </c>
      <c r="S3086" s="16" t="n"/>
      <c r="T3086" s="16" t="n"/>
      <c r="U3086" s="16" t="n"/>
      <c r="V3086" s="16" t="n"/>
      <c r="W3086" s="16" t="n"/>
      <c r="X3086" s="16" t="n"/>
      <c r="Y3086" s="16" t="n"/>
      <c r="Z3086" s="16" t="n"/>
      <c r="AA3086" s="16" t="n"/>
      <c r="AB3086" s="16" t="n"/>
      <c r="AC3086" s="16" t="n"/>
      <c r="AD3086" s="16" t="n"/>
      <c r="AE3086" s="16" t="n"/>
    </row>
    <row r="3087">
      <c r="A3087" s="16" t="inlineStr">
        <is>
          <t>KF-M06-SUB-0004</t>
        </is>
      </c>
      <c r="B3087" s="16" t="inlineStr">
        <is>
          <t>6.1</t>
        </is>
      </c>
      <c r="C3087" s="16" t="inlineStr">
        <is>
          <t>6.1c</t>
        </is>
      </c>
      <c r="D3087" s="16" t="inlineStr">
        <is>
          <t>costo de exigir subenfriamiento</t>
        </is>
      </c>
      <c r="E3087" s="16" t="inlineStr">
        <is>
          <t>KF-M06</t>
        </is>
      </c>
      <c r="F3087" s="16" t="inlineStr">
        <is>
          <t>KF-M06-SUB</t>
        </is>
      </c>
      <c r="G3087" s="16" t="inlineStr">
        <is>
          <t>B12</t>
        </is>
      </c>
      <c r="H3087" s="16" t="inlineStr">
        <is>
          <t>busqueda</t>
        </is>
      </c>
      <c r="I3087" s="16" t="inlineStr">
        <is>
          <t>KALINA</t>
        </is>
      </c>
      <c r="J3087" s="16" t="inlineStr">
        <is>
          <t>KALINA</t>
        </is>
      </c>
      <c r="K3087" s="16" t="b">
        <v>1</v>
      </c>
      <c r="L3087" s="16" t="b">
        <v>1</v>
      </c>
      <c r="M3087" s="16" t="n"/>
      <c r="N3087" s="16" t="b">
        <v>0</v>
      </c>
      <c r="O3087" s="16" t="n"/>
      <c r="P3087" s="16" t="n"/>
      <c r="Q3087" s="16" t="n"/>
      <c r="R3087" s="16" t="n">
        <v>1442.712661086935</v>
      </c>
      <c r="S3087" s="16" t="n"/>
      <c r="T3087" s="16" t="n"/>
      <c r="U3087" s="16" t="n"/>
      <c r="V3087" s="16" t="n"/>
      <c r="W3087" s="16" t="n"/>
      <c r="X3087" s="16" t="n"/>
      <c r="Y3087" s="16" t="n"/>
      <c r="Z3087" s="16" t="n">
        <v>10.07143727684459</v>
      </c>
      <c r="AA3087" s="16" t="n"/>
      <c r="AB3087" s="16" t="n"/>
      <c r="AC3087" s="16" t="n"/>
      <c r="AD3087" s="16" t="n"/>
      <c r="AE3087" s="16" t="n"/>
    </row>
    <row r="3088">
      <c r="A3088" s="16" t="inlineStr">
        <is>
          <t>KF-M06-SUB-0005</t>
        </is>
      </c>
      <c r="B3088" s="16" t="inlineStr">
        <is>
          <t>6.1</t>
        </is>
      </c>
      <c r="C3088" s="16" t="inlineStr">
        <is>
          <t>6.1c</t>
        </is>
      </c>
      <c r="D3088" s="16" t="inlineStr">
        <is>
          <t>costo de exigir subenfriamiento</t>
        </is>
      </c>
      <c r="E3088" s="16" t="inlineStr">
        <is>
          <t>KF-M06</t>
        </is>
      </c>
      <c r="F3088" s="16" t="inlineStr">
        <is>
          <t>KF-M06-SUB</t>
        </is>
      </c>
      <c r="G3088" s="16" t="inlineStr">
        <is>
          <t>B12</t>
        </is>
      </c>
      <c r="H3088" s="16" t="inlineStr">
        <is>
          <t>busqueda</t>
        </is>
      </c>
      <c r="I3088" s="16" t="inlineStr">
        <is>
          <t>KALINA</t>
        </is>
      </c>
      <c r="J3088" s="16" t="inlineStr">
        <is>
          <t>KALINA</t>
        </is>
      </c>
      <c r="K3088" s="16" t="b">
        <v>1</v>
      </c>
      <c r="L3088" s="16" t="b">
        <v>1</v>
      </c>
      <c r="M3088" s="16" t="n"/>
      <c r="N3088" s="16" t="b">
        <v>0</v>
      </c>
      <c r="O3088" s="16" t="n"/>
      <c r="P3088" s="16" t="n"/>
      <c r="Q3088" s="16" t="n"/>
      <c r="R3088" s="16" t="n">
        <v>1336.983927195628</v>
      </c>
      <c r="S3088" s="16" t="n"/>
      <c r="T3088" s="16" t="n"/>
      <c r="U3088" s="16" t="n"/>
      <c r="V3088" s="16" t="n"/>
      <c r="W3088" s="16" t="n"/>
      <c r="X3088" s="16" t="n"/>
      <c r="Y3088" s="16" t="n"/>
      <c r="Z3088" s="16" t="n">
        <v>10.73390308807015</v>
      </c>
      <c r="AA3088" s="16" t="n"/>
      <c r="AB3088" s="16" t="n"/>
      <c r="AC3088" s="16" t="n"/>
      <c r="AD3088" s="16" t="n"/>
      <c r="AE3088" s="16" t="n"/>
    </row>
    <row r="3089">
      <c r="A3089" s="16" t="inlineStr">
        <is>
          <t>KF-M06-SUB-0006</t>
        </is>
      </c>
      <c r="B3089" s="16" t="inlineStr">
        <is>
          <t>6.1</t>
        </is>
      </c>
      <c r="C3089" s="16" t="inlineStr">
        <is>
          <t>6.1c</t>
        </is>
      </c>
      <c r="D3089" s="16" t="inlineStr">
        <is>
          <t>costo de exigir subenfriamiento</t>
        </is>
      </c>
      <c r="E3089" s="16" t="inlineStr">
        <is>
          <t>KF-M06</t>
        </is>
      </c>
      <c r="F3089" s="16" t="inlineStr">
        <is>
          <t>KF-M06-SUB</t>
        </is>
      </c>
      <c r="G3089" s="16" t="inlineStr">
        <is>
          <t>B12</t>
        </is>
      </c>
      <c r="H3089" s="16" t="inlineStr">
        <is>
          <t>busqueda</t>
        </is>
      </c>
      <c r="I3089" s="16" t="inlineStr">
        <is>
          <t>KALINA</t>
        </is>
      </c>
      <c r="J3089" s="16" t="inlineStr">
        <is>
          <t>KALINA</t>
        </is>
      </c>
      <c r="K3089" s="16" t="b">
        <v>1</v>
      </c>
      <c r="L3089" s="16" t="b">
        <v>1</v>
      </c>
      <c r="M3089" s="16" t="n"/>
      <c r="N3089" s="16" t="b">
        <v>0</v>
      </c>
      <c r="O3089" s="16" t="n"/>
      <c r="P3089" s="16" t="n"/>
      <c r="Q3089" s="16" t="n"/>
      <c r="R3089" s="16" t="n">
        <v>1284.119560249975</v>
      </c>
      <c r="S3089" s="16" t="n"/>
      <c r="T3089" s="16" t="n"/>
      <c r="U3089" s="16" t="n"/>
      <c r="V3089" s="16" t="n"/>
      <c r="W3089" s="16" t="n"/>
      <c r="X3089" s="16" t="n"/>
      <c r="Y3089" s="16" t="n"/>
      <c r="Z3089" s="16" t="n">
        <v>11.08300043358875</v>
      </c>
      <c r="AA3089" s="16" t="n"/>
      <c r="AB3089" s="16" t="n"/>
      <c r="AC3089" s="16" t="n"/>
      <c r="AD3089" s="16" t="n"/>
      <c r="AE3089" s="16" t="n"/>
    </row>
    <row r="3090">
      <c r="A3090" s="16" t="inlineStr">
        <is>
          <t>KF-M06-SUB-0007</t>
        </is>
      </c>
      <c r="B3090" s="16" t="inlineStr">
        <is>
          <t>6.1</t>
        </is>
      </c>
      <c r="C3090" s="16" t="inlineStr">
        <is>
          <t>6.1c</t>
        </is>
      </c>
      <c r="D3090" s="16" t="inlineStr">
        <is>
          <t>costo de exigir subenfriamiento</t>
        </is>
      </c>
      <c r="E3090" s="16" t="inlineStr">
        <is>
          <t>KF-M06</t>
        </is>
      </c>
      <c r="F3090" s="16" t="inlineStr">
        <is>
          <t>KF-M06-SUB</t>
        </is>
      </c>
      <c r="G3090" s="16" t="inlineStr">
        <is>
          <t>B12</t>
        </is>
      </c>
      <c r="H3090" s="16" t="inlineStr">
        <is>
          <t>busqueda</t>
        </is>
      </c>
      <c r="I3090" s="16" t="inlineStr">
        <is>
          <t>KALINA</t>
        </is>
      </c>
      <c r="J3090" s="16" t="inlineStr">
        <is>
          <t>KALINA</t>
        </is>
      </c>
      <c r="K3090" s="16" t="b">
        <v>1</v>
      </c>
      <c r="L3090" s="16" t="b">
        <v>1</v>
      </c>
      <c r="M3090" s="16" t="n"/>
      <c r="N3090" s="16" t="b">
        <v>0</v>
      </c>
      <c r="O3090" s="16" t="n"/>
      <c r="P3090" s="16" t="n"/>
      <c r="Q3090" s="16" t="n"/>
      <c r="R3090" s="16" t="n">
        <v>1257.687376777148</v>
      </c>
      <c r="S3090" s="16" t="n"/>
      <c r="T3090" s="16" t="n"/>
      <c r="U3090" s="16" t="n"/>
      <c r="V3090" s="16" t="n"/>
      <c r="W3090" s="16" t="n"/>
      <c r="X3090" s="16" t="n"/>
      <c r="Y3090" s="16" t="n"/>
      <c r="Z3090" s="16" t="n">
        <v>11.26240788545613</v>
      </c>
      <c r="AA3090" s="16" t="n"/>
      <c r="AB3090" s="16" t="n"/>
      <c r="AC3090" s="16" t="n"/>
      <c r="AD3090" s="16" t="n"/>
      <c r="AE3090" s="16" t="n"/>
    </row>
    <row r="3091">
      <c r="A3091" s="16" t="inlineStr">
        <is>
          <t>KF-M06-SUB-0008</t>
        </is>
      </c>
      <c r="B3091" s="16" t="inlineStr">
        <is>
          <t>6.1</t>
        </is>
      </c>
      <c r="C3091" s="16" t="inlineStr">
        <is>
          <t>6.1c</t>
        </is>
      </c>
      <c r="D3091" s="16" t="inlineStr">
        <is>
          <t>costo de exigir subenfriamiento</t>
        </is>
      </c>
      <c r="E3091" s="16" t="inlineStr">
        <is>
          <t>KF-M06</t>
        </is>
      </c>
      <c r="F3091" s="16" t="inlineStr">
        <is>
          <t>KF-M06-SUB</t>
        </is>
      </c>
      <c r="G3091" s="16" t="inlineStr">
        <is>
          <t>B12</t>
        </is>
      </c>
      <c r="H3091" s="16" t="inlineStr">
        <is>
          <t>busqueda</t>
        </is>
      </c>
      <c r="I3091" s="16" t="inlineStr">
        <is>
          <t>NO_CONVERGIO</t>
        </is>
      </c>
      <c r="J3091" s="16" t="inlineStr">
        <is>
          <t>NO_CONVERGIO</t>
        </is>
      </c>
      <c r="K3091" s="16" t="b">
        <v>0</v>
      </c>
      <c r="L3091" s="16" t="b">
        <v>0</v>
      </c>
      <c r="M3091" s="16" t="n"/>
      <c r="N3091" s="16" t="b">
        <v>0</v>
      </c>
      <c r="O3091" s="16" t="n"/>
      <c r="P3091" s="16" t="n"/>
      <c r="Q3091" s="16" t="n"/>
      <c r="R3091" s="16" t="n">
        <v>1244.471285040735</v>
      </c>
      <c r="S3091" s="16" t="n"/>
      <c r="T3091" s="16" t="n"/>
      <c r="U3091" s="16" t="n"/>
      <c r="V3091" s="16" t="n"/>
      <c r="W3091" s="16" t="n"/>
      <c r="X3091" s="16" t="n"/>
      <c r="Y3091" s="16" t="n"/>
      <c r="Z3091" s="16" t="n"/>
      <c r="AA3091" s="16" t="n"/>
      <c r="AB3091" s="16" t="n"/>
      <c r="AC3091" s="16" t="n"/>
      <c r="AD3091" s="16" t="n"/>
      <c r="AE3091" s="16" t="n"/>
    </row>
    <row r="3092">
      <c r="A3092" s="16" t="inlineStr">
        <is>
          <t>KF-M06-SUB-0009</t>
        </is>
      </c>
      <c r="B3092" s="16" t="inlineStr">
        <is>
          <t>6.1</t>
        </is>
      </c>
      <c r="C3092" s="16" t="inlineStr">
        <is>
          <t>6.1c</t>
        </is>
      </c>
      <c r="D3092" s="16" t="inlineStr">
        <is>
          <t>costo de exigir subenfriamiento</t>
        </is>
      </c>
      <c r="E3092" s="16" t="inlineStr">
        <is>
          <t>KF-M06</t>
        </is>
      </c>
      <c r="F3092" s="16" t="inlineStr">
        <is>
          <t>KF-M06-SUB</t>
        </is>
      </c>
      <c r="G3092" s="16" t="inlineStr">
        <is>
          <t>B12</t>
        </is>
      </c>
      <c r="H3092" s="16" t="inlineStr">
        <is>
          <t>busqueda</t>
        </is>
      </c>
      <c r="I3092" s="16" t="inlineStr">
        <is>
          <t>KALINA</t>
        </is>
      </c>
      <c r="J3092" s="16" t="inlineStr">
        <is>
          <t>KALINA</t>
        </is>
      </c>
      <c r="K3092" s="16" t="b">
        <v>1</v>
      </c>
      <c r="L3092" s="16" t="b">
        <v>1</v>
      </c>
      <c r="M3092" s="16" t="n"/>
      <c r="N3092" s="16" t="b">
        <v>0</v>
      </c>
      <c r="O3092" s="16" t="n"/>
      <c r="P3092" s="16" t="n"/>
      <c r="Q3092" s="16" t="n"/>
      <c r="R3092" s="16" t="n">
        <v>1251.079330908942</v>
      </c>
      <c r="S3092" s="16" t="n"/>
      <c r="T3092" s="16" t="n"/>
      <c r="U3092" s="16" t="n"/>
      <c r="V3092" s="16" t="n"/>
      <c r="W3092" s="16" t="n"/>
      <c r="X3092" s="16" t="n"/>
      <c r="Y3092" s="16" t="n"/>
      <c r="Z3092" s="16" t="n">
        <v>11.30778688751344</v>
      </c>
      <c r="AA3092" s="16" t="n"/>
      <c r="AB3092" s="16" t="n"/>
      <c r="AC3092" s="16" t="n"/>
      <c r="AD3092" s="16" t="n"/>
      <c r="AE3092" s="16" t="n"/>
    </row>
    <row r="3093">
      <c r="A3093" s="16" t="inlineStr">
        <is>
          <t>KF-M06-SUB-0010</t>
        </is>
      </c>
      <c r="B3093" s="16" t="inlineStr">
        <is>
          <t>6.1</t>
        </is>
      </c>
      <c r="C3093" s="16" t="inlineStr">
        <is>
          <t>6.1c</t>
        </is>
      </c>
      <c r="D3093" s="16" t="inlineStr">
        <is>
          <t>costo de exigir subenfriamiento</t>
        </is>
      </c>
      <c r="E3093" s="16" t="inlineStr">
        <is>
          <t>KF-M06</t>
        </is>
      </c>
      <c r="F3093" s="16" t="inlineStr">
        <is>
          <t>KF-M06-SUB</t>
        </is>
      </c>
      <c r="G3093" s="16" t="inlineStr">
        <is>
          <t>B12</t>
        </is>
      </c>
      <c r="H3093" s="16" t="inlineStr">
        <is>
          <t>busqueda</t>
        </is>
      </c>
      <c r="I3093" s="16" t="inlineStr">
        <is>
          <t>NO_CONVERGIO</t>
        </is>
      </c>
      <c r="J3093" s="16" t="inlineStr">
        <is>
          <t>NO_CONVERGIO</t>
        </is>
      </c>
      <c r="K3093" s="16" t="b">
        <v>0</v>
      </c>
      <c r="L3093" s="16" t="b">
        <v>0</v>
      </c>
      <c r="M3093" s="16" t="n"/>
      <c r="N3093" s="16" t="b">
        <v>0</v>
      </c>
      <c r="O3093" s="16" t="n"/>
      <c r="P3093" s="16" t="n"/>
      <c r="Q3093" s="16" t="n"/>
      <c r="R3093" s="16" t="n">
        <v>1247.775307974839</v>
      </c>
      <c r="S3093" s="16" t="n"/>
      <c r="T3093" s="16" t="n"/>
      <c r="U3093" s="16" t="n"/>
      <c r="V3093" s="16" t="n"/>
      <c r="W3093" s="16" t="n"/>
      <c r="X3093" s="16" t="n"/>
      <c r="Y3093" s="16" t="n"/>
      <c r="Z3093" s="16" t="n"/>
      <c r="AA3093" s="16" t="n"/>
      <c r="AB3093" s="16" t="n"/>
      <c r="AC3093" s="16" t="n"/>
      <c r="AD3093" s="16" t="n"/>
      <c r="AE3093" s="16" t="n"/>
    </row>
    <row r="3094">
      <c r="A3094" s="16" t="inlineStr">
        <is>
          <t>KF-M06-SUB-0011</t>
        </is>
      </c>
      <c r="B3094" s="16" t="inlineStr">
        <is>
          <t>6.1</t>
        </is>
      </c>
      <c r="C3094" s="16" t="inlineStr">
        <is>
          <t>6.1c</t>
        </is>
      </c>
      <c r="D3094" s="16" t="inlineStr">
        <is>
          <t>costo de exigir subenfriamiento</t>
        </is>
      </c>
      <c r="E3094" s="16" t="inlineStr">
        <is>
          <t>KF-M06</t>
        </is>
      </c>
      <c r="F3094" s="16" t="inlineStr">
        <is>
          <t>KF-M06-SUB</t>
        </is>
      </c>
      <c r="G3094" s="16" t="inlineStr">
        <is>
          <t>B12</t>
        </is>
      </c>
      <c r="H3094" s="16" t="inlineStr">
        <is>
          <t>busqueda</t>
        </is>
      </c>
      <c r="I3094" s="16" t="inlineStr">
        <is>
          <t>KALINA</t>
        </is>
      </c>
      <c r="J3094" s="16" t="inlineStr">
        <is>
          <t>KALINA</t>
        </is>
      </c>
      <c r="K3094" s="16" t="b">
        <v>1</v>
      </c>
      <c r="L3094" s="16" t="b">
        <v>1</v>
      </c>
      <c r="M3094" s="16" t="n"/>
      <c r="N3094" s="16" t="b">
        <v>0</v>
      </c>
      <c r="O3094" s="16" t="n"/>
      <c r="P3094" s="16" t="n"/>
      <c r="Q3094" s="16" t="n"/>
      <c r="R3094" s="16" t="n">
        <v>400</v>
      </c>
      <c r="S3094" s="16" t="n"/>
      <c r="T3094" s="16" t="n"/>
      <c r="U3094" s="16" t="n"/>
      <c r="V3094" s="16" t="n"/>
      <c r="W3094" s="16" t="n"/>
      <c r="X3094" s="16" t="n"/>
      <c r="Y3094" s="16" t="n"/>
      <c r="Z3094" s="16" t="n">
        <v>10.80651724015787</v>
      </c>
      <c r="AA3094" s="16" t="n"/>
      <c r="AB3094" s="16" t="n"/>
      <c r="AC3094" s="16" t="n"/>
      <c r="AD3094" s="16" t="n"/>
      <c r="AE3094" s="16" t="n"/>
    </row>
    <row r="3095">
      <c r="A3095" s="16" t="inlineStr">
        <is>
          <t>KF-M06-SUB-0012</t>
        </is>
      </c>
      <c r="B3095" s="16" t="inlineStr">
        <is>
          <t>6.1</t>
        </is>
      </c>
      <c r="C3095" s="16" t="inlineStr">
        <is>
          <t>6.1c</t>
        </is>
      </c>
      <c r="D3095" s="16" t="inlineStr">
        <is>
          <t>costo de exigir subenfriamiento</t>
        </is>
      </c>
      <c r="E3095" s="16" t="inlineStr">
        <is>
          <t>KF-M06</t>
        </is>
      </c>
      <c r="F3095" s="16" t="inlineStr">
        <is>
          <t>KF-M06-SUB</t>
        </is>
      </c>
      <c r="G3095" s="16" t="inlineStr">
        <is>
          <t>B12</t>
        </is>
      </c>
      <c r="H3095" s="16" t="inlineStr">
        <is>
          <t>busqueda</t>
        </is>
      </c>
      <c r="I3095" s="16" t="inlineStr">
        <is>
          <t>KALINA</t>
        </is>
      </c>
      <c r="J3095" s="16" t="inlineStr">
        <is>
          <t>KALINA</t>
        </is>
      </c>
      <c r="K3095" s="16" t="b">
        <v>1</v>
      </c>
      <c r="L3095" s="16" t="b">
        <v>1</v>
      </c>
      <c r="M3095" s="16" t="n"/>
      <c r="N3095" s="16" t="b">
        <v>0</v>
      </c>
      <c r="O3095" s="16" t="n"/>
      <c r="P3095" s="16" t="n"/>
      <c r="Q3095" s="16" t="n"/>
      <c r="R3095" s="16" t="n">
        <v>1800</v>
      </c>
      <c r="S3095" s="16" t="n"/>
      <c r="T3095" s="16" t="n"/>
      <c r="U3095" s="16" t="n"/>
      <c r="V3095" s="16" t="n"/>
      <c r="W3095" s="16" t="n"/>
      <c r="X3095" s="16" t="n"/>
      <c r="Y3095" s="16" t="n"/>
      <c r="Z3095" s="16" t="n">
        <v>2.78533132382194</v>
      </c>
      <c r="AA3095" s="16" t="n"/>
      <c r="AB3095" s="16" t="n"/>
      <c r="AC3095" s="16" t="n"/>
      <c r="AD3095" s="16" t="n"/>
      <c r="AE3095" s="16" t="n"/>
    </row>
    <row r="3096">
      <c r="A3096" s="16" t="inlineStr">
        <is>
          <t>KF-M06-SUB-0013</t>
        </is>
      </c>
      <c r="B3096" s="16" t="inlineStr">
        <is>
          <t>6.1</t>
        </is>
      </c>
      <c r="C3096" s="16" t="inlineStr">
        <is>
          <t>6.1c</t>
        </is>
      </c>
      <c r="D3096" s="16" t="inlineStr">
        <is>
          <t>costo de exigir subenfriamiento</t>
        </is>
      </c>
      <c r="E3096" s="16" t="inlineStr">
        <is>
          <t>KF-M06</t>
        </is>
      </c>
      <c r="F3096" s="16" t="inlineStr">
        <is>
          <t>KF-M06-SUB</t>
        </is>
      </c>
      <c r="G3096" s="16" t="inlineStr">
        <is>
          <t>B12</t>
        </is>
      </c>
      <c r="H3096" s="16" t="inlineStr">
        <is>
          <t>busqueda</t>
        </is>
      </c>
      <c r="I3096" s="16" t="inlineStr">
        <is>
          <t>KALINA</t>
        </is>
      </c>
      <c r="J3096" s="16" t="inlineStr">
        <is>
          <t>KALINA</t>
        </is>
      </c>
      <c r="K3096" s="16" t="b">
        <v>1</v>
      </c>
      <c r="L3096" s="16" t="b">
        <v>1</v>
      </c>
      <c r="M3096" s="16" t="n"/>
      <c r="N3096" s="16" t="b">
        <v>0</v>
      </c>
      <c r="O3096" s="16" t="n"/>
      <c r="P3096" s="16" t="n"/>
      <c r="Q3096" s="16" t="n"/>
      <c r="R3096" s="16" t="n">
        <v>1100</v>
      </c>
      <c r="S3096" s="16" t="n"/>
      <c r="T3096" s="16" t="n"/>
      <c r="U3096" s="16" t="n"/>
      <c r="V3096" s="16" t="n"/>
      <c r="W3096" s="16" t="n"/>
      <c r="X3096" s="16" t="n"/>
      <c r="Y3096" s="16" t="n"/>
      <c r="Z3096" s="16" t="n">
        <v>5.48853651360722</v>
      </c>
      <c r="AA3096" s="16" t="n"/>
      <c r="AB3096" s="16" t="n"/>
      <c r="AC3096" s="16" t="n"/>
      <c r="AD3096" s="16" t="n"/>
      <c r="AE3096" s="16" t="n"/>
    </row>
    <row r="3097">
      <c r="A3097" s="16" t="inlineStr">
        <is>
          <t>KF-M06-SUB-0014</t>
        </is>
      </c>
      <c r="B3097" s="16" t="inlineStr">
        <is>
          <t>6.1</t>
        </is>
      </c>
      <c r="C3097" s="16" t="inlineStr">
        <is>
          <t>6.1c</t>
        </is>
      </c>
      <c r="D3097" s="16" t="inlineStr">
        <is>
          <t>costo de exigir subenfriamiento</t>
        </is>
      </c>
      <c r="E3097" s="16" t="inlineStr">
        <is>
          <t>KF-M06</t>
        </is>
      </c>
      <c r="F3097" s="16" t="inlineStr">
        <is>
          <t>KF-M06-SUB</t>
        </is>
      </c>
      <c r="G3097" s="16" t="inlineStr">
        <is>
          <t>B12</t>
        </is>
      </c>
      <c r="H3097" s="16" t="inlineStr">
        <is>
          <t>busqueda</t>
        </is>
      </c>
      <c r="I3097" s="16" t="inlineStr">
        <is>
          <t>KALINA</t>
        </is>
      </c>
      <c r="J3097" s="16" t="inlineStr">
        <is>
          <t>KALINA</t>
        </is>
      </c>
      <c r="K3097" s="16" t="b">
        <v>1</v>
      </c>
      <c r="L3097" s="16" t="b">
        <v>1</v>
      </c>
      <c r="M3097" s="16" t="n"/>
      <c r="N3097" s="16" t="b">
        <v>0</v>
      </c>
      <c r="O3097" s="16" t="n"/>
      <c r="P3097" s="16" t="n"/>
      <c r="Q3097" s="16" t="n"/>
      <c r="R3097" s="16" t="n">
        <v>750</v>
      </c>
      <c r="S3097" s="16" t="n"/>
      <c r="T3097" s="16" t="n"/>
      <c r="U3097" s="16" t="n"/>
      <c r="V3097" s="16" t="n"/>
      <c r="W3097" s="16" t="n"/>
      <c r="X3097" s="16" t="n"/>
      <c r="Y3097" s="16" t="n"/>
      <c r="Z3097" s="16" t="n">
        <v>7.55211125581106</v>
      </c>
      <c r="AA3097" s="16" t="n"/>
      <c r="AB3097" s="16" t="n"/>
      <c r="AC3097" s="16" t="n"/>
      <c r="AD3097" s="16" t="n"/>
      <c r="AE3097" s="16" t="n"/>
    </row>
    <row r="3098">
      <c r="A3098" s="16" t="inlineStr">
        <is>
          <t>KF-M06-SUB-0015</t>
        </is>
      </c>
      <c r="B3098" s="16" t="inlineStr">
        <is>
          <t>6.1</t>
        </is>
      </c>
      <c r="C3098" s="16" t="inlineStr">
        <is>
          <t>6.1c</t>
        </is>
      </c>
      <c r="D3098" s="16" t="inlineStr">
        <is>
          <t>costo de exigir subenfriamiento</t>
        </is>
      </c>
      <c r="E3098" s="16" t="inlineStr">
        <is>
          <t>KF-M06</t>
        </is>
      </c>
      <c r="F3098" s="16" t="inlineStr">
        <is>
          <t>KF-M06-SUB</t>
        </is>
      </c>
      <c r="G3098" s="16" t="inlineStr">
        <is>
          <t>B12</t>
        </is>
      </c>
      <c r="H3098" s="16" t="inlineStr">
        <is>
          <t>busqueda</t>
        </is>
      </c>
      <c r="I3098" s="16" t="inlineStr">
        <is>
          <t>KALINA</t>
        </is>
      </c>
      <c r="J3098" s="16" t="inlineStr">
        <is>
          <t>KALINA</t>
        </is>
      </c>
      <c r="K3098" s="16" t="b">
        <v>1</v>
      </c>
      <c r="L3098" s="16" t="b">
        <v>1</v>
      </c>
      <c r="M3098" s="16" t="n"/>
      <c r="N3098" s="16" t="b">
        <v>0</v>
      </c>
      <c r="O3098" s="16" t="n"/>
      <c r="P3098" s="16" t="n"/>
      <c r="Q3098" s="16" t="n"/>
      <c r="R3098" s="16" t="n">
        <v>575</v>
      </c>
      <c r="S3098" s="16" t="n"/>
      <c r="T3098" s="16" t="n"/>
      <c r="U3098" s="16" t="n"/>
      <c r="V3098" s="16" t="n"/>
      <c r="W3098" s="16" t="n"/>
      <c r="X3098" s="16" t="n"/>
      <c r="Y3098" s="16" t="n"/>
      <c r="Z3098" s="16" t="n">
        <v>8.95051947052397</v>
      </c>
      <c r="AA3098" s="16" t="n"/>
      <c r="AB3098" s="16" t="n"/>
      <c r="AC3098" s="16" t="n"/>
      <c r="AD3098" s="16" t="n"/>
      <c r="AE3098" s="16" t="n"/>
    </row>
    <row r="3099">
      <c r="A3099" s="16" t="inlineStr">
        <is>
          <t>KF-M06-SUB-0016</t>
        </is>
      </c>
      <c r="B3099" s="16" t="inlineStr">
        <is>
          <t>6.1</t>
        </is>
      </c>
      <c r="C3099" s="16" t="inlineStr">
        <is>
          <t>6.1c</t>
        </is>
      </c>
      <c r="D3099" s="16" t="inlineStr">
        <is>
          <t>costo de exigir subenfriamiento</t>
        </is>
      </c>
      <c r="E3099" s="16" t="inlineStr">
        <is>
          <t>KF-M06</t>
        </is>
      </c>
      <c r="F3099" s="16" t="inlineStr">
        <is>
          <t>KF-M06-SUB</t>
        </is>
      </c>
      <c r="G3099" s="16" t="inlineStr">
        <is>
          <t>B12</t>
        </is>
      </c>
      <c r="H3099" s="16" t="inlineStr">
        <is>
          <t>busqueda</t>
        </is>
      </c>
      <c r="I3099" s="16" t="inlineStr">
        <is>
          <t>KALINA</t>
        </is>
      </c>
      <c r="J3099" s="16" t="inlineStr">
        <is>
          <t>KALINA</t>
        </is>
      </c>
      <c r="K3099" s="16" t="b">
        <v>1</v>
      </c>
      <c r="L3099" s="16" t="b">
        <v>1</v>
      </c>
      <c r="M3099" s="16" t="n"/>
      <c r="N3099" s="16" t="b">
        <v>0</v>
      </c>
      <c r="O3099" s="16" t="n"/>
      <c r="P3099" s="16" t="n"/>
      <c r="Q3099" s="16" t="n"/>
      <c r="R3099" s="16" t="n">
        <v>487.5</v>
      </c>
      <c r="S3099" s="16" t="n"/>
      <c r="T3099" s="16" t="n"/>
      <c r="U3099" s="16" t="n"/>
      <c r="V3099" s="16" t="n"/>
      <c r="W3099" s="16" t="n"/>
      <c r="X3099" s="16" t="n"/>
      <c r="Y3099" s="16" t="n"/>
      <c r="Z3099" s="16" t="n">
        <v>9.802985781316149</v>
      </c>
      <c r="AA3099" s="16" t="n"/>
      <c r="AB3099" s="16" t="n"/>
      <c r="AC3099" s="16" t="n"/>
      <c r="AD3099" s="16" t="n"/>
      <c r="AE3099" s="16" t="n"/>
    </row>
    <row r="3100">
      <c r="A3100" s="16" t="inlineStr">
        <is>
          <t>KF-M06-SUB-0017</t>
        </is>
      </c>
      <c r="B3100" s="16" t="inlineStr">
        <is>
          <t>6.1</t>
        </is>
      </c>
      <c r="C3100" s="16" t="inlineStr">
        <is>
          <t>6.1c</t>
        </is>
      </c>
      <c r="D3100" s="16" t="inlineStr">
        <is>
          <t>costo de exigir subenfriamiento</t>
        </is>
      </c>
      <c r="E3100" s="16" t="inlineStr">
        <is>
          <t>KF-M06</t>
        </is>
      </c>
      <c r="F3100" s="16" t="inlineStr">
        <is>
          <t>KF-M06-SUB</t>
        </is>
      </c>
      <c r="G3100" s="16" t="inlineStr">
        <is>
          <t>B12</t>
        </is>
      </c>
      <c r="H3100" s="16" t="inlineStr">
        <is>
          <t>busqueda</t>
        </is>
      </c>
      <c r="I3100" s="16" t="inlineStr">
        <is>
          <t>KALINA</t>
        </is>
      </c>
      <c r="J3100" s="16" t="inlineStr">
        <is>
          <t>KALINA</t>
        </is>
      </c>
      <c r="K3100" s="16" t="b">
        <v>1</v>
      </c>
      <c r="L3100" s="16" t="b">
        <v>1</v>
      </c>
      <c r="M3100" s="16" t="n"/>
      <c r="N3100" s="16" t="b">
        <v>0</v>
      </c>
      <c r="O3100" s="16" t="n"/>
      <c r="P3100" s="16" t="n"/>
      <c r="Q3100" s="16" t="n"/>
      <c r="R3100" s="16" t="n">
        <v>443.75</v>
      </c>
      <c r="S3100" s="16" t="n"/>
      <c r="T3100" s="16" t="n"/>
      <c r="U3100" s="16" t="n"/>
      <c r="V3100" s="16" t="n"/>
      <c r="W3100" s="16" t="n"/>
      <c r="X3100" s="16" t="n"/>
      <c r="Y3100" s="16" t="n"/>
      <c r="Z3100" s="16" t="n">
        <v>10.2825001012298</v>
      </c>
      <c r="AA3100" s="16" t="n"/>
      <c r="AB3100" s="16" t="n"/>
      <c r="AC3100" s="16" t="n"/>
      <c r="AD3100" s="16" t="n"/>
      <c r="AE3100" s="16" t="n"/>
    </row>
    <row r="3101">
      <c r="A3101" s="16" t="inlineStr">
        <is>
          <t>KF-M06-SUB-0018</t>
        </is>
      </c>
      <c r="B3101" s="16" t="inlineStr">
        <is>
          <t>6.1</t>
        </is>
      </c>
      <c r="C3101" s="16" t="inlineStr">
        <is>
          <t>6.1c</t>
        </is>
      </c>
      <c r="D3101" s="16" t="inlineStr">
        <is>
          <t>costo de exigir subenfriamiento</t>
        </is>
      </c>
      <c r="E3101" s="16" t="inlineStr">
        <is>
          <t>KF-M06</t>
        </is>
      </c>
      <c r="F3101" s="16" t="inlineStr">
        <is>
          <t>KF-M06-SUB</t>
        </is>
      </c>
      <c r="G3101" s="16" t="inlineStr">
        <is>
          <t>B12</t>
        </is>
      </c>
      <c r="H3101" s="16" t="inlineStr">
        <is>
          <t>busqueda</t>
        </is>
      </c>
      <c r="I3101" s="16" t="inlineStr">
        <is>
          <t>KALINA</t>
        </is>
      </c>
      <c r="J3101" s="16" t="inlineStr">
        <is>
          <t>KALINA</t>
        </is>
      </c>
      <c r="K3101" s="16" t="b">
        <v>1</v>
      </c>
      <c r="L3101" s="16" t="b">
        <v>1</v>
      </c>
      <c r="M3101" s="16" t="n"/>
      <c r="N3101" s="16" t="b">
        <v>0</v>
      </c>
      <c r="O3101" s="16" t="n"/>
      <c r="P3101" s="16" t="n"/>
      <c r="Q3101" s="16" t="n"/>
      <c r="R3101" s="16" t="n">
        <v>465.625</v>
      </c>
      <c r="S3101" s="16" t="n"/>
      <c r="T3101" s="16" t="n"/>
      <c r="U3101" s="16" t="n"/>
      <c r="V3101" s="16" t="n"/>
      <c r="W3101" s="16" t="n"/>
      <c r="X3101" s="16" t="n"/>
      <c r="Y3101" s="16" t="n"/>
      <c r="Z3101" s="16" t="n">
        <v>10.03767131496503</v>
      </c>
      <c r="AA3101" s="16" t="n"/>
      <c r="AB3101" s="16" t="n"/>
      <c r="AC3101" s="16" t="n"/>
      <c r="AD3101" s="16" t="n"/>
      <c r="AE3101" s="16" t="n"/>
    </row>
    <row r="3102">
      <c r="A3102" s="16" t="inlineStr">
        <is>
          <t>KF-M06-SUB-0019</t>
        </is>
      </c>
      <c r="B3102" s="16" t="inlineStr">
        <is>
          <t>6.1</t>
        </is>
      </c>
      <c r="C3102" s="16" t="inlineStr">
        <is>
          <t>6.1c</t>
        </is>
      </c>
      <c r="D3102" s="16" t="inlineStr">
        <is>
          <t>costo de exigir subenfriamiento</t>
        </is>
      </c>
      <c r="E3102" s="16" t="inlineStr">
        <is>
          <t>KF-M06</t>
        </is>
      </c>
      <c r="F3102" s="16" t="inlineStr">
        <is>
          <t>KF-M06-SUB</t>
        </is>
      </c>
      <c r="G3102" s="16" t="inlineStr">
        <is>
          <t>B12</t>
        </is>
      </c>
      <c r="H3102" s="16" t="inlineStr">
        <is>
          <t>busqueda</t>
        </is>
      </c>
      <c r="I3102" s="16" t="inlineStr">
        <is>
          <t>KALINA</t>
        </is>
      </c>
      <c r="J3102" s="16" t="inlineStr">
        <is>
          <t>KALINA</t>
        </is>
      </c>
      <c r="K3102" s="16" t="b">
        <v>1</v>
      </c>
      <c r="L3102" s="16" t="b">
        <v>1</v>
      </c>
      <c r="M3102" s="16" t="n"/>
      <c r="N3102" s="16" t="b">
        <v>0</v>
      </c>
      <c r="O3102" s="16" t="n"/>
      <c r="P3102" s="16" t="n"/>
      <c r="Q3102" s="16" t="n"/>
      <c r="R3102" s="16" t="n">
        <v>476.5625</v>
      </c>
      <c r="S3102" s="16" t="n"/>
      <c r="T3102" s="16" t="n"/>
      <c r="U3102" s="16" t="n"/>
      <c r="V3102" s="16" t="n"/>
      <c r="W3102" s="16" t="n"/>
      <c r="X3102" s="16" t="n"/>
      <c r="Y3102" s="16" t="n"/>
      <c r="Z3102" s="16" t="n">
        <v>9.91911492410874</v>
      </c>
      <c r="AA3102" s="16" t="n"/>
      <c r="AB3102" s="16" t="n"/>
      <c r="AC3102" s="16" t="n"/>
      <c r="AD3102" s="16" t="n"/>
      <c r="AE3102" s="16" t="n"/>
    </row>
    <row r="3103">
      <c r="A3103" s="16" t="inlineStr">
        <is>
          <t>KF-M06-SUB-0020</t>
        </is>
      </c>
      <c r="B3103" s="16" t="inlineStr">
        <is>
          <t>6.1</t>
        </is>
      </c>
      <c r="C3103" s="16" t="inlineStr">
        <is>
          <t>6.1c</t>
        </is>
      </c>
      <c r="D3103" s="16" t="inlineStr">
        <is>
          <t>costo de exigir subenfriamiento</t>
        </is>
      </c>
      <c r="E3103" s="16" t="inlineStr">
        <is>
          <t>KF-M06</t>
        </is>
      </c>
      <c r="F3103" s="16" t="inlineStr">
        <is>
          <t>KF-M06-SUB</t>
        </is>
      </c>
      <c r="G3103" s="16" t="inlineStr">
        <is>
          <t>B12</t>
        </is>
      </c>
      <c r="H3103" s="16" t="inlineStr">
        <is>
          <t>busqueda</t>
        </is>
      </c>
      <c r="I3103" s="16" t="inlineStr">
        <is>
          <t>KALINA</t>
        </is>
      </c>
      <c r="J3103" s="16" t="inlineStr">
        <is>
          <t>KALINA</t>
        </is>
      </c>
      <c r="K3103" s="16" t="b">
        <v>1</v>
      </c>
      <c r="L3103" s="16" t="b">
        <v>1</v>
      </c>
      <c r="M3103" s="16" t="n"/>
      <c r="N3103" s="16" t="b">
        <v>0</v>
      </c>
      <c r="O3103" s="16" t="n"/>
      <c r="P3103" s="16" t="n"/>
      <c r="Q3103" s="16" t="n"/>
      <c r="R3103" s="16" t="n">
        <v>471.09375</v>
      </c>
      <c r="S3103" s="16" t="n"/>
      <c r="T3103" s="16" t="n"/>
      <c r="U3103" s="16" t="n"/>
      <c r="V3103" s="16" t="n"/>
      <c r="W3103" s="16" t="n"/>
      <c r="X3103" s="16" t="n"/>
      <c r="Y3103" s="16" t="n"/>
      <c r="Z3103" s="16" t="n">
        <v>9.97808320884722</v>
      </c>
      <c r="AA3103" s="16" t="n"/>
      <c r="AB3103" s="16" t="n"/>
      <c r="AC3103" s="16" t="n"/>
      <c r="AD3103" s="16" t="n"/>
      <c r="AE3103" s="16" t="n"/>
    </row>
    <row r="3104">
      <c r="A3104" s="16" t="inlineStr">
        <is>
          <t>KF-M06-SUB-0021</t>
        </is>
      </c>
      <c r="B3104" s="16" t="inlineStr">
        <is>
          <t>6.1</t>
        </is>
      </c>
      <c r="C3104" s="16" t="inlineStr">
        <is>
          <t>6.1c</t>
        </is>
      </c>
      <c r="D3104" s="16" t="inlineStr">
        <is>
          <t>costo de exigir subenfriamiento</t>
        </is>
      </c>
      <c r="E3104" s="16" t="inlineStr">
        <is>
          <t>KF-M06</t>
        </is>
      </c>
      <c r="F3104" s="16" t="inlineStr">
        <is>
          <t>KF-M06-SUB</t>
        </is>
      </c>
      <c r="G3104" s="16" t="inlineStr">
        <is>
          <t>B12</t>
        </is>
      </c>
      <c r="H3104" s="16" t="inlineStr">
        <is>
          <t>busqueda</t>
        </is>
      </c>
      <c r="I3104" s="16" t="inlineStr">
        <is>
          <t>KALINA</t>
        </is>
      </c>
      <c r="J3104" s="16" t="inlineStr">
        <is>
          <t>KALINA</t>
        </is>
      </c>
      <c r="K3104" s="16" t="b">
        <v>1</v>
      </c>
      <c r="L3104" s="16" t="b">
        <v>1</v>
      </c>
      <c r="M3104" s="16" t="n"/>
      <c r="N3104" s="16" t="b">
        <v>0</v>
      </c>
      <c r="O3104" s="16" t="n"/>
      <c r="P3104" s="16" t="n"/>
      <c r="Q3104" s="16" t="n"/>
      <c r="R3104" s="16" t="n">
        <v>468.359375</v>
      </c>
      <c r="S3104" s="16" t="n"/>
      <c r="T3104" s="16" t="n"/>
      <c r="U3104" s="16" t="n"/>
      <c r="V3104" s="16" t="n"/>
      <c r="W3104" s="16" t="n"/>
      <c r="X3104" s="16" t="n"/>
      <c r="Y3104" s="16" t="n"/>
      <c r="Z3104" s="16" t="n">
        <v>10.00779894760822</v>
      </c>
      <c r="AA3104" s="16" t="n"/>
      <c r="AB3104" s="16" t="n"/>
      <c r="AC3104" s="16" t="n"/>
      <c r="AD3104" s="16" t="n"/>
      <c r="AE3104" s="16" t="n"/>
    </row>
    <row r="3105">
      <c r="A3105" s="16" t="inlineStr">
        <is>
          <t>KF-M06-SUB-0022</t>
        </is>
      </c>
      <c r="B3105" s="16" t="inlineStr">
        <is>
          <t>6.1</t>
        </is>
      </c>
      <c r="C3105" s="16" t="inlineStr">
        <is>
          <t>6.1c</t>
        </is>
      </c>
      <c r="D3105" s="16" t="inlineStr">
        <is>
          <t>costo de exigir subenfriamiento</t>
        </is>
      </c>
      <c r="E3105" s="16" t="inlineStr">
        <is>
          <t>KF-M06</t>
        </is>
      </c>
      <c r="F3105" s="16" t="inlineStr">
        <is>
          <t>KF-M06-SUB</t>
        </is>
      </c>
      <c r="G3105" s="16" t="inlineStr">
        <is>
          <t>B12</t>
        </is>
      </c>
      <c r="H3105" s="16" t="inlineStr">
        <is>
          <t>busqueda</t>
        </is>
      </c>
      <c r="I3105" s="16" t="inlineStr">
        <is>
          <t>KALINA</t>
        </is>
      </c>
      <c r="J3105" s="16" t="inlineStr">
        <is>
          <t>KALINA</t>
        </is>
      </c>
      <c r="K3105" s="16" t="b">
        <v>1</v>
      </c>
      <c r="L3105" s="16" t="b">
        <v>1</v>
      </c>
      <c r="M3105" s="16" t="n"/>
      <c r="N3105" s="16" t="b">
        <v>0</v>
      </c>
      <c r="O3105" s="16" t="n"/>
      <c r="P3105" s="16" t="n"/>
      <c r="Q3105" s="16" t="n"/>
      <c r="R3105" s="16" t="n">
        <v>400</v>
      </c>
      <c r="S3105" s="16" t="n"/>
      <c r="T3105" s="16" t="n"/>
      <c r="U3105" s="16" t="n"/>
      <c r="V3105" s="16" t="n"/>
      <c r="W3105" s="16" t="n"/>
      <c r="X3105" s="16" t="n"/>
      <c r="Y3105" s="16" t="n"/>
      <c r="Z3105" s="16" t="n">
        <v>10.80651724015787</v>
      </c>
      <c r="AA3105" s="16" t="n"/>
      <c r="AB3105" s="16" t="n"/>
      <c r="AC3105" s="16" t="n"/>
      <c r="AD3105" s="16" t="n"/>
      <c r="AE3105" s="16" t="n"/>
    </row>
    <row r="3106">
      <c r="A3106" s="16" t="inlineStr">
        <is>
          <t>KF-M06-SUB-0023</t>
        </is>
      </c>
      <c r="B3106" s="16" t="inlineStr">
        <is>
          <t>6.1</t>
        </is>
      </c>
      <c r="C3106" s="16" t="inlineStr">
        <is>
          <t>6.1c</t>
        </is>
      </c>
      <c r="D3106" s="16" t="inlineStr">
        <is>
          <t>costo de exigir subenfriamiento</t>
        </is>
      </c>
      <c r="E3106" s="16" t="inlineStr">
        <is>
          <t>KF-M06</t>
        </is>
      </c>
      <c r="F3106" s="16" t="inlineStr">
        <is>
          <t>KF-M06-SUB</t>
        </is>
      </c>
      <c r="G3106" s="16" t="inlineStr">
        <is>
          <t>B12</t>
        </is>
      </c>
      <c r="H3106" s="16" t="inlineStr">
        <is>
          <t>busqueda</t>
        </is>
      </c>
      <c r="I3106" s="16" t="inlineStr">
        <is>
          <t>KALINA</t>
        </is>
      </c>
      <c r="J3106" s="16" t="inlineStr">
        <is>
          <t>KALINA</t>
        </is>
      </c>
      <c r="K3106" s="16" t="b">
        <v>1</v>
      </c>
      <c r="L3106" s="16" t="b">
        <v>1</v>
      </c>
      <c r="M3106" s="16" t="n"/>
      <c r="N3106" s="16" t="b">
        <v>0</v>
      </c>
      <c r="O3106" s="16" t="n"/>
      <c r="P3106" s="16" t="n"/>
      <c r="Q3106" s="16" t="n"/>
      <c r="R3106" s="16" t="n">
        <v>1800</v>
      </c>
      <c r="S3106" s="16" t="n"/>
      <c r="T3106" s="16" t="n"/>
      <c r="U3106" s="16" t="n"/>
      <c r="V3106" s="16" t="n"/>
      <c r="W3106" s="16" t="n"/>
      <c r="X3106" s="16" t="n"/>
      <c r="Y3106" s="16" t="n"/>
      <c r="Z3106" s="16" t="n">
        <v>2.78533132382194</v>
      </c>
      <c r="AA3106" s="16" t="n"/>
      <c r="AB3106" s="16" t="n"/>
      <c r="AC3106" s="16" t="n"/>
      <c r="AD3106" s="16" t="n"/>
      <c r="AE3106" s="16" t="n"/>
    </row>
    <row r="3107">
      <c r="A3107" s="16" t="inlineStr">
        <is>
          <t>KF-M06-SUB-0024</t>
        </is>
      </c>
      <c r="B3107" s="16" t="inlineStr">
        <is>
          <t>6.1</t>
        </is>
      </c>
      <c r="C3107" s="16" t="inlineStr">
        <is>
          <t>6.1c</t>
        </is>
      </c>
      <c r="D3107" s="16" t="inlineStr">
        <is>
          <t>costo de exigir subenfriamiento</t>
        </is>
      </c>
      <c r="E3107" s="16" t="inlineStr">
        <is>
          <t>KF-M06</t>
        </is>
      </c>
      <c r="F3107" s="16" t="inlineStr">
        <is>
          <t>KF-M06-SUB</t>
        </is>
      </c>
      <c r="G3107" s="16" t="inlineStr">
        <is>
          <t>B12</t>
        </is>
      </c>
      <c r="H3107" s="16" t="inlineStr">
        <is>
          <t>busqueda</t>
        </is>
      </c>
      <c r="I3107" s="16" t="inlineStr">
        <is>
          <t>KALINA</t>
        </is>
      </c>
      <c r="J3107" s="16" t="inlineStr">
        <is>
          <t>KALINA</t>
        </is>
      </c>
      <c r="K3107" s="16" t="b">
        <v>1</v>
      </c>
      <c r="L3107" s="16" t="b">
        <v>1</v>
      </c>
      <c r="M3107" s="16" t="n"/>
      <c r="N3107" s="16" t="b">
        <v>0</v>
      </c>
      <c r="O3107" s="16" t="n"/>
      <c r="P3107" s="16" t="n"/>
      <c r="Q3107" s="16" t="n"/>
      <c r="R3107" s="16" t="n">
        <v>1100</v>
      </c>
      <c r="S3107" s="16" t="n"/>
      <c r="T3107" s="16" t="n"/>
      <c r="U3107" s="16" t="n"/>
      <c r="V3107" s="16" t="n"/>
      <c r="W3107" s="16" t="n"/>
      <c r="X3107" s="16" t="n"/>
      <c r="Y3107" s="16" t="n"/>
      <c r="Z3107" s="16" t="n">
        <v>5.48853651360722</v>
      </c>
      <c r="AA3107" s="16" t="n"/>
      <c r="AB3107" s="16" t="n"/>
      <c r="AC3107" s="16" t="n"/>
      <c r="AD3107" s="16" t="n"/>
      <c r="AE3107" s="16" t="n"/>
    </row>
    <row r="3108">
      <c r="A3108" s="16" t="inlineStr">
        <is>
          <t>KF-M06-SUB-0025</t>
        </is>
      </c>
      <c r="B3108" s="16" t="inlineStr">
        <is>
          <t>6.1</t>
        </is>
      </c>
      <c r="C3108" s="16" t="inlineStr">
        <is>
          <t>6.1c</t>
        </is>
      </c>
      <c r="D3108" s="16" t="inlineStr">
        <is>
          <t>costo de exigir subenfriamiento</t>
        </is>
      </c>
      <c r="E3108" s="16" t="inlineStr">
        <is>
          <t>KF-M06</t>
        </is>
      </c>
      <c r="F3108" s="16" t="inlineStr">
        <is>
          <t>KF-M06-SUB</t>
        </is>
      </c>
      <c r="G3108" s="16" t="inlineStr">
        <is>
          <t>B12</t>
        </is>
      </c>
      <c r="H3108" s="16" t="inlineStr">
        <is>
          <t>busqueda</t>
        </is>
      </c>
      <c r="I3108" s="16" t="inlineStr">
        <is>
          <t>KALINA</t>
        </is>
      </c>
      <c r="J3108" s="16" t="inlineStr">
        <is>
          <t>KALINA</t>
        </is>
      </c>
      <c r="K3108" s="16" t="b">
        <v>1</v>
      </c>
      <c r="L3108" s="16" t="b">
        <v>1</v>
      </c>
      <c r="M3108" s="16" t="n"/>
      <c r="N3108" s="16" t="b">
        <v>0</v>
      </c>
      <c r="O3108" s="16" t="n"/>
      <c r="P3108" s="16" t="n"/>
      <c r="Q3108" s="16" t="n"/>
      <c r="R3108" s="16" t="n">
        <v>750</v>
      </c>
      <c r="S3108" s="16" t="n"/>
      <c r="T3108" s="16" t="n"/>
      <c r="U3108" s="16" t="n"/>
      <c r="V3108" s="16" t="n"/>
      <c r="W3108" s="16" t="n"/>
      <c r="X3108" s="16" t="n"/>
      <c r="Y3108" s="16" t="n"/>
      <c r="Z3108" s="16" t="n">
        <v>7.55211125581106</v>
      </c>
      <c r="AA3108" s="16" t="n"/>
      <c r="AB3108" s="16" t="n"/>
      <c r="AC3108" s="16" t="n"/>
      <c r="AD3108" s="16" t="n"/>
      <c r="AE3108" s="16" t="n"/>
    </row>
    <row r="3109">
      <c r="A3109" s="16" t="inlineStr">
        <is>
          <t>KF-M06-SUB-0026</t>
        </is>
      </c>
      <c r="B3109" s="16" t="inlineStr">
        <is>
          <t>6.1</t>
        </is>
      </c>
      <c r="C3109" s="16" t="inlineStr">
        <is>
          <t>6.1c</t>
        </is>
      </c>
      <c r="D3109" s="16" t="inlineStr">
        <is>
          <t>costo de exigir subenfriamiento</t>
        </is>
      </c>
      <c r="E3109" s="16" t="inlineStr">
        <is>
          <t>KF-M06</t>
        </is>
      </c>
      <c r="F3109" s="16" t="inlineStr">
        <is>
          <t>KF-M06-SUB</t>
        </is>
      </c>
      <c r="G3109" s="16" t="inlineStr">
        <is>
          <t>B12</t>
        </is>
      </c>
      <c r="H3109" s="16" t="inlineStr">
        <is>
          <t>busqueda</t>
        </is>
      </c>
      <c r="I3109" s="16" t="inlineStr">
        <is>
          <t>KALINA</t>
        </is>
      </c>
      <c r="J3109" s="16" t="inlineStr">
        <is>
          <t>KALINA</t>
        </is>
      </c>
      <c r="K3109" s="16" t="b">
        <v>1</v>
      </c>
      <c r="L3109" s="16" t="b">
        <v>1</v>
      </c>
      <c r="M3109" s="16" t="n"/>
      <c r="N3109" s="16" t="b">
        <v>0</v>
      </c>
      <c r="O3109" s="16" t="n"/>
      <c r="P3109" s="16" t="n"/>
      <c r="Q3109" s="16" t="n"/>
      <c r="R3109" s="16" t="n">
        <v>575</v>
      </c>
      <c r="S3109" s="16" t="n"/>
      <c r="T3109" s="16" t="n"/>
      <c r="U3109" s="16" t="n"/>
      <c r="V3109" s="16" t="n"/>
      <c r="W3109" s="16" t="n"/>
      <c r="X3109" s="16" t="n"/>
      <c r="Y3109" s="16" t="n"/>
      <c r="Z3109" s="16" t="n">
        <v>8.95051947052397</v>
      </c>
      <c r="AA3109" s="16" t="n"/>
      <c r="AB3109" s="16" t="n"/>
      <c r="AC3109" s="16" t="n"/>
      <c r="AD3109" s="16" t="n"/>
      <c r="AE3109" s="16" t="n"/>
    </row>
    <row r="3110">
      <c r="A3110" s="16" t="inlineStr">
        <is>
          <t>KF-M06-SUB-0027</t>
        </is>
      </c>
      <c r="B3110" s="16" t="inlineStr">
        <is>
          <t>6.1</t>
        </is>
      </c>
      <c r="C3110" s="16" t="inlineStr">
        <is>
          <t>6.1c</t>
        </is>
      </c>
      <c r="D3110" s="16" t="inlineStr">
        <is>
          <t>costo de exigir subenfriamiento</t>
        </is>
      </c>
      <c r="E3110" s="16" t="inlineStr">
        <is>
          <t>KF-M06</t>
        </is>
      </c>
      <c r="F3110" s="16" t="inlineStr">
        <is>
          <t>KF-M06-SUB</t>
        </is>
      </c>
      <c r="G3110" s="16" t="inlineStr">
        <is>
          <t>B12</t>
        </is>
      </c>
      <c r="H3110" s="16" t="inlineStr">
        <is>
          <t>busqueda</t>
        </is>
      </c>
      <c r="I3110" s="16" t="inlineStr">
        <is>
          <t>KALINA</t>
        </is>
      </c>
      <c r="J3110" s="16" t="inlineStr">
        <is>
          <t>KALINA</t>
        </is>
      </c>
      <c r="K3110" s="16" t="b">
        <v>1</v>
      </c>
      <c r="L3110" s="16" t="b">
        <v>1</v>
      </c>
      <c r="M3110" s="16" t="n"/>
      <c r="N3110" s="16" t="b">
        <v>0</v>
      </c>
      <c r="O3110" s="16" t="n"/>
      <c r="P3110" s="16" t="n"/>
      <c r="Q3110" s="16" t="n"/>
      <c r="R3110" s="16" t="n">
        <v>487.5</v>
      </c>
      <c r="S3110" s="16" t="n"/>
      <c r="T3110" s="16" t="n"/>
      <c r="U3110" s="16" t="n"/>
      <c r="V3110" s="16" t="n"/>
      <c r="W3110" s="16" t="n"/>
      <c r="X3110" s="16" t="n"/>
      <c r="Y3110" s="16" t="n"/>
      <c r="Z3110" s="16" t="n">
        <v>9.802985781316149</v>
      </c>
      <c r="AA3110" s="16" t="n"/>
      <c r="AB3110" s="16" t="n"/>
      <c r="AC3110" s="16" t="n"/>
      <c r="AD3110" s="16" t="n"/>
      <c r="AE3110" s="16" t="n"/>
    </row>
    <row r="3111">
      <c r="A3111" s="16" t="inlineStr">
        <is>
          <t>KF-M06-SUB-0028</t>
        </is>
      </c>
      <c r="B3111" s="16" t="inlineStr">
        <is>
          <t>6.1</t>
        </is>
      </c>
      <c r="C3111" s="16" t="inlineStr">
        <is>
          <t>6.1c</t>
        </is>
      </c>
      <c r="D3111" s="16" t="inlineStr">
        <is>
          <t>costo de exigir subenfriamiento</t>
        </is>
      </c>
      <c r="E3111" s="16" t="inlineStr">
        <is>
          <t>KF-M06</t>
        </is>
      </c>
      <c r="F3111" s="16" t="inlineStr">
        <is>
          <t>KF-M06-SUB</t>
        </is>
      </c>
      <c r="G3111" s="16" t="inlineStr">
        <is>
          <t>B12</t>
        </is>
      </c>
      <c r="H3111" s="16" t="inlineStr">
        <is>
          <t>busqueda</t>
        </is>
      </c>
      <c r="I3111" s="16" t="inlineStr">
        <is>
          <t>KALINA</t>
        </is>
      </c>
      <c r="J3111" s="16" t="inlineStr">
        <is>
          <t>KALINA</t>
        </is>
      </c>
      <c r="K3111" s="16" t="b">
        <v>1</v>
      </c>
      <c r="L3111" s="16" t="b">
        <v>1</v>
      </c>
      <c r="M3111" s="16" t="n"/>
      <c r="N3111" s="16" t="b">
        <v>0</v>
      </c>
      <c r="O3111" s="16" t="n"/>
      <c r="P3111" s="16" t="n"/>
      <c r="Q3111" s="16" t="n"/>
      <c r="R3111" s="16" t="n">
        <v>443.75</v>
      </c>
      <c r="S3111" s="16" t="n"/>
      <c r="T3111" s="16" t="n"/>
      <c r="U3111" s="16" t="n"/>
      <c r="V3111" s="16" t="n"/>
      <c r="W3111" s="16" t="n"/>
      <c r="X3111" s="16" t="n"/>
      <c r="Y3111" s="16" t="n"/>
      <c r="Z3111" s="16" t="n">
        <v>10.2825001012298</v>
      </c>
      <c r="AA3111" s="16" t="n"/>
      <c r="AB3111" s="16" t="n"/>
      <c r="AC3111" s="16" t="n"/>
      <c r="AD3111" s="16" t="n"/>
      <c r="AE3111" s="16" t="n"/>
    </row>
    <row r="3112">
      <c r="A3112" s="16" t="inlineStr">
        <is>
          <t>KF-M06-SUB-0029</t>
        </is>
      </c>
      <c r="B3112" s="16" t="inlineStr">
        <is>
          <t>6.1</t>
        </is>
      </c>
      <c r="C3112" s="16" t="inlineStr">
        <is>
          <t>6.1c</t>
        </is>
      </c>
      <c r="D3112" s="16" t="inlineStr">
        <is>
          <t>costo de exigir subenfriamiento</t>
        </is>
      </c>
      <c r="E3112" s="16" t="inlineStr">
        <is>
          <t>KF-M06</t>
        </is>
      </c>
      <c r="F3112" s="16" t="inlineStr">
        <is>
          <t>KF-M06-SUB</t>
        </is>
      </c>
      <c r="G3112" s="16" t="inlineStr">
        <is>
          <t>B12</t>
        </is>
      </c>
      <c r="H3112" s="16" t="inlineStr">
        <is>
          <t>busqueda</t>
        </is>
      </c>
      <c r="I3112" s="16" t="inlineStr">
        <is>
          <t>KALINA</t>
        </is>
      </c>
      <c r="J3112" s="16" t="inlineStr">
        <is>
          <t>KALINA</t>
        </is>
      </c>
      <c r="K3112" s="16" t="b">
        <v>1</v>
      </c>
      <c r="L3112" s="16" t="b">
        <v>1</v>
      </c>
      <c r="M3112" s="16" t="n"/>
      <c r="N3112" s="16" t="b">
        <v>0</v>
      </c>
      <c r="O3112" s="16" t="n"/>
      <c r="P3112" s="16" t="n"/>
      <c r="Q3112" s="16" t="n"/>
      <c r="R3112" s="16" t="n">
        <v>421.875</v>
      </c>
      <c r="S3112" s="16" t="n"/>
      <c r="T3112" s="16" t="n"/>
      <c r="U3112" s="16" t="n"/>
      <c r="V3112" s="16" t="n"/>
      <c r="W3112" s="16" t="n"/>
      <c r="X3112" s="16" t="n"/>
      <c r="Y3112" s="16" t="n"/>
      <c r="Z3112" s="16" t="n">
        <v>10.53841895122706</v>
      </c>
      <c r="AA3112" s="16" t="n"/>
      <c r="AB3112" s="16" t="n"/>
      <c r="AC3112" s="16" t="n"/>
      <c r="AD3112" s="16" t="n"/>
      <c r="AE3112" s="16" t="n"/>
    </row>
    <row r="3113">
      <c r="A3113" s="16" t="inlineStr">
        <is>
          <t>KF-M06-SUB-0030</t>
        </is>
      </c>
      <c r="B3113" s="16" t="inlineStr">
        <is>
          <t>6.1</t>
        </is>
      </c>
      <c r="C3113" s="16" t="inlineStr">
        <is>
          <t>6.1c</t>
        </is>
      </c>
      <c r="D3113" s="16" t="inlineStr">
        <is>
          <t>costo de exigir subenfriamiento</t>
        </is>
      </c>
      <c r="E3113" s="16" t="inlineStr">
        <is>
          <t>KF-M06</t>
        </is>
      </c>
      <c r="F3113" s="16" t="inlineStr">
        <is>
          <t>KF-M06-SUB</t>
        </is>
      </c>
      <c r="G3113" s="16" t="inlineStr">
        <is>
          <t>B12</t>
        </is>
      </c>
      <c r="H3113" s="16" t="inlineStr">
        <is>
          <t>busqueda</t>
        </is>
      </c>
      <c r="I3113" s="16" t="inlineStr">
        <is>
          <t>KALINA</t>
        </is>
      </c>
      <c r="J3113" s="16" t="inlineStr">
        <is>
          <t>KALINA</t>
        </is>
      </c>
      <c r="K3113" s="16" t="b">
        <v>1</v>
      </c>
      <c r="L3113" s="16" t="b">
        <v>1</v>
      </c>
      <c r="M3113" s="16" t="n"/>
      <c r="N3113" s="16" t="b">
        <v>0</v>
      </c>
      <c r="O3113" s="16" t="n"/>
      <c r="P3113" s="16" t="n"/>
      <c r="Q3113" s="16" t="n"/>
      <c r="R3113" s="16" t="n">
        <v>432.8125</v>
      </c>
      <c r="S3113" s="16" t="n"/>
      <c r="T3113" s="16" t="n"/>
      <c r="U3113" s="16" t="n"/>
      <c r="V3113" s="16" t="n"/>
      <c r="W3113" s="16" t="n"/>
      <c r="X3113" s="16" t="n"/>
      <c r="Y3113" s="16" t="n"/>
      <c r="Z3113" s="16" t="n">
        <v>10.40900892316265</v>
      </c>
      <c r="AA3113" s="16" t="n"/>
      <c r="AB3113" s="16" t="n"/>
      <c r="AC3113" s="16" t="n"/>
      <c r="AD3113" s="16" t="n"/>
      <c r="AE3113" s="16" t="n"/>
    </row>
    <row r="3114">
      <c r="A3114" s="16" t="inlineStr">
        <is>
          <t>KF-M06-SUB-0031</t>
        </is>
      </c>
      <c r="B3114" s="16" t="inlineStr">
        <is>
          <t>6.1</t>
        </is>
      </c>
      <c r="C3114" s="16" t="inlineStr">
        <is>
          <t>6.1c</t>
        </is>
      </c>
      <c r="D3114" s="16" t="inlineStr">
        <is>
          <t>costo de exigir subenfriamiento</t>
        </is>
      </c>
      <c r="E3114" s="16" t="inlineStr">
        <is>
          <t>KF-M06</t>
        </is>
      </c>
      <c r="F3114" s="16" t="inlineStr">
        <is>
          <t>KF-M06-SUB</t>
        </is>
      </c>
      <c r="G3114" s="16" t="inlineStr">
        <is>
          <t>B12</t>
        </is>
      </c>
      <c r="H3114" s="16" t="inlineStr">
        <is>
          <t>busqueda</t>
        </is>
      </c>
      <c r="I3114" s="16" t="inlineStr">
        <is>
          <t>KALINA</t>
        </is>
      </c>
      <c r="J3114" s="16" t="inlineStr">
        <is>
          <t>KALINA</t>
        </is>
      </c>
      <c r="K3114" s="16" t="b">
        <v>1</v>
      </c>
      <c r="L3114" s="16" t="b">
        <v>1</v>
      </c>
      <c r="M3114" s="16" t="n"/>
      <c r="N3114" s="16" t="b">
        <v>0</v>
      </c>
      <c r="O3114" s="16" t="n"/>
      <c r="P3114" s="16" t="n"/>
      <c r="Q3114" s="16" t="n"/>
      <c r="R3114" s="16" t="n">
        <v>427.34375</v>
      </c>
      <c r="S3114" s="16" t="n"/>
      <c r="T3114" s="16" t="n"/>
      <c r="U3114" s="16" t="n"/>
      <c r="V3114" s="16" t="n"/>
      <c r="W3114" s="16" t="n"/>
      <c r="X3114" s="16" t="n"/>
      <c r="Y3114" s="16" t="n"/>
      <c r="Z3114" s="16" t="n">
        <v>10.47334270680248</v>
      </c>
      <c r="AA3114" s="16" t="n"/>
      <c r="AB3114" s="16" t="n"/>
      <c r="AC3114" s="16" t="n"/>
      <c r="AD3114" s="16" t="n"/>
      <c r="AE3114" s="16" t="n"/>
    </row>
    <row r="3115">
      <c r="A3115" s="16" t="inlineStr">
        <is>
          <t>KF-M06-SUB-0032</t>
        </is>
      </c>
      <c r="B3115" s="16" t="inlineStr">
        <is>
          <t>6.1</t>
        </is>
      </c>
      <c r="C3115" s="16" t="inlineStr">
        <is>
          <t>6.1c</t>
        </is>
      </c>
      <c r="D3115" s="16" t="inlineStr">
        <is>
          <t>costo de exigir subenfriamiento</t>
        </is>
      </c>
      <c r="E3115" s="16" t="inlineStr">
        <is>
          <t>KF-M06</t>
        </is>
      </c>
      <c r="F3115" s="16" t="inlineStr">
        <is>
          <t>KF-M06-SUB</t>
        </is>
      </c>
      <c r="G3115" s="16" t="inlineStr">
        <is>
          <t>B12</t>
        </is>
      </c>
      <c r="H3115" s="16" t="inlineStr">
        <is>
          <t>busqueda</t>
        </is>
      </c>
      <c r="I3115" s="16" t="inlineStr">
        <is>
          <t>KALINA</t>
        </is>
      </c>
      <c r="J3115" s="16" t="inlineStr">
        <is>
          <t>KALINA</t>
        </is>
      </c>
      <c r="K3115" s="16" t="b">
        <v>1</v>
      </c>
      <c r="L3115" s="16" t="b">
        <v>1</v>
      </c>
      <c r="M3115" s="16" t="n"/>
      <c r="N3115" s="16" t="b">
        <v>0</v>
      </c>
      <c r="O3115" s="16" t="n"/>
      <c r="P3115" s="16" t="n"/>
      <c r="Q3115" s="16" t="n"/>
      <c r="R3115" s="16" t="n">
        <v>424.609375</v>
      </c>
      <c r="S3115" s="16" t="n"/>
      <c r="T3115" s="16" t="n"/>
      <c r="U3115" s="16" t="n"/>
      <c r="V3115" s="16" t="n"/>
      <c r="W3115" s="16" t="n"/>
      <c r="X3115" s="16" t="n"/>
      <c r="Y3115" s="16" t="n"/>
      <c r="Z3115" s="16" t="n">
        <v>10.50578691682796</v>
      </c>
      <c r="AA3115" s="16" t="n"/>
      <c r="AB3115" s="16" t="n"/>
      <c r="AC3115" s="16" t="n"/>
      <c r="AD3115" s="16" t="n"/>
      <c r="AE3115" s="16" t="n"/>
    </row>
    <row r="3116">
      <c r="A3116" s="16" t="inlineStr">
        <is>
          <t>KF-M06-SUB-0033</t>
        </is>
      </c>
      <c r="B3116" s="16" t="inlineStr">
        <is>
          <t>6.1</t>
        </is>
      </c>
      <c r="C3116" s="16" t="inlineStr">
        <is>
          <t>6.1c</t>
        </is>
      </c>
      <c r="D3116" s="16" t="inlineStr">
        <is>
          <t>costo de exigir subenfriamiento</t>
        </is>
      </c>
      <c r="E3116" s="16" t="inlineStr">
        <is>
          <t>KF-M06</t>
        </is>
      </c>
      <c r="F3116" s="16" t="inlineStr">
        <is>
          <t>KF-M06-SUB</t>
        </is>
      </c>
      <c r="G3116" s="16" t="inlineStr">
        <is>
          <t>B12</t>
        </is>
      </c>
      <c r="H3116" s="16" t="inlineStr">
        <is>
          <t>busqueda</t>
        </is>
      </c>
      <c r="I3116" s="16" t="inlineStr">
        <is>
          <t>KALINA</t>
        </is>
      </c>
      <c r="J3116" s="16" t="inlineStr">
        <is>
          <t>KALINA</t>
        </is>
      </c>
      <c r="K3116" s="16" t="b">
        <v>1</v>
      </c>
      <c r="L3116" s="16" t="b">
        <v>1</v>
      </c>
      <c r="M3116" s="16" t="n"/>
      <c r="N3116" s="16" t="b">
        <v>0</v>
      </c>
      <c r="O3116" s="16" t="n"/>
      <c r="P3116" s="16" t="n"/>
      <c r="Q3116" s="16" t="n"/>
      <c r="R3116" s="16" t="n">
        <v>393.75</v>
      </c>
      <c r="S3116" s="16" t="n"/>
      <c r="T3116" s="16" t="n"/>
      <c r="U3116" s="16" t="n"/>
      <c r="V3116" s="16" t="n"/>
      <c r="W3116" s="16" t="n"/>
      <c r="X3116" s="16" t="n"/>
      <c r="Y3116" s="16" t="n"/>
      <c r="Z3116" s="16" t="n">
        <v>15.48239750048667</v>
      </c>
      <c r="AA3116" s="16" t="n"/>
      <c r="AB3116" s="16" t="n"/>
      <c r="AC3116" s="16" t="n"/>
      <c r="AD3116" s="16" t="n"/>
      <c r="AE3116" s="16" t="n"/>
    </row>
    <row r="3117">
      <c r="A3117" s="16" t="inlineStr">
        <is>
          <t>KF-M06-SUB-0034</t>
        </is>
      </c>
      <c r="B3117" s="16" t="inlineStr">
        <is>
          <t>6.1</t>
        </is>
      </c>
      <c r="C3117" s="16" t="inlineStr">
        <is>
          <t>6.1c</t>
        </is>
      </c>
      <c r="D3117" s="16" t="inlineStr">
        <is>
          <t>costo de exigir subenfriamiento</t>
        </is>
      </c>
      <c r="E3117" s="16" t="inlineStr">
        <is>
          <t>KF-M06</t>
        </is>
      </c>
      <c r="F3117" s="16" t="inlineStr">
        <is>
          <t>KF-M06-SUB</t>
        </is>
      </c>
      <c r="G3117" s="16" t="inlineStr">
        <is>
          <t>B12</t>
        </is>
      </c>
      <c r="H3117" s="16" t="inlineStr">
        <is>
          <t>busqueda</t>
        </is>
      </c>
      <c r="I3117" s="16" t="inlineStr">
        <is>
          <t>KALINA</t>
        </is>
      </c>
      <c r="J3117" s="16" t="inlineStr">
        <is>
          <t>KALINA</t>
        </is>
      </c>
      <c r="K3117" s="16" t="b">
        <v>1</v>
      </c>
      <c r="L3117" s="16" t="b">
        <v>1</v>
      </c>
      <c r="M3117" s="16" t="n"/>
      <c r="N3117" s="16" t="b">
        <v>0</v>
      </c>
      <c r="O3117" s="16" t="n"/>
      <c r="P3117" s="16" t="n"/>
      <c r="Q3117" s="16" t="n"/>
      <c r="R3117" s="16" t="n">
        <v>563.6363636363637</v>
      </c>
      <c r="S3117" s="16" t="n"/>
      <c r="T3117" s="16" t="n"/>
      <c r="U3117" s="16" t="n"/>
      <c r="V3117" s="16" t="n"/>
      <c r="W3117" s="16" t="n"/>
      <c r="X3117" s="16" t="n"/>
      <c r="Y3117" s="16" t="n"/>
      <c r="Z3117" s="16" t="n">
        <v>8.481891205006569</v>
      </c>
      <c r="AA3117" s="16" t="n"/>
      <c r="AB3117" s="16" t="n"/>
      <c r="AC3117" s="16" t="n"/>
      <c r="AD3117" s="16" t="n"/>
      <c r="AE3117" s="16" t="n"/>
    </row>
    <row r="3118">
      <c r="A3118" s="16" t="inlineStr">
        <is>
          <t>KF-M06-SUB-0035</t>
        </is>
      </c>
      <c r="B3118" s="16" t="inlineStr">
        <is>
          <t>6.1</t>
        </is>
      </c>
      <c r="C3118" s="16" t="inlineStr">
        <is>
          <t>6.1c</t>
        </is>
      </c>
      <c r="D3118" s="16" t="inlineStr">
        <is>
          <t>costo de exigir subenfriamiento</t>
        </is>
      </c>
      <c r="E3118" s="16" t="inlineStr">
        <is>
          <t>KF-M06</t>
        </is>
      </c>
      <c r="F3118" s="16" t="inlineStr">
        <is>
          <t>KF-M06-SUB</t>
        </is>
      </c>
      <c r="G3118" s="16" t="inlineStr">
        <is>
          <t>B12</t>
        </is>
      </c>
      <c r="H3118" s="16" t="inlineStr">
        <is>
          <t>busqueda</t>
        </is>
      </c>
      <c r="I3118" s="16" t="inlineStr">
        <is>
          <t>KALINA</t>
        </is>
      </c>
      <c r="J3118" s="16" t="inlineStr">
        <is>
          <t>KALINA</t>
        </is>
      </c>
      <c r="K3118" s="16" t="b">
        <v>1</v>
      </c>
      <c r="L3118" s="16" t="b">
        <v>1</v>
      </c>
      <c r="M3118" s="16" t="n"/>
      <c r="N3118" s="16" t="b">
        <v>0</v>
      </c>
      <c r="O3118" s="16" t="n"/>
      <c r="P3118" s="16" t="n"/>
      <c r="Q3118" s="16" t="n"/>
      <c r="R3118" s="16" t="n">
        <v>1800</v>
      </c>
      <c r="S3118" s="16" t="n"/>
      <c r="T3118" s="16" t="n"/>
      <c r="U3118" s="16" t="n"/>
      <c r="V3118" s="16" t="n"/>
      <c r="W3118" s="16" t="n"/>
      <c r="X3118" s="16" t="n"/>
      <c r="Y3118" s="16" t="n"/>
      <c r="Z3118" s="16" t="n">
        <v>2.55741415076054</v>
      </c>
      <c r="AA3118" s="16" t="n"/>
      <c r="AB3118" s="16" t="n"/>
      <c r="AC3118" s="16" t="n"/>
      <c r="AD3118" s="16" t="n"/>
      <c r="AE3118" s="16" t="n"/>
    </row>
    <row r="3119">
      <c r="A3119" s="16" t="inlineStr">
        <is>
          <t>KF-M06-SUB-0036</t>
        </is>
      </c>
      <c r="B3119" s="16" t="inlineStr">
        <is>
          <t>6.1</t>
        </is>
      </c>
      <c r="C3119" s="16" t="inlineStr">
        <is>
          <t>6.1c</t>
        </is>
      </c>
      <c r="D3119" s="16" t="inlineStr">
        <is>
          <t>costo de exigir subenfriamiento</t>
        </is>
      </c>
      <c r="E3119" s="16" t="inlineStr">
        <is>
          <t>KF-M06</t>
        </is>
      </c>
      <c r="F3119" s="16" t="inlineStr">
        <is>
          <t>KF-M06-SUB</t>
        </is>
      </c>
      <c r="G3119" s="16" t="inlineStr">
        <is>
          <t>B12</t>
        </is>
      </c>
      <c r="H3119" s="16" t="inlineStr">
        <is>
          <t>busqueda</t>
        </is>
      </c>
      <c r="I3119" s="16" t="inlineStr">
        <is>
          <t>KALINA</t>
        </is>
      </c>
      <c r="J3119" s="16" t="inlineStr">
        <is>
          <t>KALINA</t>
        </is>
      </c>
      <c r="K3119" s="16" t="b">
        <v>1</v>
      </c>
      <c r="L3119" s="16" t="b">
        <v>1</v>
      </c>
      <c r="M3119" s="16" t="n"/>
      <c r="N3119" s="16" t="b">
        <v>0</v>
      </c>
      <c r="O3119" s="16" t="n"/>
      <c r="P3119" s="16" t="n"/>
      <c r="Q3119" s="16" t="n"/>
      <c r="R3119" s="16" t="n">
        <v>1181.818181818182</v>
      </c>
      <c r="S3119" s="16" t="n"/>
      <c r="T3119" s="16" t="n"/>
      <c r="U3119" s="16" t="n"/>
      <c r="V3119" s="16" t="n"/>
      <c r="W3119" s="16" t="n"/>
      <c r="X3119" s="16" t="n"/>
      <c r="Y3119" s="16" t="n"/>
      <c r="Z3119" s="16" t="n">
        <v>4.72734087283683</v>
      </c>
      <c r="AA3119" s="16" t="n"/>
      <c r="AB3119" s="16" t="n"/>
      <c r="AC3119" s="16" t="n"/>
      <c r="AD3119" s="16" t="n"/>
      <c r="AE3119" s="16" t="n"/>
    </row>
    <row r="3120">
      <c r="A3120" s="16" t="inlineStr">
        <is>
          <t>KF-M06-SUB-0037</t>
        </is>
      </c>
      <c r="B3120" s="16" t="inlineStr">
        <is>
          <t>6.1</t>
        </is>
      </c>
      <c r="C3120" s="16" t="inlineStr">
        <is>
          <t>6.1c</t>
        </is>
      </c>
      <c r="D3120" s="16" t="inlineStr">
        <is>
          <t>costo de exigir subenfriamiento</t>
        </is>
      </c>
      <c r="E3120" s="16" t="inlineStr">
        <is>
          <t>KF-M06</t>
        </is>
      </c>
      <c r="F3120" s="16" t="inlineStr">
        <is>
          <t>KF-M06-SUB</t>
        </is>
      </c>
      <c r="G3120" s="16" t="inlineStr">
        <is>
          <t>B12</t>
        </is>
      </c>
      <c r="H3120" s="16" t="inlineStr">
        <is>
          <t>busqueda</t>
        </is>
      </c>
      <c r="I3120" s="16" t="inlineStr">
        <is>
          <t>KALINA</t>
        </is>
      </c>
      <c r="J3120" s="16" t="inlineStr">
        <is>
          <t>KALINA</t>
        </is>
      </c>
      <c r="K3120" s="16" t="b">
        <v>1</v>
      </c>
      <c r="L3120" s="16" t="b">
        <v>1</v>
      </c>
      <c r="M3120" s="16" t="n"/>
      <c r="N3120" s="16" t="b">
        <v>0</v>
      </c>
      <c r="O3120" s="16" t="n"/>
      <c r="P3120" s="16" t="n"/>
      <c r="Q3120" s="16" t="n"/>
      <c r="R3120" s="16" t="n">
        <v>872.7272727272729</v>
      </c>
      <c r="S3120" s="16" t="n"/>
      <c r="T3120" s="16" t="n"/>
      <c r="U3120" s="16" t="n"/>
      <c r="V3120" s="16" t="n"/>
      <c r="W3120" s="16" t="n"/>
      <c r="X3120" s="16" t="n"/>
      <c r="Y3120" s="16" t="n"/>
      <c r="Z3120" s="16" t="n">
        <v>6.28416040769159</v>
      </c>
      <c r="AA3120" s="16" t="n"/>
      <c r="AB3120" s="16" t="n"/>
      <c r="AC3120" s="16" t="n"/>
      <c r="AD3120" s="16" t="n"/>
      <c r="AE3120" s="16" t="n"/>
    </row>
    <row r="3121">
      <c r="A3121" s="16" t="inlineStr">
        <is>
          <t>KF-M06-SUB-0038</t>
        </is>
      </c>
      <c r="B3121" s="16" t="inlineStr">
        <is>
          <t>6.1</t>
        </is>
      </c>
      <c r="C3121" s="16" t="inlineStr">
        <is>
          <t>6.1c</t>
        </is>
      </c>
      <c r="D3121" s="16" t="inlineStr">
        <is>
          <t>costo de exigir subenfriamiento</t>
        </is>
      </c>
      <c r="E3121" s="16" t="inlineStr">
        <is>
          <t>KF-M06</t>
        </is>
      </c>
      <c r="F3121" s="16" t="inlineStr">
        <is>
          <t>KF-M06-SUB</t>
        </is>
      </c>
      <c r="G3121" s="16" t="inlineStr">
        <is>
          <t>B12</t>
        </is>
      </c>
      <c r="H3121" s="16" t="inlineStr">
        <is>
          <t>busqueda</t>
        </is>
      </c>
      <c r="I3121" s="16" t="inlineStr">
        <is>
          <t>KALINA</t>
        </is>
      </c>
      <c r="J3121" s="16" t="inlineStr">
        <is>
          <t>KALINA</t>
        </is>
      </c>
      <c r="K3121" s="16" t="b">
        <v>1</v>
      </c>
      <c r="L3121" s="16" t="b">
        <v>1</v>
      </c>
      <c r="M3121" s="16" t="n"/>
      <c r="N3121" s="16" t="b">
        <v>0</v>
      </c>
      <c r="O3121" s="16" t="n"/>
      <c r="P3121" s="16" t="n"/>
      <c r="Q3121" s="16" t="n"/>
      <c r="R3121" s="16" t="n">
        <v>718.1818181818182</v>
      </c>
      <c r="S3121" s="16" t="n"/>
      <c r="T3121" s="16" t="n"/>
      <c r="U3121" s="16" t="n"/>
      <c r="V3121" s="16" t="n"/>
      <c r="W3121" s="16" t="n"/>
      <c r="X3121" s="16" t="n"/>
      <c r="Y3121" s="16" t="n"/>
      <c r="Z3121" s="16" t="n">
        <v>7.272541471219999</v>
      </c>
      <c r="AA3121" s="16" t="n"/>
      <c r="AB3121" s="16" t="n"/>
      <c r="AC3121" s="16" t="n"/>
      <c r="AD3121" s="16" t="n"/>
      <c r="AE3121" s="16" t="n"/>
    </row>
    <row r="3122">
      <c r="A3122" s="16" t="inlineStr">
        <is>
          <t>KF-M06-SUB-0039</t>
        </is>
      </c>
      <c r="B3122" s="16" t="inlineStr">
        <is>
          <t>6.1</t>
        </is>
      </c>
      <c r="C3122" s="16" t="inlineStr">
        <is>
          <t>6.1c</t>
        </is>
      </c>
      <c r="D3122" s="16" t="inlineStr">
        <is>
          <t>costo de exigir subenfriamiento</t>
        </is>
      </c>
      <c r="E3122" s="16" t="inlineStr">
        <is>
          <t>KF-M06</t>
        </is>
      </c>
      <c r="F3122" s="16" t="inlineStr">
        <is>
          <t>KF-M06-SUB</t>
        </is>
      </c>
      <c r="G3122" s="16" t="inlineStr">
        <is>
          <t>B12</t>
        </is>
      </c>
      <c r="H3122" s="16" t="inlineStr">
        <is>
          <t>busqueda</t>
        </is>
      </c>
      <c r="I3122" s="16" t="inlineStr">
        <is>
          <t>KALINA</t>
        </is>
      </c>
      <c r="J3122" s="16" t="inlineStr">
        <is>
          <t>KALINA</t>
        </is>
      </c>
      <c r="K3122" s="16" t="b">
        <v>1</v>
      </c>
      <c r="L3122" s="16" t="b">
        <v>1</v>
      </c>
      <c r="M3122" s="16" t="n"/>
      <c r="N3122" s="16" t="b">
        <v>0</v>
      </c>
      <c r="O3122" s="16" t="n"/>
      <c r="P3122" s="16" t="n"/>
      <c r="Q3122" s="16" t="n"/>
      <c r="R3122" s="16" t="n">
        <v>640.909090909091</v>
      </c>
      <c r="S3122" s="16" t="n"/>
      <c r="T3122" s="16" t="n"/>
      <c r="U3122" s="16" t="n"/>
      <c r="V3122" s="16" t="n"/>
      <c r="W3122" s="16" t="n"/>
      <c r="X3122" s="16" t="n"/>
      <c r="Y3122" s="16" t="n"/>
      <c r="Z3122" s="16" t="n">
        <v>7.843649391552191</v>
      </c>
      <c r="AA3122" s="16" t="n"/>
      <c r="AB3122" s="16" t="n"/>
      <c r="AC3122" s="16" t="n"/>
      <c r="AD3122" s="16" t="n"/>
      <c r="AE3122" s="16" t="n"/>
    </row>
    <row r="3123">
      <c r="A3123" s="16" t="inlineStr">
        <is>
          <t>KF-M06-SUB-0040</t>
        </is>
      </c>
      <c r="B3123" s="16" t="inlineStr">
        <is>
          <t>6.1</t>
        </is>
      </c>
      <c r="C3123" s="16" t="inlineStr">
        <is>
          <t>6.1c</t>
        </is>
      </c>
      <c r="D3123" s="16" t="inlineStr">
        <is>
          <t>costo de exigir subenfriamiento</t>
        </is>
      </c>
      <c r="E3123" s="16" t="inlineStr">
        <is>
          <t>KF-M06</t>
        </is>
      </c>
      <c r="F3123" s="16" t="inlineStr">
        <is>
          <t>KF-M06-SUB</t>
        </is>
      </c>
      <c r="G3123" s="16" t="inlineStr">
        <is>
          <t>B12</t>
        </is>
      </c>
      <c r="H3123" s="16" t="inlineStr">
        <is>
          <t>busqueda</t>
        </is>
      </c>
      <c r="I3123" s="16" t="inlineStr">
        <is>
          <t>KALINA</t>
        </is>
      </c>
      <c r="J3123" s="16" t="inlineStr">
        <is>
          <t>KALINA</t>
        </is>
      </c>
      <c r="K3123" s="16" t="b">
        <v>1</v>
      </c>
      <c r="L3123" s="16" t="b">
        <v>1</v>
      </c>
      <c r="M3123" s="16" t="n"/>
      <c r="N3123" s="16" t="b">
        <v>0</v>
      </c>
      <c r="O3123" s="16" t="n"/>
      <c r="P3123" s="16" t="n"/>
      <c r="Q3123" s="16" t="n"/>
      <c r="R3123" s="16" t="n">
        <v>602.2727272727274</v>
      </c>
      <c r="S3123" s="16" t="n"/>
      <c r="T3123" s="16" t="n"/>
      <c r="U3123" s="16" t="n"/>
      <c r="V3123" s="16" t="n"/>
      <c r="W3123" s="16" t="n"/>
      <c r="X3123" s="16" t="n"/>
      <c r="Y3123" s="16" t="n"/>
      <c r="Z3123" s="16" t="n">
        <v>8.1534066504303</v>
      </c>
      <c r="AA3123" s="16" t="n"/>
      <c r="AB3123" s="16" t="n"/>
      <c r="AC3123" s="16" t="n"/>
      <c r="AD3123" s="16" t="n"/>
      <c r="AE3123" s="16" t="n"/>
    </row>
    <row r="3124">
      <c r="A3124" s="16" t="inlineStr">
        <is>
          <t>KF-M06-SUB-0041</t>
        </is>
      </c>
      <c r="B3124" s="16" t="inlineStr">
        <is>
          <t>6.1</t>
        </is>
      </c>
      <c r="C3124" s="16" t="inlineStr">
        <is>
          <t>6.1c</t>
        </is>
      </c>
      <c r="D3124" s="16" t="inlineStr">
        <is>
          <t>costo de exigir subenfriamiento</t>
        </is>
      </c>
      <c r="E3124" s="16" t="inlineStr">
        <is>
          <t>KF-M06</t>
        </is>
      </c>
      <c r="F3124" s="16" t="inlineStr">
        <is>
          <t>KF-M06-SUB</t>
        </is>
      </c>
      <c r="G3124" s="16" t="inlineStr">
        <is>
          <t>B12</t>
        </is>
      </c>
      <c r="H3124" s="16" t="inlineStr">
        <is>
          <t>busqueda</t>
        </is>
      </c>
      <c r="I3124" s="16" t="inlineStr">
        <is>
          <t>KALINA</t>
        </is>
      </c>
      <c r="J3124" s="16" t="inlineStr">
        <is>
          <t>KALINA</t>
        </is>
      </c>
      <c r="K3124" s="16" t="b">
        <v>1</v>
      </c>
      <c r="L3124" s="16" t="b">
        <v>1</v>
      </c>
      <c r="M3124" s="16" t="n"/>
      <c r="N3124" s="16" t="b">
        <v>0</v>
      </c>
      <c r="O3124" s="16" t="n"/>
      <c r="P3124" s="16" t="n"/>
      <c r="Q3124" s="16" t="n"/>
      <c r="R3124" s="16" t="n">
        <v>582.9545454545455</v>
      </c>
      <c r="S3124" s="16" t="n"/>
      <c r="T3124" s="16" t="n"/>
      <c r="U3124" s="16" t="n"/>
      <c r="V3124" s="16" t="n"/>
      <c r="W3124" s="16" t="n"/>
      <c r="X3124" s="16" t="n"/>
      <c r="Y3124" s="16" t="n"/>
      <c r="Z3124" s="16" t="n">
        <v>8.31516690957559</v>
      </c>
      <c r="AA3124" s="16" t="n"/>
      <c r="AB3124" s="16" t="n"/>
      <c r="AC3124" s="16" t="n"/>
      <c r="AD3124" s="16" t="n"/>
      <c r="AE3124" s="16" t="n"/>
    </row>
    <row r="3125">
      <c r="A3125" s="16" t="inlineStr">
        <is>
          <t>KF-M06-SUB-0042</t>
        </is>
      </c>
      <c r="B3125" s="16" t="inlineStr">
        <is>
          <t>6.1</t>
        </is>
      </c>
      <c r="C3125" s="16" t="inlineStr">
        <is>
          <t>6.1c</t>
        </is>
      </c>
      <c r="D3125" s="16" t="inlineStr">
        <is>
          <t>costo de exigir subenfriamiento</t>
        </is>
      </c>
      <c r="E3125" s="16" t="inlineStr">
        <is>
          <t>KF-M06</t>
        </is>
      </c>
      <c r="F3125" s="16" t="inlineStr">
        <is>
          <t>KF-M06-SUB</t>
        </is>
      </c>
      <c r="G3125" s="16" t="inlineStr">
        <is>
          <t>B12</t>
        </is>
      </c>
      <c r="H3125" s="16" t="inlineStr">
        <is>
          <t>busqueda</t>
        </is>
      </c>
      <c r="I3125" s="16" t="inlineStr">
        <is>
          <t>KALINA</t>
        </is>
      </c>
      <c r="J3125" s="16" t="inlineStr">
        <is>
          <t>KALINA</t>
        </is>
      </c>
      <c r="K3125" s="16" t="b">
        <v>1</v>
      </c>
      <c r="L3125" s="16" t="b">
        <v>1</v>
      </c>
      <c r="M3125" s="16" t="n"/>
      <c r="N3125" s="16" t="b">
        <v>0</v>
      </c>
      <c r="O3125" s="16" t="n"/>
      <c r="P3125" s="16" t="n"/>
      <c r="Q3125" s="16" t="n"/>
      <c r="R3125" s="16" t="n">
        <v>592.6136363636365</v>
      </c>
      <c r="S3125" s="16" t="n"/>
      <c r="T3125" s="16" t="n"/>
      <c r="U3125" s="16" t="n"/>
      <c r="V3125" s="16" t="n"/>
      <c r="W3125" s="16" t="n"/>
      <c r="X3125" s="16" t="n"/>
      <c r="Y3125" s="16" t="n"/>
      <c r="Z3125" s="16" t="n">
        <v>8.23368493397075</v>
      </c>
      <c r="AA3125" s="16" t="n"/>
      <c r="AB3125" s="16" t="n"/>
      <c r="AC3125" s="16" t="n"/>
      <c r="AD3125" s="16" t="n"/>
      <c r="AE3125" s="16" t="n"/>
    </row>
    <row r="3126">
      <c r="A3126" s="16" t="inlineStr">
        <is>
          <t>KF-M06-SUB-0043</t>
        </is>
      </c>
      <c r="B3126" s="16" t="inlineStr">
        <is>
          <t>6.1</t>
        </is>
      </c>
      <c r="C3126" s="16" t="inlineStr">
        <is>
          <t>6.1c</t>
        </is>
      </c>
      <c r="D3126" s="16" t="inlineStr">
        <is>
          <t>costo de exigir subenfriamiento</t>
        </is>
      </c>
      <c r="E3126" s="16" t="inlineStr">
        <is>
          <t>KF-M06</t>
        </is>
      </c>
      <c r="F3126" s="16" t="inlineStr">
        <is>
          <t>KF-M06-SUB</t>
        </is>
      </c>
      <c r="G3126" s="16" t="inlineStr">
        <is>
          <t>B12</t>
        </is>
      </c>
      <c r="H3126" s="16" t="inlineStr">
        <is>
          <t>busqueda</t>
        </is>
      </c>
      <c r="I3126" s="16" t="inlineStr">
        <is>
          <t>KALINA</t>
        </is>
      </c>
      <c r="J3126" s="16" t="inlineStr">
        <is>
          <t>KALINA</t>
        </is>
      </c>
      <c r="K3126" s="16" t="b">
        <v>1</v>
      </c>
      <c r="L3126" s="16" t="b">
        <v>1</v>
      </c>
      <c r="M3126" s="16" t="n"/>
      <c r="N3126" s="16" t="b">
        <v>0</v>
      </c>
      <c r="O3126" s="16" t="n"/>
      <c r="P3126" s="16" t="n"/>
      <c r="Q3126" s="16" t="n"/>
      <c r="R3126" s="16" t="n">
        <v>597.443181818182</v>
      </c>
      <c r="S3126" s="16" t="n"/>
      <c r="T3126" s="16" t="n"/>
      <c r="U3126" s="16" t="n"/>
      <c r="V3126" s="16" t="n"/>
      <c r="W3126" s="16" t="n"/>
      <c r="X3126" s="16" t="n"/>
      <c r="Y3126" s="16" t="n"/>
      <c r="Z3126" s="16" t="n">
        <v>8.19339756867584</v>
      </c>
      <c r="AA3126" s="16" t="n"/>
      <c r="AB3126" s="16" t="n"/>
      <c r="AC3126" s="16" t="n"/>
      <c r="AD3126" s="16" t="n"/>
      <c r="AE3126" s="16" t="n"/>
    </row>
    <row r="3127">
      <c r="A3127" s="16" t="inlineStr">
        <is>
          <t>KF-M06-SUB-0044</t>
        </is>
      </c>
      <c r="B3127" s="16" t="inlineStr">
        <is>
          <t>6.1</t>
        </is>
      </c>
      <c r="C3127" s="16" t="inlineStr">
        <is>
          <t>6.1c</t>
        </is>
      </c>
      <c r="D3127" s="16" t="inlineStr">
        <is>
          <t>costo de exigir subenfriamiento</t>
        </is>
      </c>
      <c r="E3127" s="16" t="inlineStr">
        <is>
          <t>KF-M06</t>
        </is>
      </c>
      <c r="F3127" s="16" t="inlineStr">
        <is>
          <t>KF-M06-SUB</t>
        </is>
      </c>
      <c r="G3127" s="16" t="inlineStr">
        <is>
          <t>B12</t>
        </is>
      </c>
      <c r="H3127" s="16" t="inlineStr">
        <is>
          <t>busqueda</t>
        </is>
      </c>
      <c r="I3127" s="16" t="inlineStr">
        <is>
          <t>KALINA</t>
        </is>
      </c>
      <c r="J3127" s="16" t="inlineStr">
        <is>
          <t>KALINA</t>
        </is>
      </c>
      <c r="K3127" s="16" t="b">
        <v>1</v>
      </c>
      <c r="L3127" s="16" t="b">
        <v>1</v>
      </c>
      <c r="M3127" s="16" t="n"/>
      <c r="N3127" s="16" t="b">
        <v>0</v>
      </c>
      <c r="O3127" s="16" t="n"/>
      <c r="P3127" s="16" t="n"/>
      <c r="Q3127" s="16" t="n"/>
      <c r="R3127" s="16" t="n">
        <v>563.6363636363637</v>
      </c>
      <c r="S3127" s="16" t="n"/>
      <c r="T3127" s="16" t="n"/>
      <c r="U3127" s="16" t="n"/>
      <c r="V3127" s="16" t="n"/>
      <c r="W3127" s="16" t="n"/>
      <c r="X3127" s="16" t="n"/>
      <c r="Y3127" s="16" t="n"/>
      <c r="Z3127" s="16" t="n">
        <v>8.481891205006569</v>
      </c>
      <c r="AA3127" s="16" t="n"/>
      <c r="AB3127" s="16" t="n"/>
      <c r="AC3127" s="16" t="n"/>
      <c r="AD3127" s="16" t="n"/>
      <c r="AE3127" s="16" t="n"/>
    </row>
    <row r="3128">
      <c r="A3128" s="16" t="inlineStr">
        <is>
          <t>KF-M06-SUB-0045</t>
        </is>
      </c>
      <c r="B3128" s="16" t="inlineStr">
        <is>
          <t>6.1</t>
        </is>
      </c>
      <c r="C3128" s="16" t="inlineStr">
        <is>
          <t>6.1c</t>
        </is>
      </c>
      <c r="D3128" s="16" t="inlineStr">
        <is>
          <t>costo de exigir subenfriamiento</t>
        </is>
      </c>
      <c r="E3128" s="16" t="inlineStr">
        <is>
          <t>KF-M06</t>
        </is>
      </c>
      <c r="F3128" s="16" t="inlineStr">
        <is>
          <t>KF-M06-SUB</t>
        </is>
      </c>
      <c r="G3128" s="16" t="inlineStr">
        <is>
          <t>B12</t>
        </is>
      </c>
      <c r="H3128" s="16" t="inlineStr">
        <is>
          <t>busqueda</t>
        </is>
      </c>
      <c r="I3128" s="16" t="inlineStr">
        <is>
          <t>KALINA</t>
        </is>
      </c>
      <c r="J3128" s="16" t="inlineStr">
        <is>
          <t>KALINA</t>
        </is>
      </c>
      <c r="K3128" s="16" t="b">
        <v>1</v>
      </c>
      <c r="L3128" s="16" t="b">
        <v>1</v>
      </c>
      <c r="M3128" s="16" t="n"/>
      <c r="N3128" s="16" t="b">
        <v>0</v>
      </c>
      <c r="O3128" s="16" t="n"/>
      <c r="P3128" s="16" t="n"/>
      <c r="Q3128" s="16" t="n"/>
      <c r="R3128" s="16" t="n">
        <v>1800</v>
      </c>
      <c r="S3128" s="16" t="n"/>
      <c r="T3128" s="16" t="n"/>
      <c r="U3128" s="16" t="n"/>
      <c r="V3128" s="16" t="n"/>
      <c r="W3128" s="16" t="n"/>
      <c r="X3128" s="16" t="n"/>
      <c r="Y3128" s="16" t="n"/>
      <c r="Z3128" s="16" t="n">
        <v>2.55741415076054</v>
      </c>
      <c r="AA3128" s="16" t="n"/>
      <c r="AB3128" s="16" t="n"/>
      <c r="AC3128" s="16" t="n"/>
      <c r="AD3128" s="16" t="n"/>
      <c r="AE3128" s="16" t="n"/>
    </row>
    <row r="3129">
      <c r="A3129" s="16" t="inlineStr">
        <is>
          <t>KF-M06-SUB-0046</t>
        </is>
      </c>
      <c r="B3129" s="16" t="inlineStr">
        <is>
          <t>6.1</t>
        </is>
      </c>
      <c r="C3129" s="16" t="inlineStr">
        <is>
          <t>6.1c</t>
        </is>
      </c>
      <c r="D3129" s="16" t="inlineStr">
        <is>
          <t>costo de exigir subenfriamiento</t>
        </is>
      </c>
      <c r="E3129" s="16" t="inlineStr">
        <is>
          <t>KF-M06</t>
        </is>
      </c>
      <c r="F3129" s="16" t="inlineStr">
        <is>
          <t>KF-M06-SUB</t>
        </is>
      </c>
      <c r="G3129" s="16" t="inlineStr">
        <is>
          <t>B12</t>
        </is>
      </c>
      <c r="H3129" s="16" t="inlineStr">
        <is>
          <t>busqueda</t>
        </is>
      </c>
      <c r="I3129" s="16" t="inlineStr">
        <is>
          <t>KALINA</t>
        </is>
      </c>
      <c r="J3129" s="16" t="inlineStr">
        <is>
          <t>KALINA</t>
        </is>
      </c>
      <c r="K3129" s="16" t="b">
        <v>1</v>
      </c>
      <c r="L3129" s="16" t="b">
        <v>1</v>
      </c>
      <c r="M3129" s="16" t="n"/>
      <c r="N3129" s="16" t="b">
        <v>0</v>
      </c>
      <c r="O3129" s="16" t="n"/>
      <c r="P3129" s="16" t="n"/>
      <c r="Q3129" s="16" t="n"/>
      <c r="R3129" s="16" t="n">
        <v>1181.818181818182</v>
      </c>
      <c r="S3129" s="16" t="n"/>
      <c r="T3129" s="16" t="n"/>
      <c r="U3129" s="16" t="n"/>
      <c r="V3129" s="16" t="n"/>
      <c r="W3129" s="16" t="n"/>
      <c r="X3129" s="16" t="n"/>
      <c r="Y3129" s="16" t="n"/>
      <c r="Z3129" s="16" t="n">
        <v>4.72734087283683</v>
      </c>
      <c r="AA3129" s="16" t="n"/>
      <c r="AB3129" s="16" t="n"/>
      <c r="AC3129" s="16" t="n"/>
      <c r="AD3129" s="16" t="n"/>
      <c r="AE3129" s="16" t="n"/>
    </row>
    <row r="3130">
      <c r="A3130" s="16" t="inlineStr">
        <is>
          <t>KF-M06-SUB-0047</t>
        </is>
      </c>
      <c r="B3130" s="16" t="inlineStr">
        <is>
          <t>6.1</t>
        </is>
      </c>
      <c r="C3130" s="16" t="inlineStr">
        <is>
          <t>6.1c</t>
        </is>
      </c>
      <c r="D3130" s="16" t="inlineStr">
        <is>
          <t>costo de exigir subenfriamiento</t>
        </is>
      </c>
      <c r="E3130" s="16" t="inlineStr">
        <is>
          <t>KF-M06</t>
        </is>
      </c>
      <c r="F3130" s="16" t="inlineStr">
        <is>
          <t>KF-M06-SUB</t>
        </is>
      </c>
      <c r="G3130" s="16" t="inlineStr">
        <is>
          <t>B12</t>
        </is>
      </c>
      <c r="H3130" s="16" t="inlineStr">
        <is>
          <t>busqueda</t>
        </is>
      </c>
      <c r="I3130" s="16" t="inlineStr">
        <is>
          <t>KALINA</t>
        </is>
      </c>
      <c r="J3130" s="16" t="inlineStr">
        <is>
          <t>KALINA</t>
        </is>
      </c>
      <c r="K3130" s="16" t="b">
        <v>1</v>
      </c>
      <c r="L3130" s="16" t="b">
        <v>1</v>
      </c>
      <c r="M3130" s="16" t="n"/>
      <c r="N3130" s="16" t="b">
        <v>0</v>
      </c>
      <c r="O3130" s="16" t="n"/>
      <c r="P3130" s="16" t="n"/>
      <c r="Q3130" s="16" t="n"/>
      <c r="R3130" s="16" t="n">
        <v>872.7272727272729</v>
      </c>
      <c r="S3130" s="16" t="n"/>
      <c r="T3130" s="16" t="n"/>
      <c r="U3130" s="16" t="n"/>
      <c r="V3130" s="16" t="n"/>
      <c r="W3130" s="16" t="n"/>
      <c r="X3130" s="16" t="n"/>
      <c r="Y3130" s="16" t="n"/>
      <c r="Z3130" s="16" t="n">
        <v>6.28416040769159</v>
      </c>
      <c r="AA3130" s="16" t="n"/>
      <c r="AB3130" s="16" t="n"/>
      <c r="AC3130" s="16" t="n"/>
      <c r="AD3130" s="16" t="n"/>
      <c r="AE3130" s="16" t="n"/>
    </row>
    <row r="3131">
      <c r="A3131" s="16" t="inlineStr">
        <is>
          <t>KF-M06-SUB-0048</t>
        </is>
      </c>
      <c r="B3131" s="16" t="inlineStr">
        <is>
          <t>6.1</t>
        </is>
      </c>
      <c r="C3131" s="16" t="inlineStr">
        <is>
          <t>6.1c</t>
        </is>
      </c>
      <c r="D3131" s="16" t="inlineStr">
        <is>
          <t>costo de exigir subenfriamiento</t>
        </is>
      </c>
      <c r="E3131" s="16" t="inlineStr">
        <is>
          <t>KF-M06</t>
        </is>
      </c>
      <c r="F3131" s="16" t="inlineStr">
        <is>
          <t>KF-M06-SUB</t>
        </is>
      </c>
      <c r="G3131" s="16" t="inlineStr">
        <is>
          <t>B12</t>
        </is>
      </c>
      <c r="H3131" s="16" t="inlineStr">
        <is>
          <t>busqueda</t>
        </is>
      </c>
      <c r="I3131" s="16" t="inlineStr">
        <is>
          <t>KALINA</t>
        </is>
      </c>
      <c r="J3131" s="16" t="inlineStr">
        <is>
          <t>KALINA</t>
        </is>
      </c>
      <c r="K3131" s="16" t="b">
        <v>1</v>
      </c>
      <c r="L3131" s="16" t="b">
        <v>1</v>
      </c>
      <c r="M3131" s="16" t="n"/>
      <c r="N3131" s="16" t="b">
        <v>0</v>
      </c>
      <c r="O3131" s="16" t="n"/>
      <c r="P3131" s="16" t="n"/>
      <c r="Q3131" s="16" t="n"/>
      <c r="R3131" s="16" t="n">
        <v>718.1818181818182</v>
      </c>
      <c r="S3131" s="16" t="n"/>
      <c r="T3131" s="16" t="n"/>
      <c r="U3131" s="16" t="n"/>
      <c r="V3131" s="16" t="n"/>
      <c r="W3131" s="16" t="n"/>
      <c r="X3131" s="16" t="n"/>
      <c r="Y3131" s="16" t="n"/>
      <c r="Z3131" s="16" t="n">
        <v>7.272541471219999</v>
      </c>
      <c r="AA3131" s="16" t="n"/>
      <c r="AB3131" s="16" t="n"/>
      <c r="AC3131" s="16" t="n"/>
      <c r="AD3131" s="16" t="n"/>
      <c r="AE3131" s="16" t="n"/>
    </row>
    <row r="3132">
      <c r="A3132" s="16" t="inlineStr">
        <is>
          <t>KF-M06-SUB-0049</t>
        </is>
      </c>
      <c r="B3132" s="16" t="inlineStr">
        <is>
          <t>6.1</t>
        </is>
      </c>
      <c r="C3132" s="16" t="inlineStr">
        <is>
          <t>6.1c</t>
        </is>
      </c>
      <c r="D3132" s="16" t="inlineStr">
        <is>
          <t>costo de exigir subenfriamiento</t>
        </is>
      </c>
      <c r="E3132" s="16" t="inlineStr">
        <is>
          <t>KF-M06</t>
        </is>
      </c>
      <c r="F3132" s="16" t="inlineStr">
        <is>
          <t>KF-M06-SUB</t>
        </is>
      </c>
      <c r="G3132" s="16" t="inlineStr">
        <is>
          <t>B12</t>
        </is>
      </c>
      <c r="H3132" s="16" t="inlineStr">
        <is>
          <t>busqueda</t>
        </is>
      </c>
      <c r="I3132" s="16" t="inlineStr">
        <is>
          <t>KALINA</t>
        </is>
      </c>
      <c r="J3132" s="16" t="inlineStr">
        <is>
          <t>KALINA</t>
        </is>
      </c>
      <c r="K3132" s="16" t="b">
        <v>1</v>
      </c>
      <c r="L3132" s="16" t="b">
        <v>1</v>
      </c>
      <c r="M3132" s="16" t="n"/>
      <c r="N3132" s="16" t="b">
        <v>0</v>
      </c>
      <c r="O3132" s="16" t="n"/>
      <c r="P3132" s="16" t="n"/>
      <c r="Q3132" s="16" t="n"/>
      <c r="R3132" s="16" t="n">
        <v>640.909090909091</v>
      </c>
      <c r="S3132" s="16" t="n"/>
      <c r="T3132" s="16" t="n"/>
      <c r="U3132" s="16" t="n"/>
      <c r="V3132" s="16" t="n"/>
      <c r="W3132" s="16" t="n"/>
      <c r="X3132" s="16" t="n"/>
      <c r="Y3132" s="16" t="n"/>
      <c r="Z3132" s="16" t="n">
        <v>7.843649391552191</v>
      </c>
      <c r="AA3132" s="16" t="n"/>
      <c r="AB3132" s="16" t="n"/>
      <c r="AC3132" s="16" t="n"/>
      <c r="AD3132" s="16" t="n"/>
      <c r="AE3132" s="16" t="n"/>
    </row>
    <row r="3133">
      <c r="A3133" s="16" t="inlineStr">
        <is>
          <t>KF-M06-SUB-0050</t>
        </is>
      </c>
      <c r="B3133" s="16" t="inlineStr">
        <is>
          <t>6.1</t>
        </is>
      </c>
      <c r="C3133" s="16" t="inlineStr">
        <is>
          <t>6.1c</t>
        </is>
      </c>
      <c r="D3133" s="16" t="inlineStr">
        <is>
          <t>costo de exigir subenfriamiento</t>
        </is>
      </c>
      <c r="E3133" s="16" t="inlineStr">
        <is>
          <t>KF-M06</t>
        </is>
      </c>
      <c r="F3133" s="16" t="inlineStr">
        <is>
          <t>KF-M06-SUB</t>
        </is>
      </c>
      <c r="G3133" s="16" t="inlineStr">
        <is>
          <t>B12</t>
        </is>
      </c>
      <c r="H3133" s="16" t="inlineStr">
        <is>
          <t>busqueda</t>
        </is>
      </c>
      <c r="I3133" s="16" t="inlineStr">
        <is>
          <t>KALINA</t>
        </is>
      </c>
      <c r="J3133" s="16" t="inlineStr">
        <is>
          <t>KALINA</t>
        </is>
      </c>
      <c r="K3133" s="16" t="b">
        <v>1</v>
      </c>
      <c r="L3133" s="16" t="b">
        <v>1</v>
      </c>
      <c r="M3133" s="16" t="n"/>
      <c r="N3133" s="16" t="b">
        <v>0</v>
      </c>
      <c r="O3133" s="16" t="n"/>
      <c r="P3133" s="16" t="n"/>
      <c r="Q3133" s="16" t="n"/>
      <c r="R3133" s="16" t="n">
        <v>679.5454545454546</v>
      </c>
      <c r="S3133" s="16" t="n"/>
      <c r="T3133" s="16" t="n"/>
      <c r="U3133" s="16" t="n"/>
      <c r="V3133" s="16" t="n"/>
      <c r="W3133" s="16" t="n"/>
      <c r="X3133" s="16" t="n"/>
      <c r="Y3133" s="16" t="n"/>
      <c r="Z3133" s="16" t="n">
        <v>7.55059598817112</v>
      </c>
      <c r="AA3133" s="16" t="n"/>
      <c r="AB3133" s="16" t="n"/>
      <c r="AC3133" s="16" t="n"/>
      <c r="AD3133" s="16" t="n"/>
      <c r="AE3133" s="16" t="n"/>
    </row>
    <row r="3134">
      <c r="A3134" s="16" t="inlineStr">
        <is>
          <t>KF-M06-SUB-0051</t>
        </is>
      </c>
      <c r="B3134" s="16" t="inlineStr">
        <is>
          <t>6.1</t>
        </is>
      </c>
      <c r="C3134" s="16" t="inlineStr">
        <is>
          <t>6.1c</t>
        </is>
      </c>
      <c r="D3134" s="16" t="inlineStr">
        <is>
          <t>costo de exigir subenfriamiento</t>
        </is>
      </c>
      <c r="E3134" s="16" t="inlineStr">
        <is>
          <t>KF-M06</t>
        </is>
      </c>
      <c r="F3134" s="16" t="inlineStr">
        <is>
          <t>KF-M06-SUB</t>
        </is>
      </c>
      <c r="G3134" s="16" t="inlineStr">
        <is>
          <t>B12</t>
        </is>
      </c>
      <c r="H3134" s="16" t="inlineStr">
        <is>
          <t>busqueda</t>
        </is>
      </c>
      <c r="I3134" s="16" t="inlineStr">
        <is>
          <t>KALINA</t>
        </is>
      </c>
      <c r="J3134" s="16" t="inlineStr">
        <is>
          <t>KALINA</t>
        </is>
      </c>
      <c r="K3134" s="16" t="b">
        <v>1</v>
      </c>
      <c r="L3134" s="16" t="b">
        <v>1</v>
      </c>
      <c r="M3134" s="16" t="n"/>
      <c r="N3134" s="16" t="b">
        <v>0</v>
      </c>
      <c r="O3134" s="16" t="n"/>
      <c r="P3134" s="16" t="n"/>
      <c r="Q3134" s="16" t="n"/>
      <c r="R3134" s="16" t="n">
        <v>660.2272727272727</v>
      </c>
      <c r="S3134" s="16" t="n"/>
      <c r="T3134" s="16" t="n"/>
      <c r="U3134" s="16" t="n"/>
      <c r="V3134" s="16" t="n"/>
      <c r="W3134" s="16" t="n"/>
      <c r="X3134" s="16" t="n"/>
      <c r="Y3134" s="16" t="n"/>
      <c r="Z3134" s="16" t="n">
        <v>7.695147887821189</v>
      </c>
      <c r="AA3134" s="16" t="n"/>
      <c r="AB3134" s="16" t="n"/>
      <c r="AC3134" s="16" t="n"/>
      <c r="AD3134" s="16" t="n"/>
      <c r="AE3134" s="16" t="n"/>
    </row>
    <row r="3135">
      <c r="A3135" s="16" t="inlineStr">
        <is>
          <t>KF-M06-SUB-0052</t>
        </is>
      </c>
      <c r="B3135" s="16" t="inlineStr">
        <is>
          <t>6.1</t>
        </is>
      </c>
      <c r="C3135" s="16" t="inlineStr">
        <is>
          <t>6.1c</t>
        </is>
      </c>
      <c r="D3135" s="16" t="inlineStr">
        <is>
          <t>costo de exigir subenfriamiento</t>
        </is>
      </c>
      <c r="E3135" s="16" t="inlineStr">
        <is>
          <t>KF-M06</t>
        </is>
      </c>
      <c r="F3135" s="16" t="inlineStr">
        <is>
          <t>KF-M06-SUB</t>
        </is>
      </c>
      <c r="G3135" s="16" t="inlineStr">
        <is>
          <t>B12</t>
        </is>
      </c>
      <c r="H3135" s="16" t="inlineStr">
        <is>
          <t>busqueda</t>
        </is>
      </c>
      <c r="I3135" s="16" t="inlineStr">
        <is>
          <t>KALINA</t>
        </is>
      </c>
      <c r="J3135" s="16" t="inlineStr">
        <is>
          <t>KALINA</t>
        </is>
      </c>
      <c r="K3135" s="16" t="b">
        <v>1</v>
      </c>
      <c r="L3135" s="16" t="b">
        <v>1</v>
      </c>
      <c r="M3135" s="16" t="n"/>
      <c r="N3135" s="16" t="b">
        <v>0</v>
      </c>
      <c r="O3135" s="16" t="n"/>
      <c r="P3135" s="16" t="n"/>
      <c r="Q3135" s="16" t="n"/>
      <c r="R3135" s="16" t="n">
        <v>650.5681818181819</v>
      </c>
      <c r="S3135" s="16" t="n"/>
      <c r="T3135" s="16" t="n"/>
      <c r="U3135" s="16" t="n"/>
      <c r="V3135" s="16" t="n"/>
      <c r="W3135" s="16" t="n"/>
      <c r="X3135" s="16" t="n"/>
      <c r="Y3135" s="16" t="n"/>
      <c r="Z3135" s="16" t="n">
        <v>7.76889153591226</v>
      </c>
      <c r="AA3135" s="16" t="n"/>
      <c r="AB3135" s="16" t="n"/>
      <c r="AC3135" s="16" t="n"/>
      <c r="AD3135" s="16" t="n"/>
      <c r="AE3135" s="16" t="n"/>
    </row>
    <row r="3136">
      <c r="A3136" s="16" t="inlineStr">
        <is>
          <t>KF-M06-SUB-0053</t>
        </is>
      </c>
      <c r="B3136" s="16" t="inlineStr">
        <is>
          <t>6.1</t>
        </is>
      </c>
      <c r="C3136" s="16" t="inlineStr">
        <is>
          <t>6.1c</t>
        </is>
      </c>
      <c r="D3136" s="16" t="inlineStr">
        <is>
          <t>costo de exigir subenfriamiento</t>
        </is>
      </c>
      <c r="E3136" s="16" t="inlineStr">
        <is>
          <t>KF-M06</t>
        </is>
      </c>
      <c r="F3136" s="16" t="inlineStr">
        <is>
          <t>KF-M06-SUB</t>
        </is>
      </c>
      <c r="G3136" s="16" t="inlineStr">
        <is>
          <t>B12</t>
        </is>
      </c>
      <c r="H3136" s="16" t="inlineStr">
        <is>
          <t>busqueda</t>
        </is>
      </c>
      <c r="I3136" s="16" t="inlineStr">
        <is>
          <t>KALINA</t>
        </is>
      </c>
      <c r="J3136" s="16" t="inlineStr">
        <is>
          <t>KALINA</t>
        </is>
      </c>
      <c r="K3136" s="16" t="b">
        <v>1</v>
      </c>
      <c r="L3136" s="16" t="b">
        <v>1</v>
      </c>
      <c r="M3136" s="16" t="n"/>
      <c r="N3136" s="16" t="b">
        <v>0</v>
      </c>
      <c r="O3136" s="16" t="n"/>
      <c r="P3136" s="16" t="n"/>
      <c r="Q3136" s="16" t="n"/>
      <c r="R3136" s="16" t="n">
        <v>645.7386363636365</v>
      </c>
      <c r="S3136" s="16" t="n"/>
      <c r="T3136" s="16" t="n"/>
      <c r="U3136" s="16" t="n"/>
      <c r="V3136" s="16" t="n"/>
      <c r="W3136" s="16" t="n"/>
      <c r="X3136" s="16" t="n"/>
      <c r="Y3136" s="16" t="n"/>
      <c r="Z3136" s="16" t="n">
        <v>7.80614195060541</v>
      </c>
      <c r="AA3136" s="16" t="n"/>
      <c r="AB3136" s="16" t="n"/>
      <c r="AC3136" s="16" t="n"/>
      <c r="AD3136" s="16" t="n"/>
      <c r="AE3136" s="16" t="n"/>
    </row>
    <row r="3137">
      <c r="A3137" s="16" t="inlineStr">
        <is>
          <t>KF-M06-SUB-0054</t>
        </is>
      </c>
      <c r="B3137" s="16" t="inlineStr">
        <is>
          <t>6.1</t>
        </is>
      </c>
      <c r="C3137" s="16" t="inlineStr">
        <is>
          <t>6.1c</t>
        </is>
      </c>
      <c r="D3137" s="16" t="inlineStr">
        <is>
          <t>costo de exigir subenfriamiento</t>
        </is>
      </c>
      <c r="E3137" s="16" t="inlineStr">
        <is>
          <t>KF-M06</t>
        </is>
      </c>
      <c r="F3137" s="16" t="inlineStr">
        <is>
          <t>KF-M06-SUB</t>
        </is>
      </c>
      <c r="G3137" s="16" t="inlineStr">
        <is>
          <t>B12</t>
        </is>
      </c>
      <c r="H3137" s="16" t="inlineStr">
        <is>
          <t>busqueda</t>
        </is>
      </c>
      <c r="I3137" s="16" t="inlineStr">
        <is>
          <t>KALINA</t>
        </is>
      </c>
      <c r="J3137" s="16" t="inlineStr">
        <is>
          <t>KALINA</t>
        </is>
      </c>
      <c r="K3137" s="16" t="b">
        <v>1</v>
      </c>
      <c r="L3137" s="16" t="b">
        <v>1</v>
      </c>
      <c r="M3137" s="16" t="n"/>
      <c r="N3137" s="16" t="b">
        <v>0</v>
      </c>
      <c r="O3137" s="16" t="n"/>
      <c r="P3137" s="16" t="n"/>
      <c r="Q3137" s="16" t="n"/>
      <c r="R3137" s="16" t="n">
        <v>1359.556702008076</v>
      </c>
      <c r="S3137" s="16" t="n"/>
      <c r="T3137" s="16" t="n"/>
      <c r="U3137" s="16" t="n"/>
      <c r="V3137" s="16" t="n"/>
      <c r="W3137" s="16" t="n"/>
      <c r="X3137" s="16" t="n"/>
      <c r="Y3137" s="16" t="n"/>
      <c r="Z3137" s="16" t="n">
        <v>12.73867502186853</v>
      </c>
      <c r="AA3137" s="16" t="n"/>
      <c r="AB3137" s="16" t="n"/>
      <c r="AC3137" s="16" t="n"/>
      <c r="AD3137" s="16" t="n"/>
      <c r="AE3137" s="16" t="n"/>
    </row>
    <row r="3138">
      <c r="A3138" s="16" t="inlineStr">
        <is>
          <t>KF-M06-SUB-0055</t>
        </is>
      </c>
      <c r="B3138" s="16" t="inlineStr">
        <is>
          <t>6.1</t>
        </is>
      </c>
      <c r="C3138" s="16" t="inlineStr">
        <is>
          <t>6.1c</t>
        </is>
      </c>
      <c r="D3138" s="16" t="inlineStr">
        <is>
          <t>costo de exigir subenfriamiento</t>
        </is>
      </c>
      <c r="E3138" s="16" t="inlineStr">
        <is>
          <t>KF-M06</t>
        </is>
      </c>
      <c r="F3138" s="16" t="inlineStr">
        <is>
          <t>KF-M06-SUB</t>
        </is>
      </c>
      <c r="G3138" s="16" t="inlineStr">
        <is>
          <t>B12</t>
        </is>
      </c>
      <c r="H3138" s="16" t="inlineStr">
        <is>
          <t>busqueda</t>
        </is>
      </c>
      <c r="I3138" s="16" t="inlineStr">
        <is>
          <t>KALINA</t>
        </is>
      </c>
      <c r="J3138" s="16" t="inlineStr">
        <is>
          <t>KALINA</t>
        </is>
      </c>
      <c r="K3138" s="16" t="b">
        <v>1</v>
      </c>
      <c r="L3138" s="16" t="b">
        <v>1</v>
      </c>
      <c r="M3138" s="16" t="n"/>
      <c r="N3138" s="16" t="b">
        <v>0</v>
      </c>
      <c r="O3138" s="16" t="n"/>
      <c r="P3138" s="16" t="n"/>
      <c r="Q3138" s="16" t="n"/>
      <c r="R3138" s="16" t="n">
        <v>736.3636363639999</v>
      </c>
      <c r="S3138" s="16" t="n"/>
      <c r="T3138" s="16" t="n"/>
      <c r="U3138" s="16" t="n"/>
      <c r="V3138" s="16" t="n"/>
      <c r="W3138" s="16" t="n"/>
      <c r="X3138" s="16" t="n"/>
      <c r="Y3138" s="16" t="n"/>
      <c r="Z3138" s="16" t="n">
        <v>9.15042106800586</v>
      </c>
      <c r="AA3138" s="16" t="n"/>
      <c r="AB3138" s="16" t="n"/>
      <c r="AC3138" s="16" t="n"/>
      <c r="AD3138" s="16" t="n"/>
      <c r="AE3138" s="16" t="n"/>
    </row>
    <row r="3139">
      <c r="A3139" s="16" t="inlineStr">
        <is>
          <t>KF-M06-SUB-0056</t>
        </is>
      </c>
      <c r="B3139" s="16" t="inlineStr">
        <is>
          <t>6.1</t>
        </is>
      </c>
      <c r="C3139" s="16" t="inlineStr">
        <is>
          <t>6.1c</t>
        </is>
      </c>
      <c r="D3139" s="16" t="inlineStr">
        <is>
          <t>costo de exigir subenfriamiento</t>
        </is>
      </c>
      <c r="E3139" s="16" t="inlineStr">
        <is>
          <t>KF-M06</t>
        </is>
      </c>
      <c r="F3139" s="16" t="inlineStr">
        <is>
          <t>KF-M06-SUB</t>
        </is>
      </c>
      <c r="G3139" s="16" t="inlineStr">
        <is>
          <t>B12</t>
        </is>
      </c>
      <c r="H3139" s="16" t="inlineStr">
        <is>
          <t>busqueda</t>
        </is>
      </c>
      <c r="I3139" s="16" t="inlineStr">
        <is>
          <t>KALINA</t>
        </is>
      </c>
      <c r="J3139" s="16" t="inlineStr">
        <is>
          <t>KALINA</t>
        </is>
      </c>
      <c r="K3139" s="16" t="b">
        <v>1</v>
      </c>
      <c r="L3139" s="16" t="b">
        <v>1</v>
      </c>
      <c r="M3139" s="16" t="n"/>
      <c r="N3139" s="16" t="b">
        <v>0</v>
      </c>
      <c r="O3139" s="16" t="n"/>
      <c r="P3139" s="16" t="n"/>
      <c r="Q3139" s="16" t="n"/>
      <c r="R3139" s="16" t="n">
        <v>1800</v>
      </c>
      <c r="S3139" s="16" t="n"/>
      <c r="T3139" s="16" t="n"/>
      <c r="U3139" s="16" t="n"/>
      <c r="V3139" s="16" t="n"/>
      <c r="W3139" s="16" t="n"/>
      <c r="X3139" s="16" t="n"/>
      <c r="Y3139" s="16" t="n"/>
      <c r="Z3139" s="16" t="n">
        <v>3.39171057416444</v>
      </c>
      <c r="AA3139" s="16" t="n"/>
      <c r="AB3139" s="16" t="n"/>
      <c r="AC3139" s="16" t="n"/>
      <c r="AD3139" s="16" t="n"/>
      <c r="AE3139" s="16" t="n"/>
    </row>
    <row r="3140">
      <c r="A3140" s="16" t="inlineStr">
        <is>
          <t>KF-M06-SUB-0057</t>
        </is>
      </c>
      <c r="B3140" s="16" t="inlineStr">
        <is>
          <t>6.1</t>
        </is>
      </c>
      <c r="C3140" s="16" t="inlineStr">
        <is>
          <t>6.1c</t>
        </is>
      </c>
      <c r="D3140" s="16" t="inlineStr">
        <is>
          <t>costo de exigir subenfriamiento</t>
        </is>
      </c>
      <c r="E3140" s="16" t="inlineStr">
        <is>
          <t>KF-M06</t>
        </is>
      </c>
      <c r="F3140" s="16" t="inlineStr">
        <is>
          <t>KF-M06-SUB</t>
        </is>
      </c>
      <c r="G3140" s="16" t="inlineStr">
        <is>
          <t>B12</t>
        </is>
      </c>
      <c r="H3140" s="16" t="inlineStr">
        <is>
          <t>busqueda</t>
        </is>
      </c>
      <c r="I3140" s="16" t="inlineStr">
        <is>
          <t>KALINA</t>
        </is>
      </c>
      <c r="J3140" s="16" t="inlineStr">
        <is>
          <t>KALINA</t>
        </is>
      </c>
      <c r="K3140" s="16" t="b">
        <v>1</v>
      </c>
      <c r="L3140" s="16" t="b">
        <v>1</v>
      </c>
      <c r="M3140" s="16" t="n"/>
      <c r="N3140" s="16" t="b">
        <v>0</v>
      </c>
      <c r="O3140" s="16" t="n"/>
      <c r="P3140" s="16" t="n"/>
      <c r="Q3140" s="16" t="n"/>
      <c r="R3140" s="16" t="n">
        <v>1268.181818182</v>
      </c>
      <c r="S3140" s="16" t="n"/>
      <c r="T3140" s="16" t="n"/>
      <c r="U3140" s="16" t="n"/>
      <c r="V3140" s="16" t="n"/>
      <c r="W3140" s="16" t="n"/>
      <c r="X3140" s="16" t="n"/>
      <c r="Y3140" s="16" t="n"/>
      <c r="Z3140" s="16" t="n">
        <v>5.68989711394745</v>
      </c>
      <c r="AA3140" s="16" t="n"/>
      <c r="AB3140" s="16" t="n"/>
      <c r="AC3140" s="16" t="n"/>
      <c r="AD3140" s="16" t="n"/>
      <c r="AE3140" s="16" t="n"/>
    </row>
    <row r="3141">
      <c r="A3141" s="16" t="inlineStr">
        <is>
          <t>KF-M06-SUB-0058</t>
        </is>
      </c>
      <c r="B3141" s="16" t="inlineStr">
        <is>
          <t>6.1</t>
        </is>
      </c>
      <c r="C3141" s="16" t="inlineStr">
        <is>
          <t>6.1c</t>
        </is>
      </c>
      <c r="D3141" s="16" t="inlineStr">
        <is>
          <t>costo de exigir subenfriamiento</t>
        </is>
      </c>
      <c r="E3141" s="16" t="inlineStr">
        <is>
          <t>KF-M06</t>
        </is>
      </c>
      <c r="F3141" s="16" t="inlineStr">
        <is>
          <t>KF-M06-SUB</t>
        </is>
      </c>
      <c r="G3141" s="16" t="inlineStr">
        <is>
          <t>B12</t>
        </is>
      </c>
      <c r="H3141" s="16" t="inlineStr">
        <is>
          <t>busqueda</t>
        </is>
      </c>
      <c r="I3141" s="16" t="inlineStr">
        <is>
          <t>KALINA</t>
        </is>
      </c>
      <c r="J3141" s="16" t="inlineStr">
        <is>
          <t>KALINA</t>
        </is>
      </c>
      <c r="K3141" s="16" t="b">
        <v>1</v>
      </c>
      <c r="L3141" s="16" t="b">
        <v>1</v>
      </c>
      <c r="M3141" s="16" t="n"/>
      <c r="N3141" s="16" t="b">
        <v>0</v>
      </c>
      <c r="O3141" s="16" t="n"/>
      <c r="P3141" s="16" t="n"/>
      <c r="Q3141" s="16" t="n"/>
      <c r="R3141" s="16" t="n">
        <v>1002.272727273</v>
      </c>
      <c r="S3141" s="16" t="n"/>
      <c r="T3141" s="16" t="n"/>
      <c r="U3141" s="16" t="n"/>
      <c r="V3141" s="16" t="n"/>
      <c r="W3141" s="16" t="n"/>
      <c r="X3141" s="16" t="n"/>
      <c r="Y3141" s="16" t="n"/>
      <c r="Z3141" s="16" t="n">
        <v>7.20649941725498</v>
      </c>
      <c r="AA3141" s="16" t="n"/>
      <c r="AB3141" s="16" t="n"/>
      <c r="AC3141" s="16" t="n"/>
      <c r="AD3141" s="16" t="n"/>
      <c r="AE3141" s="16" t="n"/>
    </row>
    <row r="3142">
      <c r="A3142" s="16" t="inlineStr">
        <is>
          <t>KF-M06-SUB-0059</t>
        </is>
      </c>
      <c r="B3142" s="16" t="inlineStr">
        <is>
          <t>6.1</t>
        </is>
      </c>
      <c r="C3142" s="16" t="inlineStr">
        <is>
          <t>6.1c</t>
        </is>
      </c>
      <c r="D3142" s="16" t="inlineStr">
        <is>
          <t>costo de exigir subenfriamiento</t>
        </is>
      </c>
      <c r="E3142" s="16" t="inlineStr">
        <is>
          <t>KF-M06</t>
        </is>
      </c>
      <c r="F3142" s="16" t="inlineStr">
        <is>
          <t>KF-M06-SUB</t>
        </is>
      </c>
      <c r="G3142" s="16" t="inlineStr">
        <is>
          <t>B12</t>
        </is>
      </c>
      <c r="H3142" s="16" t="inlineStr">
        <is>
          <t>busqueda</t>
        </is>
      </c>
      <c r="I3142" s="16" t="inlineStr">
        <is>
          <t>KALINA</t>
        </is>
      </c>
      <c r="J3142" s="16" t="inlineStr">
        <is>
          <t>KALINA</t>
        </is>
      </c>
      <c r="K3142" s="16" t="b">
        <v>1</v>
      </c>
      <c r="L3142" s="16" t="b">
        <v>1</v>
      </c>
      <c r="M3142" s="16" t="n"/>
      <c r="N3142" s="16" t="b">
        <v>0</v>
      </c>
      <c r="O3142" s="16" t="n"/>
      <c r="P3142" s="16" t="n"/>
      <c r="Q3142" s="16" t="n"/>
      <c r="R3142" s="16" t="n">
        <v>869.3181818184999</v>
      </c>
      <c r="S3142" s="16" t="n"/>
      <c r="T3142" s="16" t="n"/>
      <c r="U3142" s="16" t="n"/>
      <c r="V3142" s="16" t="n"/>
      <c r="W3142" s="16" t="n"/>
      <c r="X3142" s="16" t="n"/>
      <c r="Y3142" s="16" t="n"/>
      <c r="Z3142" s="16" t="n">
        <v>8.11034595927212</v>
      </c>
      <c r="AA3142" s="16" t="n"/>
      <c r="AB3142" s="16" t="n"/>
      <c r="AC3142" s="16" t="n"/>
      <c r="AD3142" s="16" t="n"/>
      <c r="AE3142" s="16" t="n"/>
    </row>
    <row r="3143">
      <c r="A3143" s="16" t="inlineStr">
        <is>
          <t>KF-M06-SUB-0060</t>
        </is>
      </c>
      <c r="B3143" s="16" t="inlineStr">
        <is>
          <t>6.1</t>
        </is>
      </c>
      <c r="C3143" s="16" t="inlineStr">
        <is>
          <t>6.1c</t>
        </is>
      </c>
      <c r="D3143" s="16" t="inlineStr">
        <is>
          <t>costo de exigir subenfriamiento</t>
        </is>
      </c>
      <c r="E3143" s="16" t="inlineStr">
        <is>
          <t>KF-M06</t>
        </is>
      </c>
      <c r="F3143" s="16" t="inlineStr">
        <is>
          <t>KF-M06-SUB</t>
        </is>
      </c>
      <c r="G3143" s="16" t="inlineStr">
        <is>
          <t>B12</t>
        </is>
      </c>
      <c r="H3143" s="16" t="inlineStr">
        <is>
          <t>busqueda</t>
        </is>
      </c>
      <c r="I3143" s="16" t="inlineStr">
        <is>
          <t>KALINA</t>
        </is>
      </c>
      <c r="J3143" s="16" t="inlineStr">
        <is>
          <t>KALINA</t>
        </is>
      </c>
      <c r="K3143" s="16" t="b">
        <v>1</v>
      </c>
      <c r="L3143" s="16" t="b">
        <v>1</v>
      </c>
      <c r="M3143" s="16" t="n"/>
      <c r="N3143" s="16" t="b">
        <v>0</v>
      </c>
      <c r="O3143" s="16" t="n"/>
      <c r="P3143" s="16" t="n"/>
      <c r="Q3143" s="16" t="n"/>
      <c r="R3143" s="16" t="n">
        <v>802.8409090912498</v>
      </c>
      <c r="S3143" s="16" t="n"/>
      <c r="T3143" s="16" t="n"/>
      <c r="U3143" s="16" t="n"/>
      <c r="V3143" s="16" t="n"/>
      <c r="W3143" s="16" t="n"/>
      <c r="X3143" s="16" t="n"/>
      <c r="Y3143" s="16" t="n"/>
      <c r="Z3143" s="16" t="n">
        <v>8.610784382120611</v>
      </c>
      <c r="AA3143" s="16" t="n"/>
      <c r="AB3143" s="16" t="n"/>
      <c r="AC3143" s="16" t="n"/>
      <c r="AD3143" s="16" t="n"/>
      <c r="AE3143" s="16" t="n"/>
    </row>
    <row r="3144">
      <c r="A3144" s="16" t="inlineStr">
        <is>
          <t>KF-M06-SUB-0061</t>
        </is>
      </c>
      <c r="B3144" s="16" t="inlineStr">
        <is>
          <t>6.1</t>
        </is>
      </c>
      <c r="C3144" s="16" t="inlineStr">
        <is>
          <t>6.1c</t>
        </is>
      </c>
      <c r="D3144" s="16" t="inlineStr">
        <is>
          <t>costo de exigir subenfriamiento</t>
        </is>
      </c>
      <c r="E3144" s="16" t="inlineStr">
        <is>
          <t>KF-M06</t>
        </is>
      </c>
      <c r="F3144" s="16" t="inlineStr">
        <is>
          <t>KF-M06-SUB</t>
        </is>
      </c>
      <c r="G3144" s="16" t="inlineStr">
        <is>
          <t>B12</t>
        </is>
      </c>
      <c r="H3144" s="16" t="inlineStr">
        <is>
          <t>busqueda</t>
        </is>
      </c>
      <c r="I3144" s="16" t="inlineStr">
        <is>
          <t>KALINA</t>
        </is>
      </c>
      <c r="J3144" s="16" t="inlineStr">
        <is>
          <t>KALINA</t>
        </is>
      </c>
      <c r="K3144" s="16" t="b">
        <v>1</v>
      </c>
      <c r="L3144" s="16" t="b">
        <v>1</v>
      </c>
      <c r="M3144" s="16" t="n"/>
      <c r="N3144" s="16" t="b">
        <v>0</v>
      </c>
      <c r="O3144" s="16" t="n"/>
      <c r="P3144" s="16" t="n"/>
      <c r="Q3144" s="16" t="n"/>
      <c r="R3144" s="16" t="n">
        <v>769.6022727276249</v>
      </c>
      <c r="S3144" s="16" t="n"/>
      <c r="T3144" s="16" t="n"/>
      <c r="U3144" s="16" t="n"/>
      <c r="V3144" s="16" t="n"/>
      <c r="W3144" s="16" t="n"/>
      <c r="X3144" s="16" t="n"/>
      <c r="Y3144" s="16" t="n"/>
      <c r="Z3144" s="16" t="n">
        <v>8.875313700233981</v>
      </c>
      <c r="AA3144" s="16" t="n"/>
      <c r="AB3144" s="16" t="n"/>
      <c r="AC3144" s="16" t="n"/>
      <c r="AD3144" s="16" t="n"/>
      <c r="AE3144" s="16" t="n"/>
    </row>
    <row r="3145">
      <c r="A3145" s="16" t="inlineStr">
        <is>
          <t>KF-M06-SUB-0062</t>
        </is>
      </c>
      <c r="B3145" s="16" t="inlineStr">
        <is>
          <t>6.1</t>
        </is>
      </c>
      <c r="C3145" s="16" t="inlineStr">
        <is>
          <t>6.1c</t>
        </is>
      </c>
      <c r="D3145" s="16" t="inlineStr">
        <is>
          <t>costo de exigir subenfriamiento</t>
        </is>
      </c>
      <c r="E3145" s="16" t="inlineStr">
        <is>
          <t>KF-M06</t>
        </is>
      </c>
      <c r="F3145" s="16" t="inlineStr">
        <is>
          <t>KF-M06-SUB</t>
        </is>
      </c>
      <c r="G3145" s="16" t="inlineStr">
        <is>
          <t>B12</t>
        </is>
      </c>
      <c r="H3145" s="16" t="inlineStr">
        <is>
          <t>busqueda</t>
        </is>
      </c>
      <c r="I3145" s="16" t="inlineStr">
        <is>
          <t>KALINA</t>
        </is>
      </c>
      <c r="J3145" s="16" t="inlineStr">
        <is>
          <t>KALINA</t>
        </is>
      </c>
      <c r="K3145" s="16" t="b">
        <v>1</v>
      </c>
      <c r="L3145" s="16" t="b">
        <v>1</v>
      </c>
      <c r="M3145" s="16" t="n"/>
      <c r="N3145" s="16" t="b">
        <v>0</v>
      </c>
      <c r="O3145" s="16" t="n"/>
      <c r="P3145" s="16" t="n"/>
      <c r="Q3145" s="16" t="n"/>
      <c r="R3145" s="16" t="n">
        <v>786.2215909094374</v>
      </c>
      <c r="S3145" s="16" t="n"/>
      <c r="T3145" s="16" t="n"/>
      <c r="U3145" s="16" t="n"/>
      <c r="V3145" s="16" t="n"/>
      <c r="W3145" s="16" t="n"/>
      <c r="X3145" s="16" t="n"/>
      <c r="Y3145" s="16" t="n"/>
      <c r="Z3145" s="16" t="n">
        <v>8.74177909650391</v>
      </c>
      <c r="AA3145" s="16" t="n"/>
      <c r="AB3145" s="16" t="n"/>
      <c r="AC3145" s="16" t="n"/>
      <c r="AD3145" s="16" t="n"/>
      <c r="AE3145" s="16" t="n"/>
    </row>
    <row r="3146">
      <c r="A3146" s="16" t="inlineStr">
        <is>
          <t>KF-M06-SUB-0063</t>
        </is>
      </c>
      <c r="B3146" s="16" t="inlineStr">
        <is>
          <t>6.1</t>
        </is>
      </c>
      <c r="C3146" s="16" t="inlineStr">
        <is>
          <t>6.1c</t>
        </is>
      </c>
      <c r="D3146" s="16" t="inlineStr">
        <is>
          <t>costo de exigir subenfriamiento</t>
        </is>
      </c>
      <c r="E3146" s="16" t="inlineStr">
        <is>
          <t>KF-M06</t>
        </is>
      </c>
      <c r="F3146" s="16" t="inlineStr">
        <is>
          <t>KF-M06-SUB</t>
        </is>
      </c>
      <c r="G3146" s="16" t="inlineStr">
        <is>
          <t>B12</t>
        </is>
      </c>
      <c r="H3146" s="16" t="inlineStr">
        <is>
          <t>busqueda</t>
        </is>
      </c>
      <c r="I3146" s="16" t="inlineStr">
        <is>
          <t>KALINA</t>
        </is>
      </c>
      <c r="J3146" s="16" t="inlineStr">
        <is>
          <t>KALINA</t>
        </is>
      </c>
      <c r="K3146" s="16" t="b">
        <v>1</v>
      </c>
      <c r="L3146" s="16" t="b">
        <v>1</v>
      </c>
      <c r="M3146" s="16" t="n"/>
      <c r="N3146" s="16" t="b">
        <v>0</v>
      </c>
      <c r="O3146" s="16" t="n"/>
      <c r="P3146" s="16" t="n"/>
      <c r="Q3146" s="16" t="n"/>
      <c r="R3146" s="16" t="n">
        <v>777.9119318185312</v>
      </c>
      <c r="S3146" s="16" t="n"/>
      <c r="T3146" s="16" t="n"/>
      <c r="U3146" s="16" t="n"/>
      <c r="V3146" s="16" t="n"/>
      <c r="W3146" s="16" t="n"/>
      <c r="X3146" s="16" t="n"/>
      <c r="Y3146" s="16" t="n"/>
      <c r="Z3146" s="16" t="n">
        <v>8.80822262044221</v>
      </c>
      <c r="AA3146" s="16" t="n"/>
      <c r="AB3146" s="16" t="n"/>
      <c r="AC3146" s="16" t="n"/>
      <c r="AD3146" s="16" t="n"/>
      <c r="AE3146" s="16" t="n"/>
    </row>
    <row r="3147">
      <c r="A3147" s="16" t="inlineStr">
        <is>
          <t>KF-M06-SUB-0064</t>
        </is>
      </c>
      <c r="B3147" s="16" t="inlineStr">
        <is>
          <t>6.1</t>
        </is>
      </c>
      <c r="C3147" s="16" t="inlineStr">
        <is>
          <t>6.1c</t>
        </is>
      </c>
      <c r="D3147" s="16" t="inlineStr">
        <is>
          <t>costo de exigir subenfriamiento</t>
        </is>
      </c>
      <c r="E3147" s="16" t="inlineStr">
        <is>
          <t>KF-M06</t>
        </is>
      </c>
      <c r="F3147" s="16" t="inlineStr">
        <is>
          <t>KF-M06-SUB</t>
        </is>
      </c>
      <c r="G3147" s="16" t="inlineStr">
        <is>
          <t>B12</t>
        </is>
      </c>
      <c r="H3147" s="16" t="inlineStr">
        <is>
          <t>busqueda</t>
        </is>
      </c>
      <c r="I3147" s="16" t="inlineStr">
        <is>
          <t>KALINA</t>
        </is>
      </c>
      <c r="J3147" s="16" t="inlineStr">
        <is>
          <t>KALINA</t>
        </is>
      </c>
      <c r="K3147" s="16" t="b">
        <v>1</v>
      </c>
      <c r="L3147" s="16" t="b">
        <v>1</v>
      </c>
      <c r="M3147" s="16" t="n"/>
      <c r="N3147" s="16" t="b">
        <v>0</v>
      </c>
      <c r="O3147" s="16" t="n"/>
      <c r="P3147" s="16" t="n"/>
      <c r="Q3147" s="16" t="n"/>
      <c r="R3147" s="16" t="n">
        <v>782.0667613639844</v>
      </c>
      <c r="S3147" s="16" t="n"/>
      <c r="T3147" s="16" t="n"/>
      <c r="U3147" s="16" t="n"/>
      <c r="V3147" s="16" t="n"/>
      <c r="W3147" s="16" t="n"/>
      <c r="X3147" s="16" t="n"/>
      <c r="Y3147" s="16" t="n"/>
      <c r="Z3147" s="16" t="n">
        <v>8.774920715441489</v>
      </c>
      <c r="AA3147" s="16" t="n"/>
      <c r="AB3147" s="16" t="n"/>
      <c r="AC3147" s="16" t="n"/>
      <c r="AD3147" s="16" t="n"/>
      <c r="AE3147" s="16" t="n"/>
    </row>
    <row r="3148">
      <c r="A3148" s="16" t="inlineStr">
        <is>
          <t>KF-M06-SUB-0065</t>
        </is>
      </c>
      <c r="B3148" s="16" t="inlineStr">
        <is>
          <t>6.1</t>
        </is>
      </c>
      <c r="C3148" s="16" t="inlineStr">
        <is>
          <t>6.1c</t>
        </is>
      </c>
      <c r="D3148" s="16" t="inlineStr">
        <is>
          <t>costo de exigir subenfriamiento</t>
        </is>
      </c>
      <c r="E3148" s="16" t="inlineStr">
        <is>
          <t>KF-M06</t>
        </is>
      </c>
      <c r="F3148" s="16" t="inlineStr">
        <is>
          <t>KF-M06-SUB</t>
        </is>
      </c>
      <c r="G3148" s="16" t="inlineStr">
        <is>
          <t>B12</t>
        </is>
      </c>
      <c r="H3148" s="16" t="inlineStr">
        <is>
          <t>busqueda</t>
        </is>
      </c>
      <c r="I3148" s="16" t="inlineStr">
        <is>
          <t>KALINA</t>
        </is>
      </c>
      <c r="J3148" s="16" t="inlineStr">
        <is>
          <t>KALINA</t>
        </is>
      </c>
      <c r="K3148" s="16" t="b">
        <v>1</v>
      </c>
      <c r="L3148" s="16" t="b">
        <v>1</v>
      </c>
      <c r="M3148" s="16" t="n"/>
      <c r="N3148" s="16" t="b">
        <v>0</v>
      </c>
      <c r="O3148" s="16" t="n"/>
      <c r="P3148" s="16" t="n"/>
      <c r="Q3148" s="16" t="n"/>
      <c r="R3148" s="16" t="n">
        <v>736.3636363639999</v>
      </c>
      <c r="S3148" s="16" t="n"/>
      <c r="T3148" s="16" t="n"/>
      <c r="U3148" s="16" t="n"/>
      <c r="V3148" s="16" t="n"/>
      <c r="W3148" s="16" t="n"/>
      <c r="X3148" s="16" t="n"/>
      <c r="Y3148" s="16" t="n"/>
      <c r="Z3148" s="16" t="n">
        <v>9.15042106800586</v>
      </c>
      <c r="AA3148" s="16" t="n"/>
      <c r="AB3148" s="16" t="n"/>
      <c r="AC3148" s="16" t="n"/>
      <c r="AD3148" s="16" t="n"/>
      <c r="AE3148" s="16" t="n"/>
    </row>
    <row r="3149">
      <c r="A3149" s="16" t="inlineStr">
        <is>
          <t>KF-M06-SUB-0066</t>
        </is>
      </c>
      <c r="B3149" s="16" t="inlineStr">
        <is>
          <t>6.1</t>
        </is>
      </c>
      <c r="C3149" s="16" t="inlineStr">
        <is>
          <t>6.1c</t>
        </is>
      </c>
      <c r="D3149" s="16" t="inlineStr">
        <is>
          <t>costo de exigir subenfriamiento</t>
        </is>
      </c>
      <c r="E3149" s="16" t="inlineStr">
        <is>
          <t>KF-M06</t>
        </is>
      </c>
      <c r="F3149" s="16" t="inlineStr">
        <is>
          <t>KF-M06-SUB</t>
        </is>
      </c>
      <c r="G3149" s="16" t="inlineStr">
        <is>
          <t>B12</t>
        </is>
      </c>
      <c r="H3149" s="16" t="inlineStr">
        <is>
          <t>busqueda</t>
        </is>
      </c>
      <c r="I3149" s="16" t="inlineStr">
        <is>
          <t>KALINA</t>
        </is>
      </c>
      <c r="J3149" s="16" t="inlineStr">
        <is>
          <t>KALINA</t>
        </is>
      </c>
      <c r="K3149" s="16" t="b">
        <v>1</v>
      </c>
      <c r="L3149" s="16" t="b">
        <v>1</v>
      </c>
      <c r="M3149" s="16" t="n"/>
      <c r="N3149" s="16" t="b">
        <v>0</v>
      </c>
      <c r="O3149" s="16" t="n"/>
      <c r="P3149" s="16" t="n"/>
      <c r="Q3149" s="16" t="n"/>
      <c r="R3149" s="16" t="n">
        <v>1800</v>
      </c>
      <c r="S3149" s="16" t="n"/>
      <c r="T3149" s="16" t="n"/>
      <c r="U3149" s="16" t="n"/>
      <c r="V3149" s="16" t="n"/>
      <c r="W3149" s="16" t="n"/>
      <c r="X3149" s="16" t="n"/>
      <c r="Y3149" s="16" t="n"/>
      <c r="Z3149" s="16" t="n">
        <v>3.39171057416444</v>
      </c>
      <c r="AA3149" s="16" t="n"/>
      <c r="AB3149" s="16" t="n"/>
      <c r="AC3149" s="16" t="n"/>
      <c r="AD3149" s="16" t="n"/>
      <c r="AE3149" s="16" t="n"/>
    </row>
    <row r="3150">
      <c r="A3150" s="16" t="inlineStr">
        <is>
          <t>KF-M06-SUB-0067</t>
        </is>
      </c>
      <c r="B3150" s="16" t="inlineStr">
        <is>
          <t>6.1</t>
        </is>
      </c>
      <c r="C3150" s="16" t="inlineStr">
        <is>
          <t>6.1c</t>
        </is>
      </c>
      <c r="D3150" s="16" t="inlineStr">
        <is>
          <t>costo de exigir subenfriamiento</t>
        </is>
      </c>
      <c r="E3150" s="16" t="inlineStr">
        <is>
          <t>KF-M06</t>
        </is>
      </c>
      <c r="F3150" s="16" t="inlineStr">
        <is>
          <t>KF-M06-SUB</t>
        </is>
      </c>
      <c r="G3150" s="16" t="inlineStr">
        <is>
          <t>B12</t>
        </is>
      </c>
      <c r="H3150" s="16" t="inlineStr">
        <is>
          <t>busqueda</t>
        </is>
      </c>
      <c r="I3150" s="16" t="inlineStr">
        <is>
          <t>KALINA</t>
        </is>
      </c>
      <c r="J3150" s="16" t="inlineStr">
        <is>
          <t>KALINA</t>
        </is>
      </c>
      <c r="K3150" s="16" t="b">
        <v>1</v>
      </c>
      <c r="L3150" s="16" t="b">
        <v>1</v>
      </c>
      <c r="M3150" s="16" t="n"/>
      <c r="N3150" s="16" t="b">
        <v>0</v>
      </c>
      <c r="O3150" s="16" t="n"/>
      <c r="P3150" s="16" t="n"/>
      <c r="Q3150" s="16" t="n"/>
      <c r="R3150" s="16" t="n">
        <v>1268.181818182</v>
      </c>
      <c r="S3150" s="16" t="n"/>
      <c r="T3150" s="16" t="n"/>
      <c r="U3150" s="16" t="n"/>
      <c r="V3150" s="16" t="n"/>
      <c r="W3150" s="16" t="n"/>
      <c r="X3150" s="16" t="n"/>
      <c r="Y3150" s="16" t="n"/>
      <c r="Z3150" s="16" t="n">
        <v>5.68989711394745</v>
      </c>
      <c r="AA3150" s="16" t="n"/>
      <c r="AB3150" s="16" t="n"/>
      <c r="AC3150" s="16" t="n"/>
      <c r="AD3150" s="16" t="n"/>
      <c r="AE3150" s="16" t="n"/>
    </row>
    <row r="3151">
      <c r="A3151" s="16" t="inlineStr">
        <is>
          <t>KF-M06-SUB-0068</t>
        </is>
      </c>
      <c r="B3151" s="16" t="inlineStr">
        <is>
          <t>6.1</t>
        </is>
      </c>
      <c r="C3151" s="16" t="inlineStr">
        <is>
          <t>6.1c</t>
        </is>
      </c>
      <c r="D3151" s="16" t="inlineStr">
        <is>
          <t>costo de exigir subenfriamiento</t>
        </is>
      </c>
      <c r="E3151" s="16" t="inlineStr">
        <is>
          <t>KF-M06</t>
        </is>
      </c>
      <c r="F3151" s="16" t="inlineStr">
        <is>
          <t>KF-M06-SUB</t>
        </is>
      </c>
      <c r="G3151" s="16" t="inlineStr">
        <is>
          <t>B12</t>
        </is>
      </c>
      <c r="H3151" s="16" t="inlineStr">
        <is>
          <t>busqueda</t>
        </is>
      </c>
      <c r="I3151" s="16" t="inlineStr">
        <is>
          <t>KALINA</t>
        </is>
      </c>
      <c r="J3151" s="16" t="inlineStr">
        <is>
          <t>KALINA</t>
        </is>
      </c>
      <c r="K3151" s="16" t="b">
        <v>1</v>
      </c>
      <c r="L3151" s="16" t="b">
        <v>1</v>
      </c>
      <c r="M3151" s="16" t="n"/>
      <c r="N3151" s="16" t="b">
        <v>0</v>
      </c>
      <c r="O3151" s="16" t="n"/>
      <c r="P3151" s="16" t="n"/>
      <c r="Q3151" s="16" t="n"/>
      <c r="R3151" s="16" t="n">
        <v>1002.272727273</v>
      </c>
      <c r="S3151" s="16" t="n"/>
      <c r="T3151" s="16" t="n"/>
      <c r="U3151" s="16" t="n"/>
      <c r="V3151" s="16" t="n"/>
      <c r="W3151" s="16" t="n"/>
      <c r="X3151" s="16" t="n"/>
      <c r="Y3151" s="16" t="n"/>
      <c r="Z3151" s="16" t="n">
        <v>7.20649941725498</v>
      </c>
      <c r="AA3151" s="16" t="n"/>
      <c r="AB3151" s="16" t="n"/>
      <c r="AC3151" s="16" t="n"/>
      <c r="AD3151" s="16" t="n"/>
      <c r="AE3151" s="16" t="n"/>
    </row>
    <row r="3152">
      <c r="A3152" s="16" t="inlineStr">
        <is>
          <t>KF-M06-SUB-0069</t>
        </is>
      </c>
      <c r="B3152" s="16" t="inlineStr">
        <is>
          <t>6.1</t>
        </is>
      </c>
      <c r="C3152" s="16" t="inlineStr">
        <is>
          <t>6.1c</t>
        </is>
      </c>
      <c r="D3152" s="16" t="inlineStr">
        <is>
          <t>costo de exigir subenfriamiento</t>
        </is>
      </c>
      <c r="E3152" s="16" t="inlineStr">
        <is>
          <t>KF-M06</t>
        </is>
      </c>
      <c r="F3152" s="16" t="inlineStr">
        <is>
          <t>KF-M06-SUB</t>
        </is>
      </c>
      <c r="G3152" s="16" t="inlineStr">
        <is>
          <t>B12</t>
        </is>
      </c>
      <c r="H3152" s="16" t="inlineStr">
        <is>
          <t>busqueda</t>
        </is>
      </c>
      <c r="I3152" s="16" t="inlineStr">
        <is>
          <t>KALINA</t>
        </is>
      </c>
      <c r="J3152" s="16" t="inlineStr">
        <is>
          <t>KALINA</t>
        </is>
      </c>
      <c r="K3152" s="16" t="b">
        <v>1</v>
      </c>
      <c r="L3152" s="16" t="b">
        <v>1</v>
      </c>
      <c r="M3152" s="16" t="n"/>
      <c r="N3152" s="16" t="b">
        <v>0</v>
      </c>
      <c r="O3152" s="16" t="n"/>
      <c r="P3152" s="16" t="n"/>
      <c r="Q3152" s="16" t="n"/>
      <c r="R3152" s="16" t="n">
        <v>869.3181818184999</v>
      </c>
      <c r="S3152" s="16" t="n"/>
      <c r="T3152" s="16" t="n"/>
      <c r="U3152" s="16" t="n"/>
      <c r="V3152" s="16" t="n"/>
      <c r="W3152" s="16" t="n"/>
      <c r="X3152" s="16" t="n"/>
      <c r="Y3152" s="16" t="n"/>
      <c r="Z3152" s="16" t="n">
        <v>8.11034595927212</v>
      </c>
      <c r="AA3152" s="16" t="n"/>
      <c r="AB3152" s="16" t="n"/>
      <c r="AC3152" s="16" t="n"/>
      <c r="AD3152" s="16" t="n"/>
      <c r="AE3152" s="16" t="n"/>
    </row>
    <row r="3153">
      <c r="A3153" s="16" t="inlineStr">
        <is>
          <t>KF-M06-SUB-0070</t>
        </is>
      </c>
      <c r="B3153" s="16" t="inlineStr">
        <is>
          <t>6.1</t>
        </is>
      </c>
      <c r="C3153" s="16" t="inlineStr">
        <is>
          <t>6.1c</t>
        </is>
      </c>
      <c r="D3153" s="16" t="inlineStr">
        <is>
          <t>costo de exigir subenfriamiento</t>
        </is>
      </c>
      <c r="E3153" s="16" t="inlineStr">
        <is>
          <t>KF-M06</t>
        </is>
      </c>
      <c r="F3153" s="16" t="inlineStr">
        <is>
          <t>KF-M06-SUB</t>
        </is>
      </c>
      <c r="G3153" s="16" t="inlineStr">
        <is>
          <t>B12</t>
        </is>
      </c>
      <c r="H3153" s="16" t="inlineStr">
        <is>
          <t>busqueda</t>
        </is>
      </c>
      <c r="I3153" s="16" t="inlineStr">
        <is>
          <t>KALINA</t>
        </is>
      </c>
      <c r="J3153" s="16" t="inlineStr">
        <is>
          <t>KALINA</t>
        </is>
      </c>
      <c r="K3153" s="16" t="b">
        <v>1</v>
      </c>
      <c r="L3153" s="16" t="b">
        <v>1</v>
      </c>
      <c r="M3153" s="16" t="n"/>
      <c r="N3153" s="16" t="b">
        <v>0</v>
      </c>
      <c r="O3153" s="16" t="n"/>
      <c r="P3153" s="16" t="n"/>
      <c r="Q3153" s="16" t="n"/>
      <c r="R3153" s="16" t="n">
        <v>802.8409090912498</v>
      </c>
      <c r="S3153" s="16" t="n"/>
      <c r="T3153" s="16" t="n"/>
      <c r="U3153" s="16" t="n"/>
      <c r="V3153" s="16" t="n"/>
      <c r="W3153" s="16" t="n"/>
      <c r="X3153" s="16" t="n"/>
      <c r="Y3153" s="16" t="n"/>
      <c r="Z3153" s="16" t="n">
        <v>8.610784382120611</v>
      </c>
      <c r="AA3153" s="16" t="n"/>
      <c r="AB3153" s="16" t="n"/>
      <c r="AC3153" s="16" t="n"/>
      <c r="AD3153" s="16" t="n"/>
      <c r="AE3153" s="16" t="n"/>
    </row>
    <row r="3154">
      <c r="A3154" s="16" t="inlineStr">
        <is>
          <t>KF-M06-SUB-0071</t>
        </is>
      </c>
      <c r="B3154" s="16" t="inlineStr">
        <is>
          <t>6.1</t>
        </is>
      </c>
      <c r="C3154" s="16" t="inlineStr">
        <is>
          <t>6.1c</t>
        </is>
      </c>
      <c r="D3154" s="16" t="inlineStr">
        <is>
          <t>costo de exigir subenfriamiento</t>
        </is>
      </c>
      <c r="E3154" s="16" t="inlineStr">
        <is>
          <t>KF-M06</t>
        </is>
      </c>
      <c r="F3154" s="16" t="inlineStr">
        <is>
          <t>KF-M06-SUB</t>
        </is>
      </c>
      <c r="G3154" s="16" t="inlineStr">
        <is>
          <t>B12</t>
        </is>
      </c>
      <c r="H3154" s="16" t="inlineStr">
        <is>
          <t>busqueda</t>
        </is>
      </c>
      <c r="I3154" s="16" t="inlineStr">
        <is>
          <t>KALINA</t>
        </is>
      </c>
      <c r="J3154" s="16" t="inlineStr">
        <is>
          <t>KALINA</t>
        </is>
      </c>
      <c r="K3154" s="16" t="b">
        <v>1</v>
      </c>
      <c r="L3154" s="16" t="b">
        <v>1</v>
      </c>
      <c r="M3154" s="16" t="n"/>
      <c r="N3154" s="16" t="b">
        <v>0</v>
      </c>
      <c r="O3154" s="16" t="n"/>
      <c r="P3154" s="16" t="n"/>
      <c r="Q3154" s="16" t="n"/>
      <c r="R3154" s="16" t="n">
        <v>836.0795454548748</v>
      </c>
      <c r="S3154" s="16" t="n"/>
      <c r="T3154" s="16" t="n"/>
      <c r="U3154" s="16" t="n"/>
      <c r="V3154" s="16" t="n"/>
      <c r="W3154" s="16" t="n"/>
      <c r="X3154" s="16" t="n"/>
      <c r="Y3154" s="16" t="n"/>
      <c r="Z3154" s="16" t="n">
        <v>8.356032272920579</v>
      </c>
      <c r="AA3154" s="16" t="n"/>
      <c r="AB3154" s="16" t="n"/>
      <c r="AC3154" s="16" t="n"/>
      <c r="AD3154" s="16" t="n"/>
      <c r="AE3154" s="16" t="n"/>
    </row>
    <row r="3155">
      <c r="A3155" s="16" t="inlineStr">
        <is>
          <t>KF-M06-SUB-0072</t>
        </is>
      </c>
      <c r="B3155" s="16" t="inlineStr">
        <is>
          <t>6.1</t>
        </is>
      </c>
      <c r="C3155" s="16" t="inlineStr">
        <is>
          <t>6.1c</t>
        </is>
      </c>
      <c r="D3155" s="16" t="inlineStr">
        <is>
          <t>costo de exigir subenfriamiento</t>
        </is>
      </c>
      <c r="E3155" s="16" t="inlineStr">
        <is>
          <t>KF-M06</t>
        </is>
      </c>
      <c r="F3155" s="16" t="inlineStr">
        <is>
          <t>KF-M06-SUB</t>
        </is>
      </c>
      <c r="G3155" s="16" t="inlineStr">
        <is>
          <t>B12</t>
        </is>
      </c>
      <c r="H3155" s="16" t="inlineStr">
        <is>
          <t>busqueda</t>
        </is>
      </c>
      <c r="I3155" s="16" t="inlineStr">
        <is>
          <t>KALINA</t>
        </is>
      </c>
      <c r="J3155" s="16" t="inlineStr">
        <is>
          <t>KALINA</t>
        </is>
      </c>
      <c r="K3155" s="16" t="b">
        <v>1</v>
      </c>
      <c r="L3155" s="16" t="b">
        <v>1</v>
      </c>
      <c r="M3155" s="16" t="n"/>
      <c r="N3155" s="16" t="b">
        <v>0</v>
      </c>
      <c r="O3155" s="16" t="n"/>
      <c r="P3155" s="16" t="n"/>
      <c r="Q3155" s="16" t="n"/>
      <c r="R3155" s="16" t="n">
        <v>852.6988636366873</v>
      </c>
      <c r="S3155" s="16" t="n"/>
      <c r="T3155" s="16" t="n"/>
      <c r="U3155" s="16" t="n"/>
      <c r="V3155" s="16" t="n"/>
      <c r="W3155" s="16" t="n"/>
      <c r="X3155" s="16" t="n"/>
      <c r="Y3155" s="16" t="n"/>
      <c r="Z3155" s="16" t="n">
        <v>8.232097225367111</v>
      </c>
      <c r="AA3155" s="16" t="n"/>
      <c r="AB3155" s="16" t="n"/>
      <c r="AC3155" s="16" t="n"/>
      <c r="AD3155" s="16" t="n"/>
      <c r="AE3155" s="16" t="n"/>
    </row>
    <row r="3156">
      <c r="A3156" s="16" t="inlineStr">
        <is>
          <t>KF-M06-SUB-0073</t>
        </is>
      </c>
      <c r="B3156" s="16" t="inlineStr">
        <is>
          <t>6.1</t>
        </is>
      </c>
      <c r="C3156" s="16" t="inlineStr">
        <is>
          <t>6.1c</t>
        </is>
      </c>
      <c r="D3156" s="16" t="inlineStr">
        <is>
          <t>costo de exigir subenfriamiento</t>
        </is>
      </c>
      <c r="E3156" s="16" t="inlineStr">
        <is>
          <t>KF-M06</t>
        </is>
      </c>
      <c r="F3156" s="16" t="inlineStr">
        <is>
          <t>KF-M06-SUB</t>
        </is>
      </c>
      <c r="G3156" s="16" t="inlineStr">
        <is>
          <t>B12</t>
        </is>
      </c>
      <c r="H3156" s="16" t="inlineStr">
        <is>
          <t>busqueda</t>
        </is>
      </c>
      <c r="I3156" s="16" t="inlineStr">
        <is>
          <t>KALINA</t>
        </is>
      </c>
      <c r="J3156" s="16" t="inlineStr">
        <is>
          <t>KALINA</t>
        </is>
      </c>
      <c r="K3156" s="16" t="b">
        <v>1</v>
      </c>
      <c r="L3156" s="16" t="b">
        <v>1</v>
      </c>
      <c r="M3156" s="16" t="n"/>
      <c r="N3156" s="16" t="b">
        <v>0</v>
      </c>
      <c r="O3156" s="16" t="n"/>
      <c r="P3156" s="16" t="n"/>
      <c r="Q3156" s="16" t="n"/>
      <c r="R3156" s="16" t="n">
        <v>844.389204545781</v>
      </c>
      <c r="S3156" s="16" t="n"/>
      <c r="T3156" s="16" t="n"/>
      <c r="U3156" s="16" t="n"/>
      <c r="V3156" s="16" t="n"/>
      <c r="W3156" s="16" t="n"/>
      <c r="X3156" s="16" t="n"/>
      <c r="Y3156" s="16" t="n"/>
      <c r="Z3156" s="16" t="n">
        <v>8.29378679188215</v>
      </c>
      <c r="AA3156" s="16" t="n"/>
      <c r="AB3156" s="16" t="n"/>
      <c r="AC3156" s="16" t="n"/>
      <c r="AD3156" s="16" t="n"/>
      <c r="AE3156" s="16" t="n"/>
    </row>
    <row r="3157">
      <c r="A3157" s="16" t="inlineStr">
        <is>
          <t>KF-M06-SUB-0074</t>
        </is>
      </c>
      <c r="B3157" s="16" t="inlineStr">
        <is>
          <t>6.1</t>
        </is>
      </c>
      <c r="C3157" s="16" t="inlineStr">
        <is>
          <t>6.1c</t>
        </is>
      </c>
      <c r="D3157" s="16" t="inlineStr">
        <is>
          <t>costo de exigir subenfriamiento</t>
        </is>
      </c>
      <c r="E3157" s="16" t="inlineStr">
        <is>
          <t>KF-M06</t>
        </is>
      </c>
      <c r="F3157" s="16" t="inlineStr">
        <is>
          <t>KF-M06-SUB</t>
        </is>
      </c>
      <c r="G3157" s="16" t="inlineStr">
        <is>
          <t>B12</t>
        </is>
      </c>
      <c r="H3157" s="16" t="inlineStr">
        <is>
          <t>busqueda</t>
        </is>
      </c>
      <c r="I3157" s="16" t="inlineStr">
        <is>
          <t>KALINA</t>
        </is>
      </c>
      <c r="J3157" s="16" t="inlineStr">
        <is>
          <t>KALINA</t>
        </is>
      </c>
      <c r="K3157" s="16" t="b">
        <v>1</v>
      </c>
      <c r="L3157" s="16" t="b">
        <v>1</v>
      </c>
      <c r="M3157" s="16" t="n"/>
      <c r="N3157" s="16" t="b">
        <v>0</v>
      </c>
      <c r="O3157" s="16" t="n"/>
      <c r="P3157" s="16" t="n"/>
      <c r="Q3157" s="16" t="n"/>
      <c r="R3157" s="16" t="n">
        <v>848.5440340912342</v>
      </c>
      <c r="S3157" s="16" t="n"/>
      <c r="T3157" s="16" t="n"/>
      <c r="U3157" s="16" t="n"/>
      <c r="V3157" s="16" t="n"/>
      <c r="W3157" s="16" t="n"/>
      <c r="X3157" s="16" t="n"/>
      <c r="Y3157" s="16" t="n"/>
      <c r="Z3157" s="16" t="n">
        <v>8.26287315329362</v>
      </c>
      <c r="AA3157" s="16" t="n"/>
      <c r="AB3157" s="16" t="n"/>
      <c r="AC3157" s="16" t="n"/>
      <c r="AD3157" s="16" t="n"/>
      <c r="AE3157" s="16" t="n"/>
    </row>
    <row r="3158">
      <c r="A3158" s="16" t="inlineStr">
        <is>
          <t>KF-M06-SUB-0075</t>
        </is>
      </c>
      <c r="B3158" s="16" t="inlineStr">
        <is>
          <t>6.1</t>
        </is>
      </c>
      <c r="C3158" s="16" t="inlineStr">
        <is>
          <t>6.1c</t>
        </is>
      </c>
      <c r="D3158" s="16" t="inlineStr">
        <is>
          <t>costo de exigir subenfriamiento</t>
        </is>
      </c>
      <c r="E3158" s="16" t="inlineStr">
        <is>
          <t>KF-M06</t>
        </is>
      </c>
      <c r="F3158" s="16" t="inlineStr">
        <is>
          <t>KF-M06-SUB</t>
        </is>
      </c>
      <c r="G3158" s="16" t="inlineStr">
        <is>
          <t>B12</t>
        </is>
      </c>
      <c r="H3158" s="16" t="inlineStr">
        <is>
          <t>busqueda</t>
        </is>
      </c>
      <c r="I3158" s="16" t="inlineStr">
        <is>
          <t>KALINA</t>
        </is>
      </c>
      <c r="J3158" s="16" t="inlineStr">
        <is>
          <t>KALINA</t>
        </is>
      </c>
      <c r="K3158" s="16" t="b">
        <v>1</v>
      </c>
      <c r="L3158" s="16" t="b">
        <v>1</v>
      </c>
      <c r="M3158" s="16" t="n"/>
      <c r="N3158" s="16" t="b">
        <v>0</v>
      </c>
      <c r="O3158" s="16" t="n"/>
      <c r="P3158" s="16" t="n"/>
      <c r="Q3158" s="16" t="n"/>
      <c r="R3158" s="16" t="n">
        <v>1022.274389807265</v>
      </c>
      <c r="S3158" s="16" t="n"/>
      <c r="T3158" s="16" t="n"/>
      <c r="U3158" s="16" t="n"/>
      <c r="V3158" s="16" t="n"/>
      <c r="W3158" s="16" t="n"/>
      <c r="X3158" s="16" t="n"/>
      <c r="Y3158" s="16" t="n"/>
      <c r="Z3158" s="16" t="n">
        <v>11.09411449156198</v>
      </c>
      <c r="AA3158" s="16" t="n"/>
      <c r="AB3158" s="16" t="n"/>
      <c r="AC3158" s="16" t="n"/>
      <c r="AD3158" s="16" t="n"/>
      <c r="AE3158" s="16" t="n"/>
    </row>
    <row r="3159">
      <c r="A3159" s="16" t="inlineStr">
        <is>
          <t>KF-M06-SUB-0076</t>
        </is>
      </c>
      <c r="B3159" s="16" t="inlineStr">
        <is>
          <t>6.1</t>
        </is>
      </c>
      <c r="C3159" s="16" t="inlineStr">
        <is>
          <t>6.1c</t>
        </is>
      </c>
      <c r="D3159" s="16" t="inlineStr">
        <is>
          <t>costo de exigir subenfriamiento</t>
        </is>
      </c>
      <c r="E3159" s="16" t="inlineStr">
        <is>
          <t>KF-M06</t>
        </is>
      </c>
      <c r="F3159" s="16" t="inlineStr">
        <is>
          <t>KF-M06-SUB</t>
        </is>
      </c>
      <c r="G3159" s="16" t="inlineStr">
        <is>
          <t>B12</t>
        </is>
      </c>
      <c r="H3159" s="16" t="inlineStr">
        <is>
          <t>busqueda</t>
        </is>
      </c>
      <c r="I3159" s="16" t="inlineStr">
        <is>
          <t>KALINA</t>
        </is>
      </c>
      <c r="J3159" s="16" t="inlineStr">
        <is>
          <t>KALINA</t>
        </is>
      </c>
      <c r="K3159" s="16" t="b">
        <v>1</v>
      </c>
      <c r="L3159" s="16" t="b">
        <v>1</v>
      </c>
      <c r="M3159" s="16" t="n"/>
      <c r="N3159" s="16" t="b">
        <v>0</v>
      </c>
      <c r="O3159" s="16" t="n"/>
      <c r="P3159" s="16" t="n"/>
      <c r="Q3159" s="16" t="n"/>
      <c r="R3159" s="16" t="n">
        <v>1022.274389807265</v>
      </c>
      <c r="S3159" s="16" t="n"/>
      <c r="T3159" s="16" t="n"/>
      <c r="U3159" s="16" t="n"/>
      <c r="V3159" s="16" t="n"/>
      <c r="W3159" s="16" t="n"/>
      <c r="X3159" s="16" t="n"/>
      <c r="Y3159" s="16" t="n"/>
      <c r="Z3159" s="16" t="n">
        <v>11.09411449156198</v>
      </c>
      <c r="AA3159" s="16" t="n"/>
      <c r="AB3159" s="16" t="n"/>
      <c r="AC3159" s="16" t="n"/>
      <c r="AD3159" s="16" t="n"/>
      <c r="AE3159" s="16" t="n"/>
    </row>
    <row r="3160">
      <c r="A3160" s="16" t="inlineStr">
        <is>
          <t>KF-M06-SUB-0077</t>
        </is>
      </c>
      <c r="B3160" s="16" t="inlineStr">
        <is>
          <t>6.1</t>
        </is>
      </c>
      <c r="C3160" s="16" t="inlineStr">
        <is>
          <t>6.1c</t>
        </is>
      </c>
      <c r="D3160" s="16" t="inlineStr">
        <is>
          <t>costo de exigir subenfriamiento</t>
        </is>
      </c>
      <c r="E3160" s="16" t="inlineStr">
        <is>
          <t>KF-M06</t>
        </is>
      </c>
      <c r="F3160" s="16" t="inlineStr">
        <is>
          <t>KF-M06-SUB</t>
        </is>
      </c>
      <c r="G3160" s="16" t="inlineStr">
        <is>
          <t>B12</t>
        </is>
      </c>
      <c r="H3160" s="16" t="inlineStr">
        <is>
          <t>busqueda</t>
        </is>
      </c>
      <c r="I3160" s="16" t="inlineStr">
        <is>
          <t>KALINA</t>
        </is>
      </c>
      <c r="J3160" s="16" t="inlineStr">
        <is>
          <t>KALINA</t>
        </is>
      </c>
      <c r="K3160" s="16" t="b">
        <v>1</v>
      </c>
      <c r="L3160" s="16" t="b">
        <v>1</v>
      </c>
      <c r="M3160" s="16" t="n"/>
      <c r="N3160" s="16" t="b">
        <v>0</v>
      </c>
      <c r="O3160" s="16" t="n"/>
      <c r="P3160" s="16" t="n"/>
      <c r="Q3160" s="16" t="n"/>
      <c r="R3160" s="16" t="n">
        <v>808.3402577390962</v>
      </c>
      <c r="S3160" s="16" t="n"/>
      <c r="T3160" s="16" t="n"/>
      <c r="U3160" s="16" t="n"/>
      <c r="V3160" s="16" t="n"/>
      <c r="W3160" s="16" t="n"/>
      <c r="X3160" s="16" t="n"/>
      <c r="Y3160" s="16" t="n"/>
      <c r="Z3160" s="16" t="n">
        <v>14.97793863825945</v>
      </c>
      <c r="AA3160" s="16" t="n"/>
      <c r="AB3160" s="16" t="n"/>
      <c r="AC3160" s="16" t="n"/>
      <c r="AD3160" s="16" t="n"/>
      <c r="AE3160" s="16" t="n"/>
    </row>
    <row r="3161">
      <c r="A3161" s="16" t="inlineStr">
        <is>
          <t>KF-M06-SUB-0078</t>
        </is>
      </c>
      <c r="B3161" s="16" t="inlineStr">
        <is>
          <t>6.1</t>
        </is>
      </c>
      <c r="C3161" s="16" t="inlineStr">
        <is>
          <t>6.1c</t>
        </is>
      </c>
      <c r="D3161" s="16" t="inlineStr">
        <is>
          <t>costo de exigir subenfriamiento</t>
        </is>
      </c>
      <c r="E3161" s="16" t="inlineStr">
        <is>
          <t>KF-M06</t>
        </is>
      </c>
      <c r="F3161" s="16" t="inlineStr">
        <is>
          <t>KF-M06-SUB</t>
        </is>
      </c>
      <c r="G3161" s="16" t="inlineStr">
        <is>
          <t>B12</t>
        </is>
      </c>
      <c r="H3161" s="16" t="inlineStr">
        <is>
          <t>busqueda</t>
        </is>
      </c>
      <c r="I3161" s="16" t="inlineStr">
        <is>
          <t>KALINA</t>
        </is>
      </c>
      <c r="J3161" s="16" t="inlineStr">
        <is>
          <t>KALINA</t>
        </is>
      </c>
      <c r="K3161" s="16" t="b">
        <v>1</v>
      </c>
      <c r="L3161" s="16" t="b">
        <v>1</v>
      </c>
      <c r="M3161" s="16" t="n"/>
      <c r="N3161" s="16" t="b">
        <v>0</v>
      </c>
      <c r="O3161" s="16" t="n"/>
      <c r="P3161" s="16" t="n"/>
      <c r="Q3161" s="16" t="n"/>
      <c r="R3161" s="16" t="n">
        <v>2500</v>
      </c>
      <c r="S3161" s="16" t="n"/>
      <c r="T3161" s="16" t="n"/>
      <c r="U3161" s="16" t="n"/>
      <c r="V3161" s="16" t="n"/>
      <c r="W3161" s="16" t="n"/>
      <c r="X3161" s="16" t="n"/>
      <c r="Y3161" s="16" t="n"/>
      <c r="Z3161" s="16" t="n">
        <v>5.15595693953484</v>
      </c>
      <c r="AA3161" s="16" t="n"/>
      <c r="AB3161" s="16" t="n"/>
      <c r="AC3161" s="16" t="n"/>
      <c r="AD3161" s="16" t="n"/>
      <c r="AE3161" s="16" t="n"/>
    </row>
    <row r="3162">
      <c r="A3162" s="16" t="inlineStr">
        <is>
          <t>KF-M06-SUB-0079</t>
        </is>
      </c>
      <c r="B3162" s="16" t="inlineStr">
        <is>
          <t>6.1</t>
        </is>
      </c>
      <c r="C3162" s="16" t="inlineStr">
        <is>
          <t>6.1c</t>
        </is>
      </c>
      <c r="D3162" s="16" t="inlineStr">
        <is>
          <t>costo de exigir subenfriamiento</t>
        </is>
      </c>
      <c r="E3162" s="16" t="inlineStr">
        <is>
          <t>KF-M06</t>
        </is>
      </c>
      <c r="F3162" s="16" t="inlineStr">
        <is>
          <t>KF-M06-SUB</t>
        </is>
      </c>
      <c r="G3162" s="16" t="inlineStr">
        <is>
          <t>B12</t>
        </is>
      </c>
      <c r="H3162" s="16" t="inlineStr">
        <is>
          <t>busqueda</t>
        </is>
      </c>
      <c r="I3162" s="16" t="inlineStr">
        <is>
          <t>KALINA</t>
        </is>
      </c>
      <c r="J3162" s="16" t="inlineStr">
        <is>
          <t>KALINA</t>
        </is>
      </c>
      <c r="K3162" s="16" t="b">
        <v>1</v>
      </c>
      <c r="L3162" s="16" t="b">
        <v>1</v>
      </c>
      <c r="M3162" s="16" t="n"/>
      <c r="N3162" s="16" t="b">
        <v>0</v>
      </c>
      <c r="O3162" s="16" t="n"/>
      <c r="P3162" s="16" t="n"/>
      <c r="Q3162" s="16" t="n"/>
      <c r="R3162" s="16" t="n">
        <v>1654.170128869548</v>
      </c>
      <c r="S3162" s="16" t="n"/>
      <c r="T3162" s="16" t="n"/>
      <c r="U3162" s="16" t="n"/>
      <c r="V3162" s="16" t="n"/>
      <c r="W3162" s="16" t="n"/>
      <c r="X3162" s="16" t="n"/>
      <c r="Y3162" s="16" t="n"/>
      <c r="Z3162" s="16" t="n">
        <v>8.868758436132209</v>
      </c>
      <c r="AA3162" s="16" t="n"/>
      <c r="AB3162" s="16" t="n"/>
      <c r="AC3162" s="16" t="n"/>
      <c r="AD3162" s="16" t="n"/>
      <c r="AE3162" s="16" t="n"/>
    </row>
    <row r="3163">
      <c r="A3163" s="16" t="inlineStr">
        <is>
          <t>KF-M06-SUB-0080</t>
        </is>
      </c>
      <c r="B3163" s="16" t="inlineStr">
        <is>
          <t>6.1</t>
        </is>
      </c>
      <c r="C3163" s="16" t="inlineStr">
        <is>
          <t>6.1c</t>
        </is>
      </c>
      <c r="D3163" s="16" t="inlineStr">
        <is>
          <t>costo de exigir subenfriamiento</t>
        </is>
      </c>
      <c r="E3163" s="16" t="inlineStr">
        <is>
          <t>KF-M06</t>
        </is>
      </c>
      <c r="F3163" s="16" t="inlineStr">
        <is>
          <t>KF-M06-SUB</t>
        </is>
      </c>
      <c r="G3163" s="16" t="inlineStr">
        <is>
          <t>B12</t>
        </is>
      </c>
      <c r="H3163" s="16" t="inlineStr">
        <is>
          <t>busqueda</t>
        </is>
      </c>
      <c r="I3163" s="16" t="inlineStr">
        <is>
          <t>NO_CONVERGIO</t>
        </is>
      </c>
      <c r="J3163" s="16" t="inlineStr">
        <is>
          <t>NO_CONVERGIO</t>
        </is>
      </c>
      <c r="K3163" s="16" t="b">
        <v>0</v>
      </c>
      <c r="L3163" s="16" t="b">
        <v>0</v>
      </c>
      <c r="M3163" s="16" t="n"/>
      <c r="N3163" s="16" t="b">
        <v>0</v>
      </c>
      <c r="O3163" s="16" t="n"/>
      <c r="P3163" s="16" t="n"/>
      <c r="Q3163" s="16" t="n"/>
      <c r="R3163" s="16" t="n">
        <v>1231.255193304322</v>
      </c>
      <c r="S3163" s="16" t="n"/>
      <c r="T3163" s="16" t="n"/>
      <c r="U3163" s="16" t="n"/>
      <c r="V3163" s="16" t="n"/>
      <c r="W3163" s="16" t="n"/>
      <c r="X3163" s="16" t="n"/>
      <c r="Y3163" s="16" t="n"/>
      <c r="Z3163" s="16" t="n"/>
      <c r="AA3163" s="16" t="n"/>
      <c r="AB3163" s="16" t="n"/>
      <c r="AC3163" s="16" t="n"/>
      <c r="AD3163" s="16" t="n"/>
      <c r="AE3163" s="16" t="n"/>
    </row>
    <row r="3164">
      <c r="A3164" s="16" t="inlineStr">
        <is>
          <t>KF-M06-SUB-0081</t>
        </is>
      </c>
      <c r="B3164" s="16" t="inlineStr">
        <is>
          <t>6.1</t>
        </is>
      </c>
      <c r="C3164" s="16" t="inlineStr">
        <is>
          <t>6.1c</t>
        </is>
      </c>
      <c r="D3164" s="16" t="inlineStr">
        <is>
          <t>costo de exigir subenfriamiento</t>
        </is>
      </c>
      <c r="E3164" s="16" t="inlineStr">
        <is>
          <t>KF-M06</t>
        </is>
      </c>
      <c r="F3164" s="16" t="inlineStr">
        <is>
          <t>KF-M06-SUB</t>
        </is>
      </c>
      <c r="G3164" s="16" t="inlineStr">
        <is>
          <t>B12</t>
        </is>
      </c>
      <c r="H3164" s="16" t="inlineStr">
        <is>
          <t>busqueda</t>
        </is>
      </c>
      <c r="I3164" s="16" t="inlineStr">
        <is>
          <t>KALINA</t>
        </is>
      </c>
      <c r="J3164" s="16" t="inlineStr">
        <is>
          <t>KALINA</t>
        </is>
      </c>
      <c r="K3164" s="16" t="b">
        <v>1</v>
      </c>
      <c r="L3164" s="16" t="b">
        <v>1</v>
      </c>
      <c r="M3164" s="16" t="n"/>
      <c r="N3164" s="16" t="b">
        <v>0</v>
      </c>
      <c r="O3164" s="16" t="n"/>
      <c r="P3164" s="16" t="n"/>
      <c r="Q3164" s="16" t="n"/>
      <c r="R3164" s="16" t="n">
        <v>1442.712661086935</v>
      </c>
      <c r="S3164" s="16" t="n"/>
      <c r="T3164" s="16" t="n"/>
      <c r="U3164" s="16" t="n"/>
      <c r="V3164" s="16" t="n"/>
      <c r="W3164" s="16" t="n"/>
      <c r="X3164" s="16" t="n"/>
      <c r="Y3164" s="16" t="n"/>
      <c r="Z3164" s="16" t="n">
        <v>10.07143727684459</v>
      </c>
      <c r="AA3164" s="16" t="n"/>
      <c r="AB3164" s="16" t="n"/>
      <c r="AC3164" s="16" t="n"/>
      <c r="AD3164" s="16" t="n"/>
      <c r="AE3164" s="16" t="n"/>
    </row>
    <row r="3165">
      <c r="A3165" s="16" t="inlineStr">
        <is>
          <t>KF-M06-SUB-0082</t>
        </is>
      </c>
      <c r="B3165" s="16" t="inlineStr">
        <is>
          <t>6.1</t>
        </is>
      </c>
      <c r="C3165" s="16" t="inlineStr">
        <is>
          <t>6.1c</t>
        </is>
      </c>
      <c r="D3165" s="16" t="inlineStr">
        <is>
          <t>costo de exigir subenfriamiento</t>
        </is>
      </c>
      <c r="E3165" s="16" t="inlineStr">
        <is>
          <t>KF-M06</t>
        </is>
      </c>
      <c r="F3165" s="16" t="inlineStr">
        <is>
          <t>KF-M06-SUB</t>
        </is>
      </c>
      <c r="G3165" s="16" t="inlineStr">
        <is>
          <t>B12</t>
        </is>
      </c>
      <c r="H3165" s="16" t="inlineStr">
        <is>
          <t>busqueda</t>
        </is>
      </c>
      <c r="I3165" s="16" t="inlineStr">
        <is>
          <t>KALINA</t>
        </is>
      </c>
      <c r="J3165" s="16" t="inlineStr">
        <is>
          <t>KALINA</t>
        </is>
      </c>
      <c r="K3165" s="16" t="b">
        <v>1</v>
      </c>
      <c r="L3165" s="16" t="b">
        <v>1</v>
      </c>
      <c r="M3165" s="16" t="n"/>
      <c r="N3165" s="16" t="b">
        <v>0</v>
      </c>
      <c r="O3165" s="16" t="n"/>
      <c r="P3165" s="16" t="n"/>
      <c r="Q3165" s="16" t="n"/>
      <c r="R3165" s="16" t="n">
        <v>1336.983927195628</v>
      </c>
      <c r="S3165" s="16" t="n"/>
      <c r="T3165" s="16" t="n"/>
      <c r="U3165" s="16" t="n"/>
      <c r="V3165" s="16" t="n"/>
      <c r="W3165" s="16" t="n"/>
      <c r="X3165" s="16" t="n"/>
      <c r="Y3165" s="16" t="n"/>
      <c r="Z3165" s="16" t="n">
        <v>10.73390308807015</v>
      </c>
      <c r="AA3165" s="16" t="n"/>
      <c r="AB3165" s="16" t="n"/>
      <c r="AC3165" s="16" t="n"/>
      <c r="AD3165" s="16" t="n"/>
      <c r="AE3165" s="16" t="n"/>
    </row>
    <row r="3166">
      <c r="A3166" s="16" t="inlineStr">
        <is>
          <t>KF-M06-SUB-0083</t>
        </is>
      </c>
      <c r="B3166" s="16" t="inlineStr">
        <is>
          <t>6.1</t>
        </is>
      </c>
      <c r="C3166" s="16" t="inlineStr">
        <is>
          <t>6.1c</t>
        </is>
      </c>
      <c r="D3166" s="16" t="inlineStr">
        <is>
          <t>costo de exigir subenfriamiento</t>
        </is>
      </c>
      <c r="E3166" s="16" t="inlineStr">
        <is>
          <t>KF-M06</t>
        </is>
      </c>
      <c r="F3166" s="16" t="inlineStr">
        <is>
          <t>KF-M06-SUB</t>
        </is>
      </c>
      <c r="G3166" s="16" t="inlineStr">
        <is>
          <t>B12</t>
        </is>
      </c>
      <c r="H3166" s="16" t="inlineStr">
        <is>
          <t>busqueda</t>
        </is>
      </c>
      <c r="I3166" s="16" t="inlineStr">
        <is>
          <t>KALINA</t>
        </is>
      </c>
      <c r="J3166" s="16" t="inlineStr">
        <is>
          <t>KALINA</t>
        </is>
      </c>
      <c r="K3166" s="16" t="b">
        <v>1</v>
      </c>
      <c r="L3166" s="16" t="b">
        <v>1</v>
      </c>
      <c r="M3166" s="16" t="n"/>
      <c r="N3166" s="16" t="b">
        <v>0</v>
      </c>
      <c r="O3166" s="16" t="n"/>
      <c r="P3166" s="16" t="n"/>
      <c r="Q3166" s="16" t="n"/>
      <c r="R3166" s="16" t="n">
        <v>1284.119560249975</v>
      </c>
      <c r="S3166" s="16" t="n"/>
      <c r="T3166" s="16" t="n"/>
      <c r="U3166" s="16" t="n"/>
      <c r="V3166" s="16" t="n"/>
      <c r="W3166" s="16" t="n"/>
      <c r="X3166" s="16" t="n"/>
      <c r="Y3166" s="16" t="n"/>
      <c r="Z3166" s="16" t="n">
        <v>11.08300043358875</v>
      </c>
      <c r="AA3166" s="16" t="n"/>
      <c r="AB3166" s="16" t="n"/>
      <c r="AC3166" s="16" t="n"/>
      <c r="AD3166" s="16" t="n"/>
      <c r="AE3166" s="16" t="n"/>
    </row>
    <row r="3167">
      <c r="A3167" s="16" t="inlineStr">
        <is>
          <t>KF-M06-SUB-0084</t>
        </is>
      </c>
      <c r="B3167" s="16" t="inlineStr">
        <is>
          <t>6.1</t>
        </is>
      </c>
      <c r="C3167" s="16" t="inlineStr">
        <is>
          <t>6.1c</t>
        </is>
      </c>
      <c r="D3167" s="16" t="inlineStr">
        <is>
          <t>costo de exigir subenfriamiento</t>
        </is>
      </c>
      <c r="E3167" s="16" t="inlineStr">
        <is>
          <t>KF-M06</t>
        </is>
      </c>
      <c r="F3167" s="16" t="inlineStr">
        <is>
          <t>KF-M06-SUB</t>
        </is>
      </c>
      <c r="G3167" s="16" t="inlineStr">
        <is>
          <t>B12</t>
        </is>
      </c>
      <c r="H3167" s="16" t="inlineStr">
        <is>
          <t>busqueda</t>
        </is>
      </c>
      <c r="I3167" s="16" t="inlineStr">
        <is>
          <t>KALINA</t>
        </is>
      </c>
      <c r="J3167" s="16" t="inlineStr">
        <is>
          <t>KALINA</t>
        </is>
      </c>
      <c r="K3167" s="16" t="b">
        <v>1</v>
      </c>
      <c r="L3167" s="16" t="b">
        <v>1</v>
      </c>
      <c r="M3167" s="16" t="n"/>
      <c r="N3167" s="16" t="b">
        <v>0</v>
      </c>
      <c r="O3167" s="16" t="n"/>
      <c r="P3167" s="16" t="n"/>
      <c r="Q3167" s="16" t="n"/>
      <c r="R3167" s="16" t="n">
        <v>1257.687376777148</v>
      </c>
      <c r="S3167" s="16" t="n"/>
      <c r="T3167" s="16" t="n"/>
      <c r="U3167" s="16" t="n"/>
      <c r="V3167" s="16" t="n"/>
      <c r="W3167" s="16" t="n"/>
      <c r="X3167" s="16" t="n"/>
      <c r="Y3167" s="16" t="n"/>
      <c r="Z3167" s="16" t="n">
        <v>11.26240788545613</v>
      </c>
      <c r="AA3167" s="16" t="n"/>
      <c r="AB3167" s="16" t="n"/>
      <c r="AC3167" s="16" t="n"/>
      <c r="AD3167" s="16" t="n"/>
      <c r="AE3167" s="16" t="n"/>
    </row>
    <row r="3168">
      <c r="A3168" s="16" t="inlineStr">
        <is>
          <t>KF-M06-SUB-0085</t>
        </is>
      </c>
      <c r="B3168" s="16" t="inlineStr">
        <is>
          <t>6.1</t>
        </is>
      </c>
      <c r="C3168" s="16" t="inlineStr">
        <is>
          <t>6.1c</t>
        </is>
      </c>
      <c r="D3168" s="16" t="inlineStr">
        <is>
          <t>costo de exigir subenfriamiento</t>
        </is>
      </c>
      <c r="E3168" s="16" t="inlineStr">
        <is>
          <t>KF-M06</t>
        </is>
      </c>
      <c r="F3168" s="16" t="inlineStr">
        <is>
          <t>KF-M06-SUB</t>
        </is>
      </c>
      <c r="G3168" s="16" t="inlineStr">
        <is>
          <t>B12</t>
        </is>
      </c>
      <c r="H3168" s="16" t="inlineStr">
        <is>
          <t>busqueda</t>
        </is>
      </c>
      <c r="I3168" s="16" t="inlineStr">
        <is>
          <t>NO_CONVERGIO</t>
        </is>
      </c>
      <c r="J3168" s="16" t="inlineStr">
        <is>
          <t>NO_CONVERGIO</t>
        </is>
      </c>
      <c r="K3168" s="16" t="b">
        <v>0</v>
      </c>
      <c r="L3168" s="16" t="b">
        <v>0</v>
      </c>
      <c r="M3168" s="16" t="n"/>
      <c r="N3168" s="16" t="b">
        <v>0</v>
      </c>
      <c r="O3168" s="16" t="n"/>
      <c r="P3168" s="16" t="n"/>
      <c r="Q3168" s="16" t="n"/>
      <c r="R3168" s="16" t="n">
        <v>1244.471285040735</v>
      </c>
      <c r="S3168" s="16" t="n"/>
      <c r="T3168" s="16" t="n"/>
      <c r="U3168" s="16" t="n"/>
      <c r="V3168" s="16" t="n"/>
      <c r="W3168" s="16" t="n"/>
      <c r="X3168" s="16" t="n"/>
      <c r="Y3168" s="16" t="n"/>
      <c r="Z3168" s="16" t="n"/>
      <c r="AA3168" s="16" t="n"/>
      <c r="AB3168" s="16" t="n"/>
      <c r="AC3168" s="16" t="n"/>
      <c r="AD3168" s="16" t="n"/>
      <c r="AE3168" s="16" t="n"/>
    </row>
    <row r="3169">
      <c r="A3169" s="16" t="inlineStr">
        <is>
          <t>KF-M06-SUB-0086</t>
        </is>
      </c>
      <c r="B3169" s="16" t="inlineStr">
        <is>
          <t>6.1</t>
        </is>
      </c>
      <c r="C3169" s="16" t="inlineStr">
        <is>
          <t>6.1c</t>
        </is>
      </c>
      <c r="D3169" s="16" t="inlineStr">
        <is>
          <t>costo de exigir subenfriamiento</t>
        </is>
      </c>
      <c r="E3169" s="16" t="inlineStr">
        <is>
          <t>KF-M06</t>
        </is>
      </c>
      <c r="F3169" s="16" t="inlineStr">
        <is>
          <t>KF-M06-SUB</t>
        </is>
      </c>
      <c r="G3169" s="16" t="inlineStr">
        <is>
          <t>B12</t>
        </is>
      </c>
      <c r="H3169" s="16" t="inlineStr">
        <is>
          <t>busqueda</t>
        </is>
      </c>
      <c r="I3169" s="16" t="inlineStr">
        <is>
          <t>KALINA</t>
        </is>
      </c>
      <c r="J3169" s="16" t="inlineStr">
        <is>
          <t>KALINA</t>
        </is>
      </c>
      <c r="K3169" s="16" t="b">
        <v>1</v>
      </c>
      <c r="L3169" s="16" t="b">
        <v>1</v>
      </c>
      <c r="M3169" s="16" t="n"/>
      <c r="N3169" s="16" t="b">
        <v>0</v>
      </c>
      <c r="O3169" s="16" t="n"/>
      <c r="P3169" s="16" t="n"/>
      <c r="Q3169" s="16" t="n"/>
      <c r="R3169" s="16" t="n">
        <v>1251.079330908942</v>
      </c>
      <c r="S3169" s="16" t="n"/>
      <c r="T3169" s="16" t="n"/>
      <c r="U3169" s="16" t="n"/>
      <c r="V3169" s="16" t="n"/>
      <c r="W3169" s="16" t="n"/>
      <c r="X3169" s="16" t="n"/>
      <c r="Y3169" s="16" t="n"/>
      <c r="Z3169" s="16" t="n">
        <v>11.30778688751344</v>
      </c>
      <c r="AA3169" s="16" t="n"/>
      <c r="AB3169" s="16" t="n"/>
      <c r="AC3169" s="16" t="n"/>
      <c r="AD3169" s="16" t="n"/>
      <c r="AE3169" s="16" t="n"/>
    </row>
    <row r="3170">
      <c r="A3170" s="16" t="inlineStr">
        <is>
          <t>KF-M06-SUB-0087</t>
        </is>
      </c>
      <c r="B3170" s="16" t="inlineStr">
        <is>
          <t>6.1</t>
        </is>
      </c>
      <c r="C3170" s="16" t="inlineStr">
        <is>
          <t>6.1c</t>
        </is>
      </c>
      <c r="D3170" s="16" t="inlineStr">
        <is>
          <t>costo de exigir subenfriamiento</t>
        </is>
      </c>
      <c r="E3170" s="16" t="inlineStr">
        <is>
          <t>KF-M06</t>
        </is>
      </c>
      <c r="F3170" s="16" t="inlineStr">
        <is>
          <t>KF-M06-SUB</t>
        </is>
      </c>
      <c r="G3170" s="16" t="inlineStr">
        <is>
          <t>B12</t>
        </is>
      </c>
      <c r="H3170" s="16" t="inlineStr">
        <is>
          <t>busqueda</t>
        </is>
      </c>
      <c r="I3170" s="16" t="inlineStr">
        <is>
          <t>NO_CONVERGIO</t>
        </is>
      </c>
      <c r="J3170" s="16" t="inlineStr">
        <is>
          <t>NO_CONVERGIO</t>
        </is>
      </c>
      <c r="K3170" s="16" t="b">
        <v>0</v>
      </c>
      <c r="L3170" s="16" t="b">
        <v>0</v>
      </c>
      <c r="M3170" s="16" t="n"/>
      <c r="N3170" s="16" t="b">
        <v>0</v>
      </c>
      <c r="O3170" s="16" t="n"/>
      <c r="P3170" s="16" t="n"/>
      <c r="Q3170" s="16" t="n"/>
      <c r="R3170" s="16" t="n">
        <v>1247.775307974839</v>
      </c>
      <c r="S3170" s="16" t="n"/>
      <c r="T3170" s="16" t="n"/>
      <c r="U3170" s="16" t="n"/>
      <c r="V3170" s="16" t="n"/>
      <c r="W3170" s="16" t="n"/>
      <c r="X3170" s="16" t="n"/>
      <c r="Y3170" s="16" t="n"/>
      <c r="Z3170" s="16" t="n"/>
      <c r="AA3170" s="16" t="n"/>
      <c r="AB3170" s="16" t="n"/>
      <c r="AC3170" s="16" t="n"/>
      <c r="AD3170" s="16" t="n"/>
      <c r="AE3170" s="16" t="n"/>
    </row>
    <row r="3171">
      <c r="A3171" s="16" t="inlineStr">
        <is>
          <t>KF-M06-SUB-0088</t>
        </is>
      </c>
      <c r="B3171" s="16" t="inlineStr">
        <is>
          <t>6.1</t>
        </is>
      </c>
      <c r="C3171" s="16" t="inlineStr">
        <is>
          <t>6.1c</t>
        </is>
      </c>
      <c r="D3171" s="16" t="inlineStr">
        <is>
          <t>costo de exigir subenfriamiento</t>
        </is>
      </c>
      <c r="E3171" s="16" t="inlineStr">
        <is>
          <t>KF-M06</t>
        </is>
      </c>
      <c r="F3171" s="16" t="inlineStr">
        <is>
          <t>KF-M06-SUB</t>
        </is>
      </c>
      <c r="G3171" s="16" t="inlineStr">
        <is>
          <t>B12</t>
        </is>
      </c>
      <c r="H3171" s="16" t="inlineStr">
        <is>
          <t>busqueda</t>
        </is>
      </c>
      <c r="I3171" s="16" t="inlineStr">
        <is>
          <t>KALINA</t>
        </is>
      </c>
      <c r="J3171" s="16" t="inlineStr">
        <is>
          <t>KALINA</t>
        </is>
      </c>
      <c r="K3171" s="16" t="b">
        <v>1</v>
      </c>
      <c r="L3171" s="16" t="b">
        <v>1</v>
      </c>
      <c r="M3171" s="16" t="n"/>
      <c r="N3171" s="16" t="b">
        <v>0</v>
      </c>
      <c r="O3171" s="16" t="n"/>
      <c r="P3171" s="16" t="n"/>
      <c r="Q3171" s="16" t="n"/>
      <c r="R3171" s="16" t="n">
        <v>400</v>
      </c>
      <c r="S3171" s="16" t="n"/>
      <c r="T3171" s="16" t="n"/>
      <c r="U3171" s="16" t="n"/>
      <c r="V3171" s="16" t="n"/>
      <c r="W3171" s="16" t="n"/>
      <c r="X3171" s="16" t="n"/>
      <c r="Y3171" s="16" t="n"/>
      <c r="Z3171" s="16" t="n">
        <v>15.59965738845141</v>
      </c>
      <c r="AA3171" s="16" t="n"/>
      <c r="AB3171" s="16" t="n"/>
      <c r="AC3171" s="16" t="n"/>
      <c r="AD3171" s="16" t="n"/>
      <c r="AE3171" s="16" t="n"/>
    </row>
    <row r="3172">
      <c r="A3172" s="16" t="inlineStr">
        <is>
          <t>KF-M06-SUB-0089</t>
        </is>
      </c>
      <c r="B3172" s="16" t="inlineStr">
        <is>
          <t>6.1</t>
        </is>
      </c>
      <c r="C3172" s="16" t="inlineStr">
        <is>
          <t>6.1c</t>
        </is>
      </c>
      <c r="D3172" s="16" t="inlineStr">
        <is>
          <t>costo de exigir subenfriamiento</t>
        </is>
      </c>
      <c r="E3172" s="16" t="inlineStr">
        <is>
          <t>KF-M06</t>
        </is>
      </c>
      <c r="F3172" s="16" t="inlineStr">
        <is>
          <t>KF-M06-SUB</t>
        </is>
      </c>
      <c r="G3172" s="16" t="inlineStr">
        <is>
          <t>B12</t>
        </is>
      </c>
      <c r="H3172" s="16" t="inlineStr">
        <is>
          <t>busqueda</t>
        </is>
      </c>
      <c r="I3172" s="16" t="inlineStr">
        <is>
          <t>KALINA</t>
        </is>
      </c>
      <c r="J3172" s="16" t="inlineStr">
        <is>
          <t>KALINA</t>
        </is>
      </c>
      <c r="K3172" s="16" t="b">
        <v>1</v>
      </c>
      <c r="L3172" s="16" t="b">
        <v>1</v>
      </c>
      <c r="M3172" s="16" t="n"/>
      <c r="N3172" s="16" t="b">
        <v>0</v>
      </c>
      <c r="O3172" s="16" t="n"/>
      <c r="P3172" s="16" t="n"/>
      <c r="Q3172" s="16" t="n"/>
      <c r="R3172" s="16" t="n">
        <v>1800</v>
      </c>
      <c r="S3172" s="16" t="n"/>
      <c r="T3172" s="16" t="n"/>
      <c r="U3172" s="16" t="n"/>
      <c r="V3172" s="16" t="n"/>
      <c r="W3172" s="16" t="n"/>
      <c r="X3172" s="16" t="n"/>
      <c r="Y3172" s="16" t="n"/>
      <c r="Z3172" s="16" t="n">
        <v>4.12685258706108</v>
      </c>
      <c r="AA3172" s="16" t="n"/>
      <c r="AB3172" s="16" t="n"/>
      <c r="AC3172" s="16" t="n"/>
      <c r="AD3172" s="16" t="n"/>
      <c r="AE3172" s="16" t="n"/>
    </row>
    <row r="3173">
      <c r="A3173" s="16" t="inlineStr">
        <is>
          <t>KF-M06-SUB-0090</t>
        </is>
      </c>
      <c r="B3173" s="16" t="inlineStr">
        <is>
          <t>6.1</t>
        </is>
      </c>
      <c r="C3173" s="16" t="inlineStr">
        <is>
          <t>6.1c</t>
        </is>
      </c>
      <c r="D3173" s="16" t="inlineStr">
        <is>
          <t>costo de exigir subenfriamiento</t>
        </is>
      </c>
      <c r="E3173" s="16" t="inlineStr">
        <is>
          <t>KF-M06</t>
        </is>
      </c>
      <c r="F3173" s="16" t="inlineStr">
        <is>
          <t>KF-M06-SUB</t>
        </is>
      </c>
      <c r="G3173" s="16" t="inlineStr">
        <is>
          <t>B12</t>
        </is>
      </c>
      <c r="H3173" s="16" t="inlineStr">
        <is>
          <t>busqueda</t>
        </is>
      </c>
      <c r="I3173" s="16" t="inlineStr">
        <is>
          <t>KALINA</t>
        </is>
      </c>
      <c r="J3173" s="16" t="inlineStr">
        <is>
          <t>KALINA</t>
        </is>
      </c>
      <c r="K3173" s="16" t="b">
        <v>1</v>
      </c>
      <c r="L3173" s="16" t="b">
        <v>1</v>
      </c>
      <c r="M3173" s="16" t="n"/>
      <c r="N3173" s="16" t="b">
        <v>0</v>
      </c>
      <c r="O3173" s="16" t="n"/>
      <c r="P3173" s="16" t="n"/>
      <c r="Q3173" s="16" t="n"/>
      <c r="R3173" s="16" t="n">
        <v>1100</v>
      </c>
      <c r="S3173" s="16" t="n"/>
      <c r="T3173" s="16" t="n"/>
      <c r="U3173" s="16" t="n"/>
      <c r="V3173" s="16" t="n"/>
      <c r="W3173" s="16" t="n"/>
      <c r="X3173" s="16" t="n"/>
      <c r="Y3173" s="16" t="n"/>
      <c r="Z3173" s="16" t="n">
        <v>8.033674818280909</v>
      </c>
      <c r="AA3173" s="16" t="n"/>
      <c r="AB3173" s="16" t="n"/>
      <c r="AC3173" s="16" t="n"/>
      <c r="AD3173" s="16" t="n"/>
      <c r="AE3173" s="16" t="n"/>
    </row>
    <row r="3174">
      <c r="A3174" s="16" t="inlineStr">
        <is>
          <t>KF-M06-SUB-0091</t>
        </is>
      </c>
      <c r="B3174" s="16" t="inlineStr">
        <is>
          <t>6.1</t>
        </is>
      </c>
      <c r="C3174" s="16" t="inlineStr">
        <is>
          <t>6.1c</t>
        </is>
      </c>
      <c r="D3174" s="16" t="inlineStr">
        <is>
          <t>costo de exigir subenfriamiento</t>
        </is>
      </c>
      <c r="E3174" s="16" t="inlineStr">
        <is>
          <t>KF-M06</t>
        </is>
      </c>
      <c r="F3174" s="16" t="inlineStr">
        <is>
          <t>KF-M06-SUB</t>
        </is>
      </c>
      <c r="G3174" s="16" t="inlineStr">
        <is>
          <t>B12</t>
        </is>
      </c>
      <c r="H3174" s="16" t="inlineStr">
        <is>
          <t>busqueda</t>
        </is>
      </c>
      <c r="I3174" s="16" t="inlineStr">
        <is>
          <t>KALINA</t>
        </is>
      </c>
      <c r="J3174" s="16" t="inlineStr">
        <is>
          <t>KALINA</t>
        </is>
      </c>
      <c r="K3174" s="16" t="b">
        <v>1</v>
      </c>
      <c r="L3174" s="16" t="b">
        <v>1</v>
      </c>
      <c r="M3174" s="16" t="n"/>
      <c r="N3174" s="16" t="b">
        <v>0</v>
      </c>
      <c r="O3174" s="16" t="n"/>
      <c r="P3174" s="16" t="n"/>
      <c r="Q3174" s="16" t="n"/>
      <c r="R3174" s="16" t="n">
        <v>750</v>
      </c>
      <c r="S3174" s="16" t="n"/>
      <c r="T3174" s="16" t="n"/>
      <c r="U3174" s="16" t="n"/>
      <c r="V3174" s="16" t="n"/>
      <c r="W3174" s="16" t="n"/>
      <c r="X3174" s="16" t="n"/>
      <c r="Y3174" s="16" t="n"/>
      <c r="Z3174" s="16" t="n">
        <v>10.98075142927483</v>
      </c>
      <c r="AA3174" s="16" t="n"/>
      <c r="AB3174" s="16" t="n"/>
      <c r="AC3174" s="16" t="n"/>
      <c r="AD3174" s="16" t="n"/>
      <c r="AE3174" s="16" t="n"/>
    </row>
    <row r="3175">
      <c r="A3175" s="16" t="inlineStr">
        <is>
          <t>KF-M06-SUB-0092</t>
        </is>
      </c>
      <c r="B3175" s="16" t="inlineStr">
        <is>
          <t>6.1</t>
        </is>
      </c>
      <c r="C3175" s="16" t="inlineStr">
        <is>
          <t>6.1c</t>
        </is>
      </c>
      <c r="D3175" s="16" t="inlineStr">
        <is>
          <t>costo de exigir subenfriamiento</t>
        </is>
      </c>
      <c r="E3175" s="16" t="inlineStr">
        <is>
          <t>KF-M06</t>
        </is>
      </c>
      <c r="F3175" s="16" t="inlineStr">
        <is>
          <t>KF-M06-SUB</t>
        </is>
      </c>
      <c r="G3175" s="16" t="inlineStr">
        <is>
          <t>B12</t>
        </is>
      </c>
      <c r="H3175" s="16" t="inlineStr">
        <is>
          <t>busqueda</t>
        </is>
      </c>
      <c r="I3175" s="16" t="inlineStr">
        <is>
          <t>KALINA</t>
        </is>
      </c>
      <c r="J3175" s="16" t="inlineStr">
        <is>
          <t>KALINA</t>
        </is>
      </c>
      <c r="K3175" s="16" t="b">
        <v>1</v>
      </c>
      <c r="L3175" s="16" t="b">
        <v>1</v>
      </c>
      <c r="M3175" s="16" t="n"/>
      <c r="N3175" s="16" t="b">
        <v>0</v>
      </c>
      <c r="O3175" s="16" t="n"/>
      <c r="P3175" s="16" t="n"/>
      <c r="Q3175" s="16" t="n"/>
      <c r="R3175" s="16" t="n">
        <v>575</v>
      </c>
      <c r="S3175" s="16" t="n"/>
      <c r="T3175" s="16" t="n"/>
      <c r="U3175" s="16" t="n"/>
      <c r="V3175" s="16" t="n"/>
      <c r="W3175" s="16" t="n"/>
      <c r="X3175" s="16" t="n"/>
      <c r="Y3175" s="16" t="n"/>
      <c r="Z3175" s="16" t="n">
        <v>12.9680666419188</v>
      </c>
      <c r="AA3175" s="16" t="n"/>
      <c r="AB3175" s="16" t="n"/>
      <c r="AC3175" s="16" t="n"/>
      <c r="AD3175" s="16" t="n"/>
      <c r="AE3175" s="16" t="n"/>
    </row>
    <row r="3176">
      <c r="A3176" s="16" t="inlineStr">
        <is>
          <t>KF-M06-SUB-0093</t>
        </is>
      </c>
      <c r="B3176" s="16" t="inlineStr">
        <is>
          <t>6.1</t>
        </is>
      </c>
      <c r="C3176" s="16" t="inlineStr">
        <is>
          <t>6.1c</t>
        </is>
      </c>
      <c r="D3176" s="16" t="inlineStr">
        <is>
          <t>costo de exigir subenfriamiento</t>
        </is>
      </c>
      <c r="E3176" s="16" t="inlineStr">
        <is>
          <t>KF-M06</t>
        </is>
      </c>
      <c r="F3176" s="16" t="inlineStr">
        <is>
          <t>KF-M06-SUB</t>
        </is>
      </c>
      <c r="G3176" s="16" t="inlineStr">
        <is>
          <t>B12</t>
        </is>
      </c>
      <c r="H3176" s="16" t="inlineStr">
        <is>
          <t>busqueda</t>
        </is>
      </c>
      <c r="I3176" s="16" t="inlineStr">
        <is>
          <t>KALINA</t>
        </is>
      </c>
      <c r="J3176" s="16" t="inlineStr">
        <is>
          <t>KALINA</t>
        </is>
      </c>
      <c r="K3176" s="16" t="b">
        <v>1</v>
      </c>
      <c r="L3176" s="16" t="b">
        <v>1</v>
      </c>
      <c r="M3176" s="16" t="n"/>
      <c r="N3176" s="16" t="b">
        <v>0</v>
      </c>
      <c r="O3176" s="16" t="n"/>
      <c r="P3176" s="16" t="n"/>
      <c r="Q3176" s="16" t="n"/>
      <c r="R3176" s="16" t="n">
        <v>487.5</v>
      </c>
      <c r="S3176" s="16" t="n"/>
      <c r="T3176" s="16" t="n"/>
      <c r="U3176" s="16" t="n"/>
      <c r="V3176" s="16" t="n"/>
      <c r="W3176" s="16" t="n"/>
      <c r="X3176" s="16" t="n"/>
      <c r="Y3176" s="16" t="n"/>
      <c r="Z3176" s="16" t="n">
        <v>14.17728148132167</v>
      </c>
      <c r="AA3176" s="16" t="n"/>
      <c r="AB3176" s="16" t="n"/>
      <c r="AC3176" s="16" t="n"/>
      <c r="AD3176" s="16" t="n"/>
      <c r="AE3176" s="16" t="n"/>
    </row>
    <row r="3177">
      <c r="A3177" s="16" t="inlineStr">
        <is>
          <t>KF-M06-SUB-0094</t>
        </is>
      </c>
      <c r="B3177" s="16" t="inlineStr">
        <is>
          <t>6.1</t>
        </is>
      </c>
      <c r="C3177" s="16" t="inlineStr">
        <is>
          <t>6.1c</t>
        </is>
      </c>
      <c r="D3177" s="16" t="inlineStr">
        <is>
          <t>costo de exigir subenfriamiento</t>
        </is>
      </c>
      <c r="E3177" s="16" t="inlineStr">
        <is>
          <t>KF-M06</t>
        </is>
      </c>
      <c r="F3177" s="16" t="inlineStr">
        <is>
          <t>KF-M06-SUB</t>
        </is>
      </c>
      <c r="G3177" s="16" t="inlineStr">
        <is>
          <t>B12</t>
        </is>
      </c>
      <c r="H3177" s="16" t="inlineStr">
        <is>
          <t>busqueda</t>
        </is>
      </c>
      <c r="I3177" s="16" t="inlineStr">
        <is>
          <t>KALINA</t>
        </is>
      </c>
      <c r="J3177" s="16" t="inlineStr">
        <is>
          <t>KALINA</t>
        </is>
      </c>
      <c r="K3177" s="16" t="b">
        <v>1</v>
      </c>
      <c r="L3177" s="16" t="b">
        <v>1</v>
      </c>
      <c r="M3177" s="16" t="n"/>
      <c r="N3177" s="16" t="b">
        <v>0</v>
      </c>
      <c r="O3177" s="16" t="n"/>
      <c r="P3177" s="16" t="n"/>
      <c r="Q3177" s="16" t="n"/>
      <c r="R3177" s="16" t="n">
        <v>443.75</v>
      </c>
      <c r="S3177" s="16" t="n"/>
      <c r="T3177" s="16" t="n"/>
      <c r="U3177" s="16" t="n"/>
      <c r="V3177" s="16" t="n"/>
      <c r="W3177" s="16" t="n"/>
      <c r="X3177" s="16" t="n"/>
      <c r="Y3177" s="16" t="n"/>
      <c r="Z3177" s="16" t="n">
        <v>14.85702703809282</v>
      </c>
      <c r="AA3177" s="16" t="n"/>
      <c r="AB3177" s="16" t="n"/>
      <c r="AC3177" s="16" t="n"/>
      <c r="AD3177" s="16" t="n"/>
      <c r="AE3177" s="16" t="n"/>
    </row>
    <row r="3178">
      <c r="A3178" s="16" t="inlineStr">
        <is>
          <t>KF-M06-SUB-0095</t>
        </is>
      </c>
      <c r="B3178" s="16" t="inlineStr">
        <is>
          <t>6.1</t>
        </is>
      </c>
      <c r="C3178" s="16" t="inlineStr">
        <is>
          <t>6.1c</t>
        </is>
      </c>
      <c r="D3178" s="16" t="inlineStr">
        <is>
          <t>costo de exigir subenfriamiento</t>
        </is>
      </c>
      <c r="E3178" s="16" t="inlineStr">
        <is>
          <t>KF-M06</t>
        </is>
      </c>
      <c r="F3178" s="16" t="inlineStr">
        <is>
          <t>KF-M06-SUB</t>
        </is>
      </c>
      <c r="G3178" s="16" t="inlineStr">
        <is>
          <t>B12</t>
        </is>
      </c>
      <c r="H3178" s="16" t="inlineStr">
        <is>
          <t>busqueda</t>
        </is>
      </c>
      <c r="I3178" s="16" t="inlineStr">
        <is>
          <t>KALINA</t>
        </is>
      </c>
      <c r="J3178" s="16" t="inlineStr">
        <is>
          <t>KALINA</t>
        </is>
      </c>
      <c r="K3178" s="16" t="b">
        <v>1</v>
      </c>
      <c r="L3178" s="16" t="b">
        <v>1</v>
      </c>
      <c r="M3178" s="16" t="n"/>
      <c r="N3178" s="16" t="b">
        <v>0</v>
      </c>
      <c r="O3178" s="16" t="n"/>
      <c r="P3178" s="16" t="n"/>
      <c r="Q3178" s="16" t="n"/>
      <c r="R3178" s="16" t="n">
        <v>465.625</v>
      </c>
      <c r="S3178" s="16" t="n"/>
      <c r="T3178" s="16" t="n"/>
      <c r="U3178" s="16" t="n"/>
      <c r="V3178" s="16" t="n"/>
      <c r="W3178" s="16" t="n"/>
      <c r="X3178" s="16" t="n"/>
      <c r="Y3178" s="16" t="n"/>
      <c r="Z3178" s="16" t="n">
        <v>14.50999401900066</v>
      </c>
      <c r="AA3178" s="16" t="n"/>
      <c r="AB3178" s="16" t="n"/>
      <c r="AC3178" s="16" t="n"/>
      <c r="AD3178" s="16" t="n"/>
      <c r="AE3178" s="16" t="n"/>
    </row>
    <row r="3179">
      <c r="A3179" s="16" t="inlineStr">
        <is>
          <t>KF-M06-SUB-0096</t>
        </is>
      </c>
      <c r="B3179" s="16" t="inlineStr">
        <is>
          <t>6.1</t>
        </is>
      </c>
      <c r="C3179" s="16" t="inlineStr">
        <is>
          <t>6.1c</t>
        </is>
      </c>
      <c r="D3179" s="16" t="inlineStr">
        <is>
          <t>costo de exigir subenfriamiento</t>
        </is>
      </c>
      <c r="E3179" s="16" t="inlineStr">
        <is>
          <t>KF-M06</t>
        </is>
      </c>
      <c r="F3179" s="16" t="inlineStr">
        <is>
          <t>KF-M06-SUB</t>
        </is>
      </c>
      <c r="G3179" s="16" t="inlineStr">
        <is>
          <t>B12</t>
        </is>
      </c>
      <c r="H3179" s="16" t="inlineStr">
        <is>
          <t>busqueda</t>
        </is>
      </c>
      <c r="I3179" s="16" t="inlineStr">
        <is>
          <t>KALINA</t>
        </is>
      </c>
      <c r="J3179" s="16" t="inlineStr">
        <is>
          <t>KALINA</t>
        </is>
      </c>
      <c r="K3179" s="16" t="b">
        <v>1</v>
      </c>
      <c r="L3179" s="16" t="b">
        <v>1</v>
      </c>
      <c r="M3179" s="16" t="n"/>
      <c r="N3179" s="16" t="b">
        <v>0</v>
      </c>
      <c r="O3179" s="16" t="n"/>
      <c r="P3179" s="16" t="n"/>
      <c r="Q3179" s="16" t="n"/>
      <c r="R3179" s="16" t="n">
        <v>476.5625</v>
      </c>
      <c r="S3179" s="16" t="n"/>
      <c r="T3179" s="16" t="n"/>
      <c r="U3179" s="16" t="n"/>
      <c r="V3179" s="16" t="n"/>
      <c r="W3179" s="16" t="n"/>
      <c r="X3179" s="16" t="n"/>
      <c r="Y3179" s="16" t="n"/>
      <c r="Z3179" s="16" t="n">
        <v>14.34192501287697</v>
      </c>
      <c r="AA3179" s="16" t="n"/>
      <c r="AB3179" s="16" t="n"/>
      <c r="AC3179" s="16" t="n"/>
      <c r="AD3179" s="16" t="n"/>
      <c r="AE3179" s="16" t="n"/>
    </row>
    <row r="3180">
      <c r="A3180" s="16" t="inlineStr">
        <is>
          <t>KF-M06-SUB-0097</t>
        </is>
      </c>
      <c r="B3180" s="16" t="inlineStr">
        <is>
          <t>6.1</t>
        </is>
      </c>
      <c r="C3180" s="16" t="inlineStr">
        <is>
          <t>6.1c</t>
        </is>
      </c>
      <c r="D3180" s="16" t="inlineStr">
        <is>
          <t>costo de exigir subenfriamiento</t>
        </is>
      </c>
      <c r="E3180" s="16" t="inlineStr">
        <is>
          <t>KF-M06</t>
        </is>
      </c>
      <c r="F3180" s="16" t="inlineStr">
        <is>
          <t>KF-M06-SUB</t>
        </is>
      </c>
      <c r="G3180" s="16" t="inlineStr">
        <is>
          <t>B12</t>
        </is>
      </c>
      <c r="H3180" s="16" t="inlineStr">
        <is>
          <t>busqueda</t>
        </is>
      </c>
      <c r="I3180" s="16" t="inlineStr">
        <is>
          <t>KALINA</t>
        </is>
      </c>
      <c r="J3180" s="16" t="inlineStr">
        <is>
          <t>KALINA</t>
        </is>
      </c>
      <c r="K3180" s="16" t="b">
        <v>1</v>
      </c>
      <c r="L3180" s="16" t="b">
        <v>1</v>
      </c>
      <c r="M3180" s="16" t="n"/>
      <c r="N3180" s="16" t="b">
        <v>0</v>
      </c>
      <c r="O3180" s="16" t="n"/>
      <c r="P3180" s="16" t="n"/>
      <c r="Q3180" s="16" t="n"/>
      <c r="R3180" s="16" t="n">
        <v>471.09375</v>
      </c>
      <c r="S3180" s="16" t="n"/>
      <c r="T3180" s="16" t="n"/>
      <c r="U3180" s="16" t="n"/>
      <c r="V3180" s="16" t="n"/>
      <c r="W3180" s="16" t="n"/>
      <c r="X3180" s="16" t="n"/>
      <c r="Y3180" s="16" t="n"/>
      <c r="Z3180" s="16" t="n">
        <v>14.42552206885472</v>
      </c>
      <c r="AA3180" s="16" t="n"/>
      <c r="AB3180" s="16" t="n"/>
      <c r="AC3180" s="16" t="n"/>
      <c r="AD3180" s="16" t="n"/>
      <c r="AE3180" s="16" t="n"/>
    </row>
    <row r="3181">
      <c r="A3181" s="16" t="inlineStr">
        <is>
          <t>KF-M06-SUB-0098</t>
        </is>
      </c>
      <c r="B3181" s="16" t="inlineStr">
        <is>
          <t>6.1</t>
        </is>
      </c>
      <c r="C3181" s="16" t="inlineStr">
        <is>
          <t>6.1c</t>
        </is>
      </c>
      <c r="D3181" s="16" t="inlineStr">
        <is>
          <t>costo de exigir subenfriamiento</t>
        </is>
      </c>
      <c r="E3181" s="16" t="inlineStr">
        <is>
          <t>KF-M06</t>
        </is>
      </c>
      <c r="F3181" s="16" t="inlineStr">
        <is>
          <t>KF-M06-SUB</t>
        </is>
      </c>
      <c r="G3181" s="16" t="inlineStr">
        <is>
          <t>B12</t>
        </is>
      </c>
      <c r="H3181" s="16" t="inlineStr">
        <is>
          <t>busqueda</t>
        </is>
      </c>
      <c r="I3181" s="16" t="inlineStr">
        <is>
          <t>KALINA</t>
        </is>
      </c>
      <c r="J3181" s="16" t="inlineStr">
        <is>
          <t>KALINA</t>
        </is>
      </c>
      <c r="K3181" s="16" t="b">
        <v>1</v>
      </c>
      <c r="L3181" s="16" t="b">
        <v>1</v>
      </c>
      <c r="M3181" s="16" t="n"/>
      <c r="N3181" s="16" t="b">
        <v>0</v>
      </c>
      <c r="O3181" s="16" t="n"/>
      <c r="P3181" s="16" t="n"/>
      <c r="Q3181" s="16" t="n"/>
      <c r="R3181" s="16" t="n">
        <v>468.359375</v>
      </c>
      <c r="S3181" s="16" t="n"/>
      <c r="T3181" s="16" t="n"/>
      <c r="U3181" s="16" t="n"/>
      <c r="V3181" s="16" t="n"/>
      <c r="W3181" s="16" t="n"/>
      <c r="X3181" s="16" t="n"/>
      <c r="Y3181" s="16" t="n"/>
      <c r="Z3181" s="16" t="n">
        <v>14.46764749049818</v>
      </c>
      <c r="AA3181" s="16" t="n"/>
      <c r="AB3181" s="16" t="n"/>
      <c r="AC3181" s="16" t="n"/>
      <c r="AD3181" s="16" t="n"/>
      <c r="AE3181" s="16" t="n"/>
    </row>
    <row r="3182">
      <c r="A3182" s="16" t="inlineStr">
        <is>
          <t>KF-M06-SUB-0099</t>
        </is>
      </c>
      <c r="B3182" s="16" t="inlineStr">
        <is>
          <t>6.1</t>
        </is>
      </c>
      <c r="C3182" s="16" t="inlineStr">
        <is>
          <t>6.1c</t>
        </is>
      </c>
      <c r="D3182" s="16" t="inlineStr">
        <is>
          <t>costo de exigir subenfriamiento</t>
        </is>
      </c>
      <c r="E3182" s="16" t="inlineStr">
        <is>
          <t>KF-M06</t>
        </is>
      </c>
      <c r="F3182" s="16" t="inlineStr">
        <is>
          <t>KF-M06-SUB</t>
        </is>
      </c>
      <c r="G3182" s="16" t="inlineStr">
        <is>
          <t>B12</t>
        </is>
      </c>
      <c r="H3182" s="16" t="inlineStr">
        <is>
          <t>busqueda</t>
        </is>
      </c>
      <c r="I3182" s="16" t="inlineStr">
        <is>
          <t>KALINA</t>
        </is>
      </c>
      <c r="J3182" s="16" t="inlineStr">
        <is>
          <t>KALINA</t>
        </is>
      </c>
      <c r="K3182" s="16" t="b">
        <v>1</v>
      </c>
      <c r="L3182" s="16" t="b">
        <v>1</v>
      </c>
      <c r="M3182" s="16" t="n"/>
      <c r="N3182" s="16" t="b">
        <v>0</v>
      </c>
      <c r="O3182" s="16" t="n"/>
      <c r="P3182" s="16" t="n"/>
      <c r="Q3182" s="16" t="n"/>
      <c r="R3182" s="16" t="n">
        <v>400</v>
      </c>
      <c r="S3182" s="16" t="n"/>
      <c r="T3182" s="16" t="n"/>
      <c r="U3182" s="16" t="n"/>
      <c r="V3182" s="16" t="n"/>
      <c r="W3182" s="16" t="n"/>
      <c r="X3182" s="16" t="n"/>
      <c r="Y3182" s="16" t="n"/>
      <c r="Z3182" s="16" t="n">
        <v>15.59965738845141</v>
      </c>
      <c r="AA3182" s="16" t="n"/>
      <c r="AB3182" s="16" t="n"/>
      <c r="AC3182" s="16" t="n"/>
      <c r="AD3182" s="16" t="n"/>
      <c r="AE3182" s="16" t="n"/>
    </row>
    <row r="3183">
      <c r="A3183" s="16" t="inlineStr">
        <is>
          <t>KF-M06-SUB-0100</t>
        </is>
      </c>
      <c r="B3183" s="16" t="inlineStr">
        <is>
          <t>6.1</t>
        </is>
      </c>
      <c r="C3183" s="16" t="inlineStr">
        <is>
          <t>6.1c</t>
        </is>
      </c>
      <c r="D3183" s="16" t="inlineStr">
        <is>
          <t>costo de exigir subenfriamiento</t>
        </is>
      </c>
      <c r="E3183" s="16" t="inlineStr">
        <is>
          <t>KF-M06</t>
        </is>
      </c>
      <c r="F3183" s="16" t="inlineStr">
        <is>
          <t>KF-M06-SUB</t>
        </is>
      </c>
      <c r="G3183" s="16" t="inlineStr">
        <is>
          <t>B12</t>
        </is>
      </c>
      <c r="H3183" s="16" t="inlineStr">
        <is>
          <t>busqueda</t>
        </is>
      </c>
      <c r="I3183" s="16" t="inlineStr">
        <is>
          <t>KALINA</t>
        </is>
      </c>
      <c r="J3183" s="16" t="inlineStr">
        <is>
          <t>KALINA</t>
        </is>
      </c>
      <c r="K3183" s="16" t="b">
        <v>1</v>
      </c>
      <c r="L3183" s="16" t="b">
        <v>1</v>
      </c>
      <c r="M3183" s="16" t="n"/>
      <c r="N3183" s="16" t="b">
        <v>0</v>
      </c>
      <c r="O3183" s="16" t="n"/>
      <c r="P3183" s="16" t="n"/>
      <c r="Q3183" s="16" t="n"/>
      <c r="R3183" s="16" t="n">
        <v>1800</v>
      </c>
      <c r="S3183" s="16" t="n"/>
      <c r="T3183" s="16" t="n"/>
      <c r="U3183" s="16" t="n"/>
      <c r="V3183" s="16" t="n"/>
      <c r="W3183" s="16" t="n"/>
      <c r="X3183" s="16" t="n"/>
      <c r="Y3183" s="16" t="n"/>
      <c r="Z3183" s="16" t="n">
        <v>4.12685258706108</v>
      </c>
      <c r="AA3183" s="16" t="n"/>
      <c r="AB3183" s="16" t="n"/>
      <c r="AC3183" s="16" t="n"/>
      <c r="AD3183" s="16" t="n"/>
      <c r="AE3183" s="16" t="n"/>
    </row>
    <row r="3184">
      <c r="A3184" s="16" t="inlineStr">
        <is>
          <t>KF-M06-SUB-0101</t>
        </is>
      </c>
      <c r="B3184" s="16" t="inlineStr">
        <is>
          <t>6.1</t>
        </is>
      </c>
      <c r="C3184" s="16" t="inlineStr">
        <is>
          <t>6.1c</t>
        </is>
      </c>
      <c r="D3184" s="16" t="inlineStr">
        <is>
          <t>costo de exigir subenfriamiento</t>
        </is>
      </c>
      <c r="E3184" s="16" t="inlineStr">
        <is>
          <t>KF-M06</t>
        </is>
      </c>
      <c r="F3184" s="16" t="inlineStr">
        <is>
          <t>KF-M06-SUB</t>
        </is>
      </c>
      <c r="G3184" s="16" t="inlineStr">
        <is>
          <t>B12</t>
        </is>
      </c>
      <c r="H3184" s="16" t="inlineStr">
        <is>
          <t>busqueda</t>
        </is>
      </c>
      <c r="I3184" s="16" t="inlineStr">
        <is>
          <t>KALINA</t>
        </is>
      </c>
      <c r="J3184" s="16" t="inlineStr">
        <is>
          <t>KALINA</t>
        </is>
      </c>
      <c r="K3184" s="16" t="b">
        <v>1</v>
      </c>
      <c r="L3184" s="16" t="b">
        <v>1</v>
      </c>
      <c r="M3184" s="16" t="n"/>
      <c r="N3184" s="16" t="b">
        <v>0</v>
      </c>
      <c r="O3184" s="16" t="n"/>
      <c r="P3184" s="16" t="n"/>
      <c r="Q3184" s="16" t="n"/>
      <c r="R3184" s="16" t="n">
        <v>1100</v>
      </c>
      <c r="S3184" s="16" t="n"/>
      <c r="T3184" s="16" t="n"/>
      <c r="U3184" s="16" t="n"/>
      <c r="V3184" s="16" t="n"/>
      <c r="W3184" s="16" t="n"/>
      <c r="X3184" s="16" t="n"/>
      <c r="Y3184" s="16" t="n"/>
      <c r="Z3184" s="16" t="n">
        <v>8.033674818280909</v>
      </c>
      <c r="AA3184" s="16" t="n"/>
      <c r="AB3184" s="16" t="n"/>
      <c r="AC3184" s="16" t="n"/>
      <c r="AD3184" s="16" t="n"/>
      <c r="AE3184" s="16" t="n"/>
    </row>
    <row r="3185">
      <c r="A3185" s="16" t="inlineStr">
        <is>
          <t>KF-M06-SUB-0102</t>
        </is>
      </c>
      <c r="B3185" s="16" t="inlineStr">
        <is>
          <t>6.1</t>
        </is>
      </c>
      <c r="C3185" s="16" t="inlineStr">
        <is>
          <t>6.1c</t>
        </is>
      </c>
      <c r="D3185" s="16" t="inlineStr">
        <is>
          <t>costo de exigir subenfriamiento</t>
        </is>
      </c>
      <c r="E3185" s="16" t="inlineStr">
        <is>
          <t>KF-M06</t>
        </is>
      </c>
      <c r="F3185" s="16" t="inlineStr">
        <is>
          <t>KF-M06-SUB</t>
        </is>
      </c>
      <c r="G3185" s="16" t="inlineStr">
        <is>
          <t>B12</t>
        </is>
      </c>
      <c r="H3185" s="16" t="inlineStr">
        <is>
          <t>busqueda</t>
        </is>
      </c>
      <c r="I3185" s="16" t="inlineStr">
        <is>
          <t>KALINA</t>
        </is>
      </c>
      <c r="J3185" s="16" t="inlineStr">
        <is>
          <t>KALINA</t>
        </is>
      </c>
      <c r="K3185" s="16" t="b">
        <v>1</v>
      </c>
      <c r="L3185" s="16" t="b">
        <v>1</v>
      </c>
      <c r="M3185" s="16" t="n"/>
      <c r="N3185" s="16" t="b">
        <v>0</v>
      </c>
      <c r="O3185" s="16" t="n"/>
      <c r="P3185" s="16" t="n"/>
      <c r="Q3185" s="16" t="n"/>
      <c r="R3185" s="16" t="n">
        <v>750</v>
      </c>
      <c r="S3185" s="16" t="n"/>
      <c r="T3185" s="16" t="n"/>
      <c r="U3185" s="16" t="n"/>
      <c r="V3185" s="16" t="n"/>
      <c r="W3185" s="16" t="n"/>
      <c r="X3185" s="16" t="n"/>
      <c r="Y3185" s="16" t="n"/>
      <c r="Z3185" s="16" t="n">
        <v>10.98075142927483</v>
      </c>
      <c r="AA3185" s="16" t="n"/>
      <c r="AB3185" s="16" t="n"/>
      <c r="AC3185" s="16" t="n"/>
      <c r="AD3185" s="16" t="n"/>
      <c r="AE3185" s="16" t="n"/>
    </row>
    <row r="3186">
      <c r="A3186" s="16" t="inlineStr">
        <is>
          <t>KF-M06-SUB-0103</t>
        </is>
      </c>
      <c r="B3186" s="16" t="inlineStr">
        <is>
          <t>6.1</t>
        </is>
      </c>
      <c r="C3186" s="16" t="inlineStr">
        <is>
          <t>6.1c</t>
        </is>
      </c>
      <c r="D3186" s="16" t="inlineStr">
        <is>
          <t>costo de exigir subenfriamiento</t>
        </is>
      </c>
      <c r="E3186" s="16" t="inlineStr">
        <is>
          <t>KF-M06</t>
        </is>
      </c>
      <c r="F3186" s="16" t="inlineStr">
        <is>
          <t>KF-M06-SUB</t>
        </is>
      </c>
      <c r="G3186" s="16" t="inlineStr">
        <is>
          <t>B12</t>
        </is>
      </c>
      <c r="H3186" s="16" t="inlineStr">
        <is>
          <t>busqueda</t>
        </is>
      </c>
      <c r="I3186" s="16" t="inlineStr">
        <is>
          <t>KALINA</t>
        </is>
      </c>
      <c r="J3186" s="16" t="inlineStr">
        <is>
          <t>KALINA</t>
        </is>
      </c>
      <c r="K3186" s="16" t="b">
        <v>1</v>
      </c>
      <c r="L3186" s="16" t="b">
        <v>1</v>
      </c>
      <c r="M3186" s="16" t="n"/>
      <c r="N3186" s="16" t="b">
        <v>0</v>
      </c>
      <c r="O3186" s="16" t="n"/>
      <c r="P3186" s="16" t="n"/>
      <c r="Q3186" s="16" t="n"/>
      <c r="R3186" s="16" t="n">
        <v>575</v>
      </c>
      <c r="S3186" s="16" t="n"/>
      <c r="T3186" s="16" t="n"/>
      <c r="U3186" s="16" t="n"/>
      <c r="V3186" s="16" t="n"/>
      <c r="W3186" s="16" t="n"/>
      <c r="X3186" s="16" t="n"/>
      <c r="Y3186" s="16" t="n"/>
      <c r="Z3186" s="16" t="n">
        <v>12.9680666419188</v>
      </c>
      <c r="AA3186" s="16" t="n"/>
      <c r="AB3186" s="16" t="n"/>
      <c r="AC3186" s="16" t="n"/>
      <c r="AD3186" s="16" t="n"/>
      <c r="AE3186" s="16" t="n"/>
    </row>
    <row r="3187">
      <c r="A3187" s="16" t="inlineStr">
        <is>
          <t>KF-M06-SUB-0104</t>
        </is>
      </c>
      <c r="B3187" s="16" t="inlineStr">
        <is>
          <t>6.1</t>
        </is>
      </c>
      <c r="C3187" s="16" t="inlineStr">
        <is>
          <t>6.1c</t>
        </is>
      </c>
      <c r="D3187" s="16" t="inlineStr">
        <is>
          <t>costo de exigir subenfriamiento</t>
        </is>
      </c>
      <c r="E3187" s="16" t="inlineStr">
        <is>
          <t>KF-M06</t>
        </is>
      </c>
      <c r="F3187" s="16" t="inlineStr">
        <is>
          <t>KF-M06-SUB</t>
        </is>
      </c>
      <c r="G3187" s="16" t="inlineStr">
        <is>
          <t>B12</t>
        </is>
      </c>
      <c r="H3187" s="16" t="inlineStr">
        <is>
          <t>busqueda</t>
        </is>
      </c>
      <c r="I3187" s="16" t="inlineStr">
        <is>
          <t>KALINA</t>
        </is>
      </c>
      <c r="J3187" s="16" t="inlineStr">
        <is>
          <t>KALINA</t>
        </is>
      </c>
      <c r="K3187" s="16" t="b">
        <v>1</v>
      </c>
      <c r="L3187" s="16" t="b">
        <v>1</v>
      </c>
      <c r="M3187" s="16" t="n"/>
      <c r="N3187" s="16" t="b">
        <v>0</v>
      </c>
      <c r="O3187" s="16" t="n"/>
      <c r="P3187" s="16" t="n"/>
      <c r="Q3187" s="16" t="n"/>
      <c r="R3187" s="16" t="n">
        <v>487.5</v>
      </c>
      <c r="S3187" s="16" t="n"/>
      <c r="T3187" s="16" t="n"/>
      <c r="U3187" s="16" t="n"/>
      <c r="V3187" s="16" t="n"/>
      <c r="W3187" s="16" t="n"/>
      <c r="X3187" s="16" t="n"/>
      <c r="Y3187" s="16" t="n"/>
      <c r="Z3187" s="16" t="n">
        <v>14.17728148132167</v>
      </c>
      <c r="AA3187" s="16" t="n"/>
      <c r="AB3187" s="16" t="n"/>
      <c r="AC3187" s="16" t="n"/>
      <c r="AD3187" s="16" t="n"/>
      <c r="AE3187" s="16" t="n"/>
    </row>
    <row r="3188">
      <c r="A3188" s="16" t="inlineStr">
        <is>
          <t>KF-M06-SUB-0105</t>
        </is>
      </c>
      <c r="B3188" s="16" t="inlineStr">
        <is>
          <t>6.1</t>
        </is>
      </c>
      <c r="C3188" s="16" t="inlineStr">
        <is>
          <t>6.1c</t>
        </is>
      </c>
      <c r="D3188" s="16" t="inlineStr">
        <is>
          <t>costo de exigir subenfriamiento</t>
        </is>
      </c>
      <c r="E3188" s="16" t="inlineStr">
        <is>
          <t>KF-M06</t>
        </is>
      </c>
      <c r="F3188" s="16" t="inlineStr">
        <is>
          <t>KF-M06-SUB</t>
        </is>
      </c>
      <c r="G3188" s="16" t="inlineStr">
        <is>
          <t>B12</t>
        </is>
      </c>
      <c r="H3188" s="16" t="inlineStr">
        <is>
          <t>busqueda</t>
        </is>
      </c>
      <c r="I3188" s="16" t="inlineStr">
        <is>
          <t>KALINA</t>
        </is>
      </c>
      <c r="J3188" s="16" t="inlineStr">
        <is>
          <t>KALINA</t>
        </is>
      </c>
      <c r="K3188" s="16" t="b">
        <v>1</v>
      </c>
      <c r="L3188" s="16" t="b">
        <v>1</v>
      </c>
      <c r="M3188" s="16" t="n"/>
      <c r="N3188" s="16" t="b">
        <v>0</v>
      </c>
      <c r="O3188" s="16" t="n"/>
      <c r="P3188" s="16" t="n"/>
      <c r="Q3188" s="16" t="n"/>
      <c r="R3188" s="16" t="n">
        <v>443.75</v>
      </c>
      <c r="S3188" s="16" t="n"/>
      <c r="T3188" s="16" t="n"/>
      <c r="U3188" s="16" t="n"/>
      <c r="V3188" s="16" t="n"/>
      <c r="W3188" s="16" t="n"/>
      <c r="X3188" s="16" t="n"/>
      <c r="Y3188" s="16" t="n"/>
      <c r="Z3188" s="16" t="n">
        <v>14.85702703809282</v>
      </c>
      <c r="AA3188" s="16" t="n"/>
      <c r="AB3188" s="16" t="n"/>
      <c r="AC3188" s="16" t="n"/>
      <c r="AD3188" s="16" t="n"/>
      <c r="AE3188" s="16" t="n"/>
    </row>
    <row r="3189">
      <c r="A3189" s="16" t="inlineStr">
        <is>
          <t>KF-M06-SUB-0106</t>
        </is>
      </c>
      <c r="B3189" s="16" t="inlineStr">
        <is>
          <t>6.1</t>
        </is>
      </c>
      <c r="C3189" s="16" t="inlineStr">
        <is>
          <t>6.1c</t>
        </is>
      </c>
      <c r="D3189" s="16" t="inlineStr">
        <is>
          <t>costo de exigir subenfriamiento</t>
        </is>
      </c>
      <c r="E3189" s="16" t="inlineStr">
        <is>
          <t>KF-M06</t>
        </is>
      </c>
      <c r="F3189" s="16" t="inlineStr">
        <is>
          <t>KF-M06-SUB</t>
        </is>
      </c>
      <c r="G3189" s="16" t="inlineStr">
        <is>
          <t>B12</t>
        </is>
      </c>
      <c r="H3189" s="16" t="inlineStr">
        <is>
          <t>busqueda</t>
        </is>
      </c>
      <c r="I3189" s="16" t="inlineStr">
        <is>
          <t>KALINA</t>
        </is>
      </c>
      <c r="J3189" s="16" t="inlineStr">
        <is>
          <t>KALINA</t>
        </is>
      </c>
      <c r="K3189" s="16" t="b">
        <v>1</v>
      </c>
      <c r="L3189" s="16" t="b">
        <v>1</v>
      </c>
      <c r="M3189" s="16" t="n"/>
      <c r="N3189" s="16" t="b">
        <v>0</v>
      </c>
      <c r="O3189" s="16" t="n"/>
      <c r="P3189" s="16" t="n"/>
      <c r="Q3189" s="16" t="n"/>
      <c r="R3189" s="16" t="n">
        <v>421.875</v>
      </c>
      <c r="S3189" s="16" t="n"/>
      <c r="T3189" s="16" t="n"/>
      <c r="U3189" s="16" t="n"/>
      <c r="V3189" s="16" t="n"/>
      <c r="W3189" s="16" t="n"/>
      <c r="X3189" s="16" t="n"/>
      <c r="Y3189" s="16" t="n"/>
      <c r="Z3189" s="16" t="n">
        <v>15.21972990821607</v>
      </c>
      <c r="AA3189" s="16" t="n"/>
      <c r="AB3189" s="16" t="n"/>
      <c r="AC3189" s="16" t="n"/>
      <c r="AD3189" s="16" t="n"/>
      <c r="AE3189" s="16" t="n"/>
    </row>
    <row r="3190">
      <c r="A3190" s="16" t="inlineStr">
        <is>
          <t>KF-M06-SUB-0107</t>
        </is>
      </c>
      <c r="B3190" s="16" t="inlineStr">
        <is>
          <t>6.1</t>
        </is>
      </c>
      <c r="C3190" s="16" t="inlineStr">
        <is>
          <t>6.1c</t>
        </is>
      </c>
      <c r="D3190" s="16" t="inlineStr">
        <is>
          <t>costo de exigir subenfriamiento</t>
        </is>
      </c>
      <c r="E3190" s="16" t="inlineStr">
        <is>
          <t>KF-M06</t>
        </is>
      </c>
      <c r="F3190" s="16" t="inlineStr">
        <is>
          <t>KF-M06-SUB</t>
        </is>
      </c>
      <c r="G3190" s="16" t="inlineStr">
        <is>
          <t>B12</t>
        </is>
      </c>
      <c r="H3190" s="16" t="inlineStr">
        <is>
          <t>busqueda</t>
        </is>
      </c>
      <c r="I3190" s="16" t="inlineStr">
        <is>
          <t>KALINA</t>
        </is>
      </c>
      <c r="J3190" s="16" t="inlineStr">
        <is>
          <t>KALINA</t>
        </is>
      </c>
      <c r="K3190" s="16" t="b">
        <v>1</v>
      </c>
      <c r="L3190" s="16" t="b">
        <v>1</v>
      </c>
      <c r="M3190" s="16" t="n"/>
      <c r="N3190" s="16" t="b">
        <v>0</v>
      </c>
      <c r="O3190" s="16" t="n"/>
      <c r="P3190" s="16" t="n"/>
      <c r="Q3190" s="16" t="n"/>
      <c r="R3190" s="16" t="n">
        <v>432.8125</v>
      </c>
      <c r="S3190" s="16" t="n"/>
      <c r="T3190" s="16" t="n"/>
      <c r="U3190" s="16" t="n"/>
      <c r="V3190" s="16" t="n"/>
      <c r="W3190" s="16" t="n"/>
      <c r="X3190" s="16" t="n"/>
      <c r="Y3190" s="16" t="n"/>
      <c r="Z3190" s="16" t="n">
        <v>15.03632785156308</v>
      </c>
      <c r="AA3190" s="16" t="n"/>
      <c r="AB3190" s="16" t="n"/>
      <c r="AC3190" s="16" t="n"/>
      <c r="AD3190" s="16" t="n"/>
      <c r="AE3190" s="16" t="n"/>
    </row>
    <row r="3191">
      <c r="A3191" s="16" t="inlineStr">
        <is>
          <t>KF-M06-SUB-0108</t>
        </is>
      </c>
      <c r="B3191" s="16" t="inlineStr">
        <is>
          <t>6.1</t>
        </is>
      </c>
      <c r="C3191" s="16" t="inlineStr">
        <is>
          <t>6.1c</t>
        </is>
      </c>
      <c r="D3191" s="16" t="inlineStr">
        <is>
          <t>costo de exigir subenfriamiento</t>
        </is>
      </c>
      <c r="E3191" s="16" t="inlineStr">
        <is>
          <t>KF-M06</t>
        </is>
      </c>
      <c r="F3191" s="16" t="inlineStr">
        <is>
          <t>KF-M06-SUB</t>
        </is>
      </c>
      <c r="G3191" s="16" t="inlineStr">
        <is>
          <t>B12</t>
        </is>
      </c>
      <c r="H3191" s="16" t="inlineStr">
        <is>
          <t>busqueda</t>
        </is>
      </c>
      <c r="I3191" s="16" t="inlineStr">
        <is>
          <t>KALINA</t>
        </is>
      </c>
      <c r="J3191" s="16" t="inlineStr">
        <is>
          <t>KALINA</t>
        </is>
      </c>
      <c r="K3191" s="16" t="b">
        <v>1</v>
      </c>
      <c r="L3191" s="16" t="b">
        <v>1</v>
      </c>
      <c r="M3191" s="16" t="n"/>
      <c r="N3191" s="16" t="b">
        <v>0</v>
      </c>
      <c r="O3191" s="16" t="n"/>
      <c r="P3191" s="16" t="n"/>
      <c r="Q3191" s="16" t="n"/>
      <c r="R3191" s="16" t="n">
        <v>427.34375</v>
      </c>
      <c r="S3191" s="16" t="n"/>
      <c r="T3191" s="16" t="n"/>
      <c r="U3191" s="16" t="n"/>
      <c r="V3191" s="16" t="n"/>
      <c r="W3191" s="16" t="n"/>
      <c r="X3191" s="16" t="n"/>
      <c r="Y3191" s="16" t="n"/>
      <c r="Z3191" s="16" t="n">
        <v>15.1275040059704</v>
      </c>
      <c r="AA3191" s="16" t="n"/>
      <c r="AB3191" s="16" t="n"/>
      <c r="AC3191" s="16" t="n"/>
      <c r="AD3191" s="16" t="n"/>
      <c r="AE3191" s="16" t="n"/>
    </row>
    <row r="3192">
      <c r="A3192" s="16" t="inlineStr">
        <is>
          <t>KF-M06-SUB-0109</t>
        </is>
      </c>
      <c r="B3192" s="16" t="inlineStr">
        <is>
          <t>6.1</t>
        </is>
      </c>
      <c r="C3192" s="16" t="inlineStr">
        <is>
          <t>6.1c</t>
        </is>
      </c>
      <c r="D3192" s="16" t="inlineStr">
        <is>
          <t>costo de exigir subenfriamiento</t>
        </is>
      </c>
      <c r="E3192" s="16" t="inlineStr">
        <is>
          <t>KF-M06</t>
        </is>
      </c>
      <c r="F3192" s="16" t="inlineStr">
        <is>
          <t>KF-M06-SUB</t>
        </is>
      </c>
      <c r="G3192" s="16" t="inlineStr">
        <is>
          <t>B12</t>
        </is>
      </c>
      <c r="H3192" s="16" t="inlineStr">
        <is>
          <t>busqueda</t>
        </is>
      </c>
      <c r="I3192" s="16" t="inlineStr">
        <is>
          <t>KALINA</t>
        </is>
      </c>
      <c r="J3192" s="16" t="inlineStr">
        <is>
          <t>KALINA</t>
        </is>
      </c>
      <c r="K3192" s="16" t="b">
        <v>1</v>
      </c>
      <c r="L3192" s="16" t="b">
        <v>1</v>
      </c>
      <c r="M3192" s="16" t="n"/>
      <c r="N3192" s="16" t="b">
        <v>0</v>
      </c>
      <c r="O3192" s="16" t="n"/>
      <c r="P3192" s="16" t="n"/>
      <c r="Q3192" s="16" t="n"/>
      <c r="R3192" s="16" t="n">
        <v>424.609375</v>
      </c>
      <c r="S3192" s="16" t="n"/>
      <c r="T3192" s="16" t="n"/>
      <c r="U3192" s="16" t="n"/>
      <c r="V3192" s="16" t="n"/>
      <c r="W3192" s="16" t="n"/>
      <c r="X3192" s="16" t="n"/>
      <c r="Y3192" s="16" t="n"/>
      <c r="Z3192" s="16" t="n">
        <v>15.1734841621326</v>
      </c>
      <c r="AA3192" s="16" t="n"/>
      <c r="AB3192" s="16" t="n"/>
      <c r="AC3192" s="16" t="n"/>
      <c r="AD3192" s="16" t="n"/>
      <c r="AE3192" s="16" t="n"/>
    </row>
    <row r="3193">
      <c r="A3193" s="16" t="inlineStr">
        <is>
          <t>KF-M06-SUB-0110</t>
        </is>
      </c>
      <c r="B3193" s="16" t="inlineStr">
        <is>
          <t>6.1</t>
        </is>
      </c>
      <c r="C3193" s="16" t="inlineStr">
        <is>
          <t>6.1c</t>
        </is>
      </c>
      <c r="D3193" s="16" t="inlineStr">
        <is>
          <t>costo de exigir subenfriamiento</t>
        </is>
      </c>
      <c r="E3193" s="16" t="inlineStr">
        <is>
          <t>KF-M06</t>
        </is>
      </c>
      <c r="F3193" s="16" t="inlineStr">
        <is>
          <t>KF-M06-SUB</t>
        </is>
      </c>
      <c r="G3193" s="16" t="inlineStr">
        <is>
          <t>B12</t>
        </is>
      </c>
      <c r="H3193" s="16" t="inlineStr">
        <is>
          <t>busqueda</t>
        </is>
      </c>
      <c r="I3193" s="16" t="inlineStr">
        <is>
          <t>KALINA</t>
        </is>
      </c>
      <c r="J3193" s="16" t="inlineStr">
        <is>
          <t>KALINA</t>
        </is>
      </c>
      <c r="K3193" s="16" t="b">
        <v>1</v>
      </c>
      <c r="L3193" s="16" t="b">
        <v>1</v>
      </c>
      <c r="M3193" s="16" t="n"/>
      <c r="N3193" s="16" t="b">
        <v>0</v>
      </c>
      <c r="O3193" s="16" t="n"/>
      <c r="P3193" s="16" t="n"/>
      <c r="Q3193" s="16" t="n"/>
      <c r="R3193" s="16" t="n">
        <v>393.75</v>
      </c>
      <c r="S3193" s="16" t="n"/>
      <c r="T3193" s="16" t="n"/>
      <c r="U3193" s="16" t="n"/>
      <c r="V3193" s="16" t="n"/>
      <c r="W3193" s="16" t="n"/>
      <c r="X3193" s="16" t="n"/>
      <c r="Y3193" s="16" t="n"/>
      <c r="Z3193" s="16" t="n">
        <v>15.48239750048667</v>
      </c>
      <c r="AA3193" s="16" t="n"/>
      <c r="AB3193" s="16" t="n"/>
      <c r="AC3193" s="16" t="n"/>
      <c r="AD3193" s="16" t="n"/>
      <c r="AE3193" s="16" t="n"/>
    </row>
    <row r="3194">
      <c r="A3194" s="16" t="inlineStr">
        <is>
          <t>KF-M06-SUB-0111</t>
        </is>
      </c>
      <c r="B3194" s="16" t="inlineStr">
        <is>
          <t>6.1</t>
        </is>
      </c>
      <c r="C3194" s="16" t="inlineStr">
        <is>
          <t>6.1c</t>
        </is>
      </c>
      <c r="D3194" s="16" t="inlineStr">
        <is>
          <t>costo de exigir subenfriamiento</t>
        </is>
      </c>
      <c r="E3194" s="16" t="inlineStr">
        <is>
          <t>KF-M06</t>
        </is>
      </c>
      <c r="F3194" s="16" t="inlineStr">
        <is>
          <t>KF-M06-SUB</t>
        </is>
      </c>
      <c r="G3194" s="16" t="inlineStr">
        <is>
          <t>B12</t>
        </is>
      </c>
      <c r="H3194" s="16" t="inlineStr">
        <is>
          <t>busqueda</t>
        </is>
      </c>
      <c r="I3194" s="16" t="inlineStr">
        <is>
          <t>KALINA</t>
        </is>
      </c>
      <c r="J3194" s="16" t="inlineStr">
        <is>
          <t>KALINA</t>
        </is>
      </c>
      <c r="K3194" s="16" t="b">
        <v>1</v>
      </c>
      <c r="L3194" s="16" t="b">
        <v>1</v>
      </c>
      <c r="M3194" s="16" t="n"/>
      <c r="N3194" s="16" t="b">
        <v>0</v>
      </c>
      <c r="O3194" s="16" t="n"/>
      <c r="P3194" s="16" t="n"/>
      <c r="Q3194" s="16" t="n"/>
      <c r="R3194" s="16" t="n">
        <v>1800</v>
      </c>
      <c r="S3194" s="16" t="n"/>
      <c r="T3194" s="16" t="n"/>
      <c r="U3194" s="16" t="n"/>
      <c r="V3194" s="16" t="n"/>
      <c r="W3194" s="16" t="n"/>
      <c r="X3194" s="16" t="n"/>
      <c r="Y3194" s="16" t="n"/>
      <c r="Z3194" s="16" t="n">
        <v>4.08681946673487</v>
      </c>
      <c r="AA3194" s="16" t="n"/>
      <c r="AB3194" s="16" t="n"/>
      <c r="AC3194" s="16" t="n"/>
      <c r="AD3194" s="16" t="n"/>
      <c r="AE3194" s="16" t="n"/>
    </row>
    <row r="3195">
      <c r="A3195" s="16" t="inlineStr">
        <is>
          <t>KF-M06-SUB-0112</t>
        </is>
      </c>
      <c r="B3195" s="16" t="inlineStr">
        <is>
          <t>6.1</t>
        </is>
      </c>
      <c r="C3195" s="16" t="inlineStr">
        <is>
          <t>6.1c</t>
        </is>
      </c>
      <c r="D3195" s="16" t="inlineStr">
        <is>
          <t>costo de exigir subenfriamiento</t>
        </is>
      </c>
      <c r="E3195" s="16" t="inlineStr">
        <is>
          <t>KF-M06</t>
        </is>
      </c>
      <c r="F3195" s="16" t="inlineStr">
        <is>
          <t>KF-M06-SUB</t>
        </is>
      </c>
      <c r="G3195" s="16" t="inlineStr">
        <is>
          <t>B12</t>
        </is>
      </c>
      <c r="H3195" s="16" t="inlineStr">
        <is>
          <t>busqueda</t>
        </is>
      </c>
      <c r="I3195" s="16" t="inlineStr">
        <is>
          <t>KALINA</t>
        </is>
      </c>
      <c r="J3195" s="16" t="inlineStr">
        <is>
          <t>KALINA</t>
        </is>
      </c>
      <c r="K3195" s="16" t="b">
        <v>1</v>
      </c>
      <c r="L3195" s="16" t="b">
        <v>1</v>
      </c>
      <c r="M3195" s="16" t="n"/>
      <c r="N3195" s="16" t="b">
        <v>0</v>
      </c>
      <c r="O3195" s="16" t="n"/>
      <c r="P3195" s="16" t="n"/>
      <c r="Q3195" s="16" t="n"/>
      <c r="R3195" s="16" t="n">
        <v>1096.875</v>
      </c>
      <c r="S3195" s="16" t="n"/>
      <c r="T3195" s="16" t="n"/>
      <c r="U3195" s="16" t="n"/>
      <c r="V3195" s="16" t="n"/>
      <c r="W3195" s="16" t="n"/>
      <c r="X3195" s="16" t="n"/>
      <c r="Y3195" s="16" t="n"/>
      <c r="Z3195" s="16" t="n">
        <v>7.965360386917069</v>
      </c>
      <c r="AA3195" s="16" t="n"/>
      <c r="AB3195" s="16" t="n"/>
      <c r="AC3195" s="16" t="n"/>
      <c r="AD3195" s="16" t="n"/>
      <c r="AE3195" s="16" t="n"/>
    </row>
    <row r="3196">
      <c r="A3196" s="16" t="inlineStr">
        <is>
          <t>KF-M06-SUB-0113</t>
        </is>
      </c>
      <c r="B3196" s="16" t="inlineStr">
        <is>
          <t>6.1</t>
        </is>
      </c>
      <c r="C3196" s="16" t="inlineStr">
        <is>
          <t>6.1c</t>
        </is>
      </c>
      <c r="D3196" s="16" t="inlineStr">
        <is>
          <t>costo de exigir subenfriamiento</t>
        </is>
      </c>
      <c r="E3196" s="16" t="inlineStr">
        <is>
          <t>KF-M06</t>
        </is>
      </c>
      <c r="F3196" s="16" t="inlineStr">
        <is>
          <t>KF-M06-SUB</t>
        </is>
      </c>
      <c r="G3196" s="16" t="inlineStr">
        <is>
          <t>B12</t>
        </is>
      </c>
      <c r="H3196" s="16" t="inlineStr">
        <is>
          <t>busqueda</t>
        </is>
      </c>
      <c r="I3196" s="16" t="inlineStr">
        <is>
          <t>KALINA</t>
        </is>
      </c>
      <c r="J3196" s="16" t="inlineStr">
        <is>
          <t>KALINA</t>
        </is>
      </c>
      <c r="K3196" s="16" t="b">
        <v>1</v>
      </c>
      <c r="L3196" s="16" t="b">
        <v>1</v>
      </c>
      <c r="M3196" s="16" t="n"/>
      <c r="N3196" s="16" t="b">
        <v>0</v>
      </c>
      <c r="O3196" s="16" t="n"/>
      <c r="P3196" s="16" t="n"/>
      <c r="Q3196" s="16" t="n"/>
      <c r="R3196" s="16" t="n">
        <v>745.3125</v>
      </c>
      <c r="S3196" s="16" t="n"/>
      <c r="T3196" s="16" t="n"/>
      <c r="U3196" s="16" t="n"/>
      <c r="V3196" s="16" t="n"/>
      <c r="W3196" s="16" t="n"/>
      <c r="X3196" s="16" t="n"/>
      <c r="Y3196" s="16" t="n"/>
      <c r="Z3196" s="16" t="n">
        <v>10.89034716384622</v>
      </c>
      <c r="AA3196" s="16" t="n"/>
      <c r="AB3196" s="16" t="n"/>
      <c r="AC3196" s="16" t="n"/>
      <c r="AD3196" s="16" t="n"/>
      <c r="AE3196" s="16" t="n"/>
    </row>
    <row r="3197">
      <c r="A3197" s="16" t="inlineStr">
        <is>
          <t>KF-M06-SUB-0114</t>
        </is>
      </c>
      <c r="B3197" s="16" t="inlineStr">
        <is>
          <t>6.1</t>
        </is>
      </c>
      <c r="C3197" s="16" t="inlineStr">
        <is>
          <t>6.1c</t>
        </is>
      </c>
      <c r="D3197" s="16" t="inlineStr">
        <is>
          <t>costo de exigir subenfriamiento</t>
        </is>
      </c>
      <c r="E3197" s="16" t="inlineStr">
        <is>
          <t>KF-M06</t>
        </is>
      </c>
      <c r="F3197" s="16" t="inlineStr">
        <is>
          <t>KF-M06-SUB</t>
        </is>
      </c>
      <c r="G3197" s="16" t="inlineStr">
        <is>
          <t>B12</t>
        </is>
      </c>
      <c r="H3197" s="16" t="inlineStr">
        <is>
          <t>busqueda</t>
        </is>
      </c>
      <c r="I3197" s="16" t="inlineStr">
        <is>
          <t>KALINA</t>
        </is>
      </c>
      <c r="J3197" s="16" t="inlineStr">
        <is>
          <t>KALINA</t>
        </is>
      </c>
      <c r="K3197" s="16" t="b">
        <v>1</v>
      </c>
      <c r="L3197" s="16" t="b">
        <v>1</v>
      </c>
      <c r="M3197" s="16" t="n"/>
      <c r="N3197" s="16" t="b">
        <v>0</v>
      </c>
      <c r="O3197" s="16" t="n"/>
      <c r="P3197" s="16" t="n"/>
      <c r="Q3197" s="16" t="n"/>
      <c r="R3197" s="16" t="n">
        <v>569.53125</v>
      </c>
      <c r="S3197" s="16" t="n"/>
      <c r="T3197" s="16" t="n"/>
      <c r="U3197" s="16" t="n"/>
      <c r="V3197" s="16" t="n"/>
      <c r="W3197" s="16" t="n"/>
      <c r="X3197" s="16" t="n"/>
      <c r="Y3197" s="16" t="n"/>
      <c r="Z3197" s="16" t="n">
        <v>12.8640736468925</v>
      </c>
      <c r="AA3197" s="16" t="n"/>
      <c r="AB3197" s="16" t="n"/>
      <c r="AC3197" s="16" t="n"/>
      <c r="AD3197" s="16" t="n"/>
      <c r="AE3197" s="16" t="n"/>
    </row>
    <row r="3198">
      <c r="A3198" s="16" t="inlineStr">
        <is>
          <t>KF-M06-SUB-0115</t>
        </is>
      </c>
      <c r="B3198" s="16" t="inlineStr">
        <is>
          <t>6.1</t>
        </is>
      </c>
      <c r="C3198" s="16" t="inlineStr">
        <is>
          <t>6.1c</t>
        </is>
      </c>
      <c r="D3198" s="16" t="inlineStr">
        <is>
          <t>costo de exigir subenfriamiento</t>
        </is>
      </c>
      <c r="E3198" s="16" t="inlineStr">
        <is>
          <t>KF-M06</t>
        </is>
      </c>
      <c r="F3198" s="16" t="inlineStr">
        <is>
          <t>KF-M06-SUB</t>
        </is>
      </c>
      <c r="G3198" s="16" t="inlineStr">
        <is>
          <t>B12</t>
        </is>
      </c>
      <c r="H3198" s="16" t="inlineStr">
        <is>
          <t>busqueda</t>
        </is>
      </c>
      <c r="I3198" s="16" t="inlineStr">
        <is>
          <t>KALINA</t>
        </is>
      </c>
      <c r="J3198" s="16" t="inlineStr">
        <is>
          <t>KALINA</t>
        </is>
      </c>
      <c r="K3198" s="16" t="b">
        <v>1</v>
      </c>
      <c r="L3198" s="16" t="b">
        <v>1</v>
      </c>
      <c r="M3198" s="16" t="n"/>
      <c r="N3198" s="16" t="b">
        <v>0</v>
      </c>
      <c r="O3198" s="16" t="n"/>
      <c r="P3198" s="16" t="n"/>
      <c r="Q3198" s="16" t="n"/>
      <c r="R3198" s="16" t="n">
        <v>481.640625</v>
      </c>
      <c r="S3198" s="16" t="n"/>
      <c r="T3198" s="16" t="n"/>
      <c r="U3198" s="16" t="n"/>
      <c r="V3198" s="16" t="n"/>
      <c r="W3198" s="16" t="n"/>
      <c r="X3198" s="16" t="n"/>
      <c r="Y3198" s="16" t="n"/>
      <c r="Z3198" s="16" t="n">
        <v>14.06628339117953</v>
      </c>
      <c r="AA3198" s="16" t="n"/>
      <c r="AB3198" s="16" t="n"/>
      <c r="AC3198" s="16" t="n"/>
      <c r="AD3198" s="16" t="n"/>
      <c r="AE3198" s="16" t="n"/>
    </row>
    <row r="3199">
      <c r="A3199" s="16" t="inlineStr">
        <is>
          <t>KF-M06-SUB-0116</t>
        </is>
      </c>
      <c r="B3199" s="16" t="inlineStr">
        <is>
          <t>6.1</t>
        </is>
      </c>
      <c r="C3199" s="16" t="inlineStr">
        <is>
          <t>6.1c</t>
        </is>
      </c>
      <c r="D3199" s="16" t="inlineStr">
        <is>
          <t>costo de exigir subenfriamiento</t>
        </is>
      </c>
      <c r="E3199" s="16" t="inlineStr">
        <is>
          <t>KF-M06</t>
        </is>
      </c>
      <c r="F3199" s="16" t="inlineStr">
        <is>
          <t>KF-M06-SUB</t>
        </is>
      </c>
      <c r="G3199" s="16" t="inlineStr">
        <is>
          <t>B12</t>
        </is>
      </c>
      <c r="H3199" s="16" t="inlineStr">
        <is>
          <t>busqueda</t>
        </is>
      </c>
      <c r="I3199" s="16" t="inlineStr">
        <is>
          <t>KALINA</t>
        </is>
      </c>
      <c r="J3199" s="16" t="inlineStr">
        <is>
          <t>KALINA</t>
        </is>
      </c>
      <c r="K3199" s="16" t="b">
        <v>1</v>
      </c>
      <c r="L3199" s="16" t="b">
        <v>1</v>
      </c>
      <c r="M3199" s="16" t="n"/>
      <c r="N3199" s="16" t="b">
        <v>0</v>
      </c>
      <c r="O3199" s="16" t="n"/>
      <c r="P3199" s="16" t="n"/>
      <c r="Q3199" s="16" t="n"/>
      <c r="R3199" s="16" t="n">
        <v>437.6953125</v>
      </c>
      <c r="S3199" s="16" t="n"/>
      <c r="T3199" s="16" t="n"/>
      <c r="U3199" s="16" t="n"/>
      <c r="V3199" s="16" t="n"/>
      <c r="W3199" s="16" t="n"/>
      <c r="X3199" s="16" t="n"/>
      <c r="Y3199" s="16" t="n"/>
      <c r="Z3199" s="16" t="n">
        <v>14.74272871681457</v>
      </c>
      <c r="AA3199" s="16" t="n"/>
      <c r="AB3199" s="16" t="n"/>
      <c r="AC3199" s="16" t="n"/>
      <c r="AD3199" s="16" t="n"/>
      <c r="AE3199" s="16" t="n"/>
    </row>
    <row r="3200">
      <c r="A3200" s="16" t="inlineStr">
        <is>
          <t>KF-M06-SUB-0117</t>
        </is>
      </c>
      <c r="B3200" s="16" t="inlineStr">
        <is>
          <t>6.1</t>
        </is>
      </c>
      <c r="C3200" s="16" t="inlineStr">
        <is>
          <t>6.1c</t>
        </is>
      </c>
      <c r="D3200" s="16" t="inlineStr">
        <is>
          <t>costo de exigir subenfriamiento</t>
        </is>
      </c>
      <c r="E3200" s="16" t="inlineStr">
        <is>
          <t>KF-M06</t>
        </is>
      </c>
      <c r="F3200" s="16" t="inlineStr">
        <is>
          <t>KF-M06-SUB</t>
        </is>
      </c>
      <c r="G3200" s="16" t="inlineStr">
        <is>
          <t>B12</t>
        </is>
      </c>
      <c r="H3200" s="16" t="inlineStr">
        <is>
          <t>busqueda</t>
        </is>
      </c>
      <c r="I3200" s="16" t="inlineStr">
        <is>
          <t>KALINA</t>
        </is>
      </c>
      <c r="J3200" s="16" t="inlineStr">
        <is>
          <t>KALINA</t>
        </is>
      </c>
      <c r="K3200" s="16" t="b">
        <v>1</v>
      </c>
      <c r="L3200" s="16" t="b">
        <v>1</v>
      </c>
      <c r="M3200" s="16" t="n"/>
      <c r="N3200" s="16" t="b">
        <v>0</v>
      </c>
      <c r="O3200" s="16" t="n"/>
      <c r="P3200" s="16" t="n"/>
      <c r="Q3200" s="16" t="n"/>
      <c r="R3200" s="16" t="n">
        <v>415.72265625</v>
      </c>
      <c r="S3200" s="16" t="n"/>
      <c r="T3200" s="16" t="n"/>
      <c r="U3200" s="16" t="n"/>
      <c r="V3200" s="16" t="n"/>
      <c r="W3200" s="16" t="n"/>
      <c r="X3200" s="16" t="n"/>
      <c r="Y3200" s="16" t="n"/>
      <c r="Z3200" s="16" t="n">
        <v>15.10388375892261</v>
      </c>
      <c r="AA3200" s="16" t="n"/>
      <c r="AB3200" s="16" t="n"/>
      <c r="AC3200" s="16" t="n"/>
      <c r="AD3200" s="16" t="n"/>
      <c r="AE3200" s="16" t="n"/>
    </row>
    <row r="3201">
      <c r="A3201" s="16" t="inlineStr">
        <is>
          <t>KF-M06-SUB-0118</t>
        </is>
      </c>
      <c r="B3201" s="16" t="inlineStr">
        <is>
          <t>6.1</t>
        </is>
      </c>
      <c r="C3201" s="16" t="inlineStr">
        <is>
          <t>6.1c</t>
        </is>
      </c>
      <c r="D3201" s="16" t="inlineStr">
        <is>
          <t>costo de exigir subenfriamiento</t>
        </is>
      </c>
      <c r="E3201" s="16" t="inlineStr">
        <is>
          <t>KF-M06</t>
        </is>
      </c>
      <c r="F3201" s="16" t="inlineStr">
        <is>
          <t>KF-M06-SUB</t>
        </is>
      </c>
      <c r="G3201" s="16" t="inlineStr">
        <is>
          <t>B12</t>
        </is>
      </c>
      <c r="H3201" s="16" t="inlineStr">
        <is>
          <t>busqueda</t>
        </is>
      </c>
      <c r="I3201" s="16" t="inlineStr">
        <is>
          <t>KALINA</t>
        </is>
      </c>
      <c r="J3201" s="16" t="inlineStr">
        <is>
          <t>KALINA</t>
        </is>
      </c>
      <c r="K3201" s="16" t="b">
        <v>1</v>
      </c>
      <c r="L3201" s="16" t="b">
        <v>1</v>
      </c>
      <c r="M3201" s="16" t="n"/>
      <c r="N3201" s="16" t="b">
        <v>0</v>
      </c>
      <c r="O3201" s="16" t="n"/>
      <c r="P3201" s="16" t="n"/>
      <c r="Q3201" s="16" t="n"/>
      <c r="R3201" s="16" t="n">
        <v>404.736328125</v>
      </c>
      <c r="S3201" s="16" t="n"/>
      <c r="T3201" s="16" t="n"/>
      <c r="U3201" s="16" t="n"/>
      <c r="V3201" s="16" t="n"/>
      <c r="W3201" s="16" t="n"/>
      <c r="X3201" s="16" t="n"/>
      <c r="Y3201" s="16" t="n"/>
      <c r="Z3201" s="16" t="n">
        <v>15.2908673414482</v>
      </c>
      <c r="AA3201" s="16" t="n"/>
      <c r="AB3201" s="16" t="n"/>
      <c r="AC3201" s="16" t="n"/>
      <c r="AD3201" s="16" t="n"/>
      <c r="AE3201" s="16" t="n"/>
    </row>
    <row r="3202">
      <c r="A3202" s="16" t="inlineStr">
        <is>
          <t>KF-M06-SUB-0119</t>
        </is>
      </c>
      <c r="B3202" s="16" t="inlineStr">
        <is>
          <t>6.1</t>
        </is>
      </c>
      <c r="C3202" s="16" t="inlineStr">
        <is>
          <t>6.1c</t>
        </is>
      </c>
      <c r="D3202" s="16" t="inlineStr">
        <is>
          <t>costo de exigir subenfriamiento</t>
        </is>
      </c>
      <c r="E3202" s="16" t="inlineStr">
        <is>
          <t>KF-M06</t>
        </is>
      </c>
      <c r="F3202" s="16" t="inlineStr">
        <is>
          <t>KF-M06-SUB</t>
        </is>
      </c>
      <c r="G3202" s="16" t="inlineStr">
        <is>
          <t>B12</t>
        </is>
      </c>
      <c r="H3202" s="16" t="inlineStr">
        <is>
          <t>busqueda</t>
        </is>
      </c>
      <c r="I3202" s="16" t="inlineStr">
        <is>
          <t>KALINA</t>
        </is>
      </c>
      <c r="J3202" s="16" t="inlineStr">
        <is>
          <t>KALINA</t>
        </is>
      </c>
      <c r="K3202" s="16" t="b">
        <v>1</v>
      </c>
      <c r="L3202" s="16" t="b">
        <v>1</v>
      </c>
      <c r="M3202" s="16" t="n"/>
      <c r="N3202" s="16" t="b">
        <v>0</v>
      </c>
      <c r="O3202" s="16" t="n"/>
      <c r="P3202" s="16" t="n"/>
      <c r="Q3202" s="16" t="n"/>
      <c r="R3202" s="16" t="n">
        <v>410.2294921875</v>
      </c>
      <c r="S3202" s="16" t="n"/>
      <c r="T3202" s="16" t="n"/>
      <c r="U3202" s="16" t="n"/>
      <c r="V3202" s="16" t="n"/>
      <c r="W3202" s="16" t="n"/>
      <c r="X3202" s="16" t="n"/>
      <c r="Y3202" s="16" t="n"/>
      <c r="Z3202" s="16" t="n">
        <v>15.19682047488179</v>
      </c>
      <c r="AA3202" s="16" t="n"/>
      <c r="AB3202" s="16" t="n"/>
      <c r="AC3202" s="16" t="n"/>
      <c r="AD3202" s="16" t="n"/>
      <c r="AE3202" s="16" t="n"/>
    </row>
    <row r="3203">
      <c r="A3203" s="16" t="inlineStr">
        <is>
          <t>KF-M06-SUB-0120</t>
        </is>
      </c>
      <c r="B3203" s="16" t="inlineStr">
        <is>
          <t>6.1</t>
        </is>
      </c>
      <c r="C3203" s="16" t="inlineStr">
        <is>
          <t>6.1c</t>
        </is>
      </c>
      <c r="D3203" s="16" t="inlineStr">
        <is>
          <t>costo de exigir subenfriamiento</t>
        </is>
      </c>
      <c r="E3203" s="16" t="inlineStr">
        <is>
          <t>KF-M06</t>
        </is>
      </c>
      <c r="F3203" s="16" t="inlineStr">
        <is>
          <t>KF-M06-SUB</t>
        </is>
      </c>
      <c r="G3203" s="16" t="inlineStr">
        <is>
          <t>B12</t>
        </is>
      </c>
      <c r="H3203" s="16" t="inlineStr">
        <is>
          <t>busqueda</t>
        </is>
      </c>
      <c r="I3203" s="16" t="inlineStr">
        <is>
          <t>KALINA</t>
        </is>
      </c>
      <c r="J3203" s="16" t="inlineStr">
        <is>
          <t>KALINA</t>
        </is>
      </c>
      <c r="K3203" s="16" t="b">
        <v>1</v>
      </c>
      <c r="L3203" s="16" t="b">
        <v>1</v>
      </c>
      <c r="M3203" s="16" t="n"/>
      <c r="N3203" s="16" t="b">
        <v>0</v>
      </c>
      <c r="O3203" s="16" t="n"/>
      <c r="P3203" s="16" t="n"/>
      <c r="Q3203" s="16" t="n"/>
      <c r="R3203" s="16" t="n">
        <v>412.97607421875</v>
      </c>
      <c r="S3203" s="16" t="n"/>
      <c r="T3203" s="16" t="n"/>
      <c r="U3203" s="16" t="n"/>
      <c r="V3203" s="16" t="n"/>
      <c r="W3203" s="16" t="n"/>
      <c r="X3203" s="16" t="n"/>
      <c r="Y3203" s="16" t="n"/>
      <c r="Z3203" s="16" t="n">
        <v>15.15021507056964</v>
      </c>
      <c r="AA3203" s="16" t="n"/>
      <c r="AB3203" s="16" t="n"/>
      <c r="AC3203" s="16" t="n"/>
      <c r="AD3203" s="16" t="n"/>
      <c r="AE3203" s="16" t="n"/>
    </row>
    <row r="3204">
      <c r="A3204" s="16" t="inlineStr">
        <is>
          <t>KF-M06-SUB-0121</t>
        </is>
      </c>
      <c r="B3204" s="16" t="inlineStr">
        <is>
          <t>6.1</t>
        </is>
      </c>
      <c r="C3204" s="16" t="inlineStr">
        <is>
          <t>6.1c</t>
        </is>
      </c>
      <c r="D3204" s="16" t="inlineStr">
        <is>
          <t>costo de exigir subenfriamiento</t>
        </is>
      </c>
      <c r="E3204" s="16" t="inlineStr">
        <is>
          <t>KF-M06</t>
        </is>
      </c>
      <c r="F3204" s="16" t="inlineStr">
        <is>
          <t>KF-M06-SUB</t>
        </is>
      </c>
      <c r="G3204" s="16" t="inlineStr">
        <is>
          <t>B12</t>
        </is>
      </c>
      <c r="H3204" s="16" t="inlineStr">
        <is>
          <t>busqueda</t>
        </is>
      </c>
      <c r="I3204" s="16" t="inlineStr">
        <is>
          <t>KALINA</t>
        </is>
      </c>
      <c r="J3204" s="16" t="inlineStr">
        <is>
          <t>KALINA</t>
        </is>
      </c>
      <c r="K3204" s="16" t="b">
        <v>1</v>
      </c>
      <c r="L3204" s="16" t="b">
        <v>1</v>
      </c>
      <c r="M3204" s="16" t="n"/>
      <c r="N3204" s="16" t="b">
        <v>0</v>
      </c>
      <c r="O3204" s="16" t="n"/>
      <c r="P3204" s="16" t="n"/>
      <c r="Q3204" s="16" t="n"/>
      <c r="R3204" s="16" t="n">
        <v>1359.556702008076</v>
      </c>
      <c r="S3204" s="16" t="n"/>
      <c r="T3204" s="16" t="n"/>
      <c r="U3204" s="16" t="n"/>
      <c r="V3204" s="16" t="n"/>
      <c r="W3204" s="16" t="n"/>
      <c r="X3204" s="16" t="n"/>
      <c r="Y3204" s="16" t="n"/>
      <c r="Z3204" s="16" t="n">
        <v>12.73867502186853</v>
      </c>
      <c r="AA3204" s="16" t="n"/>
      <c r="AB3204" s="16" t="n"/>
      <c r="AC3204" s="16" t="n"/>
      <c r="AD3204" s="16" t="n"/>
      <c r="AE3204" s="16" t="n"/>
    </row>
    <row r="3205">
      <c r="A3205" s="16" t="inlineStr">
        <is>
          <t>KF-M06-SUB-0122</t>
        </is>
      </c>
      <c r="B3205" s="16" t="inlineStr">
        <is>
          <t>6.1</t>
        </is>
      </c>
      <c r="C3205" s="16" t="inlineStr">
        <is>
          <t>6.1c</t>
        </is>
      </c>
      <c r="D3205" s="16" t="inlineStr">
        <is>
          <t>costo de exigir subenfriamiento</t>
        </is>
      </c>
      <c r="E3205" s="16" t="inlineStr">
        <is>
          <t>KF-M06</t>
        </is>
      </c>
      <c r="F3205" s="16" t="inlineStr">
        <is>
          <t>KF-M06-SUB</t>
        </is>
      </c>
      <c r="G3205" s="16" t="inlineStr">
        <is>
          <t>B12</t>
        </is>
      </c>
      <c r="H3205" s="16" t="inlineStr">
        <is>
          <t>busqueda</t>
        </is>
      </c>
      <c r="I3205" s="16" t="inlineStr">
        <is>
          <t>KALINA</t>
        </is>
      </c>
      <c r="J3205" s="16" t="inlineStr">
        <is>
          <t>KALINA</t>
        </is>
      </c>
      <c r="K3205" s="16" t="b">
        <v>1</v>
      </c>
      <c r="L3205" s="16" t="b">
        <v>1</v>
      </c>
      <c r="M3205" s="16" t="n"/>
      <c r="N3205" s="16" t="b">
        <v>0</v>
      </c>
      <c r="O3205" s="16" t="n"/>
      <c r="P3205" s="16" t="n"/>
      <c r="Q3205" s="16" t="n"/>
      <c r="R3205" s="16" t="n">
        <v>2500</v>
      </c>
      <c r="S3205" s="16" t="n"/>
      <c r="T3205" s="16" t="n"/>
      <c r="U3205" s="16" t="n"/>
      <c r="V3205" s="16" t="n"/>
      <c r="W3205" s="16" t="n"/>
      <c r="X3205" s="16" t="n"/>
      <c r="Y3205" s="16" t="n"/>
      <c r="Z3205" s="16" t="n">
        <v>6.91183561473907</v>
      </c>
      <c r="AA3205" s="16" t="n"/>
      <c r="AB3205" s="16" t="n"/>
      <c r="AC3205" s="16" t="n"/>
      <c r="AD3205" s="16" t="n"/>
      <c r="AE3205" s="16" t="n"/>
    </row>
    <row r="3206">
      <c r="A3206" s="16" t="inlineStr">
        <is>
          <t>KF-M06-SUB-0123</t>
        </is>
      </c>
      <c r="B3206" s="16" t="inlineStr">
        <is>
          <t>6.1</t>
        </is>
      </c>
      <c r="C3206" s="16" t="inlineStr">
        <is>
          <t>6.1c</t>
        </is>
      </c>
      <c r="D3206" s="16" t="inlineStr">
        <is>
          <t>costo de exigir subenfriamiento</t>
        </is>
      </c>
      <c r="E3206" s="16" t="inlineStr">
        <is>
          <t>KF-M06</t>
        </is>
      </c>
      <c r="F3206" s="16" t="inlineStr">
        <is>
          <t>KF-M06-SUB</t>
        </is>
      </c>
      <c r="G3206" s="16" t="inlineStr">
        <is>
          <t>B12</t>
        </is>
      </c>
      <c r="H3206" s="16" t="inlineStr">
        <is>
          <t>busqueda</t>
        </is>
      </c>
      <c r="I3206" s="16" t="inlineStr">
        <is>
          <t>KALINA</t>
        </is>
      </c>
      <c r="J3206" s="16" t="inlineStr">
        <is>
          <t>KALINA</t>
        </is>
      </c>
      <c r="K3206" s="16" t="b">
        <v>1</v>
      </c>
      <c r="L3206" s="16" t="b">
        <v>1</v>
      </c>
      <c r="M3206" s="16" t="n"/>
      <c r="N3206" s="16" t="b">
        <v>0</v>
      </c>
      <c r="O3206" s="16" t="n"/>
      <c r="P3206" s="16" t="n"/>
      <c r="Q3206" s="16" t="n"/>
      <c r="R3206" s="16" t="n">
        <v>1929.778351004038</v>
      </c>
      <c r="S3206" s="16" t="n"/>
      <c r="T3206" s="16" t="n"/>
      <c r="U3206" s="16" t="n"/>
      <c r="V3206" s="16" t="n"/>
      <c r="W3206" s="16" t="n"/>
      <c r="X3206" s="16" t="n"/>
      <c r="Y3206" s="16" t="n"/>
      <c r="Z3206" s="16" t="n">
        <v>9.42854350543727</v>
      </c>
      <c r="AA3206" s="16" t="n"/>
      <c r="AB3206" s="16" t="n"/>
      <c r="AC3206" s="16" t="n"/>
      <c r="AD3206" s="16" t="n"/>
      <c r="AE3206" s="16" t="n"/>
    </row>
    <row r="3207">
      <c r="A3207" s="16" t="inlineStr">
        <is>
          <t>KF-M06-SUB-0124</t>
        </is>
      </c>
      <c r="B3207" s="16" t="inlineStr">
        <is>
          <t>6.1</t>
        </is>
      </c>
      <c r="C3207" s="16" t="inlineStr">
        <is>
          <t>6.1c</t>
        </is>
      </c>
      <c r="D3207" s="16" t="inlineStr">
        <is>
          <t>costo de exigir subenfriamiento</t>
        </is>
      </c>
      <c r="E3207" s="16" t="inlineStr">
        <is>
          <t>KF-M06</t>
        </is>
      </c>
      <c r="F3207" s="16" t="inlineStr">
        <is>
          <t>KF-M06-SUB</t>
        </is>
      </c>
      <c r="G3207" s="16" t="inlineStr">
        <is>
          <t>B12</t>
        </is>
      </c>
      <c r="H3207" s="16" t="inlineStr">
        <is>
          <t>busqueda</t>
        </is>
      </c>
      <c r="I3207" s="16" t="inlineStr">
        <is>
          <t>KALINA</t>
        </is>
      </c>
      <c r="J3207" s="16" t="inlineStr">
        <is>
          <t>KALINA</t>
        </is>
      </c>
      <c r="K3207" s="16" t="b">
        <v>1</v>
      </c>
      <c r="L3207" s="16" t="b">
        <v>1</v>
      </c>
      <c r="M3207" s="16" t="n"/>
      <c r="N3207" s="16" t="b">
        <v>0</v>
      </c>
      <c r="O3207" s="16" t="n"/>
      <c r="P3207" s="16" t="n"/>
      <c r="Q3207" s="16" t="n"/>
      <c r="R3207" s="16" t="n">
        <v>1644.667526506057</v>
      </c>
      <c r="S3207" s="16" t="n"/>
      <c r="T3207" s="16" t="n"/>
      <c r="U3207" s="16" t="n"/>
      <c r="V3207" s="16" t="n"/>
      <c r="W3207" s="16" t="n"/>
      <c r="X3207" s="16" t="n"/>
      <c r="Y3207" s="16" t="n"/>
      <c r="Z3207" s="16" t="n">
        <v>10.95418079105791</v>
      </c>
      <c r="AA3207" s="16" t="n"/>
      <c r="AB3207" s="16" t="n"/>
      <c r="AC3207" s="16" t="n"/>
      <c r="AD3207" s="16" t="n"/>
      <c r="AE3207" s="16" t="n"/>
    </row>
    <row r="3208">
      <c r="A3208" s="16" t="inlineStr">
        <is>
          <t>KF-M06-SUB-0125</t>
        </is>
      </c>
      <c r="B3208" s="16" t="inlineStr">
        <is>
          <t>6.1</t>
        </is>
      </c>
      <c r="C3208" s="16" t="inlineStr">
        <is>
          <t>6.1c</t>
        </is>
      </c>
      <c r="D3208" s="16" t="inlineStr">
        <is>
          <t>costo de exigir subenfriamiento</t>
        </is>
      </c>
      <c r="E3208" s="16" t="inlineStr">
        <is>
          <t>KF-M06</t>
        </is>
      </c>
      <c r="F3208" s="16" t="inlineStr">
        <is>
          <t>KF-M06-SUB</t>
        </is>
      </c>
      <c r="G3208" s="16" t="inlineStr">
        <is>
          <t>B12</t>
        </is>
      </c>
      <c r="H3208" s="16" t="inlineStr">
        <is>
          <t>busqueda</t>
        </is>
      </c>
      <c r="I3208" s="16" t="inlineStr">
        <is>
          <t>KALINA</t>
        </is>
      </c>
      <c r="J3208" s="16" t="inlineStr">
        <is>
          <t>KALINA</t>
        </is>
      </c>
      <c r="K3208" s="16" t="b">
        <v>1</v>
      </c>
      <c r="L3208" s="16" t="b">
        <v>1</v>
      </c>
      <c r="M3208" s="16" t="n"/>
      <c r="N3208" s="16" t="b">
        <v>0</v>
      </c>
      <c r="O3208" s="16" t="n"/>
      <c r="P3208" s="16" t="n"/>
      <c r="Q3208" s="16" t="n"/>
      <c r="R3208" s="16" t="n">
        <v>1502.112114257067</v>
      </c>
      <c r="S3208" s="16" t="n"/>
      <c r="T3208" s="16" t="n"/>
      <c r="U3208" s="16" t="n"/>
      <c r="V3208" s="16" t="n"/>
      <c r="W3208" s="16" t="n"/>
      <c r="X3208" s="16" t="n"/>
      <c r="Y3208" s="16" t="n"/>
      <c r="Z3208" s="16" t="n">
        <v>11.80859465005525</v>
      </c>
      <c r="AA3208" s="16" t="n"/>
      <c r="AB3208" s="16" t="n"/>
      <c r="AC3208" s="16" t="n"/>
      <c r="AD3208" s="16" t="n"/>
      <c r="AE3208" s="16" t="n"/>
    </row>
    <row r="3209">
      <c r="A3209" s="16" t="inlineStr">
        <is>
          <t>KF-M06-SUB-0126</t>
        </is>
      </c>
      <c r="B3209" s="16" t="inlineStr">
        <is>
          <t>6.1</t>
        </is>
      </c>
      <c r="C3209" s="16" t="inlineStr">
        <is>
          <t>6.1c</t>
        </is>
      </c>
      <c r="D3209" s="16" t="inlineStr">
        <is>
          <t>costo de exigir subenfriamiento</t>
        </is>
      </c>
      <c r="E3209" s="16" t="inlineStr">
        <is>
          <t>KF-M06</t>
        </is>
      </c>
      <c r="F3209" s="16" t="inlineStr">
        <is>
          <t>KF-M06-SUB</t>
        </is>
      </c>
      <c r="G3209" s="16" t="inlineStr">
        <is>
          <t>B12</t>
        </is>
      </c>
      <c r="H3209" s="16" t="inlineStr">
        <is>
          <t>busqueda</t>
        </is>
      </c>
      <c r="I3209" s="16" t="inlineStr">
        <is>
          <t>KALINA</t>
        </is>
      </c>
      <c r="J3209" s="16" t="inlineStr">
        <is>
          <t>KALINA</t>
        </is>
      </c>
      <c r="K3209" s="16" t="b">
        <v>1</v>
      </c>
      <c r="L3209" s="16" t="b">
        <v>1</v>
      </c>
      <c r="M3209" s="16" t="n"/>
      <c r="N3209" s="16" t="b">
        <v>0</v>
      </c>
      <c r="O3209" s="16" t="n"/>
      <c r="P3209" s="16" t="n"/>
      <c r="Q3209" s="16" t="n"/>
      <c r="R3209" s="16" t="n">
        <v>1430.834408132572</v>
      </c>
      <c r="S3209" s="16" t="n"/>
      <c r="T3209" s="16" t="n"/>
      <c r="U3209" s="16" t="n"/>
      <c r="V3209" s="16" t="n"/>
      <c r="W3209" s="16" t="n"/>
      <c r="X3209" s="16" t="n"/>
      <c r="Y3209" s="16" t="n"/>
      <c r="Z3209" s="16" t="n">
        <v>12.26332752715004</v>
      </c>
      <c r="AA3209" s="16" t="n"/>
      <c r="AB3209" s="16" t="n"/>
      <c r="AC3209" s="16" t="n"/>
      <c r="AD3209" s="16" t="n"/>
      <c r="AE3209" s="16" t="n"/>
    </row>
    <row r="3210">
      <c r="A3210" s="16" t="inlineStr">
        <is>
          <t>KF-M06-SUB-0127</t>
        </is>
      </c>
      <c r="B3210" s="16" t="inlineStr">
        <is>
          <t>6.1</t>
        </is>
      </c>
      <c r="C3210" s="16" t="inlineStr">
        <is>
          <t>6.1c</t>
        </is>
      </c>
      <c r="D3210" s="16" t="inlineStr">
        <is>
          <t>costo de exigir subenfriamiento</t>
        </is>
      </c>
      <c r="E3210" s="16" t="inlineStr">
        <is>
          <t>KF-M06</t>
        </is>
      </c>
      <c r="F3210" s="16" t="inlineStr">
        <is>
          <t>KF-M06-SUB</t>
        </is>
      </c>
      <c r="G3210" s="16" t="inlineStr">
        <is>
          <t>B12</t>
        </is>
      </c>
      <c r="H3210" s="16" t="inlineStr">
        <is>
          <t>busqueda</t>
        </is>
      </c>
      <c r="I3210" s="16" t="inlineStr">
        <is>
          <t>KALINA</t>
        </is>
      </c>
      <c r="J3210" s="16" t="inlineStr">
        <is>
          <t>KALINA</t>
        </is>
      </c>
      <c r="K3210" s="16" t="b">
        <v>1</v>
      </c>
      <c r="L3210" s="16" t="b">
        <v>1</v>
      </c>
      <c r="M3210" s="16" t="n"/>
      <c r="N3210" s="16" t="b">
        <v>0</v>
      </c>
      <c r="O3210" s="16" t="n"/>
      <c r="P3210" s="16" t="n"/>
      <c r="Q3210" s="16" t="n"/>
      <c r="R3210" s="16" t="n">
        <v>1395.195555070324</v>
      </c>
      <c r="S3210" s="16" t="n"/>
      <c r="T3210" s="16" t="n"/>
      <c r="U3210" s="16" t="n"/>
      <c r="V3210" s="16" t="n"/>
      <c r="W3210" s="16" t="n"/>
      <c r="X3210" s="16" t="n"/>
      <c r="Y3210" s="16" t="n"/>
      <c r="Z3210" s="16" t="n">
        <v>12.49830534856795</v>
      </c>
      <c r="AA3210" s="16" t="n"/>
      <c r="AB3210" s="16" t="n"/>
      <c r="AC3210" s="16" t="n"/>
      <c r="AD3210" s="16" t="n"/>
      <c r="AE3210" s="16" t="n"/>
    </row>
    <row r="3211">
      <c r="A3211" s="16" t="inlineStr">
        <is>
          <t>KF-M06-SUB-0128</t>
        </is>
      </c>
      <c r="B3211" s="16" t="inlineStr">
        <is>
          <t>6.1</t>
        </is>
      </c>
      <c r="C3211" s="16" t="inlineStr">
        <is>
          <t>6.1c</t>
        </is>
      </c>
      <c r="D3211" s="16" t="inlineStr">
        <is>
          <t>costo de exigir subenfriamiento</t>
        </is>
      </c>
      <c r="E3211" s="16" t="inlineStr">
        <is>
          <t>KF-M06</t>
        </is>
      </c>
      <c r="F3211" s="16" t="inlineStr">
        <is>
          <t>KF-M06-SUB</t>
        </is>
      </c>
      <c r="G3211" s="16" t="inlineStr">
        <is>
          <t>B12</t>
        </is>
      </c>
      <c r="H3211" s="16" t="inlineStr">
        <is>
          <t>busqueda</t>
        </is>
      </c>
      <c r="I3211" s="16" t="inlineStr">
        <is>
          <t>KALINA</t>
        </is>
      </c>
      <c r="J3211" s="16" t="inlineStr">
        <is>
          <t>KALINA</t>
        </is>
      </c>
      <c r="K3211" s="16" t="b">
        <v>1</v>
      </c>
      <c r="L3211" s="16" t="b">
        <v>1</v>
      </c>
      <c r="M3211" s="16" t="n"/>
      <c r="N3211" s="16" t="b">
        <v>0</v>
      </c>
      <c r="O3211" s="16" t="n"/>
      <c r="P3211" s="16" t="n"/>
      <c r="Q3211" s="16" t="n"/>
      <c r="R3211" s="16" t="n">
        <v>1413.014981601448</v>
      </c>
      <c r="S3211" s="16" t="n"/>
      <c r="T3211" s="16" t="n"/>
      <c r="U3211" s="16" t="n"/>
      <c r="V3211" s="16" t="n"/>
      <c r="W3211" s="16" t="n"/>
      <c r="X3211" s="16" t="n"/>
      <c r="Y3211" s="16" t="n"/>
      <c r="Z3211" s="16" t="n">
        <v>12.38015813509532</v>
      </c>
      <c r="AA3211" s="16" t="n"/>
      <c r="AB3211" s="16" t="n"/>
      <c r="AC3211" s="16" t="n"/>
      <c r="AD3211" s="16" t="n"/>
      <c r="AE3211" s="16" t="n"/>
    </row>
    <row r="3212">
      <c r="A3212" s="16" t="inlineStr">
        <is>
          <t>KF-M06-SUB-0129</t>
        </is>
      </c>
      <c r="B3212" s="16" t="inlineStr">
        <is>
          <t>6.1</t>
        </is>
      </c>
      <c r="C3212" s="16" t="inlineStr">
        <is>
          <t>6.1c</t>
        </is>
      </c>
      <c r="D3212" s="16" t="inlineStr">
        <is>
          <t>costo de exigir subenfriamiento</t>
        </is>
      </c>
      <c r="E3212" s="16" t="inlineStr">
        <is>
          <t>KF-M06</t>
        </is>
      </c>
      <c r="F3212" s="16" t="inlineStr">
        <is>
          <t>KF-M06-SUB</t>
        </is>
      </c>
      <c r="G3212" s="16" t="inlineStr">
        <is>
          <t>B12</t>
        </is>
      </c>
      <c r="H3212" s="16" t="inlineStr">
        <is>
          <t>busqueda</t>
        </is>
      </c>
      <c r="I3212" s="16" t="inlineStr">
        <is>
          <t>KALINA</t>
        </is>
      </c>
      <c r="J3212" s="16" t="inlineStr">
        <is>
          <t>KALINA</t>
        </is>
      </c>
      <c r="K3212" s="16" t="b">
        <v>1</v>
      </c>
      <c r="L3212" s="16" t="b">
        <v>1</v>
      </c>
      <c r="M3212" s="16" t="n"/>
      <c r="N3212" s="16" t="b">
        <v>0</v>
      </c>
      <c r="O3212" s="16" t="n"/>
      <c r="P3212" s="16" t="n"/>
      <c r="Q3212" s="16" t="n"/>
      <c r="R3212" s="16" t="n">
        <v>1404.105268335886</v>
      </c>
      <c r="S3212" s="16" t="n"/>
      <c r="T3212" s="16" t="n"/>
      <c r="U3212" s="16" t="n"/>
      <c r="V3212" s="16" t="n"/>
      <c r="W3212" s="16" t="n"/>
      <c r="X3212" s="16" t="n"/>
      <c r="Y3212" s="16" t="n"/>
      <c r="Z3212" s="16" t="n">
        <v>12.43906530169887</v>
      </c>
      <c r="AA3212" s="16" t="n"/>
      <c r="AB3212" s="16" t="n"/>
      <c r="AC3212" s="16" t="n"/>
      <c r="AD3212" s="16" t="n"/>
      <c r="AE3212" s="16" t="n"/>
    </row>
    <row r="3213">
      <c r="A3213" s="16" t="inlineStr">
        <is>
          <t>KF-M06-SUB-0130</t>
        </is>
      </c>
      <c r="B3213" s="16" t="inlineStr">
        <is>
          <t>6.1</t>
        </is>
      </c>
      <c r="C3213" s="16" t="inlineStr">
        <is>
          <t>6.1c</t>
        </is>
      </c>
      <c r="D3213" s="16" t="inlineStr">
        <is>
          <t>costo de exigir subenfriamiento</t>
        </is>
      </c>
      <c r="E3213" s="16" t="inlineStr">
        <is>
          <t>KF-M06</t>
        </is>
      </c>
      <c r="F3213" s="16" t="inlineStr">
        <is>
          <t>KF-M06-SUB</t>
        </is>
      </c>
      <c r="G3213" s="16" t="inlineStr">
        <is>
          <t>B12</t>
        </is>
      </c>
      <c r="H3213" s="16" t="inlineStr">
        <is>
          <t>busqueda</t>
        </is>
      </c>
      <c r="I3213" s="16" t="inlineStr">
        <is>
          <t>KALINA</t>
        </is>
      </c>
      <c r="J3213" s="16" t="inlineStr">
        <is>
          <t>KALINA</t>
        </is>
      </c>
      <c r="K3213" s="16" t="b">
        <v>1</v>
      </c>
      <c r="L3213" s="16" t="b">
        <v>1</v>
      </c>
      <c r="M3213" s="16" t="n"/>
      <c r="N3213" s="16" t="b">
        <v>0</v>
      </c>
      <c r="O3213" s="16" t="n"/>
      <c r="P3213" s="16" t="n"/>
      <c r="Q3213" s="16" t="n"/>
      <c r="R3213" s="16" t="n">
        <v>1408.560124968667</v>
      </c>
      <c r="S3213" s="16" t="n"/>
      <c r="T3213" s="16" t="n"/>
      <c r="U3213" s="16" t="n"/>
      <c r="V3213" s="16" t="n"/>
      <c r="W3213" s="16" t="n"/>
      <c r="X3213" s="16" t="n"/>
      <c r="Y3213" s="16" t="n"/>
      <c r="Z3213" s="16" t="n">
        <v>12.40957041554624</v>
      </c>
      <c r="AA3213" s="16" t="n"/>
      <c r="AB3213" s="16" t="n"/>
      <c r="AC3213" s="16" t="n"/>
      <c r="AD3213" s="16" t="n"/>
      <c r="AE3213" s="16" t="n"/>
    </row>
    <row r="3214">
      <c r="A3214" s="16" t="inlineStr">
        <is>
          <t>KF-M09-R0-T_fuente-0000</t>
        </is>
      </c>
      <c r="B3214" s="16" t="inlineStr">
        <is>
          <t>4.3</t>
        </is>
      </c>
      <c r="C3214" s="16" t="inlineStr">
        <is>
          <t>4.3 T_fuente</t>
        </is>
      </c>
      <c r="D3214" s="16" t="inlineStr">
        <is>
          <t>ronda 0</t>
        </is>
      </c>
      <c r="E3214" s="16" t="inlineStr">
        <is>
          <t>KF-M09</t>
        </is>
      </c>
      <c r="F3214" s="16" t="inlineStr">
        <is>
          <t>KF-M09-R0-T_fuente</t>
        </is>
      </c>
      <c r="G3214" s="16" t="inlineStr">
        <is>
          <t>B13-T_fuente</t>
        </is>
      </c>
      <c r="H3214" s="16" t="inlineStr">
        <is>
          <t>lhs</t>
        </is>
      </c>
      <c r="I3214" s="16" t="inlineStr">
        <is>
          <t>NO_CONVERGIO</t>
        </is>
      </c>
      <c r="J3214" s="16" t="inlineStr">
        <is>
          <t>NO_CONVERGIO</t>
        </is>
      </c>
      <c r="K3214" s="16" t="b">
        <v>0</v>
      </c>
      <c r="L3214" s="16" t="b">
        <v>0</v>
      </c>
      <c r="M3214" s="16" t="b">
        <v>0</v>
      </c>
      <c r="N3214" s="16" t="b">
        <v>0</v>
      </c>
      <c r="O3214" s="16" t="n">
        <v>623.15</v>
      </c>
      <c r="P3214" s="16" t="n">
        <v>279.6847344398564</v>
      </c>
      <c r="Q3214" s="16" t="n">
        <v>2249.075357139776</v>
      </c>
      <c r="R3214" s="16" t="n">
        <v>624.1718289701137</v>
      </c>
      <c r="S3214" s="16" t="n">
        <v>0.8440970031652609</v>
      </c>
      <c r="T3214" s="16" t="n">
        <v>0.5013411441050427</v>
      </c>
      <c r="U3214" s="16" t="n">
        <v>0.7666650328756537</v>
      </c>
      <c r="V3214" s="16" t="n">
        <v>0.8534713330594816</v>
      </c>
      <c r="W3214" s="16" t="n">
        <v>0.510852050924209</v>
      </c>
      <c r="X3214" s="16" t="n">
        <v>0.5968923303692698</v>
      </c>
      <c r="Y3214" s="16" t="n">
        <v>279.6847344398564</v>
      </c>
      <c r="Z3214" s="16" t="n"/>
      <c r="AA3214" s="16" t="n"/>
      <c r="AB3214" s="16" t="n">
        <v>1624.903528169662</v>
      </c>
      <c r="AC3214" s="16" t="n">
        <v>3.60329520294237</v>
      </c>
      <c r="AD3214" s="16" t="n"/>
      <c r="AE3214" s="16" t="n"/>
    </row>
    <row r="3215">
      <c r="A3215" s="16" t="inlineStr">
        <is>
          <t>KF-M09-R0-T_fuente-0001</t>
        </is>
      </c>
      <c r="B3215" s="16" t="inlineStr">
        <is>
          <t>4.3</t>
        </is>
      </c>
      <c r="C3215" s="16" t="inlineStr">
        <is>
          <t>4.3 T_fuente</t>
        </is>
      </c>
      <c r="D3215" s="16" t="inlineStr">
        <is>
          <t>ronda 0</t>
        </is>
      </c>
      <c r="E3215" s="16" t="inlineStr">
        <is>
          <t>KF-M09</t>
        </is>
      </c>
      <c r="F3215" s="16" t="inlineStr">
        <is>
          <t>KF-M09-R0-T_fuente</t>
        </is>
      </c>
      <c r="G3215" s="16" t="inlineStr">
        <is>
          <t>B13-T_fuente</t>
        </is>
      </c>
      <c r="H3215" s="16" t="inlineStr">
        <is>
          <t>lhs</t>
        </is>
      </c>
      <c r="I3215" s="16" t="inlineStr">
        <is>
          <t>NO_CONVERGIO</t>
        </is>
      </c>
      <c r="J3215" s="16" t="inlineStr">
        <is>
          <t>NO_CONVERGIO</t>
        </is>
      </c>
      <c r="K3215" s="16" t="b">
        <v>0</v>
      </c>
      <c r="L3215" s="16" t="b">
        <v>0</v>
      </c>
      <c r="M3215" s="16" t="b">
        <v>0</v>
      </c>
      <c r="N3215" s="16" t="b">
        <v>0</v>
      </c>
      <c r="O3215" s="16" t="n">
        <v>623.15</v>
      </c>
      <c r="P3215" s="16" t="n">
        <v>298.1745553321329</v>
      </c>
      <c r="Q3215" s="16" t="n">
        <v>4856.479208932916</v>
      </c>
      <c r="R3215" s="16" t="n">
        <v>562.678672169802</v>
      </c>
      <c r="S3215" s="16" t="n">
        <v>0.7255459655772305</v>
      </c>
      <c r="T3215" s="16" t="n">
        <v>0.530773156400409</v>
      </c>
      <c r="U3215" s="16" t="n">
        <v>0.5488027873027779</v>
      </c>
      <c r="V3215" s="16" t="n">
        <v>0.5114153205383569</v>
      </c>
      <c r="W3215" s="16" t="n">
        <v>0.4247485812572488</v>
      </c>
      <c r="X3215" s="16" t="n">
        <v>0.5181911844100114</v>
      </c>
      <c r="Y3215" s="16" t="n">
        <v>298.1745553321329</v>
      </c>
      <c r="Z3215" s="16" t="n"/>
      <c r="AA3215" s="16" t="n"/>
      <c r="AB3215" s="16" t="n">
        <v>4293.800536763114</v>
      </c>
      <c r="AC3215" s="16" t="n">
        <v>8.630999270339066</v>
      </c>
      <c r="AD3215" s="16" t="n"/>
      <c r="AE3215" s="16" t="n"/>
    </row>
    <row r="3216">
      <c r="A3216" s="16" t="inlineStr">
        <is>
          <t>KF-M09-R0-T_fuente-0002</t>
        </is>
      </c>
      <c r="B3216" s="16" t="inlineStr">
        <is>
          <t>4.3</t>
        </is>
      </c>
      <c r="C3216" s="16" t="inlineStr">
        <is>
          <t>4.3 T_fuente</t>
        </is>
      </c>
      <c r="D3216" s="16" t="inlineStr">
        <is>
          <t>ronda 0</t>
        </is>
      </c>
      <c r="E3216" s="16" t="inlineStr">
        <is>
          <t>KF-M09</t>
        </is>
      </c>
      <c r="F3216" s="16" t="inlineStr">
        <is>
          <t>KF-M09-R0-T_fuente</t>
        </is>
      </c>
      <c r="G3216" s="16" t="inlineStr">
        <is>
          <t>B13-T_fuente</t>
        </is>
      </c>
      <c r="H3216" s="16" t="inlineStr">
        <is>
          <t>lhs</t>
        </is>
      </c>
      <c r="I3216" s="16" t="inlineStr">
        <is>
          <t>NO_CONVERGIO</t>
        </is>
      </c>
      <c r="J3216" s="16" t="inlineStr">
        <is>
          <t>NO_CONVERGIO</t>
        </is>
      </c>
      <c r="K3216" s="16" t="b">
        <v>0</v>
      </c>
      <c r="L3216" s="16" t="b">
        <v>0</v>
      </c>
      <c r="M3216" s="16" t="b">
        <v>0</v>
      </c>
      <c r="N3216" s="16" t="b">
        <v>0</v>
      </c>
      <c r="O3216" s="16" t="n">
        <v>623.15</v>
      </c>
      <c r="P3216" s="16" t="n">
        <v>289.5830415377092</v>
      </c>
      <c r="Q3216" s="16" t="n">
        <v>4047.67246024877</v>
      </c>
      <c r="R3216" s="16" t="n">
        <v>1806.29903202974</v>
      </c>
      <c r="S3216" s="16" t="n">
        <v>0.7560709074525318</v>
      </c>
      <c r="T3216" s="16" t="n">
        <v>0.4212538915956202</v>
      </c>
      <c r="U3216" s="16" t="n">
        <v>0.7870271830917577</v>
      </c>
      <c r="V3216" s="16" t="n">
        <v>0.6230809864042148</v>
      </c>
      <c r="W3216" s="16" t="n">
        <v>0.4769557920738938</v>
      </c>
      <c r="X3216" s="16" t="n">
        <v>0.4005919514633325</v>
      </c>
      <c r="Y3216" s="16" t="n">
        <v>289.5830415377092</v>
      </c>
      <c r="Z3216" s="16" t="n"/>
      <c r="AA3216" s="16" t="n"/>
      <c r="AB3216" s="16" t="n">
        <v>2241.37342821903</v>
      </c>
      <c r="AC3216" s="16" t="n">
        <v>2.240865099562389</v>
      </c>
      <c r="AD3216" s="16" t="n"/>
      <c r="AE3216" s="16" t="n"/>
    </row>
    <row r="3217">
      <c r="A3217" s="16" t="inlineStr">
        <is>
          <t>KF-M09-R0-T_fuente-0003</t>
        </is>
      </c>
      <c r="B3217" s="16" t="inlineStr">
        <is>
          <t>4.3</t>
        </is>
      </c>
      <c r="C3217" s="16" t="inlineStr">
        <is>
          <t>4.3 T_fuente</t>
        </is>
      </c>
      <c r="D3217" s="16" t="inlineStr">
        <is>
          <t>ronda 0</t>
        </is>
      </c>
      <c r="E3217" s="16" t="inlineStr">
        <is>
          <t>KF-M09</t>
        </is>
      </c>
      <c r="F3217" s="16" t="inlineStr">
        <is>
          <t>KF-M09-R0-T_fuente</t>
        </is>
      </c>
      <c r="G3217" s="16" t="inlineStr">
        <is>
          <t>B13-T_fuente</t>
        </is>
      </c>
      <c r="H3217" s="16" t="inlineStr">
        <is>
          <t>lhs</t>
        </is>
      </c>
      <c r="I3217" s="16" t="inlineStr">
        <is>
          <t>CORREGIBLE</t>
        </is>
      </c>
      <c r="J3217" s="16" t="inlineStr">
        <is>
          <t>CORREGIBLE</t>
        </is>
      </c>
      <c r="K3217" s="16" t="b">
        <v>1</v>
      </c>
      <c r="L3217" s="16" t="b">
        <v>0</v>
      </c>
      <c r="M3217" s="16" t="b">
        <v>1</v>
      </c>
      <c r="N3217" s="16" t="b">
        <v>0</v>
      </c>
      <c r="O3217" s="16" t="n">
        <v>623.15</v>
      </c>
      <c r="P3217" s="16" t="n">
        <v>293.2698827174552</v>
      </c>
      <c r="Q3217" s="16" t="n">
        <v>4417.572942369412</v>
      </c>
      <c r="R3217" s="16" t="n">
        <v>1513.504865631809</v>
      </c>
      <c r="S3217" s="16" t="n">
        <v>0.7127677094628225</v>
      </c>
      <c r="T3217" s="16" t="n">
        <v>0.7467629954485233</v>
      </c>
      <c r="U3217" s="16" t="n">
        <v>0.6892646053490685</v>
      </c>
      <c r="V3217" s="16" t="n">
        <v>0.4498678599102133</v>
      </c>
      <c r="W3217" s="16" t="n">
        <v>0.4145540847502942</v>
      </c>
      <c r="X3217" s="16" t="n">
        <v>0.8501216412327188</v>
      </c>
      <c r="Y3217" s="16" t="n">
        <v>293.2698827174552</v>
      </c>
      <c r="Z3217" s="16" t="n">
        <v>7.262250711395519</v>
      </c>
      <c r="AA3217" s="16" t="n">
        <v>72.75187799896447</v>
      </c>
      <c r="AB3217" s="16" t="n">
        <v>2904.068076737603</v>
      </c>
      <c r="AC3217" s="16" t="n">
        <v>2.918770228416351</v>
      </c>
      <c r="AD3217" s="16" t="inlineStr">
        <is>
          <t>O2</t>
        </is>
      </c>
      <c r="AE3217" s="16" t="n"/>
    </row>
    <row r="3218">
      <c r="A3218" s="16" t="inlineStr">
        <is>
          <t>KF-M09-R0-T_fuente-0004</t>
        </is>
      </c>
      <c r="B3218" s="16" t="inlineStr">
        <is>
          <t>4.3</t>
        </is>
      </c>
      <c r="C3218" s="16" t="inlineStr">
        <is>
          <t>4.3 T_fuente</t>
        </is>
      </c>
      <c r="D3218" s="16" t="inlineStr">
        <is>
          <t>ronda 0</t>
        </is>
      </c>
      <c r="E3218" s="16" t="inlineStr">
        <is>
          <t>KF-M09</t>
        </is>
      </c>
      <c r="F3218" s="16" t="inlineStr">
        <is>
          <t>KF-M09-R0-T_fuente</t>
        </is>
      </c>
      <c r="G3218" s="16" t="inlineStr">
        <is>
          <t>B13-T_fuente</t>
        </is>
      </c>
      <c r="H3218" s="16" t="inlineStr">
        <is>
          <t>lhs</t>
        </is>
      </c>
      <c r="I3218" s="16" t="inlineStr">
        <is>
          <t>INVIABLE</t>
        </is>
      </c>
      <c r="J3218" s="16" t="inlineStr">
        <is>
          <t>INVIABLE</t>
        </is>
      </c>
      <c r="K3218" s="16" t="b">
        <v>1</v>
      </c>
      <c r="L3218" s="16" t="b">
        <v>0</v>
      </c>
      <c r="M3218" s="16" t="b">
        <v>1</v>
      </c>
      <c r="N3218" s="16" t="b">
        <v>0</v>
      </c>
      <c r="O3218" s="16" t="n">
        <v>623.15</v>
      </c>
      <c r="P3218" s="16" t="n">
        <v>300.6022649902078</v>
      </c>
      <c r="Q3218" s="16" t="n">
        <v>4960.132111892552</v>
      </c>
      <c r="R3218" s="16" t="n">
        <v>373.2525081237647</v>
      </c>
      <c r="S3218" s="16" t="n">
        <v>0.531567710919528</v>
      </c>
      <c r="T3218" s="16" t="n">
        <v>0.5707404539208294</v>
      </c>
      <c r="U3218" s="16" t="n">
        <v>0.4269926509405113</v>
      </c>
      <c r="V3218" s="16" t="n">
        <v>0.7003755039481474</v>
      </c>
      <c r="W3218" s="16" t="n">
        <v>0.4981039940301303</v>
      </c>
      <c r="X3218" s="16" t="n">
        <v>0.645652434205533</v>
      </c>
      <c r="Y3218" s="16" t="n">
        <v>300.6022649902078</v>
      </c>
      <c r="Z3218" s="16" t="n">
        <v>-8.007150345254201</v>
      </c>
      <c r="AA3218" s="16" t="n">
        <v>-90.38909202028596</v>
      </c>
      <c r="AB3218" s="16" t="n">
        <v>4586.879603768787</v>
      </c>
      <c r="AC3218" s="16" t="n">
        <v>13.28894516161657</v>
      </c>
      <c r="AD3218" s="16" t="inlineStr">
        <is>
          <t>O2,O3</t>
        </is>
      </c>
      <c r="AE3218" s="16" t="n"/>
    </row>
    <row r="3219">
      <c r="A3219" s="16" t="inlineStr">
        <is>
          <t>KF-M09-R0-T_fuente-0005</t>
        </is>
      </c>
      <c r="B3219" s="16" t="inlineStr">
        <is>
          <t>4.3</t>
        </is>
      </c>
      <c r="C3219" s="16" t="inlineStr">
        <is>
          <t>4.3 T_fuente</t>
        </is>
      </c>
      <c r="D3219" s="16" t="inlineStr">
        <is>
          <t>ronda 0</t>
        </is>
      </c>
      <c r="E3219" s="16" t="inlineStr">
        <is>
          <t>KF-M09</t>
        </is>
      </c>
      <c r="F3219" s="16" t="inlineStr">
        <is>
          <t>KF-M09-R0-T_fuente</t>
        </is>
      </c>
      <c r="G3219" s="16" t="inlineStr">
        <is>
          <t>B13-T_fuente</t>
        </is>
      </c>
      <c r="H3219" s="16" t="inlineStr">
        <is>
          <t>lhs</t>
        </is>
      </c>
      <c r="I3219" s="16" t="inlineStr">
        <is>
          <t>N2</t>
        </is>
      </c>
      <c r="J3219" s="16" t="inlineStr">
        <is>
          <t>NO_CONVERGIO</t>
        </is>
      </c>
      <c r="K3219" s="16" t="b">
        <v>0</v>
      </c>
      <c r="L3219" s="16" t="b">
        <v>0</v>
      </c>
      <c r="M3219" s="16" t="b">
        <v>1</v>
      </c>
      <c r="N3219" s="16" t="b">
        <v>0</v>
      </c>
      <c r="O3219" s="16" t="n">
        <v>623.15</v>
      </c>
      <c r="P3219" s="16" t="n">
        <v>294.7291327824228</v>
      </c>
      <c r="Q3219" s="16" t="n">
        <v>3544.819422652637</v>
      </c>
      <c r="R3219" s="16" t="n">
        <v>443.9229786139323</v>
      </c>
      <c r="S3219" s="16" t="n">
        <v>0.5630637224616247</v>
      </c>
      <c r="T3219" s="16" t="n">
        <v>0.7736877075305346</v>
      </c>
      <c r="U3219" s="16" t="n">
        <v>0.933076112510734</v>
      </c>
      <c r="V3219" s="16" t="n">
        <v>0.8424420298985926</v>
      </c>
      <c r="W3219" s="16" t="n">
        <v>0.4009579549964744</v>
      </c>
      <c r="X3219" s="16" t="n">
        <v>0.9235216094285044</v>
      </c>
      <c r="Y3219" s="16" t="n">
        <v>294.7291327824228</v>
      </c>
      <c r="Z3219" s="16" t="n">
        <v>14.44872468076828</v>
      </c>
      <c r="AA3219" s="16" t="n">
        <v>308.8395166372361</v>
      </c>
      <c r="AB3219" s="16" t="n">
        <v>3100.896444038704</v>
      </c>
      <c r="AC3219" s="16" t="n">
        <v>7.985212736048676</v>
      </c>
      <c r="AD3219" s="16" t="inlineStr">
        <is>
          <t>N2,O2,O5,C1,C3,C3</t>
        </is>
      </c>
      <c r="AE3219" s="16" t="n"/>
    </row>
    <row r="3220">
      <c r="A3220" s="16" t="inlineStr">
        <is>
          <t>KF-M09-R0-T_fuente-0006</t>
        </is>
      </c>
      <c r="B3220" s="16" t="inlineStr">
        <is>
          <t>4.3</t>
        </is>
      </c>
      <c r="C3220" s="16" t="inlineStr">
        <is>
          <t>4.3 T_fuente</t>
        </is>
      </c>
      <c r="D3220" s="16" t="inlineStr">
        <is>
          <t>ronda 0</t>
        </is>
      </c>
      <c r="E3220" s="16" t="inlineStr">
        <is>
          <t>KF-M09</t>
        </is>
      </c>
      <c r="F3220" s="16" t="inlineStr">
        <is>
          <t>KF-M09-R0-T_fuente</t>
        </is>
      </c>
      <c r="G3220" s="16" t="inlineStr">
        <is>
          <t>B13-T_fuente</t>
        </is>
      </c>
      <c r="H3220" s="16" t="inlineStr">
        <is>
          <t>lhs</t>
        </is>
      </c>
      <c r="I3220" s="16" t="inlineStr">
        <is>
          <t>CORREGIBLE</t>
        </is>
      </c>
      <c r="J3220" s="16" t="inlineStr">
        <is>
          <t>CORREGIBLE</t>
        </is>
      </c>
      <c r="K3220" s="16" t="b">
        <v>1</v>
      </c>
      <c r="L3220" s="16" t="b">
        <v>0</v>
      </c>
      <c r="M3220" s="16" t="b">
        <v>1</v>
      </c>
      <c r="N3220" s="16" t="b">
        <v>0</v>
      </c>
      <c r="O3220" s="16" t="n">
        <v>623.15</v>
      </c>
      <c r="P3220" s="16" t="n">
        <v>285.1516024366614</v>
      </c>
      <c r="Q3220" s="16" t="n">
        <v>3818.497439003998</v>
      </c>
      <c r="R3220" s="16" t="n">
        <v>1463.898791773516</v>
      </c>
      <c r="S3220" s="16" t="n">
        <v>0.740456001745964</v>
      </c>
      <c r="T3220" s="16" t="n">
        <v>0.8698676786747479</v>
      </c>
      <c r="U3220" s="16" t="n">
        <v>0.9341566557809536</v>
      </c>
      <c r="V3220" s="16" t="n">
        <v>0.5027252051262986</v>
      </c>
      <c r="W3220" s="16" t="n">
        <v>0.9414210552206131</v>
      </c>
      <c r="X3220" s="16" t="n">
        <v>0.5009554235637564</v>
      </c>
      <c r="Y3220" s="16" t="n">
        <v>285.1516024366614</v>
      </c>
      <c r="Z3220" s="16" t="n">
        <v>7.24355044505168</v>
      </c>
      <c r="AA3220" s="16" t="n">
        <v>58.94179900874195</v>
      </c>
      <c r="AB3220" s="16" t="n">
        <v>2354.598647230483</v>
      </c>
      <c r="AC3220" s="16" t="n">
        <v>2.608443603111307</v>
      </c>
      <c r="AD3220" s="16" t="inlineStr">
        <is>
          <t>O2</t>
        </is>
      </c>
      <c r="AE3220" s="16" t="n"/>
    </row>
    <row r="3221">
      <c r="A3221" s="16" t="inlineStr">
        <is>
          <t>KF-M09-R0-T_fuente-0007</t>
        </is>
      </c>
      <c r="B3221" s="16" t="inlineStr">
        <is>
          <t>4.3</t>
        </is>
      </c>
      <c r="C3221" s="16" t="inlineStr">
        <is>
          <t>4.3 T_fuente</t>
        </is>
      </c>
      <c r="D3221" s="16" t="inlineStr">
        <is>
          <t>ronda 0</t>
        </is>
      </c>
      <c r="E3221" s="16" t="inlineStr">
        <is>
          <t>KF-M09</t>
        </is>
      </c>
      <c r="F3221" s="16" t="inlineStr">
        <is>
          <t>KF-M09-R0-T_fuente</t>
        </is>
      </c>
      <c r="G3221" s="16" t="inlineStr">
        <is>
          <t>B13-T_fuente</t>
        </is>
      </c>
      <c r="H3221" s="16" t="inlineStr">
        <is>
          <t>lhs</t>
        </is>
      </c>
      <c r="I3221" s="16" t="inlineStr">
        <is>
          <t>CORREGIBLE</t>
        </is>
      </c>
      <c r="J3221" s="16" t="inlineStr">
        <is>
          <t>CORREGIBLE</t>
        </is>
      </c>
      <c r="K3221" s="16" t="b">
        <v>1</v>
      </c>
      <c r="L3221" s="16" t="b">
        <v>0</v>
      </c>
      <c r="M3221" s="16" t="b">
        <v>1</v>
      </c>
      <c r="N3221" s="16" t="b">
        <v>0</v>
      </c>
      <c r="O3221" s="16" t="n">
        <v>623.15</v>
      </c>
      <c r="P3221" s="16" t="n">
        <v>287.7327703059365</v>
      </c>
      <c r="Q3221" s="16" t="n">
        <v>4262.200880270647</v>
      </c>
      <c r="R3221" s="16" t="n">
        <v>1372.352633531222</v>
      </c>
      <c r="S3221" s="16" t="n">
        <v>0.5113886939745081</v>
      </c>
      <c r="T3221" s="16" t="n">
        <v>0.8366353443342869</v>
      </c>
      <c r="U3221" s="16" t="n">
        <v>0.8030728639231957</v>
      </c>
      <c r="V3221" s="16" t="n">
        <v>0.5768884907665177</v>
      </c>
      <c r="W3221" s="16" t="n">
        <v>0.7733378777417389</v>
      </c>
      <c r="X3221" s="16" t="n">
        <v>0.7031954993632152</v>
      </c>
      <c r="Y3221" s="16" t="n">
        <v>287.7327703059365</v>
      </c>
      <c r="Z3221" s="16" t="n">
        <v>8.44032237417704</v>
      </c>
      <c r="AA3221" s="16" t="n">
        <v>105.7518144171733</v>
      </c>
      <c r="AB3221" s="16" t="n">
        <v>2889.848246739424</v>
      </c>
      <c r="AC3221" s="16" t="n">
        <v>3.105762160636155</v>
      </c>
      <c r="AD3221" s="16" t="inlineStr">
        <is>
          <t>O2</t>
        </is>
      </c>
      <c r="AE3221" s="16" t="n"/>
    </row>
    <row r="3222">
      <c r="A3222" s="16" t="inlineStr">
        <is>
          <t>KF-M09-R0-T_fuente-0008</t>
        </is>
      </c>
      <c r="B3222" s="16" t="inlineStr">
        <is>
          <t>4.3</t>
        </is>
      </c>
      <c r="C3222" s="16" t="inlineStr">
        <is>
          <t>4.3 T_fuente</t>
        </is>
      </c>
      <c r="D3222" s="16" t="inlineStr">
        <is>
          <t>ronda 0</t>
        </is>
      </c>
      <c r="E3222" s="16" t="inlineStr">
        <is>
          <t>KF-M09</t>
        </is>
      </c>
      <c r="F3222" s="16" t="inlineStr">
        <is>
          <t>KF-M09-R0-T_fuente</t>
        </is>
      </c>
      <c r="G3222" s="16" t="inlineStr">
        <is>
          <t>B13-T_fuente</t>
        </is>
      </c>
      <c r="H3222" s="16" t="inlineStr">
        <is>
          <t>lhs</t>
        </is>
      </c>
      <c r="I3222" s="16" t="inlineStr">
        <is>
          <t>NO_CONVERGIO</t>
        </is>
      </c>
      <c r="J3222" s="16" t="inlineStr">
        <is>
          <t>NO_CONVERGIO</t>
        </is>
      </c>
      <c r="K3222" s="16" t="b">
        <v>0</v>
      </c>
      <c r="L3222" s="16" t="b">
        <v>0</v>
      </c>
      <c r="M3222" s="16" t="b">
        <v>0</v>
      </c>
      <c r="N3222" s="16" t="b">
        <v>0</v>
      </c>
      <c r="O3222" s="16" t="n">
        <v>623.15</v>
      </c>
      <c r="P3222" s="16" t="n">
        <v>284.6063741202602</v>
      </c>
      <c r="Q3222" s="16" t="n">
        <v>3341.497864455678</v>
      </c>
      <c r="R3222" s="16" t="n">
        <v>1645.154359544677</v>
      </c>
      <c r="S3222" s="16" t="n">
        <v>0.6374991186613175</v>
      </c>
      <c r="T3222" s="16" t="n">
        <v>0.4484850520894443</v>
      </c>
      <c r="U3222" s="16" t="n">
        <v>0.4002036646531887</v>
      </c>
      <c r="V3222" s="16" t="n">
        <v>0.8818478687633485</v>
      </c>
      <c r="W3222" s="16" t="n">
        <v>0.5560934623806894</v>
      </c>
      <c r="X3222" s="16" t="n">
        <v>0.7652637032887298</v>
      </c>
      <c r="Y3222" s="16" t="n">
        <v>284.6063741202602</v>
      </c>
      <c r="Z3222" s="16" t="n"/>
      <c r="AA3222" s="16" t="n"/>
      <c r="AB3222" s="16" t="n">
        <v>1696.343504911001</v>
      </c>
      <c r="AC3222" s="16" t="n">
        <v>2.031115101795367</v>
      </c>
      <c r="AD3222" s="16" t="n"/>
      <c r="AE3222" s="16" t="n"/>
    </row>
    <row r="3223">
      <c r="A3223" s="16" t="inlineStr">
        <is>
          <t>KF-M09-R0-T_fuente-0009</t>
        </is>
      </c>
      <c r="B3223" s="16" t="inlineStr">
        <is>
          <t>4.3</t>
        </is>
      </c>
      <c r="C3223" s="16" t="inlineStr">
        <is>
          <t>4.3 T_fuente</t>
        </is>
      </c>
      <c r="D3223" s="16" t="inlineStr">
        <is>
          <t>ronda 0</t>
        </is>
      </c>
      <c r="E3223" s="16" t="inlineStr">
        <is>
          <t>KF-M09</t>
        </is>
      </c>
      <c r="F3223" s="16" t="inlineStr">
        <is>
          <t>KF-M09-R0-T_fuente</t>
        </is>
      </c>
      <c r="G3223" s="16" t="inlineStr">
        <is>
          <t>B13-T_fuente</t>
        </is>
      </c>
      <c r="H3223" s="16" t="inlineStr">
        <is>
          <t>lhs</t>
        </is>
      </c>
      <c r="I3223" s="16" t="inlineStr">
        <is>
          <t>NO_CONVERGIO</t>
        </is>
      </c>
      <c r="J3223" s="16" t="inlineStr">
        <is>
          <t>NO_CONVERGIO</t>
        </is>
      </c>
      <c r="K3223" s="16" t="b">
        <v>0</v>
      </c>
      <c r="L3223" s="16" t="b">
        <v>0</v>
      </c>
      <c r="M3223" s="16" t="b">
        <v>0</v>
      </c>
      <c r="N3223" s="16" t="b">
        <v>0</v>
      </c>
      <c r="O3223" s="16" t="n">
        <v>623.15</v>
      </c>
      <c r="P3223" s="16" t="n">
        <v>278.9754622953334</v>
      </c>
      <c r="Q3223" s="16" t="n">
        <v>4122.704863295952</v>
      </c>
      <c r="R3223" s="16" t="n">
        <v>1583.425191175243</v>
      </c>
      <c r="S3223" s="16" t="n">
        <v>0.7515600013042953</v>
      </c>
      <c r="T3223" s="16" t="n">
        <v>0.6103273105075951</v>
      </c>
      <c r="U3223" s="16" t="n">
        <v>0.5446044972590762</v>
      </c>
      <c r="V3223" s="16" t="n">
        <v>0.8714796445591806</v>
      </c>
      <c r="W3223" s="16" t="n">
        <v>0.560241436783493</v>
      </c>
      <c r="X3223" s="16" t="n">
        <v>0.6804516079054392</v>
      </c>
      <c r="Y3223" s="16" t="n">
        <v>278.9754622953334</v>
      </c>
      <c r="Z3223" s="16" t="n"/>
      <c r="AA3223" s="16" t="n"/>
      <c r="AB3223" s="16" t="n">
        <v>2539.279672120709</v>
      </c>
      <c r="AC3223" s="16" t="n">
        <v>2.603662545141154</v>
      </c>
      <c r="AD3223" s="16" t="n"/>
      <c r="AE3223" s="16" t="n"/>
    </row>
    <row r="3224">
      <c r="A3224" s="16" t="inlineStr">
        <is>
          <t>KF-M09-R0-T_fuente-0010</t>
        </is>
      </c>
      <c r="B3224" s="16" t="inlineStr">
        <is>
          <t>4.3</t>
        </is>
      </c>
      <c r="C3224" s="16" t="inlineStr">
        <is>
          <t>4.3 T_fuente</t>
        </is>
      </c>
      <c r="D3224" s="16" t="inlineStr">
        <is>
          <t>ronda 0</t>
        </is>
      </c>
      <c r="E3224" s="16" t="inlineStr">
        <is>
          <t>KF-M09</t>
        </is>
      </c>
      <c r="F3224" s="16" t="inlineStr">
        <is>
          <t>KF-M09-R0-T_fuente</t>
        </is>
      </c>
      <c r="G3224" s="16" t="inlineStr">
        <is>
          <t>B13-T_fuente</t>
        </is>
      </c>
      <c r="H3224" s="16" t="inlineStr">
        <is>
          <t>lhs</t>
        </is>
      </c>
      <c r="I3224" s="16" t="inlineStr">
        <is>
          <t>CORREGIBLE</t>
        </is>
      </c>
      <c r="J3224" s="16" t="inlineStr">
        <is>
          <t>CORREGIBLE</t>
        </is>
      </c>
      <c r="K3224" s="16" t="b">
        <v>1</v>
      </c>
      <c r="L3224" s="16" t="b">
        <v>0</v>
      </c>
      <c r="M3224" s="16" t="b">
        <v>1</v>
      </c>
      <c r="N3224" s="16" t="b">
        <v>0</v>
      </c>
      <c r="O3224" s="16" t="n">
        <v>623.15</v>
      </c>
      <c r="P3224" s="16" t="n">
        <v>288.8417745793021</v>
      </c>
      <c r="Q3224" s="16" t="n">
        <v>4734.734599502155</v>
      </c>
      <c r="R3224" s="16" t="n">
        <v>1620.202019799479</v>
      </c>
      <c r="S3224" s="16" t="n">
        <v>0.5503828356756744</v>
      </c>
      <c r="T3224" s="16" t="n">
        <v>0.8504284950408978</v>
      </c>
      <c r="U3224" s="16" t="n">
        <v>0.8486700413402772</v>
      </c>
      <c r="V3224" s="16" t="n">
        <v>0.4075210484590628</v>
      </c>
      <c r="W3224" s="16" t="n">
        <v>0.7826691864780502</v>
      </c>
      <c r="X3224" s="16" t="n">
        <v>0.6928167160022001</v>
      </c>
      <c r="Y3224" s="16" t="n">
        <v>288.8417745793021</v>
      </c>
      <c r="Z3224" s="16" t="n">
        <v>8.56461527393343</v>
      </c>
      <c r="AA3224" s="16" t="n">
        <v>75.71329984249043</v>
      </c>
      <c r="AB3224" s="16" t="n">
        <v>3114.532579702676</v>
      </c>
      <c r="AC3224" s="16" t="n">
        <v>2.922311256029752</v>
      </c>
      <c r="AD3224" s="16" t="inlineStr">
        <is>
          <t>O2</t>
        </is>
      </c>
      <c r="AE3224" s="16" t="n"/>
    </row>
    <row r="3225">
      <c r="A3225" s="16" t="inlineStr">
        <is>
          <t>KF-M09-R0-T_fuente-0011</t>
        </is>
      </c>
      <c r="B3225" s="16" t="inlineStr">
        <is>
          <t>4.3</t>
        </is>
      </c>
      <c r="C3225" s="16" t="inlineStr">
        <is>
          <t>4.3 T_fuente</t>
        </is>
      </c>
      <c r="D3225" s="16" t="inlineStr">
        <is>
          <t>ronda 0</t>
        </is>
      </c>
      <c r="E3225" s="16" t="inlineStr">
        <is>
          <t>KF-M09</t>
        </is>
      </c>
      <c r="F3225" s="16" t="inlineStr">
        <is>
          <t>KF-M09-R0-T_fuente</t>
        </is>
      </c>
      <c r="G3225" s="16" t="inlineStr">
        <is>
          <t>B13-T_fuente</t>
        </is>
      </c>
      <c r="H3225" s="16" t="inlineStr">
        <is>
          <t>lhs</t>
        </is>
      </c>
      <c r="I3225" s="16" t="inlineStr">
        <is>
          <t>NO_CONVERGIO</t>
        </is>
      </c>
      <c r="J3225" s="16" t="inlineStr">
        <is>
          <t>NO_CONVERGIO</t>
        </is>
      </c>
      <c r="K3225" s="16" t="b">
        <v>0</v>
      </c>
      <c r="L3225" s="16" t="b">
        <v>0</v>
      </c>
      <c r="M3225" s="16" t="b">
        <v>0</v>
      </c>
      <c r="N3225" s="16" t="b">
        <v>0</v>
      </c>
      <c r="O3225" s="16" t="n">
        <v>623.15</v>
      </c>
      <c r="P3225" s="16" t="n">
        <v>295.2694422804968</v>
      </c>
      <c r="Q3225" s="16" t="n">
        <v>2066.316847956331</v>
      </c>
      <c r="R3225" s="16" t="n">
        <v>855.9134288300592</v>
      </c>
      <c r="S3225" s="16" t="n">
        <v>0.6537064700144911</v>
      </c>
      <c r="T3225" s="16" t="n">
        <v>0.6920458248101582</v>
      </c>
      <c r="U3225" s="16" t="n">
        <v>0.5100117463385203</v>
      </c>
      <c r="V3225" s="16" t="n">
        <v>0.7772886451879499</v>
      </c>
      <c r="W3225" s="16" t="n">
        <v>0.7997820063304075</v>
      </c>
      <c r="X3225" s="16" t="n">
        <v>0.6722748659500848</v>
      </c>
      <c r="Y3225" s="16" t="n">
        <v>295.2694422804968</v>
      </c>
      <c r="Z3225" s="16" t="n"/>
      <c r="AA3225" s="16" t="n"/>
      <c r="AB3225" s="16" t="n">
        <v>1210.403419126272</v>
      </c>
      <c r="AC3225" s="16" t="n">
        <v>2.414165706899543</v>
      </c>
      <c r="AD3225" s="16" t="n"/>
      <c r="AE3225" s="16" t="n"/>
    </row>
    <row r="3226">
      <c r="A3226" s="16" t="inlineStr">
        <is>
          <t>KF-M09-R0-T_fuente-0012</t>
        </is>
      </c>
      <c r="B3226" s="16" t="inlineStr">
        <is>
          <t>4.3</t>
        </is>
      </c>
      <c r="C3226" s="16" t="inlineStr">
        <is>
          <t>4.3 T_fuente</t>
        </is>
      </c>
      <c r="D3226" s="16" t="inlineStr">
        <is>
          <t>ronda 0</t>
        </is>
      </c>
      <c r="E3226" s="16" t="inlineStr">
        <is>
          <t>KF-M09</t>
        </is>
      </c>
      <c r="F3226" s="16" t="inlineStr">
        <is>
          <t>KF-M09-R0-T_fuente</t>
        </is>
      </c>
      <c r="G3226" s="16" t="inlineStr">
        <is>
          <t>B13-T_fuente</t>
        </is>
      </c>
      <c r="H3226" s="16" t="inlineStr">
        <is>
          <t>lhs</t>
        </is>
      </c>
      <c r="I3226" s="16" t="inlineStr">
        <is>
          <t>CORREGIBLE</t>
        </is>
      </c>
      <c r="J3226" s="16" t="inlineStr">
        <is>
          <t>CORREGIBLE</t>
        </is>
      </c>
      <c r="K3226" s="16" t="b">
        <v>1</v>
      </c>
      <c r="L3226" s="16" t="b">
        <v>0</v>
      </c>
      <c r="M3226" s="16" t="b">
        <v>1</v>
      </c>
      <c r="N3226" s="16" t="b">
        <v>0</v>
      </c>
      <c r="O3226" s="16" t="n">
        <v>623.15</v>
      </c>
      <c r="P3226" s="16" t="n">
        <v>298.3068889822364</v>
      </c>
      <c r="Q3226" s="16" t="n">
        <v>4901.061223519155</v>
      </c>
      <c r="R3226" s="16" t="n">
        <v>351.5925808025371</v>
      </c>
      <c r="S3226" s="16" t="n">
        <v>0.5040704848455015</v>
      </c>
      <c r="T3226" s="16" t="n">
        <v>0.7954886167193804</v>
      </c>
      <c r="U3226" s="16" t="n">
        <v>0.4969444939343614</v>
      </c>
      <c r="V3226" s="16" t="n">
        <v>0.588152647430722</v>
      </c>
      <c r="W3226" s="16" t="n">
        <v>0.5819293999524817</v>
      </c>
      <c r="X3226" s="16" t="n">
        <v>0.6211650222202028</v>
      </c>
      <c r="Y3226" s="16" t="n">
        <v>298.3068889822364</v>
      </c>
      <c r="Z3226" s="16" t="n">
        <v>6.07158688670072</v>
      </c>
      <c r="AA3226" s="16" t="n">
        <v>65.79281117298893</v>
      </c>
      <c r="AB3226" s="16" t="n">
        <v>4549.468642716618</v>
      </c>
      <c r="AC3226" s="16" t="n">
        <v>13.93960365242095</v>
      </c>
      <c r="AD3226" s="16" t="inlineStr">
        <is>
          <t>O1,O2</t>
        </is>
      </c>
      <c r="AE3226" s="16" t="n"/>
    </row>
    <row r="3227">
      <c r="A3227" s="16" t="inlineStr">
        <is>
          <t>KF-M09-R0-T_fuente-0013</t>
        </is>
      </c>
      <c r="B3227" s="16" t="inlineStr">
        <is>
          <t>4.3</t>
        </is>
      </c>
      <c r="C3227" s="16" t="inlineStr">
        <is>
          <t>4.3 T_fuente</t>
        </is>
      </c>
      <c r="D3227" s="16" t="inlineStr">
        <is>
          <t>ronda 0</t>
        </is>
      </c>
      <c r="E3227" s="16" t="inlineStr">
        <is>
          <t>KF-M09</t>
        </is>
      </c>
      <c r="F3227" s="16" t="inlineStr">
        <is>
          <t>KF-M09-R0-T_fuente</t>
        </is>
      </c>
      <c r="G3227" s="16" t="inlineStr">
        <is>
          <t>B13-T_fuente</t>
        </is>
      </c>
      <c r="H3227" s="16" t="inlineStr">
        <is>
          <t>lhs</t>
        </is>
      </c>
      <c r="I3227" s="16" t="inlineStr">
        <is>
          <t>CORREGIBLE</t>
        </is>
      </c>
      <c r="J3227" s="16" t="inlineStr">
        <is>
          <t>CORREGIBLE</t>
        </is>
      </c>
      <c r="K3227" s="16" t="b">
        <v>1</v>
      </c>
      <c r="L3227" s="16" t="b">
        <v>0</v>
      </c>
      <c r="M3227" s="16" t="b">
        <v>1</v>
      </c>
      <c r="N3227" s="16" t="b">
        <v>0</v>
      </c>
      <c r="O3227" s="16" t="n">
        <v>623.15</v>
      </c>
      <c r="P3227" s="16" t="n">
        <v>303.3762154679023</v>
      </c>
      <c r="Q3227" s="16" t="n">
        <v>3979.769764537454</v>
      </c>
      <c r="R3227" s="16" t="n">
        <v>1913.689364019559</v>
      </c>
      <c r="S3227" s="16" t="n">
        <v>0.6678647595541882</v>
      </c>
      <c r="T3227" s="16" t="n">
        <v>0.4423864715260754</v>
      </c>
      <c r="U3227" s="16" t="n">
        <v>0.5554377205634725</v>
      </c>
      <c r="V3227" s="16" t="n">
        <v>0.5701249512021356</v>
      </c>
      <c r="W3227" s="16" t="n">
        <v>0.4334955618683224</v>
      </c>
      <c r="X3227" s="16" t="n">
        <v>0.8401557519919477</v>
      </c>
      <c r="Y3227" s="16" t="n">
        <v>303.3762154679023</v>
      </c>
      <c r="Z3227" s="16" t="n">
        <v>2.75217654098346</v>
      </c>
      <c r="AA3227" s="16" t="n">
        <v>34.60276609781585</v>
      </c>
      <c r="AB3227" s="16" t="n">
        <v>2066.080400517895</v>
      </c>
      <c r="AC3227" s="16" t="n">
        <v>2.079632065351636</v>
      </c>
      <c r="AD3227" s="16" t="inlineStr">
        <is>
          <t>O2</t>
        </is>
      </c>
      <c r="AE3227" s="16" t="n"/>
    </row>
    <row r="3228">
      <c r="A3228" s="16" t="inlineStr">
        <is>
          <t>KF-M09-R0-T_fuente-0014</t>
        </is>
      </c>
      <c r="B3228" s="16" t="inlineStr">
        <is>
          <t>4.3</t>
        </is>
      </c>
      <c r="C3228" s="16" t="inlineStr">
        <is>
          <t>4.3 T_fuente</t>
        </is>
      </c>
      <c r="D3228" s="16" t="inlineStr">
        <is>
          <t>ronda 0</t>
        </is>
      </c>
      <c r="E3228" s="16" t="inlineStr">
        <is>
          <t>KF-M09</t>
        </is>
      </c>
      <c r="F3228" s="16" t="inlineStr">
        <is>
          <t>KF-M09-R0-T_fuente</t>
        </is>
      </c>
      <c r="G3228" s="16" t="inlineStr">
        <is>
          <t>B13-T_fuente</t>
        </is>
      </c>
      <c r="H3228" s="16" t="inlineStr">
        <is>
          <t>lhs</t>
        </is>
      </c>
      <c r="I3228" s="16" t="inlineStr">
        <is>
          <t>NO_CONVERGIO</t>
        </is>
      </c>
      <c r="J3228" s="16" t="inlineStr">
        <is>
          <t>NO_CONVERGIO</t>
        </is>
      </c>
      <c r="K3228" s="16" t="b">
        <v>0</v>
      </c>
      <c r="L3228" s="16" t="b">
        <v>0</v>
      </c>
      <c r="M3228" s="16" t="b">
        <v>0</v>
      </c>
      <c r="N3228" s="16" t="b">
        <v>0</v>
      </c>
      <c r="O3228" s="16" t="n">
        <v>623.15</v>
      </c>
      <c r="P3228" s="16" t="n">
        <v>294.4151173017103</v>
      </c>
      <c r="Q3228" s="16" t="n">
        <v>3396.178542909995</v>
      </c>
      <c r="R3228" s="16" t="n">
        <v>349.5343076942009</v>
      </c>
      <c r="S3228" s="16" t="n">
        <v>0.6934559588868736</v>
      </c>
      <c r="T3228" s="16" t="n">
        <v>0.866469353127826</v>
      </c>
      <c r="U3228" s="16" t="n">
        <v>0.7753592039429549</v>
      </c>
      <c r="V3228" s="16" t="n">
        <v>0.7934121076756206</v>
      </c>
      <c r="W3228" s="16" t="n">
        <v>0.8782032959600464</v>
      </c>
      <c r="X3228" s="16" t="n">
        <v>0.4468579413161118</v>
      </c>
      <c r="Y3228" s="16" t="n">
        <v>294.4151173017103</v>
      </c>
      <c r="Z3228" s="16" t="n"/>
      <c r="AA3228" s="16" t="n"/>
      <c r="AB3228" s="16" t="n">
        <v>3046.644235215794</v>
      </c>
      <c r="AC3228" s="16" t="n">
        <v>9.716295276746422</v>
      </c>
      <c r="AD3228" s="16" t="n"/>
      <c r="AE3228" s="16" t="n"/>
    </row>
    <row r="3229">
      <c r="A3229" s="16" t="inlineStr">
        <is>
          <t>KF-M09-R0-T_fuente-0015</t>
        </is>
      </c>
      <c r="B3229" s="16" t="inlineStr">
        <is>
          <t>4.3</t>
        </is>
      </c>
      <c r="C3229" s="16" t="inlineStr">
        <is>
          <t>4.3 T_fuente</t>
        </is>
      </c>
      <c r="D3229" s="16" t="inlineStr">
        <is>
          <t>ronda 0</t>
        </is>
      </c>
      <c r="E3229" s="16" t="inlineStr">
        <is>
          <t>KF-M09</t>
        </is>
      </c>
      <c r="F3229" s="16" t="inlineStr">
        <is>
          <t>KF-M09-R0-T_fuente</t>
        </is>
      </c>
      <c r="G3229" s="16" t="inlineStr">
        <is>
          <t>B13-T_fuente</t>
        </is>
      </c>
      <c r="H3229" s="16" t="inlineStr">
        <is>
          <t>lhs</t>
        </is>
      </c>
      <c r="I3229" s="16" t="inlineStr">
        <is>
          <t>CORREGIBLE</t>
        </is>
      </c>
      <c r="J3229" s="16" t="inlineStr">
        <is>
          <t>CORREGIBLE</t>
        </is>
      </c>
      <c r="K3229" s="16" t="b">
        <v>1</v>
      </c>
      <c r="L3229" s="16" t="b">
        <v>0</v>
      </c>
      <c r="M3229" s="16" t="b">
        <v>1</v>
      </c>
      <c r="N3229" s="16" t="b">
        <v>0</v>
      </c>
      <c r="O3229" s="16" t="n">
        <v>623.15</v>
      </c>
      <c r="P3229" s="16" t="n">
        <v>299.6003919183179</v>
      </c>
      <c r="Q3229" s="16" t="n">
        <v>4070.858707796533</v>
      </c>
      <c r="R3229" s="16" t="n">
        <v>1489.72064604664</v>
      </c>
      <c r="S3229" s="16" t="n">
        <v>0.673939501935077</v>
      </c>
      <c r="T3229" s="16" t="n">
        <v>0.526370751218858</v>
      </c>
      <c r="U3229" s="16" t="n">
        <v>0.9135976378897964</v>
      </c>
      <c r="V3229" s="16" t="n">
        <v>0.468093081482445</v>
      </c>
      <c r="W3229" s="16" t="n">
        <v>0.5788180207414526</v>
      </c>
      <c r="X3229" s="16" t="n">
        <v>0.6045185178007326</v>
      </c>
      <c r="Y3229" s="16" t="n">
        <v>299.6003919183179</v>
      </c>
      <c r="Z3229" s="16" t="n">
        <v>2.65200357672258</v>
      </c>
      <c r="AA3229" s="16" t="n">
        <v>23.09252768406493</v>
      </c>
      <c r="AB3229" s="16" t="n">
        <v>2581.138061749893</v>
      </c>
      <c r="AC3229" s="16" t="n">
        <v>2.732632268069596</v>
      </c>
      <c r="AD3229" s="16" t="inlineStr">
        <is>
          <t>O2</t>
        </is>
      </c>
      <c r="AE3229" s="16" t="n"/>
    </row>
    <row r="3230">
      <c r="A3230" s="16" t="inlineStr">
        <is>
          <t>KF-M09-R0-T_fuente-0016</t>
        </is>
      </c>
      <c r="B3230" s="16" t="inlineStr">
        <is>
          <t>4.3</t>
        </is>
      </c>
      <c r="C3230" s="16" t="inlineStr">
        <is>
          <t>4.3 T_fuente</t>
        </is>
      </c>
      <c r="D3230" s="16" t="inlineStr">
        <is>
          <t>ronda 0</t>
        </is>
      </c>
      <c r="E3230" s="16" t="inlineStr">
        <is>
          <t>KF-M09</t>
        </is>
      </c>
      <c r="F3230" s="16" t="inlineStr">
        <is>
          <t>KF-M09-R0-T_fuente</t>
        </is>
      </c>
      <c r="G3230" s="16" t="inlineStr">
        <is>
          <t>B13-T_fuente</t>
        </is>
      </c>
      <c r="H3230" s="16" t="inlineStr">
        <is>
          <t>lhs</t>
        </is>
      </c>
      <c r="I3230" s="16" t="inlineStr">
        <is>
          <t>CORREGIBLE</t>
        </is>
      </c>
      <c r="J3230" s="16" t="inlineStr">
        <is>
          <t>CORREGIBLE</t>
        </is>
      </c>
      <c r="K3230" s="16" t="b">
        <v>1</v>
      </c>
      <c r="L3230" s="16" t="b">
        <v>0</v>
      </c>
      <c r="M3230" s="16" t="b">
        <v>1</v>
      </c>
      <c r="N3230" s="16" t="b">
        <v>0</v>
      </c>
      <c r="O3230" s="16" t="n">
        <v>623.15</v>
      </c>
      <c r="P3230" s="16" t="n">
        <v>291.5597314839689</v>
      </c>
      <c r="Q3230" s="16" t="n">
        <v>2028.570774216978</v>
      </c>
      <c r="R3230" s="16" t="n">
        <v>1430.271108807394</v>
      </c>
      <c r="S3230" s="16" t="n">
        <v>0.6021777830734449</v>
      </c>
      <c r="T3230" s="16" t="n">
        <v>0.7159884554414797</v>
      </c>
      <c r="U3230" s="16" t="n">
        <v>0.8000554655124499</v>
      </c>
      <c r="V3230" s="16" t="n">
        <v>0.7142495152738474</v>
      </c>
      <c r="W3230" s="16" t="n">
        <v>0.9221411583143692</v>
      </c>
      <c r="X3230" s="16" t="n">
        <v>0.5756734516560595</v>
      </c>
      <c r="Y3230" s="16" t="n">
        <v>291.5597314839689</v>
      </c>
      <c r="Z3230" s="16" t="n">
        <v>1.35035475684443</v>
      </c>
      <c r="AA3230" s="16" t="n">
        <v>16.73862735649781</v>
      </c>
      <c r="AB3230" s="16" t="n">
        <v>598.2996654095843</v>
      </c>
      <c r="AC3230" s="16" t="n">
        <v>1.418312068058527</v>
      </c>
      <c r="AD3230" s="16" t="inlineStr">
        <is>
          <t>O2</t>
        </is>
      </c>
      <c r="AE3230" s="16" t="n"/>
    </row>
    <row r="3231">
      <c r="A3231" s="16" t="inlineStr">
        <is>
          <t>KF-M09-R0-T_fuente-0017</t>
        </is>
      </c>
      <c r="B3231" s="16" t="inlineStr">
        <is>
          <t>4.3</t>
        </is>
      </c>
      <c r="C3231" s="16" t="inlineStr">
        <is>
          <t>4.3 T_fuente</t>
        </is>
      </c>
      <c r="D3231" s="16" t="inlineStr">
        <is>
          <t>ronda 0</t>
        </is>
      </c>
      <c r="E3231" s="16" t="inlineStr">
        <is>
          <t>KF-M09</t>
        </is>
      </c>
      <c r="F3231" s="16" t="inlineStr">
        <is>
          <t>KF-M09-R0-T_fuente</t>
        </is>
      </c>
      <c r="G3231" s="16" t="inlineStr">
        <is>
          <t>B13-T_fuente</t>
        </is>
      </c>
      <c r="H3231" s="16" t="inlineStr">
        <is>
          <t>lhs</t>
        </is>
      </c>
      <c r="I3231" s="16" t="inlineStr">
        <is>
          <t>NO_CONVERGIO</t>
        </is>
      </c>
      <c r="J3231" s="16" t="inlineStr">
        <is>
          <t>NO_CONVERGIO</t>
        </is>
      </c>
      <c r="K3231" s="16" t="b">
        <v>0</v>
      </c>
      <c r="L3231" s="16" t="b">
        <v>0</v>
      </c>
      <c r="M3231" s="16" t="b">
        <v>0</v>
      </c>
      <c r="N3231" s="16" t="b">
        <v>0</v>
      </c>
      <c r="O3231" s="16" t="n">
        <v>623.15</v>
      </c>
      <c r="P3231" s="16" t="n">
        <v>296.4939213855312</v>
      </c>
      <c r="Q3231" s="16" t="n">
        <v>2387.598308131757</v>
      </c>
      <c r="R3231" s="16" t="n">
        <v>544.7244239030637</v>
      </c>
      <c r="S3231" s="16" t="n">
        <v>0.5072266955028534</v>
      </c>
      <c r="T3231" s="16" t="n">
        <v>0.4954224942563772</v>
      </c>
      <c r="U3231" s="16" t="n">
        <v>0.5625707862251065</v>
      </c>
      <c r="V3231" s="16" t="n">
        <v>0.888923002599888</v>
      </c>
      <c r="W3231" s="16" t="n">
        <v>0.5035612760561292</v>
      </c>
      <c r="X3231" s="16" t="n">
        <v>0.7206463048909271</v>
      </c>
      <c r="Y3231" s="16" t="n">
        <v>296.4939213855312</v>
      </c>
      <c r="Z3231" s="16" t="n"/>
      <c r="AA3231" s="16" t="n"/>
      <c r="AB3231" s="16" t="n">
        <v>1842.873884228693</v>
      </c>
      <c r="AC3231" s="16" t="n">
        <v>4.383130631492745</v>
      </c>
      <c r="AD3231" s="16" t="n"/>
      <c r="AE3231" s="16" t="n"/>
    </row>
    <row r="3232">
      <c r="A3232" s="16" t="inlineStr">
        <is>
          <t>KF-M09-R0-T_fuente-0018</t>
        </is>
      </c>
      <c r="B3232" s="16" t="inlineStr">
        <is>
          <t>4.3</t>
        </is>
      </c>
      <c r="C3232" s="16" t="inlineStr">
        <is>
          <t>4.3 T_fuente</t>
        </is>
      </c>
      <c r="D3232" s="16" t="inlineStr">
        <is>
          <t>ronda 0</t>
        </is>
      </c>
      <c r="E3232" s="16" t="inlineStr">
        <is>
          <t>KF-M09</t>
        </is>
      </c>
      <c r="F3232" s="16" t="inlineStr">
        <is>
          <t>KF-M09-R0-T_fuente</t>
        </is>
      </c>
      <c r="G3232" s="16" t="inlineStr">
        <is>
          <t>B13-T_fuente</t>
        </is>
      </c>
      <c r="H3232" s="16" t="inlineStr">
        <is>
          <t>lhs</t>
        </is>
      </c>
      <c r="I3232" s="16" t="inlineStr">
        <is>
          <t>CORREGIBLE</t>
        </is>
      </c>
      <c r="J3232" s="16" t="inlineStr">
        <is>
          <t>CORREGIBLE</t>
        </is>
      </c>
      <c r="K3232" s="16" t="b">
        <v>1</v>
      </c>
      <c r="L3232" s="16" t="b">
        <v>0</v>
      </c>
      <c r="M3232" s="16" t="b">
        <v>1</v>
      </c>
      <c r="N3232" s="16" t="b">
        <v>0</v>
      </c>
      <c r="O3232" s="16" t="n">
        <v>623.15</v>
      </c>
      <c r="P3232" s="16" t="n">
        <v>300.3079685414979</v>
      </c>
      <c r="Q3232" s="16" t="n">
        <v>2107.512844541744</v>
      </c>
      <c r="R3232" s="16" t="n">
        <v>1176.368631250904</v>
      </c>
      <c r="S3232" s="16" t="n">
        <v>0.7089155647951947</v>
      </c>
      <c r="T3232" s="16" t="n">
        <v>0.8970122450973028</v>
      </c>
      <c r="U3232" s="16" t="n">
        <v>0.7310352221237749</v>
      </c>
      <c r="V3232" s="16" t="n">
        <v>0.7376253362661542</v>
      </c>
      <c r="W3232" s="16" t="n">
        <v>0.6783227097306657</v>
      </c>
      <c r="X3232" s="16" t="n">
        <v>0.7838627760200549</v>
      </c>
      <c r="Y3232" s="16" t="n">
        <v>300.3079685414979</v>
      </c>
      <c r="Z3232" s="16" t="n">
        <v>4.55121628807822</v>
      </c>
      <c r="AA3232" s="16" t="n">
        <v>68.77030999002061</v>
      </c>
      <c r="AB3232" s="16" t="n">
        <v>931.14421329084</v>
      </c>
      <c r="AC3232" s="16" t="n">
        <v>1.791541178976098</v>
      </c>
      <c r="AD3232" s="16" t="inlineStr">
        <is>
          <t>O2</t>
        </is>
      </c>
      <c r="AE3232" s="16" t="n"/>
    </row>
    <row r="3233">
      <c r="A3233" s="16" t="inlineStr">
        <is>
          <t>KF-M09-R0-T_fuente-0019</t>
        </is>
      </c>
      <c r="B3233" s="16" t="inlineStr">
        <is>
          <t>4.3</t>
        </is>
      </c>
      <c r="C3233" s="16" t="inlineStr">
        <is>
          <t>4.3 T_fuente</t>
        </is>
      </c>
      <c r="D3233" s="16" t="inlineStr">
        <is>
          <t>ronda 0</t>
        </is>
      </c>
      <c r="E3233" s="16" t="inlineStr">
        <is>
          <t>KF-M09</t>
        </is>
      </c>
      <c r="F3233" s="16" t="inlineStr">
        <is>
          <t>KF-M09-R0-T_fuente</t>
        </is>
      </c>
      <c r="G3233" s="16" t="inlineStr">
        <is>
          <t>B13-T_fuente</t>
        </is>
      </c>
      <c r="H3233" s="16" t="inlineStr">
        <is>
          <t>lhs</t>
        </is>
      </c>
      <c r="I3233" s="16" t="inlineStr">
        <is>
          <t>CORREGIBLE</t>
        </is>
      </c>
      <c r="J3233" s="16" t="inlineStr">
        <is>
          <t>CORREGIBLE</t>
        </is>
      </c>
      <c r="K3233" s="16" t="b">
        <v>1</v>
      </c>
      <c r="L3233" s="16" t="b">
        <v>0</v>
      </c>
      <c r="M3233" s="16" t="b">
        <v>1</v>
      </c>
      <c r="N3233" s="16" t="b">
        <v>0</v>
      </c>
      <c r="O3233" s="16" t="n">
        <v>623.15</v>
      </c>
      <c r="P3233" s="16" t="n">
        <v>283.8043653393291</v>
      </c>
      <c r="Q3233" s="16" t="n">
        <v>4921.212902723632</v>
      </c>
      <c r="R3233" s="16" t="n">
        <v>320.6466163593556</v>
      </c>
      <c r="S3233" s="16" t="n">
        <v>0.553082520408853</v>
      </c>
      <c r="T3233" s="16" t="n">
        <v>0.8872840711224597</v>
      </c>
      <c r="U3233" s="16" t="n">
        <v>0.7707869249063902</v>
      </c>
      <c r="V3233" s="16" t="n">
        <v>0.6650293809074916</v>
      </c>
      <c r="W3233" s="16" t="n">
        <v>0.6301060497588021</v>
      </c>
      <c r="X3233" s="16" t="n">
        <v>0.8360917300721773</v>
      </c>
      <c r="Y3233" s="16" t="n">
        <v>283.8043653393291</v>
      </c>
      <c r="Z3233" s="16" t="n">
        <v>18.50892491092784</v>
      </c>
      <c r="AA3233" s="16" t="n">
        <v>290.1053043197749</v>
      </c>
      <c r="AB3233" s="16" t="n">
        <v>4600.566286364276</v>
      </c>
      <c r="AC3233" s="16" t="n">
        <v>15.34777743361035</v>
      </c>
      <c r="AD3233" s="16" t="inlineStr">
        <is>
          <t>O1,O2</t>
        </is>
      </c>
      <c r="AE3233" s="16" t="n"/>
    </row>
    <row r="3234">
      <c r="A3234" s="16" t="inlineStr">
        <is>
          <t>KF-M09-R0-T_fuente-0020</t>
        </is>
      </c>
      <c r="B3234" s="16" t="inlineStr">
        <is>
          <t>4.3</t>
        </is>
      </c>
      <c r="C3234" s="16" t="inlineStr">
        <is>
          <t>4.3 T_fuente</t>
        </is>
      </c>
      <c r="D3234" s="16" t="inlineStr">
        <is>
          <t>ronda 0</t>
        </is>
      </c>
      <c r="E3234" s="16" t="inlineStr">
        <is>
          <t>KF-M09</t>
        </is>
      </c>
      <c r="F3234" s="16" t="inlineStr">
        <is>
          <t>KF-M09-R0-T_fuente</t>
        </is>
      </c>
      <c r="G3234" s="16" t="inlineStr">
        <is>
          <t>B13-T_fuente</t>
        </is>
      </c>
      <c r="H3234" s="16" t="inlineStr">
        <is>
          <t>lhs</t>
        </is>
      </c>
      <c r="I3234" s="16" t="inlineStr">
        <is>
          <t>CORREGIBLE</t>
        </is>
      </c>
      <c r="J3234" s="16" t="inlineStr">
        <is>
          <t>CORREGIBLE</t>
        </is>
      </c>
      <c r="K3234" s="16" t="b">
        <v>1</v>
      </c>
      <c r="L3234" s="16" t="b">
        <v>0</v>
      </c>
      <c r="M3234" s="16" t="b">
        <v>1</v>
      </c>
      <c r="N3234" s="16" t="b">
        <v>0</v>
      </c>
      <c r="O3234" s="16" t="n">
        <v>623.15</v>
      </c>
      <c r="P3234" s="16" t="n">
        <v>280.7041844554679</v>
      </c>
      <c r="Q3234" s="16" t="n">
        <v>4726.033652839031</v>
      </c>
      <c r="R3234" s="16" t="n">
        <v>754.6477954238487</v>
      </c>
      <c r="S3234" s="16" t="n">
        <v>0.7307116786187656</v>
      </c>
      <c r="T3234" s="16" t="n">
        <v>0.5394826305600545</v>
      </c>
      <c r="U3234" s="16" t="n">
        <v>0.406672786829766</v>
      </c>
      <c r="V3234" s="16" t="n">
        <v>0.7999507478234953</v>
      </c>
      <c r="W3234" s="16" t="n">
        <v>0.787877883345986</v>
      </c>
      <c r="X3234" s="16" t="n">
        <v>0.9368411724345144</v>
      </c>
      <c r="Y3234" s="16" t="n">
        <v>280.7041844554679</v>
      </c>
      <c r="Z3234" s="16" t="n">
        <v>8.221322315927621</v>
      </c>
      <c r="AA3234" s="16" t="n">
        <v>155.7901925266139</v>
      </c>
      <c r="AB3234" s="16" t="n">
        <v>3971.385857415182</v>
      </c>
      <c r="AC3234" s="16" t="n">
        <v>6.262568686342811</v>
      </c>
      <c r="AD3234" s="16" t="inlineStr">
        <is>
          <t>O2</t>
        </is>
      </c>
      <c r="AE3234" s="16" t="n"/>
    </row>
    <row r="3235">
      <c r="A3235" s="16" t="inlineStr">
        <is>
          <t>KF-M09-R0-T_fuente-0021</t>
        </is>
      </c>
      <c r="B3235" s="16" t="inlineStr">
        <is>
          <t>4.3</t>
        </is>
      </c>
      <c r="C3235" s="16" t="inlineStr">
        <is>
          <t>4.3 T_fuente</t>
        </is>
      </c>
      <c r="D3235" s="16" t="inlineStr">
        <is>
          <t>ronda 0</t>
        </is>
      </c>
      <c r="E3235" s="16" t="inlineStr">
        <is>
          <t>KF-M09</t>
        </is>
      </c>
      <c r="F3235" s="16" t="inlineStr">
        <is>
          <t>KF-M09-R0-T_fuente</t>
        </is>
      </c>
      <c r="G3235" s="16" t="inlineStr">
        <is>
          <t>B13-T_fuente</t>
        </is>
      </c>
      <c r="H3235" s="16" t="inlineStr">
        <is>
          <t>lhs</t>
        </is>
      </c>
      <c r="I3235" s="16" t="inlineStr">
        <is>
          <t>NO_CONVERGIO</t>
        </is>
      </c>
      <c r="J3235" s="16" t="inlineStr">
        <is>
          <t>NO_CONVERGIO</t>
        </is>
      </c>
      <c r="K3235" s="16" t="b">
        <v>0</v>
      </c>
      <c r="L3235" s="16" t="b">
        <v>0</v>
      </c>
      <c r="M3235" s="16" t="b">
        <v>0</v>
      </c>
      <c r="N3235" s="16" t="b">
        <v>0</v>
      </c>
      <c r="O3235" s="16" t="n">
        <v>623.15</v>
      </c>
      <c r="P3235" s="16" t="n">
        <v>288.137645631521</v>
      </c>
      <c r="Q3235" s="16" t="n">
        <v>2474.000076784601</v>
      </c>
      <c r="R3235" s="16" t="n">
        <v>1223.655609521988</v>
      </c>
      <c r="S3235" s="16" t="n">
        <v>0.5244162242947152</v>
      </c>
      <c r="T3235" s="16" t="n">
        <v>0.6622619912287859</v>
      </c>
      <c r="U3235" s="16" t="n">
        <v>0.8678750319656894</v>
      </c>
      <c r="V3235" s="16" t="n">
        <v>0.8895807634511941</v>
      </c>
      <c r="W3235" s="16" t="n">
        <v>0.6818761826922977</v>
      </c>
      <c r="X3235" s="16" t="n">
        <v>0.8008339240062837</v>
      </c>
      <c r="Y3235" s="16" t="n">
        <v>288.137645631521</v>
      </c>
      <c r="Z3235" s="16" t="n"/>
      <c r="AA3235" s="16" t="n"/>
      <c r="AB3235" s="16" t="n">
        <v>1250.344467262613</v>
      </c>
      <c r="AC3235" s="16" t="n">
        <v>2.021810759116326</v>
      </c>
      <c r="AD3235" s="16" t="n"/>
      <c r="AE3235" s="16" t="n"/>
    </row>
    <row r="3236">
      <c r="A3236" s="16" t="inlineStr">
        <is>
          <t>KF-M09-R0-T_fuente-0022</t>
        </is>
      </c>
      <c r="B3236" s="16" t="inlineStr">
        <is>
          <t>4.3</t>
        </is>
      </c>
      <c r="C3236" s="16" t="inlineStr">
        <is>
          <t>4.3 T_fuente</t>
        </is>
      </c>
      <c r="D3236" s="16" t="inlineStr">
        <is>
          <t>ronda 0</t>
        </is>
      </c>
      <c r="E3236" s="16" t="inlineStr">
        <is>
          <t>KF-M09</t>
        </is>
      </c>
      <c r="F3236" s="16" t="inlineStr">
        <is>
          <t>KF-M09-R0-T_fuente</t>
        </is>
      </c>
      <c r="G3236" s="16" t="inlineStr">
        <is>
          <t>B13-T_fuente</t>
        </is>
      </c>
      <c r="H3236" s="16" t="inlineStr">
        <is>
          <t>lhs</t>
        </is>
      </c>
      <c r="I3236" s="16" t="inlineStr">
        <is>
          <t>KALINA</t>
        </is>
      </c>
      <c r="J3236" s="16" t="inlineStr">
        <is>
          <t>KALINA</t>
        </is>
      </c>
      <c r="K3236" s="16" t="b">
        <v>1</v>
      </c>
      <c r="L3236" s="16" t="b">
        <v>0</v>
      </c>
      <c r="M3236" s="16" t="b">
        <v>1</v>
      </c>
      <c r="N3236" s="16" t="b">
        <v>0</v>
      </c>
      <c r="O3236" s="16" t="n">
        <v>623.15</v>
      </c>
      <c r="P3236" s="16" t="n">
        <v>281.2647486617786</v>
      </c>
      <c r="Q3236" s="16" t="n">
        <v>2864.874245178099</v>
      </c>
      <c r="R3236" s="16" t="n">
        <v>1829.618849296471</v>
      </c>
      <c r="S3236" s="16" t="n">
        <v>0.613179253187304</v>
      </c>
      <c r="T3236" s="16" t="n">
        <v>0.830943563344142</v>
      </c>
      <c r="U3236" s="16" t="n">
        <v>0.6033450471125361</v>
      </c>
      <c r="V3236" s="16" t="n">
        <v>0.6704220442738305</v>
      </c>
      <c r="W3236" s="16" t="n">
        <v>0.6546750276264494</v>
      </c>
      <c r="X3236" s="16" t="n">
        <v>0.9105991018017978</v>
      </c>
      <c r="Y3236" s="16" t="n">
        <v>281.2647486617786</v>
      </c>
      <c r="Z3236" s="16" t="n">
        <v>3.28919941242133</v>
      </c>
      <c r="AA3236" s="16" t="n">
        <v>54.21712199305324</v>
      </c>
      <c r="AB3236" s="16" t="n">
        <v>1035.255395881628</v>
      </c>
      <c r="AC3236" s="16" t="n">
        <v>1.565831181876874</v>
      </c>
      <c r="AD3236" s="16" t="n"/>
      <c r="AE3236" s="16" t="n"/>
    </row>
    <row r="3237">
      <c r="A3237" s="16" t="inlineStr">
        <is>
          <t>KF-M09-R0-T_fuente-0023</t>
        </is>
      </c>
      <c r="B3237" s="16" t="inlineStr">
        <is>
          <t>4.3</t>
        </is>
      </c>
      <c r="C3237" s="16" t="inlineStr">
        <is>
          <t>4.3 T_fuente</t>
        </is>
      </c>
      <c r="D3237" s="16" t="inlineStr">
        <is>
          <t>ronda 0</t>
        </is>
      </c>
      <c r="E3237" s="16" t="inlineStr">
        <is>
          <t>KF-M09</t>
        </is>
      </c>
      <c r="F3237" s="16" t="inlineStr">
        <is>
          <t>KF-M09-R0-T_fuente</t>
        </is>
      </c>
      <c r="G3237" s="16" t="inlineStr">
        <is>
          <t>B13-T_fuente</t>
        </is>
      </c>
      <c r="H3237" s="16" t="inlineStr">
        <is>
          <t>lhs</t>
        </is>
      </c>
      <c r="I3237" s="16" t="inlineStr">
        <is>
          <t>NO_CONVERGIO</t>
        </is>
      </c>
      <c r="J3237" s="16" t="inlineStr">
        <is>
          <t>NO_CONVERGIO</t>
        </is>
      </c>
      <c r="K3237" s="16" t="b">
        <v>0</v>
      </c>
      <c r="L3237" s="16" t="b">
        <v>0</v>
      </c>
      <c r="M3237" s="16" t="b">
        <v>0</v>
      </c>
      <c r="N3237" s="16" t="b">
        <v>0</v>
      </c>
      <c r="O3237" s="16" t="n">
        <v>623.15</v>
      </c>
      <c r="P3237" s="16" t="n">
        <v>289.0755837166557</v>
      </c>
      <c r="Q3237" s="16" t="n">
        <v>2814.023854074508</v>
      </c>
      <c r="R3237" s="16" t="n">
        <v>1986.555070035975</v>
      </c>
      <c r="S3237" s="16" t="n">
        <v>0.6223402075097862</v>
      </c>
      <c r="T3237" s="16" t="n">
        <v>0.8769479159044902</v>
      </c>
      <c r="U3237" s="16" t="n">
        <v>0.5302813567572858</v>
      </c>
      <c r="V3237" s="16" t="n">
        <v>0.7325609137012421</v>
      </c>
      <c r="W3237" s="16" t="n">
        <v>0.7012808697576073</v>
      </c>
      <c r="X3237" s="16" t="n">
        <v>0.4370183145533303</v>
      </c>
      <c r="Y3237" s="16" t="n">
        <v>289.0755837166557</v>
      </c>
      <c r="Z3237" s="16" t="n"/>
      <c r="AA3237" s="16" t="n"/>
      <c r="AB3237" s="16" t="n">
        <v>827.4687840385332</v>
      </c>
      <c r="AC3237" s="16" t="n">
        <v>1.416534530816479</v>
      </c>
      <c r="AD3237" s="16" t="n"/>
      <c r="AE3237" s="16" t="n"/>
    </row>
    <row r="3238">
      <c r="A3238" s="16" t="inlineStr">
        <is>
          <t>KF-M09-R0-T_fuente-0024</t>
        </is>
      </c>
      <c r="B3238" s="16" t="inlineStr">
        <is>
          <t>4.3</t>
        </is>
      </c>
      <c r="C3238" s="16" t="inlineStr">
        <is>
          <t>4.3 T_fuente</t>
        </is>
      </c>
      <c r="D3238" s="16" t="inlineStr">
        <is>
          <t>ronda 0</t>
        </is>
      </c>
      <c r="E3238" s="16" t="inlineStr">
        <is>
          <t>KF-M09</t>
        </is>
      </c>
      <c r="F3238" s="16" t="inlineStr">
        <is>
          <t>KF-M09-R0-T_fuente</t>
        </is>
      </c>
      <c r="G3238" s="16" t="inlineStr">
        <is>
          <t>B13-T_fuente</t>
        </is>
      </c>
      <c r="H3238" s="16" t="inlineStr">
        <is>
          <t>lhs</t>
        </is>
      </c>
      <c r="I3238" s="16" t="inlineStr">
        <is>
          <t>NO_CONVERGIO</t>
        </is>
      </c>
      <c r="J3238" s="16" t="inlineStr">
        <is>
          <t>NO_CONVERGIO</t>
        </is>
      </c>
      <c r="K3238" s="16" t="b">
        <v>0</v>
      </c>
      <c r="L3238" s="16" t="b">
        <v>0</v>
      </c>
      <c r="M3238" s="16" t="b">
        <v>0</v>
      </c>
      <c r="N3238" s="16" t="b">
        <v>0</v>
      </c>
      <c r="O3238" s="16" t="n">
        <v>623.15</v>
      </c>
      <c r="P3238" s="16" t="n">
        <v>281.9919142373245</v>
      </c>
      <c r="Q3238" s="16" t="n">
        <v>4025.23753845948</v>
      </c>
      <c r="R3238" s="16" t="n">
        <v>482.3688918381482</v>
      </c>
      <c r="S3238" s="16" t="n">
        <v>0.5887761482478178</v>
      </c>
      <c r="T3238" s="16" t="n">
        <v>0.6697623974352465</v>
      </c>
      <c r="U3238" s="16" t="n">
        <v>0.7519633989368226</v>
      </c>
      <c r="V3238" s="16" t="n">
        <v>0.696080222301214</v>
      </c>
      <c r="W3238" s="16" t="n">
        <v>0.8148343834812972</v>
      </c>
      <c r="X3238" s="16" t="n">
        <v>0.4685554756652202</v>
      </c>
      <c r="Y3238" s="16" t="n">
        <v>281.9919142373245</v>
      </c>
      <c r="Z3238" s="16" t="n"/>
      <c r="AA3238" s="16" t="n"/>
      <c r="AB3238" s="16" t="n">
        <v>3542.868646621332</v>
      </c>
      <c r="AC3238" s="16" t="n">
        <v>8.344728705702044</v>
      </c>
      <c r="AD3238" s="16" t="n"/>
      <c r="AE3238" s="16" t="n"/>
    </row>
    <row r="3239">
      <c r="A3239" s="16" t="inlineStr">
        <is>
          <t>KF-M09-R0-T_fuente-0025</t>
        </is>
      </c>
      <c r="B3239" s="16" t="inlineStr">
        <is>
          <t>4.3</t>
        </is>
      </c>
      <c r="C3239" s="16" t="inlineStr">
        <is>
          <t>4.3 T_fuente</t>
        </is>
      </c>
      <c r="D3239" s="16" t="inlineStr">
        <is>
          <t>ronda 0</t>
        </is>
      </c>
      <c r="E3239" s="16" t="inlineStr">
        <is>
          <t>KF-M09</t>
        </is>
      </c>
      <c r="F3239" s="16" t="inlineStr">
        <is>
          <t>KF-M09-R0-T_fuente</t>
        </is>
      </c>
      <c r="G3239" s="16" t="inlineStr">
        <is>
          <t>B13-T_fuente</t>
        </is>
      </c>
      <c r="H3239" s="16" t="inlineStr">
        <is>
          <t>lhs</t>
        </is>
      </c>
      <c r="I3239" s="16" t="inlineStr">
        <is>
          <t>NO_CONVERGIO</t>
        </is>
      </c>
      <c r="J3239" s="16" t="inlineStr">
        <is>
          <t>NO_CONVERGIO</t>
        </is>
      </c>
      <c r="K3239" s="16" t="b">
        <v>0</v>
      </c>
      <c r="L3239" s="16" t="b">
        <v>0</v>
      </c>
      <c r="M3239" s="16" t="b">
        <v>0</v>
      </c>
      <c r="N3239" s="16" t="b">
        <v>0</v>
      </c>
      <c r="O3239" s="16" t="n">
        <v>623.15</v>
      </c>
      <c r="P3239" s="16" t="n">
        <v>284.882735659789</v>
      </c>
      <c r="Q3239" s="16" t="n">
        <v>3450.612725839125</v>
      </c>
      <c r="R3239" s="16" t="n">
        <v>523.4048598302581</v>
      </c>
      <c r="S3239" s="16" t="n">
        <v>0.8079384376213234</v>
      </c>
      <c r="T3239" s="16" t="n">
        <v>0.646459111150636</v>
      </c>
      <c r="U3239" s="16" t="n">
        <v>0.7236622940954462</v>
      </c>
      <c r="V3239" s="16" t="n">
        <v>0.8238209357214668</v>
      </c>
      <c r="W3239" s="16" t="n">
        <v>0.5361273090808822</v>
      </c>
      <c r="X3239" s="16" t="n">
        <v>0.7950515705363804</v>
      </c>
      <c r="Y3239" s="16" t="n">
        <v>284.882735659789</v>
      </c>
      <c r="Z3239" s="16" t="n"/>
      <c r="AA3239" s="16" t="n"/>
      <c r="AB3239" s="16" t="n">
        <v>2927.207866008866</v>
      </c>
      <c r="AC3239" s="16" t="n">
        <v>6.592626455471142</v>
      </c>
      <c r="AD3239" s="16" t="n"/>
      <c r="AE3239" s="16" t="n"/>
    </row>
    <row r="3240">
      <c r="A3240" s="16" t="inlineStr">
        <is>
          <t>KF-M09-R0-T_fuente-0026</t>
        </is>
      </c>
      <c r="B3240" s="16" t="inlineStr">
        <is>
          <t>4.3</t>
        </is>
      </c>
      <c r="C3240" s="16" t="inlineStr">
        <is>
          <t>4.3 T_fuente</t>
        </is>
      </c>
      <c r="D3240" s="16" t="inlineStr">
        <is>
          <t>ronda 0</t>
        </is>
      </c>
      <c r="E3240" s="16" t="inlineStr">
        <is>
          <t>KF-M09</t>
        </is>
      </c>
      <c r="F3240" s="16" t="inlineStr">
        <is>
          <t>KF-M09-R0-T_fuente</t>
        </is>
      </c>
      <c r="G3240" s="16" t="inlineStr">
        <is>
          <t>B13-T_fuente</t>
        </is>
      </c>
      <c r="H3240" s="16" t="inlineStr">
        <is>
          <t>lhs</t>
        </is>
      </c>
      <c r="I3240" s="16" t="inlineStr">
        <is>
          <t>CORREGIBLE</t>
        </is>
      </c>
      <c r="J3240" s="16" t="inlineStr">
        <is>
          <t>CORREGIBLE</t>
        </is>
      </c>
      <c r="K3240" s="16" t="b">
        <v>1</v>
      </c>
      <c r="L3240" s="16" t="b">
        <v>0</v>
      </c>
      <c r="M3240" s="16" t="b">
        <v>0</v>
      </c>
      <c r="N3240" s="16" t="b">
        <v>0</v>
      </c>
      <c r="O3240" s="16" t="n">
        <v>623.15</v>
      </c>
      <c r="P3240" s="16" t="n">
        <v>283.6527514169962</v>
      </c>
      <c r="Q3240" s="16" t="n">
        <v>4249.352520245335</v>
      </c>
      <c r="R3240" s="16" t="n">
        <v>791.5706727882837</v>
      </c>
      <c r="S3240" s="16" t="n">
        <v>0.8113359697662171</v>
      </c>
      <c r="T3240" s="16" t="n">
        <v>0.5939402233437997</v>
      </c>
      <c r="U3240" s="16" t="n">
        <v>0.4539039738862838</v>
      </c>
      <c r="V3240" s="16" t="n">
        <v>0.495728808468469</v>
      </c>
      <c r="W3240" s="16" t="n">
        <v>0.540010534184739</v>
      </c>
      <c r="X3240" s="16" t="n">
        <v>0.7716876954219505</v>
      </c>
      <c r="Y3240" s="16" t="n">
        <v>283.6527514169962</v>
      </c>
      <c r="Z3240" s="16" t="n">
        <v>7.11594232920435</v>
      </c>
      <c r="AA3240" s="16" t="n">
        <v>70.75197091694487</v>
      </c>
      <c r="AB3240" s="16" t="n">
        <v>3457.781847457052</v>
      </c>
      <c r="AC3240" s="16" t="n">
        <v>5.36825411340357</v>
      </c>
      <c r="AD3240" s="16" t="inlineStr">
        <is>
          <t>O2</t>
        </is>
      </c>
      <c r="AE3240" s="16" t="n"/>
    </row>
    <row r="3241">
      <c r="A3241" s="16" t="inlineStr">
        <is>
          <t>KF-M09-R0-T_fuente-0027</t>
        </is>
      </c>
      <c r="B3241" s="16" t="inlineStr">
        <is>
          <t>4.3</t>
        </is>
      </c>
      <c r="C3241" s="16" t="inlineStr">
        <is>
          <t>4.3 T_fuente</t>
        </is>
      </c>
      <c r="D3241" s="16" t="inlineStr">
        <is>
          <t>ronda 0</t>
        </is>
      </c>
      <c r="E3241" s="16" t="inlineStr">
        <is>
          <t>KF-M09</t>
        </is>
      </c>
      <c r="F3241" s="16" t="inlineStr">
        <is>
          <t>KF-M09-R0-T_fuente</t>
        </is>
      </c>
      <c r="G3241" s="16" t="inlineStr">
        <is>
          <t>B13-T_fuente</t>
        </is>
      </c>
      <c r="H3241" s="16" t="inlineStr">
        <is>
          <t>lhs</t>
        </is>
      </c>
      <c r="I3241" s="16" t="inlineStr">
        <is>
          <t>CORREGIBLE</t>
        </is>
      </c>
      <c r="J3241" s="16" t="inlineStr">
        <is>
          <t>CORREGIBLE</t>
        </is>
      </c>
      <c r="K3241" s="16" t="b">
        <v>1</v>
      </c>
      <c r="L3241" s="16" t="b">
        <v>0</v>
      </c>
      <c r="M3241" s="16" t="b">
        <v>1</v>
      </c>
      <c r="N3241" s="16" t="b">
        <v>0</v>
      </c>
      <c r="O3241" s="16" t="n">
        <v>623.15</v>
      </c>
      <c r="P3241" s="16" t="n">
        <v>301.9084375670755</v>
      </c>
      <c r="Q3241" s="16" t="n">
        <v>2192.954405603475</v>
      </c>
      <c r="R3241" s="16" t="n">
        <v>843.5311414560701</v>
      </c>
      <c r="S3241" s="16" t="n">
        <v>0.6108236224613054</v>
      </c>
      <c r="T3241" s="16" t="n">
        <v>0.8248981718532284</v>
      </c>
      <c r="U3241" s="16" t="n">
        <v>0.6589136253768082</v>
      </c>
      <c r="V3241" s="16" t="n">
        <v>0.657404506223223</v>
      </c>
      <c r="W3241" s="16" t="n">
        <v>0.6082085114853448</v>
      </c>
      <c r="X3241" s="16" t="n">
        <v>0.7002358728391436</v>
      </c>
      <c r="Y3241" s="16" t="n">
        <v>301.9084375670755</v>
      </c>
      <c r="Z3241" s="16" t="n">
        <v>5.13277799327803</v>
      </c>
      <c r="AA3241" s="16" t="n">
        <v>67.26982130820603</v>
      </c>
      <c r="AB3241" s="16" t="n">
        <v>1349.423264147405</v>
      </c>
      <c r="AC3241" s="16" t="n">
        <v>2.599731412189576</v>
      </c>
      <c r="AD3241" s="16" t="inlineStr">
        <is>
          <t>O2</t>
        </is>
      </c>
      <c r="AE3241" s="16" t="n"/>
    </row>
    <row r="3242">
      <c r="A3242" s="16" t="inlineStr">
        <is>
          <t>KF-M09-R0-T_fuente-0028</t>
        </is>
      </c>
      <c r="B3242" s="16" t="inlineStr">
        <is>
          <t>4.3</t>
        </is>
      </c>
      <c r="C3242" s="16" t="inlineStr">
        <is>
          <t>4.3 T_fuente</t>
        </is>
      </c>
      <c r="D3242" s="16" t="inlineStr">
        <is>
          <t>ronda 0</t>
        </is>
      </c>
      <c r="E3242" s="16" t="inlineStr">
        <is>
          <t>KF-M09</t>
        </is>
      </c>
      <c r="F3242" s="16" t="inlineStr">
        <is>
          <t>KF-M09-R0-T_fuente</t>
        </is>
      </c>
      <c r="G3242" s="16" t="inlineStr">
        <is>
          <t>B13-T_fuente</t>
        </is>
      </c>
      <c r="H3242" s="16" t="inlineStr">
        <is>
          <t>lhs</t>
        </is>
      </c>
      <c r="I3242" s="16" t="inlineStr">
        <is>
          <t>CORREGIBLE</t>
        </is>
      </c>
      <c r="J3242" s="16" t="inlineStr">
        <is>
          <t>CORREGIBLE</t>
        </is>
      </c>
      <c r="K3242" s="16" t="b">
        <v>1</v>
      </c>
      <c r="L3242" s="16" t="b">
        <v>0</v>
      </c>
      <c r="M3242" s="16" t="b">
        <v>1</v>
      </c>
      <c r="N3242" s="16" t="b">
        <v>0</v>
      </c>
      <c r="O3242" s="16" t="n">
        <v>623.15</v>
      </c>
      <c r="P3242" s="16" t="n">
        <v>295.0092055344845</v>
      </c>
      <c r="Q3242" s="16" t="n">
        <v>4163.899388535547</v>
      </c>
      <c r="R3242" s="16" t="n">
        <v>1017.136905360568</v>
      </c>
      <c r="S3242" s="16" t="n">
        <v>0.700589621635938</v>
      </c>
      <c r="T3242" s="16" t="n">
        <v>0.9153321390245877</v>
      </c>
      <c r="U3242" s="16" t="n">
        <v>0.6177576687244397</v>
      </c>
      <c r="V3242" s="16" t="n">
        <v>0.5425512208516037</v>
      </c>
      <c r="W3242" s="16" t="n">
        <v>0.6323736244257724</v>
      </c>
      <c r="X3242" s="16" t="n">
        <v>0.8523692217907995</v>
      </c>
      <c r="Y3242" s="16" t="n">
        <v>295.0092055344845</v>
      </c>
      <c r="Z3242" s="16" t="n">
        <v>12.0570519760277</v>
      </c>
      <c r="AA3242" s="16" t="n">
        <v>144.0675602746947</v>
      </c>
      <c r="AB3242" s="16" t="n">
        <v>3146.762483174979</v>
      </c>
      <c r="AC3242" s="16" t="n">
        <v>4.093745263386617</v>
      </c>
      <c r="AD3242" s="16" t="inlineStr">
        <is>
          <t>O2</t>
        </is>
      </c>
      <c r="AE3242" s="16" t="n"/>
    </row>
    <row r="3243">
      <c r="A3243" s="16" t="inlineStr">
        <is>
          <t>KF-M09-R0-T_fuente-0029</t>
        </is>
      </c>
      <c r="B3243" s="16" t="inlineStr">
        <is>
          <t>4.3</t>
        </is>
      </c>
      <c r="C3243" s="16" t="inlineStr">
        <is>
          <t>4.3 T_fuente</t>
        </is>
      </c>
      <c r="D3243" s="16" t="inlineStr">
        <is>
          <t>ronda 0</t>
        </is>
      </c>
      <c r="E3243" s="16" t="inlineStr">
        <is>
          <t>KF-M09</t>
        </is>
      </c>
      <c r="F3243" s="16" t="inlineStr">
        <is>
          <t>KF-M09-R0-T_fuente</t>
        </is>
      </c>
      <c r="G3243" s="16" t="inlineStr">
        <is>
          <t>B13-T_fuente</t>
        </is>
      </c>
      <c r="H3243" s="16" t="inlineStr">
        <is>
          <t>lhs</t>
        </is>
      </c>
      <c r="I3243" s="16" t="inlineStr">
        <is>
          <t>CORREGIBLE</t>
        </is>
      </c>
      <c r="J3243" s="16" t="inlineStr">
        <is>
          <t>CORREGIBLE</t>
        </is>
      </c>
      <c r="K3243" s="16" t="b">
        <v>1</v>
      </c>
      <c r="L3243" s="16" t="b">
        <v>0</v>
      </c>
      <c r="M3243" s="16" t="b">
        <v>1</v>
      </c>
      <c r="N3243" s="16" t="b">
        <v>0</v>
      </c>
      <c r="O3243" s="16" t="n">
        <v>623.15</v>
      </c>
      <c r="P3243" s="16" t="n">
        <v>295.9879524455969</v>
      </c>
      <c r="Q3243" s="16" t="n">
        <v>4549.474841378047</v>
      </c>
      <c r="R3243" s="16" t="n">
        <v>1307.350895662798</v>
      </c>
      <c r="S3243" s="16" t="n">
        <v>0.8356421919017251</v>
      </c>
      <c r="T3243" s="16" t="n">
        <v>0.7869212447685388</v>
      </c>
      <c r="U3243" s="16" t="n">
        <v>0.644336976933351</v>
      </c>
      <c r="V3243" s="16" t="n">
        <v>0.7216054176728283</v>
      </c>
      <c r="W3243" s="16" t="n">
        <v>0.4801453173998634</v>
      </c>
      <c r="X3243" s="16" t="n">
        <v>0.8304941108097124</v>
      </c>
      <c r="Y3243" s="16" t="n">
        <v>295.9879524455969</v>
      </c>
      <c r="Z3243" s="16" t="n">
        <v>9.892410189105959</v>
      </c>
      <c r="AA3243" s="16" t="n">
        <v>141.1525863205492</v>
      </c>
      <c r="AB3243" s="16" t="n">
        <v>3242.12394571525</v>
      </c>
      <c r="AC3243" s="16" t="n">
        <v>3.479918709254844</v>
      </c>
      <c r="AD3243" s="16" t="inlineStr">
        <is>
          <t>O2</t>
        </is>
      </c>
      <c r="AE3243" s="16" t="n"/>
    </row>
    <row r="3244">
      <c r="A3244" s="16" t="inlineStr">
        <is>
          <t>KF-M09-R0-T_fuente-0030</t>
        </is>
      </c>
      <c r="B3244" s="16" t="inlineStr">
        <is>
          <t>4.3</t>
        </is>
      </c>
      <c r="C3244" s="16" t="inlineStr">
        <is>
          <t>4.3 T_fuente</t>
        </is>
      </c>
      <c r="D3244" s="16" t="inlineStr">
        <is>
          <t>ronda 0</t>
        </is>
      </c>
      <c r="E3244" s="16" t="inlineStr">
        <is>
          <t>KF-M09</t>
        </is>
      </c>
      <c r="F3244" s="16" t="inlineStr">
        <is>
          <t>KF-M09-R0-T_fuente</t>
        </is>
      </c>
      <c r="G3244" s="16" t="inlineStr">
        <is>
          <t>B13-T_fuente</t>
        </is>
      </c>
      <c r="H3244" s="16" t="inlineStr">
        <is>
          <t>lhs</t>
        </is>
      </c>
      <c r="I3244" s="16" t="inlineStr">
        <is>
          <t>CORREGIBLE</t>
        </is>
      </c>
      <c r="J3244" s="16" t="inlineStr">
        <is>
          <t>CORREGIBLE</t>
        </is>
      </c>
      <c r="K3244" s="16" t="b">
        <v>1</v>
      </c>
      <c r="L3244" s="16" t="b">
        <v>0</v>
      </c>
      <c r="M3244" s="16" t="b">
        <v>1</v>
      </c>
      <c r="N3244" s="16" t="b">
        <v>0</v>
      </c>
      <c r="O3244" s="16" t="n">
        <v>623.15</v>
      </c>
      <c r="P3244" s="16" t="n">
        <v>288.6455134540557</v>
      </c>
      <c r="Q3244" s="16" t="n">
        <v>2226.354286417979</v>
      </c>
      <c r="R3244" s="16" t="n">
        <v>1189.939730375967</v>
      </c>
      <c r="S3244" s="16" t="n">
        <v>0.5997476223030549</v>
      </c>
      <c r="T3244" s="16" t="n">
        <v>0.5193584557946476</v>
      </c>
      <c r="U3244" s="16" t="n">
        <v>0.9014509690669285</v>
      </c>
      <c r="V3244" s="16" t="n">
        <v>0.7508161876708916</v>
      </c>
      <c r="W3244" s="16" t="n">
        <v>0.5195013705839492</v>
      </c>
      <c r="X3244" s="16" t="n">
        <v>0.7106920718171272</v>
      </c>
      <c r="Y3244" s="16" t="n">
        <v>288.6455134540557</v>
      </c>
      <c r="Z3244" s="16" t="n">
        <v>2.07658166195206</v>
      </c>
      <c r="AA3244" s="16" t="n">
        <v>31.83340084901517</v>
      </c>
      <c r="AB3244" s="16" t="n">
        <v>1036.414556042012</v>
      </c>
      <c r="AC3244" s="16" t="n">
        <v>1.870980714052258</v>
      </c>
      <c r="AD3244" s="16" t="inlineStr">
        <is>
          <t>O2</t>
        </is>
      </c>
      <c r="AE3244" s="16" t="n"/>
    </row>
    <row r="3245">
      <c r="A3245" s="16" t="inlineStr">
        <is>
          <t>KF-M09-R0-T_fuente-0031</t>
        </is>
      </c>
      <c r="B3245" s="16" t="inlineStr">
        <is>
          <t>4.3</t>
        </is>
      </c>
      <c r="C3245" s="16" t="inlineStr">
        <is>
          <t>4.3 T_fuente</t>
        </is>
      </c>
      <c r="D3245" s="16" t="inlineStr">
        <is>
          <t>ronda 0</t>
        </is>
      </c>
      <c r="E3245" s="16" t="inlineStr">
        <is>
          <t>KF-M09</t>
        </is>
      </c>
      <c r="F3245" s="16" t="inlineStr">
        <is>
          <t>KF-M09-R0-T_fuente</t>
        </is>
      </c>
      <c r="G3245" s="16" t="inlineStr">
        <is>
          <t>B13-T_fuente</t>
        </is>
      </c>
      <c r="H3245" s="16" t="inlineStr">
        <is>
          <t>lhs</t>
        </is>
      </c>
      <c r="I3245" s="16" t="inlineStr">
        <is>
          <t>CORREGIBLE</t>
        </is>
      </c>
      <c r="J3245" s="16" t="inlineStr">
        <is>
          <t>CORREGIBLE</t>
        </is>
      </c>
      <c r="K3245" s="16" t="b">
        <v>1</v>
      </c>
      <c r="L3245" s="16" t="b">
        <v>0</v>
      </c>
      <c r="M3245" s="16" t="b">
        <v>1</v>
      </c>
      <c r="N3245" s="16" t="b">
        <v>0</v>
      </c>
      <c r="O3245" s="16" t="n">
        <v>623.15</v>
      </c>
      <c r="P3245" s="16" t="n">
        <v>301.5654840821386</v>
      </c>
      <c r="Q3245" s="16" t="n">
        <v>4508.938387101847</v>
      </c>
      <c r="R3245" s="16" t="n">
        <v>1038.942186258574</v>
      </c>
      <c r="S3245" s="16" t="n">
        <v>0.5853342061773568</v>
      </c>
      <c r="T3245" s="16" t="n">
        <v>0.5792818596565812</v>
      </c>
      <c r="U3245" s="16" t="n">
        <v>0.7274870505344779</v>
      </c>
      <c r="V3245" s="16" t="n">
        <v>0.4878615323720212</v>
      </c>
      <c r="W3245" s="16" t="n">
        <v>0.4469289071419767</v>
      </c>
      <c r="X3245" s="16" t="n">
        <v>0.7284219657321904</v>
      </c>
      <c r="Y3245" s="16" t="n">
        <v>301.5654840821386</v>
      </c>
      <c r="Z3245" s="16" t="n">
        <v>5.95779470155915</v>
      </c>
      <c r="AA3245" s="16" t="n">
        <v>62.46830248884493</v>
      </c>
      <c r="AB3245" s="16" t="n">
        <v>3469.996200843273</v>
      </c>
      <c r="AC3245" s="16" t="n">
        <v>4.339931948802063</v>
      </c>
      <c r="AD3245" s="16" t="inlineStr">
        <is>
          <t>O2</t>
        </is>
      </c>
      <c r="AE3245" s="16" t="n"/>
    </row>
    <row r="3246">
      <c r="A3246" s="16" t="inlineStr">
        <is>
          <t>KF-M09-R0-T_fuente-0032</t>
        </is>
      </c>
      <c r="B3246" s="16" t="inlineStr">
        <is>
          <t>4.3</t>
        </is>
      </c>
      <c r="C3246" s="16" t="inlineStr">
        <is>
          <t>4.3 T_fuente</t>
        </is>
      </c>
      <c r="D3246" s="16" t="inlineStr">
        <is>
          <t>ronda 0</t>
        </is>
      </c>
      <c r="E3246" s="16" t="inlineStr">
        <is>
          <t>KF-M09</t>
        </is>
      </c>
      <c r="F3246" s="16" t="inlineStr">
        <is>
          <t>KF-M09-R0-T_fuente</t>
        </is>
      </c>
      <c r="G3246" s="16" t="inlineStr">
        <is>
          <t>B13-T_fuente</t>
        </is>
      </c>
      <c r="H3246" s="16" t="inlineStr">
        <is>
          <t>lhs</t>
        </is>
      </c>
      <c r="I3246" s="16" t="inlineStr">
        <is>
          <t>NO_CONVERGIO</t>
        </is>
      </c>
      <c r="J3246" s="16" t="inlineStr">
        <is>
          <t>NO_CONVERGIO</t>
        </is>
      </c>
      <c r="K3246" s="16" t="b">
        <v>0</v>
      </c>
      <c r="L3246" s="16" t="b">
        <v>0</v>
      </c>
      <c r="M3246" s="16" t="b">
        <v>0</v>
      </c>
      <c r="N3246" s="16" t="b">
        <v>0</v>
      </c>
      <c r="O3246" s="16" t="n">
        <v>623.15</v>
      </c>
      <c r="P3246" s="16" t="n">
        <v>282.2900616228061</v>
      </c>
      <c r="Q3246" s="16" t="n">
        <v>3481.046392676308</v>
      </c>
      <c r="R3246" s="16" t="n">
        <v>1342.589117384439</v>
      </c>
      <c r="S3246" s="16" t="n">
        <v>0.7713556347898225</v>
      </c>
      <c r="T3246" s="16" t="n">
        <v>0.8175413327540578</v>
      </c>
      <c r="U3246" s="16" t="n">
        <v>0.9073566154978076</v>
      </c>
      <c r="V3246" s="16" t="n">
        <v>0.810034083694643</v>
      </c>
      <c r="W3246" s="16" t="n">
        <v>0.8562316764824707</v>
      </c>
      <c r="X3246" s="16" t="n">
        <v>0.8690566956268773</v>
      </c>
      <c r="Y3246" s="16" t="n">
        <v>282.2900616228061</v>
      </c>
      <c r="Z3246" s="16" t="n"/>
      <c r="AA3246" s="16" t="n"/>
      <c r="AB3246" s="16" t="n">
        <v>2138.457275291869</v>
      </c>
      <c r="AC3246" s="16" t="n">
        <v>2.592786093378962</v>
      </c>
      <c r="AD3246" s="16" t="n"/>
      <c r="AE3246" s="16" t="n"/>
    </row>
    <row r="3247">
      <c r="A3247" s="16" t="inlineStr">
        <is>
          <t>KF-M09-R0-T_fuente-0033</t>
        </is>
      </c>
      <c r="B3247" s="16" t="inlineStr">
        <is>
          <t>4.3</t>
        </is>
      </c>
      <c r="C3247" s="16" t="inlineStr">
        <is>
          <t>4.3 T_fuente</t>
        </is>
      </c>
      <c r="D3247" s="16" t="inlineStr">
        <is>
          <t>ronda 0</t>
        </is>
      </c>
      <c r="E3247" s="16" t="inlineStr">
        <is>
          <t>KF-M09</t>
        </is>
      </c>
      <c r="F3247" s="16" t="inlineStr">
        <is>
          <t>KF-M09-R0-T_fuente</t>
        </is>
      </c>
      <c r="G3247" s="16" t="inlineStr">
        <is>
          <t>B13-T_fuente</t>
        </is>
      </c>
      <c r="H3247" s="16" t="inlineStr">
        <is>
          <t>lhs</t>
        </is>
      </c>
      <c r="I3247" s="16" t="inlineStr">
        <is>
          <t>CORREGIBLE</t>
        </is>
      </c>
      <c r="J3247" s="16" t="inlineStr">
        <is>
          <t>CORREGIBLE</t>
        </is>
      </c>
      <c r="K3247" s="16" t="b">
        <v>1</v>
      </c>
      <c r="L3247" s="16" t="b">
        <v>0</v>
      </c>
      <c r="M3247" s="16" t="b">
        <v>1</v>
      </c>
      <c r="N3247" s="16" t="b">
        <v>0</v>
      </c>
      <c r="O3247" s="16" t="n">
        <v>623.15</v>
      </c>
      <c r="P3247" s="16" t="n">
        <v>279.6379234995512</v>
      </c>
      <c r="Q3247" s="16" t="n">
        <v>2889.43384974427</v>
      </c>
      <c r="R3247" s="16" t="n">
        <v>1964.424638149777</v>
      </c>
      <c r="S3247" s="16" t="n">
        <v>0.6233242901500469</v>
      </c>
      <c r="T3247" s="16" t="n">
        <v>0.9389244299789212</v>
      </c>
      <c r="U3247" s="16" t="n">
        <v>0.5206990013267315</v>
      </c>
      <c r="V3247" s="16" t="n">
        <v>0.5361367120018374</v>
      </c>
      <c r="W3247" s="16" t="n">
        <v>0.7382646232693899</v>
      </c>
      <c r="X3247" s="16" t="n">
        <v>0.690945430193727</v>
      </c>
      <c r="Y3247" s="16" t="n">
        <v>279.6379234995512</v>
      </c>
      <c r="Z3247" s="16" t="n">
        <v>3.16724153688312</v>
      </c>
      <c r="AA3247" s="16" t="n">
        <v>35.89648987901568</v>
      </c>
      <c r="AB3247" s="16" t="n">
        <v>925.0092115944936</v>
      </c>
      <c r="AC3247" s="16" t="n">
        <v>1.470880477484607</v>
      </c>
      <c r="AD3247" s="16" t="inlineStr">
        <is>
          <t>O2</t>
        </is>
      </c>
      <c r="AE3247" s="16" t="n"/>
    </row>
    <row r="3248">
      <c r="A3248" s="16" t="inlineStr">
        <is>
          <t>KF-M09-R0-T_fuente-0034</t>
        </is>
      </c>
      <c r="B3248" s="16" t="inlineStr">
        <is>
          <t>4.3</t>
        </is>
      </c>
      <c r="C3248" s="16" t="inlineStr">
        <is>
          <t>4.3 T_fuente</t>
        </is>
      </c>
      <c r="D3248" s="16" t="inlineStr">
        <is>
          <t>ronda 0</t>
        </is>
      </c>
      <c r="E3248" s="16" t="inlineStr">
        <is>
          <t>KF-M09</t>
        </is>
      </c>
      <c r="F3248" s="16" t="inlineStr">
        <is>
          <t>KF-M09-R0-T_fuente</t>
        </is>
      </c>
      <c r="G3248" s="16" t="inlineStr">
        <is>
          <t>B13-T_fuente</t>
        </is>
      </c>
      <c r="H3248" s="16" t="inlineStr">
        <is>
          <t>lhs</t>
        </is>
      </c>
      <c r="I3248" s="16" t="inlineStr">
        <is>
          <t>NO_CONVERGIO</t>
        </is>
      </c>
      <c r="J3248" s="16" t="inlineStr">
        <is>
          <t>NO_CONVERGIO</t>
        </is>
      </c>
      <c r="K3248" s="16" t="b">
        <v>0</v>
      </c>
      <c r="L3248" s="16" t="b">
        <v>0</v>
      </c>
      <c r="M3248" s="16" t="b">
        <v>0</v>
      </c>
      <c r="N3248" s="16" t="b">
        <v>0</v>
      </c>
      <c r="O3248" s="16" t="n">
        <v>623.15</v>
      </c>
      <c r="P3248" s="16" t="n">
        <v>279.9964459775994</v>
      </c>
      <c r="Q3248" s="16" t="n">
        <v>4974.749998445156</v>
      </c>
      <c r="R3248" s="16" t="n">
        <v>467.2952551833043</v>
      </c>
      <c r="S3248" s="16" t="n">
        <v>0.8251058510768159</v>
      </c>
      <c r="T3248" s="16" t="n">
        <v>0.9491087045435136</v>
      </c>
      <c r="U3248" s="16" t="n">
        <v>0.5952879246489098</v>
      </c>
      <c r="V3248" s="16" t="n">
        <v>0.8337807480475391</v>
      </c>
      <c r="W3248" s="16" t="n">
        <v>0.5979173476113899</v>
      </c>
      <c r="X3248" s="16" t="n">
        <v>0.8789852175265902</v>
      </c>
      <c r="Y3248" s="16" t="n">
        <v>279.9964459775994</v>
      </c>
      <c r="Z3248" s="16" t="n"/>
      <c r="AA3248" s="16" t="n"/>
      <c r="AB3248" s="16" t="n">
        <v>4507.454743261852</v>
      </c>
      <c r="AC3248" s="16" t="n">
        <v>10.6458388850829</v>
      </c>
      <c r="AD3248" s="16" t="n"/>
      <c r="AE3248" s="16" t="n"/>
    </row>
    <row r="3249">
      <c r="A3249" s="16" t="inlineStr">
        <is>
          <t>KF-M09-R0-T_fuente-0035</t>
        </is>
      </c>
      <c r="B3249" s="16" t="inlineStr">
        <is>
          <t>4.3</t>
        </is>
      </c>
      <c r="C3249" s="16" t="inlineStr">
        <is>
          <t>4.3 T_fuente</t>
        </is>
      </c>
      <c r="D3249" s="16" t="inlineStr">
        <is>
          <t>ronda 0</t>
        </is>
      </c>
      <c r="E3249" s="16" t="inlineStr">
        <is>
          <t>KF-M09</t>
        </is>
      </c>
      <c r="F3249" s="16" t="inlineStr">
        <is>
          <t>KF-M09-R0-T_fuente</t>
        </is>
      </c>
      <c r="G3249" s="16" t="inlineStr">
        <is>
          <t>B13-T_fuente</t>
        </is>
      </c>
      <c r="H3249" s="16" t="inlineStr">
        <is>
          <t>lhs</t>
        </is>
      </c>
      <c r="I3249" s="16" t="inlineStr">
        <is>
          <t>CORREGIBLE</t>
        </is>
      </c>
      <c r="J3249" s="16" t="inlineStr">
        <is>
          <t>CORREGIBLE</t>
        </is>
      </c>
      <c r="K3249" s="16" t="b">
        <v>1</v>
      </c>
      <c r="L3249" s="16" t="b">
        <v>0</v>
      </c>
      <c r="M3249" s="16" t="b">
        <v>1</v>
      </c>
      <c r="N3249" s="16" t="b">
        <v>0</v>
      </c>
      <c r="O3249" s="16" t="n">
        <v>623.15</v>
      </c>
      <c r="P3249" s="16" t="n">
        <v>299.3611094876705</v>
      </c>
      <c r="Q3249" s="16" t="n">
        <v>2276.182196859629</v>
      </c>
      <c r="R3249" s="16" t="n">
        <v>884.523059889723</v>
      </c>
      <c r="S3249" s="16" t="n">
        <v>0.6446805496800175</v>
      </c>
      <c r="T3249" s="16" t="n">
        <v>0.7607667910994498</v>
      </c>
      <c r="U3249" s="16" t="n">
        <v>0.8552964966835681</v>
      </c>
      <c r="V3249" s="16" t="n">
        <v>0.6482500726803226</v>
      </c>
      <c r="W3249" s="16" t="n">
        <v>0.4299090477076699</v>
      </c>
      <c r="X3249" s="16" t="n">
        <v>0.6542943285894771</v>
      </c>
      <c r="Y3249" s="16" t="n">
        <v>299.3611094876705</v>
      </c>
      <c r="Z3249" s="16" t="n">
        <v>4.98549449236844</v>
      </c>
      <c r="AA3249" s="16" t="n">
        <v>61.04047619922675</v>
      </c>
      <c r="AB3249" s="16" t="n">
        <v>1391.659136969906</v>
      </c>
      <c r="AC3249" s="16" t="n">
        <v>2.57334409929732</v>
      </c>
      <c r="AD3249" s="16" t="inlineStr">
        <is>
          <t>O2</t>
        </is>
      </c>
      <c r="AE3249" s="16" t="n"/>
    </row>
    <row r="3250">
      <c r="A3250" s="16" t="inlineStr">
        <is>
          <t>KF-M09-R0-T_fuente-0036</t>
        </is>
      </c>
      <c r="B3250" s="16" t="inlineStr">
        <is>
          <t>4.3</t>
        </is>
      </c>
      <c r="C3250" s="16" t="inlineStr">
        <is>
          <t>4.3 T_fuente</t>
        </is>
      </c>
      <c r="D3250" s="16" t="inlineStr">
        <is>
          <t>ronda 0</t>
        </is>
      </c>
      <c r="E3250" s="16" t="inlineStr">
        <is>
          <t>KF-M09</t>
        </is>
      </c>
      <c r="F3250" s="16" t="inlineStr">
        <is>
          <t>KF-M09-R0-T_fuente</t>
        </is>
      </c>
      <c r="G3250" s="16" t="inlineStr">
        <is>
          <t>B13-T_fuente</t>
        </is>
      </c>
      <c r="H3250" s="16" t="inlineStr">
        <is>
          <t>lhs</t>
        </is>
      </c>
      <c r="I3250" s="16" t="inlineStr">
        <is>
          <t>NO_CONVERGIO</t>
        </is>
      </c>
      <c r="J3250" s="16" t="inlineStr">
        <is>
          <t>NO_CONVERGIO</t>
        </is>
      </c>
      <c r="K3250" s="16" t="b">
        <v>0</v>
      </c>
      <c r="L3250" s="16" t="b">
        <v>0</v>
      </c>
      <c r="M3250" s="16" t="b">
        <v>0</v>
      </c>
      <c r="N3250" s="16" t="b">
        <v>0</v>
      </c>
      <c r="O3250" s="16" t="n">
        <v>623.15</v>
      </c>
      <c r="P3250" s="16" t="n">
        <v>297.477600576733</v>
      </c>
      <c r="Q3250" s="16" t="n">
        <v>3931.787367719807</v>
      </c>
      <c r="R3250" s="16" t="n">
        <v>694.176542226721</v>
      </c>
      <c r="S3250" s="16" t="n">
        <v>0.849887882493227</v>
      </c>
      <c r="T3250" s="16" t="n">
        <v>0.4615230756408994</v>
      </c>
      <c r="U3250" s="16" t="n">
        <v>0.6985436479168714</v>
      </c>
      <c r="V3250" s="16" t="n">
        <v>0.5850944072078416</v>
      </c>
      <c r="W3250" s="16" t="n">
        <v>0.7593751958548085</v>
      </c>
      <c r="X3250" s="16" t="n">
        <v>0.5420425310185043</v>
      </c>
      <c r="Y3250" s="16" t="n">
        <v>297.477600576733</v>
      </c>
      <c r="Z3250" s="16" t="n"/>
      <c r="AA3250" s="16" t="n"/>
      <c r="AB3250" s="16" t="n">
        <v>3237.610825493086</v>
      </c>
      <c r="AC3250" s="16" t="n">
        <v>5.663958846992656</v>
      </c>
      <c r="AD3250" s="16" t="n"/>
      <c r="AE3250" s="16" t="n"/>
    </row>
    <row r="3251">
      <c r="A3251" s="16" t="inlineStr">
        <is>
          <t>KF-M09-R0-T_fuente-0037</t>
        </is>
      </c>
      <c r="B3251" s="16" t="inlineStr">
        <is>
          <t>4.3</t>
        </is>
      </c>
      <c r="C3251" s="16" t="inlineStr">
        <is>
          <t>4.3 T_fuente</t>
        </is>
      </c>
      <c r="D3251" s="16" t="inlineStr">
        <is>
          <t>ronda 0</t>
        </is>
      </c>
      <c r="E3251" s="16" t="inlineStr">
        <is>
          <t>KF-M09</t>
        </is>
      </c>
      <c r="F3251" s="16" t="inlineStr">
        <is>
          <t>KF-M09-R0-T_fuente</t>
        </is>
      </c>
      <c r="G3251" s="16" t="inlineStr">
        <is>
          <t>B13-T_fuente</t>
        </is>
      </c>
      <c r="H3251" s="16" t="inlineStr">
        <is>
          <t>lhs</t>
        </is>
      </c>
      <c r="I3251" s="16" t="inlineStr">
        <is>
          <t>NO_CONVERGIO</t>
        </is>
      </c>
      <c r="J3251" s="16" t="inlineStr">
        <is>
          <t>NO_CONVERGIO</t>
        </is>
      </c>
      <c r="K3251" s="16" t="b">
        <v>0</v>
      </c>
      <c r="L3251" s="16" t="b">
        <v>0</v>
      </c>
      <c r="M3251" s="16" t="b">
        <v>0</v>
      </c>
      <c r="N3251" s="16" t="b">
        <v>0</v>
      </c>
      <c r="O3251" s="16" t="n">
        <v>623.15</v>
      </c>
      <c r="P3251" s="16" t="n">
        <v>295.4860816354862</v>
      </c>
      <c r="Q3251" s="16" t="n">
        <v>2579.394207427144</v>
      </c>
      <c r="R3251" s="16" t="n">
        <v>1064.351318221146</v>
      </c>
      <c r="S3251" s="16" t="n">
        <v>0.5931662130144881</v>
      </c>
      <c r="T3251" s="16" t="n">
        <v>0.925374775253882</v>
      </c>
      <c r="U3251" s="16" t="n">
        <v>0.6400683831564468</v>
      </c>
      <c r="V3251" s="16" t="n">
        <v>0.9431758548997404</v>
      </c>
      <c r="W3251" s="16" t="n">
        <v>0.6450985787043371</v>
      </c>
      <c r="X3251" s="16" t="n">
        <v>0.4982289885795694</v>
      </c>
      <c r="Y3251" s="16" t="n">
        <v>295.4860816354862</v>
      </c>
      <c r="Z3251" s="16" t="n"/>
      <c r="AA3251" s="16" t="n"/>
      <c r="AB3251" s="16" t="n">
        <v>1515.042889205998</v>
      </c>
      <c r="AC3251" s="16" t="n">
        <v>2.423442488649418</v>
      </c>
      <c r="AD3251" s="16" t="n"/>
      <c r="AE3251" s="16" t="n"/>
    </row>
    <row r="3252">
      <c r="A3252" s="16" t="inlineStr">
        <is>
          <t>KF-M09-R0-T_fuente-0038</t>
        </is>
      </c>
      <c r="B3252" s="16" t="inlineStr">
        <is>
          <t>4.3</t>
        </is>
      </c>
      <c r="C3252" s="16" t="inlineStr">
        <is>
          <t>4.3 T_fuente</t>
        </is>
      </c>
      <c r="D3252" s="16" t="inlineStr">
        <is>
          <t>ronda 0</t>
        </is>
      </c>
      <c r="E3252" s="16" t="inlineStr">
        <is>
          <t>KF-M09</t>
        </is>
      </c>
      <c r="F3252" s="16" t="inlineStr">
        <is>
          <t>KF-M09-R0-T_fuente</t>
        </is>
      </c>
      <c r="G3252" s="16" t="inlineStr">
        <is>
          <t>B13-T_fuente</t>
        </is>
      </c>
      <c r="H3252" s="16" t="inlineStr">
        <is>
          <t>lhs</t>
        </is>
      </c>
      <c r="I3252" s="16" t="inlineStr">
        <is>
          <t>NO_CONVERGIO</t>
        </is>
      </c>
      <c r="J3252" s="16" t="inlineStr">
        <is>
          <t>NO_CONVERGIO</t>
        </is>
      </c>
      <c r="K3252" s="16" t="b">
        <v>0</v>
      </c>
      <c r="L3252" s="16" t="b">
        <v>0</v>
      </c>
      <c r="M3252" s="16" t="b">
        <v>0</v>
      </c>
      <c r="N3252" s="16" t="b">
        <v>0</v>
      </c>
      <c r="O3252" s="16" t="n">
        <v>623.15</v>
      </c>
      <c r="P3252" s="16" t="n">
        <v>286.0321983500322</v>
      </c>
      <c r="Q3252" s="16" t="n">
        <v>3586.316408192994</v>
      </c>
      <c r="R3252" s="16" t="n">
        <v>1099.728089331754</v>
      </c>
      <c r="S3252" s="16" t="n">
        <v>0.6898500085703881</v>
      </c>
      <c r="T3252" s="16" t="n">
        <v>0.4934940121790946</v>
      </c>
      <c r="U3252" s="16" t="n">
        <v>0.7427396418216203</v>
      </c>
      <c r="V3252" s="16" t="n">
        <v>0.8399029100444348</v>
      </c>
      <c r="W3252" s="16" t="n">
        <v>0.6378540139809523</v>
      </c>
      <c r="X3252" s="16" t="n">
        <v>0.4736662624072315</v>
      </c>
      <c r="Y3252" s="16" t="n">
        <v>286.0321983500322</v>
      </c>
      <c r="Z3252" s="16" t="n"/>
      <c r="AA3252" s="16" t="n"/>
      <c r="AB3252" s="16" t="n">
        <v>2486.58831886124</v>
      </c>
      <c r="AC3252" s="16" t="n">
        <v>3.261093758523715</v>
      </c>
      <c r="AD3252" s="16" t="n"/>
      <c r="AE3252" s="16" t="n"/>
    </row>
    <row r="3253">
      <c r="A3253" s="16" t="inlineStr">
        <is>
          <t>KF-M09-R0-T_fuente-0039</t>
        </is>
      </c>
      <c r="B3253" s="16" t="inlineStr">
        <is>
          <t>4.3</t>
        </is>
      </c>
      <c r="C3253" s="16" t="inlineStr">
        <is>
          <t>4.3 T_fuente</t>
        </is>
      </c>
      <c r="D3253" s="16" t="inlineStr">
        <is>
          <t>ronda 0</t>
        </is>
      </c>
      <c r="E3253" s="16" t="inlineStr">
        <is>
          <t>KF-M09</t>
        </is>
      </c>
      <c r="F3253" s="16" t="inlineStr">
        <is>
          <t>KF-M09-R0-T_fuente</t>
        </is>
      </c>
      <c r="G3253" s="16" t="inlineStr">
        <is>
          <t>B13-T_fuente</t>
        </is>
      </c>
      <c r="H3253" s="16" t="inlineStr">
        <is>
          <t>lhs</t>
        </is>
      </c>
      <c r="I3253" s="16" t="inlineStr">
        <is>
          <t>CORREGIBLE</t>
        </is>
      </c>
      <c r="J3253" s="16" t="inlineStr">
        <is>
          <t>CORREGIBLE</t>
        </is>
      </c>
      <c r="K3253" s="16" t="b">
        <v>1</v>
      </c>
      <c r="L3253" s="16" t="b">
        <v>0</v>
      </c>
      <c r="M3253" s="16" t="b">
        <v>0</v>
      </c>
      <c r="N3253" s="16" t="b">
        <v>0</v>
      </c>
      <c r="O3253" s="16" t="n">
        <v>623.15</v>
      </c>
      <c r="P3253" s="16" t="n">
        <v>290.7735632066289</v>
      </c>
      <c r="Q3253" s="16" t="n">
        <v>4555.278087988015</v>
      </c>
      <c r="R3253" s="16" t="n">
        <v>643.3759493198947</v>
      </c>
      <c r="S3253" s="16" t="n">
        <v>0.8213199473466197</v>
      </c>
      <c r="T3253" s="16" t="n">
        <v>0.6209672764912418</v>
      </c>
      <c r="U3253" s="16" t="n">
        <v>0.5684770898906361</v>
      </c>
      <c r="V3253" s="16" t="n">
        <v>0.4338599896635232</v>
      </c>
      <c r="W3253" s="16" t="n">
        <v>0.5680594666512684</v>
      </c>
      <c r="X3253" s="16" t="n">
        <v>0.65060133262917</v>
      </c>
      <c r="Y3253" s="16" t="n">
        <v>290.7735632066289</v>
      </c>
      <c r="Z3253" s="16" t="n">
        <v>1.87418434584009</v>
      </c>
      <c r="AA3253" s="16" t="n">
        <v>14.03297451616771</v>
      </c>
      <c r="AB3253" s="16" t="n">
        <v>3911.90213866812</v>
      </c>
      <c r="AC3253" s="16" t="n">
        <v>7.080274127131029</v>
      </c>
      <c r="AD3253" s="16" t="inlineStr">
        <is>
          <t>O2</t>
        </is>
      </c>
      <c r="AE3253" s="16" t="n"/>
    </row>
    <row r="3254">
      <c r="A3254" s="16" t="inlineStr">
        <is>
          <t>KF-M09-R0-T_fuente-0040</t>
        </is>
      </c>
      <c r="B3254" s="16" t="inlineStr">
        <is>
          <t>4.3</t>
        </is>
      </c>
      <c r="C3254" s="16" t="inlineStr">
        <is>
          <t>4.3 T_fuente</t>
        </is>
      </c>
      <c r="D3254" s="16" t="inlineStr">
        <is>
          <t>ronda 0</t>
        </is>
      </c>
      <c r="E3254" s="16" t="inlineStr">
        <is>
          <t>KF-M09</t>
        </is>
      </c>
      <c r="F3254" s="16" t="inlineStr">
        <is>
          <t>KF-M09-R0-T_fuente</t>
        </is>
      </c>
      <c r="G3254" s="16" t="inlineStr">
        <is>
          <t>B13-T_fuente</t>
        </is>
      </c>
      <c r="H3254" s="16" t="inlineStr">
        <is>
          <t>lhs</t>
        </is>
      </c>
      <c r="I3254" s="16" t="inlineStr">
        <is>
          <t>NO_CONVERGIO</t>
        </is>
      </c>
      <c r="J3254" s="16" t="inlineStr">
        <is>
          <t>NO_CONVERGIO</t>
        </is>
      </c>
      <c r="K3254" s="16" t="b">
        <v>0</v>
      </c>
      <c r="L3254" s="16" t="b">
        <v>0</v>
      </c>
      <c r="M3254" s="16" t="b">
        <v>0</v>
      </c>
      <c r="N3254" s="16" t="b">
        <v>0</v>
      </c>
      <c r="O3254" s="16" t="n">
        <v>623.15</v>
      </c>
      <c r="P3254" s="16" t="n">
        <v>292.863478266587</v>
      </c>
      <c r="Q3254" s="16" t="n">
        <v>2482.593746672627</v>
      </c>
      <c r="R3254" s="16" t="n">
        <v>389.1407727612736</v>
      </c>
      <c r="S3254" s="16" t="n">
        <v>0.7799548983884574</v>
      </c>
      <c r="T3254" s="16" t="n">
        <v>0.8614179731371727</v>
      </c>
      <c r="U3254" s="16" t="n">
        <v>0.4380823883562309</v>
      </c>
      <c r="V3254" s="16" t="n">
        <v>0.6073007219478084</v>
      </c>
      <c r="W3254" s="16" t="n">
        <v>0.722713836963598</v>
      </c>
      <c r="X3254" s="16" t="n">
        <v>0.4066842959562227</v>
      </c>
      <c r="Y3254" s="16" t="n">
        <v>292.863478266587</v>
      </c>
      <c r="Z3254" s="16" t="n"/>
      <c r="AA3254" s="16" t="n"/>
      <c r="AB3254" s="16" t="n">
        <v>2093.452973911353</v>
      </c>
      <c r="AC3254" s="16" t="n">
        <v>6.379680363629295</v>
      </c>
      <c r="AD3254" s="16" t="n"/>
      <c r="AE3254" s="16" t="n"/>
    </row>
    <row r="3255">
      <c r="A3255" s="16" t="inlineStr">
        <is>
          <t>KF-M09-R0-T_fuente-0041</t>
        </is>
      </c>
      <c r="B3255" s="16" t="inlineStr">
        <is>
          <t>4.3</t>
        </is>
      </c>
      <c r="C3255" s="16" t="inlineStr">
        <is>
          <t>4.3 T_fuente</t>
        </is>
      </c>
      <c r="D3255" s="16" t="inlineStr">
        <is>
          <t>ronda 0</t>
        </is>
      </c>
      <c r="E3255" s="16" t="inlineStr">
        <is>
          <t>KF-M09</t>
        </is>
      </c>
      <c r="F3255" s="16" t="inlineStr">
        <is>
          <t>KF-M09-R0-T_fuente</t>
        </is>
      </c>
      <c r="G3255" s="16" t="inlineStr">
        <is>
          <t>B13-T_fuente</t>
        </is>
      </c>
      <c r="H3255" s="16" t="inlineStr">
        <is>
          <t>lhs</t>
        </is>
      </c>
      <c r="I3255" s="16" t="inlineStr">
        <is>
          <t>INVIABLE</t>
        </is>
      </c>
      <c r="J3255" s="16" t="inlineStr">
        <is>
          <t>INVIABLE</t>
        </is>
      </c>
      <c r="K3255" s="16" t="b">
        <v>1</v>
      </c>
      <c r="L3255" s="16" t="b">
        <v>0</v>
      </c>
      <c r="M3255" s="16" t="b">
        <v>1</v>
      </c>
      <c r="N3255" s="16" t="b">
        <v>0</v>
      </c>
      <c r="O3255" s="16" t="n">
        <v>623.15</v>
      </c>
      <c r="P3255" s="16" t="n">
        <v>285.680814751052</v>
      </c>
      <c r="Q3255" s="16" t="n">
        <v>2166.452486443416</v>
      </c>
      <c r="R3255" s="16" t="n">
        <v>1858.54671532044</v>
      </c>
      <c r="S3255" s="16" t="n">
        <v>0.7422250854361767</v>
      </c>
      <c r="T3255" s="16" t="n">
        <v>0.4131985652759836</v>
      </c>
      <c r="U3255" s="16" t="n">
        <v>0.8143273667521804</v>
      </c>
      <c r="V3255" s="16" t="n">
        <v>0.6400737409203716</v>
      </c>
      <c r="W3255" s="16" t="n">
        <v>0.4845611876870754</v>
      </c>
      <c r="X3255" s="16" t="n">
        <v>0.4900164968154071</v>
      </c>
      <c r="Y3255" s="16" t="n">
        <v>285.680814751052</v>
      </c>
      <c r="Z3255" s="16" t="n">
        <v>-0.51238948384747</v>
      </c>
      <c r="AA3255" s="16" t="n">
        <v>-4.86383010587495</v>
      </c>
      <c r="AB3255" s="16" t="n">
        <v>307.9057711229761</v>
      </c>
      <c r="AC3255" s="16" t="n">
        <v>1.165670181214621</v>
      </c>
      <c r="AD3255" s="16" t="inlineStr">
        <is>
          <t>O2,O3</t>
        </is>
      </c>
      <c r="AE3255" s="16" t="n"/>
    </row>
    <row r="3256">
      <c r="A3256" s="16" t="inlineStr">
        <is>
          <t>KF-M09-R0-T_fuente-0042</t>
        </is>
      </c>
      <c r="B3256" s="16" t="inlineStr">
        <is>
          <t>4.3</t>
        </is>
      </c>
      <c r="C3256" s="16" t="inlineStr">
        <is>
          <t>4.3 T_fuente</t>
        </is>
      </c>
      <c r="D3256" s="16" t="inlineStr">
        <is>
          <t>ronda 0</t>
        </is>
      </c>
      <c r="E3256" s="16" t="inlineStr">
        <is>
          <t>KF-M09</t>
        </is>
      </c>
      <c r="F3256" s="16" t="inlineStr">
        <is>
          <t>KF-M09-R0-T_fuente</t>
        </is>
      </c>
      <c r="G3256" s="16" t="inlineStr">
        <is>
          <t>B13-T_fuente</t>
        </is>
      </c>
      <c r="H3256" s="16" t="inlineStr">
        <is>
          <t>lhs</t>
        </is>
      </c>
      <c r="I3256" s="16" t="inlineStr">
        <is>
          <t>NO_CONVERGIO</t>
        </is>
      </c>
      <c r="J3256" s="16" t="inlineStr">
        <is>
          <t>NO_CONVERGIO</t>
        </is>
      </c>
      <c r="K3256" s="16" t="b">
        <v>0</v>
      </c>
      <c r="L3256" s="16" t="b">
        <v>0</v>
      </c>
      <c r="M3256" s="16" t="b">
        <v>0</v>
      </c>
      <c r="N3256" s="16" t="b">
        <v>0</v>
      </c>
      <c r="O3256" s="16" t="n">
        <v>623.15</v>
      </c>
      <c r="P3256" s="16" t="n">
        <v>281.5557878184736</v>
      </c>
      <c r="Q3256" s="16" t="n">
        <v>2680.201092388168</v>
      </c>
      <c r="R3256" s="16" t="n">
        <v>426.1941149884676</v>
      </c>
      <c r="S3256" s="16" t="n">
        <v>0.8380883617741067</v>
      </c>
      <c r="T3256" s="16" t="n">
        <v>0.6035762756286368</v>
      </c>
      <c r="U3256" s="16" t="n">
        <v>0.4842620568171454</v>
      </c>
      <c r="V3256" s="16" t="n">
        <v>0.7295017684268954</v>
      </c>
      <c r="W3256" s="16" t="n">
        <v>0.8683417856078313</v>
      </c>
      <c r="X3256" s="16" t="n">
        <v>0.8958547761202315</v>
      </c>
      <c r="Y3256" s="16" t="n">
        <v>281.5557878184736</v>
      </c>
      <c r="Z3256" s="16" t="n"/>
      <c r="AA3256" s="16" t="n"/>
      <c r="AB3256" s="16" t="n">
        <v>2254.0069773997</v>
      </c>
      <c r="AC3256" s="16" t="n">
        <v>6.288686300749816</v>
      </c>
      <c r="AD3256" s="16" t="n"/>
      <c r="AE3256" s="16" t="n"/>
    </row>
    <row r="3257">
      <c r="A3257" s="16" t="inlineStr">
        <is>
          <t>KF-M09-R0-T_fuente-0043</t>
        </is>
      </c>
      <c r="B3257" s="16" t="inlineStr">
        <is>
          <t>4.3</t>
        </is>
      </c>
      <c r="C3257" s="16" t="inlineStr">
        <is>
          <t>4.3 T_fuente</t>
        </is>
      </c>
      <c r="D3257" s="16" t="inlineStr">
        <is>
          <t>ronda 0</t>
        </is>
      </c>
      <c r="E3257" s="16" t="inlineStr">
        <is>
          <t>KF-M09</t>
        </is>
      </c>
      <c r="F3257" s="16" t="inlineStr">
        <is>
          <t>KF-M09-R0-T_fuente</t>
        </is>
      </c>
      <c r="G3257" s="16" t="inlineStr">
        <is>
          <t>B13-T_fuente</t>
        </is>
      </c>
      <c r="H3257" s="16" t="inlineStr">
        <is>
          <t>lhs</t>
        </is>
      </c>
      <c r="I3257" s="16" t="inlineStr">
        <is>
          <t>NO_CONVERGIO</t>
        </is>
      </c>
      <c r="J3257" s="16" t="inlineStr">
        <is>
          <t>NO_CONVERGIO</t>
        </is>
      </c>
      <c r="K3257" s="16" t="b">
        <v>0</v>
      </c>
      <c r="L3257" s="16" t="b">
        <v>0</v>
      </c>
      <c r="M3257" s="16" t="b">
        <v>0</v>
      </c>
      <c r="N3257" s="16" t="b">
        <v>0</v>
      </c>
      <c r="O3257" s="16" t="n">
        <v>623.15</v>
      </c>
      <c r="P3257" s="16" t="n">
        <v>281.8181068301165</v>
      </c>
      <c r="Q3257" s="16" t="n">
        <v>4386.788076282404</v>
      </c>
      <c r="R3257" s="16" t="n">
        <v>1404.487690816309</v>
      </c>
      <c r="S3257" s="16" t="n">
        <v>0.6352867895171674</v>
      </c>
      <c r="T3257" s="16" t="n">
        <v>0.5113058241616835</v>
      </c>
      <c r="U3257" s="16" t="n">
        <v>0.6919008427846906</v>
      </c>
      <c r="V3257" s="16" t="n">
        <v>0.9245984318879168</v>
      </c>
      <c r="W3257" s="16" t="n">
        <v>0.5924909555692828</v>
      </c>
      <c r="X3257" s="16" t="n">
        <v>0.8141584501387367</v>
      </c>
      <c r="Y3257" s="16" t="n">
        <v>281.8181068301165</v>
      </c>
      <c r="Z3257" s="16" t="n"/>
      <c r="AA3257" s="16" t="n"/>
      <c r="AB3257" s="16" t="n">
        <v>2982.300385466095</v>
      </c>
      <c r="AC3257" s="16" t="n">
        <v>3.12340799066223</v>
      </c>
      <c r="AD3257" s="16" t="n"/>
      <c r="AE3257" s="16" t="n"/>
    </row>
    <row r="3258">
      <c r="A3258" s="16" t="inlineStr">
        <is>
          <t>KF-M09-R0-T_fuente-0044</t>
        </is>
      </c>
      <c r="B3258" s="16" t="inlineStr">
        <is>
          <t>4.3</t>
        </is>
      </c>
      <c r="C3258" s="16" t="inlineStr">
        <is>
          <t>4.3 T_fuente</t>
        </is>
      </c>
      <c r="D3258" s="16" t="inlineStr">
        <is>
          <t>ronda 0</t>
        </is>
      </c>
      <c r="E3258" s="16" t="inlineStr">
        <is>
          <t>KF-M09</t>
        </is>
      </c>
      <c r="F3258" s="16" t="inlineStr">
        <is>
          <t>KF-M09-R0-T_fuente</t>
        </is>
      </c>
      <c r="G3258" s="16" t="inlineStr">
        <is>
          <t>B13-T_fuente</t>
        </is>
      </c>
      <c r="H3258" s="16" t="inlineStr">
        <is>
          <t>lhs</t>
        </is>
      </c>
      <c r="I3258" s="16" t="inlineStr">
        <is>
          <t>CORREGIBLE</t>
        </is>
      </c>
      <c r="J3258" s="16" t="inlineStr">
        <is>
          <t>CORREGIBLE</t>
        </is>
      </c>
      <c r="K3258" s="16" t="b">
        <v>1</v>
      </c>
      <c r="L3258" s="16" t="b">
        <v>0</v>
      </c>
      <c r="M3258" s="16" t="b">
        <v>1</v>
      </c>
      <c r="N3258" s="16" t="b">
        <v>0</v>
      </c>
      <c r="O3258" s="16" t="n">
        <v>623.15</v>
      </c>
      <c r="P3258" s="16" t="n">
        <v>296.3026187928128</v>
      </c>
      <c r="Q3258" s="16" t="n">
        <v>4652.102728542832</v>
      </c>
      <c r="R3258" s="16" t="n">
        <v>1364.729223973262</v>
      </c>
      <c r="S3258" s="16" t="n">
        <v>0.569576630939753</v>
      </c>
      <c r="T3258" s="16" t="n">
        <v>0.544753192523186</v>
      </c>
      <c r="U3258" s="16" t="n">
        <v>0.6855681917531362</v>
      </c>
      <c r="V3258" s="16" t="n">
        <v>0.4385209518630054</v>
      </c>
      <c r="W3258" s="16" t="n">
        <v>0.8427644934637336</v>
      </c>
      <c r="X3258" s="16" t="n">
        <v>0.6592597261307123</v>
      </c>
      <c r="Y3258" s="16" t="n">
        <v>296.3026187928128</v>
      </c>
      <c r="Z3258" s="16" t="n">
        <v>4.49732036300761</v>
      </c>
      <c r="AA3258" s="16" t="n">
        <v>40.64973846868433</v>
      </c>
      <c r="AB3258" s="16" t="n">
        <v>3287.37350456957</v>
      </c>
      <c r="AC3258" s="16" t="n">
        <v>3.40881007515816</v>
      </c>
      <c r="AD3258" s="16" t="inlineStr">
        <is>
          <t>O2</t>
        </is>
      </c>
      <c r="AE3258" s="16" t="n"/>
    </row>
    <row r="3259">
      <c r="A3259" s="16" t="inlineStr">
        <is>
          <t>KF-M09-R0-T_fuente-0045</t>
        </is>
      </c>
      <c r="B3259" s="16" t="inlineStr">
        <is>
          <t>4.3</t>
        </is>
      </c>
      <c r="C3259" s="16" t="inlineStr">
        <is>
          <t>4.3 T_fuente</t>
        </is>
      </c>
      <c r="D3259" s="16" t="inlineStr">
        <is>
          <t>ronda 0</t>
        </is>
      </c>
      <c r="E3259" s="16" t="inlineStr">
        <is>
          <t>KF-M09</t>
        </is>
      </c>
      <c r="F3259" s="16" t="inlineStr">
        <is>
          <t>KF-M09-R0-T_fuente</t>
        </is>
      </c>
      <c r="G3259" s="16" t="inlineStr">
        <is>
          <t>B13-T_fuente</t>
        </is>
      </c>
      <c r="H3259" s="16" t="inlineStr">
        <is>
          <t>lhs</t>
        </is>
      </c>
      <c r="I3259" s="16" t="inlineStr">
        <is>
          <t>NO_CONVERGIO</t>
        </is>
      </c>
      <c r="J3259" s="16" t="inlineStr">
        <is>
          <t>NO_CONVERGIO</t>
        </is>
      </c>
      <c r="K3259" s="16" t="b">
        <v>0</v>
      </c>
      <c r="L3259" s="16" t="b">
        <v>0</v>
      </c>
      <c r="M3259" s="16" t="b">
        <v>0</v>
      </c>
      <c r="N3259" s="16" t="b">
        <v>0</v>
      </c>
      <c r="O3259" s="16" t="n">
        <v>623.15</v>
      </c>
      <c r="P3259" s="16" t="n">
        <v>299.0594920688197</v>
      </c>
      <c r="Q3259" s="16" t="n">
        <v>2391.344425207032</v>
      </c>
      <c r="R3259" s="16" t="n">
        <v>928.9284241434644</v>
      </c>
      <c r="S3259" s="16" t="n">
        <v>0.647118417794676</v>
      </c>
      <c r="T3259" s="16" t="n">
        <v>0.6148482725864496</v>
      </c>
      <c r="U3259" s="16" t="n">
        <v>0.6537258116482649</v>
      </c>
      <c r="V3259" s="16" t="n">
        <v>0.8631988033743867</v>
      </c>
      <c r="W3259" s="16" t="n">
        <v>0.8638281683231021</v>
      </c>
      <c r="X3259" s="16" t="n">
        <v>0.610502059971733</v>
      </c>
      <c r="Y3259" s="16" t="n">
        <v>299.0594920688197</v>
      </c>
      <c r="Z3259" s="16" t="n"/>
      <c r="AA3259" s="16" t="n"/>
      <c r="AB3259" s="16" t="n">
        <v>1462.416001063568</v>
      </c>
      <c r="AC3259" s="16" t="n">
        <v>2.574304287665667</v>
      </c>
      <c r="AD3259" s="16" t="n"/>
      <c r="AE3259" s="16" t="n"/>
    </row>
    <row r="3260">
      <c r="A3260" s="16" t="inlineStr">
        <is>
          <t>KF-M09-R0-T_fuente-0046</t>
        </is>
      </c>
      <c r="B3260" s="16" t="inlineStr">
        <is>
          <t>4.3</t>
        </is>
      </c>
      <c r="C3260" s="16" t="inlineStr">
        <is>
          <t>4.3 T_fuente</t>
        </is>
      </c>
      <c r="D3260" s="16" t="inlineStr">
        <is>
          <t>ronda 0</t>
        </is>
      </c>
      <c r="E3260" s="16" t="inlineStr">
        <is>
          <t>KF-M09</t>
        </is>
      </c>
      <c r="F3260" s="16" t="inlineStr">
        <is>
          <t>KF-M09-R0-T_fuente</t>
        </is>
      </c>
      <c r="G3260" s="16" t="inlineStr">
        <is>
          <t>B13-T_fuente</t>
        </is>
      </c>
      <c r="H3260" s="16" t="inlineStr">
        <is>
          <t>lhs</t>
        </is>
      </c>
      <c r="I3260" s="16" t="inlineStr">
        <is>
          <t>INVIABLE</t>
        </is>
      </c>
      <c r="J3260" s="16" t="inlineStr">
        <is>
          <t>INVIABLE</t>
        </is>
      </c>
      <c r="K3260" s="16" t="b">
        <v>1</v>
      </c>
      <c r="L3260" s="16" t="b">
        <v>0</v>
      </c>
      <c r="M3260" s="16" t="b">
        <v>1</v>
      </c>
      <c r="N3260" s="16" t="b">
        <v>0</v>
      </c>
      <c r="O3260" s="16" t="n">
        <v>623.15</v>
      </c>
      <c r="P3260" s="16" t="n">
        <v>289.5760686655613</v>
      </c>
      <c r="Q3260" s="16" t="n">
        <v>4296.759143251759</v>
      </c>
      <c r="R3260" s="16" t="n">
        <v>1671.484029027493</v>
      </c>
      <c r="S3260" s="16" t="n">
        <v>0.5311971185076466</v>
      </c>
      <c r="T3260" s="16" t="n">
        <v>0.7130172173223901</v>
      </c>
      <c r="U3260" s="16" t="n">
        <v>0.6140161283563735</v>
      </c>
      <c r="V3260" s="16" t="n">
        <v>0.6913166038086072</v>
      </c>
      <c r="W3260" s="16" t="n">
        <v>0.5988447143759881</v>
      </c>
      <c r="X3260" s="16" t="n">
        <v>0.4512180977148738</v>
      </c>
      <c r="Y3260" s="16" t="n">
        <v>289.5760686655613</v>
      </c>
      <c r="Z3260" s="16" t="n">
        <v>-0.72058745794156</v>
      </c>
      <c r="AA3260" s="16" t="n">
        <v>-7.013881063979497</v>
      </c>
      <c r="AB3260" s="16" t="n">
        <v>2625.275114224266</v>
      </c>
      <c r="AC3260" s="16" t="n">
        <v>2.570625305795898</v>
      </c>
      <c r="AD3260" s="16" t="inlineStr">
        <is>
          <t>O2,O3</t>
        </is>
      </c>
      <c r="AE3260" s="16" t="n"/>
    </row>
    <row r="3261">
      <c r="A3261" s="16" t="inlineStr">
        <is>
          <t>KF-M09-R0-T_fuente-0047</t>
        </is>
      </c>
      <c r="B3261" s="16" t="inlineStr">
        <is>
          <t>4.3</t>
        </is>
      </c>
      <c r="C3261" s="16" t="inlineStr">
        <is>
          <t>4.3 T_fuente</t>
        </is>
      </c>
      <c r="D3261" s="16" t="inlineStr">
        <is>
          <t>ronda 0</t>
        </is>
      </c>
      <c r="E3261" s="16" t="inlineStr">
        <is>
          <t>KF-M09</t>
        </is>
      </c>
      <c r="F3261" s="16" t="inlineStr">
        <is>
          <t>KF-M09-R0-T_fuente</t>
        </is>
      </c>
      <c r="G3261" s="16" t="inlineStr">
        <is>
          <t>B13-T_fuente</t>
        </is>
      </c>
      <c r="H3261" s="16" t="inlineStr">
        <is>
          <t>lhs</t>
        </is>
      </c>
      <c r="I3261" s="16" t="inlineStr">
        <is>
          <t>CORREGIBLE</t>
        </is>
      </c>
      <c r="J3261" s="16" t="inlineStr">
        <is>
          <t>CORREGIBLE</t>
        </is>
      </c>
      <c r="K3261" s="16" t="b">
        <v>1</v>
      </c>
      <c r="L3261" s="16" t="b">
        <v>0</v>
      </c>
      <c r="M3261" s="16" t="b">
        <v>0</v>
      </c>
      <c r="N3261" s="16" t="b">
        <v>0</v>
      </c>
      <c r="O3261" s="16" t="n">
        <v>623.15</v>
      </c>
      <c r="P3261" s="16" t="n">
        <v>290.1107962950724</v>
      </c>
      <c r="Q3261" s="16" t="n">
        <v>3718.50489443081</v>
      </c>
      <c r="R3261" s="16" t="n">
        <v>508.9177783129735</v>
      </c>
      <c r="S3261" s="16" t="n">
        <v>0.7605637331153796</v>
      </c>
      <c r="T3261" s="16" t="n">
        <v>0.8065972313045736</v>
      </c>
      <c r="U3261" s="16" t="n">
        <v>0.4997091604251668</v>
      </c>
      <c r="V3261" s="16" t="n">
        <v>0.4484552160579584</v>
      </c>
      <c r="W3261" s="16" t="n">
        <v>0.7649582109737163</v>
      </c>
      <c r="X3261" s="16" t="n">
        <v>0.8925675159955613</v>
      </c>
      <c r="Y3261" s="16" t="n">
        <v>290.1107962950724</v>
      </c>
      <c r="Z3261" s="16" t="n">
        <v>8.871526159086059</v>
      </c>
      <c r="AA3261" s="16" t="n">
        <v>76.29953708609236</v>
      </c>
      <c r="AB3261" s="16" t="n">
        <v>3209.587116117836</v>
      </c>
      <c r="AC3261" s="16" t="n">
        <v>7.306690889749206</v>
      </c>
      <c r="AD3261" s="16" t="inlineStr">
        <is>
          <t>O2</t>
        </is>
      </c>
      <c r="AE3261" s="16" t="n"/>
    </row>
    <row r="3262">
      <c r="A3262" s="16" t="inlineStr">
        <is>
          <t>KF-M09-R0-T_fuente-0048</t>
        </is>
      </c>
      <c r="B3262" s="16" t="inlineStr">
        <is>
          <t>4.3</t>
        </is>
      </c>
      <c r="C3262" s="16" t="inlineStr">
        <is>
          <t>4.3 T_fuente</t>
        </is>
      </c>
      <c r="D3262" s="16" t="inlineStr">
        <is>
          <t>ronda 0</t>
        </is>
      </c>
      <c r="E3262" s="16" t="inlineStr">
        <is>
          <t>KF-M09</t>
        </is>
      </c>
      <c r="F3262" s="16" t="inlineStr">
        <is>
          <t>KF-M09-R0-T_fuente</t>
        </is>
      </c>
      <c r="G3262" s="16" t="inlineStr">
        <is>
          <t>B13-T_fuente</t>
        </is>
      </c>
      <c r="H3262" s="16" t="inlineStr">
        <is>
          <t>lhs</t>
        </is>
      </c>
      <c r="I3262" s="16" t="inlineStr">
        <is>
          <t>CORREGIBLE</t>
        </is>
      </c>
      <c r="J3262" s="16" t="inlineStr">
        <is>
          <t>CORREGIBLE</t>
        </is>
      </c>
      <c r="K3262" s="16" t="b">
        <v>1</v>
      </c>
      <c r="L3262" s="16" t="b">
        <v>0</v>
      </c>
      <c r="M3262" s="16" t="b">
        <v>0</v>
      </c>
      <c r="N3262" s="16" t="b">
        <v>0</v>
      </c>
      <c r="O3262" s="16" t="n">
        <v>623.15</v>
      </c>
      <c r="P3262" s="16" t="n">
        <v>278.4311171565388</v>
      </c>
      <c r="Q3262" s="16" t="n">
        <v>3511.115525293447</v>
      </c>
      <c r="R3262" s="16" t="n">
        <v>1241.100319129622</v>
      </c>
      <c r="S3262" s="16" t="n">
        <v>0.8301128722433482</v>
      </c>
      <c r="T3262" s="16" t="n">
        <v>0.8419627930405986</v>
      </c>
      <c r="U3262" s="16" t="n">
        <v>0.736433887453432</v>
      </c>
      <c r="V3262" s="16" t="n">
        <v>0.5300666096239369</v>
      </c>
      <c r="W3262" s="16" t="n">
        <v>0.6129735245913281</v>
      </c>
      <c r="X3262" s="16" t="n">
        <v>0.7320004714332725</v>
      </c>
      <c r="Y3262" s="16" t="n">
        <v>278.4311171565388</v>
      </c>
      <c r="Z3262" s="16" t="n">
        <v>9.058336856096529</v>
      </c>
      <c r="AA3262" s="16" t="n">
        <v>94.55091827901413</v>
      </c>
      <c r="AB3262" s="16" t="n">
        <v>2270.015206163825</v>
      </c>
      <c r="AC3262" s="16" t="n">
        <v>2.829034423064023</v>
      </c>
      <c r="AD3262" s="16" t="inlineStr">
        <is>
          <t>O2</t>
        </is>
      </c>
      <c r="AE3262" s="16" t="n"/>
    </row>
    <row r="3263">
      <c r="A3263" s="16" t="inlineStr">
        <is>
          <t>KF-M09-R0-T_fuente-0049</t>
        </is>
      </c>
      <c r="B3263" s="16" t="inlineStr">
        <is>
          <t>4.3</t>
        </is>
      </c>
      <c r="C3263" s="16" t="inlineStr">
        <is>
          <t>4.3 T_fuente</t>
        </is>
      </c>
      <c r="D3263" s="16" t="inlineStr">
        <is>
          <t>ronda 0</t>
        </is>
      </c>
      <c r="E3263" s="16" t="inlineStr">
        <is>
          <t>KF-M09</t>
        </is>
      </c>
      <c r="F3263" s="16" t="inlineStr">
        <is>
          <t>KF-M09-R0-T_fuente</t>
        </is>
      </c>
      <c r="G3263" s="16" t="inlineStr">
        <is>
          <t>B13-T_fuente</t>
        </is>
      </c>
      <c r="H3263" s="16" t="inlineStr">
        <is>
          <t>lhs</t>
        </is>
      </c>
      <c r="I3263" s="16" t="inlineStr">
        <is>
          <t>CORREGIBLE</t>
        </is>
      </c>
      <c r="J3263" s="16" t="inlineStr">
        <is>
          <t>CORREGIBLE</t>
        </is>
      </c>
      <c r="K3263" s="16" t="b">
        <v>1</v>
      </c>
      <c r="L3263" s="16" t="b">
        <v>0</v>
      </c>
      <c r="M3263" s="16" t="b">
        <v>1</v>
      </c>
      <c r="N3263" s="16" t="b">
        <v>0</v>
      </c>
      <c r="O3263" s="16" t="n">
        <v>623.15</v>
      </c>
      <c r="P3263" s="16" t="n">
        <v>287.2387243920826</v>
      </c>
      <c r="Q3263" s="16" t="n">
        <v>3705.459528615119</v>
      </c>
      <c r="R3263" s="16" t="n">
        <v>598.7695797664916</v>
      </c>
      <c r="S3263" s="16" t="n">
        <v>0.7628374806401125</v>
      </c>
      <c r="T3263" s="16" t="n">
        <v>0.7538486599580068</v>
      </c>
      <c r="U3263" s="16" t="n">
        <v>0.9254624185455176</v>
      </c>
      <c r="V3263" s="16" t="n">
        <v>0.5183229686446399</v>
      </c>
      <c r="W3263" s="16" t="n">
        <v>0.7416991359495032</v>
      </c>
      <c r="X3263" s="16" t="n">
        <v>0.5524676872154738</v>
      </c>
      <c r="Y3263" s="16" t="n">
        <v>287.2387243920826</v>
      </c>
      <c r="Z3263" s="16" t="n">
        <v>9.10108705545932</v>
      </c>
      <c r="AA3263" s="16" t="n">
        <v>78.06171393282349</v>
      </c>
      <c r="AB3263" s="16" t="n">
        <v>3106.689948848628</v>
      </c>
      <c r="AC3263" s="16" t="n">
        <v>6.188456551283344</v>
      </c>
      <c r="AD3263" s="16" t="inlineStr">
        <is>
          <t>O2</t>
        </is>
      </c>
      <c r="AE3263" s="16" t="n"/>
    </row>
    <row r="3264">
      <c r="A3264" s="16" t="inlineStr">
        <is>
          <t>KF-M09-R0-T_fuente-0050</t>
        </is>
      </c>
      <c r="B3264" s="16" t="inlineStr">
        <is>
          <t>4.3</t>
        </is>
      </c>
      <c r="C3264" s="16" t="inlineStr">
        <is>
          <t>4.3 T_fuente</t>
        </is>
      </c>
      <c r="D3264" s="16" t="inlineStr">
        <is>
          <t>ronda 0</t>
        </is>
      </c>
      <c r="E3264" s="16" t="inlineStr">
        <is>
          <t>KF-M09</t>
        </is>
      </c>
      <c r="F3264" s="16" t="inlineStr">
        <is>
          <t>KF-M09-R0-T_fuente</t>
        </is>
      </c>
      <c r="G3264" s="16" t="inlineStr">
        <is>
          <t>B13-T_fuente</t>
        </is>
      </c>
      <c r="H3264" s="16" t="inlineStr">
        <is>
          <t>lhs</t>
        </is>
      </c>
      <c r="I3264" s="16" t="inlineStr">
        <is>
          <t>INVIABLE</t>
        </is>
      </c>
      <c r="J3264" s="16" t="inlineStr">
        <is>
          <t>INVIABLE</t>
        </is>
      </c>
      <c r="K3264" s="16" t="b">
        <v>1</v>
      </c>
      <c r="L3264" s="16" t="b">
        <v>0</v>
      </c>
      <c r="M3264" s="16" t="b">
        <v>1</v>
      </c>
      <c r="N3264" s="16" t="b">
        <v>0</v>
      </c>
      <c r="O3264" s="16" t="n">
        <v>623.15</v>
      </c>
      <c r="P3264" s="16" t="n">
        <v>278.6959892219265</v>
      </c>
      <c r="Q3264" s="16" t="n">
        <v>3907.423523040895</v>
      </c>
      <c r="R3264" s="16" t="n">
        <v>930.3575484768286</v>
      </c>
      <c r="S3264" s="16" t="n">
        <v>0.6828478379711724</v>
      </c>
      <c r="T3264" s="16" t="n">
        <v>0.7303936268523206</v>
      </c>
      <c r="U3264" s="16" t="n">
        <v>0.4178153715095241</v>
      </c>
      <c r="V3264" s="16" t="n">
        <v>0.4585133963789332</v>
      </c>
      <c r="W3264" s="16" t="n">
        <v>0.5050631861097197</v>
      </c>
      <c r="X3264" s="16" t="n">
        <v>0.4877833867560584</v>
      </c>
      <c r="Y3264" s="16" t="n">
        <v>278.6959892219265</v>
      </c>
      <c r="Z3264" s="16" t="n">
        <v>-10.30500403193281</v>
      </c>
      <c r="AA3264" s="16" t="n">
        <v>-72.6288802496513</v>
      </c>
      <c r="AB3264" s="16" t="n">
        <v>2977.065974564066</v>
      </c>
      <c r="AC3264" s="16" t="n">
        <v>4.199915967187117</v>
      </c>
      <c r="AD3264" s="16" t="inlineStr">
        <is>
          <t>O2,O3</t>
        </is>
      </c>
      <c r="AE3264" s="16" t="n"/>
    </row>
    <row r="3265">
      <c r="A3265" s="16" t="inlineStr">
        <is>
          <t>KF-M09-R0-T_fuente-0051</t>
        </is>
      </c>
      <c r="B3265" s="16" t="inlineStr">
        <is>
          <t>4.3</t>
        </is>
      </c>
      <c r="C3265" s="16" t="inlineStr">
        <is>
          <t>4.3 T_fuente</t>
        </is>
      </c>
      <c r="D3265" s="16" t="inlineStr">
        <is>
          <t>ronda 0</t>
        </is>
      </c>
      <c r="E3265" s="16" t="inlineStr">
        <is>
          <t>KF-M09</t>
        </is>
      </c>
      <c r="F3265" s="16" t="inlineStr">
        <is>
          <t>KF-M09-R0-T_fuente</t>
        </is>
      </c>
      <c r="G3265" s="16" t="inlineStr">
        <is>
          <t>B13-T_fuente</t>
        </is>
      </c>
      <c r="H3265" s="16" t="inlineStr">
        <is>
          <t>lhs</t>
        </is>
      </c>
      <c r="I3265" s="16" t="inlineStr">
        <is>
          <t>NO_CONVERGIO</t>
        </is>
      </c>
      <c r="J3265" s="16" t="inlineStr">
        <is>
          <t>NO_CONVERGIO</t>
        </is>
      </c>
      <c r="K3265" s="16" t="b">
        <v>0</v>
      </c>
      <c r="L3265" s="16" t="b">
        <v>0</v>
      </c>
      <c r="M3265" s="16" t="b">
        <v>0</v>
      </c>
      <c r="N3265" s="16" t="b">
        <v>0</v>
      </c>
      <c r="O3265" s="16" t="n">
        <v>623.15</v>
      </c>
      <c r="P3265" s="16" t="n">
        <v>299.7786154645738</v>
      </c>
      <c r="Q3265" s="16" t="n">
        <v>2611.202307665564</v>
      </c>
      <c r="R3265" s="16" t="n">
        <v>1505.223808681337</v>
      </c>
      <c r="S3265" s="16" t="n">
        <v>0.6302323694654699</v>
      </c>
      <c r="T3265" s="16" t="n">
        <v>0.7006311293995235</v>
      </c>
      <c r="U3265" s="16" t="n">
        <v>0.7818953711181049</v>
      </c>
      <c r="V3265" s="16" t="n">
        <v>0.8133494133118597</v>
      </c>
      <c r="W3265" s="16" t="n">
        <v>0.5263485965360498</v>
      </c>
      <c r="X3265" s="16" t="n">
        <v>0.8090436271256327</v>
      </c>
      <c r="Y3265" s="16" t="n">
        <v>299.7786154645738</v>
      </c>
      <c r="Z3265" s="16" t="n"/>
      <c r="AA3265" s="16" t="n"/>
      <c r="AB3265" s="16" t="n">
        <v>1105.978498984227</v>
      </c>
      <c r="AC3265" s="16" t="n">
        <v>1.734760168292268</v>
      </c>
      <c r="AD3265" s="16" t="n"/>
      <c r="AE3265" s="16" t="n"/>
    </row>
    <row r="3266">
      <c r="A3266" s="16" t="inlineStr">
        <is>
          <t>KF-M09-R0-T_fuente-0052</t>
        </is>
      </c>
      <c r="B3266" s="16" t="inlineStr">
        <is>
          <t>4.3</t>
        </is>
      </c>
      <c r="C3266" s="16" t="inlineStr">
        <is>
          <t>4.3 T_fuente</t>
        </is>
      </c>
      <c r="D3266" s="16" t="inlineStr">
        <is>
          <t>ronda 0</t>
        </is>
      </c>
      <c r="E3266" s="16" t="inlineStr">
        <is>
          <t>KF-M09</t>
        </is>
      </c>
      <c r="F3266" s="16" t="inlineStr">
        <is>
          <t>KF-M09-R0-T_fuente</t>
        </is>
      </c>
      <c r="G3266" s="16" t="inlineStr">
        <is>
          <t>B13-T_fuente</t>
        </is>
      </c>
      <c r="H3266" s="16" t="inlineStr">
        <is>
          <t>lhs</t>
        </is>
      </c>
      <c r="I3266" s="16" t="inlineStr">
        <is>
          <t>CORREGIBLE</t>
        </is>
      </c>
      <c r="J3266" s="16" t="inlineStr">
        <is>
          <t>CORREGIBLE</t>
        </is>
      </c>
      <c r="K3266" s="16" t="b">
        <v>1</v>
      </c>
      <c r="L3266" s="16" t="b">
        <v>0</v>
      </c>
      <c r="M3266" s="16" t="b">
        <v>1</v>
      </c>
      <c r="N3266" s="16" t="b">
        <v>0</v>
      </c>
      <c r="O3266" s="16" t="n">
        <v>623.15</v>
      </c>
      <c r="P3266" s="16" t="n">
        <v>280.3624695603555</v>
      </c>
      <c r="Q3266" s="16" t="n">
        <v>3273.705587787349</v>
      </c>
      <c r="R3266" s="16" t="n">
        <v>813.4598554704487</v>
      </c>
      <c r="S3266" s="16" t="n">
        <v>0.6802766966443941</v>
      </c>
      <c r="T3266" s="16" t="n">
        <v>0.591318910198645</v>
      </c>
      <c r="U3266" s="16" t="n">
        <v>0.5711386180344636</v>
      </c>
      <c r="V3266" s="16" t="n">
        <v>0.6278765797624857</v>
      </c>
      <c r="W3266" s="16" t="n">
        <v>0.470740762491225</v>
      </c>
      <c r="X3266" s="16" t="n">
        <v>0.7904295706670758</v>
      </c>
      <c r="Y3266" s="16" t="n">
        <v>280.3624695603555</v>
      </c>
      <c r="Z3266" s="16" t="n">
        <v>6.26442927964377</v>
      </c>
      <c r="AA3266" s="16" t="n">
        <v>86.1609067063347</v>
      </c>
      <c r="AB3266" s="16" t="n">
        <v>2460.2457323169</v>
      </c>
      <c r="AC3266" s="16" t="n">
        <v>4.024421814760687</v>
      </c>
      <c r="AD3266" s="16" t="inlineStr">
        <is>
          <t>O2</t>
        </is>
      </c>
      <c r="AE3266" s="16" t="n"/>
    </row>
    <row r="3267">
      <c r="A3267" s="16" t="inlineStr">
        <is>
          <t>KF-M09-R0-T_fuente-0053</t>
        </is>
      </c>
      <c r="B3267" s="16" t="inlineStr">
        <is>
          <t>4.3</t>
        </is>
      </c>
      <c r="C3267" s="16" t="inlineStr">
        <is>
          <t>4.3 T_fuente</t>
        </is>
      </c>
      <c r="D3267" s="16" t="inlineStr">
        <is>
          <t>ronda 0</t>
        </is>
      </c>
      <c r="E3267" s="16" t="inlineStr">
        <is>
          <t>KF-M09</t>
        </is>
      </c>
      <c r="F3267" s="16" t="inlineStr">
        <is>
          <t>KF-M09-R0-T_fuente</t>
        </is>
      </c>
      <c r="G3267" s="16" t="inlineStr">
        <is>
          <t>B13-T_fuente</t>
        </is>
      </c>
      <c r="H3267" s="16" t="inlineStr">
        <is>
          <t>lhs</t>
        </is>
      </c>
      <c r="I3267" s="16" t="inlineStr">
        <is>
          <t>NO_CONVERGIO</t>
        </is>
      </c>
      <c r="J3267" s="16" t="inlineStr">
        <is>
          <t>NO_CONVERGIO</t>
        </is>
      </c>
      <c r="K3267" s="16" t="b">
        <v>0</v>
      </c>
      <c r="L3267" s="16" t="b">
        <v>0</v>
      </c>
      <c r="M3267" s="16" t="b">
        <v>0</v>
      </c>
      <c r="N3267" s="16" t="b">
        <v>0</v>
      </c>
      <c r="O3267" s="16" t="n">
        <v>623.15</v>
      </c>
      <c r="P3267" s="16" t="n">
        <v>293.9239373028586</v>
      </c>
      <c r="Q3267" s="16" t="n">
        <v>2797.289610968453</v>
      </c>
      <c r="R3267" s="16" t="n">
        <v>1412.658312310471</v>
      </c>
      <c r="S3267" s="16" t="n">
        <v>0.7174489395016264</v>
      </c>
      <c r="T3267" s="16" t="n">
        <v>0.5502904249886158</v>
      </c>
      <c r="U3267" s="16" t="n">
        <v>0.8288381625822283</v>
      </c>
      <c r="V3267" s="16" t="n">
        <v>0.9452306508297112</v>
      </c>
      <c r="W3267" s="16" t="n">
        <v>0.4435611814568952</v>
      </c>
      <c r="X3267" s="16" t="n">
        <v>0.73880725657522</v>
      </c>
      <c r="Y3267" s="16" t="n">
        <v>293.9239373028586</v>
      </c>
      <c r="Z3267" s="16" t="n"/>
      <c r="AA3267" s="16" t="n"/>
      <c r="AB3267" s="16" t="n">
        <v>1384.631298657983</v>
      </c>
      <c r="AC3267" s="16" t="n">
        <v>1.980160090088134</v>
      </c>
      <c r="AD3267" s="16" t="n"/>
      <c r="AE3267" s="16" t="n"/>
    </row>
    <row r="3268">
      <c r="A3268" s="16" t="inlineStr">
        <is>
          <t>KF-M09-R0-T_fuente-0054</t>
        </is>
      </c>
      <c r="B3268" s="16" t="inlineStr">
        <is>
          <t>4.3</t>
        </is>
      </c>
      <c r="C3268" s="16" t="inlineStr">
        <is>
          <t>4.3 T_fuente</t>
        </is>
      </c>
      <c r="D3268" s="16" t="inlineStr">
        <is>
          <t>ronda 0</t>
        </is>
      </c>
      <c r="E3268" s="16" t="inlineStr">
        <is>
          <t>KF-M09</t>
        </is>
      </c>
      <c r="F3268" s="16" t="inlineStr">
        <is>
          <t>KF-M09-R0-T_fuente</t>
        </is>
      </c>
      <c r="G3268" s="16" t="inlineStr">
        <is>
          <t>B13-T_fuente</t>
        </is>
      </c>
      <c r="H3268" s="16" t="inlineStr">
        <is>
          <t>lhs</t>
        </is>
      </c>
      <c r="I3268" s="16" t="inlineStr">
        <is>
          <t>KALINA</t>
        </is>
      </c>
      <c r="J3268" s="16" t="inlineStr">
        <is>
          <t>KALINA</t>
        </is>
      </c>
      <c r="K3268" s="16" t="b">
        <v>1</v>
      </c>
      <c r="L3268" s="16" t="b">
        <v>0</v>
      </c>
      <c r="M3268" s="16" t="b">
        <v>1</v>
      </c>
      <c r="N3268" s="16" t="b">
        <v>0</v>
      </c>
      <c r="O3268" s="16" t="n">
        <v>623.15</v>
      </c>
      <c r="P3268" s="16" t="n">
        <v>284.0922709211751</v>
      </c>
      <c r="Q3268" s="16" t="n">
        <v>3667.359245436355</v>
      </c>
      <c r="R3268" s="16" t="n">
        <v>1288.964926104858</v>
      </c>
      <c r="S3268" s="16" t="n">
        <v>0.5595317810469005</v>
      </c>
      <c r="T3268" s="16" t="n">
        <v>0.907450133496748</v>
      </c>
      <c r="U3268" s="16" t="n">
        <v>0.6479740117559027</v>
      </c>
      <c r="V3268" s="16" t="n">
        <v>0.7728914871065152</v>
      </c>
      <c r="W3268" s="16" t="n">
        <v>0.4067397500597173</v>
      </c>
      <c r="X3268" s="16" t="n">
        <v>0.940935762920202</v>
      </c>
      <c r="Y3268" s="16" t="n">
        <v>284.0922709211751</v>
      </c>
      <c r="Z3268" s="16" t="n">
        <v>7.686619831311919</v>
      </c>
      <c r="AA3268" s="16" t="n">
        <v>153.6511301177157</v>
      </c>
      <c r="AB3268" s="16" t="n">
        <v>2378.394319331497</v>
      </c>
      <c r="AC3268" s="16" t="n">
        <v>2.845197081132999</v>
      </c>
      <c r="AD3268" s="16" t="n"/>
      <c r="AE3268" s="16" t="n"/>
    </row>
    <row r="3269">
      <c r="A3269" s="16" t="inlineStr">
        <is>
          <t>KF-M09-R0-T_fuente-0055</t>
        </is>
      </c>
      <c r="B3269" s="16" t="inlineStr">
        <is>
          <t>4.3</t>
        </is>
      </c>
      <c r="C3269" s="16" t="inlineStr">
        <is>
          <t>4.3 T_fuente</t>
        </is>
      </c>
      <c r="D3269" s="16" t="inlineStr">
        <is>
          <t>ronda 0</t>
        </is>
      </c>
      <c r="E3269" s="16" t="inlineStr">
        <is>
          <t>KF-M09</t>
        </is>
      </c>
      <c r="F3269" s="16" t="inlineStr">
        <is>
          <t>KF-M09-R0-T_fuente</t>
        </is>
      </c>
      <c r="G3269" s="16" t="inlineStr">
        <is>
          <t>B13-T_fuente</t>
        </is>
      </c>
      <c r="H3269" s="16" t="inlineStr">
        <is>
          <t>lhs</t>
        </is>
      </c>
      <c r="I3269" s="16" t="inlineStr">
        <is>
          <t>NO_CONVERGIO</t>
        </is>
      </c>
      <c r="J3269" s="16" t="inlineStr">
        <is>
          <t>NO_CONVERGIO</t>
        </is>
      </c>
      <c r="K3269" s="16" t="b">
        <v>0</v>
      </c>
      <c r="L3269" s="16" t="b">
        <v>0</v>
      </c>
      <c r="M3269" s="16" t="b">
        <v>0</v>
      </c>
      <c r="N3269" s="16" t="b">
        <v>0</v>
      </c>
      <c r="O3269" s="16" t="n">
        <v>623.15</v>
      </c>
      <c r="P3269" s="16" t="n">
        <v>292.2333601693343</v>
      </c>
      <c r="Q3269" s="16" t="n">
        <v>4802.001829474736</v>
      </c>
      <c r="R3269" s="16" t="n">
        <v>588.7707004272337</v>
      </c>
      <c r="S3269" s="16" t="n">
        <v>0.77599334713748</v>
      </c>
      <c r="T3269" s="16" t="n">
        <v>0.7675013578630407</v>
      </c>
      <c r="U3269" s="16" t="n">
        <v>0.4654622137843195</v>
      </c>
      <c r="V3269" s="16" t="n">
        <v>0.6633352777256942</v>
      </c>
      <c r="W3269" s="16" t="n">
        <v>0.4177426421702234</v>
      </c>
      <c r="X3269" s="16" t="n">
        <v>0.5612863869660645</v>
      </c>
      <c r="Y3269" s="16" t="n">
        <v>292.2333601693343</v>
      </c>
      <c r="Z3269" s="16" t="n"/>
      <c r="AA3269" s="16" t="n"/>
      <c r="AB3269" s="16" t="n">
        <v>4213.231129047503</v>
      </c>
      <c r="AC3269" s="16" t="n">
        <v>8.155979613099339</v>
      </c>
      <c r="AD3269" s="16" t="n"/>
      <c r="AE3269" s="16" t="n"/>
    </row>
    <row r="3270">
      <c r="A3270" s="16" t="inlineStr">
        <is>
          <t>KF-M09-R0-T_fuente-0056</t>
        </is>
      </c>
      <c r="B3270" s="16" t="inlineStr">
        <is>
          <t>4.3</t>
        </is>
      </c>
      <c r="C3270" s="16" t="inlineStr">
        <is>
          <t>4.3 T_fuente</t>
        </is>
      </c>
      <c r="D3270" s="16" t="inlineStr">
        <is>
          <t>ronda 0</t>
        </is>
      </c>
      <c r="E3270" s="16" t="inlineStr">
        <is>
          <t>KF-M09</t>
        </is>
      </c>
      <c r="F3270" s="16" t="inlineStr">
        <is>
          <t>KF-M09-R0-T_fuente</t>
        </is>
      </c>
      <c r="G3270" s="16" t="inlineStr">
        <is>
          <t>B13-T_fuente</t>
        </is>
      </c>
      <c r="H3270" s="16" t="inlineStr">
        <is>
          <t>lhs</t>
        </is>
      </c>
      <c r="I3270" s="16" t="inlineStr">
        <is>
          <t>NO_CONVERGIO</t>
        </is>
      </c>
      <c r="J3270" s="16" t="inlineStr">
        <is>
          <t>NO_CONVERGIO</t>
        </is>
      </c>
      <c r="K3270" s="16" t="b">
        <v>0</v>
      </c>
      <c r="L3270" s="16" t="b">
        <v>0</v>
      </c>
      <c r="M3270" s="16" t="b">
        <v>0</v>
      </c>
      <c r="N3270" s="16" t="b">
        <v>0</v>
      </c>
      <c r="O3270" s="16" t="n">
        <v>623.15</v>
      </c>
      <c r="P3270" s="16" t="n">
        <v>285.366761871793</v>
      </c>
      <c r="Q3270" s="16" t="n">
        <v>2355.653282241308</v>
      </c>
      <c r="R3270" s="16" t="n">
        <v>1896.660037064872</v>
      </c>
      <c r="S3270" s="16" t="n">
        <v>0.6164539979615323</v>
      </c>
      <c r="T3270" s="16" t="n">
        <v>0.8074819884607896</v>
      </c>
      <c r="U3270" s="16" t="n">
        <v>0.9177922800193616</v>
      </c>
      <c r="V3270" s="16" t="n">
        <v>0.9104438795807908</v>
      </c>
      <c r="W3270" s="16" t="n">
        <v>0.8085829245503553</v>
      </c>
      <c r="X3270" s="16" t="n">
        <v>0.5450054469464628</v>
      </c>
      <c r="Y3270" s="16" t="n">
        <v>285.366761871793</v>
      </c>
      <c r="Z3270" s="16" t="n"/>
      <c r="AA3270" s="16" t="n"/>
      <c r="AB3270" s="16" t="n">
        <v>458.993245176436</v>
      </c>
      <c r="AC3270" s="16" t="n">
        <v>1.242000799408807</v>
      </c>
      <c r="AD3270" s="16" t="n"/>
      <c r="AE3270" s="16" t="n"/>
    </row>
    <row r="3271">
      <c r="A3271" s="16" t="inlineStr">
        <is>
          <t>KF-M09-R0-T_fuente-0057</t>
        </is>
      </c>
      <c r="B3271" s="16" t="inlineStr">
        <is>
          <t>4.3</t>
        </is>
      </c>
      <c r="C3271" s="16" t="inlineStr">
        <is>
          <t>4.3 T_fuente</t>
        </is>
      </c>
      <c r="D3271" s="16" t="inlineStr">
        <is>
          <t>ronda 0</t>
        </is>
      </c>
      <c r="E3271" s="16" t="inlineStr">
        <is>
          <t>KF-M09</t>
        </is>
      </c>
      <c r="F3271" s="16" t="inlineStr">
        <is>
          <t>KF-M09-R0-T_fuente</t>
        </is>
      </c>
      <c r="G3271" s="16" t="inlineStr">
        <is>
          <t>B13-T_fuente</t>
        </is>
      </c>
      <c r="H3271" s="16" t="inlineStr">
        <is>
          <t>lhs</t>
        </is>
      </c>
      <c r="I3271" s="16" t="inlineStr">
        <is>
          <t>CORREGIBLE</t>
        </is>
      </c>
      <c r="J3271" s="16" t="inlineStr">
        <is>
          <t>CORREGIBLE</t>
        </is>
      </c>
      <c r="K3271" s="16" t="b">
        <v>1</v>
      </c>
      <c r="L3271" s="16" t="b">
        <v>0</v>
      </c>
      <c r="M3271" s="16" t="b">
        <v>1</v>
      </c>
      <c r="N3271" s="16" t="b">
        <v>0</v>
      </c>
      <c r="O3271" s="16" t="n">
        <v>623.15</v>
      </c>
      <c r="P3271" s="16" t="n">
        <v>285.9174045686001</v>
      </c>
      <c r="Q3271" s="16" t="n">
        <v>4149.903660489212</v>
      </c>
      <c r="R3271" s="16" t="n">
        <v>1094.998009589537</v>
      </c>
      <c r="S3271" s="16" t="n">
        <v>0.5266973102712065</v>
      </c>
      <c r="T3271" s="16" t="n">
        <v>0.4865092934154237</v>
      </c>
      <c r="U3271" s="16" t="n">
        <v>0.4566863809177687</v>
      </c>
      <c r="V3271" s="16" t="n">
        <v>0.7679675742177028</v>
      </c>
      <c r="W3271" s="16" t="n">
        <v>0.7095254366641184</v>
      </c>
      <c r="X3271" s="16" t="n">
        <v>0.8050126947864794</v>
      </c>
      <c r="Y3271" s="16" t="n">
        <v>285.9174045686001</v>
      </c>
      <c r="Z3271" s="16" t="n">
        <v>4.75016940304579</v>
      </c>
      <c r="AA3271" s="16" t="n">
        <v>83.80539354898968</v>
      </c>
      <c r="AB3271" s="16" t="n">
        <v>3054.905650899675</v>
      </c>
      <c r="AC3271" s="16" t="n">
        <v>3.789873245563993</v>
      </c>
      <c r="AD3271" s="16" t="inlineStr">
        <is>
          <t>O2</t>
        </is>
      </c>
      <c r="AE3271" s="16" t="n"/>
    </row>
    <row r="3272">
      <c r="A3272" s="16" t="inlineStr">
        <is>
          <t>KF-M09-R0-T_fuente-0058</t>
        </is>
      </c>
      <c r="B3272" s="16" t="inlineStr">
        <is>
          <t>4.3</t>
        </is>
      </c>
      <c r="C3272" s="16" t="inlineStr">
        <is>
          <t>4.3 T_fuente</t>
        </is>
      </c>
      <c r="D3272" s="16" t="inlineStr">
        <is>
          <t>ronda 0</t>
        </is>
      </c>
      <c r="E3272" s="16" t="inlineStr">
        <is>
          <t>KF-M09</t>
        </is>
      </c>
      <c r="F3272" s="16" t="inlineStr">
        <is>
          <t>KF-M09-R0-T_fuente</t>
        </is>
      </c>
      <c r="G3272" s="16" t="inlineStr">
        <is>
          <t>B13-T_fuente</t>
        </is>
      </c>
      <c r="H3272" s="16" t="inlineStr">
        <is>
          <t>lhs</t>
        </is>
      </c>
      <c r="I3272" s="16" t="inlineStr">
        <is>
          <t>NO_CONVERGIO</t>
        </is>
      </c>
      <c r="J3272" s="16" t="inlineStr">
        <is>
          <t>NO_CONVERGIO</t>
        </is>
      </c>
      <c r="K3272" s="16" t="b">
        <v>0</v>
      </c>
      <c r="L3272" s="16" t="b">
        <v>0</v>
      </c>
      <c r="M3272" s="16" t="b">
        <v>0</v>
      </c>
      <c r="N3272" s="16" t="b">
        <v>0</v>
      </c>
      <c r="O3272" s="16" t="n">
        <v>623.15</v>
      </c>
      <c r="P3272" s="16" t="n">
        <v>300.9659259071043</v>
      </c>
      <c r="Q3272" s="16" t="n">
        <v>3619.001163880559</v>
      </c>
      <c r="R3272" s="16" t="n">
        <v>1782.109645469663</v>
      </c>
      <c r="S3272" s="16" t="n">
        <v>0.6052529490382075</v>
      </c>
      <c r="T3272" s="16" t="n">
        <v>0.5844159428893959</v>
      </c>
      <c r="U3272" s="16" t="n">
        <v>0.8216356039030361</v>
      </c>
      <c r="V3272" s="16" t="n">
        <v>0.8962149179187393</v>
      </c>
      <c r="W3272" s="16" t="n">
        <v>0.4603799865398789</v>
      </c>
      <c r="X3272" s="16" t="n">
        <v>0.4321674527629422</v>
      </c>
      <c r="Y3272" s="16" t="n">
        <v>300.9659259071043</v>
      </c>
      <c r="Z3272" s="16" t="n"/>
      <c r="AA3272" s="16" t="n"/>
      <c r="AB3272" s="16" t="n">
        <v>1836.891518410896</v>
      </c>
      <c r="AC3272" s="16" t="n">
        <v>2.030739900364994</v>
      </c>
      <c r="AD3272" s="16" t="n"/>
      <c r="AE3272" s="16" t="n"/>
    </row>
    <row r="3273">
      <c r="A3273" s="16" t="inlineStr">
        <is>
          <t>KF-M09-R0-T_fuente-0059</t>
        </is>
      </c>
      <c r="B3273" s="16" t="inlineStr">
        <is>
          <t>4.3</t>
        </is>
      </c>
      <c r="C3273" s="16" t="inlineStr">
        <is>
          <t>4.3 T_fuente</t>
        </is>
      </c>
      <c r="D3273" s="16" t="inlineStr">
        <is>
          <t>ronda 0</t>
        </is>
      </c>
      <c r="E3273" s="16" t="inlineStr">
        <is>
          <t>KF-M09</t>
        </is>
      </c>
      <c r="F3273" s="16" t="inlineStr">
        <is>
          <t>KF-M09-R0-T_fuente</t>
        </is>
      </c>
      <c r="G3273" s="16" t="inlineStr">
        <is>
          <t>B13-T_fuente</t>
        </is>
      </c>
      <c r="H3273" s="16" t="inlineStr">
        <is>
          <t>lhs</t>
        </is>
      </c>
      <c r="I3273" s="16" t="inlineStr">
        <is>
          <t>CORREGIBLE</t>
        </is>
      </c>
      <c r="J3273" s="16" t="inlineStr">
        <is>
          <t>CORREGIBLE</t>
        </is>
      </c>
      <c r="K3273" s="16" t="b">
        <v>1</v>
      </c>
      <c r="L3273" s="16" t="b">
        <v>0</v>
      </c>
      <c r="M3273" s="16" t="b">
        <v>0</v>
      </c>
      <c r="N3273" s="16" t="b">
        <v>0</v>
      </c>
      <c r="O3273" s="16" t="n">
        <v>623.15</v>
      </c>
      <c r="P3273" s="16" t="n">
        <v>301.3085800163951</v>
      </c>
      <c r="Q3273" s="16" t="n">
        <v>3858.869269033584</v>
      </c>
      <c r="R3273" s="16" t="n">
        <v>1065.534345890562</v>
      </c>
      <c r="S3273" s="16" t="n">
        <v>0.8416204737325068</v>
      </c>
      <c r="T3273" s="16" t="n">
        <v>0.8785110533062579</v>
      </c>
      <c r="U3273" s="16" t="n">
        <v>0.7175856284518978</v>
      </c>
      <c r="V3273" s="16" t="n">
        <v>0.4804479624930307</v>
      </c>
      <c r="W3273" s="16" t="n">
        <v>0.7523198851212609</v>
      </c>
      <c r="X3273" s="16" t="n">
        <v>0.8254268256288946</v>
      </c>
      <c r="Y3273" s="16" t="n">
        <v>301.3085800163951</v>
      </c>
      <c r="Z3273" s="16" t="n">
        <v>11.81965366538607</v>
      </c>
      <c r="AA3273" s="16" t="n">
        <v>112.8983424980789</v>
      </c>
      <c r="AB3273" s="16" t="n">
        <v>2793.334923143022</v>
      </c>
      <c r="AC3273" s="16" t="n">
        <v>3.621534382177408</v>
      </c>
      <c r="AD3273" s="16" t="inlineStr">
        <is>
          <t>O2</t>
        </is>
      </c>
      <c r="AE3273" s="16" t="n"/>
    </row>
    <row r="3274">
      <c r="A3274" s="16" t="inlineStr">
        <is>
          <t>KF-M09-R0-T_fuente-0060</t>
        </is>
      </c>
      <c r="B3274" s="16" t="inlineStr">
        <is>
          <t>4.3</t>
        </is>
      </c>
      <c r="C3274" s="16" t="inlineStr">
        <is>
          <t>4.3 T_fuente</t>
        </is>
      </c>
      <c r="D3274" s="16" t="inlineStr">
        <is>
          <t>ronda 0</t>
        </is>
      </c>
      <c r="E3274" s="16" t="inlineStr">
        <is>
          <t>KF-M09</t>
        </is>
      </c>
      <c r="F3274" s="16" t="inlineStr">
        <is>
          <t>KF-M09-R0-T_fuente</t>
        </is>
      </c>
      <c r="G3274" s="16" t="inlineStr">
        <is>
          <t>B13-T_fuente</t>
        </is>
      </c>
      <c r="H3274" s="16" t="inlineStr">
        <is>
          <t>lhs</t>
        </is>
      </c>
      <c r="I3274" s="16" t="inlineStr">
        <is>
          <t>CORREGIBLE</t>
        </is>
      </c>
      <c r="J3274" s="16" t="inlineStr">
        <is>
          <t>CORREGIBLE</t>
        </is>
      </c>
      <c r="K3274" s="16" t="b">
        <v>1</v>
      </c>
      <c r="L3274" s="16" t="b">
        <v>0</v>
      </c>
      <c r="M3274" s="16" t="b">
        <v>0</v>
      </c>
      <c r="N3274" s="16" t="b">
        <v>0</v>
      </c>
      <c r="O3274" s="16" t="n">
        <v>623.15</v>
      </c>
      <c r="P3274" s="16" t="n">
        <v>279.3348980683191</v>
      </c>
      <c r="Q3274" s="16" t="n">
        <v>2518.668185550502</v>
      </c>
      <c r="R3274" s="16" t="n">
        <v>1279.042284917747</v>
      </c>
      <c r="S3274" s="16" t="n">
        <v>0.7979332197762417</v>
      </c>
      <c r="T3274" s="16" t="n">
        <v>0.6693477293885526</v>
      </c>
      <c r="U3274" s="16" t="n">
        <v>0.4454877098020939</v>
      </c>
      <c r="V3274" s="16" t="n">
        <v>0.5079103758181263</v>
      </c>
      <c r="W3274" s="16" t="n">
        <v>0.7513474965369971</v>
      </c>
      <c r="X3274" s="16" t="n">
        <v>0.7434467980403848</v>
      </c>
      <c r="Y3274" s="16" t="n">
        <v>279.3348980683191</v>
      </c>
      <c r="Z3274" s="16" t="n">
        <v>3.46014319681487</v>
      </c>
      <c r="AA3274" s="16" t="n">
        <v>35.45296376645842</v>
      </c>
      <c r="AB3274" s="16" t="n">
        <v>1239.625900632755</v>
      </c>
      <c r="AC3274" s="16" t="n">
        <v>1.969182891957692</v>
      </c>
      <c r="AD3274" s="16" t="inlineStr">
        <is>
          <t>O2</t>
        </is>
      </c>
      <c r="AE3274" s="16" t="n"/>
    </row>
    <row r="3275">
      <c r="A3275" s="16" t="inlineStr">
        <is>
          <t>KF-M09-R0-T_fuente-0061</t>
        </is>
      </c>
      <c r="B3275" s="16" t="inlineStr">
        <is>
          <t>4.3</t>
        </is>
      </c>
      <c r="C3275" s="16" t="inlineStr">
        <is>
          <t>4.3 T_fuente</t>
        </is>
      </c>
      <c r="D3275" s="16" t="inlineStr">
        <is>
          <t>ronda 0</t>
        </is>
      </c>
      <c r="E3275" s="16" t="inlineStr">
        <is>
          <t>KF-M09</t>
        </is>
      </c>
      <c r="F3275" s="16" t="inlineStr">
        <is>
          <t>KF-M09-R0-T_fuente</t>
        </is>
      </c>
      <c r="G3275" s="16" t="inlineStr">
        <is>
          <t>B13-T_fuente</t>
        </is>
      </c>
      <c r="H3275" s="16" t="inlineStr">
        <is>
          <t>lhs</t>
        </is>
      </c>
      <c r="I3275" s="16" t="inlineStr">
        <is>
          <t>INVIABLE</t>
        </is>
      </c>
      <c r="J3275" s="16" t="inlineStr">
        <is>
          <t>INVIABLE</t>
        </is>
      </c>
      <c r="K3275" s="16" t="b">
        <v>1</v>
      </c>
      <c r="L3275" s="16" t="b">
        <v>0</v>
      </c>
      <c r="M3275" s="16" t="b">
        <v>1</v>
      </c>
      <c r="N3275" s="16" t="b">
        <v>0</v>
      </c>
      <c r="O3275" s="16" t="n">
        <v>623.15</v>
      </c>
      <c r="P3275" s="16" t="n">
        <v>291.2745449692729</v>
      </c>
      <c r="Q3275" s="16" t="n">
        <v>4832.258942768976</v>
      </c>
      <c r="R3275" s="16" t="n">
        <v>1150.388410260034</v>
      </c>
      <c r="S3275" s="16" t="n">
        <v>0.6266655568409081</v>
      </c>
      <c r="T3275" s="16" t="n">
        <v>0.5681608318313542</v>
      </c>
      <c r="U3275" s="16" t="n">
        <v>0.7038403241066464</v>
      </c>
      <c r="V3275" s="16" t="n">
        <v>0.67604777165628</v>
      </c>
      <c r="W3275" s="16" t="n">
        <v>0.8985855214964543</v>
      </c>
      <c r="X3275" s="16" t="n">
        <v>0.5338313453207832</v>
      </c>
      <c r="Y3275" s="16" t="n">
        <v>291.2745449692729</v>
      </c>
      <c r="Z3275" s="16" t="n">
        <v>-0.51720536834127</v>
      </c>
      <c r="AA3275" s="16" t="n">
        <v>-5.366458500496236</v>
      </c>
      <c r="AB3275" s="16" t="n">
        <v>3681.870532508942</v>
      </c>
      <c r="AC3275" s="16" t="n">
        <v>4.200545571974852</v>
      </c>
      <c r="AD3275" s="16" t="inlineStr">
        <is>
          <t>O2,O3</t>
        </is>
      </c>
      <c r="AE3275" s="16" t="n"/>
    </row>
    <row r="3276">
      <c r="A3276" s="16" t="inlineStr">
        <is>
          <t>KF-M09-R0-T_fuente-0062</t>
        </is>
      </c>
      <c r="B3276" s="16" t="inlineStr">
        <is>
          <t>4.3</t>
        </is>
      </c>
      <c r="C3276" s="16" t="inlineStr">
        <is>
          <t>4.3 T_fuente</t>
        </is>
      </c>
      <c r="D3276" s="16" t="inlineStr">
        <is>
          <t>ronda 0</t>
        </is>
      </c>
      <c r="E3276" s="16" t="inlineStr">
        <is>
          <t>KF-M09</t>
        </is>
      </c>
      <c r="F3276" s="16" t="inlineStr">
        <is>
          <t>KF-M09-R0-T_fuente</t>
        </is>
      </c>
      <c r="G3276" s="16" t="inlineStr">
        <is>
          <t>B13-T_fuente</t>
        </is>
      </c>
      <c r="H3276" s="16" t="inlineStr">
        <is>
          <t>lhs</t>
        </is>
      </c>
      <c r="I3276" s="16" t="inlineStr">
        <is>
          <t>KALINA</t>
        </is>
      </c>
      <c r="J3276" s="16" t="inlineStr">
        <is>
          <t>KALINA</t>
        </is>
      </c>
      <c r="K3276" s="16" t="b">
        <v>1</v>
      </c>
      <c r="L3276" s="16" t="b">
        <v>0</v>
      </c>
      <c r="M3276" s="16" t="b">
        <v>1</v>
      </c>
      <c r="N3276" s="16" t="b">
        <v>0</v>
      </c>
      <c r="O3276" s="16" t="n">
        <v>623.15</v>
      </c>
      <c r="P3276" s="16" t="n">
        <v>290.4921338413641</v>
      </c>
      <c r="Q3276" s="16" t="n">
        <v>2443.412744532542</v>
      </c>
      <c r="R3276" s="16" t="n">
        <v>905.2120402576884</v>
      </c>
      <c r="S3276" s="16" t="n">
        <v>0.548166650741112</v>
      </c>
      <c r="T3276" s="16" t="n">
        <v>0.7392724410176146</v>
      </c>
      <c r="U3276" s="16" t="n">
        <v>0.489772892069117</v>
      </c>
      <c r="V3276" s="16" t="n">
        <v>0.5589072165110619</v>
      </c>
      <c r="W3276" s="16" t="n">
        <v>0.6640541589981547</v>
      </c>
      <c r="X3276" s="16" t="n">
        <v>0.9490467024898904</v>
      </c>
      <c r="Y3276" s="16" t="n">
        <v>290.4921338413641</v>
      </c>
      <c r="Z3276" s="16" t="n">
        <v>5.90788925884678</v>
      </c>
      <c r="AA3276" s="16" t="n">
        <v>83.35720557413985</v>
      </c>
      <c r="AB3276" s="16" t="n">
        <v>1538.200704274853</v>
      </c>
      <c r="AC3276" s="16" t="n">
        <v>2.699271149593824</v>
      </c>
      <c r="AD3276" s="16" t="n"/>
      <c r="AE3276" s="16" t="n"/>
    </row>
    <row r="3277">
      <c r="A3277" s="16" t="inlineStr">
        <is>
          <t>KF-M09-R0-T_fuente-0063</t>
        </is>
      </c>
      <c r="B3277" s="16" t="inlineStr">
        <is>
          <t>4.3</t>
        </is>
      </c>
      <c r="C3277" s="16" t="inlineStr">
        <is>
          <t>4.3 T_fuente</t>
        </is>
      </c>
      <c r="D3277" s="16" t="inlineStr">
        <is>
          <t>ronda 0</t>
        </is>
      </c>
      <c r="E3277" s="16" t="inlineStr">
        <is>
          <t>KF-M09</t>
        </is>
      </c>
      <c r="F3277" s="16" t="inlineStr">
        <is>
          <t>KF-M09-R0-T_fuente</t>
        </is>
      </c>
      <c r="G3277" s="16" t="inlineStr">
        <is>
          <t>B13-T_fuente</t>
        </is>
      </c>
      <c r="H3277" s="16" t="inlineStr">
        <is>
          <t>lhs</t>
        </is>
      </c>
      <c r="I3277" s="16" t="inlineStr">
        <is>
          <t>CORREGIBLE</t>
        </is>
      </c>
      <c r="J3277" s="16" t="inlineStr">
        <is>
          <t>CORREGIBLE</t>
        </is>
      </c>
      <c r="K3277" s="16" t="b">
        <v>1</v>
      </c>
      <c r="L3277" s="16" t="b">
        <v>0</v>
      </c>
      <c r="M3277" s="16" t="b">
        <v>1</v>
      </c>
      <c r="N3277" s="16" t="b">
        <v>0</v>
      </c>
      <c r="O3277" s="16" t="n">
        <v>623.15</v>
      </c>
      <c r="P3277" s="16" t="n">
        <v>289.9689430629871</v>
      </c>
      <c r="Q3277" s="16" t="n">
        <v>4316.387593801805</v>
      </c>
      <c r="R3277" s="16" t="n">
        <v>1567.805281105953</v>
      </c>
      <c r="S3277" s="16" t="n">
        <v>0.6695901971293379</v>
      </c>
      <c r="T3277" s="16" t="n">
        <v>0.5614788716364493</v>
      </c>
      <c r="U3277" s="16" t="n">
        <v>0.4150206616078221</v>
      </c>
      <c r="V3277" s="16" t="n">
        <v>0.6826045246985444</v>
      </c>
      <c r="W3277" s="16" t="n">
        <v>0.7067506698698072</v>
      </c>
      <c r="X3277" s="16" t="n">
        <v>0.8574587137963314</v>
      </c>
      <c r="Y3277" s="16" t="n">
        <v>289.9689430629871</v>
      </c>
      <c r="Z3277" s="16" t="n">
        <v>5.01737247879741</v>
      </c>
      <c r="AA3277" s="16" t="n">
        <v>76.86276380519269</v>
      </c>
      <c r="AB3277" s="16" t="n">
        <v>2748.582312695852</v>
      </c>
      <c r="AC3277" s="16" t="n">
        <v>2.753140103442541</v>
      </c>
      <c r="AD3277" s="16" t="inlineStr">
        <is>
          <t>O2</t>
        </is>
      </c>
      <c r="AE3277" s="16" t="n"/>
    </row>
    <row r="3278">
      <c r="A3278" s="16" t="inlineStr">
        <is>
          <t>KF-M09-R0-T_fuente-0064</t>
        </is>
      </c>
      <c r="B3278" s="16" t="inlineStr">
        <is>
          <t>4.3</t>
        </is>
      </c>
      <c r="C3278" s="16" t="inlineStr">
        <is>
          <t>4.3 T_fuente</t>
        </is>
      </c>
      <c r="D3278" s="16" t="inlineStr">
        <is>
          <t>ronda 0</t>
        </is>
      </c>
      <c r="E3278" s="16" t="inlineStr">
        <is>
          <t>KF-M09</t>
        </is>
      </c>
      <c r="F3278" s="16" t="inlineStr">
        <is>
          <t>KF-M09-R0-T_fuente</t>
        </is>
      </c>
      <c r="G3278" s="16" t="inlineStr">
        <is>
          <t>B13-T_fuente</t>
        </is>
      </c>
      <c r="H3278" s="16" t="inlineStr">
        <is>
          <t>lhs</t>
        </is>
      </c>
      <c r="I3278" s="16" t="inlineStr">
        <is>
          <t>N2</t>
        </is>
      </c>
      <c r="J3278" s="16" t="inlineStr">
        <is>
          <t>NO_CONVERGIO</t>
        </is>
      </c>
      <c r="K3278" s="16" t="b">
        <v>0</v>
      </c>
      <c r="L3278" s="16" t="b">
        <v>0</v>
      </c>
      <c r="M3278" s="16" t="b">
        <v>1</v>
      </c>
      <c r="N3278" s="16" t="b">
        <v>0</v>
      </c>
      <c r="O3278" s="16" t="n">
        <v>623.15</v>
      </c>
      <c r="P3278" s="16" t="n">
        <v>294.3442427842768</v>
      </c>
      <c r="Q3278" s="16" t="n">
        <v>3224.871221842738</v>
      </c>
      <c r="R3278" s="16" t="n">
        <v>1596.654993748086</v>
      </c>
      <c r="S3278" s="16" t="n">
        <v>0.6578127642961049</v>
      </c>
      <c r="T3278" s="16" t="n">
        <v>0.4101477708375209</v>
      </c>
      <c r="U3278" s="16" t="n">
        <v>0.6071033104060761</v>
      </c>
      <c r="V3278" s="16" t="n">
        <v>0.8192581907285825</v>
      </c>
      <c r="W3278" s="16" t="n">
        <v>0.4911529035068354</v>
      </c>
      <c r="X3278" s="16" t="n">
        <v>0.9139451202042592</v>
      </c>
      <c r="Y3278" s="16" t="n">
        <v>294.3442427842768</v>
      </c>
      <c r="Z3278" s="16" t="n">
        <v>2.84226190533643</v>
      </c>
      <c r="AA3278" s="16" t="n">
        <v>55.78882646668076</v>
      </c>
      <c r="AB3278" s="16" t="n">
        <v>1628.216228094651</v>
      </c>
      <c r="AC3278" s="16" t="n">
        <v>2.019767097131282</v>
      </c>
      <c r="AD3278" s="16" t="inlineStr">
        <is>
          <t>N2,O2,O5,C1,C3,C3</t>
        </is>
      </c>
      <c r="AE3278" s="16" t="n"/>
    </row>
    <row r="3279">
      <c r="A3279" s="16" t="inlineStr">
        <is>
          <t>KF-M09-R0-T_fuente-0065</t>
        </is>
      </c>
      <c r="B3279" s="16" t="inlineStr">
        <is>
          <t>4.3</t>
        </is>
      </c>
      <c r="C3279" s="16" t="inlineStr">
        <is>
          <t>4.3 T_fuente</t>
        </is>
      </c>
      <c r="D3279" s="16" t="inlineStr">
        <is>
          <t>ronda 0</t>
        </is>
      </c>
      <c r="E3279" s="16" t="inlineStr">
        <is>
          <t>KF-M09</t>
        </is>
      </c>
      <c r="F3279" s="16" t="inlineStr">
        <is>
          <t>KF-M09-R0-T_fuente</t>
        </is>
      </c>
      <c r="G3279" s="16" t="inlineStr">
        <is>
          <t>B13-T_fuente</t>
        </is>
      </c>
      <c r="H3279" s="16" t="inlineStr">
        <is>
          <t>lhs</t>
        </is>
      </c>
      <c r="I3279" s="16" t="inlineStr">
        <is>
          <t>CORREGIBLE</t>
        </is>
      </c>
      <c r="J3279" s="16" t="inlineStr">
        <is>
          <t>CORREGIBLE</t>
        </is>
      </c>
      <c r="K3279" s="16" t="b">
        <v>1</v>
      </c>
      <c r="L3279" s="16" t="b">
        <v>0</v>
      </c>
      <c r="M3279" s="16" t="b">
        <v>1</v>
      </c>
      <c r="N3279" s="16" t="b">
        <v>0</v>
      </c>
      <c r="O3279" s="16" t="n">
        <v>623.15</v>
      </c>
      <c r="P3279" s="16" t="n">
        <v>291.7878050175779</v>
      </c>
      <c r="Q3279" s="16" t="n">
        <v>3074.402458899837</v>
      </c>
      <c r="R3279" s="16" t="n">
        <v>957.66952073673</v>
      </c>
      <c r="S3279" s="16" t="n">
        <v>0.5151114774129232</v>
      </c>
      <c r="T3279" s="16" t="n">
        <v>0.7964400419199822</v>
      </c>
      <c r="U3279" s="16" t="n">
        <v>0.48072156383649</v>
      </c>
      <c r="V3279" s="16" t="n">
        <v>0.4027508517427795</v>
      </c>
      <c r="W3279" s="16" t="n">
        <v>0.6951967018157261</v>
      </c>
      <c r="X3279" s="16" t="n">
        <v>0.5912662202233303</v>
      </c>
      <c r="Y3279" s="16" t="n">
        <v>291.7878050175779</v>
      </c>
      <c r="Z3279" s="16" t="n">
        <v>3.68492043992955</v>
      </c>
      <c r="AA3279" s="16" t="n">
        <v>30.62555368631679</v>
      </c>
      <c r="AB3279" s="16" t="n">
        <v>2116.732938163107</v>
      </c>
      <c r="AC3279" s="16" t="n">
        <v>3.210295819516858</v>
      </c>
      <c r="AD3279" s="16" t="inlineStr">
        <is>
          <t>O2</t>
        </is>
      </c>
      <c r="AE3279" s="16" t="n"/>
    </row>
    <row r="3280">
      <c r="A3280" s="16" t="inlineStr">
        <is>
          <t>KF-M09-R0-T_fuente-0066</t>
        </is>
      </c>
      <c r="B3280" s="16" t="inlineStr">
        <is>
          <t>4.3</t>
        </is>
      </c>
      <c r="C3280" s="16" t="inlineStr">
        <is>
          <t>4.3 T_fuente</t>
        </is>
      </c>
      <c r="D3280" s="16" t="inlineStr">
        <is>
          <t>ronda 0</t>
        </is>
      </c>
      <c r="E3280" s="16" t="inlineStr">
        <is>
          <t>KF-M09</t>
        </is>
      </c>
      <c r="F3280" s="16" t="inlineStr">
        <is>
          <t>KF-M09-R0-T_fuente</t>
        </is>
      </c>
      <c r="G3280" s="16" t="inlineStr">
        <is>
          <t>B13-T_fuente</t>
        </is>
      </c>
      <c r="H3280" s="16" t="inlineStr">
        <is>
          <t>lhs</t>
        </is>
      </c>
      <c r="I3280" s="16" t="inlineStr">
        <is>
          <t>CORREGIBLE</t>
        </is>
      </c>
      <c r="J3280" s="16" t="inlineStr">
        <is>
          <t>CORREGIBLE</t>
        </is>
      </c>
      <c r="K3280" s="16" t="b">
        <v>1</v>
      </c>
      <c r="L3280" s="16" t="b">
        <v>0</v>
      </c>
      <c r="M3280" s="16" t="b">
        <v>0</v>
      </c>
      <c r="N3280" s="16" t="b">
        <v>0</v>
      </c>
      <c r="O3280" s="16" t="n">
        <v>623.15</v>
      </c>
      <c r="P3280" s="16" t="n">
        <v>297.8685035350298</v>
      </c>
      <c r="Q3280" s="16" t="n">
        <v>3243.711540412276</v>
      </c>
      <c r="R3280" s="16" t="n">
        <v>762.5680587846564</v>
      </c>
      <c r="S3280" s="16" t="n">
        <v>0.7800388263154479</v>
      </c>
      <c r="T3280" s="16" t="n">
        <v>0.4758137136183181</v>
      </c>
      <c r="U3280" s="16" t="n">
        <v>0.8893061123541876</v>
      </c>
      <c r="V3280" s="16" t="n">
        <v>0.4133230886121954</v>
      </c>
      <c r="W3280" s="16" t="n">
        <v>0.9482531418314936</v>
      </c>
      <c r="X3280" s="16" t="n">
        <v>0.5828204792469909</v>
      </c>
      <c r="Y3280" s="16" t="n">
        <v>297.8685035350298</v>
      </c>
      <c r="Z3280" s="16" t="n">
        <v>0.67749164916406</v>
      </c>
      <c r="AA3280" s="16" t="n">
        <v>4.812911258453198</v>
      </c>
      <c r="AB3280" s="16" t="n">
        <v>2481.14348162762</v>
      </c>
      <c r="AC3280" s="16" t="n">
        <v>4.253668250387966</v>
      </c>
      <c r="AD3280" s="16" t="inlineStr">
        <is>
          <t>O2</t>
        </is>
      </c>
      <c r="AE3280" s="16" t="n"/>
    </row>
    <row r="3281">
      <c r="A3281" s="16" t="inlineStr">
        <is>
          <t>KF-M09-R0-T_fuente-0067</t>
        </is>
      </c>
      <c r="B3281" s="16" t="inlineStr">
        <is>
          <t>4.3</t>
        </is>
      </c>
      <c r="C3281" s="16" t="inlineStr">
        <is>
          <t>4.3 T_fuente</t>
        </is>
      </c>
      <c r="D3281" s="16" t="inlineStr">
        <is>
          <t>ronda 0</t>
        </is>
      </c>
      <c r="E3281" s="16" t="inlineStr">
        <is>
          <t>KF-M09</t>
        </is>
      </c>
      <c r="F3281" s="16" t="inlineStr">
        <is>
          <t>KF-M09-R0-T_fuente</t>
        </is>
      </c>
      <c r="G3281" s="16" t="inlineStr">
        <is>
          <t>B13-T_fuente</t>
        </is>
      </c>
      <c r="H3281" s="16" t="inlineStr">
        <is>
          <t>lhs</t>
        </is>
      </c>
      <c r="I3281" s="16" t="inlineStr">
        <is>
          <t>CORREGIBLE</t>
        </is>
      </c>
      <c r="J3281" s="16" t="inlineStr">
        <is>
          <t>CORREGIBLE</t>
        </is>
      </c>
      <c r="K3281" s="16" t="b">
        <v>1</v>
      </c>
      <c r="L3281" s="16" t="b">
        <v>0</v>
      </c>
      <c r="M3281" s="16" t="b">
        <v>1</v>
      </c>
      <c r="N3281" s="16" t="b">
        <v>0</v>
      </c>
      <c r="O3281" s="16" t="n">
        <v>623.15</v>
      </c>
      <c r="P3281" s="16" t="n">
        <v>283.4085108210341</v>
      </c>
      <c r="Q3281" s="16" t="n">
        <v>3011.345353683277</v>
      </c>
      <c r="R3281" s="16" t="n">
        <v>1704.561754940399</v>
      </c>
      <c r="S3281" s="16" t="n">
        <v>0.6549051513086162</v>
      </c>
      <c r="T3281" s="16" t="n">
        <v>0.7043687549111105</v>
      </c>
      <c r="U3281" s="16" t="n">
        <v>0.6270087114356424</v>
      </c>
      <c r="V3281" s="16" t="n">
        <v>0.7120872674618679</v>
      </c>
      <c r="W3281" s="16" t="n">
        <v>0.904041256175879</v>
      </c>
      <c r="X3281" s="16" t="n">
        <v>0.6839188539136815</v>
      </c>
      <c r="Y3281" s="16" t="n">
        <v>283.4085108210341</v>
      </c>
      <c r="Z3281" s="16" t="n">
        <v>2.61901335040088</v>
      </c>
      <c r="AA3281" s="16" t="n">
        <v>36.31663639729656</v>
      </c>
      <c r="AB3281" s="16" t="n">
        <v>1306.783598742878</v>
      </c>
      <c r="AC3281" s="16" t="n">
        <v>1.766639046637867</v>
      </c>
      <c r="AD3281" s="16" t="inlineStr">
        <is>
          <t>O2</t>
        </is>
      </c>
      <c r="AE3281" s="16" t="n"/>
    </row>
    <row r="3282">
      <c r="A3282" s="16" t="inlineStr">
        <is>
          <t>KF-M09-R0-T_fuente-0068</t>
        </is>
      </c>
      <c r="B3282" s="16" t="inlineStr">
        <is>
          <t>4.3</t>
        </is>
      </c>
      <c r="C3282" s="16" t="inlineStr">
        <is>
          <t>4.3 T_fuente</t>
        </is>
      </c>
      <c r="D3282" s="16" t="inlineStr">
        <is>
          <t>ronda 0</t>
        </is>
      </c>
      <c r="E3282" s="16" t="inlineStr">
        <is>
          <t>KF-M09</t>
        </is>
      </c>
      <c r="F3282" s="16" t="inlineStr">
        <is>
          <t>KF-M09-R0-T_fuente</t>
        </is>
      </c>
      <c r="G3282" s="16" t="inlineStr">
        <is>
          <t>B13-T_fuente</t>
        </is>
      </c>
      <c r="H3282" s="16" t="inlineStr">
        <is>
          <t>lhs</t>
        </is>
      </c>
      <c r="I3282" s="16" t="inlineStr">
        <is>
          <t>KALINA</t>
        </is>
      </c>
      <c r="J3282" s="16" t="inlineStr">
        <is>
          <t>KALINA</t>
        </is>
      </c>
      <c r="K3282" s="16" t="b">
        <v>1</v>
      </c>
      <c r="L3282" s="16" t="b">
        <v>0</v>
      </c>
      <c r="M3282" s="16" t="b">
        <v>1</v>
      </c>
      <c r="N3282" s="16" t="b">
        <v>0</v>
      </c>
      <c r="O3282" s="16" t="n">
        <v>623.15</v>
      </c>
      <c r="P3282" s="16" t="n">
        <v>286.2808319630778</v>
      </c>
      <c r="Q3282" s="16" t="n">
        <v>4679.33421183829</v>
      </c>
      <c r="R3282" s="16" t="n">
        <v>739.9524041874658</v>
      </c>
      <c r="S3282" s="16" t="n">
        <v>0.5387309398513489</v>
      </c>
      <c r="T3282" s="16" t="n">
        <v>0.818257583693947</v>
      </c>
      <c r="U3282" s="16" t="n">
        <v>0.6678901337401048</v>
      </c>
      <c r="V3282" s="16" t="n">
        <v>0.4228108552159268</v>
      </c>
      <c r="W3282" s="16" t="n">
        <v>0.913029523157704</v>
      </c>
      <c r="X3282" s="16" t="n">
        <v>0.8738577594515083</v>
      </c>
      <c r="Y3282" s="16" t="n">
        <v>286.2808319630778</v>
      </c>
      <c r="Z3282" s="16" t="n">
        <v>12.30456993263531</v>
      </c>
      <c r="AA3282" s="16" t="n">
        <v>119.0026229935704</v>
      </c>
      <c r="AB3282" s="16" t="n">
        <v>3939.381807650824</v>
      </c>
      <c r="AC3282" s="16" t="n">
        <v>6.323831350986175</v>
      </c>
      <c r="AD3282" s="16" t="n"/>
      <c r="AE3282" s="16" t="n"/>
    </row>
    <row r="3283">
      <c r="A3283" s="16" t="inlineStr">
        <is>
          <t>KF-M09-R0-T_fuente-0069</t>
        </is>
      </c>
      <c r="B3283" s="16" t="inlineStr">
        <is>
          <t>4.3</t>
        </is>
      </c>
      <c r="C3283" s="16" t="inlineStr">
        <is>
          <t>4.3 T_fuente</t>
        </is>
      </c>
      <c r="D3283" s="16" t="inlineStr">
        <is>
          <t>ronda 0</t>
        </is>
      </c>
      <c r="E3283" s="16" t="inlineStr">
        <is>
          <t>KF-M09</t>
        </is>
      </c>
      <c r="F3283" s="16" t="inlineStr">
        <is>
          <t>KF-M09-R0-T_fuente</t>
        </is>
      </c>
      <c r="G3283" s="16" t="inlineStr">
        <is>
          <t>B13-T_fuente</t>
        </is>
      </c>
      <c r="H3283" s="16" t="inlineStr">
        <is>
          <t>lhs</t>
        </is>
      </c>
      <c r="I3283" s="16" t="inlineStr">
        <is>
          <t>KALINA</t>
        </is>
      </c>
      <c r="J3283" s="16" t="inlineStr">
        <is>
          <t>KALINA</t>
        </is>
      </c>
      <c r="K3283" s="16" t="b">
        <v>1</v>
      </c>
      <c r="L3283" s="16" t="b">
        <v>0</v>
      </c>
      <c r="M3283" s="16" t="b">
        <v>1</v>
      </c>
      <c r="N3283" s="16" t="b">
        <v>0</v>
      </c>
      <c r="O3283" s="16" t="n">
        <v>623.15</v>
      </c>
      <c r="P3283" s="16" t="n">
        <v>298.8432863969443</v>
      </c>
      <c r="Q3283" s="16" t="n">
        <v>3171.684397041922</v>
      </c>
      <c r="R3283" s="16" t="n">
        <v>1731.504055981887</v>
      </c>
      <c r="S3283" s="16" t="n">
        <v>0.7896310397415053</v>
      </c>
      <c r="T3283" s="16" t="n">
        <v>0.6807348383026156</v>
      </c>
      <c r="U3283" s="16" t="n">
        <v>0.8999649182884946</v>
      </c>
      <c r="V3283" s="16" t="n">
        <v>0.6336538373429291</v>
      </c>
      <c r="W3283" s="16" t="n">
        <v>0.6714471618163571</v>
      </c>
      <c r="X3283" s="16" t="n">
        <v>0.9178138648840076</v>
      </c>
      <c r="Y3283" s="16" t="n">
        <v>298.8432863969443</v>
      </c>
      <c r="Z3283" s="16" t="n">
        <v>4.32281181940795</v>
      </c>
      <c r="AA3283" s="16" t="n">
        <v>59.63363840644767</v>
      </c>
      <c r="AB3283" s="16" t="n">
        <v>1440.180341060035</v>
      </c>
      <c r="AC3283" s="16" t="n">
        <v>1.831751064102099</v>
      </c>
      <c r="AD3283" s="16" t="n"/>
      <c r="AE3283" s="16" t="n"/>
    </row>
    <row r="3284">
      <c r="A3284" s="16" t="inlineStr">
        <is>
          <t>KF-M09-R0-T_fuente-0070</t>
        </is>
      </c>
      <c r="B3284" s="16" t="inlineStr">
        <is>
          <t>4.3</t>
        </is>
      </c>
      <c r="C3284" s="16" t="inlineStr">
        <is>
          <t>4.3 T_fuente</t>
        </is>
      </c>
      <c r="D3284" s="16" t="inlineStr">
        <is>
          <t>ronda 0</t>
        </is>
      </c>
      <c r="E3284" s="16" t="inlineStr">
        <is>
          <t>KF-M09</t>
        </is>
      </c>
      <c r="F3284" s="16" t="inlineStr">
        <is>
          <t>KF-M09-R0-T_fuente</t>
        </is>
      </c>
      <c r="G3284" s="16" t="inlineStr">
        <is>
          <t>B13-T_fuente</t>
        </is>
      </c>
      <c r="H3284" s="16" t="inlineStr">
        <is>
          <t>lhs</t>
        </is>
      </c>
      <c r="I3284" s="16" t="inlineStr">
        <is>
          <t>CORREGIBLE</t>
        </is>
      </c>
      <c r="J3284" s="16" t="inlineStr">
        <is>
          <t>CORREGIBLE</t>
        </is>
      </c>
      <c r="K3284" s="16" t="b">
        <v>1</v>
      </c>
      <c r="L3284" s="16" t="b">
        <v>0</v>
      </c>
      <c r="M3284" s="16" t="b">
        <v>1</v>
      </c>
      <c r="N3284" s="16" t="b">
        <v>0</v>
      </c>
      <c r="O3284" s="16" t="n">
        <v>623.15</v>
      </c>
      <c r="P3284" s="16" t="n">
        <v>287.9662993161377</v>
      </c>
      <c r="Q3284" s="16" t="n">
        <v>2962.33477192018</v>
      </c>
      <c r="R3284" s="16" t="n">
        <v>1123.376047576045</v>
      </c>
      <c r="S3284" s="16" t="n">
        <v>0.5705856496619738</v>
      </c>
      <c r="T3284" s="16" t="n">
        <v>0.63372462565442</v>
      </c>
      <c r="U3284" s="16" t="n">
        <v>0.8615102700878489</v>
      </c>
      <c r="V3284" s="16" t="n">
        <v>0.4290493849485837</v>
      </c>
      <c r="W3284" s="16" t="n">
        <v>0.8269598307588084</v>
      </c>
      <c r="X3284" s="16" t="n">
        <v>0.7508648827804538</v>
      </c>
      <c r="Y3284" s="16" t="n">
        <v>287.9662993161377</v>
      </c>
      <c r="Z3284" s="16" t="n">
        <v>5.677927435281291</v>
      </c>
      <c r="AA3284" s="16" t="n">
        <v>55.10649173236066</v>
      </c>
      <c r="AB3284" s="16" t="n">
        <v>1838.958724344136</v>
      </c>
      <c r="AC3284" s="16" t="n">
        <v>2.636992998303759</v>
      </c>
      <c r="AD3284" s="16" t="inlineStr">
        <is>
          <t>O2</t>
        </is>
      </c>
      <c r="AE3284" s="16" t="n"/>
    </row>
    <row r="3285">
      <c r="A3285" s="16" t="inlineStr">
        <is>
          <t>KF-M09-R0-T_fuente-0071</t>
        </is>
      </c>
      <c r="B3285" s="16" t="inlineStr">
        <is>
          <t>4.3</t>
        </is>
      </c>
      <c r="C3285" s="16" t="inlineStr">
        <is>
          <t>4.3 T_fuente</t>
        </is>
      </c>
      <c r="D3285" s="16" t="inlineStr">
        <is>
          <t>ronda 0</t>
        </is>
      </c>
      <c r="E3285" s="16" t="inlineStr">
        <is>
          <t>KF-M09</t>
        </is>
      </c>
      <c r="F3285" s="16" t="inlineStr">
        <is>
          <t>KF-M09-R0-T_fuente</t>
        </is>
      </c>
      <c r="G3285" s="16" t="inlineStr">
        <is>
          <t>B13-T_fuente</t>
        </is>
      </c>
      <c r="H3285" s="16" t="inlineStr">
        <is>
          <t>lhs</t>
        </is>
      </c>
      <c r="I3285" s="16" t="inlineStr">
        <is>
          <t>CORREGIBLE</t>
        </is>
      </c>
      <c r="J3285" s="16" t="inlineStr">
        <is>
          <t>CORREGIBLE</t>
        </is>
      </c>
      <c r="K3285" s="16" t="b">
        <v>1</v>
      </c>
      <c r="L3285" s="16" t="b">
        <v>0</v>
      </c>
      <c r="M3285" s="16" t="b">
        <v>1</v>
      </c>
      <c r="N3285" s="16" t="b">
        <v>0</v>
      </c>
      <c r="O3285" s="16" t="n">
        <v>623.15</v>
      </c>
      <c r="P3285" s="16" t="n">
        <v>302.2251263463804</v>
      </c>
      <c r="Q3285" s="16" t="n">
        <v>3137.768653048317</v>
      </c>
      <c r="R3285" s="16" t="n">
        <v>1265.166286110094</v>
      </c>
      <c r="S3285" s="16" t="n">
        <v>0.5832983658665413</v>
      </c>
      <c r="T3285" s="16" t="n">
        <v>0.904685764011103</v>
      </c>
      <c r="U3285" s="16" t="n">
        <v>0.8667946723317126</v>
      </c>
      <c r="V3285" s="16" t="n">
        <v>0.5539311922815399</v>
      </c>
      <c r="W3285" s="16" t="n">
        <v>0.8939642569050643</v>
      </c>
      <c r="X3285" s="16" t="n">
        <v>0.6018443264023746</v>
      </c>
      <c r="Y3285" s="16" t="n">
        <v>302.2251263463804</v>
      </c>
      <c r="Z3285" s="16" t="n">
        <v>6.84583554020209</v>
      </c>
      <c r="AA3285" s="16" t="n">
        <v>71.41163367367832</v>
      </c>
      <c r="AB3285" s="16" t="n">
        <v>1872.602366938223</v>
      </c>
      <c r="AC3285" s="16" t="n">
        <v>2.480123512218907</v>
      </c>
      <c r="AD3285" s="16" t="inlineStr">
        <is>
          <t>O2</t>
        </is>
      </c>
      <c r="AE3285" s="16" t="n"/>
    </row>
    <row r="3286">
      <c r="A3286" s="16" t="inlineStr">
        <is>
          <t>KF-M09-R0-T_fuente-0072</t>
        </is>
      </c>
      <c r="B3286" s="16" t="inlineStr">
        <is>
          <t>4.3</t>
        </is>
      </c>
      <c r="C3286" s="16" t="inlineStr">
        <is>
          <t>4.3 T_fuente</t>
        </is>
      </c>
      <c r="D3286" s="16" t="inlineStr">
        <is>
          <t>ronda 0</t>
        </is>
      </c>
      <c r="E3286" s="16" t="inlineStr">
        <is>
          <t>KF-M09</t>
        </is>
      </c>
      <c r="F3286" s="16" t="inlineStr">
        <is>
          <t>KF-M09-R0-T_fuente</t>
        </is>
      </c>
      <c r="G3286" s="16" t="inlineStr">
        <is>
          <t>B13-T_fuente</t>
        </is>
      </c>
      <c r="H3286" s="16" t="inlineStr">
        <is>
          <t>lhs</t>
        </is>
      </c>
      <c r="I3286" s="16" t="inlineStr">
        <is>
          <t>NO_CONVERGIO</t>
        </is>
      </c>
      <c r="J3286" s="16" t="inlineStr">
        <is>
          <t>NO_CONVERGIO</t>
        </is>
      </c>
      <c r="K3286" s="16" t="b">
        <v>0</v>
      </c>
      <c r="L3286" s="16" t="b">
        <v>0</v>
      </c>
      <c r="M3286" s="16" t="b">
        <v>0</v>
      </c>
      <c r="N3286" s="16" t="b">
        <v>0</v>
      </c>
      <c r="O3286" s="16" t="n">
        <v>623.15</v>
      </c>
      <c r="P3286" s="16" t="n">
        <v>303.0826165650049</v>
      </c>
      <c r="Q3286" s="16" t="n">
        <v>2562.012774157251</v>
      </c>
      <c r="R3286" s="16" t="n">
        <v>500.7775878936037</v>
      </c>
      <c r="S3286" s="16" t="n">
        <v>0.6611123859747821</v>
      </c>
      <c r="T3286" s="16" t="n">
        <v>0.6004761617879971</v>
      </c>
      <c r="U3286" s="16" t="n">
        <v>0.9399734346045364</v>
      </c>
      <c r="V3286" s="16" t="n">
        <v>0.9045052702492982</v>
      </c>
      <c r="W3286" s="16" t="n">
        <v>0.5494018254029317</v>
      </c>
      <c r="X3286" s="16" t="n">
        <v>0.6653765060259831</v>
      </c>
      <c r="Y3286" s="16" t="n">
        <v>303.0826165650049</v>
      </c>
      <c r="Z3286" s="16" t="n"/>
      <c r="AA3286" s="16" t="n"/>
      <c r="AB3286" s="16" t="n">
        <v>2061.235186263648</v>
      </c>
      <c r="AC3286" s="16" t="n">
        <v>5.11606916142897</v>
      </c>
      <c r="AD3286" s="16" t="n"/>
      <c r="AE3286" s="16" t="n"/>
    </row>
    <row r="3287">
      <c r="A3287" s="16" t="inlineStr">
        <is>
          <t>KF-M09-R0-T_fuente-0073</t>
        </is>
      </c>
      <c r="B3287" s="16" t="inlineStr">
        <is>
          <t>4.3</t>
        </is>
      </c>
      <c r="C3287" s="16" t="inlineStr">
        <is>
          <t>4.3 T_fuente</t>
        </is>
      </c>
      <c r="D3287" s="16" t="inlineStr">
        <is>
          <t>ronda 0</t>
        </is>
      </c>
      <c r="E3287" s="16" t="inlineStr">
        <is>
          <t>KF-M09</t>
        </is>
      </c>
      <c r="F3287" s="16" t="inlineStr">
        <is>
          <t>KF-M09-R0-T_fuente</t>
        </is>
      </c>
      <c r="G3287" s="16" t="inlineStr">
        <is>
          <t>B13-T_fuente</t>
        </is>
      </c>
      <c r="H3287" s="16" t="inlineStr">
        <is>
          <t>lhs</t>
        </is>
      </c>
      <c r="I3287" s="16" t="inlineStr">
        <is>
          <t>CORREGIBLE</t>
        </is>
      </c>
      <c r="J3287" s="16" t="inlineStr">
        <is>
          <t>CORREGIBLE</t>
        </is>
      </c>
      <c r="K3287" s="16" t="b">
        <v>1</v>
      </c>
      <c r="L3287" s="16" t="b">
        <v>0</v>
      </c>
      <c r="M3287" s="16" t="b">
        <v>1</v>
      </c>
      <c r="N3287" s="16" t="b">
        <v>0</v>
      </c>
      <c r="O3287" s="16" t="n">
        <v>623.15</v>
      </c>
      <c r="P3287" s="16" t="n">
        <v>302.765402349473</v>
      </c>
      <c r="Q3287" s="16" t="n">
        <v>3420.289519525253</v>
      </c>
      <c r="R3287" s="16" t="n">
        <v>711.3653571767264</v>
      </c>
      <c r="S3287" s="16" t="n">
        <v>0.7667448043210493</v>
      </c>
      <c r="T3287" s="16" t="n">
        <v>0.7221732595579611</v>
      </c>
      <c r="U3287" s="16" t="n">
        <v>0.7568760621232906</v>
      </c>
      <c r="V3287" s="16" t="n">
        <v>0.4744456347769032</v>
      </c>
      <c r="W3287" s="16" t="n">
        <v>0.6618993793582262</v>
      </c>
      <c r="X3287" s="16" t="n">
        <v>0.6398603225256401</v>
      </c>
      <c r="Y3287" s="16" t="n">
        <v>302.765402349473</v>
      </c>
      <c r="Z3287" s="16" t="n">
        <v>0.55104949821383</v>
      </c>
      <c r="AA3287" s="16" t="n">
        <v>3.767488716539162</v>
      </c>
      <c r="AB3287" s="16" t="n">
        <v>2708.924162348527</v>
      </c>
      <c r="AC3287" s="16" t="n">
        <v>4.80806309306336</v>
      </c>
      <c r="AD3287" s="16" t="inlineStr">
        <is>
          <t>O2</t>
        </is>
      </c>
      <c r="AE3287" s="16" t="n"/>
    </row>
    <row r="3288">
      <c r="A3288" s="16" t="inlineStr">
        <is>
          <t>KF-M09-R0-T_fuente-0074</t>
        </is>
      </c>
      <c r="B3288" s="16" t="inlineStr">
        <is>
          <t>4.3</t>
        </is>
      </c>
      <c r="C3288" s="16" t="inlineStr">
        <is>
          <t>4.3 T_fuente</t>
        </is>
      </c>
      <c r="D3288" s="16" t="inlineStr">
        <is>
          <t>ronda 0</t>
        </is>
      </c>
      <c r="E3288" s="16" t="inlineStr">
        <is>
          <t>KF-M09</t>
        </is>
      </c>
      <c r="F3288" s="16" t="inlineStr">
        <is>
          <t>KF-M09-R0-T_fuente</t>
        </is>
      </c>
      <c r="G3288" s="16" t="inlineStr">
        <is>
          <t>B13-T_fuente</t>
        </is>
      </c>
      <c r="H3288" s="16" t="inlineStr">
        <is>
          <t>lhs</t>
        </is>
      </c>
      <c r="I3288" s="16" t="inlineStr">
        <is>
          <t>NO_CONVERGIO</t>
        </is>
      </c>
      <c r="J3288" s="16" t="inlineStr">
        <is>
          <t>NO_CONVERGIO</t>
        </is>
      </c>
      <c r="K3288" s="16" t="b">
        <v>0</v>
      </c>
      <c r="L3288" s="16" t="b">
        <v>0</v>
      </c>
      <c r="M3288" s="16" t="b">
        <v>0</v>
      </c>
      <c r="N3288" s="16" t="b">
        <v>0</v>
      </c>
      <c r="O3288" s="16" t="n">
        <v>623.15</v>
      </c>
      <c r="P3288" s="16" t="n">
        <v>278.3440730777328</v>
      </c>
      <c r="Q3288" s="16" t="n">
        <v>2033.36837504094</v>
      </c>
      <c r="R3288" s="16" t="n">
        <v>1203.633974024935</v>
      </c>
      <c r="S3288" s="16" t="n">
        <v>0.8131810142770168</v>
      </c>
      <c r="T3288" s="16" t="n">
        <v>0.4248810270606699</v>
      </c>
      <c r="U3288" s="16" t="n">
        <v>0.8824159535874744</v>
      </c>
      <c r="V3288" s="16" t="n">
        <v>0.7629411543229681</v>
      </c>
      <c r="W3288" s="16" t="n">
        <v>0.6913921583067664</v>
      </c>
      <c r="X3288" s="16" t="n">
        <v>0.5230849997365649</v>
      </c>
      <c r="Y3288" s="16" t="n">
        <v>278.3440730777328</v>
      </c>
      <c r="Z3288" s="16" t="n"/>
      <c r="AA3288" s="16" t="n"/>
      <c r="AB3288" s="16" t="n">
        <v>829.734401016005</v>
      </c>
      <c r="AC3288" s="16" t="n">
        <v>1.689357744066815</v>
      </c>
      <c r="AD3288" s="16" t="n"/>
      <c r="AE3288" s="16" t="n"/>
    </row>
    <row r="3289">
      <c r="A3289" s="16" t="inlineStr">
        <is>
          <t>KF-M09-R0-T_fuente-0075</t>
        </is>
      </c>
      <c r="B3289" s="16" t="inlineStr">
        <is>
          <t>4.3</t>
        </is>
      </c>
      <c r="C3289" s="16" t="inlineStr">
        <is>
          <t>4.3 T_fuente</t>
        </is>
      </c>
      <c r="D3289" s="16" t="inlineStr">
        <is>
          <t>ronda 0</t>
        </is>
      </c>
      <c r="E3289" s="16" t="inlineStr">
        <is>
          <t>KF-M09</t>
        </is>
      </c>
      <c r="F3289" s="16" t="inlineStr">
        <is>
          <t>KF-M09-R0-T_fuente</t>
        </is>
      </c>
      <c r="G3289" s="16" t="inlineStr">
        <is>
          <t>B13-T_fuente</t>
        </is>
      </c>
      <c r="H3289" s="16" t="inlineStr">
        <is>
          <t>lhs</t>
        </is>
      </c>
      <c r="I3289" s="16" t="inlineStr">
        <is>
          <t>NO_CONVERGIO</t>
        </is>
      </c>
      <c r="J3289" s="16" t="inlineStr">
        <is>
          <t>NO_CONVERGIO</t>
        </is>
      </c>
      <c r="K3289" s="16" t="b">
        <v>0</v>
      </c>
      <c r="L3289" s="16" t="b">
        <v>0</v>
      </c>
      <c r="M3289" s="16" t="b">
        <v>0</v>
      </c>
      <c r="N3289" s="16" t="b">
        <v>0</v>
      </c>
      <c r="O3289" s="16" t="n">
        <v>623.15</v>
      </c>
      <c r="P3289" s="16" t="n">
        <v>286.5408676418317</v>
      </c>
      <c r="Q3289" s="16" t="n">
        <v>3153.174307293635</v>
      </c>
      <c r="R3289" s="16" t="n">
        <v>877.5738364660639</v>
      </c>
      <c r="S3289" s="16" t="n">
        <v>0.7450005628970592</v>
      </c>
      <c r="T3289" s="16" t="n">
        <v>0.4022881939418549</v>
      </c>
      <c r="U3289" s="16" t="n">
        <v>0.7097112346732524</v>
      </c>
      <c r="V3289" s="16" t="n">
        <v>0.9211909209856336</v>
      </c>
      <c r="W3289" s="16" t="n">
        <v>0.9252340095619798</v>
      </c>
      <c r="X3289" s="16" t="n">
        <v>0.7565376704101414</v>
      </c>
      <c r="Y3289" s="16" t="n">
        <v>286.5408676418317</v>
      </c>
      <c r="Z3289" s="16" t="n"/>
      <c r="AA3289" s="16" t="n"/>
      <c r="AB3289" s="16" t="n">
        <v>2275.600470827572</v>
      </c>
      <c r="AC3289" s="16" t="n">
        <v>3.593058699187381</v>
      </c>
      <c r="AD3289" s="16" t="n"/>
      <c r="AE3289" s="16" t="n"/>
    </row>
    <row r="3290">
      <c r="A3290" s="16" t="inlineStr">
        <is>
          <t>KF-M09-R0-T_fuente-0076</t>
        </is>
      </c>
      <c r="B3290" s="16" t="inlineStr">
        <is>
          <t>4.3</t>
        </is>
      </c>
      <c r="C3290" s="16" t="inlineStr">
        <is>
          <t>4.3 T_fuente</t>
        </is>
      </c>
      <c r="D3290" s="16" t="inlineStr">
        <is>
          <t>ronda 0</t>
        </is>
      </c>
      <c r="E3290" s="16" t="inlineStr">
        <is>
          <t>KF-M09</t>
        </is>
      </c>
      <c r="F3290" s="16" t="inlineStr">
        <is>
          <t>KF-M09-R0-T_fuente</t>
        </is>
      </c>
      <c r="G3290" s="16" t="inlineStr">
        <is>
          <t>B13-T_fuente</t>
        </is>
      </c>
      <c r="H3290" s="16" t="inlineStr">
        <is>
          <t>lhs</t>
        </is>
      </c>
      <c r="I3290" s="16" t="inlineStr">
        <is>
          <t>CORREGIBLE</t>
        </is>
      </c>
      <c r="J3290" s="16" t="inlineStr">
        <is>
          <t>CORREGIBLE</t>
        </is>
      </c>
      <c r="K3290" s="16" t="b">
        <v>1</v>
      </c>
      <c r="L3290" s="16" t="b">
        <v>0</v>
      </c>
      <c r="M3290" s="16" t="b">
        <v>1</v>
      </c>
      <c r="N3290" s="16" t="b">
        <v>0</v>
      </c>
      <c r="O3290" s="16" t="n">
        <v>623.15</v>
      </c>
      <c r="P3290" s="16" t="n">
        <v>282.5236888510315</v>
      </c>
      <c r="Q3290" s="16" t="n">
        <v>3645.014823623834</v>
      </c>
      <c r="R3290" s="16" t="n">
        <v>1009.620705087861</v>
      </c>
      <c r="S3290" s="16" t="n">
        <v>0.5962119473968071</v>
      </c>
      <c r="T3290" s="16" t="n">
        <v>0.6302281894889116</v>
      </c>
      <c r="U3290" s="16" t="n">
        <v>0.8748643957548867</v>
      </c>
      <c r="V3290" s="16" t="n">
        <v>0.7871879372978365</v>
      </c>
      <c r="W3290" s="16" t="n">
        <v>0.4503673102470221</v>
      </c>
      <c r="X3290" s="16" t="n">
        <v>0.7177699583361901</v>
      </c>
      <c r="Y3290" s="16" t="n">
        <v>282.5236888510315</v>
      </c>
      <c r="Z3290" s="16" t="n">
        <v>6.07430575857414</v>
      </c>
      <c r="AA3290" s="16" t="n">
        <v>98.1385131303508</v>
      </c>
      <c r="AB3290" s="16" t="n">
        <v>2635.394118535973</v>
      </c>
      <c r="AC3290" s="16" t="n">
        <v>3.610281371266678</v>
      </c>
      <c r="AD3290" s="16" t="inlineStr">
        <is>
          <t>O2</t>
        </is>
      </c>
      <c r="AE3290" s="16" t="n"/>
    </row>
    <row r="3291">
      <c r="A3291" s="16" t="inlineStr">
        <is>
          <t>KF-M09-R0-T_fuente-0077</t>
        </is>
      </c>
      <c r="B3291" s="16" t="inlineStr">
        <is>
          <t>4.3</t>
        </is>
      </c>
      <c r="C3291" s="16" t="inlineStr">
        <is>
          <t>4.3 T_fuente</t>
        </is>
      </c>
      <c r="D3291" s="16" t="inlineStr">
        <is>
          <t>ronda 0</t>
        </is>
      </c>
      <c r="E3291" s="16" t="inlineStr">
        <is>
          <t>KF-M09</t>
        </is>
      </c>
      <c r="F3291" s="16" t="inlineStr">
        <is>
          <t>KF-M09-R0-T_fuente</t>
        </is>
      </c>
      <c r="G3291" s="16" t="inlineStr">
        <is>
          <t>B13-T_fuente</t>
        </is>
      </c>
      <c r="H3291" s="16" t="inlineStr">
        <is>
          <t>lhs</t>
        </is>
      </c>
      <c r="I3291" s="16" t="inlineStr">
        <is>
          <t>NO_CONVERGIO</t>
        </is>
      </c>
      <c r="J3291" s="16" t="inlineStr">
        <is>
          <t>NO_CONVERGIO</t>
        </is>
      </c>
      <c r="K3291" s="16" t="b">
        <v>0</v>
      </c>
      <c r="L3291" s="16" t="b">
        <v>0</v>
      </c>
      <c r="M3291" s="16" t="b">
        <v>0</v>
      </c>
      <c r="N3291" s="16" t="b">
        <v>0</v>
      </c>
      <c r="O3291" s="16" t="n">
        <v>623.15</v>
      </c>
      <c r="P3291" s="16" t="n">
        <v>293.0619122223355</v>
      </c>
      <c r="Q3291" s="16" t="n">
        <v>2143.828810243298</v>
      </c>
      <c r="R3291" s="16" t="n">
        <v>984.3283511097192</v>
      </c>
      <c r="S3291" s="16" t="n">
        <v>0.7542108867631218</v>
      </c>
      <c r="T3291" s="16" t="n">
        <v>0.8539620254838702</v>
      </c>
      <c r="U3291" s="16" t="n">
        <v>0.468615607540661</v>
      </c>
      <c r="V3291" s="16" t="n">
        <v>0.8588779847068548</v>
      </c>
      <c r="W3291" s="16" t="n">
        <v>0.8204097773870563</v>
      </c>
      <c r="X3291" s="16" t="n">
        <v>0.5763093669531475</v>
      </c>
      <c r="Y3291" s="16" t="n">
        <v>293.0619122223355</v>
      </c>
      <c r="Z3291" s="16" t="n"/>
      <c r="AA3291" s="16" t="n"/>
      <c r="AB3291" s="16" t="n">
        <v>1159.500459133579</v>
      </c>
      <c r="AC3291" s="16" t="n">
        <v>2.177961051133368</v>
      </c>
      <c r="AD3291" s="16" t="n"/>
      <c r="AE3291" s="16" t="n"/>
    </row>
    <row r="3292">
      <c r="A3292" s="16" t="inlineStr">
        <is>
          <t>KF-M09-R0-T_fuente-0078</t>
        </is>
      </c>
      <c r="B3292" s="16" t="inlineStr">
        <is>
          <t>4.3</t>
        </is>
      </c>
      <c r="C3292" s="16" t="inlineStr">
        <is>
          <t>4.3 T_fuente</t>
        </is>
      </c>
      <c r="D3292" s="16" t="inlineStr">
        <is>
          <t>ronda 0</t>
        </is>
      </c>
      <c r="E3292" s="16" t="inlineStr">
        <is>
          <t>KF-M09</t>
        </is>
      </c>
      <c r="F3292" s="16" t="inlineStr">
        <is>
          <t>KF-M09-R0-T_fuente</t>
        </is>
      </c>
      <c r="G3292" s="16" t="inlineStr">
        <is>
          <t>B13-T_fuente</t>
        </is>
      </c>
      <c r="H3292" s="16" t="inlineStr">
        <is>
          <t>lhs</t>
        </is>
      </c>
      <c r="I3292" s="16" t="inlineStr">
        <is>
          <t>NO_CONVERGIO</t>
        </is>
      </c>
      <c r="J3292" s="16" t="inlineStr">
        <is>
          <t>NO_CONVERGIO</t>
        </is>
      </c>
      <c r="K3292" s="16" t="b">
        <v>0</v>
      </c>
      <c r="L3292" s="16" t="b">
        <v>0</v>
      </c>
      <c r="M3292" s="16" t="b">
        <v>0</v>
      </c>
      <c r="N3292" s="16" t="b">
        <v>0</v>
      </c>
      <c r="O3292" s="16" t="n">
        <v>623.15</v>
      </c>
      <c r="P3292" s="16" t="n">
        <v>302.3403353461571</v>
      </c>
      <c r="Q3292" s="16" t="n">
        <v>4485.724043556331</v>
      </c>
      <c r="R3292" s="16" t="n">
        <v>1916.257875981152</v>
      </c>
      <c r="S3292" s="16" t="n">
        <v>0.6963244686900598</v>
      </c>
      <c r="T3292" s="16" t="n">
        <v>0.4673471074207401</v>
      </c>
      <c r="U3292" s="16" t="n">
        <v>0.5231753570958358</v>
      </c>
      <c r="V3292" s="16" t="n">
        <v>0.8024449501443831</v>
      </c>
      <c r="W3292" s="16" t="n">
        <v>0.6250732905501585</v>
      </c>
      <c r="X3292" s="16" t="n">
        <v>0.4811014458144793</v>
      </c>
      <c r="Y3292" s="16" t="n">
        <v>302.3403353461571</v>
      </c>
      <c r="Z3292" s="16" t="n"/>
      <c r="AA3292" s="16" t="n"/>
      <c r="AB3292" s="16" t="n">
        <v>2569.466167575179</v>
      </c>
      <c r="AC3292" s="16" t="n">
        <v>2.340877029016554</v>
      </c>
      <c r="AD3292" s="16" t="n"/>
      <c r="AE3292" s="16" t="n"/>
    </row>
    <row r="3293">
      <c r="A3293" s="16" t="inlineStr">
        <is>
          <t>KF-M09-R0-T_fuente-0079</t>
        </is>
      </c>
      <c r="B3293" s="16" t="inlineStr">
        <is>
          <t>4.3</t>
        </is>
      </c>
      <c r="C3293" s="16" t="inlineStr">
        <is>
          <t>4.3 T_fuente</t>
        </is>
      </c>
      <c r="D3293" s="16" t="inlineStr">
        <is>
          <t>ronda 0</t>
        </is>
      </c>
      <c r="E3293" s="16" t="inlineStr">
        <is>
          <t>KF-M09</t>
        </is>
      </c>
      <c r="F3293" s="16" t="inlineStr">
        <is>
          <t>KF-M09-R0-T_fuente</t>
        </is>
      </c>
      <c r="G3293" s="16" t="inlineStr">
        <is>
          <t>B13-T_fuente</t>
        </is>
      </c>
      <c r="H3293" s="16" t="inlineStr">
        <is>
          <t>lhs</t>
        </is>
      </c>
      <c r="I3293" s="16" t="inlineStr">
        <is>
          <t>KALINA</t>
        </is>
      </c>
      <c r="J3293" s="16" t="inlineStr">
        <is>
          <t>KALINA</t>
        </is>
      </c>
      <c r="K3293" s="16" t="b">
        <v>1</v>
      </c>
      <c r="L3293" s="16" t="b">
        <v>0</v>
      </c>
      <c r="M3293" s="16" t="b">
        <v>1</v>
      </c>
      <c r="N3293" s="16" t="b">
        <v>0</v>
      </c>
      <c r="O3293" s="16" t="n">
        <v>623.15</v>
      </c>
      <c r="P3293" s="16" t="n">
        <v>298.6897123418713</v>
      </c>
      <c r="Q3293" s="16" t="n">
        <v>4437.477885379416</v>
      </c>
      <c r="R3293" s="16" t="n">
        <v>1139.110604868654</v>
      </c>
      <c r="S3293" s="16" t="n">
        <v>0.5033969051317454</v>
      </c>
      <c r="T3293" s="16" t="n">
        <v>0.919141077625619</v>
      </c>
      <c r="U3293" s="16" t="n">
        <v>0.430438892458963</v>
      </c>
      <c r="V3293" s="16" t="n">
        <v>0.7425364751832575</v>
      </c>
      <c r="W3293" s="16" t="n">
        <v>0.7923230877452216</v>
      </c>
      <c r="X3293" s="16" t="n">
        <v>0.9310643988780224</v>
      </c>
      <c r="Y3293" s="16" t="n">
        <v>298.6897123418713</v>
      </c>
      <c r="Z3293" s="16" t="n">
        <v>9.95755315577501</v>
      </c>
      <c r="AA3293" s="16" t="n">
        <v>184.9077698686641</v>
      </c>
      <c r="AB3293" s="16" t="n">
        <v>3298.367280510763</v>
      </c>
      <c r="AC3293" s="16" t="n">
        <v>3.895563667314891</v>
      </c>
      <c r="AD3293" s="16" t="n"/>
      <c r="AE3293" s="16" t="n"/>
    </row>
    <row r="3294">
      <c r="A3294" s="16" t="inlineStr">
        <is>
          <t>KF-M09-R0-T_fuente-0080</t>
        </is>
      </c>
      <c r="B3294" s="16" t="inlineStr">
        <is>
          <t>4.3</t>
        </is>
      </c>
      <c r="C3294" s="16" t="inlineStr">
        <is>
          <t>4.3 T_fuente</t>
        </is>
      </c>
      <c r="D3294" s="16" t="inlineStr">
        <is>
          <t>ronda 0</t>
        </is>
      </c>
      <c r="E3294" s="16" t="inlineStr">
        <is>
          <t>KF-M09</t>
        </is>
      </c>
      <c r="F3294" s="16" t="inlineStr">
        <is>
          <t>KF-M09-R0-T_fuente</t>
        </is>
      </c>
      <c r="G3294" s="16" t="inlineStr">
        <is>
          <t>B13-T_fuente</t>
        </is>
      </c>
      <c r="H3294" s="16" t="inlineStr">
        <is>
          <t>lhs</t>
        </is>
      </c>
      <c r="I3294" s="16" t="inlineStr">
        <is>
          <t>NO_CONVERGIO</t>
        </is>
      </c>
      <c r="J3294" s="16" t="inlineStr">
        <is>
          <t>NO_CONVERGIO</t>
        </is>
      </c>
      <c r="K3294" s="16" t="b">
        <v>0</v>
      </c>
      <c r="L3294" s="16" t="b">
        <v>0</v>
      </c>
      <c r="M3294" s="16" t="b">
        <v>0</v>
      </c>
      <c r="N3294" s="16" t="b">
        <v>0</v>
      </c>
      <c r="O3294" s="16" t="n">
        <v>623.15</v>
      </c>
      <c r="P3294" s="16" t="n">
        <v>300.0422463754022</v>
      </c>
      <c r="Q3294" s="16" t="n">
        <v>3752.588320619171</v>
      </c>
      <c r="R3294" s="16" t="n">
        <v>687.8047476046906</v>
      </c>
      <c r="S3294" s="16" t="n">
        <v>0.5736731740461947</v>
      </c>
      <c r="T3294" s="16" t="n">
        <v>0.6909494395186377</v>
      </c>
      <c r="U3294" s="16" t="n">
        <v>0.5321058668354703</v>
      </c>
      <c r="V3294" s="16" t="n">
        <v>0.9329991218826093</v>
      </c>
      <c r="W3294" s="16" t="n">
        <v>0.6191136475158168</v>
      </c>
      <c r="X3294" s="16" t="n">
        <v>0.5693707695497212</v>
      </c>
      <c r="Y3294" s="16" t="n">
        <v>300.0422463754022</v>
      </c>
      <c r="Z3294" s="16" t="n"/>
      <c r="AA3294" s="16" t="n"/>
      <c r="AB3294" s="16" t="n">
        <v>3064.783573014481</v>
      </c>
      <c r="AC3294" s="16" t="n">
        <v>5.455891855483289</v>
      </c>
      <c r="AD3294" s="16" t="n"/>
      <c r="AE3294" s="16" t="n"/>
    </row>
    <row r="3295">
      <c r="A3295" s="16" t="inlineStr">
        <is>
          <t>KF-M09-R0-T_fuente-0081</t>
        </is>
      </c>
      <c r="B3295" s="16" t="inlineStr">
        <is>
          <t>4.3</t>
        </is>
      </c>
      <c r="C3295" s="16" t="inlineStr">
        <is>
          <t>4.3 T_fuente</t>
        </is>
      </c>
      <c r="D3295" s="16" t="inlineStr">
        <is>
          <t>ronda 0</t>
        </is>
      </c>
      <c r="E3295" s="16" t="inlineStr">
        <is>
          <t>KF-M09</t>
        </is>
      </c>
      <c r="F3295" s="16" t="inlineStr">
        <is>
          <t>KF-M09-R0-T_fuente</t>
        </is>
      </c>
      <c r="G3295" s="16" t="inlineStr">
        <is>
          <t>B13-T_fuente</t>
        </is>
      </c>
      <c r="H3295" s="16" t="inlineStr">
        <is>
          <t>lhs</t>
        </is>
      </c>
      <c r="I3295" s="16" t="inlineStr">
        <is>
          <t>CORREGIBLE</t>
        </is>
      </c>
      <c r="J3295" s="16" t="inlineStr">
        <is>
          <t>CORREGIBLE</t>
        </is>
      </c>
      <c r="K3295" s="16" t="b">
        <v>1</v>
      </c>
      <c r="L3295" s="16" t="b">
        <v>0</v>
      </c>
      <c r="M3295" s="16" t="b">
        <v>1</v>
      </c>
      <c r="N3295" s="16" t="b">
        <v>0</v>
      </c>
      <c r="O3295" s="16" t="n">
        <v>623.15</v>
      </c>
      <c r="P3295" s="16" t="n">
        <v>286.9473117269732</v>
      </c>
      <c r="Q3295" s="16" t="n">
        <v>4005.286462291199</v>
      </c>
      <c r="R3295" s="16" t="n">
        <v>1442.996800539866</v>
      </c>
      <c r="S3295" s="16" t="n">
        <v>0.6434635433675823</v>
      </c>
      <c r="T3295" s="16" t="n">
        <v>0.9292308935007734</v>
      </c>
      <c r="U3295" s="16" t="n">
        <v>0.7603016860964233</v>
      </c>
      <c r="V3295" s="16" t="n">
        <v>0.6108690890815452</v>
      </c>
      <c r="W3295" s="16" t="n">
        <v>0.7277918704183708</v>
      </c>
      <c r="X3295" s="16" t="n">
        <v>0.5277199621621351</v>
      </c>
      <c r="Y3295" s="16" t="n">
        <v>286.9473117269732</v>
      </c>
      <c r="Z3295" s="16" t="n">
        <v>6.81750191471079</v>
      </c>
      <c r="AA3295" s="16" t="n">
        <v>69.05516020617841</v>
      </c>
      <c r="AB3295" s="16" t="n">
        <v>2562.289661751333</v>
      </c>
      <c r="AC3295" s="16" t="n">
        <v>2.775672448333016</v>
      </c>
      <c r="AD3295" s="16" t="inlineStr">
        <is>
          <t>O2</t>
        </is>
      </c>
      <c r="AE3295" s="16" t="n"/>
    </row>
    <row r="3296">
      <c r="A3296" s="16" t="inlineStr">
        <is>
          <t>KF-M09-R0-T_fuente-0082</t>
        </is>
      </c>
      <c r="B3296" s="16" t="inlineStr">
        <is>
          <t>4.3</t>
        </is>
      </c>
      <c r="C3296" s="16" t="inlineStr">
        <is>
          <t>4.3 T_fuente</t>
        </is>
      </c>
      <c r="D3296" s="16" t="inlineStr">
        <is>
          <t>ronda 0</t>
        </is>
      </c>
      <c r="E3296" s="16" t="inlineStr">
        <is>
          <t>KF-M09</t>
        </is>
      </c>
      <c r="F3296" s="16" t="inlineStr">
        <is>
          <t>KF-M09-R0-T_fuente</t>
        </is>
      </c>
      <c r="G3296" s="16" t="inlineStr">
        <is>
          <t>B13-T_fuente</t>
        </is>
      </c>
      <c r="H3296" s="16" t="inlineStr">
        <is>
          <t>lhs</t>
        </is>
      </c>
      <c r="I3296" s="16" t="inlineStr">
        <is>
          <t>NO_CONVERGIO</t>
        </is>
      </c>
      <c r="J3296" s="16" t="inlineStr">
        <is>
          <t>NO_CONVERGIO</t>
        </is>
      </c>
      <c r="K3296" s="16" t="b">
        <v>0</v>
      </c>
      <c r="L3296" s="16" t="b">
        <v>0</v>
      </c>
      <c r="M3296" s="16" t="b">
        <v>0</v>
      </c>
      <c r="N3296" s="16" t="b">
        <v>0</v>
      </c>
      <c r="O3296" s="16" t="n">
        <v>623.15</v>
      </c>
      <c r="P3296" s="16" t="n">
        <v>295.7413448557623</v>
      </c>
      <c r="Q3296" s="16" t="n">
        <v>3889.622365633172</v>
      </c>
      <c r="R3296" s="16" t="n">
        <v>411.4455445696302</v>
      </c>
      <c r="S3296" s="16" t="n">
        <v>0.7855759049571331</v>
      </c>
      <c r="T3296" s="16" t="n">
        <v>0.8896448019534173</v>
      </c>
      <c r="U3296" s="16" t="n">
        <v>0.5907099473164688</v>
      </c>
      <c r="V3296" s="16" t="n">
        <v>0.8463662149708884</v>
      </c>
      <c r="W3296" s="16" t="n">
        <v>0.8029042485499447</v>
      </c>
      <c r="X3296" s="16" t="n">
        <v>0.76154668854492</v>
      </c>
      <c r="Y3296" s="16" t="n">
        <v>295.7413448557623</v>
      </c>
      <c r="Z3296" s="16" t="n"/>
      <c r="AA3296" s="16" t="n"/>
      <c r="AB3296" s="16" t="n">
        <v>3478.176821063542</v>
      </c>
      <c r="AC3296" s="16" t="n">
        <v>9.453553251382743</v>
      </c>
      <c r="AD3296" s="16" t="n"/>
      <c r="AE3296" s="16" t="n"/>
    </row>
    <row r="3297">
      <c r="A3297" s="16" t="inlineStr">
        <is>
          <t>KF-M09-R0-T_fuente-0083</t>
        </is>
      </c>
      <c r="B3297" s="16" t="inlineStr">
        <is>
          <t>4.3</t>
        </is>
      </c>
      <c r="C3297" s="16" t="inlineStr">
        <is>
          <t>4.3 T_fuente</t>
        </is>
      </c>
      <c r="D3297" s="16" t="inlineStr">
        <is>
          <t>ronda 0</t>
        </is>
      </c>
      <c r="E3297" s="16" t="inlineStr">
        <is>
          <t>KF-M09</t>
        </is>
      </c>
      <c r="F3297" s="16" t="inlineStr">
        <is>
          <t>KF-M09-R0-T_fuente</t>
        </is>
      </c>
      <c r="G3297" s="16" t="inlineStr">
        <is>
          <t>B13-T_fuente</t>
        </is>
      </c>
      <c r="H3297" s="16" t="inlineStr">
        <is>
          <t>lhs</t>
        </is>
      </c>
      <c r="I3297" s="16" t="inlineStr">
        <is>
          <t>CORREGIBLE</t>
        </is>
      </c>
      <c r="J3297" s="16" t="inlineStr">
        <is>
          <t>CORREGIBLE</t>
        </is>
      </c>
      <c r="K3297" s="16" t="b">
        <v>1</v>
      </c>
      <c r="L3297" s="16" t="b">
        <v>0</v>
      </c>
      <c r="M3297" s="16" t="b">
        <v>1</v>
      </c>
      <c r="N3297" s="16" t="b">
        <v>0</v>
      </c>
      <c r="O3297" s="16" t="n">
        <v>623.15</v>
      </c>
      <c r="P3297" s="16" t="n">
        <v>293.5523607676136</v>
      </c>
      <c r="Q3297" s="16" t="n">
        <v>2951.481828266029</v>
      </c>
      <c r="R3297" s="16" t="n">
        <v>670.038792391374</v>
      </c>
      <c r="S3297" s="16" t="n">
        <v>0.7317288950372678</v>
      </c>
      <c r="T3297" s="16" t="n">
        <v>0.6483889222402788</v>
      </c>
      <c r="U3297" s="16" t="n">
        <v>0.8400657239601953</v>
      </c>
      <c r="V3297" s="16" t="n">
        <v>0.6459733755975349</v>
      </c>
      <c r="W3297" s="16" t="n">
        <v>0.8366763106275261</v>
      </c>
      <c r="X3297" s="16" t="n">
        <v>0.6312693768873846</v>
      </c>
      <c r="Y3297" s="16" t="n">
        <v>293.5523607676136</v>
      </c>
      <c r="Z3297" s="16" t="n">
        <v>4.930397285051679</v>
      </c>
      <c r="AA3297" s="16" t="n">
        <v>54.94464074599409</v>
      </c>
      <c r="AB3297" s="16" t="n">
        <v>2281.443035874655</v>
      </c>
      <c r="AC3297" s="16" t="n">
        <v>4.404941716482065</v>
      </c>
      <c r="AD3297" s="16" t="inlineStr">
        <is>
          <t>O2</t>
        </is>
      </c>
      <c r="AE3297" s="16" t="n"/>
    </row>
    <row r="3298">
      <c r="A3298" s="16" t="inlineStr">
        <is>
          <t>KF-M09-R0-T_fuente-0084</t>
        </is>
      </c>
      <c r="B3298" s="16" t="inlineStr">
        <is>
          <t>4.3</t>
        </is>
      </c>
      <c r="C3298" s="16" t="inlineStr">
        <is>
          <t>4.3 T_fuente</t>
        </is>
      </c>
      <c r="D3298" s="16" t="inlineStr">
        <is>
          <t>ronda 0</t>
        </is>
      </c>
      <c r="E3298" s="16" t="inlineStr">
        <is>
          <t>KF-M09</t>
        </is>
      </c>
      <c r="F3298" s="16" t="inlineStr">
        <is>
          <t>KF-M09-R0-T_fuente</t>
        </is>
      </c>
      <c r="G3298" s="16" t="inlineStr">
        <is>
          <t>B13-T_fuente</t>
        </is>
      </c>
      <c r="H3298" s="16" t="inlineStr">
        <is>
          <t>lhs</t>
        </is>
      </c>
      <c r="I3298" s="16" t="inlineStr">
        <is>
          <t>CORREGIBLE</t>
        </is>
      </c>
      <c r="J3298" s="16" t="inlineStr">
        <is>
          <t>CORREGIBLE</t>
        </is>
      </c>
      <c r="K3298" s="16" t="b">
        <v>1</v>
      </c>
      <c r="L3298" s="16" t="b">
        <v>0</v>
      </c>
      <c r="M3298" s="16" t="b">
        <v>1</v>
      </c>
      <c r="N3298" s="16" t="b">
        <v>0</v>
      </c>
      <c r="O3298" s="16" t="n">
        <v>623.15</v>
      </c>
      <c r="P3298" s="16" t="n">
        <v>297.3123045827651</v>
      </c>
      <c r="Q3298" s="16" t="n">
        <v>4603.106499807399</v>
      </c>
      <c r="R3298" s="16" t="n">
        <v>1865.422601354645</v>
      </c>
      <c r="S3298" s="16" t="n">
        <v>0.5580869368173405</v>
      </c>
      <c r="T3298" s="16" t="n">
        <v>0.9424742217962884</v>
      </c>
      <c r="U3298" s="16" t="n">
        <v>0.8901820212077867</v>
      </c>
      <c r="V3298" s="16" t="n">
        <v>0.5644821858238993</v>
      </c>
      <c r="W3298" s="16" t="n">
        <v>0.9299000224483982</v>
      </c>
      <c r="X3298" s="16" t="n">
        <v>0.6153281850269566</v>
      </c>
      <c r="Y3298" s="16" t="n">
        <v>297.3123045827651</v>
      </c>
      <c r="Z3298" s="16" t="n">
        <v>7.90387941186419</v>
      </c>
      <c r="AA3298" s="16" t="n">
        <v>86.05625811716099</v>
      </c>
      <c r="AB3298" s="16" t="n">
        <v>2737.683898452754</v>
      </c>
      <c r="AC3298" s="16" t="n">
        <v>2.467594472407852</v>
      </c>
      <c r="AD3298" s="16" t="inlineStr">
        <is>
          <t>O2</t>
        </is>
      </c>
      <c r="AE3298" s="16" t="n"/>
    </row>
    <row r="3299">
      <c r="A3299" s="16" t="inlineStr">
        <is>
          <t>KF-M09-R0-T_fuente-0085</t>
        </is>
      </c>
      <c r="B3299" s="16" t="inlineStr">
        <is>
          <t>4.3</t>
        </is>
      </c>
      <c r="C3299" s="16" t="inlineStr">
        <is>
          <t>4.3 T_fuente</t>
        </is>
      </c>
      <c r="D3299" s="16" t="inlineStr">
        <is>
          <t>ronda 0</t>
        </is>
      </c>
      <c r="E3299" s="16" t="inlineStr">
        <is>
          <t>KF-M09</t>
        </is>
      </c>
      <c r="F3299" s="16" t="inlineStr">
        <is>
          <t>KF-M09-R0-T_fuente</t>
        </is>
      </c>
      <c r="G3299" s="16" t="inlineStr">
        <is>
          <t>B13-T_fuente</t>
        </is>
      </c>
      <c r="H3299" s="16" t="inlineStr">
        <is>
          <t>lhs</t>
        </is>
      </c>
      <c r="I3299" s="16" t="inlineStr">
        <is>
          <t>CORREGIBLE</t>
        </is>
      </c>
      <c r="J3299" s="16" t="inlineStr">
        <is>
          <t>CORREGIBLE</t>
        </is>
      </c>
      <c r="K3299" s="16" t="b">
        <v>1</v>
      </c>
      <c r="L3299" s="16" t="b">
        <v>0</v>
      </c>
      <c r="M3299" s="16" t="b">
        <v>1</v>
      </c>
      <c r="N3299" s="16" t="b">
        <v>0</v>
      </c>
      <c r="O3299" s="16" t="n">
        <v>623.15</v>
      </c>
      <c r="P3299" s="16" t="n">
        <v>281.1865861934955</v>
      </c>
      <c r="Q3299" s="16" t="n">
        <v>2733.635833148527</v>
      </c>
      <c r="R3299" s="16" t="n">
        <v>794.3154405060158</v>
      </c>
      <c r="S3299" s="16" t="n">
        <v>0.7144128182516937</v>
      </c>
      <c r="T3299" s="16" t="n">
        <v>0.5335882904664272</v>
      </c>
      <c r="U3299" s="16" t="n">
        <v>0.7936609958449007</v>
      </c>
      <c r="V3299" s="16" t="n">
        <v>0.5968874474000644</v>
      </c>
      <c r="W3299" s="16" t="n">
        <v>0.9101015458551328</v>
      </c>
      <c r="X3299" s="16" t="n">
        <v>0.7776793064486212</v>
      </c>
      <c r="Y3299" s="16" t="n">
        <v>281.1865861934955</v>
      </c>
      <c r="Z3299" s="16" t="n">
        <v>5.29700709458941</v>
      </c>
      <c r="AA3299" s="16" t="n">
        <v>67.05588553067433</v>
      </c>
      <c r="AB3299" s="16" t="n">
        <v>1939.320392642512</v>
      </c>
      <c r="AC3299" s="16" t="n">
        <v>3.44149904905169</v>
      </c>
      <c r="AD3299" s="16" t="inlineStr">
        <is>
          <t>O2</t>
        </is>
      </c>
      <c r="AE3299" s="16" t="n"/>
    </row>
    <row r="3300">
      <c r="A3300" s="16" t="inlineStr">
        <is>
          <t>KF-M09-R0-T_fuente-0086</t>
        </is>
      </c>
      <c r="B3300" s="16" t="inlineStr">
        <is>
          <t>4.3</t>
        </is>
      </c>
      <c r="C3300" s="16" t="inlineStr">
        <is>
          <t>4.3 T_fuente</t>
        </is>
      </c>
      <c r="D3300" s="16" t="inlineStr">
        <is>
          <t>ronda 0</t>
        </is>
      </c>
      <c r="E3300" s="16" t="inlineStr">
        <is>
          <t>KF-M09</t>
        </is>
      </c>
      <c r="F3300" s="16" t="inlineStr">
        <is>
          <t>KF-M09-R0-T_fuente</t>
        </is>
      </c>
      <c r="G3300" s="16" t="inlineStr">
        <is>
          <t>B13-T_fuente</t>
        </is>
      </c>
      <c r="H3300" s="16" t="inlineStr">
        <is>
          <t>lhs</t>
        </is>
      </c>
      <c r="I3300" s="16" t="inlineStr">
        <is>
          <t>NO_CONVERGIO</t>
        </is>
      </c>
      <c r="J3300" s="16" t="inlineStr">
        <is>
          <t>NO_CONVERGIO</t>
        </is>
      </c>
      <c r="K3300" s="16" t="b">
        <v>0</v>
      </c>
      <c r="L3300" s="16" t="b">
        <v>0</v>
      </c>
      <c r="M3300" s="16" t="b">
        <v>0</v>
      </c>
      <c r="N3300" s="16" t="b">
        <v>0</v>
      </c>
      <c r="O3300" s="16" t="n">
        <v>623.15</v>
      </c>
      <c r="P3300" s="16" t="n">
        <v>284.4349178164562</v>
      </c>
      <c r="Q3300" s="16" t="n">
        <v>3356.686636381773</v>
      </c>
      <c r="R3300" s="16" t="n">
        <v>1968.985128897558</v>
      </c>
      <c r="S3300" s="16" t="n">
        <v>0.6784438496356272</v>
      </c>
      <c r="T3300" s="16" t="n">
        <v>0.4788572807729083</v>
      </c>
      <c r="U3300" s="16" t="n">
        <v>0.8341310188809155</v>
      </c>
      <c r="V3300" s="16" t="n">
        <v>0.9385252201631002</v>
      </c>
      <c r="W3300" s="16" t="n">
        <v>0.730063011151229</v>
      </c>
      <c r="X3300" s="16" t="n">
        <v>0.4438427726290578</v>
      </c>
      <c r="Y3300" s="16" t="n">
        <v>284.4349178164562</v>
      </c>
      <c r="Z3300" s="16" t="n"/>
      <c r="AA3300" s="16" t="n"/>
      <c r="AB3300" s="16" t="n">
        <v>1387.701507484215</v>
      </c>
      <c r="AC3300" s="16" t="n">
        <v>1.704780085495716</v>
      </c>
      <c r="AD3300" s="16" t="n"/>
      <c r="AE3300" s="16" t="n"/>
    </row>
    <row r="3301">
      <c r="A3301" s="16" t="inlineStr">
        <is>
          <t>KF-M09-R0-T_fuente-0087</t>
        </is>
      </c>
      <c r="B3301" s="16" t="inlineStr">
        <is>
          <t>4.3</t>
        </is>
      </c>
      <c r="C3301" s="16" t="inlineStr">
        <is>
          <t>4.3 T_fuente</t>
        </is>
      </c>
      <c r="D3301" s="16" t="inlineStr">
        <is>
          <t>ronda 0</t>
        </is>
      </c>
      <c r="E3301" s="16" t="inlineStr">
        <is>
          <t>KF-M09</t>
        </is>
      </c>
      <c r="F3301" s="16" t="inlineStr">
        <is>
          <t>KF-M09-R0-T_fuente</t>
        </is>
      </c>
      <c r="G3301" s="16" t="inlineStr">
        <is>
          <t>B13-T_fuente</t>
        </is>
      </c>
      <c r="H3301" s="16" t="inlineStr">
        <is>
          <t>lhs</t>
        </is>
      </c>
      <c r="I3301" s="16" t="inlineStr">
        <is>
          <t>NO_CONVERGIO</t>
        </is>
      </c>
      <c r="J3301" s="16" t="inlineStr">
        <is>
          <t>NO_CONVERGIO</t>
        </is>
      </c>
      <c r="K3301" s="16" t="b">
        <v>0</v>
      </c>
      <c r="L3301" s="16" t="b">
        <v>0</v>
      </c>
      <c r="M3301" s="16" t="b">
        <v>0</v>
      </c>
      <c r="N3301" s="16" t="b">
        <v>0</v>
      </c>
      <c r="O3301" s="16" t="n">
        <v>623.15</v>
      </c>
      <c r="P3301" s="16" t="n">
        <v>283.1925650825169</v>
      </c>
      <c r="Q3301" s="16" t="n">
        <v>3303.462549562756</v>
      </c>
      <c r="R3301" s="16" t="n">
        <v>1547.340801233267</v>
      </c>
      <c r="S3301" s="16" t="n">
        <v>0.7919712413039488</v>
      </c>
      <c r="T3301" s="16" t="n">
        <v>0.6757913196705019</v>
      </c>
      <c r="U3301" s="16" t="n">
        <v>0.5421141423028973</v>
      </c>
      <c r="V3301" s="16" t="n">
        <v>0.5994735266047911</v>
      </c>
      <c r="W3301" s="16" t="n">
        <v>0.5753098981511009</v>
      </c>
      <c r="X3301" s="16" t="n">
        <v>0.4187518327695214</v>
      </c>
      <c r="Y3301" s="16" t="n">
        <v>283.1925650825169</v>
      </c>
      <c r="Z3301" s="16" t="n"/>
      <c r="AA3301" s="16" t="n"/>
      <c r="AB3301" s="16" t="n">
        <v>1756.121748329489</v>
      </c>
      <c r="AC3301" s="16" t="n">
        <v>2.134928870827822</v>
      </c>
      <c r="AD3301" s="16" t="n"/>
      <c r="AE3301" s="16" t="n"/>
    </row>
    <row r="3302">
      <c r="A3302" s="16" t="inlineStr">
        <is>
          <t>KF-M09-R0-T_fuente-0088</t>
        </is>
      </c>
      <c r="B3302" s="16" t="inlineStr">
        <is>
          <t>4.3</t>
        </is>
      </c>
      <c r="C3302" s="16" t="inlineStr">
        <is>
          <t>4.3 T_fuente</t>
        </is>
      </c>
      <c r="D3302" s="16" t="inlineStr">
        <is>
          <t>ronda 0</t>
        </is>
      </c>
      <c r="E3302" s="16" t="inlineStr">
        <is>
          <t>KF-M09</t>
        </is>
      </c>
      <c r="F3302" s="16" t="inlineStr">
        <is>
          <t>KF-M09-R0-T_fuente</t>
        </is>
      </c>
      <c r="G3302" s="16" t="inlineStr">
        <is>
          <t>B13-T_fuente</t>
        </is>
      </c>
      <c r="H3302" s="16" t="inlineStr">
        <is>
          <t>lhs</t>
        </is>
      </c>
      <c r="I3302" s="16" t="inlineStr">
        <is>
          <t>INVIABLE</t>
        </is>
      </c>
      <c r="J3302" s="16" t="inlineStr">
        <is>
          <t>INVIABLE</t>
        </is>
      </c>
      <c r="K3302" s="16" t="b">
        <v>1</v>
      </c>
      <c r="L3302" s="16" t="b">
        <v>0</v>
      </c>
      <c r="M3302" s="16" t="b">
        <v>1</v>
      </c>
      <c r="N3302" s="16" t="b">
        <v>0</v>
      </c>
      <c r="O3302" s="16" t="n">
        <v>623.15</v>
      </c>
      <c r="P3302" s="16" t="n">
        <v>280.5408566920161</v>
      </c>
      <c r="Q3302" s="16" t="n">
        <v>4218.977684325973</v>
      </c>
      <c r="R3302" s="16" t="n">
        <v>1721.07184235145</v>
      </c>
      <c r="S3302" s="16" t="n">
        <v>0.688410075312745</v>
      </c>
      <c r="T3302" s="16" t="n">
        <v>0.5564982564170502</v>
      </c>
      <c r="U3302" s="16" t="n">
        <v>0.8090875873705838</v>
      </c>
      <c r="V3302" s="16" t="n">
        <v>0.5213761749629919</v>
      </c>
      <c r="W3302" s="16" t="n">
        <v>0.71845954168932</v>
      </c>
      <c r="X3302" s="16" t="n">
        <v>0.4628242468824464</v>
      </c>
      <c r="Y3302" s="16" t="n">
        <v>280.5408566920161</v>
      </c>
      <c r="Z3302" s="16" t="n">
        <v>-0.44593848347285</v>
      </c>
      <c r="AA3302" s="16" t="n">
        <v>-3.566523049955165</v>
      </c>
      <c r="AB3302" s="16" t="n">
        <v>2497.905841974524</v>
      </c>
      <c r="AC3302" s="16" t="n">
        <v>2.451366398837662</v>
      </c>
      <c r="AD3302" s="16" t="inlineStr">
        <is>
          <t>O2,O3</t>
        </is>
      </c>
      <c r="AE3302" s="16" t="n"/>
    </row>
    <row r="3303">
      <c r="A3303" s="16" t="inlineStr">
        <is>
          <t>KF-M09-R0-T_fuente-0089</t>
        </is>
      </c>
      <c r="B3303" s="16" t="inlineStr">
        <is>
          <t>4.3</t>
        </is>
      </c>
      <c r="C3303" s="16" t="inlineStr">
        <is>
          <t>4.3 T_fuente</t>
        </is>
      </c>
      <c r="D3303" s="16" t="inlineStr">
        <is>
          <t>ronda 0</t>
        </is>
      </c>
      <c r="E3303" s="16" t="inlineStr">
        <is>
          <t>KF-M09</t>
        </is>
      </c>
      <c r="F3303" s="16" t="inlineStr">
        <is>
          <t>KF-M09-R0-T_fuente</t>
        </is>
      </c>
      <c r="G3303" s="16" t="inlineStr">
        <is>
          <t>B13-T_fuente</t>
        </is>
      </c>
      <c r="H3303" s="16" t="inlineStr">
        <is>
          <t>lhs</t>
        </is>
      </c>
      <c r="I3303" s="16" t="inlineStr">
        <is>
          <t>CORREGIBLE</t>
        </is>
      </c>
      <c r="J3303" s="16" t="inlineStr">
        <is>
          <t>CORREGIBLE</t>
        </is>
      </c>
      <c r="K3303" s="16" t="b">
        <v>1</v>
      </c>
      <c r="L3303" s="16" t="b">
        <v>0</v>
      </c>
      <c r="M3303" s="16" t="b">
        <v>0</v>
      </c>
      <c r="N3303" s="16" t="b">
        <v>0</v>
      </c>
      <c r="O3303" s="16" t="n">
        <v>623.15</v>
      </c>
      <c r="P3303" s="16" t="n">
        <v>297.0236211784525</v>
      </c>
      <c r="Q3303" s="16" t="n">
        <v>2701.630832627948</v>
      </c>
      <c r="R3303" s="16" t="n">
        <v>1688.839436878042</v>
      </c>
      <c r="S3303" s="16" t="n">
        <v>0.7232551819813612</v>
      </c>
      <c r="T3303" s="16" t="n">
        <v>0.6400289616074785</v>
      </c>
      <c r="U3303" s="16" t="n">
        <v>0.4725794624867983</v>
      </c>
      <c r="V3303" s="16" t="n">
        <v>0.4167577510715159</v>
      </c>
      <c r="W3303" s="16" t="n">
        <v>0.4612732644347293</v>
      </c>
      <c r="X3303" s="16" t="n">
        <v>0.6268712502441208</v>
      </c>
      <c r="Y3303" s="16" t="n">
        <v>297.0236211784525</v>
      </c>
      <c r="Z3303" s="16" t="n">
        <v>0.2821847595047</v>
      </c>
      <c r="AA3303" s="16" t="n">
        <v>2.254841750699548</v>
      </c>
      <c r="AB3303" s="16" t="n">
        <v>1012.791395749906</v>
      </c>
      <c r="AC3303" s="16" t="n">
        <v>1.599696675500505</v>
      </c>
      <c r="AD3303" s="16" t="inlineStr">
        <is>
          <t>O2</t>
        </is>
      </c>
      <c r="AE3303" s="16" t="n"/>
    </row>
    <row r="3304">
      <c r="A3304" s="16" t="inlineStr">
        <is>
          <t>KF-M09-R0-T_fuente-0090</t>
        </is>
      </c>
      <c r="B3304" s="16" t="inlineStr">
        <is>
          <t>4.3</t>
        </is>
      </c>
      <c r="C3304" s="16" t="inlineStr">
        <is>
          <t>4.3 T_fuente</t>
        </is>
      </c>
      <c r="D3304" s="16" t="inlineStr">
        <is>
          <t>ronda 0</t>
        </is>
      </c>
      <c r="E3304" s="16" t="inlineStr">
        <is>
          <t>KF-M09</t>
        </is>
      </c>
      <c r="F3304" s="16" t="inlineStr">
        <is>
          <t>KF-M09-R0-T_fuente</t>
        </is>
      </c>
      <c r="G3304" s="16" t="inlineStr">
        <is>
          <t>B13-T_fuente</t>
        </is>
      </c>
      <c r="H3304" s="16" t="inlineStr">
        <is>
          <t>lhs</t>
        </is>
      </c>
      <c r="I3304" s="16" t="inlineStr">
        <is>
          <t>INVIABLE</t>
        </is>
      </c>
      <c r="J3304" s="16" t="inlineStr">
        <is>
          <t>INVIABLE</t>
        </is>
      </c>
      <c r="K3304" s="16" t="b">
        <v>1</v>
      </c>
      <c r="L3304" s="16" t="b">
        <v>0</v>
      </c>
      <c r="M3304" s="16" t="b">
        <v>1</v>
      </c>
      <c r="N3304" s="16" t="b">
        <v>0</v>
      </c>
      <c r="O3304" s="16" t="n">
        <v>623.15</v>
      </c>
      <c r="P3304" s="16" t="n">
        <v>290.8687457477053</v>
      </c>
      <c r="Q3304" s="16" t="n">
        <v>4771.007239830573</v>
      </c>
      <c r="R3304" s="16" t="n">
        <v>1323.993703260858</v>
      </c>
      <c r="S3304" s="16" t="n">
        <v>0.5774542719028098</v>
      </c>
      <c r="T3304" s="16" t="n">
        <v>0.6568518201656446</v>
      </c>
      <c r="U3304" s="16" t="n">
        <v>0.4419190139429327</v>
      </c>
      <c r="V3304" s="16" t="n">
        <v>0.4622885694552388</v>
      </c>
      <c r="W3304" s="16" t="n">
        <v>0.9382370969608936</v>
      </c>
      <c r="X3304" s="16" t="n">
        <v>0.5101768328729852</v>
      </c>
      <c r="Y3304" s="16" t="n">
        <v>290.8687457477053</v>
      </c>
      <c r="Z3304" s="16" t="n">
        <v>-4.57013846851362</v>
      </c>
      <c r="AA3304" s="16" t="n">
        <v>-35.4813172506844</v>
      </c>
      <c r="AB3304" s="16" t="n">
        <v>3447.013536569715</v>
      </c>
      <c r="AC3304" s="16" t="n">
        <v>3.603496926065496</v>
      </c>
      <c r="AD3304" s="16" t="inlineStr">
        <is>
          <t>O2,O3</t>
        </is>
      </c>
      <c r="AE3304" s="16" t="n"/>
    </row>
    <row r="3305">
      <c r="A3305" s="16" t="inlineStr">
        <is>
          <t>KF-M09-R0-T_fuente-0091</t>
        </is>
      </c>
      <c r="B3305" s="16" t="inlineStr">
        <is>
          <t>4.3</t>
        </is>
      </c>
      <c r="C3305" s="16" t="inlineStr">
        <is>
          <t>4.3 T_fuente</t>
        </is>
      </c>
      <c r="D3305" s="16" t="inlineStr">
        <is>
          <t>ronda 0</t>
        </is>
      </c>
      <c r="E3305" s="16" t="inlineStr">
        <is>
          <t>KF-M09</t>
        </is>
      </c>
      <c r="F3305" s="16" t="inlineStr">
        <is>
          <t>KF-M09-R0-T_fuente</t>
        </is>
      </c>
      <c r="G3305" s="16" t="inlineStr">
        <is>
          <t>B13-T_fuente</t>
        </is>
      </c>
      <c r="H3305" s="16" t="inlineStr">
        <is>
          <t>lhs</t>
        </is>
      </c>
      <c r="I3305" s="16" t="inlineStr">
        <is>
          <t>NO_CONVERGIO</t>
        </is>
      </c>
      <c r="J3305" s="16" t="inlineStr">
        <is>
          <t>NO_CONVERGIO</t>
        </is>
      </c>
      <c r="K3305" s="16" t="b">
        <v>0</v>
      </c>
      <c r="L3305" s="16" t="b">
        <v>0</v>
      </c>
      <c r="M3305" s="16" t="b">
        <v>0</v>
      </c>
      <c r="N3305" s="16" t="b">
        <v>0</v>
      </c>
      <c r="O3305" s="16" t="n">
        <v>623.15</v>
      </c>
      <c r="P3305" s="16" t="n">
        <v>292.5316375401303</v>
      </c>
      <c r="Q3305" s="16" t="n">
        <v>3030.438489078445</v>
      </c>
      <c r="R3305" s="16" t="n">
        <v>1749.006160823474</v>
      </c>
      <c r="S3305" s="16" t="n">
        <v>0.8010918158610952</v>
      </c>
      <c r="T3305" s="16" t="n">
        <v>0.4361619145826345</v>
      </c>
      <c r="U3305" s="16" t="n">
        <v>0.5073128173966395</v>
      </c>
      <c r="V3305" s="16" t="n">
        <v>0.7840425448114228</v>
      </c>
      <c r="W3305" s="16" t="n">
        <v>0.8490897905823109</v>
      </c>
      <c r="X3305" s="16" t="n">
        <v>0.5576369290628981</v>
      </c>
      <c r="Y3305" s="16" t="n">
        <v>292.5316375401303</v>
      </c>
      <c r="Z3305" s="16" t="n"/>
      <c r="AA3305" s="16" t="n"/>
      <c r="AB3305" s="16" t="n">
        <v>1281.432328254971</v>
      </c>
      <c r="AC3305" s="16" t="n">
        <v>1.732663130043889</v>
      </c>
      <c r="AD3305" s="16" t="n"/>
      <c r="AE3305" s="16" t="n"/>
    </row>
    <row r="3306">
      <c r="A3306" s="16" t="inlineStr">
        <is>
          <t>KF-M09-R0-T_fuente-0092</t>
        </is>
      </c>
      <c r="B3306" s="16" t="inlineStr">
        <is>
          <t>4.3</t>
        </is>
      </c>
      <c r="C3306" s="16" t="inlineStr">
        <is>
          <t>4.3 T_fuente</t>
        </is>
      </c>
      <c r="D3306" s="16" t="inlineStr">
        <is>
          <t>ronda 0</t>
        </is>
      </c>
      <c r="E3306" s="16" t="inlineStr">
        <is>
          <t>KF-M09</t>
        </is>
      </c>
      <c r="F3306" s="16" t="inlineStr">
        <is>
          <t>KF-M09-R0-T_fuente</t>
        </is>
      </c>
      <c r="G3306" s="16" t="inlineStr">
        <is>
          <t>B13-T_fuente</t>
        </is>
      </c>
      <c r="H3306" s="16" t="inlineStr">
        <is>
          <t>lhs</t>
        </is>
      </c>
      <c r="I3306" s="16" t="inlineStr">
        <is>
          <t>INVIABLE</t>
        </is>
      </c>
      <c r="J3306" s="16" t="inlineStr">
        <is>
          <t>INVIABLE</t>
        </is>
      </c>
      <c r="K3306" s="16" t="b">
        <v>1</v>
      </c>
      <c r="L3306" s="16" t="b">
        <v>0</v>
      </c>
      <c r="M3306" s="16" t="b">
        <v>1</v>
      </c>
      <c r="N3306" s="16" t="b">
        <v>0</v>
      </c>
      <c r="O3306" s="16" t="n">
        <v>623.15</v>
      </c>
      <c r="P3306" s="16" t="n">
        <v>302.8741859165165</v>
      </c>
      <c r="Q3306" s="16" t="n">
        <v>2649.62471045098</v>
      </c>
      <c r="R3306" s="16" t="n">
        <v>1638.196712351293</v>
      </c>
      <c r="S3306" s="16" t="n">
        <v>0.5192832416822388</v>
      </c>
      <c r="T3306" s="16" t="n">
        <v>0.4573815140759153</v>
      </c>
      <c r="U3306" s="16" t="n">
        <v>0.5819266809145424</v>
      </c>
      <c r="V3306" s="16" t="n">
        <v>0.6190938890153965</v>
      </c>
      <c r="W3306" s="16" t="n">
        <v>0.5478658276297727</v>
      </c>
      <c r="X3306" s="16" t="n">
        <v>0.4152661236918919</v>
      </c>
      <c r="Y3306" s="16" t="n">
        <v>302.8741859165165</v>
      </c>
      <c r="Z3306" s="16" t="n">
        <v>-4.64777913870808</v>
      </c>
      <c r="AA3306" s="16" t="n">
        <v>-39.51419261247218</v>
      </c>
      <c r="AB3306" s="16" t="n">
        <v>1011.427998099687</v>
      </c>
      <c r="AC3306" s="16" t="n">
        <v>1.617403264500507</v>
      </c>
      <c r="AD3306" s="16" t="inlineStr">
        <is>
          <t>O2,O3</t>
        </is>
      </c>
      <c r="AE3306" s="16" t="n"/>
    </row>
    <row r="3307">
      <c r="A3307" s="16" t="inlineStr">
        <is>
          <t>KF-M09-R0-T_fuente-0093</t>
        </is>
      </c>
      <c r="B3307" s="16" t="inlineStr">
        <is>
          <t>4.3</t>
        </is>
      </c>
      <c r="C3307" s="16" t="inlineStr">
        <is>
          <t>4.3 T_fuente</t>
        </is>
      </c>
      <c r="D3307" s="16" t="inlineStr">
        <is>
          <t>ronda 0</t>
        </is>
      </c>
      <c r="E3307" s="16" t="inlineStr">
        <is>
          <t>KF-M09</t>
        </is>
      </c>
      <c r="F3307" s="16" t="inlineStr">
        <is>
          <t>KF-M09-R0-T_fuente</t>
        </is>
      </c>
      <c r="G3307" s="16" t="inlineStr">
        <is>
          <t>B13-T_fuente</t>
        </is>
      </c>
      <c r="H3307" s="16" t="inlineStr">
        <is>
          <t>lhs</t>
        </is>
      </c>
      <c r="I3307" s="16" t="inlineStr">
        <is>
          <t>NO_CONVERGIO</t>
        </is>
      </c>
      <c r="J3307" s="16" t="inlineStr">
        <is>
          <t>NO_CONVERGIO</t>
        </is>
      </c>
      <c r="K3307" s="16" t="b">
        <v>0</v>
      </c>
      <c r="L3307" s="16" t="b">
        <v>0</v>
      </c>
      <c r="M3307" s="16" t="b">
        <v>0</v>
      </c>
      <c r="N3307" s="16" t="b">
        <v>0</v>
      </c>
      <c r="O3307" s="16" t="n">
        <v>623.15</v>
      </c>
      <c r="P3307" s="16" t="n">
        <v>301.2407405396475</v>
      </c>
      <c r="Q3307" s="16" t="n">
        <v>4364.983211788286</v>
      </c>
      <c r="R3307" s="16" t="n">
        <v>310.7610038109258</v>
      </c>
      <c r="S3307" s="16" t="n">
        <v>0.8266231293331089</v>
      </c>
      <c r="T3307" s="16" t="n">
        <v>0.7412721387133079</v>
      </c>
      <c r="U3307" s="16" t="n">
        <v>0.8379369279301631</v>
      </c>
      <c r="V3307" s="16" t="n">
        <v>0.8751716232416038</v>
      </c>
      <c r="W3307" s="16" t="n">
        <v>0.8855265781945584</v>
      </c>
      <c r="X3307" s="16" t="n">
        <v>0.4557775499347909</v>
      </c>
      <c r="Y3307" s="16" t="n">
        <v>301.2407405396475</v>
      </c>
      <c r="Z3307" s="16" t="n"/>
      <c r="AA3307" s="16" t="n"/>
      <c r="AB3307" s="16" t="n">
        <v>4054.22220797736</v>
      </c>
      <c r="AC3307" s="16" t="n">
        <v>14.04610989879555</v>
      </c>
      <c r="AD3307" s="16" t="n"/>
      <c r="AE3307" s="16" t="n"/>
    </row>
    <row r="3308">
      <c r="A3308" s="16" t="inlineStr">
        <is>
          <t>KF-M09-R0-T_fuente-0094</t>
        </is>
      </c>
      <c r="B3308" s="16" t="inlineStr">
        <is>
          <t>4.3</t>
        </is>
      </c>
      <c r="C3308" s="16" t="inlineStr">
        <is>
          <t>4.3 T_fuente</t>
        </is>
      </c>
      <c r="D3308" s="16" t="inlineStr">
        <is>
          <t>ronda 0</t>
        </is>
      </c>
      <c r="E3308" s="16" t="inlineStr">
        <is>
          <t>KF-M09</t>
        </is>
      </c>
      <c r="F3308" s="16" t="inlineStr">
        <is>
          <t>KF-M09-R0-T_fuente</t>
        </is>
      </c>
      <c r="G3308" s="16" t="inlineStr">
        <is>
          <t>B13-T_fuente</t>
        </is>
      </c>
      <c r="H3308" s="16" t="inlineStr">
        <is>
          <t>lhs</t>
        </is>
      </c>
      <c r="I3308" s="16" t="inlineStr">
        <is>
          <t>NO_CONVERGIO</t>
        </is>
      </c>
      <c r="J3308" s="16" t="inlineStr">
        <is>
          <t>NO_CONVERGIO</t>
        </is>
      </c>
      <c r="K3308" s="16" t="b">
        <v>0</v>
      </c>
      <c r="L3308" s="16" t="b">
        <v>0</v>
      </c>
      <c r="M3308" s="16" t="b">
        <v>0</v>
      </c>
      <c r="N3308" s="16" t="b">
        <v>0</v>
      </c>
      <c r="O3308" s="16" t="n">
        <v>623.15</v>
      </c>
      <c r="P3308" s="16" t="n">
        <v>291.930991295124</v>
      </c>
      <c r="Q3308" s="16" t="n">
        <v>2771.459942454632</v>
      </c>
      <c r="R3308" s="16" t="n">
        <v>1846.417232010296</v>
      </c>
      <c r="S3308" s="16" t="n">
        <v>0.8176745651890991</v>
      </c>
      <c r="T3308" s="16" t="n">
        <v>0.7747382303955705</v>
      </c>
      <c r="U3308" s="16" t="n">
        <v>0.6316344273998077</v>
      </c>
      <c r="V3308" s="16" t="n">
        <v>0.9166877011942712</v>
      </c>
      <c r="W3308" s="16" t="n">
        <v>0.8803377782292201</v>
      </c>
      <c r="X3308" s="16" t="n">
        <v>0.4240674706224195</v>
      </c>
      <c r="Y3308" s="16" t="n">
        <v>291.930991295124</v>
      </c>
      <c r="Z3308" s="16" t="n"/>
      <c r="AA3308" s="16" t="n"/>
      <c r="AB3308" s="16" t="n">
        <v>925.042710444336</v>
      </c>
      <c r="AC3308" s="16" t="n">
        <v>1.500993326106035</v>
      </c>
      <c r="AD3308" s="16" t="n"/>
      <c r="AE3308" s="16" t="n"/>
    </row>
    <row r="3309">
      <c r="A3309" s="16" t="inlineStr">
        <is>
          <t>KF-M09-R0-T_fuente-0095</t>
        </is>
      </c>
      <c r="B3309" s="16" t="inlineStr">
        <is>
          <t>4.3</t>
        </is>
      </c>
      <c r="C3309" s="16" t="inlineStr">
        <is>
          <t>4.3 T_fuente</t>
        </is>
      </c>
      <c r="D3309" s="16" t="inlineStr">
        <is>
          <t>ronda 0</t>
        </is>
      </c>
      <c r="E3309" s="16" t="inlineStr">
        <is>
          <t>KF-M09</t>
        </is>
      </c>
      <c r="F3309" s="16" t="inlineStr">
        <is>
          <t>KF-M09-R0-T_fuente</t>
        </is>
      </c>
      <c r="G3309" s="16" t="inlineStr">
        <is>
          <t>B13-T_fuente</t>
        </is>
      </c>
      <c r="H3309" s="16" t="inlineStr">
        <is>
          <t>lhs</t>
        </is>
      </c>
      <c r="I3309" s="16" t="inlineStr">
        <is>
          <t>INVIABLE</t>
        </is>
      </c>
      <c r="J3309" s="16" t="inlineStr">
        <is>
          <t>INVIABLE</t>
        </is>
      </c>
      <c r="K3309" s="16" t="b">
        <v>1</v>
      </c>
      <c r="L3309" s="16" t="b">
        <v>0</v>
      </c>
      <c r="M3309" s="16" t="b">
        <v>1</v>
      </c>
      <c r="N3309" s="16" t="b">
        <v>0</v>
      </c>
      <c r="O3309" s="16" t="n">
        <v>623.15</v>
      </c>
      <c r="P3309" s="16" t="n">
        <v>287.4501929995748</v>
      </c>
      <c r="Q3309" s="16" t="n">
        <v>2308.085894579523</v>
      </c>
      <c r="R3309" s="16" t="n">
        <v>1935.692557992732</v>
      </c>
      <c r="S3309" s="16" t="n">
        <v>0.5352797601568945</v>
      </c>
      <c r="T3309" s="16" t="n">
        <v>0.452079439821191</v>
      </c>
      <c r="U3309" s="16" t="n">
        <v>0.6696298904480331</v>
      </c>
      <c r="V3309" s="16" t="n">
        <v>0.5718346007636531</v>
      </c>
      <c r="W3309" s="16" t="n">
        <v>0.8344958241561286</v>
      </c>
      <c r="X3309" s="16" t="n">
        <v>0.5062084139531672</v>
      </c>
      <c r="Y3309" s="16" t="n">
        <v>287.4501929995748</v>
      </c>
      <c r="Z3309" s="16" t="n">
        <v>-0.37658253431477</v>
      </c>
      <c r="AA3309" s="16" t="n">
        <v>-3.758652491677936</v>
      </c>
      <c r="AB3309" s="16" t="n">
        <v>372.3933365867911</v>
      </c>
      <c r="AC3309" s="16" t="n">
        <v>1.192382480910581</v>
      </c>
      <c r="AD3309" s="16" t="inlineStr">
        <is>
          <t>O2,O3</t>
        </is>
      </c>
      <c r="AE3309" s="16" t="n"/>
    </row>
    <row r="3310">
      <c r="A3310" s="16" t="inlineStr">
        <is>
          <t>KF-M09-R0-T_fuente-0096</t>
        </is>
      </c>
      <c r="B3310" s="16" t="inlineStr">
        <is>
          <t>4.3</t>
        </is>
      </c>
      <c r="C3310" s="16" t="inlineStr">
        <is>
          <t>4.3 T_fuente</t>
        </is>
      </c>
      <c r="D3310" s="16" t="inlineStr">
        <is>
          <t>ronda 0</t>
        </is>
      </c>
      <c r="E3310" s="16" t="inlineStr">
        <is>
          <t>KF-M09</t>
        </is>
      </c>
      <c r="F3310" s="16" t="inlineStr">
        <is>
          <t>KF-M09-R0-T_fuente</t>
        </is>
      </c>
      <c r="G3310" s="16" t="inlineStr">
        <is>
          <t>B13-T_fuente</t>
        </is>
      </c>
      <c r="H3310" s="16" t="inlineStr">
        <is>
          <t>lhs</t>
        </is>
      </c>
      <c r="I3310" s="16" t="inlineStr">
        <is>
          <t>KALINA</t>
        </is>
      </c>
      <c r="J3310" s="16" t="inlineStr">
        <is>
          <t>KALINA</t>
        </is>
      </c>
      <c r="K3310" s="16" t="b">
        <v>1</v>
      </c>
      <c r="L3310" s="16" t="b">
        <v>0</v>
      </c>
      <c r="M3310" s="16" t="b">
        <v>1</v>
      </c>
      <c r="N3310" s="16" t="b">
        <v>0</v>
      </c>
      <c r="O3310" s="16" t="n">
        <v>623.15</v>
      </c>
      <c r="P3310" s="16" t="n">
        <v>296.9247784517756</v>
      </c>
      <c r="Q3310" s="16" t="n">
        <v>3788.940717216946</v>
      </c>
      <c r="R3310" s="16" t="n">
        <v>965.4574239798276</v>
      </c>
      <c r="S3310" s="16" t="n">
        <v>0.5444081776042038</v>
      </c>
      <c r="T3310" s="16" t="n">
        <v>0.7245068437565136</v>
      </c>
      <c r="U3310" s="16" t="n">
        <v>0.9498902193027984</v>
      </c>
      <c r="V3310" s="16" t="n">
        <v>0.4931733932823575</v>
      </c>
      <c r="W3310" s="16" t="n">
        <v>0.6519775838001804</v>
      </c>
      <c r="X3310" s="16" t="n">
        <v>0.9028513710885208</v>
      </c>
      <c r="Y3310" s="16" t="n">
        <v>296.9247784517756</v>
      </c>
      <c r="Z3310" s="16" t="n">
        <v>8.111642374092281</v>
      </c>
      <c r="AA3310" s="16" t="n">
        <v>95.97152800750138</v>
      </c>
      <c r="AB3310" s="16" t="n">
        <v>2823.483293237118</v>
      </c>
      <c r="AC3310" s="16" t="n">
        <v>3.924503166175987</v>
      </c>
      <c r="AD3310" s="16" t="n"/>
      <c r="AE3310" s="16" t="n"/>
    </row>
    <row r="3311">
      <c r="A3311" s="16" t="inlineStr">
        <is>
          <t>KF-M09-R0-T_fuente-0097</t>
        </is>
      </c>
      <c r="B3311" s="16" t="inlineStr">
        <is>
          <t>4.3</t>
        </is>
      </c>
      <c r="C3311" s="16" t="inlineStr">
        <is>
          <t>4.3 T_fuente</t>
        </is>
      </c>
      <c r="D3311" s="16" t="inlineStr">
        <is>
          <t>ronda 0</t>
        </is>
      </c>
      <c r="E3311" s="16" t="inlineStr">
        <is>
          <t>KF-M09</t>
        </is>
      </c>
      <c r="F3311" s="16" t="inlineStr">
        <is>
          <t>KF-M09-R0-T_fuente</t>
        </is>
      </c>
      <c r="G3311" s="16" t="inlineStr">
        <is>
          <t>B13-T_fuente</t>
        </is>
      </c>
      <c r="H3311" s="16" t="inlineStr">
        <is>
          <t>lhs</t>
        </is>
      </c>
      <c r="I3311" s="16" t="inlineStr">
        <is>
          <t>CORREGIBLE</t>
        </is>
      </c>
      <c r="J3311" s="16" t="inlineStr">
        <is>
          <t>CORREGIBLE</t>
        </is>
      </c>
      <c r="K3311" s="16" t="b">
        <v>1</v>
      </c>
      <c r="L3311" s="16" t="b">
        <v>0</v>
      </c>
      <c r="M3311" s="16" t="b">
        <v>1</v>
      </c>
      <c r="N3311" s="16" t="b">
        <v>0</v>
      </c>
      <c r="O3311" s="16" t="n">
        <v>623.15</v>
      </c>
      <c r="P3311" s="16" t="n">
        <v>282.9596629034883</v>
      </c>
      <c r="Q3311" s="16" t="n">
        <v>2926.779928024977</v>
      </c>
      <c r="R3311" s="16" t="n">
        <v>1536.351482015166</v>
      </c>
      <c r="S3311" s="16" t="n">
        <v>0.7366638572486636</v>
      </c>
      <c r="T3311" s="16" t="n">
        <v>0.7802772336573368</v>
      </c>
      <c r="U3311" s="16" t="n">
        <v>0.6224289733268602</v>
      </c>
      <c r="V3311" s="16" t="n">
        <v>0.7525473429359429</v>
      </c>
      <c r="W3311" s="16" t="n">
        <v>0.7792352150300363</v>
      </c>
      <c r="X3311" s="16" t="n">
        <v>0.8863992838492134</v>
      </c>
      <c r="Y3311" s="16" t="n">
        <v>282.9596629034883</v>
      </c>
      <c r="Z3311" s="16" t="n">
        <v>4.956200055083429</v>
      </c>
      <c r="AA3311" s="16" t="n">
        <v>84.96381285239724</v>
      </c>
      <c r="AB3311" s="16" t="n">
        <v>1390.428446009811</v>
      </c>
      <c r="AC3311" s="16" t="n">
        <v>1.905019757709378</v>
      </c>
      <c r="AD3311" s="16" t="inlineStr">
        <is>
          <t>O2</t>
        </is>
      </c>
      <c r="AE3311" s="16" t="n"/>
    </row>
    <row r="3312">
      <c r="A3312" s="16" t="inlineStr">
        <is>
          <t>KF-M09-R0-T_fuente-0098</t>
        </is>
      </c>
      <c r="B3312" s="16" t="inlineStr">
        <is>
          <t>4.3</t>
        </is>
      </c>
      <c r="C3312" s="16" t="inlineStr">
        <is>
          <t>4.3 T_fuente</t>
        </is>
      </c>
      <c r="D3312" s="16" t="inlineStr">
        <is>
          <t>ronda 0</t>
        </is>
      </c>
      <c r="E3312" s="16" t="inlineStr">
        <is>
          <t>KF-M09</t>
        </is>
      </c>
      <c r="F3312" s="16" t="inlineStr">
        <is>
          <t>KF-M09-R0-T_fuente</t>
        </is>
      </c>
      <c r="G3312" s="16" t="inlineStr">
        <is>
          <t>B13-T_fuente</t>
        </is>
      </c>
      <c r="H3312" s="16" t="inlineStr">
        <is>
          <t>lhs</t>
        </is>
      </c>
      <c r="I3312" s="16" t="inlineStr">
        <is>
          <t>CORREGIBLE</t>
        </is>
      </c>
      <c r="J3312" s="16" t="inlineStr">
        <is>
          <t>CORREGIBLE</t>
        </is>
      </c>
      <c r="K3312" s="16" t="b">
        <v>1</v>
      </c>
      <c r="L3312" s="16" t="b">
        <v>0</v>
      </c>
      <c r="M3312" s="16" t="b">
        <v>0</v>
      </c>
      <c r="N3312" s="16" t="b">
        <v>0</v>
      </c>
      <c r="O3312" s="16" t="n">
        <v>623.15</v>
      </c>
      <c r="P3312" s="16" t="n">
        <v>288.4890689612205</v>
      </c>
      <c r="Q3312" s="16" t="n">
        <v>3093.549445566448</v>
      </c>
      <c r="R3312" s="16" t="n">
        <v>1764.545055331969</v>
      </c>
      <c r="S3312" s="16" t="n">
        <v>0.7960045780393018</v>
      </c>
      <c r="T3312" s="16" t="n">
        <v>0.5056715300898147</v>
      </c>
      <c r="U3312" s="16" t="n">
        <v>0.5770624768232668</v>
      </c>
      <c r="V3312" s="16" t="n">
        <v>0.5438897674439686</v>
      </c>
      <c r="W3312" s="16" t="n">
        <v>0.8584183491725397</v>
      </c>
      <c r="X3312" s="16" t="n">
        <v>0.8201587962347465</v>
      </c>
      <c r="Y3312" s="16" t="n">
        <v>288.4890689612205</v>
      </c>
      <c r="Z3312" s="16" t="n">
        <v>2.95814228955137</v>
      </c>
      <c r="AA3312" s="16" t="n">
        <v>33.3629430018655</v>
      </c>
      <c r="AB3312" s="16" t="n">
        <v>1329.00439023448</v>
      </c>
      <c r="AC3312" s="16" t="n">
        <v>1.753171128285217</v>
      </c>
      <c r="AD3312" s="16" t="inlineStr">
        <is>
          <t>O2</t>
        </is>
      </c>
      <c r="AE3312" s="16" t="n"/>
    </row>
    <row r="3313">
      <c r="A3313" s="16" t="inlineStr">
        <is>
          <t>KF-M09-R0-T_fuente-0099</t>
        </is>
      </c>
      <c r="B3313" s="16" t="inlineStr">
        <is>
          <t>4.3</t>
        </is>
      </c>
      <c r="C3313" s="16" t="inlineStr">
        <is>
          <t>4.3 T_fuente</t>
        </is>
      </c>
      <c r="D3313" s="16" t="inlineStr">
        <is>
          <t>ronda 0</t>
        </is>
      </c>
      <c r="E3313" s="16" t="inlineStr">
        <is>
          <t>KF-M09</t>
        </is>
      </c>
      <c r="F3313" s="16" t="inlineStr">
        <is>
          <t>KF-M09-R0-T_fuente</t>
        </is>
      </c>
      <c r="G3313" s="16" t="inlineStr">
        <is>
          <t>B13-T_fuente</t>
        </is>
      </c>
      <c r="H3313" s="16" t="inlineStr">
        <is>
          <t>lhs</t>
        </is>
      </c>
      <c r="I3313" s="16" t="inlineStr">
        <is>
          <t>CORREGIBLE</t>
        </is>
      </c>
      <c r="J3313" s="16" t="inlineStr">
        <is>
          <t>CORREGIBLE</t>
        </is>
      </c>
      <c r="K3313" s="16" t="b">
        <v>1</v>
      </c>
      <c r="L3313" s="16" t="b">
        <v>0</v>
      </c>
      <c r="M3313" s="16" t="b">
        <v>1</v>
      </c>
      <c r="N3313" s="16" t="b">
        <v>0</v>
      </c>
      <c r="O3313" s="16" t="n">
        <v>623.15</v>
      </c>
      <c r="P3313" s="16" t="n">
        <v>293.8851075971544</v>
      </c>
      <c r="Q3313" s="16" t="n">
        <v>4626.755913366793</v>
      </c>
      <c r="R3313" s="16" t="n">
        <v>607.3993534189208</v>
      </c>
      <c r="S3313" s="16" t="n">
        <v>0.705997884356564</v>
      </c>
      <c r="T3313" s="16" t="n">
        <v>0.4279108968995906</v>
      </c>
      <c r="U3313" s="16" t="n">
        <v>0.6777781083470875</v>
      </c>
      <c r="V3313" s="16" t="n">
        <v>0.7053651711278284</v>
      </c>
      <c r="W3313" s="16" t="n">
        <v>0.5312323604832704</v>
      </c>
      <c r="X3313" s="16" t="n">
        <v>0.8674452898848017</v>
      </c>
      <c r="Y3313" s="16" t="n">
        <v>293.8851075971544</v>
      </c>
      <c r="Z3313" s="16" t="n">
        <v>6.51077204459493</v>
      </c>
      <c r="AA3313" s="16" t="n">
        <v>100.882420017722</v>
      </c>
      <c r="AB3313" s="16" t="n">
        <v>4019.356559947872</v>
      </c>
      <c r="AC3313" s="16" t="n">
        <v>7.617321104021227</v>
      </c>
      <c r="AD3313" s="16" t="inlineStr">
        <is>
          <t>O2</t>
        </is>
      </c>
      <c r="AE3313" s="16" t="n"/>
    </row>
    <row r="3314">
      <c r="A3314" s="16" t="inlineStr">
        <is>
          <t>KF-M09-R0-eficiencias-0000</t>
        </is>
      </c>
      <c r="B3314" s="16" t="inlineStr">
        <is>
          <t>4.3</t>
        </is>
      </c>
      <c r="C3314" s="16" t="inlineStr">
        <is>
          <t>4.3 eficiencias</t>
        </is>
      </c>
      <c r="D3314" s="16" t="inlineStr">
        <is>
          <t>ronda 0</t>
        </is>
      </c>
      <c r="E3314" s="16" t="inlineStr">
        <is>
          <t>KF-M09</t>
        </is>
      </c>
      <c r="F3314" s="16" t="inlineStr">
        <is>
          <t>KF-M09-R0-eficiencias</t>
        </is>
      </c>
      <c r="G3314" s="16" t="inlineStr">
        <is>
          <t>B13-eficiencias</t>
        </is>
      </c>
      <c r="H3314" s="16" t="inlineStr">
        <is>
          <t>lhs</t>
        </is>
      </c>
      <c r="I3314" s="16" t="inlineStr">
        <is>
          <t>CORREGIBLE</t>
        </is>
      </c>
      <c r="J3314" s="16" t="inlineStr">
        <is>
          <t>CORREGIBLE</t>
        </is>
      </c>
      <c r="K3314" s="16" t="b">
        <v>1</v>
      </c>
      <c r="L3314" s="16" t="b">
        <v>0</v>
      </c>
      <c r="M3314" s="16" t="b">
        <v>1</v>
      </c>
      <c r="N3314" s="16" t="b">
        <v>0</v>
      </c>
      <c r="O3314" s="16" t="n">
        <v>508.978937267675</v>
      </c>
      <c r="P3314" s="16" t="n">
        <v>286.2701850215268</v>
      </c>
      <c r="Q3314" s="16" t="n">
        <v>2509.111800733155</v>
      </c>
      <c r="R3314" s="16" t="n">
        <v>601.0472793382867</v>
      </c>
      <c r="S3314" s="16" t="n">
        <v>0.6304180770972321</v>
      </c>
      <c r="T3314" s="16" t="n">
        <v>0.85</v>
      </c>
      <c r="U3314" s="16" t="n">
        <v>0.75</v>
      </c>
      <c r="V3314" s="16" t="n">
        <v>0.85</v>
      </c>
      <c r="W3314" s="16" t="n">
        <v>0.75</v>
      </c>
      <c r="X3314" s="16" t="n">
        <v>0.8</v>
      </c>
      <c r="Y3314" s="16" t="n">
        <v>286.2701850215268</v>
      </c>
      <c r="Z3314" s="16" t="n">
        <v>9.965840640715449</v>
      </c>
      <c r="AA3314" s="16" t="n">
        <v>163.3635480445304</v>
      </c>
      <c r="AB3314" s="16" t="n">
        <v>1908.064521394868</v>
      </c>
      <c r="AC3314" s="16" t="n">
        <v>4.174566439258357</v>
      </c>
      <c r="AD3314" s="16" t="inlineStr">
        <is>
          <t>O2</t>
        </is>
      </c>
      <c r="AE3314" s="16" t="n"/>
    </row>
    <row r="3315">
      <c r="A3315" s="16" t="inlineStr">
        <is>
          <t>KF-M09-R0-eficiencias-0001</t>
        </is>
      </c>
      <c r="B3315" s="16" t="inlineStr">
        <is>
          <t>4.3</t>
        </is>
      </c>
      <c r="C3315" s="16" t="inlineStr">
        <is>
          <t>4.3 eficiencias</t>
        </is>
      </c>
      <c r="D3315" s="16" t="inlineStr">
        <is>
          <t>ronda 0</t>
        </is>
      </c>
      <c r="E3315" s="16" t="inlineStr">
        <is>
          <t>KF-M09</t>
        </is>
      </c>
      <c r="F3315" s="16" t="inlineStr">
        <is>
          <t>KF-M09-R0-eficiencias</t>
        </is>
      </c>
      <c r="G3315" s="16" t="inlineStr">
        <is>
          <t>B13-eficiencias</t>
        </is>
      </c>
      <c r="H3315" s="16" t="inlineStr">
        <is>
          <t>lhs</t>
        </is>
      </c>
      <c r="I3315" s="16" t="inlineStr">
        <is>
          <t>CORREGIBLE</t>
        </is>
      </c>
      <c r="J3315" s="16" t="inlineStr">
        <is>
          <t>CORREGIBLE</t>
        </is>
      </c>
      <c r="K3315" s="16" t="b">
        <v>1</v>
      </c>
      <c r="L3315" s="16" t="b">
        <v>0</v>
      </c>
      <c r="M3315" s="16" t="b">
        <v>1</v>
      </c>
      <c r="N3315" s="16" t="b">
        <v>0</v>
      </c>
      <c r="O3315" s="16" t="n">
        <v>463.855434366696</v>
      </c>
      <c r="P3315" s="16" t="n">
        <v>300.1586116880605</v>
      </c>
      <c r="Q3315" s="16" t="n">
        <v>2082.367266100714</v>
      </c>
      <c r="R3315" s="16" t="n">
        <v>1416.236445321354</v>
      </c>
      <c r="S3315" s="16" t="n">
        <v>0.5369060091428255</v>
      </c>
      <c r="T3315" s="16" t="n">
        <v>0.85</v>
      </c>
      <c r="U3315" s="16" t="n">
        <v>0.75</v>
      </c>
      <c r="V3315" s="16" t="n">
        <v>0.85</v>
      </c>
      <c r="W3315" s="16" t="n">
        <v>0.75</v>
      </c>
      <c r="X3315" s="16" t="n">
        <v>0.8</v>
      </c>
      <c r="Y3315" s="16" t="n">
        <v>300.1586116880605</v>
      </c>
      <c r="Z3315" s="16" t="n">
        <v>2.90030341147067</v>
      </c>
      <c r="AA3315" s="16" t="n">
        <v>46.19581831861044</v>
      </c>
      <c r="AB3315" s="16" t="n">
        <v>666.1308207793591</v>
      </c>
      <c r="AC3315" s="16" t="n">
        <v>1.470352830546038</v>
      </c>
      <c r="AD3315" s="16" t="inlineStr">
        <is>
          <t>O2</t>
        </is>
      </c>
      <c r="AE3315" s="16" t="n"/>
    </row>
    <row r="3316">
      <c r="A3316" s="16" t="inlineStr">
        <is>
          <t>KF-M09-R0-eficiencias-0002</t>
        </is>
      </c>
      <c r="B3316" s="16" t="inlineStr">
        <is>
          <t>4.3</t>
        </is>
      </c>
      <c r="C3316" s="16" t="inlineStr">
        <is>
          <t>4.3 eficiencias</t>
        </is>
      </c>
      <c r="D3316" s="16" t="inlineStr">
        <is>
          <t>ronda 0</t>
        </is>
      </c>
      <c r="E3316" s="16" t="inlineStr">
        <is>
          <t>KF-M09</t>
        </is>
      </c>
      <c r="F3316" s="16" t="inlineStr">
        <is>
          <t>KF-M09-R0-eficiencias</t>
        </is>
      </c>
      <c r="G3316" s="16" t="inlineStr">
        <is>
          <t>B13-eficiencias</t>
        </is>
      </c>
      <c r="H3316" s="16" t="inlineStr">
        <is>
          <t>lhs</t>
        </is>
      </c>
      <c r="I3316" s="16" t="inlineStr">
        <is>
          <t>KALINA</t>
        </is>
      </c>
      <c r="J3316" s="16" t="inlineStr">
        <is>
          <t>KALINA</t>
        </is>
      </c>
      <c r="K3316" s="16" t="b">
        <v>1</v>
      </c>
      <c r="L3316" s="16" t="b">
        <v>1</v>
      </c>
      <c r="M3316" s="16" t="b">
        <v>0</v>
      </c>
      <c r="N3316" s="16" t="b">
        <v>0</v>
      </c>
      <c r="O3316" s="16" t="n">
        <v>391.704010770346</v>
      </c>
      <c r="P3316" s="16" t="n">
        <v>282.6814791696683</v>
      </c>
      <c r="Q3316" s="16" t="n">
        <v>3279.166945043987</v>
      </c>
      <c r="R3316" s="16" t="n">
        <v>1881.086180424595</v>
      </c>
      <c r="S3316" s="16" t="n">
        <v>0.653564549910219</v>
      </c>
      <c r="T3316" s="16" t="n">
        <v>0.85</v>
      </c>
      <c r="U3316" s="16" t="n">
        <v>0.75</v>
      </c>
      <c r="V3316" s="16" t="n">
        <v>0.85</v>
      </c>
      <c r="W3316" s="16" t="n">
        <v>0.75</v>
      </c>
      <c r="X3316" s="16" t="n">
        <v>0.8</v>
      </c>
      <c r="Y3316" s="16" t="n">
        <v>282.6814791696683</v>
      </c>
      <c r="Z3316" s="16" t="n">
        <v>3.84837791036489</v>
      </c>
      <c r="AA3316" s="16" t="n">
        <v>18.56167806267417</v>
      </c>
      <c r="AB3316" s="16" t="n">
        <v>1398.080764619392</v>
      </c>
      <c r="AC3316" s="16" t="n">
        <v>1.743230575594266</v>
      </c>
      <c r="AD3316" s="16" t="n"/>
      <c r="AE3316" s="16" t="n"/>
    </row>
    <row r="3317">
      <c r="A3317" s="16" t="inlineStr">
        <is>
          <t>KF-M09-R0-eficiencias-0003</t>
        </is>
      </c>
      <c r="B3317" s="16" t="inlineStr">
        <is>
          <t>4.3</t>
        </is>
      </c>
      <c r="C3317" s="16" t="inlineStr">
        <is>
          <t>4.3 eficiencias</t>
        </is>
      </c>
      <c r="D3317" s="16" t="inlineStr">
        <is>
          <t>ronda 0</t>
        </is>
      </c>
      <c r="E3317" s="16" t="inlineStr">
        <is>
          <t>KF-M09</t>
        </is>
      </c>
      <c r="F3317" s="16" t="inlineStr">
        <is>
          <t>KF-M09-R0-eficiencias</t>
        </is>
      </c>
      <c r="G3317" s="16" t="inlineStr">
        <is>
          <t>B13-eficiencias</t>
        </is>
      </c>
      <c r="H3317" s="16" t="inlineStr">
        <is>
          <t>lhs</t>
        </is>
      </c>
      <c r="I3317" s="16" t="inlineStr">
        <is>
          <t>CORREGIBLE</t>
        </is>
      </c>
      <c r="J3317" s="16" t="inlineStr">
        <is>
          <t>CORREGIBLE</t>
        </is>
      </c>
      <c r="K3317" s="16" t="b">
        <v>1</v>
      </c>
      <c r="L3317" s="16" t="b">
        <v>0</v>
      </c>
      <c r="M3317" s="16" t="b">
        <v>1</v>
      </c>
      <c r="N3317" s="16" t="b">
        <v>0</v>
      </c>
      <c r="O3317" s="16" t="n">
        <v>465.5042022106815</v>
      </c>
      <c r="P3317" s="16" t="n">
        <v>301.1939397869653</v>
      </c>
      <c r="Q3317" s="16" t="n">
        <v>4267.683720770512</v>
      </c>
      <c r="R3317" s="16" t="n">
        <v>1796.532134749605</v>
      </c>
      <c r="S3317" s="16" t="n">
        <v>0.6902562162417341</v>
      </c>
      <c r="T3317" s="16" t="n">
        <v>0.85</v>
      </c>
      <c r="U3317" s="16" t="n">
        <v>0.75</v>
      </c>
      <c r="V3317" s="16" t="n">
        <v>0.85</v>
      </c>
      <c r="W3317" s="16" t="n">
        <v>0.75</v>
      </c>
      <c r="X3317" s="16" t="n">
        <v>0.8</v>
      </c>
      <c r="Y3317" s="16" t="n">
        <v>301.1939397869653</v>
      </c>
      <c r="Z3317" s="16" t="n">
        <v>7.30457471537856</v>
      </c>
      <c r="AA3317" s="16" t="n">
        <v>99.31137657785148</v>
      </c>
      <c r="AB3317" s="16" t="n">
        <v>2471.151586020907</v>
      </c>
      <c r="AC3317" s="16" t="n">
        <v>2.375512042463592</v>
      </c>
      <c r="AD3317" s="16" t="inlineStr">
        <is>
          <t>O2</t>
        </is>
      </c>
      <c r="AE3317" s="16" t="n"/>
    </row>
    <row r="3318">
      <c r="A3318" s="16" t="inlineStr">
        <is>
          <t>KF-M09-R0-eficiencias-0004</t>
        </is>
      </c>
      <c r="B3318" s="16" t="inlineStr">
        <is>
          <t>4.3</t>
        </is>
      </c>
      <c r="C3318" s="16" t="inlineStr">
        <is>
          <t>4.3 eficiencias</t>
        </is>
      </c>
      <c r="D3318" s="16" t="inlineStr">
        <is>
          <t>ronda 0</t>
        </is>
      </c>
      <c r="E3318" s="16" t="inlineStr">
        <is>
          <t>KF-M09</t>
        </is>
      </c>
      <c r="F3318" s="16" t="inlineStr">
        <is>
          <t>KF-M09-R0-eficiencias</t>
        </is>
      </c>
      <c r="G3318" s="16" t="inlineStr">
        <is>
          <t>B13-eficiencias</t>
        </is>
      </c>
      <c r="H3318" s="16" t="inlineStr">
        <is>
          <t>lhs</t>
        </is>
      </c>
      <c r="I3318" s="16" t="inlineStr">
        <is>
          <t>NO_CONVERGIO</t>
        </is>
      </c>
      <c r="J3318" s="16" t="inlineStr">
        <is>
          <t>NO_CONVERGIO</t>
        </is>
      </c>
      <c r="K3318" s="16" t="b">
        <v>0</v>
      </c>
      <c r="L3318" s="16" t="b">
        <v>0</v>
      </c>
      <c r="M3318" s="16" t="b">
        <v>0</v>
      </c>
      <c r="N3318" s="16" t="b">
        <v>0</v>
      </c>
      <c r="O3318" s="16" t="n">
        <v>512.4985434437014</v>
      </c>
      <c r="P3318" s="16" t="n">
        <v>302.6847119870698</v>
      </c>
      <c r="Q3318" s="16" t="n">
        <v>3079.66433015322</v>
      </c>
      <c r="R3318" s="16" t="n">
        <v>409.3236881417207</v>
      </c>
      <c r="S3318" s="16" t="n">
        <v>0.8476615688556338</v>
      </c>
      <c r="T3318" s="16" t="n">
        <v>0.85</v>
      </c>
      <c r="U3318" s="16" t="n">
        <v>0.75</v>
      </c>
      <c r="V3318" s="16" t="n">
        <v>0.85</v>
      </c>
      <c r="W3318" s="16" t="n">
        <v>0.75</v>
      </c>
      <c r="X3318" s="16" t="n">
        <v>0.8</v>
      </c>
      <c r="Y3318" s="16" t="n">
        <v>302.6847119870698</v>
      </c>
      <c r="Z3318" s="16" t="n"/>
      <c r="AA3318" s="16" t="n"/>
      <c r="AB3318" s="16" t="n">
        <v>2670.3406420115</v>
      </c>
      <c r="AC3318" s="16" t="n">
        <v>7.523787211374251</v>
      </c>
      <c r="AD3318" s="16" t="n"/>
      <c r="AE3318" s="16" t="n"/>
    </row>
    <row r="3319">
      <c r="A3319" s="16" t="inlineStr">
        <is>
          <t>KF-M09-R0-eficiencias-0005</t>
        </is>
      </c>
      <c r="B3319" s="16" t="inlineStr">
        <is>
          <t>4.3</t>
        </is>
      </c>
      <c r="C3319" s="16" t="inlineStr">
        <is>
          <t>4.3 eficiencias</t>
        </is>
      </c>
      <c r="D3319" s="16" t="inlineStr">
        <is>
          <t>ronda 0</t>
        </is>
      </c>
      <c r="E3319" s="16" t="inlineStr">
        <is>
          <t>KF-M09</t>
        </is>
      </c>
      <c r="F3319" s="16" t="inlineStr">
        <is>
          <t>KF-M09-R0-eficiencias</t>
        </is>
      </c>
      <c r="G3319" s="16" t="inlineStr">
        <is>
          <t>B13-eficiencias</t>
        </is>
      </c>
      <c r="H3319" s="16" t="inlineStr">
        <is>
          <t>lhs</t>
        </is>
      </c>
      <c r="I3319" s="16" t="inlineStr">
        <is>
          <t>CORREGIBLE</t>
        </is>
      </c>
      <c r="J3319" s="16" t="inlineStr">
        <is>
          <t>CORREGIBLE</t>
        </is>
      </c>
      <c r="K3319" s="16" t="b">
        <v>1</v>
      </c>
      <c r="L3319" s="16" t="b">
        <v>0</v>
      </c>
      <c r="M3319" s="16" t="b">
        <v>1</v>
      </c>
      <c r="N3319" s="16" t="b">
        <v>0</v>
      </c>
      <c r="O3319" s="16" t="n">
        <v>476.6264803659936</v>
      </c>
      <c r="P3319" s="16" t="n">
        <v>284.8596969362342</v>
      </c>
      <c r="Q3319" s="16" t="n">
        <v>2627.07507803935</v>
      </c>
      <c r="R3319" s="16" t="n">
        <v>327.0278707054507</v>
      </c>
      <c r="S3319" s="16" t="n">
        <v>0.7211728739932921</v>
      </c>
      <c r="T3319" s="16" t="n">
        <v>0.85</v>
      </c>
      <c r="U3319" s="16" t="n">
        <v>0.75</v>
      </c>
      <c r="V3319" s="16" t="n">
        <v>0.85</v>
      </c>
      <c r="W3319" s="16" t="n">
        <v>0.75</v>
      </c>
      <c r="X3319" s="16" t="n">
        <v>0.8</v>
      </c>
      <c r="Y3319" s="16" t="n">
        <v>284.8596969362342</v>
      </c>
      <c r="Z3319" s="16" t="n">
        <v>10.67343901926857</v>
      </c>
      <c r="AA3319" s="16" t="n">
        <v>121.558304729437</v>
      </c>
      <c r="AB3319" s="16" t="n">
        <v>2300.047207333899</v>
      </c>
      <c r="AC3319" s="16" t="n">
        <v>8.033184059732692</v>
      </c>
      <c r="AD3319" s="16" t="inlineStr">
        <is>
          <t>O2</t>
        </is>
      </c>
      <c r="AE3319" s="16" t="n"/>
    </row>
    <row r="3320">
      <c r="A3320" s="16" t="inlineStr">
        <is>
          <t>KF-M09-R0-eficiencias-0006</t>
        </is>
      </c>
      <c r="B3320" s="16" t="inlineStr">
        <is>
          <t>4.3</t>
        </is>
      </c>
      <c r="C3320" s="16" t="inlineStr">
        <is>
          <t>4.3 eficiencias</t>
        </is>
      </c>
      <c r="D3320" s="16" t="inlineStr">
        <is>
          <t>ronda 0</t>
        </is>
      </c>
      <c r="E3320" s="16" t="inlineStr">
        <is>
          <t>KF-M09</t>
        </is>
      </c>
      <c r="F3320" s="16" t="inlineStr">
        <is>
          <t>KF-M09-R0-eficiencias</t>
        </is>
      </c>
      <c r="G3320" s="16" t="inlineStr">
        <is>
          <t>B13-eficiencias</t>
        </is>
      </c>
      <c r="H3320" s="16" t="inlineStr">
        <is>
          <t>lhs</t>
        </is>
      </c>
      <c r="I3320" s="16" t="inlineStr">
        <is>
          <t>CORREGIBLE</t>
        </is>
      </c>
      <c r="J3320" s="16" t="inlineStr">
        <is>
          <t>CORREGIBLE</t>
        </is>
      </c>
      <c r="K3320" s="16" t="b">
        <v>1</v>
      </c>
      <c r="L3320" s="16" t="b">
        <v>0</v>
      </c>
      <c r="M3320" s="16" t="b">
        <v>0</v>
      </c>
      <c r="N3320" s="16" t="b">
        <v>0</v>
      </c>
      <c r="O3320" s="16" t="n">
        <v>416.5229907137012</v>
      </c>
      <c r="P3320" s="16" t="n">
        <v>292.0637977466313</v>
      </c>
      <c r="Q3320" s="16" t="n">
        <v>2431.12757178197</v>
      </c>
      <c r="R3320" s="16" t="n">
        <v>475.5762742747091</v>
      </c>
      <c r="S3320" s="16" t="n">
        <v>0.8343047620051905</v>
      </c>
      <c r="T3320" s="16" t="n">
        <v>0.85</v>
      </c>
      <c r="U3320" s="16" t="n">
        <v>0.75</v>
      </c>
      <c r="V3320" s="16" t="n">
        <v>0.85</v>
      </c>
      <c r="W3320" s="16" t="n">
        <v>0.75</v>
      </c>
      <c r="X3320" s="16" t="n">
        <v>0.8</v>
      </c>
      <c r="Y3320" s="16" t="n">
        <v>292.0637977466313</v>
      </c>
      <c r="Z3320" s="16" t="n">
        <v>2.22438041980561</v>
      </c>
      <c r="AA3320" s="16" t="n">
        <v>12.3343291869783</v>
      </c>
      <c r="AB3320" s="16" t="n">
        <v>1955.551297507261</v>
      </c>
      <c r="AC3320" s="16" t="n">
        <v>5.111961431401575</v>
      </c>
      <c r="AD3320" s="16" t="inlineStr">
        <is>
          <t>O2</t>
        </is>
      </c>
      <c r="AE3320" s="16" t="n"/>
    </row>
    <row r="3321">
      <c r="A3321" s="16" t="inlineStr">
        <is>
          <t>KF-M09-R0-eficiencias-0007</t>
        </is>
      </c>
      <c r="B3321" s="16" t="inlineStr">
        <is>
          <t>4.3</t>
        </is>
      </c>
      <c r="C3321" s="16" t="inlineStr">
        <is>
          <t>4.3 eficiencias</t>
        </is>
      </c>
      <c r="D3321" s="16" t="inlineStr">
        <is>
          <t>ronda 0</t>
        </is>
      </c>
      <c r="E3321" s="16" t="inlineStr">
        <is>
          <t>KF-M09</t>
        </is>
      </c>
      <c r="F3321" s="16" t="inlineStr">
        <is>
          <t>KF-M09-R0-eficiencias</t>
        </is>
      </c>
      <c r="G3321" s="16" t="inlineStr">
        <is>
          <t>B13-eficiencias</t>
        </is>
      </c>
      <c r="H3321" s="16" t="inlineStr">
        <is>
          <t>lhs</t>
        </is>
      </c>
      <c r="I3321" s="16" t="inlineStr">
        <is>
          <t>CORREGIBLE</t>
        </is>
      </c>
      <c r="J3321" s="16" t="inlineStr">
        <is>
          <t>CORREGIBLE</t>
        </is>
      </c>
      <c r="K3321" s="16" t="b">
        <v>1</v>
      </c>
      <c r="L3321" s="16" t="b">
        <v>0</v>
      </c>
      <c r="M3321" s="16" t="b">
        <v>1</v>
      </c>
      <c r="N3321" s="16" t="b">
        <v>0</v>
      </c>
      <c r="O3321" s="16" t="n">
        <v>433.2327974805978</v>
      </c>
      <c r="P3321" s="16" t="n">
        <v>296.7686074332432</v>
      </c>
      <c r="Q3321" s="16" t="n">
        <v>3372.529864140196</v>
      </c>
      <c r="R3321" s="16" t="n">
        <v>1128.54482183143</v>
      </c>
      <c r="S3321" s="16" t="n">
        <v>0.5981305412378762</v>
      </c>
      <c r="T3321" s="16" t="n">
        <v>0.85</v>
      </c>
      <c r="U3321" s="16" t="n">
        <v>0.75</v>
      </c>
      <c r="V3321" s="16" t="n">
        <v>0.85</v>
      </c>
      <c r="W3321" s="16" t="n">
        <v>0.75</v>
      </c>
      <c r="X3321" s="16" t="n">
        <v>0.8</v>
      </c>
      <c r="Y3321" s="16" t="n">
        <v>296.7686074332432</v>
      </c>
      <c r="Z3321" s="16" t="n">
        <v>8.631645506130051</v>
      </c>
      <c r="AA3321" s="16" t="n">
        <v>69.7814217056619</v>
      </c>
      <c r="AB3321" s="16" t="n">
        <v>2243.985042308765</v>
      </c>
      <c r="AC3321" s="16" t="n">
        <v>2.98838805415559</v>
      </c>
      <c r="AD3321" s="16" t="inlineStr">
        <is>
          <t>O2</t>
        </is>
      </c>
      <c r="AE3321" s="16" t="n"/>
    </row>
    <row r="3322">
      <c r="A3322" s="16" t="inlineStr">
        <is>
          <t>KF-M09-R0-eficiencias-0008</t>
        </is>
      </c>
      <c r="B3322" s="16" t="inlineStr">
        <is>
          <t>4.3</t>
        </is>
      </c>
      <c r="C3322" s="16" t="inlineStr">
        <is>
          <t>4.3 eficiencias</t>
        </is>
      </c>
      <c r="D3322" s="16" t="inlineStr">
        <is>
          <t>ronda 0</t>
        </is>
      </c>
      <c r="E3322" s="16" t="inlineStr">
        <is>
          <t>KF-M09</t>
        </is>
      </c>
      <c r="F3322" s="16" t="inlineStr">
        <is>
          <t>KF-M09-R0-eficiencias</t>
        </is>
      </c>
      <c r="G3322" s="16" t="inlineStr">
        <is>
          <t>B13-eficiencias</t>
        </is>
      </c>
      <c r="H3322" s="16" t="inlineStr">
        <is>
          <t>lhs</t>
        </is>
      </c>
      <c r="I3322" s="16" t="inlineStr">
        <is>
          <t>CORREGIBLE</t>
        </is>
      </c>
      <c r="J3322" s="16" t="inlineStr">
        <is>
          <t>CORREGIBLE</t>
        </is>
      </c>
      <c r="K3322" s="16" t="b">
        <v>1</v>
      </c>
      <c r="L3322" s="16" t="b">
        <v>0</v>
      </c>
      <c r="M3322" s="16" t="b">
        <v>0</v>
      </c>
      <c r="N3322" s="16" t="b">
        <v>0</v>
      </c>
      <c r="O3322" s="16" t="n">
        <v>399.9360202579078</v>
      </c>
      <c r="P3322" s="16" t="n">
        <v>298.6242221180181</v>
      </c>
      <c r="Q3322" s="16" t="n">
        <v>2106.640332925182</v>
      </c>
      <c r="R3322" s="16" t="n">
        <v>1065.918773305108</v>
      </c>
      <c r="S3322" s="16" t="n">
        <v>0.6558052278610278</v>
      </c>
      <c r="T3322" s="16" t="n">
        <v>0.85</v>
      </c>
      <c r="U3322" s="16" t="n">
        <v>0.75</v>
      </c>
      <c r="V3322" s="16" t="n">
        <v>0.85</v>
      </c>
      <c r="W3322" s="16" t="n">
        <v>0.75</v>
      </c>
      <c r="X3322" s="16" t="n">
        <v>0.8</v>
      </c>
      <c r="Y3322" s="16" t="n">
        <v>298.6242221180181</v>
      </c>
      <c r="Z3322" s="16" t="n">
        <v>5.76214789114997</v>
      </c>
      <c r="AA3322" s="16" t="n">
        <v>42.4383986316116</v>
      </c>
      <c r="AB3322" s="16" t="n">
        <v>1040.721559620073</v>
      </c>
      <c r="AC3322" s="16" t="n">
        <v>1.976361037711245</v>
      </c>
      <c r="AD3322" s="16" t="inlineStr">
        <is>
          <t>O2</t>
        </is>
      </c>
      <c r="AE3322" s="16" t="n"/>
    </row>
    <row r="3323">
      <c r="A3323" s="16" t="inlineStr">
        <is>
          <t>KF-M09-R0-eficiencias-0009</t>
        </is>
      </c>
      <c r="B3323" s="16" t="inlineStr">
        <is>
          <t>4.3</t>
        </is>
      </c>
      <c r="C3323" s="16" t="inlineStr">
        <is>
          <t>4.3 eficiencias</t>
        </is>
      </c>
      <c r="D3323" s="16" t="inlineStr">
        <is>
          <t>ronda 0</t>
        </is>
      </c>
      <c r="E3323" s="16" t="inlineStr">
        <is>
          <t>KF-M09</t>
        </is>
      </c>
      <c r="F3323" s="16" t="inlineStr">
        <is>
          <t>KF-M09-R0-eficiencias</t>
        </is>
      </c>
      <c r="G3323" s="16" t="inlineStr">
        <is>
          <t>B13-eficiencias</t>
        </is>
      </c>
      <c r="H3323" s="16" t="inlineStr">
        <is>
          <t>lhs</t>
        </is>
      </c>
      <c r="I3323" s="16" t="inlineStr">
        <is>
          <t>CORREGIBLE</t>
        </is>
      </c>
      <c r="J3323" s="16" t="inlineStr">
        <is>
          <t>CORREGIBLE</t>
        </is>
      </c>
      <c r="K3323" s="16" t="b">
        <v>1</v>
      </c>
      <c r="L3323" s="16" t="b">
        <v>0</v>
      </c>
      <c r="M3323" s="16" t="b">
        <v>1</v>
      </c>
      <c r="N3323" s="16" t="b">
        <v>0</v>
      </c>
      <c r="O3323" s="16" t="n">
        <v>482.8722833285536</v>
      </c>
      <c r="P3323" s="16" t="n">
        <v>292.9022541501005</v>
      </c>
      <c r="Q3323" s="16" t="n">
        <v>3505.306108298808</v>
      </c>
      <c r="R3323" s="16" t="n">
        <v>1375.670175023272</v>
      </c>
      <c r="S3323" s="16" t="n">
        <v>0.8216605576239147</v>
      </c>
      <c r="T3323" s="16" t="n">
        <v>0.85</v>
      </c>
      <c r="U3323" s="16" t="n">
        <v>0.75</v>
      </c>
      <c r="V3323" s="16" t="n">
        <v>0.85</v>
      </c>
      <c r="W3323" s="16" t="n">
        <v>0.75</v>
      </c>
      <c r="X3323" s="16" t="n">
        <v>0.8</v>
      </c>
      <c r="Y3323" s="16" t="n">
        <v>292.9022541501005</v>
      </c>
      <c r="Z3323" s="16" t="n">
        <v>8.17719929309771</v>
      </c>
      <c r="AA3323" s="16" t="n">
        <v>110.4420796451993</v>
      </c>
      <c r="AB3323" s="16" t="n">
        <v>2129.635933275536</v>
      </c>
      <c r="AC3323" s="16" t="n">
        <v>2.548071603165715</v>
      </c>
      <c r="AD3323" s="16" t="inlineStr">
        <is>
          <t>O2</t>
        </is>
      </c>
      <c r="AE3323" s="16" t="n"/>
    </row>
    <row r="3324">
      <c r="A3324" s="16" t="inlineStr">
        <is>
          <t>KF-M09-R0-eficiencias-0010</t>
        </is>
      </c>
      <c r="B3324" s="16" t="inlineStr">
        <is>
          <t>4.3</t>
        </is>
      </c>
      <c r="C3324" s="16" t="inlineStr">
        <is>
          <t>4.3 eficiencias</t>
        </is>
      </c>
      <c r="D3324" s="16" t="inlineStr">
        <is>
          <t>ronda 0</t>
        </is>
      </c>
      <c r="E3324" s="16" t="inlineStr">
        <is>
          <t>KF-M09</t>
        </is>
      </c>
      <c r="F3324" s="16" t="inlineStr">
        <is>
          <t>KF-M09-R0-eficiencias</t>
        </is>
      </c>
      <c r="G3324" s="16" t="inlineStr">
        <is>
          <t>B13-eficiencias</t>
        </is>
      </c>
      <c r="H3324" s="16" t="inlineStr">
        <is>
          <t>lhs</t>
        </is>
      </c>
      <c r="I3324" s="16" t="inlineStr">
        <is>
          <t>KALINA</t>
        </is>
      </c>
      <c r="J3324" s="16" t="inlineStr">
        <is>
          <t>KALINA</t>
        </is>
      </c>
      <c r="K3324" s="16" t="b">
        <v>1</v>
      </c>
      <c r="L3324" s="16" t="b">
        <v>1</v>
      </c>
      <c r="M3324" s="16" t="b">
        <v>0</v>
      </c>
      <c r="N3324" s="16" t="b">
        <v>0</v>
      </c>
      <c r="O3324" s="16" t="n">
        <v>397.8087266530084</v>
      </c>
      <c r="P3324" s="16" t="n">
        <v>287.3385672840222</v>
      </c>
      <c r="Q3324" s="16" t="n">
        <v>4388.135034487104</v>
      </c>
      <c r="R3324" s="16" t="n">
        <v>496.4306102170489</v>
      </c>
      <c r="S3324" s="16" t="n">
        <v>0.595355217782039</v>
      </c>
      <c r="T3324" s="16" t="n">
        <v>0.85</v>
      </c>
      <c r="U3324" s="16" t="n">
        <v>0.75</v>
      </c>
      <c r="V3324" s="16" t="n">
        <v>0.85</v>
      </c>
      <c r="W3324" s="16" t="n">
        <v>0.75</v>
      </c>
      <c r="X3324" s="16" t="n">
        <v>0.8</v>
      </c>
      <c r="Y3324" s="16" t="n">
        <v>287.3385672840222</v>
      </c>
      <c r="Z3324" s="16" t="n">
        <v>5.49720977864321</v>
      </c>
      <c r="AA3324" s="16" t="n">
        <v>12.0090539200942</v>
      </c>
      <c r="AB3324" s="16" t="n">
        <v>3891.704424270056</v>
      </c>
      <c r="AC3324" s="16" t="n">
        <v>8.839372400039007</v>
      </c>
      <c r="AD3324" s="16" t="n"/>
      <c r="AE3324" s="16" t="n"/>
    </row>
    <row r="3325">
      <c r="A3325" s="16" t="inlineStr">
        <is>
          <t>KF-M09-R0-eficiencias-0011</t>
        </is>
      </c>
      <c r="B3325" s="16" t="inlineStr">
        <is>
          <t>4.3</t>
        </is>
      </c>
      <c r="C3325" s="16" t="inlineStr">
        <is>
          <t>4.3 eficiencias</t>
        </is>
      </c>
      <c r="D3325" s="16" t="inlineStr">
        <is>
          <t>ronda 0</t>
        </is>
      </c>
      <c r="E3325" s="16" t="inlineStr">
        <is>
          <t>KF-M09</t>
        </is>
      </c>
      <c r="F3325" s="16" t="inlineStr">
        <is>
          <t>KF-M09-R0-eficiencias</t>
        </is>
      </c>
      <c r="G3325" s="16" t="inlineStr">
        <is>
          <t>B13-eficiencias</t>
        </is>
      </c>
      <c r="H3325" s="16" t="inlineStr">
        <is>
          <t>lhs</t>
        </is>
      </c>
      <c r="I3325" s="16" t="inlineStr">
        <is>
          <t>CORREGIBLE</t>
        </is>
      </c>
      <c r="J3325" s="16" t="inlineStr">
        <is>
          <t>CORREGIBLE</t>
        </is>
      </c>
      <c r="K3325" s="16" t="b">
        <v>1</v>
      </c>
      <c r="L3325" s="16" t="b">
        <v>0</v>
      </c>
      <c r="M3325" s="16" t="b">
        <v>1</v>
      </c>
      <c r="N3325" s="16" t="b">
        <v>0</v>
      </c>
      <c r="O3325" s="16" t="n">
        <v>484.3549594795349</v>
      </c>
      <c r="P3325" s="16" t="n">
        <v>290.7229966713222</v>
      </c>
      <c r="Q3325" s="16" t="n">
        <v>4489.945743225545</v>
      </c>
      <c r="R3325" s="16" t="n">
        <v>987.9152541771372</v>
      </c>
      <c r="S3325" s="16" t="n">
        <v>0.5305553621846357</v>
      </c>
      <c r="T3325" s="16" t="n">
        <v>0.85</v>
      </c>
      <c r="U3325" s="16" t="n">
        <v>0.75</v>
      </c>
      <c r="V3325" s="16" t="n">
        <v>0.85</v>
      </c>
      <c r="W3325" s="16" t="n">
        <v>0.75</v>
      </c>
      <c r="X3325" s="16" t="n">
        <v>0.8</v>
      </c>
      <c r="Y3325" s="16" t="n">
        <v>290.7229966713222</v>
      </c>
      <c r="Z3325" s="16" t="n">
        <v>11.11489298369704</v>
      </c>
      <c r="AA3325" s="16" t="n">
        <v>164.1757485949877</v>
      </c>
      <c r="AB3325" s="16" t="n">
        <v>3502.030489048408</v>
      </c>
      <c r="AC3325" s="16" t="n">
        <v>4.544869333924142</v>
      </c>
      <c r="AD3325" s="16" t="inlineStr">
        <is>
          <t>O2</t>
        </is>
      </c>
      <c r="AE3325" s="16" t="n"/>
    </row>
    <row r="3326">
      <c r="A3326" s="16" t="inlineStr">
        <is>
          <t>KF-M09-R0-eficiencias-0012</t>
        </is>
      </c>
      <c r="B3326" s="16" t="inlineStr">
        <is>
          <t>4.3</t>
        </is>
      </c>
      <c r="C3326" s="16" t="inlineStr">
        <is>
          <t>4.3 eficiencias</t>
        </is>
      </c>
      <c r="D3326" s="16" t="inlineStr">
        <is>
          <t>ronda 0</t>
        </is>
      </c>
      <c r="E3326" s="16" t="inlineStr">
        <is>
          <t>KF-M09</t>
        </is>
      </c>
      <c r="F3326" s="16" t="inlineStr">
        <is>
          <t>KF-M09-R0-eficiencias</t>
        </is>
      </c>
      <c r="G3326" s="16" t="inlineStr">
        <is>
          <t>B13-eficiencias</t>
        </is>
      </c>
      <c r="H3326" s="16" t="inlineStr">
        <is>
          <t>lhs</t>
        </is>
      </c>
      <c r="I3326" s="16" t="inlineStr">
        <is>
          <t>CORREGIBLE</t>
        </is>
      </c>
      <c r="J3326" s="16" t="inlineStr">
        <is>
          <t>CORREGIBLE</t>
        </is>
      </c>
      <c r="K3326" s="16" t="b">
        <v>1</v>
      </c>
      <c r="L3326" s="16" t="b">
        <v>0</v>
      </c>
      <c r="M3326" s="16" t="b">
        <v>1</v>
      </c>
      <c r="N3326" s="16" t="b">
        <v>0</v>
      </c>
      <c r="O3326" s="16" t="n">
        <v>450.0968208045381</v>
      </c>
      <c r="P3326" s="16" t="n">
        <v>288.6393061233603</v>
      </c>
      <c r="Q3326" s="16" t="n">
        <v>3543.780861703975</v>
      </c>
      <c r="R3326" s="16" t="n">
        <v>1715.244346295611</v>
      </c>
      <c r="S3326" s="16" t="n">
        <v>0.6481086237418502</v>
      </c>
      <c r="T3326" s="16" t="n">
        <v>0.85</v>
      </c>
      <c r="U3326" s="16" t="n">
        <v>0.75</v>
      </c>
      <c r="V3326" s="16" t="n">
        <v>0.85</v>
      </c>
      <c r="W3326" s="16" t="n">
        <v>0.75</v>
      </c>
      <c r="X3326" s="16" t="n">
        <v>0.8</v>
      </c>
      <c r="Y3326" s="16" t="n">
        <v>288.6393061233603</v>
      </c>
      <c r="Z3326" s="16" t="n">
        <v>6.16063370177168</v>
      </c>
      <c r="AA3326" s="16" t="n">
        <v>71.42047231385796</v>
      </c>
      <c r="AB3326" s="16" t="n">
        <v>1828.536515408364</v>
      </c>
      <c r="AC3326" s="16" t="n">
        <v>2.066050163265327</v>
      </c>
      <c r="AD3326" s="16" t="inlineStr">
        <is>
          <t>O2</t>
        </is>
      </c>
      <c r="AE3326" s="16" t="n"/>
    </row>
    <row r="3327">
      <c r="A3327" s="16" t="inlineStr">
        <is>
          <t>KF-M09-R0-eficiencias-0013</t>
        </is>
      </c>
      <c r="B3327" s="16" t="inlineStr">
        <is>
          <t>4.3</t>
        </is>
      </c>
      <c r="C3327" s="16" t="inlineStr">
        <is>
          <t>4.3 eficiencias</t>
        </is>
      </c>
      <c r="D3327" s="16" t="inlineStr">
        <is>
          <t>ronda 0</t>
        </is>
      </c>
      <c r="E3327" s="16" t="inlineStr">
        <is>
          <t>KF-M09</t>
        </is>
      </c>
      <c r="F3327" s="16" t="inlineStr">
        <is>
          <t>KF-M09-R0-eficiencias</t>
        </is>
      </c>
      <c r="G3327" s="16" t="inlineStr">
        <is>
          <t>B13-eficiencias</t>
        </is>
      </c>
      <c r="H3327" s="16" t="inlineStr">
        <is>
          <t>lhs</t>
        </is>
      </c>
      <c r="I3327" s="16" t="inlineStr">
        <is>
          <t>CORREGIBLE</t>
        </is>
      </c>
      <c r="J3327" s="16" t="inlineStr">
        <is>
          <t>CORREGIBLE</t>
        </is>
      </c>
      <c r="K3327" s="16" t="b">
        <v>1</v>
      </c>
      <c r="L3327" s="16" t="b">
        <v>0</v>
      </c>
      <c r="M3327" s="16" t="b">
        <v>0</v>
      </c>
      <c r="N3327" s="16" t="b">
        <v>0</v>
      </c>
      <c r="O3327" s="16" t="n">
        <v>426.3171141906141</v>
      </c>
      <c r="P3327" s="16" t="n">
        <v>301.8424385100301</v>
      </c>
      <c r="Q3327" s="16" t="n">
        <v>2546.427473513349</v>
      </c>
      <c r="R3327" s="16" t="n">
        <v>1231.011936004369</v>
      </c>
      <c r="S3327" s="16" t="n">
        <v>0.7258355692598987</v>
      </c>
      <c r="T3327" s="16" t="n">
        <v>0.85</v>
      </c>
      <c r="U3327" s="16" t="n">
        <v>0.75</v>
      </c>
      <c r="V3327" s="16" t="n">
        <v>0.85</v>
      </c>
      <c r="W3327" s="16" t="n">
        <v>0.75</v>
      </c>
      <c r="X3327" s="16" t="n">
        <v>0.8</v>
      </c>
      <c r="Y3327" s="16" t="n">
        <v>301.8424385100301</v>
      </c>
      <c r="Z3327" s="16" t="n">
        <v>6.03486998850283</v>
      </c>
      <c r="AA3327" s="16" t="n">
        <v>64.53997043081046</v>
      </c>
      <c r="AB3327" s="16" t="n">
        <v>1315.41553750898</v>
      </c>
      <c r="AC3327" s="16" t="n">
        <v>2.068564405458625</v>
      </c>
      <c r="AD3327" s="16" t="inlineStr">
        <is>
          <t>O2</t>
        </is>
      </c>
      <c r="AE3327" s="16" t="n"/>
    </row>
    <row r="3328">
      <c r="A3328" s="16" t="inlineStr">
        <is>
          <t>KF-M09-R0-eficiencias-0014</t>
        </is>
      </c>
      <c r="B3328" s="16" t="inlineStr">
        <is>
          <t>4.3</t>
        </is>
      </c>
      <c r="C3328" s="16" t="inlineStr">
        <is>
          <t>4.3 eficiencias</t>
        </is>
      </c>
      <c r="D3328" s="16" t="inlineStr">
        <is>
          <t>ronda 0</t>
        </is>
      </c>
      <c r="E3328" s="16" t="inlineStr">
        <is>
          <t>KF-M09</t>
        </is>
      </c>
      <c r="F3328" s="16" t="inlineStr">
        <is>
          <t>KF-M09-R0-eficiencias</t>
        </is>
      </c>
      <c r="G3328" s="16" t="inlineStr">
        <is>
          <t>B13-eficiencias</t>
        </is>
      </c>
      <c r="H3328" s="16" t="inlineStr">
        <is>
          <t>lhs</t>
        </is>
      </c>
      <c r="I3328" s="16" t="inlineStr">
        <is>
          <t>INVIABLE</t>
        </is>
      </c>
      <c r="J3328" s="16" t="inlineStr">
        <is>
          <t>INVIABLE</t>
        </is>
      </c>
      <c r="K3328" s="16" t="b">
        <v>1</v>
      </c>
      <c r="L3328" s="16" t="b">
        <v>0</v>
      </c>
      <c r="M3328" s="16" t="b">
        <v>0</v>
      </c>
      <c r="N3328" s="16" t="b">
        <v>0</v>
      </c>
      <c r="O3328" s="16" t="n">
        <v>385.3124249578205</v>
      </c>
      <c r="P3328" s="16" t="n">
        <v>299.4301258189681</v>
      </c>
      <c r="Q3328" s="16" t="n">
        <v>4966.435209206375</v>
      </c>
      <c r="R3328" s="16" t="n">
        <v>569.7505878608937</v>
      </c>
      <c r="S3328" s="16" t="n">
        <v>0.7031776846518203</v>
      </c>
      <c r="T3328" s="16" t="n">
        <v>0.85</v>
      </c>
      <c r="U3328" s="16" t="n">
        <v>0.75</v>
      </c>
      <c r="V3328" s="16" t="n">
        <v>0.85</v>
      </c>
      <c r="W3328" s="16" t="n">
        <v>0.75</v>
      </c>
      <c r="X3328" s="16" t="n">
        <v>0.8</v>
      </c>
      <c r="Y3328" s="16" t="n">
        <v>299.4301258189681</v>
      </c>
      <c r="Z3328" s="16" t="n">
        <v>-107.7598998125976</v>
      </c>
      <c r="AA3328" s="16" t="n">
        <v>-45.50330051782983</v>
      </c>
      <c r="AB3328" s="16" t="n">
        <v>4396.684621345481</v>
      </c>
      <c r="AC3328" s="16" t="n">
        <v>8.716858420195162</v>
      </c>
      <c r="AD3328" s="16" t="inlineStr">
        <is>
          <t>O2,O3</t>
        </is>
      </c>
      <c r="AE3328" s="16" t="n"/>
    </row>
    <row r="3329">
      <c r="A3329" s="16" t="inlineStr">
        <is>
          <t>KF-M09-R0-eficiencias-0015</t>
        </is>
      </c>
      <c r="B3329" s="16" t="inlineStr">
        <is>
          <t>4.3</t>
        </is>
      </c>
      <c r="C3329" s="16" t="inlineStr">
        <is>
          <t>4.3 eficiencias</t>
        </is>
      </c>
      <c r="D3329" s="16" t="inlineStr">
        <is>
          <t>ronda 0</t>
        </is>
      </c>
      <c r="E3329" s="16" t="inlineStr">
        <is>
          <t>KF-M09</t>
        </is>
      </c>
      <c r="F3329" s="16" t="inlineStr">
        <is>
          <t>KF-M09-R0-eficiencias</t>
        </is>
      </c>
      <c r="G3329" s="16" t="inlineStr">
        <is>
          <t>B13-eficiencias</t>
        </is>
      </c>
      <c r="H3329" s="16" t="inlineStr">
        <is>
          <t>lhs</t>
        </is>
      </c>
      <c r="I3329" s="16" t="inlineStr">
        <is>
          <t>CORREGIBLE</t>
        </is>
      </c>
      <c r="J3329" s="16" t="inlineStr">
        <is>
          <t>CORREGIBLE</t>
        </is>
      </c>
      <c r="K3329" s="16" t="b">
        <v>1</v>
      </c>
      <c r="L3329" s="16" t="b">
        <v>0</v>
      </c>
      <c r="M3329" s="16" t="b">
        <v>1</v>
      </c>
      <c r="N3329" s="16" t="b">
        <v>0</v>
      </c>
      <c r="O3329" s="16" t="n">
        <v>432.7209685629487</v>
      </c>
      <c r="P3329" s="16" t="n">
        <v>287.9314638073923</v>
      </c>
      <c r="Q3329" s="16" t="n">
        <v>3929.246794813761</v>
      </c>
      <c r="R3329" s="16" t="n">
        <v>449.7758760806946</v>
      </c>
      <c r="S3329" s="16" t="n">
        <v>0.6253250681867913</v>
      </c>
      <c r="T3329" s="16" t="n">
        <v>0.85</v>
      </c>
      <c r="U3329" s="16" t="n">
        <v>0.75</v>
      </c>
      <c r="V3329" s="16" t="n">
        <v>0.85</v>
      </c>
      <c r="W3329" s="16" t="n">
        <v>0.75</v>
      </c>
      <c r="X3329" s="16" t="n">
        <v>0.8</v>
      </c>
      <c r="Y3329" s="16" t="n">
        <v>287.9314638073923</v>
      </c>
      <c r="Z3329" s="16" t="n">
        <v>14.98730902130744</v>
      </c>
      <c r="AA3329" s="16" t="n">
        <v>117.7399228917063</v>
      </c>
      <c r="AB3329" s="16" t="n">
        <v>3479.470918733067</v>
      </c>
      <c r="AC3329" s="16" t="n">
        <v>8.736010541634325</v>
      </c>
      <c r="AD3329" s="16" t="inlineStr">
        <is>
          <t>O2</t>
        </is>
      </c>
      <c r="AE3329" s="16" t="n"/>
    </row>
    <row r="3330">
      <c r="A3330" s="16" t="inlineStr">
        <is>
          <t>KF-M09-R0-eficiencias-0016</t>
        </is>
      </c>
      <c r="B3330" s="16" t="inlineStr">
        <is>
          <t>4.3</t>
        </is>
      </c>
      <c r="C3330" s="16" t="inlineStr">
        <is>
          <t>4.3 eficiencias</t>
        </is>
      </c>
      <c r="D3330" s="16" t="inlineStr">
        <is>
          <t>ronda 0</t>
        </is>
      </c>
      <c r="E3330" s="16" t="inlineStr">
        <is>
          <t>KF-M09</t>
        </is>
      </c>
      <c r="F3330" s="16" t="inlineStr">
        <is>
          <t>KF-M09-R0-eficiencias</t>
        </is>
      </c>
      <c r="G3330" s="16" t="inlineStr">
        <is>
          <t>B13-eficiencias</t>
        </is>
      </c>
      <c r="H3330" s="16" t="inlineStr">
        <is>
          <t>lhs</t>
        </is>
      </c>
      <c r="I3330" s="16" t="inlineStr">
        <is>
          <t>CORREGIBLE</t>
        </is>
      </c>
      <c r="J3330" s="16" t="inlineStr">
        <is>
          <t>CORREGIBLE</t>
        </is>
      </c>
      <c r="K3330" s="16" t="b">
        <v>1</v>
      </c>
      <c r="L3330" s="16" t="b">
        <v>0</v>
      </c>
      <c r="M3330" s="16" t="b">
        <v>1</v>
      </c>
      <c r="N3330" s="16" t="b">
        <v>0</v>
      </c>
      <c r="O3330" s="16" t="n">
        <v>471.7610321138739</v>
      </c>
      <c r="P3330" s="16" t="n">
        <v>280.0147130470568</v>
      </c>
      <c r="Q3330" s="16" t="n">
        <v>2664.852531419473</v>
      </c>
      <c r="R3330" s="16" t="n">
        <v>576.2161850110388</v>
      </c>
      <c r="S3330" s="16" t="n">
        <v>0.6448889179647196</v>
      </c>
      <c r="T3330" s="16" t="n">
        <v>0.85</v>
      </c>
      <c r="U3330" s="16" t="n">
        <v>0.75</v>
      </c>
      <c r="V3330" s="16" t="n">
        <v>0.85</v>
      </c>
      <c r="W3330" s="16" t="n">
        <v>0.75</v>
      </c>
      <c r="X3330" s="16" t="n">
        <v>0.8</v>
      </c>
      <c r="Y3330" s="16" t="n">
        <v>280.0147130470568</v>
      </c>
      <c r="Z3330" s="16" t="n">
        <v>10.93933956235689</v>
      </c>
      <c r="AA3330" s="16" t="n">
        <v>171.5174063062462</v>
      </c>
      <c r="AB3330" s="16" t="n">
        <v>2088.636346408434</v>
      </c>
      <c r="AC3330" s="16" t="n">
        <v>4.62474432468158</v>
      </c>
      <c r="AD3330" s="16" t="inlineStr">
        <is>
          <t>O2</t>
        </is>
      </c>
      <c r="AE3330" s="16" t="n"/>
    </row>
    <row r="3331">
      <c r="A3331" s="16" t="inlineStr">
        <is>
          <t>KF-M09-R0-eficiencias-0017</t>
        </is>
      </c>
      <c r="B3331" s="16" t="inlineStr">
        <is>
          <t>4.3</t>
        </is>
      </c>
      <c r="C3331" s="16" t="inlineStr">
        <is>
          <t>4.3 eficiencias</t>
        </is>
      </c>
      <c r="D3331" s="16" t="inlineStr">
        <is>
          <t>ronda 0</t>
        </is>
      </c>
      <c r="E3331" s="16" t="inlineStr">
        <is>
          <t>KF-M09</t>
        </is>
      </c>
      <c r="F3331" s="16" t="inlineStr">
        <is>
          <t>KF-M09-R0-eficiencias</t>
        </is>
      </c>
      <c r="G3331" s="16" t="inlineStr">
        <is>
          <t>B13-eficiencias</t>
        </is>
      </c>
      <c r="H3331" s="16" t="inlineStr">
        <is>
          <t>lhs</t>
        </is>
      </c>
      <c r="I3331" s="16" t="inlineStr">
        <is>
          <t>N2</t>
        </is>
      </c>
      <c r="J3331" s="16" t="inlineStr">
        <is>
          <t>NO_CONVERGIO</t>
        </is>
      </c>
      <c r="K3331" s="16" t="b">
        <v>0</v>
      </c>
      <c r="L3331" s="16" t="b">
        <v>0</v>
      </c>
      <c r="M3331" s="16" t="b">
        <v>0</v>
      </c>
      <c r="N3331" s="16" t="b">
        <v>0</v>
      </c>
      <c r="O3331" s="16" t="n">
        <v>380.4381400834103</v>
      </c>
      <c r="P3331" s="16" t="n">
        <v>291.8615521908521</v>
      </c>
      <c r="Q3331" s="16" t="n">
        <v>4901.586234836488</v>
      </c>
      <c r="R3331" s="16" t="n">
        <v>784.6980048773394</v>
      </c>
      <c r="S3331" s="16" t="n">
        <v>0.6659515612934577</v>
      </c>
      <c r="T3331" s="16" t="n">
        <v>0.85</v>
      </c>
      <c r="U3331" s="16" t="n">
        <v>0.75</v>
      </c>
      <c r="V3331" s="16" t="n">
        <v>0.85</v>
      </c>
      <c r="W3331" s="16" t="n">
        <v>0.75</v>
      </c>
      <c r="X3331" s="16" t="n">
        <v>0.8</v>
      </c>
      <c r="Y3331" s="16" t="n">
        <v>291.8615521908521</v>
      </c>
      <c r="Z3331" s="16" t="n">
        <v>-725.6109391542828</v>
      </c>
      <c r="AA3331" s="16" t="n">
        <v>-64.93195594040873</v>
      </c>
      <c r="AB3331" s="16" t="n">
        <v>4116.888229959149</v>
      </c>
      <c r="AC3331" s="16" t="n">
        <v>6.246461956536621</v>
      </c>
      <c r="AD3331" s="16" t="inlineStr">
        <is>
          <t>N2,S6,O3,O5,C1,C3,C3</t>
        </is>
      </c>
      <c r="AE3331" s="16" t="n"/>
    </row>
    <row r="3332">
      <c r="A3332" s="16" t="inlineStr">
        <is>
          <t>KF-M09-R0-eficiencias-0018</t>
        </is>
      </c>
      <c r="B3332" s="16" t="inlineStr">
        <is>
          <t>4.3</t>
        </is>
      </c>
      <c r="C3332" s="16" t="inlineStr">
        <is>
          <t>4.3 eficiencias</t>
        </is>
      </c>
      <c r="D3332" s="16" t="inlineStr">
        <is>
          <t>ronda 0</t>
        </is>
      </c>
      <c r="E3332" s="16" t="inlineStr">
        <is>
          <t>KF-M09</t>
        </is>
      </c>
      <c r="F3332" s="16" t="inlineStr">
        <is>
          <t>KF-M09-R0-eficiencias</t>
        </is>
      </c>
      <c r="G3332" s="16" t="inlineStr">
        <is>
          <t>B13-eficiencias</t>
        </is>
      </c>
      <c r="H3332" s="16" t="inlineStr">
        <is>
          <t>lhs</t>
        </is>
      </c>
      <c r="I3332" s="16" t="inlineStr">
        <is>
          <t>NO_CONVERGIO</t>
        </is>
      </c>
      <c r="J3332" s="16" t="inlineStr">
        <is>
          <t>NO_CONVERGIO</t>
        </is>
      </c>
      <c r="K3332" s="16" t="b">
        <v>0</v>
      </c>
      <c r="L3332" s="16" t="b">
        <v>0</v>
      </c>
      <c r="M3332" s="16" t="b">
        <v>0</v>
      </c>
      <c r="N3332" s="16" t="b">
        <v>0</v>
      </c>
      <c r="O3332" s="16" t="n">
        <v>492.7972311016583</v>
      </c>
      <c r="P3332" s="16" t="n">
        <v>286.8745453221677</v>
      </c>
      <c r="Q3332" s="16" t="n">
        <v>4620.02353918257</v>
      </c>
      <c r="R3332" s="16" t="n">
        <v>1614.095084574314</v>
      </c>
      <c r="S3332" s="16" t="n">
        <v>0.7988869513547054</v>
      </c>
      <c r="T3332" s="16" t="n">
        <v>0.85</v>
      </c>
      <c r="U3332" s="16" t="n">
        <v>0.75</v>
      </c>
      <c r="V3332" s="16" t="n">
        <v>0.85</v>
      </c>
      <c r="W3332" s="16" t="n">
        <v>0.75</v>
      </c>
      <c r="X3332" s="16" t="n">
        <v>0.8</v>
      </c>
      <c r="Y3332" s="16" t="n">
        <v>286.8745453221677</v>
      </c>
      <c r="Z3332" s="16" t="n"/>
      <c r="AA3332" s="16" t="n"/>
      <c r="AB3332" s="16" t="n">
        <v>3005.928454608256</v>
      </c>
      <c r="AC3332" s="16" t="n">
        <v>2.862299491111461</v>
      </c>
      <c r="AD3332" s="16" t="n"/>
      <c r="AE3332" s="16" t="n"/>
    </row>
    <row r="3333">
      <c r="A3333" s="16" t="inlineStr">
        <is>
          <t>KF-M09-R0-eficiencias-0019</t>
        </is>
      </c>
      <c r="B3333" s="16" t="inlineStr">
        <is>
          <t>4.3</t>
        </is>
      </c>
      <c r="C3333" s="16" t="inlineStr">
        <is>
          <t>4.3 eficiencias</t>
        </is>
      </c>
      <c r="D3333" s="16" t="inlineStr">
        <is>
          <t>ronda 0</t>
        </is>
      </c>
      <c r="E3333" s="16" t="inlineStr">
        <is>
          <t>KF-M09</t>
        </is>
      </c>
      <c r="F3333" s="16" t="inlineStr">
        <is>
          <t>KF-M09-R0-eficiencias</t>
        </is>
      </c>
      <c r="G3333" s="16" t="inlineStr">
        <is>
          <t>B13-eficiencias</t>
        </is>
      </c>
      <c r="H3333" s="16" t="inlineStr">
        <is>
          <t>lhs</t>
        </is>
      </c>
      <c r="I3333" s="16" t="inlineStr">
        <is>
          <t>CORREGIBLE</t>
        </is>
      </c>
      <c r="J3333" s="16" t="inlineStr">
        <is>
          <t>CORREGIBLE</t>
        </is>
      </c>
      <c r="K3333" s="16" t="b">
        <v>1</v>
      </c>
      <c r="L3333" s="16" t="b">
        <v>0</v>
      </c>
      <c r="M3333" s="16" t="b">
        <v>1</v>
      </c>
      <c r="N3333" s="16" t="b">
        <v>0</v>
      </c>
      <c r="O3333" s="16" t="n">
        <v>437.7635365225038</v>
      </c>
      <c r="P3333" s="16" t="n">
        <v>291.549288128333</v>
      </c>
      <c r="Q3333" s="16" t="n">
        <v>2926.333175787184</v>
      </c>
      <c r="R3333" s="16" t="n">
        <v>1359.493828179777</v>
      </c>
      <c r="S3333" s="16" t="n">
        <v>0.8168569494032507</v>
      </c>
      <c r="T3333" s="16" t="n">
        <v>0.85</v>
      </c>
      <c r="U3333" s="16" t="n">
        <v>0.75</v>
      </c>
      <c r="V3333" s="16" t="n">
        <v>0.85</v>
      </c>
      <c r="W3333" s="16" t="n">
        <v>0.75</v>
      </c>
      <c r="X3333" s="16" t="n">
        <v>0.8</v>
      </c>
      <c r="Y3333" s="16" t="n">
        <v>291.549288128333</v>
      </c>
      <c r="Z3333" s="16" t="n">
        <v>6.74476805830197</v>
      </c>
      <c r="AA3333" s="16" t="n">
        <v>85.80924492697683</v>
      </c>
      <c r="AB3333" s="16" t="n">
        <v>1566.839347607407</v>
      </c>
      <c r="AC3333" s="16" t="n">
        <v>2.152516705210236</v>
      </c>
      <c r="AD3333" s="16" t="inlineStr">
        <is>
          <t>O2</t>
        </is>
      </c>
      <c r="AE3333" s="16" t="n"/>
    </row>
    <row r="3334">
      <c r="A3334" s="16" t="inlineStr">
        <is>
          <t>KF-M09-R0-eficiencias-0020</t>
        </is>
      </c>
      <c r="B3334" s="16" t="inlineStr">
        <is>
          <t>4.3</t>
        </is>
      </c>
      <c r="C3334" s="16" t="inlineStr">
        <is>
          <t>4.3 eficiencias</t>
        </is>
      </c>
      <c r="D3334" s="16" t="inlineStr">
        <is>
          <t>ronda 0</t>
        </is>
      </c>
      <c r="E3334" s="16" t="inlineStr">
        <is>
          <t>KF-M09</t>
        </is>
      </c>
      <c r="F3334" s="16" t="inlineStr">
        <is>
          <t>KF-M09-R0-eficiencias</t>
        </is>
      </c>
      <c r="G3334" s="16" t="inlineStr">
        <is>
          <t>B13-eficiencias</t>
        </is>
      </c>
      <c r="H3334" s="16" t="inlineStr">
        <is>
          <t>lhs</t>
        </is>
      </c>
      <c r="I3334" s="16" t="inlineStr">
        <is>
          <t>CORREGIBLE</t>
        </is>
      </c>
      <c r="J3334" s="16" t="inlineStr">
        <is>
          <t>CORREGIBLE</t>
        </is>
      </c>
      <c r="K3334" s="16" t="b">
        <v>1</v>
      </c>
      <c r="L3334" s="16" t="b">
        <v>0</v>
      </c>
      <c r="M3334" s="16" t="b">
        <v>1</v>
      </c>
      <c r="N3334" s="16" t="b">
        <v>0</v>
      </c>
      <c r="O3334" s="16" t="n">
        <v>468.5458849264851</v>
      </c>
      <c r="P3334" s="16" t="n">
        <v>303.5276423827174</v>
      </c>
      <c r="Q3334" s="16" t="n">
        <v>4999.517443734224</v>
      </c>
      <c r="R3334" s="16" t="n">
        <v>1260.654475916204</v>
      </c>
      <c r="S3334" s="16" t="n">
        <v>0.5569909377463821</v>
      </c>
      <c r="T3334" s="16" t="n">
        <v>0.85</v>
      </c>
      <c r="U3334" s="16" t="n">
        <v>0.75</v>
      </c>
      <c r="V3334" s="16" t="n">
        <v>0.85</v>
      </c>
      <c r="W3334" s="16" t="n">
        <v>0.75</v>
      </c>
      <c r="X3334" s="16" t="n">
        <v>0.8</v>
      </c>
      <c r="Y3334" s="16" t="n">
        <v>303.5276423827174</v>
      </c>
      <c r="Z3334" s="16" t="n">
        <v>10.32900017560144</v>
      </c>
      <c r="AA3334" s="16" t="n">
        <v>101.0962471909808</v>
      </c>
      <c r="AB3334" s="16" t="n">
        <v>3738.86296781802</v>
      </c>
      <c r="AC3334" s="16" t="n">
        <v>3.965811044378937</v>
      </c>
      <c r="AD3334" s="16" t="inlineStr">
        <is>
          <t>O2</t>
        </is>
      </c>
      <c r="AE3334" s="16" t="n"/>
    </row>
    <row r="3335">
      <c r="A3335" s="16" t="inlineStr">
        <is>
          <t>KF-M09-R0-eficiencias-0021</t>
        </is>
      </c>
      <c r="B3335" s="16" t="inlineStr">
        <is>
          <t>4.3</t>
        </is>
      </c>
      <c r="C3335" s="16" t="inlineStr">
        <is>
          <t>4.3 eficiencias</t>
        </is>
      </c>
      <c r="D3335" s="16" t="inlineStr">
        <is>
          <t>ronda 0</t>
        </is>
      </c>
      <c r="E3335" s="16" t="inlineStr">
        <is>
          <t>KF-M09</t>
        </is>
      </c>
      <c r="F3335" s="16" t="inlineStr">
        <is>
          <t>KF-M09-R0-eficiencias</t>
        </is>
      </c>
      <c r="G3335" s="16" t="inlineStr">
        <is>
          <t>B13-eficiencias</t>
        </is>
      </c>
      <c r="H3335" s="16" t="inlineStr">
        <is>
          <t>lhs</t>
        </is>
      </c>
      <c r="I3335" s="16" t="inlineStr">
        <is>
          <t>NO_CONVERGIO</t>
        </is>
      </c>
      <c r="J3335" s="16" t="inlineStr">
        <is>
          <t>NO_CONVERGIO</t>
        </is>
      </c>
      <c r="K3335" s="16" t="b">
        <v>0</v>
      </c>
      <c r="L3335" s="16" t="b">
        <v>0</v>
      </c>
      <c r="M3335" s="16" t="b">
        <v>0</v>
      </c>
      <c r="N3335" s="16" t="b">
        <v>0</v>
      </c>
      <c r="O3335" s="16" t="n">
        <v>443.9128272911108</v>
      </c>
      <c r="P3335" s="16" t="n">
        <v>295.8528323289925</v>
      </c>
      <c r="Q3335" s="16" t="n">
        <v>3766.496186434566</v>
      </c>
      <c r="R3335" s="16" t="n">
        <v>1979.09981313363</v>
      </c>
      <c r="S3335" s="16" t="n">
        <v>0.5459197212148941</v>
      </c>
      <c r="T3335" s="16" t="n">
        <v>0.85</v>
      </c>
      <c r="U3335" s="16" t="n">
        <v>0.75</v>
      </c>
      <c r="V3335" s="16" t="n">
        <v>0.85</v>
      </c>
      <c r="W3335" s="16" t="n">
        <v>0.75</v>
      </c>
      <c r="X3335" s="16" t="n">
        <v>0.8</v>
      </c>
      <c r="Y3335" s="16" t="n">
        <v>295.8528323289925</v>
      </c>
      <c r="Z3335" s="16" t="n"/>
      <c r="AA3335" s="16" t="n"/>
      <c r="AB3335" s="16" t="n">
        <v>1787.396373300937</v>
      </c>
      <c r="AC3335" s="16" t="n">
        <v>1.903136042679345</v>
      </c>
      <c r="AD3335" s="16" t="n"/>
      <c r="AE3335" s="16" t="n"/>
    </row>
    <row r="3336">
      <c r="A3336" s="16" t="inlineStr">
        <is>
          <t>KF-M09-R0-eficiencias-0022</t>
        </is>
      </c>
      <c r="B3336" s="16" t="inlineStr">
        <is>
          <t>4.3</t>
        </is>
      </c>
      <c r="C3336" s="16" t="inlineStr">
        <is>
          <t>4.3 eficiencias</t>
        </is>
      </c>
      <c r="D3336" s="16" t="inlineStr">
        <is>
          <t>ronda 0</t>
        </is>
      </c>
      <c r="E3336" s="16" t="inlineStr">
        <is>
          <t>KF-M09</t>
        </is>
      </c>
      <c r="F3336" s="16" t="inlineStr">
        <is>
          <t>KF-M09-R0-eficiencias</t>
        </is>
      </c>
      <c r="G3336" s="16" t="inlineStr">
        <is>
          <t>B13-eficiencias</t>
        </is>
      </c>
      <c r="H3336" s="16" t="inlineStr">
        <is>
          <t>lhs</t>
        </is>
      </c>
      <c r="I3336" s="16" t="inlineStr">
        <is>
          <t>CORREGIBLE</t>
        </is>
      </c>
      <c r="J3336" s="16" t="inlineStr">
        <is>
          <t>CORREGIBLE</t>
        </is>
      </c>
      <c r="K3336" s="16" t="b">
        <v>1</v>
      </c>
      <c r="L3336" s="16" t="b">
        <v>0</v>
      </c>
      <c r="M3336" s="16" t="b">
        <v>1</v>
      </c>
      <c r="N3336" s="16" t="b">
        <v>0</v>
      </c>
      <c r="O3336" s="16" t="n">
        <v>500.5277813779614</v>
      </c>
      <c r="P3336" s="16" t="n">
        <v>297.2705918178041</v>
      </c>
      <c r="Q3336" s="16" t="n">
        <v>4087.477238698253</v>
      </c>
      <c r="R3336" s="16" t="n">
        <v>1571.230458428018</v>
      </c>
      <c r="S3336" s="16" t="n">
        <v>0.6341405192048831</v>
      </c>
      <c r="T3336" s="16" t="n">
        <v>0.85</v>
      </c>
      <c r="U3336" s="16" t="n">
        <v>0.75</v>
      </c>
      <c r="V3336" s="16" t="n">
        <v>0.85</v>
      </c>
      <c r="W3336" s="16" t="n">
        <v>0.75</v>
      </c>
      <c r="X3336" s="16" t="n">
        <v>0.8</v>
      </c>
      <c r="Y3336" s="16" t="n">
        <v>297.2705918178041</v>
      </c>
      <c r="Z3336" s="16" t="n">
        <v>7.63795200072532</v>
      </c>
      <c r="AA3336" s="16" t="n">
        <v>118.5259566815604</v>
      </c>
      <c r="AB3336" s="16" t="n">
        <v>2516.246780270234</v>
      </c>
      <c r="AC3336" s="16" t="n">
        <v>2.601449848921389</v>
      </c>
      <c r="AD3336" s="16" t="inlineStr">
        <is>
          <t>O2</t>
        </is>
      </c>
      <c r="AE3336" s="16" t="n"/>
    </row>
    <row r="3337">
      <c r="A3337" s="16" t="inlineStr">
        <is>
          <t>KF-M09-R0-eficiencias-0023</t>
        </is>
      </c>
      <c r="B3337" s="16" t="inlineStr">
        <is>
          <t>4.3</t>
        </is>
      </c>
      <c r="C3337" s="16" t="inlineStr">
        <is>
          <t>4.3 eficiencias</t>
        </is>
      </c>
      <c r="D3337" s="16" t="inlineStr">
        <is>
          <t>ronda 0</t>
        </is>
      </c>
      <c r="E3337" s="16" t="inlineStr">
        <is>
          <t>KF-M09</t>
        </is>
      </c>
      <c r="F3337" s="16" t="inlineStr">
        <is>
          <t>KF-M09-R0-eficiencias</t>
        </is>
      </c>
      <c r="G3337" s="16" t="inlineStr">
        <is>
          <t>B13-eficiencias</t>
        </is>
      </c>
      <c r="H3337" s="16" t="inlineStr">
        <is>
          <t>lhs</t>
        </is>
      </c>
      <c r="I3337" s="16" t="inlineStr">
        <is>
          <t>KALINA</t>
        </is>
      </c>
      <c r="J3337" s="16" t="inlineStr">
        <is>
          <t>KALINA</t>
        </is>
      </c>
      <c r="K3337" s="16" t="b">
        <v>1</v>
      </c>
      <c r="L3337" s="16" t="b">
        <v>1</v>
      </c>
      <c r="M3337" s="16" t="b">
        <v>0</v>
      </c>
      <c r="N3337" s="16" t="b">
        <v>0</v>
      </c>
      <c r="O3337" s="16" t="n">
        <v>401.0982216367089</v>
      </c>
      <c r="P3337" s="16" t="n">
        <v>289.6336694362919</v>
      </c>
      <c r="Q3337" s="16" t="n">
        <v>3982.118372233416</v>
      </c>
      <c r="R3337" s="16" t="n">
        <v>1927.1274621936</v>
      </c>
      <c r="S3337" s="16" t="n">
        <v>0.6154884096281672</v>
      </c>
      <c r="T3337" s="16" t="n">
        <v>0.85</v>
      </c>
      <c r="U3337" s="16" t="n">
        <v>0.75</v>
      </c>
      <c r="V3337" s="16" t="n">
        <v>0.85</v>
      </c>
      <c r="W3337" s="16" t="n">
        <v>0.75</v>
      </c>
      <c r="X3337" s="16" t="n">
        <v>0.8</v>
      </c>
      <c r="Y3337" s="16" t="n">
        <v>289.6336694362919</v>
      </c>
      <c r="Z3337" s="16" t="n">
        <v>4.13503296202404</v>
      </c>
      <c r="AA3337" s="16" t="n">
        <v>15.84967869568934</v>
      </c>
      <c r="AB3337" s="16" t="n">
        <v>2054.990910039816</v>
      </c>
      <c r="AC3337" s="16" t="n">
        <v>2.066349242774358</v>
      </c>
      <c r="AD3337" s="16" t="n"/>
      <c r="AE3337" s="16" t="n"/>
    </row>
    <row r="3338">
      <c r="A3338" s="16" t="inlineStr">
        <is>
          <t>KF-M09-R0-eficiencias-0024</t>
        </is>
      </c>
      <c r="B3338" s="16" t="inlineStr">
        <is>
          <t>4.3</t>
        </is>
      </c>
      <c r="C3338" s="16" t="inlineStr">
        <is>
          <t>4.3 eficiencias</t>
        </is>
      </c>
      <c r="D3338" s="16" t="inlineStr">
        <is>
          <t>ronda 0</t>
        </is>
      </c>
      <c r="E3338" s="16" t="inlineStr">
        <is>
          <t>KF-M09</t>
        </is>
      </c>
      <c r="F3338" s="16" t="inlineStr">
        <is>
          <t>KF-M09-R0-eficiencias</t>
        </is>
      </c>
      <c r="G3338" s="16" t="inlineStr">
        <is>
          <t>B13-eficiencias</t>
        </is>
      </c>
      <c r="H3338" s="16" t="inlineStr">
        <is>
          <t>lhs</t>
        </is>
      </c>
      <c r="I3338" s="16" t="inlineStr">
        <is>
          <t>N2</t>
        </is>
      </c>
      <c r="J3338" s="16" t="inlineStr">
        <is>
          <t>NO_CONVERGIO</t>
        </is>
      </c>
      <c r="K3338" s="16" t="b">
        <v>0</v>
      </c>
      <c r="L3338" s="16" t="b">
        <v>0</v>
      </c>
      <c r="M3338" s="16" t="b">
        <v>0</v>
      </c>
      <c r="N3338" s="16" t="b">
        <v>0</v>
      </c>
      <c r="O3338" s="16" t="n">
        <v>390.4256886829598</v>
      </c>
      <c r="P3338" s="16" t="n">
        <v>286.6904424862496</v>
      </c>
      <c r="Q3338" s="16" t="n">
        <v>3496.221707866234</v>
      </c>
      <c r="R3338" s="16" t="n">
        <v>1833.657034911994</v>
      </c>
      <c r="S3338" s="16" t="n">
        <v>0.5187823829851084</v>
      </c>
      <c r="T3338" s="16" t="n">
        <v>0.85</v>
      </c>
      <c r="U3338" s="16" t="n">
        <v>0.75</v>
      </c>
      <c r="V3338" s="16" t="n">
        <v>0.85</v>
      </c>
      <c r="W3338" s="16" t="n">
        <v>0.75</v>
      </c>
      <c r="X3338" s="16" t="n">
        <v>0.8</v>
      </c>
      <c r="Y3338" s="16" t="n">
        <v>286.6904424862496</v>
      </c>
      <c r="Z3338" s="16" t="n">
        <v>-6.71839140744645</v>
      </c>
      <c r="AA3338" s="16" t="n">
        <v>-6.630263447378701</v>
      </c>
      <c r="AB3338" s="16" t="n">
        <v>1662.56467295424</v>
      </c>
      <c r="AC3338" s="16" t="n">
        <v>1.906693368116156</v>
      </c>
      <c r="AD3338" s="16" t="inlineStr">
        <is>
          <t>N2,O3,O5,C1,C3,C3</t>
        </is>
      </c>
      <c r="AE3338" s="16" t="n"/>
    </row>
    <row r="3339">
      <c r="A3339" s="16" t="inlineStr">
        <is>
          <t>KF-M09-R0-eficiencias-0025</t>
        </is>
      </c>
      <c r="B3339" s="16" t="inlineStr">
        <is>
          <t>4.3</t>
        </is>
      </c>
      <c r="C3339" s="16" t="inlineStr">
        <is>
          <t>4.3 eficiencias</t>
        </is>
      </c>
      <c r="D3339" s="16" t="inlineStr">
        <is>
          <t>ronda 0</t>
        </is>
      </c>
      <c r="E3339" s="16" t="inlineStr">
        <is>
          <t>KF-M09</t>
        </is>
      </c>
      <c r="F3339" s="16" t="inlineStr">
        <is>
          <t>KF-M09-R0-eficiencias</t>
        </is>
      </c>
      <c r="G3339" s="16" t="inlineStr">
        <is>
          <t>B13-eficiencias</t>
        </is>
      </c>
      <c r="H3339" s="16" t="inlineStr">
        <is>
          <t>lhs</t>
        </is>
      </c>
      <c r="I3339" s="16" t="inlineStr">
        <is>
          <t>CORREGIBLE</t>
        </is>
      </c>
      <c r="J3339" s="16" t="inlineStr">
        <is>
          <t>CORREGIBLE</t>
        </is>
      </c>
      <c r="K3339" s="16" t="b">
        <v>1</v>
      </c>
      <c r="L3339" s="16" t="b">
        <v>0</v>
      </c>
      <c r="M3339" s="16" t="b">
        <v>1</v>
      </c>
      <c r="N3339" s="16" t="b">
        <v>0</v>
      </c>
      <c r="O3339" s="16" t="n">
        <v>449.1603363309051</v>
      </c>
      <c r="P3339" s="16" t="n">
        <v>278.9206133271215</v>
      </c>
      <c r="Q3339" s="16" t="n">
        <v>4194.916865812369</v>
      </c>
      <c r="R3339" s="16" t="n">
        <v>1905.31091306022</v>
      </c>
      <c r="S3339" s="16" t="n">
        <v>0.7779547755394245</v>
      </c>
      <c r="T3339" s="16" t="n">
        <v>0.85</v>
      </c>
      <c r="U3339" s="16" t="n">
        <v>0.75</v>
      </c>
      <c r="V3339" s="16" t="n">
        <v>0.85</v>
      </c>
      <c r="W3339" s="16" t="n">
        <v>0.75</v>
      </c>
      <c r="X3339" s="16" t="n">
        <v>0.8</v>
      </c>
      <c r="Y3339" s="16" t="n">
        <v>278.9206133271215</v>
      </c>
      <c r="Z3339" s="16" t="n">
        <v>7.198768230819049</v>
      </c>
      <c r="AA3339" s="16" t="n">
        <v>92.16391916800092</v>
      </c>
      <c r="AB3339" s="16" t="n">
        <v>2289.605952752149</v>
      </c>
      <c r="AC3339" s="16" t="n">
        <v>2.201696760910634</v>
      </c>
      <c r="AD3339" s="16" t="inlineStr">
        <is>
          <t>O2</t>
        </is>
      </c>
      <c r="AE3339" s="16" t="n"/>
    </row>
    <row r="3340">
      <c r="A3340" s="16" t="inlineStr">
        <is>
          <t>KF-M09-R0-eficiencias-0026</t>
        </is>
      </c>
      <c r="B3340" s="16" t="inlineStr">
        <is>
          <t>4.3</t>
        </is>
      </c>
      <c r="C3340" s="16" t="inlineStr">
        <is>
          <t>4.3 eficiencias</t>
        </is>
      </c>
      <c r="D3340" s="16" t="inlineStr">
        <is>
          <t>ronda 0</t>
        </is>
      </c>
      <c r="E3340" s="16" t="inlineStr">
        <is>
          <t>KF-M09</t>
        </is>
      </c>
      <c r="F3340" s="16" t="inlineStr">
        <is>
          <t>KF-M09-R0-eficiencias</t>
        </is>
      </c>
      <c r="G3340" s="16" t="inlineStr">
        <is>
          <t>B13-eficiencias</t>
        </is>
      </c>
      <c r="H3340" s="16" t="inlineStr">
        <is>
          <t>lhs</t>
        </is>
      </c>
      <c r="I3340" s="16" t="inlineStr">
        <is>
          <t>CORREGIBLE</t>
        </is>
      </c>
      <c r="J3340" s="16" t="inlineStr">
        <is>
          <t>CORREGIBLE</t>
        </is>
      </c>
      <c r="K3340" s="16" t="b">
        <v>1</v>
      </c>
      <c r="L3340" s="16" t="b">
        <v>0</v>
      </c>
      <c r="M3340" s="16" t="b">
        <v>1</v>
      </c>
      <c r="N3340" s="16" t="b">
        <v>0</v>
      </c>
      <c r="O3340" s="16" t="n">
        <v>457.8292868986901</v>
      </c>
      <c r="P3340" s="16" t="n">
        <v>288.274508100654</v>
      </c>
      <c r="Q3340" s="16" t="n">
        <v>3777.023576123163</v>
      </c>
      <c r="R3340" s="16" t="n">
        <v>1874.358392492706</v>
      </c>
      <c r="S3340" s="16" t="n">
        <v>0.6781328843242342</v>
      </c>
      <c r="T3340" s="16" t="n">
        <v>0.85</v>
      </c>
      <c r="U3340" s="16" t="n">
        <v>0.75</v>
      </c>
      <c r="V3340" s="16" t="n">
        <v>0.85</v>
      </c>
      <c r="W3340" s="16" t="n">
        <v>0.75</v>
      </c>
      <c r="X3340" s="16" t="n">
        <v>0.8</v>
      </c>
      <c r="Y3340" s="16" t="n">
        <v>288.274508100654</v>
      </c>
      <c r="Z3340" s="16" t="n">
        <v>6.04595959114129</v>
      </c>
      <c r="AA3340" s="16" t="n">
        <v>79.95973172299156</v>
      </c>
      <c r="AB3340" s="16" t="n">
        <v>1902.665183630458</v>
      </c>
      <c r="AC3340" s="16" t="n">
        <v>2.015102123079091</v>
      </c>
      <c r="AD3340" s="16" t="inlineStr">
        <is>
          <t>O2</t>
        </is>
      </c>
      <c r="AE3340" s="16" t="n"/>
    </row>
    <row r="3341">
      <c r="A3341" s="16" t="inlineStr">
        <is>
          <t>KF-M09-R0-eficiencias-0027</t>
        </is>
      </c>
      <c r="B3341" s="16" t="inlineStr">
        <is>
          <t>4.3</t>
        </is>
      </c>
      <c r="C3341" s="16" t="inlineStr">
        <is>
          <t>4.3 eficiencias</t>
        </is>
      </c>
      <c r="D3341" s="16" t="inlineStr">
        <is>
          <t>ronda 0</t>
        </is>
      </c>
      <c r="E3341" s="16" t="inlineStr">
        <is>
          <t>KF-M09</t>
        </is>
      </c>
      <c r="F3341" s="16" t="inlineStr">
        <is>
          <t>KF-M09-R0-eficiencias</t>
        </is>
      </c>
      <c r="G3341" s="16" t="inlineStr">
        <is>
          <t>B13-eficiencias</t>
        </is>
      </c>
      <c r="H3341" s="16" t="inlineStr">
        <is>
          <t>lhs</t>
        </is>
      </c>
      <c r="I3341" s="16" t="inlineStr">
        <is>
          <t>CORREGIBLE</t>
        </is>
      </c>
      <c r="J3341" s="16" t="inlineStr">
        <is>
          <t>CORREGIBLE</t>
        </is>
      </c>
      <c r="K3341" s="16" t="b">
        <v>1</v>
      </c>
      <c r="L3341" s="16" t="b">
        <v>0</v>
      </c>
      <c r="M3341" s="16" t="b">
        <v>1</v>
      </c>
      <c r="N3341" s="16" t="b">
        <v>0</v>
      </c>
      <c r="O3341" s="16" t="n">
        <v>447.6400518037821</v>
      </c>
      <c r="P3341" s="16" t="n">
        <v>287.1034504041866</v>
      </c>
      <c r="Q3341" s="16" t="n">
        <v>2700.095932721118</v>
      </c>
      <c r="R3341" s="16" t="n">
        <v>1585.195865071417</v>
      </c>
      <c r="S3341" s="16" t="n">
        <v>0.5838666182305684</v>
      </c>
      <c r="T3341" s="16" t="n">
        <v>0.85</v>
      </c>
      <c r="U3341" s="16" t="n">
        <v>0.75</v>
      </c>
      <c r="V3341" s="16" t="n">
        <v>0.85</v>
      </c>
      <c r="W3341" s="16" t="n">
        <v>0.75</v>
      </c>
      <c r="X3341" s="16" t="n">
        <v>0.8</v>
      </c>
      <c r="Y3341" s="16" t="n">
        <v>287.1034504041866</v>
      </c>
      <c r="Z3341" s="16" t="n">
        <v>4.397798521082881</v>
      </c>
      <c r="AA3341" s="16" t="n">
        <v>53.8299446055854</v>
      </c>
      <c r="AB3341" s="16" t="n">
        <v>1114.900067649701</v>
      </c>
      <c r="AC3341" s="16" t="n">
        <v>1.703320070545019</v>
      </c>
      <c r="AD3341" s="16" t="inlineStr">
        <is>
          <t>O2</t>
        </is>
      </c>
      <c r="AE3341" s="16" t="n"/>
    </row>
    <row r="3342">
      <c r="A3342" s="16" t="inlineStr">
        <is>
          <t>KF-M09-R0-eficiencias-0028</t>
        </is>
      </c>
      <c r="B3342" s="16" t="inlineStr">
        <is>
          <t>4.3</t>
        </is>
      </c>
      <c r="C3342" s="16" t="inlineStr">
        <is>
          <t>4.3 eficiencias</t>
        </is>
      </c>
      <c r="D3342" s="16" t="inlineStr">
        <is>
          <t>ronda 0</t>
        </is>
      </c>
      <c r="E3342" s="16" t="inlineStr">
        <is>
          <t>KF-M09</t>
        </is>
      </c>
      <c r="F3342" s="16" t="inlineStr">
        <is>
          <t>KF-M09-R0-eficiencias</t>
        </is>
      </c>
      <c r="G3342" s="16" t="inlineStr">
        <is>
          <t>B13-eficiencias</t>
        </is>
      </c>
      <c r="H3342" s="16" t="inlineStr">
        <is>
          <t>lhs</t>
        </is>
      </c>
      <c r="I3342" s="16" t="inlineStr">
        <is>
          <t>KALINA</t>
        </is>
      </c>
      <c r="J3342" s="16" t="inlineStr">
        <is>
          <t>KALINA</t>
        </is>
      </c>
      <c r="K3342" s="16" t="b">
        <v>1</v>
      </c>
      <c r="L3342" s="16" t="b">
        <v>1</v>
      </c>
      <c r="M3342" s="16" t="b">
        <v>0</v>
      </c>
      <c r="N3342" s="16" t="b">
        <v>0</v>
      </c>
      <c r="O3342" s="16" t="n">
        <v>421.5903852902882</v>
      </c>
      <c r="P3342" s="16" t="n">
        <v>282.0389977812264</v>
      </c>
      <c r="Q3342" s="16" t="n">
        <v>2976.880072997291</v>
      </c>
      <c r="R3342" s="16" t="n">
        <v>1696.253973737439</v>
      </c>
      <c r="S3342" s="16" t="n">
        <v>0.5725772985944421</v>
      </c>
      <c r="T3342" s="16" t="n">
        <v>0.85</v>
      </c>
      <c r="U3342" s="16" t="n">
        <v>0.75</v>
      </c>
      <c r="V3342" s="16" t="n">
        <v>0.85</v>
      </c>
      <c r="W3342" s="16" t="n">
        <v>0.75</v>
      </c>
      <c r="X3342" s="16" t="n">
        <v>0.8</v>
      </c>
      <c r="Y3342" s="16" t="n">
        <v>282.0389977812264</v>
      </c>
      <c r="Z3342" s="16" t="n">
        <v>4.16141323005019</v>
      </c>
      <c r="AA3342" s="16" t="n">
        <v>29.40996394666554</v>
      </c>
      <c r="AB3342" s="16" t="n">
        <v>1280.626099259852</v>
      </c>
      <c r="AC3342" s="16" t="n">
        <v>1.754973087218882</v>
      </c>
      <c r="AD3342" s="16" t="n"/>
      <c r="AE3342" s="16" t="n"/>
    </row>
    <row r="3343">
      <c r="A3343" s="16" t="inlineStr">
        <is>
          <t>KF-M09-R0-eficiencias-0029</t>
        </is>
      </c>
      <c r="B3343" s="16" t="inlineStr">
        <is>
          <t>4.3</t>
        </is>
      </c>
      <c r="C3343" s="16" t="inlineStr">
        <is>
          <t>4.3 eficiencias</t>
        </is>
      </c>
      <c r="D3343" s="16" t="inlineStr">
        <is>
          <t>ronda 0</t>
        </is>
      </c>
      <c r="E3343" s="16" t="inlineStr">
        <is>
          <t>KF-M09</t>
        </is>
      </c>
      <c r="F3343" s="16" t="inlineStr">
        <is>
          <t>KF-M09-R0-eficiencias</t>
        </is>
      </c>
      <c r="G3343" s="16" t="inlineStr">
        <is>
          <t>B13-eficiencias</t>
        </is>
      </c>
      <c r="H3343" s="16" t="inlineStr">
        <is>
          <t>lhs</t>
        </is>
      </c>
      <c r="I3343" s="16" t="inlineStr">
        <is>
          <t>CORREGIBLE</t>
        </is>
      </c>
      <c r="J3343" s="16" t="inlineStr">
        <is>
          <t>CORREGIBLE</t>
        </is>
      </c>
      <c r="K3343" s="16" t="b">
        <v>1</v>
      </c>
      <c r="L3343" s="16" t="b">
        <v>0</v>
      </c>
      <c r="M3343" s="16" t="b">
        <v>0</v>
      </c>
      <c r="N3343" s="16" t="b">
        <v>0</v>
      </c>
      <c r="O3343" s="16" t="n">
        <v>410.304482456303</v>
      </c>
      <c r="P3343" s="16" t="n">
        <v>283.1994891746951</v>
      </c>
      <c r="Q3343" s="16" t="n">
        <v>4297.372863086161</v>
      </c>
      <c r="R3343" s="16" t="n">
        <v>616.7807084926085</v>
      </c>
      <c r="S3343" s="16" t="n">
        <v>0.8251699906333467</v>
      </c>
      <c r="T3343" s="16" t="n">
        <v>0.85</v>
      </c>
      <c r="U3343" s="16" t="n">
        <v>0.75</v>
      </c>
      <c r="V3343" s="16" t="n">
        <v>0.85</v>
      </c>
      <c r="W3343" s="16" t="n">
        <v>0.75</v>
      </c>
      <c r="X3343" s="16" t="n">
        <v>0.8</v>
      </c>
      <c r="Y3343" s="16" t="n">
        <v>283.1994891746951</v>
      </c>
      <c r="Z3343" s="16" t="n">
        <v>15.38722271289562</v>
      </c>
      <c r="AA3343" s="16" t="n">
        <v>134.1476526639306</v>
      </c>
      <c r="AB3343" s="16" t="n">
        <v>3680.592154593552</v>
      </c>
      <c r="AC3343" s="16" t="n">
        <v>6.967424246437274</v>
      </c>
      <c r="AD3343" s="16" t="inlineStr">
        <is>
          <t>O2</t>
        </is>
      </c>
      <c r="AE3343" s="16" t="n"/>
    </row>
    <row r="3344">
      <c r="A3344" s="16" t="inlineStr">
        <is>
          <t>KF-M09-R0-eficiencias-0030</t>
        </is>
      </c>
      <c r="B3344" s="16" t="inlineStr">
        <is>
          <t>4.3</t>
        </is>
      </c>
      <c r="C3344" s="16" t="inlineStr">
        <is>
          <t>4.3 eficiencias</t>
        </is>
      </c>
      <c r="D3344" s="16" t="inlineStr">
        <is>
          <t>ronda 0</t>
        </is>
      </c>
      <c r="E3344" s="16" t="inlineStr">
        <is>
          <t>KF-M09</t>
        </is>
      </c>
      <c r="F3344" s="16" t="inlineStr">
        <is>
          <t>KF-M09-R0-eficiencias</t>
        </is>
      </c>
      <c r="G3344" s="16" t="inlineStr">
        <is>
          <t>B13-eficiencias</t>
        </is>
      </c>
      <c r="H3344" s="16" t="inlineStr">
        <is>
          <t>lhs</t>
        </is>
      </c>
      <c r="I3344" s="16" t="inlineStr">
        <is>
          <t>CORREGIBLE</t>
        </is>
      </c>
      <c r="J3344" s="16" t="inlineStr">
        <is>
          <t>CORREGIBLE</t>
        </is>
      </c>
      <c r="K3344" s="16" t="b">
        <v>1</v>
      </c>
      <c r="L3344" s="16" t="b">
        <v>0</v>
      </c>
      <c r="M3344" s="16" t="b">
        <v>1</v>
      </c>
      <c r="N3344" s="16" t="b">
        <v>0</v>
      </c>
      <c r="O3344" s="16" t="n">
        <v>445.9447090649993</v>
      </c>
      <c r="P3344" s="16" t="n">
        <v>299.7333329890835</v>
      </c>
      <c r="Q3344" s="16" t="n">
        <v>3095.387109155114</v>
      </c>
      <c r="R3344" s="16" t="n">
        <v>1340.843494068004</v>
      </c>
      <c r="S3344" s="16" t="n">
        <v>0.7348456848378769</v>
      </c>
      <c r="T3344" s="16" t="n">
        <v>0.85</v>
      </c>
      <c r="U3344" s="16" t="n">
        <v>0.75</v>
      </c>
      <c r="V3344" s="16" t="n">
        <v>0.85</v>
      </c>
      <c r="W3344" s="16" t="n">
        <v>0.75</v>
      </c>
      <c r="X3344" s="16" t="n">
        <v>0.8</v>
      </c>
      <c r="Y3344" s="16" t="n">
        <v>299.7333329890835</v>
      </c>
      <c r="Z3344" s="16" t="n">
        <v>6.85228895083355</v>
      </c>
      <c r="AA3344" s="16" t="n">
        <v>89.61267930220478</v>
      </c>
      <c r="AB3344" s="16" t="n">
        <v>1754.543615087109</v>
      </c>
      <c r="AC3344" s="16" t="n">
        <v>2.308537217691212</v>
      </c>
      <c r="AD3344" s="16" t="inlineStr">
        <is>
          <t>O2</t>
        </is>
      </c>
      <c r="AE3344" s="16" t="n"/>
    </row>
    <row r="3345">
      <c r="A3345" s="16" t="inlineStr">
        <is>
          <t>KF-M09-R0-eficiencias-0031</t>
        </is>
      </c>
      <c r="B3345" s="16" t="inlineStr">
        <is>
          <t>4.3</t>
        </is>
      </c>
      <c r="C3345" s="16" t="inlineStr">
        <is>
          <t>4.3 eficiencias</t>
        </is>
      </c>
      <c r="D3345" s="16" t="inlineStr">
        <is>
          <t>ronda 0</t>
        </is>
      </c>
      <c r="E3345" s="16" t="inlineStr">
        <is>
          <t>KF-M09</t>
        </is>
      </c>
      <c r="F3345" s="16" t="inlineStr">
        <is>
          <t>KF-M09-R0-eficiencias</t>
        </is>
      </c>
      <c r="G3345" s="16" t="inlineStr">
        <is>
          <t>B13-eficiencias</t>
        </is>
      </c>
      <c r="H3345" s="16" t="inlineStr">
        <is>
          <t>lhs</t>
        </is>
      </c>
      <c r="I3345" s="16" t="inlineStr">
        <is>
          <t>CORREGIBLE</t>
        </is>
      </c>
      <c r="J3345" s="16" t="inlineStr">
        <is>
          <t>CORREGIBLE</t>
        </is>
      </c>
      <c r="K3345" s="16" t="b">
        <v>1</v>
      </c>
      <c r="L3345" s="16" t="b">
        <v>0</v>
      </c>
      <c r="M3345" s="16" t="b">
        <v>1</v>
      </c>
      <c r="N3345" s="16" t="b">
        <v>0</v>
      </c>
      <c r="O3345" s="16" t="n">
        <v>486.5999240478292</v>
      </c>
      <c r="P3345" s="16" t="n">
        <v>280.8228812893423</v>
      </c>
      <c r="Q3345" s="16" t="n">
        <v>2812.895129703621</v>
      </c>
      <c r="R3345" s="16" t="n">
        <v>1469.859362541699</v>
      </c>
      <c r="S3345" s="16" t="n">
        <v>0.7188210470115854</v>
      </c>
      <c r="T3345" s="16" t="n">
        <v>0.85</v>
      </c>
      <c r="U3345" s="16" t="n">
        <v>0.75</v>
      </c>
      <c r="V3345" s="16" t="n">
        <v>0.85</v>
      </c>
      <c r="W3345" s="16" t="n">
        <v>0.75</v>
      </c>
      <c r="X3345" s="16" t="n">
        <v>0.8</v>
      </c>
      <c r="Y3345" s="16" t="n">
        <v>280.8228812893423</v>
      </c>
      <c r="Z3345" s="16" t="n">
        <v>5.40120466217389</v>
      </c>
      <c r="AA3345" s="16" t="n">
        <v>82.18938681686636</v>
      </c>
      <c r="AB3345" s="16" t="n">
        <v>1343.035767161922</v>
      </c>
      <c r="AC3345" s="16" t="n">
        <v>1.913717190493333</v>
      </c>
      <c r="AD3345" s="16" t="inlineStr">
        <is>
          <t>O2</t>
        </is>
      </c>
      <c r="AE3345" s="16" t="n"/>
    </row>
    <row r="3346">
      <c r="A3346" s="16" t="inlineStr">
        <is>
          <t>KF-M09-R0-eficiencias-0032</t>
        </is>
      </c>
      <c r="B3346" s="16" t="inlineStr">
        <is>
          <t>4.3</t>
        </is>
      </c>
      <c r="C3346" s="16" t="inlineStr">
        <is>
          <t>4.3 eficiencias</t>
        </is>
      </c>
      <c r="D3346" s="16" t="inlineStr">
        <is>
          <t>ronda 0</t>
        </is>
      </c>
      <c r="E3346" s="16" t="inlineStr">
        <is>
          <t>KF-M09</t>
        </is>
      </c>
      <c r="F3346" s="16" t="inlineStr">
        <is>
          <t>KF-M09-R0-eficiencias</t>
        </is>
      </c>
      <c r="G3346" s="16" t="inlineStr">
        <is>
          <t>B13-eficiencias</t>
        </is>
      </c>
      <c r="H3346" s="16" t="inlineStr">
        <is>
          <t>lhs</t>
        </is>
      </c>
      <c r="I3346" s="16" t="inlineStr">
        <is>
          <t>CORREGIBLE</t>
        </is>
      </c>
      <c r="J3346" s="16" t="inlineStr">
        <is>
          <t>CORREGIBLE</t>
        </is>
      </c>
      <c r="K3346" s="16" t="b">
        <v>1</v>
      </c>
      <c r="L3346" s="16" t="b">
        <v>0</v>
      </c>
      <c r="M3346" s="16" t="b">
        <v>1</v>
      </c>
      <c r="N3346" s="16" t="b">
        <v>0</v>
      </c>
      <c r="O3346" s="16" t="n">
        <v>460.8762647657571</v>
      </c>
      <c r="P3346" s="16" t="n">
        <v>297.9194947068083</v>
      </c>
      <c r="Q3346" s="16" t="n">
        <v>3958.66631322253</v>
      </c>
      <c r="R3346" s="16" t="n">
        <v>1041.168318080701</v>
      </c>
      <c r="S3346" s="16" t="n">
        <v>0.8464469023681686</v>
      </c>
      <c r="T3346" s="16" t="n">
        <v>0.85</v>
      </c>
      <c r="U3346" s="16" t="n">
        <v>0.75</v>
      </c>
      <c r="V3346" s="16" t="n">
        <v>0.85</v>
      </c>
      <c r="W3346" s="16" t="n">
        <v>0.75</v>
      </c>
      <c r="X3346" s="16" t="n">
        <v>0.8</v>
      </c>
      <c r="Y3346" s="16" t="n">
        <v>297.9194947068083</v>
      </c>
      <c r="Z3346" s="16" t="n">
        <v>11.50547560673558</v>
      </c>
      <c r="AA3346" s="16" t="n">
        <v>143.5153150469997</v>
      </c>
      <c r="AB3346" s="16" t="n">
        <v>2917.497995141829</v>
      </c>
      <c r="AC3346" s="16" t="n">
        <v>3.802138659501251</v>
      </c>
      <c r="AD3346" s="16" t="inlineStr">
        <is>
          <t>O2</t>
        </is>
      </c>
      <c r="AE3346" s="16" t="n"/>
    </row>
    <row r="3347">
      <c r="A3347" s="16" t="inlineStr">
        <is>
          <t>KF-M09-R0-eficiencias-0033</t>
        </is>
      </c>
      <c r="B3347" s="16" t="inlineStr">
        <is>
          <t>4.3</t>
        </is>
      </c>
      <c r="C3347" s="16" t="inlineStr">
        <is>
          <t>4.3 eficiencias</t>
        </is>
      </c>
      <c r="D3347" s="16" t="inlineStr">
        <is>
          <t>ronda 0</t>
        </is>
      </c>
      <c r="E3347" s="16" t="inlineStr">
        <is>
          <t>KF-M09</t>
        </is>
      </c>
      <c r="F3347" s="16" t="inlineStr">
        <is>
          <t>KF-M09-R0-eficiencias</t>
        </is>
      </c>
      <c r="G3347" s="16" t="inlineStr">
        <is>
          <t>B13-eficiencias</t>
        </is>
      </c>
      <c r="H3347" s="16" t="inlineStr">
        <is>
          <t>lhs</t>
        </is>
      </c>
      <c r="I3347" s="16" t="inlineStr">
        <is>
          <t>NO_CONVERGIO</t>
        </is>
      </c>
      <c r="J3347" s="16" t="inlineStr">
        <is>
          <t>NO_CONVERGIO</t>
        </is>
      </c>
      <c r="K3347" s="16" t="b">
        <v>0</v>
      </c>
      <c r="L3347" s="16" t="b">
        <v>0</v>
      </c>
      <c r="M3347" s="16" t="b">
        <v>0</v>
      </c>
      <c r="N3347" s="16" t="b">
        <v>0</v>
      </c>
      <c r="O3347" s="16" t="n">
        <v>444.7918757980456</v>
      </c>
      <c r="P3347" s="16" t="n">
        <v>284.1238929908239</v>
      </c>
      <c r="Q3347" s="16" t="n">
        <v>4860.404779553053</v>
      </c>
      <c r="R3347" s="16" t="n">
        <v>957.5800940684758</v>
      </c>
      <c r="S3347" s="16" t="n">
        <v>0.6976200906884394</v>
      </c>
      <c r="T3347" s="16" t="n">
        <v>0.85</v>
      </c>
      <c r="U3347" s="16" t="n">
        <v>0.75</v>
      </c>
      <c r="V3347" s="16" t="n">
        <v>0.85</v>
      </c>
      <c r="W3347" s="16" t="n">
        <v>0.75</v>
      </c>
      <c r="X3347" s="16" t="n">
        <v>0.8</v>
      </c>
      <c r="Y3347" s="16" t="n">
        <v>284.1238929908239</v>
      </c>
      <c r="Z3347" s="16" t="n"/>
      <c r="AA3347" s="16" t="n"/>
      <c r="AB3347" s="16" t="n">
        <v>3902.824685484577</v>
      </c>
      <c r="AC3347" s="16" t="n">
        <v>5.075716182552026</v>
      </c>
      <c r="AD3347" s="16" t="n"/>
      <c r="AE3347" s="16" t="n"/>
    </row>
    <row r="3348">
      <c r="A3348" s="16" t="inlineStr">
        <is>
          <t>KF-M09-R0-eficiencias-0034</t>
        </is>
      </c>
      <c r="B3348" s="16" t="inlineStr">
        <is>
          <t>4.3</t>
        </is>
      </c>
      <c r="C3348" s="16" t="inlineStr">
        <is>
          <t>4.3 eficiencias</t>
        </is>
      </c>
      <c r="D3348" s="16" t="inlineStr">
        <is>
          <t>ronda 0</t>
        </is>
      </c>
      <c r="E3348" s="16" t="inlineStr">
        <is>
          <t>KF-M09</t>
        </is>
      </c>
      <c r="F3348" s="16" t="inlineStr">
        <is>
          <t>KF-M09-R0-eficiencias</t>
        </is>
      </c>
      <c r="G3348" s="16" t="inlineStr">
        <is>
          <t>B13-eficiencias</t>
        </is>
      </c>
      <c r="H3348" s="16" t="inlineStr">
        <is>
          <t>lhs</t>
        </is>
      </c>
      <c r="I3348" s="16" t="inlineStr">
        <is>
          <t>CORREGIBLE</t>
        </is>
      </c>
      <c r="J3348" s="16" t="inlineStr">
        <is>
          <t>CORREGIBLE</t>
        </is>
      </c>
      <c r="K3348" s="16" t="b">
        <v>1</v>
      </c>
      <c r="L3348" s="16" t="b">
        <v>0</v>
      </c>
      <c r="M3348" s="16" t="b">
        <v>1</v>
      </c>
      <c r="N3348" s="16" t="b">
        <v>0</v>
      </c>
      <c r="O3348" s="16" t="n">
        <v>474.7756685550891</v>
      </c>
      <c r="P3348" s="16" t="n">
        <v>297.6670446221913</v>
      </c>
      <c r="Q3348" s="16" t="n">
        <v>3463.226043991491</v>
      </c>
      <c r="R3348" s="16" t="n">
        <v>1011.05225480979</v>
      </c>
      <c r="S3348" s="16" t="n">
        <v>0.838447618074577</v>
      </c>
      <c r="T3348" s="16" t="n">
        <v>0.85</v>
      </c>
      <c r="U3348" s="16" t="n">
        <v>0.75</v>
      </c>
      <c r="V3348" s="16" t="n">
        <v>0.85</v>
      </c>
      <c r="W3348" s="16" t="n">
        <v>0.75</v>
      </c>
      <c r="X3348" s="16" t="n">
        <v>0.8</v>
      </c>
      <c r="Y3348" s="16" t="n">
        <v>297.6670446221913</v>
      </c>
      <c r="Z3348" s="16" t="n">
        <v>10.34819147828597</v>
      </c>
      <c r="AA3348" s="16" t="n">
        <v>133.9556737184344</v>
      </c>
      <c r="AB3348" s="16" t="n">
        <v>2452.173789181701</v>
      </c>
      <c r="AC3348" s="16" t="n">
        <v>3.425368003994047</v>
      </c>
      <c r="AD3348" s="16" t="inlineStr">
        <is>
          <t>O2</t>
        </is>
      </c>
      <c r="AE3348" s="16" t="n"/>
    </row>
    <row r="3349">
      <c r="A3349" s="16" t="inlineStr">
        <is>
          <t>KF-M09-R0-eficiencias-0035</t>
        </is>
      </c>
      <c r="B3349" s="16" t="inlineStr">
        <is>
          <t>4.3</t>
        </is>
      </c>
      <c r="C3349" s="16" t="inlineStr">
        <is>
          <t>4.3 eficiencias</t>
        </is>
      </c>
      <c r="D3349" s="16" t="inlineStr">
        <is>
          <t>ronda 0</t>
        </is>
      </c>
      <c r="E3349" s="16" t="inlineStr">
        <is>
          <t>KF-M09</t>
        </is>
      </c>
      <c r="F3349" s="16" t="inlineStr">
        <is>
          <t>KF-M09-R0-eficiencias</t>
        </is>
      </c>
      <c r="G3349" s="16" t="inlineStr">
        <is>
          <t>B13-eficiencias</t>
        </is>
      </c>
      <c r="H3349" s="16" t="inlineStr">
        <is>
          <t>lhs</t>
        </is>
      </c>
      <c r="I3349" s="16" t="inlineStr">
        <is>
          <t>CORREGIBLE</t>
        </is>
      </c>
      <c r="J3349" s="16" t="inlineStr">
        <is>
          <t>CORREGIBLE</t>
        </is>
      </c>
      <c r="K3349" s="16" t="b">
        <v>1</v>
      </c>
      <c r="L3349" s="16" t="b">
        <v>0</v>
      </c>
      <c r="M3349" s="16" t="b">
        <v>1</v>
      </c>
      <c r="N3349" s="16" t="b">
        <v>0</v>
      </c>
      <c r="O3349" s="16" t="n">
        <v>517.3019659335196</v>
      </c>
      <c r="P3349" s="16" t="n">
        <v>299.7806573851609</v>
      </c>
      <c r="Q3349" s="16" t="n">
        <v>2386.906949143377</v>
      </c>
      <c r="R3349" s="16" t="n">
        <v>1442.478059880373</v>
      </c>
      <c r="S3349" s="16" t="n">
        <v>0.7466857666122346</v>
      </c>
      <c r="T3349" s="16" t="n">
        <v>0.85</v>
      </c>
      <c r="U3349" s="16" t="n">
        <v>0.75</v>
      </c>
      <c r="V3349" s="16" t="n">
        <v>0.85</v>
      </c>
      <c r="W3349" s="16" t="n">
        <v>0.75</v>
      </c>
      <c r="X3349" s="16" t="n">
        <v>0.8</v>
      </c>
      <c r="Y3349" s="16" t="n">
        <v>299.7806573851609</v>
      </c>
      <c r="Z3349" s="16" t="n">
        <v>3.96843785693444</v>
      </c>
      <c r="AA3349" s="16" t="n">
        <v>59.33696243100827</v>
      </c>
      <c r="AB3349" s="16" t="n">
        <v>944.4288892630038</v>
      </c>
      <c r="AC3349" s="16" t="n">
        <v>1.65472669257883</v>
      </c>
      <c r="AD3349" s="16" t="inlineStr">
        <is>
          <t>O2</t>
        </is>
      </c>
      <c r="AE3349" s="16" t="n"/>
    </row>
    <row r="3350">
      <c r="A3350" s="16" t="inlineStr">
        <is>
          <t>KF-M09-R0-eficiencias-0036</t>
        </is>
      </c>
      <c r="B3350" s="16" t="inlineStr">
        <is>
          <t>4.3</t>
        </is>
      </c>
      <c r="C3350" s="16" t="inlineStr">
        <is>
          <t>4.3 eficiencias</t>
        </is>
      </c>
      <c r="D3350" s="16" t="inlineStr">
        <is>
          <t>ronda 0</t>
        </is>
      </c>
      <c r="E3350" s="16" t="inlineStr">
        <is>
          <t>KF-M09</t>
        </is>
      </c>
      <c r="F3350" s="16" t="inlineStr">
        <is>
          <t>KF-M09-R0-eficiencias</t>
        </is>
      </c>
      <c r="G3350" s="16" t="inlineStr">
        <is>
          <t>B13-eficiencias</t>
        </is>
      </c>
      <c r="H3350" s="16" t="inlineStr">
        <is>
          <t>lhs</t>
        </is>
      </c>
      <c r="I3350" s="16" t="inlineStr">
        <is>
          <t>CORREGIBLE</t>
        </is>
      </c>
      <c r="J3350" s="16" t="inlineStr">
        <is>
          <t>CORREGIBLE</t>
        </is>
      </c>
      <c r="K3350" s="16" t="b">
        <v>1</v>
      </c>
      <c r="L3350" s="16" t="b">
        <v>0</v>
      </c>
      <c r="M3350" s="16" t="b">
        <v>1</v>
      </c>
      <c r="N3350" s="16" t="b">
        <v>0</v>
      </c>
      <c r="O3350" s="16" t="n">
        <v>434.9973955296717</v>
      </c>
      <c r="P3350" s="16" t="n">
        <v>291.3348676255869</v>
      </c>
      <c r="Q3350" s="16" t="n">
        <v>4721.1741915917</v>
      </c>
      <c r="R3350" s="16" t="n">
        <v>1597.900792178647</v>
      </c>
      <c r="S3350" s="16" t="n">
        <v>0.7165544185194632</v>
      </c>
      <c r="T3350" s="16" t="n">
        <v>0.85</v>
      </c>
      <c r="U3350" s="16" t="n">
        <v>0.75</v>
      </c>
      <c r="V3350" s="16" t="n">
        <v>0.85</v>
      </c>
      <c r="W3350" s="16" t="n">
        <v>0.75</v>
      </c>
      <c r="X3350" s="16" t="n">
        <v>0.8</v>
      </c>
      <c r="Y3350" s="16" t="n">
        <v>291.3348676255869</v>
      </c>
      <c r="Z3350" s="16" t="n">
        <v>9.16984886092385</v>
      </c>
      <c r="AA3350" s="16" t="n">
        <v>80.02799829661541</v>
      </c>
      <c r="AB3350" s="16" t="n">
        <v>3123.273399413053</v>
      </c>
      <c r="AC3350" s="16" t="n">
        <v>2.954610332944793</v>
      </c>
      <c r="AD3350" s="16" t="inlineStr">
        <is>
          <t>O2</t>
        </is>
      </c>
      <c r="AE3350" s="16" t="n"/>
    </row>
    <row r="3351">
      <c r="A3351" s="16" t="inlineStr">
        <is>
          <t>KF-M09-R0-eficiencias-0037</t>
        </is>
      </c>
      <c r="B3351" s="16" t="inlineStr">
        <is>
          <t>4.3</t>
        </is>
      </c>
      <c r="C3351" s="16" t="inlineStr">
        <is>
          <t>4.3 eficiencias</t>
        </is>
      </c>
      <c r="D3351" s="16" t="inlineStr">
        <is>
          <t>ronda 0</t>
        </is>
      </c>
      <c r="E3351" s="16" t="inlineStr">
        <is>
          <t>KF-M09</t>
        </is>
      </c>
      <c r="F3351" s="16" t="inlineStr">
        <is>
          <t>KF-M09-R0-eficiencias</t>
        </is>
      </c>
      <c r="G3351" s="16" t="inlineStr">
        <is>
          <t>B13-eficiencias</t>
        </is>
      </c>
      <c r="H3351" s="16" t="inlineStr">
        <is>
          <t>lhs</t>
        </is>
      </c>
      <c r="I3351" s="16" t="inlineStr">
        <is>
          <t>CORREGIBLE</t>
        </is>
      </c>
      <c r="J3351" s="16" t="inlineStr">
        <is>
          <t>CORREGIBLE</t>
        </is>
      </c>
      <c r="K3351" s="16" t="b">
        <v>1</v>
      </c>
      <c r="L3351" s="16" t="b">
        <v>0</v>
      </c>
      <c r="M3351" s="16" t="b">
        <v>1</v>
      </c>
      <c r="N3351" s="16" t="b">
        <v>0</v>
      </c>
      <c r="O3351" s="16" t="n">
        <v>454.0131746966833</v>
      </c>
      <c r="P3351" s="16" t="n">
        <v>300.5640266250018</v>
      </c>
      <c r="Q3351" s="16" t="n">
        <v>3214.029769258531</v>
      </c>
      <c r="R3351" s="16" t="n">
        <v>1289.468386599512</v>
      </c>
      <c r="S3351" s="16" t="n">
        <v>0.5348704274223921</v>
      </c>
      <c r="T3351" s="16" t="n">
        <v>0.85</v>
      </c>
      <c r="U3351" s="16" t="n">
        <v>0.75</v>
      </c>
      <c r="V3351" s="16" t="n">
        <v>0.85</v>
      </c>
      <c r="W3351" s="16" t="n">
        <v>0.75</v>
      </c>
      <c r="X3351" s="16" t="n">
        <v>0.8</v>
      </c>
      <c r="Y3351" s="16" t="n">
        <v>300.5640266250018</v>
      </c>
      <c r="Z3351" s="16" t="n">
        <v>7.14447646108069</v>
      </c>
      <c r="AA3351" s="16" t="n">
        <v>75.37038295234808</v>
      </c>
      <c r="AB3351" s="16" t="n">
        <v>1924.561382659018</v>
      </c>
      <c r="AC3351" s="16" t="n">
        <v>2.492523122442982</v>
      </c>
      <c r="AD3351" s="16" t="inlineStr">
        <is>
          <t>O2</t>
        </is>
      </c>
      <c r="AE3351" s="16" t="n"/>
    </row>
    <row r="3352">
      <c r="A3352" s="16" t="inlineStr">
        <is>
          <t>KF-M09-R0-eficiencias-0038</t>
        </is>
      </c>
      <c r="B3352" s="16" t="inlineStr">
        <is>
          <t>4.3</t>
        </is>
      </c>
      <c r="C3352" s="16" t="inlineStr">
        <is>
          <t>4.3 eficiencias</t>
        </is>
      </c>
      <c r="D3352" s="16" t="inlineStr">
        <is>
          <t>ronda 0</t>
        </is>
      </c>
      <c r="E3352" s="16" t="inlineStr">
        <is>
          <t>KF-M09</t>
        </is>
      </c>
      <c r="F3352" s="16" t="inlineStr">
        <is>
          <t>KF-M09-R0-eficiencias</t>
        </is>
      </c>
      <c r="G3352" s="16" t="inlineStr">
        <is>
          <t>B13-eficiencias</t>
        </is>
      </c>
      <c r="H3352" s="16" t="inlineStr">
        <is>
          <t>lhs</t>
        </is>
      </c>
      <c r="I3352" s="16" t="inlineStr">
        <is>
          <t>CORREGIBLE</t>
        </is>
      </c>
      <c r="J3352" s="16" t="inlineStr">
        <is>
          <t>CORREGIBLE</t>
        </is>
      </c>
      <c r="K3352" s="16" t="b">
        <v>1</v>
      </c>
      <c r="L3352" s="16" t="b">
        <v>0</v>
      </c>
      <c r="M3352" s="16" t="b">
        <v>0</v>
      </c>
      <c r="N3352" s="16" t="b">
        <v>0</v>
      </c>
      <c r="O3352" s="16" t="n">
        <v>430.5308259544826</v>
      </c>
      <c r="P3352" s="16" t="n">
        <v>281.3844647989961</v>
      </c>
      <c r="Q3352" s="16" t="n">
        <v>2220.653844236773</v>
      </c>
      <c r="R3352" s="16" t="n">
        <v>718.9592429775827</v>
      </c>
      <c r="S3352" s="16" t="n">
        <v>0.7703801629760925</v>
      </c>
      <c r="T3352" s="16" t="n">
        <v>0.85</v>
      </c>
      <c r="U3352" s="16" t="n">
        <v>0.75</v>
      </c>
      <c r="V3352" s="16" t="n">
        <v>0.85</v>
      </c>
      <c r="W3352" s="16" t="n">
        <v>0.75</v>
      </c>
      <c r="X3352" s="16" t="n">
        <v>0.8</v>
      </c>
      <c r="Y3352" s="16" t="n">
        <v>281.3844647989961</v>
      </c>
      <c r="Z3352" s="16" t="n">
        <v>8.836779921167819</v>
      </c>
      <c r="AA3352" s="16" t="n">
        <v>119.83271940131</v>
      </c>
      <c r="AB3352" s="16" t="n">
        <v>1501.69460125919</v>
      </c>
      <c r="AC3352" s="16" t="n">
        <v>3.088706162313033</v>
      </c>
      <c r="AD3352" s="16" t="inlineStr">
        <is>
          <t>O2</t>
        </is>
      </c>
      <c r="AE3352" s="16" t="n"/>
    </row>
    <row r="3353">
      <c r="A3353" s="16" t="inlineStr">
        <is>
          <t>KF-M09-R0-eficiencias-0039</t>
        </is>
      </c>
      <c r="B3353" s="16" t="inlineStr">
        <is>
          <t>4.3</t>
        </is>
      </c>
      <c r="C3353" s="16" t="inlineStr">
        <is>
          <t>4.3 eficiencias</t>
        </is>
      </c>
      <c r="D3353" s="16" t="inlineStr">
        <is>
          <t>ronda 0</t>
        </is>
      </c>
      <c r="E3353" s="16" t="inlineStr">
        <is>
          <t>KF-M09</t>
        </is>
      </c>
      <c r="F3353" s="16" t="inlineStr">
        <is>
          <t>KF-M09-R0-eficiencias</t>
        </is>
      </c>
      <c r="G3353" s="16" t="inlineStr">
        <is>
          <t>B13-eficiencias</t>
        </is>
      </c>
      <c r="H3353" s="16" t="inlineStr">
        <is>
          <t>lhs</t>
        </is>
      </c>
      <c r="I3353" s="16" t="inlineStr">
        <is>
          <t>OMITIDO</t>
        </is>
      </c>
      <c r="J3353" s="16" t="n"/>
      <c r="K3353" s="16" t="b">
        <v>0</v>
      </c>
      <c r="L3353" s="16" t="b">
        <v>0</v>
      </c>
      <c r="M3353" s="16" t="n"/>
      <c r="N3353" s="16" t="b">
        <v>1</v>
      </c>
      <c r="O3353" s="16" t="n">
        <v>519.55981325731</v>
      </c>
      <c r="P3353" s="16" t="n">
        <v>286.3112553084702</v>
      </c>
      <c r="Q3353" s="16" t="n">
        <v>2031.469102000326</v>
      </c>
      <c r="R3353" s="16" t="n">
        <v>1782.517858013988</v>
      </c>
      <c r="S3353" s="16" t="n">
        <v>0.7394903837436729</v>
      </c>
      <c r="T3353" s="16" t="n">
        <v>0.85</v>
      </c>
      <c r="U3353" s="16" t="n">
        <v>0.75</v>
      </c>
      <c r="V3353" s="16" t="n">
        <v>0.85</v>
      </c>
      <c r="W3353" s="16" t="n">
        <v>0.75</v>
      </c>
      <c r="X3353" s="16" t="n">
        <v>0.8</v>
      </c>
      <c r="Y3353" s="16" t="n"/>
      <c r="Z3353" s="16" t="n"/>
      <c r="AA3353" s="16" t="n"/>
      <c r="AB3353" s="16" t="n">
        <v>248.9512439863381</v>
      </c>
      <c r="AC3353" s="16" t="n">
        <v>1.139662692784301</v>
      </c>
      <c r="AD3353" s="16" t="n"/>
      <c r="AE3353" s="16" t="n"/>
    </row>
    <row r="3354">
      <c r="A3354" s="16" t="inlineStr">
        <is>
          <t>KF-M09-R0-eficiencias-0040</t>
        </is>
      </c>
      <c r="B3354" s="16" t="inlineStr">
        <is>
          <t>4.3</t>
        </is>
      </c>
      <c r="C3354" s="16" t="inlineStr">
        <is>
          <t>4.3 eficiencias</t>
        </is>
      </c>
      <c r="D3354" s="16" t="inlineStr">
        <is>
          <t>ronda 0</t>
        </is>
      </c>
      <c r="E3354" s="16" t="inlineStr">
        <is>
          <t>KF-M09</t>
        </is>
      </c>
      <c r="F3354" s="16" t="inlineStr">
        <is>
          <t>KF-M09-R0-eficiencias</t>
        </is>
      </c>
      <c r="G3354" s="16" t="inlineStr">
        <is>
          <t>B13-eficiencias</t>
        </is>
      </c>
      <c r="H3354" s="16" t="inlineStr">
        <is>
          <t>lhs</t>
        </is>
      </c>
      <c r="I3354" s="16" t="inlineStr">
        <is>
          <t>INVIABLE</t>
        </is>
      </c>
      <c r="J3354" s="16" t="inlineStr">
        <is>
          <t>INVIABLE</t>
        </is>
      </c>
      <c r="K3354" s="16" t="b">
        <v>1</v>
      </c>
      <c r="L3354" s="16" t="b">
        <v>0</v>
      </c>
      <c r="M3354" s="16" t="b">
        <v>0</v>
      </c>
      <c r="N3354" s="16" t="b">
        <v>0</v>
      </c>
      <c r="O3354" s="16" t="n">
        <v>406.9684442269485</v>
      </c>
      <c r="P3354" s="16" t="n">
        <v>298.118017268524</v>
      </c>
      <c r="Q3354" s="16" t="n">
        <v>4312.606979702859</v>
      </c>
      <c r="R3354" s="16" t="n">
        <v>369.9612536798941</v>
      </c>
      <c r="S3354" s="16" t="n">
        <v>0.5044217271722121</v>
      </c>
      <c r="T3354" s="16" t="n">
        <v>0.85</v>
      </c>
      <c r="U3354" s="16" t="n">
        <v>0.75</v>
      </c>
      <c r="V3354" s="16" t="n">
        <v>0.85</v>
      </c>
      <c r="W3354" s="16" t="n">
        <v>0.75</v>
      </c>
      <c r="X3354" s="16" t="n">
        <v>0.8</v>
      </c>
      <c r="Y3354" s="16" t="n">
        <v>298.118017268524</v>
      </c>
      <c r="Z3354" s="16" t="n">
        <v>-4.818527751412669</v>
      </c>
      <c r="AA3354" s="16" t="n">
        <v>-6.014193396435196</v>
      </c>
      <c r="AB3354" s="16" t="n">
        <v>3942.645726022965</v>
      </c>
      <c r="AC3354" s="16" t="n">
        <v>11.65691524938529</v>
      </c>
      <c r="AD3354" s="16" t="inlineStr">
        <is>
          <t>O2,O3</t>
        </is>
      </c>
      <c r="AE3354" s="16" t="n"/>
    </row>
    <row r="3355">
      <c r="A3355" s="16" t="inlineStr">
        <is>
          <t>KF-M09-R0-eficiencias-0041</t>
        </is>
      </c>
      <c r="B3355" s="16" t="inlineStr">
        <is>
          <t>4.3</t>
        </is>
      </c>
      <c r="C3355" s="16" t="inlineStr">
        <is>
          <t>4.3 eficiencias</t>
        </is>
      </c>
      <c r="D3355" s="16" t="inlineStr">
        <is>
          <t>ronda 0</t>
        </is>
      </c>
      <c r="E3355" s="16" t="inlineStr">
        <is>
          <t>KF-M09</t>
        </is>
      </c>
      <c r="F3355" s="16" t="inlineStr">
        <is>
          <t>KF-M09-R0-eficiencias</t>
        </is>
      </c>
      <c r="G3355" s="16" t="inlineStr">
        <is>
          <t>B13-eficiencias</t>
        </is>
      </c>
      <c r="H3355" s="16" t="inlineStr">
        <is>
          <t>lhs</t>
        </is>
      </c>
      <c r="I3355" s="16" t="inlineStr">
        <is>
          <t>CORREGIBLE</t>
        </is>
      </c>
      <c r="J3355" s="16" t="inlineStr">
        <is>
          <t>CORREGIBLE</t>
        </is>
      </c>
      <c r="K3355" s="16" t="b">
        <v>1</v>
      </c>
      <c r="L3355" s="16" t="b">
        <v>0</v>
      </c>
      <c r="M3355" s="16" t="b">
        <v>1</v>
      </c>
      <c r="N3355" s="16" t="b">
        <v>0</v>
      </c>
      <c r="O3355" s="16" t="n">
        <v>516.858967217751</v>
      </c>
      <c r="P3355" s="16" t="n">
        <v>283.6657210175033</v>
      </c>
      <c r="Q3355" s="16" t="n">
        <v>2245.064742909967</v>
      </c>
      <c r="R3355" s="16" t="n">
        <v>1477.62389661774</v>
      </c>
      <c r="S3355" s="16" t="n">
        <v>0.5695192828823326</v>
      </c>
      <c r="T3355" s="16" t="n">
        <v>0.85</v>
      </c>
      <c r="U3355" s="16" t="n">
        <v>0.75</v>
      </c>
      <c r="V3355" s="16" t="n">
        <v>0.85</v>
      </c>
      <c r="W3355" s="16" t="n">
        <v>0.75</v>
      </c>
      <c r="X3355" s="16" t="n">
        <v>0.8</v>
      </c>
      <c r="Y3355" s="16" t="n">
        <v>283.6657210175033</v>
      </c>
      <c r="Z3355" s="16" t="n">
        <v>3.22585608607003</v>
      </c>
      <c r="AA3355" s="16" t="n">
        <v>55.6907694866318</v>
      </c>
      <c r="AB3355" s="16" t="n">
        <v>767.4408462922263</v>
      </c>
      <c r="AC3355" s="16" t="n">
        <v>1.519374956001244</v>
      </c>
      <c r="AD3355" s="16" t="inlineStr">
        <is>
          <t>O2</t>
        </is>
      </c>
      <c r="AE3355" s="16" t="n"/>
    </row>
    <row r="3356">
      <c r="A3356" s="16" t="inlineStr">
        <is>
          <t>KF-M09-R0-eficiencias-0042</t>
        </is>
      </c>
      <c r="B3356" s="16" t="inlineStr">
        <is>
          <t>4.3</t>
        </is>
      </c>
      <c r="C3356" s="16" t="inlineStr">
        <is>
          <t>4.3 eficiencias</t>
        </is>
      </c>
      <c r="D3356" s="16" t="inlineStr">
        <is>
          <t>ronda 0</t>
        </is>
      </c>
      <c r="E3356" s="16" t="inlineStr">
        <is>
          <t>KF-M09</t>
        </is>
      </c>
      <c r="F3356" s="16" t="inlineStr">
        <is>
          <t>KF-M09-R0-eficiencias</t>
        </is>
      </c>
      <c r="G3356" s="16" t="inlineStr">
        <is>
          <t>B13-eficiencias</t>
        </is>
      </c>
      <c r="H3356" s="16" t="inlineStr">
        <is>
          <t>lhs</t>
        </is>
      </c>
      <c r="I3356" s="16" t="inlineStr">
        <is>
          <t>CORREGIBLE</t>
        </is>
      </c>
      <c r="J3356" s="16" t="inlineStr">
        <is>
          <t>CORREGIBLE</t>
        </is>
      </c>
      <c r="K3356" s="16" t="b">
        <v>1</v>
      </c>
      <c r="L3356" s="16" t="b">
        <v>0</v>
      </c>
      <c r="M3356" s="16" t="b">
        <v>1</v>
      </c>
      <c r="N3356" s="16" t="b">
        <v>0</v>
      </c>
      <c r="O3356" s="16" t="n">
        <v>494.6857438377646</v>
      </c>
      <c r="P3356" s="16" t="n">
        <v>282.8430366419779</v>
      </c>
      <c r="Q3356" s="16" t="n">
        <v>3861.801147438082</v>
      </c>
      <c r="R3356" s="16" t="n">
        <v>310.6754934665051</v>
      </c>
      <c r="S3356" s="16" t="n">
        <v>0.5023979266718875</v>
      </c>
      <c r="T3356" s="16" t="n">
        <v>0.85</v>
      </c>
      <c r="U3356" s="16" t="n">
        <v>0.75</v>
      </c>
      <c r="V3356" s="16" t="n">
        <v>0.85</v>
      </c>
      <c r="W3356" s="16" t="n">
        <v>0.75</v>
      </c>
      <c r="X3356" s="16" t="n">
        <v>0.8</v>
      </c>
      <c r="Y3356" s="16" t="n">
        <v>282.8430366419779</v>
      </c>
      <c r="Z3356" s="16" t="n">
        <v>16.28277293516136</v>
      </c>
      <c r="AA3356" s="16" t="n">
        <v>275.9076689355729</v>
      </c>
      <c r="AB3356" s="16" t="n">
        <v>3551.125653971577</v>
      </c>
      <c r="AC3356" s="16" t="n">
        <v>12.43033721246647</v>
      </c>
      <c r="AD3356" s="16" t="inlineStr">
        <is>
          <t>O1,O2</t>
        </is>
      </c>
      <c r="AE3356" s="16" t="n"/>
    </row>
    <row r="3357">
      <c r="A3357" s="16" t="inlineStr">
        <is>
          <t>KF-M09-R0-eficiencias-0043</t>
        </is>
      </c>
      <c r="B3357" s="16" t="inlineStr">
        <is>
          <t>4.3</t>
        </is>
      </c>
      <c r="C3357" s="16" t="inlineStr">
        <is>
          <t>4.3 eficiencias</t>
        </is>
      </c>
      <c r="D3357" s="16" t="inlineStr">
        <is>
          <t>ronda 0</t>
        </is>
      </c>
      <c r="E3357" s="16" t="inlineStr">
        <is>
          <t>KF-M09</t>
        </is>
      </c>
      <c r="F3357" s="16" t="inlineStr">
        <is>
          <t>KF-M09-R0-eficiencias</t>
        </is>
      </c>
      <c r="G3357" s="16" t="inlineStr">
        <is>
          <t>B13-eficiencias</t>
        </is>
      </c>
      <c r="H3357" s="16" t="inlineStr">
        <is>
          <t>lhs</t>
        </is>
      </c>
      <c r="I3357" s="16" t="inlineStr">
        <is>
          <t>CORREGIBLE</t>
        </is>
      </c>
      <c r="J3357" s="16" t="inlineStr">
        <is>
          <t>CORREGIBLE</t>
        </is>
      </c>
      <c r="K3357" s="16" t="b">
        <v>1</v>
      </c>
      <c r="L3357" s="16" t="b">
        <v>0</v>
      </c>
      <c r="M3357" s="16" t="b">
        <v>0</v>
      </c>
      <c r="N3357" s="16" t="b">
        <v>0</v>
      </c>
      <c r="O3357" s="16" t="n">
        <v>388.2471555804897</v>
      </c>
      <c r="P3357" s="16" t="n">
        <v>297.1693607689705</v>
      </c>
      <c r="Q3357" s="16" t="n">
        <v>2000.100902831723</v>
      </c>
      <c r="R3357" s="16" t="n">
        <v>639.3394184384281</v>
      </c>
      <c r="S3357" s="16" t="n">
        <v>0.6637355863597478</v>
      </c>
      <c r="T3357" s="16" t="n">
        <v>0.85</v>
      </c>
      <c r="U3357" s="16" t="n">
        <v>0.75</v>
      </c>
      <c r="V3357" s="16" t="n">
        <v>0.85</v>
      </c>
      <c r="W3357" s="16" t="n">
        <v>0.75</v>
      </c>
      <c r="X3357" s="16" t="n">
        <v>0.8</v>
      </c>
      <c r="Y3357" s="16" t="n">
        <v>297.1693607689705</v>
      </c>
      <c r="Z3357" s="16" t="n">
        <v>8.700286490778049</v>
      </c>
      <c r="AA3357" s="16" t="n">
        <v>57.00851553266141</v>
      </c>
      <c r="AB3357" s="16" t="n">
        <v>1360.761484393295</v>
      </c>
      <c r="AC3357" s="16" t="n">
        <v>3.128386652143119</v>
      </c>
      <c r="AD3357" s="16" t="inlineStr">
        <is>
          <t>O2</t>
        </is>
      </c>
      <c r="AE3357" s="16" t="n"/>
    </row>
    <row r="3358">
      <c r="A3358" s="16" t="inlineStr">
        <is>
          <t>KF-M09-R0-eficiencias-0044</t>
        </is>
      </c>
      <c r="B3358" s="16" t="inlineStr">
        <is>
          <t>4.3</t>
        </is>
      </c>
      <c r="C3358" s="16" t="inlineStr">
        <is>
          <t>4.3 eficiencias</t>
        </is>
      </c>
      <c r="D3358" s="16" t="inlineStr">
        <is>
          <t>ronda 0</t>
        </is>
      </c>
      <c r="E3358" s="16" t="inlineStr">
        <is>
          <t>KF-M09</t>
        </is>
      </c>
      <c r="F3358" s="16" t="inlineStr">
        <is>
          <t>KF-M09-R0-eficiencias</t>
        </is>
      </c>
      <c r="G3358" s="16" t="inlineStr">
        <is>
          <t>B13-eficiencias</t>
        </is>
      </c>
      <c r="H3358" s="16" t="inlineStr">
        <is>
          <t>lhs</t>
        </is>
      </c>
      <c r="I3358" s="16" t="inlineStr">
        <is>
          <t>KALINA</t>
        </is>
      </c>
      <c r="J3358" s="16" t="inlineStr">
        <is>
          <t>KALINA</t>
        </is>
      </c>
      <c r="K3358" s="16" t="b">
        <v>1</v>
      </c>
      <c r="L3358" s="16" t="b">
        <v>1</v>
      </c>
      <c r="M3358" s="16" t="b">
        <v>0</v>
      </c>
      <c r="N3358" s="16" t="b">
        <v>0</v>
      </c>
      <c r="O3358" s="16" t="n">
        <v>411.0835261892049</v>
      </c>
      <c r="P3358" s="16" t="n">
        <v>300.2887451199841</v>
      </c>
      <c r="Q3358" s="16" t="n">
        <v>3594.975984343618</v>
      </c>
      <c r="R3358" s="16" t="n">
        <v>1945.984061674744</v>
      </c>
      <c r="S3358" s="16" t="n">
        <v>0.6207366637240024</v>
      </c>
      <c r="T3358" s="16" t="n">
        <v>0.85</v>
      </c>
      <c r="U3358" s="16" t="n">
        <v>0.75</v>
      </c>
      <c r="V3358" s="16" t="n">
        <v>0.85</v>
      </c>
      <c r="W3358" s="16" t="n">
        <v>0.75</v>
      </c>
      <c r="X3358" s="16" t="n">
        <v>0.8</v>
      </c>
      <c r="Y3358" s="16" t="n">
        <v>300.2887451199841</v>
      </c>
      <c r="Z3358" s="16" t="n">
        <v>4.652531638610831</v>
      </c>
      <c r="AA3358" s="16" t="n">
        <v>25.50725644965325</v>
      </c>
      <c r="AB3358" s="16" t="n">
        <v>1648.991922668874</v>
      </c>
      <c r="AC3358" s="16" t="n">
        <v>1.847382029043818</v>
      </c>
      <c r="AD3358" s="16" t="n"/>
      <c r="AE3358" s="16" t="n"/>
    </row>
    <row r="3359">
      <c r="A3359" s="16" t="inlineStr">
        <is>
          <t>KF-M09-R0-eficiencias-0045</t>
        </is>
      </c>
      <c r="B3359" s="16" t="inlineStr">
        <is>
          <t>4.3</t>
        </is>
      </c>
      <c r="C3359" s="16" t="inlineStr">
        <is>
          <t>4.3 eficiencias</t>
        </is>
      </c>
      <c r="D3359" s="16" t="inlineStr">
        <is>
          <t>ronda 0</t>
        </is>
      </c>
      <c r="E3359" s="16" t="inlineStr">
        <is>
          <t>KF-M09</t>
        </is>
      </c>
      <c r="F3359" s="16" t="inlineStr">
        <is>
          <t>KF-M09-R0-eficiencias</t>
        </is>
      </c>
      <c r="G3359" s="16" t="inlineStr">
        <is>
          <t>B13-eficiencias</t>
        </is>
      </c>
      <c r="H3359" s="16" t="inlineStr">
        <is>
          <t>lhs</t>
        </is>
      </c>
      <c r="I3359" s="16" t="inlineStr">
        <is>
          <t>KALINA</t>
        </is>
      </c>
      <c r="J3359" s="16" t="inlineStr">
        <is>
          <t>KALINA</t>
        </is>
      </c>
      <c r="K3359" s="16" t="b">
        <v>1</v>
      </c>
      <c r="L3359" s="16" t="b">
        <v>1</v>
      </c>
      <c r="M3359" s="16" t="b">
        <v>0</v>
      </c>
      <c r="N3359" s="16" t="b">
        <v>0</v>
      </c>
      <c r="O3359" s="16" t="n">
        <v>389.4250079384718</v>
      </c>
      <c r="P3359" s="16" t="n">
        <v>294.9599152897765</v>
      </c>
      <c r="Q3359" s="16" t="n">
        <v>3121.525929902887</v>
      </c>
      <c r="R3359" s="16" t="n">
        <v>767.0087140537509</v>
      </c>
      <c r="S3359" s="16" t="n">
        <v>0.5910749219893938</v>
      </c>
      <c r="T3359" s="16" t="n">
        <v>0.85</v>
      </c>
      <c r="U3359" s="16" t="n">
        <v>0.75</v>
      </c>
      <c r="V3359" s="16" t="n">
        <v>0.85</v>
      </c>
      <c r="W3359" s="16" t="n">
        <v>0.75</v>
      </c>
      <c r="X3359" s="16" t="n">
        <v>0.8</v>
      </c>
      <c r="Y3359" s="16" t="n">
        <v>294.9599152897765</v>
      </c>
      <c r="Z3359" s="16" t="n">
        <v>8.10974603327297</v>
      </c>
      <c r="AA3359" s="16" t="n">
        <v>26.7771066409847</v>
      </c>
      <c r="AB3359" s="16" t="n">
        <v>2354.517215849136</v>
      </c>
      <c r="AC3359" s="16" t="n">
        <v>4.069739851331252</v>
      </c>
      <c r="AD3359" s="16" t="n"/>
      <c r="AE3359" s="16" t="n"/>
    </row>
    <row r="3360">
      <c r="A3360" s="16" t="inlineStr">
        <is>
          <t>KF-M09-R0-eficiencias-0046</t>
        </is>
      </c>
      <c r="B3360" s="16" t="inlineStr">
        <is>
          <t>4.3</t>
        </is>
      </c>
      <c r="C3360" s="16" t="inlineStr">
        <is>
          <t>4.3 eficiencias</t>
        </is>
      </c>
      <c r="D3360" s="16" t="inlineStr">
        <is>
          <t>ronda 0</t>
        </is>
      </c>
      <c r="E3360" s="16" t="inlineStr">
        <is>
          <t>KF-M09</t>
        </is>
      </c>
      <c r="F3360" s="16" t="inlineStr">
        <is>
          <t>KF-M09-R0-eficiencias</t>
        </is>
      </c>
      <c r="G3360" s="16" t="inlineStr">
        <is>
          <t>B13-eficiencias</t>
        </is>
      </c>
      <c r="H3360" s="16" t="inlineStr">
        <is>
          <t>lhs</t>
        </is>
      </c>
      <c r="I3360" s="16" t="inlineStr">
        <is>
          <t>CORREGIBLE</t>
        </is>
      </c>
      <c r="J3360" s="16" t="inlineStr">
        <is>
          <t>CORREGIBLE</t>
        </is>
      </c>
      <c r="K3360" s="16" t="b">
        <v>1</v>
      </c>
      <c r="L3360" s="16" t="b">
        <v>0</v>
      </c>
      <c r="M3360" s="16" t="b">
        <v>1</v>
      </c>
      <c r="N3360" s="16" t="b">
        <v>0</v>
      </c>
      <c r="O3360" s="16" t="n">
        <v>455.2321986430908</v>
      </c>
      <c r="P3360" s="16" t="n">
        <v>281.8034836702884</v>
      </c>
      <c r="Q3360" s="16" t="n">
        <v>2879.332160475833</v>
      </c>
      <c r="R3360" s="16" t="n">
        <v>1111.960003246982</v>
      </c>
      <c r="S3360" s="16" t="n">
        <v>0.6282279052589833</v>
      </c>
      <c r="T3360" s="16" t="n">
        <v>0.85</v>
      </c>
      <c r="U3360" s="16" t="n">
        <v>0.75</v>
      </c>
      <c r="V3360" s="16" t="n">
        <v>0.85</v>
      </c>
      <c r="W3360" s="16" t="n">
        <v>0.75</v>
      </c>
      <c r="X3360" s="16" t="n">
        <v>0.8</v>
      </c>
      <c r="Y3360" s="16" t="n">
        <v>281.8034836702884</v>
      </c>
      <c r="Z3360" s="16" t="n">
        <v>7.477150724402961</v>
      </c>
      <c r="AA3360" s="16" t="n">
        <v>109.919634911702</v>
      </c>
      <c r="AB3360" s="16" t="n">
        <v>1767.372157228851</v>
      </c>
      <c r="AC3360" s="16" t="n">
        <v>2.589420619507925</v>
      </c>
      <c r="AD3360" s="16" t="inlineStr">
        <is>
          <t>O2</t>
        </is>
      </c>
      <c r="AE3360" s="16" t="n"/>
    </row>
    <row r="3361">
      <c r="A3361" s="16" t="inlineStr">
        <is>
          <t>KF-M09-R0-eficiencias-0047</t>
        </is>
      </c>
      <c r="B3361" s="16" t="inlineStr">
        <is>
          <t>4.3</t>
        </is>
      </c>
      <c r="C3361" s="16" t="inlineStr">
        <is>
          <t>4.3 eficiencias</t>
        </is>
      </c>
      <c r="D3361" s="16" t="inlineStr">
        <is>
          <t>ronda 0</t>
        </is>
      </c>
      <c r="E3361" s="16" t="inlineStr">
        <is>
          <t>KF-M09</t>
        </is>
      </c>
      <c r="F3361" s="16" t="inlineStr">
        <is>
          <t>KF-M09-R0-eficiencias</t>
        </is>
      </c>
      <c r="G3361" s="16" t="inlineStr">
        <is>
          <t>B13-eficiencias</t>
        </is>
      </c>
      <c r="H3361" s="16" t="inlineStr">
        <is>
          <t>lhs</t>
        </is>
      </c>
      <c r="I3361" s="16" t="inlineStr">
        <is>
          <t>CORREGIBLE</t>
        </is>
      </c>
      <c r="J3361" s="16" t="inlineStr">
        <is>
          <t>CORREGIBLE</t>
        </is>
      </c>
      <c r="K3361" s="16" t="b">
        <v>1</v>
      </c>
      <c r="L3361" s="16" t="b">
        <v>0</v>
      </c>
      <c r="M3361" s="16" t="b">
        <v>1</v>
      </c>
      <c r="N3361" s="16" t="b">
        <v>0</v>
      </c>
      <c r="O3361" s="16" t="n">
        <v>475.3974466414529</v>
      </c>
      <c r="P3361" s="16" t="n">
        <v>278.1881636973086</v>
      </c>
      <c r="Q3361" s="16" t="n">
        <v>3168.453333617491</v>
      </c>
      <c r="R3361" s="16" t="n">
        <v>1857.973125165069</v>
      </c>
      <c r="S3361" s="16" t="n">
        <v>0.5427988948723649</v>
      </c>
      <c r="T3361" s="16" t="n">
        <v>0.85</v>
      </c>
      <c r="U3361" s="16" t="n">
        <v>0.75</v>
      </c>
      <c r="V3361" s="16" t="n">
        <v>0.85</v>
      </c>
      <c r="W3361" s="16" t="n">
        <v>0.75</v>
      </c>
      <c r="X3361" s="16" t="n">
        <v>0.8</v>
      </c>
      <c r="Y3361" s="16" t="n">
        <v>278.1881636973086</v>
      </c>
      <c r="Z3361" s="16" t="n">
        <v>4.28156709872092</v>
      </c>
      <c r="AA3361" s="16" t="n">
        <v>70.58488651440776</v>
      </c>
      <c r="AB3361" s="16" t="n">
        <v>1310.480208452421</v>
      </c>
      <c r="AC3361" s="16" t="n">
        <v>1.705327860076552</v>
      </c>
      <c r="AD3361" s="16" t="inlineStr">
        <is>
          <t>O2</t>
        </is>
      </c>
      <c r="AE3361" s="16" t="n"/>
    </row>
    <row r="3362">
      <c r="A3362" s="16" t="inlineStr">
        <is>
          <t>KF-M09-R0-eficiencias-0048</t>
        </is>
      </c>
      <c r="B3362" s="16" t="inlineStr">
        <is>
          <t>4.3</t>
        </is>
      </c>
      <c r="C3362" s="16" t="inlineStr">
        <is>
          <t>4.3 eficiencias</t>
        </is>
      </c>
      <c r="D3362" s="16" t="inlineStr">
        <is>
          <t>ronda 0</t>
        </is>
      </c>
      <c r="E3362" s="16" t="inlineStr">
        <is>
          <t>KF-M09</t>
        </is>
      </c>
      <c r="F3362" s="16" t="inlineStr">
        <is>
          <t>KF-M09-R0-eficiencias</t>
        </is>
      </c>
      <c r="G3362" s="16" t="inlineStr">
        <is>
          <t>B13-eficiencias</t>
        </is>
      </c>
      <c r="H3362" s="16" t="inlineStr">
        <is>
          <t>lhs</t>
        </is>
      </c>
      <c r="I3362" s="16" t="inlineStr">
        <is>
          <t>CORREGIBLE</t>
        </is>
      </c>
      <c r="J3362" s="16" t="inlineStr">
        <is>
          <t>CORREGIBLE</t>
        </is>
      </c>
      <c r="K3362" s="16" t="b">
        <v>1</v>
      </c>
      <c r="L3362" s="16" t="b">
        <v>0</v>
      </c>
      <c r="M3362" s="16" t="b">
        <v>1</v>
      </c>
      <c r="N3362" s="16" t="b">
        <v>0</v>
      </c>
      <c r="O3362" s="16" t="n">
        <v>498.1351084456524</v>
      </c>
      <c r="P3362" s="16" t="n">
        <v>287.5944684244004</v>
      </c>
      <c r="Q3362" s="16" t="n">
        <v>4661.683528669823</v>
      </c>
      <c r="R3362" s="16" t="n">
        <v>922.9739783632576</v>
      </c>
      <c r="S3362" s="16" t="n">
        <v>0.5514578409204067</v>
      </c>
      <c r="T3362" s="16" t="n">
        <v>0.85</v>
      </c>
      <c r="U3362" s="16" t="n">
        <v>0.75</v>
      </c>
      <c r="V3362" s="16" t="n">
        <v>0.85</v>
      </c>
      <c r="W3362" s="16" t="n">
        <v>0.75</v>
      </c>
      <c r="X3362" s="16" t="n">
        <v>0.8</v>
      </c>
      <c r="Y3362" s="16" t="n">
        <v>287.5944684244004</v>
      </c>
      <c r="Z3362" s="16" t="n">
        <v>11.83797947256774</v>
      </c>
      <c r="AA3362" s="16" t="n">
        <v>192.8687526431057</v>
      </c>
      <c r="AB3362" s="16" t="n">
        <v>3738.709550306566</v>
      </c>
      <c r="AC3362" s="16" t="n">
        <v>5.050720429774794</v>
      </c>
      <c r="AD3362" s="16" t="inlineStr">
        <is>
          <t>O2</t>
        </is>
      </c>
      <c r="AE3362" s="16" t="n"/>
    </row>
    <row r="3363">
      <c r="A3363" s="16" t="inlineStr">
        <is>
          <t>KF-M09-R0-eficiencias-0049</t>
        </is>
      </c>
      <c r="B3363" s="16" t="inlineStr">
        <is>
          <t>4.3</t>
        </is>
      </c>
      <c r="C3363" s="16" t="inlineStr">
        <is>
          <t>4.3 eficiencias</t>
        </is>
      </c>
      <c r="D3363" s="16" t="inlineStr">
        <is>
          <t>ronda 0</t>
        </is>
      </c>
      <c r="E3363" s="16" t="inlineStr">
        <is>
          <t>KF-M09</t>
        </is>
      </c>
      <c r="F3363" s="16" t="inlineStr">
        <is>
          <t>KF-M09-R0-eficiencias</t>
        </is>
      </c>
      <c r="G3363" s="16" t="inlineStr">
        <is>
          <t>B13-eficiencias</t>
        </is>
      </c>
      <c r="H3363" s="16" t="inlineStr">
        <is>
          <t>lhs</t>
        </is>
      </c>
      <c r="I3363" s="16" t="inlineStr">
        <is>
          <t>CORREGIBLE</t>
        </is>
      </c>
      <c r="J3363" s="16" t="inlineStr">
        <is>
          <t>CORREGIBLE</t>
        </is>
      </c>
      <c r="K3363" s="16" t="b">
        <v>1</v>
      </c>
      <c r="L3363" s="16" t="b">
        <v>0</v>
      </c>
      <c r="M3363" s="16" t="b">
        <v>0</v>
      </c>
      <c r="N3363" s="16" t="b">
        <v>0</v>
      </c>
      <c r="O3363" s="16" t="n">
        <v>422.7657268304662</v>
      </c>
      <c r="P3363" s="16" t="n">
        <v>285.9528524184102</v>
      </c>
      <c r="Q3363" s="16" t="n">
        <v>2147.988673205641</v>
      </c>
      <c r="R3363" s="16" t="n">
        <v>754.8333463380402</v>
      </c>
      <c r="S3363" s="16" t="n">
        <v>0.7097437910177582</v>
      </c>
      <c r="T3363" s="16" t="n">
        <v>0.85</v>
      </c>
      <c r="U3363" s="16" t="n">
        <v>0.75</v>
      </c>
      <c r="V3363" s="16" t="n">
        <v>0.85</v>
      </c>
      <c r="W3363" s="16" t="n">
        <v>0.75</v>
      </c>
      <c r="X3363" s="16" t="n">
        <v>0.8</v>
      </c>
      <c r="Y3363" s="16" t="n">
        <v>285.9528524184102</v>
      </c>
      <c r="Z3363" s="16" t="n">
        <v>8.22814793047008</v>
      </c>
      <c r="AA3363" s="16" t="n">
        <v>93.85268543211281</v>
      </c>
      <c r="AB3363" s="16" t="n">
        <v>1393.155326867601</v>
      </c>
      <c r="AC3363" s="16" t="n">
        <v>2.845646239168266</v>
      </c>
      <c r="AD3363" s="16" t="inlineStr">
        <is>
          <t>O2</t>
        </is>
      </c>
      <c r="AE3363" s="16" t="n"/>
    </row>
    <row r="3364">
      <c r="A3364" s="16" t="inlineStr">
        <is>
          <t>KF-M09-R0-eficiencias-0050</t>
        </is>
      </c>
      <c r="B3364" s="16" t="inlineStr">
        <is>
          <t>4.3</t>
        </is>
      </c>
      <c r="C3364" s="16" t="inlineStr">
        <is>
          <t>4.3 eficiencias</t>
        </is>
      </c>
      <c r="D3364" s="16" t="inlineStr">
        <is>
          <t>ronda 0</t>
        </is>
      </c>
      <c r="E3364" s="16" t="inlineStr">
        <is>
          <t>KF-M09</t>
        </is>
      </c>
      <c r="F3364" s="16" t="inlineStr">
        <is>
          <t>KF-M09-R0-eficiencias</t>
        </is>
      </c>
      <c r="G3364" s="16" t="inlineStr">
        <is>
          <t>B13-eficiencias</t>
        </is>
      </c>
      <c r="H3364" s="16" t="inlineStr">
        <is>
          <t>lhs</t>
        </is>
      </c>
      <c r="I3364" s="16" t="inlineStr">
        <is>
          <t>CORREGIBLE</t>
        </is>
      </c>
      <c r="J3364" s="16" t="inlineStr">
        <is>
          <t>CORREGIBLE</t>
        </is>
      </c>
      <c r="K3364" s="16" t="b">
        <v>1</v>
      </c>
      <c r="L3364" s="16" t="b">
        <v>0</v>
      </c>
      <c r="M3364" s="16" t="b">
        <v>0</v>
      </c>
      <c r="N3364" s="16" t="b">
        <v>0</v>
      </c>
      <c r="O3364" s="16" t="n">
        <v>429.9435968564149</v>
      </c>
      <c r="P3364" s="16" t="n">
        <v>285.7033280977917</v>
      </c>
      <c r="Q3364" s="16" t="n">
        <v>4768.984710364333</v>
      </c>
      <c r="R3364" s="16" t="n">
        <v>1093.785694089325</v>
      </c>
      <c r="S3364" s="16" t="n">
        <v>0.8315847250890527</v>
      </c>
      <c r="T3364" s="16" t="n">
        <v>0.85</v>
      </c>
      <c r="U3364" s="16" t="n">
        <v>0.75</v>
      </c>
      <c r="V3364" s="16" t="n">
        <v>0.85</v>
      </c>
      <c r="W3364" s="16" t="n">
        <v>0.75</v>
      </c>
      <c r="X3364" s="16" t="n">
        <v>0.8</v>
      </c>
      <c r="Y3364" s="16" t="n">
        <v>285.7033280977917</v>
      </c>
      <c r="Z3364" s="16" t="n">
        <v>12.96046165375798</v>
      </c>
      <c r="AA3364" s="16" t="n">
        <v>132.8468569025336</v>
      </c>
      <c r="AB3364" s="16" t="n">
        <v>3675.199016275009</v>
      </c>
      <c r="AC3364" s="16" t="n">
        <v>4.360072303135161</v>
      </c>
      <c r="AD3364" s="16" t="inlineStr">
        <is>
          <t>O2</t>
        </is>
      </c>
      <c r="AE3364" s="16" t="n"/>
    </row>
    <row r="3365">
      <c r="A3365" s="16" t="inlineStr">
        <is>
          <t>KF-M09-R0-eficiencias-0051</t>
        </is>
      </c>
      <c r="B3365" s="16" t="inlineStr">
        <is>
          <t>4.3</t>
        </is>
      </c>
      <c r="C3365" s="16" t="inlineStr">
        <is>
          <t>4.3 eficiencias</t>
        </is>
      </c>
      <c r="D3365" s="16" t="inlineStr">
        <is>
          <t>ronda 0</t>
        </is>
      </c>
      <c r="E3365" s="16" t="inlineStr">
        <is>
          <t>KF-M09</t>
        </is>
      </c>
      <c r="F3365" s="16" t="inlineStr">
        <is>
          <t>KF-M09-R0-eficiencias</t>
        </is>
      </c>
      <c r="G3365" s="16" t="inlineStr">
        <is>
          <t>B13-eficiencias</t>
        </is>
      </c>
      <c r="H3365" s="16" t="inlineStr">
        <is>
          <t>lhs</t>
        </is>
      </c>
      <c r="I3365" s="16" t="inlineStr">
        <is>
          <t>N2</t>
        </is>
      </c>
      <c r="J3365" s="16" t="inlineStr">
        <is>
          <t>NO_CONVERGIO</t>
        </is>
      </c>
      <c r="K3365" s="16" t="b">
        <v>0</v>
      </c>
      <c r="L3365" s="16" t="b">
        <v>0</v>
      </c>
      <c r="M3365" s="16" t="b">
        <v>0</v>
      </c>
      <c r="N3365" s="16" t="b">
        <v>0</v>
      </c>
      <c r="O3365" s="16" t="n">
        <v>383.2432972915644</v>
      </c>
      <c r="P3365" s="16" t="n">
        <v>283.9126622209592</v>
      </c>
      <c r="Q3365" s="16" t="n">
        <v>4822.496908583968</v>
      </c>
      <c r="R3365" s="16" t="n">
        <v>728.8124152447865</v>
      </c>
      <c r="S3365" s="16" t="n">
        <v>0.6387799661505406</v>
      </c>
      <c r="T3365" s="16" t="n">
        <v>0.85</v>
      </c>
      <c r="U3365" s="16" t="n">
        <v>0.75</v>
      </c>
      <c r="V3365" s="16" t="n">
        <v>0.85</v>
      </c>
      <c r="W3365" s="16" t="n">
        <v>0.75</v>
      </c>
      <c r="X3365" s="16" t="n">
        <v>0.8</v>
      </c>
      <c r="Y3365" s="16" t="n">
        <v>283.9126622209592</v>
      </c>
      <c r="Z3365" s="16" t="n">
        <v>-214.5975757328401</v>
      </c>
      <c r="AA3365" s="16" t="n">
        <v>-58.16542685468787</v>
      </c>
      <c r="AB3365" s="16" t="n">
        <v>4093.684493339182</v>
      </c>
      <c r="AC3365" s="16" t="n">
        <v>6.616924750059636</v>
      </c>
      <c r="AD3365" s="16" t="inlineStr">
        <is>
          <t>N2,S6,O3,O5,C1,C3,C3</t>
        </is>
      </c>
      <c r="AE3365" s="16" t="n"/>
    </row>
    <row r="3366">
      <c r="A3366" s="16" t="inlineStr">
        <is>
          <t>KF-M09-R0-eficiencias-0052</t>
        </is>
      </c>
      <c r="B3366" s="16" t="inlineStr">
        <is>
          <t>4.3</t>
        </is>
      </c>
      <c r="C3366" s="16" t="inlineStr">
        <is>
          <t>4.3 eficiencias</t>
        </is>
      </c>
      <c r="D3366" s="16" t="inlineStr">
        <is>
          <t>ronda 0</t>
        </is>
      </c>
      <c r="E3366" s="16" t="inlineStr">
        <is>
          <t>KF-M09</t>
        </is>
      </c>
      <c r="F3366" s="16" t="inlineStr">
        <is>
          <t>KF-M09-R0-eficiencias</t>
        </is>
      </c>
      <c r="G3366" s="16" t="inlineStr">
        <is>
          <t>B13-eficiencias</t>
        </is>
      </c>
      <c r="H3366" s="16" t="inlineStr">
        <is>
          <t>lhs</t>
        </is>
      </c>
      <c r="I3366" s="16" t="inlineStr">
        <is>
          <t>KALINA</t>
        </is>
      </c>
      <c r="J3366" s="16" t="inlineStr">
        <is>
          <t>KALINA</t>
        </is>
      </c>
      <c r="K3366" s="16" t="b">
        <v>1</v>
      </c>
      <c r="L3366" s="16" t="b">
        <v>1</v>
      </c>
      <c r="M3366" s="16" t="b">
        <v>0</v>
      </c>
      <c r="N3366" s="16" t="b">
        <v>0</v>
      </c>
      <c r="O3366" s="16" t="n">
        <v>419.0388653312343</v>
      </c>
      <c r="P3366" s="16" t="n">
        <v>303.0351050546078</v>
      </c>
      <c r="Q3366" s="16" t="n">
        <v>3338.207511780574</v>
      </c>
      <c r="R3366" s="16" t="n">
        <v>1955.01883809184</v>
      </c>
      <c r="S3366" s="16" t="n">
        <v>0.6583346181652333</v>
      </c>
      <c r="T3366" s="16" t="n">
        <v>0.85</v>
      </c>
      <c r="U3366" s="16" t="n">
        <v>0.75</v>
      </c>
      <c r="V3366" s="16" t="n">
        <v>0.85</v>
      </c>
      <c r="W3366" s="16" t="n">
        <v>0.75</v>
      </c>
      <c r="X3366" s="16" t="n">
        <v>0.8</v>
      </c>
      <c r="Y3366" s="16" t="n">
        <v>303.0351050546078</v>
      </c>
      <c r="Z3366" s="16" t="n">
        <v>4.655841391946</v>
      </c>
      <c r="AA3366" s="16" t="n">
        <v>34.15885380571261</v>
      </c>
      <c r="AB3366" s="16" t="n">
        <v>1383.188673688734</v>
      </c>
      <c r="AC3366" s="16" t="n">
        <v>1.707506570647048</v>
      </c>
      <c r="AD3366" s="16" t="n"/>
      <c r="AE3366" s="16" t="n"/>
    </row>
    <row r="3367">
      <c r="A3367" s="16" t="inlineStr">
        <is>
          <t>KF-M09-R0-eficiencias-0053</t>
        </is>
      </c>
      <c r="B3367" s="16" t="inlineStr">
        <is>
          <t>4.3</t>
        </is>
      </c>
      <c r="C3367" s="16" t="inlineStr">
        <is>
          <t>4.3 eficiencias</t>
        </is>
      </c>
      <c r="D3367" s="16" t="inlineStr">
        <is>
          <t>ronda 0</t>
        </is>
      </c>
      <c r="E3367" s="16" t="inlineStr">
        <is>
          <t>KF-M09</t>
        </is>
      </c>
      <c r="F3367" s="16" t="inlineStr">
        <is>
          <t>KF-M09-R0-eficiencias</t>
        </is>
      </c>
      <c r="G3367" s="16" t="inlineStr">
        <is>
          <t>B13-eficiencias</t>
        </is>
      </c>
      <c r="H3367" s="16" t="inlineStr">
        <is>
          <t>lhs</t>
        </is>
      </c>
      <c r="I3367" s="16" t="inlineStr">
        <is>
          <t>N2</t>
        </is>
      </c>
      <c r="J3367" s="16" t="inlineStr">
        <is>
          <t>NO_CONVERGIO</t>
        </is>
      </c>
      <c r="K3367" s="16" t="b">
        <v>0</v>
      </c>
      <c r="L3367" s="16" t="b">
        <v>0</v>
      </c>
      <c r="M3367" s="16" t="b">
        <v>0</v>
      </c>
      <c r="N3367" s="16" t="b">
        <v>0</v>
      </c>
      <c r="O3367" s="16" t="n">
        <v>409.0353321469682</v>
      </c>
      <c r="P3367" s="16" t="n">
        <v>298.9256259792485</v>
      </c>
      <c r="Q3367" s="16" t="n">
        <v>4939.865416587393</v>
      </c>
      <c r="R3367" s="16" t="n">
        <v>1742.938832602282</v>
      </c>
      <c r="S3367" s="16" t="n">
        <v>0.5125964939353778</v>
      </c>
      <c r="T3367" s="16" t="n">
        <v>0.85</v>
      </c>
      <c r="U3367" s="16" t="n">
        <v>0.75</v>
      </c>
      <c r="V3367" s="16" t="n">
        <v>0.85</v>
      </c>
      <c r="W3367" s="16" t="n">
        <v>0.75</v>
      </c>
      <c r="X3367" s="16" t="n">
        <v>0.8</v>
      </c>
      <c r="Y3367" s="16" t="n">
        <v>298.9256259792485</v>
      </c>
      <c r="Z3367" s="16" t="n">
        <v>-18.21764227738323</v>
      </c>
      <c r="AA3367" s="16" t="n">
        <v>-16.6852085649741</v>
      </c>
      <c r="AB3367" s="16" t="n">
        <v>3196.926583985111</v>
      </c>
      <c r="AC3367" s="16" t="n">
        <v>2.83421616650308</v>
      </c>
      <c r="AD3367" s="16" t="inlineStr">
        <is>
          <t>N2,O3,O5,C1,C3,C3</t>
        </is>
      </c>
      <c r="AE3367" s="16" t="n"/>
    </row>
    <row r="3368">
      <c r="A3368" s="16" t="inlineStr">
        <is>
          <t>KF-M09-R0-eficiencias-0054</t>
        </is>
      </c>
      <c r="B3368" s="16" t="inlineStr">
        <is>
          <t>4.3</t>
        </is>
      </c>
      <c r="C3368" s="16" t="inlineStr">
        <is>
          <t>4.3 eficiencias</t>
        </is>
      </c>
      <c r="D3368" s="16" t="inlineStr">
        <is>
          <t>ronda 0</t>
        </is>
      </c>
      <c r="E3368" s="16" t="inlineStr">
        <is>
          <t>KF-M09</t>
        </is>
      </c>
      <c r="F3368" s="16" t="inlineStr">
        <is>
          <t>KF-M09-R0-eficiencias</t>
        </is>
      </c>
      <c r="G3368" s="16" t="inlineStr">
        <is>
          <t>B13-eficiencias</t>
        </is>
      </c>
      <c r="H3368" s="16" t="inlineStr">
        <is>
          <t>lhs</t>
        </is>
      </c>
      <c r="I3368" s="16" t="inlineStr">
        <is>
          <t>CORREGIBLE</t>
        </is>
      </c>
      <c r="J3368" s="16" t="inlineStr">
        <is>
          <t>CORREGIBLE</t>
        </is>
      </c>
      <c r="K3368" s="16" t="b">
        <v>1</v>
      </c>
      <c r="L3368" s="16" t="b">
        <v>0</v>
      </c>
      <c r="M3368" s="16" t="b">
        <v>1</v>
      </c>
      <c r="N3368" s="16" t="b">
        <v>0</v>
      </c>
      <c r="O3368" s="16" t="n">
        <v>480.5193756184159</v>
      </c>
      <c r="P3368" s="16" t="n">
        <v>301.5521616492296</v>
      </c>
      <c r="Q3368" s="16" t="n">
        <v>4179.537313920695</v>
      </c>
      <c r="R3368" s="16" t="n">
        <v>1686.20494730681</v>
      </c>
      <c r="S3368" s="16" t="n">
        <v>0.6405153393207561</v>
      </c>
      <c r="T3368" s="16" t="n">
        <v>0.85</v>
      </c>
      <c r="U3368" s="16" t="n">
        <v>0.75</v>
      </c>
      <c r="V3368" s="16" t="n">
        <v>0.85</v>
      </c>
      <c r="W3368" s="16" t="n">
        <v>0.75</v>
      </c>
      <c r="X3368" s="16" t="n">
        <v>0.8</v>
      </c>
      <c r="Y3368" s="16" t="n">
        <v>301.5521616492296</v>
      </c>
      <c r="Z3368" s="16" t="n">
        <v>7.34521880400625</v>
      </c>
      <c r="AA3368" s="16" t="n">
        <v>108.6505597446826</v>
      </c>
      <c r="AB3368" s="16" t="n">
        <v>2493.332366613885</v>
      </c>
      <c r="AC3368" s="16" t="n">
        <v>2.478665076031364</v>
      </c>
      <c r="AD3368" s="16" t="inlineStr">
        <is>
          <t>O2</t>
        </is>
      </c>
      <c r="AE3368" s="16" t="n"/>
    </row>
    <row r="3369">
      <c r="A3369" s="16" t="inlineStr">
        <is>
          <t>KF-M09-R0-eficiencias-0055</t>
        </is>
      </c>
      <c r="B3369" s="16" t="inlineStr">
        <is>
          <t>4.3</t>
        </is>
      </c>
      <c r="C3369" s="16" t="inlineStr">
        <is>
          <t>4.3 eficiencias</t>
        </is>
      </c>
      <c r="D3369" s="16" t="inlineStr">
        <is>
          <t>ronda 0</t>
        </is>
      </c>
      <c r="E3369" s="16" t="inlineStr">
        <is>
          <t>KF-M09</t>
        </is>
      </c>
      <c r="F3369" s="16" t="inlineStr">
        <is>
          <t>KF-M09-R0-eficiencias</t>
        </is>
      </c>
      <c r="G3369" s="16" t="inlineStr">
        <is>
          <t>B13-eficiencias</t>
        </is>
      </c>
      <c r="H3369" s="16" t="inlineStr">
        <is>
          <t>lhs</t>
        </is>
      </c>
      <c r="I3369" s="16" t="inlineStr">
        <is>
          <t>CORREGIBLE</t>
        </is>
      </c>
      <c r="J3369" s="16" t="inlineStr">
        <is>
          <t>CORREGIBLE</t>
        </is>
      </c>
      <c r="K3369" s="16" t="b">
        <v>1</v>
      </c>
      <c r="L3369" s="16" t="b">
        <v>0</v>
      </c>
      <c r="M3369" s="16" t="b">
        <v>1</v>
      </c>
      <c r="N3369" s="16" t="b">
        <v>0</v>
      </c>
      <c r="O3369" s="16" t="n">
        <v>504.4312523670204</v>
      </c>
      <c r="P3369" s="16" t="n">
        <v>278.8958222509965</v>
      </c>
      <c r="Q3369" s="16" t="n">
        <v>4564.66364257569</v>
      </c>
      <c r="R3369" s="16" t="n">
        <v>689.0601781315515</v>
      </c>
      <c r="S3369" s="16" t="n">
        <v>0.8401670374673726</v>
      </c>
      <c r="T3369" s="16" t="n">
        <v>0.85</v>
      </c>
      <c r="U3369" s="16" t="n">
        <v>0.75</v>
      </c>
      <c r="V3369" s="16" t="n">
        <v>0.85</v>
      </c>
      <c r="W3369" s="16" t="n">
        <v>0.75</v>
      </c>
      <c r="X3369" s="16" t="n">
        <v>0.8</v>
      </c>
      <c r="Y3369" s="16" t="n">
        <v>278.8958222509965</v>
      </c>
      <c r="Z3369" s="16" t="n">
        <v>15.64491901196914</v>
      </c>
      <c r="AA3369" s="16" t="n">
        <v>221.2184789557081</v>
      </c>
      <c r="AB3369" s="16" t="n">
        <v>3875.603464444138</v>
      </c>
      <c r="AC3369" s="16" t="n">
        <v>6.62447749477148</v>
      </c>
      <c r="AD3369" s="16" t="inlineStr">
        <is>
          <t>O2</t>
        </is>
      </c>
      <c r="AE3369" s="16" t="n"/>
    </row>
    <row r="3370">
      <c r="A3370" s="16" t="inlineStr">
        <is>
          <t>KF-M09-R0-eficiencias-0056</t>
        </is>
      </c>
      <c r="B3370" s="16" t="inlineStr">
        <is>
          <t>4.3</t>
        </is>
      </c>
      <c r="C3370" s="16" t="inlineStr">
        <is>
          <t>4.3 eficiencias</t>
        </is>
      </c>
      <c r="D3370" s="16" t="inlineStr">
        <is>
          <t>ronda 0</t>
        </is>
      </c>
      <c r="E3370" s="16" t="inlineStr">
        <is>
          <t>KF-M09</t>
        </is>
      </c>
      <c r="F3370" s="16" t="inlineStr">
        <is>
          <t>KF-M09-R0-eficiencias</t>
        </is>
      </c>
      <c r="G3370" s="16" t="inlineStr">
        <is>
          <t>B13-eficiencias</t>
        </is>
      </c>
      <c r="H3370" s="16" t="inlineStr">
        <is>
          <t>lhs</t>
        </is>
      </c>
      <c r="I3370" s="16" t="inlineStr">
        <is>
          <t>CORREGIBLE</t>
        </is>
      </c>
      <c r="J3370" s="16" t="inlineStr">
        <is>
          <t>CORREGIBLE</t>
        </is>
      </c>
      <c r="K3370" s="16" t="b">
        <v>1</v>
      </c>
      <c r="L3370" s="16" t="b">
        <v>0</v>
      </c>
      <c r="M3370" s="16" t="b">
        <v>0</v>
      </c>
      <c r="N3370" s="16" t="b">
        <v>0</v>
      </c>
      <c r="O3370" s="16" t="n">
        <v>436.3192818314691</v>
      </c>
      <c r="P3370" s="16" t="n">
        <v>285.4146455441216</v>
      </c>
      <c r="Q3370" s="16" t="n">
        <v>2274.944995682904</v>
      </c>
      <c r="R3370" s="16" t="n">
        <v>1207.552303900164</v>
      </c>
      <c r="S3370" s="16" t="n">
        <v>0.8261690644093634</v>
      </c>
      <c r="T3370" s="16" t="n">
        <v>0.85</v>
      </c>
      <c r="U3370" s="16" t="n">
        <v>0.75</v>
      </c>
      <c r="V3370" s="16" t="n">
        <v>0.85</v>
      </c>
      <c r="W3370" s="16" t="n">
        <v>0.75</v>
      </c>
      <c r="X3370" s="16" t="n">
        <v>0.8</v>
      </c>
      <c r="Y3370" s="16" t="n">
        <v>285.4146455441216</v>
      </c>
      <c r="Z3370" s="16" t="n">
        <v>5.50247468234703</v>
      </c>
      <c r="AA3370" s="16" t="n">
        <v>71.21584037092315</v>
      </c>
      <c r="AB3370" s="16" t="n">
        <v>1067.39269178274</v>
      </c>
      <c r="AC3370" s="16" t="n">
        <v>1.883930814702821</v>
      </c>
      <c r="AD3370" s="16" t="inlineStr">
        <is>
          <t>O2</t>
        </is>
      </c>
      <c r="AE3370" s="16" t="n"/>
    </row>
    <row r="3371">
      <c r="A3371" s="16" t="inlineStr">
        <is>
          <t>KF-M09-R0-eficiencias-0057</t>
        </is>
      </c>
      <c r="B3371" s="16" t="inlineStr">
        <is>
          <t>4.3</t>
        </is>
      </c>
      <c r="C3371" s="16" t="inlineStr">
        <is>
          <t>4.3 eficiencias</t>
        </is>
      </c>
      <c r="D3371" s="16" t="inlineStr">
        <is>
          <t>ronda 0</t>
        </is>
      </c>
      <c r="E3371" s="16" t="inlineStr">
        <is>
          <t>KF-M09</t>
        </is>
      </c>
      <c r="F3371" s="16" t="inlineStr">
        <is>
          <t>KF-M09-R0-eficiencias</t>
        </is>
      </c>
      <c r="G3371" s="16" t="inlineStr">
        <is>
          <t>B13-eficiencias</t>
        </is>
      </c>
      <c r="H3371" s="16" t="inlineStr">
        <is>
          <t>lhs</t>
        </is>
      </c>
      <c r="I3371" s="16" t="inlineStr">
        <is>
          <t>CORREGIBLE</t>
        </is>
      </c>
      <c r="J3371" s="16" t="inlineStr">
        <is>
          <t>CORREGIBLE</t>
        </is>
      </c>
      <c r="K3371" s="16" t="b">
        <v>1</v>
      </c>
      <c r="L3371" s="16" t="b">
        <v>0</v>
      </c>
      <c r="M3371" s="16" t="b">
        <v>1</v>
      </c>
      <c r="N3371" s="16" t="b">
        <v>0</v>
      </c>
      <c r="O3371" s="16" t="n">
        <v>481.9886138419722</v>
      </c>
      <c r="P3371" s="16" t="n">
        <v>279.4413378472923</v>
      </c>
      <c r="Q3371" s="16" t="n">
        <v>3695.851940817448</v>
      </c>
      <c r="R3371" s="16" t="n">
        <v>549.8990531603367</v>
      </c>
      <c r="S3371" s="16" t="n">
        <v>0.5886010181318712</v>
      </c>
      <c r="T3371" s="16" t="n">
        <v>0.85</v>
      </c>
      <c r="U3371" s="16" t="n">
        <v>0.75</v>
      </c>
      <c r="V3371" s="16" t="n">
        <v>0.85</v>
      </c>
      <c r="W3371" s="16" t="n">
        <v>0.75</v>
      </c>
      <c r="X3371" s="16" t="n">
        <v>0.8</v>
      </c>
      <c r="Y3371" s="16" t="n">
        <v>279.4413378472923</v>
      </c>
      <c r="Z3371" s="16" t="n">
        <v>13.40718171048913</v>
      </c>
      <c r="AA3371" s="16" t="n">
        <v>216.6014856553963</v>
      </c>
      <c r="AB3371" s="16" t="n">
        <v>3145.952887657111</v>
      </c>
      <c r="AC3371" s="16" t="n">
        <v>6.720964365326576</v>
      </c>
      <c r="AD3371" s="16" t="inlineStr">
        <is>
          <t>O2</t>
        </is>
      </c>
      <c r="AE3371" s="16" t="n"/>
    </row>
    <row r="3372">
      <c r="A3372" s="16" t="inlineStr">
        <is>
          <t>KF-M09-R0-eficiencias-0058</t>
        </is>
      </c>
      <c r="B3372" s="16" t="inlineStr">
        <is>
          <t>4.3</t>
        </is>
      </c>
      <c r="C3372" s="16" t="inlineStr">
        <is>
          <t>4.3 eficiencias</t>
        </is>
      </c>
      <c r="D3372" s="16" t="inlineStr">
        <is>
          <t>ronda 0</t>
        </is>
      </c>
      <c r="E3372" s="16" t="inlineStr">
        <is>
          <t>KF-M09</t>
        </is>
      </c>
      <c r="F3372" s="16" t="inlineStr">
        <is>
          <t>KF-M09-R0-eficiencias</t>
        </is>
      </c>
      <c r="G3372" s="16" t="inlineStr">
        <is>
          <t>B13-eficiencias</t>
        </is>
      </c>
      <c r="H3372" s="16" t="inlineStr">
        <is>
          <t>lhs</t>
        </is>
      </c>
      <c r="I3372" s="16" t="inlineStr">
        <is>
          <t>CORREGIBLE</t>
        </is>
      </c>
      <c r="J3372" s="16" t="inlineStr">
        <is>
          <t>CORREGIBLE</t>
        </is>
      </c>
      <c r="K3372" s="16" t="b">
        <v>1</v>
      </c>
      <c r="L3372" s="16" t="b">
        <v>0</v>
      </c>
      <c r="M3372" s="16" t="b">
        <v>1</v>
      </c>
      <c r="N3372" s="16" t="b">
        <v>0</v>
      </c>
      <c r="O3372" s="16" t="n">
        <v>495.1608411060871</v>
      </c>
      <c r="P3372" s="16" t="n">
        <v>280.5879856910413</v>
      </c>
      <c r="Q3372" s="16" t="n">
        <v>4514.385483680662</v>
      </c>
      <c r="R3372" s="16" t="n">
        <v>1243.030893886252</v>
      </c>
      <c r="S3372" s="16" t="n">
        <v>0.6844512104113742</v>
      </c>
      <c r="T3372" s="16" t="n">
        <v>0.85</v>
      </c>
      <c r="U3372" s="16" t="n">
        <v>0.75</v>
      </c>
      <c r="V3372" s="16" t="n">
        <v>0.85</v>
      </c>
      <c r="W3372" s="16" t="n">
        <v>0.75</v>
      </c>
      <c r="X3372" s="16" t="n">
        <v>0.8</v>
      </c>
      <c r="Y3372" s="16" t="n">
        <v>280.5879856910413</v>
      </c>
      <c r="Z3372" s="16" t="n">
        <v>10.35920903013013</v>
      </c>
      <c r="AA3372" s="16" t="n">
        <v>159.6405630325136</v>
      </c>
      <c r="AB3372" s="16" t="n">
        <v>3271.35458979441</v>
      </c>
      <c r="AC3372" s="16" t="n">
        <v>3.631756463885417</v>
      </c>
      <c r="AD3372" s="16" t="inlineStr">
        <is>
          <t>O2</t>
        </is>
      </c>
      <c r="AE3372" s="16" t="n"/>
    </row>
    <row r="3373">
      <c r="A3373" s="16" t="inlineStr">
        <is>
          <t>KF-M09-R0-eficiencias-0059</t>
        </is>
      </c>
      <c r="B3373" s="16" t="inlineStr">
        <is>
          <t>4.3</t>
        </is>
      </c>
      <c r="C3373" s="16" t="inlineStr">
        <is>
          <t>4.3 eficiencias</t>
        </is>
      </c>
      <c r="D3373" s="16" t="inlineStr">
        <is>
          <t>ronda 0</t>
        </is>
      </c>
      <c r="E3373" s="16" t="inlineStr">
        <is>
          <t>KF-M09</t>
        </is>
      </c>
      <c r="F3373" s="16" t="inlineStr">
        <is>
          <t>KF-M09-R0-eficiencias</t>
        </is>
      </c>
      <c r="G3373" s="16" t="inlineStr">
        <is>
          <t>B13-eficiencias</t>
        </is>
      </c>
      <c r="H3373" s="16" t="inlineStr">
        <is>
          <t>lhs</t>
        </is>
      </c>
      <c r="I3373" s="16" t="inlineStr">
        <is>
          <t>CORREGIBLE</t>
        </is>
      </c>
      <c r="J3373" s="16" t="inlineStr">
        <is>
          <t>CORREGIBLE</t>
        </is>
      </c>
      <c r="K3373" s="16" t="b">
        <v>1</v>
      </c>
      <c r="L3373" s="16" t="b">
        <v>0</v>
      </c>
      <c r="M3373" s="16" t="b">
        <v>0</v>
      </c>
      <c r="N3373" s="16" t="b">
        <v>0</v>
      </c>
      <c r="O3373" s="16" t="n">
        <v>393.0510034602703</v>
      </c>
      <c r="P3373" s="16" t="n">
        <v>289.8842246689501</v>
      </c>
      <c r="Q3373" s="16" t="n">
        <v>3647.566953480786</v>
      </c>
      <c r="R3373" s="16" t="n">
        <v>536.0697702892948</v>
      </c>
      <c r="S3373" s="16" t="n">
        <v>0.6691547660086166</v>
      </c>
      <c r="T3373" s="16" t="n">
        <v>0.85</v>
      </c>
      <c r="U3373" s="16" t="n">
        <v>0.75</v>
      </c>
      <c r="V3373" s="16" t="n">
        <v>0.85</v>
      </c>
      <c r="W3373" s="16" t="n">
        <v>0.75</v>
      </c>
      <c r="X3373" s="16" t="n">
        <v>0.8</v>
      </c>
      <c r="Y3373" s="16" t="n">
        <v>289.8842246689501</v>
      </c>
      <c r="Z3373" s="16" t="n">
        <v>12.2233349754771</v>
      </c>
      <c r="AA3373" s="16" t="n">
        <v>56.16541065561621</v>
      </c>
      <c r="AB3373" s="16" t="n">
        <v>3111.497183191492</v>
      </c>
      <c r="AC3373" s="16" t="n">
        <v>6.804276524513488</v>
      </c>
      <c r="AD3373" s="16" t="inlineStr">
        <is>
          <t>O2</t>
        </is>
      </c>
      <c r="AE3373" s="16" t="n"/>
    </row>
    <row r="3374">
      <c r="A3374" s="16" t="inlineStr">
        <is>
          <t>KF-M09-R0-eficiencias-0060</t>
        </is>
      </c>
      <c r="B3374" s="16" t="inlineStr">
        <is>
          <t>4.3</t>
        </is>
      </c>
      <c r="C3374" s="16" t="inlineStr">
        <is>
          <t>4.3 eficiencias</t>
        </is>
      </c>
      <c r="D3374" s="16" t="inlineStr">
        <is>
          <t>ronda 0</t>
        </is>
      </c>
      <c r="E3374" s="16" t="inlineStr">
        <is>
          <t>KF-M09</t>
        </is>
      </c>
      <c r="F3374" s="16" t="inlineStr">
        <is>
          <t>KF-M09-R0-eficiencias</t>
        </is>
      </c>
      <c r="G3374" s="16" t="inlineStr">
        <is>
          <t>B13-eficiencias</t>
        </is>
      </c>
      <c r="H3374" s="16" t="inlineStr">
        <is>
          <t>lhs</t>
        </is>
      </c>
      <c r="I3374" s="16" t="inlineStr">
        <is>
          <t>CORREGIBLE</t>
        </is>
      </c>
      <c r="J3374" s="16" t="inlineStr">
        <is>
          <t>CORREGIBLE</t>
        </is>
      </c>
      <c r="K3374" s="16" t="b">
        <v>1</v>
      </c>
      <c r="L3374" s="16" t="b">
        <v>0</v>
      </c>
      <c r="M3374" s="16" t="b">
        <v>1</v>
      </c>
      <c r="N3374" s="16" t="b">
        <v>0</v>
      </c>
      <c r="O3374" s="16" t="n">
        <v>505.6690042997345</v>
      </c>
      <c r="P3374" s="16" t="n">
        <v>294.4547350137127</v>
      </c>
      <c r="Q3374" s="16" t="n">
        <v>4358.911133634378</v>
      </c>
      <c r="R3374" s="16" t="n">
        <v>464.161865852433</v>
      </c>
      <c r="S3374" s="16" t="n">
        <v>0.574363975454981</v>
      </c>
      <c r="T3374" s="16" t="n">
        <v>0.85</v>
      </c>
      <c r="U3374" s="16" t="n">
        <v>0.75</v>
      </c>
      <c r="V3374" s="16" t="n">
        <v>0.85</v>
      </c>
      <c r="W3374" s="16" t="n">
        <v>0.75</v>
      </c>
      <c r="X3374" s="16" t="n">
        <v>0.8</v>
      </c>
      <c r="Y3374" s="16" t="n">
        <v>294.4547350137127</v>
      </c>
      <c r="Z3374" s="16" t="n">
        <v>15.11828107771663</v>
      </c>
      <c r="AA3374" s="16" t="n">
        <v>243.7872148450514</v>
      </c>
      <c r="AB3374" s="16" t="n">
        <v>3894.749267781945</v>
      </c>
      <c r="AC3374" s="16" t="n">
        <v>9.390929014879839</v>
      </c>
      <c r="AD3374" s="16" t="inlineStr">
        <is>
          <t>O1,O2</t>
        </is>
      </c>
      <c r="AE3374" s="16" t="n"/>
    </row>
    <row r="3375">
      <c r="A3375" s="16" t="inlineStr">
        <is>
          <t>KF-M09-R0-eficiencias-0061</t>
        </is>
      </c>
      <c r="B3375" s="16" t="inlineStr">
        <is>
          <t>4.3</t>
        </is>
      </c>
      <c r="C3375" s="16" t="inlineStr">
        <is>
          <t>4.3 eficiencias</t>
        </is>
      </c>
      <c r="D3375" s="16" t="inlineStr">
        <is>
          <t>ronda 0</t>
        </is>
      </c>
      <c r="E3375" s="16" t="inlineStr">
        <is>
          <t>KF-M09</t>
        </is>
      </c>
      <c r="F3375" s="16" t="inlineStr">
        <is>
          <t>KF-M09-R0-eficiencias</t>
        </is>
      </c>
      <c r="G3375" s="16" t="inlineStr">
        <is>
          <t>B13-eficiencias</t>
        </is>
      </c>
      <c r="H3375" s="16" t="inlineStr">
        <is>
          <t>lhs</t>
        </is>
      </c>
      <c r="I3375" s="16" t="inlineStr">
        <is>
          <t>CORREGIBLE</t>
        </is>
      </c>
      <c r="J3375" s="16" t="inlineStr">
        <is>
          <t>CORREGIBLE</t>
        </is>
      </c>
      <c r="K3375" s="16" t="b">
        <v>1</v>
      </c>
      <c r="L3375" s="16" t="b">
        <v>0</v>
      </c>
      <c r="M3375" s="16" t="b">
        <v>1</v>
      </c>
      <c r="N3375" s="16" t="b">
        <v>0</v>
      </c>
      <c r="O3375" s="16" t="n">
        <v>467.2864555333728</v>
      </c>
      <c r="P3375" s="16" t="n">
        <v>298.3658994702575</v>
      </c>
      <c r="Q3375" s="16" t="n">
        <v>2167.718912311749</v>
      </c>
      <c r="R3375" s="16" t="n">
        <v>427.0662132762707</v>
      </c>
      <c r="S3375" s="16" t="n">
        <v>0.700382013562829</v>
      </c>
      <c r="T3375" s="16" t="n">
        <v>0.85</v>
      </c>
      <c r="U3375" s="16" t="n">
        <v>0.75</v>
      </c>
      <c r="V3375" s="16" t="n">
        <v>0.85</v>
      </c>
      <c r="W3375" s="16" t="n">
        <v>0.75</v>
      </c>
      <c r="X3375" s="16" t="n">
        <v>0.8</v>
      </c>
      <c r="Y3375" s="16" t="n">
        <v>298.3658994702575</v>
      </c>
      <c r="Z3375" s="16" t="n">
        <v>7.58179438093092</v>
      </c>
      <c r="AA3375" s="16" t="n">
        <v>81.92496432146561</v>
      </c>
      <c r="AB3375" s="16" t="n">
        <v>1740.652699035478</v>
      </c>
      <c r="AC3375" s="16" t="n">
        <v>5.075837996365786</v>
      </c>
      <c r="AD3375" s="16" t="inlineStr">
        <is>
          <t>O2</t>
        </is>
      </c>
      <c r="AE3375" s="16" t="n"/>
    </row>
    <row r="3376">
      <c r="A3376" s="16" t="inlineStr">
        <is>
          <t>KF-M09-R0-eficiencias-0062</t>
        </is>
      </c>
      <c r="B3376" s="16" t="inlineStr">
        <is>
          <t>4.3</t>
        </is>
      </c>
      <c r="C3376" s="16" t="inlineStr">
        <is>
          <t>4.3 eficiencias</t>
        </is>
      </c>
      <c r="D3376" s="16" t="inlineStr">
        <is>
          <t>ronda 0</t>
        </is>
      </c>
      <c r="E3376" s="16" t="inlineStr">
        <is>
          <t>KF-M09</t>
        </is>
      </c>
      <c r="F3376" s="16" t="inlineStr">
        <is>
          <t>KF-M09-R0-eficiencias</t>
        </is>
      </c>
      <c r="G3376" s="16" t="inlineStr">
        <is>
          <t>B13-eficiencias</t>
        </is>
      </c>
      <c r="H3376" s="16" t="inlineStr">
        <is>
          <t>lhs</t>
        </is>
      </c>
      <c r="I3376" s="16" t="inlineStr">
        <is>
          <t>CORREGIBLE</t>
        </is>
      </c>
      <c r="J3376" s="16" t="inlineStr">
        <is>
          <t>CORREGIBLE</t>
        </is>
      </c>
      <c r="K3376" s="16" t="b">
        <v>1</v>
      </c>
      <c r="L3376" s="16" t="b">
        <v>0</v>
      </c>
      <c r="M3376" s="16" t="b">
        <v>1</v>
      </c>
      <c r="N3376" s="16" t="b">
        <v>0</v>
      </c>
      <c r="O3376" s="16" t="n">
        <v>497.4067103013382</v>
      </c>
      <c r="P3376" s="16" t="n">
        <v>294.2565337003439</v>
      </c>
      <c r="Q3376" s="16" t="n">
        <v>2465.560676700233</v>
      </c>
      <c r="R3376" s="16" t="n">
        <v>1285.352935678214</v>
      </c>
      <c r="S3376" s="16" t="n">
        <v>0.5140396485011149</v>
      </c>
      <c r="T3376" s="16" t="n">
        <v>0.85</v>
      </c>
      <c r="U3376" s="16" t="n">
        <v>0.75</v>
      </c>
      <c r="V3376" s="16" t="n">
        <v>0.85</v>
      </c>
      <c r="W3376" s="16" t="n">
        <v>0.75</v>
      </c>
      <c r="X3376" s="16" t="n">
        <v>0.8</v>
      </c>
      <c r="Y3376" s="16" t="n">
        <v>294.2565337003439</v>
      </c>
      <c r="Z3376" s="16" t="n">
        <v>4.89307479928347</v>
      </c>
      <c r="AA3376" s="16" t="n">
        <v>82.86537205152851</v>
      </c>
      <c r="AB3376" s="16" t="n">
        <v>1180.207741022019</v>
      </c>
      <c r="AC3376" s="16" t="n">
        <v>1.918197413537072</v>
      </c>
      <c r="AD3376" s="16" t="inlineStr">
        <is>
          <t>O2</t>
        </is>
      </c>
      <c r="AE3376" s="16" t="n"/>
    </row>
    <row r="3377">
      <c r="A3377" s="16" t="inlineStr">
        <is>
          <t>KF-M09-R0-eficiencias-0063</t>
        </is>
      </c>
      <c r="B3377" s="16" t="inlineStr">
        <is>
          <t>4.3</t>
        </is>
      </c>
      <c r="C3377" s="16" t="inlineStr">
        <is>
          <t>4.3 eficiencias</t>
        </is>
      </c>
      <c r="D3377" s="16" t="inlineStr">
        <is>
          <t>ronda 0</t>
        </is>
      </c>
      <c r="E3377" s="16" t="inlineStr">
        <is>
          <t>KF-M09</t>
        </is>
      </c>
      <c r="F3377" s="16" t="inlineStr">
        <is>
          <t>KF-M09-R0-eficiencias</t>
        </is>
      </c>
      <c r="G3377" s="16" t="inlineStr">
        <is>
          <t>B13-eficiencias</t>
        </is>
      </c>
      <c r="H3377" s="16" t="inlineStr">
        <is>
          <t>lhs</t>
        </is>
      </c>
      <c r="I3377" s="16" t="inlineStr">
        <is>
          <t>CORREGIBLE</t>
        </is>
      </c>
      <c r="J3377" s="16" t="inlineStr">
        <is>
          <t>CORREGIBLE</t>
        </is>
      </c>
      <c r="K3377" s="16" t="b">
        <v>1</v>
      </c>
      <c r="L3377" s="16" t="b">
        <v>0</v>
      </c>
      <c r="M3377" s="16" t="b">
        <v>0</v>
      </c>
      <c r="N3377" s="16" t="b">
        <v>0</v>
      </c>
      <c r="O3377" s="16" t="n">
        <v>404.2125570762403</v>
      </c>
      <c r="P3377" s="16" t="n">
        <v>290.9228458083854</v>
      </c>
      <c r="Q3377" s="16" t="n">
        <v>3719.696486678743</v>
      </c>
      <c r="R3377" s="16" t="n">
        <v>798.0384416702468</v>
      </c>
      <c r="S3377" s="16" t="n">
        <v>0.7328399629300155</v>
      </c>
      <c r="T3377" s="16" t="n">
        <v>0.85</v>
      </c>
      <c r="U3377" s="16" t="n">
        <v>0.75</v>
      </c>
      <c r="V3377" s="16" t="n">
        <v>0.85</v>
      </c>
      <c r="W3377" s="16" t="n">
        <v>0.75</v>
      </c>
      <c r="X3377" s="16" t="n">
        <v>0.8</v>
      </c>
      <c r="Y3377" s="16" t="n">
        <v>290.9228458083854</v>
      </c>
      <c r="Z3377" s="16" t="n">
        <v>12.07137225497058</v>
      </c>
      <c r="AA3377" s="16" t="n">
        <v>83.68558653996359</v>
      </c>
      <c r="AB3377" s="16" t="n">
        <v>2921.658045008496</v>
      </c>
      <c r="AC3377" s="16" t="n">
        <v>4.661049258346052</v>
      </c>
      <c r="AD3377" s="16" t="inlineStr">
        <is>
          <t>O2</t>
        </is>
      </c>
      <c r="AE3377" s="16" t="n"/>
    </row>
    <row r="3378">
      <c r="A3378" s="16" t="inlineStr">
        <is>
          <t>KF-M09-R0-eficiencias-0064</t>
        </is>
      </c>
      <c r="B3378" s="16" t="inlineStr">
        <is>
          <t>4.3</t>
        </is>
      </c>
      <c r="C3378" s="16" t="inlineStr">
        <is>
          <t>4.3 eficiencias</t>
        </is>
      </c>
      <c r="D3378" s="16" t="inlineStr">
        <is>
          <t>ronda 0</t>
        </is>
      </c>
      <c r="E3378" s="16" t="inlineStr">
        <is>
          <t>KF-M09</t>
        </is>
      </c>
      <c r="F3378" s="16" t="inlineStr">
        <is>
          <t>KF-M09-R0-eficiencias</t>
        </is>
      </c>
      <c r="G3378" s="16" t="inlineStr">
        <is>
          <t>B13-eficiencias</t>
        </is>
      </c>
      <c r="H3378" s="16" t="inlineStr">
        <is>
          <t>lhs</t>
        </is>
      </c>
      <c r="I3378" s="16" t="inlineStr">
        <is>
          <t>KALINA</t>
        </is>
      </c>
      <c r="J3378" s="16" t="inlineStr">
        <is>
          <t>KALINA</t>
        </is>
      </c>
      <c r="K3378" s="16" t="b">
        <v>1</v>
      </c>
      <c r="L3378" s="16" t="b">
        <v>1</v>
      </c>
      <c r="M3378" s="16" t="b">
        <v>0</v>
      </c>
      <c r="N3378" s="16" t="b">
        <v>0</v>
      </c>
      <c r="O3378" s="16" t="n">
        <v>419.2191487624165</v>
      </c>
      <c r="P3378" s="16" t="n">
        <v>289.3889111900805</v>
      </c>
      <c r="Q3378" s="16" t="n">
        <v>4601.486844416853</v>
      </c>
      <c r="R3378" s="16" t="n">
        <v>1400.152398038793</v>
      </c>
      <c r="S3378" s="16" t="n">
        <v>0.5396595482739908</v>
      </c>
      <c r="T3378" s="16" t="n">
        <v>0.85</v>
      </c>
      <c r="U3378" s="16" t="n">
        <v>0.75</v>
      </c>
      <c r="V3378" s="16" t="n">
        <v>0.85</v>
      </c>
      <c r="W3378" s="16" t="n">
        <v>0.75</v>
      </c>
      <c r="X3378" s="16" t="n">
        <v>0.8</v>
      </c>
      <c r="Y3378" s="16" t="n">
        <v>289.3889111900805</v>
      </c>
      <c r="Z3378" s="16" t="n">
        <v>5.00589900888847</v>
      </c>
      <c r="AA3378" s="16" t="n">
        <v>16.84946669631425</v>
      </c>
      <c r="AB3378" s="16" t="n">
        <v>3201.33444637806</v>
      </c>
      <c r="AC3378" s="16" t="n">
        <v>3.286418571908457</v>
      </c>
      <c r="AD3378" s="16" t="n"/>
      <c r="AE3378" s="16" t="n"/>
    </row>
    <row r="3379">
      <c r="A3379" s="16" t="inlineStr">
        <is>
          <t>KF-M09-R0-eficiencias-0065</t>
        </is>
      </c>
      <c r="B3379" s="16" t="inlineStr">
        <is>
          <t>4.3</t>
        </is>
      </c>
      <c r="C3379" s="16" t="inlineStr">
        <is>
          <t>4.3 eficiencias</t>
        </is>
      </c>
      <c r="D3379" s="16" t="inlineStr">
        <is>
          <t>ronda 0</t>
        </is>
      </c>
      <c r="E3379" s="16" t="inlineStr">
        <is>
          <t>KF-M09</t>
        </is>
      </c>
      <c r="F3379" s="16" t="inlineStr">
        <is>
          <t>KF-M09-R0-eficiencias</t>
        </is>
      </c>
      <c r="G3379" s="16" t="inlineStr">
        <is>
          <t>B13-eficiencias</t>
        </is>
      </c>
      <c r="H3379" s="16" t="inlineStr">
        <is>
          <t>lhs</t>
        </is>
      </c>
      <c r="I3379" s="16" t="inlineStr">
        <is>
          <t>CORREGIBLE</t>
        </is>
      </c>
      <c r="J3379" s="16" t="inlineStr">
        <is>
          <t>CORREGIBLE</t>
        </is>
      </c>
      <c r="K3379" s="16" t="b">
        <v>1</v>
      </c>
      <c r="L3379" s="16" t="b">
        <v>0</v>
      </c>
      <c r="M3379" s="16" t="b">
        <v>1</v>
      </c>
      <c r="N3379" s="16" t="b">
        <v>0</v>
      </c>
      <c r="O3379" s="16" t="n">
        <v>439.0003876537606</v>
      </c>
      <c r="P3379" s="16" t="n">
        <v>293.4201537920551</v>
      </c>
      <c r="Q3379" s="16" t="n">
        <v>3047.46461387508</v>
      </c>
      <c r="R3379" s="16" t="n">
        <v>1054.208860396432</v>
      </c>
      <c r="S3379" s="16" t="n">
        <v>0.7763197345472195</v>
      </c>
      <c r="T3379" s="16" t="n">
        <v>0.85</v>
      </c>
      <c r="U3379" s="16" t="n">
        <v>0.75</v>
      </c>
      <c r="V3379" s="16" t="n">
        <v>0.85</v>
      </c>
      <c r="W3379" s="16" t="n">
        <v>0.75</v>
      </c>
      <c r="X3379" s="16" t="n">
        <v>0.8</v>
      </c>
      <c r="Y3379" s="16" t="n">
        <v>293.4201537920551</v>
      </c>
      <c r="Z3379" s="16" t="n">
        <v>8.773338556542621</v>
      </c>
      <c r="AA3379" s="16" t="n">
        <v>111.7029081755183</v>
      </c>
      <c r="AB3379" s="16" t="n">
        <v>1993.255753478648</v>
      </c>
      <c r="AC3379" s="16" t="n">
        <v>2.890759818437771</v>
      </c>
      <c r="AD3379" s="16" t="inlineStr">
        <is>
          <t>O2</t>
        </is>
      </c>
      <c r="AE3379" s="16" t="n"/>
    </row>
    <row r="3380">
      <c r="A3380" s="16" t="inlineStr">
        <is>
          <t>KF-M09-R0-eficiencias-0066</t>
        </is>
      </c>
      <c r="B3380" s="16" t="inlineStr">
        <is>
          <t>4.3</t>
        </is>
      </c>
      <c r="C3380" s="16" t="inlineStr">
        <is>
          <t>4.3 eficiencias</t>
        </is>
      </c>
      <c r="D3380" s="16" t="inlineStr">
        <is>
          <t>ronda 0</t>
        </is>
      </c>
      <c r="E3380" s="16" t="inlineStr">
        <is>
          <t>KF-M09</t>
        </is>
      </c>
      <c r="F3380" s="16" t="inlineStr">
        <is>
          <t>KF-M09-R0-eficiencias</t>
        </is>
      </c>
      <c r="G3380" s="16" t="inlineStr">
        <is>
          <t>B13-eficiencias</t>
        </is>
      </c>
      <c r="H3380" s="16" t="inlineStr">
        <is>
          <t>lhs</t>
        </is>
      </c>
      <c r="I3380" s="16" t="inlineStr">
        <is>
          <t>INVIABLE</t>
        </is>
      </c>
      <c r="J3380" s="16" t="inlineStr">
        <is>
          <t>INVIABLE</t>
        </is>
      </c>
      <c r="K3380" s="16" t="b">
        <v>1</v>
      </c>
      <c r="L3380" s="16" t="b">
        <v>0</v>
      </c>
      <c r="M3380" s="16" t="b">
        <v>0</v>
      </c>
      <c r="N3380" s="16" t="b">
        <v>0</v>
      </c>
      <c r="O3380" s="16" t="n">
        <v>424.88301922844</v>
      </c>
      <c r="P3380" s="16" t="n">
        <v>294.6880992311173</v>
      </c>
      <c r="Q3380" s="16" t="n">
        <v>4126.154642901001</v>
      </c>
      <c r="R3380" s="16" t="n">
        <v>354.2500659311622</v>
      </c>
      <c r="S3380" s="16" t="n">
        <v>0.7120693143821106</v>
      </c>
      <c r="T3380" s="16" t="n">
        <v>0.85</v>
      </c>
      <c r="U3380" s="16" t="n">
        <v>0.75</v>
      </c>
      <c r="V3380" s="16" t="n">
        <v>0.85</v>
      </c>
      <c r="W3380" s="16" t="n">
        <v>0.75</v>
      </c>
      <c r="X3380" s="16" t="n">
        <v>0.8</v>
      </c>
      <c r="Y3380" s="16" t="n">
        <v>294.6880992311173</v>
      </c>
      <c r="Z3380" s="16" t="n">
        <v>-0.0257379997476899</v>
      </c>
      <c r="AA3380" s="16" t="n">
        <v>-0.1010475084432585</v>
      </c>
      <c r="AB3380" s="16" t="n">
        <v>3771.904576969839</v>
      </c>
      <c r="AC3380" s="16" t="n">
        <v>11.64757621725551</v>
      </c>
      <c r="AD3380" s="16" t="inlineStr">
        <is>
          <t>O2,O3</t>
        </is>
      </c>
      <c r="AE3380" s="16" t="n"/>
    </row>
    <row r="3381">
      <c r="A3381" s="16" t="inlineStr">
        <is>
          <t>KF-M09-R0-eficiencias-0067</t>
        </is>
      </c>
      <c r="B3381" s="16" t="inlineStr">
        <is>
          <t>4.3</t>
        </is>
      </c>
      <c r="C3381" s="16" t="inlineStr">
        <is>
          <t>4.3 eficiencias</t>
        </is>
      </c>
      <c r="D3381" s="16" t="inlineStr">
        <is>
          <t>ronda 0</t>
        </is>
      </c>
      <c r="E3381" s="16" t="inlineStr">
        <is>
          <t>KF-M09</t>
        </is>
      </c>
      <c r="F3381" s="16" t="inlineStr">
        <is>
          <t>KF-M09-R0-eficiencias</t>
        </is>
      </c>
      <c r="G3381" s="16" t="inlineStr">
        <is>
          <t>B13-eficiencias</t>
        </is>
      </c>
      <c r="H3381" s="16" t="inlineStr">
        <is>
          <t>lhs</t>
        </is>
      </c>
      <c r="I3381" s="16" t="inlineStr">
        <is>
          <t>CORREGIBLE</t>
        </is>
      </c>
      <c r="J3381" s="16" t="inlineStr">
        <is>
          <t>CORREGIBLE</t>
        </is>
      </c>
      <c r="K3381" s="16" t="b">
        <v>1</v>
      </c>
      <c r="L3381" s="16" t="b">
        <v>0</v>
      </c>
      <c r="M3381" s="16" t="b">
        <v>0</v>
      </c>
      <c r="N3381" s="16" t="b">
        <v>0</v>
      </c>
      <c r="O3381" s="16" t="n">
        <v>423.4809181006262</v>
      </c>
      <c r="P3381" s="16" t="n">
        <v>295.4312431771145</v>
      </c>
      <c r="Q3381" s="16" t="n">
        <v>3306.248255809954</v>
      </c>
      <c r="R3381" s="16" t="n">
        <v>647.9814851424135</v>
      </c>
      <c r="S3381" s="16" t="n">
        <v>0.5621027301131036</v>
      </c>
      <c r="T3381" s="16" t="n">
        <v>0.85</v>
      </c>
      <c r="U3381" s="16" t="n">
        <v>0.75</v>
      </c>
      <c r="V3381" s="16" t="n">
        <v>0.85</v>
      </c>
      <c r="W3381" s="16" t="n">
        <v>0.75</v>
      </c>
      <c r="X3381" s="16" t="n">
        <v>0.8</v>
      </c>
      <c r="Y3381" s="16" t="n">
        <v>295.4312431771145</v>
      </c>
      <c r="Z3381" s="16" t="n">
        <v>11.36957144139066</v>
      </c>
      <c r="AA3381" s="16" t="n">
        <v>71.48084429846841</v>
      </c>
      <c r="AB3381" s="16" t="n">
        <v>2658.26677066754</v>
      </c>
      <c r="AC3381" s="16" t="n">
        <v>5.102380749479757</v>
      </c>
      <c r="AD3381" s="16" t="inlineStr">
        <is>
          <t>O2</t>
        </is>
      </c>
      <c r="AE3381" s="16" t="n"/>
    </row>
    <row r="3382">
      <c r="A3382" s="16" t="inlineStr">
        <is>
          <t>KF-M09-R0-eficiencias-0068</t>
        </is>
      </c>
      <c r="B3382" s="16" t="inlineStr">
        <is>
          <t>4.3</t>
        </is>
      </c>
      <c r="C3382" s="16" t="inlineStr">
        <is>
          <t>4.3 eficiencias</t>
        </is>
      </c>
      <c r="D3382" s="16" t="inlineStr">
        <is>
          <t>ronda 0</t>
        </is>
      </c>
      <c r="E3382" s="16" t="inlineStr">
        <is>
          <t>KF-M09</t>
        </is>
      </c>
      <c r="F3382" s="16" t="inlineStr">
        <is>
          <t>KF-M09-R0-eficiencias</t>
        </is>
      </c>
      <c r="G3382" s="16" t="inlineStr">
        <is>
          <t>B13-eficiencias</t>
        </is>
      </c>
      <c r="H3382" s="16" t="inlineStr">
        <is>
          <t>lhs</t>
        </is>
      </c>
      <c r="I3382" s="16" t="inlineStr">
        <is>
          <t>KALINA</t>
        </is>
      </c>
      <c r="J3382" s="16" t="inlineStr">
        <is>
          <t>KALINA</t>
        </is>
      </c>
      <c r="K3382" s="16" t="b">
        <v>1</v>
      </c>
      <c r="L3382" s="16" t="b">
        <v>1</v>
      </c>
      <c r="M3382" s="16" t="b">
        <v>0</v>
      </c>
      <c r="N3382" s="16" t="b">
        <v>0</v>
      </c>
      <c r="O3382" s="16" t="n">
        <v>386.5630698635727</v>
      </c>
      <c r="P3382" s="16" t="n">
        <v>292.8456689078885</v>
      </c>
      <c r="Q3382" s="16" t="n">
        <v>3674.73187722162</v>
      </c>
      <c r="R3382" s="16" t="n">
        <v>1815.096229581577</v>
      </c>
      <c r="S3382" s="16" t="n">
        <v>0.6929960960469095</v>
      </c>
      <c r="T3382" s="16" t="n">
        <v>0.85</v>
      </c>
      <c r="U3382" s="16" t="n">
        <v>0.75</v>
      </c>
      <c r="V3382" s="16" t="n">
        <v>0.85</v>
      </c>
      <c r="W3382" s="16" t="n">
        <v>0.75</v>
      </c>
      <c r="X3382" s="16" t="n">
        <v>0.8</v>
      </c>
      <c r="Y3382" s="16" t="n">
        <v>292.8456689078885</v>
      </c>
      <c r="Z3382" s="16" t="n">
        <v>4.85182347710703</v>
      </c>
      <c r="AA3382" s="16" t="n">
        <v>20.36842647952059</v>
      </c>
      <c r="AB3382" s="16" t="n">
        <v>1859.635647640042</v>
      </c>
      <c r="AC3382" s="16" t="n">
        <v>2.024538323275969</v>
      </c>
      <c r="AD3382" s="16" t="n"/>
      <c r="AE3382" s="16" t="n"/>
    </row>
    <row r="3383">
      <c r="A3383" s="16" t="inlineStr">
        <is>
          <t>KF-M09-R0-eficiencias-0069</t>
        </is>
      </c>
      <c r="B3383" s="16" t="inlineStr">
        <is>
          <t>4.3</t>
        </is>
      </c>
      <c r="C3383" s="16" t="inlineStr">
        <is>
          <t>4.3 eficiencias</t>
        </is>
      </c>
      <c r="D3383" s="16" t="inlineStr">
        <is>
          <t>ronda 0</t>
        </is>
      </c>
      <c r="E3383" s="16" t="inlineStr">
        <is>
          <t>KF-M09</t>
        </is>
      </c>
      <c r="F3383" s="16" t="inlineStr">
        <is>
          <t>KF-M09-R0-eficiencias</t>
        </is>
      </c>
      <c r="G3383" s="16" t="inlineStr">
        <is>
          <t>B13-eficiencias</t>
        </is>
      </c>
      <c r="H3383" s="16" t="inlineStr">
        <is>
          <t>lhs</t>
        </is>
      </c>
      <c r="I3383" s="16" t="inlineStr">
        <is>
          <t>KALINA</t>
        </is>
      </c>
      <c r="J3383" s="16" t="inlineStr">
        <is>
          <t>KALINA</t>
        </is>
      </c>
      <c r="K3383" s="16" t="b">
        <v>1</v>
      </c>
      <c r="L3383" s="16" t="b">
        <v>1</v>
      </c>
      <c r="M3383" s="16" t="b">
        <v>0</v>
      </c>
      <c r="N3383" s="16" t="b">
        <v>0</v>
      </c>
      <c r="O3383" s="16" t="n">
        <v>403.3598760386761</v>
      </c>
      <c r="P3383" s="16" t="n">
        <v>292.4102484355391</v>
      </c>
      <c r="Q3383" s="16" t="n">
        <v>3811.224562898081</v>
      </c>
      <c r="R3383" s="16" t="n">
        <v>966.3912178635104</v>
      </c>
      <c r="S3383" s="16" t="n">
        <v>0.5540636319641737</v>
      </c>
      <c r="T3383" s="16" t="n">
        <v>0.85</v>
      </c>
      <c r="U3383" s="16" t="n">
        <v>0.75</v>
      </c>
      <c r="V3383" s="16" t="n">
        <v>0.85</v>
      </c>
      <c r="W3383" s="16" t="n">
        <v>0.75</v>
      </c>
      <c r="X3383" s="16" t="n">
        <v>0.8</v>
      </c>
      <c r="Y3383" s="16" t="n">
        <v>292.4102484355391</v>
      </c>
      <c r="Z3383" s="16" t="n">
        <v>6.10155591706971</v>
      </c>
      <c r="AA3383" s="16" t="n">
        <v>18.08115885097229</v>
      </c>
      <c r="AB3383" s="16" t="n">
        <v>2844.83334503457</v>
      </c>
      <c r="AC3383" s="16" t="n">
        <v>3.943769865090355</v>
      </c>
      <c r="AD3383" s="16" t="n"/>
      <c r="AE3383" s="16" t="n"/>
    </row>
    <row r="3384">
      <c r="A3384" s="16" t="inlineStr">
        <is>
          <t>KF-M09-R0-eficiencias-0070</t>
        </is>
      </c>
      <c r="B3384" s="16" t="inlineStr">
        <is>
          <t>4.3</t>
        </is>
      </c>
      <c r="C3384" s="16" t="inlineStr">
        <is>
          <t>4.3 eficiencias</t>
        </is>
      </c>
      <c r="D3384" s="16" t="inlineStr">
        <is>
          <t>ronda 0</t>
        </is>
      </c>
      <c r="E3384" s="16" t="inlineStr">
        <is>
          <t>KF-M09</t>
        </is>
      </c>
      <c r="F3384" s="16" t="inlineStr">
        <is>
          <t>KF-M09-R0-eficiencias</t>
        </is>
      </c>
      <c r="G3384" s="16" t="inlineStr">
        <is>
          <t>B13-eficiencias</t>
        </is>
      </c>
      <c r="H3384" s="16" t="inlineStr">
        <is>
          <t>lhs</t>
        </is>
      </c>
      <c r="I3384" s="16" t="inlineStr">
        <is>
          <t>CORREGIBLE</t>
        </is>
      </c>
      <c r="J3384" s="16" t="inlineStr">
        <is>
          <t>CORREGIBLE</t>
        </is>
      </c>
      <c r="K3384" s="16" t="b">
        <v>1</v>
      </c>
      <c r="L3384" s="16" t="b">
        <v>0</v>
      </c>
      <c r="M3384" s="16" t="b">
        <v>1</v>
      </c>
      <c r="N3384" s="16" t="b">
        <v>0</v>
      </c>
      <c r="O3384" s="16" t="n">
        <v>458.739344533906</v>
      </c>
      <c r="P3384" s="16" t="n">
        <v>282.3641886236271</v>
      </c>
      <c r="Q3384" s="16" t="n">
        <v>3857.791888854735</v>
      </c>
      <c r="R3384" s="16" t="n">
        <v>1986.996607272141</v>
      </c>
      <c r="S3384" s="16" t="n">
        <v>0.7286110094172432</v>
      </c>
      <c r="T3384" s="16" t="n">
        <v>0.85</v>
      </c>
      <c r="U3384" s="16" t="n">
        <v>0.75</v>
      </c>
      <c r="V3384" s="16" t="n">
        <v>0.85</v>
      </c>
      <c r="W3384" s="16" t="n">
        <v>0.75</v>
      </c>
      <c r="X3384" s="16" t="n">
        <v>0.8</v>
      </c>
      <c r="Y3384" s="16" t="n">
        <v>282.3641886236271</v>
      </c>
      <c r="Z3384" s="16" t="n">
        <v>5.88366083179429</v>
      </c>
      <c r="AA3384" s="16" t="n">
        <v>83.32559219738644</v>
      </c>
      <c r="AB3384" s="16" t="n">
        <v>1870.795281582594</v>
      </c>
      <c r="AC3384" s="16" t="n">
        <v>1.941519112179525</v>
      </c>
      <c r="AD3384" s="16" t="inlineStr">
        <is>
          <t>O2</t>
        </is>
      </c>
      <c r="AE3384" s="16" t="n"/>
    </row>
    <row r="3385">
      <c r="A3385" s="16" t="inlineStr">
        <is>
          <t>KF-M09-R0-eficiencias-0071</t>
        </is>
      </c>
      <c r="B3385" s="16" t="inlineStr">
        <is>
          <t>4.3</t>
        </is>
      </c>
      <c r="C3385" s="16" t="inlineStr">
        <is>
          <t>4.3 eficiencias</t>
        </is>
      </c>
      <c r="D3385" s="16" t="inlineStr">
        <is>
          <t>ronda 0</t>
        </is>
      </c>
      <c r="E3385" s="16" t="inlineStr">
        <is>
          <t>KF-M09</t>
        </is>
      </c>
      <c r="F3385" s="16" t="inlineStr">
        <is>
          <t>KF-M09-R0-eficiencias</t>
        </is>
      </c>
      <c r="G3385" s="16" t="inlineStr">
        <is>
          <t>B13-eficiencias</t>
        </is>
      </c>
      <c r="H3385" s="16" t="inlineStr">
        <is>
          <t>lhs</t>
        </is>
      </c>
      <c r="I3385" s="16" t="inlineStr">
        <is>
          <t>CORREGIBLE</t>
        </is>
      </c>
      <c r="J3385" s="16" t="inlineStr">
        <is>
          <t>CORREGIBLE</t>
        </is>
      </c>
      <c r="K3385" s="16" t="b">
        <v>1</v>
      </c>
      <c r="L3385" s="16" t="b">
        <v>0</v>
      </c>
      <c r="M3385" s="16" t="b">
        <v>0</v>
      </c>
      <c r="N3385" s="16" t="b">
        <v>0</v>
      </c>
      <c r="O3385" s="16" t="n">
        <v>382.5684874075685</v>
      </c>
      <c r="P3385" s="16" t="n">
        <v>296.0480652614235</v>
      </c>
      <c r="Q3385" s="16" t="n">
        <v>3576.171373039979</v>
      </c>
      <c r="R3385" s="16" t="n">
        <v>832.2509646689811</v>
      </c>
      <c r="S3385" s="16" t="n">
        <v>0.7565723880037221</v>
      </c>
      <c r="T3385" s="16" t="n">
        <v>0.85</v>
      </c>
      <c r="U3385" s="16" t="n">
        <v>0.75</v>
      </c>
      <c r="V3385" s="16" t="n">
        <v>0.85</v>
      </c>
      <c r="W3385" s="16" t="n">
        <v>0.75</v>
      </c>
      <c r="X3385" s="16" t="n">
        <v>0.8</v>
      </c>
      <c r="Y3385" s="16" t="n">
        <v>296.0480652614235</v>
      </c>
      <c r="Z3385" s="16" t="n">
        <v>10.86644251092923</v>
      </c>
      <c r="AA3385" s="16" t="n">
        <v>56.68366705996819</v>
      </c>
      <c r="AB3385" s="16" t="n">
        <v>2743.920408370998</v>
      </c>
      <c r="AC3385" s="16" t="n">
        <v>4.296986756227267</v>
      </c>
      <c r="AD3385" s="16" t="inlineStr">
        <is>
          <t>O2</t>
        </is>
      </c>
      <c r="AE3385" s="16" t="n"/>
    </row>
    <row r="3386">
      <c r="A3386" s="16" t="inlineStr">
        <is>
          <t>KF-M09-R0-eficiencias-0072</t>
        </is>
      </c>
      <c r="B3386" s="16" t="inlineStr">
        <is>
          <t>4.3</t>
        </is>
      </c>
      <c r="C3386" s="16" t="inlineStr">
        <is>
          <t>4.3 eficiencias</t>
        </is>
      </c>
      <c r="D3386" s="16" t="inlineStr">
        <is>
          <t>ronda 0</t>
        </is>
      </c>
      <c r="E3386" s="16" t="inlineStr">
        <is>
          <t>KF-M09</t>
        </is>
      </c>
      <c r="F3386" s="16" t="inlineStr">
        <is>
          <t>KF-M09-R0-eficiencias</t>
        </is>
      </c>
      <c r="G3386" s="16" t="inlineStr">
        <is>
          <t>B13-eficiencias</t>
        </is>
      </c>
      <c r="H3386" s="16" t="inlineStr">
        <is>
          <t>lhs</t>
        </is>
      </c>
      <c r="I3386" s="16" t="inlineStr">
        <is>
          <t>CORREGIBLE</t>
        </is>
      </c>
      <c r="J3386" s="16" t="inlineStr">
        <is>
          <t>CORREGIBLE</t>
        </is>
      </c>
      <c r="K3386" s="16" t="b">
        <v>1</v>
      </c>
      <c r="L3386" s="16" t="b">
        <v>0</v>
      </c>
      <c r="M3386" s="16" t="b">
        <v>1</v>
      </c>
      <c r="N3386" s="16" t="b">
        <v>0</v>
      </c>
      <c r="O3386" s="16" t="n">
        <v>470.9738132403889</v>
      </c>
      <c r="P3386" s="16" t="n">
        <v>302.4368297567964</v>
      </c>
      <c r="Q3386" s="16" t="n">
        <v>2866.962602014089</v>
      </c>
      <c r="R3386" s="16" t="n">
        <v>1671.976663773145</v>
      </c>
      <c r="S3386" s="16" t="n">
        <v>0.7666278823093108</v>
      </c>
      <c r="T3386" s="16" t="n">
        <v>0.85</v>
      </c>
      <c r="U3386" s="16" t="n">
        <v>0.75</v>
      </c>
      <c r="V3386" s="16" t="n">
        <v>0.85</v>
      </c>
      <c r="W3386" s="16" t="n">
        <v>0.75</v>
      </c>
      <c r="X3386" s="16" t="n">
        <v>0.8</v>
      </c>
      <c r="Y3386" s="16" t="n">
        <v>302.4368297567964</v>
      </c>
      <c r="Z3386" s="16" t="n">
        <v>4.51063181360324</v>
      </c>
      <c r="AA3386" s="16" t="n">
        <v>61.35284746697273</v>
      </c>
      <c r="AB3386" s="16" t="n">
        <v>1194.985938240944</v>
      </c>
      <c r="AC3386" s="16" t="n">
        <v>1.714714483839877</v>
      </c>
      <c r="AD3386" s="16" t="inlineStr">
        <is>
          <t>O2</t>
        </is>
      </c>
      <c r="AE3386" s="16" t="n"/>
    </row>
    <row r="3387">
      <c r="A3387" s="16" t="inlineStr">
        <is>
          <t>KF-M09-R0-eficiencias-0073</t>
        </is>
      </c>
      <c r="B3387" s="16" t="inlineStr">
        <is>
          <t>4.3</t>
        </is>
      </c>
      <c r="C3387" s="16" t="inlineStr">
        <is>
          <t>4.3 eficiencias</t>
        </is>
      </c>
      <c r="D3387" s="16" t="inlineStr">
        <is>
          <t>ronda 0</t>
        </is>
      </c>
      <c r="E3387" s="16" t="inlineStr">
        <is>
          <t>KF-M09</t>
        </is>
      </c>
      <c r="F3387" s="16" t="inlineStr">
        <is>
          <t>KF-M09-R0-eficiencias</t>
        </is>
      </c>
      <c r="G3387" s="16" t="inlineStr">
        <is>
          <t>B13-eficiencias</t>
        </is>
      </c>
      <c r="H3387" s="16" t="inlineStr">
        <is>
          <t>lhs</t>
        </is>
      </c>
      <c r="I3387" s="16" t="inlineStr">
        <is>
          <t>NO_CONVERGIO</t>
        </is>
      </c>
      <c r="J3387" s="16" t="inlineStr">
        <is>
          <t>NO_CONVERGIO</t>
        </is>
      </c>
      <c r="K3387" s="16" t="b">
        <v>0</v>
      </c>
      <c r="L3387" s="16" t="b">
        <v>0</v>
      </c>
      <c r="M3387" s="16" t="b">
        <v>0</v>
      </c>
      <c r="N3387" s="16" t="b">
        <v>0</v>
      </c>
      <c r="O3387" s="16" t="n">
        <v>490.1449659352846</v>
      </c>
      <c r="P3387" s="16" t="n">
        <v>301.2836390359234</v>
      </c>
      <c r="Q3387" s="16" t="n">
        <v>4415.195586084021</v>
      </c>
      <c r="R3387" s="16" t="n">
        <v>1653.695772292054</v>
      </c>
      <c r="S3387" s="16" t="n">
        <v>0.8117632129226435</v>
      </c>
      <c r="T3387" s="16" t="n">
        <v>0.85</v>
      </c>
      <c r="U3387" s="16" t="n">
        <v>0.75</v>
      </c>
      <c r="V3387" s="16" t="n">
        <v>0.85</v>
      </c>
      <c r="W3387" s="16" t="n">
        <v>0.75</v>
      </c>
      <c r="X3387" s="16" t="n">
        <v>0.8</v>
      </c>
      <c r="Y3387" s="16" t="n">
        <v>301.2836390359234</v>
      </c>
      <c r="Z3387" s="16" t="n"/>
      <c r="AA3387" s="16" t="n"/>
      <c r="AB3387" s="16" t="n">
        <v>2761.499813791967</v>
      </c>
      <c r="AC3387" s="16" t="n">
        <v>2.669895914388458</v>
      </c>
      <c r="AD3387" s="16" t="n"/>
      <c r="AE3387" s="16" t="n"/>
    </row>
    <row r="3388">
      <c r="A3388" s="16" t="inlineStr">
        <is>
          <t>KF-M09-R0-eficiencias-0074</t>
        </is>
      </c>
      <c r="B3388" s="16" t="inlineStr">
        <is>
          <t>4.3</t>
        </is>
      </c>
      <c r="C3388" s="16" t="inlineStr">
        <is>
          <t>4.3 eficiencias</t>
        </is>
      </c>
      <c r="D3388" s="16" t="inlineStr">
        <is>
          <t>ronda 0</t>
        </is>
      </c>
      <c r="E3388" s="16" t="inlineStr">
        <is>
          <t>KF-M09</t>
        </is>
      </c>
      <c r="F3388" s="16" t="inlineStr">
        <is>
          <t>KF-M09-R0-eficiencias</t>
        </is>
      </c>
      <c r="G3388" s="16" t="inlineStr">
        <is>
          <t>B13-eficiencias</t>
        </is>
      </c>
      <c r="H3388" s="16" t="inlineStr">
        <is>
          <t>lhs</t>
        </is>
      </c>
      <c r="I3388" s="16" t="inlineStr">
        <is>
          <t>CORREGIBLE</t>
        </is>
      </c>
      <c r="J3388" s="16" t="inlineStr">
        <is>
          <t>CORREGIBLE</t>
        </is>
      </c>
      <c r="K3388" s="16" t="b">
        <v>1</v>
      </c>
      <c r="L3388" s="16" t="b">
        <v>0</v>
      </c>
      <c r="M3388" s="16" t="b">
        <v>1</v>
      </c>
      <c r="N3388" s="16" t="b">
        <v>0</v>
      </c>
      <c r="O3388" s="16" t="n">
        <v>515.4332146496098</v>
      </c>
      <c r="P3388" s="16" t="n">
        <v>284.7342429732914</v>
      </c>
      <c r="Q3388" s="16" t="n">
        <v>2746.746322140576</v>
      </c>
      <c r="R3388" s="16" t="n">
        <v>668.9987596728052</v>
      </c>
      <c r="S3388" s="16" t="n">
        <v>0.5782191432116591</v>
      </c>
      <c r="T3388" s="16" t="n">
        <v>0.85</v>
      </c>
      <c r="U3388" s="16" t="n">
        <v>0.75</v>
      </c>
      <c r="V3388" s="16" t="n">
        <v>0.85</v>
      </c>
      <c r="W3388" s="16" t="n">
        <v>0.75</v>
      </c>
      <c r="X3388" s="16" t="n">
        <v>0.8</v>
      </c>
      <c r="Y3388" s="16" t="n">
        <v>284.7342429732914</v>
      </c>
      <c r="Z3388" s="16" t="n">
        <v>9.962511872576719</v>
      </c>
      <c r="AA3388" s="16" t="n">
        <v>169.936193908112</v>
      </c>
      <c r="AB3388" s="16" t="n">
        <v>2077.747562467771</v>
      </c>
      <c r="AC3388" s="16" t="n">
        <v>4.105756972530051</v>
      </c>
      <c r="AD3388" s="16" t="inlineStr">
        <is>
          <t>O2</t>
        </is>
      </c>
      <c r="AE3388" s="16" t="n"/>
    </row>
    <row r="3389">
      <c r="A3389" s="16" t="inlineStr">
        <is>
          <t>KF-M09-R0-eficiencias-0075</t>
        </is>
      </c>
      <c r="B3389" s="16" t="inlineStr">
        <is>
          <t>4.3</t>
        </is>
      </c>
      <c r="C3389" s="16" t="inlineStr">
        <is>
          <t>4.3 eficiencias</t>
        </is>
      </c>
      <c r="D3389" s="16" t="inlineStr">
        <is>
          <t>ronda 0</t>
        </is>
      </c>
      <c r="E3389" s="16" t="inlineStr">
        <is>
          <t>KF-M09</t>
        </is>
      </c>
      <c r="F3389" s="16" t="inlineStr">
        <is>
          <t>KF-M09-R0-eficiencias</t>
        </is>
      </c>
      <c r="G3389" s="16" t="inlineStr">
        <is>
          <t>B13-eficiencias</t>
        </is>
      </c>
      <c r="H3389" s="16" t="inlineStr">
        <is>
          <t>lhs</t>
        </is>
      </c>
      <c r="I3389" s="16" t="inlineStr">
        <is>
          <t>CORREGIBLE</t>
        </is>
      </c>
      <c r="J3389" s="16" t="inlineStr">
        <is>
          <t>CORREGIBLE</t>
        </is>
      </c>
      <c r="K3389" s="16" t="b">
        <v>1</v>
      </c>
      <c r="L3389" s="16" t="b">
        <v>0</v>
      </c>
      <c r="M3389" s="16" t="b">
        <v>1</v>
      </c>
      <c r="N3389" s="16" t="b">
        <v>0</v>
      </c>
      <c r="O3389" s="16" t="n">
        <v>499.5069848830827</v>
      </c>
      <c r="P3389" s="16" t="n">
        <v>279.850482753667</v>
      </c>
      <c r="Q3389" s="16" t="n">
        <v>3002.195995718115</v>
      </c>
      <c r="R3389" s="16" t="n">
        <v>881.7656496854752</v>
      </c>
      <c r="S3389" s="16" t="n">
        <v>0.674099501766268</v>
      </c>
      <c r="T3389" s="16" t="n">
        <v>0.85</v>
      </c>
      <c r="U3389" s="16" t="n">
        <v>0.75</v>
      </c>
      <c r="V3389" s="16" t="n">
        <v>0.85</v>
      </c>
      <c r="W3389" s="16" t="n">
        <v>0.75</v>
      </c>
      <c r="X3389" s="16" t="n">
        <v>0.8</v>
      </c>
      <c r="Y3389" s="16" t="n">
        <v>279.850482753667</v>
      </c>
      <c r="Z3389" s="16" t="n">
        <v>9.334723333530221</v>
      </c>
      <c r="AA3389" s="16" t="n">
        <v>148.9354766182296</v>
      </c>
      <c r="AB3389" s="16" t="n">
        <v>2120.43034603264</v>
      </c>
      <c r="AC3389" s="16" t="n">
        <v>3.404754989932977</v>
      </c>
      <c r="AD3389" s="16" t="inlineStr">
        <is>
          <t>O2</t>
        </is>
      </c>
      <c r="AE3389" s="16" t="n"/>
    </row>
    <row r="3390">
      <c r="A3390" s="16" t="inlineStr">
        <is>
          <t>KF-M09-R0-eficiencias-0076</t>
        </is>
      </c>
      <c r="B3390" s="16" t="inlineStr">
        <is>
          <t>4.3</t>
        </is>
      </c>
      <c r="C3390" s="16" t="inlineStr">
        <is>
          <t>4.3 eficiencias</t>
        </is>
      </c>
      <c r="D3390" s="16" t="inlineStr">
        <is>
          <t>ronda 0</t>
        </is>
      </c>
      <c r="E3390" s="16" t="inlineStr">
        <is>
          <t>KF-M09</t>
        </is>
      </c>
      <c r="F3390" s="16" t="inlineStr">
        <is>
          <t>KF-M09-R0-eficiencias</t>
        </is>
      </c>
      <c r="G3390" s="16" t="inlineStr">
        <is>
          <t>B13-eficiencias</t>
        </is>
      </c>
      <c r="H3390" s="16" t="inlineStr">
        <is>
          <t>lhs</t>
        </is>
      </c>
      <c r="I3390" s="16" t="inlineStr">
        <is>
          <t>CORREGIBLE</t>
        </is>
      </c>
      <c r="J3390" s="16" t="inlineStr">
        <is>
          <t>CORREGIBLE</t>
        </is>
      </c>
      <c r="K3390" s="16" t="b">
        <v>1</v>
      </c>
      <c r="L3390" s="16" t="b">
        <v>0</v>
      </c>
      <c r="M3390" s="16" t="b">
        <v>1</v>
      </c>
      <c r="N3390" s="16" t="b">
        <v>0</v>
      </c>
      <c r="O3390" s="16" t="n">
        <v>488.8960537960722</v>
      </c>
      <c r="P3390" s="16" t="n">
        <v>288.9627609809575</v>
      </c>
      <c r="Q3390" s="16" t="n">
        <v>2598.507358818896</v>
      </c>
      <c r="R3390" s="16" t="n">
        <v>1193.603765254746</v>
      </c>
      <c r="S3390" s="16" t="n">
        <v>0.6075195719377092</v>
      </c>
      <c r="T3390" s="16" t="n">
        <v>0.85</v>
      </c>
      <c r="U3390" s="16" t="n">
        <v>0.75</v>
      </c>
      <c r="V3390" s="16" t="n">
        <v>0.85</v>
      </c>
      <c r="W3390" s="16" t="n">
        <v>0.75</v>
      </c>
      <c r="X3390" s="16" t="n">
        <v>0.8</v>
      </c>
      <c r="Y3390" s="16" t="n">
        <v>288.9627609809575</v>
      </c>
      <c r="Z3390" s="16" t="n">
        <v>5.90678040503571</v>
      </c>
      <c r="AA3390" s="16" t="n">
        <v>95.14257064742507</v>
      </c>
      <c r="AB3390" s="16" t="n">
        <v>1404.90359356415</v>
      </c>
      <c r="AC3390" s="16" t="n">
        <v>2.177026777612676</v>
      </c>
      <c r="AD3390" s="16" t="inlineStr">
        <is>
          <t>O2</t>
        </is>
      </c>
      <c r="AE3390" s="16" t="n"/>
    </row>
    <row r="3391">
      <c r="A3391" s="16" t="inlineStr">
        <is>
          <t>KF-M09-R0-eficiencias-0077</t>
        </is>
      </c>
      <c r="B3391" s="16" t="inlineStr">
        <is>
          <t>4.3</t>
        </is>
      </c>
      <c r="C3391" s="16" t="inlineStr">
        <is>
          <t>4.3 eficiencias</t>
        </is>
      </c>
      <c r="D3391" s="16" t="inlineStr">
        <is>
          <t>ronda 0</t>
        </is>
      </c>
      <c r="E3391" s="16" t="inlineStr">
        <is>
          <t>KF-M09</t>
        </is>
      </c>
      <c r="F3391" s="16" t="inlineStr">
        <is>
          <t>KF-M09-R0-eficiencias</t>
        </is>
      </c>
      <c r="G3391" s="16" t="inlineStr">
        <is>
          <t>B13-eficiencias</t>
        </is>
      </c>
      <c r="H3391" s="16" t="inlineStr">
        <is>
          <t>lhs</t>
        </is>
      </c>
      <c r="I3391" s="16" t="inlineStr">
        <is>
          <t>CORREGIBLE</t>
        </is>
      </c>
      <c r="J3391" s="16" t="inlineStr">
        <is>
          <t>CORREGIBLE</t>
        </is>
      </c>
      <c r="K3391" s="16" t="b">
        <v>1</v>
      </c>
      <c r="L3391" s="16" t="b">
        <v>0</v>
      </c>
      <c r="M3391" s="16" t="b">
        <v>1</v>
      </c>
      <c r="N3391" s="16" t="b">
        <v>0</v>
      </c>
      <c r="O3391" s="16" t="n">
        <v>510.9160368736383</v>
      </c>
      <c r="P3391" s="16" t="n">
        <v>293.6619651390672</v>
      </c>
      <c r="Q3391" s="16" t="n">
        <v>4060.745172470695</v>
      </c>
      <c r="R3391" s="16" t="n">
        <v>907.3813669884838</v>
      </c>
      <c r="S3391" s="16" t="n">
        <v>0.7852713880056792</v>
      </c>
      <c r="T3391" s="16" t="n">
        <v>0.85</v>
      </c>
      <c r="U3391" s="16" t="n">
        <v>0.75</v>
      </c>
      <c r="V3391" s="16" t="n">
        <v>0.85</v>
      </c>
      <c r="W3391" s="16" t="n">
        <v>0.75</v>
      </c>
      <c r="X3391" s="16" t="n">
        <v>0.8</v>
      </c>
      <c r="Y3391" s="16" t="n">
        <v>293.6619651390672</v>
      </c>
      <c r="Z3391" s="16" t="n">
        <v>12.00647401089124</v>
      </c>
      <c r="AA3391" s="16" t="n">
        <v>172.5783235966878</v>
      </c>
      <c r="AB3391" s="16" t="n">
        <v>3153.363805482211</v>
      </c>
      <c r="AC3391" s="16" t="n">
        <v>4.475235353297962</v>
      </c>
      <c r="AD3391" s="16" t="inlineStr">
        <is>
          <t>O2</t>
        </is>
      </c>
      <c r="AE3391" s="16" t="n"/>
    </row>
    <row r="3392">
      <c r="A3392" s="16" t="inlineStr">
        <is>
          <t>KF-M09-R0-eficiencias-0078</t>
        </is>
      </c>
      <c r="B3392" s="16" t="inlineStr">
        <is>
          <t>4.3</t>
        </is>
      </c>
      <c r="C3392" s="16" t="inlineStr">
        <is>
          <t>4.3 eficiencias</t>
        </is>
      </c>
      <c r="D3392" s="16" t="inlineStr">
        <is>
          <t>ronda 0</t>
        </is>
      </c>
      <c r="E3392" s="16" t="inlineStr">
        <is>
          <t>KF-M09</t>
        </is>
      </c>
      <c r="F3392" s="16" t="inlineStr">
        <is>
          <t>KF-M09-R0-eficiencias</t>
        </is>
      </c>
      <c r="G3392" s="16" t="inlineStr">
        <is>
          <t>B13-eficiencias</t>
        </is>
      </c>
      <c r="H3392" s="16" t="inlineStr">
        <is>
          <t>lhs</t>
        </is>
      </c>
      <c r="I3392" s="16" t="inlineStr">
        <is>
          <t>CORREGIBLE</t>
        </is>
      </c>
      <c r="J3392" s="16" t="inlineStr">
        <is>
          <t>CORREGIBLE</t>
        </is>
      </c>
      <c r="K3392" s="16" t="b">
        <v>1</v>
      </c>
      <c r="L3392" s="16" t="b">
        <v>0</v>
      </c>
      <c r="M3392" s="16" t="b">
        <v>1</v>
      </c>
      <c r="N3392" s="16" t="b">
        <v>0</v>
      </c>
      <c r="O3392" s="16" t="n">
        <v>428.6024797135866</v>
      </c>
      <c r="P3392" s="16" t="n">
        <v>285.0134498418187</v>
      </c>
      <c r="Q3392" s="16" t="n">
        <v>3187.225332776293</v>
      </c>
      <c r="R3392" s="16" t="n">
        <v>398.7321062632564</v>
      </c>
      <c r="S3392" s="16" t="n">
        <v>0.7614623920984434</v>
      </c>
      <c r="T3392" s="16" t="n">
        <v>0.85</v>
      </c>
      <c r="U3392" s="16" t="n">
        <v>0.75</v>
      </c>
      <c r="V3392" s="16" t="n">
        <v>0.85</v>
      </c>
      <c r="W3392" s="16" t="n">
        <v>0.75</v>
      </c>
      <c r="X3392" s="16" t="n">
        <v>0.8</v>
      </c>
      <c r="Y3392" s="16" t="n">
        <v>285.0134498418187</v>
      </c>
      <c r="Z3392" s="16" t="n">
        <v>10.77280944698422</v>
      </c>
      <c r="AA3392" s="16" t="n">
        <v>84.02214780002507</v>
      </c>
      <c r="AB3392" s="16" t="n">
        <v>2788.493226513036</v>
      </c>
      <c r="AC3392" s="16" t="n">
        <v>7.993400287339738</v>
      </c>
      <c r="AD3392" s="16" t="inlineStr">
        <is>
          <t>O2</t>
        </is>
      </c>
      <c r="AE3392" s="16" t="n"/>
    </row>
    <row r="3393">
      <c r="A3393" s="16" t="inlineStr">
        <is>
          <t>KF-M09-R0-eficiencias-0079</t>
        </is>
      </c>
      <c r="B3393" s="16" t="inlineStr">
        <is>
          <t>4.3</t>
        </is>
      </c>
      <c r="C3393" s="16" t="inlineStr">
        <is>
          <t>4.3 eficiencias</t>
        </is>
      </c>
      <c r="D3393" s="16" t="inlineStr">
        <is>
          <t>ronda 0</t>
        </is>
      </c>
      <c r="E3393" s="16" t="inlineStr">
        <is>
          <t>KF-M09</t>
        </is>
      </c>
      <c r="F3393" s="16" t="inlineStr">
        <is>
          <t>KF-M09-R0-eficiencias</t>
        </is>
      </c>
      <c r="G3393" s="16" t="inlineStr">
        <is>
          <t>B13-eficiencias</t>
        </is>
      </c>
      <c r="H3393" s="16" t="inlineStr">
        <is>
          <t>lhs</t>
        </is>
      </c>
      <c r="I3393" s="16" t="inlineStr">
        <is>
          <t>CORREGIBLE</t>
        </is>
      </c>
      <c r="J3393" s="16" t="inlineStr">
        <is>
          <t>CORREGIBLE</t>
        </is>
      </c>
      <c r="K3393" s="16" t="b">
        <v>1</v>
      </c>
      <c r="L3393" s="16" t="b">
        <v>0</v>
      </c>
      <c r="M3393" s="16" t="b">
        <v>0</v>
      </c>
      <c r="N3393" s="16" t="b">
        <v>0</v>
      </c>
      <c r="O3393" s="16" t="n">
        <v>394.5348215097497</v>
      </c>
      <c r="P3393" s="16" t="n">
        <v>293.3191455805261</v>
      </c>
      <c r="Q3393" s="16" t="n">
        <v>4430.568097367837</v>
      </c>
      <c r="R3393" s="16" t="n">
        <v>1140.019197242107</v>
      </c>
      <c r="S3393" s="16" t="n">
        <v>0.8061693919292768</v>
      </c>
      <c r="T3393" s="16" t="n">
        <v>0.85</v>
      </c>
      <c r="U3393" s="16" t="n">
        <v>0.75</v>
      </c>
      <c r="V3393" s="16" t="n">
        <v>0.85</v>
      </c>
      <c r="W3393" s="16" t="n">
        <v>0.75</v>
      </c>
      <c r="X3393" s="16" t="n">
        <v>0.8</v>
      </c>
      <c r="Y3393" s="16" t="n">
        <v>293.3191455805261</v>
      </c>
      <c r="Z3393" s="16" t="n">
        <v>10.99532959131809</v>
      </c>
      <c r="AA3393" s="16" t="n">
        <v>71.14938771668474</v>
      </c>
      <c r="AB3393" s="16" t="n">
        <v>3290.54890012573</v>
      </c>
      <c r="AC3393" s="16" t="n">
        <v>3.88639779758631</v>
      </c>
      <c r="AD3393" s="16" t="inlineStr">
        <is>
          <t>O2</t>
        </is>
      </c>
      <c r="AE3393" s="16" t="n"/>
    </row>
    <row r="3394">
      <c r="A3394" s="16" t="inlineStr">
        <is>
          <t>KF-M09-R0-eficiencias-0080</t>
        </is>
      </c>
      <c r="B3394" s="16" t="inlineStr">
        <is>
          <t>4.3</t>
        </is>
      </c>
      <c r="C3394" s="16" t="inlineStr">
        <is>
          <t>4.3 eficiencias</t>
        </is>
      </c>
      <c r="D3394" s="16" t="inlineStr">
        <is>
          <t>ronda 0</t>
        </is>
      </c>
      <c r="E3394" s="16" t="inlineStr">
        <is>
          <t>KF-M09</t>
        </is>
      </c>
      <c r="F3394" s="16" t="inlineStr">
        <is>
          <t>KF-M09-R0-eficiencias</t>
        </is>
      </c>
      <c r="G3394" s="16" t="inlineStr">
        <is>
          <t>B13-eficiencias</t>
        </is>
      </c>
      <c r="H3394" s="16" t="inlineStr">
        <is>
          <t>lhs</t>
        </is>
      </c>
      <c r="I3394" s="16" t="inlineStr">
        <is>
          <t>CORREGIBLE</t>
        </is>
      </c>
      <c r="J3394" s="16" t="inlineStr">
        <is>
          <t>CORREGIBLE</t>
        </is>
      </c>
      <c r="K3394" s="16" t="b">
        <v>1</v>
      </c>
      <c r="L3394" s="16" t="b">
        <v>0</v>
      </c>
      <c r="M3394" s="16" t="b">
        <v>1</v>
      </c>
      <c r="N3394" s="16" t="b">
        <v>0</v>
      </c>
      <c r="O3394" s="16" t="n">
        <v>464.2822588295004</v>
      </c>
      <c r="P3394" s="16" t="n">
        <v>299.1650858675615</v>
      </c>
      <c r="Q3394" s="16" t="n">
        <v>4239.21605628039</v>
      </c>
      <c r="R3394" s="16" t="n">
        <v>1757.324563164514</v>
      </c>
      <c r="S3394" s="16" t="n">
        <v>0.6090315337359344</v>
      </c>
      <c r="T3394" s="16" t="n">
        <v>0.85</v>
      </c>
      <c r="U3394" s="16" t="n">
        <v>0.75</v>
      </c>
      <c r="V3394" s="16" t="n">
        <v>0.85</v>
      </c>
      <c r="W3394" s="16" t="n">
        <v>0.75</v>
      </c>
      <c r="X3394" s="16" t="n">
        <v>0.8</v>
      </c>
      <c r="Y3394" s="16" t="n">
        <v>299.1650858675615</v>
      </c>
      <c r="Z3394" s="16" t="n">
        <v>7.240061593650079</v>
      </c>
      <c r="AA3394" s="16" t="n">
        <v>85.21641355068837</v>
      </c>
      <c r="AB3394" s="16" t="n">
        <v>2481.891493115876</v>
      </c>
      <c r="AC3394" s="16" t="n">
        <v>2.412312526177061</v>
      </c>
      <c r="AD3394" s="16" t="inlineStr">
        <is>
          <t>O2</t>
        </is>
      </c>
      <c r="AE3394" s="16" t="n"/>
    </row>
    <row r="3395">
      <c r="A3395" s="16" t="inlineStr">
        <is>
          <t>KF-M09-R0-eficiencias-0081</t>
        </is>
      </c>
      <c r="B3395" s="16" t="inlineStr">
        <is>
          <t>4.3</t>
        </is>
      </c>
      <c r="C3395" s="16" t="inlineStr">
        <is>
          <t>4.3 eficiencias</t>
        </is>
      </c>
      <c r="D3395" s="16" t="inlineStr">
        <is>
          <t>ronda 0</t>
        </is>
      </c>
      <c r="E3395" s="16" t="inlineStr">
        <is>
          <t>KF-M09</t>
        </is>
      </c>
      <c r="F3395" s="16" t="inlineStr">
        <is>
          <t>KF-M09-R0-eficiencias</t>
        </is>
      </c>
      <c r="G3395" s="16" t="inlineStr">
        <is>
          <t>B13-eficiencias</t>
        </is>
      </c>
      <c r="H3395" s="16" t="inlineStr">
        <is>
          <t>lhs</t>
        </is>
      </c>
      <c r="I3395" s="16" t="inlineStr">
        <is>
          <t>NO_CONVERGIO</t>
        </is>
      </c>
      <c r="J3395" s="16" t="inlineStr">
        <is>
          <t>NO_CONVERGIO</t>
        </is>
      </c>
      <c r="K3395" s="16" t="b">
        <v>0</v>
      </c>
      <c r="L3395" s="16" t="b">
        <v>0</v>
      </c>
      <c r="M3395" s="16" t="b">
        <v>0</v>
      </c>
      <c r="N3395" s="16" t="b">
        <v>0</v>
      </c>
      <c r="O3395" s="16" t="n">
        <v>398.9497001831903</v>
      </c>
      <c r="P3395" s="16" t="n">
        <v>280.9653103606192</v>
      </c>
      <c r="Q3395" s="16" t="n">
        <v>4020.449262482321</v>
      </c>
      <c r="R3395" s="16" t="n">
        <v>1542.466273107116</v>
      </c>
      <c r="S3395" s="16" t="n">
        <v>0.6818157297298553</v>
      </c>
      <c r="T3395" s="16" t="n">
        <v>0.85</v>
      </c>
      <c r="U3395" s="16" t="n">
        <v>0.75</v>
      </c>
      <c r="V3395" s="16" t="n">
        <v>0.85</v>
      </c>
      <c r="W3395" s="16" t="n">
        <v>0.75</v>
      </c>
      <c r="X3395" s="16" t="n">
        <v>0.8</v>
      </c>
      <c r="Y3395" s="16" t="n">
        <v>280.9653103606192</v>
      </c>
      <c r="Z3395" s="16" t="n"/>
      <c r="AA3395" s="16" t="n"/>
      <c r="AB3395" s="16" t="n">
        <v>2477.982989375204</v>
      </c>
      <c r="AC3395" s="16" t="n">
        <v>2.606507080627183</v>
      </c>
      <c r="AD3395" s="16" t="n"/>
      <c r="AE3395" s="16" t="n"/>
    </row>
    <row r="3396">
      <c r="A3396" s="16" t="inlineStr">
        <is>
          <t>KF-M09-R0-eficiencias-0082</t>
        </is>
      </c>
      <c r="B3396" s="16" t="inlineStr">
        <is>
          <t>4.3</t>
        </is>
      </c>
      <c r="C3396" s="16" t="inlineStr">
        <is>
          <t>4.3 eficiencias</t>
        </is>
      </c>
      <c r="D3396" s="16" t="inlineStr">
        <is>
          <t>ronda 0</t>
        </is>
      </c>
      <c r="E3396" s="16" t="inlineStr">
        <is>
          <t>KF-M09</t>
        </is>
      </c>
      <c r="F3396" s="16" t="inlineStr">
        <is>
          <t>KF-M09-R0-eficiencias</t>
        </is>
      </c>
      <c r="G3396" s="16" t="inlineStr">
        <is>
          <t>B13-eficiencias</t>
        </is>
      </c>
      <c r="H3396" s="16" t="inlineStr">
        <is>
          <t>lhs</t>
        </is>
      </c>
      <c r="I3396" s="16" t="inlineStr">
        <is>
          <t>CORREGIBLE</t>
        </is>
      </c>
      <c r="J3396" s="16" t="inlineStr">
        <is>
          <t>CORREGIBLE</t>
        </is>
      </c>
      <c r="K3396" s="16" t="b">
        <v>1</v>
      </c>
      <c r="L3396" s="16" t="b">
        <v>0</v>
      </c>
      <c r="M3396" s="16" t="b">
        <v>1</v>
      </c>
      <c r="N3396" s="16" t="b">
        <v>0</v>
      </c>
      <c r="O3396" s="16" t="n">
        <v>451.7417673798069</v>
      </c>
      <c r="P3396" s="16" t="n">
        <v>302.1307882871938</v>
      </c>
      <c r="Q3396" s="16" t="n">
        <v>2411.037946517878</v>
      </c>
      <c r="R3396" s="16" t="n">
        <v>513.0329412565529</v>
      </c>
      <c r="S3396" s="16" t="n">
        <v>0.7520562414209487</v>
      </c>
      <c r="T3396" s="16" t="n">
        <v>0.85</v>
      </c>
      <c r="U3396" s="16" t="n">
        <v>0.75</v>
      </c>
      <c r="V3396" s="16" t="n">
        <v>0.85</v>
      </c>
      <c r="W3396" s="16" t="n">
        <v>0.75</v>
      </c>
      <c r="X3396" s="16" t="n">
        <v>0.8</v>
      </c>
      <c r="Y3396" s="16" t="n">
        <v>302.1307882871938</v>
      </c>
      <c r="Z3396" s="16" t="n">
        <v>5.729612749664549</v>
      </c>
      <c r="AA3396" s="16" t="n">
        <v>50.41488513738153</v>
      </c>
      <c r="AB3396" s="16" t="n">
        <v>1898.005005261325</v>
      </c>
      <c r="AC3396" s="16" t="n">
        <v>4.699577264205707</v>
      </c>
      <c r="AD3396" s="16" t="inlineStr">
        <is>
          <t>O2</t>
        </is>
      </c>
      <c r="AE3396" s="16" t="n"/>
    </row>
    <row r="3397">
      <c r="A3397" s="16" t="inlineStr">
        <is>
          <t>KF-M09-R0-eficiencias-0083</t>
        </is>
      </c>
      <c r="B3397" s="16" t="inlineStr">
        <is>
          <t>4.3</t>
        </is>
      </c>
      <c r="C3397" s="16" t="inlineStr">
        <is>
          <t>4.3 eficiencias</t>
        </is>
      </c>
      <c r="D3397" s="16" t="inlineStr">
        <is>
          <t>ronda 0</t>
        </is>
      </c>
      <c r="E3397" s="16" t="inlineStr">
        <is>
          <t>KF-M09</t>
        </is>
      </c>
      <c r="F3397" s="16" t="inlineStr">
        <is>
          <t>KF-M09-R0-eficiencias</t>
        </is>
      </c>
      <c r="G3397" s="16" t="inlineStr">
        <is>
          <t>B13-eficiencias</t>
        </is>
      </c>
      <c r="H3397" s="16" t="inlineStr">
        <is>
          <t>lhs</t>
        </is>
      </c>
      <c r="I3397" s="16" t="inlineStr">
        <is>
          <t>CORREGIBLE</t>
        </is>
      </c>
      <c r="J3397" s="16" t="inlineStr">
        <is>
          <t>CORREGIBLE</t>
        </is>
      </c>
      <c r="K3397" s="16" t="b">
        <v>1</v>
      </c>
      <c r="L3397" s="16" t="b">
        <v>0</v>
      </c>
      <c r="M3397" s="16" t="b">
        <v>1</v>
      </c>
      <c r="N3397" s="16" t="b">
        <v>0</v>
      </c>
      <c r="O3397" s="16" t="n">
        <v>506.0605708064441</v>
      </c>
      <c r="P3397" s="16" t="n">
        <v>296.6040274685963</v>
      </c>
      <c r="Q3397" s="16" t="n">
        <v>2538.481310820331</v>
      </c>
      <c r="R3397" s="16" t="n">
        <v>1627.851152782602</v>
      </c>
      <c r="S3397" s="16" t="n">
        <v>0.6017841728252773</v>
      </c>
      <c r="T3397" s="16" t="n">
        <v>0.85</v>
      </c>
      <c r="U3397" s="16" t="n">
        <v>0.75</v>
      </c>
      <c r="V3397" s="16" t="n">
        <v>0.85</v>
      </c>
      <c r="W3397" s="16" t="n">
        <v>0.75</v>
      </c>
      <c r="X3397" s="16" t="n">
        <v>0.8</v>
      </c>
      <c r="Y3397" s="16" t="n">
        <v>296.6040274685963</v>
      </c>
      <c r="Z3397" s="16" t="n">
        <v>3.44140759260635</v>
      </c>
      <c r="AA3397" s="16" t="n">
        <v>55.96107148227252</v>
      </c>
      <c r="AB3397" s="16" t="n">
        <v>910.6301580377284</v>
      </c>
      <c r="AC3397" s="16" t="n">
        <v>1.559406280163345</v>
      </c>
      <c r="AD3397" s="16" t="inlineStr">
        <is>
          <t>O2</t>
        </is>
      </c>
      <c r="AE3397" s="16" t="n"/>
    </row>
    <row r="3398">
      <c r="A3398" s="16" t="inlineStr">
        <is>
          <t>KF-M09-R0-eficiencias-0084</t>
        </is>
      </c>
      <c r="B3398" s="16" t="inlineStr">
        <is>
          <t>4.3</t>
        </is>
      </c>
      <c r="C3398" s="16" t="inlineStr">
        <is>
          <t>4.3 eficiencias</t>
        </is>
      </c>
      <c r="D3398" s="16" t="inlineStr">
        <is>
          <t>ronda 0</t>
        </is>
      </c>
      <c r="E3398" s="16" t="inlineStr">
        <is>
          <t>KF-M09</t>
        </is>
      </c>
      <c r="F3398" s="16" t="inlineStr">
        <is>
          <t>KF-M09-R0-eficiencias</t>
        </is>
      </c>
      <c r="G3398" s="16" t="inlineStr">
        <is>
          <t>B13-eficiencias</t>
        </is>
      </c>
      <c r="H3398" s="16" t="inlineStr">
        <is>
          <t>lhs</t>
        </is>
      </c>
      <c r="I3398" s="16" t="inlineStr">
        <is>
          <t>CORREGIBLE</t>
        </is>
      </c>
      <c r="J3398" s="16" t="inlineStr">
        <is>
          <t>CORREGIBLE</t>
        </is>
      </c>
      <c r="K3398" s="16" t="b">
        <v>1</v>
      </c>
      <c r="L3398" s="16" t="b">
        <v>0</v>
      </c>
      <c r="M3398" s="16" t="b">
        <v>1</v>
      </c>
      <c r="N3398" s="16" t="b">
        <v>0</v>
      </c>
      <c r="O3398" s="16" t="n">
        <v>490.8658971903137</v>
      </c>
      <c r="P3398" s="16" t="n">
        <v>280.3613123521767</v>
      </c>
      <c r="Q3398" s="16" t="n">
        <v>4807.020900793638</v>
      </c>
      <c r="R3398" s="16" t="n">
        <v>697.7507752576987</v>
      </c>
      <c r="S3398" s="16" t="n">
        <v>0.56484198229899</v>
      </c>
      <c r="T3398" s="16" t="n">
        <v>0.85</v>
      </c>
      <c r="U3398" s="16" t="n">
        <v>0.75</v>
      </c>
      <c r="V3398" s="16" t="n">
        <v>0.85</v>
      </c>
      <c r="W3398" s="16" t="n">
        <v>0.75</v>
      </c>
      <c r="X3398" s="16" t="n">
        <v>0.8</v>
      </c>
      <c r="Y3398" s="16" t="n">
        <v>280.3613123521767</v>
      </c>
      <c r="Z3398" s="16" t="n">
        <v>13.72769716211735</v>
      </c>
      <c r="AA3398" s="16" t="n">
        <v>222.0863036906572</v>
      </c>
      <c r="AB3398" s="16" t="n">
        <v>4109.27012553594</v>
      </c>
      <c r="AC3398" s="16" t="n">
        <v>6.889309293878279</v>
      </c>
      <c r="AD3398" s="16" t="inlineStr">
        <is>
          <t>O1,O2</t>
        </is>
      </c>
      <c r="AE3398" s="16" t="n"/>
    </row>
    <row r="3399">
      <c r="A3399" s="16" t="inlineStr">
        <is>
          <t>KF-M09-R0-eficiencias-0085</t>
        </is>
      </c>
      <c r="B3399" s="16" t="inlineStr">
        <is>
          <t>4.3</t>
        </is>
      </c>
      <c r="C3399" s="16" t="inlineStr">
        <is>
          <t>4.3 eficiencias</t>
        </is>
      </c>
      <c r="D3399" s="16" t="inlineStr">
        <is>
          <t>ronda 0</t>
        </is>
      </c>
      <c r="E3399" s="16" t="inlineStr">
        <is>
          <t>KF-M09</t>
        </is>
      </c>
      <c r="F3399" s="16" t="inlineStr">
        <is>
          <t>KF-M09-R0-eficiencias</t>
        </is>
      </c>
      <c r="G3399" s="16" t="inlineStr">
        <is>
          <t>B13-eficiencias</t>
        </is>
      </c>
      <c r="H3399" s="16" t="inlineStr">
        <is>
          <t>lhs</t>
        </is>
      </c>
      <c r="I3399" s="16" t="inlineStr">
        <is>
          <t>NO_CONVERGIO</t>
        </is>
      </c>
      <c r="J3399" s="16" t="inlineStr">
        <is>
          <t>NO_CONVERGIO</t>
        </is>
      </c>
      <c r="K3399" s="16" t="b">
        <v>0</v>
      </c>
      <c r="L3399" s="16" t="b">
        <v>0</v>
      </c>
      <c r="M3399" s="16" t="b">
        <v>0</v>
      </c>
      <c r="N3399" s="16" t="b">
        <v>0</v>
      </c>
      <c r="O3399" s="16" t="n">
        <v>478.1542967756303</v>
      </c>
      <c r="P3399" s="16" t="n">
        <v>300.9335568148303</v>
      </c>
      <c r="Q3399" s="16" t="n">
        <v>2648.979055057025</v>
      </c>
      <c r="R3399" s="16" t="n">
        <v>1025.944283185189</v>
      </c>
      <c r="S3399" s="16" t="n">
        <v>0.8100780133347927</v>
      </c>
      <c r="T3399" s="16" t="n">
        <v>0.85</v>
      </c>
      <c r="U3399" s="16" t="n">
        <v>0.75</v>
      </c>
      <c r="V3399" s="16" t="n">
        <v>0.85</v>
      </c>
      <c r="W3399" s="16" t="n">
        <v>0.75</v>
      </c>
      <c r="X3399" s="16" t="n">
        <v>0.8</v>
      </c>
      <c r="Y3399" s="16" t="n">
        <v>300.9335568148303</v>
      </c>
      <c r="Z3399" s="16" t="n"/>
      <c r="AA3399" s="16" t="n"/>
      <c r="AB3399" s="16" t="n">
        <v>1623.034771871836</v>
      </c>
      <c r="AC3399" s="16" t="n">
        <v>2.581991145594082</v>
      </c>
      <c r="AD3399" s="16" t="n"/>
      <c r="AE3399" s="16" t="n"/>
    </row>
    <row r="3400">
      <c r="A3400" s="16" t="inlineStr">
        <is>
          <t>KF-M09-R0-eficiencias-0086</t>
        </is>
      </c>
      <c r="B3400" s="16" t="inlineStr">
        <is>
          <t>4.3</t>
        </is>
      </c>
      <c r="C3400" s="16" t="inlineStr">
        <is>
          <t>4.3 eficiencias</t>
        </is>
      </c>
      <c r="D3400" s="16" t="inlineStr">
        <is>
          <t>ronda 0</t>
        </is>
      </c>
      <c r="E3400" s="16" t="inlineStr">
        <is>
          <t>KF-M09</t>
        </is>
      </c>
      <c r="F3400" s="16" t="inlineStr">
        <is>
          <t>KF-M09-R0-eficiencias</t>
        </is>
      </c>
      <c r="G3400" s="16" t="inlineStr">
        <is>
          <t>B13-eficiencias</t>
        </is>
      </c>
      <c r="H3400" s="16" t="inlineStr">
        <is>
          <t>lhs</t>
        </is>
      </c>
      <c r="I3400" s="16" t="inlineStr">
        <is>
          <t>CORREGIBLE</t>
        </is>
      </c>
      <c r="J3400" s="16" t="inlineStr">
        <is>
          <t>CORREGIBLE</t>
        </is>
      </c>
      <c r="K3400" s="16" t="b">
        <v>1</v>
      </c>
      <c r="L3400" s="16" t="b">
        <v>0</v>
      </c>
      <c r="M3400" s="16" t="b">
        <v>1</v>
      </c>
      <c r="N3400" s="16" t="b">
        <v>0</v>
      </c>
      <c r="O3400" s="16" t="n">
        <v>508.6464778277505</v>
      </c>
      <c r="P3400" s="16" t="n">
        <v>290.3899935376766</v>
      </c>
      <c r="Q3400" s="16" t="n">
        <v>2956.759902895842</v>
      </c>
      <c r="R3400" s="16" t="n">
        <v>1529.701104430363</v>
      </c>
      <c r="S3400" s="16" t="n">
        <v>0.7638168178068758</v>
      </c>
      <c r="T3400" s="16" t="n">
        <v>0.85</v>
      </c>
      <c r="U3400" s="16" t="n">
        <v>0.75</v>
      </c>
      <c r="V3400" s="16" t="n">
        <v>0.85</v>
      </c>
      <c r="W3400" s="16" t="n">
        <v>0.75</v>
      </c>
      <c r="X3400" s="16" t="n">
        <v>0.8</v>
      </c>
      <c r="Y3400" s="16" t="n">
        <v>290.3899935376766</v>
      </c>
      <c r="Z3400" s="16" t="n">
        <v>5.51047711111871</v>
      </c>
      <c r="AA3400" s="16" t="n">
        <v>81.80826052303763</v>
      </c>
      <c r="AB3400" s="16" t="n">
        <v>1427.058798465479</v>
      </c>
      <c r="AC3400" s="16" t="n">
        <v>1.932900417168028</v>
      </c>
      <c r="AD3400" s="16" t="inlineStr">
        <is>
          <t>O2</t>
        </is>
      </c>
      <c r="AE3400" s="16" t="n"/>
    </row>
    <row r="3401">
      <c r="A3401" s="16" t="inlineStr">
        <is>
          <t>KF-M09-R0-eficiencias-0087</t>
        </is>
      </c>
      <c r="B3401" s="16" t="inlineStr">
        <is>
          <t>4.3</t>
        </is>
      </c>
      <c r="C3401" s="16" t="inlineStr">
        <is>
          <t>4.3 eficiencias</t>
        </is>
      </c>
      <c r="D3401" s="16" t="inlineStr">
        <is>
          <t>ronda 0</t>
        </is>
      </c>
      <c r="E3401" s="16" t="inlineStr">
        <is>
          <t>KF-M09</t>
        </is>
      </c>
      <c r="F3401" s="16" t="inlineStr">
        <is>
          <t>KF-M09-R0-eficiencias</t>
        </is>
      </c>
      <c r="G3401" s="16" t="inlineStr">
        <is>
          <t>B13-eficiencias</t>
        </is>
      </c>
      <c r="H3401" s="16" t="inlineStr">
        <is>
          <t>lhs</t>
        </is>
      </c>
      <c r="I3401" s="16" t="inlineStr">
        <is>
          <t>CORREGIBLE</t>
        </is>
      </c>
      <c r="J3401" s="16" t="inlineStr">
        <is>
          <t>CORREGIBLE</t>
        </is>
      </c>
      <c r="K3401" s="16" t="b">
        <v>1</v>
      </c>
      <c r="L3401" s="16" t="b">
        <v>0</v>
      </c>
      <c r="M3401" s="16" t="b">
        <v>0</v>
      </c>
      <c r="N3401" s="16" t="b">
        <v>0</v>
      </c>
      <c r="O3401" s="16" t="n">
        <v>413.3367972171556</v>
      </c>
      <c r="P3401" s="16" t="n">
        <v>278.5160377491003</v>
      </c>
      <c r="Q3401" s="16" t="n">
        <v>2766.193422154848</v>
      </c>
      <c r="R3401" s="16" t="n">
        <v>940.1074564637386</v>
      </c>
      <c r="S3401" s="16" t="n">
        <v>0.6879126370898619</v>
      </c>
      <c r="T3401" s="16" t="n">
        <v>0.85</v>
      </c>
      <c r="U3401" s="16" t="n">
        <v>0.75</v>
      </c>
      <c r="V3401" s="16" t="n">
        <v>0.85</v>
      </c>
      <c r="W3401" s="16" t="n">
        <v>0.75</v>
      </c>
      <c r="X3401" s="16" t="n">
        <v>0.8</v>
      </c>
      <c r="Y3401" s="16" t="n">
        <v>278.5160377491003</v>
      </c>
      <c r="Z3401" s="16" t="n">
        <v>8.923287067451891</v>
      </c>
      <c r="AA3401" s="16" t="n">
        <v>77.62694009497531</v>
      </c>
      <c r="AB3401" s="16" t="n">
        <v>1826.085965691109</v>
      </c>
      <c r="AC3401" s="16" t="n">
        <v>2.942422595561601</v>
      </c>
      <c r="AD3401" s="16" t="inlineStr">
        <is>
          <t>O2</t>
        </is>
      </c>
      <c r="AE3401" s="16" t="n"/>
    </row>
    <row r="3402">
      <c r="A3402" s="16" t="inlineStr">
        <is>
          <t>KF-M09-R0-eficiencias-0088</t>
        </is>
      </c>
      <c r="B3402" s="16" t="inlineStr">
        <is>
          <t>4.3</t>
        </is>
      </c>
      <c r="C3402" s="16" t="inlineStr">
        <is>
          <t>4.3 eficiencias</t>
        </is>
      </c>
      <c r="D3402" s="16" t="inlineStr">
        <is>
          <t>ronda 0</t>
        </is>
      </c>
      <c r="E3402" s="16" t="inlineStr">
        <is>
          <t>KF-M09</t>
        </is>
      </c>
      <c r="F3402" s="16" t="inlineStr">
        <is>
          <t>KF-M09-R0-eficiencias</t>
        </is>
      </c>
      <c r="G3402" s="16" t="inlineStr">
        <is>
          <t>B13-eficiencias</t>
        </is>
      </c>
      <c r="H3402" s="16" t="inlineStr">
        <is>
          <t>lhs</t>
        </is>
      </c>
      <c r="I3402" s="16" t="inlineStr">
        <is>
          <t>CORREGIBLE</t>
        </is>
      </c>
      <c r="J3402" s="16" t="inlineStr">
        <is>
          <t>CORREGIBLE</t>
        </is>
      </c>
      <c r="K3402" s="16" t="b">
        <v>1</v>
      </c>
      <c r="L3402" s="16" t="b">
        <v>0</v>
      </c>
      <c r="M3402" s="16" t="b">
        <v>0</v>
      </c>
      <c r="N3402" s="16" t="b">
        <v>0</v>
      </c>
      <c r="O3402" s="16" t="n">
        <v>415.6113423670805</v>
      </c>
      <c r="P3402" s="16" t="n">
        <v>296.2873421508769</v>
      </c>
      <c r="Q3402" s="16" t="n">
        <v>3413.131485178248</v>
      </c>
      <c r="R3402" s="16" t="n">
        <v>861.2635988927672</v>
      </c>
      <c r="S3402" s="16" t="n">
        <v>0.7499849294634318</v>
      </c>
      <c r="T3402" s="16" t="n">
        <v>0.85</v>
      </c>
      <c r="U3402" s="16" t="n">
        <v>0.75</v>
      </c>
      <c r="V3402" s="16" t="n">
        <v>0.85</v>
      </c>
      <c r="W3402" s="16" t="n">
        <v>0.75</v>
      </c>
      <c r="X3402" s="16" t="n">
        <v>0.8</v>
      </c>
      <c r="Y3402" s="16" t="n">
        <v>296.2873421508769</v>
      </c>
      <c r="Z3402" s="16" t="n">
        <v>11.36479472066873</v>
      </c>
      <c r="AA3402" s="16" t="n">
        <v>97.39334903241036</v>
      </c>
      <c r="AB3402" s="16" t="n">
        <v>2551.867886285481</v>
      </c>
      <c r="AC3402" s="16" t="n">
        <v>3.962934796694229</v>
      </c>
      <c r="AD3402" s="16" t="inlineStr">
        <is>
          <t>O2</t>
        </is>
      </c>
      <c r="AE3402" s="16" t="n"/>
    </row>
    <row r="3403">
      <c r="A3403" s="16" t="inlineStr">
        <is>
          <t>KF-M09-R0-eficiencias-0089</t>
        </is>
      </c>
      <c r="B3403" s="16" t="inlineStr">
        <is>
          <t>4.3</t>
        </is>
      </c>
      <c r="C3403" s="16" t="inlineStr">
        <is>
          <t>4.3 eficiencias</t>
        </is>
      </c>
      <c r="D3403" s="16" t="inlineStr">
        <is>
          <t>ronda 0</t>
        </is>
      </c>
      <c r="E3403" s="16" t="inlineStr">
        <is>
          <t>KF-M09</t>
        </is>
      </c>
      <c r="F3403" s="16" t="inlineStr">
        <is>
          <t>KF-M09-R0-eficiencias</t>
        </is>
      </c>
      <c r="G3403" s="16" t="inlineStr">
        <is>
          <t>B13-eficiencias</t>
        </is>
      </c>
      <c r="H3403" s="16" t="inlineStr">
        <is>
          <t>lhs</t>
        </is>
      </c>
      <c r="I3403" s="16" t="inlineStr">
        <is>
          <t>KALINA</t>
        </is>
      </c>
      <c r="J3403" s="16" t="inlineStr">
        <is>
          <t>KALINA</t>
        </is>
      </c>
      <c r="K3403" s="16" t="b">
        <v>1</v>
      </c>
      <c r="L3403" s="16" t="b">
        <v>1</v>
      </c>
      <c r="M3403" s="16" t="b">
        <v>0</v>
      </c>
      <c r="N3403" s="16" t="b">
        <v>0</v>
      </c>
      <c r="O3403" s="16" t="n">
        <v>406.5423913305272</v>
      </c>
      <c r="P3403" s="16" t="n">
        <v>292.2531737660333</v>
      </c>
      <c r="Q3403" s="16" t="n">
        <v>4670.393760880702</v>
      </c>
      <c r="R3403" s="16" t="n">
        <v>1507.437284689314</v>
      </c>
      <c r="S3403" s="16" t="n">
        <v>0.7426662118167109</v>
      </c>
      <c r="T3403" s="16" t="n">
        <v>0.85</v>
      </c>
      <c r="U3403" s="16" t="n">
        <v>0.75</v>
      </c>
      <c r="V3403" s="16" t="n">
        <v>0.85</v>
      </c>
      <c r="W3403" s="16" t="n">
        <v>0.75</v>
      </c>
      <c r="X3403" s="16" t="n">
        <v>0.8</v>
      </c>
      <c r="Y3403" s="16" t="n">
        <v>292.2531737660333</v>
      </c>
      <c r="Z3403" s="16" t="n">
        <v>8.8824493505668</v>
      </c>
      <c r="AA3403" s="16" t="n">
        <v>54.92482246800383</v>
      </c>
      <c r="AB3403" s="16" t="n">
        <v>3162.956476191388</v>
      </c>
      <c r="AC3403" s="16" t="n">
        <v>3.098234207364242</v>
      </c>
      <c r="AD3403" s="16" t="n"/>
      <c r="AE3403" s="16" t="n"/>
    </row>
    <row r="3404">
      <c r="A3404" s="16" t="inlineStr">
        <is>
          <t>KF-M09-R0-eficiencias-0090</t>
        </is>
      </c>
      <c r="B3404" s="16" t="inlineStr">
        <is>
          <t>4.3</t>
        </is>
      </c>
      <c r="C3404" s="16" t="inlineStr">
        <is>
          <t>4.3 eficiencias</t>
        </is>
      </c>
      <c r="D3404" s="16" t="inlineStr">
        <is>
          <t>ronda 0</t>
        </is>
      </c>
      <c r="E3404" s="16" t="inlineStr">
        <is>
          <t>KF-M09</t>
        </is>
      </c>
      <c r="F3404" s="16" t="inlineStr">
        <is>
          <t>KF-M09-R0-eficiencias</t>
        </is>
      </c>
      <c r="G3404" s="16" t="inlineStr">
        <is>
          <t>B13-eficiencias</t>
        </is>
      </c>
      <c r="H3404" s="16" t="inlineStr">
        <is>
          <t>lhs</t>
        </is>
      </c>
      <c r="I3404" s="16" t="inlineStr">
        <is>
          <t>CORREGIBLE</t>
        </is>
      </c>
      <c r="J3404" s="16" t="inlineStr">
        <is>
          <t>CORREGIBLE</t>
        </is>
      </c>
      <c r="K3404" s="16" t="b">
        <v>1</v>
      </c>
      <c r="L3404" s="16" t="b">
        <v>0</v>
      </c>
      <c r="M3404" s="16" t="b">
        <v>1</v>
      </c>
      <c r="N3404" s="16" t="b">
        <v>0</v>
      </c>
      <c r="O3404" s="16" t="n">
        <v>442.3407879859537</v>
      </c>
      <c r="P3404" s="16" t="n">
        <v>290.1805633753919</v>
      </c>
      <c r="Q3404" s="16" t="n">
        <v>2349.710094225991</v>
      </c>
      <c r="R3404" s="16" t="n">
        <v>344.881277538507</v>
      </c>
      <c r="S3404" s="16" t="n">
        <v>0.7819918629597615</v>
      </c>
      <c r="T3404" s="16" t="n">
        <v>0.85</v>
      </c>
      <c r="U3404" s="16" t="n">
        <v>0.75</v>
      </c>
      <c r="V3404" s="16" t="n">
        <v>0.85</v>
      </c>
      <c r="W3404" s="16" t="n">
        <v>0.75</v>
      </c>
      <c r="X3404" s="16" t="n">
        <v>0.8</v>
      </c>
      <c r="Y3404" s="16" t="n">
        <v>290.1805633753919</v>
      </c>
      <c r="Z3404" s="16" t="n">
        <v>4.95114008013383</v>
      </c>
      <c r="AA3404" s="16" t="n">
        <v>37.45635957088382</v>
      </c>
      <c r="AB3404" s="16" t="n">
        <v>2004.828816687484</v>
      </c>
      <c r="AC3404" s="16" t="n">
        <v>6.813098440705116</v>
      </c>
      <c r="AD3404" s="16" t="inlineStr">
        <is>
          <t>O2</t>
        </is>
      </c>
      <c r="AE3404" s="16" t="n"/>
    </row>
    <row r="3405">
      <c r="A3405" s="16" t="inlineStr">
        <is>
          <t>KF-M09-R0-eficiencias-0091</t>
        </is>
      </c>
      <c r="B3405" s="16" t="inlineStr">
        <is>
          <t>4.3</t>
        </is>
      </c>
      <c r="C3405" s="16" t="inlineStr">
        <is>
          <t>4.3 eficiencias</t>
        </is>
      </c>
      <c r="D3405" s="16" t="inlineStr">
        <is>
          <t>ronda 0</t>
        </is>
      </c>
      <c r="E3405" s="16" t="inlineStr">
        <is>
          <t>KF-M09</t>
        </is>
      </c>
      <c r="F3405" s="16" t="inlineStr">
        <is>
          <t>KF-M09-R0-eficiencias</t>
        </is>
      </c>
      <c r="G3405" s="16" t="inlineStr">
        <is>
          <t>B13-eficiencias</t>
        </is>
      </c>
      <c r="H3405" s="16" t="inlineStr">
        <is>
          <t>lhs</t>
        </is>
      </c>
      <c r="I3405" s="16" t="inlineStr">
        <is>
          <t>KALINA</t>
        </is>
      </c>
      <c r="J3405" s="16" t="inlineStr">
        <is>
          <t>KALINA</t>
        </is>
      </c>
      <c r="K3405" s="16" t="b">
        <v>1</v>
      </c>
      <c r="L3405" s="16" t="b">
        <v>0</v>
      </c>
      <c r="M3405" s="16" t="b">
        <v>1</v>
      </c>
      <c r="N3405" s="16" t="b">
        <v>0</v>
      </c>
      <c r="O3405" s="16" t="n">
        <v>456.7618200476269</v>
      </c>
      <c r="P3405" s="16" t="n">
        <v>294.0393536761522</v>
      </c>
      <c r="Q3405" s="16" t="n">
        <v>4525.330159991379</v>
      </c>
      <c r="R3405" s="16" t="n">
        <v>1172.623008269752</v>
      </c>
      <c r="S3405" s="16" t="n">
        <v>0.5279744682606902</v>
      </c>
      <c r="T3405" s="16" t="n">
        <v>0.85</v>
      </c>
      <c r="U3405" s="16" t="n">
        <v>0.75</v>
      </c>
      <c r="V3405" s="16" t="n">
        <v>0.85</v>
      </c>
      <c r="W3405" s="16" t="n">
        <v>0.75</v>
      </c>
      <c r="X3405" s="16" t="n">
        <v>0.8</v>
      </c>
      <c r="Y3405" s="16" t="n">
        <v>294.0393536761522</v>
      </c>
      <c r="Z3405" s="16" t="n">
        <v>9.432868277707431</v>
      </c>
      <c r="AA3405" s="16" t="n">
        <v>76.45047057478982</v>
      </c>
      <c r="AB3405" s="16" t="n">
        <v>3352.707151721628</v>
      </c>
      <c r="AC3405" s="16" t="n">
        <v>3.859151771777588</v>
      </c>
      <c r="AD3405" s="16" t="n"/>
      <c r="AE3405" s="16" t="n"/>
    </row>
    <row r="3406">
      <c r="A3406" s="16" t="inlineStr">
        <is>
          <t>KF-M09-R0-eficiencias-0092</t>
        </is>
      </c>
      <c r="B3406" s="16" t="inlineStr">
        <is>
          <t>4.3</t>
        </is>
      </c>
      <c r="C3406" s="16" t="inlineStr">
        <is>
          <t>4.3 eficiencias</t>
        </is>
      </c>
      <c r="D3406" s="16" t="inlineStr">
        <is>
          <t>ronda 0</t>
        </is>
      </c>
      <c r="E3406" s="16" t="inlineStr">
        <is>
          <t>KF-M09</t>
        </is>
      </c>
      <c r="F3406" s="16" t="inlineStr">
        <is>
          <t>KF-M09-R0-eficiencias</t>
        </is>
      </c>
      <c r="G3406" s="16" t="inlineStr">
        <is>
          <t>B13-eficiencias</t>
        </is>
      </c>
      <c r="H3406" s="16" t="inlineStr">
        <is>
          <t>lhs</t>
        </is>
      </c>
      <c r="I3406" s="16" t="inlineStr">
        <is>
          <t>CORREGIBLE</t>
        </is>
      </c>
      <c r="J3406" s="16" t="inlineStr">
        <is>
          <t>CORREGIBLE</t>
        </is>
      </c>
      <c r="K3406" s="16" t="b">
        <v>1</v>
      </c>
      <c r="L3406" s="16" t="b">
        <v>0</v>
      </c>
      <c r="M3406" s="16" t="b">
        <v>0</v>
      </c>
      <c r="N3406" s="16" t="b">
        <v>0</v>
      </c>
      <c r="O3406" s="16" t="n">
        <v>440.2205093120067</v>
      </c>
      <c r="P3406" s="16" t="n">
        <v>295.3555683439232</v>
      </c>
      <c r="Q3406" s="16" t="n">
        <v>2198.190706842527</v>
      </c>
      <c r="R3406" s="16" t="n">
        <v>1312.083005406048</v>
      </c>
      <c r="S3406" s="16" t="n">
        <v>0.8037732915586943</v>
      </c>
      <c r="T3406" s="16" t="n">
        <v>0.85</v>
      </c>
      <c r="U3406" s="16" t="n">
        <v>0.75</v>
      </c>
      <c r="V3406" s="16" t="n">
        <v>0.85</v>
      </c>
      <c r="W3406" s="16" t="n">
        <v>0.75</v>
      </c>
      <c r="X3406" s="16" t="n">
        <v>0.8</v>
      </c>
      <c r="Y3406" s="16" t="n">
        <v>295.3555683439232</v>
      </c>
      <c r="Z3406" s="16" t="n">
        <v>4.33350624872251</v>
      </c>
      <c r="AA3406" s="16" t="n">
        <v>56.05137516800416</v>
      </c>
      <c r="AB3406" s="16" t="n">
        <v>886.1077014364787</v>
      </c>
      <c r="AC3406" s="16" t="n">
        <v>1.675344241016411</v>
      </c>
      <c r="AD3406" s="16" t="inlineStr">
        <is>
          <t>O2</t>
        </is>
      </c>
      <c r="AE3406" s="16" t="n"/>
    </row>
    <row r="3407">
      <c r="A3407" s="16" t="inlineStr">
        <is>
          <t>KF-M09-R0-eficiencias-0093</t>
        </is>
      </c>
      <c r="B3407" s="16" t="inlineStr">
        <is>
          <t>4.3</t>
        </is>
      </c>
      <c r="C3407" s="16" t="inlineStr">
        <is>
          <t>4.3 eficiencias</t>
        </is>
      </c>
      <c r="D3407" s="16" t="inlineStr">
        <is>
          <t>ronda 0</t>
        </is>
      </c>
      <c r="E3407" s="16" t="inlineStr">
        <is>
          <t>KF-M09</t>
        </is>
      </c>
      <c r="F3407" s="16" t="inlineStr">
        <is>
          <t>KF-M09-R0-eficiencias</t>
        </is>
      </c>
      <c r="G3407" s="16" t="inlineStr">
        <is>
          <t>B13-eficiencias</t>
        </is>
      </c>
      <c r="H3407" s="16" t="inlineStr">
        <is>
          <t>lhs</t>
        </is>
      </c>
      <c r="I3407" s="16" t="inlineStr">
        <is>
          <t>CORREGIBLE</t>
        </is>
      </c>
      <c r="J3407" s="16" t="inlineStr">
        <is>
          <t>CORREGIBLE</t>
        </is>
      </c>
      <c r="K3407" s="16" t="b">
        <v>1</v>
      </c>
      <c r="L3407" s="16" t="b">
        <v>0</v>
      </c>
      <c r="M3407" s="16" t="b">
        <v>1</v>
      </c>
      <c r="N3407" s="16" t="b">
        <v>0</v>
      </c>
      <c r="O3407" s="16" t="n">
        <v>472.8558295218413</v>
      </c>
      <c r="P3407" s="16" t="n">
        <v>303.2162577883784</v>
      </c>
      <c r="Q3407" s="16" t="n">
        <v>4756.587077487755</v>
      </c>
      <c r="R3407" s="16" t="n">
        <v>1491.961529886994</v>
      </c>
      <c r="S3407" s="16" t="n">
        <v>0.5858002299946841</v>
      </c>
      <c r="T3407" s="16" t="n">
        <v>0.85</v>
      </c>
      <c r="U3407" s="16" t="n">
        <v>0.75</v>
      </c>
      <c r="V3407" s="16" t="n">
        <v>0.85</v>
      </c>
      <c r="W3407" s="16" t="n">
        <v>0.75</v>
      </c>
      <c r="X3407" s="16" t="n">
        <v>0.8</v>
      </c>
      <c r="Y3407" s="16" t="n">
        <v>303.2162577883784</v>
      </c>
      <c r="Z3407" s="16" t="n">
        <v>9.04307766243193</v>
      </c>
      <c r="AA3407" s="16" t="n">
        <v>107.1284778955721</v>
      </c>
      <c r="AB3407" s="16" t="n">
        <v>3264.625547600761</v>
      </c>
      <c r="AC3407" s="16" t="n">
        <v>3.188143247800789</v>
      </c>
      <c r="AD3407" s="16" t="inlineStr">
        <is>
          <t>O2</t>
        </is>
      </c>
      <c r="AE3407" s="16" t="n"/>
    </row>
    <row r="3408">
      <c r="A3408" s="16" t="inlineStr">
        <is>
          <t>KF-M09-R0-eficiencias-0094</t>
        </is>
      </c>
      <c r="B3408" s="16" t="inlineStr">
        <is>
          <t>4.3</t>
        </is>
      </c>
      <c r="C3408" s="16" t="inlineStr">
        <is>
          <t>4.3 eficiencias</t>
        </is>
      </c>
      <c r="D3408" s="16" t="inlineStr">
        <is>
          <t>ronda 0</t>
        </is>
      </c>
      <c r="E3408" s="16" t="inlineStr">
        <is>
          <t>KF-M09</t>
        </is>
      </c>
      <c r="F3408" s="16" t="inlineStr">
        <is>
          <t>KF-M09-R0-eficiencias</t>
        </is>
      </c>
      <c r="G3408" s="16" t="inlineStr">
        <is>
          <t>B13-eficiencias</t>
        </is>
      </c>
      <c r="H3408" s="16" t="inlineStr">
        <is>
          <t>lhs</t>
        </is>
      </c>
      <c r="I3408" s="16" t="inlineStr">
        <is>
          <t>KALINA</t>
        </is>
      </c>
      <c r="J3408" s="16" t="inlineStr">
        <is>
          <t>KALINA</t>
        </is>
      </c>
      <c r="K3408" s="16" t="b">
        <v>1</v>
      </c>
      <c r="L3408" s="16" t="b">
        <v>0</v>
      </c>
      <c r="M3408" s="16" t="b">
        <v>1</v>
      </c>
      <c r="N3408" s="16" t="b">
        <v>0</v>
      </c>
      <c r="O3408" s="16" t="n">
        <v>462.3375137573484</v>
      </c>
      <c r="P3408" s="16" t="n">
        <v>288.5365131577111</v>
      </c>
      <c r="Q3408" s="16" t="n">
        <v>4133.258208888376</v>
      </c>
      <c r="R3408" s="16" t="n">
        <v>1776.048017116953</v>
      </c>
      <c r="S3408" s="16" t="n">
        <v>0.510292110273506</v>
      </c>
      <c r="T3408" s="16" t="n">
        <v>0.85</v>
      </c>
      <c r="U3408" s="16" t="n">
        <v>0.75</v>
      </c>
      <c r="V3408" s="16" t="n">
        <v>0.85</v>
      </c>
      <c r="W3408" s="16" t="n">
        <v>0.75</v>
      </c>
      <c r="X3408" s="16" t="n">
        <v>0.8</v>
      </c>
      <c r="Y3408" s="16" t="n">
        <v>288.5365131577111</v>
      </c>
      <c r="Z3408" s="16" t="n">
        <v>6.07053345036216</v>
      </c>
      <c r="AA3408" s="16" t="n">
        <v>57.90498163412203</v>
      </c>
      <c r="AB3408" s="16" t="n">
        <v>2357.210191771423</v>
      </c>
      <c r="AC3408" s="16" t="n">
        <v>2.327222107202859</v>
      </c>
      <c r="AD3408" s="16" t="n"/>
      <c r="AE3408" s="16" t="n"/>
    </row>
    <row r="3409">
      <c r="A3409" s="16" t="inlineStr">
        <is>
          <t>KF-M09-R0-eficiencias-0095</t>
        </is>
      </c>
      <c r="B3409" s="16" t="inlineStr">
        <is>
          <t>4.3</t>
        </is>
      </c>
      <c r="C3409" s="16" t="inlineStr">
        <is>
          <t>4.3 eficiencias</t>
        </is>
      </c>
      <c r="D3409" s="16" t="inlineStr">
        <is>
          <t>ronda 0</t>
        </is>
      </c>
      <c r="E3409" s="16" t="inlineStr">
        <is>
          <t>KF-M09</t>
        </is>
      </c>
      <c r="F3409" s="16" t="inlineStr">
        <is>
          <t>KF-M09-R0-eficiencias</t>
        </is>
      </c>
      <c r="G3409" s="16" t="inlineStr">
        <is>
          <t>B13-eficiencias</t>
        </is>
      </c>
      <c r="H3409" s="16" t="inlineStr">
        <is>
          <t>lhs</t>
        </is>
      </c>
      <c r="I3409" s="16" t="inlineStr">
        <is>
          <t>CORREGIBLE</t>
        </is>
      </c>
      <c r="J3409" s="16" t="inlineStr">
        <is>
          <t>CORREGIBLE</t>
        </is>
      </c>
      <c r="K3409" s="16" t="b">
        <v>1</v>
      </c>
      <c r="L3409" s="16" t="b">
        <v>0</v>
      </c>
      <c r="M3409" s="16" t="b">
        <v>0</v>
      </c>
      <c r="N3409" s="16" t="b">
        <v>0</v>
      </c>
      <c r="O3409" s="16" t="n">
        <v>396.0419670183471</v>
      </c>
      <c r="P3409" s="16" t="n">
        <v>284.3227591747493</v>
      </c>
      <c r="Q3409" s="16" t="n">
        <v>3233.564849521834</v>
      </c>
      <c r="R3409" s="16" t="n">
        <v>811.2101097207544</v>
      </c>
      <c r="S3409" s="16" t="n">
        <v>0.7964631869308139</v>
      </c>
      <c r="T3409" s="16" t="n">
        <v>0.85</v>
      </c>
      <c r="U3409" s="16" t="n">
        <v>0.75</v>
      </c>
      <c r="V3409" s="16" t="n">
        <v>0.85</v>
      </c>
      <c r="W3409" s="16" t="n">
        <v>0.75</v>
      </c>
      <c r="X3409" s="16" t="n">
        <v>0.8</v>
      </c>
      <c r="Y3409" s="16" t="n">
        <v>284.3227591747493</v>
      </c>
      <c r="Z3409" s="16" t="n">
        <v>11.51658844130563</v>
      </c>
      <c r="AA3409" s="16" t="n">
        <v>92.37496490390892</v>
      </c>
      <c r="AB3409" s="16" t="n">
        <v>2422.35473980108</v>
      </c>
      <c r="AC3409" s="16" t="n">
        <v>3.986100284961851</v>
      </c>
      <c r="AD3409" s="16" t="inlineStr">
        <is>
          <t>O2</t>
        </is>
      </c>
      <c r="AE3409" s="16" t="n"/>
    </row>
    <row r="3410">
      <c r="A3410" s="16" t="inlineStr">
        <is>
          <t>KF-M09-R0-eficiencias-0096</t>
        </is>
      </c>
      <c r="B3410" s="16" t="inlineStr">
        <is>
          <t>4.3</t>
        </is>
      </c>
      <c r="C3410" s="16" t="inlineStr">
        <is>
          <t>4.3 eficiencias</t>
        </is>
      </c>
      <c r="D3410" s="16" t="inlineStr">
        <is>
          <t>ronda 0</t>
        </is>
      </c>
      <c r="E3410" s="16" t="inlineStr">
        <is>
          <t>KF-M09</t>
        </is>
      </c>
      <c r="F3410" s="16" t="inlineStr">
        <is>
          <t>KF-M09-R0-eficiencias</t>
        </is>
      </c>
      <c r="G3410" s="16" t="inlineStr">
        <is>
          <t>B13-eficiencias</t>
        </is>
      </c>
      <c r="H3410" s="16" t="inlineStr">
        <is>
          <t>lhs</t>
        </is>
      </c>
      <c r="I3410" s="16" t="inlineStr">
        <is>
          <t>CORREGIBLE</t>
        </is>
      </c>
      <c r="J3410" s="16" t="inlineStr">
        <is>
          <t>CORREGIBLE</t>
        </is>
      </c>
      <c r="K3410" s="16" t="b">
        <v>1</v>
      </c>
      <c r="L3410" s="16" t="b">
        <v>0</v>
      </c>
      <c r="M3410" s="16" t="b">
        <v>0</v>
      </c>
      <c r="N3410" s="16" t="b">
        <v>0</v>
      </c>
      <c r="O3410" s="16" t="n">
        <v>414.7182835834032</v>
      </c>
      <c r="P3410" s="16" t="n">
        <v>283.2472472244733</v>
      </c>
      <c r="Q3410" s="16" t="n">
        <v>2318.663393615674</v>
      </c>
      <c r="R3410" s="16" t="n">
        <v>1160.025026413543</v>
      </c>
      <c r="S3410" s="16" t="n">
        <v>0.7921537486765819</v>
      </c>
      <c r="T3410" s="16" t="n">
        <v>0.85</v>
      </c>
      <c r="U3410" s="16" t="n">
        <v>0.75</v>
      </c>
      <c r="V3410" s="16" t="n">
        <v>0.85</v>
      </c>
      <c r="W3410" s="16" t="n">
        <v>0.75</v>
      </c>
      <c r="X3410" s="16" t="n">
        <v>0.8</v>
      </c>
      <c r="Y3410" s="16" t="n">
        <v>283.2472472244733</v>
      </c>
      <c r="Z3410" s="16" t="n">
        <v>6.16885789961075</v>
      </c>
      <c r="AA3410" s="16" t="n">
        <v>68.63068151268004</v>
      </c>
      <c r="AB3410" s="16" t="n">
        <v>1158.638367202131</v>
      </c>
      <c r="AC3410" s="16" t="n">
        <v>1.998804629917599</v>
      </c>
      <c r="AD3410" s="16" t="inlineStr">
        <is>
          <t>O2</t>
        </is>
      </c>
      <c r="AE3410" s="16" t="n"/>
    </row>
    <row r="3411">
      <c r="A3411" s="16" t="inlineStr">
        <is>
          <t>KF-M09-R0-P_alta-0000</t>
        </is>
      </c>
      <c r="B3411" s="16" t="inlineStr">
        <is>
          <t>4.3</t>
        </is>
      </c>
      <c r="C3411" s="16" t="inlineStr">
        <is>
          <t>4.3 P_alta</t>
        </is>
      </c>
      <c r="D3411" s="16" t="inlineStr">
        <is>
          <t>ronda 0</t>
        </is>
      </c>
      <c r="E3411" s="16" t="inlineStr">
        <is>
          <t>KF-M09</t>
        </is>
      </c>
      <c r="F3411" s="16" t="inlineStr">
        <is>
          <t>KF-M09-R0-P_alta</t>
        </is>
      </c>
      <c r="G3411" s="16" t="inlineStr">
        <is>
          <t>B13-P_alta</t>
        </is>
      </c>
      <c r="H3411" s="16" t="inlineStr">
        <is>
          <t>lhs</t>
        </is>
      </c>
      <c r="I3411" s="16" t="inlineStr">
        <is>
          <t>CORREGIBLE</t>
        </is>
      </c>
      <c r="J3411" s="16" t="inlineStr">
        <is>
          <t>CORREGIBLE</t>
        </is>
      </c>
      <c r="K3411" s="16" t="b">
        <v>1</v>
      </c>
      <c r="L3411" s="16" t="b">
        <v>0</v>
      </c>
      <c r="M3411" s="16" t="b">
        <v>0</v>
      </c>
      <c r="N3411" s="16" t="b">
        <v>0</v>
      </c>
      <c r="O3411" s="16" t="n">
        <v>425.6047918469772</v>
      </c>
      <c r="P3411" s="16" t="n">
        <v>284.4941243042819</v>
      </c>
      <c r="Q3411" s="16" t="n">
        <v>3000</v>
      </c>
      <c r="R3411" s="16" t="n">
        <v>396.5498275778263</v>
      </c>
      <c r="S3411" s="16" t="n">
        <v>0.7774597738852369</v>
      </c>
      <c r="T3411" s="16" t="n">
        <v>0.7880709055620314</v>
      </c>
      <c r="U3411" s="16" t="n">
        <v>0.7513060719680973</v>
      </c>
      <c r="V3411" s="16" t="n">
        <v>0.4663444618085531</v>
      </c>
      <c r="W3411" s="16" t="n">
        <v>0.9400019151961976</v>
      </c>
      <c r="X3411" s="16" t="n">
        <v>0.8637482648349415</v>
      </c>
      <c r="Y3411" s="16" t="n">
        <v>284.4941243042819</v>
      </c>
      <c r="Z3411" s="16" t="n">
        <v>4.61852665067247</v>
      </c>
      <c r="AA3411" s="16" t="n">
        <v>21.5205926883745</v>
      </c>
      <c r="AB3411" s="16" t="n">
        <v>2603.450172422174</v>
      </c>
      <c r="AC3411" s="16" t="n">
        <v>7.565253573111753</v>
      </c>
      <c r="AD3411" s="16" t="inlineStr">
        <is>
          <t>O2</t>
        </is>
      </c>
      <c r="AE3411" s="16" t="n"/>
    </row>
    <row r="3412">
      <c r="A3412" s="16" t="inlineStr">
        <is>
          <t>KF-M09-R0-eficiencias-0097</t>
        </is>
      </c>
      <c r="B3412" s="16" t="inlineStr">
        <is>
          <t>4.3</t>
        </is>
      </c>
      <c r="C3412" s="16" t="inlineStr">
        <is>
          <t>4.3 eficiencias</t>
        </is>
      </c>
      <c r="D3412" s="16" t="inlineStr">
        <is>
          <t>ronda 0</t>
        </is>
      </c>
      <c r="E3412" s="16" t="inlineStr">
        <is>
          <t>KF-M09</t>
        </is>
      </c>
      <c r="F3412" s="16" t="inlineStr">
        <is>
          <t>KF-M09-R0-eficiencias</t>
        </is>
      </c>
      <c r="G3412" s="16" t="inlineStr">
        <is>
          <t>B13-eficiencias</t>
        </is>
      </c>
      <c r="H3412" s="16" t="inlineStr">
        <is>
          <t>lhs</t>
        </is>
      </c>
      <c r="I3412" s="16" t="inlineStr">
        <is>
          <t>CORREGIBLE</t>
        </is>
      </c>
      <c r="J3412" s="16" t="inlineStr">
        <is>
          <t>CORREGIBLE</t>
        </is>
      </c>
      <c r="K3412" s="16" t="b">
        <v>1</v>
      </c>
      <c r="L3412" s="16" t="b">
        <v>0</v>
      </c>
      <c r="M3412" s="16" t="b">
        <v>1</v>
      </c>
      <c r="N3412" s="16" t="b">
        <v>0</v>
      </c>
      <c r="O3412" s="16" t="n">
        <v>485.7781776878928</v>
      </c>
      <c r="P3412" s="16" t="n">
        <v>281.5401727204214</v>
      </c>
      <c r="Q3412" s="16" t="n">
        <v>2799.952093916755</v>
      </c>
      <c r="R3412" s="16" t="n">
        <v>1329.75500382394</v>
      </c>
      <c r="S3412" s="16" t="n">
        <v>0.5228437499151023</v>
      </c>
      <c r="T3412" s="16" t="n">
        <v>0.85</v>
      </c>
      <c r="U3412" s="16" t="n">
        <v>0.75</v>
      </c>
      <c r="V3412" s="16" t="n">
        <v>0.85</v>
      </c>
      <c r="W3412" s="16" t="n">
        <v>0.75</v>
      </c>
      <c r="X3412" s="16" t="n">
        <v>0.8</v>
      </c>
      <c r="Y3412" s="16" t="n">
        <v>281.5401727204214</v>
      </c>
      <c r="Z3412" s="16" t="n">
        <v>5.74577281019178</v>
      </c>
      <c r="AA3412" s="16" t="n">
        <v>97.3473483951301</v>
      </c>
      <c r="AB3412" s="16" t="n">
        <v>1470.197090092815</v>
      </c>
      <c r="AC3412" s="16" t="n">
        <v>2.105615008678298</v>
      </c>
      <c r="AD3412" s="16" t="inlineStr">
        <is>
          <t>O2</t>
        </is>
      </c>
      <c r="AE3412" s="16" t="n"/>
    </row>
    <row r="3413">
      <c r="A3413" s="16" t="inlineStr">
        <is>
          <t>KF-M09-R0-P_alta-0001</t>
        </is>
      </c>
      <c r="B3413" s="16" t="inlineStr">
        <is>
          <t>4.3</t>
        </is>
      </c>
      <c r="C3413" s="16" t="inlineStr">
        <is>
          <t>4.3 P_alta</t>
        </is>
      </c>
      <c r="D3413" s="16" t="inlineStr">
        <is>
          <t>ronda 0</t>
        </is>
      </c>
      <c r="E3413" s="16" t="inlineStr">
        <is>
          <t>KF-M09</t>
        </is>
      </c>
      <c r="F3413" s="16" t="inlineStr">
        <is>
          <t>KF-M09-R0-P_alta</t>
        </is>
      </c>
      <c r="G3413" s="16" t="inlineStr">
        <is>
          <t>B13-P_alta</t>
        </is>
      </c>
      <c r="H3413" s="16" t="inlineStr">
        <is>
          <t>lhs</t>
        </is>
      </c>
      <c r="I3413" s="16" t="inlineStr">
        <is>
          <t>NO_CONVERGIO</t>
        </is>
      </c>
      <c r="J3413" s="16" t="inlineStr">
        <is>
          <t>NO_CONVERGIO</t>
        </is>
      </c>
      <c r="K3413" s="16" t="b">
        <v>0</v>
      </c>
      <c r="L3413" s="16" t="b">
        <v>0</v>
      </c>
      <c r="M3413" s="16" t="b">
        <v>0</v>
      </c>
      <c r="N3413" s="16" t="b">
        <v>0</v>
      </c>
      <c r="O3413" s="16" t="n">
        <v>441.5728698750323</v>
      </c>
      <c r="P3413" s="16" t="n">
        <v>280.9874549163374</v>
      </c>
      <c r="Q3413" s="16" t="n">
        <v>3000</v>
      </c>
      <c r="R3413" s="16" t="n">
        <v>968.31953666971</v>
      </c>
      <c r="S3413" s="16" t="n">
        <v>0.644222036393987</v>
      </c>
      <c r="T3413" s="16" t="n">
        <v>0.8124750558967775</v>
      </c>
      <c r="U3413" s="16" t="n">
        <v>0.8219372647373324</v>
      </c>
      <c r="V3413" s="16" t="n">
        <v>0.4512264150866301</v>
      </c>
      <c r="W3413" s="16" t="n">
        <v>0.7314098930868616</v>
      </c>
      <c r="X3413" s="16" t="n">
        <v>0.9135739727589918</v>
      </c>
      <c r="Y3413" s="16" t="n">
        <v>280.9874549163374</v>
      </c>
      <c r="Z3413" s="16" t="n"/>
      <c r="AA3413" s="16" t="n"/>
      <c r="AB3413" s="16" t="n">
        <v>2031.68046333029</v>
      </c>
      <c r="AC3413" s="16" t="n">
        <v>3.098150854538927</v>
      </c>
      <c r="AD3413" s="16" t="n"/>
      <c r="AE3413" s="16" t="n"/>
    </row>
    <row r="3414">
      <c r="A3414" s="16" t="inlineStr">
        <is>
          <t>KF-M09-R0-P_alta-0002</t>
        </is>
      </c>
      <c r="B3414" s="16" t="inlineStr">
        <is>
          <t>4.3</t>
        </is>
      </c>
      <c r="C3414" s="16" t="inlineStr">
        <is>
          <t>4.3 P_alta</t>
        </is>
      </c>
      <c r="D3414" s="16" t="inlineStr">
        <is>
          <t>ronda 0</t>
        </is>
      </c>
      <c r="E3414" s="16" t="inlineStr">
        <is>
          <t>KF-M09</t>
        </is>
      </c>
      <c r="F3414" s="16" t="inlineStr">
        <is>
          <t>KF-M09-R0-P_alta</t>
        </is>
      </c>
      <c r="G3414" s="16" t="inlineStr">
        <is>
          <t>B13-P_alta</t>
        </is>
      </c>
      <c r="H3414" s="16" t="inlineStr">
        <is>
          <t>lhs</t>
        </is>
      </c>
      <c r="I3414" s="16" t="inlineStr">
        <is>
          <t>CORREGIBLE</t>
        </is>
      </c>
      <c r="J3414" s="16" t="inlineStr">
        <is>
          <t>CORREGIBLE</t>
        </is>
      </c>
      <c r="K3414" s="16" t="b">
        <v>1</v>
      </c>
      <c r="L3414" s="16" t="b">
        <v>0</v>
      </c>
      <c r="M3414" s="16" t="b">
        <v>0</v>
      </c>
      <c r="N3414" s="16" t="b">
        <v>0</v>
      </c>
      <c r="O3414" s="16" t="n">
        <v>389.8585951793531</v>
      </c>
      <c r="P3414" s="16" t="n">
        <v>292.95599991348</v>
      </c>
      <c r="Q3414" s="16" t="n">
        <v>3000</v>
      </c>
      <c r="R3414" s="16" t="n">
        <v>1279.569153355726</v>
      </c>
      <c r="S3414" s="16" t="n">
        <v>0.8441975219076163</v>
      </c>
      <c r="T3414" s="16" t="n">
        <v>0.8500701942622644</v>
      </c>
      <c r="U3414" s="16" t="n">
        <v>0.9171713968482212</v>
      </c>
      <c r="V3414" s="16" t="n">
        <v>0.8421918735405056</v>
      </c>
      <c r="W3414" s="16" t="n">
        <v>0.8532227137027221</v>
      </c>
      <c r="X3414" s="16" t="n">
        <v>0.4882084804608425</v>
      </c>
      <c r="Y3414" s="16" t="n">
        <v>292.95599991348</v>
      </c>
      <c r="Z3414" s="16" t="n">
        <v>6.441798585103101</v>
      </c>
      <c r="AA3414" s="16" t="n">
        <v>34.02509757525702</v>
      </c>
      <c r="AB3414" s="16" t="n">
        <v>1720.430846644274</v>
      </c>
      <c r="AC3414" s="16" t="n">
        <v>2.344539169401177</v>
      </c>
      <c r="AD3414" s="16" t="inlineStr">
        <is>
          <t>O2</t>
        </is>
      </c>
      <c r="AE3414" s="16" t="n"/>
    </row>
    <row r="3415">
      <c r="A3415" s="16" t="inlineStr">
        <is>
          <t>KF-M09-R0-eficiencias-0098</t>
        </is>
      </c>
      <c r="B3415" s="16" t="inlineStr">
        <is>
          <t>4.3</t>
        </is>
      </c>
      <c r="C3415" s="16" t="inlineStr">
        <is>
          <t>4.3 eficiencias</t>
        </is>
      </c>
      <c r="D3415" s="16" t="inlineStr">
        <is>
          <t>ronda 0</t>
        </is>
      </c>
      <c r="E3415" s="16" t="inlineStr">
        <is>
          <t>KF-M09</t>
        </is>
      </c>
      <c r="F3415" s="16" t="inlineStr">
        <is>
          <t>KF-M09-R0-eficiencias</t>
        </is>
      </c>
      <c r="G3415" s="16" t="inlineStr">
        <is>
          <t>B13-eficiencias</t>
        </is>
      </c>
      <c r="H3415" s="16" t="inlineStr">
        <is>
          <t>lhs</t>
        </is>
      </c>
      <c r="I3415" s="16" t="inlineStr">
        <is>
          <t>CORREGIBLE</t>
        </is>
      </c>
      <c r="J3415" s="16" t="inlineStr">
        <is>
          <t>CORREGIBLE</t>
        </is>
      </c>
      <c r="K3415" s="16" t="b">
        <v>1</v>
      </c>
      <c r="L3415" s="16" t="b">
        <v>0</v>
      </c>
      <c r="M3415" s="16" t="b">
        <v>1</v>
      </c>
      <c r="N3415" s="16" t="b">
        <v>0</v>
      </c>
      <c r="O3415" s="16" t="n">
        <v>513.2827334723919</v>
      </c>
      <c r="P3415" s="16" t="n">
        <v>279.3390452825528</v>
      </c>
      <c r="Q3415" s="16" t="n">
        <v>3398.462701711679</v>
      </c>
      <c r="R3415" s="16" t="n">
        <v>1437.905391114698</v>
      </c>
      <c r="S3415" s="16" t="n">
        <v>0.6163948820091469</v>
      </c>
      <c r="T3415" s="16" t="n">
        <v>0.85</v>
      </c>
      <c r="U3415" s="16" t="n">
        <v>0.75</v>
      </c>
      <c r="V3415" s="16" t="n">
        <v>0.85</v>
      </c>
      <c r="W3415" s="16" t="n">
        <v>0.75</v>
      </c>
      <c r="X3415" s="16" t="n">
        <v>0.8</v>
      </c>
      <c r="Y3415" s="16" t="n">
        <v>279.3390452825528</v>
      </c>
      <c r="Z3415" s="16" t="n">
        <v>6.840043487919301</v>
      </c>
      <c r="AA3415" s="16" t="n">
        <v>114.4445727243141</v>
      </c>
      <c r="AB3415" s="16" t="n">
        <v>1960.557310596981</v>
      </c>
      <c r="AC3415" s="16" t="n">
        <v>2.363481438147409</v>
      </c>
      <c r="AD3415" s="16" t="inlineStr">
        <is>
          <t>O2</t>
        </is>
      </c>
      <c r="AE3415" s="16" t="n"/>
    </row>
    <row r="3416">
      <c r="A3416" s="16" t="inlineStr">
        <is>
          <t>KF-M09-R0-P_alta-0003</t>
        </is>
      </c>
      <c r="B3416" s="16" t="inlineStr">
        <is>
          <t>4.3</t>
        </is>
      </c>
      <c r="C3416" s="16" t="inlineStr">
        <is>
          <t>4.3 P_alta</t>
        </is>
      </c>
      <c r="D3416" s="16" t="inlineStr">
        <is>
          <t>ronda 0</t>
        </is>
      </c>
      <c r="E3416" s="16" t="inlineStr">
        <is>
          <t>KF-M09</t>
        </is>
      </c>
      <c r="F3416" s="16" t="inlineStr">
        <is>
          <t>KF-M09-R0-P_alta</t>
        </is>
      </c>
      <c r="G3416" s="16" t="inlineStr">
        <is>
          <t>B13-P_alta</t>
        </is>
      </c>
      <c r="H3416" s="16" t="inlineStr">
        <is>
          <t>lhs</t>
        </is>
      </c>
      <c r="I3416" s="16" t="inlineStr">
        <is>
          <t>NO_CONVERGIO</t>
        </is>
      </c>
      <c r="J3416" s="16" t="inlineStr">
        <is>
          <t>NO_CONVERGIO</t>
        </is>
      </c>
      <c r="K3416" s="16" t="b">
        <v>0</v>
      </c>
      <c r="L3416" s="16" t="b">
        <v>0</v>
      </c>
      <c r="M3416" s="16" t="b">
        <v>0</v>
      </c>
      <c r="N3416" s="16" t="b">
        <v>0</v>
      </c>
      <c r="O3416" s="16" t="n">
        <v>508.4291329379154</v>
      </c>
      <c r="P3416" s="16" t="n">
        <v>301.9738132708861</v>
      </c>
      <c r="Q3416" s="16" t="n">
        <v>3000</v>
      </c>
      <c r="R3416" s="16" t="n">
        <v>1324.843033417355</v>
      </c>
      <c r="S3416" s="16" t="n">
        <v>0.5466359117552704</v>
      </c>
      <c r="T3416" s="16" t="n">
        <v>0.6962259329767659</v>
      </c>
      <c r="U3416" s="16" t="n">
        <v>0.5104128897019807</v>
      </c>
      <c r="V3416" s="16" t="n">
        <v>0.91635380021672</v>
      </c>
      <c r="W3416" s="16" t="n">
        <v>0.4633457624957303</v>
      </c>
      <c r="X3416" s="16" t="n">
        <v>0.551553410906912</v>
      </c>
      <c r="Y3416" s="16" t="n">
        <v>301.9738132708861</v>
      </c>
      <c r="Z3416" s="16" t="n"/>
      <c r="AA3416" s="16" t="n"/>
      <c r="AB3416" s="16" t="n">
        <v>1675.156966582645</v>
      </c>
      <c r="AC3416" s="16" t="n">
        <v>2.264419198598702</v>
      </c>
      <c r="AD3416" s="16" t="n"/>
      <c r="AE3416" s="16" t="n"/>
    </row>
    <row r="3417">
      <c r="A3417" s="16" t="inlineStr">
        <is>
          <t>KF-M09-R0-eficiencias-0099</t>
        </is>
      </c>
      <c r="B3417" s="16" t="inlineStr">
        <is>
          <t>4.3</t>
        </is>
      </c>
      <c r="C3417" s="16" t="inlineStr">
        <is>
          <t>4.3 eficiencias</t>
        </is>
      </c>
      <c r="D3417" s="16" t="inlineStr">
        <is>
          <t>ronda 0</t>
        </is>
      </c>
      <c r="E3417" s="16" t="inlineStr">
        <is>
          <t>KF-M09</t>
        </is>
      </c>
      <c r="F3417" s="16" t="inlineStr">
        <is>
          <t>KF-M09-R0-eficiencias</t>
        </is>
      </c>
      <c r="G3417" s="16" t="inlineStr">
        <is>
          <t>B13-eficiencias</t>
        </is>
      </c>
      <c r="H3417" s="16" t="inlineStr">
        <is>
          <t>lhs</t>
        </is>
      </c>
      <c r="I3417" s="16" t="inlineStr">
        <is>
          <t>CORREGIBLE</t>
        </is>
      </c>
      <c r="J3417" s="16" t="inlineStr">
        <is>
          <t>CORREGIBLE</t>
        </is>
      </c>
      <c r="K3417" s="16" t="b">
        <v>1</v>
      </c>
      <c r="L3417" s="16" t="b">
        <v>0</v>
      </c>
      <c r="M3417" s="16" t="b">
        <v>1</v>
      </c>
      <c r="N3417" s="16" t="b">
        <v>0</v>
      </c>
      <c r="O3417" s="16" t="n">
        <v>502.5757694513316</v>
      </c>
      <c r="P3417" s="16" t="n">
        <v>289.0859772872166</v>
      </c>
      <c r="Q3417" s="16" t="n">
        <v>3907.578772269125</v>
      </c>
      <c r="R3417" s="16" t="n">
        <v>854.3665220413187</v>
      </c>
      <c r="S3417" s="16" t="n">
        <v>0.7879390399783659</v>
      </c>
      <c r="T3417" s="16" t="n">
        <v>0.85</v>
      </c>
      <c r="U3417" s="16" t="n">
        <v>0.75</v>
      </c>
      <c r="V3417" s="16" t="n">
        <v>0.85</v>
      </c>
      <c r="W3417" s="16" t="n">
        <v>0.75</v>
      </c>
      <c r="X3417" s="16" t="n">
        <v>0.8</v>
      </c>
      <c r="Y3417" s="16" t="n">
        <v>289.0859772872166</v>
      </c>
      <c r="Z3417" s="16" t="n">
        <v>12.23523157850979</v>
      </c>
      <c r="AA3417" s="16" t="n">
        <v>175.6623576371884</v>
      </c>
      <c r="AB3417" s="16" t="n">
        <v>3053.212250227806</v>
      </c>
      <c r="AC3417" s="16" t="n">
        <v>4.573656237059518</v>
      </c>
      <c r="AD3417" s="16" t="inlineStr">
        <is>
          <t>O2</t>
        </is>
      </c>
      <c r="AE3417" s="16" t="n"/>
    </row>
    <row r="3418">
      <c r="A3418" s="16" t="inlineStr">
        <is>
          <t>KF-M09-R0-P_alta-0004</t>
        </is>
      </c>
      <c r="B3418" s="16" t="inlineStr">
        <is>
          <t>4.3</t>
        </is>
      </c>
      <c r="C3418" s="16" t="inlineStr">
        <is>
          <t>4.3 P_alta</t>
        </is>
      </c>
      <c r="D3418" s="16" t="inlineStr">
        <is>
          <t>ronda 0</t>
        </is>
      </c>
      <c r="E3418" s="16" t="inlineStr">
        <is>
          <t>KF-M09</t>
        </is>
      </c>
      <c r="F3418" s="16" t="inlineStr">
        <is>
          <t>KF-M09-R0-P_alta</t>
        </is>
      </c>
      <c r="G3418" s="16" t="inlineStr">
        <is>
          <t>B13-P_alta</t>
        </is>
      </c>
      <c r="H3418" s="16" t="inlineStr">
        <is>
          <t>lhs</t>
        </is>
      </c>
      <c r="I3418" s="16" t="inlineStr">
        <is>
          <t>INVIABLE</t>
        </is>
      </c>
      <c r="J3418" s="16" t="inlineStr">
        <is>
          <t>INVIABLE</t>
        </is>
      </c>
      <c r="K3418" s="16" t="b">
        <v>1</v>
      </c>
      <c r="L3418" s="16" t="b">
        <v>0</v>
      </c>
      <c r="M3418" s="16" t="b">
        <v>1</v>
      </c>
      <c r="N3418" s="16" t="b">
        <v>0</v>
      </c>
      <c r="O3418" s="16" t="n">
        <v>467.3929355047112</v>
      </c>
      <c r="P3418" s="16" t="n">
        <v>293.9542005553358</v>
      </c>
      <c r="Q3418" s="16" t="n">
        <v>3000</v>
      </c>
      <c r="R3418" s="16" t="n">
        <v>1835.731613707424</v>
      </c>
      <c r="S3418" s="16" t="n">
        <v>0.7435008918598891</v>
      </c>
      <c r="T3418" s="16" t="n">
        <v>0.5183769822140141</v>
      </c>
      <c r="U3418" s="16" t="n">
        <v>0.4006380138772861</v>
      </c>
      <c r="V3418" s="16" t="n">
        <v>0.6876286578383553</v>
      </c>
      <c r="W3418" s="16" t="n">
        <v>0.7694197640133327</v>
      </c>
      <c r="X3418" s="16" t="n">
        <v>0.5414979971497449</v>
      </c>
      <c r="Y3418" s="16" t="n">
        <v>293.9542005553358</v>
      </c>
      <c r="Z3418" s="16" t="n">
        <v>-4.47834092176959</v>
      </c>
      <c r="AA3418" s="16" t="n">
        <v>-36.6881230405595</v>
      </c>
      <c r="AB3418" s="16" t="n">
        <v>1164.268386292576</v>
      </c>
      <c r="AC3418" s="16" t="n">
        <v>1.63422581906798</v>
      </c>
      <c r="AD3418" s="16" t="inlineStr">
        <is>
          <t>O2,O3</t>
        </is>
      </c>
      <c r="AE3418" s="16" t="n"/>
    </row>
    <row r="3419">
      <c r="A3419" s="16" t="inlineStr">
        <is>
          <t>KF-M09-R0-P_alta-0005</t>
        </is>
      </c>
      <c r="B3419" s="16" t="inlineStr">
        <is>
          <t>4.3</t>
        </is>
      </c>
      <c r="C3419" s="16" t="inlineStr">
        <is>
          <t>4.3 P_alta</t>
        </is>
      </c>
      <c r="D3419" s="16" t="inlineStr">
        <is>
          <t>ronda 0</t>
        </is>
      </c>
      <c r="E3419" s="16" t="inlineStr">
        <is>
          <t>KF-M09</t>
        </is>
      </c>
      <c r="F3419" s="16" t="inlineStr">
        <is>
          <t>KF-M09-R0-P_alta</t>
        </is>
      </c>
      <c r="G3419" s="16" t="inlineStr">
        <is>
          <t>B13-P_alta</t>
        </is>
      </c>
      <c r="H3419" s="16" t="inlineStr">
        <is>
          <t>lhs</t>
        </is>
      </c>
      <c r="I3419" s="16" t="inlineStr">
        <is>
          <t>CORREGIBLE</t>
        </is>
      </c>
      <c r="J3419" s="16" t="inlineStr">
        <is>
          <t>CORREGIBLE</t>
        </is>
      </c>
      <c r="K3419" s="16" t="b">
        <v>1</v>
      </c>
      <c r="L3419" s="16" t="b">
        <v>0</v>
      </c>
      <c r="M3419" s="16" t="b">
        <v>0</v>
      </c>
      <c r="N3419" s="16" t="b">
        <v>0</v>
      </c>
      <c r="O3419" s="16" t="n">
        <v>491.0976587679755</v>
      </c>
      <c r="P3419" s="16" t="n">
        <v>282.9615666798701</v>
      </c>
      <c r="Q3419" s="16" t="n">
        <v>3000</v>
      </c>
      <c r="R3419" s="16" t="n">
        <v>1682.60235031585</v>
      </c>
      <c r="S3419" s="16" t="n">
        <v>0.7349263274104254</v>
      </c>
      <c r="T3419" s="16" t="n">
        <v>0.6707557177548864</v>
      </c>
      <c r="U3419" s="16" t="n">
        <v>0.7716120064927141</v>
      </c>
      <c r="V3419" s="16" t="n">
        <v>0.5885361504554985</v>
      </c>
      <c r="W3419" s="16" t="n">
        <v>0.4898904207144678</v>
      </c>
      <c r="X3419" s="16" t="n">
        <v>0.7421752623604494</v>
      </c>
      <c r="Y3419" s="16" t="n">
        <v>282.9615666798701</v>
      </c>
      <c r="Z3419" s="16" t="n">
        <v>3.81824363072021</v>
      </c>
      <c r="AA3419" s="16" t="n">
        <v>39.54178004908141</v>
      </c>
      <c r="AB3419" s="16" t="n">
        <v>1317.39764968415</v>
      </c>
      <c r="AC3419" s="16" t="n">
        <v>1.782952460179825</v>
      </c>
      <c r="AD3419" s="16" t="inlineStr">
        <is>
          <t>O2</t>
        </is>
      </c>
      <c r="AE3419" s="16" t="n"/>
    </row>
    <row r="3420">
      <c r="A3420" s="16" t="inlineStr">
        <is>
          <t>KF-M09-R0-P_alta-0006</t>
        </is>
      </c>
      <c r="B3420" s="16" t="inlineStr">
        <is>
          <t>4.3</t>
        </is>
      </c>
      <c r="C3420" s="16" t="inlineStr">
        <is>
          <t>4.3 P_alta</t>
        </is>
      </c>
      <c r="D3420" s="16" t="inlineStr">
        <is>
          <t>ronda 0</t>
        </is>
      </c>
      <c r="E3420" s="16" t="inlineStr">
        <is>
          <t>KF-M09</t>
        </is>
      </c>
      <c r="F3420" s="16" t="inlineStr">
        <is>
          <t>KF-M09-R0-P_alta</t>
        </is>
      </c>
      <c r="G3420" s="16" t="inlineStr">
        <is>
          <t>B13-P_alta</t>
        </is>
      </c>
      <c r="H3420" s="16" t="inlineStr">
        <is>
          <t>lhs</t>
        </is>
      </c>
      <c r="I3420" s="16" t="inlineStr">
        <is>
          <t>KALINA</t>
        </is>
      </c>
      <c r="J3420" s="16" t="inlineStr">
        <is>
          <t>KALINA</t>
        </is>
      </c>
      <c r="K3420" s="16" t="b">
        <v>1</v>
      </c>
      <c r="L3420" s="16" t="b">
        <v>1</v>
      </c>
      <c r="M3420" s="16" t="b">
        <v>0</v>
      </c>
      <c r="N3420" s="16" t="b">
        <v>0</v>
      </c>
      <c r="O3420" s="16" t="n">
        <v>426.5563783056512</v>
      </c>
      <c r="P3420" s="16" t="n">
        <v>281.7931224278457</v>
      </c>
      <c r="Q3420" s="16" t="n">
        <v>3000</v>
      </c>
      <c r="R3420" s="16" t="n">
        <v>489.3621284415361</v>
      </c>
      <c r="S3420" s="16" t="n">
        <v>0.521757809007576</v>
      </c>
      <c r="T3420" s="16" t="n">
        <v>0.5465164509353048</v>
      </c>
      <c r="U3420" s="16" t="n">
        <v>0.623732760156537</v>
      </c>
      <c r="V3420" s="16" t="n">
        <v>0.7879382085507428</v>
      </c>
      <c r="W3420" s="16" t="n">
        <v>0.509530021607133</v>
      </c>
      <c r="X3420" s="16" t="n">
        <v>0.8485499801307262</v>
      </c>
      <c r="Y3420" s="16" t="n">
        <v>281.7931224278457</v>
      </c>
      <c r="Z3420" s="16" t="n">
        <v>6.11111085457071</v>
      </c>
      <c r="AA3420" s="16" t="n">
        <v>42.39597096927328</v>
      </c>
      <c r="AB3420" s="16" t="n">
        <v>2510.637871558464</v>
      </c>
      <c r="AC3420" s="16" t="n">
        <v>6.13042944200454</v>
      </c>
      <c r="AD3420" s="16" t="n"/>
      <c r="AE3420" s="16" t="n"/>
    </row>
    <row r="3421">
      <c r="A3421" s="16" t="inlineStr">
        <is>
          <t>KF-M09-R0-P_alta-0007</t>
        </is>
      </c>
      <c r="B3421" s="16" t="inlineStr">
        <is>
          <t>4.3</t>
        </is>
      </c>
      <c r="C3421" s="16" t="inlineStr">
        <is>
          <t>4.3 P_alta</t>
        </is>
      </c>
      <c r="D3421" s="16" t="inlineStr">
        <is>
          <t>ronda 0</t>
        </is>
      </c>
      <c r="E3421" s="16" t="inlineStr">
        <is>
          <t>KF-M09</t>
        </is>
      </c>
      <c r="F3421" s="16" t="inlineStr">
        <is>
          <t>KF-M09-R0-P_alta</t>
        </is>
      </c>
      <c r="G3421" s="16" t="inlineStr">
        <is>
          <t>B13-P_alta</t>
        </is>
      </c>
      <c r="H3421" s="16" t="inlineStr">
        <is>
          <t>lhs</t>
        </is>
      </c>
      <c r="I3421" s="16" t="inlineStr">
        <is>
          <t>CORREGIBLE</t>
        </is>
      </c>
      <c r="J3421" s="16" t="inlineStr">
        <is>
          <t>CORREGIBLE</t>
        </is>
      </c>
      <c r="K3421" s="16" t="b">
        <v>1</v>
      </c>
      <c r="L3421" s="16" t="b">
        <v>0</v>
      </c>
      <c r="M3421" s="16" t="b">
        <v>0</v>
      </c>
      <c r="N3421" s="16" t="b">
        <v>0</v>
      </c>
      <c r="O3421" s="16" t="n">
        <v>396.048683780927</v>
      </c>
      <c r="P3421" s="16" t="n">
        <v>289.3094011821885</v>
      </c>
      <c r="Q3421" s="16" t="n">
        <v>3000</v>
      </c>
      <c r="R3421" s="16" t="n">
        <v>631.5603749190398</v>
      </c>
      <c r="S3421" s="16" t="n">
        <v>0.6413145959354836</v>
      </c>
      <c r="T3421" s="16" t="n">
        <v>0.9126347186127872</v>
      </c>
      <c r="U3421" s="16" t="n">
        <v>0.8724727835154091</v>
      </c>
      <c r="V3421" s="16" t="n">
        <v>0.5672052280984698</v>
      </c>
      <c r="W3421" s="16" t="n">
        <v>0.751901039200882</v>
      </c>
      <c r="X3421" s="16" t="n">
        <v>0.5983227355697961</v>
      </c>
      <c r="Y3421" s="16" t="n">
        <v>289.3094011821885</v>
      </c>
      <c r="Z3421" s="16" t="n">
        <v>10.49253552261129</v>
      </c>
      <c r="AA3421" s="16" t="n">
        <v>35.67380608890015</v>
      </c>
      <c r="AB3421" s="16" t="n">
        <v>2368.43962508096</v>
      </c>
      <c r="AC3421" s="16" t="n">
        <v>4.750139684404001</v>
      </c>
      <c r="AD3421" s="16" t="inlineStr">
        <is>
          <t>O2</t>
        </is>
      </c>
      <c r="AE3421" s="16" t="n"/>
    </row>
    <row r="3422">
      <c r="A3422" s="16" t="inlineStr">
        <is>
          <t>KF-M09-R0-P_alta-0008</t>
        </is>
      </c>
      <c r="B3422" s="16" t="inlineStr">
        <is>
          <t>4.3</t>
        </is>
      </c>
      <c r="C3422" s="16" t="inlineStr">
        <is>
          <t>4.3 P_alta</t>
        </is>
      </c>
      <c r="D3422" s="16" t="inlineStr">
        <is>
          <t>ronda 0</t>
        </is>
      </c>
      <c r="E3422" s="16" t="inlineStr">
        <is>
          <t>KF-M09</t>
        </is>
      </c>
      <c r="F3422" s="16" t="inlineStr">
        <is>
          <t>KF-M09-R0-P_alta</t>
        </is>
      </c>
      <c r="G3422" s="16" t="inlineStr">
        <is>
          <t>B13-P_alta</t>
        </is>
      </c>
      <c r="H3422" s="16" t="inlineStr">
        <is>
          <t>lhs</t>
        </is>
      </c>
      <c r="I3422" s="16" t="inlineStr">
        <is>
          <t>CORREGIBLE</t>
        </is>
      </c>
      <c r="J3422" s="16" t="inlineStr">
        <is>
          <t>CORREGIBLE</t>
        </is>
      </c>
      <c r="K3422" s="16" t="b">
        <v>1</v>
      </c>
      <c r="L3422" s="16" t="b">
        <v>0</v>
      </c>
      <c r="M3422" s="16" t="b">
        <v>0</v>
      </c>
      <c r="N3422" s="16" t="b">
        <v>0</v>
      </c>
      <c r="O3422" s="16" t="n">
        <v>431.9802767025749</v>
      </c>
      <c r="P3422" s="16" t="n">
        <v>300.6973594111799</v>
      </c>
      <c r="Q3422" s="16" t="n">
        <v>3000</v>
      </c>
      <c r="R3422" s="16" t="n">
        <v>769.9077926686181</v>
      </c>
      <c r="S3422" s="16" t="n">
        <v>0.6519099290522201</v>
      </c>
      <c r="T3422" s="16" t="n">
        <v>0.9025661597471384</v>
      </c>
      <c r="U3422" s="16" t="n">
        <v>0.5271096722978336</v>
      </c>
      <c r="V3422" s="16" t="n">
        <v>0.6731562715301218</v>
      </c>
      <c r="W3422" s="16" t="n">
        <v>0.4750591596170072</v>
      </c>
      <c r="X3422" s="16" t="n">
        <v>0.8936829821762297</v>
      </c>
      <c r="Y3422" s="16" t="n">
        <v>300.6973594111799</v>
      </c>
      <c r="Z3422" s="16" t="n">
        <v>10.25072351379759</v>
      </c>
      <c r="AA3422" s="16" t="n">
        <v>86.46713297934942</v>
      </c>
      <c r="AB3422" s="16" t="n">
        <v>2230.092207331382</v>
      </c>
      <c r="AC3422" s="16" t="n">
        <v>3.896570509569128</v>
      </c>
      <c r="AD3422" s="16" t="inlineStr">
        <is>
          <t>O2</t>
        </is>
      </c>
      <c r="AE3422" s="16" t="n"/>
    </row>
    <row r="3423">
      <c r="A3423" s="16" t="inlineStr">
        <is>
          <t>KF-M09-R0-P_alta-0009</t>
        </is>
      </c>
      <c r="B3423" s="16" t="inlineStr">
        <is>
          <t>4.3</t>
        </is>
      </c>
      <c r="C3423" s="16" t="inlineStr">
        <is>
          <t>4.3 P_alta</t>
        </is>
      </c>
      <c r="D3423" s="16" t="inlineStr">
        <is>
          <t>ronda 0</t>
        </is>
      </c>
      <c r="E3423" s="16" t="inlineStr">
        <is>
          <t>KF-M09</t>
        </is>
      </c>
      <c r="F3423" s="16" t="inlineStr">
        <is>
          <t>KF-M09-R0-P_alta</t>
        </is>
      </c>
      <c r="G3423" s="16" t="inlineStr">
        <is>
          <t>B13-P_alta</t>
        </is>
      </c>
      <c r="H3423" s="16" t="inlineStr">
        <is>
          <t>lhs</t>
        </is>
      </c>
      <c r="I3423" s="16" t="inlineStr">
        <is>
          <t>INVIABLE</t>
        </is>
      </c>
      <c r="J3423" s="16" t="inlineStr">
        <is>
          <t>INVIABLE</t>
        </is>
      </c>
      <c r="K3423" s="16" t="b">
        <v>1</v>
      </c>
      <c r="L3423" s="16" t="b">
        <v>0</v>
      </c>
      <c r="M3423" s="16" t="b">
        <v>0</v>
      </c>
      <c r="N3423" s="16" t="b">
        <v>0</v>
      </c>
      <c r="O3423" s="16" t="n">
        <v>413.8931321085811</v>
      </c>
      <c r="P3423" s="16" t="n">
        <v>295.504271227699</v>
      </c>
      <c r="Q3423" s="16" t="n">
        <v>3000</v>
      </c>
      <c r="R3423" s="16" t="n">
        <v>699.4973435513092</v>
      </c>
      <c r="S3423" s="16" t="n">
        <v>0.5039388842056579</v>
      </c>
      <c r="T3423" s="16" t="n">
        <v>0.5422719579325143</v>
      </c>
      <c r="U3423" s="16" t="n">
        <v>0.4095019633671279</v>
      </c>
      <c r="V3423" s="16" t="n">
        <v>0.8052824859588872</v>
      </c>
      <c r="W3423" s="16" t="n">
        <v>0.7251679809082009</v>
      </c>
      <c r="X3423" s="16" t="n">
        <v>0.4582637716002531</v>
      </c>
      <c r="Y3423" s="16" t="n">
        <v>295.504271227699</v>
      </c>
      <c r="Z3423" s="16" t="n">
        <v>-7.48631126167467</v>
      </c>
      <c r="AA3423" s="16" t="n">
        <v>-22.88480545022702</v>
      </c>
      <c r="AB3423" s="16" t="n">
        <v>2300.502656448691</v>
      </c>
      <c r="AC3423" s="16" t="n">
        <v>4.288793985648561</v>
      </c>
      <c r="AD3423" s="16" t="inlineStr">
        <is>
          <t>O2,O3</t>
        </is>
      </c>
      <c r="AE3423" s="16" t="n"/>
    </row>
    <row r="3424">
      <c r="A3424" s="16" t="inlineStr">
        <is>
          <t>KF-M09-R0-P_alta-0010</t>
        </is>
      </c>
      <c r="B3424" s="16" t="inlineStr">
        <is>
          <t>4.3</t>
        </is>
      </c>
      <c r="C3424" s="16" t="inlineStr">
        <is>
          <t>4.3 P_alta</t>
        </is>
      </c>
      <c r="D3424" s="16" t="inlineStr">
        <is>
          <t>ronda 0</t>
        </is>
      </c>
      <c r="E3424" s="16" t="inlineStr">
        <is>
          <t>KF-M09</t>
        </is>
      </c>
      <c r="F3424" s="16" t="inlineStr">
        <is>
          <t>KF-M09-R0-P_alta</t>
        </is>
      </c>
      <c r="G3424" s="16" t="inlineStr">
        <is>
          <t>B13-P_alta</t>
        </is>
      </c>
      <c r="H3424" s="16" t="inlineStr">
        <is>
          <t>lhs</t>
        </is>
      </c>
      <c r="I3424" s="16" t="inlineStr">
        <is>
          <t>CORREGIBLE</t>
        </is>
      </c>
      <c r="J3424" s="16" t="inlineStr">
        <is>
          <t>CORREGIBLE</t>
        </is>
      </c>
      <c r="K3424" s="16" t="b">
        <v>1</v>
      </c>
      <c r="L3424" s="16" t="b">
        <v>0</v>
      </c>
      <c r="M3424" s="16" t="b">
        <v>1</v>
      </c>
      <c r="N3424" s="16" t="b">
        <v>0</v>
      </c>
      <c r="O3424" s="16" t="n">
        <v>449.8967310878599</v>
      </c>
      <c r="P3424" s="16" t="n">
        <v>299.2939081921139</v>
      </c>
      <c r="Q3424" s="16" t="n">
        <v>3000</v>
      </c>
      <c r="R3424" s="16" t="n">
        <v>853.8307349784558</v>
      </c>
      <c r="S3424" s="16" t="n">
        <v>0.724559972315113</v>
      </c>
      <c r="T3424" s="16" t="n">
        <v>0.793018475476521</v>
      </c>
      <c r="U3424" s="16" t="n">
        <v>0.9303988622161012</v>
      </c>
      <c r="V3424" s="16" t="n">
        <v>0.8806600837602385</v>
      </c>
      <c r="W3424" s="16" t="n">
        <v>0.7237709592464772</v>
      </c>
      <c r="X3424" s="16" t="n">
        <v>0.7974033322454375</v>
      </c>
      <c r="Y3424" s="16" t="n">
        <v>299.2939081921139</v>
      </c>
      <c r="Z3424" s="16" t="n">
        <v>9.06340254467451</v>
      </c>
      <c r="AA3424" s="16" t="n">
        <v>127.3349545337489</v>
      </c>
      <c r="AB3424" s="16" t="n">
        <v>2146.169265021544</v>
      </c>
      <c r="AC3424" s="16" t="n">
        <v>3.513576962154797</v>
      </c>
      <c r="AD3424" s="16" t="inlineStr">
        <is>
          <t>O2</t>
        </is>
      </c>
      <c r="AE3424" s="16" t="n"/>
    </row>
    <row r="3425">
      <c r="A3425" s="16" t="inlineStr">
        <is>
          <t>KF-M09-R0-P_alta-0011</t>
        </is>
      </c>
      <c r="B3425" s="16" t="inlineStr">
        <is>
          <t>4.3</t>
        </is>
      </c>
      <c r="C3425" s="16" t="inlineStr">
        <is>
          <t>4.3 P_alta</t>
        </is>
      </c>
      <c r="D3425" s="16" t="inlineStr">
        <is>
          <t>ronda 0</t>
        </is>
      </c>
      <c r="E3425" s="16" t="inlineStr">
        <is>
          <t>KF-M09</t>
        </is>
      </c>
      <c r="F3425" s="16" t="inlineStr">
        <is>
          <t>KF-M09-R0-P_alta</t>
        </is>
      </c>
      <c r="G3425" s="16" t="inlineStr">
        <is>
          <t>B13-P_alta</t>
        </is>
      </c>
      <c r="H3425" s="16" t="inlineStr">
        <is>
          <t>lhs</t>
        </is>
      </c>
      <c r="I3425" s="16" t="inlineStr">
        <is>
          <t>CORREGIBLE</t>
        </is>
      </c>
      <c r="J3425" s="16" t="inlineStr">
        <is>
          <t>CORREGIBLE</t>
        </is>
      </c>
      <c r="K3425" s="16" t="b">
        <v>1</v>
      </c>
      <c r="L3425" s="16" t="b">
        <v>0</v>
      </c>
      <c r="M3425" s="16" t="b">
        <v>1</v>
      </c>
      <c r="N3425" s="16" t="b">
        <v>0</v>
      </c>
      <c r="O3425" s="16" t="n">
        <v>506.2984890548546</v>
      </c>
      <c r="P3425" s="16" t="n">
        <v>290.6541415284175</v>
      </c>
      <c r="Q3425" s="16" t="n">
        <v>3000</v>
      </c>
      <c r="R3425" s="16" t="n">
        <v>331.6107644065266</v>
      </c>
      <c r="S3425" s="16" t="n">
        <v>0.6007770991591607</v>
      </c>
      <c r="T3425" s="16" t="n">
        <v>0.6795300285753074</v>
      </c>
      <c r="U3425" s="16" t="n">
        <v>0.8940046362875353</v>
      </c>
      <c r="V3425" s="16" t="n">
        <v>0.4099977291834547</v>
      </c>
      <c r="W3425" s="16" t="n">
        <v>0.5484321022598974</v>
      </c>
      <c r="X3425" s="16" t="n">
        <v>0.6736013903078595</v>
      </c>
      <c r="Y3425" s="16" t="n">
        <v>290.6541415284175</v>
      </c>
      <c r="Z3425" s="16" t="n">
        <v>7.382134133029459</v>
      </c>
      <c r="AA3425" s="16" t="n">
        <v>53.62870062013084</v>
      </c>
      <c r="AB3425" s="16" t="n">
        <v>2668.389235593474</v>
      </c>
      <c r="AC3425" s="16" t="n">
        <v>9.046750956257425</v>
      </c>
      <c r="AD3425" s="16" t="inlineStr">
        <is>
          <t>O2</t>
        </is>
      </c>
      <c r="AE3425" s="16" t="n"/>
    </row>
    <row r="3426">
      <c r="A3426" s="16" t="inlineStr">
        <is>
          <t>KF-M09-R0-P_alta-0012</t>
        </is>
      </c>
      <c r="B3426" s="16" t="inlineStr">
        <is>
          <t>4.3</t>
        </is>
      </c>
      <c r="C3426" s="16" t="inlineStr">
        <is>
          <t>4.3 P_alta</t>
        </is>
      </c>
      <c r="D3426" s="16" t="inlineStr">
        <is>
          <t>ronda 0</t>
        </is>
      </c>
      <c r="E3426" s="16" t="inlineStr">
        <is>
          <t>KF-M09</t>
        </is>
      </c>
      <c r="F3426" s="16" t="inlineStr">
        <is>
          <t>KF-M09-R0-P_alta</t>
        </is>
      </c>
      <c r="G3426" s="16" t="inlineStr">
        <is>
          <t>B13-P_alta</t>
        </is>
      </c>
      <c r="H3426" s="16" t="inlineStr">
        <is>
          <t>lhs</t>
        </is>
      </c>
      <c r="I3426" s="16" t="inlineStr">
        <is>
          <t>KALINA</t>
        </is>
      </c>
      <c r="J3426" s="16" t="inlineStr">
        <is>
          <t>KALINA</t>
        </is>
      </c>
      <c r="K3426" s="16" t="b">
        <v>1</v>
      </c>
      <c r="L3426" s="16" t="b">
        <v>1</v>
      </c>
      <c r="M3426" s="16" t="b">
        <v>0</v>
      </c>
      <c r="N3426" s="16" t="b">
        <v>0</v>
      </c>
      <c r="O3426" s="16" t="n">
        <v>412.2389483234746</v>
      </c>
      <c r="P3426" s="16" t="n">
        <v>284.2113999705664</v>
      </c>
      <c r="Q3426" s="16" t="n">
        <v>3000</v>
      </c>
      <c r="R3426" s="16" t="n">
        <v>1976.343340407803</v>
      </c>
      <c r="S3426" s="16" t="n">
        <v>0.5748100347599511</v>
      </c>
      <c r="T3426" s="16" t="n">
        <v>0.7473870865671594</v>
      </c>
      <c r="U3426" s="16" t="n">
        <v>0.7594246346354216</v>
      </c>
      <c r="V3426" s="16" t="n">
        <v>0.4195551204512485</v>
      </c>
      <c r="W3426" s="16" t="n">
        <v>0.7371825376738033</v>
      </c>
      <c r="X3426" s="16" t="n">
        <v>0.5561884227536902</v>
      </c>
      <c r="Y3426" s="16" t="n">
        <v>284.2113999705664</v>
      </c>
      <c r="Z3426" s="16" t="n">
        <v>2.1919191690348</v>
      </c>
      <c r="AA3426" s="16" t="n">
        <v>6.18548332851392</v>
      </c>
      <c r="AB3426" s="16" t="n">
        <v>1023.656659592197</v>
      </c>
      <c r="AC3426" s="16" t="n">
        <v>1.517954870827744</v>
      </c>
      <c r="AD3426" s="16" t="n"/>
      <c r="AE3426" s="16" t="n"/>
    </row>
    <row r="3427">
      <c r="A3427" s="16" t="inlineStr">
        <is>
          <t>KF-M09-R0-P_alta-0013</t>
        </is>
      </c>
      <c r="B3427" s="16" t="inlineStr">
        <is>
          <t>4.3</t>
        </is>
      </c>
      <c r="C3427" s="16" t="inlineStr">
        <is>
          <t>4.3 P_alta</t>
        </is>
      </c>
      <c r="D3427" s="16" t="inlineStr">
        <is>
          <t>ronda 0</t>
        </is>
      </c>
      <c r="E3427" s="16" t="inlineStr">
        <is>
          <t>KF-M09</t>
        </is>
      </c>
      <c r="F3427" s="16" t="inlineStr">
        <is>
          <t>KF-M09-R0-P_alta</t>
        </is>
      </c>
      <c r="G3427" s="16" t="inlineStr">
        <is>
          <t>B13-P_alta</t>
        </is>
      </c>
      <c r="H3427" s="16" t="inlineStr">
        <is>
          <t>lhs</t>
        </is>
      </c>
      <c r="I3427" s="16" t="inlineStr">
        <is>
          <t>CORREGIBLE</t>
        </is>
      </c>
      <c r="J3427" s="16" t="inlineStr">
        <is>
          <t>CORREGIBLE</t>
        </is>
      </c>
      <c r="K3427" s="16" t="b">
        <v>1</v>
      </c>
      <c r="L3427" s="16" t="b">
        <v>0</v>
      </c>
      <c r="M3427" s="16" t="b">
        <v>1</v>
      </c>
      <c r="N3427" s="16" t="b">
        <v>0</v>
      </c>
      <c r="O3427" s="16" t="n">
        <v>495.0876940462326</v>
      </c>
      <c r="P3427" s="16" t="n">
        <v>291.2506551353119</v>
      </c>
      <c r="Q3427" s="16" t="n">
        <v>3000</v>
      </c>
      <c r="R3427" s="16" t="n">
        <v>1717.216386859179</v>
      </c>
      <c r="S3427" s="16" t="n">
        <v>0.5729736819181173</v>
      </c>
      <c r="T3427" s="16" t="n">
        <v>0.858253177312571</v>
      </c>
      <c r="U3427" s="16" t="n">
        <v>0.8237882121481381</v>
      </c>
      <c r="V3427" s="16" t="n">
        <v>0.5861972452668129</v>
      </c>
      <c r="W3427" s="16" t="n">
        <v>0.7019791952800964</v>
      </c>
      <c r="X3427" s="16" t="n">
        <v>0.4773441718109179</v>
      </c>
      <c r="Y3427" s="16" t="n">
        <v>291.2506551353119</v>
      </c>
      <c r="Z3427" s="16" t="n">
        <v>3.22803076970573</v>
      </c>
      <c r="AA3427" s="16" t="n">
        <v>26.56974757888512</v>
      </c>
      <c r="AB3427" s="16" t="n">
        <v>1282.783613140821</v>
      </c>
      <c r="AC3427" s="16" t="n">
        <v>1.747013377555205</v>
      </c>
      <c r="AD3427" s="16" t="inlineStr">
        <is>
          <t>O2</t>
        </is>
      </c>
      <c r="AE3427" s="16" t="n"/>
    </row>
    <row r="3428">
      <c r="A3428" s="16" t="inlineStr">
        <is>
          <t>KF-M09-R0-P_alta-0014</t>
        </is>
      </c>
      <c r="B3428" s="16" t="inlineStr">
        <is>
          <t>4.3</t>
        </is>
      </c>
      <c r="C3428" s="16" t="inlineStr">
        <is>
          <t>4.3 P_alta</t>
        </is>
      </c>
      <c r="D3428" s="16" t="inlineStr">
        <is>
          <t>ronda 0</t>
        </is>
      </c>
      <c r="E3428" s="16" t="inlineStr">
        <is>
          <t>KF-M09</t>
        </is>
      </c>
      <c r="F3428" s="16" t="inlineStr">
        <is>
          <t>KF-M09-R0-P_alta</t>
        </is>
      </c>
      <c r="G3428" s="16" t="inlineStr">
        <is>
          <t>B13-P_alta</t>
        </is>
      </c>
      <c r="H3428" s="16" t="inlineStr">
        <is>
          <t>lhs</t>
        </is>
      </c>
      <c r="I3428" s="16" t="inlineStr">
        <is>
          <t>CORREGIBLE</t>
        </is>
      </c>
      <c r="J3428" s="16" t="inlineStr">
        <is>
          <t>CORREGIBLE</t>
        </is>
      </c>
      <c r="K3428" s="16" t="b">
        <v>1</v>
      </c>
      <c r="L3428" s="16" t="b">
        <v>0</v>
      </c>
      <c r="M3428" s="16" t="b">
        <v>0</v>
      </c>
      <c r="N3428" s="16" t="b">
        <v>0</v>
      </c>
      <c r="O3428" s="16" t="n">
        <v>451.0449886663092</v>
      </c>
      <c r="P3428" s="16" t="n">
        <v>283.3082358966559</v>
      </c>
      <c r="Q3428" s="16" t="n">
        <v>3000</v>
      </c>
      <c r="R3428" s="16" t="n">
        <v>350.2283670709343</v>
      </c>
      <c r="S3428" s="16" t="n">
        <v>0.5422812070858041</v>
      </c>
      <c r="T3428" s="16" t="n">
        <v>0.5846430737440802</v>
      </c>
      <c r="U3428" s="16" t="n">
        <v>0.6826498268247948</v>
      </c>
      <c r="V3428" s="16" t="n">
        <v>0.4766417968376671</v>
      </c>
      <c r="W3428" s="16" t="n">
        <v>0.531216017166159</v>
      </c>
      <c r="X3428" s="16" t="n">
        <v>0.7474000845025657</v>
      </c>
      <c r="Y3428" s="16" t="n">
        <v>283.3082358966559</v>
      </c>
      <c r="Z3428" s="16" t="n">
        <v>7.57215245252199</v>
      </c>
      <c r="AA3428" s="16" t="n">
        <v>49.34956089639773</v>
      </c>
      <c r="AB3428" s="16" t="n">
        <v>2649.771632929066</v>
      </c>
      <c r="AC3428" s="16" t="n">
        <v>8.565839555173406</v>
      </c>
      <c r="AD3428" s="16" t="inlineStr">
        <is>
          <t>O2</t>
        </is>
      </c>
      <c r="AE3428" s="16" t="n"/>
    </row>
    <row r="3429">
      <c r="A3429" s="16" t="inlineStr">
        <is>
          <t>KF-M09-R0-P_alta-0015</t>
        </is>
      </c>
      <c r="B3429" s="16" t="inlineStr">
        <is>
          <t>4.3</t>
        </is>
      </c>
      <c r="C3429" s="16" t="inlineStr">
        <is>
          <t>4.3 P_alta</t>
        </is>
      </c>
      <c r="D3429" s="16" t="inlineStr">
        <is>
          <t>ronda 0</t>
        </is>
      </c>
      <c r="E3429" s="16" t="inlineStr">
        <is>
          <t>KF-M09</t>
        </is>
      </c>
      <c r="F3429" s="16" t="inlineStr">
        <is>
          <t>KF-M09-R0-P_alta</t>
        </is>
      </c>
      <c r="G3429" s="16" t="inlineStr">
        <is>
          <t>B13-P_alta</t>
        </is>
      </c>
      <c r="H3429" s="16" t="inlineStr">
        <is>
          <t>lhs</t>
        </is>
      </c>
      <c r="I3429" s="16" t="inlineStr">
        <is>
          <t>INVIABLE</t>
        </is>
      </c>
      <c r="J3429" s="16" t="inlineStr">
        <is>
          <t>INVIABLE</t>
        </is>
      </c>
      <c r="K3429" s="16" t="b">
        <v>1</v>
      </c>
      <c r="L3429" s="16" t="b">
        <v>0</v>
      </c>
      <c r="M3429" s="16" t="b">
        <v>1</v>
      </c>
      <c r="N3429" s="16" t="b">
        <v>0</v>
      </c>
      <c r="O3429" s="16" t="n">
        <v>480.180863332904</v>
      </c>
      <c r="P3429" s="16" t="n">
        <v>287.4422848340988</v>
      </c>
      <c r="Q3429" s="16" t="n">
        <v>3000</v>
      </c>
      <c r="R3429" s="16" t="n">
        <v>886.3774235664346</v>
      </c>
      <c r="S3429" s="16" t="n">
        <v>0.5254042801461014</v>
      </c>
      <c r="T3429" s="16" t="n">
        <v>0.4297018628478422</v>
      </c>
      <c r="U3429" s="16" t="n">
        <v>0.440477749565864</v>
      </c>
      <c r="V3429" s="16" t="n">
        <v>0.7445344278199063</v>
      </c>
      <c r="W3429" s="16" t="n">
        <v>0.7073875048832476</v>
      </c>
      <c r="X3429" s="16" t="n">
        <v>0.50639103714906</v>
      </c>
      <c r="Y3429" s="16" t="n">
        <v>287.4422848340988</v>
      </c>
      <c r="Z3429" s="16" t="n">
        <v>-11.8022648785933</v>
      </c>
      <c r="AA3429" s="16" t="n">
        <v>-105.805453607</v>
      </c>
      <c r="AB3429" s="16" t="n">
        <v>2113.622576433565</v>
      </c>
      <c r="AC3429" s="16" t="n">
        <v>3.384562738442929</v>
      </c>
      <c r="AD3429" s="16" t="inlineStr">
        <is>
          <t>O2,O3</t>
        </is>
      </c>
      <c r="AE3429" s="16" t="n"/>
    </row>
    <row r="3430">
      <c r="A3430" s="16" t="inlineStr">
        <is>
          <t>KF-M09-R0-P_alta-0016</t>
        </is>
      </c>
      <c r="B3430" s="16" t="inlineStr">
        <is>
          <t>4.3</t>
        </is>
      </c>
      <c r="C3430" s="16" t="inlineStr">
        <is>
          <t>4.3 P_alta</t>
        </is>
      </c>
      <c r="D3430" s="16" t="inlineStr">
        <is>
          <t>ronda 0</t>
        </is>
      </c>
      <c r="E3430" s="16" t="inlineStr">
        <is>
          <t>KF-M09</t>
        </is>
      </c>
      <c r="F3430" s="16" t="inlineStr">
        <is>
          <t>KF-M09-R0-P_alta</t>
        </is>
      </c>
      <c r="G3430" s="16" t="inlineStr">
        <is>
          <t>B13-P_alta</t>
        </is>
      </c>
      <c r="H3430" s="16" t="inlineStr">
        <is>
          <t>lhs</t>
        </is>
      </c>
      <c r="I3430" s="16" t="inlineStr">
        <is>
          <t>CORREGIBLE</t>
        </is>
      </c>
      <c r="J3430" s="16" t="inlineStr">
        <is>
          <t>CORREGIBLE</t>
        </is>
      </c>
      <c r="K3430" s="16" t="b">
        <v>1</v>
      </c>
      <c r="L3430" s="16" t="b">
        <v>0</v>
      </c>
      <c r="M3430" s="16" t="b">
        <v>0</v>
      </c>
      <c r="N3430" s="16" t="b">
        <v>0</v>
      </c>
      <c r="O3430" s="16" t="n">
        <v>398.2713419069489</v>
      </c>
      <c r="P3430" s="16" t="n">
        <v>296.3403964029224</v>
      </c>
      <c r="Q3430" s="16" t="n">
        <v>3000</v>
      </c>
      <c r="R3430" s="16" t="n">
        <v>1047.416439501432</v>
      </c>
      <c r="S3430" s="16" t="n">
        <v>0.7062333971441798</v>
      </c>
      <c r="T3430" s="16" t="n">
        <v>0.8446750813953083</v>
      </c>
      <c r="U3430" s="16" t="n">
        <v>0.7550192025754233</v>
      </c>
      <c r="V3430" s="16" t="n">
        <v>0.5616673526997996</v>
      </c>
      <c r="W3430" s="16" t="n">
        <v>0.7985999486618205</v>
      </c>
      <c r="X3430" s="16" t="n">
        <v>0.6921114346549186</v>
      </c>
      <c r="Y3430" s="16" t="n">
        <v>296.3403964029224</v>
      </c>
      <c r="Z3430" s="16" t="n">
        <v>8.10360175258065</v>
      </c>
      <c r="AA3430" s="16" t="n">
        <v>35.16063048164013</v>
      </c>
      <c r="AB3430" s="16" t="n">
        <v>1952.583560498568</v>
      </c>
      <c r="AC3430" s="16" t="n">
        <v>2.864190294194726</v>
      </c>
      <c r="AD3430" s="16" t="inlineStr">
        <is>
          <t>O2</t>
        </is>
      </c>
      <c r="AE3430" s="16" t="n"/>
    </row>
    <row r="3431">
      <c r="A3431" s="16" t="inlineStr">
        <is>
          <t>KF-M09-R0-P_alta-0017</t>
        </is>
      </c>
      <c r="B3431" s="16" t="inlineStr">
        <is>
          <t>4.3</t>
        </is>
      </c>
      <c r="C3431" s="16" t="inlineStr">
        <is>
          <t>4.3 P_alta</t>
        </is>
      </c>
      <c r="D3431" s="16" t="inlineStr">
        <is>
          <t>ronda 0</t>
        </is>
      </c>
      <c r="E3431" s="16" t="inlineStr">
        <is>
          <t>KF-M09</t>
        </is>
      </c>
      <c r="F3431" s="16" t="inlineStr">
        <is>
          <t>KF-M09-R0-P_alta</t>
        </is>
      </c>
      <c r="G3431" s="16" t="inlineStr">
        <is>
          <t>B13-P_alta</t>
        </is>
      </c>
      <c r="H3431" s="16" t="inlineStr">
        <is>
          <t>lhs</t>
        </is>
      </c>
      <c r="I3431" s="16" t="inlineStr">
        <is>
          <t>NO_CONVERGIO</t>
        </is>
      </c>
      <c r="J3431" s="16" t="inlineStr">
        <is>
          <t>NO_CONVERGIO</t>
        </is>
      </c>
      <c r="K3431" s="16" t="b">
        <v>0</v>
      </c>
      <c r="L3431" s="16" t="b">
        <v>0</v>
      </c>
      <c r="M3431" s="16" t="b">
        <v>0</v>
      </c>
      <c r="N3431" s="16" t="b">
        <v>0</v>
      </c>
      <c r="O3431" s="16" t="n">
        <v>515.726553321927</v>
      </c>
      <c r="P3431" s="16" t="n">
        <v>300.7875711299088</v>
      </c>
      <c r="Q3431" s="16" t="n">
        <v>3000</v>
      </c>
      <c r="R3431" s="16" t="n">
        <v>681.5874873737557</v>
      </c>
      <c r="S3431" s="16" t="n">
        <v>0.8391518584192501</v>
      </c>
      <c r="T3431" s="16" t="n">
        <v>0.6425387214115336</v>
      </c>
      <c r="U3431" s="16" t="n">
        <v>0.7438543313614896</v>
      </c>
      <c r="V3431" s="16" t="n">
        <v>0.8968449665211031</v>
      </c>
      <c r="W3431" s="16" t="n">
        <v>0.4831581848181998</v>
      </c>
      <c r="X3431" s="16" t="n">
        <v>0.7213562680097613</v>
      </c>
      <c r="Y3431" s="16" t="n">
        <v>300.7875711299088</v>
      </c>
      <c r="Z3431" s="16" t="n"/>
      <c r="AA3431" s="16" t="n"/>
      <c r="AB3431" s="16" t="n">
        <v>2318.412512626244</v>
      </c>
      <c r="AC3431" s="16" t="n">
        <v>4.401489252039215</v>
      </c>
      <c r="AD3431" s="16" t="n"/>
      <c r="AE3431" s="16" t="n"/>
    </row>
    <row r="3432">
      <c r="A3432" s="16" t="inlineStr">
        <is>
          <t>KF-M09-R0-P_alta-0018</t>
        </is>
      </c>
      <c r="B3432" s="16" t="inlineStr">
        <is>
          <t>4.3</t>
        </is>
      </c>
      <c r="C3432" s="16" t="inlineStr">
        <is>
          <t>4.3 P_alta</t>
        </is>
      </c>
      <c r="D3432" s="16" t="inlineStr">
        <is>
          <t>ronda 0</t>
        </is>
      </c>
      <c r="E3432" s="16" t="inlineStr">
        <is>
          <t>KF-M09</t>
        </is>
      </c>
      <c r="F3432" s="16" t="inlineStr">
        <is>
          <t>KF-M09-R0-P_alta</t>
        </is>
      </c>
      <c r="G3432" s="16" t="inlineStr">
        <is>
          <t>B13-P_alta</t>
        </is>
      </c>
      <c r="H3432" s="16" t="inlineStr">
        <is>
          <t>lhs</t>
        </is>
      </c>
      <c r="I3432" s="16" t="inlineStr">
        <is>
          <t>NO_CONVERGIO</t>
        </is>
      </c>
      <c r="J3432" s="16" t="inlineStr">
        <is>
          <t>NO_CONVERGIO</t>
        </is>
      </c>
      <c r="K3432" s="16" t="b">
        <v>0</v>
      </c>
      <c r="L3432" s="16" t="b">
        <v>0</v>
      </c>
      <c r="M3432" s="16" t="b">
        <v>0</v>
      </c>
      <c r="N3432" s="16" t="b">
        <v>0</v>
      </c>
      <c r="O3432" s="16" t="n">
        <v>493.1604273591192</v>
      </c>
      <c r="P3432" s="16" t="n">
        <v>279.0838226093308</v>
      </c>
      <c r="Q3432" s="16" t="n">
        <v>3000</v>
      </c>
      <c r="R3432" s="16" t="n">
        <v>1317.225112636481</v>
      </c>
      <c r="S3432" s="16" t="n">
        <v>0.7905445089334795</v>
      </c>
      <c r="T3432" s="16" t="n">
        <v>0.7055464149812547</v>
      </c>
      <c r="U3432" s="16" t="n">
        <v>0.813353207920793</v>
      </c>
      <c r="V3432" s="16" t="n">
        <v>0.9384945229927902</v>
      </c>
      <c r="W3432" s="16" t="n">
        <v>0.8707030085563876</v>
      </c>
      <c r="X3432" s="16" t="n">
        <v>0.5469312328945435</v>
      </c>
      <c r="Y3432" s="16" t="n">
        <v>279.0838226093308</v>
      </c>
      <c r="Z3432" s="16" t="n"/>
      <c r="AA3432" s="16" t="n"/>
      <c r="AB3432" s="16" t="n">
        <v>1682.774887363519</v>
      </c>
      <c r="AC3432" s="16" t="n">
        <v>2.277515036131808</v>
      </c>
      <c r="AD3432" s="16" t="n"/>
      <c r="AE3432" s="16" t="n"/>
    </row>
    <row r="3433">
      <c r="A3433" s="16" t="inlineStr">
        <is>
          <t>KF-M09-R0-P_alta-0019</t>
        </is>
      </c>
      <c r="B3433" s="16" t="inlineStr">
        <is>
          <t>4.3</t>
        </is>
      </c>
      <c r="C3433" s="16" t="inlineStr">
        <is>
          <t>4.3 P_alta</t>
        </is>
      </c>
      <c r="D3433" s="16" t="inlineStr">
        <is>
          <t>ronda 0</t>
        </is>
      </c>
      <c r="E3433" s="16" t="inlineStr">
        <is>
          <t>KF-M09</t>
        </is>
      </c>
      <c r="F3433" s="16" t="inlineStr">
        <is>
          <t>KF-M09-R0-P_alta</t>
        </is>
      </c>
      <c r="G3433" s="16" t="inlineStr">
        <is>
          <t>B13-P_alta</t>
        </is>
      </c>
      <c r="H3433" s="16" t="inlineStr">
        <is>
          <t>lhs</t>
        </is>
      </c>
      <c r="I3433" s="16" t="inlineStr">
        <is>
          <t>CORREGIBLE</t>
        </is>
      </c>
      <c r="J3433" s="16" t="inlineStr">
        <is>
          <t>CORREGIBLE</t>
        </is>
      </c>
      <c r="K3433" s="16" t="b">
        <v>1</v>
      </c>
      <c r="L3433" s="16" t="b">
        <v>0</v>
      </c>
      <c r="M3433" s="16" t="b">
        <v>0</v>
      </c>
      <c r="N3433" s="16" t="b">
        <v>0</v>
      </c>
      <c r="O3433" s="16" t="n">
        <v>384.5694869936626</v>
      </c>
      <c r="P3433" s="16" t="n">
        <v>302.8243425135364</v>
      </c>
      <c r="Q3433" s="16" t="n">
        <v>3000</v>
      </c>
      <c r="R3433" s="16" t="n">
        <v>810.8164882192822</v>
      </c>
      <c r="S3433" s="16" t="n">
        <v>0.638625290503456</v>
      </c>
      <c r="T3433" s="16" t="n">
        <v>0.7416290458455874</v>
      </c>
      <c r="U3433" s="16" t="n">
        <v>0.9450134465791614</v>
      </c>
      <c r="V3433" s="16" t="n">
        <v>0.8195567235718716</v>
      </c>
      <c r="W3433" s="16" t="n">
        <v>0.7870262792370323</v>
      </c>
      <c r="X3433" s="16" t="n">
        <v>0.8992455464454304</v>
      </c>
      <c r="Y3433" s="16" t="n">
        <v>302.8243425135364</v>
      </c>
      <c r="Z3433" s="16" t="n">
        <v>7.80199203858648</v>
      </c>
      <c r="AA3433" s="16" t="n">
        <v>29.76440550730458</v>
      </c>
      <c r="AB3433" s="16" t="n">
        <v>2189.183511780718</v>
      </c>
      <c r="AC3433" s="16" t="n">
        <v>3.699974092274085</v>
      </c>
      <c r="AD3433" s="16" t="inlineStr">
        <is>
          <t>O2</t>
        </is>
      </c>
      <c r="AE3433" s="16" t="n"/>
    </row>
    <row r="3434">
      <c r="A3434" s="16" t="inlineStr">
        <is>
          <t>KF-M09-R0-P_alta-0020</t>
        </is>
      </c>
      <c r="B3434" s="16" t="inlineStr">
        <is>
          <t>4.3</t>
        </is>
      </c>
      <c r="C3434" s="16" t="inlineStr">
        <is>
          <t>4.3 P_alta</t>
        </is>
      </c>
      <c r="D3434" s="16" t="inlineStr">
        <is>
          <t>ronda 0</t>
        </is>
      </c>
      <c r="E3434" s="16" t="inlineStr">
        <is>
          <t>KF-M09</t>
        </is>
      </c>
      <c r="F3434" s="16" t="inlineStr">
        <is>
          <t>KF-M09-R0-P_alta</t>
        </is>
      </c>
      <c r="G3434" s="16" t="inlineStr">
        <is>
          <t>B13-P_alta</t>
        </is>
      </c>
      <c r="H3434" s="16" t="inlineStr">
        <is>
          <t>lhs</t>
        </is>
      </c>
      <c r="I3434" s="16" t="inlineStr">
        <is>
          <t>CORREGIBLE</t>
        </is>
      </c>
      <c r="J3434" s="16" t="inlineStr">
        <is>
          <t>CORREGIBLE</t>
        </is>
      </c>
      <c r="K3434" s="16" t="b">
        <v>1</v>
      </c>
      <c r="L3434" s="16" t="b">
        <v>0</v>
      </c>
      <c r="M3434" s="16" t="b">
        <v>1</v>
      </c>
      <c r="N3434" s="16" t="b">
        <v>0</v>
      </c>
      <c r="O3434" s="16" t="n">
        <v>476.9358411541235</v>
      </c>
      <c r="P3434" s="16" t="n">
        <v>285.591501037468</v>
      </c>
      <c r="Q3434" s="16" t="n">
        <v>3000</v>
      </c>
      <c r="R3434" s="16" t="n">
        <v>1512.759760634953</v>
      </c>
      <c r="S3434" s="16" t="n">
        <v>0.73132743337443</v>
      </c>
      <c r="T3434" s="16" t="n">
        <v>0.5095780582349959</v>
      </c>
      <c r="U3434" s="16" t="n">
        <v>0.7768243769291108</v>
      </c>
      <c r="V3434" s="16" t="n">
        <v>0.8609490943398777</v>
      </c>
      <c r="W3434" s="16" t="n">
        <v>0.4430456081969371</v>
      </c>
      <c r="X3434" s="16" t="n">
        <v>0.6764501800579736</v>
      </c>
      <c r="Y3434" s="16" t="n">
        <v>285.591501037468</v>
      </c>
      <c r="Z3434" s="16" t="n">
        <v>1.74304826077079</v>
      </c>
      <c r="AA3434" s="16" t="n">
        <v>22.04492421362641</v>
      </c>
      <c r="AB3434" s="16" t="n">
        <v>1487.240239365047</v>
      </c>
      <c r="AC3434" s="16" t="n">
        <v>1.983130486456624</v>
      </c>
      <c r="AD3434" s="16" t="inlineStr">
        <is>
          <t>O2</t>
        </is>
      </c>
      <c r="AE3434" s="16" t="n"/>
    </row>
    <row r="3435">
      <c r="A3435" s="16" t="inlineStr">
        <is>
          <t>KF-M09-R0-P_alta-0021</t>
        </is>
      </c>
      <c r="B3435" s="16" t="inlineStr">
        <is>
          <t>4.3</t>
        </is>
      </c>
      <c r="C3435" s="16" t="inlineStr">
        <is>
          <t>4.3 P_alta</t>
        </is>
      </c>
      <c r="D3435" s="16" t="inlineStr">
        <is>
          <t>ronda 0</t>
        </is>
      </c>
      <c r="E3435" s="16" t="inlineStr">
        <is>
          <t>KF-M09</t>
        </is>
      </c>
      <c r="F3435" s="16" t="inlineStr">
        <is>
          <t>KF-M09-R0-P_alta</t>
        </is>
      </c>
      <c r="G3435" s="16" t="inlineStr">
        <is>
          <t>B13-P_alta</t>
        </is>
      </c>
      <c r="H3435" s="16" t="inlineStr">
        <is>
          <t>lhs</t>
        </is>
      </c>
      <c r="I3435" s="16" t="inlineStr">
        <is>
          <t>CORREGIBLE</t>
        </is>
      </c>
      <c r="J3435" s="16" t="inlineStr">
        <is>
          <t>CORREGIBLE</t>
        </is>
      </c>
      <c r="K3435" s="16" t="b">
        <v>1</v>
      </c>
      <c r="L3435" s="16" t="b">
        <v>0</v>
      </c>
      <c r="M3435" s="16" t="b">
        <v>0</v>
      </c>
      <c r="N3435" s="16" t="b">
        <v>0</v>
      </c>
      <c r="O3435" s="16" t="n">
        <v>434.3082040064433</v>
      </c>
      <c r="P3435" s="16" t="n">
        <v>279.4657666050517</v>
      </c>
      <c r="Q3435" s="16" t="n">
        <v>3000</v>
      </c>
      <c r="R3435" s="16" t="n">
        <v>619.3500639882202</v>
      </c>
      <c r="S3435" s="16" t="n">
        <v>0.8211039951413839</v>
      </c>
      <c r="T3435" s="16" t="n">
        <v>0.9417115966354846</v>
      </c>
      <c r="U3435" s="16" t="n">
        <v>0.6627987600452931</v>
      </c>
      <c r="V3435" s="16" t="n">
        <v>0.6544558292040189</v>
      </c>
      <c r="W3435" s="16" t="n">
        <v>0.8230016092459956</v>
      </c>
      <c r="X3435" s="16" t="n">
        <v>0.4850046024532015</v>
      </c>
      <c r="Y3435" s="16" t="n">
        <v>279.4657666050517</v>
      </c>
      <c r="Z3435" s="16" t="n">
        <v>8.05756327909581</v>
      </c>
      <c r="AA3435" s="16" t="n">
        <v>54.42787793578589</v>
      </c>
      <c r="AB3435" s="16" t="n">
        <v>2380.64993601178</v>
      </c>
      <c r="AC3435" s="16" t="n">
        <v>4.843787341656041</v>
      </c>
      <c r="AD3435" s="16" t="inlineStr">
        <is>
          <t>O2</t>
        </is>
      </c>
      <c r="AE3435" s="16" t="n"/>
    </row>
    <row r="3436">
      <c r="A3436" s="16" t="inlineStr">
        <is>
          <t>KF-M09-R0-P_alta-0022</t>
        </is>
      </c>
      <c r="B3436" s="16" t="inlineStr">
        <is>
          <t>4.3</t>
        </is>
      </c>
      <c r="C3436" s="16" t="inlineStr">
        <is>
          <t>4.3 P_alta</t>
        </is>
      </c>
      <c r="D3436" s="16" t="inlineStr">
        <is>
          <t>ronda 0</t>
        </is>
      </c>
      <c r="E3436" s="16" t="inlineStr">
        <is>
          <t>KF-M09</t>
        </is>
      </c>
      <c r="F3436" s="16" t="inlineStr">
        <is>
          <t>KF-M09-R0-P_alta</t>
        </is>
      </c>
      <c r="G3436" s="16" t="inlineStr">
        <is>
          <t>B13-P_alta</t>
        </is>
      </c>
      <c r="H3436" s="16" t="inlineStr">
        <is>
          <t>lhs</t>
        </is>
      </c>
      <c r="I3436" s="16" t="inlineStr">
        <is>
          <t>CORREGIBLE</t>
        </is>
      </c>
      <c r="J3436" s="16" t="inlineStr">
        <is>
          <t>CORREGIBLE</t>
        </is>
      </c>
      <c r="K3436" s="16" t="b">
        <v>1</v>
      </c>
      <c r="L3436" s="16" t="b">
        <v>0</v>
      </c>
      <c r="M3436" s="16" t="b">
        <v>1</v>
      </c>
      <c r="N3436" s="16" t="b">
        <v>0</v>
      </c>
      <c r="O3436" s="16" t="n">
        <v>464.6806915493977</v>
      </c>
      <c r="P3436" s="16" t="n">
        <v>287.6759711810224</v>
      </c>
      <c r="Q3436" s="16" t="n">
        <v>3000</v>
      </c>
      <c r="R3436" s="16" t="n">
        <v>443.073679680217</v>
      </c>
      <c r="S3436" s="16" t="n">
        <v>0.7859391753096819</v>
      </c>
      <c r="T3436" s="16" t="n">
        <v>0.8531730318565629</v>
      </c>
      <c r="U3436" s="16" t="n">
        <v>0.8777685084717769</v>
      </c>
      <c r="V3436" s="16" t="n">
        <v>0.7144158276203394</v>
      </c>
      <c r="W3436" s="16" t="n">
        <v>0.4969464515920923</v>
      </c>
      <c r="X3436" s="16" t="n">
        <v>0.6379516910201639</v>
      </c>
      <c r="Y3436" s="16" t="n">
        <v>287.6759711810224</v>
      </c>
      <c r="Z3436" s="16" t="n">
        <v>9.040890603307361</v>
      </c>
      <c r="AA3436" s="16" t="n">
        <v>64.34442297185134</v>
      </c>
      <c r="AB3436" s="16" t="n">
        <v>2556.926320319783</v>
      </c>
      <c r="AC3436" s="16" t="n">
        <v>6.770882897321306</v>
      </c>
      <c r="AD3436" s="16" t="inlineStr">
        <is>
          <t>O2</t>
        </is>
      </c>
      <c r="AE3436" s="16" t="n"/>
    </row>
    <row r="3437">
      <c r="A3437" s="16" t="inlineStr">
        <is>
          <t>KF-M09-R0-P_alta-0023</t>
        </is>
      </c>
      <c r="B3437" s="16" t="inlineStr">
        <is>
          <t>4.3</t>
        </is>
      </c>
      <c r="C3437" s="16" t="inlineStr">
        <is>
          <t>4.3 P_alta</t>
        </is>
      </c>
      <c r="D3437" s="16" t="inlineStr">
        <is>
          <t>ronda 0</t>
        </is>
      </c>
      <c r="E3437" s="16" t="inlineStr">
        <is>
          <t>KF-M09</t>
        </is>
      </c>
      <c r="F3437" s="16" t="inlineStr">
        <is>
          <t>KF-M09-R0-P_alta</t>
        </is>
      </c>
      <c r="G3437" s="16" t="inlineStr">
        <is>
          <t>B13-P_alta</t>
        </is>
      </c>
      <c r="H3437" s="16" t="inlineStr">
        <is>
          <t>lhs</t>
        </is>
      </c>
      <c r="I3437" s="16" t="inlineStr">
        <is>
          <t>NO_CONVERGIO</t>
        </is>
      </c>
      <c r="J3437" s="16" t="inlineStr">
        <is>
          <t>NO_CONVERGIO</t>
        </is>
      </c>
      <c r="K3437" s="16" t="b">
        <v>0</v>
      </c>
      <c r="L3437" s="16" t="b">
        <v>0</v>
      </c>
      <c r="M3437" s="16" t="b">
        <v>0</v>
      </c>
      <c r="N3437" s="16" t="b">
        <v>0</v>
      </c>
      <c r="O3437" s="16" t="n">
        <v>494.5341573890886</v>
      </c>
      <c r="P3437" s="16" t="n">
        <v>279.8579488945581</v>
      </c>
      <c r="Q3437" s="16" t="n">
        <v>3000</v>
      </c>
      <c r="R3437" s="16" t="n">
        <v>1400.349394132309</v>
      </c>
      <c r="S3437" s="16" t="n">
        <v>0.7003981162530311</v>
      </c>
      <c r="T3437" s="16" t="n">
        <v>0.5797508342004413</v>
      </c>
      <c r="U3437" s="16" t="n">
        <v>0.5978801164565268</v>
      </c>
      <c r="V3437" s="16" t="n">
        <v>0.9277035119872088</v>
      </c>
      <c r="W3437" s="16" t="n">
        <v>0.9122006916682238</v>
      </c>
      <c r="X3437" s="16" t="n">
        <v>0.523597233369315</v>
      </c>
      <c r="Y3437" s="16" t="n">
        <v>279.8579488945581</v>
      </c>
      <c r="Z3437" s="16" t="n"/>
      <c r="AA3437" s="16" t="n"/>
      <c r="AB3437" s="16" t="n">
        <v>1599.650605867691</v>
      </c>
      <c r="AC3437" s="16" t="n">
        <v>2.142322489351933</v>
      </c>
      <c r="AD3437" s="16" t="n"/>
      <c r="AE3437" s="16" t="n"/>
    </row>
    <row r="3438">
      <c r="A3438" s="16" t="inlineStr">
        <is>
          <t>KF-M09-R0-P_alta-0024</t>
        </is>
      </c>
      <c r="B3438" s="16" t="inlineStr">
        <is>
          <t>4.3</t>
        </is>
      </c>
      <c r="C3438" s="16" t="inlineStr">
        <is>
          <t>4.3 P_alta</t>
        </is>
      </c>
      <c r="D3438" s="16" t="inlineStr">
        <is>
          <t>ronda 0</t>
        </is>
      </c>
      <c r="E3438" s="16" t="inlineStr">
        <is>
          <t>KF-M09</t>
        </is>
      </c>
      <c r="F3438" s="16" t="inlineStr">
        <is>
          <t>KF-M09-R0-P_alta</t>
        </is>
      </c>
      <c r="G3438" s="16" t="inlineStr">
        <is>
          <t>B13-P_alta</t>
        </is>
      </c>
      <c r="H3438" s="16" t="inlineStr">
        <is>
          <t>lhs</t>
        </is>
      </c>
      <c r="I3438" s="16" t="inlineStr">
        <is>
          <t>INVIABLE</t>
        </is>
      </c>
      <c r="J3438" s="16" t="inlineStr">
        <is>
          <t>INVIABLE</t>
        </is>
      </c>
      <c r="K3438" s="16" t="b">
        <v>1</v>
      </c>
      <c r="L3438" s="16" t="b">
        <v>0</v>
      </c>
      <c r="M3438" s="16" t="b">
        <v>0</v>
      </c>
      <c r="N3438" s="16" t="b">
        <v>0</v>
      </c>
      <c r="O3438" s="16" t="n">
        <v>387.5211747323866</v>
      </c>
      <c r="P3438" s="16" t="n">
        <v>303.2449399335306</v>
      </c>
      <c r="Q3438" s="16" t="n">
        <v>3000</v>
      </c>
      <c r="R3438" s="16" t="n">
        <v>653.7102002905563</v>
      </c>
      <c r="S3438" s="16" t="n">
        <v>0.670712935498883</v>
      </c>
      <c r="T3438" s="16" t="n">
        <v>0.4339911704123265</v>
      </c>
      <c r="U3438" s="16" t="n">
        <v>0.5454731698496086</v>
      </c>
      <c r="V3438" s="16" t="n">
        <v>0.949495443240392</v>
      </c>
      <c r="W3438" s="16" t="n">
        <v>0.5104626462571941</v>
      </c>
      <c r="X3438" s="16" t="n">
        <v>0.5127969900307623</v>
      </c>
      <c r="Y3438" s="16" t="n">
        <v>303.2449399335306</v>
      </c>
      <c r="Z3438" s="16" t="n">
        <v>-25.01004227429445</v>
      </c>
      <c r="AA3438" s="16" t="n">
        <v>-64.03368959370975</v>
      </c>
      <c r="AB3438" s="16" t="n">
        <v>2346.289799709444</v>
      </c>
      <c r="AC3438" s="16" t="n">
        <v>4.58918951955558</v>
      </c>
      <c r="AD3438" s="16" t="inlineStr">
        <is>
          <t>O2,O3</t>
        </is>
      </c>
      <c r="AE3438" s="16" t="n"/>
    </row>
    <row r="3439">
      <c r="A3439" s="16" t="inlineStr">
        <is>
          <t>KF-M09-R0-P_alta-0025</t>
        </is>
      </c>
      <c r="B3439" s="16" t="inlineStr">
        <is>
          <t>4.3</t>
        </is>
      </c>
      <c r="C3439" s="16" t="inlineStr">
        <is>
          <t>4.3 P_alta</t>
        </is>
      </c>
      <c r="D3439" s="16" t="inlineStr">
        <is>
          <t>ronda 0</t>
        </is>
      </c>
      <c r="E3439" s="16" t="inlineStr">
        <is>
          <t>KF-M09</t>
        </is>
      </c>
      <c r="F3439" s="16" t="inlineStr">
        <is>
          <t>KF-M09-R0-P_alta</t>
        </is>
      </c>
      <c r="G3439" s="16" t="inlineStr">
        <is>
          <t>B13-P_alta</t>
        </is>
      </c>
      <c r="H3439" s="16" t="inlineStr">
        <is>
          <t>lhs</t>
        </is>
      </c>
      <c r="I3439" s="16" t="inlineStr">
        <is>
          <t>CORREGIBLE</t>
        </is>
      </c>
      <c r="J3439" s="16" t="inlineStr">
        <is>
          <t>CORREGIBLE</t>
        </is>
      </c>
      <c r="K3439" s="16" t="b">
        <v>1</v>
      </c>
      <c r="L3439" s="16" t="b">
        <v>0</v>
      </c>
      <c r="M3439" s="16" t="b">
        <v>1</v>
      </c>
      <c r="N3439" s="16" t="b">
        <v>0</v>
      </c>
      <c r="O3439" s="16" t="n">
        <v>444.3710020810133</v>
      </c>
      <c r="P3439" s="16" t="n">
        <v>296.5748811520344</v>
      </c>
      <c r="Q3439" s="16" t="n">
        <v>3000</v>
      </c>
      <c r="R3439" s="16" t="n">
        <v>665.7204132508791</v>
      </c>
      <c r="S3439" s="16" t="n">
        <v>0.5942763729895406</v>
      </c>
      <c r="T3439" s="16" t="n">
        <v>0.835385540586651</v>
      </c>
      <c r="U3439" s="16" t="n">
        <v>0.8407075402365705</v>
      </c>
      <c r="V3439" s="16" t="n">
        <v>0.6972097069154359</v>
      </c>
      <c r="W3439" s="16" t="n">
        <v>0.716251854870488</v>
      </c>
      <c r="X3439" s="16" t="n">
        <v>0.7525269731405191</v>
      </c>
      <c r="Y3439" s="16" t="n">
        <v>296.5748811520344</v>
      </c>
      <c r="Z3439" s="16" t="n">
        <v>10.78728811658905</v>
      </c>
      <c r="AA3439" s="16" t="n">
        <v>92.3616916673178</v>
      </c>
      <c r="AB3439" s="16" t="n">
        <v>2334.279586749121</v>
      </c>
      <c r="AC3439" s="16" t="n">
        <v>4.506396289322495</v>
      </c>
      <c r="AD3439" s="16" t="inlineStr">
        <is>
          <t>O2</t>
        </is>
      </c>
      <c r="AE3439" s="16" t="n"/>
    </row>
    <row r="3440">
      <c r="A3440" s="16" t="inlineStr">
        <is>
          <t>KF-M09-R0-P_alta-0026</t>
        </is>
      </c>
      <c r="B3440" s="16" t="inlineStr">
        <is>
          <t>4.3</t>
        </is>
      </c>
      <c r="C3440" s="16" t="inlineStr">
        <is>
          <t>4.3 P_alta</t>
        </is>
      </c>
      <c r="D3440" s="16" t="inlineStr">
        <is>
          <t>ronda 0</t>
        </is>
      </c>
      <c r="E3440" s="16" t="inlineStr">
        <is>
          <t>KF-M09</t>
        </is>
      </c>
      <c r="F3440" s="16" t="inlineStr">
        <is>
          <t>KF-M09-R0-P_alta</t>
        </is>
      </c>
      <c r="G3440" s="16" t="inlineStr">
        <is>
          <t>B13-P_alta</t>
        </is>
      </c>
      <c r="H3440" s="16" t="inlineStr">
        <is>
          <t>lhs</t>
        </is>
      </c>
      <c r="I3440" s="16" t="inlineStr">
        <is>
          <t>CORREGIBLE</t>
        </is>
      </c>
      <c r="J3440" s="16" t="inlineStr">
        <is>
          <t>CORREGIBLE</t>
        </is>
      </c>
      <c r="K3440" s="16" t="b">
        <v>1</v>
      </c>
      <c r="L3440" s="16" t="b">
        <v>0</v>
      </c>
      <c r="M3440" s="16" t="b">
        <v>1</v>
      </c>
      <c r="N3440" s="16" t="b">
        <v>0</v>
      </c>
      <c r="O3440" s="16" t="n">
        <v>501.6888168865265</v>
      </c>
      <c r="P3440" s="16" t="n">
        <v>299.9264483861398</v>
      </c>
      <c r="Q3440" s="16" t="n">
        <v>3000</v>
      </c>
      <c r="R3440" s="16" t="n">
        <v>1370.303242442703</v>
      </c>
      <c r="S3440" s="16" t="n">
        <v>0.5004175207131287</v>
      </c>
      <c r="T3440" s="16" t="n">
        <v>0.7559852035450878</v>
      </c>
      <c r="U3440" s="16" t="n">
        <v>0.5158662770533189</v>
      </c>
      <c r="V3440" s="16" t="n">
        <v>0.8470998594513283</v>
      </c>
      <c r="W3440" s="16" t="n">
        <v>0.5728702227467484</v>
      </c>
      <c r="X3440" s="16" t="n">
        <v>0.7286942445069289</v>
      </c>
      <c r="Y3440" s="16" t="n">
        <v>299.9264483861398</v>
      </c>
      <c r="Z3440" s="16" t="n">
        <v>3.98452819813219</v>
      </c>
      <c r="AA3440" s="16" t="n">
        <v>61.13516275913354</v>
      </c>
      <c r="AB3440" s="16" t="n">
        <v>1629.696757557297</v>
      </c>
      <c r="AC3440" s="16" t="n">
        <v>2.189296432410245</v>
      </c>
      <c r="AD3440" s="16" t="inlineStr">
        <is>
          <t>O2</t>
        </is>
      </c>
      <c r="AE3440" s="16" t="n"/>
    </row>
    <row r="3441">
      <c r="A3441" s="16" t="inlineStr">
        <is>
          <t>KF-M09-R0-P_alta-0027</t>
        </is>
      </c>
      <c r="B3441" s="16" t="inlineStr">
        <is>
          <t>4.3</t>
        </is>
      </c>
      <c r="C3441" s="16" t="inlineStr">
        <is>
          <t>4.3 P_alta</t>
        </is>
      </c>
      <c r="D3441" s="16" t="inlineStr">
        <is>
          <t>ronda 0</t>
        </is>
      </c>
      <c r="E3441" s="16" t="inlineStr">
        <is>
          <t>KF-M09</t>
        </is>
      </c>
      <c r="F3441" s="16" t="inlineStr">
        <is>
          <t>KF-M09-R0-P_alta</t>
        </is>
      </c>
      <c r="G3441" s="16" t="inlineStr">
        <is>
          <t>B13-P_alta</t>
        </is>
      </c>
      <c r="H3441" s="16" t="inlineStr">
        <is>
          <t>lhs</t>
        </is>
      </c>
      <c r="I3441" s="16" t="inlineStr">
        <is>
          <t>CORREGIBLE</t>
        </is>
      </c>
      <c r="J3441" s="16" t="inlineStr">
        <is>
          <t>CORREGIBLE</t>
        </is>
      </c>
      <c r="K3441" s="16" t="b">
        <v>1</v>
      </c>
      <c r="L3441" s="16" t="b">
        <v>0</v>
      </c>
      <c r="M3441" s="16" t="b">
        <v>1</v>
      </c>
      <c r="N3441" s="16" t="b">
        <v>0</v>
      </c>
      <c r="O3441" s="16" t="n">
        <v>489.8000775090104</v>
      </c>
      <c r="P3441" s="16" t="n">
        <v>287.9442976298023</v>
      </c>
      <c r="Q3441" s="16" t="n">
        <v>3000</v>
      </c>
      <c r="R3441" s="16" t="n">
        <v>1352.397765336264</v>
      </c>
      <c r="S3441" s="16" t="n">
        <v>0.6753288247334339</v>
      </c>
      <c r="T3441" s="16" t="n">
        <v>0.7296041953056753</v>
      </c>
      <c r="U3441" s="16" t="n">
        <v>0.8798437877806347</v>
      </c>
      <c r="V3441" s="16" t="n">
        <v>0.9193789405743368</v>
      </c>
      <c r="W3441" s="16" t="n">
        <v>0.4513357887937966</v>
      </c>
      <c r="X3441" s="16" t="n">
        <v>0.6260791856027286</v>
      </c>
      <c r="Y3441" s="16" t="n">
        <v>287.9442976298023</v>
      </c>
      <c r="Z3441" s="16" t="n">
        <v>4.16685470655212</v>
      </c>
      <c r="AA3441" s="16" t="n">
        <v>54.38912742854308</v>
      </c>
      <c r="AB3441" s="16" t="n">
        <v>1647.602234663736</v>
      </c>
      <c r="AC3441" s="16" t="n">
        <v>2.218282281214856</v>
      </c>
      <c r="AD3441" s="16" t="inlineStr">
        <is>
          <t>O2</t>
        </is>
      </c>
      <c r="AE3441" s="16" t="n"/>
    </row>
    <row r="3442">
      <c r="A3442" s="16" t="inlineStr">
        <is>
          <t>KF-M09-R0-P_alta-0028</t>
        </is>
      </c>
      <c r="B3442" s="16" t="inlineStr">
        <is>
          <t>4.3</t>
        </is>
      </c>
      <c r="C3442" s="16" t="inlineStr">
        <is>
          <t>4.3 P_alta</t>
        </is>
      </c>
      <c r="D3442" s="16" t="inlineStr">
        <is>
          <t>ronda 0</t>
        </is>
      </c>
      <c r="E3442" s="16" t="inlineStr">
        <is>
          <t>KF-M09</t>
        </is>
      </c>
      <c r="F3442" s="16" t="inlineStr">
        <is>
          <t>KF-M09-R0-P_alta</t>
        </is>
      </c>
      <c r="G3442" s="16" t="inlineStr">
        <is>
          <t>B13-P_alta</t>
        </is>
      </c>
      <c r="H3442" s="16" t="inlineStr">
        <is>
          <t>lhs</t>
        </is>
      </c>
      <c r="I3442" s="16" t="inlineStr">
        <is>
          <t>CORREGIBLE</t>
        </is>
      </c>
      <c r="J3442" s="16" t="inlineStr">
        <is>
          <t>CORREGIBLE</t>
        </is>
      </c>
      <c r="K3442" s="16" t="b">
        <v>1</v>
      </c>
      <c r="L3442" s="16" t="b">
        <v>0</v>
      </c>
      <c r="M3442" s="16" t="b">
        <v>0</v>
      </c>
      <c r="N3442" s="16" t="b">
        <v>0</v>
      </c>
      <c r="O3442" s="16" t="n">
        <v>395.3925722401434</v>
      </c>
      <c r="P3442" s="16" t="n">
        <v>278.180008467975</v>
      </c>
      <c r="Q3442" s="16" t="n">
        <v>3000</v>
      </c>
      <c r="R3442" s="16" t="n">
        <v>1668.368806595899</v>
      </c>
      <c r="S3442" s="16" t="n">
        <v>0.7975882021382479</v>
      </c>
      <c r="T3442" s="16" t="n">
        <v>0.4522113012630736</v>
      </c>
      <c r="U3442" s="16" t="n">
        <v>0.7984855566001658</v>
      </c>
      <c r="V3442" s="16" t="n">
        <v>0.5495406311242292</v>
      </c>
      <c r="W3442" s="16" t="n">
        <v>0.5193302495214227</v>
      </c>
      <c r="X3442" s="16" t="n">
        <v>0.6611093666780334</v>
      </c>
      <c r="Y3442" s="16" t="n">
        <v>278.180008467975</v>
      </c>
      <c r="Z3442" s="16" t="n">
        <v>2.43519128526109</v>
      </c>
      <c r="AA3442" s="16" t="n">
        <v>12.8954734003087</v>
      </c>
      <c r="AB3442" s="16" t="n">
        <v>1331.631193404101</v>
      </c>
      <c r="AC3442" s="16" t="n">
        <v>1.798163564398648</v>
      </c>
      <c r="AD3442" s="16" t="inlineStr">
        <is>
          <t>O2</t>
        </is>
      </c>
      <c r="AE3442" s="16" t="n"/>
    </row>
    <row r="3443">
      <c r="A3443" s="16" t="inlineStr">
        <is>
          <t>KF-M09-R0-P_alta-0029</t>
        </is>
      </c>
      <c r="B3443" s="16" t="inlineStr">
        <is>
          <t>4.3</t>
        </is>
      </c>
      <c r="C3443" s="16" t="inlineStr">
        <is>
          <t>4.3 P_alta</t>
        </is>
      </c>
      <c r="D3443" s="16" t="inlineStr">
        <is>
          <t>ronda 0</t>
        </is>
      </c>
      <c r="E3443" s="16" t="inlineStr">
        <is>
          <t>KF-M09</t>
        </is>
      </c>
      <c r="F3443" s="16" t="inlineStr">
        <is>
          <t>KF-M09-R0-P_alta</t>
        </is>
      </c>
      <c r="G3443" s="16" t="inlineStr">
        <is>
          <t>B13-P_alta</t>
        </is>
      </c>
      <c r="H3443" s="16" t="inlineStr">
        <is>
          <t>lhs</t>
        </is>
      </c>
      <c r="I3443" s="16" t="inlineStr">
        <is>
          <t>KALINA</t>
        </is>
      </c>
      <c r="J3443" s="16" t="inlineStr">
        <is>
          <t>KALINA</t>
        </is>
      </c>
      <c r="K3443" s="16" t="b">
        <v>1</v>
      </c>
      <c r="L3443" s="16" t="b">
        <v>1</v>
      </c>
      <c r="M3443" s="16" t="b">
        <v>0</v>
      </c>
      <c r="N3443" s="16" t="b">
        <v>0</v>
      </c>
      <c r="O3443" s="16" t="n">
        <v>403.3580219508895</v>
      </c>
      <c r="P3443" s="16" t="n">
        <v>288.10845964486</v>
      </c>
      <c r="Q3443" s="16" t="n">
        <v>3000</v>
      </c>
      <c r="R3443" s="16" t="n">
        <v>1125.352586481744</v>
      </c>
      <c r="S3443" s="16" t="n">
        <v>0.5386004320212608</v>
      </c>
      <c r="T3443" s="16" t="n">
        <v>0.5952744481605291</v>
      </c>
      <c r="U3443" s="16" t="n">
        <v>0.4506909329239785</v>
      </c>
      <c r="V3443" s="16" t="n">
        <v>0.516028722630036</v>
      </c>
      <c r="W3443" s="16" t="n">
        <v>0.653201326742939</v>
      </c>
      <c r="X3443" s="16" t="n">
        <v>0.8828465450398501</v>
      </c>
      <c r="Y3443" s="16" t="n">
        <v>288.10845964486</v>
      </c>
      <c r="Z3443" s="16" t="n">
        <v>1.07193746809772</v>
      </c>
      <c r="AA3443" s="16" t="n">
        <v>2.996994249534577</v>
      </c>
      <c r="AB3443" s="16" t="n">
        <v>1874.647413518256</v>
      </c>
      <c r="AC3443" s="16" t="n">
        <v>2.665831167971166</v>
      </c>
      <c r="AD3443" s="16" t="n"/>
      <c r="AE3443" s="16" t="n"/>
    </row>
    <row r="3444">
      <c r="A3444" s="16" t="inlineStr">
        <is>
          <t>KF-M09-R0-P_alta-0030</t>
        </is>
      </c>
      <c r="B3444" s="16" t="inlineStr">
        <is>
          <t>4.3</t>
        </is>
      </c>
      <c r="C3444" s="16" t="inlineStr">
        <is>
          <t>4.3 P_alta</t>
        </is>
      </c>
      <c r="D3444" s="16" t="inlineStr">
        <is>
          <t>ronda 0</t>
        </is>
      </c>
      <c r="E3444" s="16" t="inlineStr">
        <is>
          <t>KF-M09</t>
        </is>
      </c>
      <c r="F3444" s="16" t="inlineStr">
        <is>
          <t>KF-M09-R0-P_alta</t>
        </is>
      </c>
      <c r="G3444" s="16" t="inlineStr">
        <is>
          <t>B13-P_alta</t>
        </is>
      </c>
      <c r="H3444" s="16" t="inlineStr">
        <is>
          <t>lhs</t>
        </is>
      </c>
      <c r="I3444" s="16" t="inlineStr">
        <is>
          <t>CORREGIBLE</t>
        </is>
      </c>
      <c r="J3444" s="16" t="inlineStr">
        <is>
          <t>CORREGIBLE</t>
        </is>
      </c>
      <c r="K3444" s="16" t="b">
        <v>1</v>
      </c>
      <c r="L3444" s="16" t="b">
        <v>0</v>
      </c>
      <c r="M3444" s="16" t="b">
        <v>1</v>
      </c>
      <c r="N3444" s="16" t="b">
        <v>0</v>
      </c>
      <c r="O3444" s="16" t="n">
        <v>517.4018246384321</v>
      </c>
      <c r="P3444" s="16" t="n">
        <v>301.6128868528384</v>
      </c>
      <c r="Q3444" s="16" t="n">
        <v>3000</v>
      </c>
      <c r="R3444" s="16" t="n">
        <v>1482.149423304512</v>
      </c>
      <c r="S3444" s="16" t="n">
        <v>0.6321380453178445</v>
      </c>
      <c r="T3444" s="16" t="n">
        <v>0.5744304568292193</v>
      </c>
      <c r="U3444" s="16" t="n">
        <v>0.9441790972895188</v>
      </c>
      <c r="V3444" s="16" t="n">
        <v>0.8770958036867474</v>
      </c>
      <c r="W3444" s="16" t="n">
        <v>0.5775788835944096</v>
      </c>
      <c r="X3444" s="16" t="n">
        <v>0.6345856836687795</v>
      </c>
      <c r="Y3444" s="16" t="n">
        <v>301.6128868528384</v>
      </c>
      <c r="Z3444" s="16" t="n">
        <v>2.34831221792312</v>
      </c>
      <c r="AA3444" s="16" t="n">
        <v>30.98385816939353</v>
      </c>
      <c r="AB3444" s="16" t="n">
        <v>1517.850576695488</v>
      </c>
      <c r="AC3444" s="16" t="n">
        <v>2.024087418467821</v>
      </c>
      <c r="AD3444" s="16" t="inlineStr">
        <is>
          <t>O2</t>
        </is>
      </c>
      <c r="AE3444" s="16" t="n"/>
    </row>
    <row r="3445">
      <c r="A3445" s="16" t="inlineStr">
        <is>
          <t>KF-M09-R0-P_alta-0031</t>
        </is>
      </c>
      <c r="B3445" s="16" t="inlineStr">
        <is>
          <t>4.3</t>
        </is>
      </c>
      <c r="C3445" s="16" t="inlineStr">
        <is>
          <t>4.3 P_alta</t>
        </is>
      </c>
      <c r="D3445" s="16" t="inlineStr">
        <is>
          <t>ronda 0</t>
        </is>
      </c>
      <c r="E3445" s="16" t="inlineStr">
        <is>
          <t>KF-M09</t>
        </is>
      </c>
      <c r="F3445" s="16" t="inlineStr">
        <is>
          <t>KF-M09-R0-P_alta</t>
        </is>
      </c>
      <c r="G3445" s="16" t="inlineStr">
        <is>
          <t>B13-P_alta</t>
        </is>
      </c>
      <c r="H3445" s="16" t="inlineStr">
        <is>
          <t>lhs</t>
        </is>
      </c>
      <c r="I3445" s="16" t="inlineStr">
        <is>
          <t>CORREGIBLE</t>
        </is>
      </c>
      <c r="J3445" s="16" t="inlineStr">
        <is>
          <t>CORREGIBLE</t>
        </is>
      </c>
      <c r="K3445" s="16" t="b">
        <v>1</v>
      </c>
      <c r="L3445" s="16" t="b">
        <v>0</v>
      </c>
      <c r="M3445" s="16" t="b">
        <v>0</v>
      </c>
      <c r="N3445" s="16" t="b">
        <v>0</v>
      </c>
      <c r="O3445" s="16" t="n">
        <v>419.2222620450907</v>
      </c>
      <c r="P3445" s="16" t="n">
        <v>289.8827803235136</v>
      </c>
      <c r="Q3445" s="16" t="n">
        <v>3000</v>
      </c>
      <c r="R3445" s="16" t="n">
        <v>466.0614388021448</v>
      </c>
      <c r="S3445" s="16" t="n">
        <v>0.6894720721241221</v>
      </c>
      <c r="T3445" s="16" t="n">
        <v>0.4138111135333353</v>
      </c>
      <c r="U3445" s="16" t="n">
        <v>0.937029898126352</v>
      </c>
      <c r="V3445" s="16" t="n">
        <v>0.6258759503914624</v>
      </c>
      <c r="W3445" s="16" t="n">
        <v>0.8762786047301303</v>
      </c>
      <c r="X3445" s="16" t="n">
        <v>0.918675935721336</v>
      </c>
      <c r="Y3445" s="16" t="n">
        <v>289.8827803235136</v>
      </c>
      <c r="Z3445" s="16" t="n">
        <v>6.09892291600671</v>
      </c>
      <c r="AA3445" s="16" t="n">
        <v>39.8306254705581</v>
      </c>
      <c r="AB3445" s="16" t="n">
        <v>2533.938561197855</v>
      </c>
      <c r="AC3445" s="16" t="n">
        <v>6.436919578050691</v>
      </c>
      <c r="AD3445" s="16" t="inlineStr">
        <is>
          <t>O2</t>
        </is>
      </c>
      <c r="AE3445" s="16" t="n"/>
    </row>
    <row r="3446">
      <c r="A3446" s="16" t="inlineStr">
        <is>
          <t>KF-M09-R0-P_alta-0032</t>
        </is>
      </c>
      <c r="B3446" s="16" t="inlineStr">
        <is>
          <t>4.3</t>
        </is>
      </c>
      <c r="C3446" s="16" t="inlineStr">
        <is>
          <t>4.3 P_alta</t>
        </is>
      </c>
      <c r="D3446" s="16" t="inlineStr">
        <is>
          <t>ronda 0</t>
        </is>
      </c>
      <c r="E3446" s="16" t="inlineStr">
        <is>
          <t>KF-M09</t>
        </is>
      </c>
      <c r="F3446" s="16" t="inlineStr">
        <is>
          <t>KF-M09-R0-P_alta</t>
        </is>
      </c>
      <c r="G3446" s="16" t="inlineStr">
        <is>
          <t>B13-P_alta</t>
        </is>
      </c>
      <c r="H3446" s="16" t="inlineStr">
        <is>
          <t>lhs</t>
        </is>
      </c>
      <c r="I3446" s="16" t="inlineStr">
        <is>
          <t>KALINA</t>
        </is>
      </c>
      <c r="J3446" s="16" t="inlineStr">
        <is>
          <t>KALINA</t>
        </is>
      </c>
      <c r="K3446" s="16" t="b">
        <v>1</v>
      </c>
      <c r="L3446" s="16" t="b">
        <v>0</v>
      </c>
      <c r="M3446" s="16" t="b">
        <v>1</v>
      </c>
      <c r="N3446" s="16" t="b">
        <v>0</v>
      </c>
      <c r="O3446" s="16" t="n">
        <v>471.9191035778756</v>
      </c>
      <c r="P3446" s="16" t="n">
        <v>283.8661695344004</v>
      </c>
      <c r="Q3446" s="16" t="n">
        <v>3000</v>
      </c>
      <c r="R3446" s="16" t="n">
        <v>1379.764659689915</v>
      </c>
      <c r="S3446" s="16" t="n">
        <v>0.511908122020282</v>
      </c>
      <c r="T3446" s="16" t="n">
        <v>0.8826940473491011</v>
      </c>
      <c r="U3446" s="16" t="n">
        <v>0.5213897042264934</v>
      </c>
      <c r="V3446" s="16" t="n">
        <v>0.8110553497225157</v>
      </c>
      <c r="W3446" s="16" t="n">
        <v>0.4467517927505231</v>
      </c>
      <c r="X3446" s="16" t="n">
        <v>0.8431237806592032</v>
      </c>
      <c r="Y3446" s="16" t="n">
        <v>283.8661695344004</v>
      </c>
      <c r="Z3446" s="16" t="n">
        <v>5.91000597045615</v>
      </c>
      <c r="AA3446" s="16" t="n">
        <v>98.23258200456659</v>
      </c>
      <c r="AB3446" s="16" t="n">
        <v>1620.235340310085</v>
      </c>
      <c r="AC3446" s="16" t="n">
        <v>2.174283838139623</v>
      </c>
      <c r="AD3446" s="16" t="n"/>
      <c r="AE3446" s="16" t="n"/>
    </row>
    <row r="3447">
      <c r="A3447" s="16" t="inlineStr">
        <is>
          <t>KF-M09-R0-P_alta-0033</t>
        </is>
      </c>
      <c r="B3447" s="16" t="inlineStr">
        <is>
          <t>4.3</t>
        </is>
      </c>
      <c r="C3447" s="16" t="inlineStr">
        <is>
          <t>4.3 P_alta</t>
        </is>
      </c>
      <c r="D3447" s="16" t="inlineStr">
        <is>
          <t>ronda 0</t>
        </is>
      </c>
      <c r="E3447" s="16" t="inlineStr">
        <is>
          <t>KF-M09</t>
        </is>
      </c>
      <c r="F3447" s="16" t="inlineStr">
        <is>
          <t>KF-M09-R0-P_alta</t>
        </is>
      </c>
      <c r="G3447" s="16" t="inlineStr">
        <is>
          <t>B13-P_alta</t>
        </is>
      </c>
      <c r="H3447" s="16" t="inlineStr">
        <is>
          <t>lhs</t>
        </is>
      </c>
      <c r="I3447" s="16" t="inlineStr">
        <is>
          <t>CORREGIBLE</t>
        </is>
      </c>
      <c r="J3447" s="16" t="inlineStr">
        <is>
          <t>CORREGIBLE</t>
        </is>
      </c>
      <c r="K3447" s="16" t="b">
        <v>1</v>
      </c>
      <c r="L3447" s="16" t="b">
        <v>0</v>
      </c>
      <c r="M3447" s="16" t="b">
        <v>1</v>
      </c>
      <c r="N3447" s="16" t="b">
        <v>0</v>
      </c>
      <c r="O3447" s="16" t="n">
        <v>485.8307458957319</v>
      </c>
      <c r="P3447" s="16" t="n">
        <v>290.9555917099965</v>
      </c>
      <c r="Q3447" s="16" t="n">
        <v>3000</v>
      </c>
      <c r="R3447" s="16" t="n">
        <v>1548.671522489014</v>
      </c>
      <c r="S3447" s="16" t="n">
        <v>0.5818949179025921</v>
      </c>
      <c r="T3447" s="16" t="n">
        <v>0.6164424039870744</v>
      </c>
      <c r="U3447" s="16" t="n">
        <v>0.7003486936723882</v>
      </c>
      <c r="V3447" s="16" t="n">
        <v>0.7359114003595484</v>
      </c>
      <c r="W3447" s="16" t="n">
        <v>0.6007869393898279</v>
      </c>
      <c r="X3447" s="16" t="n">
        <v>0.5719962791834612</v>
      </c>
      <c r="Y3447" s="16" t="n">
        <v>290.9555917099965</v>
      </c>
      <c r="Z3447" s="16" t="n">
        <v>1.28643487109611</v>
      </c>
      <c r="AA3447" s="16" t="n">
        <v>13.76032423005046</v>
      </c>
      <c r="AB3447" s="16" t="n">
        <v>1451.328477510986</v>
      </c>
      <c r="AC3447" s="16" t="n">
        <v>1.937144162874784</v>
      </c>
      <c r="AD3447" s="16" t="inlineStr">
        <is>
          <t>O2</t>
        </is>
      </c>
      <c r="AE3447" s="16" t="n"/>
    </row>
    <row r="3448">
      <c r="A3448" s="16" t="inlineStr">
        <is>
          <t>KF-M09-R0-P_alta-0034</t>
        </is>
      </c>
      <c r="B3448" s="16" t="inlineStr">
        <is>
          <t>4.3</t>
        </is>
      </c>
      <c r="C3448" s="16" t="inlineStr">
        <is>
          <t>4.3 P_alta</t>
        </is>
      </c>
      <c r="D3448" s="16" t="inlineStr">
        <is>
          <t>ronda 0</t>
        </is>
      </c>
      <c r="E3448" s="16" t="inlineStr">
        <is>
          <t>KF-M09</t>
        </is>
      </c>
      <c r="F3448" s="16" t="inlineStr">
        <is>
          <t>KF-M09-R0-P_alta</t>
        </is>
      </c>
      <c r="G3448" s="16" t="inlineStr">
        <is>
          <t>B13-P_alta</t>
        </is>
      </c>
      <c r="H3448" s="16" t="inlineStr">
        <is>
          <t>lhs</t>
        </is>
      </c>
      <c r="I3448" s="16" t="inlineStr">
        <is>
          <t>CORREGIBLE</t>
        </is>
      </c>
      <c r="J3448" s="16" t="inlineStr">
        <is>
          <t>CORREGIBLE</t>
        </is>
      </c>
      <c r="K3448" s="16" t="b">
        <v>1</v>
      </c>
      <c r="L3448" s="16" t="b">
        <v>0</v>
      </c>
      <c r="M3448" s="16" t="b">
        <v>1</v>
      </c>
      <c r="N3448" s="16" t="b">
        <v>0</v>
      </c>
      <c r="O3448" s="16" t="n">
        <v>488.9417361252898</v>
      </c>
      <c r="P3448" s="16" t="n">
        <v>298.082099276283</v>
      </c>
      <c r="Q3448" s="16" t="n">
        <v>3000</v>
      </c>
      <c r="R3448" s="16" t="n">
        <v>1143.874309299714</v>
      </c>
      <c r="S3448" s="16" t="n">
        <v>0.5355454220765976</v>
      </c>
      <c r="T3448" s="16" t="n">
        <v>0.9374589547374274</v>
      </c>
      <c r="U3448" s="16" t="n">
        <v>0.6652916368328596</v>
      </c>
      <c r="V3448" s="16" t="n">
        <v>0.6607124093692838</v>
      </c>
      <c r="W3448" s="16" t="n">
        <v>0.6503859727225041</v>
      </c>
      <c r="X3448" s="16" t="n">
        <v>0.6847574493617934</v>
      </c>
      <c r="Y3448" s="16" t="n">
        <v>298.082099276283</v>
      </c>
      <c r="Z3448" s="16" t="n">
        <v>7.199098659563739</v>
      </c>
      <c r="AA3448" s="16" t="n">
        <v>83.74524405455482</v>
      </c>
      <c r="AB3448" s="16" t="n">
        <v>1856.125690700286</v>
      </c>
      <c r="AC3448" s="16" t="n">
        <v>2.622665773337121</v>
      </c>
      <c r="AD3448" s="16" t="inlineStr">
        <is>
          <t>O2</t>
        </is>
      </c>
      <c r="AE3448" s="16" t="n"/>
    </row>
    <row r="3449">
      <c r="A3449" s="16" t="inlineStr">
        <is>
          <t>KF-M09-R0-P_alta-0035</t>
        </is>
      </c>
      <c r="B3449" s="16" t="inlineStr">
        <is>
          <t>4.3</t>
        </is>
      </c>
      <c r="C3449" s="16" t="inlineStr">
        <is>
          <t>4.3 P_alta</t>
        </is>
      </c>
      <c r="D3449" s="16" t="inlineStr">
        <is>
          <t>ronda 0</t>
        </is>
      </c>
      <c r="E3449" s="16" t="inlineStr">
        <is>
          <t>KF-M09</t>
        </is>
      </c>
      <c r="F3449" s="16" t="inlineStr">
        <is>
          <t>KF-M09-R0-P_alta</t>
        </is>
      </c>
      <c r="G3449" s="16" t="inlineStr">
        <is>
          <t>B13-P_alta</t>
        </is>
      </c>
      <c r="H3449" s="16" t="inlineStr">
        <is>
          <t>lhs</t>
        </is>
      </c>
      <c r="I3449" s="16" t="inlineStr">
        <is>
          <t>KALINA</t>
        </is>
      </c>
      <c r="J3449" s="16" t="inlineStr">
        <is>
          <t>KALINA</t>
        </is>
      </c>
      <c r="K3449" s="16" t="b">
        <v>1</v>
      </c>
      <c r="L3449" s="16" t="b">
        <v>0</v>
      </c>
      <c r="M3449" s="16" t="b">
        <v>1</v>
      </c>
      <c r="N3449" s="16" t="b">
        <v>0</v>
      </c>
      <c r="O3449" s="16" t="n">
        <v>460.8730875481204</v>
      </c>
      <c r="P3449" s="16" t="n">
        <v>298.4333421517014</v>
      </c>
      <c r="Q3449" s="16" t="n">
        <v>3000</v>
      </c>
      <c r="R3449" s="16" t="n">
        <v>1463.177714606448</v>
      </c>
      <c r="S3449" s="16" t="n">
        <v>0.5285082759003883</v>
      </c>
      <c r="T3449" s="16" t="n">
        <v>0.8783682127798608</v>
      </c>
      <c r="U3449" s="16" t="n">
        <v>0.807613515254223</v>
      </c>
      <c r="V3449" s="16" t="n">
        <v>0.5219209506773637</v>
      </c>
      <c r="W3449" s="16" t="n">
        <v>0.5831528630547109</v>
      </c>
      <c r="X3449" s="16" t="n">
        <v>0.7889972151911909</v>
      </c>
      <c r="Y3449" s="16" t="n">
        <v>298.4333421517014</v>
      </c>
      <c r="Z3449" s="16" t="n">
        <v>5.5170740024461</v>
      </c>
      <c r="AA3449" s="16" t="n">
        <v>45.61144922574373</v>
      </c>
      <c r="AB3449" s="16" t="n">
        <v>1536.822285393552</v>
      </c>
      <c r="AC3449" s="16" t="n">
        <v>2.050331938527994</v>
      </c>
      <c r="AD3449" s="16" t="n"/>
      <c r="AE3449" s="16" t="n"/>
    </row>
    <row r="3450">
      <c r="A3450" s="16" t="inlineStr">
        <is>
          <t>KF-M09-R0-P_alta-0036</t>
        </is>
      </c>
      <c r="B3450" s="16" t="inlineStr">
        <is>
          <t>4.3</t>
        </is>
      </c>
      <c r="C3450" s="16" t="inlineStr">
        <is>
          <t>4.3 P_alta</t>
        </is>
      </c>
      <c r="D3450" s="16" t="inlineStr">
        <is>
          <t>ronda 0</t>
        </is>
      </c>
      <c r="E3450" s="16" t="inlineStr">
        <is>
          <t>KF-M09</t>
        </is>
      </c>
      <c r="F3450" s="16" t="inlineStr">
        <is>
          <t>KF-M09-R0-P_alta</t>
        </is>
      </c>
      <c r="G3450" s="16" t="inlineStr">
        <is>
          <t>B13-P_alta</t>
        </is>
      </c>
      <c r="H3450" s="16" t="inlineStr">
        <is>
          <t>lhs</t>
        </is>
      </c>
      <c r="I3450" s="16" t="inlineStr">
        <is>
          <t>NO_CONVERGIO</t>
        </is>
      </c>
      <c r="J3450" s="16" t="inlineStr">
        <is>
          <t>NO_CONVERGIO</t>
        </is>
      </c>
      <c r="K3450" s="16" t="b">
        <v>0</v>
      </c>
      <c r="L3450" s="16" t="b">
        <v>0</v>
      </c>
      <c r="M3450" s="16" t="b">
        <v>0</v>
      </c>
      <c r="N3450" s="16" t="b">
        <v>0</v>
      </c>
      <c r="O3450" s="16" t="n">
        <v>487.5267794734092</v>
      </c>
      <c r="P3450" s="16" t="n">
        <v>295.8898825579351</v>
      </c>
      <c r="Q3450" s="16" t="n">
        <v>3000</v>
      </c>
      <c r="R3450" s="16" t="n">
        <v>1880.773939492396</v>
      </c>
      <c r="S3450" s="16" t="n">
        <v>0.8263356985519463</v>
      </c>
      <c r="T3450" s="16" t="n">
        <v>0.4179543102662198</v>
      </c>
      <c r="U3450" s="16" t="n">
        <v>0.7332108799484067</v>
      </c>
      <c r="V3450" s="16" t="n">
        <v>0.6212078505586647</v>
      </c>
      <c r="W3450" s="16" t="n">
        <v>0.7747021775261751</v>
      </c>
      <c r="X3450" s="16" t="n">
        <v>0.7738608283582666</v>
      </c>
      <c r="Y3450" s="16" t="n">
        <v>295.8898825579351</v>
      </c>
      <c r="Z3450" s="16" t="n"/>
      <c r="AA3450" s="16" t="n"/>
      <c r="AB3450" s="16" t="n">
        <v>1119.226060507604</v>
      </c>
      <c r="AC3450" s="16" t="n">
        <v>1.595088031052617</v>
      </c>
      <c r="AD3450" s="16" t="n"/>
      <c r="AE3450" s="16" t="n"/>
    </row>
    <row r="3451">
      <c r="A3451" s="16" t="inlineStr">
        <is>
          <t>KF-M09-R0-P_alta-0037</t>
        </is>
      </c>
      <c r="B3451" s="16" t="inlineStr">
        <is>
          <t>4.3</t>
        </is>
      </c>
      <c r="C3451" s="16" t="inlineStr">
        <is>
          <t>4.3 P_alta</t>
        </is>
      </c>
      <c r="D3451" s="16" t="inlineStr">
        <is>
          <t>ronda 0</t>
        </is>
      </c>
      <c r="E3451" s="16" t="inlineStr">
        <is>
          <t>KF-M09</t>
        </is>
      </c>
      <c r="F3451" s="16" t="inlineStr">
        <is>
          <t>KF-M09-R0-P_alta</t>
        </is>
      </c>
      <c r="G3451" s="16" t="inlineStr">
        <is>
          <t>B13-P_alta</t>
        </is>
      </c>
      <c r="H3451" s="16" t="inlineStr">
        <is>
          <t>lhs</t>
        </is>
      </c>
      <c r="I3451" s="16" t="inlineStr">
        <is>
          <t>CORREGIBLE</t>
        </is>
      </c>
      <c r="J3451" s="16" t="inlineStr">
        <is>
          <t>CORREGIBLE</t>
        </is>
      </c>
      <c r="K3451" s="16" t="b">
        <v>1</v>
      </c>
      <c r="L3451" s="16" t="b">
        <v>0</v>
      </c>
      <c r="M3451" s="16" t="b">
        <v>0</v>
      </c>
      <c r="N3451" s="16" t="b">
        <v>0</v>
      </c>
      <c r="O3451" s="16" t="n">
        <v>386.6616014954907</v>
      </c>
      <c r="P3451" s="16" t="n">
        <v>293.5495020747284</v>
      </c>
      <c r="Q3451" s="16" t="n">
        <v>3000</v>
      </c>
      <c r="R3451" s="16" t="n">
        <v>749.4040603587387</v>
      </c>
      <c r="S3451" s="16" t="n">
        <v>0.8128296215515061</v>
      </c>
      <c r="T3451" s="16" t="n">
        <v>0.8952206632466335</v>
      </c>
      <c r="U3451" s="16" t="n">
        <v>0.8392365733889646</v>
      </c>
      <c r="V3451" s="16" t="n">
        <v>0.4261071328001527</v>
      </c>
      <c r="W3451" s="16" t="n">
        <v>0.6614333562513437</v>
      </c>
      <c r="X3451" s="16" t="n">
        <v>0.7829703339412214</v>
      </c>
      <c r="Y3451" s="16" t="n">
        <v>293.5495020747284</v>
      </c>
      <c r="Z3451" s="16" t="n">
        <v>10.05825160720757</v>
      </c>
      <c r="AA3451" s="16" t="n">
        <v>39.99877777002565</v>
      </c>
      <c r="AB3451" s="16" t="n">
        <v>2250.595939641261</v>
      </c>
      <c r="AC3451" s="16" t="n">
        <v>4.003180872230535</v>
      </c>
      <c r="AD3451" s="16" t="inlineStr">
        <is>
          <t>O2</t>
        </is>
      </c>
      <c r="AE3451" s="16" t="n"/>
    </row>
    <row r="3452">
      <c r="A3452" s="16" t="inlineStr">
        <is>
          <t>KF-M09-R0-P_alta-0038</t>
        </is>
      </c>
      <c r="B3452" s="16" t="inlineStr">
        <is>
          <t>4.3</t>
        </is>
      </c>
      <c r="C3452" s="16" t="inlineStr">
        <is>
          <t>4.3 P_alta</t>
        </is>
      </c>
      <c r="D3452" s="16" t="inlineStr">
        <is>
          <t>ronda 0</t>
        </is>
      </c>
      <c r="E3452" s="16" t="inlineStr">
        <is>
          <t>KF-M09</t>
        </is>
      </c>
      <c r="F3452" s="16" t="inlineStr">
        <is>
          <t>KF-M09-R0-P_alta</t>
        </is>
      </c>
      <c r="G3452" s="16" t="inlineStr">
        <is>
          <t>B13-P_alta</t>
        </is>
      </c>
      <c r="H3452" s="16" t="inlineStr">
        <is>
          <t>lhs</t>
        </is>
      </c>
      <c r="I3452" s="16" t="inlineStr">
        <is>
          <t>NO_CONVERGIO</t>
        </is>
      </c>
      <c r="J3452" s="16" t="inlineStr">
        <is>
          <t>NO_CONVERGIO</t>
        </is>
      </c>
      <c r="K3452" s="16" t="b">
        <v>0</v>
      </c>
      <c r="L3452" s="16" t="b">
        <v>0</v>
      </c>
      <c r="M3452" s="16" t="b">
        <v>0</v>
      </c>
      <c r="N3452" s="16" t="b">
        <v>0</v>
      </c>
      <c r="O3452" s="16" t="n">
        <v>483.5963396254479</v>
      </c>
      <c r="P3452" s="16" t="n">
        <v>298.9908219367367</v>
      </c>
      <c r="Q3452" s="16" t="n">
        <v>3000</v>
      </c>
      <c r="R3452" s="16" t="n">
        <v>835.7355145133843</v>
      </c>
      <c r="S3452" s="16" t="n">
        <v>0.8397158051243269</v>
      </c>
      <c r="T3452" s="16" t="n">
        <v>0.7751456321500747</v>
      </c>
      <c r="U3452" s="16" t="n">
        <v>0.5983891061756513</v>
      </c>
      <c r="V3452" s="16" t="n">
        <v>0.7315163531547002</v>
      </c>
      <c r="W3452" s="16" t="n">
        <v>0.6744786070658595</v>
      </c>
      <c r="X3452" s="16" t="n">
        <v>0.4207525157198082</v>
      </c>
      <c r="Y3452" s="16" t="n">
        <v>298.9908219367367</v>
      </c>
      <c r="Z3452" s="16" t="n"/>
      <c r="AA3452" s="16" t="n"/>
      <c r="AB3452" s="16" t="n">
        <v>2164.264485486616</v>
      </c>
      <c r="AC3452" s="16" t="n">
        <v>3.58965240545842</v>
      </c>
      <c r="AD3452" s="16" t="n"/>
      <c r="AE3452" s="16" t="n"/>
    </row>
    <row r="3453">
      <c r="A3453" s="16" t="inlineStr">
        <is>
          <t>KF-M09-R0-P_alta-0039</t>
        </is>
      </c>
      <c r="B3453" s="16" t="inlineStr">
        <is>
          <t>4.3</t>
        </is>
      </c>
      <c r="C3453" s="16" t="inlineStr">
        <is>
          <t>4.3 P_alta</t>
        </is>
      </c>
      <c r="D3453" s="16" t="inlineStr">
        <is>
          <t>ronda 0</t>
        </is>
      </c>
      <c r="E3453" s="16" t="inlineStr">
        <is>
          <t>KF-M09</t>
        </is>
      </c>
      <c r="F3453" s="16" t="inlineStr">
        <is>
          <t>KF-M09-R0-P_alta</t>
        </is>
      </c>
      <c r="G3453" s="16" t="inlineStr">
        <is>
          <t>B13-P_alta</t>
        </is>
      </c>
      <c r="H3453" s="16" t="inlineStr">
        <is>
          <t>lhs</t>
        </is>
      </c>
      <c r="I3453" s="16" t="inlineStr">
        <is>
          <t>CORREGIBLE</t>
        </is>
      </c>
      <c r="J3453" s="16" t="inlineStr">
        <is>
          <t>CORREGIBLE</t>
        </is>
      </c>
      <c r="K3453" s="16" t="b">
        <v>1</v>
      </c>
      <c r="L3453" s="16" t="b">
        <v>0</v>
      </c>
      <c r="M3453" s="16" t="b">
        <v>1</v>
      </c>
      <c r="N3453" s="16" t="b">
        <v>0</v>
      </c>
      <c r="O3453" s="16" t="n">
        <v>519.2254446513787</v>
      </c>
      <c r="P3453" s="16" t="n">
        <v>280.8197766285914</v>
      </c>
      <c r="Q3453" s="16" t="n">
        <v>3000</v>
      </c>
      <c r="R3453" s="16" t="n">
        <v>1006.755202959311</v>
      </c>
      <c r="S3453" s="16" t="n">
        <v>0.6349086721415717</v>
      </c>
      <c r="T3453" s="16" t="n">
        <v>0.930301234344789</v>
      </c>
      <c r="U3453" s="16" t="n">
        <v>0.6899862795572478</v>
      </c>
      <c r="V3453" s="16" t="n">
        <v>0.6039048008126592</v>
      </c>
      <c r="W3453" s="16" t="n">
        <v>0.6410865621205865</v>
      </c>
      <c r="X3453" s="16" t="n">
        <v>0.6863737063498581</v>
      </c>
      <c r="Y3453" s="16" t="n">
        <v>280.8197766285914</v>
      </c>
      <c r="Z3453" s="16" t="n">
        <v>8.55690018694386</v>
      </c>
      <c r="AA3453" s="16" t="n">
        <v>94.7019377890866</v>
      </c>
      <c r="AB3453" s="16" t="n">
        <v>1993.244797040689</v>
      </c>
      <c r="AC3453" s="16" t="n">
        <v>2.979870370852455</v>
      </c>
      <c r="AD3453" s="16" t="inlineStr">
        <is>
          <t>O2</t>
        </is>
      </c>
      <c r="AE3453" s="16" t="n"/>
    </row>
    <row r="3454">
      <c r="A3454" s="16" t="inlineStr">
        <is>
          <t>KF-M09-R0-P_alta-0040</t>
        </is>
      </c>
      <c r="B3454" s="16" t="inlineStr">
        <is>
          <t>4.3</t>
        </is>
      </c>
      <c r="C3454" s="16" t="inlineStr">
        <is>
          <t>4.3 P_alta</t>
        </is>
      </c>
      <c r="D3454" s="16" t="inlineStr">
        <is>
          <t>ronda 0</t>
        </is>
      </c>
      <c r="E3454" s="16" t="inlineStr">
        <is>
          <t>KF-M09</t>
        </is>
      </c>
      <c r="F3454" s="16" t="inlineStr">
        <is>
          <t>KF-M09-R0-P_alta</t>
        </is>
      </c>
      <c r="G3454" s="16" t="inlineStr">
        <is>
          <t>B13-P_alta</t>
        </is>
      </c>
      <c r="H3454" s="16" t="inlineStr">
        <is>
          <t>lhs</t>
        </is>
      </c>
      <c r="I3454" s="16" t="inlineStr">
        <is>
          <t>INVIABLE</t>
        </is>
      </c>
      <c r="J3454" s="16" t="inlineStr">
        <is>
          <t>INVIABLE</t>
        </is>
      </c>
      <c r="K3454" s="16" t="b">
        <v>1</v>
      </c>
      <c r="L3454" s="16" t="b">
        <v>0</v>
      </c>
      <c r="M3454" s="16" t="b">
        <v>0</v>
      </c>
      <c r="N3454" s="16" t="b">
        <v>0</v>
      </c>
      <c r="O3454" s="16" t="n">
        <v>392.8912339510018</v>
      </c>
      <c r="P3454" s="16" t="n">
        <v>297.0484817854583</v>
      </c>
      <c r="Q3454" s="16" t="n">
        <v>3000</v>
      </c>
      <c r="R3454" s="16" t="n">
        <v>375.4674434655407</v>
      </c>
      <c r="S3454" s="16" t="n">
        <v>0.6187461045945203</v>
      </c>
      <c r="T3454" s="16" t="n">
        <v>0.9458100984945764</v>
      </c>
      <c r="U3454" s="16" t="n">
        <v>0.8618001668714739</v>
      </c>
      <c r="V3454" s="16" t="n">
        <v>0.8346171796213827</v>
      </c>
      <c r="W3454" s="16" t="n">
        <v>0.4003605617266463</v>
      </c>
      <c r="X3454" s="16" t="n">
        <v>0.500275606797594</v>
      </c>
      <c r="Y3454" s="16" t="n">
        <v>297.0484817854583</v>
      </c>
      <c r="Z3454" s="16" t="n">
        <v>-1.84475334436471</v>
      </c>
      <c r="AA3454" s="16" t="n">
        <v>-3.968478988864902</v>
      </c>
      <c r="AB3454" s="16" t="n">
        <v>2624.532556534459</v>
      </c>
      <c r="AC3454" s="16" t="n">
        <v>7.990040287674985</v>
      </c>
      <c r="AD3454" s="16" t="inlineStr">
        <is>
          <t>O2,O3</t>
        </is>
      </c>
      <c r="AE3454" s="16" t="n"/>
    </row>
    <row r="3455">
      <c r="A3455" s="16" t="inlineStr">
        <is>
          <t>KF-M09-R0-P_alta-0041</t>
        </is>
      </c>
      <c r="B3455" s="16" t="inlineStr">
        <is>
          <t>4.3</t>
        </is>
      </c>
      <c r="C3455" s="16" t="inlineStr">
        <is>
          <t>4.3 P_alta</t>
        </is>
      </c>
      <c r="D3455" s="16" t="inlineStr">
        <is>
          <t>ronda 0</t>
        </is>
      </c>
      <c r="E3455" s="16" t="inlineStr">
        <is>
          <t>KF-M09</t>
        </is>
      </c>
      <c r="F3455" s="16" t="inlineStr">
        <is>
          <t>KF-M09-R0-P_alta</t>
        </is>
      </c>
      <c r="G3455" s="16" t="inlineStr">
        <is>
          <t>B13-P_alta</t>
        </is>
      </c>
      <c r="H3455" s="16" t="inlineStr">
        <is>
          <t>lhs</t>
        </is>
      </c>
      <c r="I3455" s="16" t="inlineStr">
        <is>
          <t>CORREGIBLE</t>
        </is>
      </c>
      <c r="J3455" s="16" t="inlineStr">
        <is>
          <t>CORREGIBLE</t>
        </is>
      </c>
      <c r="K3455" s="16" t="b">
        <v>1</v>
      </c>
      <c r="L3455" s="16" t="b">
        <v>0</v>
      </c>
      <c r="M3455" s="16" t="b">
        <v>0</v>
      </c>
      <c r="N3455" s="16" t="b">
        <v>0</v>
      </c>
      <c r="O3455" s="16" t="n">
        <v>415.19626599348</v>
      </c>
      <c r="P3455" s="16" t="n">
        <v>290.2692474890564</v>
      </c>
      <c r="Q3455" s="16" t="n">
        <v>3000</v>
      </c>
      <c r="R3455" s="16" t="n">
        <v>1081.508132910307</v>
      </c>
      <c r="S3455" s="16" t="n">
        <v>0.5960261067537663</v>
      </c>
      <c r="T3455" s="16" t="n">
        <v>0.6285766867059789</v>
      </c>
      <c r="U3455" s="16" t="n">
        <v>0.8623350697769865</v>
      </c>
      <c r="V3455" s="16" t="n">
        <v>0.8240028926632772</v>
      </c>
      <c r="W3455" s="16" t="n">
        <v>0.6348109595130537</v>
      </c>
      <c r="X3455" s="16" t="n">
        <v>0.4414867490600269</v>
      </c>
      <c r="Y3455" s="16" t="n">
        <v>290.2692474890564</v>
      </c>
      <c r="Z3455" s="16" t="n">
        <v>1.78039722062658</v>
      </c>
      <c r="AA3455" s="16" t="n">
        <v>7.427074115745491</v>
      </c>
      <c r="AB3455" s="16" t="n">
        <v>1918.491867089693</v>
      </c>
      <c r="AC3455" s="16" t="n">
        <v>2.773904244184541</v>
      </c>
      <c r="AD3455" s="16" t="inlineStr">
        <is>
          <t>O2</t>
        </is>
      </c>
      <c r="AE3455" s="16" t="n"/>
    </row>
    <row r="3456">
      <c r="A3456" s="16" t="inlineStr">
        <is>
          <t>KF-M09-R0-P_alta-0042</t>
        </is>
      </c>
      <c r="B3456" s="16" t="inlineStr">
        <is>
          <t>4.3</t>
        </is>
      </c>
      <c r="C3456" s="16" t="inlineStr">
        <is>
          <t>4.3 P_alta</t>
        </is>
      </c>
      <c r="D3456" s="16" t="inlineStr">
        <is>
          <t>ronda 0</t>
        </is>
      </c>
      <c r="E3456" s="16" t="inlineStr">
        <is>
          <t>KF-M09</t>
        </is>
      </c>
      <c r="F3456" s="16" t="inlineStr">
        <is>
          <t>KF-M09-R0-P_alta</t>
        </is>
      </c>
      <c r="G3456" s="16" t="inlineStr">
        <is>
          <t>B13-P_alta</t>
        </is>
      </c>
      <c r="H3456" s="16" t="inlineStr">
        <is>
          <t>lhs</t>
        </is>
      </c>
      <c r="I3456" s="16" t="inlineStr">
        <is>
          <t>KALINA</t>
        </is>
      </c>
      <c r="J3456" s="16" t="inlineStr">
        <is>
          <t>KALINA</t>
        </is>
      </c>
      <c r="K3456" s="16" t="b">
        <v>1</v>
      </c>
      <c r="L3456" s="16" t="b">
        <v>0</v>
      </c>
      <c r="M3456" s="16" t="b">
        <v>1</v>
      </c>
      <c r="N3456" s="16" t="b">
        <v>0</v>
      </c>
      <c r="O3456" s="16" t="n">
        <v>441.975246045287</v>
      </c>
      <c r="P3456" s="16" t="n">
        <v>281.637749675797</v>
      </c>
      <c r="Q3456" s="16" t="n">
        <v>3000</v>
      </c>
      <c r="R3456" s="16" t="n">
        <v>1258.690948473032</v>
      </c>
      <c r="S3456" s="16" t="n">
        <v>0.587945433552879</v>
      </c>
      <c r="T3456" s="16" t="n">
        <v>0.6016178058281141</v>
      </c>
      <c r="U3456" s="16" t="n">
        <v>0.5006612315209705</v>
      </c>
      <c r="V3456" s="16" t="n">
        <v>0.8662513655837134</v>
      </c>
      <c r="W3456" s="16" t="n">
        <v>0.4296117028975123</v>
      </c>
      <c r="X3456" s="16" t="n">
        <v>0.8876879549613725</v>
      </c>
      <c r="Y3456" s="16" t="n">
        <v>281.637749675797</v>
      </c>
      <c r="Z3456" s="16" t="n">
        <v>4.06675585946452</v>
      </c>
      <c r="AA3456" s="16" t="n">
        <v>48.1365973633674</v>
      </c>
      <c r="AB3456" s="16" t="n">
        <v>1741.309051526968</v>
      </c>
      <c r="AC3456" s="16" t="n">
        <v>2.383428595907056</v>
      </c>
      <c r="AD3456" s="16" t="n"/>
      <c r="AE3456" s="16" t="n"/>
    </row>
    <row r="3457">
      <c r="A3457" s="16" t="inlineStr">
        <is>
          <t>KF-M09-R0-P_alta-0043</t>
        </is>
      </c>
      <c r="B3457" s="16" t="inlineStr">
        <is>
          <t>4.3</t>
        </is>
      </c>
      <c r="C3457" s="16" t="inlineStr">
        <is>
          <t>4.3 P_alta</t>
        </is>
      </c>
      <c r="D3457" s="16" t="inlineStr">
        <is>
          <t>ronda 0</t>
        </is>
      </c>
      <c r="E3457" s="16" t="inlineStr">
        <is>
          <t>KF-M09</t>
        </is>
      </c>
      <c r="F3457" s="16" t="inlineStr">
        <is>
          <t>KF-M09-R0-P_alta</t>
        </is>
      </c>
      <c r="G3457" s="16" t="inlineStr">
        <is>
          <t>B13-P_alta</t>
        </is>
      </c>
      <c r="H3457" s="16" t="inlineStr">
        <is>
          <t>lhs</t>
        </is>
      </c>
      <c r="I3457" s="16" t="inlineStr">
        <is>
          <t>CORREGIBLE</t>
        </is>
      </c>
      <c r="J3457" s="16" t="inlineStr">
        <is>
          <t>CORREGIBLE</t>
        </is>
      </c>
      <c r="K3457" s="16" t="b">
        <v>1</v>
      </c>
      <c r="L3457" s="16" t="b">
        <v>0</v>
      </c>
      <c r="M3457" s="16" t="b">
        <v>0</v>
      </c>
      <c r="N3457" s="16" t="b">
        <v>0</v>
      </c>
      <c r="O3457" s="16" t="n">
        <v>504.6304505598125</v>
      </c>
      <c r="P3457" s="16" t="n">
        <v>289.3344637547915</v>
      </c>
      <c r="Q3457" s="16" t="n">
        <v>3000</v>
      </c>
      <c r="R3457" s="16" t="n">
        <v>1249.730318873912</v>
      </c>
      <c r="S3457" s="16" t="n">
        <v>0.7147823812743839</v>
      </c>
      <c r="T3457" s="16" t="n">
        <v>0.5296841308459603</v>
      </c>
      <c r="U3457" s="16" t="n">
        <v>0.6256843149898517</v>
      </c>
      <c r="V3457" s="16" t="n">
        <v>0.4829793367091522</v>
      </c>
      <c r="W3457" s="16" t="n">
        <v>0.5595564302590961</v>
      </c>
      <c r="X3457" s="16" t="n">
        <v>0.7146760202945918</v>
      </c>
      <c r="Y3457" s="16" t="n">
        <v>289.3344637547915</v>
      </c>
      <c r="Z3457" s="16" t="n">
        <v>3.1812658208557</v>
      </c>
      <c r="AA3457" s="16" t="n">
        <v>27.44278642879395</v>
      </c>
      <c r="AB3457" s="16" t="n">
        <v>1750.269681126088</v>
      </c>
      <c r="AC3457" s="16" t="n">
        <v>2.400517899496265</v>
      </c>
      <c r="AD3457" s="16" t="inlineStr">
        <is>
          <t>O2</t>
        </is>
      </c>
      <c r="AE3457" s="16" t="n"/>
    </row>
    <row r="3458">
      <c r="A3458" s="16" t="inlineStr">
        <is>
          <t>KF-M09-R0-P_alta-0044</t>
        </is>
      </c>
      <c r="B3458" s="16" t="inlineStr">
        <is>
          <t>4.3</t>
        </is>
      </c>
      <c r="C3458" s="16" t="inlineStr">
        <is>
          <t>4.3 P_alta</t>
        </is>
      </c>
      <c r="D3458" s="16" t="inlineStr">
        <is>
          <t>ronda 0</t>
        </is>
      </c>
      <c r="E3458" s="16" t="inlineStr">
        <is>
          <t>KF-M09</t>
        </is>
      </c>
      <c r="F3458" s="16" t="inlineStr">
        <is>
          <t>KF-M09-R0-P_alta</t>
        </is>
      </c>
      <c r="G3458" s="16" t="inlineStr">
        <is>
          <t>B13-P_alta</t>
        </is>
      </c>
      <c r="H3458" s="16" t="inlineStr">
        <is>
          <t>lhs</t>
        </is>
      </c>
      <c r="I3458" s="16" t="inlineStr">
        <is>
          <t>CORREGIBLE</t>
        </is>
      </c>
      <c r="J3458" s="16" t="inlineStr">
        <is>
          <t>CORREGIBLE</t>
        </is>
      </c>
      <c r="K3458" s="16" t="b">
        <v>1</v>
      </c>
      <c r="L3458" s="16" t="b">
        <v>0</v>
      </c>
      <c r="M3458" s="16" t="b">
        <v>0</v>
      </c>
      <c r="N3458" s="16" t="b">
        <v>0</v>
      </c>
      <c r="O3458" s="16" t="n">
        <v>401.8067300794218</v>
      </c>
      <c r="P3458" s="16" t="n">
        <v>300.4261668811427</v>
      </c>
      <c r="Q3458" s="16" t="n">
        <v>3000</v>
      </c>
      <c r="R3458" s="16" t="n">
        <v>1782.366810095572</v>
      </c>
      <c r="S3458" s="16" t="n">
        <v>0.6499174679904276</v>
      </c>
      <c r="T3458" s="16" t="n">
        <v>0.570484882268311</v>
      </c>
      <c r="U3458" s="16" t="n">
        <v>0.8528689349614829</v>
      </c>
      <c r="V3458" s="16" t="n">
        <v>0.7960651140582693</v>
      </c>
      <c r="W3458" s="16" t="n">
        <v>0.892367491846071</v>
      </c>
      <c r="X3458" s="16" t="n">
        <v>0.5347569037264838</v>
      </c>
      <c r="Y3458" s="16" t="n">
        <v>300.4261668811427</v>
      </c>
      <c r="Z3458" s="16" t="n">
        <v>1.97002038429894</v>
      </c>
      <c r="AA3458" s="16" t="n">
        <v>8.379578545170698</v>
      </c>
      <c r="AB3458" s="16" t="n">
        <v>1217.633189904428</v>
      </c>
      <c r="AC3458" s="16" t="n">
        <v>1.683155219794032</v>
      </c>
      <c r="AD3458" s="16" t="inlineStr">
        <is>
          <t>O2</t>
        </is>
      </c>
      <c r="AE3458" s="16" t="n"/>
    </row>
    <row r="3459">
      <c r="A3459" s="16" t="inlineStr">
        <is>
          <t>KF-M09-R0-P_alta-0045</t>
        </is>
      </c>
      <c r="B3459" s="16" t="inlineStr">
        <is>
          <t>4.3</t>
        </is>
      </c>
      <c r="C3459" s="16" t="inlineStr">
        <is>
          <t>4.3 P_alta</t>
        </is>
      </c>
      <c r="D3459" s="16" t="inlineStr">
        <is>
          <t>ronda 0</t>
        </is>
      </c>
      <c r="E3459" s="16" t="inlineStr">
        <is>
          <t>KF-M09</t>
        </is>
      </c>
      <c r="F3459" s="16" t="inlineStr">
        <is>
          <t>KF-M09-R0-P_alta</t>
        </is>
      </c>
      <c r="G3459" s="16" t="inlineStr">
        <is>
          <t>B13-P_alta</t>
        </is>
      </c>
      <c r="H3459" s="16" t="inlineStr">
        <is>
          <t>lhs</t>
        </is>
      </c>
      <c r="I3459" s="16" t="inlineStr">
        <is>
          <t>CORREGIBLE</t>
        </is>
      </c>
      <c r="J3459" s="16" t="inlineStr">
        <is>
          <t>CORREGIBLE</t>
        </is>
      </c>
      <c r="K3459" s="16" t="b">
        <v>1</v>
      </c>
      <c r="L3459" s="16" t="b">
        <v>0</v>
      </c>
      <c r="M3459" s="16" t="b">
        <v>1</v>
      </c>
      <c r="N3459" s="16" t="b">
        <v>0</v>
      </c>
      <c r="O3459" s="16" t="n">
        <v>512.2081784991755</v>
      </c>
      <c r="P3459" s="16" t="n">
        <v>286.6521099243468</v>
      </c>
      <c r="Q3459" s="16" t="n">
        <v>3000</v>
      </c>
      <c r="R3459" s="16" t="n">
        <v>1948.768661429666</v>
      </c>
      <c r="S3459" s="16" t="n">
        <v>0.5151158161495015</v>
      </c>
      <c r="T3459" s="16" t="n">
        <v>0.6500570226907615</v>
      </c>
      <c r="U3459" s="16" t="n">
        <v>0.7027502723098555</v>
      </c>
      <c r="V3459" s="16" t="n">
        <v>0.9070704526968004</v>
      </c>
      <c r="W3459" s="16" t="n">
        <v>0.4237011293259625</v>
      </c>
      <c r="X3459" s="16" t="n">
        <v>0.8139165948412237</v>
      </c>
      <c r="Y3459" s="16" t="n">
        <v>286.6521099243468</v>
      </c>
      <c r="Z3459" s="16" t="n">
        <v>2.5845362853522</v>
      </c>
      <c r="AA3459" s="16" t="n">
        <v>48.40965272086471</v>
      </c>
      <c r="AB3459" s="16" t="n">
        <v>1051.231338570334</v>
      </c>
      <c r="AC3459" s="16" t="n">
        <v>1.539433622562016</v>
      </c>
      <c r="AD3459" s="16" t="inlineStr">
        <is>
          <t>O2</t>
        </is>
      </c>
      <c r="AE3459" s="16" t="n"/>
    </row>
    <row r="3460">
      <c r="A3460" s="16" t="inlineStr">
        <is>
          <t>KF-M09-R0-P_alta-0046</t>
        </is>
      </c>
      <c r="B3460" s="16" t="inlineStr">
        <is>
          <t>4.3</t>
        </is>
      </c>
      <c r="C3460" s="16" t="inlineStr">
        <is>
          <t>4.3 P_alta</t>
        </is>
      </c>
      <c r="D3460" s="16" t="inlineStr">
        <is>
          <t>ronda 0</t>
        </is>
      </c>
      <c r="E3460" s="16" t="inlineStr">
        <is>
          <t>KF-M09</t>
        </is>
      </c>
      <c r="F3460" s="16" t="inlineStr">
        <is>
          <t>KF-M09-R0-P_alta</t>
        </is>
      </c>
      <c r="G3460" s="16" t="inlineStr">
        <is>
          <t>B13-P_alta</t>
        </is>
      </c>
      <c r="H3460" s="16" t="inlineStr">
        <is>
          <t>lhs</t>
        </is>
      </c>
      <c r="I3460" s="16" t="inlineStr">
        <is>
          <t>N2</t>
        </is>
      </c>
      <c r="J3460" s="16" t="inlineStr">
        <is>
          <t>NO_CONVERGIO</t>
        </is>
      </c>
      <c r="K3460" s="16" t="b">
        <v>0</v>
      </c>
      <c r="L3460" s="16" t="b">
        <v>0</v>
      </c>
      <c r="M3460" s="16" t="b">
        <v>1</v>
      </c>
      <c r="N3460" s="16" t="b">
        <v>0</v>
      </c>
      <c r="O3460" s="16" t="n">
        <v>481.2086017456488</v>
      </c>
      <c r="P3460" s="16" t="n">
        <v>292.5137468642806</v>
      </c>
      <c r="Q3460" s="16" t="n">
        <v>3000</v>
      </c>
      <c r="R3460" s="16" t="n">
        <v>1166.416411764251</v>
      </c>
      <c r="S3460" s="16" t="n">
        <v>0.8157486737580988</v>
      </c>
      <c r="T3460" s="16" t="n">
        <v>0.8693780270702864</v>
      </c>
      <c r="U3460" s="16" t="n">
        <v>0.795483437263915</v>
      </c>
      <c r="V3460" s="16" t="n">
        <v>0.8727673140613113</v>
      </c>
      <c r="W3460" s="16" t="n">
        <v>0.6187297744047456</v>
      </c>
      <c r="X3460" s="16" t="n">
        <v>0.465845064976389</v>
      </c>
      <c r="Y3460" s="16" t="n">
        <v>292.5137468642806</v>
      </c>
      <c r="Z3460" s="16" t="n">
        <v>5.39263079640119</v>
      </c>
      <c r="AA3460" s="16" t="n">
        <v>38.46233654688353</v>
      </c>
      <c r="AB3460" s="16" t="n">
        <v>1833.583588235749</v>
      </c>
      <c r="AC3460" s="16" t="n">
        <v>2.571980272004558</v>
      </c>
      <c r="AD3460" s="16" t="inlineStr">
        <is>
          <t>N2,O2,O5,C1,C3,C3</t>
        </is>
      </c>
      <c r="AE3460" s="16" t="n"/>
    </row>
    <row r="3461">
      <c r="A3461" s="16" t="inlineStr">
        <is>
          <t>KF-M09-R0-P_alta-0047</t>
        </is>
      </c>
      <c r="B3461" s="16" t="inlineStr">
        <is>
          <t>4.3</t>
        </is>
      </c>
      <c r="C3461" s="16" t="inlineStr">
        <is>
          <t>4.3 P_alta</t>
        </is>
      </c>
      <c r="D3461" s="16" t="inlineStr">
        <is>
          <t>ronda 0</t>
        </is>
      </c>
      <c r="E3461" s="16" t="inlineStr">
        <is>
          <t>KF-M09</t>
        </is>
      </c>
      <c r="F3461" s="16" t="inlineStr">
        <is>
          <t>KF-M09-R0-P_alta</t>
        </is>
      </c>
      <c r="G3461" s="16" t="inlineStr">
        <is>
          <t>B13-P_alta</t>
        </is>
      </c>
      <c r="H3461" s="16" t="inlineStr">
        <is>
          <t>lhs</t>
        </is>
      </c>
      <c r="I3461" s="16" t="inlineStr">
        <is>
          <t>CORREGIBLE</t>
        </is>
      </c>
      <c r="J3461" s="16" t="inlineStr">
        <is>
          <t>CORREGIBLE</t>
        </is>
      </c>
      <c r="K3461" s="16" t="b">
        <v>1</v>
      </c>
      <c r="L3461" s="16" t="b">
        <v>0</v>
      </c>
      <c r="M3461" s="16" t="b">
        <v>0</v>
      </c>
      <c r="N3461" s="16" t="b">
        <v>0</v>
      </c>
      <c r="O3461" s="16" t="n">
        <v>380.8283417440259</v>
      </c>
      <c r="P3461" s="16" t="n">
        <v>295.1449244440468</v>
      </c>
      <c r="Q3461" s="16" t="n">
        <v>3000</v>
      </c>
      <c r="R3461" s="16" t="n">
        <v>572.032658302028</v>
      </c>
      <c r="S3461" s="16" t="n">
        <v>0.6658992531135814</v>
      </c>
      <c r="T3461" s="16" t="n">
        <v>0.4625260401951587</v>
      </c>
      <c r="U3461" s="16" t="n">
        <v>0.9250700023102998</v>
      </c>
      <c r="V3461" s="16" t="n">
        <v>0.6831055843425116</v>
      </c>
      <c r="W3461" s="16" t="n">
        <v>0.8027358011302039</v>
      </c>
      <c r="X3461" s="16" t="n">
        <v>0.8692726824000175</v>
      </c>
      <c r="Y3461" s="16" t="n">
        <v>295.1449244440468</v>
      </c>
      <c r="Z3461" s="16" t="n">
        <v>5.23648910429773</v>
      </c>
      <c r="AA3461" s="16" t="n">
        <v>17.47958584831227</v>
      </c>
      <c r="AB3461" s="16" t="n">
        <v>2427.967341697972</v>
      </c>
      <c r="AC3461" s="16" t="n">
        <v>5.244455812898758</v>
      </c>
      <c r="AD3461" s="16" t="inlineStr">
        <is>
          <t>O2</t>
        </is>
      </c>
      <c r="AE3461" s="16" t="n"/>
    </row>
    <row r="3462">
      <c r="A3462" s="16" t="inlineStr">
        <is>
          <t>KF-M09-R0-P_alta-0048</t>
        </is>
      </c>
      <c r="B3462" s="16" t="inlineStr">
        <is>
          <t>4.3</t>
        </is>
      </c>
      <c r="C3462" s="16" t="inlineStr">
        <is>
          <t>4.3 P_alta</t>
        </is>
      </c>
      <c r="D3462" s="16" t="inlineStr">
        <is>
          <t>ronda 0</t>
        </is>
      </c>
      <c r="E3462" s="16" t="inlineStr">
        <is>
          <t>KF-M09</t>
        </is>
      </c>
      <c r="F3462" s="16" t="inlineStr">
        <is>
          <t>KF-M09-R0-P_alta</t>
        </is>
      </c>
      <c r="G3462" s="16" t="inlineStr">
        <is>
          <t>B13-P_alta</t>
        </is>
      </c>
      <c r="H3462" s="16" t="inlineStr">
        <is>
          <t>lhs</t>
        </is>
      </c>
      <c r="I3462" s="16" t="inlineStr">
        <is>
          <t>KALINA</t>
        </is>
      </c>
      <c r="J3462" s="16" t="inlineStr">
        <is>
          <t>KALINA</t>
        </is>
      </c>
      <c r="K3462" s="16" t="b">
        <v>1</v>
      </c>
      <c r="L3462" s="16" t="b">
        <v>1</v>
      </c>
      <c r="M3462" s="16" t="b">
        <v>0</v>
      </c>
      <c r="N3462" s="16" t="b">
        <v>0</v>
      </c>
      <c r="O3462" s="16" t="n">
        <v>408.7992912143595</v>
      </c>
      <c r="P3462" s="16" t="n">
        <v>296.1629605794007</v>
      </c>
      <c r="Q3462" s="16" t="n">
        <v>3000</v>
      </c>
      <c r="R3462" s="16" t="n">
        <v>1030.523209976136</v>
      </c>
      <c r="S3462" s="16" t="n">
        <v>0.6289132406980547</v>
      </c>
      <c r="T3462" s="16" t="n">
        <v>0.5561250577790922</v>
      </c>
      <c r="U3462" s="16" t="n">
        <v>0.605398904136264</v>
      </c>
      <c r="V3462" s="16" t="n">
        <v>0.6186369711304455</v>
      </c>
      <c r="W3462" s="16" t="n">
        <v>0.9348726633935206</v>
      </c>
      <c r="X3462" s="16" t="n">
        <v>0.8094028716427759</v>
      </c>
      <c r="Y3462" s="16" t="n">
        <v>296.1629605794007</v>
      </c>
      <c r="Z3462" s="16" t="n">
        <v>5.17461170813494</v>
      </c>
      <c r="AA3462" s="16" t="n">
        <v>23.44044644986858</v>
      </c>
      <c r="AB3462" s="16" t="n">
        <v>1969.476790023864</v>
      </c>
      <c r="AC3462" s="16" t="n">
        <v>2.911142583648817</v>
      </c>
      <c r="AD3462" s="16" t="n"/>
      <c r="AE3462" s="16" t="n"/>
    </row>
    <row r="3463">
      <c r="A3463" s="16" t="inlineStr">
        <is>
          <t>KF-M09-R0-P_alta-0049</t>
        </is>
      </c>
      <c r="B3463" s="16" t="inlineStr">
        <is>
          <t>4.3</t>
        </is>
      </c>
      <c r="C3463" s="16" t="inlineStr">
        <is>
          <t>4.3 P_alta</t>
        </is>
      </c>
      <c r="D3463" s="16" t="inlineStr">
        <is>
          <t>ronda 0</t>
        </is>
      </c>
      <c r="E3463" s="16" t="inlineStr">
        <is>
          <t>KF-M09</t>
        </is>
      </c>
      <c r="F3463" s="16" t="inlineStr">
        <is>
          <t>KF-M09-R0-P_alta</t>
        </is>
      </c>
      <c r="G3463" s="16" t="inlineStr">
        <is>
          <t>B13-P_alta</t>
        </is>
      </c>
      <c r="H3463" s="16" t="inlineStr">
        <is>
          <t>lhs</t>
        </is>
      </c>
      <c r="I3463" s="16" t="inlineStr">
        <is>
          <t>KALINA</t>
        </is>
      </c>
      <c r="J3463" s="16" t="inlineStr">
        <is>
          <t>KALINA</t>
        </is>
      </c>
      <c r="K3463" s="16" t="b">
        <v>1</v>
      </c>
      <c r="L3463" s="16" t="b">
        <v>0</v>
      </c>
      <c r="M3463" s="16" t="b">
        <v>1</v>
      </c>
      <c r="N3463" s="16" t="b">
        <v>0</v>
      </c>
      <c r="O3463" s="16" t="n">
        <v>470.2666920003288</v>
      </c>
      <c r="P3463" s="16" t="n">
        <v>291.8378622332694</v>
      </c>
      <c r="Q3463" s="16" t="n">
        <v>3000</v>
      </c>
      <c r="R3463" s="16" t="n">
        <v>1428.841370833079</v>
      </c>
      <c r="S3463" s="16" t="n">
        <v>0.6152193090149478</v>
      </c>
      <c r="T3463" s="16" t="n">
        <v>0.4976033326291182</v>
      </c>
      <c r="U3463" s="16" t="n">
        <v>0.9073466758564986</v>
      </c>
      <c r="V3463" s="16" t="n">
        <v>0.5423899597236196</v>
      </c>
      <c r="W3463" s="16" t="n">
        <v>0.4134091069724371</v>
      </c>
      <c r="X3463" s="16" t="n">
        <v>0.9008876992167492</v>
      </c>
      <c r="Y3463" s="16" t="n">
        <v>291.8378622332694</v>
      </c>
      <c r="Z3463" s="16" t="n">
        <v>3.06270713432508</v>
      </c>
      <c r="AA3463" s="16" t="n">
        <v>33.47135340329437</v>
      </c>
      <c r="AB3463" s="16" t="n">
        <v>1571.158629166921</v>
      </c>
      <c r="AC3463" s="16" t="n">
        <v>2.099603259843228</v>
      </c>
      <c r="AD3463" s="16" t="n"/>
      <c r="AE3463" s="16" t="n"/>
    </row>
    <row r="3464">
      <c r="A3464" s="16" t="inlineStr">
        <is>
          <t>KF-M09-R0-P_alta-0050</t>
        </is>
      </c>
      <c r="B3464" s="16" t="inlineStr">
        <is>
          <t>4.3</t>
        </is>
      </c>
      <c r="C3464" s="16" t="inlineStr">
        <is>
          <t>4.3 P_alta</t>
        </is>
      </c>
      <c r="D3464" s="16" t="inlineStr">
        <is>
          <t>ronda 0</t>
        </is>
      </c>
      <c r="E3464" s="16" t="inlineStr">
        <is>
          <t>KF-M09</t>
        </is>
      </c>
      <c r="F3464" s="16" t="inlineStr">
        <is>
          <t>KF-M09-R0-P_alta</t>
        </is>
      </c>
      <c r="G3464" s="16" t="inlineStr">
        <is>
          <t>B13-P_alta</t>
        </is>
      </c>
      <c r="H3464" s="16" t="inlineStr">
        <is>
          <t>lhs</t>
        </is>
      </c>
      <c r="I3464" s="16" t="inlineStr">
        <is>
          <t>INVIABLE</t>
        </is>
      </c>
      <c r="J3464" s="16" t="inlineStr">
        <is>
          <t>INVIABLE</t>
        </is>
      </c>
      <c r="K3464" s="16" t="b">
        <v>1</v>
      </c>
      <c r="L3464" s="16" t="b">
        <v>0</v>
      </c>
      <c r="M3464" s="16" t="b">
        <v>0</v>
      </c>
      <c r="N3464" s="16" t="b">
        <v>0</v>
      </c>
      <c r="O3464" s="16" t="n">
        <v>410.6168740474375</v>
      </c>
      <c r="P3464" s="16" t="n">
        <v>298.7102615738488</v>
      </c>
      <c r="Q3464" s="16" t="n">
        <v>3000</v>
      </c>
      <c r="R3464" s="16" t="n">
        <v>1416.678603909753</v>
      </c>
      <c r="S3464" s="16" t="n">
        <v>0.8081749404672978</v>
      </c>
      <c r="T3464" s="16" t="n">
        <v>0.5873698770372027</v>
      </c>
      <c r="U3464" s="16" t="n">
        <v>0.4288947866963906</v>
      </c>
      <c r="V3464" s="16" t="n">
        <v>0.7532098026936529</v>
      </c>
      <c r="W3464" s="16" t="n">
        <v>0.9477584117249944</v>
      </c>
      <c r="X3464" s="16" t="n">
        <v>0.5761282982586431</v>
      </c>
      <c r="Y3464" s="16" t="n">
        <v>298.7102615738488</v>
      </c>
      <c r="Z3464" s="16" t="n">
        <v>-3.15650987349383</v>
      </c>
      <c r="AA3464" s="16" t="n">
        <v>-19.05967436819088</v>
      </c>
      <c r="AB3464" s="16" t="n">
        <v>1583.321396090247</v>
      </c>
      <c r="AC3464" s="16" t="n">
        <v>2.117629215067266</v>
      </c>
      <c r="AD3464" s="16" t="inlineStr">
        <is>
          <t>O2,O3</t>
        </is>
      </c>
      <c r="AE3464" s="16" t="n"/>
    </row>
    <row r="3465">
      <c r="A3465" s="16" t="inlineStr">
        <is>
          <t>KF-M09-R0-P_alta-0051</t>
        </is>
      </c>
      <c r="B3465" s="16" t="inlineStr">
        <is>
          <t>4.3</t>
        </is>
      </c>
      <c r="C3465" s="16" t="inlineStr">
        <is>
          <t>4.3 P_alta</t>
        </is>
      </c>
      <c r="D3465" s="16" t="inlineStr">
        <is>
          <t>ronda 0</t>
        </is>
      </c>
      <c r="E3465" s="16" t="inlineStr">
        <is>
          <t>KF-M09</t>
        </is>
      </c>
      <c r="F3465" s="16" t="inlineStr">
        <is>
          <t>KF-M09-R0-P_alta</t>
        </is>
      </c>
      <c r="G3465" s="16" t="inlineStr">
        <is>
          <t>B13-P_alta</t>
        </is>
      </c>
      <c r="H3465" s="16" t="inlineStr">
        <is>
          <t>lhs</t>
        </is>
      </c>
      <c r="I3465" s="16" t="inlineStr">
        <is>
          <t>KALINA</t>
        </is>
      </c>
      <c r="J3465" s="16" t="inlineStr">
        <is>
          <t>KALINA</t>
        </is>
      </c>
      <c r="K3465" s="16" t="b">
        <v>1</v>
      </c>
      <c r="L3465" s="16" t="b">
        <v>1</v>
      </c>
      <c r="M3465" s="16" t="b">
        <v>0</v>
      </c>
      <c r="N3465" s="16" t="b">
        <v>0</v>
      </c>
      <c r="O3465" s="16" t="n">
        <v>404.7788129782398</v>
      </c>
      <c r="P3465" s="16" t="n">
        <v>290.3622063015936</v>
      </c>
      <c r="Q3465" s="16" t="n">
        <v>3000</v>
      </c>
      <c r="R3465" s="16" t="n">
        <v>1092.312868622275</v>
      </c>
      <c r="S3465" s="16" t="n">
        <v>0.5841104495364113</v>
      </c>
      <c r="T3465" s="16" t="n">
        <v>0.634126182885705</v>
      </c>
      <c r="U3465" s="16" t="n">
        <v>0.5527508725356095</v>
      </c>
      <c r="V3465" s="16" t="n">
        <v>0.7220331481376394</v>
      </c>
      <c r="W3465" s="16" t="n">
        <v>0.664338619448378</v>
      </c>
      <c r="X3465" s="16" t="n">
        <v>0.8608063302632327</v>
      </c>
      <c r="Y3465" s="16" t="n">
        <v>290.3622063015936</v>
      </c>
      <c r="Z3465" s="16" t="n">
        <v>4.12573886078955</v>
      </c>
      <c r="AA3465" s="16" t="n">
        <v>19.62109456237725</v>
      </c>
      <c r="AB3465" s="16" t="n">
        <v>1907.687131377725</v>
      </c>
      <c r="AC3465" s="16" t="n">
        <v>2.746465858068554</v>
      </c>
      <c r="AD3465" s="16" t="n"/>
      <c r="AE3465" s="16" t="n"/>
    </row>
    <row r="3466">
      <c r="A3466" s="16" t="inlineStr">
        <is>
          <t>KF-M09-R0-P_alta-0052</t>
        </is>
      </c>
      <c r="B3466" s="16" t="inlineStr">
        <is>
          <t>4.3</t>
        </is>
      </c>
      <c r="C3466" s="16" t="inlineStr">
        <is>
          <t>4.3 P_alta</t>
        </is>
      </c>
      <c r="D3466" s="16" t="inlineStr">
        <is>
          <t>ronda 0</t>
        </is>
      </c>
      <c r="E3466" s="16" t="inlineStr">
        <is>
          <t>KF-M09</t>
        </is>
      </c>
      <c r="F3466" s="16" t="inlineStr">
        <is>
          <t>KF-M09-R0-P_alta</t>
        </is>
      </c>
      <c r="G3466" s="16" t="inlineStr">
        <is>
          <t>B13-P_alta</t>
        </is>
      </c>
      <c r="H3466" s="16" t="inlineStr">
        <is>
          <t>lhs</t>
        </is>
      </c>
      <c r="I3466" s="16" t="inlineStr">
        <is>
          <t>INVIABLE</t>
        </is>
      </c>
      <c r="J3466" s="16" t="inlineStr">
        <is>
          <t>INVIABLE</t>
        </is>
      </c>
      <c r="K3466" s="16" t="b">
        <v>1</v>
      </c>
      <c r="L3466" s="16" t="b">
        <v>0</v>
      </c>
      <c r="M3466" s="16" t="b">
        <v>1</v>
      </c>
      <c r="N3466" s="16" t="b">
        <v>0</v>
      </c>
      <c r="O3466" s="16" t="n">
        <v>499.8395481029666</v>
      </c>
      <c r="P3466" s="16" t="n">
        <v>280.1860307204453</v>
      </c>
      <c r="Q3466" s="16" t="n">
        <v>3000</v>
      </c>
      <c r="R3466" s="16" t="n">
        <v>1190.998801588401</v>
      </c>
      <c r="S3466" s="16" t="n">
        <v>0.6807283159780451</v>
      </c>
      <c r="T3466" s="16" t="n">
        <v>0.4087858941589326</v>
      </c>
      <c r="U3466" s="16" t="n">
        <v>0.6114826117456972</v>
      </c>
      <c r="V3466" s="16" t="n">
        <v>0.535504531434794</v>
      </c>
      <c r="W3466" s="16" t="n">
        <v>0.78427804870211</v>
      </c>
      <c r="X3466" s="16" t="n">
        <v>0.4361557211391657</v>
      </c>
      <c r="Y3466" s="16" t="n">
        <v>280.1860307204453</v>
      </c>
      <c r="Z3466" s="16" t="n">
        <v>-8.983004465991289</v>
      </c>
      <c r="AA3466" s="16" t="n">
        <v>-58.37036189552937</v>
      </c>
      <c r="AB3466" s="16" t="n">
        <v>1809.001198411599</v>
      </c>
      <c r="AC3466" s="16" t="n">
        <v>2.518894222226745</v>
      </c>
      <c r="AD3466" s="16" t="inlineStr">
        <is>
          <t>O2,O3</t>
        </is>
      </c>
      <c r="AE3466" s="16" t="n"/>
    </row>
    <row r="3467">
      <c r="A3467" s="16" t="inlineStr">
        <is>
          <t>KF-M09-R0-P_alta-0053</t>
        </is>
      </c>
      <c r="B3467" s="16" t="inlineStr">
        <is>
          <t>4.3</t>
        </is>
      </c>
      <c r="C3467" s="16" t="inlineStr">
        <is>
          <t>4.3 P_alta</t>
        </is>
      </c>
      <c r="D3467" s="16" t="inlineStr">
        <is>
          <t>ronda 0</t>
        </is>
      </c>
      <c r="E3467" s="16" t="inlineStr">
        <is>
          <t>KF-M09</t>
        </is>
      </c>
      <c r="F3467" s="16" t="inlineStr">
        <is>
          <t>KF-M09-R0-P_alta</t>
        </is>
      </c>
      <c r="G3467" s="16" t="inlineStr">
        <is>
          <t>B13-P_alta</t>
        </is>
      </c>
      <c r="H3467" s="16" t="inlineStr">
        <is>
          <t>lhs</t>
        </is>
      </c>
      <c r="I3467" s="16" t="inlineStr">
        <is>
          <t>INVIABLE</t>
        </is>
      </c>
      <c r="J3467" s="16" t="inlineStr">
        <is>
          <t>INVIABLE</t>
        </is>
      </c>
      <c r="K3467" s="16" t="b">
        <v>1</v>
      </c>
      <c r="L3467" s="16" t="b">
        <v>0</v>
      </c>
      <c r="M3467" s="16" t="b">
        <v>1</v>
      </c>
      <c r="N3467" s="16" t="b">
        <v>0</v>
      </c>
      <c r="O3467" s="16" t="n">
        <v>459.6128567682546</v>
      </c>
      <c r="P3467" s="16" t="n">
        <v>302.4119297302169</v>
      </c>
      <c r="Q3467" s="16" t="n">
        <v>3000</v>
      </c>
      <c r="R3467" s="16" t="n">
        <v>478.3296106122788</v>
      </c>
      <c r="S3467" s="16" t="n">
        <v>0.7953320446510831</v>
      </c>
      <c r="T3467" s="16" t="n">
        <v>0.4709008635691386</v>
      </c>
      <c r="U3467" s="16" t="n">
        <v>0.7205769374606268</v>
      </c>
      <c r="V3467" s="16" t="n">
        <v>0.903677355533991</v>
      </c>
      <c r="W3467" s="16" t="n">
        <v>0.8786376092627237</v>
      </c>
      <c r="X3467" s="16" t="n">
        <v>0.7787206740502854</v>
      </c>
      <c r="Y3467" s="16" t="n">
        <v>302.4119297302169</v>
      </c>
      <c r="Z3467" s="16" t="n">
        <v>-18.25414498340487</v>
      </c>
      <c r="AA3467" s="16" t="n">
        <v>-118.0767311269881</v>
      </c>
      <c r="AB3467" s="16" t="n">
        <v>2521.670389387721</v>
      </c>
      <c r="AC3467" s="16" t="n">
        <v>6.271825815173545</v>
      </c>
      <c r="AD3467" s="16" t="inlineStr">
        <is>
          <t>O2,O3</t>
        </is>
      </c>
      <c r="AE3467" s="16" t="n"/>
    </row>
    <row r="3468">
      <c r="A3468" s="16" t="inlineStr">
        <is>
          <t>KF-M09-R0-P_alta-0054</t>
        </is>
      </c>
      <c r="B3468" s="16" t="inlineStr">
        <is>
          <t>4.3</t>
        </is>
      </c>
      <c r="C3468" s="16" t="inlineStr">
        <is>
          <t>4.3 P_alta</t>
        </is>
      </c>
      <c r="D3468" s="16" t="inlineStr">
        <is>
          <t>ronda 0</t>
        </is>
      </c>
      <c r="E3468" s="16" t="inlineStr">
        <is>
          <t>KF-M09</t>
        </is>
      </c>
      <c r="F3468" s="16" t="inlineStr">
        <is>
          <t>KF-M09-R0-P_alta</t>
        </is>
      </c>
      <c r="G3468" s="16" t="inlineStr">
        <is>
          <t>B13-P_alta</t>
        </is>
      </c>
      <c r="H3468" s="16" t="inlineStr">
        <is>
          <t>lhs</t>
        </is>
      </c>
      <c r="I3468" s="16" t="inlineStr">
        <is>
          <t>CORREGIBLE</t>
        </is>
      </c>
      <c r="J3468" s="16" t="inlineStr">
        <is>
          <t>CORREGIBLE</t>
        </is>
      </c>
      <c r="K3468" s="16" t="b">
        <v>1</v>
      </c>
      <c r="L3468" s="16" t="b">
        <v>0</v>
      </c>
      <c r="M3468" s="16" t="b">
        <v>1</v>
      </c>
      <c r="N3468" s="16" t="b">
        <v>0</v>
      </c>
      <c r="O3468" s="16" t="n">
        <v>446.5580009305186</v>
      </c>
      <c r="P3468" s="16" t="n">
        <v>292.365551937241</v>
      </c>
      <c r="Q3468" s="16" t="n">
        <v>3000</v>
      </c>
      <c r="R3468" s="16" t="n">
        <v>1910.938778141979</v>
      </c>
      <c r="S3468" s="16" t="n">
        <v>0.7292815078272602</v>
      </c>
      <c r="T3468" s="16" t="n">
        <v>0.8023737983657899</v>
      </c>
      <c r="U3468" s="16" t="n">
        <v>0.7290880070736681</v>
      </c>
      <c r="V3468" s="16" t="n">
        <v>0.7685152961386041</v>
      </c>
      <c r="W3468" s="16" t="n">
        <v>0.808506042979366</v>
      </c>
      <c r="X3468" s="16" t="n">
        <v>0.5275454140827289</v>
      </c>
      <c r="Y3468" s="16" t="n">
        <v>292.365551937241</v>
      </c>
      <c r="Z3468" s="16" t="n">
        <v>1.95716589210497</v>
      </c>
      <c r="AA3468" s="16" t="n">
        <v>17.10730936886772</v>
      </c>
      <c r="AB3468" s="16" t="n">
        <v>1089.061221858021</v>
      </c>
      <c r="AC3468" s="16" t="n">
        <v>1.569909007193273</v>
      </c>
      <c r="AD3468" s="16" t="inlineStr">
        <is>
          <t>O2</t>
        </is>
      </c>
      <c r="AE3468" s="16" t="n"/>
    </row>
    <row r="3469">
      <c r="A3469" s="16" t="inlineStr">
        <is>
          <t>KF-M09-R0-P_alta-0055</t>
        </is>
      </c>
      <c r="B3469" s="16" t="inlineStr">
        <is>
          <t>4.3</t>
        </is>
      </c>
      <c r="C3469" s="16" t="inlineStr">
        <is>
          <t>4.3 P_alta</t>
        </is>
      </c>
      <c r="D3469" s="16" t="inlineStr">
        <is>
          <t>ronda 0</t>
        </is>
      </c>
      <c r="E3469" s="16" t="inlineStr">
        <is>
          <t>KF-M09</t>
        </is>
      </c>
      <c r="F3469" s="16" t="inlineStr">
        <is>
          <t>KF-M09-R0-P_alta</t>
        </is>
      </c>
      <c r="G3469" s="16" t="inlineStr">
        <is>
          <t>B13-P_alta</t>
        </is>
      </c>
      <c r="H3469" s="16" t="inlineStr">
        <is>
          <t>lhs</t>
        </is>
      </c>
      <c r="I3469" s="16" t="inlineStr">
        <is>
          <t>KALINA</t>
        </is>
      </c>
      <c r="J3469" s="16" t="inlineStr">
        <is>
          <t>KALINA</t>
        </is>
      </c>
      <c r="K3469" s="16" t="b">
        <v>1</v>
      </c>
      <c r="L3469" s="16" t="b">
        <v>1</v>
      </c>
      <c r="M3469" s="16" t="b">
        <v>0</v>
      </c>
      <c r="N3469" s="16" t="b">
        <v>0</v>
      </c>
      <c r="O3469" s="16" t="n">
        <v>407.7667500192025</v>
      </c>
      <c r="P3469" s="16" t="n">
        <v>286.8780300961769</v>
      </c>
      <c r="Q3469" s="16" t="n">
        <v>3000</v>
      </c>
      <c r="R3469" s="16" t="n">
        <v>1798.984795601752</v>
      </c>
      <c r="S3469" s="16" t="n">
        <v>0.6569521128302318</v>
      </c>
      <c r="T3469" s="16" t="n">
        <v>0.4571232774813645</v>
      </c>
      <c r="U3469" s="16" t="n">
        <v>0.6727542062906819</v>
      </c>
      <c r="V3469" s="16" t="n">
        <v>0.4641810630112123</v>
      </c>
      <c r="W3469" s="16" t="n">
        <v>0.5510235810266908</v>
      </c>
      <c r="X3469" s="16" t="n">
        <v>0.7071857418400606</v>
      </c>
      <c r="Y3469" s="16" t="n">
        <v>286.8780300961769</v>
      </c>
      <c r="Z3469" s="16" t="n">
        <v>1.44995768483794</v>
      </c>
      <c r="AA3469" s="16" t="n">
        <v>5.818368601647046</v>
      </c>
      <c r="AB3469" s="16" t="n">
        <v>1201.015204398248</v>
      </c>
      <c r="AC3469" s="16" t="n">
        <v>1.667607201202895</v>
      </c>
      <c r="AD3469" s="16" t="n"/>
      <c r="AE3469" s="16" t="n"/>
    </row>
    <row r="3470">
      <c r="A3470" s="16" t="inlineStr">
        <is>
          <t>KF-M09-R0-P_alta-0056</t>
        </is>
      </c>
      <c r="B3470" s="16" t="inlineStr">
        <is>
          <t>4.3</t>
        </is>
      </c>
      <c r="C3470" s="16" t="inlineStr">
        <is>
          <t>4.3 P_alta</t>
        </is>
      </c>
      <c r="D3470" s="16" t="inlineStr">
        <is>
          <t>ronda 0</t>
        </is>
      </c>
      <c r="E3470" s="16" t="inlineStr">
        <is>
          <t>KF-M09</t>
        </is>
      </c>
      <c r="F3470" s="16" t="inlineStr">
        <is>
          <t>KF-M09-R0-P_alta</t>
        </is>
      </c>
      <c r="G3470" s="16" t="inlineStr">
        <is>
          <t>B13-P_alta</t>
        </is>
      </c>
      <c r="H3470" s="16" t="inlineStr">
        <is>
          <t>lhs</t>
        </is>
      </c>
      <c r="I3470" s="16" t="inlineStr">
        <is>
          <t>CORREGIBLE</t>
        </is>
      </c>
      <c r="J3470" s="16" t="inlineStr">
        <is>
          <t>CORREGIBLE</t>
        </is>
      </c>
      <c r="K3470" s="16" t="b">
        <v>1</v>
      </c>
      <c r="L3470" s="16" t="b">
        <v>0</v>
      </c>
      <c r="M3470" s="16" t="b">
        <v>1</v>
      </c>
      <c r="N3470" s="16" t="b">
        <v>0</v>
      </c>
      <c r="O3470" s="16" t="n">
        <v>513.8069922494652</v>
      </c>
      <c r="P3470" s="16" t="n">
        <v>283.1217820058687</v>
      </c>
      <c r="Q3470" s="16" t="n">
        <v>3000</v>
      </c>
      <c r="R3470" s="16" t="n">
        <v>1287.861912073163</v>
      </c>
      <c r="S3470" s="16" t="n">
        <v>0.5548240359718916</v>
      </c>
      <c r="T3470" s="16" t="n">
        <v>0.7001764300500499</v>
      </c>
      <c r="U3470" s="16" t="n">
        <v>0.9122446884430886</v>
      </c>
      <c r="V3470" s="16" t="n">
        <v>0.4396194897175426</v>
      </c>
      <c r="W3470" s="16" t="n">
        <v>0.433200959097284</v>
      </c>
      <c r="X3470" s="16" t="n">
        <v>0.516777363374591</v>
      </c>
      <c r="Y3470" s="16" t="n">
        <v>283.1217820058687</v>
      </c>
      <c r="Z3470" s="16" t="n">
        <v>3.706159327853769</v>
      </c>
      <c r="AA3470" s="16" t="n">
        <v>27.90465953259447</v>
      </c>
      <c r="AB3470" s="16" t="n">
        <v>1712.138087926837</v>
      </c>
      <c r="AC3470" s="16" t="n">
        <v>2.329442288708334</v>
      </c>
      <c r="AD3470" s="16" t="inlineStr">
        <is>
          <t>O2</t>
        </is>
      </c>
      <c r="AE3470" s="16" t="n"/>
    </row>
    <row r="3471">
      <c r="A3471" s="16" t="inlineStr">
        <is>
          <t>KF-M09-R0-P_alta-0057</t>
        </is>
      </c>
      <c r="B3471" s="16" t="inlineStr">
        <is>
          <t>4.3</t>
        </is>
      </c>
      <c r="C3471" s="16" t="inlineStr">
        <is>
          <t>4.3 P_alta</t>
        </is>
      </c>
      <c r="D3471" s="16" t="inlineStr">
        <is>
          <t>ronda 0</t>
        </is>
      </c>
      <c r="E3471" s="16" t="inlineStr">
        <is>
          <t>KF-M09</t>
        </is>
      </c>
      <c r="F3471" s="16" t="inlineStr">
        <is>
          <t>KF-M09-R0-P_alta</t>
        </is>
      </c>
      <c r="G3471" s="16" t="inlineStr">
        <is>
          <t>B13-P_alta</t>
        </is>
      </c>
      <c r="H3471" s="16" t="inlineStr">
        <is>
          <t>lhs</t>
        </is>
      </c>
      <c r="I3471" s="16" t="inlineStr">
        <is>
          <t>CORREGIBLE</t>
        </is>
      </c>
      <c r="J3471" s="16" t="inlineStr">
        <is>
          <t>CORREGIBLE</t>
        </is>
      </c>
      <c r="K3471" s="16" t="b">
        <v>1</v>
      </c>
      <c r="L3471" s="16" t="b">
        <v>0</v>
      </c>
      <c r="M3471" s="16" t="b">
        <v>0</v>
      </c>
      <c r="N3471" s="16" t="b">
        <v>0</v>
      </c>
      <c r="O3471" s="16" t="n">
        <v>475.4714631699624</v>
      </c>
      <c r="P3471" s="16" t="n">
        <v>293.3603332982901</v>
      </c>
      <c r="Q3471" s="16" t="n">
        <v>3000</v>
      </c>
      <c r="R3471" s="16" t="n">
        <v>1177.60585380992</v>
      </c>
      <c r="S3471" s="16" t="n">
        <v>0.7570061162156682</v>
      </c>
      <c r="T3471" s="16" t="n">
        <v>0.6858909093760477</v>
      </c>
      <c r="U3471" s="16" t="n">
        <v>0.469342129265367</v>
      </c>
      <c r="V3471" s="16" t="n">
        <v>0.4805730650106621</v>
      </c>
      <c r="W3471" s="16" t="n">
        <v>0.5541366731936564</v>
      </c>
      <c r="X3471" s="16" t="n">
        <v>0.8379577091905867</v>
      </c>
      <c r="Y3471" s="16" t="n">
        <v>293.3603332982901</v>
      </c>
      <c r="Z3471" s="16" t="n">
        <v>6.038667652372251</v>
      </c>
      <c r="AA3471" s="16" t="n">
        <v>52.05149422370346</v>
      </c>
      <c r="AB3471" s="16" t="n">
        <v>1822.39414619008</v>
      </c>
      <c r="AC3471" s="16" t="n">
        <v>2.547541684082216</v>
      </c>
      <c r="AD3471" s="16" t="inlineStr">
        <is>
          <t>O2</t>
        </is>
      </c>
      <c r="AE3471" s="16" t="n"/>
    </row>
    <row r="3472">
      <c r="A3472" s="16" t="inlineStr">
        <is>
          <t>KF-M09-R0-P_alta-0058</t>
        </is>
      </c>
      <c r="B3472" s="16" t="inlineStr">
        <is>
          <t>4.3</t>
        </is>
      </c>
      <c r="C3472" s="16" t="inlineStr">
        <is>
          <t>4.3 P_alta</t>
        </is>
      </c>
      <c r="D3472" s="16" t="inlineStr">
        <is>
          <t>ronda 0</t>
        </is>
      </c>
      <c r="E3472" s="16" t="inlineStr">
        <is>
          <t>KF-M09</t>
        </is>
      </c>
      <c r="F3472" s="16" t="inlineStr">
        <is>
          <t>KF-M09-R0-P_alta</t>
        </is>
      </c>
      <c r="G3472" s="16" t="inlineStr">
        <is>
          <t>B13-P_alta</t>
        </is>
      </c>
      <c r="H3472" s="16" t="inlineStr">
        <is>
          <t>lhs</t>
        </is>
      </c>
      <c r="I3472" s="16" t="inlineStr">
        <is>
          <t>CORREGIBLE</t>
        </is>
      </c>
      <c r="J3472" s="16" t="inlineStr">
        <is>
          <t>CORREGIBLE</t>
        </is>
      </c>
      <c r="K3472" s="16" t="b">
        <v>1</v>
      </c>
      <c r="L3472" s="16" t="b">
        <v>0</v>
      </c>
      <c r="M3472" s="16" t="b">
        <v>0</v>
      </c>
      <c r="N3472" s="16" t="b">
        <v>0</v>
      </c>
      <c r="O3472" s="16" t="n">
        <v>444.865630827098</v>
      </c>
      <c r="P3472" s="16" t="n">
        <v>288.8875027359679</v>
      </c>
      <c r="Q3472" s="16" t="n">
        <v>3000</v>
      </c>
      <c r="R3472" s="16" t="n">
        <v>1609.762366350216</v>
      </c>
      <c r="S3472" s="16" t="n">
        <v>0.7180965279351152</v>
      </c>
      <c r="T3472" s="16" t="n">
        <v>0.6389422536564862</v>
      </c>
      <c r="U3472" s="16" t="n">
        <v>0.6500858015264481</v>
      </c>
      <c r="V3472" s="16" t="n">
        <v>0.446139709159702</v>
      </c>
      <c r="W3472" s="16" t="n">
        <v>0.4087348242379982</v>
      </c>
      <c r="X3472" s="16" t="n">
        <v>0.6562275851301168</v>
      </c>
      <c r="Y3472" s="16" t="n">
        <v>288.8875027359679</v>
      </c>
      <c r="Z3472" s="16" t="n">
        <v>3.05594161195202</v>
      </c>
      <c r="AA3472" s="16" t="n">
        <v>20.85038053085349</v>
      </c>
      <c r="AB3472" s="16" t="n">
        <v>1390.237633649784</v>
      </c>
      <c r="AC3472" s="16" t="n">
        <v>1.863629106202702</v>
      </c>
      <c r="AD3472" s="16" t="inlineStr">
        <is>
          <t>O2</t>
        </is>
      </c>
      <c r="AE3472" s="16" t="n"/>
    </row>
    <row r="3473">
      <c r="A3473" s="16" t="inlineStr">
        <is>
          <t>KF-M09-R0-P_alta-0059</t>
        </is>
      </c>
      <c r="B3473" s="16" t="inlineStr">
        <is>
          <t>4.3</t>
        </is>
      </c>
      <c r="C3473" s="16" t="inlineStr">
        <is>
          <t>4.3 P_alta</t>
        </is>
      </c>
      <c r="D3473" s="16" t="inlineStr">
        <is>
          <t>ronda 0</t>
        </is>
      </c>
      <c r="E3473" s="16" t="inlineStr">
        <is>
          <t>KF-M09</t>
        </is>
      </c>
      <c r="F3473" s="16" t="inlineStr">
        <is>
          <t>KF-M09-R0-P_alta</t>
        </is>
      </c>
      <c r="G3473" s="16" t="inlineStr">
        <is>
          <t>B13-P_alta</t>
        </is>
      </c>
      <c r="H3473" s="16" t="inlineStr">
        <is>
          <t>lhs</t>
        </is>
      </c>
      <c r="I3473" s="16" t="inlineStr">
        <is>
          <t>CORREGIBLE</t>
        </is>
      </c>
      <c r="J3473" s="16" t="inlineStr">
        <is>
          <t>CORREGIBLE</t>
        </is>
      </c>
      <c r="K3473" s="16" t="b">
        <v>1</v>
      </c>
      <c r="L3473" s="16" t="b">
        <v>0</v>
      </c>
      <c r="M3473" s="16" t="b">
        <v>0</v>
      </c>
      <c r="N3473" s="16" t="b">
        <v>0</v>
      </c>
      <c r="O3473" s="16" t="n">
        <v>417.4739308511936</v>
      </c>
      <c r="P3473" s="16" t="n">
        <v>286.2426751236092</v>
      </c>
      <c r="Q3473" s="16" t="n">
        <v>3000</v>
      </c>
      <c r="R3473" s="16" t="n">
        <v>516.6987265068802</v>
      </c>
      <c r="S3473" s="16" t="n">
        <v>0.5514824673659133</v>
      </c>
      <c r="T3473" s="16" t="n">
        <v>0.8332348352454695</v>
      </c>
      <c r="U3473" s="16" t="n">
        <v>0.4780804253065162</v>
      </c>
      <c r="V3473" s="16" t="n">
        <v>0.6932349412688279</v>
      </c>
      <c r="W3473" s="16" t="n">
        <v>0.5693714630987133</v>
      </c>
      <c r="X3473" s="16" t="n">
        <v>0.6454535048026404</v>
      </c>
      <c r="Y3473" s="16" t="n">
        <v>286.2426751236092</v>
      </c>
      <c r="Z3473" s="16" t="n">
        <v>8.157407185629181</v>
      </c>
      <c r="AA3473" s="16" t="n">
        <v>39.22789923124425</v>
      </c>
      <c r="AB3473" s="16" t="n">
        <v>2483.30127349312</v>
      </c>
      <c r="AC3473" s="16" t="n">
        <v>5.806091337366694</v>
      </c>
      <c r="AD3473" s="16" t="inlineStr">
        <is>
          <t>O2</t>
        </is>
      </c>
      <c r="AE3473" s="16" t="n"/>
    </row>
    <row r="3474">
      <c r="A3474" s="16" t="inlineStr">
        <is>
          <t>KF-M09-R0-P_alta-0060</t>
        </is>
      </c>
      <c r="B3474" s="16" t="inlineStr">
        <is>
          <t>4.3</t>
        </is>
      </c>
      <c r="C3474" s="16" t="inlineStr">
        <is>
          <t>4.3 P_alta</t>
        </is>
      </c>
      <c r="D3474" s="16" t="inlineStr">
        <is>
          <t>ronda 0</t>
        </is>
      </c>
      <c r="E3474" s="16" t="inlineStr">
        <is>
          <t>KF-M09</t>
        </is>
      </c>
      <c r="F3474" s="16" t="inlineStr">
        <is>
          <t>KF-M09-R0-P_alta</t>
        </is>
      </c>
      <c r="G3474" s="16" t="inlineStr">
        <is>
          <t>B13-P_alta</t>
        </is>
      </c>
      <c r="H3474" s="16" t="inlineStr">
        <is>
          <t>lhs</t>
        </is>
      </c>
      <c r="I3474" s="16" t="inlineStr">
        <is>
          <t>CORREGIBLE</t>
        </is>
      </c>
      <c r="J3474" s="16" t="inlineStr">
        <is>
          <t>CORREGIBLE</t>
        </is>
      </c>
      <c r="K3474" s="16" t="b">
        <v>1</v>
      </c>
      <c r="L3474" s="16" t="b">
        <v>0</v>
      </c>
      <c r="M3474" s="16" t="b">
        <v>0</v>
      </c>
      <c r="N3474" s="16" t="b">
        <v>0</v>
      </c>
      <c r="O3474" s="16" t="n">
        <v>406.4912780205618</v>
      </c>
      <c r="P3474" s="16" t="n">
        <v>297.52914301381</v>
      </c>
      <c r="Q3474" s="16" t="n">
        <v>3000</v>
      </c>
      <c r="R3474" s="16" t="n">
        <v>1207.358520444027</v>
      </c>
      <c r="S3474" s="16" t="n">
        <v>0.6616358859042568</v>
      </c>
      <c r="T3474" s="16" t="n">
        <v>0.8904558111229268</v>
      </c>
      <c r="U3474" s="16" t="n">
        <v>0.7638766188274873</v>
      </c>
      <c r="V3474" s="16" t="n">
        <v>0.5985675718892947</v>
      </c>
      <c r="W3474" s="16" t="n">
        <v>0.4666468992257646</v>
      </c>
      <c r="X3474" s="16" t="n">
        <v>0.736867974303861</v>
      </c>
      <c r="Y3474" s="16" t="n">
        <v>297.52914301381</v>
      </c>
      <c r="Z3474" s="16" t="n">
        <v>6.89460217938887</v>
      </c>
      <c r="AA3474" s="16" t="n">
        <v>34.49081232983585</v>
      </c>
      <c r="AB3474" s="16" t="n">
        <v>1792.641479555973</v>
      </c>
      <c r="AC3474" s="16" t="n">
        <v>2.484763182767533</v>
      </c>
      <c r="AD3474" s="16" t="inlineStr">
        <is>
          <t>O2</t>
        </is>
      </c>
      <c r="AE3474" s="16" t="n"/>
    </row>
    <row r="3475">
      <c r="A3475" s="16" t="inlineStr">
        <is>
          <t>KF-M09-R0-P_alta-0061</t>
        </is>
      </c>
      <c r="B3475" s="16" t="inlineStr">
        <is>
          <t>4.3</t>
        </is>
      </c>
      <c r="C3475" s="16" t="inlineStr">
        <is>
          <t>4.3 P_alta</t>
        </is>
      </c>
      <c r="D3475" s="16" t="inlineStr">
        <is>
          <t>ronda 0</t>
        </is>
      </c>
      <c r="E3475" s="16" t="inlineStr">
        <is>
          <t>KF-M09</t>
        </is>
      </c>
      <c r="F3475" s="16" t="inlineStr">
        <is>
          <t>KF-M09-R0-P_alta</t>
        </is>
      </c>
      <c r="G3475" s="16" t="inlineStr">
        <is>
          <t>B13-P_alta</t>
        </is>
      </c>
      <c r="H3475" s="16" t="inlineStr">
        <is>
          <t>lhs</t>
        </is>
      </c>
      <c r="I3475" s="16" t="inlineStr">
        <is>
          <t>INVIABLE</t>
        </is>
      </c>
      <c r="J3475" s="16" t="inlineStr">
        <is>
          <t>INVIABLE</t>
        </is>
      </c>
      <c r="K3475" s="16" t="b">
        <v>1</v>
      </c>
      <c r="L3475" s="16" t="b">
        <v>0</v>
      </c>
      <c r="M3475" s="16" t="b">
        <v>1</v>
      </c>
      <c r="N3475" s="16" t="b">
        <v>0</v>
      </c>
      <c r="O3475" s="16" t="n">
        <v>509.1812018679144</v>
      </c>
      <c r="P3475" s="16" t="n">
        <v>284.976085344398</v>
      </c>
      <c r="Q3475" s="16" t="n">
        <v>3000</v>
      </c>
      <c r="R3475" s="16" t="n">
        <v>1929.225042620832</v>
      </c>
      <c r="S3475" s="16" t="n">
        <v>0.7500923707448428</v>
      </c>
      <c r="T3475" s="16" t="n">
        <v>0.4728377156888699</v>
      </c>
      <c r="U3475" s="16" t="n">
        <v>0.636137929656758</v>
      </c>
      <c r="V3475" s="16" t="n">
        <v>0.7478111876014814</v>
      </c>
      <c r="W3475" s="16" t="n">
        <v>0.6140204903158009</v>
      </c>
      <c r="X3475" s="16" t="n">
        <v>0.5596958528764757</v>
      </c>
      <c r="Y3475" s="16" t="n">
        <v>284.976085344398</v>
      </c>
      <c r="Z3475" s="16" t="n">
        <v>-0.921734125505</v>
      </c>
      <c r="AA3475" s="16" t="n">
        <v>-9.139042380736008</v>
      </c>
      <c r="AB3475" s="16" t="n">
        <v>1070.774957379168</v>
      </c>
      <c r="AC3475" s="16" t="n">
        <v>1.555028539296033</v>
      </c>
      <c r="AD3475" s="16" t="inlineStr">
        <is>
          <t>O2,O3</t>
        </is>
      </c>
      <c r="AE3475" s="16" t="n"/>
    </row>
    <row r="3476">
      <c r="A3476" s="16" t="inlineStr">
        <is>
          <t>KF-M09-R0-P_alta-0062</t>
        </is>
      </c>
      <c r="B3476" s="16" t="inlineStr">
        <is>
          <t>4.3</t>
        </is>
      </c>
      <c r="C3476" s="16" t="inlineStr">
        <is>
          <t>4.3 P_alta</t>
        </is>
      </c>
      <c r="D3476" s="16" t="inlineStr">
        <is>
          <t>ronda 0</t>
        </is>
      </c>
      <c r="E3476" s="16" t="inlineStr">
        <is>
          <t>KF-M09</t>
        </is>
      </c>
      <c r="F3476" s="16" t="inlineStr">
        <is>
          <t>KF-M09-R0-P_alta</t>
        </is>
      </c>
      <c r="G3476" s="16" t="inlineStr">
        <is>
          <t>B13-P_alta</t>
        </is>
      </c>
      <c r="H3476" s="16" t="inlineStr">
        <is>
          <t>lhs</t>
        </is>
      </c>
      <c r="I3476" s="16" t="inlineStr">
        <is>
          <t>CORREGIBLE</t>
        </is>
      </c>
      <c r="J3476" s="16" t="inlineStr">
        <is>
          <t>CORREGIBLE</t>
        </is>
      </c>
      <c r="K3476" s="16" t="b">
        <v>1</v>
      </c>
      <c r="L3476" s="16" t="b">
        <v>0</v>
      </c>
      <c r="M3476" s="16" t="b">
        <v>0</v>
      </c>
      <c r="N3476" s="16" t="b">
        <v>0</v>
      </c>
      <c r="O3476" s="16" t="n">
        <v>472.4107030235399</v>
      </c>
      <c r="P3476" s="16" t="n">
        <v>281.3937658421876</v>
      </c>
      <c r="Q3476" s="16" t="n">
        <v>3000</v>
      </c>
      <c r="R3476" s="16" t="n">
        <v>1642.036477455628</v>
      </c>
      <c r="S3476" s="16" t="n">
        <v>0.7681693636007016</v>
      </c>
      <c r="T3476" s="16" t="n">
        <v>0.5004014110588167</v>
      </c>
      <c r="U3476" s="16" t="n">
        <v>0.5621073726736386</v>
      </c>
      <c r="V3476" s="16" t="n">
        <v>0.4927773189911142</v>
      </c>
      <c r="W3476" s="16" t="n">
        <v>0.9233307582375267</v>
      </c>
      <c r="X3476" s="16" t="n">
        <v>0.6500907339535629</v>
      </c>
      <c r="Y3476" s="16" t="n">
        <v>281.3937658421876</v>
      </c>
      <c r="Z3476" s="16" t="n">
        <v>1.57178850869586</v>
      </c>
      <c r="AA3476" s="16" t="n">
        <v>12.08387313141434</v>
      </c>
      <c r="AB3476" s="16" t="n">
        <v>1357.963522544372</v>
      </c>
      <c r="AC3476" s="16" t="n">
        <v>1.826999607614422</v>
      </c>
      <c r="AD3476" s="16" t="inlineStr">
        <is>
          <t>O2</t>
        </is>
      </c>
      <c r="AE3476" s="16" t="n"/>
    </row>
    <row r="3477">
      <c r="A3477" s="16" t="inlineStr">
        <is>
          <t>KF-M09-R0-P_alta-0063</t>
        </is>
      </c>
      <c r="B3477" s="16" t="inlineStr">
        <is>
          <t>4.3</t>
        </is>
      </c>
      <c r="C3477" s="16" t="inlineStr">
        <is>
          <t>4.3 P_alta</t>
        </is>
      </c>
      <c r="D3477" s="16" t="inlineStr">
        <is>
          <t>ronda 0</t>
        </is>
      </c>
      <c r="E3477" s="16" t="inlineStr">
        <is>
          <t>KF-M09</t>
        </is>
      </c>
      <c r="F3477" s="16" t="inlineStr">
        <is>
          <t>KF-M09-R0-P_alta</t>
        </is>
      </c>
      <c r="G3477" s="16" t="inlineStr">
        <is>
          <t>B13-P_alta</t>
        </is>
      </c>
      <c r="H3477" s="16" t="inlineStr">
        <is>
          <t>lhs</t>
        </is>
      </c>
      <c r="I3477" s="16" t="inlineStr">
        <is>
          <t>CORREGIBLE</t>
        </is>
      </c>
      <c r="J3477" s="16" t="inlineStr">
        <is>
          <t>CORREGIBLE</t>
        </is>
      </c>
      <c r="K3477" s="16" t="b">
        <v>1</v>
      </c>
      <c r="L3477" s="16" t="b">
        <v>0</v>
      </c>
      <c r="M3477" s="16" t="b">
        <v>0</v>
      </c>
      <c r="N3477" s="16" t="b">
        <v>0</v>
      </c>
      <c r="O3477" s="16" t="n">
        <v>502.7775545824757</v>
      </c>
      <c r="P3477" s="16" t="n">
        <v>285.2017725167254</v>
      </c>
      <c r="Q3477" s="16" t="n">
        <v>3000</v>
      </c>
      <c r="R3477" s="16" t="n">
        <v>1734.064689024997</v>
      </c>
      <c r="S3477" s="16" t="n">
        <v>0.7822487441464996</v>
      </c>
      <c r="T3477" s="16" t="n">
        <v>0.6206195440573364</v>
      </c>
      <c r="U3477" s="16" t="n">
        <v>0.832496490649312</v>
      </c>
      <c r="V3477" s="16" t="n">
        <v>0.6315646646781981</v>
      </c>
      <c r="W3477" s="16" t="n">
        <v>0.6462447717781598</v>
      </c>
      <c r="X3477" s="16" t="n">
        <v>0.7634416577242544</v>
      </c>
      <c r="Y3477" s="16" t="n">
        <v>285.2017725167254</v>
      </c>
      <c r="Z3477" s="16" t="n">
        <v>3.5048211086587</v>
      </c>
      <c r="AA3477" s="16" t="n">
        <v>38.18422572480432</v>
      </c>
      <c r="AB3477" s="16" t="n">
        <v>1265.935310975003</v>
      </c>
      <c r="AC3477" s="16" t="n">
        <v>1.730039264963519</v>
      </c>
      <c r="AD3477" s="16" t="inlineStr">
        <is>
          <t>O2</t>
        </is>
      </c>
      <c r="AE3477" s="16" t="n"/>
    </row>
    <row r="3478">
      <c r="A3478" s="16" t="inlineStr">
        <is>
          <t>KF-M09-R0-P_alta-0064</t>
        </is>
      </c>
      <c r="B3478" s="16" t="inlineStr">
        <is>
          <t>4.3</t>
        </is>
      </c>
      <c r="C3478" s="16" t="inlineStr">
        <is>
          <t>4.3 P_alta</t>
        </is>
      </c>
      <c r="D3478" s="16" t="inlineStr">
        <is>
          <t>ronda 0</t>
        </is>
      </c>
      <c r="E3478" s="16" t="inlineStr">
        <is>
          <t>KF-M09</t>
        </is>
      </c>
      <c r="F3478" s="16" t="inlineStr">
        <is>
          <t>KF-M09-R0-P_alta</t>
        </is>
      </c>
      <c r="G3478" s="16" t="inlineStr">
        <is>
          <t>B13-P_alta</t>
        </is>
      </c>
      <c r="H3478" s="16" t="inlineStr">
        <is>
          <t>lhs</t>
        </is>
      </c>
      <c r="I3478" s="16" t="inlineStr">
        <is>
          <t>KALINA</t>
        </is>
      </c>
      <c r="J3478" s="16" t="inlineStr">
        <is>
          <t>KALINA</t>
        </is>
      </c>
      <c r="K3478" s="16" t="b">
        <v>1</v>
      </c>
      <c r="L3478" s="16" t="b">
        <v>0</v>
      </c>
      <c r="M3478" s="16" t="b">
        <v>1</v>
      </c>
      <c r="N3478" s="16" t="b">
        <v>0</v>
      </c>
      <c r="O3478" s="16" t="n">
        <v>456.9039274510153</v>
      </c>
      <c r="P3478" s="16" t="n">
        <v>294.664000822842</v>
      </c>
      <c r="Q3478" s="16" t="n">
        <v>3000</v>
      </c>
      <c r="R3478" s="16" t="n">
        <v>1533.88130783315</v>
      </c>
      <c r="S3478" s="16" t="n">
        <v>0.5675617061087495</v>
      </c>
      <c r="T3478" s="16" t="n">
        <v>0.7714212049679945</v>
      </c>
      <c r="U3478" s="16" t="n">
        <v>0.588911579876251</v>
      </c>
      <c r="V3478" s="16" t="n">
        <v>0.6491522223079796</v>
      </c>
      <c r="W3478" s="16" t="n">
        <v>0.8352386595305477</v>
      </c>
      <c r="X3478" s="16" t="n">
        <v>0.9274429523774106</v>
      </c>
      <c r="Y3478" s="16" t="n">
        <v>294.664000822842</v>
      </c>
      <c r="Z3478" s="16" t="n">
        <v>4.46489436909319</v>
      </c>
      <c r="AA3478" s="16" t="n">
        <v>46.887402557222</v>
      </c>
      <c r="AB3478" s="16" t="n">
        <v>1466.11869216685</v>
      </c>
      <c r="AC3478" s="16" t="n">
        <v>1.955822777603292</v>
      </c>
      <c r="AD3478" s="16" t="n"/>
      <c r="AE3478" s="16" t="n"/>
    </row>
    <row r="3479">
      <c r="A3479" s="16" t="inlineStr">
        <is>
          <t>KF-M09-R0-P_alta-0065</t>
        </is>
      </c>
      <c r="B3479" s="16" t="inlineStr">
        <is>
          <t>4.3</t>
        </is>
      </c>
      <c r="C3479" s="16" t="inlineStr">
        <is>
          <t>4.3 P_alta</t>
        </is>
      </c>
      <c r="D3479" s="16" t="inlineStr">
        <is>
          <t>ronda 0</t>
        </is>
      </c>
      <c r="E3479" s="16" t="inlineStr">
        <is>
          <t>KF-M09</t>
        </is>
      </c>
      <c r="F3479" s="16" t="inlineStr">
        <is>
          <t>KF-M09-R0-P_alta</t>
        </is>
      </c>
      <c r="G3479" s="16" t="inlineStr">
        <is>
          <t>B13-P_alta</t>
        </is>
      </c>
      <c r="H3479" s="16" t="inlineStr">
        <is>
          <t>lhs</t>
        </is>
      </c>
      <c r="I3479" s="16" t="inlineStr">
        <is>
          <t>INVIABLE</t>
        </is>
      </c>
      <c r="J3479" s="16" t="inlineStr">
        <is>
          <t>INVIABLE</t>
        </is>
      </c>
      <c r="K3479" s="16" t="b">
        <v>1</v>
      </c>
      <c r="L3479" s="16" t="b">
        <v>0</v>
      </c>
      <c r="M3479" s="16" t="b">
        <v>0</v>
      </c>
      <c r="N3479" s="16" t="b">
        <v>0</v>
      </c>
      <c r="O3479" s="16" t="n">
        <v>388.4445322180645</v>
      </c>
      <c r="P3479" s="16" t="n">
        <v>301.1704998461383</v>
      </c>
      <c r="Q3479" s="16" t="n">
        <v>3000</v>
      </c>
      <c r="R3479" s="16" t="n">
        <v>592.4591079289827</v>
      </c>
      <c r="S3479" s="16" t="n">
        <v>0.7621555152404844</v>
      </c>
      <c r="T3479" s="16" t="n">
        <v>0.8142558000647655</v>
      </c>
      <c r="U3479" s="16" t="n">
        <v>0.5784804159357346</v>
      </c>
      <c r="V3479" s="16" t="n">
        <v>0.8920911767978423</v>
      </c>
      <c r="W3479" s="16" t="n">
        <v>0.5400372648156042</v>
      </c>
      <c r="X3479" s="16" t="n">
        <v>0.9373310211775008</v>
      </c>
      <c r="Y3479" s="16" t="n">
        <v>301.1704998461383</v>
      </c>
      <c r="Z3479" s="16" t="n">
        <v>-9.20679631860987</v>
      </c>
      <c r="AA3479" s="16" t="n">
        <v>-30.82176800192822</v>
      </c>
      <c r="AB3479" s="16" t="n">
        <v>2407.540892071017</v>
      </c>
      <c r="AC3479" s="16" t="n">
        <v>5.063640612238856</v>
      </c>
      <c r="AD3479" s="16" t="inlineStr">
        <is>
          <t>O2,O3</t>
        </is>
      </c>
      <c r="AE3479" s="16" t="n"/>
    </row>
    <row r="3480">
      <c r="A3480" s="16" t="inlineStr">
        <is>
          <t>KF-M09-R0-P_alta-0066</t>
        </is>
      </c>
      <c r="B3480" s="16" t="inlineStr">
        <is>
          <t>4.3</t>
        </is>
      </c>
      <c r="C3480" s="16" t="inlineStr">
        <is>
          <t>4.3 P_alta</t>
        </is>
      </c>
      <c r="D3480" s="16" t="inlineStr">
        <is>
          <t>ronda 0</t>
        </is>
      </c>
      <c r="E3480" s="16" t="inlineStr">
        <is>
          <t>KF-M09</t>
        </is>
      </c>
      <c r="F3480" s="16" t="inlineStr">
        <is>
          <t>KF-M09-R0-P_alta</t>
        </is>
      </c>
      <c r="G3480" s="16" t="inlineStr">
        <is>
          <t>B13-P_alta</t>
        </is>
      </c>
      <c r="H3480" s="16" t="inlineStr">
        <is>
          <t>lhs</t>
        </is>
      </c>
      <c r="I3480" s="16" t="inlineStr">
        <is>
          <t>CORREGIBLE</t>
        </is>
      </c>
      <c r="J3480" s="16" t="inlineStr">
        <is>
          <t>CORREGIBLE</t>
        </is>
      </c>
      <c r="K3480" s="16" t="b">
        <v>1</v>
      </c>
      <c r="L3480" s="16" t="b">
        <v>0</v>
      </c>
      <c r="M3480" s="16" t="b">
        <v>0</v>
      </c>
      <c r="N3480" s="16" t="b">
        <v>0</v>
      </c>
      <c r="O3480" s="16" t="n">
        <v>391.3670423682252</v>
      </c>
      <c r="P3480" s="16" t="n">
        <v>282.0082026230891</v>
      </c>
      <c r="Q3480" s="16" t="n">
        <v>3000</v>
      </c>
      <c r="R3480" s="16" t="n">
        <v>352.9670100833578</v>
      </c>
      <c r="S3480" s="16" t="n">
        <v>0.6575091445646517</v>
      </c>
      <c r="T3480" s="16" t="n">
        <v>0.8227862125160643</v>
      </c>
      <c r="U3480" s="16" t="n">
        <v>0.4766401644437942</v>
      </c>
      <c r="V3480" s="16" t="n">
        <v>0.8139276048406094</v>
      </c>
      <c r="W3480" s="16" t="n">
        <v>0.9013109424497976</v>
      </c>
      <c r="X3480" s="16" t="n">
        <v>0.6654690045540002</v>
      </c>
      <c r="Y3480" s="16" t="n">
        <v>282.0082026230891</v>
      </c>
      <c r="Z3480" s="16" t="n">
        <v>9.84247046373531</v>
      </c>
      <c r="AA3480" s="16" t="n">
        <v>43.94842949942995</v>
      </c>
      <c r="AB3480" s="16" t="n">
        <v>2647.032989916642</v>
      </c>
      <c r="AC3480" s="16" t="n">
        <v>8.499377886028245</v>
      </c>
      <c r="AD3480" s="16" t="inlineStr">
        <is>
          <t>O2</t>
        </is>
      </c>
      <c r="AE3480" s="16" t="n"/>
    </row>
    <row r="3481">
      <c r="A3481" s="16" t="inlineStr">
        <is>
          <t>KF-M09-R0-P_alta-0067</t>
        </is>
      </c>
      <c r="B3481" s="16" t="inlineStr">
        <is>
          <t>4.3</t>
        </is>
      </c>
      <c r="C3481" s="16" t="inlineStr">
        <is>
          <t>4.3 P_alta</t>
        </is>
      </c>
      <c r="D3481" s="16" t="inlineStr">
        <is>
          <t>ronda 0</t>
        </is>
      </c>
      <c r="E3481" s="16" t="inlineStr">
        <is>
          <t>KF-M09</t>
        </is>
      </c>
      <c r="F3481" s="16" t="inlineStr">
        <is>
          <t>KF-M09-R0-P_alta</t>
        </is>
      </c>
      <c r="G3481" s="16" t="inlineStr">
        <is>
          <t>B13-P_alta</t>
        </is>
      </c>
      <c r="H3481" s="16" t="inlineStr">
        <is>
          <t>lhs</t>
        </is>
      </c>
      <c r="I3481" s="16" t="inlineStr">
        <is>
          <t>KALINA</t>
        </is>
      </c>
      <c r="J3481" s="16" t="inlineStr">
        <is>
          <t>KALINA</t>
        </is>
      </c>
      <c r="K3481" s="16" t="b">
        <v>1</v>
      </c>
      <c r="L3481" s="16" t="b">
        <v>0</v>
      </c>
      <c r="M3481" s="16" t="b">
        <v>1</v>
      </c>
      <c r="N3481" s="16" t="b">
        <v>0</v>
      </c>
      <c r="O3481" s="16" t="n">
        <v>466.0846911558333</v>
      </c>
      <c r="P3481" s="16" t="n">
        <v>278.8794063062427</v>
      </c>
      <c r="Q3481" s="16" t="n">
        <v>3000</v>
      </c>
      <c r="R3481" s="16" t="n">
        <v>1827.003218437072</v>
      </c>
      <c r="S3481" s="16" t="n">
        <v>0.5663747619471395</v>
      </c>
      <c r="T3481" s="16" t="n">
        <v>0.5144340235705508</v>
      </c>
      <c r="U3481" s="16" t="n">
        <v>0.6149024470548893</v>
      </c>
      <c r="V3481" s="16" t="n">
        <v>0.613871144000889</v>
      </c>
      <c r="W3481" s="16" t="n">
        <v>0.621564281354944</v>
      </c>
      <c r="X3481" s="16" t="n">
        <v>0.9451658863536048</v>
      </c>
      <c r="Y3481" s="16" t="n">
        <v>278.8794063062427</v>
      </c>
      <c r="Z3481" s="16" t="n">
        <v>1.95751783929127</v>
      </c>
      <c r="AA3481" s="16" t="n">
        <v>25.13194035692005</v>
      </c>
      <c r="AB3481" s="16" t="n">
        <v>1172.996781562928</v>
      </c>
      <c r="AC3481" s="16" t="n">
        <v>1.642033232194511</v>
      </c>
      <c r="AD3481" s="16" t="n"/>
      <c r="AE3481" s="16" t="n"/>
    </row>
    <row r="3482">
      <c r="A3482" s="16" t="inlineStr">
        <is>
          <t>KF-M09-R0-P_alta-0068</t>
        </is>
      </c>
      <c r="B3482" s="16" t="inlineStr">
        <is>
          <t>4.3</t>
        </is>
      </c>
      <c r="C3482" s="16" t="inlineStr">
        <is>
          <t>4.3 P_alta</t>
        </is>
      </c>
      <c r="D3482" s="16" t="inlineStr">
        <is>
          <t>ronda 0</t>
        </is>
      </c>
      <c r="E3482" s="16" t="inlineStr">
        <is>
          <t>KF-M09</t>
        </is>
      </c>
      <c r="F3482" s="16" t="inlineStr">
        <is>
          <t>KF-M09-R0-P_alta</t>
        </is>
      </c>
      <c r="G3482" s="16" t="inlineStr">
        <is>
          <t>B13-P_alta</t>
        </is>
      </c>
      <c r="H3482" s="16" t="inlineStr">
        <is>
          <t>lhs</t>
        </is>
      </c>
      <c r="I3482" s="16" t="inlineStr">
        <is>
          <t>KALINA</t>
        </is>
      </c>
      <c r="J3482" s="16" t="inlineStr">
        <is>
          <t>KALINA</t>
        </is>
      </c>
      <c r="K3482" s="16" t="b">
        <v>1</v>
      </c>
      <c r="L3482" s="16" t="b">
        <v>1</v>
      </c>
      <c r="M3482" s="16" t="b">
        <v>0</v>
      </c>
      <c r="N3482" s="16" t="b">
        <v>0</v>
      </c>
      <c r="O3482" s="16" t="n">
        <v>451.8993168234729</v>
      </c>
      <c r="P3482" s="16" t="n">
        <v>280.5290181548478</v>
      </c>
      <c r="Q3482" s="16" t="n">
        <v>3000</v>
      </c>
      <c r="R3482" s="16" t="n">
        <v>808.6670641300472</v>
      </c>
      <c r="S3482" s="16" t="n">
        <v>0.7530181850501871</v>
      </c>
      <c r="T3482" s="16" t="n">
        <v>0.5233697162668204</v>
      </c>
      <c r="U3482" s="16" t="n">
        <v>0.7158756552999136</v>
      </c>
      <c r="V3482" s="16" t="n">
        <v>0.7108671414294039</v>
      </c>
      <c r="W3482" s="16" t="n">
        <v>0.6917934504008335</v>
      </c>
      <c r="X3482" s="16" t="n">
        <v>0.928665065521196</v>
      </c>
      <c r="Y3482" s="16" t="n">
        <v>280.5290181548478</v>
      </c>
      <c r="Z3482" s="16" t="n">
        <v>6.31292400868158</v>
      </c>
      <c r="AA3482" s="16" t="n">
        <v>82.43496971579569</v>
      </c>
      <c r="AB3482" s="16" t="n">
        <v>2191.332935869953</v>
      </c>
      <c r="AC3482" s="16" t="n">
        <v>3.709808564081138</v>
      </c>
      <c r="AD3482" s="16" t="n"/>
      <c r="AE3482" s="16" t="n"/>
    </row>
    <row r="3483">
      <c r="A3483" s="16" t="inlineStr">
        <is>
          <t>KF-M09-R0-P_alta-0069</t>
        </is>
      </c>
      <c r="B3483" s="16" t="inlineStr">
        <is>
          <t>4.3</t>
        </is>
      </c>
      <c r="C3483" s="16" t="inlineStr">
        <is>
          <t>4.3 P_alta</t>
        </is>
      </c>
      <c r="D3483" s="16" t="inlineStr">
        <is>
          <t>ronda 0</t>
        </is>
      </c>
      <c r="E3483" s="16" t="inlineStr">
        <is>
          <t>KF-M09</t>
        </is>
      </c>
      <c r="F3483" s="16" t="inlineStr">
        <is>
          <t>KF-M09-R0-P_alta</t>
        </is>
      </c>
      <c r="G3483" s="16" t="inlineStr">
        <is>
          <t>B13-P_alta</t>
        </is>
      </c>
      <c r="H3483" s="16" t="inlineStr">
        <is>
          <t>lhs</t>
        </is>
      </c>
      <c r="I3483" s="16" t="inlineStr">
        <is>
          <t>CORREGIBLE</t>
        </is>
      </c>
      <c r="J3483" s="16" t="inlineStr">
        <is>
          <t>CORREGIBLE</t>
        </is>
      </c>
      <c r="K3483" s="16" t="b">
        <v>1</v>
      </c>
      <c r="L3483" s="16" t="b">
        <v>0</v>
      </c>
      <c r="M3483" s="16" t="b">
        <v>0</v>
      </c>
      <c r="N3483" s="16" t="b">
        <v>0</v>
      </c>
      <c r="O3483" s="16" t="n">
        <v>428.4609097364745</v>
      </c>
      <c r="P3483" s="16" t="n">
        <v>297.2328547431524</v>
      </c>
      <c r="Q3483" s="16" t="n">
        <v>3000</v>
      </c>
      <c r="R3483" s="16" t="n">
        <v>1113.435898165091</v>
      </c>
      <c r="S3483" s="16" t="n">
        <v>0.7893725616728846</v>
      </c>
      <c r="T3483" s="16" t="n">
        <v>0.8646403261354703</v>
      </c>
      <c r="U3483" s="16" t="n">
        <v>0.4617043611240922</v>
      </c>
      <c r="V3483" s="16" t="n">
        <v>0.8317402394774277</v>
      </c>
      <c r="W3483" s="16" t="n">
        <v>0.8278661063137136</v>
      </c>
      <c r="X3483" s="16" t="n">
        <v>0.8524355215333386</v>
      </c>
      <c r="Y3483" s="16" t="n">
        <v>297.2328547431524</v>
      </c>
      <c r="Z3483" s="16" t="n">
        <v>8.50620143778608</v>
      </c>
      <c r="AA3483" s="16" t="n">
        <v>97.6808280694577</v>
      </c>
      <c r="AB3483" s="16" t="n">
        <v>1886.564101834909</v>
      </c>
      <c r="AC3483" s="16" t="n">
        <v>2.694362562715923</v>
      </c>
      <c r="AD3483" s="16" t="inlineStr">
        <is>
          <t>O2</t>
        </is>
      </c>
      <c r="AE3483" s="16" t="n"/>
    </row>
    <row r="3484">
      <c r="A3484" s="16" t="inlineStr">
        <is>
          <t>KF-M09-R0-P_alta-0070</t>
        </is>
      </c>
      <c r="B3484" s="16" t="inlineStr">
        <is>
          <t>4.3</t>
        </is>
      </c>
      <c r="C3484" s="16" t="inlineStr">
        <is>
          <t>4.3 P_alta</t>
        </is>
      </c>
      <c r="D3484" s="16" t="inlineStr">
        <is>
          <t>ronda 0</t>
        </is>
      </c>
      <c r="E3484" s="16" t="inlineStr">
        <is>
          <t>KF-M09</t>
        </is>
      </c>
      <c r="F3484" s="16" t="inlineStr">
        <is>
          <t>KF-M09-R0-P_alta</t>
        </is>
      </c>
      <c r="G3484" s="16" t="inlineStr">
        <is>
          <t>B13-P_alta</t>
        </is>
      </c>
      <c r="H3484" s="16" t="inlineStr">
        <is>
          <t>lhs</t>
        </is>
      </c>
      <c r="I3484" s="16" t="inlineStr">
        <is>
          <t>NO_CONVERGIO</t>
        </is>
      </c>
      <c r="J3484" s="16" t="inlineStr">
        <is>
          <t>NO_CONVERGIO</t>
        </is>
      </c>
      <c r="K3484" s="16" t="b">
        <v>0</v>
      </c>
      <c r="L3484" s="16" t="b">
        <v>0</v>
      </c>
      <c r="M3484" s="16" t="b">
        <v>0</v>
      </c>
      <c r="N3484" s="16" t="b">
        <v>0</v>
      </c>
      <c r="O3484" s="16" t="n">
        <v>503.4455202178239</v>
      </c>
      <c r="P3484" s="16" t="n">
        <v>289.6720125093207</v>
      </c>
      <c r="Q3484" s="16" t="n">
        <v>3000</v>
      </c>
      <c r="R3484" s="16" t="n">
        <v>302.7128976840879</v>
      </c>
      <c r="S3484" s="16" t="n">
        <v>0.7726971523874808</v>
      </c>
      <c r="T3484" s="16" t="n">
        <v>0.6898980124819433</v>
      </c>
      <c r="U3484" s="16" t="n">
        <v>0.483876219575277</v>
      </c>
      <c r="V3484" s="16" t="n">
        <v>0.5966061509272282</v>
      </c>
      <c r="W3484" s="16" t="n">
        <v>0.8432655603302812</v>
      </c>
      <c r="X3484" s="16" t="n">
        <v>0.6247897434858548</v>
      </c>
      <c r="Y3484" s="16" t="n">
        <v>289.6720125093207</v>
      </c>
      <c r="Z3484" s="16" t="n"/>
      <c r="AA3484" s="16" t="n"/>
      <c r="AB3484" s="16" t="n">
        <v>2697.287102315912</v>
      </c>
      <c r="AC3484" s="16" t="n">
        <v>9.910380505593157</v>
      </c>
      <c r="AD3484" s="16" t="n"/>
      <c r="AE3484" s="16" t="n"/>
    </row>
    <row r="3485">
      <c r="A3485" s="16" t="inlineStr">
        <is>
          <t>KF-M09-R0-P_alta-0071</t>
        </is>
      </c>
      <c r="B3485" s="16" t="inlineStr">
        <is>
          <t>4.3</t>
        </is>
      </c>
      <c r="C3485" s="16" t="inlineStr">
        <is>
          <t>4.3 P_alta</t>
        </is>
      </c>
      <c r="D3485" s="16" t="inlineStr">
        <is>
          <t>ronda 0</t>
        </is>
      </c>
      <c r="E3485" s="16" t="inlineStr">
        <is>
          <t>KF-M09</t>
        </is>
      </c>
      <c r="F3485" s="16" t="inlineStr">
        <is>
          <t>KF-M09-R0-P_alta</t>
        </is>
      </c>
      <c r="G3485" s="16" t="inlineStr">
        <is>
          <t>B13-P_alta</t>
        </is>
      </c>
      <c r="H3485" s="16" t="inlineStr">
        <is>
          <t>lhs</t>
        </is>
      </c>
      <c r="I3485" s="16" t="inlineStr">
        <is>
          <t>KALINA</t>
        </is>
      </c>
      <c r="J3485" s="16" t="inlineStr">
        <is>
          <t>KALINA</t>
        </is>
      </c>
      <c r="K3485" s="16" t="b">
        <v>1</v>
      </c>
      <c r="L3485" s="16" t="b">
        <v>1</v>
      </c>
      <c r="M3485" s="16" t="b">
        <v>0</v>
      </c>
      <c r="N3485" s="16" t="b">
        <v>0</v>
      </c>
      <c r="O3485" s="16" t="n">
        <v>435.686517731558</v>
      </c>
      <c r="P3485" s="16" t="n">
        <v>299.6972360726903</v>
      </c>
      <c r="Q3485" s="16" t="n">
        <v>3000</v>
      </c>
      <c r="R3485" s="16" t="n">
        <v>1604.740661641766</v>
      </c>
      <c r="S3485" s="16" t="n">
        <v>0.5782333624068989</v>
      </c>
      <c r="T3485" s="16" t="n">
        <v>0.7365346590895695</v>
      </c>
      <c r="U3485" s="16" t="n">
        <v>0.5815271631921701</v>
      </c>
      <c r="V3485" s="16" t="n">
        <v>0.5041474523525635</v>
      </c>
      <c r="W3485" s="16" t="n">
        <v>0.757100239800678</v>
      </c>
      <c r="X3485" s="16" t="n">
        <v>0.8233830158782669</v>
      </c>
      <c r="Y3485" s="16" t="n">
        <v>299.6972360726903</v>
      </c>
      <c r="Z3485" s="16" t="n">
        <v>3.80101412239432</v>
      </c>
      <c r="AA3485" s="16" t="n">
        <v>20.48706136153293</v>
      </c>
      <c r="AB3485" s="16" t="n">
        <v>1395.259338358234</v>
      </c>
      <c r="AC3485" s="16" t="n">
        <v>1.869460948868076</v>
      </c>
      <c r="AD3485" s="16" t="n"/>
      <c r="AE3485" s="16" t="n"/>
    </row>
    <row r="3486">
      <c r="A3486" s="16" t="inlineStr">
        <is>
          <t>KF-M09-R0-P_alta-0072</t>
        </is>
      </c>
      <c r="B3486" s="16" t="inlineStr">
        <is>
          <t>4.3</t>
        </is>
      </c>
      <c r="C3486" s="16" t="inlineStr">
        <is>
          <t>4.3 P_alta</t>
        </is>
      </c>
      <c r="D3486" s="16" t="inlineStr">
        <is>
          <t>ronda 0</t>
        </is>
      </c>
      <c r="E3486" s="16" t="inlineStr">
        <is>
          <t>KF-M09</t>
        </is>
      </c>
      <c r="F3486" s="16" t="inlineStr">
        <is>
          <t>KF-M09-R0-P_alta</t>
        </is>
      </c>
      <c r="G3486" s="16" t="inlineStr">
        <is>
          <t>B13-P_alta</t>
        </is>
      </c>
      <c r="H3486" s="16" t="inlineStr">
        <is>
          <t>lhs</t>
        </is>
      </c>
      <c r="I3486" s="16" t="inlineStr">
        <is>
          <t>CORREGIBLE</t>
        </is>
      </c>
      <c r="J3486" s="16" t="inlineStr">
        <is>
          <t>CORREGIBLE</t>
        </is>
      </c>
      <c r="K3486" s="16" t="b">
        <v>1</v>
      </c>
      <c r="L3486" s="16" t="b">
        <v>0</v>
      </c>
      <c r="M3486" s="16" t="b">
        <v>0</v>
      </c>
      <c r="N3486" s="16" t="b">
        <v>0</v>
      </c>
      <c r="O3486" s="16" t="n">
        <v>411.6179874421903</v>
      </c>
      <c r="P3486" s="16" t="n">
        <v>279.2655094402799</v>
      </c>
      <c r="Q3486" s="16" t="n">
        <v>3000</v>
      </c>
      <c r="R3486" s="16" t="n">
        <v>1745.552887815286</v>
      </c>
      <c r="S3486" s="16" t="n">
        <v>0.61969515700013</v>
      </c>
      <c r="T3486" s="16" t="n">
        <v>0.88685599909163</v>
      </c>
      <c r="U3486" s="16" t="n">
        <v>0.7861282330049112</v>
      </c>
      <c r="V3486" s="16" t="n">
        <v>0.9332172956334932</v>
      </c>
      <c r="W3486" s="16" t="n">
        <v>0.887965659490159</v>
      </c>
      <c r="X3486" s="16" t="n">
        <v>0.4962320282191946</v>
      </c>
      <c r="Y3486" s="16" t="n">
        <v>279.2655094402799</v>
      </c>
      <c r="Z3486" s="16" t="n">
        <v>4.37603097021325</v>
      </c>
      <c r="AA3486" s="16" t="n">
        <v>22.61392899715648</v>
      </c>
      <c r="AB3486" s="16" t="n">
        <v>1254.447112184714</v>
      </c>
      <c r="AC3486" s="16" t="n">
        <v>1.718653167681884</v>
      </c>
      <c r="AD3486" s="16" t="inlineStr">
        <is>
          <t>O2</t>
        </is>
      </c>
      <c r="AE3486" s="16" t="n"/>
    </row>
    <row r="3487">
      <c r="A3487" s="16" t="inlineStr">
        <is>
          <t>KF-M09-R0-P_alta-0073</t>
        </is>
      </c>
      <c r="B3487" s="16" t="inlineStr">
        <is>
          <t>4.3</t>
        </is>
      </c>
      <c r="C3487" s="16" t="inlineStr">
        <is>
          <t>4.3 P_alta</t>
        </is>
      </c>
      <c r="D3487" s="16" t="inlineStr">
        <is>
          <t>ronda 0</t>
        </is>
      </c>
      <c r="E3487" s="16" t="inlineStr">
        <is>
          <t>KF-M09</t>
        </is>
      </c>
      <c r="F3487" s="16" t="inlineStr">
        <is>
          <t>KF-M09-R0-P_alta</t>
        </is>
      </c>
      <c r="G3487" s="16" t="inlineStr">
        <is>
          <t>B13-P_alta</t>
        </is>
      </c>
      <c r="H3487" s="16" t="inlineStr">
        <is>
          <t>lhs</t>
        </is>
      </c>
      <c r="I3487" s="16" t="inlineStr">
        <is>
          <t>CORREGIBLE</t>
        </is>
      </c>
      <c r="J3487" s="16" t="inlineStr">
        <is>
          <t>CORREGIBLE</t>
        </is>
      </c>
      <c r="K3487" s="16" t="b">
        <v>1</v>
      </c>
      <c r="L3487" s="16" t="b">
        <v>0</v>
      </c>
      <c r="M3487" s="16" t="b">
        <v>1</v>
      </c>
      <c r="N3487" s="16" t="b">
        <v>0</v>
      </c>
      <c r="O3487" s="16" t="n">
        <v>497.9605335833927</v>
      </c>
      <c r="P3487" s="16" t="n">
        <v>297.8184708170457</v>
      </c>
      <c r="Q3487" s="16" t="n">
        <v>3000</v>
      </c>
      <c r="R3487" s="16" t="n">
        <v>913.062285544219</v>
      </c>
      <c r="S3487" s="16" t="n">
        <v>0.6246662628272139</v>
      </c>
      <c r="T3487" s="16" t="n">
        <v>0.7613283964473164</v>
      </c>
      <c r="U3487" s="16" t="n">
        <v>0.895748844997945</v>
      </c>
      <c r="V3487" s="16" t="n">
        <v>0.76299028006043</v>
      </c>
      <c r="W3487" s="16" t="n">
        <v>0.7632785572680654</v>
      </c>
      <c r="X3487" s="16" t="n">
        <v>0.4662943474785403</v>
      </c>
      <c r="Y3487" s="16" t="n">
        <v>297.8184708170457</v>
      </c>
      <c r="Z3487" s="16" t="n">
        <v>4.31947722468436</v>
      </c>
      <c r="AA3487" s="16" t="n">
        <v>38.46051047702801</v>
      </c>
      <c r="AB3487" s="16" t="n">
        <v>2086.937714455781</v>
      </c>
      <c r="AC3487" s="16" t="n">
        <v>3.285646606476456</v>
      </c>
      <c r="AD3487" s="16" t="inlineStr">
        <is>
          <t>O2</t>
        </is>
      </c>
      <c r="AE3487" s="16" t="n"/>
    </row>
    <row r="3488">
      <c r="A3488" s="16" t="inlineStr">
        <is>
          <t>KF-M09-R0-P_alta-0074</t>
        </is>
      </c>
      <c r="B3488" s="16" t="inlineStr">
        <is>
          <t>4.3</t>
        </is>
      </c>
      <c r="C3488" s="16" t="inlineStr">
        <is>
          <t>4.3 P_alta</t>
        </is>
      </c>
      <c r="D3488" s="16" t="inlineStr">
        <is>
          <t>ronda 0</t>
        </is>
      </c>
      <c r="E3488" s="16" t="inlineStr">
        <is>
          <t>KF-M09</t>
        </is>
      </c>
      <c r="F3488" s="16" t="inlineStr">
        <is>
          <t>KF-M09-R0-P_alta</t>
        </is>
      </c>
      <c r="G3488" s="16" t="inlineStr">
        <is>
          <t>B13-P_alta</t>
        </is>
      </c>
      <c r="H3488" s="16" t="inlineStr">
        <is>
          <t>lhs</t>
        </is>
      </c>
      <c r="I3488" s="16" t="inlineStr">
        <is>
          <t>KALINA</t>
        </is>
      </c>
      <c r="J3488" s="16" t="inlineStr">
        <is>
          <t>KALINA</t>
        </is>
      </c>
      <c r="K3488" s="16" t="b">
        <v>1</v>
      </c>
      <c r="L3488" s="16" t="b">
        <v>1</v>
      </c>
      <c r="M3488" s="16" t="b">
        <v>0</v>
      </c>
      <c r="N3488" s="16" t="b">
        <v>0</v>
      </c>
      <c r="O3488" s="16" t="n">
        <v>382.2782688285234</v>
      </c>
      <c r="P3488" s="16" t="n">
        <v>282.2409101512029</v>
      </c>
      <c r="Q3488" s="16" t="n">
        <v>3000</v>
      </c>
      <c r="R3488" s="16" t="n">
        <v>1996.125013530389</v>
      </c>
      <c r="S3488" s="16" t="n">
        <v>0.7124642616279941</v>
      </c>
      <c r="T3488" s="16" t="n">
        <v>0.7222677845559635</v>
      </c>
      <c r="U3488" s="16" t="n">
        <v>0.8019770257949377</v>
      </c>
      <c r="V3488" s="16" t="n">
        <v>0.5266611279330284</v>
      </c>
      <c r="W3488" s="16" t="n">
        <v>0.7910882288848231</v>
      </c>
      <c r="X3488" s="16" t="n">
        <v>0.5864939498926719</v>
      </c>
      <c r="Y3488" s="16" t="n">
        <v>282.2409101512029</v>
      </c>
      <c r="Z3488" s="16" t="n">
        <v>2.6110739461809</v>
      </c>
      <c r="AA3488" s="16" t="n">
        <v>8.197879807499529</v>
      </c>
      <c r="AB3488" s="16" t="n">
        <v>1003.874986469611</v>
      </c>
      <c r="AC3488" s="16" t="n">
        <v>1.502911881603115</v>
      </c>
      <c r="AD3488" s="16" t="n"/>
      <c r="AE3488" s="16" t="n"/>
    </row>
    <row r="3489">
      <c r="A3489" s="16" t="inlineStr">
        <is>
          <t>KF-M09-R0-P_alta-0075</t>
        </is>
      </c>
      <c r="B3489" s="16" t="inlineStr">
        <is>
          <t>4.3</t>
        </is>
      </c>
      <c r="C3489" s="16" t="inlineStr">
        <is>
          <t>4.3 P_alta</t>
        </is>
      </c>
      <c r="D3489" s="16" t="inlineStr">
        <is>
          <t>ronda 0</t>
        </is>
      </c>
      <c r="E3489" s="16" t="inlineStr">
        <is>
          <t>KF-M09</t>
        </is>
      </c>
      <c r="F3489" s="16" t="inlineStr">
        <is>
          <t>KF-M09-R0-P_alta</t>
        </is>
      </c>
      <c r="G3489" s="16" t="inlineStr">
        <is>
          <t>B13-P_alta</t>
        </is>
      </c>
      <c r="H3489" s="16" t="inlineStr">
        <is>
          <t>lhs</t>
        </is>
      </c>
      <c r="I3489" s="16" t="inlineStr">
        <is>
          <t>KALINA</t>
        </is>
      </c>
      <c r="J3489" s="16" t="inlineStr">
        <is>
          <t>KALINA</t>
        </is>
      </c>
      <c r="K3489" s="16" t="b">
        <v>1</v>
      </c>
      <c r="L3489" s="16" t="b">
        <v>0</v>
      </c>
      <c r="M3489" s="16" t="b">
        <v>1</v>
      </c>
      <c r="N3489" s="16" t="b">
        <v>0</v>
      </c>
      <c r="O3489" s="16" t="n">
        <v>431.0170964750289</v>
      </c>
      <c r="P3489" s="16" t="n">
        <v>301.3485208734762</v>
      </c>
      <c r="Q3489" s="16" t="n">
        <v>3000</v>
      </c>
      <c r="R3489" s="16" t="n">
        <v>734.9604658067892</v>
      </c>
      <c r="S3489" s="16" t="n">
        <v>0.5188229956529101</v>
      </c>
      <c r="T3489" s="16" t="n">
        <v>0.7120028293791223</v>
      </c>
      <c r="U3489" s="16" t="n">
        <v>0.8851243492221554</v>
      </c>
      <c r="V3489" s="16" t="n">
        <v>0.9407608121148004</v>
      </c>
      <c r="W3489" s="16" t="n">
        <v>0.6781088967124711</v>
      </c>
      <c r="X3489" s="16" t="n">
        <v>0.9094347308379742</v>
      </c>
      <c r="Y3489" s="16" t="n">
        <v>301.3485208734762</v>
      </c>
      <c r="Z3489" s="16" t="n">
        <v>7.86790863775481</v>
      </c>
      <c r="AA3489" s="16" t="n">
        <v>64.45809499965381</v>
      </c>
      <c r="AB3489" s="16" t="n">
        <v>2265.039534193211</v>
      </c>
      <c r="AC3489" s="16" t="n">
        <v>4.081852207801144</v>
      </c>
      <c r="AD3489" s="16" t="n"/>
      <c r="AE3489" s="16" t="n"/>
    </row>
    <row r="3490">
      <c r="A3490" s="16" t="inlineStr">
        <is>
          <t>KF-M09-R0-P_alta-0076</t>
        </is>
      </c>
      <c r="B3490" s="16" t="inlineStr">
        <is>
          <t>4.3</t>
        </is>
      </c>
      <c r="C3490" s="16" t="inlineStr">
        <is>
          <t>4.3 P_alta</t>
        </is>
      </c>
      <c r="D3490" s="16" t="inlineStr">
        <is>
          <t>ronda 0</t>
        </is>
      </c>
      <c r="E3490" s="16" t="inlineStr">
        <is>
          <t>KF-M09</t>
        </is>
      </c>
      <c r="F3490" s="16" t="inlineStr">
        <is>
          <t>KF-M09-R0-P_alta</t>
        </is>
      </c>
      <c r="G3490" s="16" t="inlineStr">
        <is>
          <t>B13-P_alta</t>
        </is>
      </c>
      <c r="H3490" s="16" t="inlineStr">
        <is>
          <t>lhs</t>
        </is>
      </c>
      <c r="I3490" s="16" t="inlineStr">
        <is>
          <t>INVIABLE</t>
        </is>
      </c>
      <c r="J3490" s="16" t="inlineStr">
        <is>
          <t>INVIABLE</t>
        </is>
      </c>
      <c r="K3490" s="16" t="b">
        <v>1</v>
      </c>
      <c r="L3490" s="16" t="b">
        <v>0</v>
      </c>
      <c r="M3490" s="16" t="b">
        <v>1</v>
      </c>
      <c r="N3490" s="16" t="b">
        <v>0</v>
      </c>
      <c r="O3490" s="16" t="n">
        <v>457.6375423021771</v>
      </c>
      <c r="P3490" s="16" t="n">
        <v>285.4372784635027</v>
      </c>
      <c r="Q3490" s="16" t="n">
        <v>3000</v>
      </c>
      <c r="R3490" s="16" t="n">
        <v>425.2422184044962</v>
      </c>
      <c r="S3490" s="16" t="n">
        <v>0.7656080518721055</v>
      </c>
      <c r="T3490" s="16" t="n">
        <v>0.4255982997051346</v>
      </c>
      <c r="U3490" s="16" t="n">
        <v>0.5551602839916433</v>
      </c>
      <c r="V3490" s="16" t="n">
        <v>0.4358685810795547</v>
      </c>
      <c r="W3490" s="16" t="n">
        <v>0.4194938889795191</v>
      </c>
      <c r="X3490" s="16" t="n">
        <v>0.4254058025359936</v>
      </c>
      <c r="Y3490" s="16" t="n">
        <v>285.4372784635027</v>
      </c>
      <c r="Z3490" s="16" t="n">
        <v>-92.55414623758888</v>
      </c>
      <c r="AA3490" s="16" t="n">
        <v>-251.0148098248711</v>
      </c>
      <c r="AB3490" s="16" t="n">
        <v>2574.757781595504</v>
      </c>
      <c r="AC3490" s="16" t="n">
        <v>7.054802816277191</v>
      </c>
      <c r="AD3490" s="16" t="inlineStr">
        <is>
          <t>O2,O3</t>
        </is>
      </c>
      <c r="AE3490" s="16" t="n"/>
    </row>
    <row r="3491">
      <c r="A3491" s="16" t="inlineStr">
        <is>
          <t>KF-M09-R0-P_alta-0077</t>
        </is>
      </c>
      <c r="B3491" s="16" t="inlineStr">
        <is>
          <t>4.3</t>
        </is>
      </c>
      <c r="C3491" s="16" t="inlineStr">
        <is>
          <t>4.3 P_alta</t>
        </is>
      </c>
      <c r="D3491" s="16" t="inlineStr">
        <is>
          <t>ronda 0</t>
        </is>
      </c>
      <c r="E3491" s="16" t="inlineStr">
        <is>
          <t>KF-M09</t>
        </is>
      </c>
      <c r="F3491" s="16" t="inlineStr">
        <is>
          <t>KF-M09-R0-P_alta</t>
        </is>
      </c>
      <c r="G3491" s="16" t="inlineStr">
        <is>
          <t>B13-P_alta</t>
        </is>
      </c>
      <c r="H3491" s="16" t="inlineStr">
        <is>
          <t>lhs</t>
        </is>
      </c>
      <c r="I3491" s="16" t="inlineStr">
        <is>
          <t>NO_CONVERGIO</t>
        </is>
      </c>
      <c r="J3491" s="16" t="inlineStr">
        <is>
          <t>NO_CONVERGIO</t>
        </is>
      </c>
      <c r="K3491" s="16" t="b">
        <v>0</v>
      </c>
      <c r="L3491" s="16" t="b">
        <v>0</v>
      </c>
      <c r="M3491" s="16" t="b">
        <v>0</v>
      </c>
      <c r="N3491" s="16" t="b">
        <v>0</v>
      </c>
      <c r="O3491" s="16" t="n">
        <v>447.9106399515287</v>
      </c>
      <c r="P3491" s="16" t="n">
        <v>287.2909527175991</v>
      </c>
      <c r="Q3491" s="16" t="n">
        <v>3000</v>
      </c>
      <c r="R3491" s="16" t="n">
        <v>417.1743379976031</v>
      </c>
      <c r="S3491" s="16" t="n">
        <v>0.8222674976339192</v>
      </c>
      <c r="T3491" s="16" t="n">
        <v>0.9231862837793072</v>
      </c>
      <c r="U3491" s="16" t="n">
        <v>0.8506281103273825</v>
      </c>
      <c r="V3491" s="16" t="n">
        <v>0.4966366718208655</v>
      </c>
      <c r="W3491" s="16" t="n">
        <v>0.5952298959567527</v>
      </c>
      <c r="X3491" s="16" t="n">
        <v>0.4543017769482241</v>
      </c>
      <c r="Y3491" s="16" t="n">
        <v>287.2909527175991</v>
      </c>
      <c r="Z3491" s="16" t="n"/>
      <c r="AA3491" s="16" t="n"/>
      <c r="AB3491" s="16" t="n">
        <v>2582.825662002397</v>
      </c>
      <c r="AC3491" s="16" t="n">
        <v>7.191238114980209</v>
      </c>
      <c r="AD3491" s="16" t="n"/>
      <c r="AE3491" s="16" t="n"/>
    </row>
    <row r="3492">
      <c r="A3492" s="16" t="inlineStr">
        <is>
          <t>KF-M09-R0-P_alta-0078</t>
        </is>
      </c>
      <c r="B3492" s="16" t="inlineStr">
        <is>
          <t>4.3</t>
        </is>
      </c>
      <c r="C3492" s="16" t="inlineStr">
        <is>
          <t>4.3 P_alta</t>
        </is>
      </c>
      <c r="D3492" s="16" t="inlineStr">
        <is>
          <t>ronda 0</t>
        </is>
      </c>
      <c r="E3492" s="16" t="inlineStr">
        <is>
          <t>KF-M09</t>
        </is>
      </c>
      <c r="F3492" s="16" t="inlineStr">
        <is>
          <t>KF-M09-R0-P_alta</t>
        </is>
      </c>
      <c r="G3492" s="16" t="inlineStr">
        <is>
          <t>B13-P_alta</t>
        </is>
      </c>
      <c r="H3492" s="16" t="inlineStr">
        <is>
          <t>lhs</t>
        </is>
      </c>
      <c r="I3492" s="16" t="inlineStr">
        <is>
          <t>CORREGIBLE</t>
        </is>
      </c>
      <c r="J3492" s="16" t="inlineStr">
        <is>
          <t>CORREGIBLE</t>
        </is>
      </c>
      <c r="K3492" s="16" t="b">
        <v>1</v>
      </c>
      <c r="L3492" s="16" t="b">
        <v>0</v>
      </c>
      <c r="M3492" s="16" t="b">
        <v>1</v>
      </c>
      <c r="N3492" s="16" t="b">
        <v>0</v>
      </c>
      <c r="O3492" s="16" t="n">
        <v>463.7434569189272</v>
      </c>
      <c r="P3492" s="16" t="n">
        <v>292.7705991344142</v>
      </c>
      <c r="Q3492" s="16" t="n">
        <v>3000</v>
      </c>
      <c r="R3492" s="16" t="n">
        <v>1450.84996318791</v>
      </c>
      <c r="S3492" s="16" t="n">
        <v>0.5606043832385703</v>
      </c>
      <c r="T3492" s="16" t="n">
        <v>0.5634336308626093</v>
      </c>
      <c r="U3492" s="16" t="n">
        <v>0.4182349594936082</v>
      </c>
      <c r="V3492" s="16" t="n">
        <v>0.6760875399205647</v>
      </c>
      <c r="W3492" s="16" t="n">
        <v>0.9302106126031155</v>
      </c>
      <c r="X3492" s="16" t="n">
        <v>0.7325504820530289</v>
      </c>
      <c r="Y3492" s="16" t="n">
        <v>292.7705991344142</v>
      </c>
      <c r="Z3492" s="16" t="n">
        <v>2.67860320555842</v>
      </c>
      <c r="AA3492" s="16" t="n">
        <v>29.84862358861615</v>
      </c>
      <c r="AB3492" s="16" t="n">
        <v>1549.15003681209</v>
      </c>
      <c r="AC3492" s="16" t="n">
        <v>2.067753438410812</v>
      </c>
      <c r="AD3492" s="16" t="inlineStr">
        <is>
          <t>O2</t>
        </is>
      </c>
      <c r="AE3492" s="16" t="n"/>
    </row>
    <row r="3493">
      <c r="A3493" s="16" t="inlineStr">
        <is>
          <t>KF-M09-R0-P_alta-0079</t>
        </is>
      </c>
      <c r="B3493" s="16" t="inlineStr">
        <is>
          <t>4.3</t>
        </is>
      </c>
      <c r="C3493" s="16" t="inlineStr">
        <is>
          <t>4.3 P_alta</t>
        </is>
      </c>
      <c r="D3493" s="16" t="inlineStr">
        <is>
          <t>ronda 0</t>
        </is>
      </c>
      <c r="E3493" s="16" t="inlineStr">
        <is>
          <t>KF-M09</t>
        </is>
      </c>
      <c r="F3493" s="16" t="inlineStr">
        <is>
          <t>KF-M09-R0-P_alta</t>
        </is>
      </c>
      <c r="G3493" s="16" t="inlineStr">
        <is>
          <t>B13-P_alta</t>
        </is>
      </c>
      <c r="H3493" s="16" t="inlineStr">
        <is>
          <t>lhs</t>
        </is>
      </c>
      <c r="I3493" s="16" t="inlineStr">
        <is>
          <t>INVIABLE</t>
        </is>
      </c>
      <c r="J3493" s="16" t="inlineStr">
        <is>
          <t>INVIABLE</t>
        </is>
      </c>
      <c r="K3493" s="16" t="b">
        <v>1</v>
      </c>
      <c r="L3493" s="16" t="b">
        <v>0</v>
      </c>
      <c r="M3493" s="16" t="b">
        <v>0</v>
      </c>
      <c r="N3493" s="16" t="b">
        <v>0</v>
      </c>
      <c r="O3493" s="16" t="n">
        <v>419.0908816268112</v>
      </c>
      <c r="P3493" s="16" t="n">
        <v>295.2271566601246</v>
      </c>
      <c r="Q3493" s="16" t="n">
        <v>3000</v>
      </c>
      <c r="R3493" s="16" t="n">
        <v>930.3616644320319</v>
      </c>
      <c r="S3493" s="16" t="n">
        <v>0.7089054624123905</v>
      </c>
      <c r="T3493" s="16" t="n">
        <v>0.4835117881726941</v>
      </c>
      <c r="U3493" s="16" t="n">
        <v>0.6770755912722999</v>
      </c>
      <c r="V3493" s="16" t="n">
        <v>0.7060104661197846</v>
      </c>
      <c r="W3493" s="16" t="n">
        <v>0.525601391419303</v>
      </c>
      <c r="X3493" s="16" t="n">
        <v>0.5673372625123932</v>
      </c>
      <c r="Y3493" s="16" t="n">
        <v>295.2271566601246</v>
      </c>
      <c r="Z3493" s="16" t="n">
        <v>-1.36706017269081</v>
      </c>
      <c r="AA3493" s="16" t="n">
        <v>-7.849607192803894</v>
      </c>
      <c r="AB3493" s="16" t="n">
        <v>2069.638335567968</v>
      </c>
      <c r="AC3493" s="16" t="n">
        <v>3.224552466735012</v>
      </c>
      <c r="AD3493" s="16" t="inlineStr">
        <is>
          <t>O2,O3</t>
        </is>
      </c>
      <c r="AE3493" s="16" t="n"/>
    </row>
    <row r="3494">
      <c r="A3494" s="16" t="inlineStr">
        <is>
          <t>KF-M09-R0-P_alta-0080</t>
        </is>
      </c>
      <c r="B3494" s="16" t="inlineStr">
        <is>
          <t>4.3</t>
        </is>
      </c>
      <c r="C3494" s="16" t="inlineStr">
        <is>
          <t>4.3 P_alta</t>
        </is>
      </c>
      <c r="D3494" s="16" t="inlineStr">
        <is>
          <t>ronda 0</t>
        </is>
      </c>
      <c r="E3494" s="16" t="inlineStr">
        <is>
          <t>KF-M09</t>
        </is>
      </c>
      <c r="F3494" s="16" t="inlineStr">
        <is>
          <t>KF-M09-R0-P_alta</t>
        </is>
      </c>
      <c r="G3494" s="16" t="inlineStr">
        <is>
          <t>B13-P_alta</t>
        </is>
      </c>
      <c r="H3494" s="16" t="inlineStr">
        <is>
          <t>lhs</t>
        </is>
      </c>
      <c r="I3494" s="16" t="inlineStr">
        <is>
          <t>INVIABLE</t>
        </is>
      </c>
      <c r="J3494" s="16" t="inlineStr">
        <is>
          <t>INVIABLE</t>
        </is>
      </c>
      <c r="K3494" s="16" t="b">
        <v>1</v>
      </c>
      <c r="L3494" s="16" t="b">
        <v>0</v>
      </c>
      <c r="M3494" s="16" t="b">
        <v>1</v>
      </c>
      <c r="N3494" s="16" t="b">
        <v>0</v>
      </c>
      <c r="O3494" s="16" t="n">
        <v>437.9799830441789</v>
      </c>
      <c r="P3494" s="16" t="n">
        <v>291.4061203689588</v>
      </c>
      <c r="Q3494" s="16" t="n">
        <v>3000</v>
      </c>
      <c r="R3494" s="16" t="n">
        <v>1570.295423895149</v>
      </c>
      <c r="S3494" s="16" t="n">
        <v>0.6950857110346486</v>
      </c>
      <c r="T3494" s="16" t="n">
        <v>0.4493399186588942</v>
      </c>
      <c r="U3494" s="16" t="n">
        <v>0.6959349174881381</v>
      </c>
      <c r="V3494" s="16" t="n">
        <v>0.7636029346298177</v>
      </c>
      <c r="W3494" s="16" t="n">
        <v>0.504057734146855</v>
      </c>
      <c r="X3494" s="16" t="n">
        <v>0.4015968526330312</v>
      </c>
      <c r="Y3494" s="16" t="n">
        <v>291.4061203689588</v>
      </c>
      <c r="Z3494" s="16" t="n">
        <v>-5.546027039624081</v>
      </c>
      <c r="AA3494" s="16" t="n">
        <v>-30.88382414008836</v>
      </c>
      <c r="AB3494" s="16" t="n">
        <v>1429.704576104851</v>
      </c>
      <c r="AC3494" s="16" t="n">
        <v>1.910468536269717</v>
      </c>
      <c r="AD3494" s="16" t="inlineStr">
        <is>
          <t>O2,O3</t>
        </is>
      </c>
      <c r="AE3494" s="16" t="n"/>
    </row>
    <row r="3495">
      <c r="A3495" s="16" t="inlineStr">
        <is>
          <t>KF-M09-R0-P_alta-0081</t>
        </is>
      </c>
      <c r="B3495" s="16" t="inlineStr">
        <is>
          <t>4.3</t>
        </is>
      </c>
      <c r="C3495" s="16" t="inlineStr">
        <is>
          <t>4.3 P_alta</t>
        </is>
      </c>
      <c r="D3495" s="16" t="inlineStr">
        <is>
          <t>ronda 0</t>
        </is>
      </c>
      <c r="E3495" s="16" t="inlineStr">
        <is>
          <t>KF-M09</t>
        </is>
      </c>
      <c r="F3495" s="16" t="inlineStr">
        <is>
          <t>KF-M09-R0-P_alta</t>
        </is>
      </c>
      <c r="G3495" s="16" t="inlineStr">
        <is>
          <t>B13-P_alta</t>
        </is>
      </c>
      <c r="H3495" s="16" t="inlineStr">
        <is>
          <t>lhs</t>
        </is>
      </c>
      <c r="I3495" s="16" t="inlineStr">
        <is>
          <t>NO_CONVERGIO</t>
        </is>
      </c>
      <c r="J3495" s="16" t="inlineStr">
        <is>
          <t>NO_CONVERGIO</t>
        </is>
      </c>
      <c r="K3495" s="16" t="b">
        <v>0</v>
      </c>
      <c r="L3495" s="16" t="b">
        <v>0</v>
      </c>
      <c r="M3495" s="16" t="b">
        <v>0</v>
      </c>
      <c r="N3495" s="16" t="b">
        <v>0</v>
      </c>
      <c r="O3495" s="16" t="n">
        <v>453.6559663386892</v>
      </c>
      <c r="P3495" s="16" t="n">
        <v>302.7030237139577</v>
      </c>
      <c r="Q3495" s="16" t="n">
        <v>3000</v>
      </c>
      <c r="R3495" s="16" t="n">
        <v>571.3266652407717</v>
      </c>
      <c r="S3495" s="16" t="n">
        <v>0.8473150217400045</v>
      </c>
      <c r="T3495" s="16" t="n">
        <v>0.73027889422976</v>
      </c>
      <c r="U3495" s="16" t="n">
        <v>0.4365236002183267</v>
      </c>
      <c r="V3495" s="16" t="n">
        <v>0.8537365781674746</v>
      </c>
      <c r="W3495" s="16" t="n">
        <v>0.7443862405101829</v>
      </c>
      <c r="X3495" s="16" t="n">
        <v>0.4138443638629713</v>
      </c>
      <c r="Y3495" s="16" t="n">
        <v>302.7030237139577</v>
      </c>
      <c r="Z3495" s="16" t="n"/>
      <c r="AA3495" s="16" t="n"/>
      <c r="AB3495" s="16" t="n">
        <v>2428.673334759228</v>
      </c>
      <c r="AC3495" s="16" t="n">
        <v>5.250936430099448</v>
      </c>
      <c r="AD3495" s="16" t="n"/>
      <c r="AE3495" s="16" t="n"/>
    </row>
    <row r="3496">
      <c r="A3496" s="16" t="inlineStr">
        <is>
          <t>KF-M09-R0-P_alta-0082</t>
        </is>
      </c>
      <c r="B3496" s="16" t="inlineStr">
        <is>
          <t>4.3</t>
        </is>
      </c>
      <c r="C3496" s="16" t="inlineStr">
        <is>
          <t>4.3 P_alta</t>
        </is>
      </c>
      <c r="D3496" s="16" t="inlineStr">
        <is>
          <t>ronda 0</t>
        </is>
      </c>
      <c r="E3496" s="16" t="inlineStr">
        <is>
          <t>KF-M09</t>
        </is>
      </c>
      <c r="F3496" s="16" t="inlineStr">
        <is>
          <t>KF-M09-R0-P_alta</t>
        </is>
      </c>
      <c r="G3496" s="16" t="inlineStr">
        <is>
          <t>B13-P_alta</t>
        </is>
      </c>
      <c r="H3496" s="16" t="inlineStr">
        <is>
          <t>lhs</t>
        </is>
      </c>
      <c r="I3496" s="16" t="inlineStr">
        <is>
          <t>CORREGIBLE</t>
        </is>
      </c>
      <c r="J3496" s="16" t="inlineStr">
        <is>
          <t>CORREGIBLE</t>
        </is>
      </c>
      <c r="K3496" s="16" t="b">
        <v>1</v>
      </c>
      <c r="L3496" s="16" t="b">
        <v>0</v>
      </c>
      <c r="M3496" s="16" t="b">
        <v>1</v>
      </c>
      <c r="N3496" s="16" t="b">
        <v>0</v>
      </c>
      <c r="O3496" s="16" t="n">
        <v>437.0069427831788</v>
      </c>
      <c r="P3496" s="16" t="n">
        <v>280.007492842453</v>
      </c>
      <c r="Q3496" s="16" t="n">
        <v>3000</v>
      </c>
      <c r="R3496" s="16" t="n">
        <v>911.5330932478632</v>
      </c>
      <c r="S3496" s="16" t="n">
        <v>0.672328566079394</v>
      </c>
      <c r="T3496" s="16" t="n">
        <v>0.6086997276830475</v>
      </c>
      <c r="U3496" s="16" t="n">
        <v>0.574610645666336</v>
      </c>
      <c r="V3496" s="16" t="n">
        <v>0.8849741385370717</v>
      </c>
      <c r="W3496" s="16" t="n">
        <v>0.7104952710350836</v>
      </c>
      <c r="X3496" s="16" t="n">
        <v>0.6119266996081929</v>
      </c>
      <c r="Y3496" s="16" t="n">
        <v>280.007492842453</v>
      </c>
      <c r="Z3496" s="16" t="n">
        <v>1.75155342265862</v>
      </c>
      <c r="AA3496" s="16" t="n">
        <v>15.53098590820885</v>
      </c>
      <c r="AB3496" s="16" t="n">
        <v>2088.466906752137</v>
      </c>
      <c r="AC3496" s="16" t="n">
        <v>3.291158623008153</v>
      </c>
      <c r="AD3496" s="16" t="inlineStr">
        <is>
          <t>O2</t>
        </is>
      </c>
      <c r="AE3496" s="16" t="n"/>
    </row>
    <row r="3497">
      <c r="A3497" s="16" t="inlineStr">
        <is>
          <t>KF-M09-R0-P_alta-0083</t>
        </is>
      </c>
      <c r="B3497" s="16" t="inlineStr">
        <is>
          <t>4.3</t>
        </is>
      </c>
      <c r="C3497" s="16" t="inlineStr">
        <is>
          <t>4.3 P_alta</t>
        </is>
      </c>
      <c r="D3497" s="16" t="inlineStr">
        <is>
          <t>ronda 0</t>
        </is>
      </c>
      <c r="E3497" s="16" t="inlineStr">
        <is>
          <t>KF-M09</t>
        </is>
      </c>
      <c r="F3497" s="16" t="inlineStr">
        <is>
          <t>KF-M09-R0-P_alta</t>
        </is>
      </c>
      <c r="G3497" s="16" t="inlineStr">
        <is>
          <t>B13-P_alta</t>
        </is>
      </c>
      <c r="H3497" s="16" t="inlineStr">
        <is>
          <t>lhs</t>
        </is>
      </c>
      <c r="I3497" s="16" t="inlineStr">
        <is>
          <t>CORREGIBLE</t>
        </is>
      </c>
      <c r="J3497" s="16" t="inlineStr">
        <is>
          <t>CORREGIBLE</t>
        </is>
      </c>
      <c r="K3497" s="16" t="b">
        <v>1</v>
      </c>
      <c r="L3497" s="16" t="b">
        <v>0</v>
      </c>
      <c r="M3497" s="16" t="b">
        <v>1</v>
      </c>
      <c r="N3497" s="16" t="b">
        <v>0</v>
      </c>
      <c r="O3497" s="16" t="n">
        <v>478.2193037659636</v>
      </c>
      <c r="P3497" s="16" t="n">
        <v>284.567022380979</v>
      </c>
      <c r="Q3497" s="16" t="n">
        <v>3000</v>
      </c>
      <c r="R3497" s="16" t="n">
        <v>1585.856122892919</v>
      </c>
      <c r="S3497" s="16" t="n">
        <v>0.6086275060238273</v>
      </c>
      <c r="T3497" s="16" t="n">
        <v>0.7839609685700037</v>
      </c>
      <c r="U3497" s="16" t="n">
        <v>0.6560165518850027</v>
      </c>
      <c r="V3497" s="16" t="n">
        <v>0.7260073624127475</v>
      </c>
      <c r="W3497" s="16" t="n">
        <v>0.5886179584266393</v>
      </c>
      <c r="X3497" s="16" t="n">
        <v>0.7614500989556756</v>
      </c>
      <c r="Y3497" s="16" t="n">
        <v>284.567022380979</v>
      </c>
      <c r="Z3497" s="16" t="n">
        <v>4.53962584461187</v>
      </c>
      <c r="AA3497" s="16" t="n">
        <v>60.46782252861506</v>
      </c>
      <c r="AB3497" s="16" t="n">
        <v>1414.143877107081</v>
      </c>
      <c r="AC3497" s="16" t="n">
        <v>1.891722683220089</v>
      </c>
      <c r="AD3497" s="16" t="inlineStr">
        <is>
          <t>O2</t>
        </is>
      </c>
      <c r="AE3497" s="16" t="n"/>
    </row>
    <row r="3498">
      <c r="A3498" s="16" t="inlineStr">
        <is>
          <t>KF-M09-R0-P_alta-0084</t>
        </is>
      </c>
      <c r="B3498" s="16" t="inlineStr">
        <is>
          <t>4.3</t>
        </is>
      </c>
      <c r="C3498" s="16" t="inlineStr">
        <is>
          <t>4.3 P_alta</t>
        </is>
      </c>
      <c r="D3498" s="16" t="inlineStr">
        <is>
          <t>ronda 0</t>
        </is>
      </c>
      <c r="E3498" s="16" t="inlineStr">
        <is>
          <t>KF-M09</t>
        </is>
      </c>
      <c r="F3498" s="16" t="inlineStr">
        <is>
          <t>KF-M09-R0-P_alta</t>
        </is>
      </c>
      <c r="G3498" s="16" t="inlineStr">
        <is>
          <t>B13-P_alta</t>
        </is>
      </c>
      <c r="H3498" s="16" t="inlineStr">
        <is>
          <t>lhs</t>
        </is>
      </c>
      <c r="I3498" s="16" t="inlineStr">
        <is>
          <t>INVIABLE</t>
        </is>
      </c>
      <c r="J3498" s="16" t="inlineStr">
        <is>
          <t>INVIABLE</t>
        </is>
      </c>
      <c r="K3498" s="16" t="b">
        <v>1</v>
      </c>
      <c r="L3498" s="16" t="b">
        <v>0</v>
      </c>
      <c r="M3498" s="16" t="b">
        <v>0</v>
      </c>
      <c r="N3498" s="16" t="b">
        <v>0</v>
      </c>
      <c r="O3498" s="16" t="n">
        <v>383.2534360903644</v>
      </c>
      <c r="P3498" s="16" t="n">
        <v>300.0563476924409</v>
      </c>
      <c r="Q3498" s="16" t="n">
        <v>3000</v>
      </c>
      <c r="R3498" s="16" t="n">
        <v>530.2266785338497</v>
      </c>
      <c r="S3498" s="16" t="n">
        <v>0.7222482241666988</v>
      </c>
      <c r="T3498" s="16" t="n">
        <v>0.7999917794273793</v>
      </c>
      <c r="U3498" s="16" t="n">
        <v>0.7121031052022782</v>
      </c>
      <c r="V3498" s="16" t="n">
        <v>0.4158616671980477</v>
      </c>
      <c r="W3498" s="16" t="n">
        <v>0.6275095388620057</v>
      </c>
      <c r="X3498" s="16" t="n">
        <v>0.4080220298234772</v>
      </c>
      <c r="Y3498" s="16" t="n">
        <v>300.0563476924409</v>
      </c>
      <c r="Z3498" s="16" t="n">
        <v>-92.66641455316346</v>
      </c>
      <c r="AA3498" s="16" t="n">
        <v>-62.17041709699785</v>
      </c>
      <c r="AB3498" s="16" t="n">
        <v>2469.77332146615</v>
      </c>
      <c r="AC3498" s="16" t="n">
        <v>5.657957476405027</v>
      </c>
      <c r="AD3498" s="16" t="inlineStr">
        <is>
          <t>O2,O3</t>
        </is>
      </c>
      <c r="AE3498" s="16" t="n"/>
    </row>
    <row r="3499">
      <c r="A3499" s="16" t="inlineStr">
        <is>
          <t>KF-M09-R0-P_alta-0085</t>
        </is>
      </c>
      <c r="B3499" s="16" t="inlineStr">
        <is>
          <t>4.3</t>
        </is>
      </c>
      <c r="C3499" s="16" t="inlineStr">
        <is>
          <t>4.3 P_alta</t>
        </is>
      </c>
      <c r="D3499" s="16" t="inlineStr">
        <is>
          <t>ronda 0</t>
        </is>
      </c>
      <c r="E3499" s="16" t="inlineStr">
        <is>
          <t>KF-M09</t>
        </is>
      </c>
      <c r="F3499" s="16" t="inlineStr">
        <is>
          <t>KF-M09-R0-P_alta</t>
        </is>
      </c>
      <c r="G3499" s="16" t="inlineStr">
        <is>
          <t>B13-P_alta</t>
        </is>
      </c>
      <c r="H3499" s="16" t="inlineStr">
        <is>
          <t>lhs</t>
        </is>
      </c>
      <c r="I3499" s="16" t="inlineStr">
        <is>
          <t>CORREGIBLE</t>
        </is>
      </c>
      <c r="J3499" s="16" t="inlineStr">
        <is>
          <t>CORREGIBLE</t>
        </is>
      </c>
      <c r="K3499" s="16" t="b">
        <v>1</v>
      </c>
      <c r="L3499" s="16" t="b">
        <v>0</v>
      </c>
      <c r="M3499" s="16" t="b">
        <v>0</v>
      </c>
      <c r="N3499" s="16" t="b">
        <v>0</v>
      </c>
      <c r="O3499" s="16" t="n">
        <v>397.785610999577</v>
      </c>
      <c r="P3499" s="16" t="n">
        <v>293.6665049337105</v>
      </c>
      <c r="Q3499" s="16" t="n">
        <v>3000</v>
      </c>
      <c r="R3499" s="16" t="n">
        <v>1491.847296799245</v>
      </c>
      <c r="S3499" s="16" t="n">
        <v>0.8308054665552647</v>
      </c>
      <c r="T3499" s="16" t="n">
        <v>0.7184341564887473</v>
      </c>
      <c r="U3499" s="16" t="n">
        <v>0.4460582144443424</v>
      </c>
      <c r="V3499" s="16" t="n">
        <v>0.5709497679102237</v>
      </c>
      <c r="W3499" s="16" t="n">
        <v>0.8291158878946449</v>
      </c>
      <c r="X3499" s="16" t="n">
        <v>0.5899605431699523</v>
      </c>
      <c r="Y3499" s="16" t="n">
        <v>293.6665049337105</v>
      </c>
      <c r="Z3499" s="16" t="n">
        <v>0.91669117378378</v>
      </c>
      <c r="AA3499" s="16" t="n">
        <v>4.58398644922714</v>
      </c>
      <c r="AB3499" s="16" t="n">
        <v>1508.152703200755</v>
      </c>
      <c r="AC3499" s="16" t="n">
        <v>2.010929675199663</v>
      </c>
      <c r="AD3499" s="16" t="inlineStr">
        <is>
          <t>O2</t>
        </is>
      </c>
      <c r="AE3499" s="16" t="n"/>
    </row>
    <row r="3500">
      <c r="A3500" s="16" t="inlineStr">
        <is>
          <t>KF-M09-R0-P_alta-0086</t>
        </is>
      </c>
      <c r="B3500" s="16" t="inlineStr">
        <is>
          <t>4.3</t>
        </is>
      </c>
      <c r="C3500" s="16" t="inlineStr">
        <is>
          <t>4.3 P_alta</t>
        </is>
      </c>
      <c r="D3500" s="16" t="inlineStr">
        <is>
          <t>ronda 0</t>
        </is>
      </c>
      <c r="E3500" s="16" t="inlineStr">
        <is>
          <t>KF-M09</t>
        </is>
      </c>
      <c r="F3500" s="16" t="inlineStr">
        <is>
          <t>KF-M09-R0-P_alta</t>
        </is>
      </c>
      <c r="G3500" s="16" t="inlineStr">
        <is>
          <t>B13-P_alta</t>
        </is>
      </c>
      <c r="H3500" s="16" t="inlineStr">
        <is>
          <t>lhs</t>
        </is>
      </c>
      <c r="I3500" s="16" t="inlineStr">
        <is>
          <t>INVIABLE</t>
        </is>
      </c>
      <c r="J3500" s="16" t="inlineStr">
        <is>
          <t>INVIABLE</t>
        </is>
      </c>
      <c r="K3500" s="16" t="b">
        <v>1</v>
      </c>
      <c r="L3500" s="16" t="b">
        <v>0</v>
      </c>
      <c r="M3500" s="16" t="b">
        <v>0</v>
      </c>
      <c r="N3500" s="16" t="b">
        <v>0</v>
      </c>
      <c r="O3500" s="16" t="n">
        <v>468.8860075902202</v>
      </c>
      <c r="P3500" s="16" t="n">
        <v>286.2911192589536</v>
      </c>
      <c r="Q3500" s="16" t="n">
        <v>3000</v>
      </c>
      <c r="R3500" s="16" t="n">
        <v>784.8172996930143</v>
      </c>
      <c r="S3500" s="16" t="n">
        <v>0.7413807515443528</v>
      </c>
      <c r="T3500" s="16" t="n">
        <v>0.5351871656614685</v>
      </c>
      <c r="U3500" s="16" t="n">
        <v>0.4565066316684855</v>
      </c>
      <c r="V3500" s="16" t="n">
        <v>0.5449513694585207</v>
      </c>
      <c r="W3500" s="16" t="n">
        <v>0.8162099900798971</v>
      </c>
      <c r="X3500" s="16" t="n">
        <v>0.6060997763112079</v>
      </c>
      <c r="Y3500" s="16" t="n">
        <v>286.2911192589536</v>
      </c>
      <c r="Z3500" s="16" t="n">
        <v>-4.21334913267582</v>
      </c>
      <c r="AA3500" s="16" t="n">
        <v>-31.70924112314549</v>
      </c>
      <c r="AB3500" s="16" t="n">
        <v>2215.182700306986</v>
      </c>
      <c r="AC3500" s="16" t="n">
        <v>3.822545707355669</v>
      </c>
      <c r="AD3500" s="16" t="inlineStr">
        <is>
          <t>O2,O3</t>
        </is>
      </c>
      <c r="AE3500" s="16" t="n"/>
    </row>
    <row r="3501">
      <c r="A3501" s="16" t="inlineStr">
        <is>
          <t>KF-M09-R0-P_alta-0087</t>
        </is>
      </c>
      <c r="B3501" s="16" t="inlineStr">
        <is>
          <t>4.3</t>
        </is>
      </c>
      <c r="C3501" s="16" t="inlineStr">
        <is>
          <t>4.3 P_alta</t>
        </is>
      </c>
      <c r="D3501" s="16" t="inlineStr">
        <is>
          <t>ronda 0</t>
        </is>
      </c>
      <c r="E3501" s="16" t="inlineStr">
        <is>
          <t>KF-M09</t>
        </is>
      </c>
      <c r="F3501" s="16" t="inlineStr">
        <is>
          <t>KF-M09-R0-P_alta</t>
        </is>
      </c>
      <c r="G3501" s="16" t="inlineStr">
        <is>
          <t>B13-P_alta</t>
        </is>
      </c>
      <c r="H3501" s="16" t="inlineStr">
        <is>
          <t>lhs</t>
        </is>
      </c>
      <c r="I3501" s="16" t="inlineStr">
        <is>
          <t>CORREGIBLE</t>
        </is>
      </c>
      <c r="J3501" s="16" t="inlineStr">
        <is>
          <t>CORREGIBLE</t>
        </is>
      </c>
      <c r="K3501" s="16" t="b">
        <v>1</v>
      </c>
      <c r="L3501" s="16" t="b">
        <v>0</v>
      </c>
      <c r="M3501" s="16" t="b">
        <v>0</v>
      </c>
      <c r="N3501" s="16" t="b">
        <v>0</v>
      </c>
      <c r="O3501" s="16" t="n">
        <v>429.0791350480217</v>
      </c>
      <c r="P3501" s="16" t="n">
        <v>296.8910937521894</v>
      </c>
      <c r="Q3501" s="16" t="n">
        <v>3000</v>
      </c>
      <c r="R3501" s="16" t="n">
        <v>947.760217516384</v>
      </c>
      <c r="S3501" s="16" t="n">
        <v>0.7752229257281491</v>
      </c>
      <c r="T3501" s="16" t="n">
        <v>0.6595443233213778</v>
      </c>
      <c r="U3501" s="16" t="n">
        <v>0.4900676212374042</v>
      </c>
      <c r="V3501" s="16" t="n">
        <v>0.4566288483806807</v>
      </c>
      <c r="W3501" s="16" t="n">
        <v>0.4566610969296748</v>
      </c>
      <c r="X3501" s="16" t="n">
        <v>0.8764847319841731</v>
      </c>
      <c r="Y3501" s="16" t="n">
        <v>296.8910937521894</v>
      </c>
      <c r="Z3501" s="16" t="n">
        <v>6.307071441027939</v>
      </c>
      <c r="AA3501" s="16" t="n">
        <v>42.40077329241559</v>
      </c>
      <c r="AB3501" s="16" t="n">
        <v>2052.239782483616</v>
      </c>
      <c r="AC3501" s="16" t="n">
        <v>3.165357592093845</v>
      </c>
      <c r="AD3501" s="16" t="inlineStr">
        <is>
          <t>O2</t>
        </is>
      </c>
      <c r="AE3501" s="16" t="n"/>
    </row>
    <row r="3502">
      <c r="A3502" s="16" t="inlineStr">
        <is>
          <t>KF-M09-R0-P_alta-0088</t>
        </is>
      </c>
      <c r="B3502" s="16" t="inlineStr">
        <is>
          <t>4.3</t>
        </is>
      </c>
      <c r="C3502" s="16" t="inlineStr">
        <is>
          <t>4.3 P_alta</t>
        </is>
      </c>
      <c r="D3502" s="16" t="inlineStr">
        <is>
          <t>ronda 0</t>
        </is>
      </c>
      <c r="E3502" s="16" t="inlineStr">
        <is>
          <t>KF-M09</t>
        </is>
      </c>
      <c r="F3502" s="16" t="inlineStr">
        <is>
          <t>KF-M09-R0-P_alta</t>
        </is>
      </c>
      <c r="G3502" s="16" t="inlineStr">
        <is>
          <t>B13-P_alta</t>
        </is>
      </c>
      <c r="H3502" s="16" t="inlineStr">
        <is>
          <t>lhs</t>
        </is>
      </c>
      <c r="I3502" s="16" t="inlineStr">
        <is>
          <t>INVIABLE</t>
        </is>
      </c>
      <c r="J3502" s="16" t="inlineStr">
        <is>
          <t>INVIABLE</t>
        </is>
      </c>
      <c r="K3502" s="16" t="b">
        <v>1</v>
      </c>
      <c r="L3502" s="16" t="b">
        <v>0</v>
      </c>
      <c r="M3502" s="16" t="b">
        <v>0</v>
      </c>
      <c r="N3502" s="16" t="b">
        <v>0</v>
      </c>
      <c r="O3502" s="16" t="n">
        <v>423.0335406563749</v>
      </c>
      <c r="P3502" s="16" t="n">
        <v>278.6143227970445</v>
      </c>
      <c r="Q3502" s="16" t="n">
        <v>3000</v>
      </c>
      <c r="R3502" s="16" t="n">
        <v>1643.063335728936</v>
      </c>
      <c r="S3502" s="16" t="n">
        <v>0.6863421079255588</v>
      </c>
      <c r="T3502" s="16" t="n">
        <v>0.4419880380375326</v>
      </c>
      <c r="U3502" s="16" t="n">
        <v>0.4154948413101287</v>
      </c>
      <c r="V3502" s="16" t="n">
        <v>0.5563186009434981</v>
      </c>
      <c r="W3502" s="16" t="n">
        <v>0.9174198844485985</v>
      </c>
      <c r="X3502" s="16" t="n">
        <v>0.4470800892343342</v>
      </c>
      <c r="Y3502" s="16" t="n">
        <v>278.6143227970445</v>
      </c>
      <c r="Z3502" s="16" t="n">
        <v>-5.56148141587682</v>
      </c>
      <c r="AA3502" s="16" t="n">
        <v>-24.05257457558186</v>
      </c>
      <c r="AB3502" s="16" t="n">
        <v>1356.936664271064</v>
      </c>
      <c r="AC3502" s="16" t="n">
        <v>1.8258577954751</v>
      </c>
      <c r="AD3502" s="16" t="inlineStr">
        <is>
          <t>O2,O3</t>
        </is>
      </c>
      <c r="AE3502" s="16" t="n"/>
    </row>
    <row r="3503">
      <c r="A3503" s="16" t="inlineStr">
        <is>
          <t>KF-M09-R0-P_alta-0089</t>
        </is>
      </c>
      <c r="B3503" s="16" t="inlineStr">
        <is>
          <t>4.3</t>
        </is>
      </c>
      <c r="C3503" s="16" t="inlineStr">
        <is>
          <t>4.3 P_alta</t>
        </is>
      </c>
      <c r="D3503" s="16" t="inlineStr">
        <is>
          <t>ronda 0</t>
        </is>
      </c>
      <c r="E3503" s="16" t="inlineStr">
        <is>
          <t>KF-M09</t>
        </is>
      </c>
      <c r="F3503" s="16" t="inlineStr">
        <is>
          <t>KF-M09-R0-P_alta</t>
        </is>
      </c>
      <c r="G3503" s="16" t="inlineStr">
        <is>
          <t>B13-P_alta</t>
        </is>
      </c>
      <c r="H3503" s="16" t="inlineStr">
        <is>
          <t>lhs</t>
        </is>
      </c>
      <c r="I3503" s="16" t="inlineStr">
        <is>
          <t>CORREGIBLE</t>
        </is>
      </c>
      <c r="J3503" s="16" t="inlineStr">
        <is>
          <t>CORREGIBLE</t>
        </is>
      </c>
      <c r="K3503" s="16" t="b">
        <v>1</v>
      </c>
      <c r="L3503" s="16" t="b">
        <v>0</v>
      </c>
      <c r="M3503" s="16" t="b">
        <v>0</v>
      </c>
      <c r="N3503" s="16" t="b">
        <v>0</v>
      </c>
      <c r="O3503" s="16" t="n">
        <v>420.6424613735078</v>
      </c>
      <c r="P3503" s="16" t="n">
        <v>294.5934053352298</v>
      </c>
      <c r="Q3503" s="16" t="n">
        <v>3000</v>
      </c>
      <c r="R3503" s="16" t="n">
        <v>723.4670017510906</v>
      </c>
      <c r="S3503" s="16" t="n">
        <v>0.6967633952699048</v>
      </c>
      <c r="T3503" s="16" t="n">
        <v>0.9078337347739704</v>
      </c>
      <c r="U3503" s="16" t="n">
        <v>0.5345604746266159</v>
      </c>
      <c r="V3503" s="16" t="n">
        <v>0.5074202900589162</v>
      </c>
      <c r="W3503" s="16" t="n">
        <v>0.86667149631916</v>
      </c>
      <c r="X3503" s="16" t="n">
        <v>0.8031729887261508</v>
      </c>
      <c r="Y3503" s="16" t="n">
        <v>294.5934053352298</v>
      </c>
      <c r="Z3503" s="16" t="n">
        <v>11.48405136141087</v>
      </c>
      <c r="AA3503" s="16" t="n">
        <v>62.92779424047899</v>
      </c>
      <c r="AB3503" s="16" t="n">
        <v>2276.532998248909</v>
      </c>
      <c r="AC3503" s="16" t="n">
        <v>4.14669914832156</v>
      </c>
      <c r="AD3503" s="16" t="inlineStr">
        <is>
          <t>O2</t>
        </is>
      </c>
      <c r="AE3503" s="16" t="n"/>
    </row>
    <row r="3504">
      <c r="A3504" s="16" t="inlineStr">
        <is>
          <t>KF-M09-R0-P_alta-0090</t>
        </is>
      </c>
      <c r="B3504" s="16" t="inlineStr">
        <is>
          <t>4.3</t>
        </is>
      </c>
      <c r="C3504" s="16" t="inlineStr">
        <is>
          <t>4.3 P_alta</t>
        </is>
      </c>
      <c r="D3504" s="16" t="inlineStr">
        <is>
          <t>ronda 0</t>
        </is>
      </c>
      <c r="E3504" s="16" t="inlineStr">
        <is>
          <t>KF-M09</t>
        </is>
      </c>
      <c r="F3504" s="16" t="inlineStr">
        <is>
          <t>KF-M09-R0-P_alta</t>
        </is>
      </c>
      <c r="G3504" s="16" t="inlineStr">
        <is>
          <t>B13-P_alta</t>
        </is>
      </c>
      <c r="H3504" s="16" t="inlineStr">
        <is>
          <t>lhs</t>
        </is>
      </c>
      <c r="I3504" s="16" t="inlineStr">
        <is>
          <t>CORREGIBLE</t>
        </is>
      </c>
      <c r="J3504" s="16" t="inlineStr">
        <is>
          <t>CORREGIBLE</t>
        </is>
      </c>
      <c r="K3504" s="16" t="b">
        <v>1</v>
      </c>
      <c r="L3504" s="16" t="b">
        <v>0</v>
      </c>
      <c r="M3504" s="16" t="b">
        <v>0</v>
      </c>
      <c r="N3504" s="16" t="b">
        <v>0</v>
      </c>
      <c r="O3504" s="16" t="n">
        <v>424.6008788817287</v>
      </c>
      <c r="P3504" s="16" t="n">
        <v>283.5008723233192</v>
      </c>
      <c r="Q3504" s="16" t="n">
        <v>3000</v>
      </c>
      <c r="R3504" s="16" t="n">
        <v>1854.535804674304</v>
      </c>
      <c r="S3504" s="16" t="n">
        <v>0.833768006382946</v>
      </c>
      <c r="T3504" s="16" t="n">
        <v>0.6641999167333528</v>
      </c>
      <c r="U3504" s="16" t="n">
        <v>0.6376503975771787</v>
      </c>
      <c r="V3504" s="16" t="n">
        <v>0.7958925987554877</v>
      </c>
      <c r="W3504" s="16" t="n">
        <v>0.8596876319363459</v>
      </c>
      <c r="X3504" s="16" t="n">
        <v>0.7081121468708897</v>
      </c>
      <c r="Y3504" s="16" t="n">
        <v>283.5008723233192</v>
      </c>
      <c r="Z3504" s="16" t="n">
        <v>2.89694358916097</v>
      </c>
      <c r="AA3504" s="16" t="n">
        <v>28.86507489993958</v>
      </c>
      <c r="AB3504" s="16" t="n">
        <v>1145.464195325696</v>
      </c>
      <c r="AC3504" s="16" t="n">
        <v>1.617655476070393</v>
      </c>
      <c r="AD3504" s="16" t="inlineStr">
        <is>
          <t>O2</t>
        </is>
      </c>
      <c r="AE3504" s="16" t="n"/>
    </row>
    <row r="3505">
      <c r="A3505" s="16" t="inlineStr">
        <is>
          <t>KF-M09-R0-P_alta-0091</t>
        </is>
      </c>
      <c r="B3505" s="16" t="inlineStr">
        <is>
          <t>4.3</t>
        </is>
      </c>
      <c r="C3505" s="16" t="inlineStr">
        <is>
          <t>4.3 P_alta</t>
        </is>
      </c>
      <c r="D3505" s="16" t="inlineStr">
        <is>
          <t>ronda 0</t>
        </is>
      </c>
      <c r="E3505" s="16" t="inlineStr">
        <is>
          <t>KF-M09</t>
        </is>
      </c>
      <c r="F3505" s="16" t="inlineStr">
        <is>
          <t>KF-M09-R0-P_alta</t>
        </is>
      </c>
      <c r="G3505" s="16" t="inlineStr">
        <is>
          <t>B13-P_alta</t>
        </is>
      </c>
      <c r="H3505" s="16" t="inlineStr">
        <is>
          <t>lhs</t>
        </is>
      </c>
      <c r="I3505" s="16" t="inlineStr">
        <is>
          <t>KALINA</t>
        </is>
      </c>
      <c r="J3505" s="16" t="inlineStr">
        <is>
          <t>KALINA</t>
        </is>
      </c>
      <c r="K3505" s="16" t="b">
        <v>1</v>
      </c>
      <c r="L3505" s="16" t="b">
        <v>1</v>
      </c>
      <c r="M3505" s="16" t="b">
        <v>0</v>
      </c>
      <c r="N3505" s="16" t="b">
        <v>0</v>
      </c>
      <c r="O3505" s="16" t="n">
        <v>461.2858498989104</v>
      </c>
      <c r="P3505" s="16" t="n">
        <v>291.9689631826736</v>
      </c>
      <c r="Q3505" s="16" t="n">
        <v>3000</v>
      </c>
      <c r="R3505" s="16" t="n">
        <v>1706.808804813705</v>
      </c>
      <c r="S3505" s="16" t="n">
        <v>0.8026309830456487</v>
      </c>
      <c r="T3505" s="16" t="n">
        <v>0.5532150835364608</v>
      </c>
      <c r="U3505" s="16" t="n">
        <v>0.6431101085288217</v>
      </c>
      <c r="V3505" s="16" t="n">
        <v>0.4281205211721808</v>
      </c>
      <c r="W3505" s="16" t="n">
        <v>0.8460076861142631</v>
      </c>
      <c r="X3505" s="16" t="n">
        <v>0.8236470513677447</v>
      </c>
      <c r="Y3505" s="16" t="n">
        <v>291.9689631826736</v>
      </c>
      <c r="Z3505" s="16" t="n">
        <v>3.2156647151467</v>
      </c>
      <c r="AA3505" s="16" t="n">
        <v>23.10685780060565</v>
      </c>
      <c r="AB3505" s="16" t="n">
        <v>1293.191195186295</v>
      </c>
      <c r="AC3505" s="16" t="n">
        <v>1.757666114411358</v>
      </c>
      <c r="AD3505" s="16" t="n"/>
      <c r="AE3505" s="16" t="n"/>
    </row>
    <row r="3506">
      <c r="A3506" s="16" t="inlineStr">
        <is>
          <t>KF-M09-R0-P_alta-0092</t>
        </is>
      </c>
      <c r="B3506" s="16" t="inlineStr">
        <is>
          <t>4.3</t>
        </is>
      </c>
      <c r="C3506" s="16" t="inlineStr">
        <is>
          <t>4.3 P_alta</t>
        </is>
      </c>
      <c r="D3506" s="16" t="inlineStr">
        <is>
          <t>ronda 0</t>
        </is>
      </c>
      <c r="E3506" s="16" t="inlineStr">
        <is>
          <t>KF-M09</t>
        </is>
      </c>
      <c r="F3506" s="16" t="inlineStr">
        <is>
          <t>KF-M09-R0-P_alta</t>
        </is>
      </c>
      <c r="G3506" s="16" t="inlineStr">
        <is>
          <t>B13-P_alta</t>
        </is>
      </c>
      <c r="H3506" s="16" t="inlineStr">
        <is>
          <t>lhs</t>
        </is>
      </c>
      <c r="I3506" s="16" t="inlineStr">
        <is>
          <t>CORREGIBLE</t>
        </is>
      </c>
      <c r="J3506" s="16" t="inlineStr">
        <is>
          <t>CORREGIBLE</t>
        </is>
      </c>
      <c r="K3506" s="16" t="b">
        <v>1</v>
      </c>
      <c r="L3506" s="16" t="b">
        <v>0</v>
      </c>
      <c r="M3506" s="16" t="b">
        <v>1</v>
      </c>
      <c r="N3506" s="16" t="b">
        <v>0</v>
      </c>
      <c r="O3506" s="16" t="n">
        <v>474.5378082828941</v>
      </c>
      <c r="P3506" s="16" t="n">
        <v>298.8098116428163</v>
      </c>
      <c r="Q3506" s="16" t="n">
        <v>3000</v>
      </c>
      <c r="R3506" s="16" t="n">
        <v>1891.749251062399</v>
      </c>
      <c r="S3506" s="16" t="n">
        <v>0.5582946855854011</v>
      </c>
      <c r="T3506" s="16" t="n">
        <v>0.657316550295979</v>
      </c>
      <c r="U3506" s="16" t="n">
        <v>0.4259773628157243</v>
      </c>
      <c r="V3506" s="16" t="n">
        <v>0.6387345779787024</v>
      </c>
      <c r="W3506" s="16" t="n">
        <v>0.6906183032747646</v>
      </c>
      <c r="X3506" s="16" t="n">
        <v>0.6166034437453791</v>
      </c>
      <c r="Y3506" s="16" t="n">
        <v>298.8098116428163</v>
      </c>
      <c r="Z3506" s="16" t="n">
        <v>0.32503878694432</v>
      </c>
      <c r="AA3506" s="16" t="n">
        <v>3.251704874605586</v>
      </c>
      <c r="AB3506" s="16" t="n">
        <v>1108.250748937601</v>
      </c>
      <c r="AC3506" s="16" t="n">
        <v>1.58583385103243</v>
      </c>
      <c r="AD3506" s="16" t="inlineStr">
        <is>
          <t>O2</t>
        </is>
      </c>
      <c r="AE3506" s="16" t="n"/>
    </row>
    <row r="3507">
      <c r="A3507" s="16" t="inlineStr">
        <is>
          <t>KF-M09-R0-P_alta-0093</t>
        </is>
      </c>
      <c r="B3507" s="16" t="inlineStr">
        <is>
          <t>4.3</t>
        </is>
      </c>
      <c r="C3507" s="16" t="inlineStr">
        <is>
          <t>4.3 P_alta</t>
        </is>
      </c>
      <c r="D3507" s="16" t="inlineStr">
        <is>
          <t>ronda 0</t>
        </is>
      </c>
      <c r="E3507" s="16" t="inlineStr">
        <is>
          <t>KF-M09</t>
        </is>
      </c>
      <c r="F3507" s="16" t="inlineStr">
        <is>
          <t>KF-M09-R0-P_alta</t>
        </is>
      </c>
      <c r="G3507" s="16" t="inlineStr">
        <is>
          <t>B13-P_alta</t>
        </is>
      </c>
      <c r="H3507" s="16" t="inlineStr">
        <is>
          <t>lhs</t>
        </is>
      </c>
      <c r="I3507" s="16" t="inlineStr">
        <is>
          <t>NO_CONVERGIO</t>
        </is>
      </c>
      <c r="J3507" s="16" t="inlineStr">
        <is>
          <t>NO_CONVERGIO</t>
        </is>
      </c>
      <c r="K3507" s="16" t="b">
        <v>0</v>
      </c>
      <c r="L3507" s="16" t="b">
        <v>0</v>
      </c>
      <c r="M3507" s="16" t="b">
        <v>0</v>
      </c>
      <c r="N3507" s="16" t="b">
        <v>0</v>
      </c>
      <c r="O3507" s="16" t="n">
        <v>454.8716555480336</v>
      </c>
      <c r="P3507" s="16" t="n">
        <v>288.700647756618</v>
      </c>
      <c r="Q3507" s="16" t="n">
        <v>3000</v>
      </c>
      <c r="R3507" s="16" t="n">
        <v>1051.821651361846</v>
      </c>
      <c r="S3507" s="16" t="n">
        <v>0.7470368207783045</v>
      </c>
      <c r="T3507" s="16" t="n">
        <v>0.922449234956548</v>
      </c>
      <c r="U3507" s="16" t="n">
        <v>0.5381960421795758</v>
      </c>
      <c r="V3507" s="16" t="n">
        <v>0.5761392297637784</v>
      </c>
      <c r="W3507" s="16" t="n">
        <v>0.8977113631112001</v>
      </c>
      <c r="X3507" s="16" t="n">
        <v>0.429898908060124</v>
      </c>
      <c r="Y3507" s="16" t="n">
        <v>288.700647756618</v>
      </c>
      <c r="Z3507" s="16" t="n"/>
      <c r="AA3507" s="16" t="n"/>
      <c r="AB3507" s="16" t="n">
        <v>1948.178348638154</v>
      </c>
      <c r="AC3507" s="16" t="n">
        <v>2.852194567506526</v>
      </c>
      <c r="AD3507" s="16" t="n"/>
      <c r="AE3507" s="16" t="n"/>
    </row>
    <row r="3508">
      <c r="A3508" s="16" t="inlineStr">
        <is>
          <t>KF-M09-R0-P_alta-0094</t>
        </is>
      </c>
      <c r="B3508" s="16" t="inlineStr">
        <is>
          <t>4.3</t>
        </is>
      </c>
      <c r="C3508" s="16" t="inlineStr">
        <is>
          <t>4.3 P_alta</t>
        </is>
      </c>
      <c r="D3508" s="16" t="inlineStr">
        <is>
          <t>ronda 0</t>
        </is>
      </c>
      <c r="E3508" s="16" t="inlineStr">
        <is>
          <t>KF-M09</t>
        </is>
      </c>
      <c r="F3508" s="16" t="inlineStr">
        <is>
          <t>KF-M09-R0-P_alta</t>
        </is>
      </c>
      <c r="G3508" s="16" t="inlineStr">
        <is>
          <t>B13-P_alta</t>
        </is>
      </c>
      <c r="H3508" s="16" t="inlineStr">
        <is>
          <t>lhs</t>
        </is>
      </c>
      <c r="I3508" s="16" t="inlineStr">
        <is>
          <t>CORREGIBLE</t>
        </is>
      </c>
      <c r="J3508" s="16" t="inlineStr">
        <is>
          <t>CORREGIBLE</t>
        </is>
      </c>
      <c r="K3508" s="16" t="b">
        <v>1</v>
      </c>
      <c r="L3508" s="16" t="b">
        <v>0</v>
      </c>
      <c r="M3508" s="16" t="b">
        <v>1</v>
      </c>
      <c r="N3508" s="16" t="b">
        <v>0</v>
      </c>
      <c r="O3508" s="16" t="n">
        <v>516.5739108614227</v>
      </c>
      <c r="P3508" s="16" t="n">
        <v>285.872972715341</v>
      </c>
      <c r="Q3508" s="16" t="n">
        <v>3000</v>
      </c>
      <c r="R3508" s="16" t="n">
        <v>1226.229261134544</v>
      </c>
      <c r="S3508" s="16" t="n">
        <v>0.5315380555988277</v>
      </c>
      <c r="T3508" s="16" t="n">
        <v>0.8247864394669134</v>
      </c>
      <c r="U3508" s="16" t="n">
        <v>0.90234149201167</v>
      </c>
      <c r="V3508" s="16" t="n">
        <v>0.5149150710152895</v>
      </c>
      <c r="W3508" s="16" t="n">
        <v>0.603906370710877</v>
      </c>
      <c r="X3508" s="16" t="n">
        <v>0.6998774386397439</v>
      </c>
      <c r="Y3508" s="16" t="n">
        <v>285.872972715341</v>
      </c>
      <c r="Z3508" s="16" t="n">
        <v>6.61735715787054</v>
      </c>
      <c r="AA3508" s="16" t="n">
        <v>67.61865810844529</v>
      </c>
      <c r="AB3508" s="16" t="n">
        <v>1773.770738865456</v>
      </c>
      <c r="AC3508" s="16" t="n">
        <v>2.446524557099795</v>
      </c>
      <c r="AD3508" s="16" t="inlineStr">
        <is>
          <t>O2</t>
        </is>
      </c>
      <c r="AE3508" s="16" t="n"/>
    </row>
    <row r="3509">
      <c r="A3509" s="16" t="inlineStr">
        <is>
          <t>KF-M09-R0-P_alta-0095</t>
        </is>
      </c>
      <c r="B3509" s="16" t="inlineStr">
        <is>
          <t>4.3</t>
        </is>
      </c>
      <c r="C3509" s="16" t="inlineStr">
        <is>
          <t>4.3 P_alta</t>
        </is>
      </c>
      <c r="D3509" s="16" t="inlineStr">
        <is>
          <t>ronda 0</t>
        </is>
      </c>
      <c r="E3509" s="16" t="inlineStr">
        <is>
          <t>KF-M09</t>
        </is>
      </c>
      <c r="F3509" s="16" t="inlineStr">
        <is>
          <t>KF-M09-R0-P_alta</t>
        </is>
      </c>
      <c r="G3509" s="16" t="inlineStr">
        <is>
          <t>B13-P_alta</t>
        </is>
      </c>
      <c r="H3509" s="16" t="inlineStr">
        <is>
          <t>lhs</t>
        </is>
      </c>
      <c r="I3509" s="16" t="inlineStr">
        <is>
          <t>KALINA</t>
        </is>
      </c>
      <c r="J3509" s="16" t="inlineStr">
        <is>
          <t>KALINA</t>
        </is>
      </c>
      <c r="K3509" s="16" t="b">
        <v>1</v>
      </c>
      <c r="L3509" s="16" t="b">
        <v>1</v>
      </c>
      <c r="M3509" s="16" t="b">
        <v>0</v>
      </c>
      <c r="N3509" s="16" t="b">
        <v>0</v>
      </c>
      <c r="O3509" s="16" t="n">
        <v>439.0839868203174</v>
      </c>
      <c r="P3509" s="16" t="n">
        <v>288.5539228834992</v>
      </c>
      <c r="Q3509" s="16" t="n">
        <v>3000</v>
      </c>
      <c r="R3509" s="16" t="n">
        <v>1765.044531111668</v>
      </c>
      <c r="S3509" s="16" t="n">
        <v>0.6827591151294015</v>
      </c>
      <c r="T3509" s="16" t="n">
        <v>0.6140968950583918</v>
      </c>
      <c r="U3509" s="16" t="n">
        <v>0.5099362968566137</v>
      </c>
      <c r="V3509" s="16" t="n">
        <v>0.6440745935306418</v>
      </c>
      <c r="W3509" s="16" t="n">
        <v>0.9083080384900892</v>
      </c>
      <c r="X3509" s="16" t="n">
        <v>0.8333522737449313</v>
      </c>
      <c r="Y3509" s="16" t="n">
        <v>288.5539228834992</v>
      </c>
      <c r="Z3509" s="16" t="n">
        <v>3.182341782303201</v>
      </c>
      <c r="AA3509" s="16" t="n">
        <v>28.24736671410415</v>
      </c>
      <c r="AB3509" s="16" t="n">
        <v>1234.955468888332</v>
      </c>
      <c r="AC3509" s="16" t="n">
        <v>1.699673830954581</v>
      </c>
      <c r="AD3509" s="16" t="n"/>
      <c r="AE3509" s="16" t="n"/>
    </row>
    <row r="3510">
      <c r="A3510" s="16" t="inlineStr">
        <is>
          <t>KF-M09-R0-P_alta-0096</t>
        </is>
      </c>
      <c r="B3510" s="16" t="inlineStr">
        <is>
          <t>4.3</t>
        </is>
      </c>
      <c r="C3510" s="16" t="inlineStr">
        <is>
          <t>4.3 P_alta</t>
        </is>
      </c>
      <c r="D3510" s="16" t="inlineStr">
        <is>
          <t>ronda 0</t>
        </is>
      </c>
      <c r="E3510" s="16" t="inlineStr">
        <is>
          <t>KF-M09</t>
        </is>
      </c>
      <c r="F3510" s="16" t="inlineStr">
        <is>
          <t>KF-M09-R0-P_alta</t>
        </is>
      </c>
      <c r="G3510" s="16" t="inlineStr">
        <is>
          <t>B13-P_alta</t>
        </is>
      </c>
      <c r="H3510" s="16" t="inlineStr">
        <is>
          <t>lhs</t>
        </is>
      </c>
      <c r="I3510" s="16" t="inlineStr">
        <is>
          <t>KALINA</t>
        </is>
      </c>
      <c r="J3510" s="16" t="inlineStr">
        <is>
          <t>KALINA</t>
        </is>
      </c>
      <c r="K3510" s="16" t="b">
        <v>1</v>
      </c>
      <c r="L3510" s="16" t="b">
        <v>1</v>
      </c>
      <c r="M3510" s="16" t="b">
        <v>0</v>
      </c>
      <c r="N3510" s="16" t="b">
        <v>0</v>
      </c>
      <c r="O3510" s="16" t="n">
        <v>400.2390084839644</v>
      </c>
      <c r="P3510" s="16" t="n">
        <v>302.154501227809</v>
      </c>
      <c r="Q3510" s="16" t="n">
        <v>3000</v>
      </c>
      <c r="R3510" s="16" t="n">
        <v>863.5942385494048</v>
      </c>
      <c r="S3510" s="16" t="n">
        <v>0.6038801547550456</v>
      </c>
      <c r="T3510" s="16" t="n">
        <v>0.481993492908917</v>
      </c>
      <c r="U3510" s="16" t="n">
        <v>0.7817963364982889</v>
      </c>
      <c r="V3510" s="16" t="n">
        <v>0.4041972770729972</v>
      </c>
      <c r="W3510" s="16" t="n">
        <v>0.4814146186395973</v>
      </c>
      <c r="X3510" s="16" t="n">
        <v>0.9443153502232872</v>
      </c>
      <c r="Y3510" s="16" t="n">
        <v>302.154501227809</v>
      </c>
      <c r="Z3510" s="16" t="n">
        <v>1.42511964438875</v>
      </c>
      <c r="AA3510" s="16" t="n">
        <v>4.026062827788012</v>
      </c>
      <c r="AB3510" s="16" t="n">
        <v>2136.405761450595</v>
      </c>
      <c r="AC3510" s="16" t="n">
        <v>3.473853652658863</v>
      </c>
      <c r="AD3510" s="16" t="n"/>
      <c r="AE3510" s="16" t="n"/>
    </row>
    <row r="3511">
      <c r="A3511" s="16" t="inlineStr">
        <is>
          <t>KF-M09-R0-P_alta-0097</t>
        </is>
      </c>
      <c r="B3511" s="16" t="inlineStr">
        <is>
          <t>4.3</t>
        </is>
      </c>
      <c r="C3511" s="16" t="inlineStr">
        <is>
          <t>4.3 P_alta</t>
        </is>
      </c>
      <c r="D3511" s="16" t="inlineStr">
        <is>
          <t>ronda 0</t>
        </is>
      </c>
      <c r="E3511" s="16" t="inlineStr">
        <is>
          <t>KF-M09</t>
        </is>
      </c>
      <c r="F3511" s="16" t="inlineStr">
        <is>
          <t>KF-M09-R0-P_alta</t>
        </is>
      </c>
      <c r="G3511" s="16" t="inlineStr">
        <is>
          <t>B13-P_alta</t>
        </is>
      </c>
      <c r="H3511" s="16" t="inlineStr">
        <is>
          <t>lhs</t>
        </is>
      </c>
      <c r="I3511" s="16" t="inlineStr">
        <is>
          <t>INVIABLE</t>
        </is>
      </c>
      <c r="J3511" s="16" t="inlineStr">
        <is>
          <t>INVIABLE</t>
        </is>
      </c>
      <c r="K3511" s="16" t="b">
        <v>1</v>
      </c>
      <c r="L3511" s="16" t="b">
        <v>0</v>
      </c>
      <c r="M3511" s="16" t="b">
        <v>1</v>
      </c>
      <c r="N3511" s="16" t="b">
        <v>0</v>
      </c>
      <c r="O3511" s="16" t="n">
        <v>511.0673477293499</v>
      </c>
      <c r="P3511" s="16" t="n">
        <v>282.7084733639734</v>
      </c>
      <c r="Q3511" s="16" t="n">
        <v>3000</v>
      </c>
      <c r="R3511" s="16" t="n">
        <v>539.0734201981877</v>
      </c>
      <c r="S3511" s="16" t="n">
        <v>0.6072605357273906</v>
      </c>
      <c r="T3511" s="16" t="n">
        <v>0.4000053032029426</v>
      </c>
      <c r="U3511" s="16" t="n">
        <v>0.496820882427327</v>
      </c>
      <c r="V3511" s="16" t="n">
        <v>0.6673271912395873</v>
      </c>
      <c r="W3511" s="16" t="n">
        <v>0.6831766343244222</v>
      </c>
      <c r="X3511" s="16" t="n">
        <v>0.5938201752095505</v>
      </c>
      <c r="Y3511" s="16" t="n">
        <v>282.7084733639734</v>
      </c>
      <c r="Z3511" s="16" t="n">
        <v>-8.81064485365896</v>
      </c>
      <c r="AA3511" s="16" t="n">
        <v>-85.67741442153513</v>
      </c>
      <c r="AB3511" s="16" t="n">
        <v>2460.926579801812</v>
      </c>
      <c r="AC3511" s="16" t="n">
        <v>5.565104654755682</v>
      </c>
      <c r="AD3511" s="16" t="inlineStr">
        <is>
          <t>O2,O3</t>
        </is>
      </c>
      <c r="AE3511" s="16" t="n"/>
    </row>
    <row r="3512">
      <c r="A3512" s="16" t="inlineStr">
        <is>
          <t>KF-M09-R0-P_alta-0098</t>
        </is>
      </c>
      <c r="B3512" s="16" t="inlineStr">
        <is>
          <t>4.3</t>
        </is>
      </c>
      <c r="C3512" s="16" t="inlineStr">
        <is>
          <t>4.3 P_alta</t>
        </is>
      </c>
      <c r="D3512" s="16" t="inlineStr">
        <is>
          <t>ronda 0</t>
        </is>
      </c>
      <c r="E3512" s="16" t="inlineStr">
        <is>
          <t>KF-M09</t>
        </is>
      </c>
      <c r="F3512" s="16" t="inlineStr">
        <is>
          <t>KF-M09-R0-P_alta</t>
        </is>
      </c>
      <c r="G3512" s="16" t="inlineStr">
        <is>
          <t>B13-P_alta</t>
        </is>
      </c>
      <c r="H3512" s="16" t="inlineStr">
        <is>
          <t>lhs</t>
        </is>
      </c>
      <c r="I3512" s="16" t="inlineStr">
        <is>
          <t>INVIABLE</t>
        </is>
      </c>
      <c r="J3512" s="16" t="inlineStr">
        <is>
          <t>INVIABLE</t>
        </is>
      </c>
      <c r="K3512" s="16" t="b">
        <v>1</v>
      </c>
      <c r="L3512" s="16" t="b">
        <v>0</v>
      </c>
      <c r="M3512" s="16" t="b">
        <v>1</v>
      </c>
      <c r="N3512" s="16" t="b">
        <v>0</v>
      </c>
      <c r="O3512" s="16" t="n">
        <v>496.789433152591</v>
      </c>
      <c r="P3512" s="16" t="n">
        <v>294.2979738856496</v>
      </c>
      <c r="Q3512" s="16" t="n">
        <v>3000</v>
      </c>
      <c r="R3512" s="16" t="n">
        <v>986.8856060548997</v>
      </c>
      <c r="S3512" s="16" t="n">
        <v>0.8056908247169074</v>
      </c>
      <c r="T3512" s="16" t="n">
        <v>0.4925064042232993</v>
      </c>
      <c r="U3512" s="16" t="n">
        <v>0.5692874365306699</v>
      </c>
      <c r="V3512" s="16" t="n">
        <v>0.7754676751962432</v>
      </c>
      <c r="W3512" s="16" t="n">
        <v>0.7598340957492047</v>
      </c>
      <c r="X3512" s="16" t="n">
        <v>0.4733879023892914</v>
      </c>
      <c r="Y3512" s="16" t="n">
        <v>294.2979738856496</v>
      </c>
      <c r="Z3512" s="16" t="n">
        <v>-12.33674921965744</v>
      </c>
      <c r="AA3512" s="16" t="n">
        <v>-88.36498476601896</v>
      </c>
      <c r="AB3512" s="16" t="n">
        <v>2013.1143939451</v>
      </c>
      <c r="AC3512" s="16" t="n">
        <v>3.039866000267829</v>
      </c>
      <c r="AD3512" s="16" t="inlineStr">
        <is>
          <t>O2,O3</t>
        </is>
      </c>
      <c r="AE3512" s="16" t="n"/>
    </row>
    <row r="3513">
      <c r="A3513" s="16" t="inlineStr">
        <is>
          <t>KF-M09-R0-P_baja-0000</t>
        </is>
      </c>
      <c r="B3513" s="16" t="inlineStr">
        <is>
          <t>4.3</t>
        </is>
      </c>
      <c r="C3513" s="16" t="inlineStr">
        <is>
          <t>4.3 P_baja</t>
        </is>
      </c>
      <c r="D3513" s="16" t="inlineStr">
        <is>
          <t>ronda 0</t>
        </is>
      </c>
      <c r="E3513" s="16" t="inlineStr">
        <is>
          <t>KF-M09</t>
        </is>
      </c>
      <c r="F3513" s="16" t="inlineStr">
        <is>
          <t>KF-M09-R0-P_baja</t>
        </is>
      </c>
      <c r="G3513" s="16" t="inlineStr">
        <is>
          <t>B13-P_baja</t>
        </is>
      </c>
      <c r="H3513" s="16" t="inlineStr">
        <is>
          <t>lhs</t>
        </is>
      </c>
      <c r="I3513" s="16" t="inlineStr">
        <is>
          <t>CORREGIBLE</t>
        </is>
      </c>
      <c r="J3513" s="16" t="inlineStr">
        <is>
          <t>CORREGIBLE</t>
        </is>
      </c>
      <c r="K3513" s="16" t="b">
        <v>1</v>
      </c>
      <c r="L3513" s="16" t="b">
        <v>0</v>
      </c>
      <c r="M3513" s="16" t="b">
        <v>1</v>
      </c>
      <c r="N3513" s="16" t="b">
        <v>0</v>
      </c>
      <c r="O3513" s="16" t="n">
        <v>480.6444445113914</v>
      </c>
      <c r="P3513" s="16" t="n">
        <v>295.1831897777049</v>
      </c>
      <c r="Q3513" s="16" t="n">
        <v>2265.358374816879</v>
      </c>
      <c r="R3513" s="16" t="n">
        <v>400</v>
      </c>
      <c r="S3513" s="16" t="n">
        <v>0.6488234769800023</v>
      </c>
      <c r="T3513" s="16" t="n">
        <v>0.8902997220711623</v>
      </c>
      <c r="U3513" s="16" t="n">
        <v>0.5776334276371416</v>
      </c>
      <c r="V3513" s="16" t="n">
        <v>0.7893640964901394</v>
      </c>
      <c r="W3513" s="16" t="n">
        <v>0.7521810208414682</v>
      </c>
      <c r="X3513" s="16" t="n">
        <v>0.8539116755497427</v>
      </c>
      <c r="Y3513" s="16" t="n">
        <v>295.1831897777049</v>
      </c>
      <c r="Z3513" s="16" t="n">
        <v>9.463156060635701</v>
      </c>
      <c r="AA3513" s="16" t="n">
        <v>121.8804117899479</v>
      </c>
      <c r="AB3513" s="16" t="n">
        <v>1865.35837481688</v>
      </c>
      <c r="AC3513" s="16" t="n">
        <v>5.663395937042199</v>
      </c>
      <c r="AD3513" s="16" t="inlineStr">
        <is>
          <t>O2</t>
        </is>
      </c>
      <c r="AE3513" s="16" t="n"/>
    </row>
    <row r="3514">
      <c r="A3514" s="16" t="inlineStr">
        <is>
          <t>KF-M09-R0-P_alta-0099</t>
        </is>
      </c>
      <c r="B3514" s="16" t="inlineStr">
        <is>
          <t>4.3</t>
        </is>
      </c>
      <c r="C3514" s="16" t="inlineStr">
        <is>
          <t>4.3 P_alta</t>
        </is>
      </c>
      <c r="D3514" s="16" t="inlineStr">
        <is>
          <t>ronda 0</t>
        </is>
      </c>
      <c r="E3514" s="16" t="inlineStr">
        <is>
          <t>KF-M09</t>
        </is>
      </c>
      <c r="F3514" s="16" t="inlineStr">
        <is>
          <t>KF-M09-R0-P_alta</t>
        </is>
      </c>
      <c r="G3514" s="16" t="inlineStr">
        <is>
          <t>B13-P_alta</t>
        </is>
      </c>
      <c r="H3514" s="16" t="inlineStr">
        <is>
          <t>lhs</t>
        </is>
      </c>
      <c r="I3514" s="16" t="inlineStr">
        <is>
          <t>CORREGIBLE</t>
        </is>
      </c>
      <c r="J3514" s="16" t="inlineStr">
        <is>
          <t>CORREGIBLE</t>
        </is>
      </c>
      <c r="K3514" s="16" t="b">
        <v>1</v>
      </c>
      <c r="L3514" s="16" t="b">
        <v>0</v>
      </c>
      <c r="M3514" s="16" t="b">
        <v>1</v>
      </c>
      <c r="N3514" s="16" t="b">
        <v>0</v>
      </c>
      <c r="O3514" s="16" t="n">
        <v>484.9039814337377</v>
      </c>
      <c r="P3514" s="16" t="n">
        <v>303.3806011378185</v>
      </c>
      <c r="Q3514" s="16" t="n">
        <v>3000</v>
      </c>
      <c r="R3514" s="16" t="n">
        <v>1953.870610436472</v>
      </c>
      <c r="S3514" s="16" t="n">
        <v>0.5084460350101958</v>
      </c>
      <c r="T3514" s="16" t="n">
        <v>0.7667065365803433</v>
      </c>
      <c r="U3514" s="16" t="n">
        <v>0.7387254979869277</v>
      </c>
      <c r="V3514" s="16" t="n">
        <v>0.7826383460462749</v>
      </c>
      <c r="W3514" s="16" t="n">
        <v>0.5352842880253227</v>
      </c>
      <c r="X3514" s="16" t="n">
        <v>0.7922449849354301</v>
      </c>
      <c r="Y3514" s="16" t="n">
        <v>303.3806011378185</v>
      </c>
      <c r="Z3514" s="16" t="n">
        <v>3.03119480929534</v>
      </c>
      <c r="AA3514" s="16" t="n">
        <v>45.51939821520686</v>
      </c>
      <c r="AB3514" s="16" t="n">
        <v>1046.129389563528</v>
      </c>
      <c r="AC3514" s="16" t="n">
        <v>1.535413851856769</v>
      </c>
      <c r="AD3514" s="16" t="inlineStr">
        <is>
          <t>O2</t>
        </is>
      </c>
      <c r="AE3514" s="16" t="n"/>
    </row>
    <row r="3515">
      <c r="A3515" s="16" t="inlineStr">
        <is>
          <t>KF-M09-R0-P_baja-0001</t>
        </is>
      </c>
      <c r="B3515" s="16" t="inlineStr">
        <is>
          <t>4.3</t>
        </is>
      </c>
      <c r="C3515" s="16" t="inlineStr">
        <is>
          <t>4.3 P_baja</t>
        </is>
      </c>
      <c r="D3515" s="16" t="inlineStr">
        <is>
          <t>ronda 0</t>
        </is>
      </c>
      <c r="E3515" s="16" t="inlineStr">
        <is>
          <t>KF-M09</t>
        </is>
      </c>
      <c r="F3515" s="16" t="inlineStr">
        <is>
          <t>KF-M09-R0-P_baja</t>
        </is>
      </c>
      <c r="G3515" s="16" t="inlineStr">
        <is>
          <t>B13-P_baja</t>
        </is>
      </c>
      <c r="H3515" s="16" t="inlineStr">
        <is>
          <t>lhs</t>
        </is>
      </c>
      <c r="I3515" s="16" t="inlineStr">
        <is>
          <t>CORREGIBLE</t>
        </is>
      </c>
      <c r="J3515" s="16" t="inlineStr">
        <is>
          <t>CORREGIBLE</t>
        </is>
      </c>
      <c r="K3515" s="16" t="b">
        <v>1</v>
      </c>
      <c r="L3515" s="16" t="b">
        <v>0</v>
      </c>
      <c r="M3515" s="16" t="b">
        <v>1</v>
      </c>
      <c r="N3515" s="16" t="b">
        <v>0</v>
      </c>
      <c r="O3515" s="16" t="n">
        <v>478.5406006804856</v>
      </c>
      <c r="P3515" s="16" t="n">
        <v>293.0423552302586</v>
      </c>
      <c r="Q3515" s="16" t="n">
        <v>4863.136522228948</v>
      </c>
      <c r="R3515" s="16" t="n">
        <v>400</v>
      </c>
      <c r="S3515" s="16" t="n">
        <v>0.5394978108393231</v>
      </c>
      <c r="T3515" s="16" t="n">
        <v>0.838637193734479</v>
      </c>
      <c r="U3515" s="16" t="n">
        <v>0.6661801657715445</v>
      </c>
      <c r="V3515" s="16" t="n">
        <v>0.4120857230392261</v>
      </c>
      <c r="W3515" s="16" t="n">
        <v>0.7889543843847303</v>
      </c>
      <c r="X3515" s="16" t="n">
        <v>0.6763828231244375</v>
      </c>
      <c r="Y3515" s="16" t="n">
        <v>293.0423552302586</v>
      </c>
      <c r="Z3515" s="16" t="n">
        <v>13.81807982263716</v>
      </c>
      <c r="AA3515" s="16" t="n">
        <v>77.27641734853901</v>
      </c>
      <c r="AB3515" s="16" t="n">
        <v>4463.136522228948</v>
      </c>
      <c r="AC3515" s="16" t="n">
        <v>12.15784130557237</v>
      </c>
      <c r="AD3515" s="16" t="inlineStr">
        <is>
          <t>O1,O2</t>
        </is>
      </c>
      <c r="AE3515" s="16" t="n"/>
    </row>
    <row r="3516">
      <c r="A3516" s="16" t="inlineStr">
        <is>
          <t>KF-M09-R0-P_baja-0002</t>
        </is>
      </c>
      <c r="B3516" s="16" t="inlineStr">
        <is>
          <t>4.3</t>
        </is>
      </c>
      <c r="C3516" s="16" t="inlineStr">
        <is>
          <t>4.3 P_baja</t>
        </is>
      </c>
      <c r="D3516" s="16" t="inlineStr">
        <is>
          <t>ronda 0</t>
        </is>
      </c>
      <c r="E3516" s="16" t="inlineStr">
        <is>
          <t>KF-M09</t>
        </is>
      </c>
      <c r="F3516" s="16" t="inlineStr">
        <is>
          <t>KF-M09-R0-P_baja</t>
        </is>
      </c>
      <c r="G3516" s="16" t="inlineStr">
        <is>
          <t>B13-P_baja</t>
        </is>
      </c>
      <c r="H3516" s="16" t="inlineStr">
        <is>
          <t>lhs</t>
        </is>
      </c>
      <c r="I3516" s="16" t="inlineStr">
        <is>
          <t>CORREGIBLE</t>
        </is>
      </c>
      <c r="J3516" s="16" t="inlineStr">
        <is>
          <t>CORREGIBLE</t>
        </is>
      </c>
      <c r="K3516" s="16" t="b">
        <v>1</v>
      </c>
      <c r="L3516" s="16" t="b">
        <v>0</v>
      </c>
      <c r="M3516" s="16" t="b">
        <v>1</v>
      </c>
      <c r="N3516" s="16" t="b">
        <v>0</v>
      </c>
      <c r="O3516" s="16" t="n">
        <v>463.6197441685871</v>
      </c>
      <c r="P3516" s="16" t="n">
        <v>288.0253887229966</v>
      </c>
      <c r="Q3516" s="16" t="n">
        <v>2428.86504331177</v>
      </c>
      <c r="R3516" s="16" t="n">
        <v>400</v>
      </c>
      <c r="S3516" s="16" t="n">
        <v>0.6056898421397534</v>
      </c>
      <c r="T3516" s="16" t="n">
        <v>0.9220595163800896</v>
      </c>
      <c r="U3516" s="16" t="n">
        <v>0.8665537035866127</v>
      </c>
      <c r="V3516" s="16" t="n">
        <v>0.6296899133669077</v>
      </c>
      <c r="W3516" s="16" t="n">
        <v>0.6307774209991819</v>
      </c>
      <c r="X3516" s="16" t="n">
        <v>0.4074330025636694</v>
      </c>
      <c r="Y3516" s="16" t="n">
        <v>288.0253887229966</v>
      </c>
      <c r="Z3516" s="16" t="n">
        <v>9.285627567159111</v>
      </c>
      <c r="AA3516" s="16" t="n">
        <v>66.2233698200084</v>
      </c>
      <c r="AB3516" s="16" t="n">
        <v>2028.86504331177</v>
      </c>
      <c r="AC3516" s="16" t="n">
        <v>6.072162608279425</v>
      </c>
      <c r="AD3516" s="16" t="inlineStr">
        <is>
          <t>O2</t>
        </is>
      </c>
      <c r="AE3516" s="16" t="n"/>
    </row>
    <row r="3517">
      <c r="A3517" s="16" t="inlineStr">
        <is>
          <t>KF-M09-R0-P_baja-0003</t>
        </is>
      </c>
      <c r="B3517" s="16" t="inlineStr">
        <is>
          <t>4.3</t>
        </is>
      </c>
      <c r="C3517" s="16" t="inlineStr">
        <is>
          <t>4.3 P_baja</t>
        </is>
      </c>
      <c r="D3517" s="16" t="inlineStr">
        <is>
          <t>ronda 0</t>
        </is>
      </c>
      <c r="E3517" s="16" t="inlineStr">
        <is>
          <t>KF-M09</t>
        </is>
      </c>
      <c r="F3517" s="16" t="inlineStr">
        <is>
          <t>KF-M09-R0-P_baja</t>
        </is>
      </c>
      <c r="G3517" s="16" t="inlineStr">
        <is>
          <t>B13-P_baja</t>
        </is>
      </c>
      <c r="H3517" s="16" t="inlineStr">
        <is>
          <t>lhs</t>
        </is>
      </c>
      <c r="I3517" s="16" t="inlineStr">
        <is>
          <t>N2</t>
        </is>
      </c>
      <c r="J3517" s="16" t="inlineStr">
        <is>
          <t>NO_CONVERGIO</t>
        </is>
      </c>
      <c r="K3517" s="16" t="b">
        <v>0</v>
      </c>
      <c r="L3517" s="16" t="b">
        <v>0</v>
      </c>
      <c r="M3517" s="16" t="b">
        <v>0</v>
      </c>
      <c r="N3517" s="16" t="b">
        <v>0</v>
      </c>
      <c r="O3517" s="16" t="n">
        <v>393.1451871688316</v>
      </c>
      <c r="P3517" s="16" t="n">
        <v>284.6492199858867</v>
      </c>
      <c r="Q3517" s="16" t="n">
        <v>3773.242508729036</v>
      </c>
      <c r="R3517" s="16" t="n">
        <v>400</v>
      </c>
      <c r="S3517" s="16" t="n">
        <v>0.5222176696105955</v>
      </c>
      <c r="T3517" s="16" t="n">
        <v>0.5396374212887763</v>
      </c>
      <c r="U3517" s="16" t="n">
        <v>0.6103413105924308</v>
      </c>
      <c r="V3517" s="16" t="n">
        <v>0.7001747029372711</v>
      </c>
      <c r="W3517" s="16" t="n">
        <v>0.449532290955873</v>
      </c>
      <c r="X3517" s="16" t="n">
        <v>0.7787347721126641</v>
      </c>
      <c r="Y3517" s="16" t="n">
        <v>284.6492199858867</v>
      </c>
      <c r="Z3517" s="16" t="n">
        <v>-29.40110398770379</v>
      </c>
      <c r="AA3517" s="16" t="n">
        <v>-54.34049320456921</v>
      </c>
      <c r="AB3517" s="16" t="n">
        <v>3373.242508729036</v>
      </c>
      <c r="AC3517" s="16" t="n">
        <v>9.43310627182259</v>
      </c>
      <c r="AD3517" s="16" t="inlineStr">
        <is>
          <t>N2,S6,O3,O5,C1,C3,C3</t>
        </is>
      </c>
      <c r="AE3517" s="16" t="n"/>
    </row>
    <row r="3518">
      <c r="A3518" s="16" t="inlineStr">
        <is>
          <t>KF-M09-R0-P_baja-0004</t>
        </is>
      </c>
      <c r="B3518" s="16" t="inlineStr">
        <is>
          <t>4.3</t>
        </is>
      </c>
      <c r="C3518" s="16" t="inlineStr">
        <is>
          <t>4.3 P_baja</t>
        </is>
      </c>
      <c r="D3518" s="16" t="inlineStr">
        <is>
          <t>ronda 0</t>
        </is>
      </c>
      <c r="E3518" s="16" t="inlineStr">
        <is>
          <t>KF-M09</t>
        </is>
      </c>
      <c r="F3518" s="16" t="inlineStr">
        <is>
          <t>KF-M09-R0-P_baja</t>
        </is>
      </c>
      <c r="G3518" s="16" t="inlineStr">
        <is>
          <t>B13-P_baja</t>
        </is>
      </c>
      <c r="H3518" s="16" t="inlineStr">
        <is>
          <t>lhs</t>
        </is>
      </c>
      <c r="I3518" s="16" t="inlineStr">
        <is>
          <t>CORREGIBLE</t>
        </is>
      </c>
      <c r="J3518" s="16" t="inlineStr">
        <is>
          <t>CORREGIBLE</t>
        </is>
      </c>
      <c r="K3518" s="16" t="b">
        <v>1</v>
      </c>
      <c r="L3518" s="16" t="b">
        <v>0</v>
      </c>
      <c r="M3518" s="16" t="b">
        <v>1</v>
      </c>
      <c r="N3518" s="16" t="b">
        <v>0</v>
      </c>
      <c r="O3518" s="16" t="n">
        <v>509.5623316562742</v>
      </c>
      <c r="P3518" s="16" t="n">
        <v>279.9310659830374</v>
      </c>
      <c r="Q3518" s="16" t="n">
        <v>4584.770225558914</v>
      </c>
      <c r="R3518" s="16" t="n">
        <v>400</v>
      </c>
      <c r="S3518" s="16" t="n">
        <v>0.786659308516421</v>
      </c>
      <c r="T3518" s="16" t="n">
        <v>0.4333555589833113</v>
      </c>
      <c r="U3518" s="16" t="n">
        <v>0.872758161393611</v>
      </c>
      <c r="V3518" s="16" t="n">
        <v>0.8452273820150302</v>
      </c>
      <c r="W3518" s="16" t="n">
        <v>0.5357352307353499</v>
      </c>
      <c r="X3518" s="16" t="n">
        <v>0.7520393219031756</v>
      </c>
      <c r="Y3518" s="16" t="n">
        <v>279.9310659830374</v>
      </c>
      <c r="Z3518" s="16" t="n">
        <v>2.74004848143609</v>
      </c>
      <c r="AA3518" s="16" t="n">
        <v>32.59732273918962</v>
      </c>
      <c r="AB3518" s="16" t="n">
        <v>4184.770225558914</v>
      </c>
      <c r="AC3518" s="16" t="n">
        <v>11.46192556389728</v>
      </c>
      <c r="AD3518" s="16" t="inlineStr">
        <is>
          <t>O2</t>
        </is>
      </c>
      <c r="AE3518" s="16" t="n"/>
    </row>
    <row r="3519">
      <c r="A3519" s="16" t="inlineStr">
        <is>
          <t>KF-M09-R0-P_baja-0005</t>
        </is>
      </c>
      <c r="B3519" s="16" t="inlineStr">
        <is>
          <t>4.3</t>
        </is>
      </c>
      <c r="C3519" s="16" t="inlineStr">
        <is>
          <t>4.3 P_baja</t>
        </is>
      </c>
      <c r="D3519" s="16" t="inlineStr">
        <is>
          <t>ronda 0</t>
        </is>
      </c>
      <c r="E3519" s="16" t="inlineStr">
        <is>
          <t>KF-M09</t>
        </is>
      </c>
      <c r="F3519" s="16" t="inlineStr">
        <is>
          <t>KF-M09-R0-P_baja</t>
        </is>
      </c>
      <c r="G3519" s="16" t="inlineStr">
        <is>
          <t>B13-P_baja</t>
        </is>
      </c>
      <c r="H3519" s="16" t="inlineStr">
        <is>
          <t>lhs</t>
        </is>
      </c>
      <c r="I3519" s="16" t="inlineStr">
        <is>
          <t>INVIABLE</t>
        </is>
      </c>
      <c r="J3519" s="16" t="inlineStr">
        <is>
          <t>INVIABLE</t>
        </is>
      </c>
      <c r="K3519" s="16" t="b">
        <v>1</v>
      </c>
      <c r="L3519" s="16" t="b">
        <v>0</v>
      </c>
      <c r="M3519" s="16" t="b">
        <v>0</v>
      </c>
      <c r="N3519" s="16" t="b">
        <v>0</v>
      </c>
      <c r="O3519" s="16" t="n">
        <v>420.0594476286429</v>
      </c>
      <c r="P3519" s="16" t="n">
        <v>295.427661449856</v>
      </c>
      <c r="Q3519" s="16" t="n">
        <v>4146.183969176294</v>
      </c>
      <c r="R3519" s="16" t="n">
        <v>400</v>
      </c>
      <c r="S3519" s="16" t="n">
        <v>0.8348353514114081</v>
      </c>
      <c r="T3519" s="16" t="n">
        <v>0.7417609576620063</v>
      </c>
      <c r="U3519" s="16" t="n">
        <v>0.7212043903701115</v>
      </c>
      <c r="V3519" s="16" t="n">
        <v>0.7528507000777476</v>
      </c>
      <c r="W3519" s="16" t="n">
        <v>0.5698829313518678</v>
      </c>
      <c r="X3519" s="16" t="n">
        <v>0.6975150314785199</v>
      </c>
      <c r="Y3519" s="16" t="n">
        <v>295.427661449856</v>
      </c>
      <c r="Z3519" s="16" t="n">
        <v>-100.285596627046</v>
      </c>
      <c r="AA3519" s="16" t="n">
        <v>-129.6976716423311</v>
      </c>
      <c r="AB3519" s="16" t="n">
        <v>3746.183969176294</v>
      </c>
      <c r="AC3519" s="16" t="n">
        <v>10.36545992294074</v>
      </c>
      <c r="AD3519" s="16" t="inlineStr">
        <is>
          <t>O2,O3</t>
        </is>
      </c>
      <c r="AE3519" s="16" t="n"/>
    </row>
    <row r="3520">
      <c r="A3520" s="16" t="inlineStr">
        <is>
          <t>KF-M09-R0-P_baja-0006</t>
        </is>
      </c>
      <c r="B3520" s="16" t="inlineStr">
        <is>
          <t>4.3</t>
        </is>
      </c>
      <c r="C3520" s="16" t="inlineStr">
        <is>
          <t>4.3 P_baja</t>
        </is>
      </c>
      <c r="D3520" s="16" t="inlineStr">
        <is>
          <t>ronda 0</t>
        </is>
      </c>
      <c r="E3520" s="16" t="inlineStr">
        <is>
          <t>KF-M09</t>
        </is>
      </c>
      <c r="F3520" s="16" t="inlineStr">
        <is>
          <t>KF-M09-R0-P_baja</t>
        </is>
      </c>
      <c r="G3520" s="16" t="inlineStr">
        <is>
          <t>B13-P_baja</t>
        </is>
      </c>
      <c r="H3520" s="16" t="inlineStr">
        <is>
          <t>lhs</t>
        </is>
      </c>
      <c r="I3520" s="16" t="inlineStr">
        <is>
          <t>INVIABLE</t>
        </is>
      </c>
      <c r="J3520" s="16" t="inlineStr">
        <is>
          <t>INVIABLE</t>
        </is>
      </c>
      <c r="K3520" s="16" t="b">
        <v>1</v>
      </c>
      <c r="L3520" s="16" t="b">
        <v>0</v>
      </c>
      <c r="M3520" s="16" t="b">
        <v>1</v>
      </c>
      <c r="N3520" s="16" t="b">
        <v>0</v>
      </c>
      <c r="O3520" s="16" t="n">
        <v>501.1122699572014</v>
      </c>
      <c r="P3520" s="16" t="n">
        <v>289.377153197231</v>
      </c>
      <c r="Q3520" s="16" t="n">
        <v>4727.976848921893</v>
      </c>
      <c r="R3520" s="16" t="n">
        <v>400</v>
      </c>
      <c r="S3520" s="16" t="n">
        <v>0.6918586710846906</v>
      </c>
      <c r="T3520" s="16" t="n">
        <v>0.5911005848050159</v>
      </c>
      <c r="U3520" s="16" t="n">
        <v>0.6447708444789183</v>
      </c>
      <c r="V3520" s="16" t="n">
        <v>0.7829646637418612</v>
      </c>
      <c r="W3520" s="16" t="n">
        <v>0.7587262507917696</v>
      </c>
      <c r="X3520" s="16" t="n">
        <v>0.6928950195244584</v>
      </c>
      <c r="Y3520" s="16" t="n">
        <v>289.377153197231</v>
      </c>
      <c r="Z3520" s="16" t="n">
        <v>-1.08382753048681</v>
      </c>
      <c r="AA3520" s="16" t="n">
        <v>-10.60402316462867</v>
      </c>
      <c r="AB3520" s="16" t="n">
        <v>4327.976848921893</v>
      </c>
      <c r="AC3520" s="16" t="n">
        <v>11.81994212230473</v>
      </c>
      <c r="AD3520" s="16" t="inlineStr">
        <is>
          <t>O2,O3</t>
        </is>
      </c>
      <c r="AE3520" s="16" t="n"/>
    </row>
    <row r="3521">
      <c r="A3521" s="16" t="inlineStr">
        <is>
          <t>KF-M09-R0-P_baja-0007</t>
        </is>
      </c>
      <c r="B3521" s="16" t="inlineStr">
        <is>
          <t>4.3</t>
        </is>
      </c>
      <c r="C3521" s="16" t="inlineStr">
        <is>
          <t>4.3 P_baja</t>
        </is>
      </c>
      <c r="D3521" s="16" t="inlineStr">
        <is>
          <t>ronda 0</t>
        </is>
      </c>
      <c r="E3521" s="16" t="inlineStr">
        <is>
          <t>KF-M09</t>
        </is>
      </c>
      <c r="F3521" s="16" t="inlineStr">
        <is>
          <t>KF-M09-R0-P_baja</t>
        </is>
      </c>
      <c r="G3521" s="16" t="inlineStr">
        <is>
          <t>B13-P_baja</t>
        </is>
      </c>
      <c r="H3521" s="16" t="inlineStr">
        <is>
          <t>lhs</t>
        </is>
      </c>
      <c r="I3521" s="16" t="inlineStr">
        <is>
          <t>INVIABLE</t>
        </is>
      </c>
      <c r="J3521" s="16" t="inlineStr">
        <is>
          <t>INVIABLE</t>
        </is>
      </c>
      <c r="K3521" s="16" t="b">
        <v>1</v>
      </c>
      <c r="L3521" s="16" t="b">
        <v>0</v>
      </c>
      <c r="M3521" s="16" t="b">
        <v>0</v>
      </c>
      <c r="N3521" s="16" t="b">
        <v>0</v>
      </c>
      <c r="O3521" s="16" t="n">
        <v>397.7758964307367</v>
      </c>
      <c r="P3521" s="16" t="n">
        <v>291.2235627223315</v>
      </c>
      <c r="Q3521" s="16" t="n">
        <v>3462.048224466078</v>
      </c>
      <c r="R3521" s="16" t="n">
        <v>400</v>
      </c>
      <c r="S3521" s="16" t="n">
        <v>0.6168648552977535</v>
      </c>
      <c r="T3521" s="16" t="n">
        <v>0.56852076420435</v>
      </c>
      <c r="U3521" s="16" t="n">
        <v>0.5182516046359404</v>
      </c>
      <c r="V3521" s="16" t="n">
        <v>0.8134562273820525</v>
      </c>
      <c r="W3521" s="16" t="n">
        <v>0.8587184474074872</v>
      </c>
      <c r="X3521" s="16" t="n">
        <v>0.5605644926262516</v>
      </c>
      <c r="Y3521" s="16" t="n">
        <v>291.2235627223315</v>
      </c>
      <c r="Z3521" s="16" t="n">
        <v>-6.52008459668271</v>
      </c>
      <c r="AA3521" s="16" t="n">
        <v>-20.24726478926305</v>
      </c>
      <c r="AB3521" s="16" t="n">
        <v>3062.048224466078</v>
      </c>
      <c r="AC3521" s="16" t="n">
        <v>8.655120561165194</v>
      </c>
      <c r="AD3521" s="16" t="inlineStr">
        <is>
          <t>O2,O3</t>
        </is>
      </c>
      <c r="AE3521" s="16" t="n"/>
    </row>
    <row r="3522">
      <c r="A3522" s="16" t="inlineStr">
        <is>
          <t>KF-M09-R0-P_baja-0008</t>
        </is>
      </c>
      <c r="B3522" s="16" t="inlineStr">
        <is>
          <t>4.3</t>
        </is>
      </c>
      <c r="C3522" s="16" t="inlineStr">
        <is>
          <t>4.3 P_baja</t>
        </is>
      </c>
      <c r="D3522" s="16" t="inlineStr">
        <is>
          <t>ronda 0</t>
        </is>
      </c>
      <c r="E3522" s="16" t="inlineStr">
        <is>
          <t>KF-M09</t>
        </is>
      </c>
      <c r="F3522" s="16" t="inlineStr">
        <is>
          <t>KF-M09-R0-P_baja</t>
        </is>
      </c>
      <c r="G3522" s="16" t="inlineStr">
        <is>
          <t>B13-P_baja</t>
        </is>
      </c>
      <c r="H3522" s="16" t="inlineStr">
        <is>
          <t>lhs</t>
        </is>
      </c>
      <c r="I3522" s="16" t="inlineStr">
        <is>
          <t>INVIABLE</t>
        </is>
      </c>
      <c r="J3522" s="16" t="inlineStr">
        <is>
          <t>INVIABLE</t>
        </is>
      </c>
      <c r="K3522" s="16" t="b">
        <v>1</v>
      </c>
      <c r="L3522" s="16" t="b">
        <v>0</v>
      </c>
      <c r="M3522" s="16" t="b">
        <v>0</v>
      </c>
      <c r="N3522" s="16" t="b">
        <v>0</v>
      </c>
      <c r="O3522" s="16" t="n">
        <v>436.9776483918631</v>
      </c>
      <c r="P3522" s="16" t="n">
        <v>291.9918425347154</v>
      </c>
      <c r="Q3522" s="16" t="n">
        <v>2850.154830986882</v>
      </c>
      <c r="R3522" s="16" t="n">
        <v>400</v>
      </c>
      <c r="S3522" s="16" t="n">
        <v>0.7249692392535295</v>
      </c>
      <c r="T3522" s="16" t="n">
        <v>0.851387902354142</v>
      </c>
      <c r="U3522" s="16" t="n">
        <v>0.8888346384172047</v>
      </c>
      <c r="V3522" s="16" t="n">
        <v>0.4643709953962174</v>
      </c>
      <c r="W3522" s="16" t="n">
        <v>0.6702754124252347</v>
      </c>
      <c r="X3522" s="16" t="n">
        <v>0.4270430583754644</v>
      </c>
      <c r="Y3522" s="16" t="n">
        <v>291.9918425347154</v>
      </c>
      <c r="Z3522" s="16" t="n">
        <v>-0.18899816281741</v>
      </c>
      <c r="AA3522" s="16" t="n">
        <v>-0.6212295729145296</v>
      </c>
      <c r="AB3522" s="16" t="n">
        <v>2450.154830986882</v>
      </c>
      <c r="AC3522" s="16" t="n">
        <v>7.125387077467206</v>
      </c>
      <c r="AD3522" s="16" t="inlineStr">
        <is>
          <t>O2,O3</t>
        </is>
      </c>
      <c r="AE3522" s="16" t="n"/>
    </row>
    <row r="3523">
      <c r="A3523" s="16" t="inlineStr">
        <is>
          <t>KF-M09-R0-P_baja-0009</t>
        </is>
      </c>
      <c r="B3523" s="16" t="inlineStr">
        <is>
          <t>4.3</t>
        </is>
      </c>
      <c r="C3523" s="16" t="inlineStr">
        <is>
          <t>4.3 P_baja</t>
        </is>
      </c>
      <c r="D3523" s="16" t="inlineStr">
        <is>
          <t>ronda 0</t>
        </is>
      </c>
      <c r="E3523" s="16" t="inlineStr">
        <is>
          <t>KF-M09</t>
        </is>
      </c>
      <c r="F3523" s="16" t="inlineStr">
        <is>
          <t>KF-M09-R0-P_baja</t>
        </is>
      </c>
      <c r="G3523" s="16" t="inlineStr">
        <is>
          <t>B13-P_baja</t>
        </is>
      </c>
      <c r="H3523" s="16" t="inlineStr">
        <is>
          <t>lhs</t>
        </is>
      </c>
      <c r="I3523" s="16" t="inlineStr">
        <is>
          <t>INVIABLE</t>
        </is>
      </c>
      <c r="J3523" s="16" t="inlineStr">
        <is>
          <t>INVIABLE</t>
        </is>
      </c>
      <c r="K3523" s="16" t="b">
        <v>1</v>
      </c>
      <c r="L3523" s="16" t="b">
        <v>0</v>
      </c>
      <c r="M3523" s="16" t="b">
        <v>1</v>
      </c>
      <c r="N3523" s="16" t="b">
        <v>0</v>
      </c>
      <c r="O3523" s="16" t="n">
        <v>430.5095509743632</v>
      </c>
      <c r="P3523" s="16" t="n">
        <v>302.229932616744</v>
      </c>
      <c r="Q3523" s="16" t="n">
        <v>4460.278300896834</v>
      </c>
      <c r="R3523" s="16" t="n">
        <v>400</v>
      </c>
      <c r="S3523" s="16" t="n">
        <v>0.5710493272053807</v>
      </c>
      <c r="T3523" s="16" t="n">
        <v>0.5484567755446995</v>
      </c>
      <c r="U3523" s="16" t="n">
        <v>0.4389137213616004</v>
      </c>
      <c r="V3523" s="16" t="n">
        <v>0.9144145651367644</v>
      </c>
      <c r="W3523" s="16" t="n">
        <v>0.8722707477165439</v>
      </c>
      <c r="X3523" s="16" t="n">
        <v>0.4813791526317992</v>
      </c>
      <c r="Y3523" s="16" t="n">
        <v>302.229932616744</v>
      </c>
      <c r="Z3523" s="16" t="n">
        <v>-74.43309184446939</v>
      </c>
      <c r="AA3523" s="16" t="n">
        <v>-147.5844075203068</v>
      </c>
      <c r="AB3523" s="16" t="n">
        <v>4060.278300896834</v>
      </c>
      <c r="AC3523" s="16" t="n">
        <v>11.15069575224209</v>
      </c>
      <c r="AD3523" s="16" t="inlineStr">
        <is>
          <t>O2,O3</t>
        </is>
      </c>
      <c r="AE3523" s="16" t="n"/>
    </row>
    <row r="3524">
      <c r="A3524" s="16" t="inlineStr">
        <is>
          <t>KF-M09-R0-P_baja-0010</t>
        </is>
      </c>
      <c r="B3524" s="16" t="inlineStr">
        <is>
          <t>4.3</t>
        </is>
      </c>
      <c r="C3524" s="16" t="inlineStr">
        <is>
          <t>4.3 P_baja</t>
        </is>
      </c>
      <c r="D3524" s="16" t="inlineStr">
        <is>
          <t>ronda 0</t>
        </is>
      </c>
      <c r="E3524" s="16" t="inlineStr">
        <is>
          <t>KF-M09</t>
        </is>
      </c>
      <c r="F3524" s="16" t="inlineStr">
        <is>
          <t>KF-M09-R0-P_baja</t>
        </is>
      </c>
      <c r="G3524" s="16" t="inlineStr">
        <is>
          <t>B13-P_baja</t>
        </is>
      </c>
      <c r="H3524" s="16" t="inlineStr">
        <is>
          <t>lhs</t>
        </is>
      </c>
      <c r="I3524" s="16" t="inlineStr">
        <is>
          <t>CORREGIBLE</t>
        </is>
      </c>
      <c r="J3524" s="16" t="inlineStr">
        <is>
          <t>CORREGIBLE</t>
        </is>
      </c>
      <c r="K3524" s="16" t="b">
        <v>1</v>
      </c>
      <c r="L3524" s="16" t="b">
        <v>0</v>
      </c>
      <c r="M3524" s="16" t="b">
        <v>1</v>
      </c>
      <c r="N3524" s="16" t="b">
        <v>0</v>
      </c>
      <c r="O3524" s="16" t="n">
        <v>514.9849738871338</v>
      </c>
      <c r="P3524" s="16" t="n">
        <v>286.6285628416987</v>
      </c>
      <c r="Q3524" s="16" t="n">
        <v>4032.278483595841</v>
      </c>
      <c r="R3524" s="16" t="n">
        <v>400</v>
      </c>
      <c r="S3524" s="16" t="n">
        <v>0.5071469142843368</v>
      </c>
      <c r="T3524" s="16" t="n">
        <v>0.8821337402783783</v>
      </c>
      <c r="U3524" s="16" t="n">
        <v>0.743714841200048</v>
      </c>
      <c r="V3524" s="16" t="n">
        <v>0.5167141808784211</v>
      </c>
      <c r="W3524" s="16" t="n">
        <v>0.4622521748728604</v>
      </c>
      <c r="X3524" s="16" t="n">
        <v>0.5355378840270201</v>
      </c>
      <c r="Y3524" s="16" t="n">
        <v>286.6285628416987</v>
      </c>
      <c r="Z3524" s="16" t="n">
        <v>10.88783783184802</v>
      </c>
      <c r="AA3524" s="16" t="n">
        <v>92.9423435817713</v>
      </c>
      <c r="AB3524" s="16" t="n">
        <v>3632.278483595841</v>
      </c>
      <c r="AC3524" s="16" t="n">
        <v>10.0806962089896</v>
      </c>
      <c r="AD3524" s="16" t="inlineStr">
        <is>
          <t>O1,O2</t>
        </is>
      </c>
      <c r="AE3524" s="16" t="n"/>
    </row>
    <row r="3525">
      <c r="A3525" s="16" t="inlineStr">
        <is>
          <t>KF-M09-R0-P_baja-0011</t>
        </is>
      </c>
      <c r="B3525" s="16" t="inlineStr">
        <is>
          <t>4.3</t>
        </is>
      </c>
      <c r="C3525" s="16" t="inlineStr">
        <is>
          <t>4.3 P_baja</t>
        </is>
      </c>
      <c r="D3525" s="16" t="inlineStr">
        <is>
          <t>ronda 0</t>
        </is>
      </c>
      <c r="E3525" s="16" t="inlineStr">
        <is>
          <t>KF-M09</t>
        </is>
      </c>
      <c r="F3525" s="16" t="inlineStr">
        <is>
          <t>KF-M09-R0-P_baja</t>
        </is>
      </c>
      <c r="G3525" s="16" t="inlineStr">
        <is>
          <t>B13-P_baja</t>
        </is>
      </c>
      <c r="H3525" s="16" t="inlineStr">
        <is>
          <t>lhs</t>
        </is>
      </c>
      <c r="I3525" s="16" t="inlineStr">
        <is>
          <t>INVIABLE</t>
        </is>
      </c>
      <c r="J3525" s="16" t="inlineStr">
        <is>
          <t>INVIABLE</t>
        </is>
      </c>
      <c r="K3525" s="16" t="b">
        <v>1</v>
      </c>
      <c r="L3525" s="16" t="b">
        <v>0</v>
      </c>
      <c r="M3525" s="16" t="b">
        <v>0</v>
      </c>
      <c r="N3525" s="16" t="b">
        <v>0</v>
      </c>
      <c r="O3525" s="16" t="n">
        <v>422.3725614464174</v>
      </c>
      <c r="P3525" s="16" t="n">
        <v>301.7825574961789</v>
      </c>
      <c r="Q3525" s="16" t="n">
        <v>2150.738938935887</v>
      </c>
      <c r="R3525" s="16" t="n">
        <v>400</v>
      </c>
      <c r="S3525" s="16" t="n">
        <v>0.5957054769278024</v>
      </c>
      <c r="T3525" s="16" t="n">
        <v>0.428746229535401</v>
      </c>
      <c r="U3525" s="16" t="n">
        <v>0.8616362163016991</v>
      </c>
      <c r="V3525" s="16" t="n">
        <v>0.6532084405187</v>
      </c>
      <c r="W3525" s="16" t="n">
        <v>0.47598620546497</v>
      </c>
      <c r="X3525" s="16" t="n">
        <v>0.7223921350550224</v>
      </c>
      <c r="Y3525" s="16" t="n">
        <v>301.7825574961789</v>
      </c>
      <c r="Z3525" s="16" t="n">
        <v>-2.52833157688885</v>
      </c>
      <c r="AA3525" s="16" t="n">
        <v>-13.78992082706502</v>
      </c>
      <c r="AB3525" s="16" t="n">
        <v>1750.738938935887</v>
      </c>
      <c r="AC3525" s="16" t="n">
        <v>5.376847347339717</v>
      </c>
      <c r="AD3525" s="16" t="inlineStr">
        <is>
          <t>O2,O3</t>
        </is>
      </c>
      <c r="AE3525" s="16" t="n"/>
    </row>
    <row r="3526">
      <c r="A3526" s="16" t="inlineStr">
        <is>
          <t>KF-M09-R0-P_baja-0012</t>
        </is>
      </c>
      <c r="B3526" s="16" t="inlineStr">
        <is>
          <t>4.3</t>
        </is>
      </c>
      <c r="C3526" s="16" t="inlineStr">
        <is>
          <t>4.3 P_baja</t>
        </is>
      </c>
      <c r="D3526" s="16" t="inlineStr">
        <is>
          <t>ronda 0</t>
        </is>
      </c>
      <c r="E3526" s="16" t="inlineStr">
        <is>
          <t>KF-M09</t>
        </is>
      </c>
      <c r="F3526" s="16" t="inlineStr">
        <is>
          <t>KF-M09-R0-P_baja</t>
        </is>
      </c>
      <c r="G3526" s="16" t="inlineStr">
        <is>
          <t>B13-P_baja</t>
        </is>
      </c>
      <c r="H3526" s="16" t="inlineStr">
        <is>
          <t>lhs</t>
        </is>
      </c>
      <c r="I3526" s="16" t="inlineStr">
        <is>
          <t>NO_CONVERGIO</t>
        </is>
      </c>
      <c r="J3526" s="16" t="inlineStr">
        <is>
          <t>NO_CONVERGIO</t>
        </is>
      </c>
      <c r="K3526" s="16" t="b">
        <v>0</v>
      </c>
      <c r="L3526" s="16" t="b">
        <v>0</v>
      </c>
      <c r="M3526" s="16" t="b">
        <v>0</v>
      </c>
      <c r="N3526" s="16" t="b">
        <v>0</v>
      </c>
      <c r="O3526" s="16" t="n">
        <v>423.7526484496057</v>
      </c>
      <c r="P3526" s="16" t="n">
        <v>288.7334514290289</v>
      </c>
      <c r="Q3526" s="16" t="n">
        <v>2399.465869978575</v>
      </c>
      <c r="R3526" s="16" t="n">
        <v>400</v>
      </c>
      <c r="S3526" s="16" t="n">
        <v>0.8010996437290872</v>
      </c>
      <c r="T3526" s="16" t="n">
        <v>0.6982410710581366</v>
      </c>
      <c r="U3526" s="16" t="n">
        <v>0.8065849805959269</v>
      </c>
      <c r="V3526" s="16" t="n">
        <v>0.617741316460965</v>
      </c>
      <c r="W3526" s="16" t="n">
        <v>0.7456230127324208</v>
      </c>
      <c r="X3526" s="16" t="n">
        <v>0.791955562464594</v>
      </c>
      <c r="Y3526" s="16" t="n">
        <v>288.7334514290289</v>
      </c>
      <c r="Z3526" s="16" t="n"/>
      <c r="AA3526" s="16" t="n"/>
      <c r="AB3526" s="16" t="n">
        <v>1999.465869978576</v>
      </c>
      <c r="AC3526" s="16" t="n">
        <v>5.998664674946439</v>
      </c>
      <c r="AD3526" s="16" t="n"/>
      <c r="AE3526" s="16" t="n"/>
    </row>
    <row r="3527">
      <c r="A3527" s="16" t="inlineStr">
        <is>
          <t>KF-M09-R0-P_baja-0013</t>
        </is>
      </c>
      <c r="B3527" s="16" t="inlineStr">
        <is>
          <t>4.3</t>
        </is>
      </c>
      <c r="C3527" s="16" t="inlineStr">
        <is>
          <t>4.3 P_baja</t>
        </is>
      </c>
      <c r="D3527" s="16" t="inlineStr">
        <is>
          <t>ronda 0</t>
        </is>
      </c>
      <c r="E3527" s="16" t="inlineStr">
        <is>
          <t>KF-M09</t>
        </is>
      </c>
      <c r="F3527" s="16" t="inlineStr">
        <is>
          <t>KF-M09-R0-P_baja</t>
        </is>
      </c>
      <c r="G3527" s="16" t="inlineStr">
        <is>
          <t>B13-P_baja</t>
        </is>
      </c>
      <c r="H3527" s="16" t="inlineStr">
        <is>
          <t>lhs</t>
        </is>
      </c>
      <c r="I3527" s="16" t="inlineStr">
        <is>
          <t>INVIABLE</t>
        </is>
      </c>
      <c r="J3527" s="16" t="inlineStr">
        <is>
          <t>INVIABLE</t>
        </is>
      </c>
      <c r="K3527" s="16" t="b">
        <v>1</v>
      </c>
      <c r="L3527" s="16" t="b">
        <v>0</v>
      </c>
      <c r="M3527" s="16" t="b">
        <v>1</v>
      </c>
      <c r="N3527" s="16" t="b">
        <v>0</v>
      </c>
      <c r="O3527" s="16" t="n">
        <v>441.0255011627768</v>
      </c>
      <c r="P3527" s="16" t="n">
        <v>292.3285920866292</v>
      </c>
      <c r="Q3527" s="16" t="n">
        <v>3722.837931473714</v>
      </c>
      <c r="R3527" s="16" t="n">
        <v>400</v>
      </c>
      <c r="S3527" s="16" t="n">
        <v>0.6321162449029663</v>
      </c>
      <c r="T3527" s="16" t="n">
        <v>0.6735278859651868</v>
      </c>
      <c r="U3527" s="16" t="n">
        <v>0.4369278444880447</v>
      </c>
      <c r="V3527" s="16" t="n">
        <v>0.6955646036230002</v>
      </c>
      <c r="W3527" s="16" t="n">
        <v>0.7394773110858187</v>
      </c>
      <c r="X3527" s="16" t="n">
        <v>0.402163729406795</v>
      </c>
      <c r="Y3527" s="16" t="n">
        <v>292.3285920866292</v>
      </c>
      <c r="Z3527" s="16" t="n">
        <v>-82.80934587121726</v>
      </c>
      <c r="AA3527" s="16" t="n">
        <v>-196.1348381855229</v>
      </c>
      <c r="AB3527" s="16" t="n">
        <v>3322.837931473713</v>
      </c>
      <c r="AC3527" s="16" t="n">
        <v>9.307094828684283</v>
      </c>
      <c r="AD3527" s="16" t="inlineStr">
        <is>
          <t>O2,O3</t>
        </is>
      </c>
      <c r="AE3527" s="16" t="n"/>
    </row>
    <row r="3528">
      <c r="A3528" s="16" t="inlineStr">
        <is>
          <t>KF-M09-R0-P_baja-0014</t>
        </is>
      </c>
      <c r="B3528" s="16" t="inlineStr">
        <is>
          <t>4.3</t>
        </is>
      </c>
      <c r="C3528" s="16" t="inlineStr">
        <is>
          <t>4.3 P_baja</t>
        </is>
      </c>
      <c r="D3528" s="16" t="inlineStr">
        <is>
          <t>ronda 0</t>
        </is>
      </c>
      <c r="E3528" s="16" t="inlineStr">
        <is>
          <t>KF-M09</t>
        </is>
      </c>
      <c r="F3528" s="16" t="inlineStr">
        <is>
          <t>KF-M09-R0-P_baja</t>
        </is>
      </c>
      <c r="G3528" s="16" t="inlineStr">
        <is>
          <t>B13-P_baja</t>
        </is>
      </c>
      <c r="H3528" s="16" t="inlineStr">
        <is>
          <t>lhs</t>
        </is>
      </c>
      <c r="I3528" s="16" t="inlineStr">
        <is>
          <t>CORREGIBLE</t>
        </is>
      </c>
      <c r="J3528" s="16" t="inlineStr">
        <is>
          <t>CORREGIBLE</t>
        </is>
      </c>
      <c r="K3528" s="16" t="b">
        <v>1</v>
      </c>
      <c r="L3528" s="16" t="b">
        <v>0</v>
      </c>
      <c r="M3528" s="16" t="b">
        <v>1</v>
      </c>
      <c r="N3528" s="16" t="b">
        <v>0</v>
      </c>
      <c r="O3528" s="16" t="n">
        <v>444.1092856316153</v>
      </c>
      <c r="P3528" s="16" t="n">
        <v>282.0625459802299</v>
      </c>
      <c r="Q3528" s="16" t="n">
        <v>3599.126996268655</v>
      </c>
      <c r="R3528" s="16" t="n">
        <v>400</v>
      </c>
      <c r="S3528" s="16" t="n">
        <v>0.7087176734510947</v>
      </c>
      <c r="T3528" s="16" t="n">
        <v>0.8095263157883748</v>
      </c>
      <c r="U3528" s="16" t="n">
        <v>0.8276917993249686</v>
      </c>
      <c r="V3528" s="16" t="n">
        <v>0.904271434926226</v>
      </c>
      <c r="W3528" s="16" t="n">
        <v>0.6818448961117427</v>
      </c>
      <c r="X3528" s="16" t="n">
        <v>0.9108569707260123</v>
      </c>
      <c r="Y3528" s="16" t="n">
        <v>282.0625459802299</v>
      </c>
      <c r="Z3528" s="16" t="n">
        <v>15.28312163851354</v>
      </c>
      <c r="AA3528" s="16" t="n">
        <v>210.6262423138608</v>
      </c>
      <c r="AB3528" s="16" t="n">
        <v>3199.126996268655</v>
      </c>
      <c r="AC3528" s="16" t="n">
        <v>8.997817490671636</v>
      </c>
      <c r="AD3528" s="16" t="inlineStr">
        <is>
          <t>O2</t>
        </is>
      </c>
      <c r="AE3528" s="16" t="n"/>
    </row>
    <row r="3529">
      <c r="A3529" s="16" t="inlineStr">
        <is>
          <t>KF-M09-R0-P_baja-0015</t>
        </is>
      </c>
      <c r="B3529" s="16" t="inlineStr">
        <is>
          <t>4.3</t>
        </is>
      </c>
      <c r="C3529" s="16" t="inlineStr">
        <is>
          <t>4.3 P_baja</t>
        </is>
      </c>
      <c r="D3529" s="16" t="inlineStr">
        <is>
          <t>ronda 0</t>
        </is>
      </c>
      <c r="E3529" s="16" t="inlineStr">
        <is>
          <t>KF-M09</t>
        </is>
      </c>
      <c r="F3529" s="16" t="inlineStr">
        <is>
          <t>KF-M09-R0-P_baja</t>
        </is>
      </c>
      <c r="G3529" s="16" t="inlineStr">
        <is>
          <t>B13-P_baja</t>
        </is>
      </c>
      <c r="H3529" s="16" t="inlineStr">
        <is>
          <t>lhs</t>
        </is>
      </c>
      <c r="I3529" s="16" t="inlineStr">
        <is>
          <t>CORREGIBLE</t>
        </is>
      </c>
      <c r="J3529" s="16" t="inlineStr">
        <is>
          <t>CORREGIBLE</t>
        </is>
      </c>
      <c r="K3529" s="16" t="b">
        <v>1</v>
      </c>
      <c r="L3529" s="16" t="b">
        <v>0</v>
      </c>
      <c r="M3529" s="16" t="b">
        <v>0</v>
      </c>
      <c r="N3529" s="16" t="b">
        <v>0</v>
      </c>
      <c r="O3529" s="16" t="n">
        <v>391.8691847652085</v>
      </c>
      <c r="P3529" s="16" t="n">
        <v>281.2707897259057</v>
      </c>
      <c r="Q3529" s="16" t="n">
        <v>2235.513518177474</v>
      </c>
      <c r="R3529" s="16" t="n">
        <v>400</v>
      </c>
      <c r="S3529" s="16" t="n">
        <v>0.6092625887940883</v>
      </c>
      <c r="T3529" s="16" t="n">
        <v>0.7876996514175725</v>
      </c>
      <c r="U3529" s="16" t="n">
        <v>0.4633138115316314</v>
      </c>
      <c r="V3529" s="16" t="n">
        <v>0.9211618291920084</v>
      </c>
      <c r="W3529" s="16" t="n">
        <v>0.7749202084618103</v>
      </c>
      <c r="X3529" s="16" t="n">
        <v>0.5776110404335251</v>
      </c>
      <c r="Y3529" s="16" t="n">
        <v>281.2707897259057</v>
      </c>
      <c r="Z3529" s="16" t="n">
        <v>2.70433629297412</v>
      </c>
      <c r="AA3529" s="16" t="n">
        <v>12.9127106065412</v>
      </c>
      <c r="AB3529" s="16" t="n">
        <v>1835.513518177474</v>
      </c>
      <c r="AC3529" s="16" t="n">
        <v>5.588783795443686</v>
      </c>
      <c r="AD3529" s="16" t="inlineStr">
        <is>
          <t>O2</t>
        </is>
      </c>
      <c r="AE3529" s="16" t="n"/>
    </row>
    <row r="3530">
      <c r="A3530" s="16" t="inlineStr">
        <is>
          <t>KF-M09-R0-P_baja-0016</t>
        </is>
      </c>
      <c r="B3530" s="16" t="inlineStr">
        <is>
          <t>4.3</t>
        </is>
      </c>
      <c r="C3530" s="16" t="inlineStr">
        <is>
          <t>4.3 P_baja</t>
        </is>
      </c>
      <c r="D3530" s="16" t="inlineStr">
        <is>
          <t>ronda 0</t>
        </is>
      </c>
      <c r="E3530" s="16" t="inlineStr">
        <is>
          <t>KF-M09</t>
        </is>
      </c>
      <c r="F3530" s="16" t="inlineStr">
        <is>
          <t>KF-M09-R0-P_baja</t>
        </is>
      </c>
      <c r="G3530" s="16" t="inlineStr">
        <is>
          <t>B13-P_baja</t>
        </is>
      </c>
      <c r="H3530" s="16" t="inlineStr">
        <is>
          <t>lhs</t>
        </is>
      </c>
      <c r="I3530" s="16" t="inlineStr">
        <is>
          <t>INVIABLE</t>
        </is>
      </c>
      <c r="J3530" s="16" t="inlineStr">
        <is>
          <t>INVIABLE</t>
        </is>
      </c>
      <c r="K3530" s="16" t="b">
        <v>1</v>
      </c>
      <c r="L3530" s="16" t="b">
        <v>0</v>
      </c>
      <c r="M3530" s="16" t="b">
        <v>0</v>
      </c>
      <c r="N3530" s="16" t="b">
        <v>0</v>
      </c>
      <c r="O3530" s="16" t="n">
        <v>415.8121232807932</v>
      </c>
      <c r="P3530" s="16" t="n">
        <v>284.1375481948997</v>
      </c>
      <c r="Q3530" s="16" t="n">
        <v>4336.828916082919</v>
      </c>
      <c r="R3530" s="16" t="n">
        <v>400</v>
      </c>
      <c r="S3530" s="16" t="n">
        <v>0.7989396666169717</v>
      </c>
      <c r="T3530" s="16" t="n">
        <v>0.7995736829214179</v>
      </c>
      <c r="U3530" s="16" t="n">
        <v>0.5513085439568693</v>
      </c>
      <c r="V3530" s="16" t="n">
        <v>0.8842298081679999</v>
      </c>
      <c r="W3530" s="16" t="n">
        <v>0.7203680479205689</v>
      </c>
      <c r="X3530" s="16" t="n">
        <v>0.7107649781755176</v>
      </c>
      <c r="Y3530" s="16" t="n">
        <v>284.1375481948997</v>
      </c>
      <c r="Z3530" s="16" t="n">
        <v>-21.14138795499613</v>
      </c>
      <c r="AA3530" s="16" t="n">
        <v>-74.89342589897856</v>
      </c>
      <c r="AB3530" s="16" t="n">
        <v>3936.828916082919</v>
      </c>
      <c r="AC3530" s="16" t="n">
        <v>10.8420722902073</v>
      </c>
      <c r="AD3530" s="16" t="inlineStr">
        <is>
          <t>O2,O3</t>
        </is>
      </c>
      <c r="AE3530" s="16" t="n"/>
    </row>
    <row r="3531">
      <c r="A3531" s="16" t="inlineStr">
        <is>
          <t>KF-M09-R0-P_baja-0017</t>
        </is>
      </c>
      <c r="B3531" s="16" t="inlineStr">
        <is>
          <t>4.3</t>
        </is>
      </c>
      <c r="C3531" s="16" t="inlineStr">
        <is>
          <t>4.3 P_baja</t>
        </is>
      </c>
      <c r="D3531" s="16" t="inlineStr">
        <is>
          <t>ronda 0</t>
        </is>
      </c>
      <c r="E3531" s="16" t="inlineStr">
        <is>
          <t>KF-M09</t>
        </is>
      </c>
      <c r="F3531" s="16" t="inlineStr">
        <is>
          <t>KF-M09-R0-P_baja</t>
        </is>
      </c>
      <c r="G3531" s="16" t="inlineStr">
        <is>
          <t>B13-P_baja</t>
        </is>
      </c>
      <c r="H3531" s="16" t="inlineStr">
        <is>
          <t>lhs</t>
        </is>
      </c>
      <c r="I3531" s="16" t="inlineStr">
        <is>
          <t>INVIABLE</t>
        </is>
      </c>
      <c r="J3531" s="16" t="inlineStr">
        <is>
          <t>INVIABLE</t>
        </is>
      </c>
      <c r="K3531" s="16" t="b">
        <v>1</v>
      </c>
      <c r="L3531" s="16" t="b">
        <v>0</v>
      </c>
      <c r="M3531" s="16" t="b">
        <v>0</v>
      </c>
      <c r="N3531" s="16" t="b">
        <v>0</v>
      </c>
      <c r="O3531" s="16" t="n">
        <v>457.3355573383387</v>
      </c>
      <c r="P3531" s="16" t="n">
        <v>303.234751126908</v>
      </c>
      <c r="Q3531" s="16" t="n">
        <v>2466.907748164555</v>
      </c>
      <c r="R3531" s="16" t="n">
        <v>400</v>
      </c>
      <c r="S3531" s="16" t="n">
        <v>0.8107974882254414</v>
      </c>
      <c r="T3531" s="16" t="n">
        <v>0.7115409612224444</v>
      </c>
      <c r="U3531" s="16" t="n">
        <v>0.8344128969996669</v>
      </c>
      <c r="V3531" s="16" t="n">
        <v>0.5873805302614936</v>
      </c>
      <c r="W3531" s="16" t="n">
        <v>0.5966818309775</v>
      </c>
      <c r="X3531" s="16" t="n">
        <v>0.8262537639604375</v>
      </c>
      <c r="Y3531" s="16" t="n">
        <v>303.234751126908</v>
      </c>
      <c r="Z3531" s="16" t="n">
        <v>-8.672699855323749</v>
      </c>
      <c r="AA3531" s="16" t="n">
        <v>-37.57730379956331</v>
      </c>
      <c r="AB3531" s="16" t="n">
        <v>2066.907748164555</v>
      </c>
      <c r="AC3531" s="16" t="n">
        <v>6.167269370411387</v>
      </c>
      <c r="AD3531" s="16" t="inlineStr">
        <is>
          <t>O2,O3</t>
        </is>
      </c>
      <c r="AE3531" s="16" t="n"/>
    </row>
    <row r="3532">
      <c r="A3532" s="16" t="inlineStr">
        <is>
          <t>KF-M09-R0-P_baja-0018</t>
        </is>
      </c>
      <c r="B3532" s="16" t="inlineStr">
        <is>
          <t>4.3</t>
        </is>
      </c>
      <c r="C3532" s="16" t="inlineStr">
        <is>
          <t>4.3 P_baja</t>
        </is>
      </c>
      <c r="D3532" s="16" t="inlineStr">
        <is>
          <t>ronda 0</t>
        </is>
      </c>
      <c r="E3532" s="16" t="inlineStr">
        <is>
          <t>KF-M09</t>
        </is>
      </c>
      <c r="F3532" s="16" t="inlineStr">
        <is>
          <t>KF-M09-R0-P_baja</t>
        </is>
      </c>
      <c r="G3532" s="16" t="inlineStr">
        <is>
          <t>B13-P_baja</t>
        </is>
      </c>
      <c r="H3532" s="16" t="inlineStr">
        <is>
          <t>lhs</t>
        </is>
      </c>
      <c r="I3532" s="16" t="inlineStr">
        <is>
          <t>INVIABLE</t>
        </is>
      </c>
      <c r="J3532" s="16" t="inlineStr">
        <is>
          <t>INVIABLE</t>
        </is>
      </c>
      <c r="K3532" s="16" t="b">
        <v>1</v>
      </c>
      <c r="L3532" s="16" t="b">
        <v>0</v>
      </c>
      <c r="M3532" s="16" t="b">
        <v>0</v>
      </c>
      <c r="N3532" s="16" t="b">
        <v>0</v>
      </c>
      <c r="O3532" s="16" t="n">
        <v>435.9910030599853</v>
      </c>
      <c r="P3532" s="16" t="n">
        <v>283.1008118945463</v>
      </c>
      <c r="Q3532" s="16" t="n">
        <v>2970.386340707471</v>
      </c>
      <c r="R3532" s="16" t="n">
        <v>400</v>
      </c>
      <c r="S3532" s="16" t="n">
        <v>0.8222767308760606</v>
      </c>
      <c r="T3532" s="16" t="n">
        <v>0.8129134729952185</v>
      </c>
      <c r="U3532" s="16" t="n">
        <v>0.454463362294072</v>
      </c>
      <c r="V3532" s="16" t="n">
        <v>0.5027960773983421</v>
      </c>
      <c r="W3532" s="16" t="n">
        <v>0.538652739774045</v>
      </c>
      <c r="X3532" s="16" t="n">
        <v>0.7347236934189321</v>
      </c>
      <c r="Y3532" s="16" t="n">
        <v>283.1008118945463</v>
      </c>
      <c r="Z3532" s="16" t="n">
        <v>-27.86093398518425</v>
      </c>
      <c r="AA3532" s="16" t="n">
        <v>-114.2418443308551</v>
      </c>
      <c r="AB3532" s="16" t="n">
        <v>2570.386340707471</v>
      </c>
      <c r="AC3532" s="16" t="n">
        <v>7.425965851768678</v>
      </c>
      <c r="AD3532" s="16" t="inlineStr">
        <is>
          <t>O2,O3</t>
        </is>
      </c>
      <c r="AE3532" s="16" t="n"/>
    </row>
    <row r="3533">
      <c r="A3533" s="16" t="inlineStr">
        <is>
          <t>KF-M09-R0-P_baja-0019</t>
        </is>
      </c>
      <c r="B3533" s="16" t="inlineStr">
        <is>
          <t>4.3</t>
        </is>
      </c>
      <c r="C3533" s="16" t="inlineStr">
        <is>
          <t>4.3 P_baja</t>
        </is>
      </c>
      <c r="D3533" s="16" t="inlineStr">
        <is>
          <t>ronda 0</t>
        </is>
      </c>
      <c r="E3533" s="16" t="inlineStr">
        <is>
          <t>KF-M09</t>
        </is>
      </c>
      <c r="F3533" s="16" t="inlineStr">
        <is>
          <t>KF-M09-R0-P_baja</t>
        </is>
      </c>
      <c r="G3533" s="16" t="inlineStr">
        <is>
          <t>B13-P_baja</t>
        </is>
      </c>
      <c r="H3533" s="16" t="inlineStr">
        <is>
          <t>lhs</t>
        </is>
      </c>
      <c r="I3533" s="16" t="inlineStr">
        <is>
          <t>CORREGIBLE</t>
        </is>
      </c>
      <c r="J3533" s="16" t="inlineStr">
        <is>
          <t>CORREGIBLE</t>
        </is>
      </c>
      <c r="K3533" s="16" t="b">
        <v>1</v>
      </c>
      <c r="L3533" s="16" t="b">
        <v>0</v>
      </c>
      <c r="M3533" s="16" t="b">
        <v>0</v>
      </c>
      <c r="N3533" s="16" t="b">
        <v>0</v>
      </c>
      <c r="O3533" s="16" t="n">
        <v>390.0895230731772</v>
      </c>
      <c r="P3533" s="16" t="n">
        <v>280.5329335646045</v>
      </c>
      <c r="Q3533" s="16" t="n">
        <v>3759.404590764645</v>
      </c>
      <c r="R3533" s="16" t="n">
        <v>400</v>
      </c>
      <c r="S3533" s="16" t="n">
        <v>0.6671555361940295</v>
      </c>
      <c r="T3533" s="16" t="n">
        <v>0.7695173779539353</v>
      </c>
      <c r="U3533" s="16" t="n">
        <v>0.7986098684135777</v>
      </c>
      <c r="V3533" s="16" t="n">
        <v>0.8766074197518156</v>
      </c>
      <c r="W3533" s="16" t="n">
        <v>0.4012530298600718</v>
      </c>
      <c r="X3533" s="16" t="n">
        <v>0.7724713378230247</v>
      </c>
      <c r="Y3533" s="16" t="n">
        <v>280.5329335646045</v>
      </c>
      <c r="Z3533" s="16" t="n">
        <v>8.928428066282629</v>
      </c>
      <c r="AA3533" s="16" t="n">
        <v>44.32820888687625</v>
      </c>
      <c r="AB3533" s="16" t="n">
        <v>3359.404590764645</v>
      </c>
      <c r="AC3533" s="16" t="n">
        <v>9.398511476911612</v>
      </c>
      <c r="AD3533" s="16" t="inlineStr">
        <is>
          <t>O2</t>
        </is>
      </c>
      <c r="AE3533" s="16" t="n"/>
    </row>
    <row r="3534">
      <c r="A3534" s="16" t="inlineStr">
        <is>
          <t>KF-M09-R0-P_baja-0020</t>
        </is>
      </c>
      <c r="B3534" s="16" t="inlineStr">
        <is>
          <t>4.3</t>
        </is>
      </c>
      <c r="C3534" s="16" t="inlineStr">
        <is>
          <t>4.3 P_baja</t>
        </is>
      </c>
      <c r="D3534" s="16" t="inlineStr">
        <is>
          <t>ronda 0</t>
        </is>
      </c>
      <c r="E3534" s="16" t="inlineStr">
        <is>
          <t>KF-M09</t>
        </is>
      </c>
      <c r="F3534" s="16" t="inlineStr">
        <is>
          <t>KF-M09-R0-P_baja</t>
        </is>
      </c>
      <c r="G3534" s="16" t="inlineStr">
        <is>
          <t>B13-P_baja</t>
        </is>
      </c>
      <c r="H3534" s="16" t="inlineStr">
        <is>
          <t>lhs</t>
        </is>
      </c>
      <c r="I3534" s="16" t="inlineStr">
        <is>
          <t>CORREGIBLE</t>
        </is>
      </c>
      <c r="J3534" s="16" t="inlineStr">
        <is>
          <t>CORREGIBLE</t>
        </is>
      </c>
      <c r="K3534" s="16" t="b">
        <v>1</v>
      </c>
      <c r="L3534" s="16" t="b">
        <v>0</v>
      </c>
      <c r="M3534" s="16" t="b">
        <v>1</v>
      </c>
      <c r="N3534" s="16" t="b">
        <v>0</v>
      </c>
      <c r="O3534" s="16" t="n">
        <v>483.4337215280166</v>
      </c>
      <c r="P3534" s="16" t="n">
        <v>300.2592413759941</v>
      </c>
      <c r="Q3534" s="16" t="n">
        <v>4946.677445529121</v>
      </c>
      <c r="R3534" s="16" t="n">
        <v>400</v>
      </c>
      <c r="S3534" s="16" t="n">
        <v>0.6970132816910302</v>
      </c>
      <c r="T3534" s="16" t="n">
        <v>0.9465979279445368</v>
      </c>
      <c r="U3534" s="16" t="n">
        <v>0.5284364386901758</v>
      </c>
      <c r="V3534" s="16" t="n">
        <v>0.6114943790279923</v>
      </c>
      <c r="W3534" s="16" t="n">
        <v>0.4593569845886012</v>
      </c>
      <c r="X3534" s="16" t="n">
        <v>0.943000170771315</v>
      </c>
      <c r="Y3534" s="16" t="n">
        <v>300.2592413759941</v>
      </c>
      <c r="Z3534" s="16" t="n">
        <v>7.79446661905166</v>
      </c>
      <c r="AA3534" s="16" t="n">
        <v>60.93796340125454</v>
      </c>
      <c r="AB3534" s="16" t="n">
        <v>4546.677445529121</v>
      </c>
      <c r="AC3534" s="16" t="n">
        <v>12.3666936138228</v>
      </c>
      <c r="AD3534" s="16" t="inlineStr">
        <is>
          <t>O1,O2</t>
        </is>
      </c>
      <c r="AE3534" s="16" t="n"/>
    </row>
    <row r="3535">
      <c r="A3535" s="16" t="inlineStr">
        <is>
          <t>KF-M09-R0-P_baja-0021</t>
        </is>
      </c>
      <c r="B3535" s="16" t="inlineStr">
        <is>
          <t>4.3</t>
        </is>
      </c>
      <c r="C3535" s="16" t="inlineStr">
        <is>
          <t>4.3 P_baja</t>
        </is>
      </c>
      <c r="D3535" s="16" t="inlineStr">
        <is>
          <t>ronda 0</t>
        </is>
      </c>
      <c r="E3535" s="16" t="inlineStr">
        <is>
          <t>KF-M09</t>
        </is>
      </c>
      <c r="F3535" s="16" t="inlineStr">
        <is>
          <t>KF-M09-R0-P_baja</t>
        </is>
      </c>
      <c r="G3535" s="16" t="inlineStr">
        <is>
          <t>B13-P_baja</t>
        </is>
      </c>
      <c r="H3535" s="16" t="inlineStr">
        <is>
          <t>lhs</t>
        </is>
      </c>
      <c r="I3535" s="16" t="inlineStr">
        <is>
          <t>CORREGIBLE</t>
        </is>
      </c>
      <c r="J3535" s="16" t="inlineStr">
        <is>
          <t>CORREGIBLE</t>
        </is>
      </c>
      <c r="K3535" s="16" t="b">
        <v>1</v>
      </c>
      <c r="L3535" s="16" t="b">
        <v>0</v>
      </c>
      <c r="M3535" s="16" t="b">
        <v>1</v>
      </c>
      <c r="N3535" s="16" t="b">
        <v>0</v>
      </c>
      <c r="O3535" s="16" t="n">
        <v>513.3468271591757</v>
      </c>
      <c r="P3535" s="16" t="n">
        <v>285.9853096296725</v>
      </c>
      <c r="Q3535" s="16" t="n">
        <v>2526.6366896237</v>
      </c>
      <c r="R3535" s="16" t="n">
        <v>400</v>
      </c>
      <c r="S3535" s="16" t="n">
        <v>0.758884199128127</v>
      </c>
      <c r="T3535" s="16" t="n">
        <v>0.8690310933976804</v>
      </c>
      <c r="U3535" s="16" t="n">
        <v>0.90096581913158</v>
      </c>
      <c r="V3535" s="16" t="n">
        <v>0.7630219872211237</v>
      </c>
      <c r="W3535" s="16" t="n">
        <v>0.5255969985344573</v>
      </c>
      <c r="X3535" s="16" t="n">
        <v>0.6561059091801759</v>
      </c>
      <c r="Y3535" s="16" t="n">
        <v>285.9853096296725</v>
      </c>
      <c r="Z3535" s="16" t="n">
        <v>10.62618890215057</v>
      </c>
      <c r="AA3535" s="16" t="n">
        <v>97.87273352770136</v>
      </c>
      <c r="AB3535" s="16" t="n">
        <v>2126.6366896237</v>
      </c>
      <c r="AC3535" s="16" t="n">
        <v>6.31659172405925</v>
      </c>
      <c r="AD3535" s="16" t="inlineStr">
        <is>
          <t>O2</t>
        </is>
      </c>
      <c r="AE3535" s="16" t="n"/>
    </row>
    <row r="3536">
      <c r="A3536" s="16" t="inlineStr">
        <is>
          <t>KF-M09-R0-P_baja-0022</t>
        </is>
      </c>
      <c r="B3536" s="16" t="inlineStr">
        <is>
          <t>4.3</t>
        </is>
      </c>
      <c r="C3536" s="16" t="inlineStr">
        <is>
          <t>4.3 P_baja</t>
        </is>
      </c>
      <c r="D3536" s="16" t="inlineStr">
        <is>
          <t>ronda 0</t>
        </is>
      </c>
      <c r="E3536" s="16" t="inlineStr">
        <is>
          <t>KF-M09</t>
        </is>
      </c>
      <c r="F3536" s="16" t="inlineStr">
        <is>
          <t>KF-M09-R0-P_baja</t>
        </is>
      </c>
      <c r="G3536" s="16" t="inlineStr">
        <is>
          <t>B13-P_baja</t>
        </is>
      </c>
      <c r="H3536" s="16" t="inlineStr">
        <is>
          <t>lhs</t>
        </is>
      </c>
      <c r="I3536" s="16" t="inlineStr">
        <is>
          <t>CORREGIBLE</t>
        </is>
      </c>
      <c r="J3536" s="16" t="inlineStr">
        <is>
          <t>CORREGIBLE</t>
        </is>
      </c>
      <c r="K3536" s="16" t="b">
        <v>1</v>
      </c>
      <c r="L3536" s="16" t="b">
        <v>0</v>
      </c>
      <c r="M3536" s="16" t="b">
        <v>0</v>
      </c>
      <c r="N3536" s="16" t="b">
        <v>0</v>
      </c>
      <c r="O3536" s="16" t="n">
        <v>401.7916221389685</v>
      </c>
      <c r="P3536" s="16" t="n">
        <v>291.0958569748613</v>
      </c>
      <c r="Q3536" s="16" t="n">
        <v>3569.097971124022</v>
      </c>
      <c r="R3536" s="16" t="n">
        <v>400</v>
      </c>
      <c r="S3536" s="16" t="n">
        <v>0.5781678741255301</v>
      </c>
      <c r="T3536" s="16" t="n">
        <v>0.9416672762626636</v>
      </c>
      <c r="U3536" s="16" t="n">
        <v>0.7763306620666195</v>
      </c>
      <c r="V3536" s="16" t="n">
        <v>0.7189900096528006</v>
      </c>
      <c r="W3536" s="16" t="n">
        <v>0.9412790793620548</v>
      </c>
      <c r="X3536" s="16" t="n">
        <v>0.5077625862819047</v>
      </c>
      <c r="Y3536" s="16" t="n">
        <v>291.0958569748613</v>
      </c>
      <c r="Z3536" s="16" t="n">
        <v>12.28015937392833</v>
      </c>
      <c r="AA3536" s="16" t="n">
        <v>30.32616456038976</v>
      </c>
      <c r="AB3536" s="16" t="n">
        <v>3169.097971124022</v>
      </c>
      <c r="AC3536" s="16" t="n">
        <v>8.922744927810056</v>
      </c>
      <c r="AD3536" s="16" t="inlineStr">
        <is>
          <t>O2</t>
        </is>
      </c>
      <c r="AE3536" s="16" t="n"/>
    </row>
    <row r="3537">
      <c r="A3537" s="16" t="inlineStr">
        <is>
          <t>KF-M09-R0-P_baja-0023</t>
        </is>
      </c>
      <c r="B3537" s="16" t="inlineStr">
        <is>
          <t>4.3</t>
        </is>
      </c>
      <c r="C3537" s="16" t="inlineStr">
        <is>
          <t>4.3 P_baja</t>
        </is>
      </c>
      <c r="D3537" s="16" t="inlineStr">
        <is>
          <t>ronda 0</t>
        </is>
      </c>
      <c r="E3537" s="16" t="inlineStr">
        <is>
          <t>KF-M09</t>
        </is>
      </c>
      <c r="F3537" s="16" t="inlineStr">
        <is>
          <t>KF-M09-R0-P_baja</t>
        </is>
      </c>
      <c r="G3537" s="16" t="inlineStr">
        <is>
          <t>B13-P_baja</t>
        </is>
      </c>
      <c r="H3537" s="16" t="inlineStr">
        <is>
          <t>lhs</t>
        </is>
      </c>
      <c r="I3537" s="16" t="inlineStr">
        <is>
          <t>INVIABLE</t>
        </is>
      </c>
      <c r="J3537" s="16" t="inlineStr">
        <is>
          <t>INVIABLE</t>
        </is>
      </c>
      <c r="K3537" s="16" t="b">
        <v>1</v>
      </c>
      <c r="L3537" s="16" t="b">
        <v>0</v>
      </c>
      <c r="M3537" s="16" t="b">
        <v>0</v>
      </c>
      <c r="N3537" s="16" t="b">
        <v>0</v>
      </c>
      <c r="O3537" s="16" t="n">
        <v>412.8645710566837</v>
      </c>
      <c r="P3537" s="16" t="n">
        <v>281.6132643136328</v>
      </c>
      <c r="Q3537" s="16" t="n">
        <v>3967.206690253421</v>
      </c>
      <c r="R3537" s="16" t="n">
        <v>400</v>
      </c>
      <c r="S3537" s="16" t="n">
        <v>0.7344669090602599</v>
      </c>
      <c r="T3537" s="16" t="n">
        <v>0.5545523252892124</v>
      </c>
      <c r="U3537" s="16" t="n">
        <v>0.5030797653599716</v>
      </c>
      <c r="V3537" s="16" t="n">
        <v>0.5864586815900501</v>
      </c>
      <c r="W3537" s="16" t="n">
        <v>0.5566593987223393</v>
      </c>
      <c r="X3537" s="16" t="n">
        <v>0.4634374468464632</v>
      </c>
      <c r="Y3537" s="16" t="n">
        <v>281.6132643136328</v>
      </c>
      <c r="Z3537" s="16" t="n">
        <v>-36.45614027938598</v>
      </c>
      <c r="AA3537" s="16" t="n">
        <v>-107.751101482317</v>
      </c>
      <c r="AB3537" s="16" t="n">
        <v>3567.206690253421</v>
      </c>
      <c r="AC3537" s="16" t="n">
        <v>9.918016725633551</v>
      </c>
      <c r="AD3537" s="16" t="inlineStr">
        <is>
          <t>O2,O3</t>
        </is>
      </c>
      <c r="AE3537" s="16" t="n"/>
    </row>
    <row r="3538">
      <c r="A3538" s="16" t="inlineStr">
        <is>
          <t>KF-M09-R0-P_baja-0024</t>
        </is>
      </c>
      <c r="B3538" s="16" t="inlineStr">
        <is>
          <t>4.3</t>
        </is>
      </c>
      <c r="C3538" s="16" t="inlineStr">
        <is>
          <t>4.3 P_baja</t>
        </is>
      </c>
      <c r="D3538" s="16" t="inlineStr">
        <is>
          <t>ronda 0</t>
        </is>
      </c>
      <c r="E3538" s="16" t="inlineStr">
        <is>
          <t>KF-M09</t>
        </is>
      </c>
      <c r="F3538" s="16" t="inlineStr">
        <is>
          <t>KF-M09-R0-P_baja</t>
        </is>
      </c>
      <c r="G3538" s="16" t="inlineStr">
        <is>
          <t>B13-P_baja</t>
        </is>
      </c>
      <c r="H3538" s="16" t="inlineStr">
        <is>
          <t>lhs</t>
        </is>
      </c>
      <c r="I3538" s="16" t="inlineStr">
        <is>
          <t>CORREGIBLE</t>
        </is>
      </c>
      <c r="J3538" s="16" t="inlineStr">
        <is>
          <t>CORREGIBLE</t>
        </is>
      </c>
      <c r="K3538" s="16" t="b">
        <v>1</v>
      </c>
      <c r="L3538" s="16" t="b">
        <v>0</v>
      </c>
      <c r="M3538" s="16" t="b">
        <v>1</v>
      </c>
      <c r="N3538" s="16" t="b">
        <v>0</v>
      </c>
      <c r="O3538" s="16" t="n">
        <v>490.4881864516277</v>
      </c>
      <c r="P3538" s="16" t="n">
        <v>278.2008210025438</v>
      </c>
      <c r="Q3538" s="16" t="n">
        <v>2617.423527942186</v>
      </c>
      <c r="R3538" s="16" t="n">
        <v>400</v>
      </c>
      <c r="S3538" s="16" t="n">
        <v>0.5184402912095422</v>
      </c>
      <c r="T3538" s="16" t="n">
        <v>0.7518605266032214</v>
      </c>
      <c r="U3538" s="16" t="n">
        <v>0.8547167239720798</v>
      </c>
      <c r="V3538" s="16" t="n">
        <v>0.7763026768206724</v>
      </c>
      <c r="W3538" s="16" t="n">
        <v>0.4467940466106538</v>
      </c>
      <c r="X3538" s="16" t="n">
        <v>0.7802359319356449</v>
      </c>
      <c r="Y3538" s="16" t="n">
        <v>278.2008210025438</v>
      </c>
      <c r="Z3538" s="16" t="n">
        <v>10.81513770274963</v>
      </c>
      <c r="AA3538" s="16" t="n">
        <v>169.6479744050646</v>
      </c>
      <c r="AB3538" s="16" t="n">
        <v>2217.423527942186</v>
      </c>
      <c r="AC3538" s="16" t="n">
        <v>6.543558819855466</v>
      </c>
      <c r="AD3538" s="16" t="inlineStr">
        <is>
          <t>O2</t>
        </is>
      </c>
      <c r="AE3538" s="16" t="n"/>
    </row>
    <row r="3539">
      <c r="A3539" s="16" t="inlineStr">
        <is>
          <t>KF-M09-R0-P_baja-0025</t>
        </is>
      </c>
      <c r="B3539" s="16" t="inlineStr">
        <is>
          <t>4.3</t>
        </is>
      </c>
      <c r="C3539" s="16" t="inlineStr">
        <is>
          <t>4.3 P_baja</t>
        </is>
      </c>
      <c r="D3539" s="16" t="inlineStr">
        <is>
          <t>ronda 0</t>
        </is>
      </c>
      <c r="E3539" s="16" t="inlineStr">
        <is>
          <t>KF-M09</t>
        </is>
      </c>
      <c r="F3539" s="16" t="inlineStr">
        <is>
          <t>KF-M09-R0-P_baja</t>
        </is>
      </c>
      <c r="G3539" s="16" t="inlineStr">
        <is>
          <t>B13-P_baja</t>
        </is>
      </c>
      <c r="H3539" s="16" t="inlineStr">
        <is>
          <t>lhs</t>
        </is>
      </c>
      <c r="I3539" s="16" t="inlineStr">
        <is>
          <t>NO_CONVERGIO</t>
        </is>
      </c>
      <c r="J3539" s="16" t="inlineStr">
        <is>
          <t>NO_CONVERGIO</t>
        </is>
      </c>
      <c r="K3539" s="16" t="b">
        <v>0</v>
      </c>
      <c r="L3539" s="16" t="b">
        <v>0</v>
      </c>
      <c r="M3539" s="16" t="b">
        <v>0</v>
      </c>
      <c r="N3539" s="16" t="b">
        <v>0</v>
      </c>
      <c r="O3539" s="16" t="n">
        <v>506.57042710373</v>
      </c>
      <c r="P3539" s="16" t="n">
        <v>287.0823987300899</v>
      </c>
      <c r="Q3539" s="16" t="n">
        <v>2575.431332105853</v>
      </c>
      <c r="R3539" s="16" t="n">
        <v>400</v>
      </c>
      <c r="S3539" s="16" t="n">
        <v>0.7026499567476933</v>
      </c>
      <c r="T3539" s="16" t="n">
        <v>0.5629090348020571</v>
      </c>
      <c r="U3539" s="16" t="n">
        <v>0.4251995140183658</v>
      </c>
      <c r="V3539" s="16" t="n">
        <v>0.5466504415233366</v>
      </c>
      <c r="W3539" s="16" t="n">
        <v>0.7724330179946493</v>
      </c>
      <c r="X3539" s="16" t="n">
        <v>0.4661236948100704</v>
      </c>
      <c r="Y3539" s="16" t="n">
        <v>287.0823987300899</v>
      </c>
      <c r="Z3539" s="16" t="n"/>
      <c r="AA3539" s="16" t="n"/>
      <c r="AB3539" s="16" t="n">
        <v>2175.431332105853</v>
      </c>
      <c r="AC3539" s="16" t="n">
        <v>6.438578330264632</v>
      </c>
      <c r="AD3539" s="16" t="n"/>
      <c r="AE3539" s="16" t="n"/>
    </row>
    <row r="3540">
      <c r="A3540" s="16" t="inlineStr">
        <is>
          <t>KF-M09-R0-P_baja-0026</t>
        </is>
      </c>
      <c r="B3540" s="16" t="inlineStr">
        <is>
          <t>4.3</t>
        </is>
      </c>
      <c r="C3540" s="16" t="inlineStr">
        <is>
          <t>4.3 P_baja</t>
        </is>
      </c>
      <c r="D3540" s="16" t="inlineStr">
        <is>
          <t>ronda 0</t>
        </is>
      </c>
      <c r="E3540" s="16" t="inlineStr">
        <is>
          <t>KF-M09</t>
        </is>
      </c>
      <c r="F3540" s="16" t="inlineStr">
        <is>
          <t>KF-M09-R0-P_baja</t>
        </is>
      </c>
      <c r="G3540" s="16" t="inlineStr">
        <is>
          <t>B13-P_baja</t>
        </is>
      </c>
      <c r="H3540" s="16" t="inlineStr">
        <is>
          <t>lhs</t>
        </is>
      </c>
      <c r="I3540" s="16" t="inlineStr">
        <is>
          <t>NO_CONVERGIO</t>
        </is>
      </c>
      <c r="J3540" s="16" t="inlineStr">
        <is>
          <t>NO_CONVERGIO</t>
        </is>
      </c>
      <c r="K3540" s="16" t="b">
        <v>0</v>
      </c>
      <c r="L3540" s="16" t="b">
        <v>0</v>
      </c>
      <c r="M3540" s="16" t="b">
        <v>0</v>
      </c>
      <c r="N3540" s="16" t="b">
        <v>0</v>
      </c>
      <c r="O3540" s="16" t="n">
        <v>407.3451089323821</v>
      </c>
      <c r="P3540" s="16" t="n">
        <v>282.6096972122351</v>
      </c>
      <c r="Q3540" s="16" t="n">
        <v>4978.350170574788</v>
      </c>
      <c r="R3540" s="16" t="n">
        <v>400</v>
      </c>
      <c r="S3540" s="16" t="n">
        <v>0.5299333726454537</v>
      </c>
      <c r="T3540" s="16" t="n">
        <v>0.5316378308723249</v>
      </c>
      <c r="U3540" s="16" t="n">
        <v>0.8751628073646273</v>
      </c>
      <c r="V3540" s="16" t="n">
        <v>0.5416429894595697</v>
      </c>
      <c r="W3540" s="16" t="n">
        <v>0.5733014004130026</v>
      </c>
      <c r="X3540" s="16" t="n">
        <v>0.8077960239459662</v>
      </c>
      <c r="Y3540" s="16" t="n">
        <v>282.6096972122351</v>
      </c>
      <c r="Z3540" s="16" t="n"/>
      <c r="AA3540" s="16" t="n"/>
      <c r="AB3540" s="16" t="n">
        <v>4578.350170574788</v>
      </c>
      <c r="AC3540" s="16" t="n">
        <v>12.44587542643697</v>
      </c>
      <c r="AD3540" s="16" t="n"/>
      <c r="AE3540" s="16" t="n"/>
    </row>
    <row r="3541">
      <c r="A3541" s="16" t="inlineStr">
        <is>
          <t>KF-M09-R0-P_baja-0027</t>
        </is>
      </c>
      <c r="B3541" s="16" t="inlineStr">
        <is>
          <t>4.3</t>
        </is>
      </c>
      <c r="C3541" s="16" t="inlineStr">
        <is>
          <t>4.3 P_baja</t>
        </is>
      </c>
      <c r="D3541" s="16" t="inlineStr">
        <is>
          <t>ronda 0</t>
        </is>
      </c>
      <c r="E3541" s="16" t="inlineStr">
        <is>
          <t>KF-M09</t>
        </is>
      </c>
      <c r="F3541" s="16" t="inlineStr">
        <is>
          <t>KF-M09-R0-P_baja</t>
        </is>
      </c>
      <c r="G3541" s="16" t="inlineStr">
        <is>
          <t>B13-P_baja</t>
        </is>
      </c>
      <c r="H3541" s="16" t="inlineStr">
        <is>
          <t>lhs</t>
        </is>
      </c>
      <c r="I3541" s="16" t="inlineStr">
        <is>
          <t>CORREGIBLE</t>
        </is>
      </c>
      <c r="J3541" s="16" t="inlineStr">
        <is>
          <t>CORREGIBLE</t>
        </is>
      </c>
      <c r="K3541" s="16" t="b">
        <v>1</v>
      </c>
      <c r="L3541" s="16" t="b">
        <v>0</v>
      </c>
      <c r="M3541" s="16" t="b">
        <v>0</v>
      </c>
      <c r="N3541" s="16" t="b">
        <v>0</v>
      </c>
      <c r="O3541" s="16" t="n">
        <v>496.8010019004818</v>
      </c>
      <c r="P3541" s="16" t="n">
        <v>288.264627957413</v>
      </c>
      <c r="Q3541" s="16" t="n">
        <v>2194.537317821811</v>
      </c>
      <c r="R3541" s="16" t="n">
        <v>400</v>
      </c>
      <c r="S3541" s="16" t="n">
        <v>0.6029270073218121</v>
      </c>
      <c r="T3541" s="16" t="n">
        <v>0.9229653118945848</v>
      </c>
      <c r="U3541" s="16" t="n">
        <v>0.9499464170241052</v>
      </c>
      <c r="V3541" s="16" t="n">
        <v>0.4197871746974986</v>
      </c>
      <c r="W3541" s="16" t="n">
        <v>0.5478909057855408</v>
      </c>
      <c r="X3541" s="16" t="n">
        <v>0.8887422113481581</v>
      </c>
      <c r="Y3541" s="16" t="n">
        <v>288.264627957413</v>
      </c>
      <c r="Z3541" s="16" t="n">
        <v>12.72120684774655</v>
      </c>
      <c r="AA3541" s="16" t="n">
        <v>113.8235381626329</v>
      </c>
      <c r="AB3541" s="16" t="n">
        <v>1794.537317821811</v>
      </c>
      <c r="AC3541" s="16" t="n">
        <v>5.486343294554527</v>
      </c>
      <c r="AD3541" s="16" t="inlineStr">
        <is>
          <t>O2</t>
        </is>
      </c>
      <c r="AE3541" s="16" t="n"/>
    </row>
    <row r="3542">
      <c r="A3542" s="16" t="inlineStr">
        <is>
          <t>KF-M09-R0-P_baja-0028</t>
        </is>
      </c>
      <c r="B3542" s="16" t="inlineStr">
        <is>
          <t>4.3</t>
        </is>
      </c>
      <c r="C3542" s="16" t="inlineStr">
        <is>
          <t>4.3 P_baja</t>
        </is>
      </c>
      <c r="D3542" s="16" t="inlineStr">
        <is>
          <t>ronda 0</t>
        </is>
      </c>
      <c r="E3542" s="16" t="inlineStr">
        <is>
          <t>KF-M09</t>
        </is>
      </c>
      <c r="F3542" s="16" t="inlineStr">
        <is>
          <t>KF-M09-R0-P_baja</t>
        </is>
      </c>
      <c r="G3542" s="16" t="inlineStr">
        <is>
          <t>B13-P_baja</t>
        </is>
      </c>
      <c r="H3542" s="16" t="inlineStr">
        <is>
          <t>lhs</t>
        </is>
      </c>
      <c r="I3542" s="16" t="inlineStr">
        <is>
          <t>INVIABLE</t>
        </is>
      </c>
      <c r="J3542" s="16" t="inlineStr">
        <is>
          <t>INVIABLE</t>
        </is>
      </c>
      <c r="K3542" s="16" t="b">
        <v>1</v>
      </c>
      <c r="L3542" s="16" t="b">
        <v>0</v>
      </c>
      <c r="M3542" s="16" t="b">
        <v>0</v>
      </c>
      <c r="N3542" s="16" t="b">
        <v>0</v>
      </c>
      <c r="O3542" s="16" t="n">
        <v>432.2083811568599</v>
      </c>
      <c r="P3542" s="16" t="n">
        <v>294.3208736796544</v>
      </c>
      <c r="Q3542" s="16" t="n">
        <v>2128.953465360065</v>
      </c>
      <c r="R3542" s="16" t="n">
        <v>400</v>
      </c>
      <c r="S3542" s="16" t="n">
        <v>0.8411774661372389</v>
      </c>
      <c r="T3542" s="16" t="n">
        <v>0.4806057099775709</v>
      </c>
      <c r="U3542" s="16" t="n">
        <v>0.7384359532981117</v>
      </c>
      <c r="V3542" s="16" t="n">
        <v>0.8626025690926653</v>
      </c>
      <c r="W3542" s="16" t="n">
        <v>0.8426246057652923</v>
      </c>
      <c r="X3542" s="16" t="n">
        <v>0.7250349964172826</v>
      </c>
      <c r="Y3542" s="16" t="n">
        <v>294.3208736796544</v>
      </c>
      <c r="Z3542" s="16" t="n">
        <v>-29.81324526602283</v>
      </c>
      <c r="AA3542" s="16" t="n">
        <v>-132.7159557539427</v>
      </c>
      <c r="AB3542" s="16" t="n">
        <v>1728.953465360065</v>
      </c>
      <c r="AC3542" s="16" t="n">
        <v>5.322383663400163</v>
      </c>
      <c r="AD3542" s="16" t="inlineStr">
        <is>
          <t>O2,O3</t>
        </is>
      </c>
      <c r="AE3542" s="16" t="n"/>
    </row>
    <row r="3543">
      <c r="A3543" s="16" t="inlineStr">
        <is>
          <t>KF-M09-R0-P_baja-0029</t>
        </is>
      </c>
      <c r="B3543" s="16" t="inlineStr">
        <is>
          <t>4.3</t>
        </is>
      </c>
      <c r="C3543" s="16" t="inlineStr">
        <is>
          <t>4.3 P_baja</t>
        </is>
      </c>
      <c r="D3543" s="16" t="inlineStr">
        <is>
          <t>ronda 0</t>
        </is>
      </c>
      <c r="E3543" s="16" t="inlineStr">
        <is>
          <t>KF-M09</t>
        </is>
      </c>
      <c r="F3543" s="16" t="inlineStr">
        <is>
          <t>KF-M09-R0-P_baja</t>
        </is>
      </c>
      <c r="G3543" s="16" t="inlineStr">
        <is>
          <t>B13-P_baja</t>
        </is>
      </c>
      <c r="H3543" s="16" t="inlineStr">
        <is>
          <t>lhs</t>
        </is>
      </c>
      <c r="I3543" s="16" t="inlineStr">
        <is>
          <t>INVIABLE</t>
        </is>
      </c>
      <c r="J3543" s="16" t="inlineStr">
        <is>
          <t>INVIABLE</t>
        </is>
      </c>
      <c r="K3543" s="16" t="b">
        <v>1</v>
      </c>
      <c r="L3543" s="16" t="b">
        <v>0</v>
      </c>
      <c r="M3543" s="16" t="b">
        <v>0</v>
      </c>
      <c r="N3543" s="16" t="b">
        <v>0</v>
      </c>
      <c r="O3543" s="16" t="n">
        <v>406.0581936953308</v>
      </c>
      <c r="P3543" s="16" t="n">
        <v>293.6376322533743</v>
      </c>
      <c r="Q3543" s="16" t="n">
        <v>4513.141360580828</v>
      </c>
      <c r="R3543" s="16" t="n">
        <v>400</v>
      </c>
      <c r="S3543" s="16" t="n">
        <v>0.6222786068243517</v>
      </c>
      <c r="T3543" s="16" t="n">
        <v>0.4690496095353672</v>
      </c>
      <c r="U3543" s="16" t="n">
        <v>0.4985473402855147</v>
      </c>
      <c r="V3543" s="16" t="n">
        <v>0.896975680573284</v>
      </c>
      <c r="W3543" s="16" t="n">
        <v>0.4815156486320247</v>
      </c>
      <c r="X3543" s="16" t="n">
        <v>0.5707921691713063</v>
      </c>
      <c r="Y3543" s="16" t="n">
        <v>293.6376322533743</v>
      </c>
      <c r="Z3543" s="16" t="n">
        <v>-29.54543938766081</v>
      </c>
      <c r="AA3543" s="16" t="n">
        <v>-75.47731557863749</v>
      </c>
      <c r="AB3543" s="16" t="n">
        <v>4113.141360580828</v>
      </c>
      <c r="AC3543" s="16" t="n">
        <v>11.28285340145207</v>
      </c>
      <c r="AD3543" s="16" t="inlineStr">
        <is>
          <t>O2,O3</t>
        </is>
      </c>
      <c r="AE3543" s="16" t="n"/>
    </row>
    <row r="3544">
      <c r="A3544" s="16" t="inlineStr">
        <is>
          <t>KF-M09-R0-P_baja-0030</t>
        </is>
      </c>
      <c r="B3544" s="16" t="inlineStr">
        <is>
          <t>4.3</t>
        </is>
      </c>
      <c r="C3544" s="16" t="inlineStr">
        <is>
          <t>4.3 P_baja</t>
        </is>
      </c>
      <c r="D3544" s="16" t="inlineStr">
        <is>
          <t>ronda 0</t>
        </is>
      </c>
      <c r="E3544" s="16" t="inlineStr">
        <is>
          <t>KF-M09</t>
        </is>
      </c>
      <c r="F3544" s="16" t="inlineStr">
        <is>
          <t>KF-M09-R0-P_baja</t>
        </is>
      </c>
      <c r="G3544" s="16" t="inlineStr">
        <is>
          <t>B13-P_baja</t>
        </is>
      </c>
      <c r="H3544" s="16" t="inlineStr">
        <is>
          <t>lhs</t>
        </is>
      </c>
      <c r="I3544" s="16" t="inlineStr">
        <is>
          <t>INVIABLE</t>
        </is>
      </c>
      <c r="J3544" s="16" t="inlineStr">
        <is>
          <t>INVIABLE</t>
        </is>
      </c>
      <c r="K3544" s="16" t="b">
        <v>1</v>
      </c>
      <c r="L3544" s="16" t="b">
        <v>0</v>
      </c>
      <c r="M3544" s="16" t="b">
        <v>1</v>
      </c>
      <c r="N3544" s="16" t="b">
        <v>0</v>
      </c>
      <c r="O3544" s="16" t="n">
        <v>428.660114034136</v>
      </c>
      <c r="P3544" s="16" t="n">
        <v>302.3728342530103</v>
      </c>
      <c r="Q3544" s="16" t="n">
        <v>3270.059974663898</v>
      </c>
      <c r="R3544" s="16" t="n">
        <v>400</v>
      </c>
      <c r="S3544" s="16" t="n">
        <v>0.6752915417260061</v>
      </c>
      <c r="T3544" s="16" t="n">
        <v>0.4526656861470832</v>
      </c>
      <c r="U3544" s="16" t="n">
        <v>0.8839035033719058</v>
      </c>
      <c r="V3544" s="16" t="n">
        <v>0.8718991333686456</v>
      </c>
      <c r="W3544" s="16" t="n">
        <v>0.862170744820986</v>
      </c>
      <c r="X3544" s="16" t="n">
        <v>0.895224724062794</v>
      </c>
      <c r="Y3544" s="16" t="n">
        <v>302.3728342530103</v>
      </c>
      <c r="Z3544" s="16" t="n">
        <v>-3.97201194838982</v>
      </c>
      <c r="AA3544" s="16" t="n">
        <v>-23.10019079012841</v>
      </c>
      <c r="AB3544" s="16" t="n">
        <v>2870.059974663898</v>
      </c>
      <c r="AC3544" s="16" t="n">
        <v>8.175149936659745</v>
      </c>
      <c r="AD3544" s="16" t="inlineStr">
        <is>
          <t>O2,O3</t>
        </is>
      </c>
      <c r="AE3544" s="16" t="n"/>
    </row>
    <row r="3545">
      <c r="A3545" s="16" t="inlineStr">
        <is>
          <t>KF-M09-R0-P_baja-0031</t>
        </is>
      </c>
      <c r="B3545" s="16" t="inlineStr">
        <is>
          <t>4.3</t>
        </is>
      </c>
      <c r="C3545" s="16" t="inlineStr">
        <is>
          <t>4.3 P_baja</t>
        </is>
      </c>
      <c r="D3545" s="16" t="inlineStr">
        <is>
          <t>ronda 0</t>
        </is>
      </c>
      <c r="E3545" s="16" t="inlineStr">
        <is>
          <t>KF-M09</t>
        </is>
      </c>
      <c r="F3545" s="16" t="inlineStr">
        <is>
          <t>KF-M09-R0-P_baja</t>
        </is>
      </c>
      <c r="G3545" s="16" t="inlineStr">
        <is>
          <t>B13-P_baja</t>
        </is>
      </c>
      <c r="H3545" s="16" t="inlineStr">
        <is>
          <t>lhs</t>
        </is>
      </c>
      <c r="I3545" s="16" t="inlineStr">
        <is>
          <t>NO_CONVERGIO</t>
        </is>
      </c>
      <c r="J3545" s="16" t="inlineStr">
        <is>
          <t>NO_CONVERGIO</t>
        </is>
      </c>
      <c r="K3545" s="16" t="b">
        <v>0</v>
      </c>
      <c r="L3545" s="16" t="b">
        <v>0</v>
      </c>
      <c r="M3545" s="16" t="b">
        <v>0</v>
      </c>
      <c r="N3545" s="16" t="b">
        <v>0</v>
      </c>
      <c r="O3545" s="16" t="n">
        <v>498.5476378877798</v>
      </c>
      <c r="P3545" s="16" t="n">
        <v>293.8795470303742</v>
      </c>
      <c r="Q3545" s="16" t="n">
        <v>4678.893243760839</v>
      </c>
      <c r="R3545" s="16" t="n">
        <v>400</v>
      </c>
      <c r="S3545" s="16" t="n">
        <v>0.8289893722691262</v>
      </c>
      <c r="T3545" s="16" t="n">
        <v>0.935103476280576</v>
      </c>
      <c r="U3545" s="16" t="n">
        <v>0.7070633010240031</v>
      </c>
      <c r="V3545" s="16" t="n">
        <v>0.8365930181607788</v>
      </c>
      <c r="W3545" s="16" t="n">
        <v>0.8468760160087143</v>
      </c>
      <c r="X3545" s="16" t="n">
        <v>0.8646902803696654</v>
      </c>
      <c r="Y3545" s="16" t="n">
        <v>293.8795470303742</v>
      </c>
      <c r="Z3545" s="16" t="n"/>
      <c r="AA3545" s="16" t="n"/>
      <c r="AB3545" s="16" t="n">
        <v>4278.893243760839</v>
      </c>
      <c r="AC3545" s="16" t="n">
        <v>11.6972331094021</v>
      </c>
      <c r="AD3545" s="16" t="n"/>
      <c r="AE3545" s="16" t="n"/>
    </row>
    <row r="3546">
      <c r="A3546" s="16" t="inlineStr">
        <is>
          <t>KF-M09-R0-P_baja-0032</t>
        </is>
      </c>
      <c r="B3546" s="16" t="inlineStr">
        <is>
          <t>4.3</t>
        </is>
      </c>
      <c r="C3546" s="16" t="inlineStr">
        <is>
          <t>4.3 P_baja</t>
        </is>
      </c>
      <c r="D3546" s="16" t="inlineStr">
        <is>
          <t>ronda 0</t>
        </is>
      </c>
      <c r="E3546" s="16" t="inlineStr">
        <is>
          <t>KF-M09</t>
        </is>
      </c>
      <c r="F3546" s="16" t="inlineStr">
        <is>
          <t>KF-M09-R0-P_baja</t>
        </is>
      </c>
      <c r="G3546" s="16" t="inlineStr">
        <is>
          <t>B13-P_baja</t>
        </is>
      </c>
      <c r="H3546" s="16" t="inlineStr">
        <is>
          <t>lhs</t>
        </is>
      </c>
      <c r="I3546" s="16" t="inlineStr">
        <is>
          <t>INVIABLE</t>
        </is>
      </c>
      <c r="J3546" s="16" t="inlineStr">
        <is>
          <t>INVIABLE</t>
        </is>
      </c>
      <c r="K3546" s="16" t="b">
        <v>1</v>
      </c>
      <c r="L3546" s="16" t="b">
        <v>0</v>
      </c>
      <c r="M3546" s="16" t="b">
        <v>0</v>
      </c>
      <c r="N3546" s="16" t="b">
        <v>0</v>
      </c>
      <c r="O3546" s="16" t="n">
        <v>410.8237305408341</v>
      </c>
      <c r="P3546" s="16" t="n">
        <v>284.8200528736953</v>
      </c>
      <c r="Q3546" s="16" t="n">
        <v>4810.241446481437</v>
      </c>
      <c r="R3546" s="16" t="n">
        <v>400</v>
      </c>
      <c r="S3546" s="16" t="n">
        <v>0.704926458446241</v>
      </c>
      <c r="T3546" s="16" t="n">
        <v>0.6950742650882809</v>
      </c>
      <c r="U3546" s="16" t="n">
        <v>0.9344164652007244</v>
      </c>
      <c r="V3546" s="16" t="n">
        <v>0.7079901190073608</v>
      </c>
      <c r="W3546" s="16" t="n">
        <v>0.8357923812102583</v>
      </c>
      <c r="X3546" s="16" t="n">
        <v>0.4200849337535786</v>
      </c>
      <c r="Y3546" s="16" t="n">
        <v>284.8200528736953</v>
      </c>
      <c r="Z3546" s="16" t="n">
        <v>-7.096469725663599</v>
      </c>
      <c r="AA3546" s="16" t="n">
        <v>-19.16283623187466</v>
      </c>
      <c r="AB3546" s="16" t="n">
        <v>4410.241446481437</v>
      </c>
      <c r="AC3546" s="16" t="n">
        <v>12.02560361620359</v>
      </c>
      <c r="AD3546" s="16" t="inlineStr">
        <is>
          <t>O2,O3</t>
        </is>
      </c>
      <c r="AE3546" s="16" t="n"/>
    </row>
    <row r="3547">
      <c r="A3547" s="16" t="inlineStr">
        <is>
          <t>KF-M09-R0-P_baja-0033</t>
        </is>
      </c>
      <c r="B3547" s="16" t="inlineStr">
        <is>
          <t>4.3</t>
        </is>
      </c>
      <c r="C3547" s="16" t="inlineStr">
        <is>
          <t>4.3 P_baja</t>
        </is>
      </c>
      <c r="D3547" s="16" t="inlineStr">
        <is>
          <t>ronda 0</t>
        </is>
      </c>
      <c r="E3547" s="16" t="inlineStr">
        <is>
          <t>KF-M09</t>
        </is>
      </c>
      <c r="F3547" s="16" t="inlineStr">
        <is>
          <t>KF-M09-R0-P_baja</t>
        </is>
      </c>
      <c r="G3547" s="16" t="inlineStr">
        <is>
          <t>B13-P_baja</t>
        </is>
      </c>
      <c r="H3547" s="16" t="inlineStr">
        <is>
          <t>lhs</t>
        </is>
      </c>
      <c r="I3547" s="16" t="inlineStr">
        <is>
          <t>CORREGIBLE</t>
        </is>
      </c>
      <c r="J3547" s="16" t="inlineStr">
        <is>
          <t>CORREGIBLE</t>
        </is>
      </c>
      <c r="K3547" s="16" t="b">
        <v>1</v>
      </c>
      <c r="L3547" s="16" t="b">
        <v>0</v>
      </c>
      <c r="M3547" s="16" t="b">
        <v>1</v>
      </c>
      <c r="N3547" s="16" t="b">
        <v>0</v>
      </c>
      <c r="O3547" s="16" t="n">
        <v>472.0233316222987</v>
      </c>
      <c r="P3547" s="16" t="n">
        <v>298.8165896270337</v>
      </c>
      <c r="Q3547" s="16" t="n">
        <v>3059.658875643135</v>
      </c>
      <c r="R3547" s="16" t="n">
        <v>400</v>
      </c>
      <c r="S3547" s="16" t="n">
        <v>0.566914102625639</v>
      </c>
      <c r="T3547" s="16" t="n">
        <v>0.4053008501701428</v>
      </c>
      <c r="U3547" s="16" t="n">
        <v>0.4162192902097469</v>
      </c>
      <c r="V3547" s="16" t="n">
        <v>0.4768183589779684</v>
      </c>
      <c r="W3547" s="16" t="n">
        <v>0.4280805600543667</v>
      </c>
      <c r="X3547" s="16" t="n">
        <v>0.8447210626894177</v>
      </c>
      <c r="Y3547" s="16" t="n">
        <v>298.8165896270337</v>
      </c>
      <c r="Z3547" s="16" t="n">
        <v>1.47319225768131</v>
      </c>
      <c r="AA3547" s="16" t="n">
        <v>13.2860025507217</v>
      </c>
      <c r="AB3547" s="16" t="n">
        <v>2659.658875643135</v>
      </c>
      <c r="AC3547" s="16" t="n">
        <v>7.649147189107837</v>
      </c>
      <c r="AD3547" s="16" t="inlineStr">
        <is>
          <t>O2</t>
        </is>
      </c>
      <c r="AE3547" s="16" t="n"/>
    </row>
    <row r="3548">
      <c r="A3548" s="16" t="inlineStr">
        <is>
          <t>KF-M09-R0-P_baja-0034</t>
        </is>
      </c>
      <c r="B3548" s="16" t="inlineStr">
        <is>
          <t>4.3</t>
        </is>
      </c>
      <c r="C3548" s="16" t="inlineStr">
        <is>
          <t>4.3 P_baja</t>
        </is>
      </c>
      <c r="D3548" s="16" t="inlineStr">
        <is>
          <t>ronda 0</t>
        </is>
      </c>
      <c r="E3548" s="16" t="inlineStr">
        <is>
          <t>KF-M09</t>
        </is>
      </c>
      <c r="F3548" s="16" t="inlineStr">
        <is>
          <t>KF-M09-R0-P_baja</t>
        </is>
      </c>
      <c r="G3548" s="16" t="inlineStr">
        <is>
          <t>B13-P_baja</t>
        </is>
      </c>
      <c r="H3548" s="16" t="inlineStr">
        <is>
          <t>lhs</t>
        </is>
      </c>
      <c r="I3548" s="16" t="inlineStr">
        <is>
          <t>CORREGIBLE</t>
        </is>
      </c>
      <c r="J3548" s="16" t="inlineStr">
        <is>
          <t>CORREGIBLE</t>
        </is>
      </c>
      <c r="K3548" s="16" t="b">
        <v>1</v>
      </c>
      <c r="L3548" s="16" t="b">
        <v>0</v>
      </c>
      <c r="M3548" s="16" t="b">
        <v>1</v>
      </c>
      <c r="N3548" s="16" t="b">
        <v>0</v>
      </c>
      <c r="O3548" s="16" t="n">
        <v>499.8747081420206</v>
      </c>
      <c r="P3548" s="16" t="n">
        <v>283.2969741987489</v>
      </c>
      <c r="Q3548" s="16" t="n">
        <v>4569.570205304485</v>
      </c>
      <c r="R3548" s="16" t="n">
        <v>400</v>
      </c>
      <c r="S3548" s="16" t="n">
        <v>0.5829858193040683</v>
      </c>
      <c r="T3548" s="16" t="n">
        <v>0.6295342849255781</v>
      </c>
      <c r="U3548" s="16" t="n">
        <v>0.7904677238512134</v>
      </c>
      <c r="V3548" s="16" t="n">
        <v>0.7992881655068598</v>
      </c>
      <c r="W3548" s="16" t="n">
        <v>0.9363315047131104</v>
      </c>
      <c r="X3548" s="16" t="n">
        <v>0.4976535837091333</v>
      </c>
      <c r="Y3548" s="16" t="n">
        <v>283.2969741987489</v>
      </c>
      <c r="Z3548" s="16" t="n">
        <v>1.14225084702902</v>
      </c>
      <c r="AA3548" s="16" t="n">
        <v>10.66221564335874</v>
      </c>
      <c r="AB3548" s="16" t="n">
        <v>4169.570205304485</v>
      </c>
      <c r="AC3548" s="16" t="n">
        <v>11.42392551326121</v>
      </c>
      <c r="AD3548" s="16" t="inlineStr">
        <is>
          <t>O2</t>
        </is>
      </c>
      <c r="AE3548" s="16" t="n"/>
    </row>
    <row r="3549">
      <c r="A3549" s="16" t="inlineStr">
        <is>
          <t>KF-M09-R0-P_baja-0035</t>
        </is>
      </c>
      <c r="B3549" s="16" t="inlineStr">
        <is>
          <t>4.3</t>
        </is>
      </c>
      <c r="C3549" s="16" t="inlineStr">
        <is>
          <t>4.3 P_baja</t>
        </is>
      </c>
      <c r="D3549" s="16" t="inlineStr">
        <is>
          <t>ronda 0</t>
        </is>
      </c>
      <c r="E3549" s="16" t="inlineStr">
        <is>
          <t>KF-M09</t>
        </is>
      </c>
      <c r="F3549" s="16" t="inlineStr">
        <is>
          <t>KF-M09-R0-P_baja</t>
        </is>
      </c>
      <c r="G3549" s="16" t="inlineStr">
        <is>
          <t>B13-P_baja</t>
        </is>
      </c>
      <c r="H3549" s="16" t="inlineStr">
        <is>
          <t>lhs</t>
        </is>
      </c>
      <c r="I3549" s="16" t="inlineStr">
        <is>
          <t>CORREGIBLE</t>
        </is>
      </c>
      <c r="J3549" s="16" t="inlineStr">
        <is>
          <t>CORREGIBLE</t>
        </is>
      </c>
      <c r="K3549" s="16" t="b">
        <v>1</v>
      </c>
      <c r="L3549" s="16" t="b">
        <v>0</v>
      </c>
      <c r="M3549" s="16" t="b">
        <v>1</v>
      </c>
      <c r="N3549" s="16" t="b">
        <v>0</v>
      </c>
      <c r="O3549" s="16" t="n">
        <v>487.2677344794857</v>
      </c>
      <c r="P3549" s="16" t="n">
        <v>287.7043181679097</v>
      </c>
      <c r="Q3549" s="16" t="n">
        <v>2748.828052789065</v>
      </c>
      <c r="R3549" s="16" t="n">
        <v>400</v>
      </c>
      <c r="S3549" s="16" t="n">
        <v>0.5316073465731022</v>
      </c>
      <c r="T3549" s="16" t="n">
        <v>0.8736003461922237</v>
      </c>
      <c r="U3549" s="16" t="n">
        <v>0.4444190439747031</v>
      </c>
      <c r="V3549" s="16" t="n">
        <v>0.4941350844998696</v>
      </c>
      <c r="W3549" s="16" t="n">
        <v>0.6548252982165608</v>
      </c>
      <c r="X3549" s="16" t="n">
        <v>0.6826208158520208</v>
      </c>
      <c r="Y3549" s="16" t="n">
        <v>287.7043181679097</v>
      </c>
      <c r="Z3549" s="16" t="n">
        <v>8.875562777752009</v>
      </c>
      <c r="AA3549" s="16" t="n">
        <v>81.4446656135201</v>
      </c>
      <c r="AB3549" s="16" t="n">
        <v>2348.828052789065</v>
      </c>
      <c r="AC3549" s="16" t="n">
        <v>6.872070131972662</v>
      </c>
      <c r="AD3549" s="16" t="inlineStr">
        <is>
          <t>O2</t>
        </is>
      </c>
      <c r="AE3549" s="16" t="n"/>
    </row>
    <row r="3550">
      <c r="A3550" s="16" t="inlineStr">
        <is>
          <t>KF-M09-R0-P_baja-0036</t>
        </is>
      </c>
      <c r="B3550" s="16" t="inlineStr">
        <is>
          <t>4.3</t>
        </is>
      </c>
      <c r="C3550" s="16" t="inlineStr">
        <is>
          <t>4.3 P_baja</t>
        </is>
      </c>
      <c r="D3550" s="16" t="inlineStr">
        <is>
          <t>ronda 0</t>
        </is>
      </c>
      <c r="E3550" s="16" t="inlineStr">
        <is>
          <t>KF-M09</t>
        </is>
      </c>
      <c r="F3550" s="16" t="inlineStr">
        <is>
          <t>KF-M09-R0-P_baja</t>
        </is>
      </c>
      <c r="G3550" s="16" t="inlineStr">
        <is>
          <t>B13-P_baja</t>
        </is>
      </c>
      <c r="H3550" s="16" t="inlineStr">
        <is>
          <t>lhs</t>
        </is>
      </c>
      <c r="I3550" s="16" t="inlineStr">
        <is>
          <t>NO_CONVERGIO</t>
        </is>
      </c>
      <c r="J3550" s="16" t="inlineStr">
        <is>
          <t>NO_CONVERGIO</t>
        </is>
      </c>
      <c r="K3550" s="16" t="b">
        <v>0</v>
      </c>
      <c r="L3550" s="16" t="b">
        <v>0</v>
      </c>
      <c r="M3550" s="16" t="b">
        <v>0</v>
      </c>
      <c r="N3550" s="16" t="b">
        <v>0</v>
      </c>
      <c r="O3550" s="16" t="n">
        <v>387.7618386203309</v>
      </c>
      <c r="P3550" s="16" t="n">
        <v>301.1610795855757</v>
      </c>
      <c r="Q3550" s="16" t="n">
        <v>3858.676571114248</v>
      </c>
      <c r="R3550" s="16" t="n">
        <v>400</v>
      </c>
      <c r="S3550" s="16" t="n">
        <v>0.7106141780959612</v>
      </c>
      <c r="T3550" s="16" t="n">
        <v>0.9044250709809372</v>
      </c>
      <c r="U3550" s="16" t="n">
        <v>0.4693387503933942</v>
      </c>
      <c r="V3550" s="16" t="n">
        <v>0.557933426930338</v>
      </c>
      <c r="W3550" s="16" t="n">
        <v>0.8813109334456043</v>
      </c>
      <c r="X3550" s="16" t="n">
        <v>0.7187451706994096</v>
      </c>
      <c r="Y3550" s="16" t="n">
        <v>301.1610795855757</v>
      </c>
      <c r="Z3550" s="16" t="n"/>
      <c r="AA3550" s="16" t="n"/>
      <c r="AB3550" s="16" t="n">
        <v>3458.676571114248</v>
      </c>
      <c r="AC3550" s="16" t="n">
        <v>9.646691427785621</v>
      </c>
      <c r="AD3550" s="16" t="n"/>
      <c r="AE3550" s="16" t="n"/>
    </row>
    <row r="3551">
      <c r="A3551" s="16" t="inlineStr">
        <is>
          <t>KF-M09-R0-P_baja-0037</t>
        </is>
      </c>
      <c r="B3551" s="16" t="inlineStr">
        <is>
          <t>4.3</t>
        </is>
      </c>
      <c r="C3551" s="16" t="inlineStr">
        <is>
          <t>4.3 P_baja</t>
        </is>
      </c>
      <c r="D3551" s="16" t="inlineStr">
        <is>
          <t>ronda 0</t>
        </is>
      </c>
      <c r="E3551" s="16" t="inlineStr">
        <is>
          <t>KF-M09</t>
        </is>
      </c>
      <c r="F3551" s="16" t="inlineStr">
        <is>
          <t>KF-M09-R0-P_baja</t>
        </is>
      </c>
      <c r="G3551" s="16" t="inlineStr">
        <is>
          <t>B13-P_baja</t>
        </is>
      </c>
      <c r="H3551" s="16" t="inlineStr">
        <is>
          <t>lhs</t>
        </is>
      </c>
      <c r="I3551" s="16" t="inlineStr">
        <is>
          <t>INVIABLE</t>
        </is>
      </c>
      <c r="J3551" s="16" t="inlineStr">
        <is>
          <t>INVIABLE</t>
        </is>
      </c>
      <c r="K3551" s="16" t="b">
        <v>1</v>
      </c>
      <c r="L3551" s="16" t="b">
        <v>0</v>
      </c>
      <c r="M3551" s="16" t="b">
        <v>1</v>
      </c>
      <c r="N3551" s="16" t="b">
        <v>0</v>
      </c>
      <c r="O3551" s="16" t="n">
        <v>447.5724571187836</v>
      </c>
      <c r="P3551" s="16" t="n">
        <v>285.104520440726</v>
      </c>
      <c r="Q3551" s="16" t="n">
        <v>2797.66296829824</v>
      </c>
      <c r="R3551" s="16" t="n">
        <v>400</v>
      </c>
      <c r="S3551" s="16" t="n">
        <v>0.6246206010669092</v>
      </c>
      <c r="T3551" s="16" t="n">
        <v>0.8051719863235933</v>
      </c>
      <c r="U3551" s="16" t="n">
        <v>0.5955303642545765</v>
      </c>
      <c r="V3551" s="16" t="n">
        <v>0.5931441360080469</v>
      </c>
      <c r="W3551" s="16" t="n">
        <v>0.7684087910766226</v>
      </c>
      <c r="X3551" s="16" t="n">
        <v>0.4504414225428634</v>
      </c>
      <c r="Y3551" s="16" t="n">
        <v>285.104520440726</v>
      </c>
      <c r="Z3551" s="16" t="n">
        <v>-2.94273414303046</v>
      </c>
      <c r="AA3551" s="16" t="n">
        <v>-16.61434867618181</v>
      </c>
      <c r="AB3551" s="16" t="n">
        <v>2397.66296829824</v>
      </c>
      <c r="AC3551" s="16" t="n">
        <v>6.9941574207456</v>
      </c>
      <c r="AD3551" s="16" t="inlineStr">
        <is>
          <t>O2,O3</t>
        </is>
      </c>
      <c r="AE3551" s="16" t="n"/>
    </row>
    <row r="3552">
      <c r="A3552" s="16" t="inlineStr">
        <is>
          <t>KF-M09-R0-P_baja-0038</t>
        </is>
      </c>
      <c r="B3552" s="16" t="inlineStr">
        <is>
          <t>4.3</t>
        </is>
      </c>
      <c r="C3552" s="16" t="inlineStr">
        <is>
          <t>4.3 P_baja</t>
        </is>
      </c>
      <c r="D3552" s="16" t="inlineStr">
        <is>
          <t>ronda 0</t>
        </is>
      </c>
      <c r="E3552" s="16" t="inlineStr">
        <is>
          <t>KF-M09</t>
        </is>
      </c>
      <c r="F3552" s="16" t="inlineStr">
        <is>
          <t>KF-M09-R0-P_baja</t>
        </is>
      </c>
      <c r="G3552" s="16" t="inlineStr">
        <is>
          <t>B13-P_baja</t>
        </is>
      </c>
      <c r="H3552" s="16" t="inlineStr">
        <is>
          <t>lhs</t>
        </is>
      </c>
      <c r="I3552" s="16" t="inlineStr">
        <is>
          <t>CORREGIBLE</t>
        </is>
      </c>
      <c r="J3552" s="16" t="inlineStr">
        <is>
          <t>CORREGIBLE</t>
        </is>
      </c>
      <c r="K3552" s="16" t="b">
        <v>1</v>
      </c>
      <c r="L3552" s="16" t="b">
        <v>0</v>
      </c>
      <c r="M3552" s="16" t="b">
        <v>0</v>
      </c>
      <c r="N3552" s="16" t="b">
        <v>0</v>
      </c>
      <c r="O3552" s="16" t="n">
        <v>414.2378071028213</v>
      </c>
      <c r="P3552" s="16" t="n">
        <v>299.8870951346445</v>
      </c>
      <c r="Q3552" s="16" t="n">
        <v>3868.287808380001</v>
      </c>
      <c r="R3552" s="16" t="n">
        <v>400</v>
      </c>
      <c r="S3552" s="16" t="n">
        <v>0.5055246963270761</v>
      </c>
      <c r="T3552" s="16" t="n">
        <v>0.8469584091801858</v>
      </c>
      <c r="U3552" s="16" t="n">
        <v>0.5729269800869181</v>
      </c>
      <c r="V3552" s="16" t="n">
        <v>0.932996894832165</v>
      </c>
      <c r="W3552" s="16" t="n">
        <v>0.7805550738972069</v>
      </c>
      <c r="X3552" s="16" t="n">
        <v>0.6203381784023688</v>
      </c>
      <c r="Y3552" s="16" t="n">
        <v>299.8870951346445</v>
      </c>
      <c r="Z3552" s="16" t="n">
        <v>8.28463823946838</v>
      </c>
      <c r="AA3552" s="16" t="n">
        <v>23.4743464537247</v>
      </c>
      <c r="AB3552" s="16" t="n">
        <v>3468.287808380001</v>
      </c>
      <c r="AC3552" s="16" t="n">
        <v>9.670719520950003</v>
      </c>
      <c r="AD3552" s="16" t="inlineStr">
        <is>
          <t>O2</t>
        </is>
      </c>
      <c r="AE3552" s="16" t="n"/>
    </row>
    <row r="3553">
      <c r="A3553" s="16" t="inlineStr">
        <is>
          <t>KF-M09-R0-P_baja-0039</t>
        </is>
      </c>
      <c r="B3553" s="16" t="inlineStr">
        <is>
          <t>4.3</t>
        </is>
      </c>
      <c r="C3553" s="16" t="inlineStr">
        <is>
          <t>4.3 P_baja</t>
        </is>
      </c>
      <c r="D3553" s="16" t="inlineStr">
        <is>
          <t>ronda 0</t>
        </is>
      </c>
      <c r="E3553" s="16" t="inlineStr">
        <is>
          <t>KF-M09</t>
        </is>
      </c>
      <c r="F3553" s="16" t="inlineStr">
        <is>
          <t>KF-M09-R0-P_baja</t>
        </is>
      </c>
      <c r="G3553" s="16" t="inlineStr">
        <is>
          <t>B13-P_baja</t>
        </is>
      </c>
      <c r="H3553" s="16" t="inlineStr">
        <is>
          <t>lhs</t>
        </is>
      </c>
      <c r="I3553" s="16" t="inlineStr">
        <is>
          <t>CORREGIBLE</t>
        </is>
      </c>
      <c r="J3553" s="16" t="inlineStr">
        <is>
          <t>CORREGIBLE</t>
        </is>
      </c>
      <c r="K3553" s="16" t="b">
        <v>1</v>
      </c>
      <c r="L3553" s="16" t="b">
        <v>0</v>
      </c>
      <c r="M3553" s="16" t="b">
        <v>1</v>
      </c>
      <c r="N3553" s="16" t="b">
        <v>0</v>
      </c>
      <c r="O3553" s="16" t="n">
        <v>460.7722725456436</v>
      </c>
      <c r="P3553" s="16" t="n">
        <v>291.6418156934516</v>
      </c>
      <c r="Q3553" s="16" t="n">
        <v>2762.210451547164</v>
      </c>
      <c r="R3553" s="16" t="n">
        <v>400</v>
      </c>
      <c r="S3553" s="16" t="n">
        <v>0.6630851990987985</v>
      </c>
      <c r="T3553" s="16" t="n">
        <v>0.777779035711948</v>
      </c>
      <c r="U3553" s="16" t="n">
        <v>0.6519738465950593</v>
      </c>
      <c r="V3553" s="16" t="n">
        <v>0.5219396818054084</v>
      </c>
      <c r="W3553" s="16" t="n">
        <v>0.701222737091983</v>
      </c>
      <c r="X3553" s="16" t="n">
        <v>0.7610199830484907</v>
      </c>
      <c r="Y3553" s="16" t="n">
        <v>291.6418156934516</v>
      </c>
      <c r="Z3553" s="16" t="n">
        <v>7.03237182177391</v>
      </c>
      <c r="AA3553" s="16" t="n">
        <v>56.42990173687136</v>
      </c>
      <c r="AB3553" s="16" t="n">
        <v>2362.210451547164</v>
      </c>
      <c r="AC3553" s="16" t="n">
        <v>6.90552612886791</v>
      </c>
      <c r="AD3553" s="16" t="inlineStr">
        <is>
          <t>O2</t>
        </is>
      </c>
      <c r="AE3553" s="16" t="n"/>
    </row>
    <row r="3554">
      <c r="A3554" s="16" t="inlineStr">
        <is>
          <t>KF-M09-R0-P_baja-0040</t>
        </is>
      </c>
      <c r="B3554" s="16" t="inlineStr">
        <is>
          <t>4.3</t>
        </is>
      </c>
      <c r="C3554" s="16" t="inlineStr">
        <is>
          <t>4.3 P_baja</t>
        </is>
      </c>
      <c r="D3554" s="16" t="inlineStr">
        <is>
          <t>ronda 0</t>
        </is>
      </c>
      <c r="E3554" s="16" t="inlineStr">
        <is>
          <t>KF-M09</t>
        </is>
      </c>
      <c r="F3554" s="16" t="inlineStr">
        <is>
          <t>KF-M09-R0-P_baja</t>
        </is>
      </c>
      <c r="G3554" s="16" t="inlineStr">
        <is>
          <t>B13-P_baja</t>
        </is>
      </c>
      <c r="H3554" s="16" t="inlineStr">
        <is>
          <t>lhs</t>
        </is>
      </c>
      <c r="I3554" s="16" t="inlineStr">
        <is>
          <t>INVIABLE</t>
        </is>
      </c>
      <c r="J3554" s="16" t="inlineStr">
        <is>
          <t>INVIABLE</t>
        </is>
      </c>
      <c r="K3554" s="16" t="b">
        <v>1</v>
      </c>
      <c r="L3554" s="16" t="b">
        <v>0</v>
      </c>
      <c r="M3554" s="16" t="b">
        <v>1</v>
      </c>
      <c r="N3554" s="16" t="b">
        <v>0</v>
      </c>
      <c r="O3554" s="16" t="n">
        <v>494.1526684199741</v>
      </c>
      <c r="P3554" s="16" t="n">
        <v>301.6781561064189</v>
      </c>
      <c r="Q3554" s="16" t="n">
        <v>3366.712110044311</v>
      </c>
      <c r="R3554" s="16" t="n">
        <v>400</v>
      </c>
      <c r="S3554" s="16" t="n">
        <v>0.7372751673035868</v>
      </c>
      <c r="T3554" s="16" t="n">
        <v>0.6534251309167622</v>
      </c>
      <c r="U3554" s="16" t="n">
        <v>0.943346841763573</v>
      </c>
      <c r="V3554" s="16" t="n">
        <v>0.5358803441124089</v>
      </c>
      <c r="W3554" s="16" t="n">
        <v>0.6252836561144294</v>
      </c>
      <c r="X3554" s="16" t="n">
        <v>0.7669584366739646</v>
      </c>
      <c r="Y3554" s="16" t="n">
        <v>301.6781561064189</v>
      </c>
      <c r="Z3554" s="16" t="n">
        <v>-0.4116995389044199</v>
      </c>
      <c r="AA3554" s="16" t="n">
        <v>-2.387549863507587</v>
      </c>
      <c r="AB3554" s="16" t="n">
        <v>2966.712110044311</v>
      </c>
      <c r="AC3554" s="16" t="n">
        <v>8.416780275110778</v>
      </c>
      <c r="AD3554" s="16" t="inlineStr">
        <is>
          <t>O2,O3</t>
        </is>
      </c>
      <c r="AE3554" s="16" t="n"/>
    </row>
    <row r="3555">
      <c r="A3555" s="16" t="inlineStr">
        <is>
          <t>KF-M09-R0-P_baja-0041</t>
        </is>
      </c>
      <c r="B3555" s="16" t="inlineStr">
        <is>
          <t>4.3</t>
        </is>
      </c>
      <c r="C3555" s="16" t="inlineStr">
        <is>
          <t>4.3 P_baja</t>
        </is>
      </c>
      <c r="D3555" s="16" t="inlineStr">
        <is>
          <t>ronda 0</t>
        </is>
      </c>
      <c r="E3555" s="16" t="inlineStr">
        <is>
          <t>KF-M09</t>
        </is>
      </c>
      <c r="F3555" s="16" t="inlineStr">
        <is>
          <t>KF-M09-R0-P_baja</t>
        </is>
      </c>
      <c r="G3555" s="16" t="inlineStr">
        <is>
          <t>B13-P_baja</t>
        </is>
      </c>
      <c r="H3555" s="16" t="inlineStr">
        <is>
          <t>lhs</t>
        </is>
      </c>
      <c r="I3555" s="16" t="inlineStr">
        <is>
          <t>CORREGIBLE</t>
        </is>
      </c>
      <c r="J3555" s="16" t="inlineStr">
        <is>
          <t>CORREGIBLE</t>
        </is>
      </c>
      <c r="K3555" s="16" t="b">
        <v>1</v>
      </c>
      <c r="L3555" s="16" t="b">
        <v>0</v>
      </c>
      <c r="M3555" s="16" t="b">
        <v>0</v>
      </c>
      <c r="N3555" s="16" t="b">
        <v>0</v>
      </c>
      <c r="O3555" s="16" t="n">
        <v>454.3306018666777</v>
      </c>
      <c r="P3555" s="16" t="n">
        <v>297.4547199378178</v>
      </c>
      <c r="Q3555" s="16" t="n">
        <v>2377.449057498394</v>
      </c>
      <c r="R3555" s="16" t="n">
        <v>400</v>
      </c>
      <c r="S3555" s="16" t="n">
        <v>0.6737260423223337</v>
      </c>
      <c r="T3555" s="16" t="n">
        <v>0.8423897878756745</v>
      </c>
      <c r="U3555" s="16" t="n">
        <v>0.728626972886014</v>
      </c>
      <c r="V3555" s="16" t="n">
        <v>0.4333285918209788</v>
      </c>
      <c r="W3555" s="16" t="n">
        <v>0.7320479512990178</v>
      </c>
      <c r="X3555" s="16" t="n">
        <v>0.6400361472482936</v>
      </c>
      <c r="Y3555" s="16" t="n">
        <v>297.4547199378178</v>
      </c>
      <c r="Z3555" s="16" t="n">
        <v>2.43938154029871</v>
      </c>
      <c r="AA3555" s="16" t="n">
        <v>13.10637219525748</v>
      </c>
      <c r="AB3555" s="16" t="n">
        <v>1977.449057498394</v>
      </c>
      <c r="AC3555" s="16" t="n">
        <v>5.943622643745985</v>
      </c>
      <c r="AD3555" s="16" t="inlineStr">
        <is>
          <t>O2</t>
        </is>
      </c>
      <c r="AE3555" s="16" t="n"/>
    </row>
    <row r="3556">
      <c r="A3556" s="16" t="inlineStr">
        <is>
          <t>KF-M09-R0-P_baja-0042</t>
        </is>
      </c>
      <c r="B3556" s="16" t="inlineStr">
        <is>
          <t>4.3</t>
        </is>
      </c>
      <c r="C3556" s="16" t="inlineStr">
        <is>
          <t>4.3 P_baja</t>
        </is>
      </c>
      <c r="D3556" s="16" t="inlineStr">
        <is>
          <t>ronda 0</t>
        </is>
      </c>
      <c r="E3556" s="16" t="inlineStr">
        <is>
          <t>KF-M09</t>
        </is>
      </c>
      <c r="F3556" s="16" t="inlineStr">
        <is>
          <t>KF-M09-R0-P_baja</t>
        </is>
      </c>
      <c r="G3556" s="16" t="inlineStr">
        <is>
          <t>B13-P_baja</t>
        </is>
      </c>
      <c r="H3556" s="16" t="inlineStr">
        <is>
          <t>lhs</t>
        </is>
      </c>
      <c r="I3556" s="16" t="inlineStr">
        <is>
          <t>CORREGIBLE</t>
        </is>
      </c>
      <c r="J3556" s="16" t="inlineStr">
        <is>
          <t>CORREGIBLE</t>
        </is>
      </c>
      <c r="K3556" s="16" t="b">
        <v>1</v>
      </c>
      <c r="L3556" s="16" t="b">
        <v>0</v>
      </c>
      <c r="M3556" s="16" t="b">
        <v>0</v>
      </c>
      <c r="N3556" s="16" t="b">
        <v>0</v>
      </c>
      <c r="O3556" s="16" t="n">
        <v>382.5336586213046</v>
      </c>
      <c r="P3556" s="16" t="n">
        <v>288.5126495953591</v>
      </c>
      <c r="Q3556" s="16" t="n">
        <v>3492.767126503163</v>
      </c>
      <c r="R3556" s="16" t="n">
        <v>400</v>
      </c>
      <c r="S3556" s="16" t="n">
        <v>0.682733814807345</v>
      </c>
      <c r="T3556" s="16" t="n">
        <v>0.8568708738609938</v>
      </c>
      <c r="U3556" s="16" t="n">
        <v>0.6954267347329655</v>
      </c>
      <c r="V3556" s="16" t="n">
        <v>0.8061968847485482</v>
      </c>
      <c r="W3556" s="16" t="n">
        <v>0.5762377149593441</v>
      </c>
      <c r="X3556" s="16" t="n">
        <v>0.8052267094934644</v>
      </c>
      <c r="Y3556" s="16" t="n">
        <v>288.5126495953591</v>
      </c>
      <c r="Z3556" s="16" t="n">
        <v>4.57835500457713</v>
      </c>
      <c r="AA3556" s="16" t="n">
        <v>14.37737615486254</v>
      </c>
      <c r="AB3556" s="16" t="n">
        <v>3092.767126503163</v>
      </c>
      <c r="AC3556" s="16" t="n">
        <v>8.731917816257909</v>
      </c>
      <c r="AD3556" s="16" t="inlineStr">
        <is>
          <t>O2</t>
        </is>
      </c>
      <c r="AE3556" s="16" t="n"/>
    </row>
    <row r="3557">
      <c r="A3557" s="16" t="inlineStr">
        <is>
          <t>KF-M09-R0-P_baja-0043</t>
        </is>
      </c>
      <c r="B3557" s="16" t="inlineStr">
        <is>
          <t>4.3</t>
        </is>
      </c>
      <c r="C3557" s="16" t="inlineStr">
        <is>
          <t>4.3 P_baja</t>
        </is>
      </c>
      <c r="D3557" s="16" t="inlineStr">
        <is>
          <t>ronda 0</t>
        </is>
      </c>
      <c r="E3557" s="16" t="inlineStr">
        <is>
          <t>KF-M09</t>
        </is>
      </c>
      <c r="F3557" s="16" t="inlineStr">
        <is>
          <t>KF-M09-R0-P_baja</t>
        </is>
      </c>
      <c r="G3557" s="16" t="inlineStr">
        <is>
          <t>B13-P_baja</t>
        </is>
      </c>
      <c r="H3557" s="16" t="inlineStr">
        <is>
          <t>lhs</t>
        </is>
      </c>
      <c r="I3557" s="16" t="inlineStr">
        <is>
          <t>INVIABLE</t>
        </is>
      </c>
      <c r="J3557" s="16" t="inlineStr">
        <is>
          <t>INVIABLE</t>
        </is>
      </c>
      <c r="K3557" s="16" t="b">
        <v>1</v>
      </c>
      <c r="L3557" s="16" t="b">
        <v>0</v>
      </c>
      <c r="M3557" s="16" t="b">
        <v>0</v>
      </c>
      <c r="N3557" s="16" t="b">
        <v>0</v>
      </c>
      <c r="O3557" s="16" t="n">
        <v>409.3630013034181</v>
      </c>
      <c r="P3557" s="16" t="n">
        <v>302.688176540033</v>
      </c>
      <c r="Q3557" s="16" t="n">
        <v>3182.255527701505</v>
      </c>
      <c r="R3557" s="16" t="n">
        <v>400</v>
      </c>
      <c r="S3557" s="16" t="n">
        <v>0.6857047241882447</v>
      </c>
      <c r="T3557" s="16" t="n">
        <v>0.8208290513250708</v>
      </c>
      <c r="U3557" s="16" t="n">
        <v>0.6725222542020273</v>
      </c>
      <c r="V3557" s="16" t="n">
        <v>0.6042851250226093</v>
      </c>
      <c r="W3557" s="16" t="n">
        <v>0.913189159968364</v>
      </c>
      <c r="X3557" s="16" t="n">
        <v>0.6140525633720582</v>
      </c>
      <c r="Y3557" s="16" t="n">
        <v>302.688176540033</v>
      </c>
      <c r="Z3557" s="16" t="n">
        <v>-40.36066764883698</v>
      </c>
      <c r="AA3557" s="16" t="n">
        <v>-66.08194802102244</v>
      </c>
      <c r="AB3557" s="16" t="n">
        <v>2782.255527701505</v>
      </c>
      <c r="AC3557" s="16" t="n">
        <v>7.955638819253763</v>
      </c>
      <c r="AD3557" s="16" t="inlineStr">
        <is>
          <t>O2,O3</t>
        </is>
      </c>
      <c r="AE3557" s="16" t="n"/>
    </row>
    <row r="3558">
      <c r="A3558" s="16" t="inlineStr">
        <is>
          <t>KF-M09-R0-P_baja-0044</t>
        </is>
      </c>
      <c r="B3558" s="16" t="inlineStr">
        <is>
          <t>4.3</t>
        </is>
      </c>
      <c r="C3558" s="16" t="inlineStr">
        <is>
          <t>4.3 P_baja</t>
        </is>
      </c>
      <c r="D3558" s="16" t="inlineStr">
        <is>
          <t>ronda 0</t>
        </is>
      </c>
      <c r="E3558" s="16" t="inlineStr">
        <is>
          <t>KF-M09</t>
        </is>
      </c>
      <c r="F3558" s="16" t="inlineStr">
        <is>
          <t>KF-M09-R0-P_baja</t>
        </is>
      </c>
      <c r="G3558" s="16" t="inlineStr">
        <is>
          <t>B13-P_baja</t>
        </is>
      </c>
      <c r="H3558" s="16" t="inlineStr">
        <is>
          <t>lhs</t>
        </is>
      </c>
      <c r="I3558" s="16" t="inlineStr">
        <is>
          <t>CORREGIBLE</t>
        </is>
      </c>
      <c r="J3558" s="16" t="inlineStr">
        <is>
          <t>CORREGIBLE</t>
        </is>
      </c>
      <c r="K3558" s="16" t="b">
        <v>1</v>
      </c>
      <c r="L3558" s="16" t="b">
        <v>0</v>
      </c>
      <c r="M3558" s="16" t="b">
        <v>1</v>
      </c>
      <c r="N3558" s="16" t="b">
        <v>0</v>
      </c>
      <c r="O3558" s="16" t="n">
        <v>466.3818978640167</v>
      </c>
      <c r="P3558" s="16" t="n">
        <v>295.7522243582155</v>
      </c>
      <c r="Q3558" s="16" t="n">
        <v>4239.466764022976</v>
      </c>
      <c r="R3558" s="16" t="n">
        <v>400</v>
      </c>
      <c r="S3558" s="16" t="n">
        <v>0.5166544497701425</v>
      </c>
      <c r="T3558" s="16" t="n">
        <v>0.8963888189016149</v>
      </c>
      <c r="U3558" s="16" t="n">
        <v>0.6249831741806881</v>
      </c>
      <c r="V3558" s="16" t="n">
        <v>0.4798129704251605</v>
      </c>
      <c r="W3558" s="16" t="n">
        <v>0.9016788853426396</v>
      </c>
      <c r="X3558" s="16" t="n">
        <v>0.4739710307616019</v>
      </c>
      <c r="Y3558" s="16" t="n">
        <v>295.7522243582155</v>
      </c>
      <c r="Z3558" s="16" t="n">
        <v>5.61420244832317</v>
      </c>
      <c r="AA3558" s="16" t="n">
        <v>25.47327710062599</v>
      </c>
      <c r="AB3558" s="16" t="n">
        <v>3839.466764022976</v>
      </c>
      <c r="AC3558" s="16" t="n">
        <v>10.59866691005744</v>
      </c>
      <c r="AD3558" s="16" t="inlineStr">
        <is>
          <t>O1,O2</t>
        </is>
      </c>
      <c r="AE3558" s="16" t="n"/>
    </row>
    <row r="3559">
      <c r="A3559" s="16" t="inlineStr">
        <is>
          <t>KF-M09-R0-P_baja-0045</t>
        </is>
      </c>
      <c r="B3559" s="16" t="inlineStr">
        <is>
          <t>4.3</t>
        </is>
      </c>
      <c r="C3559" s="16" t="inlineStr">
        <is>
          <t>4.3 P_baja</t>
        </is>
      </c>
      <c r="D3559" s="16" t="inlineStr">
        <is>
          <t>ronda 0</t>
        </is>
      </c>
      <c r="E3559" s="16" t="inlineStr">
        <is>
          <t>KF-M09</t>
        </is>
      </c>
      <c r="F3559" s="16" t="inlineStr">
        <is>
          <t>KF-M09-R0-P_baja</t>
        </is>
      </c>
      <c r="G3559" s="16" t="inlineStr">
        <is>
          <t>B13-P_baja</t>
        </is>
      </c>
      <c r="H3559" s="16" t="inlineStr">
        <is>
          <t>lhs</t>
        </is>
      </c>
      <c r="I3559" s="16" t="inlineStr">
        <is>
          <t>CORREGIBLE</t>
        </is>
      </c>
      <c r="J3559" s="16" t="inlineStr">
        <is>
          <t>CORREGIBLE</t>
        </is>
      </c>
      <c r="K3559" s="16" t="b">
        <v>1</v>
      </c>
      <c r="L3559" s="16" t="b">
        <v>0</v>
      </c>
      <c r="M3559" s="16" t="b">
        <v>0</v>
      </c>
      <c r="N3559" s="16" t="b">
        <v>0</v>
      </c>
      <c r="O3559" s="16" t="n">
        <v>448.629987510176</v>
      </c>
      <c r="P3559" s="16" t="n">
        <v>297.0586898065044</v>
      </c>
      <c r="Q3559" s="16" t="n">
        <v>2939.666268217716</v>
      </c>
      <c r="R3559" s="16" t="n">
        <v>400</v>
      </c>
      <c r="S3559" s="16" t="n">
        <v>0.5273140782153604</v>
      </c>
      <c r="T3559" s="16" t="n">
        <v>0.6009436149697592</v>
      </c>
      <c r="U3559" s="16" t="n">
        <v>0.432328681286408</v>
      </c>
      <c r="V3559" s="16" t="n">
        <v>0.4536327506865981</v>
      </c>
      <c r="W3559" s="16" t="n">
        <v>0.8219655680303741</v>
      </c>
      <c r="X3559" s="16" t="n">
        <v>0.8230845535185429</v>
      </c>
      <c r="Y3559" s="16" t="n">
        <v>297.0586898065044</v>
      </c>
      <c r="Z3559" s="16" t="n">
        <v>7.987025666902629</v>
      </c>
      <c r="AA3559" s="16" t="n">
        <v>44.11886903470106</v>
      </c>
      <c r="AB3559" s="16" t="n">
        <v>2539.666268217716</v>
      </c>
      <c r="AC3559" s="16" t="n">
        <v>7.34916567054429</v>
      </c>
      <c r="AD3559" s="16" t="inlineStr">
        <is>
          <t>O2</t>
        </is>
      </c>
      <c r="AE3559" s="16" t="n"/>
    </row>
    <row r="3560">
      <c r="A3560" s="16" t="inlineStr">
        <is>
          <t>KF-M09-R0-P_baja-0046</t>
        </is>
      </c>
      <c r="B3560" s="16" t="inlineStr">
        <is>
          <t>4.3</t>
        </is>
      </c>
      <c r="C3560" s="16" t="inlineStr">
        <is>
          <t>4.3 P_baja</t>
        </is>
      </c>
      <c r="D3560" s="16" t="inlineStr">
        <is>
          <t>ronda 0</t>
        </is>
      </c>
      <c r="E3560" s="16" t="inlineStr">
        <is>
          <t>KF-M09</t>
        </is>
      </c>
      <c r="F3560" s="16" t="inlineStr">
        <is>
          <t>KF-M09-R0-P_baja</t>
        </is>
      </c>
      <c r="G3560" s="16" t="inlineStr">
        <is>
          <t>B13-P_baja</t>
        </is>
      </c>
      <c r="H3560" s="16" t="inlineStr">
        <is>
          <t>lhs</t>
        </is>
      </c>
      <c r="I3560" s="16" t="inlineStr">
        <is>
          <t>INVIABLE</t>
        </is>
      </c>
      <c r="J3560" s="16" t="inlineStr">
        <is>
          <t>INVIABLE</t>
        </is>
      </c>
      <c r="K3560" s="16" t="b">
        <v>1</v>
      </c>
      <c r="L3560" s="16" t="b">
        <v>0</v>
      </c>
      <c r="M3560" s="16" t="b">
        <v>0</v>
      </c>
      <c r="N3560" s="16" t="b">
        <v>0</v>
      </c>
      <c r="O3560" s="16" t="n">
        <v>380.1741231052362</v>
      </c>
      <c r="P3560" s="16" t="n">
        <v>282.4374465461065</v>
      </c>
      <c r="Q3560" s="16" t="n">
        <v>3016.968207865947</v>
      </c>
      <c r="R3560" s="16" t="n">
        <v>400</v>
      </c>
      <c r="S3560" s="16" t="n">
        <v>0.6273564387611211</v>
      </c>
      <c r="T3560" s="16" t="n">
        <v>0.9124044568436523</v>
      </c>
      <c r="U3560" s="16" t="n">
        <v>0.5826395971363827</v>
      </c>
      <c r="V3560" s="16" t="n">
        <v>0.9251586830353694</v>
      </c>
      <c r="W3560" s="16" t="n">
        <v>0.7976656667496858</v>
      </c>
      <c r="X3560" s="16" t="n">
        <v>0.4424335106210723</v>
      </c>
      <c r="Y3560" s="16" t="n">
        <v>282.4374465461065</v>
      </c>
      <c r="Z3560" s="16" t="n">
        <v>-0.34476651430317</v>
      </c>
      <c r="AA3560" s="16" t="n">
        <v>-0.8618017771426238</v>
      </c>
      <c r="AB3560" s="16" t="n">
        <v>2616.968207865947</v>
      </c>
      <c r="AC3560" s="16" t="n">
        <v>7.542420519664867</v>
      </c>
      <c r="AD3560" s="16" t="inlineStr">
        <is>
          <t>O2,O3</t>
        </is>
      </c>
      <c r="AE3560" s="16" t="n"/>
    </row>
    <row r="3561">
      <c r="A3561" s="16" t="inlineStr">
        <is>
          <t>KF-M09-R0-P_baja-0047</t>
        </is>
      </c>
      <c r="B3561" s="16" t="inlineStr">
        <is>
          <t>4.3</t>
        </is>
      </c>
      <c r="C3561" s="16" t="inlineStr">
        <is>
          <t>4.3 P_baja</t>
        </is>
      </c>
      <c r="D3561" s="16" t="inlineStr">
        <is>
          <t>ronda 0</t>
        </is>
      </c>
      <c r="E3561" s="16" t="inlineStr">
        <is>
          <t>KF-M09</t>
        </is>
      </c>
      <c r="F3561" s="16" t="inlineStr">
        <is>
          <t>KF-M09-R0-P_baja</t>
        </is>
      </c>
      <c r="G3561" s="16" t="inlineStr">
        <is>
          <t>B13-P_baja</t>
        </is>
      </c>
      <c r="H3561" s="16" t="inlineStr">
        <is>
          <t>lhs</t>
        </is>
      </c>
      <c r="I3561" s="16" t="inlineStr">
        <is>
          <t>INVIABLE</t>
        </is>
      </c>
      <c r="J3561" s="16" t="inlineStr">
        <is>
          <t>INVIABLE</t>
        </is>
      </c>
      <c r="K3561" s="16" t="b">
        <v>1</v>
      </c>
      <c r="L3561" s="16" t="b">
        <v>0</v>
      </c>
      <c r="M3561" s="16" t="b">
        <v>0</v>
      </c>
      <c r="N3561" s="16" t="b">
        <v>0</v>
      </c>
      <c r="O3561" s="16" t="n">
        <v>441.8202197720118</v>
      </c>
      <c r="P3561" s="16" t="n">
        <v>294.1226893096115</v>
      </c>
      <c r="Q3561" s="16" t="n">
        <v>4894.258720133168</v>
      </c>
      <c r="R3561" s="16" t="n">
        <v>400</v>
      </c>
      <c r="S3561" s="16" t="n">
        <v>0.6147540123406425</v>
      </c>
      <c r="T3561" s="16" t="n">
        <v>0.4937467665030054</v>
      </c>
      <c r="U3561" s="16" t="n">
        <v>0.7810513025541836</v>
      </c>
      <c r="V3561" s="16" t="n">
        <v>0.4289408572804548</v>
      </c>
      <c r="W3561" s="16" t="n">
        <v>0.4058721958304453</v>
      </c>
      <c r="X3561" s="16" t="n">
        <v>0.5183983196722838</v>
      </c>
      <c r="Y3561" s="16" t="n">
        <v>294.1226893096115</v>
      </c>
      <c r="Z3561" s="16" t="n">
        <v>-14.8773670232913</v>
      </c>
      <c r="AA3561" s="16" t="n">
        <v>-44.81489454149997</v>
      </c>
      <c r="AB3561" s="16" t="n">
        <v>4494.258720133168</v>
      </c>
      <c r="AC3561" s="16" t="n">
        <v>12.23564680033292</v>
      </c>
      <c r="AD3561" s="16" t="inlineStr">
        <is>
          <t>O2,O3</t>
        </is>
      </c>
      <c r="AE3561" s="16" t="n"/>
    </row>
    <row r="3562">
      <c r="A3562" s="16" t="inlineStr">
        <is>
          <t>KF-M09-R0-P_baja-0048</t>
        </is>
      </c>
      <c r="B3562" s="16" t="inlineStr">
        <is>
          <t>4.3</t>
        </is>
      </c>
      <c r="C3562" s="16" t="inlineStr">
        <is>
          <t>4.3 P_baja</t>
        </is>
      </c>
      <c r="D3562" s="16" t="inlineStr">
        <is>
          <t>ronda 0</t>
        </is>
      </c>
      <c r="E3562" s="16" t="inlineStr">
        <is>
          <t>KF-M09</t>
        </is>
      </c>
      <c r="F3562" s="16" t="inlineStr">
        <is>
          <t>KF-M09-R0-P_baja</t>
        </is>
      </c>
      <c r="G3562" s="16" t="inlineStr">
        <is>
          <t>B13-P_baja</t>
        </is>
      </c>
      <c r="H3562" s="16" t="inlineStr">
        <is>
          <t>lhs</t>
        </is>
      </c>
      <c r="I3562" s="16" t="inlineStr">
        <is>
          <t>CORREGIBLE</t>
        </is>
      </c>
      <c r="J3562" s="16" t="inlineStr">
        <is>
          <t>CORREGIBLE</t>
        </is>
      </c>
      <c r="K3562" s="16" t="b">
        <v>1</v>
      </c>
      <c r="L3562" s="16" t="b">
        <v>0</v>
      </c>
      <c r="M3562" s="16" t="b">
        <v>1</v>
      </c>
      <c r="N3562" s="16" t="b">
        <v>0</v>
      </c>
      <c r="O3562" s="16" t="n">
        <v>446.9369494966269</v>
      </c>
      <c r="P3562" s="16" t="n">
        <v>286.3622453800158</v>
      </c>
      <c r="Q3562" s="16" t="n">
        <v>4637.343978994388</v>
      </c>
      <c r="R3562" s="16" t="n">
        <v>400</v>
      </c>
      <c r="S3562" s="16" t="n">
        <v>0.6393935902720292</v>
      </c>
      <c r="T3562" s="16" t="n">
        <v>0.4832957680842596</v>
      </c>
      <c r="U3562" s="16" t="n">
        <v>0.5684069863317383</v>
      </c>
      <c r="V3562" s="16" t="n">
        <v>0.9427930087130167</v>
      </c>
      <c r="W3562" s="16" t="n">
        <v>0.7151323072063119</v>
      </c>
      <c r="X3562" s="16" t="n">
        <v>0.7435038190694392</v>
      </c>
      <c r="Y3562" s="16" t="n">
        <v>286.3622453800158</v>
      </c>
      <c r="Z3562" s="16" t="n">
        <v>5.478736713551839</v>
      </c>
      <c r="AA3562" s="16" t="n">
        <v>50.38947293986833</v>
      </c>
      <c r="AB3562" s="16" t="n">
        <v>4237.343978994388</v>
      </c>
      <c r="AC3562" s="16" t="n">
        <v>11.59335994748597</v>
      </c>
      <c r="AD3562" s="16" t="inlineStr">
        <is>
          <t>O2</t>
        </is>
      </c>
      <c r="AE3562" s="16" t="n"/>
    </row>
    <row r="3563">
      <c r="A3563" s="16" t="inlineStr">
        <is>
          <t>KF-M09-R0-P_baja-0049</t>
        </is>
      </c>
      <c r="B3563" s="16" t="inlineStr">
        <is>
          <t>4.3</t>
        </is>
      </c>
      <c r="C3563" s="16" t="inlineStr">
        <is>
          <t>4.3 P_baja</t>
        </is>
      </c>
      <c r="D3563" s="16" t="inlineStr">
        <is>
          <t>ronda 0</t>
        </is>
      </c>
      <c r="E3563" s="16" t="inlineStr">
        <is>
          <t>KF-M09</t>
        </is>
      </c>
      <c r="F3563" s="16" t="inlineStr">
        <is>
          <t>KF-M09-R0-P_baja</t>
        </is>
      </c>
      <c r="G3563" s="16" t="inlineStr">
        <is>
          <t>B13-P_baja</t>
        </is>
      </c>
      <c r="H3563" s="16" t="inlineStr">
        <is>
          <t>lhs</t>
        </is>
      </c>
      <c r="I3563" s="16" t="inlineStr">
        <is>
          <t>NO_CONVERGIO</t>
        </is>
      </c>
      <c r="J3563" s="16" t="inlineStr">
        <is>
          <t>NO_CONVERGIO</t>
        </is>
      </c>
      <c r="K3563" s="16" t="b">
        <v>0</v>
      </c>
      <c r="L3563" s="16" t="b">
        <v>0</v>
      </c>
      <c r="M3563" s="16" t="b">
        <v>0</v>
      </c>
      <c r="N3563" s="16" t="b">
        <v>0</v>
      </c>
      <c r="O3563" s="16" t="n">
        <v>488.7889534792589</v>
      </c>
      <c r="P3563" s="16" t="n">
        <v>283.9473584333426</v>
      </c>
      <c r="Q3563" s="16" t="n">
        <v>2508.342964634014</v>
      </c>
      <c r="R3563" s="16" t="n">
        <v>400</v>
      </c>
      <c r="S3563" s="16" t="n">
        <v>0.8378817876372266</v>
      </c>
      <c r="T3563" s="16" t="n">
        <v>0.6753746608035681</v>
      </c>
      <c r="U3563" s="16" t="n">
        <v>0.8979271161716992</v>
      </c>
      <c r="V3563" s="16" t="n">
        <v>0.8458062561567298</v>
      </c>
      <c r="W3563" s="16" t="n">
        <v>0.6907477864423386</v>
      </c>
      <c r="X3563" s="16" t="n">
        <v>0.5144050348708321</v>
      </c>
      <c r="Y3563" s="16" t="n">
        <v>283.9473584333426</v>
      </c>
      <c r="Z3563" s="16" t="n"/>
      <c r="AA3563" s="16" t="n"/>
      <c r="AB3563" s="16" t="n">
        <v>2108.342964634014</v>
      </c>
      <c r="AC3563" s="16" t="n">
        <v>6.270857411585036</v>
      </c>
      <c r="AD3563" s="16" t="n"/>
      <c r="AE3563" s="16" t="n"/>
    </row>
    <row r="3564">
      <c r="A3564" s="16" t="inlineStr">
        <is>
          <t>KF-M09-R0-P_baja-0050</t>
        </is>
      </c>
      <c r="B3564" s="16" t="inlineStr">
        <is>
          <t>4.3</t>
        </is>
      </c>
      <c r="C3564" s="16" t="inlineStr">
        <is>
          <t>4.3 P_baja</t>
        </is>
      </c>
      <c r="D3564" s="16" t="inlineStr">
        <is>
          <t>ronda 0</t>
        </is>
      </c>
      <c r="E3564" s="16" t="inlineStr">
        <is>
          <t>KF-M09</t>
        </is>
      </c>
      <c r="F3564" s="16" t="inlineStr">
        <is>
          <t>KF-M09-R0-P_baja</t>
        </is>
      </c>
      <c r="G3564" s="16" t="inlineStr">
        <is>
          <t>B13-P_baja</t>
        </is>
      </c>
      <c r="H3564" s="16" t="inlineStr">
        <is>
          <t>lhs</t>
        </is>
      </c>
      <c r="I3564" s="16" t="inlineStr">
        <is>
          <t>CORREGIBLE</t>
        </is>
      </c>
      <c r="J3564" s="16" t="inlineStr">
        <is>
          <t>CORREGIBLE</t>
        </is>
      </c>
      <c r="K3564" s="16" t="b">
        <v>1</v>
      </c>
      <c r="L3564" s="16" t="b">
        <v>0</v>
      </c>
      <c r="M3564" s="16" t="b">
        <v>1</v>
      </c>
      <c r="N3564" s="16" t="b">
        <v>0</v>
      </c>
      <c r="O3564" s="16" t="n">
        <v>477.911986612304</v>
      </c>
      <c r="P3564" s="16" t="n">
        <v>283.5823748471547</v>
      </c>
      <c r="Q3564" s="16" t="n">
        <v>3929.470435792604</v>
      </c>
      <c r="R3564" s="16" t="n">
        <v>400</v>
      </c>
      <c r="S3564" s="16" t="n">
        <v>0.6930100926864473</v>
      </c>
      <c r="T3564" s="16" t="n">
        <v>0.5770345817571184</v>
      </c>
      <c r="U3564" s="16" t="n">
        <v>0.4562060512628724</v>
      </c>
      <c r="V3564" s="16" t="n">
        <v>0.8527757284954079</v>
      </c>
      <c r="W3564" s="16" t="n">
        <v>0.5919886943102178</v>
      </c>
      <c r="X3564" s="16" t="n">
        <v>0.924050773848237</v>
      </c>
      <c r="Y3564" s="16" t="n">
        <v>283.5823748471547</v>
      </c>
      <c r="Z3564" s="16" t="n">
        <v>10.29742137331164</v>
      </c>
      <c r="AA3564" s="16" t="n">
        <v>171.9820670058033</v>
      </c>
      <c r="AB3564" s="16" t="n">
        <v>3529.470435792604</v>
      </c>
      <c r="AC3564" s="16" t="n">
        <v>9.823676089481509</v>
      </c>
      <c r="AD3564" s="16" t="inlineStr">
        <is>
          <t>O2</t>
        </is>
      </c>
      <c r="AE3564" s="16" t="n"/>
    </row>
    <row r="3565">
      <c r="A3565" s="16" t="inlineStr">
        <is>
          <t>KF-M09-R0-P_baja-0051</t>
        </is>
      </c>
      <c r="B3565" s="16" t="inlineStr">
        <is>
          <t>4.3</t>
        </is>
      </c>
      <c r="C3565" s="16" t="inlineStr">
        <is>
          <t>4.3 P_baja</t>
        </is>
      </c>
      <c r="D3565" s="16" t="inlineStr">
        <is>
          <t>ronda 0</t>
        </is>
      </c>
      <c r="E3565" s="16" t="inlineStr">
        <is>
          <t>KF-M09</t>
        </is>
      </c>
      <c r="F3565" s="16" t="inlineStr">
        <is>
          <t>KF-M09-R0-P_baja</t>
        </is>
      </c>
      <c r="G3565" s="16" t="inlineStr">
        <is>
          <t>B13-P_baja</t>
        </is>
      </c>
      <c r="H3565" s="16" t="inlineStr">
        <is>
          <t>lhs</t>
        </is>
      </c>
      <c r="I3565" s="16" t="inlineStr">
        <is>
          <t>CORREGIBLE</t>
        </is>
      </c>
      <c r="J3565" s="16" t="inlineStr">
        <is>
          <t>CORREGIBLE</t>
        </is>
      </c>
      <c r="K3565" s="16" t="b">
        <v>1</v>
      </c>
      <c r="L3565" s="16" t="b">
        <v>0</v>
      </c>
      <c r="M3565" s="16" t="b">
        <v>1</v>
      </c>
      <c r="N3565" s="16" t="b">
        <v>0</v>
      </c>
      <c r="O3565" s="16" t="n">
        <v>470.3193724083222</v>
      </c>
      <c r="P3565" s="16" t="n">
        <v>286.8672111036716</v>
      </c>
      <c r="Q3565" s="16" t="n">
        <v>2543.991158250607</v>
      </c>
      <c r="R3565" s="16" t="n">
        <v>400</v>
      </c>
      <c r="S3565" s="16" t="n">
        <v>0.5765039188453482</v>
      </c>
      <c r="T3565" s="16" t="n">
        <v>0.717202242253086</v>
      </c>
      <c r="U3565" s="16" t="n">
        <v>0.6760030999352482</v>
      </c>
      <c r="V3565" s="16" t="n">
        <v>0.9090043835588832</v>
      </c>
      <c r="W3565" s="16" t="n">
        <v>0.8084636732246219</v>
      </c>
      <c r="X3565" s="16" t="n">
        <v>0.8925571585867629</v>
      </c>
      <c r="Y3565" s="16" t="n">
        <v>286.8672111036716</v>
      </c>
      <c r="Z3565" s="16" t="n">
        <v>10.56834391114248</v>
      </c>
      <c r="AA3565" s="16" t="n">
        <v>198.4398179847007</v>
      </c>
      <c r="AB3565" s="16" t="n">
        <v>2143.991158250607</v>
      </c>
      <c r="AC3565" s="16" t="n">
        <v>6.359977895626518</v>
      </c>
      <c r="AD3565" s="16" t="inlineStr">
        <is>
          <t>O2</t>
        </is>
      </c>
      <c r="AE3565" s="16" t="n"/>
    </row>
    <row r="3566">
      <c r="A3566" s="16" t="inlineStr">
        <is>
          <t>KF-M09-R0-P_baja-0052</t>
        </is>
      </c>
      <c r="B3566" s="16" t="inlineStr">
        <is>
          <t>4.3</t>
        </is>
      </c>
      <c r="C3566" s="16" t="inlineStr">
        <is>
          <t>4.3 P_baja</t>
        </is>
      </c>
      <c r="D3566" s="16" t="inlineStr">
        <is>
          <t>ronda 0</t>
        </is>
      </c>
      <c r="E3566" s="16" t="inlineStr">
        <is>
          <t>KF-M09</t>
        </is>
      </c>
      <c r="F3566" s="16" t="inlineStr">
        <is>
          <t>KF-M09-R0-P_baja</t>
        </is>
      </c>
      <c r="G3566" s="16" t="inlineStr">
        <is>
          <t>B13-P_baja</t>
        </is>
      </c>
      <c r="H3566" s="16" t="inlineStr">
        <is>
          <t>lhs</t>
        </is>
      </c>
      <c r="I3566" s="16" t="inlineStr">
        <is>
          <t>CORREGIBLE</t>
        </is>
      </c>
      <c r="J3566" s="16" t="inlineStr">
        <is>
          <t>CORREGIBLE</t>
        </is>
      </c>
      <c r="K3566" s="16" t="b">
        <v>1</v>
      </c>
      <c r="L3566" s="16" t="b">
        <v>0</v>
      </c>
      <c r="M3566" s="16" t="b">
        <v>1</v>
      </c>
      <c r="N3566" s="16" t="b">
        <v>0</v>
      </c>
      <c r="O3566" s="16" t="n">
        <v>485.8380480778657</v>
      </c>
      <c r="P3566" s="16" t="n">
        <v>278.8603775975355</v>
      </c>
      <c r="Q3566" s="16" t="n">
        <v>3138.072665225484</v>
      </c>
      <c r="R3566" s="16" t="n">
        <v>400</v>
      </c>
      <c r="S3566" s="16" t="n">
        <v>0.5381094121623704</v>
      </c>
      <c r="T3566" s="16" t="n">
        <v>0.7559536263961912</v>
      </c>
      <c r="U3566" s="16" t="n">
        <v>0.563399033434022</v>
      </c>
      <c r="V3566" s="16" t="n">
        <v>0.7911566117714959</v>
      </c>
      <c r="W3566" s="16" t="n">
        <v>0.9224217014311054</v>
      </c>
      <c r="X3566" s="16" t="n">
        <v>0.5911757762257686</v>
      </c>
      <c r="Y3566" s="16" t="n">
        <v>278.8603775975355</v>
      </c>
      <c r="Z3566" s="16" t="n">
        <v>4.59858064156714</v>
      </c>
      <c r="AA3566" s="16" t="n">
        <v>52.79842325628255</v>
      </c>
      <c r="AB3566" s="16" t="n">
        <v>2738.072665225484</v>
      </c>
      <c r="AC3566" s="16" t="n">
        <v>7.84518166306371</v>
      </c>
      <c r="AD3566" s="16" t="inlineStr">
        <is>
          <t>O2</t>
        </is>
      </c>
      <c r="AE3566" s="16" t="n"/>
    </row>
    <row r="3567">
      <c r="A3567" s="16" t="inlineStr">
        <is>
          <t>KF-M09-R0-P_baja-0053</t>
        </is>
      </c>
      <c r="B3567" s="16" t="inlineStr">
        <is>
          <t>4.3</t>
        </is>
      </c>
      <c r="C3567" s="16" t="inlineStr">
        <is>
          <t>4.3 P_baja</t>
        </is>
      </c>
      <c r="D3567" s="16" t="inlineStr">
        <is>
          <t>ronda 0</t>
        </is>
      </c>
      <c r="E3567" s="16" t="inlineStr">
        <is>
          <t>KF-M09</t>
        </is>
      </c>
      <c r="F3567" s="16" t="inlineStr">
        <is>
          <t>KF-M09-R0-P_baja</t>
        </is>
      </c>
      <c r="G3567" s="16" t="inlineStr">
        <is>
          <t>B13-P_baja</t>
        </is>
      </c>
      <c r="H3567" s="16" t="inlineStr">
        <is>
          <t>lhs</t>
        </is>
      </c>
      <c r="I3567" s="16" t="inlineStr">
        <is>
          <t>INVIABLE</t>
        </is>
      </c>
      <c r="J3567" s="16" t="inlineStr">
        <is>
          <t>INVIABLE</t>
        </is>
      </c>
      <c r="K3567" s="16" t="b">
        <v>1</v>
      </c>
      <c r="L3567" s="16" t="b">
        <v>0</v>
      </c>
      <c r="M3567" s="16" t="b">
        <v>1</v>
      </c>
      <c r="N3567" s="16" t="b">
        <v>0</v>
      </c>
      <c r="O3567" s="16" t="n">
        <v>482.1102536616116</v>
      </c>
      <c r="P3567" s="16" t="n">
        <v>289.5806875189542</v>
      </c>
      <c r="Q3567" s="16" t="n">
        <v>4837.357759803681</v>
      </c>
      <c r="R3567" s="16" t="n">
        <v>400</v>
      </c>
      <c r="S3567" s="16" t="n">
        <v>0.7749574268855867</v>
      </c>
      <c r="T3567" s="16" t="n">
        <v>0.6095849445245956</v>
      </c>
      <c r="U3567" s="16" t="n">
        <v>0.7657914394436736</v>
      </c>
      <c r="V3567" s="16" t="n">
        <v>0.7608685261725274</v>
      </c>
      <c r="W3567" s="16" t="n">
        <v>0.5111526335290441</v>
      </c>
      <c r="X3567" s="16" t="n">
        <v>0.5996017577050122</v>
      </c>
      <c r="Y3567" s="16" t="n">
        <v>289.5806875189542</v>
      </c>
      <c r="Z3567" s="16" t="n">
        <v>-17.48833082277616</v>
      </c>
      <c r="AA3567" s="16" t="n">
        <v>-94.5574321977152</v>
      </c>
      <c r="AB3567" s="16" t="n">
        <v>4437.357759803681</v>
      </c>
      <c r="AC3567" s="16" t="n">
        <v>12.0933943995092</v>
      </c>
      <c r="AD3567" s="16" t="inlineStr">
        <is>
          <t>O2,O3</t>
        </is>
      </c>
      <c r="AE3567" s="16" t="n"/>
    </row>
    <row r="3568">
      <c r="A3568" s="16" t="inlineStr">
        <is>
          <t>KF-M09-R0-P_baja-0054</t>
        </is>
      </c>
      <c r="B3568" s="16" t="inlineStr">
        <is>
          <t>4.3</t>
        </is>
      </c>
      <c r="C3568" s="16" t="inlineStr">
        <is>
          <t>4.3 P_baja</t>
        </is>
      </c>
      <c r="D3568" s="16" t="inlineStr">
        <is>
          <t>ronda 0</t>
        </is>
      </c>
      <c r="E3568" s="16" t="inlineStr">
        <is>
          <t>KF-M09</t>
        </is>
      </c>
      <c r="F3568" s="16" t="inlineStr">
        <is>
          <t>KF-M09-R0-P_baja</t>
        </is>
      </c>
      <c r="G3568" s="16" t="inlineStr">
        <is>
          <t>B13-P_baja</t>
        </is>
      </c>
      <c r="H3568" s="16" t="inlineStr">
        <is>
          <t>lhs</t>
        </is>
      </c>
      <c r="I3568" s="16" t="inlineStr">
        <is>
          <t>NO_CONVERGIO</t>
        </is>
      </c>
      <c r="J3568" s="16" t="inlineStr">
        <is>
          <t>NO_CONVERGIO</t>
        </is>
      </c>
      <c r="K3568" s="16" t="b">
        <v>0</v>
      </c>
      <c r="L3568" s="16" t="b">
        <v>0</v>
      </c>
      <c r="M3568" s="16" t="b">
        <v>0</v>
      </c>
      <c r="N3568" s="16" t="b">
        <v>0</v>
      </c>
      <c r="O3568" s="16" t="n">
        <v>503.5412350533302</v>
      </c>
      <c r="P3568" s="16" t="n">
        <v>300.641924616352</v>
      </c>
      <c r="Q3568" s="16" t="n">
        <v>2036.666838602367</v>
      </c>
      <c r="R3568" s="16" t="n">
        <v>400</v>
      </c>
      <c r="S3568" s="16" t="n">
        <v>0.7907362531762626</v>
      </c>
      <c r="T3568" s="16" t="n">
        <v>0.8842411997463735</v>
      </c>
      <c r="U3568" s="16" t="n">
        <v>0.5393687769489878</v>
      </c>
      <c r="V3568" s="16" t="n">
        <v>0.6527278349691419</v>
      </c>
      <c r="W3568" s="16" t="n">
        <v>0.9004627509934814</v>
      </c>
      <c r="X3568" s="16" t="n">
        <v>0.6618957183573947</v>
      </c>
      <c r="Y3568" s="16" t="n">
        <v>300.641924616352</v>
      </c>
      <c r="Z3568" s="16" t="n"/>
      <c r="AA3568" s="16" t="n"/>
      <c r="AB3568" s="16" t="n">
        <v>1636.666838602367</v>
      </c>
      <c r="AC3568" s="16" t="n">
        <v>5.091667096505918</v>
      </c>
      <c r="AD3568" s="16" t="n"/>
      <c r="AE3568" s="16" t="n"/>
    </row>
    <row r="3569">
      <c r="A3569" s="16" t="inlineStr">
        <is>
          <t>KF-M09-R0-P_baja-0055</t>
        </is>
      </c>
      <c r="B3569" s="16" t="inlineStr">
        <is>
          <t>4.3</t>
        </is>
      </c>
      <c r="C3569" s="16" t="inlineStr">
        <is>
          <t>4.3 P_baja</t>
        </is>
      </c>
      <c r="D3569" s="16" t="inlineStr">
        <is>
          <t>ronda 0</t>
        </is>
      </c>
      <c r="E3569" s="16" t="inlineStr">
        <is>
          <t>KF-M09</t>
        </is>
      </c>
      <c r="F3569" s="16" t="inlineStr">
        <is>
          <t>KF-M09-R0-P_baja</t>
        </is>
      </c>
      <c r="G3569" s="16" t="inlineStr">
        <is>
          <t>B13-P_baja</t>
        </is>
      </c>
      <c r="H3569" s="16" t="inlineStr">
        <is>
          <t>lhs</t>
        </is>
      </c>
      <c r="I3569" s="16" t="inlineStr">
        <is>
          <t>CORREGIBLE</t>
        </is>
      </c>
      <c r="J3569" s="16" t="inlineStr">
        <is>
          <t>CORREGIBLE</t>
        </is>
      </c>
      <c r="K3569" s="16" t="b">
        <v>1</v>
      </c>
      <c r="L3569" s="16" t="b">
        <v>0</v>
      </c>
      <c r="M3569" s="16" t="b">
        <v>1</v>
      </c>
      <c r="N3569" s="16" t="b">
        <v>0</v>
      </c>
      <c r="O3569" s="16" t="n">
        <v>455.79239309095</v>
      </c>
      <c r="P3569" s="16" t="n">
        <v>280.3570015035872</v>
      </c>
      <c r="Q3569" s="16" t="n">
        <v>4070.061389824458</v>
      </c>
      <c r="R3569" s="16" t="n">
        <v>400</v>
      </c>
      <c r="S3569" s="16" t="n">
        <v>0.552006059103881</v>
      </c>
      <c r="T3569" s="16" t="n">
        <v>0.7072907970391954</v>
      </c>
      <c r="U3569" s="16" t="n">
        <v>0.5456241650102313</v>
      </c>
      <c r="V3569" s="16" t="n">
        <v>0.7514139442595333</v>
      </c>
      <c r="W3569" s="16" t="n">
        <v>0.5012790379767167</v>
      </c>
      <c r="X3569" s="16" t="n">
        <v>0.6711872759477693</v>
      </c>
      <c r="Y3569" s="16" t="n">
        <v>280.3570015035872</v>
      </c>
      <c r="Z3569" s="16" t="n">
        <v>8.606481490013069</v>
      </c>
      <c r="AA3569" s="16" t="n">
        <v>68.82854686289383</v>
      </c>
      <c r="AB3569" s="16" t="n">
        <v>3670.061389824458</v>
      </c>
      <c r="AC3569" s="16" t="n">
        <v>10.17515347456114</v>
      </c>
      <c r="AD3569" s="16" t="inlineStr">
        <is>
          <t>O2</t>
        </is>
      </c>
      <c r="AE3569" s="16" t="n"/>
    </row>
    <row r="3570">
      <c r="A3570" s="16" t="inlineStr">
        <is>
          <t>KF-M09-R0-P_baja-0056</t>
        </is>
      </c>
      <c r="B3570" s="16" t="inlineStr">
        <is>
          <t>4.3</t>
        </is>
      </c>
      <c r="C3570" s="16" t="inlineStr">
        <is>
          <t>4.3 P_baja</t>
        </is>
      </c>
      <c r="D3570" s="16" t="inlineStr">
        <is>
          <t>ronda 0</t>
        </is>
      </c>
      <c r="E3570" s="16" t="inlineStr">
        <is>
          <t>KF-M09</t>
        </is>
      </c>
      <c r="F3570" s="16" t="inlineStr">
        <is>
          <t>KF-M09-R0-P_baja</t>
        </is>
      </c>
      <c r="G3570" s="16" t="inlineStr">
        <is>
          <t>B13-P_baja</t>
        </is>
      </c>
      <c r="H3570" s="16" t="inlineStr">
        <is>
          <t>lhs</t>
        </is>
      </c>
      <c r="I3570" s="16" t="inlineStr">
        <is>
          <t>NO_CONVERGIO</t>
        </is>
      </c>
      <c r="J3570" s="16" t="inlineStr">
        <is>
          <t>NO_CONVERGIO</t>
        </is>
      </c>
      <c r="K3570" s="16" t="b">
        <v>0</v>
      </c>
      <c r="L3570" s="16" t="b">
        <v>0</v>
      </c>
      <c r="M3570" s="16" t="b">
        <v>0</v>
      </c>
      <c r="N3570" s="16" t="b">
        <v>0</v>
      </c>
      <c r="O3570" s="16" t="n">
        <v>394.381186932848</v>
      </c>
      <c r="P3570" s="16" t="n">
        <v>303.0308111029317</v>
      </c>
      <c r="Q3570" s="16" t="n">
        <v>4765.082102270693</v>
      </c>
      <c r="R3570" s="16" t="n">
        <v>400</v>
      </c>
      <c r="S3570" s="16" t="n">
        <v>0.7490278980727345</v>
      </c>
      <c r="T3570" s="16" t="n">
        <v>0.505861003791786</v>
      </c>
      <c r="U3570" s="16" t="n">
        <v>0.8912705167500192</v>
      </c>
      <c r="V3570" s="16" t="n">
        <v>0.5649593313283169</v>
      </c>
      <c r="W3570" s="16" t="n">
        <v>0.4246065612253588</v>
      </c>
      <c r="X3570" s="16" t="n">
        <v>0.7998925741544127</v>
      </c>
      <c r="Y3570" s="16" t="n">
        <v>303.0308111029317</v>
      </c>
      <c r="Z3570" s="16" t="n"/>
      <c r="AA3570" s="16" t="n"/>
      <c r="AB3570" s="16" t="n">
        <v>4365.082102270693</v>
      </c>
      <c r="AC3570" s="16" t="n">
        <v>11.91270525567673</v>
      </c>
      <c r="AD3570" s="16" t="n"/>
      <c r="AE3570" s="16" t="n"/>
    </row>
    <row r="3571">
      <c r="A3571" s="16" t="inlineStr">
        <is>
          <t>KF-M09-R0-P_baja-0057</t>
        </is>
      </c>
      <c r="B3571" s="16" t="inlineStr">
        <is>
          <t>4.3</t>
        </is>
      </c>
      <c r="C3571" s="16" t="inlineStr">
        <is>
          <t>4.3 P_baja</t>
        </is>
      </c>
      <c r="D3571" s="16" t="inlineStr">
        <is>
          <t>ronda 0</t>
        </is>
      </c>
      <c r="E3571" s="16" t="inlineStr">
        <is>
          <t>KF-M09</t>
        </is>
      </c>
      <c r="F3571" s="16" t="inlineStr">
        <is>
          <t>KF-M09-R0-P_baja</t>
        </is>
      </c>
      <c r="G3571" s="16" t="inlineStr">
        <is>
          <t>B13-P_baja</t>
        </is>
      </c>
      <c r="H3571" s="16" t="inlineStr">
        <is>
          <t>lhs</t>
        </is>
      </c>
      <c r="I3571" s="16" t="inlineStr">
        <is>
          <t>CORREGIBLE</t>
        </is>
      </c>
      <c r="J3571" s="16" t="inlineStr">
        <is>
          <t>CORREGIBLE</t>
        </is>
      </c>
      <c r="K3571" s="16" t="b">
        <v>1</v>
      </c>
      <c r="L3571" s="16" t="b">
        <v>0</v>
      </c>
      <c r="M3571" s="16" t="b">
        <v>1</v>
      </c>
      <c r="N3571" s="16" t="b">
        <v>0</v>
      </c>
      <c r="O3571" s="16" t="n">
        <v>517.9453059959426</v>
      </c>
      <c r="P3571" s="16" t="n">
        <v>293.297803304419</v>
      </c>
      <c r="Q3571" s="16" t="n">
        <v>2870.978869474199</v>
      </c>
      <c r="R3571" s="16" t="n">
        <v>400</v>
      </c>
      <c r="S3571" s="16" t="n">
        <v>0.5458764891902892</v>
      </c>
      <c r="T3571" s="16" t="n">
        <v>0.6854151469864536</v>
      </c>
      <c r="U3571" s="16" t="n">
        <v>0.7617167268658269</v>
      </c>
      <c r="V3571" s="16" t="n">
        <v>0.4560677026224946</v>
      </c>
      <c r="W3571" s="16" t="n">
        <v>0.5073446249333828</v>
      </c>
      <c r="X3571" s="16" t="n">
        <v>0.5508045024060789</v>
      </c>
      <c r="Y3571" s="16" t="n">
        <v>293.297803304419</v>
      </c>
      <c r="Z3571" s="16" t="n">
        <v>3.93973374274653</v>
      </c>
      <c r="AA3571" s="16" t="n">
        <v>30.31398449965039</v>
      </c>
      <c r="AB3571" s="16" t="n">
        <v>2470.978869474199</v>
      </c>
      <c r="AC3571" s="16" t="n">
        <v>7.177447173685497</v>
      </c>
      <c r="AD3571" s="16" t="inlineStr">
        <is>
          <t>O2</t>
        </is>
      </c>
      <c r="AE3571" s="16" t="n"/>
    </row>
    <row r="3572">
      <c r="A3572" s="16" t="inlineStr">
        <is>
          <t>KF-M09-R0-P_baja-0058</t>
        </is>
      </c>
      <c r="B3572" s="16" t="inlineStr">
        <is>
          <t>4.3</t>
        </is>
      </c>
      <c r="C3572" s="16" t="inlineStr">
        <is>
          <t>4.3 P_baja</t>
        </is>
      </c>
      <c r="D3572" s="16" t="inlineStr">
        <is>
          <t>ronda 0</t>
        </is>
      </c>
      <c r="E3572" s="16" t="inlineStr">
        <is>
          <t>KF-M09</t>
        </is>
      </c>
      <c r="F3572" s="16" t="inlineStr">
        <is>
          <t>KF-M09-R0-P_baja</t>
        </is>
      </c>
      <c r="G3572" s="16" t="inlineStr">
        <is>
          <t>B13-P_baja</t>
        </is>
      </c>
      <c r="H3572" s="16" t="inlineStr">
        <is>
          <t>lhs</t>
        </is>
      </c>
      <c r="I3572" s="16" t="inlineStr">
        <is>
          <t>NO_CONVERGIO</t>
        </is>
      </c>
      <c r="J3572" s="16" t="inlineStr">
        <is>
          <t>NO_CONVERGIO</t>
        </is>
      </c>
      <c r="K3572" s="16" t="b">
        <v>0</v>
      </c>
      <c r="L3572" s="16" t="b">
        <v>0</v>
      </c>
      <c r="M3572" s="16" t="b">
        <v>0</v>
      </c>
      <c r="N3572" s="16" t="b">
        <v>0</v>
      </c>
      <c r="O3572" s="16" t="n">
        <v>484.9822111396999</v>
      </c>
      <c r="P3572" s="16" t="n">
        <v>279.8788938154524</v>
      </c>
      <c r="Q3572" s="16" t="n">
        <v>2021.508121351221</v>
      </c>
      <c r="R3572" s="16" t="n">
        <v>400</v>
      </c>
      <c r="S3572" s="16" t="n">
        <v>0.8321495560111842</v>
      </c>
      <c r="T3572" s="16" t="n">
        <v>0.7632961074169256</v>
      </c>
      <c r="U3572" s="16" t="n">
        <v>0.6087033076346875</v>
      </c>
      <c r="V3572" s="16" t="n">
        <v>0.4457135225804997</v>
      </c>
      <c r="W3572" s="16" t="n">
        <v>0.8890518365472075</v>
      </c>
      <c r="X3572" s="16" t="n">
        <v>0.5011673353298788</v>
      </c>
      <c r="Y3572" s="16" t="n">
        <v>279.8788938154524</v>
      </c>
      <c r="Z3572" s="16" t="n"/>
      <c r="AA3572" s="16" t="n"/>
      <c r="AB3572" s="16" t="n">
        <v>1621.508121351221</v>
      </c>
      <c r="AC3572" s="16" t="n">
        <v>5.053770303378052</v>
      </c>
      <c r="AD3572" s="16" t="n"/>
      <c r="AE3572" s="16" t="n"/>
    </row>
    <row r="3573">
      <c r="A3573" s="16" t="inlineStr">
        <is>
          <t>KF-M09-R0-P_baja-0059</t>
        </is>
      </c>
      <c r="B3573" s="16" t="inlineStr">
        <is>
          <t>4.3</t>
        </is>
      </c>
      <c r="C3573" s="16" t="inlineStr">
        <is>
          <t>4.3 P_baja</t>
        </is>
      </c>
      <c r="D3573" s="16" t="inlineStr">
        <is>
          <t>ronda 0</t>
        </is>
      </c>
      <c r="E3573" s="16" t="inlineStr">
        <is>
          <t>KF-M09</t>
        </is>
      </c>
      <c r="F3573" s="16" t="inlineStr">
        <is>
          <t>KF-M09-R0-P_baja</t>
        </is>
      </c>
      <c r="G3573" s="16" t="inlineStr">
        <is>
          <t>B13-P_baja</t>
        </is>
      </c>
      <c r="H3573" s="16" t="inlineStr">
        <is>
          <t>lhs</t>
        </is>
      </c>
      <c r="I3573" s="16" t="inlineStr">
        <is>
          <t>INVIABLE</t>
        </is>
      </c>
      <c r="J3573" s="16" t="inlineStr">
        <is>
          <t>INVIABLE</t>
        </is>
      </c>
      <c r="K3573" s="16" t="b">
        <v>1</v>
      </c>
      <c r="L3573" s="16" t="b">
        <v>0</v>
      </c>
      <c r="M3573" s="16" t="b">
        <v>1</v>
      </c>
      <c r="N3573" s="16" t="b">
        <v>0</v>
      </c>
      <c r="O3573" s="16" t="n">
        <v>426.1506069068979</v>
      </c>
      <c r="P3573" s="16" t="n">
        <v>300.0015688670522</v>
      </c>
      <c r="Q3573" s="16" t="n">
        <v>3309.936725219627</v>
      </c>
      <c r="R3573" s="16" t="n">
        <v>400</v>
      </c>
      <c r="S3573" s="16" t="n">
        <v>0.7605268987870835</v>
      </c>
      <c r="T3573" s="16" t="n">
        <v>0.4640644447472568</v>
      </c>
      <c r="U3573" s="16" t="n">
        <v>0.7340504349865887</v>
      </c>
      <c r="V3573" s="16" t="n">
        <v>0.7690856214426774</v>
      </c>
      <c r="W3573" s="16" t="n">
        <v>0.600952530000779</v>
      </c>
      <c r="X3573" s="16" t="n">
        <v>0.4118790899866573</v>
      </c>
      <c r="Y3573" s="16" t="n">
        <v>300.0015688670522</v>
      </c>
      <c r="Z3573" s="16" t="n">
        <v>-275.9145335654297</v>
      </c>
      <c r="AA3573" s="16" t="n">
        <v>-210.9643637236944</v>
      </c>
      <c r="AB3573" s="16" t="n">
        <v>2909.936725219627</v>
      </c>
      <c r="AC3573" s="16" t="n">
        <v>8.274841813049068</v>
      </c>
      <c r="AD3573" s="16" t="inlineStr">
        <is>
          <t>O2,O3</t>
        </is>
      </c>
      <c r="AE3573" s="16" t="n"/>
    </row>
    <row r="3574">
      <c r="A3574" s="16" t="inlineStr">
        <is>
          <t>KF-M09-R0-P_baja-0060</t>
        </is>
      </c>
      <c r="B3574" s="16" t="inlineStr">
        <is>
          <t>4.3</t>
        </is>
      </c>
      <c r="C3574" s="16" t="inlineStr">
        <is>
          <t>4.3 P_baja</t>
        </is>
      </c>
      <c r="D3574" s="16" t="inlineStr">
        <is>
          <t>ronda 0</t>
        </is>
      </c>
      <c r="E3574" s="16" t="inlineStr">
        <is>
          <t>KF-M09</t>
        </is>
      </c>
      <c r="F3574" s="16" t="inlineStr">
        <is>
          <t>KF-M09-R0-P_baja</t>
        </is>
      </c>
      <c r="G3574" s="16" t="inlineStr">
        <is>
          <t>B13-P_baja</t>
        </is>
      </c>
      <c r="H3574" s="16" t="inlineStr">
        <is>
          <t>lhs</t>
        </is>
      </c>
      <c r="I3574" s="16" t="inlineStr">
        <is>
          <t>INVIABLE</t>
        </is>
      </c>
      <c r="J3574" s="16" t="inlineStr">
        <is>
          <t>INVIABLE</t>
        </is>
      </c>
      <c r="K3574" s="16" t="b">
        <v>1</v>
      </c>
      <c r="L3574" s="16" t="b">
        <v>0</v>
      </c>
      <c r="M3574" s="16" t="b">
        <v>0</v>
      </c>
      <c r="N3574" s="16" t="b">
        <v>0</v>
      </c>
      <c r="O3574" s="16" t="n">
        <v>419.1016301834545</v>
      </c>
      <c r="P3574" s="16" t="n">
        <v>285.2770938073702</v>
      </c>
      <c r="Q3574" s="16" t="n">
        <v>3636.733644068622</v>
      </c>
      <c r="R3574" s="16" t="n">
        <v>400</v>
      </c>
      <c r="S3574" s="16" t="n">
        <v>0.5925317753773581</v>
      </c>
      <c r="T3574" s="16" t="n">
        <v>0.4465910496727273</v>
      </c>
      <c r="U3574" s="16" t="n">
        <v>0.4075244841974122</v>
      </c>
      <c r="V3574" s="16" t="n">
        <v>0.8617857825910793</v>
      </c>
      <c r="W3574" s="16" t="n">
        <v>0.7288470937480188</v>
      </c>
      <c r="X3574" s="16" t="n">
        <v>0.63323178475265</v>
      </c>
      <c r="Y3574" s="16" t="n">
        <v>285.2770938073702</v>
      </c>
      <c r="Z3574" s="16" t="n">
        <v>-2.88520458405588</v>
      </c>
      <c r="AA3574" s="16" t="n">
        <v>-14.78561207701846</v>
      </c>
      <c r="AB3574" s="16" t="n">
        <v>3236.733644068622</v>
      </c>
      <c r="AC3574" s="16" t="n">
        <v>9.091834110171556</v>
      </c>
      <c r="AD3574" s="16" t="inlineStr">
        <is>
          <t>O2,O3</t>
        </is>
      </c>
      <c r="AE3574" s="16" t="n"/>
    </row>
    <row r="3575">
      <c r="A3575" s="16" t="inlineStr">
        <is>
          <t>KF-M09-R0-P_baja-0061</t>
        </is>
      </c>
      <c r="B3575" s="16" t="inlineStr">
        <is>
          <t>4.3</t>
        </is>
      </c>
      <c r="C3575" s="16" t="inlineStr">
        <is>
          <t>4.3 P_baja</t>
        </is>
      </c>
      <c r="D3575" s="16" t="inlineStr">
        <is>
          <t>ronda 0</t>
        </is>
      </c>
      <c r="E3575" s="16" t="inlineStr">
        <is>
          <t>KF-M09</t>
        </is>
      </c>
      <c r="F3575" s="16" t="inlineStr">
        <is>
          <t>KF-M09-R0-P_baja</t>
        </is>
      </c>
      <c r="G3575" s="16" t="inlineStr">
        <is>
          <t>B13-P_baja</t>
        </is>
      </c>
      <c r="H3575" s="16" t="inlineStr">
        <is>
          <t>lhs</t>
        </is>
      </c>
      <c r="I3575" s="16" t="inlineStr">
        <is>
          <t>INVIABLE</t>
        </is>
      </c>
      <c r="J3575" s="16" t="inlineStr">
        <is>
          <t>INVIABLE</t>
        </is>
      </c>
      <c r="K3575" s="16" t="b">
        <v>1</v>
      </c>
      <c r="L3575" s="16" t="b">
        <v>0</v>
      </c>
      <c r="M3575" s="16" t="b">
        <v>0</v>
      </c>
      <c r="N3575" s="16" t="b">
        <v>0</v>
      </c>
      <c r="O3575" s="16" t="n">
        <v>383.6658406237578</v>
      </c>
      <c r="P3575" s="16" t="n">
        <v>289.2396912067367</v>
      </c>
      <c r="Q3575" s="16" t="n">
        <v>3433.421605436529</v>
      </c>
      <c r="R3575" s="16" t="n">
        <v>400</v>
      </c>
      <c r="S3575" s="16" t="n">
        <v>0.7208433681470345</v>
      </c>
      <c r="T3575" s="16" t="n">
        <v>0.4149586494999728</v>
      </c>
      <c r="U3575" s="16" t="n">
        <v>0.6983840953003734</v>
      </c>
      <c r="V3575" s="16" t="n">
        <v>0.5317587952543991</v>
      </c>
      <c r="W3575" s="16" t="n">
        <v>0.6362123459455024</v>
      </c>
      <c r="X3575" s="16" t="n">
        <v>0.9368244776394056</v>
      </c>
      <c r="Y3575" s="16" t="n">
        <v>289.2396912067367</v>
      </c>
      <c r="Z3575" s="16" t="n">
        <v>-23.93494478322833</v>
      </c>
      <c r="AA3575" s="16" t="n">
        <v>-52.20873328429398</v>
      </c>
      <c r="AB3575" s="16" t="n">
        <v>3033.421605436529</v>
      </c>
      <c r="AC3575" s="16" t="n">
        <v>8.583554013591321</v>
      </c>
      <c r="AD3575" s="16" t="inlineStr">
        <is>
          <t>O2,O3</t>
        </is>
      </c>
      <c r="AE3575" s="16" t="n"/>
    </row>
    <row r="3576">
      <c r="A3576" s="16" t="inlineStr">
        <is>
          <t>KF-M09-R0-P_baja-0062</t>
        </is>
      </c>
      <c r="B3576" s="16" t="inlineStr">
        <is>
          <t>4.3</t>
        </is>
      </c>
      <c r="C3576" s="16" t="inlineStr">
        <is>
          <t>4.3 P_baja</t>
        </is>
      </c>
      <c r="D3576" s="16" t="inlineStr">
        <is>
          <t>ronda 0</t>
        </is>
      </c>
      <c r="E3576" s="16" t="inlineStr">
        <is>
          <t>KF-M09</t>
        </is>
      </c>
      <c r="F3576" s="16" t="inlineStr">
        <is>
          <t>KF-M09-R0-P_baja</t>
        </is>
      </c>
      <c r="G3576" s="16" t="inlineStr">
        <is>
          <t>B13-P_baja</t>
        </is>
      </c>
      <c r="H3576" s="16" t="inlineStr">
        <is>
          <t>lhs</t>
        </is>
      </c>
      <c r="I3576" s="16" t="inlineStr">
        <is>
          <t>INVIABLE</t>
        </is>
      </c>
      <c r="J3576" s="16" t="inlineStr">
        <is>
          <t>INVIABLE</t>
        </is>
      </c>
      <c r="K3576" s="16" t="b">
        <v>1</v>
      </c>
      <c r="L3576" s="16" t="b">
        <v>0</v>
      </c>
      <c r="M3576" s="16" t="b">
        <v>0</v>
      </c>
      <c r="N3576" s="16" t="b">
        <v>0</v>
      </c>
      <c r="O3576" s="16" t="n">
        <v>384.2226159193298</v>
      </c>
      <c r="P3576" s="16" t="n">
        <v>278.6161454128517</v>
      </c>
      <c r="Q3576" s="16" t="n">
        <v>2832.577281343034</v>
      </c>
      <c r="R3576" s="16" t="n">
        <v>400</v>
      </c>
      <c r="S3576" s="16" t="n">
        <v>0.8058889078249911</v>
      </c>
      <c r="T3576" s="16" t="n">
        <v>0.5951762633137541</v>
      </c>
      <c r="U3576" s="16" t="n">
        <v>0.4169399851529998</v>
      </c>
      <c r="V3576" s="16" t="n">
        <v>0.6825237518371244</v>
      </c>
      <c r="W3576" s="16" t="n">
        <v>0.9459468483850734</v>
      </c>
      <c r="X3576" s="16" t="n">
        <v>0.4591616873950245</v>
      </c>
      <c r="Y3576" s="16" t="n">
        <v>278.6161454128517</v>
      </c>
      <c r="Z3576" s="16" t="n">
        <v>-80.97852187017274</v>
      </c>
      <c r="AA3576" s="16" t="n">
        <v>-165.3064366508682</v>
      </c>
      <c r="AB3576" s="16" t="n">
        <v>2432.577281343034</v>
      </c>
      <c r="AC3576" s="16" t="n">
        <v>7.081443203357586</v>
      </c>
      <c r="AD3576" s="16" t="inlineStr">
        <is>
          <t>O2,O3</t>
        </is>
      </c>
      <c r="AE3576" s="16" t="n"/>
    </row>
    <row r="3577">
      <c r="A3577" s="16" t="inlineStr">
        <is>
          <t>KF-M09-R0-P_baja-0063</t>
        </is>
      </c>
      <c r="B3577" s="16" t="inlineStr">
        <is>
          <t>4.3</t>
        </is>
      </c>
      <c r="C3577" s="16" t="inlineStr">
        <is>
          <t>4.3 P_baja</t>
        </is>
      </c>
      <c r="D3577" s="16" t="inlineStr">
        <is>
          <t>ronda 0</t>
        </is>
      </c>
      <c r="E3577" s="16" t="inlineStr">
        <is>
          <t>KF-M09</t>
        </is>
      </c>
      <c r="F3577" s="16" t="inlineStr">
        <is>
          <t>KF-M09-R0-P_baja</t>
        </is>
      </c>
      <c r="G3577" s="16" t="inlineStr">
        <is>
          <t>B13-P_baja</t>
        </is>
      </c>
      <c r="H3577" s="16" t="inlineStr">
        <is>
          <t>lhs</t>
        </is>
      </c>
      <c r="I3577" s="16" t="inlineStr">
        <is>
          <t>INVIABLE</t>
        </is>
      </c>
      <c r="J3577" s="16" t="inlineStr">
        <is>
          <t>INVIABLE</t>
        </is>
      </c>
      <c r="K3577" s="16" t="b">
        <v>1</v>
      </c>
      <c r="L3577" s="16" t="b">
        <v>0</v>
      </c>
      <c r="M3577" s="16" t="b">
        <v>1</v>
      </c>
      <c r="N3577" s="16" t="b">
        <v>0</v>
      </c>
      <c r="O3577" s="16" t="n">
        <v>517.1603526902738</v>
      </c>
      <c r="P3577" s="16" t="n">
        <v>297.3241530387248</v>
      </c>
      <c r="Q3577" s="16" t="n">
        <v>3801.831214775442</v>
      </c>
      <c r="R3577" s="16" t="n">
        <v>400</v>
      </c>
      <c r="S3577" s="16" t="n">
        <v>0.6567115754430741</v>
      </c>
      <c r="T3577" s="16" t="n">
        <v>0.6389856559855525</v>
      </c>
      <c r="U3577" s="16" t="n">
        <v>0.600130673231307</v>
      </c>
      <c r="V3577" s="16" t="n">
        <v>0.4011382983229966</v>
      </c>
      <c r="W3577" s="16" t="n">
        <v>0.8903682646018868</v>
      </c>
      <c r="X3577" s="16" t="n">
        <v>0.4874884584997231</v>
      </c>
      <c r="Y3577" s="16" t="n">
        <v>297.3241530387248</v>
      </c>
      <c r="Z3577" s="16" t="n">
        <v>-32.82280843675787</v>
      </c>
      <c r="AA3577" s="16" t="n">
        <v>-135.2565536916156</v>
      </c>
      <c r="AB3577" s="16" t="n">
        <v>3401.831214775442</v>
      </c>
      <c r="AC3577" s="16" t="n">
        <v>9.504578036938604</v>
      </c>
      <c r="AD3577" s="16" t="inlineStr">
        <is>
          <t>O2,O3</t>
        </is>
      </c>
      <c r="AE3577" s="16" t="n"/>
    </row>
    <row r="3578">
      <c r="A3578" s="16" t="inlineStr">
        <is>
          <t>KF-M09-R0-P_baja-0064</t>
        </is>
      </c>
      <c r="B3578" s="16" t="inlineStr">
        <is>
          <t>4.3</t>
        </is>
      </c>
      <c r="C3578" s="16" t="inlineStr">
        <is>
          <t>4.3 P_baja</t>
        </is>
      </c>
      <c r="D3578" s="16" t="inlineStr">
        <is>
          <t>ronda 0</t>
        </is>
      </c>
      <c r="E3578" s="16" t="inlineStr">
        <is>
          <t>KF-M09</t>
        </is>
      </c>
      <c r="F3578" s="16" t="inlineStr">
        <is>
          <t>KF-M09-R0-P_baja</t>
        </is>
      </c>
      <c r="G3578" s="16" t="inlineStr">
        <is>
          <t>B13-P_baja</t>
        </is>
      </c>
      <c r="H3578" s="16" t="inlineStr">
        <is>
          <t>lhs</t>
        </is>
      </c>
      <c r="I3578" s="16" t="inlineStr">
        <is>
          <t>CORREGIBLE</t>
        </is>
      </c>
      <c r="J3578" s="16" t="inlineStr">
        <is>
          <t>CORREGIBLE</t>
        </is>
      </c>
      <c r="K3578" s="16" t="b">
        <v>1</v>
      </c>
      <c r="L3578" s="16" t="b">
        <v>0</v>
      </c>
      <c r="M3578" s="16" t="b">
        <v>0</v>
      </c>
      <c r="N3578" s="16" t="b">
        <v>0</v>
      </c>
      <c r="O3578" s="16" t="n">
        <v>461.4589769110414</v>
      </c>
      <c r="P3578" s="16" t="n">
        <v>278.9745515056785</v>
      </c>
      <c r="Q3578" s="16" t="n">
        <v>2708.443870728522</v>
      </c>
      <c r="R3578" s="16" t="n">
        <v>400</v>
      </c>
      <c r="S3578" s="16" t="n">
        <v>0.7956269448343976</v>
      </c>
      <c r="T3578" s="16" t="n">
        <v>0.4731585488489314</v>
      </c>
      <c r="U3578" s="16" t="n">
        <v>0.5220477772893289</v>
      </c>
      <c r="V3578" s="16" t="n">
        <v>0.7085727331901421</v>
      </c>
      <c r="W3578" s="16" t="n">
        <v>0.612335402986907</v>
      </c>
      <c r="X3578" s="16" t="n">
        <v>0.8146479446432948</v>
      </c>
      <c r="Y3578" s="16" t="n">
        <v>278.9745515056785</v>
      </c>
      <c r="Z3578" s="16" t="n">
        <v>1.34021280665896</v>
      </c>
      <c r="AA3578" s="16" t="n">
        <v>14.15750798231849</v>
      </c>
      <c r="AB3578" s="16" t="n">
        <v>2308.443870728522</v>
      </c>
      <c r="AC3578" s="16" t="n">
        <v>6.771109676821304</v>
      </c>
      <c r="AD3578" s="16" t="inlineStr">
        <is>
          <t>O2</t>
        </is>
      </c>
      <c r="AE3578" s="16" t="n"/>
    </row>
    <row r="3579">
      <c r="A3579" s="16" t="inlineStr">
        <is>
          <t>KF-M09-R0-P_baja-0065</t>
        </is>
      </c>
      <c r="B3579" s="16" t="inlineStr">
        <is>
          <t>4.3</t>
        </is>
      </c>
      <c r="C3579" s="16" t="inlineStr">
        <is>
          <t>4.3 P_baja</t>
        </is>
      </c>
      <c r="D3579" s="16" t="inlineStr">
        <is>
          <t>ronda 0</t>
        </is>
      </c>
      <c r="E3579" s="16" t="inlineStr">
        <is>
          <t>KF-M09</t>
        </is>
      </c>
      <c r="F3579" s="16" t="inlineStr">
        <is>
          <t>KF-M09-R0-P_baja</t>
        </is>
      </c>
      <c r="G3579" s="16" t="inlineStr">
        <is>
          <t>B13-P_baja</t>
        </is>
      </c>
      <c r="H3579" s="16" t="inlineStr">
        <is>
          <t>lhs</t>
        </is>
      </c>
      <c r="I3579" s="16" t="inlineStr">
        <is>
          <t>CORREGIBLE</t>
        </is>
      </c>
      <c r="J3579" s="16" t="inlineStr">
        <is>
          <t>CORREGIBLE</t>
        </is>
      </c>
      <c r="K3579" s="16" t="b">
        <v>1</v>
      </c>
      <c r="L3579" s="16" t="b">
        <v>0</v>
      </c>
      <c r="M3579" s="16" t="b">
        <v>1</v>
      </c>
      <c r="N3579" s="16" t="b">
        <v>0</v>
      </c>
      <c r="O3579" s="16" t="n">
        <v>495.9590644933638</v>
      </c>
      <c r="P3579" s="16" t="n">
        <v>292.4547874963621</v>
      </c>
      <c r="Q3579" s="16" t="n">
        <v>2109.440094638068</v>
      </c>
      <c r="R3579" s="16" t="n">
        <v>400</v>
      </c>
      <c r="S3579" s="16" t="n">
        <v>0.5423803120354258</v>
      </c>
      <c r="T3579" s="16" t="n">
        <v>0.8306663590331341</v>
      </c>
      <c r="U3579" s="16" t="n">
        <v>0.4819361276320286</v>
      </c>
      <c r="V3579" s="16" t="n">
        <v>0.8916634314731091</v>
      </c>
      <c r="W3579" s="16" t="n">
        <v>0.7044565412360511</v>
      </c>
      <c r="X3579" s="16" t="n">
        <v>0.5969382380327621</v>
      </c>
      <c r="Y3579" s="16" t="n">
        <v>292.4547874963621</v>
      </c>
      <c r="Z3579" s="16" t="n">
        <v>1.91205074744708</v>
      </c>
      <c r="AA3579" s="16" t="n">
        <v>23.56191904095093</v>
      </c>
      <c r="AB3579" s="16" t="n">
        <v>1709.440094638068</v>
      </c>
      <c r="AC3579" s="16" t="n">
        <v>5.273600236595169</v>
      </c>
      <c r="AD3579" s="16" t="inlineStr">
        <is>
          <t>O2</t>
        </is>
      </c>
      <c r="AE3579" s="16" t="n"/>
    </row>
    <row r="3580">
      <c r="A3580" s="16" t="inlineStr">
        <is>
          <t>KF-M09-R0-P_baja-0066</t>
        </is>
      </c>
      <c r="B3580" s="16" t="inlineStr">
        <is>
          <t>4.3</t>
        </is>
      </c>
      <c r="C3580" s="16" t="inlineStr">
        <is>
          <t>4.3 P_baja</t>
        </is>
      </c>
      <c r="D3580" s="16" t="inlineStr">
        <is>
          <t>ronda 0</t>
        </is>
      </c>
      <c r="E3580" s="16" t="inlineStr">
        <is>
          <t>KF-M09</t>
        </is>
      </c>
      <c r="F3580" s="16" t="inlineStr">
        <is>
          <t>KF-M09-R0-P_baja</t>
        </is>
      </c>
      <c r="G3580" s="16" t="inlineStr">
        <is>
          <t>B13-P_baja</t>
        </is>
      </c>
      <c r="H3580" s="16" t="inlineStr">
        <is>
          <t>lhs</t>
        </is>
      </c>
      <c r="I3580" s="16" t="inlineStr">
        <is>
          <t>CORREGIBLE</t>
        </is>
      </c>
      <c r="J3580" s="16" t="inlineStr">
        <is>
          <t>CORREGIBLE</t>
        </is>
      </c>
      <c r="K3580" s="16" t="b">
        <v>1</v>
      </c>
      <c r="L3580" s="16" t="b">
        <v>0</v>
      </c>
      <c r="M3580" s="16" t="b">
        <v>1</v>
      </c>
      <c r="N3580" s="16" t="b">
        <v>0</v>
      </c>
      <c r="O3580" s="16" t="n">
        <v>445.5903487276541</v>
      </c>
      <c r="P3580" s="16" t="n">
        <v>300.8127711160128</v>
      </c>
      <c r="Q3580" s="16" t="n">
        <v>3982.337466454122</v>
      </c>
      <c r="R3580" s="16" t="n">
        <v>400</v>
      </c>
      <c r="S3580" s="16" t="n">
        <v>0.5901784284741397</v>
      </c>
      <c r="T3580" s="16" t="n">
        <v>0.7927462587501863</v>
      </c>
      <c r="U3580" s="16" t="n">
        <v>0.7508131278691006</v>
      </c>
      <c r="V3580" s="16" t="n">
        <v>0.8835380245952651</v>
      </c>
      <c r="W3580" s="16" t="n">
        <v>0.7913960861246714</v>
      </c>
      <c r="X3580" s="16" t="n">
        <v>0.5662090202549421</v>
      </c>
      <c r="Y3580" s="16" t="n">
        <v>300.8127711160128</v>
      </c>
      <c r="Z3580" s="16" t="n">
        <v>3.4827115750642</v>
      </c>
      <c r="AA3580" s="16" t="n">
        <v>18.23737314591398</v>
      </c>
      <c r="AB3580" s="16" t="n">
        <v>3582.337466454122</v>
      </c>
      <c r="AC3580" s="16" t="n">
        <v>9.955843666135308</v>
      </c>
      <c r="AD3580" s="16" t="inlineStr">
        <is>
          <t>O2</t>
        </is>
      </c>
      <c r="AE3580" s="16" t="n"/>
    </row>
    <row r="3581">
      <c r="A3581" s="16" t="inlineStr">
        <is>
          <t>KF-M09-R0-P_baja-0067</t>
        </is>
      </c>
      <c r="B3581" s="16" t="inlineStr">
        <is>
          <t>4.3</t>
        </is>
      </c>
      <c r="C3581" s="16" t="inlineStr">
        <is>
          <t>4.3 P_baja</t>
        </is>
      </c>
      <c r="D3581" s="16" t="inlineStr">
        <is>
          <t>ronda 0</t>
        </is>
      </c>
      <c r="E3581" s="16" t="inlineStr">
        <is>
          <t>KF-M09</t>
        </is>
      </c>
      <c r="F3581" s="16" t="inlineStr">
        <is>
          <t>KF-M09-R0-P_baja</t>
        </is>
      </c>
      <c r="G3581" s="16" t="inlineStr">
        <is>
          <t>B13-P_baja</t>
        </is>
      </c>
      <c r="H3581" s="16" t="inlineStr">
        <is>
          <t>lhs</t>
        </is>
      </c>
      <c r="I3581" s="16" t="inlineStr">
        <is>
          <t>INVIABLE</t>
        </is>
      </c>
      <c r="J3581" s="16" t="inlineStr">
        <is>
          <t>INVIABLE</t>
        </is>
      </c>
      <c r="K3581" s="16" t="b">
        <v>1</v>
      </c>
      <c r="L3581" s="16" t="b">
        <v>0</v>
      </c>
      <c r="M3581" s="16" t="b">
        <v>0</v>
      </c>
      <c r="N3581" s="16" t="b">
        <v>0</v>
      </c>
      <c r="O3581" s="16" t="n">
        <v>433.2122061562321</v>
      </c>
      <c r="P3581" s="16" t="n">
        <v>285.7410799012608</v>
      </c>
      <c r="Q3581" s="16" t="n">
        <v>3501.503804078227</v>
      </c>
      <c r="R3581" s="16" t="n">
        <v>400</v>
      </c>
      <c r="S3581" s="16" t="n">
        <v>0.7524056193579705</v>
      </c>
      <c r="T3581" s="16" t="n">
        <v>0.4893650408663336</v>
      </c>
      <c r="U3581" s="16" t="n">
        <v>0.7141297574407621</v>
      </c>
      <c r="V3581" s="16" t="n">
        <v>0.6012181747585521</v>
      </c>
      <c r="W3581" s="16" t="n">
        <v>0.5204686582523937</v>
      </c>
      <c r="X3581" s="16" t="n">
        <v>0.6145800518839555</v>
      </c>
      <c r="Y3581" s="16" t="n">
        <v>285.7410799012608</v>
      </c>
      <c r="Z3581" s="16" t="n">
        <v>-18.90154058860491</v>
      </c>
      <c r="AA3581" s="16" t="n">
        <v>-83.32099796465398</v>
      </c>
      <c r="AB3581" s="16" t="n">
        <v>3101.503804078227</v>
      </c>
      <c r="AC3581" s="16" t="n">
        <v>8.753759510195568</v>
      </c>
      <c r="AD3581" s="16" t="inlineStr">
        <is>
          <t>O2,O3</t>
        </is>
      </c>
      <c r="AE3581" s="16" t="n"/>
    </row>
    <row r="3582">
      <c r="A3582" s="16" t="inlineStr">
        <is>
          <t>KF-M09-R0-P_baja-0068</t>
        </is>
      </c>
      <c r="B3582" s="16" t="inlineStr">
        <is>
          <t>4.3</t>
        </is>
      </c>
      <c r="C3582" s="16" t="inlineStr">
        <is>
          <t>4.3 P_baja</t>
        </is>
      </c>
      <c r="D3582" s="16" t="inlineStr">
        <is>
          <t>ronda 0</t>
        </is>
      </c>
      <c r="E3582" s="16" t="inlineStr">
        <is>
          <t>KF-M09</t>
        </is>
      </c>
      <c r="F3582" s="16" t="inlineStr">
        <is>
          <t>KF-M09-R0-P_baja</t>
        </is>
      </c>
      <c r="G3582" s="16" t="inlineStr">
        <is>
          <t>B13-P_baja</t>
        </is>
      </c>
      <c r="H3582" s="16" t="inlineStr">
        <is>
          <t>lhs</t>
        </is>
      </c>
      <c r="I3582" s="16" t="inlineStr">
        <is>
          <t>NO_CONVERGIO</t>
        </is>
      </c>
      <c r="J3582" s="16" t="inlineStr">
        <is>
          <t>NO_CONVERGIO</t>
        </is>
      </c>
      <c r="K3582" s="16" t="b">
        <v>0</v>
      </c>
      <c r="L3582" s="16" t="b">
        <v>0</v>
      </c>
      <c r="M3582" s="16" t="b">
        <v>0</v>
      </c>
      <c r="N3582" s="16" t="b">
        <v>0</v>
      </c>
      <c r="O3582" s="16" t="n">
        <v>519.3204535529295</v>
      </c>
      <c r="P3582" s="16" t="n">
        <v>299.5940694635852</v>
      </c>
      <c r="Q3582" s="16" t="n">
        <v>4378.326200045492</v>
      </c>
      <c r="R3582" s="16" t="n">
        <v>400</v>
      </c>
      <c r="S3582" s="16" t="n">
        <v>0.7885094357051001</v>
      </c>
      <c r="T3582" s="16" t="n">
        <v>0.9309808449970234</v>
      </c>
      <c r="U3582" s="16" t="n">
        <v>0.5102844727861247</v>
      </c>
      <c r="V3582" s="16" t="n">
        <v>0.94753350500198</v>
      </c>
      <c r="W3582" s="16" t="n">
        <v>0.4917645798366635</v>
      </c>
      <c r="X3582" s="16" t="n">
        <v>0.905468388947796</v>
      </c>
      <c r="Y3582" s="16" t="n">
        <v>299.5940694635852</v>
      </c>
      <c r="Z3582" s="16" t="n"/>
      <c r="AA3582" s="16" t="n"/>
      <c r="AB3582" s="16" t="n">
        <v>3978.326200045493</v>
      </c>
      <c r="AC3582" s="16" t="n">
        <v>10.94581550011373</v>
      </c>
      <c r="AD3582" s="16" t="n"/>
      <c r="AE3582" s="16" t="n"/>
    </row>
    <row r="3583">
      <c r="A3583" s="16" t="inlineStr">
        <is>
          <t>KF-M09-R0-P_baja-0069</t>
        </is>
      </c>
      <c r="B3583" s="16" t="inlineStr">
        <is>
          <t>4.3</t>
        </is>
      </c>
      <c r="C3583" s="16" t="inlineStr">
        <is>
          <t>4.3 P_baja</t>
        </is>
      </c>
      <c r="D3583" s="16" t="inlineStr">
        <is>
          <t>ronda 0</t>
        </is>
      </c>
      <c r="E3583" s="16" t="inlineStr">
        <is>
          <t>KF-M09</t>
        </is>
      </c>
      <c r="F3583" s="16" t="inlineStr">
        <is>
          <t>KF-M09-R0-P_baja</t>
        </is>
      </c>
      <c r="G3583" s="16" t="inlineStr">
        <is>
          <t>B13-P_baja</t>
        </is>
      </c>
      <c r="H3583" s="16" t="inlineStr">
        <is>
          <t>lhs</t>
        </is>
      </c>
      <c r="I3583" s="16" t="inlineStr">
        <is>
          <t>CORREGIBLE</t>
        </is>
      </c>
      <c r="J3583" s="16" t="inlineStr">
        <is>
          <t>CORREGIBLE</t>
        </is>
      </c>
      <c r="K3583" s="16" t="b">
        <v>1</v>
      </c>
      <c r="L3583" s="16" t="b">
        <v>0</v>
      </c>
      <c r="M3583" s="16" t="b">
        <v>1</v>
      </c>
      <c r="N3583" s="16" t="b">
        <v>0</v>
      </c>
      <c r="O3583" s="16" t="n">
        <v>469.2391544466771</v>
      </c>
      <c r="P3583" s="16" t="n">
        <v>279.5726564573799</v>
      </c>
      <c r="Q3583" s="16" t="n">
        <v>3238.745826256804</v>
      </c>
      <c r="R3583" s="16" t="n">
        <v>400</v>
      </c>
      <c r="S3583" s="16" t="n">
        <v>0.5019743324019631</v>
      </c>
      <c r="T3583" s="16" t="n">
        <v>0.5167130211272033</v>
      </c>
      <c r="U3583" s="16" t="n">
        <v>0.7954440875681017</v>
      </c>
      <c r="V3583" s="16" t="n">
        <v>0.7341035610468708</v>
      </c>
      <c r="W3583" s="16" t="n">
        <v>0.6962248891517194</v>
      </c>
      <c r="X3583" s="16" t="n">
        <v>0.7884808288728686</v>
      </c>
      <c r="Y3583" s="16" t="n">
        <v>279.5726564573799</v>
      </c>
      <c r="Z3583" s="16" t="n">
        <v>7.89479427732645</v>
      </c>
      <c r="AA3583" s="16" t="n">
        <v>97.30288690639824</v>
      </c>
      <c r="AB3583" s="16" t="n">
        <v>2838.745826256804</v>
      </c>
      <c r="AC3583" s="16" t="n">
        <v>8.096864565642012</v>
      </c>
      <c r="AD3583" s="16" t="inlineStr">
        <is>
          <t>O2</t>
        </is>
      </c>
      <c r="AE3583" s="16" t="n"/>
    </row>
    <row r="3584">
      <c r="A3584" s="16" t="inlineStr">
        <is>
          <t>KF-M09-R0-P_baja-0070</t>
        </is>
      </c>
      <c r="B3584" s="16" t="inlineStr">
        <is>
          <t>4.3</t>
        </is>
      </c>
      <c r="C3584" s="16" t="inlineStr">
        <is>
          <t>4.3 P_baja</t>
        </is>
      </c>
      <c r="D3584" s="16" t="inlineStr">
        <is>
          <t>ronda 0</t>
        </is>
      </c>
      <c r="E3584" s="16" t="inlineStr">
        <is>
          <t>KF-M09</t>
        </is>
      </c>
      <c r="F3584" s="16" t="inlineStr">
        <is>
          <t>KF-M09-R0-P_baja</t>
        </is>
      </c>
      <c r="G3584" s="16" t="inlineStr">
        <is>
          <t>B13-P_baja</t>
        </is>
      </c>
      <c r="H3584" s="16" t="inlineStr">
        <is>
          <t>lhs</t>
        </is>
      </c>
      <c r="I3584" s="16" t="inlineStr">
        <is>
          <t>INVIABLE</t>
        </is>
      </c>
      <c r="J3584" s="16" t="inlineStr">
        <is>
          <t>INVIABLE</t>
        </is>
      </c>
      <c r="K3584" s="16" t="b">
        <v>1</v>
      </c>
      <c r="L3584" s="16" t="b">
        <v>0</v>
      </c>
      <c r="M3584" s="16" t="b">
        <v>1</v>
      </c>
      <c r="N3584" s="16" t="b">
        <v>0</v>
      </c>
      <c r="O3584" s="16" t="n">
        <v>490.7472369273342</v>
      </c>
      <c r="P3584" s="16" t="n">
        <v>289.8364524922718</v>
      </c>
      <c r="Q3584" s="16" t="n">
        <v>2337.789555996227</v>
      </c>
      <c r="R3584" s="16" t="n">
        <v>400</v>
      </c>
      <c r="S3584" s="16" t="n">
        <v>0.7483627715401147</v>
      </c>
      <c r="T3584" s="16" t="n">
        <v>0.5512069303988275</v>
      </c>
      <c r="U3584" s="16" t="n">
        <v>0.753984984669531</v>
      </c>
      <c r="V3584" s="16" t="n">
        <v>0.8280883406696625</v>
      </c>
      <c r="W3584" s="16" t="n">
        <v>0.9064518036410828</v>
      </c>
      <c r="X3584" s="16" t="n">
        <v>0.7472970405505075</v>
      </c>
      <c r="Y3584" s="16" t="n">
        <v>289.8364524922718</v>
      </c>
      <c r="Z3584" s="16" t="n">
        <v>-2.14709330489118</v>
      </c>
      <c r="AA3584" s="16" t="n">
        <v>-20.63373079703828</v>
      </c>
      <c r="AB3584" s="16" t="n">
        <v>1937.789555996227</v>
      </c>
      <c r="AC3584" s="16" t="n">
        <v>5.844473889990566</v>
      </c>
      <c r="AD3584" s="16" t="inlineStr">
        <is>
          <t>O2,O3</t>
        </is>
      </c>
      <c r="AE3584" s="16" t="n"/>
    </row>
    <row r="3585">
      <c r="A3585" s="16" t="inlineStr">
        <is>
          <t>KF-M09-R0-P_baja-0071</t>
        </is>
      </c>
      <c r="B3585" s="16" t="inlineStr">
        <is>
          <t>4.3</t>
        </is>
      </c>
      <c r="C3585" s="16" t="inlineStr">
        <is>
          <t>4.3 P_baja</t>
        </is>
      </c>
      <c r="D3585" s="16" t="inlineStr">
        <is>
          <t>ronda 0</t>
        </is>
      </c>
      <c r="E3585" s="16" t="inlineStr">
        <is>
          <t>KF-M09</t>
        </is>
      </c>
      <c r="F3585" s="16" t="inlineStr">
        <is>
          <t>KF-M09-R0-P_baja</t>
        </is>
      </c>
      <c r="G3585" s="16" t="inlineStr">
        <is>
          <t>B13-P_baja</t>
        </is>
      </c>
      <c r="H3585" s="16" t="inlineStr">
        <is>
          <t>lhs</t>
        </is>
      </c>
      <c r="I3585" s="16" t="inlineStr">
        <is>
          <t>CORREGIBLE</t>
        </is>
      </c>
      <c r="J3585" s="16" t="inlineStr">
        <is>
          <t>CORREGIBLE</t>
        </is>
      </c>
      <c r="K3585" s="16" t="b">
        <v>1</v>
      </c>
      <c r="L3585" s="16" t="b">
        <v>0</v>
      </c>
      <c r="M3585" s="16" t="b">
        <v>1</v>
      </c>
      <c r="N3585" s="16" t="b">
        <v>0</v>
      </c>
      <c r="O3585" s="16" t="n">
        <v>502.5272407998486</v>
      </c>
      <c r="P3585" s="16" t="n">
        <v>290.6021987731476</v>
      </c>
      <c r="Q3585" s="16" t="n">
        <v>2678.40155321621</v>
      </c>
      <c r="R3585" s="16" t="n">
        <v>400</v>
      </c>
      <c r="S3585" s="16" t="n">
        <v>0.7802648800894454</v>
      </c>
      <c r="T3585" s="16" t="n">
        <v>0.9104231096058808</v>
      </c>
      <c r="U3585" s="16" t="n">
        <v>0.6617660033368199</v>
      </c>
      <c r="V3585" s="16" t="n">
        <v>0.677822230083427</v>
      </c>
      <c r="W3585" s="16" t="n">
        <v>0.4131997800903245</v>
      </c>
      <c r="X3585" s="16" t="n">
        <v>0.9118400631100608</v>
      </c>
      <c r="Y3585" s="16" t="n">
        <v>290.6021987731476</v>
      </c>
      <c r="Z3585" s="16" t="n">
        <v>8.12796106476492</v>
      </c>
      <c r="AA3585" s="16" t="n">
        <v>69.02029751176417</v>
      </c>
      <c r="AB3585" s="16" t="n">
        <v>2278.40155321621</v>
      </c>
      <c r="AC3585" s="16" t="n">
        <v>6.696003883040525</v>
      </c>
      <c r="AD3585" s="16" t="inlineStr">
        <is>
          <t>O2</t>
        </is>
      </c>
      <c r="AE3585" s="16" t="n"/>
    </row>
    <row r="3586">
      <c r="A3586" s="16" t="inlineStr">
        <is>
          <t>KF-M09-R0-P_baja-0072</t>
        </is>
      </c>
      <c r="B3586" s="16" t="inlineStr">
        <is>
          <t>4.3</t>
        </is>
      </c>
      <c r="C3586" s="16" t="inlineStr">
        <is>
          <t>4.3 P_baja</t>
        </is>
      </c>
      <c r="D3586" s="16" t="inlineStr">
        <is>
          <t>ronda 0</t>
        </is>
      </c>
      <c r="E3586" s="16" t="inlineStr">
        <is>
          <t>KF-M09</t>
        </is>
      </c>
      <c r="F3586" s="16" t="inlineStr">
        <is>
          <t>KF-M09-R0-P_baja</t>
        </is>
      </c>
      <c r="G3586" s="16" t="inlineStr">
        <is>
          <t>B13-P_baja</t>
        </is>
      </c>
      <c r="H3586" s="16" t="inlineStr">
        <is>
          <t>lhs</t>
        </is>
      </c>
      <c r="I3586" s="16" t="inlineStr">
        <is>
          <t>CORREGIBLE</t>
        </is>
      </c>
      <c r="J3586" s="16" t="inlineStr">
        <is>
          <t>CORREGIBLE</t>
        </is>
      </c>
      <c r="K3586" s="16" t="b">
        <v>1</v>
      </c>
      <c r="L3586" s="16" t="b">
        <v>0</v>
      </c>
      <c r="M3586" s="16" t="b">
        <v>1</v>
      </c>
      <c r="N3586" s="16" t="b">
        <v>0</v>
      </c>
      <c r="O3586" s="16" t="n">
        <v>439.566017732414</v>
      </c>
      <c r="P3586" s="16" t="n">
        <v>298.2774531590396</v>
      </c>
      <c r="Q3586" s="16" t="n">
        <v>3166.285068073262</v>
      </c>
      <c r="R3586" s="16" t="n">
        <v>400</v>
      </c>
      <c r="S3586" s="16" t="n">
        <v>0.5632541594961453</v>
      </c>
      <c r="T3586" s="16" t="n">
        <v>0.7827548017449502</v>
      </c>
      <c r="U3586" s="16" t="n">
        <v>0.6847284637897656</v>
      </c>
      <c r="V3586" s="16" t="n">
        <v>0.8329380518725322</v>
      </c>
      <c r="W3586" s="16" t="n">
        <v>0.8290978127131394</v>
      </c>
      <c r="X3586" s="16" t="n">
        <v>0.6461472200680819</v>
      </c>
      <c r="Y3586" s="16" t="n">
        <v>298.2774531590396</v>
      </c>
      <c r="Z3586" s="16" t="n">
        <v>8.152187883258421</v>
      </c>
      <c r="AA3586" s="16" t="n">
        <v>55.49952256058739</v>
      </c>
      <c r="AB3586" s="16" t="n">
        <v>2766.285068073262</v>
      </c>
      <c r="AC3586" s="16" t="n">
        <v>7.915712670183154</v>
      </c>
      <c r="AD3586" s="16" t="inlineStr">
        <is>
          <t>O2</t>
        </is>
      </c>
      <c r="AE3586" s="16" t="n"/>
    </row>
    <row r="3587">
      <c r="A3587" s="16" t="inlineStr">
        <is>
          <t>KF-M09-R0-P_baja-0073</t>
        </is>
      </c>
      <c r="B3587" s="16" t="inlineStr">
        <is>
          <t>4.3</t>
        </is>
      </c>
      <c r="C3587" s="16" t="inlineStr">
        <is>
          <t>4.3 P_baja</t>
        </is>
      </c>
      <c r="D3587" s="16" t="inlineStr">
        <is>
          <t>ronda 0</t>
        </is>
      </c>
      <c r="E3587" s="16" t="inlineStr">
        <is>
          <t>KF-M09</t>
        </is>
      </c>
      <c r="F3587" s="16" t="inlineStr">
        <is>
          <t>KF-M09-R0-P_baja</t>
        </is>
      </c>
      <c r="G3587" s="16" t="inlineStr">
        <is>
          <t>B13-P_baja</t>
        </is>
      </c>
      <c r="H3587" s="16" t="inlineStr">
        <is>
          <t>lhs</t>
        </is>
      </c>
      <c r="I3587" s="16" t="inlineStr">
        <is>
          <t>CORREGIBLE</t>
        </is>
      </c>
      <c r="J3587" s="16" t="inlineStr">
        <is>
          <t>CORREGIBLE</t>
        </is>
      </c>
      <c r="K3587" s="16" t="b">
        <v>1</v>
      </c>
      <c r="L3587" s="16" t="b">
        <v>0</v>
      </c>
      <c r="M3587" s="16" t="b">
        <v>1</v>
      </c>
      <c r="N3587" s="16" t="b">
        <v>0</v>
      </c>
      <c r="O3587" s="16" t="n">
        <v>437.5025249612047</v>
      </c>
      <c r="P3587" s="16" t="n">
        <v>282.9666627384342</v>
      </c>
      <c r="Q3587" s="16" t="n">
        <v>3324.942165385844</v>
      </c>
      <c r="R3587" s="16" t="n">
        <v>400</v>
      </c>
      <c r="S3587" s="16" t="n">
        <v>0.5842445699111787</v>
      </c>
      <c r="T3587" s="16" t="n">
        <v>0.5359857128161554</v>
      </c>
      <c r="U3587" s="16" t="n">
        <v>0.5551034396543604</v>
      </c>
      <c r="V3587" s="16" t="n">
        <v>0.8122190597103819</v>
      </c>
      <c r="W3587" s="16" t="n">
        <v>0.6150231309074345</v>
      </c>
      <c r="X3587" s="16" t="n">
        <v>0.8391320162472903</v>
      </c>
      <c r="Y3587" s="16" t="n">
        <v>282.9666627384342</v>
      </c>
      <c r="Z3587" s="16" t="n">
        <v>7.965840718143941</v>
      </c>
      <c r="AA3587" s="16" t="n">
        <v>70.72129121577619</v>
      </c>
      <c r="AB3587" s="16" t="n">
        <v>2924.942165385844</v>
      </c>
      <c r="AC3587" s="16" t="n">
        <v>8.312355413464608</v>
      </c>
      <c r="AD3587" s="16" t="inlineStr">
        <is>
          <t>O2</t>
        </is>
      </c>
      <c r="AE3587" s="16" t="n"/>
    </row>
    <row r="3588">
      <c r="A3588" s="16" t="inlineStr">
        <is>
          <t>KF-M09-R0-P_baja-0074</t>
        </is>
      </c>
      <c r="B3588" s="16" t="inlineStr">
        <is>
          <t>4.3</t>
        </is>
      </c>
      <c r="C3588" s="16" t="inlineStr">
        <is>
          <t>4.3 P_baja</t>
        </is>
      </c>
      <c r="D3588" s="16" t="inlineStr">
        <is>
          <t>ronda 0</t>
        </is>
      </c>
      <c r="E3588" s="16" t="inlineStr">
        <is>
          <t>KF-M09</t>
        </is>
      </c>
      <c r="F3588" s="16" t="inlineStr">
        <is>
          <t>KF-M09-R0-P_baja</t>
        </is>
      </c>
      <c r="G3588" s="16" t="inlineStr">
        <is>
          <t>B13-P_baja</t>
        </is>
      </c>
      <c r="H3588" s="16" t="inlineStr">
        <is>
          <t>lhs</t>
        </is>
      </c>
      <c r="I3588" s="16" t="inlineStr">
        <is>
          <t>CORREGIBLE</t>
        </is>
      </c>
      <c r="J3588" s="16" t="inlineStr">
        <is>
          <t>CORREGIBLE</t>
        </is>
      </c>
      <c r="K3588" s="16" t="b">
        <v>1</v>
      </c>
      <c r="L3588" s="16" t="b">
        <v>0</v>
      </c>
      <c r="M3588" s="16" t="b">
        <v>1</v>
      </c>
      <c r="N3588" s="16" t="b">
        <v>0</v>
      </c>
      <c r="O3588" s="16" t="n">
        <v>505.7372079746496</v>
      </c>
      <c r="P3588" s="16" t="n">
        <v>294.5071302847037</v>
      </c>
      <c r="Q3588" s="16" t="n">
        <v>2315.00337289045</v>
      </c>
      <c r="R3588" s="16" t="n">
        <v>400</v>
      </c>
      <c r="S3588" s="16" t="n">
        <v>0.7172508139608476</v>
      </c>
      <c r="T3588" s="16" t="n">
        <v>0.7210514318539287</v>
      </c>
      <c r="U3588" s="16" t="n">
        <v>0.8223312836012344</v>
      </c>
      <c r="V3588" s="16" t="n">
        <v>0.7373019977897965</v>
      </c>
      <c r="W3588" s="16" t="n">
        <v>0.4832007148090017</v>
      </c>
      <c r="X3588" s="16" t="n">
        <v>0.8833898702836753</v>
      </c>
      <c r="Y3588" s="16" t="n">
        <v>294.5071302847037</v>
      </c>
      <c r="Z3588" s="16" t="n">
        <v>6.831123910584711</v>
      </c>
      <c r="AA3588" s="16" t="n">
        <v>74.53780377232843</v>
      </c>
      <c r="AB3588" s="16" t="n">
        <v>1915.00337289045</v>
      </c>
      <c r="AC3588" s="16" t="n">
        <v>5.787508432226124</v>
      </c>
      <c r="AD3588" s="16" t="inlineStr">
        <is>
          <t>O2</t>
        </is>
      </c>
      <c r="AE3588" s="16" t="n"/>
    </row>
    <row r="3589">
      <c r="A3589" s="16" t="inlineStr">
        <is>
          <t>KF-M09-R0-P_baja-0075</t>
        </is>
      </c>
      <c r="B3589" s="16" t="inlineStr">
        <is>
          <t>4.3</t>
        </is>
      </c>
      <c r="C3589" s="16" t="inlineStr">
        <is>
          <t>4.3 P_baja</t>
        </is>
      </c>
      <c r="D3589" s="16" t="inlineStr">
        <is>
          <t>ronda 0</t>
        </is>
      </c>
      <c r="E3589" s="16" t="inlineStr">
        <is>
          <t>KF-M09</t>
        </is>
      </c>
      <c r="F3589" s="16" t="inlineStr">
        <is>
          <t>KF-M09-R0-P_baja</t>
        </is>
      </c>
      <c r="G3589" s="16" t="inlineStr">
        <is>
          <t>B13-P_baja</t>
        </is>
      </c>
      <c r="H3589" s="16" t="inlineStr">
        <is>
          <t>lhs</t>
        </is>
      </c>
      <c r="I3589" s="16" t="inlineStr">
        <is>
          <t>KALINA</t>
        </is>
      </c>
      <c r="J3589" s="16" t="inlineStr">
        <is>
          <t>KALINA</t>
        </is>
      </c>
      <c r="K3589" s="16" t="b">
        <v>1</v>
      </c>
      <c r="L3589" s="16" t="b">
        <v>1</v>
      </c>
      <c r="M3589" s="16" t="b">
        <v>0</v>
      </c>
      <c r="N3589" s="16" t="b">
        <v>0</v>
      </c>
      <c r="O3589" s="16" t="n">
        <v>395.6019404010781</v>
      </c>
      <c r="P3589" s="16" t="n">
        <v>280.7713506590472</v>
      </c>
      <c r="Q3589" s="16" t="n">
        <v>3657.201478148193</v>
      </c>
      <c r="R3589" s="16" t="n">
        <v>400</v>
      </c>
      <c r="S3589" s="16" t="n">
        <v>0.5998129045683009</v>
      </c>
      <c r="T3589" s="16" t="n">
        <v>0.6893903346928847</v>
      </c>
      <c r="U3589" s="16" t="n">
        <v>0.8115098008876684</v>
      </c>
      <c r="V3589" s="16" t="n">
        <v>0.6370577992777819</v>
      </c>
      <c r="W3589" s="16" t="n">
        <v>0.9233351842010916</v>
      </c>
      <c r="X3589" s="16" t="n">
        <v>0.9310121056139122</v>
      </c>
      <c r="Y3589" s="16" t="n">
        <v>280.7713506590472</v>
      </c>
      <c r="Z3589" s="16" t="n">
        <v>9.15293402174988</v>
      </c>
      <c r="AA3589" s="16" t="n">
        <v>20.44949909022403</v>
      </c>
      <c r="AB3589" s="16" t="n">
        <v>3257.201478148193</v>
      </c>
      <c r="AC3589" s="16" t="n">
        <v>9.143003695370483</v>
      </c>
      <c r="AD3589" s="16" t="n"/>
      <c r="AE3589" s="16" t="n"/>
    </row>
    <row r="3590">
      <c r="A3590" s="16" t="inlineStr">
        <is>
          <t>KF-M09-R0-P_baja-0076</t>
        </is>
      </c>
      <c r="B3590" s="16" t="inlineStr">
        <is>
          <t>4.3</t>
        </is>
      </c>
      <c r="C3590" s="16" t="inlineStr">
        <is>
          <t>4.3 P_baja</t>
        </is>
      </c>
      <c r="D3590" s="16" t="inlineStr">
        <is>
          <t>ronda 0</t>
        </is>
      </c>
      <c r="E3590" s="16" t="inlineStr">
        <is>
          <t>KF-M09</t>
        </is>
      </c>
      <c r="F3590" s="16" t="inlineStr">
        <is>
          <t>KF-M09-R0-P_baja</t>
        </is>
      </c>
      <c r="G3590" s="16" t="inlineStr">
        <is>
          <t>B13-P_baja</t>
        </is>
      </c>
      <c r="H3590" s="16" t="inlineStr">
        <is>
          <t>lhs</t>
        </is>
      </c>
      <c r="I3590" s="16" t="inlineStr">
        <is>
          <t>INVIABLE</t>
        </is>
      </c>
      <c r="J3590" s="16" t="inlineStr">
        <is>
          <t>INVIABLE</t>
        </is>
      </c>
      <c r="K3590" s="16" t="b">
        <v>1</v>
      </c>
      <c r="L3590" s="16" t="b">
        <v>0</v>
      </c>
      <c r="M3590" s="16" t="b">
        <v>0</v>
      </c>
      <c r="N3590" s="16" t="b">
        <v>0</v>
      </c>
      <c r="O3590" s="16" t="n">
        <v>389.2290515149247</v>
      </c>
      <c r="P3590" s="16" t="n">
        <v>286.1613247011535</v>
      </c>
      <c r="Q3590" s="16" t="n">
        <v>2902.467023130105</v>
      </c>
      <c r="R3590" s="16" t="n">
        <v>400</v>
      </c>
      <c r="S3590" s="16" t="n">
        <v>0.8138297538341923</v>
      </c>
      <c r="T3590" s="16" t="n">
        <v>0.6661199535306935</v>
      </c>
      <c r="U3590" s="16" t="n">
        <v>0.4901402169580823</v>
      </c>
      <c r="V3590" s="16" t="n">
        <v>0.4439360438506883</v>
      </c>
      <c r="W3590" s="16" t="n">
        <v>0.6595166638542646</v>
      </c>
      <c r="X3590" s="16" t="n">
        <v>0.6679473824793944</v>
      </c>
      <c r="Y3590" s="16" t="n">
        <v>286.1613247011535</v>
      </c>
      <c r="Z3590" s="16" t="n">
        <v>-218.1490808276986</v>
      </c>
      <c r="AA3590" s="16" t="n">
        <v>-183.7591653847257</v>
      </c>
      <c r="AB3590" s="16" t="n">
        <v>2502.467023130105</v>
      </c>
      <c r="AC3590" s="16" t="n">
        <v>7.256167557825262</v>
      </c>
      <c r="AD3590" s="16" t="inlineStr">
        <is>
          <t>O2,O3</t>
        </is>
      </c>
      <c r="AE3590" s="16" t="n"/>
    </row>
    <row r="3591">
      <c r="A3591" s="16" t="inlineStr">
        <is>
          <t>KF-M09-R0-P_baja-0077</t>
        </is>
      </c>
      <c r="B3591" s="16" t="inlineStr">
        <is>
          <t>4.3</t>
        </is>
      </c>
      <c r="C3591" s="16" t="inlineStr">
        <is>
          <t>4.3 P_baja</t>
        </is>
      </c>
      <c r="D3591" s="16" t="inlineStr">
        <is>
          <t>ronda 0</t>
        </is>
      </c>
      <c r="E3591" s="16" t="inlineStr">
        <is>
          <t>KF-M09</t>
        </is>
      </c>
      <c r="F3591" s="16" t="inlineStr">
        <is>
          <t>KF-M09-R0-P_baja</t>
        </is>
      </c>
      <c r="G3591" s="16" t="inlineStr">
        <is>
          <t>B13-P_baja</t>
        </is>
      </c>
      <c r="H3591" s="16" t="inlineStr">
        <is>
          <t>lhs</t>
        </is>
      </c>
      <c r="I3591" s="16" t="inlineStr">
        <is>
          <t>CORREGIBLE</t>
        </is>
      </c>
      <c r="J3591" s="16" t="inlineStr">
        <is>
          <t>CORREGIBLE</t>
        </is>
      </c>
      <c r="K3591" s="16" t="b">
        <v>1</v>
      </c>
      <c r="L3591" s="16" t="b">
        <v>0</v>
      </c>
      <c r="M3591" s="16" t="b">
        <v>1</v>
      </c>
      <c r="N3591" s="16" t="b">
        <v>0</v>
      </c>
      <c r="O3591" s="16" t="n">
        <v>453.1609483995065</v>
      </c>
      <c r="P3591" s="16" t="n">
        <v>292.7816587200919</v>
      </c>
      <c r="Q3591" s="16" t="n">
        <v>4287.956857770339</v>
      </c>
      <c r="R3591" s="16" t="n">
        <v>400</v>
      </c>
      <c r="S3591" s="16" t="n">
        <v>0.5617828387432158</v>
      </c>
      <c r="T3591" s="16" t="n">
        <v>0.7599963740879766</v>
      </c>
      <c r="U3591" s="16" t="n">
        <v>0.8395989423816244</v>
      </c>
      <c r="V3591" s="16" t="n">
        <v>0.7286044530850553</v>
      </c>
      <c r="W3591" s="16" t="n">
        <v>0.4707723264798664</v>
      </c>
      <c r="X3591" s="16" t="n">
        <v>0.6506930798876299</v>
      </c>
      <c r="Y3591" s="16" t="n">
        <v>292.7816587200919</v>
      </c>
      <c r="Z3591" s="16" t="n">
        <v>10.76273298561987</v>
      </c>
      <c r="AA3591" s="16" t="n">
        <v>76.04620902145503</v>
      </c>
      <c r="AB3591" s="16" t="n">
        <v>3887.956857770339</v>
      </c>
      <c r="AC3591" s="16" t="n">
        <v>10.71989214442585</v>
      </c>
      <c r="AD3591" s="16" t="inlineStr">
        <is>
          <t>O2</t>
        </is>
      </c>
      <c r="AE3591" s="16" t="n"/>
    </row>
    <row r="3592">
      <c r="A3592" s="16" t="inlineStr">
        <is>
          <t>KF-M09-R0-P_baja-0078</t>
        </is>
      </c>
      <c r="B3592" s="16" t="inlineStr">
        <is>
          <t>4.3</t>
        </is>
      </c>
      <c r="C3592" s="16" t="inlineStr">
        <is>
          <t>4.3 P_baja</t>
        </is>
      </c>
      <c r="D3592" s="16" t="inlineStr">
        <is>
          <t>ronda 0</t>
        </is>
      </c>
      <c r="E3592" s="16" t="inlineStr">
        <is>
          <t>KF-M09</t>
        </is>
      </c>
      <c r="F3592" s="16" t="inlineStr">
        <is>
          <t>KF-M09-R0-P_baja</t>
        </is>
      </c>
      <c r="G3592" s="16" t="inlineStr">
        <is>
          <t>B13-P_baja</t>
        </is>
      </c>
      <c r="H3592" s="16" t="inlineStr">
        <is>
          <t>lhs</t>
        </is>
      </c>
      <c r="I3592" s="16" t="inlineStr">
        <is>
          <t>CORREGIBLE</t>
        </is>
      </c>
      <c r="J3592" s="16" t="inlineStr">
        <is>
          <t>CORREGIBLE</t>
        </is>
      </c>
      <c r="K3592" s="16" t="b">
        <v>1</v>
      </c>
      <c r="L3592" s="16" t="b">
        <v>0</v>
      </c>
      <c r="M3592" s="16" t="b">
        <v>0</v>
      </c>
      <c r="N3592" s="16" t="b">
        <v>0</v>
      </c>
      <c r="O3592" s="16" t="n">
        <v>400.9489400659396</v>
      </c>
      <c r="P3592" s="16" t="n">
        <v>279.3019803893213</v>
      </c>
      <c r="Q3592" s="16" t="n">
        <v>3037.280989746257</v>
      </c>
      <c r="R3592" s="16" t="n">
        <v>400</v>
      </c>
      <c r="S3592" s="16" t="n">
        <v>0.634701216934429</v>
      </c>
      <c r="T3592" s="16" t="n">
        <v>0.6611616287145883</v>
      </c>
      <c r="U3592" s="16" t="n">
        <v>0.6358695757669721</v>
      </c>
      <c r="V3592" s="16" t="n">
        <v>0.4251256718983224</v>
      </c>
      <c r="W3592" s="16" t="n">
        <v>0.648677602244395</v>
      </c>
      <c r="X3592" s="16" t="n">
        <v>0.6058455695825204</v>
      </c>
      <c r="Y3592" s="16" t="n">
        <v>279.3019803893213</v>
      </c>
      <c r="Z3592" s="16" t="n">
        <v>4.67304181280373</v>
      </c>
      <c r="AA3592" s="16" t="n">
        <v>13.79324610324883</v>
      </c>
      <c r="AB3592" s="16" t="n">
        <v>2637.280989746257</v>
      </c>
      <c r="AC3592" s="16" t="n">
        <v>7.593202474365642</v>
      </c>
      <c r="AD3592" s="16" t="inlineStr">
        <is>
          <t>O2</t>
        </is>
      </c>
      <c r="AE3592" s="16" t="n"/>
    </row>
    <row r="3593">
      <c r="A3593" s="16" t="inlineStr">
        <is>
          <t>KF-M09-R0-P_baja-0079</t>
        </is>
      </c>
      <c r="B3593" s="16" t="inlineStr">
        <is>
          <t>4.3</t>
        </is>
      </c>
      <c r="C3593" s="16" t="inlineStr">
        <is>
          <t>4.3 P_baja</t>
        </is>
      </c>
      <c r="D3593" s="16" t="inlineStr">
        <is>
          <t>ronda 0</t>
        </is>
      </c>
      <c r="E3593" s="16" t="inlineStr">
        <is>
          <t>KF-M09</t>
        </is>
      </c>
      <c r="F3593" s="16" t="inlineStr">
        <is>
          <t>KF-M09-R0-P_baja</t>
        </is>
      </c>
      <c r="G3593" s="16" t="inlineStr">
        <is>
          <t>B13-P_baja</t>
        </is>
      </c>
      <c r="H3593" s="16" t="inlineStr">
        <is>
          <t>lhs</t>
        </is>
      </c>
      <c r="I3593" s="16" t="inlineStr">
        <is>
          <t>CORREGIBLE</t>
        </is>
      </c>
      <c r="J3593" s="16" t="inlineStr">
        <is>
          <t>CORREGIBLE</t>
        </is>
      </c>
      <c r="K3593" s="16" t="b">
        <v>1</v>
      </c>
      <c r="L3593" s="16" t="b">
        <v>0</v>
      </c>
      <c r="M3593" s="16" t="b">
        <v>1</v>
      </c>
      <c r="N3593" s="16" t="b">
        <v>0</v>
      </c>
      <c r="O3593" s="16" t="n">
        <v>472.6236337262688</v>
      </c>
      <c r="P3593" s="16" t="n">
        <v>290.4185220597938</v>
      </c>
      <c r="Q3593" s="16" t="n">
        <v>4205.236136171618</v>
      </c>
      <c r="R3593" s="16" t="n">
        <v>400</v>
      </c>
      <c r="S3593" s="16" t="n">
        <v>0.6810941420981863</v>
      </c>
      <c r="T3593" s="16" t="n">
        <v>0.8659834346697538</v>
      </c>
      <c r="U3593" s="16" t="n">
        <v>0.6561239401140051</v>
      </c>
      <c r="V3593" s="16" t="n">
        <v>0.6747187469196625</v>
      </c>
      <c r="W3593" s="16" t="n">
        <v>0.8154506045417427</v>
      </c>
      <c r="X3593" s="16" t="n">
        <v>0.5276932892556391</v>
      </c>
      <c r="Y3593" s="16" t="n">
        <v>290.4185220597938</v>
      </c>
      <c r="Z3593" s="16" t="n">
        <v>1.69573687781878</v>
      </c>
      <c r="AA3593" s="16" t="n">
        <v>11.35754392319598</v>
      </c>
      <c r="AB3593" s="16" t="n">
        <v>3805.236136171618</v>
      </c>
      <c r="AC3593" s="16" t="n">
        <v>10.51309034042905</v>
      </c>
      <c r="AD3593" s="16" t="inlineStr">
        <is>
          <t>O1,O2</t>
        </is>
      </c>
      <c r="AE3593" s="16" t="n"/>
    </row>
    <row r="3594">
      <c r="A3594" s="16" t="inlineStr">
        <is>
          <t>KF-M09-R0-P_baja-0080</t>
        </is>
      </c>
      <c r="B3594" s="16" t="inlineStr">
        <is>
          <t>4.3</t>
        </is>
      </c>
      <c r="C3594" s="16" t="inlineStr">
        <is>
          <t>4.3 P_baja</t>
        </is>
      </c>
      <c r="D3594" s="16" t="inlineStr">
        <is>
          <t>ronda 0</t>
        </is>
      </c>
      <c r="E3594" s="16" t="inlineStr">
        <is>
          <t>KF-M09</t>
        </is>
      </c>
      <c r="F3594" s="16" t="inlineStr">
        <is>
          <t>KF-M09-R0-P_baja</t>
        </is>
      </c>
      <c r="G3594" s="16" t="inlineStr">
        <is>
          <t>B13-P_baja</t>
        </is>
      </c>
      <c r="H3594" s="16" t="inlineStr">
        <is>
          <t>lhs</t>
        </is>
      </c>
      <c r="I3594" s="16" t="inlineStr">
        <is>
          <t>INVIABLE</t>
        </is>
      </c>
      <c r="J3594" s="16" t="inlineStr">
        <is>
          <t>INVIABLE</t>
        </is>
      </c>
      <c r="K3594" s="16" t="b">
        <v>1</v>
      </c>
      <c r="L3594" s="16" t="b">
        <v>0</v>
      </c>
      <c r="M3594" s="16" t="b">
        <v>0</v>
      </c>
      <c r="N3594" s="16" t="b">
        <v>0</v>
      </c>
      <c r="O3594" s="16" t="n">
        <v>410.1443222994502</v>
      </c>
      <c r="P3594" s="16" t="n">
        <v>295.0106335340959</v>
      </c>
      <c r="Q3594" s="16" t="n">
        <v>4939.89935096189</v>
      </c>
      <c r="R3594" s="16" t="n">
        <v>400</v>
      </c>
      <c r="S3594" s="16" t="n">
        <v>0.6446467571911494</v>
      </c>
      <c r="T3594" s="16" t="n">
        <v>0.6434158937765011</v>
      </c>
      <c r="U3594" s="16" t="n">
        <v>0.910351847620653</v>
      </c>
      <c r="V3594" s="16" t="n">
        <v>0.51535102834474</v>
      </c>
      <c r="W3594" s="16" t="n">
        <v>0.5532212830473278</v>
      </c>
      <c r="X3594" s="16" t="n">
        <v>0.4342273802401775</v>
      </c>
      <c r="Y3594" s="16" t="n">
        <v>295.0106335340959</v>
      </c>
      <c r="Z3594" s="16" t="n">
        <v>-43.39575302474253</v>
      </c>
      <c r="AA3594" s="16" t="n">
        <v>-56.7407322845156</v>
      </c>
      <c r="AB3594" s="16" t="n">
        <v>4539.89935096189</v>
      </c>
      <c r="AC3594" s="16" t="n">
        <v>12.34974837740473</v>
      </c>
      <c r="AD3594" s="16" t="inlineStr">
        <is>
          <t>O2,O3</t>
        </is>
      </c>
      <c r="AE3594" s="16" t="n"/>
    </row>
    <row r="3595">
      <c r="A3595" s="16" t="inlineStr">
        <is>
          <t>KF-M09-R0-P_baja-0081</t>
        </is>
      </c>
      <c r="B3595" s="16" t="inlineStr">
        <is>
          <t>4.3</t>
        </is>
      </c>
      <c r="C3595" s="16" t="inlineStr">
        <is>
          <t>4.3 P_baja</t>
        </is>
      </c>
      <c r="D3595" s="16" t="inlineStr">
        <is>
          <t>ronda 0</t>
        </is>
      </c>
      <c r="E3595" s="16" t="inlineStr">
        <is>
          <t>KF-M09</t>
        </is>
      </c>
      <c r="F3595" s="16" t="inlineStr">
        <is>
          <t>KF-M09-R0-P_baja</t>
        </is>
      </c>
      <c r="G3595" s="16" t="inlineStr">
        <is>
          <t>B13-P_baja</t>
        </is>
      </c>
      <c r="H3595" s="16" t="inlineStr">
        <is>
          <t>lhs</t>
        </is>
      </c>
      <c r="I3595" s="16" t="inlineStr">
        <is>
          <t>CORREGIBLE</t>
        </is>
      </c>
      <c r="J3595" s="16" t="inlineStr">
        <is>
          <t>CORREGIBLE</t>
        </is>
      </c>
      <c r="K3595" s="16" t="b">
        <v>1</v>
      </c>
      <c r="L3595" s="16" t="b">
        <v>0</v>
      </c>
      <c r="M3595" s="16" t="b">
        <v>1</v>
      </c>
      <c r="N3595" s="16" t="b">
        <v>0</v>
      </c>
      <c r="O3595" s="16" t="n">
        <v>508.0026078565663</v>
      </c>
      <c r="P3595" s="16" t="n">
        <v>290.2259273587503</v>
      </c>
      <c r="Q3595" s="16" t="n">
        <v>4651.257267488381</v>
      </c>
      <c r="R3595" s="16" t="n">
        <v>400</v>
      </c>
      <c r="S3595" s="16" t="n">
        <v>0.6427203952305451</v>
      </c>
      <c r="T3595" s="16" t="n">
        <v>0.6168207648944146</v>
      </c>
      <c r="U3595" s="16" t="n">
        <v>0.8445813962316506</v>
      </c>
      <c r="V3595" s="16" t="n">
        <v>0.4080844195718328</v>
      </c>
      <c r="W3595" s="16" t="n">
        <v>0.9313971352655094</v>
      </c>
      <c r="X3595" s="16" t="n">
        <v>0.8323941338041154</v>
      </c>
      <c r="Y3595" s="16" t="n">
        <v>290.2259273587503</v>
      </c>
      <c r="Z3595" s="16" t="n">
        <v>11.61598122010069</v>
      </c>
      <c r="AA3595" s="16" t="n">
        <v>85.27128057556119</v>
      </c>
      <c r="AB3595" s="16" t="n">
        <v>4251.257267488381</v>
      </c>
      <c r="AC3595" s="16" t="n">
        <v>11.62814316872095</v>
      </c>
      <c r="AD3595" s="16" t="inlineStr">
        <is>
          <t>O2</t>
        </is>
      </c>
      <c r="AE3595" s="16" t="n"/>
    </row>
    <row r="3596">
      <c r="A3596" s="16" t="inlineStr">
        <is>
          <t>KF-M09-R0-P_baja-0082</t>
        </is>
      </c>
      <c r="B3596" s="16" t="inlineStr">
        <is>
          <t>4.3</t>
        </is>
      </c>
      <c r="C3596" s="16" t="inlineStr">
        <is>
          <t>4.3 P_baja</t>
        </is>
      </c>
      <c r="D3596" s="16" t="inlineStr">
        <is>
          <t>ronda 0</t>
        </is>
      </c>
      <c r="E3596" s="16" t="inlineStr">
        <is>
          <t>KF-M09</t>
        </is>
      </c>
      <c r="F3596" s="16" t="inlineStr">
        <is>
          <t>KF-M09-R0-P_baja</t>
        </is>
      </c>
      <c r="G3596" s="16" t="inlineStr">
        <is>
          <t>B13-P_baja</t>
        </is>
      </c>
      <c r="H3596" s="16" t="inlineStr">
        <is>
          <t>lhs</t>
        </is>
      </c>
      <c r="I3596" s="16" t="inlineStr">
        <is>
          <t>CORREGIBLE</t>
        </is>
      </c>
      <c r="J3596" s="16" t="inlineStr">
        <is>
          <t>CORREGIBLE</t>
        </is>
      </c>
      <c r="K3596" s="16" t="b">
        <v>1</v>
      </c>
      <c r="L3596" s="16" t="b">
        <v>0</v>
      </c>
      <c r="M3596" s="16" t="b">
        <v>1</v>
      </c>
      <c r="N3596" s="16" t="b">
        <v>0</v>
      </c>
      <c r="O3596" s="16" t="n">
        <v>474.1756210009061</v>
      </c>
      <c r="P3596" s="16" t="n">
        <v>299.1509031134603</v>
      </c>
      <c r="Q3596" s="16" t="n">
        <v>3692.944217257623</v>
      </c>
      <c r="R3596" s="16" t="n">
        <v>400</v>
      </c>
      <c r="S3596" s="16" t="n">
        <v>0.5123837296905731</v>
      </c>
      <c r="T3596" s="16" t="n">
        <v>0.4209681832620941</v>
      </c>
      <c r="U3596" s="16" t="n">
        <v>0.4046920497690398</v>
      </c>
      <c r="V3596" s="16" t="n">
        <v>0.5489451595412315</v>
      </c>
      <c r="W3596" s="16" t="n">
        <v>0.4176517778177335</v>
      </c>
      <c r="X3596" s="16" t="n">
        <v>0.8602569154339457</v>
      </c>
      <c r="Y3596" s="16" t="n">
        <v>299.1509031134603</v>
      </c>
      <c r="Z3596" s="16" t="n">
        <v>4.76245831577298</v>
      </c>
      <c r="AA3596" s="16" t="n">
        <v>45.60530412426897</v>
      </c>
      <c r="AB3596" s="16" t="n">
        <v>3292.944217257623</v>
      </c>
      <c r="AC3596" s="16" t="n">
        <v>9.232360543144058</v>
      </c>
      <c r="AD3596" s="16" t="inlineStr">
        <is>
          <t>O2</t>
        </is>
      </c>
      <c r="AE3596" s="16" t="n"/>
    </row>
    <row r="3597">
      <c r="A3597" s="16" t="inlineStr">
        <is>
          <t>KF-M09-R0-P_baja-0083</t>
        </is>
      </c>
      <c r="B3597" s="16" t="inlineStr">
        <is>
          <t>4.3</t>
        </is>
      </c>
      <c r="C3597" s="16" t="inlineStr">
        <is>
          <t>4.3 P_baja</t>
        </is>
      </c>
      <c r="D3597" s="16" t="inlineStr">
        <is>
          <t>ronda 0</t>
        </is>
      </c>
      <c r="E3597" s="16" t="inlineStr">
        <is>
          <t>KF-M09</t>
        </is>
      </c>
      <c r="F3597" s="16" t="inlineStr">
        <is>
          <t>KF-M09-R0-P_baja</t>
        </is>
      </c>
      <c r="G3597" s="16" t="inlineStr">
        <is>
          <t>B13-P_baja</t>
        </is>
      </c>
      <c r="H3597" s="16" t="inlineStr">
        <is>
          <t>lhs</t>
        </is>
      </c>
      <c r="I3597" s="16" t="inlineStr">
        <is>
          <t>INVIABLE</t>
        </is>
      </c>
      <c r="J3597" s="16" t="inlineStr">
        <is>
          <t>INVIABLE</t>
        </is>
      </c>
      <c r="K3597" s="16" t="b">
        <v>1</v>
      </c>
      <c r="L3597" s="16" t="b">
        <v>0</v>
      </c>
      <c r="M3597" s="16" t="b">
        <v>0</v>
      </c>
      <c r="N3597" s="16" t="b">
        <v>0</v>
      </c>
      <c r="O3597" s="16" t="n">
        <v>421.2878878211433</v>
      </c>
      <c r="P3597" s="16" t="n">
        <v>298.6072748689439</v>
      </c>
      <c r="Q3597" s="16" t="n">
        <v>2659.951857474573</v>
      </c>
      <c r="R3597" s="16" t="n">
        <v>400</v>
      </c>
      <c r="S3597" s="16" t="n">
        <v>0.7696475429820872</v>
      </c>
      <c r="T3597" s="16" t="n">
        <v>0.8243152574374909</v>
      </c>
      <c r="U3597" s="16" t="n">
        <v>0.4867227619975024</v>
      </c>
      <c r="V3597" s="16" t="n">
        <v>0.4707911194976435</v>
      </c>
      <c r="W3597" s="16" t="n">
        <v>0.8732703081005087</v>
      </c>
      <c r="X3597" s="16" t="n">
        <v>0.6898682703186063</v>
      </c>
      <c r="Y3597" s="16" t="n">
        <v>298.6072748689439</v>
      </c>
      <c r="Z3597" s="16" t="n">
        <v>-85.64713650749114</v>
      </c>
      <c r="AA3597" s="16" t="n">
        <v>-159.2583772323698</v>
      </c>
      <c r="AB3597" s="16" t="n">
        <v>2259.951857474573</v>
      </c>
      <c r="AC3597" s="16" t="n">
        <v>6.649879643686432</v>
      </c>
      <c r="AD3597" s="16" t="inlineStr">
        <is>
          <t>O2,O3</t>
        </is>
      </c>
      <c r="AE3597" s="16" t="n"/>
    </row>
    <row r="3598">
      <c r="A3598" s="16" t="inlineStr">
        <is>
          <t>KF-M09-R0-P_baja-0084</t>
        </is>
      </c>
      <c r="B3598" s="16" t="inlineStr">
        <is>
          <t>4.3</t>
        </is>
      </c>
      <c r="C3598" s="16" t="inlineStr">
        <is>
          <t>4.3 P_baja</t>
        </is>
      </c>
      <c r="D3598" s="16" t="inlineStr">
        <is>
          <t>ronda 0</t>
        </is>
      </c>
      <c r="E3598" s="16" t="inlineStr">
        <is>
          <t>KF-M09</t>
        </is>
      </c>
      <c r="F3598" s="16" t="inlineStr">
        <is>
          <t>KF-M09-R0-P_baja</t>
        </is>
      </c>
      <c r="G3598" s="16" t="inlineStr">
        <is>
          <t>B13-P_baja</t>
        </is>
      </c>
      <c r="H3598" s="16" t="inlineStr">
        <is>
          <t>lhs</t>
        </is>
      </c>
      <c r="I3598" s="16" t="inlineStr">
        <is>
          <t>NO_CONVERGIO</t>
        </is>
      </c>
      <c r="J3598" s="16" t="inlineStr">
        <is>
          <t>NO_CONVERGIO</t>
        </is>
      </c>
      <c r="K3598" s="16" t="b">
        <v>0</v>
      </c>
      <c r="L3598" s="16" t="b">
        <v>0</v>
      </c>
      <c r="M3598" s="16" t="b">
        <v>0</v>
      </c>
      <c r="N3598" s="16" t="b">
        <v>0</v>
      </c>
      <c r="O3598" s="16" t="n">
        <v>459.6204271361721</v>
      </c>
      <c r="P3598" s="16" t="n">
        <v>281.9377842567118</v>
      </c>
      <c r="Q3598" s="16" t="n">
        <v>4064.44307867158</v>
      </c>
      <c r="R3598" s="16" t="n">
        <v>400</v>
      </c>
      <c r="S3598" s="16" t="n">
        <v>0.778207882796671</v>
      </c>
      <c r="T3598" s="16" t="n">
        <v>0.6086606202647525</v>
      </c>
      <c r="U3598" s="16" t="n">
        <v>0.6294196931971001</v>
      </c>
      <c r="V3598" s="16" t="n">
        <v>0.6899598187410633</v>
      </c>
      <c r="W3598" s="16" t="n">
        <v>0.4342594558828174</v>
      </c>
      <c r="X3598" s="16" t="n">
        <v>0.8677225181518615</v>
      </c>
      <c r="Y3598" s="16" t="n">
        <v>281.9377842567118</v>
      </c>
      <c r="Z3598" s="16" t="n"/>
      <c r="AA3598" s="16" t="n"/>
      <c r="AB3598" s="16" t="n">
        <v>3664.44307867158</v>
      </c>
      <c r="AC3598" s="16" t="n">
        <v>10.16110769667895</v>
      </c>
      <c r="AD3598" s="16" t="n"/>
      <c r="AE3598" s="16" t="n"/>
    </row>
    <row r="3599">
      <c r="A3599" s="16" t="inlineStr">
        <is>
          <t>KF-M09-R0-P_baja-0085</t>
        </is>
      </c>
      <c r="B3599" s="16" t="inlineStr">
        <is>
          <t>4.3</t>
        </is>
      </c>
      <c r="C3599" s="16" t="inlineStr">
        <is>
          <t>4.3 P_baja</t>
        </is>
      </c>
      <c r="D3599" s="16" t="inlineStr">
        <is>
          <t>ronda 0</t>
        </is>
      </c>
      <c r="E3599" s="16" t="inlineStr">
        <is>
          <t>KF-M09</t>
        </is>
      </c>
      <c r="F3599" s="16" t="inlineStr">
        <is>
          <t>KF-M09-R0-P_baja</t>
        </is>
      </c>
      <c r="G3599" s="16" t="inlineStr">
        <is>
          <t>B13-P_baja</t>
        </is>
      </c>
      <c r="H3599" s="16" t="inlineStr">
        <is>
          <t>lhs</t>
        </is>
      </c>
      <c r="I3599" s="16" t="inlineStr">
        <is>
          <t>CORREGIBLE</t>
        </is>
      </c>
      <c r="J3599" s="16" t="inlineStr">
        <is>
          <t>CORREGIBLE</t>
        </is>
      </c>
      <c r="K3599" s="16" t="b">
        <v>1</v>
      </c>
      <c r="L3599" s="16" t="b">
        <v>0</v>
      </c>
      <c r="M3599" s="16" t="b">
        <v>0</v>
      </c>
      <c r="N3599" s="16" t="b">
        <v>0</v>
      </c>
      <c r="O3599" s="16" t="n">
        <v>429.6167491632314</v>
      </c>
      <c r="P3599" s="16" t="n">
        <v>281.1563540170793</v>
      </c>
      <c r="Q3599" s="16" t="n">
        <v>2070.80465455432</v>
      </c>
      <c r="R3599" s="16" t="n">
        <v>400</v>
      </c>
      <c r="S3599" s="16" t="n">
        <v>0.7425623714062228</v>
      </c>
      <c r="T3599" s="16" t="n">
        <v>0.4420957389296709</v>
      </c>
      <c r="U3599" s="16" t="n">
        <v>0.7698770524050468</v>
      </c>
      <c r="V3599" s="16" t="n">
        <v>0.6630777378372044</v>
      </c>
      <c r="W3599" s="16" t="n">
        <v>0.5607821003803138</v>
      </c>
      <c r="X3599" s="16" t="n">
        <v>0.7401662250604366</v>
      </c>
      <c r="Y3599" s="16" t="n">
        <v>281.1563540170793</v>
      </c>
      <c r="Z3599" s="16" t="n">
        <v>2.23605643562667</v>
      </c>
      <c r="AA3599" s="16" t="n">
        <v>21.92834143665873</v>
      </c>
      <c r="AB3599" s="16" t="n">
        <v>1670.80465455432</v>
      </c>
      <c r="AC3599" s="16" t="n">
        <v>5.177011636385799</v>
      </c>
      <c r="AD3599" s="16" t="inlineStr">
        <is>
          <t>O2</t>
        </is>
      </c>
      <c r="AE3599" s="16" t="n"/>
    </row>
    <row r="3600">
      <c r="A3600" s="16" t="inlineStr">
        <is>
          <t>KF-M09-R0-P_baja-0086</t>
        </is>
      </c>
      <c r="B3600" s="16" t="inlineStr">
        <is>
          <t>4.3</t>
        </is>
      </c>
      <c r="C3600" s="16" t="inlineStr">
        <is>
          <t>4.3 P_baja</t>
        </is>
      </c>
      <c r="D3600" s="16" t="inlineStr">
        <is>
          <t>ronda 0</t>
        </is>
      </c>
      <c r="E3600" s="16" t="inlineStr">
        <is>
          <t>KF-M09</t>
        </is>
      </c>
      <c r="F3600" s="16" t="inlineStr">
        <is>
          <t>KF-M09-R0-P_baja</t>
        </is>
      </c>
      <c r="G3600" s="16" t="inlineStr">
        <is>
          <t>B13-P_baja</t>
        </is>
      </c>
      <c r="H3600" s="16" t="inlineStr">
        <is>
          <t>lhs</t>
        </is>
      </c>
      <c r="I3600" s="16" t="inlineStr">
        <is>
          <t>NO_CONVERGIO</t>
        </is>
      </c>
      <c r="J3600" s="16" t="inlineStr">
        <is>
          <t>NO_CONVERGIO</t>
        </is>
      </c>
      <c r="K3600" s="16" t="b">
        <v>0</v>
      </c>
      <c r="L3600" s="16" t="b">
        <v>0</v>
      </c>
      <c r="M3600" s="16" t="b">
        <v>0</v>
      </c>
      <c r="N3600" s="16" t="b">
        <v>0</v>
      </c>
      <c r="O3600" s="16" t="n">
        <v>416.6295865040372</v>
      </c>
      <c r="P3600" s="16" t="n">
        <v>303.3802561148677</v>
      </c>
      <c r="Q3600" s="16" t="n">
        <v>4125.872100476126</v>
      </c>
      <c r="R3600" s="16" t="n">
        <v>400</v>
      </c>
      <c r="S3600" s="16" t="n">
        <v>0.730846217845567</v>
      </c>
      <c r="T3600" s="16" t="n">
        <v>0.6481952091170091</v>
      </c>
      <c r="U3600" s="16" t="n">
        <v>0.4717162583333028</v>
      </c>
      <c r="V3600" s="16" t="n">
        <v>0.4830095319848274</v>
      </c>
      <c r="W3600" s="16" t="n">
        <v>0.7474876141082758</v>
      </c>
      <c r="X3600" s="16" t="n">
        <v>0.5398285117007109</v>
      </c>
      <c r="Y3600" s="16" t="n">
        <v>303.3802561148677</v>
      </c>
      <c r="Z3600" s="16" t="n"/>
      <c r="AA3600" s="16" t="n"/>
      <c r="AB3600" s="16" t="n">
        <v>3725.872100476126</v>
      </c>
      <c r="AC3600" s="16" t="n">
        <v>10.31468025119032</v>
      </c>
      <c r="AD3600" s="16" t="n"/>
      <c r="AE3600" s="16" t="n"/>
    </row>
    <row r="3601">
      <c r="A3601" s="16" t="inlineStr">
        <is>
          <t>KF-M09-R0-P_baja-0087</t>
        </is>
      </c>
      <c r="B3601" s="16" t="inlineStr">
        <is>
          <t>4.3</t>
        </is>
      </c>
      <c r="C3601" s="16" t="inlineStr">
        <is>
          <t>4.3 P_baja</t>
        </is>
      </c>
      <c r="D3601" s="16" t="inlineStr">
        <is>
          <t>ronda 0</t>
        </is>
      </c>
      <c r="E3601" s="16" t="inlineStr">
        <is>
          <t>KF-M09</t>
        </is>
      </c>
      <c r="F3601" s="16" t="inlineStr">
        <is>
          <t>KF-M09-R0-P_baja</t>
        </is>
      </c>
      <c r="G3601" s="16" t="inlineStr">
        <is>
          <t>B13-P_baja</t>
        </is>
      </c>
      <c r="H3601" s="16" t="inlineStr">
        <is>
          <t>lhs</t>
        </is>
      </c>
      <c r="I3601" s="16" t="inlineStr">
        <is>
          <t>CORREGIBLE</t>
        </is>
      </c>
      <c r="J3601" s="16" t="inlineStr">
        <is>
          <t>CORREGIBLE</t>
        </is>
      </c>
      <c r="K3601" s="16" t="b">
        <v>1</v>
      </c>
      <c r="L3601" s="16" t="b">
        <v>0</v>
      </c>
      <c r="M3601" s="16" t="b">
        <v>1</v>
      </c>
      <c r="N3601" s="16" t="b">
        <v>0</v>
      </c>
      <c r="O3601" s="16" t="n">
        <v>512.6610360456054</v>
      </c>
      <c r="P3601" s="16" t="n">
        <v>295.9600204503582</v>
      </c>
      <c r="Q3601" s="16" t="n">
        <v>4435.445399157908</v>
      </c>
      <c r="R3601" s="16" t="n">
        <v>400</v>
      </c>
      <c r="S3601" s="16" t="n">
        <v>0.5528599852735943</v>
      </c>
      <c r="T3601" s="16" t="n">
        <v>0.5150725994089824</v>
      </c>
      <c r="U3601" s="16" t="n">
        <v>0.8478426886821004</v>
      </c>
      <c r="V3601" s="16" t="n">
        <v>0.5724750129641506</v>
      </c>
      <c r="W3601" s="16" t="n">
        <v>0.6410239695046581</v>
      </c>
      <c r="X3601" s="16" t="n">
        <v>0.5560646976663319</v>
      </c>
      <c r="Y3601" s="16" t="n">
        <v>295.9600204503582</v>
      </c>
      <c r="Z3601" s="16" t="n">
        <v>0.5621948830384199</v>
      </c>
      <c r="AA3601" s="16" t="n">
        <v>4.812260960317587</v>
      </c>
      <c r="AB3601" s="16" t="n">
        <v>4035.445399157909</v>
      </c>
      <c r="AC3601" s="16" t="n">
        <v>11.08861349789477</v>
      </c>
      <c r="AD3601" s="16" t="inlineStr">
        <is>
          <t>O2</t>
        </is>
      </c>
      <c r="AE3601" s="16" t="n"/>
    </row>
    <row r="3602">
      <c r="A3602" s="16" t="inlineStr">
        <is>
          <t>KF-M09-R0-P_baja-0088</t>
        </is>
      </c>
      <c r="B3602" s="16" t="inlineStr">
        <is>
          <t>4.3</t>
        </is>
      </c>
      <c r="C3602" s="16" t="inlineStr">
        <is>
          <t>4.3 P_baja</t>
        </is>
      </c>
      <c r="D3602" s="16" t="inlineStr">
        <is>
          <t>ronda 0</t>
        </is>
      </c>
      <c r="E3602" s="16" t="inlineStr">
        <is>
          <t>KF-M09</t>
        </is>
      </c>
      <c r="F3602" s="16" t="inlineStr">
        <is>
          <t>KF-M09-R0-P_baja</t>
        </is>
      </c>
      <c r="G3602" s="16" t="inlineStr">
        <is>
          <t>B13-P_baja</t>
        </is>
      </c>
      <c r="H3602" s="16" t="inlineStr">
        <is>
          <t>lhs</t>
        </is>
      </c>
      <c r="I3602" s="16" t="inlineStr">
        <is>
          <t>CORREGIBLE</t>
        </is>
      </c>
      <c r="J3602" s="16" t="inlineStr">
        <is>
          <t>CORREGIBLE</t>
        </is>
      </c>
      <c r="K3602" s="16" t="b">
        <v>1</v>
      </c>
      <c r="L3602" s="16" t="b">
        <v>0</v>
      </c>
      <c r="M3602" s="16" t="b">
        <v>1</v>
      </c>
      <c r="N3602" s="16" t="b">
        <v>0</v>
      </c>
      <c r="O3602" s="16" t="n">
        <v>464.9331979299806</v>
      </c>
      <c r="P3602" s="16" t="n">
        <v>291.6002752488058</v>
      </c>
      <c r="Q3602" s="16" t="n">
        <v>3548.201459047691</v>
      </c>
      <c r="R3602" s="16" t="n">
        <v>400</v>
      </c>
      <c r="S3602" s="16" t="n">
        <v>0.7154074279182145</v>
      </c>
      <c r="T3602" s="16" t="n">
        <v>0.730341983777091</v>
      </c>
      <c r="U3602" s="16" t="n">
        <v>0.9306632788656328</v>
      </c>
      <c r="V3602" s="16" t="n">
        <v>0.6441581439412496</v>
      </c>
      <c r="W3602" s="16" t="n">
        <v>0.826901906637888</v>
      </c>
      <c r="X3602" s="16" t="n">
        <v>0.5849974634974104</v>
      </c>
      <c r="Y3602" s="16" t="n">
        <v>291.6002752488058</v>
      </c>
      <c r="Z3602" s="16" t="n">
        <v>4.64876308431748</v>
      </c>
      <c r="AA3602" s="16" t="n">
        <v>30.52591419045046</v>
      </c>
      <c r="AB3602" s="16" t="n">
        <v>3148.201459047691</v>
      </c>
      <c r="AC3602" s="16" t="n">
        <v>8.870503647619227</v>
      </c>
      <c r="AD3602" s="16" t="inlineStr">
        <is>
          <t>O2</t>
        </is>
      </c>
      <c r="AE3602" s="16" t="n"/>
    </row>
    <row r="3603">
      <c r="A3603" s="16" t="inlineStr">
        <is>
          <t>KF-M09-R0-P_baja-0089</t>
        </is>
      </c>
      <c r="B3603" s="16" t="inlineStr">
        <is>
          <t>4.3</t>
        </is>
      </c>
      <c r="C3603" s="16" t="inlineStr">
        <is>
          <t>4.3 P_baja</t>
        </is>
      </c>
      <c r="D3603" s="16" t="inlineStr">
        <is>
          <t>ronda 0</t>
        </is>
      </c>
      <c r="E3603" s="16" t="inlineStr">
        <is>
          <t>KF-M09</t>
        </is>
      </c>
      <c r="F3603" s="16" t="inlineStr">
        <is>
          <t>KF-M09-R0-P_baja</t>
        </is>
      </c>
      <c r="G3603" s="16" t="inlineStr">
        <is>
          <t>B13-P_baja</t>
        </is>
      </c>
      <c r="H3603" s="16" t="inlineStr">
        <is>
          <t>lhs</t>
        </is>
      </c>
      <c r="I3603" s="16" t="inlineStr">
        <is>
          <t>NO_CONVERGIO</t>
        </is>
      </c>
      <c r="J3603" s="16" t="inlineStr">
        <is>
          <t>NO_CONVERGIO</t>
        </is>
      </c>
      <c r="K3603" s="16" t="b">
        <v>0</v>
      </c>
      <c r="L3603" s="16" t="b">
        <v>0</v>
      </c>
      <c r="M3603" s="16" t="b">
        <v>0</v>
      </c>
      <c r="N3603" s="16" t="b">
        <v>0</v>
      </c>
      <c r="O3603" s="16" t="n">
        <v>467.6402782894542</v>
      </c>
      <c r="P3603" s="16" t="n">
        <v>296.9299276933019</v>
      </c>
      <c r="Q3603" s="16" t="n">
        <v>4363.975087909659</v>
      </c>
      <c r="R3603" s="16" t="n">
        <v>400</v>
      </c>
      <c r="S3603" s="16" t="n">
        <v>0.7680129648085222</v>
      </c>
      <c r="T3603" s="16" t="n">
        <v>0.5749220340370977</v>
      </c>
      <c r="U3603" s="16" t="n">
        <v>0.912481547970918</v>
      </c>
      <c r="V3603" s="16" t="n">
        <v>0.81826604672564</v>
      </c>
      <c r="W3603" s="16" t="n">
        <v>0.5823344659526685</v>
      </c>
      <c r="X3603" s="16" t="n">
        <v>0.6290044305494455</v>
      </c>
      <c r="Y3603" s="16" t="n">
        <v>296.9299276933019</v>
      </c>
      <c r="Z3603" s="16" t="n"/>
      <c r="AA3603" s="16" t="n"/>
      <c r="AB3603" s="16" t="n">
        <v>3963.975087909659</v>
      </c>
      <c r="AC3603" s="16" t="n">
        <v>10.90993771977415</v>
      </c>
      <c r="AD3603" s="16" t="n"/>
      <c r="AE3603" s="16" t="n"/>
    </row>
    <row r="3604">
      <c r="A3604" s="16" t="inlineStr">
        <is>
          <t>KF-M09-R0-P_baja-0090</t>
        </is>
      </c>
      <c r="B3604" s="16" t="inlineStr">
        <is>
          <t>4.3</t>
        </is>
      </c>
      <c r="C3604" s="16" t="inlineStr">
        <is>
          <t>4.3 P_baja</t>
        </is>
      </c>
      <c r="D3604" s="16" t="inlineStr">
        <is>
          <t>ronda 0</t>
        </is>
      </c>
      <c r="E3604" s="16" t="inlineStr">
        <is>
          <t>KF-M09</t>
        </is>
      </c>
      <c r="F3604" s="16" t="inlineStr">
        <is>
          <t>KF-M09-R0-P_baja</t>
        </is>
      </c>
      <c r="G3604" s="16" t="inlineStr">
        <is>
          <t>B13-P_baja</t>
        </is>
      </c>
      <c r="H3604" s="16" t="inlineStr">
        <is>
          <t>lhs</t>
        </is>
      </c>
      <c r="I3604" s="16" t="inlineStr">
        <is>
          <t>INVIABLE</t>
        </is>
      </c>
      <c r="J3604" s="16" t="inlineStr">
        <is>
          <t>INVIABLE</t>
        </is>
      </c>
      <c r="K3604" s="16" t="b">
        <v>1</v>
      </c>
      <c r="L3604" s="16" t="b">
        <v>0</v>
      </c>
      <c r="M3604" s="16" t="b">
        <v>0</v>
      </c>
      <c r="N3604" s="16" t="b">
        <v>0</v>
      </c>
      <c r="O3604" s="16" t="n">
        <v>450.8132887047786</v>
      </c>
      <c r="P3604" s="16" t="n">
        <v>296.3139454876193</v>
      </c>
      <c r="Q3604" s="16" t="n">
        <v>4749.645114959597</v>
      </c>
      <c r="R3604" s="16" t="n">
        <v>400</v>
      </c>
      <c r="S3604" s="16" t="n">
        <v>0.6703847212523796</v>
      </c>
      <c r="T3604" s="16" t="n">
        <v>0.582762873580511</v>
      </c>
      <c r="U3604" s="16" t="n">
        <v>0.6884760086697943</v>
      </c>
      <c r="V3604" s="16" t="n">
        <v>0.5070252122930601</v>
      </c>
      <c r="W3604" s="16" t="n">
        <v>0.498590897914744</v>
      </c>
      <c r="X3604" s="16" t="n">
        <v>0.9446235784375048</v>
      </c>
      <c r="Y3604" s="16" t="n">
        <v>296.3139454876193</v>
      </c>
      <c r="Z3604" s="16" t="n">
        <v>-0.7871101368905</v>
      </c>
      <c r="AA3604" s="16" t="n">
        <v>-4.074388116643334</v>
      </c>
      <c r="AB3604" s="16" t="n">
        <v>4349.645114959597</v>
      </c>
      <c r="AC3604" s="16" t="n">
        <v>11.87411278739899</v>
      </c>
      <c r="AD3604" s="16" t="inlineStr">
        <is>
          <t>O2,O3</t>
        </is>
      </c>
      <c r="AE3604" s="16" t="n"/>
    </row>
    <row r="3605">
      <c r="A3605" s="16" t="inlineStr">
        <is>
          <t>KF-M09-R0-P_baja-0091</t>
        </is>
      </c>
      <c r="B3605" s="16" t="inlineStr">
        <is>
          <t>4.3</t>
        </is>
      </c>
      <c r="C3605" s="16" t="inlineStr">
        <is>
          <t>4.3 P_baja</t>
        </is>
      </c>
      <c r="D3605" s="16" t="inlineStr">
        <is>
          <t>ronda 0</t>
        </is>
      </c>
      <c r="E3605" s="16" t="inlineStr">
        <is>
          <t>KF-M09</t>
        </is>
      </c>
      <c r="F3605" s="16" t="inlineStr">
        <is>
          <t>KF-M09-R0-P_baja</t>
        </is>
      </c>
      <c r="G3605" s="16" t="inlineStr">
        <is>
          <t>B13-P_baja</t>
        </is>
      </c>
      <c r="H3605" s="16" t="inlineStr">
        <is>
          <t>lhs</t>
        </is>
      </c>
      <c r="I3605" s="16" t="inlineStr">
        <is>
          <t>INVIABLE</t>
        </is>
      </c>
      <c r="J3605" s="16" t="inlineStr">
        <is>
          <t>INVIABLE</t>
        </is>
      </c>
      <c r="K3605" s="16" t="b">
        <v>1</v>
      </c>
      <c r="L3605" s="16" t="b">
        <v>0</v>
      </c>
      <c r="M3605" s="16" t="b">
        <v>0</v>
      </c>
      <c r="N3605" s="16" t="b">
        <v>0</v>
      </c>
      <c r="O3605" s="16" t="n">
        <v>426.3177520050708</v>
      </c>
      <c r="P3605" s="16" t="n">
        <v>296.5704195629002</v>
      </c>
      <c r="Q3605" s="16" t="n">
        <v>3086.701880898723</v>
      </c>
      <c r="R3605" s="16" t="n">
        <v>400</v>
      </c>
      <c r="S3605" s="16" t="n">
        <v>0.6576710005484081</v>
      </c>
      <c r="T3605" s="16" t="n">
        <v>0.4999016537992714</v>
      </c>
      <c r="U3605" s="16" t="n">
        <v>0.5078390087754076</v>
      </c>
      <c r="V3605" s="16" t="n">
        <v>0.6337440957563605</v>
      </c>
      <c r="W3605" s="16" t="n">
        <v>0.6775790124022607</v>
      </c>
      <c r="X3605" s="16" t="n">
        <v>0.8768434192493311</v>
      </c>
      <c r="Y3605" s="16" t="n">
        <v>296.5704195629002</v>
      </c>
      <c r="Z3605" s="16" t="n">
        <v>-9.052808063468619</v>
      </c>
      <c r="AA3605" s="16" t="n">
        <v>-45.96992489556986</v>
      </c>
      <c r="AB3605" s="16" t="n">
        <v>2686.701880898723</v>
      </c>
      <c r="AC3605" s="16" t="n">
        <v>7.716754702246808</v>
      </c>
      <c r="AD3605" s="16" t="inlineStr">
        <is>
          <t>O2,O3</t>
        </is>
      </c>
      <c r="AE3605" s="16" t="n"/>
    </row>
    <row r="3606">
      <c r="A3606" s="16" t="inlineStr">
        <is>
          <t>KF-M09-R0-P_baja-0092</t>
        </is>
      </c>
      <c r="B3606" s="16" t="inlineStr">
        <is>
          <t>4.3</t>
        </is>
      </c>
      <c r="C3606" s="16" t="inlineStr">
        <is>
          <t>4.3 P_baja</t>
        </is>
      </c>
      <c r="D3606" s="16" t="inlineStr">
        <is>
          <t>ronda 0</t>
        </is>
      </c>
      <c r="E3606" s="16" t="inlineStr">
        <is>
          <t>KF-M09</t>
        </is>
      </c>
      <c r="F3606" s="16" t="inlineStr">
        <is>
          <t>KF-M09-R0-P_baja</t>
        </is>
      </c>
      <c r="G3606" s="16" t="inlineStr">
        <is>
          <t>B13-P_baja</t>
        </is>
      </c>
      <c r="H3606" s="16" t="inlineStr">
        <is>
          <t>lhs</t>
        </is>
      </c>
      <c r="I3606" s="16" t="inlineStr">
        <is>
          <t>INVIABLE</t>
        </is>
      </c>
      <c r="J3606" s="16" t="inlineStr">
        <is>
          <t>INVIABLE</t>
        </is>
      </c>
      <c r="K3606" s="16" t="b">
        <v>1</v>
      </c>
      <c r="L3606" s="16" t="b">
        <v>0</v>
      </c>
      <c r="M3606" s="16" t="b">
        <v>0</v>
      </c>
      <c r="N3606" s="16" t="b">
        <v>0</v>
      </c>
      <c r="O3606" s="16" t="n">
        <v>403.9244000610032</v>
      </c>
      <c r="P3606" s="16" t="n">
        <v>288.9591396839559</v>
      </c>
      <c r="Q3606" s="16" t="n">
        <v>3901.007902164763</v>
      </c>
      <c r="R3606" s="16" t="n">
        <v>400</v>
      </c>
      <c r="S3606" s="16" t="n">
        <v>0.8439106640708257</v>
      </c>
      <c r="T3606" s="16" t="n">
        <v>0.7376305737976381</v>
      </c>
      <c r="U3606" s="16" t="n">
        <v>0.5917076013586189</v>
      </c>
      <c r="V3606" s="16" t="n">
        <v>0.6684634496550814</v>
      </c>
      <c r="W3606" s="16" t="n">
        <v>0.4405372336002167</v>
      </c>
      <c r="X3606" s="16" t="n">
        <v>0.8480215302097304</v>
      </c>
      <c r="Y3606" s="16" t="n">
        <v>288.9591396839559</v>
      </c>
      <c r="Z3606" s="16" t="n">
        <v>-142.3458346746455</v>
      </c>
      <c r="AA3606" s="16" t="n">
        <v>-160.5694861785241</v>
      </c>
      <c r="AB3606" s="16" t="n">
        <v>3501.007902164763</v>
      </c>
      <c r="AC3606" s="16" t="n">
        <v>9.752519755411909</v>
      </c>
      <c r="AD3606" s="16" t="inlineStr">
        <is>
          <t>O2,O3</t>
        </is>
      </c>
      <c r="AE3606" s="16" t="n"/>
    </row>
    <row r="3607">
      <c r="A3607" s="16" t="inlineStr">
        <is>
          <t>KF-M09-R0-P_baja-0093</t>
        </is>
      </c>
      <c r="B3607" s="16" t="inlineStr">
        <is>
          <t>4.3</t>
        </is>
      </c>
      <c r="C3607" s="16" t="inlineStr">
        <is>
          <t>4.3 P_baja</t>
        </is>
      </c>
      <c r="D3607" s="16" t="inlineStr">
        <is>
          <t>ronda 0</t>
        </is>
      </c>
      <c r="E3607" s="16" t="inlineStr">
        <is>
          <t>KF-M09</t>
        </is>
      </c>
      <c r="F3607" s="16" t="inlineStr">
        <is>
          <t>KF-M09-R0-P_baja</t>
        </is>
      </c>
      <c r="G3607" s="16" t="inlineStr">
        <is>
          <t>B13-P_baja</t>
        </is>
      </c>
      <c r="H3607" s="16" t="inlineStr">
        <is>
          <t>lhs</t>
        </is>
      </c>
      <c r="I3607" s="16" t="inlineStr">
        <is>
          <t>INVIABLE</t>
        </is>
      </c>
      <c r="J3607" s="16" t="inlineStr">
        <is>
          <t>INVIABLE</t>
        </is>
      </c>
      <c r="K3607" s="16" t="b">
        <v>1</v>
      </c>
      <c r="L3607" s="16" t="b">
        <v>0</v>
      </c>
      <c r="M3607" s="16" t="b">
        <v>0</v>
      </c>
      <c r="N3607" s="16" t="b">
        <v>0</v>
      </c>
      <c r="O3607" s="16" t="n">
        <v>493.3690174151934</v>
      </c>
      <c r="P3607" s="16" t="n">
        <v>301.3297073104652</v>
      </c>
      <c r="Q3607" s="16" t="n">
        <v>2271.518449423984</v>
      </c>
      <c r="R3607" s="16" t="n">
        <v>400</v>
      </c>
      <c r="S3607" s="16" t="n">
        <v>0.8156027018626641</v>
      </c>
      <c r="T3607" s="16" t="n">
        <v>0.6359053030531443</v>
      </c>
      <c r="U3607" s="16" t="n">
        <v>0.6413915045963261</v>
      </c>
      <c r="V3607" s="16" t="n">
        <v>0.5767496697684156</v>
      </c>
      <c r="W3607" s="16" t="n">
        <v>0.8557167438181977</v>
      </c>
      <c r="X3607" s="16" t="n">
        <v>0.9212368693079612</v>
      </c>
      <c r="Y3607" s="16" t="n">
        <v>301.3297073104652</v>
      </c>
      <c r="Z3607" s="16" t="n">
        <v>-19.75151332720092</v>
      </c>
      <c r="AA3607" s="16" t="n">
        <v>-96.91655674985712</v>
      </c>
      <c r="AB3607" s="16" t="n">
        <v>1871.518449423984</v>
      </c>
      <c r="AC3607" s="16" t="n">
        <v>5.67879612355996</v>
      </c>
      <c r="AD3607" s="16" t="inlineStr">
        <is>
          <t>O2,O3</t>
        </is>
      </c>
      <c r="AE3607" s="16" t="n"/>
    </row>
    <row r="3608">
      <c r="A3608" s="16" t="inlineStr">
        <is>
          <t>KF-M09-R0-P_baja-0094</t>
        </is>
      </c>
      <c r="B3608" s="16" t="inlineStr">
        <is>
          <t>4.3</t>
        </is>
      </c>
      <c r="C3608" s="16" t="inlineStr">
        <is>
          <t>4.3 P_baja</t>
        </is>
      </c>
      <c r="D3608" s="16" t="inlineStr">
        <is>
          <t>ronda 0</t>
        </is>
      </c>
      <c r="E3608" s="16" t="inlineStr">
        <is>
          <t>KF-M09</t>
        </is>
      </c>
      <c r="F3608" s="16" t="inlineStr">
        <is>
          <t>KF-M09-R0-P_baja</t>
        </is>
      </c>
      <c r="G3608" s="16" t="inlineStr">
        <is>
          <t>B13-P_baja</t>
        </is>
      </c>
      <c r="H3608" s="16" t="inlineStr">
        <is>
          <t>lhs</t>
        </is>
      </c>
      <c r="I3608" s="16" t="inlineStr">
        <is>
          <t>INVIABLE</t>
        </is>
      </c>
      <c r="J3608" s="16" t="inlineStr">
        <is>
          <t>INVIABLE</t>
        </is>
      </c>
      <c r="K3608" s="16" t="b">
        <v>1</v>
      </c>
      <c r="L3608" s="16" t="b">
        <v>0</v>
      </c>
      <c r="M3608" s="16" t="b">
        <v>0</v>
      </c>
      <c r="N3608" s="16" t="b">
        <v>0</v>
      </c>
      <c r="O3608" s="16" t="n">
        <v>386.7617195202048</v>
      </c>
      <c r="P3608" s="16" t="n">
        <v>284.3747258224643</v>
      </c>
      <c r="Q3608" s="16" t="n">
        <v>3389.083384084056</v>
      </c>
      <c r="R3608" s="16" t="n">
        <v>400</v>
      </c>
      <c r="S3608" s="16" t="n">
        <v>0.6510009893859257</v>
      </c>
      <c r="T3608" s="16" t="n">
        <v>0.4105177777547411</v>
      </c>
      <c r="U3608" s="16" t="n">
        <v>0.6183740532825481</v>
      </c>
      <c r="V3608" s="16" t="n">
        <v>0.5687775411340199</v>
      </c>
      <c r="W3608" s="16" t="n">
        <v>0.5269053162656497</v>
      </c>
      <c r="X3608" s="16" t="n">
        <v>0.4491165175557404</v>
      </c>
      <c r="Y3608" s="16" t="n">
        <v>284.3747258224643</v>
      </c>
      <c r="Z3608" s="16" t="n">
        <v>-16.6354917818681</v>
      </c>
      <c r="AA3608" s="16" t="n">
        <v>-35.80609229379542</v>
      </c>
      <c r="AB3608" s="16" t="n">
        <v>2989.083384084056</v>
      </c>
      <c r="AC3608" s="16" t="n">
        <v>8.472708460210139</v>
      </c>
      <c r="AD3608" s="16" t="inlineStr">
        <is>
          <t>O2,O3</t>
        </is>
      </c>
      <c r="AE3608" s="16" t="n"/>
    </row>
    <row r="3609">
      <c r="A3609" s="16" t="inlineStr">
        <is>
          <t>KF-M09-R0-P_baja-0095</t>
        </is>
      </c>
      <c r="B3609" s="16" t="inlineStr">
        <is>
          <t>4.3</t>
        </is>
      </c>
      <c r="C3609" s="16" t="inlineStr">
        <is>
          <t>4.3 P_baja</t>
        </is>
      </c>
      <c r="D3609" s="16" t="inlineStr">
        <is>
          <t>ronda 0</t>
        </is>
      </c>
      <c r="E3609" s="16" t="inlineStr">
        <is>
          <t>KF-M09</t>
        </is>
      </c>
      <c r="F3609" s="16" t="inlineStr">
        <is>
          <t>KF-M09-R0-P_baja</t>
        </is>
      </c>
      <c r="G3609" s="16" t="inlineStr">
        <is>
          <t>B13-P_baja</t>
        </is>
      </c>
      <c r="H3609" s="16" t="inlineStr">
        <is>
          <t>lhs</t>
        </is>
      </c>
      <c r="I3609" s="16" t="inlineStr">
        <is>
          <t>INVIABLE</t>
        </is>
      </c>
      <c r="J3609" s="16" t="inlineStr">
        <is>
          <t>INVIABLE</t>
        </is>
      </c>
      <c r="K3609" s="16" t="b">
        <v>1</v>
      </c>
      <c r="L3609" s="16" t="b">
        <v>0</v>
      </c>
      <c r="M3609" s="16" t="b">
        <v>0</v>
      </c>
      <c r="N3609" s="16" t="b">
        <v>0</v>
      </c>
      <c r="O3609" s="16" t="n">
        <v>398.8980918280317</v>
      </c>
      <c r="P3609" s="16" t="n">
        <v>297.7220929444379</v>
      </c>
      <c r="Q3609" s="16" t="n">
        <v>4170.123773467227</v>
      </c>
      <c r="R3609" s="16" t="n">
        <v>400</v>
      </c>
      <c r="S3609" s="16" t="n">
        <v>0.7404602047732327</v>
      </c>
      <c r="T3609" s="16" t="n">
        <v>0.6206691030348397</v>
      </c>
      <c r="U3609" s="16" t="n">
        <v>0.92628897141237</v>
      </c>
      <c r="V3609" s="16" t="n">
        <v>0.7458897289516047</v>
      </c>
      <c r="W3609" s="16" t="n">
        <v>0.6088655945715785</v>
      </c>
      <c r="X3609" s="16" t="n">
        <v>0.707934740489027</v>
      </c>
      <c r="Y3609" s="16" t="n">
        <v>297.7220929444379</v>
      </c>
      <c r="Z3609" s="16" t="n">
        <v>-62.89771455338516</v>
      </c>
      <c r="AA3609" s="16" t="n">
        <v>-73.54571846412453</v>
      </c>
      <c r="AB3609" s="16" t="n">
        <v>3770.123773467227</v>
      </c>
      <c r="AC3609" s="16" t="n">
        <v>10.42530943366807</v>
      </c>
      <c r="AD3609" s="16" t="inlineStr">
        <is>
          <t>O2,O3</t>
        </is>
      </c>
      <c r="AE3609" s="16" t="n"/>
    </row>
    <row r="3610">
      <c r="A3610" s="16" t="inlineStr">
        <is>
          <t>KF-M09-R0-P_baja-0096</t>
        </is>
      </c>
      <c r="B3610" s="16" t="inlineStr">
        <is>
          <t>4.3</t>
        </is>
      </c>
      <c r="C3610" s="16" t="inlineStr">
        <is>
          <t>4.3 P_baja</t>
        </is>
      </c>
      <c r="D3610" s="16" t="inlineStr">
        <is>
          <t>ronda 0</t>
        </is>
      </c>
      <c r="E3610" s="16" t="inlineStr">
        <is>
          <t>KF-M09</t>
        </is>
      </c>
      <c r="F3610" s="16" t="inlineStr">
        <is>
          <t>KF-M09-R0-P_baja</t>
        </is>
      </c>
      <c r="G3610" s="16" t="inlineStr">
        <is>
          <t>B13-P_baja</t>
        </is>
      </c>
      <c r="H3610" s="16" t="inlineStr">
        <is>
          <t>lhs</t>
        </is>
      </c>
      <c r="I3610" s="16" t="inlineStr">
        <is>
          <t>INVIABLE</t>
        </is>
      </c>
      <c r="J3610" s="16" t="inlineStr">
        <is>
          <t>INVIABLE</t>
        </is>
      </c>
      <c r="K3610" s="16" t="b">
        <v>1</v>
      </c>
      <c r="L3610" s="16" t="b">
        <v>0</v>
      </c>
      <c r="M3610" s="16" t="b">
        <v>0</v>
      </c>
      <c r="N3610" s="16" t="b">
        <v>0</v>
      </c>
      <c r="O3610" s="16" t="n">
        <v>403.696152084521</v>
      </c>
      <c r="P3610" s="16" t="n">
        <v>287.3747548371591</v>
      </c>
      <c r="Q3610" s="16" t="n">
        <v>3216.01174777335</v>
      </c>
      <c r="R3610" s="16" t="n">
        <v>400</v>
      </c>
      <c r="S3610" s="16" t="n">
        <v>0.8199676094299576</v>
      </c>
      <c r="T3610" s="16" t="n">
        <v>0.5258632823262359</v>
      </c>
      <c r="U3610" s="16" t="n">
        <v>0.5328607440512241</v>
      </c>
      <c r="V3610" s="16" t="n">
        <v>0.9357653074625658</v>
      </c>
      <c r="W3610" s="16" t="n">
        <v>0.6455893678664419</v>
      </c>
      <c r="X3610" s="16" t="n">
        <v>0.5459361386232064</v>
      </c>
      <c r="Y3610" s="16" t="n">
        <v>287.3747548371591</v>
      </c>
      <c r="Z3610" s="16" t="n">
        <v>-427.6562404608033</v>
      </c>
      <c r="AA3610" s="16" t="n">
        <v>-256.5309292373388</v>
      </c>
      <c r="AB3610" s="16" t="n">
        <v>2816.01174777335</v>
      </c>
      <c r="AC3610" s="16" t="n">
        <v>8.040029369433375</v>
      </c>
      <c r="AD3610" s="16" t="inlineStr">
        <is>
          <t>O2,O3</t>
        </is>
      </c>
      <c r="AE3610" s="16" t="n"/>
    </row>
    <row r="3611">
      <c r="A3611" s="16" t="inlineStr">
        <is>
          <t>KF-M09-R0-P_baja-0097</t>
        </is>
      </c>
      <c r="B3611" s="16" t="inlineStr">
        <is>
          <t>4.3</t>
        </is>
      </c>
      <c r="C3611" s="16" t="inlineStr">
        <is>
          <t>4.3 P_baja</t>
        </is>
      </c>
      <c r="D3611" s="16" t="inlineStr">
        <is>
          <t>ronda 0</t>
        </is>
      </c>
      <c r="E3611" s="16" t="inlineStr">
        <is>
          <t>KF-M09</t>
        </is>
      </c>
      <c r="F3611" s="16" t="inlineStr">
        <is>
          <t>KF-M09-R0-P_baja</t>
        </is>
      </c>
      <c r="G3611" s="16" t="inlineStr">
        <is>
          <t>B13-P_baja</t>
        </is>
      </c>
      <c r="H3611" s="16" t="inlineStr">
        <is>
          <t>lhs</t>
        </is>
      </c>
      <c r="I3611" s="16" t="inlineStr">
        <is>
          <t>INVIABLE</t>
        </is>
      </c>
      <c r="J3611" s="16" t="inlineStr">
        <is>
          <t>INVIABLE</t>
        </is>
      </c>
      <c r="K3611" s="16" t="b">
        <v>1</v>
      </c>
      <c r="L3611" s="16" t="b">
        <v>0</v>
      </c>
      <c r="M3611" s="16" t="b">
        <v>1</v>
      </c>
      <c r="N3611" s="16" t="b">
        <v>0</v>
      </c>
      <c r="O3611" s="16" t="n">
        <v>451.9032979821013</v>
      </c>
      <c r="P3611" s="16" t="n">
        <v>294.7484255045634</v>
      </c>
      <c r="Q3611" s="16" t="n">
        <v>4531.018126349993</v>
      </c>
      <c r="R3611" s="16" t="n">
        <v>400</v>
      </c>
      <c r="S3611" s="16" t="n">
        <v>0.556730339268815</v>
      </c>
      <c r="T3611" s="16" t="n">
        <v>0.4227604152604962</v>
      </c>
      <c r="U3611" s="16" t="n">
        <v>0.8128727280778725</v>
      </c>
      <c r="V3611" s="16" t="n">
        <v>0.720102278847405</v>
      </c>
      <c r="W3611" s="16" t="n">
        <v>0.6657119498057306</v>
      </c>
      <c r="X3611" s="16" t="n">
        <v>0.5255202945614528</v>
      </c>
      <c r="Y3611" s="16" t="n">
        <v>294.7484255045634</v>
      </c>
      <c r="Z3611" s="16" t="n">
        <v>-4.41337254702757</v>
      </c>
      <c r="AA3611" s="16" t="n">
        <v>-22.53892778885627</v>
      </c>
      <c r="AB3611" s="16" t="n">
        <v>4131.018126349993</v>
      </c>
      <c r="AC3611" s="16" t="n">
        <v>11.32754531587498</v>
      </c>
      <c r="AD3611" s="16" t="inlineStr">
        <is>
          <t>O2,O3</t>
        </is>
      </c>
      <c r="AE3611" s="16" t="n"/>
    </row>
    <row r="3612">
      <c r="A3612" s="16" t="inlineStr">
        <is>
          <t>KF-M09-R0-T_sumidero-0000</t>
        </is>
      </c>
      <c r="B3612" s="16" t="inlineStr">
        <is>
          <t>4.3</t>
        </is>
      </c>
      <c r="C3612" s="16" t="inlineStr">
        <is>
          <t>4.3 T_sumidero</t>
        </is>
      </c>
      <c r="D3612" s="16" t="inlineStr">
        <is>
          <t>ronda 0</t>
        </is>
      </c>
      <c r="E3612" s="16" t="inlineStr">
        <is>
          <t>KF-M09</t>
        </is>
      </c>
      <c r="F3612" s="16" t="inlineStr">
        <is>
          <t>KF-M09-R0-T_sumidero</t>
        </is>
      </c>
      <c r="G3612" s="16" t="inlineStr">
        <is>
          <t>B13-T_sumidero</t>
        </is>
      </c>
      <c r="H3612" s="16" t="inlineStr">
        <is>
          <t>lhs</t>
        </is>
      </c>
      <c r="I3612" s="16" t="inlineStr">
        <is>
          <t>NO_CONVERGIO</t>
        </is>
      </c>
      <c r="J3612" s="16" t="inlineStr">
        <is>
          <t>NO_CONVERGIO</t>
        </is>
      </c>
      <c r="K3612" s="16" t="b">
        <v>0</v>
      </c>
      <c r="L3612" s="16" t="b">
        <v>0</v>
      </c>
      <c r="M3612" s="16" t="b">
        <v>0</v>
      </c>
      <c r="N3612" s="16" t="b">
        <v>0</v>
      </c>
      <c r="O3612" s="16" t="n">
        <v>498.4966401652067</v>
      </c>
      <c r="P3612" s="16" t="n">
        <v>300.032917</v>
      </c>
      <c r="Q3612" s="16" t="n">
        <v>3636.158732739473</v>
      </c>
      <c r="R3612" s="16" t="n">
        <v>1770.449039388726</v>
      </c>
      <c r="S3612" s="16" t="n">
        <v>0.7836503594319724</v>
      </c>
      <c r="T3612" s="16" t="n">
        <v>0.8914701727789931</v>
      </c>
      <c r="U3612" s="16" t="n">
        <v>0.4877063350776823</v>
      </c>
      <c r="V3612" s="16" t="n">
        <v>0.7384946637545926</v>
      </c>
      <c r="W3612" s="16" t="n">
        <v>0.7380201448124946</v>
      </c>
      <c r="X3612" s="16" t="n">
        <v>0.6471723585817484</v>
      </c>
      <c r="Y3612" s="16" t="n">
        <v>300.032917</v>
      </c>
      <c r="Z3612" s="16" t="n"/>
      <c r="AA3612" s="16" t="n"/>
      <c r="AB3612" s="16" t="n">
        <v>1865.709693350747</v>
      </c>
      <c r="AC3612" s="16" t="n">
        <v>2.053805928237794</v>
      </c>
      <c r="AD3612" s="16" t="n"/>
      <c r="AE3612" s="16" t="n"/>
    </row>
    <row r="3613">
      <c r="A3613" s="16" t="inlineStr">
        <is>
          <t>KF-M09-R0-T_sumidero-0001</t>
        </is>
      </c>
      <c r="B3613" s="16" t="inlineStr">
        <is>
          <t>4.3</t>
        </is>
      </c>
      <c r="C3613" s="16" t="inlineStr">
        <is>
          <t>4.3 T_sumidero</t>
        </is>
      </c>
      <c r="D3613" s="16" t="inlineStr">
        <is>
          <t>ronda 0</t>
        </is>
      </c>
      <c r="E3613" s="16" t="inlineStr">
        <is>
          <t>KF-M09</t>
        </is>
      </c>
      <c r="F3613" s="16" t="inlineStr">
        <is>
          <t>KF-M09-R0-T_sumidero</t>
        </is>
      </c>
      <c r="G3613" s="16" t="inlineStr">
        <is>
          <t>B13-T_sumidero</t>
        </is>
      </c>
      <c r="H3613" s="16" t="inlineStr">
        <is>
          <t>lhs</t>
        </is>
      </c>
      <c r="I3613" s="16" t="inlineStr">
        <is>
          <t>INVIABLE</t>
        </is>
      </c>
      <c r="J3613" s="16" t="inlineStr">
        <is>
          <t>INVIABLE</t>
        </is>
      </c>
      <c r="K3613" s="16" t="b">
        <v>1</v>
      </c>
      <c r="L3613" s="16" t="b">
        <v>0</v>
      </c>
      <c r="M3613" s="16" t="b">
        <v>1</v>
      </c>
      <c r="N3613" s="16" t="b">
        <v>0</v>
      </c>
      <c r="O3613" s="16" t="n">
        <v>446.5453795592554</v>
      </c>
      <c r="P3613" s="16" t="n">
        <v>300.032917</v>
      </c>
      <c r="Q3613" s="16" t="n">
        <v>2444.550005002938</v>
      </c>
      <c r="R3613" s="16" t="n">
        <v>993.9572066768744</v>
      </c>
      <c r="S3613" s="16" t="n">
        <v>0.595133890460797</v>
      </c>
      <c r="T3613" s="16" t="n">
        <v>0.8064619621317284</v>
      </c>
      <c r="U3613" s="16" t="n">
        <v>0.4240293193654755</v>
      </c>
      <c r="V3613" s="16" t="n">
        <v>0.8571996198393284</v>
      </c>
      <c r="W3613" s="16" t="n">
        <v>0.6182051327507377</v>
      </c>
      <c r="X3613" s="16" t="n">
        <v>0.4472779047749205</v>
      </c>
      <c r="Y3613" s="16" t="n">
        <v>300.032917</v>
      </c>
      <c r="Z3613" s="16" t="n">
        <v>-7.89087512637054</v>
      </c>
      <c r="AA3613" s="16" t="n">
        <v>-54.26453733553848</v>
      </c>
      <c r="AB3613" s="16" t="n">
        <v>1450.592798326064</v>
      </c>
      <c r="AC3613" s="16" t="n">
        <v>2.459411721733848</v>
      </c>
      <c r="AD3613" s="16" t="inlineStr">
        <is>
          <t>O2,O3</t>
        </is>
      </c>
      <c r="AE3613" s="16" t="n"/>
    </row>
    <row r="3614">
      <c r="A3614" s="16" t="inlineStr">
        <is>
          <t>KF-M09-R0-T_sumidero-0002</t>
        </is>
      </c>
      <c r="B3614" s="16" t="inlineStr">
        <is>
          <t>4.3</t>
        </is>
      </c>
      <c r="C3614" s="16" t="inlineStr">
        <is>
          <t>4.3 T_sumidero</t>
        </is>
      </c>
      <c r="D3614" s="16" t="inlineStr">
        <is>
          <t>ronda 0</t>
        </is>
      </c>
      <c r="E3614" s="16" t="inlineStr">
        <is>
          <t>KF-M09</t>
        </is>
      </c>
      <c r="F3614" s="16" t="inlineStr">
        <is>
          <t>KF-M09-R0-T_sumidero</t>
        </is>
      </c>
      <c r="G3614" s="16" t="inlineStr">
        <is>
          <t>B13-T_sumidero</t>
        </is>
      </c>
      <c r="H3614" s="16" t="inlineStr">
        <is>
          <t>lhs</t>
        </is>
      </c>
      <c r="I3614" s="16" t="inlineStr">
        <is>
          <t>CORREGIBLE</t>
        </is>
      </c>
      <c r="J3614" s="16" t="inlineStr">
        <is>
          <t>CORREGIBLE</t>
        </is>
      </c>
      <c r="K3614" s="16" t="b">
        <v>1</v>
      </c>
      <c r="L3614" s="16" t="b">
        <v>0</v>
      </c>
      <c r="M3614" s="16" t="b">
        <v>0</v>
      </c>
      <c r="N3614" s="16" t="b">
        <v>0</v>
      </c>
      <c r="O3614" s="16" t="n">
        <v>450.8971402215312</v>
      </c>
      <c r="P3614" s="16" t="n">
        <v>300.032917</v>
      </c>
      <c r="Q3614" s="16" t="n">
        <v>4122.944577582486</v>
      </c>
      <c r="R3614" s="16" t="n">
        <v>1291.406312803748</v>
      </c>
      <c r="S3614" s="16" t="n">
        <v>0.8286164671489755</v>
      </c>
      <c r="T3614" s="16" t="n">
        <v>0.5332527515733577</v>
      </c>
      <c r="U3614" s="16" t="n">
        <v>0.5353892687090499</v>
      </c>
      <c r="V3614" s="16" t="n">
        <v>0.4150043109700116</v>
      </c>
      <c r="W3614" s="16" t="n">
        <v>0.4875524928906431</v>
      </c>
      <c r="X3614" s="16" t="n">
        <v>0.6910014321923071</v>
      </c>
      <c r="Y3614" s="16" t="n">
        <v>300.032917</v>
      </c>
      <c r="Z3614" s="16" t="n">
        <v>2.67043673520068</v>
      </c>
      <c r="AA3614" s="16" t="n">
        <v>16.15064917543383</v>
      </c>
      <c r="AB3614" s="16" t="n">
        <v>2831.538264778738</v>
      </c>
      <c r="AC3614" s="16" t="n">
        <v>3.19260060656761</v>
      </c>
      <c r="AD3614" s="16" t="inlineStr">
        <is>
          <t>O2</t>
        </is>
      </c>
      <c r="AE3614" s="16" t="n"/>
    </row>
    <row r="3615">
      <c r="A3615" s="16" t="inlineStr">
        <is>
          <t>KF-M09-R0-T_sumidero-0003</t>
        </is>
      </c>
      <c r="B3615" s="16" t="inlineStr">
        <is>
          <t>4.3</t>
        </is>
      </c>
      <c r="C3615" s="16" t="inlineStr">
        <is>
          <t>4.3 T_sumidero</t>
        </is>
      </c>
      <c r="D3615" s="16" t="inlineStr">
        <is>
          <t>ronda 0</t>
        </is>
      </c>
      <c r="E3615" s="16" t="inlineStr">
        <is>
          <t>KF-M09</t>
        </is>
      </c>
      <c r="F3615" s="16" t="inlineStr">
        <is>
          <t>KF-M09-R0-T_sumidero</t>
        </is>
      </c>
      <c r="G3615" s="16" t="inlineStr">
        <is>
          <t>B13-T_sumidero</t>
        </is>
      </c>
      <c r="H3615" s="16" t="inlineStr">
        <is>
          <t>lhs</t>
        </is>
      </c>
      <c r="I3615" s="16" t="inlineStr">
        <is>
          <t>KALINA</t>
        </is>
      </c>
      <c r="J3615" s="16" t="inlineStr">
        <is>
          <t>KALINA</t>
        </is>
      </c>
      <c r="K3615" s="16" t="b">
        <v>1</v>
      </c>
      <c r="L3615" s="16" t="b">
        <v>1</v>
      </c>
      <c r="M3615" s="16" t="b">
        <v>0</v>
      </c>
      <c r="N3615" s="16" t="b">
        <v>0</v>
      </c>
      <c r="O3615" s="16" t="n">
        <v>415.4339111403488</v>
      </c>
      <c r="P3615" s="16" t="n">
        <v>300.032917</v>
      </c>
      <c r="Q3615" s="16" t="n">
        <v>4852.082411524938</v>
      </c>
      <c r="R3615" s="16" t="n">
        <v>1140.108412976797</v>
      </c>
      <c r="S3615" s="16" t="n">
        <v>0.5749074985255835</v>
      </c>
      <c r="T3615" s="16" t="n">
        <v>0.4799660524807098</v>
      </c>
      <c r="U3615" s="16" t="n">
        <v>0.8109448851321647</v>
      </c>
      <c r="V3615" s="16" t="n">
        <v>0.8175820939787068</v>
      </c>
      <c r="W3615" s="16" t="n">
        <v>0.8010685842643128</v>
      </c>
      <c r="X3615" s="16" t="n">
        <v>0.7492184939336</v>
      </c>
      <c r="Y3615" s="16" t="n">
        <v>300.032917</v>
      </c>
      <c r="Z3615" s="16" t="n">
        <v>3.18603751925599</v>
      </c>
      <c r="AA3615" s="16" t="n">
        <v>9.119637878471249</v>
      </c>
      <c r="AB3615" s="16" t="n">
        <v>3711.973998548141</v>
      </c>
      <c r="AC3615" s="16" t="n">
        <v>4.255807918175308</v>
      </c>
      <c r="AD3615" s="16" t="n"/>
      <c r="AE3615" s="16" t="n"/>
    </row>
    <row r="3616">
      <c r="A3616" s="16" t="inlineStr">
        <is>
          <t>KF-M09-R0-T_sumidero-0004</t>
        </is>
      </c>
      <c r="B3616" s="16" t="inlineStr">
        <is>
          <t>4.3</t>
        </is>
      </c>
      <c r="C3616" s="16" t="inlineStr">
        <is>
          <t>4.3 T_sumidero</t>
        </is>
      </c>
      <c r="D3616" s="16" t="inlineStr">
        <is>
          <t>ronda 0</t>
        </is>
      </c>
      <c r="E3616" s="16" t="inlineStr">
        <is>
          <t>KF-M09</t>
        </is>
      </c>
      <c r="F3616" s="16" t="inlineStr">
        <is>
          <t>KF-M09-R0-T_sumidero</t>
        </is>
      </c>
      <c r="G3616" s="16" t="inlineStr">
        <is>
          <t>B13-T_sumidero</t>
        </is>
      </c>
      <c r="H3616" s="16" t="inlineStr">
        <is>
          <t>lhs</t>
        </is>
      </c>
      <c r="I3616" s="16" t="inlineStr">
        <is>
          <t>CORREGIBLE</t>
        </is>
      </c>
      <c r="J3616" s="16" t="inlineStr">
        <is>
          <t>CORREGIBLE</t>
        </is>
      </c>
      <c r="K3616" s="16" t="b">
        <v>1</v>
      </c>
      <c r="L3616" s="16" t="b">
        <v>0</v>
      </c>
      <c r="M3616" s="16" t="b">
        <v>1</v>
      </c>
      <c r="N3616" s="16" t="b">
        <v>0</v>
      </c>
      <c r="O3616" s="16" t="n">
        <v>491.017799240875</v>
      </c>
      <c r="P3616" s="16" t="n">
        <v>300.032917</v>
      </c>
      <c r="Q3616" s="16" t="n">
        <v>3440.476736531368</v>
      </c>
      <c r="R3616" s="16" t="n">
        <v>1623.679582653203</v>
      </c>
      <c r="S3616" s="16" t="n">
        <v>0.6441832361183268</v>
      </c>
      <c r="T3616" s="16" t="n">
        <v>0.9373091412619068</v>
      </c>
      <c r="U3616" s="16" t="n">
        <v>0.793304075194345</v>
      </c>
      <c r="V3616" s="16" t="n">
        <v>0.8549238781833992</v>
      </c>
      <c r="W3616" s="16" t="n">
        <v>0.4299920894875663</v>
      </c>
      <c r="X3616" s="16" t="n">
        <v>0.6062459809526621</v>
      </c>
      <c r="Y3616" s="16" t="n">
        <v>300.032917</v>
      </c>
      <c r="Z3616" s="16" t="n">
        <v>5.70201121289253</v>
      </c>
      <c r="AA3616" s="16" t="n">
        <v>68.30515713030846</v>
      </c>
      <c r="AB3616" s="16" t="n">
        <v>1816.797153878165</v>
      </c>
      <c r="AC3616" s="16" t="n">
        <v>2.118938227275972</v>
      </c>
      <c r="AD3616" s="16" t="inlineStr">
        <is>
          <t>O2</t>
        </is>
      </c>
      <c r="AE3616" s="16" t="n"/>
    </row>
    <row r="3617">
      <c r="A3617" s="16" t="inlineStr">
        <is>
          <t>KF-M09-R0-P_baja-0098</t>
        </is>
      </c>
      <c r="B3617" s="16" t="inlineStr">
        <is>
          <t>4.3</t>
        </is>
      </c>
      <c r="C3617" s="16" t="inlineStr">
        <is>
          <t>4.3 P_baja</t>
        </is>
      </c>
      <c r="D3617" s="16" t="inlineStr">
        <is>
          <t>ronda 0</t>
        </is>
      </c>
      <c r="E3617" s="16" t="inlineStr">
        <is>
          <t>KF-M09</t>
        </is>
      </c>
      <c r="F3617" s="16" t="inlineStr">
        <is>
          <t>KF-M09-R0-P_baja</t>
        </is>
      </c>
      <c r="G3617" s="16" t="inlineStr">
        <is>
          <t>B13-P_baja</t>
        </is>
      </c>
      <c r="H3617" s="16" t="inlineStr">
        <is>
          <t>lhs</t>
        </is>
      </c>
      <c r="I3617" s="16" t="inlineStr">
        <is>
          <t>INVIABLE</t>
        </is>
      </c>
      <c r="J3617" s="16" t="inlineStr">
        <is>
          <t>INVIABLE</t>
        </is>
      </c>
      <c r="K3617" s="16" t="b">
        <v>1</v>
      </c>
      <c r="L3617" s="16" t="b">
        <v>0</v>
      </c>
      <c r="M3617" s="16" t="b">
        <v>1</v>
      </c>
      <c r="N3617" s="16" t="b">
        <v>0</v>
      </c>
      <c r="O3617" s="16" t="n">
        <v>475.4369872809846</v>
      </c>
      <c r="P3617" s="16" t="n">
        <v>299.2821538076311</v>
      </c>
      <c r="Q3617" s="16" t="n">
        <v>4274.743606324566</v>
      </c>
      <c r="R3617" s="16" t="n">
        <v>400</v>
      </c>
      <c r="S3617" s="16" t="n">
        <v>0.763233250600942</v>
      </c>
      <c r="T3617" s="16" t="n">
        <v>0.4555803138758634</v>
      </c>
      <c r="U3617" s="16" t="n">
        <v>0.7110353538630869</v>
      </c>
      <c r="V3617" s="16" t="n">
        <v>0.4884551826572128</v>
      </c>
      <c r="W3617" s="16" t="n">
        <v>0.7117809152702088</v>
      </c>
      <c r="X3617" s="16" t="n">
        <v>0.4911372975946395</v>
      </c>
      <c r="Y3617" s="16" t="n">
        <v>299.2821538076311</v>
      </c>
      <c r="Z3617" s="16" t="n">
        <v>-120.2453387042651</v>
      </c>
      <c r="AA3617" s="16" t="n">
        <v>-251.7705555406292</v>
      </c>
      <c r="AB3617" s="16" t="n">
        <v>3874.743606324566</v>
      </c>
      <c r="AC3617" s="16" t="n">
        <v>10.68685901581142</v>
      </c>
      <c r="AD3617" s="16" t="inlineStr">
        <is>
          <t>O2,O3</t>
        </is>
      </c>
      <c r="AE3617" s="16" t="n"/>
    </row>
    <row r="3618">
      <c r="A3618" s="16" t="inlineStr">
        <is>
          <t>KF-M09-R0-T_sumidero-0005</t>
        </is>
      </c>
      <c r="B3618" s="16" t="inlineStr">
        <is>
          <t>4.3</t>
        </is>
      </c>
      <c r="C3618" s="16" t="inlineStr">
        <is>
          <t>4.3 T_sumidero</t>
        </is>
      </c>
      <c r="D3618" s="16" t="inlineStr">
        <is>
          <t>ronda 0</t>
        </is>
      </c>
      <c r="E3618" s="16" t="inlineStr">
        <is>
          <t>KF-M09</t>
        </is>
      </c>
      <c r="F3618" s="16" t="inlineStr">
        <is>
          <t>KF-M09-R0-T_sumidero</t>
        </is>
      </c>
      <c r="G3618" s="16" t="inlineStr">
        <is>
          <t>B13-T_sumidero</t>
        </is>
      </c>
      <c r="H3618" s="16" t="inlineStr">
        <is>
          <t>lhs</t>
        </is>
      </c>
      <c r="I3618" s="16" t="inlineStr">
        <is>
          <t>KALINA</t>
        </is>
      </c>
      <c r="J3618" s="16" t="inlineStr">
        <is>
          <t>KALINA</t>
        </is>
      </c>
      <c r="K3618" s="16" t="b">
        <v>1</v>
      </c>
      <c r="L3618" s="16" t="b">
        <v>0</v>
      </c>
      <c r="M3618" s="16" t="b">
        <v>1</v>
      </c>
      <c r="N3618" s="16" t="b">
        <v>0</v>
      </c>
      <c r="O3618" s="16" t="n">
        <v>424.1067684793671</v>
      </c>
      <c r="P3618" s="16" t="n">
        <v>300.032917</v>
      </c>
      <c r="Q3618" s="16" t="n">
        <v>3031.929216630214</v>
      </c>
      <c r="R3618" s="16" t="n">
        <v>1364.643778895836</v>
      </c>
      <c r="S3618" s="16" t="n">
        <v>0.5131222726701941</v>
      </c>
      <c r="T3618" s="16" t="n">
        <v>0.6911873105187439</v>
      </c>
      <c r="U3618" s="16" t="n">
        <v>0.4002281343324572</v>
      </c>
      <c r="V3618" s="16" t="n">
        <v>0.9225865681310224</v>
      </c>
      <c r="W3618" s="16" t="n">
        <v>0.8772048521265148</v>
      </c>
      <c r="X3618" s="16" t="n">
        <v>0.9300595703807918</v>
      </c>
      <c r="Y3618" s="16" t="n">
        <v>300.032917</v>
      </c>
      <c r="Z3618" s="16" t="n">
        <v>4.13284137447851</v>
      </c>
      <c r="AA3618" s="16" t="n">
        <v>25.74826702235501</v>
      </c>
      <c r="AB3618" s="16" t="n">
        <v>1667.285437734378</v>
      </c>
      <c r="AC3618" s="16" t="n">
        <v>2.221773376700121</v>
      </c>
      <c r="AD3618" s="16" t="n"/>
      <c r="AE3618" s="16" t="n"/>
    </row>
    <row r="3619">
      <c r="A3619" s="16" t="inlineStr">
        <is>
          <t>KF-M09-R0-T_sumidero-0006</t>
        </is>
      </c>
      <c r="B3619" s="16" t="inlineStr">
        <is>
          <t>4.3</t>
        </is>
      </c>
      <c r="C3619" s="16" t="inlineStr">
        <is>
          <t>4.3 T_sumidero</t>
        </is>
      </c>
      <c r="D3619" s="16" t="inlineStr">
        <is>
          <t>ronda 0</t>
        </is>
      </c>
      <c r="E3619" s="16" t="inlineStr">
        <is>
          <t>KF-M09</t>
        </is>
      </c>
      <c r="F3619" s="16" t="inlineStr">
        <is>
          <t>KF-M09-R0-T_sumidero</t>
        </is>
      </c>
      <c r="G3619" s="16" t="inlineStr">
        <is>
          <t>B13-T_sumidero</t>
        </is>
      </c>
      <c r="H3619" s="16" t="inlineStr">
        <is>
          <t>lhs</t>
        </is>
      </c>
      <c r="I3619" s="16" t="inlineStr">
        <is>
          <t>KALINA</t>
        </is>
      </c>
      <c r="J3619" s="16" t="inlineStr">
        <is>
          <t>KALINA</t>
        </is>
      </c>
      <c r="K3619" s="16" t="b">
        <v>1</v>
      </c>
      <c r="L3619" s="16" t="b">
        <v>1</v>
      </c>
      <c r="M3619" s="16" t="b">
        <v>0</v>
      </c>
      <c r="N3619" s="16" t="b">
        <v>0</v>
      </c>
      <c r="O3619" s="16" t="n">
        <v>418.4142941828251</v>
      </c>
      <c r="P3619" s="16" t="n">
        <v>300.032917</v>
      </c>
      <c r="Q3619" s="16" t="n">
        <v>4819.237671002307</v>
      </c>
      <c r="R3619" s="16" t="n">
        <v>1285.732391221921</v>
      </c>
      <c r="S3619" s="16" t="n">
        <v>0.6940470738432265</v>
      </c>
      <c r="T3619" s="16" t="n">
        <v>0.8180569585039887</v>
      </c>
      <c r="U3619" s="16" t="n">
        <v>0.5377968797720447</v>
      </c>
      <c r="V3619" s="16" t="n">
        <v>0.7783528076694433</v>
      </c>
      <c r="W3619" s="16" t="n">
        <v>0.4356175774167352</v>
      </c>
      <c r="X3619" s="16" t="n">
        <v>0.8991583633680753</v>
      </c>
      <c r="Y3619" s="16" t="n">
        <v>300.032917</v>
      </c>
      <c r="Z3619" s="16" t="n">
        <v>7.36580553653169</v>
      </c>
      <c r="AA3619" s="16" t="n">
        <v>48.6123246804562</v>
      </c>
      <c r="AB3619" s="16" t="n">
        <v>3533.505279780386</v>
      </c>
      <c r="AC3619" s="16" t="n">
        <v>3.748243183344124</v>
      </c>
      <c r="AD3619" s="16" t="n"/>
      <c r="AE3619" s="16" t="n"/>
    </row>
    <row r="3620">
      <c r="A3620" s="16" t="inlineStr">
        <is>
          <t>KF-M09-R0-T_sumidero-0007</t>
        </is>
      </c>
      <c r="B3620" s="16" t="inlineStr">
        <is>
          <t>4.3</t>
        </is>
      </c>
      <c r="C3620" s="16" t="inlineStr">
        <is>
          <t>4.3 T_sumidero</t>
        </is>
      </c>
      <c r="D3620" s="16" t="inlineStr">
        <is>
          <t>ronda 0</t>
        </is>
      </c>
      <c r="E3620" s="16" t="inlineStr">
        <is>
          <t>KF-M09</t>
        </is>
      </c>
      <c r="F3620" s="16" t="inlineStr">
        <is>
          <t>KF-M09-R0-T_sumidero</t>
        </is>
      </c>
      <c r="G3620" s="16" t="inlineStr">
        <is>
          <t>B13-T_sumidero</t>
        </is>
      </c>
      <c r="H3620" s="16" t="inlineStr">
        <is>
          <t>lhs</t>
        </is>
      </c>
      <c r="I3620" s="16" t="inlineStr">
        <is>
          <t>CORREGIBLE</t>
        </is>
      </c>
      <c r="J3620" s="16" t="inlineStr">
        <is>
          <t>CORREGIBLE</t>
        </is>
      </c>
      <c r="K3620" s="16" t="b">
        <v>1</v>
      </c>
      <c r="L3620" s="16" t="b">
        <v>0</v>
      </c>
      <c r="M3620" s="16" t="b">
        <v>0</v>
      </c>
      <c r="N3620" s="16" t="b">
        <v>0</v>
      </c>
      <c r="O3620" s="16" t="n">
        <v>430.9562950430061</v>
      </c>
      <c r="P3620" s="16" t="n">
        <v>300.032917</v>
      </c>
      <c r="Q3620" s="16" t="n">
        <v>3235.728764195993</v>
      </c>
      <c r="R3620" s="16" t="n">
        <v>607.1460675815364</v>
      </c>
      <c r="S3620" s="16" t="n">
        <v>0.5658203451079268</v>
      </c>
      <c r="T3620" s="16" t="n">
        <v>0.8760243993310066</v>
      </c>
      <c r="U3620" s="16" t="n">
        <v>0.5257033408996902</v>
      </c>
      <c r="V3620" s="16" t="n">
        <v>0.7284597026197749</v>
      </c>
      <c r="W3620" s="16" t="n">
        <v>0.8796263501611716</v>
      </c>
      <c r="X3620" s="16" t="n">
        <v>0.5482480100491371</v>
      </c>
      <c r="Y3620" s="16" t="n">
        <v>300.032917</v>
      </c>
      <c r="Z3620" s="16" t="n">
        <v>5.08657330342372</v>
      </c>
      <c r="AA3620" s="16" t="n">
        <v>24.74417327174189</v>
      </c>
      <c r="AB3620" s="16" t="n">
        <v>2628.582696614456</v>
      </c>
      <c r="AC3620" s="16" t="n">
        <v>5.329407430875689</v>
      </c>
      <c r="AD3620" s="16" t="inlineStr">
        <is>
          <t>O2</t>
        </is>
      </c>
      <c r="AE3620" s="16" t="n"/>
    </row>
    <row r="3621">
      <c r="A3621" s="16" t="inlineStr">
        <is>
          <t>KF-M09-R0-T_sumidero-0008</t>
        </is>
      </c>
      <c r="B3621" s="16" t="inlineStr">
        <is>
          <t>4.3</t>
        </is>
      </c>
      <c r="C3621" s="16" t="inlineStr">
        <is>
          <t>4.3 T_sumidero</t>
        </is>
      </c>
      <c r="D3621" s="16" t="inlineStr">
        <is>
          <t>ronda 0</t>
        </is>
      </c>
      <c r="E3621" s="16" t="inlineStr">
        <is>
          <t>KF-M09</t>
        </is>
      </c>
      <c r="F3621" s="16" t="inlineStr">
        <is>
          <t>KF-M09-R0-T_sumidero</t>
        </is>
      </c>
      <c r="G3621" s="16" t="inlineStr">
        <is>
          <t>B13-T_sumidero</t>
        </is>
      </c>
      <c r="H3621" s="16" t="inlineStr">
        <is>
          <t>lhs</t>
        </is>
      </c>
      <c r="I3621" s="16" t="inlineStr">
        <is>
          <t>CORREGIBLE</t>
        </is>
      </c>
      <c r="J3621" s="16" t="inlineStr">
        <is>
          <t>CORREGIBLE</t>
        </is>
      </c>
      <c r="K3621" s="16" t="b">
        <v>1</v>
      </c>
      <c r="L3621" s="16" t="b">
        <v>0</v>
      </c>
      <c r="M3621" s="16" t="b">
        <v>1</v>
      </c>
      <c r="N3621" s="16" t="b">
        <v>0</v>
      </c>
      <c r="O3621" s="16" t="n">
        <v>460.0082981068089</v>
      </c>
      <c r="P3621" s="16" t="n">
        <v>300.032917</v>
      </c>
      <c r="Q3621" s="16" t="n">
        <v>3674.153241560003</v>
      </c>
      <c r="R3621" s="16" t="n">
        <v>1184.192901782665</v>
      </c>
      <c r="S3621" s="16" t="n">
        <v>0.6283217460570073</v>
      </c>
      <c r="T3621" s="16" t="n">
        <v>0.645888715954378</v>
      </c>
      <c r="U3621" s="16" t="n">
        <v>0.8806586683575839</v>
      </c>
      <c r="V3621" s="16" t="n">
        <v>0.7146825245071902</v>
      </c>
      <c r="W3621" s="16" t="n">
        <v>0.7200112318877727</v>
      </c>
      <c r="X3621" s="16" t="n">
        <v>0.7591591324396376</v>
      </c>
      <c r="Y3621" s="16" t="n">
        <v>300.032917</v>
      </c>
      <c r="Z3621" s="16" t="n">
        <v>6.52998978409559</v>
      </c>
      <c r="AA3621" s="16" t="n">
        <v>67.87389128387755</v>
      </c>
      <c r="AB3621" s="16" t="n">
        <v>2489.960339777338</v>
      </c>
      <c r="AC3621" s="16" t="n">
        <v>3.102664469639188</v>
      </c>
      <c r="AD3621" s="16" t="inlineStr">
        <is>
          <t>O2</t>
        </is>
      </c>
      <c r="AE3621" s="16" t="n"/>
    </row>
    <row r="3622">
      <c r="A3622" s="16" t="inlineStr">
        <is>
          <t>KF-M09-R0-T_sumidero-0009</t>
        </is>
      </c>
      <c r="B3622" s="16" t="inlineStr">
        <is>
          <t>4.3</t>
        </is>
      </c>
      <c r="C3622" s="16" t="inlineStr">
        <is>
          <t>4.3 T_sumidero</t>
        </is>
      </c>
      <c r="D3622" s="16" t="inlineStr">
        <is>
          <t>ronda 0</t>
        </is>
      </c>
      <c r="E3622" s="16" t="inlineStr">
        <is>
          <t>KF-M09</t>
        </is>
      </c>
      <c r="F3622" s="16" t="inlineStr">
        <is>
          <t>KF-M09-R0-T_sumidero</t>
        </is>
      </c>
      <c r="G3622" s="16" t="inlineStr">
        <is>
          <t>B13-T_sumidero</t>
        </is>
      </c>
      <c r="H3622" s="16" t="inlineStr">
        <is>
          <t>lhs</t>
        </is>
      </c>
      <c r="I3622" s="16" t="inlineStr">
        <is>
          <t>CORREGIBLE</t>
        </is>
      </c>
      <c r="J3622" s="16" t="inlineStr">
        <is>
          <t>CORREGIBLE</t>
        </is>
      </c>
      <c r="K3622" s="16" t="b">
        <v>1</v>
      </c>
      <c r="L3622" s="16" t="b">
        <v>0</v>
      </c>
      <c r="M3622" s="16" t="b">
        <v>1</v>
      </c>
      <c r="N3622" s="16" t="b">
        <v>0</v>
      </c>
      <c r="O3622" s="16" t="n">
        <v>489.8736083579299</v>
      </c>
      <c r="P3622" s="16" t="n">
        <v>300.032917</v>
      </c>
      <c r="Q3622" s="16" t="n">
        <v>2713.441148043448</v>
      </c>
      <c r="R3622" s="16" t="n">
        <v>1579.784048217501</v>
      </c>
      <c r="S3622" s="16" t="n">
        <v>0.7752205469740013</v>
      </c>
      <c r="T3622" s="16" t="n">
        <v>0.6322563835438817</v>
      </c>
      <c r="U3622" s="16" t="n">
        <v>0.8619417876716041</v>
      </c>
      <c r="V3622" s="16" t="n">
        <v>0.6021167240258112</v>
      </c>
      <c r="W3622" s="16" t="n">
        <v>0.8888573828108079</v>
      </c>
      <c r="X3622" s="16" t="n">
        <v>0.4365153654834508</v>
      </c>
      <c r="Y3622" s="16" t="n">
        <v>300.032917</v>
      </c>
      <c r="Z3622" s="16" t="n">
        <v>0.01122944495906</v>
      </c>
      <c r="AA3622" s="16" t="n">
        <v>0.073531479200561</v>
      </c>
      <c r="AB3622" s="16" t="n">
        <v>1133.657099825947</v>
      </c>
      <c r="AC3622" s="16" t="n">
        <v>1.717602574291767</v>
      </c>
      <c r="AD3622" s="16" t="inlineStr">
        <is>
          <t>O2</t>
        </is>
      </c>
      <c r="AE3622" s="16" t="n"/>
    </row>
    <row r="3623">
      <c r="A3623" s="16" t="inlineStr">
        <is>
          <t>KF-M09-R0-T_sumidero-0010</t>
        </is>
      </c>
      <c r="B3623" s="16" t="inlineStr">
        <is>
          <t>4.3</t>
        </is>
      </c>
      <c r="C3623" s="16" t="inlineStr">
        <is>
          <t>4.3 T_sumidero</t>
        </is>
      </c>
      <c r="D3623" s="16" t="inlineStr">
        <is>
          <t>ronda 0</t>
        </is>
      </c>
      <c r="E3623" s="16" t="inlineStr">
        <is>
          <t>KF-M09</t>
        </is>
      </c>
      <c r="F3623" s="16" t="inlineStr">
        <is>
          <t>KF-M09-R0-T_sumidero</t>
        </is>
      </c>
      <c r="G3623" s="16" t="inlineStr">
        <is>
          <t>B13-T_sumidero</t>
        </is>
      </c>
      <c r="H3623" s="16" t="inlineStr">
        <is>
          <t>lhs</t>
        </is>
      </c>
      <c r="I3623" s="16" t="inlineStr">
        <is>
          <t>INVIABLE</t>
        </is>
      </c>
      <c r="J3623" s="16" t="inlineStr">
        <is>
          <t>INVIABLE</t>
        </is>
      </c>
      <c r="K3623" s="16" t="b">
        <v>1</v>
      </c>
      <c r="L3623" s="16" t="b">
        <v>0</v>
      </c>
      <c r="M3623" s="16" t="b">
        <v>0</v>
      </c>
      <c r="N3623" s="16" t="b">
        <v>0</v>
      </c>
      <c r="O3623" s="16" t="n">
        <v>432.6002388328473</v>
      </c>
      <c r="P3623" s="16" t="n">
        <v>300.032917</v>
      </c>
      <c r="Q3623" s="16" t="n">
        <v>4884.784844622301</v>
      </c>
      <c r="R3623" s="16" t="n">
        <v>363.7250798058286</v>
      </c>
      <c r="S3623" s="16" t="n">
        <v>0.5404900154788931</v>
      </c>
      <c r="T3623" s="16" t="n">
        <v>0.4054753973501306</v>
      </c>
      <c r="U3623" s="16" t="n">
        <v>0.4763032145448135</v>
      </c>
      <c r="V3623" s="16" t="n">
        <v>0.5562337861251234</v>
      </c>
      <c r="W3623" s="16" t="n">
        <v>0.726910635722062</v>
      </c>
      <c r="X3623" s="16" t="n">
        <v>0.8695507550508397</v>
      </c>
      <c r="Y3623" s="16" t="n">
        <v>300.032917</v>
      </c>
      <c r="Z3623" s="16" t="n">
        <v>-2.26647828238322</v>
      </c>
      <c r="AA3623" s="16" t="n">
        <v>-6.472475827787505</v>
      </c>
      <c r="AB3623" s="16" t="n">
        <v>4521.059764816472</v>
      </c>
      <c r="AC3623" s="16" t="n">
        <v>13.4298818416096</v>
      </c>
      <c r="AD3623" s="16" t="inlineStr">
        <is>
          <t>O2,O3</t>
        </is>
      </c>
      <c r="AE3623" s="16" t="n"/>
    </row>
    <row r="3624">
      <c r="A3624" s="16" t="inlineStr">
        <is>
          <t>KF-M09-R0-T_sumidero-0011</t>
        </is>
      </c>
      <c r="B3624" s="16" t="inlineStr">
        <is>
          <t>4.3</t>
        </is>
      </c>
      <c r="C3624" s="16" t="inlineStr">
        <is>
          <t>4.3 T_sumidero</t>
        </is>
      </c>
      <c r="D3624" s="16" t="inlineStr">
        <is>
          <t>ronda 0</t>
        </is>
      </c>
      <c r="E3624" s="16" t="inlineStr">
        <is>
          <t>KF-M09</t>
        </is>
      </c>
      <c r="F3624" s="16" t="inlineStr">
        <is>
          <t>KF-M09-R0-T_sumidero</t>
        </is>
      </c>
      <c r="G3624" s="16" t="inlineStr">
        <is>
          <t>B13-T_sumidero</t>
        </is>
      </c>
      <c r="H3624" s="16" t="inlineStr">
        <is>
          <t>lhs</t>
        </is>
      </c>
      <c r="I3624" s="16" t="inlineStr">
        <is>
          <t>CORREGIBLE</t>
        </is>
      </c>
      <c r="J3624" s="16" t="inlineStr">
        <is>
          <t>CORREGIBLE</t>
        </is>
      </c>
      <c r="K3624" s="16" t="b">
        <v>1</v>
      </c>
      <c r="L3624" s="16" t="b">
        <v>0</v>
      </c>
      <c r="M3624" s="16" t="b">
        <v>0</v>
      </c>
      <c r="N3624" s="16" t="b">
        <v>0</v>
      </c>
      <c r="O3624" s="16" t="n">
        <v>417.7112321858924</v>
      </c>
      <c r="P3624" s="16" t="n">
        <v>300.032917</v>
      </c>
      <c r="Q3624" s="16" t="n">
        <v>2403.802702095108</v>
      </c>
      <c r="R3624" s="16" t="n">
        <v>1346.311421669999</v>
      </c>
      <c r="S3624" s="16" t="n">
        <v>0.8179855984848314</v>
      </c>
      <c r="T3624" s="16" t="n">
        <v>0.7928917800947933</v>
      </c>
      <c r="U3624" s="16" t="n">
        <v>0.4794669106005601</v>
      </c>
      <c r="V3624" s="16" t="n">
        <v>0.831410155315041</v>
      </c>
      <c r="W3624" s="16" t="n">
        <v>0.5668789309760923</v>
      </c>
      <c r="X3624" s="16" t="n">
        <v>0.776160810620425</v>
      </c>
      <c r="Y3624" s="16" t="n">
        <v>300.032917</v>
      </c>
      <c r="Z3624" s="16" t="n">
        <v>3.59008684962885</v>
      </c>
      <c r="AA3624" s="16" t="n">
        <v>37.94024717357219</v>
      </c>
      <c r="AB3624" s="16" t="n">
        <v>1057.491280425109</v>
      </c>
      <c r="AC3624" s="16" t="n">
        <v>1.785473006767906</v>
      </c>
      <c r="AD3624" s="16" t="inlineStr">
        <is>
          <t>O2</t>
        </is>
      </c>
      <c r="AE3624" s="16" t="n"/>
    </row>
    <row r="3625">
      <c r="A3625" s="16" t="inlineStr">
        <is>
          <t>KF-M09-R0-P_baja-0099</t>
        </is>
      </c>
      <c r="B3625" s="16" t="inlineStr">
        <is>
          <t>4.3</t>
        </is>
      </c>
      <c r="C3625" s="16" t="inlineStr">
        <is>
          <t>4.3 P_baja</t>
        </is>
      </c>
      <c r="D3625" s="16" t="inlineStr">
        <is>
          <t>ronda 0</t>
        </is>
      </c>
      <c r="E3625" s="16" t="inlineStr">
        <is>
          <t>KF-M09</t>
        </is>
      </c>
      <c r="F3625" s="16" t="inlineStr">
        <is>
          <t>KF-M09-R0-P_baja</t>
        </is>
      </c>
      <c r="G3625" s="16" t="inlineStr">
        <is>
          <t>B13-P_baja</t>
        </is>
      </c>
      <c r="H3625" s="16" t="inlineStr">
        <is>
          <t>lhs</t>
        </is>
      </c>
      <c r="I3625" s="16" t="inlineStr">
        <is>
          <t>NO_CONVERGIO</t>
        </is>
      </c>
      <c r="J3625" s="16" t="inlineStr">
        <is>
          <t>NO_CONVERGIO</t>
        </is>
      </c>
      <c r="K3625" s="16" t="b">
        <v>0</v>
      </c>
      <c r="L3625" s="16" t="b">
        <v>0</v>
      </c>
      <c r="M3625" s="16" t="b">
        <v>0</v>
      </c>
      <c r="N3625" s="16" t="b">
        <v>0</v>
      </c>
      <c r="O3625" s="16" t="n">
        <v>510.3500375068445</v>
      </c>
      <c r="P3625" s="16" t="n">
        <v>298.049241276653</v>
      </c>
      <c r="Q3625" s="16" t="n">
        <v>4410.778114554048</v>
      </c>
      <c r="R3625" s="16" t="n">
        <v>400</v>
      </c>
      <c r="S3625" s="16" t="n">
        <v>0.8466095237746563</v>
      </c>
      <c r="T3625" s="16" t="n">
        <v>0.7258045432847671</v>
      </c>
      <c r="U3625" s="16" t="n">
        <v>0.9224317987368116</v>
      </c>
      <c r="V3625" s="16" t="n">
        <v>0.6224097291745899</v>
      </c>
      <c r="W3625" s="16" t="n">
        <v>0.805267320652433</v>
      </c>
      <c r="X3625" s="16" t="n">
        <v>0.4318817082408617</v>
      </c>
      <c r="Y3625" s="16" t="n">
        <v>298.049241276653</v>
      </c>
      <c r="Z3625" s="16" t="n"/>
      <c r="AA3625" s="16" t="n"/>
      <c r="AB3625" s="16" t="n">
        <v>4010.778114554048</v>
      </c>
      <c r="AC3625" s="16" t="n">
        <v>11.02694528638512</v>
      </c>
      <c r="AD3625" s="16" t="n"/>
      <c r="AE3625" s="16" t="n"/>
    </row>
    <row r="3626">
      <c r="A3626" s="16" t="inlineStr">
        <is>
          <t>KF-M09-R0-T_sumidero-0012</t>
        </is>
      </c>
      <c r="B3626" s="16" t="inlineStr">
        <is>
          <t>4.3</t>
        </is>
      </c>
      <c r="C3626" s="16" t="inlineStr">
        <is>
          <t>4.3 T_sumidero</t>
        </is>
      </c>
      <c r="D3626" s="16" t="inlineStr">
        <is>
          <t>ronda 0</t>
        </is>
      </c>
      <c r="E3626" s="16" t="inlineStr">
        <is>
          <t>KF-M09</t>
        </is>
      </c>
      <c r="F3626" s="16" t="inlineStr">
        <is>
          <t>KF-M09-R0-T_sumidero</t>
        </is>
      </c>
      <c r="G3626" s="16" t="inlineStr">
        <is>
          <t>B13-T_sumidero</t>
        </is>
      </c>
      <c r="H3626" s="16" t="inlineStr">
        <is>
          <t>lhs</t>
        </is>
      </c>
      <c r="I3626" s="16" t="inlineStr">
        <is>
          <t>CORREGIBLE</t>
        </is>
      </c>
      <c r="J3626" s="16" t="inlineStr">
        <is>
          <t>CORREGIBLE</t>
        </is>
      </c>
      <c r="K3626" s="16" t="b">
        <v>1</v>
      </c>
      <c r="L3626" s="16" t="b">
        <v>0</v>
      </c>
      <c r="M3626" s="16" t="b">
        <v>0</v>
      </c>
      <c r="N3626" s="16" t="b">
        <v>0</v>
      </c>
      <c r="O3626" s="16" t="n">
        <v>387.1449380428829</v>
      </c>
      <c r="P3626" s="16" t="n">
        <v>300.032917</v>
      </c>
      <c r="Q3626" s="16" t="n">
        <v>2650.058539234817</v>
      </c>
      <c r="R3626" s="16" t="n">
        <v>705.8263429431672</v>
      </c>
      <c r="S3626" s="16" t="n">
        <v>0.7594220068816739</v>
      </c>
      <c r="T3626" s="16" t="n">
        <v>0.8853363559886437</v>
      </c>
      <c r="U3626" s="16" t="n">
        <v>0.5771604306499489</v>
      </c>
      <c r="V3626" s="16" t="n">
        <v>0.6954125198224297</v>
      </c>
      <c r="W3626" s="16" t="n">
        <v>0.7702087023135631</v>
      </c>
      <c r="X3626" s="16" t="n">
        <v>0.909557539501382</v>
      </c>
      <c r="Y3626" s="16" t="n">
        <v>300.032917</v>
      </c>
      <c r="Z3626" s="16" t="n">
        <v>5.83474234485126</v>
      </c>
      <c r="AA3626" s="16" t="n">
        <v>28.00718482655021</v>
      </c>
      <c r="AB3626" s="16" t="n">
        <v>1944.23219629165</v>
      </c>
      <c r="AC3626" s="16" t="n">
        <v>3.75454751119738</v>
      </c>
      <c r="AD3626" s="16" t="inlineStr">
        <is>
          <t>O2</t>
        </is>
      </c>
      <c r="AE3626" s="16" t="n"/>
    </row>
    <row r="3627">
      <c r="A3627" s="16" t="inlineStr">
        <is>
          <t>KF-M09-R0-T_sumidero-0013</t>
        </is>
      </c>
      <c r="B3627" s="16" t="inlineStr">
        <is>
          <t>4.3</t>
        </is>
      </c>
      <c r="C3627" s="16" t="inlineStr">
        <is>
          <t>4.3 T_sumidero</t>
        </is>
      </c>
      <c r="D3627" s="16" t="inlineStr">
        <is>
          <t>ronda 0</t>
        </is>
      </c>
      <c r="E3627" s="16" t="inlineStr">
        <is>
          <t>KF-M09</t>
        </is>
      </c>
      <c r="F3627" s="16" t="inlineStr">
        <is>
          <t>KF-M09-R0-T_sumidero</t>
        </is>
      </c>
      <c r="G3627" s="16" t="inlineStr">
        <is>
          <t>B13-T_sumidero</t>
        </is>
      </c>
      <c r="H3627" s="16" t="inlineStr">
        <is>
          <t>lhs</t>
        </is>
      </c>
      <c r="I3627" s="16" t="inlineStr">
        <is>
          <t>KALINA</t>
        </is>
      </c>
      <c r="J3627" s="16" t="inlineStr">
        <is>
          <t>KALINA</t>
        </is>
      </c>
      <c r="K3627" s="16" t="b">
        <v>1</v>
      </c>
      <c r="L3627" s="16" t="b">
        <v>1</v>
      </c>
      <c r="M3627" s="16" t="b">
        <v>0</v>
      </c>
      <c r="N3627" s="16" t="b">
        <v>0</v>
      </c>
      <c r="O3627" s="16" t="n">
        <v>388.6704794719919</v>
      </c>
      <c r="P3627" s="16" t="n">
        <v>300.032917</v>
      </c>
      <c r="Q3627" s="16" t="n">
        <v>2245.428531454291</v>
      </c>
      <c r="R3627" s="16" t="n">
        <v>1724.029291450374</v>
      </c>
      <c r="S3627" s="16" t="n">
        <v>0.5791963163831432</v>
      </c>
      <c r="T3627" s="16" t="n">
        <v>0.5424716754751844</v>
      </c>
      <c r="U3627" s="16" t="n">
        <v>0.6940330684764136</v>
      </c>
      <c r="V3627" s="16" t="n">
        <v>0.4227646259470379</v>
      </c>
      <c r="W3627" s="16" t="n">
        <v>0.8339955663781697</v>
      </c>
      <c r="X3627" s="16" t="n">
        <v>0.5607844216520823</v>
      </c>
      <c r="Y3627" s="16" t="n">
        <v>300.032917</v>
      </c>
      <c r="Z3627" s="16" t="n">
        <v>1.06149116995047</v>
      </c>
      <c r="AA3627" s="16" t="n">
        <v>2.32436496167394</v>
      </c>
      <c r="AB3627" s="16" t="n">
        <v>521.3992400039167</v>
      </c>
      <c r="AC3627" s="16" t="n">
        <v>1.302430615645329</v>
      </c>
      <c r="AD3627" s="16" t="n"/>
      <c r="AE3627" s="16" t="n"/>
    </row>
    <row r="3628">
      <c r="A3628" s="16" t="inlineStr">
        <is>
          <t>KF-M09-R0-T_sumidero-0014</t>
        </is>
      </c>
      <c r="B3628" s="16" t="inlineStr">
        <is>
          <t>4.3</t>
        </is>
      </c>
      <c r="C3628" s="16" t="inlineStr">
        <is>
          <t>4.3 T_sumidero</t>
        </is>
      </c>
      <c r="D3628" s="16" t="inlineStr">
        <is>
          <t>ronda 0</t>
        </is>
      </c>
      <c r="E3628" s="16" t="inlineStr">
        <is>
          <t>KF-M09</t>
        </is>
      </c>
      <c r="F3628" s="16" t="inlineStr">
        <is>
          <t>KF-M09-R0-T_sumidero</t>
        </is>
      </c>
      <c r="G3628" s="16" t="inlineStr">
        <is>
          <t>B13-T_sumidero</t>
        </is>
      </c>
      <c r="H3628" s="16" t="inlineStr">
        <is>
          <t>lhs</t>
        </is>
      </c>
      <c r="I3628" s="16" t="inlineStr">
        <is>
          <t>CORREGIBLE</t>
        </is>
      </c>
      <c r="J3628" s="16" t="inlineStr">
        <is>
          <t>CORREGIBLE</t>
        </is>
      </c>
      <c r="K3628" s="16" t="b">
        <v>1</v>
      </c>
      <c r="L3628" s="16" t="b">
        <v>0</v>
      </c>
      <c r="M3628" s="16" t="b">
        <v>1</v>
      </c>
      <c r="N3628" s="16" t="b">
        <v>0</v>
      </c>
      <c r="O3628" s="16" t="n">
        <v>506.5863321124243</v>
      </c>
      <c r="P3628" s="16" t="n">
        <v>300.032917</v>
      </c>
      <c r="Q3628" s="16" t="n">
        <v>2195.491936081489</v>
      </c>
      <c r="R3628" s="16" t="n">
        <v>1268.525697477961</v>
      </c>
      <c r="S3628" s="16" t="n">
        <v>0.5698455952154374</v>
      </c>
      <c r="T3628" s="16" t="n">
        <v>0.6690886765978822</v>
      </c>
      <c r="U3628" s="16" t="n">
        <v>0.9155822630506044</v>
      </c>
      <c r="V3628" s="16" t="n">
        <v>0.4999636720687808</v>
      </c>
      <c r="W3628" s="16" t="n">
        <v>0.940644949830942</v>
      </c>
      <c r="X3628" s="16" t="n">
        <v>0.6530371951158942</v>
      </c>
      <c r="Y3628" s="16" t="n">
        <v>300.032917</v>
      </c>
      <c r="Z3628" s="16" t="n">
        <v>2.93602723453763</v>
      </c>
      <c r="AA3628" s="16" t="n">
        <v>26.35325057072509</v>
      </c>
      <c r="AB3628" s="16" t="n">
        <v>926.966238603528</v>
      </c>
      <c r="AC3628" s="16" t="n">
        <v>1.730742972291764</v>
      </c>
      <c r="AD3628" s="16" t="inlineStr">
        <is>
          <t>O2</t>
        </is>
      </c>
      <c r="AE3628" s="16" t="n"/>
    </row>
    <row r="3629">
      <c r="A3629" s="16" t="inlineStr">
        <is>
          <t>KF-M09-R0-T_sumidero-0015</t>
        </is>
      </c>
      <c r="B3629" s="16" t="inlineStr">
        <is>
          <t>4.3</t>
        </is>
      </c>
      <c r="C3629" s="16" t="inlineStr">
        <is>
          <t>4.3 T_sumidero</t>
        </is>
      </c>
      <c r="D3629" s="16" t="inlineStr">
        <is>
          <t>ronda 0</t>
        </is>
      </c>
      <c r="E3629" s="16" t="inlineStr">
        <is>
          <t>KF-M09</t>
        </is>
      </c>
      <c r="F3629" s="16" t="inlineStr">
        <is>
          <t>KF-M09-R0-T_sumidero</t>
        </is>
      </c>
      <c r="G3629" s="16" t="inlineStr">
        <is>
          <t>B13-T_sumidero</t>
        </is>
      </c>
      <c r="H3629" s="16" t="inlineStr">
        <is>
          <t>lhs</t>
        </is>
      </c>
      <c r="I3629" s="16" t="inlineStr">
        <is>
          <t>INVIABLE</t>
        </is>
      </c>
      <c r="J3629" s="16" t="inlineStr">
        <is>
          <t>INVIABLE</t>
        </is>
      </c>
      <c r="K3629" s="16" t="b">
        <v>1</v>
      </c>
      <c r="L3629" s="16" t="b">
        <v>0</v>
      </c>
      <c r="M3629" s="16" t="b">
        <v>0</v>
      </c>
      <c r="N3629" s="16" t="b">
        <v>0</v>
      </c>
      <c r="O3629" s="16" t="n">
        <v>511.8491935290475</v>
      </c>
      <c r="P3629" s="16" t="n">
        <v>300.032917</v>
      </c>
      <c r="Q3629" s="16" t="n">
        <v>3218.394021491596</v>
      </c>
      <c r="R3629" s="16" t="n">
        <v>844.5672407159849</v>
      </c>
      <c r="S3629" s="16" t="n">
        <v>0.7517213081458636</v>
      </c>
      <c r="T3629" s="16" t="n">
        <v>0.5237225145985385</v>
      </c>
      <c r="U3629" s="16" t="n">
        <v>0.5979002478189555</v>
      </c>
      <c r="V3629" s="16" t="n">
        <v>0.4552981291469136</v>
      </c>
      <c r="W3629" s="16" t="n">
        <v>0.7130469245863866</v>
      </c>
      <c r="X3629" s="16" t="n">
        <v>0.5163261389453585</v>
      </c>
      <c r="Y3629" s="16" t="n">
        <v>300.032917</v>
      </c>
      <c r="Z3629" s="16" t="n">
        <v>-7.70850346725937</v>
      </c>
      <c r="AA3629" s="16" t="n">
        <v>-46.30612525125326</v>
      </c>
      <c r="AB3629" s="16" t="n">
        <v>2373.826780775611</v>
      </c>
      <c r="AC3629" s="16" t="n">
        <v>3.810701938620294</v>
      </c>
      <c r="AD3629" s="16" t="inlineStr">
        <is>
          <t>O2,O3</t>
        </is>
      </c>
      <c r="AE3629" s="16" t="n"/>
    </row>
    <row r="3630">
      <c r="A3630" s="16" t="inlineStr">
        <is>
          <t>KF-M09-R0-T_sumidero-0016</t>
        </is>
      </c>
      <c r="B3630" s="16" t="inlineStr">
        <is>
          <t>4.3</t>
        </is>
      </c>
      <c r="C3630" s="16" t="inlineStr">
        <is>
          <t>4.3 T_sumidero</t>
        </is>
      </c>
      <c r="D3630" s="16" t="inlineStr">
        <is>
          <t>ronda 0</t>
        </is>
      </c>
      <c r="E3630" s="16" t="inlineStr">
        <is>
          <t>KF-M09</t>
        </is>
      </c>
      <c r="F3630" s="16" t="inlineStr">
        <is>
          <t>KF-M09-R0-T_sumidero</t>
        </is>
      </c>
      <c r="G3630" s="16" t="inlineStr">
        <is>
          <t>B13-T_sumidero</t>
        </is>
      </c>
      <c r="H3630" s="16" t="inlineStr">
        <is>
          <t>lhs</t>
        </is>
      </c>
      <c r="I3630" s="16" t="inlineStr">
        <is>
          <t>KALINA</t>
        </is>
      </c>
      <c r="J3630" s="16" t="inlineStr">
        <is>
          <t>KALINA</t>
        </is>
      </c>
      <c r="K3630" s="16" t="b">
        <v>1</v>
      </c>
      <c r="L3630" s="16" t="b">
        <v>1</v>
      </c>
      <c r="M3630" s="16" t="b">
        <v>0</v>
      </c>
      <c r="N3630" s="16" t="b">
        <v>0</v>
      </c>
      <c r="O3630" s="16" t="n">
        <v>433.6280547801183</v>
      </c>
      <c r="P3630" s="16" t="n">
        <v>300.032917</v>
      </c>
      <c r="Q3630" s="16" t="n">
        <v>4076.541298420954</v>
      </c>
      <c r="R3630" s="16" t="n">
        <v>1503.014775329492</v>
      </c>
      <c r="S3630" s="16" t="n">
        <v>0.584454855990543</v>
      </c>
      <c r="T3630" s="16" t="n">
        <v>0.5029714340088043</v>
      </c>
      <c r="U3630" s="16" t="n">
        <v>0.7791438028845686</v>
      </c>
      <c r="V3630" s="16" t="n">
        <v>0.6472297910612728</v>
      </c>
      <c r="W3630" s="16" t="n">
        <v>0.8537421282959121</v>
      </c>
      <c r="X3630" s="16" t="n">
        <v>0.8851647746281974</v>
      </c>
      <c r="Y3630" s="16" t="n">
        <v>300.032917</v>
      </c>
      <c r="Z3630" s="16" t="n">
        <v>3.80690681522854</v>
      </c>
      <c r="AA3630" s="16" t="n">
        <v>19.4370390459797</v>
      </c>
      <c r="AB3630" s="16" t="n">
        <v>2573.526523091462</v>
      </c>
      <c r="AC3630" s="16" t="n">
        <v>2.712242996764481</v>
      </c>
      <c r="AD3630" s="16" t="n"/>
      <c r="AE3630" s="16" t="n"/>
    </row>
    <row r="3631">
      <c r="A3631" s="16" t="inlineStr">
        <is>
          <t>KF-M09-R0-T_sumidero-0017</t>
        </is>
      </c>
      <c r="B3631" s="16" t="inlineStr">
        <is>
          <t>4.3</t>
        </is>
      </c>
      <c r="C3631" s="16" t="inlineStr">
        <is>
          <t>4.3 T_sumidero</t>
        </is>
      </c>
      <c r="D3631" s="16" t="inlineStr">
        <is>
          <t>ronda 0</t>
        </is>
      </c>
      <c r="E3631" s="16" t="inlineStr">
        <is>
          <t>KF-M09</t>
        </is>
      </c>
      <c r="F3631" s="16" t="inlineStr">
        <is>
          <t>KF-M09-R0-T_sumidero</t>
        </is>
      </c>
      <c r="G3631" s="16" t="inlineStr">
        <is>
          <t>B13-T_sumidero</t>
        </is>
      </c>
      <c r="H3631" s="16" t="inlineStr">
        <is>
          <t>lhs</t>
        </is>
      </c>
      <c r="I3631" s="16" t="inlineStr">
        <is>
          <t>CORREGIBLE</t>
        </is>
      </c>
      <c r="J3631" s="16" t="inlineStr">
        <is>
          <t>CORREGIBLE</t>
        </is>
      </c>
      <c r="K3631" s="16" t="b">
        <v>1</v>
      </c>
      <c r="L3631" s="16" t="b">
        <v>0</v>
      </c>
      <c r="M3631" s="16" t="b">
        <v>1</v>
      </c>
      <c r="N3631" s="16" t="b">
        <v>0</v>
      </c>
      <c r="O3631" s="16" t="n">
        <v>473.7478951026416</v>
      </c>
      <c r="P3631" s="16" t="n">
        <v>300.032917</v>
      </c>
      <c r="Q3631" s="16" t="n">
        <v>2828.943739821478</v>
      </c>
      <c r="R3631" s="16" t="n">
        <v>1990.699241671288</v>
      </c>
      <c r="S3631" s="16" t="n">
        <v>0.6416814565764984</v>
      </c>
      <c r="T3631" s="16" t="n">
        <v>0.5613952420381328</v>
      </c>
      <c r="U3631" s="16" t="n">
        <v>0.4895416390756408</v>
      </c>
      <c r="V3631" s="16" t="n">
        <v>0.5763205251877761</v>
      </c>
      <c r="W3631" s="16" t="n">
        <v>0.6868155433068825</v>
      </c>
      <c r="X3631" s="16" t="n">
        <v>0.6928924096821354</v>
      </c>
      <c r="Y3631" s="16" t="n">
        <v>300.032917</v>
      </c>
      <c r="Z3631" s="16" t="n">
        <v>0.90151710493268</v>
      </c>
      <c r="AA3631" s="16" t="n">
        <v>8.644695663336346</v>
      </c>
      <c r="AB3631" s="16" t="n">
        <v>838.2444981501906</v>
      </c>
      <c r="AC3631" s="16" t="n">
        <v>1.421080432746056</v>
      </c>
      <c r="AD3631" s="16" t="inlineStr">
        <is>
          <t>O2</t>
        </is>
      </c>
      <c r="AE3631" s="16" t="n"/>
    </row>
    <row r="3632">
      <c r="A3632" s="16" t="inlineStr">
        <is>
          <t>KF-M09-R0-T_sumidero-0018</t>
        </is>
      </c>
      <c r="B3632" s="16" t="inlineStr">
        <is>
          <t>4.3</t>
        </is>
      </c>
      <c r="C3632" s="16" t="inlineStr">
        <is>
          <t>4.3 T_sumidero</t>
        </is>
      </c>
      <c r="D3632" s="16" t="inlineStr">
        <is>
          <t>ronda 0</t>
        </is>
      </c>
      <c r="E3632" s="16" t="inlineStr">
        <is>
          <t>KF-M09</t>
        </is>
      </c>
      <c r="F3632" s="16" t="inlineStr">
        <is>
          <t>KF-M09-R0-T_sumidero</t>
        </is>
      </c>
      <c r="G3632" s="16" t="inlineStr">
        <is>
          <t>B13-T_sumidero</t>
        </is>
      </c>
      <c r="H3632" s="16" t="inlineStr">
        <is>
          <t>lhs</t>
        </is>
      </c>
      <c r="I3632" s="16" t="inlineStr">
        <is>
          <t>INVIABLE</t>
        </is>
      </c>
      <c r="J3632" s="16" t="inlineStr">
        <is>
          <t>INVIABLE</t>
        </is>
      </c>
      <c r="K3632" s="16" t="b">
        <v>1</v>
      </c>
      <c r="L3632" s="16" t="b">
        <v>0</v>
      </c>
      <c r="M3632" s="16" t="b">
        <v>0</v>
      </c>
      <c r="N3632" s="16" t="b">
        <v>0</v>
      </c>
      <c r="O3632" s="16" t="n">
        <v>429.4301785484388</v>
      </c>
      <c r="P3632" s="16" t="n">
        <v>300.032917</v>
      </c>
      <c r="Q3632" s="16" t="n">
        <v>3085.054711954882</v>
      </c>
      <c r="R3632" s="16" t="n">
        <v>760.1131491978633</v>
      </c>
      <c r="S3632" s="16" t="n">
        <v>0.8470616641257585</v>
      </c>
      <c r="T3632" s="16" t="n">
        <v>0.943573452090124</v>
      </c>
      <c r="U3632" s="16" t="n">
        <v>0.4141946484266403</v>
      </c>
      <c r="V3632" s="16" t="n">
        <v>0.432581978574253</v>
      </c>
      <c r="W3632" s="16" t="n">
        <v>0.5540814362634013</v>
      </c>
      <c r="X3632" s="16" t="n">
        <v>0.7157620546576057</v>
      </c>
      <c r="Y3632" s="16" t="n">
        <v>300.032917</v>
      </c>
      <c r="Z3632" s="16" t="n">
        <v>-25.39657927032075</v>
      </c>
      <c r="AA3632" s="16" t="n">
        <v>-86.32904531403852</v>
      </c>
      <c r="AB3632" s="16" t="n">
        <v>2324.941562757019</v>
      </c>
      <c r="AC3632" s="16" t="n">
        <v>4.058678257586383</v>
      </c>
      <c r="AD3632" s="16" t="inlineStr">
        <is>
          <t>O2,O3</t>
        </is>
      </c>
      <c r="AE3632" s="16" t="n"/>
    </row>
    <row r="3633">
      <c r="A3633" s="16" t="inlineStr">
        <is>
          <t>KF-M09-R0-T_sumidero-0019</t>
        </is>
      </c>
      <c r="B3633" s="16" t="inlineStr">
        <is>
          <t>4.3</t>
        </is>
      </c>
      <c r="C3633" s="16" t="inlineStr">
        <is>
          <t>4.3 T_sumidero</t>
        </is>
      </c>
      <c r="D3633" s="16" t="inlineStr">
        <is>
          <t>ronda 0</t>
        </is>
      </c>
      <c r="E3633" s="16" t="inlineStr">
        <is>
          <t>KF-M09</t>
        </is>
      </c>
      <c r="F3633" s="16" t="inlineStr">
        <is>
          <t>KF-M09-R0-T_sumidero</t>
        </is>
      </c>
      <c r="G3633" s="16" t="inlineStr">
        <is>
          <t>B13-T_sumidero</t>
        </is>
      </c>
      <c r="H3633" s="16" t="inlineStr">
        <is>
          <t>lhs</t>
        </is>
      </c>
      <c r="I3633" s="16" t="inlineStr">
        <is>
          <t>INVIABLE</t>
        </is>
      </c>
      <c r="J3633" s="16" t="inlineStr">
        <is>
          <t>INVIABLE</t>
        </is>
      </c>
      <c r="K3633" s="16" t="b">
        <v>1</v>
      </c>
      <c r="L3633" s="16" t="b">
        <v>0</v>
      </c>
      <c r="M3633" s="16" t="b">
        <v>0</v>
      </c>
      <c r="N3633" s="16" t="b">
        <v>0</v>
      </c>
      <c r="O3633" s="16" t="n">
        <v>423.2877945690417</v>
      </c>
      <c r="P3633" s="16" t="n">
        <v>300.032917</v>
      </c>
      <c r="Q3633" s="16" t="n">
        <v>4152.327090375511</v>
      </c>
      <c r="R3633" s="16" t="n">
        <v>591.7252702843858</v>
      </c>
      <c r="S3633" s="16" t="n">
        <v>0.7324162885207175</v>
      </c>
      <c r="T3633" s="16" t="n">
        <v>0.5298150000122863</v>
      </c>
      <c r="U3633" s="16" t="n">
        <v>0.4959610141433682</v>
      </c>
      <c r="V3633" s="16" t="n">
        <v>0.4660508534974296</v>
      </c>
      <c r="W3633" s="16" t="n">
        <v>0.8230881334007797</v>
      </c>
      <c r="X3633" s="16" t="n">
        <v>0.5874722706075426</v>
      </c>
      <c r="Y3633" s="16" t="n">
        <v>300.032917</v>
      </c>
      <c r="Z3633" s="16" t="n">
        <v>-68.08135078859216</v>
      </c>
      <c r="AA3633" s="16" t="n">
        <v>-139.666008120531</v>
      </c>
      <c r="AB3633" s="16" t="n">
        <v>3560.601820091125</v>
      </c>
      <c r="AC3633" s="16" t="n">
        <v>7.01732256318863</v>
      </c>
      <c r="AD3633" s="16" t="inlineStr">
        <is>
          <t>O2,O3</t>
        </is>
      </c>
      <c r="AE3633" s="16" t="n"/>
    </row>
    <row r="3634">
      <c r="A3634" s="16" t="inlineStr">
        <is>
          <t>KF-M09-R0-T_sumidero-0020</t>
        </is>
      </c>
      <c r="B3634" s="16" t="inlineStr">
        <is>
          <t>4.3</t>
        </is>
      </c>
      <c r="C3634" s="16" t="inlineStr">
        <is>
          <t>4.3 T_sumidero</t>
        </is>
      </c>
      <c r="D3634" s="16" t="inlineStr">
        <is>
          <t>ronda 0</t>
        </is>
      </c>
      <c r="E3634" s="16" t="inlineStr">
        <is>
          <t>KF-M09</t>
        </is>
      </c>
      <c r="F3634" s="16" t="inlineStr">
        <is>
          <t>KF-M09-R0-T_sumidero</t>
        </is>
      </c>
      <c r="G3634" s="16" t="inlineStr">
        <is>
          <t>B13-T_sumidero</t>
        </is>
      </c>
      <c r="H3634" s="16" t="inlineStr">
        <is>
          <t>lhs</t>
        </is>
      </c>
      <c r="I3634" s="16" t="inlineStr">
        <is>
          <t>INVIABLE</t>
        </is>
      </c>
      <c r="J3634" s="16" t="inlineStr">
        <is>
          <t>INVIABLE</t>
        </is>
      </c>
      <c r="K3634" s="16" t="b">
        <v>1</v>
      </c>
      <c r="L3634" s="16" t="b">
        <v>0</v>
      </c>
      <c r="M3634" s="16" t="b">
        <v>1</v>
      </c>
      <c r="N3634" s="16" t="b">
        <v>0</v>
      </c>
      <c r="O3634" s="16" t="n">
        <v>476.9227091067802</v>
      </c>
      <c r="P3634" s="16" t="n">
        <v>300.032917</v>
      </c>
      <c r="Q3634" s="16" t="n">
        <v>3117.364505904794</v>
      </c>
      <c r="R3634" s="16" t="n">
        <v>1132.647361768229</v>
      </c>
      <c r="S3634" s="16" t="n">
        <v>0.5315410150527403</v>
      </c>
      <c r="T3634" s="16" t="n">
        <v>0.4559567064049287</v>
      </c>
      <c r="U3634" s="16" t="n">
        <v>0.6698526862417896</v>
      </c>
      <c r="V3634" s="16" t="n">
        <v>0.4525378495038002</v>
      </c>
      <c r="W3634" s="16" t="n">
        <v>0.6633075884621706</v>
      </c>
      <c r="X3634" s="16" t="n">
        <v>0.5038693443505472</v>
      </c>
      <c r="Y3634" s="16" t="n">
        <v>300.032917</v>
      </c>
      <c r="Z3634" s="16" t="n">
        <v>-2.50749603468429</v>
      </c>
      <c r="AA3634" s="16" t="n">
        <v>-17.00694166577544</v>
      </c>
      <c r="AB3634" s="16" t="n">
        <v>1984.717144136565</v>
      </c>
      <c r="AC3634" s="16" t="n">
        <v>2.752281611319988</v>
      </c>
      <c r="AD3634" s="16" t="inlineStr">
        <is>
          <t>O2,O3</t>
        </is>
      </c>
      <c r="AE3634" s="16" t="n"/>
    </row>
    <row r="3635">
      <c r="A3635" s="16" t="inlineStr">
        <is>
          <t>KF-M09-R0-T_sumidero-0021</t>
        </is>
      </c>
      <c r="B3635" s="16" t="inlineStr">
        <is>
          <t>4.3</t>
        </is>
      </c>
      <c r="C3635" s="16" t="inlineStr">
        <is>
          <t>4.3 T_sumidero</t>
        </is>
      </c>
      <c r="D3635" s="16" t="inlineStr">
        <is>
          <t>ronda 0</t>
        </is>
      </c>
      <c r="E3635" s="16" t="inlineStr">
        <is>
          <t>KF-M09</t>
        </is>
      </c>
      <c r="F3635" s="16" t="inlineStr">
        <is>
          <t>KF-M09-R0-T_sumidero</t>
        </is>
      </c>
      <c r="G3635" s="16" t="inlineStr">
        <is>
          <t>B13-T_sumidero</t>
        </is>
      </c>
      <c r="H3635" s="16" t="inlineStr">
        <is>
          <t>lhs</t>
        </is>
      </c>
      <c r="I3635" s="16" t="inlineStr">
        <is>
          <t>INVIABLE</t>
        </is>
      </c>
      <c r="J3635" s="16" t="inlineStr">
        <is>
          <t>INVIABLE</t>
        </is>
      </c>
      <c r="K3635" s="16" t="b">
        <v>1</v>
      </c>
      <c r="L3635" s="16" t="b">
        <v>0</v>
      </c>
      <c r="M3635" s="16" t="b">
        <v>0</v>
      </c>
      <c r="N3635" s="16" t="b">
        <v>0</v>
      </c>
      <c r="O3635" s="16" t="n">
        <v>438.327989994258</v>
      </c>
      <c r="P3635" s="16" t="n">
        <v>300.032917</v>
      </c>
      <c r="Q3635" s="16" t="n">
        <v>4849.390904620956</v>
      </c>
      <c r="R3635" s="16" t="n">
        <v>457.3228409566794</v>
      </c>
      <c r="S3635" s="16" t="n">
        <v>0.7290207534792655</v>
      </c>
      <c r="T3635" s="16" t="n">
        <v>0.9000899203690261</v>
      </c>
      <c r="U3635" s="16" t="n">
        <v>0.6415777242044697</v>
      </c>
      <c r="V3635" s="16" t="n">
        <v>0.4467741125468227</v>
      </c>
      <c r="W3635" s="16" t="n">
        <v>0.6556781871627531</v>
      </c>
      <c r="X3635" s="16" t="n">
        <v>0.6755252920171935</v>
      </c>
      <c r="Y3635" s="16" t="n">
        <v>300.032917</v>
      </c>
      <c r="Z3635" s="16" t="n">
        <v>-27.42347158165396</v>
      </c>
      <c r="AA3635" s="16" t="n">
        <v>-61.3029078334159</v>
      </c>
      <c r="AB3635" s="16" t="n">
        <v>4392.068063664276</v>
      </c>
      <c r="AC3635" s="16" t="n">
        <v>10.60386770640289</v>
      </c>
      <c r="AD3635" s="16" t="inlineStr">
        <is>
          <t>O2,O3</t>
        </is>
      </c>
      <c r="AE3635" s="16" t="n"/>
    </row>
    <row r="3636">
      <c r="A3636" s="16" t="inlineStr">
        <is>
          <t>KF-M09-R0-T_sumidero-0022</t>
        </is>
      </c>
      <c r="B3636" s="16" t="inlineStr">
        <is>
          <t>4.3</t>
        </is>
      </c>
      <c r="C3636" s="16" t="inlineStr">
        <is>
          <t>4.3 T_sumidero</t>
        </is>
      </c>
      <c r="D3636" s="16" t="inlineStr">
        <is>
          <t>ronda 0</t>
        </is>
      </c>
      <c r="E3636" s="16" t="inlineStr">
        <is>
          <t>KF-M09</t>
        </is>
      </c>
      <c r="F3636" s="16" t="inlineStr">
        <is>
          <t>KF-M09-R0-T_sumidero</t>
        </is>
      </c>
      <c r="G3636" s="16" t="inlineStr">
        <is>
          <t>B13-T_sumidero</t>
        </is>
      </c>
      <c r="H3636" s="16" t="inlineStr">
        <is>
          <t>lhs</t>
        </is>
      </c>
      <c r="I3636" s="16" t="inlineStr">
        <is>
          <t>NO_CONVERGIO</t>
        </is>
      </c>
      <c r="J3636" s="16" t="inlineStr">
        <is>
          <t>NO_CONVERGIO</t>
        </is>
      </c>
      <c r="K3636" s="16" t="b">
        <v>0</v>
      </c>
      <c r="L3636" s="16" t="b">
        <v>0</v>
      </c>
      <c r="M3636" s="16" t="b">
        <v>0</v>
      </c>
      <c r="N3636" s="16" t="b">
        <v>0</v>
      </c>
      <c r="O3636" s="16" t="n">
        <v>394.346812443377</v>
      </c>
      <c r="P3636" s="16" t="n">
        <v>300.032917</v>
      </c>
      <c r="Q3636" s="16" t="n">
        <v>4925.396593378801</v>
      </c>
      <c r="R3636" s="16" t="n">
        <v>817.0599436876031</v>
      </c>
      <c r="S3636" s="16" t="n">
        <v>0.5478242058845739</v>
      </c>
      <c r="T3636" s="16" t="n">
        <v>0.5593495887395037</v>
      </c>
      <c r="U3636" s="16" t="n">
        <v>0.9449888894511466</v>
      </c>
      <c r="V3636" s="16" t="n">
        <v>0.7569733113534769</v>
      </c>
      <c r="W3636" s="16" t="n">
        <v>0.9483618322094696</v>
      </c>
      <c r="X3636" s="16" t="n">
        <v>0.7086500966156595</v>
      </c>
      <c r="Y3636" s="16" t="n">
        <v>300.032917</v>
      </c>
      <c r="Z3636" s="16" t="n"/>
      <c r="AA3636" s="16" t="n"/>
      <c r="AB3636" s="16" t="n">
        <v>4108.336649691199</v>
      </c>
      <c r="AC3636" s="16" t="n">
        <v>6.028194909603831</v>
      </c>
      <c r="AD3636" s="16" t="n"/>
      <c r="AE3636" s="16" t="n"/>
    </row>
    <row r="3637">
      <c r="A3637" s="16" t="inlineStr">
        <is>
          <t>KF-M09-R0-T_sumidero-0023</t>
        </is>
      </c>
      <c r="B3637" s="16" t="inlineStr">
        <is>
          <t>4.3</t>
        </is>
      </c>
      <c r="C3637" s="16" t="inlineStr">
        <is>
          <t>4.3 T_sumidero</t>
        </is>
      </c>
      <c r="D3637" s="16" t="inlineStr">
        <is>
          <t>ronda 0</t>
        </is>
      </c>
      <c r="E3637" s="16" t="inlineStr">
        <is>
          <t>KF-M09</t>
        </is>
      </c>
      <c r="F3637" s="16" t="inlineStr">
        <is>
          <t>KF-M09-R0-T_sumidero</t>
        </is>
      </c>
      <c r="G3637" s="16" t="inlineStr">
        <is>
          <t>B13-T_sumidero</t>
        </is>
      </c>
      <c r="H3637" s="16" t="inlineStr">
        <is>
          <t>lhs</t>
        </is>
      </c>
      <c r="I3637" s="16" t="inlineStr">
        <is>
          <t>NO_CONVERGIO</t>
        </is>
      </c>
      <c r="J3637" s="16" t="inlineStr">
        <is>
          <t>NO_CONVERGIO</t>
        </is>
      </c>
      <c r="K3637" s="16" t="b">
        <v>0</v>
      </c>
      <c r="L3637" s="16" t="b">
        <v>0</v>
      </c>
      <c r="M3637" s="16" t="b">
        <v>0</v>
      </c>
      <c r="N3637" s="16" t="b">
        <v>0</v>
      </c>
      <c r="O3637" s="16" t="n">
        <v>513.5617048709745</v>
      </c>
      <c r="P3637" s="16" t="n">
        <v>300.032917</v>
      </c>
      <c r="Q3637" s="16" t="n">
        <v>2463.723761950739</v>
      </c>
      <c r="R3637" s="16" t="n">
        <v>306.3404451549019</v>
      </c>
      <c r="S3637" s="16" t="n">
        <v>0.7702562542553106</v>
      </c>
      <c r="T3637" s="16" t="n">
        <v>0.8577746927116683</v>
      </c>
      <c r="U3637" s="16" t="n">
        <v>0.7063638739327711</v>
      </c>
      <c r="V3637" s="16" t="n">
        <v>0.9338003667201086</v>
      </c>
      <c r="W3637" s="16" t="n">
        <v>0.4960663674334908</v>
      </c>
      <c r="X3637" s="16" t="n">
        <v>0.8142299384184534</v>
      </c>
      <c r="Y3637" s="16" t="n">
        <v>300.032917</v>
      </c>
      <c r="Z3637" s="16" t="n"/>
      <c r="AA3637" s="16" t="n"/>
      <c r="AB3637" s="16" t="n">
        <v>2157.383316795837</v>
      </c>
      <c r="AC3637" s="16" t="n">
        <v>8.042437101979631</v>
      </c>
      <c r="AD3637" s="16" t="n"/>
      <c r="AE3637" s="16" t="n"/>
    </row>
    <row r="3638">
      <c r="A3638" s="16" t="inlineStr">
        <is>
          <t>KF-M09-R0-T_sumidero-0024</t>
        </is>
      </c>
      <c r="B3638" s="16" t="inlineStr">
        <is>
          <t>4.3</t>
        </is>
      </c>
      <c r="C3638" s="16" t="inlineStr">
        <is>
          <t>4.3 T_sumidero</t>
        </is>
      </c>
      <c r="D3638" s="16" t="inlineStr">
        <is>
          <t>ronda 0</t>
        </is>
      </c>
      <c r="E3638" s="16" t="inlineStr">
        <is>
          <t>KF-M09</t>
        </is>
      </c>
      <c r="F3638" s="16" t="inlineStr">
        <is>
          <t>KF-M09-R0-T_sumidero</t>
        </is>
      </c>
      <c r="G3638" s="16" t="inlineStr">
        <is>
          <t>B13-T_sumidero</t>
        </is>
      </c>
      <c r="H3638" s="16" t="inlineStr">
        <is>
          <t>lhs</t>
        </is>
      </c>
      <c r="I3638" s="16" t="inlineStr">
        <is>
          <t>CORREGIBLE</t>
        </is>
      </c>
      <c r="J3638" s="16" t="inlineStr">
        <is>
          <t>CORREGIBLE</t>
        </is>
      </c>
      <c r="K3638" s="16" t="b">
        <v>1</v>
      </c>
      <c r="L3638" s="16" t="b">
        <v>0</v>
      </c>
      <c r="M3638" s="16" t="b">
        <v>0</v>
      </c>
      <c r="N3638" s="16" t="b">
        <v>0</v>
      </c>
      <c r="O3638" s="16" t="n">
        <v>386.8543899749547</v>
      </c>
      <c r="P3638" s="16" t="n">
        <v>300.032917</v>
      </c>
      <c r="Q3638" s="16" t="n">
        <v>2381.021492644335</v>
      </c>
      <c r="R3638" s="16" t="n">
        <v>1699.937055969538</v>
      </c>
      <c r="S3638" s="16" t="n">
        <v>0.6888572535600664</v>
      </c>
      <c r="T3638" s="16" t="n">
        <v>0.7691487751933046</v>
      </c>
      <c r="U3638" s="16" t="n">
        <v>0.7088896094017856</v>
      </c>
      <c r="V3638" s="16" t="n">
        <v>0.4036630520888638</v>
      </c>
      <c r="W3638" s="16" t="n">
        <v>0.927772733426236</v>
      </c>
      <c r="X3638" s="16" t="n">
        <v>0.5485551534364532</v>
      </c>
      <c r="Y3638" s="16" t="n">
        <v>300.032917</v>
      </c>
      <c r="Z3638" s="16" t="n">
        <v>2.28162900445636</v>
      </c>
      <c r="AA3638" s="16" t="n">
        <v>6.407056188866996</v>
      </c>
      <c r="AB3638" s="16" t="n">
        <v>681.084436674797</v>
      </c>
      <c r="AC3638" s="16" t="n">
        <v>1.400652738454689</v>
      </c>
      <c r="AD3638" s="16" t="inlineStr">
        <is>
          <t>O2</t>
        </is>
      </c>
      <c r="AE3638" s="16" t="n"/>
    </row>
    <row r="3639">
      <c r="A3639" s="16" t="inlineStr">
        <is>
          <t>KF-M09-R0-T_sumidero-0025</t>
        </is>
      </c>
      <c r="B3639" s="16" t="inlineStr">
        <is>
          <t>4.3</t>
        </is>
      </c>
      <c r="C3639" s="16" t="inlineStr">
        <is>
          <t>4.3 T_sumidero</t>
        </is>
      </c>
      <c r="D3639" s="16" t="inlineStr">
        <is>
          <t>ronda 0</t>
        </is>
      </c>
      <c r="E3639" s="16" t="inlineStr">
        <is>
          <t>KF-M09</t>
        </is>
      </c>
      <c r="F3639" s="16" t="inlineStr">
        <is>
          <t>KF-M09-R0-T_sumidero</t>
        </is>
      </c>
      <c r="G3639" s="16" t="inlineStr">
        <is>
          <t>B13-T_sumidero</t>
        </is>
      </c>
      <c r="H3639" s="16" t="inlineStr">
        <is>
          <t>lhs</t>
        </is>
      </c>
      <c r="I3639" s="16" t="inlineStr">
        <is>
          <t>INVIABLE</t>
        </is>
      </c>
      <c r="J3639" s="16" t="inlineStr">
        <is>
          <t>INVIABLE</t>
        </is>
      </c>
      <c r="K3639" s="16" t="b">
        <v>1</v>
      </c>
      <c r="L3639" s="16" t="b">
        <v>0</v>
      </c>
      <c r="M3639" s="16" t="b">
        <v>1</v>
      </c>
      <c r="N3639" s="16" t="b">
        <v>0</v>
      </c>
      <c r="O3639" s="16" t="n">
        <v>459.2723716285606</v>
      </c>
      <c r="P3639" s="16" t="n">
        <v>300.032917</v>
      </c>
      <c r="Q3639" s="16" t="n">
        <v>4287.381925946356</v>
      </c>
      <c r="R3639" s="16" t="n">
        <v>798.4520131065303</v>
      </c>
      <c r="S3639" s="16" t="n">
        <v>0.7024496055338701</v>
      </c>
      <c r="T3639" s="16" t="n">
        <v>0.5828876132563252</v>
      </c>
      <c r="U3639" s="16" t="n">
        <v>0.5302088410059834</v>
      </c>
      <c r="V3639" s="16" t="n">
        <v>0.9439247109314016</v>
      </c>
      <c r="W3639" s="16" t="n">
        <v>0.4728369183434486</v>
      </c>
      <c r="X3639" s="16" t="n">
        <v>0.5787339664394244</v>
      </c>
      <c r="Y3639" s="16" t="n">
        <v>300.032917</v>
      </c>
      <c r="Z3639" s="16" t="n">
        <v>-5.66112762986355</v>
      </c>
      <c r="AA3639" s="16" t="n">
        <v>-50.1907623846671</v>
      </c>
      <c r="AB3639" s="16" t="n">
        <v>3488.929912839826</v>
      </c>
      <c r="AC3639" s="16" t="n">
        <v>5.369617529380979</v>
      </c>
      <c r="AD3639" s="16" t="inlineStr">
        <is>
          <t>O2,O3</t>
        </is>
      </c>
      <c r="AE3639" s="16" t="n"/>
    </row>
    <row r="3640">
      <c r="A3640" s="16" t="inlineStr">
        <is>
          <t>KF-M09-R0-T_sumidero-0026</t>
        </is>
      </c>
      <c r="B3640" s="16" t="inlineStr">
        <is>
          <t>4.3</t>
        </is>
      </c>
      <c r="C3640" s="16" t="inlineStr">
        <is>
          <t>4.3 T_sumidero</t>
        </is>
      </c>
      <c r="D3640" s="16" t="inlineStr">
        <is>
          <t>ronda 0</t>
        </is>
      </c>
      <c r="E3640" s="16" t="inlineStr">
        <is>
          <t>KF-M09</t>
        </is>
      </c>
      <c r="F3640" s="16" t="inlineStr">
        <is>
          <t>KF-M09-R0-T_sumidero</t>
        </is>
      </c>
      <c r="G3640" s="16" t="inlineStr">
        <is>
          <t>B13-T_sumidero</t>
        </is>
      </c>
      <c r="H3640" s="16" t="inlineStr">
        <is>
          <t>lhs</t>
        </is>
      </c>
      <c r="I3640" s="16" t="inlineStr">
        <is>
          <t>NO_CONVERGIO</t>
        </is>
      </c>
      <c r="J3640" s="16" t="inlineStr">
        <is>
          <t>NO_CONVERGIO</t>
        </is>
      </c>
      <c r="K3640" s="16" t="b">
        <v>0</v>
      </c>
      <c r="L3640" s="16" t="b">
        <v>0</v>
      </c>
      <c r="M3640" s="16" t="b">
        <v>0</v>
      </c>
      <c r="N3640" s="16" t="b">
        <v>0</v>
      </c>
      <c r="O3640" s="16" t="n">
        <v>458.3541450184395</v>
      </c>
      <c r="P3640" s="16" t="n">
        <v>300.032917</v>
      </c>
      <c r="Q3640" s="16" t="n">
        <v>4624.241781461732</v>
      </c>
      <c r="R3640" s="16" t="n">
        <v>1754.246164229103</v>
      </c>
      <c r="S3640" s="16" t="n">
        <v>0.7124710236112867</v>
      </c>
      <c r="T3640" s="16" t="n">
        <v>0.4522057657822125</v>
      </c>
      <c r="U3640" s="16" t="n">
        <v>0.8172160856281105</v>
      </c>
      <c r="V3640" s="16" t="n">
        <v>0.8098841322506412</v>
      </c>
      <c r="W3640" s="16" t="n">
        <v>0.5201808354107382</v>
      </c>
      <c r="X3640" s="16" t="n">
        <v>0.4740178464743073</v>
      </c>
      <c r="Y3640" s="16" t="n">
        <v>300.032917</v>
      </c>
      <c r="Z3640" s="16" t="n"/>
      <c r="AA3640" s="16" t="n"/>
      <c r="AB3640" s="16" t="n">
        <v>2869.995617232629</v>
      </c>
      <c r="AC3640" s="16" t="n">
        <v>2.636027870976613</v>
      </c>
      <c r="AD3640" s="16" t="n"/>
      <c r="AE3640" s="16" t="n"/>
    </row>
    <row r="3641">
      <c r="A3641" s="16" t="inlineStr">
        <is>
          <t>KF-M09-R0-T_sumidero-0027</t>
        </is>
      </c>
      <c r="B3641" s="16" t="inlineStr">
        <is>
          <t>4.3</t>
        </is>
      </c>
      <c r="C3641" s="16" t="inlineStr">
        <is>
          <t>4.3 T_sumidero</t>
        </is>
      </c>
      <c r="D3641" s="16" t="inlineStr">
        <is>
          <t>ronda 0</t>
        </is>
      </c>
      <c r="E3641" s="16" t="inlineStr">
        <is>
          <t>KF-M09</t>
        </is>
      </c>
      <c r="F3641" s="16" t="inlineStr">
        <is>
          <t>KF-M09-R0-T_sumidero</t>
        </is>
      </c>
      <c r="G3641" s="16" t="inlineStr">
        <is>
          <t>B13-T_sumidero</t>
        </is>
      </c>
      <c r="H3641" s="16" t="inlineStr">
        <is>
          <t>lhs</t>
        </is>
      </c>
      <c r="I3641" s="16" t="inlineStr">
        <is>
          <t>CORREGIBLE</t>
        </is>
      </c>
      <c r="J3641" s="16" t="inlineStr">
        <is>
          <t>CORREGIBLE</t>
        </is>
      </c>
      <c r="K3641" s="16" t="b">
        <v>1</v>
      </c>
      <c r="L3641" s="16" t="b">
        <v>0</v>
      </c>
      <c r="M3641" s="16" t="b">
        <v>1</v>
      </c>
      <c r="N3641" s="16" t="b">
        <v>0</v>
      </c>
      <c r="O3641" s="16" t="n">
        <v>514.752899781424</v>
      </c>
      <c r="P3641" s="16" t="n">
        <v>300.032917</v>
      </c>
      <c r="Q3641" s="16" t="n">
        <v>4021.371061876487</v>
      </c>
      <c r="R3641" s="16" t="n">
        <v>1175.322466519521</v>
      </c>
      <c r="S3641" s="16" t="n">
        <v>0.5421446430347499</v>
      </c>
      <c r="T3641" s="16" t="n">
        <v>0.6794223975778357</v>
      </c>
      <c r="U3641" s="16" t="n">
        <v>0.4382473175022128</v>
      </c>
      <c r="V3641" s="16" t="n">
        <v>0.6896893671806253</v>
      </c>
      <c r="W3641" s="16" t="n">
        <v>0.7952447839751215</v>
      </c>
      <c r="X3641" s="16" t="n">
        <v>0.8561160362792517</v>
      </c>
      <c r="Y3641" s="16" t="n">
        <v>300.032917</v>
      </c>
      <c r="Z3641" s="16" t="n">
        <v>7.04850551161513</v>
      </c>
      <c r="AA3641" s="16" t="n">
        <v>98.31866344531284</v>
      </c>
      <c r="AB3641" s="16" t="n">
        <v>2846.048595356966</v>
      </c>
      <c r="AC3641" s="16" t="n">
        <v>3.421504460631099</v>
      </c>
      <c r="AD3641" s="16" t="inlineStr">
        <is>
          <t>O2</t>
        </is>
      </c>
      <c r="AE3641" s="16" t="n"/>
    </row>
    <row r="3642">
      <c r="A3642" s="16" t="inlineStr">
        <is>
          <t>KF-M09-R0-T_sumidero-0028</t>
        </is>
      </c>
      <c r="B3642" s="16" t="inlineStr">
        <is>
          <t>4.3</t>
        </is>
      </c>
      <c r="C3642" s="16" t="inlineStr">
        <is>
          <t>4.3 T_sumidero</t>
        </is>
      </c>
      <c r="D3642" s="16" t="inlineStr">
        <is>
          <t>ronda 0</t>
        </is>
      </c>
      <c r="E3642" s="16" t="inlineStr">
        <is>
          <t>KF-M09</t>
        </is>
      </c>
      <c r="F3642" s="16" t="inlineStr">
        <is>
          <t>KF-M09-R0-T_sumidero</t>
        </is>
      </c>
      <c r="G3642" s="16" t="inlineStr">
        <is>
          <t>B13-T_sumidero</t>
        </is>
      </c>
      <c r="H3642" s="16" t="inlineStr">
        <is>
          <t>lhs</t>
        </is>
      </c>
      <c r="I3642" s="16" t="inlineStr">
        <is>
          <t>CORREGIBLE</t>
        </is>
      </c>
      <c r="J3642" s="16" t="inlineStr">
        <is>
          <t>CORREGIBLE</t>
        </is>
      </c>
      <c r="K3642" s="16" t="b">
        <v>1</v>
      </c>
      <c r="L3642" s="16" t="b">
        <v>0</v>
      </c>
      <c r="M3642" s="16" t="b">
        <v>0</v>
      </c>
      <c r="N3642" s="16" t="b">
        <v>0</v>
      </c>
      <c r="O3642" s="16" t="n">
        <v>494.6691403644853</v>
      </c>
      <c r="P3642" s="16" t="n">
        <v>300.032917</v>
      </c>
      <c r="Q3642" s="16" t="n">
        <v>3896.677264534047</v>
      </c>
      <c r="R3642" s="16" t="n">
        <v>1238.918362388021</v>
      </c>
      <c r="S3642" s="16" t="n">
        <v>0.7377846782047767</v>
      </c>
      <c r="T3642" s="16" t="n">
        <v>0.8691311135428077</v>
      </c>
      <c r="U3642" s="16" t="n">
        <v>0.5563579477629396</v>
      </c>
      <c r="V3642" s="16" t="n">
        <v>0.4382829378864024</v>
      </c>
      <c r="W3642" s="16" t="n">
        <v>0.5449197970792657</v>
      </c>
      <c r="X3642" s="16" t="n">
        <v>0.7662311788898498</v>
      </c>
      <c r="Y3642" s="16" t="n">
        <v>300.032917</v>
      </c>
      <c r="Z3642" s="16" t="n">
        <v>9.12509638636223</v>
      </c>
      <c r="AA3642" s="16" t="n">
        <v>70.31781794901772</v>
      </c>
      <c r="AB3642" s="16" t="n">
        <v>2657.758902146026</v>
      </c>
      <c r="AC3642" s="16" t="n">
        <v>3.145225208401288</v>
      </c>
      <c r="AD3642" s="16" t="inlineStr">
        <is>
          <t>O2</t>
        </is>
      </c>
      <c r="AE3642" s="16" t="n"/>
    </row>
    <row r="3643">
      <c r="A3643" s="16" t="inlineStr">
        <is>
          <t>KF-M09-R0-T_sumidero-0029</t>
        </is>
      </c>
      <c r="B3643" s="16" t="inlineStr">
        <is>
          <t>4.3</t>
        </is>
      </c>
      <c r="C3643" s="16" t="inlineStr">
        <is>
          <t>4.3 T_sumidero</t>
        </is>
      </c>
      <c r="D3643" s="16" t="inlineStr">
        <is>
          <t>ronda 0</t>
        </is>
      </c>
      <c r="E3643" s="16" t="inlineStr">
        <is>
          <t>KF-M09</t>
        </is>
      </c>
      <c r="F3643" s="16" t="inlineStr">
        <is>
          <t>KF-M09-R0-T_sumidero</t>
        </is>
      </c>
      <c r="G3643" s="16" t="inlineStr">
        <is>
          <t>B13-T_sumidero</t>
        </is>
      </c>
      <c r="H3643" s="16" t="inlineStr">
        <is>
          <t>lhs</t>
        </is>
      </c>
      <c r="I3643" s="16" t="inlineStr">
        <is>
          <t>INVIABLE</t>
        </is>
      </c>
      <c r="J3643" s="16" t="inlineStr">
        <is>
          <t>INVIABLE</t>
        </is>
      </c>
      <c r="K3643" s="16" t="b">
        <v>1</v>
      </c>
      <c r="L3643" s="16" t="b">
        <v>0</v>
      </c>
      <c r="M3643" s="16" t="b">
        <v>0</v>
      </c>
      <c r="N3643" s="16" t="b">
        <v>0</v>
      </c>
      <c r="O3643" s="16" t="n">
        <v>466.9760996382341</v>
      </c>
      <c r="P3643" s="16" t="n">
        <v>300.032917</v>
      </c>
      <c r="Q3643" s="16" t="n">
        <v>2661.405579469723</v>
      </c>
      <c r="R3643" s="16" t="n">
        <v>644.6252243556416</v>
      </c>
      <c r="S3643" s="16" t="n">
        <v>0.77937713488745</v>
      </c>
      <c r="T3643" s="16" t="n">
        <v>0.5051107683547684</v>
      </c>
      <c r="U3643" s="16" t="n">
        <v>0.7268200621600536</v>
      </c>
      <c r="V3643" s="16" t="n">
        <v>0.5312594516332083</v>
      </c>
      <c r="W3643" s="16" t="n">
        <v>0.5422277470252609</v>
      </c>
      <c r="X3643" s="16" t="n">
        <v>0.5835255976929783</v>
      </c>
      <c r="Y3643" s="16" t="n">
        <v>300.032917</v>
      </c>
      <c r="Z3643" s="16" t="n">
        <v>-14.91336796911298</v>
      </c>
      <c r="AA3643" s="16" t="n">
        <v>-74.0080266672292</v>
      </c>
      <c r="AB3643" s="16" t="n">
        <v>2016.780355114081</v>
      </c>
      <c r="AC3643" s="16" t="n">
        <v>4.128609118779096</v>
      </c>
      <c r="AD3643" s="16" t="inlineStr">
        <is>
          <t>O2,O3</t>
        </is>
      </c>
      <c r="AE3643" s="16" t="n"/>
    </row>
    <row r="3644">
      <c r="A3644" s="16" t="inlineStr">
        <is>
          <t>KF-M09-R0-T_sumidero-0030</t>
        </is>
      </c>
      <c r="B3644" s="16" t="inlineStr">
        <is>
          <t>4.3</t>
        </is>
      </c>
      <c r="C3644" s="16" t="inlineStr">
        <is>
          <t>4.3 T_sumidero</t>
        </is>
      </c>
      <c r="D3644" s="16" t="inlineStr">
        <is>
          <t>ronda 0</t>
        </is>
      </c>
      <c r="E3644" s="16" t="inlineStr">
        <is>
          <t>KF-M09</t>
        </is>
      </c>
      <c r="F3644" s="16" t="inlineStr">
        <is>
          <t>KF-M09-R0-T_sumidero</t>
        </is>
      </c>
      <c r="G3644" s="16" t="inlineStr">
        <is>
          <t>B13-T_sumidero</t>
        </is>
      </c>
      <c r="H3644" s="16" t="inlineStr">
        <is>
          <t>lhs</t>
        </is>
      </c>
      <c r="I3644" s="16" t="inlineStr">
        <is>
          <t>INVIABLE</t>
        </is>
      </c>
      <c r="J3644" s="16" t="inlineStr">
        <is>
          <t>INVIABLE</t>
        </is>
      </c>
      <c r="K3644" s="16" t="b">
        <v>1</v>
      </c>
      <c r="L3644" s="16" t="b">
        <v>0</v>
      </c>
      <c r="M3644" s="16" t="b">
        <v>1</v>
      </c>
      <c r="N3644" s="16" t="b">
        <v>0</v>
      </c>
      <c r="O3644" s="16" t="n">
        <v>517.7477737865996</v>
      </c>
      <c r="P3644" s="16" t="n">
        <v>300.032917</v>
      </c>
      <c r="Q3644" s="16" t="n">
        <v>3855.725565587139</v>
      </c>
      <c r="R3644" s="16" t="n">
        <v>788.4077916345898</v>
      </c>
      <c r="S3644" s="16" t="n">
        <v>0.8188678006489831</v>
      </c>
      <c r="T3644" s="16" t="n">
        <v>0.8296518855141195</v>
      </c>
      <c r="U3644" s="16" t="n">
        <v>0.6610772031702017</v>
      </c>
      <c r="V3644" s="16" t="n">
        <v>0.4933153914179585</v>
      </c>
      <c r="W3644" s="16" t="n">
        <v>0.891473646599475</v>
      </c>
      <c r="X3644" s="16" t="n">
        <v>0.540045299421048</v>
      </c>
      <c r="Y3644" s="16" t="n">
        <v>300.032917</v>
      </c>
      <c r="Z3644" s="16" t="n">
        <v>-2.05536322957141</v>
      </c>
      <c r="AA3644" s="16" t="n">
        <v>-10.49713231922448</v>
      </c>
      <c r="AB3644" s="16" t="n">
        <v>3067.317773952549</v>
      </c>
      <c r="AC3644" s="16" t="n">
        <v>4.890521892982743</v>
      </c>
      <c r="AD3644" s="16" t="inlineStr">
        <is>
          <t>O2,O3</t>
        </is>
      </c>
      <c r="AE3644" s="16" t="n"/>
    </row>
    <row r="3645">
      <c r="A3645" s="16" t="inlineStr">
        <is>
          <t>KF-M09-R0-T_sumidero-0031</t>
        </is>
      </c>
      <c r="B3645" s="16" t="inlineStr">
        <is>
          <t>4.3</t>
        </is>
      </c>
      <c r="C3645" s="16" t="inlineStr">
        <is>
          <t>4.3 T_sumidero</t>
        </is>
      </c>
      <c r="D3645" s="16" t="inlineStr">
        <is>
          <t>ronda 0</t>
        </is>
      </c>
      <c r="E3645" s="16" t="inlineStr">
        <is>
          <t>KF-M09</t>
        </is>
      </c>
      <c r="F3645" s="16" t="inlineStr">
        <is>
          <t>KF-M09-R0-T_sumidero</t>
        </is>
      </c>
      <c r="G3645" s="16" t="inlineStr">
        <is>
          <t>B13-T_sumidero</t>
        </is>
      </c>
      <c r="H3645" s="16" t="inlineStr">
        <is>
          <t>lhs</t>
        </is>
      </c>
      <c r="I3645" s="16" t="inlineStr">
        <is>
          <t>INVIABLE</t>
        </is>
      </c>
      <c r="J3645" s="16" t="inlineStr">
        <is>
          <t>INVIABLE</t>
        </is>
      </c>
      <c r="K3645" s="16" t="b">
        <v>1</v>
      </c>
      <c r="L3645" s="16" t="b">
        <v>0</v>
      </c>
      <c r="M3645" s="16" t="b">
        <v>1</v>
      </c>
      <c r="N3645" s="16" t="b">
        <v>0</v>
      </c>
      <c r="O3645" s="16" t="n">
        <v>435.362656082087</v>
      </c>
      <c r="P3645" s="16" t="n">
        <v>300.032917</v>
      </c>
      <c r="Q3645" s="16" t="n">
        <v>3878.218830763285</v>
      </c>
      <c r="R3645" s="16" t="n">
        <v>672.3065143160121</v>
      </c>
      <c r="S3645" s="16" t="n">
        <v>0.836092119723415</v>
      </c>
      <c r="T3645" s="16" t="n">
        <v>0.5481528620076542</v>
      </c>
      <c r="U3645" s="16" t="n">
        <v>0.5118387696362744</v>
      </c>
      <c r="V3645" s="16" t="n">
        <v>0.561010604770284</v>
      </c>
      <c r="W3645" s="16" t="n">
        <v>0.5877190116575959</v>
      </c>
      <c r="X3645" s="16" t="n">
        <v>0.4667803789665717</v>
      </c>
      <c r="Y3645" s="16" t="n">
        <v>300.032917</v>
      </c>
      <c r="Z3645" s="16" t="n">
        <v>-225.0990213313289</v>
      </c>
      <c r="AA3645" s="16" t="n">
        <v>-268.8926216196322</v>
      </c>
      <c r="AB3645" s="16" t="n">
        <v>3205.912316447273</v>
      </c>
      <c r="AC3645" s="16" t="n">
        <v>5.768527819054213</v>
      </c>
      <c r="AD3645" s="16" t="inlineStr">
        <is>
          <t>O2,O3</t>
        </is>
      </c>
      <c r="AE3645" s="16" t="n"/>
    </row>
    <row r="3646">
      <c r="A3646" s="16" t="inlineStr">
        <is>
          <t>KF-M09-R0-T_sumidero-0032</t>
        </is>
      </c>
      <c r="B3646" s="16" t="inlineStr">
        <is>
          <t>4.3</t>
        </is>
      </c>
      <c r="C3646" s="16" t="inlineStr">
        <is>
          <t>4.3 T_sumidero</t>
        </is>
      </c>
      <c r="D3646" s="16" t="inlineStr">
        <is>
          <t>ronda 0</t>
        </is>
      </c>
      <c r="E3646" s="16" t="inlineStr">
        <is>
          <t>KF-M09</t>
        </is>
      </c>
      <c r="F3646" s="16" t="inlineStr">
        <is>
          <t>KF-M09-R0-T_sumidero</t>
        </is>
      </c>
      <c r="G3646" s="16" t="inlineStr">
        <is>
          <t>B13-T_sumidero</t>
        </is>
      </c>
      <c r="H3646" s="16" t="inlineStr">
        <is>
          <t>lhs</t>
        </is>
      </c>
      <c r="I3646" s="16" t="inlineStr">
        <is>
          <t>INVIABLE</t>
        </is>
      </c>
      <c r="J3646" s="16" t="inlineStr">
        <is>
          <t>INVIABLE</t>
        </is>
      </c>
      <c r="K3646" s="16" t="b">
        <v>1</v>
      </c>
      <c r="L3646" s="16" t="b">
        <v>0</v>
      </c>
      <c r="M3646" s="16" t="b">
        <v>0</v>
      </c>
      <c r="N3646" s="16" t="b">
        <v>0</v>
      </c>
      <c r="O3646" s="16" t="n">
        <v>421.7315530747336</v>
      </c>
      <c r="P3646" s="16" t="n">
        <v>300.032917</v>
      </c>
      <c r="Q3646" s="16" t="n">
        <v>4650.545032108495</v>
      </c>
      <c r="R3646" s="16" t="n">
        <v>1537.733621007257</v>
      </c>
      <c r="S3646" s="16" t="n">
        <v>0.8445227981616314</v>
      </c>
      <c r="T3646" s="16" t="n">
        <v>0.4764586953952771</v>
      </c>
      <c r="U3646" s="16" t="n">
        <v>0.9018026806954926</v>
      </c>
      <c r="V3646" s="16" t="n">
        <v>0.6841255609643495</v>
      </c>
      <c r="W3646" s="16" t="n">
        <v>0.5136920049290633</v>
      </c>
      <c r="X3646" s="16" t="n">
        <v>0.4543457592534028</v>
      </c>
      <c r="Y3646" s="16" t="n">
        <v>300.032917</v>
      </c>
      <c r="Z3646" s="16" t="n">
        <v>-2.27723010874865</v>
      </c>
      <c r="AA3646" s="16" t="n">
        <v>-10.89006751210873</v>
      </c>
      <c r="AB3646" s="16" t="n">
        <v>3112.811411101238</v>
      </c>
      <c r="AC3646" s="16" t="n">
        <v>3.024285200360165</v>
      </c>
      <c r="AD3646" s="16" t="inlineStr">
        <is>
          <t>O2,O3</t>
        </is>
      </c>
      <c r="AE3646" s="16" t="n"/>
    </row>
    <row r="3647">
      <c r="A3647" s="16" t="inlineStr">
        <is>
          <t>KF-M09-R0-T_sumidero-0033</t>
        </is>
      </c>
      <c r="B3647" s="16" t="inlineStr">
        <is>
          <t>4.3</t>
        </is>
      </c>
      <c r="C3647" s="16" t="inlineStr">
        <is>
          <t>4.3 T_sumidero</t>
        </is>
      </c>
      <c r="D3647" s="16" t="inlineStr">
        <is>
          <t>ronda 0</t>
        </is>
      </c>
      <c r="E3647" s="16" t="inlineStr">
        <is>
          <t>KF-M09</t>
        </is>
      </c>
      <c r="F3647" s="16" t="inlineStr">
        <is>
          <t>KF-M09-R0-T_sumidero</t>
        </is>
      </c>
      <c r="G3647" s="16" t="inlineStr">
        <is>
          <t>B13-T_sumidero</t>
        </is>
      </c>
      <c r="H3647" s="16" t="inlineStr">
        <is>
          <t>lhs</t>
        </is>
      </c>
      <c r="I3647" s="16" t="inlineStr">
        <is>
          <t>CORREGIBLE</t>
        </is>
      </c>
      <c r="J3647" s="16" t="inlineStr">
        <is>
          <t>CORREGIBLE</t>
        </is>
      </c>
      <c r="K3647" s="16" t="b">
        <v>1</v>
      </c>
      <c r="L3647" s="16" t="b">
        <v>0</v>
      </c>
      <c r="M3647" s="16" t="b">
        <v>1</v>
      </c>
      <c r="N3647" s="16" t="b">
        <v>0</v>
      </c>
      <c r="O3647" s="16" t="n">
        <v>519.0528289028786</v>
      </c>
      <c r="P3647" s="16" t="n">
        <v>300.032917</v>
      </c>
      <c r="Q3647" s="16" t="n">
        <v>4710.1332259643</v>
      </c>
      <c r="R3647" s="16" t="n">
        <v>1096.170084194367</v>
      </c>
      <c r="S3647" s="16" t="n">
        <v>0.6605298714658844</v>
      </c>
      <c r="T3647" s="16" t="n">
        <v>0.6081103487457922</v>
      </c>
      <c r="U3647" s="16" t="n">
        <v>0.8528305380311205</v>
      </c>
      <c r="V3647" s="16" t="n">
        <v>0.6172499109542544</v>
      </c>
      <c r="W3647" s="16" t="n">
        <v>0.6828883510562236</v>
      </c>
      <c r="X3647" s="16" t="n">
        <v>0.5718147639722144</v>
      </c>
      <c r="Y3647" s="16" t="n">
        <v>300.032917</v>
      </c>
      <c r="Z3647" s="16" t="n">
        <v>3.71677480009093</v>
      </c>
      <c r="AA3647" s="16" t="n">
        <v>33.18843562695331</v>
      </c>
      <c r="AB3647" s="16" t="n">
        <v>3613.963141769933</v>
      </c>
      <c r="AC3647" s="16" t="n">
        <v>4.296899991962492</v>
      </c>
      <c r="AD3647" s="16" t="inlineStr">
        <is>
          <t>O2</t>
        </is>
      </c>
      <c r="AE3647" s="16" t="n"/>
    </row>
    <row r="3648">
      <c r="A3648" s="16" t="inlineStr">
        <is>
          <t>KF-M09-R0-T_sumidero-0034</t>
        </is>
      </c>
      <c r="B3648" s="16" t="inlineStr">
        <is>
          <t>4.3</t>
        </is>
      </c>
      <c r="C3648" s="16" t="inlineStr">
        <is>
          <t>4.3 T_sumidero</t>
        </is>
      </c>
      <c r="D3648" s="16" t="inlineStr">
        <is>
          <t>ronda 0</t>
        </is>
      </c>
      <c r="E3648" s="16" t="inlineStr">
        <is>
          <t>KF-M09</t>
        </is>
      </c>
      <c r="F3648" s="16" t="inlineStr">
        <is>
          <t>KF-M09-R0-T_sumidero</t>
        </is>
      </c>
      <c r="G3648" s="16" t="inlineStr">
        <is>
          <t>B13-T_sumidero</t>
        </is>
      </c>
      <c r="H3648" s="16" t="inlineStr">
        <is>
          <t>lhs</t>
        </is>
      </c>
      <c r="I3648" s="16" t="inlineStr">
        <is>
          <t>CORREGIBLE</t>
        </is>
      </c>
      <c r="J3648" s="16" t="inlineStr">
        <is>
          <t>CORREGIBLE</t>
        </is>
      </c>
      <c r="K3648" s="16" t="b">
        <v>1</v>
      </c>
      <c r="L3648" s="16" t="b">
        <v>0</v>
      </c>
      <c r="M3648" s="16" t="b">
        <v>1</v>
      </c>
      <c r="N3648" s="16" t="b">
        <v>0</v>
      </c>
      <c r="O3648" s="16" t="n">
        <v>481.7526956254048</v>
      </c>
      <c r="P3648" s="16" t="n">
        <v>300.032917</v>
      </c>
      <c r="Q3648" s="16" t="n">
        <v>4197.663751293883</v>
      </c>
      <c r="R3648" s="16" t="n">
        <v>1820.497180816962</v>
      </c>
      <c r="S3648" s="16" t="n">
        <v>0.5296603015097024</v>
      </c>
      <c r="T3648" s="16" t="n">
        <v>0.945276304183836</v>
      </c>
      <c r="U3648" s="16" t="n">
        <v>0.8235533837051405</v>
      </c>
      <c r="V3648" s="16" t="n">
        <v>0.6657990309400981</v>
      </c>
      <c r="W3648" s="16" t="n">
        <v>0.6957856057737297</v>
      </c>
      <c r="X3648" s="16" t="n">
        <v>0.6590371503905921</v>
      </c>
      <c r="Y3648" s="16" t="n">
        <v>300.032917</v>
      </c>
      <c r="Z3648" s="16" t="n">
        <v>7.248388166508129</v>
      </c>
      <c r="AA3648" s="16" t="n">
        <v>75.19112967295258</v>
      </c>
      <c r="AB3648" s="16" t="n">
        <v>2377.166570476921</v>
      </c>
      <c r="AC3648" s="16" t="n">
        <v>2.30577877050606</v>
      </c>
      <c r="AD3648" s="16" t="inlineStr">
        <is>
          <t>O2</t>
        </is>
      </c>
      <c r="AE3648" s="16" t="n"/>
    </row>
    <row r="3649">
      <c r="A3649" s="16" t="inlineStr">
        <is>
          <t>KF-M09-R0-T_sumidero-0035</t>
        </is>
      </c>
      <c r="B3649" s="16" t="inlineStr">
        <is>
          <t>4.3</t>
        </is>
      </c>
      <c r="C3649" s="16" t="inlineStr">
        <is>
          <t>4.3 T_sumidero</t>
        </is>
      </c>
      <c r="D3649" s="16" t="inlineStr">
        <is>
          <t>ronda 0</t>
        </is>
      </c>
      <c r="E3649" s="16" t="inlineStr">
        <is>
          <t>KF-M09</t>
        </is>
      </c>
      <c r="F3649" s="16" t="inlineStr">
        <is>
          <t>KF-M09-R0-T_sumidero</t>
        </is>
      </c>
      <c r="G3649" s="16" t="inlineStr">
        <is>
          <t>B13-T_sumidero</t>
        </is>
      </c>
      <c r="H3649" s="16" t="inlineStr">
        <is>
          <t>lhs</t>
        </is>
      </c>
      <c r="I3649" s="16" t="inlineStr">
        <is>
          <t>KALINA</t>
        </is>
      </c>
      <c r="J3649" s="16" t="inlineStr">
        <is>
          <t>KALINA</t>
        </is>
      </c>
      <c r="K3649" s="16" t="b">
        <v>1</v>
      </c>
      <c r="L3649" s="16" t="b">
        <v>1</v>
      </c>
      <c r="M3649" s="16" t="b">
        <v>0</v>
      </c>
      <c r="N3649" s="16" t="b">
        <v>0</v>
      </c>
      <c r="O3649" s="16" t="n">
        <v>382.4087929501357</v>
      </c>
      <c r="P3649" s="16" t="n">
        <v>300.032917</v>
      </c>
      <c r="Q3649" s="16" t="n">
        <v>2925.587166923866</v>
      </c>
      <c r="R3649" s="16" t="n">
        <v>1453.312877529689</v>
      </c>
      <c r="S3649" s="16" t="n">
        <v>0.6363484887741104</v>
      </c>
      <c r="T3649" s="16" t="n">
        <v>0.469680302094956</v>
      </c>
      <c r="U3649" s="16" t="n">
        <v>0.6171958007941997</v>
      </c>
      <c r="V3649" s="16" t="n">
        <v>0.928965473687502</v>
      </c>
      <c r="W3649" s="16" t="n">
        <v>0.5734976073541296</v>
      </c>
      <c r="X3649" s="16" t="n">
        <v>0.7565048935558639</v>
      </c>
      <c r="Y3649" s="16" t="n">
        <v>300.032917</v>
      </c>
      <c r="Z3649" s="16" t="n">
        <v>2.24971568643051</v>
      </c>
      <c r="AA3649" s="16" t="n">
        <v>9.43799203798392</v>
      </c>
      <c r="AB3649" s="16" t="n">
        <v>1472.274289394178</v>
      </c>
      <c r="AC3649" s="16" t="n">
        <v>2.013047026664154</v>
      </c>
      <c r="AD3649" s="16" t="n"/>
      <c r="AE3649" s="16" t="n"/>
    </row>
    <row r="3650">
      <c r="A3650" s="16" t="inlineStr">
        <is>
          <t>KF-M09-R0-T_sumidero-0036</t>
        </is>
      </c>
      <c r="B3650" s="16" t="inlineStr">
        <is>
          <t>4.3</t>
        </is>
      </c>
      <c r="C3650" s="16" t="inlineStr">
        <is>
          <t>4.3 T_sumidero</t>
        </is>
      </c>
      <c r="D3650" s="16" t="inlineStr">
        <is>
          <t>ronda 0</t>
        </is>
      </c>
      <c r="E3650" s="16" t="inlineStr">
        <is>
          <t>KF-M09</t>
        </is>
      </c>
      <c r="F3650" s="16" t="inlineStr">
        <is>
          <t>KF-M09-R0-T_sumidero</t>
        </is>
      </c>
      <c r="G3650" s="16" t="inlineStr">
        <is>
          <t>B13-T_sumidero</t>
        </is>
      </c>
      <c r="H3650" s="16" t="inlineStr">
        <is>
          <t>lhs</t>
        </is>
      </c>
      <c r="I3650" s="16" t="inlineStr">
        <is>
          <t>KALINA</t>
        </is>
      </c>
      <c r="J3650" s="16" t="inlineStr">
        <is>
          <t>KALINA</t>
        </is>
      </c>
      <c r="K3650" s="16" t="b">
        <v>1</v>
      </c>
      <c r="L3650" s="16" t="b">
        <v>0</v>
      </c>
      <c r="M3650" s="16" t="b">
        <v>1</v>
      </c>
      <c r="N3650" s="16" t="b">
        <v>0</v>
      </c>
      <c r="O3650" s="16" t="n">
        <v>452.2538340953389</v>
      </c>
      <c r="P3650" s="16" t="n">
        <v>300.032917</v>
      </c>
      <c r="Q3650" s="16" t="n">
        <v>4163.510184172101</v>
      </c>
      <c r="R3650" s="16" t="n">
        <v>1510.943457621157</v>
      </c>
      <c r="S3650" s="16" t="n">
        <v>0.5352113900861207</v>
      </c>
      <c r="T3650" s="16" t="n">
        <v>0.762724438667388</v>
      </c>
      <c r="U3650" s="16" t="n">
        <v>0.8858605033898233</v>
      </c>
      <c r="V3650" s="16" t="n">
        <v>0.8636637004216676</v>
      </c>
      <c r="W3650" s="16" t="n">
        <v>0.7468567304327152</v>
      </c>
      <c r="X3650" s="16" t="n">
        <v>0.9389211318243263</v>
      </c>
      <c r="Y3650" s="16" t="n">
        <v>300.032917</v>
      </c>
      <c r="Z3650" s="16" t="n">
        <v>6.12057124647951</v>
      </c>
      <c r="AA3650" s="16" t="n">
        <v>54.38349387228317</v>
      </c>
      <c r="AB3650" s="16" t="n">
        <v>2652.566726550944</v>
      </c>
      <c r="AC3650" s="16" t="n">
        <v>2.755569815118805</v>
      </c>
      <c r="AD3650" s="16" t="n"/>
      <c r="AE3650" s="16" t="n"/>
    </row>
    <row r="3651">
      <c r="A3651" s="16" t="inlineStr">
        <is>
          <t>KF-M09-R0-T_sumidero-0037</t>
        </is>
      </c>
      <c r="B3651" s="16" t="inlineStr">
        <is>
          <t>4.3</t>
        </is>
      </c>
      <c r="C3651" s="16" t="inlineStr">
        <is>
          <t>4.3 T_sumidero</t>
        </is>
      </c>
      <c r="D3651" s="16" t="inlineStr">
        <is>
          <t>ronda 0</t>
        </is>
      </c>
      <c r="E3651" s="16" t="inlineStr">
        <is>
          <t>KF-M09</t>
        </is>
      </c>
      <c r="F3651" s="16" t="inlineStr">
        <is>
          <t>KF-M09-R0-T_sumidero</t>
        </is>
      </c>
      <c r="G3651" s="16" t="inlineStr">
        <is>
          <t>B13-T_sumidero</t>
        </is>
      </c>
      <c r="H3651" s="16" t="inlineStr">
        <is>
          <t>lhs</t>
        </is>
      </c>
      <c r="I3651" s="16" t="inlineStr">
        <is>
          <t>KALINA</t>
        </is>
      </c>
      <c r="J3651" s="16" t="inlineStr">
        <is>
          <t>KALINA</t>
        </is>
      </c>
      <c r="K3651" s="16" t="b">
        <v>1</v>
      </c>
      <c r="L3651" s="16" t="b">
        <v>1</v>
      </c>
      <c r="M3651" s="16" t="b">
        <v>0</v>
      </c>
      <c r="N3651" s="16" t="b">
        <v>0</v>
      </c>
      <c r="O3651" s="16" t="n">
        <v>400.2686586446141</v>
      </c>
      <c r="P3651" s="16" t="n">
        <v>300.032917</v>
      </c>
      <c r="Q3651" s="16" t="n">
        <v>4425.198586955896</v>
      </c>
      <c r="R3651" s="16" t="n">
        <v>1955.314475832506</v>
      </c>
      <c r="S3651" s="16" t="n">
        <v>0.6613749971916674</v>
      </c>
      <c r="T3651" s="16" t="n">
        <v>0.6483968381211634</v>
      </c>
      <c r="U3651" s="16" t="n">
        <v>0.4659159521988055</v>
      </c>
      <c r="V3651" s="16" t="n">
        <v>0.6036254817347784</v>
      </c>
      <c r="W3651" s="16" t="n">
        <v>0.6285643653206989</v>
      </c>
      <c r="X3651" s="16" t="n">
        <v>0.5984252634987819</v>
      </c>
      <c r="Y3651" s="16" t="n">
        <v>300.032917</v>
      </c>
      <c r="Z3651" s="16" t="n">
        <v>1.61537438747512</v>
      </c>
      <c r="AA3651" s="16" t="n">
        <v>4.350636590953799</v>
      </c>
      <c r="AB3651" s="16" t="n">
        <v>2469.88411112339</v>
      </c>
      <c r="AC3651" s="16" t="n">
        <v>2.263164642644911</v>
      </c>
      <c r="AD3651" s="16" t="n"/>
      <c r="AE3651" s="16" t="n"/>
    </row>
    <row r="3652">
      <c r="A3652" s="16" t="inlineStr">
        <is>
          <t>KF-M09-R0-T_sumidero-0038</t>
        </is>
      </c>
      <c r="B3652" s="16" t="inlineStr">
        <is>
          <t>4.3</t>
        </is>
      </c>
      <c r="C3652" s="16" t="inlineStr">
        <is>
          <t>4.3 T_sumidero</t>
        </is>
      </c>
      <c r="D3652" s="16" t="inlineStr">
        <is>
          <t>ronda 0</t>
        </is>
      </c>
      <c r="E3652" s="16" t="inlineStr">
        <is>
          <t>KF-M09</t>
        </is>
      </c>
      <c r="F3652" s="16" t="inlineStr">
        <is>
          <t>KF-M09-R0-T_sumidero</t>
        </is>
      </c>
      <c r="G3652" s="16" t="inlineStr">
        <is>
          <t>B13-T_sumidero</t>
        </is>
      </c>
      <c r="H3652" s="16" t="inlineStr">
        <is>
          <t>lhs</t>
        </is>
      </c>
      <c r="I3652" s="16" t="inlineStr">
        <is>
          <t>CORREGIBLE</t>
        </is>
      </c>
      <c r="J3652" s="16" t="inlineStr">
        <is>
          <t>CORREGIBLE</t>
        </is>
      </c>
      <c r="K3652" s="16" t="b">
        <v>1</v>
      </c>
      <c r="L3652" s="16" t="b">
        <v>0</v>
      </c>
      <c r="M3652" s="16" t="b">
        <v>0</v>
      </c>
      <c r="N3652" s="16" t="b">
        <v>0</v>
      </c>
      <c r="O3652" s="16" t="n">
        <v>476.5332583597325</v>
      </c>
      <c r="P3652" s="16" t="n">
        <v>300.032917</v>
      </c>
      <c r="Q3652" s="16" t="n">
        <v>3485.777498340456</v>
      </c>
      <c r="R3652" s="16" t="n">
        <v>1848.571704838857</v>
      </c>
      <c r="S3652" s="16" t="n">
        <v>0.8397032177315444</v>
      </c>
      <c r="T3652" s="16" t="n">
        <v>0.9240167119353214</v>
      </c>
      <c r="U3652" s="16" t="n">
        <v>0.7214899879236095</v>
      </c>
      <c r="V3652" s="16" t="n">
        <v>0.6595034562222621</v>
      </c>
      <c r="W3652" s="16" t="n">
        <v>0.8028350289655871</v>
      </c>
      <c r="X3652" s="16" t="n">
        <v>0.7001958297835802</v>
      </c>
      <c r="Y3652" s="16" t="n">
        <v>300.032917</v>
      </c>
      <c r="Z3652" s="16" t="n">
        <v>6.153593825420519</v>
      </c>
      <c r="AA3652" s="16" t="n">
        <v>57.47677691061638</v>
      </c>
      <c r="AB3652" s="16" t="n">
        <v>1637.205793501599</v>
      </c>
      <c r="AC3652" s="16" t="n">
        <v>1.885659879579471</v>
      </c>
      <c r="AD3652" s="16" t="inlineStr">
        <is>
          <t>O2</t>
        </is>
      </c>
      <c r="AE3652" s="16" t="n"/>
    </row>
    <row r="3653">
      <c r="A3653" s="16" t="inlineStr">
        <is>
          <t>KF-M09-R0-T_sumidero-0039</t>
        </is>
      </c>
      <c r="B3653" s="16" t="inlineStr">
        <is>
          <t>4.3</t>
        </is>
      </c>
      <c r="C3653" s="16" t="inlineStr">
        <is>
          <t>4.3 T_sumidero</t>
        </is>
      </c>
      <c r="D3653" s="16" t="inlineStr">
        <is>
          <t>ronda 0</t>
        </is>
      </c>
      <c r="E3653" s="16" t="inlineStr">
        <is>
          <t>KF-M09</t>
        </is>
      </c>
      <c r="F3653" s="16" t="inlineStr">
        <is>
          <t>KF-M09-R0-T_sumidero</t>
        </is>
      </c>
      <c r="G3653" s="16" t="inlineStr">
        <is>
          <t>B13-T_sumidero</t>
        </is>
      </c>
      <c r="H3653" s="16" t="inlineStr">
        <is>
          <t>lhs</t>
        </is>
      </c>
      <c r="I3653" s="16" t="inlineStr">
        <is>
          <t>CORREGIBLE</t>
        </is>
      </c>
      <c r="J3653" s="16" t="inlineStr">
        <is>
          <t>CORREGIBLE</t>
        </is>
      </c>
      <c r="K3653" s="16" t="b">
        <v>1</v>
      </c>
      <c r="L3653" s="16" t="b">
        <v>0</v>
      </c>
      <c r="M3653" s="16" t="b">
        <v>1</v>
      </c>
      <c r="N3653" s="16" t="b">
        <v>0</v>
      </c>
      <c r="O3653" s="16" t="n">
        <v>468.6920492900293</v>
      </c>
      <c r="P3653" s="16" t="n">
        <v>300.032917</v>
      </c>
      <c r="Q3653" s="16" t="n">
        <v>2554.558804559506</v>
      </c>
      <c r="R3653" s="16" t="n">
        <v>541.6840419893497</v>
      </c>
      <c r="S3653" s="16" t="n">
        <v>0.5583693683726737</v>
      </c>
      <c r="T3653" s="16" t="n">
        <v>0.6917307071644875</v>
      </c>
      <c r="U3653" s="16" t="n">
        <v>0.7484061222506647</v>
      </c>
      <c r="V3653" s="16" t="n">
        <v>0.9210911105188681</v>
      </c>
      <c r="W3653" s="16" t="n">
        <v>0.596803954529282</v>
      </c>
      <c r="X3653" s="16" t="n">
        <v>0.9206715789283978</v>
      </c>
      <c r="Y3653" s="16" t="n">
        <v>300.032917</v>
      </c>
      <c r="Z3653" s="16" t="n">
        <v>8.78507062703048</v>
      </c>
      <c r="AA3653" s="16" t="n">
        <v>169.1312219728324</v>
      </c>
      <c r="AB3653" s="16" t="n">
        <v>2012.874762570157</v>
      </c>
      <c r="AC3653" s="16" t="n">
        <v>4.715957286055203</v>
      </c>
      <c r="AD3653" s="16" t="inlineStr">
        <is>
          <t>O2</t>
        </is>
      </c>
      <c r="AE3653" s="16" t="n"/>
    </row>
    <row r="3654">
      <c r="A3654" s="16" t="inlineStr">
        <is>
          <t>KF-M09-R0-T_sumidero-0040</t>
        </is>
      </c>
      <c r="B3654" s="16" t="inlineStr">
        <is>
          <t>4.3</t>
        </is>
      </c>
      <c r="C3654" s="16" t="inlineStr">
        <is>
          <t>4.3 T_sumidero</t>
        </is>
      </c>
      <c r="D3654" s="16" t="inlineStr">
        <is>
          <t>ronda 0</t>
        </is>
      </c>
      <c r="E3654" s="16" t="inlineStr">
        <is>
          <t>KF-M09</t>
        </is>
      </c>
      <c r="F3654" s="16" t="inlineStr">
        <is>
          <t>KF-M09-R0-T_sumidero</t>
        </is>
      </c>
      <c r="G3654" s="16" t="inlineStr">
        <is>
          <t>B13-T_sumidero</t>
        </is>
      </c>
      <c r="H3654" s="16" t="inlineStr">
        <is>
          <t>lhs</t>
        </is>
      </c>
      <c r="I3654" s="16" t="inlineStr">
        <is>
          <t>CORREGIBLE</t>
        </is>
      </c>
      <c r="J3654" s="16" t="inlineStr">
        <is>
          <t>CORREGIBLE</t>
        </is>
      </c>
      <c r="K3654" s="16" t="b">
        <v>1</v>
      </c>
      <c r="L3654" s="16" t="b">
        <v>0</v>
      </c>
      <c r="M3654" s="16" t="b">
        <v>0</v>
      </c>
      <c r="N3654" s="16" t="b">
        <v>0</v>
      </c>
      <c r="O3654" s="16" t="n">
        <v>515.8052750664983</v>
      </c>
      <c r="P3654" s="16" t="n">
        <v>300.032917</v>
      </c>
      <c r="Q3654" s="16" t="n">
        <v>2788.209235361944</v>
      </c>
      <c r="R3654" s="16" t="n">
        <v>868.9209875121974</v>
      </c>
      <c r="S3654" s="16" t="n">
        <v>0.697571804684461</v>
      </c>
      <c r="T3654" s="16" t="n">
        <v>0.4161013070006885</v>
      </c>
      <c r="U3654" s="16" t="n">
        <v>0.9437577588484668</v>
      </c>
      <c r="V3654" s="16" t="n">
        <v>0.4624887342242757</v>
      </c>
      <c r="W3654" s="16" t="n">
        <v>0.8083993199749172</v>
      </c>
      <c r="X3654" s="16" t="n">
        <v>0.7997630707921279</v>
      </c>
      <c r="Y3654" s="16" t="n">
        <v>300.032917</v>
      </c>
      <c r="Z3654" s="16" t="n">
        <v>4.016966447297761</v>
      </c>
      <c r="AA3654" s="16" t="n">
        <v>35.02015499730147</v>
      </c>
      <c r="AB3654" s="16" t="n">
        <v>1919.288247849747</v>
      </c>
      <c r="AC3654" s="16" t="n">
        <v>3.208817919503648</v>
      </c>
      <c r="AD3654" s="16" t="inlineStr">
        <is>
          <t>O2</t>
        </is>
      </c>
      <c r="AE3654" s="16" t="n"/>
    </row>
    <row r="3655">
      <c r="A3655" s="16" t="inlineStr">
        <is>
          <t>KF-M09-R0-T_sumidero-0041</t>
        </is>
      </c>
      <c r="B3655" s="16" t="inlineStr">
        <is>
          <t>4.3</t>
        </is>
      </c>
      <c r="C3655" s="16" t="inlineStr">
        <is>
          <t>4.3 T_sumidero</t>
        </is>
      </c>
      <c r="D3655" s="16" t="inlineStr">
        <is>
          <t>ronda 0</t>
        </is>
      </c>
      <c r="E3655" s="16" t="inlineStr">
        <is>
          <t>KF-M09</t>
        </is>
      </c>
      <c r="F3655" s="16" t="inlineStr">
        <is>
          <t>KF-M09-R0-T_sumidero</t>
        </is>
      </c>
      <c r="G3655" s="16" t="inlineStr">
        <is>
          <t>B13-T_sumidero</t>
        </is>
      </c>
      <c r="H3655" s="16" t="inlineStr">
        <is>
          <t>lhs</t>
        </is>
      </c>
      <c r="I3655" s="16" t="inlineStr">
        <is>
          <t>NO_CONVERGIO</t>
        </is>
      </c>
      <c r="J3655" s="16" t="inlineStr">
        <is>
          <t>NO_CONVERGIO</t>
        </is>
      </c>
      <c r="K3655" s="16" t="b">
        <v>0</v>
      </c>
      <c r="L3655" s="16" t="b">
        <v>0</v>
      </c>
      <c r="M3655" s="16" t="b">
        <v>0</v>
      </c>
      <c r="N3655" s="16" t="b">
        <v>0</v>
      </c>
      <c r="O3655" s="16" t="n">
        <v>390.2291116891928</v>
      </c>
      <c r="P3655" s="16" t="n">
        <v>300.032917</v>
      </c>
      <c r="Q3655" s="16" t="n">
        <v>4375.803808732258</v>
      </c>
      <c r="R3655" s="16" t="n">
        <v>404.6540389194018</v>
      </c>
      <c r="S3655" s="16" t="n">
        <v>0.7807033304046589</v>
      </c>
      <c r="T3655" s="16" t="n">
        <v>0.8284497474074084</v>
      </c>
      <c r="U3655" s="16" t="n">
        <v>0.844599084078862</v>
      </c>
      <c r="V3655" s="16" t="n">
        <v>0.5052013024368126</v>
      </c>
      <c r="W3655" s="16" t="n">
        <v>0.4029380910019863</v>
      </c>
      <c r="X3655" s="16" t="n">
        <v>0.6095444929579699</v>
      </c>
      <c r="Y3655" s="16" t="n">
        <v>300.032917</v>
      </c>
      <c r="Z3655" s="16" t="n"/>
      <c r="AA3655" s="16" t="n"/>
      <c r="AB3655" s="16" t="n">
        <v>3971.149769812856</v>
      </c>
      <c r="AC3655" s="16" t="n">
        <v>10.81369117287823</v>
      </c>
      <c r="AD3655" s="16" t="n"/>
      <c r="AE3655" s="16" t="n"/>
    </row>
    <row r="3656">
      <c r="A3656" s="16" t="inlineStr">
        <is>
          <t>KF-M09-R0-T_sumidero-0042</t>
        </is>
      </c>
      <c r="B3656" s="16" t="inlineStr">
        <is>
          <t>4.3</t>
        </is>
      </c>
      <c r="C3656" s="16" t="inlineStr">
        <is>
          <t>4.3 T_sumidero</t>
        </is>
      </c>
      <c r="D3656" s="16" t="inlineStr">
        <is>
          <t>ronda 0</t>
        </is>
      </c>
      <c r="E3656" s="16" t="inlineStr">
        <is>
          <t>KF-M09</t>
        </is>
      </c>
      <c r="F3656" s="16" t="inlineStr">
        <is>
          <t>KF-M09-R0-T_sumidero</t>
        </is>
      </c>
      <c r="G3656" s="16" t="inlineStr">
        <is>
          <t>B13-T_sumidero</t>
        </is>
      </c>
      <c r="H3656" s="16" t="inlineStr">
        <is>
          <t>lhs</t>
        </is>
      </c>
      <c r="I3656" s="16" t="inlineStr">
        <is>
          <t>INVIABLE</t>
        </is>
      </c>
      <c r="J3656" s="16" t="inlineStr">
        <is>
          <t>INVIABLE</t>
        </is>
      </c>
      <c r="K3656" s="16" t="b">
        <v>1</v>
      </c>
      <c r="L3656" s="16" t="b">
        <v>0</v>
      </c>
      <c r="M3656" s="16" t="b">
        <v>1</v>
      </c>
      <c r="N3656" s="16" t="b">
        <v>0</v>
      </c>
      <c r="O3656" s="16" t="n">
        <v>444.3182377340675</v>
      </c>
      <c r="P3656" s="16" t="n">
        <v>300.032917</v>
      </c>
      <c r="Q3656" s="16" t="n">
        <v>2743.677821718397</v>
      </c>
      <c r="R3656" s="16" t="n">
        <v>486.3362687144723</v>
      </c>
      <c r="S3656" s="16" t="n">
        <v>0.8130323386740539</v>
      </c>
      <c r="T3656" s="16" t="n">
        <v>0.8537731953084498</v>
      </c>
      <c r="U3656" s="16" t="n">
        <v>0.6525890866836805</v>
      </c>
      <c r="V3656" s="16" t="n">
        <v>0.8356943586284334</v>
      </c>
      <c r="W3656" s="16" t="n">
        <v>0.6329936561785774</v>
      </c>
      <c r="X3656" s="16" t="n">
        <v>0.6272874544783956</v>
      </c>
      <c r="Y3656" s="16" t="n">
        <v>300.032917</v>
      </c>
      <c r="Z3656" s="16" t="n">
        <v>-14.04251582133805</v>
      </c>
      <c r="AA3656" s="16" t="n">
        <v>-61.52378778654293</v>
      </c>
      <c r="AB3656" s="16" t="n">
        <v>2257.341553003925</v>
      </c>
      <c r="AC3656" s="16" t="n">
        <v>5.641524184430522</v>
      </c>
      <c r="AD3656" s="16" t="inlineStr">
        <is>
          <t>O2,O3</t>
        </is>
      </c>
      <c r="AE3656" s="16" t="n"/>
    </row>
    <row r="3657">
      <c r="A3657" s="16" t="inlineStr">
        <is>
          <t>KF-M09-R0-T_sumidero-0043</t>
        </is>
      </c>
      <c r="B3657" s="16" t="inlineStr">
        <is>
          <t>4.3</t>
        </is>
      </c>
      <c r="C3657" s="16" t="inlineStr">
        <is>
          <t>4.3 T_sumidero</t>
        </is>
      </c>
      <c r="D3657" s="16" t="inlineStr">
        <is>
          <t>ronda 0</t>
        </is>
      </c>
      <c r="E3657" s="16" t="inlineStr">
        <is>
          <t>KF-M09</t>
        </is>
      </c>
      <c r="F3657" s="16" t="inlineStr">
        <is>
          <t>KF-M09-R0-T_sumidero</t>
        </is>
      </c>
      <c r="G3657" s="16" t="inlineStr">
        <is>
          <t>B13-T_sumidero</t>
        </is>
      </c>
      <c r="H3657" s="16" t="inlineStr">
        <is>
          <t>lhs</t>
        </is>
      </c>
      <c r="I3657" s="16" t="inlineStr">
        <is>
          <t>CORREGIBLE</t>
        </is>
      </c>
      <c r="J3657" s="16" t="inlineStr">
        <is>
          <t>CORREGIBLE</t>
        </is>
      </c>
      <c r="K3657" s="16" t="b">
        <v>1</v>
      </c>
      <c r="L3657" s="16" t="b">
        <v>0</v>
      </c>
      <c r="M3657" s="16" t="b">
        <v>1</v>
      </c>
      <c r="N3657" s="16" t="b">
        <v>0</v>
      </c>
      <c r="O3657" s="16" t="n">
        <v>448.6548734791799</v>
      </c>
      <c r="P3657" s="16" t="n">
        <v>300.032917</v>
      </c>
      <c r="Q3657" s="16" t="n">
        <v>3399.5669676025</v>
      </c>
      <c r="R3657" s="16" t="n">
        <v>1226.406528194719</v>
      </c>
      <c r="S3657" s="16" t="n">
        <v>0.7589443330132205</v>
      </c>
      <c r="T3657" s="16" t="n">
        <v>0.920619934637777</v>
      </c>
      <c r="U3657" s="16" t="n">
        <v>0.7688450408502902</v>
      </c>
      <c r="V3657" s="16" t="n">
        <v>0.6721879774306232</v>
      </c>
      <c r="W3657" s="16" t="n">
        <v>0.8583597669531697</v>
      </c>
      <c r="X3657" s="16" t="n">
        <v>0.457310437251999</v>
      </c>
      <c r="Y3657" s="16" t="n">
        <v>300.032917</v>
      </c>
      <c r="Z3657" s="16" t="n">
        <v>5.62042898279453</v>
      </c>
      <c r="AA3657" s="16" t="n">
        <v>38.15912753536782</v>
      </c>
      <c r="AB3657" s="16" t="n">
        <v>2173.16043940778</v>
      </c>
      <c r="AC3657" s="16" t="n">
        <v>2.771973965767037</v>
      </c>
      <c r="AD3657" s="16" t="inlineStr">
        <is>
          <t>O2</t>
        </is>
      </c>
      <c r="AE3657" s="16" t="n"/>
    </row>
    <row r="3658">
      <c r="A3658" s="16" t="inlineStr">
        <is>
          <t>KF-M09-R0-T_sumidero-0044</t>
        </is>
      </c>
      <c r="B3658" s="16" t="inlineStr">
        <is>
          <t>4.3</t>
        </is>
      </c>
      <c r="C3658" s="16" t="inlineStr">
        <is>
          <t>4.3 T_sumidero</t>
        </is>
      </c>
      <c r="D3658" s="16" t="inlineStr">
        <is>
          <t>ronda 0</t>
        </is>
      </c>
      <c r="E3658" s="16" t="inlineStr">
        <is>
          <t>KF-M09</t>
        </is>
      </c>
      <c r="F3658" s="16" t="inlineStr">
        <is>
          <t>KF-M09-R0-T_sumidero</t>
        </is>
      </c>
      <c r="G3658" s="16" t="inlineStr">
        <is>
          <t>B13-T_sumidero</t>
        </is>
      </c>
      <c r="H3658" s="16" t="inlineStr">
        <is>
          <t>lhs</t>
        </is>
      </c>
      <c r="I3658" s="16" t="inlineStr">
        <is>
          <t>NO_CONVERGIO</t>
        </is>
      </c>
      <c r="J3658" s="16" t="inlineStr">
        <is>
          <t>NO_CONVERGIO</t>
        </is>
      </c>
      <c r="K3658" s="16" t="b">
        <v>0</v>
      </c>
      <c r="L3658" s="16" t="b">
        <v>0</v>
      </c>
      <c r="M3658" s="16" t="b">
        <v>0</v>
      </c>
      <c r="N3658" s="16" t="b">
        <v>0</v>
      </c>
      <c r="O3658" s="16" t="n">
        <v>505.2286760219144</v>
      </c>
      <c r="P3658" s="16" t="n">
        <v>300.032917</v>
      </c>
      <c r="Q3658" s="16" t="n">
        <v>2007.345612663573</v>
      </c>
      <c r="R3658" s="16" t="n">
        <v>1457.055131111071</v>
      </c>
      <c r="S3658" s="16" t="n">
        <v>0.8074414238091934</v>
      </c>
      <c r="T3658" s="16" t="n">
        <v>0.5158104120234333</v>
      </c>
      <c r="U3658" s="16" t="n">
        <v>0.685090953769073</v>
      </c>
      <c r="V3658" s="16" t="n">
        <v>0.905649236986208</v>
      </c>
      <c r="W3658" s="16" t="n">
        <v>0.762241206635569</v>
      </c>
      <c r="X3658" s="16" t="n">
        <v>0.5236278245039692</v>
      </c>
      <c r="Y3658" s="16" t="n">
        <v>300.032917</v>
      </c>
      <c r="Z3658" s="16" t="n"/>
      <c r="AA3658" s="16" t="n"/>
      <c r="AB3658" s="16" t="n">
        <v>550.2904815525019</v>
      </c>
      <c r="AC3658" s="16" t="n">
        <v>1.377673067959261</v>
      </c>
      <c r="AD3658" s="16" t="n"/>
      <c r="AE3658" s="16" t="n"/>
    </row>
    <row r="3659">
      <c r="A3659" s="16" t="inlineStr">
        <is>
          <t>KF-M09-R0-T_sumidero-0045</t>
        </is>
      </c>
      <c r="B3659" s="16" t="inlineStr">
        <is>
          <t>4.3</t>
        </is>
      </c>
      <c r="C3659" s="16" t="inlineStr">
        <is>
          <t>4.3 T_sumidero</t>
        </is>
      </c>
      <c r="D3659" s="16" t="inlineStr">
        <is>
          <t>ronda 0</t>
        </is>
      </c>
      <c r="E3659" s="16" t="inlineStr">
        <is>
          <t>KF-M09</t>
        </is>
      </c>
      <c r="F3659" s="16" t="inlineStr">
        <is>
          <t>KF-M09-R0-T_sumidero</t>
        </is>
      </c>
      <c r="G3659" s="16" t="inlineStr">
        <is>
          <t>B13-T_sumidero</t>
        </is>
      </c>
      <c r="H3659" s="16" t="inlineStr">
        <is>
          <t>lhs</t>
        </is>
      </c>
      <c r="I3659" s="16" t="inlineStr">
        <is>
          <t>KALINA</t>
        </is>
      </c>
      <c r="J3659" s="16" t="inlineStr">
        <is>
          <t>KALINA</t>
        </is>
      </c>
      <c r="K3659" s="16" t="b">
        <v>1</v>
      </c>
      <c r="L3659" s="16" t="b">
        <v>1</v>
      </c>
      <c r="M3659" s="16" t="b">
        <v>0</v>
      </c>
      <c r="N3659" s="16" t="b">
        <v>0</v>
      </c>
      <c r="O3659" s="16" t="n">
        <v>397.1723144211648</v>
      </c>
      <c r="P3659" s="16" t="n">
        <v>300.032917</v>
      </c>
      <c r="Q3659" s="16" t="n">
        <v>4246.322420517488</v>
      </c>
      <c r="R3659" s="16" t="n">
        <v>1840.933810780212</v>
      </c>
      <c r="S3659" s="16" t="n">
        <v>0.6762188571721341</v>
      </c>
      <c r="T3659" s="16" t="n">
        <v>0.7797139426040733</v>
      </c>
      <c r="U3659" s="16" t="n">
        <v>0.8695285618286199</v>
      </c>
      <c r="V3659" s="16" t="n">
        <v>0.4392834672183764</v>
      </c>
      <c r="W3659" s="16" t="n">
        <v>0.788743200136931</v>
      </c>
      <c r="X3659" s="16" t="n">
        <v>0.7300768615446918</v>
      </c>
      <c r="Y3659" s="16" t="n">
        <v>300.032917</v>
      </c>
      <c r="Z3659" s="16" t="n">
        <v>3.130364370431709</v>
      </c>
      <c r="AA3659" s="16" t="n">
        <v>6.457522344882262</v>
      </c>
      <c r="AB3659" s="16" t="n">
        <v>2405.388609737276</v>
      </c>
      <c r="AC3659" s="16" t="n">
        <v>2.306613304428278</v>
      </c>
      <c r="AD3659" s="16" t="n"/>
      <c r="AE3659" s="16" t="n"/>
    </row>
    <row r="3660">
      <c r="A3660" s="16" t="inlineStr">
        <is>
          <t>KF-M09-R0-T_sumidero-0046</t>
        </is>
      </c>
      <c r="B3660" s="16" t="inlineStr">
        <is>
          <t>4.3</t>
        </is>
      </c>
      <c r="C3660" s="16" t="inlineStr">
        <is>
          <t>4.3 T_sumidero</t>
        </is>
      </c>
      <c r="D3660" s="16" t="inlineStr">
        <is>
          <t>ronda 0</t>
        </is>
      </c>
      <c r="E3660" s="16" t="inlineStr">
        <is>
          <t>KF-M09</t>
        </is>
      </c>
      <c r="F3660" s="16" t="inlineStr">
        <is>
          <t>KF-M09-R0-T_sumidero</t>
        </is>
      </c>
      <c r="G3660" s="16" t="inlineStr">
        <is>
          <t>B13-T_sumidero</t>
        </is>
      </c>
      <c r="H3660" s="16" t="inlineStr">
        <is>
          <t>lhs</t>
        </is>
      </c>
      <c r="I3660" s="16" t="inlineStr">
        <is>
          <t>KALINA</t>
        </is>
      </c>
      <c r="J3660" s="16" t="inlineStr">
        <is>
          <t>KALINA</t>
        </is>
      </c>
      <c r="K3660" s="16" t="b">
        <v>1</v>
      </c>
      <c r="L3660" s="16" t="b">
        <v>0</v>
      </c>
      <c r="M3660" s="16" t="b">
        <v>1</v>
      </c>
      <c r="N3660" s="16" t="b">
        <v>0</v>
      </c>
      <c r="O3660" s="16" t="n">
        <v>474.4549652115811</v>
      </c>
      <c r="P3660" s="16" t="n">
        <v>300.032917</v>
      </c>
      <c r="Q3660" s="16" t="n">
        <v>3002.00503465358</v>
      </c>
      <c r="R3660" s="16" t="n">
        <v>1793.844578056632</v>
      </c>
      <c r="S3660" s="16" t="n">
        <v>0.7907483694252488</v>
      </c>
      <c r="T3660" s="16" t="n">
        <v>0.4657999656236518</v>
      </c>
      <c r="U3660" s="16" t="n">
        <v>0.7541061393652976</v>
      </c>
      <c r="V3660" s="16" t="n">
        <v>0.891790839291721</v>
      </c>
      <c r="W3660" s="16" t="n">
        <v>0.5007198549174307</v>
      </c>
      <c r="X3660" s="16" t="n">
        <v>0.942950305300686</v>
      </c>
      <c r="Y3660" s="16" t="n">
        <v>300.032917</v>
      </c>
      <c r="Z3660" s="16" t="n">
        <v>2.39336629392258</v>
      </c>
      <c r="AA3660" s="16" t="n">
        <v>39.0499420090211</v>
      </c>
      <c r="AB3660" s="16" t="n">
        <v>1208.160456596948</v>
      </c>
      <c r="AC3660" s="16" t="n">
        <v>1.673503419067561</v>
      </c>
      <c r="AD3660" s="16" t="n"/>
      <c r="AE3660" s="16" t="n"/>
    </row>
    <row r="3661">
      <c r="A3661" s="16" t="inlineStr">
        <is>
          <t>KF-M09-R0-T_sumidero-0047</t>
        </is>
      </c>
      <c r="B3661" s="16" t="inlineStr">
        <is>
          <t>4.3</t>
        </is>
      </c>
      <c r="C3661" s="16" t="inlineStr">
        <is>
          <t>4.3 T_sumidero</t>
        </is>
      </c>
      <c r="D3661" s="16" t="inlineStr">
        <is>
          <t>ronda 0</t>
        </is>
      </c>
      <c r="E3661" s="16" t="inlineStr">
        <is>
          <t>KF-M09</t>
        </is>
      </c>
      <c r="F3661" s="16" t="inlineStr">
        <is>
          <t>KF-M09-R0-T_sumidero</t>
        </is>
      </c>
      <c r="G3661" s="16" t="inlineStr">
        <is>
          <t>B13-T_sumidero</t>
        </is>
      </c>
      <c r="H3661" s="16" t="inlineStr">
        <is>
          <t>lhs</t>
        </is>
      </c>
      <c r="I3661" s="16" t="inlineStr">
        <is>
          <t>CORREGIBLE</t>
        </is>
      </c>
      <c r="J3661" s="16" t="inlineStr">
        <is>
          <t>CORREGIBLE</t>
        </is>
      </c>
      <c r="K3661" s="16" t="b">
        <v>1</v>
      </c>
      <c r="L3661" s="16" t="b">
        <v>0</v>
      </c>
      <c r="M3661" s="16" t="b">
        <v>1</v>
      </c>
      <c r="N3661" s="16" t="b">
        <v>0</v>
      </c>
      <c r="O3661" s="16" t="n">
        <v>484.8852369243025</v>
      </c>
      <c r="P3661" s="16" t="n">
        <v>300.032917</v>
      </c>
      <c r="Q3661" s="16" t="n">
        <v>2115.353141841665</v>
      </c>
      <c r="R3661" s="16" t="n">
        <v>1567.932817147789</v>
      </c>
      <c r="S3661" s="16" t="n">
        <v>0.7223271452937994</v>
      </c>
      <c r="T3661" s="16" t="n">
        <v>0.7172186556078464</v>
      </c>
      <c r="U3661" s="16" t="n">
        <v>0.7640298294923447</v>
      </c>
      <c r="V3661" s="16" t="n">
        <v>0.8801309670249798</v>
      </c>
      <c r="W3661" s="16" t="n">
        <v>0.8669145430882389</v>
      </c>
      <c r="X3661" s="16" t="n">
        <v>0.704385633896212</v>
      </c>
      <c r="Y3661" s="16" t="n">
        <v>300.032917</v>
      </c>
      <c r="Z3661" s="16" t="n">
        <v>1.54597395681929</v>
      </c>
      <c r="AA3661" s="16" t="n">
        <v>20.71083413826579</v>
      </c>
      <c r="AB3661" s="16" t="n">
        <v>547.4203246938753</v>
      </c>
      <c r="AC3661" s="16" t="n">
        <v>1.349135064147507</v>
      </c>
      <c r="AD3661" s="16" t="inlineStr">
        <is>
          <t>O2</t>
        </is>
      </c>
      <c r="AE3661" s="16" t="n"/>
    </row>
    <row r="3662">
      <c r="A3662" s="16" t="inlineStr">
        <is>
          <t>KF-M09-R0-T_sumidero-0048</t>
        </is>
      </c>
      <c r="B3662" s="16" t="inlineStr">
        <is>
          <t>4.3</t>
        </is>
      </c>
      <c r="C3662" s="16" t="inlineStr">
        <is>
          <t>4.3 T_sumidero</t>
        </is>
      </c>
      <c r="D3662" s="16" t="inlineStr">
        <is>
          <t>ronda 0</t>
        </is>
      </c>
      <c r="E3662" s="16" t="inlineStr">
        <is>
          <t>KF-M09</t>
        </is>
      </c>
      <c r="F3662" s="16" t="inlineStr">
        <is>
          <t>KF-M09-R0-T_sumidero</t>
        </is>
      </c>
      <c r="G3662" s="16" t="inlineStr">
        <is>
          <t>B13-T_sumidero</t>
        </is>
      </c>
      <c r="H3662" s="16" t="inlineStr">
        <is>
          <t>lhs</t>
        </is>
      </c>
      <c r="I3662" s="16" t="inlineStr">
        <is>
          <t>CORREGIBLE</t>
        </is>
      </c>
      <c r="J3662" s="16" t="inlineStr">
        <is>
          <t>CORREGIBLE</t>
        </is>
      </c>
      <c r="K3662" s="16" t="b">
        <v>1</v>
      </c>
      <c r="L3662" s="16" t="b">
        <v>0</v>
      </c>
      <c r="M3662" s="16" t="b">
        <v>1</v>
      </c>
      <c r="N3662" s="16" t="b">
        <v>0</v>
      </c>
      <c r="O3662" s="16" t="n">
        <v>510.3282596125327</v>
      </c>
      <c r="P3662" s="16" t="n">
        <v>300.032917</v>
      </c>
      <c r="Q3662" s="16" t="n">
        <v>3711.944625251177</v>
      </c>
      <c r="R3662" s="16" t="n">
        <v>954.7860476524116</v>
      </c>
      <c r="S3662" s="16" t="n">
        <v>0.7172779853531847</v>
      </c>
      <c r="T3662" s="16" t="n">
        <v>0.7550621352059175</v>
      </c>
      <c r="U3662" s="16" t="n">
        <v>0.4083836911462342</v>
      </c>
      <c r="V3662" s="16" t="n">
        <v>0.6547831726705284</v>
      </c>
      <c r="W3662" s="16" t="n">
        <v>0.5861432293278622</v>
      </c>
      <c r="X3662" s="16" t="n">
        <v>0.8816610473652065</v>
      </c>
      <c r="Y3662" s="16" t="n">
        <v>300.032917</v>
      </c>
      <c r="Z3662" s="16" t="n">
        <v>9.021814766715339</v>
      </c>
      <c r="AA3662" s="16" t="n">
        <v>112.1015946931016</v>
      </c>
      <c r="AB3662" s="16" t="n">
        <v>2757.158577598765</v>
      </c>
      <c r="AC3662" s="16" t="n">
        <v>3.887723992592846</v>
      </c>
      <c r="AD3662" s="16" t="inlineStr">
        <is>
          <t>O2</t>
        </is>
      </c>
      <c r="AE3662" s="16" t="n"/>
    </row>
    <row r="3663">
      <c r="A3663" s="16" t="inlineStr">
        <is>
          <t>KF-M09-R0-T_sumidero-0049</t>
        </is>
      </c>
      <c r="B3663" s="16" t="inlineStr">
        <is>
          <t>4.3</t>
        </is>
      </c>
      <c r="C3663" s="16" t="inlineStr">
        <is>
          <t>4.3 T_sumidero</t>
        </is>
      </c>
      <c r="D3663" s="16" t="inlineStr">
        <is>
          <t>ronda 0</t>
        </is>
      </c>
      <c r="E3663" s="16" t="inlineStr">
        <is>
          <t>KF-M09</t>
        </is>
      </c>
      <c r="F3663" s="16" t="inlineStr">
        <is>
          <t>KF-M09-R0-T_sumidero</t>
        </is>
      </c>
      <c r="G3663" s="16" t="inlineStr">
        <is>
          <t>B13-T_sumidero</t>
        </is>
      </c>
      <c r="H3663" s="16" t="inlineStr">
        <is>
          <t>lhs</t>
        </is>
      </c>
      <c r="I3663" s="16" t="inlineStr">
        <is>
          <t>INVIABLE</t>
        </is>
      </c>
      <c r="J3663" s="16" t="inlineStr">
        <is>
          <t>INVIABLE</t>
        </is>
      </c>
      <c r="K3663" s="16" t="b">
        <v>1</v>
      </c>
      <c r="L3663" s="16" t="b">
        <v>0</v>
      </c>
      <c r="M3663" s="16" t="b">
        <v>1</v>
      </c>
      <c r="N3663" s="16" t="b">
        <v>0</v>
      </c>
      <c r="O3663" s="16" t="n">
        <v>495.2491425488291</v>
      </c>
      <c r="P3663" s="16" t="n">
        <v>300.032917</v>
      </c>
      <c r="Q3663" s="16" t="n">
        <v>4530.051731114983</v>
      </c>
      <c r="R3663" s="16" t="n">
        <v>578.5936549675039</v>
      </c>
      <c r="S3663" s="16" t="n">
        <v>0.7054712534208432</v>
      </c>
      <c r="T3663" s="16" t="n">
        <v>0.443393371974108</v>
      </c>
      <c r="U3663" s="16" t="n">
        <v>0.6216627249941931</v>
      </c>
      <c r="V3663" s="16" t="n">
        <v>0.7023947251884168</v>
      </c>
      <c r="W3663" s="16" t="n">
        <v>0.7020821705746154</v>
      </c>
      <c r="X3663" s="16" t="n">
        <v>0.4917354168818897</v>
      </c>
      <c r="Y3663" s="16" t="n">
        <v>300.032917</v>
      </c>
      <c r="Z3663" s="16" t="n">
        <v>-36.75694405087526</v>
      </c>
      <c r="AA3663" s="16" t="n">
        <v>-192.9004318694288</v>
      </c>
      <c r="AB3663" s="16" t="n">
        <v>3951.45807614748</v>
      </c>
      <c r="AC3663" s="16" t="n">
        <v>7.829418266554287</v>
      </c>
      <c r="AD3663" s="16" t="inlineStr">
        <is>
          <t>O2,O3</t>
        </is>
      </c>
      <c r="AE3663" s="16" t="n"/>
    </row>
    <row r="3664">
      <c r="A3664" s="16" t="inlineStr">
        <is>
          <t>KF-M09-R0-T_sumidero-0050</t>
        </is>
      </c>
      <c r="B3664" s="16" t="inlineStr">
        <is>
          <t>4.3</t>
        </is>
      </c>
      <c r="C3664" s="16" t="inlineStr">
        <is>
          <t>4.3 T_sumidero</t>
        </is>
      </c>
      <c r="D3664" s="16" t="inlineStr">
        <is>
          <t>ronda 0</t>
        </is>
      </c>
      <c r="E3664" s="16" t="inlineStr">
        <is>
          <t>KF-M09</t>
        </is>
      </c>
      <c r="F3664" s="16" t="inlineStr">
        <is>
          <t>KF-M09-R0-T_sumidero</t>
        </is>
      </c>
      <c r="G3664" s="16" t="inlineStr">
        <is>
          <t>B13-T_sumidero</t>
        </is>
      </c>
      <c r="H3664" s="16" t="inlineStr">
        <is>
          <t>lhs</t>
        </is>
      </c>
      <c r="I3664" s="16" t="inlineStr">
        <is>
          <t>KALINA</t>
        </is>
      </c>
      <c r="J3664" s="16" t="inlineStr">
        <is>
          <t>KALINA</t>
        </is>
      </c>
      <c r="K3664" s="16" t="b">
        <v>1</v>
      </c>
      <c r="L3664" s="16" t="b">
        <v>1</v>
      </c>
      <c r="M3664" s="16" t="b">
        <v>0</v>
      </c>
      <c r="N3664" s="16" t="b">
        <v>0</v>
      </c>
      <c r="O3664" s="16" t="n">
        <v>487.3001348553231</v>
      </c>
      <c r="P3664" s="16" t="n">
        <v>300.032917</v>
      </c>
      <c r="Q3664" s="16" t="n">
        <v>3058.337191580531</v>
      </c>
      <c r="R3664" s="16" t="n">
        <v>1593.096838046561</v>
      </c>
      <c r="S3664" s="16" t="n">
        <v>0.683536562855708</v>
      </c>
      <c r="T3664" s="16" t="n">
        <v>0.5870964707285513</v>
      </c>
      <c r="U3664" s="16" t="n">
        <v>0.9249402550214842</v>
      </c>
      <c r="V3664" s="16" t="n">
        <v>0.5358209452390023</v>
      </c>
      <c r="W3664" s="16" t="n">
        <v>0.4907595016994168</v>
      </c>
      <c r="X3664" s="16" t="n">
        <v>0.9051566563777128</v>
      </c>
      <c r="Y3664" s="16" t="n">
        <v>300.032917</v>
      </c>
      <c r="Z3664" s="16" t="n">
        <v>3.58408222849292</v>
      </c>
      <c r="AA3664" s="16" t="n">
        <v>37.37871256110539</v>
      </c>
      <c r="AB3664" s="16" t="n">
        <v>1465.24035353397</v>
      </c>
      <c r="AC3664" s="16" t="n">
        <v>1.919743432125967</v>
      </c>
      <c r="AD3664" s="16" t="n"/>
      <c r="AE3664" s="16" t="n"/>
    </row>
    <row r="3665">
      <c r="A3665" s="16" t="inlineStr">
        <is>
          <t>KF-M09-R0-T_sumidero-0051</t>
        </is>
      </c>
      <c r="B3665" s="16" t="inlineStr">
        <is>
          <t>4.3</t>
        </is>
      </c>
      <c r="C3665" s="16" t="inlineStr">
        <is>
          <t>4.3 T_sumidero</t>
        </is>
      </c>
      <c r="D3665" s="16" t="inlineStr">
        <is>
          <t>ronda 0</t>
        </is>
      </c>
      <c r="E3665" s="16" t="inlineStr">
        <is>
          <t>KF-M09</t>
        </is>
      </c>
      <c r="F3665" s="16" t="inlineStr">
        <is>
          <t>KF-M09-R0-T_sumidero</t>
        </is>
      </c>
      <c r="G3665" s="16" t="inlineStr">
        <is>
          <t>B13-T_sumidero</t>
        </is>
      </c>
      <c r="H3665" s="16" t="inlineStr">
        <is>
          <t>lhs</t>
        </is>
      </c>
      <c r="I3665" s="16" t="inlineStr">
        <is>
          <t>INVIABLE</t>
        </is>
      </c>
      <c r="J3665" s="16" t="inlineStr">
        <is>
          <t>INVIABLE</t>
        </is>
      </c>
      <c r="K3665" s="16" t="b">
        <v>1</v>
      </c>
      <c r="L3665" s="16" t="b">
        <v>0</v>
      </c>
      <c r="M3665" s="16" t="b">
        <v>0</v>
      </c>
      <c r="N3665" s="16" t="b">
        <v>0</v>
      </c>
      <c r="O3665" s="16" t="n">
        <v>426.8291978777472</v>
      </c>
      <c r="P3665" s="16" t="n">
        <v>300.032917</v>
      </c>
      <c r="Q3665" s="16" t="n">
        <v>3187.275715191327</v>
      </c>
      <c r="R3665" s="16" t="n">
        <v>744.2727963789196</v>
      </c>
      <c r="S3665" s="16" t="n">
        <v>0.5706859624591054</v>
      </c>
      <c r="T3665" s="16" t="n">
        <v>0.90813361706565</v>
      </c>
      <c r="U3665" s="16" t="n">
        <v>0.4563045554519895</v>
      </c>
      <c r="V3665" s="16" t="n">
        <v>0.4814353488235617</v>
      </c>
      <c r="W3665" s="16" t="n">
        <v>0.8393098964628336</v>
      </c>
      <c r="X3665" s="16" t="n">
        <v>0.4649039033257509</v>
      </c>
      <c r="Y3665" s="16" t="n">
        <v>300.032917</v>
      </c>
      <c r="Z3665" s="16" t="n">
        <v>-0.72381751016504</v>
      </c>
      <c r="AA3665" s="16" t="n">
        <v>-2.31362669389646</v>
      </c>
      <c r="AB3665" s="16" t="n">
        <v>2443.002918812407</v>
      </c>
      <c r="AC3665" s="16" t="n">
        <v>4.282402542049435</v>
      </c>
      <c r="AD3665" s="16" t="inlineStr">
        <is>
          <t>O2,O3</t>
        </is>
      </c>
      <c r="AE3665" s="16" t="n"/>
    </row>
    <row r="3666">
      <c r="A3666" s="16" t="inlineStr">
        <is>
          <t>KF-M09-R0-T_sumidero-0052</t>
        </is>
      </c>
      <c r="B3666" s="16" t="inlineStr">
        <is>
          <t>4.3</t>
        </is>
      </c>
      <c r="C3666" s="16" t="inlineStr">
        <is>
          <t>4.3 T_sumidero</t>
        </is>
      </c>
      <c r="D3666" s="16" t="inlineStr">
        <is>
          <t>ronda 0</t>
        </is>
      </c>
      <c r="E3666" s="16" t="inlineStr">
        <is>
          <t>KF-M09</t>
        </is>
      </c>
      <c r="F3666" s="16" t="inlineStr">
        <is>
          <t>KF-M09-R0-T_sumidero</t>
        </is>
      </c>
      <c r="G3666" s="16" t="inlineStr">
        <is>
          <t>B13-T_sumidero</t>
        </is>
      </c>
      <c r="H3666" s="16" t="inlineStr">
        <is>
          <t>lhs</t>
        </is>
      </c>
      <c r="I3666" s="16" t="inlineStr">
        <is>
          <t>INVIABLE</t>
        </is>
      </c>
      <c r="J3666" s="16" t="inlineStr">
        <is>
          <t>INVIABLE</t>
        </is>
      </c>
      <c r="K3666" s="16" t="b">
        <v>1</v>
      </c>
      <c r="L3666" s="16" t="b">
        <v>0</v>
      </c>
      <c r="M3666" s="16" t="b">
        <v>0</v>
      </c>
      <c r="N3666" s="16" t="b">
        <v>0</v>
      </c>
      <c r="O3666" s="16" t="n">
        <v>410.6374158474644</v>
      </c>
      <c r="P3666" s="16" t="n">
        <v>300.032917</v>
      </c>
      <c r="Q3666" s="16" t="n">
        <v>3989.620630201327</v>
      </c>
      <c r="R3666" s="16" t="n">
        <v>1807.756988112083</v>
      </c>
      <c r="S3666" s="16" t="n">
        <v>0.5025397381119595</v>
      </c>
      <c r="T3666" s="16" t="n">
        <v>0.6727056359219379</v>
      </c>
      <c r="U3666" s="16" t="n">
        <v>0.5080481551121405</v>
      </c>
      <c r="V3666" s="16" t="n">
        <v>0.7911399304474469</v>
      </c>
      <c r="W3666" s="16" t="n">
        <v>0.4814688393146246</v>
      </c>
      <c r="X3666" s="16" t="n">
        <v>0.8108179321955085</v>
      </c>
      <c r="Y3666" s="16" t="n">
        <v>300.032917</v>
      </c>
      <c r="Z3666" s="16" t="n">
        <v>-0.37185864482078</v>
      </c>
      <c r="AA3666" s="16" t="n">
        <v>-1.095613579225457</v>
      </c>
      <c r="AB3666" s="16" t="n">
        <v>2181.863642089244</v>
      </c>
      <c r="AC3666" s="16" t="n">
        <v>2.206945212457929</v>
      </c>
      <c r="AD3666" s="16" t="inlineStr">
        <is>
          <t>O3</t>
        </is>
      </c>
      <c r="AE3666" s="16" t="n"/>
    </row>
    <row r="3667">
      <c r="A3667" s="16" t="inlineStr">
        <is>
          <t>KF-M09-R0-T_sumidero-0053</t>
        </is>
      </c>
      <c r="B3667" s="16" t="inlineStr">
        <is>
          <t>4.3</t>
        </is>
      </c>
      <c r="C3667" s="16" t="inlineStr">
        <is>
          <t>4.3 T_sumidero</t>
        </is>
      </c>
      <c r="D3667" s="16" t="inlineStr">
        <is>
          <t>ronda 0</t>
        </is>
      </c>
      <c r="E3667" s="16" t="inlineStr">
        <is>
          <t>KF-M09</t>
        </is>
      </c>
      <c r="F3667" s="16" t="inlineStr">
        <is>
          <t>KF-M09-R0-T_sumidero</t>
        </is>
      </c>
      <c r="G3667" s="16" t="inlineStr">
        <is>
          <t>B13-T_sumidero</t>
        </is>
      </c>
      <c r="H3667" s="16" t="inlineStr">
        <is>
          <t>lhs</t>
        </is>
      </c>
      <c r="I3667" s="16" t="inlineStr">
        <is>
          <t>NO_CONVERGIO</t>
        </is>
      </c>
      <c r="J3667" s="16" t="inlineStr">
        <is>
          <t>NO_CONVERGIO</t>
        </is>
      </c>
      <c r="K3667" s="16" t="b">
        <v>0</v>
      </c>
      <c r="L3667" s="16" t="b">
        <v>0</v>
      </c>
      <c r="M3667" s="16" t="b">
        <v>0</v>
      </c>
      <c r="N3667" s="16" t="b">
        <v>0</v>
      </c>
      <c r="O3667" s="16" t="n">
        <v>406.2044773044362</v>
      </c>
      <c r="P3667" s="16" t="n">
        <v>300.032917</v>
      </c>
      <c r="Q3667" s="16" t="n">
        <v>4756.58835602052</v>
      </c>
      <c r="R3667" s="16" t="n">
        <v>1920.641335444949</v>
      </c>
      <c r="S3667" s="16" t="n">
        <v>0.5036401750295657</v>
      </c>
      <c r="T3667" s="16" t="n">
        <v>0.6991802790810293</v>
      </c>
      <c r="U3667" s="16" t="n">
        <v>0.4438908882108985</v>
      </c>
      <c r="V3667" s="16" t="n">
        <v>0.5233576706692565</v>
      </c>
      <c r="W3667" s="16" t="n">
        <v>0.4672756623849994</v>
      </c>
      <c r="X3667" s="16" t="n">
        <v>0.9131653176772404</v>
      </c>
      <c r="Y3667" s="16" t="n">
        <v>300.032917</v>
      </c>
      <c r="Z3667" s="16" t="n"/>
      <c r="AA3667" s="16" t="n"/>
      <c r="AB3667" s="16" t="n">
        <v>2835.947020575572</v>
      </c>
      <c r="AC3667" s="16" t="n">
        <v>2.476562525360091</v>
      </c>
      <c r="AD3667" s="16" t="n"/>
      <c r="AE3667" s="16" t="n"/>
    </row>
    <row r="3668">
      <c r="A3668" s="16" t="inlineStr">
        <is>
          <t>KF-M09-R0-T_sumidero-0054</t>
        </is>
      </c>
      <c r="B3668" s="16" t="inlineStr">
        <is>
          <t>4.3</t>
        </is>
      </c>
      <c r="C3668" s="16" t="inlineStr">
        <is>
          <t>4.3 T_sumidero</t>
        </is>
      </c>
      <c r="D3668" s="16" t="inlineStr">
        <is>
          <t>ronda 0</t>
        </is>
      </c>
      <c r="E3668" s="16" t="inlineStr">
        <is>
          <t>KF-M09</t>
        </is>
      </c>
      <c r="F3668" s="16" t="inlineStr">
        <is>
          <t>KF-M09-R0-T_sumidero</t>
        </is>
      </c>
      <c r="G3668" s="16" t="inlineStr">
        <is>
          <t>B13-T_sumidero</t>
        </is>
      </c>
      <c r="H3668" s="16" t="inlineStr">
        <is>
          <t>lhs</t>
        </is>
      </c>
      <c r="I3668" s="16" t="inlineStr">
        <is>
          <t>INVIABLE</t>
        </is>
      </c>
      <c r="J3668" s="16" t="inlineStr">
        <is>
          <t>INVIABLE</t>
        </is>
      </c>
      <c r="K3668" s="16" t="b">
        <v>1</v>
      </c>
      <c r="L3668" s="16" t="b">
        <v>0</v>
      </c>
      <c r="M3668" s="16" t="b">
        <v>1</v>
      </c>
      <c r="N3668" s="16" t="b">
        <v>0</v>
      </c>
      <c r="O3668" s="16" t="n">
        <v>441.5522140924084</v>
      </c>
      <c r="P3668" s="16" t="n">
        <v>300.032917</v>
      </c>
      <c r="Q3668" s="16" t="n">
        <v>4272.678444883267</v>
      </c>
      <c r="R3668" s="16" t="n">
        <v>520.0675860606593</v>
      </c>
      <c r="S3668" s="16" t="n">
        <v>0.8312889488759453</v>
      </c>
      <c r="T3668" s="16" t="n">
        <v>0.7434839239580329</v>
      </c>
      <c r="U3668" s="16" t="n">
        <v>0.4666586403843173</v>
      </c>
      <c r="V3668" s="16" t="n">
        <v>0.8717065775062056</v>
      </c>
      <c r="W3668" s="16" t="n">
        <v>0.7563345393434826</v>
      </c>
      <c r="X3668" s="16" t="n">
        <v>0.7711685040831718</v>
      </c>
      <c r="Y3668" s="16" t="n">
        <v>300.032917</v>
      </c>
      <c r="Z3668" s="16" t="n">
        <v>-74.82981887272936</v>
      </c>
      <c r="AA3668" s="16" t="n">
        <v>-224.2731523199809</v>
      </c>
      <c r="AB3668" s="16" t="n">
        <v>3752.610858822608</v>
      </c>
      <c r="AC3668" s="16" t="n">
        <v>8.215621506518795</v>
      </c>
      <c r="AD3668" s="16" t="inlineStr">
        <is>
          <t>O2,O3</t>
        </is>
      </c>
      <c r="AE3668" s="16" t="n"/>
    </row>
    <row r="3669">
      <c r="A3669" s="16" t="inlineStr">
        <is>
          <t>KF-M09-R0-T_sumidero-0055</t>
        </is>
      </c>
      <c r="B3669" s="16" t="inlineStr">
        <is>
          <t>4.3</t>
        </is>
      </c>
      <c r="C3669" s="16" t="inlineStr">
        <is>
          <t>4.3 T_sumidero</t>
        </is>
      </c>
      <c r="D3669" s="16" t="inlineStr">
        <is>
          <t>ronda 0</t>
        </is>
      </c>
      <c r="E3669" s="16" t="inlineStr">
        <is>
          <t>KF-M09</t>
        </is>
      </c>
      <c r="F3669" s="16" t="inlineStr">
        <is>
          <t>KF-M09-R0-T_sumidero</t>
        </is>
      </c>
      <c r="G3669" s="16" t="inlineStr">
        <is>
          <t>B13-T_sumidero</t>
        </is>
      </c>
      <c r="H3669" s="16" t="inlineStr">
        <is>
          <t>lhs</t>
        </is>
      </c>
      <c r="I3669" s="16" t="inlineStr">
        <is>
          <t>INVIABLE</t>
        </is>
      </c>
      <c r="J3669" s="16" t="inlineStr">
        <is>
          <t>INVIABLE</t>
        </is>
      </c>
      <c r="K3669" s="16" t="b">
        <v>1</v>
      </c>
      <c r="L3669" s="16" t="b">
        <v>0</v>
      </c>
      <c r="M3669" s="16" t="b">
        <v>1</v>
      </c>
      <c r="N3669" s="16" t="b">
        <v>0</v>
      </c>
      <c r="O3669" s="16" t="n">
        <v>436.8361272352021</v>
      </c>
      <c r="P3669" s="16" t="n">
        <v>300.032917</v>
      </c>
      <c r="Q3669" s="16" t="n">
        <v>3783.387098918007</v>
      </c>
      <c r="R3669" s="16" t="n">
        <v>733.9726194314673</v>
      </c>
      <c r="S3669" s="16" t="n">
        <v>0.5527025226316203</v>
      </c>
      <c r="T3669" s="16" t="n">
        <v>0.4906738032804278</v>
      </c>
      <c r="U3669" s="16" t="n">
        <v>0.8323196868552123</v>
      </c>
      <c r="V3669" s="16" t="n">
        <v>0.788229316764002</v>
      </c>
      <c r="W3669" s="16" t="n">
        <v>0.4409107636706464</v>
      </c>
      <c r="X3669" s="16" t="n">
        <v>0.508817585624364</v>
      </c>
      <c r="Y3669" s="16" t="n">
        <v>300.032917</v>
      </c>
      <c r="Z3669" s="16" t="n">
        <v>-0.67840837335086</v>
      </c>
      <c r="AA3669" s="16" t="n">
        <v>-3.289735524097132</v>
      </c>
      <c r="AB3669" s="16" t="n">
        <v>3049.41447948654</v>
      </c>
      <c r="AC3669" s="16" t="n">
        <v>5.154670622248288</v>
      </c>
      <c r="AD3669" s="16" t="inlineStr">
        <is>
          <t>O2,O3</t>
        </is>
      </c>
      <c r="AE3669" s="16" t="n"/>
    </row>
    <row r="3670">
      <c r="A3670" s="16" t="inlineStr">
        <is>
          <t>KF-M09-R0-T_sumidero-0056</t>
        </is>
      </c>
      <c r="B3670" s="16" t="inlineStr">
        <is>
          <t>4.3</t>
        </is>
      </c>
      <c r="C3670" s="16" t="inlineStr">
        <is>
          <t>4.3 T_sumidero</t>
        </is>
      </c>
      <c r="D3670" s="16" t="inlineStr">
        <is>
          <t>ronda 0</t>
        </is>
      </c>
      <c r="E3670" s="16" t="inlineStr">
        <is>
          <t>KF-M09</t>
        </is>
      </c>
      <c r="F3670" s="16" t="inlineStr">
        <is>
          <t>KF-M09-R0-T_sumidero</t>
        </is>
      </c>
      <c r="G3670" s="16" t="inlineStr">
        <is>
          <t>B13-T_sumidero</t>
        </is>
      </c>
      <c r="H3670" s="16" t="inlineStr">
        <is>
          <t>lhs</t>
        </is>
      </c>
      <c r="I3670" s="16" t="inlineStr">
        <is>
          <t>INVIABLE</t>
        </is>
      </c>
      <c r="J3670" s="16" t="inlineStr">
        <is>
          <t>INVIABLE</t>
        </is>
      </c>
      <c r="K3670" s="16" t="b">
        <v>1</v>
      </c>
      <c r="L3670" s="16" t="b">
        <v>0</v>
      </c>
      <c r="M3670" s="16" t="b">
        <v>0</v>
      </c>
      <c r="N3670" s="16" t="b">
        <v>0</v>
      </c>
      <c r="O3670" s="16" t="n">
        <v>401.1973293253816</v>
      </c>
      <c r="P3670" s="16" t="n">
        <v>300.032917</v>
      </c>
      <c r="Q3670" s="16" t="n">
        <v>2342.332034309009</v>
      </c>
      <c r="R3670" s="16" t="n">
        <v>976.0019883036344</v>
      </c>
      <c r="S3670" s="16" t="n">
        <v>0.6220398406900646</v>
      </c>
      <c r="T3670" s="16" t="n">
        <v>0.4963390650221899</v>
      </c>
      <c r="U3670" s="16" t="n">
        <v>0.8067205146572214</v>
      </c>
      <c r="V3670" s="16" t="n">
        <v>0.5158603496888694</v>
      </c>
      <c r="W3670" s="16" t="n">
        <v>0.5048422959188114</v>
      </c>
      <c r="X3670" s="16" t="n">
        <v>0.482298834175151</v>
      </c>
      <c r="Y3670" s="16" t="n">
        <v>300.032917</v>
      </c>
      <c r="Z3670" s="16" t="n">
        <v>-0.7215554006349499</v>
      </c>
      <c r="AA3670" s="16" t="n">
        <v>-2.357085774242755</v>
      </c>
      <c r="AB3670" s="16" t="n">
        <v>1366.330046005374</v>
      </c>
      <c r="AC3670" s="16" t="n">
        <v>2.399925473902117</v>
      </c>
      <c r="AD3670" s="16" t="inlineStr">
        <is>
          <t>O2,O3</t>
        </is>
      </c>
      <c r="AE3670" s="16" t="n"/>
    </row>
    <row r="3671">
      <c r="A3671" s="16" t="inlineStr">
        <is>
          <t>KF-M09-R0-T_sumidero-0057</t>
        </is>
      </c>
      <c r="B3671" s="16" t="inlineStr">
        <is>
          <t>4.3</t>
        </is>
      </c>
      <c r="C3671" s="16" t="inlineStr">
        <is>
          <t>4.3 T_sumidero</t>
        </is>
      </c>
      <c r="D3671" s="16" t="inlineStr">
        <is>
          <t>ronda 0</t>
        </is>
      </c>
      <c r="E3671" s="16" t="inlineStr">
        <is>
          <t>KF-M09</t>
        </is>
      </c>
      <c r="F3671" s="16" t="inlineStr">
        <is>
          <t>KF-M09-R0-T_sumidero</t>
        </is>
      </c>
      <c r="G3671" s="16" t="inlineStr">
        <is>
          <t>B13-T_sumidero</t>
        </is>
      </c>
      <c r="H3671" s="16" t="inlineStr">
        <is>
          <t>lhs</t>
        </is>
      </c>
      <c r="I3671" s="16" t="inlineStr">
        <is>
          <t>CORREGIBLE</t>
        </is>
      </c>
      <c r="J3671" s="16" t="inlineStr">
        <is>
          <t>CORREGIBLE</t>
        </is>
      </c>
      <c r="K3671" s="16" t="b">
        <v>1</v>
      </c>
      <c r="L3671" s="16" t="b">
        <v>0</v>
      </c>
      <c r="M3671" s="16" t="b">
        <v>0</v>
      </c>
      <c r="N3671" s="16" t="b">
        <v>0</v>
      </c>
      <c r="O3671" s="16" t="n">
        <v>414.2005012483788</v>
      </c>
      <c r="P3671" s="16" t="n">
        <v>300.032917</v>
      </c>
      <c r="Q3671" s="16" t="n">
        <v>2495.544695598726</v>
      </c>
      <c r="R3671" s="16" t="n">
        <v>1208.670280588396</v>
      </c>
      <c r="S3671" s="16" t="n">
        <v>0.6723906983843807</v>
      </c>
      <c r="T3671" s="16" t="n">
        <v>0.7997364946126012</v>
      </c>
      <c r="U3671" s="16" t="n">
        <v>0.9194925914834896</v>
      </c>
      <c r="V3671" s="16" t="n">
        <v>0.8876780659750925</v>
      </c>
      <c r="W3671" s="16" t="n">
        <v>0.931952539565516</v>
      </c>
      <c r="X3671" s="16" t="n">
        <v>0.4414899861727878</v>
      </c>
      <c r="Y3671" s="16" t="n">
        <v>300.032917</v>
      </c>
      <c r="Z3671" s="16" t="n">
        <v>3.86076255131546</v>
      </c>
      <c r="AA3671" s="16" t="n">
        <v>19.50240146534836</v>
      </c>
      <c r="AB3671" s="16" t="n">
        <v>1286.87441501033</v>
      </c>
      <c r="AC3671" s="16" t="n">
        <v>2.064702620456477</v>
      </c>
      <c r="AD3671" s="16" t="inlineStr">
        <is>
          <t>O2</t>
        </is>
      </c>
      <c r="AE3671" s="16" t="n"/>
    </row>
    <row r="3672">
      <c r="A3672" s="16" t="inlineStr">
        <is>
          <t>KF-M09-R0-T_sumidero-0058</t>
        </is>
      </c>
      <c r="B3672" s="16" t="inlineStr">
        <is>
          <t>4.3</t>
        </is>
      </c>
      <c r="C3672" s="16" t="inlineStr">
        <is>
          <t>4.3 T_sumidero</t>
        </is>
      </c>
      <c r="D3672" s="16" t="inlineStr">
        <is>
          <t>ronda 0</t>
        </is>
      </c>
      <c r="E3672" s="16" t="inlineStr">
        <is>
          <t>KF-M09</t>
        </is>
      </c>
      <c r="F3672" s="16" t="inlineStr">
        <is>
          <t>KF-M09-R0-T_sumidero</t>
        </is>
      </c>
      <c r="G3672" s="16" t="inlineStr">
        <is>
          <t>B13-T_sumidero</t>
        </is>
      </c>
      <c r="H3672" s="16" t="inlineStr">
        <is>
          <t>lhs</t>
        </is>
      </c>
      <c r="I3672" s="16" t="inlineStr">
        <is>
          <t>KALINA</t>
        </is>
      </c>
      <c r="J3672" s="16" t="inlineStr">
        <is>
          <t>KALINA</t>
        </is>
      </c>
      <c r="K3672" s="16" t="b">
        <v>1</v>
      </c>
      <c r="L3672" s="16" t="b">
        <v>1</v>
      </c>
      <c r="M3672" s="16" t="b">
        <v>0</v>
      </c>
      <c r="N3672" s="16" t="b">
        <v>0</v>
      </c>
      <c r="O3672" s="16" t="n">
        <v>409.3381185529958</v>
      </c>
      <c r="P3672" s="16" t="n">
        <v>300.032917</v>
      </c>
      <c r="Q3672" s="16" t="n">
        <v>4472.833389966878</v>
      </c>
      <c r="R3672" s="16" t="n">
        <v>1645.30079558632</v>
      </c>
      <c r="S3672" s="16" t="n">
        <v>0.5930770119054355</v>
      </c>
      <c r="T3672" s="16" t="n">
        <v>0.6264539995036763</v>
      </c>
      <c r="U3672" s="16" t="n">
        <v>0.6462400702731352</v>
      </c>
      <c r="V3672" s="16" t="n">
        <v>0.6117821980180047</v>
      </c>
      <c r="W3672" s="16" t="n">
        <v>0.4216710248482916</v>
      </c>
      <c r="X3672" s="16" t="n">
        <v>0.7811087931561085</v>
      </c>
      <c r="Y3672" s="16" t="n">
        <v>300.032917</v>
      </c>
      <c r="Z3672" s="16" t="n">
        <v>0.43793866888586</v>
      </c>
      <c r="AA3672" s="16" t="n">
        <v>1.37427779155076</v>
      </c>
      <c r="AB3672" s="16" t="n">
        <v>2827.532594380557</v>
      </c>
      <c r="AC3672" s="16" t="n">
        <v>2.718550554382329</v>
      </c>
      <c r="AD3672" s="16" t="n"/>
      <c r="AE3672" s="16" t="n"/>
    </row>
    <row r="3673">
      <c r="A3673" s="16" t="inlineStr">
        <is>
          <t>KF-M09-R0-T_sumidero-0059</t>
        </is>
      </c>
      <c r="B3673" s="16" t="inlineStr">
        <is>
          <t>4.3</t>
        </is>
      </c>
      <c r="C3673" s="16" t="inlineStr">
        <is>
          <t>4.3 T_sumidero</t>
        </is>
      </c>
      <c r="D3673" s="16" t="inlineStr">
        <is>
          <t>ronda 0</t>
        </is>
      </c>
      <c r="E3673" s="16" t="inlineStr">
        <is>
          <t>KF-M09</t>
        </is>
      </c>
      <c r="F3673" s="16" t="inlineStr">
        <is>
          <t>KF-M09-R0-T_sumidero</t>
        </is>
      </c>
      <c r="G3673" s="16" t="inlineStr">
        <is>
          <t>B13-T_sumidero</t>
        </is>
      </c>
      <c r="H3673" s="16" t="inlineStr">
        <is>
          <t>lhs</t>
        </is>
      </c>
      <c r="I3673" s="16" t="inlineStr">
        <is>
          <t>CORREGIBLE</t>
        </is>
      </c>
      <c r="J3673" s="16" t="inlineStr">
        <is>
          <t>CORREGIBLE</t>
        </is>
      </c>
      <c r="K3673" s="16" t="b">
        <v>1</v>
      </c>
      <c r="L3673" s="16" t="b">
        <v>0</v>
      </c>
      <c r="M3673" s="16" t="b">
        <v>1</v>
      </c>
      <c r="N3673" s="16" t="b">
        <v>0</v>
      </c>
      <c r="O3673" s="16" t="n">
        <v>440.0692884964717</v>
      </c>
      <c r="P3673" s="16" t="n">
        <v>300.032917</v>
      </c>
      <c r="Q3673" s="16" t="n">
        <v>3759.109993190401</v>
      </c>
      <c r="R3673" s="16" t="n">
        <v>1411.089153295084</v>
      </c>
      <c r="S3673" s="16" t="n">
        <v>0.6681079345918005</v>
      </c>
      <c r="T3673" s="16" t="n">
        <v>0.4210286875506667</v>
      </c>
      <c r="U3673" s="16" t="n">
        <v>0.7182414782229981</v>
      </c>
      <c r="V3673" s="16" t="n">
        <v>0.7799394815109271</v>
      </c>
      <c r="W3673" s="16" t="n">
        <v>0.4588495653676612</v>
      </c>
      <c r="X3673" s="16" t="n">
        <v>0.835463664236643</v>
      </c>
      <c r="Y3673" s="16" t="n">
        <v>300.032917</v>
      </c>
      <c r="Z3673" s="16" t="n">
        <v>3.55504718746849</v>
      </c>
      <c r="AA3673" s="16" t="n">
        <v>33.46526204480436</v>
      </c>
      <c r="AB3673" s="16" t="n">
        <v>2348.020839895317</v>
      </c>
      <c r="AC3673" s="16" t="n">
        <v>2.663977668889574</v>
      </c>
      <c r="AD3673" s="16" t="inlineStr">
        <is>
          <t>O2</t>
        </is>
      </c>
      <c r="AE3673" s="16" t="n"/>
    </row>
    <row r="3674">
      <c r="A3674" s="16" t="inlineStr">
        <is>
          <t>KF-M09-R0-T_sumidero-0060</t>
        </is>
      </c>
      <c r="B3674" s="16" t="inlineStr">
        <is>
          <t>4.3</t>
        </is>
      </c>
      <c r="C3674" s="16" t="inlineStr">
        <is>
          <t>4.3 T_sumidero</t>
        </is>
      </c>
      <c r="D3674" s="16" t="inlineStr">
        <is>
          <t>ronda 0</t>
        </is>
      </c>
      <c r="E3674" s="16" t="inlineStr">
        <is>
          <t>KF-M09</t>
        </is>
      </c>
      <c r="F3674" s="16" t="inlineStr">
        <is>
          <t>KF-M09-R0-T_sumidero</t>
        </is>
      </c>
      <c r="G3674" s="16" t="inlineStr">
        <is>
          <t>B13-T_sumidero</t>
        </is>
      </c>
      <c r="H3674" s="16" t="inlineStr">
        <is>
          <t>lhs</t>
        </is>
      </c>
      <c r="I3674" s="16" t="inlineStr">
        <is>
          <t>CORREGIBLE</t>
        </is>
      </c>
      <c r="J3674" s="16" t="inlineStr">
        <is>
          <t>CORREGIBLE</t>
        </is>
      </c>
      <c r="K3674" s="16" t="b">
        <v>1</v>
      </c>
      <c r="L3674" s="16" t="b">
        <v>0</v>
      </c>
      <c r="M3674" s="16" t="b">
        <v>0</v>
      </c>
      <c r="N3674" s="16" t="b">
        <v>0</v>
      </c>
      <c r="O3674" s="16" t="n">
        <v>392.2322060225696</v>
      </c>
      <c r="P3674" s="16" t="n">
        <v>300.032917</v>
      </c>
      <c r="Q3674" s="16" t="n">
        <v>2764.591319773951</v>
      </c>
      <c r="R3674" s="16" t="n">
        <v>1155.526325065522</v>
      </c>
      <c r="S3674" s="16" t="n">
        <v>0.648375248201419</v>
      </c>
      <c r="T3674" s="16" t="n">
        <v>0.8124144180091022</v>
      </c>
      <c r="U3674" s="16" t="n">
        <v>0.6119932909312167</v>
      </c>
      <c r="V3674" s="16" t="n">
        <v>0.5672648854865707</v>
      </c>
      <c r="W3674" s="16" t="n">
        <v>0.5615753599259686</v>
      </c>
      <c r="X3674" s="16" t="n">
        <v>0.4983312890059107</v>
      </c>
      <c r="Y3674" s="16" t="n">
        <v>300.032917</v>
      </c>
      <c r="Z3674" s="16" t="n">
        <v>2.39986704818902</v>
      </c>
      <c r="AA3674" s="16" t="n">
        <v>7.341486334720361</v>
      </c>
      <c r="AB3674" s="16" t="n">
        <v>1609.064994708428</v>
      </c>
      <c r="AC3674" s="16" t="n">
        <v>2.392495315601909</v>
      </c>
      <c r="AD3674" s="16" t="inlineStr">
        <is>
          <t>O2</t>
        </is>
      </c>
      <c r="AE3674" s="16" t="n"/>
    </row>
    <row r="3675">
      <c r="A3675" s="16" t="inlineStr">
        <is>
          <t>KF-M09-R0-T_sumidero-0061</t>
        </is>
      </c>
      <c r="B3675" s="16" t="inlineStr">
        <is>
          <t>4.3</t>
        </is>
      </c>
      <c r="C3675" s="16" t="inlineStr">
        <is>
          <t>4.3 T_sumidero</t>
        </is>
      </c>
      <c r="D3675" s="16" t="inlineStr">
        <is>
          <t>ronda 0</t>
        </is>
      </c>
      <c r="E3675" s="16" t="inlineStr">
        <is>
          <t>KF-M09</t>
        </is>
      </c>
      <c r="F3675" s="16" t="inlineStr">
        <is>
          <t>KF-M09-R0-T_sumidero</t>
        </is>
      </c>
      <c r="G3675" s="16" t="inlineStr">
        <is>
          <t>B13-T_sumidero</t>
        </is>
      </c>
      <c r="H3675" s="16" t="inlineStr">
        <is>
          <t>lhs</t>
        </is>
      </c>
      <c r="I3675" s="16" t="inlineStr">
        <is>
          <t>INVIABLE</t>
        </is>
      </c>
      <c r="J3675" s="16" t="inlineStr">
        <is>
          <t>INVIABLE</t>
        </is>
      </c>
      <c r="K3675" s="16" t="b">
        <v>1</v>
      </c>
      <c r="L3675" s="16" t="b">
        <v>0</v>
      </c>
      <c r="M3675" s="16" t="b">
        <v>1</v>
      </c>
      <c r="N3675" s="16" t="b">
        <v>0</v>
      </c>
      <c r="O3675" s="16" t="n">
        <v>496.3734867934773</v>
      </c>
      <c r="P3675" s="16" t="n">
        <v>300.032917</v>
      </c>
      <c r="Q3675" s="16" t="n">
        <v>4458.124048210619</v>
      </c>
      <c r="R3675" s="16" t="n">
        <v>1548.150789449047</v>
      </c>
      <c r="S3675" s="16" t="n">
        <v>0.6072053457697001</v>
      </c>
      <c r="T3675" s="16" t="n">
        <v>0.6147377935700074</v>
      </c>
      <c r="U3675" s="16" t="n">
        <v>0.6641719533542035</v>
      </c>
      <c r="V3675" s="16" t="n">
        <v>0.8206310103050614</v>
      </c>
      <c r="W3675" s="16" t="n">
        <v>0.7064137266523151</v>
      </c>
      <c r="X3675" s="16" t="n">
        <v>0.4289764858683181</v>
      </c>
      <c r="Y3675" s="16" t="n">
        <v>300.032917</v>
      </c>
      <c r="Z3675" s="16" t="n">
        <v>-4.21247097869545</v>
      </c>
      <c r="AA3675" s="16" t="n">
        <v>-33.5774445508299</v>
      </c>
      <c r="AB3675" s="16" t="n">
        <v>2909.973258761572</v>
      </c>
      <c r="AC3675" s="16" t="n">
        <v>2.879644591853463</v>
      </c>
      <c r="AD3675" s="16" t="inlineStr">
        <is>
          <t>O2,O3</t>
        </is>
      </c>
      <c r="AE3675" s="16" t="n"/>
    </row>
    <row r="3676">
      <c r="A3676" s="16" t="inlineStr">
        <is>
          <t>KF-M09-R0-T_sumidero-0062</t>
        </is>
      </c>
      <c r="B3676" s="16" t="inlineStr">
        <is>
          <t>4.3</t>
        </is>
      </c>
      <c r="C3676" s="16" t="inlineStr">
        <is>
          <t>4.3 T_sumidero</t>
        </is>
      </c>
      <c r="D3676" s="16" t="inlineStr">
        <is>
          <t>ronda 0</t>
        </is>
      </c>
      <c r="E3676" s="16" t="inlineStr">
        <is>
          <t>KF-M09</t>
        </is>
      </c>
      <c r="F3676" s="16" t="inlineStr">
        <is>
          <t>KF-M09-R0-T_sumidero</t>
        </is>
      </c>
      <c r="G3676" s="16" t="inlineStr">
        <is>
          <t>B13-T_sumidero</t>
        </is>
      </c>
      <c r="H3676" s="16" t="inlineStr">
        <is>
          <t>lhs</t>
        </is>
      </c>
      <c r="I3676" s="16" t="inlineStr">
        <is>
          <t>INVIABLE</t>
        </is>
      </c>
      <c r="J3676" s="16" t="inlineStr">
        <is>
          <t>INVIABLE</t>
        </is>
      </c>
      <c r="K3676" s="16" t="b">
        <v>1</v>
      </c>
      <c r="L3676" s="16" t="b">
        <v>0</v>
      </c>
      <c r="M3676" s="16" t="b">
        <v>1</v>
      </c>
      <c r="N3676" s="16" t="b">
        <v>0</v>
      </c>
      <c r="O3676" s="16" t="n">
        <v>456.1693580369334</v>
      </c>
      <c r="P3676" s="16" t="n">
        <v>300.032917</v>
      </c>
      <c r="Q3676" s="16" t="n">
        <v>2176.774072315784</v>
      </c>
      <c r="R3676" s="16" t="n">
        <v>379.3436978835036</v>
      </c>
      <c r="S3676" s="16" t="n">
        <v>0.6189583811589237</v>
      </c>
      <c r="T3676" s="16" t="n">
        <v>0.7323271527523068</v>
      </c>
      <c r="U3676" s="16" t="n">
        <v>0.5993261324086546</v>
      </c>
      <c r="V3676" s="16" t="n">
        <v>0.8427916653508012</v>
      </c>
      <c r="W3676" s="16" t="n">
        <v>0.9352247949988768</v>
      </c>
      <c r="X3676" s="16" t="n">
        <v>0.636000651069506</v>
      </c>
      <c r="Y3676" s="16" t="n">
        <v>300.032917</v>
      </c>
      <c r="Z3676" s="16" t="n">
        <v>-1.59523303318037</v>
      </c>
      <c r="AA3676" s="16" t="n">
        <v>-14.96022813383161</v>
      </c>
      <c r="AB3676" s="16" t="n">
        <v>1797.43037443228</v>
      </c>
      <c r="AC3676" s="16" t="n">
        <v>5.738263438830796</v>
      </c>
      <c r="AD3676" s="16" t="inlineStr">
        <is>
          <t>O2,O3</t>
        </is>
      </c>
      <c r="AE3676" s="16" t="n"/>
    </row>
    <row r="3677">
      <c r="A3677" s="16" t="inlineStr">
        <is>
          <t>KF-M09-R0-T_sumidero-0063</t>
        </is>
      </c>
      <c r="B3677" s="16" t="inlineStr">
        <is>
          <t>4.3</t>
        </is>
      </c>
      <c r="C3677" s="16" t="inlineStr">
        <is>
          <t>4.3 T_sumidero</t>
        </is>
      </c>
      <c r="D3677" s="16" t="inlineStr">
        <is>
          <t>ronda 0</t>
        </is>
      </c>
      <c r="E3677" s="16" t="inlineStr">
        <is>
          <t>KF-M09</t>
        </is>
      </c>
      <c r="F3677" s="16" t="inlineStr">
        <is>
          <t>KF-M09-R0-T_sumidero</t>
        </is>
      </c>
      <c r="G3677" s="16" t="inlineStr">
        <is>
          <t>B13-T_sumidero</t>
        </is>
      </c>
      <c r="H3677" s="16" t="inlineStr">
        <is>
          <t>lhs</t>
        </is>
      </c>
      <c r="I3677" s="16" t="inlineStr">
        <is>
          <t>CORREGIBLE</t>
        </is>
      </c>
      <c r="J3677" s="16" t="inlineStr">
        <is>
          <t>CORREGIBLE</t>
        </is>
      </c>
      <c r="K3677" s="16" t="b">
        <v>1</v>
      </c>
      <c r="L3677" s="16" t="b">
        <v>0</v>
      </c>
      <c r="M3677" s="16" t="b">
        <v>0</v>
      </c>
      <c r="N3677" s="16" t="b">
        <v>0</v>
      </c>
      <c r="O3677" s="16" t="n">
        <v>411.3463644106573</v>
      </c>
      <c r="P3677" s="16" t="n">
        <v>300.032917</v>
      </c>
      <c r="Q3677" s="16" t="n">
        <v>2593.581960556927</v>
      </c>
      <c r="R3677" s="16" t="n">
        <v>918.3190357751024</v>
      </c>
      <c r="S3677" s="16" t="n">
        <v>0.5505921878989168</v>
      </c>
      <c r="T3677" s="16" t="n">
        <v>0.6387853424125267</v>
      </c>
      <c r="U3677" s="16" t="n">
        <v>0.5199079458207616</v>
      </c>
      <c r="V3677" s="16" t="n">
        <v>0.7076405666364389</v>
      </c>
      <c r="W3677" s="16" t="n">
        <v>0.905961500691016</v>
      </c>
      <c r="X3677" s="16" t="n">
        <v>0.6496681093502212</v>
      </c>
      <c r="Y3677" s="16" t="n">
        <v>300.032917</v>
      </c>
      <c r="Z3677" s="16" t="n">
        <v>4.98403676894889</v>
      </c>
      <c r="AA3677" s="16" t="n">
        <v>21.59149030243358</v>
      </c>
      <c r="AB3677" s="16" t="n">
        <v>1675.262924781824</v>
      </c>
      <c r="AC3677" s="16" t="n">
        <v>2.824271151439028</v>
      </c>
      <c r="AD3677" s="16" t="inlineStr">
        <is>
          <t>O2</t>
        </is>
      </c>
      <c r="AE3677" s="16" t="n"/>
    </row>
    <row r="3678">
      <c r="A3678" s="16" t="inlineStr">
        <is>
          <t>KF-M09-R0-T_sumidero-0064</t>
        </is>
      </c>
      <c r="B3678" s="16" t="inlineStr">
        <is>
          <t>4.3</t>
        </is>
      </c>
      <c r="C3678" s="16" t="inlineStr">
        <is>
          <t>4.3 T_sumidero</t>
        </is>
      </c>
      <c r="D3678" s="16" t="inlineStr">
        <is>
          <t>ronda 0</t>
        </is>
      </c>
      <c r="E3678" s="16" t="inlineStr">
        <is>
          <t>KF-M09</t>
        </is>
      </c>
      <c r="F3678" s="16" t="inlineStr">
        <is>
          <t>KF-M09-R0-T_sumidero</t>
        </is>
      </c>
      <c r="G3678" s="16" t="inlineStr">
        <is>
          <t>B13-T_sumidero</t>
        </is>
      </c>
      <c r="H3678" s="16" t="inlineStr">
        <is>
          <t>lhs</t>
        </is>
      </c>
      <c r="I3678" s="16" t="inlineStr">
        <is>
          <t>INVIABLE</t>
        </is>
      </c>
      <c r="J3678" s="16" t="inlineStr">
        <is>
          <t>INVIABLE</t>
        </is>
      </c>
      <c r="K3678" s="16" t="b">
        <v>1</v>
      </c>
      <c r="L3678" s="16" t="b">
        <v>0</v>
      </c>
      <c r="M3678" s="16" t="b">
        <v>1</v>
      </c>
      <c r="N3678" s="16" t="b">
        <v>0</v>
      </c>
      <c r="O3678" s="16" t="n">
        <v>470.3556913460843</v>
      </c>
      <c r="P3678" s="16" t="n">
        <v>300.032917</v>
      </c>
      <c r="Q3678" s="16" t="n">
        <v>3501.844850064972</v>
      </c>
      <c r="R3678" s="16" t="n">
        <v>888.1944012295381</v>
      </c>
      <c r="S3678" s="16" t="n">
        <v>0.7529417959050544</v>
      </c>
      <c r="T3678" s="16" t="n">
        <v>0.4357439730216046</v>
      </c>
      <c r="U3678" s="16" t="n">
        <v>0.7983441528958822</v>
      </c>
      <c r="V3678" s="16" t="n">
        <v>0.5713316964428253</v>
      </c>
      <c r="W3678" s="16" t="n">
        <v>0.7748283456332674</v>
      </c>
      <c r="X3678" s="16" t="n">
        <v>0.4188484170138337</v>
      </c>
      <c r="Y3678" s="16" t="n">
        <v>300.032917</v>
      </c>
      <c r="Z3678" s="16" t="n">
        <v>-11.82342414621097</v>
      </c>
      <c r="AA3678" s="16" t="n">
        <v>-64.44695589374214</v>
      </c>
      <c r="AB3678" s="16" t="n">
        <v>2613.650448835434</v>
      </c>
      <c r="AC3678" s="16" t="n">
        <v>3.942655847883443</v>
      </c>
      <c r="AD3678" s="16" t="inlineStr">
        <is>
          <t>O2,O3</t>
        </is>
      </c>
      <c r="AE3678" s="16" t="n"/>
    </row>
    <row r="3679">
      <c r="A3679" s="16" t="inlineStr">
        <is>
          <t>KF-M09-R0-T_sumidero-0065</t>
        </is>
      </c>
      <c r="B3679" s="16" t="inlineStr">
        <is>
          <t>4.3</t>
        </is>
      </c>
      <c r="C3679" s="16" t="inlineStr">
        <is>
          <t>4.3 T_sumidero</t>
        </is>
      </c>
      <c r="D3679" s="16" t="inlineStr">
        <is>
          <t>ronda 0</t>
        </is>
      </c>
      <c r="E3679" s="16" t="inlineStr">
        <is>
          <t>KF-M09</t>
        </is>
      </c>
      <c r="F3679" s="16" t="inlineStr">
        <is>
          <t>KF-M09-R0-T_sumidero</t>
        </is>
      </c>
      <c r="G3679" s="16" t="inlineStr">
        <is>
          <t>B13-T_sumidero</t>
        </is>
      </c>
      <c r="H3679" s="16" t="inlineStr">
        <is>
          <t>lhs</t>
        </is>
      </c>
      <c r="I3679" s="16" t="inlineStr">
        <is>
          <t>CORREGIBLE</t>
        </is>
      </c>
      <c r="J3679" s="16" t="inlineStr">
        <is>
          <t>CORREGIBLE</t>
        </is>
      </c>
      <c r="K3679" s="16" t="b">
        <v>1</v>
      </c>
      <c r="L3679" s="16" t="b">
        <v>0</v>
      </c>
      <c r="M3679" s="16" t="b">
        <v>1</v>
      </c>
      <c r="N3679" s="16" t="b">
        <v>0</v>
      </c>
      <c r="O3679" s="16" t="n">
        <v>453.929990085683</v>
      </c>
      <c r="P3679" s="16" t="n">
        <v>300.032917</v>
      </c>
      <c r="Q3679" s="16" t="n">
        <v>3935.283107365786</v>
      </c>
      <c r="R3679" s="16" t="n">
        <v>1432.738228463194</v>
      </c>
      <c r="S3679" s="16" t="n">
        <v>0.7466468285644028</v>
      </c>
      <c r="T3679" s="16" t="n">
        <v>0.7792961973760489</v>
      </c>
      <c r="U3679" s="16" t="n">
        <v>0.8776875029159158</v>
      </c>
      <c r="V3679" s="16" t="n">
        <v>0.5379320461612138</v>
      </c>
      <c r="W3679" s="16" t="n">
        <v>0.6728850976189258</v>
      </c>
      <c r="X3679" s="16" t="n">
        <v>0.4225820516299173</v>
      </c>
      <c r="Y3679" s="16" t="n">
        <v>300.032917</v>
      </c>
      <c r="Z3679" s="16" t="n">
        <v>3.69578946289761</v>
      </c>
      <c r="AA3679" s="16" t="n">
        <v>20.50619333460574</v>
      </c>
      <c r="AB3679" s="16" t="n">
        <v>2502.544878902592</v>
      </c>
      <c r="AC3679" s="16" t="n">
        <v>2.7466867493212</v>
      </c>
      <c r="AD3679" s="16" t="inlineStr">
        <is>
          <t>O2</t>
        </is>
      </c>
      <c r="AE3679" s="16" t="n"/>
    </row>
    <row r="3680">
      <c r="A3680" s="16" t="inlineStr">
        <is>
          <t>KF-M09-R0-T_sumidero-0066</t>
        </is>
      </c>
      <c r="B3680" s="16" t="inlineStr">
        <is>
          <t>4.3</t>
        </is>
      </c>
      <c r="C3680" s="16" t="inlineStr">
        <is>
          <t>4.3 T_sumidero</t>
        </is>
      </c>
      <c r="D3680" s="16" t="inlineStr">
        <is>
          <t>ronda 0</t>
        </is>
      </c>
      <c r="E3680" s="16" t="inlineStr">
        <is>
          <t>KF-M09</t>
        </is>
      </c>
      <c r="F3680" s="16" t="inlineStr">
        <is>
          <t>KF-M09-R0-T_sumidero</t>
        </is>
      </c>
      <c r="G3680" s="16" t="inlineStr">
        <is>
          <t>B13-T_sumidero</t>
        </is>
      </c>
      <c r="H3680" s="16" t="inlineStr">
        <is>
          <t>lhs</t>
        </is>
      </c>
      <c r="I3680" s="16" t="inlineStr">
        <is>
          <t>INVIABLE</t>
        </is>
      </c>
      <c r="J3680" s="16" t="inlineStr">
        <is>
          <t>INVIABLE</t>
        </is>
      </c>
      <c r="K3680" s="16" t="b">
        <v>1</v>
      </c>
      <c r="L3680" s="16" t="b">
        <v>0</v>
      </c>
      <c r="M3680" s="16" t="b">
        <v>0</v>
      </c>
      <c r="N3680" s="16" t="b">
        <v>0</v>
      </c>
      <c r="O3680" s="16" t="n">
        <v>398.9122613245454</v>
      </c>
      <c r="P3680" s="16" t="n">
        <v>300.032917</v>
      </c>
      <c r="Q3680" s="16" t="n">
        <v>3821.837162749318</v>
      </c>
      <c r="R3680" s="16" t="n">
        <v>557.4672690384355</v>
      </c>
      <c r="S3680" s="16" t="n">
        <v>0.7153817762284758</v>
      </c>
      <c r="T3680" s="16" t="n">
        <v>0.7867538182846951</v>
      </c>
      <c r="U3680" s="16" t="n">
        <v>0.567220700049987</v>
      </c>
      <c r="V3680" s="16" t="n">
        <v>0.6750962872529358</v>
      </c>
      <c r="W3680" s="16" t="n">
        <v>0.6474760592272626</v>
      </c>
      <c r="X3680" s="16" t="n">
        <v>0.7369554243480676</v>
      </c>
      <c r="Y3680" s="16" t="n">
        <v>300.032917</v>
      </c>
      <c r="Z3680" s="16" t="n">
        <v>-18.84444304950669</v>
      </c>
      <c r="AA3680" s="16" t="n">
        <v>-46.46420184843176</v>
      </c>
      <c r="AB3680" s="16" t="n">
        <v>3264.369893710883</v>
      </c>
      <c r="AC3680" s="16" t="n">
        <v>6.855715797165153</v>
      </c>
      <c r="AD3680" s="16" t="inlineStr">
        <is>
          <t>O2,O3</t>
        </is>
      </c>
      <c r="AE3680" s="16" t="n"/>
    </row>
    <row r="3681">
      <c r="A3681" s="16" t="inlineStr">
        <is>
          <t>KF-M09-R0-T_sumidero-0067</t>
        </is>
      </c>
      <c r="B3681" s="16" t="inlineStr">
        <is>
          <t>4.3</t>
        </is>
      </c>
      <c r="C3681" s="16" t="inlineStr">
        <is>
          <t>4.3 T_sumidero</t>
        </is>
      </c>
      <c r="D3681" s="16" t="inlineStr">
        <is>
          <t>ronda 0</t>
        </is>
      </c>
      <c r="E3681" s="16" t="inlineStr">
        <is>
          <t>KF-M09</t>
        </is>
      </c>
      <c r="F3681" s="16" t="inlineStr">
        <is>
          <t>KF-M09-R0-T_sumidero</t>
        </is>
      </c>
      <c r="G3681" s="16" t="inlineStr">
        <is>
          <t>B13-T_sumidero</t>
        </is>
      </c>
      <c r="H3681" s="16" t="inlineStr">
        <is>
          <t>lhs</t>
        </is>
      </c>
      <c r="I3681" s="16" t="inlineStr">
        <is>
          <t>CORREGIBLE</t>
        </is>
      </c>
      <c r="J3681" s="16" t="inlineStr">
        <is>
          <t>CORREGIBLE</t>
        </is>
      </c>
      <c r="K3681" s="16" t="b">
        <v>1</v>
      </c>
      <c r="L3681" s="16" t="b">
        <v>0</v>
      </c>
      <c r="M3681" s="16" t="b">
        <v>1</v>
      </c>
      <c r="N3681" s="16" t="b">
        <v>0</v>
      </c>
      <c r="O3681" s="16" t="n">
        <v>463.6542387376105</v>
      </c>
      <c r="P3681" s="16" t="n">
        <v>300.032917</v>
      </c>
      <c r="Q3681" s="16" t="n">
        <v>3588.850044599738</v>
      </c>
      <c r="R3681" s="16" t="n">
        <v>1906.47152298078</v>
      </c>
      <c r="S3681" s="16" t="n">
        <v>0.6915833511629492</v>
      </c>
      <c r="T3681" s="16" t="n">
        <v>0.5100870877803345</v>
      </c>
      <c r="U3681" s="16" t="n">
        <v>0.7842534763270108</v>
      </c>
      <c r="V3681" s="16" t="n">
        <v>0.8773374465490976</v>
      </c>
      <c r="W3681" s="16" t="n">
        <v>0.9175208122052128</v>
      </c>
      <c r="X3681" s="16" t="n">
        <v>0.6193432636768006</v>
      </c>
      <c r="Y3681" s="16" t="n">
        <v>300.032917</v>
      </c>
      <c r="Z3681" s="16" t="n">
        <v>0.95527403273863</v>
      </c>
      <c r="AA3681" s="16" t="n">
        <v>10.79761781995413</v>
      </c>
      <c r="AB3681" s="16" t="n">
        <v>1682.378521618958</v>
      </c>
      <c r="AC3681" s="16" t="n">
        <v>1.882456675245035</v>
      </c>
      <c r="AD3681" s="16" t="inlineStr">
        <is>
          <t>O2</t>
        </is>
      </c>
      <c r="AE3681" s="16" t="n"/>
    </row>
    <row r="3682">
      <c r="A3682" s="16" t="inlineStr">
        <is>
          <t>KF-M09-R0-T_sumidero-0068</t>
        </is>
      </c>
      <c r="B3682" s="16" t="inlineStr">
        <is>
          <t>4.3</t>
        </is>
      </c>
      <c r="C3682" s="16" t="inlineStr">
        <is>
          <t>4.3 T_sumidero</t>
        </is>
      </c>
      <c r="D3682" s="16" t="inlineStr">
        <is>
          <t>ronda 0</t>
        </is>
      </c>
      <c r="E3682" s="16" t="inlineStr">
        <is>
          <t>KF-M09</t>
        </is>
      </c>
      <c r="F3682" s="16" t="inlineStr">
        <is>
          <t>KF-M09-R0-T_sumidero</t>
        </is>
      </c>
      <c r="G3682" s="16" t="inlineStr">
        <is>
          <t>B13-T_sumidero</t>
        </is>
      </c>
      <c r="H3682" s="16" t="inlineStr">
        <is>
          <t>lhs</t>
        </is>
      </c>
      <c r="I3682" s="16" t="inlineStr">
        <is>
          <t>INVIABLE</t>
        </is>
      </c>
      <c r="J3682" s="16" t="inlineStr">
        <is>
          <t>INVIABLE</t>
        </is>
      </c>
      <c r="K3682" s="16" t="b">
        <v>1</v>
      </c>
      <c r="L3682" s="16" t="b">
        <v>0</v>
      </c>
      <c r="M3682" s="16" t="b">
        <v>0</v>
      </c>
      <c r="N3682" s="16" t="b">
        <v>0</v>
      </c>
      <c r="O3682" s="16" t="n">
        <v>393.8419833465968</v>
      </c>
      <c r="P3682" s="16" t="n">
        <v>300.032917</v>
      </c>
      <c r="Q3682" s="16" t="n">
        <v>3433.368623997168</v>
      </c>
      <c r="R3682" s="16" t="n">
        <v>1382.373048894998</v>
      </c>
      <c r="S3682" s="16" t="n">
        <v>0.5159864965535395</v>
      </c>
      <c r="T3682" s="16" t="n">
        <v>0.552883608280361</v>
      </c>
      <c r="U3682" s="16" t="n">
        <v>0.4510371489365221</v>
      </c>
      <c r="V3682" s="16" t="n">
        <v>0.9478279287630884</v>
      </c>
      <c r="W3682" s="16" t="n">
        <v>0.7144291751378653</v>
      </c>
      <c r="X3682" s="16" t="n">
        <v>0.8433377178514931</v>
      </c>
      <c r="Y3682" s="16" t="n">
        <v>300.032917</v>
      </c>
      <c r="Z3682" s="16" t="n">
        <v>-1.54963319239014</v>
      </c>
      <c r="AA3682" s="16" t="n">
        <v>-2.673190989384982</v>
      </c>
      <c r="AB3682" s="16" t="n">
        <v>2050.995575102171</v>
      </c>
      <c r="AC3682" s="16" t="n">
        <v>2.483677345085423</v>
      </c>
      <c r="AD3682" s="16" t="inlineStr">
        <is>
          <t>O3</t>
        </is>
      </c>
      <c r="AE3682" s="16" t="n"/>
    </row>
    <row r="3683">
      <c r="A3683" s="16" t="inlineStr">
        <is>
          <t>KF-M09-R0-T_sumidero-0069</t>
        </is>
      </c>
      <c r="B3683" s="16" t="inlineStr">
        <is>
          <t>4.3</t>
        </is>
      </c>
      <c r="C3683" s="16" t="inlineStr">
        <is>
          <t>4.3 T_sumidero</t>
        </is>
      </c>
      <c r="D3683" s="16" t="inlineStr">
        <is>
          <t>ronda 0</t>
        </is>
      </c>
      <c r="E3683" s="16" t="inlineStr">
        <is>
          <t>KF-M09</t>
        </is>
      </c>
      <c r="F3683" s="16" t="inlineStr">
        <is>
          <t>KF-M09-R0-T_sumidero</t>
        </is>
      </c>
      <c r="G3683" s="16" t="inlineStr">
        <is>
          <t>B13-T_sumidero</t>
        </is>
      </c>
      <c r="H3683" s="16" t="inlineStr">
        <is>
          <t>lhs</t>
        </is>
      </c>
      <c r="I3683" s="16" t="inlineStr">
        <is>
          <t>NO_CONVERGIO</t>
        </is>
      </c>
      <c r="J3683" s="16" t="inlineStr">
        <is>
          <t>NO_CONVERGIO</t>
        </is>
      </c>
      <c r="K3683" s="16" t="b">
        <v>0</v>
      </c>
      <c r="L3683" s="16" t="b">
        <v>0</v>
      </c>
      <c r="M3683" s="16" t="b">
        <v>0</v>
      </c>
      <c r="N3683" s="16" t="b">
        <v>0</v>
      </c>
      <c r="O3683" s="16" t="n">
        <v>395.7203502738015</v>
      </c>
      <c r="P3683" s="16" t="n">
        <v>300.032917</v>
      </c>
      <c r="Q3683" s="16" t="n">
        <v>4783.542202281548</v>
      </c>
      <c r="R3683" s="16" t="n">
        <v>421.1379973628034</v>
      </c>
      <c r="S3683" s="16" t="n">
        <v>0.6793815027446781</v>
      </c>
      <c r="T3683" s="16" t="n">
        <v>0.6234483931148621</v>
      </c>
      <c r="U3683" s="16" t="n">
        <v>0.500016458717413</v>
      </c>
      <c r="V3683" s="16" t="n">
        <v>0.8483100983242118</v>
      </c>
      <c r="W3683" s="16" t="n">
        <v>0.6098337794365356</v>
      </c>
      <c r="X3683" s="16" t="n">
        <v>0.5690889869917459</v>
      </c>
      <c r="Y3683" s="16" t="n">
        <v>300.032917</v>
      </c>
      <c r="Z3683" s="16" t="n"/>
      <c r="AA3683" s="16" t="n"/>
      <c r="AB3683" s="16" t="n">
        <v>4362.404204918745</v>
      </c>
      <c r="AC3683" s="16" t="n">
        <v>11.35860984341578</v>
      </c>
      <c r="AD3683" s="16" t="n"/>
      <c r="AE3683" s="16" t="n"/>
    </row>
    <row r="3684">
      <c r="A3684" s="16" t="inlineStr">
        <is>
          <t>KF-M09-R0-T_sumidero-0070</t>
        </is>
      </c>
      <c r="B3684" s="16" t="inlineStr">
        <is>
          <t>4.3</t>
        </is>
      </c>
      <c r="C3684" s="16" t="inlineStr">
        <is>
          <t>4.3 T_sumidero</t>
        </is>
      </c>
      <c r="D3684" s="16" t="inlineStr">
        <is>
          <t>ronda 0</t>
        </is>
      </c>
      <c r="E3684" s="16" t="inlineStr">
        <is>
          <t>KF-M09</t>
        </is>
      </c>
      <c r="F3684" s="16" t="inlineStr">
        <is>
          <t>KF-M09-R0-T_sumidero</t>
        </is>
      </c>
      <c r="G3684" s="16" t="inlineStr">
        <is>
          <t>B13-T_sumidero</t>
        </is>
      </c>
      <c r="H3684" s="16" t="inlineStr">
        <is>
          <t>lhs</t>
        </is>
      </c>
      <c r="I3684" s="16" t="inlineStr">
        <is>
          <t>CORREGIBLE</t>
        </is>
      </c>
      <c r="J3684" s="16" t="inlineStr">
        <is>
          <t>CORREGIBLE</t>
        </is>
      </c>
      <c r="K3684" s="16" t="b">
        <v>1</v>
      </c>
      <c r="L3684" s="16" t="b">
        <v>0</v>
      </c>
      <c r="M3684" s="16" t="b">
        <v>1</v>
      </c>
      <c r="N3684" s="16" t="b">
        <v>0</v>
      </c>
      <c r="O3684" s="16" t="n">
        <v>480.2417285998896</v>
      </c>
      <c r="P3684" s="16" t="n">
        <v>300.032917</v>
      </c>
      <c r="Q3684" s="16" t="n">
        <v>3285.861117934201</v>
      </c>
      <c r="R3684" s="16" t="n">
        <v>1305.479182674044</v>
      </c>
      <c r="S3684" s="16" t="n">
        <v>0.6120923271733236</v>
      </c>
      <c r="T3684" s="16" t="n">
        <v>0.6024429154872446</v>
      </c>
      <c r="U3684" s="16" t="n">
        <v>0.4472429774458999</v>
      </c>
      <c r="V3684" s="16" t="n">
        <v>0.4762058464832407</v>
      </c>
      <c r="W3684" s="16" t="n">
        <v>0.4272892906201045</v>
      </c>
      <c r="X3684" s="16" t="n">
        <v>0.825990127038285</v>
      </c>
      <c r="Y3684" s="16" t="n">
        <v>300.032917</v>
      </c>
      <c r="Z3684" s="16" t="n">
        <v>4.54157974055071</v>
      </c>
      <c r="AA3684" s="16" t="n">
        <v>41.85940550017654</v>
      </c>
      <c r="AB3684" s="16" t="n">
        <v>1980.381935260156</v>
      </c>
      <c r="AC3684" s="16" t="n">
        <v>2.516977031532355</v>
      </c>
      <c r="AD3684" s="16" t="inlineStr">
        <is>
          <t>O2</t>
        </is>
      </c>
      <c r="AE3684" s="16" t="n"/>
    </row>
    <row r="3685">
      <c r="A3685" s="16" t="inlineStr">
        <is>
          <t>KF-M09-R0-T_sumidero-0071</t>
        </is>
      </c>
      <c r="B3685" s="16" t="inlineStr">
        <is>
          <t>4.3</t>
        </is>
      </c>
      <c r="C3685" s="16" t="inlineStr">
        <is>
          <t>4.3 T_sumidero</t>
        </is>
      </c>
      <c r="D3685" s="16" t="inlineStr">
        <is>
          <t>ronda 0</t>
        </is>
      </c>
      <c r="E3685" s="16" t="inlineStr">
        <is>
          <t>KF-M09</t>
        </is>
      </c>
      <c r="F3685" s="16" t="inlineStr">
        <is>
          <t>KF-M09-R0-T_sumidero</t>
        </is>
      </c>
      <c r="G3685" s="16" t="inlineStr">
        <is>
          <t>B13-T_sumidero</t>
        </is>
      </c>
      <c r="H3685" s="16" t="inlineStr">
        <is>
          <t>lhs</t>
        </is>
      </c>
      <c r="I3685" s="16" t="inlineStr">
        <is>
          <t>CORREGIBLE</t>
        </is>
      </c>
      <c r="J3685" s="16" t="inlineStr">
        <is>
          <t>CORREGIBLE</t>
        </is>
      </c>
      <c r="K3685" s="16" t="b">
        <v>1</v>
      </c>
      <c r="L3685" s="16" t="b">
        <v>0</v>
      </c>
      <c r="M3685" s="16" t="b">
        <v>1</v>
      </c>
      <c r="N3685" s="16" t="b">
        <v>0</v>
      </c>
      <c r="O3685" s="16" t="n">
        <v>509.7858690313926</v>
      </c>
      <c r="P3685" s="16" t="n">
        <v>300.032917</v>
      </c>
      <c r="Q3685" s="16" t="n">
        <v>2876.596593764835</v>
      </c>
      <c r="R3685" s="16" t="n">
        <v>333.8443515337697</v>
      </c>
      <c r="S3685" s="16" t="n">
        <v>0.5176317206655628</v>
      </c>
      <c r="T3685" s="16" t="n">
        <v>0.4845683947515851</v>
      </c>
      <c r="U3685" s="16" t="n">
        <v>0.4206397885393534</v>
      </c>
      <c r="V3685" s="16" t="n">
        <v>0.6419108036008573</v>
      </c>
      <c r="W3685" s="16" t="n">
        <v>0.4616424309718777</v>
      </c>
      <c r="X3685" s="16" t="n">
        <v>0.8581458851744695</v>
      </c>
      <c r="Y3685" s="16" t="n">
        <v>300.032917</v>
      </c>
      <c r="Z3685" s="16" t="n">
        <v>4.35974867565488</v>
      </c>
      <c r="AA3685" s="16" t="n">
        <v>56.80828859591554</v>
      </c>
      <c r="AB3685" s="16" t="n">
        <v>2542.752242231065</v>
      </c>
      <c r="AC3685" s="16" t="n">
        <v>8.616580093534564</v>
      </c>
      <c r="AD3685" s="16" t="inlineStr">
        <is>
          <t>O2</t>
        </is>
      </c>
      <c r="AE3685" s="16" t="n"/>
    </row>
    <row r="3686">
      <c r="A3686" s="16" t="inlineStr">
        <is>
          <t>KF-M09-R0-T_sumidero-0072</t>
        </is>
      </c>
      <c r="B3686" s="16" t="inlineStr">
        <is>
          <t>4.3</t>
        </is>
      </c>
      <c r="C3686" s="16" t="inlineStr">
        <is>
          <t>4.3 T_sumidero</t>
        </is>
      </c>
      <c r="D3686" s="16" t="inlineStr">
        <is>
          <t>ronda 0</t>
        </is>
      </c>
      <c r="E3686" s="16" t="inlineStr">
        <is>
          <t>KF-M09</t>
        </is>
      </c>
      <c r="F3686" s="16" t="inlineStr">
        <is>
          <t>KF-M09-R0-T_sumidero</t>
        </is>
      </c>
      <c r="G3686" s="16" t="inlineStr">
        <is>
          <t>B13-T_sumidero</t>
        </is>
      </c>
      <c r="H3686" s="16" t="inlineStr">
        <is>
          <t>lhs</t>
        </is>
      </c>
      <c r="I3686" s="16" t="inlineStr">
        <is>
          <t>INVIABLE</t>
        </is>
      </c>
      <c r="J3686" s="16" t="inlineStr">
        <is>
          <t>INVIABLE</t>
        </is>
      </c>
      <c r="K3686" s="16" t="b">
        <v>1</v>
      </c>
      <c r="L3686" s="16" t="b">
        <v>0</v>
      </c>
      <c r="M3686" s="16" t="b">
        <v>0</v>
      </c>
      <c r="N3686" s="16" t="b">
        <v>0</v>
      </c>
      <c r="O3686" s="16" t="n">
        <v>407.6755497014954</v>
      </c>
      <c r="P3686" s="16" t="n">
        <v>300.032917</v>
      </c>
      <c r="Q3686" s="16" t="n">
        <v>2221.640114127998</v>
      </c>
      <c r="R3686" s="16" t="n">
        <v>528.8085837811293</v>
      </c>
      <c r="S3686" s="16" t="n">
        <v>0.742505070720209</v>
      </c>
      <c r="T3686" s="16" t="n">
        <v>0.5774707564731261</v>
      </c>
      <c r="U3686" s="16" t="n">
        <v>0.8905134552125005</v>
      </c>
      <c r="V3686" s="16" t="n">
        <v>0.7708496810049414</v>
      </c>
      <c r="W3686" s="16" t="n">
        <v>0.9062994526289708</v>
      </c>
      <c r="X3686" s="16" t="n">
        <v>0.5154515901896747</v>
      </c>
      <c r="Y3686" s="16" t="n">
        <v>300.032917</v>
      </c>
      <c r="Z3686" s="16" t="n">
        <v>-12.56419013041515</v>
      </c>
      <c r="AA3686" s="16" t="n">
        <v>-40.381544530174</v>
      </c>
      <c r="AB3686" s="16" t="n">
        <v>1692.831530346869</v>
      </c>
      <c r="AC3686" s="16" t="n">
        <v>4.201217949683514</v>
      </c>
      <c r="AD3686" s="16" t="inlineStr">
        <is>
          <t>O2,O3</t>
        </is>
      </c>
      <c r="AE3686" s="16" t="n"/>
    </row>
    <row r="3687">
      <c r="A3687" s="16" t="inlineStr">
        <is>
          <t>KF-M09-R0-T_sumidero-0073</t>
        </is>
      </c>
      <c r="B3687" s="16" t="inlineStr">
        <is>
          <t>4.3</t>
        </is>
      </c>
      <c r="C3687" s="16" t="inlineStr">
        <is>
          <t>4.3 T_sumidero</t>
        </is>
      </c>
      <c r="D3687" s="16" t="inlineStr">
        <is>
          <t>ronda 0</t>
        </is>
      </c>
      <c r="E3687" s="16" t="inlineStr">
        <is>
          <t>KF-M09</t>
        </is>
      </c>
      <c r="F3687" s="16" t="inlineStr">
        <is>
          <t>KF-M09-R0-T_sumidero</t>
        </is>
      </c>
      <c r="G3687" s="16" t="inlineStr">
        <is>
          <t>B13-T_sumidero</t>
        </is>
      </c>
      <c r="H3687" s="16" t="inlineStr">
        <is>
          <t>lhs</t>
        </is>
      </c>
      <c r="I3687" s="16" t="inlineStr">
        <is>
          <t>CORREGIBLE</t>
        </is>
      </c>
      <c r="J3687" s="16" t="inlineStr">
        <is>
          <t>CORREGIBLE</t>
        </is>
      </c>
      <c r="K3687" s="16" t="b">
        <v>1</v>
      </c>
      <c r="L3687" s="16" t="b">
        <v>0</v>
      </c>
      <c r="M3687" s="16" t="b">
        <v>0</v>
      </c>
      <c r="N3687" s="16" t="b">
        <v>0</v>
      </c>
      <c r="O3687" s="16" t="n">
        <v>479.2943043221845</v>
      </c>
      <c r="P3687" s="16" t="n">
        <v>300.032917</v>
      </c>
      <c r="Q3687" s="16" t="n">
        <v>3956.998735146946</v>
      </c>
      <c r="R3687" s="16" t="n">
        <v>1402.728646335202</v>
      </c>
      <c r="S3687" s="16" t="n">
        <v>0.7380344588919702</v>
      </c>
      <c r="T3687" s="16" t="n">
        <v>0.8817429711975752</v>
      </c>
      <c r="U3687" s="16" t="n">
        <v>0.7409902184668615</v>
      </c>
      <c r="V3687" s="16" t="n">
        <v>0.4207504089013443</v>
      </c>
      <c r="W3687" s="16" t="n">
        <v>0.7844499958288276</v>
      </c>
      <c r="X3687" s="16" t="n">
        <v>0.6377901302364741</v>
      </c>
      <c r="Y3687" s="16" t="n">
        <v>300.032917</v>
      </c>
      <c r="Z3687" s="16" t="n">
        <v>8.31302435066447</v>
      </c>
      <c r="AA3687" s="16" t="n">
        <v>55.01565408875665</v>
      </c>
      <c r="AB3687" s="16" t="n">
        <v>2554.270088811744</v>
      </c>
      <c r="AC3687" s="16" t="n">
        <v>2.820929582842044</v>
      </c>
      <c r="AD3687" s="16" t="inlineStr">
        <is>
          <t>O2</t>
        </is>
      </c>
      <c r="AE3687" s="16" t="n"/>
    </row>
    <row r="3688">
      <c r="A3688" s="16" t="inlineStr">
        <is>
          <t>KF-M09-R0-T_sumidero-0074</t>
        </is>
      </c>
      <c r="B3688" s="16" t="inlineStr">
        <is>
          <t>4.3</t>
        </is>
      </c>
      <c r="C3688" s="16" t="inlineStr">
        <is>
          <t>4.3 T_sumidero</t>
        </is>
      </c>
      <c r="D3688" s="16" t="inlineStr">
        <is>
          <t>ronda 0</t>
        </is>
      </c>
      <c r="E3688" s="16" t="inlineStr">
        <is>
          <t>KF-M09</t>
        </is>
      </c>
      <c r="F3688" s="16" t="inlineStr">
        <is>
          <t>KF-M09-R0-T_sumidero</t>
        </is>
      </c>
      <c r="G3688" s="16" t="inlineStr">
        <is>
          <t>B13-T_sumidero</t>
        </is>
      </c>
      <c r="H3688" s="16" t="inlineStr">
        <is>
          <t>lhs</t>
        </is>
      </c>
      <c r="I3688" s="16" t="inlineStr">
        <is>
          <t>CORREGIBLE</t>
        </is>
      </c>
      <c r="J3688" s="16" t="inlineStr">
        <is>
          <t>CORREGIBLE</t>
        </is>
      </c>
      <c r="K3688" s="16" t="b">
        <v>1</v>
      </c>
      <c r="L3688" s="16" t="b">
        <v>0</v>
      </c>
      <c r="M3688" s="16" t="b">
        <v>1</v>
      </c>
      <c r="N3688" s="16" t="b">
        <v>0</v>
      </c>
      <c r="O3688" s="16" t="n">
        <v>465.8683536386426</v>
      </c>
      <c r="P3688" s="16" t="n">
        <v>300.032917</v>
      </c>
      <c r="Q3688" s="16" t="n">
        <v>2975.423467168941</v>
      </c>
      <c r="R3688" s="16" t="n">
        <v>843.1057327487717</v>
      </c>
      <c r="S3688" s="16" t="n">
        <v>0.62576025634734</v>
      </c>
      <c r="T3688" s="16" t="n">
        <v>0.5969190596011327</v>
      </c>
      <c r="U3688" s="16" t="n">
        <v>0.6280532541608604</v>
      </c>
      <c r="V3688" s="16" t="n">
        <v>0.9115858551270136</v>
      </c>
      <c r="W3688" s="16" t="n">
        <v>0.4081153950535582</v>
      </c>
      <c r="X3688" s="16" t="n">
        <v>0.8184205196463653</v>
      </c>
      <c r="Y3688" s="16" t="n">
        <v>300.032917</v>
      </c>
      <c r="Z3688" s="16" t="n">
        <v>5.37376008244783</v>
      </c>
      <c r="AA3688" s="16" t="n">
        <v>86.88433470024724</v>
      </c>
      <c r="AB3688" s="16" t="n">
        <v>2132.317734420169</v>
      </c>
      <c r="AC3688" s="16" t="n">
        <v>3.529122566238743</v>
      </c>
      <c r="AD3688" s="16" t="inlineStr">
        <is>
          <t>O2</t>
        </is>
      </c>
      <c r="AE3688" s="16" t="n"/>
    </row>
    <row r="3689">
      <c r="A3689" s="16" t="inlineStr">
        <is>
          <t>KF-M09-R0-T_sumidero-0075</t>
        </is>
      </c>
      <c r="B3689" s="16" t="inlineStr">
        <is>
          <t>4.3</t>
        </is>
      </c>
      <c r="C3689" s="16" t="inlineStr">
        <is>
          <t>4.3 T_sumidero</t>
        </is>
      </c>
      <c r="D3689" s="16" t="inlineStr">
        <is>
          <t>ronda 0</t>
        </is>
      </c>
      <c r="E3689" s="16" t="inlineStr">
        <is>
          <t>KF-M09</t>
        </is>
      </c>
      <c r="F3689" s="16" t="inlineStr">
        <is>
          <t>KF-M09-R0-T_sumidero</t>
        </is>
      </c>
      <c r="G3689" s="16" t="inlineStr">
        <is>
          <t>B13-T_sumidero</t>
        </is>
      </c>
      <c r="H3689" s="16" t="inlineStr">
        <is>
          <t>lhs</t>
        </is>
      </c>
      <c r="I3689" s="16" t="inlineStr">
        <is>
          <t>CORREGIBLE</t>
        </is>
      </c>
      <c r="J3689" s="16" t="inlineStr">
        <is>
          <t>CORREGIBLE</t>
        </is>
      </c>
      <c r="K3689" s="16" t="b">
        <v>1</v>
      </c>
      <c r="L3689" s="16" t="b">
        <v>0</v>
      </c>
      <c r="M3689" s="16" t="b">
        <v>1</v>
      </c>
      <c r="N3689" s="16" t="b">
        <v>0</v>
      </c>
      <c r="O3689" s="16" t="n">
        <v>464.3007913357005</v>
      </c>
      <c r="P3689" s="16" t="n">
        <v>300.032917</v>
      </c>
      <c r="Q3689" s="16" t="n">
        <v>4335.035747487424</v>
      </c>
      <c r="R3689" s="16" t="n">
        <v>1671.773081919895</v>
      </c>
      <c r="S3689" s="16" t="n">
        <v>0.6304438805086795</v>
      </c>
      <c r="T3689" s="16" t="n">
        <v>0.9164839295542264</v>
      </c>
      <c r="U3689" s="16" t="n">
        <v>0.9354520757101208</v>
      </c>
      <c r="V3689" s="16" t="n">
        <v>0.7519482668469966</v>
      </c>
      <c r="W3689" s="16" t="n">
        <v>0.8453196929534507</v>
      </c>
      <c r="X3689" s="16" t="n">
        <v>0.4859151032142847</v>
      </c>
      <c r="Y3689" s="16" t="n">
        <v>300.032917</v>
      </c>
      <c r="Z3689" s="16" t="n">
        <v>7.59386234624874</v>
      </c>
      <c r="AA3689" s="16" t="n">
        <v>55.32079210788416</v>
      </c>
      <c r="AB3689" s="16" t="n">
        <v>2663.262665567529</v>
      </c>
      <c r="AC3689" s="16" t="n">
        <v>2.5930766527889</v>
      </c>
      <c r="AD3689" s="16" t="inlineStr">
        <is>
          <t>O2</t>
        </is>
      </c>
      <c r="AE3689" s="16" t="n"/>
    </row>
    <row r="3690">
      <c r="A3690" s="16" t="inlineStr">
        <is>
          <t>KF-M09-R0-T_sumidero-0076</t>
        </is>
      </c>
      <c r="B3690" s="16" t="inlineStr">
        <is>
          <t>4.3</t>
        </is>
      </c>
      <c r="C3690" s="16" t="inlineStr">
        <is>
          <t>4.3 T_sumidero</t>
        </is>
      </c>
      <c r="D3690" s="16" t="inlineStr">
        <is>
          <t>ronda 0</t>
        </is>
      </c>
      <c r="E3690" s="16" t="inlineStr">
        <is>
          <t>KF-M09</t>
        </is>
      </c>
      <c r="F3690" s="16" t="inlineStr">
        <is>
          <t>KF-M09-R0-T_sumidero</t>
        </is>
      </c>
      <c r="G3690" s="16" t="inlineStr">
        <is>
          <t>B13-T_sumidero</t>
        </is>
      </c>
      <c r="H3690" s="16" t="inlineStr">
        <is>
          <t>lhs</t>
        </is>
      </c>
      <c r="I3690" s="16" t="inlineStr">
        <is>
          <t>CORREGIBLE</t>
        </is>
      </c>
      <c r="J3690" s="16" t="inlineStr">
        <is>
          <t>CORREGIBLE</t>
        </is>
      </c>
      <c r="K3690" s="16" t="b">
        <v>1</v>
      </c>
      <c r="L3690" s="16" t="b">
        <v>0</v>
      </c>
      <c r="M3690" s="16" t="b">
        <v>1</v>
      </c>
      <c r="N3690" s="16" t="b">
        <v>0</v>
      </c>
      <c r="O3690" s="16" t="n">
        <v>472.0898626474099</v>
      </c>
      <c r="P3690" s="16" t="n">
        <v>300.032917</v>
      </c>
      <c r="Q3690" s="16" t="n">
        <v>2521.721417963924</v>
      </c>
      <c r="R3690" s="16" t="n">
        <v>911.9023887875624</v>
      </c>
      <c r="S3690" s="16" t="n">
        <v>0.7680090550373347</v>
      </c>
      <c r="T3690" s="16" t="n">
        <v>0.8173449558188275</v>
      </c>
      <c r="U3690" s="16" t="n">
        <v>0.7437631901976067</v>
      </c>
      <c r="V3690" s="16" t="n">
        <v>0.7644184763687722</v>
      </c>
      <c r="W3690" s="16" t="n">
        <v>0.4111114491571954</v>
      </c>
      <c r="X3690" s="16" t="n">
        <v>0.5569649748846704</v>
      </c>
      <c r="Y3690" s="16" t="n">
        <v>300.032917</v>
      </c>
      <c r="Z3690" s="16" t="n">
        <v>4.164002057670229</v>
      </c>
      <c r="AA3690" s="16" t="n">
        <v>37.75358151910578</v>
      </c>
      <c r="AB3690" s="16" t="n">
        <v>1609.819029176362</v>
      </c>
      <c r="AC3690" s="16" t="n">
        <v>2.765341388475501</v>
      </c>
      <c r="AD3690" s="16" t="inlineStr">
        <is>
          <t>O2</t>
        </is>
      </c>
      <c r="AE3690" s="16" t="n"/>
    </row>
    <row r="3691">
      <c r="A3691" s="16" t="inlineStr">
        <is>
          <t>KF-M09-R0-T_sumidero-0077</t>
        </is>
      </c>
      <c r="B3691" s="16" t="inlineStr">
        <is>
          <t>4.3</t>
        </is>
      </c>
      <c r="C3691" s="16" t="inlineStr">
        <is>
          <t>4.3 T_sumidero</t>
        </is>
      </c>
      <c r="D3691" s="16" t="inlineStr">
        <is>
          <t>ronda 0</t>
        </is>
      </c>
      <c r="E3691" s="16" t="inlineStr">
        <is>
          <t>KF-M09</t>
        </is>
      </c>
      <c r="F3691" s="16" t="inlineStr">
        <is>
          <t>KF-M09-R0-T_sumidero</t>
        </is>
      </c>
      <c r="G3691" s="16" t="inlineStr">
        <is>
          <t>B13-T_sumidero</t>
        </is>
      </c>
      <c r="H3691" s="16" t="inlineStr">
        <is>
          <t>lhs</t>
        </is>
      </c>
      <c r="I3691" s="16" t="inlineStr">
        <is>
          <t>NO_CONVERGIO</t>
        </is>
      </c>
      <c r="J3691" s="16" t="inlineStr">
        <is>
          <t>NO_CONVERGIO</t>
        </is>
      </c>
      <c r="K3691" s="16" t="b">
        <v>0</v>
      </c>
      <c r="L3691" s="16" t="b">
        <v>0</v>
      </c>
      <c r="M3691" s="16" t="b">
        <v>0</v>
      </c>
      <c r="N3691" s="16" t="b">
        <v>0</v>
      </c>
      <c r="O3691" s="16" t="n">
        <v>508.665034952753</v>
      </c>
      <c r="P3691" s="16" t="n">
        <v>300.032917</v>
      </c>
      <c r="Q3691" s="16" t="n">
        <v>4356.89334638051</v>
      </c>
      <c r="R3691" s="16" t="n">
        <v>687.9954060397788</v>
      </c>
      <c r="S3691" s="16" t="n">
        <v>0.8080546583213262</v>
      </c>
      <c r="T3691" s="16" t="n">
        <v>0.7516208953236201</v>
      </c>
      <c r="U3691" s="16" t="n">
        <v>0.8958325675861045</v>
      </c>
      <c r="V3691" s="16" t="n">
        <v>0.8986004257281781</v>
      </c>
      <c r="W3691" s="16" t="n">
        <v>0.5325835053226949</v>
      </c>
      <c r="X3691" s="16" t="n">
        <v>0.7240076213311379</v>
      </c>
      <c r="Y3691" s="16" t="n">
        <v>300.032917</v>
      </c>
      <c r="Z3691" s="16" t="n"/>
      <c r="AA3691" s="16" t="n"/>
      <c r="AB3691" s="16" t="n">
        <v>3668.897940340731</v>
      </c>
      <c r="AC3691" s="16" t="n">
        <v>6.332736102788164</v>
      </c>
      <c r="AD3691" s="16" t="n"/>
      <c r="AE3691" s="16" t="n"/>
    </row>
    <row r="3692">
      <c r="A3692" s="16" t="inlineStr">
        <is>
          <t>KF-M09-R0-T_sumidero-0078</t>
        </is>
      </c>
      <c r="B3692" s="16" t="inlineStr">
        <is>
          <t>4.3</t>
        </is>
      </c>
      <c r="C3692" s="16" t="inlineStr">
        <is>
          <t>4.3 T_sumidero</t>
        </is>
      </c>
      <c r="D3692" s="16" t="inlineStr">
        <is>
          <t>ronda 0</t>
        </is>
      </c>
      <c r="E3692" s="16" t="inlineStr">
        <is>
          <t>KF-M09</t>
        </is>
      </c>
      <c r="F3692" s="16" t="inlineStr">
        <is>
          <t>KF-M09-R0-T_sumidero</t>
        </is>
      </c>
      <c r="G3692" s="16" t="inlineStr">
        <is>
          <t>B13-T_sumidero</t>
        </is>
      </c>
      <c r="H3692" s="16" t="inlineStr">
        <is>
          <t>lhs</t>
        </is>
      </c>
      <c r="I3692" s="16" t="inlineStr">
        <is>
          <t>INVIABLE</t>
        </is>
      </c>
      <c r="J3692" s="16" t="inlineStr">
        <is>
          <t>INVIABLE</t>
        </is>
      </c>
      <c r="K3692" s="16" t="b">
        <v>1</v>
      </c>
      <c r="L3692" s="16" t="b">
        <v>0</v>
      </c>
      <c r="M3692" s="16" t="b">
        <v>0</v>
      </c>
      <c r="N3692" s="16" t="b">
        <v>0</v>
      </c>
      <c r="O3692" s="16" t="n">
        <v>412.560018014262</v>
      </c>
      <c r="P3692" s="16" t="n">
        <v>300.032917</v>
      </c>
      <c r="Q3692" s="16" t="n">
        <v>2035.57045200608</v>
      </c>
      <c r="R3692" s="16" t="n">
        <v>499.2857977868781</v>
      </c>
      <c r="S3692" s="16" t="n">
        <v>0.5820063433998048</v>
      </c>
      <c r="T3692" s="16" t="n">
        <v>0.7116580410765536</v>
      </c>
      <c r="U3692" s="16" t="n">
        <v>0.4322144673195037</v>
      </c>
      <c r="V3692" s="16" t="n">
        <v>0.4849317304336552</v>
      </c>
      <c r="W3692" s="16" t="n">
        <v>0.8972027121245995</v>
      </c>
      <c r="X3692" s="16" t="n">
        <v>0.4004991886616215</v>
      </c>
      <c r="Y3692" s="16" t="n">
        <v>300.032917</v>
      </c>
      <c r="Z3692" s="16" t="n">
        <v>-22.66556401671862</v>
      </c>
      <c r="AA3692" s="16" t="n">
        <v>-60.23634286778368</v>
      </c>
      <c r="AB3692" s="16" t="n">
        <v>1536.284654219202</v>
      </c>
      <c r="AC3692" s="16" t="n">
        <v>4.076964458089734</v>
      </c>
      <c r="AD3692" s="16" t="inlineStr">
        <is>
          <t>O2,O3</t>
        </is>
      </c>
      <c r="AE3692" s="16" t="n"/>
    </row>
    <row r="3693">
      <c r="A3693" s="16" t="inlineStr">
        <is>
          <t>KF-M09-R0-T_sumidero-0079</t>
        </is>
      </c>
      <c r="B3693" s="16" t="inlineStr">
        <is>
          <t>4.3</t>
        </is>
      </c>
      <c r="C3693" s="16" t="inlineStr">
        <is>
          <t>4.3 T_sumidero</t>
        </is>
      </c>
      <c r="D3693" s="16" t="inlineStr">
        <is>
          <t>ronda 0</t>
        </is>
      </c>
      <c r="E3693" s="16" t="inlineStr">
        <is>
          <t>KF-M09</t>
        </is>
      </c>
      <c r="F3693" s="16" t="inlineStr">
        <is>
          <t>KF-M09-R0-T_sumidero</t>
        </is>
      </c>
      <c r="G3693" s="16" t="inlineStr">
        <is>
          <t>B13-T_sumidero</t>
        </is>
      </c>
      <c r="H3693" s="16" t="inlineStr">
        <is>
          <t>lhs</t>
        </is>
      </c>
      <c r="I3693" s="16" t="inlineStr">
        <is>
          <t>CORREGIBLE</t>
        </is>
      </c>
      <c r="J3693" s="16" t="inlineStr">
        <is>
          <t>CORREGIBLE</t>
        </is>
      </c>
      <c r="K3693" s="16" t="b">
        <v>1</v>
      </c>
      <c r="L3693" s="16" t="b">
        <v>0</v>
      </c>
      <c r="M3693" s="16" t="b">
        <v>0</v>
      </c>
      <c r="N3693" s="16" t="b">
        <v>0</v>
      </c>
      <c r="O3693" s="16" t="n">
        <v>405.0024749091284</v>
      </c>
      <c r="P3693" s="16" t="n">
        <v>300.032917</v>
      </c>
      <c r="Q3693" s="16" t="n">
        <v>4559.972369688541</v>
      </c>
      <c r="R3693" s="16" t="n">
        <v>1111.227968025885</v>
      </c>
      <c r="S3693" s="16" t="n">
        <v>0.6538052167265834</v>
      </c>
      <c r="T3693" s="16" t="n">
        <v>0.8507946638254922</v>
      </c>
      <c r="U3693" s="16" t="n">
        <v>0.5600245520908895</v>
      </c>
      <c r="V3693" s="16" t="n">
        <v>0.8022097948695113</v>
      </c>
      <c r="W3693" s="16" t="n">
        <v>0.4525957800432778</v>
      </c>
      <c r="X3693" s="16" t="n">
        <v>0.7924906945005127</v>
      </c>
      <c r="Y3693" s="16" t="n">
        <v>300.032917</v>
      </c>
      <c r="Z3693" s="16" t="n">
        <v>6.58331615089424</v>
      </c>
      <c r="AA3693" s="16" t="n">
        <v>29.63873653125128</v>
      </c>
      <c r="AB3693" s="16" t="n">
        <v>3448.744401662656</v>
      </c>
      <c r="AC3693" s="16" t="n">
        <v>4.103543558023838</v>
      </c>
      <c r="AD3693" s="16" t="inlineStr">
        <is>
          <t>O2</t>
        </is>
      </c>
      <c r="AE3693" s="16" t="n"/>
    </row>
    <row r="3694">
      <c r="A3694" s="16" t="inlineStr">
        <is>
          <t>KF-M09-R0-T_sumidero-0080</t>
        </is>
      </c>
      <c r="B3694" s="16" t="inlineStr">
        <is>
          <t>4.3</t>
        </is>
      </c>
      <c r="C3694" s="16" t="inlineStr">
        <is>
          <t>4.3 T_sumidero</t>
        </is>
      </c>
      <c r="D3694" s="16" t="inlineStr">
        <is>
          <t>ronda 0</t>
        </is>
      </c>
      <c r="E3694" s="16" t="inlineStr">
        <is>
          <t>KF-M09</t>
        </is>
      </c>
      <c r="F3694" s="16" t="inlineStr">
        <is>
          <t>KF-M09-R0-T_sumidero</t>
        </is>
      </c>
      <c r="G3694" s="16" t="inlineStr">
        <is>
          <t>B13-T_sumidero</t>
        </is>
      </c>
      <c r="H3694" s="16" t="inlineStr">
        <is>
          <t>lhs</t>
        </is>
      </c>
      <c r="I3694" s="16" t="inlineStr">
        <is>
          <t>KALINA</t>
        </is>
      </c>
      <c r="J3694" s="16" t="inlineStr">
        <is>
          <t>KALINA</t>
        </is>
      </c>
      <c r="K3694" s="16" t="b">
        <v>1</v>
      </c>
      <c r="L3694" s="16" t="b">
        <v>1</v>
      </c>
      <c r="M3694" s="16" t="b">
        <v>0</v>
      </c>
      <c r="N3694" s="16" t="b">
        <v>0</v>
      </c>
      <c r="O3694" s="16" t="n">
        <v>448.298011665018</v>
      </c>
      <c r="P3694" s="16" t="n">
        <v>300.032917</v>
      </c>
      <c r="Q3694" s="16" t="n">
        <v>2603.392779053732</v>
      </c>
      <c r="R3694" s="16" t="n">
        <v>1732.970468452583</v>
      </c>
      <c r="S3694" s="16" t="n">
        <v>0.790387891348821</v>
      </c>
      <c r="T3694" s="16" t="n">
        <v>0.9056458141940512</v>
      </c>
      <c r="U3694" s="16" t="n">
        <v>0.5467947090697483</v>
      </c>
      <c r="V3694" s="16" t="n">
        <v>0.652717325859751</v>
      </c>
      <c r="W3694" s="16" t="n">
        <v>0.6088860840320081</v>
      </c>
      <c r="X3694" s="16" t="n">
        <v>0.9259420599490792</v>
      </c>
      <c r="Y3694" s="16" t="n">
        <v>300.032917</v>
      </c>
      <c r="Z3694" s="16" t="n">
        <v>3.88631972070694</v>
      </c>
      <c r="AA3694" s="16" t="n">
        <v>43.83821465595518</v>
      </c>
      <c r="AB3694" s="16" t="n">
        <v>870.4223106011489</v>
      </c>
      <c r="AC3694" s="16" t="n">
        <v>1.502271865820294</v>
      </c>
      <c r="AD3694" s="16" t="n"/>
      <c r="AE3694" s="16" t="n"/>
    </row>
    <row r="3695">
      <c r="A3695" s="16" t="inlineStr">
        <is>
          <t>KF-M09-R0-T_sumidero-0081</t>
        </is>
      </c>
      <c r="B3695" s="16" t="inlineStr">
        <is>
          <t>4.3</t>
        </is>
      </c>
      <c r="C3695" s="16" t="inlineStr">
        <is>
          <t>4.3 T_sumidero</t>
        </is>
      </c>
      <c r="D3695" s="16" t="inlineStr">
        <is>
          <t>ronda 0</t>
        </is>
      </c>
      <c r="E3695" s="16" t="inlineStr">
        <is>
          <t>KF-M09</t>
        </is>
      </c>
      <c r="F3695" s="16" t="inlineStr">
        <is>
          <t>KF-M09-R0-T_sumidero</t>
        </is>
      </c>
      <c r="G3695" s="16" t="inlineStr">
        <is>
          <t>B13-T_sumidero</t>
        </is>
      </c>
      <c r="H3695" s="16" t="inlineStr">
        <is>
          <t>lhs</t>
        </is>
      </c>
      <c r="I3695" s="16" t="inlineStr">
        <is>
          <t>INVIABLE</t>
        </is>
      </c>
      <c r="J3695" s="16" t="inlineStr">
        <is>
          <t>INVIABLE</t>
        </is>
      </c>
      <c r="K3695" s="16" t="b">
        <v>1</v>
      </c>
      <c r="L3695" s="16" t="b">
        <v>0</v>
      </c>
      <c r="M3695" s="16" t="b">
        <v>0</v>
      </c>
      <c r="N3695" s="16" t="b">
        <v>0</v>
      </c>
      <c r="O3695" s="16" t="n">
        <v>384.1350932021778</v>
      </c>
      <c r="P3695" s="16" t="n">
        <v>300.032917</v>
      </c>
      <c r="Q3695" s="16" t="n">
        <v>3342.736222942512</v>
      </c>
      <c r="R3695" s="16" t="n">
        <v>714.8067582435117</v>
      </c>
      <c r="S3695" s="16" t="n">
        <v>0.8227963368225164</v>
      </c>
      <c r="T3695" s="16" t="n">
        <v>0.8398047039608481</v>
      </c>
      <c r="U3695" s="16" t="n">
        <v>0.9107672566356328</v>
      </c>
      <c r="V3695" s="16" t="n">
        <v>0.6301557518355064</v>
      </c>
      <c r="W3695" s="16" t="n">
        <v>0.6401264950960164</v>
      </c>
      <c r="X3695" s="16" t="n">
        <v>0.5925815685138064</v>
      </c>
      <c r="Y3695" s="16" t="n">
        <v>300.032917</v>
      </c>
      <c r="Z3695" s="16" t="n">
        <v>-4.84078386710169</v>
      </c>
      <c r="AA3695" s="16" t="n">
        <v>-9.353570023516014</v>
      </c>
      <c r="AB3695" s="16" t="n">
        <v>2627.929464699</v>
      </c>
      <c r="AC3695" s="16" t="n">
        <v>4.676419443985935</v>
      </c>
      <c r="AD3695" s="16" t="inlineStr">
        <is>
          <t>O2,O3</t>
        </is>
      </c>
      <c r="AE3695" s="16" t="n"/>
    </row>
    <row r="3696">
      <c r="A3696" s="16" t="inlineStr">
        <is>
          <t>KF-M09-R0-T_sumidero-0082</t>
        </is>
      </c>
      <c r="B3696" s="16" t="inlineStr">
        <is>
          <t>4.3</t>
        </is>
      </c>
      <c r="C3696" s="16" t="inlineStr">
        <is>
          <t>4.3 T_sumidero</t>
        </is>
      </c>
      <c r="D3696" s="16" t="inlineStr">
        <is>
          <t>ronda 0</t>
        </is>
      </c>
      <c r="E3696" s="16" t="inlineStr">
        <is>
          <t>KF-M09</t>
        </is>
      </c>
      <c r="F3696" s="16" t="inlineStr">
        <is>
          <t>KF-M09-R0-T_sumidero</t>
        </is>
      </c>
      <c r="G3696" s="16" t="inlineStr">
        <is>
          <t>B13-T_sumidero</t>
        </is>
      </c>
      <c r="H3696" s="16" t="inlineStr">
        <is>
          <t>lhs</t>
        </is>
      </c>
      <c r="I3696" s="16" t="inlineStr">
        <is>
          <t>INVIABLE</t>
        </is>
      </c>
      <c r="J3696" s="16" t="inlineStr">
        <is>
          <t>INVIABLE</t>
        </is>
      </c>
      <c r="K3696" s="16" t="b">
        <v>1</v>
      </c>
      <c r="L3696" s="16" t="b">
        <v>0</v>
      </c>
      <c r="M3696" s="16" t="b">
        <v>0</v>
      </c>
      <c r="N3696" s="16" t="b">
        <v>0</v>
      </c>
      <c r="O3696" s="16" t="n">
        <v>499.7116278405019</v>
      </c>
      <c r="P3696" s="16" t="n">
        <v>300.032917</v>
      </c>
      <c r="Q3696" s="16" t="n">
        <v>2270.714923695136</v>
      </c>
      <c r="R3696" s="16" t="n">
        <v>437.5462223756422</v>
      </c>
      <c r="S3696" s="16" t="n">
        <v>0.8026894237520315</v>
      </c>
      <c r="T3696" s="16" t="n">
        <v>0.7192853642222015</v>
      </c>
      <c r="U3696" s="16" t="n">
        <v>0.7005914720896302</v>
      </c>
      <c r="V3696" s="16" t="n">
        <v>0.6200060108035296</v>
      </c>
      <c r="W3696" s="16" t="n">
        <v>0.8169567008407435</v>
      </c>
      <c r="X3696" s="16" t="n">
        <v>0.8481049754319709</v>
      </c>
      <c r="Y3696" s="16" t="n">
        <v>300.032917</v>
      </c>
      <c r="Z3696" s="16" t="n">
        <v>-6.440870604691621</v>
      </c>
      <c r="AA3696" s="16" t="n">
        <v>-37.8815998870875</v>
      </c>
      <c r="AB3696" s="16" t="n">
        <v>1833.168701319494</v>
      </c>
      <c r="AC3696" s="16" t="n">
        <v>5.189657246647835</v>
      </c>
      <c r="AD3696" s="16" t="inlineStr">
        <is>
          <t>O2,O3</t>
        </is>
      </c>
      <c r="AE3696" s="16" t="n"/>
    </row>
    <row r="3697">
      <c r="A3697" s="16" t="inlineStr">
        <is>
          <t>KF-M09-R0-T_sumidero-0083</t>
        </is>
      </c>
      <c r="B3697" s="16" t="inlineStr">
        <is>
          <t>4.3</t>
        </is>
      </c>
      <c r="C3697" s="16" t="inlineStr">
        <is>
          <t>4.3 T_sumidero</t>
        </is>
      </c>
      <c r="D3697" s="16" t="inlineStr">
        <is>
          <t>ronda 0</t>
        </is>
      </c>
      <c r="E3697" s="16" t="inlineStr">
        <is>
          <t>KF-M09</t>
        </is>
      </c>
      <c r="F3697" s="16" t="inlineStr">
        <is>
          <t>KF-M09-R0-T_sumidero</t>
        </is>
      </c>
      <c r="G3697" s="16" t="inlineStr">
        <is>
          <t>B13-T_sumidero</t>
        </is>
      </c>
      <c r="H3697" s="16" t="inlineStr">
        <is>
          <t>lhs</t>
        </is>
      </c>
      <c r="I3697" s="16" t="inlineStr">
        <is>
          <t>NO_CONVERGIO</t>
        </is>
      </c>
      <c r="J3697" s="16" t="inlineStr">
        <is>
          <t>NO_CONVERGIO</t>
        </is>
      </c>
      <c r="K3697" s="16" t="b">
        <v>0</v>
      </c>
      <c r="L3697" s="16" t="b">
        <v>0</v>
      </c>
      <c r="M3697" s="16" t="b">
        <v>0</v>
      </c>
      <c r="N3697" s="16" t="b">
        <v>0</v>
      </c>
      <c r="O3697" s="16" t="n">
        <v>492.0187117773429</v>
      </c>
      <c r="P3697" s="16" t="n">
        <v>300.032917</v>
      </c>
      <c r="Q3697" s="16" t="n">
        <v>3552.125529511741</v>
      </c>
      <c r="R3697" s="16" t="n">
        <v>631.2398365244177</v>
      </c>
      <c r="S3697" s="16" t="n">
        <v>0.8346646218422829</v>
      </c>
      <c r="T3697" s="16" t="n">
        <v>0.7064520644289868</v>
      </c>
      <c r="U3697" s="16" t="n">
        <v>0.9319816045506608</v>
      </c>
      <c r="V3697" s="16" t="n">
        <v>0.6353168752206789</v>
      </c>
      <c r="W3697" s="16" t="n">
        <v>0.8469824970668189</v>
      </c>
      <c r="X3697" s="16" t="n">
        <v>0.5265356380697261</v>
      </c>
      <c r="Y3697" s="16" t="n">
        <v>300.032917</v>
      </c>
      <c r="Z3697" s="16" t="n"/>
      <c r="AA3697" s="16" t="n"/>
      <c r="AB3697" s="16" t="n">
        <v>2920.885692987323</v>
      </c>
      <c r="AC3697" s="16" t="n">
        <v>5.627220153071466</v>
      </c>
      <c r="AD3697" s="16" t="n"/>
      <c r="AE3697" s="16" t="n"/>
    </row>
    <row r="3698">
      <c r="A3698" s="16" t="inlineStr">
        <is>
          <t>KF-M09-R0-T_sumidero-0084</t>
        </is>
      </c>
      <c r="B3698" s="16" t="inlineStr">
        <is>
          <t>4.3</t>
        </is>
      </c>
      <c r="C3698" s="16" t="inlineStr">
        <is>
          <t>4.3 T_sumidero</t>
        </is>
      </c>
      <c r="D3698" s="16" t="inlineStr">
        <is>
          <t>ronda 0</t>
        </is>
      </c>
      <c r="E3698" s="16" t="inlineStr">
        <is>
          <t>KF-M09</t>
        </is>
      </c>
      <c r="F3698" s="16" t="inlineStr">
        <is>
          <t>KF-M09-R0-T_sumidero</t>
        </is>
      </c>
      <c r="G3698" s="16" t="inlineStr">
        <is>
          <t>B13-T_sumidero</t>
        </is>
      </c>
      <c r="H3698" s="16" t="inlineStr">
        <is>
          <t>lhs</t>
        </is>
      </c>
      <c r="I3698" s="16" t="inlineStr">
        <is>
          <t>CORREGIBLE</t>
        </is>
      </c>
      <c r="J3698" s="16" t="inlineStr">
        <is>
          <t>CORREGIBLE</t>
        </is>
      </c>
      <c r="K3698" s="16" t="b">
        <v>1</v>
      </c>
      <c r="L3698" s="16" t="b">
        <v>0</v>
      </c>
      <c r="M3698" s="16" t="b">
        <v>1</v>
      </c>
      <c r="N3698" s="16" t="b">
        <v>0</v>
      </c>
      <c r="O3698" s="16" t="n">
        <v>454.6265755126815</v>
      </c>
      <c r="P3698" s="16" t="n">
        <v>300.032917</v>
      </c>
      <c r="Q3698" s="16" t="n">
        <v>4693.378853716527</v>
      </c>
      <c r="R3698" s="16" t="n">
        <v>1866.456032087525</v>
      </c>
      <c r="S3698" s="16" t="n">
        <v>0.6386302685545669</v>
      </c>
      <c r="T3698" s="16" t="n">
        <v>0.567487750578196</v>
      </c>
      <c r="U3698" s="16" t="n">
        <v>0.6786049374434879</v>
      </c>
      <c r="V3698" s="16" t="n">
        <v>0.7995291955703878</v>
      </c>
      <c r="W3698" s="16" t="n">
        <v>0.9145806458983324</v>
      </c>
      <c r="X3698" s="16" t="n">
        <v>0.6689085844807071</v>
      </c>
      <c r="Y3698" s="16" t="n">
        <v>300.032917</v>
      </c>
      <c r="Z3698" s="16" t="n">
        <v>4.29017152025736</v>
      </c>
      <c r="AA3698" s="16" t="n">
        <v>34.38674644800894</v>
      </c>
      <c r="AB3698" s="16" t="n">
        <v>2826.922821629003</v>
      </c>
      <c r="AC3698" s="16" t="n">
        <v>2.514593846857057</v>
      </c>
      <c r="AD3698" s="16" t="inlineStr">
        <is>
          <t>O2</t>
        </is>
      </c>
      <c r="AE3698" s="16" t="n"/>
    </row>
    <row r="3699">
      <c r="A3699" s="16" t="inlineStr">
        <is>
          <t>KF-M09-R0-T_sumidero-0085</t>
        </is>
      </c>
      <c r="B3699" s="16" t="inlineStr">
        <is>
          <t>4.3</t>
        </is>
      </c>
      <c r="C3699" s="16" t="inlineStr">
        <is>
          <t>4.3 T_sumidero</t>
        </is>
      </c>
      <c r="D3699" s="16" t="inlineStr">
        <is>
          <t>ronda 0</t>
        </is>
      </c>
      <c r="E3699" s="16" t="inlineStr">
        <is>
          <t>KF-M09</t>
        </is>
      </c>
      <c r="F3699" s="16" t="inlineStr">
        <is>
          <t>KF-M09-R0-T_sumidero</t>
        </is>
      </c>
      <c r="G3699" s="16" t="inlineStr">
        <is>
          <t>B13-T_sumidero</t>
        </is>
      </c>
      <c r="H3699" s="16" t="inlineStr">
        <is>
          <t>lhs</t>
        </is>
      </c>
      <c r="I3699" s="16" t="inlineStr">
        <is>
          <t>NO_CONVERGIO</t>
        </is>
      </c>
      <c r="J3699" s="16" t="inlineStr">
        <is>
          <t>NO_CONVERGIO</t>
        </is>
      </c>
      <c r="K3699" s="16" t="b">
        <v>0</v>
      </c>
      <c r="L3699" s="16" t="b">
        <v>0</v>
      </c>
      <c r="M3699" s="16" t="b">
        <v>0</v>
      </c>
      <c r="N3699" s="16" t="b">
        <v>0</v>
      </c>
      <c r="O3699" s="16" t="n">
        <v>384.2177152779508</v>
      </c>
      <c r="P3699" s="16" t="n">
        <v>300.032917</v>
      </c>
      <c r="Q3699" s="16" t="n">
        <v>2942.177081784665</v>
      </c>
      <c r="R3699" s="16" t="n">
        <v>997.7980931354772</v>
      </c>
      <c r="S3699" s="16" t="n">
        <v>0.7266295325156245</v>
      </c>
      <c r="T3699" s="16" t="n">
        <v>0.8417677172736966</v>
      </c>
      <c r="U3699" s="16" t="n">
        <v>0.6903991269054158</v>
      </c>
      <c r="V3699" s="16" t="n">
        <v>0.7109804385255101</v>
      </c>
      <c r="W3699" s="16" t="n">
        <v>0.6507077513887625</v>
      </c>
      <c r="X3699" s="16" t="n">
        <v>0.8903514937308489</v>
      </c>
      <c r="Y3699" s="16" t="n">
        <v>300.032917</v>
      </c>
      <c r="Z3699" s="16" t="n"/>
      <c r="AA3699" s="16" t="n"/>
      <c r="AB3699" s="16" t="n">
        <v>1944.378988649188</v>
      </c>
      <c r="AC3699" s="16" t="n">
        <v>2.948669778010077</v>
      </c>
      <c r="AD3699" s="16" t="n"/>
      <c r="AE3699" s="16" t="n"/>
    </row>
    <row r="3700">
      <c r="A3700" s="16" t="inlineStr">
        <is>
          <t>KF-M09-R0-T_sumidero-0086</t>
        </is>
      </c>
      <c r="B3700" s="16" t="inlineStr">
        <is>
          <t>4.3</t>
        </is>
      </c>
      <c r="C3700" s="16" t="inlineStr">
        <is>
          <t>4.3 T_sumidero</t>
        </is>
      </c>
      <c r="D3700" s="16" t="inlineStr">
        <is>
          <t>ronda 0</t>
        </is>
      </c>
      <c r="E3700" s="16" t="inlineStr">
        <is>
          <t>KF-M09</t>
        </is>
      </c>
      <c r="F3700" s="16" t="inlineStr">
        <is>
          <t>KF-M09-R0-T_sumidero</t>
        </is>
      </c>
      <c r="G3700" s="16" t="inlineStr">
        <is>
          <t>B13-T_sumidero</t>
        </is>
      </c>
      <c r="H3700" s="16" t="inlineStr">
        <is>
          <t>lhs</t>
        </is>
      </c>
      <c r="I3700" s="16" t="inlineStr">
        <is>
          <t>CORREGIBLE</t>
        </is>
      </c>
      <c r="J3700" s="16" t="inlineStr">
        <is>
          <t>CORREGIBLE</t>
        </is>
      </c>
      <c r="K3700" s="16" t="b">
        <v>1</v>
      </c>
      <c r="L3700" s="16" t="b">
        <v>0</v>
      </c>
      <c r="M3700" s="16" t="b">
        <v>1</v>
      </c>
      <c r="N3700" s="16" t="b">
        <v>0</v>
      </c>
      <c r="O3700" s="16" t="n">
        <v>428.4027622332069</v>
      </c>
      <c r="P3700" s="16" t="n">
        <v>300.032917</v>
      </c>
      <c r="Q3700" s="16" t="n">
        <v>2323.848594187595</v>
      </c>
      <c r="R3700" s="16" t="n">
        <v>933.9361342188364</v>
      </c>
      <c r="S3700" s="16" t="n">
        <v>0.6116353772957475</v>
      </c>
      <c r="T3700" s="16" t="n">
        <v>0.9283416285841316</v>
      </c>
      <c r="U3700" s="16" t="n">
        <v>0.8195291661863371</v>
      </c>
      <c r="V3700" s="16" t="n">
        <v>0.9077240674048118</v>
      </c>
      <c r="W3700" s="16" t="n">
        <v>0.5267470809366789</v>
      </c>
      <c r="X3700" s="16" t="n">
        <v>0.6715225650518397</v>
      </c>
      <c r="Y3700" s="16" t="n">
        <v>300.032917</v>
      </c>
      <c r="Z3700" s="16" t="n">
        <v>7.040916969875891</v>
      </c>
      <c r="AA3700" s="16" t="n">
        <v>63.71936868692508</v>
      </c>
      <c r="AB3700" s="16" t="n">
        <v>1389.912459968758</v>
      </c>
      <c r="AC3700" s="16" t="n">
        <v>2.488230735532371</v>
      </c>
      <c r="AD3700" s="16" t="inlineStr">
        <is>
          <t>O2</t>
        </is>
      </c>
      <c r="AE3700" s="16" t="n"/>
    </row>
    <row r="3701">
      <c r="A3701" s="16" t="inlineStr">
        <is>
          <t>KF-M09-R0-T_sumidero-0087</t>
        </is>
      </c>
      <c r="B3701" s="16" t="inlineStr">
        <is>
          <t>4.3</t>
        </is>
      </c>
      <c r="C3701" s="16" t="inlineStr">
        <is>
          <t>4.3 T_sumidero</t>
        </is>
      </c>
      <c r="D3701" s="16" t="inlineStr">
        <is>
          <t>ronda 0</t>
        </is>
      </c>
      <c r="E3701" s="16" t="inlineStr">
        <is>
          <t>KF-M09</t>
        </is>
      </c>
      <c r="F3701" s="16" t="inlineStr">
        <is>
          <t>KF-M09-R0-T_sumidero</t>
        </is>
      </c>
      <c r="G3701" s="16" t="inlineStr">
        <is>
          <t>B13-T_sumidero</t>
        </is>
      </c>
      <c r="H3701" s="16" t="inlineStr">
        <is>
          <t>lhs</t>
        </is>
      </c>
      <c r="I3701" s="16" t="inlineStr">
        <is>
          <t>KALINA</t>
        </is>
      </c>
      <c r="J3701" s="16" t="inlineStr">
        <is>
          <t>KALINA</t>
        </is>
      </c>
      <c r="K3701" s="16" t="b">
        <v>1</v>
      </c>
      <c r="L3701" s="16" t="b">
        <v>1</v>
      </c>
      <c r="M3701" s="16" t="b">
        <v>0</v>
      </c>
      <c r="N3701" s="16" t="b">
        <v>0</v>
      </c>
      <c r="O3701" s="16" t="n">
        <v>482.5108213057212</v>
      </c>
      <c r="P3701" s="16" t="n">
        <v>300.032917</v>
      </c>
      <c r="Q3701" s="16" t="n">
        <v>4510.933423894261</v>
      </c>
      <c r="R3701" s="16" t="n">
        <v>1320.412824154996</v>
      </c>
      <c r="S3701" s="16" t="n">
        <v>0.7651299032368349</v>
      </c>
      <c r="T3701" s="16" t="n">
        <v>0.6141382002750406</v>
      </c>
      <c r="U3701" s="16" t="n">
        <v>0.7301036495814146</v>
      </c>
      <c r="V3701" s="16" t="n">
        <v>0.5866859782909091</v>
      </c>
      <c r="W3701" s="16" t="n">
        <v>0.7449470501621306</v>
      </c>
      <c r="X3701" s="16" t="n">
        <v>0.9460929416603316</v>
      </c>
      <c r="Y3701" s="16" t="n">
        <v>300.032917</v>
      </c>
      <c r="Z3701" s="16" t="n">
        <v>7.11645463173956</v>
      </c>
      <c r="AA3701" s="16" t="n">
        <v>73.92315526532242</v>
      </c>
      <c r="AB3701" s="16" t="n">
        <v>3190.520599739265</v>
      </c>
      <c r="AC3701" s="16" t="n">
        <v>3.416305371603046</v>
      </c>
      <c r="AD3701" s="16" t="n"/>
      <c r="AE3701" s="16" t="n"/>
    </row>
    <row r="3702">
      <c r="A3702" s="16" t="inlineStr">
        <is>
          <t>KF-M09-R0-T_sumidero-0088</t>
        </is>
      </c>
      <c r="B3702" s="16" t="inlineStr">
        <is>
          <t>4.3</t>
        </is>
      </c>
      <c r="C3702" s="16" t="inlineStr">
        <is>
          <t>4.3 T_sumidero</t>
        </is>
      </c>
      <c r="D3702" s="16" t="inlineStr">
        <is>
          <t>ronda 0</t>
        </is>
      </c>
      <c r="E3702" s="16" t="inlineStr">
        <is>
          <t>KF-M09</t>
        </is>
      </c>
      <c r="F3702" s="16" t="inlineStr">
        <is>
          <t>KF-M09-R0-T_sumidero</t>
        </is>
      </c>
      <c r="G3702" s="16" t="inlineStr">
        <is>
          <t>B13-T_sumidero</t>
        </is>
      </c>
      <c r="H3702" s="16" t="inlineStr">
        <is>
          <t>lhs</t>
        </is>
      </c>
      <c r="I3702" s="16" t="inlineStr">
        <is>
          <t>OMITIDO</t>
        </is>
      </c>
      <c r="J3702" s="16" t="n"/>
      <c r="K3702" s="16" t="b">
        <v>0</v>
      </c>
      <c r="L3702" s="16" t="b">
        <v>0</v>
      </c>
      <c r="M3702" s="16" t="n"/>
      <c r="N3702" s="16" t="b">
        <v>1</v>
      </c>
      <c r="O3702" s="16" t="n">
        <v>402.5833774255243</v>
      </c>
      <c r="P3702" s="16" t="n">
        <v>300.032917</v>
      </c>
      <c r="Q3702" s="16" t="n">
        <v>2083.169711901314</v>
      </c>
      <c r="R3702" s="16" t="n">
        <v>1939.113947469529</v>
      </c>
      <c r="S3702" s="16" t="n">
        <v>0.5999219199316882</v>
      </c>
      <c r="T3702" s="16" t="n">
        <v>0.4220783978839819</v>
      </c>
      <c r="U3702" s="16" t="n">
        <v>0.760894751351209</v>
      </c>
      <c r="V3702" s="16" t="n">
        <v>0.5912654127783344</v>
      </c>
      <c r="W3702" s="16" t="n">
        <v>0.6783628797051017</v>
      </c>
      <c r="X3702" s="16" t="n">
        <v>0.8017161472977816</v>
      </c>
      <c r="Y3702" s="16" t="n"/>
      <c r="Z3702" s="16" t="n"/>
      <c r="AA3702" s="16" t="n"/>
      <c r="AB3702" s="16" t="n">
        <v>144.0557644317846</v>
      </c>
      <c r="AC3702" s="16" t="n">
        <v>1.074289478769297</v>
      </c>
      <c r="AD3702" s="16" t="n"/>
      <c r="AE3702" s="16" t="n"/>
    </row>
    <row r="3703">
      <c r="A3703" s="16" t="inlineStr">
        <is>
          <t>KF-M09-R0-T_sumidero-0089</t>
        </is>
      </c>
      <c r="B3703" s="16" t="inlineStr">
        <is>
          <t>4.3</t>
        </is>
      </c>
      <c r="C3703" s="16" t="inlineStr">
        <is>
          <t>4.3 T_sumidero</t>
        </is>
      </c>
      <c r="D3703" s="16" t="inlineStr">
        <is>
          <t>ronda 0</t>
        </is>
      </c>
      <c r="E3703" s="16" t="inlineStr">
        <is>
          <t>KF-M09</t>
        </is>
      </c>
      <c r="F3703" s="16" t="inlineStr">
        <is>
          <t>KF-M09-R0-T_sumidero</t>
        </is>
      </c>
      <c r="G3703" s="16" t="inlineStr">
        <is>
          <t>B13-T_sumidero</t>
        </is>
      </c>
      <c r="H3703" s="16" t="inlineStr">
        <is>
          <t>lhs</t>
        </is>
      </c>
      <c r="I3703" s="16" t="inlineStr">
        <is>
          <t>INVIABLE</t>
        </is>
      </c>
      <c r="J3703" s="16" t="inlineStr">
        <is>
          <t>INVIABLE</t>
        </is>
      </c>
      <c r="K3703" s="16" t="b">
        <v>1</v>
      </c>
      <c r="L3703" s="16" t="b">
        <v>0</v>
      </c>
      <c r="M3703" s="16" t="b">
        <v>1</v>
      </c>
      <c r="N3703" s="16" t="b">
        <v>0</v>
      </c>
      <c r="O3703" s="16" t="n">
        <v>441.6026842745604</v>
      </c>
      <c r="P3703" s="16" t="n">
        <v>300.032917</v>
      </c>
      <c r="Q3703" s="16" t="n">
        <v>4940.004245973897</v>
      </c>
      <c r="R3703" s="16" t="n">
        <v>343.3114724992547</v>
      </c>
      <c r="S3703" s="16" t="n">
        <v>0.6562217298495441</v>
      </c>
      <c r="T3703" s="16" t="n">
        <v>0.728391056634129</v>
      </c>
      <c r="U3703" s="16" t="n">
        <v>0.8466324338851811</v>
      </c>
      <c r="V3703" s="16" t="n">
        <v>0.745742662327691</v>
      </c>
      <c r="W3703" s="16" t="n">
        <v>0.8283753374437182</v>
      </c>
      <c r="X3703" s="16" t="n">
        <v>0.787679866989432</v>
      </c>
      <c r="Y3703" s="16" t="n">
        <v>300.032917</v>
      </c>
      <c r="Z3703" s="16" t="n">
        <v>-1.25024394739743</v>
      </c>
      <c r="AA3703" s="16" t="n">
        <v>-5.03567569627603</v>
      </c>
      <c r="AB3703" s="16" t="n">
        <v>4596.692773474642</v>
      </c>
      <c r="AC3703" s="16" t="n">
        <v>14.3892780803724</v>
      </c>
      <c r="AD3703" s="16" t="inlineStr">
        <is>
          <t>O2,O3</t>
        </is>
      </c>
      <c r="AE3703" s="16" t="n"/>
    </row>
    <row r="3704">
      <c r="A3704" s="16" t="inlineStr">
        <is>
          <t>KF-M09-R0-T_sumidero-0090</t>
        </is>
      </c>
      <c r="B3704" s="16" t="inlineStr">
        <is>
          <t>4.3</t>
        </is>
      </c>
      <c r="C3704" s="16" t="inlineStr">
        <is>
          <t>4.3 T_sumidero</t>
        </is>
      </c>
      <c r="D3704" s="16" t="inlineStr">
        <is>
          <t>ronda 0</t>
        </is>
      </c>
      <c r="E3704" s="16" t="inlineStr">
        <is>
          <t>KF-M09</t>
        </is>
      </c>
      <c r="F3704" s="16" t="inlineStr">
        <is>
          <t>KF-M09-R0-T_sumidero</t>
        </is>
      </c>
      <c r="G3704" s="16" t="inlineStr">
        <is>
          <t>B13-T_sumidero</t>
        </is>
      </c>
      <c r="H3704" s="16" t="inlineStr">
        <is>
          <t>lhs</t>
        </is>
      </c>
      <c r="I3704" s="16" t="inlineStr">
        <is>
          <t>INVIABLE</t>
        </is>
      </c>
      <c r="J3704" s="16" t="inlineStr">
        <is>
          <t>INVIABLE</t>
        </is>
      </c>
      <c r="K3704" s="16" t="b">
        <v>1</v>
      </c>
      <c r="L3704" s="16" t="b">
        <v>0</v>
      </c>
      <c r="M3704" s="16" t="b">
        <v>1</v>
      </c>
      <c r="N3704" s="16" t="b">
        <v>0</v>
      </c>
      <c r="O3704" s="16" t="n">
        <v>485.996025240685</v>
      </c>
      <c r="P3704" s="16" t="n">
        <v>300.032917</v>
      </c>
      <c r="Q3704" s="16" t="n">
        <v>4982.754219215518</v>
      </c>
      <c r="R3704" s="16" t="n">
        <v>395.9395431108224</v>
      </c>
      <c r="S3704" s="16" t="n">
        <v>0.5210545220348993</v>
      </c>
      <c r="T3704" s="16" t="n">
        <v>0.4488509013388183</v>
      </c>
      <c r="U3704" s="16" t="n">
        <v>0.5517583806027153</v>
      </c>
      <c r="V3704" s="16" t="n">
        <v>0.7603981925844612</v>
      </c>
      <c r="W3704" s="16" t="n">
        <v>0.5261746088458126</v>
      </c>
      <c r="X3704" s="16" t="n">
        <v>0.4076098500226803</v>
      </c>
      <c r="Y3704" s="16" t="n">
        <v>300.032917</v>
      </c>
      <c r="Z3704" s="16" t="n">
        <v>-48.8574184046145</v>
      </c>
      <c r="AA3704" s="16" t="n">
        <v>-224.167678842367</v>
      </c>
      <c r="AB3704" s="16" t="n">
        <v>4586.814676104696</v>
      </c>
      <c r="AC3704" s="16" t="n">
        <v>12.58463395716163</v>
      </c>
      <c r="AD3704" s="16" t="inlineStr">
        <is>
          <t>O2,O3</t>
        </is>
      </c>
      <c r="AE3704" s="16" t="n"/>
    </row>
    <row r="3705">
      <c r="A3705" s="16" t="inlineStr">
        <is>
          <t>KF-M09-R0-T_sumidero-0091</t>
        </is>
      </c>
      <c r="B3705" s="16" t="inlineStr">
        <is>
          <t>4.3</t>
        </is>
      </c>
      <c r="C3705" s="16" t="inlineStr">
        <is>
          <t>4.3 T_sumidero</t>
        </is>
      </c>
      <c r="D3705" s="16" t="inlineStr">
        <is>
          <t>ronda 0</t>
        </is>
      </c>
      <c r="E3705" s="16" t="inlineStr">
        <is>
          <t>KF-M09</t>
        </is>
      </c>
      <c r="F3705" s="16" t="inlineStr">
        <is>
          <t>KF-M09-R0-T_sumidero</t>
        </is>
      </c>
      <c r="G3705" s="16" t="inlineStr">
        <is>
          <t>B13-T_sumidero</t>
        </is>
      </c>
      <c r="H3705" s="16" t="inlineStr">
        <is>
          <t>lhs</t>
        </is>
      </c>
      <c r="I3705" s="16" t="inlineStr">
        <is>
          <t>CORREGIBLE</t>
        </is>
      </c>
      <c r="J3705" s="16" t="inlineStr">
        <is>
          <t>CORREGIBLE</t>
        </is>
      </c>
      <c r="K3705" s="16" t="b">
        <v>1</v>
      </c>
      <c r="L3705" s="16" t="b">
        <v>0</v>
      </c>
      <c r="M3705" s="16" t="b">
        <v>1</v>
      </c>
      <c r="N3705" s="16" t="b">
        <v>0</v>
      </c>
      <c r="O3705" s="16" t="n">
        <v>444.4997240988192</v>
      </c>
      <c r="P3705" s="16" t="n">
        <v>300.032917</v>
      </c>
      <c r="Q3705" s="16" t="n">
        <v>3680.937496561593</v>
      </c>
      <c r="R3705" s="16" t="n">
        <v>1080.075164173492</v>
      </c>
      <c r="S3705" s="16" t="n">
        <v>0.7960900426570432</v>
      </c>
      <c r="T3705" s="16" t="n">
        <v>0.6638221976993282</v>
      </c>
      <c r="U3705" s="16" t="n">
        <v>0.636033536269869</v>
      </c>
      <c r="V3705" s="16" t="n">
        <v>0.7320442612415181</v>
      </c>
      <c r="W3705" s="16" t="n">
        <v>0.5512179248197371</v>
      </c>
      <c r="X3705" s="16" t="n">
        <v>0.7412541383135482</v>
      </c>
      <c r="Y3705" s="16" t="n">
        <v>300.032917</v>
      </c>
      <c r="Z3705" s="16" t="n">
        <v>5.96640813595938</v>
      </c>
      <c r="AA3705" s="16" t="n">
        <v>60.87290025353221</v>
      </c>
      <c r="AB3705" s="16" t="n">
        <v>2600.862332388101</v>
      </c>
      <c r="AC3705" s="16" t="n">
        <v>3.40803827239039</v>
      </c>
      <c r="AD3705" s="16" t="inlineStr">
        <is>
          <t>O2</t>
        </is>
      </c>
      <c r="AE3705" s="16" t="n"/>
    </row>
    <row r="3706">
      <c r="A3706" s="16" t="inlineStr">
        <is>
          <t>KF-M09-R0-T_sumidero-0092</t>
        </is>
      </c>
      <c r="B3706" s="16" t="inlineStr">
        <is>
          <t>4.3</t>
        </is>
      </c>
      <c r="C3706" s="16" t="inlineStr">
        <is>
          <t>4.3 T_sumidero</t>
        </is>
      </c>
      <c r="D3706" s="16" t="inlineStr">
        <is>
          <t>ronda 0</t>
        </is>
      </c>
      <c r="E3706" s="16" t="inlineStr">
        <is>
          <t>KF-M09</t>
        </is>
      </c>
      <c r="F3706" s="16" t="inlineStr">
        <is>
          <t>KF-M09-R0-T_sumidero</t>
        </is>
      </c>
      <c r="G3706" s="16" t="inlineStr">
        <is>
          <t>B13-T_sumidero</t>
        </is>
      </c>
      <c r="H3706" s="16" t="inlineStr">
        <is>
          <t>lhs</t>
        </is>
      </c>
      <c r="I3706" s="16" t="inlineStr">
        <is>
          <t>KALINA</t>
        </is>
      </c>
      <c r="J3706" s="16" t="inlineStr">
        <is>
          <t>KALINA</t>
        </is>
      </c>
      <c r="K3706" s="16" t="b">
        <v>1</v>
      </c>
      <c r="L3706" s="16" t="b">
        <v>1</v>
      </c>
      <c r="M3706" s="16" t="b">
        <v>0</v>
      </c>
      <c r="N3706" s="16" t="b">
        <v>0</v>
      </c>
      <c r="O3706" s="16" t="n">
        <v>420.4644217486701</v>
      </c>
      <c r="P3706" s="16" t="n">
        <v>300.032917</v>
      </c>
      <c r="Q3706" s="16" t="n">
        <v>3163.796494255878</v>
      </c>
      <c r="R3706" s="16" t="n">
        <v>1031.981183157102</v>
      </c>
      <c r="S3706" s="16" t="n">
        <v>0.5263634325724047</v>
      </c>
      <c r="T3706" s="16" t="n">
        <v>0.4056827784820851</v>
      </c>
      <c r="U3706" s="16" t="n">
        <v>0.6043163460289803</v>
      </c>
      <c r="V3706" s="16" t="n">
        <v>0.4089270131540954</v>
      </c>
      <c r="W3706" s="16" t="n">
        <v>0.4445480278128104</v>
      </c>
      <c r="X3706" s="16" t="n">
        <v>0.8318240971394808</v>
      </c>
      <c r="Y3706" s="16" t="n">
        <v>300.032917</v>
      </c>
      <c r="Z3706" s="16" t="n">
        <v>0.37596148172193</v>
      </c>
      <c r="AA3706" s="16" t="n">
        <v>1.171273596457024</v>
      </c>
      <c r="AB3706" s="16" t="n">
        <v>2131.815311098777</v>
      </c>
      <c r="AC3706" s="16" t="n">
        <v>3.065750176352047</v>
      </c>
      <c r="AD3706" s="16" t="n"/>
      <c r="AE3706" s="16" t="n"/>
    </row>
    <row r="3707">
      <c r="A3707" s="16" t="inlineStr">
        <is>
          <t>KF-M09-R0-T_sumidero-0093</t>
        </is>
      </c>
      <c r="B3707" s="16" t="inlineStr">
        <is>
          <t>4.3</t>
        </is>
      </c>
      <c r="C3707" s="16" t="inlineStr">
        <is>
          <t>4.3 T_sumidero</t>
        </is>
      </c>
      <c r="D3707" s="16" t="inlineStr">
        <is>
          <t>ronda 0</t>
        </is>
      </c>
      <c r="E3707" s="16" t="inlineStr">
        <is>
          <t>KF-M09</t>
        </is>
      </c>
      <c r="F3707" s="16" t="inlineStr">
        <is>
          <t>KF-M09-R0-T_sumidero</t>
        </is>
      </c>
      <c r="G3707" s="16" t="inlineStr">
        <is>
          <t>B13-T_sumidero</t>
        </is>
      </c>
      <c r="H3707" s="16" t="inlineStr">
        <is>
          <t>lhs</t>
        </is>
      </c>
      <c r="I3707" s="16" t="inlineStr">
        <is>
          <t>CORREGIBLE</t>
        </is>
      </c>
      <c r="J3707" s="16" t="inlineStr">
        <is>
          <t>CORREGIBLE</t>
        </is>
      </c>
      <c r="K3707" s="16" t="b">
        <v>1</v>
      </c>
      <c r="L3707" s="16" t="b">
        <v>0</v>
      </c>
      <c r="M3707" s="16" t="b">
        <v>1</v>
      </c>
      <c r="N3707" s="16" t="b">
        <v>0</v>
      </c>
      <c r="O3707" s="16" t="n">
        <v>488.5636827318336</v>
      </c>
      <c r="P3707" s="16" t="n">
        <v>300.032917</v>
      </c>
      <c r="Q3707" s="16" t="n">
        <v>3372.833349609547</v>
      </c>
      <c r="R3707" s="16" t="n">
        <v>1978.057842310073</v>
      </c>
      <c r="S3707" s="16" t="n">
        <v>0.6677408642794624</v>
      </c>
      <c r="T3707" s="16" t="n">
        <v>0.570796481096184</v>
      </c>
      <c r="U3707" s="16" t="n">
        <v>0.8368622093839294</v>
      </c>
      <c r="V3707" s="16" t="n">
        <v>0.5431960531441942</v>
      </c>
      <c r="W3707" s="16" t="n">
        <v>0.8682570852112759</v>
      </c>
      <c r="X3707" s="16" t="n">
        <v>0.6213807710252346</v>
      </c>
      <c r="Y3707" s="16" t="n">
        <v>300.032917</v>
      </c>
      <c r="Z3707" s="16" t="n">
        <v>2.02309487926931</v>
      </c>
      <c r="AA3707" s="16" t="n">
        <v>17.07956965982609</v>
      </c>
      <c r="AB3707" s="16" t="n">
        <v>1394.775507299474</v>
      </c>
      <c r="AC3707" s="16" t="n">
        <v>1.705123721594808</v>
      </c>
      <c r="AD3707" s="16" t="inlineStr">
        <is>
          <t>O2</t>
        </is>
      </c>
      <c r="AE3707" s="16" t="n"/>
    </row>
    <row r="3708">
      <c r="A3708" s="16" t="inlineStr">
        <is>
          <t>KF-M09-R0-T_sumidero-0094</t>
        </is>
      </c>
      <c r="B3708" s="16" t="inlineStr">
        <is>
          <t>4.3</t>
        </is>
      </c>
      <c r="C3708" s="16" t="inlineStr">
        <is>
          <t>4.3 T_sumidero</t>
        </is>
      </c>
      <c r="D3708" s="16" t="inlineStr">
        <is>
          <t>ronda 0</t>
        </is>
      </c>
      <c r="E3708" s="16" t="inlineStr">
        <is>
          <t>KF-M09</t>
        </is>
      </c>
      <c r="F3708" s="16" t="inlineStr">
        <is>
          <t>KF-M09-R0-T_sumidero</t>
        </is>
      </c>
      <c r="G3708" s="16" t="inlineStr">
        <is>
          <t>B13-T_sumidero</t>
        </is>
      </c>
      <c r="H3708" s="16" t="inlineStr">
        <is>
          <t>lhs</t>
        </is>
      </c>
      <c r="I3708" s="16" t="inlineStr">
        <is>
          <t>KALINA</t>
        </is>
      </c>
      <c r="J3708" s="16" t="inlineStr">
        <is>
          <t>KALINA</t>
        </is>
      </c>
      <c r="K3708" s="16" t="b">
        <v>1</v>
      </c>
      <c r="L3708" s="16" t="b">
        <v>0</v>
      </c>
      <c r="M3708" s="16" t="b">
        <v>1</v>
      </c>
      <c r="N3708" s="16" t="b">
        <v>0</v>
      </c>
      <c r="O3708" s="16" t="n">
        <v>503.499364272918</v>
      </c>
      <c r="P3708" s="16" t="n">
        <v>300.032917</v>
      </c>
      <c r="Q3708" s="16" t="n">
        <v>2861.528522363256</v>
      </c>
      <c r="R3708" s="16" t="n">
        <v>1489.373292129491</v>
      </c>
      <c r="S3708" s="16" t="n">
        <v>0.5077887287745245</v>
      </c>
      <c r="T3708" s="16" t="n">
        <v>0.7644997132611127</v>
      </c>
      <c r="U3708" s="16" t="n">
        <v>0.5737964039915997</v>
      </c>
      <c r="V3708" s="16" t="n">
        <v>0.7216762723801984</v>
      </c>
      <c r="W3708" s="16" t="n">
        <v>0.576959326494934</v>
      </c>
      <c r="X3708" s="16" t="n">
        <v>0.8628618926288791</v>
      </c>
      <c r="Y3708" s="16" t="n">
        <v>300.032917</v>
      </c>
      <c r="Z3708" s="16" t="n">
        <v>4.37910136385732</v>
      </c>
      <c r="AA3708" s="16" t="n">
        <v>66.72219293238892</v>
      </c>
      <c r="AB3708" s="16" t="n">
        <v>1372.155230233765</v>
      </c>
      <c r="AC3708" s="16" t="n">
        <v>1.921297056610886</v>
      </c>
      <c r="AD3708" s="16" t="n"/>
      <c r="AE3708" s="16" t="n"/>
    </row>
    <row r="3709">
      <c r="A3709" s="16" t="inlineStr">
        <is>
          <t>KF-M09-R0-T_sumidero-0095</t>
        </is>
      </c>
      <c r="B3709" s="16" t="inlineStr">
        <is>
          <t>4.3</t>
        </is>
      </c>
      <c r="C3709" s="16" t="inlineStr">
        <is>
          <t>4.3 T_sumidero</t>
        </is>
      </c>
      <c r="D3709" s="16" t="inlineStr">
        <is>
          <t>ronda 0</t>
        </is>
      </c>
      <c r="E3709" s="16" t="inlineStr">
        <is>
          <t>KF-M09</t>
        </is>
      </c>
      <c r="F3709" s="16" t="inlineStr">
        <is>
          <t>KF-M09-R0-T_sumidero</t>
        </is>
      </c>
      <c r="G3709" s="16" t="inlineStr">
        <is>
          <t>B13-T_sumidero</t>
        </is>
      </c>
      <c r="H3709" s="16" t="inlineStr">
        <is>
          <t>lhs</t>
        </is>
      </c>
      <c r="I3709" s="16" t="inlineStr">
        <is>
          <t>INVIABLE</t>
        </is>
      </c>
      <c r="J3709" s="16" t="inlineStr">
        <is>
          <t>INVIABLE</t>
        </is>
      </c>
      <c r="K3709" s="16" t="b">
        <v>1</v>
      </c>
      <c r="L3709" s="16" t="b">
        <v>0</v>
      </c>
      <c r="M3709" s="16" t="b">
        <v>0</v>
      </c>
      <c r="N3709" s="16" t="b">
        <v>0</v>
      </c>
      <c r="O3709" s="16" t="n">
        <v>461.4799923513174</v>
      </c>
      <c r="P3709" s="16" t="n">
        <v>300.032917</v>
      </c>
      <c r="Q3709" s="16" t="n">
        <v>2140.283704412773</v>
      </c>
      <c r="R3709" s="16" t="n">
        <v>1014.752791656395</v>
      </c>
      <c r="S3709" s="16" t="n">
        <v>0.7080039992049141</v>
      </c>
      <c r="T3709" s="16" t="n">
        <v>0.4305735117259051</v>
      </c>
      <c r="U3709" s="16" t="n">
        <v>0.5904230556867909</v>
      </c>
      <c r="V3709" s="16" t="n">
        <v>0.5141650185861449</v>
      </c>
      <c r="W3709" s="16" t="n">
        <v>0.7630999998161442</v>
      </c>
      <c r="X3709" s="16" t="n">
        <v>0.5371893201395891</v>
      </c>
      <c r="Y3709" s="16" t="n">
        <v>300.032917</v>
      </c>
      <c r="Z3709" s="16" t="n">
        <v>-4.445994242643899</v>
      </c>
      <c r="AA3709" s="16" t="n">
        <v>-30.2977554789931</v>
      </c>
      <c r="AB3709" s="16" t="n">
        <v>1125.530912756378</v>
      </c>
      <c r="AC3709" s="16" t="n">
        <v>2.109167594325272</v>
      </c>
      <c r="AD3709" s="16" t="inlineStr">
        <is>
          <t>O2,O3</t>
        </is>
      </c>
      <c r="AE3709" s="16" t="n"/>
    </row>
    <row r="3710">
      <c r="A3710" s="16" t="inlineStr">
        <is>
          <t>KF-M09-R0-T_sumidero-0096</t>
        </is>
      </c>
      <c r="B3710" s="16" t="inlineStr">
        <is>
          <t>4.3</t>
        </is>
      </c>
      <c r="C3710" s="16" t="inlineStr">
        <is>
          <t>4.3 T_sumidero</t>
        </is>
      </c>
      <c r="D3710" s="16" t="inlineStr">
        <is>
          <t>ronda 0</t>
        </is>
      </c>
      <c r="E3710" s="16" t="inlineStr">
        <is>
          <t>KF-M09</t>
        </is>
      </c>
      <c r="F3710" s="16" t="inlineStr">
        <is>
          <t>KF-M09-R0-T_sumidero</t>
        </is>
      </c>
      <c r="G3710" s="16" t="inlineStr">
        <is>
          <t>B13-T_sumidero</t>
        </is>
      </c>
      <c r="H3710" s="16" t="inlineStr">
        <is>
          <t>lhs</t>
        </is>
      </c>
      <c r="I3710" s="16" t="inlineStr">
        <is>
          <t>CORREGIBLE</t>
        </is>
      </c>
      <c r="J3710" s="16" t="inlineStr">
        <is>
          <t>CORREGIBLE</t>
        </is>
      </c>
      <c r="K3710" s="16" t="b">
        <v>1</v>
      </c>
      <c r="L3710" s="16" t="b">
        <v>0</v>
      </c>
      <c r="M3710" s="16" t="b">
        <v>0</v>
      </c>
      <c r="N3710" s="16" t="b">
        <v>0</v>
      </c>
      <c r="O3710" s="16" t="n">
        <v>501.87613906425</v>
      </c>
      <c r="P3710" s="16" t="n">
        <v>300.032917</v>
      </c>
      <c r="Q3710" s="16" t="n">
        <v>3308.080370751128</v>
      </c>
      <c r="R3710" s="16" t="n">
        <v>1689.546936947769</v>
      </c>
      <c r="S3710" s="16" t="n">
        <v>0.7995034293280915</v>
      </c>
      <c r="T3710" s="16" t="n">
        <v>0.6555245496529177</v>
      </c>
      <c r="U3710" s="16" t="n">
        <v>0.8637620325538016</v>
      </c>
      <c r="V3710" s="16" t="n">
        <v>0.4936994873312071</v>
      </c>
      <c r="W3710" s="16" t="n">
        <v>0.6671683189720201</v>
      </c>
      <c r="X3710" s="16" t="n">
        <v>0.4142586131836852</v>
      </c>
      <c r="Y3710" s="16" t="n">
        <v>300.032917</v>
      </c>
      <c r="Z3710" s="16" t="n">
        <v>0.17751359342558</v>
      </c>
      <c r="AA3710" s="16" t="n">
        <v>0.984255374219572</v>
      </c>
      <c r="AB3710" s="16" t="n">
        <v>1618.533433803359</v>
      </c>
      <c r="AC3710" s="16" t="n">
        <v>1.9579689077637</v>
      </c>
      <c r="AD3710" s="16" t="inlineStr">
        <is>
          <t>O2</t>
        </is>
      </c>
      <c r="AE3710" s="16" t="n"/>
    </row>
    <row r="3711">
      <c r="A3711" s="16" t="inlineStr">
        <is>
          <t>KF-M09-R0-T_sumidero-0097</t>
        </is>
      </c>
      <c r="B3711" s="16" t="inlineStr">
        <is>
          <t>4.3</t>
        </is>
      </c>
      <c r="C3711" s="16" t="inlineStr">
        <is>
          <t>4.3 T_sumidero</t>
        </is>
      </c>
      <c r="D3711" s="16" t="inlineStr">
        <is>
          <t>ronda 0</t>
        </is>
      </c>
      <c r="E3711" s="16" t="inlineStr">
        <is>
          <t>KF-M09</t>
        </is>
      </c>
      <c r="F3711" s="16" t="inlineStr">
        <is>
          <t>KF-M09-R0-T_sumidero</t>
        </is>
      </c>
      <c r="G3711" s="16" t="inlineStr">
        <is>
          <t>B13-T_sumidero</t>
        </is>
      </c>
      <c r="H3711" s="16" t="inlineStr">
        <is>
          <t>lhs</t>
        </is>
      </c>
      <c r="I3711" s="16" t="inlineStr">
        <is>
          <t>NO_CONVERGIO</t>
        </is>
      </c>
      <c r="J3711" s="16" t="inlineStr">
        <is>
          <t>NO_CONVERGIO</t>
        </is>
      </c>
      <c r="K3711" s="16" t="b">
        <v>0</v>
      </c>
      <c r="L3711" s="16" t="b">
        <v>0</v>
      </c>
      <c r="M3711" s="16" t="b">
        <v>0</v>
      </c>
      <c r="N3711" s="16" t="b">
        <v>0</v>
      </c>
      <c r="O3711" s="16" t="n">
        <v>380.1511720205765</v>
      </c>
      <c r="P3711" s="16" t="n">
        <v>300.032917</v>
      </c>
      <c r="Q3711" s="16" t="n">
        <v>4045.936587590028</v>
      </c>
      <c r="R3711" s="16" t="n">
        <v>1062.208580356526</v>
      </c>
      <c r="S3711" s="16" t="n">
        <v>0.5610320203266257</v>
      </c>
      <c r="T3711" s="16" t="n">
        <v>0.8663775734036326</v>
      </c>
      <c r="U3711" s="16" t="n">
        <v>0.6552454332387144</v>
      </c>
      <c r="V3711" s="16" t="n">
        <v>0.5499832303822965</v>
      </c>
      <c r="W3711" s="16" t="n">
        <v>0.7305842543437404</v>
      </c>
      <c r="X3711" s="16" t="n">
        <v>0.8737305679381704</v>
      </c>
      <c r="Y3711" s="16" t="n">
        <v>300.032917</v>
      </c>
      <c r="Z3711" s="16" t="n"/>
      <c r="AA3711" s="16" t="n"/>
      <c r="AB3711" s="16" t="n">
        <v>2983.728007233502</v>
      </c>
      <c r="AC3711" s="16" t="n">
        <v>3.808985035907002</v>
      </c>
      <c r="AD3711" s="16" t="n"/>
      <c r="AE3711" s="16" t="n"/>
    </row>
    <row r="3712">
      <c r="A3712" s="16" t="inlineStr">
        <is>
          <t>KF-M09-R0-T_sumidero-0098</t>
        </is>
      </c>
      <c r="B3712" s="16" t="inlineStr">
        <is>
          <t>4.3</t>
        </is>
      </c>
      <c r="C3712" s="16" t="inlineStr">
        <is>
          <t>4.3 T_sumidero</t>
        </is>
      </c>
      <c r="D3712" s="16" t="inlineStr">
        <is>
          <t>ronda 0</t>
        </is>
      </c>
      <c r="E3712" s="16" t="inlineStr">
        <is>
          <t>KF-M09</t>
        </is>
      </c>
      <c r="F3712" s="16" t="inlineStr">
        <is>
          <t>KF-M09-R0-T_sumidero</t>
        </is>
      </c>
      <c r="G3712" s="16" t="inlineStr">
        <is>
          <t>B13-T_sumidero</t>
        </is>
      </c>
      <c r="H3712" s="16" t="inlineStr">
        <is>
          <t>lhs</t>
        </is>
      </c>
      <c r="I3712" s="16" t="inlineStr">
        <is>
          <t>KALINA</t>
        </is>
      </c>
      <c r="J3712" s="16" t="inlineStr">
        <is>
          <t>KALINA</t>
        </is>
      </c>
      <c r="K3712" s="16" t="b">
        <v>1</v>
      </c>
      <c r="L3712" s="16" t="b">
        <v>1</v>
      </c>
      <c r="M3712" s="16" t="b">
        <v>0</v>
      </c>
      <c r="N3712" s="16" t="b">
        <v>0</v>
      </c>
      <c r="O3712" s="16" t="n">
        <v>424.9624490610992</v>
      </c>
      <c r="P3712" s="16" t="n">
        <v>300.032917</v>
      </c>
      <c r="Q3712" s="16" t="n">
        <v>4608.283404463262</v>
      </c>
      <c r="R3712" s="16" t="n">
        <v>1642.780498256107</v>
      </c>
      <c r="S3712" s="16" t="n">
        <v>0.603825369211761</v>
      </c>
      <c r="T3712" s="16" t="n">
        <v>0.7374447856533746</v>
      </c>
      <c r="U3712" s="16" t="n">
        <v>0.5865918403531368</v>
      </c>
      <c r="V3712" s="16" t="n">
        <v>0.5979449702551931</v>
      </c>
      <c r="W3712" s="16" t="n">
        <v>0.6015991926144164</v>
      </c>
      <c r="X3712" s="16" t="n">
        <v>0.7249722637533568</v>
      </c>
      <c r="Y3712" s="16" t="n">
        <v>300.032917</v>
      </c>
      <c r="Z3712" s="16" t="n">
        <v>4.127566811490159</v>
      </c>
      <c r="AA3712" s="16" t="n">
        <v>16.23361808392979</v>
      </c>
      <c r="AB3712" s="16" t="n">
        <v>2965.502906207156</v>
      </c>
      <c r="AC3712" s="16" t="n">
        <v>2.805172942675656</v>
      </c>
      <c r="AD3712" s="16" t="n"/>
      <c r="AE3712" s="16" t="n"/>
    </row>
    <row r="3713">
      <c r="A3713" s="16" t="inlineStr">
        <is>
          <t>KF-M09-R0-x_b-0000</t>
        </is>
      </c>
      <c r="B3713" s="16" t="inlineStr">
        <is>
          <t>4.3</t>
        </is>
      </c>
      <c r="C3713" s="16" t="inlineStr">
        <is>
          <t>4.3 x_b</t>
        </is>
      </c>
      <c r="D3713" s="16" t="inlineStr">
        <is>
          <t>ronda 0</t>
        </is>
      </c>
      <c r="E3713" s="16" t="inlineStr">
        <is>
          <t>KF-M09</t>
        </is>
      </c>
      <c r="F3713" s="16" t="inlineStr">
        <is>
          <t>KF-M09-R0-x_b</t>
        </is>
      </c>
      <c r="G3713" s="16" t="inlineStr">
        <is>
          <t>B13-x_b</t>
        </is>
      </c>
      <c r="H3713" s="16" t="inlineStr">
        <is>
          <t>lhs</t>
        </is>
      </c>
      <c r="I3713" s="16" t="inlineStr">
        <is>
          <t>CORREGIBLE</t>
        </is>
      </c>
      <c r="J3713" s="16" t="inlineStr">
        <is>
          <t>CORREGIBLE</t>
        </is>
      </c>
      <c r="K3713" s="16" t="b">
        <v>1</v>
      </c>
      <c r="L3713" s="16" t="b">
        <v>0</v>
      </c>
      <c r="M3713" s="16" t="b">
        <v>0</v>
      </c>
      <c r="N3713" s="16" t="b">
        <v>0</v>
      </c>
      <c r="O3713" s="16" t="n">
        <v>440.5047796518691</v>
      </c>
      <c r="P3713" s="16" t="n">
        <v>298.6029046205308</v>
      </c>
      <c r="Q3713" s="16" t="n">
        <v>3196.520995645525</v>
      </c>
      <c r="R3713" s="16" t="n">
        <v>353.2079271184506</v>
      </c>
      <c r="S3713" s="16" t="n">
        <v>0.5</v>
      </c>
      <c r="T3713" s="16" t="n">
        <v>0.8422219048240374</v>
      </c>
      <c r="U3713" s="16" t="n">
        <v>0.7002630962275658</v>
      </c>
      <c r="V3713" s="16" t="n">
        <v>0.644383047270397</v>
      </c>
      <c r="W3713" s="16" t="n">
        <v>0.6049833121351639</v>
      </c>
      <c r="X3713" s="16" t="n">
        <v>0.9415964417266766</v>
      </c>
      <c r="Y3713" s="16" t="n">
        <v>298.6029046205308</v>
      </c>
      <c r="Z3713" s="16" t="n">
        <v>11.68107914535161</v>
      </c>
      <c r="AA3713" s="16" t="n">
        <v>74.16487442692784</v>
      </c>
      <c r="AB3713" s="16" t="n">
        <v>2843.313068527074</v>
      </c>
      <c r="AC3713" s="16" t="n">
        <v>9.049969579458365</v>
      </c>
      <c r="AD3713" s="16" t="inlineStr">
        <is>
          <t>O2</t>
        </is>
      </c>
      <c r="AE3713" s="16" t="n"/>
    </row>
    <row r="3714">
      <c r="A3714" s="16" t="inlineStr">
        <is>
          <t>KF-M09-R0-T_sumidero-0099</t>
        </is>
      </c>
      <c r="B3714" s="16" t="inlineStr">
        <is>
          <t>4.3</t>
        </is>
      </c>
      <c r="C3714" s="16" t="inlineStr">
        <is>
          <t>4.3 T_sumidero</t>
        </is>
      </c>
      <c r="D3714" s="16" t="inlineStr">
        <is>
          <t>ronda 0</t>
        </is>
      </c>
      <c r="E3714" s="16" t="inlineStr">
        <is>
          <t>KF-M09</t>
        </is>
      </c>
      <c r="F3714" s="16" t="inlineStr">
        <is>
          <t>KF-M09-R0-T_sumidero</t>
        </is>
      </c>
      <c r="G3714" s="16" t="inlineStr">
        <is>
          <t>B13-T_sumidero</t>
        </is>
      </c>
      <c r="H3714" s="16" t="inlineStr">
        <is>
          <t>lhs</t>
        </is>
      </c>
      <c r="I3714" s="16" t="inlineStr">
        <is>
          <t>CORREGIBLE</t>
        </is>
      </c>
      <c r="J3714" s="16" t="inlineStr">
        <is>
          <t>CORREGIBLE</t>
        </is>
      </c>
      <c r="K3714" s="16" t="b">
        <v>1</v>
      </c>
      <c r="L3714" s="16" t="b">
        <v>0</v>
      </c>
      <c r="M3714" s="16" t="b">
        <v>1</v>
      </c>
      <c r="N3714" s="16" t="b">
        <v>0</v>
      </c>
      <c r="O3714" s="16" t="n">
        <v>501.1200792817466</v>
      </c>
      <c r="P3714" s="16" t="n">
        <v>300.032917</v>
      </c>
      <c r="Q3714" s="16" t="n">
        <v>3596.463738311157</v>
      </c>
      <c r="R3714" s="16" t="n">
        <v>1888.746198997908</v>
      </c>
      <c r="S3714" s="16" t="n">
        <v>0.5903117082046758</v>
      </c>
      <c r="T3714" s="16" t="n">
        <v>0.6841213859703352</v>
      </c>
      <c r="U3714" s="16" t="n">
        <v>0.7899374027547035</v>
      </c>
      <c r="V3714" s="16" t="n">
        <v>0.8261026176656057</v>
      </c>
      <c r="W3714" s="16" t="n">
        <v>0.6209852919042048</v>
      </c>
      <c r="X3714" s="16" t="n">
        <v>0.6845522884229887</v>
      </c>
      <c r="Y3714" s="16" t="n">
        <v>300.032917</v>
      </c>
      <c r="Z3714" s="16" t="n">
        <v>3.32429572947353</v>
      </c>
      <c r="AA3714" s="16" t="n">
        <v>44.98673034995282</v>
      </c>
      <c r="AB3714" s="16" t="n">
        <v>1707.71753931325</v>
      </c>
      <c r="AC3714" s="16" t="n">
        <v>1.904154057447896</v>
      </c>
      <c r="AD3714" s="16" t="inlineStr">
        <is>
          <t>O2</t>
        </is>
      </c>
      <c r="AE3714" s="16" t="n"/>
    </row>
    <row r="3715">
      <c r="A3715" s="16" t="inlineStr">
        <is>
          <t>KF-M09-R0-x_b-0001</t>
        </is>
      </c>
      <c r="B3715" s="16" t="inlineStr">
        <is>
          <t>4.3</t>
        </is>
      </c>
      <c r="C3715" s="16" t="inlineStr">
        <is>
          <t>4.3 x_b</t>
        </is>
      </c>
      <c r="D3715" s="16" t="inlineStr">
        <is>
          <t>ronda 0</t>
        </is>
      </c>
      <c r="E3715" s="16" t="inlineStr">
        <is>
          <t>KF-M09</t>
        </is>
      </c>
      <c r="F3715" s="16" t="inlineStr">
        <is>
          <t>KF-M09-R0-x_b</t>
        </is>
      </c>
      <c r="G3715" s="16" t="inlineStr">
        <is>
          <t>B13-x_b</t>
        </is>
      </c>
      <c r="H3715" s="16" t="inlineStr">
        <is>
          <t>lhs</t>
        </is>
      </c>
      <c r="I3715" s="16" t="inlineStr">
        <is>
          <t>INVIABLE</t>
        </is>
      </c>
      <c r="J3715" s="16" t="inlineStr">
        <is>
          <t>INVIABLE</t>
        </is>
      </c>
      <c r="K3715" s="16" t="b">
        <v>1</v>
      </c>
      <c r="L3715" s="16" t="b">
        <v>0</v>
      </c>
      <c r="M3715" s="16" t="b">
        <v>1</v>
      </c>
      <c r="N3715" s="16" t="b">
        <v>0</v>
      </c>
      <c r="O3715" s="16" t="n">
        <v>462.7596349411909</v>
      </c>
      <c r="P3715" s="16" t="n">
        <v>294.2209929319906</v>
      </c>
      <c r="Q3715" s="16" t="n">
        <v>3681.472460525695</v>
      </c>
      <c r="R3715" s="16" t="n">
        <v>1832.690745292293</v>
      </c>
      <c r="S3715" s="16" t="n">
        <v>0.5</v>
      </c>
      <c r="T3715" s="16" t="n">
        <v>0.5389542993285883</v>
      </c>
      <c r="U3715" s="16" t="n">
        <v>0.4150010052100949</v>
      </c>
      <c r="V3715" s="16" t="n">
        <v>0.9175762827486488</v>
      </c>
      <c r="W3715" s="16" t="n">
        <v>0.4296786078132785</v>
      </c>
      <c r="X3715" s="16" t="n">
        <v>0.5393842226328328</v>
      </c>
      <c r="Y3715" s="16" t="n">
        <v>294.2209929319906</v>
      </c>
      <c r="Z3715" s="16" t="n">
        <v>-1.75188630258684</v>
      </c>
      <c r="AA3715" s="16" t="n">
        <v>-13.92633911111992</v>
      </c>
      <c r="AB3715" s="16" t="n">
        <v>1848.781715233402</v>
      </c>
      <c r="AC3715" s="16" t="n">
        <v>2.008779970097215</v>
      </c>
      <c r="AD3715" s="16" t="inlineStr">
        <is>
          <t>O2,O3</t>
        </is>
      </c>
      <c r="AE3715" s="16" t="n"/>
    </row>
    <row r="3716">
      <c r="A3716" s="16" t="inlineStr">
        <is>
          <t>KF-M09-R0-x_b-0002</t>
        </is>
      </c>
      <c r="B3716" s="16" t="inlineStr">
        <is>
          <t>4.3</t>
        </is>
      </c>
      <c r="C3716" s="16" t="inlineStr">
        <is>
          <t>4.3 x_b</t>
        </is>
      </c>
      <c r="D3716" s="16" t="inlineStr">
        <is>
          <t>ronda 0</t>
        </is>
      </c>
      <c r="E3716" s="16" t="inlineStr">
        <is>
          <t>KF-M09</t>
        </is>
      </c>
      <c r="F3716" s="16" t="inlineStr">
        <is>
          <t>KF-M09-R0-x_b</t>
        </is>
      </c>
      <c r="G3716" s="16" t="inlineStr">
        <is>
          <t>B13-x_b</t>
        </is>
      </c>
      <c r="H3716" s="16" t="inlineStr">
        <is>
          <t>lhs</t>
        </is>
      </c>
      <c r="I3716" s="16" t="inlineStr">
        <is>
          <t>CORREGIBLE</t>
        </is>
      </c>
      <c r="J3716" s="16" t="inlineStr">
        <is>
          <t>CORREGIBLE</t>
        </is>
      </c>
      <c r="K3716" s="16" t="b">
        <v>1</v>
      </c>
      <c r="L3716" s="16" t="b">
        <v>0</v>
      </c>
      <c r="M3716" s="16" t="b">
        <v>1</v>
      </c>
      <c r="N3716" s="16" t="b">
        <v>0</v>
      </c>
      <c r="O3716" s="16" t="n">
        <v>478.9073833876174</v>
      </c>
      <c r="P3716" s="16" t="n">
        <v>299.1057894381797</v>
      </c>
      <c r="Q3716" s="16" t="n">
        <v>2930.254259837264</v>
      </c>
      <c r="R3716" s="16" t="n">
        <v>1381.7818794498</v>
      </c>
      <c r="S3716" s="16" t="n">
        <v>0.5</v>
      </c>
      <c r="T3716" s="16" t="n">
        <v>0.8905685459894275</v>
      </c>
      <c r="U3716" s="16" t="n">
        <v>0.6943967433039278</v>
      </c>
      <c r="V3716" s="16" t="n">
        <v>0.6708453249381463</v>
      </c>
      <c r="W3716" s="16" t="n">
        <v>0.4899682039430168</v>
      </c>
      <c r="X3716" s="16" t="n">
        <v>0.6463792520519436</v>
      </c>
      <c r="Y3716" s="16" t="n">
        <v>299.1057894381797</v>
      </c>
      <c r="Z3716" s="16" t="n">
        <v>5.114900813211451</v>
      </c>
      <c r="AA3716" s="16" t="n">
        <v>58.21179615696597</v>
      </c>
      <c r="AB3716" s="16" t="n">
        <v>1548.472380387465</v>
      </c>
      <c r="AC3716" s="16" t="n">
        <v>2.120634452815402</v>
      </c>
      <c r="AD3716" s="16" t="inlineStr">
        <is>
          <t>O2</t>
        </is>
      </c>
      <c r="AE3716" s="16" t="n"/>
    </row>
    <row r="3717">
      <c r="A3717" s="16" t="inlineStr">
        <is>
          <t>KF-M09-R0-x_b-0003</t>
        </is>
      </c>
      <c r="B3717" s="16" t="inlineStr">
        <is>
          <t>4.3</t>
        </is>
      </c>
      <c r="C3717" s="16" t="inlineStr">
        <is>
          <t>4.3 x_b</t>
        </is>
      </c>
      <c r="D3717" s="16" t="inlineStr">
        <is>
          <t>ronda 0</t>
        </is>
      </c>
      <c r="E3717" s="16" t="inlineStr">
        <is>
          <t>KF-M09</t>
        </is>
      </c>
      <c r="F3717" s="16" t="inlineStr">
        <is>
          <t>KF-M09-R0-x_b</t>
        </is>
      </c>
      <c r="G3717" s="16" t="inlineStr">
        <is>
          <t>B13-x_b</t>
        </is>
      </c>
      <c r="H3717" s="16" t="inlineStr">
        <is>
          <t>lhs</t>
        </is>
      </c>
      <c r="I3717" s="16" t="inlineStr">
        <is>
          <t>KALINA</t>
        </is>
      </c>
      <c r="J3717" s="16" t="inlineStr">
        <is>
          <t>KALINA</t>
        </is>
      </c>
      <c r="K3717" s="16" t="b">
        <v>1</v>
      </c>
      <c r="L3717" s="16" t="b">
        <v>1</v>
      </c>
      <c r="M3717" s="16" t="b">
        <v>0</v>
      </c>
      <c r="N3717" s="16" t="b">
        <v>0</v>
      </c>
      <c r="O3717" s="16" t="n">
        <v>387.8026274252721</v>
      </c>
      <c r="P3717" s="16" t="n">
        <v>281.1901528198947</v>
      </c>
      <c r="Q3717" s="16" t="n">
        <v>2739.555769119961</v>
      </c>
      <c r="R3717" s="16" t="n">
        <v>1998.763234628464</v>
      </c>
      <c r="S3717" s="16" t="n">
        <v>0.5</v>
      </c>
      <c r="T3717" s="16" t="n">
        <v>0.9153162879172582</v>
      </c>
      <c r="U3717" s="16" t="n">
        <v>0.9026231701417992</v>
      </c>
      <c r="V3717" s="16" t="n">
        <v>0.8361353584794234</v>
      </c>
      <c r="W3717" s="16" t="n">
        <v>0.7835055257330941</v>
      </c>
      <c r="X3717" s="16" t="n">
        <v>0.6553615794106593</v>
      </c>
      <c r="Y3717" s="16" t="n">
        <v>281.1901528198947</v>
      </c>
      <c r="Z3717" s="16" t="n">
        <v>0.90196193932785</v>
      </c>
      <c r="AA3717" s="16" t="n">
        <v>1.545617773798606</v>
      </c>
      <c r="AB3717" s="16" t="n">
        <v>740.7925344914966</v>
      </c>
      <c r="AC3717" s="16" t="n">
        <v>1.370625455610403</v>
      </c>
      <c r="AD3717" s="16" t="n"/>
      <c r="AE3717" s="16" t="n"/>
    </row>
    <row r="3718">
      <c r="A3718" s="16" t="inlineStr">
        <is>
          <t>KF-M09-R0-x_b-0004</t>
        </is>
      </c>
      <c r="B3718" s="16" t="inlineStr">
        <is>
          <t>4.3</t>
        </is>
      </c>
      <c r="C3718" s="16" t="inlineStr">
        <is>
          <t>4.3 x_b</t>
        </is>
      </c>
      <c r="D3718" s="16" t="inlineStr">
        <is>
          <t>ronda 0</t>
        </is>
      </c>
      <c r="E3718" s="16" t="inlineStr">
        <is>
          <t>KF-M09</t>
        </is>
      </c>
      <c r="F3718" s="16" t="inlineStr">
        <is>
          <t>KF-M09-R0-x_b</t>
        </is>
      </c>
      <c r="G3718" s="16" t="inlineStr">
        <is>
          <t>B13-x_b</t>
        </is>
      </c>
      <c r="H3718" s="16" t="inlineStr">
        <is>
          <t>lhs</t>
        </is>
      </c>
      <c r="I3718" s="16" t="inlineStr">
        <is>
          <t>CORREGIBLE</t>
        </is>
      </c>
      <c r="J3718" s="16" t="inlineStr">
        <is>
          <t>CORREGIBLE</t>
        </is>
      </c>
      <c r="K3718" s="16" t="b">
        <v>1</v>
      </c>
      <c r="L3718" s="16" t="b">
        <v>0</v>
      </c>
      <c r="M3718" s="16" t="b">
        <v>0</v>
      </c>
      <c r="N3718" s="16" t="b">
        <v>0</v>
      </c>
      <c r="O3718" s="16" t="n">
        <v>423.1295881734208</v>
      </c>
      <c r="P3718" s="16" t="n">
        <v>288.6146987894248</v>
      </c>
      <c r="Q3718" s="16" t="n">
        <v>2486.00385462635</v>
      </c>
      <c r="R3718" s="16" t="n">
        <v>472.3157449925876</v>
      </c>
      <c r="S3718" s="16" t="n">
        <v>0.5</v>
      </c>
      <c r="T3718" s="16" t="n">
        <v>0.6778534354998844</v>
      </c>
      <c r="U3718" s="16" t="n">
        <v>0.7196983715131807</v>
      </c>
      <c r="V3718" s="16" t="n">
        <v>0.548642361279814</v>
      </c>
      <c r="W3718" s="16" t="n">
        <v>0.7534024446523916</v>
      </c>
      <c r="X3718" s="16" t="n">
        <v>0.5508108659858089</v>
      </c>
      <c r="Y3718" s="16" t="n">
        <v>288.6146987894248</v>
      </c>
      <c r="Z3718" s="16" t="n">
        <v>5.965918246280911</v>
      </c>
      <c r="AA3718" s="16" t="n">
        <v>23.3622061183646</v>
      </c>
      <c r="AB3718" s="16" t="n">
        <v>2013.688109633763</v>
      </c>
      <c r="AC3718" s="16" t="n">
        <v>5.263436336777986</v>
      </c>
      <c r="AD3718" s="16" t="inlineStr">
        <is>
          <t>O2</t>
        </is>
      </c>
      <c r="AE3718" s="16" t="n"/>
    </row>
    <row r="3719">
      <c r="A3719" s="16" t="inlineStr">
        <is>
          <t>KF-M09-R0-x_b-0005</t>
        </is>
      </c>
      <c r="B3719" s="16" t="inlineStr">
        <is>
          <t>4.3</t>
        </is>
      </c>
      <c r="C3719" s="16" t="inlineStr">
        <is>
          <t>4.3 x_b</t>
        </is>
      </c>
      <c r="D3719" s="16" t="inlineStr">
        <is>
          <t>ronda 0</t>
        </is>
      </c>
      <c r="E3719" s="16" t="inlineStr">
        <is>
          <t>KF-M09</t>
        </is>
      </c>
      <c r="F3719" s="16" t="inlineStr">
        <is>
          <t>KF-M09-R0-x_b</t>
        </is>
      </c>
      <c r="G3719" s="16" t="inlineStr">
        <is>
          <t>B13-x_b</t>
        </is>
      </c>
      <c r="H3719" s="16" t="inlineStr">
        <is>
          <t>lhs</t>
        </is>
      </c>
      <c r="I3719" s="16" t="inlineStr">
        <is>
          <t>KALINA</t>
        </is>
      </c>
      <c r="J3719" s="16" t="inlineStr">
        <is>
          <t>KALINA</t>
        </is>
      </c>
      <c r="K3719" s="16" t="b">
        <v>1</v>
      </c>
      <c r="L3719" s="16" t="b">
        <v>1</v>
      </c>
      <c r="M3719" s="16" t="b">
        <v>0</v>
      </c>
      <c r="N3719" s="16" t="b">
        <v>0</v>
      </c>
      <c r="O3719" s="16" t="n">
        <v>405.3583559556568</v>
      </c>
      <c r="P3719" s="16" t="n">
        <v>282.5458547891413</v>
      </c>
      <c r="Q3719" s="16" t="n">
        <v>2609.975039951776</v>
      </c>
      <c r="R3719" s="16" t="n">
        <v>1737.227288078959</v>
      </c>
      <c r="S3719" s="16" t="n">
        <v>0.5</v>
      </c>
      <c r="T3719" s="16" t="n">
        <v>0.6618300061025646</v>
      </c>
      <c r="U3719" s="16" t="n">
        <v>0.8921232394586476</v>
      </c>
      <c r="V3719" s="16" t="n">
        <v>0.8436653536570301</v>
      </c>
      <c r="W3719" s="16" t="n">
        <v>0.6181747431934153</v>
      </c>
      <c r="X3719" s="16" t="n">
        <v>0.8367979998619637</v>
      </c>
      <c r="Y3719" s="16" t="n">
        <v>282.5458547891413</v>
      </c>
      <c r="Z3719" s="16" t="n">
        <v>1.61473653107008</v>
      </c>
      <c r="AA3719" s="16" t="n">
        <v>7.675316243617338</v>
      </c>
      <c r="AB3719" s="16" t="n">
        <v>872.7477518728176</v>
      </c>
      <c r="AC3719" s="16" t="n">
        <v>1.502379716149814</v>
      </c>
      <c r="AD3719" s="16" t="n"/>
      <c r="AE3719" s="16" t="n"/>
    </row>
    <row r="3720">
      <c r="A3720" s="16" t="inlineStr">
        <is>
          <t>KF-M09-R0-x_b-0006</t>
        </is>
      </c>
      <c r="B3720" s="16" t="inlineStr">
        <is>
          <t>4.3</t>
        </is>
      </c>
      <c r="C3720" s="16" t="inlineStr">
        <is>
          <t>4.3 x_b</t>
        </is>
      </c>
      <c r="D3720" s="16" t="inlineStr">
        <is>
          <t>ronda 0</t>
        </is>
      </c>
      <c r="E3720" s="16" t="inlineStr">
        <is>
          <t>KF-M09</t>
        </is>
      </c>
      <c r="F3720" s="16" t="inlineStr">
        <is>
          <t>KF-M09-R0-x_b</t>
        </is>
      </c>
      <c r="G3720" s="16" t="inlineStr">
        <is>
          <t>B13-x_b</t>
        </is>
      </c>
      <c r="H3720" s="16" t="inlineStr">
        <is>
          <t>lhs</t>
        </is>
      </c>
      <c r="I3720" s="16" t="inlineStr">
        <is>
          <t>INVIABLE</t>
        </is>
      </c>
      <c r="J3720" s="16" t="inlineStr">
        <is>
          <t>INVIABLE</t>
        </is>
      </c>
      <c r="K3720" s="16" t="b">
        <v>1</v>
      </c>
      <c r="L3720" s="16" t="b">
        <v>0</v>
      </c>
      <c r="M3720" s="16" t="b">
        <v>1</v>
      </c>
      <c r="N3720" s="16" t="b">
        <v>0</v>
      </c>
      <c r="O3720" s="16" t="n">
        <v>437.861482132012</v>
      </c>
      <c r="P3720" s="16" t="n">
        <v>302.9719219929859</v>
      </c>
      <c r="Q3720" s="16" t="n">
        <v>4154.526287006396</v>
      </c>
      <c r="R3720" s="16" t="n">
        <v>370.7475197747697</v>
      </c>
      <c r="S3720" s="16" t="n">
        <v>0.5</v>
      </c>
      <c r="T3720" s="16" t="n">
        <v>0.6298561012107774</v>
      </c>
      <c r="U3720" s="16" t="n">
        <v>0.945896528674685</v>
      </c>
      <c r="V3720" s="16" t="n">
        <v>0.5222065087746302</v>
      </c>
      <c r="W3720" s="16" t="n">
        <v>0.7179598710612726</v>
      </c>
      <c r="X3720" s="16" t="n">
        <v>0.4374871650459798</v>
      </c>
      <c r="Y3720" s="16" t="n">
        <v>302.9719219929859</v>
      </c>
      <c r="Z3720" s="16" t="n">
        <v>-1.67040425732722</v>
      </c>
      <c r="AA3720" s="16" t="n">
        <v>-4.410526479567452</v>
      </c>
      <c r="AB3720" s="16" t="n">
        <v>3783.778767231626</v>
      </c>
      <c r="AC3720" s="16" t="n">
        <v>11.2058100605239</v>
      </c>
      <c r="AD3720" s="16" t="inlineStr">
        <is>
          <t>O2,O3</t>
        </is>
      </c>
      <c r="AE3720" s="16" t="n"/>
    </row>
    <row r="3721">
      <c r="A3721" s="16" t="inlineStr">
        <is>
          <t>KF-M09-R0-x_b-0007</t>
        </is>
      </c>
      <c r="B3721" s="16" t="inlineStr">
        <is>
          <t>4.3</t>
        </is>
      </c>
      <c r="C3721" s="16" t="inlineStr">
        <is>
          <t>4.3 x_b</t>
        </is>
      </c>
      <c r="D3721" s="16" t="inlineStr">
        <is>
          <t>ronda 0</t>
        </is>
      </c>
      <c r="E3721" s="16" t="inlineStr">
        <is>
          <t>KF-M09</t>
        </is>
      </c>
      <c r="F3721" s="16" t="inlineStr">
        <is>
          <t>KF-M09-R0-x_b</t>
        </is>
      </c>
      <c r="G3721" s="16" t="inlineStr">
        <is>
          <t>B13-x_b</t>
        </is>
      </c>
      <c r="H3721" s="16" t="inlineStr">
        <is>
          <t>lhs</t>
        </is>
      </c>
      <c r="I3721" s="16" t="inlineStr">
        <is>
          <t>KALINA</t>
        </is>
      </c>
      <c r="J3721" s="16" t="inlineStr">
        <is>
          <t>KALINA</t>
        </is>
      </c>
      <c r="K3721" s="16" t="b">
        <v>1</v>
      </c>
      <c r="L3721" s="16" t="b">
        <v>0</v>
      </c>
      <c r="M3721" s="16" t="b">
        <v>1</v>
      </c>
      <c r="N3721" s="16" t="b">
        <v>0</v>
      </c>
      <c r="O3721" s="16" t="n">
        <v>498.5330120052461</v>
      </c>
      <c r="P3721" s="16" t="n">
        <v>284.6422552587071</v>
      </c>
      <c r="Q3721" s="16" t="n">
        <v>3370.173004873984</v>
      </c>
      <c r="R3721" s="16" t="n">
        <v>1559.660938862371</v>
      </c>
      <c r="S3721" s="16" t="n">
        <v>0.5</v>
      </c>
      <c r="T3721" s="16" t="n">
        <v>0.8288400058553758</v>
      </c>
      <c r="U3721" s="16" t="n">
        <v>0.5843993826494051</v>
      </c>
      <c r="V3721" s="16" t="n">
        <v>0.5340621698890929</v>
      </c>
      <c r="W3721" s="16" t="n">
        <v>0.4795571617464577</v>
      </c>
      <c r="X3721" s="16" t="n">
        <v>0.8772924408795046</v>
      </c>
      <c r="Y3721" s="16" t="n">
        <v>284.6422552587071</v>
      </c>
      <c r="Z3721" s="16" t="n">
        <v>4.76758450890618</v>
      </c>
      <c r="AA3721" s="16" t="n">
        <v>55.12269896773428</v>
      </c>
      <c r="AB3721" s="16" t="n">
        <v>1810.512066011613</v>
      </c>
      <c r="AC3721" s="16" t="n">
        <v>2.160836961995224</v>
      </c>
      <c r="AD3721" s="16" t="n"/>
      <c r="AE3721" s="16" t="n"/>
    </row>
    <row r="3722">
      <c r="A3722" s="16" t="inlineStr">
        <is>
          <t>KF-M09-R0-x_b-0008</t>
        </is>
      </c>
      <c r="B3722" s="16" t="inlineStr">
        <is>
          <t>4.3</t>
        </is>
      </c>
      <c r="C3722" s="16" t="inlineStr">
        <is>
          <t>4.3 x_b</t>
        </is>
      </c>
      <c r="D3722" s="16" t="inlineStr">
        <is>
          <t>ronda 0</t>
        </is>
      </c>
      <c r="E3722" s="16" t="inlineStr">
        <is>
          <t>KF-M09</t>
        </is>
      </c>
      <c r="F3722" s="16" t="inlineStr">
        <is>
          <t>KF-M09-R0-x_b</t>
        </is>
      </c>
      <c r="G3722" s="16" t="inlineStr">
        <is>
          <t>B13-x_b</t>
        </is>
      </c>
      <c r="H3722" s="16" t="inlineStr">
        <is>
          <t>lhs</t>
        </is>
      </c>
      <c r="I3722" s="16" t="inlineStr">
        <is>
          <t>KALINA</t>
        </is>
      </c>
      <c r="J3722" s="16" t="inlineStr">
        <is>
          <t>KALINA</t>
        </is>
      </c>
      <c r="K3722" s="16" t="b">
        <v>1</v>
      </c>
      <c r="L3722" s="16" t="b">
        <v>0</v>
      </c>
      <c r="M3722" s="16" t="b">
        <v>1</v>
      </c>
      <c r="N3722" s="16" t="b">
        <v>0</v>
      </c>
      <c r="O3722" s="16" t="n">
        <v>487.1536947398839</v>
      </c>
      <c r="P3722" s="16" t="n">
        <v>286.446397183968</v>
      </c>
      <c r="Q3722" s="16" t="n">
        <v>2022.351969408076</v>
      </c>
      <c r="R3722" s="16" t="n">
        <v>940.7890341411976</v>
      </c>
      <c r="S3722" s="16" t="n">
        <v>0.5</v>
      </c>
      <c r="T3722" s="16" t="n">
        <v>0.6011741121828268</v>
      </c>
      <c r="U3722" s="16" t="n">
        <v>0.7971148356631379</v>
      </c>
      <c r="V3722" s="16" t="n">
        <v>0.6864152250644922</v>
      </c>
      <c r="W3722" s="16" t="n">
        <v>0.8202870446990695</v>
      </c>
      <c r="X3722" s="16" t="n">
        <v>0.8850138684415739</v>
      </c>
      <c r="Y3722" s="16" t="n">
        <v>286.446397183968</v>
      </c>
      <c r="Z3722" s="16" t="n">
        <v>3.93077075214972</v>
      </c>
      <c r="AA3722" s="16" t="n">
        <v>58.33388377400901</v>
      </c>
      <c r="AB3722" s="16" t="n">
        <v>1081.562935266878</v>
      </c>
      <c r="AC3722" s="16" t="n">
        <v>2.149633866910648</v>
      </c>
      <c r="AD3722" s="16" t="n"/>
      <c r="AE3722" s="16" t="n"/>
    </row>
    <row r="3723">
      <c r="A3723" s="16" t="inlineStr">
        <is>
          <t>KF-M09-R0-x_b-0009</t>
        </is>
      </c>
      <c r="B3723" s="16" t="inlineStr">
        <is>
          <t>4.3</t>
        </is>
      </c>
      <c r="C3723" s="16" t="inlineStr">
        <is>
          <t>4.3 x_b</t>
        </is>
      </c>
      <c r="D3723" s="16" t="inlineStr">
        <is>
          <t>ronda 0</t>
        </is>
      </c>
      <c r="E3723" s="16" t="inlineStr">
        <is>
          <t>KF-M09</t>
        </is>
      </c>
      <c r="F3723" s="16" t="inlineStr">
        <is>
          <t>KF-M09-R0-x_b</t>
        </is>
      </c>
      <c r="G3723" s="16" t="inlineStr">
        <is>
          <t>B13-x_b</t>
        </is>
      </c>
      <c r="H3723" s="16" t="inlineStr">
        <is>
          <t>lhs</t>
        </is>
      </c>
      <c r="I3723" s="16" t="inlineStr">
        <is>
          <t>CORREGIBLE</t>
        </is>
      </c>
      <c r="J3723" s="16" t="inlineStr">
        <is>
          <t>CORREGIBLE</t>
        </is>
      </c>
      <c r="K3723" s="16" t="b">
        <v>1</v>
      </c>
      <c r="L3723" s="16" t="b">
        <v>0</v>
      </c>
      <c r="M3723" s="16" t="b">
        <v>1</v>
      </c>
      <c r="N3723" s="16" t="b">
        <v>0</v>
      </c>
      <c r="O3723" s="16" t="n">
        <v>483.5343092247237</v>
      </c>
      <c r="P3723" s="16" t="n">
        <v>299.7522857773978</v>
      </c>
      <c r="Q3723" s="16" t="n">
        <v>2272.675887321004</v>
      </c>
      <c r="R3723" s="16" t="n">
        <v>1111.358711995267</v>
      </c>
      <c r="S3723" s="16" t="n">
        <v>0.5</v>
      </c>
      <c r="T3723" s="16" t="n">
        <v>0.487333793999239</v>
      </c>
      <c r="U3723" s="16" t="n">
        <v>0.9238513620614059</v>
      </c>
      <c r="V3723" s="16" t="n">
        <v>0.4984635160201552</v>
      </c>
      <c r="W3723" s="16" t="n">
        <v>0.8865470129823305</v>
      </c>
      <c r="X3723" s="16" t="n">
        <v>0.8280377623194779</v>
      </c>
      <c r="Y3723" s="16" t="n">
        <v>299.7522857773978</v>
      </c>
      <c r="Z3723" s="16" t="n">
        <v>3.18881507849714</v>
      </c>
      <c r="AA3723" s="16" t="n">
        <v>32.0408561410699</v>
      </c>
      <c r="AB3723" s="16" t="n">
        <v>1161.317175325738</v>
      </c>
      <c r="AC3723" s="16" t="n">
        <v>2.044952599724331</v>
      </c>
      <c r="AD3723" s="16" t="inlineStr">
        <is>
          <t>O2</t>
        </is>
      </c>
      <c r="AE3723" s="16" t="n"/>
    </row>
    <row r="3724">
      <c r="A3724" s="16" t="inlineStr">
        <is>
          <t>KF-M09-R0-x_b-0010</t>
        </is>
      </c>
      <c r="B3724" s="16" t="inlineStr">
        <is>
          <t>4.3</t>
        </is>
      </c>
      <c r="C3724" s="16" t="inlineStr">
        <is>
          <t>4.3 x_b</t>
        </is>
      </c>
      <c r="D3724" s="16" t="inlineStr">
        <is>
          <t>ronda 0</t>
        </is>
      </c>
      <c r="E3724" s="16" t="inlineStr">
        <is>
          <t>KF-M09</t>
        </is>
      </c>
      <c r="F3724" s="16" t="inlineStr">
        <is>
          <t>KF-M09-R0-x_b</t>
        </is>
      </c>
      <c r="G3724" s="16" t="inlineStr">
        <is>
          <t>B13-x_b</t>
        </is>
      </c>
      <c r="H3724" s="16" t="inlineStr">
        <is>
          <t>lhs</t>
        </is>
      </c>
      <c r="I3724" s="16" t="inlineStr">
        <is>
          <t>KALINA</t>
        </is>
      </c>
      <c r="J3724" s="16" t="inlineStr">
        <is>
          <t>KALINA</t>
        </is>
      </c>
      <c r="K3724" s="16" t="b">
        <v>1</v>
      </c>
      <c r="L3724" s="16" t="b">
        <v>0</v>
      </c>
      <c r="M3724" s="16" t="b">
        <v>1</v>
      </c>
      <c r="N3724" s="16" t="b">
        <v>0</v>
      </c>
      <c r="O3724" s="16" t="n">
        <v>514.8475437989575</v>
      </c>
      <c r="P3724" s="16" t="n">
        <v>298.7367445574737</v>
      </c>
      <c r="Q3724" s="16" t="n">
        <v>4374.082882100893</v>
      </c>
      <c r="R3724" s="16" t="n">
        <v>1219.513693321903</v>
      </c>
      <c r="S3724" s="16" t="n">
        <v>0.5</v>
      </c>
      <c r="T3724" s="16" t="n">
        <v>0.4148231753868451</v>
      </c>
      <c r="U3724" s="16" t="n">
        <v>0.4693009102295736</v>
      </c>
      <c r="V3724" s="16" t="n">
        <v>0.4258075159387112</v>
      </c>
      <c r="W3724" s="16" t="n">
        <v>0.50909231164285</v>
      </c>
      <c r="X3724" s="16" t="n">
        <v>0.879588464823037</v>
      </c>
      <c r="Y3724" s="16" t="n">
        <v>298.7367445574737</v>
      </c>
      <c r="Z3724" s="16" t="n">
        <v>3.0692161160082</v>
      </c>
      <c r="AA3724" s="16" t="n">
        <v>27.50295116620425</v>
      </c>
      <c r="AB3724" s="16" t="n">
        <v>3154.56918877899</v>
      </c>
      <c r="AC3724" s="16" t="n">
        <v>3.586743556922332</v>
      </c>
      <c r="AD3724" s="16" t="n"/>
      <c r="AE3724" s="16" t="n"/>
    </row>
    <row r="3725">
      <c r="A3725" s="16" t="inlineStr">
        <is>
          <t>KF-M09-R0-x_b-0011</t>
        </is>
      </c>
      <c r="B3725" s="16" t="inlineStr">
        <is>
          <t>4.3</t>
        </is>
      </c>
      <c r="C3725" s="16" t="inlineStr">
        <is>
          <t>4.3 x_b</t>
        </is>
      </c>
      <c r="D3725" s="16" t="inlineStr">
        <is>
          <t>ronda 0</t>
        </is>
      </c>
      <c r="E3725" s="16" t="inlineStr">
        <is>
          <t>KF-M09</t>
        </is>
      </c>
      <c r="F3725" s="16" t="inlineStr">
        <is>
          <t>KF-M09-R0-x_b</t>
        </is>
      </c>
      <c r="G3725" s="16" t="inlineStr">
        <is>
          <t>B13-x_b</t>
        </is>
      </c>
      <c r="H3725" s="16" t="inlineStr">
        <is>
          <t>lhs</t>
        </is>
      </c>
      <c r="I3725" s="16" t="inlineStr">
        <is>
          <t>CORREGIBLE</t>
        </is>
      </c>
      <c r="J3725" s="16" t="inlineStr">
        <is>
          <t>CORREGIBLE</t>
        </is>
      </c>
      <c r="K3725" s="16" t="b">
        <v>1</v>
      </c>
      <c r="L3725" s="16" t="b">
        <v>0</v>
      </c>
      <c r="M3725" s="16" t="b">
        <v>1</v>
      </c>
      <c r="N3725" s="16" t="b">
        <v>0</v>
      </c>
      <c r="O3725" s="16" t="n">
        <v>518.2578850124695</v>
      </c>
      <c r="P3725" s="16" t="n">
        <v>292.1107725386021</v>
      </c>
      <c r="Q3725" s="16" t="n">
        <v>2076.849298911099</v>
      </c>
      <c r="R3725" s="16" t="n">
        <v>515.0459284832677</v>
      </c>
      <c r="S3725" s="16" t="n">
        <v>0.5</v>
      </c>
      <c r="T3725" s="16" t="n">
        <v>0.4934735822569542</v>
      </c>
      <c r="U3725" s="16" t="n">
        <v>0.6707979682736904</v>
      </c>
      <c r="V3725" s="16" t="n">
        <v>0.7131437546425314</v>
      </c>
      <c r="W3725" s="16" t="n">
        <v>0.4754117502598726</v>
      </c>
      <c r="X3725" s="16" t="n">
        <v>0.6606612891292571</v>
      </c>
      <c r="Y3725" s="16" t="n">
        <v>292.1107725386021</v>
      </c>
      <c r="Z3725" s="16" t="n">
        <v>1.35310316925803</v>
      </c>
      <c r="AA3725" s="16" t="n">
        <v>17.14906450493234</v>
      </c>
      <c r="AB3725" s="16" t="n">
        <v>1561.803370427831</v>
      </c>
      <c r="AC3725" s="16" t="n">
        <v>4.032357473491938</v>
      </c>
      <c r="AD3725" s="16" t="inlineStr">
        <is>
          <t>O2</t>
        </is>
      </c>
      <c r="AE3725" s="16" t="n"/>
    </row>
    <row r="3726">
      <c r="A3726" s="16" t="inlineStr">
        <is>
          <t>KF-M09-R0-x_b-0012</t>
        </is>
      </c>
      <c r="B3726" s="16" t="inlineStr">
        <is>
          <t>4.3</t>
        </is>
      </c>
      <c r="C3726" s="16" t="inlineStr">
        <is>
          <t>4.3 x_b</t>
        </is>
      </c>
      <c r="D3726" s="16" t="inlineStr">
        <is>
          <t>ronda 0</t>
        </is>
      </c>
      <c r="E3726" s="16" t="inlineStr">
        <is>
          <t>KF-M09</t>
        </is>
      </c>
      <c r="F3726" s="16" t="inlineStr">
        <is>
          <t>KF-M09-R0-x_b</t>
        </is>
      </c>
      <c r="G3726" s="16" t="inlineStr">
        <is>
          <t>B13-x_b</t>
        </is>
      </c>
      <c r="H3726" s="16" t="inlineStr">
        <is>
          <t>lhs</t>
        </is>
      </c>
      <c r="I3726" s="16" t="inlineStr">
        <is>
          <t>CORREGIBLE</t>
        </is>
      </c>
      <c r="J3726" s="16" t="inlineStr">
        <is>
          <t>CORREGIBLE</t>
        </is>
      </c>
      <c r="K3726" s="16" t="b">
        <v>1</v>
      </c>
      <c r="L3726" s="16" t="b">
        <v>0</v>
      </c>
      <c r="M3726" s="16" t="b">
        <v>0</v>
      </c>
      <c r="N3726" s="16" t="b">
        <v>0</v>
      </c>
      <c r="O3726" s="16" t="n">
        <v>384.7399077216828</v>
      </c>
      <c r="P3726" s="16" t="n">
        <v>291.527908873806</v>
      </c>
      <c r="Q3726" s="16" t="n">
        <v>2522.00879492392</v>
      </c>
      <c r="R3726" s="16" t="n">
        <v>655.864379578923</v>
      </c>
      <c r="S3726" s="16" t="n">
        <v>0.5</v>
      </c>
      <c r="T3726" s="16" t="n">
        <v>0.6583521540088269</v>
      </c>
      <c r="U3726" s="16" t="n">
        <v>0.8279376682833209</v>
      </c>
      <c r="V3726" s="16" t="n">
        <v>0.8017261279981672</v>
      </c>
      <c r="W3726" s="16" t="n">
        <v>0.6681950992051612</v>
      </c>
      <c r="X3726" s="16" t="n">
        <v>0.5335180038809257</v>
      </c>
      <c r="Y3726" s="16" t="n">
        <v>291.527908873806</v>
      </c>
      <c r="Z3726" s="16" t="n">
        <v>2.93988580970963</v>
      </c>
      <c r="AA3726" s="16" t="n">
        <v>5.210562219690905</v>
      </c>
      <c r="AB3726" s="16" t="n">
        <v>1866.144415344997</v>
      </c>
      <c r="AC3726" s="16" t="n">
        <v>3.845320577621697</v>
      </c>
      <c r="AD3726" s="16" t="inlineStr">
        <is>
          <t>O2</t>
        </is>
      </c>
      <c r="AE3726" s="16" t="n"/>
    </row>
    <row r="3727">
      <c r="A3727" s="16" t="inlineStr">
        <is>
          <t>KF-M09-R0-x_b-0013</t>
        </is>
      </c>
      <c r="B3727" s="16" t="inlineStr">
        <is>
          <t>4.3</t>
        </is>
      </c>
      <c r="C3727" s="16" t="inlineStr">
        <is>
          <t>4.3 x_b</t>
        </is>
      </c>
      <c r="D3727" s="16" t="inlineStr">
        <is>
          <t>ronda 0</t>
        </is>
      </c>
      <c r="E3727" s="16" t="inlineStr">
        <is>
          <t>KF-M09</t>
        </is>
      </c>
      <c r="F3727" s="16" t="inlineStr">
        <is>
          <t>KF-M09-R0-x_b</t>
        </is>
      </c>
      <c r="G3727" s="16" t="inlineStr">
        <is>
          <t>B13-x_b</t>
        </is>
      </c>
      <c r="H3727" s="16" t="inlineStr">
        <is>
          <t>lhs</t>
        </is>
      </c>
      <c r="I3727" s="16" t="inlineStr">
        <is>
          <t>CORREGIBLE</t>
        </is>
      </c>
      <c r="J3727" s="16" t="inlineStr">
        <is>
          <t>CORREGIBLE</t>
        </is>
      </c>
      <c r="K3727" s="16" t="b">
        <v>1</v>
      </c>
      <c r="L3727" s="16" t="b">
        <v>0</v>
      </c>
      <c r="M3727" s="16" t="b">
        <v>1</v>
      </c>
      <c r="N3727" s="16" t="b">
        <v>0</v>
      </c>
      <c r="O3727" s="16" t="n">
        <v>464.1350086895592</v>
      </c>
      <c r="P3727" s="16" t="n">
        <v>300.3840754022411</v>
      </c>
      <c r="Q3727" s="16" t="n">
        <v>4229.510370783844</v>
      </c>
      <c r="R3727" s="16" t="n">
        <v>1431.2943539989</v>
      </c>
      <c r="S3727" s="16" t="n">
        <v>0.5</v>
      </c>
      <c r="T3727" s="16" t="n">
        <v>0.7224076606771319</v>
      </c>
      <c r="U3727" s="16" t="n">
        <v>0.4540261149121088</v>
      </c>
      <c r="V3727" s="16" t="n">
        <v>0.8971846062481944</v>
      </c>
      <c r="W3727" s="16" t="n">
        <v>0.6850749174347953</v>
      </c>
      <c r="X3727" s="16" t="n">
        <v>0.7195910825515819</v>
      </c>
      <c r="Y3727" s="16" t="n">
        <v>300.3840754022411</v>
      </c>
      <c r="Z3727" s="16" t="n">
        <v>6.25552163285695</v>
      </c>
      <c r="AA3727" s="16" t="n">
        <v>57.05664939111563</v>
      </c>
      <c r="AB3727" s="16" t="n">
        <v>2798.216016784944</v>
      </c>
      <c r="AC3727" s="16" t="n">
        <v>2.95502484095392</v>
      </c>
      <c r="AD3727" s="16" t="inlineStr">
        <is>
          <t>O2</t>
        </is>
      </c>
      <c r="AE3727" s="16" t="n"/>
    </row>
    <row r="3728">
      <c r="A3728" s="16" t="inlineStr">
        <is>
          <t>KF-M09-R0-x_b-0014</t>
        </is>
      </c>
      <c r="B3728" s="16" t="inlineStr">
        <is>
          <t>4.3</t>
        </is>
      </c>
      <c r="C3728" s="16" t="inlineStr">
        <is>
          <t>4.3 x_b</t>
        </is>
      </c>
      <c r="D3728" s="16" t="inlineStr">
        <is>
          <t>ronda 0</t>
        </is>
      </c>
      <c r="E3728" s="16" t="inlineStr">
        <is>
          <t>KF-M09</t>
        </is>
      </c>
      <c r="F3728" s="16" t="inlineStr">
        <is>
          <t>KF-M09-R0-x_b</t>
        </is>
      </c>
      <c r="G3728" s="16" t="inlineStr">
        <is>
          <t>B13-x_b</t>
        </is>
      </c>
      <c r="H3728" s="16" t="inlineStr">
        <is>
          <t>lhs</t>
        </is>
      </c>
      <c r="I3728" s="16" t="inlineStr">
        <is>
          <t>KALINA</t>
        </is>
      </c>
      <c r="J3728" s="16" t="inlineStr">
        <is>
          <t>KALINA</t>
        </is>
      </c>
      <c r="K3728" s="16" t="b">
        <v>1</v>
      </c>
      <c r="L3728" s="16" t="b">
        <v>0</v>
      </c>
      <c r="M3728" s="16" t="b">
        <v>1</v>
      </c>
      <c r="N3728" s="16" t="b">
        <v>0</v>
      </c>
      <c r="O3728" s="16" t="n">
        <v>427.8942616553764</v>
      </c>
      <c r="P3728" s="16" t="n">
        <v>296.1615546865829</v>
      </c>
      <c r="Q3728" s="16" t="n">
        <v>3714.727554813297</v>
      </c>
      <c r="R3728" s="16" t="n">
        <v>1485.803598736095</v>
      </c>
      <c r="S3728" s="16" t="n">
        <v>0.5</v>
      </c>
      <c r="T3728" s="16" t="n">
        <v>0.6434224085562872</v>
      </c>
      <c r="U3728" s="16" t="n">
        <v>0.4293505249174469</v>
      </c>
      <c r="V3728" s="16" t="n">
        <v>0.8803716227815734</v>
      </c>
      <c r="W3728" s="16" t="n">
        <v>0.8600711851511786</v>
      </c>
      <c r="X3728" s="16" t="n">
        <v>0.9291831675274356</v>
      </c>
      <c r="Y3728" s="16" t="n">
        <v>296.1615546865829</v>
      </c>
      <c r="Z3728" s="16" t="n">
        <v>3.59655631231556</v>
      </c>
      <c r="AA3728" s="16" t="n">
        <v>17.380971439786</v>
      </c>
      <c r="AB3728" s="16" t="n">
        <v>2228.923956077202</v>
      </c>
      <c r="AC3728" s="16" t="n">
        <v>2.500147097485325</v>
      </c>
      <c r="AD3728" s="16" t="n"/>
      <c r="AE3728" s="16" t="n"/>
    </row>
    <row r="3729">
      <c r="A3729" s="16" t="inlineStr">
        <is>
          <t>KF-M09-R0-x_b-0015</t>
        </is>
      </c>
      <c r="B3729" s="16" t="inlineStr">
        <is>
          <t>4.3</t>
        </is>
      </c>
      <c r="C3729" s="16" t="inlineStr">
        <is>
          <t>4.3 x_b</t>
        </is>
      </c>
      <c r="D3729" s="16" t="inlineStr">
        <is>
          <t>ronda 0</t>
        </is>
      </c>
      <c r="E3729" s="16" t="inlineStr">
        <is>
          <t>KF-M09</t>
        </is>
      </c>
      <c r="F3729" s="16" t="inlineStr">
        <is>
          <t>KF-M09-R0-x_b</t>
        </is>
      </c>
      <c r="G3729" s="16" t="inlineStr">
        <is>
          <t>B13-x_b</t>
        </is>
      </c>
      <c r="H3729" s="16" t="inlineStr">
        <is>
          <t>lhs</t>
        </is>
      </c>
      <c r="I3729" s="16" t="inlineStr">
        <is>
          <t>INVIABLE</t>
        </is>
      </c>
      <c r="J3729" s="16" t="inlineStr">
        <is>
          <t>INVIABLE</t>
        </is>
      </c>
      <c r="K3729" s="16" t="b">
        <v>1</v>
      </c>
      <c r="L3729" s="16" t="b">
        <v>0</v>
      </c>
      <c r="M3729" s="16" t="b">
        <v>1</v>
      </c>
      <c r="N3729" s="16" t="b">
        <v>0</v>
      </c>
      <c r="O3729" s="16" t="n">
        <v>430.8139561724474</v>
      </c>
      <c r="P3729" s="16" t="n">
        <v>294.5054624327608</v>
      </c>
      <c r="Q3729" s="16" t="n">
        <v>4177.772824608199</v>
      </c>
      <c r="R3729" s="16" t="n">
        <v>1193.160026284514</v>
      </c>
      <c r="S3729" s="16" t="n">
        <v>0.5</v>
      </c>
      <c r="T3729" s="16" t="n">
        <v>0.4577803621237003</v>
      </c>
      <c r="U3729" s="16" t="n">
        <v>0.6269078485530164</v>
      </c>
      <c r="V3729" s="16" t="n">
        <v>0.9234279272154244</v>
      </c>
      <c r="W3729" s="16" t="n">
        <v>0.5954574457820265</v>
      </c>
      <c r="X3729" s="16" t="n">
        <v>0.432568191979872</v>
      </c>
      <c r="Y3729" s="16" t="n">
        <v>294.5054624327608</v>
      </c>
      <c r="Z3729" s="16" t="n">
        <v>-1.41072999034505</v>
      </c>
      <c r="AA3729" s="16" t="n">
        <v>-4.903249419913877</v>
      </c>
      <c r="AB3729" s="16" t="n">
        <v>2984.612798323685</v>
      </c>
      <c r="AC3729" s="16" t="n">
        <v>3.501435459263359</v>
      </c>
      <c r="AD3729" s="16" t="inlineStr">
        <is>
          <t>O2,O3</t>
        </is>
      </c>
      <c r="AE3729" s="16" t="n"/>
    </row>
    <row r="3730">
      <c r="A3730" s="16" t="inlineStr">
        <is>
          <t>KF-M09-R0-x_b-0016</t>
        </is>
      </c>
      <c r="B3730" s="16" t="inlineStr">
        <is>
          <t>4.3</t>
        </is>
      </c>
      <c r="C3730" s="16" t="inlineStr">
        <is>
          <t>4.3 x_b</t>
        </is>
      </c>
      <c r="D3730" s="16" t="inlineStr">
        <is>
          <t>ronda 0</t>
        </is>
      </c>
      <c r="E3730" s="16" t="inlineStr">
        <is>
          <t>KF-M09</t>
        </is>
      </c>
      <c r="F3730" s="16" t="inlineStr">
        <is>
          <t>KF-M09-R0-x_b</t>
        </is>
      </c>
      <c r="G3730" s="16" t="inlineStr">
        <is>
          <t>B13-x_b</t>
        </is>
      </c>
      <c r="H3730" s="16" t="inlineStr">
        <is>
          <t>lhs</t>
        </is>
      </c>
      <c r="I3730" s="16" t="inlineStr">
        <is>
          <t>INVIABLE</t>
        </is>
      </c>
      <c r="J3730" s="16" t="inlineStr">
        <is>
          <t>INVIABLE</t>
        </is>
      </c>
      <c r="K3730" s="16" t="b">
        <v>1</v>
      </c>
      <c r="L3730" s="16" t="b">
        <v>0</v>
      </c>
      <c r="M3730" s="16" t="b">
        <v>1</v>
      </c>
      <c r="N3730" s="16" t="b">
        <v>0</v>
      </c>
      <c r="O3730" s="16" t="n">
        <v>516.4531618463512</v>
      </c>
      <c r="P3730" s="16" t="n">
        <v>283.1343574292093</v>
      </c>
      <c r="Q3730" s="16" t="n">
        <v>2868.288792076371</v>
      </c>
      <c r="R3730" s="16" t="n">
        <v>414.6014243836683</v>
      </c>
      <c r="S3730" s="16" t="n">
        <v>0.5</v>
      </c>
      <c r="T3730" s="16" t="n">
        <v>0.537451033215797</v>
      </c>
      <c r="U3730" s="16" t="n">
        <v>0.760764739737402</v>
      </c>
      <c r="V3730" s="16" t="n">
        <v>0.6522427581242968</v>
      </c>
      <c r="W3730" s="16" t="n">
        <v>0.905595436329786</v>
      </c>
      <c r="X3730" s="16" t="n">
        <v>0.4239597243060478</v>
      </c>
      <c r="Y3730" s="16" t="n">
        <v>283.1343574292093</v>
      </c>
      <c r="Z3730" s="16" t="n">
        <v>-7.10696804446125</v>
      </c>
      <c r="AA3730" s="16" t="n">
        <v>-54.9856547147366</v>
      </c>
      <c r="AB3730" s="16" t="n">
        <v>2453.687367692702</v>
      </c>
      <c r="AC3730" s="16" t="n">
        <v>6.91818364189237</v>
      </c>
      <c r="AD3730" s="16" t="inlineStr">
        <is>
          <t>O2,O3</t>
        </is>
      </c>
      <c r="AE3730" s="16" t="n"/>
    </row>
    <row r="3731">
      <c r="A3731" s="16" t="inlineStr">
        <is>
          <t>KF-M09-R0-x_b-0017</t>
        </is>
      </c>
      <c r="B3731" s="16" t="inlineStr">
        <is>
          <t>4.3</t>
        </is>
      </c>
      <c r="C3731" s="16" t="inlineStr">
        <is>
          <t>4.3 x_b</t>
        </is>
      </c>
      <c r="D3731" s="16" t="inlineStr">
        <is>
          <t>ronda 0</t>
        </is>
      </c>
      <c r="E3731" s="16" t="inlineStr">
        <is>
          <t>KF-M09</t>
        </is>
      </c>
      <c r="F3731" s="16" t="inlineStr">
        <is>
          <t>KF-M09-R0-x_b</t>
        </is>
      </c>
      <c r="G3731" s="16" t="inlineStr">
        <is>
          <t>B13-x_b</t>
        </is>
      </c>
      <c r="H3731" s="16" t="inlineStr">
        <is>
          <t>lhs</t>
        </is>
      </c>
      <c r="I3731" s="16" t="inlineStr">
        <is>
          <t>KALINA</t>
        </is>
      </c>
      <c r="J3731" s="16" t="inlineStr">
        <is>
          <t>KALINA</t>
        </is>
      </c>
      <c r="K3731" s="16" t="b">
        <v>1</v>
      </c>
      <c r="L3731" s="16" t="b">
        <v>1</v>
      </c>
      <c r="M3731" s="16" t="b">
        <v>0</v>
      </c>
      <c r="N3731" s="16" t="b">
        <v>0</v>
      </c>
      <c r="O3731" s="16" t="n">
        <v>419.1621686875348</v>
      </c>
      <c r="P3731" s="16" t="n">
        <v>285.7288681279673</v>
      </c>
      <c r="Q3731" s="16" t="n">
        <v>3883.610291614785</v>
      </c>
      <c r="R3731" s="16" t="n">
        <v>1662.387940617714</v>
      </c>
      <c r="S3731" s="16" t="n">
        <v>0.5</v>
      </c>
      <c r="T3731" s="16" t="n">
        <v>0.6163703989228705</v>
      </c>
      <c r="U3731" s="16" t="n">
        <v>0.8785386705292193</v>
      </c>
      <c r="V3731" s="16" t="n">
        <v>0.7723204099952343</v>
      </c>
      <c r="W3731" s="16" t="n">
        <v>0.6002849695438961</v>
      </c>
      <c r="X3731" s="16" t="n">
        <v>0.4933868697874243</v>
      </c>
      <c r="Y3731" s="16" t="n">
        <v>285.7288681279673</v>
      </c>
      <c r="Z3731" s="16" t="n">
        <v>2.66776211792504</v>
      </c>
      <c r="AA3731" s="16" t="n">
        <v>7.978790231785885</v>
      </c>
      <c r="AB3731" s="16" t="n">
        <v>2221.222350997071</v>
      </c>
      <c r="AC3731" s="16" t="n">
        <v>2.336163657546567</v>
      </c>
      <c r="AD3731" s="16" t="n"/>
      <c r="AE3731" s="16" t="n"/>
    </row>
    <row r="3732">
      <c r="A3732" s="16" t="inlineStr">
        <is>
          <t>KF-M09-R0-x_b-0018</t>
        </is>
      </c>
      <c r="B3732" s="16" t="inlineStr">
        <is>
          <t>4.3</t>
        </is>
      </c>
      <c r="C3732" s="16" t="inlineStr">
        <is>
          <t>4.3 x_b</t>
        </is>
      </c>
      <c r="D3732" s="16" t="inlineStr">
        <is>
          <t>ronda 0</t>
        </is>
      </c>
      <c r="E3732" s="16" t="inlineStr">
        <is>
          <t>KF-M09</t>
        </is>
      </c>
      <c r="F3732" s="16" t="inlineStr">
        <is>
          <t>KF-M09-R0-x_b</t>
        </is>
      </c>
      <c r="G3732" s="16" t="inlineStr">
        <is>
          <t>B13-x_b</t>
        </is>
      </c>
      <c r="H3732" s="16" t="inlineStr">
        <is>
          <t>lhs</t>
        </is>
      </c>
      <c r="I3732" s="16" t="inlineStr">
        <is>
          <t>INVIABLE</t>
        </is>
      </c>
      <c r="J3732" s="16" t="inlineStr">
        <is>
          <t>INVIABLE</t>
        </is>
      </c>
      <c r="K3732" s="16" t="b">
        <v>1</v>
      </c>
      <c r="L3732" s="16" t="b">
        <v>0</v>
      </c>
      <c r="M3732" s="16" t="b">
        <v>1</v>
      </c>
      <c r="N3732" s="16" t="b">
        <v>0</v>
      </c>
      <c r="O3732" s="16" t="n">
        <v>482.1941777987144</v>
      </c>
      <c r="P3732" s="16" t="n">
        <v>300.0348611299011</v>
      </c>
      <c r="Q3732" s="16" t="n">
        <v>4340.320109569118</v>
      </c>
      <c r="R3732" s="16" t="n">
        <v>795.2065649345399</v>
      </c>
      <c r="S3732" s="16" t="n">
        <v>0.5</v>
      </c>
      <c r="T3732" s="16" t="n">
        <v>0.6233151636762599</v>
      </c>
      <c r="U3732" s="16" t="n">
        <v>0.4088691441126384</v>
      </c>
      <c r="V3732" s="16" t="n">
        <v>0.7159047743497446</v>
      </c>
      <c r="W3732" s="16" t="n">
        <v>0.4473823318427792</v>
      </c>
      <c r="X3732" s="16" t="n">
        <v>0.4799449910554411</v>
      </c>
      <c r="Y3732" s="16" t="n">
        <v>300.0348611299011</v>
      </c>
      <c r="Z3732" s="16" t="n">
        <v>-15.71587960335305</v>
      </c>
      <c r="AA3732" s="16" t="n">
        <v>-104.1856616675088</v>
      </c>
      <c r="AB3732" s="16" t="n">
        <v>3545.113544634578</v>
      </c>
      <c r="AC3732" s="16" t="n">
        <v>5.458103970666297</v>
      </c>
      <c r="AD3732" s="16" t="inlineStr">
        <is>
          <t>O2,O3</t>
        </is>
      </c>
      <c r="AE3732" s="16" t="n"/>
    </row>
    <row r="3733">
      <c r="A3733" s="16" t="inlineStr">
        <is>
          <t>KF-M09-R0-x_b-0019</t>
        </is>
      </c>
      <c r="B3733" s="16" t="inlineStr">
        <is>
          <t>4.3</t>
        </is>
      </c>
      <c r="C3733" s="16" t="inlineStr">
        <is>
          <t>4.3 x_b</t>
        </is>
      </c>
      <c r="D3733" s="16" t="inlineStr">
        <is>
          <t>ronda 0</t>
        </is>
      </c>
      <c r="E3733" s="16" t="inlineStr">
        <is>
          <t>KF-M09</t>
        </is>
      </c>
      <c r="F3733" s="16" t="inlineStr">
        <is>
          <t>KF-M09-R0-x_b</t>
        </is>
      </c>
      <c r="G3733" s="16" t="inlineStr">
        <is>
          <t>B13-x_b</t>
        </is>
      </c>
      <c r="H3733" s="16" t="inlineStr">
        <is>
          <t>lhs</t>
        </is>
      </c>
      <c r="I3733" s="16" t="inlineStr">
        <is>
          <t>CORREGIBLE</t>
        </is>
      </c>
      <c r="J3733" s="16" t="inlineStr">
        <is>
          <t>CORREGIBLE</t>
        </is>
      </c>
      <c r="K3733" s="16" t="b">
        <v>1</v>
      </c>
      <c r="L3733" s="16" t="b">
        <v>0</v>
      </c>
      <c r="M3733" s="16" t="b">
        <v>1</v>
      </c>
      <c r="N3733" s="16" t="b">
        <v>0</v>
      </c>
      <c r="O3733" s="16" t="n">
        <v>457.4965032637831</v>
      </c>
      <c r="P3733" s="16" t="n">
        <v>280.6813660580373</v>
      </c>
      <c r="Q3733" s="16" t="n">
        <v>2205.940300975474</v>
      </c>
      <c r="R3733" s="16" t="n">
        <v>1787.007410191793</v>
      </c>
      <c r="S3733" s="16" t="n">
        <v>0.5</v>
      </c>
      <c r="T3733" s="16" t="n">
        <v>0.9495608774593182</v>
      </c>
      <c r="U3733" s="16" t="n">
        <v>0.8548050349420433</v>
      </c>
      <c r="V3733" s="16" t="n">
        <v>0.8469374950215405</v>
      </c>
      <c r="W3733" s="16" t="n">
        <v>0.8395590570122089</v>
      </c>
      <c r="X3733" s="16" t="n">
        <v>0.5791045250508163</v>
      </c>
      <c r="Y3733" s="16" t="n">
        <v>280.6813660580373</v>
      </c>
      <c r="Z3733" s="16" t="n">
        <v>1.74358890883168</v>
      </c>
      <c r="AA3733" s="16" t="n">
        <v>21.55520890845002</v>
      </c>
      <c r="AB3733" s="16" t="n">
        <v>418.9328907836805</v>
      </c>
      <c r="AC3733" s="16" t="n">
        <v>1.234432654500699</v>
      </c>
      <c r="AD3733" s="16" t="inlineStr">
        <is>
          <t>O2</t>
        </is>
      </c>
      <c r="AE3733" s="16" t="n"/>
    </row>
    <row r="3734">
      <c r="A3734" s="16" t="inlineStr">
        <is>
          <t>KF-M09-R0-x_b-0020</t>
        </is>
      </c>
      <c r="B3734" s="16" t="inlineStr">
        <is>
          <t>4.3</t>
        </is>
      </c>
      <c r="C3734" s="16" t="inlineStr">
        <is>
          <t>4.3 x_b</t>
        </is>
      </c>
      <c r="D3734" s="16" t="inlineStr">
        <is>
          <t>ronda 0</t>
        </is>
      </c>
      <c r="E3734" s="16" t="inlineStr">
        <is>
          <t>KF-M09</t>
        </is>
      </c>
      <c r="F3734" s="16" t="inlineStr">
        <is>
          <t>KF-M09-R0-x_b</t>
        </is>
      </c>
      <c r="G3734" s="16" t="inlineStr">
        <is>
          <t>B13-x_b</t>
        </is>
      </c>
      <c r="H3734" s="16" t="inlineStr">
        <is>
          <t>lhs</t>
        </is>
      </c>
      <c r="I3734" s="16" t="inlineStr">
        <is>
          <t>INVIABLE</t>
        </is>
      </c>
      <c r="J3734" s="16" t="inlineStr">
        <is>
          <t>INVIABLE</t>
        </is>
      </c>
      <c r="K3734" s="16" t="b">
        <v>1</v>
      </c>
      <c r="L3734" s="16" t="b">
        <v>0</v>
      </c>
      <c r="M3734" s="16" t="b">
        <v>0</v>
      </c>
      <c r="N3734" s="16" t="b">
        <v>0</v>
      </c>
      <c r="O3734" s="16" t="n">
        <v>412.5550610743857</v>
      </c>
      <c r="P3734" s="16" t="n">
        <v>289.3606418212123</v>
      </c>
      <c r="Q3734" s="16" t="n">
        <v>4511.608761924201</v>
      </c>
      <c r="R3734" s="16" t="n">
        <v>1508.496370032229</v>
      </c>
      <c r="S3734" s="16" t="n">
        <v>0.5</v>
      </c>
      <c r="T3734" s="16" t="n">
        <v>0.524234300295176</v>
      </c>
      <c r="U3734" s="16" t="n">
        <v>0.915188452658913</v>
      </c>
      <c r="V3734" s="16" t="n">
        <v>0.8634453221360969</v>
      </c>
      <c r="W3734" s="16" t="n">
        <v>0.4426296820736859</v>
      </c>
      <c r="X3734" s="16" t="n">
        <v>0.8564017153981535</v>
      </c>
      <c r="Y3734" s="16" t="n">
        <v>289.3606418212123</v>
      </c>
      <c r="Z3734" s="16" t="n">
        <v>-1.14420219496602</v>
      </c>
      <c r="AA3734" s="16" t="n">
        <v>-3.478711641669211</v>
      </c>
      <c r="AB3734" s="16" t="n">
        <v>3003.112391891972</v>
      </c>
      <c r="AC3734" s="16" t="n">
        <v>2.990798553812769</v>
      </c>
      <c r="AD3734" s="16" t="inlineStr">
        <is>
          <t>O3</t>
        </is>
      </c>
      <c r="AE3734" s="16" t="n"/>
    </row>
    <row r="3735">
      <c r="A3735" s="16" t="inlineStr">
        <is>
          <t>KF-M09-R0-x_b-0021</t>
        </is>
      </c>
      <c r="B3735" s="16" t="inlineStr">
        <is>
          <t>4.3</t>
        </is>
      </c>
      <c r="C3735" s="16" t="inlineStr">
        <is>
          <t>4.3 x_b</t>
        </is>
      </c>
      <c r="D3735" s="16" t="inlineStr">
        <is>
          <t>ronda 0</t>
        </is>
      </c>
      <c r="E3735" s="16" t="inlineStr">
        <is>
          <t>KF-M09</t>
        </is>
      </c>
      <c r="F3735" s="16" t="inlineStr">
        <is>
          <t>KF-M09-R0-x_b</t>
        </is>
      </c>
      <c r="G3735" s="16" t="inlineStr">
        <is>
          <t>B13-x_b</t>
        </is>
      </c>
      <c r="H3735" s="16" t="inlineStr">
        <is>
          <t>lhs</t>
        </is>
      </c>
      <c r="I3735" s="16" t="inlineStr">
        <is>
          <t>NO_CONVERGIO</t>
        </is>
      </c>
      <c r="J3735" s="16" t="inlineStr">
        <is>
          <t>NO_CONVERGIO</t>
        </is>
      </c>
      <c r="K3735" s="16" t="b">
        <v>0</v>
      </c>
      <c r="L3735" s="16" t="b">
        <v>0</v>
      </c>
      <c r="M3735" s="16" t="b">
        <v>0</v>
      </c>
      <c r="N3735" s="16" t="b">
        <v>0</v>
      </c>
      <c r="O3735" s="16" t="n">
        <v>380.9623140967394</v>
      </c>
      <c r="P3735" s="16" t="n">
        <v>294.7123939768234</v>
      </c>
      <c r="Q3735" s="16" t="n">
        <v>2566.094174646075</v>
      </c>
      <c r="R3735" s="16" t="n">
        <v>634.0144723935314</v>
      </c>
      <c r="S3735" s="16" t="n">
        <v>0.5</v>
      </c>
      <c r="T3735" s="16" t="n">
        <v>0.5588241542307346</v>
      </c>
      <c r="U3735" s="16" t="n">
        <v>0.939229561274338</v>
      </c>
      <c r="V3735" s="16" t="n">
        <v>0.4190094541082001</v>
      </c>
      <c r="W3735" s="16" t="n">
        <v>0.4871697236388403</v>
      </c>
      <c r="X3735" s="16" t="n">
        <v>0.7407817573425772</v>
      </c>
      <c r="Y3735" s="16" t="n">
        <v>294.7123939768234</v>
      </c>
      <c r="Z3735" s="16" t="n"/>
      <c r="AA3735" s="16" t="n"/>
      <c r="AB3735" s="16" t="n">
        <v>1932.079702252544</v>
      </c>
      <c r="AC3735" s="16" t="n">
        <v>4.047374762532717</v>
      </c>
      <c r="AD3735" s="16" t="n"/>
      <c r="AE3735" s="16" t="n"/>
    </row>
    <row r="3736">
      <c r="A3736" s="16" t="inlineStr">
        <is>
          <t>KF-M09-R0-x_b-0022</t>
        </is>
      </c>
      <c r="B3736" s="16" t="inlineStr">
        <is>
          <t>4.3</t>
        </is>
      </c>
      <c r="C3736" s="16" t="inlineStr">
        <is>
          <t>4.3 x_b</t>
        </is>
      </c>
      <c r="D3736" s="16" t="inlineStr">
        <is>
          <t>ronda 0</t>
        </is>
      </c>
      <c r="E3736" s="16" t="inlineStr">
        <is>
          <t>KF-M09</t>
        </is>
      </c>
      <c r="F3736" s="16" t="inlineStr">
        <is>
          <t>KF-M09-R0-x_b</t>
        </is>
      </c>
      <c r="G3736" s="16" t="inlineStr">
        <is>
          <t>B13-x_b</t>
        </is>
      </c>
      <c r="H3736" s="16" t="inlineStr">
        <is>
          <t>lhs</t>
        </is>
      </c>
      <c r="I3736" s="16" t="inlineStr">
        <is>
          <t>INVIABLE</t>
        </is>
      </c>
      <c r="J3736" s="16" t="inlineStr">
        <is>
          <t>INVIABLE</t>
        </is>
      </c>
      <c r="K3736" s="16" t="b">
        <v>1</v>
      </c>
      <c r="L3736" s="16" t="b">
        <v>0</v>
      </c>
      <c r="M3736" s="16" t="b">
        <v>1</v>
      </c>
      <c r="N3736" s="16" t="b">
        <v>0</v>
      </c>
      <c r="O3736" s="16" t="n">
        <v>489.7218086473794</v>
      </c>
      <c r="P3736" s="16" t="n">
        <v>293.3100851011477</v>
      </c>
      <c r="Q3736" s="16" t="n">
        <v>3460.320880252862</v>
      </c>
      <c r="R3736" s="16" t="n">
        <v>1918.212289258206</v>
      </c>
      <c r="S3736" s="16" t="n">
        <v>0.5</v>
      </c>
      <c r="T3736" s="16" t="n">
        <v>0.5880803705548122</v>
      </c>
      <c r="U3736" s="16" t="n">
        <v>0.5714558727507155</v>
      </c>
      <c r="V3736" s="16" t="n">
        <v>0.4300645751105515</v>
      </c>
      <c r="W3736" s="16" t="n">
        <v>0.7220220886495325</v>
      </c>
      <c r="X3736" s="16" t="n">
        <v>0.4039762184144703</v>
      </c>
      <c r="Y3736" s="16" t="n">
        <v>293.3100851011477</v>
      </c>
      <c r="Z3736" s="16" t="n">
        <v>-2.68935911561921</v>
      </c>
      <c r="AA3736" s="16" t="n">
        <v>-16.06483113770656</v>
      </c>
      <c r="AB3736" s="16" t="n">
        <v>1542.108590994656</v>
      </c>
      <c r="AC3736" s="16" t="n">
        <v>1.803930096595829</v>
      </c>
      <c r="AD3736" s="16" t="inlineStr">
        <is>
          <t>O2,O3</t>
        </is>
      </c>
      <c r="AE3736" s="16" t="n"/>
    </row>
    <row r="3737">
      <c r="A3737" s="16" t="inlineStr">
        <is>
          <t>KF-M09-R0-x_b-0023</t>
        </is>
      </c>
      <c r="B3737" s="16" t="inlineStr">
        <is>
          <t>4.3</t>
        </is>
      </c>
      <c r="C3737" s="16" t="inlineStr">
        <is>
          <t>4.3 x_b</t>
        </is>
      </c>
      <c r="D3737" s="16" t="inlineStr">
        <is>
          <t>ronda 0</t>
        </is>
      </c>
      <c r="E3737" s="16" t="inlineStr">
        <is>
          <t>KF-M09</t>
        </is>
      </c>
      <c r="F3737" s="16" t="inlineStr">
        <is>
          <t>KF-M09-R0-x_b</t>
        </is>
      </c>
      <c r="G3737" s="16" t="inlineStr">
        <is>
          <t>B13-x_b</t>
        </is>
      </c>
      <c r="H3737" s="16" t="inlineStr">
        <is>
          <t>lhs</t>
        </is>
      </c>
      <c r="I3737" s="16" t="inlineStr">
        <is>
          <t>NO_CONVERGIO</t>
        </is>
      </c>
      <c r="J3737" s="16" t="inlineStr">
        <is>
          <t>NO_CONVERGIO</t>
        </is>
      </c>
      <c r="K3737" s="16" t="b">
        <v>0</v>
      </c>
      <c r="L3737" s="16" t="b">
        <v>0</v>
      </c>
      <c r="M3737" s="16" t="b">
        <v>0</v>
      </c>
      <c r="N3737" s="16" t="b">
        <v>0</v>
      </c>
      <c r="O3737" s="16" t="n">
        <v>389.5765248158048</v>
      </c>
      <c r="P3737" s="16" t="n">
        <v>284.3231753465597</v>
      </c>
      <c r="Q3737" s="16" t="n">
        <v>4440.206974500699</v>
      </c>
      <c r="R3737" s="16" t="n">
        <v>971.2741840101939</v>
      </c>
      <c r="S3737" s="16" t="n">
        <v>0.5</v>
      </c>
      <c r="T3737" s="16" t="n">
        <v>0.8965649652589016</v>
      </c>
      <c r="U3737" s="16" t="n">
        <v>0.4017238255261008</v>
      </c>
      <c r="V3737" s="16" t="n">
        <v>0.5866171109386619</v>
      </c>
      <c r="W3737" s="16" t="n">
        <v>0.4160976640908251</v>
      </c>
      <c r="X3737" s="16" t="n">
        <v>0.6948613444648873</v>
      </c>
      <c r="Y3737" s="16" t="n">
        <v>284.3231753465597</v>
      </c>
      <c r="Z3737" s="16" t="n"/>
      <c r="AA3737" s="16" t="n"/>
      <c r="AB3737" s="16" t="n">
        <v>3468.932790490505</v>
      </c>
      <c r="AC3737" s="16" t="n">
        <v>4.571527842084699</v>
      </c>
      <c r="AD3737" s="16" t="n"/>
      <c r="AE3737" s="16" t="n"/>
    </row>
    <row r="3738">
      <c r="A3738" s="16" t="inlineStr">
        <is>
          <t>KF-M09-R0-x_b-0024</t>
        </is>
      </c>
      <c r="B3738" s="16" t="inlineStr">
        <is>
          <t>4.3</t>
        </is>
      </c>
      <c r="C3738" s="16" t="inlineStr">
        <is>
          <t>4.3 x_b</t>
        </is>
      </c>
      <c r="D3738" s="16" t="inlineStr">
        <is>
          <t>ronda 0</t>
        </is>
      </c>
      <c r="E3738" s="16" t="inlineStr">
        <is>
          <t>KF-M09</t>
        </is>
      </c>
      <c r="F3738" s="16" t="inlineStr">
        <is>
          <t>KF-M09-R0-x_b</t>
        </is>
      </c>
      <c r="G3738" s="16" t="inlineStr">
        <is>
          <t>B13-x_b</t>
        </is>
      </c>
      <c r="H3738" s="16" t="inlineStr">
        <is>
          <t>lhs</t>
        </is>
      </c>
      <c r="I3738" s="16" t="inlineStr">
        <is>
          <t>CORREGIBLE</t>
        </is>
      </c>
      <c r="J3738" s="16" t="inlineStr">
        <is>
          <t>CORREGIBLE</t>
        </is>
      </c>
      <c r="K3738" s="16" t="b">
        <v>1</v>
      </c>
      <c r="L3738" s="16" t="b">
        <v>0</v>
      </c>
      <c r="M3738" s="16" t="b">
        <v>1</v>
      </c>
      <c r="N3738" s="16" t="b">
        <v>0</v>
      </c>
      <c r="O3738" s="16" t="n">
        <v>485.3273131633943</v>
      </c>
      <c r="P3738" s="16" t="n">
        <v>296.6773126709304</v>
      </c>
      <c r="Q3738" s="16" t="n">
        <v>2468.446516870588</v>
      </c>
      <c r="R3738" s="16" t="n">
        <v>875.1349356033136</v>
      </c>
      <c r="S3738" s="16" t="n">
        <v>0.5</v>
      </c>
      <c r="T3738" s="16" t="n">
        <v>0.9393653121281492</v>
      </c>
      <c r="U3738" s="16" t="n">
        <v>0.625013237818011</v>
      </c>
      <c r="V3738" s="16" t="n">
        <v>0.8537652632238729</v>
      </c>
      <c r="W3738" s="16" t="n">
        <v>0.4217808802921609</v>
      </c>
      <c r="X3738" s="16" t="n">
        <v>0.6714413816772722</v>
      </c>
      <c r="Y3738" s="16" t="n">
        <v>296.6773126709304</v>
      </c>
      <c r="Z3738" s="16" t="n">
        <v>6.85120360536366</v>
      </c>
      <c r="AA3738" s="16" t="n">
        <v>98.09849938408962</v>
      </c>
      <c r="AB3738" s="16" t="n">
        <v>1593.311581267275</v>
      </c>
      <c r="AC3738" s="16" t="n">
        <v>2.820646755655862</v>
      </c>
      <c r="AD3738" s="16" t="inlineStr">
        <is>
          <t>O2</t>
        </is>
      </c>
      <c r="AE3738" s="16" t="n"/>
    </row>
    <row r="3739">
      <c r="A3739" s="16" t="inlineStr">
        <is>
          <t>KF-M09-R0-x_b-0025</t>
        </is>
      </c>
      <c r="B3739" s="16" t="inlineStr">
        <is>
          <t>4.3</t>
        </is>
      </c>
      <c r="C3739" s="16" t="inlineStr">
        <is>
          <t>4.3 x_b</t>
        </is>
      </c>
      <c r="D3739" s="16" t="inlineStr">
        <is>
          <t>ronda 0</t>
        </is>
      </c>
      <c r="E3739" s="16" t="inlineStr">
        <is>
          <t>KF-M09</t>
        </is>
      </c>
      <c r="F3739" s="16" t="inlineStr">
        <is>
          <t>KF-M09-R0-x_b</t>
        </is>
      </c>
      <c r="G3739" s="16" t="inlineStr">
        <is>
          <t>B13-x_b</t>
        </is>
      </c>
      <c r="H3739" s="16" t="inlineStr">
        <is>
          <t>lhs</t>
        </is>
      </c>
      <c r="I3739" s="16" t="inlineStr">
        <is>
          <t>CORREGIBLE</t>
        </is>
      </c>
      <c r="J3739" s="16" t="inlineStr">
        <is>
          <t>CORREGIBLE</t>
        </is>
      </c>
      <c r="K3739" s="16" t="b">
        <v>1</v>
      </c>
      <c r="L3739" s="16" t="b">
        <v>0</v>
      </c>
      <c r="M3739" s="16" t="b">
        <v>1</v>
      </c>
      <c r="N3739" s="16" t="b">
        <v>0</v>
      </c>
      <c r="O3739" s="16" t="n">
        <v>476.9752263742706</v>
      </c>
      <c r="P3739" s="16" t="n">
        <v>281.442601904268</v>
      </c>
      <c r="Q3739" s="16" t="n">
        <v>2823.603678942809</v>
      </c>
      <c r="R3739" s="16" t="n">
        <v>1455.196008746562</v>
      </c>
      <c r="S3739" s="16" t="n">
        <v>0.5</v>
      </c>
      <c r="T3739" s="16" t="n">
        <v>0.5010506663426747</v>
      </c>
      <c r="U3739" s="16" t="n">
        <v>0.8951850439715394</v>
      </c>
      <c r="V3739" s="16" t="n">
        <v>0.8573426636801563</v>
      </c>
      <c r="W3739" s="16" t="n">
        <v>0.7756764504411262</v>
      </c>
      <c r="X3739" s="16" t="n">
        <v>0.6087433971064979</v>
      </c>
      <c r="Y3739" s="16" t="n">
        <v>281.442601904268</v>
      </c>
      <c r="Z3739" s="16" t="n">
        <v>1.72659473688881</v>
      </c>
      <c r="AA3739" s="16" t="n">
        <v>22.88336600230481</v>
      </c>
      <c r="AB3739" s="16" t="n">
        <v>1368.407670196246</v>
      </c>
      <c r="AC3739" s="16" t="n">
        <v>1.940359691733163</v>
      </c>
      <c r="AD3739" s="16" t="inlineStr">
        <is>
          <t>O2</t>
        </is>
      </c>
      <c r="AE3739" s="16" t="n"/>
    </row>
    <row r="3740">
      <c r="A3740" s="16" t="inlineStr">
        <is>
          <t>KF-M09-R0-x_b-0026</t>
        </is>
      </c>
      <c r="B3740" s="16" t="inlineStr">
        <is>
          <t>4.3</t>
        </is>
      </c>
      <c r="C3740" s="16" t="inlineStr">
        <is>
          <t>4.3 x_b</t>
        </is>
      </c>
      <c r="D3740" s="16" t="inlineStr">
        <is>
          <t>ronda 0</t>
        </is>
      </c>
      <c r="E3740" s="16" t="inlineStr">
        <is>
          <t>KF-M09</t>
        </is>
      </c>
      <c r="F3740" s="16" t="inlineStr">
        <is>
          <t>KF-M09-R0-x_b</t>
        </is>
      </c>
      <c r="G3740" s="16" t="inlineStr">
        <is>
          <t>B13-x_b</t>
        </is>
      </c>
      <c r="H3740" s="16" t="inlineStr">
        <is>
          <t>lhs</t>
        </is>
      </c>
      <c r="I3740" s="16" t="inlineStr">
        <is>
          <t>INVIABLE</t>
        </is>
      </c>
      <c r="J3740" s="16" t="inlineStr">
        <is>
          <t>INVIABLE</t>
        </is>
      </c>
      <c r="K3740" s="16" t="b">
        <v>1</v>
      </c>
      <c r="L3740" s="16" t="b">
        <v>0</v>
      </c>
      <c r="M3740" s="16" t="b">
        <v>0</v>
      </c>
      <c r="N3740" s="16" t="b">
        <v>0</v>
      </c>
      <c r="O3740" s="16" t="n">
        <v>432.2555898059589</v>
      </c>
      <c r="P3740" s="16" t="n">
        <v>279.158145193976</v>
      </c>
      <c r="Q3740" s="16" t="n">
        <v>3765.229827522002</v>
      </c>
      <c r="R3740" s="16" t="n">
        <v>831.850957668728</v>
      </c>
      <c r="S3740" s="16" t="n">
        <v>0.5</v>
      </c>
      <c r="T3740" s="16" t="n">
        <v>0.4015449601271692</v>
      </c>
      <c r="U3740" s="16" t="n">
        <v>0.4461850056763805</v>
      </c>
      <c r="V3740" s="16" t="n">
        <v>0.6222759648001661</v>
      </c>
      <c r="W3740" s="16" t="n">
        <v>0.7056991671834965</v>
      </c>
      <c r="X3740" s="16" t="n">
        <v>0.4393183988774038</v>
      </c>
      <c r="Y3740" s="16" t="n">
        <v>279.158145193976</v>
      </c>
      <c r="Z3740" s="16" t="n">
        <v>-3.1698165190557</v>
      </c>
      <c r="AA3740" s="16" t="n">
        <v>-10.22906405676735</v>
      </c>
      <c r="AB3740" s="16" t="n">
        <v>2933.378869853274</v>
      </c>
      <c r="AC3740" s="16" t="n">
        <v>4.526327454228221</v>
      </c>
      <c r="AD3740" s="16" t="inlineStr">
        <is>
          <t>O2,O3</t>
        </is>
      </c>
      <c r="AE3740" s="16" t="n"/>
    </row>
    <row r="3741">
      <c r="A3741" s="16" t="inlineStr">
        <is>
          <t>KF-M09-R0-x_b-0027</t>
        </is>
      </c>
      <c r="B3741" s="16" t="inlineStr">
        <is>
          <t>4.3</t>
        </is>
      </c>
      <c r="C3741" s="16" t="inlineStr">
        <is>
          <t>4.3 x_b</t>
        </is>
      </c>
      <c r="D3741" s="16" t="inlineStr">
        <is>
          <t>ronda 0</t>
        </is>
      </c>
      <c r="E3741" s="16" t="inlineStr">
        <is>
          <t>KF-M09</t>
        </is>
      </c>
      <c r="F3741" s="16" t="inlineStr">
        <is>
          <t>KF-M09-R0-x_b</t>
        </is>
      </c>
      <c r="G3741" s="16" t="inlineStr">
        <is>
          <t>B13-x_b</t>
        </is>
      </c>
      <c r="H3741" s="16" t="inlineStr">
        <is>
          <t>lhs</t>
        </is>
      </c>
      <c r="I3741" s="16" t="inlineStr">
        <is>
          <t>KALINA</t>
        </is>
      </c>
      <c r="J3741" s="16" t="inlineStr">
        <is>
          <t>KALINA</t>
        </is>
      </c>
      <c r="K3741" s="16" t="b">
        <v>1</v>
      </c>
      <c r="L3741" s="16" t="b">
        <v>1</v>
      </c>
      <c r="M3741" s="16" t="b">
        <v>0</v>
      </c>
      <c r="N3741" s="16" t="b">
        <v>0</v>
      </c>
      <c r="O3741" s="16" t="n">
        <v>424.3620420823182</v>
      </c>
      <c r="P3741" s="16" t="n">
        <v>299.5839048554639</v>
      </c>
      <c r="Q3741" s="16" t="n">
        <v>3240.370344284258</v>
      </c>
      <c r="R3741" s="16" t="n">
        <v>557.043280699254</v>
      </c>
      <c r="S3741" s="16" t="n">
        <v>0.5</v>
      </c>
      <c r="T3741" s="16" t="n">
        <v>0.4187357442710104</v>
      </c>
      <c r="U3741" s="16" t="n">
        <v>0.7779819130379293</v>
      </c>
      <c r="V3741" s="16" t="n">
        <v>0.6022136328300153</v>
      </c>
      <c r="W3741" s="16" t="n">
        <v>0.5436194465823545</v>
      </c>
      <c r="X3741" s="16" t="n">
        <v>0.896449858602681</v>
      </c>
      <c r="Y3741" s="16" t="n">
        <v>299.5839048554639</v>
      </c>
      <c r="Z3741" s="16" t="n">
        <v>3.08582055988344</v>
      </c>
      <c r="AA3741" s="16" t="n">
        <v>13.20438304729456</v>
      </c>
      <c r="AB3741" s="16" t="n">
        <v>2683.327063585004</v>
      </c>
      <c r="AC3741" s="16" t="n">
        <v>5.817089006471159</v>
      </c>
      <c r="AD3741" s="16" t="n"/>
      <c r="AE3741" s="16" t="n"/>
    </row>
    <row r="3742">
      <c r="A3742" s="16" t="inlineStr">
        <is>
          <t>KF-M09-R0-x_b-0028</t>
        </is>
      </c>
      <c r="B3742" s="16" t="inlineStr">
        <is>
          <t>4.3</t>
        </is>
      </c>
      <c r="C3742" s="16" t="inlineStr">
        <is>
          <t>4.3 x_b</t>
        </is>
      </c>
      <c r="D3742" s="16" t="inlineStr">
        <is>
          <t>ronda 0</t>
        </is>
      </c>
      <c r="E3742" s="16" t="inlineStr">
        <is>
          <t>KF-M09</t>
        </is>
      </c>
      <c r="F3742" s="16" t="inlineStr">
        <is>
          <t>KF-M09-R0-x_b</t>
        </is>
      </c>
      <c r="G3742" s="16" t="inlineStr">
        <is>
          <t>B13-x_b</t>
        </is>
      </c>
      <c r="H3742" s="16" t="inlineStr">
        <is>
          <t>lhs</t>
        </is>
      </c>
      <c r="I3742" s="16" t="inlineStr">
        <is>
          <t>N2</t>
        </is>
      </c>
      <c r="J3742" s="16" t="inlineStr">
        <is>
          <t>NO_CONVERGIO</t>
        </is>
      </c>
      <c r="K3742" s="16" t="b">
        <v>0</v>
      </c>
      <c r="L3742" s="16" t="b">
        <v>0</v>
      </c>
      <c r="M3742" s="16" t="b">
        <v>0</v>
      </c>
      <c r="N3742" s="16" t="b">
        <v>0</v>
      </c>
      <c r="O3742" s="16" t="n">
        <v>382.7128430890358</v>
      </c>
      <c r="P3742" s="16" t="n">
        <v>294.0217285522445</v>
      </c>
      <c r="Q3742" s="16" t="n">
        <v>2895.374923962102</v>
      </c>
      <c r="R3742" s="16" t="n">
        <v>1862.645654277953</v>
      </c>
      <c r="S3742" s="16" t="n">
        <v>0.5</v>
      </c>
      <c r="T3742" s="16" t="n">
        <v>0.7985504990569896</v>
      </c>
      <c r="U3742" s="16" t="n">
        <v>0.7118966303351507</v>
      </c>
      <c r="V3742" s="16" t="n">
        <v>0.5716699104494812</v>
      </c>
      <c r="W3742" s="16" t="n">
        <v>0.9112025890161556</v>
      </c>
      <c r="X3742" s="16" t="n">
        <v>0.7803404014045006</v>
      </c>
      <c r="Y3742" s="16" t="n">
        <v>294.0217285522445</v>
      </c>
      <c r="Z3742" s="16" t="n">
        <v>-23.31542738557858</v>
      </c>
      <c r="AA3742" s="16" t="n">
        <v>-4.204486001990768</v>
      </c>
      <c r="AB3742" s="16" t="n">
        <v>1032.729269684149</v>
      </c>
      <c r="AC3742" s="16" t="n">
        <v>1.554442154530182</v>
      </c>
      <c r="AD3742" s="16" t="inlineStr">
        <is>
          <t>N2,S6,O3,O5,C1,C3,C3</t>
        </is>
      </c>
      <c r="AE3742" s="16" t="n"/>
    </row>
    <row r="3743">
      <c r="A3743" s="16" t="inlineStr">
        <is>
          <t>KF-M09-R0-x_b-0029</t>
        </is>
      </c>
      <c r="B3743" s="16" t="inlineStr">
        <is>
          <t>4.3</t>
        </is>
      </c>
      <c r="C3743" s="16" t="inlineStr">
        <is>
          <t>4.3 x_b</t>
        </is>
      </c>
      <c r="D3743" s="16" t="inlineStr">
        <is>
          <t>ronda 0</t>
        </is>
      </c>
      <c r="E3743" s="16" t="inlineStr">
        <is>
          <t>KF-M09</t>
        </is>
      </c>
      <c r="F3743" s="16" t="inlineStr">
        <is>
          <t>KF-M09-R0-x_b</t>
        </is>
      </c>
      <c r="G3743" s="16" t="inlineStr">
        <is>
          <t>B13-x_b</t>
        </is>
      </c>
      <c r="H3743" s="16" t="inlineStr">
        <is>
          <t>lhs</t>
        </is>
      </c>
      <c r="I3743" s="16" t="inlineStr">
        <is>
          <t>N2</t>
        </is>
      </c>
      <c r="J3743" s="16" t="inlineStr">
        <is>
          <t>NO_CONVERGIO</t>
        </is>
      </c>
      <c r="K3743" s="16" t="b">
        <v>0</v>
      </c>
      <c r="L3743" s="16" t="b">
        <v>0</v>
      </c>
      <c r="M3743" s="16" t="b">
        <v>0</v>
      </c>
      <c r="N3743" s="16" t="b">
        <v>0</v>
      </c>
      <c r="O3743" s="16" t="n">
        <v>403.951437223897</v>
      </c>
      <c r="P3743" s="16" t="n">
        <v>285.3372649460987</v>
      </c>
      <c r="Q3743" s="16" t="n">
        <v>4102.820896746218</v>
      </c>
      <c r="R3743" s="16" t="n">
        <v>622.0967407505634</v>
      </c>
      <c r="S3743" s="16" t="n">
        <v>0.5</v>
      </c>
      <c r="T3743" s="16" t="n">
        <v>0.4411069305022536</v>
      </c>
      <c r="U3743" s="16" t="n">
        <v>0.8635649888681022</v>
      </c>
      <c r="V3743" s="16" t="n">
        <v>0.8319625942220132</v>
      </c>
      <c r="W3743" s="16" t="n">
        <v>0.5247165952209017</v>
      </c>
      <c r="X3743" s="16" t="n">
        <v>0.7652725492663749</v>
      </c>
      <c r="Y3743" s="16" t="n">
        <v>285.3372649460987</v>
      </c>
      <c r="Z3743" s="16" t="n">
        <v>-6.72947401429618</v>
      </c>
      <c r="AA3743" s="16" t="n">
        <v>-14.21778982653044</v>
      </c>
      <c r="AB3743" s="16" t="n">
        <v>3480.724155995655</v>
      </c>
      <c r="AC3743" s="16" t="n">
        <v>6.595149320017558</v>
      </c>
      <c r="AD3743" s="16" t="inlineStr">
        <is>
          <t>N2,O3,O5,C1,C3,C3</t>
        </is>
      </c>
      <c r="AE3743" s="16" t="n"/>
    </row>
    <row r="3744">
      <c r="A3744" s="16" t="inlineStr">
        <is>
          <t>KF-M09-R0-x_b-0030</t>
        </is>
      </c>
      <c r="B3744" s="16" t="inlineStr">
        <is>
          <t>4.3</t>
        </is>
      </c>
      <c r="C3744" s="16" t="inlineStr">
        <is>
          <t>4.3 x_b</t>
        </is>
      </c>
      <c r="D3744" s="16" t="inlineStr">
        <is>
          <t>ronda 0</t>
        </is>
      </c>
      <c r="E3744" s="16" t="inlineStr">
        <is>
          <t>KF-M09</t>
        </is>
      </c>
      <c r="F3744" s="16" t="inlineStr">
        <is>
          <t>KF-M09-R0-x_b</t>
        </is>
      </c>
      <c r="G3744" s="16" t="inlineStr">
        <is>
          <t>B13-x_b</t>
        </is>
      </c>
      <c r="H3744" s="16" t="inlineStr">
        <is>
          <t>lhs</t>
        </is>
      </c>
      <c r="I3744" s="16" t="inlineStr">
        <is>
          <t>CORREGIBLE</t>
        </is>
      </c>
      <c r="J3744" s="16" t="inlineStr">
        <is>
          <t>CORREGIBLE</t>
        </is>
      </c>
      <c r="K3744" s="16" t="b">
        <v>1</v>
      </c>
      <c r="L3744" s="16" t="b">
        <v>0</v>
      </c>
      <c r="M3744" s="16" t="b">
        <v>1</v>
      </c>
      <c r="N3744" s="16" t="b">
        <v>0</v>
      </c>
      <c r="O3744" s="16" t="n">
        <v>496.849663146236</v>
      </c>
      <c r="P3744" s="16" t="n">
        <v>295.3124856754376</v>
      </c>
      <c r="Q3744" s="16" t="n">
        <v>3121.726987190854</v>
      </c>
      <c r="R3744" s="16" t="n">
        <v>1272.391375923408</v>
      </c>
      <c r="S3744" s="16" t="n">
        <v>0.5</v>
      </c>
      <c r="T3744" s="16" t="n">
        <v>0.8788480244754213</v>
      </c>
      <c r="U3744" s="16" t="n">
        <v>0.6673601037543699</v>
      </c>
      <c r="V3744" s="16" t="n">
        <v>0.6789214437917324</v>
      </c>
      <c r="W3744" s="16" t="n">
        <v>0.6717819041646896</v>
      </c>
      <c r="X3744" s="16" t="n">
        <v>0.7062694106885005</v>
      </c>
      <c r="Y3744" s="16" t="n">
        <v>295.3124856754376</v>
      </c>
      <c r="Z3744" s="16" t="n">
        <v>6.504284459516859</v>
      </c>
      <c r="AA3744" s="16" t="n">
        <v>81.62688847831571</v>
      </c>
      <c r="AB3744" s="16" t="n">
        <v>1849.335611267445</v>
      </c>
      <c r="AC3744" s="16" t="n">
        <v>2.453432997316045</v>
      </c>
      <c r="AD3744" s="16" t="inlineStr">
        <is>
          <t>O2</t>
        </is>
      </c>
      <c r="AE3744" s="16" t="n"/>
    </row>
    <row r="3745">
      <c r="A3745" s="16" t="inlineStr">
        <is>
          <t>KF-M09-R0-x_b-0031</t>
        </is>
      </c>
      <c r="B3745" s="16" t="inlineStr">
        <is>
          <t>4.3</t>
        </is>
      </c>
      <c r="C3745" s="16" t="inlineStr">
        <is>
          <t>4.3 x_b</t>
        </is>
      </c>
      <c r="D3745" s="16" t="inlineStr">
        <is>
          <t>ronda 0</t>
        </is>
      </c>
      <c r="E3745" s="16" t="inlineStr">
        <is>
          <t>KF-M09</t>
        </is>
      </c>
      <c r="F3745" s="16" t="inlineStr">
        <is>
          <t>KF-M09-R0-x_b</t>
        </is>
      </c>
      <c r="G3745" s="16" t="inlineStr">
        <is>
          <t>B13-x_b</t>
        </is>
      </c>
      <c r="H3745" s="16" t="inlineStr">
        <is>
          <t>lhs</t>
        </is>
      </c>
      <c r="I3745" s="16" t="inlineStr">
        <is>
          <t>CORREGIBLE</t>
        </is>
      </c>
      <c r="J3745" s="16" t="inlineStr">
        <is>
          <t>CORREGIBLE</t>
        </is>
      </c>
      <c r="K3745" s="16" t="b">
        <v>1</v>
      </c>
      <c r="L3745" s="16" t="b">
        <v>0</v>
      </c>
      <c r="M3745" s="16" t="b">
        <v>1</v>
      </c>
      <c r="N3745" s="16" t="b">
        <v>0</v>
      </c>
      <c r="O3745" s="16" t="n">
        <v>472.0663324298781</v>
      </c>
      <c r="P3745" s="16" t="n">
        <v>279.3928975527127</v>
      </c>
      <c r="Q3745" s="16" t="n">
        <v>3552.928860099447</v>
      </c>
      <c r="R3745" s="16" t="n">
        <v>844.6524134694927</v>
      </c>
      <c r="S3745" s="16" t="n">
        <v>0.5</v>
      </c>
      <c r="T3745" s="16" t="n">
        <v>0.51006740278772</v>
      </c>
      <c r="U3745" s="16" t="n">
        <v>0.6819044210336775</v>
      </c>
      <c r="V3745" s="16" t="n">
        <v>0.6951587494972333</v>
      </c>
      <c r="W3745" s="16" t="n">
        <v>0.4990685214803612</v>
      </c>
      <c r="X3745" s="16" t="n">
        <v>0.7291702269591963</v>
      </c>
      <c r="Y3745" s="16" t="n">
        <v>279.3928975527127</v>
      </c>
      <c r="Z3745" s="16" t="n">
        <v>5.38381941853664</v>
      </c>
      <c r="AA3745" s="16" t="n">
        <v>59.08411042447064</v>
      </c>
      <c r="AB3745" s="16" t="n">
        <v>2708.276446629954</v>
      </c>
      <c r="AC3745" s="16" t="n">
        <v>4.206379811910373</v>
      </c>
      <c r="AD3745" s="16" t="inlineStr">
        <is>
          <t>O2</t>
        </is>
      </c>
      <c r="AE3745" s="16" t="n"/>
    </row>
    <row r="3746">
      <c r="A3746" s="16" t="inlineStr">
        <is>
          <t>KF-M09-R0-x_b-0032</t>
        </is>
      </c>
      <c r="B3746" s="16" t="inlineStr">
        <is>
          <t>4.3</t>
        </is>
      </c>
      <c r="C3746" s="16" t="inlineStr">
        <is>
          <t>4.3 x_b</t>
        </is>
      </c>
      <c r="D3746" s="16" t="inlineStr">
        <is>
          <t>ronda 0</t>
        </is>
      </c>
      <c r="E3746" s="16" t="inlineStr">
        <is>
          <t>KF-M09</t>
        </is>
      </c>
      <c r="F3746" s="16" t="inlineStr">
        <is>
          <t>KF-M09-R0-x_b</t>
        </is>
      </c>
      <c r="G3746" s="16" t="inlineStr">
        <is>
          <t>B13-x_b</t>
        </is>
      </c>
      <c r="H3746" s="16" t="inlineStr">
        <is>
          <t>lhs</t>
        </is>
      </c>
      <c r="I3746" s="16" t="inlineStr">
        <is>
          <t>CORREGIBLE</t>
        </is>
      </c>
      <c r="J3746" s="16" t="inlineStr">
        <is>
          <t>CORREGIBLE</t>
        </is>
      </c>
      <c r="K3746" s="16" t="b">
        <v>1</v>
      </c>
      <c r="L3746" s="16" t="b">
        <v>0</v>
      </c>
      <c r="M3746" s="16" t="b">
        <v>1</v>
      </c>
      <c r="N3746" s="16" t="b">
        <v>0</v>
      </c>
      <c r="O3746" s="16" t="n">
        <v>470.432610409429</v>
      </c>
      <c r="P3746" s="16" t="n">
        <v>289.6917122300939</v>
      </c>
      <c r="Q3746" s="16" t="n">
        <v>3796.653703349325</v>
      </c>
      <c r="R3746" s="16" t="n">
        <v>789.9193878655325</v>
      </c>
      <c r="S3746" s="16" t="n">
        <v>0.5</v>
      </c>
      <c r="T3746" s="16" t="n">
        <v>0.83383487497635</v>
      </c>
      <c r="U3746" s="16" t="n">
        <v>0.7343052240946324</v>
      </c>
      <c r="V3746" s="16" t="n">
        <v>0.6054781993295819</v>
      </c>
      <c r="W3746" s="16" t="n">
        <v>0.5564317793327805</v>
      </c>
      <c r="X3746" s="16" t="n">
        <v>0.6391410277383763</v>
      </c>
      <c r="Y3746" s="16" t="n">
        <v>289.6917122300939</v>
      </c>
      <c r="Z3746" s="16" t="n">
        <v>9.68509939339906</v>
      </c>
      <c r="AA3746" s="16" t="n">
        <v>77.73000968558547</v>
      </c>
      <c r="AB3746" s="16" t="n">
        <v>3006.734315483793</v>
      </c>
      <c r="AC3746" s="16" t="n">
        <v>4.806381210123719</v>
      </c>
      <c r="AD3746" s="16" t="inlineStr">
        <is>
          <t>O2</t>
        </is>
      </c>
      <c r="AE3746" s="16" t="n"/>
    </row>
    <row r="3747">
      <c r="A3747" s="16" t="inlineStr">
        <is>
          <t>KF-M09-R0-x_b-0033</t>
        </is>
      </c>
      <c r="B3747" s="16" t="inlineStr">
        <is>
          <t>4.3</t>
        </is>
      </c>
      <c r="C3747" s="16" t="inlineStr">
        <is>
          <t>4.3 x_b</t>
        </is>
      </c>
      <c r="D3747" s="16" t="inlineStr">
        <is>
          <t>ronda 0</t>
        </is>
      </c>
      <c r="E3747" s="16" t="inlineStr">
        <is>
          <t>KF-M09</t>
        </is>
      </c>
      <c r="F3747" s="16" t="inlineStr">
        <is>
          <t>KF-M09-R0-x_b</t>
        </is>
      </c>
      <c r="G3747" s="16" t="inlineStr">
        <is>
          <t>B13-x_b</t>
        </is>
      </c>
      <c r="H3747" s="16" t="inlineStr">
        <is>
          <t>lhs</t>
        </is>
      </c>
      <c r="I3747" s="16" t="inlineStr">
        <is>
          <t>NO_CONVERGIO</t>
        </is>
      </c>
      <c r="J3747" s="16" t="inlineStr">
        <is>
          <t>NO_CONVERGIO</t>
        </is>
      </c>
      <c r="K3747" s="16" t="b">
        <v>0</v>
      </c>
      <c r="L3747" s="16" t="b">
        <v>0</v>
      </c>
      <c r="M3747" s="16" t="b">
        <v>0</v>
      </c>
      <c r="N3747" s="16" t="b">
        <v>0</v>
      </c>
      <c r="O3747" s="16" t="n">
        <v>444.1014485174446</v>
      </c>
      <c r="P3747" s="16" t="n">
        <v>298.1057263355543</v>
      </c>
      <c r="Q3747" s="16" t="n">
        <v>2104.863964500324</v>
      </c>
      <c r="R3747" s="16" t="n">
        <v>674.9258577583076</v>
      </c>
      <c r="S3747" s="16" t="n">
        <v>0.5</v>
      </c>
      <c r="T3747" s="16" t="n">
        <v>0.4960327769922661</v>
      </c>
      <c r="U3747" s="16" t="n">
        <v>0.8033953703923317</v>
      </c>
      <c r="V3747" s="16" t="n">
        <v>0.5609925117210989</v>
      </c>
      <c r="W3747" s="16" t="n">
        <v>0.5192260122048865</v>
      </c>
      <c r="X3747" s="16" t="n">
        <v>0.698605760922874</v>
      </c>
      <c r="Y3747" s="16" t="n">
        <v>298.1057263355543</v>
      </c>
      <c r="Z3747" s="16" t="n"/>
      <c r="AA3747" s="16" t="n"/>
      <c r="AB3747" s="16" t="n">
        <v>1429.938106742016</v>
      </c>
      <c r="AC3747" s="16" t="n">
        <v>3.118659539125378</v>
      </c>
      <c r="AD3747" s="16" t="n"/>
      <c r="AE3747" s="16" t="n"/>
    </row>
    <row r="3748">
      <c r="A3748" s="16" t="inlineStr">
        <is>
          <t>KF-M09-R0-x_b-0034</t>
        </is>
      </c>
      <c r="B3748" s="16" t="inlineStr">
        <is>
          <t>4.3</t>
        </is>
      </c>
      <c r="C3748" s="16" t="inlineStr">
        <is>
          <t>4.3 x_b</t>
        </is>
      </c>
      <c r="D3748" s="16" t="inlineStr">
        <is>
          <t>ronda 0</t>
        </is>
      </c>
      <c r="E3748" s="16" t="inlineStr">
        <is>
          <t>KF-M09</t>
        </is>
      </c>
      <c r="F3748" s="16" t="inlineStr">
        <is>
          <t>KF-M09-R0-x_b</t>
        </is>
      </c>
      <c r="G3748" s="16" t="inlineStr">
        <is>
          <t>B13-x_b</t>
        </is>
      </c>
      <c r="H3748" s="16" t="inlineStr">
        <is>
          <t>lhs</t>
        </is>
      </c>
      <c r="I3748" s="16" t="inlineStr">
        <is>
          <t>NO_CONVERGIO</t>
        </is>
      </c>
      <c r="J3748" s="16" t="inlineStr">
        <is>
          <t>NO_CONVERGIO</t>
        </is>
      </c>
      <c r="K3748" s="16" t="b">
        <v>0</v>
      </c>
      <c r="L3748" s="16" t="b">
        <v>0</v>
      </c>
      <c r="M3748" s="16" t="b">
        <v>0</v>
      </c>
      <c r="N3748" s="16" t="b">
        <v>0</v>
      </c>
      <c r="O3748" s="16" t="n">
        <v>397.9342100501602</v>
      </c>
      <c r="P3748" s="16" t="n">
        <v>280.3782128375594</v>
      </c>
      <c r="Q3748" s="16" t="n">
        <v>4935.274052914943</v>
      </c>
      <c r="R3748" s="16" t="n">
        <v>1027.902038670843</v>
      </c>
      <c r="S3748" s="16" t="n">
        <v>0.5</v>
      </c>
      <c r="T3748" s="16" t="n">
        <v>0.649302141858816</v>
      </c>
      <c r="U3748" s="16" t="n">
        <v>0.5983499334471534</v>
      </c>
      <c r="V3748" s="16" t="n">
        <v>0.5479157186042805</v>
      </c>
      <c r="W3748" s="16" t="n">
        <v>0.8973252860399137</v>
      </c>
      <c r="X3748" s="16" t="n">
        <v>0.5145127323033183</v>
      </c>
      <c r="Y3748" s="16" t="n">
        <v>280.3782128375594</v>
      </c>
      <c r="Z3748" s="16" t="n"/>
      <c r="AA3748" s="16" t="n"/>
      <c r="AB3748" s="16" t="n">
        <v>3907.372014244101</v>
      </c>
      <c r="AC3748" s="16" t="n">
        <v>4.801307777632816</v>
      </c>
      <c r="AD3748" s="16" t="n"/>
      <c r="AE3748" s="16" t="n"/>
    </row>
    <row r="3749">
      <c r="A3749" s="16" t="inlineStr">
        <is>
          <t>KF-M09-R0-x_b-0035</t>
        </is>
      </c>
      <c r="B3749" s="16" t="inlineStr">
        <is>
          <t>4.3</t>
        </is>
      </c>
      <c r="C3749" s="16" t="inlineStr">
        <is>
          <t>4.3 x_b</t>
        </is>
      </c>
      <c r="D3749" s="16" t="inlineStr">
        <is>
          <t>ronda 0</t>
        </is>
      </c>
      <c r="E3749" s="16" t="inlineStr">
        <is>
          <t>KF-M09</t>
        </is>
      </c>
      <c r="F3749" s="16" t="inlineStr">
        <is>
          <t>KF-M09-R0-x_b</t>
        </is>
      </c>
      <c r="G3749" s="16" t="inlineStr">
        <is>
          <t>B13-x_b</t>
        </is>
      </c>
      <c r="H3749" s="16" t="inlineStr">
        <is>
          <t>lhs</t>
        </is>
      </c>
      <c r="I3749" s="16" t="inlineStr">
        <is>
          <t>KALINA</t>
        </is>
      </c>
      <c r="J3749" s="16" t="inlineStr">
        <is>
          <t>KALINA</t>
        </is>
      </c>
      <c r="K3749" s="16" t="b">
        <v>1</v>
      </c>
      <c r="L3749" s="16" t="b">
        <v>1</v>
      </c>
      <c r="M3749" s="16" t="b">
        <v>0</v>
      </c>
      <c r="N3749" s="16" t="b">
        <v>0</v>
      </c>
      <c r="O3749" s="16" t="n">
        <v>392.8502417805968</v>
      </c>
      <c r="P3749" s="16" t="n">
        <v>290.5323637563608</v>
      </c>
      <c r="Q3749" s="16" t="n">
        <v>2308.137026417804</v>
      </c>
      <c r="R3749" s="16" t="n">
        <v>1536.473901970503</v>
      </c>
      <c r="S3749" s="16" t="n">
        <v>0.5</v>
      </c>
      <c r="T3749" s="16" t="n">
        <v>0.4518560669929938</v>
      </c>
      <c r="U3749" s="16" t="n">
        <v>0.6624617782846177</v>
      </c>
      <c r="V3749" s="16" t="n">
        <v>0.8223103181775588</v>
      </c>
      <c r="W3749" s="16" t="n">
        <v>0.7999986136504876</v>
      </c>
      <c r="X3749" s="16" t="n">
        <v>0.8077558937227503</v>
      </c>
      <c r="Y3749" s="16" t="n">
        <v>290.5323637563608</v>
      </c>
      <c r="Z3749" s="16" t="n">
        <v>1.0279130498758</v>
      </c>
      <c r="AA3749" s="16" t="n">
        <v>3.295476391405914</v>
      </c>
      <c r="AB3749" s="16" t="n">
        <v>771.6631244473012</v>
      </c>
      <c r="AC3749" s="16" t="n">
        <v>1.50222989369208</v>
      </c>
      <c r="AD3749" s="16" t="n"/>
      <c r="AE3749" s="16" t="n"/>
    </row>
    <row r="3750">
      <c r="A3750" s="16" t="inlineStr">
        <is>
          <t>KF-M09-R0-x_b-0036</t>
        </is>
      </c>
      <c r="B3750" s="16" t="inlineStr">
        <is>
          <t>4.3</t>
        </is>
      </c>
      <c r="C3750" s="16" t="inlineStr">
        <is>
          <t>4.3 x_b</t>
        </is>
      </c>
      <c r="D3750" s="16" t="inlineStr">
        <is>
          <t>ronda 0</t>
        </is>
      </c>
      <c r="E3750" s="16" t="inlineStr">
        <is>
          <t>KF-M09</t>
        </is>
      </c>
      <c r="F3750" s="16" t="inlineStr">
        <is>
          <t>KF-M09-R0-x_b</t>
        </is>
      </c>
      <c r="G3750" s="16" t="inlineStr">
        <is>
          <t>B13-x_b</t>
        </is>
      </c>
      <c r="H3750" s="16" t="inlineStr">
        <is>
          <t>lhs</t>
        </is>
      </c>
      <c r="I3750" s="16" t="inlineStr">
        <is>
          <t>CORREGIBLE</t>
        </is>
      </c>
      <c r="J3750" s="16" t="inlineStr">
        <is>
          <t>CORREGIBLE</t>
        </is>
      </c>
      <c r="K3750" s="16" t="b">
        <v>1</v>
      </c>
      <c r="L3750" s="16" t="b">
        <v>0</v>
      </c>
      <c r="M3750" s="16" t="b">
        <v>1</v>
      </c>
      <c r="N3750" s="16" t="b">
        <v>0</v>
      </c>
      <c r="O3750" s="16" t="n">
        <v>474.7967980868063</v>
      </c>
      <c r="P3750" s="16" t="n">
        <v>302.4617773373507</v>
      </c>
      <c r="Q3750" s="16" t="n">
        <v>2369.411685859839</v>
      </c>
      <c r="R3750" s="16" t="n">
        <v>770.7413509224242</v>
      </c>
      <c r="S3750" s="16" t="n">
        <v>0.5</v>
      </c>
      <c r="T3750" s="16" t="n">
        <v>0.6719611343123384</v>
      </c>
      <c r="U3750" s="16" t="n">
        <v>0.9351280942679938</v>
      </c>
      <c r="V3750" s="16" t="n">
        <v>0.6814442561166345</v>
      </c>
      <c r="W3750" s="16" t="n">
        <v>0.6487945800476991</v>
      </c>
      <c r="X3750" s="16" t="n">
        <v>0.7329139468426342</v>
      </c>
      <c r="Y3750" s="16" t="n">
        <v>302.4617773373507</v>
      </c>
      <c r="Z3750" s="16" t="n">
        <v>5.804077842329311</v>
      </c>
      <c r="AA3750" s="16" t="n">
        <v>72.74855744042657</v>
      </c>
      <c r="AB3750" s="16" t="n">
        <v>1598.670334937415</v>
      </c>
      <c r="AC3750" s="16" t="n">
        <v>3.074198215814066</v>
      </c>
      <c r="AD3750" s="16" t="inlineStr">
        <is>
          <t>O2</t>
        </is>
      </c>
      <c r="AE3750" s="16" t="n"/>
    </row>
    <row r="3751">
      <c r="A3751" s="16" t="inlineStr">
        <is>
          <t>KF-M09-R0-x_b-0037</t>
        </is>
      </c>
      <c r="B3751" s="16" t="inlineStr">
        <is>
          <t>4.3</t>
        </is>
      </c>
      <c r="C3751" s="16" t="inlineStr">
        <is>
          <t>4.3 x_b</t>
        </is>
      </c>
      <c r="D3751" s="16" t="inlineStr">
        <is>
          <t>ronda 0</t>
        </is>
      </c>
      <c r="E3751" s="16" t="inlineStr">
        <is>
          <t>KF-M09</t>
        </is>
      </c>
      <c r="F3751" s="16" t="inlineStr">
        <is>
          <t>KF-M09-R0-x_b</t>
        </is>
      </c>
      <c r="G3751" s="16" t="inlineStr">
        <is>
          <t>B13-x_b</t>
        </is>
      </c>
      <c r="H3751" s="16" t="inlineStr">
        <is>
          <t>lhs</t>
        </is>
      </c>
      <c r="I3751" s="16" t="inlineStr">
        <is>
          <t>KALINA</t>
        </is>
      </c>
      <c r="J3751" s="16" t="inlineStr">
        <is>
          <t>KALINA</t>
        </is>
      </c>
      <c r="K3751" s="16" t="b">
        <v>1</v>
      </c>
      <c r="L3751" s="16" t="b">
        <v>0</v>
      </c>
      <c r="M3751" s="16" t="b">
        <v>1</v>
      </c>
      <c r="N3751" s="16" t="b">
        <v>0</v>
      </c>
      <c r="O3751" s="16" t="n">
        <v>487.9371875568457</v>
      </c>
      <c r="P3751" s="16" t="n">
        <v>286.9496937582578</v>
      </c>
      <c r="Q3751" s="16" t="n">
        <v>4617.949922563567</v>
      </c>
      <c r="R3751" s="16" t="n">
        <v>1754.152742489788</v>
      </c>
      <c r="S3751" s="16" t="n">
        <v>0.5</v>
      </c>
      <c r="T3751" s="16" t="n">
        <v>0.4815028567967654</v>
      </c>
      <c r="U3751" s="16" t="n">
        <v>0.4272413071531803</v>
      </c>
      <c r="V3751" s="16" t="n">
        <v>0.825801717621709</v>
      </c>
      <c r="W3751" s="16" t="n">
        <v>0.7907642058683131</v>
      </c>
      <c r="X3751" s="16" t="n">
        <v>0.9476932087842956</v>
      </c>
      <c r="Y3751" s="16" t="n">
        <v>286.9496937582578</v>
      </c>
      <c r="Z3751" s="16" t="n">
        <v>3.29345298326445</v>
      </c>
      <c r="AA3751" s="16" t="n">
        <v>51.68161285555336</v>
      </c>
      <c r="AB3751" s="16" t="n">
        <v>2863.797180073779</v>
      </c>
      <c r="AC3751" s="16" t="n">
        <v>2.632581422760824</v>
      </c>
      <c r="AD3751" s="16" t="n"/>
      <c r="AE3751" s="16" t="n"/>
    </row>
    <row r="3752">
      <c r="A3752" s="16" t="inlineStr">
        <is>
          <t>KF-M09-R0-x_b-0038</t>
        </is>
      </c>
      <c r="B3752" s="16" t="inlineStr">
        <is>
          <t>4.3</t>
        </is>
      </c>
      <c r="C3752" s="16" t="inlineStr">
        <is>
          <t>4.3 x_b</t>
        </is>
      </c>
      <c r="D3752" s="16" t="inlineStr">
        <is>
          <t>ronda 0</t>
        </is>
      </c>
      <c r="E3752" s="16" t="inlineStr">
        <is>
          <t>KF-M09</t>
        </is>
      </c>
      <c r="F3752" s="16" t="inlineStr">
        <is>
          <t>KF-M09-R0-x_b</t>
        </is>
      </c>
      <c r="G3752" s="16" t="inlineStr">
        <is>
          <t>B13-x_b</t>
        </is>
      </c>
      <c r="H3752" s="16" t="inlineStr">
        <is>
          <t>lhs</t>
        </is>
      </c>
      <c r="I3752" s="16" t="inlineStr">
        <is>
          <t>KALINA</t>
        </is>
      </c>
      <c r="J3752" s="16" t="inlineStr">
        <is>
          <t>KALINA</t>
        </is>
      </c>
      <c r="K3752" s="16" t="b">
        <v>1</v>
      </c>
      <c r="L3752" s="16" t="b">
        <v>1</v>
      </c>
      <c r="M3752" s="16" t="b">
        <v>0</v>
      </c>
      <c r="N3752" s="16" t="b">
        <v>0</v>
      </c>
      <c r="O3752" s="16" t="n">
        <v>394.2262171390485</v>
      </c>
      <c r="P3752" s="16" t="n">
        <v>278.7313663292829</v>
      </c>
      <c r="Q3752" s="16" t="n">
        <v>3057.492396239742</v>
      </c>
      <c r="R3752" s="16" t="n">
        <v>339.6265225931504</v>
      </c>
      <c r="S3752" s="16" t="n">
        <v>0.5</v>
      </c>
      <c r="T3752" s="16" t="n">
        <v>0.7456102073549438</v>
      </c>
      <c r="U3752" s="16" t="n">
        <v>0.5154244283850682</v>
      </c>
      <c r="V3752" s="16" t="n">
        <v>0.8000062800752621</v>
      </c>
      <c r="W3752" s="16" t="n">
        <v>0.5823405173326166</v>
      </c>
      <c r="X3752" s="16" t="n">
        <v>0.7706600033681017</v>
      </c>
      <c r="Y3752" s="16" t="n">
        <v>278.7313663292829</v>
      </c>
      <c r="Z3752" s="16" t="n">
        <v>1.41870794310145</v>
      </c>
      <c r="AA3752" s="16" t="n">
        <v>3.557840859676929</v>
      </c>
      <c r="AB3752" s="16" t="n">
        <v>2717.865873646592</v>
      </c>
      <c r="AC3752" s="16" t="n">
        <v>9.002513622595993</v>
      </c>
      <c r="AD3752" s="16" t="n"/>
      <c r="AE3752" s="16" t="n"/>
    </row>
    <row r="3753">
      <c r="A3753" s="16" t="inlineStr">
        <is>
          <t>KF-M09-R0-x_b-0039</t>
        </is>
      </c>
      <c r="B3753" s="16" t="inlineStr">
        <is>
          <t>4.3</t>
        </is>
      </c>
      <c r="C3753" s="16" t="inlineStr">
        <is>
          <t>4.3 x_b</t>
        </is>
      </c>
      <c r="D3753" s="16" t="inlineStr">
        <is>
          <t>ronda 0</t>
        </is>
      </c>
      <c r="E3753" s="16" t="inlineStr">
        <is>
          <t>KF-M09</t>
        </is>
      </c>
      <c r="F3753" s="16" t="inlineStr">
        <is>
          <t>KF-M09-R0-x_b</t>
        </is>
      </c>
      <c r="G3753" s="16" t="inlineStr">
        <is>
          <t>B13-x_b</t>
        </is>
      </c>
      <c r="H3753" s="16" t="inlineStr">
        <is>
          <t>lhs</t>
        </is>
      </c>
      <c r="I3753" s="16" t="inlineStr">
        <is>
          <t>KALINA</t>
        </is>
      </c>
      <c r="J3753" s="16" t="inlineStr">
        <is>
          <t>KALINA</t>
        </is>
      </c>
      <c r="K3753" s="16" t="b">
        <v>1</v>
      </c>
      <c r="L3753" s="16" t="b">
        <v>0</v>
      </c>
      <c r="M3753" s="16" t="b">
        <v>1</v>
      </c>
      <c r="N3753" s="16" t="b">
        <v>0</v>
      </c>
      <c r="O3753" s="16" t="n">
        <v>490.8082877754548</v>
      </c>
      <c r="P3753" s="16" t="n">
        <v>284.1572373223972</v>
      </c>
      <c r="Q3753" s="16" t="n">
        <v>3484.970563642958</v>
      </c>
      <c r="R3753" s="16" t="n">
        <v>1360.982945596113</v>
      </c>
      <c r="S3753" s="16" t="n">
        <v>0.5</v>
      </c>
      <c r="T3753" s="16" t="n">
        <v>0.7333046020473089</v>
      </c>
      <c r="U3753" s="16" t="n">
        <v>0.4399532959179101</v>
      </c>
      <c r="V3753" s="16" t="n">
        <v>0.728304449005872</v>
      </c>
      <c r="W3753" s="16" t="n">
        <v>0.5320720222980092</v>
      </c>
      <c r="X3753" s="16" t="n">
        <v>0.85677868085689</v>
      </c>
      <c r="Y3753" s="16" t="n">
        <v>284.1572373223972</v>
      </c>
      <c r="Z3753" s="16" t="n">
        <v>5.54535253623146</v>
      </c>
      <c r="AA3753" s="16" t="n">
        <v>84.94058759763695</v>
      </c>
      <c r="AB3753" s="16" t="n">
        <v>2123.987618046845</v>
      </c>
      <c r="AC3753" s="16" t="n">
        <v>2.560627651448294</v>
      </c>
      <c r="AD3753" s="16" t="n"/>
      <c r="AE3753" s="16" t="n"/>
    </row>
    <row r="3754">
      <c r="A3754" s="16" t="inlineStr">
        <is>
          <t>KF-M09-R0-x_b-0040</t>
        </is>
      </c>
      <c r="B3754" s="16" t="inlineStr">
        <is>
          <t>4.3</t>
        </is>
      </c>
      <c r="C3754" s="16" t="inlineStr">
        <is>
          <t>4.3 x_b</t>
        </is>
      </c>
      <c r="D3754" s="16" t="inlineStr">
        <is>
          <t>ronda 0</t>
        </is>
      </c>
      <c r="E3754" s="16" t="inlineStr">
        <is>
          <t>KF-M09</t>
        </is>
      </c>
      <c r="F3754" s="16" t="inlineStr">
        <is>
          <t>KF-M09-R0-x_b</t>
        </is>
      </c>
      <c r="G3754" s="16" t="inlineStr">
        <is>
          <t>B13-x_b</t>
        </is>
      </c>
      <c r="H3754" s="16" t="inlineStr">
        <is>
          <t>lhs</t>
        </is>
      </c>
      <c r="I3754" s="16" t="inlineStr">
        <is>
          <t>N2</t>
        </is>
      </c>
      <c r="J3754" s="16" t="inlineStr">
        <is>
          <t>NO_CONVERGIO</t>
        </is>
      </c>
      <c r="K3754" s="16" t="b">
        <v>0</v>
      </c>
      <c r="L3754" s="16" t="b">
        <v>0</v>
      </c>
      <c r="M3754" s="16" t="b">
        <v>0</v>
      </c>
      <c r="N3754" s="16" t="b">
        <v>0</v>
      </c>
      <c r="O3754" s="16" t="n">
        <v>390.6424988791749</v>
      </c>
      <c r="P3754" s="16" t="n">
        <v>292.1512360891099</v>
      </c>
      <c r="Q3754" s="16" t="n">
        <v>3504.589189302139</v>
      </c>
      <c r="R3754" s="16" t="n">
        <v>1651.144874139498</v>
      </c>
      <c r="S3754" s="16" t="n">
        <v>0.5</v>
      </c>
      <c r="T3754" s="16" t="n">
        <v>0.8046833564168645</v>
      </c>
      <c r="U3754" s="16" t="n">
        <v>0.5571928688959835</v>
      </c>
      <c r="V3754" s="16" t="n">
        <v>0.7957516606687185</v>
      </c>
      <c r="W3754" s="16" t="n">
        <v>0.7128998559635185</v>
      </c>
      <c r="X3754" s="16" t="n">
        <v>0.527768836666909</v>
      </c>
      <c r="Y3754" s="16" t="n">
        <v>292.1512360891099</v>
      </c>
      <c r="Z3754" s="16" t="n">
        <v>-15.041623658453</v>
      </c>
      <c r="AA3754" s="16" t="n">
        <v>-13.83455517310088</v>
      </c>
      <c r="AB3754" s="16" t="n">
        <v>1853.444315162641</v>
      </c>
      <c r="AC3754" s="16" t="n">
        <v>2.122520709231267</v>
      </c>
      <c r="AD3754" s="16" t="inlineStr">
        <is>
          <t>N2,S6,O3,O5,C1,C3,C3</t>
        </is>
      </c>
      <c r="AE3754" s="16" t="n"/>
    </row>
    <row r="3755">
      <c r="A3755" s="16" t="inlineStr">
        <is>
          <t>KF-M09-R0-x_b-0041</t>
        </is>
      </c>
      <c r="B3755" s="16" t="inlineStr">
        <is>
          <t>4.3</t>
        </is>
      </c>
      <c r="C3755" s="16" t="inlineStr">
        <is>
          <t>4.3 x_b</t>
        </is>
      </c>
      <c r="D3755" s="16" t="inlineStr">
        <is>
          <t>ronda 0</t>
        </is>
      </c>
      <c r="E3755" s="16" t="inlineStr">
        <is>
          <t>KF-M09</t>
        </is>
      </c>
      <c r="F3755" s="16" t="inlineStr">
        <is>
          <t>KF-M09-R0-x_b</t>
        </is>
      </c>
      <c r="G3755" s="16" t="inlineStr">
        <is>
          <t>B13-x_b</t>
        </is>
      </c>
      <c r="H3755" s="16" t="inlineStr">
        <is>
          <t>lhs</t>
        </is>
      </c>
      <c r="I3755" s="16" t="inlineStr">
        <is>
          <t>KALINA</t>
        </is>
      </c>
      <c r="J3755" s="16" t="inlineStr">
        <is>
          <t>KALINA</t>
        </is>
      </c>
      <c r="K3755" s="16" t="b">
        <v>1</v>
      </c>
      <c r="L3755" s="16" t="b">
        <v>0</v>
      </c>
      <c r="M3755" s="16" t="b">
        <v>1</v>
      </c>
      <c r="N3755" s="16" t="b">
        <v>0</v>
      </c>
      <c r="O3755" s="16" t="n">
        <v>504.8507787316368</v>
      </c>
      <c r="P3755" s="16" t="n">
        <v>298.4564417105522</v>
      </c>
      <c r="Q3755" s="16" t="n">
        <v>2210.305283119559</v>
      </c>
      <c r="R3755" s="16" t="n">
        <v>1575.470974502311</v>
      </c>
      <c r="S3755" s="16" t="n">
        <v>0.5</v>
      </c>
      <c r="T3755" s="16" t="n">
        <v>0.5650492519540739</v>
      </c>
      <c r="U3755" s="16" t="n">
        <v>0.6913417206905087</v>
      </c>
      <c r="V3755" s="16" t="n">
        <v>0.4346701393118716</v>
      </c>
      <c r="W3755" s="16" t="n">
        <v>0.7298453281418471</v>
      </c>
      <c r="X3755" s="16" t="n">
        <v>0.8205207572932587</v>
      </c>
      <c r="Y3755" s="16" t="n">
        <v>298.4564417105522</v>
      </c>
      <c r="Z3755" s="16" t="n">
        <v>1.69537397053133</v>
      </c>
      <c r="AA3755" s="16" t="n">
        <v>15.52435015916966</v>
      </c>
      <c r="AB3755" s="16" t="n">
        <v>634.8343086172479</v>
      </c>
      <c r="AC3755" s="16" t="n">
        <v>1.402948907908501</v>
      </c>
      <c r="AD3755" s="16" t="n"/>
      <c r="AE3755" s="16" t="n"/>
    </row>
    <row r="3756">
      <c r="A3756" s="16" t="inlineStr">
        <is>
          <t>KF-M09-R0-x_b-0042</t>
        </is>
      </c>
      <c r="B3756" s="16" t="inlineStr">
        <is>
          <t>4.3</t>
        </is>
      </c>
      <c r="C3756" s="16" t="inlineStr">
        <is>
          <t>4.3 x_b</t>
        </is>
      </c>
      <c r="D3756" s="16" t="inlineStr">
        <is>
          <t>ronda 0</t>
        </is>
      </c>
      <c r="E3756" s="16" t="inlineStr">
        <is>
          <t>KF-M09</t>
        </is>
      </c>
      <c r="F3756" s="16" t="inlineStr">
        <is>
          <t>KF-M09-R0-x_b</t>
        </is>
      </c>
      <c r="G3756" s="16" t="inlineStr">
        <is>
          <t>B13-x_b</t>
        </is>
      </c>
      <c r="H3756" s="16" t="inlineStr">
        <is>
          <t>lhs</t>
        </is>
      </c>
      <c r="I3756" s="16" t="inlineStr">
        <is>
          <t>NO_CONVERGIO</t>
        </is>
      </c>
      <c r="J3756" s="16" t="inlineStr">
        <is>
          <t>NO_CONVERGIO</t>
        </is>
      </c>
      <c r="K3756" s="16" t="b">
        <v>0</v>
      </c>
      <c r="L3756" s="16" t="b">
        <v>0</v>
      </c>
      <c r="M3756" s="16" t="b">
        <v>0</v>
      </c>
      <c r="N3756" s="16" t="b">
        <v>0</v>
      </c>
      <c r="O3756" s="16" t="n">
        <v>382.9096203350088</v>
      </c>
      <c r="P3756" s="16" t="n">
        <v>278.161071339338</v>
      </c>
      <c r="Q3756" s="16" t="n">
        <v>4867.440916891928</v>
      </c>
      <c r="R3756" s="16" t="n">
        <v>1778.597759265412</v>
      </c>
      <c r="S3756" s="16" t="n">
        <v>0.5</v>
      </c>
      <c r="T3756" s="16" t="n">
        <v>0.5478125821298691</v>
      </c>
      <c r="U3756" s="16" t="n">
        <v>0.7458770130610299</v>
      </c>
      <c r="V3756" s="16" t="n">
        <v>0.6393545586663426</v>
      </c>
      <c r="W3756" s="16" t="n">
        <v>0.6603809128385298</v>
      </c>
      <c r="X3756" s="16" t="n">
        <v>0.595711671086819</v>
      </c>
      <c r="Y3756" s="16" t="n">
        <v>278.161071339338</v>
      </c>
      <c r="Z3756" s="16" t="n"/>
      <c r="AA3756" s="16" t="n"/>
      <c r="AB3756" s="16" t="n">
        <v>3088.843157626517</v>
      </c>
      <c r="AC3756" s="16" t="n">
        <v>2.736673253710978</v>
      </c>
      <c r="AD3756" s="16" t="n"/>
      <c r="AE3756" s="16" t="n"/>
    </row>
    <row r="3757">
      <c r="A3757" s="16" t="inlineStr">
        <is>
          <t>KF-M09-R0-x_b-0043</t>
        </is>
      </c>
      <c r="B3757" s="16" t="inlineStr">
        <is>
          <t>4.3</t>
        </is>
      </c>
      <c r="C3757" s="16" t="inlineStr">
        <is>
          <t>4.3 x_b</t>
        </is>
      </c>
      <c r="D3757" s="16" t="inlineStr">
        <is>
          <t>ronda 0</t>
        </is>
      </c>
      <c r="E3757" s="16" t="inlineStr">
        <is>
          <t>KF-M09</t>
        </is>
      </c>
      <c r="F3757" s="16" t="inlineStr">
        <is>
          <t>KF-M09-R0-x_b</t>
        </is>
      </c>
      <c r="G3757" s="16" t="inlineStr">
        <is>
          <t>B13-x_b</t>
        </is>
      </c>
      <c r="H3757" s="16" t="inlineStr">
        <is>
          <t>lhs</t>
        </is>
      </c>
      <c r="I3757" s="16" t="inlineStr">
        <is>
          <t>KALINA</t>
        </is>
      </c>
      <c r="J3757" s="16" t="inlineStr">
        <is>
          <t>KALINA</t>
        </is>
      </c>
      <c r="K3757" s="16" t="b">
        <v>1</v>
      </c>
      <c r="L3757" s="16" t="b">
        <v>1</v>
      </c>
      <c r="M3757" s="16" t="b">
        <v>0</v>
      </c>
      <c r="N3757" s="16" t="b">
        <v>0</v>
      </c>
      <c r="O3757" s="16" t="n">
        <v>399.7788851582348</v>
      </c>
      <c r="P3757" s="16" t="n">
        <v>289.1734114321687</v>
      </c>
      <c r="Q3757" s="16" t="n">
        <v>2993.647236064672</v>
      </c>
      <c r="R3757" s="16" t="n">
        <v>1681.313631994919</v>
      </c>
      <c r="S3757" s="16" t="n">
        <v>0.5</v>
      </c>
      <c r="T3757" s="16" t="n">
        <v>0.7032863774758399</v>
      </c>
      <c r="U3757" s="16" t="n">
        <v>0.5156600830587963</v>
      </c>
      <c r="V3757" s="16" t="n">
        <v>0.7363599295684615</v>
      </c>
      <c r="W3757" s="16" t="n">
        <v>0.7509112122995933</v>
      </c>
      <c r="X3757" s="16" t="n">
        <v>0.7570412670371196</v>
      </c>
      <c r="Y3757" s="16" t="n">
        <v>289.1734114321687</v>
      </c>
      <c r="Z3757" s="16" t="n">
        <v>1.16946045952993</v>
      </c>
      <c r="AA3757" s="16" t="n">
        <v>2.830490297571304</v>
      </c>
      <c r="AB3757" s="16" t="n">
        <v>1312.333604069753</v>
      </c>
      <c r="AC3757" s="16" t="n">
        <v>1.780540631501713</v>
      </c>
      <c r="AD3757" s="16" t="n"/>
      <c r="AE3757" s="16" t="n"/>
    </row>
    <row r="3758">
      <c r="A3758" s="16" t="inlineStr">
        <is>
          <t>KF-M09-R0-x_b-0044</t>
        </is>
      </c>
      <c r="B3758" s="16" t="inlineStr">
        <is>
          <t>4.3</t>
        </is>
      </c>
      <c r="C3758" s="16" t="inlineStr">
        <is>
          <t>4.3 x_b</t>
        </is>
      </c>
      <c r="D3758" s="16" t="inlineStr">
        <is>
          <t>ronda 0</t>
        </is>
      </c>
      <c r="E3758" s="16" t="inlineStr">
        <is>
          <t>KF-M09</t>
        </is>
      </c>
      <c r="F3758" s="16" t="inlineStr">
        <is>
          <t>KF-M09-R0-x_b</t>
        </is>
      </c>
      <c r="G3758" s="16" t="inlineStr">
        <is>
          <t>B13-x_b</t>
        </is>
      </c>
      <c r="H3758" s="16" t="inlineStr">
        <is>
          <t>lhs</t>
        </is>
      </c>
      <c r="I3758" s="16" t="inlineStr">
        <is>
          <t>INVIABLE</t>
        </is>
      </c>
      <c r="J3758" s="16" t="inlineStr">
        <is>
          <t>INVIABLE</t>
        </is>
      </c>
      <c r="K3758" s="16" t="b">
        <v>1</v>
      </c>
      <c r="L3758" s="16" t="b">
        <v>0</v>
      </c>
      <c r="M3758" s="16" t="b">
        <v>1</v>
      </c>
      <c r="N3758" s="16" t="b">
        <v>0</v>
      </c>
      <c r="O3758" s="16" t="n">
        <v>511.5016346371716</v>
      </c>
      <c r="P3758" s="16" t="n">
        <v>279.544650873588</v>
      </c>
      <c r="Q3758" s="16" t="n">
        <v>2977.9378243248</v>
      </c>
      <c r="R3758" s="16" t="n">
        <v>399.6989613343251</v>
      </c>
      <c r="S3758" s="16" t="n">
        <v>0.5</v>
      </c>
      <c r="T3758" s="16" t="n">
        <v>0.4270177261154533</v>
      </c>
      <c r="U3758" s="16" t="n">
        <v>0.8374065022416617</v>
      </c>
      <c r="V3758" s="16" t="n">
        <v>0.8742488597733165</v>
      </c>
      <c r="W3758" s="16" t="n">
        <v>0.5722796613353867</v>
      </c>
      <c r="X3758" s="16" t="n">
        <v>0.4736795252068469</v>
      </c>
      <c r="Y3758" s="16" t="n">
        <v>279.544650873588</v>
      </c>
      <c r="Z3758" s="16" t="n">
        <v>-6.00526021483187</v>
      </c>
      <c r="AA3758" s="16" t="n">
        <v>-60.26787906836779</v>
      </c>
      <c r="AB3758" s="16" t="n">
        <v>2578.238862990475</v>
      </c>
      <c r="AC3758" s="16" t="n">
        <v>7.450451745942685</v>
      </c>
      <c r="AD3758" s="16" t="inlineStr">
        <is>
          <t>O2,O3</t>
        </is>
      </c>
      <c r="AE3758" s="16" t="n"/>
    </row>
    <row r="3759">
      <c r="A3759" s="16" t="inlineStr">
        <is>
          <t>KF-M09-R0-x_b-0045</t>
        </is>
      </c>
      <c r="B3759" s="16" t="inlineStr">
        <is>
          <t>4.3</t>
        </is>
      </c>
      <c r="C3759" s="16" t="inlineStr">
        <is>
          <t>4.3 x_b</t>
        </is>
      </c>
      <c r="D3759" s="16" t="inlineStr">
        <is>
          <t>ronda 0</t>
        </is>
      </c>
      <c r="E3759" s="16" t="inlineStr">
        <is>
          <t>KF-M09</t>
        </is>
      </c>
      <c r="F3759" s="16" t="inlineStr">
        <is>
          <t>KF-M09-R0-x_b</t>
        </is>
      </c>
      <c r="G3759" s="16" t="inlineStr">
        <is>
          <t>B13-x_b</t>
        </is>
      </c>
      <c r="H3759" s="16" t="inlineStr">
        <is>
          <t>lhs</t>
        </is>
      </c>
      <c r="I3759" s="16" t="inlineStr">
        <is>
          <t>CORREGIBLE</t>
        </is>
      </c>
      <c r="J3759" s="16" t="inlineStr">
        <is>
          <t>CORREGIBLE</t>
        </is>
      </c>
      <c r="K3759" s="16" t="b">
        <v>1</v>
      </c>
      <c r="L3759" s="16" t="b">
        <v>0</v>
      </c>
      <c r="M3759" s="16" t="b">
        <v>1</v>
      </c>
      <c r="N3759" s="16" t="b">
        <v>0</v>
      </c>
      <c r="O3759" s="16" t="n">
        <v>466.0094192064794</v>
      </c>
      <c r="P3759" s="16" t="n">
        <v>301.3136100502595</v>
      </c>
      <c r="Q3759" s="16" t="n">
        <v>3933.021978496169</v>
      </c>
      <c r="R3759" s="16" t="n">
        <v>436.9584792736406</v>
      </c>
      <c r="S3759" s="16" t="n">
        <v>0.5</v>
      </c>
      <c r="T3759" s="16" t="n">
        <v>0.8594808362871367</v>
      </c>
      <c r="U3759" s="16" t="n">
        <v>0.4195603422769615</v>
      </c>
      <c r="V3759" s="16" t="n">
        <v>0.8863657213166689</v>
      </c>
      <c r="W3759" s="16" t="n">
        <v>0.9287832269068932</v>
      </c>
      <c r="X3759" s="16" t="n">
        <v>0.6694681135857139</v>
      </c>
      <c r="Y3759" s="16" t="n">
        <v>301.3136100502595</v>
      </c>
      <c r="Z3759" s="16" t="n">
        <v>8.93086257051203</v>
      </c>
      <c r="AA3759" s="16" t="n">
        <v>79.8593893064108</v>
      </c>
      <c r="AB3759" s="16" t="n">
        <v>3496.063499222528</v>
      </c>
      <c r="AC3759" s="16" t="n">
        <v>9.000905498009928</v>
      </c>
      <c r="AD3759" s="16" t="inlineStr">
        <is>
          <t>O1,O2</t>
        </is>
      </c>
      <c r="AE3759" s="16" t="n"/>
    </row>
    <row r="3760">
      <c r="A3760" s="16" t="inlineStr">
        <is>
          <t>KF-M09-R0-x_b-0046</t>
        </is>
      </c>
      <c r="B3760" s="16" t="inlineStr">
        <is>
          <t>4.3</t>
        </is>
      </c>
      <c r="C3760" s="16" t="inlineStr">
        <is>
          <t>4.3 x_b</t>
        </is>
      </c>
      <c r="D3760" s="16" t="inlineStr">
        <is>
          <t>ronda 0</t>
        </is>
      </c>
      <c r="E3760" s="16" t="inlineStr">
        <is>
          <t>KF-M09</t>
        </is>
      </c>
      <c r="F3760" s="16" t="inlineStr">
        <is>
          <t>KF-M09-R0-x_b</t>
        </is>
      </c>
      <c r="G3760" s="16" t="inlineStr">
        <is>
          <t>B13-x_b</t>
        </is>
      </c>
      <c r="H3760" s="16" t="inlineStr">
        <is>
          <t>lhs</t>
        </is>
      </c>
      <c r="I3760" s="16" t="inlineStr">
        <is>
          <t>KALINA</t>
        </is>
      </c>
      <c r="J3760" s="16" t="inlineStr">
        <is>
          <t>KALINA</t>
        </is>
      </c>
      <c r="K3760" s="16" t="b">
        <v>1</v>
      </c>
      <c r="L3760" s="16" t="b">
        <v>0</v>
      </c>
      <c r="M3760" s="16" t="b">
        <v>1</v>
      </c>
      <c r="N3760" s="16" t="b">
        <v>0</v>
      </c>
      <c r="O3760" s="16" t="n">
        <v>452.1424118306729</v>
      </c>
      <c r="P3760" s="16" t="n">
        <v>282.9676888858309</v>
      </c>
      <c r="Q3760" s="16" t="n">
        <v>4650.560929237125</v>
      </c>
      <c r="R3760" s="16" t="n">
        <v>1299.840651625487</v>
      </c>
      <c r="S3760" s="16" t="n">
        <v>0.5</v>
      </c>
      <c r="T3760" s="16" t="n">
        <v>0.7699269503500699</v>
      </c>
      <c r="U3760" s="16" t="n">
        <v>0.5795555994194941</v>
      </c>
      <c r="V3760" s="16" t="n">
        <v>0.4095123680272921</v>
      </c>
      <c r="W3760" s="16" t="n">
        <v>0.9414136009259652</v>
      </c>
      <c r="X3760" s="16" t="n">
        <v>0.5637317230039652</v>
      </c>
      <c r="Y3760" s="16" t="n">
        <v>282.9676888858309</v>
      </c>
      <c r="Z3760" s="16" t="n">
        <v>6.426891601867769</v>
      </c>
      <c r="AA3760" s="16" t="n">
        <v>17.66886691205245</v>
      </c>
      <c r="AB3760" s="16" t="n">
        <v>3350.720277611638</v>
      </c>
      <c r="AC3760" s="16" t="n">
        <v>3.577793111349048</v>
      </c>
      <c r="AD3760" s="16" t="n"/>
      <c r="AE3760" s="16" t="n"/>
    </row>
    <row r="3761">
      <c r="A3761" s="16" t="inlineStr">
        <is>
          <t>KF-M09-R0-x_b-0047</t>
        </is>
      </c>
      <c r="B3761" s="16" t="inlineStr">
        <is>
          <t>4.3</t>
        </is>
      </c>
      <c r="C3761" s="16" t="inlineStr">
        <is>
          <t>4.3 x_b</t>
        </is>
      </c>
      <c r="D3761" s="16" t="inlineStr">
        <is>
          <t>ronda 0</t>
        </is>
      </c>
      <c r="E3761" s="16" t="inlineStr">
        <is>
          <t>KF-M09</t>
        </is>
      </c>
      <c r="F3761" s="16" t="inlineStr">
        <is>
          <t>KF-M09-R0-x_b</t>
        </is>
      </c>
      <c r="G3761" s="16" t="inlineStr">
        <is>
          <t>B13-x_b</t>
        </is>
      </c>
      <c r="H3761" s="16" t="inlineStr">
        <is>
          <t>lhs</t>
        </is>
      </c>
      <c r="I3761" s="16" t="inlineStr">
        <is>
          <t>CORREGIBLE</t>
        </is>
      </c>
      <c r="J3761" s="16" t="inlineStr">
        <is>
          <t>CORREGIBLE</t>
        </is>
      </c>
      <c r="K3761" s="16" t="b">
        <v>1</v>
      </c>
      <c r="L3761" s="16" t="b">
        <v>0</v>
      </c>
      <c r="M3761" s="16" t="b">
        <v>1</v>
      </c>
      <c r="N3761" s="16" t="b">
        <v>0</v>
      </c>
      <c r="O3761" s="16" t="n">
        <v>461.8506571375505</v>
      </c>
      <c r="P3761" s="16" t="n">
        <v>283.8937642281128</v>
      </c>
      <c r="Q3761" s="16" t="n">
        <v>4270.138754104872</v>
      </c>
      <c r="R3761" s="16" t="n">
        <v>1878.61083890706</v>
      </c>
      <c r="S3761" s="16" t="n">
        <v>0.5</v>
      </c>
      <c r="T3761" s="16" t="n">
        <v>0.8115207598070741</v>
      </c>
      <c r="U3761" s="16" t="n">
        <v>0.755170066979165</v>
      </c>
      <c r="V3761" s="16" t="n">
        <v>0.7229685305066444</v>
      </c>
      <c r="W3761" s="16" t="n">
        <v>0.4638015764083999</v>
      </c>
      <c r="X3761" s="16" t="n">
        <v>0.6114247963521313</v>
      </c>
      <c r="Y3761" s="16" t="n">
        <v>283.8937642281128</v>
      </c>
      <c r="Z3761" s="16" t="n">
        <v>5.535114995205221</v>
      </c>
      <c r="AA3761" s="16" t="n">
        <v>39.42403353265295</v>
      </c>
      <c r="AB3761" s="16" t="n">
        <v>2391.527915197812</v>
      </c>
      <c r="AC3761" s="16" t="n">
        <v>2.273029978145531</v>
      </c>
      <c r="AD3761" s="16" t="inlineStr">
        <is>
          <t>O2</t>
        </is>
      </c>
      <c r="AE3761" s="16" t="n"/>
    </row>
    <row r="3762">
      <c r="A3762" s="16" t="inlineStr">
        <is>
          <t>KF-M09-R0-x_b-0048</t>
        </is>
      </c>
      <c r="B3762" s="16" t="inlineStr">
        <is>
          <t>4.3</t>
        </is>
      </c>
      <c r="C3762" s="16" t="inlineStr">
        <is>
          <t>4.3 x_b</t>
        </is>
      </c>
      <c r="D3762" s="16" t="inlineStr">
        <is>
          <t>ronda 0</t>
        </is>
      </c>
      <c r="E3762" s="16" t="inlineStr">
        <is>
          <t>KF-M09</t>
        </is>
      </c>
      <c r="F3762" s="16" t="inlineStr">
        <is>
          <t>KF-M09-R0-x_b</t>
        </is>
      </c>
      <c r="G3762" s="16" t="inlineStr">
        <is>
          <t>B13-x_b</t>
        </is>
      </c>
      <c r="H3762" s="16" t="inlineStr">
        <is>
          <t>lhs</t>
        </is>
      </c>
      <c r="I3762" s="16" t="inlineStr">
        <is>
          <t>N2</t>
        </is>
      </c>
      <c r="J3762" s="16" t="inlineStr">
        <is>
          <t>NO_CONVERGIO</t>
        </is>
      </c>
      <c r="K3762" s="16" t="b">
        <v>0</v>
      </c>
      <c r="L3762" s="16" t="b">
        <v>0</v>
      </c>
      <c r="M3762" s="16" t="b">
        <v>0</v>
      </c>
      <c r="N3762" s="16" t="b">
        <v>0</v>
      </c>
      <c r="O3762" s="16" t="n">
        <v>402.9170981790803</v>
      </c>
      <c r="P3762" s="16" t="n">
        <v>292.5408846973374</v>
      </c>
      <c r="Q3762" s="16" t="n">
        <v>3846.933534288125</v>
      </c>
      <c r="R3762" s="16" t="n">
        <v>1495.740809695129</v>
      </c>
      <c r="S3762" s="16" t="n">
        <v>0.5</v>
      </c>
      <c r="T3762" s="16" t="n">
        <v>0.517570868068719</v>
      </c>
      <c r="U3762" s="16" t="n">
        <v>0.5353367225982042</v>
      </c>
      <c r="V3762" s="16" t="n">
        <v>0.5663044227756876</v>
      </c>
      <c r="W3762" s="16" t="n">
        <v>0.4084448288908873</v>
      </c>
      <c r="X3762" s="16" t="n">
        <v>0.7455959754250143</v>
      </c>
      <c r="Y3762" s="16" t="n">
        <v>292.5408846973374</v>
      </c>
      <c r="Z3762" s="16" t="n">
        <v>-13.59155601310351</v>
      </c>
      <c r="AA3762" s="16" t="n">
        <v>-27.42963008478237</v>
      </c>
      <c r="AB3762" s="16" t="n">
        <v>2351.192724592996</v>
      </c>
      <c r="AC3762" s="16" t="n">
        <v>2.571925235544138</v>
      </c>
      <c r="AD3762" s="16" t="inlineStr">
        <is>
          <t>N2,S6,O3,O5,C1,C3,C3</t>
        </is>
      </c>
      <c r="AE3762" s="16" t="n"/>
    </row>
    <row r="3763">
      <c r="A3763" s="16" t="inlineStr">
        <is>
          <t>KF-M09-R0-x_b-0049</t>
        </is>
      </c>
      <c r="B3763" s="16" t="inlineStr">
        <is>
          <t>4.3</t>
        </is>
      </c>
      <c r="C3763" s="16" t="inlineStr">
        <is>
          <t>4.3 x_b</t>
        </is>
      </c>
      <c r="D3763" s="16" t="inlineStr">
        <is>
          <t>ronda 0</t>
        </is>
      </c>
      <c r="E3763" s="16" t="inlineStr">
        <is>
          <t>KF-M09</t>
        </is>
      </c>
      <c r="F3763" s="16" t="inlineStr">
        <is>
          <t>KF-M09-R0-x_b</t>
        </is>
      </c>
      <c r="G3763" s="16" t="inlineStr">
        <is>
          <t>B13-x_b</t>
        </is>
      </c>
      <c r="H3763" s="16" t="inlineStr">
        <is>
          <t>lhs</t>
        </is>
      </c>
      <c r="I3763" s="16" t="inlineStr">
        <is>
          <t>KALINA</t>
        </is>
      </c>
      <c r="J3763" s="16" t="inlineStr">
        <is>
          <t>KALINA</t>
        </is>
      </c>
      <c r="K3763" s="16" t="b">
        <v>1</v>
      </c>
      <c r="L3763" s="16" t="b">
        <v>0</v>
      </c>
      <c r="M3763" s="16" t="b">
        <v>1</v>
      </c>
      <c r="N3763" s="16" t="b">
        <v>0</v>
      </c>
      <c r="O3763" s="16" t="n">
        <v>453.7009053119208</v>
      </c>
      <c r="P3763" s="16" t="n">
        <v>292.7302795409631</v>
      </c>
      <c r="Q3763" s="16" t="n">
        <v>4711.940487143275</v>
      </c>
      <c r="R3763" s="16" t="n">
        <v>948.686198783448</v>
      </c>
      <c r="S3763" s="16" t="n">
        <v>0.5</v>
      </c>
      <c r="T3763" s="16" t="n">
        <v>0.7289894891588147</v>
      </c>
      <c r="U3763" s="16" t="n">
        <v>0.8294483652262351</v>
      </c>
      <c r="V3763" s="16" t="n">
        <v>0.5282057675664855</v>
      </c>
      <c r="W3763" s="16" t="n">
        <v>0.8556277045532088</v>
      </c>
      <c r="X3763" s="16" t="n">
        <v>0.9172100779620712</v>
      </c>
      <c r="Y3763" s="16" t="n">
        <v>292.7302795409631</v>
      </c>
      <c r="Z3763" s="16" t="n">
        <v>7.34205157652318</v>
      </c>
      <c r="AA3763" s="16" t="n">
        <v>29.56816807855117</v>
      </c>
      <c r="AB3763" s="16" t="n">
        <v>3763.254288359827</v>
      </c>
      <c r="AC3763" s="16" t="n">
        <v>4.966806192801848</v>
      </c>
      <c r="AD3763" s="16" t="n"/>
      <c r="AE3763" s="16" t="n"/>
    </row>
    <row r="3764">
      <c r="A3764" s="16" t="inlineStr">
        <is>
          <t>KF-M09-R0-x_b-0050</t>
        </is>
      </c>
      <c r="B3764" s="16" t="inlineStr">
        <is>
          <t>4.3</t>
        </is>
      </c>
      <c r="C3764" s="16" t="inlineStr">
        <is>
          <t>4.3 x_b</t>
        </is>
      </c>
      <c r="D3764" s="16" t="inlineStr">
        <is>
          <t>ronda 0</t>
        </is>
      </c>
      <c r="E3764" s="16" t="inlineStr">
        <is>
          <t>KF-M09</t>
        </is>
      </c>
      <c r="F3764" s="16" t="inlineStr">
        <is>
          <t>KF-M09-R0-x_b</t>
        </is>
      </c>
      <c r="G3764" s="16" t="inlineStr">
        <is>
          <t>B13-x_b</t>
        </is>
      </c>
      <c r="H3764" s="16" t="inlineStr">
        <is>
          <t>lhs</t>
        </is>
      </c>
      <c r="I3764" s="16" t="inlineStr">
        <is>
          <t>CORREGIBLE</t>
        </is>
      </c>
      <c r="J3764" s="16" t="inlineStr">
        <is>
          <t>CORREGIBLE</t>
        </is>
      </c>
      <c r="K3764" s="16" t="b">
        <v>1</v>
      </c>
      <c r="L3764" s="16" t="b">
        <v>0</v>
      </c>
      <c r="M3764" s="16" t="b">
        <v>1</v>
      </c>
      <c r="N3764" s="16" t="b">
        <v>0</v>
      </c>
      <c r="O3764" s="16" t="n">
        <v>460.4697824475293</v>
      </c>
      <c r="P3764" s="16" t="n">
        <v>281.9112251224366</v>
      </c>
      <c r="Q3764" s="16" t="n">
        <v>2036.174090582236</v>
      </c>
      <c r="R3764" s="16" t="n">
        <v>1642.971277382422</v>
      </c>
      <c r="S3764" s="16" t="n">
        <v>0.5</v>
      </c>
      <c r="T3764" s="16" t="n">
        <v>0.580794903189273</v>
      </c>
      <c r="U3764" s="16" t="n">
        <v>0.5451654711268777</v>
      </c>
      <c r="V3764" s="16" t="n">
        <v>0.5808361816258477</v>
      </c>
      <c r="W3764" s="16" t="n">
        <v>0.4579856795806356</v>
      </c>
      <c r="X3764" s="16" t="n">
        <v>0.7180459275617972</v>
      </c>
      <c r="Y3764" s="16" t="n">
        <v>281.9112251224366</v>
      </c>
      <c r="Z3764" s="16" t="n">
        <v>0.98355907845983</v>
      </c>
      <c r="AA3764" s="16" t="n">
        <v>11.00903238657906</v>
      </c>
      <c r="AB3764" s="16" t="n">
        <v>393.2028131998143</v>
      </c>
      <c r="AC3764" s="16" t="n">
        <v>1.239324216200702</v>
      </c>
      <c r="AD3764" s="16" t="inlineStr">
        <is>
          <t>O2</t>
        </is>
      </c>
      <c r="AE3764" s="16" t="n"/>
    </row>
    <row r="3765">
      <c r="A3765" s="16" t="inlineStr">
        <is>
          <t>KF-M09-R0-x_b-0051</t>
        </is>
      </c>
      <c r="B3765" s="16" t="inlineStr">
        <is>
          <t>4.3</t>
        </is>
      </c>
      <c r="C3765" s="16" t="inlineStr">
        <is>
          <t>4.3 x_b</t>
        </is>
      </c>
      <c r="D3765" s="16" t="inlineStr">
        <is>
          <t>ronda 0</t>
        </is>
      </c>
      <c r="E3765" s="16" t="inlineStr">
        <is>
          <t>KF-M09</t>
        </is>
      </c>
      <c r="F3765" s="16" t="inlineStr">
        <is>
          <t>KF-M09-R0-x_b</t>
        </is>
      </c>
      <c r="G3765" s="16" t="inlineStr">
        <is>
          <t>B13-x_b</t>
        </is>
      </c>
      <c r="H3765" s="16" t="inlineStr">
        <is>
          <t>lhs</t>
        </is>
      </c>
      <c r="I3765" s="16" t="inlineStr">
        <is>
          <t>CORREGIBLE</t>
        </is>
      </c>
      <c r="J3765" s="16" t="inlineStr">
        <is>
          <t>CORREGIBLE</t>
        </is>
      </c>
      <c r="K3765" s="16" t="b">
        <v>1</v>
      </c>
      <c r="L3765" s="16" t="b">
        <v>0</v>
      </c>
      <c r="M3765" s="16" t="b">
        <v>1</v>
      </c>
      <c r="N3765" s="16" t="b">
        <v>0</v>
      </c>
      <c r="O3765" s="16" t="n">
        <v>476.5435573940599</v>
      </c>
      <c r="P3765" s="16" t="n">
        <v>283.5885615733871</v>
      </c>
      <c r="Q3765" s="16" t="n">
        <v>4062.889937894791</v>
      </c>
      <c r="R3765" s="16" t="n">
        <v>1349.509401623143</v>
      </c>
      <c r="S3765" s="16" t="n">
        <v>0.5</v>
      </c>
      <c r="T3765" s="16" t="n">
        <v>0.7662077992943185</v>
      </c>
      <c r="U3765" s="16" t="n">
        <v>0.7719392340561994</v>
      </c>
      <c r="V3765" s="16" t="n">
        <v>0.6626738789325844</v>
      </c>
      <c r="W3765" s="16" t="n">
        <v>0.8688123461353052</v>
      </c>
      <c r="X3765" s="16" t="n">
        <v>0.5263145372506715</v>
      </c>
      <c r="Y3765" s="16" t="n">
        <v>283.5885615733871</v>
      </c>
      <c r="Z3765" s="16" t="n">
        <v>5.84180960662669</v>
      </c>
      <c r="AA3765" s="16" t="n">
        <v>46.00130476324401</v>
      </c>
      <c r="AB3765" s="16" t="n">
        <v>2713.380536271648</v>
      </c>
      <c r="AC3765" s="16" t="n">
        <v>3.010642188196754</v>
      </c>
      <c r="AD3765" s="16" t="inlineStr">
        <is>
          <t>O2</t>
        </is>
      </c>
      <c r="AE3765" s="16" t="n"/>
    </row>
    <row r="3766">
      <c r="A3766" s="16" t="inlineStr">
        <is>
          <t>KF-M09-R0-x_b-0052</t>
        </is>
      </c>
      <c r="B3766" s="16" t="inlineStr">
        <is>
          <t>4.3</t>
        </is>
      </c>
      <c r="C3766" s="16" t="inlineStr">
        <is>
          <t>4.3 x_b</t>
        </is>
      </c>
      <c r="D3766" s="16" t="inlineStr">
        <is>
          <t>ronda 0</t>
        </is>
      </c>
      <c r="E3766" s="16" t="inlineStr">
        <is>
          <t>KF-M09</t>
        </is>
      </c>
      <c r="F3766" s="16" t="inlineStr">
        <is>
          <t>KF-M09-R0-x_b</t>
        </is>
      </c>
      <c r="G3766" s="16" t="inlineStr">
        <is>
          <t>B13-x_b</t>
        </is>
      </c>
      <c r="H3766" s="16" t="inlineStr">
        <is>
          <t>lhs</t>
        </is>
      </c>
      <c r="I3766" s="16" t="inlineStr">
        <is>
          <t>CORREGIBLE</t>
        </is>
      </c>
      <c r="J3766" s="16" t="inlineStr">
        <is>
          <t>CORREGIBLE</t>
        </is>
      </c>
      <c r="K3766" s="16" t="b">
        <v>1</v>
      </c>
      <c r="L3766" s="16" t="b">
        <v>0</v>
      </c>
      <c r="M3766" s="16" t="b">
        <v>0</v>
      </c>
      <c r="N3766" s="16" t="b">
        <v>0</v>
      </c>
      <c r="O3766" s="16" t="n">
        <v>420.4756878004298</v>
      </c>
      <c r="P3766" s="16" t="n">
        <v>302.6201888648853</v>
      </c>
      <c r="Q3766" s="16" t="n">
        <v>3081.222751799617</v>
      </c>
      <c r="R3766" s="16" t="n">
        <v>882.4535969613347</v>
      </c>
      <c r="S3766" s="16" t="n">
        <v>0.5</v>
      </c>
      <c r="T3766" s="16" t="n">
        <v>0.9232580864490278</v>
      </c>
      <c r="U3766" s="16" t="n">
        <v>0.607067052207912</v>
      </c>
      <c r="V3766" s="16" t="n">
        <v>0.4605028370048714</v>
      </c>
      <c r="W3766" s="16" t="n">
        <v>0.5696909132894515</v>
      </c>
      <c r="X3766" s="16" t="n">
        <v>0.4106460625807087</v>
      </c>
      <c r="Y3766" s="16" t="n">
        <v>302.6201888648853</v>
      </c>
      <c r="Z3766" s="16" t="n">
        <v>2.68142947898048</v>
      </c>
      <c r="AA3766" s="16" t="n">
        <v>6.335995312386466</v>
      </c>
      <c r="AB3766" s="16" t="n">
        <v>2198.769154838282</v>
      </c>
      <c r="AC3766" s="16" t="n">
        <v>3.491654136160343</v>
      </c>
      <c r="AD3766" s="16" t="inlineStr">
        <is>
          <t>O2</t>
        </is>
      </c>
      <c r="AE3766" s="16" t="n"/>
    </row>
    <row r="3767">
      <c r="A3767" s="16" t="inlineStr">
        <is>
          <t>KF-M09-R0-x_b-0053</t>
        </is>
      </c>
      <c r="B3767" s="16" t="inlineStr">
        <is>
          <t>4.3</t>
        </is>
      </c>
      <c r="C3767" s="16" t="inlineStr">
        <is>
          <t>4.3 x_b</t>
        </is>
      </c>
      <c r="D3767" s="16" t="inlineStr">
        <is>
          <t>ronda 0</t>
        </is>
      </c>
      <c r="E3767" s="16" t="inlineStr">
        <is>
          <t>KF-M09</t>
        </is>
      </c>
      <c r="F3767" s="16" t="inlineStr">
        <is>
          <t>KF-M09-R0-x_b</t>
        </is>
      </c>
      <c r="G3767" s="16" t="inlineStr">
        <is>
          <t>B13-x_b</t>
        </is>
      </c>
      <c r="H3767" s="16" t="inlineStr">
        <is>
          <t>lhs</t>
        </is>
      </c>
      <c r="I3767" s="16" t="inlineStr">
        <is>
          <t>CORREGIBLE</t>
        </is>
      </c>
      <c r="J3767" s="16" t="inlineStr">
        <is>
          <t>CORREGIBLE</t>
        </is>
      </c>
      <c r="K3767" s="16" t="b">
        <v>1</v>
      </c>
      <c r="L3767" s="16" t="b">
        <v>0</v>
      </c>
      <c r="M3767" s="16" t="b">
        <v>0</v>
      </c>
      <c r="N3767" s="16" t="b">
        <v>0</v>
      </c>
      <c r="O3767" s="16" t="n">
        <v>436.4474190450924</v>
      </c>
      <c r="P3767" s="16" t="n">
        <v>280.9109960981276</v>
      </c>
      <c r="Q3767" s="16" t="n">
        <v>2440.772590953026</v>
      </c>
      <c r="R3767" s="16" t="n">
        <v>1139.368635465998</v>
      </c>
      <c r="S3767" s="16" t="n">
        <v>0.5</v>
      </c>
      <c r="T3767" s="16" t="n">
        <v>0.5935248628409348</v>
      </c>
      <c r="U3767" s="16" t="n">
        <v>0.4637204009170128</v>
      </c>
      <c r="V3767" s="16" t="n">
        <v>0.4015985535588921</v>
      </c>
      <c r="W3767" s="16" t="n">
        <v>0.4695371437640281</v>
      </c>
      <c r="X3767" s="16" t="n">
        <v>0.5841395773377952</v>
      </c>
      <c r="Y3767" s="16" t="n">
        <v>280.9109960981276</v>
      </c>
      <c r="Z3767" s="16" t="n">
        <v>2.88854580318981</v>
      </c>
      <c r="AA3767" s="16" t="n">
        <v>12.48963296730459</v>
      </c>
      <c r="AB3767" s="16" t="n">
        <v>1301.403955487028</v>
      </c>
      <c r="AC3767" s="16" t="n">
        <v>2.142215008362731</v>
      </c>
      <c r="AD3767" s="16" t="inlineStr">
        <is>
          <t>O2</t>
        </is>
      </c>
      <c r="AE3767" s="16" t="n"/>
    </row>
    <row r="3768">
      <c r="A3768" s="16" t="inlineStr">
        <is>
          <t>KF-M09-R0-x_b-0054</t>
        </is>
      </c>
      <c r="B3768" s="16" t="inlineStr">
        <is>
          <t>4.3</t>
        </is>
      </c>
      <c r="C3768" s="16" t="inlineStr">
        <is>
          <t>4.3 x_b</t>
        </is>
      </c>
      <c r="D3768" s="16" t="inlineStr">
        <is>
          <t>ronda 0</t>
        </is>
      </c>
      <c r="E3768" s="16" t="inlineStr">
        <is>
          <t>KF-M09</t>
        </is>
      </c>
      <c r="F3768" s="16" t="inlineStr">
        <is>
          <t>KF-M09-R0-x_b</t>
        </is>
      </c>
      <c r="G3768" s="16" t="inlineStr">
        <is>
          <t>B13-x_b</t>
        </is>
      </c>
      <c r="H3768" s="16" t="inlineStr">
        <is>
          <t>lhs</t>
        </is>
      </c>
      <c r="I3768" s="16" t="inlineStr">
        <is>
          <t>NO_CONVERGIO</t>
        </is>
      </c>
      <c r="J3768" s="16" t="inlineStr">
        <is>
          <t>NO_CONVERGIO</t>
        </is>
      </c>
      <c r="K3768" s="16" t="b">
        <v>0</v>
      </c>
      <c r="L3768" s="16" t="b">
        <v>0</v>
      </c>
      <c r="M3768" s="16" t="b">
        <v>0</v>
      </c>
      <c r="N3768" s="16" t="b">
        <v>0</v>
      </c>
      <c r="O3768" s="16" t="n">
        <v>407.2917601503829</v>
      </c>
      <c r="P3768" s="16" t="n">
        <v>285.9046267036617</v>
      </c>
      <c r="Q3768" s="16" t="n">
        <v>4295.192037109629</v>
      </c>
      <c r="R3768" s="16" t="n">
        <v>1704.947611062481</v>
      </c>
      <c r="S3768" s="16" t="n">
        <v>0.5</v>
      </c>
      <c r="T3768" s="16" t="n">
        <v>0.5828009928030787</v>
      </c>
      <c r="U3768" s="16" t="n">
        <v>0.7499965639462689</v>
      </c>
      <c r="V3768" s="16" t="n">
        <v>0.4578143816061097</v>
      </c>
      <c r="W3768" s="16" t="n">
        <v>0.5311727337238434</v>
      </c>
      <c r="X3768" s="16" t="n">
        <v>0.5985617302186587</v>
      </c>
      <c r="Y3768" s="16" t="n">
        <v>285.9046267036617</v>
      </c>
      <c r="Z3768" s="16" t="n"/>
      <c r="AA3768" s="16" t="n"/>
      <c r="AB3768" s="16" t="n">
        <v>2590.244426047148</v>
      </c>
      <c r="AC3768" s="16" t="n">
        <v>2.519251623475382</v>
      </c>
      <c r="AD3768" s="16" t="n"/>
      <c r="AE3768" s="16" t="n"/>
    </row>
    <row r="3769">
      <c r="A3769" s="16" t="inlineStr">
        <is>
          <t>KF-M09-R0-x_b-0055</t>
        </is>
      </c>
      <c r="B3769" s="16" t="inlineStr">
        <is>
          <t>4.3</t>
        </is>
      </c>
      <c r="C3769" s="16" t="inlineStr">
        <is>
          <t>4.3 x_b</t>
        </is>
      </c>
      <c r="D3769" s="16" t="inlineStr">
        <is>
          <t>ronda 0</t>
        </is>
      </c>
      <c r="E3769" s="16" t="inlineStr">
        <is>
          <t>KF-M09</t>
        </is>
      </c>
      <c r="F3769" s="16" t="inlineStr">
        <is>
          <t>KF-M09-R0-x_b</t>
        </is>
      </c>
      <c r="G3769" s="16" t="inlineStr">
        <is>
          <t>B13-x_b</t>
        </is>
      </c>
      <c r="H3769" s="16" t="inlineStr">
        <is>
          <t>lhs</t>
        </is>
      </c>
      <c r="I3769" s="16" t="inlineStr">
        <is>
          <t>INVIABLE</t>
        </is>
      </c>
      <c r="J3769" s="16" t="inlineStr">
        <is>
          <t>INVIABLE</t>
        </is>
      </c>
      <c r="K3769" s="16" t="b">
        <v>1</v>
      </c>
      <c r="L3769" s="16" t="b">
        <v>0</v>
      </c>
      <c r="M3769" s="16" t="b">
        <v>0</v>
      </c>
      <c r="N3769" s="16" t="b">
        <v>0</v>
      </c>
      <c r="O3769" s="16" t="n">
        <v>441.679104817628</v>
      </c>
      <c r="P3769" s="16" t="n">
        <v>281.563011688591</v>
      </c>
      <c r="Q3769" s="16" t="n">
        <v>4941.400035522052</v>
      </c>
      <c r="R3769" s="16" t="n">
        <v>1467.377664649504</v>
      </c>
      <c r="S3769" s="16" t="n">
        <v>0.5</v>
      </c>
      <c r="T3769" s="16" t="n">
        <v>0.5516611226778096</v>
      </c>
      <c r="U3769" s="16" t="n">
        <v>0.5678544695972066</v>
      </c>
      <c r="V3769" s="16" t="n">
        <v>0.4508733229502784</v>
      </c>
      <c r="W3769" s="16" t="n">
        <v>0.5778386550080912</v>
      </c>
      <c r="X3769" s="16" t="n">
        <v>0.6248704932956035</v>
      </c>
      <c r="Y3769" s="16" t="n">
        <v>281.563011688591</v>
      </c>
      <c r="Z3769" s="16" t="n">
        <v>-0.8399545959514501</v>
      </c>
      <c r="AA3769" s="16" t="n">
        <v>-2.330041565060078</v>
      </c>
      <c r="AB3769" s="16" t="n">
        <v>3474.022370872548</v>
      </c>
      <c r="AC3769" s="16" t="n">
        <v>3.367503918428763</v>
      </c>
      <c r="AD3769" s="16" t="inlineStr">
        <is>
          <t>O3</t>
        </is>
      </c>
      <c r="AE3769" s="16" t="n"/>
    </row>
    <row r="3770">
      <c r="A3770" s="16" t="inlineStr">
        <is>
          <t>KF-M09-R0-x_b-0056</t>
        </is>
      </c>
      <c r="B3770" s="16" t="inlineStr">
        <is>
          <t>4.3</t>
        </is>
      </c>
      <c r="C3770" s="16" t="inlineStr">
        <is>
          <t>4.3 x_b</t>
        </is>
      </c>
      <c r="D3770" s="16" t="inlineStr">
        <is>
          <t>ronda 0</t>
        </is>
      </c>
      <c r="E3770" s="16" t="inlineStr">
        <is>
          <t>KF-M09</t>
        </is>
      </c>
      <c r="F3770" s="16" t="inlineStr">
        <is>
          <t>KF-M09-R0-x_b</t>
        </is>
      </c>
      <c r="G3770" s="16" t="inlineStr">
        <is>
          <t>B13-x_b</t>
        </is>
      </c>
      <c r="H3770" s="16" t="inlineStr">
        <is>
          <t>lhs</t>
        </is>
      </c>
      <c r="I3770" s="16" t="inlineStr">
        <is>
          <t>KALINA</t>
        </is>
      </c>
      <c r="J3770" s="16" t="inlineStr">
        <is>
          <t>KALINA</t>
        </is>
      </c>
      <c r="K3770" s="16" t="b">
        <v>1</v>
      </c>
      <c r="L3770" s="16" t="b">
        <v>1</v>
      </c>
      <c r="M3770" s="16" t="b">
        <v>0</v>
      </c>
      <c r="N3770" s="16" t="b">
        <v>0</v>
      </c>
      <c r="O3770" s="16" t="n">
        <v>450.2254764114461</v>
      </c>
      <c r="P3770" s="16" t="n">
        <v>295.4503784849309</v>
      </c>
      <c r="Q3770" s="16" t="n">
        <v>3048.181792987892</v>
      </c>
      <c r="R3770" s="16" t="n">
        <v>669.8450942054069</v>
      </c>
      <c r="S3770" s="16" t="n">
        <v>0.5</v>
      </c>
      <c r="T3770" s="16" t="n">
        <v>0.6928490527639199</v>
      </c>
      <c r="U3770" s="16" t="n">
        <v>0.5511768019572421</v>
      </c>
      <c r="V3770" s="16" t="n">
        <v>0.5014736248479461</v>
      </c>
      <c r="W3770" s="16" t="n">
        <v>0.8248940487193384</v>
      </c>
      <c r="X3770" s="16" t="n">
        <v>0.9367542795889192</v>
      </c>
      <c r="Y3770" s="16" t="n">
        <v>295.4503784849309</v>
      </c>
      <c r="Z3770" s="16" t="n">
        <v>7.57214870253823</v>
      </c>
      <c r="AA3770" s="16" t="n">
        <v>44.31200854397528</v>
      </c>
      <c r="AB3770" s="16" t="n">
        <v>2378.336698782485</v>
      </c>
      <c r="AC3770" s="16" t="n">
        <v>4.550577169791397</v>
      </c>
      <c r="AD3770" s="16" t="n"/>
      <c r="AE3770" s="16" t="n"/>
    </row>
    <row r="3771">
      <c r="A3771" s="16" t="inlineStr">
        <is>
          <t>KF-M09-R0-x_b-0057</t>
        </is>
      </c>
      <c r="B3771" s="16" t="inlineStr">
        <is>
          <t>4.3</t>
        </is>
      </c>
      <c r="C3771" s="16" t="inlineStr">
        <is>
          <t>4.3 x_b</t>
        </is>
      </c>
      <c r="D3771" s="16" t="inlineStr">
        <is>
          <t>ronda 0</t>
        </is>
      </c>
      <c r="E3771" s="16" t="inlineStr">
        <is>
          <t>KF-M09</t>
        </is>
      </c>
      <c r="F3771" s="16" t="inlineStr">
        <is>
          <t>KF-M09-R0-x_b</t>
        </is>
      </c>
      <c r="G3771" s="16" t="inlineStr">
        <is>
          <t>B13-x_b</t>
        </is>
      </c>
      <c r="H3771" s="16" t="inlineStr">
        <is>
          <t>lhs</t>
        </is>
      </c>
      <c r="I3771" s="16" t="inlineStr">
        <is>
          <t>CORREGIBLE</t>
        </is>
      </c>
      <c r="J3771" s="16" t="inlineStr">
        <is>
          <t>CORREGIBLE</t>
        </is>
      </c>
      <c r="K3771" s="16" t="b">
        <v>1</v>
      </c>
      <c r="L3771" s="16" t="b">
        <v>0</v>
      </c>
      <c r="M3771" s="16" t="b">
        <v>1</v>
      </c>
      <c r="N3771" s="16" t="b">
        <v>0</v>
      </c>
      <c r="O3771" s="16" t="n">
        <v>447.3136126115365</v>
      </c>
      <c r="P3771" s="16" t="n">
        <v>291.7288622364123</v>
      </c>
      <c r="Q3771" s="16" t="n">
        <v>4606.861885494716</v>
      </c>
      <c r="R3771" s="16" t="n">
        <v>589.5449793053745</v>
      </c>
      <c r="S3771" s="16" t="n">
        <v>0.5</v>
      </c>
      <c r="T3771" s="16" t="n">
        <v>0.6347863463811245</v>
      </c>
      <c r="U3771" s="16" t="n">
        <v>0.7393693329841556</v>
      </c>
      <c r="V3771" s="16" t="n">
        <v>0.747766195052823</v>
      </c>
      <c r="W3771" s="16" t="n">
        <v>0.4531722987870829</v>
      </c>
      <c r="X3771" s="16" t="n">
        <v>0.8171415921285242</v>
      </c>
      <c r="Y3771" s="16" t="n">
        <v>291.7288622364123</v>
      </c>
      <c r="Z3771" s="16" t="n">
        <v>6.468674446666981</v>
      </c>
      <c r="AA3771" s="16" t="n">
        <v>39.80035992722299</v>
      </c>
      <c r="AB3771" s="16" t="n">
        <v>4017.316906189342</v>
      </c>
      <c r="AC3771" s="16" t="n">
        <v>7.814267014745348</v>
      </c>
      <c r="AD3771" s="16" t="inlineStr">
        <is>
          <t>O2</t>
        </is>
      </c>
      <c r="AE3771" s="16" t="n"/>
    </row>
    <row r="3772">
      <c r="A3772" s="16" t="inlineStr">
        <is>
          <t>KF-M09-R0-x_b-0058</t>
        </is>
      </c>
      <c r="B3772" s="16" t="inlineStr">
        <is>
          <t>4.3</t>
        </is>
      </c>
      <c r="C3772" s="16" t="inlineStr">
        <is>
          <t>4.3 x_b</t>
        </is>
      </c>
      <c r="D3772" s="16" t="inlineStr">
        <is>
          <t>ronda 0</t>
        </is>
      </c>
      <c r="E3772" s="16" t="inlineStr">
        <is>
          <t>KF-M09</t>
        </is>
      </c>
      <c r="F3772" s="16" t="inlineStr">
        <is>
          <t>KF-M09-R0-x_b</t>
        </is>
      </c>
      <c r="G3772" s="16" t="inlineStr">
        <is>
          <t>B13-x_b</t>
        </is>
      </c>
      <c r="H3772" s="16" t="inlineStr">
        <is>
          <t>lhs</t>
        </is>
      </c>
      <c r="I3772" s="16" t="inlineStr">
        <is>
          <t>CORREGIBLE</t>
        </is>
      </c>
      <c r="J3772" s="16" t="inlineStr">
        <is>
          <t>CORREGIBLE</t>
        </is>
      </c>
      <c r="K3772" s="16" t="b">
        <v>1</v>
      </c>
      <c r="L3772" s="16" t="b">
        <v>0</v>
      </c>
      <c r="M3772" s="16" t="b">
        <v>1</v>
      </c>
      <c r="N3772" s="16" t="b">
        <v>0</v>
      </c>
      <c r="O3772" s="16" t="n">
        <v>444.6624022784288</v>
      </c>
      <c r="P3772" s="16" t="n">
        <v>295.0228984542692</v>
      </c>
      <c r="Q3772" s="16" t="n">
        <v>2155.96274025893</v>
      </c>
      <c r="R3772" s="16" t="n">
        <v>1400.432978374904</v>
      </c>
      <c r="S3772" s="16" t="n">
        <v>0.5</v>
      </c>
      <c r="T3772" s="16" t="n">
        <v>0.7091986079399315</v>
      </c>
      <c r="U3772" s="16" t="n">
        <v>0.4749067859576524</v>
      </c>
      <c r="V3772" s="16" t="n">
        <v>0.8178263145413953</v>
      </c>
      <c r="W3772" s="16" t="n">
        <v>0.7652087995622616</v>
      </c>
      <c r="X3772" s="16" t="n">
        <v>0.5746900728276793</v>
      </c>
      <c r="Y3772" s="16" t="n">
        <v>295.0228984542692</v>
      </c>
      <c r="Z3772" s="16" t="n">
        <v>0.6164742653256999</v>
      </c>
      <c r="AA3772" s="16" t="n">
        <v>5.276444336407955</v>
      </c>
      <c r="AB3772" s="16" t="n">
        <v>755.5297618840268</v>
      </c>
      <c r="AC3772" s="16" t="n">
        <v>1.539497265167778</v>
      </c>
      <c r="AD3772" s="16" t="inlineStr">
        <is>
          <t>O2</t>
        </is>
      </c>
      <c r="AE3772" s="16" t="n"/>
    </row>
    <row r="3773">
      <c r="A3773" s="16" t="inlineStr">
        <is>
          <t>KF-M09-R0-x_b-0059</t>
        </is>
      </c>
      <c r="B3773" s="16" t="inlineStr">
        <is>
          <t>4.3</t>
        </is>
      </c>
      <c r="C3773" s="16" t="inlineStr">
        <is>
          <t>4.3 x_b</t>
        </is>
      </c>
      <c r="D3773" s="16" t="inlineStr">
        <is>
          <t>ronda 0</t>
        </is>
      </c>
      <c r="E3773" s="16" t="inlineStr">
        <is>
          <t>KF-M09</t>
        </is>
      </c>
      <c r="F3773" s="16" t="inlineStr">
        <is>
          <t>KF-M09-R0-x_b</t>
        </is>
      </c>
      <c r="G3773" s="16" t="inlineStr">
        <is>
          <t>B13-x_b</t>
        </is>
      </c>
      <c r="H3773" s="16" t="inlineStr">
        <is>
          <t>lhs</t>
        </is>
      </c>
      <c r="I3773" s="16" t="inlineStr">
        <is>
          <t>CORREGIBLE</t>
        </is>
      </c>
      <c r="J3773" s="16" t="inlineStr">
        <is>
          <t>CORREGIBLE</t>
        </is>
      </c>
      <c r="K3773" s="16" t="b">
        <v>1</v>
      </c>
      <c r="L3773" s="16" t="b">
        <v>0</v>
      </c>
      <c r="M3773" s="16" t="b">
        <v>1</v>
      </c>
      <c r="N3773" s="16" t="b">
        <v>0</v>
      </c>
      <c r="O3773" s="16" t="n">
        <v>456.6612947879313</v>
      </c>
      <c r="P3773" s="16" t="n">
        <v>282.1391341170443</v>
      </c>
      <c r="Q3773" s="16" t="n">
        <v>3294.006562740586</v>
      </c>
      <c r="R3773" s="16" t="n">
        <v>1001.571043316357</v>
      </c>
      <c r="S3773" s="16" t="n">
        <v>0.5</v>
      </c>
      <c r="T3773" s="16" t="n">
        <v>0.9013840773529538</v>
      </c>
      <c r="U3773" s="16" t="n">
        <v>0.5039231324331085</v>
      </c>
      <c r="V3773" s="16" t="n">
        <v>0.4402819448560084</v>
      </c>
      <c r="W3773" s="16" t="n">
        <v>0.9447975454448873</v>
      </c>
      <c r="X3773" s="16" t="n">
        <v>0.5459117352489669</v>
      </c>
      <c r="Y3773" s="16" t="n">
        <v>282.1391341170443</v>
      </c>
      <c r="Z3773" s="16" t="n">
        <v>9.03326455835834</v>
      </c>
      <c r="AA3773" s="16" t="n">
        <v>43.41705631868852</v>
      </c>
      <c r="AB3773" s="16" t="n">
        <v>2292.435519424229</v>
      </c>
      <c r="AC3773" s="16" t="n">
        <v>3.288839653184881</v>
      </c>
      <c r="AD3773" s="16" t="inlineStr">
        <is>
          <t>O2</t>
        </is>
      </c>
      <c r="AE3773" s="16" t="n"/>
    </row>
    <row r="3774">
      <c r="A3774" s="16" t="inlineStr">
        <is>
          <t>KF-M09-R0-x_b-0060</t>
        </is>
      </c>
      <c r="B3774" s="16" t="inlineStr">
        <is>
          <t>4.3</t>
        </is>
      </c>
      <c r="C3774" s="16" t="inlineStr">
        <is>
          <t>4.3 x_b</t>
        </is>
      </c>
      <c r="D3774" s="16" t="inlineStr">
        <is>
          <t>ronda 0</t>
        </is>
      </c>
      <c r="E3774" s="16" t="inlineStr">
        <is>
          <t>KF-M09</t>
        </is>
      </c>
      <c r="F3774" s="16" t="inlineStr">
        <is>
          <t>KF-M09-R0-x_b</t>
        </is>
      </c>
      <c r="G3774" s="16" t="inlineStr">
        <is>
          <t>B13-x_b</t>
        </is>
      </c>
      <c r="H3774" s="16" t="inlineStr">
        <is>
          <t>lhs</t>
        </is>
      </c>
      <c r="I3774" s="16" t="inlineStr">
        <is>
          <t>INVIABLE</t>
        </is>
      </c>
      <c r="J3774" s="16" t="inlineStr">
        <is>
          <t>INVIABLE</t>
        </is>
      </c>
      <c r="K3774" s="16" t="b">
        <v>1</v>
      </c>
      <c r="L3774" s="16" t="b">
        <v>0</v>
      </c>
      <c r="M3774" s="16" t="b">
        <v>1</v>
      </c>
      <c r="N3774" s="16" t="b">
        <v>0</v>
      </c>
      <c r="O3774" s="16" t="n">
        <v>439.5874243697814</v>
      </c>
      <c r="P3774" s="16" t="n">
        <v>290.675326900889</v>
      </c>
      <c r="Q3774" s="16" t="n">
        <v>3219.157230298875</v>
      </c>
      <c r="R3774" s="16" t="n">
        <v>316.7837165229907</v>
      </c>
      <c r="S3774" s="16" t="n">
        <v>0.5</v>
      </c>
      <c r="T3774" s="16" t="n">
        <v>0.434010007695209</v>
      </c>
      <c r="U3774" s="16" t="n">
        <v>0.4779062294048609</v>
      </c>
      <c r="V3774" s="16" t="n">
        <v>0.8933023291417546</v>
      </c>
      <c r="W3774" s="16" t="n">
        <v>0.7358116634012986</v>
      </c>
      <c r="X3774" s="16" t="n">
        <v>0.462825481793106</v>
      </c>
      <c r="Y3774" s="16" t="n">
        <v>290.675326900889</v>
      </c>
      <c r="Z3774" s="16" t="n">
        <v>-27.70751770781532</v>
      </c>
      <c r="AA3774" s="16" t="n">
        <v>-110.1024073628801</v>
      </c>
      <c r="AB3774" s="16" t="n">
        <v>2902.373513775884</v>
      </c>
      <c r="AC3774" s="16" t="n">
        <v>10.1620034818464</v>
      </c>
      <c r="AD3774" s="16" t="inlineStr">
        <is>
          <t>O2,O3</t>
        </is>
      </c>
      <c r="AE3774" s="16" t="n"/>
    </row>
    <row r="3775">
      <c r="A3775" s="16" t="inlineStr">
        <is>
          <t>KF-M09-R0-x_b-0061</t>
        </is>
      </c>
      <c r="B3775" s="16" t="inlineStr">
        <is>
          <t>4.3</t>
        </is>
      </c>
      <c r="C3775" s="16" t="inlineStr">
        <is>
          <t>4.3 x_b</t>
        </is>
      </c>
      <c r="D3775" s="16" t="inlineStr">
        <is>
          <t>ronda 0</t>
        </is>
      </c>
      <c r="E3775" s="16" t="inlineStr">
        <is>
          <t>KF-M09</t>
        </is>
      </c>
      <c r="F3775" s="16" t="inlineStr">
        <is>
          <t>KF-M09-R0-x_b</t>
        </is>
      </c>
      <c r="G3775" s="16" t="inlineStr">
        <is>
          <t>B13-x_b</t>
        </is>
      </c>
      <c r="H3775" s="16" t="inlineStr">
        <is>
          <t>lhs</t>
        </is>
      </c>
      <c r="I3775" s="16" t="inlineStr">
        <is>
          <t>CORREGIBLE</t>
        </is>
      </c>
      <c r="J3775" s="16" t="inlineStr">
        <is>
          <t>CORREGIBLE</t>
        </is>
      </c>
      <c r="K3775" s="16" t="b">
        <v>1</v>
      </c>
      <c r="L3775" s="16" t="b">
        <v>0</v>
      </c>
      <c r="M3775" s="16" t="b">
        <v>1</v>
      </c>
      <c r="N3775" s="16" t="b">
        <v>0</v>
      </c>
      <c r="O3775" s="16" t="n">
        <v>513.8093147356628</v>
      </c>
      <c r="P3775" s="16" t="n">
        <v>297.7732234382187</v>
      </c>
      <c r="Q3775" s="16" t="n">
        <v>4750.027427325755</v>
      </c>
      <c r="R3775" s="16" t="n">
        <v>1040.17912341992</v>
      </c>
      <c r="S3775" s="16" t="n">
        <v>0.5</v>
      </c>
      <c r="T3775" s="16" t="n">
        <v>0.4733319897222104</v>
      </c>
      <c r="U3775" s="16" t="n">
        <v>0.6094658746709285</v>
      </c>
      <c r="V3775" s="16" t="n">
        <v>0.907855353140836</v>
      </c>
      <c r="W3775" s="16" t="n">
        <v>0.6793506546147823</v>
      </c>
      <c r="X3775" s="16" t="n">
        <v>0.8495077581454964</v>
      </c>
      <c r="Y3775" s="16" t="n">
        <v>297.7732234382187</v>
      </c>
      <c r="Z3775" s="16" t="n">
        <v>5.72763047705671</v>
      </c>
      <c r="AA3775" s="16" t="n">
        <v>106.7612584937858</v>
      </c>
      <c r="AB3775" s="16" t="n">
        <v>3709.848303905835</v>
      </c>
      <c r="AC3775" s="16" t="n">
        <v>4.566547549722523</v>
      </c>
      <c r="AD3775" s="16" t="inlineStr">
        <is>
          <t>O2</t>
        </is>
      </c>
      <c r="AE3775" s="16" t="n"/>
    </row>
    <row r="3776">
      <c r="A3776" s="16" t="inlineStr">
        <is>
          <t>KF-M09-R0-x_b-0062</t>
        </is>
      </c>
      <c r="B3776" s="16" t="inlineStr">
        <is>
          <t>4.3</t>
        </is>
      </c>
      <c r="C3776" s="16" t="inlineStr">
        <is>
          <t>4.3 x_b</t>
        </is>
      </c>
      <c r="D3776" s="16" t="inlineStr">
        <is>
          <t>ronda 0</t>
        </is>
      </c>
      <c r="E3776" s="16" t="inlineStr">
        <is>
          <t>KF-M09</t>
        </is>
      </c>
      <c r="F3776" s="16" t="inlineStr">
        <is>
          <t>KF-M09-R0-x_b</t>
        </is>
      </c>
      <c r="G3776" s="16" t="inlineStr">
        <is>
          <t>B13-x_b</t>
        </is>
      </c>
      <c r="H3776" s="16" t="inlineStr">
        <is>
          <t>lhs</t>
        </is>
      </c>
      <c r="I3776" s="16" t="inlineStr">
        <is>
          <t>KALINA</t>
        </is>
      </c>
      <c r="J3776" s="16" t="inlineStr">
        <is>
          <t>KALINA</t>
        </is>
      </c>
      <c r="K3776" s="16" t="b">
        <v>1</v>
      </c>
      <c r="L3776" s="16" t="b">
        <v>1</v>
      </c>
      <c r="M3776" s="16" t="b">
        <v>0</v>
      </c>
      <c r="N3776" s="16" t="b">
        <v>0</v>
      </c>
      <c r="O3776" s="16" t="n">
        <v>408.1520460543376</v>
      </c>
      <c r="P3776" s="16" t="n">
        <v>290.9049964622825</v>
      </c>
      <c r="Q3776" s="16" t="n">
        <v>2774.296346033062</v>
      </c>
      <c r="R3776" s="16" t="n">
        <v>982.7878876899985</v>
      </c>
      <c r="S3776" s="16" t="n">
        <v>0.5</v>
      </c>
      <c r="T3776" s="16" t="n">
        <v>0.5706194155132426</v>
      </c>
      <c r="U3776" s="16" t="n">
        <v>0.4354140588245839</v>
      </c>
      <c r="V3776" s="16" t="n">
        <v>0.6125269385339733</v>
      </c>
      <c r="W3776" s="16" t="n">
        <v>0.5379658158499305</v>
      </c>
      <c r="X3776" s="16" t="n">
        <v>0.793658210093132</v>
      </c>
      <c r="Y3776" s="16" t="n">
        <v>290.9049964622825</v>
      </c>
      <c r="Z3776" s="16" t="n">
        <v>1.7379099482447</v>
      </c>
      <c r="AA3776" s="16" t="n">
        <v>6.104880694949447</v>
      </c>
      <c r="AB3776" s="16" t="n">
        <v>1791.508458343064</v>
      </c>
      <c r="AC3776" s="16" t="n">
        <v>2.822884144974485</v>
      </c>
      <c r="AD3776" s="16" t="n"/>
      <c r="AE3776" s="16" t="n"/>
    </row>
    <row r="3777">
      <c r="A3777" s="16" t="inlineStr">
        <is>
          <t>KF-M09-R0-x_b-0063</t>
        </is>
      </c>
      <c r="B3777" s="16" t="inlineStr">
        <is>
          <t>4.3</t>
        </is>
      </c>
      <c r="C3777" s="16" t="inlineStr">
        <is>
          <t>4.3 x_b</t>
        </is>
      </c>
      <c r="D3777" s="16" t="inlineStr">
        <is>
          <t>ronda 0</t>
        </is>
      </c>
      <c r="E3777" s="16" t="inlineStr">
        <is>
          <t>KF-M09</t>
        </is>
      </c>
      <c r="F3777" s="16" t="inlineStr">
        <is>
          <t>KF-M09-R0-x_b</t>
        </is>
      </c>
      <c r="G3777" s="16" t="inlineStr">
        <is>
          <t>B13-x_b</t>
        </is>
      </c>
      <c r="H3777" s="16" t="inlineStr">
        <is>
          <t>lhs</t>
        </is>
      </c>
      <c r="I3777" s="16" t="inlineStr">
        <is>
          <t>CORREGIBLE</t>
        </is>
      </c>
      <c r="J3777" s="16" t="inlineStr">
        <is>
          <t>CORREGIBLE</t>
        </is>
      </c>
      <c r="K3777" s="16" t="b">
        <v>1</v>
      </c>
      <c r="L3777" s="16" t="b">
        <v>0</v>
      </c>
      <c r="M3777" s="16" t="b">
        <v>1</v>
      </c>
      <c r="N3777" s="16" t="b">
        <v>0</v>
      </c>
      <c r="O3777" s="16" t="n">
        <v>435.852217826924</v>
      </c>
      <c r="P3777" s="16" t="n">
        <v>303.1298814227509</v>
      </c>
      <c r="Q3777" s="16" t="n">
        <v>2913.364741932514</v>
      </c>
      <c r="R3777" s="16" t="n">
        <v>1616.972874432996</v>
      </c>
      <c r="S3777" s="16" t="n">
        <v>0.5</v>
      </c>
      <c r="T3777" s="16" t="n">
        <v>0.7018938371428725</v>
      </c>
      <c r="U3777" s="16" t="n">
        <v>0.8575844678287066</v>
      </c>
      <c r="V3777" s="16" t="n">
        <v>0.9440766527951112</v>
      </c>
      <c r="W3777" s="16" t="n">
        <v>0.5920281131077435</v>
      </c>
      <c r="X3777" s="16" t="n">
        <v>0.4477759223268083</v>
      </c>
      <c r="Y3777" s="16" t="n">
        <v>303.1298814227509</v>
      </c>
      <c r="Z3777" s="16" t="n">
        <v>2.07302547799674</v>
      </c>
      <c r="AA3777" s="16" t="n">
        <v>10.40709454624913</v>
      </c>
      <c r="AB3777" s="16" t="n">
        <v>1296.391867499519</v>
      </c>
      <c r="AC3777" s="16" t="n">
        <v>1.801740021739145</v>
      </c>
      <c r="AD3777" s="16" t="inlineStr">
        <is>
          <t>O2</t>
        </is>
      </c>
      <c r="AE3777" s="16" t="n"/>
    </row>
    <row r="3778">
      <c r="A3778" s="16" t="inlineStr">
        <is>
          <t>KF-M09-R0-x_b-0064</t>
        </is>
      </c>
      <c r="B3778" s="16" t="inlineStr">
        <is>
          <t>4.3</t>
        </is>
      </c>
      <c r="C3778" s="16" t="inlineStr">
        <is>
          <t>4.3 x_b</t>
        </is>
      </c>
      <c r="D3778" s="16" t="inlineStr">
        <is>
          <t>ronda 0</t>
        </is>
      </c>
      <c r="E3778" s="16" t="inlineStr">
        <is>
          <t>KF-M09</t>
        </is>
      </c>
      <c r="F3778" s="16" t="inlineStr">
        <is>
          <t>KF-M09-R0-x_b</t>
        </is>
      </c>
      <c r="G3778" s="16" t="inlineStr">
        <is>
          <t>B13-x_b</t>
        </is>
      </c>
      <c r="H3778" s="16" t="inlineStr">
        <is>
          <t>lhs</t>
        </is>
      </c>
      <c r="I3778" s="16" t="inlineStr">
        <is>
          <t>CORREGIBLE</t>
        </is>
      </c>
      <c r="J3778" s="16" t="inlineStr">
        <is>
          <t>CORREGIBLE</t>
        </is>
      </c>
      <c r="K3778" s="16" t="b">
        <v>1</v>
      </c>
      <c r="L3778" s="16" t="b">
        <v>0</v>
      </c>
      <c r="M3778" s="16" t="b">
        <v>1</v>
      </c>
      <c r="N3778" s="16" t="b">
        <v>0</v>
      </c>
      <c r="O3778" s="16" t="n">
        <v>506.7338143916081</v>
      </c>
      <c r="P3778" s="16" t="n">
        <v>297.5969594673116</v>
      </c>
      <c r="Q3778" s="16" t="n">
        <v>2402.607245187027</v>
      </c>
      <c r="R3778" s="16" t="n">
        <v>490.7379452913003</v>
      </c>
      <c r="S3778" s="16" t="n">
        <v>0.5</v>
      </c>
      <c r="T3778" s="16" t="n">
        <v>0.4291353435078861</v>
      </c>
      <c r="U3778" s="16" t="n">
        <v>0.5414109038184347</v>
      </c>
      <c r="V3778" s="16" t="n">
        <v>0.7645923996402105</v>
      </c>
      <c r="W3778" s="16" t="n">
        <v>0.7850300151751262</v>
      </c>
      <c r="X3778" s="16" t="n">
        <v>0.8029851744206542</v>
      </c>
      <c r="Y3778" s="16" t="n">
        <v>297.5969594673116</v>
      </c>
      <c r="Z3778" s="16" t="n">
        <v>3.30378495202287</v>
      </c>
      <c r="AA3778" s="16" t="n">
        <v>50.51664097433974</v>
      </c>
      <c r="AB3778" s="16" t="n">
        <v>1911.869299895726</v>
      </c>
      <c r="AC3778" s="16" t="n">
        <v>4.895906803703243</v>
      </c>
      <c r="AD3778" s="16" t="inlineStr">
        <is>
          <t>O2</t>
        </is>
      </c>
      <c r="AE3778" s="16" t="n"/>
    </row>
    <row r="3779">
      <c r="A3779" s="16" t="inlineStr">
        <is>
          <t>KF-M09-R0-x_b-0065</t>
        </is>
      </c>
      <c r="B3779" s="16" t="inlineStr">
        <is>
          <t>4.3</t>
        </is>
      </c>
      <c r="C3779" s="16" t="inlineStr">
        <is>
          <t>4.3 x_b</t>
        </is>
      </c>
      <c r="D3779" s="16" t="inlineStr">
        <is>
          <t>ronda 0</t>
        </is>
      </c>
      <c r="E3779" s="16" t="inlineStr">
        <is>
          <t>KF-M09</t>
        </is>
      </c>
      <c r="F3779" s="16" t="inlineStr">
        <is>
          <t>KF-M09-R0-x_b</t>
        </is>
      </c>
      <c r="G3779" s="16" t="inlineStr">
        <is>
          <t>B13-x_b</t>
        </is>
      </c>
      <c r="H3779" s="16" t="inlineStr">
        <is>
          <t>lhs</t>
        </is>
      </c>
      <c r="I3779" s="16" t="inlineStr">
        <is>
          <t>CORREGIBLE</t>
        </is>
      </c>
      <c r="J3779" s="16" t="inlineStr">
        <is>
          <t>CORREGIBLE</t>
        </is>
      </c>
      <c r="K3779" s="16" t="b">
        <v>1</v>
      </c>
      <c r="L3779" s="16" t="b">
        <v>0</v>
      </c>
      <c r="M3779" s="16" t="b">
        <v>1</v>
      </c>
      <c r="N3779" s="16" t="b">
        <v>0</v>
      </c>
      <c r="O3779" s="16" t="n">
        <v>454.5066310057953</v>
      </c>
      <c r="P3779" s="16" t="n">
        <v>287.9132549718845</v>
      </c>
      <c r="Q3779" s="16" t="n">
        <v>3331.139015266297</v>
      </c>
      <c r="R3779" s="16" t="n">
        <v>1606.581248432317</v>
      </c>
      <c r="S3779" s="16" t="n">
        <v>0.5</v>
      </c>
      <c r="T3779" s="16" t="n">
        <v>0.839552210545226</v>
      </c>
      <c r="U3779" s="16" t="n">
        <v>0.5243754774603309</v>
      </c>
      <c r="V3779" s="16" t="n">
        <v>0.4880468620370533</v>
      </c>
      <c r="W3779" s="16" t="n">
        <v>0.8444208858110314</v>
      </c>
      <c r="X3779" s="16" t="n">
        <v>0.4155295767194172</v>
      </c>
      <c r="Y3779" s="16" t="n">
        <v>287.9132549718845</v>
      </c>
      <c r="Z3779" s="16" t="n">
        <v>1.93598009465374</v>
      </c>
      <c r="AA3779" s="16" t="n">
        <v>8.223681117727615</v>
      </c>
      <c r="AB3779" s="16" t="n">
        <v>1724.55776683398</v>
      </c>
      <c r="AC3779" s="16" t="n">
        <v>2.073433272370621</v>
      </c>
      <c r="AD3779" s="16" t="inlineStr">
        <is>
          <t>O2</t>
        </is>
      </c>
      <c r="AE3779" s="16" t="n"/>
    </row>
    <row r="3780">
      <c r="A3780" s="16" t="inlineStr">
        <is>
          <t>KF-M09-R0-x_b-0066</t>
        </is>
      </c>
      <c r="B3780" s="16" t="inlineStr">
        <is>
          <t>4.3</t>
        </is>
      </c>
      <c r="C3780" s="16" t="inlineStr">
        <is>
          <t>4.3 x_b</t>
        </is>
      </c>
      <c r="D3780" s="16" t="inlineStr">
        <is>
          <t>ronda 0</t>
        </is>
      </c>
      <c r="E3780" s="16" t="inlineStr">
        <is>
          <t>KF-M09</t>
        </is>
      </c>
      <c r="F3780" s="16" t="inlineStr">
        <is>
          <t>KF-M09-R0-x_b</t>
        </is>
      </c>
      <c r="G3780" s="16" t="inlineStr">
        <is>
          <t>B13-x_b</t>
        </is>
      </c>
      <c r="H3780" s="16" t="inlineStr">
        <is>
          <t>lhs</t>
        </is>
      </c>
      <c r="I3780" s="16" t="inlineStr">
        <is>
          <t>KALINA</t>
        </is>
      </c>
      <c r="J3780" s="16" t="inlineStr">
        <is>
          <t>KALINA</t>
        </is>
      </c>
      <c r="K3780" s="16" t="b">
        <v>1</v>
      </c>
      <c r="L3780" s="16" t="b">
        <v>1</v>
      </c>
      <c r="M3780" s="16" t="b">
        <v>0</v>
      </c>
      <c r="N3780" s="16" t="b">
        <v>0</v>
      </c>
      <c r="O3780" s="16" t="n">
        <v>410.3077989518538</v>
      </c>
      <c r="P3780" s="16" t="n">
        <v>300.8060859027628</v>
      </c>
      <c r="Q3780" s="16" t="n">
        <v>3643.202070305616</v>
      </c>
      <c r="R3780" s="16" t="n">
        <v>1264.830520526532</v>
      </c>
      <c r="S3780" s="16" t="n">
        <v>0.5</v>
      </c>
      <c r="T3780" s="16" t="n">
        <v>0.4702563835043206</v>
      </c>
      <c r="U3780" s="16" t="n">
        <v>0.5314343158193305</v>
      </c>
      <c r="V3780" s="16" t="n">
        <v>0.6555105798255527</v>
      </c>
      <c r="W3780" s="16" t="n">
        <v>0.8749339390517608</v>
      </c>
      <c r="X3780" s="16" t="n">
        <v>0.7471381333669289</v>
      </c>
      <c r="Y3780" s="16" t="n">
        <v>300.8060859027628</v>
      </c>
      <c r="Z3780" s="16" t="n">
        <v>0.51604167193793</v>
      </c>
      <c r="AA3780" s="16" t="n">
        <v>0.9266265010114152</v>
      </c>
      <c r="AB3780" s="16" t="n">
        <v>2378.371549779084</v>
      </c>
      <c r="AC3780" s="16" t="n">
        <v>2.880387539026968</v>
      </c>
      <c r="AD3780" s="16" t="n"/>
      <c r="AE3780" s="16" t="n"/>
    </row>
    <row r="3781">
      <c r="A3781" s="16" t="inlineStr">
        <is>
          <t>KF-M09-R0-x_b-0067</t>
        </is>
      </c>
      <c r="B3781" s="16" t="inlineStr">
        <is>
          <t>4.3</t>
        </is>
      </c>
      <c r="C3781" s="16" t="inlineStr">
        <is>
          <t>4.3 x_b</t>
        </is>
      </c>
      <c r="D3781" s="16" t="inlineStr">
        <is>
          <t>ronda 0</t>
        </is>
      </c>
      <c r="E3781" s="16" t="inlineStr">
        <is>
          <t>KF-M09</t>
        </is>
      </c>
      <c r="F3781" s="16" t="inlineStr">
        <is>
          <t>KF-M09-R0-x_b</t>
        </is>
      </c>
      <c r="G3781" s="16" t="inlineStr">
        <is>
          <t>B13-x_b</t>
        </is>
      </c>
      <c r="H3781" s="16" t="inlineStr">
        <is>
          <t>lhs</t>
        </is>
      </c>
      <c r="I3781" s="16" t="inlineStr">
        <is>
          <t>CORREGIBLE</t>
        </is>
      </c>
      <c r="J3781" s="16" t="inlineStr">
        <is>
          <t>CORREGIBLE</t>
        </is>
      </c>
      <c r="K3781" s="16" t="b">
        <v>1</v>
      </c>
      <c r="L3781" s="16" t="b">
        <v>0</v>
      </c>
      <c r="M3781" s="16" t="b">
        <v>0</v>
      </c>
      <c r="N3781" s="16" t="b">
        <v>0</v>
      </c>
      <c r="O3781" s="16" t="n">
        <v>425.553806201758</v>
      </c>
      <c r="P3781" s="16" t="n">
        <v>296.8260211594661</v>
      </c>
      <c r="Q3781" s="16" t="n">
        <v>4546.866898770275</v>
      </c>
      <c r="R3781" s="16" t="n">
        <v>534.7317202815046</v>
      </c>
      <c r="S3781" s="16" t="n">
        <v>0.5</v>
      </c>
      <c r="T3781" s="16" t="n">
        <v>0.9103877624722164</v>
      </c>
      <c r="U3781" s="16" t="n">
        <v>0.8415801769850162</v>
      </c>
      <c r="V3781" s="16" t="n">
        <v>0.7847359901810016</v>
      </c>
      <c r="W3781" s="16" t="n">
        <v>0.4938051065364716</v>
      </c>
      <c r="X3781" s="16" t="n">
        <v>0.6834037119083918</v>
      </c>
      <c r="Y3781" s="16" t="n">
        <v>296.8260211594661</v>
      </c>
      <c r="Z3781" s="16" t="n">
        <v>6.13475821459988</v>
      </c>
      <c r="AA3781" s="16" t="n">
        <v>21.57906425467928</v>
      </c>
      <c r="AB3781" s="16" t="n">
        <v>4012.13517848877</v>
      </c>
      <c r="AC3781" s="16" t="n">
        <v>8.503080566039019</v>
      </c>
      <c r="AD3781" s="16" t="inlineStr">
        <is>
          <t>O2</t>
        </is>
      </c>
      <c r="AE3781" s="16" t="n"/>
    </row>
    <row r="3782">
      <c r="A3782" s="16" t="inlineStr">
        <is>
          <t>KF-M09-R0-x_b-0068</t>
        </is>
      </c>
      <c r="B3782" s="16" t="inlineStr">
        <is>
          <t>4.3</t>
        </is>
      </c>
      <c r="C3782" s="16" t="inlineStr">
        <is>
          <t>4.3 x_b</t>
        </is>
      </c>
      <c r="D3782" s="16" t="inlineStr">
        <is>
          <t>ronda 0</t>
        </is>
      </c>
      <c r="E3782" s="16" t="inlineStr">
        <is>
          <t>KF-M09</t>
        </is>
      </c>
      <c r="F3782" s="16" t="inlineStr">
        <is>
          <t>KF-M09-R0-x_b</t>
        </is>
      </c>
      <c r="G3782" s="16" t="inlineStr">
        <is>
          <t>B13-x_b</t>
        </is>
      </c>
      <c r="H3782" s="16" t="inlineStr">
        <is>
          <t>lhs</t>
        </is>
      </c>
      <c r="I3782" s="16" t="inlineStr">
        <is>
          <t>NO_CONVERGIO</t>
        </is>
      </c>
      <c r="J3782" s="16" t="inlineStr">
        <is>
          <t>NO_CONVERGIO</t>
        </is>
      </c>
      <c r="K3782" s="16" t="b">
        <v>0</v>
      </c>
      <c r="L3782" s="16" t="b">
        <v>0</v>
      </c>
      <c r="M3782" s="16" t="b">
        <v>0</v>
      </c>
      <c r="N3782" s="16" t="b">
        <v>0</v>
      </c>
      <c r="O3782" s="16" t="n">
        <v>385.8792230077751</v>
      </c>
      <c r="P3782" s="16" t="n">
        <v>295.7092115301085</v>
      </c>
      <c r="Q3782" s="16" t="n">
        <v>4780.326282917396</v>
      </c>
      <c r="R3782" s="16" t="n">
        <v>1118.445742127429</v>
      </c>
      <c r="S3782" s="16" t="n">
        <v>0.5</v>
      </c>
      <c r="T3782" s="16" t="n">
        <v>0.8219297554162039</v>
      </c>
      <c r="U3782" s="16" t="n">
        <v>0.6564571481630188</v>
      </c>
      <c r="V3782" s="16" t="n">
        <v>0.5548554273457089</v>
      </c>
      <c r="W3782" s="16" t="n">
        <v>0.6237983564865895</v>
      </c>
      <c r="X3782" s="16" t="n">
        <v>0.8445032514777433</v>
      </c>
      <c r="Y3782" s="16" t="n">
        <v>295.7092115301085</v>
      </c>
      <c r="Z3782" s="16" t="n"/>
      <c r="AA3782" s="16" t="n"/>
      <c r="AB3782" s="16" t="n">
        <v>3661.880540789968</v>
      </c>
      <c r="AC3782" s="16" t="n">
        <v>4.274079736603581</v>
      </c>
      <c r="AD3782" s="16" t="n"/>
      <c r="AE3782" s="16" t="n"/>
    </row>
    <row r="3783">
      <c r="A3783" s="16" t="inlineStr">
        <is>
          <t>KF-M09-R0-x_b-0069</t>
        </is>
      </c>
      <c r="B3783" s="16" t="inlineStr">
        <is>
          <t>4.3</t>
        </is>
      </c>
      <c r="C3783" s="16" t="inlineStr">
        <is>
          <t>4.3 x_b</t>
        </is>
      </c>
      <c r="D3783" s="16" t="inlineStr">
        <is>
          <t>ronda 0</t>
        </is>
      </c>
      <c r="E3783" s="16" t="inlineStr">
        <is>
          <t>KF-M09</t>
        </is>
      </c>
      <c r="F3783" s="16" t="inlineStr">
        <is>
          <t>KF-M09-R0-x_b</t>
        </is>
      </c>
      <c r="G3783" s="16" t="inlineStr">
        <is>
          <t>B13-x_b</t>
        </is>
      </c>
      <c r="H3783" s="16" t="inlineStr">
        <is>
          <t>lhs</t>
        </is>
      </c>
      <c r="I3783" s="16" t="inlineStr">
        <is>
          <t>NO_CONVERGIO</t>
        </is>
      </c>
      <c r="J3783" s="16" t="inlineStr">
        <is>
          <t>NO_CONVERGIO</t>
        </is>
      </c>
      <c r="K3783" s="16" t="b">
        <v>0</v>
      </c>
      <c r="L3783" s="16" t="b">
        <v>0</v>
      </c>
      <c r="M3783" s="16" t="b">
        <v>0</v>
      </c>
      <c r="N3783" s="16" t="b">
        <v>0</v>
      </c>
      <c r="O3783" s="16" t="n">
        <v>391.6766956845876</v>
      </c>
      <c r="P3783" s="16" t="n">
        <v>291.1158331165724</v>
      </c>
      <c r="Q3783" s="16" t="n">
        <v>4977.250296854674</v>
      </c>
      <c r="R3783" s="16" t="n">
        <v>1318.117509449084</v>
      </c>
      <c r="S3783" s="16" t="n">
        <v>0.5</v>
      </c>
      <c r="T3783" s="16" t="n">
        <v>0.640482066195923</v>
      </c>
      <c r="U3783" s="16" t="n">
        <v>0.7275126203228242</v>
      </c>
      <c r="V3783" s="16" t="n">
        <v>0.634276512845493</v>
      </c>
      <c r="W3783" s="16" t="n">
        <v>0.882881475486798</v>
      </c>
      <c r="X3783" s="16" t="n">
        <v>0.5652592931127961</v>
      </c>
      <c r="Y3783" s="16" t="n">
        <v>291.1158331165724</v>
      </c>
      <c r="Z3783" s="16" t="n"/>
      <c r="AA3783" s="16" t="n"/>
      <c r="AB3783" s="16" t="n">
        <v>3659.132787405591</v>
      </c>
      <c r="AC3783" s="16" t="n">
        <v>3.776029269905496</v>
      </c>
      <c r="AD3783" s="16" t="n"/>
      <c r="AE3783" s="16" t="n"/>
    </row>
    <row r="3784">
      <c r="A3784" s="16" t="inlineStr">
        <is>
          <t>KF-M09-R0-x_b-0070</t>
        </is>
      </c>
      <c r="B3784" s="16" t="inlineStr">
        <is>
          <t>4.3</t>
        </is>
      </c>
      <c r="C3784" s="16" t="inlineStr">
        <is>
          <t>4.3 x_b</t>
        </is>
      </c>
      <c r="D3784" s="16" t="inlineStr">
        <is>
          <t>ronda 0</t>
        </is>
      </c>
      <c r="E3784" s="16" t="inlineStr">
        <is>
          <t>KF-M09</t>
        </is>
      </c>
      <c r="F3784" s="16" t="inlineStr">
        <is>
          <t>KF-M09-R0-x_b</t>
        </is>
      </c>
      <c r="G3784" s="16" t="inlineStr">
        <is>
          <t>B13-x_b</t>
        </is>
      </c>
      <c r="H3784" s="16" t="inlineStr">
        <is>
          <t>lhs</t>
        </is>
      </c>
      <c r="I3784" s="16" t="inlineStr">
        <is>
          <t>CORREGIBLE</t>
        </is>
      </c>
      <c r="J3784" s="16" t="inlineStr">
        <is>
          <t>CORREGIBLE</t>
        </is>
      </c>
      <c r="K3784" s="16" t="b">
        <v>1</v>
      </c>
      <c r="L3784" s="16" t="b">
        <v>0</v>
      </c>
      <c r="M3784" s="16" t="b">
        <v>1</v>
      </c>
      <c r="N3784" s="16" t="b">
        <v>0</v>
      </c>
      <c r="O3784" s="16" t="n">
        <v>494.5112341463533</v>
      </c>
      <c r="P3784" s="16" t="n">
        <v>302.0755820796608</v>
      </c>
      <c r="Q3784" s="16" t="n">
        <v>4833.438769911177</v>
      </c>
      <c r="R3784" s="16" t="n">
        <v>746.2141902237529</v>
      </c>
      <c r="S3784" s="16" t="n">
        <v>0.5</v>
      </c>
      <c r="T3784" s="16" t="n">
        <v>0.8860026710839475</v>
      </c>
      <c r="U3784" s="16" t="n">
        <v>0.8495300663881318</v>
      </c>
      <c r="V3784" s="16" t="n">
        <v>0.4469064600778821</v>
      </c>
      <c r="W3784" s="16" t="n">
        <v>0.9168881923018618</v>
      </c>
      <c r="X3784" s="16" t="n">
        <v>0.9163491905380304</v>
      </c>
      <c r="Y3784" s="16" t="n">
        <v>302.0755820796608</v>
      </c>
      <c r="Z3784" s="16" t="n">
        <v>13.41530008387533</v>
      </c>
      <c r="AA3784" s="16" t="n">
        <v>112.4305473359408</v>
      </c>
      <c r="AB3784" s="16" t="n">
        <v>4087.224579687424</v>
      </c>
      <c r="AC3784" s="16" t="n">
        <v>6.477280696661459</v>
      </c>
      <c r="AD3784" s="16" t="inlineStr">
        <is>
          <t>O1</t>
        </is>
      </c>
      <c r="AE3784" s="16" t="n"/>
    </row>
    <row r="3785">
      <c r="A3785" s="16" t="inlineStr">
        <is>
          <t>KF-M09-R0-x_b-0071</t>
        </is>
      </c>
      <c r="B3785" s="16" t="inlineStr">
        <is>
          <t>4.3</t>
        </is>
      </c>
      <c r="C3785" s="16" t="inlineStr">
        <is>
          <t>4.3 x_b</t>
        </is>
      </c>
      <c r="D3785" s="16" t="inlineStr">
        <is>
          <t>ronda 0</t>
        </is>
      </c>
      <c r="E3785" s="16" t="inlineStr">
        <is>
          <t>KF-M09</t>
        </is>
      </c>
      <c r="F3785" s="16" t="inlineStr">
        <is>
          <t>KF-M09-R0-x_b</t>
        </is>
      </c>
      <c r="G3785" s="16" t="inlineStr">
        <is>
          <t>B13-x_b</t>
        </is>
      </c>
      <c r="H3785" s="16" t="inlineStr">
        <is>
          <t>lhs</t>
        </is>
      </c>
      <c r="I3785" s="16" t="inlineStr">
        <is>
          <t>KALINA</t>
        </is>
      </c>
      <c r="J3785" s="16" t="inlineStr">
        <is>
          <t>KALINA</t>
        </is>
      </c>
      <c r="K3785" s="16" t="b">
        <v>1</v>
      </c>
      <c r="L3785" s="16" t="b">
        <v>0</v>
      </c>
      <c r="M3785" s="16" t="b">
        <v>1</v>
      </c>
      <c r="N3785" s="16" t="b">
        <v>0</v>
      </c>
      <c r="O3785" s="16" t="n">
        <v>507.497177287451</v>
      </c>
      <c r="P3785" s="16" t="n">
        <v>288.0785332234335</v>
      </c>
      <c r="Q3785" s="16" t="n">
        <v>4072.325022676034</v>
      </c>
      <c r="R3785" s="16" t="n">
        <v>713.3385522174634</v>
      </c>
      <c r="S3785" s="16" t="n">
        <v>0.5</v>
      </c>
      <c r="T3785" s="16" t="n">
        <v>0.850762987071672</v>
      </c>
      <c r="U3785" s="16" t="n">
        <v>0.8195026432548639</v>
      </c>
      <c r="V3785" s="16" t="n">
        <v>0.5110449922189466</v>
      </c>
      <c r="W3785" s="16" t="n">
        <v>0.8341676743270503</v>
      </c>
      <c r="X3785" s="16" t="n">
        <v>0.904474242115086</v>
      </c>
      <c r="Y3785" s="16" t="n">
        <v>288.0785332234335</v>
      </c>
      <c r="Z3785" s="16" t="n">
        <v>11.60134878704449</v>
      </c>
      <c r="AA3785" s="16" t="n">
        <v>122.1263006616717</v>
      </c>
      <c r="AB3785" s="16" t="n">
        <v>3358.986470458571</v>
      </c>
      <c r="AC3785" s="16" t="n">
        <v>5.708825087354278</v>
      </c>
      <c r="AD3785" s="16" t="n"/>
      <c r="AE3785" s="16" t="n"/>
    </row>
    <row r="3786">
      <c r="A3786" s="16" t="inlineStr">
        <is>
          <t>KF-M09-R0-x_b-0072</t>
        </is>
      </c>
      <c r="B3786" s="16" t="inlineStr">
        <is>
          <t>4.3</t>
        </is>
      </c>
      <c r="C3786" s="16" t="inlineStr">
        <is>
          <t>4.3 x_b</t>
        </is>
      </c>
      <c r="D3786" s="16" t="inlineStr">
        <is>
          <t>ronda 0</t>
        </is>
      </c>
      <c r="E3786" s="16" t="inlineStr">
        <is>
          <t>KF-M09</t>
        </is>
      </c>
      <c r="F3786" s="16" t="inlineStr">
        <is>
          <t>KF-M09-R0-x_b</t>
        </is>
      </c>
      <c r="G3786" s="16" t="inlineStr">
        <is>
          <t>B13-x_b</t>
        </is>
      </c>
      <c r="H3786" s="16" t="inlineStr">
        <is>
          <t>lhs</t>
        </is>
      </c>
      <c r="I3786" s="16" t="inlineStr">
        <is>
          <t>CORREGIBLE</t>
        </is>
      </c>
      <c r="J3786" s="16" t="inlineStr">
        <is>
          <t>CORREGIBLE</t>
        </is>
      </c>
      <c r="K3786" s="16" t="b">
        <v>1</v>
      </c>
      <c r="L3786" s="16" t="b">
        <v>0</v>
      </c>
      <c r="M3786" s="16" t="b">
        <v>1</v>
      </c>
      <c r="N3786" s="16" t="b">
        <v>0</v>
      </c>
      <c r="O3786" s="16" t="n">
        <v>468.0351331031864</v>
      </c>
      <c r="P3786" s="16" t="n">
        <v>301.122115709731</v>
      </c>
      <c r="Q3786" s="16" t="n">
        <v>4335.200169692097</v>
      </c>
      <c r="R3786" s="16" t="n">
        <v>898.6852735364573</v>
      </c>
      <c r="S3786" s="16" t="n">
        <v>0.5</v>
      </c>
      <c r="T3786" s="16" t="n">
        <v>0.7801289708523507</v>
      </c>
      <c r="U3786" s="16" t="n">
        <v>0.8848172487018061</v>
      </c>
      <c r="V3786" s="16" t="n">
        <v>0.7756782076225107</v>
      </c>
      <c r="W3786" s="16" t="n">
        <v>0.9179904941721052</v>
      </c>
      <c r="X3786" s="16" t="n">
        <v>0.5583802213509091</v>
      </c>
      <c r="Y3786" s="16" t="n">
        <v>301.122115709731</v>
      </c>
      <c r="Z3786" s="16" t="n">
        <v>8.87748718043588</v>
      </c>
      <c r="AA3786" s="16" t="n">
        <v>62.37476847347753</v>
      </c>
      <c r="AB3786" s="16" t="n">
        <v>3436.51489615564</v>
      </c>
      <c r="AC3786" s="16" t="n">
        <v>4.823935917668321</v>
      </c>
      <c r="AD3786" s="16" t="inlineStr">
        <is>
          <t>O2</t>
        </is>
      </c>
      <c r="AE3786" s="16" t="n"/>
    </row>
    <row r="3787">
      <c r="A3787" s="16" t="inlineStr">
        <is>
          <t>KF-M09-R0-x_b-0073</t>
        </is>
      </c>
      <c r="B3787" s="16" t="inlineStr">
        <is>
          <t>4.3</t>
        </is>
      </c>
      <c r="C3787" s="16" t="inlineStr">
        <is>
          <t>4.3 x_b</t>
        </is>
      </c>
      <c r="D3787" s="16" t="inlineStr">
        <is>
          <t>ronda 0</t>
        </is>
      </c>
      <c r="E3787" s="16" t="inlineStr">
        <is>
          <t>KF-M09</t>
        </is>
      </c>
      <c r="F3787" s="16" t="inlineStr">
        <is>
          <t>KF-M09-R0-x_b</t>
        </is>
      </c>
      <c r="G3787" s="16" t="inlineStr">
        <is>
          <t>B13-x_b</t>
        </is>
      </c>
      <c r="H3787" s="16" t="inlineStr">
        <is>
          <t>lhs</t>
        </is>
      </c>
      <c r="I3787" s="16" t="inlineStr">
        <is>
          <t>CORREGIBLE</t>
        </is>
      </c>
      <c r="J3787" s="16" t="inlineStr">
        <is>
          <t>CORREGIBLE</t>
        </is>
      </c>
      <c r="K3787" s="16" t="b">
        <v>1</v>
      </c>
      <c r="L3787" s="16" t="b">
        <v>0</v>
      </c>
      <c r="M3787" s="16" t="b">
        <v>1</v>
      </c>
      <c r="N3787" s="16" t="b">
        <v>0</v>
      </c>
      <c r="O3787" s="16" t="n">
        <v>512.1345356170049</v>
      </c>
      <c r="P3787" s="16" t="n">
        <v>290.118589820572</v>
      </c>
      <c r="Q3787" s="16" t="n">
        <v>4812.101792829846</v>
      </c>
      <c r="R3787" s="16" t="n">
        <v>694.9040082940624</v>
      </c>
      <c r="S3787" s="16" t="n">
        <v>0.5</v>
      </c>
      <c r="T3787" s="16" t="n">
        <v>0.8673434842078993</v>
      </c>
      <c r="U3787" s="16" t="n">
        <v>0.808561371697429</v>
      </c>
      <c r="V3787" s="16" t="n">
        <v>0.8075458061886165</v>
      </c>
      <c r="W3787" s="16" t="n">
        <v>0.561776232915586</v>
      </c>
      <c r="X3787" s="16" t="n">
        <v>0.5065869845266702</v>
      </c>
      <c r="Y3787" s="16" t="n">
        <v>290.118589820572</v>
      </c>
      <c r="Z3787" s="16" t="n">
        <v>10.60064936892318</v>
      </c>
      <c r="AA3787" s="16" t="n">
        <v>114.1182339080773</v>
      </c>
      <c r="AB3787" s="16" t="n">
        <v>4117.197784535783</v>
      </c>
      <c r="AC3787" s="16" t="n">
        <v>6.924843914259752</v>
      </c>
      <c r="AD3787" s="16" t="inlineStr">
        <is>
          <t>O1,O2</t>
        </is>
      </c>
      <c r="AE3787" s="16" t="n"/>
    </row>
    <row r="3788">
      <c r="A3788" s="16" t="inlineStr">
        <is>
          <t>KF-M09-R0-x_b-0074</t>
        </is>
      </c>
      <c r="B3788" s="16" t="inlineStr">
        <is>
          <t>4.3</t>
        </is>
      </c>
      <c r="C3788" s="16" t="inlineStr">
        <is>
          <t>4.3 x_b</t>
        </is>
      </c>
      <c r="D3788" s="16" t="inlineStr">
        <is>
          <t>ronda 0</t>
        </is>
      </c>
      <c r="E3788" s="16" t="inlineStr">
        <is>
          <t>KF-M09</t>
        </is>
      </c>
      <c r="F3788" s="16" t="inlineStr">
        <is>
          <t>KF-M09-R0-x_b</t>
        </is>
      </c>
      <c r="G3788" s="16" t="inlineStr">
        <is>
          <t>B13-x_b</t>
        </is>
      </c>
      <c r="H3788" s="16" t="inlineStr">
        <is>
          <t>lhs</t>
        </is>
      </c>
      <c r="I3788" s="16" t="inlineStr">
        <is>
          <t>NO_CONVERGIO</t>
        </is>
      </c>
      <c r="J3788" s="16" t="inlineStr">
        <is>
          <t>NO_CONVERGIO</t>
        </is>
      </c>
      <c r="K3788" s="16" t="b">
        <v>0</v>
      </c>
      <c r="L3788" s="16" t="b">
        <v>0</v>
      </c>
      <c r="M3788" s="16" t="b">
        <v>0</v>
      </c>
      <c r="N3788" s="16" t="b">
        <v>0</v>
      </c>
      <c r="O3788" s="16" t="n">
        <v>401.6690706915568</v>
      </c>
      <c r="P3788" s="16" t="n">
        <v>282.4497545986223</v>
      </c>
      <c r="Q3788" s="16" t="n">
        <v>4467.211265641747</v>
      </c>
      <c r="R3788" s="16" t="n">
        <v>1178.860375509349</v>
      </c>
      <c r="S3788" s="16" t="n">
        <v>0.5</v>
      </c>
      <c r="T3788" s="16" t="n">
        <v>0.7157325135669115</v>
      </c>
      <c r="U3788" s="16" t="n">
        <v>0.7838196843233585</v>
      </c>
      <c r="V3788" s="16" t="n">
        <v>0.4731624794445396</v>
      </c>
      <c r="W3788" s="16" t="n">
        <v>0.6997094492189627</v>
      </c>
      <c r="X3788" s="16" t="n">
        <v>0.6879573875675977</v>
      </c>
      <c r="Y3788" s="16" t="n">
        <v>282.4497545986223</v>
      </c>
      <c r="Z3788" s="16" t="n"/>
      <c r="AA3788" s="16" t="n"/>
      <c r="AB3788" s="16" t="n">
        <v>3288.350890132398</v>
      </c>
      <c r="AC3788" s="16" t="n">
        <v>3.789432029820836</v>
      </c>
      <c r="AD3788" s="16" t="n"/>
      <c r="AE3788" s="16" t="n"/>
    </row>
    <row r="3789">
      <c r="A3789" s="16" t="inlineStr">
        <is>
          <t>KF-M09-R0-x_b-0075</t>
        </is>
      </c>
      <c r="B3789" s="16" t="inlineStr">
        <is>
          <t>4.3</t>
        </is>
      </c>
      <c r="C3789" s="16" t="inlineStr">
        <is>
          <t>4.3 x_b</t>
        </is>
      </c>
      <c r="D3789" s="16" t="inlineStr">
        <is>
          <t>ronda 0</t>
        </is>
      </c>
      <c r="E3789" s="16" t="inlineStr">
        <is>
          <t>KF-M09</t>
        </is>
      </c>
      <c r="F3789" s="16" t="inlineStr">
        <is>
          <t>KF-M09-R0-x_b</t>
        </is>
      </c>
      <c r="G3789" s="16" t="inlineStr">
        <is>
          <t>B13-x_b</t>
        </is>
      </c>
      <c r="H3789" s="16" t="inlineStr">
        <is>
          <t>lhs</t>
        </is>
      </c>
      <c r="I3789" s="16" t="inlineStr">
        <is>
          <t>INVIABLE</t>
        </is>
      </c>
      <c r="J3789" s="16" t="inlineStr">
        <is>
          <t>INVIABLE</t>
        </is>
      </c>
      <c r="K3789" s="16" t="b">
        <v>1</v>
      </c>
      <c r="L3789" s="16" t="b">
        <v>0</v>
      </c>
      <c r="M3789" s="16" t="b">
        <v>0</v>
      </c>
      <c r="N3789" s="16" t="b">
        <v>0</v>
      </c>
      <c r="O3789" s="16" t="n">
        <v>421.8729271736111</v>
      </c>
      <c r="P3789" s="16" t="n">
        <v>287.4263031228155</v>
      </c>
      <c r="Q3789" s="16" t="n">
        <v>4572.470087394429</v>
      </c>
      <c r="R3789" s="16" t="n">
        <v>1980.447283758768</v>
      </c>
      <c r="S3789" s="16" t="n">
        <v>0.5</v>
      </c>
      <c r="T3789" s="16" t="n">
        <v>0.7936254070730601</v>
      </c>
      <c r="U3789" s="16" t="n">
        <v>0.5930997992933692</v>
      </c>
      <c r="V3789" s="16" t="n">
        <v>0.4687419560806413</v>
      </c>
      <c r="W3789" s="16" t="n">
        <v>0.6260243046814817</v>
      </c>
      <c r="X3789" s="16" t="n">
        <v>0.4536315606015513</v>
      </c>
      <c r="Y3789" s="16" t="n">
        <v>287.4263031228155</v>
      </c>
      <c r="Z3789" s="16" t="n">
        <v>-3.04464769388018</v>
      </c>
      <c r="AA3789" s="16" t="n">
        <v>-4.811222281390003</v>
      </c>
      <c r="AB3789" s="16" t="n">
        <v>2592.022803635661</v>
      </c>
      <c r="AC3789" s="16" t="n">
        <v>2.308806765467728</v>
      </c>
      <c r="AD3789" s="16" t="inlineStr">
        <is>
          <t>O3</t>
        </is>
      </c>
      <c r="AE3789" s="16" t="n"/>
    </row>
    <row r="3790">
      <c r="A3790" s="16" t="inlineStr">
        <is>
          <t>KF-M09-R0-x_b-0076</t>
        </is>
      </c>
      <c r="B3790" s="16" t="inlineStr">
        <is>
          <t>4.3</t>
        </is>
      </c>
      <c r="C3790" s="16" t="inlineStr">
        <is>
          <t>4.3 x_b</t>
        </is>
      </c>
      <c r="D3790" s="16" t="inlineStr">
        <is>
          <t>ronda 0</t>
        </is>
      </c>
      <c r="E3790" s="16" t="inlineStr">
        <is>
          <t>KF-M09</t>
        </is>
      </c>
      <c r="F3790" s="16" t="inlineStr">
        <is>
          <t>KF-M09-R0-x_b</t>
        </is>
      </c>
      <c r="G3790" s="16" t="inlineStr">
        <is>
          <t>B13-x_b</t>
        </is>
      </c>
      <c r="H3790" s="16" t="inlineStr">
        <is>
          <t>lhs</t>
        </is>
      </c>
      <c r="I3790" s="16" t="inlineStr">
        <is>
          <t>INVIABLE</t>
        </is>
      </c>
      <c r="J3790" s="16" t="inlineStr">
        <is>
          <t>INVIABLE</t>
        </is>
      </c>
      <c r="K3790" s="16" t="b">
        <v>1</v>
      </c>
      <c r="L3790" s="16" t="b">
        <v>0</v>
      </c>
      <c r="M3790" s="16" t="b">
        <v>1</v>
      </c>
      <c r="N3790" s="16" t="b">
        <v>0</v>
      </c>
      <c r="O3790" s="16" t="n">
        <v>500.3150607616649</v>
      </c>
      <c r="P3790" s="16" t="n">
        <v>293.8194488677223</v>
      </c>
      <c r="Q3790" s="16" t="n">
        <v>2136.799810798375</v>
      </c>
      <c r="R3790" s="16" t="n">
        <v>1097.232491544368</v>
      </c>
      <c r="S3790" s="16" t="n">
        <v>0.5</v>
      </c>
      <c r="T3790" s="16" t="n">
        <v>0.605097792808069</v>
      </c>
      <c r="U3790" s="16" t="n">
        <v>0.6369864912009773</v>
      </c>
      <c r="V3790" s="16" t="n">
        <v>0.61935504897793</v>
      </c>
      <c r="W3790" s="16" t="n">
        <v>0.8165963610339699</v>
      </c>
      <c r="X3790" s="16" t="n">
        <v>0.4869662204718022</v>
      </c>
      <c r="Y3790" s="16" t="n">
        <v>293.8194488677223</v>
      </c>
      <c r="Z3790" s="16" t="n">
        <v>-0.83997231549536</v>
      </c>
      <c r="AA3790" s="16" t="n">
        <v>-7.445426692979304</v>
      </c>
      <c r="AB3790" s="16" t="n">
        <v>1039.567319254007</v>
      </c>
      <c r="AC3790" s="16" t="n">
        <v>1.947444891821244</v>
      </c>
      <c r="AD3790" s="16" t="inlineStr">
        <is>
          <t>O2,O3</t>
        </is>
      </c>
      <c r="AE3790" s="16" t="n"/>
    </row>
    <row r="3791">
      <c r="A3791" s="16" t="inlineStr">
        <is>
          <t>KF-M09-R0-x_b-0077</t>
        </is>
      </c>
      <c r="B3791" s="16" t="inlineStr">
        <is>
          <t>4.3</t>
        </is>
      </c>
      <c r="C3791" s="16" t="inlineStr">
        <is>
          <t>4.3 x_b</t>
        </is>
      </c>
      <c r="D3791" s="16" t="inlineStr">
        <is>
          <t>ronda 0</t>
        </is>
      </c>
      <c r="E3791" s="16" t="inlineStr">
        <is>
          <t>KF-M09</t>
        </is>
      </c>
      <c r="F3791" s="16" t="inlineStr">
        <is>
          <t>KF-M09-R0-x_b</t>
        </is>
      </c>
      <c r="G3791" s="16" t="inlineStr">
        <is>
          <t>B13-x_b</t>
        </is>
      </c>
      <c r="H3791" s="16" t="inlineStr">
        <is>
          <t>lhs</t>
        </is>
      </c>
      <c r="I3791" s="16" t="inlineStr">
        <is>
          <t>KALINA</t>
        </is>
      </c>
      <c r="J3791" s="16" t="inlineStr">
        <is>
          <t>KALINA</t>
        </is>
      </c>
      <c r="K3791" s="16" t="b">
        <v>1</v>
      </c>
      <c r="L3791" s="16" t="b">
        <v>0</v>
      </c>
      <c r="M3791" s="16" t="b">
        <v>1</v>
      </c>
      <c r="N3791" s="16" t="b">
        <v>0</v>
      </c>
      <c r="O3791" s="16" t="n">
        <v>483.8321924707533</v>
      </c>
      <c r="P3791" s="16" t="n">
        <v>292.9516158909041</v>
      </c>
      <c r="Q3791" s="16" t="n">
        <v>3900.115317560846</v>
      </c>
      <c r="R3791" s="16" t="n">
        <v>1541.697996321424</v>
      </c>
      <c r="S3791" s="16" t="n">
        <v>0.5</v>
      </c>
      <c r="T3791" s="16" t="n">
        <v>0.7794596302579009</v>
      </c>
      <c r="U3791" s="16" t="n">
        <v>0.9288694586965808</v>
      </c>
      <c r="V3791" s="16" t="n">
        <v>0.7566118437031237</v>
      </c>
      <c r="W3791" s="16" t="n">
        <v>0.6868890276424412</v>
      </c>
      <c r="X3791" s="16" t="n">
        <v>0.8915551819561394</v>
      </c>
      <c r="Y3791" s="16" t="n">
        <v>292.9516158909041</v>
      </c>
      <c r="Z3791" s="16" t="n">
        <v>6.03006166368766</v>
      </c>
      <c r="AA3791" s="16" t="n">
        <v>93.08247669334024</v>
      </c>
      <c r="AB3791" s="16" t="n">
        <v>2358.417321239422</v>
      </c>
      <c r="AC3791" s="16" t="n">
        <v>2.529753120823102</v>
      </c>
      <c r="AD3791" s="16" t="n"/>
      <c r="AE3791" s="16" t="n"/>
    </row>
    <row r="3792">
      <c r="A3792" s="16" t="inlineStr">
        <is>
          <t>KF-M09-R0-x_b-0078</t>
        </is>
      </c>
      <c r="B3792" s="16" t="inlineStr">
        <is>
          <t>4.3</t>
        </is>
      </c>
      <c r="C3792" s="16" t="inlineStr">
        <is>
          <t>4.3 x_b</t>
        </is>
      </c>
      <c r="D3792" s="16" t="inlineStr">
        <is>
          <t>ronda 0</t>
        </is>
      </c>
      <c r="E3792" s="16" t="inlineStr">
        <is>
          <t>KF-M09</t>
        </is>
      </c>
      <c r="F3792" s="16" t="inlineStr">
        <is>
          <t>KF-M09-R0-x_b</t>
        </is>
      </c>
      <c r="G3792" s="16" t="inlineStr">
        <is>
          <t>B13-x_b</t>
        </is>
      </c>
      <c r="H3792" s="16" t="inlineStr">
        <is>
          <t>lhs</t>
        </is>
      </c>
      <c r="I3792" s="16" t="inlineStr">
        <is>
          <t>INVIABLE</t>
        </is>
      </c>
      <c r="J3792" s="16" t="inlineStr">
        <is>
          <t>INVIABLE</t>
        </is>
      </c>
      <c r="K3792" s="16" t="b">
        <v>1</v>
      </c>
      <c r="L3792" s="16" t="b">
        <v>0</v>
      </c>
      <c r="M3792" s="16" t="b">
        <v>1</v>
      </c>
      <c r="N3792" s="16" t="b">
        <v>0</v>
      </c>
      <c r="O3792" s="16" t="n">
        <v>480.3869639851282</v>
      </c>
      <c r="P3792" s="16" t="n">
        <v>283.469142701601</v>
      </c>
      <c r="Q3792" s="16" t="n">
        <v>2572.021055306666</v>
      </c>
      <c r="R3792" s="16" t="n">
        <v>1914.507463321838</v>
      </c>
      <c r="S3792" s="16" t="n">
        <v>0.5</v>
      </c>
      <c r="T3792" s="16" t="n">
        <v>0.4080716722919776</v>
      </c>
      <c r="U3792" s="16" t="n">
        <v>0.5091177709057849</v>
      </c>
      <c r="V3792" s="16" t="n">
        <v>0.7600316341179072</v>
      </c>
      <c r="W3792" s="16" t="n">
        <v>0.733364710665696</v>
      </c>
      <c r="X3792" s="16" t="n">
        <v>0.5876679365111319</v>
      </c>
      <c r="Y3792" s="16" t="n">
        <v>283.469142701601</v>
      </c>
      <c r="Z3792" s="16" t="n">
        <v>-0.51975838820186</v>
      </c>
      <c r="AA3792" s="16" t="n">
        <v>-6.149764572057588</v>
      </c>
      <c r="AB3792" s="16" t="n">
        <v>657.5135919848287</v>
      </c>
      <c r="AC3792" s="16" t="n">
        <v>1.343437466074948</v>
      </c>
      <c r="AD3792" s="16" t="inlineStr">
        <is>
          <t>O2,O3</t>
        </is>
      </c>
      <c r="AE3792" s="16" t="n"/>
    </row>
    <row r="3793">
      <c r="A3793" s="16" t="inlineStr">
        <is>
          <t>KF-M09-R0-x_b-0079</t>
        </is>
      </c>
      <c r="B3793" s="16" t="inlineStr">
        <is>
          <t>4.3</t>
        </is>
      </c>
      <c r="C3793" s="16" t="inlineStr">
        <is>
          <t>4.3 x_b</t>
        </is>
      </c>
      <c r="D3793" s="16" t="inlineStr">
        <is>
          <t>ronda 0</t>
        </is>
      </c>
      <c r="E3793" s="16" t="inlineStr">
        <is>
          <t>KF-M09</t>
        </is>
      </c>
      <c r="F3793" s="16" t="inlineStr">
        <is>
          <t>KF-M09-R0-x_b</t>
        </is>
      </c>
      <c r="G3793" s="16" t="inlineStr">
        <is>
          <t>B13-x_b</t>
        </is>
      </c>
      <c r="H3793" s="16" t="inlineStr">
        <is>
          <t>lhs</t>
        </is>
      </c>
      <c r="I3793" s="16" t="inlineStr">
        <is>
          <t>KALINA</t>
        </is>
      </c>
      <c r="J3793" s="16" t="inlineStr">
        <is>
          <t>KALINA</t>
        </is>
      </c>
      <c r="K3793" s="16" t="b">
        <v>1</v>
      </c>
      <c r="L3793" s="16" t="b">
        <v>1</v>
      </c>
      <c r="M3793" s="16" t="b">
        <v>0</v>
      </c>
      <c r="N3793" s="16" t="b">
        <v>0</v>
      </c>
      <c r="O3793" s="16" t="n">
        <v>398.893069963871</v>
      </c>
      <c r="P3793" s="16" t="n">
        <v>288.5631657526484</v>
      </c>
      <c r="Q3793" s="16" t="n">
        <v>2342.97323951095</v>
      </c>
      <c r="R3793" s="16" t="n">
        <v>1816.875319271206</v>
      </c>
      <c r="S3793" s="16" t="n">
        <v>0.5</v>
      </c>
      <c r="T3793" s="16" t="n">
        <v>0.8526971535745209</v>
      </c>
      <c r="U3793" s="16" t="n">
        <v>0.7855681911312028</v>
      </c>
      <c r="V3793" s="16" t="n">
        <v>0.4841946215720746</v>
      </c>
      <c r="W3793" s="16" t="n">
        <v>0.7725436234107435</v>
      </c>
      <c r="X3793" s="16" t="n">
        <v>0.6309621471830913</v>
      </c>
      <c r="Y3793" s="16" t="n">
        <v>288.5631657526484</v>
      </c>
      <c r="Z3793" s="16" t="n">
        <v>1.2644967374874</v>
      </c>
      <c r="AA3793" s="16" t="n">
        <v>2.853758640867259</v>
      </c>
      <c r="AB3793" s="16" t="n">
        <v>526.0979202397441</v>
      </c>
      <c r="AC3793" s="16" t="n">
        <v>1.28956192792072</v>
      </c>
      <c r="AD3793" s="16" t="n"/>
      <c r="AE3793" s="16" t="n"/>
    </row>
    <row r="3794">
      <c r="A3794" s="16" t="inlineStr">
        <is>
          <t>KF-M09-R0-x_b-0080</t>
        </is>
      </c>
      <c r="B3794" s="16" t="inlineStr">
        <is>
          <t>4.3</t>
        </is>
      </c>
      <c r="C3794" s="16" t="inlineStr">
        <is>
          <t>4.3 x_b</t>
        </is>
      </c>
      <c r="D3794" s="16" t="inlineStr">
        <is>
          <t>ronda 0</t>
        </is>
      </c>
      <c r="E3794" s="16" t="inlineStr">
        <is>
          <t>KF-M09</t>
        </is>
      </c>
      <c r="F3794" s="16" t="inlineStr">
        <is>
          <t>KF-M09-R0-x_b</t>
        </is>
      </c>
      <c r="G3794" s="16" t="inlineStr">
        <is>
          <t>B13-x_b</t>
        </is>
      </c>
      <c r="H3794" s="16" t="inlineStr">
        <is>
          <t>lhs</t>
        </is>
      </c>
      <c r="I3794" s="16" t="inlineStr">
        <is>
          <t>CORREGIBLE</t>
        </is>
      </c>
      <c r="J3794" s="16" t="inlineStr">
        <is>
          <t>CORREGIBLE</t>
        </is>
      </c>
      <c r="K3794" s="16" t="b">
        <v>1</v>
      </c>
      <c r="L3794" s="16" t="b">
        <v>0</v>
      </c>
      <c r="M3794" s="16" t="b">
        <v>1</v>
      </c>
      <c r="N3794" s="16" t="b">
        <v>0</v>
      </c>
      <c r="O3794" s="16" t="n">
        <v>459.5248911254193</v>
      </c>
      <c r="P3794" s="16" t="n">
        <v>290.0627291346923</v>
      </c>
      <c r="Q3794" s="16" t="n">
        <v>3822.52130262541</v>
      </c>
      <c r="R3794" s="16" t="n">
        <v>427.1699217043548</v>
      </c>
      <c r="S3794" s="16" t="n">
        <v>0.5</v>
      </c>
      <c r="T3794" s="16" t="n">
        <v>0.7498663109919008</v>
      </c>
      <c r="U3794" s="16" t="n">
        <v>0.6509047885388273</v>
      </c>
      <c r="V3794" s="16" t="n">
        <v>0.665641534221728</v>
      </c>
      <c r="W3794" s="16" t="n">
        <v>0.6939996803162458</v>
      </c>
      <c r="X3794" s="16" t="n">
        <v>0.6346632844882322</v>
      </c>
      <c r="Y3794" s="16" t="n">
        <v>290.0627291346923</v>
      </c>
      <c r="Z3794" s="16" t="n">
        <v>9.74197960111861</v>
      </c>
      <c r="AA3794" s="16" t="n">
        <v>65.62969351186156</v>
      </c>
      <c r="AB3794" s="16" t="n">
        <v>3395.351380921055</v>
      </c>
      <c r="AC3794" s="16" t="n">
        <v>8.948479535670549</v>
      </c>
      <c r="AD3794" s="16" t="inlineStr">
        <is>
          <t>O2</t>
        </is>
      </c>
      <c r="AE3794" s="16" t="n"/>
    </row>
    <row r="3795">
      <c r="A3795" s="16" t="inlineStr">
        <is>
          <t>KF-M09-R0-x_b-0081</t>
        </is>
      </c>
      <c r="B3795" s="16" t="inlineStr">
        <is>
          <t>4.3</t>
        </is>
      </c>
      <c r="C3795" s="16" t="inlineStr">
        <is>
          <t>4.3 x_b</t>
        </is>
      </c>
      <c r="D3795" s="16" t="inlineStr">
        <is>
          <t>ronda 0</t>
        </is>
      </c>
      <c r="E3795" s="16" t="inlineStr">
        <is>
          <t>KF-M09</t>
        </is>
      </c>
      <c r="F3795" s="16" t="inlineStr">
        <is>
          <t>KF-M09-R0-x_b</t>
        </is>
      </c>
      <c r="G3795" s="16" t="inlineStr">
        <is>
          <t>B13-x_b</t>
        </is>
      </c>
      <c r="H3795" s="16" t="inlineStr">
        <is>
          <t>lhs</t>
        </is>
      </c>
      <c r="I3795" s="16" t="inlineStr">
        <is>
          <t>KALINA</t>
        </is>
      </c>
      <c r="J3795" s="16" t="inlineStr">
        <is>
          <t>KALINA</t>
        </is>
      </c>
      <c r="K3795" s="16" t="b">
        <v>1</v>
      </c>
      <c r="L3795" s="16" t="b">
        <v>1</v>
      </c>
      <c r="M3795" s="16" t="b">
        <v>0</v>
      </c>
      <c r="N3795" s="16" t="b">
        <v>0</v>
      </c>
      <c r="O3795" s="16" t="n">
        <v>417.6877473173759</v>
      </c>
      <c r="P3795" s="16" t="n">
        <v>301.7181864806601</v>
      </c>
      <c r="Q3795" s="16" t="n">
        <v>2718.760757600955</v>
      </c>
      <c r="R3795" s="16" t="n">
        <v>1895.182987385153</v>
      </c>
      <c r="S3795" s="16" t="n">
        <v>0.5</v>
      </c>
      <c r="T3795" s="16" t="n">
        <v>0.8764366867304728</v>
      </c>
      <c r="U3795" s="16" t="n">
        <v>0.4595154969112299</v>
      </c>
      <c r="V3795" s="16" t="n">
        <v>0.9496128333090595</v>
      </c>
      <c r="W3795" s="16" t="n">
        <v>0.8120254351831514</v>
      </c>
      <c r="X3795" s="16" t="n">
        <v>0.7778550743561942</v>
      </c>
      <c r="Y3795" s="16" t="n">
        <v>301.7181864806601</v>
      </c>
      <c r="Z3795" s="16" t="n">
        <v>2.6343165889595</v>
      </c>
      <c r="AA3795" s="16" t="n">
        <v>14.63849765278594</v>
      </c>
      <c r="AB3795" s="16" t="n">
        <v>823.5777702158023</v>
      </c>
      <c r="AC3795" s="16" t="n">
        <v>1.434563720599941</v>
      </c>
      <c r="AD3795" s="16" t="n"/>
      <c r="AE3795" s="16" t="n"/>
    </row>
    <row r="3796">
      <c r="A3796" s="16" t="inlineStr">
        <is>
          <t>KF-M09-R0-x_b-0082</t>
        </is>
      </c>
      <c r="B3796" s="16" t="inlineStr">
        <is>
          <t>4.3</t>
        </is>
      </c>
      <c r="C3796" s="16" t="inlineStr">
        <is>
          <t>4.3 x_b</t>
        </is>
      </c>
      <c r="D3796" s="16" t="inlineStr">
        <is>
          <t>ronda 0</t>
        </is>
      </c>
      <c r="E3796" s="16" t="inlineStr">
        <is>
          <t>KF-M09</t>
        </is>
      </c>
      <c r="F3796" s="16" t="inlineStr">
        <is>
          <t>KF-M09-R0-x_b</t>
        </is>
      </c>
      <c r="G3796" s="16" t="inlineStr">
        <is>
          <t>B13-x_b</t>
        </is>
      </c>
      <c r="H3796" s="16" t="inlineStr">
        <is>
          <t>lhs</t>
        </is>
      </c>
      <c r="I3796" s="16" t="inlineStr">
        <is>
          <t>CORREGIBLE</t>
        </is>
      </c>
      <c r="J3796" s="16" t="inlineStr">
        <is>
          <t>CORREGIBLE</t>
        </is>
      </c>
      <c r="K3796" s="16" t="b">
        <v>1</v>
      </c>
      <c r="L3796" s="16" t="b">
        <v>0</v>
      </c>
      <c r="M3796" s="16" t="b">
        <v>1</v>
      </c>
      <c r="N3796" s="16" t="b">
        <v>0</v>
      </c>
      <c r="O3796" s="16" t="n">
        <v>473.3445894018272</v>
      </c>
      <c r="P3796" s="16" t="n">
        <v>286.0982274905353</v>
      </c>
      <c r="Q3796" s="16" t="n">
        <v>3567.956515740324</v>
      </c>
      <c r="R3796" s="16" t="n">
        <v>1241.405148383759</v>
      </c>
      <c r="S3796" s="16" t="n">
        <v>0.5</v>
      </c>
      <c r="T3796" s="16" t="n">
        <v>0.6871175932708375</v>
      </c>
      <c r="U3796" s="16" t="n">
        <v>0.9101320528592444</v>
      </c>
      <c r="V3796" s="16" t="n">
        <v>0.913521028119205</v>
      </c>
      <c r="W3796" s="16" t="n">
        <v>0.4330151208366876</v>
      </c>
      <c r="X3796" s="16" t="n">
        <v>0.6528313636268082</v>
      </c>
      <c r="Y3796" s="16" t="n">
        <v>286.0982274905353</v>
      </c>
      <c r="Z3796" s="16" t="n">
        <v>5.60084107618232</v>
      </c>
      <c r="AA3796" s="16" t="n">
        <v>70.99111958490306</v>
      </c>
      <c r="AB3796" s="16" t="n">
        <v>2326.551367356565</v>
      </c>
      <c r="AC3796" s="16" t="n">
        <v>2.874127371217693</v>
      </c>
      <c r="AD3796" s="16" t="inlineStr">
        <is>
          <t>O2</t>
        </is>
      </c>
      <c r="AE3796" s="16" t="n"/>
    </row>
    <row r="3797">
      <c r="A3797" s="16" t="inlineStr">
        <is>
          <t>KF-M09-R0-x_b-0083</t>
        </is>
      </c>
      <c r="B3797" s="16" t="inlineStr">
        <is>
          <t>4.3</t>
        </is>
      </c>
      <c r="C3797" s="16" t="inlineStr">
        <is>
          <t>4.3 x_b</t>
        </is>
      </c>
      <c r="D3797" s="16" t="inlineStr">
        <is>
          <t>ronda 0</t>
        </is>
      </c>
      <c r="E3797" s="16" t="inlineStr">
        <is>
          <t>KF-M09</t>
        </is>
      </c>
      <c r="F3797" s="16" t="inlineStr">
        <is>
          <t>KF-M09-R0-x_b</t>
        </is>
      </c>
      <c r="G3797" s="16" t="inlineStr">
        <is>
          <t>B13-x_b</t>
        </is>
      </c>
      <c r="H3797" s="16" t="inlineStr">
        <is>
          <t>lhs</t>
        </is>
      </c>
      <c r="I3797" s="16" t="inlineStr">
        <is>
          <t>INVIABLE</t>
        </is>
      </c>
      <c r="J3797" s="16" t="inlineStr">
        <is>
          <t>INVIABLE</t>
        </is>
      </c>
      <c r="K3797" s="16" t="b">
        <v>1</v>
      </c>
      <c r="L3797" s="16" t="b">
        <v>0</v>
      </c>
      <c r="M3797" s="16" t="b">
        <v>0</v>
      </c>
      <c r="N3797" s="16" t="b">
        <v>0</v>
      </c>
      <c r="O3797" s="16" t="n">
        <v>415.3947275685357</v>
      </c>
      <c r="P3797" s="16" t="n">
        <v>301.7816589732325</v>
      </c>
      <c r="Q3797" s="16" t="n">
        <v>3159.995641192314</v>
      </c>
      <c r="R3797" s="16" t="n">
        <v>331.6669639228589</v>
      </c>
      <c r="S3797" s="16" t="n">
        <v>0.5</v>
      </c>
      <c r="T3797" s="16" t="n">
        <v>0.6642886748667856</v>
      </c>
      <c r="U3797" s="16" t="n">
        <v>0.4934297324433864</v>
      </c>
      <c r="V3797" s="16" t="n">
        <v>0.9012475070350726</v>
      </c>
      <c r="W3797" s="16" t="n">
        <v>0.553822725374961</v>
      </c>
      <c r="X3797" s="16" t="n">
        <v>0.4700990106384844</v>
      </c>
      <c r="Y3797" s="16" t="n">
        <v>301.7816589732325</v>
      </c>
      <c r="Z3797" s="16" t="n">
        <v>-21.70137873701549</v>
      </c>
      <c r="AA3797" s="16" t="n">
        <v>-55.73270882772157</v>
      </c>
      <c r="AB3797" s="16" t="n">
        <v>2828.328677269455</v>
      </c>
      <c r="AC3797" s="16" t="n">
        <v>9.52761650969641</v>
      </c>
      <c r="AD3797" s="16" t="inlineStr">
        <is>
          <t>O2,O3</t>
        </is>
      </c>
      <c r="AE3797" s="16" t="n"/>
    </row>
    <row r="3798">
      <c r="A3798" s="16" t="inlineStr">
        <is>
          <t>KF-M09-R0-x_b-0084</t>
        </is>
      </c>
      <c r="B3798" s="16" t="inlineStr">
        <is>
          <t>4.3</t>
        </is>
      </c>
      <c r="C3798" s="16" t="inlineStr">
        <is>
          <t>4.3 x_b</t>
        </is>
      </c>
      <c r="D3798" s="16" t="inlineStr">
        <is>
          <t>ronda 0</t>
        </is>
      </c>
      <c r="E3798" s="16" t="inlineStr">
        <is>
          <t>KF-M09</t>
        </is>
      </c>
      <c r="F3798" s="16" t="inlineStr">
        <is>
          <t>KF-M09-R0-x_b</t>
        </is>
      </c>
      <c r="G3798" s="16" t="inlineStr">
        <is>
          <t>B13-x_b</t>
        </is>
      </c>
      <c r="H3798" s="16" t="inlineStr">
        <is>
          <t>lhs</t>
        </is>
      </c>
      <c r="I3798" s="16" t="inlineStr">
        <is>
          <t>CORREGIBLE</t>
        </is>
      </c>
      <c r="J3798" s="16" t="inlineStr">
        <is>
          <t>CORREGIBLE</t>
        </is>
      </c>
      <c r="K3798" s="16" t="b">
        <v>1</v>
      </c>
      <c r="L3798" s="16" t="b">
        <v>0</v>
      </c>
      <c r="M3798" s="16" t="b">
        <v>1</v>
      </c>
      <c r="N3798" s="16" t="b">
        <v>0</v>
      </c>
      <c r="O3798" s="16" t="n">
        <v>502.3305554464566</v>
      </c>
      <c r="P3798" s="16" t="n">
        <v>278.5873533665451</v>
      </c>
      <c r="Q3798" s="16" t="n">
        <v>4421.056021958826</v>
      </c>
      <c r="R3798" s="16" t="n">
        <v>1158.224500517542</v>
      </c>
      <c r="S3798" s="16" t="n">
        <v>0.5</v>
      </c>
      <c r="T3798" s="16" t="n">
        <v>0.6135540629519135</v>
      </c>
      <c r="U3798" s="16" t="n">
        <v>0.6198488474495832</v>
      </c>
      <c r="V3798" s="16" t="n">
        <v>0.9314645857960168</v>
      </c>
      <c r="W3798" s="16" t="n">
        <v>0.6404448114496455</v>
      </c>
      <c r="X3798" s="16" t="n">
        <v>0.831688834867819</v>
      </c>
      <c r="Y3798" s="16" t="n">
        <v>278.5873533665451</v>
      </c>
      <c r="Z3798" s="16" t="n">
        <v>6.87472099394361</v>
      </c>
      <c r="AA3798" s="16" t="n">
        <v>132.7788212610761</v>
      </c>
      <c r="AB3798" s="16" t="n">
        <v>3262.831521441284</v>
      </c>
      <c r="AC3798" s="16" t="n">
        <v>3.817097652470065</v>
      </c>
      <c r="AD3798" s="16" t="inlineStr">
        <is>
          <t>O2</t>
        </is>
      </c>
      <c r="AE3798" s="16" t="n"/>
    </row>
    <row r="3799">
      <c r="A3799" s="16" t="inlineStr">
        <is>
          <t>KF-M09-R0-x_b-0085</t>
        </is>
      </c>
      <c r="B3799" s="16" t="inlineStr">
        <is>
          <t>4.3</t>
        </is>
      </c>
      <c r="C3799" s="16" t="inlineStr">
        <is>
          <t>4.3 x_b</t>
        </is>
      </c>
      <c r="D3799" s="16" t="inlineStr">
        <is>
          <t>ronda 0</t>
        </is>
      </c>
      <c r="E3799" s="16" t="inlineStr">
        <is>
          <t>KF-M09</t>
        </is>
      </c>
      <c r="F3799" s="16" t="inlineStr">
        <is>
          <t>KF-M09-R0-x_b</t>
        </is>
      </c>
      <c r="G3799" s="16" t="inlineStr">
        <is>
          <t>B13-x_b</t>
        </is>
      </c>
      <c r="H3799" s="16" t="inlineStr">
        <is>
          <t>lhs</t>
        </is>
      </c>
      <c r="I3799" s="16" t="inlineStr">
        <is>
          <t>CORREGIBLE</t>
        </is>
      </c>
      <c r="J3799" s="16" t="inlineStr">
        <is>
          <t>CORREGIBLE</t>
        </is>
      </c>
      <c r="K3799" s="16" t="b">
        <v>1</v>
      </c>
      <c r="L3799" s="16" t="b">
        <v>0</v>
      </c>
      <c r="M3799" s="16" t="b">
        <v>1</v>
      </c>
      <c r="N3799" s="16" t="b">
        <v>0</v>
      </c>
      <c r="O3799" s="16" t="n">
        <v>446.3259565267153</v>
      </c>
      <c r="P3799" s="16" t="n">
        <v>279.7212444335605</v>
      </c>
      <c r="Q3799" s="16" t="n">
        <v>3390.931037004873</v>
      </c>
      <c r="R3799" s="16" t="n">
        <v>457.3075351691075</v>
      </c>
      <c r="S3799" s="16" t="n">
        <v>0.5</v>
      </c>
      <c r="T3799" s="16" t="n">
        <v>0.8134749645235325</v>
      </c>
      <c r="U3799" s="16" t="n">
        <v>0.6424766604017256</v>
      </c>
      <c r="V3799" s="16" t="n">
        <v>0.8713516207804167</v>
      </c>
      <c r="W3799" s="16" t="n">
        <v>0.5153146776164501</v>
      </c>
      <c r="X3799" s="16" t="n">
        <v>0.8003065631856228</v>
      </c>
      <c r="Y3799" s="16" t="n">
        <v>279.7212444335605</v>
      </c>
      <c r="Z3799" s="16" t="n">
        <v>11.41134200462695</v>
      </c>
      <c r="AA3799" s="16" t="n">
        <v>103.596830886311</v>
      </c>
      <c r="AB3799" s="16" t="n">
        <v>2933.623501835766</v>
      </c>
      <c r="AC3799" s="16" t="n">
        <v>7.414990517816293</v>
      </c>
      <c r="AD3799" s="16" t="inlineStr">
        <is>
          <t>O2</t>
        </is>
      </c>
      <c r="AE3799" s="16" t="n"/>
    </row>
    <row r="3800">
      <c r="A3800" s="16" t="inlineStr">
        <is>
          <t>KF-M09-R0-x_b-0086</t>
        </is>
      </c>
      <c r="B3800" s="16" t="inlineStr">
        <is>
          <t>4.3</t>
        </is>
      </c>
      <c r="C3800" s="16" t="inlineStr">
        <is>
          <t>4.3 x_b</t>
        </is>
      </c>
      <c r="D3800" s="16" t="inlineStr">
        <is>
          <t>ronda 0</t>
        </is>
      </c>
      <c r="E3800" s="16" t="inlineStr">
        <is>
          <t>KF-M09</t>
        </is>
      </c>
      <c r="F3800" s="16" t="inlineStr">
        <is>
          <t>KF-M09-R0-x_b</t>
        </is>
      </c>
      <c r="G3800" s="16" t="inlineStr">
        <is>
          <t>B13-x_b</t>
        </is>
      </c>
      <c r="H3800" s="16" t="inlineStr">
        <is>
          <t>lhs</t>
        </is>
      </c>
      <c r="I3800" s="16" t="inlineStr">
        <is>
          <t>N2</t>
        </is>
      </c>
      <c r="J3800" s="16" t="inlineStr">
        <is>
          <t>NO_CONVERGIO</t>
        </is>
      </c>
      <c r="K3800" s="16" t="b">
        <v>0</v>
      </c>
      <c r="L3800" s="16" t="b">
        <v>0</v>
      </c>
      <c r="M3800" s="16" t="b">
        <v>0</v>
      </c>
      <c r="N3800" s="16" t="b">
        <v>0</v>
      </c>
      <c r="O3800" s="16" t="n">
        <v>396.691474784271</v>
      </c>
      <c r="P3800" s="16" t="n">
        <v>289.0141048970468</v>
      </c>
      <c r="Q3800" s="16" t="n">
        <v>3289.235338270082</v>
      </c>
      <c r="R3800" s="16" t="n">
        <v>1944.07141544841</v>
      </c>
      <c r="S3800" s="16" t="n">
        <v>0.5</v>
      </c>
      <c r="T3800" s="16" t="n">
        <v>0.6809260771784172</v>
      </c>
      <c r="U3800" s="16" t="n">
        <v>0.6765602409200147</v>
      </c>
      <c r="V3800" s="16" t="n">
        <v>0.4141833728694566</v>
      </c>
      <c r="W3800" s="16" t="n">
        <v>0.6131048261857747</v>
      </c>
      <c r="X3800" s="16" t="n">
        <v>0.6187056394675743</v>
      </c>
      <c r="Y3800" s="16" t="n">
        <v>289.0141048970468</v>
      </c>
      <c r="Z3800" s="16" t="n">
        <v>-10.51804851949013</v>
      </c>
      <c r="AA3800" s="16" t="n">
        <v>-12.59232888604169</v>
      </c>
      <c r="AB3800" s="16" t="n">
        <v>1345.163922821671</v>
      </c>
      <c r="AC3800" s="16" t="n">
        <v>1.691931331396795</v>
      </c>
      <c r="AD3800" s="16" t="inlineStr">
        <is>
          <t>N2,S6,O3,O5,C1,C3,C3</t>
        </is>
      </c>
      <c r="AE3800" s="16" t="n"/>
    </row>
    <row r="3801">
      <c r="A3801" s="16" t="inlineStr">
        <is>
          <t>KF-M09-R0-x_b-0087</t>
        </is>
      </c>
      <c r="B3801" s="16" t="inlineStr">
        <is>
          <t>4.3</t>
        </is>
      </c>
      <c r="C3801" s="16" t="inlineStr">
        <is>
          <t>4.3 x_b</t>
        </is>
      </c>
      <c r="D3801" s="16" t="inlineStr">
        <is>
          <t>ronda 0</t>
        </is>
      </c>
      <c r="E3801" s="16" t="inlineStr">
        <is>
          <t>KF-M09</t>
        </is>
      </c>
      <c r="F3801" s="16" t="inlineStr">
        <is>
          <t>KF-M09-R0-x_b</t>
        </is>
      </c>
      <c r="G3801" s="16" t="inlineStr">
        <is>
          <t>B13-x_b</t>
        </is>
      </c>
      <c r="H3801" s="16" t="inlineStr">
        <is>
          <t>lhs</t>
        </is>
      </c>
      <c r="I3801" s="16" t="inlineStr">
        <is>
          <t>CORREGIBLE</t>
        </is>
      </c>
      <c r="J3801" s="16" t="inlineStr">
        <is>
          <t>CORREGIBLE</t>
        </is>
      </c>
      <c r="K3801" s="16" t="b">
        <v>1</v>
      </c>
      <c r="L3801" s="16" t="b">
        <v>0</v>
      </c>
      <c r="M3801" s="16" t="b">
        <v>1</v>
      </c>
      <c r="N3801" s="16" t="b">
        <v>0</v>
      </c>
      <c r="O3801" s="16" t="n">
        <v>519.5895422483876</v>
      </c>
      <c r="P3801" s="16" t="n">
        <v>287.6382930010503</v>
      </c>
      <c r="Q3801" s="16" t="n">
        <v>3412.385588129736</v>
      </c>
      <c r="R3801" s="16" t="n">
        <v>923.7105207650436</v>
      </c>
      <c r="S3801" s="16" t="n">
        <v>0.5</v>
      </c>
      <c r="T3801" s="16" t="n">
        <v>0.9336895826689148</v>
      </c>
      <c r="U3801" s="16" t="n">
        <v>0.7646807749335245</v>
      </c>
      <c r="V3801" s="16" t="n">
        <v>0.7412280338979109</v>
      </c>
      <c r="W3801" s="16" t="n">
        <v>0.8625752810644917</v>
      </c>
      <c r="X3801" s="16" t="n">
        <v>0.7887759389342327</v>
      </c>
      <c r="Y3801" s="16" t="n">
        <v>287.6382930010503</v>
      </c>
      <c r="Z3801" s="16" t="n">
        <v>10.68825903507854</v>
      </c>
      <c r="AA3801" s="16" t="n">
        <v>162.3106798368425</v>
      </c>
      <c r="AB3801" s="16" t="n">
        <v>2488.675067364693</v>
      </c>
      <c r="AC3801" s="16" t="n">
        <v>3.694215353640771</v>
      </c>
      <c r="AD3801" s="16" t="inlineStr">
        <is>
          <t>O2</t>
        </is>
      </c>
      <c r="AE3801" s="16" t="n"/>
    </row>
    <row r="3802">
      <c r="A3802" s="16" t="inlineStr">
        <is>
          <t>KF-M09-R0-x_b-0088</t>
        </is>
      </c>
      <c r="B3802" s="16" t="inlineStr">
        <is>
          <t>4.3</t>
        </is>
      </c>
      <c r="C3802" s="16" t="inlineStr">
        <is>
          <t>4.3 x_b</t>
        </is>
      </c>
      <c r="D3802" s="16" t="inlineStr">
        <is>
          <t>ronda 0</t>
        </is>
      </c>
      <c r="E3802" s="16" t="inlineStr">
        <is>
          <t>KF-M09</t>
        </is>
      </c>
      <c r="F3802" s="16" t="inlineStr">
        <is>
          <t>KF-M09-R0-x_b</t>
        </is>
      </c>
      <c r="G3802" s="16" t="inlineStr">
        <is>
          <t>B13-x_b</t>
        </is>
      </c>
      <c r="H3802" s="16" t="inlineStr">
        <is>
          <t>lhs</t>
        </is>
      </c>
      <c r="I3802" s="16" t="inlineStr">
        <is>
          <t>OMITIDO</t>
        </is>
      </c>
      <c r="J3802" s="16" t="n"/>
      <c r="K3802" s="16" t="b">
        <v>0</v>
      </c>
      <c r="L3802" s="16" t="b">
        <v>0</v>
      </c>
      <c r="M3802" s="16" t="n"/>
      <c r="N3802" s="16" t="b">
        <v>1</v>
      </c>
      <c r="O3802" s="16" t="n">
        <v>493.159881126787</v>
      </c>
      <c r="P3802" s="16" t="n">
        <v>299.3945455197043</v>
      </c>
      <c r="Q3802" s="16" t="n">
        <v>2247.681283806505</v>
      </c>
      <c r="R3802" s="16" t="n">
        <v>1954.278801601443</v>
      </c>
      <c r="S3802" s="16" t="n">
        <v>0.5</v>
      </c>
      <c r="T3802" s="16" t="n">
        <v>0.7861897258647532</v>
      </c>
      <c r="U3802" s="16" t="n">
        <v>0.48344199575757</v>
      </c>
      <c r="V3802" s="16" t="n">
        <v>0.6262467514253328</v>
      </c>
      <c r="W3802" s="16" t="n">
        <v>0.9360295356807884</v>
      </c>
      <c r="X3802" s="16" t="n">
        <v>0.6758631216406803</v>
      </c>
      <c r="Y3802" s="16" t="n"/>
      <c r="Z3802" s="16" t="n"/>
      <c r="AA3802" s="16" t="n"/>
      <c r="AB3802" s="16" t="n">
        <v>293.4024822050617</v>
      </c>
      <c r="AC3802" s="16" t="n">
        <v>1.150133380132165</v>
      </c>
      <c r="AD3802" s="16" t="n"/>
      <c r="AE3802" s="16" t="n"/>
    </row>
    <row r="3803">
      <c r="A3803" s="16" t="inlineStr">
        <is>
          <t>KF-M09-R0-x_b-0089</t>
        </is>
      </c>
      <c r="B3803" s="16" t="inlineStr">
        <is>
          <t>4.3</t>
        </is>
      </c>
      <c r="C3803" s="16" t="inlineStr">
        <is>
          <t>4.3 x_b</t>
        </is>
      </c>
      <c r="D3803" s="16" t="inlineStr">
        <is>
          <t>ronda 0</t>
        </is>
      </c>
      <c r="E3803" s="16" t="inlineStr">
        <is>
          <t>KF-M09</t>
        </is>
      </c>
      <c r="F3803" s="16" t="inlineStr">
        <is>
          <t>KF-M09-R0-x_b</t>
        </is>
      </c>
      <c r="G3803" s="16" t="inlineStr">
        <is>
          <t>B13-x_b</t>
        </is>
      </c>
      <c r="H3803" s="16" t="inlineStr">
        <is>
          <t>lhs</t>
        </is>
      </c>
      <c r="I3803" s="16" t="inlineStr">
        <is>
          <t>CORREGIBLE</t>
        </is>
      </c>
      <c r="J3803" s="16" t="inlineStr">
        <is>
          <t>CORREGIBLE</t>
        </is>
      </c>
      <c r="K3803" s="16" t="b">
        <v>1</v>
      </c>
      <c r="L3803" s="16" t="b">
        <v>0</v>
      </c>
      <c r="M3803" s="16" t="b">
        <v>1</v>
      </c>
      <c r="N3803" s="16" t="b">
        <v>0</v>
      </c>
      <c r="O3803" s="16" t="n">
        <v>509.5724432913302</v>
      </c>
      <c r="P3803" s="16" t="n">
        <v>286.6379629370429</v>
      </c>
      <c r="Q3803" s="16" t="n">
        <v>3676.883827507017</v>
      </c>
      <c r="R3803" s="16" t="n">
        <v>581.7623476027718</v>
      </c>
      <c r="S3803" s="16" t="n">
        <v>0.5</v>
      </c>
      <c r="T3803" s="16" t="n">
        <v>0.91910519004608</v>
      </c>
      <c r="U3803" s="16" t="n">
        <v>0.7952545325790991</v>
      </c>
      <c r="V3803" s="16" t="n">
        <v>0.9374772496883996</v>
      </c>
      <c r="W3803" s="16" t="n">
        <v>0.7578873875855729</v>
      </c>
      <c r="X3803" s="16" t="n">
        <v>0.7588178424701488</v>
      </c>
      <c r="Y3803" s="16" t="n">
        <v>286.6379629370429</v>
      </c>
      <c r="Z3803" s="16" t="n">
        <v>13.78863412221807</v>
      </c>
      <c r="AA3803" s="16" t="n">
        <v>249.7313231387029</v>
      </c>
      <c r="AB3803" s="16" t="n">
        <v>3095.121479904245</v>
      </c>
      <c r="AC3803" s="16" t="n">
        <v>6.320250601741587</v>
      </c>
      <c r="AD3803" s="16" t="inlineStr">
        <is>
          <t>O1,O2</t>
        </is>
      </c>
      <c r="AE3803" s="16" t="n"/>
    </row>
    <row r="3804">
      <c r="A3804" s="16" t="inlineStr">
        <is>
          <t>KF-M09-R0-x_b-0090</t>
        </is>
      </c>
      <c r="B3804" s="16" t="inlineStr">
        <is>
          <t>4.3</t>
        </is>
      </c>
      <c r="C3804" s="16" t="inlineStr">
        <is>
          <t>4.3 x_b</t>
        </is>
      </c>
      <c r="D3804" s="16" t="inlineStr">
        <is>
          <t>ronda 0</t>
        </is>
      </c>
      <c r="E3804" s="16" t="inlineStr">
        <is>
          <t>KF-M09</t>
        </is>
      </c>
      <c r="F3804" s="16" t="inlineStr">
        <is>
          <t>KF-M09-R0-x_b</t>
        </is>
      </c>
      <c r="G3804" s="16" t="inlineStr">
        <is>
          <t>B13-x_b</t>
        </is>
      </c>
      <c r="H3804" s="16" t="inlineStr">
        <is>
          <t>lhs</t>
        </is>
      </c>
      <c r="I3804" s="16" t="inlineStr">
        <is>
          <t>KALINA</t>
        </is>
      </c>
      <c r="J3804" s="16" t="inlineStr">
        <is>
          <t>KALINA</t>
        </is>
      </c>
      <c r="K3804" s="16" t="b">
        <v>1</v>
      </c>
      <c r="L3804" s="16" t="b">
        <v>0</v>
      </c>
      <c r="M3804" s="16" t="b">
        <v>1</v>
      </c>
      <c r="N3804" s="16" t="b">
        <v>0</v>
      </c>
      <c r="O3804" s="16" t="n">
        <v>449.2172477118531</v>
      </c>
      <c r="P3804" s="16" t="n">
        <v>303.4209104290609</v>
      </c>
      <c r="Q3804" s="16" t="n">
        <v>4897.146113588794</v>
      </c>
      <c r="R3804" s="16" t="n">
        <v>825.8449303002042</v>
      </c>
      <c r="S3804" s="16" t="n">
        <v>0.5</v>
      </c>
      <c r="T3804" s="16" t="n">
        <v>0.5286994230781499</v>
      </c>
      <c r="U3804" s="16" t="n">
        <v>0.4937013087502395</v>
      </c>
      <c r="V3804" s="16" t="n">
        <v>0.7899324575866153</v>
      </c>
      <c r="W3804" s="16" t="n">
        <v>0.4024286595266871</v>
      </c>
      <c r="X3804" s="16" t="n">
        <v>0.9103241211793724</v>
      </c>
      <c r="Y3804" s="16" t="n">
        <v>303.4209104290609</v>
      </c>
      <c r="Z3804" s="16" t="n">
        <v>3.6995624170748</v>
      </c>
      <c r="AA3804" s="16" t="n">
        <v>24.37399377928955</v>
      </c>
      <c r="AB3804" s="16" t="n">
        <v>4071.30118328859</v>
      </c>
      <c r="AC3804" s="16" t="n">
        <v>5.92986156833175</v>
      </c>
      <c r="AD3804" s="16" t="n"/>
      <c r="AE3804" s="16" t="n"/>
    </row>
    <row r="3805">
      <c r="A3805" s="16" t="inlineStr">
        <is>
          <t>KF-M09-R0-x_b-0091</t>
        </is>
      </c>
      <c r="B3805" s="16" t="inlineStr">
        <is>
          <t>4.3</t>
        </is>
      </c>
      <c r="C3805" s="16" t="inlineStr">
        <is>
          <t>4.3 x_b</t>
        </is>
      </c>
      <c r="D3805" s="16" t="inlineStr">
        <is>
          <t>ronda 0</t>
        </is>
      </c>
      <c r="E3805" s="16" t="inlineStr">
        <is>
          <t>KF-M09</t>
        </is>
      </c>
      <c r="F3805" s="16" t="inlineStr">
        <is>
          <t>KF-M09-R0-x_b</t>
        </is>
      </c>
      <c r="G3805" s="16" t="inlineStr">
        <is>
          <t>B13-x_b</t>
        </is>
      </c>
      <c r="H3805" s="16" t="inlineStr">
        <is>
          <t>lhs</t>
        </is>
      </c>
      <c r="I3805" s="16" t="inlineStr">
        <is>
          <t>KALINA</t>
        </is>
      </c>
      <c r="J3805" s="16" t="inlineStr">
        <is>
          <t>KALINA</t>
        </is>
      </c>
      <c r="K3805" s="16" t="b">
        <v>1</v>
      </c>
      <c r="L3805" s="16" t="b">
        <v>0</v>
      </c>
      <c r="M3805" s="16" t="b">
        <v>1</v>
      </c>
      <c r="N3805" s="16" t="b">
        <v>0</v>
      </c>
      <c r="O3805" s="16" t="n">
        <v>501.0518792576797</v>
      </c>
      <c r="P3805" s="16" t="n">
        <v>285.2028241916966</v>
      </c>
      <c r="Q3805" s="16" t="n">
        <v>3977.46734184636</v>
      </c>
      <c r="R3805" s="16" t="n">
        <v>1074.54304218749</v>
      </c>
      <c r="S3805" s="16" t="n">
        <v>0.5</v>
      </c>
      <c r="T3805" s="16" t="n">
        <v>0.5636138471849484</v>
      </c>
      <c r="U3805" s="16" t="n">
        <v>0.8687300341089281</v>
      </c>
      <c r="V3805" s="16" t="n">
        <v>0.518056863316926</v>
      </c>
      <c r="W3805" s="16" t="n">
        <v>0.6337586442329941</v>
      </c>
      <c r="X3805" s="16" t="n">
        <v>0.8680955774363071</v>
      </c>
      <c r="Y3805" s="16" t="n">
        <v>285.2028241916966</v>
      </c>
      <c r="Z3805" s="16" t="n">
        <v>5.53591046027942</v>
      </c>
      <c r="AA3805" s="16" t="n">
        <v>59.75698061861329</v>
      </c>
      <c r="AB3805" s="16" t="n">
        <v>2902.92429965887</v>
      </c>
      <c r="AC3805" s="16" t="n">
        <v>3.70154306127121</v>
      </c>
      <c r="AD3805" s="16" t="n"/>
      <c r="AE3805" s="16" t="n"/>
    </row>
    <row r="3806">
      <c r="A3806" s="16" t="inlineStr">
        <is>
          <t>KF-M09-R0-x_b-0092</t>
        </is>
      </c>
      <c r="B3806" s="16" t="inlineStr">
        <is>
          <t>4.3</t>
        </is>
      </c>
      <c r="C3806" s="16" t="inlineStr">
        <is>
          <t>4.3 x_b</t>
        </is>
      </c>
      <c r="D3806" s="16" t="inlineStr">
        <is>
          <t>ronda 0</t>
        </is>
      </c>
      <c r="E3806" s="16" t="inlineStr">
        <is>
          <t>KF-M09</t>
        </is>
      </c>
      <c r="F3806" s="16" t="inlineStr">
        <is>
          <t>KF-M09-R0-x_b</t>
        </is>
      </c>
      <c r="G3806" s="16" t="inlineStr">
        <is>
          <t>B13-x_b</t>
        </is>
      </c>
      <c r="H3806" s="16" t="inlineStr">
        <is>
          <t>lhs</t>
        </is>
      </c>
      <c r="I3806" s="16" t="inlineStr">
        <is>
          <t>KALINA</t>
        </is>
      </c>
      <c r="J3806" s="16" t="inlineStr">
        <is>
          <t>KALINA</t>
        </is>
      </c>
      <c r="K3806" s="16" t="b">
        <v>1</v>
      </c>
      <c r="L3806" s="16" t="b">
        <v>1</v>
      </c>
      <c r="M3806" s="16" t="b">
        <v>0</v>
      </c>
      <c r="N3806" s="16" t="b">
        <v>0</v>
      </c>
      <c r="O3806" s="16" t="n">
        <v>429.0360699566577</v>
      </c>
      <c r="P3806" s="16" t="n">
        <v>279.9946066397543</v>
      </c>
      <c r="Q3806" s="16" t="n">
        <v>2789.063293176551</v>
      </c>
      <c r="R3806" s="16" t="n">
        <v>1811.461374951889</v>
      </c>
      <c r="S3806" s="16" t="n">
        <v>0.5</v>
      </c>
      <c r="T3806" s="16" t="n">
        <v>0.7558806232365416</v>
      </c>
      <c r="U3806" s="16" t="n">
        <v>0.714396241798037</v>
      </c>
      <c r="V3806" s="16" t="n">
        <v>0.5972513535278046</v>
      </c>
      <c r="W3806" s="16" t="n">
        <v>0.6421649204769007</v>
      </c>
      <c r="X3806" s="16" t="n">
        <v>0.7125419821852668</v>
      </c>
      <c r="Y3806" s="16" t="n">
        <v>279.9946066397543</v>
      </c>
      <c r="Z3806" s="16" t="n">
        <v>2.2782519094781</v>
      </c>
      <c r="AA3806" s="16" t="n">
        <v>11.32944470529796</v>
      </c>
      <c r="AB3806" s="16" t="n">
        <v>977.6019182246624</v>
      </c>
      <c r="AC3806" s="16" t="n">
        <v>1.539675828445764</v>
      </c>
      <c r="AD3806" s="16" t="n"/>
      <c r="AE3806" s="16" t="n"/>
    </row>
    <row r="3807">
      <c r="A3807" s="16" t="inlineStr">
        <is>
          <t>KF-M09-R0-x_b-0093</t>
        </is>
      </c>
      <c r="B3807" s="16" t="inlineStr">
        <is>
          <t>4.3</t>
        </is>
      </c>
      <c r="C3807" s="16" t="inlineStr">
        <is>
          <t>4.3 x_b</t>
        </is>
      </c>
      <c r="D3807" s="16" t="inlineStr">
        <is>
          <t>ronda 0</t>
        </is>
      </c>
      <c r="E3807" s="16" t="inlineStr">
        <is>
          <t>KF-M09</t>
        </is>
      </c>
      <c r="F3807" s="16" t="inlineStr">
        <is>
          <t>KF-M09-R0-x_b</t>
        </is>
      </c>
      <c r="G3807" s="16" t="inlineStr">
        <is>
          <t>B13-x_b</t>
        </is>
      </c>
      <c r="H3807" s="16" t="inlineStr">
        <is>
          <t>lhs</t>
        </is>
      </c>
      <c r="I3807" s="16" t="inlineStr">
        <is>
          <t>INVIABLE</t>
        </is>
      </c>
      <c r="J3807" s="16" t="inlineStr">
        <is>
          <t>INVIABLE</t>
        </is>
      </c>
      <c r="K3807" s="16" t="b">
        <v>1</v>
      </c>
      <c r="L3807" s="16" t="b">
        <v>0</v>
      </c>
      <c r="M3807" s="16" t="b">
        <v>1</v>
      </c>
      <c r="N3807" s="16" t="b">
        <v>0</v>
      </c>
      <c r="O3807" s="16" t="n">
        <v>433.4614594027236</v>
      </c>
      <c r="P3807" s="16" t="n">
        <v>297.2426106881327</v>
      </c>
      <c r="Q3807" s="16" t="n">
        <v>2663.44206896164</v>
      </c>
      <c r="R3807" s="16" t="n">
        <v>547.0106993999183</v>
      </c>
      <c r="S3807" s="16" t="n">
        <v>0.5</v>
      </c>
      <c r="T3807" s="16" t="n">
        <v>0.4479207249508133</v>
      </c>
      <c r="U3807" s="16" t="n">
        <v>0.5899060046356955</v>
      </c>
      <c r="V3807" s="16" t="n">
        <v>0.7339747547881045</v>
      </c>
      <c r="W3807" s="16" t="n">
        <v>0.8056859379809701</v>
      </c>
      <c r="X3807" s="16" t="n">
        <v>0.5031989621937167</v>
      </c>
      <c r="Y3807" s="16" t="n">
        <v>297.2426106881327</v>
      </c>
      <c r="Z3807" s="16" t="n">
        <v>-5.55678331819412</v>
      </c>
      <c r="AA3807" s="16" t="n">
        <v>-25.61183724187241</v>
      </c>
      <c r="AB3807" s="16" t="n">
        <v>2116.431369561721</v>
      </c>
      <c r="AC3807" s="16" t="n">
        <v>4.869085873244324</v>
      </c>
      <c r="AD3807" s="16" t="inlineStr">
        <is>
          <t>O2,O3</t>
        </is>
      </c>
      <c r="AE3807" s="16" t="n"/>
    </row>
    <row r="3808">
      <c r="A3808" s="16" t="inlineStr">
        <is>
          <t>KF-M09-R0-x_b-0094</t>
        </is>
      </c>
      <c r="B3808" s="16" t="inlineStr">
        <is>
          <t>4.3</t>
        </is>
      </c>
      <c r="C3808" s="16" t="inlineStr">
        <is>
          <t>4.3 x_b</t>
        </is>
      </c>
      <c r="D3808" s="16" t="inlineStr">
        <is>
          <t>ronda 0</t>
        </is>
      </c>
      <c r="E3808" s="16" t="inlineStr">
        <is>
          <t>KF-M09</t>
        </is>
      </c>
      <c r="F3808" s="16" t="inlineStr">
        <is>
          <t>KF-M09-R0-x_b</t>
        </is>
      </c>
      <c r="G3808" s="16" t="inlineStr">
        <is>
          <t>B13-x_b</t>
        </is>
      </c>
      <c r="H3808" s="16" t="inlineStr">
        <is>
          <t>lhs</t>
        </is>
      </c>
      <c r="I3808" s="16" t="inlineStr">
        <is>
          <t>INVIABLE</t>
        </is>
      </c>
      <c r="J3808" s="16" t="inlineStr">
        <is>
          <t>INVIABLE</t>
        </is>
      </c>
      <c r="K3808" s="16" t="b">
        <v>1</v>
      </c>
      <c r="L3808" s="16" t="b">
        <v>0</v>
      </c>
      <c r="M3808" s="16" t="b">
        <v>1</v>
      </c>
      <c r="N3808" s="16" t="b">
        <v>0</v>
      </c>
      <c r="O3808" s="16" t="n">
        <v>495.0953773391186</v>
      </c>
      <c r="P3808" s="16" t="n">
        <v>284.8859020526566</v>
      </c>
      <c r="Q3808" s="16" t="n">
        <v>3594.038197801452</v>
      </c>
      <c r="R3808" s="16" t="n">
        <v>1053.305775333398</v>
      </c>
      <c r="S3808" s="16" t="n">
        <v>0.5</v>
      </c>
      <c r="T3808" s="16" t="n">
        <v>0.5065008233437069</v>
      </c>
      <c r="U3808" s="16" t="n">
        <v>0.7061389013604153</v>
      </c>
      <c r="V3808" s="16" t="n">
        <v>0.4820998628355173</v>
      </c>
      <c r="W3808" s="16" t="n">
        <v>0.6572096629520786</v>
      </c>
      <c r="X3808" s="16" t="n">
        <v>0.4572614128124556</v>
      </c>
      <c r="Y3808" s="16" t="n">
        <v>284.8859020526566</v>
      </c>
      <c r="Z3808" s="16" t="n">
        <v>-2.34825483382757</v>
      </c>
      <c r="AA3808" s="16" t="n">
        <v>-16.51285356528732</v>
      </c>
      <c r="AB3808" s="16" t="n">
        <v>2540.732422468054</v>
      </c>
      <c r="AC3808" s="16" t="n">
        <v>3.412150851127582</v>
      </c>
      <c r="AD3808" s="16" t="inlineStr">
        <is>
          <t>O2,O3</t>
        </is>
      </c>
      <c r="AE3808" s="16" t="n"/>
    </row>
    <row r="3809">
      <c r="A3809" s="16" t="inlineStr">
        <is>
          <t>KF-M09-R0-x_b-0095</t>
        </is>
      </c>
      <c r="B3809" s="16" t="inlineStr">
        <is>
          <t>4.3</t>
        </is>
      </c>
      <c r="C3809" s="16" t="inlineStr">
        <is>
          <t>4.3 x_b</t>
        </is>
      </c>
      <c r="D3809" s="16" t="inlineStr">
        <is>
          <t>ronda 0</t>
        </is>
      </c>
      <c r="E3809" s="16" t="inlineStr">
        <is>
          <t>KF-M09</t>
        </is>
      </c>
      <c r="F3809" s="16" t="inlineStr">
        <is>
          <t>KF-M09-R0-x_b</t>
        </is>
      </c>
      <c r="G3809" s="16" t="inlineStr">
        <is>
          <t>B13-x_b</t>
        </is>
      </c>
      <c r="H3809" s="16" t="inlineStr">
        <is>
          <t>lhs</t>
        </is>
      </c>
      <c r="I3809" s="16" t="inlineStr">
        <is>
          <t>KALINA</t>
        </is>
      </c>
      <c r="J3809" s="16" t="inlineStr">
        <is>
          <t>KALINA</t>
        </is>
      </c>
      <c r="K3809" s="16" t="b">
        <v>1</v>
      </c>
      <c r="L3809" s="16" t="b">
        <v>0</v>
      </c>
      <c r="M3809" s="16" t="b">
        <v>1</v>
      </c>
      <c r="N3809" s="16" t="b">
        <v>0</v>
      </c>
      <c r="O3809" s="16" t="n">
        <v>468.5830255799965</v>
      </c>
      <c r="P3809" s="16" t="n">
        <v>296.2787953594116</v>
      </c>
      <c r="Q3809" s="16" t="n">
        <v>4216.561362824399</v>
      </c>
      <c r="R3809" s="16" t="n">
        <v>1323.803350799093</v>
      </c>
      <c r="S3809" s="16" t="n">
        <v>0.5</v>
      </c>
      <c r="T3809" s="16" t="n">
        <v>0.7401924404126874</v>
      </c>
      <c r="U3809" s="16" t="n">
        <v>0.8762920653644531</v>
      </c>
      <c r="V3809" s="16" t="n">
        <v>0.5879821502002583</v>
      </c>
      <c r="W3809" s="16" t="n">
        <v>0.8470696452606368</v>
      </c>
      <c r="X3809" s="16" t="n">
        <v>0.8663710547264498</v>
      </c>
      <c r="Y3809" s="16" t="n">
        <v>296.2787953594116</v>
      </c>
      <c r="Z3809" s="16" t="n">
        <v>6.840753179105261</v>
      </c>
      <c r="AA3809" s="16" t="n">
        <v>48.48642832821814</v>
      </c>
      <c r="AB3809" s="16" t="n">
        <v>2892.758012025306</v>
      </c>
      <c r="AC3809" s="16" t="n">
        <v>3.18518710522914</v>
      </c>
      <c r="AD3809" s="16" t="n"/>
      <c r="AE3809" s="16" t="n"/>
    </row>
    <row r="3810">
      <c r="A3810" s="16" t="inlineStr">
        <is>
          <t>KF-M09-R0-x_b-0096</t>
        </is>
      </c>
      <c r="B3810" s="16" t="inlineStr">
        <is>
          <t>4.3</t>
        </is>
      </c>
      <c r="C3810" s="16" t="inlineStr">
        <is>
          <t>4.3 x_b</t>
        </is>
      </c>
      <c r="D3810" s="16" t="inlineStr">
        <is>
          <t>ronda 0</t>
        </is>
      </c>
      <c r="E3810" s="16" t="inlineStr">
        <is>
          <t>KF-M09</t>
        </is>
      </c>
      <c r="F3810" s="16" t="inlineStr">
        <is>
          <t>KF-M09-R0-x_b</t>
        </is>
      </c>
      <c r="G3810" s="16" t="inlineStr">
        <is>
          <t>B13-x_b</t>
        </is>
      </c>
      <c r="H3810" s="16" t="inlineStr">
        <is>
          <t>lhs</t>
        </is>
      </c>
      <c r="I3810" s="16" t="inlineStr">
        <is>
          <t>KALINA</t>
        </is>
      </c>
      <c r="J3810" s="16" t="inlineStr">
        <is>
          <t>KALINA</t>
        </is>
      </c>
      <c r="K3810" s="16" t="b">
        <v>1</v>
      </c>
      <c r="L3810" s="16" t="b">
        <v>1</v>
      </c>
      <c r="M3810" s="16" t="b">
        <v>0</v>
      </c>
      <c r="N3810" s="16" t="b">
        <v>0</v>
      </c>
      <c r="O3810" s="16" t="n">
        <v>412.1180193326625</v>
      </c>
      <c r="P3810" s="16" t="n">
        <v>297.1343973276753</v>
      </c>
      <c r="Q3810" s="16" t="n">
        <v>2646.673502744052</v>
      </c>
      <c r="R3810" s="16" t="n">
        <v>1712.264569366123</v>
      </c>
      <c r="S3810" s="16" t="n">
        <v>0.5</v>
      </c>
      <c r="T3810" s="16" t="n">
        <v>0.9287101286134336</v>
      </c>
      <c r="U3810" s="16" t="n">
        <v>0.6320487661948387</v>
      </c>
      <c r="V3810" s="16" t="n">
        <v>0.5385714466577188</v>
      </c>
      <c r="W3810" s="16" t="n">
        <v>0.7427215066051069</v>
      </c>
      <c r="X3810" s="16" t="n">
        <v>0.5166761186414187</v>
      </c>
      <c r="Y3810" s="16" t="n">
        <v>297.1343973276753</v>
      </c>
      <c r="Z3810" s="16" t="n">
        <v>3.2269455052205</v>
      </c>
      <c r="AA3810" s="16" t="n">
        <v>9.013386838174096</v>
      </c>
      <c r="AB3810" s="16" t="n">
        <v>934.4089333779297</v>
      </c>
      <c r="AC3810" s="16" t="n">
        <v>1.545715276771653</v>
      </c>
      <c r="AD3810" s="16" t="n"/>
      <c r="AE3810" s="16" t="n"/>
    </row>
    <row r="3811">
      <c r="A3811" s="16" t="inlineStr">
        <is>
          <t>KF-M09-R0-x_b-0097</t>
        </is>
      </c>
      <c r="B3811" s="16" t="inlineStr">
        <is>
          <t>4.3</t>
        </is>
      </c>
      <c r="C3811" s="16" t="inlineStr">
        <is>
          <t>4.3 x_b</t>
        </is>
      </c>
      <c r="D3811" s="16" t="inlineStr">
        <is>
          <t>ronda 0</t>
        </is>
      </c>
      <c r="E3811" s="16" t="inlineStr">
        <is>
          <t>KF-M09</t>
        </is>
      </c>
      <c r="F3811" s="16" t="inlineStr">
        <is>
          <t>KF-M09-R0-x_b</t>
        </is>
      </c>
      <c r="G3811" s="16" t="inlineStr">
        <is>
          <t>B13-x_b</t>
        </is>
      </c>
      <c r="H3811" s="16" t="inlineStr">
        <is>
          <t>lhs</t>
        </is>
      </c>
      <c r="I3811" s="16" t="inlineStr">
        <is>
          <t>INVIABLE</t>
        </is>
      </c>
      <c r="J3811" s="16" t="inlineStr">
        <is>
          <t>INVIABLE</t>
        </is>
      </c>
      <c r="K3811" s="16" t="b">
        <v>1</v>
      </c>
      <c r="L3811" s="16" t="b">
        <v>0</v>
      </c>
      <c r="M3811" s="16" t="b">
        <v>1</v>
      </c>
      <c r="N3811" s="16" t="b">
        <v>0</v>
      </c>
      <c r="O3811" s="16" t="n">
        <v>503.8013876643751</v>
      </c>
      <c r="P3811" s="16" t="n">
        <v>300.6559907160477</v>
      </c>
      <c r="Q3811" s="16" t="n">
        <v>4005.607098773393</v>
      </c>
      <c r="R3811" s="16" t="n">
        <v>1420.541367818788</v>
      </c>
      <c r="S3811" s="16" t="n">
        <v>0.5</v>
      </c>
      <c r="T3811" s="16" t="n">
        <v>0.4615489744934614</v>
      </c>
      <c r="U3811" s="16" t="n">
        <v>0.8138574819403992</v>
      </c>
      <c r="V3811" s="16" t="n">
        <v>0.7017707167528617</v>
      </c>
      <c r="W3811" s="16" t="n">
        <v>0.4267413433663037</v>
      </c>
      <c r="X3811" s="16" t="n">
        <v>0.498351434690444</v>
      </c>
      <c r="Y3811" s="16" t="n">
        <v>300.6559907160477</v>
      </c>
      <c r="Z3811" s="16" t="n">
        <v>-0.93621668393014</v>
      </c>
      <c r="AA3811" s="16" t="n">
        <v>-8.784078499412914</v>
      </c>
      <c r="AB3811" s="16" t="n">
        <v>2585.065730954605</v>
      </c>
      <c r="AC3811" s="16" t="n">
        <v>2.819775044583122</v>
      </c>
      <c r="AD3811" s="16" t="inlineStr">
        <is>
          <t>O2,O3</t>
        </is>
      </c>
      <c r="AE3811" s="16" t="n"/>
    </row>
    <row r="3812">
      <c r="A3812" s="16" t="inlineStr">
        <is>
          <t>KF-M09-R0-x_b-0098</t>
        </is>
      </c>
      <c r="B3812" s="16" t="inlineStr">
        <is>
          <t>4.3</t>
        </is>
      </c>
      <c r="C3812" s="16" t="inlineStr">
        <is>
          <t>4.3 x_b</t>
        </is>
      </c>
      <c r="D3812" s="16" t="inlineStr">
        <is>
          <t>ronda 0</t>
        </is>
      </c>
      <c r="E3812" s="16" t="inlineStr">
        <is>
          <t>KF-M09</t>
        </is>
      </c>
      <c r="F3812" s="16" t="inlineStr">
        <is>
          <t>KF-M09-R0-x_b</t>
        </is>
      </c>
      <c r="G3812" s="16" t="inlineStr">
        <is>
          <t>B13-x_b</t>
        </is>
      </c>
      <c r="H3812" s="16" t="inlineStr">
        <is>
          <t>lhs</t>
        </is>
      </c>
      <c r="I3812" s="16" t="inlineStr">
        <is>
          <t>KALINA</t>
        </is>
      </c>
      <c r="J3812" s="16" t="inlineStr">
        <is>
          <t>KALINA</t>
        </is>
      </c>
      <c r="K3812" s="16" t="b">
        <v>1</v>
      </c>
      <c r="L3812" s="16" t="b">
        <v>1</v>
      </c>
      <c r="M3812" s="16" t="b">
        <v>0</v>
      </c>
      <c r="N3812" s="16" t="b">
        <v>0</v>
      </c>
      <c r="O3812" s="16" t="n">
        <v>427.4892505000896</v>
      </c>
      <c r="P3812" s="16" t="n">
        <v>287.1879010916329</v>
      </c>
      <c r="Q3812" s="16" t="n">
        <v>4036.769224291656</v>
      </c>
      <c r="R3812" s="16" t="n">
        <v>737.2519891883626</v>
      </c>
      <c r="S3812" s="16" t="n">
        <v>0.5</v>
      </c>
      <c r="T3812" s="16" t="n">
        <v>0.7585363150282927</v>
      </c>
      <c r="U3812" s="16" t="n">
        <v>0.9204508938878884</v>
      </c>
      <c r="V3812" s="16" t="n">
        <v>0.5087074276902614</v>
      </c>
      <c r="W3812" s="16" t="n">
        <v>0.8945177795241915</v>
      </c>
      <c r="X3812" s="16" t="n">
        <v>0.922915316444979</v>
      </c>
      <c r="Y3812" s="16" t="n">
        <v>287.1879010916329</v>
      </c>
      <c r="Z3812" s="16" t="n">
        <v>6.9986862416481</v>
      </c>
      <c r="AA3812" s="16" t="n">
        <v>16.35324378708146</v>
      </c>
      <c r="AB3812" s="16" t="n">
        <v>3299.517235103293</v>
      </c>
      <c r="AC3812" s="16" t="n">
        <v>5.475426697370756</v>
      </c>
      <c r="AD3812" s="16" t="n"/>
      <c r="AE3812" s="16" t="n"/>
    </row>
    <row r="3813">
      <c r="A3813" s="16" t="inlineStr">
        <is>
          <t>KF-M09-R0-x_b-0099</t>
        </is>
      </c>
      <c r="B3813" s="16" t="inlineStr">
        <is>
          <t>4.3</t>
        </is>
      </c>
      <c r="C3813" s="16" t="inlineStr">
        <is>
          <t>4.3 x_b</t>
        </is>
      </c>
      <c r="D3813" s="16" t="inlineStr">
        <is>
          <t>ronda 0</t>
        </is>
      </c>
      <c r="E3813" s="16" t="inlineStr">
        <is>
          <t>KF-M09</t>
        </is>
      </c>
      <c r="F3813" s="16" t="inlineStr">
        <is>
          <t>KF-M09-R0-x_b</t>
        </is>
      </c>
      <c r="G3813" s="16" t="inlineStr">
        <is>
          <t>B13-x_b</t>
        </is>
      </c>
      <c r="H3813" s="16" t="inlineStr">
        <is>
          <t>lhs</t>
        </is>
      </c>
      <c r="I3813" s="16" t="inlineStr">
        <is>
          <t>INVIABLE</t>
        </is>
      </c>
      <c r="J3813" s="16" t="inlineStr">
        <is>
          <t>INVIABLE</t>
        </is>
      </c>
      <c r="K3813" s="16" t="b">
        <v>1</v>
      </c>
      <c r="L3813" s="16" t="b">
        <v>0</v>
      </c>
      <c r="M3813" s="16" t="b">
        <v>0</v>
      </c>
      <c r="N3813" s="16" t="b">
        <v>0</v>
      </c>
      <c r="O3813" s="16" t="n">
        <v>414.8817490715333</v>
      </c>
      <c r="P3813" s="16" t="n">
        <v>293.4710049385635</v>
      </c>
      <c r="Q3813" s="16" t="n">
        <v>4691.049872414564</v>
      </c>
      <c r="R3813" s="16" t="n">
        <v>1206.051210110152</v>
      </c>
      <c r="S3813" s="16" t="n">
        <v>0.5</v>
      </c>
      <c r="T3813" s="16" t="n">
        <v>0.8684922795258767</v>
      </c>
      <c r="U3813" s="16" t="n">
        <v>0.563961340007423</v>
      </c>
      <c r="V3813" s="16" t="n">
        <v>0.7040293301455678</v>
      </c>
      <c r="W3813" s="16" t="n">
        <v>0.92734568967595</v>
      </c>
      <c r="X3813" s="16" t="n">
        <v>0.4166149552921057</v>
      </c>
      <c r="Y3813" s="16" t="n">
        <v>293.4710049385635</v>
      </c>
      <c r="Z3813" s="16" t="n">
        <v>-6.64376141821946</v>
      </c>
      <c r="AA3813" s="16" t="n">
        <v>-4.230296884379147</v>
      </c>
      <c r="AB3813" s="16" t="n">
        <v>3484.998662304411</v>
      </c>
      <c r="AC3813" s="16" t="n">
        <v>3.889594266885331</v>
      </c>
      <c r="AD3813" s="16" t="inlineStr">
        <is>
          <t>O3</t>
        </is>
      </c>
      <c r="AE3813" s="16" t="n"/>
    </row>
    <row r="3814">
      <c r="A3814" s="16" t="inlineStr">
        <is>
          <t>KF-M09-R1-x_b+T_fuente-0000</t>
        </is>
      </c>
      <c r="B3814" s="16" t="inlineStr">
        <is>
          <t>4.3</t>
        </is>
      </c>
      <c r="C3814" s="16" t="inlineStr">
        <is>
          <t>4.3 x_b+T_fuente</t>
        </is>
      </c>
      <c r="D3814" s="16" t="inlineStr">
        <is>
          <t>ronda 1</t>
        </is>
      </c>
      <c r="E3814" s="16" t="inlineStr">
        <is>
          <t>KF-M09</t>
        </is>
      </c>
      <c r="F3814" s="16" t="inlineStr">
        <is>
          <t>KF-M09-R1-x_b+T_fuente</t>
        </is>
      </c>
      <c r="G3814" s="16" t="inlineStr">
        <is>
          <t>B13-x_b+T_fuente</t>
        </is>
      </c>
      <c r="H3814" s="16" t="inlineStr">
        <is>
          <t>lhs</t>
        </is>
      </c>
      <c r="I3814" s="16" t="inlineStr">
        <is>
          <t>OMITIDO</t>
        </is>
      </c>
      <c r="J3814" s="16" t="n"/>
      <c r="K3814" s="16" t="b">
        <v>0</v>
      </c>
      <c r="L3814" s="16" t="b">
        <v>0</v>
      </c>
      <c r="M3814" s="16" t="n"/>
      <c r="N3814" s="16" t="b">
        <v>1</v>
      </c>
      <c r="O3814" s="16" t="n">
        <v>623.15</v>
      </c>
      <c r="P3814" s="16" t="n">
        <v>302.436929840486</v>
      </c>
      <c r="Q3814" s="16" t="n">
        <v>2053.47820469751</v>
      </c>
      <c r="R3814" s="16" t="n">
        <v>1826.851153232846</v>
      </c>
      <c r="S3814" s="16" t="n">
        <v>0.5</v>
      </c>
      <c r="T3814" s="16" t="n">
        <v>0.6294880983518596</v>
      </c>
      <c r="U3814" s="16" t="n">
        <v>0.4388516505026022</v>
      </c>
      <c r="V3814" s="16" t="n">
        <v>0.4423681335187706</v>
      </c>
      <c r="W3814" s="16" t="n">
        <v>0.5863711900583537</v>
      </c>
      <c r="X3814" s="16" t="n">
        <v>0.7965308091514849</v>
      </c>
      <c r="Y3814" s="16" t="n"/>
      <c r="Z3814" s="16" t="n"/>
      <c r="AA3814" s="16" t="n"/>
      <c r="AB3814" s="16" t="n">
        <v>226.6270514646633</v>
      </c>
      <c r="AC3814" s="16" t="n">
        <v>1.124053375155178</v>
      </c>
      <c r="AD3814" s="16" t="n"/>
      <c r="AE3814" s="16" t="n"/>
    </row>
    <row r="3815">
      <c r="A3815" s="16" t="inlineStr">
        <is>
          <t>KF-M09-R1-x_b+T_fuente-0001</t>
        </is>
      </c>
      <c r="B3815" s="16" t="inlineStr">
        <is>
          <t>4.3</t>
        </is>
      </c>
      <c r="C3815" s="16" t="inlineStr">
        <is>
          <t>4.3 x_b+T_fuente</t>
        </is>
      </c>
      <c r="D3815" s="16" t="inlineStr">
        <is>
          <t>ronda 1</t>
        </is>
      </c>
      <c r="E3815" s="16" t="inlineStr">
        <is>
          <t>KF-M09</t>
        </is>
      </c>
      <c r="F3815" s="16" t="inlineStr">
        <is>
          <t>KF-M09-R1-x_b+T_fuente</t>
        </is>
      </c>
      <c r="G3815" s="16" t="inlineStr">
        <is>
          <t>B13-x_b+T_fuente</t>
        </is>
      </c>
      <c r="H3815" s="16" t="inlineStr">
        <is>
          <t>lhs</t>
        </is>
      </c>
      <c r="I3815" s="16" t="inlineStr">
        <is>
          <t>NO_CONVERGIO</t>
        </is>
      </c>
      <c r="J3815" s="16" t="inlineStr">
        <is>
          <t>NO_CONVERGIO</t>
        </is>
      </c>
      <c r="K3815" s="16" t="b">
        <v>0</v>
      </c>
      <c r="L3815" s="16" t="b">
        <v>0</v>
      </c>
      <c r="M3815" s="16" t="b">
        <v>0</v>
      </c>
      <c r="N3815" s="16" t="b">
        <v>0</v>
      </c>
      <c r="O3815" s="16" t="n">
        <v>623.15</v>
      </c>
      <c r="P3815" s="16" t="n">
        <v>285.5057660030624</v>
      </c>
      <c r="Q3815" s="16" t="n">
        <v>3023.887851124528</v>
      </c>
      <c r="R3815" s="16" t="n">
        <v>1036.985138163303</v>
      </c>
      <c r="S3815" s="16" t="n">
        <v>0.5</v>
      </c>
      <c r="T3815" s="16" t="n">
        <v>0.4295941407731533</v>
      </c>
      <c r="U3815" s="16" t="n">
        <v>0.49541489636444</v>
      </c>
      <c r="V3815" s="16" t="n">
        <v>0.9354307286276036</v>
      </c>
      <c r="W3815" s="16" t="n">
        <v>0.5671842255023356</v>
      </c>
      <c r="X3815" s="16" t="n">
        <v>0.4057908594657322</v>
      </c>
      <c r="Y3815" s="16" t="n">
        <v>285.5057660030624</v>
      </c>
      <c r="Z3815" s="16" t="n"/>
      <c r="AA3815" s="16" t="n"/>
      <c r="AB3815" s="16" t="n">
        <v>1986.902712961224</v>
      </c>
      <c r="AC3815" s="16" t="n">
        <v>2.916037790551564</v>
      </c>
      <c r="AD3815" s="16" t="n"/>
      <c r="AE3815" s="16" t="n"/>
    </row>
    <row r="3816">
      <c r="A3816" s="16" t="inlineStr">
        <is>
          <t>KF-M09-R1-x_b+T_fuente-0002</t>
        </is>
      </c>
      <c r="B3816" s="16" t="inlineStr">
        <is>
          <t>4.3</t>
        </is>
      </c>
      <c r="C3816" s="16" t="inlineStr">
        <is>
          <t>4.3 x_b+T_fuente</t>
        </is>
      </c>
      <c r="D3816" s="16" t="inlineStr">
        <is>
          <t>ronda 1</t>
        </is>
      </c>
      <c r="E3816" s="16" t="inlineStr">
        <is>
          <t>KF-M09</t>
        </is>
      </c>
      <c r="F3816" s="16" t="inlineStr">
        <is>
          <t>KF-M09-R1-x_b+T_fuente</t>
        </is>
      </c>
      <c r="G3816" s="16" t="inlineStr">
        <is>
          <t>B13-x_b+T_fuente</t>
        </is>
      </c>
      <c r="H3816" s="16" t="inlineStr">
        <is>
          <t>lhs</t>
        </is>
      </c>
      <c r="I3816" s="16" t="inlineStr">
        <is>
          <t>CORREGIBLE</t>
        </is>
      </c>
      <c r="J3816" s="16" t="inlineStr">
        <is>
          <t>CORREGIBLE</t>
        </is>
      </c>
      <c r="K3816" s="16" t="b">
        <v>1</v>
      </c>
      <c r="L3816" s="16" t="b">
        <v>0</v>
      </c>
      <c r="M3816" s="16" t="b">
        <v>1</v>
      </c>
      <c r="N3816" s="16" t="b">
        <v>0</v>
      </c>
      <c r="O3816" s="16" t="n">
        <v>623.15</v>
      </c>
      <c r="P3816" s="16" t="n">
        <v>297.974452741372</v>
      </c>
      <c r="Q3816" s="16" t="n">
        <v>4119.452753325779</v>
      </c>
      <c r="R3816" s="16" t="n">
        <v>1718.142022797062</v>
      </c>
      <c r="S3816" s="16" t="n">
        <v>0.5</v>
      </c>
      <c r="T3816" s="16" t="n">
        <v>0.5741455793831365</v>
      </c>
      <c r="U3816" s="16" t="n">
        <v>0.7444242514124452</v>
      </c>
      <c r="V3816" s="16" t="n">
        <v>0.4813276710437302</v>
      </c>
      <c r="W3816" s="16" t="n">
        <v>0.4501696673525023</v>
      </c>
      <c r="X3816" s="16" t="n">
        <v>0.5187290285256401</v>
      </c>
      <c r="Y3816" s="16" t="n">
        <v>297.974452741372</v>
      </c>
      <c r="Z3816" s="16" t="n">
        <v>1.18206951261482</v>
      </c>
      <c r="AA3816" s="16" t="n">
        <v>10.43562212521994</v>
      </c>
      <c r="AB3816" s="16" t="n">
        <v>2401.310730528717</v>
      </c>
      <c r="AC3816" s="16" t="n">
        <v>2.397620626622871</v>
      </c>
      <c r="AD3816" s="16" t="inlineStr">
        <is>
          <t>O2</t>
        </is>
      </c>
      <c r="AE3816" s="16" t="n"/>
    </row>
    <row r="3817">
      <c r="A3817" s="16" t="inlineStr">
        <is>
          <t>KF-M09-R1-x_b+T_fuente-0003</t>
        </is>
      </c>
      <c r="B3817" s="16" t="inlineStr">
        <is>
          <t>4.3</t>
        </is>
      </c>
      <c r="C3817" s="16" t="inlineStr">
        <is>
          <t>4.3 x_b+T_fuente</t>
        </is>
      </c>
      <c r="D3817" s="16" t="inlineStr">
        <is>
          <t>ronda 1</t>
        </is>
      </c>
      <c r="E3817" s="16" t="inlineStr">
        <is>
          <t>KF-M09</t>
        </is>
      </c>
      <c r="F3817" s="16" t="inlineStr">
        <is>
          <t>KF-M09-R1-x_b+T_fuente</t>
        </is>
      </c>
      <c r="G3817" s="16" t="inlineStr">
        <is>
          <t>B13-x_b+T_fuente</t>
        </is>
      </c>
      <c r="H3817" s="16" t="inlineStr">
        <is>
          <t>lhs</t>
        </is>
      </c>
      <c r="I3817" s="16" t="inlineStr">
        <is>
          <t>KALINA</t>
        </is>
      </c>
      <c r="J3817" s="16" t="inlineStr">
        <is>
          <t>KALINA</t>
        </is>
      </c>
      <c r="K3817" s="16" t="b">
        <v>1</v>
      </c>
      <c r="L3817" s="16" t="b">
        <v>0</v>
      </c>
      <c r="M3817" s="16" t="b">
        <v>1</v>
      </c>
      <c r="N3817" s="16" t="b">
        <v>0</v>
      </c>
      <c r="O3817" s="16" t="n">
        <v>623.15</v>
      </c>
      <c r="P3817" s="16" t="n">
        <v>296.6709390361832</v>
      </c>
      <c r="Q3817" s="16" t="n">
        <v>4838.794640327525</v>
      </c>
      <c r="R3817" s="16" t="n">
        <v>1691.475718903385</v>
      </c>
      <c r="S3817" s="16" t="n">
        <v>0.5</v>
      </c>
      <c r="T3817" s="16" t="n">
        <v>0.8704763649122218</v>
      </c>
      <c r="U3817" s="16" t="n">
        <v>0.424633770286186</v>
      </c>
      <c r="V3817" s="16" t="n">
        <v>0.8093128461493624</v>
      </c>
      <c r="W3817" s="16" t="n">
        <v>0.507758903710451</v>
      </c>
      <c r="X3817" s="16" t="n">
        <v>0.888972865287216</v>
      </c>
      <c r="Y3817" s="16" t="n">
        <v>296.6709390361832</v>
      </c>
      <c r="Z3817" s="16" t="n">
        <v>7.55685556352297</v>
      </c>
      <c r="AA3817" s="16" t="n">
        <v>150.8122175724756</v>
      </c>
      <c r="AB3817" s="16" t="n">
        <v>3147.318921424141</v>
      </c>
      <c r="AC3817" s="16" t="n">
        <v>2.860694118307892</v>
      </c>
      <c r="AD3817" s="16" t="n"/>
      <c r="AE3817" s="16" t="n"/>
    </row>
    <row r="3818">
      <c r="A3818" s="16" t="inlineStr">
        <is>
          <t>KF-M09-R1-x_b+T_fuente-0004</t>
        </is>
      </c>
      <c r="B3818" s="16" t="inlineStr">
        <is>
          <t>4.3</t>
        </is>
      </c>
      <c r="C3818" s="16" t="inlineStr">
        <is>
          <t>4.3 x_b+T_fuente</t>
        </is>
      </c>
      <c r="D3818" s="16" t="inlineStr">
        <is>
          <t>ronda 1</t>
        </is>
      </c>
      <c r="E3818" s="16" t="inlineStr">
        <is>
          <t>KF-M09</t>
        </is>
      </c>
      <c r="F3818" s="16" t="inlineStr">
        <is>
          <t>KF-M09-R1-x_b+T_fuente</t>
        </is>
      </c>
      <c r="G3818" s="16" t="inlineStr">
        <is>
          <t>B13-x_b+T_fuente</t>
        </is>
      </c>
      <c r="H3818" s="16" t="inlineStr">
        <is>
          <t>lhs</t>
        </is>
      </c>
      <c r="I3818" s="16" t="inlineStr">
        <is>
          <t>NO_CONVERGIO</t>
        </is>
      </c>
      <c r="J3818" s="16" t="inlineStr">
        <is>
          <t>NO_CONVERGIO</t>
        </is>
      </c>
      <c r="K3818" s="16" t="b">
        <v>0</v>
      </c>
      <c r="L3818" s="16" t="b">
        <v>0</v>
      </c>
      <c r="M3818" s="16" t="b">
        <v>0</v>
      </c>
      <c r="N3818" s="16" t="b">
        <v>0</v>
      </c>
      <c r="O3818" s="16" t="n">
        <v>623.15</v>
      </c>
      <c r="P3818" s="16" t="n">
        <v>294.5278972844781</v>
      </c>
      <c r="Q3818" s="16" t="n">
        <v>2888.405024885868</v>
      </c>
      <c r="R3818" s="16" t="n">
        <v>1300.695137811615</v>
      </c>
      <c r="S3818" s="16" t="n">
        <v>0.5</v>
      </c>
      <c r="T3818" s="16" t="n">
        <v>0.461300204790467</v>
      </c>
      <c r="U3818" s="16" t="n">
        <v>0.8052188014647541</v>
      </c>
      <c r="V3818" s="16" t="n">
        <v>0.7602784105326141</v>
      </c>
      <c r="W3818" s="16" t="n">
        <v>0.8911205580620071</v>
      </c>
      <c r="X3818" s="16" t="n">
        <v>0.9315584781069663</v>
      </c>
      <c r="Y3818" s="16" t="n">
        <v>294.5278972844781</v>
      </c>
      <c r="Z3818" s="16" t="n"/>
      <c r="AA3818" s="16" t="n"/>
      <c r="AB3818" s="16" t="n">
        <v>1587.709887074253</v>
      </c>
      <c r="AC3818" s="16" t="n">
        <v>2.220662583351801</v>
      </c>
      <c r="AD3818" s="16" t="n"/>
      <c r="AE3818" s="16" t="n"/>
    </row>
    <row r="3819">
      <c r="A3819" s="16" t="inlineStr">
        <is>
          <t>KF-M09-R1-x_b+T_fuente-0005</t>
        </is>
      </c>
      <c r="B3819" s="16" t="inlineStr">
        <is>
          <t>4.3</t>
        </is>
      </c>
      <c r="C3819" s="16" t="inlineStr">
        <is>
          <t>4.3 x_b+T_fuente</t>
        </is>
      </c>
      <c r="D3819" s="16" t="inlineStr">
        <is>
          <t>ronda 1</t>
        </is>
      </c>
      <c r="E3819" s="16" t="inlineStr">
        <is>
          <t>KF-M09</t>
        </is>
      </c>
      <c r="F3819" s="16" t="inlineStr">
        <is>
          <t>KF-M09-R1-x_b+T_fuente</t>
        </is>
      </c>
      <c r="G3819" s="16" t="inlineStr">
        <is>
          <t>B13-x_b+T_fuente</t>
        </is>
      </c>
      <c r="H3819" s="16" t="inlineStr">
        <is>
          <t>lhs</t>
        </is>
      </c>
      <c r="I3819" s="16" t="inlineStr">
        <is>
          <t>CORREGIBLE</t>
        </is>
      </c>
      <c r="J3819" s="16" t="inlineStr">
        <is>
          <t>CORREGIBLE</t>
        </is>
      </c>
      <c r="K3819" s="16" t="b">
        <v>1</v>
      </c>
      <c r="L3819" s="16" t="b">
        <v>0</v>
      </c>
      <c r="M3819" s="16" t="b">
        <v>1</v>
      </c>
      <c r="N3819" s="16" t="b">
        <v>0</v>
      </c>
      <c r="O3819" s="16" t="n">
        <v>623.15</v>
      </c>
      <c r="P3819" s="16" t="n">
        <v>280.3861554087105</v>
      </c>
      <c r="Q3819" s="16" t="n">
        <v>4311.857718826075</v>
      </c>
      <c r="R3819" s="16" t="n">
        <v>906.7316616667918</v>
      </c>
      <c r="S3819" s="16" t="n">
        <v>0.5</v>
      </c>
      <c r="T3819" s="16" t="n">
        <v>0.9019708704117592</v>
      </c>
      <c r="U3819" s="16" t="n">
        <v>0.7678560269506813</v>
      </c>
      <c r="V3819" s="16" t="n">
        <v>0.5765388072713096</v>
      </c>
      <c r="W3819" s="16" t="n">
        <v>0.7007465035579935</v>
      </c>
      <c r="X3819" s="16" t="n">
        <v>0.6474577215001146</v>
      </c>
      <c r="Y3819" s="16" t="n">
        <v>280.3861554087105</v>
      </c>
      <c r="Z3819" s="16" t="n">
        <v>11.33533766930693</v>
      </c>
      <c r="AA3819" s="16" t="n">
        <v>137.9306972909269</v>
      </c>
      <c r="AB3819" s="16" t="n">
        <v>3405.126057159283</v>
      </c>
      <c r="AC3819" s="16" t="n">
        <v>4.755384532288019</v>
      </c>
      <c r="AD3819" s="16" t="inlineStr">
        <is>
          <t>O2</t>
        </is>
      </c>
      <c r="AE3819" s="16" t="n"/>
    </row>
    <row r="3820">
      <c r="A3820" s="16" t="inlineStr">
        <is>
          <t>KF-M09-R1-x_b+T_fuente-0006</t>
        </is>
      </c>
      <c r="B3820" s="16" t="inlineStr">
        <is>
          <t>4.3</t>
        </is>
      </c>
      <c r="C3820" s="16" t="inlineStr">
        <is>
          <t>4.3 x_b+T_fuente</t>
        </is>
      </c>
      <c r="D3820" s="16" t="inlineStr">
        <is>
          <t>ronda 1</t>
        </is>
      </c>
      <c r="E3820" s="16" t="inlineStr">
        <is>
          <t>KF-M09</t>
        </is>
      </c>
      <c r="F3820" s="16" t="inlineStr">
        <is>
          <t>KF-M09-R1-x_b+T_fuente</t>
        </is>
      </c>
      <c r="G3820" s="16" t="inlineStr">
        <is>
          <t>B13-x_b+T_fuente</t>
        </is>
      </c>
      <c r="H3820" s="16" t="inlineStr">
        <is>
          <t>lhs</t>
        </is>
      </c>
      <c r="I3820" s="16" t="inlineStr">
        <is>
          <t>CORREGIBLE</t>
        </is>
      </c>
      <c r="J3820" s="16" t="inlineStr">
        <is>
          <t>CORREGIBLE</t>
        </is>
      </c>
      <c r="K3820" s="16" t="b">
        <v>1</v>
      </c>
      <c r="L3820" s="16" t="b">
        <v>0</v>
      </c>
      <c r="M3820" s="16" t="b">
        <v>1</v>
      </c>
      <c r="N3820" s="16" t="b">
        <v>0</v>
      </c>
      <c r="O3820" s="16" t="n">
        <v>623.15</v>
      </c>
      <c r="P3820" s="16" t="n">
        <v>286.7770260183395</v>
      </c>
      <c r="Q3820" s="16" t="n">
        <v>3344.0920292827</v>
      </c>
      <c r="R3820" s="16" t="n">
        <v>1841.485156656454</v>
      </c>
      <c r="S3820" s="16" t="n">
        <v>0.5</v>
      </c>
      <c r="T3820" s="16" t="n">
        <v>0.6733789253019512</v>
      </c>
      <c r="U3820" s="16" t="n">
        <v>0.5370006120605519</v>
      </c>
      <c r="V3820" s="16" t="n">
        <v>0.4963378427097793</v>
      </c>
      <c r="W3820" s="16" t="n">
        <v>0.7823187397687812</v>
      </c>
      <c r="X3820" s="16" t="n">
        <v>0.5891543270110733</v>
      </c>
      <c r="Y3820" s="16" t="n">
        <v>286.7770260183395</v>
      </c>
      <c r="Z3820" s="16" t="n">
        <v>1.87390765622443</v>
      </c>
      <c r="AA3820" s="16" t="n">
        <v>18.68370807824031</v>
      </c>
      <c r="AB3820" s="16" t="n">
        <v>1502.606872626246</v>
      </c>
      <c r="AC3820" s="16" t="n">
        <v>1.81597555494528</v>
      </c>
      <c r="AD3820" s="16" t="inlineStr">
        <is>
          <t>O2</t>
        </is>
      </c>
      <c r="AE3820" s="16" t="n"/>
    </row>
    <row r="3821">
      <c r="A3821" s="16" t="inlineStr">
        <is>
          <t>KF-M09-R1-x_b+T_fuente-0007</t>
        </is>
      </c>
      <c r="B3821" s="16" t="inlineStr">
        <is>
          <t>4.3</t>
        </is>
      </c>
      <c r="C3821" s="16" t="inlineStr">
        <is>
          <t>4.3 x_b+T_fuente</t>
        </is>
      </c>
      <c r="D3821" s="16" t="inlineStr">
        <is>
          <t>ronda 1</t>
        </is>
      </c>
      <c r="E3821" s="16" t="inlineStr">
        <is>
          <t>KF-M09</t>
        </is>
      </c>
      <c r="F3821" s="16" t="inlineStr">
        <is>
          <t>KF-M09-R1-x_b+T_fuente</t>
        </is>
      </c>
      <c r="G3821" s="16" t="inlineStr">
        <is>
          <t>B13-x_b+T_fuente</t>
        </is>
      </c>
      <c r="H3821" s="16" t="inlineStr">
        <is>
          <t>lhs</t>
        </is>
      </c>
      <c r="I3821" s="16" t="inlineStr">
        <is>
          <t>CORREGIBLE</t>
        </is>
      </c>
      <c r="J3821" s="16" t="inlineStr">
        <is>
          <t>CORREGIBLE</t>
        </is>
      </c>
      <c r="K3821" s="16" t="b">
        <v>1</v>
      </c>
      <c r="L3821" s="16" t="b">
        <v>0</v>
      </c>
      <c r="M3821" s="16" t="b">
        <v>1</v>
      </c>
      <c r="N3821" s="16" t="b">
        <v>0</v>
      </c>
      <c r="O3821" s="16" t="n">
        <v>623.15</v>
      </c>
      <c r="P3821" s="16" t="n">
        <v>302.9488082505972</v>
      </c>
      <c r="Q3821" s="16" t="n">
        <v>3832.934765698853</v>
      </c>
      <c r="R3821" s="16" t="n">
        <v>1551.399651487072</v>
      </c>
      <c r="S3821" s="16" t="n">
        <v>0.5</v>
      </c>
      <c r="T3821" s="16" t="n">
        <v>0.6052310147028629</v>
      </c>
      <c r="U3821" s="16" t="n">
        <v>0.523314887525936</v>
      </c>
      <c r="V3821" s="16" t="n">
        <v>0.6589374734511377</v>
      </c>
      <c r="W3821" s="16" t="n">
        <v>0.8639415238773918</v>
      </c>
      <c r="X3821" s="16" t="n">
        <v>0.7170691297321143</v>
      </c>
      <c r="Y3821" s="16" t="n">
        <v>302.9488082505972</v>
      </c>
      <c r="Z3821" s="16" t="n">
        <v>3.38939996406431</v>
      </c>
      <c r="AA3821" s="16" t="n">
        <v>46.80407932147762</v>
      </c>
      <c r="AB3821" s="16" t="n">
        <v>2281.535114211781</v>
      </c>
      <c r="AC3821" s="16" t="n">
        <v>2.470630157757769</v>
      </c>
      <c r="AD3821" s="16" t="inlineStr">
        <is>
          <t>O2</t>
        </is>
      </c>
      <c r="AE3821" s="16" t="n"/>
    </row>
    <row r="3822">
      <c r="A3822" s="16" t="inlineStr">
        <is>
          <t>KF-M09-R1-x_b+T_fuente-0008</t>
        </is>
      </c>
      <c r="B3822" s="16" t="inlineStr">
        <is>
          <t>4.3</t>
        </is>
      </c>
      <c r="C3822" s="16" t="inlineStr">
        <is>
          <t>4.3 x_b+T_fuente</t>
        </is>
      </c>
      <c r="D3822" s="16" t="inlineStr">
        <is>
          <t>ronda 1</t>
        </is>
      </c>
      <c r="E3822" s="16" t="inlineStr">
        <is>
          <t>KF-M09</t>
        </is>
      </c>
      <c r="F3822" s="16" t="inlineStr">
        <is>
          <t>KF-M09-R1-x_b+T_fuente</t>
        </is>
      </c>
      <c r="G3822" s="16" t="inlineStr">
        <is>
          <t>B13-x_b+T_fuente</t>
        </is>
      </c>
      <c r="H3822" s="16" t="inlineStr">
        <is>
          <t>lhs</t>
        </is>
      </c>
      <c r="I3822" s="16" t="inlineStr">
        <is>
          <t>CORREGIBLE</t>
        </is>
      </c>
      <c r="J3822" s="16" t="inlineStr">
        <is>
          <t>CORREGIBLE</t>
        </is>
      </c>
      <c r="K3822" s="16" t="b">
        <v>1</v>
      </c>
      <c r="L3822" s="16" t="b">
        <v>0</v>
      </c>
      <c r="M3822" s="16" t="b">
        <v>1</v>
      </c>
      <c r="N3822" s="16" t="b">
        <v>0</v>
      </c>
      <c r="O3822" s="16" t="n">
        <v>623.15</v>
      </c>
      <c r="P3822" s="16" t="n">
        <v>287.685366446755</v>
      </c>
      <c r="Q3822" s="16" t="n">
        <v>3135.184334755372</v>
      </c>
      <c r="R3822" s="16" t="n">
        <v>1956.568799652261</v>
      </c>
      <c r="S3822" s="16" t="n">
        <v>0.5</v>
      </c>
      <c r="T3822" s="16" t="n">
        <v>0.7795848901809903</v>
      </c>
      <c r="U3822" s="16" t="n">
        <v>0.6272931230930876</v>
      </c>
      <c r="V3822" s="16" t="n">
        <v>0.5142552253476359</v>
      </c>
      <c r="W3822" s="16" t="n">
        <v>0.6792500742111656</v>
      </c>
      <c r="X3822" s="16" t="n">
        <v>0.6022458378678257</v>
      </c>
      <c r="Y3822" s="16" t="n">
        <v>287.685366446755</v>
      </c>
      <c r="Z3822" s="16" t="n">
        <v>2.53629480407048</v>
      </c>
      <c r="AA3822" s="16" t="n">
        <v>26.57611232385881</v>
      </c>
      <c r="AB3822" s="16" t="n">
        <v>1178.615535103111</v>
      </c>
      <c r="AC3822" s="16" t="n">
        <v>1.602389006362866</v>
      </c>
      <c r="AD3822" s="16" t="inlineStr">
        <is>
          <t>O2</t>
        </is>
      </c>
      <c r="AE3822" s="16" t="n"/>
    </row>
    <row r="3823">
      <c r="A3823" s="16" t="inlineStr">
        <is>
          <t>KF-M09-R1-x_b+T_fuente-0009</t>
        </is>
      </c>
      <c r="B3823" s="16" t="inlineStr">
        <is>
          <t>4.3</t>
        </is>
      </c>
      <c r="C3823" s="16" t="inlineStr">
        <is>
          <t>4.3 x_b+T_fuente</t>
        </is>
      </c>
      <c r="D3823" s="16" t="inlineStr">
        <is>
          <t>ronda 1</t>
        </is>
      </c>
      <c r="E3823" s="16" t="inlineStr">
        <is>
          <t>KF-M09</t>
        </is>
      </c>
      <c r="F3823" s="16" t="inlineStr">
        <is>
          <t>KF-M09-R1-x_b+T_fuente</t>
        </is>
      </c>
      <c r="G3823" s="16" t="inlineStr">
        <is>
          <t>B13-x_b+T_fuente</t>
        </is>
      </c>
      <c r="H3823" s="16" t="inlineStr">
        <is>
          <t>lhs</t>
        </is>
      </c>
      <c r="I3823" s="16" t="inlineStr">
        <is>
          <t>NO_CONVERGIO</t>
        </is>
      </c>
      <c r="J3823" s="16" t="inlineStr">
        <is>
          <t>NO_CONVERGIO</t>
        </is>
      </c>
      <c r="K3823" s="16" t="b">
        <v>0</v>
      </c>
      <c r="L3823" s="16" t="b">
        <v>0</v>
      </c>
      <c r="M3823" s="16" t="b">
        <v>0</v>
      </c>
      <c r="N3823" s="16" t="b">
        <v>0</v>
      </c>
      <c r="O3823" s="16" t="n">
        <v>623.15</v>
      </c>
      <c r="P3823" s="16" t="n">
        <v>299.1485138580217</v>
      </c>
      <c r="Q3823" s="16" t="n">
        <v>3559.170133159436</v>
      </c>
      <c r="R3823" s="16" t="n">
        <v>758.0330353592775</v>
      </c>
      <c r="S3823" s="16" t="n">
        <v>0.5</v>
      </c>
      <c r="T3823" s="16" t="n">
        <v>0.8515600239865611</v>
      </c>
      <c r="U3823" s="16" t="n">
        <v>0.7587298772331342</v>
      </c>
      <c r="V3823" s="16" t="n">
        <v>0.848280965679284</v>
      </c>
      <c r="W3823" s="16" t="n">
        <v>0.6714841373665933</v>
      </c>
      <c r="X3823" s="16" t="n">
        <v>0.8578214692831266</v>
      </c>
      <c r="Y3823" s="16" t="n">
        <v>299.1485138580217</v>
      </c>
      <c r="Z3823" s="16" t="n"/>
      <c r="AA3823" s="16" t="n"/>
      <c r="AB3823" s="16" t="n">
        <v>2801.137097800159</v>
      </c>
      <c r="AC3823" s="16" t="n">
        <v>4.695270479171836</v>
      </c>
      <c r="AD3823" s="16" t="n"/>
      <c r="AE3823" s="16" t="n"/>
    </row>
    <row r="3824">
      <c r="A3824" s="16" t="inlineStr">
        <is>
          <t>KF-M09-R1-x_b+T_fuente-0010</t>
        </is>
      </c>
      <c r="B3824" s="16" t="inlineStr">
        <is>
          <t>4.3</t>
        </is>
      </c>
      <c r="C3824" s="16" t="inlineStr">
        <is>
          <t>4.3 x_b+T_fuente</t>
        </is>
      </c>
      <c r="D3824" s="16" t="inlineStr">
        <is>
          <t>ronda 1</t>
        </is>
      </c>
      <c r="E3824" s="16" t="inlineStr">
        <is>
          <t>KF-M09</t>
        </is>
      </c>
      <c r="F3824" s="16" t="inlineStr">
        <is>
          <t>KF-M09-R1-x_b+T_fuente</t>
        </is>
      </c>
      <c r="G3824" s="16" t="inlineStr">
        <is>
          <t>B13-x_b+T_fuente</t>
        </is>
      </c>
      <c r="H3824" s="16" t="inlineStr">
        <is>
          <t>lhs</t>
        </is>
      </c>
      <c r="I3824" s="16" t="inlineStr">
        <is>
          <t>INVIABLE</t>
        </is>
      </c>
      <c r="J3824" s="16" t="inlineStr">
        <is>
          <t>INVIABLE</t>
        </is>
      </c>
      <c r="K3824" s="16" t="b">
        <v>1</v>
      </c>
      <c r="L3824" s="16" t="b">
        <v>0</v>
      </c>
      <c r="M3824" s="16" t="b">
        <v>1</v>
      </c>
      <c r="N3824" s="16" t="b">
        <v>0</v>
      </c>
      <c r="O3824" s="16" t="n">
        <v>623.15</v>
      </c>
      <c r="P3824" s="16" t="n">
        <v>293.3741361372219</v>
      </c>
      <c r="Q3824" s="16" t="n">
        <v>4944.128262707858</v>
      </c>
      <c r="R3824" s="16" t="n">
        <v>1153.962499217281</v>
      </c>
      <c r="S3824" s="16" t="n">
        <v>0.5</v>
      </c>
      <c r="T3824" s="16" t="n">
        <v>0.4976308284605646</v>
      </c>
      <c r="U3824" s="16" t="n">
        <v>0.4634730963446185</v>
      </c>
      <c r="V3824" s="16" t="n">
        <v>0.6848979591428029</v>
      </c>
      <c r="W3824" s="16" t="n">
        <v>0.6284968781539769</v>
      </c>
      <c r="X3824" s="16" t="n">
        <v>0.5036207368146652</v>
      </c>
      <c r="Y3824" s="16" t="n">
        <v>293.3741361372219</v>
      </c>
      <c r="Z3824" s="16" t="n">
        <v>-10.43833254004064</v>
      </c>
      <c r="AA3824" s="16" t="n">
        <v>-102.5774614561138</v>
      </c>
      <c r="AB3824" s="16" t="n">
        <v>3790.165763490577</v>
      </c>
      <c r="AC3824" s="16" t="n">
        <v>4.284479145606031</v>
      </c>
      <c r="AD3824" s="16" t="inlineStr">
        <is>
          <t>O2,O3</t>
        </is>
      </c>
      <c r="AE3824" s="16" t="n"/>
    </row>
    <row r="3825">
      <c r="A3825" s="16" t="inlineStr">
        <is>
          <t>KF-M09-R1-x_b+T_fuente-0011</t>
        </is>
      </c>
      <c r="B3825" s="16" t="inlineStr">
        <is>
          <t>4.3</t>
        </is>
      </c>
      <c r="C3825" s="16" t="inlineStr">
        <is>
          <t>4.3 x_b+T_fuente</t>
        </is>
      </c>
      <c r="D3825" s="16" t="inlineStr">
        <is>
          <t>ronda 1</t>
        </is>
      </c>
      <c r="E3825" s="16" t="inlineStr">
        <is>
          <t>KF-M09</t>
        </is>
      </c>
      <c r="F3825" s="16" t="inlineStr">
        <is>
          <t>KF-M09-R1-x_b+T_fuente</t>
        </is>
      </c>
      <c r="G3825" s="16" t="inlineStr">
        <is>
          <t>B13-x_b+T_fuente</t>
        </is>
      </c>
      <c r="H3825" s="16" t="inlineStr">
        <is>
          <t>lhs</t>
        </is>
      </c>
      <c r="I3825" s="16" t="inlineStr">
        <is>
          <t>KALINA</t>
        </is>
      </c>
      <c r="J3825" s="16" t="inlineStr">
        <is>
          <t>KALINA</t>
        </is>
      </c>
      <c r="K3825" s="16" t="b">
        <v>1</v>
      </c>
      <c r="L3825" s="16" t="b">
        <v>0</v>
      </c>
      <c r="M3825" s="16" t="b">
        <v>1</v>
      </c>
      <c r="N3825" s="16" t="b">
        <v>0</v>
      </c>
      <c r="O3825" s="16" t="n">
        <v>623.15</v>
      </c>
      <c r="P3825" s="16" t="n">
        <v>288.4927327714446</v>
      </c>
      <c r="Q3825" s="16" t="n">
        <v>4706.924654499888</v>
      </c>
      <c r="R3825" s="16" t="n">
        <v>1896.667696598768</v>
      </c>
      <c r="S3825" s="16" t="n">
        <v>0.5</v>
      </c>
      <c r="T3825" s="16" t="n">
        <v>0.5275085802578207</v>
      </c>
      <c r="U3825" s="16" t="n">
        <v>0.604979099299745</v>
      </c>
      <c r="V3825" s="16" t="n">
        <v>0.5843729830637018</v>
      </c>
      <c r="W3825" s="16" t="n">
        <v>0.8557273155143736</v>
      </c>
      <c r="X3825" s="16" t="n">
        <v>0.8986055799038118</v>
      </c>
      <c r="Y3825" s="16" t="n">
        <v>288.4927327714446</v>
      </c>
      <c r="Z3825" s="16" t="n">
        <v>3.72351448060723</v>
      </c>
      <c r="AA3825" s="16" t="n">
        <v>52.05136206805817</v>
      </c>
      <c r="AB3825" s="16" t="n">
        <v>2810.25695790112</v>
      </c>
      <c r="AC3825" s="16" t="n">
        <v>2.481681247031655</v>
      </c>
      <c r="AD3825" s="16" t="n"/>
      <c r="AE3825" s="16" t="n"/>
    </row>
    <row r="3826">
      <c r="A3826" s="16" t="inlineStr">
        <is>
          <t>KF-M09-R1-x_b+T_fuente-0012</t>
        </is>
      </c>
      <c r="B3826" s="16" t="inlineStr">
        <is>
          <t>4.3</t>
        </is>
      </c>
      <c r="C3826" s="16" t="inlineStr">
        <is>
          <t>4.3 x_b+T_fuente</t>
        </is>
      </c>
      <c r="D3826" s="16" t="inlineStr">
        <is>
          <t>ronda 1</t>
        </is>
      </c>
      <c r="E3826" s="16" t="inlineStr">
        <is>
          <t>KF-M09</t>
        </is>
      </c>
      <c r="F3826" s="16" t="inlineStr">
        <is>
          <t>KF-M09-R1-x_b+T_fuente</t>
        </is>
      </c>
      <c r="G3826" s="16" t="inlineStr">
        <is>
          <t>B13-x_b+T_fuente</t>
        </is>
      </c>
      <c r="H3826" s="16" t="inlineStr">
        <is>
          <t>lhs</t>
        </is>
      </c>
      <c r="I3826" s="16" t="inlineStr">
        <is>
          <t>NO_CONVERGIO</t>
        </is>
      </c>
      <c r="J3826" s="16" t="inlineStr">
        <is>
          <t>NO_CONVERGIO</t>
        </is>
      </c>
      <c r="K3826" s="16" t="b">
        <v>0</v>
      </c>
      <c r="L3826" s="16" t="b">
        <v>0</v>
      </c>
      <c r="M3826" s="16" t="b">
        <v>0</v>
      </c>
      <c r="N3826" s="16" t="b">
        <v>0</v>
      </c>
      <c r="O3826" s="16" t="n">
        <v>623.15</v>
      </c>
      <c r="P3826" s="16" t="n">
        <v>293.8797794144889</v>
      </c>
      <c r="Q3826" s="16" t="n">
        <v>2286.289449280541</v>
      </c>
      <c r="R3826" s="16" t="n">
        <v>1221.792603099825</v>
      </c>
      <c r="S3826" s="16" t="n">
        <v>0.5</v>
      </c>
      <c r="T3826" s="16" t="n">
        <v>0.7601174047044901</v>
      </c>
      <c r="U3826" s="16" t="n">
        <v>0.7244334641072672</v>
      </c>
      <c r="V3826" s="16" t="n">
        <v>0.9099960508535064</v>
      </c>
      <c r="W3826" s="16" t="n">
        <v>0.7530770139170551</v>
      </c>
      <c r="X3826" s="16" t="n">
        <v>0.6783405730562977</v>
      </c>
      <c r="Y3826" s="16" t="n">
        <v>293.8797794144889</v>
      </c>
      <c r="Z3826" s="16" t="n"/>
      <c r="AA3826" s="16" t="n"/>
      <c r="AB3826" s="16" t="n">
        <v>1064.496846180716</v>
      </c>
      <c r="AC3826" s="16" t="n">
        <v>1.871258218031413</v>
      </c>
      <c r="AD3826" s="16" t="n"/>
      <c r="AE3826" s="16" t="n"/>
    </row>
    <row r="3827">
      <c r="A3827" s="16" t="inlineStr">
        <is>
          <t>KF-M09-R1-x_b+T_fuente-0013</t>
        </is>
      </c>
      <c r="B3827" s="16" t="inlineStr">
        <is>
          <t>4.3</t>
        </is>
      </c>
      <c r="C3827" s="16" t="inlineStr">
        <is>
          <t>4.3 x_b+T_fuente</t>
        </is>
      </c>
      <c r="D3827" s="16" t="inlineStr">
        <is>
          <t>ronda 1</t>
        </is>
      </c>
      <c r="E3827" s="16" t="inlineStr">
        <is>
          <t>KF-M09</t>
        </is>
      </c>
      <c r="F3827" s="16" t="inlineStr">
        <is>
          <t>KF-M09-R1-x_b+T_fuente</t>
        </is>
      </c>
      <c r="G3827" s="16" t="inlineStr">
        <is>
          <t>B13-x_b+T_fuente</t>
        </is>
      </c>
      <c r="H3827" s="16" t="inlineStr">
        <is>
          <t>lhs</t>
        </is>
      </c>
      <c r="I3827" s="16" t="inlineStr">
        <is>
          <t>INVIABLE</t>
        </is>
      </c>
      <c r="J3827" s="16" t="inlineStr">
        <is>
          <t>INVIABLE</t>
        </is>
      </c>
      <c r="K3827" s="16" t="b">
        <v>1</v>
      </c>
      <c r="L3827" s="16" t="b">
        <v>0</v>
      </c>
      <c r="M3827" s="16" t="b">
        <v>1</v>
      </c>
      <c r="N3827" s="16" t="b">
        <v>0</v>
      </c>
      <c r="O3827" s="16" t="n">
        <v>623.15</v>
      </c>
      <c r="P3827" s="16" t="n">
        <v>295.7526043674087</v>
      </c>
      <c r="Q3827" s="16" t="n">
        <v>3207.996507432497</v>
      </c>
      <c r="R3827" s="16" t="n">
        <v>663.3101218977549</v>
      </c>
      <c r="S3827" s="16" t="n">
        <v>0.5</v>
      </c>
      <c r="T3827" s="16" t="n">
        <v>0.6918790736131186</v>
      </c>
      <c r="U3827" s="16" t="n">
        <v>0.5780037070694631</v>
      </c>
      <c r="V3827" s="16" t="n">
        <v>0.6389368495532992</v>
      </c>
      <c r="W3827" s="16" t="n">
        <v>0.4234742202433182</v>
      </c>
      <c r="X3827" s="16" t="n">
        <v>0.4324570801207614</v>
      </c>
      <c r="Y3827" s="16" t="n">
        <v>295.7526043674087</v>
      </c>
      <c r="Z3827" s="16" t="n">
        <v>-6.986918875379599</v>
      </c>
      <c r="AA3827" s="16" t="n">
        <v>-58.93548417530587</v>
      </c>
      <c r="AB3827" s="16" t="n">
        <v>2544.686385534742</v>
      </c>
      <c r="AC3827" s="16" t="n">
        <v>4.836344873276318</v>
      </c>
      <c r="AD3827" s="16" t="inlineStr">
        <is>
          <t>O2,O3</t>
        </is>
      </c>
      <c r="AE3827" s="16" t="n"/>
    </row>
    <row r="3828">
      <c r="A3828" s="16" t="inlineStr">
        <is>
          <t>KF-M09-R1-x_b+T_fuente-0014</t>
        </is>
      </c>
      <c r="B3828" s="16" t="inlineStr">
        <is>
          <t>4.3</t>
        </is>
      </c>
      <c r="C3828" s="16" t="inlineStr">
        <is>
          <t>4.3 x_b+T_fuente</t>
        </is>
      </c>
      <c r="D3828" s="16" t="inlineStr">
        <is>
          <t>ronda 1</t>
        </is>
      </c>
      <c r="E3828" s="16" t="inlineStr">
        <is>
          <t>KF-M09</t>
        </is>
      </c>
      <c r="F3828" s="16" t="inlineStr">
        <is>
          <t>KF-M09-R1-x_b+T_fuente</t>
        </is>
      </c>
      <c r="G3828" s="16" t="inlineStr">
        <is>
          <t>B13-x_b+T_fuente</t>
        </is>
      </c>
      <c r="H3828" s="16" t="inlineStr">
        <is>
          <t>lhs</t>
        </is>
      </c>
      <c r="I3828" s="16" t="inlineStr">
        <is>
          <t>CORREGIBLE</t>
        </is>
      </c>
      <c r="J3828" s="16" t="inlineStr">
        <is>
          <t>CORREGIBLE</t>
        </is>
      </c>
      <c r="K3828" s="16" t="b">
        <v>1</v>
      </c>
      <c r="L3828" s="16" t="b">
        <v>0</v>
      </c>
      <c r="M3828" s="16" t="b">
        <v>1</v>
      </c>
      <c r="N3828" s="16" t="b">
        <v>0</v>
      </c>
      <c r="O3828" s="16" t="n">
        <v>623.15</v>
      </c>
      <c r="P3828" s="16" t="n">
        <v>290.1285108112532</v>
      </c>
      <c r="Q3828" s="16" t="n">
        <v>2521.249255085835</v>
      </c>
      <c r="R3828" s="16" t="n">
        <v>410.8136199500203</v>
      </c>
      <c r="S3828" s="16" t="n">
        <v>0.5</v>
      </c>
      <c r="T3828" s="16" t="n">
        <v>0.7273109686774707</v>
      </c>
      <c r="U3828" s="16" t="n">
        <v>0.8990934591415831</v>
      </c>
      <c r="V3828" s="16" t="n">
        <v>0.6262091136268872</v>
      </c>
      <c r="W3828" s="16" t="n">
        <v>0.8394202067189622</v>
      </c>
      <c r="X3828" s="16" t="n">
        <v>0.4904270346710833</v>
      </c>
      <c r="Y3828" s="16" t="n">
        <v>290.1285108112532</v>
      </c>
      <c r="Z3828" s="16" t="n">
        <v>6.00476478124968</v>
      </c>
      <c r="AA3828" s="16" t="n">
        <v>61.30681600220464</v>
      </c>
      <c r="AB3828" s="16" t="n">
        <v>2110.435635135815</v>
      </c>
      <c r="AC3828" s="16" t="n">
        <v>6.137209509734782</v>
      </c>
      <c r="AD3828" s="16" t="inlineStr">
        <is>
          <t>O2</t>
        </is>
      </c>
      <c r="AE3828" s="16" t="n"/>
    </row>
    <row r="3829">
      <c r="A3829" s="16" t="inlineStr">
        <is>
          <t>KF-M09-R1-x_b+T_fuente-0015</t>
        </is>
      </c>
      <c r="B3829" s="16" t="inlineStr">
        <is>
          <t>4.3</t>
        </is>
      </c>
      <c r="C3829" s="16" t="inlineStr">
        <is>
          <t>4.3 x_b+T_fuente</t>
        </is>
      </c>
      <c r="D3829" s="16" t="inlineStr">
        <is>
          <t>ronda 1</t>
        </is>
      </c>
      <c r="E3829" s="16" t="inlineStr">
        <is>
          <t>KF-M09</t>
        </is>
      </c>
      <c r="F3829" s="16" t="inlineStr">
        <is>
          <t>KF-M09-R1-x_b+T_fuente</t>
        </is>
      </c>
      <c r="G3829" s="16" t="inlineStr">
        <is>
          <t>B13-x_b+T_fuente</t>
        </is>
      </c>
      <c r="H3829" s="16" t="inlineStr">
        <is>
          <t>lhs</t>
        </is>
      </c>
      <c r="I3829" s="16" t="inlineStr">
        <is>
          <t>NO_CONVERGIO</t>
        </is>
      </c>
      <c r="J3829" s="16" t="inlineStr">
        <is>
          <t>NO_CONVERGIO</t>
        </is>
      </c>
      <c r="K3829" s="16" t="b">
        <v>0</v>
      </c>
      <c r="L3829" s="16" t="b">
        <v>0</v>
      </c>
      <c r="M3829" s="16" t="b">
        <v>0</v>
      </c>
      <c r="N3829" s="16" t="b">
        <v>0</v>
      </c>
      <c r="O3829" s="16" t="n">
        <v>623.15</v>
      </c>
      <c r="P3829" s="16" t="n">
        <v>301.3622078237123</v>
      </c>
      <c r="Q3829" s="16" t="n">
        <v>2789.943982846316</v>
      </c>
      <c r="R3829" s="16" t="n">
        <v>472.2614690601638</v>
      </c>
      <c r="S3829" s="16" t="n">
        <v>0.5</v>
      </c>
      <c r="T3829" s="16" t="n">
        <v>0.8767749760130179</v>
      </c>
      <c r="U3829" s="16" t="n">
        <v>0.5903398675437189</v>
      </c>
      <c r="V3829" s="16" t="n">
        <v>0.8837047821766773</v>
      </c>
      <c r="W3829" s="16" t="n">
        <v>0.4007836466241444</v>
      </c>
      <c r="X3829" s="16" t="n">
        <v>0.8667595437483696</v>
      </c>
      <c r="Y3829" s="16" t="n">
        <v>301.3622078237123</v>
      </c>
      <c r="Z3829" s="16" t="n"/>
      <c r="AA3829" s="16" t="n"/>
      <c r="AB3829" s="16" t="n">
        <v>2317.682513786152</v>
      </c>
      <c r="AC3829" s="16" t="n">
        <v>5.907625681168773</v>
      </c>
      <c r="AD3829" s="16" t="n"/>
      <c r="AE3829" s="16" t="n"/>
    </row>
    <row r="3830">
      <c r="A3830" s="16" t="inlineStr">
        <is>
          <t>KF-M09-R1-x_b+T_fuente-0016</t>
        </is>
      </c>
      <c r="B3830" s="16" t="inlineStr">
        <is>
          <t>4.3</t>
        </is>
      </c>
      <c r="C3830" s="16" t="inlineStr">
        <is>
          <t>4.3 x_b+T_fuente</t>
        </is>
      </c>
      <c r="D3830" s="16" t="inlineStr">
        <is>
          <t>ronda 1</t>
        </is>
      </c>
      <c r="E3830" s="16" t="inlineStr">
        <is>
          <t>KF-M09</t>
        </is>
      </c>
      <c r="F3830" s="16" t="inlineStr">
        <is>
          <t>KF-M09-R1-x_b+T_fuente</t>
        </is>
      </c>
      <c r="G3830" s="16" t="inlineStr">
        <is>
          <t>B13-x_b+T_fuente</t>
        </is>
      </c>
      <c r="H3830" s="16" t="inlineStr">
        <is>
          <t>lhs</t>
        </is>
      </c>
      <c r="I3830" s="16" t="inlineStr">
        <is>
          <t>NO_CONVERGIO</t>
        </is>
      </c>
      <c r="J3830" s="16" t="inlineStr">
        <is>
          <t>NO_CONVERGIO</t>
        </is>
      </c>
      <c r="K3830" s="16" t="b">
        <v>0</v>
      </c>
      <c r="L3830" s="16" t="b">
        <v>0</v>
      </c>
      <c r="M3830" s="16" t="b">
        <v>0</v>
      </c>
      <c r="N3830" s="16" t="b">
        <v>0</v>
      </c>
      <c r="O3830" s="16" t="n">
        <v>623.15</v>
      </c>
      <c r="P3830" s="16" t="n">
        <v>286.04611960776</v>
      </c>
      <c r="Q3830" s="16" t="n">
        <v>3626.139360111017</v>
      </c>
      <c r="R3830" s="16" t="n">
        <v>614.3457670716527</v>
      </c>
      <c r="S3830" s="16" t="n">
        <v>0.5</v>
      </c>
      <c r="T3830" s="16" t="n">
        <v>0.4380809438213425</v>
      </c>
      <c r="U3830" s="16" t="n">
        <v>0.6706473304197929</v>
      </c>
      <c r="V3830" s="16" t="n">
        <v>0.7717335665676019</v>
      </c>
      <c r="W3830" s="16" t="n">
        <v>0.5610735991998119</v>
      </c>
      <c r="X3830" s="16" t="n">
        <v>0.47066497855053</v>
      </c>
      <c r="Y3830" s="16" t="n">
        <v>286.04611960776</v>
      </c>
      <c r="Z3830" s="16" t="n"/>
      <c r="AA3830" s="16" t="n"/>
      <c r="AB3830" s="16" t="n">
        <v>3011.793593039364</v>
      </c>
      <c r="AC3830" s="16" t="n">
        <v>5.902440538323252</v>
      </c>
      <c r="AD3830" s="16" t="n"/>
      <c r="AE3830" s="16" t="n"/>
    </row>
    <row r="3831">
      <c r="A3831" s="16" t="inlineStr">
        <is>
          <t>KF-M09-R1-x_b+T_fuente-0017</t>
        </is>
      </c>
      <c r="B3831" s="16" t="inlineStr">
        <is>
          <t>4.3</t>
        </is>
      </c>
      <c r="C3831" s="16" t="inlineStr">
        <is>
          <t>4.3 x_b+T_fuente</t>
        </is>
      </c>
      <c r="D3831" s="16" t="inlineStr">
        <is>
          <t>ronda 1</t>
        </is>
      </c>
      <c r="E3831" s="16" t="inlineStr">
        <is>
          <t>KF-M09</t>
        </is>
      </c>
      <c r="F3831" s="16" t="inlineStr">
        <is>
          <t>KF-M09-R1-x_b+T_fuente</t>
        </is>
      </c>
      <c r="G3831" s="16" t="inlineStr">
        <is>
          <t>B13-x_b+T_fuente</t>
        </is>
      </c>
      <c r="H3831" s="16" t="inlineStr">
        <is>
          <t>lhs</t>
        </is>
      </c>
      <c r="I3831" s="16" t="inlineStr">
        <is>
          <t>CORREGIBLE</t>
        </is>
      </c>
      <c r="J3831" s="16" t="inlineStr">
        <is>
          <t>CORREGIBLE</t>
        </is>
      </c>
      <c r="K3831" s="16" t="b">
        <v>1</v>
      </c>
      <c r="L3831" s="16" t="b">
        <v>0</v>
      </c>
      <c r="M3831" s="16" t="b">
        <v>1</v>
      </c>
      <c r="N3831" s="16" t="b">
        <v>0</v>
      </c>
      <c r="O3831" s="16" t="n">
        <v>623.15</v>
      </c>
      <c r="P3831" s="16" t="n">
        <v>279.437352182969</v>
      </c>
      <c r="Q3831" s="16" t="n">
        <v>3492.826397863342</v>
      </c>
      <c r="R3831" s="16" t="n">
        <v>564.5031332325393</v>
      </c>
      <c r="S3831" s="16" t="n">
        <v>0.5</v>
      </c>
      <c r="T3831" s="16" t="n">
        <v>0.9209226015821936</v>
      </c>
      <c r="U3831" s="16" t="n">
        <v>0.4815040194762186</v>
      </c>
      <c r="V3831" s="16" t="n">
        <v>0.4137971754844496</v>
      </c>
      <c r="W3831" s="16" t="n">
        <v>0.5166825480773707</v>
      </c>
      <c r="X3831" s="16" t="n">
        <v>0.7014868133702509</v>
      </c>
      <c r="Y3831" s="16" t="n">
        <v>279.437352182969</v>
      </c>
      <c r="Z3831" s="16" t="n">
        <v>11.85572836463736</v>
      </c>
      <c r="AA3831" s="16" t="n">
        <v>114.0759581985261</v>
      </c>
      <c r="AB3831" s="16" t="n">
        <v>2928.323264630803</v>
      </c>
      <c r="AC3831" s="16" t="n">
        <v>6.187434917964433</v>
      </c>
      <c r="AD3831" s="16" t="inlineStr">
        <is>
          <t>O2</t>
        </is>
      </c>
      <c r="AE3831" s="16" t="n"/>
    </row>
    <row r="3832">
      <c r="A3832" s="16" t="inlineStr">
        <is>
          <t>KF-M09-R1-x_b+T_fuente-0018</t>
        </is>
      </c>
      <c r="B3832" s="16" t="inlineStr">
        <is>
          <t>4.3</t>
        </is>
      </c>
      <c r="C3832" s="16" t="inlineStr">
        <is>
          <t>4.3 x_b+T_fuente</t>
        </is>
      </c>
      <c r="D3832" s="16" t="inlineStr">
        <is>
          <t>ronda 1</t>
        </is>
      </c>
      <c r="E3832" s="16" t="inlineStr">
        <is>
          <t>KF-M09</t>
        </is>
      </c>
      <c r="F3832" s="16" t="inlineStr">
        <is>
          <t>KF-M09-R1-x_b+T_fuente</t>
        </is>
      </c>
      <c r="G3832" s="16" t="inlineStr">
        <is>
          <t>B13-x_b+T_fuente</t>
        </is>
      </c>
      <c r="H3832" s="16" t="inlineStr">
        <is>
          <t>lhs</t>
        </is>
      </c>
      <c r="I3832" s="16" t="inlineStr">
        <is>
          <t>INVIABLE</t>
        </is>
      </c>
      <c r="J3832" s="16" t="inlineStr">
        <is>
          <t>INVIABLE</t>
        </is>
      </c>
      <c r="K3832" s="16" t="b">
        <v>1</v>
      </c>
      <c r="L3832" s="16" t="b">
        <v>0</v>
      </c>
      <c r="M3832" s="16" t="b">
        <v>1</v>
      </c>
      <c r="N3832" s="16" t="b">
        <v>0</v>
      </c>
      <c r="O3832" s="16" t="n">
        <v>623.15</v>
      </c>
      <c r="P3832" s="16" t="n">
        <v>283.3344268736441</v>
      </c>
      <c r="Q3832" s="16" t="n">
        <v>2695.472591384813</v>
      </c>
      <c r="R3832" s="16" t="n">
        <v>1022.176402623704</v>
      </c>
      <c r="S3832" s="16" t="n">
        <v>0.5</v>
      </c>
      <c r="T3832" s="16" t="n">
        <v>0.4052196918172702</v>
      </c>
      <c r="U3832" s="16" t="n">
        <v>0.4102202336507536</v>
      </c>
      <c r="V3832" s="16" t="n">
        <v>0.5556492135930495</v>
      </c>
      <c r="W3832" s="16" t="n">
        <v>0.4774699603986482</v>
      </c>
      <c r="X3832" s="16" t="n">
        <v>0.5453160032965804</v>
      </c>
      <c r="Y3832" s="16" t="n">
        <v>283.3344268736441</v>
      </c>
      <c r="Z3832" s="16" t="n">
        <v>-6.9002159754653</v>
      </c>
      <c r="AA3832" s="16" t="n">
        <v>-68.54407985040464</v>
      </c>
      <c r="AB3832" s="16" t="n">
        <v>1673.296188761109</v>
      </c>
      <c r="AC3832" s="16" t="n">
        <v>2.636993560471678</v>
      </c>
      <c r="AD3832" s="16" t="inlineStr">
        <is>
          <t>O2,O3</t>
        </is>
      </c>
      <c r="AE3832" s="16" t="n"/>
    </row>
    <row r="3833">
      <c r="A3833" s="16" t="inlineStr">
        <is>
          <t>KF-M09-R1-x_b+T_fuente-0019</t>
        </is>
      </c>
      <c r="B3833" s="16" t="inlineStr">
        <is>
          <t>4.3</t>
        </is>
      </c>
      <c r="C3833" s="16" t="inlineStr">
        <is>
          <t>4.3 x_b+T_fuente</t>
        </is>
      </c>
      <c r="D3833" s="16" t="inlineStr">
        <is>
          <t>ronda 1</t>
        </is>
      </c>
      <c r="E3833" s="16" t="inlineStr">
        <is>
          <t>KF-M09</t>
        </is>
      </c>
      <c r="F3833" s="16" t="inlineStr">
        <is>
          <t>KF-M09-R1-x_b+T_fuente</t>
        </is>
      </c>
      <c r="G3833" s="16" t="inlineStr">
        <is>
          <t>B13-x_b+T_fuente</t>
        </is>
      </c>
      <c r="H3833" s="16" t="inlineStr">
        <is>
          <t>lhs</t>
        </is>
      </c>
      <c r="I3833" s="16" t="inlineStr">
        <is>
          <t>CORREGIBLE</t>
        </is>
      </c>
      <c r="J3833" s="16" t="inlineStr">
        <is>
          <t>CORREGIBLE</t>
        </is>
      </c>
      <c r="K3833" s="16" t="b">
        <v>1</v>
      </c>
      <c r="L3833" s="16" t="b">
        <v>0</v>
      </c>
      <c r="M3833" s="16" t="b">
        <v>1</v>
      </c>
      <c r="N3833" s="16" t="b">
        <v>0</v>
      </c>
      <c r="O3833" s="16" t="n">
        <v>623.15</v>
      </c>
      <c r="P3833" s="16" t="n">
        <v>297.0366519584458</v>
      </c>
      <c r="Q3833" s="16" t="n">
        <v>3735.82872772568</v>
      </c>
      <c r="R3833" s="16" t="n">
        <v>1363.477017754596</v>
      </c>
      <c r="S3833" s="16" t="n">
        <v>0.5</v>
      </c>
      <c r="T3833" s="16" t="n">
        <v>0.7955680920569077</v>
      </c>
      <c r="U3833" s="16" t="n">
        <v>0.9398232299107002</v>
      </c>
      <c r="V3833" s="16" t="n">
        <v>0.7388048252235919</v>
      </c>
      <c r="W3833" s="16" t="n">
        <v>0.939213486705234</v>
      </c>
      <c r="X3833" s="16" t="n">
        <v>0.8037232719076159</v>
      </c>
      <c r="Y3833" s="16" t="n">
        <v>297.0366519584458</v>
      </c>
      <c r="Z3833" s="16" t="n">
        <v>7.29734653390347</v>
      </c>
      <c r="AA3833" s="16" t="n">
        <v>123.9159369869196</v>
      </c>
      <c r="AB3833" s="16" t="n">
        <v>2372.351709971084</v>
      </c>
      <c r="AC3833" s="16" t="n">
        <v>2.73992790423261</v>
      </c>
      <c r="AD3833" s="16" t="inlineStr">
        <is>
          <t>O2</t>
        </is>
      </c>
      <c r="AE3833" s="16" t="n"/>
    </row>
    <row r="3834">
      <c r="A3834" s="16" t="inlineStr">
        <is>
          <t>KF-M09-R1-x_b+T_fuente-0020</t>
        </is>
      </c>
      <c r="B3834" s="16" t="inlineStr">
        <is>
          <t>4.3</t>
        </is>
      </c>
      <c r="C3834" s="16" t="inlineStr">
        <is>
          <t>4.3 x_b+T_fuente</t>
        </is>
      </c>
      <c r="D3834" s="16" t="inlineStr">
        <is>
          <t>ronda 1</t>
        </is>
      </c>
      <c r="E3834" s="16" t="inlineStr">
        <is>
          <t>KF-M09</t>
        </is>
      </c>
      <c r="F3834" s="16" t="inlineStr">
        <is>
          <t>KF-M09-R1-x_b+T_fuente</t>
        </is>
      </c>
      <c r="G3834" s="16" t="inlineStr">
        <is>
          <t>B13-x_b+T_fuente</t>
        </is>
      </c>
      <c r="H3834" s="16" t="inlineStr">
        <is>
          <t>lhs</t>
        </is>
      </c>
      <c r="I3834" s="16" t="inlineStr">
        <is>
          <t>CORREGIBLE</t>
        </is>
      </c>
      <c r="J3834" s="16" t="inlineStr">
        <is>
          <t>CORREGIBLE</t>
        </is>
      </c>
      <c r="K3834" s="16" t="b">
        <v>1</v>
      </c>
      <c r="L3834" s="16" t="b">
        <v>0</v>
      </c>
      <c r="M3834" s="16" t="b">
        <v>1</v>
      </c>
      <c r="N3834" s="16" t="b">
        <v>0</v>
      </c>
      <c r="O3834" s="16" t="n">
        <v>623.15</v>
      </c>
      <c r="P3834" s="16" t="n">
        <v>300.7775857223039</v>
      </c>
      <c r="Q3834" s="16" t="n">
        <v>4271.345157306001</v>
      </c>
      <c r="R3834" s="16" t="n">
        <v>828.5603230612337</v>
      </c>
      <c r="S3834" s="16" t="n">
        <v>0.5</v>
      </c>
      <c r="T3834" s="16" t="n">
        <v>0.8325327284125352</v>
      </c>
      <c r="U3834" s="16" t="n">
        <v>0.8503621745229035</v>
      </c>
      <c r="V3834" s="16" t="n">
        <v>0.7949845241982151</v>
      </c>
      <c r="W3834" s="16" t="n">
        <v>0.9156576638667896</v>
      </c>
      <c r="X3834" s="16" t="n">
        <v>0.749781492325017</v>
      </c>
      <c r="Y3834" s="16" t="n">
        <v>300.7775857223039</v>
      </c>
      <c r="Z3834" s="16" t="n">
        <v>11.29290641448761</v>
      </c>
      <c r="AA3834" s="16" t="n">
        <v>193.2130152725124</v>
      </c>
      <c r="AB3834" s="16" t="n">
        <v>3442.784834244768</v>
      </c>
      <c r="AC3834" s="16" t="n">
        <v>5.155140836969975</v>
      </c>
      <c r="AD3834" s="16" t="inlineStr">
        <is>
          <t>O2</t>
        </is>
      </c>
      <c r="AE3834" s="16" t="n"/>
    </row>
    <row r="3835">
      <c r="A3835" s="16" t="inlineStr">
        <is>
          <t>KF-M09-R1-x_b+T_fuente-0021</t>
        </is>
      </c>
      <c r="B3835" s="16" t="inlineStr">
        <is>
          <t>4.3</t>
        </is>
      </c>
      <c r="C3835" s="16" t="inlineStr">
        <is>
          <t>4.3 x_b+T_fuente</t>
        </is>
      </c>
      <c r="D3835" s="16" t="inlineStr">
        <is>
          <t>ronda 1</t>
        </is>
      </c>
      <c r="E3835" s="16" t="inlineStr">
        <is>
          <t>KF-M09</t>
        </is>
      </c>
      <c r="F3835" s="16" t="inlineStr">
        <is>
          <t>KF-M09-R1-x_b+T_fuente</t>
        </is>
      </c>
      <c r="G3835" s="16" t="inlineStr">
        <is>
          <t>B13-x_b+T_fuente</t>
        </is>
      </c>
      <c r="H3835" s="16" t="inlineStr">
        <is>
          <t>lhs</t>
        </is>
      </c>
      <c r="I3835" s="16" t="inlineStr">
        <is>
          <t>CORREGIBLE</t>
        </is>
      </c>
      <c r="J3835" s="16" t="inlineStr">
        <is>
          <t>CORREGIBLE</t>
        </is>
      </c>
      <c r="K3835" s="16" t="b">
        <v>1</v>
      </c>
      <c r="L3835" s="16" t="b">
        <v>0</v>
      </c>
      <c r="M3835" s="16" t="b">
        <v>1</v>
      </c>
      <c r="N3835" s="16" t="b">
        <v>0</v>
      </c>
      <c r="O3835" s="16" t="n">
        <v>623.15</v>
      </c>
      <c r="P3835" s="16" t="n">
        <v>282.4504375069475</v>
      </c>
      <c r="Q3835" s="16" t="n">
        <v>4024.05385180581</v>
      </c>
      <c r="R3835" s="16" t="n">
        <v>1478.717686865702</v>
      </c>
      <c r="S3835" s="16" t="n">
        <v>0.5</v>
      </c>
      <c r="T3835" s="16" t="n">
        <v>0.6936854398502286</v>
      </c>
      <c r="U3835" s="16" t="n">
        <v>0.5586787654959271</v>
      </c>
      <c r="V3835" s="16" t="n">
        <v>0.7155651442017367</v>
      </c>
      <c r="W3835" s="16" t="n">
        <v>0.648981114597321</v>
      </c>
      <c r="X3835" s="16" t="n">
        <v>0.7327905630075744</v>
      </c>
      <c r="Y3835" s="16" t="n">
        <v>282.4504375069475</v>
      </c>
      <c r="Z3835" s="16" t="n">
        <v>5.54573638891109</v>
      </c>
      <c r="AA3835" s="16" t="n">
        <v>87.39242544088906</v>
      </c>
      <c r="AB3835" s="16" t="n">
        <v>2545.336164940108</v>
      </c>
      <c r="AC3835" s="16" t="n">
        <v>2.721313126601749</v>
      </c>
      <c r="AD3835" s="16" t="inlineStr">
        <is>
          <t>O2</t>
        </is>
      </c>
      <c r="AE3835" s="16" t="n"/>
    </row>
    <row r="3836">
      <c r="A3836" s="16" t="inlineStr">
        <is>
          <t>KF-M09-R1-x_b+T_fuente-0022</t>
        </is>
      </c>
      <c r="B3836" s="16" t="inlineStr">
        <is>
          <t>4.3</t>
        </is>
      </c>
      <c r="C3836" s="16" t="inlineStr">
        <is>
          <t>4.3 x_b+T_fuente</t>
        </is>
      </c>
      <c r="D3836" s="16" t="inlineStr">
        <is>
          <t>ronda 1</t>
        </is>
      </c>
      <c r="E3836" s="16" t="inlineStr">
        <is>
          <t>KF-M09</t>
        </is>
      </c>
      <c r="F3836" s="16" t="inlineStr">
        <is>
          <t>KF-M09-R1-x_b+T_fuente</t>
        </is>
      </c>
      <c r="G3836" s="16" t="inlineStr">
        <is>
          <t>B13-x_b+T_fuente</t>
        </is>
      </c>
      <c r="H3836" s="16" t="inlineStr">
        <is>
          <t>lhs</t>
        </is>
      </c>
      <c r="I3836" s="16" t="inlineStr">
        <is>
          <t>CORREGIBLE</t>
        </is>
      </c>
      <c r="J3836" s="16" t="inlineStr">
        <is>
          <t>CORREGIBLE</t>
        </is>
      </c>
      <c r="K3836" s="16" t="b">
        <v>1</v>
      </c>
      <c r="L3836" s="16" t="b">
        <v>0</v>
      </c>
      <c r="M3836" s="16" t="b">
        <v>1</v>
      </c>
      <c r="N3836" s="16" t="b">
        <v>0</v>
      </c>
      <c r="O3836" s="16" t="n">
        <v>623.15</v>
      </c>
      <c r="P3836" s="16" t="n">
        <v>282.0493648105422</v>
      </c>
      <c r="Q3836" s="16" t="n">
        <v>2159.095452385817</v>
      </c>
      <c r="R3836" s="16" t="n">
        <v>433.9598628781944</v>
      </c>
      <c r="S3836" s="16" t="n">
        <v>0.5</v>
      </c>
      <c r="T3836" s="16" t="n">
        <v>0.4888970769209707</v>
      </c>
      <c r="U3836" s="16" t="n">
        <v>0.7083655466362888</v>
      </c>
      <c r="V3836" s="16" t="n">
        <v>0.6959804703208778</v>
      </c>
      <c r="W3836" s="16" t="n">
        <v>0.8096109148635111</v>
      </c>
      <c r="X3836" s="16" t="n">
        <v>0.780260976232777</v>
      </c>
      <c r="Y3836" s="16" t="n">
        <v>282.0493648105422</v>
      </c>
      <c r="Z3836" s="16" t="n">
        <v>4.864325687875589</v>
      </c>
      <c r="AA3836" s="16" t="n">
        <v>78.4981559112087</v>
      </c>
      <c r="AB3836" s="16" t="n">
        <v>1725.135589507622</v>
      </c>
      <c r="AC3836" s="16" t="n">
        <v>4.975334442374088</v>
      </c>
      <c r="AD3836" s="16" t="inlineStr">
        <is>
          <t>O2</t>
        </is>
      </c>
      <c r="AE3836" s="16" t="n"/>
    </row>
    <row r="3837">
      <c r="A3837" s="16" t="inlineStr">
        <is>
          <t>KF-M09-R1-x_b+T_fuente-0023</t>
        </is>
      </c>
      <c r="B3837" s="16" t="inlineStr">
        <is>
          <t>4.3</t>
        </is>
      </c>
      <c r="C3837" s="16" t="inlineStr">
        <is>
          <t>4.3 x_b+T_fuente</t>
        </is>
      </c>
      <c r="D3837" s="16" t="inlineStr">
        <is>
          <t>ronda 1</t>
        </is>
      </c>
      <c r="E3837" s="16" t="inlineStr">
        <is>
          <t>KF-M09</t>
        </is>
      </c>
      <c r="F3837" s="16" t="inlineStr">
        <is>
          <t>KF-M09-R1-x_b+T_fuente</t>
        </is>
      </c>
      <c r="G3837" s="16" t="inlineStr">
        <is>
          <t>B13-x_b+T_fuente</t>
        </is>
      </c>
      <c r="H3837" s="16" t="inlineStr">
        <is>
          <t>lhs</t>
        </is>
      </c>
      <c r="I3837" s="16" t="inlineStr">
        <is>
          <t>CORREGIBLE</t>
        </is>
      </c>
      <c r="J3837" s="16" t="inlineStr">
        <is>
          <t>CORREGIBLE</t>
        </is>
      </c>
      <c r="K3837" s="16" t="b">
        <v>1</v>
      </c>
      <c r="L3837" s="16" t="b">
        <v>0</v>
      </c>
      <c r="M3837" s="16" t="b">
        <v>1</v>
      </c>
      <c r="N3837" s="16" t="b">
        <v>0</v>
      </c>
      <c r="O3837" s="16" t="n">
        <v>623.15</v>
      </c>
      <c r="P3837" s="16" t="n">
        <v>278.8478459373991</v>
      </c>
      <c r="Q3837" s="16" t="n">
        <v>4487.133998989706</v>
      </c>
      <c r="R3837" s="16" t="n">
        <v>340.4030369757352</v>
      </c>
      <c r="S3837" s="16" t="n">
        <v>0.5</v>
      </c>
      <c r="T3837" s="16" t="n">
        <v>0.8214051871432331</v>
      </c>
      <c r="U3837" s="16" t="n">
        <v>0.7911720276956313</v>
      </c>
      <c r="V3837" s="16" t="n">
        <v>0.5437885911454357</v>
      </c>
      <c r="W3837" s="16" t="n">
        <v>0.605416210694091</v>
      </c>
      <c r="X3837" s="16" t="n">
        <v>0.8250168960546673</v>
      </c>
      <c r="Y3837" s="16" t="n">
        <v>278.8478459373991</v>
      </c>
      <c r="Z3837" s="16" t="n">
        <v>15.51086170487519</v>
      </c>
      <c r="AA3837" s="16" t="n">
        <v>202.9876404735908</v>
      </c>
      <c r="AB3837" s="16" t="n">
        <v>4146.730962013971</v>
      </c>
      <c r="AC3837" s="16" t="n">
        <v>13.18182716245731</v>
      </c>
      <c r="AD3837" s="16" t="inlineStr">
        <is>
          <t>O1,O2</t>
        </is>
      </c>
      <c r="AE3837" s="16" t="n"/>
    </row>
    <row r="3838">
      <c r="A3838" s="16" t="inlineStr">
        <is>
          <t>KF-M09-R1-x_b+T_fuente-0024</t>
        </is>
      </c>
      <c r="B3838" s="16" t="inlineStr">
        <is>
          <t>4.3</t>
        </is>
      </c>
      <c r="C3838" s="16" t="inlineStr">
        <is>
          <t>4.3 x_b+T_fuente</t>
        </is>
      </c>
      <c r="D3838" s="16" t="inlineStr">
        <is>
          <t>ronda 1</t>
        </is>
      </c>
      <c r="E3838" s="16" t="inlineStr">
        <is>
          <t>KF-M09</t>
        </is>
      </c>
      <c r="F3838" s="16" t="inlineStr">
        <is>
          <t>KF-M09-R1-x_b+T_fuente</t>
        </is>
      </c>
      <c r="G3838" s="16" t="inlineStr">
        <is>
          <t>B13-x_b+T_fuente</t>
        </is>
      </c>
      <c r="H3838" s="16" t="inlineStr">
        <is>
          <t>lhs</t>
        </is>
      </c>
      <c r="I3838" s="16" t="inlineStr">
        <is>
          <t>NO_CONVERGIO</t>
        </is>
      </c>
      <c r="J3838" s="16" t="inlineStr">
        <is>
          <t>NO_CONVERGIO</t>
        </is>
      </c>
      <c r="K3838" s="16" t="b">
        <v>0</v>
      </c>
      <c r="L3838" s="16" t="b">
        <v>0</v>
      </c>
      <c r="M3838" s="16" t="b">
        <v>0</v>
      </c>
      <c r="N3838" s="16" t="b">
        <v>0</v>
      </c>
      <c r="O3838" s="16" t="n">
        <v>623.15</v>
      </c>
      <c r="P3838" s="16" t="n">
        <v>284.4476355157715</v>
      </c>
      <c r="Q3838" s="16" t="n">
        <v>4595.058511360729</v>
      </c>
      <c r="R3838" s="16" t="n">
        <v>928.8033227911236</v>
      </c>
      <c r="S3838" s="16" t="n">
        <v>0.5</v>
      </c>
      <c r="T3838" s="16" t="n">
        <v>0.5371094728336994</v>
      </c>
      <c r="U3838" s="16" t="n">
        <v>0.6565166590970373</v>
      </c>
      <c r="V3838" s="16" t="n">
        <v>0.9163313964786522</v>
      </c>
      <c r="W3838" s="16" t="n">
        <v>0.4681506578033064</v>
      </c>
      <c r="X3838" s="16" t="n">
        <v>0.6620460546249878</v>
      </c>
      <c r="Y3838" s="16" t="n">
        <v>284.4476355157715</v>
      </c>
      <c r="Z3838" s="16" t="n"/>
      <c r="AA3838" s="16" t="n"/>
      <c r="AB3838" s="16" t="n">
        <v>3666.255188569606</v>
      </c>
      <c r="AC3838" s="16" t="n">
        <v>4.94728905313585</v>
      </c>
      <c r="AD3838" s="16" t="n"/>
      <c r="AE3838" s="16" t="n"/>
    </row>
    <row r="3839">
      <c r="A3839" s="16" t="inlineStr">
        <is>
          <t>KF-M09-R1-x_b+T_fuente-0025</t>
        </is>
      </c>
      <c r="B3839" s="16" t="inlineStr">
        <is>
          <t>4.3</t>
        </is>
      </c>
      <c r="C3839" s="16" t="inlineStr">
        <is>
          <t>4.3 x_b+T_fuente</t>
        </is>
      </c>
      <c r="D3839" s="16" t="inlineStr">
        <is>
          <t>ronda 1</t>
        </is>
      </c>
      <c r="E3839" s="16" t="inlineStr">
        <is>
          <t>KF-M09</t>
        </is>
      </c>
      <c r="F3839" s="16" t="inlineStr">
        <is>
          <t>KF-M09-R1-x_b+T_fuente</t>
        </is>
      </c>
      <c r="G3839" s="16" t="inlineStr">
        <is>
          <t>B13-x_b+T_fuente</t>
        </is>
      </c>
      <c r="H3839" s="16" t="inlineStr">
        <is>
          <t>lhs</t>
        </is>
      </c>
      <c r="I3839" s="16" t="inlineStr">
        <is>
          <t>CORREGIBLE</t>
        </is>
      </c>
      <c r="J3839" s="16" t="inlineStr">
        <is>
          <t>CORREGIBLE</t>
        </is>
      </c>
      <c r="K3839" s="16" t="b">
        <v>1</v>
      </c>
      <c r="L3839" s="16" t="b">
        <v>0</v>
      </c>
      <c r="M3839" s="16" t="b">
        <v>1</v>
      </c>
      <c r="N3839" s="16" t="b">
        <v>0</v>
      </c>
      <c r="O3839" s="16" t="n">
        <v>623.15</v>
      </c>
      <c r="P3839" s="16" t="n">
        <v>299.6714806757267</v>
      </c>
      <c r="Q3839" s="16" t="n">
        <v>4601.439784400383</v>
      </c>
      <c r="R3839" s="16" t="n">
        <v>1122.176050554847</v>
      </c>
      <c r="S3839" s="16" t="n">
        <v>0.5</v>
      </c>
      <c r="T3839" s="16" t="n">
        <v>0.7476073122625171</v>
      </c>
      <c r="U3839" s="16" t="n">
        <v>0.8673307563809115</v>
      </c>
      <c r="V3839" s="16" t="n">
        <v>0.4196037185986716</v>
      </c>
      <c r="W3839" s="16" t="n">
        <v>0.7463027454681637</v>
      </c>
      <c r="X3839" s="16" t="n">
        <v>0.4369345818256659</v>
      </c>
      <c r="Y3839" s="16" t="n">
        <v>299.6714806757267</v>
      </c>
      <c r="Z3839" s="16" t="n">
        <v>4.72917497092747</v>
      </c>
      <c r="AA3839" s="16" t="n">
        <v>33.70395144475698</v>
      </c>
      <c r="AB3839" s="16" t="n">
        <v>3479.263733845537</v>
      </c>
      <c r="AC3839" s="16" t="n">
        <v>4.10046158276614</v>
      </c>
      <c r="AD3839" s="16" t="inlineStr">
        <is>
          <t>O2</t>
        </is>
      </c>
      <c r="AE3839" s="16" t="n"/>
    </row>
    <row r="3840">
      <c r="A3840" s="16" t="inlineStr">
        <is>
          <t>KF-M09-R1-x_b+T_fuente-0026</t>
        </is>
      </c>
      <c r="B3840" s="16" t="inlineStr">
        <is>
          <t>4.3</t>
        </is>
      </c>
      <c r="C3840" s="16" t="inlineStr">
        <is>
          <t>4.3 x_b+T_fuente</t>
        </is>
      </c>
      <c r="D3840" s="16" t="inlineStr">
        <is>
          <t>ronda 1</t>
        </is>
      </c>
      <c r="E3840" s="16" t="inlineStr">
        <is>
          <t>KF-M09</t>
        </is>
      </c>
      <c r="F3840" s="16" t="inlineStr">
        <is>
          <t>KF-M09-R1-x_b+T_fuente</t>
        </is>
      </c>
      <c r="G3840" s="16" t="inlineStr">
        <is>
          <t>B13-x_b+T_fuente</t>
        </is>
      </c>
      <c r="H3840" s="16" t="inlineStr">
        <is>
          <t>lhs</t>
        </is>
      </c>
      <c r="I3840" s="16" t="inlineStr">
        <is>
          <t>CORREGIBLE</t>
        </is>
      </c>
      <c r="J3840" s="16" t="inlineStr">
        <is>
          <t>CORREGIBLE</t>
        </is>
      </c>
      <c r="K3840" s="16" t="b">
        <v>1</v>
      </c>
      <c r="L3840" s="16" t="b">
        <v>0</v>
      </c>
      <c r="M3840" s="16" t="b">
        <v>1</v>
      </c>
      <c r="N3840" s="16" t="b">
        <v>0</v>
      </c>
      <c r="O3840" s="16" t="n">
        <v>623.15</v>
      </c>
      <c r="P3840" s="16" t="n">
        <v>289.9944534051309</v>
      </c>
      <c r="Q3840" s="16" t="n">
        <v>2398.923215660549</v>
      </c>
      <c r="R3840" s="16" t="n">
        <v>1428.086332241203</v>
      </c>
      <c r="S3840" s="16" t="n">
        <v>0.5</v>
      </c>
      <c r="T3840" s="16" t="n">
        <v>0.5504998498817958</v>
      </c>
      <c r="U3840" s="16" t="n">
        <v>0.6885505909459312</v>
      </c>
      <c r="V3840" s="16" t="n">
        <v>0.6128459640976615</v>
      </c>
      <c r="W3840" s="16" t="n">
        <v>0.9078552384096872</v>
      </c>
      <c r="X3840" s="16" t="n">
        <v>0.5595408983104609</v>
      </c>
      <c r="Y3840" s="16" t="n">
        <v>289.9944534051309</v>
      </c>
      <c r="Z3840" s="16" t="n">
        <v>0.47396309844301</v>
      </c>
      <c r="AA3840" s="16" t="n">
        <v>5.341611842435512</v>
      </c>
      <c r="AB3840" s="16" t="n">
        <v>970.8368834193456</v>
      </c>
      <c r="AC3840" s="16" t="n">
        <v>1.679816661991113</v>
      </c>
      <c r="AD3840" s="16" t="inlineStr">
        <is>
          <t>O2</t>
        </is>
      </c>
      <c r="AE3840" s="16" t="n"/>
    </row>
    <row r="3841">
      <c r="A3841" s="16" t="inlineStr">
        <is>
          <t>KF-M09-R1-x_b+T_fuente-0027</t>
        </is>
      </c>
      <c r="B3841" s="16" t="inlineStr">
        <is>
          <t>4.3</t>
        </is>
      </c>
      <c r="C3841" s="16" t="inlineStr">
        <is>
          <t>4.3 x_b+T_fuente</t>
        </is>
      </c>
      <c r="D3841" s="16" t="inlineStr">
        <is>
          <t>ronda 1</t>
        </is>
      </c>
      <c r="E3841" s="16" t="inlineStr">
        <is>
          <t>KF-M09</t>
        </is>
      </c>
      <c r="F3841" s="16" t="inlineStr">
        <is>
          <t>KF-M09-R1-x_b+T_fuente</t>
        </is>
      </c>
      <c r="G3841" s="16" t="inlineStr">
        <is>
          <t>B13-x_b+T_fuente</t>
        </is>
      </c>
      <c r="H3841" s="16" t="inlineStr">
        <is>
          <t>lhs</t>
        </is>
      </c>
      <c r="I3841" s="16" t="inlineStr">
        <is>
          <t>CORREGIBLE</t>
        </is>
      </c>
      <c r="J3841" s="16" t="inlineStr">
        <is>
          <t>CORREGIBLE</t>
        </is>
      </c>
      <c r="K3841" s="16" t="b">
        <v>1</v>
      </c>
      <c r="L3841" s="16" t="b">
        <v>0</v>
      </c>
      <c r="M3841" s="16" t="b">
        <v>1</v>
      </c>
      <c r="N3841" s="16" t="b">
        <v>0</v>
      </c>
      <c r="O3841" s="16" t="n">
        <v>623.15</v>
      </c>
      <c r="P3841" s="16" t="n">
        <v>292.468696270781</v>
      </c>
      <c r="Q3841" s="16" t="n">
        <v>2407.369902772437</v>
      </c>
      <c r="R3841" s="16" t="n">
        <v>1628.860994557014</v>
      </c>
      <c r="S3841" s="16" t="n">
        <v>0.5</v>
      </c>
      <c r="T3841" s="16" t="n">
        <v>0.94700424684347</v>
      </c>
      <c r="U3841" s="16" t="n">
        <v>0.8398423070713179</v>
      </c>
      <c r="V3841" s="16" t="n">
        <v>0.473111050282074</v>
      </c>
      <c r="W3841" s="16" t="n">
        <v>0.7291212088978487</v>
      </c>
      <c r="X3841" s="16" t="n">
        <v>0.6222424623488925</v>
      </c>
      <c r="Y3841" s="16" t="n">
        <v>292.468696270781</v>
      </c>
      <c r="Z3841" s="16" t="n">
        <v>3.31618962324204</v>
      </c>
      <c r="AA3841" s="16" t="n">
        <v>33.14406687077153</v>
      </c>
      <c r="AB3841" s="16" t="n">
        <v>778.5089082154225</v>
      </c>
      <c r="AC3841" s="16" t="n">
        <v>1.477946805047748</v>
      </c>
      <c r="AD3841" s="16" t="inlineStr">
        <is>
          <t>O2</t>
        </is>
      </c>
      <c r="AE3841" s="16" t="n"/>
    </row>
    <row r="3842">
      <c r="A3842" s="16" t="inlineStr">
        <is>
          <t>KF-M09-R1-x_b+T_fuente-0028</t>
        </is>
      </c>
      <c r="B3842" s="16" t="inlineStr">
        <is>
          <t>4.3</t>
        </is>
      </c>
      <c r="C3842" s="16" t="inlineStr">
        <is>
          <t>4.3 x_b+T_fuente</t>
        </is>
      </c>
      <c r="D3842" s="16" t="inlineStr">
        <is>
          <t>ronda 1</t>
        </is>
      </c>
      <c r="E3842" s="16" t="inlineStr">
        <is>
          <t>KF-M09</t>
        </is>
      </c>
      <c r="F3842" s="16" t="inlineStr">
        <is>
          <t>KF-M09-R1-x_b+T_fuente</t>
        </is>
      </c>
      <c r="G3842" s="16" t="inlineStr">
        <is>
          <t>B13-x_b+T_fuente</t>
        </is>
      </c>
      <c r="H3842" s="16" t="inlineStr">
        <is>
          <t>lhs</t>
        </is>
      </c>
      <c r="I3842" s="16" t="inlineStr">
        <is>
          <t>NO_CONVERGIO</t>
        </is>
      </c>
      <c r="J3842" s="16" t="inlineStr">
        <is>
          <t>NO_CONVERGIO</t>
        </is>
      </c>
      <c r="K3842" s="16" t="b">
        <v>0</v>
      </c>
      <c r="L3842" s="16" t="b">
        <v>0</v>
      </c>
      <c r="M3842" s="16" t="b">
        <v>0</v>
      </c>
      <c r="N3842" s="16" t="b">
        <v>0</v>
      </c>
      <c r="O3842" s="16" t="n">
        <v>623.15</v>
      </c>
      <c r="P3842" s="16" t="n">
        <v>281.0493696098729</v>
      </c>
      <c r="Q3842" s="16" t="n">
        <v>3903.150775009404</v>
      </c>
      <c r="R3842" s="16" t="n">
        <v>749.8862624618383</v>
      </c>
      <c r="S3842" s="16" t="n">
        <v>0.5</v>
      </c>
      <c r="T3842" s="16" t="n">
        <v>0.6425499154116392</v>
      </c>
      <c r="U3842" s="16" t="n">
        <v>0.9174696262634718</v>
      </c>
      <c r="V3842" s="16" t="n">
        <v>0.8733581544545629</v>
      </c>
      <c r="W3842" s="16" t="n">
        <v>0.788992231353397</v>
      </c>
      <c r="X3842" s="16" t="n">
        <v>0.9441731094633666</v>
      </c>
      <c r="Y3842" s="16" t="n">
        <v>281.0493696098729</v>
      </c>
      <c r="Z3842" s="16" t="n"/>
      <c r="AA3842" s="16" t="n"/>
      <c r="AB3842" s="16" t="n">
        <v>3153.264512547566</v>
      </c>
      <c r="AC3842" s="16" t="n">
        <v>5.204990370400385</v>
      </c>
      <c r="AD3842" s="16" t="n"/>
      <c r="AE3842" s="16" t="n"/>
    </row>
    <row r="3843">
      <c r="A3843" s="16" t="inlineStr">
        <is>
          <t>KF-M09-R1-x_b+T_fuente-0029</t>
        </is>
      </c>
      <c r="B3843" s="16" t="inlineStr">
        <is>
          <t>4.3</t>
        </is>
      </c>
      <c r="C3843" s="16" t="inlineStr">
        <is>
          <t>4.3 x_b+T_fuente</t>
        </is>
      </c>
      <c r="D3843" s="16" t="inlineStr">
        <is>
          <t>ronda 1</t>
        </is>
      </c>
      <c r="E3843" s="16" t="inlineStr">
        <is>
          <t>KF-M09</t>
        </is>
      </c>
      <c r="F3843" s="16" t="inlineStr">
        <is>
          <t>KF-M09-R1-x_b+T_fuente</t>
        </is>
      </c>
      <c r="G3843" s="16" t="inlineStr">
        <is>
          <t>B13-x_b+T_fuente</t>
        </is>
      </c>
      <c r="H3843" s="16" t="inlineStr">
        <is>
          <t>lhs</t>
        </is>
      </c>
      <c r="I3843" s="16" t="inlineStr">
        <is>
          <t>NO_CONVERGIO</t>
        </is>
      </c>
      <c r="J3843" s="16" t="inlineStr">
        <is>
          <t>NO_CONVERGIO</t>
        </is>
      </c>
      <c r="K3843" s="16" t="b">
        <v>0</v>
      </c>
      <c r="L3843" s="16" t="b">
        <v>0</v>
      </c>
      <c r="M3843" s="16" t="b">
        <v>0</v>
      </c>
      <c r="N3843" s="16" t="b">
        <v>0</v>
      </c>
      <c r="O3843" s="16" t="n">
        <v>623.15</v>
      </c>
      <c r="P3843" s="16" t="n">
        <v>291.0772103293639</v>
      </c>
      <c r="Q3843" s="16" t="n">
        <v>2969.021387643456</v>
      </c>
      <c r="R3843" s="16" t="n">
        <v>1517.005365421804</v>
      </c>
      <c r="S3843" s="16" t="n">
        <v>0.5</v>
      </c>
      <c r="T3843" s="16" t="n">
        <v>0.5871798937452827</v>
      </c>
      <c r="U3843" s="16" t="n">
        <v>0.8914443940499321</v>
      </c>
      <c r="V3843" s="16" t="n">
        <v>0.8390836351305657</v>
      </c>
      <c r="W3843" s="16" t="n">
        <v>0.5305185511031218</v>
      </c>
      <c r="X3843" s="16" t="n">
        <v>0.5701241318544025</v>
      </c>
      <c r="Y3843" s="16" t="n">
        <v>291.0772103293639</v>
      </c>
      <c r="Z3843" s="16" t="n"/>
      <c r="AA3843" s="16" t="n"/>
      <c r="AB3843" s="16" t="n">
        <v>1452.016022221653</v>
      </c>
      <c r="AC3843" s="16" t="n">
        <v>1.957159450664118</v>
      </c>
      <c r="AD3843" s="16" t="n"/>
      <c r="AE3843" s="16" t="n"/>
    </row>
    <row r="3844">
      <c r="A3844" s="16" t="inlineStr">
        <is>
          <t>KF-M09-R1-x_b+eficiencias-0000</t>
        </is>
      </c>
      <c r="B3844" s="16" t="inlineStr">
        <is>
          <t>4.3</t>
        </is>
      </c>
      <c r="C3844" s="16" t="inlineStr">
        <is>
          <t>4.3 x_b+eficiencias</t>
        </is>
      </c>
      <c r="D3844" s="16" t="inlineStr">
        <is>
          <t>ronda 1</t>
        </is>
      </c>
      <c r="E3844" s="16" t="inlineStr">
        <is>
          <t>KF-M09</t>
        </is>
      </c>
      <c r="F3844" s="16" t="inlineStr">
        <is>
          <t>KF-M09-R1-x_b+eficiencias</t>
        </is>
      </c>
      <c r="G3844" s="16" t="inlineStr">
        <is>
          <t>B13-x_b+eficiencias</t>
        </is>
      </c>
      <c r="H3844" s="16" t="inlineStr">
        <is>
          <t>lhs</t>
        </is>
      </c>
      <c r="I3844" s="16" t="inlineStr">
        <is>
          <t>N2</t>
        </is>
      </c>
      <c r="J3844" s="16" t="inlineStr">
        <is>
          <t>NO_CONVERGIO</t>
        </is>
      </c>
      <c r="K3844" s="16" t="b">
        <v>0</v>
      </c>
      <c r="L3844" s="16" t="b">
        <v>0</v>
      </c>
      <c r="M3844" s="16" t="b">
        <v>0</v>
      </c>
      <c r="N3844" s="16" t="b">
        <v>0</v>
      </c>
      <c r="O3844" s="16" t="n">
        <v>391.0782987170541</v>
      </c>
      <c r="P3844" s="16" t="n">
        <v>279.7230067017183</v>
      </c>
      <c r="Q3844" s="16" t="n">
        <v>4236.226351484134</v>
      </c>
      <c r="R3844" s="16" t="n">
        <v>1006.937147624862</v>
      </c>
      <c r="S3844" s="16" t="n">
        <v>0.5</v>
      </c>
      <c r="T3844" s="16" t="n">
        <v>0.85</v>
      </c>
      <c r="U3844" s="16" t="n">
        <v>0.75</v>
      </c>
      <c r="V3844" s="16" t="n">
        <v>0.85</v>
      </c>
      <c r="W3844" s="16" t="n">
        <v>0.75</v>
      </c>
      <c r="X3844" s="16" t="n">
        <v>0.8</v>
      </c>
      <c r="Y3844" s="16" t="n">
        <v>279.7230067017183</v>
      </c>
      <c r="Z3844" s="16" t="n">
        <v>-138.1943966210405</v>
      </c>
      <c r="AA3844" s="16" t="n">
        <v>-44.84868937367714</v>
      </c>
      <c r="AB3844" s="16" t="n">
        <v>3229.289203859272</v>
      </c>
      <c r="AC3844" s="16" t="n">
        <v>4.207041483648148</v>
      </c>
      <c r="AD3844" s="16" t="inlineStr">
        <is>
          <t>N2,S6,O3,O5,C1,C3,C3</t>
        </is>
      </c>
      <c r="AE3844" s="16" t="n"/>
    </row>
    <row r="3845">
      <c r="A3845" s="16" t="inlineStr">
        <is>
          <t>KF-M09-R1-x_b+eficiencias-0001</t>
        </is>
      </c>
      <c r="B3845" s="16" t="inlineStr">
        <is>
          <t>4.3</t>
        </is>
      </c>
      <c r="C3845" s="16" t="inlineStr">
        <is>
          <t>4.3 x_b+eficiencias</t>
        </is>
      </c>
      <c r="D3845" s="16" t="inlineStr">
        <is>
          <t>ronda 1</t>
        </is>
      </c>
      <c r="E3845" s="16" t="inlineStr">
        <is>
          <t>KF-M09</t>
        </is>
      </c>
      <c r="F3845" s="16" t="inlineStr">
        <is>
          <t>KF-M09-R1-x_b+eficiencias</t>
        </is>
      </c>
      <c r="G3845" s="16" t="inlineStr">
        <is>
          <t>B13-x_b+eficiencias</t>
        </is>
      </c>
      <c r="H3845" s="16" t="inlineStr">
        <is>
          <t>lhs</t>
        </is>
      </c>
      <c r="I3845" s="16" t="inlineStr">
        <is>
          <t>CORREGIBLE</t>
        </is>
      </c>
      <c r="J3845" s="16" t="inlineStr">
        <is>
          <t>CORREGIBLE</t>
        </is>
      </c>
      <c r="K3845" s="16" t="b">
        <v>1</v>
      </c>
      <c r="L3845" s="16" t="b">
        <v>0</v>
      </c>
      <c r="M3845" s="16" t="b">
        <v>1</v>
      </c>
      <c r="N3845" s="16" t="b">
        <v>0</v>
      </c>
      <c r="O3845" s="16" t="n">
        <v>465.363303515637</v>
      </c>
      <c r="P3845" s="16" t="n">
        <v>283.5588625617805</v>
      </c>
      <c r="Q3845" s="16" t="n">
        <v>3811.784930846119</v>
      </c>
      <c r="R3845" s="16" t="n">
        <v>455.3787606252119</v>
      </c>
      <c r="S3845" s="16" t="n">
        <v>0.5</v>
      </c>
      <c r="T3845" s="16" t="n">
        <v>0.85</v>
      </c>
      <c r="U3845" s="16" t="n">
        <v>0.75</v>
      </c>
      <c r="V3845" s="16" t="n">
        <v>0.85</v>
      </c>
      <c r="W3845" s="16" t="n">
        <v>0.75</v>
      </c>
      <c r="X3845" s="16" t="n">
        <v>0.8</v>
      </c>
      <c r="Y3845" s="16" t="n">
        <v>283.5588625617805</v>
      </c>
      <c r="Z3845" s="16" t="n">
        <v>14.15926232556043</v>
      </c>
      <c r="AA3845" s="16" t="n">
        <v>154.9446731592508</v>
      </c>
      <c r="AB3845" s="16" t="n">
        <v>3356.406170220908</v>
      </c>
      <c r="AC3845" s="16" t="n">
        <v>8.370581284056227</v>
      </c>
      <c r="AD3845" s="16" t="inlineStr">
        <is>
          <t>O1,O2</t>
        </is>
      </c>
      <c r="AE3845" s="16" t="n"/>
    </row>
    <row r="3846">
      <c r="A3846" s="16" t="inlineStr">
        <is>
          <t>KF-M09-R1-x_b+eficiencias-0002</t>
        </is>
      </c>
      <c r="B3846" s="16" t="inlineStr">
        <is>
          <t>4.3</t>
        </is>
      </c>
      <c r="C3846" s="16" t="inlineStr">
        <is>
          <t>4.3 x_b+eficiencias</t>
        </is>
      </c>
      <c r="D3846" s="16" t="inlineStr">
        <is>
          <t>ronda 1</t>
        </is>
      </c>
      <c r="E3846" s="16" t="inlineStr">
        <is>
          <t>KF-M09</t>
        </is>
      </c>
      <c r="F3846" s="16" t="inlineStr">
        <is>
          <t>KF-M09-R1-x_b+eficiencias</t>
        </is>
      </c>
      <c r="G3846" s="16" t="inlineStr">
        <is>
          <t>B13-x_b+eficiencias</t>
        </is>
      </c>
      <c r="H3846" s="16" t="inlineStr">
        <is>
          <t>lhs</t>
        </is>
      </c>
      <c r="I3846" s="16" t="inlineStr">
        <is>
          <t>CORREGIBLE</t>
        </is>
      </c>
      <c r="J3846" s="16" t="inlineStr">
        <is>
          <t>CORREGIBLE</t>
        </is>
      </c>
      <c r="K3846" s="16" t="b">
        <v>1</v>
      </c>
      <c r="L3846" s="16" t="b">
        <v>0</v>
      </c>
      <c r="M3846" s="16" t="b">
        <v>1</v>
      </c>
      <c r="N3846" s="16" t="b">
        <v>0</v>
      </c>
      <c r="O3846" s="16" t="n">
        <v>460.81311405151</v>
      </c>
      <c r="P3846" s="16" t="n">
        <v>289.8623076986778</v>
      </c>
      <c r="Q3846" s="16" t="n">
        <v>2378.317889357372</v>
      </c>
      <c r="R3846" s="16" t="n">
        <v>694.7651397315342</v>
      </c>
      <c r="S3846" s="16" t="n">
        <v>0.5</v>
      </c>
      <c r="T3846" s="16" t="n">
        <v>0.85</v>
      </c>
      <c r="U3846" s="16" t="n">
        <v>0.75</v>
      </c>
      <c r="V3846" s="16" t="n">
        <v>0.85</v>
      </c>
      <c r="W3846" s="16" t="n">
        <v>0.75</v>
      </c>
      <c r="X3846" s="16" t="n">
        <v>0.8</v>
      </c>
      <c r="Y3846" s="16" t="n">
        <v>289.8623076986778</v>
      </c>
      <c r="Z3846" s="16" t="n">
        <v>8.67258109798358</v>
      </c>
      <c r="AA3846" s="16" t="n">
        <v>140.6226263434584</v>
      </c>
      <c r="AB3846" s="16" t="n">
        <v>1683.552749625838</v>
      </c>
      <c r="AC3846" s="16" t="n">
        <v>3.423196924181291</v>
      </c>
      <c r="AD3846" s="16" t="inlineStr">
        <is>
          <t>O2</t>
        </is>
      </c>
      <c r="AE3846" s="16" t="n"/>
    </row>
    <row r="3847">
      <c r="A3847" s="16" t="inlineStr">
        <is>
          <t>KF-M09-R1-x_b+eficiencias-0003</t>
        </is>
      </c>
      <c r="B3847" s="16" t="inlineStr">
        <is>
          <t>4.3</t>
        </is>
      </c>
      <c r="C3847" s="16" t="inlineStr">
        <is>
          <t>4.3 x_b+eficiencias</t>
        </is>
      </c>
      <c r="D3847" s="16" t="inlineStr">
        <is>
          <t>ronda 1</t>
        </is>
      </c>
      <c r="E3847" s="16" t="inlineStr">
        <is>
          <t>KF-M09</t>
        </is>
      </c>
      <c r="F3847" s="16" t="inlineStr">
        <is>
          <t>KF-M09-R1-x_b+eficiencias</t>
        </is>
      </c>
      <c r="G3847" s="16" t="inlineStr">
        <is>
          <t>B13-x_b+eficiencias</t>
        </is>
      </c>
      <c r="H3847" s="16" t="inlineStr">
        <is>
          <t>lhs</t>
        </is>
      </c>
      <c r="I3847" s="16" t="inlineStr">
        <is>
          <t>KALINA</t>
        </is>
      </c>
      <c r="J3847" s="16" t="inlineStr">
        <is>
          <t>KALINA</t>
        </is>
      </c>
      <c r="K3847" s="16" t="b">
        <v>1</v>
      </c>
      <c r="L3847" s="16" t="b">
        <v>0</v>
      </c>
      <c r="M3847" s="16" t="b">
        <v>1</v>
      </c>
      <c r="N3847" s="16" t="b">
        <v>0</v>
      </c>
      <c r="O3847" s="16" t="n">
        <v>430.0697651280695</v>
      </c>
      <c r="P3847" s="16" t="n">
        <v>280.4109709699582</v>
      </c>
      <c r="Q3847" s="16" t="n">
        <v>4538.204386292728</v>
      </c>
      <c r="R3847" s="16" t="n">
        <v>897.2546963336803</v>
      </c>
      <c r="S3847" s="16" t="n">
        <v>0.5</v>
      </c>
      <c r="T3847" s="16" t="n">
        <v>0.85</v>
      </c>
      <c r="U3847" s="16" t="n">
        <v>0.75</v>
      </c>
      <c r="V3847" s="16" t="n">
        <v>0.85</v>
      </c>
      <c r="W3847" s="16" t="n">
        <v>0.75</v>
      </c>
      <c r="X3847" s="16" t="n">
        <v>0.8</v>
      </c>
      <c r="Y3847" s="16" t="n">
        <v>280.4109709699582</v>
      </c>
      <c r="Z3847" s="16" t="n">
        <v>7.166002420337721</v>
      </c>
      <c r="AA3847" s="16" t="n">
        <v>28.55536267908141</v>
      </c>
      <c r="AB3847" s="16" t="n">
        <v>3640.949689959047</v>
      </c>
      <c r="AC3847" s="16" t="n">
        <v>5.057877551197585</v>
      </c>
      <c r="AD3847" s="16" t="n"/>
      <c r="AE3847" s="16" t="n"/>
    </row>
    <row r="3848">
      <c r="A3848" s="16" t="inlineStr">
        <is>
          <t>KF-M09-R1-x_b+eficiencias-0004</t>
        </is>
      </c>
      <c r="B3848" s="16" t="inlineStr">
        <is>
          <t>4.3</t>
        </is>
      </c>
      <c r="C3848" s="16" t="inlineStr">
        <is>
          <t>4.3 x_b+eficiencias</t>
        </is>
      </c>
      <c r="D3848" s="16" t="inlineStr">
        <is>
          <t>ronda 1</t>
        </is>
      </c>
      <c r="E3848" s="16" t="inlineStr">
        <is>
          <t>KF-M09</t>
        </is>
      </c>
      <c r="F3848" s="16" t="inlineStr">
        <is>
          <t>KF-M09-R1-x_b+eficiencias</t>
        </is>
      </c>
      <c r="G3848" s="16" t="inlineStr">
        <is>
          <t>B13-x_b+eficiencias</t>
        </is>
      </c>
      <c r="H3848" s="16" t="inlineStr">
        <is>
          <t>lhs</t>
        </is>
      </c>
      <c r="I3848" s="16" t="inlineStr">
        <is>
          <t>KALINA</t>
        </is>
      </c>
      <c r="J3848" s="16" t="inlineStr">
        <is>
          <t>KALINA</t>
        </is>
      </c>
      <c r="K3848" s="16" t="b">
        <v>1</v>
      </c>
      <c r="L3848" s="16" t="b">
        <v>0</v>
      </c>
      <c r="M3848" s="16" t="b">
        <v>1</v>
      </c>
      <c r="N3848" s="16" t="b">
        <v>0</v>
      </c>
      <c r="O3848" s="16" t="n">
        <v>436.4683935012937</v>
      </c>
      <c r="P3848" s="16" t="n">
        <v>296.7608224829561</v>
      </c>
      <c r="Q3848" s="16" t="n">
        <v>2818.477751496419</v>
      </c>
      <c r="R3848" s="16" t="n">
        <v>1273.827186847795</v>
      </c>
      <c r="S3848" s="16" t="n">
        <v>0.5</v>
      </c>
      <c r="T3848" s="16" t="n">
        <v>0.85</v>
      </c>
      <c r="U3848" s="16" t="n">
        <v>0.75</v>
      </c>
      <c r="V3848" s="16" t="n">
        <v>0.85</v>
      </c>
      <c r="W3848" s="16" t="n">
        <v>0.75</v>
      </c>
      <c r="X3848" s="16" t="n">
        <v>0.8</v>
      </c>
      <c r="Y3848" s="16" t="n">
        <v>296.7608224829561</v>
      </c>
      <c r="Z3848" s="16" t="n">
        <v>5.8480313607424</v>
      </c>
      <c r="AA3848" s="16" t="n">
        <v>44.84171223523443</v>
      </c>
      <c r="AB3848" s="16" t="n">
        <v>1544.650564648624</v>
      </c>
      <c r="AC3848" s="16" t="n">
        <v>2.21260605881007</v>
      </c>
      <c r="AD3848" s="16" t="n"/>
      <c r="AE3848" s="16" t="n"/>
    </row>
    <row r="3849">
      <c r="A3849" s="16" t="inlineStr">
        <is>
          <t>KF-M09-R1-x_b+eficiencias-0005</t>
        </is>
      </c>
      <c r="B3849" s="16" t="inlineStr">
        <is>
          <t>4.3</t>
        </is>
      </c>
      <c r="C3849" s="16" t="inlineStr">
        <is>
          <t>4.3 x_b+eficiencias</t>
        </is>
      </c>
      <c r="D3849" s="16" t="inlineStr">
        <is>
          <t>ronda 1</t>
        </is>
      </c>
      <c r="E3849" s="16" t="inlineStr">
        <is>
          <t>KF-M09</t>
        </is>
      </c>
      <c r="F3849" s="16" t="inlineStr">
        <is>
          <t>KF-M09-R1-x_b+eficiencias</t>
        </is>
      </c>
      <c r="G3849" s="16" t="inlineStr">
        <is>
          <t>B13-x_b+eficiencias</t>
        </is>
      </c>
      <c r="H3849" s="16" t="inlineStr">
        <is>
          <t>lhs</t>
        </is>
      </c>
      <c r="I3849" s="16" t="inlineStr">
        <is>
          <t>CORREGIBLE</t>
        </is>
      </c>
      <c r="J3849" s="16" t="inlineStr">
        <is>
          <t>CORREGIBLE</t>
        </is>
      </c>
      <c r="K3849" s="16" t="b">
        <v>1</v>
      </c>
      <c r="L3849" s="16" t="b">
        <v>0</v>
      </c>
      <c r="M3849" s="16" t="b">
        <v>1</v>
      </c>
      <c r="N3849" s="16" t="b">
        <v>0</v>
      </c>
      <c r="O3849" s="16" t="n">
        <v>514.7140507474381</v>
      </c>
      <c r="P3849" s="16" t="n">
        <v>299.7908107604164</v>
      </c>
      <c r="Q3849" s="16" t="n">
        <v>2992.789413231787</v>
      </c>
      <c r="R3849" s="16" t="n">
        <v>1726.788529672536</v>
      </c>
      <c r="S3849" s="16" t="n">
        <v>0.5</v>
      </c>
      <c r="T3849" s="16" t="n">
        <v>0.85</v>
      </c>
      <c r="U3849" s="16" t="n">
        <v>0.75</v>
      </c>
      <c r="V3849" s="16" t="n">
        <v>0.85</v>
      </c>
      <c r="W3849" s="16" t="n">
        <v>0.75</v>
      </c>
      <c r="X3849" s="16" t="n">
        <v>0.8</v>
      </c>
      <c r="Y3849" s="16" t="n">
        <v>299.7908107604164</v>
      </c>
      <c r="Z3849" s="16" t="n">
        <v>4.29102354826937</v>
      </c>
      <c r="AA3849" s="16" t="n">
        <v>73.38469478306581</v>
      </c>
      <c r="AB3849" s="16" t="n">
        <v>1266.000883559251</v>
      </c>
      <c r="AC3849" s="16" t="n">
        <v>1.733153401128586</v>
      </c>
      <c r="AD3849" s="16" t="inlineStr">
        <is>
          <t>O2</t>
        </is>
      </c>
      <c r="AE3849" s="16" t="n"/>
    </row>
    <row r="3850">
      <c r="A3850" s="16" t="inlineStr">
        <is>
          <t>KF-M09-R1-x_b+eficiencias-0006</t>
        </is>
      </c>
      <c r="B3850" s="16" t="inlineStr">
        <is>
          <t>4.3</t>
        </is>
      </c>
      <c r="C3850" s="16" t="inlineStr">
        <is>
          <t>4.3 x_b+eficiencias</t>
        </is>
      </c>
      <c r="D3850" s="16" t="inlineStr">
        <is>
          <t>ronda 1</t>
        </is>
      </c>
      <c r="E3850" s="16" t="inlineStr">
        <is>
          <t>KF-M09</t>
        </is>
      </c>
      <c r="F3850" s="16" t="inlineStr">
        <is>
          <t>KF-M09-R1-x_b+eficiencias</t>
        </is>
      </c>
      <c r="G3850" s="16" t="inlineStr">
        <is>
          <t>B13-x_b+eficiencias</t>
        </is>
      </c>
      <c r="H3850" s="16" t="inlineStr">
        <is>
          <t>lhs</t>
        </is>
      </c>
      <c r="I3850" s="16" t="inlineStr">
        <is>
          <t>CORREGIBLE</t>
        </is>
      </c>
      <c r="J3850" s="16" t="inlineStr">
        <is>
          <t>CORREGIBLE</t>
        </is>
      </c>
      <c r="K3850" s="16" t="b">
        <v>1</v>
      </c>
      <c r="L3850" s="16" t="b">
        <v>0</v>
      </c>
      <c r="M3850" s="16" t="b">
        <v>1</v>
      </c>
      <c r="N3850" s="16" t="b">
        <v>0</v>
      </c>
      <c r="O3850" s="16" t="n">
        <v>506.8417783134193</v>
      </c>
      <c r="P3850" s="16" t="n">
        <v>281.1523729148303</v>
      </c>
      <c r="Q3850" s="16" t="n">
        <v>4717.551680244769</v>
      </c>
      <c r="R3850" s="16" t="n">
        <v>1406.741141638304</v>
      </c>
      <c r="S3850" s="16" t="n">
        <v>0.5</v>
      </c>
      <c r="T3850" s="16" t="n">
        <v>0.85</v>
      </c>
      <c r="U3850" s="16" t="n">
        <v>0.75</v>
      </c>
      <c r="V3850" s="16" t="n">
        <v>0.85</v>
      </c>
      <c r="W3850" s="16" t="n">
        <v>0.75</v>
      </c>
      <c r="X3850" s="16" t="n">
        <v>0.8</v>
      </c>
      <c r="Y3850" s="16" t="n">
        <v>281.1523729148303</v>
      </c>
      <c r="Z3850" s="16" t="n">
        <v>9.03873083941634</v>
      </c>
      <c r="AA3850" s="16" t="n">
        <v>153.8928211599434</v>
      </c>
      <c r="AB3850" s="16" t="n">
        <v>3310.810538606465</v>
      </c>
      <c r="AC3850" s="16" t="n">
        <v>3.353532174903668</v>
      </c>
      <c r="AD3850" s="16" t="inlineStr">
        <is>
          <t>O2</t>
        </is>
      </c>
      <c r="AE3850" s="16" t="n"/>
    </row>
    <row r="3851">
      <c r="A3851" s="16" t="inlineStr">
        <is>
          <t>KF-M09-R1-x_b+eficiencias-0007</t>
        </is>
      </c>
      <c r="B3851" s="16" t="inlineStr">
        <is>
          <t>4.3</t>
        </is>
      </c>
      <c r="C3851" s="16" t="inlineStr">
        <is>
          <t>4.3 x_b+eficiencias</t>
        </is>
      </c>
      <c r="D3851" s="16" t="inlineStr">
        <is>
          <t>ronda 1</t>
        </is>
      </c>
      <c r="E3851" s="16" t="inlineStr">
        <is>
          <t>KF-M09</t>
        </is>
      </c>
      <c r="F3851" s="16" t="inlineStr">
        <is>
          <t>KF-M09-R1-x_b+eficiencias</t>
        </is>
      </c>
      <c r="G3851" s="16" t="inlineStr">
        <is>
          <t>B13-x_b+eficiencias</t>
        </is>
      </c>
      <c r="H3851" s="16" t="inlineStr">
        <is>
          <t>lhs</t>
        </is>
      </c>
      <c r="I3851" s="16" t="inlineStr">
        <is>
          <t>CORREGIBLE</t>
        </is>
      </c>
      <c r="J3851" s="16" t="inlineStr">
        <is>
          <t>CORREGIBLE</t>
        </is>
      </c>
      <c r="K3851" s="16" t="b">
        <v>1</v>
      </c>
      <c r="L3851" s="16" t="b">
        <v>0</v>
      </c>
      <c r="M3851" s="16" t="b">
        <v>1</v>
      </c>
      <c r="N3851" s="16" t="b">
        <v>0</v>
      </c>
      <c r="O3851" s="16" t="n">
        <v>454.1503354438948</v>
      </c>
      <c r="P3851" s="16" t="n">
        <v>288.3373793066057</v>
      </c>
      <c r="Q3851" s="16" t="n">
        <v>2186.197727904543</v>
      </c>
      <c r="R3851" s="16" t="n">
        <v>753.5616361530599</v>
      </c>
      <c r="S3851" s="16" t="n">
        <v>0.5</v>
      </c>
      <c r="T3851" s="16" t="n">
        <v>0.85</v>
      </c>
      <c r="U3851" s="16" t="n">
        <v>0.75</v>
      </c>
      <c r="V3851" s="16" t="n">
        <v>0.85</v>
      </c>
      <c r="W3851" s="16" t="n">
        <v>0.75</v>
      </c>
      <c r="X3851" s="16" t="n">
        <v>0.8</v>
      </c>
      <c r="Y3851" s="16" t="n">
        <v>288.3373793066057</v>
      </c>
      <c r="Z3851" s="16" t="n">
        <v>7.67097420869839</v>
      </c>
      <c r="AA3851" s="16" t="n">
        <v>114.6835085776328</v>
      </c>
      <c r="AB3851" s="16" t="n">
        <v>1432.636091751483</v>
      </c>
      <c r="AC3851" s="16" t="n">
        <v>2.901153167861763</v>
      </c>
      <c r="AD3851" s="16" t="inlineStr">
        <is>
          <t>O2</t>
        </is>
      </c>
      <c r="AE3851" s="16" t="n"/>
    </row>
    <row r="3852">
      <c r="A3852" s="16" t="inlineStr">
        <is>
          <t>KF-M09-R1-x_b+eficiencias-0008</t>
        </is>
      </c>
      <c r="B3852" s="16" t="inlineStr">
        <is>
          <t>4.3</t>
        </is>
      </c>
      <c r="C3852" s="16" t="inlineStr">
        <is>
          <t>4.3 x_b+eficiencias</t>
        </is>
      </c>
      <c r="D3852" s="16" t="inlineStr">
        <is>
          <t>ronda 1</t>
        </is>
      </c>
      <c r="E3852" s="16" t="inlineStr">
        <is>
          <t>KF-M09</t>
        </is>
      </c>
      <c r="F3852" s="16" t="inlineStr">
        <is>
          <t>KF-M09-R1-x_b+eficiencias</t>
        </is>
      </c>
      <c r="G3852" s="16" t="inlineStr">
        <is>
          <t>B13-x_b+eficiencias</t>
        </is>
      </c>
      <c r="H3852" s="16" t="inlineStr">
        <is>
          <t>lhs</t>
        </is>
      </c>
      <c r="I3852" s="16" t="inlineStr">
        <is>
          <t>CORREGIBLE</t>
        </is>
      </c>
      <c r="J3852" s="16" t="inlineStr">
        <is>
          <t>CORREGIBLE</t>
        </is>
      </c>
      <c r="K3852" s="16" t="b">
        <v>1</v>
      </c>
      <c r="L3852" s="16" t="b">
        <v>0</v>
      </c>
      <c r="M3852" s="16" t="b">
        <v>1</v>
      </c>
      <c r="N3852" s="16" t="b">
        <v>0</v>
      </c>
      <c r="O3852" s="16" t="n">
        <v>457.6024055359514</v>
      </c>
      <c r="P3852" s="16" t="n">
        <v>302.6525645291197</v>
      </c>
      <c r="Q3852" s="16" t="n">
        <v>3427.916860988302</v>
      </c>
      <c r="R3852" s="16" t="n">
        <v>955.4657096368692</v>
      </c>
      <c r="S3852" s="16" t="n">
        <v>0.5</v>
      </c>
      <c r="T3852" s="16" t="n">
        <v>0.85</v>
      </c>
      <c r="U3852" s="16" t="n">
        <v>0.75</v>
      </c>
      <c r="V3852" s="16" t="n">
        <v>0.85</v>
      </c>
      <c r="W3852" s="16" t="n">
        <v>0.75</v>
      </c>
      <c r="X3852" s="16" t="n">
        <v>0.8</v>
      </c>
      <c r="Y3852" s="16" t="n">
        <v>302.6525645291197</v>
      </c>
      <c r="Z3852" s="16" t="n">
        <v>9.40373354552313</v>
      </c>
      <c r="AA3852" s="16" t="n">
        <v>92.43548057597572</v>
      </c>
      <c r="AB3852" s="16" t="n">
        <v>2472.451151351433</v>
      </c>
      <c r="AC3852" s="16" t="n">
        <v>3.587692186558012</v>
      </c>
      <c r="AD3852" s="16" t="inlineStr">
        <is>
          <t>O2</t>
        </is>
      </c>
      <c r="AE3852" s="16" t="n"/>
    </row>
    <row r="3853">
      <c r="A3853" s="16" t="inlineStr">
        <is>
          <t>KF-M09-R1-x_b+eficiencias-0009</t>
        </is>
      </c>
      <c r="B3853" s="16" t="inlineStr">
        <is>
          <t>4.3</t>
        </is>
      </c>
      <c r="C3853" s="16" t="inlineStr">
        <is>
          <t>4.3 x_b+eficiencias</t>
        </is>
      </c>
      <c r="D3853" s="16" t="inlineStr">
        <is>
          <t>ronda 1</t>
        </is>
      </c>
      <c r="E3853" s="16" t="inlineStr">
        <is>
          <t>KF-M09</t>
        </is>
      </c>
      <c r="F3853" s="16" t="inlineStr">
        <is>
          <t>KF-M09-R1-x_b+eficiencias</t>
        </is>
      </c>
      <c r="G3853" s="16" t="inlineStr">
        <is>
          <t>B13-x_b+eficiencias</t>
        </is>
      </c>
      <c r="H3853" s="16" t="inlineStr">
        <is>
          <t>lhs</t>
        </is>
      </c>
      <c r="I3853" s="16" t="inlineStr">
        <is>
          <t>KALINA</t>
        </is>
      </c>
      <c r="J3853" s="16" t="inlineStr">
        <is>
          <t>KALINA</t>
        </is>
      </c>
      <c r="K3853" s="16" t="b">
        <v>1</v>
      </c>
      <c r="L3853" s="16" t="b">
        <v>1</v>
      </c>
      <c r="M3853" s="16" t="b">
        <v>0</v>
      </c>
      <c r="N3853" s="16" t="b">
        <v>0</v>
      </c>
      <c r="O3853" s="16" t="n">
        <v>395.5533158989132</v>
      </c>
      <c r="P3853" s="16" t="n">
        <v>297.4118736351343</v>
      </c>
      <c r="Q3853" s="16" t="n">
        <v>2748.342612277589</v>
      </c>
      <c r="R3853" s="16" t="n">
        <v>525.3917405900867</v>
      </c>
      <c r="S3853" s="16" t="n">
        <v>0.5</v>
      </c>
      <c r="T3853" s="16" t="n">
        <v>0.85</v>
      </c>
      <c r="U3853" s="16" t="n">
        <v>0.75</v>
      </c>
      <c r="V3853" s="16" t="n">
        <v>0.85</v>
      </c>
      <c r="W3853" s="16" t="n">
        <v>0.75</v>
      </c>
      <c r="X3853" s="16" t="n">
        <v>0.8</v>
      </c>
      <c r="Y3853" s="16" t="n">
        <v>297.4118736351343</v>
      </c>
      <c r="Z3853" s="16" t="n">
        <v>7.81484120730621</v>
      </c>
      <c r="AA3853" s="16" t="n">
        <v>21.23235068462165</v>
      </c>
      <c r="AB3853" s="16" t="n">
        <v>2222.950871687503</v>
      </c>
      <c r="AC3853" s="16" t="n">
        <v>5.231035054321229</v>
      </c>
      <c r="AD3853" s="16" t="n"/>
      <c r="AE3853" s="16" t="n"/>
    </row>
    <row r="3854">
      <c r="A3854" s="16" t="inlineStr">
        <is>
          <t>KF-M09-R1-x_b+eficiencias-0010</t>
        </is>
      </c>
      <c r="B3854" s="16" t="inlineStr">
        <is>
          <t>4.3</t>
        </is>
      </c>
      <c r="C3854" s="16" t="inlineStr">
        <is>
          <t>4.3 x_b+eficiencias</t>
        </is>
      </c>
      <c r="D3854" s="16" t="inlineStr">
        <is>
          <t>ronda 1</t>
        </is>
      </c>
      <c r="E3854" s="16" t="inlineStr">
        <is>
          <t>KF-M09</t>
        </is>
      </c>
      <c r="F3854" s="16" t="inlineStr">
        <is>
          <t>KF-M09-R1-x_b+eficiencias</t>
        </is>
      </c>
      <c r="G3854" s="16" t="inlineStr">
        <is>
          <t>B13-x_b+eficiencias</t>
        </is>
      </c>
      <c r="H3854" s="16" t="inlineStr">
        <is>
          <t>lhs</t>
        </is>
      </c>
      <c r="I3854" s="16" t="inlineStr">
        <is>
          <t>CORREGIBLE</t>
        </is>
      </c>
      <c r="J3854" s="16" t="inlineStr">
        <is>
          <t>CORREGIBLE</t>
        </is>
      </c>
      <c r="K3854" s="16" t="b">
        <v>1</v>
      </c>
      <c r="L3854" s="16" t="b">
        <v>0</v>
      </c>
      <c r="M3854" s="16" t="b">
        <v>1</v>
      </c>
      <c r="N3854" s="16" t="b">
        <v>0</v>
      </c>
      <c r="O3854" s="16" t="n">
        <v>477.8740316156473</v>
      </c>
      <c r="P3854" s="16" t="n">
        <v>291.611779330629</v>
      </c>
      <c r="Q3854" s="16" t="n">
        <v>3992.937806669774</v>
      </c>
      <c r="R3854" s="16" t="n">
        <v>1089.594783536235</v>
      </c>
      <c r="S3854" s="16" t="n">
        <v>0.5</v>
      </c>
      <c r="T3854" s="16" t="n">
        <v>0.85</v>
      </c>
      <c r="U3854" s="16" t="n">
        <v>0.75</v>
      </c>
      <c r="V3854" s="16" t="n">
        <v>0.85</v>
      </c>
      <c r="W3854" s="16" t="n">
        <v>0.75</v>
      </c>
      <c r="X3854" s="16" t="n">
        <v>0.8</v>
      </c>
      <c r="Y3854" s="16" t="n">
        <v>291.611779330629</v>
      </c>
      <c r="Z3854" s="16" t="n">
        <v>9.59478900462741</v>
      </c>
      <c r="AA3854" s="16" t="n">
        <v>130.212947899131</v>
      </c>
      <c r="AB3854" s="16" t="n">
        <v>2903.343023133539</v>
      </c>
      <c r="AC3854" s="16" t="n">
        <v>3.664608042368613</v>
      </c>
      <c r="AD3854" s="16" t="inlineStr">
        <is>
          <t>O2</t>
        </is>
      </c>
      <c r="AE3854" s="16" t="n"/>
    </row>
    <row r="3855">
      <c r="A3855" s="16" t="inlineStr">
        <is>
          <t>KF-M09-R1-x_b+eficiencias-0011</t>
        </is>
      </c>
      <c r="B3855" s="16" t="inlineStr">
        <is>
          <t>4.3</t>
        </is>
      </c>
      <c r="C3855" s="16" t="inlineStr">
        <is>
          <t>4.3 x_b+eficiencias</t>
        </is>
      </c>
      <c r="D3855" s="16" t="inlineStr">
        <is>
          <t>ronda 1</t>
        </is>
      </c>
      <c r="E3855" s="16" t="inlineStr">
        <is>
          <t>KF-M09</t>
        </is>
      </c>
      <c r="F3855" s="16" t="inlineStr">
        <is>
          <t>KF-M09-R1-x_b+eficiencias</t>
        </is>
      </c>
      <c r="G3855" s="16" t="inlineStr">
        <is>
          <t>B13-x_b+eficiencias</t>
        </is>
      </c>
      <c r="H3855" s="16" t="inlineStr">
        <is>
          <t>lhs</t>
        </is>
      </c>
      <c r="I3855" s="16" t="inlineStr">
        <is>
          <t>KALINA</t>
        </is>
      </c>
      <c r="J3855" s="16" t="inlineStr">
        <is>
          <t>KALINA</t>
        </is>
      </c>
      <c r="K3855" s="16" t="b">
        <v>1</v>
      </c>
      <c r="L3855" s="16" t="b">
        <v>1</v>
      </c>
      <c r="M3855" s="16" t="b">
        <v>0</v>
      </c>
      <c r="N3855" s="16" t="b">
        <v>0</v>
      </c>
      <c r="O3855" s="16" t="n">
        <v>410.6379647079683</v>
      </c>
      <c r="P3855" s="16" t="n">
        <v>290.843315900609</v>
      </c>
      <c r="Q3855" s="16" t="n">
        <v>3227.572230822402</v>
      </c>
      <c r="R3855" s="16" t="n">
        <v>1342.143432580005</v>
      </c>
      <c r="S3855" s="16" t="n">
        <v>0.5</v>
      </c>
      <c r="T3855" s="16" t="n">
        <v>0.85</v>
      </c>
      <c r="U3855" s="16" t="n">
        <v>0.75</v>
      </c>
      <c r="V3855" s="16" t="n">
        <v>0.85</v>
      </c>
      <c r="W3855" s="16" t="n">
        <v>0.75</v>
      </c>
      <c r="X3855" s="16" t="n">
        <v>0.8</v>
      </c>
      <c r="Y3855" s="16" t="n">
        <v>290.843315900609</v>
      </c>
      <c r="Z3855" s="16" t="n">
        <v>4.55404838858028</v>
      </c>
      <c r="AA3855" s="16" t="n">
        <v>16.60408709096323</v>
      </c>
      <c r="AB3855" s="16" t="n">
        <v>1885.428798242397</v>
      </c>
      <c r="AC3855" s="16" t="n">
        <v>2.404789348496109</v>
      </c>
      <c r="AD3855" s="16" t="n"/>
      <c r="AE3855" s="16" t="n"/>
    </row>
    <row r="3856">
      <c r="A3856" s="16" t="inlineStr">
        <is>
          <t>KF-M09-R1-x_b+eficiencias-0012</t>
        </is>
      </c>
      <c r="B3856" s="16" t="inlineStr">
        <is>
          <t>4.3</t>
        </is>
      </c>
      <c r="C3856" s="16" t="inlineStr">
        <is>
          <t>4.3 x_b+eficiencias</t>
        </is>
      </c>
      <c r="D3856" s="16" t="inlineStr">
        <is>
          <t>ronda 1</t>
        </is>
      </c>
      <c r="E3856" s="16" t="inlineStr">
        <is>
          <t>KF-M09</t>
        </is>
      </c>
      <c r="F3856" s="16" t="inlineStr">
        <is>
          <t>KF-M09-R1-x_b+eficiencias</t>
        </is>
      </c>
      <c r="G3856" s="16" t="inlineStr">
        <is>
          <t>B13-x_b+eficiencias</t>
        </is>
      </c>
      <c r="H3856" s="16" t="inlineStr">
        <is>
          <t>lhs</t>
        </is>
      </c>
      <c r="I3856" s="16" t="inlineStr">
        <is>
          <t>KALINA</t>
        </is>
      </c>
      <c r="J3856" s="16" t="inlineStr">
        <is>
          <t>KALINA</t>
        </is>
      </c>
      <c r="K3856" s="16" t="b">
        <v>1</v>
      </c>
      <c r="L3856" s="16" t="b">
        <v>1</v>
      </c>
      <c r="M3856" s="16" t="b">
        <v>0</v>
      </c>
      <c r="N3856" s="16" t="b">
        <v>0</v>
      </c>
      <c r="O3856" s="16" t="n">
        <v>402.6038150156632</v>
      </c>
      <c r="P3856" s="16" t="n">
        <v>300.7969144329563</v>
      </c>
      <c r="Q3856" s="16" t="n">
        <v>2506.903590221537</v>
      </c>
      <c r="R3856" s="16" t="n">
        <v>1594.491423588665</v>
      </c>
      <c r="S3856" s="16" t="n">
        <v>0.5</v>
      </c>
      <c r="T3856" s="16" t="n">
        <v>0.85</v>
      </c>
      <c r="U3856" s="16" t="n">
        <v>0.75</v>
      </c>
      <c r="V3856" s="16" t="n">
        <v>0.85</v>
      </c>
      <c r="W3856" s="16" t="n">
        <v>0.75</v>
      </c>
      <c r="X3856" s="16" t="n">
        <v>0.8</v>
      </c>
      <c r="Y3856" s="16" t="n">
        <v>300.7969144329563</v>
      </c>
      <c r="Z3856" s="16" t="n">
        <v>2.88131451458893</v>
      </c>
      <c r="AA3856" s="16" t="n">
        <v>11.37463803825076</v>
      </c>
      <c r="AB3856" s="16" t="n">
        <v>912.4121666328726</v>
      </c>
      <c r="AC3856" s="16" t="n">
        <v>1.572227704166222</v>
      </c>
      <c r="AD3856" s="16" t="n"/>
      <c r="AE3856" s="16" t="n"/>
    </row>
    <row r="3857">
      <c r="A3857" s="16" t="inlineStr">
        <is>
          <t>KF-M09-R1-x_b+eficiencias-0013</t>
        </is>
      </c>
      <c r="B3857" s="16" t="inlineStr">
        <is>
          <t>4.3</t>
        </is>
      </c>
      <c r="C3857" s="16" t="inlineStr">
        <is>
          <t>4.3 x_b+eficiencias</t>
        </is>
      </c>
      <c r="D3857" s="16" t="inlineStr">
        <is>
          <t>ronda 1</t>
        </is>
      </c>
      <c r="E3857" s="16" t="inlineStr">
        <is>
          <t>KF-M09</t>
        </is>
      </c>
      <c r="F3857" s="16" t="inlineStr">
        <is>
          <t>KF-M09-R1-x_b+eficiencias</t>
        </is>
      </c>
      <c r="G3857" s="16" t="inlineStr">
        <is>
          <t>B13-x_b+eficiencias</t>
        </is>
      </c>
      <c r="H3857" s="16" t="inlineStr">
        <is>
          <t>lhs</t>
        </is>
      </c>
      <c r="I3857" s="16" t="inlineStr">
        <is>
          <t>CORREGIBLE</t>
        </is>
      </c>
      <c r="J3857" s="16" t="inlineStr">
        <is>
          <t>CORREGIBLE</t>
        </is>
      </c>
      <c r="K3857" s="16" t="b">
        <v>1</v>
      </c>
      <c r="L3857" s="16" t="b">
        <v>0</v>
      </c>
      <c r="M3857" s="16" t="b">
        <v>1</v>
      </c>
      <c r="N3857" s="16" t="b">
        <v>0</v>
      </c>
      <c r="O3857" s="16" t="n">
        <v>498.1285257537394</v>
      </c>
      <c r="P3857" s="16" t="n">
        <v>292.5507281253459</v>
      </c>
      <c r="Q3857" s="16" t="n">
        <v>2287.397932589534</v>
      </c>
      <c r="R3857" s="16" t="n">
        <v>570.6795125003991</v>
      </c>
      <c r="S3857" s="16" t="n">
        <v>0.5</v>
      </c>
      <c r="T3857" s="16" t="n">
        <v>0.85</v>
      </c>
      <c r="U3857" s="16" t="n">
        <v>0.75</v>
      </c>
      <c r="V3857" s="16" t="n">
        <v>0.85</v>
      </c>
      <c r="W3857" s="16" t="n">
        <v>0.75</v>
      </c>
      <c r="X3857" s="16" t="n">
        <v>0.8</v>
      </c>
      <c r="Y3857" s="16" t="n">
        <v>292.5507281253459</v>
      </c>
      <c r="Z3857" s="16" t="n">
        <v>9.423049911586681</v>
      </c>
      <c r="AA3857" s="16" t="n">
        <v>161.7238026324233</v>
      </c>
      <c r="AB3857" s="16" t="n">
        <v>1716.718420089135</v>
      </c>
      <c r="AC3857" s="16" t="n">
        <v>4.008200544237926</v>
      </c>
      <c r="AD3857" s="16" t="inlineStr">
        <is>
          <t>O2</t>
        </is>
      </c>
      <c r="AE3857" s="16" t="n"/>
    </row>
    <row r="3858">
      <c r="A3858" s="16" t="inlineStr">
        <is>
          <t>KF-M09-R1-x_b+eficiencias-0014</t>
        </is>
      </c>
      <c r="B3858" s="16" t="inlineStr">
        <is>
          <t>4.3</t>
        </is>
      </c>
      <c r="C3858" s="16" t="inlineStr">
        <is>
          <t>4.3 x_b+eficiencias</t>
        </is>
      </c>
      <c r="D3858" s="16" t="inlineStr">
        <is>
          <t>ronda 1</t>
        </is>
      </c>
      <c r="E3858" s="16" t="inlineStr">
        <is>
          <t>KF-M09</t>
        </is>
      </c>
      <c r="F3858" s="16" t="inlineStr">
        <is>
          <t>KF-M09-R1-x_b+eficiencias</t>
        </is>
      </c>
      <c r="G3858" s="16" t="inlineStr">
        <is>
          <t>B13-x_b+eficiencias</t>
        </is>
      </c>
      <c r="H3858" s="16" t="inlineStr">
        <is>
          <t>lhs</t>
        </is>
      </c>
      <c r="I3858" s="16" t="inlineStr">
        <is>
          <t>KALINA</t>
        </is>
      </c>
      <c r="J3858" s="16" t="inlineStr">
        <is>
          <t>KALINA</t>
        </is>
      </c>
      <c r="K3858" s="16" t="b">
        <v>1</v>
      </c>
      <c r="L3858" s="16" t="b">
        <v>1</v>
      </c>
      <c r="M3858" s="16" t="b">
        <v>0</v>
      </c>
      <c r="N3858" s="16" t="b">
        <v>0</v>
      </c>
      <c r="O3858" s="16" t="n">
        <v>418.718025860282</v>
      </c>
      <c r="P3858" s="16" t="n">
        <v>294.5149853412631</v>
      </c>
      <c r="Q3858" s="16" t="n">
        <v>3145.265679818303</v>
      </c>
      <c r="R3858" s="16" t="n">
        <v>1123.631666175564</v>
      </c>
      <c r="S3858" s="16" t="n">
        <v>0.5</v>
      </c>
      <c r="T3858" s="16" t="n">
        <v>0.85</v>
      </c>
      <c r="U3858" s="16" t="n">
        <v>0.75</v>
      </c>
      <c r="V3858" s="16" t="n">
        <v>0.85</v>
      </c>
      <c r="W3858" s="16" t="n">
        <v>0.75</v>
      </c>
      <c r="X3858" s="16" t="n">
        <v>0.8</v>
      </c>
      <c r="Y3858" s="16" t="n">
        <v>294.5149853412631</v>
      </c>
      <c r="Z3858" s="16" t="n">
        <v>6.341059342178671</v>
      </c>
      <c r="AA3858" s="16" t="n">
        <v>29.72853052398945</v>
      </c>
      <c r="AB3858" s="16" t="n">
        <v>2021.63401364274</v>
      </c>
      <c r="AC3858" s="16" t="n">
        <v>2.799196368791964</v>
      </c>
      <c r="AD3858" s="16" t="n"/>
      <c r="AE3858" s="16" t="n"/>
    </row>
    <row r="3859">
      <c r="A3859" s="16" t="inlineStr">
        <is>
          <t>KF-M09-R1-x_b+eficiencias-0015</t>
        </is>
      </c>
      <c r="B3859" s="16" t="inlineStr">
        <is>
          <t>4.3</t>
        </is>
      </c>
      <c r="C3859" s="16" t="inlineStr">
        <is>
          <t>4.3 x_b+eficiencias</t>
        </is>
      </c>
      <c r="D3859" s="16" t="inlineStr">
        <is>
          <t>ronda 1</t>
        </is>
      </c>
      <c r="E3859" s="16" t="inlineStr">
        <is>
          <t>KF-M09</t>
        </is>
      </c>
      <c r="F3859" s="16" t="inlineStr">
        <is>
          <t>KF-M09-R1-x_b+eficiencias</t>
        </is>
      </c>
      <c r="G3859" s="16" t="inlineStr">
        <is>
          <t>B13-x_b+eficiencias</t>
        </is>
      </c>
      <c r="H3859" s="16" t="inlineStr">
        <is>
          <t>lhs</t>
        </is>
      </c>
      <c r="I3859" s="16" t="inlineStr">
        <is>
          <t>KALINA</t>
        </is>
      </c>
      <c r="J3859" s="16" t="inlineStr">
        <is>
          <t>KALINA</t>
        </is>
      </c>
      <c r="K3859" s="16" t="b">
        <v>1</v>
      </c>
      <c r="L3859" s="16" t="b">
        <v>1</v>
      </c>
      <c r="M3859" s="16" t="b">
        <v>0</v>
      </c>
      <c r="N3859" s="16" t="b">
        <v>0</v>
      </c>
      <c r="O3859" s="16" t="n">
        <v>405.3405182778576</v>
      </c>
      <c r="P3859" s="16" t="n">
        <v>298.4967451487056</v>
      </c>
      <c r="Q3859" s="16" t="n">
        <v>3005.4607994641</v>
      </c>
      <c r="R3859" s="16" t="n">
        <v>1157.865344444537</v>
      </c>
      <c r="S3859" s="16" t="n">
        <v>0.5</v>
      </c>
      <c r="T3859" s="16" t="n">
        <v>0.85</v>
      </c>
      <c r="U3859" s="16" t="n">
        <v>0.75</v>
      </c>
      <c r="V3859" s="16" t="n">
        <v>0.85</v>
      </c>
      <c r="W3859" s="16" t="n">
        <v>0.75</v>
      </c>
      <c r="X3859" s="16" t="n">
        <v>0.8</v>
      </c>
      <c r="Y3859" s="16" t="n">
        <v>298.4967451487056</v>
      </c>
      <c r="Z3859" s="16" t="n">
        <v>5.09152250280171</v>
      </c>
      <c r="AA3859" s="16" t="n">
        <v>16.9706845009762</v>
      </c>
      <c r="AB3859" s="16" t="n">
        <v>1847.595455019563</v>
      </c>
      <c r="AC3859" s="16" t="n">
        <v>2.595691125815593</v>
      </c>
      <c r="AD3859" s="16" t="n"/>
      <c r="AE3859" s="16" t="n"/>
    </row>
    <row r="3860">
      <c r="A3860" s="16" t="inlineStr">
        <is>
          <t>KF-M09-R1-x_b+eficiencias-0016</t>
        </is>
      </c>
      <c r="B3860" s="16" t="inlineStr">
        <is>
          <t>4.3</t>
        </is>
      </c>
      <c r="C3860" s="16" t="inlineStr">
        <is>
          <t>4.3 x_b+eficiencias</t>
        </is>
      </c>
      <c r="D3860" s="16" t="inlineStr">
        <is>
          <t>ronda 1</t>
        </is>
      </c>
      <c r="E3860" s="16" t="inlineStr">
        <is>
          <t>KF-M09</t>
        </is>
      </c>
      <c r="F3860" s="16" t="inlineStr">
        <is>
          <t>KF-M09-R1-x_b+eficiencias</t>
        </is>
      </c>
      <c r="G3860" s="16" t="inlineStr">
        <is>
          <t>B13-x_b+eficiencias</t>
        </is>
      </c>
      <c r="H3860" s="16" t="inlineStr">
        <is>
          <t>lhs</t>
        </is>
      </c>
      <c r="I3860" s="16" t="inlineStr">
        <is>
          <t>KALINA</t>
        </is>
      </c>
      <c r="J3860" s="16" t="inlineStr">
        <is>
          <t>KALINA</t>
        </is>
      </c>
      <c r="K3860" s="16" t="b">
        <v>1</v>
      </c>
      <c r="L3860" s="16" t="b">
        <v>1</v>
      </c>
      <c r="M3860" s="16" t="b">
        <v>0</v>
      </c>
      <c r="N3860" s="16" t="b">
        <v>0</v>
      </c>
      <c r="O3860" s="16" t="n">
        <v>425.4703300468051</v>
      </c>
      <c r="P3860" s="16" t="n">
        <v>303.529642178358</v>
      </c>
      <c r="Q3860" s="16" t="n">
        <v>2490.9482916311</v>
      </c>
      <c r="R3860" s="16" t="n">
        <v>1472.476000377402</v>
      </c>
      <c r="S3860" s="16" t="n">
        <v>0.5</v>
      </c>
      <c r="T3860" s="16" t="n">
        <v>0.85</v>
      </c>
      <c r="U3860" s="16" t="n">
        <v>0.75</v>
      </c>
      <c r="V3860" s="16" t="n">
        <v>0.85</v>
      </c>
      <c r="W3860" s="16" t="n">
        <v>0.75</v>
      </c>
      <c r="X3860" s="16" t="n">
        <v>0.8</v>
      </c>
      <c r="Y3860" s="16" t="n">
        <v>303.529642178358</v>
      </c>
      <c r="Z3860" s="16" t="n">
        <v>3.96948154177957</v>
      </c>
      <c r="AA3860" s="16" t="n">
        <v>26.5533951775098</v>
      </c>
      <c r="AB3860" s="16" t="n">
        <v>1018.472291253698</v>
      </c>
      <c r="AC3860" s="16" t="n">
        <v>1.691673270730837</v>
      </c>
      <c r="AD3860" s="16" t="n"/>
      <c r="AE3860" s="16" t="n"/>
    </row>
    <row r="3861">
      <c r="A3861" s="16" t="inlineStr">
        <is>
          <t>KF-M09-R1-x_b+eficiencias-0017</t>
        </is>
      </c>
      <c r="B3861" s="16" t="inlineStr">
        <is>
          <t>4.3</t>
        </is>
      </c>
      <c r="C3861" s="16" t="inlineStr">
        <is>
          <t>4.3 x_b+eficiencias</t>
        </is>
      </c>
      <c r="D3861" s="16" t="inlineStr">
        <is>
          <t>ronda 1</t>
        </is>
      </c>
      <c r="E3861" s="16" t="inlineStr">
        <is>
          <t>KF-M09</t>
        </is>
      </c>
      <c r="F3861" s="16" t="inlineStr">
        <is>
          <t>KF-M09-R1-x_b+eficiencias</t>
        </is>
      </c>
      <c r="G3861" s="16" t="inlineStr">
        <is>
          <t>B13-x_b+eficiencias</t>
        </is>
      </c>
      <c r="H3861" s="16" t="inlineStr">
        <is>
          <t>lhs</t>
        </is>
      </c>
      <c r="I3861" s="16" t="inlineStr">
        <is>
          <t>CORREGIBLE</t>
        </is>
      </c>
      <c r="J3861" s="16" t="inlineStr">
        <is>
          <t>CORREGIBLE</t>
        </is>
      </c>
      <c r="K3861" s="16" t="b">
        <v>1</v>
      </c>
      <c r="L3861" s="16" t="b">
        <v>0</v>
      </c>
      <c r="M3861" s="16" t="b">
        <v>1</v>
      </c>
      <c r="N3861" s="16" t="b">
        <v>0</v>
      </c>
      <c r="O3861" s="16" t="n">
        <v>441.7881805273922</v>
      </c>
      <c r="P3861" s="16" t="n">
        <v>298.4255421017717</v>
      </c>
      <c r="Q3861" s="16" t="n">
        <v>2057.908585922312</v>
      </c>
      <c r="R3861" s="16" t="n">
        <v>721.2138944271362</v>
      </c>
      <c r="S3861" s="16" t="n">
        <v>0.5</v>
      </c>
      <c r="T3861" s="16" t="n">
        <v>0.85</v>
      </c>
      <c r="U3861" s="16" t="n">
        <v>0.75</v>
      </c>
      <c r="V3861" s="16" t="n">
        <v>0.85</v>
      </c>
      <c r="W3861" s="16" t="n">
        <v>0.75</v>
      </c>
      <c r="X3861" s="16" t="n">
        <v>0.8</v>
      </c>
      <c r="Y3861" s="16" t="n">
        <v>298.4255421017717</v>
      </c>
      <c r="Z3861" s="16" t="n">
        <v>7.618262745903411</v>
      </c>
      <c r="AA3861" s="16" t="n">
        <v>86.93132106567352</v>
      </c>
      <c r="AB3861" s="16" t="n">
        <v>1336.694691495176</v>
      </c>
      <c r="AC3861" s="16" t="n">
        <v>2.853395645624547</v>
      </c>
      <c r="AD3861" s="16" t="inlineStr">
        <is>
          <t>O2</t>
        </is>
      </c>
      <c r="AE3861" s="16" t="n"/>
    </row>
    <row r="3862">
      <c r="A3862" s="16" t="inlineStr">
        <is>
          <t>KF-M09-R1-x_b+eficiencias-0018</t>
        </is>
      </c>
      <c r="B3862" s="16" t="inlineStr">
        <is>
          <t>4.3</t>
        </is>
      </c>
      <c r="C3862" s="16" t="inlineStr">
        <is>
          <t>4.3 x_b+eficiencias</t>
        </is>
      </c>
      <c r="D3862" s="16" t="inlineStr">
        <is>
          <t>ronda 1</t>
        </is>
      </c>
      <c r="E3862" s="16" t="inlineStr">
        <is>
          <t>KF-M09</t>
        </is>
      </c>
      <c r="F3862" s="16" t="inlineStr">
        <is>
          <t>KF-M09-R1-x_b+eficiencias</t>
        </is>
      </c>
      <c r="G3862" s="16" t="inlineStr">
        <is>
          <t>B13-x_b+eficiencias</t>
        </is>
      </c>
      <c r="H3862" s="16" t="inlineStr">
        <is>
          <t>lhs</t>
        </is>
      </c>
      <c r="I3862" s="16" t="inlineStr">
        <is>
          <t>CORREGIBLE</t>
        </is>
      </c>
      <c r="J3862" s="16" t="inlineStr">
        <is>
          <t>CORREGIBLE</t>
        </is>
      </c>
      <c r="K3862" s="16" t="b">
        <v>1</v>
      </c>
      <c r="L3862" s="16" t="b">
        <v>0</v>
      </c>
      <c r="M3862" s="16" t="b">
        <v>1</v>
      </c>
      <c r="N3862" s="16" t="b">
        <v>0</v>
      </c>
      <c r="O3862" s="16" t="n">
        <v>504.5399272179392</v>
      </c>
      <c r="P3862" s="16" t="n">
        <v>287.2004234965597</v>
      </c>
      <c r="Q3862" s="16" t="n">
        <v>4031.781433613323</v>
      </c>
      <c r="R3862" s="16" t="n">
        <v>1881.822963909936</v>
      </c>
      <c r="S3862" s="16" t="n">
        <v>0.5</v>
      </c>
      <c r="T3862" s="16" t="n">
        <v>0.85</v>
      </c>
      <c r="U3862" s="16" t="n">
        <v>0.75</v>
      </c>
      <c r="V3862" s="16" t="n">
        <v>0.85</v>
      </c>
      <c r="W3862" s="16" t="n">
        <v>0.75</v>
      </c>
      <c r="X3862" s="16" t="n">
        <v>0.8</v>
      </c>
      <c r="Y3862" s="16" t="n">
        <v>287.2004234965597</v>
      </c>
      <c r="Z3862" s="16" t="n">
        <v>5.9577943459812</v>
      </c>
      <c r="AA3862" s="16" t="n">
        <v>101.0875176349477</v>
      </c>
      <c r="AB3862" s="16" t="n">
        <v>2149.958469703387</v>
      </c>
      <c r="AC3862" s="16" t="n">
        <v>2.142487104757365</v>
      </c>
      <c r="AD3862" s="16" t="inlineStr">
        <is>
          <t>O2</t>
        </is>
      </c>
      <c r="AE3862" s="16" t="n"/>
    </row>
    <row r="3863">
      <c r="A3863" s="16" t="inlineStr">
        <is>
          <t>KF-M09-R1-x_b+eficiencias-0019</t>
        </is>
      </c>
      <c r="B3863" s="16" t="inlineStr">
        <is>
          <t>4.3</t>
        </is>
      </c>
      <c r="C3863" s="16" t="inlineStr">
        <is>
          <t>4.3 x_b+eficiencias</t>
        </is>
      </c>
      <c r="D3863" s="16" t="inlineStr">
        <is>
          <t>ronda 1</t>
        </is>
      </c>
      <c r="E3863" s="16" t="inlineStr">
        <is>
          <t>KF-M09</t>
        </is>
      </c>
      <c r="F3863" s="16" t="inlineStr">
        <is>
          <t>KF-M09-R1-x_b+eficiencias</t>
        </is>
      </c>
      <c r="G3863" s="16" t="inlineStr">
        <is>
          <t>B13-x_b+eficiencias</t>
        </is>
      </c>
      <c r="H3863" s="16" t="inlineStr">
        <is>
          <t>lhs</t>
        </is>
      </c>
      <c r="I3863" s="16" t="inlineStr">
        <is>
          <t>CORREGIBLE</t>
        </is>
      </c>
      <c r="J3863" s="16" t="inlineStr">
        <is>
          <t>CORREGIBLE</t>
        </is>
      </c>
      <c r="K3863" s="16" t="b">
        <v>1</v>
      </c>
      <c r="L3863" s="16" t="b">
        <v>0</v>
      </c>
      <c r="M3863" s="16" t="b">
        <v>1</v>
      </c>
      <c r="N3863" s="16" t="b">
        <v>0</v>
      </c>
      <c r="O3863" s="16" t="n">
        <v>485.4502907046684</v>
      </c>
      <c r="P3863" s="16" t="n">
        <v>301.7236497072926</v>
      </c>
      <c r="Q3863" s="16" t="n">
        <v>3357.945701729038</v>
      </c>
      <c r="R3863" s="16" t="n">
        <v>1668.232065584594</v>
      </c>
      <c r="S3863" s="16" t="n">
        <v>0.5</v>
      </c>
      <c r="T3863" s="16" t="n">
        <v>0.85</v>
      </c>
      <c r="U3863" s="16" t="n">
        <v>0.75</v>
      </c>
      <c r="V3863" s="16" t="n">
        <v>0.85</v>
      </c>
      <c r="W3863" s="16" t="n">
        <v>0.75</v>
      </c>
      <c r="X3863" s="16" t="n">
        <v>0.8</v>
      </c>
      <c r="Y3863" s="16" t="n">
        <v>301.7236497072926</v>
      </c>
      <c r="Z3863" s="16" t="n">
        <v>5.47166979318335</v>
      </c>
      <c r="AA3863" s="16" t="n">
        <v>89.01271945240372</v>
      </c>
      <c r="AB3863" s="16" t="n">
        <v>1689.713636144444</v>
      </c>
      <c r="AC3863" s="16" t="n">
        <v>2.012876847893654</v>
      </c>
      <c r="AD3863" s="16" t="inlineStr">
        <is>
          <t>O2</t>
        </is>
      </c>
      <c r="AE3863" s="16" t="n"/>
    </row>
    <row r="3864">
      <c r="A3864" s="16" t="inlineStr">
        <is>
          <t>KF-M09-R1-x_b+eficiencias-0020</t>
        </is>
      </c>
      <c r="B3864" s="16" t="inlineStr">
        <is>
          <t>4.3</t>
        </is>
      </c>
      <c r="C3864" s="16" t="inlineStr">
        <is>
          <t>4.3 x_b+eficiencias</t>
        </is>
      </c>
      <c r="D3864" s="16" t="inlineStr">
        <is>
          <t>ronda 1</t>
        </is>
      </c>
      <c r="E3864" s="16" t="inlineStr">
        <is>
          <t>KF-M09</t>
        </is>
      </c>
      <c r="F3864" s="16" t="inlineStr">
        <is>
          <t>KF-M09-R1-x_b+eficiencias</t>
        </is>
      </c>
      <c r="G3864" s="16" t="inlineStr">
        <is>
          <t>B13-x_b+eficiencias</t>
        </is>
      </c>
      <c r="H3864" s="16" t="inlineStr">
        <is>
          <t>lhs</t>
        </is>
      </c>
      <c r="I3864" s="16" t="inlineStr">
        <is>
          <t>CORREGIBLE</t>
        </is>
      </c>
      <c r="J3864" s="16" t="inlineStr">
        <is>
          <t>CORREGIBLE</t>
        </is>
      </c>
      <c r="K3864" s="16" t="b">
        <v>1</v>
      </c>
      <c r="L3864" s="16" t="b">
        <v>0</v>
      </c>
      <c r="M3864" s="16" t="b">
        <v>1</v>
      </c>
      <c r="N3864" s="16" t="b">
        <v>0</v>
      </c>
      <c r="O3864" s="16" t="n">
        <v>517.013897319522</v>
      </c>
      <c r="P3864" s="16" t="n">
        <v>295.1056085056904</v>
      </c>
      <c r="Q3864" s="16" t="n">
        <v>4359.472906202879</v>
      </c>
      <c r="R3864" s="16" t="n">
        <v>365.6025233828052</v>
      </c>
      <c r="S3864" s="16" t="n">
        <v>0.5</v>
      </c>
      <c r="T3864" s="16" t="n">
        <v>0.85</v>
      </c>
      <c r="U3864" s="16" t="n">
        <v>0.75</v>
      </c>
      <c r="V3864" s="16" t="n">
        <v>0.85</v>
      </c>
      <c r="W3864" s="16" t="n">
        <v>0.75</v>
      </c>
      <c r="X3864" s="16" t="n">
        <v>0.8</v>
      </c>
      <c r="Y3864" s="16" t="n">
        <v>295.1056085056904</v>
      </c>
      <c r="Z3864" s="16" t="n">
        <v>16.12950517219457</v>
      </c>
      <c r="AA3864" s="16" t="n">
        <v>273.5743463103763</v>
      </c>
      <c r="AB3864" s="16" t="n">
        <v>3993.870382820074</v>
      </c>
      <c r="AC3864" s="16" t="n">
        <v>11.92407772754424</v>
      </c>
      <c r="AD3864" s="16" t="inlineStr">
        <is>
          <t>O1,O2</t>
        </is>
      </c>
      <c r="AE3864" s="16" t="n"/>
    </row>
    <row r="3865">
      <c r="A3865" s="16" t="inlineStr">
        <is>
          <t>KF-M09-R1-x_b+eficiencias-0021</t>
        </is>
      </c>
      <c r="B3865" s="16" t="inlineStr">
        <is>
          <t>4.3</t>
        </is>
      </c>
      <c r="C3865" s="16" t="inlineStr">
        <is>
          <t>4.3 x_b+eficiencias</t>
        </is>
      </c>
      <c r="D3865" s="16" t="inlineStr">
        <is>
          <t>ronda 1</t>
        </is>
      </c>
      <c r="E3865" s="16" t="inlineStr">
        <is>
          <t>KF-M09</t>
        </is>
      </c>
      <c r="F3865" s="16" t="inlineStr">
        <is>
          <t>KF-M09-R1-x_b+eficiencias</t>
        </is>
      </c>
      <c r="G3865" s="16" t="inlineStr">
        <is>
          <t>B13-x_b+eficiencias</t>
        </is>
      </c>
      <c r="H3865" s="16" t="inlineStr">
        <is>
          <t>lhs</t>
        </is>
      </c>
      <c r="I3865" s="16" t="inlineStr">
        <is>
          <t>CORREGIBLE</t>
        </is>
      </c>
      <c r="J3865" s="16" t="inlineStr">
        <is>
          <t>CORREGIBLE</t>
        </is>
      </c>
      <c r="K3865" s="16" t="b">
        <v>1</v>
      </c>
      <c r="L3865" s="16" t="b">
        <v>0</v>
      </c>
      <c r="M3865" s="16" t="b">
        <v>1</v>
      </c>
      <c r="N3865" s="16" t="b">
        <v>0</v>
      </c>
      <c r="O3865" s="16" t="n">
        <v>473.0322655176167</v>
      </c>
      <c r="P3865" s="16" t="n">
        <v>285.1488711501426</v>
      </c>
      <c r="Q3865" s="16" t="n">
        <v>2688.599849030285</v>
      </c>
      <c r="R3865" s="16" t="n">
        <v>1227.7110090909</v>
      </c>
      <c r="S3865" s="16" t="n">
        <v>0.5</v>
      </c>
      <c r="T3865" s="16" t="n">
        <v>0.85</v>
      </c>
      <c r="U3865" s="16" t="n">
        <v>0.75</v>
      </c>
      <c r="V3865" s="16" t="n">
        <v>0.85</v>
      </c>
      <c r="W3865" s="16" t="n">
        <v>0.75</v>
      </c>
      <c r="X3865" s="16" t="n">
        <v>0.8</v>
      </c>
      <c r="Y3865" s="16" t="n">
        <v>285.1488711501426</v>
      </c>
      <c r="Z3865" s="16" t="n">
        <v>5.96823426271694</v>
      </c>
      <c r="AA3865" s="16" t="n">
        <v>99.90331388982666</v>
      </c>
      <c r="AB3865" s="16" t="n">
        <v>1460.888839939384</v>
      </c>
      <c r="AC3865" s="16" t="n">
        <v>2.189928923925793</v>
      </c>
      <c r="AD3865" s="16" t="inlineStr">
        <is>
          <t>O2</t>
        </is>
      </c>
      <c r="AE3865" s="16" t="n"/>
    </row>
    <row r="3866">
      <c r="A3866" s="16" t="inlineStr">
        <is>
          <t>KF-M09-R1-x_b+eficiencias-0022</t>
        </is>
      </c>
      <c r="B3866" s="16" t="inlineStr">
        <is>
          <t>4.3</t>
        </is>
      </c>
      <c r="C3866" s="16" t="inlineStr">
        <is>
          <t>4.3 x_b+eficiencias</t>
        </is>
      </c>
      <c r="D3866" s="16" t="inlineStr">
        <is>
          <t>ronda 1</t>
        </is>
      </c>
      <c r="E3866" s="16" t="inlineStr">
        <is>
          <t>KF-M09</t>
        </is>
      </c>
      <c r="F3866" s="16" t="inlineStr">
        <is>
          <t>KF-M09-R1-x_b+eficiencias</t>
        </is>
      </c>
      <c r="G3866" s="16" t="inlineStr">
        <is>
          <t>B13-x_b+eficiencias</t>
        </is>
      </c>
      <c r="H3866" s="16" t="inlineStr">
        <is>
          <t>lhs</t>
        </is>
      </c>
      <c r="I3866" s="16" t="inlineStr">
        <is>
          <t>CORREGIBLE</t>
        </is>
      </c>
      <c r="J3866" s="16" t="inlineStr">
        <is>
          <t>CORREGIBLE</t>
        </is>
      </c>
      <c r="K3866" s="16" t="b">
        <v>1</v>
      </c>
      <c r="L3866" s="16" t="b">
        <v>0</v>
      </c>
      <c r="M3866" s="16" t="b">
        <v>1</v>
      </c>
      <c r="N3866" s="16" t="b">
        <v>0</v>
      </c>
      <c r="O3866" s="16" t="n">
        <v>495.71722698518</v>
      </c>
      <c r="P3866" s="16" t="n">
        <v>283.1199665003314</v>
      </c>
      <c r="Q3866" s="16" t="n">
        <v>3715.219719637771</v>
      </c>
      <c r="R3866" s="16" t="n">
        <v>330.1453741491561</v>
      </c>
      <c r="S3866" s="16" t="n">
        <v>0.5</v>
      </c>
      <c r="T3866" s="16" t="n">
        <v>0.85</v>
      </c>
      <c r="U3866" s="16" t="n">
        <v>0.75</v>
      </c>
      <c r="V3866" s="16" t="n">
        <v>0.85</v>
      </c>
      <c r="W3866" s="16" t="n">
        <v>0.75</v>
      </c>
      <c r="X3866" s="16" t="n">
        <v>0.8</v>
      </c>
      <c r="Y3866" s="16" t="n">
        <v>283.1199665003314</v>
      </c>
      <c r="Z3866" s="16" t="n">
        <v>15.74657591232929</v>
      </c>
      <c r="AA3866" s="16" t="n">
        <v>268.19607166782</v>
      </c>
      <c r="AB3866" s="16" t="n">
        <v>3385.074345488615</v>
      </c>
      <c r="AC3866" s="16" t="n">
        <v>11.25328419097968</v>
      </c>
      <c r="AD3866" s="16" t="inlineStr">
        <is>
          <t>O1,O2</t>
        </is>
      </c>
      <c r="AE3866" s="16" t="n"/>
    </row>
    <row r="3867">
      <c r="A3867" s="16" t="inlineStr">
        <is>
          <t>KF-M09-R1-x_b+eficiencias-0023</t>
        </is>
      </c>
      <c r="B3867" s="16" t="inlineStr">
        <is>
          <t>4.3</t>
        </is>
      </c>
      <c r="C3867" s="16" t="inlineStr">
        <is>
          <t>4.3 x_b+eficiencias</t>
        </is>
      </c>
      <c r="D3867" s="16" t="inlineStr">
        <is>
          <t>ronda 1</t>
        </is>
      </c>
      <c r="E3867" s="16" t="inlineStr">
        <is>
          <t>KF-M09</t>
        </is>
      </c>
      <c r="F3867" s="16" t="inlineStr">
        <is>
          <t>KF-M09-R1-x_b+eficiencias</t>
        </is>
      </c>
      <c r="G3867" s="16" t="inlineStr">
        <is>
          <t>B13-x_b+eficiencias</t>
        </is>
      </c>
      <c r="H3867" s="16" t="inlineStr">
        <is>
          <t>lhs</t>
        </is>
      </c>
      <c r="I3867" s="16" t="inlineStr">
        <is>
          <t>KALINA</t>
        </is>
      </c>
      <c r="J3867" s="16" t="inlineStr">
        <is>
          <t>KALINA</t>
        </is>
      </c>
      <c r="K3867" s="16" t="b">
        <v>1</v>
      </c>
      <c r="L3867" s="16" t="b">
        <v>0</v>
      </c>
      <c r="M3867" s="16" t="b">
        <v>1</v>
      </c>
      <c r="N3867" s="16" t="b">
        <v>0</v>
      </c>
      <c r="O3867" s="16" t="n">
        <v>478.7187263041245</v>
      </c>
      <c r="P3867" s="16" t="n">
        <v>281.6769674697705</v>
      </c>
      <c r="Q3867" s="16" t="n">
        <v>4470.238134644342</v>
      </c>
      <c r="R3867" s="16" t="n">
        <v>1800.946415453315</v>
      </c>
      <c r="S3867" s="16" t="n">
        <v>0.5</v>
      </c>
      <c r="T3867" s="16" t="n">
        <v>0.85</v>
      </c>
      <c r="U3867" s="16" t="n">
        <v>0.75</v>
      </c>
      <c r="V3867" s="16" t="n">
        <v>0.85</v>
      </c>
      <c r="W3867" s="16" t="n">
        <v>0.75</v>
      </c>
      <c r="X3867" s="16" t="n">
        <v>0.8</v>
      </c>
      <c r="Y3867" s="16" t="n">
        <v>281.6769674697705</v>
      </c>
      <c r="Z3867" s="16" t="n">
        <v>6.6028038779817</v>
      </c>
      <c r="AA3867" s="16" t="n">
        <v>81.66810085447648</v>
      </c>
      <c r="AB3867" s="16" t="n">
        <v>2669.291719191026</v>
      </c>
      <c r="AC3867" s="16" t="n">
        <v>2.482160544193171</v>
      </c>
      <c r="AD3867" s="16" t="n"/>
      <c r="AE3867" s="16" t="n"/>
    </row>
    <row r="3868">
      <c r="A3868" s="16" t="inlineStr">
        <is>
          <t>KF-M09-R1-x_b+eficiencias-0024</t>
        </is>
      </c>
      <c r="B3868" s="16" t="inlineStr">
        <is>
          <t>4.3</t>
        </is>
      </c>
      <c r="C3868" s="16" t="inlineStr">
        <is>
          <t>4.3 x_b+eficiencias</t>
        </is>
      </c>
      <c r="D3868" s="16" t="inlineStr">
        <is>
          <t>ronda 1</t>
        </is>
      </c>
      <c r="E3868" s="16" t="inlineStr">
        <is>
          <t>KF-M09</t>
        </is>
      </c>
      <c r="F3868" s="16" t="inlineStr">
        <is>
          <t>KF-M09-R1-x_b+eficiencias</t>
        </is>
      </c>
      <c r="G3868" s="16" t="inlineStr">
        <is>
          <t>B13-x_b+eficiencias</t>
        </is>
      </c>
      <c r="H3868" s="16" t="inlineStr">
        <is>
          <t>lhs</t>
        </is>
      </c>
      <c r="I3868" s="16" t="inlineStr">
        <is>
          <t>NO_CONVERGIO</t>
        </is>
      </c>
      <c r="J3868" s="16" t="inlineStr">
        <is>
          <t>NO_CONVERGIO</t>
        </is>
      </c>
      <c r="K3868" s="16" t="b">
        <v>0</v>
      </c>
      <c r="L3868" s="16" t="b">
        <v>0</v>
      </c>
      <c r="M3868" s="16" t="b">
        <v>0</v>
      </c>
      <c r="N3868" s="16" t="b">
        <v>0</v>
      </c>
      <c r="O3868" s="16" t="n">
        <v>384.0373428426386</v>
      </c>
      <c r="P3868" s="16" t="n">
        <v>284.4055461501159</v>
      </c>
      <c r="Q3868" s="16" t="n">
        <v>4852.270192192042</v>
      </c>
      <c r="R3868" s="16" t="n">
        <v>1541.825708075567</v>
      </c>
      <c r="S3868" s="16" t="n">
        <v>0.5</v>
      </c>
      <c r="T3868" s="16" t="n">
        <v>0.85</v>
      </c>
      <c r="U3868" s="16" t="n">
        <v>0.75</v>
      </c>
      <c r="V3868" s="16" t="n">
        <v>0.85</v>
      </c>
      <c r="W3868" s="16" t="n">
        <v>0.75</v>
      </c>
      <c r="X3868" s="16" t="n">
        <v>0.8</v>
      </c>
      <c r="Y3868" s="16" t="n">
        <v>284.4055461501159</v>
      </c>
      <c r="Z3868" s="16" t="n"/>
      <c r="AA3868" s="16" t="n"/>
      <c r="AB3868" s="16" t="n">
        <v>3310.444484116476</v>
      </c>
      <c r="AC3868" s="16" t="n">
        <v>3.147093842564354</v>
      </c>
      <c r="AD3868" s="16" t="n"/>
      <c r="AE3868" s="16" t="n"/>
    </row>
    <row r="3869">
      <c r="A3869" s="16" t="inlineStr">
        <is>
          <t>KF-M09-R1-x_b+eficiencias-0025</t>
        </is>
      </c>
      <c r="B3869" s="16" t="inlineStr">
        <is>
          <t>4.3</t>
        </is>
      </c>
      <c r="C3869" s="16" t="inlineStr">
        <is>
          <t>4.3 x_b+eficiencias</t>
        </is>
      </c>
      <c r="D3869" s="16" t="inlineStr">
        <is>
          <t>ronda 1</t>
        </is>
      </c>
      <c r="E3869" s="16" t="inlineStr">
        <is>
          <t>KF-M09</t>
        </is>
      </c>
      <c r="F3869" s="16" t="inlineStr">
        <is>
          <t>KF-M09-R1-x_b+eficiencias</t>
        </is>
      </c>
      <c r="G3869" s="16" t="inlineStr">
        <is>
          <t>B13-x_b+eficiencias</t>
        </is>
      </c>
      <c r="H3869" s="16" t="inlineStr">
        <is>
          <t>lhs</t>
        </is>
      </c>
      <c r="I3869" s="16" t="inlineStr">
        <is>
          <t>KALINA</t>
        </is>
      </c>
      <c r="J3869" s="16" t="inlineStr">
        <is>
          <t>KALINA</t>
        </is>
      </c>
      <c r="K3869" s="16" t="b">
        <v>1</v>
      </c>
      <c r="L3869" s="16" t="b">
        <v>0</v>
      </c>
      <c r="M3869" s="16" t="b">
        <v>1</v>
      </c>
      <c r="N3869" s="16" t="b">
        <v>0</v>
      </c>
      <c r="O3869" s="16" t="n">
        <v>447.5924287906345</v>
      </c>
      <c r="P3869" s="16" t="n">
        <v>278.5497815995599</v>
      </c>
      <c r="Q3869" s="16" t="n">
        <v>4641.775857709972</v>
      </c>
      <c r="R3869" s="16" t="n">
        <v>845.542554384397</v>
      </c>
      <c r="S3869" s="16" t="n">
        <v>0.5</v>
      </c>
      <c r="T3869" s="16" t="n">
        <v>0.85</v>
      </c>
      <c r="U3869" s="16" t="n">
        <v>0.75</v>
      </c>
      <c r="V3869" s="16" t="n">
        <v>0.85</v>
      </c>
      <c r="W3869" s="16" t="n">
        <v>0.75</v>
      </c>
      <c r="X3869" s="16" t="n">
        <v>0.8</v>
      </c>
      <c r="Y3869" s="16" t="n">
        <v>278.5497815995599</v>
      </c>
      <c r="Z3869" s="16" t="n">
        <v>9.76174713462717</v>
      </c>
      <c r="AA3869" s="16" t="n">
        <v>60.10069076378379</v>
      </c>
      <c r="AB3869" s="16" t="n">
        <v>3796.233303325575</v>
      </c>
      <c r="AC3869" s="16" t="n">
        <v>5.489701060746078</v>
      </c>
      <c r="AD3869" s="16" t="n"/>
      <c r="AE3869" s="16" t="n"/>
    </row>
    <row r="3870">
      <c r="A3870" s="16" t="inlineStr">
        <is>
          <t>KF-M09-R1-x_b+eficiencias-0026</t>
        </is>
      </c>
      <c r="B3870" s="16" t="inlineStr">
        <is>
          <t>4.3</t>
        </is>
      </c>
      <c r="C3870" s="16" t="inlineStr">
        <is>
          <t>4.3 x_b+eficiencias</t>
        </is>
      </c>
      <c r="D3870" s="16" t="inlineStr">
        <is>
          <t>ronda 1</t>
        </is>
      </c>
      <c r="E3870" s="16" t="inlineStr">
        <is>
          <t>KF-M09</t>
        </is>
      </c>
      <c r="F3870" s="16" t="inlineStr">
        <is>
          <t>KF-M09-R1-x_b+eficiencias</t>
        </is>
      </c>
      <c r="G3870" s="16" t="inlineStr">
        <is>
          <t>B13-x_b+eficiencias</t>
        </is>
      </c>
      <c r="H3870" s="16" t="inlineStr">
        <is>
          <t>lhs</t>
        </is>
      </c>
      <c r="I3870" s="16" t="inlineStr">
        <is>
          <t>KALINA</t>
        </is>
      </c>
      <c r="J3870" s="16" t="inlineStr">
        <is>
          <t>KALINA</t>
        </is>
      </c>
      <c r="K3870" s="16" t="b">
        <v>1</v>
      </c>
      <c r="L3870" s="16" t="b">
        <v>0</v>
      </c>
      <c r="M3870" s="16" t="b">
        <v>1</v>
      </c>
      <c r="N3870" s="16" t="b">
        <v>0</v>
      </c>
      <c r="O3870" s="16" t="n">
        <v>435.4853755893876</v>
      </c>
      <c r="P3870" s="16" t="n">
        <v>287.8154523272191</v>
      </c>
      <c r="Q3870" s="16" t="n">
        <v>4186.991999944916</v>
      </c>
      <c r="R3870" s="16" t="n">
        <v>1943.5031899449</v>
      </c>
      <c r="S3870" s="16" t="n">
        <v>0.5</v>
      </c>
      <c r="T3870" s="16" t="n">
        <v>0.85</v>
      </c>
      <c r="U3870" s="16" t="n">
        <v>0.75</v>
      </c>
      <c r="V3870" s="16" t="n">
        <v>0.85</v>
      </c>
      <c r="W3870" s="16" t="n">
        <v>0.75</v>
      </c>
      <c r="X3870" s="16" t="n">
        <v>0.8</v>
      </c>
      <c r="Y3870" s="16" t="n">
        <v>287.8154523272191</v>
      </c>
      <c r="Z3870" s="16" t="n">
        <v>4.34988503704306</v>
      </c>
      <c r="AA3870" s="16" t="n">
        <v>22.14591009050966</v>
      </c>
      <c r="AB3870" s="16" t="n">
        <v>2243.488810000016</v>
      </c>
      <c r="AC3870" s="16" t="n">
        <v>2.154353037137861</v>
      </c>
      <c r="AD3870" s="16" t="n"/>
      <c r="AE3870" s="16" t="n"/>
    </row>
    <row r="3871">
      <c r="A3871" s="16" t="inlineStr">
        <is>
          <t>KF-M09-R1-x_b+eficiencias-0027</t>
        </is>
      </c>
      <c r="B3871" s="16" t="inlineStr">
        <is>
          <t>4.3</t>
        </is>
      </c>
      <c r="C3871" s="16" t="inlineStr">
        <is>
          <t>4.3 x_b+eficiencias</t>
        </is>
      </c>
      <c r="D3871" s="16" t="inlineStr">
        <is>
          <t>ronda 1</t>
        </is>
      </c>
      <c r="E3871" s="16" t="inlineStr">
        <is>
          <t>KF-M09</t>
        </is>
      </c>
      <c r="F3871" s="16" t="inlineStr">
        <is>
          <t>KF-M09-R1-x_b+eficiencias</t>
        </is>
      </c>
      <c r="G3871" s="16" t="inlineStr">
        <is>
          <t>B13-x_b+eficiencias</t>
        </is>
      </c>
      <c r="H3871" s="16" t="inlineStr">
        <is>
          <t>lhs</t>
        </is>
      </c>
      <c r="I3871" s="16" t="inlineStr">
        <is>
          <t>CORREGIBLE</t>
        </is>
      </c>
      <c r="J3871" s="16" t="inlineStr">
        <is>
          <t>CORREGIBLE</t>
        </is>
      </c>
      <c r="K3871" s="16" t="b">
        <v>1</v>
      </c>
      <c r="L3871" s="16" t="b">
        <v>0</v>
      </c>
      <c r="M3871" s="16" t="b">
        <v>1</v>
      </c>
      <c r="N3871" s="16" t="b">
        <v>0</v>
      </c>
      <c r="O3871" s="16" t="n">
        <v>490.8478248604392</v>
      </c>
      <c r="P3871" s="16" t="n">
        <v>286.5830341914374</v>
      </c>
      <c r="Q3871" s="16" t="n">
        <v>3510.354292971966</v>
      </c>
      <c r="R3871" s="16" t="n">
        <v>1620.823361123486</v>
      </c>
      <c r="S3871" s="16" t="n">
        <v>0.5</v>
      </c>
      <c r="T3871" s="16" t="n">
        <v>0.85</v>
      </c>
      <c r="U3871" s="16" t="n">
        <v>0.75</v>
      </c>
      <c r="V3871" s="16" t="n">
        <v>0.85</v>
      </c>
      <c r="W3871" s="16" t="n">
        <v>0.75</v>
      </c>
      <c r="X3871" s="16" t="n">
        <v>0.8</v>
      </c>
      <c r="Y3871" s="16" t="n">
        <v>286.5830341914374</v>
      </c>
      <c r="Z3871" s="16" t="n">
        <v>6.01522025884638</v>
      </c>
      <c r="AA3871" s="16" t="n">
        <v>101.1890135190791</v>
      </c>
      <c r="AB3871" s="16" t="n">
        <v>1889.53093184848</v>
      </c>
      <c r="AC3871" s="16" t="n">
        <v>2.16578461118597</v>
      </c>
      <c r="AD3871" s="16" t="inlineStr">
        <is>
          <t>O2</t>
        </is>
      </c>
      <c r="AE3871" s="16" t="n"/>
    </row>
    <row r="3872">
      <c r="A3872" s="16" t="inlineStr">
        <is>
          <t>KF-M09-R1-x_b+eficiencias-0028</t>
        </is>
      </c>
      <c r="B3872" s="16" t="inlineStr">
        <is>
          <t>4.3</t>
        </is>
      </c>
      <c r="C3872" s="16" t="inlineStr">
        <is>
          <t>4.3 x_b+eficiencias</t>
        </is>
      </c>
      <c r="D3872" s="16" t="inlineStr">
        <is>
          <t>ronda 1</t>
        </is>
      </c>
      <c r="E3872" s="16" t="inlineStr">
        <is>
          <t>KF-M09</t>
        </is>
      </c>
      <c r="F3872" s="16" t="inlineStr">
        <is>
          <t>KF-M09-R1-x_b+eficiencias</t>
        </is>
      </c>
      <c r="G3872" s="16" t="inlineStr">
        <is>
          <t>B13-x_b+eficiencias</t>
        </is>
      </c>
      <c r="H3872" s="16" t="inlineStr">
        <is>
          <t>lhs</t>
        </is>
      </c>
      <c r="I3872" s="16" t="inlineStr">
        <is>
          <t>N2</t>
        </is>
      </c>
      <c r="J3872" s="16" t="inlineStr">
        <is>
          <t>NO_CONVERGIO</t>
        </is>
      </c>
      <c r="K3872" s="16" t="b">
        <v>0</v>
      </c>
      <c r="L3872" s="16" t="b">
        <v>0</v>
      </c>
      <c r="M3872" s="16" t="b">
        <v>0</v>
      </c>
      <c r="N3872" s="16" t="b">
        <v>0</v>
      </c>
      <c r="O3872" s="16" t="n">
        <v>386.7392504547726</v>
      </c>
      <c r="P3872" s="16" t="n">
        <v>293.5996162895789</v>
      </c>
      <c r="Q3872" s="16" t="n">
        <v>3650.590309875036</v>
      </c>
      <c r="R3872" s="16" t="n">
        <v>1920.76945742887</v>
      </c>
      <c r="S3872" s="16" t="n">
        <v>0.5</v>
      </c>
      <c r="T3872" s="16" t="n">
        <v>0.85</v>
      </c>
      <c r="U3872" s="16" t="n">
        <v>0.75</v>
      </c>
      <c r="V3872" s="16" t="n">
        <v>0.85</v>
      </c>
      <c r="W3872" s="16" t="n">
        <v>0.75</v>
      </c>
      <c r="X3872" s="16" t="n">
        <v>0.8</v>
      </c>
      <c r="Y3872" s="16" t="n">
        <v>293.5996162895789</v>
      </c>
      <c r="Z3872" s="16" t="n">
        <v>-30.59780840581679</v>
      </c>
      <c r="AA3872" s="16" t="n">
        <v>-16.11434027030823</v>
      </c>
      <c r="AB3872" s="16" t="n">
        <v>1729.820852446166</v>
      </c>
      <c r="AC3872" s="16" t="n">
        <v>1.900587442056525</v>
      </c>
      <c r="AD3872" s="16" t="inlineStr">
        <is>
          <t>N2,S6,O3,O5,C1,C3,C3</t>
        </is>
      </c>
      <c r="AE3872" s="16" t="n"/>
    </row>
    <row r="3873">
      <c r="A3873" s="16" t="inlineStr">
        <is>
          <t>KF-M09-R1-x_b+eficiencias-0029</t>
        </is>
      </c>
      <c r="B3873" s="16" t="inlineStr">
        <is>
          <t>4.3</t>
        </is>
      </c>
      <c r="C3873" s="16" t="inlineStr">
        <is>
          <t>4.3 x_b+eficiencias</t>
        </is>
      </c>
      <c r="D3873" s="16" t="inlineStr">
        <is>
          <t>ronda 1</t>
        </is>
      </c>
      <c r="E3873" s="16" t="inlineStr">
        <is>
          <t>KF-M09</t>
        </is>
      </c>
      <c r="F3873" s="16" t="inlineStr">
        <is>
          <t>KF-M09-R1-x_b+eficiencias</t>
        </is>
      </c>
      <c r="G3873" s="16" t="inlineStr">
        <is>
          <t>B13-x_b+eficiencias</t>
        </is>
      </c>
      <c r="H3873" s="16" t="inlineStr">
        <is>
          <t>lhs</t>
        </is>
      </c>
      <c r="I3873" s="16" t="inlineStr">
        <is>
          <t>N2</t>
        </is>
      </c>
      <c r="J3873" s="16" t="inlineStr">
        <is>
          <t>NO_CONVERGIO</t>
        </is>
      </c>
      <c r="K3873" s="16" t="b">
        <v>0</v>
      </c>
      <c r="L3873" s="16" t="b">
        <v>0</v>
      </c>
      <c r="M3873" s="16" t="b">
        <v>0</v>
      </c>
      <c r="N3873" s="16" t="b">
        <v>0</v>
      </c>
      <c r="O3873" s="16" t="n">
        <v>415.2632362969979</v>
      </c>
      <c r="P3873" s="16" t="n">
        <v>292.0872832397368</v>
      </c>
      <c r="Q3873" s="16" t="n">
        <v>4961.273867134336</v>
      </c>
      <c r="R3873" s="16" t="n">
        <v>605.6403642213268</v>
      </c>
      <c r="S3873" s="16" t="n">
        <v>0.5</v>
      </c>
      <c r="T3873" s="16" t="n">
        <v>0.85</v>
      </c>
      <c r="U3873" s="16" t="n">
        <v>0.75</v>
      </c>
      <c r="V3873" s="16" t="n">
        <v>0.85</v>
      </c>
      <c r="W3873" s="16" t="n">
        <v>0.75</v>
      </c>
      <c r="X3873" s="16" t="n">
        <v>0.8</v>
      </c>
      <c r="Y3873" s="16" t="n">
        <v>292.0872832397368</v>
      </c>
      <c r="Z3873" s="16" t="n">
        <v>-15.40978720215942</v>
      </c>
      <c r="AA3873" s="16" t="n">
        <v>-18.28106381570019</v>
      </c>
      <c r="AB3873" s="16" t="n">
        <v>4355.63350291301</v>
      </c>
      <c r="AC3873" s="16" t="n">
        <v>8.191782054541655</v>
      </c>
      <c r="AD3873" s="16" t="inlineStr">
        <is>
          <t>N2,O3,O5,C1,C3,C3</t>
        </is>
      </c>
      <c r="AE3873" s="16" t="n"/>
    </row>
    <row r="3874">
      <c r="A3874" s="16" t="inlineStr">
        <is>
          <t>KF-M09-R1-x_b+P_alta-0000</t>
        </is>
      </c>
      <c r="B3874" s="16" t="inlineStr">
        <is>
          <t>4.3</t>
        </is>
      </c>
      <c r="C3874" s="16" t="inlineStr">
        <is>
          <t>4.3 x_b+P_alta</t>
        </is>
      </c>
      <c r="D3874" s="16" t="inlineStr">
        <is>
          <t>ronda 1</t>
        </is>
      </c>
      <c r="E3874" s="16" t="inlineStr">
        <is>
          <t>KF-M09</t>
        </is>
      </c>
      <c r="F3874" s="16" t="inlineStr">
        <is>
          <t>KF-M09-R1-x_b+P_alta</t>
        </is>
      </c>
      <c r="G3874" s="16" t="inlineStr">
        <is>
          <t>B13-x_b+P_alta</t>
        </is>
      </c>
      <c r="H3874" s="16" t="inlineStr">
        <is>
          <t>lhs</t>
        </is>
      </c>
      <c r="I3874" s="16" t="inlineStr">
        <is>
          <t>CORREGIBLE</t>
        </is>
      </c>
      <c r="J3874" s="16" t="inlineStr">
        <is>
          <t>CORREGIBLE</t>
        </is>
      </c>
      <c r="K3874" s="16" t="b">
        <v>1</v>
      </c>
      <c r="L3874" s="16" t="b">
        <v>0</v>
      </c>
      <c r="M3874" s="16" t="b">
        <v>0</v>
      </c>
      <c r="N3874" s="16" t="b">
        <v>0</v>
      </c>
      <c r="O3874" s="16" t="n">
        <v>401.0366375390593</v>
      </c>
      <c r="P3874" s="16" t="n">
        <v>285.7809757503699</v>
      </c>
      <c r="Q3874" s="16" t="n">
        <v>3000</v>
      </c>
      <c r="R3874" s="16" t="n">
        <v>478.915945231107</v>
      </c>
      <c r="S3874" s="16" t="n">
        <v>0.5</v>
      </c>
      <c r="T3874" s="16" t="n">
        <v>0.4790096088309233</v>
      </c>
      <c r="U3874" s="16" t="n">
        <v>0.637180147034941</v>
      </c>
      <c r="V3874" s="16" t="n">
        <v>0.7684697639268212</v>
      </c>
      <c r="W3874" s="16" t="n">
        <v>0.686337042471594</v>
      </c>
      <c r="X3874" s="16" t="n">
        <v>0.5623495091134472</v>
      </c>
      <c r="Y3874" s="16" t="n">
        <v>285.7809757503699</v>
      </c>
      <c r="Z3874" s="16" t="n">
        <v>2.54080331746883</v>
      </c>
      <c r="AA3874" s="16" t="n">
        <v>6.440040641507654</v>
      </c>
      <c r="AB3874" s="16" t="n">
        <v>2521.084054768893</v>
      </c>
      <c r="AC3874" s="16" t="n">
        <v>6.264147247284305</v>
      </c>
      <c r="AD3874" s="16" t="inlineStr">
        <is>
          <t>O2</t>
        </is>
      </c>
      <c r="AE3874" s="16" t="n"/>
    </row>
    <row r="3875">
      <c r="A3875" s="16" t="inlineStr">
        <is>
          <t>KF-M09-R1-x_b+P_alta-0001</t>
        </is>
      </c>
      <c r="B3875" s="16" t="inlineStr">
        <is>
          <t>4.3</t>
        </is>
      </c>
      <c r="C3875" s="16" t="inlineStr">
        <is>
          <t>4.3 x_b+P_alta</t>
        </is>
      </c>
      <c r="D3875" s="16" t="inlineStr">
        <is>
          <t>ronda 1</t>
        </is>
      </c>
      <c r="E3875" s="16" t="inlineStr">
        <is>
          <t>KF-M09</t>
        </is>
      </c>
      <c r="F3875" s="16" t="inlineStr">
        <is>
          <t>KF-M09-R1-x_b+P_alta</t>
        </is>
      </c>
      <c r="G3875" s="16" t="inlineStr">
        <is>
          <t>B13-x_b+P_alta</t>
        </is>
      </c>
      <c r="H3875" s="16" t="inlineStr">
        <is>
          <t>lhs</t>
        </is>
      </c>
      <c r="I3875" s="16" t="inlineStr">
        <is>
          <t>CORREGIBLE</t>
        </is>
      </c>
      <c r="J3875" s="16" t="inlineStr">
        <is>
          <t>CORREGIBLE</t>
        </is>
      </c>
      <c r="K3875" s="16" t="b">
        <v>1</v>
      </c>
      <c r="L3875" s="16" t="b">
        <v>0</v>
      </c>
      <c r="M3875" s="16" t="b">
        <v>1</v>
      </c>
      <c r="N3875" s="16" t="b">
        <v>0</v>
      </c>
      <c r="O3875" s="16" t="n">
        <v>500.0790761799079</v>
      </c>
      <c r="P3875" s="16" t="n">
        <v>284.6950606489954</v>
      </c>
      <c r="Q3875" s="16" t="n">
        <v>3000</v>
      </c>
      <c r="R3875" s="16" t="n">
        <v>1657.487498922877</v>
      </c>
      <c r="S3875" s="16" t="n">
        <v>0.5</v>
      </c>
      <c r="T3875" s="16" t="n">
        <v>0.7896691285167451</v>
      </c>
      <c r="U3875" s="16" t="n">
        <v>0.6441040488992147</v>
      </c>
      <c r="V3875" s="16" t="n">
        <v>0.4569927143042431</v>
      </c>
      <c r="W3875" s="16" t="n">
        <v>0.8444623440867565</v>
      </c>
      <c r="X3875" s="16" t="n">
        <v>0.6373300151181722</v>
      </c>
      <c r="Y3875" s="16" t="n">
        <v>284.6950606489954</v>
      </c>
      <c r="Z3875" s="16" t="n">
        <v>4.160404518696851</v>
      </c>
      <c r="AA3875" s="16" t="n">
        <v>35.88246414503489</v>
      </c>
      <c r="AB3875" s="16" t="n">
        <v>1342.512501077123</v>
      </c>
      <c r="AC3875" s="16" t="n">
        <v>1.809968402144546</v>
      </c>
      <c r="AD3875" s="16" t="inlineStr">
        <is>
          <t>O2</t>
        </is>
      </c>
      <c r="AE3875" s="16" t="n"/>
    </row>
    <row r="3876">
      <c r="A3876" s="16" t="inlineStr">
        <is>
          <t>KF-M09-R1-x_b+P_alta-0002</t>
        </is>
      </c>
      <c r="B3876" s="16" t="inlineStr">
        <is>
          <t>4.3</t>
        </is>
      </c>
      <c r="C3876" s="16" t="inlineStr">
        <is>
          <t>4.3 x_b+P_alta</t>
        </is>
      </c>
      <c r="D3876" s="16" t="inlineStr">
        <is>
          <t>ronda 1</t>
        </is>
      </c>
      <c r="E3876" s="16" t="inlineStr">
        <is>
          <t>KF-M09</t>
        </is>
      </c>
      <c r="F3876" s="16" t="inlineStr">
        <is>
          <t>KF-M09-R1-x_b+P_alta</t>
        </is>
      </c>
      <c r="G3876" s="16" t="inlineStr">
        <is>
          <t>B13-x_b+P_alta</t>
        </is>
      </c>
      <c r="H3876" s="16" t="inlineStr">
        <is>
          <t>lhs</t>
        </is>
      </c>
      <c r="I3876" s="16" t="inlineStr">
        <is>
          <t>CORREGIBLE</t>
        </is>
      </c>
      <c r="J3876" s="16" t="inlineStr">
        <is>
          <t>CORREGIBLE</t>
        </is>
      </c>
      <c r="K3876" s="16" t="b">
        <v>1</v>
      </c>
      <c r="L3876" s="16" t="b">
        <v>0</v>
      </c>
      <c r="M3876" s="16" t="b">
        <v>1</v>
      </c>
      <c r="N3876" s="16" t="b">
        <v>0</v>
      </c>
      <c r="O3876" s="16" t="n">
        <v>511.5070783344729</v>
      </c>
      <c r="P3876" s="16" t="n">
        <v>297.657218064369</v>
      </c>
      <c r="Q3876" s="16" t="n">
        <v>3000</v>
      </c>
      <c r="R3876" s="16" t="n">
        <v>841.9842259266852</v>
      </c>
      <c r="S3876" s="16" t="n">
        <v>0.5</v>
      </c>
      <c r="T3876" s="16" t="n">
        <v>0.7562999994888562</v>
      </c>
      <c r="U3876" s="16" t="n">
        <v>0.7769752526369507</v>
      </c>
      <c r="V3876" s="16" t="n">
        <v>0.8614348549263264</v>
      </c>
      <c r="W3876" s="16" t="n">
        <v>0.907078326766746</v>
      </c>
      <c r="X3876" s="16" t="n">
        <v>0.5830586132867981</v>
      </c>
      <c r="Y3876" s="16" t="n">
        <v>297.657218064369</v>
      </c>
      <c r="Z3876" s="16" t="n">
        <v>5.55982897930899</v>
      </c>
      <c r="AA3876" s="16" t="n">
        <v>71.15270438506218</v>
      </c>
      <c r="AB3876" s="16" t="n">
        <v>2158.015774073315</v>
      </c>
      <c r="AC3876" s="16" t="n">
        <v>3.563012117831791</v>
      </c>
      <c r="AD3876" s="16" t="inlineStr">
        <is>
          <t>O2</t>
        </is>
      </c>
      <c r="AE3876" s="16" t="n"/>
    </row>
    <row r="3877">
      <c r="A3877" s="16" t="inlineStr">
        <is>
          <t>KF-M09-R1-x_b+P_alta-0003</t>
        </is>
      </c>
      <c r="B3877" s="16" t="inlineStr">
        <is>
          <t>4.3</t>
        </is>
      </c>
      <c r="C3877" s="16" t="inlineStr">
        <is>
          <t>4.3 x_b+P_alta</t>
        </is>
      </c>
      <c r="D3877" s="16" t="inlineStr">
        <is>
          <t>ronda 1</t>
        </is>
      </c>
      <c r="E3877" s="16" t="inlineStr">
        <is>
          <t>KF-M09</t>
        </is>
      </c>
      <c r="F3877" s="16" t="inlineStr">
        <is>
          <t>KF-M09-R1-x_b+P_alta</t>
        </is>
      </c>
      <c r="G3877" s="16" t="inlineStr">
        <is>
          <t>B13-x_b+P_alta</t>
        </is>
      </c>
      <c r="H3877" s="16" t="inlineStr">
        <is>
          <t>lhs</t>
        </is>
      </c>
      <c r="I3877" s="16" t="inlineStr">
        <is>
          <t>KALINA</t>
        </is>
      </c>
      <c r="J3877" s="16" t="inlineStr">
        <is>
          <t>KALINA</t>
        </is>
      </c>
      <c r="K3877" s="16" t="b">
        <v>1</v>
      </c>
      <c r="L3877" s="16" t="b">
        <v>1</v>
      </c>
      <c r="M3877" s="16" t="b">
        <v>0</v>
      </c>
      <c r="N3877" s="16" t="b">
        <v>0</v>
      </c>
      <c r="O3877" s="16" t="n">
        <v>391.193979228884</v>
      </c>
      <c r="P3877" s="16" t="n">
        <v>281.2290748016721</v>
      </c>
      <c r="Q3877" s="16" t="n">
        <v>3000</v>
      </c>
      <c r="R3877" s="16" t="n">
        <v>631.2832934452117</v>
      </c>
      <c r="S3877" s="16" t="n">
        <v>0.5</v>
      </c>
      <c r="T3877" s="16" t="n">
        <v>0.6788410701780067</v>
      </c>
      <c r="U3877" s="16" t="n">
        <v>0.8070027524908305</v>
      </c>
      <c r="V3877" s="16" t="n">
        <v>0.90362428171383</v>
      </c>
      <c r="W3877" s="16" t="n">
        <v>0.7830424341452459</v>
      </c>
      <c r="X3877" s="16" t="n">
        <v>0.9176245000297758</v>
      </c>
      <c r="Y3877" s="16" t="n">
        <v>281.2290748016721</v>
      </c>
      <c r="Z3877" s="16" t="n">
        <v>2.26590364112084</v>
      </c>
      <c r="AA3877" s="16" t="n">
        <v>4.203642142012551</v>
      </c>
      <c r="AB3877" s="16" t="n">
        <v>2368.716706554788</v>
      </c>
      <c r="AC3877" s="16" t="n">
        <v>4.752224605260152</v>
      </c>
      <c r="AD3877" s="16" t="n"/>
      <c r="AE3877" s="16" t="n"/>
    </row>
    <row r="3878">
      <c r="A3878" s="16" t="inlineStr">
        <is>
          <t>KF-M09-R1-x_b+P_alta-0004</t>
        </is>
      </c>
      <c r="B3878" s="16" t="inlineStr">
        <is>
          <t>4.3</t>
        </is>
      </c>
      <c r="C3878" s="16" t="inlineStr">
        <is>
          <t>4.3 x_b+P_alta</t>
        </is>
      </c>
      <c r="D3878" s="16" t="inlineStr">
        <is>
          <t>ronda 1</t>
        </is>
      </c>
      <c r="E3878" s="16" t="inlineStr">
        <is>
          <t>KF-M09</t>
        </is>
      </c>
      <c r="F3878" s="16" t="inlineStr">
        <is>
          <t>KF-M09-R1-x_b+P_alta</t>
        </is>
      </c>
      <c r="G3878" s="16" t="inlineStr">
        <is>
          <t>B13-x_b+P_alta</t>
        </is>
      </c>
      <c r="H3878" s="16" t="inlineStr">
        <is>
          <t>lhs</t>
        </is>
      </c>
      <c r="I3878" s="16" t="inlineStr">
        <is>
          <t>KALINA</t>
        </is>
      </c>
      <c r="J3878" s="16" t="inlineStr">
        <is>
          <t>KALINA</t>
        </is>
      </c>
      <c r="K3878" s="16" t="b">
        <v>1</v>
      </c>
      <c r="L3878" s="16" t="b">
        <v>1</v>
      </c>
      <c r="M3878" s="16" t="b">
        <v>0</v>
      </c>
      <c r="N3878" s="16" t="b">
        <v>0</v>
      </c>
      <c r="O3878" s="16" t="n">
        <v>432.6853245083326</v>
      </c>
      <c r="P3878" s="16" t="n">
        <v>280.0905889777963</v>
      </c>
      <c r="Q3878" s="16" t="n">
        <v>3000</v>
      </c>
      <c r="R3878" s="16" t="n">
        <v>1386.584757242738</v>
      </c>
      <c r="S3878" s="16" t="n">
        <v>0.5</v>
      </c>
      <c r="T3878" s="16" t="n">
        <v>0.4339825026199837</v>
      </c>
      <c r="U3878" s="16" t="n">
        <v>0.7272892167307569</v>
      </c>
      <c r="V3878" s="16" t="n">
        <v>0.4828279032026696</v>
      </c>
      <c r="W3878" s="16" t="n">
        <v>0.7937355345012452</v>
      </c>
      <c r="X3878" s="16" t="n">
        <v>0.745423166818816</v>
      </c>
      <c r="Y3878" s="16" t="n">
        <v>280.0905889777963</v>
      </c>
      <c r="Z3878" s="16" t="n">
        <v>1.14403134098897</v>
      </c>
      <c r="AA3878" s="16" t="n">
        <v>4.492726401483361</v>
      </c>
      <c r="AB3878" s="16" t="n">
        <v>1613.415242757262</v>
      </c>
      <c r="AC3878" s="16" t="n">
        <v>2.163589340160916</v>
      </c>
      <c r="AD3878" s="16" t="n"/>
      <c r="AE3878" s="16" t="n"/>
    </row>
    <row r="3879">
      <c r="A3879" s="16" t="inlineStr">
        <is>
          <t>KF-M09-R1-x_b+P_alta-0005</t>
        </is>
      </c>
      <c r="B3879" s="16" t="inlineStr">
        <is>
          <t>4.3</t>
        </is>
      </c>
      <c r="C3879" s="16" t="inlineStr">
        <is>
          <t>4.3 x_b+P_alta</t>
        </is>
      </c>
      <c r="D3879" s="16" t="inlineStr">
        <is>
          <t>ronda 1</t>
        </is>
      </c>
      <c r="E3879" s="16" t="inlineStr">
        <is>
          <t>KF-M09</t>
        </is>
      </c>
      <c r="F3879" s="16" t="inlineStr">
        <is>
          <t>KF-M09-R1-x_b+P_alta</t>
        </is>
      </c>
      <c r="G3879" s="16" t="inlineStr">
        <is>
          <t>B13-x_b+P_alta</t>
        </is>
      </c>
      <c r="H3879" s="16" t="inlineStr">
        <is>
          <t>lhs</t>
        </is>
      </c>
      <c r="I3879" s="16" t="inlineStr">
        <is>
          <t>KALINA</t>
        </is>
      </c>
      <c r="J3879" s="16" t="inlineStr">
        <is>
          <t>KALINA</t>
        </is>
      </c>
      <c r="K3879" s="16" t="b">
        <v>1</v>
      </c>
      <c r="L3879" s="16" t="b">
        <v>1</v>
      </c>
      <c r="M3879" s="16" t="b">
        <v>0</v>
      </c>
      <c r="N3879" s="16" t="b">
        <v>0</v>
      </c>
      <c r="O3879" s="16" t="n">
        <v>396.0737903378121</v>
      </c>
      <c r="P3879" s="16" t="n">
        <v>296.1335958263204</v>
      </c>
      <c r="Q3879" s="16" t="n">
        <v>3000</v>
      </c>
      <c r="R3879" s="16" t="n">
        <v>1049.213514645438</v>
      </c>
      <c r="S3879" s="16" t="n">
        <v>0.5</v>
      </c>
      <c r="T3879" s="16" t="n">
        <v>0.4109447043494325</v>
      </c>
      <c r="U3879" s="16" t="n">
        <v>0.589364613772496</v>
      </c>
      <c r="V3879" s="16" t="n">
        <v>0.8555312176841277</v>
      </c>
      <c r="W3879" s="16" t="n">
        <v>0.7192843564504017</v>
      </c>
      <c r="X3879" s="16" t="n">
        <v>0.7261030563887421</v>
      </c>
      <c r="Y3879" s="16" t="n">
        <v>296.1335958263204</v>
      </c>
      <c r="Z3879" s="16" t="n">
        <v>0.70700667418499</v>
      </c>
      <c r="AA3879" s="16" t="n">
        <v>1.620370213967048</v>
      </c>
      <c r="AB3879" s="16" t="n">
        <v>1950.786485354562</v>
      </c>
      <c r="AC3879" s="16" t="n">
        <v>2.859284557551466</v>
      </c>
      <c r="AD3879" s="16" t="n"/>
      <c r="AE3879" s="16" t="n"/>
    </row>
    <row r="3880">
      <c r="A3880" s="16" t="inlineStr">
        <is>
          <t>KF-M09-R1-x_b+P_alta-0006</t>
        </is>
      </c>
      <c r="B3880" s="16" t="inlineStr">
        <is>
          <t>4.3</t>
        </is>
      </c>
      <c r="C3880" s="16" t="inlineStr">
        <is>
          <t>4.3 x_b+P_alta</t>
        </is>
      </c>
      <c r="D3880" s="16" t="inlineStr">
        <is>
          <t>ronda 1</t>
        </is>
      </c>
      <c r="E3880" s="16" t="inlineStr">
        <is>
          <t>KF-M09</t>
        </is>
      </c>
      <c r="F3880" s="16" t="inlineStr">
        <is>
          <t>KF-M09-R1-x_b+P_alta</t>
        </is>
      </c>
      <c r="G3880" s="16" t="inlineStr">
        <is>
          <t>B13-x_b+P_alta</t>
        </is>
      </c>
      <c r="H3880" s="16" t="inlineStr">
        <is>
          <t>lhs</t>
        </is>
      </c>
      <c r="I3880" s="16" t="inlineStr">
        <is>
          <t>KALINA</t>
        </is>
      </c>
      <c r="J3880" s="16" t="inlineStr">
        <is>
          <t>KALINA</t>
        </is>
      </c>
      <c r="K3880" s="16" t="b">
        <v>1</v>
      </c>
      <c r="L3880" s="16" t="b">
        <v>0</v>
      </c>
      <c r="M3880" s="16" t="b">
        <v>1</v>
      </c>
      <c r="N3880" s="16" t="b">
        <v>0</v>
      </c>
      <c r="O3880" s="16" t="n">
        <v>474.5776356479142</v>
      </c>
      <c r="P3880" s="16" t="n">
        <v>279.6690204358145</v>
      </c>
      <c r="Q3880" s="16" t="n">
        <v>3000</v>
      </c>
      <c r="R3880" s="16" t="n">
        <v>1549.237577932916</v>
      </c>
      <c r="S3880" s="16" t="n">
        <v>0.5</v>
      </c>
      <c r="T3880" s="16" t="n">
        <v>0.8434080543480393</v>
      </c>
      <c r="U3880" s="16" t="n">
        <v>0.8637331476328266</v>
      </c>
      <c r="V3880" s="16" t="n">
        <v>0.8152055228874475</v>
      </c>
      <c r="W3880" s="16" t="n">
        <v>0.4702480685513178</v>
      </c>
      <c r="X3880" s="16" t="n">
        <v>0.893677918141353</v>
      </c>
      <c r="Y3880" s="16" t="n">
        <v>279.6690204358145</v>
      </c>
      <c r="Z3880" s="16" t="n">
        <v>4.59219819608559</v>
      </c>
      <c r="AA3880" s="16" t="n">
        <v>81.13145054913605</v>
      </c>
      <c r="AB3880" s="16" t="n">
        <v>1450.762422067084</v>
      </c>
      <c r="AC3880" s="16" t="n">
        <v>1.936436375370378</v>
      </c>
      <c r="AD3880" s="16" t="n"/>
      <c r="AE3880" s="16" t="n"/>
    </row>
    <row r="3881">
      <c r="A3881" s="16" t="inlineStr">
        <is>
          <t>KF-M09-R1-x_b+P_alta-0007</t>
        </is>
      </c>
      <c r="B3881" s="16" t="inlineStr">
        <is>
          <t>4.3</t>
        </is>
      </c>
      <c r="C3881" s="16" t="inlineStr">
        <is>
          <t>4.3 x_b+P_alta</t>
        </is>
      </c>
      <c r="D3881" s="16" t="inlineStr">
        <is>
          <t>ronda 1</t>
        </is>
      </c>
      <c r="E3881" s="16" t="inlineStr">
        <is>
          <t>KF-M09</t>
        </is>
      </c>
      <c r="F3881" s="16" t="inlineStr">
        <is>
          <t>KF-M09-R1-x_b+P_alta</t>
        </is>
      </c>
      <c r="G3881" s="16" t="inlineStr">
        <is>
          <t>B13-x_b+P_alta</t>
        </is>
      </c>
      <c r="H3881" s="16" t="inlineStr">
        <is>
          <t>lhs</t>
        </is>
      </c>
      <c r="I3881" s="16" t="inlineStr">
        <is>
          <t>CORREGIBLE</t>
        </is>
      </c>
      <c r="J3881" s="16" t="inlineStr">
        <is>
          <t>CORREGIBLE</t>
        </is>
      </c>
      <c r="K3881" s="16" t="b">
        <v>1</v>
      </c>
      <c r="L3881" s="16" t="b">
        <v>0</v>
      </c>
      <c r="M3881" s="16" t="b">
        <v>1</v>
      </c>
      <c r="N3881" s="16" t="b">
        <v>0</v>
      </c>
      <c r="O3881" s="16" t="n">
        <v>479.6430035578784</v>
      </c>
      <c r="P3881" s="16" t="n">
        <v>302.7305352005258</v>
      </c>
      <c r="Q3881" s="16" t="n">
        <v>3000</v>
      </c>
      <c r="R3881" s="16" t="n">
        <v>361.3791255021944</v>
      </c>
      <c r="S3881" s="16" t="n">
        <v>0.5</v>
      </c>
      <c r="T3881" s="16" t="n">
        <v>0.8281244455495165</v>
      </c>
      <c r="U3881" s="16" t="n">
        <v>0.4830795401056659</v>
      </c>
      <c r="V3881" s="16" t="n">
        <v>0.5475401425445641</v>
      </c>
      <c r="W3881" s="16" t="n">
        <v>0.6553952848278708</v>
      </c>
      <c r="X3881" s="16" t="n">
        <v>0.7881796964676184</v>
      </c>
      <c r="Y3881" s="16" t="n">
        <v>302.7305352005258</v>
      </c>
      <c r="Z3881" s="16" t="n">
        <v>11.14294633938281</v>
      </c>
      <c r="AA3881" s="16" t="n">
        <v>116.5155816544838</v>
      </c>
      <c r="AB3881" s="16" t="n">
        <v>2638.620874497806</v>
      </c>
      <c r="AC3881" s="16" t="n">
        <v>8.301530963724087</v>
      </c>
      <c r="AD3881" s="16" t="inlineStr">
        <is>
          <t>O2</t>
        </is>
      </c>
      <c r="AE3881" s="16" t="n"/>
    </row>
    <row r="3882">
      <c r="A3882" s="16" t="inlineStr">
        <is>
          <t>KF-M09-R1-x_b+P_alta-0008</t>
        </is>
      </c>
      <c r="B3882" s="16" t="inlineStr">
        <is>
          <t>4.3</t>
        </is>
      </c>
      <c r="C3882" s="16" t="inlineStr">
        <is>
          <t>4.3 x_b+P_alta</t>
        </is>
      </c>
      <c r="D3882" s="16" t="inlineStr">
        <is>
          <t>ronda 1</t>
        </is>
      </c>
      <c r="E3882" s="16" t="inlineStr">
        <is>
          <t>KF-M09</t>
        </is>
      </c>
      <c r="F3882" s="16" t="inlineStr">
        <is>
          <t>KF-M09-R1-x_b+P_alta</t>
        </is>
      </c>
      <c r="G3882" s="16" t="inlineStr">
        <is>
          <t>B13-x_b+P_alta</t>
        </is>
      </c>
      <c r="H3882" s="16" t="inlineStr">
        <is>
          <t>lhs</t>
        </is>
      </c>
      <c r="I3882" s="16" t="inlineStr">
        <is>
          <t>INVIABLE</t>
        </is>
      </c>
      <c r="J3882" s="16" t="inlineStr">
        <is>
          <t>INVIABLE</t>
        </is>
      </c>
      <c r="K3882" s="16" t="b">
        <v>1</v>
      </c>
      <c r="L3882" s="16" t="b">
        <v>0</v>
      </c>
      <c r="M3882" s="16" t="b">
        <v>1</v>
      </c>
      <c r="N3882" s="16" t="b">
        <v>0</v>
      </c>
      <c r="O3882" s="16" t="n">
        <v>457.8241174087868</v>
      </c>
      <c r="P3882" s="16" t="n">
        <v>293.2761436699817</v>
      </c>
      <c r="Q3882" s="16" t="n">
        <v>3000</v>
      </c>
      <c r="R3882" s="16" t="n">
        <v>437.6129452403995</v>
      </c>
      <c r="S3882" s="16" t="n">
        <v>0.5</v>
      </c>
      <c r="T3882" s="16" t="n">
        <v>0.8666432839078895</v>
      </c>
      <c r="U3882" s="16" t="n">
        <v>0.5128674217954432</v>
      </c>
      <c r="V3882" s="16" t="n">
        <v>0.5309957211082541</v>
      </c>
      <c r="W3882" s="16" t="n">
        <v>0.8785644336617834</v>
      </c>
      <c r="X3882" s="16" t="n">
        <v>0.4427065273953969</v>
      </c>
      <c r="Y3882" s="16" t="n">
        <v>293.2761436699817</v>
      </c>
      <c r="Z3882" s="16" t="n">
        <v>-2.76820875707848</v>
      </c>
      <c r="AA3882" s="16" t="n">
        <v>-13.46061784981566</v>
      </c>
      <c r="AB3882" s="16" t="n">
        <v>2562.387054759601</v>
      </c>
      <c r="AC3882" s="16" t="n">
        <v>6.855373070264116</v>
      </c>
      <c r="AD3882" s="16" t="inlineStr">
        <is>
          <t>O2,O3</t>
        </is>
      </c>
      <c r="AE3882" s="16" t="n"/>
    </row>
    <row r="3883">
      <c r="A3883" s="16" t="inlineStr">
        <is>
          <t>KF-M09-R1-x_b+P_alta-0009</t>
        </is>
      </c>
      <c r="B3883" s="16" t="inlineStr">
        <is>
          <t>4.3</t>
        </is>
      </c>
      <c r="C3883" s="16" t="inlineStr">
        <is>
          <t>4.3 x_b+P_alta</t>
        </is>
      </c>
      <c r="D3883" s="16" t="inlineStr">
        <is>
          <t>ronda 1</t>
        </is>
      </c>
      <c r="E3883" s="16" t="inlineStr">
        <is>
          <t>KF-M09</t>
        </is>
      </c>
      <c r="F3883" s="16" t="inlineStr">
        <is>
          <t>KF-M09-R1-x_b+P_alta</t>
        </is>
      </c>
      <c r="G3883" s="16" t="inlineStr">
        <is>
          <t>B13-x_b+P_alta</t>
        </is>
      </c>
      <c r="H3883" s="16" t="inlineStr">
        <is>
          <t>lhs</t>
        </is>
      </c>
      <c r="I3883" s="16" t="inlineStr">
        <is>
          <t>CORREGIBLE</t>
        </is>
      </c>
      <c r="J3883" s="16" t="inlineStr">
        <is>
          <t>CORREGIBLE</t>
        </is>
      </c>
      <c r="K3883" s="16" t="b">
        <v>1</v>
      </c>
      <c r="L3883" s="16" t="b">
        <v>0</v>
      </c>
      <c r="M3883" s="16" t="b">
        <v>1</v>
      </c>
      <c r="N3883" s="16" t="b">
        <v>0</v>
      </c>
      <c r="O3883" s="16" t="n">
        <v>508.4058325695981</v>
      </c>
      <c r="P3883" s="16" t="n">
        <v>296.92540780514</v>
      </c>
      <c r="Q3883" s="16" t="n">
        <v>3000</v>
      </c>
      <c r="R3883" s="16" t="n">
        <v>784.2264925460155</v>
      </c>
      <c r="S3883" s="16" t="n">
        <v>0.5</v>
      </c>
      <c r="T3883" s="16" t="n">
        <v>0.6541540578922109</v>
      </c>
      <c r="U3883" s="16" t="n">
        <v>0.9297090040752596</v>
      </c>
      <c r="V3883" s="16" t="n">
        <v>0.7226022031773215</v>
      </c>
      <c r="W3883" s="16" t="n">
        <v>0.4869323063156879</v>
      </c>
      <c r="X3883" s="16" t="n">
        <v>0.4769924352116206</v>
      </c>
      <c r="Y3883" s="16" t="n">
        <v>296.92540780514</v>
      </c>
      <c r="Z3883" s="16" t="n">
        <v>3.33616966416998</v>
      </c>
      <c r="AA3883" s="16" t="n">
        <v>31.85893366276551</v>
      </c>
      <c r="AB3883" s="16" t="n">
        <v>2215.773507453985</v>
      </c>
      <c r="AC3883" s="16" t="n">
        <v>3.825425471486442</v>
      </c>
      <c r="AD3883" s="16" t="inlineStr">
        <is>
          <t>O2</t>
        </is>
      </c>
      <c r="AE3883" s="16" t="n"/>
    </row>
    <row r="3884">
      <c r="A3884" s="16" t="inlineStr">
        <is>
          <t>KF-M09-R1-x_b+P_alta-0010</t>
        </is>
      </c>
      <c r="B3884" s="16" t="inlineStr">
        <is>
          <t>4.3</t>
        </is>
      </c>
      <c r="C3884" s="16" t="inlineStr">
        <is>
          <t>4.3 x_b+P_alta</t>
        </is>
      </c>
      <c r="D3884" s="16" t="inlineStr">
        <is>
          <t>ronda 1</t>
        </is>
      </c>
      <c r="E3884" s="16" t="inlineStr">
        <is>
          <t>KF-M09</t>
        </is>
      </c>
      <c r="F3884" s="16" t="inlineStr">
        <is>
          <t>KF-M09-R1-x_b+P_alta</t>
        </is>
      </c>
      <c r="G3884" s="16" t="inlineStr">
        <is>
          <t>B13-x_b+P_alta</t>
        </is>
      </c>
      <c r="H3884" s="16" t="inlineStr">
        <is>
          <t>lhs</t>
        </is>
      </c>
      <c r="I3884" s="16" t="inlineStr">
        <is>
          <t>KALINA</t>
        </is>
      </c>
      <c r="J3884" s="16" t="inlineStr">
        <is>
          <t>KALINA</t>
        </is>
      </c>
      <c r="K3884" s="16" t="b">
        <v>1</v>
      </c>
      <c r="L3884" s="16" t="b">
        <v>1</v>
      </c>
      <c r="M3884" s="16" t="b">
        <v>0</v>
      </c>
      <c r="N3884" s="16" t="b">
        <v>0</v>
      </c>
      <c r="O3884" s="16" t="n">
        <v>410.0080573216207</v>
      </c>
      <c r="P3884" s="16" t="n">
        <v>301.1243965233699</v>
      </c>
      <c r="Q3884" s="16" t="n">
        <v>3000</v>
      </c>
      <c r="R3884" s="16" t="n">
        <v>1852.30526542974</v>
      </c>
      <c r="S3884" s="16" t="n">
        <v>0.5</v>
      </c>
      <c r="T3884" s="16" t="n">
        <v>0.8204303619042521</v>
      </c>
      <c r="U3884" s="16" t="n">
        <v>0.9046113027538366</v>
      </c>
      <c r="V3884" s="16" t="n">
        <v>0.4476880212184646</v>
      </c>
      <c r="W3884" s="16" t="n">
        <v>0.9304746696451784</v>
      </c>
      <c r="X3884" s="16" t="n">
        <v>0.5303603840883209</v>
      </c>
      <c r="Y3884" s="16" t="n">
        <v>301.1243965233699</v>
      </c>
      <c r="Z3884" s="16" t="n">
        <v>2.94776844465024</v>
      </c>
      <c r="AA3884" s="16" t="n">
        <v>5.114021782148336</v>
      </c>
      <c r="AB3884" s="16" t="n">
        <v>1147.69473457026</v>
      </c>
      <c r="AC3884" s="16" t="n">
        <v>1.619603450894468</v>
      </c>
      <c r="AD3884" s="16" t="n"/>
      <c r="AE3884" s="16" t="n"/>
    </row>
    <row r="3885">
      <c r="A3885" s="16" t="inlineStr">
        <is>
          <t>KF-M09-R1-x_b+P_alta-0011</t>
        </is>
      </c>
      <c r="B3885" s="16" t="inlineStr">
        <is>
          <t>4.3</t>
        </is>
      </c>
      <c r="C3885" s="16" t="inlineStr">
        <is>
          <t>4.3 x_b+P_alta</t>
        </is>
      </c>
      <c r="D3885" s="16" t="inlineStr">
        <is>
          <t>ronda 1</t>
        </is>
      </c>
      <c r="E3885" s="16" t="inlineStr">
        <is>
          <t>KF-M09</t>
        </is>
      </c>
      <c r="F3885" s="16" t="inlineStr">
        <is>
          <t>KF-M09-R1-x_b+P_alta</t>
        </is>
      </c>
      <c r="G3885" s="16" t="inlineStr">
        <is>
          <t>B13-x_b+P_alta</t>
        </is>
      </c>
      <c r="H3885" s="16" t="inlineStr">
        <is>
          <t>lhs</t>
        </is>
      </c>
      <c r="I3885" s="16" t="inlineStr">
        <is>
          <t>KALINA</t>
        </is>
      </c>
      <c r="J3885" s="16" t="inlineStr">
        <is>
          <t>KALINA</t>
        </is>
      </c>
      <c r="K3885" s="16" t="b">
        <v>1</v>
      </c>
      <c r="L3885" s="16" t="b">
        <v>0</v>
      </c>
      <c r="M3885" s="16" t="b">
        <v>1</v>
      </c>
      <c r="N3885" s="16" t="b">
        <v>0</v>
      </c>
      <c r="O3885" s="16" t="n">
        <v>438.9327426483868</v>
      </c>
      <c r="P3885" s="16" t="n">
        <v>292.3845179077722</v>
      </c>
      <c r="Q3885" s="16" t="n">
        <v>3000</v>
      </c>
      <c r="R3885" s="16" t="n">
        <v>1014.680125357152</v>
      </c>
      <c r="S3885" s="16" t="n">
        <v>0.5</v>
      </c>
      <c r="T3885" s="16" t="n">
        <v>0.5652129606067597</v>
      </c>
      <c r="U3885" s="16" t="n">
        <v>0.4277993790827639</v>
      </c>
      <c r="V3885" s="16" t="n">
        <v>0.6989405378603732</v>
      </c>
      <c r="W3885" s="16" t="n">
        <v>0.5799045482500167</v>
      </c>
      <c r="X3885" s="16" t="n">
        <v>0.7707218968953247</v>
      </c>
      <c r="Y3885" s="16" t="n">
        <v>292.3845179077722</v>
      </c>
      <c r="Z3885" s="16" t="n">
        <v>4.158773219305701</v>
      </c>
      <c r="AA3885" s="16" t="n">
        <v>27.4672800604442</v>
      </c>
      <c r="AB3885" s="16" t="n">
        <v>1985.319874642848</v>
      </c>
      <c r="AC3885" s="16" t="n">
        <v>2.956596788514062</v>
      </c>
      <c r="AD3885" s="16" t="n"/>
      <c r="AE3885" s="16" t="n"/>
    </row>
    <row r="3886">
      <c r="A3886" s="16" t="inlineStr">
        <is>
          <t>KF-M09-R1-x_b+P_alta-0012</t>
        </is>
      </c>
      <c r="B3886" s="16" t="inlineStr">
        <is>
          <t>4.3</t>
        </is>
      </c>
      <c r="C3886" s="16" t="inlineStr">
        <is>
          <t>4.3 x_b+P_alta</t>
        </is>
      </c>
      <c r="D3886" s="16" t="inlineStr">
        <is>
          <t>ronda 1</t>
        </is>
      </c>
      <c r="E3886" s="16" t="inlineStr">
        <is>
          <t>KF-M09</t>
        </is>
      </c>
      <c r="F3886" s="16" t="inlineStr">
        <is>
          <t>KF-M09-R1-x_b+P_alta</t>
        </is>
      </c>
      <c r="G3886" s="16" t="inlineStr">
        <is>
          <t>B13-x_b+P_alta</t>
        </is>
      </c>
      <c r="H3886" s="16" t="inlineStr">
        <is>
          <t>lhs</t>
        </is>
      </c>
      <c r="I3886" s="16" t="inlineStr">
        <is>
          <t>CORREGIBLE</t>
        </is>
      </c>
      <c r="J3886" s="16" t="inlineStr">
        <is>
          <t>CORREGIBLE</t>
        </is>
      </c>
      <c r="K3886" s="16" t="b">
        <v>1</v>
      </c>
      <c r="L3886" s="16" t="b">
        <v>0</v>
      </c>
      <c r="M3886" s="16" t="b">
        <v>1</v>
      </c>
      <c r="N3886" s="16" t="b">
        <v>0</v>
      </c>
      <c r="O3886" s="16" t="n">
        <v>464.7157546205303</v>
      </c>
      <c r="P3886" s="16" t="n">
        <v>290.4853547744376</v>
      </c>
      <c r="Q3886" s="16" t="n">
        <v>3000</v>
      </c>
      <c r="R3886" s="16" t="n">
        <v>342.0862449972955</v>
      </c>
      <c r="S3886" s="16" t="n">
        <v>0.5</v>
      </c>
      <c r="T3886" s="16" t="n">
        <v>0.544042076316392</v>
      </c>
      <c r="U3886" s="16" t="n">
        <v>0.7380387429292492</v>
      </c>
      <c r="V3886" s="16" t="n">
        <v>0.7961985193103961</v>
      </c>
      <c r="W3886" s="16" t="n">
        <v>0.8286488733229129</v>
      </c>
      <c r="X3886" s="16" t="n">
        <v>0.6157831624391616</v>
      </c>
      <c r="Y3886" s="16" t="n">
        <v>290.4853547744376</v>
      </c>
      <c r="Z3886" s="16" t="n">
        <v>2.97565099283642</v>
      </c>
      <c r="AA3886" s="16" t="n">
        <v>29.62654613974613</v>
      </c>
      <c r="AB3886" s="16" t="n">
        <v>2657.913755002704</v>
      </c>
      <c r="AC3886" s="16" t="n">
        <v>8.769718291431793</v>
      </c>
      <c r="AD3886" s="16" t="inlineStr">
        <is>
          <t>O2</t>
        </is>
      </c>
      <c r="AE3886" s="16" t="n"/>
    </row>
    <row r="3887">
      <c r="A3887" s="16" t="inlineStr">
        <is>
          <t>KF-M09-R1-x_b+P_alta-0013</t>
        </is>
      </c>
      <c r="B3887" s="16" t="inlineStr">
        <is>
          <t>4.3</t>
        </is>
      </c>
      <c r="C3887" s="16" t="inlineStr">
        <is>
          <t>4.3 x_b+P_alta</t>
        </is>
      </c>
      <c r="D3887" s="16" t="inlineStr">
        <is>
          <t>ronda 1</t>
        </is>
      </c>
      <c r="E3887" s="16" t="inlineStr">
        <is>
          <t>KF-M09</t>
        </is>
      </c>
      <c r="F3887" s="16" t="inlineStr">
        <is>
          <t>KF-M09-R1-x_b+P_alta</t>
        </is>
      </c>
      <c r="G3887" s="16" t="inlineStr">
        <is>
          <t>B13-x_b+P_alta</t>
        </is>
      </c>
      <c r="H3887" s="16" t="inlineStr">
        <is>
          <t>lhs</t>
        </is>
      </c>
      <c r="I3887" s="16" t="inlineStr">
        <is>
          <t>NO_CONVERGIO</t>
        </is>
      </c>
      <c r="J3887" s="16" t="inlineStr">
        <is>
          <t>NO_CONVERGIO</t>
        </is>
      </c>
      <c r="K3887" s="16" t="b">
        <v>0</v>
      </c>
      <c r="L3887" s="16" t="b">
        <v>0</v>
      </c>
      <c r="M3887" s="16" t="b">
        <v>0</v>
      </c>
      <c r="N3887" s="16" t="b">
        <v>0</v>
      </c>
      <c r="O3887" s="16" t="n">
        <v>382.5996776303832</v>
      </c>
      <c r="P3887" s="16" t="n">
        <v>291.596727812127</v>
      </c>
      <c r="Q3887" s="16" t="n">
        <v>3000</v>
      </c>
      <c r="R3887" s="16" t="n">
        <v>1926.41261285158</v>
      </c>
      <c r="S3887" s="16" t="n">
        <v>0.5</v>
      </c>
      <c r="T3887" s="16" t="n">
        <v>0.6106005902537209</v>
      </c>
      <c r="U3887" s="16" t="n">
        <v>0.5553461166536279</v>
      </c>
      <c r="V3887" s="16" t="n">
        <v>0.6154709192895539</v>
      </c>
      <c r="W3887" s="16" t="n">
        <v>0.5020750743113098</v>
      </c>
      <c r="X3887" s="16" t="n">
        <v>0.8329457962651297</v>
      </c>
      <c r="Y3887" s="16" t="n">
        <v>291.596727812127</v>
      </c>
      <c r="Z3887" s="16" t="n"/>
      <c r="AA3887" s="16" t="n"/>
      <c r="AB3887" s="16" t="n">
        <v>1073.58738714842</v>
      </c>
      <c r="AC3887" s="16" t="n">
        <v>1.557298773890001</v>
      </c>
      <c r="AD3887" s="16" t="n"/>
      <c r="AE3887" s="16" t="n"/>
    </row>
    <row r="3888">
      <c r="A3888" s="16" t="inlineStr">
        <is>
          <t>KF-M09-R1-x_b+P_alta-0014</t>
        </is>
      </c>
      <c r="B3888" s="16" t="inlineStr">
        <is>
          <t>4.3</t>
        </is>
      </c>
      <c r="C3888" s="16" t="inlineStr">
        <is>
          <t>4.3 x_b+P_alta</t>
        </is>
      </c>
      <c r="D3888" s="16" t="inlineStr">
        <is>
          <t>ronda 1</t>
        </is>
      </c>
      <c r="E3888" s="16" t="inlineStr">
        <is>
          <t>KF-M09</t>
        </is>
      </c>
      <c r="F3888" s="16" t="inlineStr">
        <is>
          <t>KF-M09-R1-x_b+P_alta</t>
        </is>
      </c>
      <c r="G3888" s="16" t="inlineStr">
        <is>
          <t>B13-x_b+P_alta</t>
        </is>
      </c>
      <c r="H3888" s="16" t="inlineStr">
        <is>
          <t>lhs</t>
        </is>
      </c>
      <c r="I3888" s="16" t="inlineStr">
        <is>
          <t>CORREGIBLE</t>
        </is>
      </c>
      <c r="J3888" s="16" t="inlineStr">
        <is>
          <t>CORREGIBLE</t>
        </is>
      </c>
      <c r="K3888" s="16" t="b">
        <v>1</v>
      </c>
      <c r="L3888" s="16" t="b">
        <v>0</v>
      </c>
      <c r="M3888" s="16" t="b">
        <v>1</v>
      </c>
      <c r="N3888" s="16" t="b">
        <v>0</v>
      </c>
      <c r="O3888" s="16" t="n">
        <v>441.8629870012242</v>
      </c>
      <c r="P3888" s="16" t="n">
        <v>298.7420383698988</v>
      </c>
      <c r="Q3888" s="16" t="n">
        <v>3000</v>
      </c>
      <c r="R3888" s="16" t="n">
        <v>1989.509694549336</v>
      </c>
      <c r="S3888" s="16" t="n">
        <v>0.5</v>
      </c>
      <c r="T3888" s="16" t="n">
        <v>0.5955954174246026</v>
      </c>
      <c r="U3888" s="16" t="n">
        <v>0.4416133354336731</v>
      </c>
      <c r="V3888" s="16" t="n">
        <v>0.830896813017386</v>
      </c>
      <c r="W3888" s="16" t="n">
        <v>0.4515248662572915</v>
      </c>
      <c r="X3888" s="16" t="n">
        <v>0.6923111342762492</v>
      </c>
      <c r="Y3888" s="16" t="n">
        <v>298.7420383698988</v>
      </c>
      <c r="Z3888" s="16" t="n">
        <v>1.97810191160109</v>
      </c>
      <c r="AA3888" s="16" t="n">
        <v>15.08139977351023</v>
      </c>
      <c r="AB3888" s="16" t="n">
        <v>1010.490305450664</v>
      </c>
      <c r="AC3888" s="16" t="n">
        <v>1.507909214124016</v>
      </c>
      <c r="AD3888" s="16" t="inlineStr">
        <is>
          <t>O2</t>
        </is>
      </c>
      <c r="AE3888" s="16" t="n"/>
    </row>
    <row r="3889">
      <c r="A3889" s="16" t="inlineStr">
        <is>
          <t>KF-M09-R1-x_b+P_alta-0015</t>
        </is>
      </c>
      <c r="B3889" s="16" t="inlineStr">
        <is>
          <t>4.3</t>
        </is>
      </c>
      <c r="C3889" s="16" t="inlineStr">
        <is>
          <t>4.3 x_b+P_alta</t>
        </is>
      </c>
      <c r="D3889" s="16" t="inlineStr">
        <is>
          <t>ronda 1</t>
        </is>
      </c>
      <c r="E3889" s="16" t="inlineStr">
        <is>
          <t>KF-M09</t>
        </is>
      </c>
      <c r="F3889" s="16" t="inlineStr">
        <is>
          <t>KF-M09-R1-x_b+P_alta</t>
        </is>
      </c>
      <c r="G3889" s="16" t="inlineStr">
        <is>
          <t>B13-x_b+P_alta</t>
        </is>
      </c>
      <c r="H3889" s="16" t="inlineStr">
        <is>
          <t>lhs</t>
        </is>
      </c>
      <c r="I3889" s="16" t="inlineStr">
        <is>
          <t>N2</t>
        </is>
      </c>
      <c r="J3889" s="16" t="inlineStr">
        <is>
          <t>NO_CONVERGIO</t>
        </is>
      </c>
      <c r="K3889" s="16" t="b">
        <v>0</v>
      </c>
      <c r="L3889" s="16" t="b">
        <v>0</v>
      </c>
      <c r="M3889" s="16" t="b">
        <v>0</v>
      </c>
      <c r="N3889" s="16" t="b">
        <v>0</v>
      </c>
      <c r="O3889" s="16" t="n">
        <v>387.9026638521007</v>
      </c>
      <c r="P3889" s="16" t="n">
        <v>285.0292910220718</v>
      </c>
      <c r="Q3889" s="16" t="n">
        <v>3000</v>
      </c>
      <c r="R3889" s="16" t="n">
        <v>1752.468978263652</v>
      </c>
      <c r="S3889" s="16" t="n">
        <v>0.5</v>
      </c>
      <c r="T3889" s="16" t="n">
        <v>0.4599709294584372</v>
      </c>
      <c r="U3889" s="16" t="n">
        <v>0.7029344421776442</v>
      </c>
      <c r="V3889" s="16" t="n">
        <v>0.4975519715716555</v>
      </c>
      <c r="W3889" s="16" t="n">
        <v>0.7454961264281402</v>
      </c>
      <c r="X3889" s="16" t="n">
        <v>0.6734956358640816</v>
      </c>
      <c r="Y3889" s="16" t="n">
        <v>285.0292910220718</v>
      </c>
      <c r="Z3889" s="16" t="n">
        <v>-7.440484037024719</v>
      </c>
      <c r="AA3889" s="16" t="n">
        <v>-5.830117328136352</v>
      </c>
      <c r="AB3889" s="16" t="n">
        <v>1247.531021736348</v>
      </c>
      <c r="AC3889" s="16" t="n">
        <v>1.711870530782464</v>
      </c>
      <c r="AD3889" s="16" t="inlineStr">
        <is>
          <t>N2,S6,O3,O5,C1,C3,C3</t>
        </is>
      </c>
      <c r="AE3889" s="16" t="n"/>
    </row>
    <row r="3890">
      <c r="A3890" s="16" t="inlineStr">
        <is>
          <t>KF-M09-R1-x_b+P_alta-0016</t>
        </is>
      </c>
      <c r="B3890" s="16" t="inlineStr">
        <is>
          <t>4.3</t>
        </is>
      </c>
      <c r="C3890" s="16" t="inlineStr">
        <is>
          <t>4.3 x_b+P_alta</t>
        </is>
      </c>
      <c r="D3890" s="16" t="inlineStr">
        <is>
          <t>ronda 1</t>
        </is>
      </c>
      <c r="E3890" s="16" t="inlineStr">
        <is>
          <t>KF-M09</t>
        </is>
      </c>
      <c r="F3890" s="16" t="inlineStr">
        <is>
          <t>KF-M09-R1-x_b+P_alta</t>
        </is>
      </c>
      <c r="G3890" s="16" t="inlineStr">
        <is>
          <t>B13-x_b+P_alta</t>
        </is>
      </c>
      <c r="H3890" s="16" t="inlineStr">
        <is>
          <t>lhs</t>
        </is>
      </c>
      <c r="I3890" s="16" t="inlineStr">
        <is>
          <t>CORREGIBLE</t>
        </is>
      </c>
      <c r="J3890" s="16" t="inlineStr">
        <is>
          <t>CORREGIBLE</t>
        </is>
      </c>
      <c r="K3890" s="16" t="b">
        <v>1</v>
      </c>
      <c r="L3890" s="16" t="b">
        <v>0</v>
      </c>
      <c r="M3890" s="16" t="b">
        <v>1</v>
      </c>
      <c r="N3890" s="16" t="b">
        <v>0</v>
      </c>
      <c r="O3890" s="16" t="n">
        <v>518.0654368748512</v>
      </c>
      <c r="P3890" s="16" t="n">
        <v>294.9597078683234</v>
      </c>
      <c r="Q3890" s="16" t="n">
        <v>3000</v>
      </c>
      <c r="R3890" s="16" t="n">
        <v>1349.829733432559</v>
      </c>
      <c r="S3890" s="16" t="n">
        <v>0.5</v>
      </c>
      <c r="T3890" s="16" t="n">
        <v>0.9156236415189246</v>
      </c>
      <c r="U3890" s="16" t="n">
        <v>0.6601107331699121</v>
      </c>
      <c r="V3890" s="16" t="n">
        <v>0.7644539611870946</v>
      </c>
      <c r="W3890" s="16" t="n">
        <v>0.662314785638324</v>
      </c>
      <c r="X3890" s="16" t="n">
        <v>0.4190727606499448</v>
      </c>
      <c r="Y3890" s="16" t="n">
        <v>294.9597078683234</v>
      </c>
      <c r="Z3890" s="16" t="n">
        <v>2.42647494796822</v>
      </c>
      <c r="AA3890" s="16" t="n">
        <v>21.65489201999704</v>
      </c>
      <c r="AB3890" s="16" t="n">
        <v>1650.170266567441</v>
      </c>
      <c r="AC3890" s="16" t="n">
        <v>2.222502531760898</v>
      </c>
      <c r="AD3890" s="16" t="inlineStr">
        <is>
          <t>O2</t>
        </is>
      </c>
      <c r="AE3890" s="16" t="n"/>
    </row>
    <row r="3891">
      <c r="A3891" s="16" t="inlineStr">
        <is>
          <t>KF-M09-R1-x_b+P_alta-0017</t>
        </is>
      </c>
      <c r="B3891" s="16" t="inlineStr">
        <is>
          <t>4.3</t>
        </is>
      </c>
      <c r="C3891" s="16" t="inlineStr">
        <is>
          <t>4.3 x_b+P_alta</t>
        </is>
      </c>
      <c r="D3891" s="16" t="inlineStr">
        <is>
          <t>ronda 1</t>
        </is>
      </c>
      <c r="E3891" s="16" t="inlineStr">
        <is>
          <t>KF-M09</t>
        </is>
      </c>
      <c r="F3891" s="16" t="inlineStr">
        <is>
          <t>KF-M09-R1-x_b+P_alta</t>
        </is>
      </c>
      <c r="G3891" s="16" t="inlineStr">
        <is>
          <t>B13-x_b+P_alta</t>
        </is>
      </c>
      <c r="H3891" s="16" t="inlineStr">
        <is>
          <t>lhs</t>
        </is>
      </c>
      <c r="I3891" s="16" t="inlineStr">
        <is>
          <t>KALINA</t>
        </is>
      </c>
      <c r="J3891" s="16" t="inlineStr">
        <is>
          <t>KALINA</t>
        </is>
      </c>
      <c r="K3891" s="16" t="b">
        <v>1</v>
      </c>
      <c r="L3891" s="16" t="b">
        <v>1</v>
      </c>
      <c r="M3891" s="16" t="b">
        <v>0</v>
      </c>
      <c r="N3891" s="16" t="b">
        <v>0</v>
      </c>
      <c r="O3891" s="16" t="n">
        <v>415.60651823296</v>
      </c>
      <c r="P3891" s="16" t="n">
        <v>294.1113567187428</v>
      </c>
      <c r="Q3891" s="16" t="n">
        <v>3000</v>
      </c>
      <c r="R3891" s="16" t="n">
        <v>545.161308938704</v>
      </c>
      <c r="S3891" s="16" t="n">
        <v>0.5</v>
      </c>
      <c r="T3891" s="16" t="n">
        <v>0.7690983564538779</v>
      </c>
      <c r="U3891" s="16" t="n">
        <v>0.8850992241866904</v>
      </c>
      <c r="V3891" s="16" t="n">
        <v>0.7427261502415805</v>
      </c>
      <c r="W3891" s="16" t="n">
        <v>0.4155390778269927</v>
      </c>
      <c r="X3891" s="16" t="n">
        <v>0.8401102518914029</v>
      </c>
      <c r="Y3891" s="16" t="n">
        <v>294.1113567187428</v>
      </c>
      <c r="Z3891" s="16" t="n">
        <v>6.53107001038999</v>
      </c>
      <c r="AA3891" s="16" t="n">
        <v>32.42970769268987</v>
      </c>
      <c r="AB3891" s="16" t="n">
        <v>2454.838691061296</v>
      </c>
      <c r="AC3891" s="16" t="n">
        <v>5.502958391967081</v>
      </c>
      <c r="AD3891" s="16" t="n"/>
      <c r="AE3891" s="16" t="n"/>
    </row>
    <row r="3892">
      <c r="A3892" s="16" t="inlineStr">
        <is>
          <t>KF-M09-R1-x_b+P_alta-0018</t>
        </is>
      </c>
      <c r="B3892" s="16" t="inlineStr">
        <is>
          <t>4.3</t>
        </is>
      </c>
      <c r="C3892" s="16" t="inlineStr">
        <is>
          <t>4.3 x_b+P_alta</t>
        </is>
      </c>
      <c r="D3892" s="16" t="inlineStr">
        <is>
          <t>ronda 1</t>
        </is>
      </c>
      <c r="E3892" s="16" t="inlineStr">
        <is>
          <t>KF-M09</t>
        </is>
      </c>
      <c r="F3892" s="16" t="inlineStr">
        <is>
          <t>KF-M09-R1-x_b+P_alta</t>
        </is>
      </c>
      <c r="G3892" s="16" t="inlineStr">
        <is>
          <t>B13-x_b+P_alta</t>
        </is>
      </c>
      <c r="H3892" s="16" t="inlineStr">
        <is>
          <t>lhs</t>
        </is>
      </c>
      <c r="I3892" s="16" t="inlineStr">
        <is>
          <t>KALINA</t>
        </is>
      </c>
      <c r="J3892" s="16" t="inlineStr">
        <is>
          <t>KALINA</t>
        </is>
      </c>
      <c r="K3892" s="16" t="b">
        <v>1</v>
      </c>
      <c r="L3892" s="16" t="b">
        <v>0</v>
      </c>
      <c r="M3892" s="16" t="b">
        <v>1</v>
      </c>
      <c r="N3892" s="16" t="b">
        <v>0</v>
      </c>
      <c r="O3892" s="16" t="n">
        <v>482.8290399532514</v>
      </c>
      <c r="P3892" s="16" t="n">
        <v>300.5235971030337</v>
      </c>
      <c r="Q3892" s="16" t="n">
        <v>3000</v>
      </c>
      <c r="R3892" s="16" t="n">
        <v>1821.930775620519</v>
      </c>
      <c r="S3892" s="16" t="n">
        <v>0.5</v>
      </c>
      <c r="T3892" s="16" t="n">
        <v>0.6950157663970584</v>
      </c>
      <c r="U3892" s="16" t="n">
        <v>0.9465149598945318</v>
      </c>
      <c r="V3892" s="16" t="n">
        <v>0.6281995785544616</v>
      </c>
      <c r="W3892" s="16" t="n">
        <v>0.7635726201139967</v>
      </c>
      <c r="X3892" s="16" t="n">
        <v>0.9456917470249244</v>
      </c>
      <c r="Y3892" s="16" t="n">
        <v>300.5235971030337</v>
      </c>
      <c r="Z3892" s="16" t="n">
        <v>2.8910498361254</v>
      </c>
      <c r="AA3892" s="16" t="n">
        <v>38.15323044013321</v>
      </c>
      <c r="AB3892" s="16" t="n">
        <v>1178.069224379481</v>
      </c>
      <c r="AC3892" s="16" t="n">
        <v>1.646604821732731</v>
      </c>
      <c r="AD3892" s="16" t="n"/>
      <c r="AE3892" s="16" t="n"/>
    </row>
    <row r="3893">
      <c r="A3893" s="16" t="inlineStr">
        <is>
          <t>KF-M09-R1-x_b+P_alta-0019</t>
        </is>
      </c>
      <c r="B3893" s="16" t="inlineStr">
        <is>
          <t>4.3</t>
        </is>
      </c>
      <c r="C3893" s="16" t="inlineStr">
        <is>
          <t>4.3 x_b+P_alta</t>
        </is>
      </c>
      <c r="D3893" s="16" t="inlineStr">
        <is>
          <t>ronda 1</t>
        </is>
      </c>
      <c r="E3893" s="16" t="inlineStr">
        <is>
          <t>KF-M09</t>
        </is>
      </c>
      <c r="F3893" s="16" t="inlineStr">
        <is>
          <t>KF-M09-R1-x_b+P_alta</t>
        </is>
      </c>
      <c r="G3893" s="16" t="inlineStr">
        <is>
          <t>B13-x_b+P_alta</t>
        </is>
      </c>
      <c r="H3893" s="16" t="inlineStr">
        <is>
          <t>lhs</t>
        </is>
      </c>
      <c r="I3893" s="16" t="inlineStr">
        <is>
          <t>INVIABLE</t>
        </is>
      </c>
      <c r="J3893" s="16" t="inlineStr">
        <is>
          <t>INVIABLE</t>
        </is>
      </c>
      <c r="K3893" s="16" t="b">
        <v>1</v>
      </c>
      <c r="L3893" s="16" t="b">
        <v>0</v>
      </c>
      <c r="M3893" s="16" t="b">
        <v>1</v>
      </c>
      <c r="N3893" s="16" t="b">
        <v>0</v>
      </c>
      <c r="O3893" s="16" t="n">
        <v>463.1383657765828</v>
      </c>
      <c r="P3893" s="16" t="n">
        <v>295.9162001086331</v>
      </c>
      <c r="Q3893" s="16" t="n">
        <v>3000</v>
      </c>
      <c r="R3893" s="16" t="n">
        <v>732.3239737293018</v>
      </c>
      <c r="S3893" s="16" t="n">
        <v>0.5</v>
      </c>
      <c r="T3893" s="16" t="n">
        <v>0.5160504559345073</v>
      </c>
      <c r="U3893" s="16" t="n">
        <v>0.4164228952643153</v>
      </c>
      <c r="V3893" s="16" t="n">
        <v>0.8830989301664949</v>
      </c>
      <c r="W3893" s="16" t="n">
        <v>0.5174596231978867</v>
      </c>
      <c r="X3893" s="16" t="n">
        <v>0.5924753570342687</v>
      </c>
      <c r="Y3893" s="16" t="n">
        <v>295.9162001086331</v>
      </c>
      <c r="Z3893" s="16" t="n">
        <v>-5.23485352107936</v>
      </c>
      <c r="AA3893" s="16" t="n">
        <v>-49.83966033196218</v>
      </c>
      <c r="AB3893" s="16" t="n">
        <v>2267.676026270698</v>
      </c>
      <c r="AC3893" s="16" t="n">
        <v>4.096547576781815</v>
      </c>
      <c r="AD3893" s="16" t="inlineStr">
        <is>
          <t>O2,O3</t>
        </is>
      </c>
      <c r="AE3893" s="16" t="n"/>
    </row>
    <row r="3894">
      <c r="A3894" s="16" t="inlineStr">
        <is>
          <t>KF-M09-R1-x_b+P_alta-0020</t>
        </is>
      </c>
      <c r="B3894" s="16" t="inlineStr">
        <is>
          <t>4.3</t>
        </is>
      </c>
      <c r="C3894" s="16" t="inlineStr">
        <is>
          <t>4.3 x_b+P_alta</t>
        </is>
      </c>
      <c r="D3894" s="16" t="inlineStr">
        <is>
          <t>ronda 1</t>
        </is>
      </c>
      <c r="E3894" s="16" t="inlineStr">
        <is>
          <t>KF-M09</t>
        </is>
      </c>
      <c r="F3894" s="16" t="inlineStr">
        <is>
          <t>KF-M09-R1-x_b+P_alta</t>
        </is>
      </c>
      <c r="G3894" s="16" t="inlineStr">
        <is>
          <t>B13-x_b+P_alta</t>
        </is>
      </c>
      <c r="H3894" s="16" t="inlineStr">
        <is>
          <t>lhs</t>
        </is>
      </c>
      <c r="I3894" s="16" t="inlineStr">
        <is>
          <t>CORREGIBLE</t>
        </is>
      </c>
      <c r="J3894" s="16" t="inlineStr">
        <is>
          <t>CORREGIBLE</t>
        </is>
      </c>
      <c r="K3894" s="16" t="b">
        <v>1</v>
      </c>
      <c r="L3894" s="16" t="b">
        <v>0</v>
      </c>
      <c r="M3894" s="16" t="b">
        <v>1</v>
      </c>
      <c r="N3894" s="16" t="b">
        <v>0</v>
      </c>
      <c r="O3894" s="16" t="n">
        <v>502.5527112335867</v>
      </c>
      <c r="P3894" s="16" t="n">
        <v>287.6649712968514</v>
      </c>
      <c r="Q3894" s="16" t="n">
        <v>3000</v>
      </c>
      <c r="R3894" s="16" t="n">
        <v>1526.818086185177</v>
      </c>
      <c r="S3894" s="16" t="n">
        <v>0.5</v>
      </c>
      <c r="T3894" s="16" t="n">
        <v>0.9357656962713462</v>
      </c>
      <c r="U3894" s="16" t="n">
        <v>0.6016743555104865</v>
      </c>
      <c r="V3894" s="16" t="n">
        <v>0.6742343488074389</v>
      </c>
      <c r="W3894" s="16" t="n">
        <v>0.546462818455115</v>
      </c>
      <c r="X3894" s="16" t="n">
        <v>0.505326703596221</v>
      </c>
      <c r="Y3894" s="16" t="n">
        <v>287.6649712968514</v>
      </c>
      <c r="Z3894" s="16" t="n">
        <v>3.23632130101429</v>
      </c>
      <c r="AA3894" s="16" t="n">
        <v>31.83779533938897</v>
      </c>
      <c r="AB3894" s="16" t="n">
        <v>1473.181913814823</v>
      </c>
      <c r="AC3894" s="16" t="n">
        <v>1.964870620242411</v>
      </c>
      <c r="AD3894" s="16" t="inlineStr">
        <is>
          <t>O2</t>
        </is>
      </c>
      <c r="AE3894" s="16" t="n"/>
    </row>
    <row r="3895">
      <c r="A3895" s="16" t="inlineStr">
        <is>
          <t>KF-M09-R1-x_b+P_alta-0021</t>
        </is>
      </c>
      <c r="B3895" s="16" t="inlineStr">
        <is>
          <t>4.3</t>
        </is>
      </c>
      <c r="C3895" s="16" t="inlineStr">
        <is>
          <t>4.3 x_b+P_alta</t>
        </is>
      </c>
      <c r="D3895" s="16" t="inlineStr">
        <is>
          <t>ronda 1</t>
        </is>
      </c>
      <c r="E3895" s="16" t="inlineStr">
        <is>
          <t>KF-M09</t>
        </is>
      </c>
      <c r="F3895" s="16" t="inlineStr">
        <is>
          <t>KF-M09-R1-x_b+P_alta</t>
        </is>
      </c>
      <c r="G3895" s="16" t="inlineStr">
        <is>
          <t>B13-x_b+P_alta</t>
        </is>
      </c>
      <c r="H3895" s="16" t="inlineStr">
        <is>
          <t>lhs</t>
        </is>
      </c>
      <c r="I3895" s="16" t="inlineStr">
        <is>
          <t>KALINA</t>
        </is>
      </c>
      <c r="J3895" s="16" t="inlineStr">
        <is>
          <t>KALINA</t>
        </is>
      </c>
      <c r="K3895" s="16" t="b">
        <v>1</v>
      </c>
      <c r="L3895" s="16" t="b">
        <v>1</v>
      </c>
      <c r="M3895" s="16" t="b">
        <v>0</v>
      </c>
      <c r="N3895" s="16" t="b">
        <v>0</v>
      </c>
      <c r="O3895" s="16" t="n">
        <v>423.3797511890549</v>
      </c>
      <c r="P3895" s="16" t="n">
        <v>283.3471904219768</v>
      </c>
      <c r="Q3895" s="16" t="n">
        <v>3000</v>
      </c>
      <c r="R3895" s="16" t="n">
        <v>1711.453444732697</v>
      </c>
      <c r="S3895" s="16" t="n">
        <v>0.5</v>
      </c>
      <c r="T3895" s="16" t="n">
        <v>0.4400643077838416</v>
      </c>
      <c r="U3895" s="16" t="n">
        <v>0.7984932544379555</v>
      </c>
      <c r="V3895" s="16" t="n">
        <v>0.5927407561667029</v>
      </c>
      <c r="W3895" s="16" t="n">
        <v>0.874966443649806</v>
      </c>
      <c r="X3895" s="16" t="n">
        <v>0.9044490150143816</v>
      </c>
      <c r="Y3895" s="16" t="n">
        <v>283.3471904219768</v>
      </c>
      <c r="Z3895" s="16" t="n">
        <v>1.50746985972808</v>
      </c>
      <c r="AA3895" s="16" t="n">
        <v>5.83999756659883</v>
      </c>
      <c r="AB3895" s="16" t="n">
        <v>1288.546555267303</v>
      </c>
      <c r="AC3895" s="16" t="n">
        <v>1.752896059915059</v>
      </c>
      <c r="AD3895" s="16" t="n"/>
      <c r="AE3895" s="16" t="n"/>
    </row>
    <row r="3896">
      <c r="A3896" s="16" t="inlineStr">
        <is>
          <t>KF-M09-R1-x_b+P_alta-0022</t>
        </is>
      </c>
      <c r="B3896" s="16" t="inlineStr">
        <is>
          <t>4.3</t>
        </is>
      </c>
      <c r="C3896" s="16" t="inlineStr">
        <is>
          <t>4.3 x_b+P_alta</t>
        </is>
      </c>
      <c r="D3896" s="16" t="inlineStr">
        <is>
          <t>ronda 1</t>
        </is>
      </c>
      <c r="E3896" s="16" t="inlineStr">
        <is>
          <t>KF-M09</t>
        </is>
      </c>
      <c r="F3896" s="16" t="inlineStr">
        <is>
          <t>KF-M09-R1-x_b+P_alta</t>
        </is>
      </c>
      <c r="G3896" s="16" t="inlineStr">
        <is>
          <t>B13-x_b+P_alta</t>
        </is>
      </c>
      <c r="H3896" s="16" t="inlineStr">
        <is>
          <t>lhs</t>
        </is>
      </c>
      <c r="I3896" s="16" t="inlineStr">
        <is>
          <t>CORREGIBLE</t>
        </is>
      </c>
      <c r="J3896" s="16" t="inlineStr">
        <is>
          <t>CORREGIBLE</t>
        </is>
      </c>
      <c r="K3896" s="16" t="b">
        <v>1</v>
      </c>
      <c r="L3896" s="16" t="b">
        <v>0</v>
      </c>
      <c r="M3896" s="16" t="b">
        <v>1</v>
      </c>
      <c r="N3896" s="16" t="b">
        <v>0</v>
      </c>
      <c r="O3896" s="16" t="n">
        <v>430.0202217990279</v>
      </c>
      <c r="P3896" s="16" t="n">
        <v>278.3930271119776</v>
      </c>
      <c r="Q3896" s="16" t="n">
        <v>3000</v>
      </c>
      <c r="R3896" s="16" t="n">
        <v>688.3758130676698</v>
      </c>
      <c r="S3896" s="16" t="n">
        <v>0.5</v>
      </c>
      <c r="T3896" s="16" t="n">
        <v>0.6632093253091541</v>
      </c>
      <c r="U3896" s="16" t="n">
        <v>0.7536131560804632</v>
      </c>
      <c r="V3896" s="16" t="n">
        <v>0.9149393748074686</v>
      </c>
      <c r="W3896" s="16" t="n">
        <v>0.6334027242700497</v>
      </c>
      <c r="X3896" s="16" t="n">
        <v>0.6973376920107274</v>
      </c>
      <c r="Y3896" s="16" t="n">
        <v>278.3930271119776</v>
      </c>
      <c r="Z3896" s="16" t="n">
        <v>7.465493807150859</v>
      </c>
      <c r="AA3896" s="16" t="n">
        <v>51.45249963659433</v>
      </c>
      <c r="AB3896" s="16" t="n">
        <v>2311.62418693233</v>
      </c>
      <c r="AC3896" s="16" t="n">
        <v>4.358084556502408</v>
      </c>
      <c r="AD3896" s="16" t="inlineStr">
        <is>
          <t>O2</t>
        </is>
      </c>
      <c r="AE3896" s="16" t="n"/>
    </row>
    <row r="3897">
      <c r="A3897" s="16" t="inlineStr">
        <is>
          <t>KF-M09-R1-x_b+P_alta-0023</t>
        </is>
      </c>
      <c r="B3897" s="16" t="inlineStr">
        <is>
          <t>4.3</t>
        </is>
      </c>
      <c r="C3897" s="16" t="inlineStr">
        <is>
          <t>4.3 x_b+P_alta</t>
        </is>
      </c>
      <c r="D3897" s="16" t="inlineStr">
        <is>
          <t>ronda 1</t>
        </is>
      </c>
      <c r="E3897" s="16" t="inlineStr">
        <is>
          <t>KF-M09</t>
        </is>
      </c>
      <c r="F3897" s="16" t="inlineStr">
        <is>
          <t>KF-M09-R1-x_b+P_alta</t>
        </is>
      </c>
      <c r="G3897" s="16" t="inlineStr">
        <is>
          <t>B13-x_b+P_alta</t>
        </is>
      </c>
      <c r="H3897" s="16" t="inlineStr">
        <is>
          <t>lhs</t>
        </is>
      </c>
      <c r="I3897" s="16" t="inlineStr">
        <is>
          <t>CORREGIBLE</t>
        </is>
      </c>
      <c r="J3897" s="16" t="inlineStr">
        <is>
          <t>CORREGIBLE</t>
        </is>
      </c>
      <c r="K3897" s="16" t="b">
        <v>1</v>
      </c>
      <c r="L3897" s="16" t="b">
        <v>0</v>
      </c>
      <c r="M3897" s="16" t="b">
        <v>1</v>
      </c>
      <c r="N3897" s="16" t="b">
        <v>0</v>
      </c>
      <c r="O3897" s="16" t="n">
        <v>491.1154279164176</v>
      </c>
      <c r="P3897" s="16" t="n">
        <v>281.725609579042</v>
      </c>
      <c r="Q3897" s="16" t="n">
        <v>3000</v>
      </c>
      <c r="R3897" s="16" t="n">
        <v>1174.035676282562</v>
      </c>
      <c r="S3897" s="16" t="n">
        <v>0.5</v>
      </c>
      <c r="T3897" s="16" t="n">
        <v>0.7243114892742346</v>
      </c>
      <c r="U3897" s="16" t="n">
        <v>0.8278929863717575</v>
      </c>
      <c r="V3897" s="16" t="n">
        <v>0.4034558824331704</v>
      </c>
      <c r="W3897" s="16" t="n">
        <v>0.5584178727554014</v>
      </c>
      <c r="X3897" s="16" t="n">
        <v>0.5123130761186926</v>
      </c>
      <c r="Y3897" s="16" t="n">
        <v>281.725609579042</v>
      </c>
      <c r="Z3897" s="16" t="n">
        <v>4.20255585755759</v>
      </c>
      <c r="AA3897" s="16" t="n">
        <v>29.4606551217766</v>
      </c>
      <c r="AB3897" s="16" t="n">
        <v>1825.964323717438</v>
      </c>
      <c r="AC3897" s="16" t="n">
        <v>2.555288617377562</v>
      </c>
      <c r="AD3897" s="16" t="inlineStr">
        <is>
          <t>O2</t>
        </is>
      </c>
      <c r="AE3897" s="16" t="n"/>
    </row>
    <row r="3898">
      <c r="A3898" s="16" t="inlineStr">
        <is>
          <t>KF-M09-R1-x_b+P_alta-0024</t>
        </is>
      </c>
      <c r="B3898" s="16" t="inlineStr">
        <is>
          <t>4.3</t>
        </is>
      </c>
      <c r="C3898" s="16" t="inlineStr">
        <is>
          <t>4.3 x_b+P_alta</t>
        </is>
      </c>
      <c r="D3898" s="16" t="inlineStr">
        <is>
          <t>ronda 1</t>
        </is>
      </c>
      <c r="E3898" s="16" t="inlineStr">
        <is>
          <t>KF-M09</t>
        </is>
      </c>
      <c r="F3898" s="16" t="inlineStr">
        <is>
          <t>KF-M09-R1-x_b+P_alta</t>
        </is>
      </c>
      <c r="G3898" s="16" t="inlineStr">
        <is>
          <t>B13-x_b+P_alta</t>
        </is>
      </c>
      <c r="H3898" s="16" t="inlineStr">
        <is>
          <t>lhs</t>
        </is>
      </c>
      <c r="I3898" s="16" t="inlineStr">
        <is>
          <t>KALINA</t>
        </is>
      </c>
      <c r="J3898" s="16" t="inlineStr">
        <is>
          <t>KALINA</t>
        </is>
      </c>
      <c r="K3898" s="16" t="b">
        <v>1</v>
      </c>
      <c r="L3898" s="16" t="b">
        <v>0</v>
      </c>
      <c r="M3898" s="16" t="b">
        <v>1</v>
      </c>
      <c r="N3898" s="16" t="b">
        <v>0</v>
      </c>
      <c r="O3898" s="16" t="n">
        <v>452.5178904670354</v>
      </c>
      <c r="P3898" s="16" t="n">
        <v>289.7264255754332</v>
      </c>
      <c r="Q3898" s="16" t="n">
        <v>3000</v>
      </c>
      <c r="R3898" s="16" t="n">
        <v>1481.814736505255</v>
      </c>
      <c r="S3898" s="16" t="n">
        <v>0.5</v>
      </c>
      <c r="T3898" s="16" t="n">
        <v>0.5013002777071752</v>
      </c>
      <c r="U3898" s="16" t="n">
        <v>0.5382545835836838</v>
      </c>
      <c r="V3898" s="16" t="n">
        <v>0.6922311116248587</v>
      </c>
      <c r="W3898" s="16" t="n">
        <v>0.6125722646323254</v>
      </c>
      <c r="X3898" s="16" t="n">
        <v>0.813334559278152</v>
      </c>
      <c r="Y3898" s="16" t="n">
        <v>289.7264255754332</v>
      </c>
      <c r="Z3898" s="16" t="n">
        <v>2.65191072136324</v>
      </c>
      <c r="AA3898" s="16" t="n">
        <v>23.12946791924203</v>
      </c>
      <c r="AB3898" s="16" t="n">
        <v>1518.185263494745</v>
      </c>
      <c r="AC3898" s="16" t="n">
        <v>2.024544584483798</v>
      </c>
      <c r="AD3898" s="16" t="n"/>
      <c r="AE3898" s="16" t="n"/>
    </row>
    <row r="3899">
      <c r="A3899" s="16" t="inlineStr">
        <is>
          <t>KF-M09-R1-x_b+P_alta-0025</t>
        </is>
      </c>
      <c r="B3899" s="16" t="inlineStr">
        <is>
          <t>4.3</t>
        </is>
      </c>
      <c r="C3899" s="16" t="inlineStr">
        <is>
          <t>4.3 x_b+P_alta</t>
        </is>
      </c>
      <c r="D3899" s="16" t="inlineStr">
        <is>
          <t>ronda 1</t>
        </is>
      </c>
      <c r="E3899" s="16" t="inlineStr">
        <is>
          <t>KF-M09</t>
        </is>
      </c>
      <c r="F3899" s="16" t="inlineStr">
        <is>
          <t>KF-M09-R1-x_b+P_alta</t>
        </is>
      </c>
      <c r="G3899" s="16" t="inlineStr">
        <is>
          <t>B13-x_b+P_alta</t>
        </is>
      </c>
      <c r="H3899" s="16" t="inlineStr">
        <is>
          <t>lhs</t>
        </is>
      </c>
      <c r="I3899" s="16" t="inlineStr">
        <is>
          <t>CORREGIBLE</t>
        </is>
      </c>
      <c r="J3899" s="16" t="inlineStr">
        <is>
          <t>CORREGIBLE</t>
        </is>
      </c>
      <c r="K3899" s="16" t="b">
        <v>1</v>
      </c>
      <c r="L3899" s="16" t="b">
        <v>0</v>
      </c>
      <c r="M3899" s="16" t="b">
        <v>1</v>
      </c>
      <c r="N3899" s="16" t="b">
        <v>0</v>
      </c>
      <c r="O3899" s="16" t="n">
        <v>447.3496849470444</v>
      </c>
      <c r="P3899" s="16" t="n">
        <v>282.6789081359222</v>
      </c>
      <c r="Q3899" s="16" t="n">
        <v>3000</v>
      </c>
      <c r="R3899" s="16" t="n">
        <v>870.1208576505218</v>
      </c>
      <c r="S3899" s="16" t="n">
        <v>0.5</v>
      </c>
      <c r="T3899" s="16" t="n">
        <v>0.6269074363418907</v>
      </c>
      <c r="U3899" s="16" t="n">
        <v>0.5817762461734552</v>
      </c>
      <c r="V3899" s="16" t="n">
        <v>0.9455628469458188</v>
      </c>
      <c r="W3899" s="16" t="n">
        <v>0.6936999495533787</v>
      </c>
      <c r="X3899" s="16" t="n">
        <v>0.6492823674795408</v>
      </c>
      <c r="Y3899" s="16" t="n">
        <v>282.6789081359222</v>
      </c>
      <c r="Z3899" s="16" t="n">
        <v>4.86265640278726</v>
      </c>
      <c r="AA3899" s="16" t="n">
        <v>43.55746565778736</v>
      </c>
      <c r="AB3899" s="16" t="n">
        <v>2129.879142349478</v>
      </c>
      <c r="AC3899" s="16" t="n">
        <v>3.447796905019061</v>
      </c>
      <c r="AD3899" s="16" t="inlineStr">
        <is>
          <t>O2</t>
        </is>
      </c>
      <c r="AE3899" s="16" t="n"/>
    </row>
    <row r="3900">
      <c r="A3900" s="16" t="inlineStr">
        <is>
          <t>KF-M09-R1-x_b+P_alta-0026</t>
        </is>
      </c>
      <c r="B3900" s="16" t="inlineStr">
        <is>
          <t>4.3</t>
        </is>
      </c>
      <c r="C3900" s="16" t="inlineStr">
        <is>
          <t>4.3 x_b+P_alta</t>
        </is>
      </c>
      <c r="D3900" s="16" t="inlineStr">
        <is>
          <t>ronda 1</t>
        </is>
      </c>
      <c r="E3900" s="16" t="inlineStr">
        <is>
          <t>KF-M09</t>
        </is>
      </c>
      <c r="F3900" s="16" t="inlineStr">
        <is>
          <t>KF-M09-R1-x_b+P_alta</t>
        </is>
      </c>
      <c r="G3900" s="16" t="inlineStr">
        <is>
          <t>B13-x_b+P_alta</t>
        </is>
      </c>
      <c r="H3900" s="16" t="inlineStr">
        <is>
          <t>lhs</t>
        </is>
      </c>
      <c r="I3900" s="16" t="inlineStr">
        <is>
          <t>CORREGIBLE</t>
        </is>
      </c>
      <c r="J3900" s="16" t="inlineStr">
        <is>
          <t>CORREGIBLE</t>
        </is>
      </c>
      <c r="K3900" s="16" t="b">
        <v>1</v>
      </c>
      <c r="L3900" s="16" t="b">
        <v>0</v>
      </c>
      <c r="M3900" s="16" t="b">
        <v>1</v>
      </c>
      <c r="N3900" s="16" t="b">
        <v>0</v>
      </c>
      <c r="O3900" s="16" t="n">
        <v>495.0420625336922</v>
      </c>
      <c r="P3900" s="16" t="n">
        <v>287.1283510864522</v>
      </c>
      <c r="Q3900" s="16" t="n">
        <v>3000</v>
      </c>
      <c r="R3900" s="16" t="n">
        <v>1098.71923086451</v>
      </c>
      <c r="S3900" s="16" t="n">
        <v>0.5</v>
      </c>
      <c r="T3900" s="16" t="n">
        <v>0.5640774081789247</v>
      </c>
      <c r="U3900" s="16" t="n">
        <v>0.8553434033258509</v>
      </c>
      <c r="V3900" s="16" t="n">
        <v>0.4313905418802498</v>
      </c>
      <c r="W3900" s="16" t="n">
        <v>0.4322335697172625</v>
      </c>
      <c r="X3900" s="16" t="n">
        <v>0.7565065336822761</v>
      </c>
      <c r="Y3900" s="16" t="n">
        <v>287.1283510864522</v>
      </c>
      <c r="Z3900" s="16" t="n">
        <v>4.49982045856668</v>
      </c>
      <c r="AA3900" s="16" t="n">
        <v>40.29147139766607</v>
      </c>
      <c r="AB3900" s="16" t="n">
        <v>1901.28076913549</v>
      </c>
      <c r="AC3900" s="16" t="n">
        <v>2.730451889550979</v>
      </c>
      <c r="AD3900" s="16" t="inlineStr">
        <is>
          <t>O2</t>
        </is>
      </c>
      <c r="AE3900" s="16" t="n"/>
    </row>
    <row r="3901">
      <c r="A3901" s="16" t="inlineStr">
        <is>
          <t>KF-M09-R1-x_b+P_alta-0027</t>
        </is>
      </c>
      <c r="B3901" s="16" t="inlineStr">
        <is>
          <t>4.3</t>
        </is>
      </c>
      <c r="C3901" s="16" t="inlineStr">
        <is>
          <t>4.3 x_b+P_alta</t>
        </is>
      </c>
      <c r="D3901" s="16" t="inlineStr">
        <is>
          <t>ronda 1</t>
        </is>
      </c>
      <c r="E3901" s="16" t="inlineStr">
        <is>
          <t>KF-M09</t>
        </is>
      </c>
      <c r="F3901" s="16" t="inlineStr">
        <is>
          <t>KF-M09-R1-x_b+P_alta</t>
        </is>
      </c>
      <c r="G3901" s="16" t="inlineStr">
        <is>
          <t>B13-x_b+P_alta</t>
        </is>
      </c>
      <c r="H3901" s="16" t="inlineStr">
        <is>
          <t>lhs</t>
        </is>
      </c>
      <c r="I3901" s="16" t="inlineStr">
        <is>
          <t>KALINA</t>
        </is>
      </c>
      <c r="J3901" s="16" t="inlineStr">
        <is>
          <t>KALINA</t>
        </is>
      </c>
      <c r="K3901" s="16" t="b">
        <v>1</v>
      </c>
      <c r="L3901" s="16" t="b">
        <v>1</v>
      </c>
      <c r="M3901" s="16" t="b">
        <v>0</v>
      </c>
      <c r="N3901" s="16" t="b">
        <v>0</v>
      </c>
      <c r="O3901" s="16" t="n">
        <v>419.7386233112704</v>
      </c>
      <c r="P3901" s="16" t="n">
        <v>288.6232866212662</v>
      </c>
      <c r="Q3901" s="16" t="n">
        <v>3000</v>
      </c>
      <c r="R3901" s="16" t="n">
        <v>1253.176525495383</v>
      </c>
      <c r="S3901" s="16" t="n">
        <v>0.5</v>
      </c>
      <c r="T3901" s="16" t="n">
        <v>0.901072125193094</v>
      </c>
      <c r="U3901" s="16" t="n">
        <v>0.4945795869639091</v>
      </c>
      <c r="V3901" s="16" t="n">
        <v>0.5245425616076799</v>
      </c>
      <c r="W3901" s="16" t="n">
        <v>0.5865344857437325</v>
      </c>
      <c r="X3901" s="16" t="n">
        <v>0.876124453796705</v>
      </c>
      <c r="Y3901" s="16" t="n">
        <v>288.6232866212662</v>
      </c>
      <c r="Z3901" s="16" t="n">
        <v>2.92597726008629</v>
      </c>
      <c r="AA3901" s="16" t="n">
        <v>10.76401586455944</v>
      </c>
      <c r="AB3901" s="16" t="n">
        <v>1746.823474504617</v>
      </c>
      <c r="AC3901" s="16" t="n">
        <v>2.393916530485674</v>
      </c>
      <c r="AD3901" s="16" t="n"/>
      <c r="AE3901" s="16" t="n"/>
    </row>
    <row r="3902">
      <c r="A3902" s="16" t="inlineStr">
        <is>
          <t>KF-M09-R1-x_b+P_alta-0028</t>
        </is>
      </c>
      <c r="B3902" s="16" t="inlineStr">
        <is>
          <t>4.3</t>
        </is>
      </c>
      <c r="C3902" s="16" t="inlineStr">
        <is>
          <t>4.3 x_b+P_alta</t>
        </is>
      </c>
      <c r="D3902" s="16" t="inlineStr">
        <is>
          <t>ronda 1</t>
        </is>
      </c>
      <c r="E3902" s="16" t="inlineStr">
        <is>
          <t>KF-M09</t>
        </is>
      </c>
      <c r="F3902" s="16" t="inlineStr">
        <is>
          <t>KF-M09-R1-x_b+P_alta</t>
        </is>
      </c>
      <c r="G3902" s="16" t="inlineStr">
        <is>
          <t>B13-x_b+P_alta</t>
        </is>
      </c>
      <c r="H3902" s="16" t="inlineStr">
        <is>
          <t>lhs</t>
        </is>
      </c>
      <c r="I3902" s="16" t="inlineStr">
        <is>
          <t>CORREGIBLE</t>
        </is>
      </c>
      <c r="J3902" s="16" t="inlineStr">
        <is>
          <t>CORREGIBLE</t>
        </is>
      </c>
      <c r="K3902" s="16" t="b">
        <v>1</v>
      </c>
      <c r="L3902" s="16" t="b">
        <v>0</v>
      </c>
      <c r="M3902" s="16" t="b">
        <v>0</v>
      </c>
      <c r="N3902" s="16" t="b">
        <v>0</v>
      </c>
      <c r="O3902" s="16" t="n">
        <v>405.4716683993038</v>
      </c>
      <c r="P3902" s="16" t="n">
        <v>299.709434503279</v>
      </c>
      <c r="Q3902" s="16" t="n">
        <v>3000</v>
      </c>
      <c r="R3902" s="16" t="n">
        <v>978.6444086057649</v>
      </c>
      <c r="S3902" s="16" t="n">
        <v>0.5</v>
      </c>
      <c r="T3902" s="16" t="n">
        <v>0.7461499644581484</v>
      </c>
      <c r="U3902" s="16" t="n">
        <v>0.4704127414173016</v>
      </c>
      <c r="V3902" s="16" t="n">
        <v>0.5831820174121631</v>
      </c>
      <c r="W3902" s="16" t="n">
        <v>0.8128669887748641</v>
      </c>
      <c r="X3902" s="16" t="n">
        <v>0.4141877563234686</v>
      </c>
      <c r="Y3902" s="16" t="n">
        <v>299.709434503279</v>
      </c>
      <c r="Z3902" s="16" t="n">
        <v>2.60043145036045</v>
      </c>
      <c r="AA3902" s="16" t="n">
        <v>4.856917393070489</v>
      </c>
      <c r="AB3902" s="16" t="n">
        <v>2021.355591394235</v>
      </c>
      <c r="AC3902" s="16" t="n">
        <v>3.065464814001215</v>
      </c>
      <c r="AD3902" s="16" t="inlineStr">
        <is>
          <t>O2</t>
        </is>
      </c>
      <c r="AE3902" s="16" t="n"/>
    </row>
    <row r="3903">
      <c r="A3903" s="16" t="inlineStr">
        <is>
          <t>KF-M09-R1-x_b+P_alta-0029</t>
        </is>
      </c>
      <c r="B3903" s="16" t="inlineStr">
        <is>
          <t>4.3</t>
        </is>
      </c>
      <c r="C3903" s="16" t="inlineStr">
        <is>
          <t>4.3 x_b+P_alta</t>
        </is>
      </c>
      <c r="D3903" s="16" t="inlineStr">
        <is>
          <t>ronda 1</t>
        </is>
      </c>
      <c r="E3903" s="16" t="inlineStr">
        <is>
          <t>KF-M09</t>
        </is>
      </c>
      <c r="F3903" s="16" t="inlineStr">
        <is>
          <t>KF-M09-R1-x_b+P_alta</t>
        </is>
      </c>
      <c r="G3903" s="16" t="inlineStr">
        <is>
          <t>B13-x_b+P_alta</t>
        </is>
      </c>
      <c r="H3903" s="16" t="inlineStr">
        <is>
          <t>lhs</t>
        </is>
      </c>
      <c r="I3903" s="16" t="inlineStr">
        <is>
          <t>CORREGIBLE</t>
        </is>
      </c>
      <c r="J3903" s="16" t="inlineStr">
        <is>
          <t>CORREGIBLE</t>
        </is>
      </c>
      <c r="K3903" s="16" t="b">
        <v>1</v>
      </c>
      <c r="L3903" s="16" t="b">
        <v>0</v>
      </c>
      <c r="M3903" s="16" t="b">
        <v>1</v>
      </c>
      <c r="N3903" s="16" t="b">
        <v>0</v>
      </c>
      <c r="O3903" s="16" t="n">
        <v>469.3527519209616</v>
      </c>
      <c r="P3903" s="16" t="n">
        <v>302.1197236308829</v>
      </c>
      <c r="Q3903" s="16" t="n">
        <v>3000</v>
      </c>
      <c r="R3903" s="16" t="n">
        <v>1316.324405318978</v>
      </c>
      <c r="S3903" s="16" t="n">
        <v>0.5</v>
      </c>
      <c r="T3903" s="16" t="n">
        <v>0.8835824940800752</v>
      </c>
      <c r="U3903" s="16" t="n">
        <v>0.6787281895693121</v>
      </c>
      <c r="V3903" s="16" t="n">
        <v>0.6533865726908485</v>
      </c>
      <c r="W3903" s="16" t="n">
        <v>0.9339985233369716</v>
      </c>
      <c r="X3903" s="16" t="n">
        <v>0.4636821840421878</v>
      </c>
      <c r="Y3903" s="16" t="n">
        <v>302.1197236308829</v>
      </c>
      <c r="Z3903" s="16" t="n">
        <v>3.32861132617061</v>
      </c>
      <c r="AA3903" s="16" t="n">
        <v>26.00843655305093</v>
      </c>
      <c r="AB3903" s="16" t="n">
        <v>1683.675594681022</v>
      </c>
      <c r="AC3903" s="16" t="n">
        <v>2.279073447151521</v>
      </c>
      <c r="AD3903" s="16" t="inlineStr">
        <is>
          <t>O2</t>
        </is>
      </c>
      <c r="AE3903" s="16" t="n"/>
    </row>
    <row r="3904">
      <c r="A3904" s="16" t="inlineStr">
        <is>
          <t>KF-M09-R1-x_b+P_baja-0000</t>
        </is>
      </c>
      <c r="B3904" s="16" t="inlineStr">
        <is>
          <t>4.3</t>
        </is>
      </c>
      <c r="C3904" s="16" t="inlineStr">
        <is>
          <t>4.3 x_b+P_baja</t>
        </is>
      </c>
      <c r="D3904" s="16" t="inlineStr">
        <is>
          <t>ronda 1</t>
        </is>
      </c>
      <c r="E3904" s="16" t="inlineStr">
        <is>
          <t>KF-M09</t>
        </is>
      </c>
      <c r="F3904" s="16" t="inlineStr">
        <is>
          <t>KF-M09-R1-x_b+P_baja</t>
        </is>
      </c>
      <c r="G3904" s="16" t="inlineStr">
        <is>
          <t>B13-x_b+P_baja</t>
        </is>
      </c>
      <c r="H3904" s="16" t="inlineStr">
        <is>
          <t>lhs</t>
        </is>
      </c>
      <c r="I3904" s="16" t="inlineStr">
        <is>
          <t>KALINA</t>
        </is>
      </c>
      <c r="J3904" s="16" t="inlineStr">
        <is>
          <t>KALINA</t>
        </is>
      </c>
      <c r="K3904" s="16" t="b">
        <v>1</v>
      </c>
      <c r="L3904" s="16" t="b">
        <v>1</v>
      </c>
      <c r="M3904" s="16" t="b">
        <v>0</v>
      </c>
      <c r="N3904" s="16" t="b">
        <v>0</v>
      </c>
      <c r="O3904" s="16" t="n">
        <v>403.9184690003144</v>
      </c>
      <c r="P3904" s="16" t="n">
        <v>285.6855643887841</v>
      </c>
      <c r="Q3904" s="16" t="n">
        <v>2965.613071574074</v>
      </c>
      <c r="R3904" s="16" t="n">
        <v>400</v>
      </c>
      <c r="S3904" s="16" t="n">
        <v>0.5</v>
      </c>
      <c r="T3904" s="16" t="n">
        <v>0.4937667802671133</v>
      </c>
      <c r="U3904" s="16" t="n">
        <v>0.4894298876600072</v>
      </c>
      <c r="V3904" s="16" t="n">
        <v>0.6139582940870112</v>
      </c>
      <c r="W3904" s="16" t="n">
        <v>0.7791225238321465</v>
      </c>
      <c r="X3904" s="16" t="n">
        <v>0.8464084859069536</v>
      </c>
      <c r="Y3904" s="16" t="n">
        <v>285.6855643887841</v>
      </c>
      <c r="Z3904" s="16" t="n">
        <v>2.87846950043571</v>
      </c>
      <c r="AA3904" s="16" t="n">
        <v>7.08757858862808</v>
      </c>
      <c r="AB3904" s="16" t="n">
        <v>2565.613071574074</v>
      </c>
      <c r="AC3904" s="16" t="n">
        <v>7.414032678935185</v>
      </c>
      <c r="AD3904" s="16" t="n"/>
      <c r="AE3904" s="16" t="n"/>
    </row>
    <row r="3905">
      <c r="A3905" s="16" t="inlineStr">
        <is>
          <t>KF-M09-R1-x_b+P_baja-0001</t>
        </is>
      </c>
      <c r="B3905" s="16" t="inlineStr">
        <is>
          <t>4.3</t>
        </is>
      </c>
      <c r="C3905" s="16" t="inlineStr">
        <is>
          <t>4.3 x_b+P_baja</t>
        </is>
      </c>
      <c r="D3905" s="16" t="inlineStr">
        <is>
          <t>ronda 1</t>
        </is>
      </c>
      <c r="E3905" s="16" t="inlineStr">
        <is>
          <t>KF-M09</t>
        </is>
      </c>
      <c r="F3905" s="16" t="inlineStr">
        <is>
          <t>KF-M09-R1-x_b+P_baja</t>
        </is>
      </c>
      <c r="G3905" s="16" t="inlineStr">
        <is>
          <t>B13-x_b+P_baja</t>
        </is>
      </c>
      <c r="H3905" s="16" t="inlineStr">
        <is>
          <t>lhs</t>
        </is>
      </c>
      <c r="I3905" s="16" t="inlineStr">
        <is>
          <t>KALINA</t>
        </is>
      </c>
      <c r="J3905" s="16" t="inlineStr">
        <is>
          <t>KALINA</t>
        </is>
      </c>
      <c r="K3905" s="16" t="b">
        <v>1</v>
      </c>
      <c r="L3905" s="16" t="b">
        <v>1</v>
      </c>
      <c r="M3905" s="16" t="b">
        <v>0</v>
      </c>
      <c r="N3905" s="16" t="b">
        <v>0</v>
      </c>
      <c r="O3905" s="16" t="n">
        <v>398.0689189538514</v>
      </c>
      <c r="P3905" s="16" t="n">
        <v>283.8125487810482</v>
      </c>
      <c r="Q3905" s="16" t="n">
        <v>2790.381293608908</v>
      </c>
      <c r="R3905" s="16" t="n">
        <v>400</v>
      </c>
      <c r="S3905" s="16" t="n">
        <v>0.5</v>
      </c>
      <c r="T3905" s="16" t="n">
        <v>0.4843223795455368</v>
      </c>
      <c r="U3905" s="16" t="n">
        <v>0.6557179196467695</v>
      </c>
      <c r="V3905" s="16" t="n">
        <v>0.9426321520389606</v>
      </c>
      <c r="W3905" s="16" t="n">
        <v>0.6036442128535885</v>
      </c>
      <c r="X3905" s="16" t="n">
        <v>0.8015018481434845</v>
      </c>
      <c r="Y3905" s="16" t="n">
        <v>283.8125487810482</v>
      </c>
      <c r="Z3905" s="16" t="n">
        <v>4.156007077208191</v>
      </c>
      <c r="AA3905" s="16" t="n">
        <v>16.15421554334613</v>
      </c>
      <c r="AB3905" s="16" t="n">
        <v>2390.381293608908</v>
      </c>
      <c r="AC3905" s="16" t="n">
        <v>6.97595323402227</v>
      </c>
      <c r="AD3905" s="16" t="n"/>
      <c r="AE3905" s="16" t="n"/>
    </row>
    <row r="3906">
      <c r="A3906" s="16" t="inlineStr">
        <is>
          <t>KF-M09-R1-x_b+P_baja-0002</t>
        </is>
      </c>
      <c r="B3906" s="16" t="inlineStr">
        <is>
          <t>4.3</t>
        </is>
      </c>
      <c r="C3906" s="16" t="inlineStr">
        <is>
          <t>4.3 x_b+P_baja</t>
        </is>
      </c>
      <c r="D3906" s="16" t="inlineStr">
        <is>
          <t>ronda 1</t>
        </is>
      </c>
      <c r="E3906" s="16" t="inlineStr">
        <is>
          <t>KF-M09</t>
        </is>
      </c>
      <c r="F3906" s="16" t="inlineStr">
        <is>
          <t>KF-M09-R1-x_b+P_baja</t>
        </is>
      </c>
      <c r="G3906" s="16" t="inlineStr">
        <is>
          <t>B13-x_b+P_baja</t>
        </is>
      </c>
      <c r="H3906" s="16" t="inlineStr">
        <is>
          <t>lhs</t>
        </is>
      </c>
      <c r="I3906" s="16" t="inlineStr">
        <is>
          <t>CORREGIBLE</t>
        </is>
      </c>
      <c r="J3906" s="16" t="inlineStr">
        <is>
          <t>CORREGIBLE</t>
        </is>
      </c>
      <c r="K3906" s="16" t="b">
        <v>1</v>
      </c>
      <c r="L3906" s="16" t="b">
        <v>0</v>
      </c>
      <c r="M3906" s="16" t="b">
        <v>1</v>
      </c>
      <c r="N3906" s="16" t="b">
        <v>0</v>
      </c>
      <c r="O3906" s="16" t="n">
        <v>460.2296085961242</v>
      </c>
      <c r="P3906" s="16" t="n">
        <v>293.243534720072</v>
      </c>
      <c r="Q3906" s="16" t="n">
        <v>4986.771380456783</v>
      </c>
      <c r="R3906" s="16" t="n">
        <v>400</v>
      </c>
      <c r="S3906" s="16" t="n">
        <v>0.5</v>
      </c>
      <c r="T3906" s="16" t="n">
        <v>0.8383791097460966</v>
      </c>
      <c r="U3906" s="16" t="n">
        <v>0.6220624105034694</v>
      </c>
      <c r="V3906" s="16" t="n">
        <v>0.5394854737459812</v>
      </c>
      <c r="W3906" s="16" t="n">
        <v>0.4637747948834465</v>
      </c>
      <c r="X3906" s="16" t="n">
        <v>0.8791532657786282</v>
      </c>
      <c r="Y3906" s="16" t="n">
        <v>293.243534720072</v>
      </c>
      <c r="Z3906" s="16" t="n">
        <v>7.85625148564042</v>
      </c>
      <c r="AA3906" s="16" t="n">
        <v>42.50427667032008</v>
      </c>
      <c r="AB3906" s="16" t="n">
        <v>4586.771380456783</v>
      </c>
      <c r="AC3906" s="16" t="n">
        <v>12.46692845114196</v>
      </c>
      <c r="AD3906" s="16" t="inlineStr">
        <is>
          <t>O1,O2</t>
        </is>
      </c>
      <c r="AE3906" s="16" t="n"/>
    </row>
    <row r="3907">
      <c r="A3907" s="16" t="inlineStr">
        <is>
          <t>KF-M09-R1-x_b+P_baja-0003</t>
        </is>
      </c>
      <c r="B3907" s="16" t="inlineStr">
        <is>
          <t>4.3</t>
        </is>
      </c>
      <c r="C3907" s="16" t="inlineStr">
        <is>
          <t>4.3 x_b+P_baja</t>
        </is>
      </c>
      <c r="D3907" s="16" t="inlineStr">
        <is>
          <t>ronda 1</t>
        </is>
      </c>
      <c r="E3907" s="16" t="inlineStr">
        <is>
          <t>KF-M09</t>
        </is>
      </c>
      <c r="F3907" s="16" t="inlineStr">
        <is>
          <t>KF-M09-R1-x_b+P_baja</t>
        </is>
      </c>
      <c r="G3907" s="16" t="inlineStr">
        <is>
          <t>B13-x_b+P_baja</t>
        </is>
      </c>
      <c r="H3907" s="16" t="inlineStr">
        <is>
          <t>lhs</t>
        </is>
      </c>
      <c r="I3907" s="16" t="inlineStr">
        <is>
          <t>KALINA</t>
        </is>
      </c>
      <c r="J3907" s="16" t="inlineStr">
        <is>
          <t>KALINA</t>
        </is>
      </c>
      <c r="K3907" s="16" t="b">
        <v>1</v>
      </c>
      <c r="L3907" s="16" t="b">
        <v>0</v>
      </c>
      <c r="M3907" s="16" t="b">
        <v>1</v>
      </c>
      <c r="N3907" s="16" t="b">
        <v>0</v>
      </c>
      <c r="O3907" s="16" t="n">
        <v>434.6955987443896</v>
      </c>
      <c r="P3907" s="16" t="n">
        <v>279.5609869999277</v>
      </c>
      <c r="Q3907" s="16" t="n">
        <v>4275.726839073553</v>
      </c>
      <c r="R3907" s="16" t="n">
        <v>400</v>
      </c>
      <c r="S3907" s="16" t="n">
        <v>0.5</v>
      </c>
      <c r="T3907" s="16" t="n">
        <v>0.7239907991178957</v>
      </c>
      <c r="U3907" s="16" t="n">
        <v>0.466950817717602</v>
      </c>
      <c r="V3907" s="16" t="n">
        <v>0.8054632392034207</v>
      </c>
      <c r="W3907" s="16" t="n">
        <v>0.5184524597826162</v>
      </c>
      <c r="X3907" s="16" t="n">
        <v>0.91879585102782</v>
      </c>
      <c r="Y3907" s="16" t="n">
        <v>279.5609869999277</v>
      </c>
      <c r="Z3907" s="16" t="n">
        <v>6.72419450413663</v>
      </c>
      <c r="AA3907" s="16" t="n">
        <v>39.49946656231923</v>
      </c>
      <c r="AB3907" s="16" t="n">
        <v>3875.726839073553</v>
      </c>
      <c r="AC3907" s="16" t="n">
        <v>10.68931709768388</v>
      </c>
      <c r="AD3907" s="16" t="n"/>
      <c r="AE3907" s="16" t="n"/>
    </row>
    <row r="3908">
      <c r="A3908" s="16" t="inlineStr">
        <is>
          <t>KF-M09-R1-x_b+P_baja-0004</t>
        </is>
      </c>
      <c r="B3908" s="16" t="inlineStr">
        <is>
          <t>4.3</t>
        </is>
      </c>
      <c r="C3908" s="16" t="inlineStr">
        <is>
          <t>4.3 x_b+P_baja</t>
        </is>
      </c>
      <c r="D3908" s="16" t="inlineStr">
        <is>
          <t>ronda 1</t>
        </is>
      </c>
      <c r="E3908" s="16" t="inlineStr">
        <is>
          <t>KF-M09</t>
        </is>
      </c>
      <c r="F3908" s="16" t="inlineStr">
        <is>
          <t>KF-M09-R1-x_b+P_baja</t>
        </is>
      </c>
      <c r="G3908" s="16" t="inlineStr">
        <is>
          <t>B13-x_b+P_baja</t>
        </is>
      </c>
      <c r="H3908" s="16" t="inlineStr">
        <is>
          <t>lhs</t>
        </is>
      </c>
      <c r="I3908" s="16" t="inlineStr">
        <is>
          <t>CORREGIBLE</t>
        </is>
      </c>
      <c r="J3908" s="16" t="inlineStr">
        <is>
          <t>CORREGIBLE</t>
        </is>
      </c>
      <c r="K3908" s="16" t="b">
        <v>1</v>
      </c>
      <c r="L3908" s="16" t="b">
        <v>0</v>
      </c>
      <c r="M3908" s="16" t="b">
        <v>0</v>
      </c>
      <c r="N3908" s="16" t="b">
        <v>0</v>
      </c>
      <c r="O3908" s="16" t="n">
        <v>383.997814121058</v>
      </c>
      <c r="P3908" s="16" t="n">
        <v>303.4422666746702</v>
      </c>
      <c r="Q3908" s="16" t="n">
        <v>2074.922038646782</v>
      </c>
      <c r="R3908" s="16" t="n">
        <v>400</v>
      </c>
      <c r="S3908" s="16" t="n">
        <v>0.5</v>
      </c>
      <c r="T3908" s="16" t="n">
        <v>0.4389288057717071</v>
      </c>
      <c r="U3908" s="16" t="n">
        <v>0.9174085527675429</v>
      </c>
      <c r="V3908" s="16" t="n">
        <v>0.8490739764130761</v>
      </c>
      <c r="W3908" s="16" t="n">
        <v>0.5029258147615636</v>
      </c>
      <c r="X3908" s="16" t="n">
        <v>0.7067157056013247</v>
      </c>
      <c r="Y3908" s="16" t="n">
        <v>303.4422666746702</v>
      </c>
      <c r="Z3908" s="16" t="n">
        <v>2.66040434469021</v>
      </c>
      <c r="AA3908" s="16" t="n">
        <v>8.067818080706294</v>
      </c>
      <c r="AB3908" s="16" t="n">
        <v>1674.922038646782</v>
      </c>
      <c r="AC3908" s="16" t="n">
        <v>5.187305096616955</v>
      </c>
      <c r="AD3908" s="16" t="inlineStr">
        <is>
          <t>O2</t>
        </is>
      </c>
      <c r="AE3908" s="16" t="n"/>
    </row>
    <row r="3909">
      <c r="A3909" s="16" t="inlineStr">
        <is>
          <t>KF-M09-R1-x_b+P_baja-0005</t>
        </is>
      </c>
      <c r="B3909" s="16" t="inlineStr">
        <is>
          <t>4.3</t>
        </is>
      </c>
      <c r="C3909" s="16" t="inlineStr">
        <is>
          <t>4.3 x_b+P_baja</t>
        </is>
      </c>
      <c r="D3909" s="16" t="inlineStr">
        <is>
          <t>ronda 1</t>
        </is>
      </c>
      <c r="E3909" s="16" t="inlineStr">
        <is>
          <t>KF-M09</t>
        </is>
      </c>
      <c r="F3909" s="16" t="inlineStr">
        <is>
          <t>KF-M09-R1-x_b+P_baja</t>
        </is>
      </c>
      <c r="G3909" s="16" t="inlineStr">
        <is>
          <t>B13-x_b+P_baja</t>
        </is>
      </c>
      <c r="H3909" s="16" t="inlineStr">
        <is>
          <t>lhs</t>
        </is>
      </c>
      <c r="I3909" s="16" t="inlineStr">
        <is>
          <t>INVIABLE</t>
        </is>
      </c>
      <c r="J3909" s="16" t="inlineStr">
        <is>
          <t>INVIABLE</t>
        </is>
      </c>
      <c r="K3909" s="16" t="b">
        <v>1</v>
      </c>
      <c r="L3909" s="16" t="b">
        <v>0</v>
      </c>
      <c r="M3909" s="16" t="b">
        <v>1</v>
      </c>
      <c r="N3909" s="16" t="b">
        <v>0</v>
      </c>
      <c r="O3909" s="16" t="n">
        <v>466.7593762371968</v>
      </c>
      <c r="P3909" s="16" t="n">
        <v>290.0233728364221</v>
      </c>
      <c r="Q3909" s="16" t="n">
        <v>3329.43759296557</v>
      </c>
      <c r="R3909" s="16" t="n">
        <v>400</v>
      </c>
      <c r="S3909" s="16" t="n">
        <v>0.5</v>
      </c>
      <c r="T3909" s="16" t="n">
        <v>0.5801914895606052</v>
      </c>
      <c r="U3909" s="16" t="n">
        <v>0.5482605624703228</v>
      </c>
      <c r="V3909" s="16" t="n">
        <v>0.7316288248906527</v>
      </c>
      <c r="W3909" s="16" t="n">
        <v>0.7356613085434662</v>
      </c>
      <c r="X3909" s="16" t="n">
        <v>0.417172715230463</v>
      </c>
      <c r="Y3909" s="16" t="n">
        <v>290.0233728364221</v>
      </c>
      <c r="Z3909" s="16" t="n">
        <v>-20.84544147139799</v>
      </c>
      <c r="AA3909" s="16" t="n">
        <v>-112.65259443809</v>
      </c>
      <c r="AB3909" s="16" t="n">
        <v>2929.43759296557</v>
      </c>
      <c r="AC3909" s="16" t="n">
        <v>8.323593982413925</v>
      </c>
      <c r="AD3909" s="16" t="inlineStr">
        <is>
          <t>O2,O3</t>
        </is>
      </c>
      <c r="AE3909" s="16" t="n"/>
    </row>
    <row r="3910">
      <c r="A3910" s="16" t="inlineStr">
        <is>
          <t>KF-M09-R1-x_b+P_baja-0006</t>
        </is>
      </c>
      <c r="B3910" s="16" t="inlineStr">
        <is>
          <t>4.3</t>
        </is>
      </c>
      <c r="C3910" s="16" t="inlineStr">
        <is>
          <t>4.3 x_b+P_baja</t>
        </is>
      </c>
      <c r="D3910" s="16" t="inlineStr">
        <is>
          <t>ronda 1</t>
        </is>
      </c>
      <c r="E3910" s="16" t="inlineStr">
        <is>
          <t>KF-M09</t>
        </is>
      </c>
      <c r="F3910" s="16" t="inlineStr">
        <is>
          <t>KF-M09-R1-x_b+P_baja</t>
        </is>
      </c>
      <c r="G3910" s="16" t="inlineStr">
        <is>
          <t>B13-x_b+P_baja</t>
        </is>
      </c>
      <c r="H3910" s="16" t="inlineStr">
        <is>
          <t>lhs</t>
        </is>
      </c>
      <c r="I3910" s="16" t="inlineStr">
        <is>
          <t>CORREGIBLE</t>
        </is>
      </c>
      <c r="J3910" s="16" t="inlineStr">
        <is>
          <t>CORREGIBLE</t>
        </is>
      </c>
      <c r="K3910" s="16" t="b">
        <v>1</v>
      </c>
      <c r="L3910" s="16" t="b">
        <v>0</v>
      </c>
      <c r="M3910" s="16" t="b">
        <v>1</v>
      </c>
      <c r="N3910" s="16" t="b">
        <v>0</v>
      </c>
      <c r="O3910" s="16" t="n">
        <v>449.3772261282447</v>
      </c>
      <c r="P3910" s="16" t="n">
        <v>281.2817102178033</v>
      </c>
      <c r="Q3910" s="16" t="n">
        <v>3863.227589797437</v>
      </c>
      <c r="R3910" s="16" t="n">
        <v>400</v>
      </c>
      <c r="S3910" s="16" t="n">
        <v>0.5</v>
      </c>
      <c r="T3910" s="16" t="n">
        <v>0.6636677129919688</v>
      </c>
      <c r="U3910" s="16" t="n">
        <v>0.913150227428338</v>
      </c>
      <c r="V3910" s="16" t="n">
        <v>0.8930744891071658</v>
      </c>
      <c r="W3910" s="16" t="n">
        <v>0.8992272206072871</v>
      </c>
      <c r="X3910" s="16" t="n">
        <v>0.858892649674073</v>
      </c>
      <c r="Y3910" s="16" t="n">
        <v>281.2817102178033</v>
      </c>
      <c r="Z3910" s="16" t="n">
        <v>11.68113896672343</v>
      </c>
      <c r="AA3910" s="16" t="n">
        <v>92.96559128255626</v>
      </c>
      <c r="AB3910" s="16" t="n">
        <v>3463.227589797437</v>
      </c>
      <c r="AC3910" s="16" t="n">
        <v>9.658068974493592</v>
      </c>
      <c r="AD3910" s="16" t="inlineStr">
        <is>
          <t>O2</t>
        </is>
      </c>
      <c r="AE3910" s="16" t="n"/>
    </row>
    <row r="3911">
      <c r="A3911" s="16" t="inlineStr">
        <is>
          <t>KF-M09-R1-x_b+P_baja-0007</t>
        </is>
      </c>
      <c r="B3911" s="16" t="inlineStr">
        <is>
          <t>4.3</t>
        </is>
      </c>
      <c r="C3911" s="16" t="inlineStr">
        <is>
          <t>4.3 x_b+P_baja</t>
        </is>
      </c>
      <c r="D3911" s="16" t="inlineStr">
        <is>
          <t>ronda 1</t>
        </is>
      </c>
      <c r="E3911" s="16" t="inlineStr">
        <is>
          <t>KF-M09</t>
        </is>
      </c>
      <c r="F3911" s="16" t="inlineStr">
        <is>
          <t>KF-M09-R1-x_b+P_baja</t>
        </is>
      </c>
      <c r="G3911" s="16" t="inlineStr">
        <is>
          <t>B13-x_b+P_baja</t>
        </is>
      </c>
      <c r="H3911" s="16" t="inlineStr">
        <is>
          <t>lhs</t>
        </is>
      </c>
      <c r="I3911" s="16" t="inlineStr">
        <is>
          <t>CORREGIBLE</t>
        </is>
      </c>
      <c r="J3911" s="16" t="inlineStr">
        <is>
          <t>CORREGIBLE</t>
        </is>
      </c>
      <c r="K3911" s="16" t="b">
        <v>1</v>
      </c>
      <c r="L3911" s="16" t="b">
        <v>0</v>
      </c>
      <c r="M3911" s="16" t="b">
        <v>1</v>
      </c>
      <c r="N3911" s="16" t="b">
        <v>0</v>
      </c>
      <c r="O3911" s="16" t="n">
        <v>450.3712604367698</v>
      </c>
      <c r="P3911" s="16" t="n">
        <v>287.9177616719054</v>
      </c>
      <c r="Q3911" s="16" t="n">
        <v>3671.298710660467</v>
      </c>
      <c r="R3911" s="16" t="n">
        <v>400</v>
      </c>
      <c r="S3911" s="16" t="n">
        <v>0.5</v>
      </c>
      <c r="T3911" s="16" t="n">
        <v>0.4555868494637916</v>
      </c>
      <c r="U3911" s="16" t="n">
        <v>0.800872491594357</v>
      </c>
      <c r="V3911" s="16" t="n">
        <v>0.8743329267059718</v>
      </c>
      <c r="W3911" s="16" t="n">
        <v>0.4044756443082302</v>
      </c>
      <c r="X3911" s="16" t="n">
        <v>0.6333460672616202</v>
      </c>
      <c r="Y3911" s="16" t="n">
        <v>287.9177616719054</v>
      </c>
      <c r="Z3911" s="16" t="n">
        <v>3.21761142838765</v>
      </c>
      <c r="AA3911" s="16" t="n">
        <v>24.18149705457548</v>
      </c>
      <c r="AB3911" s="16" t="n">
        <v>3271.298710660467</v>
      </c>
      <c r="AC3911" s="16" t="n">
        <v>9.178246776651168</v>
      </c>
      <c r="AD3911" s="16" t="inlineStr">
        <is>
          <t>O2</t>
        </is>
      </c>
      <c r="AE3911" s="16" t="n"/>
    </row>
    <row r="3912">
      <c r="A3912" s="16" t="inlineStr">
        <is>
          <t>KF-M09-R1-x_b+P_baja-0008</t>
        </is>
      </c>
      <c r="B3912" s="16" t="inlineStr">
        <is>
          <t>4.3</t>
        </is>
      </c>
      <c r="C3912" s="16" t="inlineStr">
        <is>
          <t>4.3 x_b+P_baja</t>
        </is>
      </c>
      <c r="D3912" s="16" t="inlineStr">
        <is>
          <t>ronda 1</t>
        </is>
      </c>
      <c r="E3912" s="16" t="inlineStr">
        <is>
          <t>KF-M09</t>
        </is>
      </c>
      <c r="F3912" s="16" t="inlineStr">
        <is>
          <t>KF-M09-R1-x_b+P_baja</t>
        </is>
      </c>
      <c r="G3912" s="16" t="inlineStr">
        <is>
          <t>B13-x_b+P_baja</t>
        </is>
      </c>
      <c r="H3912" s="16" t="inlineStr">
        <is>
          <t>lhs</t>
        </is>
      </c>
      <c r="I3912" s="16" t="inlineStr">
        <is>
          <t>CORREGIBLE</t>
        </is>
      </c>
      <c r="J3912" s="16" t="inlineStr">
        <is>
          <t>CORREGIBLE</t>
        </is>
      </c>
      <c r="K3912" s="16" t="b">
        <v>1</v>
      </c>
      <c r="L3912" s="16" t="b">
        <v>0</v>
      </c>
      <c r="M3912" s="16" t="b">
        <v>1</v>
      </c>
      <c r="N3912" s="16" t="b">
        <v>0</v>
      </c>
      <c r="O3912" s="16" t="n">
        <v>499.1225894221596</v>
      </c>
      <c r="P3912" s="16" t="n">
        <v>299.7397248786236</v>
      </c>
      <c r="Q3912" s="16" t="n">
        <v>4883.145640595545</v>
      </c>
      <c r="R3912" s="16" t="n">
        <v>400</v>
      </c>
      <c r="S3912" s="16" t="n">
        <v>0.5</v>
      </c>
      <c r="T3912" s="16" t="n">
        <v>0.9110674346552018</v>
      </c>
      <c r="U3912" s="16" t="n">
        <v>0.5447463552819053</v>
      </c>
      <c r="V3912" s="16" t="n">
        <v>0.7020366028380491</v>
      </c>
      <c r="W3912" s="16" t="n">
        <v>0.5439259527077374</v>
      </c>
      <c r="X3912" s="16" t="n">
        <v>0.4924866172330048</v>
      </c>
      <c r="Y3912" s="16" t="n">
        <v>299.7397248786236</v>
      </c>
      <c r="Z3912" s="16" t="n">
        <v>3.81791186307412</v>
      </c>
      <c r="AA3912" s="16" t="n">
        <v>32.26191217587132</v>
      </c>
      <c r="AB3912" s="16" t="n">
        <v>4483.145640595545</v>
      </c>
      <c r="AC3912" s="16" t="n">
        <v>12.20786410148886</v>
      </c>
      <c r="AD3912" s="16" t="inlineStr">
        <is>
          <t>O1,O2</t>
        </is>
      </c>
      <c r="AE3912" s="16" t="n"/>
    </row>
    <row r="3913">
      <c r="A3913" s="16" t="inlineStr">
        <is>
          <t>KF-M09-R1-x_b+P_baja-0009</t>
        </is>
      </c>
      <c r="B3913" s="16" t="inlineStr">
        <is>
          <t>4.3</t>
        </is>
      </c>
      <c r="C3913" s="16" t="inlineStr">
        <is>
          <t>4.3 x_b+P_baja</t>
        </is>
      </c>
      <c r="D3913" s="16" t="inlineStr">
        <is>
          <t>ronda 1</t>
        </is>
      </c>
      <c r="E3913" s="16" t="inlineStr">
        <is>
          <t>KF-M09</t>
        </is>
      </c>
      <c r="F3913" s="16" t="inlineStr">
        <is>
          <t>KF-M09-R1-x_b+P_baja</t>
        </is>
      </c>
      <c r="G3913" s="16" t="inlineStr">
        <is>
          <t>B13-x_b+P_baja</t>
        </is>
      </c>
      <c r="H3913" s="16" t="inlineStr">
        <is>
          <t>lhs</t>
        </is>
      </c>
      <c r="I3913" s="16" t="inlineStr">
        <is>
          <t>CORREGIBLE</t>
        </is>
      </c>
      <c r="J3913" s="16" t="inlineStr">
        <is>
          <t>CORREGIBLE</t>
        </is>
      </c>
      <c r="K3913" s="16" t="b">
        <v>1</v>
      </c>
      <c r="L3913" s="16" t="b">
        <v>0</v>
      </c>
      <c r="M3913" s="16" t="b">
        <v>1</v>
      </c>
      <c r="N3913" s="16" t="b">
        <v>0</v>
      </c>
      <c r="O3913" s="16" t="n">
        <v>471.8603644028375</v>
      </c>
      <c r="P3913" s="16" t="n">
        <v>282.8753868259339</v>
      </c>
      <c r="Q3913" s="16" t="n">
        <v>2820.702965882814</v>
      </c>
      <c r="R3913" s="16" t="n">
        <v>400</v>
      </c>
      <c r="S3913" s="16" t="n">
        <v>0.5</v>
      </c>
      <c r="T3913" s="16" t="n">
        <v>0.7940202555746816</v>
      </c>
      <c r="U3913" s="16" t="n">
        <v>0.775246908211337</v>
      </c>
      <c r="V3913" s="16" t="n">
        <v>0.6412603032264402</v>
      </c>
      <c r="W3913" s="16" t="n">
        <v>0.4524933437649194</v>
      </c>
      <c r="X3913" s="16" t="n">
        <v>0.7474396573365526</v>
      </c>
      <c r="Y3913" s="16" t="n">
        <v>282.8753868259339</v>
      </c>
      <c r="Z3913" s="16" t="n">
        <v>11.39413181791606</v>
      </c>
      <c r="AA3913" s="16" t="n">
        <v>142.3808121749927</v>
      </c>
      <c r="AB3913" s="16" t="n">
        <v>2420.702965882814</v>
      </c>
      <c r="AC3913" s="16" t="n">
        <v>7.051757414707035</v>
      </c>
      <c r="AD3913" s="16" t="inlineStr">
        <is>
          <t>O2</t>
        </is>
      </c>
      <c r="AE3913" s="16" t="n"/>
    </row>
    <row r="3914">
      <c r="A3914" s="16" t="inlineStr">
        <is>
          <t>KF-M09-R1-x_b+P_baja-0010</t>
        </is>
      </c>
      <c r="B3914" s="16" t="inlineStr">
        <is>
          <t>4.3</t>
        </is>
      </c>
      <c r="C3914" s="16" t="inlineStr">
        <is>
          <t>4.3 x_b+P_baja</t>
        </is>
      </c>
      <c r="D3914" s="16" t="inlineStr">
        <is>
          <t>ronda 1</t>
        </is>
      </c>
      <c r="E3914" s="16" t="inlineStr">
        <is>
          <t>KF-M09</t>
        </is>
      </c>
      <c r="F3914" s="16" t="inlineStr">
        <is>
          <t>KF-M09-R1-x_b+P_baja</t>
        </is>
      </c>
      <c r="G3914" s="16" t="inlineStr">
        <is>
          <t>B13-x_b+P_baja</t>
        </is>
      </c>
      <c r="H3914" s="16" t="inlineStr">
        <is>
          <t>lhs</t>
        </is>
      </c>
      <c r="I3914" s="16" t="inlineStr">
        <is>
          <t>CORREGIBLE</t>
        </is>
      </c>
      <c r="J3914" s="16" t="inlineStr">
        <is>
          <t>CORREGIBLE</t>
        </is>
      </c>
      <c r="K3914" s="16" t="b">
        <v>1</v>
      </c>
      <c r="L3914" s="16" t="b">
        <v>0</v>
      </c>
      <c r="M3914" s="16" t="b">
        <v>0</v>
      </c>
      <c r="N3914" s="16" t="b">
        <v>0</v>
      </c>
      <c r="O3914" s="16" t="n">
        <v>444.4421688599942</v>
      </c>
      <c r="P3914" s="16" t="n">
        <v>284.2653793523641</v>
      </c>
      <c r="Q3914" s="16" t="n">
        <v>4378.131995754037</v>
      </c>
      <c r="R3914" s="16" t="n">
        <v>400</v>
      </c>
      <c r="S3914" s="16" t="n">
        <v>0.5</v>
      </c>
      <c r="T3914" s="16" t="n">
        <v>0.4315644157481217</v>
      </c>
      <c r="U3914" s="16" t="n">
        <v>0.8134910848247917</v>
      </c>
      <c r="V3914" s="16" t="n">
        <v>0.4044289873577566</v>
      </c>
      <c r="W3914" s="16" t="n">
        <v>0.6207082637818148</v>
      </c>
      <c r="X3914" s="16" t="n">
        <v>0.5965727230908042</v>
      </c>
      <c r="Y3914" s="16" t="n">
        <v>284.2653793523641</v>
      </c>
      <c r="Z3914" s="16" t="n">
        <v>1.55399031682519</v>
      </c>
      <c r="AA3914" s="16" t="n">
        <v>4.554122868847529</v>
      </c>
      <c r="AB3914" s="16" t="n">
        <v>3978.131995754037</v>
      </c>
      <c r="AC3914" s="16" t="n">
        <v>10.94532998938509</v>
      </c>
      <c r="AD3914" s="16" t="inlineStr">
        <is>
          <t>O2</t>
        </is>
      </c>
      <c r="AE3914" s="16" t="n"/>
    </row>
    <row r="3915">
      <c r="A3915" s="16" t="inlineStr">
        <is>
          <t>KF-M09-R1-x_b+P_baja-0011</t>
        </is>
      </c>
      <c r="B3915" s="16" t="inlineStr">
        <is>
          <t>4.3</t>
        </is>
      </c>
      <c r="C3915" s="16" t="inlineStr">
        <is>
          <t>4.3 x_b+P_baja</t>
        </is>
      </c>
      <c r="D3915" s="16" t="inlineStr">
        <is>
          <t>ronda 1</t>
        </is>
      </c>
      <c r="E3915" s="16" t="inlineStr">
        <is>
          <t>KF-M09</t>
        </is>
      </c>
      <c r="F3915" s="16" t="inlineStr">
        <is>
          <t>KF-M09-R1-x_b+P_baja</t>
        </is>
      </c>
      <c r="G3915" s="16" t="inlineStr">
        <is>
          <t>B13-x_b+P_baja</t>
        </is>
      </c>
      <c r="H3915" s="16" t="inlineStr">
        <is>
          <t>lhs</t>
        </is>
      </c>
      <c r="I3915" s="16" t="inlineStr">
        <is>
          <t>N2</t>
        </is>
      </c>
      <c r="J3915" s="16" t="inlineStr">
        <is>
          <t>NO_CONVERGIO</t>
        </is>
      </c>
      <c r="K3915" s="16" t="b">
        <v>0</v>
      </c>
      <c r="L3915" s="16" t="b">
        <v>0</v>
      </c>
      <c r="M3915" s="16" t="b">
        <v>0</v>
      </c>
      <c r="N3915" s="16" t="b">
        <v>0</v>
      </c>
      <c r="O3915" s="16" t="n">
        <v>399.7072067817463</v>
      </c>
      <c r="P3915" s="16" t="n">
        <v>295.0813394712294</v>
      </c>
      <c r="Q3915" s="16" t="n">
        <v>3922.878776222038</v>
      </c>
      <c r="R3915" s="16" t="n">
        <v>400</v>
      </c>
      <c r="S3915" s="16" t="n">
        <v>0.5</v>
      </c>
      <c r="T3915" s="16" t="n">
        <v>0.7828405159298111</v>
      </c>
      <c r="U3915" s="16" t="n">
        <v>0.5021106721244217</v>
      </c>
      <c r="V3915" s="16" t="n">
        <v>0.6827611168190275</v>
      </c>
      <c r="W3915" s="16" t="n">
        <v>0.7088595817823748</v>
      </c>
      <c r="X3915" s="16" t="n">
        <v>0.523162091050815</v>
      </c>
      <c r="Y3915" s="16" t="n">
        <v>295.0813394712294</v>
      </c>
      <c r="Z3915" s="16" t="n">
        <v>-42.43025641131955</v>
      </c>
      <c r="AA3915" s="16" t="n">
        <v>-38.02404888997441</v>
      </c>
      <c r="AB3915" s="16" t="n">
        <v>3522.878776222038</v>
      </c>
      <c r="AC3915" s="16" t="n">
        <v>9.807196940555094</v>
      </c>
      <c r="AD3915" s="16" t="inlineStr">
        <is>
          <t>N2,O3,O5,C1,C3,C3</t>
        </is>
      </c>
      <c r="AE3915" s="16" t="n"/>
    </row>
    <row r="3916">
      <c r="A3916" s="16" t="inlineStr">
        <is>
          <t>KF-M09-R1-x_b+P_baja-0012</t>
        </is>
      </c>
      <c r="B3916" s="16" t="inlineStr">
        <is>
          <t>4.3</t>
        </is>
      </c>
      <c r="C3916" s="16" t="inlineStr">
        <is>
          <t>4.3 x_b+P_baja</t>
        </is>
      </c>
      <c r="D3916" s="16" t="inlineStr">
        <is>
          <t>ronda 1</t>
        </is>
      </c>
      <c r="E3916" s="16" t="inlineStr">
        <is>
          <t>KF-M09</t>
        </is>
      </c>
      <c r="F3916" s="16" t="inlineStr">
        <is>
          <t>KF-M09-R1-x_b+P_baja</t>
        </is>
      </c>
      <c r="G3916" s="16" t="inlineStr">
        <is>
          <t>B13-x_b+P_baja</t>
        </is>
      </c>
      <c r="H3916" s="16" t="inlineStr">
        <is>
          <t>lhs</t>
        </is>
      </c>
      <c r="I3916" s="16" t="inlineStr">
        <is>
          <t>CORREGIBLE</t>
        </is>
      </c>
      <c r="J3916" s="16" t="inlineStr">
        <is>
          <t>CORREGIBLE</t>
        </is>
      </c>
      <c r="K3916" s="16" t="b">
        <v>1</v>
      </c>
      <c r="L3916" s="16" t="b">
        <v>0</v>
      </c>
      <c r="M3916" s="16" t="b">
        <v>0</v>
      </c>
      <c r="N3916" s="16" t="b">
        <v>0</v>
      </c>
      <c r="O3916" s="16" t="n">
        <v>425.9312662334107</v>
      </c>
      <c r="P3916" s="16" t="n">
        <v>280.0978904578969</v>
      </c>
      <c r="Q3916" s="16" t="n">
        <v>4514.617759531705</v>
      </c>
      <c r="R3916" s="16" t="n">
        <v>400</v>
      </c>
      <c r="S3916" s="16" t="n">
        <v>0.5</v>
      </c>
      <c r="T3916" s="16" t="n">
        <v>0.948479172951699</v>
      </c>
      <c r="U3916" s="16" t="n">
        <v>0.7203565482837576</v>
      </c>
      <c r="V3916" s="16" t="n">
        <v>0.562936183062006</v>
      </c>
      <c r="W3916" s="16" t="n">
        <v>0.9405239072245456</v>
      </c>
      <c r="X3916" s="16" t="n">
        <v>0.4376847726988887</v>
      </c>
      <c r="Y3916" s="16" t="n">
        <v>280.0978904578969</v>
      </c>
      <c r="Z3916" s="16" t="n">
        <v>12.77734100365593</v>
      </c>
      <c r="AA3916" s="16" t="n">
        <v>20.92097208267016</v>
      </c>
      <c r="AB3916" s="16" t="n">
        <v>4114.617759531705</v>
      </c>
      <c r="AC3916" s="16" t="n">
        <v>11.28654439882926</v>
      </c>
      <c r="AD3916" s="16" t="inlineStr">
        <is>
          <t>O1,O2</t>
        </is>
      </c>
      <c r="AE3916" s="16" t="n"/>
    </row>
    <row r="3917">
      <c r="A3917" s="16" t="inlineStr">
        <is>
          <t>KF-M09-R1-x_b+P_baja-0013</t>
        </is>
      </c>
      <c r="B3917" s="16" t="inlineStr">
        <is>
          <t>4.3</t>
        </is>
      </c>
      <c r="C3917" s="16" t="inlineStr">
        <is>
          <t>4.3 x_b+P_baja</t>
        </is>
      </c>
      <c r="D3917" s="16" t="inlineStr">
        <is>
          <t>ronda 1</t>
        </is>
      </c>
      <c r="E3917" s="16" t="inlineStr">
        <is>
          <t>KF-M09</t>
        </is>
      </c>
      <c r="F3917" s="16" t="inlineStr">
        <is>
          <t>KF-M09-R1-x_b+P_baja</t>
        </is>
      </c>
      <c r="G3917" s="16" t="inlineStr">
        <is>
          <t>B13-x_b+P_baja</t>
        </is>
      </c>
      <c r="H3917" s="16" t="inlineStr">
        <is>
          <t>lhs</t>
        </is>
      </c>
      <c r="I3917" s="16" t="inlineStr">
        <is>
          <t>INVIABLE</t>
        </is>
      </c>
      <c r="J3917" s="16" t="inlineStr">
        <is>
          <t>INVIABLE</t>
        </is>
      </c>
      <c r="K3917" s="16" t="b">
        <v>1</v>
      </c>
      <c r="L3917" s="16" t="b">
        <v>0</v>
      </c>
      <c r="M3917" s="16" t="b">
        <v>1</v>
      </c>
      <c r="N3917" s="16" t="b">
        <v>0</v>
      </c>
      <c r="O3917" s="16" t="n">
        <v>438.3676109197898</v>
      </c>
      <c r="P3917" s="16" t="n">
        <v>291.4166889705182</v>
      </c>
      <c r="Q3917" s="16" t="n">
        <v>4734.879293373287</v>
      </c>
      <c r="R3917" s="16" t="n">
        <v>400</v>
      </c>
      <c r="S3917" s="16" t="n">
        <v>0.5</v>
      </c>
      <c r="T3917" s="16" t="n">
        <v>0.6813341172464462</v>
      </c>
      <c r="U3917" s="16" t="n">
        <v>0.6170070508074138</v>
      </c>
      <c r="V3917" s="16" t="n">
        <v>0.659112143812972</v>
      </c>
      <c r="W3917" s="16" t="n">
        <v>0.594013298516997</v>
      </c>
      <c r="X3917" s="16" t="n">
        <v>0.4195176359238013</v>
      </c>
      <c r="Y3917" s="16" t="n">
        <v>291.4166889705182</v>
      </c>
      <c r="Z3917" s="16" t="n">
        <v>-8.443903873228271</v>
      </c>
      <c r="AA3917" s="16" t="n">
        <v>-23.29471340827031</v>
      </c>
      <c r="AB3917" s="16" t="n">
        <v>4334.879293373287</v>
      </c>
      <c r="AC3917" s="16" t="n">
        <v>11.83719823343322</v>
      </c>
      <c r="AD3917" s="16" t="inlineStr">
        <is>
          <t>O2,O3</t>
        </is>
      </c>
      <c r="AE3917" s="16" t="n"/>
    </row>
    <row r="3918">
      <c r="A3918" s="16" t="inlineStr">
        <is>
          <t>KF-M09-R1-x_b+P_baja-0014</t>
        </is>
      </c>
      <c r="B3918" s="16" t="inlineStr">
        <is>
          <t>4.3</t>
        </is>
      </c>
      <c r="C3918" s="16" t="inlineStr">
        <is>
          <t>4.3 x_b+P_baja</t>
        </is>
      </c>
      <c r="D3918" s="16" t="inlineStr">
        <is>
          <t>ronda 1</t>
        </is>
      </c>
      <c r="E3918" s="16" t="inlineStr">
        <is>
          <t>KF-M09</t>
        </is>
      </c>
      <c r="F3918" s="16" t="inlineStr">
        <is>
          <t>KF-M09-R1-x_b+P_baja</t>
        </is>
      </c>
      <c r="G3918" s="16" t="inlineStr">
        <is>
          <t>B13-x_b+P_baja</t>
        </is>
      </c>
      <c r="H3918" s="16" t="inlineStr">
        <is>
          <t>lhs</t>
        </is>
      </c>
      <c r="I3918" s="16" t="inlineStr">
        <is>
          <t>N2</t>
        </is>
      </c>
      <c r="J3918" s="16" t="inlineStr">
        <is>
          <t>NO_CONVERGIO</t>
        </is>
      </c>
      <c r="K3918" s="16" t="b">
        <v>0</v>
      </c>
      <c r="L3918" s="16" t="b">
        <v>0</v>
      </c>
      <c r="M3918" s="16" t="b">
        <v>0</v>
      </c>
      <c r="N3918" s="16" t="b">
        <v>0</v>
      </c>
      <c r="O3918" s="16" t="n">
        <v>389.2298105339211</v>
      </c>
      <c r="P3918" s="16" t="n">
        <v>289.8971156698477</v>
      </c>
      <c r="Q3918" s="16" t="n">
        <v>3138.894388235572</v>
      </c>
      <c r="R3918" s="16" t="n">
        <v>400</v>
      </c>
      <c r="S3918" s="16" t="n">
        <v>0.5</v>
      </c>
      <c r="T3918" s="16" t="n">
        <v>0.8913471967674271</v>
      </c>
      <c r="U3918" s="16" t="n">
        <v>0.6956543613104613</v>
      </c>
      <c r="V3918" s="16" t="n">
        <v>0.8338557414046732</v>
      </c>
      <c r="W3918" s="16" t="n">
        <v>0.4327518886428734</v>
      </c>
      <c r="X3918" s="16" t="n">
        <v>0.9117974773080908</v>
      </c>
      <c r="Y3918" s="16" t="n">
        <v>289.8971156698477</v>
      </c>
      <c r="Z3918" s="16" t="n">
        <v>-8.718942132881519</v>
      </c>
      <c r="AA3918" s="16" t="n">
        <v>-20.03872003065326</v>
      </c>
      <c r="AB3918" s="16" t="n">
        <v>2738.894388235572</v>
      </c>
      <c r="AC3918" s="16" t="n">
        <v>7.84723597058893</v>
      </c>
      <c r="AD3918" s="16" t="inlineStr">
        <is>
          <t>N2,O3,O5,C1,C3,C3</t>
        </is>
      </c>
      <c r="AE3918" s="16" t="n"/>
    </row>
    <row r="3919">
      <c r="A3919" s="16" t="inlineStr">
        <is>
          <t>KF-M09-R1-x_b+P_baja-0015</t>
        </is>
      </c>
      <c r="B3919" s="16" t="inlineStr">
        <is>
          <t>4.3</t>
        </is>
      </c>
      <c r="C3919" s="16" t="inlineStr">
        <is>
          <t>4.3 x_b+P_baja</t>
        </is>
      </c>
      <c r="D3919" s="16" t="inlineStr">
        <is>
          <t>ronda 1</t>
        </is>
      </c>
      <c r="E3919" s="16" t="inlineStr">
        <is>
          <t>KF-M09</t>
        </is>
      </c>
      <c r="F3919" s="16" t="inlineStr">
        <is>
          <t>KF-M09-R1-x_b+P_baja</t>
        </is>
      </c>
      <c r="G3919" s="16" t="inlineStr">
        <is>
          <t>B13-x_b+P_baja</t>
        </is>
      </c>
      <c r="H3919" s="16" t="inlineStr">
        <is>
          <t>lhs</t>
        </is>
      </c>
      <c r="I3919" s="16" t="inlineStr">
        <is>
          <t>CORREGIBLE</t>
        </is>
      </c>
      <c r="J3919" s="16" t="inlineStr">
        <is>
          <t>CORREGIBLE</t>
        </is>
      </c>
      <c r="K3919" s="16" t="b">
        <v>1</v>
      </c>
      <c r="L3919" s="16" t="b">
        <v>0</v>
      </c>
      <c r="M3919" s="16" t="b">
        <v>1</v>
      </c>
      <c r="N3919" s="16" t="b">
        <v>0</v>
      </c>
      <c r="O3919" s="16" t="n">
        <v>503.1556816787925</v>
      </c>
      <c r="P3919" s="16" t="n">
        <v>301.0003693944701</v>
      </c>
      <c r="Q3919" s="16" t="n">
        <v>3436.165303045843</v>
      </c>
      <c r="R3919" s="16" t="n">
        <v>400</v>
      </c>
      <c r="S3919" s="16" t="n">
        <v>0.5</v>
      </c>
      <c r="T3919" s="16" t="n">
        <v>0.8486404485514374</v>
      </c>
      <c r="U3919" s="16" t="n">
        <v>0.5660581488464537</v>
      </c>
      <c r="V3919" s="16" t="n">
        <v>0.7547333633174427</v>
      </c>
      <c r="W3919" s="16" t="n">
        <v>0.8261377604231461</v>
      </c>
      <c r="X3919" s="16" t="n">
        <v>0.5531678697871738</v>
      </c>
      <c r="Y3919" s="16" t="n">
        <v>301.0003693944701</v>
      </c>
      <c r="Z3919" s="16" t="n">
        <v>5.04276169317982</v>
      </c>
      <c r="AA3919" s="16" t="n">
        <v>51.99463670035254</v>
      </c>
      <c r="AB3919" s="16" t="n">
        <v>3036.165303045843</v>
      </c>
      <c r="AC3919" s="16" t="n">
        <v>8.590413257614607</v>
      </c>
      <c r="AD3919" s="16" t="inlineStr">
        <is>
          <t>O1,O2</t>
        </is>
      </c>
      <c r="AE3919" s="16" t="n"/>
    </row>
    <row r="3920">
      <c r="A3920" s="16" t="inlineStr">
        <is>
          <t>KF-M09-R1-x_b+P_baja-0016</t>
        </is>
      </c>
      <c r="B3920" s="16" t="inlineStr">
        <is>
          <t>4.3</t>
        </is>
      </c>
      <c r="C3920" s="16" t="inlineStr">
        <is>
          <t>4.3 x_b+P_baja</t>
        </is>
      </c>
      <c r="D3920" s="16" t="inlineStr">
        <is>
          <t>ronda 1</t>
        </is>
      </c>
      <c r="E3920" s="16" t="inlineStr">
        <is>
          <t>KF-M09</t>
        </is>
      </c>
      <c r="F3920" s="16" t="inlineStr">
        <is>
          <t>KF-M09-R1-x_b+P_baja</t>
        </is>
      </c>
      <c r="G3920" s="16" t="inlineStr">
        <is>
          <t>B13-x_b+P_baja</t>
        </is>
      </c>
      <c r="H3920" s="16" t="inlineStr">
        <is>
          <t>lhs</t>
        </is>
      </c>
      <c r="I3920" s="16" t="inlineStr">
        <is>
          <t>INVIABLE</t>
        </is>
      </c>
      <c r="J3920" s="16" t="inlineStr">
        <is>
          <t>INVIABLE</t>
        </is>
      </c>
      <c r="K3920" s="16" t="b">
        <v>1</v>
      </c>
      <c r="L3920" s="16" t="b">
        <v>0</v>
      </c>
      <c r="M3920" s="16" t="b">
        <v>1</v>
      </c>
      <c r="N3920" s="16" t="b">
        <v>0</v>
      </c>
      <c r="O3920" s="16" t="n">
        <v>516.4884936792944</v>
      </c>
      <c r="P3920" s="16" t="n">
        <v>278.738779104339</v>
      </c>
      <c r="Q3920" s="16" t="n">
        <v>3501.849161453783</v>
      </c>
      <c r="R3920" s="16" t="n">
        <v>400</v>
      </c>
      <c r="S3920" s="16" t="n">
        <v>0.5</v>
      </c>
      <c r="T3920" s="16" t="n">
        <v>0.4030395002839141</v>
      </c>
      <c r="U3920" s="16" t="n">
        <v>0.523278264115696</v>
      </c>
      <c r="V3920" s="16" t="n">
        <v>0.5839165896463805</v>
      </c>
      <c r="W3920" s="16" t="n">
        <v>0.6399471936334268</v>
      </c>
      <c r="X3920" s="16" t="n">
        <v>0.4740553223683346</v>
      </c>
      <c r="Y3920" s="16" t="n">
        <v>278.738779104339</v>
      </c>
      <c r="Z3920" s="16" t="n">
        <v>-22.37165318773186</v>
      </c>
      <c r="AA3920" s="16" t="n">
        <v>-163.1900570568623</v>
      </c>
      <c r="AB3920" s="16" t="n">
        <v>3101.849161453783</v>
      </c>
      <c r="AC3920" s="16" t="n">
        <v>8.754622903634457</v>
      </c>
      <c r="AD3920" s="16" t="inlineStr">
        <is>
          <t>O2,O3</t>
        </is>
      </c>
      <c r="AE3920" s="16" t="n"/>
    </row>
    <row r="3921">
      <c r="A3921" s="16" t="inlineStr">
        <is>
          <t>KF-M09-R1-x_b+P_baja-0017</t>
        </is>
      </c>
      <c r="B3921" s="16" t="inlineStr">
        <is>
          <t>4.3</t>
        </is>
      </c>
      <c r="C3921" s="16" t="inlineStr">
        <is>
          <t>4.3 x_b+P_baja</t>
        </is>
      </c>
      <c r="D3921" s="16" t="inlineStr">
        <is>
          <t>ronda 1</t>
        </is>
      </c>
      <c r="E3921" s="16" t="inlineStr">
        <is>
          <t>KF-M09</t>
        </is>
      </c>
      <c r="F3921" s="16" t="inlineStr">
        <is>
          <t>KF-M09-R1-x_b+P_baja</t>
        </is>
      </c>
      <c r="G3921" s="16" t="inlineStr">
        <is>
          <t>B13-x_b+P_baja</t>
        </is>
      </c>
      <c r="H3921" s="16" t="inlineStr">
        <is>
          <t>lhs</t>
        </is>
      </c>
      <c r="I3921" s="16" t="inlineStr">
        <is>
          <t>CORREGIBLE</t>
        </is>
      </c>
      <c r="J3921" s="16" t="inlineStr">
        <is>
          <t>CORREGIBLE</t>
        </is>
      </c>
      <c r="K3921" s="16" t="b">
        <v>1</v>
      </c>
      <c r="L3921" s="16" t="b">
        <v>0</v>
      </c>
      <c r="M3921" s="16" t="b">
        <v>1</v>
      </c>
      <c r="N3921" s="16" t="b">
        <v>0</v>
      </c>
      <c r="O3921" s="16" t="n">
        <v>492.8361952969545</v>
      </c>
      <c r="P3921" s="16" t="n">
        <v>295.4716846184598</v>
      </c>
      <c r="Q3921" s="16" t="n">
        <v>4418.446191161034</v>
      </c>
      <c r="R3921" s="16" t="n">
        <v>400</v>
      </c>
      <c r="S3921" s="16" t="n">
        <v>0.5</v>
      </c>
      <c r="T3921" s="16" t="n">
        <v>0.5435656972669846</v>
      </c>
      <c r="U3921" s="16" t="n">
        <v>0.6728061944401869</v>
      </c>
      <c r="V3921" s="16" t="n">
        <v>0.7853011774172692</v>
      </c>
      <c r="W3921" s="16" t="n">
        <v>0.7281087802040225</v>
      </c>
      <c r="X3921" s="16" t="n">
        <v>0.6754256766819036</v>
      </c>
      <c r="Y3921" s="16" t="n">
        <v>295.4716846184598</v>
      </c>
      <c r="Z3921" s="16" t="n">
        <v>4.76012441545937</v>
      </c>
      <c r="AA3921" s="16" t="n">
        <v>60.33048400907637</v>
      </c>
      <c r="AB3921" s="16" t="n">
        <v>4018.446191161034</v>
      </c>
      <c r="AC3921" s="16" t="n">
        <v>11.04611547790258</v>
      </c>
      <c r="AD3921" s="16" t="inlineStr">
        <is>
          <t>O2</t>
        </is>
      </c>
      <c r="AE3921" s="16" t="n"/>
    </row>
    <row r="3922">
      <c r="A3922" s="16" t="inlineStr">
        <is>
          <t>KF-M09-R1-x_b+P_baja-0018</t>
        </is>
      </c>
      <c r="B3922" s="16" t="inlineStr">
        <is>
          <t>4.3</t>
        </is>
      </c>
      <c r="C3922" s="16" t="inlineStr">
        <is>
          <t>4.3 x_b+P_baja</t>
        </is>
      </c>
      <c r="D3922" s="16" t="inlineStr">
        <is>
          <t>ronda 1</t>
        </is>
      </c>
      <c r="E3922" s="16" t="inlineStr">
        <is>
          <t>KF-M09</t>
        </is>
      </c>
      <c r="F3922" s="16" t="inlineStr">
        <is>
          <t>KF-M09-R1-x_b+P_baja</t>
        </is>
      </c>
      <c r="G3922" s="16" t="inlineStr">
        <is>
          <t>B13-x_b+P_baja</t>
        </is>
      </c>
      <c r="H3922" s="16" t="inlineStr">
        <is>
          <t>lhs</t>
        </is>
      </c>
      <c r="I3922" s="16" t="inlineStr">
        <is>
          <t>CORREGIBLE</t>
        </is>
      </c>
      <c r="J3922" s="16" t="inlineStr">
        <is>
          <t>CORREGIBLE</t>
        </is>
      </c>
      <c r="K3922" s="16" t="b">
        <v>1</v>
      </c>
      <c r="L3922" s="16" t="b">
        <v>0</v>
      </c>
      <c r="M3922" s="16" t="b">
        <v>1</v>
      </c>
      <c r="N3922" s="16" t="b">
        <v>0</v>
      </c>
      <c r="O3922" s="16" t="n">
        <v>479.2412230211003</v>
      </c>
      <c r="P3922" s="16" t="n">
        <v>288.9096764570702</v>
      </c>
      <c r="Q3922" s="16" t="n">
        <v>2575.5381108432</v>
      </c>
      <c r="R3922" s="16" t="n">
        <v>400</v>
      </c>
      <c r="S3922" s="16" t="n">
        <v>0.5</v>
      </c>
      <c r="T3922" s="16" t="n">
        <v>0.8678287714203873</v>
      </c>
      <c r="U3922" s="16" t="n">
        <v>0.8739428489347072</v>
      </c>
      <c r="V3922" s="16" t="n">
        <v>0.6367648606833398</v>
      </c>
      <c r="W3922" s="16" t="n">
        <v>0.4748885710224386</v>
      </c>
      <c r="X3922" s="16" t="n">
        <v>0.6681432315057145</v>
      </c>
      <c r="Y3922" s="16" t="n">
        <v>288.9096764570702</v>
      </c>
      <c r="Z3922" s="16" t="n">
        <v>11.6886193302922</v>
      </c>
      <c r="AA3922" s="16" t="n">
        <v>134.7962777809209</v>
      </c>
      <c r="AB3922" s="16" t="n">
        <v>2175.5381108432</v>
      </c>
      <c r="AC3922" s="16" t="n">
        <v>6.438845277107999</v>
      </c>
      <c r="AD3922" s="16" t="inlineStr">
        <is>
          <t>O2</t>
        </is>
      </c>
      <c r="AE3922" s="16" t="n"/>
    </row>
    <row r="3923">
      <c r="A3923" s="16" t="inlineStr">
        <is>
          <t>KF-M09-R1-x_b+P_baja-0019</t>
        </is>
      </c>
      <c r="B3923" s="16" t="inlineStr">
        <is>
          <t>4.3</t>
        </is>
      </c>
      <c r="C3923" s="16" t="inlineStr">
        <is>
          <t>4.3 x_b+P_baja</t>
        </is>
      </c>
      <c r="D3923" s="16" t="inlineStr">
        <is>
          <t>ronda 1</t>
        </is>
      </c>
      <c r="E3923" s="16" t="inlineStr">
        <is>
          <t>KF-M09</t>
        </is>
      </c>
      <c r="F3923" s="16" t="inlineStr">
        <is>
          <t>KF-M09-R1-x_b+P_baja</t>
        </is>
      </c>
      <c r="G3923" s="16" t="inlineStr">
        <is>
          <t>B13-x_b+P_baja</t>
        </is>
      </c>
      <c r="H3923" s="16" t="inlineStr">
        <is>
          <t>lhs</t>
        </is>
      </c>
      <c r="I3923" s="16" t="inlineStr">
        <is>
          <t>CORREGIBLE</t>
        </is>
      </c>
      <c r="J3923" s="16" t="inlineStr">
        <is>
          <t>CORREGIBLE</t>
        </is>
      </c>
      <c r="K3923" s="16" t="b">
        <v>1</v>
      </c>
      <c r="L3923" s="16" t="b">
        <v>0</v>
      </c>
      <c r="M3923" s="16" t="b">
        <v>1</v>
      </c>
      <c r="N3923" s="16" t="b">
        <v>0</v>
      </c>
      <c r="O3923" s="16" t="n">
        <v>427.1330725866992</v>
      </c>
      <c r="P3923" s="16" t="n">
        <v>299.2394015007256</v>
      </c>
      <c r="Q3923" s="16" t="n">
        <v>4161.037717792</v>
      </c>
      <c r="R3923" s="16" t="n">
        <v>400</v>
      </c>
      <c r="S3923" s="16" t="n">
        <v>0.5</v>
      </c>
      <c r="T3923" s="16" t="n">
        <v>0.6218869907322464</v>
      </c>
      <c r="U3923" s="16" t="n">
        <v>0.8300074361986176</v>
      </c>
      <c r="V3923" s="16" t="n">
        <v>0.7693516010793254</v>
      </c>
      <c r="W3923" s="16" t="n">
        <v>0.5783299275968639</v>
      </c>
      <c r="X3923" s="16" t="n">
        <v>0.5774105215485217</v>
      </c>
      <c r="Y3923" s="16" t="n">
        <v>299.2394015007256</v>
      </c>
      <c r="Z3923" s="16" t="n">
        <v>3.6796145758826</v>
      </c>
      <c r="AA3923" s="16" t="n">
        <v>12.63641196004424</v>
      </c>
      <c r="AB3923" s="16" t="n">
        <v>3761.037717792</v>
      </c>
      <c r="AC3923" s="16" t="n">
        <v>10.40259429448</v>
      </c>
      <c r="AD3923" s="16" t="inlineStr">
        <is>
          <t>O2</t>
        </is>
      </c>
      <c r="AE3923" s="16" t="n"/>
    </row>
    <row r="3924">
      <c r="A3924" s="16" t="inlineStr">
        <is>
          <t>KF-M09-R1-x_b+P_baja-0020</t>
        </is>
      </c>
      <c r="B3924" s="16" t="inlineStr">
        <is>
          <t>4.3</t>
        </is>
      </c>
      <c r="C3924" s="16" t="inlineStr">
        <is>
          <t>4.3 x_b+P_baja</t>
        </is>
      </c>
      <c r="D3924" s="16" t="inlineStr">
        <is>
          <t>ronda 1</t>
        </is>
      </c>
      <c r="E3924" s="16" t="inlineStr">
        <is>
          <t>KF-M09</t>
        </is>
      </c>
      <c r="F3924" s="16" t="inlineStr">
        <is>
          <t>KF-M09-R1-x_b+P_baja</t>
        </is>
      </c>
      <c r="G3924" s="16" t="inlineStr">
        <is>
          <t>B13-x_b+P_baja</t>
        </is>
      </c>
      <c r="H3924" s="16" t="inlineStr">
        <is>
          <t>lhs</t>
        </is>
      </c>
      <c r="I3924" s="16" t="inlineStr">
        <is>
          <t>CORREGIBLE</t>
        </is>
      </c>
      <c r="J3924" s="16" t="inlineStr">
        <is>
          <t>CORREGIBLE</t>
        </is>
      </c>
      <c r="K3924" s="16" t="b">
        <v>1</v>
      </c>
      <c r="L3924" s="16" t="b">
        <v>0</v>
      </c>
      <c r="M3924" s="16" t="b">
        <v>1</v>
      </c>
      <c r="N3924" s="16" t="b">
        <v>0</v>
      </c>
      <c r="O3924" s="16" t="n">
        <v>513.1367013648477</v>
      </c>
      <c r="P3924" s="16" t="n">
        <v>301.0216689817203</v>
      </c>
      <c r="Q3924" s="16" t="n">
        <v>2447.915839875184</v>
      </c>
      <c r="R3924" s="16" t="n">
        <v>400</v>
      </c>
      <c r="S3924" s="16" t="n">
        <v>0.5</v>
      </c>
      <c r="T3924" s="16" t="n">
        <v>0.7387376405755746</v>
      </c>
      <c r="U3924" s="16" t="n">
        <v>0.4178364629239323</v>
      </c>
      <c r="V3924" s="16" t="n">
        <v>0.4845297169131643</v>
      </c>
      <c r="W3924" s="16" t="n">
        <v>0.8138714530536197</v>
      </c>
      <c r="X3924" s="16" t="n">
        <v>0.8371249730848629</v>
      </c>
      <c r="Y3924" s="16" t="n">
        <v>301.0216689817203</v>
      </c>
      <c r="Z3924" s="16" t="n">
        <v>9.623228535720701</v>
      </c>
      <c r="AA3924" s="16" t="n">
        <v>97.64702961180924</v>
      </c>
      <c r="AB3924" s="16" t="n">
        <v>2047.915839875184</v>
      </c>
      <c r="AC3924" s="16" t="n">
        <v>6.11978959968796</v>
      </c>
      <c r="AD3924" s="16" t="inlineStr">
        <is>
          <t>O2</t>
        </is>
      </c>
      <c r="AE3924" s="16" t="n"/>
    </row>
    <row r="3925">
      <c r="A3925" s="16" t="inlineStr">
        <is>
          <t>KF-M09-R1-x_b+P_baja-0021</t>
        </is>
      </c>
      <c r="B3925" s="16" t="inlineStr">
        <is>
          <t>4.3</t>
        </is>
      </c>
      <c r="C3925" s="16" t="inlineStr">
        <is>
          <t>4.3 x_b+P_baja</t>
        </is>
      </c>
      <c r="D3925" s="16" t="inlineStr">
        <is>
          <t>ronda 1</t>
        </is>
      </c>
      <c r="E3925" s="16" t="inlineStr">
        <is>
          <t>KF-M09</t>
        </is>
      </c>
      <c r="F3925" s="16" t="inlineStr">
        <is>
          <t>KF-M09-R1-x_b+P_baja</t>
        </is>
      </c>
      <c r="G3925" s="16" t="inlineStr">
        <is>
          <t>B13-x_b+P_baja</t>
        </is>
      </c>
      <c r="H3925" s="16" t="inlineStr">
        <is>
          <t>lhs</t>
        </is>
      </c>
      <c r="I3925" s="16" t="inlineStr">
        <is>
          <t>CORREGIBLE</t>
        </is>
      </c>
      <c r="J3925" s="16" t="inlineStr">
        <is>
          <t>CORREGIBLE</t>
        </is>
      </c>
      <c r="K3925" s="16" t="b">
        <v>1</v>
      </c>
      <c r="L3925" s="16" t="b">
        <v>0</v>
      </c>
      <c r="M3925" s="16" t="b">
        <v>0</v>
      </c>
      <c r="N3925" s="16" t="b">
        <v>0</v>
      </c>
      <c r="O3925" s="16" t="n">
        <v>414.6080197092205</v>
      </c>
      <c r="P3925" s="16" t="n">
        <v>296.9806225707474</v>
      </c>
      <c r="Q3925" s="16" t="n">
        <v>3234.741308356678</v>
      </c>
      <c r="R3925" s="16" t="n">
        <v>400</v>
      </c>
      <c r="S3925" s="16" t="n">
        <v>0.5</v>
      </c>
      <c r="T3925" s="16" t="n">
        <v>0.8128892424168828</v>
      </c>
      <c r="U3925" s="16" t="n">
        <v>0.5862087011137112</v>
      </c>
      <c r="V3925" s="16" t="n">
        <v>0.7148490986428886</v>
      </c>
      <c r="W3925" s="16" t="n">
        <v>0.9307587523404934</v>
      </c>
      <c r="X3925" s="16" t="n">
        <v>0.5368005679229741</v>
      </c>
      <c r="Y3925" s="16" t="n">
        <v>296.9806225707474</v>
      </c>
      <c r="Z3925" s="16" t="n">
        <v>8.57743977108176</v>
      </c>
      <c r="AA3925" s="16" t="n">
        <v>22.96328272165611</v>
      </c>
      <c r="AB3925" s="16" t="n">
        <v>2834.741308356678</v>
      </c>
      <c r="AC3925" s="16" t="n">
        <v>8.086853270891694</v>
      </c>
      <c r="AD3925" s="16" t="inlineStr">
        <is>
          <t>O2</t>
        </is>
      </c>
      <c r="AE3925" s="16" t="n"/>
    </row>
    <row r="3926">
      <c r="A3926" s="16" t="inlineStr">
        <is>
          <t>KF-M09-R1-x_b+P_baja-0022</t>
        </is>
      </c>
      <c r="B3926" s="16" t="inlineStr">
        <is>
          <t>4.3</t>
        </is>
      </c>
      <c r="C3926" s="16" t="inlineStr">
        <is>
          <t>4.3 x_b+P_baja</t>
        </is>
      </c>
      <c r="D3926" s="16" t="inlineStr">
        <is>
          <t>ronda 1</t>
        </is>
      </c>
      <c r="E3926" s="16" t="inlineStr">
        <is>
          <t>KF-M09</t>
        </is>
      </c>
      <c r="F3926" s="16" t="inlineStr">
        <is>
          <t>KF-M09-R1-x_b+P_baja</t>
        </is>
      </c>
      <c r="G3926" s="16" t="inlineStr">
        <is>
          <t>B13-x_b+P_baja</t>
        </is>
      </c>
      <c r="H3926" s="16" t="inlineStr">
        <is>
          <t>lhs</t>
        </is>
      </c>
      <c r="I3926" s="16" t="inlineStr">
        <is>
          <t>CORREGIBLE</t>
        </is>
      </c>
      <c r="J3926" s="16" t="inlineStr">
        <is>
          <t>CORREGIBLE</t>
        </is>
      </c>
      <c r="K3926" s="16" t="b">
        <v>1</v>
      </c>
      <c r="L3926" s="16" t="b">
        <v>0</v>
      </c>
      <c r="M3926" s="16" t="b">
        <v>1</v>
      </c>
      <c r="N3926" s="16" t="b">
        <v>0</v>
      </c>
      <c r="O3926" s="16" t="n">
        <v>455.4798300422836</v>
      </c>
      <c r="P3926" s="16" t="n">
        <v>292.5016949228089</v>
      </c>
      <c r="Q3926" s="16" t="n">
        <v>2289.007133801658</v>
      </c>
      <c r="R3926" s="16" t="n">
        <v>400</v>
      </c>
      <c r="S3926" s="16" t="n">
        <v>0.5</v>
      </c>
      <c r="T3926" s="16" t="n">
        <v>0.5918014408848513</v>
      </c>
      <c r="U3926" s="16" t="n">
        <v>0.7336931234526579</v>
      </c>
      <c r="V3926" s="16" t="n">
        <v>0.5265764830405615</v>
      </c>
      <c r="W3926" s="16" t="n">
        <v>0.5560172662106335</v>
      </c>
      <c r="X3926" s="16" t="n">
        <v>0.8166543965328908</v>
      </c>
      <c r="Y3926" s="16" t="n">
        <v>292.5016949228089</v>
      </c>
      <c r="Z3926" s="16" t="n">
        <v>7.48165724924299</v>
      </c>
      <c r="AA3926" s="16" t="n">
        <v>70.94199996218002</v>
      </c>
      <c r="AB3926" s="16" t="n">
        <v>1889.007133801658</v>
      </c>
      <c r="AC3926" s="16" t="n">
        <v>5.722517834504146</v>
      </c>
      <c r="AD3926" s="16" t="inlineStr">
        <is>
          <t>O2</t>
        </is>
      </c>
      <c r="AE3926" s="16" t="n"/>
    </row>
    <row r="3927">
      <c r="A3927" s="16" t="inlineStr">
        <is>
          <t>KF-M09-R1-x_b+P_baja-0023</t>
        </is>
      </c>
      <c r="B3927" s="16" t="inlineStr">
        <is>
          <t>4.3</t>
        </is>
      </c>
      <c r="C3927" s="16" t="inlineStr">
        <is>
          <t>4.3 x_b+P_baja</t>
        </is>
      </c>
      <c r="D3927" s="16" t="inlineStr">
        <is>
          <t>ronda 1</t>
        </is>
      </c>
      <c r="E3927" s="16" t="inlineStr">
        <is>
          <t>KF-M09</t>
        </is>
      </c>
      <c r="F3927" s="16" t="inlineStr">
        <is>
          <t>KF-M09-R1-x_b+P_baja</t>
        </is>
      </c>
      <c r="G3927" s="16" t="inlineStr">
        <is>
          <t>B13-x_b+P_baja</t>
        </is>
      </c>
      <c r="H3927" s="16" t="inlineStr">
        <is>
          <t>lhs</t>
        </is>
      </c>
      <c r="I3927" s="16" t="inlineStr">
        <is>
          <t>CORREGIBLE</t>
        </is>
      </c>
      <c r="J3927" s="16" t="inlineStr">
        <is>
          <t>CORREGIBLE</t>
        </is>
      </c>
      <c r="K3927" s="16" t="b">
        <v>1</v>
      </c>
      <c r="L3927" s="16" t="b">
        <v>0</v>
      </c>
      <c r="M3927" s="16" t="b">
        <v>1</v>
      </c>
      <c r="N3927" s="16" t="b">
        <v>0</v>
      </c>
      <c r="O3927" s="16" t="n">
        <v>506.9614798603085</v>
      </c>
      <c r="P3927" s="16" t="n">
        <v>296.4669329920482</v>
      </c>
      <c r="Q3927" s="16" t="n">
        <v>4608.173177123055</v>
      </c>
      <c r="R3927" s="16" t="n">
        <v>400</v>
      </c>
      <c r="S3927" s="16" t="n">
        <v>0.5</v>
      </c>
      <c r="T3927" s="16" t="n">
        <v>0.5622602183445691</v>
      </c>
      <c r="U3927" s="16" t="n">
        <v>0.7542958560142283</v>
      </c>
      <c r="V3927" s="16" t="n">
        <v>0.9232793293320164</v>
      </c>
      <c r="W3927" s="16" t="n">
        <v>0.8477054108182855</v>
      </c>
      <c r="X3927" s="16" t="n">
        <v>0.7648158703638794</v>
      </c>
      <c r="Y3927" s="16" t="n">
        <v>296.4669329920482</v>
      </c>
      <c r="Z3927" s="16" t="n">
        <v>8.785612131327481</v>
      </c>
      <c r="AA3927" s="16" t="n">
        <v>148.2756108694016</v>
      </c>
      <c r="AB3927" s="16" t="n">
        <v>4208.173177123055</v>
      </c>
      <c r="AC3927" s="16" t="n">
        <v>11.52043294280764</v>
      </c>
      <c r="AD3927" s="16" t="inlineStr">
        <is>
          <t>O2</t>
        </is>
      </c>
      <c r="AE3927" s="16" t="n"/>
    </row>
    <row r="3928">
      <c r="A3928" s="16" t="inlineStr">
        <is>
          <t>KF-M09-R1-x_b+P_baja-0024</t>
        </is>
      </c>
      <c r="B3928" s="16" t="inlineStr">
        <is>
          <t>4.3</t>
        </is>
      </c>
      <c r="C3928" s="16" t="inlineStr">
        <is>
          <t>4.3 x_b+P_baja</t>
        </is>
      </c>
      <c r="D3928" s="16" t="inlineStr">
        <is>
          <t>ronda 1</t>
        </is>
      </c>
      <c r="E3928" s="16" t="inlineStr">
        <is>
          <t>KF-M09</t>
        </is>
      </c>
      <c r="F3928" s="16" t="inlineStr">
        <is>
          <t>KF-M09-R1-x_b+P_baja</t>
        </is>
      </c>
      <c r="G3928" s="16" t="inlineStr">
        <is>
          <t>B13-x_b+P_baja</t>
        </is>
      </c>
      <c r="H3928" s="16" t="inlineStr">
        <is>
          <t>lhs</t>
        </is>
      </c>
      <c r="I3928" s="16" t="inlineStr">
        <is>
          <t>KALINA</t>
        </is>
      </c>
      <c r="J3928" s="16" t="inlineStr">
        <is>
          <t>KALINA</t>
        </is>
      </c>
      <c r="K3928" s="16" t="b">
        <v>1</v>
      </c>
      <c r="L3928" s="16" t="b">
        <v>1</v>
      </c>
      <c r="M3928" s="16" t="b">
        <v>0</v>
      </c>
      <c r="N3928" s="16" t="b">
        <v>0</v>
      </c>
      <c r="O3928" s="16" t="n">
        <v>417.6357705149704</v>
      </c>
      <c r="P3928" s="16" t="n">
        <v>281.7744223887759</v>
      </c>
      <c r="Q3928" s="16" t="n">
        <v>2605.898845492677</v>
      </c>
      <c r="R3928" s="16" t="n">
        <v>400</v>
      </c>
      <c r="S3928" s="16" t="n">
        <v>0.5</v>
      </c>
      <c r="T3928" s="16" t="n">
        <v>0.5114232328944276</v>
      </c>
      <c r="U3928" s="16" t="n">
        <v>0.8772756790948866</v>
      </c>
      <c r="V3928" s="16" t="n">
        <v>0.4223797156478298</v>
      </c>
      <c r="W3928" s="16" t="n">
        <v>0.7487537244326929</v>
      </c>
      <c r="X3928" s="16" t="n">
        <v>0.7702873261177372</v>
      </c>
      <c r="Y3928" s="16" t="n">
        <v>281.7744223887759</v>
      </c>
      <c r="Z3928" s="16" t="n">
        <v>4.911653635633019</v>
      </c>
      <c r="AA3928" s="16" t="n">
        <v>14.65403610908412</v>
      </c>
      <c r="AB3928" s="16" t="n">
        <v>2205.898845492677</v>
      </c>
      <c r="AC3928" s="16" t="n">
        <v>6.514747113731692</v>
      </c>
      <c r="AD3928" s="16" t="n"/>
      <c r="AE3928" s="16" t="n"/>
    </row>
    <row r="3929">
      <c r="A3929" s="16" t="inlineStr">
        <is>
          <t>KF-M09-R1-x_b+P_baja-0025</t>
        </is>
      </c>
      <c r="B3929" s="16" t="inlineStr">
        <is>
          <t>4.3</t>
        </is>
      </c>
      <c r="C3929" s="16" t="inlineStr">
        <is>
          <t>4.3 x_b+P_baja</t>
        </is>
      </c>
      <c r="D3929" s="16" t="inlineStr">
        <is>
          <t>ronda 1</t>
        </is>
      </c>
      <c r="E3929" s="16" t="inlineStr">
        <is>
          <t>KF-M09</t>
        </is>
      </c>
      <c r="F3929" s="16" t="inlineStr">
        <is>
          <t>KF-M09-R1-x_b+P_baja</t>
        </is>
      </c>
      <c r="G3929" s="16" t="inlineStr">
        <is>
          <t>B13-x_b+P_baja</t>
        </is>
      </c>
      <c r="H3929" s="16" t="inlineStr">
        <is>
          <t>lhs</t>
        </is>
      </c>
      <c r="I3929" s="16" t="inlineStr">
        <is>
          <t>CORREGIBLE</t>
        </is>
      </c>
      <c r="J3929" s="16" t="inlineStr">
        <is>
          <t>CORREGIBLE</t>
        </is>
      </c>
      <c r="K3929" s="16" t="b">
        <v>1</v>
      </c>
      <c r="L3929" s="16" t="b">
        <v>0</v>
      </c>
      <c r="M3929" s="16" t="b">
        <v>1</v>
      </c>
      <c r="N3929" s="16" t="b">
        <v>0</v>
      </c>
      <c r="O3929" s="16" t="n">
        <v>485.9156616355591</v>
      </c>
      <c r="P3929" s="16" t="n">
        <v>287.2388225533629</v>
      </c>
      <c r="Q3929" s="16" t="n">
        <v>3085.744239740331</v>
      </c>
      <c r="R3929" s="16" t="n">
        <v>400</v>
      </c>
      <c r="S3929" s="16" t="n">
        <v>0.5</v>
      </c>
      <c r="T3929" s="16" t="n">
        <v>0.6184730789342744</v>
      </c>
      <c r="U3929" s="16" t="n">
        <v>0.4530616733555073</v>
      </c>
      <c r="V3929" s="16" t="n">
        <v>0.9097731586507825</v>
      </c>
      <c r="W3929" s="16" t="n">
        <v>0.792447553632296</v>
      </c>
      <c r="X3929" s="16" t="n">
        <v>0.6511499044074374</v>
      </c>
      <c r="Y3929" s="16" t="n">
        <v>287.2388225533629</v>
      </c>
      <c r="Z3929" s="16" t="n">
        <v>0.10696644476335</v>
      </c>
      <c r="AA3929" s="16" t="n">
        <v>1.445452987107643</v>
      </c>
      <c r="AB3929" s="16" t="n">
        <v>2685.744239740331</v>
      </c>
      <c r="AC3929" s="16" t="n">
        <v>7.714360599350828</v>
      </c>
      <c r="AD3929" s="16" t="inlineStr">
        <is>
          <t>O2</t>
        </is>
      </c>
      <c r="AE3929" s="16" t="n"/>
    </row>
    <row r="3930">
      <c r="A3930" s="16" t="inlineStr">
        <is>
          <t>KF-M09-R1-x_b+P_baja-0026</t>
        </is>
      </c>
      <c r="B3930" s="16" t="inlineStr">
        <is>
          <t>4.3</t>
        </is>
      </c>
      <c r="C3930" s="16" t="inlineStr">
        <is>
          <t>4.3 x_b+P_baja</t>
        </is>
      </c>
      <c r="D3930" s="16" t="inlineStr">
        <is>
          <t>ronda 1</t>
        </is>
      </c>
      <c r="E3930" s="16" t="inlineStr">
        <is>
          <t>KF-M09</t>
        </is>
      </c>
      <c r="F3930" s="16" t="inlineStr">
        <is>
          <t>KF-M09-R1-x_b+P_baja</t>
        </is>
      </c>
      <c r="G3930" s="16" t="inlineStr">
        <is>
          <t>B13-x_b+P_baja</t>
        </is>
      </c>
      <c r="H3930" s="16" t="inlineStr">
        <is>
          <t>lhs</t>
        </is>
      </c>
      <c r="I3930" s="16" t="inlineStr">
        <is>
          <t>CORREGIBLE</t>
        </is>
      </c>
      <c r="J3930" s="16" t="inlineStr">
        <is>
          <t>CORREGIBLE</t>
        </is>
      </c>
      <c r="K3930" s="16" t="b">
        <v>1</v>
      </c>
      <c r="L3930" s="16" t="b">
        <v>0</v>
      </c>
      <c r="M3930" s="16" t="b">
        <v>1</v>
      </c>
      <c r="N3930" s="16" t="b">
        <v>0</v>
      </c>
      <c r="O3930" s="16" t="n">
        <v>474.6947549098807</v>
      </c>
      <c r="P3930" s="16" t="n">
        <v>293.4715811738176</v>
      </c>
      <c r="Q3930" s="16" t="n">
        <v>2318.224305203557</v>
      </c>
      <c r="R3930" s="16" t="n">
        <v>400</v>
      </c>
      <c r="S3930" s="16" t="n">
        <v>0.5</v>
      </c>
      <c r="T3930" s="16" t="n">
        <v>0.7058031779812093</v>
      </c>
      <c r="U3930" s="16" t="n">
        <v>0.9477736461567076</v>
      </c>
      <c r="V3930" s="16" t="n">
        <v>0.4948833655831038</v>
      </c>
      <c r="W3930" s="16" t="n">
        <v>0.8782612011393369</v>
      </c>
      <c r="X3930" s="16" t="n">
        <v>0.4581310593542571</v>
      </c>
      <c r="Y3930" s="16" t="n">
        <v>293.4715811738176</v>
      </c>
      <c r="Z3930" s="16" t="n">
        <v>5.03321714979278</v>
      </c>
      <c r="AA3930" s="16" t="n">
        <v>35.80723168874448</v>
      </c>
      <c r="AB3930" s="16" t="n">
        <v>1918.224305203557</v>
      </c>
      <c r="AC3930" s="16" t="n">
        <v>5.795560763008893</v>
      </c>
      <c r="AD3930" s="16" t="inlineStr">
        <is>
          <t>O2</t>
        </is>
      </c>
      <c r="AE3930" s="16" t="n"/>
    </row>
    <row r="3931">
      <c r="A3931" s="16" t="inlineStr">
        <is>
          <t>KF-M09-R1-x_b+P_baja-0027</t>
        </is>
      </c>
      <c r="B3931" s="16" t="inlineStr">
        <is>
          <t>4.3</t>
        </is>
      </c>
      <c r="C3931" s="16" t="inlineStr">
        <is>
          <t>4.3 x_b+P_baja</t>
        </is>
      </c>
      <c r="D3931" s="16" t="inlineStr">
        <is>
          <t>ronda 1</t>
        </is>
      </c>
      <c r="E3931" s="16" t="inlineStr">
        <is>
          <t>KF-M09</t>
        </is>
      </c>
      <c r="F3931" s="16" t="inlineStr">
        <is>
          <t>KF-M09-R1-x_b+P_baja</t>
        </is>
      </c>
      <c r="G3931" s="16" t="inlineStr">
        <is>
          <t>B13-x_b+P_baja</t>
        </is>
      </c>
      <c r="H3931" s="16" t="inlineStr">
        <is>
          <t>lhs</t>
        </is>
      </c>
      <c r="I3931" s="16" t="inlineStr">
        <is>
          <t>CORREGIBLE</t>
        </is>
      </c>
      <c r="J3931" s="16" t="inlineStr">
        <is>
          <t>CORREGIBLE</t>
        </is>
      </c>
      <c r="K3931" s="16" t="b">
        <v>1</v>
      </c>
      <c r="L3931" s="16" t="b">
        <v>0</v>
      </c>
      <c r="M3931" s="16" t="b">
        <v>1</v>
      </c>
      <c r="N3931" s="16" t="b">
        <v>0</v>
      </c>
      <c r="O3931" s="16" t="n">
        <v>490.2162844453679</v>
      </c>
      <c r="P3931" s="16" t="n">
        <v>298.1307497418962</v>
      </c>
      <c r="Q3931" s="16" t="n">
        <v>3773.490448413225</v>
      </c>
      <c r="R3931" s="16" t="n">
        <v>400</v>
      </c>
      <c r="S3931" s="16" t="n">
        <v>0.5</v>
      </c>
      <c r="T3931" s="16" t="n">
        <v>0.9273233304323918</v>
      </c>
      <c r="U3931" s="16" t="n">
        <v>0.8418841601729399</v>
      </c>
      <c r="V3931" s="16" t="n">
        <v>0.4450059435213025</v>
      </c>
      <c r="W3931" s="16" t="n">
        <v>0.8670586918888253</v>
      </c>
      <c r="X3931" s="16" t="n">
        <v>0.9427294737208798</v>
      </c>
      <c r="Y3931" s="16" t="n">
        <v>298.1307497418962</v>
      </c>
      <c r="Z3931" s="16" t="n">
        <v>16.21714940699124</v>
      </c>
      <c r="AA3931" s="16" t="n">
        <v>143.7955445325722</v>
      </c>
      <c r="AB3931" s="16" t="n">
        <v>3373.490448413225</v>
      </c>
      <c r="AC3931" s="16" t="n">
        <v>9.433726121033065</v>
      </c>
      <c r="AD3931" s="16" t="inlineStr">
        <is>
          <t>O1,O2</t>
        </is>
      </c>
      <c r="AE3931" s="16" t="n"/>
    </row>
    <row r="3932">
      <c r="A3932" s="16" t="inlineStr">
        <is>
          <t>KF-M09-R1-x_b+P_baja-0028</t>
        </is>
      </c>
      <c r="B3932" s="16" t="inlineStr">
        <is>
          <t>4.3</t>
        </is>
      </c>
      <c r="C3932" s="16" t="inlineStr">
        <is>
          <t>4.3 x_b+P_baja</t>
        </is>
      </c>
      <c r="D3932" s="16" t="inlineStr">
        <is>
          <t>ronda 1</t>
        </is>
      </c>
      <c r="E3932" s="16" t="inlineStr">
        <is>
          <t>KF-M09</t>
        </is>
      </c>
      <c r="F3932" s="16" t="inlineStr">
        <is>
          <t>KF-M09-R1-x_b+P_baja</t>
        </is>
      </c>
      <c r="G3932" s="16" t="inlineStr">
        <is>
          <t>B13-x_b+P_baja</t>
        </is>
      </c>
      <c r="H3932" s="16" t="inlineStr">
        <is>
          <t>lhs</t>
        </is>
      </c>
      <c r="I3932" s="16" t="inlineStr">
        <is>
          <t>NO_CONVERGIO</t>
        </is>
      </c>
      <c r="J3932" s="16" t="inlineStr">
        <is>
          <t>NO_CONVERGIO</t>
        </is>
      </c>
      <c r="K3932" s="16" t="b">
        <v>0</v>
      </c>
      <c r="L3932" s="16" t="b">
        <v>0</v>
      </c>
      <c r="M3932" s="16" t="b">
        <v>0</v>
      </c>
      <c r="N3932" s="16" t="b">
        <v>0</v>
      </c>
      <c r="O3932" s="16" t="n">
        <v>392.9814110711241</v>
      </c>
      <c r="P3932" s="16" t="n">
        <v>302.2002489355311</v>
      </c>
      <c r="Q3932" s="16" t="n">
        <v>4095.494538558138</v>
      </c>
      <c r="R3932" s="16" t="n">
        <v>400</v>
      </c>
      <c r="S3932" s="16" t="n">
        <v>0.5</v>
      </c>
      <c r="T3932" s="16" t="n">
        <v>0.6503728163888254</v>
      </c>
      <c r="U3932" s="16" t="n">
        <v>0.691276905979044</v>
      </c>
      <c r="V3932" s="16" t="n">
        <v>0.4581291783713834</v>
      </c>
      <c r="W3932" s="16" t="n">
        <v>0.6819807824398824</v>
      </c>
      <c r="X3932" s="16" t="n">
        <v>0.7193887306962765</v>
      </c>
      <c r="Y3932" s="16" t="n">
        <v>302.2002489355311</v>
      </c>
      <c r="Z3932" s="16" t="n"/>
      <c r="AA3932" s="16" t="n"/>
      <c r="AB3932" s="16" t="n">
        <v>3695.494538558138</v>
      </c>
      <c r="AC3932" s="16" t="n">
        <v>10.23873634639534</v>
      </c>
      <c r="AD3932" s="16" t="n"/>
      <c r="AE3932" s="16" t="n"/>
    </row>
    <row r="3933">
      <c r="A3933" s="16" t="inlineStr">
        <is>
          <t>KF-M09-R1-x_b+P_baja-0029</t>
        </is>
      </c>
      <c r="B3933" s="16" t="inlineStr">
        <is>
          <t>4.3</t>
        </is>
      </c>
      <c r="C3933" s="16" t="inlineStr">
        <is>
          <t>4.3 x_b+P_baja</t>
        </is>
      </c>
      <c r="D3933" s="16" t="inlineStr">
        <is>
          <t>ronda 1</t>
        </is>
      </c>
      <c r="E3933" s="16" t="inlineStr">
        <is>
          <t>KF-M09</t>
        </is>
      </c>
      <c r="F3933" s="16" t="inlineStr">
        <is>
          <t>KF-M09-R1-x_b+P_baja</t>
        </is>
      </c>
      <c r="G3933" s="16" t="inlineStr">
        <is>
          <t>B13-x_b+P_baja</t>
        </is>
      </c>
      <c r="H3933" s="16" t="inlineStr">
        <is>
          <t>lhs</t>
        </is>
      </c>
      <c r="I3933" s="16" t="inlineStr">
        <is>
          <t>CORREGIBLE</t>
        </is>
      </c>
      <c r="J3933" s="16" t="inlineStr">
        <is>
          <t>CORREGIBLE</t>
        </is>
      </c>
      <c r="K3933" s="16" t="b">
        <v>1</v>
      </c>
      <c r="L3933" s="16" t="b">
        <v>0</v>
      </c>
      <c r="M3933" s="16" t="b">
        <v>0</v>
      </c>
      <c r="N3933" s="16" t="b">
        <v>0</v>
      </c>
      <c r="O3933" s="16" t="n">
        <v>408.6039488965291</v>
      </c>
      <c r="P3933" s="16" t="n">
        <v>286.3329109674743</v>
      </c>
      <c r="Q3933" s="16" t="n">
        <v>2174.857922824936</v>
      </c>
      <c r="R3933" s="16" t="n">
        <v>400</v>
      </c>
      <c r="S3933" s="16" t="n">
        <v>0.5</v>
      </c>
      <c r="T3933" s="16" t="n">
        <v>0.7663602859714469</v>
      </c>
      <c r="U3933" s="16" t="n">
        <v>0.4263714882172249</v>
      </c>
      <c r="V3933" s="16" t="n">
        <v>0.5738683846809436</v>
      </c>
      <c r="W3933" s="16" t="n">
        <v>0.6716543926972008</v>
      </c>
      <c r="X3933" s="16" t="n">
        <v>0.6161994837440656</v>
      </c>
      <c r="Y3933" s="16" t="n">
        <v>286.3329109674743</v>
      </c>
      <c r="Z3933" s="16" t="n">
        <v>6.17880429268526</v>
      </c>
      <c r="AA3933" s="16" t="n">
        <v>22.66166854825208</v>
      </c>
      <c r="AB3933" s="16" t="n">
        <v>1774.857922824936</v>
      </c>
      <c r="AC3933" s="16" t="n">
        <v>5.437144807062341</v>
      </c>
      <c r="AD3933" s="16" t="inlineStr">
        <is>
          <t>O2</t>
        </is>
      </c>
      <c r="AE3933" s="16" t="n"/>
    </row>
    <row r="3934">
      <c r="A3934" s="16" t="inlineStr">
        <is>
          <t>KF-M09-R1-x_b+T_sumidero-0000</t>
        </is>
      </c>
      <c r="B3934" s="16" t="inlineStr">
        <is>
          <t>4.3</t>
        </is>
      </c>
      <c r="C3934" s="16" t="inlineStr">
        <is>
          <t>4.3 x_b+T_sumidero</t>
        </is>
      </c>
      <c r="D3934" s="16" t="inlineStr">
        <is>
          <t>ronda 1</t>
        </is>
      </c>
      <c r="E3934" s="16" t="inlineStr">
        <is>
          <t>KF-M09</t>
        </is>
      </c>
      <c r="F3934" s="16" t="inlineStr">
        <is>
          <t>KF-M09-R1-x_b+T_sumidero</t>
        </is>
      </c>
      <c r="G3934" s="16" t="inlineStr">
        <is>
          <t>B13-x_b+T_sumidero</t>
        </is>
      </c>
      <c r="H3934" s="16" t="inlineStr">
        <is>
          <t>lhs</t>
        </is>
      </c>
      <c r="I3934" s="16" t="inlineStr">
        <is>
          <t>N2</t>
        </is>
      </c>
      <c r="J3934" s="16" t="inlineStr">
        <is>
          <t>NO_CONVERGIO</t>
        </is>
      </c>
      <c r="K3934" s="16" t="b">
        <v>0</v>
      </c>
      <c r="L3934" s="16" t="b">
        <v>0</v>
      </c>
      <c r="M3934" s="16" t="b">
        <v>0</v>
      </c>
      <c r="N3934" s="16" t="b">
        <v>0</v>
      </c>
      <c r="O3934" s="16" t="n">
        <v>383.8079906769507</v>
      </c>
      <c r="P3934" s="16" t="n">
        <v>300.032917</v>
      </c>
      <c r="Q3934" s="16" t="n">
        <v>2916.238370355099</v>
      </c>
      <c r="R3934" s="16" t="n">
        <v>854.7248215228601</v>
      </c>
      <c r="S3934" s="16" t="n">
        <v>0.5</v>
      </c>
      <c r="T3934" s="16" t="n">
        <v>0.6901515254263964</v>
      </c>
      <c r="U3934" s="16" t="n">
        <v>0.7566411340559633</v>
      </c>
      <c r="V3934" s="16" t="n">
        <v>0.7719830064123372</v>
      </c>
      <c r="W3934" s="16" t="n">
        <v>0.8859153694710569</v>
      </c>
      <c r="X3934" s="16" t="n">
        <v>0.6741151365683172</v>
      </c>
      <c r="Y3934" s="16" t="n">
        <v>300.032917</v>
      </c>
      <c r="Z3934" s="16" t="n">
        <v>-19.74763498478574</v>
      </c>
      <c r="AA3934" s="16" t="n">
        <v>-6.686382927404702</v>
      </c>
      <c r="AB3934" s="16" t="n">
        <v>2061.513548832239</v>
      </c>
      <c r="AC3934" s="16" t="n">
        <v>3.411903219517186</v>
      </c>
      <c r="AD3934" s="16" t="inlineStr">
        <is>
          <t>N2,O3,O5,C1,C3,C3</t>
        </is>
      </c>
      <c r="AE3934" s="16" t="n"/>
    </row>
    <row r="3935">
      <c r="A3935" s="16" t="inlineStr">
        <is>
          <t>KF-M09-R1-x_b+T_sumidero-0001</t>
        </is>
      </c>
      <c r="B3935" s="16" t="inlineStr">
        <is>
          <t>4.3</t>
        </is>
      </c>
      <c r="C3935" s="16" t="inlineStr">
        <is>
          <t>4.3 x_b+T_sumidero</t>
        </is>
      </c>
      <c r="D3935" s="16" t="inlineStr">
        <is>
          <t>ronda 1</t>
        </is>
      </c>
      <c r="E3935" s="16" t="inlineStr">
        <is>
          <t>KF-M09</t>
        </is>
      </c>
      <c r="F3935" s="16" t="inlineStr">
        <is>
          <t>KF-M09-R1-x_b+T_sumidero</t>
        </is>
      </c>
      <c r="G3935" s="16" t="inlineStr">
        <is>
          <t>B13-x_b+T_sumidero</t>
        </is>
      </c>
      <c r="H3935" s="16" t="inlineStr">
        <is>
          <t>lhs</t>
        </is>
      </c>
      <c r="I3935" s="16" t="inlineStr">
        <is>
          <t>INVIABLE</t>
        </is>
      </c>
      <c r="J3935" s="16" t="inlineStr">
        <is>
          <t>INVIABLE</t>
        </is>
      </c>
      <c r="K3935" s="16" t="b">
        <v>1</v>
      </c>
      <c r="L3935" s="16" t="b">
        <v>0</v>
      </c>
      <c r="M3935" s="16" t="b">
        <v>0</v>
      </c>
      <c r="N3935" s="16" t="b">
        <v>0</v>
      </c>
      <c r="O3935" s="16" t="n">
        <v>425.30278535011</v>
      </c>
      <c r="P3935" s="16" t="n">
        <v>300.032917</v>
      </c>
      <c r="Q3935" s="16" t="n">
        <v>4482.932498147942</v>
      </c>
      <c r="R3935" s="16" t="n">
        <v>1557.771828920858</v>
      </c>
      <c r="S3935" s="16" t="n">
        <v>0.5</v>
      </c>
      <c r="T3935" s="16" t="n">
        <v>0.6144673411479875</v>
      </c>
      <c r="U3935" s="16" t="n">
        <v>0.7297004554157839</v>
      </c>
      <c r="V3935" s="16" t="n">
        <v>0.4405025898255983</v>
      </c>
      <c r="W3935" s="16" t="n">
        <v>0.6426980686691028</v>
      </c>
      <c r="X3935" s="16" t="n">
        <v>0.6481077906964865</v>
      </c>
      <c r="Y3935" s="16" t="n">
        <v>300.032917</v>
      </c>
      <c r="Z3935" s="16" t="n">
        <v>-1.68602565410385</v>
      </c>
      <c r="AA3935" s="16" t="n">
        <v>-3.065053590586171</v>
      </c>
      <c r="AB3935" s="16" t="n">
        <v>2925.160669227084</v>
      </c>
      <c r="AC3935" s="16" t="n">
        <v>2.877785061277865</v>
      </c>
      <c r="AD3935" s="16" t="inlineStr">
        <is>
          <t>O3</t>
        </is>
      </c>
      <c r="AE3935" s="16" t="n"/>
    </row>
    <row r="3936">
      <c r="A3936" s="16" t="inlineStr">
        <is>
          <t>KF-M09-R1-x_b+T_sumidero-0002</t>
        </is>
      </c>
      <c r="B3936" s="16" t="inlineStr">
        <is>
          <t>4.3</t>
        </is>
      </c>
      <c r="C3936" s="16" t="inlineStr">
        <is>
          <t>4.3 x_b+T_sumidero</t>
        </is>
      </c>
      <c r="D3936" s="16" t="inlineStr">
        <is>
          <t>ronda 1</t>
        </is>
      </c>
      <c r="E3936" s="16" t="inlineStr">
        <is>
          <t>KF-M09</t>
        </is>
      </c>
      <c r="F3936" s="16" t="inlineStr">
        <is>
          <t>KF-M09-R1-x_b+T_sumidero</t>
        </is>
      </c>
      <c r="G3936" s="16" t="inlineStr">
        <is>
          <t>B13-x_b+T_sumidero</t>
        </is>
      </c>
      <c r="H3936" s="16" t="inlineStr">
        <is>
          <t>lhs</t>
        </is>
      </c>
      <c r="I3936" s="16" t="inlineStr">
        <is>
          <t>CORREGIBLE</t>
        </is>
      </c>
      <c r="J3936" s="16" t="inlineStr">
        <is>
          <t>CORREGIBLE</t>
        </is>
      </c>
      <c r="K3936" s="16" t="b">
        <v>1</v>
      </c>
      <c r="L3936" s="16" t="b">
        <v>0</v>
      </c>
      <c r="M3936" s="16" t="b">
        <v>1</v>
      </c>
      <c r="N3936" s="16" t="b">
        <v>0</v>
      </c>
      <c r="O3936" s="16" t="n">
        <v>483.6972328198878</v>
      </c>
      <c r="P3936" s="16" t="n">
        <v>300.032917</v>
      </c>
      <c r="Q3936" s="16" t="n">
        <v>4501.176548650125</v>
      </c>
      <c r="R3936" s="16" t="n">
        <v>946.5448935166784</v>
      </c>
      <c r="S3936" s="16" t="n">
        <v>0.5</v>
      </c>
      <c r="T3936" s="16" t="n">
        <v>0.9333271580941404</v>
      </c>
      <c r="U3936" s="16" t="n">
        <v>0.855395886014541</v>
      </c>
      <c r="V3936" s="16" t="n">
        <v>0.9260455005214132</v>
      </c>
      <c r="W3936" s="16" t="n">
        <v>0.6581638437743956</v>
      </c>
      <c r="X3936" s="16" t="n">
        <v>0.7450483476418783</v>
      </c>
      <c r="Y3936" s="16" t="n">
        <v>300.032917</v>
      </c>
      <c r="Z3936" s="16" t="n">
        <v>12.52201206672491</v>
      </c>
      <c r="AA3936" s="16" t="n">
        <v>173.3966491212574</v>
      </c>
      <c r="AB3936" s="16" t="n">
        <v>3554.631655133447</v>
      </c>
      <c r="AC3936" s="16" t="n">
        <v>4.755375660975782</v>
      </c>
      <c r="AD3936" s="16" t="inlineStr">
        <is>
          <t>O1,O2</t>
        </is>
      </c>
      <c r="AE3936" s="16" t="n"/>
    </row>
    <row r="3937">
      <c r="A3937" s="16" t="inlineStr">
        <is>
          <t>KF-M09-R1-x_b+T_sumidero-0003</t>
        </is>
      </c>
      <c r="B3937" s="16" t="inlineStr">
        <is>
          <t>4.3</t>
        </is>
      </c>
      <c r="C3937" s="16" t="inlineStr">
        <is>
          <t>4.3 x_b+T_sumidero</t>
        </is>
      </c>
      <c r="D3937" s="16" t="inlineStr">
        <is>
          <t>ronda 1</t>
        </is>
      </c>
      <c r="E3937" s="16" t="inlineStr">
        <is>
          <t>KF-M09</t>
        </is>
      </c>
      <c r="F3937" s="16" t="inlineStr">
        <is>
          <t>KF-M09-R1-x_b+T_sumidero</t>
        </is>
      </c>
      <c r="G3937" s="16" t="inlineStr">
        <is>
          <t>B13-x_b+T_sumidero</t>
        </is>
      </c>
      <c r="H3937" s="16" t="inlineStr">
        <is>
          <t>lhs</t>
        </is>
      </c>
      <c r="I3937" s="16" t="inlineStr">
        <is>
          <t>CORREGIBLE</t>
        </is>
      </c>
      <c r="J3937" s="16" t="inlineStr">
        <is>
          <t>CORREGIBLE</t>
        </is>
      </c>
      <c r="K3937" s="16" t="b">
        <v>1</v>
      </c>
      <c r="L3937" s="16" t="b">
        <v>0</v>
      </c>
      <c r="M3937" s="16" t="b">
        <v>1</v>
      </c>
      <c r="N3937" s="16" t="b">
        <v>0</v>
      </c>
      <c r="O3937" s="16" t="n">
        <v>491.1331942070914</v>
      </c>
      <c r="P3937" s="16" t="n">
        <v>300.032917</v>
      </c>
      <c r="Q3937" s="16" t="n">
        <v>2246.165756883972</v>
      </c>
      <c r="R3937" s="16" t="n">
        <v>1167.92239588485</v>
      </c>
      <c r="S3937" s="16" t="n">
        <v>0.5</v>
      </c>
      <c r="T3937" s="16" t="n">
        <v>0.8430803914876676</v>
      </c>
      <c r="U3937" s="16" t="n">
        <v>0.5138976091732076</v>
      </c>
      <c r="V3937" s="16" t="n">
        <v>0.6447073910468324</v>
      </c>
      <c r="W3937" s="16" t="n">
        <v>0.8507611285603653</v>
      </c>
      <c r="X3937" s="16" t="n">
        <v>0.5019028840218888</v>
      </c>
      <c r="Y3937" s="16" t="n">
        <v>300.032917</v>
      </c>
      <c r="Z3937" s="16" t="n">
        <v>0.38656361718868</v>
      </c>
      <c r="AA3937" s="16" t="n">
        <v>3.506071767815129</v>
      </c>
      <c r="AB3937" s="16" t="n">
        <v>1078.243360999122</v>
      </c>
      <c r="AC3937" s="16" t="n">
        <v>1.923214902632477</v>
      </c>
      <c r="AD3937" s="16" t="inlineStr">
        <is>
          <t>O2</t>
        </is>
      </c>
      <c r="AE3937" s="16" t="n"/>
    </row>
    <row r="3938">
      <c r="A3938" s="16" t="inlineStr">
        <is>
          <t>KF-M09-R1-x_b+T_sumidero-0004</t>
        </is>
      </c>
      <c r="B3938" s="16" t="inlineStr">
        <is>
          <t>4.3</t>
        </is>
      </c>
      <c r="C3938" s="16" t="inlineStr">
        <is>
          <t>4.3 x_b+T_sumidero</t>
        </is>
      </c>
      <c r="D3938" s="16" t="inlineStr">
        <is>
          <t>ronda 1</t>
        </is>
      </c>
      <c r="E3938" s="16" t="inlineStr">
        <is>
          <t>KF-M09</t>
        </is>
      </c>
      <c r="F3938" s="16" t="inlineStr">
        <is>
          <t>KF-M09-R1-x_b+T_sumidero</t>
        </is>
      </c>
      <c r="G3938" s="16" t="inlineStr">
        <is>
          <t>B13-x_b+T_sumidero</t>
        </is>
      </c>
      <c r="H3938" s="16" t="inlineStr">
        <is>
          <t>lhs</t>
        </is>
      </c>
      <c r="I3938" s="16" t="inlineStr">
        <is>
          <t>KALINA</t>
        </is>
      </c>
      <c r="J3938" s="16" t="inlineStr">
        <is>
          <t>KALINA</t>
        </is>
      </c>
      <c r="K3938" s="16" t="b">
        <v>1</v>
      </c>
      <c r="L3938" s="16" t="b">
        <v>1</v>
      </c>
      <c r="M3938" s="16" t="b">
        <v>0</v>
      </c>
      <c r="N3938" s="16" t="b">
        <v>0</v>
      </c>
      <c r="O3938" s="16" t="n">
        <v>390.1931772902353</v>
      </c>
      <c r="P3938" s="16" t="n">
        <v>300.032917</v>
      </c>
      <c r="Q3938" s="16" t="n">
        <v>2887.79739905441</v>
      </c>
      <c r="R3938" s="16" t="n">
        <v>1612.162423694701</v>
      </c>
      <c r="S3938" s="16" t="n">
        <v>0.5</v>
      </c>
      <c r="T3938" s="16" t="n">
        <v>0.798300631003218</v>
      </c>
      <c r="U3938" s="16" t="n">
        <v>0.6366465424109895</v>
      </c>
      <c r="V3938" s="16" t="n">
        <v>0.8487765247790813</v>
      </c>
      <c r="W3938" s="16" t="n">
        <v>0.5707245370279026</v>
      </c>
      <c r="X3938" s="16" t="n">
        <v>0.9270081039237308</v>
      </c>
      <c r="Y3938" s="16" t="n">
        <v>300.032917</v>
      </c>
      <c r="Z3938" s="16" t="n">
        <v>0.3847125224131399</v>
      </c>
      <c r="AA3938" s="16" t="n">
        <v>0.909371743975626</v>
      </c>
      <c r="AB3938" s="16" t="n">
        <v>1275.634975359709</v>
      </c>
      <c r="AC3938" s="16" t="n">
        <v>1.79125710698321</v>
      </c>
      <c r="AD3938" s="16" t="n"/>
      <c r="AE3938" s="16" t="n"/>
    </row>
    <row r="3939">
      <c r="A3939" s="16" t="inlineStr">
        <is>
          <t>KF-M09-R1-x_b+T_sumidero-0005</t>
        </is>
      </c>
      <c r="B3939" s="16" t="inlineStr">
        <is>
          <t>4.3</t>
        </is>
      </c>
      <c r="C3939" s="16" t="inlineStr">
        <is>
          <t>4.3 x_b+T_sumidero</t>
        </is>
      </c>
      <c r="D3939" s="16" t="inlineStr">
        <is>
          <t>ronda 1</t>
        </is>
      </c>
      <c r="E3939" s="16" t="inlineStr">
        <is>
          <t>KF-M09</t>
        </is>
      </c>
      <c r="F3939" s="16" t="inlineStr">
        <is>
          <t>KF-M09-R1-x_b+T_sumidero</t>
        </is>
      </c>
      <c r="G3939" s="16" t="inlineStr">
        <is>
          <t>B13-x_b+T_sumidero</t>
        </is>
      </c>
      <c r="H3939" s="16" t="inlineStr">
        <is>
          <t>lhs</t>
        </is>
      </c>
      <c r="I3939" s="16" t="inlineStr">
        <is>
          <t>CORREGIBLE</t>
        </is>
      </c>
      <c r="J3939" s="16" t="inlineStr">
        <is>
          <t>CORREGIBLE</t>
        </is>
      </c>
      <c r="K3939" s="16" t="b">
        <v>1</v>
      </c>
      <c r="L3939" s="16" t="b">
        <v>0</v>
      </c>
      <c r="M3939" s="16" t="b">
        <v>1</v>
      </c>
      <c r="N3939" s="16" t="b">
        <v>0</v>
      </c>
      <c r="O3939" s="16" t="n">
        <v>509.3162054836168</v>
      </c>
      <c r="P3939" s="16" t="n">
        <v>300.032917</v>
      </c>
      <c r="Q3939" s="16" t="n">
        <v>3713.78132028595</v>
      </c>
      <c r="R3939" s="16" t="n">
        <v>1518.859616816866</v>
      </c>
      <c r="S3939" s="16" t="n">
        <v>0.5</v>
      </c>
      <c r="T3939" s="16" t="n">
        <v>0.9036060495237472</v>
      </c>
      <c r="U3939" s="16" t="n">
        <v>0.6682594570166298</v>
      </c>
      <c r="V3939" s="16" t="n">
        <v>0.876918866131104</v>
      </c>
      <c r="W3939" s="16" t="n">
        <v>0.8672502927787392</v>
      </c>
      <c r="X3939" s="16" t="n">
        <v>0.6995712550525761</v>
      </c>
      <c r="Y3939" s="16" t="n">
        <v>300.032917</v>
      </c>
      <c r="Z3939" s="16" t="n">
        <v>6.61451810531764</v>
      </c>
      <c r="AA3939" s="16" t="n">
        <v>101.1320726626065</v>
      </c>
      <c r="AB3939" s="16" t="n">
        <v>2194.921703469084</v>
      </c>
      <c r="AC3939" s="16" t="n">
        <v>2.445111634522925</v>
      </c>
      <c r="AD3939" s="16" t="inlineStr">
        <is>
          <t>O2</t>
        </is>
      </c>
      <c r="AE3939" s="16" t="n"/>
    </row>
    <row r="3940">
      <c r="A3940" s="16" t="inlineStr">
        <is>
          <t>KF-M09-R1-x_b+T_sumidero-0006</t>
        </is>
      </c>
      <c r="B3940" s="16" t="inlineStr">
        <is>
          <t>4.3</t>
        </is>
      </c>
      <c r="C3940" s="16" t="inlineStr">
        <is>
          <t>4.3 x_b+T_sumidero</t>
        </is>
      </c>
      <c r="D3940" s="16" t="inlineStr">
        <is>
          <t>ronda 1</t>
        </is>
      </c>
      <c r="E3940" s="16" t="inlineStr">
        <is>
          <t>KF-M09</t>
        </is>
      </c>
      <c r="F3940" s="16" t="inlineStr">
        <is>
          <t>KF-M09-R1-x_b+T_sumidero</t>
        </is>
      </c>
      <c r="G3940" s="16" t="inlineStr">
        <is>
          <t>B13-x_b+T_sumidero</t>
        </is>
      </c>
      <c r="H3940" s="16" t="inlineStr">
        <is>
          <t>lhs</t>
        </is>
      </c>
      <c r="I3940" s="16" t="inlineStr">
        <is>
          <t>KALINA</t>
        </is>
      </c>
      <c r="J3940" s="16" t="inlineStr">
        <is>
          <t>KALINA</t>
        </is>
      </c>
      <c r="K3940" s="16" t="b">
        <v>1</v>
      </c>
      <c r="L3940" s="16" t="b">
        <v>0</v>
      </c>
      <c r="M3940" s="16" t="b">
        <v>1</v>
      </c>
      <c r="N3940" s="16" t="b">
        <v>0</v>
      </c>
      <c r="O3940" s="16" t="n">
        <v>428.9465673673254</v>
      </c>
      <c r="P3940" s="16" t="n">
        <v>300.032917</v>
      </c>
      <c r="Q3940" s="16" t="n">
        <v>3274.463034061931</v>
      </c>
      <c r="R3940" s="16" t="n">
        <v>1662.220150683911</v>
      </c>
      <c r="S3940" s="16" t="n">
        <v>0.5</v>
      </c>
      <c r="T3940" s="16" t="n">
        <v>0.4835007506909732</v>
      </c>
      <c r="U3940" s="16" t="n">
        <v>0.8208184660824334</v>
      </c>
      <c r="V3940" s="16" t="n">
        <v>0.9499338266048316</v>
      </c>
      <c r="W3940" s="16" t="n">
        <v>0.9303516725739932</v>
      </c>
      <c r="X3940" s="16" t="n">
        <v>0.7693182354010928</v>
      </c>
      <c r="Y3940" s="16" t="n">
        <v>300.032917</v>
      </c>
      <c r="Z3940" s="16" t="n">
        <v>2.81711916035403</v>
      </c>
      <c r="AA3940" s="16" t="n">
        <v>15.82289712804641</v>
      </c>
      <c r="AB3940" s="16" t="n">
        <v>1612.24288337802</v>
      </c>
      <c r="AC3940" s="16" t="n">
        <v>1.969933424711927</v>
      </c>
      <c r="AD3940" s="16" t="n"/>
      <c r="AE3940" s="16" t="n"/>
    </row>
    <row r="3941">
      <c r="A3941" s="16" t="inlineStr">
        <is>
          <t>KF-M09-R1-x_b+T_sumidero-0007</t>
        </is>
      </c>
      <c r="B3941" s="16" t="inlineStr">
        <is>
          <t>4.3</t>
        </is>
      </c>
      <c r="C3941" s="16" t="inlineStr">
        <is>
          <t>4.3 x_b+T_sumidero</t>
        </is>
      </c>
      <c r="D3941" s="16" t="inlineStr">
        <is>
          <t>ronda 1</t>
        </is>
      </c>
      <c r="E3941" s="16" t="inlineStr">
        <is>
          <t>KF-M09</t>
        </is>
      </c>
      <c r="F3941" s="16" t="inlineStr">
        <is>
          <t>KF-M09-R1-x_b+T_sumidero</t>
        </is>
      </c>
      <c r="G3941" s="16" t="inlineStr">
        <is>
          <t>B13-x_b+T_sumidero</t>
        </is>
      </c>
      <c r="H3941" s="16" t="inlineStr">
        <is>
          <t>lhs</t>
        </is>
      </c>
      <c r="I3941" s="16" t="inlineStr">
        <is>
          <t>NO_CONVERGIO</t>
        </is>
      </c>
      <c r="J3941" s="16" t="inlineStr">
        <is>
          <t>NO_CONVERGIO</t>
        </is>
      </c>
      <c r="K3941" s="16" t="b">
        <v>0</v>
      </c>
      <c r="L3941" s="16" t="b">
        <v>0</v>
      </c>
      <c r="M3941" s="16" t="b">
        <v>0</v>
      </c>
      <c r="N3941" s="16" t="b">
        <v>0</v>
      </c>
      <c r="O3941" s="16" t="n">
        <v>401.4700152944767</v>
      </c>
      <c r="P3941" s="16" t="n">
        <v>300.032917</v>
      </c>
      <c r="Q3941" s="16" t="n">
        <v>4845.135146864311</v>
      </c>
      <c r="R3941" s="16" t="n">
        <v>1006.498711971555</v>
      </c>
      <c r="S3941" s="16" t="n">
        <v>0.5</v>
      </c>
      <c r="T3941" s="16" t="n">
        <v>0.4267412560742682</v>
      </c>
      <c r="U3941" s="16" t="n">
        <v>0.4833398392466831</v>
      </c>
      <c r="V3941" s="16" t="n">
        <v>0.5883815025154642</v>
      </c>
      <c r="W3941" s="16" t="n">
        <v>0.5048962533925593</v>
      </c>
      <c r="X3941" s="16" t="n">
        <v>0.5145881898465203</v>
      </c>
      <c r="Y3941" s="16" t="n">
        <v>300.032917</v>
      </c>
      <c r="Z3941" s="16" t="n"/>
      <c r="AA3941" s="16" t="n"/>
      <c r="AB3941" s="16" t="n">
        <v>3838.636434892756</v>
      </c>
      <c r="AC3941" s="16" t="n">
        <v>4.813851313702666</v>
      </c>
      <c r="AD3941" s="16" t="n"/>
      <c r="AE3941" s="16" t="n"/>
    </row>
    <row r="3942">
      <c r="A3942" s="16" t="inlineStr">
        <is>
          <t>KF-M09-R1-x_b+T_sumidero-0008</t>
        </is>
      </c>
      <c r="B3942" s="16" t="inlineStr">
        <is>
          <t>4.3</t>
        </is>
      </c>
      <c r="C3942" s="16" t="inlineStr">
        <is>
          <t>4.3 x_b+T_sumidero</t>
        </is>
      </c>
      <c r="D3942" s="16" t="inlineStr">
        <is>
          <t>ronda 1</t>
        </is>
      </c>
      <c r="E3942" s="16" t="inlineStr">
        <is>
          <t>KF-M09</t>
        </is>
      </c>
      <c r="F3942" s="16" t="inlineStr">
        <is>
          <t>KF-M09-R1-x_b+T_sumidero</t>
        </is>
      </c>
      <c r="G3942" s="16" t="inlineStr">
        <is>
          <t>B13-x_b+T_sumidero</t>
        </is>
      </c>
      <c r="H3942" s="16" t="inlineStr">
        <is>
          <t>lhs</t>
        </is>
      </c>
      <c r="I3942" s="16" t="inlineStr">
        <is>
          <t>CORREGIBLE</t>
        </is>
      </c>
      <c r="J3942" s="16" t="inlineStr">
        <is>
          <t>CORREGIBLE</t>
        </is>
      </c>
      <c r="K3942" s="16" t="b">
        <v>1</v>
      </c>
      <c r="L3942" s="16" t="b">
        <v>0</v>
      </c>
      <c r="M3942" s="16" t="b">
        <v>1</v>
      </c>
      <c r="N3942" s="16" t="b">
        <v>0</v>
      </c>
      <c r="O3942" s="16" t="n">
        <v>473.156088339952</v>
      </c>
      <c r="P3942" s="16" t="n">
        <v>300.032917</v>
      </c>
      <c r="Q3942" s="16" t="n">
        <v>4342.455109838415</v>
      </c>
      <c r="R3942" s="16" t="n">
        <v>1789.442453228495</v>
      </c>
      <c r="S3942" s="16" t="n">
        <v>0.5</v>
      </c>
      <c r="T3942" s="16" t="n">
        <v>0.9277066400823656</v>
      </c>
      <c r="U3942" s="16" t="n">
        <v>0.9313994190736036</v>
      </c>
      <c r="V3942" s="16" t="n">
        <v>0.7383001067307378</v>
      </c>
      <c r="W3942" s="16" t="n">
        <v>0.4870422994198534</v>
      </c>
      <c r="X3942" s="16" t="n">
        <v>0.4148265181616574</v>
      </c>
      <c r="Y3942" s="16" t="n">
        <v>300.032917</v>
      </c>
      <c r="Z3942" s="16" t="n">
        <v>6.29285749026781</v>
      </c>
      <c r="AA3942" s="16" t="n">
        <v>38.27827603631169</v>
      </c>
      <c r="AB3942" s="16" t="n">
        <v>2553.012656609921</v>
      </c>
      <c r="AC3942" s="16" t="n">
        <v>2.426708443182288</v>
      </c>
      <c r="AD3942" s="16" t="inlineStr">
        <is>
          <t>O2</t>
        </is>
      </c>
      <c r="AE3942" s="16" t="n"/>
    </row>
    <row r="3943">
      <c r="A3943" s="16" t="inlineStr">
        <is>
          <t>KF-M09-R1-x_b+T_sumidero-0009</t>
        </is>
      </c>
      <c r="B3943" s="16" t="inlineStr">
        <is>
          <t>4.3</t>
        </is>
      </c>
      <c r="C3943" s="16" t="inlineStr">
        <is>
          <t>4.3 x_b+T_sumidero</t>
        </is>
      </c>
      <c r="D3943" s="16" t="inlineStr">
        <is>
          <t>ronda 1</t>
        </is>
      </c>
      <c r="E3943" s="16" t="inlineStr">
        <is>
          <t>KF-M09</t>
        </is>
      </c>
      <c r="F3943" s="16" t="inlineStr">
        <is>
          <t>KF-M09-R1-x_b+T_sumidero</t>
        </is>
      </c>
      <c r="G3943" s="16" t="inlineStr">
        <is>
          <t>B13-x_b+T_sumidero</t>
        </is>
      </c>
      <c r="H3943" s="16" t="inlineStr">
        <is>
          <t>lhs</t>
        </is>
      </c>
      <c r="I3943" s="16" t="inlineStr">
        <is>
          <t>CORREGIBLE</t>
        </is>
      </c>
      <c r="J3943" s="16" t="inlineStr">
        <is>
          <t>CORREGIBLE</t>
        </is>
      </c>
      <c r="K3943" s="16" t="b">
        <v>1</v>
      </c>
      <c r="L3943" s="16" t="b">
        <v>0</v>
      </c>
      <c r="M3943" s="16" t="b">
        <v>1</v>
      </c>
      <c r="N3943" s="16" t="b">
        <v>0</v>
      </c>
      <c r="O3943" s="16" t="n">
        <v>519.7955651428274</v>
      </c>
      <c r="P3943" s="16" t="n">
        <v>300.032917</v>
      </c>
      <c r="Q3943" s="16" t="n">
        <v>3669.255029661136</v>
      </c>
      <c r="R3943" s="16" t="n">
        <v>440.5690512822786</v>
      </c>
      <c r="S3943" s="16" t="n">
        <v>0.5</v>
      </c>
      <c r="T3943" s="16" t="n">
        <v>0.7704292772712488</v>
      </c>
      <c r="U3943" s="16" t="n">
        <v>0.6795307087943074</v>
      </c>
      <c r="V3943" s="16" t="n">
        <v>0.4882929762612564</v>
      </c>
      <c r="W3943" s="16" t="n">
        <v>0.8132007058158253</v>
      </c>
      <c r="X3943" s="16" t="n">
        <v>0.5835036240316547</v>
      </c>
      <c r="Y3943" s="16" t="n">
        <v>300.032917</v>
      </c>
      <c r="Z3943" s="16" t="n">
        <v>7.407990171256849</v>
      </c>
      <c r="AA3943" s="16" t="n">
        <v>61.78389386023463</v>
      </c>
      <c r="AB3943" s="16" t="n">
        <v>3228.685978378858</v>
      </c>
      <c r="AC3943" s="16" t="n">
        <v>8.328444812411925</v>
      </c>
      <c r="AD3943" s="16" t="inlineStr">
        <is>
          <t>O2</t>
        </is>
      </c>
      <c r="AE3943" s="16" t="n"/>
    </row>
    <row r="3944">
      <c r="A3944" s="16" t="inlineStr">
        <is>
          <t>KF-M09-R1-x_b+T_sumidero-0010</t>
        </is>
      </c>
      <c r="B3944" s="16" t="inlineStr">
        <is>
          <t>4.3</t>
        </is>
      </c>
      <c r="C3944" s="16" t="inlineStr">
        <is>
          <t>4.3 x_b+T_sumidero</t>
        </is>
      </c>
      <c r="D3944" s="16" t="inlineStr">
        <is>
          <t>ronda 1</t>
        </is>
      </c>
      <c r="E3944" s="16" t="inlineStr">
        <is>
          <t>KF-M09</t>
        </is>
      </c>
      <c r="F3944" s="16" t="inlineStr">
        <is>
          <t>KF-M09-R1-x_b+T_sumidero</t>
        </is>
      </c>
      <c r="G3944" s="16" t="inlineStr">
        <is>
          <t>B13-x_b+T_sumidero</t>
        </is>
      </c>
      <c r="H3944" s="16" t="inlineStr">
        <is>
          <t>lhs</t>
        </is>
      </c>
      <c r="I3944" s="16" t="inlineStr">
        <is>
          <t>KALINA</t>
        </is>
      </c>
      <c r="J3944" s="16" t="inlineStr">
        <is>
          <t>KALINA</t>
        </is>
      </c>
      <c r="K3944" s="16" t="b">
        <v>1</v>
      </c>
      <c r="L3944" s="16" t="b">
        <v>1</v>
      </c>
      <c r="M3944" s="16" t="b">
        <v>0</v>
      </c>
      <c r="N3944" s="16" t="b">
        <v>0</v>
      </c>
      <c r="O3944" s="16" t="n">
        <v>396.9924424433893</v>
      </c>
      <c r="P3944" s="16" t="n">
        <v>300.032917</v>
      </c>
      <c r="Q3944" s="16" t="n">
        <v>2760.815241782754</v>
      </c>
      <c r="R3944" s="16" t="n">
        <v>522.4839762936363</v>
      </c>
      <c r="S3944" s="16" t="n">
        <v>0.5</v>
      </c>
      <c r="T3944" s="16" t="n">
        <v>0.5785882590837536</v>
      </c>
      <c r="U3944" s="16" t="n">
        <v>0.5500611900497139</v>
      </c>
      <c r="V3944" s="16" t="n">
        <v>0.6137697174247638</v>
      </c>
      <c r="W3944" s="16" t="n">
        <v>0.5241400397999531</v>
      </c>
      <c r="X3944" s="16" t="n">
        <v>0.8928527238877559</v>
      </c>
      <c r="Y3944" s="16" t="n">
        <v>300.032917</v>
      </c>
      <c r="Z3944" s="16" t="n">
        <v>1.27238147667425</v>
      </c>
      <c r="AA3944" s="16" t="n">
        <v>3.334265542832602</v>
      </c>
      <c r="AB3944" s="16" t="n">
        <v>2238.331265489117</v>
      </c>
      <c r="AC3944" s="16" t="n">
        <v>5.284018969093081</v>
      </c>
      <c r="AD3944" s="16" t="n"/>
      <c r="AE3944" s="16" t="n"/>
    </row>
    <row r="3945">
      <c r="A3945" s="16" t="inlineStr">
        <is>
          <t>KF-M09-R1-x_b+T_sumidero-0011</t>
        </is>
      </c>
      <c r="B3945" s="16" t="inlineStr">
        <is>
          <t>4.3</t>
        </is>
      </c>
      <c r="C3945" s="16" t="inlineStr">
        <is>
          <t>4.3 x_b+T_sumidero</t>
        </is>
      </c>
      <c r="D3945" s="16" t="inlineStr">
        <is>
          <t>ronda 1</t>
        </is>
      </c>
      <c r="E3945" s="16" t="inlineStr">
        <is>
          <t>KF-M09</t>
        </is>
      </c>
      <c r="F3945" s="16" t="inlineStr">
        <is>
          <t>KF-M09-R1-x_b+T_sumidero</t>
        </is>
      </c>
      <c r="G3945" s="16" t="inlineStr">
        <is>
          <t>B13-x_b+T_sumidero</t>
        </is>
      </c>
      <c r="H3945" s="16" t="inlineStr">
        <is>
          <t>lhs</t>
        </is>
      </c>
      <c r="I3945" s="16" t="inlineStr">
        <is>
          <t>INVIABLE</t>
        </is>
      </c>
      <c r="J3945" s="16" t="inlineStr">
        <is>
          <t>INVIABLE</t>
        </is>
      </c>
      <c r="K3945" s="16" t="b">
        <v>1</v>
      </c>
      <c r="L3945" s="16" t="b">
        <v>0</v>
      </c>
      <c r="M3945" s="16" t="b">
        <v>1</v>
      </c>
      <c r="N3945" s="16" t="b">
        <v>0</v>
      </c>
      <c r="O3945" s="16" t="n">
        <v>476.6552073436662</v>
      </c>
      <c r="P3945" s="16" t="n">
        <v>300.032917</v>
      </c>
      <c r="Q3945" s="16" t="n">
        <v>2196.411286527953</v>
      </c>
      <c r="R3945" s="16" t="n">
        <v>544.0661390838823</v>
      </c>
      <c r="S3945" s="16" t="n">
        <v>0.5</v>
      </c>
      <c r="T3945" s="16" t="n">
        <v>0.5999054530049659</v>
      </c>
      <c r="U3945" s="16" t="n">
        <v>0.4137812335925683</v>
      </c>
      <c r="V3945" s="16" t="n">
        <v>0.5530550882077215</v>
      </c>
      <c r="W3945" s="16" t="n">
        <v>0.7221458438474049</v>
      </c>
      <c r="X3945" s="16" t="n">
        <v>0.477607293170716</v>
      </c>
      <c r="Y3945" s="16" t="n">
        <v>300.032917</v>
      </c>
      <c r="Z3945" s="16" t="n">
        <v>-15.74773422853185</v>
      </c>
      <c r="AA3945" s="16" t="n">
        <v>-109.1625136328259</v>
      </c>
      <c r="AB3945" s="16" t="n">
        <v>1652.34514744407</v>
      </c>
      <c r="AC3945" s="16" t="n">
        <v>4.037029928431767</v>
      </c>
      <c r="AD3945" s="16" t="inlineStr">
        <is>
          <t>O2,O3</t>
        </is>
      </c>
      <c r="AE3945" s="16" t="n"/>
    </row>
    <row r="3946">
      <c r="A3946" s="16" t="inlineStr">
        <is>
          <t>KF-M09-R1-x_b+T_sumidero-0012</t>
        </is>
      </c>
      <c r="B3946" s="16" t="inlineStr">
        <is>
          <t>4.3</t>
        </is>
      </c>
      <c r="C3946" s="16" t="inlineStr">
        <is>
          <t>4.3 x_b+T_sumidero</t>
        </is>
      </c>
      <c r="D3946" s="16" t="inlineStr">
        <is>
          <t>ronda 1</t>
        </is>
      </c>
      <c r="E3946" s="16" t="inlineStr">
        <is>
          <t>KF-M09</t>
        </is>
      </c>
      <c r="F3946" s="16" t="inlineStr">
        <is>
          <t>KF-M09-R1-x_b+T_sumidero</t>
        </is>
      </c>
      <c r="G3946" s="16" t="inlineStr">
        <is>
          <t>B13-x_b+T_sumidero</t>
        </is>
      </c>
      <c r="H3946" s="16" t="inlineStr">
        <is>
          <t>lhs</t>
        </is>
      </c>
      <c r="I3946" s="16" t="inlineStr">
        <is>
          <t>KALINA</t>
        </is>
      </c>
      <c r="J3946" s="16" t="inlineStr">
        <is>
          <t>KALINA</t>
        </is>
      </c>
      <c r="K3946" s="16" t="b">
        <v>1</v>
      </c>
      <c r="L3946" s="16" t="b">
        <v>0</v>
      </c>
      <c r="M3946" s="16" t="b">
        <v>1</v>
      </c>
      <c r="N3946" s="16" t="b">
        <v>0</v>
      </c>
      <c r="O3946" s="16" t="n">
        <v>496.3873941663754</v>
      </c>
      <c r="P3946" s="16" t="n">
        <v>300.032917</v>
      </c>
      <c r="Q3946" s="16" t="n">
        <v>4210.502679154588</v>
      </c>
      <c r="R3946" s="16" t="n">
        <v>1280.724750375305</v>
      </c>
      <c r="S3946" s="16" t="n">
        <v>0.5</v>
      </c>
      <c r="T3946" s="16" t="n">
        <v>0.8659210882355555</v>
      </c>
      <c r="U3946" s="16" t="n">
        <v>0.4279122184338478</v>
      </c>
      <c r="V3946" s="16" t="n">
        <v>0.6788068759337641</v>
      </c>
      <c r="W3946" s="16" t="n">
        <v>0.6109141371904161</v>
      </c>
      <c r="X3946" s="16" t="n">
        <v>0.9041869519695483</v>
      </c>
      <c r="Y3946" s="16" t="n">
        <v>300.032917</v>
      </c>
      <c r="Z3946" s="16" t="n">
        <v>8.036257890449521</v>
      </c>
      <c r="AA3946" s="16" t="n">
        <v>113.0615173473832</v>
      </c>
      <c r="AB3946" s="16" t="n">
        <v>2929.777928779283</v>
      </c>
      <c r="AC3946" s="16" t="n">
        <v>3.287593745588767</v>
      </c>
      <c r="AD3946" s="16" t="n"/>
      <c r="AE3946" s="16" t="n"/>
    </row>
    <row r="3947">
      <c r="A3947" s="16" t="inlineStr">
        <is>
          <t>KF-M09-R1-x_b+T_sumidero-0013</t>
        </is>
      </c>
      <c r="B3947" s="16" t="inlineStr">
        <is>
          <t>4.3</t>
        </is>
      </c>
      <c r="C3947" s="16" t="inlineStr">
        <is>
          <t>4.3 x_b+T_sumidero</t>
        </is>
      </c>
      <c r="D3947" s="16" t="inlineStr">
        <is>
          <t>ronda 1</t>
        </is>
      </c>
      <c r="E3947" s="16" t="inlineStr">
        <is>
          <t>KF-M09</t>
        </is>
      </c>
      <c r="F3947" s="16" t="inlineStr">
        <is>
          <t>KF-M09-R1-x_b+T_sumidero</t>
        </is>
      </c>
      <c r="G3947" s="16" t="inlineStr">
        <is>
          <t>B13-x_b+T_sumidero</t>
        </is>
      </c>
      <c r="H3947" s="16" t="inlineStr">
        <is>
          <t>lhs</t>
        </is>
      </c>
      <c r="I3947" s="16" t="inlineStr">
        <is>
          <t>KALINA</t>
        </is>
      </c>
      <c r="J3947" s="16" t="inlineStr">
        <is>
          <t>KALINA</t>
        </is>
      </c>
      <c r="K3947" s="16" t="b">
        <v>1</v>
      </c>
      <c r="L3947" s="16" t="b">
        <v>1</v>
      </c>
      <c r="M3947" s="16" t="b">
        <v>0</v>
      </c>
      <c r="N3947" s="16" t="b">
        <v>0</v>
      </c>
      <c r="O3947" s="16" t="n">
        <v>445.0899016564941</v>
      </c>
      <c r="P3947" s="16" t="n">
        <v>300.032917</v>
      </c>
      <c r="Q3947" s="16" t="n">
        <v>3990.481090263972</v>
      </c>
      <c r="R3947" s="16" t="n">
        <v>1410.358458684606</v>
      </c>
      <c r="S3947" s="16" t="n">
        <v>0.5</v>
      </c>
      <c r="T3947" s="16" t="n">
        <v>0.5048445098417662</v>
      </c>
      <c r="U3947" s="16" t="n">
        <v>0.7719547449760928</v>
      </c>
      <c r="V3947" s="16" t="n">
        <v>0.5140668837599788</v>
      </c>
      <c r="W3947" s="16" t="n">
        <v>0.5394950696827576</v>
      </c>
      <c r="X3947" s="16" t="n">
        <v>0.8278785712052065</v>
      </c>
      <c r="Y3947" s="16" t="n">
        <v>300.032917</v>
      </c>
      <c r="Z3947" s="16" t="n">
        <v>2.15492378517039</v>
      </c>
      <c r="AA3947" s="16" t="n">
        <v>9.587587516305554</v>
      </c>
      <c r="AB3947" s="16" t="n">
        <v>2580.122631579366</v>
      </c>
      <c r="AC3947" s="16" t="n">
        <v>2.829409123398147</v>
      </c>
      <c r="AD3947" s="16" t="n"/>
      <c r="AE3947" s="16" t="n"/>
    </row>
    <row r="3948">
      <c r="A3948" s="16" t="inlineStr">
        <is>
          <t>KF-M09-R1-x_b+T_sumidero-0014</t>
        </is>
      </c>
      <c r="B3948" s="16" t="inlineStr">
        <is>
          <t>4.3</t>
        </is>
      </c>
      <c r="C3948" s="16" t="inlineStr">
        <is>
          <t>4.3 x_b+T_sumidero</t>
        </is>
      </c>
      <c r="D3948" s="16" t="inlineStr">
        <is>
          <t>ronda 1</t>
        </is>
      </c>
      <c r="E3948" s="16" t="inlineStr">
        <is>
          <t>KF-M09</t>
        </is>
      </c>
      <c r="F3948" s="16" t="inlineStr">
        <is>
          <t>KF-M09-R1-x_b+T_sumidero</t>
        </is>
      </c>
      <c r="G3948" s="16" t="inlineStr">
        <is>
          <t>B13-x_b+T_sumidero</t>
        </is>
      </c>
      <c r="H3948" s="16" t="inlineStr">
        <is>
          <t>lhs</t>
        </is>
      </c>
      <c r="I3948" s="16" t="inlineStr">
        <is>
          <t>CORREGIBLE</t>
        </is>
      </c>
      <c r="J3948" s="16" t="inlineStr">
        <is>
          <t>CORREGIBLE</t>
        </is>
      </c>
      <c r="K3948" s="16" t="b">
        <v>1</v>
      </c>
      <c r="L3948" s="16" t="b">
        <v>0</v>
      </c>
      <c r="M3948" s="16" t="b">
        <v>0</v>
      </c>
      <c r="N3948" s="16" t="b">
        <v>0</v>
      </c>
      <c r="O3948" s="16" t="n">
        <v>414.8387292290702</v>
      </c>
      <c r="P3948" s="16" t="n">
        <v>300.032917</v>
      </c>
      <c r="Q3948" s="16" t="n">
        <v>2695.387689718927</v>
      </c>
      <c r="R3948" s="16" t="n">
        <v>1143.639288864886</v>
      </c>
      <c r="S3948" s="16" t="n">
        <v>0.5</v>
      </c>
      <c r="T3948" s="16" t="n">
        <v>0.5249847976223784</v>
      </c>
      <c r="U3948" s="16" t="n">
        <v>0.6400117665635683</v>
      </c>
      <c r="V3948" s="16" t="n">
        <v>0.4689131807982173</v>
      </c>
      <c r="W3948" s="16" t="n">
        <v>0.7580757413296602</v>
      </c>
      <c r="X3948" s="16" t="n">
        <v>0.5670567556660446</v>
      </c>
      <c r="Y3948" s="16" t="n">
        <v>300.032917</v>
      </c>
      <c r="Z3948" s="16" t="n">
        <v>2.80119270490943</v>
      </c>
      <c r="AA3948" s="16" t="n">
        <v>7.398889517881566</v>
      </c>
      <c r="AB3948" s="16" t="n">
        <v>1551.748400854041</v>
      </c>
      <c r="AC3948" s="16" t="n">
        <v>2.356851251931212</v>
      </c>
      <c r="AD3948" s="16" t="inlineStr">
        <is>
          <t>O2</t>
        </is>
      </c>
      <c r="AE3948" s="16" t="n"/>
    </row>
    <row r="3949">
      <c r="A3949" s="16" t="inlineStr">
        <is>
          <t>KF-M09-R1-x_b+T_sumidero-0015</t>
        </is>
      </c>
      <c r="B3949" s="16" t="inlineStr">
        <is>
          <t>4.3</t>
        </is>
      </c>
      <c r="C3949" s="16" t="inlineStr">
        <is>
          <t>4.3 x_b+T_sumidero</t>
        </is>
      </c>
      <c r="D3949" s="16" t="inlineStr">
        <is>
          <t>ronda 1</t>
        </is>
      </c>
      <c r="E3949" s="16" t="inlineStr">
        <is>
          <t>KF-M09</t>
        </is>
      </c>
      <c r="F3949" s="16" t="inlineStr">
        <is>
          <t>KF-M09-R1-x_b+T_sumidero</t>
        </is>
      </c>
      <c r="G3949" s="16" t="inlineStr">
        <is>
          <t>B13-x_b+T_sumidero</t>
        </is>
      </c>
      <c r="H3949" s="16" t="inlineStr">
        <is>
          <t>lhs</t>
        </is>
      </c>
      <c r="I3949" s="16" t="inlineStr">
        <is>
          <t>KALINA</t>
        </is>
      </c>
      <c r="J3949" s="16" t="inlineStr">
        <is>
          <t>KALINA</t>
        </is>
      </c>
      <c r="K3949" s="16" t="b">
        <v>1</v>
      </c>
      <c r="L3949" s="16" t="b">
        <v>1</v>
      </c>
      <c r="M3949" s="16" t="b">
        <v>0</v>
      </c>
      <c r="N3949" s="16" t="b">
        <v>0</v>
      </c>
      <c r="O3949" s="16" t="n">
        <v>432.2499076872291</v>
      </c>
      <c r="P3949" s="16" t="n">
        <v>300.032917</v>
      </c>
      <c r="Q3949" s="16" t="n">
        <v>2423.954369101593</v>
      </c>
      <c r="R3949" s="16" t="n">
        <v>734.8909794561439</v>
      </c>
      <c r="S3949" s="16" t="n">
        <v>0.5</v>
      </c>
      <c r="T3949" s="16" t="n">
        <v>0.8050549994229316</v>
      </c>
      <c r="U3949" s="16" t="n">
        <v>0.4672072082978289</v>
      </c>
      <c r="V3949" s="16" t="n">
        <v>0.714065295106538</v>
      </c>
      <c r="W3949" s="16" t="n">
        <v>0.7915656730913605</v>
      </c>
      <c r="X3949" s="16" t="n">
        <v>0.8708852872693518</v>
      </c>
      <c r="Y3949" s="16" t="n">
        <v>300.032917</v>
      </c>
      <c r="Z3949" s="16" t="n">
        <v>7.747058997255871</v>
      </c>
      <c r="AA3949" s="16" t="n">
        <v>53.76664543363297</v>
      </c>
      <c r="AB3949" s="16" t="n">
        <v>1689.063389645449</v>
      </c>
      <c r="AC3949" s="16" t="n">
        <v>3.298386341461751</v>
      </c>
      <c r="AD3949" s="16" t="n"/>
      <c r="AE3949" s="16" t="n"/>
    </row>
    <row r="3950">
      <c r="A3950" s="16" t="inlineStr">
        <is>
          <t>KF-M09-R1-x_b+T_sumidero-0016</t>
        </is>
      </c>
      <c r="B3950" s="16" t="inlineStr">
        <is>
          <t>4.3</t>
        </is>
      </c>
      <c r="C3950" s="16" t="inlineStr">
        <is>
          <t>4.3 x_b+T_sumidero</t>
        </is>
      </c>
      <c r="D3950" s="16" t="inlineStr">
        <is>
          <t>ronda 1</t>
        </is>
      </c>
      <c r="E3950" s="16" t="inlineStr">
        <is>
          <t>KF-M09</t>
        </is>
      </c>
      <c r="F3950" s="16" t="inlineStr">
        <is>
          <t>KF-M09-R1-x_b+T_sumidero</t>
        </is>
      </c>
      <c r="G3950" s="16" t="inlineStr">
        <is>
          <t>B13-x_b+T_sumidero</t>
        </is>
      </c>
      <c r="H3950" s="16" t="inlineStr">
        <is>
          <t>lhs</t>
        </is>
      </c>
      <c r="I3950" s="16" t="inlineStr">
        <is>
          <t>N2</t>
        </is>
      </c>
      <c r="J3950" s="16" t="inlineStr">
        <is>
          <t>NO_CONVERGIO</t>
        </is>
      </c>
      <c r="K3950" s="16" t="b">
        <v>0</v>
      </c>
      <c r="L3950" s="16" t="b">
        <v>0</v>
      </c>
      <c r="M3950" s="16" t="b">
        <v>0</v>
      </c>
      <c r="N3950" s="16" t="b">
        <v>0</v>
      </c>
      <c r="O3950" s="16" t="n">
        <v>386.7185884231602</v>
      </c>
      <c r="P3950" s="16" t="n">
        <v>300.032917</v>
      </c>
      <c r="Q3950" s="16" t="n">
        <v>3027.925706310089</v>
      </c>
      <c r="R3950" s="16" t="n">
        <v>1465.157564017887</v>
      </c>
      <c r="S3950" s="16" t="n">
        <v>0.5</v>
      </c>
      <c r="T3950" s="16" t="n">
        <v>0.7041006194044714</v>
      </c>
      <c r="U3950" s="16" t="n">
        <v>0.8983827581451518</v>
      </c>
      <c r="V3950" s="16" t="n">
        <v>0.5816037631971903</v>
      </c>
      <c r="W3950" s="16" t="n">
        <v>0.7375766178961789</v>
      </c>
      <c r="X3950" s="16" t="n">
        <v>0.7544552131196958</v>
      </c>
      <c r="Y3950" s="16" t="n">
        <v>300.032917</v>
      </c>
      <c r="Z3950" s="16" t="n">
        <v>-14.10472866577215</v>
      </c>
      <c r="AA3950" s="16" t="n">
        <v>-9.804127296046149</v>
      </c>
      <c r="AB3950" s="16" t="n">
        <v>1562.768142292202</v>
      </c>
      <c r="AC3950" s="16" t="n">
        <v>2.066621215814249</v>
      </c>
      <c r="AD3950" s="16" t="inlineStr">
        <is>
          <t>N2,S6,O3,O5,C1,C3,C3</t>
        </is>
      </c>
      <c r="AE3950" s="16" t="n"/>
    </row>
    <row r="3951">
      <c r="A3951" s="16" t="inlineStr">
        <is>
          <t>KF-M09-R1-x_b+T_sumidero-0017</t>
        </is>
      </c>
      <c r="B3951" s="16" t="inlineStr">
        <is>
          <t>4.3</t>
        </is>
      </c>
      <c r="C3951" s="16" t="inlineStr">
        <is>
          <t>4.3 x_b+T_sumidero</t>
        </is>
      </c>
      <c r="D3951" s="16" t="inlineStr">
        <is>
          <t>ronda 1</t>
        </is>
      </c>
      <c r="E3951" s="16" t="inlineStr">
        <is>
          <t>KF-M09</t>
        </is>
      </c>
      <c r="F3951" s="16" t="inlineStr">
        <is>
          <t>KF-M09-R1-x_b+T_sumidero</t>
        </is>
      </c>
      <c r="G3951" s="16" t="inlineStr">
        <is>
          <t>B13-x_b+T_sumidero</t>
        </is>
      </c>
      <c r="H3951" s="16" t="inlineStr">
        <is>
          <t>lhs</t>
        </is>
      </c>
      <c r="I3951" s="16" t="inlineStr">
        <is>
          <t>CORREGIBLE</t>
        </is>
      </c>
      <c r="J3951" s="16" t="inlineStr">
        <is>
          <t>CORREGIBLE</t>
        </is>
      </c>
      <c r="K3951" s="16" t="b">
        <v>1</v>
      </c>
      <c r="L3951" s="16" t="b">
        <v>0</v>
      </c>
      <c r="M3951" s="16" t="b">
        <v>1</v>
      </c>
      <c r="N3951" s="16" t="b">
        <v>0</v>
      </c>
      <c r="O3951" s="16" t="n">
        <v>514.1715305351072</v>
      </c>
      <c r="P3951" s="16" t="n">
        <v>300.032917</v>
      </c>
      <c r="Q3951" s="16" t="n">
        <v>2399.921365754267</v>
      </c>
      <c r="R3951" s="16" t="n">
        <v>588.7545238103368</v>
      </c>
      <c r="S3951" s="16" t="n">
        <v>0.5</v>
      </c>
      <c r="T3951" s="16" t="n">
        <v>0.4019112814426832</v>
      </c>
      <c r="U3951" s="16" t="n">
        <v>0.7020607371528425</v>
      </c>
      <c r="V3951" s="16" t="n">
        <v>0.8308974121241348</v>
      </c>
      <c r="W3951" s="16" t="n">
        <v>0.8329136338234655</v>
      </c>
      <c r="X3951" s="16" t="n">
        <v>0.6811112589832107</v>
      </c>
      <c r="Y3951" s="16" t="n">
        <v>300.032917</v>
      </c>
      <c r="Z3951" s="16" t="n">
        <v>0.3993147430190299</v>
      </c>
      <c r="AA3951" s="16" t="n">
        <v>5.654228621543851</v>
      </c>
      <c r="AB3951" s="16" t="n">
        <v>1811.16684194393</v>
      </c>
      <c r="AC3951" s="16" t="n">
        <v>4.076268238623989</v>
      </c>
      <c r="AD3951" s="16" t="inlineStr">
        <is>
          <t>O2</t>
        </is>
      </c>
      <c r="AE3951" s="16" t="n"/>
    </row>
    <row r="3952">
      <c r="A3952" s="16" t="inlineStr">
        <is>
          <t>KF-M09-R1-x_b+T_sumidero-0018</t>
        </is>
      </c>
      <c r="B3952" s="16" t="inlineStr">
        <is>
          <t>4.3</t>
        </is>
      </c>
      <c r="C3952" s="16" t="inlineStr">
        <is>
          <t>4.3 x_b+T_sumidero</t>
        </is>
      </c>
      <c r="D3952" s="16" t="inlineStr">
        <is>
          <t>ronda 1</t>
        </is>
      </c>
      <c r="E3952" s="16" t="inlineStr">
        <is>
          <t>KF-M09</t>
        </is>
      </c>
      <c r="F3952" s="16" t="inlineStr">
        <is>
          <t>KF-M09-R1-x_b+T_sumidero</t>
        </is>
      </c>
      <c r="G3952" s="16" t="inlineStr">
        <is>
          <t>B13-x_b+T_sumidero</t>
        </is>
      </c>
      <c r="H3952" s="16" t="inlineStr">
        <is>
          <t>lhs</t>
        </is>
      </c>
      <c r="I3952" s="16" t="inlineStr">
        <is>
          <t>CORREGIBLE</t>
        </is>
      </c>
      <c r="J3952" s="16" t="inlineStr">
        <is>
          <t>CORREGIBLE</t>
        </is>
      </c>
      <c r="K3952" s="16" t="b">
        <v>1</v>
      </c>
      <c r="L3952" s="16" t="b">
        <v>0</v>
      </c>
      <c r="M3952" s="16" t="b">
        <v>1</v>
      </c>
      <c r="N3952" s="16" t="b">
        <v>0</v>
      </c>
      <c r="O3952" s="16" t="n">
        <v>463.839625458037</v>
      </c>
      <c r="P3952" s="16" t="n">
        <v>300.032917</v>
      </c>
      <c r="Q3952" s="16" t="n">
        <v>4609.528337114913</v>
      </c>
      <c r="R3952" s="16" t="n">
        <v>652.1490721916679</v>
      </c>
      <c r="S3952" s="16" t="n">
        <v>0.5</v>
      </c>
      <c r="T3952" s="16" t="n">
        <v>0.7449172257226566</v>
      </c>
      <c r="U3952" s="16" t="n">
        <v>0.4489443323207897</v>
      </c>
      <c r="V3952" s="16" t="n">
        <v>0.7948964941377547</v>
      </c>
      <c r="W3952" s="16" t="n">
        <v>0.6980652537723118</v>
      </c>
      <c r="X3952" s="16" t="n">
        <v>0.8214299447328003</v>
      </c>
      <c r="Y3952" s="16" t="n">
        <v>300.032917</v>
      </c>
      <c r="Z3952" s="16" t="n">
        <v>10.24081208480578</v>
      </c>
      <c r="AA3952" s="16" t="n">
        <v>82.07770168401315</v>
      </c>
      <c r="AB3952" s="16" t="n">
        <v>3957.379264923245</v>
      </c>
      <c r="AC3952" s="16" t="n">
        <v>7.068212673559034</v>
      </c>
      <c r="AD3952" s="16" t="inlineStr">
        <is>
          <t>O2</t>
        </is>
      </c>
      <c r="AE3952" s="16" t="n"/>
    </row>
    <row r="3953">
      <c r="A3953" s="16" t="inlineStr">
        <is>
          <t>KF-M09-R1-x_b+T_sumidero-0019</t>
        </is>
      </c>
      <c r="B3953" s="16" t="inlineStr">
        <is>
          <t>4.3</t>
        </is>
      </c>
      <c r="C3953" s="16" t="inlineStr">
        <is>
          <t>4.3 x_b+T_sumidero</t>
        </is>
      </c>
      <c r="D3953" s="16" t="inlineStr">
        <is>
          <t>ronda 1</t>
        </is>
      </c>
      <c r="E3953" s="16" t="inlineStr">
        <is>
          <t>KF-M09</t>
        </is>
      </c>
      <c r="F3953" s="16" t="inlineStr">
        <is>
          <t>KF-M09-R1-x_b+T_sumidero</t>
        </is>
      </c>
      <c r="G3953" s="16" t="inlineStr">
        <is>
          <t>B13-x_b+T_sumidero</t>
        </is>
      </c>
      <c r="H3953" s="16" t="inlineStr">
        <is>
          <t>lhs</t>
        </is>
      </c>
      <c r="I3953" s="16" t="inlineStr">
        <is>
          <t>NO_CONVERGIO</t>
        </is>
      </c>
      <c r="J3953" s="16" t="inlineStr">
        <is>
          <t>NO_CONVERGIO</t>
        </is>
      </c>
      <c r="K3953" s="16" t="b">
        <v>0</v>
      </c>
      <c r="L3953" s="16" t="b">
        <v>0</v>
      </c>
      <c r="M3953" s="16" t="b">
        <v>0</v>
      </c>
      <c r="N3953" s="16" t="b">
        <v>0</v>
      </c>
      <c r="O3953" s="16" t="n">
        <v>405.2048620283962</v>
      </c>
      <c r="P3953" s="16" t="n">
        <v>300.032917</v>
      </c>
      <c r="Q3953" s="16" t="n">
        <v>4193.894287291192</v>
      </c>
      <c r="R3953" s="16" t="n">
        <v>911.6364087987172</v>
      </c>
      <c r="S3953" s="16" t="n">
        <v>0.5</v>
      </c>
      <c r="T3953" s="16" t="n">
        <v>0.6488498151051429</v>
      </c>
      <c r="U3953" s="16" t="n">
        <v>0.859573555575357</v>
      </c>
      <c r="V3953" s="16" t="n">
        <v>0.4173689344063069</v>
      </c>
      <c r="W3953" s="16" t="n">
        <v>0.9034434475437264</v>
      </c>
      <c r="X3953" s="16" t="n">
        <v>0.4326383640930772</v>
      </c>
      <c r="Y3953" s="16" t="n">
        <v>300.032917</v>
      </c>
      <c r="Z3953" s="16" t="n"/>
      <c r="AA3953" s="16" t="n"/>
      <c r="AB3953" s="16" t="n">
        <v>3282.257878492475</v>
      </c>
      <c r="AC3953" s="16" t="n">
        <v>4.600402360868382</v>
      </c>
      <c r="AD3953" s="16" t="n"/>
      <c r="AE3953" s="16" t="n"/>
    </row>
    <row r="3954">
      <c r="A3954" s="16" t="inlineStr">
        <is>
          <t>KF-M09-R1-x_b+T_sumidero-0020</t>
        </is>
      </c>
      <c r="B3954" s="16" t="inlineStr">
        <is>
          <t>4.3</t>
        </is>
      </c>
      <c r="C3954" s="16" t="inlineStr">
        <is>
          <t>4.3 x_b+T_sumidero</t>
        </is>
      </c>
      <c r="D3954" s="16" t="inlineStr">
        <is>
          <t>ronda 1</t>
        </is>
      </c>
      <c r="E3954" s="16" t="inlineStr">
        <is>
          <t>KF-M09</t>
        </is>
      </c>
      <c r="F3954" s="16" t="inlineStr">
        <is>
          <t>KF-M09-R1-x_b+T_sumidero</t>
        </is>
      </c>
      <c r="G3954" s="16" t="inlineStr">
        <is>
          <t>B13-x_b+T_sumidero</t>
        </is>
      </c>
      <c r="H3954" s="16" t="inlineStr">
        <is>
          <t>lhs</t>
        </is>
      </c>
      <c r="I3954" s="16" t="inlineStr">
        <is>
          <t>CORREGIBLE</t>
        </is>
      </c>
      <c r="J3954" s="16" t="inlineStr">
        <is>
          <t>CORREGIBLE</t>
        </is>
      </c>
      <c r="K3954" s="16" t="b">
        <v>1</v>
      </c>
      <c r="L3954" s="16" t="b">
        <v>0</v>
      </c>
      <c r="M3954" s="16" t="b">
        <v>1</v>
      </c>
      <c r="N3954" s="16" t="b">
        <v>0</v>
      </c>
      <c r="O3954" s="16" t="n">
        <v>479.1281237434628</v>
      </c>
      <c r="P3954" s="16" t="n">
        <v>300.032917</v>
      </c>
      <c r="Q3954" s="16" t="n">
        <v>4736.173124654795</v>
      </c>
      <c r="R3954" s="16" t="n">
        <v>1328.232405360023</v>
      </c>
      <c r="S3954" s="16" t="n">
        <v>0.5</v>
      </c>
      <c r="T3954" s="16" t="n">
        <v>0.8334557602211837</v>
      </c>
      <c r="U3954" s="16" t="n">
        <v>0.5322526614903921</v>
      </c>
      <c r="V3954" s="16" t="n">
        <v>0.9095414286009952</v>
      </c>
      <c r="W3954" s="16" t="n">
        <v>0.4121055275486148</v>
      </c>
      <c r="X3954" s="16" t="n">
        <v>0.7193812974322644</v>
      </c>
      <c r="Y3954" s="16" t="n">
        <v>300.032917</v>
      </c>
      <c r="Z3954" s="16" t="n">
        <v>8.23362297526379</v>
      </c>
      <c r="AA3954" s="16" t="n">
        <v>95.05672207330484</v>
      </c>
      <c r="AB3954" s="16" t="n">
        <v>3407.940719294772</v>
      </c>
      <c r="AC3954" s="16" t="n">
        <v>3.565771400804692</v>
      </c>
      <c r="AD3954" s="16" t="inlineStr">
        <is>
          <t>O2</t>
        </is>
      </c>
      <c r="AE3954" s="16" t="n"/>
    </row>
    <row r="3955">
      <c r="A3955" s="16" t="inlineStr">
        <is>
          <t>KF-M09-R1-x_b+T_sumidero-0021</t>
        </is>
      </c>
      <c r="B3955" s="16" t="inlineStr">
        <is>
          <t>4.3</t>
        </is>
      </c>
      <c r="C3955" s="16" t="inlineStr">
        <is>
          <t>4.3 x_b+T_sumidero</t>
        </is>
      </c>
      <c r="D3955" s="16" t="inlineStr">
        <is>
          <t>ronda 1</t>
        </is>
      </c>
      <c r="E3955" s="16" t="inlineStr">
        <is>
          <t>KF-M09</t>
        </is>
      </c>
      <c r="F3955" s="16" t="inlineStr">
        <is>
          <t>KF-M09-R1-x_b+T_sumidero</t>
        </is>
      </c>
      <c r="G3955" s="16" t="inlineStr">
        <is>
          <t>B13-x_b+T_sumidero</t>
        </is>
      </c>
      <c r="H3955" s="16" t="inlineStr">
        <is>
          <t>lhs</t>
        </is>
      </c>
      <c r="I3955" s="16" t="inlineStr">
        <is>
          <t>CORREGIBLE</t>
        </is>
      </c>
      <c r="J3955" s="16" t="inlineStr">
        <is>
          <t>CORREGIBLE</t>
        </is>
      </c>
      <c r="K3955" s="16" t="b">
        <v>1</v>
      </c>
      <c r="L3955" s="16" t="b">
        <v>0</v>
      </c>
      <c r="M3955" s="16" t="b">
        <v>1</v>
      </c>
      <c r="N3955" s="16" t="b">
        <v>0</v>
      </c>
      <c r="O3955" s="16" t="n">
        <v>465.8492941682681</v>
      </c>
      <c r="P3955" s="16" t="n">
        <v>300.032917</v>
      </c>
      <c r="Q3955" s="16" t="n">
        <v>4027.286821825844</v>
      </c>
      <c r="R3955" s="16" t="n">
        <v>1239.817852048176</v>
      </c>
      <c r="S3955" s="16" t="n">
        <v>0.5</v>
      </c>
      <c r="T3955" s="16" t="n">
        <v>0.6594359575483113</v>
      </c>
      <c r="U3955" s="16" t="n">
        <v>0.8838355745531539</v>
      </c>
      <c r="V3955" s="16" t="n">
        <v>0.4285422628624</v>
      </c>
      <c r="W3955" s="16" t="n">
        <v>0.4382023354384995</v>
      </c>
      <c r="X3955" s="16" t="n">
        <v>0.5600376462870599</v>
      </c>
      <c r="Y3955" s="16" t="n">
        <v>300.032917</v>
      </c>
      <c r="Z3955" s="16" t="n">
        <v>4.97677205531631</v>
      </c>
      <c r="AA3955" s="16" t="n">
        <v>24.38104064088837</v>
      </c>
      <c r="AB3955" s="16" t="n">
        <v>2787.468969777668</v>
      </c>
      <c r="AC3955" s="16" t="n">
        <v>3.248289105672076</v>
      </c>
      <c r="AD3955" s="16" t="inlineStr">
        <is>
          <t>O2</t>
        </is>
      </c>
      <c r="AE3955" s="16" t="n"/>
    </row>
    <row r="3956">
      <c r="A3956" s="16" t="inlineStr">
        <is>
          <t>KF-M09-R1-x_b+T_sumidero-0022</t>
        </is>
      </c>
      <c r="B3956" s="16" t="inlineStr">
        <is>
          <t>4.3</t>
        </is>
      </c>
      <c r="C3956" s="16" t="inlineStr">
        <is>
          <t>4.3 x_b+T_sumidero</t>
        </is>
      </c>
      <c r="D3956" s="16" t="inlineStr">
        <is>
          <t>ronda 1</t>
        </is>
      </c>
      <c r="E3956" s="16" t="inlineStr">
        <is>
          <t>KF-M09</t>
        </is>
      </c>
      <c r="F3956" s="16" t="inlineStr">
        <is>
          <t>KF-M09-R1-x_b+T_sumidero</t>
        </is>
      </c>
      <c r="G3956" s="16" t="inlineStr">
        <is>
          <t>B13-x_b+T_sumidero</t>
        </is>
      </c>
      <c r="H3956" s="16" t="inlineStr">
        <is>
          <t>lhs</t>
        </is>
      </c>
      <c r="I3956" s="16" t="inlineStr">
        <is>
          <t>INVIABLE</t>
        </is>
      </c>
      <c r="J3956" s="16" t="inlineStr">
        <is>
          <t>INVIABLE</t>
        </is>
      </c>
      <c r="K3956" s="16" t="b">
        <v>1</v>
      </c>
      <c r="L3956" s="16" t="b">
        <v>0</v>
      </c>
      <c r="M3956" s="16" t="b">
        <v>1</v>
      </c>
      <c r="N3956" s="16" t="b">
        <v>0</v>
      </c>
      <c r="O3956" s="16" t="n">
        <v>505.0213738446841</v>
      </c>
      <c r="P3956" s="16" t="n">
        <v>300.032917</v>
      </c>
      <c r="Q3956" s="16" t="n">
        <v>3143.6630470106</v>
      </c>
      <c r="R3956" s="16" t="n">
        <v>1921.671077431561</v>
      </c>
      <c r="S3956" s="16" t="n">
        <v>0.5</v>
      </c>
      <c r="T3956" s="16" t="n">
        <v>0.5567102615266781</v>
      </c>
      <c r="U3956" s="16" t="n">
        <v>0.6028022155129831</v>
      </c>
      <c r="V3956" s="16" t="n">
        <v>0.8666888617922769</v>
      </c>
      <c r="W3956" s="16" t="n">
        <v>0.463009092598639</v>
      </c>
      <c r="X3956" s="16" t="n">
        <v>0.4570367726856643</v>
      </c>
      <c r="Y3956" s="16" t="n">
        <v>300.032917</v>
      </c>
      <c r="Z3956" s="16" t="n">
        <v>-1.94583577703195</v>
      </c>
      <c r="AA3956" s="16" t="n">
        <v>-19.33531090020372</v>
      </c>
      <c r="AB3956" s="16" t="n">
        <v>1221.991969579039</v>
      </c>
      <c r="AC3956" s="16" t="n">
        <v>1.635900692855466</v>
      </c>
      <c r="AD3956" s="16" t="inlineStr">
        <is>
          <t>O2,O3</t>
        </is>
      </c>
      <c r="AE3956" s="16" t="n"/>
    </row>
    <row r="3957">
      <c r="A3957" s="16" t="inlineStr">
        <is>
          <t>KF-M09-R1-x_b+T_sumidero-0023</t>
        </is>
      </c>
      <c r="B3957" s="16" t="inlineStr">
        <is>
          <t>4.3</t>
        </is>
      </c>
      <c r="C3957" s="16" t="inlineStr">
        <is>
          <t>4.3 x_b+T_sumidero</t>
        </is>
      </c>
      <c r="D3957" s="16" t="inlineStr">
        <is>
          <t>ronda 1</t>
        </is>
      </c>
      <c r="E3957" s="16" t="inlineStr">
        <is>
          <t>KF-M09</t>
        </is>
      </c>
      <c r="F3957" s="16" t="inlineStr">
        <is>
          <t>KF-M09-R1-x_b+T_sumidero</t>
        </is>
      </c>
      <c r="G3957" s="16" t="inlineStr">
        <is>
          <t>B13-x_b+T_sumidero</t>
        </is>
      </c>
      <c r="H3957" s="16" t="inlineStr">
        <is>
          <t>lhs</t>
        </is>
      </c>
      <c r="I3957" s="16" t="inlineStr">
        <is>
          <t>CORREGIBLE</t>
        </is>
      </c>
      <c r="J3957" s="16" t="inlineStr">
        <is>
          <t>CORREGIBLE</t>
        </is>
      </c>
      <c r="K3957" s="16" t="b">
        <v>1</v>
      </c>
      <c r="L3957" s="16" t="b">
        <v>0</v>
      </c>
      <c r="M3957" s="16" t="b">
        <v>1</v>
      </c>
      <c r="N3957" s="16" t="b">
        <v>0</v>
      </c>
      <c r="O3957" s="16" t="n">
        <v>439.9721645001849</v>
      </c>
      <c r="P3957" s="16" t="n">
        <v>300.032917</v>
      </c>
      <c r="Q3957" s="16" t="n">
        <v>3551.840942901951</v>
      </c>
      <c r="R3957" s="16" t="n">
        <v>753.4128093383404</v>
      </c>
      <c r="S3957" s="16" t="n">
        <v>0.5</v>
      </c>
      <c r="T3957" s="16" t="n">
        <v>0.7179095827394297</v>
      </c>
      <c r="U3957" s="16" t="n">
        <v>0.8310086306523861</v>
      </c>
      <c r="V3957" s="16" t="n">
        <v>0.7030283734308849</v>
      </c>
      <c r="W3957" s="16" t="n">
        <v>0.6374297725053633</v>
      </c>
      <c r="X3957" s="16" t="n">
        <v>0.5452499539246095</v>
      </c>
      <c r="Y3957" s="16" t="n">
        <v>300.032917</v>
      </c>
      <c r="Z3957" s="16" t="n">
        <v>6.43885449826832</v>
      </c>
      <c r="AA3957" s="16" t="n">
        <v>30.43580837239996</v>
      </c>
      <c r="AB3957" s="16" t="n">
        <v>2798.428133563611</v>
      </c>
      <c r="AC3957" s="16" t="n">
        <v>4.714335751765671</v>
      </c>
      <c r="AD3957" s="16" t="inlineStr">
        <is>
          <t>O2</t>
        </is>
      </c>
      <c r="AE3957" s="16" t="n"/>
    </row>
    <row r="3958">
      <c r="A3958" s="16" t="inlineStr">
        <is>
          <t>KF-M09-R1-x_b+T_sumidero-0024</t>
        </is>
      </c>
      <c r="B3958" s="16" t="inlineStr">
        <is>
          <t>4.3</t>
        </is>
      </c>
      <c r="C3958" s="16" t="inlineStr">
        <is>
          <t>4.3 x_b+T_sumidero</t>
        </is>
      </c>
      <c r="D3958" s="16" t="inlineStr">
        <is>
          <t>ronda 1</t>
        </is>
      </c>
      <c r="E3958" s="16" t="inlineStr">
        <is>
          <t>KF-M09</t>
        </is>
      </c>
      <c r="F3958" s="16" t="inlineStr">
        <is>
          <t>KF-M09-R1-x_b+T_sumidero</t>
        </is>
      </c>
      <c r="G3958" s="16" t="inlineStr">
        <is>
          <t>B13-x_b+T_sumidero</t>
        </is>
      </c>
      <c r="H3958" s="16" t="inlineStr">
        <is>
          <t>lhs</t>
        </is>
      </c>
      <c r="I3958" s="16" t="inlineStr">
        <is>
          <t>INVIABLE</t>
        </is>
      </c>
      <c r="J3958" s="16" t="inlineStr">
        <is>
          <t>INVIABLE</t>
        </is>
      </c>
      <c r="K3958" s="16" t="b">
        <v>1</v>
      </c>
      <c r="L3958" s="16" t="b">
        <v>0</v>
      </c>
      <c r="M3958" s="16" t="b">
        <v>0</v>
      </c>
      <c r="N3958" s="16" t="b">
        <v>0</v>
      </c>
      <c r="O3958" s="16" t="n">
        <v>408.7935648182696</v>
      </c>
      <c r="P3958" s="16" t="n">
        <v>300.032917</v>
      </c>
      <c r="Q3958" s="16" t="n">
        <v>2083.429315444373</v>
      </c>
      <c r="R3958" s="16" t="n">
        <v>1038.825391615323</v>
      </c>
      <c r="S3958" s="16" t="n">
        <v>0.5</v>
      </c>
      <c r="T3958" s="16" t="n">
        <v>0.4717513499121795</v>
      </c>
      <c r="U3958" s="16" t="n">
        <v>0.7881930269731775</v>
      </c>
      <c r="V3958" s="16" t="n">
        <v>0.6634752951497732</v>
      </c>
      <c r="W3958" s="16" t="n">
        <v>0.4339408780896381</v>
      </c>
      <c r="X3958" s="16" t="n">
        <v>0.44848603243342</v>
      </c>
      <c r="Y3958" s="16" t="n">
        <v>300.032917</v>
      </c>
      <c r="Z3958" s="16" t="n">
        <v>-0.40063422208795</v>
      </c>
      <c r="AA3958" s="16" t="n">
        <v>-1.345014424081565</v>
      </c>
      <c r="AB3958" s="16" t="n">
        <v>1044.60392382905</v>
      </c>
      <c r="AC3958" s="16" t="n">
        <v>2.005562563507176</v>
      </c>
      <c r="AD3958" s="16" t="inlineStr">
        <is>
          <t>O2,O3</t>
        </is>
      </c>
      <c r="AE3958" s="16" t="n"/>
    </row>
    <row r="3959">
      <c r="A3959" s="16" t="inlineStr">
        <is>
          <t>KF-M09-R1-x_b+T_sumidero-0025</t>
        </is>
      </c>
      <c r="B3959" s="16" t="inlineStr">
        <is>
          <t>4.3</t>
        </is>
      </c>
      <c r="C3959" s="16" t="inlineStr">
        <is>
          <t>4.3 x_b+T_sumidero</t>
        </is>
      </c>
      <c r="D3959" s="16" t="inlineStr">
        <is>
          <t>ronda 1</t>
        </is>
      </c>
      <c r="E3959" s="16" t="inlineStr">
        <is>
          <t>KF-M09</t>
        </is>
      </c>
      <c r="F3959" s="16" t="inlineStr">
        <is>
          <t>KF-M09-R1-x_b+T_sumidero</t>
        </is>
      </c>
      <c r="G3959" s="16" t="inlineStr">
        <is>
          <t>B13-x_b+T_sumidero</t>
        </is>
      </c>
      <c r="H3959" s="16" t="inlineStr">
        <is>
          <t>lhs</t>
        </is>
      </c>
      <c r="I3959" s="16" t="inlineStr">
        <is>
          <t>KALINA</t>
        </is>
      </c>
      <c r="J3959" s="16" t="inlineStr">
        <is>
          <t>KALINA</t>
        </is>
      </c>
      <c r="K3959" s="16" t="b">
        <v>1</v>
      </c>
      <c r="L3959" s="16" t="b">
        <v>0</v>
      </c>
      <c r="M3959" s="16" t="b">
        <v>1</v>
      </c>
      <c r="N3959" s="16" t="b">
        <v>0</v>
      </c>
      <c r="O3959" s="16" t="n">
        <v>445.9590813633495</v>
      </c>
      <c r="P3959" s="16" t="n">
        <v>300.032917</v>
      </c>
      <c r="Q3959" s="16" t="n">
        <v>4923.780439274243</v>
      </c>
      <c r="R3959" s="16" t="n">
        <v>1833.74756282359</v>
      </c>
      <c r="S3959" s="16" t="n">
        <v>0.5</v>
      </c>
      <c r="T3959" s="16" t="n">
        <v>0.4485425677418379</v>
      </c>
      <c r="U3959" s="16" t="n">
        <v>0.5855915573977087</v>
      </c>
      <c r="V3959" s="16" t="n">
        <v>0.6292305190871377</v>
      </c>
      <c r="W3959" s="16" t="n">
        <v>0.931980190671192</v>
      </c>
      <c r="X3959" s="16" t="n">
        <v>0.6138772463938709</v>
      </c>
      <c r="Y3959" s="16" t="n">
        <v>300.032917</v>
      </c>
      <c r="Z3959" s="16" t="n">
        <v>2.22412147510048</v>
      </c>
      <c r="AA3959" s="16" t="n">
        <v>7.02949438949282</v>
      </c>
      <c r="AB3959" s="16" t="n">
        <v>3090.032876450652</v>
      </c>
      <c r="AC3959" s="16" t="n">
        <v>2.685091742776549</v>
      </c>
      <c r="AD3959" s="16" t="n"/>
      <c r="AE3959" s="16" t="n"/>
    </row>
    <row r="3960">
      <c r="A3960" s="16" t="inlineStr">
        <is>
          <t>KF-M09-R1-x_b+T_sumidero-0026</t>
        </is>
      </c>
      <c r="B3960" s="16" t="inlineStr">
        <is>
          <t>4.3</t>
        </is>
      </c>
      <c r="C3960" s="16" t="inlineStr">
        <is>
          <t>4.3 x_b+T_sumidero</t>
        </is>
      </c>
      <c r="D3960" s="16" t="inlineStr">
        <is>
          <t>ronda 1</t>
        </is>
      </c>
      <c r="E3960" s="16" t="inlineStr">
        <is>
          <t>KF-M09</t>
        </is>
      </c>
      <c r="F3960" s="16" t="inlineStr">
        <is>
          <t>KF-M09-R1-x_b+T_sumidero</t>
        </is>
      </c>
      <c r="G3960" s="16" t="inlineStr">
        <is>
          <t>B13-x_b+T_sumidero</t>
        </is>
      </c>
      <c r="H3960" s="16" t="inlineStr">
        <is>
          <t>lhs</t>
        </is>
      </c>
      <c r="I3960" s="16" t="inlineStr">
        <is>
          <t>KALINA</t>
        </is>
      </c>
      <c r="J3960" s="16" t="inlineStr">
        <is>
          <t>KALINA</t>
        </is>
      </c>
      <c r="K3960" s="16" t="b">
        <v>1</v>
      </c>
      <c r="L3960" s="16" t="b">
        <v>0</v>
      </c>
      <c r="M3960" s="16" t="b">
        <v>1</v>
      </c>
      <c r="N3960" s="16" t="b">
        <v>0</v>
      </c>
      <c r="O3960" s="16" t="n">
        <v>454.1456814222392</v>
      </c>
      <c r="P3960" s="16" t="n">
        <v>300.032917</v>
      </c>
      <c r="Q3960" s="16" t="n">
        <v>3350.671771919248</v>
      </c>
      <c r="R3960" s="16" t="n">
        <v>1729.406777851075</v>
      </c>
      <c r="S3960" s="16" t="n">
        <v>0.5</v>
      </c>
      <c r="T3960" s="16" t="n">
        <v>0.7565010349145349</v>
      </c>
      <c r="U3960" s="16" t="n">
        <v>0.9412853520392614</v>
      </c>
      <c r="V3960" s="16" t="n">
        <v>0.5308631870638131</v>
      </c>
      <c r="W3960" s="16" t="n">
        <v>0.5558038023364993</v>
      </c>
      <c r="X3960" s="16" t="n">
        <v>0.8431732954806015</v>
      </c>
      <c r="Y3960" s="16" t="n">
        <v>300.032917</v>
      </c>
      <c r="Z3960" s="16" t="n">
        <v>3.530089285596</v>
      </c>
      <c r="AA3960" s="16" t="n">
        <v>22.52215576815713</v>
      </c>
      <c r="AB3960" s="16" t="n">
        <v>1621.264994068173</v>
      </c>
      <c r="AC3960" s="16" t="n">
        <v>1.937468856276095</v>
      </c>
      <c r="AD3960" s="16" t="n"/>
      <c r="AE3960" s="16" t="n"/>
    </row>
    <row r="3961">
      <c r="A3961" s="16" t="inlineStr">
        <is>
          <t>KF-M09-R1-x_b+T_sumidero-0027</t>
        </is>
      </c>
      <c r="B3961" s="16" t="inlineStr">
        <is>
          <t>4.3</t>
        </is>
      </c>
      <c r="C3961" s="16" t="inlineStr">
        <is>
          <t>4.3 x_b+T_sumidero</t>
        </is>
      </c>
      <c r="D3961" s="16" t="inlineStr">
        <is>
          <t>ronda 1</t>
        </is>
      </c>
      <c r="E3961" s="16" t="inlineStr">
        <is>
          <t>KF-M09</t>
        </is>
      </c>
      <c r="F3961" s="16" t="inlineStr">
        <is>
          <t>KF-M09-R1-x_b+T_sumidero</t>
        </is>
      </c>
      <c r="G3961" s="16" t="inlineStr">
        <is>
          <t>B13-x_b+T_sumidero</t>
        </is>
      </c>
      <c r="H3961" s="16" t="inlineStr">
        <is>
          <t>lhs</t>
        </is>
      </c>
      <c r="I3961" s="16" t="inlineStr">
        <is>
          <t>CORREGIBLE</t>
        </is>
      </c>
      <c r="J3961" s="16" t="inlineStr">
        <is>
          <t>CORREGIBLE</t>
        </is>
      </c>
      <c r="K3961" s="16" t="b">
        <v>1</v>
      </c>
      <c r="L3961" s="16" t="b">
        <v>0</v>
      </c>
      <c r="M3961" s="16" t="b">
        <v>1</v>
      </c>
      <c r="N3961" s="16" t="b">
        <v>0</v>
      </c>
      <c r="O3961" s="16" t="n">
        <v>455.8151190722483</v>
      </c>
      <c r="P3961" s="16" t="n">
        <v>300.032917</v>
      </c>
      <c r="Q3961" s="16" t="n">
        <v>3435.191541626027</v>
      </c>
      <c r="R3961" s="16" t="n">
        <v>365.9291792650892</v>
      </c>
      <c r="S3961" s="16" t="n">
        <v>0.5</v>
      </c>
      <c r="T3961" s="16" t="n">
        <v>0.8800398456138967</v>
      </c>
      <c r="U3961" s="16" t="n">
        <v>0.5758803508664883</v>
      </c>
      <c r="V3961" s="16" t="n">
        <v>0.7549870564502046</v>
      </c>
      <c r="W3961" s="16" t="n">
        <v>0.6824486014085479</v>
      </c>
      <c r="X3961" s="16" t="n">
        <v>0.935608957607422</v>
      </c>
      <c r="Y3961" s="16" t="n">
        <v>300.032917</v>
      </c>
      <c r="Z3961" s="16" t="n">
        <v>14.19694758617629</v>
      </c>
      <c r="AA3961" s="16" t="n">
        <v>131.1466421610829</v>
      </c>
      <c r="AB3961" s="16" t="n">
        <v>3069.262362360938</v>
      </c>
      <c r="AC3961" s="16" t="n">
        <v>9.387585730454909</v>
      </c>
      <c r="AD3961" s="16" t="inlineStr">
        <is>
          <t>O1,O2</t>
        </is>
      </c>
      <c r="AE3961" s="16" t="n"/>
    </row>
    <row r="3962">
      <c r="A3962" s="16" t="inlineStr">
        <is>
          <t>KF-M09-R1-x_b+T_sumidero-0028</t>
        </is>
      </c>
      <c r="B3962" s="16" t="inlineStr">
        <is>
          <t>4.3</t>
        </is>
      </c>
      <c r="C3962" s="16" t="inlineStr">
        <is>
          <t>4.3 x_b+T_sumidero</t>
        </is>
      </c>
      <c r="D3962" s="16" t="inlineStr">
        <is>
          <t>ronda 1</t>
        </is>
      </c>
      <c r="E3962" s="16" t="inlineStr">
        <is>
          <t>KF-M09</t>
        </is>
      </c>
      <c r="F3962" s="16" t="inlineStr">
        <is>
          <t>KF-M09-R1-x_b+T_sumidero</t>
        </is>
      </c>
      <c r="G3962" s="16" t="inlineStr">
        <is>
          <t>B13-x_b+T_sumidero</t>
        </is>
      </c>
      <c r="H3962" s="16" t="inlineStr">
        <is>
          <t>lhs</t>
        </is>
      </c>
      <c r="I3962" s="16" t="inlineStr">
        <is>
          <t>KALINA</t>
        </is>
      </c>
      <c r="J3962" s="16" t="inlineStr">
        <is>
          <t>KALINA</t>
        </is>
      </c>
      <c r="K3962" s="16" t="b">
        <v>1</v>
      </c>
      <c r="L3962" s="16" t="b">
        <v>1</v>
      </c>
      <c r="M3962" s="16" t="b">
        <v>0</v>
      </c>
      <c r="N3962" s="16" t="b">
        <v>0</v>
      </c>
      <c r="O3962" s="16" t="n">
        <v>417.828525967419</v>
      </c>
      <c r="P3962" s="16" t="n">
        <v>300.032917</v>
      </c>
      <c r="Q3962" s="16" t="n">
        <v>2525.130236666977</v>
      </c>
      <c r="R3962" s="16" t="n">
        <v>1972.60965678394</v>
      </c>
      <c r="S3962" s="16" t="n">
        <v>0.5</v>
      </c>
      <c r="T3962" s="16" t="n">
        <v>0.536536464166854</v>
      </c>
      <c r="U3962" s="16" t="n">
        <v>0.7458185861411932</v>
      </c>
      <c r="V3962" s="16" t="n">
        <v>0.503649398418245</v>
      </c>
      <c r="W3962" s="16" t="n">
        <v>0.7812513150731676</v>
      </c>
      <c r="X3962" s="16" t="n">
        <v>0.8007519606771378</v>
      </c>
      <c r="Y3962" s="16" t="n">
        <v>300.032917</v>
      </c>
      <c r="Z3962" s="16" t="n">
        <v>0.85884050525804</v>
      </c>
      <c r="AA3962" s="16" t="n">
        <v>2.979897621969682</v>
      </c>
      <c r="AB3962" s="16" t="n">
        <v>552.5205798830366</v>
      </c>
      <c r="AC3962" s="16" t="n">
        <v>1.280096256237457</v>
      </c>
      <c r="AD3962" s="16" t="n"/>
      <c r="AE3962" s="16" t="n"/>
    </row>
    <row r="3963">
      <c r="A3963" s="16" t="inlineStr">
        <is>
          <t>KF-M09-R1-x_b+T_sumidero-0029</t>
        </is>
      </c>
      <c r="B3963" s="16" t="inlineStr">
        <is>
          <t>4.3</t>
        </is>
      </c>
      <c r="C3963" s="16" t="inlineStr">
        <is>
          <t>4.3 x_b+T_sumidero</t>
        </is>
      </c>
      <c r="D3963" s="16" t="inlineStr">
        <is>
          <t>ronda 1</t>
        </is>
      </c>
      <c r="E3963" s="16" t="inlineStr">
        <is>
          <t>KF-M09</t>
        </is>
      </c>
      <c r="F3963" s="16" t="inlineStr">
        <is>
          <t>KF-M09-R1-x_b+T_sumidero</t>
        </is>
      </c>
      <c r="G3963" s="16" t="inlineStr">
        <is>
          <t>B13-x_b+T_sumidero</t>
        </is>
      </c>
      <c r="H3963" s="16" t="inlineStr">
        <is>
          <t>lhs</t>
        </is>
      </c>
      <c r="I3963" s="16" t="inlineStr">
        <is>
          <t>INVIABLE</t>
        </is>
      </c>
      <c r="J3963" s="16" t="inlineStr">
        <is>
          <t>INVIABLE</t>
        </is>
      </c>
      <c r="K3963" s="16" t="b">
        <v>1</v>
      </c>
      <c r="L3963" s="16" t="b">
        <v>0</v>
      </c>
      <c r="M3963" s="16" t="b">
        <v>1</v>
      </c>
      <c r="N3963" s="16" t="b">
        <v>0</v>
      </c>
      <c r="O3963" s="16" t="n">
        <v>498.9484174955131</v>
      </c>
      <c r="P3963" s="16" t="n">
        <v>300.032917</v>
      </c>
      <c r="Q3963" s="16" t="n">
        <v>3851.045000982725</v>
      </c>
      <c r="R3963" s="16" t="n">
        <v>312.4090999729699</v>
      </c>
      <c r="S3963" s="16" t="n">
        <v>0.5</v>
      </c>
      <c r="T3963" s="16" t="n">
        <v>0.6242769138645917</v>
      </c>
      <c r="U3963" s="16" t="n">
        <v>0.5014731372236573</v>
      </c>
      <c r="V3963" s="16" t="n">
        <v>0.8047124106437644</v>
      </c>
      <c r="W3963" s="16" t="n">
        <v>0.5922414710742944</v>
      </c>
      <c r="X3963" s="16" t="n">
        <v>0.6350945631853294</v>
      </c>
      <c r="Y3963" s="16" t="n">
        <v>300.032917</v>
      </c>
      <c r="Z3963" s="16" t="n">
        <v>-2.03562855617244</v>
      </c>
      <c r="AA3963" s="16" t="n">
        <v>-22.82931617457794</v>
      </c>
      <c r="AB3963" s="16" t="n">
        <v>3538.635901009756</v>
      </c>
      <c r="AC3963" s="16" t="n">
        <v>12.3269296615109</v>
      </c>
      <c r="AD3963" s="16" t="inlineStr">
        <is>
          <t>O2,O3</t>
        </is>
      </c>
      <c r="AE3963" s="16" t="n"/>
    </row>
    <row r="3964">
      <c r="A3964" s="16" t="inlineStr">
        <is>
          <t>KF-M09-R2-x_b+P_alta+T_fuente-0000</t>
        </is>
      </c>
      <c r="B3964" s="16" t="inlineStr">
        <is>
          <t>4.3</t>
        </is>
      </c>
      <c r="C3964" s="16" t="inlineStr">
        <is>
          <t>4.3 x_b+P_alta+T_fuente</t>
        </is>
      </c>
      <c r="D3964" s="16" t="inlineStr">
        <is>
          <t>ronda 2</t>
        </is>
      </c>
      <c r="E3964" s="16" t="inlineStr">
        <is>
          <t>KF-M09</t>
        </is>
      </c>
      <c r="F3964" s="16" t="inlineStr">
        <is>
          <t>KF-M09-R2-x_b+P_alta+T_fuente</t>
        </is>
      </c>
      <c r="G3964" s="16" t="inlineStr">
        <is>
          <t>B13-x_b+P_alta+T_fuente</t>
        </is>
      </c>
      <c r="H3964" s="16" t="inlineStr">
        <is>
          <t>lhs</t>
        </is>
      </c>
      <c r="I3964" s="16" t="inlineStr">
        <is>
          <t>NO_CONVERGIO</t>
        </is>
      </c>
      <c r="J3964" s="16" t="inlineStr">
        <is>
          <t>NO_CONVERGIO</t>
        </is>
      </c>
      <c r="K3964" s="16" t="b">
        <v>0</v>
      </c>
      <c r="L3964" s="16" t="b">
        <v>0</v>
      </c>
      <c r="M3964" s="16" t="b">
        <v>0</v>
      </c>
      <c r="N3964" s="16" t="b">
        <v>0</v>
      </c>
      <c r="O3964" s="16" t="n">
        <v>623.15</v>
      </c>
      <c r="P3964" s="16" t="n">
        <v>298.5124585089288</v>
      </c>
      <c r="Q3964" s="16" t="n">
        <v>3000</v>
      </c>
      <c r="R3964" s="16" t="n">
        <v>1140.577524497842</v>
      </c>
      <c r="S3964" s="16" t="n">
        <v>0.5</v>
      </c>
      <c r="T3964" s="16" t="n">
        <v>0.6311180898534987</v>
      </c>
      <c r="U3964" s="16" t="n">
        <v>0.6530719080125136</v>
      </c>
      <c r="V3964" s="16" t="n">
        <v>0.8814984170406606</v>
      </c>
      <c r="W3964" s="16" t="n">
        <v>0.8411369205394685</v>
      </c>
      <c r="X3964" s="16" t="n">
        <v>0.56647302202256</v>
      </c>
      <c r="Y3964" s="16" t="n">
        <v>298.5124585089288</v>
      </c>
      <c r="Z3964" s="16" t="n"/>
      <c r="AA3964" s="16" t="n"/>
      <c r="AB3964" s="16" t="n">
        <v>1859.422475502158</v>
      </c>
      <c r="AC3964" s="16" t="n">
        <v>2.630246463361443</v>
      </c>
      <c r="AD3964" s="16" t="n"/>
      <c r="AE3964" s="16" t="n"/>
    </row>
    <row r="3965">
      <c r="A3965" s="16" t="inlineStr">
        <is>
          <t>KF-M09-R2-x_b+P_alta+T_fuente-0001</t>
        </is>
      </c>
      <c r="B3965" s="16" t="inlineStr">
        <is>
          <t>4.3</t>
        </is>
      </c>
      <c r="C3965" s="16" t="inlineStr">
        <is>
          <t>4.3 x_b+P_alta+T_fuente</t>
        </is>
      </c>
      <c r="D3965" s="16" t="inlineStr">
        <is>
          <t>ronda 2</t>
        </is>
      </c>
      <c r="E3965" s="16" t="inlineStr">
        <is>
          <t>KF-M09</t>
        </is>
      </c>
      <c r="F3965" s="16" t="inlineStr">
        <is>
          <t>KF-M09-R2-x_b+P_alta+T_fuente</t>
        </is>
      </c>
      <c r="G3965" s="16" t="inlineStr">
        <is>
          <t>B13-x_b+P_alta+T_fuente</t>
        </is>
      </c>
      <c r="H3965" s="16" t="inlineStr">
        <is>
          <t>lhs</t>
        </is>
      </c>
      <c r="I3965" s="16" t="inlineStr">
        <is>
          <t>NO_CONVERGIO</t>
        </is>
      </c>
      <c r="J3965" s="16" t="inlineStr">
        <is>
          <t>NO_CONVERGIO</t>
        </is>
      </c>
      <c r="K3965" s="16" t="b">
        <v>0</v>
      </c>
      <c r="L3965" s="16" t="b">
        <v>0</v>
      </c>
      <c r="M3965" s="16" t="b">
        <v>0</v>
      </c>
      <c r="N3965" s="16" t="b">
        <v>0</v>
      </c>
      <c r="O3965" s="16" t="n">
        <v>623.15</v>
      </c>
      <c r="P3965" s="16" t="n">
        <v>279.8341104015751</v>
      </c>
      <c r="Q3965" s="16" t="n">
        <v>3000</v>
      </c>
      <c r="R3965" s="16" t="n">
        <v>703.2103849553478</v>
      </c>
      <c r="S3965" s="16" t="n">
        <v>0.5</v>
      </c>
      <c r="T3965" s="16" t="n">
        <v>0.8709940549236067</v>
      </c>
      <c r="U3965" s="16" t="n">
        <v>0.4889341944933115</v>
      </c>
      <c r="V3965" s="16" t="n">
        <v>0.9339388349145784</v>
      </c>
      <c r="W3965" s="16" t="n">
        <v>0.4099062617363282</v>
      </c>
      <c r="X3965" s="16" t="n">
        <v>0.8889000621516793</v>
      </c>
      <c r="Y3965" s="16" t="n">
        <v>279.8341104015751</v>
      </c>
      <c r="Z3965" s="16" t="n"/>
      <c r="AA3965" s="16" t="n"/>
      <c r="AB3965" s="16" t="n">
        <v>2296.789615044652</v>
      </c>
      <c r="AC3965" s="16" t="n">
        <v>4.266148601020011</v>
      </c>
      <c r="AD3965" s="16" t="n"/>
      <c r="AE3965" s="16" t="n"/>
    </row>
    <row r="3966">
      <c r="A3966" s="16" t="inlineStr">
        <is>
          <t>KF-M09-R2-x_b+P_alta+T_fuente-0002</t>
        </is>
      </c>
      <c r="B3966" s="16" t="inlineStr">
        <is>
          <t>4.3</t>
        </is>
      </c>
      <c r="C3966" s="16" t="inlineStr">
        <is>
          <t>4.3 x_b+P_alta+T_fuente</t>
        </is>
      </c>
      <c r="D3966" s="16" t="inlineStr">
        <is>
          <t>ronda 2</t>
        </is>
      </c>
      <c r="E3966" s="16" t="inlineStr">
        <is>
          <t>KF-M09</t>
        </is>
      </c>
      <c r="F3966" s="16" t="inlineStr">
        <is>
          <t>KF-M09-R2-x_b+P_alta+T_fuente</t>
        </is>
      </c>
      <c r="G3966" s="16" t="inlineStr">
        <is>
          <t>B13-x_b+P_alta+T_fuente</t>
        </is>
      </c>
      <c r="H3966" s="16" t="inlineStr">
        <is>
          <t>lhs</t>
        </is>
      </c>
      <c r="I3966" s="16" t="inlineStr">
        <is>
          <t>NO_CONVERGIO</t>
        </is>
      </c>
      <c r="J3966" s="16" t="inlineStr">
        <is>
          <t>NO_CONVERGIO</t>
        </is>
      </c>
      <c r="K3966" s="16" t="b">
        <v>0</v>
      </c>
      <c r="L3966" s="16" t="b">
        <v>0</v>
      </c>
      <c r="M3966" s="16" t="b">
        <v>0</v>
      </c>
      <c r="N3966" s="16" t="b">
        <v>0</v>
      </c>
      <c r="O3966" s="16" t="n">
        <v>623.15</v>
      </c>
      <c r="P3966" s="16" t="n">
        <v>291.6950722734227</v>
      </c>
      <c r="Q3966" s="16" t="n">
        <v>3000</v>
      </c>
      <c r="R3966" s="16" t="n">
        <v>600.4409973342326</v>
      </c>
      <c r="S3966" s="16" t="n">
        <v>0.5</v>
      </c>
      <c r="T3966" s="16" t="n">
        <v>0.7095628027471076</v>
      </c>
      <c r="U3966" s="16" t="n">
        <v>0.8264108551487855</v>
      </c>
      <c r="V3966" s="16" t="n">
        <v>0.7996767806616195</v>
      </c>
      <c r="W3966" s="16" t="n">
        <v>0.6046433406450631</v>
      </c>
      <c r="X3966" s="16" t="n">
        <v>0.5390004688983371</v>
      </c>
      <c r="Y3966" s="16" t="n">
        <v>291.6950722734227</v>
      </c>
      <c r="Z3966" s="16" t="n"/>
      <c r="AA3966" s="16" t="n"/>
      <c r="AB3966" s="16" t="n">
        <v>2399.559002665768</v>
      </c>
      <c r="AC3966" s="16" t="n">
        <v>4.996327721323239</v>
      </c>
      <c r="AD3966" s="16" t="n"/>
      <c r="AE3966" s="16" t="n"/>
    </row>
    <row r="3967">
      <c r="A3967" s="16" t="inlineStr">
        <is>
          <t>KF-M09-R2-x_b+P_alta+T_fuente-0003</t>
        </is>
      </c>
      <c r="B3967" s="16" t="inlineStr">
        <is>
          <t>4.3</t>
        </is>
      </c>
      <c r="C3967" s="16" t="inlineStr">
        <is>
          <t>4.3 x_b+P_alta+T_fuente</t>
        </is>
      </c>
      <c r="D3967" s="16" t="inlineStr">
        <is>
          <t>ronda 2</t>
        </is>
      </c>
      <c r="E3967" s="16" t="inlineStr">
        <is>
          <t>KF-M09</t>
        </is>
      </c>
      <c r="F3967" s="16" t="inlineStr">
        <is>
          <t>KF-M09-R2-x_b+P_alta+T_fuente</t>
        </is>
      </c>
      <c r="G3967" s="16" t="inlineStr">
        <is>
          <t>B13-x_b+P_alta+T_fuente</t>
        </is>
      </c>
      <c r="H3967" s="16" t="inlineStr">
        <is>
          <t>lhs</t>
        </is>
      </c>
      <c r="I3967" s="16" t="inlineStr">
        <is>
          <t>INVIABLE</t>
        </is>
      </c>
      <c r="J3967" s="16" t="inlineStr">
        <is>
          <t>INVIABLE</t>
        </is>
      </c>
      <c r="K3967" s="16" t="b">
        <v>1</v>
      </c>
      <c r="L3967" s="16" t="b">
        <v>0</v>
      </c>
      <c r="M3967" s="16" t="b">
        <v>1</v>
      </c>
      <c r="N3967" s="16" t="b">
        <v>0</v>
      </c>
      <c r="O3967" s="16" t="n">
        <v>623.15</v>
      </c>
      <c r="P3967" s="16" t="n">
        <v>293.891425711753</v>
      </c>
      <c r="Q3967" s="16" t="n">
        <v>3000</v>
      </c>
      <c r="R3967" s="16" t="n">
        <v>1048.034598468812</v>
      </c>
      <c r="S3967" s="16" t="n">
        <v>0.5</v>
      </c>
      <c r="T3967" s="16" t="n">
        <v>0.4050288781728138</v>
      </c>
      <c r="U3967" s="16" t="n">
        <v>0.7029288593804162</v>
      </c>
      <c r="V3967" s="16" t="n">
        <v>0.6947553058035696</v>
      </c>
      <c r="W3967" s="16" t="n">
        <v>0.6679460878386809</v>
      </c>
      <c r="X3967" s="16" t="n">
        <v>0.6261620056760172</v>
      </c>
      <c r="Y3967" s="16" t="n">
        <v>293.891425711753</v>
      </c>
      <c r="Z3967" s="16" t="n">
        <v>-0.0082781153602564</v>
      </c>
      <c r="AA3967" s="16" t="n">
        <v>-0.1088815756947383</v>
      </c>
      <c r="AB3967" s="16" t="n">
        <v>1951.965401531188</v>
      </c>
      <c r="AC3967" s="16" t="n">
        <v>2.862500917797016</v>
      </c>
      <c r="AD3967" s="16" t="inlineStr">
        <is>
          <t>O2,O3</t>
        </is>
      </c>
      <c r="AE3967" s="16" t="n"/>
    </row>
    <row r="3968">
      <c r="A3968" s="16" t="inlineStr">
        <is>
          <t>KF-M09-R2-x_b+P_alta+T_fuente-0004</t>
        </is>
      </c>
      <c r="B3968" s="16" t="inlineStr">
        <is>
          <t>4.3</t>
        </is>
      </c>
      <c r="C3968" s="16" t="inlineStr">
        <is>
          <t>4.3 x_b+P_alta+T_fuente</t>
        </is>
      </c>
      <c r="D3968" s="16" t="inlineStr">
        <is>
          <t>ronda 2</t>
        </is>
      </c>
      <c r="E3968" s="16" t="inlineStr">
        <is>
          <t>KF-M09</t>
        </is>
      </c>
      <c r="F3968" s="16" t="inlineStr">
        <is>
          <t>KF-M09-R2-x_b+P_alta+T_fuente</t>
        </is>
      </c>
      <c r="G3968" s="16" t="inlineStr">
        <is>
          <t>B13-x_b+P_alta+T_fuente</t>
        </is>
      </c>
      <c r="H3968" s="16" t="inlineStr">
        <is>
          <t>lhs</t>
        </is>
      </c>
      <c r="I3968" s="16" t="inlineStr">
        <is>
          <t>NO_CONVERGIO</t>
        </is>
      </c>
      <c r="J3968" s="16" t="inlineStr">
        <is>
          <t>NO_CONVERGIO</t>
        </is>
      </c>
      <c r="K3968" s="16" t="b">
        <v>0</v>
      </c>
      <c r="L3968" s="16" t="b">
        <v>0</v>
      </c>
      <c r="M3968" s="16" t="b">
        <v>0</v>
      </c>
      <c r="N3968" s="16" t="b">
        <v>0</v>
      </c>
      <c r="O3968" s="16" t="n">
        <v>623.15</v>
      </c>
      <c r="P3968" s="16" t="n">
        <v>297.1190205592019</v>
      </c>
      <c r="Q3968" s="16" t="n">
        <v>3000</v>
      </c>
      <c r="R3968" s="16" t="n">
        <v>982.4723690496352</v>
      </c>
      <c r="S3968" s="16" t="n">
        <v>0.5</v>
      </c>
      <c r="T3968" s="16" t="n">
        <v>0.7756705684538027</v>
      </c>
      <c r="U3968" s="16" t="n">
        <v>0.8211604343960163</v>
      </c>
      <c r="V3968" s="16" t="n">
        <v>0.9267657743790546</v>
      </c>
      <c r="W3968" s="16" t="n">
        <v>0.7821793285082408</v>
      </c>
      <c r="X3968" s="16" t="n">
        <v>0.9281875280302916</v>
      </c>
      <c r="Y3968" s="16" t="n">
        <v>297.1190205592019</v>
      </c>
      <c r="Z3968" s="16" t="n"/>
      <c r="AA3968" s="16" t="n"/>
      <c r="AB3968" s="16" t="n">
        <v>2017.527630950365</v>
      </c>
      <c r="AC3968" s="16" t="n">
        <v>3.053520988994285</v>
      </c>
      <c r="AD3968" s="16" t="n"/>
      <c r="AE3968" s="16" t="n"/>
    </row>
    <row r="3969">
      <c r="A3969" s="16" t="inlineStr">
        <is>
          <t>KF-M09-R2-x_b+P_alta+T_fuente-0005</t>
        </is>
      </c>
      <c r="B3969" s="16" t="inlineStr">
        <is>
          <t>4.3</t>
        </is>
      </c>
      <c r="C3969" s="16" t="inlineStr">
        <is>
          <t>4.3 x_b+P_alta+T_fuente</t>
        </is>
      </c>
      <c r="D3969" s="16" t="inlineStr">
        <is>
          <t>ronda 2</t>
        </is>
      </c>
      <c r="E3969" s="16" t="inlineStr">
        <is>
          <t>KF-M09</t>
        </is>
      </c>
      <c r="F3969" s="16" t="inlineStr">
        <is>
          <t>KF-M09-R2-x_b+P_alta+T_fuente</t>
        </is>
      </c>
      <c r="G3969" s="16" t="inlineStr">
        <is>
          <t>B13-x_b+P_alta+T_fuente</t>
        </is>
      </c>
      <c r="H3969" s="16" t="inlineStr">
        <is>
          <t>lhs</t>
        </is>
      </c>
      <c r="I3969" s="16" t="inlineStr">
        <is>
          <t>CORREGIBLE</t>
        </is>
      </c>
      <c r="J3969" s="16" t="inlineStr">
        <is>
          <t>CORREGIBLE</t>
        </is>
      </c>
      <c r="K3969" s="16" t="b">
        <v>1</v>
      </c>
      <c r="L3969" s="16" t="b">
        <v>0</v>
      </c>
      <c r="M3969" s="16" t="b">
        <v>1</v>
      </c>
      <c r="N3969" s="16" t="b">
        <v>0</v>
      </c>
      <c r="O3969" s="16" t="n">
        <v>623.15</v>
      </c>
      <c r="P3969" s="16" t="n">
        <v>289.8575943795535</v>
      </c>
      <c r="Q3969" s="16" t="n">
        <v>3000</v>
      </c>
      <c r="R3969" s="16" t="n">
        <v>1974.733538765139</v>
      </c>
      <c r="S3969" s="16" t="n">
        <v>0.5</v>
      </c>
      <c r="T3969" s="16" t="n">
        <v>0.5473086868306356</v>
      </c>
      <c r="U3969" s="16" t="n">
        <v>0.7989967404857494</v>
      </c>
      <c r="V3969" s="16" t="n">
        <v>0.6489121531525138</v>
      </c>
      <c r="W3969" s="16" t="n">
        <v>0.4684560493774625</v>
      </c>
      <c r="X3969" s="16" t="n">
        <v>0.7078484234094813</v>
      </c>
      <c r="Y3969" s="16" t="n">
        <v>289.8575943795535</v>
      </c>
      <c r="Z3969" s="16" t="n">
        <v>1.78003087428318</v>
      </c>
      <c r="AA3969" s="16" t="n">
        <v>25.09823549109621</v>
      </c>
      <c r="AB3969" s="16" t="n">
        <v>1025.266461234861</v>
      </c>
      <c r="AC3969" s="16" t="n">
        <v>1.51919230676357</v>
      </c>
      <c r="AD3969" s="16" t="inlineStr">
        <is>
          <t>O2</t>
        </is>
      </c>
      <c r="AE3969" s="16" t="n"/>
    </row>
    <row r="3970">
      <c r="A3970" s="16" t="inlineStr">
        <is>
          <t>KF-M09-R2-x_b+P_alta+T_fuente-0006</t>
        </is>
      </c>
      <c r="B3970" s="16" t="inlineStr">
        <is>
          <t>4.3</t>
        </is>
      </c>
      <c r="C3970" s="16" t="inlineStr">
        <is>
          <t>4.3 x_b+P_alta+T_fuente</t>
        </is>
      </c>
      <c r="D3970" s="16" t="inlineStr">
        <is>
          <t>ronda 2</t>
        </is>
      </c>
      <c r="E3970" s="16" t="inlineStr">
        <is>
          <t>KF-M09</t>
        </is>
      </c>
      <c r="F3970" s="16" t="inlineStr">
        <is>
          <t>KF-M09-R2-x_b+P_alta+T_fuente</t>
        </is>
      </c>
      <c r="G3970" s="16" t="inlineStr">
        <is>
          <t>B13-x_b+P_alta+T_fuente</t>
        </is>
      </c>
      <c r="H3970" s="16" t="inlineStr">
        <is>
          <t>lhs</t>
        </is>
      </c>
      <c r="I3970" s="16" t="inlineStr">
        <is>
          <t>CORREGIBLE</t>
        </is>
      </c>
      <c r="J3970" s="16" t="inlineStr">
        <is>
          <t>CORREGIBLE</t>
        </is>
      </c>
      <c r="K3970" s="16" t="b">
        <v>1</v>
      </c>
      <c r="L3970" s="16" t="b">
        <v>0</v>
      </c>
      <c r="M3970" s="16" t="b">
        <v>1</v>
      </c>
      <c r="N3970" s="16" t="b">
        <v>0</v>
      </c>
      <c r="O3970" s="16" t="n">
        <v>623.15</v>
      </c>
      <c r="P3970" s="16" t="n">
        <v>284.0684403246783</v>
      </c>
      <c r="Q3970" s="16" t="n">
        <v>3000</v>
      </c>
      <c r="R3970" s="16" t="n">
        <v>1292.696340970301</v>
      </c>
      <c r="S3970" s="16" t="n">
        <v>0.5</v>
      </c>
      <c r="T3970" s="16" t="n">
        <v>0.4993220775288852</v>
      </c>
      <c r="U3970" s="16" t="n">
        <v>0.5276052688115257</v>
      </c>
      <c r="V3970" s="16" t="n">
        <v>0.5781174721136231</v>
      </c>
      <c r="W3970" s="16" t="n">
        <v>0.5013732947681542</v>
      </c>
      <c r="X3970" s="16" t="n">
        <v>0.7371901406387382</v>
      </c>
      <c r="Y3970" s="16" t="n">
        <v>284.0684403246783</v>
      </c>
      <c r="Z3970" s="16" t="n">
        <v>2.95399382831127</v>
      </c>
      <c r="AA3970" s="16" t="n">
        <v>39.03488829743333</v>
      </c>
      <c r="AB3970" s="16" t="n">
        <v>1707.303659029699</v>
      </c>
      <c r="AC3970" s="16" t="n">
        <v>2.320730634812652</v>
      </c>
      <c r="AD3970" s="16" t="inlineStr">
        <is>
          <t>O2</t>
        </is>
      </c>
      <c r="AE3970" s="16" t="n"/>
    </row>
    <row r="3971">
      <c r="A3971" s="16" t="inlineStr">
        <is>
          <t>KF-M09-R2-x_b+P_alta+T_fuente-0007</t>
        </is>
      </c>
      <c r="B3971" s="16" t="inlineStr">
        <is>
          <t>4.3</t>
        </is>
      </c>
      <c r="C3971" s="16" t="inlineStr">
        <is>
          <t>4.3 x_b+P_alta+T_fuente</t>
        </is>
      </c>
      <c r="D3971" s="16" t="inlineStr">
        <is>
          <t>ronda 2</t>
        </is>
      </c>
      <c r="E3971" s="16" t="inlineStr">
        <is>
          <t>KF-M09</t>
        </is>
      </c>
      <c r="F3971" s="16" t="inlineStr">
        <is>
          <t>KF-M09-R2-x_b+P_alta+T_fuente</t>
        </is>
      </c>
      <c r="G3971" s="16" t="inlineStr">
        <is>
          <t>B13-x_b+P_alta+T_fuente</t>
        </is>
      </c>
      <c r="H3971" s="16" t="inlineStr">
        <is>
          <t>lhs</t>
        </is>
      </c>
      <c r="I3971" s="16" t="inlineStr">
        <is>
          <t>NO_CONVERGIO</t>
        </is>
      </c>
      <c r="J3971" s="16" t="inlineStr">
        <is>
          <t>NO_CONVERGIO</t>
        </is>
      </c>
      <c r="K3971" s="16" t="b">
        <v>0</v>
      </c>
      <c r="L3971" s="16" t="b">
        <v>0</v>
      </c>
      <c r="M3971" s="16" t="b">
        <v>0</v>
      </c>
      <c r="N3971" s="16" t="b">
        <v>0</v>
      </c>
      <c r="O3971" s="16" t="n">
        <v>623.15</v>
      </c>
      <c r="P3971" s="16" t="n">
        <v>292.8257146550196</v>
      </c>
      <c r="Q3971" s="16" t="n">
        <v>3000</v>
      </c>
      <c r="R3971" s="16" t="n">
        <v>399.0231998928173</v>
      </c>
      <c r="S3971" s="16" t="n">
        <v>0.5</v>
      </c>
      <c r="T3971" s="16" t="n">
        <v>0.7944026582662227</v>
      </c>
      <c r="U3971" s="16" t="n">
        <v>0.6730018511034969</v>
      </c>
      <c r="V3971" s="16" t="n">
        <v>0.4748565752381944</v>
      </c>
      <c r="W3971" s="16" t="n">
        <v>0.9183914113464494</v>
      </c>
      <c r="X3971" s="16" t="n">
        <v>0.913030508487872</v>
      </c>
      <c r="Y3971" s="16" t="n">
        <v>292.8257146550196</v>
      </c>
      <c r="Z3971" s="16" t="n"/>
      <c r="AA3971" s="16" t="n"/>
      <c r="AB3971" s="16" t="n">
        <v>2600.976800107182</v>
      </c>
      <c r="AC3971" s="16" t="n">
        <v>7.518359836735905</v>
      </c>
      <c r="AD3971" s="16" t="n"/>
      <c r="AE3971" s="16" t="n"/>
    </row>
    <row r="3972">
      <c r="A3972" s="16" t="inlineStr">
        <is>
          <t>KF-M09-R2-x_b+P_alta+T_fuente-0008</t>
        </is>
      </c>
      <c r="B3972" s="16" t="inlineStr">
        <is>
          <t>4.3</t>
        </is>
      </c>
      <c r="C3972" s="16" t="inlineStr">
        <is>
          <t>4.3 x_b+P_alta+T_fuente</t>
        </is>
      </c>
      <c r="D3972" s="16" t="inlineStr">
        <is>
          <t>ronda 2</t>
        </is>
      </c>
      <c r="E3972" s="16" t="inlineStr">
        <is>
          <t>KF-M09</t>
        </is>
      </c>
      <c r="F3972" s="16" t="inlineStr">
        <is>
          <t>KF-M09-R2-x_b+P_alta+T_fuente</t>
        </is>
      </c>
      <c r="G3972" s="16" t="inlineStr">
        <is>
          <t>B13-x_b+P_alta+T_fuente</t>
        </is>
      </c>
      <c r="H3972" s="16" t="inlineStr">
        <is>
          <t>lhs</t>
        </is>
      </c>
      <c r="I3972" s="16" t="inlineStr">
        <is>
          <t>CORREGIBLE</t>
        </is>
      </c>
      <c r="J3972" s="16" t="inlineStr">
        <is>
          <t>CORREGIBLE</t>
        </is>
      </c>
      <c r="K3972" s="16" t="b">
        <v>1</v>
      </c>
      <c r="L3972" s="16" t="b">
        <v>0</v>
      </c>
      <c r="M3972" s="16" t="b">
        <v>1</v>
      </c>
      <c r="N3972" s="16" t="b">
        <v>0</v>
      </c>
      <c r="O3972" s="16" t="n">
        <v>623.15</v>
      </c>
      <c r="P3972" s="16" t="n">
        <v>280.3106386064868</v>
      </c>
      <c r="Q3972" s="16" t="n">
        <v>3000</v>
      </c>
      <c r="R3972" s="16" t="n">
        <v>1475.918512447287</v>
      </c>
      <c r="S3972" s="16" t="n">
        <v>0.5</v>
      </c>
      <c r="T3972" s="16" t="n">
        <v>0.4403552798468607</v>
      </c>
      <c r="U3972" s="16" t="n">
        <v>0.7625820111018182</v>
      </c>
      <c r="V3972" s="16" t="n">
        <v>0.6580943409921782</v>
      </c>
      <c r="W3972" s="16" t="n">
        <v>0.7156345642819939</v>
      </c>
      <c r="X3972" s="16" t="n">
        <v>0.5986415952160927</v>
      </c>
      <c r="Y3972" s="16" t="n">
        <v>280.3106386064868</v>
      </c>
      <c r="Z3972" s="16" t="n">
        <v>0.77122704643355</v>
      </c>
      <c r="AA3972" s="16" t="n">
        <v>9.747809292999854</v>
      </c>
      <c r="AB3972" s="16" t="n">
        <v>1524.081487552713</v>
      </c>
      <c r="AC3972" s="16" t="n">
        <v>2.032632543530852</v>
      </c>
      <c r="AD3972" s="16" t="inlineStr">
        <is>
          <t>O2</t>
        </is>
      </c>
      <c r="AE3972" s="16" t="n"/>
    </row>
    <row r="3973">
      <c r="A3973" s="16" t="inlineStr">
        <is>
          <t>KF-M09-R2-x_b+P_alta+T_fuente-0009</t>
        </is>
      </c>
      <c r="B3973" s="16" t="inlineStr">
        <is>
          <t>4.3</t>
        </is>
      </c>
      <c r="C3973" s="16" t="inlineStr">
        <is>
          <t>4.3 x_b+P_alta+T_fuente</t>
        </is>
      </c>
      <c r="D3973" s="16" t="inlineStr">
        <is>
          <t>ronda 2</t>
        </is>
      </c>
      <c r="E3973" s="16" t="inlineStr">
        <is>
          <t>KF-M09</t>
        </is>
      </c>
      <c r="F3973" s="16" t="inlineStr">
        <is>
          <t>KF-M09-R2-x_b+P_alta+T_fuente</t>
        </is>
      </c>
      <c r="G3973" s="16" t="inlineStr">
        <is>
          <t>B13-x_b+P_alta+T_fuente</t>
        </is>
      </c>
      <c r="H3973" s="16" t="inlineStr">
        <is>
          <t>lhs</t>
        </is>
      </c>
      <c r="I3973" s="16" t="inlineStr">
        <is>
          <t>INVIABLE</t>
        </is>
      </c>
      <c r="J3973" s="16" t="inlineStr">
        <is>
          <t>INVIABLE</t>
        </is>
      </c>
      <c r="K3973" s="16" t="b">
        <v>1</v>
      </c>
      <c r="L3973" s="16" t="b">
        <v>0</v>
      </c>
      <c r="M3973" s="16" t="b">
        <v>1</v>
      </c>
      <c r="N3973" s="16" t="b">
        <v>0</v>
      </c>
      <c r="O3973" s="16" t="n">
        <v>623.15</v>
      </c>
      <c r="P3973" s="16" t="n">
        <v>294.5422602316461</v>
      </c>
      <c r="Q3973" s="16" t="n">
        <v>3000</v>
      </c>
      <c r="R3973" s="16" t="n">
        <v>835.8929498511238</v>
      </c>
      <c r="S3973" s="16" t="n">
        <v>0.5</v>
      </c>
      <c r="T3973" s="16" t="n">
        <v>0.5171683885317958</v>
      </c>
      <c r="U3973" s="16" t="n">
        <v>0.4714045566985723</v>
      </c>
      <c r="V3973" s="16" t="n">
        <v>0.5546868534528477</v>
      </c>
      <c r="W3973" s="16" t="n">
        <v>0.4773093860289317</v>
      </c>
      <c r="X3973" s="16" t="n">
        <v>0.552011203230666</v>
      </c>
      <c r="Y3973" s="16" t="n">
        <v>294.5422602316461</v>
      </c>
      <c r="Z3973" s="16" t="n">
        <v>-5.35649535137402</v>
      </c>
      <c r="AA3973" s="16" t="n">
        <v>-52.30175187267869</v>
      </c>
      <c r="AB3973" s="16" t="n">
        <v>2164.107050148876</v>
      </c>
      <c r="AC3973" s="16" t="n">
        <v>3.588976316326526</v>
      </c>
      <c r="AD3973" s="16" t="inlineStr">
        <is>
          <t>O2,O3</t>
        </is>
      </c>
      <c r="AE3973" s="16" t="n"/>
    </row>
    <row r="3974">
      <c r="A3974" s="16" t="inlineStr">
        <is>
          <t>KF-M09-R2-x_b+P_alta+T_fuente-0010</t>
        </is>
      </c>
      <c r="B3974" s="16" t="inlineStr">
        <is>
          <t>4.3</t>
        </is>
      </c>
      <c r="C3974" s="16" t="inlineStr">
        <is>
          <t>4.3 x_b+P_alta+T_fuente</t>
        </is>
      </c>
      <c r="D3974" s="16" t="inlineStr">
        <is>
          <t>ronda 2</t>
        </is>
      </c>
      <c r="E3974" s="16" t="inlineStr">
        <is>
          <t>KF-M09</t>
        </is>
      </c>
      <c r="F3974" s="16" t="inlineStr">
        <is>
          <t>KF-M09-R2-x_b+P_alta+T_fuente</t>
        </is>
      </c>
      <c r="G3974" s="16" t="inlineStr">
        <is>
          <t>B13-x_b+P_alta+T_fuente</t>
        </is>
      </c>
      <c r="H3974" s="16" t="inlineStr">
        <is>
          <t>lhs</t>
        </is>
      </c>
      <c r="I3974" s="16" t="inlineStr">
        <is>
          <t>NO_CONVERGIO</t>
        </is>
      </c>
      <c r="J3974" s="16" t="inlineStr">
        <is>
          <t>NO_CONVERGIO</t>
        </is>
      </c>
      <c r="K3974" s="16" t="b">
        <v>0</v>
      </c>
      <c r="L3974" s="16" t="b">
        <v>0</v>
      </c>
      <c r="M3974" s="16" t="b">
        <v>0</v>
      </c>
      <c r="N3974" s="16" t="b">
        <v>0</v>
      </c>
      <c r="O3974" s="16" t="n">
        <v>623.15</v>
      </c>
      <c r="P3974" s="16" t="n">
        <v>282.2612186015493</v>
      </c>
      <c r="Q3974" s="16" t="n">
        <v>3000</v>
      </c>
      <c r="R3974" s="16" t="n">
        <v>311.1661409391682</v>
      </c>
      <c r="S3974" s="16" t="n">
        <v>0.5</v>
      </c>
      <c r="T3974" s="16" t="n">
        <v>0.8274866159148471</v>
      </c>
      <c r="U3974" s="16" t="n">
        <v>0.6170340451994893</v>
      </c>
      <c r="V3974" s="16" t="n">
        <v>0.8606384624055397</v>
      </c>
      <c r="W3974" s="16" t="n">
        <v>0.5819880384148691</v>
      </c>
      <c r="X3974" s="16" t="n">
        <v>0.7748964603500613</v>
      </c>
      <c r="Y3974" s="16" t="n">
        <v>282.2612186015493</v>
      </c>
      <c r="Z3974" s="16" t="n"/>
      <c r="AA3974" s="16" t="n"/>
      <c r="AB3974" s="16" t="n">
        <v>2688.833859060832</v>
      </c>
      <c r="AC3974" s="16" t="n">
        <v>9.641151800595454</v>
      </c>
      <c r="AD3974" s="16" t="n"/>
      <c r="AE3974" s="16" t="n"/>
    </row>
    <row r="3975">
      <c r="A3975" s="16" t="inlineStr">
        <is>
          <t>KF-M09-R2-x_b+P_alta+T_fuente-0011</t>
        </is>
      </c>
      <c r="B3975" s="16" t="inlineStr">
        <is>
          <t>4.3</t>
        </is>
      </c>
      <c r="C3975" s="16" t="inlineStr">
        <is>
          <t>4.3 x_b+P_alta+T_fuente</t>
        </is>
      </c>
      <c r="D3975" s="16" t="inlineStr">
        <is>
          <t>ronda 2</t>
        </is>
      </c>
      <c r="E3975" s="16" t="inlineStr">
        <is>
          <t>KF-M09</t>
        </is>
      </c>
      <c r="F3975" s="16" t="inlineStr">
        <is>
          <t>KF-M09-R2-x_b+P_alta+T_fuente</t>
        </is>
      </c>
      <c r="G3975" s="16" t="inlineStr">
        <is>
          <t>B13-x_b+P_alta+T_fuente</t>
        </is>
      </c>
      <c r="H3975" s="16" t="inlineStr">
        <is>
          <t>lhs</t>
        </is>
      </c>
      <c r="I3975" s="16" t="inlineStr">
        <is>
          <t>KALINA</t>
        </is>
      </c>
      <c r="J3975" s="16" t="inlineStr">
        <is>
          <t>KALINA</t>
        </is>
      </c>
      <c r="K3975" s="16" t="b">
        <v>1</v>
      </c>
      <c r="L3975" s="16" t="b">
        <v>0</v>
      </c>
      <c r="M3975" s="16" t="b">
        <v>1</v>
      </c>
      <c r="N3975" s="16" t="b">
        <v>0</v>
      </c>
      <c r="O3975" s="16" t="n">
        <v>623.15</v>
      </c>
      <c r="P3975" s="16" t="n">
        <v>285.5316268226995</v>
      </c>
      <c r="Q3975" s="16" t="n">
        <v>3000</v>
      </c>
      <c r="R3975" s="16" t="n">
        <v>1815.694643058688</v>
      </c>
      <c r="S3975" s="16" t="n">
        <v>0.5</v>
      </c>
      <c r="T3975" s="16" t="n">
        <v>0.6853157004362564</v>
      </c>
      <c r="U3975" s="16" t="n">
        <v>0.770636033726113</v>
      </c>
      <c r="V3975" s="16" t="n">
        <v>0.4457077580634314</v>
      </c>
      <c r="W3975" s="16" t="n">
        <v>0.8904097744952528</v>
      </c>
      <c r="X3975" s="16" t="n">
        <v>0.8123711934892608</v>
      </c>
      <c r="Y3975" s="16" t="n">
        <v>285.5316268226995</v>
      </c>
      <c r="Z3975" s="16" t="n">
        <v>3.07784247910903</v>
      </c>
      <c r="AA3975" s="16" t="n">
        <v>32.30924658332599</v>
      </c>
      <c r="AB3975" s="16" t="n">
        <v>1184.305356941312</v>
      </c>
      <c r="AC3975" s="16" t="n">
        <v>1.652260203260969</v>
      </c>
      <c r="AD3975" s="16" t="n"/>
      <c r="AE3975" s="16" t="n"/>
    </row>
    <row r="3976">
      <c r="A3976" s="16" t="inlineStr">
        <is>
          <t>KF-M09-R2-x_b+P_alta+T_fuente-0012</t>
        </is>
      </c>
      <c r="B3976" s="16" t="inlineStr">
        <is>
          <t>4.3</t>
        </is>
      </c>
      <c r="C3976" s="16" t="inlineStr">
        <is>
          <t>4.3 x_b+P_alta+T_fuente</t>
        </is>
      </c>
      <c r="D3976" s="16" t="inlineStr">
        <is>
          <t>ronda 2</t>
        </is>
      </c>
      <c r="E3976" s="16" t="inlineStr">
        <is>
          <t>KF-M09</t>
        </is>
      </c>
      <c r="F3976" s="16" t="inlineStr">
        <is>
          <t>KF-M09-R2-x_b+P_alta+T_fuente</t>
        </is>
      </c>
      <c r="G3976" s="16" t="inlineStr">
        <is>
          <t>B13-x_b+P_alta+T_fuente</t>
        </is>
      </c>
      <c r="H3976" s="16" t="inlineStr">
        <is>
          <t>lhs</t>
        </is>
      </c>
      <c r="I3976" s="16" t="inlineStr">
        <is>
          <t>NO_CONVERGIO</t>
        </is>
      </c>
      <c r="J3976" s="16" t="inlineStr">
        <is>
          <t>NO_CONVERGIO</t>
        </is>
      </c>
      <c r="K3976" s="16" t="b">
        <v>0</v>
      </c>
      <c r="L3976" s="16" t="b">
        <v>0</v>
      </c>
      <c r="M3976" s="16" t="b">
        <v>0</v>
      </c>
      <c r="N3976" s="16" t="b">
        <v>0</v>
      </c>
      <c r="O3976" s="16" t="n">
        <v>623.15</v>
      </c>
      <c r="P3976" s="16" t="n">
        <v>289.130480019032</v>
      </c>
      <c r="Q3976" s="16" t="n">
        <v>3000</v>
      </c>
      <c r="R3976" s="16" t="n">
        <v>1230.69005868023</v>
      </c>
      <c r="S3976" s="16" t="n">
        <v>0.5</v>
      </c>
      <c r="T3976" s="16" t="n">
        <v>0.4558416440637962</v>
      </c>
      <c r="U3976" s="16" t="n">
        <v>0.4479816752045392</v>
      </c>
      <c r="V3976" s="16" t="n">
        <v>0.8981971738319032</v>
      </c>
      <c r="W3976" s="16" t="n">
        <v>0.7646510871393803</v>
      </c>
      <c r="X3976" s="16" t="n">
        <v>0.410205388194882</v>
      </c>
      <c r="Y3976" s="16" t="n">
        <v>289.130480019032</v>
      </c>
      <c r="Z3976" s="16" t="n"/>
      <c r="AA3976" s="16" t="n"/>
      <c r="AB3976" s="16" t="n">
        <v>1769.30994131977</v>
      </c>
      <c r="AC3976" s="16" t="n">
        <v>2.437656807935173</v>
      </c>
      <c r="AD3976" s="16" t="n"/>
      <c r="AE3976" s="16" t="n"/>
    </row>
    <row r="3977">
      <c r="A3977" s="16" t="inlineStr">
        <is>
          <t>KF-M09-R2-x_b+P_alta+T_fuente-0013</t>
        </is>
      </c>
      <c r="B3977" s="16" t="inlineStr">
        <is>
          <t>4.3</t>
        </is>
      </c>
      <c r="C3977" s="16" t="inlineStr">
        <is>
          <t>4.3 x_b+P_alta+T_fuente</t>
        </is>
      </c>
      <c r="D3977" s="16" t="inlineStr">
        <is>
          <t>ronda 2</t>
        </is>
      </c>
      <c r="E3977" s="16" t="inlineStr">
        <is>
          <t>KF-M09</t>
        </is>
      </c>
      <c r="F3977" s="16" t="inlineStr">
        <is>
          <t>KF-M09-R2-x_b+P_alta+T_fuente</t>
        </is>
      </c>
      <c r="G3977" s="16" t="inlineStr">
        <is>
          <t>B13-x_b+P_alta+T_fuente</t>
        </is>
      </c>
      <c r="H3977" s="16" t="inlineStr">
        <is>
          <t>lhs</t>
        </is>
      </c>
      <c r="I3977" s="16" t="inlineStr">
        <is>
          <t>CORREGIBLE</t>
        </is>
      </c>
      <c r="J3977" s="16" t="inlineStr">
        <is>
          <t>CORREGIBLE</t>
        </is>
      </c>
      <c r="K3977" s="16" t="b">
        <v>1</v>
      </c>
      <c r="L3977" s="16" t="b">
        <v>0</v>
      </c>
      <c r="M3977" s="16" t="b">
        <v>1</v>
      </c>
      <c r="N3977" s="16" t="b">
        <v>0</v>
      </c>
      <c r="O3977" s="16" t="n">
        <v>623.15</v>
      </c>
      <c r="P3977" s="16" t="n">
        <v>298.3977312618284</v>
      </c>
      <c r="Q3977" s="16" t="n">
        <v>3000</v>
      </c>
      <c r="R3977" s="16" t="n">
        <v>422.7708757810038</v>
      </c>
      <c r="S3977" s="16" t="n">
        <v>0.5</v>
      </c>
      <c r="T3977" s="16" t="n">
        <v>0.8894184429641003</v>
      </c>
      <c r="U3977" s="16" t="n">
        <v>0.5682946261243337</v>
      </c>
      <c r="V3977" s="16" t="n">
        <v>0.6209151204565988</v>
      </c>
      <c r="W3977" s="16" t="n">
        <v>0.6381976258190162</v>
      </c>
      <c r="X3977" s="16" t="n">
        <v>0.8523547748662951</v>
      </c>
      <c r="Y3977" s="16" t="n">
        <v>298.3977312618284</v>
      </c>
      <c r="Z3977" s="16" t="n">
        <v>13.43570048604713</v>
      </c>
      <c r="AA3977" s="16" t="n">
        <v>201.2469544469369</v>
      </c>
      <c r="AB3977" s="16" t="n">
        <v>2577.229124218996</v>
      </c>
      <c r="AC3977" s="16" t="n">
        <v>7.096042258014968</v>
      </c>
      <c r="AD3977" s="16" t="inlineStr">
        <is>
          <t>O1,O2</t>
        </is>
      </c>
      <c r="AE3977" s="16" t="n"/>
    </row>
    <row r="3978">
      <c r="A3978" s="16" t="inlineStr">
        <is>
          <t>KF-M09-R2-x_b+P_alta+T_fuente-0014</t>
        </is>
      </c>
      <c r="B3978" s="16" t="inlineStr">
        <is>
          <t>4.3</t>
        </is>
      </c>
      <c r="C3978" s="16" t="inlineStr">
        <is>
          <t>4.3 x_b+P_alta+T_fuente</t>
        </is>
      </c>
      <c r="D3978" s="16" t="inlineStr">
        <is>
          <t>ronda 2</t>
        </is>
      </c>
      <c r="E3978" s="16" t="inlineStr">
        <is>
          <t>KF-M09</t>
        </is>
      </c>
      <c r="F3978" s="16" t="inlineStr">
        <is>
          <t>KF-M09-R2-x_b+P_alta+T_fuente</t>
        </is>
      </c>
      <c r="G3978" s="16" t="inlineStr">
        <is>
          <t>B13-x_b+P_alta+T_fuente</t>
        </is>
      </c>
      <c r="H3978" s="16" t="inlineStr">
        <is>
          <t>lhs</t>
        </is>
      </c>
      <c r="I3978" s="16" t="inlineStr">
        <is>
          <t>CORREGIBLE</t>
        </is>
      </c>
      <c r="J3978" s="16" t="inlineStr">
        <is>
          <t>CORREGIBLE</t>
        </is>
      </c>
      <c r="K3978" s="16" t="b">
        <v>1</v>
      </c>
      <c r="L3978" s="16" t="b">
        <v>0</v>
      </c>
      <c r="M3978" s="16" t="b">
        <v>1</v>
      </c>
      <c r="N3978" s="16" t="b">
        <v>0</v>
      </c>
      <c r="O3978" s="16" t="n">
        <v>623.15</v>
      </c>
      <c r="P3978" s="16" t="n">
        <v>295.0987938713042</v>
      </c>
      <c r="Q3978" s="16" t="n">
        <v>3000</v>
      </c>
      <c r="R3978" s="16" t="n">
        <v>1905.45871520001</v>
      </c>
      <c r="S3978" s="16" t="n">
        <v>0.5</v>
      </c>
      <c r="T3978" s="16" t="n">
        <v>0.5397454955544805</v>
      </c>
      <c r="U3978" s="16" t="n">
        <v>0.8429241347406418</v>
      </c>
      <c r="V3978" s="16" t="n">
        <v>0.7839630642774404</v>
      </c>
      <c r="W3978" s="16" t="n">
        <v>0.5901179556326932</v>
      </c>
      <c r="X3978" s="16" t="n">
        <v>0.8007187776346791</v>
      </c>
      <c r="Y3978" s="16" t="n">
        <v>295.0987938713042</v>
      </c>
      <c r="Z3978" s="16" t="n">
        <v>2.18454062442933</v>
      </c>
      <c r="AA3978" s="16" t="n">
        <v>39.46306622705444</v>
      </c>
      <c r="AB3978" s="16" t="n">
        <v>1094.54128479999</v>
      </c>
      <c r="AC3978" s="16" t="n">
        <v>1.574424035571455</v>
      </c>
      <c r="AD3978" s="16" t="inlineStr">
        <is>
          <t>O2</t>
        </is>
      </c>
      <c r="AE3978" s="16" t="n"/>
    </row>
    <row r="3979">
      <c r="A3979" s="16" t="inlineStr">
        <is>
          <t>KF-M09-R2-x_b+P_alta+T_fuente-0015</t>
        </is>
      </c>
      <c r="B3979" s="16" t="inlineStr">
        <is>
          <t>4.3</t>
        </is>
      </c>
      <c r="C3979" s="16" t="inlineStr">
        <is>
          <t>4.3 x_b+P_alta+T_fuente</t>
        </is>
      </c>
      <c r="D3979" s="16" t="inlineStr">
        <is>
          <t>ronda 2</t>
        </is>
      </c>
      <c r="E3979" s="16" t="inlineStr">
        <is>
          <t>KF-M09</t>
        </is>
      </c>
      <c r="F3979" s="16" t="inlineStr">
        <is>
          <t>KF-M09-R2-x_b+P_alta+T_fuente</t>
        </is>
      </c>
      <c r="G3979" s="16" t="inlineStr">
        <is>
          <t>B13-x_b+P_alta+T_fuente</t>
        </is>
      </c>
      <c r="H3979" s="16" t="inlineStr">
        <is>
          <t>lhs</t>
        </is>
      </c>
      <c r="I3979" s="16" t="inlineStr">
        <is>
          <t>INVIABLE</t>
        </is>
      </c>
      <c r="J3979" s="16" t="inlineStr">
        <is>
          <t>INVIABLE</t>
        </is>
      </c>
      <c r="K3979" s="16" t="b">
        <v>1</v>
      </c>
      <c r="L3979" s="16" t="b">
        <v>0</v>
      </c>
      <c r="M3979" s="16" t="b">
        <v>1</v>
      </c>
      <c r="N3979" s="16" t="b">
        <v>0</v>
      </c>
      <c r="O3979" s="16" t="n">
        <v>623.15</v>
      </c>
      <c r="P3979" s="16" t="n">
        <v>301.2924410768845</v>
      </c>
      <c r="Q3979" s="16" t="n">
        <v>3000</v>
      </c>
      <c r="R3979" s="16" t="n">
        <v>1701.945703289876</v>
      </c>
      <c r="S3979" s="16" t="n">
        <v>0.5</v>
      </c>
      <c r="T3979" s="16" t="n">
        <v>0.4292326665812323</v>
      </c>
      <c r="U3979" s="16" t="n">
        <v>0.7201330239383612</v>
      </c>
      <c r="V3979" s="16" t="n">
        <v>0.513328164080237</v>
      </c>
      <c r="W3979" s="16" t="n">
        <v>0.4251267058229641</v>
      </c>
      <c r="X3979" s="16" t="n">
        <v>0.4634362064710768</v>
      </c>
      <c r="Y3979" s="16" t="n">
        <v>301.2924410768845</v>
      </c>
      <c r="Z3979" s="16" t="n">
        <v>-2.03628339407253</v>
      </c>
      <c r="AA3979" s="16" t="n">
        <v>-17.32578034282854</v>
      </c>
      <c r="AB3979" s="16" t="n">
        <v>1298.054296710124</v>
      </c>
      <c r="AC3979" s="16" t="n">
        <v>1.76268843018962</v>
      </c>
      <c r="AD3979" s="16" t="inlineStr">
        <is>
          <t>O2,O3</t>
        </is>
      </c>
      <c r="AE3979" s="16" t="n"/>
    </row>
    <row r="3980">
      <c r="A3980" s="16" t="inlineStr">
        <is>
          <t>KF-M09-R2-x_b+P_alta+T_fuente-0016</t>
        </is>
      </c>
      <c r="B3980" s="16" t="inlineStr">
        <is>
          <t>4.3</t>
        </is>
      </c>
      <c r="C3980" s="16" t="inlineStr">
        <is>
          <t>4.3 x_b+P_alta+T_fuente</t>
        </is>
      </c>
      <c r="D3980" s="16" t="inlineStr">
        <is>
          <t>ronda 2</t>
        </is>
      </c>
      <c r="E3980" s="16" t="inlineStr">
        <is>
          <t>KF-M09</t>
        </is>
      </c>
      <c r="F3980" s="16" t="inlineStr">
        <is>
          <t>KF-M09-R2-x_b+P_alta+T_fuente</t>
        </is>
      </c>
      <c r="G3980" s="16" t="inlineStr">
        <is>
          <t>B13-x_b+P_alta+T_fuente</t>
        </is>
      </c>
      <c r="H3980" s="16" t="inlineStr">
        <is>
          <t>lhs</t>
        </is>
      </c>
      <c r="I3980" s="16" t="inlineStr">
        <is>
          <t>NO_CONVERGIO</t>
        </is>
      </c>
      <c r="J3980" s="16" t="inlineStr">
        <is>
          <t>NO_CONVERGIO</t>
        </is>
      </c>
      <c r="K3980" s="16" t="b">
        <v>0</v>
      </c>
      <c r="L3980" s="16" t="b">
        <v>0</v>
      </c>
      <c r="M3980" s="16" t="b">
        <v>0</v>
      </c>
      <c r="N3980" s="16" t="b">
        <v>0</v>
      </c>
      <c r="O3980" s="16" t="n">
        <v>623.15</v>
      </c>
      <c r="P3980" s="16" t="n">
        <v>290.03109043702</v>
      </c>
      <c r="Q3980" s="16" t="n">
        <v>3000</v>
      </c>
      <c r="R3980" s="16" t="n">
        <v>507.6488705062842</v>
      </c>
      <c r="S3980" s="16" t="n">
        <v>0.5</v>
      </c>
      <c r="T3980" s="16" t="n">
        <v>0.8565993989629384</v>
      </c>
      <c r="U3980" s="16" t="n">
        <v>0.8810170126900031</v>
      </c>
      <c r="V3980" s="16" t="n">
        <v>0.8213564490237628</v>
      </c>
      <c r="W3980" s="16" t="n">
        <v>0.8953660724763436</v>
      </c>
      <c r="X3980" s="16" t="n">
        <v>0.5075268289879843</v>
      </c>
      <c r="Y3980" s="16" t="n">
        <v>290.03109043702</v>
      </c>
      <c r="Z3980" s="16" t="n"/>
      <c r="AA3980" s="16" t="n"/>
      <c r="AB3980" s="16" t="n">
        <v>2492.351129493716</v>
      </c>
      <c r="AC3980" s="16" t="n">
        <v>5.909596522903843</v>
      </c>
      <c r="AD3980" s="16" t="n"/>
      <c r="AE3980" s="16" t="n"/>
    </row>
    <row r="3981">
      <c r="A3981" s="16" t="inlineStr">
        <is>
          <t>KF-M09-R2-x_b+P_alta+T_fuente-0017</t>
        </is>
      </c>
      <c r="B3981" s="16" t="inlineStr">
        <is>
          <t>4.3</t>
        </is>
      </c>
      <c r="C3981" s="16" t="inlineStr">
        <is>
          <t>4.3 x_b+P_alta+T_fuente</t>
        </is>
      </c>
      <c r="D3981" s="16" t="inlineStr">
        <is>
          <t>ronda 2</t>
        </is>
      </c>
      <c r="E3981" s="16" t="inlineStr">
        <is>
          <t>KF-M09</t>
        </is>
      </c>
      <c r="F3981" s="16" t="inlineStr">
        <is>
          <t>KF-M09-R2-x_b+P_alta+T_fuente</t>
        </is>
      </c>
      <c r="G3981" s="16" t="inlineStr">
        <is>
          <t>B13-x_b+P_alta+T_fuente</t>
        </is>
      </c>
      <c r="H3981" s="16" t="inlineStr">
        <is>
          <t>lhs</t>
        </is>
      </c>
      <c r="I3981" s="16" t="inlineStr">
        <is>
          <t>CORREGIBLE</t>
        </is>
      </c>
      <c r="J3981" s="16" t="inlineStr">
        <is>
          <t>CORREGIBLE</t>
        </is>
      </c>
      <c r="K3981" s="16" t="b">
        <v>1</v>
      </c>
      <c r="L3981" s="16" t="b">
        <v>0</v>
      </c>
      <c r="M3981" s="16" t="b">
        <v>1</v>
      </c>
      <c r="N3981" s="16" t="b">
        <v>0</v>
      </c>
      <c r="O3981" s="16" t="n">
        <v>623.15</v>
      </c>
      <c r="P3981" s="16" t="n">
        <v>288.2645411381921</v>
      </c>
      <c r="Q3981" s="16" t="n">
        <v>3000</v>
      </c>
      <c r="R3981" s="16" t="n">
        <v>1569.145839222811</v>
      </c>
      <c r="S3981" s="16" t="n">
        <v>0.5</v>
      </c>
      <c r="T3981" s="16" t="n">
        <v>0.61735390755188</v>
      </c>
      <c r="U3981" s="16" t="n">
        <v>0.5351052044000404</v>
      </c>
      <c r="V3981" s="16" t="n">
        <v>0.4703475180441441</v>
      </c>
      <c r="W3981" s="16" t="n">
        <v>0.9464138917984696</v>
      </c>
      <c r="X3981" s="16" t="n">
        <v>0.7160754127403335</v>
      </c>
      <c r="Y3981" s="16" t="n">
        <v>288.2645411381921</v>
      </c>
      <c r="Z3981" s="16" t="n">
        <v>3.52299430753637</v>
      </c>
      <c r="AA3981" s="16" t="n">
        <v>37.15417900554777</v>
      </c>
      <c r="AB3981" s="16" t="n">
        <v>1430.854160777189</v>
      </c>
      <c r="AC3981" s="16" t="n">
        <v>1.911868180134157</v>
      </c>
      <c r="AD3981" s="16" t="inlineStr">
        <is>
          <t>O2</t>
        </is>
      </c>
      <c r="AE3981" s="16" t="n"/>
    </row>
    <row r="3982">
      <c r="A3982" s="16" t="inlineStr">
        <is>
          <t>KF-M09-R2-x_b+P_alta+T_fuente-0018</t>
        </is>
      </c>
      <c r="B3982" s="16" t="inlineStr">
        <is>
          <t>4.3</t>
        </is>
      </c>
      <c r="C3982" s="16" t="inlineStr">
        <is>
          <t>4.3 x_b+P_alta+T_fuente</t>
        </is>
      </c>
      <c r="D3982" s="16" t="inlineStr">
        <is>
          <t>ronda 2</t>
        </is>
      </c>
      <c r="E3982" s="16" t="inlineStr">
        <is>
          <t>KF-M09</t>
        </is>
      </c>
      <c r="F3982" s="16" t="inlineStr">
        <is>
          <t>KF-M09-R2-x_b+P_alta+T_fuente</t>
        </is>
      </c>
      <c r="G3982" s="16" t="inlineStr">
        <is>
          <t>B13-x_b+P_alta+T_fuente</t>
        </is>
      </c>
      <c r="H3982" s="16" t="inlineStr">
        <is>
          <t>lhs</t>
        </is>
      </c>
      <c r="I3982" s="16" t="inlineStr">
        <is>
          <t>NO_CONVERGIO</t>
        </is>
      </c>
      <c r="J3982" s="16" t="inlineStr">
        <is>
          <t>NO_CONVERGIO</t>
        </is>
      </c>
      <c r="K3982" s="16" t="b">
        <v>0</v>
      </c>
      <c r="L3982" s="16" t="b">
        <v>0</v>
      </c>
      <c r="M3982" s="16" t="b">
        <v>0</v>
      </c>
      <c r="N3982" s="16" t="b">
        <v>0</v>
      </c>
      <c r="O3982" s="16" t="n">
        <v>623.15</v>
      </c>
      <c r="P3982" s="16" t="n">
        <v>302.045227387712</v>
      </c>
      <c r="Q3982" s="16" t="n">
        <v>3000</v>
      </c>
      <c r="R3982" s="16" t="n">
        <v>935.2964635358516</v>
      </c>
      <c r="S3982" s="16" t="n">
        <v>0.5</v>
      </c>
      <c r="T3982" s="16" t="n">
        <v>0.6445804087223888</v>
      </c>
      <c r="U3982" s="16" t="n">
        <v>0.5486598139289991</v>
      </c>
      <c r="V3982" s="16" t="n">
        <v>0.7132206363976792</v>
      </c>
      <c r="W3982" s="16" t="n">
        <v>0.4530214172236048</v>
      </c>
      <c r="X3982" s="16" t="n">
        <v>0.4839921037234778</v>
      </c>
      <c r="Y3982" s="16" t="n">
        <v>302.045227387712</v>
      </c>
      <c r="Z3982" s="16" t="n"/>
      <c r="AA3982" s="16" t="n"/>
      <c r="AB3982" s="16" t="n">
        <v>2064.703536464148</v>
      </c>
      <c r="AC3982" s="16" t="n">
        <v>3.207539124716261</v>
      </c>
      <c r="AD3982" s="16" t="n"/>
      <c r="AE3982" s="16" t="n"/>
    </row>
    <row r="3983">
      <c r="A3983" s="16" t="inlineStr">
        <is>
          <t>KF-M09-R2-x_b+P_alta+T_fuente-0019</t>
        </is>
      </c>
      <c r="B3983" s="16" t="inlineStr">
        <is>
          <t>4.3</t>
        </is>
      </c>
      <c r="C3983" s="16" t="inlineStr">
        <is>
          <t>4.3 x_b+P_alta+T_fuente</t>
        </is>
      </c>
      <c r="D3983" s="16" t="inlineStr">
        <is>
          <t>ronda 2</t>
        </is>
      </c>
      <c r="E3983" s="16" t="inlineStr">
        <is>
          <t>KF-M09</t>
        </is>
      </c>
      <c r="F3983" s="16" t="inlineStr">
        <is>
          <t>KF-M09-R2-x_b+P_alta+T_fuente</t>
        </is>
      </c>
      <c r="G3983" s="16" t="inlineStr">
        <is>
          <t>B13-x_b+P_alta+T_fuente</t>
        </is>
      </c>
      <c r="H3983" s="16" t="inlineStr">
        <is>
          <t>lhs</t>
        </is>
      </c>
      <c r="I3983" s="16" t="inlineStr">
        <is>
          <t>NO_CONVERGIO</t>
        </is>
      </c>
      <c r="J3983" s="16" t="inlineStr">
        <is>
          <t>NO_CONVERGIO</t>
        </is>
      </c>
      <c r="K3983" s="16" t="b">
        <v>0</v>
      </c>
      <c r="L3983" s="16" t="b">
        <v>0</v>
      </c>
      <c r="M3983" s="16" t="b">
        <v>0</v>
      </c>
      <c r="N3983" s="16" t="b">
        <v>0</v>
      </c>
      <c r="O3983" s="16" t="n">
        <v>623.15</v>
      </c>
      <c r="P3983" s="16" t="n">
        <v>299.5415633031322</v>
      </c>
      <c r="Q3983" s="16" t="n">
        <v>3000</v>
      </c>
      <c r="R3983" s="16" t="n">
        <v>1192.44490158747</v>
      </c>
      <c r="S3983" s="16" t="n">
        <v>0.5</v>
      </c>
      <c r="T3983" s="16" t="n">
        <v>0.7502394168066111</v>
      </c>
      <c r="U3983" s="16" t="n">
        <v>0.7359970604980859</v>
      </c>
      <c r="V3983" s="16" t="n">
        <v>0.8291701726500252</v>
      </c>
      <c r="W3983" s="16" t="n">
        <v>0.5621931267283349</v>
      </c>
      <c r="X3983" s="16" t="n">
        <v>0.748591294117495</v>
      </c>
      <c r="Y3983" s="16" t="n">
        <v>299.5415633031322</v>
      </c>
      <c r="Z3983" s="16" t="n"/>
      <c r="AA3983" s="16" t="n"/>
      <c r="AB3983" s="16" t="n">
        <v>1807.55509841253</v>
      </c>
      <c r="AC3983" s="16" t="n">
        <v>2.515839512589789</v>
      </c>
      <c r="AD3983" s="16" t="n"/>
      <c r="AE3983" s="16" t="n"/>
    </row>
    <row r="3984">
      <c r="A3984" s="16" t="inlineStr">
        <is>
          <t>KF-M09-R2-x_b+P_alta+T_fuente-0020</t>
        </is>
      </c>
      <c r="B3984" s="16" t="inlineStr">
        <is>
          <t>4.3</t>
        </is>
      </c>
      <c r="C3984" s="16" t="inlineStr">
        <is>
          <t>4.3 x_b+P_alta+T_fuente</t>
        </is>
      </c>
      <c r="D3984" s="16" t="inlineStr">
        <is>
          <t>ronda 2</t>
        </is>
      </c>
      <c r="E3984" s="16" t="inlineStr">
        <is>
          <t>KF-M09</t>
        </is>
      </c>
      <c r="F3984" s="16" t="inlineStr">
        <is>
          <t>KF-M09-R2-x_b+P_alta+T_fuente</t>
        </is>
      </c>
      <c r="G3984" s="16" t="inlineStr">
        <is>
          <t>B13-x_b+P_alta+T_fuente</t>
        </is>
      </c>
      <c r="H3984" s="16" t="inlineStr">
        <is>
          <t>lhs</t>
        </is>
      </c>
      <c r="I3984" s="16" t="inlineStr">
        <is>
          <t>KALINA</t>
        </is>
      </c>
      <c r="J3984" s="16" t="inlineStr">
        <is>
          <t>KALINA</t>
        </is>
      </c>
      <c r="K3984" s="16" t="b">
        <v>1</v>
      </c>
      <c r="L3984" s="16" t="b">
        <v>0</v>
      </c>
      <c r="M3984" s="16" t="b">
        <v>1</v>
      </c>
      <c r="N3984" s="16" t="b">
        <v>0</v>
      </c>
      <c r="O3984" s="16" t="n">
        <v>623.15</v>
      </c>
      <c r="P3984" s="16" t="n">
        <v>281.3078531211632</v>
      </c>
      <c r="Q3984" s="16" t="n">
        <v>3000</v>
      </c>
      <c r="R3984" s="16" t="n">
        <v>1830.205145779677</v>
      </c>
      <c r="S3984" s="16" t="n">
        <v>0.5</v>
      </c>
      <c r="T3984" s="16" t="n">
        <v>0.6576500146997929</v>
      </c>
      <c r="U3984" s="16" t="n">
        <v>0.6897349085470182</v>
      </c>
      <c r="V3984" s="16" t="n">
        <v>0.4218937394535532</v>
      </c>
      <c r="W3984" s="16" t="n">
        <v>0.7107290378551828</v>
      </c>
      <c r="X3984" s="16" t="n">
        <v>0.9460980564672116</v>
      </c>
      <c r="Y3984" s="16" t="n">
        <v>281.3078531211632</v>
      </c>
      <c r="Z3984" s="16" t="n">
        <v>2.42632357042309</v>
      </c>
      <c r="AA3984" s="16" t="n">
        <v>25.68008121605776</v>
      </c>
      <c r="AB3984" s="16" t="n">
        <v>1169.794854220323</v>
      </c>
      <c r="AC3984" s="16" t="n">
        <v>1.63916050991212</v>
      </c>
      <c r="AD3984" s="16" t="n"/>
      <c r="AE3984" s="16" t="n"/>
    </row>
    <row r="3985">
      <c r="A3985" s="16" t="inlineStr">
        <is>
          <t>KF-M09-R2-x_b+P_alta+T_fuente-0021</t>
        </is>
      </c>
      <c r="B3985" s="16" t="inlineStr">
        <is>
          <t>4.3</t>
        </is>
      </c>
      <c r="C3985" s="16" t="inlineStr">
        <is>
          <t>4.3 x_b+P_alta+T_fuente</t>
        </is>
      </c>
      <c r="D3985" s="16" t="inlineStr">
        <is>
          <t>ronda 2</t>
        </is>
      </c>
      <c r="E3985" s="16" t="inlineStr">
        <is>
          <t>KF-M09</t>
        </is>
      </c>
      <c r="F3985" s="16" t="inlineStr">
        <is>
          <t>KF-M09-R2-x_b+P_alta+T_fuente</t>
        </is>
      </c>
      <c r="G3985" s="16" t="inlineStr">
        <is>
          <t>B13-x_b+P_alta+T_fuente</t>
        </is>
      </c>
      <c r="H3985" s="16" t="inlineStr">
        <is>
          <t>lhs</t>
        </is>
      </c>
      <c r="I3985" s="16" t="inlineStr">
        <is>
          <t>CORREGIBLE</t>
        </is>
      </c>
      <c r="J3985" s="16" t="inlineStr">
        <is>
          <t>CORREGIBLE</t>
        </is>
      </c>
      <c r="K3985" s="16" t="b">
        <v>1</v>
      </c>
      <c r="L3985" s="16" t="b">
        <v>0</v>
      </c>
      <c r="M3985" s="16" t="b">
        <v>1</v>
      </c>
      <c r="N3985" s="16" t="b">
        <v>0</v>
      </c>
      <c r="O3985" s="16" t="n">
        <v>623.15</v>
      </c>
      <c r="P3985" s="16" t="n">
        <v>292.3260151965185</v>
      </c>
      <c r="Q3985" s="16" t="n">
        <v>3000</v>
      </c>
      <c r="R3985" s="16" t="n">
        <v>916.8744501144532</v>
      </c>
      <c r="S3985" s="16" t="n">
        <v>0.5</v>
      </c>
      <c r="T3985" s="16" t="n">
        <v>0.913749680206096</v>
      </c>
      <c r="U3985" s="16" t="n">
        <v>0.9389202455978716</v>
      </c>
      <c r="V3985" s="16" t="n">
        <v>0.6907833096193943</v>
      </c>
      <c r="W3985" s="16" t="n">
        <v>0.5329800310495979</v>
      </c>
      <c r="X3985" s="16" t="n">
        <v>0.4378492477973664</v>
      </c>
      <c r="Y3985" s="16" t="n">
        <v>292.3260151965185</v>
      </c>
      <c r="Z3985" s="16" t="n">
        <v>8.27387830448032</v>
      </c>
      <c r="AA3985" s="16" t="n">
        <v>83.85681201941125</v>
      </c>
      <c r="AB3985" s="16" t="n">
        <v>2083.125549885547</v>
      </c>
      <c r="AC3985" s="16" t="n">
        <v>3.271985602418642</v>
      </c>
      <c r="AD3985" s="16" t="inlineStr">
        <is>
          <t>O2</t>
        </is>
      </c>
      <c r="AE3985" s="16" t="n"/>
    </row>
    <row r="3986">
      <c r="A3986" s="16" t="inlineStr">
        <is>
          <t>KF-M09-R2-x_b+P_alta+T_fuente-0022</t>
        </is>
      </c>
      <c r="B3986" s="16" t="inlineStr">
        <is>
          <t>4.3</t>
        </is>
      </c>
      <c r="C3986" s="16" t="inlineStr">
        <is>
          <t>4.3 x_b+P_alta+T_fuente</t>
        </is>
      </c>
      <c r="D3986" s="16" t="inlineStr">
        <is>
          <t>ronda 2</t>
        </is>
      </c>
      <c r="E3986" s="16" t="inlineStr">
        <is>
          <t>KF-M09</t>
        </is>
      </c>
      <c r="F3986" s="16" t="inlineStr">
        <is>
          <t>KF-M09-R2-x_b+P_alta+T_fuente</t>
        </is>
      </c>
      <c r="G3986" s="16" t="inlineStr">
        <is>
          <t>B13-x_b+P_alta+T_fuente</t>
        </is>
      </c>
      <c r="H3986" s="16" t="inlineStr">
        <is>
          <t>lhs</t>
        </is>
      </c>
      <c r="I3986" s="16" t="inlineStr">
        <is>
          <t>CORREGIBLE</t>
        </is>
      </c>
      <c r="J3986" s="16" t="inlineStr">
        <is>
          <t>CORREGIBLE</t>
        </is>
      </c>
      <c r="K3986" s="16" t="b">
        <v>1</v>
      </c>
      <c r="L3986" s="16" t="b">
        <v>0</v>
      </c>
      <c r="M3986" s="16" t="b">
        <v>1</v>
      </c>
      <c r="N3986" s="16" t="b">
        <v>0</v>
      </c>
      <c r="O3986" s="16" t="n">
        <v>623.15</v>
      </c>
      <c r="P3986" s="16" t="n">
        <v>303.078613737314</v>
      </c>
      <c r="Q3986" s="16" t="n">
        <v>3000</v>
      </c>
      <c r="R3986" s="16" t="n">
        <v>545.0225146667292</v>
      </c>
      <c r="S3986" s="16" t="n">
        <v>0.5</v>
      </c>
      <c r="T3986" s="16" t="n">
        <v>0.9028437462566063</v>
      </c>
      <c r="U3986" s="16" t="n">
        <v>0.4076984229239016</v>
      </c>
      <c r="V3986" s="16" t="n">
        <v>0.7570760008304964</v>
      </c>
      <c r="W3986" s="16" t="n">
        <v>0.7346062414686341</v>
      </c>
      <c r="X3986" s="16" t="n">
        <v>0.8749836074817792</v>
      </c>
      <c r="Y3986" s="16" t="n">
        <v>303.078613737314</v>
      </c>
      <c r="Z3986" s="16" t="n">
        <v>11.97916141314135</v>
      </c>
      <c r="AA3986" s="16" t="n">
        <v>220.2237101333046</v>
      </c>
      <c r="AB3986" s="16" t="n">
        <v>2454.977485333271</v>
      </c>
      <c r="AC3986" s="16" t="n">
        <v>5.504359763622687</v>
      </c>
      <c r="AD3986" s="16" t="inlineStr">
        <is>
          <t>O2</t>
        </is>
      </c>
      <c r="AE3986" s="16" t="n"/>
    </row>
    <row r="3987">
      <c r="A3987" s="16" t="inlineStr">
        <is>
          <t>KF-M09-R2-x_b+P_alta+T_fuente-0023</t>
        </is>
      </c>
      <c r="B3987" s="16" t="inlineStr">
        <is>
          <t>4.3</t>
        </is>
      </c>
      <c r="C3987" s="16" t="inlineStr">
        <is>
          <t>4.3 x_b+P_alta+T_fuente</t>
        </is>
      </c>
      <c r="D3987" s="16" t="inlineStr">
        <is>
          <t>ronda 2</t>
        </is>
      </c>
      <c r="E3987" s="16" t="inlineStr">
        <is>
          <t>KF-M09</t>
        </is>
      </c>
      <c r="F3987" s="16" t="inlineStr">
        <is>
          <t>KF-M09-R2-x_b+P_alta+T_fuente</t>
        </is>
      </c>
      <c r="G3987" s="16" t="inlineStr">
        <is>
          <t>B13-x_b+P_alta+T_fuente</t>
        </is>
      </c>
      <c r="H3987" s="16" t="inlineStr">
        <is>
          <t>lhs</t>
        </is>
      </c>
      <c r="I3987" s="16" t="inlineStr">
        <is>
          <t>KALINA</t>
        </is>
      </c>
      <c r="J3987" s="16" t="inlineStr">
        <is>
          <t>KALINA</t>
        </is>
      </c>
      <c r="K3987" s="16" t="b">
        <v>1</v>
      </c>
      <c r="L3987" s="16" t="b">
        <v>0</v>
      </c>
      <c r="M3987" s="16" t="b">
        <v>1</v>
      </c>
      <c r="N3987" s="16" t="b">
        <v>0</v>
      </c>
      <c r="O3987" s="16" t="n">
        <v>623.15</v>
      </c>
      <c r="P3987" s="16" t="n">
        <v>285.9287357580789</v>
      </c>
      <c r="Q3987" s="16" t="n">
        <v>3000</v>
      </c>
      <c r="R3987" s="16" t="n">
        <v>1400.378800273782</v>
      </c>
      <c r="S3987" s="16" t="n">
        <v>0.5</v>
      </c>
      <c r="T3987" s="16" t="n">
        <v>0.5887975352417638</v>
      </c>
      <c r="U3987" s="16" t="n">
        <v>0.4215749272174103</v>
      </c>
      <c r="V3987" s="16" t="n">
        <v>0.6069099473210591</v>
      </c>
      <c r="W3987" s="16" t="n">
        <v>0.8211816104047669</v>
      </c>
      <c r="X3987" s="16" t="n">
        <v>0.8273980602471588</v>
      </c>
      <c r="Y3987" s="16" t="n">
        <v>285.9287357580789</v>
      </c>
      <c r="Z3987" s="16" t="n">
        <v>3.8231087074842</v>
      </c>
      <c r="AA3987" s="16" t="n">
        <v>55.45096620755481</v>
      </c>
      <c r="AB3987" s="16" t="n">
        <v>1599.621199726218</v>
      </c>
      <c r="AC3987" s="16" t="n">
        <v>2.142277503353724</v>
      </c>
      <c r="AD3987" s="16" t="n"/>
      <c r="AE3987" s="16" t="n"/>
    </row>
    <row r="3988">
      <c r="A3988" s="16" t="inlineStr">
        <is>
          <t>KF-M09-R2-x_b+P_alta+T_fuente-0024</t>
        </is>
      </c>
      <c r="B3988" s="16" t="inlineStr">
        <is>
          <t>4.3</t>
        </is>
      </c>
      <c r="C3988" s="16" t="inlineStr">
        <is>
          <t>4.3 x_b+P_alta+T_fuente</t>
        </is>
      </c>
      <c r="D3988" s="16" t="inlineStr">
        <is>
          <t>ronda 2</t>
        </is>
      </c>
      <c r="E3988" s="16" t="inlineStr">
        <is>
          <t>KF-M09</t>
        </is>
      </c>
      <c r="F3988" s="16" t="inlineStr">
        <is>
          <t>KF-M09-R2-x_b+P_alta+T_fuente</t>
        </is>
      </c>
      <c r="G3988" s="16" t="inlineStr">
        <is>
          <t>B13-x_b+P_alta+T_fuente</t>
        </is>
      </c>
      <c r="H3988" s="16" t="inlineStr">
        <is>
          <t>lhs</t>
        </is>
      </c>
      <c r="I3988" s="16" t="inlineStr">
        <is>
          <t>NO_CONVERGIO</t>
        </is>
      </c>
      <c r="J3988" s="16" t="inlineStr">
        <is>
          <t>NO_CONVERGIO</t>
        </is>
      </c>
      <c r="K3988" s="16" t="b">
        <v>0</v>
      </c>
      <c r="L3988" s="16" t="b">
        <v>0</v>
      </c>
      <c r="M3988" s="16" t="b">
        <v>0</v>
      </c>
      <c r="N3988" s="16" t="b">
        <v>0</v>
      </c>
      <c r="O3988" s="16" t="n">
        <v>623.15</v>
      </c>
      <c r="P3988" s="16" t="n">
        <v>287.2314789195482</v>
      </c>
      <c r="Q3988" s="16" t="n">
        <v>3000</v>
      </c>
      <c r="R3988" s="16" t="n">
        <v>1541.091075198467</v>
      </c>
      <c r="S3988" s="16" t="n">
        <v>0.5</v>
      </c>
      <c r="T3988" s="16" t="n">
        <v>0.7335663305016051</v>
      </c>
      <c r="U3988" s="16" t="n">
        <v>0.6000820126796704</v>
      </c>
      <c r="V3988" s="16" t="n">
        <v>0.8410071726641275</v>
      </c>
      <c r="W3988" s="16" t="n">
        <v>0.8732002234255767</v>
      </c>
      <c r="X3988" s="16" t="n">
        <v>0.4313822375835836</v>
      </c>
      <c r="Y3988" s="16" t="n">
        <v>287.2314789195482</v>
      </c>
      <c r="Z3988" s="16" t="n"/>
      <c r="AA3988" s="16" t="n"/>
      <c r="AB3988" s="16" t="n">
        <v>1458.908924801533</v>
      </c>
      <c r="AC3988" s="16" t="n">
        <v>1.946672749119418</v>
      </c>
      <c r="AD3988" s="16" t="n"/>
      <c r="AE3988" s="16" t="n"/>
    </row>
    <row r="3989">
      <c r="A3989" s="16" t="inlineStr">
        <is>
          <t>KF-M09-R2-x_b+P_alta+T_fuente-0025</t>
        </is>
      </c>
      <c r="B3989" s="16" t="inlineStr">
        <is>
          <t>4.3</t>
        </is>
      </c>
      <c r="C3989" s="16" t="inlineStr">
        <is>
          <t>4.3 x_b+P_alta+T_fuente</t>
        </is>
      </c>
      <c r="D3989" s="16" t="inlineStr">
        <is>
          <t>ronda 2</t>
        </is>
      </c>
      <c r="E3989" s="16" t="inlineStr">
        <is>
          <t>KF-M09</t>
        </is>
      </c>
      <c r="F3989" s="16" t="inlineStr">
        <is>
          <t>KF-M09-R2-x_b+P_alta+T_fuente</t>
        </is>
      </c>
      <c r="G3989" s="16" t="inlineStr">
        <is>
          <t>B13-x_b+P_alta+T_fuente</t>
        </is>
      </c>
      <c r="H3989" s="16" t="inlineStr">
        <is>
          <t>lhs</t>
        </is>
      </c>
      <c r="I3989" s="16" t="inlineStr">
        <is>
          <t>CORREGIBLE</t>
        </is>
      </c>
      <c r="J3989" s="16" t="inlineStr">
        <is>
          <t>CORREGIBLE</t>
        </is>
      </c>
      <c r="K3989" s="16" t="b">
        <v>1</v>
      </c>
      <c r="L3989" s="16" t="b">
        <v>0</v>
      </c>
      <c r="M3989" s="16" t="b">
        <v>1</v>
      </c>
      <c r="N3989" s="16" t="b">
        <v>0</v>
      </c>
      <c r="O3989" s="16" t="n">
        <v>623.15</v>
      </c>
      <c r="P3989" s="16" t="n">
        <v>296.4302191407729</v>
      </c>
      <c r="Q3989" s="16" t="n">
        <v>3000</v>
      </c>
      <c r="R3989" s="16" t="n">
        <v>651.3341518407349</v>
      </c>
      <c r="S3989" s="16" t="n">
        <v>0.5</v>
      </c>
      <c r="T3989" s="16" t="n">
        <v>0.5702120596219586</v>
      </c>
      <c r="U3989" s="16" t="n">
        <v>0.9093596588331484</v>
      </c>
      <c r="V3989" s="16" t="n">
        <v>0.5448074416613077</v>
      </c>
      <c r="W3989" s="16" t="n">
        <v>0.8265751851212897</v>
      </c>
      <c r="X3989" s="16" t="n">
        <v>0.5243726527836166</v>
      </c>
      <c r="Y3989" s="16" t="n">
        <v>296.4302191407729</v>
      </c>
      <c r="Z3989" s="16" t="n">
        <v>2.53008089840514</v>
      </c>
      <c r="AA3989" s="16" t="n">
        <v>24.3654611128585</v>
      </c>
      <c r="AB3989" s="16" t="n">
        <v>2348.665848159265</v>
      </c>
      <c r="AC3989" s="16" t="n">
        <v>4.60593075232076</v>
      </c>
      <c r="AD3989" s="16" t="inlineStr">
        <is>
          <t>O2</t>
        </is>
      </c>
      <c r="AE3989" s="16" t="n"/>
    </row>
    <row r="3990">
      <c r="A3990" s="16" t="inlineStr">
        <is>
          <t>KF-M09-R2-x_b+P_alta+T_fuente-0026</t>
        </is>
      </c>
      <c r="B3990" s="16" t="inlineStr">
        <is>
          <t>4.3</t>
        </is>
      </c>
      <c r="C3990" s="16" t="inlineStr">
        <is>
          <t>4.3 x_b+P_alta+T_fuente</t>
        </is>
      </c>
      <c r="D3990" s="16" t="inlineStr">
        <is>
          <t>ronda 2</t>
        </is>
      </c>
      <c r="E3990" s="16" t="inlineStr">
        <is>
          <t>KF-M09</t>
        </is>
      </c>
      <c r="F3990" s="16" t="inlineStr">
        <is>
          <t>KF-M09-R2-x_b+P_alta+T_fuente</t>
        </is>
      </c>
      <c r="G3990" s="16" t="inlineStr">
        <is>
          <t>B13-x_b+P_alta+T_fuente</t>
        </is>
      </c>
      <c r="H3990" s="16" t="inlineStr">
        <is>
          <t>lhs</t>
        </is>
      </c>
      <c r="I3990" s="16" t="inlineStr">
        <is>
          <t>CORREGIBLE</t>
        </is>
      </c>
      <c r="J3990" s="16" t="inlineStr">
        <is>
          <t>CORREGIBLE</t>
        </is>
      </c>
      <c r="K3990" s="16" t="b">
        <v>1</v>
      </c>
      <c r="L3990" s="16" t="b">
        <v>0</v>
      </c>
      <c r="M3990" s="16" t="b">
        <v>1</v>
      </c>
      <c r="N3990" s="16" t="b">
        <v>0</v>
      </c>
      <c r="O3990" s="16" t="n">
        <v>623.15</v>
      </c>
      <c r="P3990" s="16" t="n">
        <v>282.4332008209312</v>
      </c>
      <c r="Q3990" s="16" t="n">
        <v>3000</v>
      </c>
      <c r="R3990" s="16" t="n">
        <v>1637.133267781828</v>
      </c>
      <c r="S3990" s="16" t="n">
        <v>0.5</v>
      </c>
      <c r="T3990" s="16" t="n">
        <v>0.7150306314452732</v>
      </c>
      <c r="U3990" s="16" t="n">
        <v>0.6319120808890645</v>
      </c>
      <c r="V3990" s="16" t="n">
        <v>0.7340136521407201</v>
      </c>
      <c r="W3990" s="16" t="n">
        <v>0.6846413334901269</v>
      </c>
      <c r="X3990" s="16" t="n">
        <v>0.6692324581420136</v>
      </c>
      <c r="Y3990" s="16" t="n">
        <v>282.4332008209312</v>
      </c>
      <c r="Z3990" s="16" t="n">
        <v>2.9638166217489</v>
      </c>
      <c r="AA3990" s="16" t="n">
        <v>44.5878930306328</v>
      </c>
      <c r="AB3990" s="16" t="n">
        <v>1362.866732218172</v>
      </c>
      <c r="AC3990" s="16" t="n">
        <v>1.8324714664584</v>
      </c>
      <c r="AD3990" s="16" t="inlineStr">
        <is>
          <t>O2</t>
        </is>
      </c>
      <c r="AE3990" s="16" t="n"/>
    </row>
    <row r="3991">
      <c r="A3991" s="16" t="inlineStr">
        <is>
          <t>KF-M09-R2-x_b+P_alta+T_fuente-0027</t>
        </is>
      </c>
      <c r="B3991" s="16" t="inlineStr">
        <is>
          <t>4.3</t>
        </is>
      </c>
      <c r="C3991" s="16" t="inlineStr">
        <is>
          <t>4.3 x_b+P_alta+T_fuente</t>
        </is>
      </c>
      <c r="D3991" s="16" t="inlineStr">
        <is>
          <t>ronda 2</t>
        </is>
      </c>
      <c r="E3991" s="16" t="inlineStr">
        <is>
          <t>KF-M09</t>
        </is>
      </c>
      <c r="F3991" s="16" t="inlineStr">
        <is>
          <t>KF-M09-R2-x_b+P_alta+T_fuente</t>
        </is>
      </c>
      <c r="G3991" s="16" t="inlineStr">
        <is>
          <t>B13-x_b+P_alta+T_fuente</t>
        </is>
      </c>
      <c r="H3991" s="16" t="inlineStr">
        <is>
          <t>lhs</t>
        </is>
      </c>
      <c r="I3991" s="16" t="inlineStr">
        <is>
          <t>CORREGIBLE</t>
        </is>
      </c>
      <c r="J3991" s="16" t="inlineStr">
        <is>
          <t>CORREGIBLE</t>
        </is>
      </c>
      <c r="K3991" s="16" t="b">
        <v>1</v>
      </c>
      <c r="L3991" s="16" t="b">
        <v>0</v>
      </c>
      <c r="M3991" s="16" t="b">
        <v>1</v>
      </c>
      <c r="N3991" s="16" t="b">
        <v>0</v>
      </c>
      <c r="O3991" s="16" t="n">
        <v>623.15</v>
      </c>
      <c r="P3991" s="16" t="n">
        <v>300.4282987282664</v>
      </c>
      <c r="Q3991" s="16" t="n">
        <v>3000</v>
      </c>
      <c r="R3991" s="16" t="n">
        <v>1353.558019845526</v>
      </c>
      <c r="S3991" s="16" t="n">
        <v>0.5</v>
      </c>
      <c r="T3991" s="16" t="n">
        <v>0.4892095123483372</v>
      </c>
      <c r="U3991" s="16" t="n">
        <v>0.8764073057519822</v>
      </c>
      <c r="V3991" s="16" t="n">
        <v>0.4097101644455598</v>
      </c>
      <c r="W3991" s="16" t="n">
        <v>0.802740849622757</v>
      </c>
      <c r="X3991" s="16" t="n">
        <v>0.6885105735571986</v>
      </c>
      <c r="Y3991" s="16" t="n">
        <v>300.4282987282664</v>
      </c>
      <c r="Z3991" s="16" t="n">
        <v>3.06122264474106</v>
      </c>
      <c r="AA3991" s="16" t="n">
        <v>27.81648773169434</v>
      </c>
      <c r="AB3991" s="16" t="n">
        <v>1646.441980154474</v>
      </c>
      <c r="AC3991" s="16" t="n">
        <v>2.216380794923274</v>
      </c>
      <c r="AD3991" s="16" t="inlineStr">
        <is>
          <t>O2</t>
        </is>
      </c>
      <c r="AE3991" s="16" t="n"/>
    </row>
    <row r="3992">
      <c r="A3992" s="16" t="inlineStr">
        <is>
          <t>KF-M09-R2-x_b+P_alta+T_fuente-0028</t>
        </is>
      </c>
      <c r="B3992" s="16" t="inlineStr">
        <is>
          <t>4.3</t>
        </is>
      </c>
      <c r="C3992" s="16" t="inlineStr">
        <is>
          <t>4.3 x_b+P_alta+T_fuente</t>
        </is>
      </c>
      <c r="D3992" s="16" t="inlineStr">
        <is>
          <t>ronda 2</t>
        </is>
      </c>
      <c r="E3992" s="16" t="inlineStr">
        <is>
          <t>KF-M09</t>
        </is>
      </c>
      <c r="F3992" s="16" t="inlineStr">
        <is>
          <t>KF-M09-R2-x_b+P_alta+T_fuente</t>
        </is>
      </c>
      <c r="G3992" s="16" t="inlineStr">
        <is>
          <t>B13-x_b+P_alta+T_fuente</t>
        </is>
      </c>
      <c r="H3992" s="16" t="inlineStr">
        <is>
          <t>lhs</t>
        </is>
      </c>
      <c r="I3992" s="16" t="inlineStr">
        <is>
          <t>CORREGIBLE</t>
        </is>
      </c>
      <c r="J3992" s="16" t="inlineStr">
        <is>
          <t>CORREGIBLE</t>
        </is>
      </c>
      <c r="K3992" s="16" t="b">
        <v>1</v>
      </c>
      <c r="L3992" s="16" t="b">
        <v>0</v>
      </c>
      <c r="M3992" s="16" t="b">
        <v>1</v>
      </c>
      <c r="N3992" s="16" t="b">
        <v>0</v>
      </c>
      <c r="O3992" s="16" t="n">
        <v>623.15</v>
      </c>
      <c r="P3992" s="16" t="n">
        <v>278.6035681835484</v>
      </c>
      <c r="Q3992" s="16" t="n">
        <v>3000</v>
      </c>
      <c r="R3992" s="16" t="n">
        <v>794.7328802754308</v>
      </c>
      <c r="S3992" s="16" t="n">
        <v>0.5</v>
      </c>
      <c r="T3992" s="16" t="n">
        <v>0.8167040321132031</v>
      </c>
      <c r="U3992" s="16" t="n">
        <v>0.928313511666417</v>
      </c>
      <c r="V3992" s="16" t="n">
        <v>0.5969665918523156</v>
      </c>
      <c r="W3992" s="16" t="n">
        <v>0.6523569221728328</v>
      </c>
      <c r="X3992" s="16" t="n">
        <v>0.618385253579259</v>
      </c>
      <c r="Y3992" s="16" t="n">
        <v>278.6035681835484</v>
      </c>
      <c r="Z3992" s="16" t="n">
        <v>8.487679688741249</v>
      </c>
      <c r="AA3992" s="16" t="n">
        <v>103.9796351288541</v>
      </c>
      <c r="AB3992" s="16" t="n">
        <v>2205.267119724569</v>
      </c>
      <c r="AC3992" s="16" t="n">
        <v>3.77485325504626</v>
      </c>
      <c r="AD3992" s="16" t="inlineStr">
        <is>
          <t>O2</t>
        </is>
      </c>
      <c r="AE3992" s="16" t="n"/>
    </row>
    <row r="3993">
      <c r="A3993" s="16" t="inlineStr">
        <is>
          <t>KF-M09-R2-x_b+P_alta+T_fuente-0029</t>
        </is>
      </c>
      <c r="B3993" s="16" t="inlineStr">
        <is>
          <t>4.3</t>
        </is>
      </c>
      <c r="C3993" s="16" t="inlineStr">
        <is>
          <t>4.3 x_b+P_alta+T_fuente</t>
        </is>
      </c>
      <c r="D3993" s="16" t="inlineStr">
        <is>
          <t>ronda 2</t>
        </is>
      </c>
      <c r="E3993" s="16" t="inlineStr">
        <is>
          <t>KF-M09</t>
        </is>
      </c>
      <c r="F3993" s="16" t="inlineStr">
        <is>
          <t>KF-M09-R2-x_b+P_alta+T_fuente</t>
        </is>
      </c>
      <c r="G3993" s="16" t="inlineStr">
        <is>
          <t>B13-x_b+P_alta+T_fuente</t>
        </is>
      </c>
      <c r="H3993" s="16" t="inlineStr">
        <is>
          <t>lhs</t>
        </is>
      </c>
      <c r="I3993" s="16" t="inlineStr">
        <is>
          <t>CORREGIBLE</t>
        </is>
      </c>
      <c r="J3993" s="16" t="inlineStr">
        <is>
          <t>CORREGIBLE</t>
        </is>
      </c>
      <c r="K3993" s="16" t="b">
        <v>1</v>
      </c>
      <c r="L3993" s="16" t="b">
        <v>0</v>
      </c>
      <c r="M3993" s="16" t="b">
        <v>1</v>
      </c>
      <c r="N3993" s="16" t="b">
        <v>0</v>
      </c>
      <c r="O3993" s="16" t="n">
        <v>623.15</v>
      </c>
      <c r="P3993" s="16" t="n">
        <v>284.6409554509154</v>
      </c>
      <c r="Q3993" s="16" t="n">
        <v>3000</v>
      </c>
      <c r="R3993" s="16" t="n">
        <v>1737.290088710322</v>
      </c>
      <c r="S3993" s="16" t="n">
        <v>0.5</v>
      </c>
      <c r="T3993" s="16" t="n">
        <v>0.9433418273026264</v>
      </c>
      <c r="U3993" s="16" t="n">
        <v>0.5033273725100242</v>
      </c>
      <c r="V3993" s="16" t="n">
        <v>0.4972271185829919</v>
      </c>
      <c r="W3993" s="16" t="n">
        <v>0.510189374100438</v>
      </c>
      <c r="X3993" s="16" t="n">
        <v>0.6543449480160415</v>
      </c>
      <c r="Y3993" s="16" t="n">
        <v>284.6409554509154</v>
      </c>
      <c r="Z3993" s="16" t="n">
        <v>4.02870396015216</v>
      </c>
      <c r="AA3993" s="16" t="n">
        <v>43.74815889357529</v>
      </c>
      <c r="AB3993" s="16" t="n">
        <v>1262.709911289678</v>
      </c>
      <c r="AC3993" s="16" t="n">
        <v>1.72682732693597</v>
      </c>
      <c r="AD3993" s="16" t="inlineStr">
        <is>
          <t>O2</t>
        </is>
      </c>
      <c r="AE3993" s="16" t="n"/>
    </row>
    <row r="3994">
      <c r="A3994" s="16" t="inlineStr">
        <is>
          <t>KF-M09-R2-x_b+P_alta+eficiencias-0000</t>
        </is>
      </c>
      <c r="B3994" s="16" t="inlineStr">
        <is>
          <t>4.3</t>
        </is>
      </c>
      <c r="C3994" s="16" t="inlineStr">
        <is>
          <t>4.3 x_b+P_alta+eficiencias</t>
        </is>
      </c>
      <c r="D3994" s="16" t="inlineStr">
        <is>
          <t>ronda 2</t>
        </is>
      </c>
      <c r="E3994" s="16" t="inlineStr">
        <is>
          <t>KF-M09</t>
        </is>
      </c>
      <c r="F3994" s="16" t="inlineStr">
        <is>
          <t>KF-M09-R2-x_b+P_alta+eficiencias</t>
        </is>
      </c>
      <c r="G3994" s="16" t="inlineStr">
        <is>
          <t>B13-x_b+P_alta+eficiencias</t>
        </is>
      </c>
      <c r="H3994" s="16" t="inlineStr">
        <is>
          <t>lhs</t>
        </is>
      </c>
      <c r="I3994" s="16" t="inlineStr">
        <is>
          <t>KALINA</t>
        </is>
      </c>
      <c r="J3994" s="16" t="inlineStr">
        <is>
          <t>KALINA</t>
        </is>
      </c>
      <c r="K3994" s="16" t="b">
        <v>1</v>
      </c>
      <c r="L3994" s="16" t="b">
        <v>0</v>
      </c>
      <c r="M3994" s="16" t="b">
        <v>1</v>
      </c>
      <c r="N3994" s="16" t="b">
        <v>0</v>
      </c>
      <c r="O3994" s="16" t="n">
        <v>433.6578582413249</v>
      </c>
      <c r="P3994" s="16" t="n">
        <v>288.8844805129172</v>
      </c>
      <c r="Q3994" s="16" t="n">
        <v>3000</v>
      </c>
      <c r="R3994" s="16" t="n">
        <v>1343.409792866931</v>
      </c>
      <c r="S3994" s="16" t="n">
        <v>0.5</v>
      </c>
      <c r="T3994" s="16" t="n">
        <v>0.85</v>
      </c>
      <c r="U3994" s="16" t="n">
        <v>0.75</v>
      </c>
      <c r="V3994" s="16" t="n">
        <v>0.85</v>
      </c>
      <c r="W3994" s="16" t="n">
        <v>0.75</v>
      </c>
      <c r="X3994" s="16" t="n">
        <v>0.8</v>
      </c>
      <c r="Y3994" s="16" t="n">
        <v>288.8844805129172</v>
      </c>
      <c r="Z3994" s="16" t="n">
        <v>5.58632243988607</v>
      </c>
      <c r="AA3994" s="16" t="n">
        <v>38.98713066192948</v>
      </c>
      <c r="AB3994" s="16" t="n">
        <v>1656.590207133069</v>
      </c>
      <c r="AC3994" s="16" t="n">
        <v>2.233123515943553</v>
      </c>
      <c r="AD3994" s="16" t="n"/>
      <c r="AE3994" s="16" t="n"/>
    </row>
    <row r="3995">
      <c r="A3995" s="16" t="inlineStr">
        <is>
          <t>KF-M09-R2-x_b+P_alta+eficiencias-0001</t>
        </is>
      </c>
      <c r="B3995" s="16" t="inlineStr">
        <is>
          <t>4.3</t>
        </is>
      </c>
      <c r="C3995" s="16" t="inlineStr">
        <is>
          <t>4.3 x_b+P_alta+eficiencias</t>
        </is>
      </c>
      <c r="D3995" s="16" t="inlineStr">
        <is>
          <t>ronda 2</t>
        </is>
      </c>
      <c r="E3995" s="16" t="inlineStr">
        <is>
          <t>KF-M09</t>
        </is>
      </c>
      <c r="F3995" s="16" t="inlineStr">
        <is>
          <t>KF-M09-R2-x_b+P_alta+eficiencias</t>
        </is>
      </c>
      <c r="G3995" s="16" t="inlineStr">
        <is>
          <t>B13-x_b+P_alta+eficiencias</t>
        </is>
      </c>
      <c r="H3995" s="16" t="inlineStr">
        <is>
          <t>lhs</t>
        </is>
      </c>
      <c r="I3995" s="16" t="inlineStr">
        <is>
          <t>KALINA</t>
        </is>
      </c>
      <c r="J3995" s="16" t="inlineStr">
        <is>
          <t>KALINA</t>
        </is>
      </c>
      <c r="K3995" s="16" t="b">
        <v>1</v>
      </c>
      <c r="L3995" s="16" t="b">
        <v>1</v>
      </c>
      <c r="M3995" s="16" t="b">
        <v>0</v>
      </c>
      <c r="N3995" s="16" t="b">
        <v>0</v>
      </c>
      <c r="O3995" s="16" t="n">
        <v>411.2669845760941</v>
      </c>
      <c r="P3995" s="16" t="n">
        <v>278.4061491741137</v>
      </c>
      <c r="Q3995" s="16" t="n">
        <v>3000</v>
      </c>
      <c r="R3995" s="16" t="n">
        <v>1807.931266362591</v>
      </c>
      <c r="S3995" s="16" t="n">
        <v>0.5</v>
      </c>
      <c r="T3995" s="16" t="n">
        <v>0.85</v>
      </c>
      <c r="U3995" s="16" t="n">
        <v>0.75</v>
      </c>
      <c r="V3995" s="16" t="n">
        <v>0.85</v>
      </c>
      <c r="W3995" s="16" t="n">
        <v>0.75</v>
      </c>
      <c r="X3995" s="16" t="n">
        <v>0.8</v>
      </c>
      <c r="Y3995" s="16" t="n">
        <v>278.4061491741137</v>
      </c>
      <c r="Z3995" s="16" t="n">
        <v>2.77037004633625</v>
      </c>
      <c r="AA3995" s="16" t="n">
        <v>11.94593429873966</v>
      </c>
      <c r="AB3995" s="16" t="n">
        <v>1192.068733637409</v>
      </c>
      <c r="AC3995" s="16" t="n">
        <v>1.659355118093484</v>
      </c>
      <c r="AD3995" s="16" t="n"/>
      <c r="AE3995" s="16" t="n"/>
    </row>
    <row r="3996">
      <c r="A3996" s="16" t="inlineStr">
        <is>
          <t>KF-M09-R2-x_b+P_alta+eficiencias-0002</t>
        </is>
      </c>
      <c r="B3996" s="16" t="inlineStr">
        <is>
          <t>4.3</t>
        </is>
      </c>
      <c r="C3996" s="16" t="inlineStr">
        <is>
          <t>4.3 x_b+P_alta+eficiencias</t>
        </is>
      </c>
      <c r="D3996" s="16" t="inlineStr">
        <is>
          <t>ronda 2</t>
        </is>
      </c>
      <c r="E3996" s="16" t="inlineStr">
        <is>
          <t>KF-M09</t>
        </is>
      </c>
      <c r="F3996" s="16" t="inlineStr">
        <is>
          <t>KF-M09-R2-x_b+P_alta+eficiencias</t>
        </is>
      </c>
      <c r="G3996" s="16" t="inlineStr">
        <is>
          <t>B13-x_b+P_alta+eficiencias</t>
        </is>
      </c>
      <c r="H3996" s="16" t="inlineStr">
        <is>
          <t>lhs</t>
        </is>
      </c>
      <c r="I3996" s="16" t="inlineStr">
        <is>
          <t>CORREGIBLE</t>
        </is>
      </c>
      <c r="J3996" s="16" t="inlineStr">
        <is>
          <t>CORREGIBLE</t>
        </is>
      </c>
      <c r="K3996" s="16" t="b">
        <v>1</v>
      </c>
      <c r="L3996" s="16" t="b">
        <v>0</v>
      </c>
      <c r="M3996" s="16" t="b">
        <v>1</v>
      </c>
      <c r="N3996" s="16" t="b">
        <v>0</v>
      </c>
      <c r="O3996" s="16" t="n">
        <v>466.7231743406385</v>
      </c>
      <c r="P3996" s="16" t="n">
        <v>294.6153479134911</v>
      </c>
      <c r="Q3996" s="16" t="n">
        <v>3000</v>
      </c>
      <c r="R3996" s="16" t="n">
        <v>755.1429941177939</v>
      </c>
      <c r="S3996" s="16" t="n">
        <v>0.5</v>
      </c>
      <c r="T3996" s="16" t="n">
        <v>0.85</v>
      </c>
      <c r="U3996" s="16" t="n">
        <v>0.75</v>
      </c>
      <c r="V3996" s="16" t="n">
        <v>0.85</v>
      </c>
      <c r="W3996" s="16" t="n">
        <v>0.75</v>
      </c>
      <c r="X3996" s="16" t="n">
        <v>0.8</v>
      </c>
      <c r="Y3996" s="16" t="n">
        <v>294.6153479134911</v>
      </c>
      <c r="Z3996" s="16" t="n">
        <v>9.90717405122224</v>
      </c>
      <c r="AA3996" s="16" t="n">
        <v>141.1704249286071</v>
      </c>
      <c r="AB3996" s="16" t="n">
        <v>2244.857005882206</v>
      </c>
      <c r="AC3996" s="16" t="n">
        <v>3.972757508668661</v>
      </c>
      <c r="AD3996" s="16" t="inlineStr">
        <is>
          <t>O2</t>
        </is>
      </c>
      <c r="AE3996" s="16" t="n"/>
    </row>
    <row r="3997">
      <c r="A3997" s="16" t="inlineStr">
        <is>
          <t>KF-M09-R2-x_b+P_alta+eficiencias-0003</t>
        </is>
      </c>
      <c r="B3997" s="16" t="inlineStr">
        <is>
          <t>4.3</t>
        </is>
      </c>
      <c r="C3997" s="16" t="inlineStr">
        <is>
          <t>4.3 x_b+P_alta+eficiencias</t>
        </is>
      </c>
      <c r="D3997" s="16" t="inlineStr">
        <is>
          <t>ronda 2</t>
        </is>
      </c>
      <c r="E3997" s="16" t="inlineStr">
        <is>
          <t>KF-M09</t>
        </is>
      </c>
      <c r="F3997" s="16" t="inlineStr">
        <is>
          <t>KF-M09-R2-x_b+P_alta+eficiencias</t>
        </is>
      </c>
      <c r="G3997" s="16" t="inlineStr">
        <is>
          <t>B13-x_b+P_alta+eficiencias</t>
        </is>
      </c>
      <c r="H3997" s="16" t="inlineStr">
        <is>
          <t>lhs</t>
        </is>
      </c>
      <c r="I3997" s="16" t="inlineStr">
        <is>
          <t>INVIABLE</t>
        </is>
      </c>
      <c r="J3997" s="16" t="inlineStr">
        <is>
          <t>INVIABLE</t>
        </is>
      </c>
      <c r="K3997" s="16" t="b">
        <v>1</v>
      </c>
      <c r="L3997" s="16" t="b">
        <v>0</v>
      </c>
      <c r="M3997" s="16" t="b">
        <v>0</v>
      </c>
      <c r="N3997" s="16" t="b">
        <v>0</v>
      </c>
      <c r="O3997" s="16" t="n">
        <v>387.8507793087217</v>
      </c>
      <c r="P3997" s="16" t="n">
        <v>281.0255119469977</v>
      </c>
      <c r="Q3997" s="16" t="n">
        <v>3000</v>
      </c>
      <c r="R3997" s="16" t="n">
        <v>1899.235386585173</v>
      </c>
      <c r="S3997" s="16" t="n">
        <v>0.5</v>
      </c>
      <c r="T3997" s="16" t="n">
        <v>0.85</v>
      </c>
      <c r="U3997" s="16" t="n">
        <v>0.75</v>
      </c>
      <c r="V3997" s="16" t="n">
        <v>0.85</v>
      </c>
      <c r="W3997" s="16" t="n">
        <v>0.75</v>
      </c>
      <c r="X3997" s="16" t="n">
        <v>0.8</v>
      </c>
      <c r="Y3997" s="16" t="n">
        <v>281.0255119469977</v>
      </c>
      <c r="Z3997" s="16" t="n">
        <v>-0.81721103809782</v>
      </c>
      <c r="AA3997" s="16" t="n">
        <v>-1.094236683879392</v>
      </c>
      <c r="AB3997" s="16" t="n">
        <v>1100.764613414826</v>
      </c>
      <c r="AC3997" s="16" t="n">
        <v>1.579583037042081</v>
      </c>
      <c r="AD3997" s="16" t="inlineStr">
        <is>
          <t>O3</t>
        </is>
      </c>
      <c r="AE3997" s="16" t="n"/>
    </row>
    <row r="3998">
      <c r="A3998" s="16" t="inlineStr">
        <is>
          <t>KF-M09-R2-x_b+P_alta+eficiencias-0004</t>
        </is>
      </c>
      <c r="B3998" s="16" t="inlineStr">
        <is>
          <t>4.3</t>
        </is>
      </c>
      <c r="C3998" s="16" t="inlineStr">
        <is>
          <t>4.3 x_b+P_alta+eficiencias</t>
        </is>
      </c>
      <c r="D3998" s="16" t="inlineStr">
        <is>
          <t>ronda 2</t>
        </is>
      </c>
      <c r="E3998" s="16" t="inlineStr">
        <is>
          <t>KF-M09</t>
        </is>
      </c>
      <c r="F3998" s="16" t="inlineStr">
        <is>
          <t>KF-M09-R2-x_b+P_alta+eficiencias</t>
        </is>
      </c>
      <c r="G3998" s="16" t="inlineStr">
        <is>
          <t>B13-x_b+P_alta+eficiencias</t>
        </is>
      </c>
      <c r="H3998" s="16" t="inlineStr">
        <is>
          <t>lhs</t>
        </is>
      </c>
      <c r="I3998" s="16" t="inlineStr">
        <is>
          <t>CORREGIBLE</t>
        </is>
      </c>
      <c r="J3998" s="16" t="inlineStr">
        <is>
          <t>CORREGIBLE</t>
        </is>
      </c>
      <c r="K3998" s="16" t="b">
        <v>1</v>
      </c>
      <c r="L3998" s="16" t="b">
        <v>0</v>
      </c>
      <c r="M3998" s="16" t="b">
        <v>1</v>
      </c>
      <c r="N3998" s="16" t="b">
        <v>0</v>
      </c>
      <c r="O3998" s="16" t="n">
        <v>488.5003939469602</v>
      </c>
      <c r="P3998" s="16" t="n">
        <v>289.4865086334434</v>
      </c>
      <c r="Q3998" s="16" t="n">
        <v>3000</v>
      </c>
      <c r="R3998" s="16" t="n">
        <v>1022.88203346673</v>
      </c>
      <c r="S3998" s="16" t="n">
        <v>0.5</v>
      </c>
      <c r="T3998" s="16" t="n">
        <v>0.85</v>
      </c>
      <c r="U3998" s="16" t="n">
        <v>0.75</v>
      </c>
      <c r="V3998" s="16" t="n">
        <v>0.85</v>
      </c>
      <c r="W3998" s="16" t="n">
        <v>0.75</v>
      </c>
      <c r="X3998" s="16" t="n">
        <v>0.8</v>
      </c>
      <c r="Y3998" s="16" t="n">
        <v>289.4865086334434</v>
      </c>
      <c r="Z3998" s="16" t="n">
        <v>7.96647509782952</v>
      </c>
      <c r="AA3998" s="16" t="n">
        <v>134.4668707444375</v>
      </c>
      <c r="AB3998" s="16" t="n">
        <v>1977.11796653327</v>
      </c>
      <c r="AC3998" s="16" t="n">
        <v>2.932889523763032</v>
      </c>
      <c r="AD3998" s="16" t="inlineStr">
        <is>
          <t>O2</t>
        </is>
      </c>
      <c r="AE3998" s="16" t="n"/>
    </row>
    <row r="3999">
      <c r="A3999" s="16" t="inlineStr">
        <is>
          <t>KF-M09-R2-x_b+P_alta+eficiencias-0005</t>
        </is>
      </c>
      <c r="B3999" s="16" t="inlineStr">
        <is>
          <t>4.3</t>
        </is>
      </c>
      <c r="C3999" s="16" t="inlineStr">
        <is>
          <t>4.3 x_b+P_alta+eficiencias</t>
        </is>
      </c>
      <c r="D3999" s="16" t="inlineStr">
        <is>
          <t>ronda 2</t>
        </is>
      </c>
      <c r="E3999" s="16" t="inlineStr">
        <is>
          <t>KF-M09</t>
        </is>
      </c>
      <c r="F3999" s="16" t="inlineStr">
        <is>
          <t>KF-M09-R2-x_b+P_alta+eficiencias</t>
        </is>
      </c>
      <c r="G3999" s="16" t="inlineStr">
        <is>
          <t>B13-x_b+P_alta+eficiencias</t>
        </is>
      </c>
      <c r="H3999" s="16" t="inlineStr">
        <is>
          <t>lhs</t>
        </is>
      </c>
      <c r="I3999" s="16" t="inlineStr">
        <is>
          <t>KALINA</t>
        </is>
      </c>
      <c r="J3999" s="16" t="inlineStr">
        <is>
          <t>KALINA</t>
        </is>
      </c>
      <c r="K3999" s="16" t="b">
        <v>1</v>
      </c>
      <c r="L3999" s="16" t="b">
        <v>0</v>
      </c>
      <c r="M3999" s="16" t="b">
        <v>1</v>
      </c>
      <c r="N3999" s="16" t="b">
        <v>0</v>
      </c>
      <c r="O3999" s="16" t="n">
        <v>428.9337945361774</v>
      </c>
      <c r="P3999" s="16" t="n">
        <v>298.6873470994251</v>
      </c>
      <c r="Q3999" s="16" t="n">
        <v>3000</v>
      </c>
      <c r="R3999" s="16" t="n">
        <v>1451.024042359099</v>
      </c>
      <c r="S3999" s="16" t="n">
        <v>0.5</v>
      </c>
      <c r="T3999" s="16" t="n">
        <v>0.85</v>
      </c>
      <c r="U3999" s="16" t="n">
        <v>0.75</v>
      </c>
      <c r="V3999" s="16" t="n">
        <v>0.85</v>
      </c>
      <c r="W3999" s="16" t="n">
        <v>0.75</v>
      </c>
      <c r="X3999" s="16" t="n">
        <v>0.8</v>
      </c>
      <c r="Y3999" s="16" t="n">
        <v>298.6873470994251</v>
      </c>
      <c r="Z3999" s="16" t="n">
        <v>5.09581588857544</v>
      </c>
      <c r="AA3999" s="16" t="n">
        <v>31.3226271619118</v>
      </c>
      <c r="AB3999" s="16" t="n">
        <v>1548.975957640901</v>
      </c>
      <c r="AC3999" s="16" t="n">
        <v>2.067505370291832</v>
      </c>
      <c r="AD3999" s="16" t="n"/>
      <c r="AE3999" s="16" t="n"/>
    </row>
    <row r="4000">
      <c r="A4000" s="16" t="inlineStr">
        <is>
          <t>KF-M09-R2-x_b+P_alta+eficiencias-0006</t>
        </is>
      </c>
      <c r="B4000" s="16" t="inlineStr">
        <is>
          <t>4.3</t>
        </is>
      </c>
      <c r="C4000" s="16" t="inlineStr">
        <is>
          <t>4.3 x_b+P_alta+eficiencias</t>
        </is>
      </c>
      <c r="D4000" s="16" t="inlineStr">
        <is>
          <t>ronda 2</t>
        </is>
      </c>
      <c r="E4000" s="16" t="inlineStr">
        <is>
          <t>KF-M09</t>
        </is>
      </c>
      <c r="F4000" s="16" t="inlineStr">
        <is>
          <t>KF-M09-R2-x_b+P_alta+eficiencias</t>
        </is>
      </c>
      <c r="G4000" s="16" t="inlineStr">
        <is>
          <t>B13-x_b+P_alta+eficiencias</t>
        </is>
      </c>
      <c r="H4000" s="16" t="inlineStr">
        <is>
          <t>lhs</t>
        </is>
      </c>
      <c r="I4000" s="16" t="inlineStr">
        <is>
          <t>KALINA</t>
        </is>
      </c>
      <c r="J4000" s="16" t="inlineStr">
        <is>
          <t>KALINA</t>
        </is>
      </c>
      <c r="K4000" s="16" t="b">
        <v>1</v>
      </c>
      <c r="L4000" s="16" t="b">
        <v>1</v>
      </c>
      <c r="M4000" s="16" t="b">
        <v>0</v>
      </c>
      <c r="N4000" s="16" t="b">
        <v>0</v>
      </c>
      <c r="O4000" s="16" t="n">
        <v>403.7539833452549</v>
      </c>
      <c r="P4000" s="16" t="n">
        <v>295.9350846388463</v>
      </c>
      <c r="Q4000" s="16" t="n">
        <v>3000</v>
      </c>
      <c r="R4000" s="16" t="n">
        <v>673.2556872584075</v>
      </c>
      <c r="S4000" s="16" t="n">
        <v>0.5</v>
      </c>
      <c r="T4000" s="16" t="n">
        <v>0.85</v>
      </c>
      <c r="U4000" s="16" t="n">
        <v>0.75</v>
      </c>
      <c r="V4000" s="16" t="n">
        <v>0.85</v>
      </c>
      <c r="W4000" s="16" t="n">
        <v>0.75</v>
      </c>
      <c r="X4000" s="16" t="n">
        <v>0.8</v>
      </c>
      <c r="Y4000" s="16" t="n">
        <v>295.9350846388463</v>
      </c>
      <c r="Z4000" s="16" t="n">
        <v>7.58426449683739</v>
      </c>
      <c r="AA4000" s="16" t="n">
        <v>24.26710948108418</v>
      </c>
      <c r="AB4000" s="16" t="n">
        <v>2326.744312741593</v>
      </c>
      <c r="AC4000" s="16" t="n">
        <v>4.455959387757161</v>
      </c>
      <c r="AD4000" s="16" t="n"/>
      <c r="AE4000" s="16" t="n"/>
    </row>
    <row r="4001">
      <c r="A4001" s="16" t="inlineStr">
        <is>
          <t>KF-M09-R2-x_b+P_alta+eficiencias-0007</t>
        </is>
      </c>
      <c r="B4001" s="16" t="inlineStr">
        <is>
          <t>4.3</t>
        </is>
      </c>
      <c r="C4001" s="16" t="inlineStr">
        <is>
          <t>4.3 x_b+P_alta+eficiencias</t>
        </is>
      </c>
      <c r="D4001" s="16" t="inlineStr">
        <is>
          <t>ronda 2</t>
        </is>
      </c>
      <c r="E4001" s="16" t="inlineStr">
        <is>
          <t>KF-M09</t>
        </is>
      </c>
      <c r="F4001" s="16" t="inlineStr">
        <is>
          <t>KF-M09-R2-x_b+P_alta+eficiencias</t>
        </is>
      </c>
      <c r="G4001" s="16" t="inlineStr">
        <is>
          <t>B13-x_b+P_alta+eficiencias</t>
        </is>
      </c>
      <c r="H4001" s="16" t="inlineStr">
        <is>
          <t>lhs</t>
        </is>
      </c>
      <c r="I4001" s="16" t="inlineStr">
        <is>
          <t>CORREGIBLE</t>
        </is>
      </c>
      <c r="J4001" s="16" t="inlineStr">
        <is>
          <t>CORREGIBLE</t>
        </is>
      </c>
      <c r="K4001" s="16" t="b">
        <v>1</v>
      </c>
      <c r="L4001" s="16" t="b">
        <v>0</v>
      </c>
      <c r="M4001" s="16" t="b">
        <v>1</v>
      </c>
      <c r="N4001" s="16" t="b">
        <v>0</v>
      </c>
      <c r="O4001" s="16" t="n">
        <v>500.3345203581561</v>
      </c>
      <c r="P4001" s="16" t="n">
        <v>287.9540392477808</v>
      </c>
      <c r="Q4001" s="16" t="n">
        <v>3000</v>
      </c>
      <c r="R4001" s="16" t="n">
        <v>466.0797595692292</v>
      </c>
      <c r="S4001" s="16" t="n">
        <v>0.5</v>
      </c>
      <c r="T4001" s="16" t="n">
        <v>0.85</v>
      </c>
      <c r="U4001" s="16" t="n">
        <v>0.75</v>
      </c>
      <c r="V4001" s="16" t="n">
        <v>0.85</v>
      </c>
      <c r="W4001" s="16" t="n">
        <v>0.75</v>
      </c>
      <c r="X4001" s="16" t="n">
        <v>0.8</v>
      </c>
      <c r="Y4001" s="16" t="n">
        <v>287.9540392477808</v>
      </c>
      <c r="Z4001" s="16" t="n">
        <v>12.54046704806279</v>
      </c>
      <c r="AA4001" s="16" t="n">
        <v>215.7413250894854</v>
      </c>
      <c r="AB4001" s="16" t="n">
        <v>2533.920240430771</v>
      </c>
      <c r="AC4001" s="16" t="n">
        <v>6.436666554181044</v>
      </c>
      <c r="AD4001" s="16" t="inlineStr">
        <is>
          <t>O2</t>
        </is>
      </c>
      <c r="AE4001" s="16" t="n"/>
    </row>
    <row r="4002">
      <c r="A4002" s="16" t="inlineStr">
        <is>
          <t>KF-M09-R2-x_b+P_alta+eficiencias-0008</t>
        </is>
      </c>
      <c r="B4002" s="16" t="inlineStr">
        <is>
          <t>4.3</t>
        </is>
      </c>
      <c r="C4002" s="16" t="inlineStr">
        <is>
          <t>4.3 x_b+P_alta+eficiencias</t>
        </is>
      </c>
      <c r="D4002" s="16" t="inlineStr">
        <is>
          <t>ronda 2</t>
        </is>
      </c>
      <c r="E4002" s="16" t="inlineStr">
        <is>
          <t>KF-M09</t>
        </is>
      </c>
      <c r="F4002" s="16" t="inlineStr">
        <is>
          <t>KF-M09-R2-x_b+P_alta+eficiencias</t>
        </is>
      </c>
      <c r="G4002" s="16" t="inlineStr">
        <is>
          <t>B13-x_b+P_alta+eficiencias</t>
        </is>
      </c>
      <c r="H4002" s="16" t="inlineStr">
        <is>
          <t>lhs</t>
        </is>
      </c>
      <c r="I4002" s="16" t="inlineStr">
        <is>
          <t>KALINA</t>
        </is>
      </c>
      <c r="J4002" s="16" t="inlineStr">
        <is>
          <t>KALINA</t>
        </is>
      </c>
      <c r="K4002" s="16" t="b">
        <v>1</v>
      </c>
      <c r="L4002" s="16" t="b">
        <v>1</v>
      </c>
      <c r="M4002" s="16" t="b">
        <v>0</v>
      </c>
      <c r="N4002" s="16" t="b">
        <v>0</v>
      </c>
      <c r="O4002" s="16" t="n">
        <v>391.3721975826188</v>
      </c>
      <c r="P4002" s="16" t="n">
        <v>281.8111559866791</v>
      </c>
      <c r="Q4002" s="16" t="n">
        <v>3000</v>
      </c>
      <c r="R4002" s="16" t="n">
        <v>1596.96982098254</v>
      </c>
      <c r="S4002" s="16" t="n">
        <v>0.5</v>
      </c>
      <c r="T4002" s="16" t="n">
        <v>0.85</v>
      </c>
      <c r="U4002" s="16" t="n">
        <v>0.75</v>
      </c>
      <c r="V4002" s="16" t="n">
        <v>0.85</v>
      </c>
      <c r="W4002" s="16" t="n">
        <v>0.75</v>
      </c>
      <c r="X4002" s="16" t="n">
        <v>0.8</v>
      </c>
      <c r="Y4002" s="16" t="n">
        <v>281.8111559866791</v>
      </c>
      <c r="Z4002" s="16" t="n">
        <v>0.75489731921366</v>
      </c>
      <c r="AA4002" s="16" t="n">
        <v>1.376961874079939</v>
      </c>
      <c r="AB4002" s="16" t="n">
        <v>1403.03017901746</v>
      </c>
      <c r="AC4002" s="16" t="n">
        <v>1.878557728883219</v>
      </c>
      <c r="AD4002" s="16" t="n"/>
      <c r="AE4002" s="16" t="n"/>
    </row>
    <row r="4003">
      <c r="A4003" s="16" t="inlineStr">
        <is>
          <t>KF-M09-R2-x_b+P_alta+eficiencias-0009</t>
        </is>
      </c>
      <c r="B4003" s="16" t="inlineStr">
        <is>
          <t>4.3</t>
        </is>
      </c>
      <c r="C4003" s="16" t="inlineStr">
        <is>
          <t>4.3 x_b+P_alta+eficiencias</t>
        </is>
      </c>
      <c r="D4003" s="16" t="inlineStr">
        <is>
          <t>ronda 2</t>
        </is>
      </c>
      <c r="E4003" s="16" t="inlineStr">
        <is>
          <t>KF-M09</t>
        </is>
      </c>
      <c r="F4003" s="16" t="inlineStr">
        <is>
          <t>KF-M09-R2-x_b+P_alta+eficiencias</t>
        </is>
      </c>
      <c r="G4003" s="16" t="inlineStr">
        <is>
          <t>B13-x_b+P_alta+eficiencias</t>
        </is>
      </c>
      <c r="H4003" s="16" t="inlineStr">
        <is>
          <t>lhs</t>
        </is>
      </c>
      <c r="I4003" s="16" t="inlineStr">
        <is>
          <t>KALINA</t>
        </is>
      </c>
      <c r="J4003" s="16" t="inlineStr">
        <is>
          <t>KALINA</t>
        </is>
      </c>
      <c r="K4003" s="16" t="b">
        <v>1</v>
      </c>
      <c r="L4003" s="16" t="b">
        <v>1</v>
      </c>
      <c r="M4003" s="16" t="b">
        <v>0</v>
      </c>
      <c r="N4003" s="16" t="b">
        <v>0</v>
      </c>
      <c r="O4003" s="16" t="n">
        <v>424.9044572516293</v>
      </c>
      <c r="P4003" s="16" t="n">
        <v>302.6964180316019</v>
      </c>
      <c r="Q4003" s="16" t="n">
        <v>3000</v>
      </c>
      <c r="R4003" s="16" t="n">
        <v>1734.821217933898</v>
      </c>
      <c r="S4003" s="16" t="n">
        <v>0.5</v>
      </c>
      <c r="T4003" s="16" t="n">
        <v>0.85</v>
      </c>
      <c r="U4003" s="16" t="n">
        <v>0.75</v>
      </c>
      <c r="V4003" s="16" t="n">
        <v>0.85</v>
      </c>
      <c r="W4003" s="16" t="n">
        <v>0.75</v>
      </c>
      <c r="X4003" s="16" t="n">
        <v>0.8</v>
      </c>
      <c r="Y4003" s="16" t="n">
        <v>302.6964180316019</v>
      </c>
      <c r="Z4003" s="16" t="n">
        <v>3.81470865359171</v>
      </c>
      <c r="AA4003" s="16" t="n">
        <v>21.19014649475416</v>
      </c>
      <c r="AB4003" s="16" t="n">
        <v>1265.178782066102</v>
      </c>
      <c r="AC4003" s="16" t="n">
        <v>1.729284821390921</v>
      </c>
      <c r="AD4003" s="16" t="n"/>
      <c r="AE4003" s="16" t="n"/>
    </row>
    <row r="4004">
      <c r="A4004" s="16" t="inlineStr">
        <is>
          <t>KF-M09-R2-x_b+P_alta+eficiencias-0010</t>
        </is>
      </c>
      <c r="B4004" s="16" t="inlineStr">
        <is>
          <t>4.3</t>
        </is>
      </c>
      <c r="C4004" s="16" t="inlineStr">
        <is>
          <t>4.3 x_b+P_alta+eficiencias</t>
        </is>
      </c>
      <c r="D4004" s="16" t="inlineStr">
        <is>
          <t>ronda 2</t>
        </is>
      </c>
      <c r="E4004" s="16" t="inlineStr">
        <is>
          <t>KF-M09</t>
        </is>
      </c>
      <c r="F4004" s="16" t="inlineStr">
        <is>
          <t>KF-M09-R2-x_b+P_alta+eficiencias</t>
        </is>
      </c>
      <c r="G4004" s="16" t="inlineStr">
        <is>
          <t>B13-x_b+P_alta+eficiencias</t>
        </is>
      </c>
      <c r="H4004" s="16" t="inlineStr">
        <is>
          <t>lhs</t>
        </is>
      </c>
      <c r="I4004" s="16" t="inlineStr">
        <is>
          <t>CORREGIBLE</t>
        </is>
      </c>
      <c r="J4004" s="16" t="inlineStr">
        <is>
          <t>CORREGIBLE</t>
        </is>
      </c>
      <c r="K4004" s="16" t="b">
        <v>1</v>
      </c>
      <c r="L4004" s="16" t="b">
        <v>0</v>
      </c>
      <c r="M4004" s="16" t="b">
        <v>1</v>
      </c>
      <c r="N4004" s="16" t="b">
        <v>0</v>
      </c>
      <c r="O4004" s="16" t="n">
        <v>469.2938948755532</v>
      </c>
      <c r="P4004" s="16" t="n">
        <v>303.2347260797284</v>
      </c>
      <c r="Q4004" s="16" t="n">
        <v>3000</v>
      </c>
      <c r="R4004" s="16" t="n">
        <v>575.9374080341994</v>
      </c>
      <c r="S4004" s="16" t="n">
        <v>0.5</v>
      </c>
      <c r="T4004" s="16" t="n">
        <v>0.85</v>
      </c>
      <c r="U4004" s="16" t="n">
        <v>0.75</v>
      </c>
      <c r="V4004" s="16" t="n">
        <v>0.85</v>
      </c>
      <c r="W4004" s="16" t="n">
        <v>0.75</v>
      </c>
      <c r="X4004" s="16" t="n">
        <v>0.8</v>
      </c>
      <c r="Y4004" s="16" t="n">
        <v>303.2347260797284</v>
      </c>
      <c r="Z4004" s="16" t="n">
        <v>11.25611378838351</v>
      </c>
      <c r="AA4004" s="16" t="n">
        <v>168.2290615122595</v>
      </c>
      <c r="AB4004" s="16" t="n">
        <v>2424.0625919658</v>
      </c>
      <c r="AC4004" s="16" t="n">
        <v>5.208899366755248</v>
      </c>
      <c r="AD4004" s="16" t="inlineStr">
        <is>
          <t>O2</t>
        </is>
      </c>
      <c r="AE4004" s="16" t="n"/>
    </row>
    <row r="4005">
      <c r="A4005" s="16" t="inlineStr">
        <is>
          <t>KF-M09-R2-x_b+P_alta+eficiencias-0011</t>
        </is>
      </c>
      <c r="B4005" s="16" t="inlineStr">
        <is>
          <t>4.3</t>
        </is>
      </c>
      <c r="C4005" s="16" t="inlineStr">
        <is>
          <t>4.3 x_b+P_alta+eficiencias</t>
        </is>
      </c>
      <c r="D4005" s="16" t="inlineStr">
        <is>
          <t>ronda 2</t>
        </is>
      </c>
      <c r="E4005" s="16" t="inlineStr">
        <is>
          <t>KF-M09</t>
        </is>
      </c>
      <c r="F4005" s="16" t="inlineStr">
        <is>
          <t>KF-M09-R2-x_b+P_alta+eficiencias</t>
        </is>
      </c>
      <c r="G4005" s="16" t="inlineStr">
        <is>
          <t>B13-x_b+P_alta+eficiencias</t>
        </is>
      </c>
      <c r="H4005" s="16" t="inlineStr">
        <is>
          <t>lhs</t>
        </is>
      </c>
      <c r="I4005" s="16" t="inlineStr">
        <is>
          <t>KALINA</t>
        </is>
      </c>
      <c r="J4005" s="16" t="inlineStr">
        <is>
          <t>KALINA</t>
        </is>
      </c>
      <c r="K4005" s="16" t="b">
        <v>1</v>
      </c>
      <c r="L4005" s="16" t="b">
        <v>0</v>
      </c>
      <c r="M4005" s="16" t="b">
        <v>1</v>
      </c>
      <c r="N4005" s="16" t="b">
        <v>0</v>
      </c>
      <c r="O4005" s="16" t="n">
        <v>441.2164437020428</v>
      </c>
      <c r="P4005" s="16" t="n">
        <v>283.7460978610889</v>
      </c>
      <c r="Q4005" s="16" t="n">
        <v>3000</v>
      </c>
      <c r="R4005" s="16" t="n">
        <v>1393.430634102887</v>
      </c>
      <c r="S4005" s="16" t="n">
        <v>0.5</v>
      </c>
      <c r="T4005" s="16" t="n">
        <v>0.85</v>
      </c>
      <c r="U4005" s="16" t="n">
        <v>0.75</v>
      </c>
      <c r="V4005" s="16" t="n">
        <v>0.85</v>
      </c>
      <c r="W4005" s="16" t="n">
        <v>0.75</v>
      </c>
      <c r="X4005" s="16" t="n">
        <v>0.8</v>
      </c>
      <c r="Y4005" s="16" t="n">
        <v>283.7460978610889</v>
      </c>
      <c r="Z4005" s="16" t="n">
        <v>5.44340212878409</v>
      </c>
      <c r="AA4005" s="16" t="n">
        <v>44.89182841981935</v>
      </c>
      <c r="AB4005" s="16" t="n">
        <v>1606.569365897113</v>
      </c>
      <c r="AC4005" s="16" t="n">
        <v>2.152959700022275</v>
      </c>
      <c r="AD4005" s="16" t="n"/>
      <c r="AE4005" s="16" t="n"/>
    </row>
    <row r="4006">
      <c r="A4006" s="16" t="inlineStr">
        <is>
          <t>KF-M09-R2-x_b+P_alta+eficiencias-0012</t>
        </is>
      </c>
      <c r="B4006" s="16" t="inlineStr">
        <is>
          <t>4.3</t>
        </is>
      </c>
      <c r="C4006" s="16" t="inlineStr">
        <is>
          <t>4.3 x_b+P_alta+eficiencias</t>
        </is>
      </c>
      <c r="D4006" s="16" t="inlineStr">
        <is>
          <t>ronda 2</t>
        </is>
      </c>
      <c r="E4006" s="16" t="inlineStr">
        <is>
          <t>KF-M09</t>
        </is>
      </c>
      <c r="F4006" s="16" t="inlineStr">
        <is>
          <t>KF-M09-R2-x_b+P_alta+eficiencias</t>
        </is>
      </c>
      <c r="G4006" s="16" t="inlineStr">
        <is>
          <t>B13-x_b+P_alta+eficiencias</t>
        </is>
      </c>
      <c r="H4006" s="16" t="inlineStr">
        <is>
          <t>lhs</t>
        </is>
      </c>
      <c r="I4006" s="16" t="inlineStr">
        <is>
          <t>NO_CONVERGIO</t>
        </is>
      </c>
      <c r="J4006" s="16" t="inlineStr">
        <is>
          <t>NO_CONVERGIO</t>
        </is>
      </c>
      <c r="K4006" s="16" t="b">
        <v>0</v>
      </c>
      <c r="L4006" s="16" t="b">
        <v>0</v>
      </c>
      <c r="M4006" s="16" t="b">
        <v>0</v>
      </c>
      <c r="N4006" s="16" t="b">
        <v>0</v>
      </c>
      <c r="O4006" s="16" t="n">
        <v>401.8337410724907</v>
      </c>
      <c r="P4006" s="16" t="n">
        <v>280.3663082078442</v>
      </c>
      <c r="Q4006" s="16" t="n">
        <v>3000</v>
      </c>
      <c r="R4006" s="16" t="n">
        <v>897.2362155049969</v>
      </c>
      <c r="S4006" s="16" t="n">
        <v>0.5</v>
      </c>
      <c r="T4006" s="16" t="n">
        <v>0.85</v>
      </c>
      <c r="U4006" s="16" t="n">
        <v>0.75</v>
      </c>
      <c r="V4006" s="16" t="n">
        <v>0.85</v>
      </c>
      <c r="W4006" s="16" t="n">
        <v>0.75</v>
      </c>
      <c r="X4006" s="16" t="n">
        <v>0.8</v>
      </c>
      <c r="Y4006" s="16" t="n">
        <v>280.3663082078442</v>
      </c>
      <c r="Z4006" s="16" t="n"/>
      <c r="AA4006" s="16" t="n"/>
      <c r="AB4006" s="16" t="n">
        <v>2102.763784495003</v>
      </c>
      <c r="AC4006" s="16" t="n">
        <v>3.343601103207244</v>
      </c>
      <c r="AD4006" s="16" t="n"/>
      <c r="AE4006" s="16" t="n"/>
    </row>
    <row r="4007">
      <c r="A4007" s="16" t="inlineStr">
        <is>
          <t>KF-M09-R2-x_b+P_alta+eficiencias-0013</t>
        </is>
      </c>
      <c r="B4007" s="16" t="inlineStr">
        <is>
          <t>4.3</t>
        </is>
      </c>
      <c r="C4007" s="16" t="inlineStr">
        <is>
          <t>4.3 x_b+P_alta+eficiencias</t>
        </is>
      </c>
      <c r="D4007" s="16" t="inlineStr">
        <is>
          <t>ronda 2</t>
        </is>
      </c>
      <c r="E4007" s="16" t="inlineStr">
        <is>
          <t>KF-M09</t>
        </is>
      </c>
      <c r="F4007" s="16" t="inlineStr">
        <is>
          <t>KF-M09-R2-x_b+P_alta+eficiencias</t>
        </is>
      </c>
      <c r="G4007" s="16" t="inlineStr">
        <is>
          <t>B13-x_b+P_alta+eficiencias</t>
        </is>
      </c>
      <c r="H4007" s="16" t="inlineStr">
        <is>
          <t>lhs</t>
        </is>
      </c>
      <c r="I4007" s="16" t="inlineStr">
        <is>
          <t>CORREGIBLE</t>
        </is>
      </c>
      <c r="J4007" s="16" t="inlineStr">
        <is>
          <t>CORREGIBLE</t>
        </is>
      </c>
      <c r="K4007" s="16" t="b">
        <v>1</v>
      </c>
      <c r="L4007" s="16" t="b">
        <v>0</v>
      </c>
      <c r="M4007" s="16" t="b">
        <v>1</v>
      </c>
      <c r="N4007" s="16" t="b">
        <v>0</v>
      </c>
      <c r="O4007" s="16" t="n">
        <v>508.3992952257573</v>
      </c>
      <c r="P4007" s="16" t="n">
        <v>292.165388367815</v>
      </c>
      <c r="Q4007" s="16" t="n">
        <v>3000</v>
      </c>
      <c r="R4007" s="16" t="n">
        <v>604.3461133405503</v>
      </c>
      <c r="S4007" s="16" t="n">
        <v>0.5</v>
      </c>
      <c r="T4007" s="16" t="n">
        <v>0.85</v>
      </c>
      <c r="U4007" s="16" t="n">
        <v>0.75</v>
      </c>
      <c r="V4007" s="16" t="n">
        <v>0.85</v>
      </c>
      <c r="W4007" s="16" t="n">
        <v>0.75</v>
      </c>
      <c r="X4007" s="16" t="n">
        <v>0.8</v>
      </c>
      <c r="Y4007" s="16" t="n">
        <v>292.165388367815</v>
      </c>
      <c r="Z4007" s="16" t="n">
        <v>11.06541958110244</v>
      </c>
      <c r="AA4007" s="16" t="n">
        <v>190.8366580367915</v>
      </c>
      <c r="AB4007" s="16" t="n">
        <v>2395.65388665945</v>
      </c>
      <c r="AC4007" s="16" t="n">
        <v>4.964042845278453</v>
      </c>
      <c r="AD4007" s="16" t="inlineStr">
        <is>
          <t>O2</t>
        </is>
      </c>
      <c r="AE4007" s="16" t="n"/>
    </row>
    <row r="4008">
      <c r="A4008" s="16" t="inlineStr">
        <is>
          <t>KF-M09-R2-x_b+P_alta+eficiencias-0014</t>
        </is>
      </c>
      <c r="B4008" s="16" t="inlineStr">
        <is>
          <t>4.3</t>
        </is>
      </c>
      <c r="C4008" s="16" t="inlineStr">
        <is>
          <t>4.3 x_b+P_alta+eficiencias</t>
        </is>
      </c>
      <c r="D4008" s="16" t="inlineStr">
        <is>
          <t>ronda 2</t>
        </is>
      </c>
      <c r="E4008" s="16" t="inlineStr">
        <is>
          <t>KF-M09</t>
        </is>
      </c>
      <c r="F4008" s="16" t="inlineStr">
        <is>
          <t>KF-M09-R2-x_b+P_alta+eficiencias</t>
        </is>
      </c>
      <c r="G4008" s="16" t="inlineStr">
        <is>
          <t>B13-x_b+P_alta+eficiencias</t>
        </is>
      </c>
      <c r="H4008" s="16" t="inlineStr">
        <is>
          <t>lhs</t>
        </is>
      </c>
      <c r="I4008" s="16" t="inlineStr">
        <is>
          <t>CORREGIBLE</t>
        </is>
      </c>
      <c r="J4008" s="16" t="inlineStr">
        <is>
          <t>CORREGIBLE</t>
        </is>
      </c>
      <c r="K4008" s="16" t="b">
        <v>1</v>
      </c>
      <c r="L4008" s="16" t="b">
        <v>0</v>
      </c>
      <c r="M4008" s="16" t="b">
        <v>1</v>
      </c>
      <c r="N4008" s="16" t="b">
        <v>0</v>
      </c>
      <c r="O4008" s="16" t="n">
        <v>485.9509311934093</v>
      </c>
      <c r="P4008" s="16" t="n">
        <v>295.2742282818695</v>
      </c>
      <c r="Q4008" s="16" t="n">
        <v>3000</v>
      </c>
      <c r="R4008" s="16" t="n">
        <v>750.8762941197338</v>
      </c>
      <c r="S4008" s="16" t="n">
        <v>0.5</v>
      </c>
      <c r="T4008" s="16" t="n">
        <v>0.85</v>
      </c>
      <c r="U4008" s="16" t="n">
        <v>0.75</v>
      </c>
      <c r="V4008" s="16" t="n">
        <v>0.85</v>
      </c>
      <c r="W4008" s="16" t="n">
        <v>0.75</v>
      </c>
      <c r="X4008" s="16" t="n">
        <v>0.8</v>
      </c>
      <c r="Y4008" s="16" t="n">
        <v>295.2742282818695</v>
      </c>
      <c r="Z4008" s="16" t="n">
        <v>9.812031963206429</v>
      </c>
      <c r="AA4008" s="16" t="n">
        <v>163.1910692505388</v>
      </c>
      <c r="AB4008" s="16" t="n">
        <v>2249.123705880266</v>
      </c>
      <c r="AC4008" s="16" t="n">
        <v>3.995331885549744</v>
      </c>
      <c r="AD4008" s="16" t="inlineStr">
        <is>
          <t>O2</t>
        </is>
      </c>
      <c r="AE4008" s="16" t="n"/>
    </row>
    <row r="4009">
      <c r="A4009" s="16" t="inlineStr">
        <is>
          <t>KF-M09-R2-x_b+P_alta+eficiencias-0015</t>
        </is>
      </c>
      <c r="B4009" s="16" t="inlineStr">
        <is>
          <t>4.3</t>
        </is>
      </c>
      <c r="C4009" s="16" t="inlineStr">
        <is>
          <t>4.3 x_b+P_alta+eficiencias</t>
        </is>
      </c>
      <c r="D4009" s="16" t="inlineStr">
        <is>
          <t>ronda 2</t>
        </is>
      </c>
      <c r="E4009" s="16" t="inlineStr">
        <is>
          <t>KF-M09</t>
        </is>
      </c>
      <c r="F4009" s="16" t="inlineStr">
        <is>
          <t>KF-M09-R2-x_b+P_alta+eficiencias</t>
        </is>
      </c>
      <c r="G4009" s="16" t="inlineStr">
        <is>
          <t>B13-x_b+P_alta+eficiencias</t>
        </is>
      </c>
      <c r="H4009" s="16" t="inlineStr">
        <is>
          <t>lhs</t>
        </is>
      </c>
      <c r="I4009" s="16" t="inlineStr">
        <is>
          <t>N2</t>
        </is>
      </c>
      <c r="J4009" s="16" t="inlineStr">
        <is>
          <t>NO_CONVERGIO</t>
        </is>
      </c>
      <c r="K4009" s="16" t="b">
        <v>0</v>
      </c>
      <c r="L4009" s="16" t="b">
        <v>0</v>
      </c>
      <c r="M4009" s="16" t="b">
        <v>0</v>
      </c>
      <c r="N4009" s="16" t="b">
        <v>0</v>
      </c>
      <c r="O4009" s="16" t="n">
        <v>381.6544409615065</v>
      </c>
      <c r="P4009" s="16" t="n">
        <v>299.9805076078305</v>
      </c>
      <c r="Q4009" s="16" t="n">
        <v>3000</v>
      </c>
      <c r="R4009" s="16" t="n">
        <v>402.3112034706015</v>
      </c>
      <c r="S4009" s="16" t="n">
        <v>0.5</v>
      </c>
      <c r="T4009" s="16" t="n">
        <v>0.85</v>
      </c>
      <c r="U4009" s="16" t="n">
        <v>0.75</v>
      </c>
      <c r="V4009" s="16" t="n">
        <v>0.85</v>
      </c>
      <c r="W4009" s="16" t="n">
        <v>0.75</v>
      </c>
      <c r="X4009" s="16" t="n">
        <v>0.8</v>
      </c>
      <c r="Y4009" s="16" t="n">
        <v>299.9805076078305</v>
      </c>
      <c r="Z4009" s="16" t="n">
        <v>-34.24601555958222</v>
      </c>
      <c r="AA4009" s="16" t="n">
        <v>-23.51580923366969</v>
      </c>
      <c r="AB4009" s="16" t="n">
        <v>2597.688796529399</v>
      </c>
      <c r="AC4009" s="16" t="n">
        <v>7.456913886861771</v>
      </c>
      <c r="AD4009" s="16" t="inlineStr">
        <is>
          <t>N2,O3,O5,C1,C3,C3</t>
        </is>
      </c>
      <c r="AE4009" s="16" t="n"/>
    </row>
    <row r="4010">
      <c r="A4010" s="16" t="inlineStr">
        <is>
          <t>KF-M09-R2-x_b+P_alta+eficiencias-0016</t>
        </is>
      </c>
      <c r="B4010" s="16" t="inlineStr">
        <is>
          <t>4.3</t>
        </is>
      </c>
      <c r="C4010" s="16" t="inlineStr">
        <is>
          <t>4.3 x_b+P_alta+eficiencias</t>
        </is>
      </c>
      <c r="D4010" s="16" t="inlineStr">
        <is>
          <t>ronda 2</t>
        </is>
      </c>
      <c r="E4010" s="16" t="inlineStr">
        <is>
          <t>KF-M09</t>
        </is>
      </c>
      <c r="F4010" s="16" t="inlineStr">
        <is>
          <t>KF-M09-R2-x_b+P_alta+eficiencias</t>
        </is>
      </c>
      <c r="G4010" s="16" t="inlineStr">
        <is>
          <t>B13-x_b+P_alta+eficiencias</t>
        </is>
      </c>
      <c r="H4010" s="16" t="inlineStr">
        <is>
          <t>lhs</t>
        </is>
      </c>
      <c r="I4010" s="16" t="inlineStr">
        <is>
          <t>CORREGIBLE</t>
        </is>
      </c>
      <c r="J4010" s="16" t="inlineStr">
        <is>
          <t>CORREGIBLE</t>
        </is>
      </c>
      <c r="K4010" s="16" t="b">
        <v>1</v>
      </c>
      <c r="L4010" s="16" t="b">
        <v>0</v>
      </c>
      <c r="M4010" s="16" t="b">
        <v>1</v>
      </c>
      <c r="N4010" s="16" t="b">
        <v>0</v>
      </c>
      <c r="O4010" s="16" t="n">
        <v>495.7991696033615</v>
      </c>
      <c r="P4010" s="16" t="n">
        <v>290.919418084502</v>
      </c>
      <c r="Q4010" s="16" t="n">
        <v>3000</v>
      </c>
      <c r="R4010" s="16" t="n">
        <v>856.3425645062737</v>
      </c>
      <c r="S4010" s="16" t="n">
        <v>0.5</v>
      </c>
      <c r="T4010" s="16" t="n">
        <v>0.85</v>
      </c>
      <c r="U4010" s="16" t="n">
        <v>0.75</v>
      </c>
      <c r="V4010" s="16" t="n">
        <v>0.85</v>
      </c>
      <c r="W4010" s="16" t="n">
        <v>0.75</v>
      </c>
      <c r="X4010" s="16" t="n">
        <v>0.8</v>
      </c>
      <c r="Y4010" s="16" t="n">
        <v>290.919418084502</v>
      </c>
      <c r="Z4010" s="16" t="n">
        <v>9.05965606884809</v>
      </c>
      <c r="AA4010" s="16" t="n">
        <v>154.0843884621156</v>
      </c>
      <c r="AB4010" s="16" t="n">
        <v>2143.657435493727</v>
      </c>
      <c r="AC4010" s="16" t="n">
        <v>3.503270915570636</v>
      </c>
      <c r="AD4010" s="16" t="inlineStr">
        <is>
          <t>O2</t>
        </is>
      </c>
      <c r="AE4010" s="16" t="n"/>
    </row>
    <row r="4011">
      <c r="A4011" s="16" t="inlineStr">
        <is>
          <t>KF-M09-R2-x_b+P_alta+eficiencias-0017</t>
        </is>
      </c>
      <c r="B4011" s="16" t="inlineStr">
        <is>
          <t>4.3</t>
        </is>
      </c>
      <c r="C4011" s="16" t="inlineStr">
        <is>
          <t>4.3 x_b+P_alta+eficiencias</t>
        </is>
      </c>
      <c r="D4011" s="16" t="inlineStr">
        <is>
          <t>ronda 2</t>
        </is>
      </c>
      <c r="E4011" s="16" t="inlineStr">
        <is>
          <t>KF-M09</t>
        </is>
      </c>
      <c r="F4011" s="16" t="inlineStr">
        <is>
          <t>KF-M09-R2-x_b+P_alta+eficiencias</t>
        </is>
      </c>
      <c r="G4011" s="16" t="inlineStr">
        <is>
          <t>B13-x_b+P_alta+eficiencias</t>
        </is>
      </c>
      <c r="H4011" s="16" t="inlineStr">
        <is>
          <t>lhs</t>
        </is>
      </c>
      <c r="I4011" s="16" t="inlineStr">
        <is>
          <t>CORREGIBLE</t>
        </is>
      </c>
      <c r="J4011" s="16" t="inlineStr">
        <is>
          <t>CORREGIBLE</t>
        </is>
      </c>
      <c r="K4011" s="16" t="b">
        <v>1</v>
      </c>
      <c r="L4011" s="16" t="b">
        <v>0</v>
      </c>
      <c r="M4011" s="16" t="b">
        <v>1</v>
      </c>
      <c r="N4011" s="16" t="b">
        <v>0</v>
      </c>
      <c r="O4011" s="16" t="n">
        <v>438.3289414204926</v>
      </c>
      <c r="P4011" s="16" t="n">
        <v>296.9781357634239</v>
      </c>
      <c r="Q4011" s="16" t="n">
        <v>3000</v>
      </c>
      <c r="R4011" s="16" t="n">
        <v>306.7258202143635</v>
      </c>
      <c r="S4011" s="16" t="n">
        <v>0.5</v>
      </c>
      <c r="T4011" s="16" t="n">
        <v>0.85</v>
      </c>
      <c r="U4011" s="16" t="n">
        <v>0.75</v>
      </c>
      <c r="V4011" s="16" t="n">
        <v>0.85</v>
      </c>
      <c r="W4011" s="16" t="n">
        <v>0.75</v>
      </c>
      <c r="X4011" s="16" t="n">
        <v>0.8</v>
      </c>
      <c r="Y4011" s="16" t="n">
        <v>296.9781357634239</v>
      </c>
      <c r="Z4011" s="16" t="n">
        <v>14.30929697296526</v>
      </c>
      <c r="AA4011" s="16" t="n">
        <v>107.6006650649992</v>
      </c>
      <c r="AB4011" s="16" t="n">
        <v>2693.274179785637</v>
      </c>
      <c r="AC4011" s="16" t="n">
        <v>9.780722072577294</v>
      </c>
      <c r="AD4011" s="16" t="inlineStr">
        <is>
          <t>O2</t>
        </is>
      </c>
      <c r="AE4011" s="16" t="n"/>
    </row>
    <row r="4012">
      <c r="A4012" s="16" t="inlineStr">
        <is>
          <t>KF-M09-R2-x_b+P_alta+eficiencias-0018</t>
        </is>
      </c>
      <c r="B4012" s="16" t="inlineStr">
        <is>
          <t>4.3</t>
        </is>
      </c>
      <c r="C4012" s="16" t="inlineStr">
        <is>
          <t>4.3 x_b+P_alta+eficiencias</t>
        </is>
      </c>
      <c r="D4012" s="16" t="inlineStr">
        <is>
          <t>ronda 2</t>
        </is>
      </c>
      <c r="E4012" s="16" t="inlineStr">
        <is>
          <t>KF-M09</t>
        </is>
      </c>
      <c r="F4012" s="16" t="inlineStr">
        <is>
          <t>KF-M09-R2-x_b+P_alta+eficiencias</t>
        </is>
      </c>
      <c r="G4012" s="16" t="inlineStr">
        <is>
          <t>B13-x_b+P_alta+eficiencias</t>
        </is>
      </c>
      <c r="H4012" s="16" t="inlineStr">
        <is>
          <t>lhs</t>
        </is>
      </c>
      <c r="I4012" s="16" t="inlineStr">
        <is>
          <t>KALINA</t>
        </is>
      </c>
      <c r="J4012" s="16" t="inlineStr">
        <is>
          <t>KALINA</t>
        </is>
      </c>
      <c r="K4012" s="16" t="b">
        <v>1</v>
      </c>
      <c r="L4012" s="16" t="b">
        <v>1</v>
      </c>
      <c r="M4012" s="16" t="b">
        <v>0</v>
      </c>
      <c r="N4012" s="16" t="b">
        <v>0</v>
      </c>
      <c r="O4012" s="16" t="n">
        <v>415.0985379550688</v>
      </c>
      <c r="P4012" s="16" t="n">
        <v>290.5503771959918</v>
      </c>
      <c r="Q4012" s="16" t="n">
        <v>3000</v>
      </c>
      <c r="R4012" s="16" t="n">
        <v>1252.466880698055</v>
      </c>
      <c r="S4012" s="16" t="n">
        <v>0.5</v>
      </c>
      <c r="T4012" s="16" t="n">
        <v>0.85</v>
      </c>
      <c r="U4012" s="16" t="n">
        <v>0.75</v>
      </c>
      <c r="V4012" s="16" t="n">
        <v>0.85</v>
      </c>
      <c r="W4012" s="16" t="n">
        <v>0.75</v>
      </c>
      <c r="X4012" s="16" t="n">
        <v>0.8</v>
      </c>
      <c r="Y4012" s="16" t="n">
        <v>290.5503771959918</v>
      </c>
      <c r="Z4012" s="16" t="n">
        <v>5.294523869005769</v>
      </c>
      <c r="AA4012" s="16" t="n">
        <v>24.28251433002635</v>
      </c>
      <c r="AB4012" s="16" t="n">
        <v>1747.533119301945</v>
      </c>
      <c r="AC4012" s="16" t="n">
        <v>2.395272917977654</v>
      </c>
      <c r="AD4012" s="16" t="n"/>
      <c r="AE4012" s="16" t="n"/>
    </row>
    <row r="4013">
      <c r="A4013" s="16" t="inlineStr">
        <is>
          <t>KF-M09-R2-x_b+P_alta+eficiencias-0019</t>
        </is>
      </c>
      <c r="B4013" s="16" t="inlineStr">
        <is>
          <t>4.3</t>
        </is>
      </c>
      <c r="C4013" s="16" t="inlineStr">
        <is>
          <t>4.3 x_b+P_alta+eficiencias</t>
        </is>
      </c>
      <c r="D4013" s="16" t="inlineStr">
        <is>
          <t>ronda 2</t>
        </is>
      </c>
      <c r="E4013" s="16" t="inlineStr">
        <is>
          <t>KF-M09</t>
        </is>
      </c>
      <c r="F4013" s="16" t="inlineStr">
        <is>
          <t>KF-M09-R2-x_b+P_alta+eficiencias</t>
        </is>
      </c>
      <c r="G4013" s="16" t="inlineStr">
        <is>
          <t>B13-x_b+P_alta+eficiencias</t>
        </is>
      </c>
      <c r="H4013" s="16" t="inlineStr">
        <is>
          <t>lhs</t>
        </is>
      </c>
      <c r="I4013" s="16" t="inlineStr">
        <is>
          <t>KALINA</t>
        </is>
      </c>
      <c r="J4013" s="16" t="inlineStr">
        <is>
          <t>KALINA</t>
        </is>
      </c>
      <c r="K4013" s="16" t="b">
        <v>1</v>
      </c>
      <c r="L4013" s="16" t="b">
        <v>0</v>
      </c>
      <c r="M4013" s="16" t="b">
        <v>1</v>
      </c>
      <c r="N4013" s="16" t="b">
        <v>0</v>
      </c>
      <c r="O4013" s="16" t="n">
        <v>453.4259365605191</v>
      </c>
      <c r="P4013" s="16" t="n">
        <v>286.8105128041016</v>
      </c>
      <c r="Q4013" s="16" t="n">
        <v>3000</v>
      </c>
      <c r="R4013" s="16" t="n">
        <v>1284.253080450529</v>
      </c>
      <c r="S4013" s="16" t="n">
        <v>0.5</v>
      </c>
      <c r="T4013" s="16" t="n">
        <v>0.85</v>
      </c>
      <c r="U4013" s="16" t="n">
        <v>0.75</v>
      </c>
      <c r="V4013" s="16" t="n">
        <v>0.85</v>
      </c>
      <c r="W4013" s="16" t="n">
        <v>0.75</v>
      </c>
      <c r="X4013" s="16" t="n">
        <v>0.8</v>
      </c>
      <c r="Y4013" s="16" t="n">
        <v>286.8105128041016</v>
      </c>
      <c r="Z4013" s="16" t="n">
        <v>6.32275145075894</v>
      </c>
      <c r="AA4013" s="16" t="n">
        <v>66.87860704127661</v>
      </c>
      <c r="AB4013" s="16" t="n">
        <v>1715.746919549471</v>
      </c>
      <c r="AC4013" s="16" t="n">
        <v>2.335988167493879</v>
      </c>
      <c r="AD4013" s="16" t="n"/>
      <c r="AE4013" s="16" t="n"/>
    </row>
    <row r="4014">
      <c r="A4014" s="16" t="inlineStr">
        <is>
          <t>KF-M09-R2-x_b+P_alta+eficiencias-0020</t>
        </is>
      </c>
      <c r="B4014" s="16" t="inlineStr">
        <is>
          <t>4.3</t>
        </is>
      </c>
      <c r="C4014" s="16" t="inlineStr">
        <is>
          <t>4.3 x_b+P_alta+eficiencias</t>
        </is>
      </c>
      <c r="D4014" s="16" t="inlineStr">
        <is>
          <t>ronda 2</t>
        </is>
      </c>
      <c r="E4014" s="16" t="inlineStr">
        <is>
          <t>KF-M09</t>
        </is>
      </c>
      <c r="F4014" s="16" t="inlineStr">
        <is>
          <t>KF-M09-R2-x_b+P_alta+eficiencias</t>
        </is>
      </c>
      <c r="G4014" s="16" t="inlineStr">
        <is>
          <t>B13-x_b+P_alta+eficiencias</t>
        </is>
      </c>
      <c r="H4014" s="16" t="inlineStr">
        <is>
          <t>lhs</t>
        </is>
      </c>
      <c r="I4014" s="16" t="inlineStr">
        <is>
          <t>KALINA</t>
        </is>
      </c>
      <c r="J4014" s="16" t="inlineStr">
        <is>
          <t>KALINA</t>
        </is>
      </c>
      <c r="K4014" s="16" t="b">
        <v>1</v>
      </c>
      <c r="L4014" s="16" t="b">
        <v>0</v>
      </c>
      <c r="M4014" s="16" t="b">
        <v>1</v>
      </c>
      <c r="N4014" s="16" t="b">
        <v>0</v>
      </c>
      <c r="O4014" s="16" t="n">
        <v>462.0221652764215</v>
      </c>
      <c r="P4014" s="16" t="n">
        <v>279.056875466785</v>
      </c>
      <c r="Q4014" s="16" t="n">
        <v>3000</v>
      </c>
      <c r="R4014" s="16" t="n">
        <v>1641.92395500055</v>
      </c>
      <c r="S4014" s="16" t="n">
        <v>0.5</v>
      </c>
      <c r="T4014" s="16" t="n">
        <v>0.85</v>
      </c>
      <c r="U4014" s="16" t="n">
        <v>0.75</v>
      </c>
      <c r="V4014" s="16" t="n">
        <v>0.85</v>
      </c>
      <c r="W4014" s="16" t="n">
        <v>0.75</v>
      </c>
      <c r="X4014" s="16" t="n">
        <v>0.8</v>
      </c>
      <c r="Y4014" s="16" t="n">
        <v>279.056875466785</v>
      </c>
      <c r="Z4014" s="16" t="n">
        <v>4.58175355831032</v>
      </c>
      <c r="AA4014" s="16" t="n">
        <v>59.68596934779043</v>
      </c>
      <c r="AB4014" s="16" t="n">
        <v>1358.07604499945</v>
      </c>
      <c r="AC4014" s="16" t="n">
        <v>1.827124813462505</v>
      </c>
      <c r="AD4014" s="16" t="n"/>
      <c r="AE4014" s="16" t="n"/>
    </row>
    <row r="4015">
      <c r="A4015" s="16" t="inlineStr">
        <is>
          <t>KF-M09-R2-x_b+P_alta+eficiencias-0021</t>
        </is>
      </c>
      <c r="B4015" s="16" t="inlineStr">
        <is>
          <t>4.3</t>
        </is>
      </c>
      <c r="C4015" s="16" t="inlineStr">
        <is>
          <t>4.3 x_b+P_alta+eficiencias</t>
        </is>
      </c>
      <c r="D4015" s="16" t="inlineStr">
        <is>
          <t>ronda 2</t>
        </is>
      </c>
      <c r="E4015" s="16" t="inlineStr">
        <is>
          <t>KF-M09</t>
        </is>
      </c>
      <c r="F4015" s="16" t="inlineStr">
        <is>
          <t>KF-M09-R2-x_b+P_alta+eficiencias</t>
        </is>
      </c>
      <c r="G4015" s="16" t="inlineStr">
        <is>
          <t>B13-x_b+P_alta+eficiencias</t>
        </is>
      </c>
      <c r="H4015" s="16" t="inlineStr">
        <is>
          <t>lhs</t>
        </is>
      </c>
      <c r="I4015" s="16" t="inlineStr">
        <is>
          <t>CORREGIBLE</t>
        </is>
      </c>
      <c r="J4015" s="16" t="inlineStr">
        <is>
          <t>CORREGIBLE</t>
        </is>
      </c>
      <c r="K4015" s="16" t="b">
        <v>1</v>
      </c>
      <c r="L4015" s="16" t="b">
        <v>0</v>
      </c>
      <c r="M4015" s="16" t="b">
        <v>1</v>
      </c>
      <c r="N4015" s="16" t="b">
        <v>0</v>
      </c>
      <c r="O4015" s="16" t="n">
        <v>458.2194074433148</v>
      </c>
      <c r="P4015" s="16" t="n">
        <v>298.3153514048098</v>
      </c>
      <c r="Q4015" s="16" t="n">
        <v>3000</v>
      </c>
      <c r="R4015" s="16" t="n">
        <v>1102.857082270741</v>
      </c>
      <c r="S4015" s="16" t="n">
        <v>0.5</v>
      </c>
      <c r="T4015" s="16" t="n">
        <v>0.85</v>
      </c>
      <c r="U4015" s="16" t="n">
        <v>0.75</v>
      </c>
      <c r="V4015" s="16" t="n">
        <v>0.85</v>
      </c>
      <c r="W4015" s="16" t="n">
        <v>0.75</v>
      </c>
      <c r="X4015" s="16" t="n">
        <v>0.8</v>
      </c>
      <c r="Y4015" s="16" t="n">
        <v>298.3153514048098</v>
      </c>
      <c r="Z4015" s="16" t="n">
        <v>7.59252352355123</v>
      </c>
      <c r="AA4015" s="16" t="n">
        <v>87.31136767169434</v>
      </c>
      <c r="AB4015" s="16" t="n">
        <v>1897.142917729259</v>
      </c>
      <c r="AC4015" s="16" t="n">
        <v>2.720207403322934</v>
      </c>
      <c r="AD4015" s="16" t="inlineStr">
        <is>
          <t>O2</t>
        </is>
      </c>
      <c r="AE4015" s="16" t="n"/>
    </row>
    <row r="4016">
      <c r="A4016" s="16" t="inlineStr">
        <is>
          <t>KF-M09-R2-x_b+P_alta+eficiencias-0022</t>
        </is>
      </c>
      <c r="B4016" s="16" t="inlineStr">
        <is>
          <t>4.3</t>
        </is>
      </c>
      <c r="C4016" s="16" t="inlineStr">
        <is>
          <t>4.3 x_b+P_alta+eficiencias</t>
        </is>
      </c>
      <c r="D4016" s="16" t="inlineStr">
        <is>
          <t>ronda 2</t>
        </is>
      </c>
      <c r="E4016" s="16" t="inlineStr">
        <is>
          <t>KF-M09</t>
        </is>
      </c>
      <c r="F4016" s="16" t="inlineStr">
        <is>
          <t>KF-M09-R2-x_b+P_alta+eficiencias</t>
        </is>
      </c>
      <c r="G4016" s="16" t="inlineStr">
        <is>
          <t>B13-x_b+P_alta+eficiencias</t>
        </is>
      </c>
      <c r="H4016" s="16" t="inlineStr">
        <is>
          <t>lhs</t>
        </is>
      </c>
      <c r="I4016" s="16" t="inlineStr">
        <is>
          <t>KALINA</t>
        </is>
      </c>
      <c r="J4016" s="16" t="inlineStr">
        <is>
          <t>KALINA</t>
        </is>
      </c>
      <c r="K4016" s="16" t="b">
        <v>1</v>
      </c>
      <c r="L4016" s="16" t="b">
        <v>1</v>
      </c>
      <c r="M4016" s="16" t="b">
        <v>0</v>
      </c>
      <c r="N4016" s="16" t="b">
        <v>0</v>
      </c>
      <c r="O4016" s="16" t="n">
        <v>417.4916292043406</v>
      </c>
      <c r="P4016" s="16" t="n">
        <v>300.8558039161872</v>
      </c>
      <c r="Q4016" s="16" t="n">
        <v>3000</v>
      </c>
      <c r="R4016" s="16" t="n">
        <v>1877.249155520586</v>
      </c>
      <c r="S4016" s="16" t="n">
        <v>0.5</v>
      </c>
      <c r="T4016" s="16" t="n">
        <v>0.85</v>
      </c>
      <c r="U4016" s="16" t="n">
        <v>0.75</v>
      </c>
      <c r="V4016" s="16" t="n">
        <v>0.85</v>
      </c>
      <c r="W4016" s="16" t="n">
        <v>0.75</v>
      </c>
      <c r="X4016" s="16" t="n">
        <v>0.8</v>
      </c>
      <c r="Y4016" s="16" t="n">
        <v>300.8558039161872</v>
      </c>
      <c r="Z4016" s="16" t="n">
        <v>3.04973900568634</v>
      </c>
      <c r="AA4016" s="16" t="n">
        <v>14.31887144038499</v>
      </c>
      <c r="AB4016" s="16" t="n">
        <v>1122.750844479414</v>
      </c>
      <c r="AC4016" s="16" t="n">
        <v>1.598083020134885</v>
      </c>
      <c r="AD4016" s="16" t="n"/>
      <c r="AE4016" s="16" t="n"/>
    </row>
    <row r="4017">
      <c r="A4017" s="16" t="inlineStr">
        <is>
          <t>KF-M09-R2-x_b+P_alta+eficiencias-0023</t>
        </is>
      </c>
      <c r="B4017" s="16" t="inlineStr">
        <is>
          <t>4.3</t>
        </is>
      </c>
      <c r="C4017" s="16" t="inlineStr">
        <is>
          <t>4.3 x_b+P_alta+eficiencias</t>
        </is>
      </c>
      <c r="D4017" s="16" t="inlineStr">
        <is>
          <t>ronda 2</t>
        </is>
      </c>
      <c r="E4017" s="16" t="inlineStr">
        <is>
          <t>KF-M09</t>
        </is>
      </c>
      <c r="F4017" s="16" t="inlineStr">
        <is>
          <t>KF-M09-R2-x_b+P_alta+eficiencias</t>
        </is>
      </c>
      <c r="G4017" s="16" t="inlineStr">
        <is>
          <t>B13-x_b+P_alta+eficiencias</t>
        </is>
      </c>
      <c r="H4017" s="16" t="inlineStr">
        <is>
          <t>lhs</t>
        </is>
      </c>
      <c r="I4017" s="16" t="inlineStr">
        <is>
          <t>CORREGIBLE</t>
        </is>
      </c>
      <c r="J4017" s="16" t="inlineStr">
        <is>
          <t>CORREGIBLE</t>
        </is>
      </c>
      <c r="K4017" s="16" t="b">
        <v>1</v>
      </c>
      <c r="L4017" s="16" t="b">
        <v>0</v>
      </c>
      <c r="M4017" s="16" t="b">
        <v>1</v>
      </c>
      <c r="N4017" s="16" t="b">
        <v>0</v>
      </c>
      <c r="O4017" s="16" t="n">
        <v>475.8424066802378</v>
      </c>
      <c r="P4017" s="16" t="n">
        <v>293.0709440980052</v>
      </c>
      <c r="Q4017" s="16" t="n">
        <v>3000</v>
      </c>
      <c r="R4017" s="16" t="n">
        <v>1963.083857452022</v>
      </c>
      <c r="S4017" s="16" t="n">
        <v>0.5</v>
      </c>
      <c r="T4017" s="16" t="n">
        <v>0.85</v>
      </c>
      <c r="U4017" s="16" t="n">
        <v>0.75</v>
      </c>
      <c r="V4017" s="16" t="n">
        <v>0.85</v>
      </c>
      <c r="W4017" s="16" t="n">
        <v>0.75</v>
      </c>
      <c r="X4017" s="16" t="n">
        <v>0.8</v>
      </c>
      <c r="Y4017" s="16" t="n">
        <v>293.0709440980052</v>
      </c>
      <c r="Z4017" s="16" t="n">
        <v>3.41159486359659</v>
      </c>
      <c r="AA4017" s="16" t="n">
        <v>55.9525648389899</v>
      </c>
      <c r="AB4017" s="16" t="n">
        <v>1036.916142547978</v>
      </c>
      <c r="AC4017" s="16" t="n">
        <v>1.528207767901387</v>
      </c>
      <c r="AD4017" s="16" t="inlineStr">
        <is>
          <t>O2</t>
        </is>
      </c>
      <c r="AE4017" s="16" t="n"/>
    </row>
    <row r="4018">
      <c r="A4018" s="16" t="inlineStr">
        <is>
          <t>KF-M09-R2-x_b+P_alta+eficiencias-0024</t>
        </is>
      </c>
      <c r="B4018" s="16" t="inlineStr">
        <is>
          <t>4.3</t>
        </is>
      </c>
      <c r="C4018" s="16" t="inlineStr">
        <is>
          <t>4.3 x_b+P_alta+eficiencias</t>
        </is>
      </c>
      <c r="D4018" s="16" t="inlineStr">
        <is>
          <t>ronda 2</t>
        </is>
      </c>
      <c r="E4018" s="16" t="inlineStr">
        <is>
          <t>KF-M09</t>
        </is>
      </c>
      <c r="F4018" s="16" t="inlineStr">
        <is>
          <t>KF-M09-R2-x_b+P_alta+eficiencias</t>
        </is>
      </c>
      <c r="G4018" s="16" t="inlineStr">
        <is>
          <t>B13-x_b+P_alta+eficiencias</t>
        </is>
      </c>
      <c r="H4018" s="16" t="inlineStr">
        <is>
          <t>lhs</t>
        </is>
      </c>
      <c r="I4018" s="16" t="inlineStr">
        <is>
          <t>CORREGIBLE</t>
        </is>
      </c>
      <c r="J4018" s="16" t="inlineStr">
        <is>
          <t>CORREGIBLE</t>
        </is>
      </c>
      <c r="K4018" s="16" t="b">
        <v>1</v>
      </c>
      <c r="L4018" s="16" t="b">
        <v>0</v>
      </c>
      <c r="M4018" s="16" t="b">
        <v>1</v>
      </c>
      <c r="N4018" s="16" t="b">
        <v>0</v>
      </c>
      <c r="O4018" s="16" t="n">
        <v>505.5261716610652</v>
      </c>
      <c r="P4018" s="16" t="n">
        <v>301.734300230497</v>
      </c>
      <c r="Q4018" s="16" t="n">
        <v>3000</v>
      </c>
      <c r="R4018" s="16" t="n">
        <v>1037.372103291976</v>
      </c>
      <c r="S4018" s="16" t="n">
        <v>0.5</v>
      </c>
      <c r="T4018" s="16" t="n">
        <v>0.85</v>
      </c>
      <c r="U4018" s="16" t="n">
        <v>0.75</v>
      </c>
      <c r="V4018" s="16" t="n">
        <v>0.85</v>
      </c>
      <c r="W4018" s="16" t="n">
        <v>0.75</v>
      </c>
      <c r="X4018" s="16" t="n">
        <v>0.8</v>
      </c>
      <c r="Y4018" s="16" t="n">
        <v>301.734300230497</v>
      </c>
      <c r="Z4018" s="16" t="n">
        <v>7.742687374366559</v>
      </c>
      <c r="AA4018" s="16" t="n">
        <v>130.5228795755603</v>
      </c>
      <c r="AB4018" s="16" t="n">
        <v>1962.627896708024</v>
      </c>
      <c r="AC4018" s="16" t="n">
        <v>2.891922763760332</v>
      </c>
      <c r="AD4018" s="16" t="inlineStr">
        <is>
          <t>O2</t>
        </is>
      </c>
      <c r="AE4018" s="16" t="n"/>
    </row>
    <row r="4019">
      <c r="A4019" s="16" t="inlineStr">
        <is>
          <t>KF-M09-R2-x_b+P_alta+eficiencias-0025</t>
        </is>
      </c>
      <c r="B4019" s="16" t="inlineStr">
        <is>
          <t>4.3</t>
        </is>
      </c>
      <c r="C4019" s="16" t="inlineStr">
        <is>
          <t>4.3 x_b+P_alta+eficiencias</t>
        </is>
      </c>
      <c r="D4019" s="16" t="inlineStr">
        <is>
          <t>ronda 2</t>
        </is>
      </c>
      <c r="E4019" s="16" t="inlineStr">
        <is>
          <t>KF-M09</t>
        </is>
      </c>
      <c r="F4019" s="16" t="inlineStr">
        <is>
          <t>KF-M09-R2-x_b+P_alta+eficiencias</t>
        </is>
      </c>
      <c r="G4019" s="16" t="inlineStr">
        <is>
          <t>B13-x_b+P_alta+eficiencias</t>
        </is>
      </c>
      <c r="H4019" s="16" t="inlineStr">
        <is>
          <t>lhs</t>
        </is>
      </c>
      <c r="I4019" s="16" t="inlineStr">
        <is>
          <t>KALINA</t>
        </is>
      </c>
      <c r="J4019" s="16" t="inlineStr">
        <is>
          <t>KALINA</t>
        </is>
      </c>
      <c r="K4019" s="16" t="b">
        <v>1</v>
      </c>
      <c r="L4019" s="16" t="b">
        <v>0</v>
      </c>
      <c r="M4019" s="16" t="b">
        <v>1</v>
      </c>
      <c r="N4019" s="16" t="b">
        <v>0</v>
      </c>
      <c r="O4019" s="16" t="n">
        <v>449.8468585631778</v>
      </c>
      <c r="P4019" s="16" t="n">
        <v>282.7277572493809</v>
      </c>
      <c r="Q4019" s="16" t="n">
        <v>3000</v>
      </c>
      <c r="R4019" s="16" t="n">
        <v>1168.972064652047</v>
      </c>
      <c r="S4019" s="16" t="n">
        <v>0.5</v>
      </c>
      <c r="T4019" s="16" t="n">
        <v>0.85</v>
      </c>
      <c r="U4019" s="16" t="n">
        <v>0.75</v>
      </c>
      <c r="V4019" s="16" t="n">
        <v>0.85</v>
      </c>
      <c r="W4019" s="16" t="n">
        <v>0.75</v>
      </c>
      <c r="X4019" s="16" t="n">
        <v>0.8</v>
      </c>
      <c r="Y4019" s="16" t="n">
        <v>282.7277572493809</v>
      </c>
      <c r="Z4019" s="16" t="n">
        <v>6.84348617285111</v>
      </c>
      <c r="AA4019" s="16" t="n">
        <v>67.68790487075474</v>
      </c>
      <c r="AB4019" s="16" t="n">
        <v>1831.027935347953</v>
      </c>
      <c r="AC4019" s="16" t="n">
        <v>2.566357307172239</v>
      </c>
      <c r="AD4019" s="16" t="n"/>
      <c r="AE4019" s="16" t="n"/>
    </row>
    <row r="4020">
      <c r="A4020" s="16" t="inlineStr">
        <is>
          <t>KF-M09-R2-x_b+P_alta+eficiencias-0026</t>
        </is>
      </c>
      <c r="B4020" s="16" t="inlineStr">
        <is>
          <t>4.3</t>
        </is>
      </c>
      <c r="C4020" s="16" t="inlineStr">
        <is>
          <t>4.3 x_b+P_alta+eficiencias</t>
        </is>
      </c>
      <c r="D4020" s="16" t="inlineStr">
        <is>
          <t>ronda 2</t>
        </is>
      </c>
      <c r="E4020" s="16" t="inlineStr">
        <is>
          <t>KF-M09</t>
        </is>
      </c>
      <c r="F4020" s="16" t="inlineStr">
        <is>
          <t>KF-M09-R2-x_b+P_alta+eficiencias</t>
        </is>
      </c>
      <c r="G4020" s="16" t="inlineStr">
        <is>
          <t>B13-x_b+P_alta+eficiencias</t>
        </is>
      </c>
      <c r="H4020" s="16" t="inlineStr">
        <is>
          <t>lhs</t>
        </is>
      </c>
      <c r="I4020" s="16" t="inlineStr">
        <is>
          <t>CORREGIBLE</t>
        </is>
      </c>
      <c r="J4020" s="16" t="inlineStr">
        <is>
          <t>CORREGIBLE</t>
        </is>
      </c>
      <c r="K4020" s="16" t="b">
        <v>1</v>
      </c>
      <c r="L4020" s="16" t="b">
        <v>0</v>
      </c>
      <c r="M4020" s="16" t="b">
        <v>1</v>
      </c>
      <c r="N4020" s="16" t="b">
        <v>0</v>
      </c>
      <c r="O4020" s="16" t="n">
        <v>481.6444653961746</v>
      </c>
      <c r="P4020" s="16" t="n">
        <v>284.1947031563773</v>
      </c>
      <c r="Q4020" s="16" t="n">
        <v>3000</v>
      </c>
      <c r="R4020" s="16" t="n">
        <v>1708.643273353171</v>
      </c>
      <c r="S4020" s="16" t="n">
        <v>0.5</v>
      </c>
      <c r="T4020" s="16" t="n">
        <v>0.85</v>
      </c>
      <c r="U4020" s="16" t="n">
        <v>0.75</v>
      </c>
      <c r="V4020" s="16" t="n">
        <v>0.85</v>
      </c>
      <c r="W4020" s="16" t="n">
        <v>0.75</v>
      </c>
      <c r="X4020" s="16" t="n">
        <v>0.8</v>
      </c>
      <c r="Y4020" s="16" t="n">
        <v>284.1947031563773</v>
      </c>
      <c r="Z4020" s="16" t="n">
        <v>4.44359373079751</v>
      </c>
      <c r="AA4020" s="16" t="n">
        <v>74.77970267176437</v>
      </c>
      <c r="AB4020" s="16" t="n">
        <v>1291.356726646829</v>
      </c>
      <c r="AC4020" s="16" t="n">
        <v>1.75577901296657</v>
      </c>
      <c r="AD4020" s="16" t="inlineStr">
        <is>
          <t>O2</t>
        </is>
      </c>
      <c r="AE4020" s="16" t="n"/>
    </row>
    <row r="4021">
      <c r="A4021" s="16" t="inlineStr">
        <is>
          <t>KF-M09-R2-x_b+P_alta+eficiencias-0027</t>
        </is>
      </c>
      <c r="B4021" s="16" t="inlineStr">
        <is>
          <t>4.3</t>
        </is>
      </c>
      <c r="C4021" s="16" t="inlineStr">
        <is>
          <t>4.3 x_b+P_alta+eficiencias</t>
        </is>
      </c>
      <c r="D4021" s="16" t="inlineStr">
        <is>
          <t>ronda 2</t>
        </is>
      </c>
      <c r="E4021" s="16" t="inlineStr">
        <is>
          <t>KF-M09</t>
        </is>
      </c>
      <c r="F4021" s="16" t="inlineStr">
        <is>
          <t>KF-M09-R2-x_b+P_alta+eficiencias</t>
        </is>
      </c>
      <c r="G4021" s="16" t="inlineStr">
        <is>
          <t>B13-x_b+P_alta+eficiencias</t>
        </is>
      </c>
      <c r="H4021" s="16" t="inlineStr">
        <is>
          <t>lhs</t>
        </is>
      </c>
      <c r="I4021" s="16" t="inlineStr">
        <is>
          <t>CORREGIBLE</t>
        </is>
      </c>
      <c r="J4021" s="16" t="inlineStr">
        <is>
          <t>CORREGIBLE</t>
        </is>
      </c>
      <c r="K4021" s="16" t="b">
        <v>1</v>
      </c>
      <c r="L4021" s="16" t="b">
        <v>0</v>
      </c>
      <c r="M4021" s="16" t="b">
        <v>1</v>
      </c>
      <c r="N4021" s="16" t="b">
        <v>0</v>
      </c>
      <c r="O4021" s="16" t="n">
        <v>512.8375741212046</v>
      </c>
      <c r="P4021" s="16" t="n">
        <v>286.0429233825001</v>
      </c>
      <c r="Q4021" s="16" t="n">
        <v>3000</v>
      </c>
      <c r="R4021" s="16" t="n">
        <v>927.7683686426742</v>
      </c>
      <c r="S4021" s="16" t="n">
        <v>0.5</v>
      </c>
      <c r="T4021" s="16" t="n">
        <v>0.85</v>
      </c>
      <c r="U4021" s="16" t="n">
        <v>0.75</v>
      </c>
      <c r="V4021" s="16" t="n">
        <v>0.85</v>
      </c>
      <c r="W4021" s="16" t="n">
        <v>0.75</v>
      </c>
      <c r="X4021" s="16" t="n">
        <v>0.8</v>
      </c>
      <c r="Y4021" s="16" t="n">
        <v>286.0429233825001</v>
      </c>
      <c r="Z4021" s="16" t="n">
        <v>8.58261499148327</v>
      </c>
      <c r="AA4021" s="16" t="n">
        <v>150.649524303552</v>
      </c>
      <c r="AB4021" s="16" t="n">
        <v>2072.231631357326</v>
      </c>
      <c r="AC4021" s="16" t="n">
        <v>3.233565727606129</v>
      </c>
      <c r="AD4021" s="16" t="inlineStr">
        <is>
          <t>O2</t>
        </is>
      </c>
      <c r="AE4021" s="16" t="n"/>
    </row>
    <row r="4022">
      <c r="A4022" s="16" t="inlineStr">
        <is>
          <t>KF-M09-R2-x_b+P_alta+eficiencias-0028</t>
        </is>
      </c>
      <c r="B4022" s="16" t="inlineStr">
        <is>
          <t>4.3</t>
        </is>
      </c>
      <c r="C4022" s="16" t="inlineStr">
        <is>
          <t>4.3 x_b+P_alta+eficiencias</t>
        </is>
      </c>
      <c r="D4022" s="16" t="inlineStr">
        <is>
          <t>ronda 2</t>
        </is>
      </c>
      <c r="E4022" s="16" t="inlineStr">
        <is>
          <t>KF-M09</t>
        </is>
      </c>
      <c r="F4022" s="16" t="inlineStr">
        <is>
          <t>KF-M09-R2-x_b+P_alta+eficiencias</t>
        </is>
      </c>
      <c r="G4022" s="16" t="inlineStr">
        <is>
          <t>B13-x_b+P_alta+eficiencias</t>
        </is>
      </c>
      <c r="H4022" s="16" t="inlineStr">
        <is>
          <t>lhs</t>
        </is>
      </c>
      <c r="I4022" s="16" t="inlineStr">
        <is>
          <t>CORREGIBLE</t>
        </is>
      </c>
      <c r="J4022" s="16" t="inlineStr">
        <is>
          <t>CORREGIBLE</t>
        </is>
      </c>
      <c r="K4022" s="16" t="b">
        <v>1</v>
      </c>
      <c r="L4022" s="16" t="b">
        <v>0</v>
      </c>
      <c r="M4022" s="16" t="b">
        <v>1</v>
      </c>
      <c r="N4022" s="16" t="b">
        <v>0</v>
      </c>
      <c r="O4022" s="16" t="n">
        <v>516.6508198238442</v>
      </c>
      <c r="P4022" s="16" t="n">
        <v>293.8368171698099</v>
      </c>
      <c r="Q4022" s="16" t="n">
        <v>3000</v>
      </c>
      <c r="R4022" s="16" t="n">
        <v>1535.216717011496</v>
      </c>
      <c r="S4022" s="16" t="n">
        <v>0.5</v>
      </c>
      <c r="T4022" s="16" t="n">
        <v>0.85</v>
      </c>
      <c r="U4022" s="16" t="n">
        <v>0.75</v>
      </c>
      <c r="V4022" s="16" t="n">
        <v>0.85</v>
      </c>
      <c r="W4022" s="16" t="n">
        <v>0.75</v>
      </c>
      <c r="X4022" s="16" t="n">
        <v>0.8</v>
      </c>
      <c r="Y4022" s="16" t="n">
        <v>293.8368171698099</v>
      </c>
      <c r="Z4022" s="16" t="n">
        <v>5.18390399300014</v>
      </c>
      <c r="AA4022" s="16" t="n">
        <v>89.92763986170799</v>
      </c>
      <c r="AB4022" s="16" t="n">
        <v>1464.783282988504</v>
      </c>
      <c r="AC4022" s="16" t="n">
        <v>1.954121503991893</v>
      </c>
      <c r="AD4022" s="16" t="inlineStr">
        <is>
          <t>O2</t>
        </is>
      </c>
      <c r="AE4022" s="16" t="n"/>
    </row>
    <row r="4023">
      <c r="A4023" s="16" t="inlineStr">
        <is>
          <t>KF-M09-R2-x_b+P_alta+eficiencias-0029</t>
        </is>
      </c>
      <c r="B4023" s="16" t="inlineStr">
        <is>
          <t>4.3</t>
        </is>
      </c>
      <c r="C4023" s="16" t="inlineStr">
        <is>
          <t>4.3 x_b+P_alta+eficiencias</t>
        </is>
      </c>
      <c r="D4023" s="16" t="inlineStr">
        <is>
          <t>ronda 2</t>
        </is>
      </c>
      <c r="E4023" s="16" t="inlineStr">
        <is>
          <t>KF-M09</t>
        </is>
      </c>
      <c r="F4023" s="16" t="inlineStr">
        <is>
          <t>KF-M09-R2-x_b+P_alta+eficiencias</t>
        </is>
      </c>
      <c r="G4023" s="16" t="inlineStr">
        <is>
          <t>B13-x_b+P_alta+eficiencias</t>
        </is>
      </c>
      <c r="H4023" s="16" t="inlineStr">
        <is>
          <t>lhs</t>
        </is>
      </c>
      <c r="I4023" s="16" t="inlineStr">
        <is>
          <t>KALINA</t>
        </is>
      </c>
      <c r="J4023" s="16" t="inlineStr">
        <is>
          <t>KALINA</t>
        </is>
      </c>
      <c r="K4023" s="16" t="b">
        <v>1</v>
      </c>
      <c r="L4023" s="16" t="b">
        <v>1</v>
      </c>
      <c r="M4023" s="16" t="b">
        <v>0</v>
      </c>
      <c r="N4023" s="16" t="b">
        <v>0</v>
      </c>
      <c r="O4023" s="16" t="n">
        <v>397.2229795035859</v>
      </c>
      <c r="P4023" s="16" t="n">
        <v>285.1395924372515</v>
      </c>
      <c r="Q4023" s="16" t="n">
        <v>3000</v>
      </c>
      <c r="R4023" s="16" t="n">
        <v>518.2145314450344</v>
      </c>
      <c r="S4023" s="16" t="n">
        <v>0.5</v>
      </c>
      <c r="T4023" s="16" t="n">
        <v>0.85</v>
      </c>
      <c r="U4023" s="16" t="n">
        <v>0.75</v>
      </c>
      <c r="V4023" s="16" t="n">
        <v>0.85</v>
      </c>
      <c r="W4023" s="16" t="n">
        <v>0.75</v>
      </c>
      <c r="X4023" s="16" t="n">
        <v>0.8</v>
      </c>
      <c r="Y4023" s="16" t="n">
        <v>285.1395924372515</v>
      </c>
      <c r="Z4023" s="16" t="n">
        <v>6.47325423986524</v>
      </c>
      <c r="AA4023" s="16" t="n">
        <v>16.50727515995418</v>
      </c>
      <c r="AB4023" s="16" t="n">
        <v>2481.785468554965</v>
      </c>
      <c r="AC4023" s="16" t="n">
        <v>5.789108212837142</v>
      </c>
      <c r="AD4023" s="16" t="n"/>
      <c r="AE4023" s="16" t="n"/>
    </row>
    <row r="4024">
      <c r="A4024" s="16" t="inlineStr">
        <is>
          <t>KF-M09-R2-x_b+P_alta+P_baja-0000</t>
        </is>
      </c>
      <c r="B4024" s="16" t="inlineStr">
        <is>
          <t>4.3</t>
        </is>
      </c>
      <c r="C4024" s="16" t="inlineStr">
        <is>
          <t>4.3 x_b+P_alta+P_baja</t>
        </is>
      </c>
      <c r="D4024" s="16" t="inlineStr">
        <is>
          <t>ronda 2</t>
        </is>
      </c>
      <c r="E4024" s="16" t="inlineStr">
        <is>
          <t>KF-M09</t>
        </is>
      </c>
      <c r="F4024" s="16" t="inlineStr">
        <is>
          <t>KF-M09-R2-x_b+P_alta+P_baja</t>
        </is>
      </c>
      <c r="G4024" s="16" t="inlineStr">
        <is>
          <t>B13-x_b+P_alta+P_baja</t>
        </is>
      </c>
      <c r="H4024" s="16" t="inlineStr">
        <is>
          <t>lhs</t>
        </is>
      </c>
      <c r="I4024" s="16" t="inlineStr">
        <is>
          <t>INVIABLE</t>
        </is>
      </c>
      <c r="J4024" s="16" t="inlineStr">
        <is>
          <t>INVIABLE</t>
        </is>
      </c>
      <c r="K4024" s="16" t="b">
        <v>1</v>
      </c>
      <c r="L4024" s="16" t="b">
        <v>0</v>
      </c>
      <c r="M4024" s="16" t="b">
        <v>1</v>
      </c>
      <c r="N4024" s="16" t="b">
        <v>0</v>
      </c>
      <c r="O4024" s="16" t="n">
        <v>514.4207274005462</v>
      </c>
      <c r="P4024" s="16" t="n">
        <v>303.1958530374001</v>
      </c>
      <c r="Q4024" s="16" t="n">
        <v>3000</v>
      </c>
      <c r="R4024" s="16" t="n">
        <v>400</v>
      </c>
      <c r="S4024" s="16" t="n">
        <v>0.5</v>
      </c>
      <c r="T4024" s="16" t="n">
        <v>0.6705847679198984</v>
      </c>
      <c r="U4024" s="16" t="n">
        <v>0.4111203173103241</v>
      </c>
      <c r="V4024" s="16" t="n">
        <v>0.4111959148797098</v>
      </c>
      <c r="W4024" s="16" t="n">
        <v>0.764276448388034</v>
      </c>
      <c r="X4024" s="16" t="n">
        <v>0.5861276645508579</v>
      </c>
      <c r="Y4024" s="16" t="n">
        <v>303.1958530374001</v>
      </c>
      <c r="Z4024" s="16" t="n">
        <v>-5.52661830955455</v>
      </c>
      <c r="AA4024" s="16" t="n">
        <v>-38.25757532452727</v>
      </c>
      <c r="AB4024" s="16" t="n">
        <v>2600</v>
      </c>
      <c r="AC4024" s="16" t="n">
        <v>7.5</v>
      </c>
      <c r="AD4024" s="16" t="inlineStr">
        <is>
          <t>O2,O3</t>
        </is>
      </c>
      <c r="AE4024" s="16" t="n"/>
    </row>
    <row r="4025">
      <c r="A4025" s="16" t="inlineStr">
        <is>
          <t>KF-M09-R2-x_b+P_alta+P_baja-0001</t>
        </is>
      </c>
      <c r="B4025" s="16" t="inlineStr">
        <is>
          <t>4.3</t>
        </is>
      </c>
      <c r="C4025" s="16" t="inlineStr">
        <is>
          <t>4.3 x_b+P_alta+P_baja</t>
        </is>
      </c>
      <c r="D4025" s="16" t="inlineStr">
        <is>
          <t>ronda 2</t>
        </is>
      </c>
      <c r="E4025" s="16" t="inlineStr">
        <is>
          <t>KF-M09</t>
        </is>
      </c>
      <c r="F4025" s="16" t="inlineStr">
        <is>
          <t>KF-M09-R2-x_b+P_alta+P_baja</t>
        </is>
      </c>
      <c r="G4025" s="16" t="inlineStr">
        <is>
          <t>B13-x_b+P_alta+P_baja</t>
        </is>
      </c>
      <c r="H4025" s="16" t="inlineStr">
        <is>
          <t>lhs</t>
        </is>
      </c>
      <c r="I4025" s="16" t="inlineStr">
        <is>
          <t>CORREGIBLE</t>
        </is>
      </c>
      <c r="J4025" s="16" t="inlineStr">
        <is>
          <t>CORREGIBLE</t>
        </is>
      </c>
      <c r="K4025" s="16" t="b">
        <v>1</v>
      </c>
      <c r="L4025" s="16" t="b">
        <v>0</v>
      </c>
      <c r="M4025" s="16" t="b">
        <v>1</v>
      </c>
      <c r="N4025" s="16" t="b">
        <v>0</v>
      </c>
      <c r="O4025" s="16" t="n">
        <v>439.5021957857394</v>
      </c>
      <c r="P4025" s="16" t="n">
        <v>289.0264207612865</v>
      </c>
      <c r="Q4025" s="16" t="n">
        <v>3000</v>
      </c>
      <c r="R4025" s="16" t="n">
        <v>400</v>
      </c>
      <c r="S4025" s="16" t="n">
        <v>0.5</v>
      </c>
      <c r="T4025" s="16" t="n">
        <v>0.8683475209129858</v>
      </c>
      <c r="U4025" s="16" t="n">
        <v>0.7458102185898828</v>
      </c>
      <c r="V4025" s="16" t="n">
        <v>0.9294383475369968</v>
      </c>
      <c r="W4025" s="16" t="n">
        <v>0.6343460275676901</v>
      </c>
      <c r="X4025" s="16" t="n">
        <v>0.8434596391904572</v>
      </c>
      <c r="Y4025" s="16" t="n">
        <v>289.0264207612865</v>
      </c>
      <c r="Z4025" s="16" t="n">
        <v>13.05909567676146</v>
      </c>
      <c r="AA4025" s="16" t="n">
        <v>119.7065396742806</v>
      </c>
      <c r="AB4025" s="16" t="n">
        <v>2600</v>
      </c>
      <c r="AC4025" s="16" t="n">
        <v>7.5</v>
      </c>
      <c r="AD4025" s="16" t="inlineStr">
        <is>
          <t>O2</t>
        </is>
      </c>
      <c r="AE4025" s="16" t="n"/>
    </row>
    <row r="4026">
      <c r="A4026" s="16" t="inlineStr">
        <is>
          <t>KF-M09-R2-x_b+P_alta+P_baja-0002</t>
        </is>
      </c>
      <c r="B4026" s="16" t="inlineStr">
        <is>
          <t>4.3</t>
        </is>
      </c>
      <c r="C4026" s="16" t="inlineStr">
        <is>
          <t>4.3 x_b+P_alta+P_baja</t>
        </is>
      </c>
      <c r="D4026" s="16" t="inlineStr">
        <is>
          <t>ronda 2</t>
        </is>
      </c>
      <c r="E4026" s="16" t="inlineStr">
        <is>
          <t>KF-M09</t>
        </is>
      </c>
      <c r="F4026" s="16" t="inlineStr">
        <is>
          <t>KF-M09-R2-x_b+P_alta+P_baja</t>
        </is>
      </c>
      <c r="G4026" s="16" t="inlineStr">
        <is>
          <t>B13-x_b+P_alta+P_baja</t>
        </is>
      </c>
      <c r="H4026" s="16" t="inlineStr">
        <is>
          <t>lhs</t>
        </is>
      </c>
      <c r="I4026" s="16" t="inlineStr">
        <is>
          <t>CORREGIBLE</t>
        </is>
      </c>
      <c r="J4026" s="16" t="inlineStr">
        <is>
          <t>CORREGIBLE</t>
        </is>
      </c>
      <c r="K4026" s="16" t="b">
        <v>1</v>
      </c>
      <c r="L4026" s="16" t="b">
        <v>0</v>
      </c>
      <c r="M4026" s="16" t="b">
        <v>0</v>
      </c>
      <c r="N4026" s="16" t="b">
        <v>0</v>
      </c>
      <c r="O4026" s="16" t="n">
        <v>413.2214918143923</v>
      </c>
      <c r="P4026" s="16" t="n">
        <v>284.1103697628732</v>
      </c>
      <c r="Q4026" s="16" t="n">
        <v>3000</v>
      </c>
      <c r="R4026" s="16" t="n">
        <v>400</v>
      </c>
      <c r="S4026" s="16" t="n">
        <v>0.5</v>
      </c>
      <c r="T4026" s="16" t="n">
        <v>0.6205666057382921</v>
      </c>
      <c r="U4026" s="16" t="n">
        <v>0.9421701664446096</v>
      </c>
      <c r="V4026" s="16" t="n">
        <v>0.5452794703701159</v>
      </c>
      <c r="W4026" s="16" t="n">
        <v>0.7167857828709329</v>
      </c>
      <c r="X4026" s="16" t="n">
        <v>0.4130890454858085</v>
      </c>
      <c r="Y4026" s="16" t="n">
        <v>284.1103697628732</v>
      </c>
      <c r="Z4026" s="16" t="n">
        <v>2.32711051481366</v>
      </c>
      <c r="AA4026" s="16" t="n">
        <v>5.592995072554992</v>
      </c>
      <c r="AB4026" s="16" t="n">
        <v>2600</v>
      </c>
      <c r="AC4026" s="16" t="n">
        <v>7.5</v>
      </c>
      <c r="AD4026" s="16" t="inlineStr">
        <is>
          <t>O2</t>
        </is>
      </c>
      <c r="AE4026" s="16" t="n"/>
    </row>
    <row r="4027">
      <c r="A4027" s="16" t="inlineStr">
        <is>
          <t>KF-M09-R2-x_b+P_alta+P_baja-0003</t>
        </is>
      </c>
      <c r="B4027" s="16" t="inlineStr">
        <is>
          <t>4.3</t>
        </is>
      </c>
      <c r="C4027" s="16" t="inlineStr">
        <is>
          <t>4.3 x_b+P_alta+P_baja</t>
        </is>
      </c>
      <c r="D4027" s="16" t="inlineStr">
        <is>
          <t>ronda 2</t>
        </is>
      </c>
      <c r="E4027" s="16" t="inlineStr">
        <is>
          <t>KF-M09</t>
        </is>
      </c>
      <c r="F4027" s="16" t="inlineStr">
        <is>
          <t>KF-M09-R2-x_b+P_alta+P_baja</t>
        </is>
      </c>
      <c r="G4027" s="16" t="inlineStr">
        <is>
          <t>B13-x_b+P_alta+P_baja</t>
        </is>
      </c>
      <c r="H4027" s="16" t="inlineStr">
        <is>
          <t>lhs</t>
        </is>
      </c>
      <c r="I4027" s="16" t="inlineStr">
        <is>
          <t>INVIABLE</t>
        </is>
      </c>
      <c r="J4027" s="16" t="inlineStr">
        <is>
          <t>INVIABLE</t>
        </is>
      </c>
      <c r="K4027" s="16" t="b">
        <v>1</v>
      </c>
      <c r="L4027" s="16" t="b">
        <v>0</v>
      </c>
      <c r="M4027" s="16" t="b">
        <v>0</v>
      </c>
      <c r="N4027" s="16" t="b">
        <v>0</v>
      </c>
      <c r="O4027" s="16" t="n">
        <v>407.4113029721137</v>
      </c>
      <c r="P4027" s="16" t="n">
        <v>300.2543484914048</v>
      </c>
      <c r="Q4027" s="16" t="n">
        <v>3000</v>
      </c>
      <c r="R4027" s="16" t="n">
        <v>400</v>
      </c>
      <c r="S4027" s="16" t="n">
        <v>0.5</v>
      </c>
      <c r="T4027" s="16" t="n">
        <v>0.5850733567249571</v>
      </c>
      <c r="U4027" s="16" t="n">
        <v>0.5301784743366316</v>
      </c>
      <c r="V4027" s="16" t="n">
        <v>0.9018851780042358</v>
      </c>
      <c r="W4027" s="16" t="n">
        <v>0.553945335208483</v>
      </c>
      <c r="X4027" s="16" t="n">
        <v>0.4761428549832774</v>
      </c>
      <c r="Y4027" s="16" t="n">
        <v>300.2543484914048</v>
      </c>
      <c r="Z4027" s="16" t="n">
        <v>-9.190762447162941</v>
      </c>
      <c r="AA4027" s="16" t="n">
        <v>-25.7777857768204</v>
      </c>
      <c r="AB4027" s="16" t="n">
        <v>2600</v>
      </c>
      <c r="AC4027" s="16" t="n">
        <v>7.5</v>
      </c>
      <c r="AD4027" s="16" t="inlineStr">
        <is>
          <t>O2,O3</t>
        </is>
      </c>
      <c r="AE4027" s="16" t="n"/>
    </row>
    <row r="4028">
      <c r="A4028" s="16" t="inlineStr">
        <is>
          <t>KF-M09-R2-x_b+P_alta+P_baja-0004</t>
        </is>
      </c>
      <c r="B4028" s="16" t="inlineStr">
        <is>
          <t>4.3</t>
        </is>
      </c>
      <c r="C4028" s="16" t="inlineStr">
        <is>
          <t>4.3 x_b+P_alta+P_baja</t>
        </is>
      </c>
      <c r="D4028" s="16" t="inlineStr">
        <is>
          <t>ronda 2</t>
        </is>
      </c>
      <c r="E4028" s="16" t="inlineStr">
        <is>
          <t>KF-M09</t>
        </is>
      </c>
      <c r="F4028" s="16" t="inlineStr">
        <is>
          <t>KF-M09-R2-x_b+P_alta+P_baja</t>
        </is>
      </c>
      <c r="G4028" s="16" t="inlineStr">
        <is>
          <t>B13-x_b+P_alta+P_baja</t>
        </is>
      </c>
      <c r="H4028" s="16" t="inlineStr">
        <is>
          <t>lhs</t>
        </is>
      </c>
      <c r="I4028" s="16" t="inlineStr">
        <is>
          <t>CORREGIBLE</t>
        </is>
      </c>
      <c r="J4028" s="16" t="inlineStr">
        <is>
          <t>CORREGIBLE</t>
        </is>
      </c>
      <c r="K4028" s="16" t="b">
        <v>1</v>
      </c>
      <c r="L4028" s="16" t="b">
        <v>0</v>
      </c>
      <c r="M4028" s="16" t="b">
        <v>1</v>
      </c>
      <c r="N4028" s="16" t="b">
        <v>0</v>
      </c>
      <c r="O4028" s="16" t="n">
        <v>476.6756493442306</v>
      </c>
      <c r="P4028" s="16" t="n">
        <v>283.4331579112712</v>
      </c>
      <c r="Q4028" s="16" t="n">
        <v>3000</v>
      </c>
      <c r="R4028" s="16" t="n">
        <v>400</v>
      </c>
      <c r="S4028" s="16" t="n">
        <v>0.5</v>
      </c>
      <c r="T4028" s="16" t="n">
        <v>0.9499587631427246</v>
      </c>
      <c r="U4028" s="16" t="n">
        <v>0.7075022041867973</v>
      </c>
      <c r="V4028" s="16" t="n">
        <v>0.5935947013753337</v>
      </c>
      <c r="W4028" s="16" t="n">
        <v>0.8422626596217037</v>
      </c>
      <c r="X4028" s="16" t="n">
        <v>0.5446673571143421</v>
      </c>
      <c r="Y4028" s="16" t="n">
        <v>283.4331579112712</v>
      </c>
      <c r="Z4028" s="16" t="n">
        <v>11.81526878035717</v>
      </c>
      <c r="AA4028" s="16" t="n">
        <v>109.1604289896814</v>
      </c>
      <c r="AB4028" s="16" t="n">
        <v>2600</v>
      </c>
      <c r="AC4028" s="16" t="n">
        <v>7.5</v>
      </c>
      <c r="AD4028" s="16" t="inlineStr">
        <is>
          <t>O1,O2</t>
        </is>
      </c>
      <c r="AE4028" s="16" t="n"/>
    </row>
    <row r="4029">
      <c r="A4029" s="16" t="inlineStr">
        <is>
          <t>KF-M09-R2-x_b+P_alta+P_baja-0005</t>
        </is>
      </c>
      <c r="B4029" s="16" t="inlineStr">
        <is>
          <t>4.3</t>
        </is>
      </c>
      <c r="C4029" s="16" t="inlineStr">
        <is>
          <t>4.3 x_b+P_alta+P_baja</t>
        </is>
      </c>
      <c r="D4029" s="16" t="inlineStr">
        <is>
          <t>ronda 2</t>
        </is>
      </c>
      <c r="E4029" s="16" t="inlineStr">
        <is>
          <t>KF-M09</t>
        </is>
      </c>
      <c r="F4029" s="16" t="inlineStr">
        <is>
          <t>KF-M09-R2-x_b+P_alta+P_baja</t>
        </is>
      </c>
      <c r="G4029" s="16" t="inlineStr">
        <is>
          <t>B13-x_b+P_alta+P_baja</t>
        </is>
      </c>
      <c r="H4029" s="16" t="inlineStr">
        <is>
          <t>lhs</t>
        </is>
      </c>
      <c r="I4029" s="16" t="inlineStr">
        <is>
          <t>CORREGIBLE</t>
        </is>
      </c>
      <c r="J4029" s="16" t="inlineStr">
        <is>
          <t>CORREGIBLE</t>
        </is>
      </c>
      <c r="K4029" s="16" t="b">
        <v>1</v>
      </c>
      <c r="L4029" s="16" t="b">
        <v>0</v>
      </c>
      <c r="M4029" s="16" t="b">
        <v>1</v>
      </c>
      <c r="N4029" s="16" t="b">
        <v>0</v>
      </c>
      <c r="O4029" s="16" t="n">
        <v>505.9168991405094</v>
      </c>
      <c r="P4029" s="16" t="n">
        <v>293.0979057169047</v>
      </c>
      <c r="Q4029" s="16" t="n">
        <v>3000</v>
      </c>
      <c r="R4029" s="16" t="n">
        <v>400</v>
      </c>
      <c r="S4029" s="16" t="n">
        <v>0.5</v>
      </c>
      <c r="T4029" s="16" t="n">
        <v>0.5729956432497766</v>
      </c>
      <c r="U4029" s="16" t="n">
        <v>0.9175555761457008</v>
      </c>
      <c r="V4029" s="16" t="n">
        <v>0.6260058224006484</v>
      </c>
      <c r="W4029" s="16" t="n">
        <v>0.8229440439670079</v>
      </c>
      <c r="X4029" s="16" t="n">
        <v>0.8045653769477008</v>
      </c>
      <c r="Y4029" s="16" t="n">
        <v>293.0979057169047</v>
      </c>
      <c r="Z4029" s="16" t="n">
        <v>8.81459750843587</v>
      </c>
      <c r="AA4029" s="16" t="n">
        <v>112.0594542252009</v>
      </c>
      <c r="AB4029" s="16" t="n">
        <v>2600</v>
      </c>
      <c r="AC4029" s="16" t="n">
        <v>7.5</v>
      </c>
      <c r="AD4029" s="16" t="inlineStr">
        <is>
          <t>O2</t>
        </is>
      </c>
      <c r="AE4029" s="16" t="n"/>
    </row>
    <row r="4030">
      <c r="A4030" s="16" t="inlineStr">
        <is>
          <t>KF-M09-R2-x_b+P_alta+P_baja-0006</t>
        </is>
      </c>
      <c r="B4030" s="16" t="inlineStr">
        <is>
          <t>4.3</t>
        </is>
      </c>
      <c r="C4030" s="16" t="inlineStr">
        <is>
          <t>4.3 x_b+P_alta+P_baja</t>
        </is>
      </c>
      <c r="D4030" s="16" t="inlineStr">
        <is>
          <t>ronda 2</t>
        </is>
      </c>
      <c r="E4030" s="16" t="inlineStr">
        <is>
          <t>KF-M09</t>
        </is>
      </c>
      <c r="F4030" s="16" t="inlineStr">
        <is>
          <t>KF-M09-R2-x_b+P_alta+P_baja</t>
        </is>
      </c>
      <c r="G4030" s="16" t="inlineStr">
        <is>
          <t>B13-x_b+P_alta+P_baja</t>
        </is>
      </c>
      <c r="H4030" s="16" t="inlineStr">
        <is>
          <t>lhs</t>
        </is>
      </c>
      <c r="I4030" s="16" t="inlineStr">
        <is>
          <t>KALINA</t>
        </is>
      </c>
      <c r="J4030" s="16" t="inlineStr">
        <is>
          <t>KALINA</t>
        </is>
      </c>
      <c r="K4030" s="16" t="b">
        <v>1</v>
      </c>
      <c r="L4030" s="16" t="b">
        <v>1</v>
      </c>
      <c r="M4030" s="16" t="b">
        <v>0</v>
      </c>
      <c r="N4030" s="16" t="b">
        <v>0</v>
      </c>
      <c r="O4030" s="16" t="n">
        <v>426.2626591326695</v>
      </c>
      <c r="P4030" s="16" t="n">
        <v>296.1855764361585</v>
      </c>
      <c r="Q4030" s="16" t="n">
        <v>3000</v>
      </c>
      <c r="R4030" s="16" t="n">
        <v>400</v>
      </c>
      <c r="S4030" s="16" t="n">
        <v>0.5</v>
      </c>
      <c r="T4030" s="16" t="n">
        <v>0.8013003084063899</v>
      </c>
      <c r="U4030" s="16" t="n">
        <v>0.7860399734322956</v>
      </c>
      <c r="V4030" s="16" t="n">
        <v>0.4226531192892354</v>
      </c>
      <c r="W4030" s="16" t="n">
        <v>0.7417051322407023</v>
      </c>
      <c r="X4030" s="16" t="n">
        <v>0.9480630701458144</v>
      </c>
      <c r="Y4030" s="16" t="n">
        <v>296.1855764361585</v>
      </c>
      <c r="Z4030" s="16" t="n">
        <v>8.32977845920677</v>
      </c>
      <c r="AA4030" s="16" t="n">
        <v>26.09002426571389</v>
      </c>
      <c r="AB4030" s="16" t="n">
        <v>2600</v>
      </c>
      <c r="AC4030" s="16" t="n">
        <v>7.5</v>
      </c>
      <c r="AD4030" s="16" t="n"/>
      <c r="AE4030" s="16" t="n"/>
    </row>
    <row r="4031">
      <c r="A4031" s="16" t="inlineStr">
        <is>
          <t>KF-M09-R2-x_b+P_alta+P_baja-0007</t>
        </is>
      </c>
      <c r="B4031" s="16" t="inlineStr">
        <is>
          <t>4.3</t>
        </is>
      </c>
      <c r="C4031" s="16" t="inlineStr">
        <is>
          <t>4.3 x_b+P_alta+P_baja</t>
        </is>
      </c>
      <c r="D4031" s="16" t="inlineStr">
        <is>
          <t>ronda 2</t>
        </is>
      </c>
      <c r="E4031" s="16" t="inlineStr">
        <is>
          <t>KF-M09</t>
        </is>
      </c>
      <c r="F4031" s="16" t="inlineStr">
        <is>
          <t>KF-M09-R2-x_b+P_alta+P_baja</t>
        </is>
      </c>
      <c r="G4031" s="16" t="inlineStr">
        <is>
          <t>B13-x_b+P_alta+P_baja</t>
        </is>
      </c>
      <c r="H4031" s="16" t="inlineStr">
        <is>
          <t>lhs</t>
        </is>
      </c>
      <c r="I4031" s="16" t="inlineStr">
        <is>
          <t>CORREGIBLE</t>
        </is>
      </c>
      <c r="J4031" s="16" t="inlineStr">
        <is>
          <t>CORREGIBLE</t>
        </is>
      </c>
      <c r="K4031" s="16" t="b">
        <v>1</v>
      </c>
      <c r="L4031" s="16" t="b">
        <v>0</v>
      </c>
      <c r="M4031" s="16" t="b">
        <v>1</v>
      </c>
      <c r="N4031" s="16" t="b">
        <v>0</v>
      </c>
      <c r="O4031" s="16" t="n">
        <v>501.1473437422768</v>
      </c>
      <c r="P4031" s="16" t="n">
        <v>278.2194930455406</v>
      </c>
      <c r="Q4031" s="16" t="n">
        <v>3000</v>
      </c>
      <c r="R4031" s="16" t="n">
        <v>400</v>
      </c>
      <c r="S4031" s="16" t="n">
        <v>0.5</v>
      </c>
      <c r="T4031" s="16" t="n">
        <v>0.646075147634131</v>
      </c>
      <c r="U4031" s="16" t="n">
        <v>0.8942818561994099</v>
      </c>
      <c r="V4031" s="16" t="n">
        <v>0.800947330702144</v>
      </c>
      <c r="W4031" s="16" t="n">
        <v>0.5293520621552836</v>
      </c>
      <c r="X4031" s="16" t="n">
        <v>0.8387118882334872</v>
      </c>
      <c r="Y4031" s="16" t="n">
        <v>278.2194930455406</v>
      </c>
      <c r="Z4031" s="16" t="n">
        <v>10.07835094604618</v>
      </c>
      <c r="AA4031" s="16" t="n">
        <v>173.7849061314514</v>
      </c>
      <c r="AB4031" s="16" t="n">
        <v>2600</v>
      </c>
      <c r="AC4031" s="16" t="n">
        <v>7.5</v>
      </c>
      <c r="AD4031" s="16" t="inlineStr">
        <is>
          <t>O2</t>
        </is>
      </c>
      <c r="AE4031" s="16" t="n"/>
    </row>
    <row r="4032">
      <c r="A4032" s="16" t="inlineStr">
        <is>
          <t>KF-M09-R2-x_b+P_alta+P_baja-0008</t>
        </is>
      </c>
      <c r="B4032" s="16" t="inlineStr">
        <is>
          <t>4.3</t>
        </is>
      </c>
      <c r="C4032" s="16" t="inlineStr">
        <is>
          <t>4.3 x_b+P_alta+P_baja</t>
        </is>
      </c>
      <c r="D4032" s="16" t="inlineStr">
        <is>
          <t>ronda 2</t>
        </is>
      </c>
      <c r="E4032" s="16" t="inlineStr">
        <is>
          <t>KF-M09</t>
        </is>
      </c>
      <c r="F4032" s="16" t="inlineStr">
        <is>
          <t>KF-M09-R2-x_b+P_alta+P_baja</t>
        </is>
      </c>
      <c r="G4032" s="16" t="inlineStr">
        <is>
          <t>B13-x_b+P_alta+P_baja</t>
        </is>
      </c>
      <c r="H4032" s="16" t="inlineStr">
        <is>
          <t>lhs</t>
        </is>
      </c>
      <c r="I4032" s="16" t="inlineStr">
        <is>
          <t>CORREGIBLE</t>
        </is>
      </c>
      <c r="J4032" s="16" t="inlineStr">
        <is>
          <t>CORREGIBLE</t>
        </is>
      </c>
      <c r="K4032" s="16" t="b">
        <v>1</v>
      </c>
      <c r="L4032" s="16" t="b">
        <v>0</v>
      </c>
      <c r="M4032" s="16" t="b">
        <v>1</v>
      </c>
      <c r="N4032" s="16" t="b">
        <v>0</v>
      </c>
      <c r="O4032" s="16" t="n">
        <v>468.935618700601</v>
      </c>
      <c r="P4032" s="16" t="n">
        <v>301.7785938754341</v>
      </c>
      <c r="Q4032" s="16" t="n">
        <v>3000</v>
      </c>
      <c r="R4032" s="16" t="n">
        <v>400</v>
      </c>
      <c r="S4032" s="16" t="n">
        <v>0.5</v>
      </c>
      <c r="T4032" s="16" t="n">
        <v>0.5480973314259576</v>
      </c>
      <c r="U4032" s="16" t="n">
        <v>0.7594495743921257</v>
      </c>
      <c r="V4032" s="16" t="n">
        <v>0.8664007847772897</v>
      </c>
      <c r="W4032" s="16" t="n">
        <v>0.7774555803867036</v>
      </c>
      <c r="X4032" s="16" t="n">
        <v>0.924420598685388</v>
      </c>
      <c r="Y4032" s="16" t="n">
        <v>301.7785938754341</v>
      </c>
      <c r="Z4032" s="16" t="n">
        <v>8.5220377295433</v>
      </c>
      <c r="AA4032" s="16" t="n">
        <v>142.8929970305181</v>
      </c>
      <c r="AB4032" s="16" t="n">
        <v>2600</v>
      </c>
      <c r="AC4032" s="16" t="n">
        <v>7.5</v>
      </c>
      <c r="AD4032" s="16" t="inlineStr">
        <is>
          <t>O2</t>
        </is>
      </c>
      <c r="AE4032" s="16" t="n"/>
    </row>
    <row r="4033">
      <c r="A4033" s="16" t="inlineStr">
        <is>
          <t>KF-M09-R2-x_b+P_alta+P_baja-0009</t>
        </is>
      </c>
      <c r="B4033" s="16" t="inlineStr">
        <is>
          <t>4.3</t>
        </is>
      </c>
      <c r="C4033" s="16" t="inlineStr">
        <is>
          <t>4.3 x_b+P_alta+P_baja</t>
        </is>
      </c>
      <c r="D4033" s="16" t="inlineStr">
        <is>
          <t>ronda 2</t>
        </is>
      </c>
      <c r="E4033" s="16" t="inlineStr">
        <is>
          <t>KF-M09</t>
        </is>
      </c>
      <c r="F4033" s="16" t="inlineStr">
        <is>
          <t>KF-M09-R2-x_b+P_alta+P_baja</t>
        </is>
      </c>
      <c r="G4033" s="16" t="inlineStr">
        <is>
          <t>B13-x_b+P_alta+P_baja</t>
        </is>
      </c>
      <c r="H4033" s="16" t="inlineStr">
        <is>
          <t>lhs</t>
        </is>
      </c>
      <c r="I4033" s="16" t="inlineStr">
        <is>
          <t>N2</t>
        </is>
      </c>
      <c r="J4033" s="16" t="inlineStr">
        <is>
          <t>NO_CONVERGIO</t>
        </is>
      </c>
      <c r="K4033" s="16" t="b">
        <v>0</v>
      </c>
      <c r="L4033" s="16" t="b">
        <v>0</v>
      </c>
      <c r="M4033" s="16" t="b">
        <v>0</v>
      </c>
      <c r="N4033" s="16" t="b">
        <v>0</v>
      </c>
      <c r="O4033" s="16" t="n">
        <v>385.1832050605025</v>
      </c>
      <c r="P4033" s="16" t="n">
        <v>290.6859407106934</v>
      </c>
      <c r="Q4033" s="16" t="n">
        <v>3000</v>
      </c>
      <c r="R4033" s="16" t="n">
        <v>400</v>
      </c>
      <c r="S4033" s="16" t="n">
        <v>0.5</v>
      </c>
      <c r="T4033" s="16" t="n">
        <v>0.4661219467634975</v>
      </c>
      <c r="U4033" s="16" t="n">
        <v>0.6319490196561079</v>
      </c>
      <c r="V4033" s="16" t="n">
        <v>0.6403865590701072</v>
      </c>
      <c r="W4033" s="16" t="n">
        <v>0.6833121836741674</v>
      </c>
      <c r="X4033" s="16" t="n">
        <v>0.8943819715679577</v>
      </c>
      <c r="Y4033" s="16" t="n">
        <v>290.6859407106934</v>
      </c>
      <c r="Z4033" s="16" t="n">
        <v>-26.36530721731653</v>
      </c>
      <c r="AA4033" s="16" t="n">
        <v>-22.67339556848959</v>
      </c>
      <c r="AB4033" s="16" t="n">
        <v>2600</v>
      </c>
      <c r="AC4033" s="16" t="n">
        <v>7.5</v>
      </c>
      <c r="AD4033" s="16" t="inlineStr">
        <is>
          <t>N2,S6,O3,O5,C1,C3,C3</t>
        </is>
      </c>
      <c r="AE4033" s="16" t="n"/>
    </row>
    <row r="4034">
      <c r="A4034" s="16" t="inlineStr">
        <is>
          <t>KF-M09-R2-x_b+P_alta+P_baja-0010</t>
        </is>
      </c>
      <c r="B4034" s="16" t="inlineStr">
        <is>
          <t>4.3</t>
        </is>
      </c>
      <c r="C4034" s="16" t="inlineStr">
        <is>
          <t>4.3 x_b+P_alta+P_baja</t>
        </is>
      </c>
      <c r="D4034" s="16" t="inlineStr">
        <is>
          <t>ronda 2</t>
        </is>
      </c>
      <c r="E4034" s="16" t="inlineStr">
        <is>
          <t>KF-M09</t>
        </is>
      </c>
      <c r="F4034" s="16" t="inlineStr">
        <is>
          <t>KF-M09-R2-x_b+P_alta+P_baja</t>
        </is>
      </c>
      <c r="G4034" s="16" t="inlineStr">
        <is>
          <t>B13-x_b+P_alta+P_baja</t>
        </is>
      </c>
      <c r="H4034" s="16" t="inlineStr">
        <is>
          <t>lhs</t>
        </is>
      </c>
      <c r="I4034" s="16" t="inlineStr">
        <is>
          <t>INVIABLE</t>
        </is>
      </c>
      <c r="J4034" s="16" t="inlineStr">
        <is>
          <t>INVIABLE</t>
        </is>
      </c>
      <c r="K4034" s="16" t="b">
        <v>1</v>
      </c>
      <c r="L4034" s="16" t="b">
        <v>0</v>
      </c>
      <c r="M4034" s="16" t="b">
        <v>1</v>
      </c>
      <c r="N4034" s="16" t="b">
        <v>0</v>
      </c>
      <c r="O4034" s="16" t="n">
        <v>455.1668394129342</v>
      </c>
      <c r="P4034" s="16" t="n">
        <v>281.6892908540069</v>
      </c>
      <c r="Q4034" s="16" t="n">
        <v>3000</v>
      </c>
      <c r="R4034" s="16" t="n">
        <v>400</v>
      </c>
      <c r="S4034" s="16" t="n">
        <v>0.5</v>
      </c>
      <c r="T4034" s="16" t="n">
        <v>0.43300764708027</v>
      </c>
      <c r="U4034" s="16" t="n">
        <v>0.6140790800335177</v>
      </c>
      <c r="V4034" s="16" t="n">
        <v>0.4512586629383382</v>
      </c>
      <c r="W4034" s="16" t="n">
        <v>0.8100065672591841</v>
      </c>
      <c r="X4034" s="16" t="n">
        <v>0.4714449716361054</v>
      </c>
      <c r="Y4034" s="16" t="n">
        <v>281.6892908540069</v>
      </c>
      <c r="Z4034" s="16" t="n">
        <v>-8.298115220209409</v>
      </c>
      <c r="AA4034" s="16" t="n">
        <v>-37.80154283790221</v>
      </c>
      <c r="AB4034" s="16" t="n">
        <v>2600</v>
      </c>
      <c r="AC4034" s="16" t="n">
        <v>7.5</v>
      </c>
      <c r="AD4034" s="16" t="inlineStr">
        <is>
          <t>O2,O3</t>
        </is>
      </c>
      <c r="AE4034" s="16" t="n"/>
    </row>
    <row r="4035">
      <c r="A4035" s="16" t="inlineStr">
        <is>
          <t>KF-M09-R2-x_b+P_alta+P_baja-0011</t>
        </is>
      </c>
      <c r="B4035" s="16" t="inlineStr">
        <is>
          <t>4.3</t>
        </is>
      </c>
      <c r="C4035" s="16" t="inlineStr">
        <is>
          <t>4.3 x_b+P_alta+P_baja</t>
        </is>
      </c>
      <c r="D4035" s="16" t="inlineStr">
        <is>
          <t>ronda 2</t>
        </is>
      </c>
      <c r="E4035" s="16" t="inlineStr">
        <is>
          <t>KF-M09</t>
        </is>
      </c>
      <c r="F4035" s="16" t="inlineStr">
        <is>
          <t>KF-M09-R2-x_b+P_alta+P_baja</t>
        </is>
      </c>
      <c r="G4035" s="16" t="inlineStr">
        <is>
          <t>B13-x_b+P_alta+P_baja</t>
        </is>
      </c>
      <c r="H4035" s="16" t="inlineStr">
        <is>
          <t>lhs</t>
        </is>
      </c>
      <c r="I4035" s="16" t="inlineStr">
        <is>
          <t>CORREGIBLE</t>
        </is>
      </c>
      <c r="J4035" s="16" t="inlineStr">
        <is>
          <t>CORREGIBLE</t>
        </is>
      </c>
      <c r="K4035" s="16" t="b">
        <v>1</v>
      </c>
      <c r="L4035" s="16" t="b">
        <v>0</v>
      </c>
      <c r="M4035" s="16" t="b">
        <v>0</v>
      </c>
      <c r="N4035" s="16" t="b">
        <v>0</v>
      </c>
      <c r="O4035" s="16" t="n">
        <v>390.9917906475985</v>
      </c>
      <c r="P4035" s="16" t="n">
        <v>299.1445476270999</v>
      </c>
      <c r="Q4035" s="16" t="n">
        <v>3000</v>
      </c>
      <c r="R4035" s="16" t="n">
        <v>400</v>
      </c>
      <c r="S4035" s="16" t="n">
        <v>0.5</v>
      </c>
      <c r="T4035" s="16" t="n">
        <v>0.7613287970331124</v>
      </c>
      <c r="U4035" s="16" t="n">
        <v>0.7187788832612524</v>
      </c>
      <c r="V4035" s="16" t="n">
        <v>0.7515190912356025</v>
      </c>
      <c r="W4035" s="16" t="n">
        <v>0.7987252405034573</v>
      </c>
      <c r="X4035" s="16" t="n">
        <v>0.6053413967220482</v>
      </c>
      <c r="Y4035" s="16" t="n">
        <v>299.1445476270999</v>
      </c>
      <c r="Z4035" s="16" t="n">
        <v>1.7007165785166</v>
      </c>
      <c r="AA4035" s="16" t="n">
        <v>2.042065482457944</v>
      </c>
      <c r="AB4035" s="16" t="n">
        <v>2600</v>
      </c>
      <c r="AC4035" s="16" t="n">
        <v>7.5</v>
      </c>
      <c r="AD4035" s="16" t="inlineStr">
        <is>
          <t>O2</t>
        </is>
      </c>
      <c r="AE4035" s="16" t="n"/>
    </row>
    <row r="4036">
      <c r="A4036" s="16" t="inlineStr">
        <is>
          <t>KF-M09-R2-x_b+P_alta+P_baja-0012</t>
        </is>
      </c>
      <c r="B4036" s="16" t="inlineStr">
        <is>
          <t>4.3</t>
        </is>
      </c>
      <c r="C4036" s="16" t="inlineStr">
        <is>
          <t>4.3 x_b+P_alta+P_baja</t>
        </is>
      </c>
      <c r="D4036" s="16" t="inlineStr">
        <is>
          <t>ronda 2</t>
        </is>
      </c>
      <c r="E4036" s="16" t="inlineStr">
        <is>
          <t>KF-M09</t>
        </is>
      </c>
      <c r="F4036" s="16" t="inlineStr">
        <is>
          <t>KF-M09-R2-x_b+P_alta+P_baja</t>
        </is>
      </c>
      <c r="G4036" s="16" t="inlineStr">
        <is>
          <t>B13-x_b+P_alta+P_baja</t>
        </is>
      </c>
      <c r="H4036" s="16" t="inlineStr">
        <is>
          <t>lhs</t>
        </is>
      </c>
      <c r="I4036" s="16" t="inlineStr">
        <is>
          <t>INVIABLE</t>
        </is>
      </c>
      <c r="J4036" s="16" t="inlineStr">
        <is>
          <t>INVIABLE</t>
        </is>
      </c>
      <c r="K4036" s="16" t="b">
        <v>1</v>
      </c>
      <c r="L4036" s="16" t="b">
        <v>0</v>
      </c>
      <c r="M4036" s="16" t="b">
        <v>1</v>
      </c>
      <c r="N4036" s="16" t="b">
        <v>0</v>
      </c>
      <c r="O4036" s="16" t="n">
        <v>485.8990188757693</v>
      </c>
      <c r="P4036" s="16" t="n">
        <v>292.3410901653241</v>
      </c>
      <c r="Q4036" s="16" t="n">
        <v>3000</v>
      </c>
      <c r="R4036" s="16" t="n">
        <v>400</v>
      </c>
      <c r="S4036" s="16" t="n">
        <v>0.5</v>
      </c>
      <c r="T4036" s="16" t="n">
        <v>0.8392240417693981</v>
      </c>
      <c r="U4036" s="16" t="n">
        <v>0.5265755421441717</v>
      </c>
      <c r="V4036" s="16" t="n">
        <v>0.8221123184483403</v>
      </c>
      <c r="W4036" s="16" t="n">
        <v>0.6414559376479796</v>
      </c>
      <c r="X4036" s="16" t="n">
        <v>0.4428971614299726</v>
      </c>
      <c r="Y4036" s="16" t="n">
        <v>292.3410901653241</v>
      </c>
      <c r="Z4036" s="16" t="n">
        <v>-5.270998553979879</v>
      </c>
      <c r="AA4036" s="16" t="n">
        <v>-43.21792828094573</v>
      </c>
      <c r="AB4036" s="16" t="n">
        <v>2600</v>
      </c>
      <c r="AC4036" s="16" t="n">
        <v>7.5</v>
      </c>
      <c r="AD4036" s="16" t="inlineStr">
        <is>
          <t>O2,O3</t>
        </is>
      </c>
      <c r="AE4036" s="16" t="n"/>
    </row>
    <row r="4037">
      <c r="A4037" s="16" t="inlineStr">
        <is>
          <t>KF-M09-R2-x_b+P_alta+P_baja-0013</t>
        </is>
      </c>
      <c r="B4037" s="16" t="inlineStr">
        <is>
          <t>4.3</t>
        </is>
      </c>
      <c r="C4037" s="16" t="inlineStr">
        <is>
          <t>4.3 x_b+P_alta+P_baja</t>
        </is>
      </c>
      <c r="D4037" s="16" t="inlineStr">
        <is>
          <t>ronda 2</t>
        </is>
      </c>
      <c r="E4037" s="16" t="inlineStr">
        <is>
          <t>KF-M09</t>
        </is>
      </c>
      <c r="F4037" s="16" t="inlineStr">
        <is>
          <t>KF-M09-R2-x_b+P_alta+P_baja</t>
        </is>
      </c>
      <c r="G4037" s="16" t="inlineStr">
        <is>
          <t>B13-x_b+P_alta+P_baja</t>
        </is>
      </c>
      <c r="H4037" s="16" t="inlineStr">
        <is>
          <t>lhs</t>
        </is>
      </c>
      <c r="I4037" s="16" t="inlineStr">
        <is>
          <t>INVIABLE</t>
        </is>
      </c>
      <c r="J4037" s="16" t="inlineStr">
        <is>
          <t>INVIABLE</t>
        </is>
      </c>
      <c r="K4037" s="16" t="b">
        <v>1</v>
      </c>
      <c r="L4037" s="16" t="b">
        <v>0</v>
      </c>
      <c r="M4037" s="16" t="b">
        <v>1</v>
      </c>
      <c r="N4037" s="16" t="b">
        <v>0</v>
      </c>
      <c r="O4037" s="16" t="n">
        <v>508.0730806795713</v>
      </c>
      <c r="P4037" s="16" t="n">
        <v>285.1290909994701</v>
      </c>
      <c r="Q4037" s="16" t="n">
        <v>3000</v>
      </c>
      <c r="R4037" s="16" t="n">
        <v>400</v>
      </c>
      <c r="S4037" s="16" t="n">
        <v>0.5</v>
      </c>
      <c r="T4037" s="16" t="n">
        <v>0.8140642140174771</v>
      </c>
      <c r="U4037" s="16" t="n">
        <v>0.451207466719767</v>
      </c>
      <c r="V4037" s="16" t="n">
        <v>0.6602626451986802</v>
      </c>
      <c r="W4037" s="16" t="n">
        <v>0.4631955699235975</v>
      </c>
      <c r="X4037" s="16" t="n">
        <v>0.5210844886894661</v>
      </c>
      <c r="Y4037" s="16" t="n">
        <v>285.1290909994701</v>
      </c>
      <c r="Z4037" s="16" t="n">
        <v>-3.07708460364718</v>
      </c>
      <c r="AA4037" s="16" t="n">
        <v>-27.84714673707751</v>
      </c>
      <c r="AB4037" s="16" t="n">
        <v>2600</v>
      </c>
      <c r="AC4037" s="16" t="n">
        <v>7.5</v>
      </c>
      <c r="AD4037" s="16" t="inlineStr">
        <is>
          <t>O2,O3</t>
        </is>
      </c>
      <c r="AE4037" s="16" t="n"/>
    </row>
    <row r="4038">
      <c r="A4038" s="16" t="inlineStr">
        <is>
          <t>KF-M09-R2-x_b+P_alta+P_baja-0014</t>
        </is>
      </c>
      <c r="B4038" s="16" t="inlineStr">
        <is>
          <t>4.3</t>
        </is>
      </c>
      <c r="C4038" s="16" t="inlineStr">
        <is>
          <t>4.3 x_b+P_alta+P_baja</t>
        </is>
      </c>
      <c r="D4038" s="16" t="inlineStr">
        <is>
          <t>ronda 2</t>
        </is>
      </c>
      <c r="E4038" s="16" t="inlineStr">
        <is>
          <t>KF-M09</t>
        </is>
      </c>
      <c r="F4038" s="16" t="inlineStr">
        <is>
          <t>KF-M09-R2-x_b+P_alta+P_baja</t>
        </is>
      </c>
      <c r="G4038" s="16" t="inlineStr">
        <is>
          <t>B13-x_b+P_alta+P_baja</t>
        </is>
      </c>
      <c r="H4038" s="16" t="inlineStr">
        <is>
          <t>lhs</t>
        </is>
      </c>
      <c r="I4038" s="16" t="inlineStr">
        <is>
          <t>CORREGIBLE</t>
        </is>
      </c>
      <c r="J4038" s="16" t="inlineStr">
        <is>
          <t>CORREGIBLE</t>
        </is>
      </c>
      <c r="K4038" s="16" t="b">
        <v>1</v>
      </c>
      <c r="L4038" s="16" t="b">
        <v>0</v>
      </c>
      <c r="M4038" s="16" t="b">
        <v>1</v>
      </c>
      <c r="N4038" s="16" t="b">
        <v>0</v>
      </c>
      <c r="O4038" s="16" t="n">
        <v>446.0335850896836</v>
      </c>
      <c r="P4038" s="16" t="n">
        <v>291.5604564596701</v>
      </c>
      <c r="Q4038" s="16" t="n">
        <v>3000</v>
      </c>
      <c r="R4038" s="16" t="n">
        <v>400</v>
      </c>
      <c r="S4038" s="16" t="n">
        <v>0.5</v>
      </c>
      <c r="T4038" s="16" t="n">
        <v>0.9282076988325236</v>
      </c>
      <c r="U4038" s="16" t="n">
        <v>0.5876727264737269</v>
      </c>
      <c r="V4038" s="16" t="n">
        <v>0.8843088261134278</v>
      </c>
      <c r="W4038" s="16" t="n">
        <v>0.8695779573309337</v>
      </c>
      <c r="X4038" s="16" t="n">
        <v>0.7704411349934123</v>
      </c>
      <c r="Y4038" s="16" t="n">
        <v>291.5604564596701</v>
      </c>
      <c r="Z4038" s="16" t="n">
        <v>14.78471626456516</v>
      </c>
      <c r="AA4038" s="16" t="n">
        <v>131.6673675709009</v>
      </c>
      <c r="AB4038" s="16" t="n">
        <v>2600</v>
      </c>
      <c r="AC4038" s="16" t="n">
        <v>7.5</v>
      </c>
      <c r="AD4038" s="16" t="inlineStr">
        <is>
          <t>O1,O2</t>
        </is>
      </c>
      <c r="AE4038" s="16" t="n"/>
    </row>
    <row r="4039">
      <c r="A4039" s="16" t="inlineStr">
        <is>
          <t>KF-M09-R2-x_b+P_alta+P_baja-0015</t>
        </is>
      </c>
      <c r="B4039" s="16" t="inlineStr">
        <is>
          <t>4.3</t>
        </is>
      </c>
      <c r="C4039" s="16" t="inlineStr">
        <is>
          <t>4.3 x_b+P_alta+P_baja</t>
        </is>
      </c>
      <c r="D4039" s="16" t="inlineStr">
        <is>
          <t>ronda 2</t>
        </is>
      </c>
      <c r="E4039" s="16" t="inlineStr">
        <is>
          <t>KF-M09</t>
        </is>
      </c>
      <c r="F4039" s="16" t="inlineStr">
        <is>
          <t>KF-M09-R2-x_b+P_alta+P_baja</t>
        </is>
      </c>
      <c r="G4039" s="16" t="inlineStr">
        <is>
          <t>B13-x_b+P_alta+P_baja</t>
        </is>
      </c>
      <c r="H4039" s="16" t="inlineStr">
        <is>
          <t>lhs</t>
        </is>
      </c>
      <c r="I4039" s="16" t="inlineStr">
        <is>
          <t>CORREGIBLE</t>
        </is>
      </c>
      <c r="J4039" s="16" t="inlineStr">
        <is>
          <t>CORREGIBLE</t>
        </is>
      </c>
      <c r="K4039" s="16" t="b">
        <v>1</v>
      </c>
      <c r="L4039" s="16" t="b">
        <v>0</v>
      </c>
      <c r="M4039" s="16" t="b">
        <v>0</v>
      </c>
      <c r="N4039" s="16" t="b">
        <v>0</v>
      </c>
      <c r="O4039" s="16" t="n">
        <v>400.9754404426368</v>
      </c>
      <c r="P4039" s="16" t="n">
        <v>298.4225528565477</v>
      </c>
      <c r="Q4039" s="16" t="n">
        <v>3000</v>
      </c>
      <c r="R4039" s="16" t="n">
        <v>400</v>
      </c>
      <c r="S4039" s="16" t="n">
        <v>0.5</v>
      </c>
      <c r="T4039" s="16" t="n">
        <v>0.699865484864878</v>
      </c>
      <c r="U4039" s="16" t="n">
        <v>0.489409156517043</v>
      </c>
      <c r="V4039" s="16" t="n">
        <v>0.8518318789701063</v>
      </c>
      <c r="W4039" s="16" t="n">
        <v>0.6027638546996021</v>
      </c>
      <c r="X4039" s="16" t="n">
        <v>0.6861062466872722</v>
      </c>
      <c r="Y4039" s="16" t="n">
        <v>298.4225528565477</v>
      </c>
      <c r="Z4039" s="16" t="n">
        <v>4.23135966933997</v>
      </c>
      <c r="AA4039" s="16" t="n">
        <v>12.66737505457905</v>
      </c>
      <c r="AB4039" s="16" t="n">
        <v>2600</v>
      </c>
      <c r="AC4039" s="16" t="n">
        <v>7.5</v>
      </c>
      <c r="AD4039" s="16" t="inlineStr">
        <is>
          <t>O2</t>
        </is>
      </c>
      <c r="AE4039" s="16" t="n"/>
    </row>
    <row r="4040">
      <c r="A4040" s="16" t="inlineStr">
        <is>
          <t>KF-M09-R2-x_b+P_alta+P_baja-0016</t>
        </is>
      </c>
      <c r="B4040" s="16" t="inlineStr">
        <is>
          <t>4.3</t>
        </is>
      </c>
      <c r="C4040" s="16" t="inlineStr">
        <is>
          <t>4.3 x_b+P_alta+P_baja</t>
        </is>
      </c>
      <c r="D4040" s="16" t="inlineStr">
        <is>
          <t>ronda 2</t>
        </is>
      </c>
      <c r="E4040" s="16" t="inlineStr">
        <is>
          <t>KF-M09</t>
        </is>
      </c>
      <c r="F4040" s="16" t="inlineStr">
        <is>
          <t>KF-M09-R2-x_b+P_alta+P_baja</t>
        </is>
      </c>
      <c r="G4040" s="16" t="inlineStr">
        <is>
          <t>B13-x_b+P_alta+P_baja</t>
        </is>
      </c>
      <c r="H4040" s="16" t="inlineStr">
        <is>
          <t>lhs</t>
        </is>
      </c>
      <c r="I4040" s="16" t="inlineStr">
        <is>
          <t>CORREGIBLE</t>
        </is>
      </c>
      <c r="J4040" s="16" t="inlineStr">
        <is>
          <t>CORREGIBLE</t>
        </is>
      </c>
      <c r="K4040" s="16" t="b">
        <v>1</v>
      </c>
      <c r="L4040" s="16" t="b">
        <v>0</v>
      </c>
      <c r="M4040" s="16" t="b">
        <v>1</v>
      </c>
      <c r="N4040" s="16" t="b">
        <v>0</v>
      </c>
      <c r="O4040" s="16" t="n">
        <v>435.2159769602682</v>
      </c>
      <c r="P4040" s="16" t="n">
        <v>295.6120362556742</v>
      </c>
      <c r="Q4040" s="16" t="n">
        <v>3000</v>
      </c>
      <c r="R4040" s="16" t="n">
        <v>400</v>
      </c>
      <c r="S4040" s="16" t="n">
        <v>0.5</v>
      </c>
      <c r="T4040" s="16" t="n">
        <v>0.5052583006273383</v>
      </c>
      <c r="U4040" s="16" t="n">
        <v>0.6546404501430436</v>
      </c>
      <c r="V4040" s="16" t="n">
        <v>0.6940876428698831</v>
      </c>
      <c r="W4040" s="16" t="n">
        <v>0.5822999841694974</v>
      </c>
      <c r="X4040" s="16" t="n">
        <v>0.6342266097124544</v>
      </c>
      <c r="Y4040" s="16" t="n">
        <v>295.6120362556742</v>
      </c>
      <c r="Z4040" s="16" t="n">
        <v>3.00056071429849</v>
      </c>
      <c r="AA4040" s="16" t="n">
        <v>16.18834743833985</v>
      </c>
      <c r="AB4040" s="16" t="n">
        <v>2600</v>
      </c>
      <c r="AC4040" s="16" t="n">
        <v>7.5</v>
      </c>
      <c r="AD4040" s="16" t="inlineStr">
        <is>
          <t>O2</t>
        </is>
      </c>
      <c r="AE4040" s="16" t="n"/>
    </row>
    <row r="4041">
      <c r="A4041" s="16" t="inlineStr">
        <is>
          <t>KF-M09-R2-x_b+P_alta+P_baja-0017</t>
        </is>
      </c>
      <c r="B4041" s="16" t="inlineStr">
        <is>
          <t>4.3</t>
        </is>
      </c>
      <c r="C4041" s="16" t="inlineStr">
        <is>
          <t>4.3 x_b+P_alta+P_baja</t>
        </is>
      </c>
      <c r="D4041" s="16" t="inlineStr">
        <is>
          <t>ronda 2</t>
        </is>
      </c>
      <c r="E4041" s="16" t="inlineStr">
        <is>
          <t>KF-M09</t>
        </is>
      </c>
      <c r="F4041" s="16" t="inlineStr">
        <is>
          <t>KF-M09-R2-x_b+P_alta+P_baja</t>
        </is>
      </c>
      <c r="G4041" s="16" t="inlineStr">
        <is>
          <t>B13-x_b+P_alta+P_baja</t>
        </is>
      </c>
      <c r="H4041" s="16" t="inlineStr">
        <is>
          <t>lhs</t>
        </is>
      </c>
      <c r="I4041" s="16" t="inlineStr">
        <is>
          <t>N2</t>
        </is>
      </c>
      <c r="J4041" s="16" t="inlineStr">
        <is>
          <t>NO_CONVERGIO</t>
        </is>
      </c>
      <c r="K4041" s="16" t="b">
        <v>0</v>
      </c>
      <c r="L4041" s="16" t="b">
        <v>0</v>
      </c>
      <c r="M4041" s="16" t="b">
        <v>0</v>
      </c>
      <c r="N4041" s="16" t="b">
        <v>0</v>
      </c>
      <c r="O4041" s="16" t="n">
        <v>380.0901523403963</v>
      </c>
      <c r="P4041" s="16" t="n">
        <v>280.1469258523553</v>
      </c>
      <c r="Q4041" s="16" t="n">
        <v>3000</v>
      </c>
      <c r="R4041" s="16" t="n">
        <v>400</v>
      </c>
      <c r="S4041" s="16" t="n">
        <v>0.5</v>
      </c>
      <c r="T4041" s="16" t="n">
        <v>0.5167445576959512</v>
      </c>
      <c r="U4041" s="16" t="n">
        <v>0.4269982610573243</v>
      </c>
      <c r="V4041" s="16" t="n">
        <v>0.7329169032450484</v>
      </c>
      <c r="W4041" s="16" t="n">
        <v>0.4912123682701434</v>
      </c>
      <c r="X4041" s="16" t="n">
        <v>0.7937504529266861</v>
      </c>
      <c r="Y4041" s="16" t="n">
        <v>280.1469258523553</v>
      </c>
      <c r="Z4041" s="16" t="n">
        <v>-29.00651063801491</v>
      </c>
      <c r="AA4041" s="16" t="n">
        <v>-45.53207569216502</v>
      </c>
      <c r="AB4041" s="16" t="n">
        <v>2600</v>
      </c>
      <c r="AC4041" s="16" t="n">
        <v>7.5</v>
      </c>
      <c r="AD4041" s="16" t="inlineStr">
        <is>
          <t>N2,S6,O3,O5,C1,C3,C3</t>
        </is>
      </c>
      <c r="AE4041" s="16" t="n"/>
    </row>
    <row r="4042">
      <c r="A4042" s="16" t="inlineStr">
        <is>
          <t>KF-M09-R2-x_b+P_alta+P_baja-0018</t>
        </is>
      </c>
      <c r="B4042" s="16" t="inlineStr">
        <is>
          <t>4.3</t>
        </is>
      </c>
      <c r="C4042" s="16" t="inlineStr">
        <is>
          <t>4.3 x_b+P_alta+P_baja</t>
        </is>
      </c>
      <c r="D4042" s="16" t="inlineStr">
        <is>
          <t>ronda 2</t>
        </is>
      </c>
      <c r="E4042" s="16" t="inlineStr">
        <is>
          <t>KF-M09</t>
        </is>
      </c>
      <c r="F4042" s="16" t="inlineStr">
        <is>
          <t>KF-M09-R2-x_b+P_alta+P_baja</t>
        </is>
      </c>
      <c r="G4042" s="16" t="inlineStr">
        <is>
          <t>B13-x_b+P_alta+P_baja</t>
        </is>
      </c>
      <c r="H4042" s="16" t="inlineStr">
        <is>
          <t>lhs</t>
        </is>
      </c>
      <c r="I4042" s="16" t="inlineStr">
        <is>
          <t>CORREGIBLE</t>
        </is>
      </c>
      <c r="J4042" s="16" t="inlineStr">
        <is>
          <t>CORREGIBLE</t>
        </is>
      </c>
      <c r="K4042" s="16" t="b">
        <v>1</v>
      </c>
      <c r="L4042" s="16" t="b">
        <v>0</v>
      </c>
      <c r="M4042" s="16" t="b">
        <v>0</v>
      </c>
      <c r="N4042" s="16" t="b">
        <v>0</v>
      </c>
      <c r="O4042" s="16" t="n">
        <v>419.7625571431697</v>
      </c>
      <c r="P4042" s="16" t="n">
        <v>286.4026335543993</v>
      </c>
      <c r="Q4042" s="16" t="n">
        <v>3000</v>
      </c>
      <c r="R4042" s="16" t="n">
        <v>400</v>
      </c>
      <c r="S4042" s="16" t="n">
        <v>0.5</v>
      </c>
      <c r="T4042" s="16" t="n">
        <v>0.4081424693999581</v>
      </c>
      <c r="U4042" s="16" t="n">
        <v>0.805513049692724</v>
      </c>
      <c r="V4042" s="16" t="n">
        <v>0.4860564909982169</v>
      </c>
      <c r="W4042" s="16" t="n">
        <v>0.6683132888899872</v>
      </c>
      <c r="X4042" s="16" t="n">
        <v>0.7156617181076568</v>
      </c>
      <c r="Y4042" s="16" t="n">
        <v>286.4026335543993</v>
      </c>
      <c r="Z4042" s="16" t="n">
        <v>3.3553227296027</v>
      </c>
      <c r="AA4042" s="16" t="n">
        <v>10.49324881228425</v>
      </c>
      <c r="AB4042" s="16" t="n">
        <v>2600</v>
      </c>
      <c r="AC4042" s="16" t="n">
        <v>7.5</v>
      </c>
      <c r="AD4042" s="16" t="inlineStr">
        <is>
          <t>O2</t>
        </is>
      </c>
      <c r="AE4042" s="16" t="n"/>
    </row>
    <row r="4043">
      <c r="A4043" s="16" t="inlineStr">
        <is>
          <t>KF-M09-R2-x_b+P_alta+P_baja-0019</t>
        </is>
      </c>
      <c r="B4043" s="16" t="inlineStr">
        <is>
          <t>4.3</t>
        </is>
      </c>
      <c r="C4043" s="16" t="inlineStr">
        <is>
          <t>4.3 x_b+P_alta+P_baja</t>
        </is>
      </c>
      <c r="D4043" s="16" t="inlineStr">
        <is>
          <t>ronda 2</t>
        </is>
      </c>
      <c r="E4043" s="16" t="inlineStr">
        <is>
          <t>KF-M09</t>
        </is>
      </c>
      <c r="F4043" s="16" t="inlineStr">
        <is>
          <t>KF-M09-R2-x_b+P_alta+P_baja</t>
        </is>
      </c>
      <c r="G4043" s="16" t="inlineStr">
        <is>
          <t>B13-x_b+P_alta+P_baja</t>
        </is>
      </c>
      <c r="H4043" s="16" t="inlineStr">
        <is>
          <t>lhs</t>
        </is>
      </c>
      <c r="I4043" s="16" t="inlineStr">
        <is>
          <t>CORREGIBLE</t>
        </is>
      </c>
      <c r="J4043" s="16" t="inlineStr">
        <is>
          <t>CORREGIBLE</t>
        </is>
      </c>
      <c r="K4043" s="16" t="b">
        <v>1</v>
      </c>
      <c r="L4043" s="16" t="b">
        <v>0</v>
      </c>
      <c r="M4043" s="16" t="b">
        <v>0</v>
      </c>
      <c r="N4043" s="16" t="b">
        <v>0</v>
      </c>
      <c r="O4043" s="16" t="n">
        <v>409.158102458818</v>
      </c>
      <c r="P4043" s="16" t="n">
        <v>293.9457857448945</v>
      </c>
      <c r="Q4043" s="16" t="n">
        <v>3000</v>
      </c>
      <c r="R4043" s="16" t="n">
        <v>400</v>
      </c>
      <c r="S4043" s="16" t="n">
        <v>0.5</v>
      </c>
      <c r="T4043" s="16" t="n">
        <v>0.8853311119050122</v>
      </c>
      <c r="U4043" s="16" t="n">
        <v>0.6619710395740441</v>
      </c>
      <c r="V4043" s="16" t="n">
        <v>0.5746387131075201</v>
      </c>
      <c r="W4043" s="16" t="n">
        <v>0.9174656377760037</v>
      </c>
      <c r="X4043" s="16" t="n">
        <v>0.5051645441881089</v>
      </c>
      <c r="Y4043" s="16" t="n">
        <v>293.9457857448945</v>
      </c>
      <c r="Z4043" s="16" t="n">
        <v>10.03570351885444</v>
      </c>
      <c r="AA4043" s="16" t="n">
        <v>21.43276387749213</v>
      </c>
      <c r="AB4043" s="16" t="n">
        <v>2600</v>
      </c>
      <c r="AC4043" s="16" t="n">
        <v>7.5</v>
      </c>
      <c r="AD4043" s="16" t="inlineStr">
        <is>
          <t>O2</t>
        </is>
      </c>
      <c r="AE4043" s="16" t="n"/>
    </row>
    <row r="4044">
      <c r="A4044" s="16" t="inlineStr">
        <is>
          <t>KF-M09-R2-x_b+P_alta+P_baja-0020</t>
        </is>
      </c>
      <c r="B4044" s="16" t="inlineStr">
        <is>
          <t>4.3</t>
        </is>
      </c>
      <c r="C4044" s="16" t="inlineStr">
        <is>
          <t>4.3 x_b+P_alta+P_baja</t>
        </is>
      </c>
      <c r="D4044" s="16" t="inlineStr">
        <is>
          <t>ronda 2</t>
        </is>
      </c>
      <c r="E4044" s="16" t="inlineStr">
        <is>
          <t>KF-M09</t>
        </is>
      </c>
      <c r="F4044" s="16" t="inlineStr">
        <is>
          <t>KF-M09-R2-x_b+P_alta+P_baja</t>
        </is>
      </c>
      <c r="G4044" s="16" t="inlineStr">
        <is>
          <t>B13-x_b+P_alta+P_baja</t>
        </is>
      </c>
      <c r="H4044" s="16" t="inlineStr">
        <is>
          <t>lhs</t>
        </is>
      </c>
      <c r="I4044" s="16" t="inlineStr">
        <is>
          <t>CORREGIBLE</t>
        </is>
      </c>
      <c r="J4044" s="16" t="inlineStr">
        <is>
          <t>CORREGIBLE</t>
        </is>
      </c>
      <c r="K4044" s="16" t="b">
        <v>1</v>
      </c>
      <c r="L4044" s="16" t="b">
        <v>0</v>
      </c>
      <c r="M4044" s="16" t="b">
        <v>0</v>
      </c>
      <c r="N4044" s="16" t="b">
        <v>0</v>
      </c>
      <c r="O4044" s="16" t="n">
        <v>430.6376396131223</v>
      </c>
      <c r="P4044" s="16" t="n">
        <v>281.4524836268686</v>
      </c>
      <c r="Q4044" s="16" t="n">
        <v>3000</v>
      </c>
      <c r="R4044" s="16" t="n">
        <v>400</v>
      </c>
      <c r="S4044" s="16" t="n">
        <v>0.5</v>
      </c>
      <c r="T4044" s="16" t="n">
        <v>0.8457212543649255</v>
      </c>
      <c r="U4044" s="16" t="n">
        <v>0.6897082074472473</v>
      </c>
      <c r="V4044" s="16" t="n">
        <v>0.4719322238064625</v>
      </c>
      <c r="W4044" s="16" t="n">
        <v>0.5079802620664282</v>
      </c>
      <c r="X4044" s="16" t="n">
        <v>0.6442903640198739</v>
      </c>
      <c r="Y4044" s="16" t="n">
        <v>281.4524836268686</v>
      </c>
      <c r="Z4044" s="16" t="n">
        <v>8.138280025022681</v>
      </c>
      <c r="AA4044" s="16" t="n">
        <v>32.24105050390504</v>
      </c>
      <c r="AB4044" s="16" t="n">
        <v>2600</v>
      </c>
      <c r="AC4044" s="16" t="n">
        <v>7.5</v>
      </c>
      <c r="AD4044" s="16" t="inlineStr">
        <is>
          <t>O2</t>
        </is>
      </c>
      <c r="AE4044" s="16" t="n"/>
    </row>
    <row r="4045">
      <c r="A4045" s="16" t="inlineStr">
        <is>
          <t>KF-M09-R2-x_b+P_alta+P_baja-0021</t>
        </is>
      </c>
      <c r="B4045" s="16" t="inlineStr">
        <is>
          <t>4.3</t>
        </is>
      </c>
      <c r="C4045" s="16" t="inlineStr">
        <is>
          <t>4.3 x_b+P_alta+P_baja</t>
        </is>
      </c>
      <c r="D4045" s="16" t="inlineStr">
        <is>
          <t>ronda 2</t>
        </is>
      </c>
      <c r="E4045" s="16" t="inlineStr">
        <is>
          <t>KF-M09</t>
        </is>
      </c>
      <c r="F4045" s="16" t="inlineStr">
        <is>
          <t>KF-M09-R2-x_b+P_alta+P_baja</t>
        </is>
      </c>
      <c r="G4045" s="16" t="inlineStr">
        <is>
          <t>B13-x_b+P_alta+P_baja</t>
        </is>
      </c>
      <c r="H4045" s="16" t="inlineStr">
        <is>
          <t>lhs</t>
        </is>
      </c>
      <c r="I4045" s="16" t="inlineStr">
        <is>
          <t>CORREGIBLE</t>
        </is>
      </c>
      <c r="J4045" s="16" t="inlineStr">
        <is>
          <t>CORREGIBLE</t>
        </is>
      </c>
      <c r="K4045" s="16" t="b">
        <v>1</v>
      </c>
      <c r="L4045" s="16" t="b">
        <v>0</v>
      </c>
      <c r="M4045" s="16" t="b">
        <v>1</v>
      </c>
      <c r="N4045" s="16" t="b">
        <v>0</v>
      </c>
      <c r="O4045" s="16" t="n">
        <v>515.816544452916</v>
      </c>
      <c r="P4045" s="16" t="n">
        <v>287.1507762764241</v>
      </c>
      <c r="Q4045" s="16" t="n">
        <v>3000</v>
      </c>
      <c r="R4045" s="16" t="n">
        <v>400</v>
      </c>
      <c r="S4045" s="16" t="n">
        <v>0.5</v>
      </c>
      <c r="T4045" s="16" t="n">
        <v>0.7330931085273338</v>
      </c>
      <c r="U4045" s="16" t="n">
        <v>0.7799996551464776</v>
      </c>
      <c r="V4045" s="16" t="n">
        <v>0.6842282719290433</v>
      </c>
      <c r="W4045" s="16" t="n">
        <v>0.5158951455980295</v>
      </c>
      <c r="X4045" s="16" t="n">
        <v>0.7431162566385192</v>
      </c>
      <c r="Y4045" s="16" t="n">
        <v>287.1507762764241</v>
      </c>
      <c r="Z4045" s="16" t="n">
        <v>10.49787876594143</v>
      </c>
      <c r="AA4045" s="16" t="n">
        <v>143.6045013881323</v>
      </c>
      <c r="AB4045" s="16" t="n">
        <v>2600</v>
      </c>
      <c r="AC4045" s="16" t="n">
        <v>7.5</v>
      </c>
      <c r="AD4045" s="16" t="inlineStr">
        <is>
          <t>O2</t>
        </is>
      </c>
      <c r="AE4045" s="16" t="n"/>
    </row>
    <row r="4046">
      <c r="A4046" s="16" t="inlineStr">
        <is>
          <t>KF-M09-R2-x_b+P_alta+P_baja-0022</t>
        </is>
      </c>
      <c r="B4046" s="16" t="inlineStr">
        <is>
          <t>4.3</t>
        </is>
      </c>
      <c r="C4046" s="16" t="inlineStr">
        <is>
          <t>4.3 x_b+P_alta+P_baja</t>
        </is>
      </c>
      <c r="D4046" s="16" t="inlineStr">
        <is>
          <t>ronda 2</t>
        </is>
      </c>
      <c r="E4046" s="16" t="inlineStr">
        <is>
          <t>KF-M09</t>
        </is>
      </c>
      <c r="F4046" s="16" t="inlineStr">
        <is>
          <t>KF-M09-R2-x_b+P_alta+P_baja</t>
        </is>
      </c>
      <c r="G4046" s="16" t="inlineStr">
        <is>
          <t>B13-x_b+P_alta+P_baja</t>
        </is>
      </c>
      <c r="H4046" s="16" t="inlineStr">
        <is>
          <t>lhs</t>
        </is>
      </c>
      <c r="I4046" s="16" t="inlineStr">
        <is>
          <t>CORREGIBLE</t>
        </is>
      </c>
      <c r="J4046" s="16" t="inlineStr">
        <is>
          <t>CORREGIBLE</t>
        </is>
      </c>
      <c r="K4046" s="16" t="b">
        <v>1</v>
      </c>
      <c r="L4046" s="16" t="b">
        <v>0</v>
      </c>
      <c r="M4046" s="16" t="b">
        <v>1</v>
      </c>
      <c r="N4046" s="16" t="b">
        <v>0</v>
      </c>
      <c r="O4046" s="16" t="n">
        <v>479.85937224096</v>
      </c>
      <c r="P4046" s="16" t="n">
        <v>289.1722061757553</v>
      </c>
      <c r="Q4046" s="16" t="n">
        <v>3000</v>
      </c>
      <c r="R4046" s="16" t="n">
        <v>400</v>
      </c>
      <c r="S4046" s="16" t="n">
        <v>0.5</v>
      </c>
      <c r="T4046" s="16" t="n">
        <v>0.6058043586497369</v>
      </c>
      <c r="U4046" s="16" t="n">
        <v>0.9113407150990324</v>
      </c>
      <c r="V4046" s="16" t="n">
        <v>0.5137416232375051</v>
      </c>
      <c r="W4046" s="16" t="n">
        <v>0.4106918885820433</v>
      </c>
      <c r="X4046" s="16" t="n">
        <v>0.5581185080797036</v>
      </c>
      <c r="Y4046" s="16" t="n">
        <v>289.1722061757553</v>
      </c>
      <c r="Z4046" s="16" t="n">
        <v>4.68079474527455</v>
      </c>
      <c r="AA4046" s="16" t="n">
        <v>39.49064805443558</v>
      </c>
      <c r="AB4046" s="16" t="n">
        <v>2600</v>
      </c>
      <c r="AC4046" s="16" t="n">
        <v>7.5</v>
      </c>
      <c r="AD4046" s="16" t="inlineStr">
        <is>
          <t>O2</t>
        </is>
      </c>
      <c r="AE4046" s="16" t="n"/>
    </row>
    <row r="4047">
      <c r="A4047" s="16" t="inlineStr">
        <is>
          <t>KF-M09-R2-x_b+P_alta+P_baja-0023</t>
        </is>
      </c>
      <c r="B4047" s="16" t="inlineStr">
        <is>
          <t>4.3</t>
        </is>
      </c>
      <c r="C4047" s="16" t="inlineStr">
        <is>
          <t>4.3 x_b+P_alta+P_baja</t>
        </is>
      </c>
      <c r="D4047" s="16" t="inlineStr">
        <is>
          <t>ronda 2</t>
        </is>
      </c>
      <c r="E4047" s="16" t="inlineStr">
        <is>
          <t>KF-M09</t>
        </is>
      </c>
      <c r="F4047" s="16" t="inlineStr">
        <is>
          <t>KF-M09-R2-x_b+P_alta+P_baja</t>
        </is>
      </c>
      <c r="G4047" s="16" t="inlineStr">
        <is>
          <t>B13-x_b+P_alta+P_baja</t>
        </is>
      </c>
      <c r="H4047" s="16" t="inlineStr">
        <is>
          <t>lhs</t>
        </is>
      </c>
      <c r="I4047" s="16" t="inlineStr">
        <is>
          <t>CORREGIBLE</t>
        </is>
      </c>
      <c r="J4047" s="16" t="inlineStr">
        <is>
          <t>CORREGIBLE</t>
        </is>
      </c>
      <c r="K4047" s="16" t="b">
        <v>1</v>
      </c>
      <c r="L4047" s="16" t="b">
        <v>0</v>
      </c>
      <c r="M4047" s="16" t="b">
        <v>1</v>
      </c>
      <c r="N4047" s="16" t="b">
        <v>0</v>
      </c>
      <c r="O4047" s="16" t="n">
        <v>441.3368808138242</v>
      </c>
      <c r="P4047" s="16" t="n">
        <v>297.2625395372434</v>
      </c>
      <c r="Q4047" s="16" t="n">
        <v>3000</v>
      </c>
      <c r="R4047" s="16" t="n">
        <v>400</v>
      </c>
      <c r="S4047" s="16" t="n">
        <v>0.5</v>
      </c>
      <c r="T4047" s="16" t="n">
        <v>0.4384270966992584</v>
      </c>
      <c r="U4047" s="16" t="n">
        <v>0.5085210851070679</v>
      </c>
      <c r="V4047" s="16" t="n">
        <v>0.9365414746288784</v>
      </c>
      <c r="W4047" s="16" t="n">
        <v>0.9397790983778396</v>
      </c>
      <c r="X4047" s="16" t="n">
        <v>0.8591725479313446</v>
      </c>
      <c r="Y4047" s="16" t="n">
        <v>297.2625395372434</v>
      </c>
      <c r="Z4047" s="16" t="n">
        <v>6.45226940480662</v>
      </c>
      <c r="AA4047" s="16" t="n">
        <v>55.74008049377504</v>
      </c>
      <c r="AB4047" s="16" t="n">
        <v>2600</v>
      </c>
      <c r="AC4047" s="16" t="n">
        <v>7.5</v>
      </c>
      <c r="AD4047" s="16" t="inlineStr">
        <is>
          <t>O2</t>
        </is>
      </c>
      <c r="AE4047" s="16" t="n"/>
    </row>
    <row r="4048">
      <c r="A4048" s="16" t="inlineStr">
        <is>
          <t>KF-M09-R2-x_b+P_alta+P_baja-0024</t>
        </is>
      </c>
      <c r="B4048" s="16" t="inlineStr">
        <is>
          <t>4.3</t>
        </is>
      </c>
      <c r="C4048" s="16" t="inlineStr">
        <is>
          <t>4.3 x_b+P_alta+P_baja</t>
        </is>
      </c>
      <c r="D4048" s="16" t="inlineStr">
        <is>
          <t>ronda 2</t>
        </is>
      </c>
      <c r="E4048" s="16" t="inlineStr">
        <is>
          <t>KF-M09</t>
        </is>
      </c>
      <c r="F4048" s="16" t="inlineStr">
        <is>
          <t>KF-M09-R2-x_b+P_alta+P_baja</t>
        </is>
      </c>
      <c r="G4048" s="16" t="inlineStr">
        <is>
          <t>B13-x_b+P_alta+P_baja</t>
        </is>
      </c>
      <c r="H4048" s="16" t="inlineStr">
        <is>
          <t>lhs</t>
        </is>
      </c>
      <c r="I4048" s="16" t="inlineStr">
        <is>
          <t>CORREGIBLE</t>
        </is>
      </c>
      <c r="J4048" s="16" t="inlineStr">
        <is>
          <t>CORREGIBLE</t>
        </is>
      </c>
      <c r="K4048" s="16" t="b">
        <v>1</v>
      </c>
      <c r="L4048" s="16" t="b">
        <v>0</v>
      </c>
      <c r="M4048" s="16" t="b">
        <v>1</v>
      </c>
      <c r="N4048" s="16" t="b">
        <v>0</v>
      </c>
      <c r="O4048" s="16" t="n">
        <v>491.1386774271162</v>
      </c>
      <c r="P4048" s="16" t="n">
        <v>287.6720089033171</v>
      </c>
      <c r="Q4048" s="16" t="n">
        <v>3000</v>
      </c>
      <c r="R4048" s="16" t="n">
        <v>400</v>
      </c>
      <c r="S4048" s="16" t="n">
        <v>0.5</v>
      </c>
      <c r="T4048" s="16" t="n">
        <v>0.7236889719273967</v>
      </c>
      <c r="U4048" s="16" t="n">
        <v>0.5568555475020557</v>
      </c>
      <c r="V4048" s="16" t="n">
        <v>0.7694231899399754</v>
      </c>
      <c r="W4048" s="16" t="n">
        <v>0.5896303385776107</v>
      </c>
      <c r="X4048" s="16" t="n">
        <v>0.5773253115123167</v>
      </c>
      <c r="Y4048" s="16" t="n">
        <v>287.6720089033171</v>
      </c>
      <c r="Z4048" s="16" t="n">
        <v>2.34360727742345</v>
      </c>
      <c r="AA4048" s="16" t="n">
        <v>25.97431634795296</v>
      </c>
      <c r="AB4048" s="16" t="n">
        <v>2600</v>
      </c>
      <c r="AC4048" s="16" t="n">
        <v>7.5</v>
      </c>
      <c r="AD4048" s="16" t="inlineStr">
        <is>
          <t>O2</t>
        </is>
      </c>
      <c r="AE4048" s="16" t="n"/>
    </row>
    <row r="4049">
      <c r="A4049" s="16" t="inlineStr">
        <is>
          <t>KF-M09-R2-x_b+P_alta+P_baja-0025</t>
        </is>
      </c>
      <c r="B4049" s="16" t="inlineStr">
        <is>
          <t>4.3</t>
        </is>
      </c>
      <c r="C4049" s="16" t="inlineStr">
        <is>
          <t>4.3 x_b+P_alta+P_baja</t>
        </is>
      </c>
      <c r="D4049" s="16" t="inlineStr">
        <is>
          <t>ronda 2</t>
        </is>
      </c>
      <c r="E4049" s="16" t="inlineStr">
        <is>
          <t>KF-M09</t>
        </is>
      </c>
      <c r="F4049" s="16" t="inlineStr">
        <is>
          <t>KF-M09-R2-x_b+P_alta+P_baja</t>
        </is>
      </c>
      <c r="G4049" s="16" t="inlineStr">
        <is>
          <t>B13-x_b+P_alta+P_baja</t>
        </is>
      </c>
      <c r="H4049" s="16" t="inlineStr">
        <is>
          <t>lhs</t>
        </is>
      </c>
      <c r="I4049" s="16" t="inlineStr">
        <is>
          <t>CORREGIBLE</t>
        </is>
      </c>
      <c r="J4049" s="16" t="inlineStr">
        <is>
          <t>CORREGIBLE</t>
        </is>
      </c>
      <c r="K4049" s="16" t="b">
        <v>1</v>
      </c>
      <c r="L4049" s="16" t="b">
        <v>0</v>
      </c>
      <c r="M4049" s="16" t="b">
        <v>1</v>
      </c>
      <c r="N4049" s="16" t="b">
        <v>0</v>
      </c>
      <c r="O4049" s="16" t="n">
        <v>465.0020860825367</v>
      </c>
      <c r="P4049" s="16" t="n">
        <v>279.1142945006291</v>
      </c>
      <c r="Q4049" s="16" t="n">
        <v>3000</v>
      </c>
      <c r="R4049" s="16" t="n">
        <v>400</v>
      </c>
      <c r="S4049" s="16" t="n">
        <v>0.5</v>
      </c>
      <c r="T4049" s="16" t="n">
        <v>0.5330920831503249</v>
      </c>
      <c r="U4049" s="16" t="n">
        <v>0.4641631026770174</v>
      </c>
      <c r="V4049" s="16" t="n">
        <v>0.5469913869817833</v>
      </c>
      <c r="W4049" s="16" t="n">
        <v>0.8813363713092868</v>
      </c>
      <c r="X4049" s="16" t="n">
        <v>0.6727144405472907</v>
      </c>
      <c r="Y4049" s="16" t="n">
        <v>279.1142945006291</v>
      </c>
      <c r="Z4049" s="16" t="n">
        <v>4.52081741535803</v>
      </c>
      <c r="AA4049" s="16" t="n">
        <v>37.30229643910347</v>
      </c>
      <c r="AB4049" s="16" t="n">
        <v>2600</v>
      </c>
      <c r="AC4049" s="16" t="n">
        <v>7.5</v>
      </c>
      <c r="AD4049" s="16" t="inlineStr">
        <is>
          <t>O2</t>
        </is>
      </c>
      <c r="AE4049" s="16" t="n"/>
    </row>
    <row r="4050">
      <c r="A4050" s="16" t="inlineStr">
        <is>
          <t>KF-M09-R2-x_b+P_alta+P_baja-0026</t>
        </is>
      </c>
      <c r="B4050" s="16" t="inlineStr">
        <is>
          <t>4.3</t>
        </is>
      </c>
      <c r="C4050" s="16" t="inlineStr">
        <is>
          <t>4.3 x_b+P_alta+P_baja</t>
        </is>
      </c>
      <c r="D4050" s="16" t="inlineStr">
        <is>
          <t>ronda 2</t>
        </is>
      </c>
      <c r="E4050" s="16" t="inlineStr">
        <is>
          <t>KF-M09</t>
        </is>
      </c>
      <c r="F4050" s="16" t="inlineStr">
        <is>
          <t>KF-M09-R2-x_b+P_alta+P_baja</t>
        </is>
      </c>
      <c r="G4050" s="16" t="inlineStr">
        <is>
          <t>B13-x_b+P_alta+P_baja</t>
        </is>
      </c>
      <c r="H4050" s="16" t="inlineStr">
        <is>
          <t>lhs</t>
        </is>
      </c>
      <c r="I4050" s="16" t="inlineStr">
        <is>
          <t>KALINA</t>
        </is>
      </c>
      <c r="J4050" s="16" t="inlineStr">
        <is>
          <t>KALINA</t>
        </is>
      </c>
      <c r="K4050" s="16" t="b">
        <v>1</v>
      </c>
      <c r="L4050" s="16" t="b">
        <v>1</v>
      </c>
      <c r="M4050" s="16" t="b">
        <v>0</v>
      </c>
      <c r="N4050" s="16" t="b">
        <v>0</v>
      </c>
      <c r="O4050" s="16" t="n">
        <v>397.8745214917436</v>
      </c>
      <c r="P4050" s="16" t="n">
        <v>295.0143405728146</v>
      </c>
      <c r="Q4050" s="16" t="n">
        <v>3000</v>
      </c>
      <c r="R4050" s="16" t="n">
        <v>400</v>
      </c>
      <c r="S4050" s="16" t="n">
        <v>0.5</v>
      </c>
      <c r="T4050" s="16" t="n">
        <v>0.6759845708126748</v>
      </c>
      <c r="U4050" s="16" t="n">
        <v>0.8421679142345534</v>
      </c>
      <c r="V4050" s="16" t="n">
        <v>0.722645032940995</v>
      </c>
      <c r="W4050" s="16" t="n">
        <v>0.7008102668000215</v>
      </c>
      <c r="X4050" s="16" t="n">
        <v>0.8995205706234171</v>
      </c>
      <c r="Y4050" s="16" t="n">
        <v>295.0143405728146</v>
      </c>
      <c r="Z4050" s="16" t="n">
        <v>4.35278262370873</v>
      </c>
      <c r="AA4050" s="16" t="n">
        <v>10.26612703065835</v>
      </c>
      <c r="AB4050" s="16" t="n">
        <v>2600</v>
      </c>
      <c r="AC4050" s="16" t="n">
        <v>7.5</v>
      </c>
      <c r="AD4050" s="16" t="n"/>
      <c r="AE4050" s="16" t="n"/>
    </row>
    <row r="4051">
      <c r="A4051" s="16" t="inlineStr">
        <is>
          <t>KF-M09-R2-x_b+P_alta+P_baja-0027</t>
        </is>
      </c>
      <c r="B4051" s="16" t="inlineStr">
        <is>
          <t>4.3</t>
        </is>
      </c>
      <c r="C4051" s="16" t="inlineStr">
        <is>
          <t>4.3 x_b+P_alta+P_baja</t>
        </is>
      </c>
      <c r="D4051" s="16" t="inlineStr">
        <is>
          <t>ronda 2</t>
        </is>
      </c>
      <c r="E4051" s="16" t="inlineStr">
        <is>
          <t>KF-M09</t>
        </is>
      </c>
      <c r="F4051" s="16" t="inlineStr">
        <is>
          <t>KF-M09-R2-x_b+P_alta+P_baja</t>
        </is>
      </c>
      <c r="G4051" s="16" t="inlineStr">
        <is>
          <t>B13-x_b+P_alta+P_baja</t>
        </is>
      </c>
      <c r="H4051" s="16" t="inlineStr">
        <is>
          <t>lhs</t>
        </is>
      </c>
      <c r="I4051" s="16" t="inlineStr">
        <is>
          <t>CORREGIBLE</t>
        </is>
      </c>
      <c r="J4051" s="16" t="inlineStr">
        <is>
          <t>CORREGIBLE</t>
        </is>
      </c>
      <c r="K4051" s="16" t="b">
        <v>1</v>
      </c>
      <c r="L4051" s="16" t="b">
        <v>0</v>
      </c>
      <c r="M4051" s="16" t="b">
        <v>1</v>
      </c>
      <c r="N4051" s="16" t="b">
        <v>0</v>
      </c>
      <c r="O4051" s="16" t="n">
        <v>492.0979292534869</v>
      </c>
      <c r="P4051" s="16" t="n">
        <v>299.8052846651099</v>
      </c>
      <c r="Q4051" s="16" t="n">
        <v>3000</v>
      </c>
      <c r="R4051" s="16" t="n">
        <v>400</v>
      </c>
      <c r="S4051" s="16" t="n">
        <v>0.5</v>
      </c>
      <c r="T4051" s="16" t="n">
        <v>0.905377948256206</v>
      </c>
      <c r="U4051" s="16" t="n">
        <v>0.8263622053216249</v>
      </c>
      <c r="V4051" s="16" t="n">
        <v>0.602839487422051</v>
      </c>
      <c r="W4051" s="16" t="n">
        <v>0.9088478184203675</v>
      </c>
      <c r="X4051" s="16" t="n">
        <v>0.7044767508365382</v>
      </c>
      <c r="Y4051" s="16" t="n">
        <v>299.8052846651099</v>
      </c>
      <c r="Z4051" s="16" t="n">
        <v>13.92954503875355</v>
      </c>
      <c r="AA4051" s="16" t="n">
        <v>154.4002411665575</v>
      </c>
      <c r="AB4051" s="16" t="n">
        <v>2600</v>
      </c>
      <c r="AC4051" s="16" t="n">
        <v>7.5</v>
      </c>
      <c r="AD4051" s="16" t="inlineStr">
        <is>
          <t>O1,O2</t>
        </is>
      </c>
      <c r="AE4051" s="16" t="n"/>
    </row>
    <row r="4052">
      <c r="A4052" s="16" t="inlineStr">
        <is>
          <t>KF-M09-R2-x_b+P_alta+P_baja-0028</t>
        </is>
      </c>
      <c r="B4052" s="16" t="inlineStr">
        <is>
          <t>4.3</t>
        </is>
      </c>
      <c r="C4052" s="16" t="inlineStr">
        <is>
          <t>4.3 x_b+P_alta+P_baja</t>
        </is>
      </c>
      <c r="D4052" s="16" t="inlineStr">
        <is>
          <t>ronda 2</t>
        </is>
      </c>
      <c r="E4052" s="16" t="inlineStr">
        <is>
          <t>KF-M09</t>
        </is>
      </c>
      <c r="F4052" s="16" t="inlineStr">
        <is>
          <t>KF-M09-R2-x_b+P_alta+P_baja</t>
        </is>
      </c>
      <c r="G4052" s="16" t="inlineStr">
        <is>
          <t>B13-x_b+P_alta+P_baja</t>
        </is>
      </c>
      <c r="H4052" s="16" t="inlineStr">
        <is>
          <t>lhs</t>
        </is>
      </c>
      <c r="I4052" s="16" t="inlineStr">
        <is>
          <t>INVIABLE</t>
        </is>
      </c>
      <c r="J4052" s="16" t="inlineStr">
        <is>
          <t>INVIABLE</t>
        </is>
      </c>
      <c r="K4052" s="16" t="b">
        <v>1</v>
      </c>
      <c r="L4052" s="16" t="b">
        <v>0</v>
      </c>
      <c r="M4052" s="16" t="b">
        <v>1</v>
      </c>
      <c r="N4052" s="16" t="b">
        <v>0</v>
      </c>
      <c r="O4052" s="16" t="n">
        <v>451.9559918215513</v>
      </c>
      <c r="P4052" s="16" t="n">
        <v>302.0935723143835</v>
      </c>
      <c r="Q4052" s="16" t="n">
        <v>3000</v>
      </c>
      <c r="R4052" s="16" t="n">
        <v>400</v>
      </c>
      <c r="S4052" s="16" t="n">
        <v>0.5</v>
      </c>
      <c r="T4052" s="16" t="n">
        <v>0.4866719811633389</v>
      </c>
      <c r="U4052" s="16" t="n">
        <v>0.5746968705483665</v>
      </c>
      <c r="V4052" s="16" t="n">
        <v>0.503550253123583</v>
      </c>
      <c r="W4052" s="16" t="n">
        <v>0.4423165189816248</v>
      </c>
      <c r="X4052" s="16" t="n">
        <v>0.4358443140749563</v>
      </c>
      <c r="Y4052" s="16" t="n">
        <v>302.0935723143835</v>
      </c>
      <c r="Z4052" s="16" t="n">
        <v>-20.33216796667869</v>
      </c>
      <c r="AA4052" s="16" t="n">
        <v>-79.04640980008318</v>
      </c>
      <c r="AB4052" s="16" t="n">
        <v>2600</v>
      </c>
      <c r="AC4052" s="16" t="n">
        <v>7.5</v>
      </c>
      <c r="AD4052" s="16" t="inlineStr">
        <is>
          <t>O2,O3</t>
        </is>
      </c>
      <c r="AE4052" s="16" t="n"/>
    </row>
    <row r="4053">
      <c r="A4053" s="16" t="inlineStr">
        <is>
          <t>KF-M09-R2-x_b+P_alta+P_baja-0029</t>
        </is>
      </c>
      <c r="B4053" s="16" t="inlineStr">
        <is>
          <t>4.3</t>
        </is>
      </c>
      <c r="C4053" s="16" t="inlineStr">
        <is>
          <t>4.3 x_b+P_alta+P_baja</t>
        </is>
      </c>
      <c r="D4053" s="16" t="inlineStr">
        <is>
          <t>ronda 2</t>
        </is>
      </c>
      <c r="E4053" s="16" t="inlineStr">
        <is>
          <t>KF-M09</t>
        </is>
      </c>
      <c r="F4053" s="16" t="inlineStr">
        <is>
          <t>KF-M09-R2-x_b+P_alta+P_baja</t>
        </is>
      </c>
      <c r="G4053" s="16" t="inlineStr">
        <is>
          <t>B13-x_b+P_alta+P_baja</t>
        </is>
      </c>
      <c r="H4053" s="16" t="inlineStr">
        <is>
          <t>lhs</t>
        </is>
      </c>
      <c r="I4053" s="16" t="inlineStr">
        <is>
          <t>CORREGIBLE</t>
        </is>
      </c>
      <c r="J4053" s="16" t="inlineStr">
        <is>
          <t>CORREGIBLE</t>
        </is>
      </c>
      <c r="K4053" s="16" t="b">
        <v>1</v>
      </c>
      <c r="L4053" s="16" t="b">
        <v>0</v>
      </c>
      <c r="M4053" s="16" t="b">
        <v>1</v>
      </c>
      <c r="N4053" s="16" t="b">
        <v>0</v>
      </c>
      <c r="O4053" s="16" t="n">
        <v>459.6417853543426</v>
      </c>
      <c r="P4053" s="16" t="n">
        <v>282.7368916207403</v>
      </c>
      <c r="Q4053" s="16" t="n">
        <v>3000</v>
      </c>
      <c r="R4053" s="16" t="n">
        <v>400</v>
      </c>
      <c r="S4053" s="16" t="n">
        <v>0.5</v>
      </c>
      <c r="T4053" s="16" t="n">
        <v>0.7727247621441693</v>
      </c>
      <c r="U4053" s="16" t="n">
        <v>0.8603147926425954</v>
      </c>
      <c r="V4053" s="16" t="n">
        <v>0.8129046610453309</v>
      </c>
      <c r="W4053" s="16" t="n">
        <v>0.422764953417843</v>
      </c>
      <c r="X4053" s="16" t="n">
        <v>0.751066885078197</v>
      </c>
      <c r="Y4053" s="16" t="n">
        <v>282.7368916207403</v>
      </c>
      <c r="Z4053" s="16" t="n">
        <v>11.48004859287361</v>
      </c>
      <c r="AA4053" s="16" t="n">
        <v>134.2374682747711</v>
      </c>
      <c r="AB4053" s="16" t="n">
        <v>2600</v>
      </c>
      <c r="AC4053" s="16" t="n">
        <v>7.5</v>
      </c>
      <c r="AD4053" s="16" t="inlineStr">
        <is>
          <t>O2</t>
        </is>
      </c>
      <c r="AE4053" s="16" t="n"/>
    </row>
    <row r="4054">
      <c r="A4054" s="16" t="inlineStr">
        <is>
          <t>KF-M09-R2-x_b+P_alta+T_sumidero-0000</t>
        </is>
      </c>
      <c r="B4054" s="16" t="inlineStr">
        <is>
          <t>4.3</t>
        </is>
      </c>
      <c r="C4054" s="16" t="inlineStr">
        <is>
          <t>4.3 x_b+P_alta+T_sumidero</t>
        </is>
      </c>
      <c r="D4054" s="16" t="inlineStr">
        <is>
          <t>ronda 2</t>
        </is>
      </c>
      <c r="E4054" s="16" t="inlineStr">
        <is>
          <t>KF-M09</t>
        </is>
      </c>
      <c r="F4054" s="16" t="inlineStr">
        <is>
          <t>KF-M09-R2-x_b+P_alta+T_sumidero</t>
        </is>
      </c>
      <c r="G4054" s="16" t="inlineStr">
        <is>
          <t>B13-x_b+P_alta+T_sumidero</t>
        </is>
      </c>
      <c r="H4054" s="16" t="inlineStr">
        <is>
          <t>lhs</t>
        </is>
      </c>
      <c r="I4054" s="16" t="inlineStr">
        <is>
          <t>CORREGIBLE</t>
        </is>
      </c>
      <c r="J4054" s="16" t="inlineStr">
        <is>
          <t>CORREGIBLE</t>
        </is>
      </c>
      <c r="K4054" s="16" t="b">
        <v>1</v>
      </c>
      <c r="L4054" s="16" t="b">
        <v>0</v>
      </c>
      <c r="M4054" s="16" t="b">
        <v>1</v>
      </c>
      <c r="N4054" s="16" t="b">
        <v>0</v>
      </c>
      <c r="O4054" s="16" t="n">
        <v>444.2329372543539</v>
      </c>
      <c r="P4054" s="16" t="n">
        <v>300.032917</v>
      </c>
      <c r="Q4054" s="16" t="n">
        <v>3000</v>
      </c>
      <c r="R4054" s="16" t="n">
        <v>481.7254624306894</v>
      </c>
      <c r="S4054" s="16" t="n">
        <v>0.5</v>
      </c>
      <c r="T4054" s="16" t="n">
        <v>0.6419820840160831</v>
      </c>
      <c r="U4054" s="16" t="n">
        <v>0.6620723198499333</v>
      </c>
      <c r="V4054" s="16" t="n">
        <v>0.8817880559420753</v>
      </c>
      <c r="W4054" s="16" t="n">
        <v>0.4514576934999693</v>
      </c>
      <c r="X4054" s="16" t="n">
        <v>0.5271192913974432</v>
      </c>
      <c r="Y4054" s="16" t="n">
        <v>300.032917</v>
      </c>
      <c r="Z4054" s="16" t="n">
        <v>0.04787674121331</v>
      </c>
      <c r="AA4054" s="16" t="n">
        <v>0.2923302350324093</v>
      </c>
      <c r="AB4054" s="16" t="n">
        <v>2518.274537569311</v>
      </c>
      <c r="AC4054" s="16" t="n">
        <v>6.227613514267246</v>
      </c>
      <c r="AD4054" s="16" t="inlineStr">
        <is>
          <t>O2</t>
        </is>
      </c>
      <c r="AE4054" s="16" t="n"/>
    </row>
    <row r="4055">
      <c r="A4055" s="16" t="inlineStr">
        <is>
          <t>KF-M09-R2-x_b+P_alta+T_sumidero-0001</t>
        </is>
      </c>
      <c r="B4055" s="16" t="inlineStr">
        <is>
          <t>4.3</t>
        </is>
      </c>
      <c r="C4055" s="16" t="inlineStr">
        <is>
          <t>4.3 x_b+P_alta+T_sumidero</t>
        </is>
      </c>
      <c r="D4055" s="16" t="inlineStr">
        <is>
          <t>ronda 2</t>
        </is>
      </c>
      <c r="E4055" s="16" t="inlineStr">
        <is>
          <t>KF-M09</t>
        </is>
      </c>
      <c r="F4055" s="16" t="inlineStr">
        <is>
          <t>KF-M09-R2-x_b+P_alta+T_sumidero</t>
        </is>
      </c>
      <c r="G4055" s="16" t="inlineStr">
        <is>
          <t>B13-x_b+P_alta+T_sumidero</t>
        </is>
      </c>
      <c r="H4055" s="16" t="inlineStr">
        <is>
          <t>lhs</t>
        </is>
      </c>
      <c r="I4055" s="16" t="inlineStr">
        <is>
          <t>CORREGIBLE</t>
        </is>
      </c>
      <c r="J4055" s="16" t="inlineStr">
        <is>
          <t>CORREGIBLE</t>
        </is>
      </c>
      <c r="K4055" s="16" t="b">
        <v>1</v>
      </c>
      <c r="L4055" s="16" t="b">
        <v>0</v>
      </c>
      <c r="M4055" s="16" t="b">
        <v>1</v>
      </c>
      <c r="N4055" s="16" t="b">
        <v>0</v>
      </c>
      <c r="O4055" s="16" t="n">
        <v>517.8192527317074</v>
      </c>
      <c r="P4055" s="16" t="n">
        <v>300.032917</v>
      </c>
      <c r="Q4055" s="16" t="n">
        <v>3000</v>
      </c>
      <c r="R4055" s="16" t="n">
        <v>655.9135453634219</v>
      </c>
      <c r="S4055" s="16" t="n">
        <v>0.5</v>
      </c>
      <c r="T4055" s="16" t="n">
        <v>0.8634374077279534</v>
      </c>
      <c r="U4055" s="16" t="n">
        <v>0.6860299022658274</v>
      </c>
      <c r="V4055" s="16" t="n">
        <v>0.4316908282037268</v>
      </c>
      <c r="W4055" s="16" t="n">
        <v>0.6247809721002292</v>
      </c>
      <c r="X4055" s="16" t="n">
        <v>0.846361663151101</v>
      </c>
      <c r="Y4055" s="16" t="n">
        <v>300.032917</v>
      </c>
      <c r="Z4055" s="16" t="n">
        <v>10.40926682541897</v>
      </c>
      <c r="AA4055" s="16" t="n">
        <v>96.04563316210518</v>
      </c>
      <c r="AB4055" s="16" t="n">
        <v>2344.086454636578</v>
      </c>
      <c r="AC4055" s="16" t="n">
        <v>4.573773512083503</v>
      </c>
      <c r="AD4055" s="16" t="inlineStr">
        <is>
          <t>O2</t>
        </is>
      </c>
      <c r="AE4055" s="16" t="n"/>
    </row>
    <row r="4056">
      <c r="A4056" s="16" t="inlineStr">
        <is>
          <t>KF-M09-R2-x_b+P_alta+T_sumidero-0002</t>
        </is>
      </c>
      <c r="B4056" s="16" t="inlineStr">
        <is>
          <t>4.3</t>
        </is>
      </c>
      <c r="C4056" s="16" t="inlineStr">
        <is>
          <t>4.3 x_b+P_alta+T_sumidero</t>
        </is>
      </c>
      <c r="D4056" s="16" t="inlineStr">
        <is>
          <t>ronda 2</t>
        </is>
      </c>
      <c r="E4056" s="16" t="inlineStr">
        <is>
          <t>KF-M09</t>
        </is>
      </c>
      <c r="F4056" s="16" t="inlineStr">
        <is>
          <t>KF-M09-R2-x_b+P_alta+T_sumidero</t>
        </is>
      </c>
      <c r="G4056" s="16" t="inlineStr">
        <is>
          <t>B13-x_b+P_alta+T_sumidero</t>
        </is>
      </c>
      <c r="H4056" s="16" t="inlineStr">
        <is>
          <t>lhs</t>
        </is>
      </c>
      <c r="I4056" s="16" t="inlineStr">
        <is>
          <t>N2</t>
        </is>
      </c>
      <c r="J4056" s="16" t="inlineStr">
        <is>
          <t>NO_CONVERGIO</t>
        </is>
      </c>
      <c r="K4056" s="16" t="b">
        <v>0</v>
      </c>
      <c r="L4056" s="16" t="b">
        <v>0</v>
      </c>
      <c r="M4056" s="16" t="b">
        <v>0</v>
      </c>
      <c r="N4056" s="16" t="b">
        <v>0</v>
      </c>
      <c r="O4056" s="16" t="n">
        <v>386.8608990276125</v>
      </c>
      <c r="P4056" s="16" t="n">
        <v>300.032917</v>
      </c>
      <c r="Q4056" s="16" t="n">
        <v>3000</v>
      </c>
      <c r="R4056" s="16" t="n">
        <v>1592.226979178445</v>
      </c>
      <c r="S4056" s="16" t="n">
        <v>0.5</v>
      </c>
      <c r="T4056" s="16" t="n">
        <v>0.5399799912907556</v>
      </c>
      <c r="U4056" s="16" t="n">
        <v>0.9195190019134456</v>
      </c>
      <c r="V4056" s="16" t="n">
        <v>0.5169334330027966</v>
      </c>
      <c r="W4056" s="16" t="n">
        <v>0.5624244309201203</v>
      </c>
      <c r="X4056" s="16" t="n">
        <v>0.6867035094653506</v>
      </c>
      <c r="Y4056" s="16" t="n">
        <v>300.032917</v>
      </c>
      <c r="Z4056" s="16" t="n">
        <v>-13.26746151102653</v>
      </c>
      <c r="AA4056" s="16" t="n">
        <v>-14.74947273891798</v>
      </c>
      <c r="AB4056" s="16" t="n">
        <v>1407.773020821555</v>
      </c>
      <c r="AC4056" s="16" t="n">
        <v>1.884153477632904</v>
      </c>
      <c r="AD4056" s="16" t="inlineStr">
        <is>
          <t>N2,S6,O3,O5,C1,C3,C3</t>
        </is>
      </c>
      <c r="AE4056" s="16" t="n"/>
    </row>
    <row r="4057">
      <c r="A4057" s="16" t="inlineStr">
        <is>
          <t>KF-M09-R2-x_b+P_alta+T_sumidero-0003</t>
        </is>
      </c>
      <c r="B4057" s="16" t="inlineStr">
        <is>
          <t>4.3</t>
        </is>
      </c>
      <c r="C4057" s="16" t="inlineStr">
        <is>
          <t>4.3 x_b+P_alta+T_sumidero</t>
        </is>
      </c>
      <c r="D4057" s="16" t="inlineStr">
        <is>
          <t>ronda 2</t>
        </is>
      </c>
      <c r="E4057" s="16" t="inlineStr">
        <is>
          <t>KF-M09</t>
        </is>
      </c>
      <c r="F4057" s="16" t="inlineStr">
        <is>
          <t>KF-M09-R2-x_b+P_alta+T_sumidero</t>
        </is>
      </c>
      <c r="G4057" s="16" t="inlineStr">
        <is>
          <t>B13-x_b+P_alta+T_sumidero</t>
        </is>
      </c>
      <c r="H4057" s="16" t="inlineStr">
        <is>
          <t>lhs</t>
        </is>
      </c>
      <c r="I4057" s="16" t="inlineStr">
        <is>
          <t>CORREGIBLE</t>
        </is>
      </c>
      <c r="J4057" s="16" t="inlineStr">
        <is>
          <t>CORREGIBLE</t>
        </is>
      </c>
      <c r="K4057" s="16" t="b">
        <v>1</v>
      </c>
      <c r="L4057" s="16" t="b">
        <v>0</v>
      </c>
      <c r="M4057" s="16" t="b">
        <v>0</v>
      </c>
      <c r="N4057" s="16" t="b">
        <v>0</v>
      </c>
      <c r="O4057" s="16" t="n">
        <v>422.6204680105133</v>
      </c>
      <c r="P4057" s="16" t="n">
        <v>300.032917</v>
      </c>
      <c r="Q4057" s="16" t="n">
        <v>3000</v>
      </c>
      <c r="R4057" s="16" t="n">
        <v>929.3934025063515</v>
      </c>
      <c r="S4057" s="16" t="n">
        <v>0.5</v>
      </c>
      <c r="T4057" s="16" t="n">
        <v>0.445471422597872</v>
      </c>
      <c r="U4057" s="16" t="n">
        <v>0.5229808758548544</v>
      </c>
      <c r="V4057" s="16" t="n">
        <v>0.7814108470590511</v>
      </c>
      <c r="W4057" s="16" t="n">
        <v>0.7149852831936618</v>
      </c>
      <c r="X4057" s="16" t="n">
        <v>0.6044676875462551</v>
      </c>
      <c r="Y4057" s="16" t="n">
        <v>300.032917</v>
      </c>
      <c r="Z4057" s="16" t="n">
        <v>2.29328304608951</v>
      </c>
      <c r="AA4057" s="16" t="n">
        <v>10.00576905056817</v>
      </c>
      <c r="AB4057" s="16" t="n">
        <v>2070.606597493648</v>
      </c>
      <c r="AC4057" s="16" t="n">
        <v>3.227911874465343</v>
      </c>
      <c r="AD4057" s="16" t="inlineStr">
        <is>
          <t>O2</t>
        </is>
      </c>
      <c r="AE4057" s="16" t="n"/>
    </row>
    <row r="4058">
      <c r="A4058" s="16" t="inlineStr">
        <is>
          <t>KF-M09-R2-x_b+P_alta+T_sumidero-0004</t>
        </is>
      </c>
      <c r="B4058" s="16" t="inlineStr">
        <is>
          <t>4.3</t>
        </is>
      </c>
      <c r="C4058" s="16" t="inlineStr">
        <is>
          <t>4.3 x_b+P_alta+T_sumidero</t>
        </is>
      </c>
      <c r="D4058" s="16" t="inlineStr">
        <is>
          <t>ronda 2</t>
        </is>
      </c>
      <c r="E4058" s="16" t="inlineStr">
        <is>
          <t>KF-M09</t>
        </is>
      </c>
      <c r="F4058" s="16" t="inlineStr">
        <is>
          <t>KF-M09-R2-x_b+P_alta+T_sumidero</t>
        </is>
      </c>
      <c r="G4058" s="16" t="inlineStr">
        <is>
          <t>B13-x_b+P_alta+T_sumidero</t>
        </is>
      </c>
      <c r="H4058" s="16" t="inlineStr">
        <is>
          <t>lhs</t>
        </is>
      </c>
      <c r="I4058" s="16" t="inlineStr">
        <is>
          <t>N2</t>
        </is>
      </c>
      <c r="J4058" s="16" t="inlineStr">
        <is>
          <t>NO_CONVERGIO</t>
        </is>
      </c>
      <c r="K4058" s="16" t="b">
        <v>0</v>
      </c>
      <c r="L4058" s="16" t="b">
        <v>0</v>
      </c>
      <c r="M4058" s="16" t="b">
        <v>1</v>
      </c>
      <c r="N4058" s="16" t="b">
        <v>0</v>
      </c>
      <c r="O4058" s="16" t="n">
        <v>508.2964704768929</v>
      </c>
      <c r="P4058" s="16" t="n">
        <v>300.032917</v>
      </c>
      <c r="Q4058" s="16" t="n">
        <v>3000</v>
      </c>
      <c r="R4058" s="16" t="n">
        <v>338.0755338415958</v>
      </c>
      <c r="S4058" s="16" t="n">
        <v>0.5</v>
      </c>
      <c r="T4058" s="16" t="n">
        <v>0.5188343160238513</v>
      </c>
      <c r="U4058" s="16" t="n">
        <v>0.7551787092355788</v>
      </c>
      <c r="V4058" s="16" t="n">
        <v>0.9293532527573696</v>
      </c>
      <c r="W4058" s="16" t="n">
        <v>0.7088652474649959</v>
      </c>
      <c r="X4058" s="16" t="n">
        <v>0.6275802942558816</v>
      </c>
      <c r="Y4058" s="16" t="n">
        <v>300.032917</v>
      </c>
      <c r="Z4058" s="16" t="n">
        <v>1.80756697944922</v>
      </c>
      <c r="AA4058" s="16" t="n">
        <v>23.66635671591795</v>
      </c>
      <c r="AB4058" s="16" t="n">
        <v>2661.924466158404</v>
      </c>
      <c r="AC4058" s="16" t="n">
        <v>8.873756600812291</v>
      </c>
      <c r="AD4058" s="16" t="inlineStr">
        <is>
          <t>N2,O2,O5,C1,C3,C3</t>
        </is>
      </c>
      <c r="AE4058" s="16" t="n"/>
    </row>
    <row r="4059">
      <c r="A4059" s="16" t="inlineStr">
        <is>
          <t>KF-M09-R2-x_b+P_alta+T_sumidero-0005</t>
        </is>
      </c>
      <c r="B4059" s="16" t="inlineStr">
        <is>
          <t>4.3</t>
        </is>
      </c>
      <c r="C4059" s="16" t="inlineStr">
        <is>
          <t>4.3 x_b+P_alta+T_sumidero</t>
        </is>
      </c>
      <c r="D4059" s="16" t="inlineStr">
        <is>
          <t>ronda 2</t>
        </is>
      </c>
      <c r="E4059" s="16" t="inlineStr">
        <is>
          <t>KF-M09</t>
        </is>
      </c>
      <c r="F4059" s="16" t="inlineStr">
        <is>
          <t>KF-M09-R2-x_b+P_alta+T_sumidero</t>
        </is>
      </c>
      <c r="G4059" s="16" t="inlineStr">
        <is>
          <t>B13-x_b+P_alta+T_sumidero</t>
        </is>
      </c>
      <c r="H4059" s="16" t="inlineStr">
        <is>
          <t>lhs</t>
        </is>
      </c>
      <c r="I4059" s="16" t="inlineStr">
        <is>
          <t>CORREGIBLE</t>
        </is>
      </c>
      <c r="J4059" s="16" t="inlineStr">
        <is>
          <t>CORREGIBLE</t>
        </is>
      </c>
      <c r="K4059" s="16" t="b">
        <v>1</v>
      </c>
      <c r="L4059" s="16" t="b">
        <v>0</v>
      </c>
      <c r="M4059" s="16" t="b">
        <v>1</v>
      </c>
      <c r="N4059" s="16" t="b">
        <v>0</v>
      </c>
      <c r="O4059" s="16" t="n">
        <v>495.4420974276027</v>
      </c>
      <c r="P4059" s="16" t="n">
        <v>300.032917</v>
      </c>
      <c r="Q4059" s="16" t="n">
        <v>3000</v>
      </c>
      <c r="R4059" s="16" t="n">
        <v>1686.688225135773</v>
      </c>
      <c r="S4059" s="16" t="n">
        <v>0.5</v>
      </c>
      <c r="T4059" s="16" t="n">
        <v>0.5022573257005427</v>
      </c>
      <c r="U4059" s="16" t="n">
        <v>0.899672226894017</v>
      </c>
      <c r="V4059" s="16" t="n">
        <v>0.8593462591417784</v>
      </c>
      <c r="W4059" s="16" t="n">
        <v>0.6910906810273644</v>
      </c>
      <c r="X4059" s="16" t="n">
        <v>0.5825488261697395</v>
      </c>
      <c r="Y4059" s="16" t="n">
        <v>300.032917</v>
      </c>
      <c r="Z4059" s="16" t="n">
        <v>1.17528139289362</v>
      </c>
      <c r="AA4059" s="16" t="n">
        <v>14.76669785234048</v>
      </c>
      <c r="AB4059" s="16" t="n">
        <v>1313.311774864227</v>
      </c>
      <c r="AC4059" s="16" t="n">
        <v>1.77863339252191</v>
      </c>
      <c r="AD4059" s="16" t="inlineStr">
        <is>
          <t>O2</t>
        </is>
      </c>
      <c r="AE4059" s="16" t="n"/>
    </row>
    <row r="4060">
      <c r="A4060" s="16" t="inlineStr">
        <is>
          <t>KF-M09-R2-x_b+P_alta+T_sumidero-0006</t>
        </is>
      </c>
      <c r="B4060" s="16" t="inlineStr">
        <is>
          <t>4.3</t>
        </is>
      </c>
      <c r="C4060" s="16" t="inlineStr">
        <is>
          <t>4.3 x_b+P_alta+T_sumidero</t>
        </is>
      </c>
      <c r="D4060" s="16" t="inlineStr">
        <is>
          <t>ronda 2</t>
        </is>
      </c>
      <c r="E4060" s="16" t="inlineStr">
        <is>
          <t>KF-M09</t>
        </is>
      </c>
      <c r="F4060" s="16" t="inlineStr">
        <is>
          <t>KF-M09-R2-x_b+P_alta+T_sumidero</t>
        </is>
      </c>
      <c r="G4060" s="16" t="inlineStr">
        <is>
          <t>B13-x_b+P_alta+T_sumidero</t>
        </is>
      </c>
      <c r="H4060" s="16" t="inlineStr">
        <is>
          <t>lhs</t>
        </is>
      </c>
      <c r="I4060" s="16" t="inlineStr">
        <is>
          <t>KALINA</t>
        </is>
      </c>
      <c r="J4060" s="16" t="inlineStr">
        <is>
          <t>KALINA</t>
        </is>
      </c>
      <c r="K4060" s="16" t="b">
        <v>1</v>
      </c>
      <c r="L4060" s="16" t="b">
        <v>1</v>
      </c>
      <c r="M4060" s="16" t="b">
        <v>0</v>
      </c>
      <c r="N4060" s="16" t="b">
        <v>0</v>
      </c>
      <c r="O4060" s="16" t="n">
        <v>414.6675733434058</v>
      </c>
      <c r="P4060" s="16" t="n">
        <v>300.032917</v>
      </c>
      <c r="Q4060" s="16" t="n">
        <v>3000</v>
      </c>
      <c r="R4060" s="16" t="n">
        <v>1123.456931043106</v>
      </c>
      <c r="S4060" s="16" t="n">
        <v>0.5</v>
      </c>
      <c r="T4060" s="16" t="n">
        <v>0.8148305316327085</v>
      </c>
      <c r="U4060" s="16" t="n">
        <v>0.5444225179455864</v>
      </c>
      <c r="V4060" s="16" t="n">
        <v>0.6731341583560769</v>
      </c>
      <c r="W4060" s="16" t="n">
        <v>0.8502385706174254</v>
      </c>
      <c r="X4060" s="16" t="n">
        <v>0.8062128363795674</v>
      </c>
      <c r="Y4060" s="16" t="n">
        <v>300.032917</v>
      </c>
      <c r="Z4060" s="16" t="n">
        <v>5.48238324143346</v>
      </c>
      <c r="AA4060" s="16" t="n">
        <v>18.23840409769809</v>
      </c>
      <c r="AB4060" s="16" t="n">
        <v>1876.543068956894</v>
      </c>
      <c r="AC4060" s="16" t="n">
        <v>2.670329335379652</v>
      </c>
      <c r="AD4060" s="16" t="n"/>
      <c r="AE4060" s="16" t="n"/>
    </row>
    <row r="4061">
      <c r="A4061" s="16" t="inlineStr">
        <is>
          <t>KF-M09-R2-x_b+P_alta+T_sumidero-0007</t>
        </is>
      </c>
      <c r="B4061" s="16" t="inlineStr">
        <is>
          <t>4.3</t>
        </is>
      </c>
      <c r="C4061" s="16" t="inlineStr">
        <is>
          <t>4.3 x_b+P_alta+T_sumidero</t>
        </is>
      </c>
      <c r="D4061" s="16" t="inlineStr">
        <is>
          <t>ronda 2</t>
        </is>
      </c>
      <c r="E4061" s="16" t="inlineStr">
        <is>
          <t>KF-M09</t>
        </is>
      </c>
      <c r="F4061" s="16" t="inlineStr">
        <is>
          <t>KF-M09-R2-x_b+P_alta+T_sumidero</t>
        </is>
      </c>
      <c r="G4061" s="16" t="inlineStr">
        <is>
          <t>B13-x_b+P_alta+T_sumidero</t>
        </is>
      </c>
      <c r="H4061" s="16" t="inlineStr">
        <is>
          <t>lhs</t>
        </is>
      </c>
      <c r="I4061" s="16" t="inlineStr">
        <is>
          <t>CORREGIBLE</t>
        </is>
      </c>
      <c r="J4061" s="16" t="inlineStr">
        <is>
          <t>CORREGIBLE</t>
        </is>
      </c>
      <c r="K4061" s="16" t="b">
        <v>1</v>
      </c>
      <c r="L4061" s="16" t="b">
        <v>0</v>
      </c>
      <c r="M4061" s="16" t="b">
        <v>1</v>
      </c>
      <c r="N4061" s="16" t="b">
        <v>0</v>
      </c>
      <c r="O4061" s="16" t="n">
        <v>468.7380980391497</v>
      </c>
      <c r="P4061" s="16" t="n">
        <v>300.032917</v>
      </c>
      <c r="Q4061" s="16" t="n">
        <v>3000</v>
      </c>
      <c r="R4061" s="16" t="n">
        <v>1401.563797558622</v>
      </c>
      <c r="S4061" s="16" t="n">
        <v>0.5</v>
      </c>
      <c r="T4061" s="16" t="n">
        <v>0.8433247418113093</v>
      </c>
      <c r="U4061" s="16" t="n">
        <v>0.4552782765528459</v>
      </c>
      <c r="V4061" s="16" t="n">
        <v>0.5966833438306367</v>
      </c>
      <c r="W4061" s="16" t="n">
        <v>0.4287740191651217</v>
      </c>
      <c r="X4061" s="16" t="n">
        <v>0.754556408357044</v>
      </c>
      <c r="Y4061" s="16" t="n">
        <v>300.032917</v>
      </c>
      <c r="Z4061" s="16" t="n">
        <v>5.31101831329724</v>
      </c>
      <c r="AA4061" s="16" t="n">
        <v>55.9159869328986</v>
      </c>
      <c r="AB4061" s="16" t="n">
        <v>1598.436202441378</v>
      </c>
      <c r="AC4061" s="16" t="n">
        <v>2.140466245793226</v>
      </c>
      <c r="AD4061" s="16" t="inlineStr">
        <is>
          <t>O2</t>
        </is>
      </c>
      <c r="AE4061" s="16" t="n"/>
    </row>
    <row r="4062">
      <c r="A4062" s="16" t="inlineStr">
        <is>
          <t>KF-M09-R2-x_b+P_alta+T_sumidero-0008</t>
        </is>
      </c>
      <c r="B4062" s="16" t="inlineStr">
        <is>
          <t>4.3</t>
        </is>
      </c>
      <c r="C4062" s="16" t="inlineStr">
        <is>
          <t>4.3 x_b+P_alta+T_sumidero</t>
        </is>
      </c>
      <c r="D4062" s="16" t="inlineStr">
        <is>
          <t>ronda 2</t>
        </is>
      </c>
      <c r="E4062" s="16" t="inlineStr">
        <is>
          <t>KF-M09</t>
        </is>
      </c>
      <c r="F4062" s="16" t="inlineStr">
        <is>
          <t>KF-M09-R2-x_b+P_alta+T_sumidero</t>
        </is>
      </c>
      <c r="G4062" s="16" t="inlineStr">
        <is>
          <t>B13-x_b+P_alta+T_sumidero</t>
        </is>
      </c>
      <c r="H4062" s="16" t="inlineStr">
        <is>
          <t>lhs</t>
        </is>
      </c>
      <c r="I4062" s="16" t="inlineStr">
        <is>
          <t>CORREGIBLE</t>
        </is>
      </c>
      <c r="J4062" s="16" t="inlineStr">
        <is>
          <t>CORREGIBLE</t>
        </is>
      </c>
      <c r="K4062" s="16" t="b">
        <v>1</v>
      </c>
      <c r="L4062" s="16" t="b">
        <v>0</v>
      </c>
      <c r="M4062" s="16" t="b">
        <v>1</v>
      </c>
      <c r="N4062" s="16" t="b">
        <v>0</v>
      </c>
      <c r="O4062" s="16" t="n">
        <v>487.3567738477225</v>
      </c>
      <c r="P4062" s="16" t="n">
        <v>300.032917</v>
      </c>
      <c r="Q4062" s="16" t="n">
        <v>3000</v>
      </c>
      <c r="R4062" s="16" t="n">
        <v>1327.362530348222</v>
      </c>
      <c r="S4062" s="16" t="n">
        <v>0.5</v>
      </c>
      <c r="T4062" s="16" t="n">
        <v>0.5699618767548105</v>
      </c>
      <c r="U4062" s="16" t="n">
        <v>0.8088271727676526</v>
      </c>
      <c r="V4062" s="16" t="n">
        <v>0.7433168272614334</v>
      </c>
      <c r="W4062" s="16" t="n">
        <v>0.49440341981748</v>
      </c>
      <c r="X4062" s="16" t="n">
        <v>0.7041110455013317</v>
      </c>
      <c r="Y4062" s="16" t="n">
        <v>300.032917</v>
      </c>
      <c r="Z4062" s="16" t="n">
        <v>3.24350923791121</v>
      </c>
      <c r="AA4062" s="16" t="n">
        <v>42.90341685290005</v>
      </c>
      <c r="AB4062" s="16" t="n">
        <v>1672.637469651778</v>
      </c>
      <c r="AC4062" s="16" t="n">
        <v>2.260121053148137</v>
      </c>
      <c r="AD4062" s="16" t="inlineStr">
        <is>
          <t>O2</t>
        </is>
      </c>
      <c r="AE4062" s="16" t="n"/>
    </row>
    <row r="4063">
      <c r="A4063" s="16" t="inlineStr">
        <is>
          <t>KF-M09-R2-x_b+P_alta+T_sumidero-0009</t>
        </is>
      </c>
      <c r="B4063" s="16" t="inlineStr">
        <is>
          <t>4.3</t>
        </is>
      </c>
      <c r="C4063" s="16" t="inlineStr">
        <is>
          <t>4.3 x_b+P_alta+T_sumidero</t>
        </is>
      </c>
      <c r="D4063" s="16" t="inlineStr">
        <is>
          <t>ronda 2</t>
        </is>
      </c>
      <c r="E4063" s="16" t="inlineStr">
        <is>
          <t>KF-M09</t>
        </is>
      </c>
      <c r="F4063" s="16" t="inlineStr">
        <is>
          <t>KF-M09-R2-x_b+P_alta+T_sumidero</t>
        </is>
      </c>
      <c r="G4063" s="16" t="inlineStr">
        <is>
          <t>B13-x_b+P_alta+T_sumidero</t>
        </is>
      </c>
      <c r="H4063" s="16" t="inlineStr">
        <is>
          <t>lhs</t>
        </is>
      </c>
      <c r="I4063" s="16" t="inlineStr">
        <is>
          <t>KALINA</t>
        </is>
      </c>
      <c r="J4063" s="16" t="inlineStr">
        <is>
          <t>KALINA</t>
        </is>
      </c>
      <c r="K4063" s="16" t="b">
        <v>1</v>
      </c>
      <c r="L4063" s="16" t="b">
        <v>0</v>
      </c>
      <c r="M4063" s="16" t="b">
        <v>1</v>
      </c>
      <c r="N4063" s="16" t="b">
        <v>0</v>
      </c>
      <c r="O4063" s="16" t="n">
        <v>484.6214482646205</v>
      </c>
      <c r="P4063" s="16" t="n">
        <v>300.032917</v>
      </c>
      <c r="Q4063" s="16" t="n">
        <v>3000</v>
      </c>
      <c r="R4063" s="16" t="n">
        <v>1491.980870125904</v>
      </c>
      <c r="S4063" s="16" t="n">
        <v>0.5</v>
      </c>
      <c r="T4063" s="16" t="n">
        <v>0.883020358640624</v>
      </c>
      <c r="U4063" s="16" t="n">
        <v>0.7223304111795341</v>
      </c>
      <c r="V4063" s="16" t="n">
        <v>0.5577887961122986</v>
      </c>
      <c r="W4063" s="16" t="n">
        <v>0.5674750828426047</v>
      </c>
      <c r="X4063" s="16" t="n">
        <v>0.8686492687113344</v>
      </c>
      <c r="Y4063" s="16" t="n">
        <v>300.032917</v>
      </c>
      <c r="Z4063" s="16" t="n">
        <v>5.16184216066637</v>
      </c>
      <c r="AA4063" s="16" t="n">
        <v>59.51681175855816</v>
      </c>
      <c r="AB4063" s="16" t="n">
        <v>1508.019129874096</v>
      </c>
      <c r="AC4063" s="16" t="n">
        <v>2.010749641680619</v>
      </c>
      <c r="AD4063" s="16" t="n"/>
      <c r="AE4063" s="16" t="n"/>
    </row>
    <row r="4064">
      <c r="A4064" s="16" t="inlineStr">
        <is>
          <t>KF-M09-R2-x_b+P_alta+T_sumidero-0010</t>
        </is>
      </c>
      <c r="B4064" s="16" t="inlineStr">
        <is>
          <t>4.3</t>
        </is>
      </c>
      <c r="C4064" s="16" t="inlineStr">
        <is>
          <t>4.3 x_b+P_alta+T_sumidero</t>
        </is>
      </c>
      <c r="D4064" s="16" t="inlineStr">
        <is>
          <t>ronda 2</t>
        </is>
      </c>
      <c r="E4064" s="16" t="inlineStr">
        <is>
          <t>KF-M09</t>
        </is>
      </c>
      <c r="F4064" s="16" t="inlineStr">
        <is>
          <t>KF-M09-R2-x_b+P_alta+T_sumidero</t>
        </is>
      </c>
      <c r="G4064" s="16" t="inlineStr">
        <is>
          <t>B13-x_b+P_alta+T_sumidero</t>
        </is>
      </c>
      <c r="H4064" s="16" t="inlineStr">
        <is>
          <t>lhs</t>
        </is>
      </c>
      <c r="I4064" s="16" t="inlineStr">
        <is>
          <t>CORREGIBLE</t>
        </is>
      </c>
      <c r="J4064" s="16" t="inlineStr">
        <is>
          <t>CORREGIBLE</t>
        </is>
      </c>
      <c r="K4064" s="16" t="b">
        <v>1</v>
      </c>
      <c r="L4064" s="16" t="b">
        <v>0</v>
      </c>
      <c r="M4064" s="16" t="b">
        <v>0</v>
      </c>
      <c r="N4064" s="16" t="b">
        <v>0</v>
      </c>
      <c r="O4064" s="16" t="n">
        <v>451.0718801921554</v>
      </c>
      <c r="P4064" s="16" t="n">
        <v>300.032917</v>
      </c>
      <c r="Q4064" s="16" t="n">
        <v>3000</v>
      </c>
      <c r="R4064" s="16" t="n">
        <v>1752.676154610713</v>
      </c>
      <c r="S4064" s="16" t="n">
        <v>0.5</v>
      </c>
      <c r="T4064" s="16" t="n">
        <v>0.5502568510962581</v>
      </c>
      <c r="U4064" s="16" t="n">
        <v>0.7791547472502118</v>
      </c>
      <c r="V4064" s="16" t="n">
        <v>0.4086753831863391</v>
      </c>
      <c r="W4064" s="16" t="n">
        <v>0.5452924509841358</v>
      </c>
      <c r="X4064" s="16" t="n">
        <v>0.5889438822260797</v>
      </c>
      <c r="Y4064" s="16" t="n">
        <v>300.032917</v>
      </c>
      <c r="Z4064" s="16" t="n">
        <v>2.3679154671815</v>
      </c>
      <c r="AA4064" s="16" t="n">
        <v>10.94349795499398</v>
      </c>
      <c r="AB4064" s="16" t="n">
        <v>1247.323845389287</v>
      </c>
      <c r="AC4064" s="16" t="n">
        <v>1.711668177893554</v>
      </c>
      <c r="AD4064" s="16" t="inlineStr">
        <is>
          <t>O2</t>
        </is>
      </c>
      <c r="AE4064" s="16" t="n"/>
    </row>
    <row r="4065">
      <c r="A4065" s="16" t="inlineStr">
        <is>
          <t>KF-M09-R2-x_b+P_alta+T_sumidero-0011</t>
        </is>
      </c>
      <c r="B4065" s="16" t="inlineStr">
        <is>
          <t>4.3</t>
        </is>
      </c>
      <c r="C4065" s="16" t="inlineStr">
        <is>
          <t>4.3 x_b+P_alta+T_sumidero</t>
        </is>
      </c>
      <c r="D4065" s="16" t="inlineStr">
        <is>
          <t>ronda 2</t>
        </is>
      </c>
      <c r="E4065" s="16" t="inlineStr">
        <is>
          <t>KF-M09</t>
        </is>
      </c>
      <c r="F4065" s="16" t="inlineStr">
        <is>
          <t>KF-M09-R2-x_b+P_alta+T_sumidero</t>
        </is>
      </c>
      <c r="G4065" s="16" t="inlineStr">
        <is>
          <t>B13-x_b+P_alta+T_sumidero</t>
        </is>
      </c>
      <c r="H4065" s="16" t="inlineStr">
        <is>
          <t>lhs</t>
        </is>
      </c>
      <c r="I4065" s="16" t="inlineStr">
        <is>
          <t>CORREGIBLE</t>
        </is>
      </c>
      <c r="J4065" s="16" t="inlineStr">
        <is>
          <t>CORREGIBLE</t>
        </is>
      </c>
      <c r="K4065" s="16" t="b">
        <v>1</v>
      </c>
      <c r="L4065" s="16" t="b">
        <v>0</v>
      </c>
      <c r="M4065" s="16" t="b">
        <v>1</v>
      </c>
      <c r="N4065" s="16" t="b">
        <v>0</v>
      </c>
      <c r="O4065" s="16" t="n">
        <v>456.6402071273047</v>
      </c>
      <c r="P4065" s="16" t="n">
        <v>300.032917</v>
      </c>
      <c r="Q4065" s="16" t="n">
        <v>3000</v>
      </c>
      <c r="R4065" s="16" t="n">
        <v>1206.983221728553</v>
      </c>
      <c r="S4065" s="16" t="n">
        <v>0.5</v>
      </c>
      <c r="T4065" s="16" t="n">
        <v>0.7993912333352926</v>
      </c>
      <c r="U4065" s="16" t="n">
        <v>0.5653099363219978</v>
      </c>
      <c r="V4065" s="16" t="n">
        <v>0.5815671130900005</v>
      </c>
      <c r="W4065" s="16" t="n">
        <v>0.8077566407448248</v>
      </c>
      <c r="X4065" s="16" t="n">
        <v>0.7208144865429515</v>
      </c>
      <c r="Y4065" s="16" t="n">
        <v>300.032917</v>
      </c>
      <c r="Z4065" s="16" t="n">
        <v>6.48261105194676</v>
      </c>
      <c r="AA4065" s="16" t="n">
        <v>47.3753687420886</v>
      </c>
      <c r="AB4065" s="16" t="n">
        <v>1793.016778271447</v>
      </c>
      <c r="AC4065" s="16" t="n">
        <v>2.485535793698622</v>
      </c>
      <c r="AD4065" s="16" t="inlineStr">
        <is>
          <t>O2</t>
        </is>
      </c>
      <c r="AE4065" s="16" t="n"/>
    </row>
    <row r="4066">
      <c r="A4066" s="16" t="inlineStr">
        <is>
          <t>KF-M09-R2-x_b+P_alta+T_sumidero-0012</t>
        </is>
      </c>
      <c r="B4066" s="16" t="inlineStr">
        <is>
          <t>4.3</t>
        </is>
      </c>
      <c r="C4066" s="16" t="inlineStr">
        <is>
          <t>4.3 x_b+P_alta+T_sumidero</t>
        </is>
      </c>
      <c r="D4066" s="16" t="inlineStr">
        <is>
          <t>ronda 2</t>
        </is>
      </c>
      <c r="E4066" s="16" t="inlineStr">
        <is>
          <t>KF-M09</t>
        </is>
      </c>
      <c r="F4066" s="16" t="inlineStr">
        <is>
          <t>KF-M09-R2-x_b+P_alta+T_sumidero</t>
        </is>
      </c>
      <c r="G4066" s="16" t="inlineStr">
        <is>
          <t>B13-x_b+P_alta+T_sumidero</t>
        </is>
      </c>
      <c r="H4066" s="16" t="inlineStr">
        <is>
          <t>lhs</t>
        </is>
      </c>
      <c r="I4066" s="16" t="inlineStr">
        <is>
          <t>KALINA</t>
        </is>
      </c>
      <c r="J4066" s="16" t="inlineStr">
        <is>
          <t>KALINA</t>
        </is>
      </c>
      <c r="K4066" s="16" t="b">
        <v>1</v>
      </c>
      <c r="L4066" s="16" t="b">
        <v>1</v>
      </c>
      <c r="M4066" s="16" t="b">
        <v>0</v>
      </c>
      <c r="N4066" s="16" t="b">
        <v>0</v>
      </c>
      <c r="O4066" s="16" t="n">
        <v>393.0578460115888</v>
      </c>
      <c r="P4066" s="16" t="n">
        <v>300.032917</v>
      </c>
      <c r="Q4066" s="16" t="n">
        <v>3000</v>
      </c>
      <c r="R4066" s="16" t="n">
        <v>1944.951479132841</v>
      </c>
      <c r="S4066" s="16" t="n">
        <v>0.5</v>
      </c>
      <c r="T4066" s="16" t="n">
        <v>0.7164079034523327</v>
      </c>
      <c r="U4066" s="16" t="n">
        <v>0.9418284134866698</v>
      </c>
      <c r="V4066" s="16" t="n">
        <v>0.8228480030531309</v>
      </c>
      <c r="W4066" s="16" t="n">
        <v>0.4076539604577057</v>
      </c>
      <c r="X4066" s="16" t="n">
        <v>0.9377886426866762</v>
      </c>
      <c r="Y4066" s="16" t="n">
        <v>300.032917</v>
      </c>
      <c r="Z4066" s="16" t="n">
        <v>0.2126119151354999</v>
      </c>
      <c r="AA4066" s="16" t="n">
        <v>0.6295705026872795</v>
      </c>
      <c r="AB4066" s="16" t="n">
        <v>1055.048520867159</v>
      </c>
      <c r="AC4066" s="16" t="n">
        <v>1.542454931234353</v>
      </c>
      <c r="AD4066" s="16" t="n"/>
      <c r="AE4066" s="16" t="n"/>
    </row>
    <row r="4067">
      <c r="A4067" s="16" t="inlineStr">
        <is>
          <t>KF-M09-R2-x_b+P_alta+T_sumidero-0013</t>
        </is>
      </c>
      <c r="B4067" s="16" t="inlineStr">
        <is>
          <t>4.3</t>
        </is>
      </c>
      <c r="C4067" s="16" t="inlineStr">
        <is>
          <t>4.3 x_b+P_alta+T_sumidero</t>
        </is>
      </c>
      <c r="D4067" s="16" t="inlineStr">
        <is>
          <t>ronda 2</t>
        </is>
      </c>
      <c r="E4067" s="16" t="inlineStr">
        <is>
          <t>KF-M09</t>
        </is>
      </c>
      <c r="F4067" s="16" t="inlineStr">
        <is>
          <t>KF-M09-R2-x_b+P_alta+T_sumidero</t>
        </is>
      </c>
      <c r="G4067" s="16" t="inlineStr">
        <is>
          <t>B13-x_b+P_alta+T_sumidero</t>
        </is>
      </c>
      <c r="H4067" s="16" t="inlineStr">
        <is>
          <t>lhs</t>
        </is>
      </c>
      <c r="I4067" s="16" t="inlineStr">
        <is>
          <t>CORREGIBLE</t>
        </is>
      </c>
      <c r="J4067" s="16" t="inlineStr">
        <is>
          <t>CORREGIBLE</t>
        </is>
      </c>
      <c r="K4067" s="16" t="b">
        <v>1</v>
      </c>
      <c r="L4067" s="16" t="b">
        <v>0</v>
      </c>
      <c r="M4067" s="16" t="b">
        <v>0</v>
      </c>
      <c r="N4067" s="16" t="b">
        <v>0</v>
      </c>
      <c r="O4067" s="16" t="n">
        <v>407.7146789650689</v>
      </c>
      <c r="P4067" s="16" t="n">
        <v>300.032917</v>
      </c>
      <c r="Q4067" s="16" t="n">
        <v>3000</v>
      </c>
      <c r="R4067" s="16" t="n">
        <v>562.9887148701929</v>
      </c>
      <c r="S4067" s="16" t="n">
        <v>0.5</v>
      </c>
      <c r="T4067" s="16" t="n">
        <v>0.4077974411835414</v>
      </c>
      <c r="U4067" s="16" t="n">
        <v>0.8723802364566486</v>
      </c>
      <c r="V4067" s="16" t="n">
        <v>0.4967070944078683</v>
      </c>
      <c r="W4067" s="16" t="n">
        <v>0.5925789289923563</v>
      </c>
      <c r="X4067" s="16" t="n">
        <v>0.5366163359122356</v>
      </c>
      <c r="Y4067" s="16" t="n">
        <v>300.032917</v>
      </c>
      <c r="Z4067" s="16" t="n">
        <v>0.45488237524518</v>
      </c>
      <c r="AA4067" s="16" t="n">
        <v>0.975597637350857</v>
      </c>
      <c r="AB4067" s="16" t="n">
        <v>2437.011285129807</v>
      </c>
      <c r="AC4067" s="16" t="n">
        <v>5.328703614763759</v>
      </c>
      <c r="AD4067" s="16" t="inlineStr">
        <is>
          <t>O2</t>
        </is>
      </c>
      <c r="AE4067" s="16" t="n"/>
    </row>
    <row r="4068">
      <c r="A4068" s="16" t="inlineStr">
        <is>
          <t>KF-M09-R2-x_b+P_alta+T_sumidero-0014</t>
        </is>
      </c>
      <c r="B4068" s="16" t="inlineStr">
        <is>
          <t>4.3</t>
        </is>
      </c>
      <c r="C4068" s="16" t="inlineStr">
        <is>
          <t>4.3 x_b+P_alta+T_sumidero</t>
        </is>
      </c>
      <c r="D4068" s="16" t="inlineStr">
        <is>
          <t>ronda 2</t>
        </is>
      </c>
      <c r="E4068" s="16" t="inlineStr">
        <is>
          <t>KF-M09</t>
        </is>
      </c>
      <c r="F4068" s="16" t="inlineStr">
        <is>
          <t>KF-M09-R2-x_b+P_alta+T_sumidero</t>
        </is>
      </c>
      <c r="G4068" s="16" t="inlineStr">
        <is>
          <t>B13-x_b+P_alta+T_sumidero</t>
        </is>
      </c>
      <c r="H4068" s="16" t="inlineStr">
        <is>
          <t>lhs</t>
        </is>
      </c>
      <c r="I4068" s="16" t="inlineStr">
        <is>
          <t>CORREGIBLE</t>
        </is>
      </c>
      <c r="J4068" s="16" t="inlineStr">
        <is>
          <t>CORREGIBLE</t>
        </is>
      </c>
      <c r="K4068" s="16" t="b">
        <v>1</v>
      </c>
      <c r="L4068" s="16" t="b">
        <v>0</v>
      </c>
      <c r="M4068" s="16" t="b">
        <v>0</v>
      </c>
      <c r="N4068" s="16" t="b">
        <v>0</v>
      </c>
      <c r="O4068" s="16" t="n">
        <v>418.9089369925673</v>
      </c>
      <c r="P4068" s="16" t="n">
        <v>300.032917</v>
      </c>
      <c r="Q4068" s="16" t="n">
        <v>3000</v>
      </c>
      <c r="R4068" s="16" t="n">
        <v>376.4543585422156</v>
      </c>
      <c r="S4068" s="16" t="n">
        <v>0.5</v>
      </c>
      <c r="T4068" s="16" t="n">
        <v>0.4363933082093584</v>
      </c>
      <c r="U4068" s="16" t="n">
        <v>0.8448085694361674</v>
      </c>
      <c r="V4068" s="16" t="n">
        <v>0.8025276058302071</v>
      </c>
      <c r="W4068" s="16" t="n">
        <v>0.7758396490560736</v>
      </c>
      <c r="X4068" s="16" t="n">
        <v>0.769959087057141</v>
      </c>
      <c r="Y4068" s="16" t="n">
        <v>300.032917</v>
      </c>
      <c r="Z4068" s="16" t="n">
        <v>5.553042806761511</v>
      </c>
      <c r="AA4068" s="16" t="n">
        <v>24.94078503879613</v>
      </c>
      <c r="AB4068" s="16" t="n">
        <v>2623.545641457784</v>
      </c>
      <c r="AC4068" s="16" t="n">
        <v>7.969093548597021</v>
      </c>
      <c r="AD4068" s="16" t="inlineStr">
        <is>
          <t>O2</t>
        </is>
      </c>
      <c r="AE4068" s="16" t="n"/>
    </row>
    <row r="4069">
      <c r="A4069" s="16" t="inlineStr">
        <is>
          <t>KF-M09-R2-x_b+P_alta+T_sumidero-0015</t>
        </is>
      </c>
      <c r="B4069" s="16" t="inlineStr">
        <is>
          <t>4.3</t>
        </is>
      </c>
      <c r="C4069" s="16" t="inlineStr">
        <is>
          <t>4.3 x_b+P_alta+T_sumidero</t>
        </is>
      </c>
      <c r="D4069" s="16" t="inlineStr">
        <is>
          <t>ronda 2</t>
        </is>
      </c>
      <c r="E4069" s="16" t="inlineStr">
        <is>
          <t>KF-M09</t>
        </is>
      </c>
      <c r="F4069" s="16" t="inlineStr">
        <is>
          <t>KF-M09-R2-x_b+P_alta+T_sumidero</t>
        </is>
      </c>
      <c r="G4069" s="16" t="inlineStr">
        <is>
          <t>B13-x_b+P_alta+T_sumidero</t>
        </is>
      </c>
      <c r="H4069" s="16" t="inlineStr">
        <is>
          <t>lhs</t>
        </is>
      </c>
      <c r="I4069" s="16" t="inlineStr">
        <is>
          <t>CORREGIBLE</t>
        </is>
      </c>
      <c r="J4069" s="16" t="inlineStr">
        <is>
          <t>CORREGIBLE</t>
        </is>
      </c>
      <c r="K4069" s="16" t="b">
        <v>1</v>
      </c>
      <c r="L4069" s="16" t="b">
        <v>0</v>
      </c>
      <c r="M4069" s="16" t="b">
        <v>1</v>
      </c>
      <c r="N4069" s="16" t="b">
        <v>0</v>
      </c>
      <c r="O4069" s="16" t="n">
        <v>478.7605301350765</v>
      </c>
      <c r="P4069" s="16" t="n">
        <v>300.032917</v>
      </c>
      <c r="Q4069" s="16" t="n">
        <v>3000</v>
      </c>
      <c r="R4069" s="16" t="n">
        <v>1867.016033793606</v>
      </c>
      <c r="S4069" s="16" t="n">
        <v>0.5</v>
      </c>
      <c r="T4069" s="16" t="n">
        <v>0.8951746544404704</v>
      </c>
      <c r="U4069" s="16" t="n">
        <v>0.5537271201512025</v>
      </c>
      <c r="V4069" s="16" t="n">
        <v>0.655004425883108</v>
      </c>
      <c r="W4069" s="16" t="n">
        <v>0.6140408296183054</v>
      </c>
      <c r="X4069" s="16" t="n">
        <v>0.5501481042595908</v>
      </c>
      <c r="Y4069" s="16" t="n">
        <v>300.032917</v>
      </c>
      <c r="Z4069" s="16" t="n">
        <v>2.12634438407666</v>
      </c>
      <c r="AA4069" s="16" t="n">
        <v>20.78667592492872</v>
      </c>
      <c r="AB4069" s="16" t="n">
        <v>1132.983966206394</v>
      </c>
      <c r="AC4069" s="16" t="n">
        <v>1.606842119027909</v>
      </c>
      <c r="AD4069" s="16" t="inlineStr">
        <is>
          <t>O2</t>
        </is>
      </c>
      <c r="AE4069" s="16" t="n"/>
    </row>
    <row r="4070">
      <c r="A4070" s="16" t="inlineStr">
        <is>
          <t>KF-M09-R2-x_b+P_alta+T_sumidero-0016</t>
        </is>
      </c>
      <c r="B4070" s="16" t="inlineStr">
        <is>
          <t>4.3</t>
        </is>
      </c>
      <c r="C4070" s="16" t="inlineStr">
        <is>
          <t>4.3 x_b+P_alta+T_sumidero</t>
        </is>
      </c>
      <c r="D4070" s="16" t="inlineStr">
        <is>
          <t>ronda 2</t>
        </is>
      </c>
      <c r="E4070" s="16" t="inlineStr">
        <is>
          <t>KF-M09</t>
        </is>
      </c>
      <c r="F4070" s="16" t="inlineStr">
        <is>
          <t>KF-M09-R2-x_b+P_alta+T_sumidero</t>
        </is>
      </c>
      <c r="G4070" s="16" t="inlineStr">
        <is>
          <t>B13-x_b+P_alta+T_sumidero</t>
        </is>
      </c>
      <c r="H4070" s="16" t="inlineStr">
        <is>
          <t>lhs</t>
        </is>
      </c>
      <c r="I4070" s="16" t="inlineStr">
        <is>
          <t>CORREGIBLE</t>
        </is>
      </c>
      <c r="J4070" s="16" t="inlineStr">
        <is>
          <t>CORREGIBLE</t>
        </is>
      </c>
      <c r="K4070" s="16" t="b">
        <v>1</v>
      </c>
      <c r="L4070" s="16" t="b">
        <v>0</v>
      </c>
      <c r="M4070" s="16" t="b">
        <v>1</v>
      </c>
      <c r="N4070" s="16" t="b">
        <v>0</v>
      </c>
      <c r="O4070" s="16" t="n">
        <v>511.7826663865458</v>
      </c>
      <c r="P4070" s="16" t="n">
        <v>300.032917</v>
      </c>
      <c r="Q4070" s="16" t="n">
        <v>3000</v>
      </c>
      <c r="R4070" s="16" t="n">
        <v>786.8918230945505</v>
      </c>
      <c r="S4070" s="16" t="n">
        <v>0.5</v>
      </c>
      <c r="T4070" s="16" t="n">
        <v>0.7397241502787961</v>
      </c>
      <c r="U4070" s="16" t="n">
        <v>0.7090507872082654</v>
      </c>
      <c r="V4070" s="16" t="n">
        <v>0.8040539222170988</v>
      </c>
      <c r="W4070" s="16" t="n">
        <v>0.647492226966512</v>
      </c>
      <c r="X4070" s="16" t="n">
        <v>0.8320060132613714</v>
      </c>
      <c r="Y4070" s="16" t="n">
        <v>300.032917</v>
      </c>
      <c r="Z4070" s="16" t="n">
        <v>8.18351044642039</v>
      </c>
      <c r="AA4070" s="16" t="n">
        <v>136.6113826979514</v>
      </c>
      <c r="AB4070" s="16" t="n">
        <v>2213.108176905449</v>
      </c>
      <c r="AC4070" s="16" t="n">
        <v>3.812468133424141</v>
      </c>
      <c r="AD4070" s="16" t="inlineStr">
        <is>
          <t>O2</t>
        </is>
      </c>
      <c r="AE4070" s="16" t="n"/>
    </row>
    <row r="4071">
      <c r="A4071" s="16" t="inlineStr">
        <is>
          <t>KF-M09-R2-x_b+P_alta+T_sumidero-0017</t>
        </is>
      </c>
      <c r="B4071" s="16" t="inlineStr">
        <is>
          <t>4.3</t>
        </is>
      </c>
      <c r="C4071" s="16" t="inlineStr">
        <is>
          <t>4.3 x_b+P_alta+T_sumidero</t>
        </is>
      </c>
      <c r="D4071" s="16" t="inlineStr">
        <is>
          <t>ronda 2</t>
        </is>
      </c>
      <c r="E4071" s="16" t="inlineStr">
        <is>
          <t>KF-M09</t>
        </is>
      </c>
      <c r="F4071" s="16" t="inlineStr">
        <is>
          <t>KF-M09-R2-x_b+P_alta+T_sumidero</t>
        </is>
      </c>
      <c r="G4071" s="16" t="inlineStr">
        <is>
          <t>B13-x_b+P_alta+T_sumidero</t>
        </is>
      </c>
      <c r="H4071" s="16" t="inlineStr">
        <is>
          <t>lhs</t>
        </is>
      </c>
      <c r="I4071" s="16" t="inlineStr">
        <is>
          <t>KALINA</t>
        </is>
      </c>
      <c r="J4071" s="16" t="inlineStr">
        <is>
          <t>KALINA</t>
        </is>
      </c>
      <c r="K4071" s="16" t="b">
        <v>1</v>
      </c>
      <c r="L4071" s="16" t="b">
        <v>1</v>
      </c>
      <c r="M4071" s="16" t="b">
        <v>0</v>
      </c>
      <c r="N4071" s="16" t="b">
        <v>0</v>
      </c>
      <c r="O4071" s="16" t="n">
        <v>412.5342522232894</v>
      </c>
      <c r="P4071" s="16" t="n">
        <v>300.032917</v>
      </c>
      <c r="Q4071" s="16" t="n">
        <v>3000</v>
      </c>
      <c r="R4071" s="16" t="n">
        <v>1606.856949852444</v>
      </c>
      <c r="S4071" s="16" t="n">
        <v>0.5</v>
      </c>
      <c r="T4071" s="16" t="n">
        <v>0.9353198405173936</v>
      </c>
      <c r="U4071" s="16" t="n">
        <v>0.6307640127604028</v>
      </c>
      <c r="V4071" s="16" t="n">
        <v>0.473697983371223</v>
      </c>
      <c r="W4071" s="16" t="n">
        <v>0.7543614043205931</v>
      </c>
      <c r="X4071" s="16" t="n">
        <v>0.478703450075281</v>
      </c>
      <c r="Y4071" s="16" t="n">
        <v>300.032917</v>
      </c>
      <c r="Z4071" s="16" t="n">
        <v>3.70831666278484</v>
      </c>
      <c r="AA4071" s="16" t="n">
        <v>7.873819215007682</v>
      </c>
      <c r="AB4071" s="16" t="n">
        <v>1393.143050147556</v>
      </c>
      <c r="AC4071" s="16" t="n">
        <v>1.86699880177603</v>
      </c>
      <c r="AD4071" s="16" t="n"/>
      <c r="AE4071" s="16" t="n"/>
    </row>
    <row r="4072">
      <c r="A4072" s="16" t="inlineStr">
        <is>
          <t>KF-M09-R2-x_b+P_alta+T_sumidero-0018</t>
        </is>
      </c>
      <c r="B4072" s="16" t="inlineStr">
        <is>
          <t>4.3</t>
        </is>
      </c>
      <c r="C4072" s="16" t="inlineStr">
        <is>
          <t>4.3 x_b+P_alta+T_sumidero</t>
        </is>
      </c>
      <c r="D4072" s="16" t="inlineStr">
        <is>
          <t>ronda 2</t>
        </is>
      </c>
      <c r="E4072" s="16" t="inlineStr">
        <is>
          <t>KF-M09</t>
        </is>
      </c>
      <c r="F4072" s="16" t="inlineStr">
        <is>
          <t>KF-M09-R2-x_b+P_alta+T_sumidero</t>
        </is>
      </c>
      <c r="G4072" s="16" t="inlineStr">
        <is>
          <t>B13-x_b+P_alta+T_sumidero</t>
        </is>
      </c>
      <c r="H4072" s="16" t="inlineStr">
        <is>
          <t>lhs</t>
        </is>
      </c>
      <c r="I4072" s="16" t="inlineStr">
        <is>
          <t>INVIABLE</t>
        </is>
      </c>
      <c r="J4072" s="16" t="inlineStr">
        <is>
          <t>INVIABLE</t>
        </is>
      </c>
      <c r="K4072" s="16" t="b">
        <v>1</v>
      </c>
      <c r="L4072" s="16" t="b">
        <v>0</v>
      </c>
      <c r="M4072" s="16" t="b">
        <v>0</v>
      </c>
      <c r="N4072" s="16" t="b">
        <v>0</v>
      </c>
      <c r="O4072" s="16" t="n">
        <v>427.9805782050725</v>
      </c>
      <c r="P4072" s="16" t="n">
        <v>300.032917</v>
      </c>
      <c r="Q4072" s="16" t="n">
        <v>3000</v>
      </c>
      <c r="R4072" s="16" t="n">
        <v>1022.332192204083</v>
      </c>
      <c r="S4072" s="16" t="n">
        <v>0.5</v>
      </c>
      <c r="T4072" s="16" t="n">
        <v>0.4738016124882181</v>
      </c>
      <c r="U4072" s="16" t="n">
        <v>0.4473728189439269</v>
      </c>
      <c r="V4072" s="16" t="n">
        <v>0.4588934459046828</v>
      </c>
      <c r="W4072" s="16" t="n">
        <v>0.4785902948418561</v>
      </c>
      <c r="X4072" s="16" t="n">
        <v>0.4661549102458147</v>
      </c>
      <c r="Y4072" s="16" t="n">
        <v>300.032917</v>
      </c>
      <c r="Z4072" s="16" t="n">
        <v>-2.5086312275704</v>
      </c>
      <c r="AA4072" s="16" t="n">
        <v>-7.468664102042867</v>
      </c>
      <c r="AB4072" s="16" t="n">
        <v>1977.667807795917</v>
      </c>
      <c r="AC4072" s="16" t="n">
        <v>2.934466920710178</v>
      </c>
      <c r="AD4072" s="16" t="inlineStr">
        <is>
          <t>O2,O3</t>
        </is>
      </c>
      <c r="AE4072" s="16" t="n"/>
    </row>
    <row r="4073">
      <c r="A4073" s="16" t="inlineStr">
        <is>
          <t>KF-M09-R2-x_b+P_alta+T_sumidero-0019</t>
        </is>
      </c>
      <c r="B4073" s="16" t="inlineStr">
        <is>
          <t>4.3</t>
        </is>
      </c>
      <c r="C4073" s="16" t="inlineStr">
        <is>
          <t>4.3 x_b+P_alta+T_sumidero</t>
        </is>
      </c>
      <c r="D4073" s="16" t="inlineStr">
        <is>
          <t>ronda 2</t>
        </is>
      </c>
      <c r="E4073" s="16" t="inlineStr">
        <is>
          <t>KF-M09</t>
        </is>
      </c>
      <c r="F4073" s="16" t="inlineStr">
        <is>
          <t>KF-M09-R2-x_b+P_alta+T_sumidero</t>
        </is>
      </c>
      <c r="G4073" s="16" t="inlineStr">
        <is>
          <t>B13-x_b+P_alta+T_sumidero</t>
        </is>
      </c>
      <c r="H4073" s="16" t="inlineStr">
        <is>
          <t>lhs</t>
        </is>
      </c>
      <c r="I4073" s="16" t="inlineStr">
        <is>
          <t>CORREGIBLE</t>
        </is>
      </c>
      <c r="J4073" s="16" t="inlineStr">
        <is>
          <t>CORREGIBLE</t>
        </is>
      </c>
      <c r="K4073" s="16" t="b">
        <v>1</v>
      </c>
      <c r="L4073" s="16" t="b">
        <v>0</v>
      </c>
      <c r="M4073" s="16" t="b">
        <v>1</v>
      </c>
      <c r="N4073" s="16" t="b">
        <v>0</v>
      </c>
      <c r="O4073" s="16" t="n">
        <v>466.8205710717011</v>
      </c>
      <c r="P4073" s="16" t="n">
        <v>300.032917</v>
      </c>
      <c r="Q4073" s="16" t="n">
        <v>3000</v>
      </c>
      <c r="R4073" s="16" t="n">
        <v>858.9673160119066</v>
      </c>
      <c r="S4073" s="16" t="n">
        <v>0.5</v>
      </c>
      <c r="T4073" s="16" t="n">
        <v>0.7101488587151814</v>
      </c>
      <c r="U4073" s="16" t="n">
        <v>0.4192972961174165</v>
      </c>
      <c r="V4073" s="16" t="n">
        <v>0.948227019329179</v>
      </c>
      <c r="W4073" s="16" t="n">
        <v>0.4647843303462312</v>
      </c>
      <c r="X4073" s="16" t="n">
        <v>0.7410877683899609</v>
      </c>
      <c r="Y4073" s="16" t="n">
        <v>300.032917</v>
      </c>
      <c r="Z4073" s="16" t="n">
        <v>4.62677446045847</v>
      </c>
      <c r="AA4073" s="16" t="n">
        <v>66.15221828889867</v>
      </c>
      <c r="AB4073" s="16" t="n">
        <v>2141.032683988094</v>
      </c>
      <c r="AC4073" s="16" t="n">
        <v>3.492565949923077</v>
      </c>
      <c r="AD4073" s="16" t="inlineStr">
        <is>
          <t>O2</t>
        </is>
      </c>
      <c r="AE4073" s="16" t="n"/>
    </row>
    <row r="4074">
      <c r="A4074" s="16" t="inlineStr">
        <is>
          <t>KF-M09-R2-x_b+P_alta+T_sumidero-0020</t>
        </is>
      </c>
      <c r="B4074" s="16" t="inlineStr">
        <is>
          <t>4.3</t>
        </is>
      </c>
      <c r="C4074" s="16" t="inlineStr">
        <is>
          <t>4.3 x_b+P_alta+T_sumidero</t>
        </is>
      </c>
      <c r="D4074" s="16" t="inlineStr">
        <is>
          <t>ronda 2</t>
        </is>
      </c>
      <c r="E4074" s="16" t="inlineStr">
        <is>
          <t>KF-M09</t>
        </is>
      </c>
      <c r="F4074" s="16" t="inlineStr">
        <is>
          <t>KF-M09-R2-x_b+P_alta+T_sumidero</t>
        </is>
      </c>
      <c r="G4074" s="16" t="inlineStr">
        <is>
          <t>B13-x_b+P_alta+T_sumidero</t>
        </is>
      </c>
      <c r="H4074" s="16" t="inlineStr">
        <is>
          <t>lhs</t>
        </is>
      </c>
      <c r="I4074" s="16" t="inlineStr">
        <is>
          <t>KALINA</t>
        </is>
      </c>
      <c r="J4074" s="16" t="inlineStr">
        <is>
          <t>KALINA</t>
        </is>
      </c>
      <c r="K4074" s="16" t="b">
        <v>1</v>
      </c>
      <c r="L4074" s="16" t="b">
        <v>1</v>
      </c>
      <c r="M4074" s="16" t="b">
        <v>0</v>
      </c>
      <c r="N4074" s="16" t="b">
        <v>0</v>
      </c>
      <c r="O4074" s="16" t="n">
        <v>401.3890153373899</v>
      </c>
      <c r="P4074" s="16" t="n">
        <v>300.032917</v>
      </c>
      <c r="Q4074" s="16" t="n">
        <v>3000</v>
      </c>
      <c r="R4074" s="16" t="n">
        <v>1174.169053044774</v>
      </c>
      <c r="S4074" s="16" t="n">
        <v>0.5</v>
      </c>
      <c r="T4074" s="16" t="n">
        <v>0.9263812302874228</v>
      </c>
      <c r="U4074" s="16" t="n">
        <v>0.6031319727791875</v>
      </c>
      <c r="V4074" s="16" t="n">
        <v>0.5387380488425537</v>
      </c>
      <c r="W4074" s="16" t="n">
        <v>0.5177318852967331</v>
      </c>
      <c r="X4074" s="16" t="n">
        <v>0.4957768128274692</v>
      </c>
      <c r="Y4074" s="16" t="n">
        <v>300.032917</v>
      </c>
      <c r="Z4074" s="16" t="n">
        <v>2.06696136795586</v>
      </c>
      <c r="AA4074" s="16" t="n">
        <v>3.96729127225362</v>
      </c>
      <c r="AB4074" s="16" t="n">
        <v>1825.830946955226</v>
      </c>
      <c r="AC4074" s="16" t="n">
        <v>2.554998355833521</v>
      </c>
      <c r="AD4074" s="16" t="n"/>
      <c r="AE4074" s="16" t="n"/>
    </row>
    <row r="4075">
      <c r="A4075" s="16" t="inlineStr">
        <is>
          <t>KF-M09-R2-x_b+P_alta+T_sumidero-0021</t>
        </is>
      </c>
      <c r="B4075" s="16" t="inlineStr">
        <is>
          <t>4.3</t>
        </is>
      </c>
      <c r="C4075" s="16" t="inlineStr">
        <is>
          <t>4.3 x_b+P_alta+T_sumidero</t>
        </is>
      </c>
      <c r="D4075" s="16" t="inlineStr">
        <is>
          <t>ronda 2</t>
        </is>
      </c>
      <c r="E4075" s="16" t="inlineStr">
        <is>
          <t>KF-M09</t>
        </is>
      </c>
      <c r="F4075" s="16" t="inlineStr">
        <is>
          <t>KF-M09-R2-x_b+P_alta+T_sumidero</t>
        </is>
      </c>
      <c r="G4075" s="16" t="inlineStr">
        <is>
          <t>B13-x_b+P_alta+T_sumidero</t>
        </is>
      </c>
      <c r="H4075" s="16" t="inlineStr">
        <is>
          <t>lhs</t>
        </is>
      </c>
      <c r="I4075" s="16" t="inlineStr">
        <is>
          <t>INVIABLE</t>
        </is>
      </c>
      <c r="J4075" s="16" t="inlineStr">
        <is>
          <t>INVIABLE</t>
        </is>
      </c>
      <c r="K4075" s="16" t="b">
        <v>1</v>
      </c>
      <c r="L4075" s="16" t="b">
        <v>0</v>
      </c>
      <c r="M4075" s="16" t="b">
        <v>0</v>
      </c>
      <c r="N4075" s="16" t="b">
        <v>0</v>
      </c>
      <c r="O4075" s="16" t="n">
        <v>432.4968023953895</v>
      </c>
      <c r="P4075" s="16" t="n">
        <v>300.032917</v>
      </c>
      <c r="Q4075" s="16" t="n">
        <v>3000</v>
      </c>
      <c r="R4075" s="16" t="n">
        <v>610.4746214802144</v>
      </c>
      <c r="S4075" s="16" t="n">
        <v>0.5</v>
      </c>
      <c r="T4075" s="16" t="n">
        <v>0.4622606964042582</v>
      </c>
      <c r="U4075" s="16" t="n">
        <v>0.8223176009600974</v>
      </c>
      <c r="V4075" s="16" t="n">
        <v>0.6092984125276411</v>
      </c>
      <c r="W4075" s="16" t="n">
        <v>0.7874310105796873</v>
      </c>
      <c r="X4075" s="16" t="n">
        <v>0.4496209584456235</v>
      </c>
      <c r="Y4075" s="16" t="n">
        <v>300.032917</v>
      </c>
      <c r="Z4075" s="16" t="n">
        <v>-2.57996295293749</v>
      </c>
      <c r="AA4075" s="16" t="n">
        <v>-9.163772881362334</v>
      </c>
      <c r="AB4075" s="16" t="n">
        <v>2389.525378519786</v>
      </c>
      <c r="AC4075" s="16" t="n">
        <v>4.914209197961279</v>
      </c>
      <c r="AD4075" s="16" t="inlineStr">
        <is>
          <t>O2,O3</t>
        </is>
      </c>
      <c r="AE4075" s="16" t="n"/>
    </row>
    <row r="4076">
      <c r="A4076" s="16" t="inlineStr">
        <is>
          <t>KF-M09-R2-x_b+P_alta+T_sumidero-0022</t>
        </is>
      </c>
      <c r="B4076" s="16" t="inlineStr">
        <is>
          <t>4.3</t>
        </is>
      </c>
      <c r="C4076" s="16" t="inlineStr">
        <is>
          <t>4.3 x_b+P_alta+T_sumidero</t>
        </is>
      </c>
      <c r="D4076" s="16" t="inlineStr">
        <is>
          <t>ronda 2</t>
        </is>
      </c>
      <c r="E4076" s="16" t="inlineStr">
        <is>
          <t>KF-M09</t>
        </is>
      </c>
      <c r="F4076" s="16" t="inlineStr">
        <is>
          <t>KF-M09-R2-x_b+P_alta+T_sumidero</t>
        </is>
      </c>
      <c r="G4076" s="16" t="inlineStr">
        <is>
          <t>B13-x_b+P_alta+T_sumidero</t>
        </is>
      </c>
      <c r="H4076" s="16" t="inlineStr">
        <is>
          <t>lhs</t>
        </is>
      </c>
      <c r="I4076" s="16" t="inlineStr">
        <is>
          <t>CORREGIBLE</t>
        </is>
      </c>
      <c r="J4076" s="16" t="inlineStr">
        <is>
          <t>CORREGIBLE</t>
        </is>
      </c>
      <c r="K4076" s="16" t="b">
        <v>1</v>
      </c>
      <c r="L4076" s="16" t="b">
        <v>0</v>
      </c>
      <c r="M4076" s="16" t="b">
        <v>1</v>
      </c>
      <c r="N4076" s="16" t="b">
        <v>0</v>
      </c>
      <c r="O4076" s="16" t="n">
        <v>505.3683736321009</v>
      </c>
      <c r="P4076" s="16" t="n">
        <v>300.032917</v>
      </c>
      <c r="Q4076" s="16" t="n">
        <v>3000</v>
      </c>
      <c r="R4076" s="16" t="n">
        <v>1930.013114453799</v>
      </c>
      <c r="S4076" s="16" t="n">
        <v>0.5</v>
      </c>
      <c r="T4076" s="16" t="n">
        <v>0.6680342120721952</v>
      </c>
      <c r="U4076" s="16" t="n">
        <v>0.6488175701025325</v>
      </c>
      <c r="V4076" s="16" t="n">
        <v>0.6942451418792701</v>
      </c>
      <c r="W4076" s="16" t="n">
        <v>0.7378658691517824</v>
      </c>
      <c r="X4076" s="16" t="n">
        <v>0.6524268643340475</v>
      </c>
      <c r="Y4076" s="16" t="n">
        <v>300.032917</v>
      </c>
      <c r="Z4076" s="16" t="n">
        <v>1.90380147578207</v>
      </c>
      <c r="AA4076" s="16" t="n">
        <v>22.87124854416196</v>
      </c>
      <c r="AB4076" s="16" t="n">
        <v>1069.986885546201</v>
      </c>
      <c r="AC4076" s="16" t="n">
        <v>1.554393582889726</v>
      </c>
      <c r="AD4076" s="16" t="inlineStr">
        <is>
          <t>O2</t>
        </is>
      </c>
      <c r="AE4076" s="16" t="n"/>
    </row>
    <row r="4077">
      <c r="A4077" s="16" t="inlineStr">
        <is>
          <t>KF-M09-R2-x_b+P_alta+T_sumidero-0023</t>
        </is>
      </c>
      <c r="B4077" s="16" t="inlineStr">
        <is>
          <t>4.3</t>
        </is>
      </c>
      <c r="C4077" s="16" t="inlineStr">
        <is>
          <t>4.3 x_b+P_alta+T_sumidero</t>
        </is>
      </c>
      <c r="D4077" s="16" t="inlineStr">
        <is>
          <t>ronda 2</t>
        </is>
      </c>
      <c r="E4077" s="16" t="inlineStr">
        <is>
          <t>KF-M09</t>
        </is>
      </c>
      <c r="F4077" s="16" t="inlineStr">
        <is>
          <t>KF-M09-R2-x_b+P_alta+T_sumidero</t>
        </is>
      </c>
      <c r="G4077" s="16" t="inlineStr">
        <is>
          <t>B13-x_b+P_alta+T_sumidero</t>
        </is>
      </c>
      <c r="H4077" s="16" t="inlineStr">
        <is>
          <t>lhs</t>
        </is>
      </c>
      <c r="I4077" s="16" t="inlineStr">
        <is>
          <t>INVIABLE</t>
        </is>
      </c>
      <c r="J4077" s="16" t="inlineStr">
        <is>
          <t>INVIABLE</t>
        </is>
      </c>
      <c r="K4077" s="16" t="b">
        <v>1</v>
      </c>
      <c r="L4077" s="16" t="b">
        <v>0</v>
      </c>
      <c r="M4077" s="16" t="b">
        <v>1</v>
      </c>
      <c r="N4077" s="16" t="b">
        <v>0</v>
      </c>
      <c r="O4077" s="16" t="n">
        <v>500.7156810010106</v>
      </c>
      <c r="P4077" s="16" t="n">
        <v>300.032917</v>
      </c>
      <c r="Q4077" s="16" t="n">
        <v>3000</v>
      </c>
      <c r="R4077" s="16" t="n">
        <v>418.5256825780255</v>
      </c>
      <c r="S4077" s="16" t="n">
        <v>0.5</v>
      </c>
      <c r="T4077" s="16" t="n">
        <v>0.5861530250274709</v>
      </c>
      <c r="U4077" s="16" t="n">
        <v>0.7954728993258067</v>
      </c>
      <c r="V4077" s="16" t="n">
        <v>0.6759826950680408</v>
      </c>
      <c r="W4077" s="16" t="n">
        <v>0.927876204372175</v>
      </c>
      <c r="X4077" s="16" t="n">
        <v>0.4159510664154849</v>
      </c>
      <c r="Y4077" s="16" t="n">
        <v>300.032917</v>
      </c>
      <c r="Z4077" s="16" t="n">
        <v>-5.68508620894663</v>
      </c>
      <c r="AA4077" s="16" t="n">
        <v>-41.88305124056643</v>
      </c>
      <c r="AB4077" s="16" t="n">
        <v>2581.474317421974</v>
      </c>
      <c r="AC4077" s="16" t="n">
        <v>7.168018893179182</v>
      </c>
      <c r="AD4077" s="16" t="inlineStr">
        <is>
          <t>O2,O3</t>
        </is>
      </c>
      <c r="AE4077" s="16" t="n"/>
    </row>
    <row r="4078">
      <c r="A4078" s="16" t="inlineStr">
        <is>
          <t>KF-M09-R2-x_b+P_alta+T_sumidero-0024</t>
        </is>
      </c>
      <c r="B4078" s="16" t="inlineStr">
        <is>
          <t>4.3</t>
        </is>
      </c>
      <c r="C4078" s="16" t="inlineStr">
        <is>
          <t>4.3 x_b+P_alta+T_sumidero</t>
        </is>
      </c>
      <c r="D4078" s="16" t="inlineStr">
        <is>
          <t>ronda 2</t>
        </is>
      </c>
      <c r="E4078" s="16" t="inlineStr">
        <is>
          <t>KF-M09</t>
        </is>
      </c>
      <c r="F4078" s="16" t="inlineStr">
        <is>
          <t>KF-M09-R2-x_b+P_alta+T_sumidero</t>
        </is>
      </c>
      <c r="G4078" s="16" t="inlineStr">
        <is>
          <t>B13-x_b+P_alta+T_sumidero</t>
        </is>
      </c>
      <c r="H4078" s="16" t="inlineStr">
        <is>
          <t>lhs</t>
        </is>
      </c>
      <c r="I4078" s="16" t="inlineStr">
        <is>
          <t>INVIABLE</t>
        </is>
      </c>
      <c r="J4078" s="16" t="inlineStr">
        <is>
          <t>INVIABLE</t>
        </is>
      </c>
      <c r="K4078" s="16" t="b">
        <v>1</v>
      </c>
      <c r="L4078" s="16" t="b">
        <v>0</v>
      </c>
      <c r="M4078" s="16" t="b">
        <v>1</v>
      </c>
      <c r="N4078" s="16" t="b">
        <v>0</v>
      </c>
      <c r="O4078" s="16" t="n">
        <v>446.1527734130886</v>
      </c>
      <c r="P4078" s="16" t="n">
        <v>300.032917</v>
      </c>
      <c r="Q4078" s="16" t="n">
        <v>3000</v>
      </c>
      <c r="R4078" s="16" t="n">
        <v>745.0900951815776</v>
      </c>
      <c r="S4078" s="16" t="n">
        <v>0.5</v>
      </c>
      <c r="T4078" s="16" t="n">
        <v>0.6074944612847502</v>
      </c>
      <c r="U4078" s="16" t="n">
        <v>0.4159167668522314</v>
      </c>
      <c r="V4078" s="16" t="n">
        <v>0.8563534699732571</v>
      </c>
      <c r="W4078" s="16" t="n">
        <v>0.9365816385072808</v>
      </c>
      <c r="X4078" s="16" t="n">
        <v>0.4224669943568144</v>
      </c>
      <c r="Y4078" s="16" t="n">
        <v>300.032917</v>
      </c>
      <c r="Z4078" s="16" t="n">
        <v>-17.9328016397466</v>
      </c>
      <c r="AA4078" s="16" t="n">
        <v>-77.76506901015827</v>
      </c>
      <c r="AB4078" s="16" t="n">
        <v>2254.909904818423</v>
      </c>
      <c r="AC4078" s="16" t="n">
        <v>4.026358717423165</v>
      </c>
      <c r="AD4078" s="16" t="inlineStr">
        <is>
          <t>O2,O3</t>
        </is>
      </c>
      <c r="AE4078" s="16" t="n"/>
    </row>
    <row r="4079">
      <c r="A4079" s="16" t="inlineStr">
        <is>
          <t>KF-M09-R2-x_b+P_alta+T_sumidero-0025</t>
        </is>
      </c>
      <c r="B4079" s="16" t="inlineStr">
        <is>
          <t>4.3</t>
        </is>
      </c>
      <c r="C4079" s="16" t="inlineStr">
        <is>
          <t>4.3 x_b+P_alta+T_sumidero</t>
        </is>
      </c>
      <c r="D4079" s="16" t="inlineStr">
        <is>
          <t>ronda 2</t>
        </is>
      </c>
      <c r="E4079" s="16" t="inlineStr">
        <is>
          <t>KF-M09</t>
        </is>
      </c>
      <c r="F4079" s="16" t="inlineStr">
        <is>
          <t>KF-M09-R2-x_b+P_alta+T_sumidero</t>
        </is>
      </c>
      <c r="G4079" s="16" t="inlineStr">
        <is>
          <t>B13-x_b+P_alta+T_sumidero</t>
        </is>
      </c>
      <c r="H4079" s="16" t="inlineStr">
        <is>
          <t>lhs</t>
        </is>
      </c>
      <c r="I4079" s="16" t="inlineStr">
        <is>
          <t>KALINA</t>
        </is>
      </c>
      <c r="J4079" s="16" t="inlineStr">
        <is>
          <t>KALINA</t>
        </is>
      </c>
      <c r="K4079" s="16" t="b">
        <v>1</v>
      </c>
      <c r="L4079" s="16" t="b">
        <v>0</v>
      </c>
      <c r="M4079" s="16" t="b">
        <v>1</v>
      </c>
      <c r="N4079" s="16" t="b">
        <v>0</v>
      </c>
      <c r="O4079" s="16" t="n">
        <v>459.873221686048</v>
      </c>
      <c r="P4079" s="16" t="n">
        <v>300.032917</v>
      </c>
      <c r="Q4079" s="16" t="n">
        <v>3000</v>
      </c>
      <c r="R4079" s="16" t="n">
        <v>1043.647808884989</v>
      </c>
      <c r="S4079" s="16" t="n">
        <v>0.5</v>
      </c>
      <c r="T4079" s="16" t="n">
        <v>0.6353624704696315</v>
      </c>
      <c r="U4079" s="16" t="n">
        <v>0.7355618330380105</v>
      </c>
      <c r="V4079" s="16" t="n">
        <v>0.7579897091025173</v>
      </c>
      <c r="W4079" s="16" t="n">
        <v>0.6635519462212539</v>
      </c>
      <c r="X4079" s="16" t="n">
        <v>0.901171345629716</v>
      </c>
      <c r="Y4079" s="16" t="n">
        <v>300.032917</v>
      </c>
      <c r="Z4079" s="16" t="n">
        <v>5.41642401029933</v>
      </c>
      <c r="AA4079" s="16" t="n">
        <v>62.1590876617185</v>
      </c>
      <c r="AB4079" s="16" t="n">
        <v>1956.35219111501</v>
      </c>
      <c r="AC4079" s="16" t="n">
        <v>2.874532935785238</v>
      </c>
      <c r="AD4079" s="16" t="n"/>
      <c r="AE4079" s="16" t="n"/>
    </row>
    <row r="4080">
      <c r="A4080" s="16" t="inlineStr">
        <is>
          <t>KF-M09-R2-x_b+P_alta+T_sumidero-0026</t>
        </is>
      </c>
      <c r="B4080" s="16" t="inlineStr">
        <is>
          <t>4.3</t>
        </is>
      </c>
      <c r="C4080" s="16" t="inlineStr">
        <is>
          <t>4.3 x_b+P_alta+T_sumidero</t>
        </is>
      </c>
      <c r="D4080" s="16" t="inlineStr">
        <is>
          <t>ronda 2</t>
        </is>
      </c>
      <c r="E4080" s="16" t="inlineStr">
        <is>
          <t>KF-M09</t>
        </is>
      </c>
      <c r="F4080" s="16" t="inlineStr">
        <is>
          <t>KF-M09-R2-x_b+P_alta+T_sumidero</t>
        </is>
      </c>
      <c r="G4080" s="16" t="inlineStr">
        <is>
          <t>B13-x_b+P_alta+T_sumidero</t>
        </is>
      </c>
      <c r="H4080" s="16" t="inlineStr">
        <is>
          <t>lhs</t>
        </is>
      </c>
      <c r="I4080" s="16" t="inlineStr">
        <is>
          <t>N2</t>
        </is>
      </c>
      <c r="J4080" s="16" t="inlineStr">
        <is>
          <t>NO_CONVERGIO</t>
        </is>
      </c>
      <c r="K4080" s="16" t="b">
        <v>0</v>
      </c>
      <c r="L4080" s="16" t="b">
        <v>0</v>
      </c>
      <c r="M4080" s="16" t="b">
        <v>0</v>
      </c>
      <c r="N4080" s="16" t="b">
        <v>0</v>
      </c>
      <c r="O4080" s="16" t="n">
        <v>383.949587066473</v>
      </c>
      <c r="P4080" s="16" t="n">
        <v>300.032917</v>
      </c>
      <c r="Q4080" s="16" t="n">
        <v>3000</v>
      </c>
      <c r="R4080" s="16" t="n">
        <v>1301.498025468956</v>
      </c>
      <c r="S4080" s="16" t="n">
        <v>0.5</v>
      </c>
      <c r="T4080" s="16" t="n">
        <v>0.7496616398295045</v>
      </c>
      <c r="U4080" s="16" t="n">
        <v>0.5032446673027295</v>
      </c>
      <c r="V4080" s="16" t="n">
        <v>0.912827670501233</v>
      </c>
      <c r="W4080" s="16" t="n">
        <v>0.8896483773427661</v>
      </c>
      <c r="X4080" s="16" t="n">
        <v>0.9237330334808508</v>
      </c>
      <c r="Y4080" s="16" t="n">
        <v>300.032917</v>
      </c>
      <c r="Z4080" s="16" t="n">
        <v>-20.13530620964723</v>
      </c>
      <c r="AA4080" s="16" t="n">
        <v>-6.683309846025539</v>
      </c>
      <c r="AB4080" s="16" t="n">
        <v>1698.501974531044</v>
      </c>
      <c r="AC4080" s="16" t="n">
        <v>2.305036151644594</v>
      </c>
      <c r="AD4080" s="16" t="inlineStr">
        <is>
          <t>N2,O3,O5,C1,C3,C3</t>
        </is>
      </c>
      <c r="AE4080" s="16" t="n"/>
    </row>
    <row r="4081">
      <c r="A4081" s="16" t="inlineStr">
        <is>
          <t>KF-M09-R2-x_b+P_alta+T_sumidero-0027</t>
        </is>
      </c>
      <c r="B4081" s="16" t="inlineStr">
        <is>
          <t>4.3</t>
        </is>
      </c>
      <c r="C4081" s="16" t="inlineStr">
        <is>
          <t>4.3 x_b+P_alta+T_sumidero</t>
        </is>
      </c>
      <c r="D4081" s="16" t="inlineStr">
        <is>
          <t>ronda 2</t>
        </is>
      </c>
      <c r="E4081" s="16" t="inlineStr">
        <is>
          <t>KF-M09</t>
        </is>
      </c>
      <c r="F4081" s="16" t="inlineStr">
        <is>
          <t>KF-M09-R2-x_b+P_alta+T_sumidero</t>
        </is>
      </c>
      <c r="G4081" s="16" t="inlineStr">
        <is>
          <t>B13-x_b+P_alta+T_sumidero</t>
        </is>
      </c>
      <c r="H4081" s="16" t="inlineStr">
        <is>
          <t>lhs</t>
        </is>
      </c>
      <c r="I4081" s="16" t="inlineStr">
        <is>
          <t>KALINA</t>
        </is>
      </c>
      <c r="J4081" s="16" t="inlineStr">
        <is>
          <t>KALINA</t>
        </is>
      </c>
      <c r="K4081" s="16" t="b">
        <v>1</v>
      </c>
      <c r="L4081" s="16" t="b">
        <v>1</v>
      </c>
      <c r="M4081" s="16" t="b">
        <v>0</v>
      </c>
      <c r="N4081" s="16" t="b">
        <v>0</v>
      </c>
      <c r="O4081" s="16" t="n">
        <v>398.1984240224133</v>
      </c>
      <c r="P4081" s="16" t="n">
        <v>300.032917</v>
      </c>
      <c r="Q4081" s="16" t="n">
        <v>3000</v>
      </c>
      <c r="R4081" s="16" t="n">
        <v>904.3150400629549</v>
      </c>
      <c r="S4081" s="16" t="n">
        <v>0.5</v>
      </c>
      <c r="T4081" s="16" t="n">
        <v>0.8368704825622937</v>
      </c>
      <c r="U4081" s="16" t="n">
        <v>0.888717018231967</v>
      </c>
      <c r="V4081" s="16" t="n">
        <v>0.7285231000311043</v>
      </c>
      <c r="W4081" s="16" t="n">
        <v>0.8277397993541002</v>
      </c>
      <c r="X4081" s="16" t="n">
        <v>0.6738885234292943</v>
      </c>
      <c r="Y4081" s="16" t="n">
        <v>300.032917</v>
      </c>
      <c r="Z4081" s="16" t="n">
        <v>5.49773429065162</v>
      </c>
      <c r="AA4081" s="16" t="n">
        <v>10.36558364468891</v>
      </c>
      <c r="AB4081" s="16" t="n">
        <v>2095.684959937045</v>
      </c>
      <c r="AC4081" s="16" t="n">
        <v>3.3174279615997</v>
      </c>
      <c r="AD4081" s="16" t="n"/>
      <c r="AE4081" s="16" t="n"/>
    </row>
    <row r="4082">
      <c r="A4082" s="16" t="inlineStr">
        <is>
          <t>KF-M09-R2-x_b+P_alta+T_sumidero-0028</t>
        </is>
      </c>
      <c r="B4082" s="16" t="inlineStr">
        <is>
          <t>4.3</t>
        </is>
      </c>
      <c r="C4082" s="16" t="inlineStr">
        <is>
          <t>4.3 x_b+P_alta+T_sumidero</t>
        </is>
      </c>
      <c r="D4082" s="16" t="inlineStr">
        <is>
          <t>ronda 2</t>
        </is>
      </c>
      <c r="E4082" s="16" t="inlineStr">
        <is>
          <t>KF-M09</t>
        </is>
      </c>
      <c r="F4082" s="16" t="inlineStr">
        <is>
          <t>KF-M09-R2-x_b+P_alta+T_sumidero</t>
        </is>
      </c>
      <c r="G4082" s="16" t="inlineStr">
        <is>
          <t>B13-x_b+P_alta+T_sumidero</t>
        </is>
      </c>
      <c r="H4082" s="16" t="inlineStr">
        <is>
          <t>lhs</t>
        </is>
      </c>
      <c r="I4082" s="16" t="inlineStr">
        <is>
          <t>CORREGIBLE</t>
        </is>
      </c>
      <c r="J4082" s="16" t="inlineStr">
        <is>
          <t>CORREGIBLE</t>
        </is>
      </c>
      <c r="K4082" s="16" t="b">
        <v>1</v>
      </c>
      <c r="L4082" s="16" t="b">
        <v>0</v>
      </c>
      <c r="M4082" s="16" t="b">
        <v>1</v>
      </c>
      <c r="N4082" s="16" t="b">
        <v>0</v>
      </c>
      <c r="O4082" s="16" t="n">
        <v>477.4986494011682</v>
      </c>
      <c r="P4082" s="16" t="n">
        <v>300.032917</v>
      </c>
      <c r="Q4082" s="16" t="n">
        <v>3000</v>
      </c>
      <c r="R4082" s="16" t="n">
        <v>1461.35727462698</v>
      </c>
      <c r="S4082" s="16" t="n">
        <v>0.5</v>
      </c>
      <c r="T4082" s="16" t="n">
        <v>0.7781428019775326</v>
      </c>
      <c r="U4082" s="16" t="n">
        <v>0.5976541409196332</v>
      </c>
      <c r="V4082" s="16" t="n">
        <v>0.6224625841101686</v>
      </c>
      <c r="W4082" s="16" t="n">
        <v>0.8656417526470623</v>
      </c>
      <c r="X4082" s="16" t="n">
        <v>0.7952224280709401</v>
      </c>
      <c r="Y4082" s="16" t="n">
        <v>300.032917</v>
      </c>
      <c r="Z4082" s="16" t="n">
        <v>5.15384395705311</v>
      </c>
      <c r="AA4082" s="16" t="n">
        <v>61.43808324924345</v>
      </c>
      <c r="AB4082" s="16" t="n">
        <v>1538.64272537302</v>
      </c>
      <c r="AC4082" s="16" t="n">
        <v>2.052886075217826</v>
      </c>
      <c r="AD4082" s="16" t="inlineStr">
        <is>
          <t>O2</t>
        </is>
      </c>
      <c r="AE4082" s="16" t="n"/>
    </row>
    <row r="4083">
      <c r="A4083" s="16" t="inlineStr">
        <is>
          <t>KF-M09-R2-x_b+P_alta+T_sumidero-0029</t>
        </is>
      </c>
      <c r="B4083" s="16" t="inlineStr">
        <is>
          <t>4.3</t>
        </is>
      </c>
      <c r="C4083" s="16" t="inlineStr">
        <is>
          <t>4.3 x_b+P_alta+T_sumidero</t>
        </is>
      </c>
      <c r="D4083" s="16" t="inlineStr">
        <is>
          <t>ronda 2</t>
        </is>
      </c>
      <c r="E4083" s="16" t="inlineStr">
        <is>
          <t>KF-M09</t>
        </is>
      </c>
      <c r="F4083" s="16" t="inlineStr">
        <is>
          <t>KF-M09-R2-x_b+P_alta+T_sumidero</t>
        </is>
      </c>
      <c r="G4083" s="16" t="inlineStr">
        <is>
          <t>B13-x_b+P_alta+T_sumidero</t>
        </is>
      </c>
      <c r="H4083" s="16" t="inlineStr">
        <is>
          <t>lhs</t>
        </is>
      </c>
      <c r="I4083" s="16" t="inlineStr">
        <is>
          <t>KALINA</t>
        </is>
      </c>
      <c r="J4083" s="16" t="inlineStr">
        <is>
          <t>KALINA</t>
        </is>
      </c>
      <c r="K4083" s="16" t="b">
        <v>1</v>
      </c>
      <c r="L4083" s="16" t="b">
        <v>1</v>
      </c>
      <c r="M4083" s="16" t="b">
        <v>0</v>
      </c>
      <c r="N4083" s="16" t="b">
        <v>0</v>
      </c>
      <c r="O4083" s="16" t="n">
        <v>436.5928736533113</v>
      </c>
      <c r="P4083" s="16" t="n">
        <v>300.032917</v>
      </c>
      <c r="Q4083" s="16" t="n">
        <v>3000</v>
      </c>
      <c r="R4083" s="16" t="n">
        <v>1812.064522008883</v>
      </c>
      <c r="S4083" s="16" t="n">
        <v>0.5</v>
      </c>
      <c r="T4083" s="16" t="n">
        <v>0.6810078110906018</v>
      </c>
      <c r="U4083" s="16" t="n">
        <v>0.4827751181569849</v>
      </c>
      <c r="V4083" s="16" t="n">
        <v>0.4509181476935702</v>
      </c>
      <c r="W4083" s="16" t="n">
        <v>0.9118728758478564</v>
      </c>
      <c r="X4083" s="16" t="n">
        <v>0.8807434352994332</v>
      </c>
      <c r="Y4083" s="16" t="n">
        <v>300.032917</v>
      </c>
      <c r="Z4083" s="16" t="n">
        <v>2.34485383079454</v>
      </c>
      <c r="AA4083" s="16" t="n">
        <v>8.872907693059402</v>
      </c>
      <c r="AB4083" s="16" t="n">
        <v>1187.935477991117</v>
      </c>
      <c r="AC4083" s="16" t="n">
        <v>1.655570187243749</v>
      </c>
      <c r="AD4083" s="16" t="n"/>
      <c r="AE4083" s="16" t="n"/>
    </row>
    <row r="4084">
      <c r="A4084" s="16" t="inlineStr">
        <is>
          <t>KF-M09-R3-x_b+P_alta+eficiencias+T_fuente-0000</t>
        </is>
      </c>
      <c r="B4084" s="16" t="inlineStr">
        <is>
          <t>4.3</t>
        </is>
      </c>
      <c r="C4084" s="16" t="inlineStr">
        <is>
          <t>4.3 x_b+P_alta+eficiencias+T_fuente</t>
        </is>
      </c>
      <c r="D4084" s="16" t="inlineStr">
        <is>
          <t>ronda 3</t>
        </is>
      </c>
      <c r="E4084" s="16" t="inlineStr">
        <is>
          <t>KF-M09</t>
        </is>
      </c>
      <c r="F4084" s="16" t="inlineStr">
        <is>
          <t>KF-M09-R3-x_b+P_alta+eficiencias+T_fuente</t>
        </is>
      </c>
      <c r="G4084" s="16" t="inlineStr">
        <is>
          <t>B13-x_b+P_alta+eficiencias+T_fuente</t>
        </is>
      </c>
      <c r="H4084" s="16" t="inlineStr">
        <is>
          <t>lhs</t>
        </is>
      </c>
      <c r="I4084" s="16" t="inlineStr">
        <is>
          <t>NO_CONVERGIO</t>
        </is>
      </c>
      <c r="J4084" s="16" t="inlineStr">
        <is>
          <t>NO_CONVERGIO</t>
        </is>
      </c>
      <c r="K4084" s="16" t="b">
        <v>0</v>
      </c>
      <c r="L4084" s="16" t="b">
        <v>0</v>
      </c>
      <c r="M4084" s="16" t="b">
        <v>0</v>
      </c>
      <c r="N4084" s="16" t="b">
        <v>0</v>
      </c>
      <c r="O4084" s="16" t="n">
        <v>623.15</v>
      </c>
      <c r="P4084" s="16" t="n">
        <v>299.0121287190874</v>
      </c>
      <c r="Q4084" s="16" t="n">
        <v>3000</v>
      </c>
      <c r="R4084" s="16" t="n">
        <v>1572.724430308208</v>
      </c>
      <c r="S4084" s="16" t="n">
        <v>0.5</v>
      </c>
      <c r="T4084" s="16" t="n">
        <v>0.85</v>
      </c>
      <c r="U4084" s="16" t="n">
        <v>0.75</v>
      </c>
      <c r="V4084" s="16" t="n">
        <v>0.85</v>
      </c>
      <c r="W4084" s="16" t="n">
        <v>0.75</v>
      </c>
      <c r="X4084" s="16" t="n">
        <v>0.8</v>
      </c>
      <c r="Y4084" s="16" t="n">
        <v>299.0121287190874</v>
      </c>
      <c r="Z4084" s="16" t="n"/>
      <c r="AA4084" s="16" t="n"/>
      <c r="AB4084" s="16" t="n">
        <v>1427.275569691792</v>
      </c>
      <c r="AC4084" s="16" t="n">
        <v>1.907517898359402</v>
      </c>
      <c r="AD4084" s="16" t="n"/>
      <c r="AE4084" s="16" t="n"/>
    </row>
    <row r="4085">
      <c r="A4085" s="16" t="inlineStr">
        <is>
          <t>KF-M09-R3-x_b+P_alta+eficiencias+T_fuente-0001</t>
        </is>
      </c>
      <c r="B4085" s="16" t="inlineStr">
        <is>
          <t>4.3</t>
        </is>
      </c>
      <c r="C4085" s="16" t="inlineStr">
        <is>
          <t>4.3 x_b+P_alta+eficiencias+T_fuente</t>
        </is>
      </c>
      <c r="D4085" s="16" t="inlineStr">
        <is>
          <t>ronda 3</t>
        </is>
      </c>
      <c r="E4085" s="16" t="inlineStr">
        <is>
          <t>KF-M09</t>
        </is>
      </c>
      <c r="F4085" s="16" t="inlineStr">
        <is>
          <t>KF-M09-R3-x_b+P_alta+eficiencias+T_fuente</t>
        </is>
      </c>
      <c r="G4085" s="16" t="inlineStr">
        <is>
          <t>B13-x_b+P_alta+eficiencias+T_fuente</t>
        </is>
      </c>
      <c r="H4085" s="16" t="inlineStr">
        <is>
          <t>lhs</t>
        </is>
      </c>
      <c r="I4085" s="16" t="inlineStr">
        <is>
          <t>NO_CONVERGIO</t>
        </is>
      </c>
      <c r="J4085" s="16" t="inlineStr">
        <is>
          <t>NO_CONVERGIO</t>
        </is>
      </c>
      <c r="K4085" s="16" t="b">
        <v>0</v>
      </c>
      <c r="L4085" s="16" t="b">
        <v>0</v>
      </c>
      <c r="M4085" s="16" t="b">
        <v>0</v>
      </c>
      <c r="N4085" s="16" t="b">
        <v>0</v>
      </c>
      <c r="O4085" s="16" t="n">
        <v>623.15</v>
      </c>
      <c r="P4085" s="16" t="n">
        <v>278.6689533250798</v>
      </c>
      <c r="Q4085" s="16" t="n">
        <v>3000</v>
      </c>
      <c r="R4085" s="16" t="n">
        <v>1827.147165757031</v>
      </c>
      <c r="S4085" s="16" t="n">
        <v>0.5</v>
      </c>
      <c r="T4085" s="16" t="n">
        <v>0.85</v>
      </c>
      <c r="U4085" s="16" t="n">
        <v>0.75</v>
      </c>
      <c r="V4085" s="16" t="n">
        <v>0.85</v>
      </c>
      <c r="W4085" s="16" t="n">
        <v>0.75</v>
      </c>
      <c r="X4085" s="16" t="n">
        <v>0.8</v>
      </c>
      <c r="Y4085" s="16" t="n">
        <v>278.6689533250798</v>
      </c>
      <c r="Z4085" s="16" t="n"/>
      <c r="AA4085" s="16" t="n"/>
      <c r="AB4085" s="16" t="n">
        <v>1172.852834242969</v>
      </c>
      <c r="AC4085" s="16" t="n">
        <v>1.64190386862299</v>
      </c>
      <c r="AD4085" s="16" t="n"/>
      <c r="AE4085" s="16" t="n"/>
    </row>
    <row r="4086">
      <c r="A4086" s="16" t="inlineStr">
        <is>
          <t>KF-M09-R3-x_b+P_alta+eficiencias+T_fuente-0002</t>
        </is>
      </c>
      <c r="B4086" s="16" t="inlineStr">
        <is>
          <t>4.3</t>
        </is>
      </c>
      <c r="C4086" s="16" t="inlineStr">
        <is>
          <t>4.3 x_b+P_alta+eficiencias+T_fuente</t>
        </is>
      </c>
      <c r="D4086" s="16" t="inlineStr">
        <is>
          <t>ronda 3</t>
        </is>
      </c>
      <c r="E4086" s="16" t="inlineStr">
        <is>
          <t>KF-M09</t>
        </is>
      </c>
      <c r="F4086" s="16" t="inlineStr">
        <is>
          <t>KF-M09-R3-x_b+P_alta+eficiencias+T_fuente</t>
        </is>
      </c>
      <c r="G4086" s="16" t="inlineStr">
        <is>
          <t>B13-x_b+P_alta+eficiencias+T_fuente</t>
        </is>
      </c>
      <c r="H4086" s="16" t="inlineStr">
        <is>
          <t>lhs</t>
        </is>
      </c>
      <c r="I4086" s="16" t="inlineStr">
        <is>
          <t>NO_CONVERGIO</t>
        </is>
      </c>
      <c r="J4086" s="16" t="inlineStr">
        <is>
          <t>NO_CONVERGIO</t>
        </is>
      </c>
      <c r="K4086" s="16" t="b">
        <v>0</v>
      </c>
      <c r="L4086" s="16" t="b">
        <v>0</v>
      </c>
      <c r="M4086" s="16" t="b">
        <v>0</v>
      </c>
      <c r="N4086" s="16" t="b">
        <v>0</v>
      </c>
      <c r="O4086" s="16" t="n">
        <v>623.15</v>
      </c>
      <c r="P4086" s="16" t="n">
        <v>302.4750306826461</v>
      </c>
      <c r="Q4086" s="16" t="n">
        <v>3000</v>
      </c>
      <c r="R4086" s="16" t="n">
        <v>433.8245731014561</v>
      </c>
      <c r="S4086" s="16" t="n">
        <v>0.5</v>
      </c>
      <c r="T4086" s="16" t="n">
        <v>0.85</v>
      </c>
      <c r="U4086" s="16" t="n">
        <v>0.75</v>
      </c>
      <c r="V4086" s="16" t="n">
        <v>0.85</v>
      </c>
      <c r="W4086" s="16" t="n">
        <v>0.75</v>
      </c>
      <c r="X4086" s="16" t="n">
        <v>0.8</v>
      </c>
      <c r="Y4086" s="16" t="n">
        <v>302.4750306826461</v>
      </c>
      <c r="Z4086" s="16" t="n"/>
      <c r="AA4086" s="16" t="n"/>
      <c r="AB4086" s="16" t="n">
        <v>2566.175426898544</v>
      </c>
      <c r="AC4086" s="16" t="n">
        <v>6.915237600656631</v>
      </c>
      <c r="AD4086" s="16" t="n"/>
      <c r="AE4086" s="16" t="n"/>
    </row>
    <row r="4087">
      <c r="A4087" s="16" t="inlineStr">
        <is>
          <t>KF-M09-R3-x_b+P_alta+eficiencias+T_fuente-0003</t>
        </is>
      </c>
      <c r="B4087" s="16" t="inlineStr">
        <is>
          <t>4.3</t>
        </is>
      </c>
      <c r="C4087" s="16" t="inlineStr">
        <is>
          <t>4.3 x_b+P_alta+eficiencias+T_fuente</t>
        </is>
      </c>
      <c r="D4087" s="16" t="inlineStr">
        <is>
          <t>ronda 3</t>
        </is>
      </c>
      <c r="E4087" s="16" t="inlineStr">
        <is>
          <t>KF-M09</t>
        </is>
      </c>
      <c r="F4087" s="16" t="inlineStr">
        <is>
          <t>KF-M09-R3-x_b+P_alta+eficiencias+T_fuente</t>
        </is>
      </c>
      <c r="G4087" s="16" t="inlineStr">
        <is>
          <t>B13-x_b+P_alta+eficiencias+T_fuente</t>
        </is>
      </c>
      <c r="H4087" s="16" t="inlineStr">
        <is>
          <t>lhs</t>
        </is>
      </c>
      <c r="I4087" s="16" t="inlineStr">
        <is>
          <t>NO_CONVERGIO</t>
        </is>
      </c>
      <c r="J4087" s="16" t="inlineStr">
        <is>
          <t>NO_CONVERGIO</t>
        </is>
      </c>
      <c r="K4087" s="16" t="b">
        <v>0</v>
      </c>
      <c r="L4087" s="16" t="b">
        <v>0</v>
      </c>
      <c r="M4087" s="16" t="b">
        <v>0</v>
      </c>
      <c r="N4087" s="16" t="b">
        <v>0</v>
      </c>
      <c r="O4087" s="16" t="n">
        <v>623.15</v>
      </c>
      <c r="P4087" s="16" t="n">
        <v>288.1971784487695</v>
      </c>
      <c r="Q4087" s="16" t="n">
        <v>3000</v>
      </c>
      <c r="R4087" s="16" t="n">
        <v>1940.703195426726</v>
      </c>
      <c r="S4087" s="16" t="n">
        <v>0.5</v>
      </c>
      <c r="T4087" s="16" t="n">
        <v>0.85</v>
      </c>
      <c r="U4087" s="16" t="n">
        <v>0.75</v>
      </c>
      <c r="V4087" s="16" t="n">
        <v>0.85</v>
      </c>
      <c r="W4087" s="16" t="n">
        <v>0.75</v>
      </c>
      <c r="X4087" s="16" t="n">
        <v>0.8</v>
      </c>
      <c r="Y4087" s="16" t="n">
        <v>288.1971784487695</v>
      </c>
      <c r="Z4087" s="16" t="n"/>
      <c r="AA4087" s="16" t="n"/>
      <c r="AB4087" s="16" t="n">
        <v>1059.296804573274</v>
      </c>
      <c r="AC4087" s="16" t="n">
        <v>1.545831432168252</v>
      </c>
      <c r="AD4087" s="16" t="n"/>
      <c r="AE4087" s="16" t="n"/>
    </row>
    <row r="4088">
      <c r="A4088" s="16" t="inlineStr">
        <is>
          <t>KF-M09-R3-x_b+P_alta+eficiencias+T_fuente-0004</t>
        </is>
      </c>
      <c r="B4088" s="16" t="inlineStr">
        <is>
          <t>4.3</t>
        </is>
      </c>
      <c r="C4088" s="16" t="inlineStr">
        <is>
          <t>4.3 x_b+P_alta+eficiencias+T_fuente</t>
        </is>
      </c>
      <c r="D4088" s="16" t="inlineStr">
        <is>
          <t>ronda 3</t>
        </is>
      </c>
      <c r="E4088" s="16" t="inlineStr">
        <is>
          <t>KF-M09</t>
        </is>
      </c>
      <c r="F4088" s="16" t="inlineStr">
        <is>
          <t>KF-M09-R3-x_b+P_alta+eficiencias+T_fuente</t>
        </is>
      </c>
      <c r="G4088" s="16" t="inlineStr">
        <is>
          <t>B13-x_b+P_alta+eficiencias+T_fuente</t>
        </is>
      </c>
      <c r="H4088" s="16" t="inlineStr">
        <is>
          <t>lhs</t>
        </is>
      </c>
      <c r="I4088" s="16" t="inlineStr">
        <is>
          <t>NO_CONVERGIO</t>
        </is>
      </c>
      <c r="J4088" s="16" t="inlineStr">
        <is>
          <t>NO_CONVERGIO</t>
        </is>
      </c>
      <c r="K4088" s="16" t="b">
        <v>0</v>
      </c>
      <c r="L4088" s="16" t="b">
        <v>0</v>
      </c>
      <c r="M4088" s="16" t="b">
        <v>0</v>
      </c>
      <c r="N4088" s="16" t="b">
        <v>0</v>
      </c>
      <c r="O4088" s="16" t="n">
        <v>623.15</v>
      </c>
      <c r="P4088" s="16" t="n">
        <v>285.9860381975033</v>
      </c>
      <c r="Q4088" s="16" t="n">
        <v>3000</v>
      </c>
      <c r="R4088" s="16" t="n">
        <v>1264.300778110286</v>
      </c>
      <c r="S4088" s="16" t="n">
        <v>0.5</v>
      </c>
      <c r="T4088" s="16" t="n">
        <v>0.85</v>
      </c>
      <c r="U4088" s="16" t="n">
        <v>0.75</v>
      </c>
      <c r="V4088" s="16" t="n">
        <v>0.85</v>
      </c>
      <c r="W4088" s="16" t="n">
        <v>0.75</v>
      </c>
      <c r="X4088" s="16" t="n">
        <v>0.8</v>
      </c>
      <c r="Y4088" s="16" t="n">
        <v>285.9860381975033</v>
      </c>
      <c r="Z4088" s="16" t="n"/>
      <c r="AA4088" s="16" t="n"/>
      <c r="AB4088" s="16" t="n">
        <v>1735.699221889714</v>
      </c>
      <c r="AC4088" s="16" t="n">
        <v>2.372853083649932</v>
      </c>
      <c r="AD4088" s="16" t="n"/>
      <c r="AE4088" s="16" t="n"/>
    </row>
    <row r="4089">
      <c r="A4089" s="16" t="inlineStr">
        <is>
          <t>KF-M09-R3-x_b+P_alta+eficiencias+T_fuente-0005</t>
        </is>
      </c>
      <c r="B4089" s="16" t="inlineStr">
        <is>
          <t>4.3</t>
        </is>
      </c>
      <c r="C4089" s="16" t="inlineStr">
        <is>
          <t>4.3 x_b+P_alta+eficiencias+T_fuente</t>
        </is>
      </c>
      <c r="D4089" s="16" t="inlineStr">
        <is>
          <t>ronda 3</t>
        </is>
      </c>
      <c r="E4089" s="16" t="inlineStr">
        <is>
          <t>KF-M09</t>
        </is>
      </c>
      <c r="F4089" s="16" t="inlineStr">
        <is>
          <t>KF-M09-R3-x_b+P_alta+eficiencias+T_fuente</t>
        </is>
      </c>
      <c r="G4089" s="16" t="inlineStr">
        <is>
          <t>B13-x_b+P_alta+eficiencias+T_fuente</t>
        </is>
      </c>
      <c r="H4089" s="16" t="inlineStr">
        <is>
          <t>lhs</t>
        </is>
      </c>
      <c r="I4089" s="16" t="inlineStr">
        <is>
          <t>NO_CONVERGIO</t>
        </is>
      </c>
      <c r="J4089" s="16" t="inlineStr">
        <is>
          <t>NO_CONVERGIO</t>
        </is>
      </c>
      <c r="K4089" s="16" t="b">
        <v>0</v>
      </c>
      <c r="L4089" s="16" t="b">
        <v>0</v>
      </c>
      <c r="M4089" s="16" t="b">
        <v>0</v>
      </c>
      <c r="N4089" s="16" t="b">
        <v>0</v>
      </c>
      <c r="O4089" s="16" t="n">
        <v>623.15</v>
      </c>
      <c r="P4089" s="16" t="n">
        <v>296.3294730998036</v>
      </c>
      <c r="Q4089" s="16" t="n">
        <v>3000</v>
      </c>
      <c r="R4089" s="16" t="n">
        <v>317.0265213340965</v>
      </c>
      <c r="S4089" s="16" t="n">
        <v>0.5</v>
      </c>
      <c r="T4089" s="16" t="n">
        <v>0.85</v>
      </c>
      <c r="U4089" s="16" t="n">
        <v>0.75</v>
      </c>
      <c r="V4089" s="16" t="n">
        <v>0.85</v>
      </c>
      <c r="W4089" s="16" t="n">
        <v>0.75</v>
      </c>
      <c r="X4089" s="16" t="n">
        <v>0.8</v>
      </c>
      <c r="Y4089" s="16" t="n">
        <v>296.3294730998036</v>
      </c>
      <c r="Z4089" s="16" t="n"/>
      <c r="AA4089" s="16" t="n"/>
      <c r="AB4089" s="16" t="n">
        <v>2682.973478665904</v>
      </c>
      <c r="AC4089" s="16" t="n">
        <v>9.46293069543689</v>
      </c>
      <c r="AD4089" s="16" t="n"/>
      <c r="AE4089" s="16" t="n"/>
    </row>
    <row r="4090">
      <c r="A4090" s="16" t="inlineStr">
        <is>
          <t>KF-M09-R3-x_b+P_alta+eficiencias+T_fuente-0006</t>
        </is>
      </c>
      <c r="B4090" s="16" t="inlineStr">
        <is>
          <t>4.3</t>
        </is>
      </c>
      <c r="C4090" s="16" t="inlineStr">
        <is>
          <t>4.3 x_b+P_alta+eficiencias+T_fuente</t>
        </is>
      </c>
      <c r="D4090" s="16" t="inlineStr">
        <is>
          <t>ronda 3</t>
        </is>
      </c>
      <c r="E4090" s="16" t="inlineStr">
        <is>
          <t>KF-M09</t>
        </is>
      </c>
      <c r="F4090" s="16" t="inlineStr">
        <is>
          <t>KF-M09-R3-x_b+P_alta+eficiencias+T_fuente</t>
        </is>
      </c>
      <c r="G4090" s="16" t="inlineStr">
        <is>
          <t>B13-x_b+P_alta+eficiencias+T_fuente</t>
        </is>
      </c>
      <c r="H4090" s="16" t="inlineStr">
        <is>
          <t>lhs</t>
        </is>
      </c>
      <c r="I4090" s="16" t="inlineStr">
        <is>
          <t>NO_CONVERGIO</t>
        </is>
      </c>
      <c r="J4090" s="16" t="inlineStr">
        <is>
          <t>NO_CONVERGIO</t>
        </is>
      </c>
      <c r="K4090" s="16" t="b">
        <v>0</v>
      </c>
      <c r="L4090" s="16" t="b">
        <v>0</v>
      </c>
      <c r="M4090" s="16" t="b">
        <v>0</v>
      </c>
      <c r="N4090" s="16" t="b">
        <v>0</v>
      </c>
      <c r="O4090" s="16" t="n">
        <v>623.15</v>
      </c>
      <c r="P4090" s="16" t="n">
        <v>303.443498289289</v>
      </c>
      <c r="Q4090" s="16" t="n">
        <v>3000</v>
      </c>
      <c r="R4090" s="16" t="n">
        <v>661.4677063418176</v>
      </c>
      <c r="S4090" s="16" t="n">
        <v>0.5</v>
      </c>
      <c r="T4090" s="16" t="n">
        <v>0.85</v>
      </c>
      <c r="U4090" s="16" t="n">
        <v>0.75</v>
      </c>
      <c r="V4090" s="16" t="n">
        <v>0.85</v>
      </c>
      <c r="W4090" s="16" t="n">
        <v>0.75</v>
      </c>
      <c r="X4090" s="16" t="n">
        <v>0.8</v>
      </c>
      <c r="Y4090" s="16" t="n">
        <v>303.443498289289</v>
      </c>
      <c r="Z4090" s="16" t="n"/>
      <c r="AA4090" s="16" t="n"/>
      <c r="AB4090" s="16" t="n">
        <v>2338.532293658182</v>
      </c>
      <c r="AC4090" s="16" t="n">
        <v>4.535368803703519</v>
      </c>
      <c r="AD4090" s="16" t="n"/>
      <c r="AE4090" s="16" t="n"/>
    </row>
    <row r="4091">
      <c r="A4091" s="16" t="inlineStr">
        <is>
          <t>KF-M09-R3-x_b+P_alta+eficiencias+T_fuente-0007</t>
        </is>
      </c>
      <c r="B4091" s="16" t="inlineStr">
        <is>
          <t>4.3</t>
        </is>
      </c>
      <c r="C4091" s="16" t="inlineStr">
        <is>
          <t>4.3 x_b+P_alta+eficiencias+T_fuente</t>
        </is>
      </c>
      <c r="D4091" s="16" t="inlineStr">
        <is>
          <t>ronda 3</t>
        </is>
      </c>
      <c r="E4091" s="16" t="inlineStr">
        <is>
          <t>KF-M09</t>
        </is>
      </c>
      <c r="F4091" s="16" t="inlineStr">
        <is>
          <t>KF-M09-R3-x_b+P_alta+eficiencias+T_fuente</t>
        </is>
      </c>
      <c r="G4091" s="16" t="inlineStr">
        <is>
          <t>B13-x_b+P_alta+eficiencias+T_fuente</t>
        </is>
      </c>
      <c r="H4091" s="16" t="inlineStr">
        <is>
          <t>lhs</t>
        </is>
      </c>
      <c r="I4091" s="16" t="inlineStr">
        <is>
          <t>NO_CONVERGIO</t>
        </is>
      </c>
      <c r="J4091" s="16" t="inlineStr">
        <is>
          <t>NO_CONVERGIO</t>
        </is>
      </c>
      <c r="K4091" s="16" t="b">
        <v>0</v>
      </c>
      <c r="L4091" s="16" t="b">
        <v>0</v>
      </c>
      <c r="M4091" s="16" t="b">
        <v>0</v>
      </c>
      <c r="N4091" s="16" t="b">
        <v>0</v>
      </c>
      <c r="O4091" s="16" t="n">
        <v>623.15</v>
      </c>
      <c r="P4091" s="16" t="n">
        <v>280.9495821120494</v>
      </c>
      <c r="Q4091" s="16" t="n">
        <v>3000</v>
      </c>
      <c r="R4091" s="16" t="n">
        <v>1054.389547786611</v>
      </c>
      <c r="S4091" s="16" t="n">
        <v>0.5</v>
      </c>
      <c r="T4091" s="16" t="n">
        <v>0.85</v>
      </c>
      <c r="U4091" s="16" t="n">
        <v>0.75</v>
      </c>
      <c r="V4091" s="16" t="n">
        <v>0.85</v>
      </c>
      <c r="W4091" s="16" t="n">
        <v>0.75</v>
      </c>
      <c r="X4091" s="16" t="n">
        <v>0.8</v>
      </c>
      <c r="Y4091" s="16" t="n">
        <v>280.9495821120494</v>
      </c>
      <c r="Z4091" s="16" t="n"/>
      <c r="AA4091" s="16" t="n"/>
      <c r="AB4091" s="16" t="n">
        <v>1945.610452213389</v>
      </c>
      <c r="AC4091" s="16" t="n">
        <v>2.845248235149561</v>
      </c>
      <c r="AD4091" s="16" t="n"/>
      <c r="AE4091" s="16" t="n"/>
    </row>
    <row r="4092">
      <c r="A4092" s="16" t="inlineStr">
        <is>
          <t>KF-M09-R3-x_b+P_alta+eficiencias+T_fuente-0008</t>
        </is>
      </c>
      <c r="B4092" s="16" t="inlineStr">
        <is>
          <t>4.3</t>
        </is>
      </c>
      <c r="C4092" s="16" t="inlineStr">
        <is>
          <t>4.3 x_b+P_alta+eficiencias+T_fuente</t>
        </is>
      </c>
      <c r="D4092" s="16" t="inlineStr">
        <is>
          <t>ronda 3</t>
        </is>
      </c>
      <c r="E4092" s="16" t="inlineStr">
        <is>
          <t>KF-M09</t>
        </is>
      </c>
      <c r="F4092" s="16" t="inlineStr">
        <is>
          <t>KF-M09-R3-x_b+P_alta+eficiencias+T_fuente</t>
        </is>
      </c>
      <c r="G4092" s="16" t="inlineStr">
        <is>
          <t>B13-x_b+P_alta+eficiencias+T_fuente</t>
        </is>
      </c>
      <c r="H4092" s="16" t="inlineStr">
        <is>
          <t>lhs</t>
        </is>
      </c>
      <c r="I4092" s="16" t="inlineStr">
        <is>
          <t>NO_CONVERGIO</t>
        </is>
      </c>
      <c r="J4092" s="16" t="inlineStr">
        <is>
          <t>NO_CONVERGIO</t>
        </is>
      </c>
      <c r="K4092" s="16" t="b">
        <v>0</v>
      </c>
      <c r="L4092" s="16" t="b">
        <v>0</v>
      </c>
      <c r="M4092" s="16" t="b">
        <v>0</v>
      </c>
      <c r="N4092" s="16" t="b">
        <v>0</v>
      </c>
      <c r="O4092" s="16" t="n">
        <v>623.15</v>
      </c>
      <c r="P4092" s="16" t="n">
        <v>285.6970446584283</v>
      </c>
      <c r="Q4092" s="16" t="n">
        <v>3000</v>
      </c>
      <c r="R4092" s="16" t="n">
        <v>1433.576399765768</v>
      </c>
      <c r="S4092" s="16" t="n">
        <v>0.5</v>
      </c>
      <c r="T4092" s="16" t="n">
        <v>0.85</v>
      </c>
      <c r="U4092" s="16" t="n">
        <v>0.75</v>
      </c>
      <c r="V4092" s="16" t="n">
        <v>0.85</v>
      </c>
      <c r="W4092" s="16" t="n">
        <v>0.75</v>
      </c>
      <c r="X4092" s="16" t="n">
        <v>0.8</v>
      </c>
      <c r="Y4092" s="16" t="n">
        <v>285.6970446584283</v>
      </c>
      <c r="Z4092" s="16" t="n"/>
      <c r="AA4092" s="16" t="n"/>
      <c r="AB4092" s="16" t="n">
        <v>1566.423600234232</v>
      </c>
      <c r="AC4092" s="16" t="n">
        <v>2.092668378532298</v>
      </c>
      <c r="AD4092" s="16" t="n"/>
      <c r="AE4092" s="16" t="n"/>
    </row>
    <row r="4093">
      <c r="A4093" s="16" t="inlineStr">
        <is>
          <t>KF-M09-R3-x_b+P_alta+eficiencias+T_fuente-0009</t>
        </is>
      </c>
      <c r="B4093" s="16" t="inlineStr">
        <is>
          <t>4.3</t>
        </is>
      </c>
      <c r="C4093" s="16" t="inlineStr">
        <is>
          <t>4.3 x_b+P_alta+eficiencias+T_fuente</t>
        </is>
      </c>
      <c r="D4093" s="16" t="inlineStr">
        <is>
          <t>ronda 3</t>
        </is>
      </c>
      <c r="E4093" s="16" t="inlineStr">
        <is>
          <t>KF-M09</t>
        </is>
      </c>
      <c r="F4093" s="16" t="inlineStr">
        <is>
          <t>KF-M09-R3-x_b+P_alta+eficiencias+T_fuente</t>
        </is>
      </c>
      <c r="G4093" s="16" t="inlineStr">
        <is>
          <t>B13-x_b+P_alta+eficiencias+T_fuente</t>
        </is>
      </c>
      <c r="H4093" s="16" t="inlineStr">
        <is>
          <t>lhs</t>
        </is>
      </c>
      <c r="I4093" s="16" t="inlineStr">
        <is>
          <t>NO_CONVERGIO</t>
        </is>
      </c>
      <c r="J4093" s="16" t="inlineStr">
        <is>
          <t>NO_CONVERGIO</t>
        </is>
      </c>
      <c r="K4093" s="16" t="b">
        <v>0</v>
      </c>
      <c r="L4093" s="16" t="b">
        <v>0</v>
      </c>
      <c r="M4093" s="16" t="b">
        <v>0</v>
      </c>
      <c r="N4093" s="16" t="b">
        <v>0</v>
      </c>
      <c r="O4093" s="16" t="n">
        <v>623.15</v>
      </c>
      <c r="P4093" s="16" t="n">
        <v>299.9193598150962</v>
      </c>
      <c r="Q4093" s="16" t="n">
        <v>3000</v>
      </c>
      <c r="R4093" s="16" t="n">
        <v>1713.420922915609</v>
      </c>
      <c r="S4093" s="16" t="n">
        <v>0.5</v>
      </c>
      <c r="T4093" s="16" t="n">
        <v>0.85</v>
      </c>
      <c r="U4093" s="16" t="n">
        <v>0.75</v>
      </c>
      <c r="V4093" s="16" t="n">
        <v>0.85</v>
      </c>
      <c r="W4093" s="16" t="n">
        <v>0.75</v>
      </c>
      <c r="X4093" s="16" t="n">
        <v>0.8</v>
      </c>
      <c r="Y4093" s="16" t="n">
        <v>299.9193598150962</v>
      </c>
      <c r="Z4093" s="16" t="n"/>
      <c r="AA4093" s="16" t="n"/>
      <c r="AB4093" s="16" t="n">
        <v>1286.579077084391</v>
      </c>
      <c r="AC4093" s="16" t="n">
        <v>1.750883253424447</v>
      </c>
      <c r="AD4093" s="16" t="n"/>
      <c r="AE4093" s="16" t="n"/>
    </row>
    <row r="4094">
      <c r="A4094" s="16" t="inlineStr">
        <is>
          <t>KF-M09-R3-x_b+P_alta+eficiencias+T_fuente-0010</t>
        </is>
      </c>
      <c r="B4094" s="16" t="inlineStr">
        <is>
          <t>4.3</t>
        </is>
      </c>
      <c r="C4094" s="16" t="inlineStr">
        <is>
          <t>4.3 x_b+P_alta+eficiencias+T_fuente</t>
        </is>
      </c>
      <c r="D4094" s="16" t="inlineStr">
        <is>
          <t>ronda 3</t>
        </is>
      </c>
      <c r="E4094" s="16" t="inlineStr">
        <is>
          <t>KF-M09</t>
        </is>
      </c>
      <c r="F4094" s="16" t="inlineStr">
        <is>
          <t>KF-M09-R3-x_b+P_alta+eficiencias+T_fuente</t>
        </is>
      </c>
      <c r="G4094" s="16" t="inlineStr">
        <is>
          <t>B13-x_b+P_alta+eficiencias+T_fuente</t>
        </is>
      </c>
      <c r="H4094" s="16" t="inlineStr">
        <is>
          <t>lhs</t>
        </is>
      </c>
      <c r="I4094" s="16" t="inlineStr">
        <is>
          <t>NO_CONVERGIO</t>
        </is>
      </c>
      <c r="J4094" s="16" t="inlineStr">
        <is>
          <t>NO_CONVERGIO</t>
        </is>
      </c>
      <c r="K4094" s="16" t="b">
        <v>0</v>
      </c>
      <c r="L4094" s="16" t="b">
        <v>0</v>
      </c>
      <c r="M4094" s="16" t="b">
        <v>0</v>
      </c>
      <c r="N4094" s="16" t="b">
        <v>0</v>
      </c>
      <c r="O4094" s="16" t="n">
        <v>623.15</v>
      </c>
      <c r="P4094" s="16" t="n">
        <v>281.7904773818584</v>
      </c>
      <c r="Q4094" s="16" t="n">
        <v>3000</v>
      </c>
      <c r="R4094" s="16" t="n">
        <v>1717.474070042474</v>
      </c>
      <c r="S4094" s="16" t="n">
        <v>0.5</v>
      </c>
      <c r="T4094" s="16" t="n">
        <v>0.85</v>
      </c>
      <c r="U4094" s="16" t="n">
        <v>0.75</v>
      </c>
      <c r="V4094" s="16" t="n">
        <v>0.85</v>
      </c>
      <c r="W4094" s="16" t="n">
        <v>0.75</v>
      </c>
      <c r="X4094" s="16" t="n">
        <v>0.8</v>
      </c>
      <c r="Y4094" s="16" t="n">
        <v>281.7904773818584</v>
      </c>
      <c r="Z4094" s="16" t="n"/>
      <c r="AA4094" s="16" t="n"/>
      <c r="AB4094" s="16" t="n">
        <v>1282.525929957526</v>
      </c>
      <c r="AC4094" s="16" t="n">
        <v>1.746751262408176</v>
      </c>
      <c r="AD4094" s="16" t="n"/>
      <c r="AE4094" s="16" t="n"/>
    </row>
    <row r="4095">
      <c r="A4095" s="16" t="inlineStr">
        <is>
          <t>KF-M09-R3-x_b+P_alta+eficiencias+T_fuente-0011</t>
        </is>
      </c>
      <c r="B4095" s="16" t="inlineStr">
        <is>
          <t>4.3</t>
        </is>
      </c>
      <c r="C4095" s="16" t="inlineStr">
        <is>
          <t>4.3 x_b+P_alta+eficiencias+T_fuente</t>
        </is>
      </c>
      <c r="D4095" s="16" t="inlineStr">
        <is>
          <t>ronda 3</t>
        </is>
      </c>
      <c r="E4095" s="16" t="inlineStr">
        <is>
          <t>KF-M09</t>
        </is>
      </c>
      <c r="F4095" s="16" t="inlineStr">
        <is>
          <t>KF-M09-R3-x_b+P_alta+eficiencias+T_fuente</t>
        </is>
      </c>
      <c r="G4095" s="16" t="inlineStr">
        <is>
          <t>B13-x_b+P_alta+eficiencias+T_fuente</t>
        </is>
      </c>
      <c r="H4095" s="16" t="inlineStr">
        <is>
          <t>lhs</t>
        </is>
      </c>
      <c r="I4095" s="16" t="inlineStr">
        <is>
          <t>NO_CONVERGIO</t>
        </is>
      </c>
      <c r="J4095" s="16" t="inlineStr">
        <is>
          <t>NO_CONVERGIO</t>
        </is>
      </c>
      <c r="K4095" s="16" t="b">
        <v>0</v>
      </c>
      <c r="L4095" s="16" t="b">
        <v>0</v>
      </c>
      <c r="M4095" s="16" t="b">
        <v>0</v>
      </c>
      <c r="N4095" s="16" t="b">
        <v>0</v>
      </c>
      <c r="O4095" s="16" t="n">
        <v>623.15</v>
      </c>
      <c r="P4095" s="16" t="n">
        <v>298.4209622395828</v>
      </c>
      <c r="Q4095" s="16" t="n">
        <v>3000</v>
      </c>
      <c r="R4095" s="16" t="n">
        <v>1852.805994094304</v>
      </c>
      <c r="S4095" s="16" t="n">
        <v>0.5</v>
      </c>
      <c r="T4095" s="16" t="n">
        <v>0.85</v>
      </c>
      <c r="U4095" s="16" t="n">
        <v>0.75</v>
      </c>
      <c r="V4095" s="16" t="n">
        <v>0.85</v>
      </c>
      <c r="W4095" s="16" t="n">
        <v>0.75</v>
      </c>
      <c r="X4095" s="16" t="n">
        <v>0.8</v>
      </c>
      <c r="Y4095" s="16" t="n">
        <v>298.4209622395828</v>
      </c>
      <c r="Z4095" s="16" t="n"/>
      <c r="AA4095" s="16" t="n"/>
      <c r="AB4095" s="16" t="n">
        <v>1147.194005905696</v>
      </c>
      <c r="AC4095" s="16" t="n">
        <v>1.619165746204568</v>
      </c>
      <c r="AD4095" s="16" t="n"/>
      <c r="AE4095" s="16" t="n"/>
    </row>
    <row r="4096">
      <c r="A4096" s="16" t="inlineStr">
        <is>
          <t>KF-M09-R3-x_b+P_alta+eficiencias+T_fuente-0012</t>
        </is>
      </c>
      <c r="B4096" s="16" t="inlineStr">
        <is>
          <t>4.3</t>
        </is>
      </c>
      <c r="C4096" s="16" t="inlineStr">
        <is>
          <t>4.3 x_b+P_alta+eficiencias+T_fuente</t>
        </is>
      </c>
      <c r="D4096" s="16" t="inlineStr">
        <is>
          <t>ronda 3</t>
        </is>
      </c>
      <c r="E4096" s="16" t="inlineStr">
        <is>
          <t>KF-M09</t>
        </is>
      </c>
      <c r="F4096" s="16" t="inlineStr">
        <is>
          <t>KF-M09-R3-x_b+P_alta+eficiencias+T_fuente</t>
        </is>
      </c>
      <c r="G4096" s="16" t="inlineStr">
        <is>
          <t>B13-x_b+P_alta+eficiencias+T_fuente</t>
        </is>
      </c>
      <c r="H4096" s="16" t="inlineStr">
        <is>
          <t>lhs</t>
        </is>
      </c>
      <c r="I4096" s="16" t="inlineStr">
        <is>
          <t>NO_CONVERGIO</t>
        </is>
      </c>
      <c r="J4096" s="16" t="inlineStr">
        <is>
          <t>NO_CONVERGIO</t>
        </is>
      </c>
      <c r="K4096" s="16" t="b">
        <v>0</v>
      </c>
      <c r="L4096" s="16" t="b">
        <v>0</v>
      </c>
      <c r="M4096" s="16" t="b">
        <v>0</v>
      </c>
      <c r="N4096" s="16" t="b">
        <v>0</v>
      </c>
      <c r="O4096" s="16" t="n">
        <v>623.15</v>
      </c>
      <c r="P4096" s="16" t="n">
        <v>279.5275508098845</v>
      </c>
      <c r="Q4096" s="16" t="n">
        <v>3000</v>
      </c>
      <c r="R4096" s="16" t="n">
        <v>1208.48029957731</v>
      </c>
      <c r="S4096" s="16" t="n">
        <v>0.5</v>
      </c>
      <c r="T4096" s="16" t="n">
        <v>0.85</v>
      </c>
      <c r="U4096" s="16" t="n">
        <v>0.75</v>
      </c>
      <c r="V4096" s="16" t="n">
        <v>0.85</v>
      </c>
      <c r="W4096" s="16" t="n">
        <v>0.75</v>
      </c>
      <c r="X4096" s="16" t="n">
        <v>0.8</v>
      </c>
      <c r="Y4096" s="16" t="n">
        <v>279.5275508098845</v>
      </c>
      <c r="Z4096" s="16" t="n"/>
      <c r="AA4096" s="16" t="n"/>
      <c r="AB4096" s="16" t="n">
        <v>1791.51970042269</v>
      </c>
      <c r="AC4096" s="16" t="n">
        <v>2.482456686343426</v>
      </c>
      <c r="AD4096" s="16" t="n"/>
      <c r="AE4096" s="16" t="n"/>
    </row>
    <row r="4097">
      <c r="A4097" s="16" t="inlineStr">
        <is>
          <t>KF-M09-R3-x_b+P_alta+eficiencias+T_fuente-0013</t>
        </is>
      </c>
      <c r="B4097" s="16" t="inlineStr">
        <is>
          <t>4.3</t>
        </is>
      </c>
      <c r="C4097" s="16" t="inlineStr">
        <is>
          <t>4.3 x_b+P_alta+eficiencias+T_fuente</t>
        </is>
      </c>
      <c r="D4097" s="16" t="inlineStr">
        <is>
          <t>ronda 3</t>
        </is>
      </c>
      <c r="E4097" s="16" t="inlineStr">
        <is>
          <t>KF-M09</t>
        </is>
      </c>
      <c r="F4097" s="16" t="inlineStr">
        <is>
          <t>KF-M09-R3-x_b+P_alta+eficiencias+T_fuente</t>
        </is>
      </c>
      <c r="G4097" s="16" t="inlineStr">
        <is>
          <t>B13-x_b+P_alta+eficiencias+T_fuente</t>
        </is>
      </c>
      <c r="H4097" s="16" t="inlineStr">
        <is>
          <t>lhs</t>
        </is>
      </c>
      <c r="I4097" s="16" t="inlineStr">
        <is>
          <t>NO_CONVERGIO</t>
        </is>
      </c>
      <c r="J4097" s="16" t="inlineStr">
        <is>
          <t>NO_CONVERGIO</t>
        </is>
      </c>
      <c r="K4097" s="16" t="b">
        <v>0</v>
      </c>
      <c r="L4097" s="16" t="b">
        <v>0</v>
      </c>
      <c r="M4097" s="16" t="b">
        <v>0</v>
      </c>
      <c r="N4097" s="16" t="b">
        <v>0</v>
      </c>
      <c r="O4097" s="16" t="n">
        <v>623.15</v>
      </c>
      <c r="P4097" s="16" t="n">
        <v>300.8267118048708</v>
      </c>
      <c r="Q4097" s="16" t="n">
        <v>3000</v>
      </c>
      <c r="R4097" s="16" t="n">
        <v>1624.121247946135</v>
      </c>
      <c r="S4097" s="16" t="n">
        <v>0.5</v>
      </c>
      <c r="T4097" s="16" t="n">
        <v>0.85</v>
      </c>
      <c r="U4097" s="16" t="n">
        <v>0.75</v>
      </c>
      <c r="V4097" s="16" t="n">
        <v>0.85</v>
      </c>
      <c r="W4097" s="16" t="n">
        <v>0.75</v>
      </c>
      <c r="X4097" s="16" t="n">
        <v>0.8</v>
      </c>
      <c r="Y4097" s="16" t="n">
        <v>300.8267118048708</v>
      </c>
      <c r="Z4097" s="16" t="n"/>
      <c r="AA4097" s="16" t="n"/>
      <c r="AB4097" s="16" t="n">
        <v>1375.878752053865</v>
      </c>
      <c r="AC4097" s="16" t="n">
        <v>1.84715273185041</v>
      </c>
      <c r="AD4097" s="16" t="n"/>
      <c r="AE4097" s="16" t="n"/>
    </row>
    <row r="4098">
      <c r="A4098" s="16" t="inlineStr">
        <is>
          <t>KF-M09-R3-x_b+P_alta+eficiencias+T_fuente-0014</t>
        </is>
      </c>
      <c r="B4098" s="16" t="inlineStr">
        <is>
          <t>4.3</t>
        </is>
      </c>
      <c r="C4098" s="16" t="inlineStr">
        <is>
          <t>4.3 x_b+P_alta+eficiencias+T_fuente</t>
        </is>
      </c>
      <c r="D4098" s="16" t="inlineStr">
        <is>
          <t>ronda 3</t>
        </is>
      </c>
      <c r="E4098" s="16" t="inlineStr">
        <is>
          <t>KF-M09</t>
        </is>
      </c>
      <c r="F4098" s="16" t="inlineStr">
        <is>
          <t>KF-M09-R3-x_b+P_alta+eficiencias+T_fuente</t>
        </is>
      </c>
      <c r="G4098" s="16" t="inlineStr">
        <is>
          <t>B13-x_b+P_alta+eficiencias+T_fuente</t>
        </is>
      </c>
      <c r="H4098" s="16" t="inlineStr">
        <is>
          <t>lhs</t>
        </is>
      </c>
      <c r="I4098" s="16" t="inlineStr">
        <is>
          <t>NO_CONVERGIO</t>
        </is>
      </c>
      <c r="J4098" s="16" t="inlineStr">
        <is>
          <t>NO_CONVERGIO</t>
        </is>
      </c>
      <c r="K4098" s="16" t="b">
        <v>0</v>
      </c>
      <c r="L4098" s="16" t="b">
        <v>0</v>
      </c>
      <c r="M4098" s="16" t="b">
        <v>0</v>
      </c>
      <c r="N4098" s="16" t="b">
        <v>0</v>
      </c>
      <c r="O4098" s="16" t="n">
        <v>623.15</v>
      </c>
      <c r="P4098" s="16" t="n">
        <v>295.5321572673762</v>
      </c>
      <c r="Q4098" s="16" t="n">
        <v>3000</v>
      </c>
      <c r="R4098" s="16" t="n">
        <v>1392.537862012769</v>
      </c>
      <c r="S4098" s="16" t="n">
        <v>0.5</v>
      </c>
      <c r="T4098" s="16" t="n">
        <v>0.85</v>
      </c>
      <c r="U4098" s="16" t="n">
        <v>0.75</v>
      </c>
      <c r="V4098" s="16" t="n">
        <v>0.85</v>
      </c>
      <c r="W4098" s="16" t="n">
        <v>0.75</v>
      </c>
      <c r="X4098" s="16" t="n">
        <v>0.8</v>
      </c>
      <c r="Y4098" s="16" t="n">
        <v>295.5321572673762</v>
      </c>
      <c r="Z4098" s="16" t="n"/>
      <c r="AA4098" s="16" t="n"/>
      <c r="AB4098" s="16" t="n">
        <v>1607.462137987231</v>
      </c>
      <c r="AC4098" s="16" t="n">
        <v>2.154339987326312</v>
      </c>
      <c r="AD4098" s="16" t="n"/>
      <c r="AE4098" s="16" t="n"/>
    </row>
    <row r="4099">
      <c r="A4099" s="16" t="inlineStr">
        <is>
          <t>KF-M09-R3-x_b+P_alta+eficiencias+T_fuente-0015</t>
        </is>
      </c>
      <c r="B4099" s="16" t="inlineStr">
        <is>
          <t>4.3</t>
        </is>
      </c>
      <c r="C4099" s="16" t="inlineStr">
        <is>
          <t>4.3 x_b+P_alta+eficiencias+T_fuente</t>
        </is>
      </c>
      <c r="D4099" s="16" t="inlineStr">
        <is>
          <t>ronda 3</t>
        </is>
      </c>
      <c r="E4099" s="16" t="inlineStr">
        <is>
          <t>KF-M09</t>
        </is>
      </c>
      <c r="F4099" s="16" t="inlineStr">
        <is>
          <t>KF-M09-R3-x_b+P_alta+eficiencias+T_fuente</t>
        </is>
      </c>
      <c r="G4099" s="16" t="inlineStr">
        <is>
          <t>B13-x_b+P_alta+eficiencias+T_fuente</t>
        </is>
      </c>
      <c r="H4099" s="16" t="inlineStr">
        <is>
          <t>lhs</t>
        </is>
      </c>
      <c r="I4099" s="16" t="inlineStr">
        <is>
          <t>NO_CONVERGIO</t>
        </is>
      </c>
      <c r="J4099" s="16" t="inlineStr">
        <is>
          <t>NO_CONVERGIO</t>
        </is>
      </c>
      <c r="K4099" s="16" t="b">
        <v>0</v>
      </c>
      <c r="L4099" s="16" t="b">
        <v>0</v>
      </c>
      <c r="M4099" s="16" t="b">
        <v>0</v>
      </c>
      <c r="N4099" s="16" t="b">
        <v>0</v>
      </c>
      <c r="O4099" s="16" t="n">
        <v>623.15</v>
      </c>
      <c r="P4099" s="16" t="n">
        <v>289.9606126515912</v>
      </c>
      <c r="Q4099" s="16" t="n">
        <v>3000</v>
      </c>
      <c r="R4099" s="16" t="n">
        <v>1121.734540222721</v>
      </c>
      <c r="S4099" s="16" t="n">
        <v>0.5</v>
      </c>
      <c r="T4099" s="16" t="n">
        <v>0.85</v>
      </c>
      <c r="U4099" s="16" t="n">
        <v>0.75</v>
      </c>
      <c r="V4099" s="16" t="n">
        <v>0.85</v>
      </c>
      <c r="W4099" s="16" t="n">
        <v>0.75</v>
      </c>
      <c r="X4099" s="16" t="n">
        <v>0.8</v>
      </c>
      <c r="Y4099" s="16" t="n">
        <v>289.9606126515912</v>
      </c>
      <c r="Z4099" s="16" t="n"/>
      <c r="AA4099" s="16" t="n"/>
      <c r="AB4099" s="16" t="n">
        <v>1878.265459777279</v>
      </c>
      <c r="AC4099" s="16" t="n">
        <v>2.674429548549292</v>
      </c>
      <c r="AD4099" s="16" t="n"/>
      <c r="AE4099" s="16" t="n"/>
    </row>
    <row r="4100">
      <c r="A4100" s="16" t="inlineStr">
        <is>
          <t>KF-M09-R3-x_b+P_alta+eficiencias+T_fuente-0016</t>
        </is>
      </c>
      <c r="B4100" s="16" t="inlineStr">
        <is>
          <t>4.3</t>
        </is>
      </c>
      <c r="C4100" s="16" t="inlineStr">
        <is>
          <t>4.3 x_b+P_alta+eficiencias+T_fuente</t>
        </is>
      </c>
      <c r="D4100" s="16" t="inlineStr">
        <is>
          <t>ronda 3</t>
        </is>
      </c>
      <c r="E4100" s="16" t="inlineStr">
        <is>
          <t>KF-M09</t>
        </is>
      </c>
      <c r="F4100" s="16" t="inlineStr">
        <is>
          <t>KF-M09-R3-x_b+P_alta+eficiencias+T_fuente</t>
        </is>
      </c>
      <c r="G4100" s="16" t="inlineStr">
        <is>
          <t>B13-x_b+P_alta+eficiencias+T_fuente</t>
        </is>
      </c>
      <c r="H4100" s="16" t="inlineStr">
        <is>
          <t>lhs</t>
        </is>
      </c>
      <c r="I4100" s="16" t="inlineStr">
        <is>
          <t>NO_CONVERGIO</t>
        </is>
      </c>
      <c r="J4100" s="16" t="inlineStr">
        <is>
          <t>NO_CONVERGIO</t>
        </is>
      </c>
      <c r="K4100" s="16" t="b">
        <v>0</v>
      </c>
      <c r="L4100" s="16" t="b">
        <v>0</v>
      </c>
      <c r="M4100" s="16" t="b">
        <v>0</v>
      </c>
      <c r="N4100" s="16" t="b">
        <v>0</v>
      </c>
      <c r="O4100" s="16" t="n">
        <v>623.15</v>
      </c>
      <c r="P4100" s="16" t="n">
        <v>294.748356667051</v>
      </c>
      <c r="Q4100" s="16" t="n">
        <v>3000</v>
      </c>
      <c r="R4100" s="16" t="n">
        <v>817.9299159657726</v>
      </c>
      <c r="S4100" s="16" t="n">
        <v>0.5</v>
      </c>
      <c r="T4100" s="16" t="n">
        <v>0.85</v>
      </c>
      <c r="U4100" s="16" t="n">
        <v>0.75</v>
      </c>
      <c r="V4100" s="16" t="n">
        <v>0.85</v>
      </c>
      <c r="W4100" s="16" t="n">
        <v>0.75</v>
      </c>
      <c r="X4100" s="16" t="n">
        <v>0.8</v>
      </c>
      <c r="Y4100" s="16" t="n">
        <v>294.748356667051</v>
      </c>
      <c r="Z4100" s="16" t="n"/>
      <c r="AA4100" s="16" t="n"/>
      <c r="AB4100" s="16" t="n">
        <v>2182.070084034227</v>
      </c>
      <c r="AC4100" s="16" t="n">
        <v>3.667795909454838</v>
      </c>
      <c r="AD4100" s="16" t="n"/>
      <c r="AE4100" s="16" t="n"/>
    </row>
    <row r="4101">
      <c r="A4101" s="16" t="inlineStr">
        <is>
          <t>KF-M09-R3-x_b+P_alta+eficiencias+T_fuente-0017</t>
        </is>
      </c>
      <c r="B4101" s="16" t="inlineStr">
        <is>
          <t>4.3</t>
        </is>
      </c>
      <c r="C4101" s="16" t="inlineStr">
        <is>
          <t>4.3 x_b+P_alta+eficiencias+T_fuente</t>
        </is>
      </c>
      <c r="D4101" s="16" t="inlineStr">
        <is>
          <t>ronda 3</t>
        </is>
      </c>
      <c r="E4101" s="16" t="inlineStr">
        <is>
          <t>KF-M09</t>
        </is>
      </c>
      <c r="F4101" s="16" t="inlineStr">
        <is>
          <t>KF-M09-R3-x_b+P_alta+eficiencias+T_fuente</t>
        </is>
      </c>
      <c r="G4101" s="16" t="inlineStr">
        <is>
          <t>B13-x_b+P_alta+eficiencias+T_fuente</t>
        </is>
      </c>
      <c r="H4101" s="16" t="inlineStr">
        <is>
          <t>lhs</t>
        </is>
      </c>
      <c r="I4101" s="16" t="inlineStr">
        <is>
          <t>NO_CONVERGIO</t>
        </is>
      </c>
      <c r="J4101" s="16" t="inlineStr">
        <is>
          <t>NO_CONVERGIO</t>
        </is>
      </c>
      <c r="K4101" s="16" t="b">
        <v>0</v>
      </c>
      <c r="L4101" s="16" t="b">
        <v>0</v>
      </c>
      <c r="M4101" s="16" t="b">
        <v>0</v>
      </c>
      <c r="N4101" s="16" t="b">
        <v>0</v>
      </c>
      <c r="O4101" s="16" t="n">
        <v>623.15</v>
      </c>
      <c r="P4101" s="16" t="n">
        <v>287.1266311235565</v>
      </c>
      <c r="Q4101" s="16" t="n">
        <v>3000</v>
      </c>
      <c r="R4101" s="16" t="n">
        <v>581.4118766609024</v>
      </c>
      <c r="S4101" s="16" t="n">
        <v>0.5</v>
      </c>
      <c r="T4101" s="16" t="n">
        <v>0.85</v>
      </c>
      <c r="U4101" s="16" t="n">
        <v>0.75</v>
      </c>
      <c r="V4101" s="16" t="n">
        <v>0.85</v>
      </c>
      <c r="W4101" s="16" t="n">
        <v>0.75</v>
      </c>
      <c r="X4101" s="16" t="n">
        <v>0.8</v>
      </c>
      <c r="Y4101" s="16" t="n">
        <v>287.1266311235565</v>
      </c>
      <c r="Z4101" s="16" t="n"/>
      <c r="AA4101" s="16" t="n"/>
      <c r="AB4101" s="16" t="n">
        <v>2418.588123339097</v>
      </c>
      <c r="AC4101" s="16" t="n">
        <v>5.159853316429058</v>
      </c>
      <c r="AD4101" s="16" t="n"/>
      <c r="AE4101" s="16" t="n"/>
    </row>
    <row r="4102">
      <c r="A4102" s="16" t="inlineStr">
        <is>
          <t>KF-M09-R3-x_b+P_alta+eficiencias+T_fuente-0018</t>
        </is>
      </c>
      <c r="B4102" s="16" t="inlineStr">
        <is>
          <t>4.3</t>
        </is>
      </c>
      <c r="C4102" s="16" t="inlineStr">
        <is>
          <t>4.3 x_b+P_alta+eficiencias+T_fuente</t>
        </is>
      </c>
      <c r="D4102" s="16" t="inlineStr">
        <is>
          <t>ronda 3</t>
        </is>
      </c>
      <c r="E4102" s="16" t="inlineStr">
        <is>
          <t>KF-M09</t>
        </is>
      </c>
      <c r="F4102" s="16" t="inlineStr">
        <is>
          <t>KF-M09-R3-x_b+P_alta+eficiencias+T_fuente</t>
        </is>
      </c>
      <c r="G4102" s="16" t="inlineStr">
        <is>
          <t>B13-x_b+P_alta+eficiencias+T_fuente</t>
        </is>
      </c>
      <c r="H4102" s="16" t="inlineStr">
        <is>
          <t>lhs</t>
        </is>
      </c>
      <c r="I4102" s="16" t="inlineStr">
        <is>
          <t>NO_CONVERGIO</t>
        </is>
      </c>
      <c r="J4102" s="16" t="inlineStr">
        <is>
          <t>NO_CONVERGIO</t>
        </is>
      </c>
      <c r="K4102" s="16" t="b">
        <v>0</v>
      </c>
      <c r="L4102" s="16" t="b">
        <v>0</v>
      </c>
      <c r="M4102" s="16" t="b">
        <v>0</v>
      </c>
      <c r="N4102" s="16" t="b">
        <v>0</v>
      </c>
      <c r="O4102" s="16" t="n">
        <v>623.15</v>
      </c>
      <c r="P4102" s="16" t="n">
        <v>284.8223796972962</v>
      </c>
      <c r="Q4102" s="16" t="n">
        <v>3000</v>
      </c>
      <c r="R4102" s="16" t="n">
        <v>1352.135459859742</v>
      </c>
      <c r="S4102" s="16" t="n">
        <v>0.5</v>
      </c>
      <c r="T4102" s="16" t="n">
        <v>0.85</v>
      </c>
      <c r="U4102" s="16" t="n">
        <v>0.75</v>
      </c>
      <c r="V4102" s="16" t="n">
        <v>0.85</v>
      </c>
      <c r="W4102" s="16" t="n">
        <v>0.75</v>
      </c>
      <c r="X4102" s="16" t="n">
        <v>0.8</v>
      </c>
      <c r="Y4102" s="16" t="n">
        <v>284.8223796972962</v>
      </c>
      <c r="Z4102" s="16" t="n"/>
      <c r="AA4102" s="16" t="n"/>
      <c r="AB4102" s="16" t="n">
        <v>1647.864540140258</v>
      </c>
      <c r="AC4102" s="16" t="n">
        <v>2.218712613535919</v>
      </c>
      <c r="AD4102" s="16" t="n"/>
      <c r="AE4102" s="16" t="n"/>
    </row>
    <row r="4103">
      <c r="A4103" s="16" t="inlineStr">
        <is>
          <t>KF-M09-R3-x_b+P_alta+eficiencias+T_fuente-0019</t>
        </is>
      </c>
      <c r="B4103" s="16" t="inlineStr">
        <is>
          <t>4.3</t>
        </is>
      </c>
      <c r="C4103" s="16" t="inlineStr">
        <is>
          <t>4.3 x_b+P_alta+eficiencias+T_fuente</t>
        </is>
      </c>
      <c r="D4103" s="16" t="inlineStr">
        <is>
          <t>ronda 3</t>
        </is>
      </c>
      <c r="E4103" s="16" t="inlineStr">
        <is>
          <t>KF-M09</t>
        </is>
      </c>
      <c r="F4103" s="16" t="inlineStr">
        <is>
          <t>KF-M09-R3-x_b+P_alta+eficiencias+T_fuente</t>
        </is>
      </c>
      <c r="G4103" s="16" t="inlineStr">
        <is>
          <t>B13-x_b+P_alta+eficiencias+T_fuente</t>
        </is>
      </c>
      <c r="H4103" s="16" t="inlineStr">
        <is>
          <t>lhs</t>
        </is>
      </c>
      <c r="I4103" s="16" t="inlineStr">
        <is>
          <t>NO_CONVERGIO</t>
        </is>
      </c>
      <c r="J4103" s="16" t="inlineStr">
        <is>
          <t>NO_CONVERGIO</t>
        </is>
      </c>
      <c r="K4103" s="16" t="b">
        <v>0</v>
      </c>
      <c r="L4103" s="16" t="b">
        <v>0</v>
      </c>
      <c r="M4103" s="16" t="b">
        <v>0</v>
      </c>
      <c r="N4103" s="16" t="b">
        <v>0</v>
      </c>
      <c r="O4103" s="16" t="n">
        <v>623.15</v>
      </c>
      <c r="P4103" s="16" t="n">
        <v>292.8807866302279</v>
      </c>
      <c r="Q4103" s="16" t="n">
        <v>3000</v>
      </c>
      <c r="R4103" s="16" t="n">
        <v>609.2330799830634</v>
      </c>
      <c r="S4103" s="16" t="n">
        <v>0.5</v>
      </c>
      <c r="T4103" s="16" t="n">
        <v>0.85</v>
      </c>
      <c r="U4103" s="16" t="n">
        <v>0.75</v>
      </c>
      <c r="V4103" s="16" t="n">
        <v>0.85</v>
      </c>
      <c r="W4103" s="16" t="n">
        <v>0.75</v>
      </c>
      <c r="X4103" s="16" t="n">
        <v>0.8</v>
      </c>
      <c r="Y4103" s="16" t="n">
        <v>292.8807866302279</v>
      </c>
      <c r="Z4103" s="16" t="n"/>
      <c r="AA4103" s="16" t="n"/>
      <c r="AB4103" s="16" t="n">
        <v>2390.766920016937</v>
      </c>
      <c r="AC4103" s="16" t="n">
        <v>4.924223747146822</v>
      </c>
      <c r="AD4103" s="16" t="n"/>
      <c r="AE4103" s="16" t="n"/>
    </row>
    <row r="4104">
      <c r="A4104" s="16" t="inlineStr">
        <is>
          <t>KF-M09-R3-x_b+P_alta+eficiencias+T_fuente-0020</t>
        </is>
      </c>
      <c r="B4104" s="16" t="inlineStr">
        <is>
          <t>4.3</t>
        </is>
      </c>
      <c r="C4104" s="16" t="inlineStr">
        <is>
          <t>4.3 x_b+P_alta+eficiencias+T_fuente</t>
        </is>
      </c>
      <c r="D4104" s="16" t="inlineStr">
        <is>
          <t>ronda 3</t>
        </is>
      </c>
      <c r="E4104" s="16" t="inlineStr">
        <is>
          <t>KF-M09</t>
        </is>
      </c>
      <c r="F4104" s="16" t="inlineStr">
        <is>
          <t>KF-M09-R3-x_b+P_alta+eficiencias+T_fuente</t>
        </is>
      </c>
      <c r="G4104" s="16" t="inlineStr">
        <is>
          <t>B13-x_b+P_alta+eficiencias+T_fuente</t>
        </is>
      </c>
      <c r="H4104" s="16" t="inlineStr">
        <is>
          <t>lhs</t>
        </is>
      </c>
      <c r="I4104" s="16" t="inlineStr">
        <is>
          <t>NO_CONVERGIO</t>
        </is>
      </c>
      <c r="J4104" s="16" t="inlineStr">
        <is>
          <t>NO_CONVERGIO</t>
        </is>
      </c>
      <c r="K4104" s="16" t="b">
        <v>0</v>
      </c>
      <c r="L4104" s="16" t="b">
        <v>0</v>
      </c>
      <c r="M4104" s="16" t="b">
        <v>0</v>
      </c>
      <c r="N4104" s="16" t="b">
        <v>0</v>
      </c>
      <c r="O4104" s="16" t="n">
        <v>623.15</v>
      </c>
      <c r="P4104" s="16" t="n">
        <v>283.5625501497726</v>
      </c>
      <c r="Q4104" s="16" t="n">
        <v>3000</v>
      </c>
      <c r="R4104" s="16" t="n">
        <v>697.4867600196417</v>
      </c>
      <c r="S4104" s="16" t="n">
        <v>0.5</v>
      </c>
      <c r="T4104" s="16" t="n">
        <v>0.85</v>
      </c>
      <c r="U4104" s="16" t="n">
        <v>0.75</v>
      </c>
      <c r="V4104" s="16" t="n">
        <v>0.85</v>
      </c>
      <c r="W4104" s="16" t="n">
        <v>0.75</v>
      </c>
      <c r="X4104" s="16" t="n">
        <v>0.8</v>
      </c>
      <c r="Y4104" s="16" t="n">
        <v>283.5625501497726</v>
      </c>
      <c r="Z4104" s="16" t="n"/>
      <c r="AA4104" s="16" t="n"/>
      <c r="AB4104" s="16" t="n">
        <v>2302.513239980358</v>
      </c>
      <c r="AC4104" s="16" t="n">
        <v>4.301156913595777</v>
      </c>
      <c r="AD4104" s="16" t="n"/>
      <c r="AE4104" s="16" t="n"/>
    </row>
    <row r="4105">
      <c r="A4105" s="16" t="inlineStr">
        <is>
          <t>KF-M09-R3-x_b+P_alta+eficiencias+T_fuente-0021</t>
        </is>
      </c>
      <c r="B4105" s="16" t="inlineStr">
        <is>
          <t>4.3</t>
        </is>
      </c>
      <c r="C4105" s="16" t="inlineStr">
        <is>
          <t>4.3 x_b+P_alta+eficiencias+T_fuente</t>
        </is>
      </c>
      <c r="D4105" s="16" t="inlineStr">
        <is>
          <t>ronda 3</t>
        </is>
      </c>
      <c r="E4105" s="16" t="inlineStr">
        <is>
          <t>KF-M09</t>
        </is>
      </c>
      <c r="F4105" s="16" t="inlineStr">
        <is>
          <t>KF-M09-R3-x_b+P_alta+eficiencias+T_fuente</t>
        </is>
      </c>
      <c r="G4105" s="16" t="inlineStr">
        <is>
          <t>B13-x_b+P_alta+eficiencias+T_fuente</t>
        </is>
      </c>
      <c r="H4105" s="16" t="inlineStr">
        <is>
          <t>lhs</t>
        </is>
      </c>
      <c r="I4105" s="16" t="inlineStr">
        <is>
          <t>NO_CONVERGIO</t>
        </is>
      </c>
      <c r="J4105" s="16" t="inlineStr">
        <is>
          <t>NO_CONVERGIO</t>
        </is>
      </c>
      <c r="K4105" s="16" t="b">
        <v>0</v>
      </c>
      <c r="L4105" s="16" t="b">
        <v>0</v>
      </c>
      <c r="M4105" s="16" t="b">
        <v>0</v>
      </c>
      <c r="N4105" s="16" t="b">
        <v>0</v>
      </c>
      <c r="O4105" s="16" t="n">
        <v>623.15</v>
      </c>
      <c r="P4105" s="16" t="n">
        <v>290.3434747147342</v>
      </c>
      <c r="Q4105" s="16" t="n">
        <v>3000</v>
      </c>
      <c r="R4105" s="16" t="n">
        <v>517.9647659474248</v>
      </c>
      <c r="S4105" s="16" t="n">
        <v>0.5</v>
      </c>
      <c r="T4105" s="16" t="n">
        <v>0.85</v>
      </c>
      <c r="U4105" s="16" t="n">
        <v>0.75</v>
      </c>
      <c r="V4105" s="16" t="n">
        <v>0.85</v>
      </c>
      <c r="W4105" s="16" t="n">
        <v>0.75</v>
      </c>
      <c r="X4105" s="16" t="n">
        <v>0.8</v>
      </c>
      <c r="Y4105" s="16" t="n">
        <v>290.3434747147342</v>
      </c>
      <c r="Z4105" s="16" t="n"/>
      <c r="AA4105" s="16" t="n"/>
      <c r="AB4105" s="16" t="n">
        <v>2482.035234052575</v>
      </c>
      <c r="AC4105" s="16" t="n">
        <v>5.791899753089596</v>
      </c>
      <c r="AD4105" s="16" t="n"/>
      <c r="AE4105" s="16" t="n"/>
    </row>
    <row r="4106">
      <c r="A4106" s="16" t="inlineStr">
        <is>
          <t>KF-M09-R3-x_b+P_alta+eficiencias+T_fuente-0022</t>
        </is>
      </c>
      <c r="B4106" s="16" t="inlineStr">
        <is>
          <t>4.3</t>
        </is>
      </c>
      <c r="C4106" s="16" t="inlineStr">
        <is>
          <t>4.3 x_b+P_alta+eficiencias+T_fuente</t>
        </is>
      </c>
      <c r="D4106" s="16" t="inlineStr">
        <is>
          <t>ronda 3</t>
        </is>
      </c>
      <c r="E4106" s="16" t="inlineStr">
        <is>
          <t>KF-M09</t>
        </is>
      </c>
      <c r="F4106" s="16" t="inlineStr">
        <is>
          <t>KF-M09-R3-x_b+P_alta+eficiencias+T_fuente</t>
        </is>
      </c>
      <c r="G4106" s="16" t="inlineStr">
        <is>
          <t>B13-x_b+P_alta+eficiencias+T_fuente</t>
        </is>
      </c>
      <c r="H4106" s="16" t="inlineStr">
        <is>
          <t>lhs</t>
        </is>
      </c>
      <c r="I4106" s="16" t="inlineStr">
        <is>
          <t>NO_CONVERGIO</t>
        </is>
      </c>
      <c r="J4106" s="16" t="inlineStr">
        <is>
          <t>NO_CONVERGIO</t>
        </is>
      </c>
      <c r="K4106" s="16" t="b">
        <v>0</v>
      </c>
      <c r="L4106" s="16" t="b">
        <v>0</v>
      </c>
      <c r="M4106" s="16" t="b">
        <v>0</v>
      </c>
      <c r="N4106" s="16" t="b">
        <v>0</v>
      </c>
      <c r="O4106" s="16" t="n">
        <v>623.15</v>
      </c>
      <c r="P4106" s="16" t="n">
        <v>297.5649672006087</v>
      </c>
      <c r="Q4106" s="16" t="n">
        <v>3000</v>
      </c>
      <c r="R4106" s="16" t="n">
        <v>879.4684061067735</v>
      </c>
      <c r="S4106" s="16" t="n">
        <v>0.5</v>
      </c>
      <c r="T4106" s="16" t="n">
        <v>0.85</v>
      </c>
      <c r="U4106" s="16" t="n">
        <v>0.75</v>
      </c>
      <c r="V4106" s="16" t="n">
        <v>0.85</v>
      </c>
      <c r="W4106" s="16" t="n">
        <v>0.75</v>
      </c>
      <c r="X4106" s="16" t="n">
        <v>0.8</v>
      </c>
      <c r="Y4106" s="16" t="n">
        <v>297.5649672006087</v>
      </c>
      <c r="Z4106" s="16" t="n"/>
      <c r="AA4106" s="16" t="n"/>
      <c r="AB4106" s="16" t="n">
        <v>2120.531593893226</v>
      </c>
      <c r="AC4106" s="16" t="n">
        <v>3.411151531048609</v>
      </c>
      <c r="AD4106" s="16" t="n"/>
      <c r="AE4106" s="16" t="n"/>
    </row>
    <row r="4107">
      <c r="A4107" s="16" t="inlineStr">
        <is>
          <t>KF-M09-R3-x_b+P_alta+eficiencias+T_fuente-0023</t>
        </is>
      </c>
      <c r="B4107" s="16" t="inlineStr">
        <is>
          <t>4.3</t>
        </is>
      </c>
      <c r="C4107" s="16" t="inlineStr">
        <is>
          <t>4.3 x_b+P_alta+eficiencias+T_fuente</t>
        </is>
      </c>
      <c r="D4107" s="16" t="inlineStr">
        <is>
          <t>ronda 3</t>
        </is>
      </c>
      <c r="E4107" s="16" t="inlineStr">
        <is>
          <t>KF-M09</t>
        </is>
      </c>
      <c r="F4107" s="16" t="inlineStr">
        <is>
          <t>KF-M09-R3-x_b+P_alta+eficiencias+T_fuente</t>
        </is>
      </c>
      <c r="G4107" s="16" t="inlineStr">
        <is>
          <t>B13-x_b+P_alta+eficiencias+T_fuente</t>
        </is>
      </c>
      <c r="H4107" s="16" t="inlineStr">
        <is>
          <t>lhs</t>
        </is>
      </c>
      <c r="I4107" s="16" t="inlineStr">
        <is>
          <t>NO_CONVERGIO</t>
        </is>
      </c>
      <c r="J4107" s="16" t="inlineStr">
        <is>
          <t>NO_CONVERGIO</t>
        </is>
      </c>
      <c r="K4107" s="16" t="b">
        <v>0</v>
      </c>
      <c r="L4107" s="16" t="b">
        <v>0</v>
      </c>
      <c r="M4107" s="16" t="b">
        <v>0</v>
      </c>
      <c r="N4107" s="16" t="b">
        <v>0</v>
      </c>
      <c r="O4107" s="16" t="n">
        <v>623.15</v>
      </c>
      <c r="P4107" s="16" t="n">
        <v>280.628099726345</v>
      </c>
      <c r="Q4107" s="16" t="n">
        <v>3000</v>
      </c>
      <c r="R4107" s="16" t="n">
        <v>1159.515589126964</v>
      </c>
      <c r="S4107" s="16" t="n">
        <v>0.5</v>
      </c>
      <c r="T4107" s="16" t="n">
        <v>0.85</v>
      </c>
      <c r="U4107" s="16" t="n">
        <v>0.75</v>
      </c>
      <c r="V4107" s="16" t="n">
        <v>0.85</v>
      </c>
      <c r="W4107" s="16" t="n">
        <v>0.75</v>
      </c>
      <c r="X4107" s="16" t="n">
        <v>0.8</v>
      </c>
      <c r="Y4107" s="16" t="n">
        <v>280.628099726345</v>
      </c>
      <c r="Z4107" s="16" t="n"/>
      <c r="AA4107" s="16" t="n"/>
      <c r="AB4107" s="16" t="n">
        <v>1840.484410873036</v>
      </c>
      <c r="AC4107" s="16" t="n">
        <v>2.587287336308084</v>
      </c>
      <c r="AD4107" s="16" t="n"/>
      <c r="AE4107" s="16" t="n"/>
    </row>
    <row r="4108">
      <c r="A4108" s="16" t="inlineStr">
        <is>
          <t>KF-M09-R3-x_b+P_alta+eficiencias+T_fuente-0024</t>
        </is>
      </c>
      <c r="B4108" s="16" t="inlineStr">
        <is>
          <t>4.3</t>
        </is>
      </c>
      <c r="C4108" s="16" t="inlineStr">
        <is>
          <t>4.3 x_b+P_alta+eficiencias+T_fuente</t>
        </is>
      </c>
      <c r="D4108" s="16" t="inlineStr">
        <is>
          <t>ronda 3</t>
        </is>
      </c>
      <c r="E4108" s="16" t="inlineStr">
        <is>
          <t>KF-M09</t>
        </is>
      </c>
      <c r="F4108" s="16" t="inlineStr">
        <is>
          <t>KF-M09-R3-x_b+P_alta+eficiencias+T_fuente</t>
        </is>
      </c>
      <c r="G4108" s="16" t="inlineStr">
        <is>
          <t>B13-x_b+P_alta+eficiencias+T_fuente</t>
        </is>
      </c>
      <c r="H4108" s="16" t="inlineStr">
        <is>
          <t>lhs</t>
        </is>
      </c>
      <c r="I4108" s="16" t="inlineStr">
        <is>
          <t>NO_CONVERGIO</t>
        </is>
      </c>
      <c r="J4108" s="16" t="inlineStr">
        <is>
          <t>NO_CONVERGIO</t>
        </is>
      </c>
      <c r="K4108" s="16" t="b">
        <v>0</v>
      </c>
      <c r="L4108" s="16" t="b">
        <v>0</v>
      </c>
      <c r="M4108" s="16" t="b">
        <v>0</v>
      </c>
      <c r="N4108" s="16" t="b">
        <v>0</v>
      </c>
      <c r="O4108" s="16" t="n">
        <v>623.15</v>
      </c>
      <c r="P4108" s="16" t="n">
        <v>282.932586758356</v>
      </c>
      <c r="Q4108" s="16" t="n">
        <v>3000</v>
      </c>
      <c r="R4108" s="16" t="n">
        <v>786.8542252963603</v>
      </c>
      <c r="S4108" s="16" t="n">
        <v>0.5</v>
      </c>
      <c r="T4108" s="16" t="n">
        <v>0.85</v>
      </c>
      <c r="U4108" s="16" t="n">
        <v>0.75</v>
      </c>
      <c r="V4108" s="16" t="n">
        <v>0.85</v>
      </c>
      <c r="W4108" s="16" t="n">
        <v>0.75</v>
      </c>
      <c r="X4108" s="16" t="n">
        <v>0.8</v>
      </c>
      <c r="Y4108" s="16" t="n">
        <v>282.932586758356</v>
      </c>
      <c r="Z4108" s="16" t="n"/>
      <c r="AA4108" s="16" t="n"/>
      <c r="AB4108" s="16" t="n">
        <v>2213.14577470364</v>
      </c>
      <c r="AC4108" s="16" t="n">
        <v>3.812650302373457</v>
      </c>
      <c r="AD4108" s="16" t="n"/>
      <c r="AE4108" s="16" t="n"/>
    </row>
    <row r="4109">
      <c r="A4109" s="16" t="inlineStr">
        <is>
          <t>KF-M09-R3-x_b+P_alta+eficiencias+T_fuente-0025</t>
        </is>
      </c>
      <c r="B4109" s="16" t="inlineStr">
        <is>
          <t>4.3</t>
        </is>
      </c>
      <c r="C4109" s="16" t="inlineStr">
        <is>
          <t>4.3 x_b+P_alta+eficiencias+T_fuente</t>
        </is>
      </c>
      <c r="D4109" s="16" t="inlineStr">
        <is>
          <t>ronda 3</t>
        </is>
      </c>
      <c r="E4109" s="16" t="inlineStr">
        <is>
          <t>KF-M09</t>
        </is>
      </c>
      <c r="F4109" s="16" t="inlineStr">
        <is>
          <t>KF-M09-R3-x_b+P_alta+eficiencias+T_fuente</t>
        </is>
      </c>
      <c r="G4109" s="16" t="inlineStr">
        <is>
          <t>B13-x_b+P_alta+eficiencias+T_fuente</t>
        </is>
      </c>
      <c r="H4109" s="16" t="inlineStr">
        <is>
          <t>lhs</t>
        </is>
      </c>
      <c r="I4109" s="16" t="inlineStr">
        <is>
          <t>NO_CONVERGIO</t>
        </is>
      </c>
      <c r="J4109" s="16" t="inlineStr">
        <is>
          <t>NO_CONVERGIO</t>
        </is>
      </c>
      <c r="K4109" s="16" t="b">
        <v>0</v>
      </c>
      <c r="L4109" s="16" t="b">
        <v>0</v>
      </c>
      <c r="M4109" s="16" t="b">
        <v>0</v>
      </c>
      <c r="N4109" s="16" t="b">
        <v>0</v>
      </c>
      <c r="O4109" s="16" t="n">
        <v>623.15</v>
      </c>
      <c r="P4109" s="16" t="n">
        <v>293.8549438985649</v>
      </c>
      <c r="Q4109" s="16" t="n">
        <v>3000</v>
      </c>
      <c r="R4109" s="16" t="n">
        <v>998.0320214887304</v>
      </c>
      <c r="S4109" s="16" t="n">
        <v>0.5</v>
      </c>
      <c r="T4109" s="16" t="n">
        <v>0.85</v>
      </c>
      <c r="U4109" s="16" t="n">
        <v>0.75</v>
      </c>
      <c r="V4109" s="16" t="n">
        <v>0.85</v>
      </c>
      <c r="W4109" s="16" t="n">
        <v>0.75</v>
      </c>
      <c r="X4109" s="16" t="n">
        <v>0.8</v>
      </c>
      <c r="Y4109" s="16" t="n">
        <v>293.8549438985649</v>
      </c>
      <c r="Z4109" s="16" t="n"/>
      <c r="AA4109" s="16" t="n"/>
      <c r="AB4109" s="16" t="n">
        <v>2001.96797851127</v>
      </c>
      <c r="AC4109" s="16" t="n">
        <v>3.005915577262744</v>
      </c>
      <c r="AD4109" s="16" t="n"/>
      <c r="AE4109" s="16" t="n"/>
    </row>
    <row r="4110">
      <c r="A4110" s="16" t="inlineStr">
        <is>
          <t>KF-M09-R3-x_b+P_alta+eficiencias+T_fuente-0026</t>
        </is>
      </c>
      <c r="B4110" s="16" t="inlineStr">
        <is>
          <t>4.3</t>
        </is>
      </c>
      <c r="C4110" s="16" t="inlineStr">
        <is>
          <t>4.3 x_b+P_alta+eficiencias+T_fuente</t>
        </is>
      </c>
      <c r="D4110" s="16" t="inlineStr">
        <is>
          <t>ronda 3</t>
        </is>
      </c>
      <c r="E4110" s="16" t="inlineStr">
        <is>
          <t>KF-M09</t>
        </is>
      </c>
      <c r="F4110" s="16" t="inlineStr">
        <is>
          <t>KF-M09-R3-x_b+P_alta+eficiencias+T_fuente</t>
        </is>
      </c>
      <c r="G4110" s="16" t="inlineStr">
        <is>
          <t>B13-x_b+P_alta+eficiencias+T_fuente</t>
        </is>
      </c>
      <c r="H4110" s="16" t="inlineStr">
        <is>
          <t>lhs</t>
        </is>
      </c>
      <c r="I4110" s="16" t="inlineStr">
        <is>
          <t>NO_CONVERGIO</t>
        </is>
      </c>
      <c r="J4110" s="16" t="inlineStr">
        <is>
          <t>NO_CONVERGIO</t>
        </is>
      </c>
      <c r="K4110" s="16" t="b">
        <v>0</v>
      </c>
      <c r="L4110" s="16" t="b">
        <v>0</v>
      </c>
      <c r="M4110" s="16" t="b">
        <v>0</v>
      </c>
      <c r="N4110" s="16" t="b">
        <v>0</v>
      </c>
      <c r="O4110" s="16" t="n">
        <v>623.15</v>
      </c>
      <c r="P4110" s="16" t="n">
        <v>291.6825932982761</v>
      </c>
      <c r="Q4110" s="16" t="n">
        <v>3000</v>
      </c>
      <c r="R4110" s="16" t="n">
        <v>1523.574747288488</v>
      </c>
      <c r="S4110" s="16" t="n">
        <v>0.5</v>
      </c>
      <c r="T4110" s="16" t="n">
        <v>0.85</v>
      </c>
      <c r="U4110" s="16" t="n">
        <v>0.75</v>
      </c>
      <c r="V4110" s="16" t="n">
        <v>0.85</v>
      </c>
      <c r="W4110" s="16" t="n">
        <v>0.75</v>
      </c>
      <c r="X4110" s="16" t="n">
        <v>0.8</v>
      </c>
      <c r="Y4110" s="16" t="n">
        <v>291.6825932982761</v>
      </c>
      <c r="Z4110" s="16" t="n"/>
      <c r="AA4110" s="16" t="n"/>
      <c r="AB4110" s="16" t="n">
        <v>1476.425252711512</v>
      </c>
      <c r="AC4110" s="16" t="n">
        <v>1.969053376172789</v>
      </c>
      <c r="AD4110" s="16" t="n"/>
      <c r="AE4110" s="16" t="n"/>
    </row>
    <row r="4111">
      <c r="A4111" s="16" t="inlineStr">
        <is>
          <t>KF-M09-R3-x_b+P_alta+eficiencias+T_fuente-0027</t>
        </is>
      </c>
      <c r="B4111" s="16" t="inlineStr">
        <is>
          <t>4.3</t>
        </is>
      </c>
      <c r="C4111" s="16" t="inlineStr">
        <is>
          <t>4.3 x_b+P_alta+eficiencias+T_fuente</t>
        </is>
      </c>
      <c r="D4111" s="16" t="inlineStr">
        <is>
          <t>ronda 3</t>
        </is>
      </c>
      <c r="E4111" s="16" t="inlineStr">
        <is>
          <t>KF-M09</t>
        </is>
      </c>
      <c r="F4111" s="16" t="inlineStr">
        <is>
          <t>KF-M09-R3-x_b+P_alta+eficiencias+T_fuente</t>
        </is>
      </c>
      <c r="G4111" s="16" t="inlineStr">
        <is>
          <t>B13-x_b+P_alta+eficiencias+T_fuente</t>
        </is>
      </c>
      <c r="H4111" s="16" t="inlineStr">
        <is>
          <t>lhs</t>
        </is>
      </c>
      <c r="I4111" s="16" t="inlineStr">
        <is>
          <t>NO_CONVERGIO</t>
        </is>
      </c>
      <c r="J4111" s="16" t="inlineStr">
        <is>
          <t>NO_CONVERGIO</t>
        </is>
      </c>
      <c r="K4111" s="16" t="b">
        <v>0</v>
      </c>
      <c r="L4111" s="16" t="b">
        <v>0</v>
      </c>
      <c r="M4111" s="16" t="b">
        <v>0</v>
      </c>
      <c r="N4111" s="16" t="b">
        <v>0</v>
      </c>
      <c r="O4111" s="16" t="n">
        <v>623.15</v>
      </c>
      <c r="P4111" s="16" t="n">
        <v>301.2126603972955</v>
      </c>
      <c r="Q4111" s="16" t="n">
        <v>3000</v>
      </c>
      <c r="R4111" s="16" t="n">
        <v>959.0040039592956</v>
      </c>
      <c r="S4111" s="16" t="n">
        <v>0.5</v>
      </c>
      <c r="T4111" s="16" t="n">
        <v>0.85</v>
      </c>
      <c r="U4111" s="16" t="n">
        <v>0.75</v>
      </c>
      <c r="V4111" s="16" t="n">
        <v>0.85</v>
      </c>
      <c r="W4111" s="16" t="n">
        <v>0.75</v>
      </c>
      <c r="X4111" s="16" t="n">
        <v>0.8</v>
      </c>
      <c r="Y4111" s="16" t="n">
        <v>301.2126603972955</v>
      </c>
      <c r="Z4111" s="16" t="n"/>
      <c r="AA4111" s="16" t="n"/>
      <c r="AB4111" s="16" t="n">
        <v>2040.995996040704</v>
      </c>
      <c r="AC4111" s="16" t="n">
        <v>3.12824554184795</v>
      </c>
      <c r="AD4111" s="16" t="n"/>
      <c r="AE4111" s="16" t="n"/>
    </row>
    <row r="4112">
      <c r="A4112" s="16" t="inlineStr">
        <is>
          <t>KF-M09-R3-x_b+P_alta+eficiencias+T_fuente-0028</t>
        </is>
      </c>
      <c r="B4112" s="16" t="inlineStr">
        <is>
          <t>4.3</t>
        </is>
      </c>
      <c r="C4112" s="16" t="inlineStr">
        <is>
          <t>4.3 x_b+P_alta+eficiencias+T_fuente</t>
        </is>
      </c>
      <c r="D4112" s="16" t="inlineStr">
        <is>
          <t>ronda 3</t>
        </is>
      </c>
      <c r="E4112" s="16" t="inlineStr">
        <is>
          <t>KF-M09</t>
        </is>
      </c>
      <c r="F4112" s="16" t="inlineStr">
        <is>
          <t>KF-M09-R3-x_b+P_alta+eficiencias+T_fuente</t>
        </is>
      </c>
      <c r="G4112" s="16" t="inlineStr">
        <is>
          <t>B13-x_b+P_alta+eficiencias+T_fuente</t>
        </is>
      </c>
      <c r="H4112" s="16" t="inlineStr">
        <is>
          <t>lhs</t>
        </is>
      </c>
      <c r="I4112" s="16" t="inlineStr">
        <is>
          <t>NO_CONVERGIO</t>
        </is>
      </c>
      <c r="J4112" s="16" t="inlineStr">
        <is>
          <t>NO_CONVERGIO</t>
        </is>
      </c>
      <c r="K4112" s="16" t="b">
        <v>0</v>
      </c>
      <c r="L4112" s="16" t="b">
        <v>0</v>
      </c>
      <c r="M4112" s="16" t="b">
        <v>0</v>
      </c>
      <c r="N4112" s="16" t="b">
        <v>0</v>
      </c>
      <c r="O4112" s="16" t="n">
        <v>623.15</v>
      </c>
      <c r="P4112" s="16" t="n">
        <v>288.9627082320602</v>
      </c>
      <c r="Q4112" s="16" t="n">
        <v>3000</v>
      </c>
      <c r="R4112" s="16" t="n">
        <v>1948.291986368948</v>
      </c>
      <c r="S4112" s="16" t="n">
        <v>0.5</v>
      </c>
      <c r="T4112" s="16" t="n">
        <v>0.85</v>
      </c>
      <c r="U4112" s="16" t="n">
        <v>0.75</v>
      </c>
      <c r="V4112" s="16" t="n">
        <v>0.85</v>
      </c>
      <c r="W4112" s="16" t="n">
        <v>0.75</v>
      </c>
      <c r="X4112" s="16" t="n">
        <v>0.8</v>
      </c>
      <c r="Y4112" s="16" t="n">
        <v>288.9627082320602</v>
      </c>
      <c r="Z4112" s="16" t="n"/>
      <c r="AA4112" s="16" t="n"/>
      <c r="AB4112" s="16" t="n">
        <v>1051.708013631052</v>
      </c>
      <c r="AC4112" s="16" t="n">
        <v>1.539810265088207</v>
      </c>
      <c r="AD4112" s="16" t="n"/>
      <c r="AE4112" s="16" t="n"/>
    </row>
    <row r="4113">
      <c r="A4113" s="16" t="inlineStr">
        <is>
          <t>KF-M09-R3-x_b+P_alta+eficiencias+T_fuente-0029</t>
        </is>
      </c>
      <c r="B4113" s="16" t="inlineStr">
        <is>
          <t>4.3</t>
        </is>
      </c>
      <c r="C4113" s="16" t="inlineStr">
        <is>
          <t>4.3 x_b+P_alta+eficiencias+T_fuente</t>
        </is>
      </c>
      <c r="D4113" s="16" t="inlineStr">
        <is>
          <t>ronda 3</t>
        </is>
      </c>
      <c r="E4113" s="16" t="inlineStr">
        <is>
          <t>KF-M09</t>
        </is>
      </c>
      <c r="F4113" s="16" t="inlineStr">
        <is>
          <t>KF-M09-R3-x_b+P_alta+eficiencias+T_fuente</t>
        </is>
      </c>
      <c r="G4113" s="16" t="inlineStr">
        <is>
          <t>B13-x_b+P_alta+eficiencias+T_fuente</t>
        </is>
      </c>
      <c r="H4113" s="16" t="inlineStr">
        <is>
          <t>lhs</t>
        </is>
      </c>
      <c r="I4113" s="16" t="inlineStr">
        <is>
          <t>NO_CONVERGIO</t>
        </is>
      </c>
      <c r="J4113" s="16" t="inlineStr">
        <is>
          <t>NO_CONVERGIO</t>
        </is>
      </c>
      <c r="K4113" s="16" t="b">
        <v>0</v>
      </c>
      <c r="L4113" s="16" t="b">
        <v>0</v>
      </c>
      <c r="M4113" s="16" t="b">
        <v>0</v>
      </c>
      <c r="N4113" s="16" t="b">
        <v>0</v>
      </c>
      <c r="O4113" s="16" t="n">
        <v>623.15</v>
      </c>
      <c r="P4113" s="16" t="n">
        <v>291.8138899921617</v>
      </c>
      <c r="Q4113" s="16" t="n">
        <v>3000</v>
      </c>
      <c r="R4113" s="16" t="n">
        <v>376.8459051191394</v>
      </c>
      <c r="S4113" s="16" t="n">
        <v>0.5</v>
      </c>
      <c r="T4113" s="16" t="n">
        <v>0.85</v>
      </c>
      <c r="U4113" s="16" t="n">
        <v>0.75</v>
      </c>
      <c r="V4113" s="16" t="n">
        <v>0.85</v>
      </c>
      <c r="W4113" s="16" t="n">
        <v>0.75</v>
      </c>
      <c r="X4113" s="16" t="n">
        <v>0.8</v>
      </c>
      <c r="Y4113" s="16" t="n">
        <v>291.8138899921617</v>
      </c>
      <c r="Z4113" s="16" t="n"/>
      <c r="AA4113" s="16" t="n"/>
      <c r="AB4113" s="16" t="n">
        <v>2623.154094880861</v>
      </c>
      <c r="AC4113" s="16" t="n">
        <v>7.960813582547894</v>
      </c>
      <c r="AD4113" s="16" t="n"/>
      <c r="AE4113" s="16" t="n"/>
    </row>
    <row r="4114">
      <c r="A4114" s="16" t="inlineStr">
        <is>
          <t>KF-M09-R3-x_b+P_alta+eficiencias+P_baja-0000</t>
        </is>
      </c>
      <c r="B4114" s="16" t="inlineStr">
        <is>
          <t>4.3</t>
        </is>
      </c>
      <c r="C4114" s="16" t="inlineStr">
        <is>
          <t>4.3 x_b+P_alta+eficiencias+P_baja</t>
        </is>
      </c>
      <c r="D4114" s="16" t="inlineStr">
        <is>
          <t>ronda 3</t>
        </is>
      </c>
      <c r="E4114" s="16" t="inlineStr">
        <is>
          <t>KF-M09</t>
        </is>
      </c>
      <c r="F4114" s="16" t="inlineStr">
        <is>
          <t>KF-M09-R3-x_b+P_alta+eficiencias+P_baja</t>
        </is>
      </c>
      <c r="G4114" s="16" t="inlineStr">
        <is>
          <t>B13-x_b+P_alta+eficiencias+P_baja</t>
        </is>
      </c>
      <c r="H4114" s="16" t="inlineStr">
        <is>
          <t>lhs</t>
        </is>
      </c>
      <c r="I4114" s="16" t="inlineStr">
        <is>
          <t>N2</t>
        </is>
      </c>
      <c r="J4114" s="16" t="inlineStr">
        <is>
          <t>NO_CONVERGIO</t>
        </is>
      </c>
      <c r="K4114" s="16" t="b">
        <v>0</v>
      </c>
      <c r="L4114" s="16" t="b">
        <v>0</v>
      </c>
      <c r="M4114" s="16" t="b">
        <v>0</v>
      </c>
      <c r="N4114" s="16" t="b">
        <v>0</v>
      </c>
      <c r="O4114" s="16" t="n">
        <v>384.2404884390779</v>
      </c>
      <c r="P4114" s="16" t="n">
        <v>292.2971957934363</v>
      </c>
      <c r="Q4114" s="16" t="n">
        <v>3000</v>
      </c>
      <c r="R4114" s="16" t="n">
        <v>400</v>
      </c>
      <c r="S4114" s="16" t="n">
        <v>0.5</v>
      </c>
      <c r="T4114" s="16" t="n">
        <v>0.85</v>
      </c>
      <c r="U4114" s="16" t="n">
        <v>0.75</v>
      </c>
      <c r="V4114" s="16" t="n">
        <v>0.85</v>
      </c>
      <c r="W4114" s="16" t="n">
        <v>0.75</v>
      </c>
      <c r="X4114" s="16" t="n">
        <v>0.8</v>
      </c>
      <c r="Y4114" s="16" t="n">
        <v>292.2971957934363</v>
      </c>
      <c r="Z4114" s="16" t="n">
        <v>-20.00574693304024</v>
      </c>
      <c r="AA4114" s="16" t="n">
        <v>-16.97773611528668</v>
      </c>
      <c r="AB4114" s="16" t="n">
        <v>2600</v>
      </c>
      <c r="AC4114" s="16" t="n">
        <v>7.5</v>
      </c>
      <c r="AD4114" s="16" t="inlineStr">
        <is>
          <t>N2,O3,O5,C1,C3,C3</t>
        </is>
      </c>
      <c r="AE4114" s="16" t="n"/>
    </row>
    <row r="4115">
      <c r="A4115" s="16" t="inlineStr">
        <is>
          <t>KF-M09-R3-x_b+P_alta+eficiencias+P_baja-0001</t>
        </is>
      </c>
      <c r="B4115" s="16" t="inlineStr">
        <is>
          <t>4.3</t>
        </is>
      </c>
      <c r="C4115" s="16" t="inlineStr">
        <is>
          <t>4.3 x_b+P_alta+eficiencias+P_baja</t>
        </is>
      </c>
      <c r="D4115" s="16" t="inlineStr">
        <is>
          <t>ronda 3</t>
        </is>
      </c>
      <c r="E4115" s="16" t="inlineStr">
        <is>
          <t>KF-M09</t>
        </is>
      </c>
      <c r="F4115" s="16" t="inlineStr">
        <is>
          <t>KF-M09-R3-x_b+P_alta+eficiencias+P_baja</t>
        </is>
      </c>
      <c r="G4115" s="16" t="inlineStr">
        <is>
          <t>B13-x_b+P_alta+eficiencias+P_baja</t>
        </is>
      </c>
      <c r="H4115" s="16" t="inlineStr">
        <is>
          <t>lhs</t>
        </is>
      </c>
      <c r="I4115" s="16" t="inlineStr">
        <is>
          <t>CORREGIBLE</t>
        </is>
      </c>
      <c r="J4115" s="16" t="inlineStr">
        <is>
          <t>CORREGIBLE</t>
        </is>
      </c>
      <c r="K4115" s="16" t="b">
        <v>1</v>
      </c>
      <c r="L4115" s="16" t="b">
        <v>0</v>
      </c>
      <c r="M4115" s="16" t="b">
        <v>1</v>
      </c>
      <c r="N4115" s="16" t="b">
        <v>0</v>
      </c>
      <c r="O4115" s="16" t="n">
        <v>466.0049954401134</v>
      </c>
      <c r="P4115" s="16" t="n">
        <v>290.6463159357425</v>
      </c>
      <c r="Q4115" s="16" t="n">
        <v>3000</v>
      </c>
      <c r="R4115" s="16" t="n">
        <v>400</v>
      </c>
      <c r="S4115" s="16" t="n">
        <v>0.5</v>
      </c>
      <c r="T4115" s="16" t="n">
        <v>0.85</v>
      </c>
      <c r="U4115" s="16" t="n">
        <v>0.75</v>
      </c>
      <c r="V4115" s="16" t="n">
        <v>0.85</v>
      </c>
      <c r="W4115" s="16" t="n">
        <v>0.75</v>
      </c>
      <c r="X4115" s="16" t="n">
        <v>0.8</v>
      </c>
      <c r="Y4115" s="16" t="n">
        <v>290.6463159357425</v>
      </c>
      <c r="Z4115" s="16" t="n">
        <v>13.40668597630729</v>
      </c>
      <c r="AA4115" s="16" t="n">
        <v>189.019684969959</v>
      </c>
      <c r="AB4115" s="16" t="n">
        <v>2600</v>
      </c>
      <c r="AC4115" s="16" t="n">
        <v>7.5</v>
      </c>
      <c r="AD4115" s="16" t="inlineStr">
        <is>
          <t>O2</t>
        </is>
      </c>
      <c r="AE4115" s="16" t="n"/>
    </row>
    <row r="4116">
      <c r="A4116" s="16" t="inlineStr">
        <is>
          <t>KF-M09-R3-x_b+P_alta+eficiencias+P_baja-0002</t>
        </is>
      </c>
      <c r="B4116" s="16" t="inlineStr">
        <is>
          <t>4.3</t>
        </is>
      </c>
      <c r="C4116" s="16" t="inlineStr">
        <is>
          <t>4.3 x_b+P_alta+eficiencias+P_baja</t>
        </is>
      </c>
      <c r="D4116" s="16" t="inlineStr">
        <is>
          <t>ronda 3</t>
        </is>
      </c>
      <c r="E4116" s="16" t="inlineStr">
        <is>
          <t>KF-M09</t>
        </is>
      </c>
      <c r="F4116" s="16" t="inlineStr">
        <is>
          <t>KF-M09-R3-x_b+P_alta+eficiencias+P_baja</t>
        </is>
      </c>
      <c r="G4116" s="16" t="inlineStr">
        <is>
          <t>B13-x_b+P_alta+eficiencias+P_baja</t>
        </is>
      </c>
      <c r="H4116" s="16" t="inlineStr">
        <is>
          <t>lhs</t>
        </is>
      </c>
      <c r="I4116" s="16" t="inlineStr">
        <is>
          <t>CORREGIBLE</t>
        </is>
      </c>
      <c r="J4116" s="16" t="inlineStr">
        <is>
          <t>CORREGIBLE</t>
        </is>
      </c>
      <c r="K4116" s="16" t="b">
        <v>1</v>
      </c>
      <c r="L4116" s="16" t="b">
        <v>0</v>
      </c>
      <c r="M4116" s="16" t="b">
        <v>1</v>
      </c>
      <c r="N4116" s="16" t="b">
        <v>0</v>
      </c>
      <c r="O4116" s="16" t="n">
        <v>434.5856511999648</v>
      </c>
      <c r="P4116" s="16" t="n">
        <v>294.6509175460297</v>
      </c>
      <c r="Q4116" s="16" t="n">
        <v>3000</v>
      </c>
      <c r="R4116" s="16" t="n">
        <v>400</v>
      </c>
      <c r="S4116" s="16" t="n">
        <v>0.5</v>
      </c>
      <c r="T4116" s="16" t="n">
        <v>0.85</v>
      </c>
      <c r="U4116" s="16" t="n">
        <v>0.75</v>
      </c>
      <c r="V4116" s="16" t="n">
        <v>0.85</v>
      </c>
      <c r="W4116" s="16" t="n">
        <v>0.75</v>
      </c>
      <c r="X4116" s="16" t="n">
        <v>0.8</v>
      </c>
      <c r="Y4116" s="16" t="n">
        <v>294.6509175460297</v>
      </c>
      <c r="Z4116" s="16" t="n">
        <v>13.07854169430145</v>
      </c>
      <c r="AA4116" s="16" t="n">
        <v>92.03091002723548</v>
      </c>
      <c r="AB4116" s="16" t="n">
        <v>2600</v>
      </c>
      <c r="AC4116" s="16" t="n">
        <v>7.5</v>
      </c>
      <c r="AD4116" s="16" t="inlineStr">
        <is>
          <t>O2</t>
        </is>
      </c>
      <c r="AE4116" s="16" t="n"/>
    </row>
    <row r="4117">
      <c r="A4117" s="16" t="inlineStr">
        <is>
          <t>KF-M09-R3-x_b+P_alta+eficiencias+P_baja-0003</t>
        </is>
      </c>
      <c r="B4117" s="16" t="inlineStr">
        <is>
          <t>4.3</t>
        </is>
      </c>
      <c r="C4117" s="16" t="inlineStr">
        <is>
          <t>4.3 x_b+P_alta+eficiencias+P_baja</t>
        </is>
      </c>
      <c r="D4117" s="16" t="inlineStr">
        <is>
          <t>ronda 3</t>
        </is>
      </c>
      <c r="E4117" s="16" t="inlineStr">
        <is>
          <t>KF-M09</t>
        </is>
      </c>
      <c r="F4117" s="16" t="inlineStr">
        <is>
          <t>KF-M09-R3-x_b+P_alta+eficiencias+P_baja</t>
        </is>
      </c>
      <c r="G4117" s="16" t="inlineStr">
        <is>
          <t>B13-x_b+P_alta+eficiencias+P_baja</t>
        </is>
      </c>
      <c r="H4117" s="16" t="inlineStr">
        <is>
          <t>lhs</t>
        </is>
      </c>
      <c r="I4117" s="16" t="inlineStr">
        <is>
          <t>CORREGIBLE</t>
        </is>
      </c>
      <c r="J4117" s="16" t="inlineStr">
        <is>
          <t>CORREGIBLE</t>
        </is>
      </c>
      <c r="K4117" s="16" t="b">
        <v>1</v>
      </c>
      <c r="L4117" s="16" t="b">
        <v>0</v>
      </c>
      <c r="M4117" s="16" t="b">
        <v>1</v>
      </c>
      <c r="N4117" s="16" t="b">
        <v>0</v>
      </c>
      <c r="O4117" s="16" t="n">
        <v>492.0489990901762</v>
      </c>
      <c r="P4117" s="16" t="n">
        <v>291.1177401389877</v>
      </c>
      <c r="Q4117" s="16" t="n">
        <v>3000</v>
      </c>
      <c r="R4117" s="16" t="n">
        <v>400</v>
      </c>
      <c r="S4117" s="16" t="n">
        <v>0.5</v>
      </c>
      <c r="T4117" s="16" t="n">
        <v>0.85</v>
      </c>
      <c r="U4117" s="16" t="n">
        <v>0.75</v>
      </c>
      <c r="V4117" s="16" t="n">
        <v>0.85</v>
      </c>
      <c r="W4117" s="16" t="n">
        <v>0.75</v>
      </c>
      <c r="X4117" s="16" t="n">
        <v>0.8</v>
      </c>
      <c r="Y4117" s="16" t="n">
        <v>291.1177401389877</v>
      </c>
      <c r="Z4117" s="16" t="n">
        <v>13.28901523399435</v>
      </c>
      <c r="AA4117" s="16" t="n">
        <v>224.4643492817813</v>
      </c>
      <c r="AB4117" s="16" t="n">
        <v>2600</v>
      </c>
      <c r="AC4117" s="16" t="n">
        <v>7.5</v>
      </c>
      <c r="AD4117" s="16" t="inlineStr">
        <is>
          <t>O2</t>
        </is>
      </c>
      <c r="AE4117" s="16" t="n"/>
    </row>
    <row r="4118">
      <c r="A4118" s="16" t="inlineStr">
        <is>
          <t>KF-M09-R3-x_b+P_alta+eficiencias+P_baja-0004</t>
        </is>
      </c>
      <c r="B4118" s="16" t="inlineStr">
        <is>
          <t>4.3</t>
        </is>
      </c>
      <c r="C4118" s="16" t="inlineStr">
        <is>
          <t>4.3 x_b+P_alta+eficiencias+P_baja</t>
        </is>
      </c>
      <c r="D4118" s="16" t="inlineStr">
        <is>
          <t>ronda 3</t>
        </is>
      </c>
      <c r="E4118" s="16" t="inlineStr">
        <is>
          <t>KF-M09</t>
        </is>
      </c>
      <c r="F4118" s="16" t="inlineStr">
        <is>
          <t>KF-M09-R3-x_b+P_alta+eficiencias+P_baja</t>
        </is>
      </c>
      <c r="G4118" s="16" t="inlineStr">
        <is>
          <t>B13-x_b+P_alta+eficiencias+P_baja</t>
        </is>
      </c>
      <c r="H4118" s="16" t="inlineStr">
        <is>
          <t>lhs</t>
        </is>
      </c>
      <c r="I4118" s="16" t="inlineStr">
        <is>
          <t>CORREGIBLE</t>
        </is>
      </c>
      <c r="J4118" s="16" t="inlineStr">
        <is>
          <t>CORREGIBLE</t>
        </is>
      </c>
      <c r="K4118" s="16" t="b">
        <v>1</v>
      </c>
      <c r="L4118" s="16" t="b">
        <v>0</v>
      </c>
      <c r="M4118" s="16" t="b">
        <v>1</v>
      </c>
      <c r="N4118" s="16" t="b">
        <v>0</v>
      </c>
      <c r="O4118" s="16" t="n">
        <v>443.5754757476018</v>
      </c>
      <c r="P4118" s="16" t="n">
        <v>278.2057929033543</v>
      </c>
      <c r="Q4118" s="16" t="n">
        <v>3000</v>
      </c>
      <c r="R4118" s="16" t="n">
        <v>400</v>
      </c>
      <c r="S4118" s="16" t="n">
        <v>0.5</v>
      </c>
      <c r="T4118" s="16" t="n">
        <v>0.85</v>
      </c>
      <c r="U4118" s="16" t="n">
        <v>0.75</v>
      </c>
      <c r="V4118" s="16" t="n">
        <v>0.85</v>
      </c>
      <c r="W4118" s="16" t="n">
        <v>0.75</v>
      </c>
      <c r="X4118" s="16" t="n">
        <v>0.8</v>
      </c>
      <c r="Y4118" s="16" t="n">
        <v>278.2057929033543</v>
      </c>
      <c r="Z4118" s="16" t="n">
        <v>13.26250285739814</v>
      </c>
      <c r="AA4118" s="16" t="n">
        <v>117.1221255015237</v>
      </c>
      <c r="AB4118" s="16" t="n">
        <v>2600</v>
      </c>
      <c r="AC4118" s="16" t="n">
        <v>7.5</v>
      </c>
      <c r="AD4118" s="16" t="inlineStr">
        <is>
          <t>O2</t>
        </is>
      </c>
      <c r="AE4118" s="16" t="n"/>
    </row>
    <row r="4119">
      <c r="A4119" s="16" t="inlineStr">
        <is>
          <t>KF-M09-R3-x_b+P_alta+eficiencias+P_baja-0005</t>
        </is>
      </c>
      <c r="B4119" s="16" t="inlineStr">
        <is>
          <t>4.3</t>
        </is>
      </c>
      <c r="C4119" s="16" t="inlineStr">
        <is>
          <t>4.3 x_b+P_alta+eficiencias+P_baja</t>
        </is>
      </c>
      <c r="D4119" s="16" t="inlineStr">
        <is>
          <t>ronda 3</t>
        </is>
      </c>
      <c r="E4119" s="16" t="inlineStr">
        <is>
          <t>KF-M09</t>
        </is>
      </c>
      <c r="F4119" s="16" t="inlineStr">
        <is>
          <t>KF-M09-R3-x_b+P_alta+eficiencias+P_baja</t>
        </is>
      </c>
      <c r="G4119" s="16" t="inlineStr">
        <is>
          <t>B13-x_b+P_alta+eficiencias+P_baja</t>
        </is>
      </c>
      <c r="H4119" s="16" t="inlineStr">
        <is>
          <t>lhs</t>
        </is>
      </c>
      <c r="I4119" s="16" t="inlineStr">
        <is>
          <t>CORREGIBLE</t>
        </is>
      </c>
      <c r="J4119" s="16" t="inlineStr">
        <is>
          <t>CORREGIBLE</t>
        </is>
      </c>
      <c r="K4119" s="16" t="b">
        <v>1</v>
      </c>
      <c r="L4119" s="16" t="b">
        <v>0</v>
      </c>
      <c r="M4119" s="16" t="b">
        <v>1</v>
      </c>
      <c r="N4119" s="16" t="b">
        <v>0</v>
      </c>
      <c r="O4119" s="16" t="n">
        <v>463.8453357191517</v>
      </c>
      <c r="P4119" s="16" t="n">
        <v>299.8576823408128</v>
      </c>
      <c r="Q4119" s="16" t="n">
        <v>3000</v>
      </c>
      <c r="R4119" s="16" t="n">
        <v>400</v>
      </c>
      <c r="S4119" s="16" t="n">
        <v>0.5</v>
      </c>
      <c r="T4119" s="16" t="n">
        <v>0.85</v>
      </c>
      <c r="U4119" s="16" t="n">
        <v>0.75</v>
      </c>
      <c r="V4119" s="16" t="n">
        <v>0.85</v>
      </c>
      <c r="W4119" s="16" t="n">
        <v>0.75</v>
      </c>
      <c r="X4119" s="16" t="n">
        <v>0.8</v>
      </c>
      <c r="Y4119" s="16" t="n">
        <v>299.8576823408128</v>
      </c>
      <c r="Z4119" s="16" t="n">
        <v>13.27028247771967</v>
      </c>
      <c r="AA4119" s="16" t="n">
        <v>173.5957903421881</v>
      </c>
      <c r="AB4119" s="16" t="n">
        <v>2600</v>
      </c>
      <c r="AC4119" s="16" t="n">
        <v>7.5</v>
      </c>
      <c r="AD4119" s="16" t="inlineStr">
        <is>
          <t>O2</t>
        </is>
      </c>
      <c r="AE4119" s="16" t="n"/>
    </row>
    <row r="4120">
      <c r="A4120" s="16" t="inlineStr">
        <is>
          <t>KF-M09-R3-x_b+P_alta+eficiencias+P_baja-0006</t>
        </is>
      </c>
      <c r="B4120" s="16" t="inlineStr">
        <is>
          <t>4.3</t>
        </is>
      </c>
      <c r="C4120" s="16" t="inlineStr">
        <is>
          <t>4.3 x_b+P_alta+eficiencias+P_baja</t>
        </is>
      </c>
      <c r="D4120" s="16" t="inlineStr">
        <is>
          <t>ronda 3</t>
        </is>
      </c>
      <c r="E4120" s="16" t="inlineStr">
        <is>
          <t>KF-M09</t>
        </is>
      </c>
      <c r="F4120" s="16" t="inlineStr">
        <is>
          <t>KF-M09-R3-x_b+P_alta+eficiencias+P_baja</t>
        </is>
      </c>
      <c r="G4120" s="16" t="inlineStr">
        <is>
          <t>B13-x_b+P_alta+eficiencias+P_baja</t>
        </is>
      </c>
      <c r="H4120" s="16" t="inlineStr">
        <is>
          <t>lhs</t>
        </is>
      </c>
      <c r="I4120" s="16" t="inlineStr">
        <is>
          <t>CORREGIBLE</t>
        </is>
      </c>
      <c r="J4120" s="16" t="inlineStr">
        <is>
          <t>CORREGIBLE</t>
        </is>
      </c>
      <c r="K4120" s="16" t="b">
        <v>1</v>
      </c>
      <c r="L4120" s="16" t="b">
        <v>0</v>
      </c>
      <c r="M4120" s="16" t="b">
        <v>1</v>
      </c>
      <c r="N4120" s="16" t="b">
        <v>0</v>
      </c>
      <c r="O4120" s="16" t="n">
        <v>468.70475792241</v>
      </c>
      <c r="P4120" s="16" t="n">
        <v>301.7535370295663</v>
      </c>
      <c r="Q4120" s="16" t="n">
        <v>3000</v>
      </c>
      <c r="R4120" s="16" t="n">
        <v>400</v>
      </c>
      <c r="S4120" s="16" t="n">
        <v>0.5</v>
      </c>
      <c r="T4120" s="16" t="n">
        <v>0.85</v>
      </c>
      <c r="U4120" s="16" t="n">
        <v>0.75</v>
      </c>
      <c r="V4120" s="16" t="n">
        <v>0.85</v>
      </c>
      <c r="W4120" s="16" t="n">
        <v>0.75</v>
      </c>
      <c r="X4120" s="16" t="n">
        <v>0.8</v>
      </c>
      <c r="Y4120" s="16" t="n">
        <v>301.7535370295663</v>
      </c>
      <c r="Z4120" s="16" t="n">
        <v>13.15273505395083</v>
      </c>
      <c r="AA4120" s="16" t="n">
        <v>193.7915511018017</v>
      </c>
      <c r="AB4120" s="16" t="n">
        <v>2600</v>
      </c>
      <c r="AC4120" s="16" t="n">
        <v>7.5</v>
      </c>
      <c r="AD4120" s="16" t="inlineStr">
        <is>
          <t>O2</t>
        </is>
      </c>
      <c r="AE4120" s="16" t="n"/>
    </row>
    <row r="4121">
      <c r="A4121" s="16" t="inlineStr">
        <is>
          <t>KF-M09-R3-x_b+P_alta+eficiencias+P_baja-0007</t>
        </is>
      </c>
      <c r="B4121" s="16" t="inlineStr">
        <is>
          <t>4.3</t>
        </is>
      </c>
      <c r="C4121" s="16" t="inlineStr">
        <is>
          <t>4.3 x_b+P_alta+eficiencias+P_baja</t>
        </is>
      </c>
      <c r="D4121" s="16" t="inlineStr">
        <is>
          <t>ronda 3</t>
        </is>
      </c>
      <c r="E4121" s="16" t="inlineStr">
        <is>
          <t>KF-M09</t>
        </is>
      </c>
      <c r="F4121" s="16" t="inlineStr">
        <is>
          <t>KF-M09-R3-x_b+P_alta+eficiencias+P_baja</t>
        </is>
      </c>
      <c r="G4121" s="16" t="inlineStr">
        <is>
          <t>B13-x_b+P_alta+eficiencias+P_baja</t>
        </is>
      </c>
      <c r="H4121" s="16" t="inlineStr">
        <is>
          <t>lhs</t>
        </is>
      </c>
      <c r="I4121" s="16" t="inlineStr">
        <is>
          <t>CORREGIBLE</t>
        </is>
      </c>
      <c r="J4121" s="16" t="inlineStr">
        <is>
          <t>CORREGIBLE</t>
        </is>
      </c>
      <c r="K4121" s="16" t="b">
        <v>1</v>
      </c>
      <c r="L4121" s="16" t="b">
        <v>0</v>
      </c>
      <c r="M4121" s="16" t="b">
        <v>1</v>
      </c>
      <c r="N4121" s="16" t="b">
        <v>0</v>
      </c>
      <c r="O4121" s="16" t="n">
        <v>507.3164118572552</v>
      </c>
      <c r="P4121" s="16" t="n">
        <v>279.1639869613874</v>
      </c>
      <c r="Q4121" s="16" t="n">
        <v>3000</v>
      </c>
      <c r="R4121" s="16" t="n">
        <v>400</v>
      </c>
      <c r="S4121" s="16" t="n">
        <v>0.5</v>
      </c>
      <c r="T4121" s="16" t="n">
        <v>0.85</v>
      </c>
      <c r="U4121" s="16" t="n">
        <v>0.75</v>
      </c>
      <c r="V4121" s="16" t="n">
        <v>0.85</v>
      </c>
      <c r="W4121" s="16" t="n">
        <v>0.75</v>
      </c>
      <c r="X4121" s="16" t="n">
        <v>0.8</v>
      </c>
      <c r="Y4121" s="16" t="n">
        <v>279.1639869613874</v>
      </c>
      <c r="Z4121" s="16" t="n">
        <v>13.43933624376942</v>
      </c>
      <c r="AA4121" s="16" t="n">
        <v>237.421485079945</v>
      </c>
      <c r="AB4121" s="16" t="n">
        <v>2600</v>
      </c>
      <c r="AC4121" s="16" t="n">
        <v>7.5</v>
      </c>
      <c r="AD4121" s="16" t="inlineStr">
        <is>
          <t>O2</t>
        </is>
      </c>
      <c r="AE4121" s="16" t="n"/>
    </row>
    <row r="4122">
      <c r="A4122" s="16" t="inlineStr">
        <is>
          <t>KF-M09-R3-x_b+P_alta+eficiencias+P_baja-0008</t>
        </is>
      </c>
      <c r="B4122" s="16" t="inlineStr">
        <is>
          <t>4.3</t>
        </is>
      </c>
      <c r="C4122" s="16" t="inlineStr">
        <is>
          <t>4.3 x_b+P_alta+eficiencias+P_baja</t>
        </is>
      </c>
      <c r="D4122" s="16" t="inlineStr">
        <is>
          <t>ronda 3</t>
        </is>
      </c>
      <c r="E4122" s="16" t="inlineStr">
        <is>
          <t>KF-M09</t>
        </is>
      </c>
      <c r="F4122" s="16" t="inlineStr">
        <is>
          <t>KF-M09-R3-x_b+P_alta+eficiencias+P_baja</t>
        </is>
      </c>
      <c r="G4122" s="16" t="inlineStr">
        <is>
          <t>B13-x_b+P_alta+eficiencias+P_baja</t>
        </is>
      </c>
      <c r="H4122" s="16" t="inlineStr">
        <is>
          <t>lhs</t>
        </is>
      </c>
      <c r="I4122" s="16" t="inlineStr">
        <is>
          <t>CORREGIBLE</t>
        </is>
      </c>
      <c r="J4122" s="16" t="inlineStr">
        <is>
          <t>CORREGIBLE</t>
        </is>
      </c>
      <c r="K4122" s="16" t="b">
        <v>1</v>
      </c>
      <c r="L4122" s="16" t="b">
        <v>0</v>
      </c>
      <c r="M4122" s="16" t="b">
        <v>1</v>
      </c>
      <c r="N4122" s="16" t="b">
        <v>0</v>
      </c>
      <c r="O4122" s="16" t="n">
        <v>454.3536001893185</v>
      </c>
      <c r="P4122" s="16" t="n">
        <v>303.384376974051</v>
      </c>
      <c r="Q4122" s="16" t="n">
        <v>3000</v>
      </c>
      <c r="R4122" s="16" t="n">
        <v>400</v>
      </c>
      <c r="S4122" s="16" t="n">
        <v>0.5</v>
      </c>
      <c r="T4122" s="16" t="n">
        <v>0.85</v>
      </c>
      <c r="U4122" s="16" t="n">
        <v>0.75</v>
      </c>
      <c r="V4122" s="16" t="n">
        <v>0.85</v>
      </c>
      <c r="W4122" s="16" t="n">
        <v>0.75</v>
      </c>
      <c r="X4122" s="16" t="n">
        <v>0.8</v>
      </c>
      <c r="Y4122" s="16" t="n">
        <v>303.384376974051</v>
      </c>
      <c r="Z4122" s="16" t="n">
        <v>13.26230694747782</v>
      </c>
      <c r="AA4122" s="16" t="n">
        <v>137.9649777282832</v>
      </c>
      <c r="AB4122" s="16" t="n">
        <v>2600</v>
      </c>
      <c r="AC4122" s="16" t="n">
        <v>7.5</v>
      </c>
      <c r="AD4122" s="16" t="inlineStr">
        <is>
          <t>O2</t>
        </is>
      </c>
      <c r="AE4122" s="16" t="n"/>
    </row>
    <row r="4123">
      <c r="A4123" s="16" t="inlineStr">
        <is>
          <t>KF-M09-R3-x_b+P_alta+eficiencias+P_baja-0009</t>
        </is>
      </c>
      <c r="B4123" s="16" t="inlineStr">
        <is>
          <t>4.3</t>
        </is>
      </c>
      <c r="C4123" s="16" t="inlineStr">
        <is>
          <t>4.3 x_b+P_alta+eficiencias+P_baja</t>
        </is>
      </c>
      <c r="D4123" s="16" t="inlineStr">
        <is>
          <t>ronda 3</t>
        </is>
      </c>
      <c r="E4123" s="16" t="inlineStr">
        <is>
          <t>KF-M09</t>
        </is>
      </c>
      <c r="F4123" s="16" t="inlineStr">
        <is>
          <t>KF-M09-R3-x_b+P_alta+eficiencias+P_baja</t>
        </is>
      </c>
      <c r="G4123" s="16" t="inlineStr">
        <is>
          <t>B13-x_b+P_alta+eficiencias+P_baja</t>
        </is>
      </c>
      <c r="H4123" s="16" t="inlineStr">
        <is>
          <t>lhs</t>
        </is>
      </c>
      <c r="I4123" s="16" t="inlineStr">
        <is>
          <t>INVIABLE</t>
        </is>
      </c>
      <c r="J4123" s="16" t="inlineStr">
        <is>
          <t>INVIABLE</t>
        </is>
      </c>
      <c r="K4123" s="16" t="b">
        <v>1</v>
      </c>
      <c r="L4123" s="16" t="b">
        <v>0</v>
      </c>
      <c r="M4123" s="16" t="b">
        <v>0</v>
      </c>
      <c r="N4123" s="16" t="b">
        <v>0</v>
      </c>
      <c r="O4123" s="16" t="n">
        <v>386.8561018543618</v>
      </c>
      <c r="P4123" s="16" t="n">
        <v>294.1167780492842</v>
      </c>
      <c r="Q4123" s="16" t="n">
        <v>3000</v>
      </c>
      <c r="R4123" s="16" t="n">
        <v>400</v>
      </c>
      <c r="S4123" s="16" t="n">
        <v>0.5</v>
      </c>
      <c r="T4123" s="16" t="n">
        <v>0.85</v>
      </c>
      <c r="U4123" s="16" t="n">
        <v>0.75</v>
      </c>
      <c r="V4123" s="16" t="n">
        <v>0.85</v>
      </c>
      <c r="W4123" s="16" t="n">
        <v>0.75</v>
      </c>
      <c r="X4123" s="16" t="n">
        <v>0.8</v>
      </c>
      <c r="Y4123" s="16" t="n">
        <v>294.1167780492842</v>
      </c>
      <c r="Z4123" s="16" t="n">
        <v>-3.30997560085503</v>
      </c>
      <c r="AA4123" s="16" t="n">
        <v>-3.537122214780564</v>
      </c>
      <c r="AB4123" s="16" t="n">
        <v>2600</v>
      </c>
      <c r="AC4123" s="16" t="n">
        <v>7.5</v>
      </c>
      <c r="AD4123" s="16" t="inlineStr">
        <is>
          <t>O3</t>
        </is>
      </c>
      <c r="AE4123" s="16" t="n"/>
    </row>
    <row r="4124">
      <c r="A4124" s="16" t="inlineStr">
        <is>
          <t>KF-M09-R3-x_b+P_alta+eficiencias+P_baja-0010</t>
        </is>
      </c>
      <c r="B4124" s="16" t="inlineStr">
        <is>
          <t>4.3</t>
        </is>
      </c>
      <c r="C4124" s="16" t="inlineStr">
        <is>
          <t>4.3 x_b+P_alta+eficiencias+P_baja</t>
        </is>
      </c>
      <c r="D4124" s="16" t="inlineStr">
        <is>
          <t>ronda 3</t>
        </is>
      </c>
      <c r="E4124" s="16" t="inlineStr">
        <is>
          <t>KF-M09</t>
        </is>
      </c>
      <c r="F4124" s="16" t="inlineStr">
        <is>
          <t>KF-M09-R3-x_b+P_alta+eficiencias+P_baja</t>
        </is>
      </c>
      <c r="G4124" s="16" t="inlineStr">
        <is>
          <t>B13-x_b+P_alta+eficiencias+P_baja</t>
        </is>
      </c>
      <c r="H4124" s="16" t="inlineStr">
        <is>
          <t>lhs</t>
        </is>
      </c>
      <c r="I4124" s="16" t="inlineStr">
        <is>
          <t>KALINA</t>
        </is>
      </c>
      <c r="J4124" s="16" t="inlineStr">
        <is>
          <t>KALINA</t>
        </is>
      </c>
      <c r="K4124" s="16" t="b">
        <v>1</v>
      </c>
      <c r="L4124" s="16" t="b">
        <v>1</v>
      </c>
      <c r="M4124" s="16" t="b">
        <v>0</v>
      </c>
      <c r="N4124" s="16" t="b">
        <v>0</v>
      </c>
      <c r="O4124" s="16" t="n">
        <v>406.8801692295517</v>
      </c>
      <c r="P4124" s="16" t="n">
        <v>284.3131119856872</v>
      </c>
      <c r="Q4124" s="16" t="n">
        <v>3000</v>
      </c>
      <c r="R4124" s="16" t="n">
        <v>400</v>
      </c>
      <c r="S4124" s="16" t="n">
        <v>0.5</v>
      </c>
      <c r="T4124" s="16" t="n">
        <v>0.85</v>
      </c>
      <c r="U4124" s="16" t="n">
        <v>0.75</v>
      </c>
      <c r="V4124" s="16" t="n">
        <v>0.85</v>
      </c>
      <c r="W4124" s="16" t="n">
        <v>0.75</v>
      </c>
      <c r="X4124" s="16" t="n">
        <v>0.8</v>
      </c>
      <c r="Y4124" s="16" t="n">
        <v>284.3131119856872</v>
      </c>
      <c r="Z4124" s="16" t="n">
        <v>10.23967267226254</v>
      </c>
      <c r="AA4124" s="16" t="n">
        <v>38.21076539409637</v>
      </c>
      <c r="AB4124" s="16" t="n">
        <v>2600</v>
      </c>
      <c r="AC4124" s="16" t="n">
        <v>7.5</v>
      </c>
      <c r="AD4124" s="16" t="n"/>
      <c r="AE4124" s="16" t="n"/>
    </row>
    <row r="4125">
      <c r="A4125" s="16" t="inlineStr">
        <is>
          <t>KF-M09-R3-x_b+P_alta+eficiencias+P_baja-0011</t>
        </is>
      </c>
      <c r="B4125" s="16" t="inlineStr">
        <is>
          <t>4.3</t>
        </is>
      </c>
      <c r="C4125" s="16" t="inlineStr">
        <is>
          <t>4.3 x_b+P_alta+eficiencias+P_baja</t>
        </is>
      </c>
      <c r="D4125" s="16" t="inlineStr">
        <is>
          <t>ronda 3</t>
        </is>
      </c>
      <c r="E4125" s="16" t="inlineStr">
        <is>
          <t>KF-M09</t>
        </is>
      </c>
      <c r="F4125" s="16" t="inlineStr">
        <is>
          <t>KF-M09-R3-x_b+P_alta+eficiencias+P_baja</t>
        </is>
      </c>
      <c r="G4125" s="16" t="inlineStr">
        <is>
          <t>B13-x_b+P_alta+eficiencias+P_baja</t>
        </is>
      </c>
      <c r="H4125" s="16" t="inlineStr">
        <is>
          <t>lhs</t>
        </is>
      </c>
      <c r="I4125" s="16" t="inlineStr">
        <is>
          <t>KALINA</t>
        </is>
      </c>
      <c r="J4125" s="16" t="inlineStr">
        <is>
          <t>KALINA</t>
        </is>
      </c>
      <c r="K4125" s="16" t="b">
        <v>1</v>
      </c>
      <c r="L4125" s="16" t="b">
        <v>1</v>
      </c>
      <c r="M4125" s="16" t="b">
        <v>0</v>
      </c>
      <c r="N4125" s="16" t="b">
        <v>0</v>
      </c>
      <c r="O4125" s="16" t="n">
        <v>397.2277947321104</v>
      </c>
      <c r="P4125" s="16" t="n">
        <v>279.8574589875436</v>
      </c>
      <c r="Q4125" s="16" t="n">
        <v>3000</v>
      </c>
      <c r="R4125" s="16" t="n">
        <v>400</v>
      </c>
      <c r="S4125" s="16" t="n">
        <v>0.5</v>
      </c>
      <c r="T4125" s="16" t="n">
        <v>0.85</v>
      </c>
      <c r="U4125" s="16" t="n">
        <v>0.75</v>
      </c>
      <c r="V4125" s="16" t="n">
        <v>0.85</v>
      </c>
      <c r="W4125" s="16" t="n">
        <v>0.75</v>
      </c>
      <c r="X4125" s="16" t="n">
        <v>0.8</v>
      </c>
      <c r="Y4125" s="16" t="n">
        <v>279.8574589875436</v>
      </c>
      <c r="Z4125" s="16" t="n">
        <v>7.19719527885937</v>
      </c>
      <c r="AA4125" s="16" t="n">
        <v>18.81606396557443</v>
      </c>
      <c r="AB4125" s="16" t="n">
        <v>2600</v>
      </c>
      <c r="AC4125" s="16" t="n">
        <v>7.5</v>
      </c>
      <c r="AD4125" s="16" t="n"/>
      <c r="AE4125" s="16" t="n"/>
    </row>
    <row r="4126">
      <c r="A4126" s="16" t="inlineStr">
        <is>
          <t>KF-M09-R3-x_b+P_alta+eficiencias+P_baja-0012</t>
        </is>
      </c>
      <c r="B4126" s="16" t="inlineStr">
        <is>
          <t>4.3</t>
        </is>
      </c>
      <c r="C4126" s="16" t="inlineStr">
        <is>
          <t>4.3 x_b+P_alta+eficiencias+P_baja</t>
        </is>
      </c>
      <c r="D4126" s="16" t="inlineStr">
        <is>
          <t>ronda 3</t>
        </is>
      </c>
      <c r="E4126" s="16" t="inlineStr">
        <is>
          <t>KF-M09</t>
        </is>
      </c>
      <c r="F4126" s="16" t="inlineStr">
        <is>
          <t>KF-M09-R3-x_b+P_alta+eficiencias+P_baja</t>
        </is>
      </c>
      <c r="G4126" s="16" t="inlineStr">
        <is>
          <t>B13-x_b+P_alta+eficiencias+P_baja</t>
        </is>
      </c>
      <c r="H4126" s="16" t="inlineStr">
        <is>
          <t>lhs</t>
        </is>
      </c>
      <c r="I4126" s="16" t="inlineStr">
        <is>
          <t>KALINA</t>
        </is>
      </c>
      <c r="J4126" s="16" t="inlineStr">
        <is>
          <t>KALINA</t>
        </is>
      </c>
      <c r="K4126" s="16" t="b">
        <v>1</v>
      </c>
      <c r="L4126" s="16" t="b">
        <v>1</v>
      </c>
      <c r="M4126" s="16" t="b">
        <v>0</v>
      </c>
      <c r="N4126" s="16" t="b">
        <v>0</v>
      </c>
      <c r="O4126" s="16" t="n">
        <v>399.3670691389523</v>
      </c>
      <c r="P4126" s="16" t="n">
        <v>285.7384376903907</v>
      </c>
      <c r="Q4126" s="16" t="n">
        <v>3000</v>
      </c>
      <c r="R4126" s="16" t="n">
        <v>400</v>
      </c>
      <c r="S4126" s="16" t="n">
        <v>0.5</v>
      </c>
      <c r="T4126" s="16" t="n">
        <v>0.85</v>
      </c>
      <c r="U4126" s="16" t="n">
        <v>0.75</v>
      </c>
      <c r="V4126" s="16" t="n">
        <v>0.85</v>
      </c>
      <c r="W4126" s="16" t="n">
        <v>0.75</v>
      </c>
      <c r="X4126" s="16" t="n">
        <v>0.8</v>
      </c>
      <c r="Y4126" s="16" t="n">
        <v>285.7384376903907</v>
      </c>
      <c r="Z4126" s="16" t="n">
        <v>8.307806859056049</v>
      </c>
      <c r="AA4126" s="16" t="n">
        <v>23.34737608850404</v>
      </c>
      <c r="AB4126" s="16" t="n">
        <v>2600</v>
      </c>
      <c r="AC4126" s="16" t="n">
        <v>7.5</v>
      </c>
      <c r="AD4126" s="16" t="n"/>
      <c r="AE4126" s="16" t="n"/>
    </row>
    <row r="4127">
      <c r="A4127" s="16" t="inlineStr">
        <is>
          <t>KF-M09-R3-x_b+P_alta+eficiencias+P_baja-0013</t>
        </is>
      </c>
      <c r="B4127" s="16" t="inlineStr">
        <is>
          <t>4.3</t>
        </is>
      </c>
      <c r="C4127" s="16" t="inlineStr">
        <is>
          <t>4.3 x_b+P_alta+eficiencias+P_baja</t>
        </is>
      </c>
      <c r="D4127" s="16" t="inlineStr">
        <is>
          <t>ronda 3</t>
        </is>
      </c>
      <c r="E4127" s="16" t="inlineStr">
        <is>
          <t>KF-M09</t>
        </is>
      </c>
      <c r="F4127" s="16" t="inlineStr">
        <is>
          <t>KF-M09-R3-x_b+P_alta+eficiencias+P_baja</t>
        </is>
      </c>
      <c r="G4127" s="16" t="inlineStr">
        <is>
          <t>B13-x_b+P_alta+eficiencias+P_baja</t>
        </is>
      </c>
      <c r="H4127" s="16" t="inlineStr">
        <is>
          <t>lhs</t>
        </is>
      </c>
      <c r="I4127" s="16" t="inlineStr">
        <is>
          <t>CORREGIBLE</t>
        </is>
      </c>
      <c r="J4127" s="16" t="inlineStr">
        <is>
          <t>CORREGIBLE</t>
        </is>
      </c>
      <c r="K4127" s="16" t="b">
        <v>1</v>
      </c>
      <c r="L4127" s="16" t="b">
        <v>0</v>
      </c>
      <c r="M4127" s="16" t="b">
        <v>1</v>
      </c>
      <c r="N4127" s="16" t="b">
        <v>0</v>
      </c>
      <c r="O4127" s="16" t="n">
        <v>431.1042399609825</v>
      </c>
      <c r="P4127" s="16" t="n">
        <v>283.8192032766289</v>
      </c>
      <c r="Q4127" s="16" t="n">
        <v>3000</v>
      </c>
      <c r="R4127" s="16" t="n">
        <v>400</v>
      </c>
      <c r="S4127" s="16" t="n">
        <v>0.5</v>
      </c>
      <c r="T4127" s="16" t="n">
        <v>0.85</v>
      </c>
      <c r="U4127" s="16" t="n">
        <v>0.75</v>
      </c>
      <c r="V4127" s="16" t="n">
        <v>0.85</v>
      </c>
      <c r="W4127" s="16" t="n">
        <v>0.75</v>
      </c>
      <c r="X4127" s="16" t="n">
        <v>0.8</v>
      </c>
      <c r="Y4127" s="16" t="n">
        <v>283.8192032766289</v>
      </c>
      <c r="Z4127" s="16" t="n">
        <v>12.83660446166277</v>
      </c>
      <c r="AA4127" s="16" t="n">
        <v>86.70291605291064</v>
      </c>
      <c r="AB4127" s="16" t="n">
        <v>2600</v>
      </c>
      <c r="AC4127" s="16" t="n">
        <v>7.5</v>
      </c>
      <c r="AD4127" s="16" t="inlineStr">
        <is>
          <t>O2</t>
        </is>
      </c>
      <c r="AE4127" s="16" t="n"/>
    </row>
    <row r="4128">
      <c r="A4128" s="16" t="inlineStr">
        <is>
          <t>KF-M09-R3-x_b+P_alta+eficiencias+P_baja-0014</t>
        </is>
      </c>
      <c r="B4128" s="16" t="inlineStr">
        <is>
          <t>4.3</t>
        </is>
      </c>
      <c r="C4128" s="16" t="inlineStr">
        <is>
          <t>4.3 x_b+P_alta+eficiencias+P_baja</t>
        </is>
      </c>
      <c r="D4128" s="16" t="inlineStr">
        <is>
          <t>ronda 3</t>
        </is>
      </c>
      <c r="E4128" s="16" t="inlineStr">
        <is>
          <t>KF-M09</t>
        </is>
      </c>
      <c r="F4128" s="16" t="inlineStr">
        <is>
          <t>KF-M09-R3-x_b+P_alta+eficiencias+P_baja</t>
        </is>
      </c>
      <c r="G4128" s="16" t="inlineStr">
        <is>
          <t>B13-x_b+P_alta+eficiencias+P_baja</t>
        </is>
      </c>
      <c r="H4128" s="16" t="inlineStr">
        <is>
          <t>lhs</t>
        </is>
      </c>
      <c r="I4128" s="16" t="inlineStr">
        <is>
          <t>NO_CONVERGIO</t>
        </is>
      </c>
      <c r="J4128" s="16" t="inlineStr">
        <is>
          <t>NO_CONVERGIO</t>
        </is>
      </c>
      <c r="K4128" s="16" t="b">
        <v>0</v>
      </c>
      <c r="L4128" s="16" t="b">
        <v>0</v>
      </c>
      <c r="M4128" s="16" t="b">
        <v>0</v>
      </c>
      <c r="N4128" s="16" t="b">
        <v>0</v>
      </c>
      <c r="O4128" s="16" t="n">
        <v>497.6901034666757</v>
      </c>
      <c r="P4128" s="16" t="n">
        <v>288.7483487925129</v>
      </c>
      <c r="Q4128" s="16" t="n">
        <v>3000</v>
      </c>
      <c r="R4128" s="16" t="n">
        <v>400</v>
      </c>
      <c r="S4128" s="16" t="n">
        <v>0.5</v>
      </c>
      <c r="T4128" s="16" t="n">
        <v>0.85</v>
      </c>
      <c r="U4128" s="16" t="n">
        <v>0.75</v>
      </c>
      <c r="V4128" s="16" t="n">
        <v>0.85</v>
      </c>
      <c r="W4128" s="16" t="n">
        <v>0.75</v>
      </c>
      <c r="X4128" s="16" t="n">
        <v>0.8</v>
      </c>
      <c r="Y4128" s="16" t="n">
        <v>288.7483487925129</v>
      </c>
      <c r="Z4128" s="16" t="n"/>
      <c r="AA4128" s="16" t="n"/>
      <c r="AB4128" s="16" t="n">
        <v>2600</v>
      </c>
      <c r="AC4128" s="16" t="n">
        <v>7.5</v>
      </c>
      <c r="AD4128" s="16" t="n"/>
      <c r="AE4128" s="16" t="n"/>
    </row>
    <row r="4129">
      <c r="A4129" s="16" t="inlineStr">
        <is>
          <t>KF-M09-R3-x_b+P_alta+eficiencias+P_baja-0015</t>
        </is>
      </c>
      <c r="B4129" s="16" t="inlineStr">
        <is>
          <t>4.3</t>
        </is>
      </c>
      <c r="C4129" s="16" t="inlineStr">
        <is>
          <t>4.3 x_b+P_alta+eficiencias+P_baja</t>
        </is>
      </c>
      <c r="D4129" s="16" t="inlineStr">
        <is>
          <t>ronda 3</t>
        </is>
      </c>
      <c r="E4129" s="16" t="inlineStr">
        <is>
          <t>KF-M09</t>
        </is>
      </c>
      <c r="F4129" s="16" t="inlineStr">
        <is>
          <t>KF-M09-R3-x_b+P_alta+eficiencias+P_baja</t>
        </is>
      </c>
      <c r="G4129" s="16" t="inlineStr">
        <is>
          <t>B13-x_b+P_alta+eficiencias+P_baja</t>
        </is>
      </c>
      <c r="H4129" s="16" t="inlineStr">
        <is>
          <t>lhs</t>
        </is>
      </c>
      <c r="I4129" s="16" t="inlineStr">
        <is>
          <t>CORREGIBLE</t>
        </is>
      </c>
      <c r="J4129" s="16" t="inlineStr">
        <is>
          <t>CORREGIBLE</t>
        </is>
      </c>
      <c r="K4129" s="16" t="b">
        <v>1</v>
      </c>
      <c r="L4129" s="16" t="b">
        <v>0</v>
      </c>
      <c r="M4129" s="16" t="b">
        <v>1</v>
      </c>
      <c r="N4129" s="16" t="b">
        <v>0</v>
      </c>
      <c r="O4129" s="16" t="n">
        <v>504.4594903438974</v>
      </c>
      <c r="P4129" s="16" t="n">
        <v>287.9272430931313</v>
      </c>
      <c r="Q4129" s="16" t="n">
        <v>3000</v>
      </c>
      <c r="R4129" s="16" t="n">
        <v>400</v>
      </c>
      <c r="S4129" s="16" t="n">
        <v>0.5</v>
      </c>
      <c r="T4129" s="16" t="n">
        <v>0.85</v>
      </c>
      <c r="U4129" s="16" t="n">
        <v>0.75</v>
      </c>
      <c r="V4129" s="16" t="n">
        <v>0.85</v>
      </c>
      <c r="W4129" s="16" t="n">
        <v>0.75</v>
      </c>
      <c r="X4129" s="16" t="n">
        <v>0.8</v>
      </c>
      <c r="Y4129" s="16" t="n">
        <v>287.9272430931313</v>
      </c>
      <c r="Z4129" s="16" t="n">
        <v>13.32932254684711</v>
      </c>
      <c r="AA4129" s="16" t="n">
        <v>230.4523279269196</v>
      </c>
      <c r="AB4129" s="16" t="n">
        <v>2600</v>
      </c>
      <c r="AC4129" s="16" t="n">
        <v>7.5</v>
      </c>
      <c r="AD4129" s="16" t="inlineStr">
        <is>
          <t>O2</t>
        </is>
      </c>
      <c r="AE4129" s="16" t="n"/>
    </row>
    <row r="4130">
      <c r="A4130" s="16" t="inlineStr">
        <is>
          <t>KF-M09-R3-x_b+P_alta+eficiencias+P_baja-0016</t>
        </is>
      </c>
      <c r="B4130" s="16" t="inlineStr">
        <is>
          <t>4.3</t>
        </is>
      </c>
      <c r="C4130" s="16" t="inlineStr">
        <is>
          <t>4.3 x_b+P_alta+eficiencias+P_baja</t>
        </is>
      </c>
      <c r="D4130" s="16" t="inlineStr">
        <is>
          <t>ronda 3</t>
        </is>
      </c>
      <c r="E4130" s="16" t="inlineStr">
        <is>
          <t>KF-M09</t>
        </is>
      </c>
      <c r="F4130" s="16" t="inlineStr">
        <is>
          <t>KF-M09-R3-x_b+P_alta+eficiencias+P_baja</t>
        </is>
      </c>
      <c r="G4130" s="16" t="inlineStr">
        <is>
          <t>B13-x_b+P_alta+eficiencias+P_baja</t>
        </is>
      </c>
      <c r="H4130" s="16" t="inlineStr">
        <is>
          <t>lhs</t>
        </is>
      </c>
      <c r="I4130" s="16" t="inlineStr">
        <is>
          <t>CORREGIBLE</t>
        </is>
      </c>
      <c r="J4130" s="16" t="inlineStr">
        <is>
          <t>CORREGIBLE</t>
        </is>
      </c>
      <c r="K4130" s="16" t="b">
        <v>1</v>
      </c>
      <c r="L4130" s="16" t="b">
        <v>0</v>
      </c>
      <c r="M4130" s="16" t="b">
        <v>0</v>
      </c>
      <c r="N4130" s="16" t="b">
        <v>0</v>
      </c>
      <c r="O4130" s="16" t="n">
        <v>422.6088328668493</v>
      </c>
      <c r="P4130" s="16" t="n">
        <v>295.8292784193837</v>
      </c>
      <c r="Q4130" s="16" t="n">
        <v>3000</v>
      </c>
      <c r="R4130" s="16" t="n">
        <v>400</v>
      </c>
      <c r="S4130" s="16" t="n">
        <v>0.5</v>
      </c>
      <c r="T4130" s="16" t="n">
        <v>0.85</v>
      </c>
      <c r="U4130" s="16" t="n">
        <v>0.75</v>
      </c>
      <c r="V4130" s="16" t="n">
        <v>0.85</v>
      </c>
      <c r="W4130" s="16" t="n">
        <v>0.75</v>
      </c>
      <c r="X4130" s="16" t="n">
        <v>0.8</v>
      </c>
      <c r="Y4130" s="16" t="n">
        <v>295.8292784193837</v>
      </c>
      <c r="Z4130" s="16" t="n">
        <v>12.46435956477476</v>
      </c>
      <c r="AA4130" s="16" t="n">
        <v>67.56984899414341</v>
      </c>
      <c r="AB4130" s="16" t="n">
        <v>2600</v>
      </c>
      <c r="AC4130" s="16" t="n">
        <v>7.5</v>
      </c>
      <c r="AD4130" s="16" t="inlineStr">
        <is>
          <t>O2</t>
        </is>
      </c>
      <c r="AE4130" s="16" t="n"/>
    </row>
    <row r="4131">
      <c r="A4131" s="16" t="inlineStr">
        <is>
          <t>KF-M09-R3-x_b+P_alta+eficiencias+P_baja-0017</t>
        </is>
      </c>
      <c r="B4131" s="16" t="inlineStr">
        <is>
          <t>4.3</t>
        </is>
      </c>
      <c r="C4131" s="16" t="inlineStr">
        <is>
          <t>4.3 x_b+P_alta+eficiencias+P_baja</t>
        </is>
      </c>
      <c r="D4131" s="16" t="inlineStr">
        <is>
          <t>ronda 3</t>
        </is>
      </c>
      <c r="E4131" s="16" t="inlineStr">
        <is>
          <t>KF-M09</t>
        </is>
      </c>
      <c r="F4131" s="16" t="inlineStr">
        <is>
          <t>KF-M09-R3-x_b+P_alta+eficiencias+P_baja</t>
        </is>
      </c>
      <c r="G4131" s="16" t="inlineStr">
        <is>
          <t>B13-x_b+P_alta+eficiencias+P_baja</t>
        </is>
      </c>
      <c r="H4131" s="16" t="inlineStr">
        <is>
          <t>lhs</t>
        </is>
      </c>
      <c r="I4131" s="16" t="inlineStr">
        <is>
          <t>KALINA</t>
        </is>
      </c>
      <c r="J4131" s="16" t="inlineStr">
        <is>
          <t>KALINA</t>
        </is>
      </c>
      <c r="K4131" s="16" t="b">
        <v>1</v>
      </c>
      <c r="L4131" s="16" t="b">
        <v>1</v>
      </c>
      <c r="M4131" s="16" t="b">
        <v>0</v>
      </c>
      <c r="N4131" s="16" t="b">
        <v>0</v>
      </c>
      <c r="O4131" s="16" t="n">
        <v>390.900480433468</v>
      </c>
      <c r="P4131" s="16" t="n">
        <v>292.9356530804358</v>
      </c>
      <c r="Q4131" s="16" t="n">
        <v>3000</v>
      </c>
      <c r="R4131" s="16" t="n">
        <v>400</v>
      </c>
      <c r="S4131" s="16" t="n">
        <v>0.5</v>
      </c>
      <c r="T4131" s="16" t="n">
        <v>0.85</v>
      </c>
      <c r="U4131" s="16" t="n">
        <v>0.75</v>
      </c>
      <c r="V4131" s="16" t="n">
        <v>0.85</v>
      </c>
      <c r="W4131" s="16" t="n">
        <v>0.75</v>
      </c>
      <c r="X4131" s="16" t="n">
        <v>0.8</v>
      </c>
      <c r="Y4131" s="16" t="n">
        <v>292.9356530804358</v>
      </c>
      <c r="Z4131" s="16" t="n">
        <v>3.45886052459067</v>
      </c>
      <c r="AA4131" s="16" t="n">
        <v>5.689497044278442</v>
      </c>
      <c r="AB4131" s="16" t="n">
        <v>2600</v>
      </c>
      <c r="AC4131" s="16" t="n">
        <v>7.5</v>
      </c>
      <c r="AD4131" s="16" t="n"/>
      <c r="AE4131" s="16" t="n"/>
    </row>
    <row r="4132">
      <c r="A4132" s="16" t="inlineStr">
        <is>
          <t>KF-M09-R3-x_b+P_alta+eficiencias+P_baja-0018</t>
        </is>
      </c>
      <c r="B4132" s="16" t="inlineStr">
        <is>
          <t>4.3</t>
        </is>
      </c>
      <c r="C4132" s="16" t="inlineStr">
        <is>
          <t>4.3 x_b+P_alta+eficiencias+P_baja</t>
        </is>
      </c>
      <c r="D4132" s="16" t="inlineStr">
        <is>
          <t>ronda 3</t>
        </is>
      </c>
      <c r="E4132" s="16" t="inlineStr">
        <is>
          <t>KF-M09</t>
        </is>
      </c>
      <c r="F4132" s="16" t="inlineStr">
        <is>
          <t>KF-M09-R3-x_b+P_alta+eficiencias+P_baja</t>
        </is>
      </c>
      <c r="G4132" s="16" t="inlineStr">
        <is>
          <t>B13-x_b+P_alta+eficiencias+P_baja</t>
        </is>
      </c>
      <c r="H4132" s="16" t="inlineStr">
        <is>
          <t>lhs</t>
        </is>
      </c>
      <c r="I4132" s="16" t="inlineStr">
        <is>
          <t>CORREGIBLE</t>
        </is>
      </c>
      <c r="J4132" s="16" t="inlineStr">
        <is>
          <t>CORREGIBLE</t>
        </is>
      </c>
      <c r="K4132" s="16" t="b">
        <v>1</v>
      </c>
      <c r="L4132" s="16" t="b">
        <v>0</v>
      </c>
      <c r="M4132" s="16" t="b">
        <v>1</v>
      </c>
      <c r="N4132" s="16" t="b">
        <v>0</v>
      </c>
      <c r="O4132" s="16" t="n">
        <v>486.4233726973992</v>
      </c>
      <c r="P4132" s="16" t="n">
        <v>296.5457566767763</v>
      </c>
      <c r="Q4132" s="16" t="n">
        <v>3000</v>
      </c>
      <c r="R4132" s="16" t="n">
        <v>400</v>
      </c>
      <c r="S4132" s="16" t="n">
        <v>0.5</v>
      </c>
      <c r="T4132" s="16" t="n">
        <v>0.85</v>
      </c>
      <c r="U4132" s="16" t="n">
        <v>0.75</v>
      </c>
      <c r="V4132" s="16" t="n">
        <v>0.85</v>
      </c>
      <c r="W4132" s="16" t="n">
        <v>0.75</v>
      </c>
      <c r="X4132" s="16" t="n">
        <v>0.8</v>
      </c>
      <c r="Y4132" s="16" t="n">
        <v>296.5457566767763</v>
      </c>
      <c r="Z4132" s="16" t="n">
        <v>13.19301719463727</v>
      </c>
      <c r="AA4132" s="16" t="n">
        <v>218.5103209372189</v>
      </c>
      <c r="AB4132" s="16" t="n">
        <v>2600</v>
      </c>
      <c r="AC4132" s="16" t="n">
        <v>7.5</v>
      </c>
      <c r="AD4132" s="16" t="inlineStr">
        <is>
          <t>O2</t>
        </is>
      </c>
      <c r="AE4132" s="16" t="n"/>
    </row>
    <row r="4133">
      <c r="A4133" s="16" t="inlineStr">
        <is>
          <t>KF-M09-R3-x_b+P_alta+eficiencias+P_baja-0019</t>
        </is>
      </c>
      <c r="B4133" s="16" t="inlineStr">
        <is>
          <t>4.3</t>
        </is>
      </c>
      <c r="C4133" s="16" t="inlineStr">
        <is>
          <t>4.3 x_b+P_alta+eficiencias+P_baja</t>
        </is>
      </c>
      <c r="D4133" s="16" t="inlineStr">
        <is>
          <t>ronda 3</t>
        </is>
      </c>
      <c r="E4133" s="16" t="inlineStr">
        <is>
          <t>KF-M09</t>
        </is>
      </c>
      <c r="F4133" s="16" t="inlineStr">
        <is>
          <t>KF-M09-R3-x_b+P_alta+eficiencias+P_baja</t>
        </is>
      </c>
      <c r="G4133" s="16" t="inlineStr">
        <is>
          <t>B13-x_b+P_alta+eficiencias+P_baja</t>
        </is>
      </c>
      <c r="H4133" s="16" t="inlineStr">
        <is>
          <t>lhs</t>
        </is>
      </c>
      <c r="I4133" s="16" t="inlineStr">
        <is>
          <t>CORREGIBLE</t>
        </is>
      </c>
      <c r="J4133" s="16" t="inlineStr">
        <is>
          <t>CORREGIBLE</t>
        </is>
      </c>
      <c r="K4133" s="16" t="b">
        <v>1</v>
      </c>
      <c r="L4133" s="16" t="b">
        <v>0</v>
      </c>
      <c r="M4133" s="16" t="b">
        <v>1</v>
      </c>
      <c r="N4133" s="16" t="b">
        <v>0</v>
      </c>
      <c r="O4133" s="16" t="n">
        <v>476.2918869456088</v>
      </c>
      <c r="P4133" s="16" t="n">
        <v>289.413242244652</v>
      </c>
      <c r="Q4133" s="16" t="n">
        <v>3000</v>
      </c>
      <c r="R4133" s="16" t="n">
        <v>400</v>
      </c>
      <c r="S4133" s="16" t="n">
        <v>0.5</v>
      </c>
      <c r="T4133" s="16" t="n">
        <v>0.85</v>
      </c>
      <c r="U4133" s="16" t="n">
        <v>0.75</v>
      </c>
      <c r="V4133" s="16" t="n">
        <v>0.85</v>
      </c>
      <c r="W4133" s="16" t="n">
        <v>0.75</v>
      </c>
      <c r="X4133" s="16" t="n">
        <v>0.8</v>
      </c>
      <c r="Y4133" s="16" t="n">
        <v>289.413242244652</v>
      </c>
      <c r="Z4133" s="16" t="n">
        <v>13.3321228098022</v>
      </c>
      <c r="AA4133" s="16" t="n">
        <v>221.0098941826659</v>
      </c>
      <c r="AB4133" s="16" t="n">
        <v>2600</v>
      </c>
      <c r="AC4133" s="16" t="n">
        <v>7.5</v>
      </c>
      <c r="AD4133" s="16" t="inlineStr">
        <is>
          <t>O2</t>
        </is>
      </c>
      <c r="AE4133" s="16" t="n"/>
    </row>
    <row r="4134">
      <c r="A4134" s="16" t="inlineStr">
        <is>
          <t>KF-M09-R3-x_b+P_alta+eficiencias+P_baja-0020</t>
        </is>
      </c>
      <c r="B4134" s="16" t="inlineStr">
        <is>
          <t>4.3</t>
        </is>
      </c>
      <c r="C4134" s="16" t="inlineStr">
        <is>
          <t>4.3 x_b+P_alta+eficiencias+P_baja</t>
        </is>
      </c>
      <c r="D4134" s="16" t="inlineStr">
        <is>
          <t>ronda 3</t>
        </is>
      </c>
      <c r="E4134" s="16" t="inlineStr">
        <is>
          <t>KF-M09</t>
        </is>
      </c>
      <c r="F4134" s="16" t="inlineStr">
        <is>
          <t>KF-M09-R3-x_b+P_alta+eficiencias+P_baja</t>
        </is>
      </c>
      <c r="G4134" s="16" t="inlineStr">
        <is>
          <t>B13-x_b+P_alta+eficiencias+P_baja</t>
        </is>
      </c>
      <c r="H4134" s="16" t="inlineStr">
        <is>
          <t>lhs</t>
        </is>
      </c>
      <c r="I4134" s="16" t="inlineStr">
        <is>
          <t>CORREGIBLE</t>
        </is>
      </c>
      <c r="J4134" s="16" t="inlineStr">
        <is>
          <t>CORREGIBLE</t>
        </is>
      </c>
      <c r="K4134" s="16" t="b">
        <v>1</v>
      </c>
      <c r="L4134" s="16" t="b">
        <v>0</v>
      </c>
      <c r="M4134" s="16" t="b">
        <v>0</v>
      </c>
      <c r="N4134" s="16" t="b">
        <v>0</v>
      </c>
      <c r="O4134" s="16" t="n">
        <v>421.8582498029306</v>
      </c>
      <c r="P4134" s="16" t="n">
        <v>300.3122353512006</v>
      </c>
      <c r="Q4134" s="16" t="n">
        <v>3000</v>
      </c>
      <c r="R4134" s="16" t="n">
        <v>400</v>
      </c>
      <c r="S4134" s="16" t="n">
        <v>0.5</v>
      </c>
      <c r="T4134" s="16" t="n">
        <v>0.85</v>
      </c>
      <c r="U4134" s="16" t="n">
        <v>0.75</v>
      </c>
      <c r="V4134" s="16" t="n">
        <v>0.85</v>
      </c>
      <c r="W4134" s="16" t="n">
        <v>0.75</v>
      </c>
      <c r="X4134" s="16" t="n">
        <v>0.8</v>
      </c>
      <c r="Y4134" s="16" t="n">
        <v>300.3122353512006</v>
      </c>
      <c r="Z4134" s="16" t="n">
        <v>12.40431647245126</v>
      </c>
      <c r="AA4134" s="16" t="n">
        <v>65.09756878504029</v>
      </c>
      <c r="AB4134" s="16" t="n">
        <v>2600</v>
      </c>
      <c r="AC4134" s="16" t="n">
        <v>7.5</v>
      </c>
      <c r="AD4134" s="16" t="inlineStr">
        <is>
          <t>O2</t>
        </is>
      </c>
      <c r="AE4134" s="16" t="n"/>
    </row>
    <row r="4135">
      <c r="A4135" s="16" t="inlineStr">
        <is>
          <t>KF-M09-R3-x_b+P_alta+eficiencias+P_baja-0021</t>
        </is>
      </c>
      <c r="B4135" s="16" t="inlineStr">
        <is>
          <t>4.3</t>
        </is>
      </c>
      <c r="C4135" s="16" t="inlineStr">
        <is>
          <t>4.3 x_b+P_alta+eficiencias+P_baja</t>
        </is>
      </c>
      <c r="D4135" s="16" t="inlineStr">
        <is>
          <t>ronda 3</t>
        </is>
      </c>
      <c r="E4135" s="16" t="inlineStr">
        <is>
          <t>KF-M09</t>
        </is>
      </c>
      <c r="F4135" s="16" t="inlineStr">
        <is>
          <t>KF-M09-R3-x_b+P_alta+eficiencias+P_baja</t>
        </is>
      </c>
      <c r="G4135" s="16" t="inlineStr">
        <is>
          <t>B13-x_b+P_alta+eficiencias+P_baja</t>
        </is>
      </c>
      <c r="H4135" s="16" t="inlineStr">
        <is>
          <t>lhs</t>
        </is>
      </c>
      <c r="I4135" s="16" t="inlineStr">
        <is>
          <t>CORREGIBLE</t>
        </is>
      </c>
      <c r="J4135" s="16" t="inlineStr">
        <is>
          <t>CORREGIBLE</t>
        </is>
      </c>
      <c r="K4135" s="16" t="b">
        <v>1</v>
      </c>
      <c r="L4135" s="16" t="b">
        <v>0</v>
      </c>
      <c r="M4135" s="16" t="b">
        <v>1</v>
      </c>
      <c r="N4135" s="16" t="b">
        <v>0</v>
      </c>
      <c r="O4135" s="16" t="n">
        <v>447.346216628673</v>
      </c>
      <c r="P4135" s="16" t="n">
        <v>298.7594401508788</v>
      </c>
      <c r="Q4135" s="16" t="n">
        <v>3000</v>
      </c>
      <c r="R4135" s="16" t="n">
        <v>400</v>
      </c>
      <c r="S4135" s="16" t="n">
        <v>0.5</v>
      </c>
      <c r="T4135" s="16" t="n">
        <v>0.85</v>
      </c>
      <c r="U4135" s="16" t="n">
        <v>0.75</v>
      </c>
      <c r="V4135" s="16" t="n">
        <v>0.85</v>
      </c>
      <c r="W4135" s="16" t="n">
        <v>0.75</v>
      </c>
      <c r="X4135" s="16" t="n">
        <v>0.8</v>
      </c>
      <c r="Y4135" s="16" t="n">
        <v>298.7594401508788</v>
      </c>
      <c r="Z4135" s="16" t="n">
        <v>13.32319720269607</v>
      </c>
      <c r="AA4135" s="16" t="n">
        <v>120.6658140784371</v>
      </c>
      <c r="AB4135" s="16" t="n">
        <v>2600</v>
      </c>
      <c r="AC4135" s="16" t="n">
        <v>7.5</v>
      </c>
      <c r="AD4135" s="16" t="inlineStr">
        <is>
          <t>O2</t>
        </is>
      </c>
      <c r="AE4135" s="16" t="n"/>
    </row>
    <row r="4136">
      <c r="A4136" s="16" t="inlineStr">
        <is>
          <t>KF-M09-R3-x_b+P_alta+eficiencias+P_baja-0022</t>
        </is>
      </c>
      <c r="B4136" s="16" t="inlineStr">
        <is>
          <t>4.3</t>
        </is>
      </c>
      <c r="C4136" s="16" t="inlineStr">
        <is>
          <t>4.3 x_b+P_alta+eficiencias+P_baja</t>
        </is>
      </c>
      <c r="D4136" s="16" t="inlineStr">
        <is>
          <t>ronda 3</t>
        </is>
      </c>
      <c r="E4136" s="16" t="inlineStr">
        <is>
          <t>KF-M09</t>
        </is>
      </c>
      <c r="F4136" s="16" t="inlineStr">
        <is>
          <t>KF-M09-R3-x_b+P_alta+eficiencias+P_baja</t>
        </is>
      </c>
      <c r="G4136" s="16" t="inlineStr">
        <is>
          <t>B13-x_b+P_alta+eficiencias+P_baja</t>
        </is>
      </c>
      <c r="H4136" s="16" t="inlineStr">
        <is>
          <t>lhs</t>
        </is>
      </c>
      <c r="I4136" s="16" t="inlineStr">
        <is>
          <t>CORREGIBLE</t>
        </is>
      </c>
      <c r="J4136" s="16" t="inlineStr">
        <is>
          <t>CORREGIBLE</t>
        </is>
      </c>
      <c r="K4136" s="16" t="b">
        <v>1</v>
      </c>
      <c r="L4136" s="16" t="b">
        <v>0</v>
      </c>
      <c r="M4136" s="16" t="b">
        <v>1</v>
      </c>
      <c r="N4136" s="16" t="b">
        <v>0</v>
      </c>
      <c r="O4136" s="16" t="n">
        <v>438.1950734716951</v>
      </c>
      <c r="P4136" s="16" t="n">
        <v>286.858957139096</v>
      </c>
      <c r="Q4136" s="16" t="n">
        <v>3000</v>
      </c>
      <c r="R4136" s="16" t="n">
        <v>400</v>
      </c>
      <c r="S4136" s="16" t="n">
        <v>0.5</v>
      </c>
      <c r="T4136" s="16" t="n">
        <v>0.85</v>
      </c>
      <c r="U4136" s="16" t="n">
        <v>0.75</v>
      </c>
      <c r="V4136" s="16" t="n">
        <v>0.85</v>
      </c>
      <c r="W4136" s="16" t="n">
        <v>0.75</v>
      </c>
      <c r="X4136" s="16" t="n">
        <v>0.8</v>
      </c>
      <c r="Y4136" s="16" t="n">
        <v>286.858957139096</v>
      </c>
      <c r="Z4136" s="16" t="n">
        <v>13.18203517839293</v>
      </c>
      <c r="AA4136" s="16" t="n">
        <v>102.0906671033113</v>
      </c>
      <c r="AB4136" s="16" t="n">
        <v>2600</v>
      </c>
      <c r="AC4136" s="16" t="n">
        <v>7.5</v>
      </c>
      <c r="AD4136" s="16" t="inlineStr">
        <is>
          <t>O2</t>
        </is>
      </c>
      <c r="AE4136" s="16" t="n"/>
    </row>
    <row r="4137">
      <c r="A4137" s="16" t="inlineStr">
        <is>
          <t>KF-M09-R3-x_b+P_alta+eficiencias+P_baja-0023</t>
        </is>
      </c>
      <c r="B4137" s="16" t="inlineStr">
        <is>
          <t>4.3</t>
        </is>
      </c>
      <c r="C4137" s="16" t="inlineStr">
        <is>
          <t>4.3 x_b+P_alta+eficiencias+P_baja</t>
        </is>
      </c>
      <c r="D4137" s="16" t="inlineStr">
        <is>
          <t>ronda 3</t>
        </is>
      </c>
      <c r="E4137" s="16" t="inlineStr">
        <is>
          <t>KF-M09</t>
        </is>
      </c>
      <c r="F4137" s="16" t="inlineStr">
        <is>
          <t>KF-M09-R3-x_b+P_alta+eficiencias+P_baja</t>
        </is>
      </c>
      <c r="G4137" s="16" t="inlineStr">
        <is>
          <t>B13-x_b+P_alta+eficiencias+P_baja</t>
        </is>
      </c>
      <c r="H4137" s="16" t="inlineStr">
        <is>
          <t>lhs</t>
        </is>
      </c>
      <c r="I4137" s="16" t="inlineStr">
        <is>
          <t>CORREGIBLE</t>
        </is>
      </c>
      <c r="J4137" s="16" t="inlineStr">
        <is>
          <t>CORREGIBLE</t>
        </is>
      </c>
      <c r="K4137" s="16" t="b">
        <v>1</v>
      </c>
      <c r="L4137" s="16" t="b">
        <v>0</v>
      </c>
      <c r="M4137" s="16" t="b">
        <v>1</v>
      </c>
      <c r="N4137" s="16" t="b">
        <v>0</v>
      </c>
      <c r="O4137" s="16" t="n">
        <v>482.4969425962064</v>
      </c>
      <c r="P4137" s="16" t="n">
        <v>296.7909391725854</v>
      </c>
      <c r="Q4137" s="16" t="n">
        <v>3000</v>
      </c>
      <c r="R4137" s="16" t="n">
        <v>400</v>
      </c>
      <c r="S4137" s="16" t="n">
        <v>0.5</v>
      </c>
      <c r="T4137" s="16" t="n">
        <v>0.85</v>
      </c>
      <c r="U4137" s="16" t="n">
        <v>0.75</v>
      </c>
      <c r="V4137" s="16" t="n">
        <v>0.85</v>
      </c>
      <c r="W4137" s="16" t="n">
        <v>0.75</v>
      </c>
      <c r="X4137" s="16" t="n">
        <v>0.8</v>
      </c>
      <c r="Y4137" s="16" t="n">
        <v>296.7909391725854</v>
      </c>
      <c r="Z4137" s="16" t="n">
        <v>13.19202892666781</v>
      </c>
      <c r="AA4137" s="16" t="n">
        <v>217.1592751087018</v>
      </c>
      <c r="AB4137" s="16" t="n">
        <v>2600</v>
      </c>
      <c r="AC4137" s="16" t="n">
        <v>7.5</v>
      </c>
      <c r="AD4137" s="16" t="inlineStr">
        <is>
          <t>O2</t>
        </is>
      </c>
      <c r="AE4137" s="16" t="n"/>
    </row>
    <row r="4138">
      <c r="A4138" s="16" t="inlineStr">
        <is>
          <t>KF-M09-R3-x_b+P_alta+eficiencias+P_baja-0024</t>
        </is>
      </c>
      <c r="B4138" s="16" t="inlineStr">
        <is>
          <t>4.3</t>
        </is>
      </c>
      <c r="C4138" s="16" t="inlineStr">
        <is>
          <t>4.3 x_b+P_alta+eficiencias+P_baja</t>
        </is>
      </c>
      <c r="D4138" s="16" t="inlineStr">
        <is>
          <t>ronda 3</t>
        </is>
      </c>
      <c r="E4138" s="16" t="inlineStr">
        <is>
          <t>KF-M09</t>
        </is>
      </c>
      <c r="F4138" s="16" t="inlineStr">
        <is>
          <t>KF-M09-R3-x_b+P_alta+eficiencias+P_baja</t>
        </is>
      </c>
      <c r="G4138" s="16" t="inlineStr">
        <is>
          <t>B13-x_b+P_alta+eficiencias+P_baja</t>
        </is>
      </c>
      <c r="H4138" s="16" t="inlineStr">
        <is>
          <t>lhs</t>
        </is>
      </c>
      <c r="I4138" s="16" t="inlineStr">
        <is>
          <t>CORREGIBLE</t>
        </is>
      </c>
      <c r="J4138" s="16" t="inlineStr">
        <is>
          <t>CORREGIBLE</t>
        </is>
      </c>
      <c r="K4138" s="16" t="b">
        <v>1</v>
      </c>
      <c r="L4138" s="16" t="b">
        <v>0</v>
      </c>
      <c r="M4138" s="16" t="b">
        <v>1</v>
      </c>
      <c r="N4138" s="16" t="b">
        <v>0</v>
      </c>
      <c r="O4138" s="16" t="n">
        <v>455.157024896038</v>
      </c>
      <c r="P4138" s="16" t="n">
        <v>297.7213974659105</v>
      </c>
      <c r="Q4138" s="16" t="n">
        <v>3000</v>
      </c>
      <c r="R4138" s="16" t="n">
        <v>400</v>
      </c>
      <c r="S4138" s="16" t="n">
        <v>0.5</v>
      </c>
      <c r="T4138" s="16" t="n">
        <v>0.85</v>
      </c>
      <c r="U4138" s="16" t="n">
        <v>0.75</v>
      </c>
      <c r="V4138" s="16" t="n">
        <v>0.85</v>
      </c>
      <c r="W4138" s="16" t="n">
        <v>0.75</v>
      </c>
      <c r="X4138" s="16" t="n">
        <v>0.8</v>
      </c>
      <c r="Y4138" s="16" t="n">
        <v>297.7213974659105</v>
      </c>
      <c r="Z4138" s="16" t="n">
        <v>13.37300635071835</v>
      </c>
      <c r="AA4138" s="16" t="n">
        <v>143.706990574934</v>
      </c>
      <c r="AB4138" s="16" t="n">
        <v>2600</v>
      </c>
      <c r="AC4138" s="16" t="n">
        <v>7.5</v>
      </c>
      <c r="AD4138" s="16" t="inlineStr">
        <is>
          <t>O2</t>
        </is>
      </c>
      <c r="AE4138" s="16" t="n"/>
    </row>
    <row r="4139">
      <c r="A4139" s="16" t="inlineStr">
        <is>
          <t>KF-M09-R3-x_b+P_alta+eficiencias+P_baja-0025</t>
        </is>
      </c>
      <c r="B4139" s="16" t="inlineStr">
        <is>
          <t>4.3</t>
        </is>
      </c>
      <c r="C4139" s="16" t="inlineStr">
        <is>
          <t>4.3 x_b+P_alta+eficiencias+P_baja</t>
        </is>
      </c>
      <c r="D4139" s="16" t="inlineStr">
        <is>
          <t>ronda 3</t>
        </is>
      </c>
      <c r="E4139" s="16" t="inlineStr">
        <is>
          <t>KF-M09</t>
        </is>
      </c>
      <c r="F4139" s="16" t="inlineStr">
        <is>
          <t>KF-M09-R3-x_b+P_alta+eficiencias+P_baja</t>
        </is>
      </c>
      <c r="G4139" s="16" t="inlineStr">
        <is>
          <t>B13-x_b+P_alta+eficiencias+P_baja</t>
        </is>
      </c>
      <c r="H4139" s="16" t="inlineStr">
        <is>
          <t>lhs</t>
        </is>
      </c>
      <c r="I4139" s="16" t="inlineStr">
        <is>
          <t>KALINA</t>
        </is>
      </c>
      <c r="J4139" s="16" t="inlineStr">
        <is>
          <t>KALINA</t>
        </is>
      </c>
      <c r="K4139" s="16" t="b">
        <v>1</v>
      </c>
      <c r="L4139" s="16" t="b">
        <v>1</v>
      </c>
      <c r="M4139" s="16" t="b">
        <v>0</v>
      </c>
      <c r="N4139" s="16" t="b">
        <v>0</v>
      </c>
      <c r="O4139" s="16" t="n">
        <v>409.2543787655303</v>
      </c>
      <c r="P4139" s="16" t="n">
        <v>282.7053863780276</v>
      </c>
      <c r="Q4139" s="16" t="n">
        <v>3000</v>
      </c>
      <c r="R4139" s="16" t="n">
        <v>400</v>
      </c>
      <c r="S4139" s="16" t="n">
        <v>0.5</v>
      </c>
      <c r="T4139" s="16" t="n">
        <v>0.85</v>
      </c>
      <c r="U4139" s="16" t="n">
        <v>0.75</v>
      </c>
      <c r="V4139" s="16" t="n">
        <v>0.85</v>
      </c>
      <c r="W4139" s="16" t="n">
        <v>0.75</v>
      </c>
      <c r="X4139" s="16" t="n">
        <v>0.8</v>
      </c>
      <c r="Y4139" s="16" t="n">
        <v>282.7053863780276</v>
      </c>
      <c r="Z4139" s="16" t="n">
        <v>10.60548360254214</v>
      </c>
      <c r="AA4139" s="16" t="n">
        <v>42.79594393912396</v>
      </c>
      <c r="AB4139" s="16" t="n">
        <v>2600</v>
      </c>
      <c r="AC4139" s="16" t="n">
        <v>7.5</v>
      </c>
      <c r="AD4139" s="16" t="n"/>
      <c r="AE4139" s="16" t="n"/>
    </row>
    <row r="4140">
      <c r="A4140" s="16" t="inlineStr">
        <is>
          <t>KF-M09-R3-x_b+P_alta+eficiencias+P_baja-0026</t>
        </is>
      </c>
      <c r="B4140" s="16" t="inlineStr">
        <is>
          <t>4.3</t>
        </is>
      </c>
      <c r="C4140" s="16" t="inlineStr">
        <is>
          <t>4.3 x_b+P_alta+eficiencias+P_baja</t>
        </is>
      </c>
      <c r="D4140" s="16" t="inlineStr">
        <is>
          <t>ronda 3</t>
        </is>
      </c>
      <c r="E4140" s="16" t="inlineStr">
        <is>
          <t>KF-M09</t>
        </is>
      </c>
      <c r="F4140" s="16" t="inlineStr">
        <is>
          <t>KF-M09-R3-x_b+P_alta+eficiencias+P_baja</t>
        </is>
      </c>
      <c r="G4140" s="16" t="inlineStr">
        <is>
          <t>B13-x_b+P_alta+eficiencias+P_baja</t>
        </is>
      </c>
      <c r="H4140" s="16" t="inlineStr">
        <is>
          <t>lhs</t>
        </is>
      </c>
      <c r="I4140" s="16" t="inlineStr">
        <is>
          <t>CORREGIBLE</t>
        </is>
      </c>
      <c r="J4140" s="16" t="inlineStr">
        <is>
          <t>CORREGIBLE</t>
        </is>
      </c>
      <c r="K4140" s="16" t="b">
        <v>1</v>
      </c>
      <c r="L4140" s="16" t="b">
        <v>0</v>
      </c>
      <c r="M4140" s="16" t="b">
        <v>1</v>
      </c>
      <c r="N4140" s="16" t="b">
        <v>0</v>
      </c>
      <c r="O4140" s="16" t="n">
        <v>519.8419553100487</v>
      </c>
      <c r="P4140" s="16" t="n">
        <v>286.2409790572545</v>
      </c>
      <c r="Q4140" s="16" t="n">
        <v>3000</v>
      </c>
      <c r="R4140" s="16" t="n">
        <v>400</v>
      </c>
      <c r="S4140" s="16" t="n">
        <v>0.5</v>
      </c>
      <c r="T4140" s="16" t="n">
        <v>0.85</v>
      </c>
      <c r="U4140" s="16" t="n">
        <v>0.75</v>
      </c>
      <c r="V4140" s="16" t="n">
        <v>0.85</v>
      </c>
      <c r="W4140" s="16" t="n">
        <v>0.75</v>
      </c>
      <c r="X4140" s="16" t="n">
        <v>0.8</v>
      </c>
      <c r="Y4140" s="16" t="n">
        <v>286.2409790572545</v>
      </c>
      <c r="Z4140" s="16" t="n">
        <v>13.34152029172605</v>
      </c>
      <c r="AA4140" s="16" t="n">
        <v>236.0231186270212</v>
      </c>
      <c r="AB4140" s="16" t="n">
        <v>2600</v>
      </c>
      <c r="AC4140" s="16" t="n">
        <v>7.5</v>
      </c>
      <c r="AD4140" s="16" t="inlineStr">
        <is>
          <t>O1,O2</t>
        </is>
      </c>
      <c r="AE4140" s="16" t="n"/>
    </row>
    <row r="4141">
      <c r="A4141" s="16" t="inlineStr">
        <is>
          <t>KF-M09-R3-x_b+P_alta+eficiencias+P_baja-0027</t>
        </is>
      </c>
      <c r="B4141" s="16" t="inlineStr">
        <is>
          <t>4.3</t>
        </is>
      </c>
      <c r="C4141" s="16" t="inlineStr">
        <is>
          <t>4.3 x_b+P_alta+eficiencias+P_baja</t>
        </is>
      </c>
      <c r="D4141" s="16" t="inlineStr">
        <is>
          <t>ronda 3</t>
        </is>
      </c>
      <c r="E4141" s="16" t="inlineStr">
        <is>
          <t>KF-M09</t>
        </is>
      </c>
      <c r="F4141" s="16" t="inlineStr">
        <is>
          <t>KF-M09-R3-x_b+P_alta+eficiencias+P_baja</t>
        </is>
      </c>
      <c r="G4141" s="16" t="inlineStr">
        <is>
          <t>B13-x_b+P_alta+eficiencias+P_baja</t>
        </is>
      </c>
      <c r="H4141" s="16" t="inlineStr">
        <is>
          <t>lhs</t>
        </is>
      </c>
      <c r="I4141" s="16" t="inlineStr">
        <is>
          <t>CORREGIBLE</t>
        </is>
      </c>
      <c r="J4141" s="16" t="inlineStr">
        <is>
          <t>CORREGIBLE</t>
        </is>
      </c>
      <c r="K4141" s="16" t="b">
        <v>1</v>
      </c>
      <c r="L4141" s="16" t="b">
        <v>0</v>
      </c>
      <c r="M4141" s="16" t="b">
        <v>1</v>
      </c>
      <c r="N4141" s="16" t="b">
        <v>0</v>
      </c>
      <c r="O4141" s="16" t="n">
        <v>511.7984404240335</v>
      </c>
      <c r="P4141" s="16" t="n">
        <v>280.8098707243166</v>
      </c>
      <c r="Q4141" s="16" t="n">
        <v>3000</v>
      </c>
      <c r="R4141" s="16" t="n">
        <v>400</v>
      </c>
      <c r="S4141" s="16" t="n">
        <v>0.5</v>
      </c>
      <c r="T4141" s="16" t="n">
        <v>0.85</v>
      </c>
      <c r="U4141" s="16" t="n">
        <v>0.75</v>
      </c>
      <c r="V4141" s="16" t="n">
        <v>0.85</v>
      </c>
      <c r="W4141" s="16" t="n">
        <v>0.75</v>
      </c>
      <c r="X4141" s="16" t="n">
        <v>0.8</v>
      </c>
      <c r="Y4141" s="16" t="n">
        <v>280.8098707243166</v>
      </c>
      <c r="Z4141" s="16" t="n">
        <v>13.41818490135904</v>
      </c>
      <c r="AA4141" s="16" t="n">
        <v>237.6211777813655</v>
      </c>
      <c r="AB4141" s="16" t="n">
        <v>2600</v>
      </c>
      <c r="AC4141" s="16" t="n">
        <v>7.5</v>
      </c>
      <c r="AD4141" s="16" t="inlineStr">
        <is>
          <t>O2</t>
        </is>
      </c>
      <c r="AE4141" s="16" t="n"/>
    </row>
    <row r="4142">
      <c r="A4142" s="16" t="inlineStr">
        <is>
          <t>KF-M09-R3-x_b+P_alta+eficiencias+P_baja-0028</t>
        </is>
      </c>
      <c r="B4142" s="16" t="inlineStr">
        <is>
          <t>4.3</t>
        </is>
      </c>
      <c r="C4142" s="16" t="inlineStr">
        <is>
          <t>4.3 x_b+P_alta+eficiencias+P_baja</t>
        </is>
      </c>
      <c r="D4142" s="16" t="inlineStr">
        <is>
          <t>ronda 3</t>
        </is>
      </c>
      <c r="E4142" s="16" t="inlineStr">
        <is>
          <t>KF-M09</t>
        </is>
      </c>
      <c r="F4142" s="16" t="inlineStr">
        <is>
          <t>KF-M09-R3-x_b+P_alta+eficiencias+P_baja</t>
        </is>
      </c>
      <c r="G4142" s="16" t="inlineStr">
        <is>
          <t>B13-x_b+P_alta+eficiencias+P_baja</t>
        </is>
      </c>
      <c r="H4142" s="16" t="inlineStr">
        <is>
          <t>lhs</t>
        </is>
      </c>
      <c r="I4142" s="16" t="inlineStr">
        <is>
          <t>CORREGIBLE</t>
        </is>
      </c>
      <c r="J4142" s="16" t="inlineStr">
        <is>
          <t>CORREGIBLE</t>
        </is>
      </c>
      <c r="K4142" s="16" t="b">
        <v>1</v>
      </c>
      <c r="L4142" s="16" t="b">
        <v>0</v>
      </c>
      <c r="M4142" s="16" t="b">
        <v>1</v>
      </c>
      <c r="N4142" s="16" t="b">
        <v>0</v>
      </c>
      <c r="O4142" s="16" t="n">
        <v>491.7774765869307</v>
      </c>
      <c r="P4142" s="16" t="n">
        <v>282.063665623517</v>
      </c>
      <c r="Q4142" s="16" t="n">
        <v>3000</v>
      </c>
      <c r="R4142" s="16" t="n">
        <v>400</v>
      </c>
      <c r="S4142" s="16" t="n">
        <v>0.5</v>
      </c>
      <c r="T4142" s="16" t="n">
        <v>0.85</v>
      </c>
      <c r="U4142" s="16" t="n">
        <v>0.75</v>
      </c>
      <c r="V4142" s="16" t="n">
        <v>0.85</v>
      </c>
      <c r="W4142" s="16" t="n">
        <v>0.75</v>
      </c>
      <c r="X4142" s="16" t="n">
        <v>0.8</v>
      </c>
      <c r="Y4142" s="16" t="n">
        <v>282.063665623517</v>
      </c>
      <c r="Z4142" s="16" t="n">
        <v>13.4189982816114</v>
      </c>
      <c r="AA4142" s="16" t="n">
        <v>230.8959656120418</v>
      </c>
      <c r="AB4142" s="16" t="n">
        <v>2600</v>
      </c>
      <c r="AC4142" s="16" t="n">
        <v>7.5</v>
      </c>
      <c r="AD4142" s="16" t="inlineStr">
        <is>
          <t>O2</t>
        </is>
      </c>
      <c r="AE4142" s="16" t="n"/>
    </row>
    <row r="4143">
      <c r="A4143" s="16" t="inlineStr">
        <is>
          <t>KF-M09-R3-x_b+P_alta+eficiencias+P_baja-0029</t>
        </is>
      </c>
      <c r="B4143" s="16" t="inlineStr">
        <is>
          <t>4.3</t>
        </is>
      </c>
      <c r="C4143" s="16" t="inlineStr">
        <is>
          <t>4.3 x_b+P_alta+eficiencias+P_baja</t>
        </is>
      </c>
      <c r="D4143" s="16" t="inlineStr">
        <is>
          <t>ronda 3</t>
        </is>
      </c>
      <c r="E4143" s="16" t="inlineStr">
        <is>
          <t>KF-M09</t>
        </is>
      </c>
      <c r="F4143" s="16" t="inlineStr">
        <is>
          <t>KF-M09-R3-x_b+P_alta+eficiencias+P_baja</t>
        </is>
      </c>
      <c r="G4143" s="16" t="inlineStr">
        <is>
          <t>B13-x_b+P_alta+eficiencias+P_baja</t>
        </is>
      </c>
      <c r="H4143" s="16" t="inlineStr">
        <is>
          <t>lhs</t>
        </is>
      </c>
      <c r="I4143" s="16" t="inlineStr">
        <is>
          <t>CORREGIBLE</t>
        </is>
      </c>
      <c r="J4143" s="16" t="inlineStr">
        <is>
          <t>CORREGIBLE</t>
        </is>
      </c>
      <c r="K4143" s="16" t="b">
        <v>1</v>
      </c>
      <c r="L4143" s="16" t="b">
        <v>0</v>
      </c>
      <c r="M4143" s="16" t="b">
        <v>0</v>
      </c>
      <c r="N4143" s="16" t="b">
        <v>0</v>
      </c>
      <c r="O4143" s="16" t="n">
        <v>417.0700711832555</v>
      </c>
      <c r="P4143" s="16" t="n">
        <v>302.0380631250022</v>
      </c>
      <c r="Q4143" s="16" t="n">
        <v>3000</v>
      </c>
      <c r="R4143" s="16" t="n">
        <v>400</v>
      </c>
      <c r="S4143" s="16" t="n">
        <v>0.5</v>
      </c>
      <c r="T4143" s="16" t="n">
        <v>0.85</v>
      </c>
      <c r="U4143" s="16" t="n">
        <v>0.75</v>
      </c>
      <c r="V4143" s="16" t="n">
        <v>0.85</v>
      </c>
      <c r="W4143" s="16" t="n">
        <v>0.75</v>
      </c>
      <c r="X4143" s="16" t="n">
        <v>0.8</v>
      </c>
      <c r="Y4143" s="16" t="n">
        <v>302.0380631250022</v>
      </c>
      <c r="Z4143" s="16" t="n">
        <v>12.00451351168333</v>
      </c>
      <c r="AA4143" s="16" t="n">
        <v>55.79564865564673</v>
      </c>
      <c r="AB4143" s="16" t="n">
        <v>2600</v>
      </c>
      <c r="AC4143" s="16" t="n">
        <v>7.5</v>
      </c>
      <c r="AD4143" s="16" t="inlineStr">
        <is>
          <t>O2</t>
        </is>
      </c>
      <c r="AE4143" s="16" t="n"/>
    </row>
    <row r="4144">
      <c r="A4144" s="16" t="inlineStr">
        <is>
          <t>KF-M09-R3-x_b+P_alta+eficiencias+T_sumidero-0000</t>
        </is>
      </c>
      <c r="B4144" s="16" t="inlineStr">
        <is>
          <t>4.3</t>
        </is>
      </c>
      <c r="C4144" s="16" t="inlineStr">
        <is>
          <t>4.3 x_b+P_alta+eficiencias+T_sumidero</t>
        </is>
      </c>
      <c r="D4144" s="16" t="inlineStr">
        <is>
          <t>ronda 3</t>
        </is>
      </c>
      <c r="E4144" s="16" t="inlineStr">
        <is>
          <t>KF-M09</t>
        </is>
      </c>
      <c r="F4144" s="16" t="inlineStr">
        <is>
          <t>KF-M09-R3-x_b+P_alta+eficiencias+T_sumidero</t>
        </is>
      </c>
      <c r="G4144" s="16" t="inlineStr">
        <is>
          <t>B13-x_b+P_alta+eficiencias+T_sumidero</t>
        </is>
      </c>
      <c r="H4144" s="16" t="inlineStr">
        <is>
          <t>lhs</t>
        </is>
      </c>
      <c r="I4144" s="16" t="inlineStr">
        <is>
          <t>KALINA</t>
        </is>
      </c>
      <c r="J4144" s="16" t="inlineStr">
        <is>
          <t>KALINA</t>
        </is>
      </c>
      <c r="K4144" s="16" t="b">
        <v>1</v>
      </c>
      <c r="L4144" s="16" t="b">
        <v>1</v>
      </c>
      <c r="M4144" s="16" t="b">
        <v>0</v>
      </c>
      <c r="N4144" s="16" t="b">
        <v>0</v>
      </c>
      <c r="O4144" s="16" t="n">
        <v>413.8938369950865</v>
      </c>
      <c r="P4144" s="16" t="n">
        <v>300.032917</v>
      </c>
      <c r="Q4144" s="16" t="n">
        <v>3000</v>
      </c>
      <c r="R4144" s="16" t="n">
        <v>801.509335702392</v>
      </c>
      <c r="S4144" s="16" t="n">
        <v>0.5</v>
      </c>
      <c r="T4144" s="16" t="n">
        <v>0.85</v>
      </c>
      <c r="U4144" s="16" t="n">
        <v>0.75</v>
      </c>
      <c r="V4144" s="16" t="n">
        <v>0.85</v>
      </c>
      <c r="W4144" s="16" t="n">
        <v>0.75</v>
      </c>
      <c r="X4144" s="16" t="n">
        <v>0.8</v>
      </c>
      <c r="Y4144" s="16" t="n">
        <v>300.032917</v>
      </c>
      <c r="Z4144" s="16" t="n">
        <v>8.1377226826243</v>
      </c>
      <c r="AA4144" s="16" t="n">
        <v>35.0601009246347</v>
      </c>
      <c r="AB4144" s="16" t="n">
        <v>2198.490664297608</v>
      </c>
      <c r="AC4144" s="16" t="n">
        <v>3.74293831196737</v>
      </c>
      <c r="AD4144" s="16" t="n"/>
      <c r="AE4144" s="16" t="n"/>
    </row>
    <row r="4145">
      <c r="A4145" s="16" t="inlineStr">
        <is>
          <t>KF-M09-R3-x_b+P_alta+eficiencias+T_sumidero-0001</t>
        </is>
      </c>
      <c r="B4145" s="16" t="inlineStr">
        <is>
          <t>4.3</t>
        </is>
      </c>
      <c r="C4145" s="16" t="inlineStr">
        <is>
          <t>4.3 x_b+P_alta+eficiencias+T_sumidero</t>
        </is>
      </c>
      <c r="D4145" s="16" t="inlineStr">
        <is>
          <t>ronda 3</t>
        </is>
      </c>
      <c r="E4145" s="16" t="inlineStr">
        <is>
          <t>KF-M09</t>
        </is>
      </c>
      <c r="F4145" s="16" t="inlineStr">
        <is>
          <t>KF-M09-R3-x_b+P_alta+eficiencias+T_sumidero</t>
        </is>
      </c>
      <c r="G4145" s="16" t="inlineStr">
        <is>
          <t>B13-x_b+P_alta+eficiencias+T_sumidero</t>
        </is>
      </c>
      <c r="H4145" s="16" t="inlineStr">
        <is>
          <t>lhs</t>
        </is>
      </c>
      <c r="I4145" s="16" t="inlineStr">
        <is>
          <t>CORREGIBLE</t>
        </is>
      </c>
      <c r="J4145" s="16" t="inlineStr">
        <is>
          <t>CORREGIBLE</t>
        </is>
      </c>
      <c r="K4145" s="16" t="b">
        <v>1</v>
      </c>
      <c r="L4145" s="16" t="b">
        <v>0</v>
      </c>
      <c r="M4145" s="16" t="b">
        <v>1</v>
      </c>
      <c r="N4145" s="16" t="b">
        <v>0</v>
      </c>
      <c r="O4145" s="16" t="n">
        <v>497.4439985412329</v>
      </c>
      <c r="P4145" s="16" t="n">
        <v>300.032917</v>
      </c>
      <c r="Q4145" s="16" t="n">
        <v>3000</v>
      </c>
      <c r="R4145" s="16" t="n">
        <v>1173.227996790992</v>
      </c>
      <c r="S4145" s="16" t="n">
        <v>0.5</v>
      </c>
      <c r="T4145" s="16" t="n">
        <v>0.85</v>
      </c>
      <c r="U4145" s="16" t="n">
        <v>0.75</v>
      </c>
      <c r="V4145" s="16" t="n">
        <v>0.85</v>
      </c>
      <c r="W4145" s="16" t="n">
        <v>0.75</v>
      </c>
      <c r="X4145" s="16" t="n">
        <v>0.8</v>
      </c>
      <c r="Y4145" s="16" t="n">
        <v>300.032917</v>
      </c>
      <c r="Z4145" s="16" t="n">
        <v>6.98437485933241</v>
      </c>
      <c r="AA4145" s="16" t="n">
        <v>116.871626729785</v>
      </c>
      <c r="AB4145" s="16" t="n">
        <v>1826.772003209008</v>
      </c>
      <c r="AC4145" s="16" t="n">
        <v>2.557047741961142</v>
      </c>
      <c r="AD4145" s="16" t="inlineStr">
        <is>
          <t>O2</t>
        </is>
      </c>
      <c r="AE4145" s="16" t="n"/>
    </row>
    <row r="4146">
      <c r="A4146" s="16" t="inlineStr">
        <is>
          <t>KF-M09-R3-x_b+P_alta+eficiencias+T_sumidero-0002</t>
        </is>
      </c>
      <c r="B4146" s="16" t="inlineStr">
        <is>
          <t>4.3</t>
        </is>
      </c>
      <c r="C4146" s="16" t="inlineStr">
        <is>
          <t>4.3 x_b+P_alta+eficiencias+T_sumidero</t>
        </is>
      </c>
      <c r="D4146" s="16" t="inlineStr">
        <is>
          <t>ronda 3</t>
        </is>
      </c>
      <c r="E4146" s="16" t="inlineStr">
        <is>
          <t>KF-M09</t>
        </is>
      </c>
      <c r="F4146" s="16" t="inlineStr">
        <is>
          <t>KF-M09-R3-x_b+P_alta+eficiencias+T_sumidero</t>
        </is>
      </c>
      <c r="G4146" s="16" t="inlineStr">
        <is>
          <t>B13-x_b+P_alta+eficiencias+T_sumidero</t>
        </is>
      </c>
      <c r="H4146" s="16" t="inlineStr">
        <is>
          <t>lhs</t>
        </is>
      </c>
      <c r="I4146" s="16" t="inlineStr">
        <is>
          <t>N2</t>
        </is>
      </c>
      <c r="J4146" s="16" t="inlineStr">
        <is>
          <t>NO_CONVERGIO</t>
        </is>
      </c>
      <c r="K4146" s="16" t="b">
        <v>0</v>
      </c>
      <c r="L4146" s="16" t="b">
        <v>0</v>
      </c>
      <c r="M4146" s="16" t="b">
        <v>0</v>
      </c>
      <c r="N4146" s="16" t="b">
        <v>0</v>
      </c>
      <c r="O4146" s="16" t="n">
        <v>381.6198450359147</v>
      </c>
      <c r="P4146" s="16" t="n">
        <v>300.032917</v>
      </c>
      <c r="Q4146" s="16" t="n">
        <v>3000</v>
      </c>
      <c r="R4146" s="16" t="n">
        <v>1920.010247429293</v>
      </c>
      <c r="S4146" s="16" t="n">
        <v>0.5</v>
      </c>
      <c r="T4146" s="16" t="n">
        <v>0.85</v>
      </c>
      <c r="U4146" s="16" t="n">
        <v>0.75</v>
      </c>
      <c r="V4146" s="16" t="n">
        <v>0.85</v>
      </c>
      <c r="W4146" s="16" t="n">
        <v>0.75</v>
      </c>
      <c r="X4146" s="16" t="n">
        <v>0.8</v>
      </c>
      <c r="Y4146" s="16" t="n">
        <v>300.032917</v>
      </c>
      <c r="Z4146" s="16" t="n">
        <v>-9.46717138470644</v>
      </c>
      <c r="AA4146" s="16" t="n">
        <v>-6.562166931121449</v>
      </c>
      <c r="AB4146" s="16" t="n">
        <v>1079.989752570707</v>
      </c>
      <c r="AC4146" s="16" t="n">
        <v>1.562491660665202</v>
      </c>
      <c r="AD4146" s="16" t="inlineStr">
        <is>
          <t>N2,S6,O3,O5,C1,C3,C3</t>
        </is>
      </c>
      <c r="AE4146" s="16" t="n"/>
    </row>
    <row r="4147">
      <c r="A4147" s="16" t="inlineStr">
        <is>
          <t>KF-M09-R3-x_b+P_alta+eficiencias+T_sumidero-0003</t>
        </is>
      </c>
      <c r="B4147" s="16" t="inlineStr">
        <is>
          <t>4.3</t>
        </is>
      </c>
      <c r="C4147" s="16" t="inlineStr">
        <is>
          <t>4.3 x_b+P_alta+eficiencias+T_sumidero</t>
        </is>
      </c>
      <c r="D4147" s="16" t="inlineStr">
        <is>
          <t>ronda 3</t>
        </is>
      </c>
      <c r="E4147" s="16" t="inlineStr">
        <is>
          <t>KF-M09</t>
        </is>
      </c>
      <c r="F4147" s="16" t="inlineStr">
        <is>
          <t>KF-M09-R3-x_b+P_alta+eficiencias+T_sumidero</t>
        </is>
      </c>
      <c r="G4147" s="16" t="inlineStr">
        <is>
          <t>B13-x_b+P_alta+eficiencias+T_sumidero</t>
        </is>
      </c>
      <c r="H4147" s="16" t="inlineStr">
        <is>
          <t>lhs</t>
        </is>
      </c>
      <c r="I4147" s="16" t="inlineStr">
        <is>
          <t>CORREGIBLE</t>
        </is>
      </c>
      <c r="J4147" s="16" t="inlineStr">
        <is>
          <t>CORREGIBLE</t>
        </is>
      </c>
      <c r="K4147" s="16" t="b">
        <v>1</v>
      </c>
      <c r="L4147" s="16" t="b">
        <v>0</v>
      </c>
      <c r="M4147" s="16" t="b">
        <v>1</v>
      </c>
      <c r="N4147" s="16" t="b">
        <v>0</v>
      </c>
      <c r="O4147" s="16" t="n">
        <v>450.3494469470607</v>
      </c>
      <c r="P4147" s="16" t="n">
        <v>300.032917</v>
      </c>
      <c r="Q4147" s="16" t="n">
        <v>3000</v>
      </c>
      <c r="R4147" s="16" t="n">
        <v>390.7149296169532</v>
      </c>
      <c r="S4147" s="16" t="n">
        <v>0.5</v>
      </c>
      <c r="T4147" s="16" t="n">
        <v>0.85</v>
      </c>
      <c r="U4147" s="16" t="n">
        <v>0.75</v>
      </c>
      <c r="V4147" s="16" t="n">
        <v>0.85</v>
      </c>
      <c r="W4147" s="16" t="n">
        <v>0.75</v>
      </c>
      <c r="X4147" s="16" t="n">
        <v>0.8</v>
      </c>
      <c r="Y4147" s="16" t="n">
        <v>300.032917</v>
      </c>
      <c r="Z4147" s="16" t="n">
        <v>13.43290151030871</v>
      </c>
      <c r="AA4147" s="16" t="n">
        <v>129.2078256463056</v>
      </c>
      <c r="AB4147" s="16" t="n">
        <v>2609.285070383047</v>
      </c>
      <c r="AC4147" s="16" t="n">
        <v>7.678232318742266</v>
      </c>
      <c r="AD4147" s="16" t="inlineStr">
        <is>
          <t>O2</t>
        </is>
      </c>
      <c r="AE4147" s="16" t="n"/>
    </row>
    <row r="4148">
      <c r="A4148" s="16" t="inlineStr">
        <is>
          <t>KF-M09-R3-x_b+P_alta+eficiencias+T_sumidero-0004</t>
        </is>
      </c>
      <c r="B4148" s="16" t="inlineStr">
        <is>
          <t>4.3</t>
        </is>
      </c>
      <c r="C4148" s="16" t="inlineStr">
        <is>
          <t>4.3 x_b+P_alta+eficiencias+T_sumidero</t>
        </is>
      </c>
      <c r="D4148" s="16" t="inlineStr">
        <is>
          <t>ronda 3</t>
        </is>
      </c>
      <c r="E4148" s="16" t="inlineStr">
        <is>
          <t>KF-M09</t>
        </is>
      </c>
      <c r="F4148" s="16" t="inlineStr">
        <is>
          <t>KF-M09-R3-x_b+P_alta+eficiencias+T_sumidero</t>
        </is>
      </c>
      <c r="G4148" s="16" t="inlineStr">
        <is>
          <t>B13-x_b+P_alta+eficiencias+T_sumidero</t>
        </is>
      </c>
      <c r="H4148" s="16" t="inlineStr">
        <is>
          <t>lhs</t>
        </is>
      </c>
      <c r="I4148" s="16" t="inlineStr">
        <is>
          <t>CORREGIBLE</t>
        </is>
      </c>
      <c r="J4148" s="16" t="inlineStr">
        <is>
          <t>CORREGIBLE</t>
        </is>
      </c>
      <c r="K4148" s="16" t="b">
        <v>1</v>
      </c>
      <c r="L4148" s="16" t="b">
        <v>0</v>
      </c>
      <c r="M4148" s="16" t="b">
        <v>0</v>
      </c>
      <c r="N4148" s="16" t="b">
        <v>0</v>
      </c>
      <c r="O4148" s="16" t="n">
        <v>426.4233676950571</v>
      </c>
      <c r="P4148" s="16" t="n">
        <v>300.032917</v>
      </c>
      <c r="Q4148" s="16" t="n">
        <v>3000</v>
      </c>
      <c r="R4148" s="16" t="n">
        <v>500.801256009008</v>
      </c>
      <c r="S4148" s="16" t="n">
        <v>0.5</v>
      </c>
      <c r="T4148" s="16" t="n">
        <v>0.85</v>
      </c>
      <c r="U4148" s="16" t="n">
        <v>0.75</v>
      </c>
      <c r="V4148" s="16" t="n">
        <v>0.85</v>
      </c>
      <c r="W4148" s="16" t="n">
        <v>0.75</v>
      </c>
      <c r="X4148" s="16" t="n">
        <v>0.8</v>
      </c>
      <c r="Y4148" s="16" t="n">
        <v>300.032917</v>
      </c>
      <c r="Z4148" s="16" t="n">
        <v>11.66218561598461</v>
      </c>
      <c r="AA4148" s="16" t="n">
        <v>67.91855936744797</v>
      </c>
      <c r="AB4148" s="16" t="n">
        <v>2499.198743990992</v>
      </c>
      <c r="AC4148" s="16" t="n">
        <v>5.990400311508082</v>
      </c>
      <c r="AD4148" s="16" t="inlineStr">
        <is>
          <t>O2</t>
        </is>
      </c>
      <c r="AE4148" s="16" t="n"/>
    </row>
    <row r="4149">
      <c r="A4149" s="16" t="inlineStr">
        <is>
          <t>KF-M09-R3-x_b+P_alta+eficiencias+T_sumidero-0005</t>
        </is>
      </c>
      <c r="B4149" s="16" t="inlineStr">
        <is>
          <t>4.3</t>
        </is>
      </c>
      <c r="C4149" s="16" t="inlineStr">
        <is>
          <t>4.3 x_b+P_alta+eficiencias+T_sumidero</t>
        </is>
      </c>
      <c r="D4149" s="16" t="inlineStr">
        <is>
          <t>ronda 3</t>
        </is>
      </c>
      <c r="E4149" s="16" t="inlineStr">
        <is>
          <t>KF-M09</t>
        </is>
      </c>
      <c r="F4149" s="16" t="inlineStr">
        <is>
          <t>KF-M09-R3-x_b+P_alta+eficiencias+T_sumidero</t>
        </is>
      </c>
      <c r="G4149" s="16" t="inlineStr">
        <is>
          <t>B13-x_b+P_alta+eficiencias+T_sumidero</t>
        </is>
      </c>
      <c r="H4149" s="16" t="inlineStr">
        <is>
          <t>lhs</t>
        </is>
      </c>
      <c r="I4149" s="16" t="inlineStr">
        <is>
          <t>CORREGIBLE</t>
        </is>
      </c>
      <c r="J4149" s="16" t="inlineStr">
        <is>
          <t>CORREGIBLE</t>
        </is>
      </c>
      <c r="K4149" s="16" t="b">
        <v>1</v>
      </c>
      <c r="L4149" s="16" t="b">
        <v>0</v>
      </c>
      <c r="M4149" s="16" t="b">
        <v>0</v>
      </c>
      <c r="N4149" s="16" t="b">
        <v>0</v>
      </c>
      <c r="O4149" s="16" t="n">
        <v>396.9418833403822</v>
      </c>
      <c r="P4149" s="16" t="n">
        <v>300.032917</v>
      </c>
      <c r="Q4149" s="16" t="n">
        <v>3000</v>
      </c>
      <c r="R4149" s="16" t="n">
        <v>333.5864466869371</v>
      </c>
      <c r="S4149" s="16" t="n">
        <v>0.5</v>
      </c>
      <c r="T4149" s="16" t="n">
        <v>0.85</v>
      </c>
      <c r="U4149" s="16" t="n">
        <v>0.75</v>
      </c>
      <c r="V4149" s="16" t="n">
        <v>0.85</v>
      </c>
      <c r="W4149" s="16" t="n">
        <v>0.75</v>
      </c>
      <c r="X4149" s="16" t="n">
        <v>0.8</v>
      </c>
      <c r="Y4149" s="16" t="n">
        <v>300.032917</v>
      </c>
      <c r="Z4149" s="16" t="n">
        <v>8.071419677646901</v>
      </c>
      <c r="AA4149" s="16" t="n">
        <v>18.46483308639647</v>
      </c>
      <c r="AB4149" s="16" t="n">
        <v>2666.413553313063</v>
      </c>
      <c r="AC4149" s="16" t="n">
        <v>8.993171124891139</v>
      </c>
      <c r="AD4149" s="16" t="inlineStr">
        <is>
          <t>O2</t>
        </is>
      </c>
      <c r="AE4149" s="16" t="n"/>
    </row>
    <row r="4150">
      <c r="A4150" s="16" t="inlineStr">
        <is>
          <t>KF-M09-R3-x_b+P_alta+eficiencias+T_sumidero-0006</t>
        </is>
      </c>
      <c r="B4150" s="16" t="inlineStr">
        <is>
          <t>4.3</t>
        </is>
      </c>
      <c r="C4150" s="16" t="inlineStr">
        <is>
          <t>4.3 x_b+P_alta+eficiencias+T_sumidero</t>
        </is>
      </c>
      <c r="D4150" s="16" t="inlineStr">
        <is>
          <t>ronda 3</t>
        </is>
      </c>
      <c r="E4150" s="16" t="inlineStr">
        <is>
          <t>KF-M09</t>
        </is>
      </c>
      <c r="F4150" s="16" t="inlineStr">
        <is>
          <t>KF-M09-R3-x_b+P_alta+eficiencias+T_sumidero</t>
        </is>
      </c>
      <c r="G4150" s="16" t="inlineStr">
        <is>
          <t>B13-x_b+P_alta+eficiencias+T_sumidero</t>
        </is>
      </c>
      <c r="H4150" s="16" t="inlineStr">
        <is>
          <t>lhs</t>
        </is>
      </c>
      <c r="I4150" s="16" t="inlineStr">
        <is>
          <t>CORREGIBLE</t>
        </is>
      </c>
      <c r="J4150" s="16" t="inlineStr">
        <is>
          <t>CORREGIBLE</t>
        </is>
      </c>
      <c r="K4150" s="16" t="b">
        <v>1</v>
      </c>
      <c r="L4150" s="16" t="b">
        <v>0</v>
      </c>
      <c r="M4150" s="16" t="b">
        <v>1</v>
      </c>
      <c r="N4150" s="16" t="b">
        <v>0</v>
      </c>
      <c r="O4150" s="16" t="n">
        <v>501.9930225301441</v>
      </c>
      <c r="P4150" s="16" t="n">
        <v>300.032917</v>
      </c>
      <c r="Q4150" s="16" t="n">
        <v>3000</v>
      </c>
      <c r="R4150" s="16" t="n">
        <v>1421.396432449997</v>
      </c>
      <c r="S4150" s="16" t="n">
        <v>0.5</v>
      </c>
      <c r="T4150" s="16" t="n">
        <v>0.85</v>
      </c>
      <c r="U4150" s="16" t="n">
        <v>0.75</v>
      </c>
      <c r="V4150" s="16" t="n">
        <v>0.85</v>
      </c>
      <c r="W4150" s="16" t="n">
        <v>0.75</v>
      </c>
      <c r="X4150" s="16" t="n">
        <v>0.8</v>
      </c>
      <c r="Y4150" s="16" t="n">
        <v>300.032917</v>
      </c>
      <c r="Z4150" s="16" t="n">
        <v>5.69410810581312</v>
      </c>
      <c r="AA4150" s="16" t="n">
        <v>95.81591909656264</v>
      </c>
      <c r="AB4150" s="16" t="n">
        <v>1578.603567550003</v>
      </c>
      <c r="AC4150" s="16" t="n">
        <v>2.110600485206675</v>
      </c>
      <c r="AD4150" s="16" t="inlineStr">
        <is>
          <t>O2</t>
        </is>
      </c>
      <c r="AE4150" s="16" t="n"/>
    </row>
    <row r="4151">
      <c r="A4151" s="16" t="inlineStr">
        <is>
          <t>KF-M09-R3-x_b+P_alta+eficiencias+T_sumidero-0007</t>
        </is>
      </c>
      <c r="B4151" s="16" t="inlineStr">
        <is>
          <t>4.3</t>
        </is>
      </c>
      <c r="C4151" s="16" t="inlineStr">
        <is>
          <t>4.3 x_b+P_alta+eficiencias+T_sumidero</t>
        </is>
      </c>
      <c r="D4151" s="16" t="inlineStr">
        <is>
          <t>ronda 3</t>
        </is>
      </c>
      <c r="E4151" s="16" t="inlineStr">
        <is>
          <t>KF-M09</t>
        </is>
      </c>
      <c r="F4151" s="16" t="inlineStr">
        <is>
          <t>KF-M09-R3-x_b+P_alta+eficiencias+T_sumidero</t>
        </is>
      </c>
      <c r="G4151" s="16" t="inlineStr">
        <is>
          <t>B13-x_b+P_alta+eficiencias+T_sumidero</t>
        </is>
      </c>
      <c r="H4151" s="16" t="inlineStr">
        <is>
          <t>lhs</t>
        </is>
      </c>
      <c r="I4151" s="16" t="inlineStr">
        <is>
          <t>CORREGIBLE</t>
        </is>
      </c>
      <c r="J4151" s="16" t="inlineStr">
        <is>
          <t>CORREGIBLE</t>
        </is>
      </c>
      <c r="K4151" s="16" t="b">
        <v>1</v>
      </c>
      <c r="L4151" s="16" t="b">
        <v>0</v>
      </c>
      <c r="M4151" s="16" t="b">
        <v>1</v>
      </c>
      <c r="N4151" s="16" t="b">
        <v>0</v>
      </c>
      <c r="O4151" s="16" t="n">
        <v>479.1464920330473</v>
      </c>
      <c r="P4151" s="16" t="n">
        <v>300.032917</v>
      </c>
      <c r="Q4151" s="16" t="n">
        <v>3000</v>
      </c>
      <c r="R4151" s="16" t="n">
        <v>1083.331735413817</v>
      </c>
      <c r="S4151" s="16" t="n">
        <v>0.5</v>
      </c>
      <c r="T4151" s="16" t="n">
        <v>0.85</v>
      </c>
      <c r="U4151" s="16" t="n">
        <v>0.75</v>
      </c>
      <c r="V4151" s="16" t="n">
        <v>0.85</v>
      </c>
      <c r="W4151" s="16" t="n">
        <v>0.75</v>
      </c>
      <c r="X4151" s="16" t="n">
        <v>0.8</v>
      </c>
      <c r="Y4151" s="16" t="n">
        <v>300.032917</v>
      </c>
      <c r="Z4151" s="16" t="n">
        <v>7.524598632770029</v>
      </c>
      <c r="AA4151" s="16" t="n">
        <v>122.7223151239271</v>
      </c>
      <c r="AB4151" s="16" t="n">
        <v>1916.668264586183</v>
      </c>
      <c r="AC4151" s="16" t="n">
        <v>2.769234853859463</v>
      </c>
      <c r="AD4151" s="16" t="inlineStr">
        <is>
          <t>O2</t>
        </is>
      </c>
      <c r="AE4151" s="16" t="n"/>
    </row>
    <row r="4152">
      <c r="A4152" s="16" t="inlineStr">
        <is>
          <t>KF-M09-R3-x_b+P_alta+eficiencias+T_sumidero-0008</t>
        </is>
      </c>
      <c r="B4152" s="16" t="inlineStr">
        <is>
          <t>4.3</t>
        </is>
      </c>
      <c r="C4152" s="16" t="inlineStr">
        <is>
          <t>4.3 x_b+P_alta+eficiencias+T_sumidero</t>
        </is>
      </c>
      <c r="D4152" s="16" t="inlineStr">
        <is>
          <t>ronda 3</t>
        </is>
      </c>
      <c r="E4152" s="16" t="inlineStr">
        <is>
          <t>KF-M09</t>
        </is>
      </c>
      <c r="F4152" s="16" t="inlineStr">
        <is>
          <t>KF-M09-R3-x_b+P_alta+eficiencias+T_sumidero</t>
        </is>
      </c>
      <c r="G4152" s="16" t="inlineStr">
        <is>
          <t>B13-x_b+P_alta+eficiencias+T_sumidero</t>
        </is>
      </c>
      <c r="H4152" s="16" t="inlineStr">
        <is>
          <t>lhs</t>
        </is>
      </c>
      <c r="I4152" s="16" t="inlineStr">
        <is>
          <t>CORREGIBLE</t>
        </is>
      </c>
      <c r="J4152" s="16" t="inlineStr">
        <is>
          <t>CORREGIBLE</t>
        </is>
      </c>
      <c r="K4152" s="16" t="b">
        <v>1</v>
      </c>
      <c r="L4152" s="16" t="b">
        <v>0</v>
      </c>
      <c r="M4152" s="16" t="b">
        <v>1</v>
      </c>
      <c r="N4152" s="16" t="b">
        <v>0</v>
      </c>
      <c r="O4152" s="16" t="n">
        <v>506.6084406623921</v>
      </c>
      <c r="P4152" s="16" t="n">
        <v>300.032917</v>
      </c>
      <c r="Q4152" s="16" t="n">
        <v>3000</v>
      </c>
      <c r="R4152" s="16" t="n">
        <v>934.295691383479</v>
      </c>
      <c r="S4152" s="16" t="n">
        <v>0.5</v>
      </c>
      <c r="T4152" s="16" t="n">
        <v>0.85</v>
      </c>
      <c r="U4152" s="16" t="n">
        <v>0.75</v>
      </c>
      <c r="V4152" s="16" t="n">
        <v>0.85</v>
      </c>
      <c r="W4152" s="16" t="n">
        <v>0.75</v>
      </c>
      <c r="X4152" s="16" t="n">
        <v>0.8</v>
      </c>
      <c r="Y4152" s="16" t="n">
        <v>300.032917</v>
      </c>
      <c r="Z4152" s="16" t="n">
        <v>8.413380365894881</v>
      </c>
      <c r="AA4152" s="16" t="n">
        <v>142.5271471007599</v>
      </c>
      <c r="AB4152" s="16" t="n">
        <v>2065.704308616521</v>
      </c>
      <c r="AC4152" s="16" t="n">
        <v>3.21097488479015</v>
      </c>
      <c r="AD4152" s="16" t="inlineStr">
        <is>
          <t>O2</t>
        </is>
      </c>
      <c r="AE4152" s="16" t="n"/>
    </row>
    <row r="4153">
      <c r="A4153" s="16" t="inlineStr">
        <is>
          <t>KF-M09-R3-x_b+P_alta+eficiencias+T_sumidero-0009</t>
        </is>
      </c>
      <c r="B4153" s="16" t="inlineStr">
        <is>
          <t>4.3</t>
        </is>
      </c>
      <c r="C4153" s="16" t="inlineStr">
        <is>
          <t>4.3 x_b+P_alta+eficiencias+T_sumidero</t>
        </is>
      </c>
      <c r="D4153" s="16" t="inlineStr">
        <is>
          <t>ronda 3</t>
        </is>
      </c>
      <c r="E4153" s="16" t="inlineStr">
        <is>
          <t>KF-M09</t>
        </is>
      </c>
      <c r="F4153" s="16" t="inlineStr">
        <is>
          <t>KF-M09-R3-x_b+P_alta+eficiencias+T_sumidero</t>
        </is>
      </c>
      <c r="G4153" s="16" t="inlineStr">
        <is>
          <t>B13-x_b+P_alta+eficiencias+T_sumidero</t>
        </is>
      </c>
      <c r="H4153" s="16" t="inlineStr">
        <is>
          <t>lhs</t>
        </is>
      </c>
      <c r="I4153" s="16" t="inlineStr">
        <is>
          <t>KALINA</t>
        </is>
      </c>
      <c r="J4153" s="16" t="inlineStr">
        <is>
          <t>KALINA</t>
        </is>
      </c>
      <c r="K4153" s="16" t="b">
        <v>1</v>
      </c>
      <c r="L4153" s="16" t="b">
        <v>1</v>
      </c>
      <c r="M4153" s="16" t="b">
        <v>0</v>
      </c>
      <c r="N4153" s="16" t="b">
        <v>0</v>
      </c>
      <c r="O4153" s="16" t="n">
        <v>400.0528994467302</v>
      </c>
      <c r="P4153" s="16" t="n">
        <v>300.032917</v>
      </c>
      <c r="Q4153" s="16" t="n">
        <v>3000</v>
      </c>
      <c r="R4153" s="16" t="n">
        <v>1659.698122145435</v>
      </c>
      <c r="S4153" s="16" t="n">
        <v>0.5</v>
      </c>
      <c r="T4153" s="16" t="n">
        <v>0.85</v>
      </c>
      <c r="U4153" s="16" t="n">
        <v>0.75</v>
      </c>
      <c r="V4153" s="16" t="n">
        <v>0.85</v>
      </c>
      <c r="W4153" s="16" t="n">
        <v>0.75</v>
      </c>
      <c r="X4153" s="16" t="n">
        <v>0.8</v>
      </c>
      <c r="Y4153" s="16" t="n">
        <v>300.032917</v>
      </c>
      <c r="Z4153" s="16" t="n">
        <v>2.66180361698832</v>
      </c>
      <c r="AA4153" s="16" t="n">
        <v>7.199685017201446</v>
      </c>
      <c r="AB4153" s="16" t="n">
        <v>1340.301877854565</v>
      </c>
      <c r="AC4153" s="16" t="n">
        <v>1.807557627481076</v>
      </c>
      <c r="AD4153" s="16" t="n"/>
      <c r="AE4153" s="16" t="n"/>
    </row>
    <row r="4154">
      <c r="A4154" s="16" t="inlineStr">
        <is>
          <t>KF-M09-R3-x_b+P_alta+eficiencias+T_sumidero-0010</t>
        </is>
      </c>
      <c r="B4154" s="16" t="inlineStr">
        <is>
          <t>4.3</t>
        </is>
      </c>
      <c r="C4154" s="16" t="inlineStr">
        <is>
          <t>4.3 x_b+P_alta+eficiencias+T_sumidero</t>
        </is>
      </c>
      <c r="D4154" s="16" t="inlineStr">
        <is>
          <t>ronda 3</t>
        </is>
      </c>
      <c r="E4154" s="16" t="inlineStr">
        <is>
          <t>KF-M09</t>
        </is>
      </c>
      <c r="F4154" s="16" t="inlineStr">
        <is>
          <t>KF-M09-R3-x_b+P_alta+eficiencias+T_sumidero</t>
        </is>
      </c>
      <c r="G4154" s="16" t="inlineStr">
        <is>
          <t>B13-x_b+P_alta+eficiencias+T_sumidero</t>
        </is>
      </c>
      <c r="H4154" s="16" t="inlineStr">
        <is>
          <t>lhs</t>
        </is>
      </c>
      <c r="I4154" s="16" t="inlineStr">
        <is>
          <t>CORREGIBLE</t>
        </is>
      </c>
      <c r="J4154" s="16" t="inlineStr">
        <is>
          <t>CORREGIBLE</t>
        </is>
      </c>
      <c r="K4154" s="16" t="b">
        <v>1</v>
      </c>
      <c r="L4154" s="16" t="b">
        <v>0</v>
      </c>
      <c r="M4154" s="16" t="b">
        <v>1</v>
      </c>
      <c r="N4154" s="16" t="b">
        <v>0</v>
      </c>
      <c r="O4154" s="16" t="n">
        <v>455.6470243979339</v>
      </c>
      <c r="P4154" s="16" t="n">
        <v>300.032917</v>
      </c>
      <c r="Q4154" s="16" t="n">
        <v>3000</v>
      </c>
      <c r="R4154" s="16" t="n">
        <v>1435.955357801197</v>
      </c>
      <c r="S4154" s="16" t="n">
        <v>0.5</v>
      </c>
      <c r="T4154" s="16" t="n">
        <v>0.85</v>
      </c>
      <c r="U4154" s="16" t="n">
        <v>0.75</v>
      </c>
      <c r="V4154" s="16" t="n">
        <v>0.85</v>
      </c>
      <c r="W4154" s="16" t="n">
        <v>0.75</v>
      </c>
      <c r="X4154" s="16" t="n">
        <v>0.8</v>
      </c>
      <c r="Y4154" s="16" t="n">
        <v>300.032917</v>
      </c>
      <c r="Z4154" s="16" t="n">
        <v>5.73495764745191</v>
      </c>
      <c r="AA4154" s="16" t="n">
        <v>61.86371088416786</v>
      </c>
      <c r="AB4154" s="16" t="n">
        <v>1564.044642198803</v>
      </c>
      <c r="AC4154" s="16" t="n">
        <v>2.089201439098874</v>
      </c>
      <c r="AD4154" s="16" t="inlineStr">
        <is>
          <t>O2</t>
        </is>
      </c>
      <c r="AE4154" s="16" t="n"/>
    </row>
    <row r="4155">
      <c r="A4155" s="16" t="inlineStr">
        <is>
          <t>KF-M09-R3-x_b+P_alta+eficiencias+T_sumidero-0011</t>
        </is>
      </c>
      <c r="B4155" s="16" t="inlineStr">
        <is>
          <t>4.3</t>
        </is>
      </c>
      <c r="C4155" s="16" t="inlineStr">
        <is>
          <t>4.3 x_b+P_alta+eficiencias+T_sumidero</t>
        </is>
      </c>
      <c r="D4155" s="16" t="inlineStr">
        <is>
          <t>ronda 3</t>
        </is>
      </c>
      <c r="E4155" s="16" t="inlineStr">
        <is>
          <t>KF-M09</t>
        </is>
      </c>
      <c r="F4155" s="16" t="inlineStr">
        <is>
          <t>KF-M09-R3-x_b+P_alta+eficiencias+T_sumidero</t>
        </is>
      </c>
      <c r="G4155" s="16" t="inlineStr">
        <is>
          <t>B13-x_b+P_alta+eficiencias+T_sumidero</t>
        </is>
      </c>
      <c r="H4155" s="16" t="inlineStr">
        <is>
          <t>lhs</t>
        </is>
      </c>
      <c r="I4155" s="16" t="inlineStr">
        <is>
          <t>CORREGIBLE</t>
        </is>
      </c>
      <c r="J4155" s="16" t="inlineStr">
        <is>
          <t>CORREGIBLE</t>
        </is>
      </c>
      <c r="K4155" s="16" t="b">
        <v>1</v>
      </c>
      <c r="L4155" s="16" t="b">
        <v>0</v>
      </c>
      <c r="M4155" s="16" t="b">
        <v>1</v>
      </c>
      <c r="N4155" s="16" t="b">
        <v>0</v>
      </c>
      <c r="O4155" s="16" t="n">
        <v>484.2386812489681</v>
      </c>
      <c r="P4155" s="16" t="n">
        <v>300.032917</v>
      </c>
      <c r="Q4155" s="16" t="n">
        <v>3000</v>
      </c>
      <c r="R4155" s="16" t="n">
        <v>1099.966423481563</v>
      </c>
      <c r="S4155" s="16" t="n">
        <v>0.5</v>
      </c>
      <c r="T4155" s="16" t="n">
        <v>0.85</v>
      </c>
      <c r="U4155" s="16" t="n">
        <v>0.75</v>
      </c>
      <c r="V4155" s="16" t="n">
        <v>0.85</v>
      </c>
      <c r="W4155" s="16" t="n">
        <v>0.75</v>
      </c>
      <c r="X4155" s="16" t="n">
        <v>0.8</v>
      </c>
      <c r="Y4155" s="16" t="n">
        <v>300.032917</v>
      </c>
      <c r="Z4155" s="16" t="n">
        <v>7.419779849527081</v>
      </c>
      <c r="AA4155" s="16" t="n">
        <v>121.90918253248</v>
      </c>
      <c r="AB4155" s="16" t="n">
        <v>1900.033576518437</v>
      </c>
      <c r="AC4155" s="16" t="n">
        <v>2.727355977380236</v>
      </c>
      <c r="AD4155" s="16" t="inlineStr">
        <is>
          <t>O2</t>
        </is>
      </c>
      <c r="AE4155" s="16" t="n"/>
    </row>
    <row r="4156">
      <c r="A4156" s="16" t="inlineStr">
        <is>
          <t>KF-M09-R3-x_b+P_alta+eficiencias+T_sumidero-0012</t>
        </is>
      </c>
      <c r="B4156" s="16" t="inlineStr">
        <is>
          <t>4.3</t>
        </is>
      </c>
      <c r="C4156" s="16" t="inlineStr">
        <is>
          <t>4.3 x_b+P_alta+eficiencias+T_sumidero</t>
        </is>
      </c>
      <c r="D4156" s="16" t="inlineStr">
        <is>
          <t>ronda 3</t>
        </is>
      </c>
      <c r="E4156" s="16" t="inlineStr">
        <is>
          <t>KF-M09</t>
        </is>
      </c>
      <c r="F4156" s="16" t="inlineStr">
        <is>
          <t>KF-M09-R3-x_b+P_alta+eficiencias+T_sumidero</t>
        </is>
      </c>
      <c r="G4156" s="16" t="inlineStr">
        <is>
          <t>B13-x_b+P_alta+eficiencias+T_sumidero</t>
        </is>
      </c>
      <c r="H4156" s="16" t="inlineStr">
        <is>
          <t>lhs</t>
        </is>
      </c>
      <c r="I4156" s="16" t="inlineStr">
        <is>
          <t>CORREGIBLE</t>
        </is>
      </c>
      <c r="J4156" s="16" t="inlineStr">
        <is>
          <t>CORREGIBLE</t>
        </is>
      </c>
      <c r="K4156" s="16" t="b">
        <v>1</v>
      </c>
      <c r="L4156" s="16" t="b">
        <v>0</v>
      </c>
      <c r="M4156" s="16" t="b">
        <v>1</v>
      </c>
      <c r="N4156" s="16" t="b">
        <v>0</v>
      </c>
      <c r="O4156" s="16" t="n">
        <v>488.9151160934373</v>
      </c>
      <c r="P4156" s="16" t="n">
        <v>300.032917</v>
      </c>
      <c r="Q4156" s="16" t="n">
        <v>3000</v>
      </c>
      <c r="R4156" s="16" t="n">
        <v>1221.414050101934</v>
      </c>
      <c r="S4156" s="16" t="n">
        <v>0.5</v>
      </c>
      <c r="T4156" s="16" t="n">
        <v>0.85</v>
      </c>
      <c r="U4156" s="16" t="n">
        <v>0.75</v>
      </c>
      <c r="V4156" s="16" t="n">
        <v>0.85</v>
      </c>
      <c r="W4156" s="16" t="n">
        <v>0.75</v>
      </c>
      <c r="X4156" s="16" t="n">
        <v>0.8</v>
      </c>
      <c r="Y4156" s="16" t="n">
        <v>300.032917</v>
      </c>
      <c r="Z4156" s="16" t="n">
        <v>6.731701291809291</v>
      </c>
      <c r="AA4156" s="16" t="n">
        <v>111.3196461994943</v>
      </c>
      <c r="AB4156" s="16" t="n">
        <v>1778.585949898066</v>
      </c>
      <c r="AC4156" s="16" t="n">
        <v>2.456169551799108</v>
      </c>
      <c r="AD4156" s="16" t="inlineStr">
        <is>
          <t>O2</t>
        </is>
      </c>
      <c r="AE4156" s="16" t="n"/>
    </row>
    <row r="4157">
      <c r="A4157" s="16" t="inlineStr">
        <is>
          <t>KF-M09-R3-x_b+P_alta+eficiencias+T_sumidero-0013</t>
        </is>
      </c>
      <c r="B4157" s="16" t="inlineStr">
        <is>
          <t>4.3</t>
        </is>
      </c>
      <c r="C4157" s="16" t="inlineStr">
        <is>
          <t>4.3 x_b+P_alta+eficiencias+T_sumidero</t>
        </is>
      </c>
      <c r="D4157" s="16" t="inlineStr">
        <is>
          <t>ronda 3</t>
        </is>
      </c>
      <c r="E4157" s="16" t="inlineStr">
        <is>
          <t>KF-M09</t>
        </is>
      </c>
      <c r="F4157" s="16" t="inlineStr">
        <is>
          <t>KF-M09-R3-x_b+P_alta+eficiencias+T_sumidero</t>
        </is>
      </c>
      <c r="G4157" s="16" t="inlineStr">
        <is>
          <t>B13-x_b+P_alta+eficiencias+T_sumidero</t>
        </is>
      </c>
      <c r="H4157" s="16" t="inlineStr">
        <is>
          <t>lhs</t>
        </is>
      </c>
      <c r="I4157" s="16" t="inlineStr">
        <is>
          <t>CORREGIBLE</t>
        </is>
      </c>
      <c r="J4157" s="16" t="inlineStr">
        <is>
          <t>CORREGIBLE</t>
        </is>
      </c>
      <c r="K4157" s="16" t="b">
        <v>1</v>
      </c>
      <c r="L4157" s="16" t="b">
        <v>0</v>
      </c>
      <c r="M4157" s="16" t="b">
        <v>1</v>
      </c>
      <c r="N4157" s="16" t="b">
        <v>0</v>
      </c>
      <c r="O4157" s="16" t="n">
        <v>459.9856876142608</v>
      </c>
      <c r="P4157" s="16" t="n">
        <v>300.032917</v>
      </c>
      <c r="Q4157" s="16" t="n">
        <v>3000</v>
      </c>
      <c r="R4157" s="16" t="n">
        <v>1673.725717728535</v>
      </c>
      <c r="S4157" s="16" t="n">
        <v>0.5</v>
      </c>
      <c r="T4157" s="16" t="n">
        <v>0.85</v>
      </c>
      <c r="U4157" s="16" t="n">
        <v>0.75</v>
      </c>
      <c r="V4157" s="16" t="n">
        <v>0.85</v>
      </c>
      <c r="W4157" s="16" t="n">
        <v>0.75</v>
      </c>
      <c r="X4157" s="16" t="n">
        <v>0.8</v>
      </c>
      <c r="Y4157" s="16" t="n">
        <v>300.032917</v>
      </c>
      <c r="Z4157" s="16" t="n">
        <v>4.62857708774155</v>
      </c>
      <c r="AA4157" s="16" t="n">
        <v>55.10169113227285</v>
      </c>
      <c r="AB4157" s="16" t="n">
        <v>1326.274282271465</v>
      </c>
      <c r="AC4157" s="16" t="n">
        <v>1.792408378638881</v>
      </c>
      <c r="AD4157" s="16" t="inlineStr">
        <is>
          <t>O2</t>
        </is>
      </c>
      <c r="AE4157" s="16" t="n"/>
    </row>
    <row r="4158">
      <c r="A4158" s="16" t="inlineStr">
        <is>
          <t>KF-M09-R3-x_b+P_alta+eficiencias+T_sumidero-0014</t>
        </is>
      </c>
      <c r="B4158" s="16" t="inlineStr">
        <is>
          <t>4.3</t>
        </is>
      </c>
      <c r="C4158" s="16" t="inlineStr">
        <is>
          <t>4.3 x_b+P_alta+eficiencias+T_sumidero</t>
        </is>
      </c>
      <c r="D4158" s="16" t="inlineStr">
        <is>
          <t>ronda 3</t>
        </is>
      </c>
      <c r="E4158" s="16" t="inlineStr">
        <is>
          <t>KF-M09</t>
        </is>
      </c>
      <c r="F4158" s="16" t="inlineStr">
        <is>
          <t>KF-M09-R3-x_b+P_alta+eficiencias+T_sumidero</t>
        </is>
      </c>
      <c r="G4158" s="16" t="inlineStr">
        <is>
          <t>B13-x_b+P_alta+eficiencias+T_sumidero</t>
        </is>
      </c>
      <c r="H4158" s="16" t="inlineStr">
        <is>
          <t>lhs</t>
        </is>
      </c>
      <c r="I4158" s="16" t="inlineStr">
        <is>
          <t>KALINA</t>
        </is>
      </c>
      <c r="J4158" s="16" t="inlineStr">
        <is>
          <t>KALINA</t>
        </is>
      </c>
      <c r="K4158" s="16" t="b">
        <v>1</v>
      </c>
      <c r="L4158" s="16" t="b">
        <v>0</v>
      </c>
      <c r="M4158" s="16" t="b">
        <v>1</v>
      </c>
      <c r="N4158" s="16" t="b">
        <v>0</v>
      </c>
      <c r="O4158" s="16" t="n">
        <v>444.4183633242893</v>
      </c>
      <c r="P4158" s="16" t="n">
        <v>300.032917</v>
      </c>
      <c r="Q4158" s="16" t="n">
        <v>3000</v>
      </c>
      <c r="R4158" s="16" t="n">
        <v>1269.881171969826</v>
      </c>
      <c r="S4158" s="16" t="n">
        <v>0.5</v>
      </c>
      <c r="T4158" s="16" t="n">
        <v>0.85</v>
      </c>
      <c r="U4158" s="16" t="n">
        <v>0.75</v>
      </c>
      <c r="V4158" s="16" t="n">
        <v>0.85</v>
      </c>
      <c r="W4158" s="16" t="n">
        <v>0.75</v>
      </c>
      <c r="X4158" s="16" t="n">
        <v>0.8</v>
      </c>
      <c r="Y4158" s="16" t="n">
        <v>300.032917</v>
      </c>
      <c r="Z4158" s="16" t="n">
        <v>6.44841925286537</v>
      </c>
      <c r="AA4158" s="16" t="n">
        <v>54.63160725854056</v>
      </c>
      <c r="AB4158" s="16" t="n">
        <v>1730.118828030174</v>
      </c>
      <c r="AC4158" s="16" t="n">
        <v>2.362425765669423</v>
      </c>
      <c r="AD4158" s="16" t="n"/>
      <c r="AE4158" s="16" t="n"/>
    </row>
    <row r="4159">
      <c r="A4159" s="16" t="inlineStr">
        <is>
          <t>KF-M09-R3-x_b+P_alta+eficiencias+T_sumidero-0015</t>
        </is>
      </c>
      <c r="B4159" s="16" t="inlineStr">
        <is>
          <t>4.3</t>
        </is>
      </c>
      <c r="C4159" s="16" t="inlineStr">
        <is>
          <t>4.3 x_b+P_alta+eficiencias+T_sumidero</t>
        </is>
      </c>
      <c r="D4159" s="16" t="inlineStr">
        <is>
          <t>ronda 3</t>
        </is>
      </c>
      <c r="E4159" s="16" t="inlineStr">
        <is>
          <t>KF-M09</t>
        </is>
      </c>
      <c r="F4159" s="16" t="inlineStr">
        <is>
          <t>KF-M09-R3-x_b+P_alta+eficiencias+T_sumidero</t>
        </is>
      </c>
      <c r="G4159" s="16" t="inlineStr">
        <is>
          <t>B13-x_b+P_alta+eficiencias+T_sumidero</t>
        </is>
      </c>
      <c r="H4159" s="16" t="inlineStr">
        <is>
          <t>lhs</t>
        </is>
      </c>
      <c r="I4159" s="16" t="inlineStr">
        <is>
          <t>CORREGIBLE</t>
        </is>
      </c>
      <c r="J4159" s="16" t="inlineStr">
        <is>
          <t>CORREGIBLE</t>
        </is>
      </c>
      <c r="K4159" s="16" t="b">
        <v>1</v>
      </c>
      <c r="L4159" s="16" t="b">
        <v>0</v>
      </c>
      <c r="M4159" s="16" t="b">
        <v>1</v>
      </c>
      <c r="N4159" s="16" t="b">
        <v>0</v>
      </c>
      <c r="O4159" s="16" t="n">
        <v>511.7636181699425</v>
      </c>
      <c r="P4159" s="16" t="n">
        <v>300.032917</v>
      </c>
      <c r="Q4159" s="16" t="n">
        <v>3000</v>
      </c>
      <c r="R4159" s="16" t="n">
        <v>1541.785108758292</v>
      </c>
      <c r="S4159" s="16" t="n">
        <v>0.5</v>
      </c>
      <c r="T4159" s="16" t="n">
        <v>0.85</v>
      </c>
      <c r="U4159" s="16" t="n">
        <v>0.75</v>
      </c>
      <c r="V4159" s="16" t="n">
        <v>0.85</v>
      </c>
      <c r="W4159" s="16" t="n">
        <v>0.75</v>
      </c>
      <c r="X4159" s="16" t="n">
        <v>0.8</v>
      </c>
      <c r="Y4159" s="16" t="n">
        <v>300.032917</v>
      </c>
      <c r="Z4159" s="16" t="n">
        <v>5.11834342240105</v>
      </c>
      <c r="AA4159" s="16" t="n">
        <v>87.20676086655018</v>
      </c>
      <c r="AB4159" s="16" t="n">
        <v>1458.214891241708</v>
      </c>
      <c r="AC4159" s="16" t="n">
        <v>1.945796455652702</v>
      </c>
      <c r="AD4159" s="16" t="inlineStr">
        <is>
          <t>O2</t>
        </is>
      </c>
      <c r="AE4159" s="16" t="n"/>
    </row>
    <row r="4160">
      <c r="A4160" s="16" t="inlineStr">
        <is>
          <t>KF-M09-R3-x_b+P_alta+eficiencias+T_sumidero-0016</t>
        </is>
      </c>
      <c r="B4160" s="16" t="inlineStr">
        <is>
          <t>4.3</t>
        </is>
      </c>
      <c r="C4160" s="16" t="inlineStr">
        <is>
          <t>4.3 x_b+P_alta+eficiencias+T_sumidero</t>
        </is>
      </c>
      <c r="D4160" s="16" t="inlineStr">
        <is>
          <t>ronda 3</t>
        </is>
      </c>
      <c r="E4160" s="16" t="inlineStr">
        <is>
          <t>KF-M09</t>
        </is>
      </c>
      <c r="F4160" s="16" t="inlineStr">
        <is>
          <t>KF-M09-R3-x_b+P_alta+eficiencias+T_sumidero</t>
        </is>
      </c>
      <c r="G4160" s="16" t="inlineStr">
        <is>
          <t>B13-x_b+P_alta+eficiencias+T_sumidero</t>
        </is>
      </c>
      <c r="H4160" s="16" t="inlineStr">
        <is>
          <t>lhs</t>
        </is>
      </c>
      <c r="I4160" s="16" t="inlineStr">
        <is>
          <t>CORREGIBLE</t>
        </is>
      </c>
      <c r="J4160" s="16" t="inlineStr">
        <is>
          <t>CORREGIBLE</t>
        </is>
      </c>
      <c r="K4160" s="16" t="b">
        <v>1</v>
      </c>
      <c r="L4160" s="16" t="b">
        <v>0</v>
      </c>
      <c r="M4160" s="16" t="b">
        <v>1</v>
      </c>
      <c r="N4160" s="16" t="b">
        <v>0</v>
      </c>
      <c r="O4160" s="16" t="n">
        <v>433.5568282427129</v>
      </c>
      <c r="P4160" s="16" t="n">
        <v>300.032917</v>
      </c>
      <c r="Q4160" s="16" t="n">
        <v>3000</v>
      </c>
      <c r="R4160" s="16" t="n">
        <v>717.2352426107402</v>
      </c>
      <c r="S4160" s="16" t="n">
        <v>0.5</v>
      </c>
      <c r="T4160" s="16" t="n">
        <v>0.85</v>
      </c>
      <c r="U4160" s="16" t="n">
        <v>0.75</v>
      </c>
      <c r="V4160" s="16" t="n">
        <v>0.85</v>
      </c>
      <c r="W4160" s="16" t="n">
        <v>0.75</v>
      </c>
      <c r="X4160" s="16" t="n">
        <v>0.8</v>
      </c>
      <c r="Y4160" s="16" t="n">
        <v>300.032917</v>
      </c>
      <c r="Z4160" s="16" t="n">
        <v>9.98865095586261</v>
      </c>
      <c r="AA4160" s="16" t="n">
        <v>67.72038187144783</v>
      </c>
      <c r="AB4160" s="16" t="n">
        <v>2282.76475738926</v>
      </c>
      <c r="AC4160" s="16" t="n">
        <v>4.182728095011036</v>
      </c>
      <c r="AD4160" s="16" t="inlineStr">
        <is>
          <t>O2</t>
        </is>
      </c>
      <c r="AE4160" s="16" t="n"/>
    </row>
    <row r="4161">
      <c r="A4161" s="16" t="inlineStr">
        <is>
          <t>KF-M09-R3-x_b+P_alta+eficiencias+T_sumidero-0017</t>
        </is>
      </c>
      <c r="B4161" s="16" t="inlineStr">
        <is>
          <t>4.3</t>
        </is>
      </c>
      <c r="C4161" s="16" t="inlineStr">
        <is>
          <t>4.3 x_b+P_alta+eficiencias+T_sumidero</t>
        </is>
      </c>
      <c r="D4161" s="16" t="inlineStr">
        <is>
          <t>ronda 3</t>
        </is>
      </c>
      <c r="E4161" s="16" t="inlineStr">
        <is>
          <t>KF-M09</t>
        </is>
      </c>
      <c r="F4161" s="16" t="inlineStr">
        <is>
          <t>KF-M09-R3-x_b+P_alta+eficiencias+T_sumidero</t>
        </is>
      </c>
      <c r="G4161" s="16" t="inlineStr">
        <is>
          <t>B13-x_b+P_alta+eficiencias+T_sumidero</t>
        </is>
      </c>
      <c r="H4161" s="16" t="inlineStr">
        <is>
          <t>lhs</t>
        </is>
      </c>
      <c r="I4161" s="16" t="inlineStr">
        <is>
          <t>KALINA</t>
        </is>
      </c>
      <c r="J4161" s="16" t="inlineStr">
        <is>
          <t>KALINA</t>
        </is>
      </c>
      <c r="K4161" s="16" t="b">
        <v>1</v>
      </c>
      <c r="L4161" s="16" t="b">
        <v>1</v>
      </c>
      <c r="M4161" s="16" t="b">
        <v>0</v>
      </c>
      <c r="N4161" s="16" t="b">
        <v>0</v>
      </c>
      <c r="O4161" s="16" t="n">
        <v>417.4299271364909</v>
      </c>
      <c r="P4161" s="16" t="n">
        <v>300.032917</v>
      </c>
      <c r="Q4161" s="16" t="n">
        <v>3000</v>
      </c>
      <c r="R4161" s="16" t="n">
        <v>1020.616023891988</v>
      </c>
      <c r="S4161" s="16" t="n">
        <v>0.5</v>
      </c>
      <c r="T4161" s="16" t="n">
        <v>0.85</v>
      </c>
      <c r="U4161" s="16" t="n">
        <v>0.75</v>
      </c>
      <c r="V4161" s="16" t="n">
        <v>0.85</v>
      </c>
      <c r="W4161" s="16" t="n">
        <v>0.75</v>
      </c>
      <c r="X4161" s="16" t="n">
        <v>0.8</v>
      </c>
      <c r="Y4161" s="16" t="n">
        <v>300.032917</v>
      </c>
      <c r="Z4161" s="16" t="n">
        <v>6.9330499458197</v>
      </c>
      <c r="AA4161" s="16" t="n">
        <v>32.68619157683976</v>
      </c>
      <c r="AB4161" s="16" t="n">
        <v>1979.383976108012</v>
      </c>
      <c r="AC4161" s="16" t="n">
        <v>2.939401233933096</v>
      </c>
      <c r="AD4161" s="16" t="n"/>
      <c r="AE4161" s="16" t="n"/>
    </row>
    <row r="4162">
      <c r="A4162" s="16" t="inlineStr">
        <is>
          <t>KF-M09-R3-x_b+P_alta+eficiencias+T_sumidero-0018</t>
        </is>
      </c>
      <c r="B4162" s="16" t="inlineStr">
        <is>
          <t>4.3</t>
        </is>
      </c>
      <c r="C4162" s="16" t="inlineStr">
        <is>
          <t>4.3 x_b+P_alta+eficiencias+T_sumidero</t>
        </is>
      </c>
      <c r="D4162" s="16" t="inlineStr">
        <is>
          <t>ronda 3</t>
        </is>
      </c>
      <c r="E4162" s="16" t="inlineStr">
        <is>
          <t>KF-M09</t>
        </is>
      </c>
      <c r="F4162" s="16" t="inlineStr">
        <is>
          <t>KF-M09-R3-x_b+P_alta+eficiencias+T_sumidero</t>
        </is>
      </c>
      <c r="G4162" s="16" t="inlineStr">
        <is>
          <t>B13-x_b+P_alta+eficiencias+T_sumidero</t>
        </is>
      </c>
      <c r="H4162" s="16" t="inlineStr">
        <is>
          <t>lhs</t>
        </is>
      </c>
      <c r="I4162" s="16" t="inlineStr">
        <is>
          <t>INVIABLE</t>
        </is>
      </c>
      <c r="J4162" s="16" t="inlineStr">
        <is>
          <t>INVIABLE</t>
        </is>
      </c>
      <c r="K4162" s="16" t="b">
        <v>1</v>
      </c>
      <c r="L4162" s="16" t="b">
        <v>0</v>
      </c>
      <c r="M4162" s="16" t="b">
        <v>0</v>
      </c>
      <c r="N4162" s="16" t="b">
        <v>0</v>
      </c>
      <c r="O4162" s="16" t="n">
        <v>388.4522970203506</v>
      </c>
      <c r="P4162" s="16" t="n">
        <v>300.032917</v>
      </c>
      <c r="Q4162" s="16" t="n">
        <v>3000</v>
      </c>
      <c r="R4162" s="16" t="n">
        <v>1582.857354154322</v>
      </c>
      <c r="S4162" s="16" t="n">
        <v>0.5</v>
      </c>
      <c r="T4162" s="16" t="n">
        <v>0.85</v>
      </c>
      <c r="U4162" s="16" t="n">
        <v>0.75</v>
      </c>
      <c r="V4162" s="16" t="n">
        <v>0.85</v>
      </c>
      <c r="W4162" s="16" t="n">
        <v>0.75</v>
      </c>
      <c r="X4162" s="16" t="n">
        <v>0.8</v>
      </c>
      <c r="Y4162" s="16" t="n">
        <v>300.032917</v>
      </c>
      <c r="Z4162" s="16" t="n">
        <v>-0.5911139074745499</v>
      </c>
      <c r="AA4162" s="16" t="n">
        <v>-0.7327669480404062</v>
      </c>
      <c r="AB4162" s="16" t="n">
        <v>1417.142645845678</v>
      </c>
      <c r="AC4162" s="16" t="n">
        <v>1.895306606199406</v>
      </c>
      <c r="AD4162" s="16" t="inlineStr">
        <is>
          <t>O3</t>
        </is>
      </c>
      <c r="AE4162" s="16" t="n"/>
    </row>
    <row r="4163">
      <c r="A4163" s="16" t="inlineStr">
        <is>
          <t>KF-M09-R3-x_b+P_alta+eficiencias+T_sumidero-0019</t>
        </is>
      </c>
      <c r="B4163" s="16" t="inlineStr">
        <is>
          <t>4.3</t>
        </is>
      </c>
      <c r="C4163" s="16" t="inlineStr">
        <is>
          <t>4.3 x_b+P_alta+eficiencias+T_sumidero</t>
        </is>
      </c>
      <c r="D4163" s="16" t="inlineStr">
        <is>
          <t>ronda 3</t>
        </is>
      </c>
      <c r="E4163" s="16" t="inlineStr">
        <is>
          <t>KF-M09</t>
        </is>
      </c>
      <c r="F4163" s="16" t="inlineStr">
        <is>
          <t>KF-M09-R3-x_b+P_alta+eficiencias+T_sumidero</t>
        </is>
      </c>
      <c r="G4163" s="16" t="inlineStr">
        <is>
          <t>B13-x_b+P_alta+eficiencias+T_sumidero</t>
        </is>
      </c>
      <c r="H4163" s="16" t="inlineStr">
        <is>
          <t>lhs</t>
        </is>
      </c>
      <c r="I4163" s="16" t="inlineStr">
        <is>
          <t>CORREGIBLE</t>
        </is>
      </c>
      <c r="J4163" s="16" t="inlineStr">
        <is>
          <t>CORREGIBLE</t>
        </is>
      </c>
      <c r="K4163" s="16" t="b">
        <v>1</v>
      </c>
      <c r="L4163" s="16" t="b">
        <v>0</v>
      </c>
      <c r="M4163" s="16" t="b">
        <v>1</v>
      </c>
      <c r="N4163" s="16" t="b">
        <v>0</v>
      </c>
      <c r="O4163" s="16" t="n">
        <v>516.0428539129589</v>
      </c>
      <c r="P4163" s="16" t="n">
        <v>300.032917</v>
      </c>
      <c r="Q4163" s="16" t="n">
        <v>3000</v>
      </c>
      <c r="R4163" s="16" t="n">
        <v>1858.040392461752</v>
      </c>
      <c r="S4163" s="16" t="n">
        <v>0.5</v>
      </c>
      <c r="T4163" s="16" t="n">
        <v>0.85</v>
      </c>
      <c r="U4163" s="16" t="n">
        <v>0.75</v>
      </c>
      <c r="V4163" s="16" t="n">
        <v>0.85</v>
      </c>
      <c r="W4163" s="16" t="n">
        <v>0.75</v>
      </c>
      <c r="X4163" s="16" t="n">
        <v>0.8</v>
      </c>
      <c r="Y4163" s="16" t="n">
        <v>300.032917</v>
      </c>
      <c r="Z4163" s="16" t="n">
        <v>3.77312284694514</v>
      </c>
      <c r="AA4163" s="16" t="n">
        <v>64.57189472096297</v>
      </c>
      <c r="AB4163" s="16" t="n">
        <v>1141.959607538248</v>
      </c>
      <c r="AC4163" s="16" t="n">
        <v>1.614604296102112</v>
      </c>
      <c r="AD4163" s="16" t="inlineStr">
        <is>
          <t>O2</t>
        </is>
      </c>
      <c r="AE4163" s="16" t="n"/>
    </row>
    <row r="4164">
      <c r="A4164" s="16" t="inlineStr">
        <is>
          <t>KF-M09-R3-x_b+P_alta+eficiencias+T_sumidero-0020</t>
        </is>
      </c>
      <c r="B4164" s="16" t="inlineStr">
        <is>
          <t>4.3</t>
        </is>
      </c>
      <c r="C4164" s="16" t="inlineStr">
        <is>
          <t>4.3 x_b+P_alta+eficiencias+T_sumidero</t>
        </is>
      </c>
      <c r="D4164" s="16" t="inlineStr">
        <is>
          <t>ronda 3</t>
        </is>
      </c>
      <c r="E4164" s="16" t="inlineStr">
        <is>
          <t>KF-M09</t>
        </is>
      </c>
      <c r="F4164" s="16" t="inlineStr">
        <is>
          <t>KF-M09-R3-x_b+P_alta+eficiencias+T_sumidero</t>
        </is>
      </c>
      <c r="G4164" s="16" t="inlineStr">
        <is>
          <t>B13-x_b+P_alta+eficiencias+T_sumidero</t>
        </is>
      </c>
      <c r="H4164" s="16" t="inlineStr">
        <is>
          <t>lhs</t>
        </is>
      </c>
      <c r="I4164" s="16" t="inlineStr">
        <is>
          <t>CORREGIBLE</t>
        </is>
      </c>
      <c r="J4164" s="16" t="inlineStr">
        <is>
          <t>CORREGIBLE</t>
        </is>
      </c>
      <c r="K4164" s="16" t="b">
        <v>1</v>
      </c>
      <c r="L4164" s="16" t="b">
        <v>0</v>
      </c>
      <c r="M4164" s="16" t="b">
        <v>1</v>
      </c>
      <c r="N4164" s="16" t="b">
        <v>0</v>
      </c>
      <c r="O4164" s="16" t="n">
        <v>465.9714210178432</v>
      </c>
      <c r="P4164" s="16" t="n">
        <v>300.032917</v>
      </c>
      <c r="Q4164" s="16" t="n">
        <v>3000</v>
      </c>
      <c r="R4164" s="16" t="n">
        <v>1323.1349557925</v>
      </c>
      <c r="S4164" s="16" t="n">
        <v>0.5</v>
      </c>
      <c r="T4164" s="16" t="n">
        <v>0.85</v>
      </c>
      <c r="U4164" s="16" t="n">
        <v>0.75</v>
      </c>
      <c r="V4164" s="16" t="n">
        <v>0.85</v>
      </c>
      <c r="W4164" s="16" t="n">
        <v>0.75</v>
      </c>
      <c r="X4164" s="16" t="n">
        <v>0.8</v>
      </c>
      <c r="Y4164" s="16" t="n">
        <v>300.032917</v>
      </c>
      <c r="Z4164" s="16" t="n">
        <v>6.320011131474621</v>
      </c>
      <c r="AA4164" s="16" t="n">
        <v>87.2343879236612</v>
      </c>
      <c r="AB4164" s="16" t="n">
        <v>1676.8650442075</v>
      </c>
      <c r="AC4164" s="16" t="n">
        <v>2.267342410436985</v>
      </c>
      <c r="AD4164" s="16" t="inlineStr">
        <is>
          <t>O2</t>
        </is>
      </c>
      <c r="AE4164" s="16" t="n"/>
    </row>
    <row r="4165">
      <c r="A4165" s="16" t="inlineStr">
        <is>
          <t>KF-M09-R3-x_b+P_alta+eficiencias+T_sumidero-0021</t>
        </is>
      </c>
      <c r="B4165" s="16" t="inlineStr">
        <is>
          <t>4.3</t>
        </is>
      </c>
      <c r="C4165" s="16" t="inlineStr">
        <is>
          <t>4.3 x_b+P_alta+eficiencias+T_sumidero</t>
        </is>
      </c>
      <c r="D4165" s="16" t="inlineStr">
        <is>
          <t>ronda 3</t>
        </is>
      </c>
      <c r="E4165" s="16" t="inlineStr">
        <is>
          <t>KF-M09</t>
        </is>
      </c>
      <c r="F4165" s="16" t="inlineStr">
        <is>
          <t>KF-M09-R3-x_b+P_alta+eficiencias+T_sumidero</t>
        </is>
      </c>
      <c r="G4165" s="16" t="inlineStr">
        <is>
          <t>B13-x_b+P_alta+eficiencias+T_sumidero</t>
        </is>
      </c>
      <c r="H4165" s="16" t="inlineStr">
        <is>
          <t>lhs</t>
        </is>
      </c>
      <c r="I4165" s="16" t="inlineStr">
        <is>
          <t>KALINA</t>
        </is>
      </c>
      <c r="J4165" s="16" t="inlineStr">
        <is>
          <t>KALINA</t>
        </is>
      </c>
      <c r="K4165" s="16" t="b">
        <v>1</v>
      </c>
      <c r="L4165" s="16" t="b">
        <v>0</v>
      </c>
      <c r="M4165" s="16" t="b">
        <v>1</v>
      </c>
      <c r="N4165" s="16" t="b">
        <v>0</v>
      </c>
      <c r="O4165" s="16" t="n">
        <v>445.5961841513932</v>
      </c>
      <c r="P4165" s="16" t="n">
        <v>300.032917</v>
      </c>
      <c r="Q4165" s="16" t="n">
        <v>3000</v>
      </c>
      <c r="R4165" s="16" t="n">
        <v>1751.010940889712</v>
      </c>
      <c r="S4165" s="16" t="n">
        <v>0.5</v>
      </c>
      <c r="T4165" s="16" t="n">
        <v>0.85</v>
      </c>
      <c r="U4165" s="16" t="n">
        <v>0.75</v>
      </c>
      <c r="V4165" s="16" t="n">
        <v>0.85</v>
      </c>
      <c r="W4165" s="16" t="n">
        <v>0.75</v>
      </c>
      <c r="X4165" s="16" t="n">
        <v>0.8</v>
      </c>
      <c r="Y4165" s="16" t="n">
        <v>300.032917</v>
      </c>
      <c r="Z4165" s="16" t="n">
        <v>4.10206145215813</v>
      </c>
      <c r="AA4165" s="16" t="n">
        <v>35.5341146521506</v>
      </c>
      <c r="AB4165" s="16" t="n">
        <v>1248.989059110288</v>
      </c>
      <c r="AC4165" s="16" t="n">
        <v>1.713295976594904</v>
      </c>
      <c r="AD4165" s="16" t="n"/>
      <c r="AE4165" s="16" t="n"/>
    </row>
    <row r="4166">
      <c r="A4166" s="16" t="inlineStr">
        <is>
          <t>KF-M09-R3-x_b+P_alta+eficiencias+T_sumidero-0022</t>
        </is>
      </c>
      <c r="B4166" s="16" t="inlineStr">
        <is>
          <t>4.3</t>
        </is>
      </c>
      <c r="C4166" s="16" t="inlineStr">
        <is>
          <t>4.3 x_b+P_alta+eficiencias+T_sumidero</t>
        </is>
      </c>
      <c r="D4166" s="16" t="inlineStr">
        <is>
          <t>ronda 3</t>
        </is>
      </c>
      <c r="E4166" s="16" t="inlineStr">
        <is>
          <t>KF-M09</t>
        </is>
      </c>
      <c r="F4166" s="16" t="inlineStr">
        <is>
          <t>KF-M09-R3-x_b+P_alta+eficiencias+T_sumidero</t>
        </is>
      </c>
      <c r="G4166" s="16" t="inlineStr">
        <is>
          <t>B13-x_b+P_alta+eficiencias+T_sumidero</t>
        </is>
      </c>
      <c r="H4166" s="16" t="inlineStr">
        <is>
          <t>lhs</t>
        </is>
      </c>
      <c r="I4166" s="16" t="inlineStr">
        <is>
          <t>CORREGIBLE</t>
        </is>
      </c>
      <c r="J4166" s="16" t="inlineStr">
        <is>
          <t>CORREGIBLE</t>
        </is>
      </c>
      <c r="K4166" s="16" t="b">
        <v>1</v>
      </c>
      <c r="L4166" s="16" t="b">
        <v>0</v>
      </c>
      <c r="M4166" s="16" t="b">
        <v>1</v>
      </c>
      <c r="N4166" s="16" t="b">
        <v>0</v>
      </c>
      <c r="O4166" s="16" t="n">
        <v>495.9022381761652</v>
      </c>
      <c r="P4166" s="16" t="n">
        <v>300.032917</v>
      </c>
      <c r="Q4166" s="16" t="n">
        <v>3000</v>
      </c>
      <c r="R4166" s="16" t="n">
        <v>919.7000282623902</v>
      </c>
      <c r="S4166" s="16" t="n">
        <v>0.5</v>
      </c>
      <c r="T4166" s="16" t="n">
        <v>0.85</v>
      </c>
      <c r="U4166" s="16" t="n">
        <v>0.75</v>
      </c>
      <c r="V4166" s="16" t="n">
        <v>0.85</v>
      </c>
      <c r="W4166" s="16" t="n">
        <v>0.75</v>
      </c>
      <c r="X4166" s="16" t="n">
        <v>0.8</v>
      </c>
      <c r="Y4166" s="16" t="n">
        <v>300.032917</v>
      </c>
      <c r="Z4166" s="16" t="n">
        <v>8.524869869354241</v>
      </c>
      <c r="AA4166" s="16" t="n">
        <v>142.3738770728497</v>
      </c>
      <c r="AB4166" s="16" t="n">
        <v>2080.29997173761</v>
      </c>
      <c r="AC4166" s="16" t="n">
        <v>3.261933138860468</v>
      </c>
      <c r="AD4166" s="16" t="inlineStr">
        <is>
          <t>O2</t>
        </is>
      </c>
      <c r="AE4166" s="16" t="n"/>
    </row>
    <row r="4167">
      <c r="A4167" s="16" t="inlineStr">
        <is>
          <t>KF-M09-R3-x_b+P_alta+eficiencias+T_sumidero-0023</t>
        </is>
      </c>
      <c r="B4167" s="16" t="inlineStr">
        <is>
          <t>4.3</t>
        </is>
      </c>
      <c r="C4167" s="16" t="inlineStr">
        <is>
          <t>4.3 x_b+P_alta+eficiencias+T_sumidero</t>
        </is>
      </c>
      <c r="D4167" s="16" t="inlineStr">
        <is>
          <t>ronda 3</t>
        </is>
      </c>
      <c r="E4167" s="16" t="inlineStr">
        <is>
          <t>KF-M09</t>
        </is>
      </c>
      <c r="F4167" s="16" t="inlineStr">
        <is>
          <t>KF-M09-R3-x_b+P_alta+eficiencias+T_sumidero</t>
        </is>
      </c>
      <c r="G4167" s="16" t="inlineStr">
        <is>
          <t>B13-x_b+P_alta+eficiencias+T_sumidero</t>
        </is>
      </c>
      <c r="H4167" s="16" t="inlineStr">
        <is>
          <t>lhs</t>
        </is>
      </c>
      <c r="I4167" s="16" t="inlineStr">
        <is>
          <t>CORREGIBLE</t>
        </is>
      </c>
      <c r="J4167" s="16" t="inlineStr">
        <is>
          <t>CORREGIBLE</t>
        </is>
      </c>
      <c r="K4167" s="16" t="b">
        <v>1</v>
      </c>
      <c r="L4167" s="16" t="b">
        <v>0</v>
      </c>
      <c r="M4167" s="16" t="b">
        <v>0</v>
      </c>
      <c r="N4167" s="16" t="b">
        <v>0</v>
      </c>
      <c r="O4167" s="16" t="n">
        <v>412.3817798421072</v>
      </c>
      <c r="P4167" s="16" t="n">
        <v>300.032917</v>
      </c>
      <c r="Q4167" s="16" t="n">
        <v>3000</v>
      </c>
      <c r="R4167" s="16" t="n">
        <v>437.5980491037421</v>
      </c>
      <c r="S4167" s="16" t="n">
        <v>0.5</v>
      </c>
      <c r="T4167" s="16" t="n">
        <v>0.85</v>
      </c>
      <c r="U4167" s="16" t="n">
        <v>0.75</v>
      </c>
      <c r="V4167" s="16" t="n">
        <v>0.85</v>
      </c>
      <c r="W4167" s="16" t="n">
        <v>0.75</v>
      </c>
      <c r="X4167" s="16" t="n">
        <v>0.8</v>
      </c>
      <c r="Y4167" s="16" t="n">
        <v>300.032917</v>
      </c>
      <c r="Z4167" s="16" t="n">
        <v>11.16058376476849</v>
      </c>
      <c r="AA4167" s="16" t="n">
        <v>46.20117253426561</v>
      </c>
      <c r="AB4167" s="16" t="n">
        <v>2562.401950896258</v>
      </c>
      <c r="AC4167" s="16" t="n">
        <v>6.855606431848568</v>
      </c>
      <c r="AD4167" s="16" t="inlineStr">
        <is>
          <t>O2</t>
        </is>
      </c>
      <c r="AE4167" s="16" t="n"/>
    </row>
    <row r="4168">
      <c r="A4168" s="16" t="inlineStr">
        <is>
          <t>KF-M09-R3-x_b+P_alta+eficiencias+T_sumidero-0024</t>
        </is>
      </c>
      <c r="B4168" s="16" t="inlineStr">
        <is>
          <t>4.3</t>
        </is>
      </c>
      <c r="C4168" s="16" t="inlineStr">
        <is>
          <t>4.3 x_b+P_alta+eficiencias+T_sumidero</t>
        </is>
      </c>
      <c r="D4168" s="16" t="inlineStr">
        <is>
          <t>ronda 3</t>
        </is>
      </c>
      <c r="E4168" s="16" t="inlineStr">
        <is>
          <t>KF-M09</t>
        </is>
      </c>
      <c r="F4168" s="16" t="inlineStr">
        <is>
          <t>KF-M09-R3-x_b+P_alta+eficiencias+T_sumidero</t>
        </is>
      </c>
      <c r="G4168" s="16" t="inlineStr">
        <is>
          <t>B13-x_b+P_alta+eficiencias+T_sumidero</t>
        </is>
      </c>
      <c r="H4168" s="16" t="inlineStr">
        <is>
          <t>lhs</t>
        </is>
      </c>
      <c r="I4168" s="16" t="inlineStr">
        <is>
          <t>CORREGIBLE</t>
        </is>
      </c>
      <c r="J4168" s="16" t="inlineStr">
        <is>
          <t>CORREGIBLE</t>
        </is>
      </c>
      <c r="K4168" s="16" t="b">
        <v>1</v>
      </c>
      <c r="L4168" s="16" t="b">
        <v>0</v>
      </c>
      <c r="M4168" s="16" t="b">
        <v>1</v>
      </c>
      <c r="N4168" s="16" t="b">
        <v>0</v>
      </c>
      <c r="O4168" s="16" t="n">
        <v>436.6116180623674</v>
      </c>
      <c r="P4168" s="16" t="n">
        <v>300.032917</v>
      </c>
      <c r="Q4168" s="16" t="n">
        <v>3000</v>
      </c>
      <c r="R4168" s="16" t="n">
        <v>826.5855503777681</v>
      </c>
      <c r="S4168" s="16" t="n">
        <v>0.5</v>
      </c>
      <c r="T4168" s="16" t="n">
        <v>0.85</v>
      </c>
      <c r="U4168" s="16" t="n">
        <v>0.75</v>
      </c>
      <c r="V4168" s="16" t="n">
        <v>0.85</v>
      </c>
      <c r="W4168" s="16" t="n">
        <v>0.75</v>
      </c>
      <c r="X4168" s="16" t="n">
        <v>0.8</v>
      </c>
      <c r="Y4168" s="16" t="n">
        <v>300.032917</v>
      </c>
      <c r="Z4168" s="16" t="n">
        <v>9.20467354242396</v>
      </c>
      <c r="AA4168" s="16" t="n">
        <v>66.47450472572642</v>
      </c>
      <c r="AB4168" s="16" t="n">
        <v>2173.414449622232</v>
      </c>
      <c r="AC4168" s="16" t="n">
        <v>3.62938839014175</v>
      </c>
      <c r="AD4168" s="16" t="inlineStr">
        <is>
          <t>O2</t>
        </is>
      </c>
      <c r="AE4168" s="16" t="n"/>
    </row>
    <row r="4169">
      <c r="A4169" s="16" t="inlineStr">
        <is>
          <t>KF-M09-R3-x_b+P_alta+eficiencias+T_sumidero-0025</t>
        </is>
      </c>
      <c r="B4169" s="16" t="inlineStr">
        <is>
          <t>4.3</t>
        </is>
      </c>
      <c r="C4169" s="16" t="inlineStr">
        <is>
          <t>4.3 x_b+P_alta+eficiencias+T_sumidero</t>
        </is>
      </c>
      <c r="D4169" s="16" t="inlineStr">
        <is>
          <t>ronda 3</t>
        </is>
      </c>
      <c r="E4169" s="16" t="inlineStr">
        <is>
          <t>KF-M09</t>
        </is>
      </c>
      <c r="F4169" s="16" t="inlineStr">
        <is>
          <t>KF-M09-R3-x_b+P_alta+eficiencias+T_sumidero</t>
        </is>
      </c>
      <c r="G4169" s="16" t="inlineStr">
        <is>
          <t>B13-x_b+P_alta+eficiencias+T_sumidero</t>
        </is>
      </c>
      <c r="H4169" s="16" t="inlineStr">
        <is>
          <t>lhs</t>
        </is>
      </c>
      <c r="I4169" s="16" t="inlineStr">
        <is>
          <t>CORREGIBLE</t>
        </is>
      </c>
      <c r="J4169" s="16" t="inlineStr">
        <is>
          <t>CORREGIBLE</t>
        </is>
      </c>
      <c r="K4169" s="16" t="b">
        <v>1</v>
      </c>
      <c r="L4169" s="16" t="b">
        <v>0</v>
      </c>
      <c r="M4169" s="16" t="b">
        <v>1</v>
      </c>
      <c r="N4169" s="16" t="b">
        <v>0</v>
      </c>
      <c r="O4169" s="16" t="n">
        <v>474.9940984443096</v>
      </c>
      <c r="P4169" s="16" t="n">
        <v>300.032917</v>
      </c>
      <c r="Q4169" s="16" t="n">
        <v>3000</v>
      </c>
      <c r="R4169" s="16" t="n">
        <v>1773.956199757897</v>
      </c>
      <c r="S4169" s="16" t="n">
        <v>0.5</v>
      </c>
      <c r="T4169" s="16" t="n">
        <v>0.85</v>
      </c>
      <c r="U4169" s="16" t="n">
        <v>0.75</v>
      </c>
      <c r="V4169" s="16" t="n">
        <v>0.85</v>
      </c>
      <c r="W4169" s="16" t="n">
        <v>0.75</v>
      </c>
      <c r="X4169" s="16" t="n">
        <v>0.8</v>
      </c>
      <c r="Y4169" s="16" t="n">
        <v>300.032917</v>
      </c>
      <c r="Z4169" s="16" t="n">
        <v>4.15272657884483</v>
      </c>
      <c r="AA4169" s="16" t="n">
        <v>67.18964999591913</v>
      </c>
      <c r="AB4169" s="16" t="n">
        <v>1226.043800242103</v>
      </c>
      <c r="AC4169" s="16" t="n">
        <v>1.691135328149268</v>
      </c>
      <c r="AD4169" s="16" t="inlineStr">
        <is>
          <t>O2</t>
        </is>
      </c>
      <c r="AE4169" s="16" t="n"/>
    </row>
    <row r="4170">
      <c r="A4170" s="16" t="inlineStr">
        <is>
          <t>KF-M09-R3-x_b+P_alta+eficiencias+T_sumidero-0026</t>
        </is>
      </c>
      <c r="B4170" s="16" t="inlineStr">
        <is>
          <t>4.3</t>
        </is>
      </c>
      <c r="C4170" s="16" t="inlineStr">
        <is>
          <t>4.3 x_b+P_alta+eficiencias+T_sumidero</t>
        </is>
      </c>
      <c r="D4170" s="16" t="inlineStr">
        <is>
          <t>ronda 3</t>
        </is>
      </c>
      <c r="E4170" s="16" t="inlineStr">
        <is>
          <t>KF-M09</t>
        </is>
      </c>
      <c r="F4170" s="16" t="inlineStr">
        <is>
          <t>KF-M09-R3-x_b+P_alta+eficiencias+T_sumidero</t>
        </is>
      </c>
      <c r="G4170" s="16" t="inlineStr">
        <is>
          <t>B13-x_b+P_alta+eficiencias+T_sumidero</t>
        </is>
      </c>
      <c r="H4170" s="16" t="inlineStr">
        <is>
          <t>lhs</t>
        </is>
      </c>
      <c r="I4170" s="16" t="inlineStr">
        <is>
          <t>INVIABLE</t>
        </is>
      </c>
      <c r="J4170" s="16" t="inlineStr">
        <is>
          <t>INVIABLE</t>
        </is>
      </c>
      <c r="K4170" s="16" t="b">
        <v>1</v>
      </c>
      <c r="L4170" s="16" t="b">
        <v>0</v>
      </c>
      <c r="M4170" s="16" t="b">
        <v>0</v>
      </c>
      <c r="N4170" s="16" t="b">
        <v>0</v>
      </c>
      <c r="O4170" s="16" t="n">
        <v>403.8490019168156</v>
      </c>
      <c r="P4170" s="16" t="n">
        <v>300.032917</v>
      </c>
      <c r="Q4170" s="16" t="n">
        <v>3000</v>
      </c>
      <c r="R4170" s="16" t="n">
        <v>1956.250528131986</v>
      </c>
      <c r="S4170" s="16" t="n">
        <v>0.5</v>
      </c>
      <c r="T4170" s="16" t="n">
        <v>0.85</v>
      </c>
      <c r="U4170" s="16" t="n">
        <v>0.75</v>
      </c>
      <c r="V4170" s="16" t="n">
        <v>0.85</v>
      </c>
      <c r="W4170" s="16" t="n">
        <v>0.75</v>
      </c>
      <c r="X4170" s="16" t="n">
        <v>0.8</v>
      </c>
      <c r="Y4170" s="16" t="n">
        <v>300.032917</v>
      </c>
      <c r="Z4170" s="16" t="n">
        <v>2.18836691995761</v>
      </c>
      <c r="AA4170" s="16" t="n">
        <v>6.884306819445349</v>
      </c>
      <c r="AB4170" s="16" t="n">
        <v>1043.749471868014</v>
      </c>
      <c r="AC4170" s="16" t="n">
        <v>1.533545911864716</v>
      </c>
      <c r="AD4170" s="16" t="inlineStr">
        <is>
          <t>S3</t>
        </is>
      </c>
      <c r="AE4170" s="16" t="n"/>
    </row>
    <row r="4171">
      <c r="A4171" s="16" t="inlineStr">
        <is>
          <t>KF-M09-R3-x_b+P_alta+eficiencias+T_sumidero-0027</t>
        </is>
      </c>
      <c r="B4171" s="16" t="inlineStr">
        <is>
          <t>4.3</t>
        </is>
      </c>
      <c r="C4171" s="16" t="inlineStr">
        <is>
          <t>4.3 x_b+P_alta+eficiencias+T_sumidero</t>
        </is>
      </c>
      <c r="D4171" s="16" t="inlineStr">
        <is>
          <t>ronda 3</t>
        </is>
      </c>
      <c r="E4171" s="16" t="inlineStr">
        <is>
          <t>KF-M09</t>
        </is>
      </c>
      <c r="F4171" s="16" t="inlineStr">
        <is>
          <t>KF-M09-R3-x_b+P_alta+eficiencias+T_sumidero</t>
        </is>
      </c>
      <c r="G4171" s="16" t="inlineStr">
        <is>
          <t>B13-x_b+P_alta+eficiencias+T_sumidero</t>
        </is>
      </c>
      <c r="H4171" s="16" t="inlineStr">
        <is>
          <t>lhs</t>
        </is>
      </c>
      <c r="I4171" s="16" t="inlineStr">
        <is>
          <t>KALINA</t>
        </is>
      </c>
      <c r="J4171" s="16" t="inlineStr">
        <is>
          <t>KALINA</t>
        </is>
      </c>
      <c r="K4171" s="16" t="b">
        <v>1</v>
      </c>
      <c r="L4171" s="16" t="b">
        <v>1</v>
      </c>
      <c r="M4171" s="16" t="b">
        <v>0</v>
      </c>
      <c r="N4171" s="16" t="b">
        <v>0</v>
      </c>
      <c r="O4171" s="16" t="n">
        <v>392.02733934532</v>
      </c>
      <c r="P4171" s="16" t="n">
        <v>300.032917</v>
      </c>
      <c r="Q4171" s="16" t="n">
        <v>3000</v>
      </c>
      <c r="R4171" s="16" t="n">
        <v>587.3937772068928</v>
      </c>
      <c r="S4171" s="16" t="n">
        <v>0.5</v>
      </c>
      <c r="T4171" s="16" t="n">
        <v>0.85</v>
      </c>
      <c r="U4171" s="16" t="n">
        <v>0.75</v>
      </c>
      <c r="V4171" s="16" t="n">
        <v>0.85</v>
      </c>
      <c r="W4171" s="16" t="n">
        <v>0.75</v>
      </c>
      <c r="X4171" s="16" t="n">
        <v>0.8</v>
      </c>
      <c r="Y4171" s="16" t="n">
        <v>300.032917</v>
      </c>
      <c r="Z4171" s="16" t="n">
        <v>3.79076464211799</v>
      </c>
      <c r="AA4171" s="16" t="n">
        <v>6.512279584032605</v>
      </c>
      <c r="AB4171" s="16" t="n">
        <v>2412.606222793107</v>
      </c>
      <c r="AC4171" s="16" t="n">
        <v>5.107306404002532</v>
      </c>
      <c r="AD4171" s="16" t="n"/>
      <c r="AE4171" s="16" t="n"/>
    </row>
    <row r="4172">
      <c r="A4172" s="16" t="inlineStr">
        <is>
          <t>KF-M09-R3-x_b+P_alta+eficiencias+T_sumidero-0028</t>
        </is>
      </c>
      <c r="B4172" s="16" t="inlineStr">
        <is>
          <t>4.3</t>
        </is>
      </c>
      <c r="C4172" s="16" t="inlineStr">
        <is>
          <t>4.3 x_b+P_alta+eficiencias+T_sumidero</t>
        </is>
      </c>
      <c r="D4172" s="16" t="inlineStr">
        <is>
          <t>ronda 3</t>
        </is>
      </c>
      <c r="E4172" s="16" t="inlineStr">
        <is>
          <t>KF-M09</t>
        </is>
      </c>
      <c r="F4172" s="16" t="inlineStr">
        <is>
          <t>KF-M09-R3-x_b+P_alta+eficiencias+T_sumidero</t>
        </is>
      </c>
      <c r="G4172" s="16" t="inlineStr">
        <is>
          <t>B13-x_b+P_alta+eficiencias+T_sumidero</t>
        </is>
      </c>
      <c r="H4172" s="16" t="inlineStr">
        <is>
          <t>lhs</t>
        </is>
      </c>
      <c r="I4172" s="16" t="inlineStr">
        <is>
          <t>CORREGIBLE</t>
        </is>
      </c>
      <c r="J4172" s="16" t="inlineStr">
        <is>
          <t>CORREGIBLE</t>
        </is>
      </c>
      <c r="K4172" s="16" t="b">
        <v>1</v>
      </c>
      <c r="L4172" s="16" t="b">
        <v>0</v>
      </c>
      <c r="M4172" s="16" t="b">
        <v>1</v>
      </c>
      <c r="N4172" s="16" t="b">
        <v>0</v>
      </c>
      <c r="O4172" s="16" t="n">
        <v>471.9730112433098</v>
      </c>
      <c r="P4172" s="16" t="n">
        <v>300.032917</v>
      </c>
      <c r="Q4172" s="16" t="n">
        <v>3000</v>
      </c>
      <c r="R4172" s="16" t="n">
        <v>550.6950675837863</v>
      </c>
      <c r="S4172" s="16" t="n">
        <v>0.5</v>
      </c>
      <c r="T4172" s="16" t="n">
        <v>0.85</v>
      </c>
      <c r="U4172" s="16" t="n">
        <v>0.75</v>
      </c>
      <c r="V4172" s="16" t="n">
        <v>0.85</v>
      </c>
      <c r="W4172" s="16" t="n">
        <v>0.75</v>
      </c>
      <c r="X4172" s="16" t="n">
        <v>0.8</v>
      </c>
      <c r="Y4172" s="16" t="n">
        <v>300.032917</v>
      </c>
      <c r="Z4172" s="16" t="n">
        <v>11.49408034578077</v>
      </c>
      <c r="AA4172" s="16" t="n">
        <v>185.2526305792628</v>
      </c>
      <c r="AB4172" s="16" t="n">
        <v>2449.304932416214</v>
      </c>
      <c r="AC4172" s="16" t="n">
        <v>5.447660922700312</v>
      </c>
      <c r="AD4172" s="16" t="inlineStr">
        <is>
          <t>O2</t>
        </is>
      </c>
      <c r="AE4172" s="16" t="n"/>
    </row>
    <row r="4173">
      <c r="A4173" s="16" t="inlineStr">
        <is>
          <t>KF-M09-R3-x_b+P_alta+eficiencias+T_sumidero-0029</t>
        </is>
      </c>
      <c r="B4173" s="16" t="inlineStr">
        <is>
          <t>4.3</t>
        </is>
      </c>
      <c r="C4173" s="16" t="inlineStr">
        <is>
          <t>4.3 x_b+P_alta+eficiencias+T_sumidero</t>
        </is>
      </c>
      <c r="D4173" s="16" t="inlineStr">
        <is>
          <t>ronda 3</t>
        </is>
      </c>
      <c r="E4173" s="16" t="inlineStr">
        <is>
          <t>KF-M09</t>
        </is>
      </c>
      <c r="F4173" s="16" t="inlineStr">
        <is>
          <t>KF-M09-R3-x_b+P_alta+eficiencias+T_sumidero</t>
        </is>
      </c>
      <c r="G4173" s="16" t="inlineStr">
        <is>
          <t>B13-x_b+P_alta+eficiencias+T_sumidero</t>
        </is>
      </c>
      <c r="H4173" s="16" t="inlineStr">
        <is>
          <t>lhs</t>
        </is>
      </c>
      <c r="I4173" s="16" t="inlineStr">
        <is>
          <t>CORREGIBLE</t>
        </is>
      </c>
      <c r="J4173" s="16" t="inlineStr">
        <is>
          <t>CORREGIBLE</t>
        </is>
      </c>
      <c r="K4173" s="16" t="b">
        <v>1</v>
      </c>
      <c r="L4173" s="16" t="b">
        <v>0</v>
      </c>
      <c r="M4173" s="16" t="b">
        <v>1</v>
      </c>
      <c r="N4173" s="16" t="b">
        <v>0</v>
      </c>
      <c r="O4173" s="16" t="n">
        <v>431.240226539876</v>
      </c>
      <c r="P4173" s="16" t="n">
        <v>300.032917</v>
      </c>
      <c r="Q4173" s="16" t="n">
        <v>3000</v>
      </c>
      <c r="R4173" s="16" t="n">
        <v>688.0635129275997</v>
      </c>
      <c r="S4173" s="16" t="n">
        <v>0.5</v>
      </c>
      <c r="T4173" s="16" t="n">
        <v>0.85</v>
      </c>
      <c r="U4173" s="16" t="n">
        <v>0.75</v>
      </c>
      <c r="V4173" s="16" t="n">
        <v>0.85</v>
      </c>
      <c r="W4173" s="16" t="n">
        <v>0.75</v>
      </c>
      <c r="X4173" s="16" t="n">
        <v>0.8</v>
      </c>
      <c r="Y4173" s="16" t="n">
        <v>300.032917</v>
      </c>
      <c r="Z4173" s="16" t="n">
        <v>10.15434676208792</v>
      </c>
      <c r="AA4173" s="16" t="n">
        <v>65.57514888399072</v>
      </c>
      <c r="AB4173" s="16" t="n">
        <v>2311.9364870724</v>
      </c>
      <c r="AC4173" s="16" t="n">
        <v>4.360062615783072</v>
      </c>
      <c r="AD4173" s="16" t="inlineStr">
        <is>
          <t>O2</t>
        </is>
      </c>
      <c r="AE4173" s="16" t="n"/>
    </row>
    <row r="4174">
      <c r="A4174" s="16" t="inlineStr">
        <is>
          <t>KF-M09-HUS-0000</t>
        </is>
      </c>
      <c r="B4174" s="16" t="inlineStr">
        <is>
          <t>4.3</t>
        </is>
      </c>
      <c r="C4174" s="16" t="inlineStr">
        <is>
          <t>6.2e</t>
        </is>
      </c>
      <c r="D4174" s="16" t="inlineStr">
        <is>
          <t>P_baja mínima con su piso de diseño</t>
        </is>
      </c>
      <c r="E4174" s="16" t="inlineStr">
        <is>
          <t>KF-M09</t>
        </is>
      </c>
      <c r="F4174" s="16" t="inlineStr">
        <is>
          <t>KF-M09-HUS</t>
        </is>
      </c>
      <c r="G4174" s="16" t="inlineStr">
        <is>
          <t>B13-HUS</t>
        </is>
      </c>
      <c r="H4174" s="16" t="inlineStr">
        <is>
          <t>control</t>
        </is>
      </c>
      <c r="I4174" s="16" t="inlineStr">
        <is>
          <t>CORREGIBLE</t>
        </is>
      </c>
      <c r="J4174" s="16" t="inlineStr">
        <is>
          <t>CORREGIBLE</t>
        </is>
      </c>
      <c r="K4174" s="16" t="b">
        <v>1</v>
      </c>
      <c r="L4174" s="16" t="b">
        <v>0</v>
      </c>
      <c r="M4174" s="16" t="b">
        <v>0</v>
      </c>
      <c r="N4174" s="16" t="b">
        <v>0</v>
      </c>
      <c r="O4174" s="16" t="n">
        <v>394.15</v>
      </c>
      <c r="P4174" s="16" t="n">
        <v>278.15</v>
      </c>
      <c r="Q4174" s="16" t="n">
        <v>3300</v>
      </c>
      <c r="R4174" s="16" t="n">
        <v>550</v>
      </c>
      <c r="S4174" s="16" t="n">
        <v>0.82</v>
      </c>
      <c r="T4174" s="16" t="n">
        <v>0.9</v>
      </c>
      <c r="U4174" s="16" t="n">
        <v>0.8</v>
      </c>
      <c r="V4174" s="16" t="n">
        <v>0.85</v>
      </c>
      <c r="W4174" s="16" t="n">
        <v>0.75</v>
      </c>
      <c r="X4174" s="16" t="n">
        <v>0.95</v>
      </c>
      <c r="Y4174" s="16" t="n">
        <v>278.15</v>
      </c>
      <c r="Z4174" s="16" t="n">
        <v>14.37720428144615</v>
      </c>
      <c r="AA4174" s="16" t="n">
        <v>132.8380136156304</v>
      </c>
      <c r="AB4174" s="16" t="n">
        <v>2750</v>
      </c>
      <c r="AC4174" s="16" t="n">
        <v>6</v>
      </c>
      <c r="AD4174" s="16" t="inlineStr">
        <is>
          <t>O2</t>
        </is>
      </c>
      <c r="AE4174" s="16" t="n"/>
    </row>
    <row r="4175">
      <c r="A4175" s="16" t="inlineStr">
        <is>
          <t>KF-M09-HUS-0001</t>
        </is>
      </c>
      <c r="B4175" s="16" t="inlineStr">
        <is>
          <t>4.3</t>
        </is>
      </c>
      <c r="C4175" s="16" t="inlineStr">
        <is>
          <t>6.2e</t>
        </is>
      </c>
      <c r="D4175" s="16" t="inlineStr">
        <is>
          <t>P_baja mínima con su piso de diseño</t>
        </is>
      </c>
      <c r="E4175" s="16" t="inlineStr">
        <is>
          <t>KF-M09</t>
        </is>
      </c>
      <c r="F4175" s="16" t="inlineStr">
        <is>
          <t>KF-M09-HUS</t>
        </is>
      </c>
      <c r="G4175" s="16" t="inlineStr">
        <is>
          <t>B13-HUS</t>
        </is>
      </c>
      <c r="H4175" s="16" t="inlineStr">
        <is>
          <t>control</t>
        </is>
      </c>
      <c r="I4175" s="16" t="inlineStr">
        <is>
          <t>CORREGIBLE</t>
        </is>
      </c>
      <c r="J4175" s="16" t="inlineStr">
        <is>
          <t>CORREGIBLE</t>
        </is>
      </c>
      <c r="K4175" s="16" t="b">
        <v>1</v>
      </c>
      <c r="L4175" s="16" t="b">
        <v>0</v>
      </c>
      <c r="M4175" s="16" t="b">
        <v>0</v>
      </c>
      <c r="N4175" s="16" t="b">
        <v>0</v>
      </c>
      <c r="O4175" s="16" t="n">
        <v>394.15</v>
      </c>
      <c r="P4175" s="16" t="n">
        <v>278.15</v>
      </c>
      <c r="Q4175" s="16" t="n">
        <v>3300</v>
      </c>
      <c r="R4175" s="16" t="n">
        <v>550</v>
      </c>
      <c r="S4175" s="16" t="n">
        <v>0.82</v>
      </c>
      <c r="T4175" s="16" t="n">
        <v>0.9</v>
      </c>
      <c r="U4175" s="16" t="n">
        <v>0.8</v>
      </c>
      <c r="V4175" s="16" t="n">
        <v>0.85</v>
      </c>
      <c r="W4175" s="16" t="n">
        <v>0.75</v>
      </c>
      <c r="X4175" s="16" t="n">
        <v>0.95</v>
      </c>
      <c r="Y4175" s="16" t="n">
        <v>283.15</v>
      </c>
      <c r="Z4175" s="16" t="n">
        <v>14.37720428144615</v>
      </c>
      <c r="AA4175" s="16" t="n">
        <v>132.8380136156304</v>
      </c>
      <c r="AB4175" s="16" t="n">
        <v>2750</v>
      </c>
      <c r="AC4175" s="16" t="n">
        <v>6</v>
      </c>
      <c r="AD4175" s="16" t="inlineStr">
        <is>
          <t>O2</t>
        </is>
      </c>
      <c r="AE4175" s="16" t="n"/>
    </row>
    <row r="4176">
      <c r="A4176" s="16" t="inlineStr">
        <is>
          <t>KF-M09-HUS-0002</t>
        </is>
      </c>
      <c r="B4176" s="16" t="inlineStr">
        <is>
          <t>4.3</t>
        </is>
      </c>
      <c r="C4176" s="16" t="inlineStr">
        <is>
          <t>6.2e</t>
        </is>
      </c>
      <c r="D4176" s="16" t="inlineStr">
        <is>
          <t>P_baja mínima con su piso de diseño</t>
        </is>
      </c>
      <c r="E4176" s="16" t="inlineStr">
        <is>
          <t>KF-M09</t>
        </is>
      </c>
      <c r="F4176" s="16" t="inlineStr">
        <is>
          <t>KF-M09-HUS</t>
        </is>
      </c>
      <c r="G4176" s="16" t="inlineStr">
        <is>
          <t>B13-HUS</t>
        </is>
      </c>
      <c r="H4176" s="16" t="inlineStr">
        <is>
          <t>control</t>
        </is>
      </c>
      <c r="I4176" s="16" t="inlineStr">
        <is>
          <t>CORREGIBLE</t>
        </is>
      </c>
      <c r="J4176" s="16" t="inlineStr">
        <is>
          <t>CORREGIBLE</t>
        </is>
      </c>
      <c r="K4176" s="16" t="b">
        <v>1</v>
      </c>
      <c r="L4176" s="16" t="b">
        <v>0</v>
      </c>
      <c r="M4176" s="16" t="b">
        <v>0</v>
      </c>
      <c r="N4176" s="16" t="b">
        <v>0</v>
      </c>
      <c r="O4176" s="16" t="n">
        <v>394.15</v>
      </c>
      <c r="P4176" s="16" t="n">
        <v>278.15</v>
      </c>
      <c r="Q4176" s="16" t="n">
        <v>3300</v>
      </c>
      <c r="R4176" s="16" t="n">
        <v>500</v>
      </c>
      <c r="S4176" s="16" t="n">
        <v>0.82</v>
      </c>
      <c r="T4176" s="16" t="n">
        <v>0.9</v>
      </c>
      <c r="U4176" s="16" t="n">
        <v>0.8</v>
      </c>
      <c r="V4176" s="16" t="n">
        <v>0.85</v>
      </c>
      <c r="W4176" s="16" t="n">
        <v>0.75</v>
      </c>
      <c r="X4176" s="16" t="n">
        <v>0.95</v>
      </c>
      <c r="Y4176" s="16" t="n">
        <v>283.15</v>
      </c>
      <c r="Z4176" s="16" t="n">
        <v>15.0409968815438</v>
      </c>
      <c r="AA4176" s="16" t="n">
        <v>138.9826918745443</v>
      </c>
      <c r="AB4176" s="16" t="n">
        <v>2800</v>
      </c>
      <c r="AC4176" s="16" t="n">
        <v>6.6</v>
      </c>
      <c r="AD4176" s="16" t="inlineStr">
        <is>
          <t>O2</t>
        </is>
      </c>
      <c r="AE4176" s="16" t="n"/>
    </row>
    <row r="4177">
      <c r="A4177" s="16" t="inlineStr">
        <is>
          <t>KF-M09-HUS-0003</t>
        </is>
      </c>
      <c r="B4177" s="16" t="inlineStr">
        <is>
          <t>4.3</t>
        </is>
      </c>
      <c r="C4177" s="16" t="inlineStr">
        <is>
          <t>6.2e</t>
        </is>
      </c>
      <c r="D4177" s="16" t="inlineStr">
        <is>
          <t>P_baja mínima con su piso de diseño</t>
        </is>
      </c>
      <c r="E4177" s="16" t="inlineStr">
        <is>
          <t>KF-M09</t>
        </is>
      </c>
      <c r="F4177" s="16" t="inlineStr">
        <is>
          <t>KF-M09-HUS</t>
        </is>
      </c>
      <c r="G4177" s="16" t="inlineStr">
        <is>
          <t>B13-HUS</t>
        </is>
      </c>
      <c r="H4177" s="16" t="inlineStr">
        <is>
          <t>control</t>
        </is>
      </c>
      <c r="I4177" s="16" t="inlineStr">
        <is>
          <t>CORREGIBLE</t>
        </is>
      </c>
      <c r="J4177" s="16" t="inlineStr">
        <is>
          <t>CORREGIBLE</t>
        </is>
      </c>
      <c r="K4177" s="16" t="b">
        <v>1</v>
      </c>
      <c r="L4177" s="16" t="b">
        <v>0</v>
      </c>
      <c r="M4177" s="16" t="b">
        <v>0</v>
      </c>
      <c r="N4177" s="16" t="b">
        <v>0</v>
      </c>
      <c r="O4177" s="16" t="n">
        <v>394.15</v>
      </c>
      <c r="P4177" s="16" t="n">
        <v>278.15</v>
      </c>
      <c r="Q4177" s="16" t="n">
        <v>3300</v>
      </c>
      <c r="R4177" s="16" t="n">
        <v>500</v>
      </c>
      <c r="S4177" s="16" t="n">
        <v>0.82</v>
      </c>
      <c r="T4177" s="16" t="n">
        <v>0.9</v>
      </c>
      <c r="U4177" s="16" t="n">
        <v>0.8</v>
      </c>
      <c r="V4177" s="16" t="n">
        <v>0.85</v>
      </c>
      <c r="W4177" s="16" t="n">
        <v>0.75</v>
      </c>
      <c r="X4177" s="16" t="n">
        <v>0.95</v>
      </c>
      <c r="Y4177" s="16" t="n">
        <v>278.15</v>
      </c>
      <c r="Z4177" s="16" t="n">
        <v>15.0409968815438</v>
      </c>
      <c r="AA4177" s="16" t="n">
        <v>138.9826918745443</v>
      </c>
      <c r="AB4177" s="16" t="n">
        <v>2800</v>
      </c>
      <c r="AC4177" s="16" t="n">
        <v>6.6</v>
      </c>
      <c r="AD4177" s="16" t="inlineStr">
        <is>
          <t>O2</t>
        </is>
      </c>
      <c r="AE4177" s="16" t="n"/>
    </row>
    <row r="4178">
      <c r="A4178" s="16" t="inlineStr">
        <is>
          <t>KF-M09-HUS-0004</t>
        </is>
      </c>
      <c r="B4178" s="16" t="inlineStr">
        <is>
          <t>4.3</t>
        </is>
      </c>
      <c r="C4178" s="16" t="inlineStr">
        <is>
          <t>6.2e</t>
        </is>
      </c>
      <c r="D4178" s="16" t="inlineStr">
        <is>
          <t>P_baja mínima con su piso de diseño</t>
        </is>
      </c>
      <c r="E4178" s="16" t="inlineStr">
        <is>
          <t>KF-M09</t>
        </is>
      </c>
      <c r="F4178" s="16" t="inlineStr">
        <is>
          <t>KF-M09-HUS</t>
        </is>
      </c>
      <c r="G4178" s="16" t="inlineStr">
        <is>
          <t>B13-HUS</t>
        </is>
      </c>
      <c r="H4178" s="16" t="inlineStr">
        <is>
          <t>control</t>
        </is>
      </c>
      <c r="I4178" s="16" t="inlineStr">
        <is>
          <t>CORREGIBLE</t>
        </is>
      </c>
      <c r="J4178" s="16" t="inlineStr">
        <is>
          <t>CORREGIBLE</t>
        </is>
      </c>
      <c r="K4178" s="16" t="b">
        <v>1</v>
      </c>
      <c r="L4178" s="16" t="b">
        <v>0</v>
      </c>
      <c r="M4178" s="16" t="b">
        <v>0</v>
      </c>
      <c r="N4178" s="16" t="b">
        <v>0</v>
      </c>
      <c r="O4178" s="16" t="n">
        <v>394.15</v>
      </c>
      <c r="P4178" s="16" t="n">
        <v>278.15</v>
      </c>
      <c r="Q4178" s="16" t="n">
        <v>3300</v>
      </c>
      <c r="R4178" s="16" t="n">
        <v>650</v>
      </c>
      <c r="S4178" s="16" t="n">
        <v>0.82</v>
      </c>
      <c r="T4178" s="16" t="n">
        <v>0.9</v>
      </c>
      <c r="U4178" s="16" t="n">
        <v>0.8</v>
      </c>
      <c r="V4178" s="16" t="n">
        <v>0.85</v>
      </c>
      <c r="W4178" s="16" t="n">
        <v>0.75</v>
      </c>
      <c r="X4178" s="16" t="n">
        <v>0.95</v>
      </c>
      <c r="Y4178" s="16" t="n">
        <v>283.15</v>
      </c>
      <c r="Z4178" s="16" t="n">
        <v>13.17044444625268</v>
      </c>
      <c r="AA4178" s="16" t="n">
        <v>121.6520866887988</v>
      </c>
      <c r="AB4178" s="16" t="n">
        <v>2650</v>
      </c>
      <c r="AC4178" s="16" t="n">
        <v>5.076923076923077</v>
      </c>
      <c r="AD4178" s="16" t="inlineStr">
        <is>
          <t>O2</t>
        </is>
      </c>
      <c r="AE4178" s="16" t="n"/>
    </row>
    <row r="4179">
      <c r="A4179" s="16" t="inlineStr">
        <is>
          <t>KF-M09-HUS-0005</t>
        </is>
      </c>
      <c r="B4179" s="16" t="inlineStr">
        <is>
          <t>4.3</t>
        </is>
      </c>
      <c r="C4179" s="16" t="inlineStr">
        <is>
          <t>6.2e</t>
        </is>
      </c>
      <c r="D4179" s="16" t="inlineStr">
        <is>
          <t>P_baja mínima con su piso de diseño</t>
        </is>
      </c>
      <c r="E4179" s="16" t="inlineStr">
        <is>
          <t>KF-M09</t>
        </is>
      </c>
      <c r="F4179" s="16" t="inlineStr">
        <is>
          <t>KF-M09-HUS</t>
        </is>
      </c>
      <c r="G4179" s="16" t="inlineStr">
        <is>
          <t>B13-HUS</t>
        </is>
      </c>
      <c r="H4179" s="16" t="inlineStr">
        <is>
          <t>control</t>
        </is>
      </c>
      <c r="I4179" s="16" t="inlineStr">
        <is>
          <t>KALINA</t>
        </is>
      </c>
      <c r="J4179" s="16" t="inlineStr">
        <is>
          <t>KALINA</t>
        </is>
      </c>
      <c r="K4179" s="16" t="b">
        <v>1</v>
      </c>
      <c r="L4179" s="16" t="b">
        <v>1</v>
      </c>
      <c r="M4179" s="16" t="b">
        <v>0</v>
      </c>
      <c r="N4179" s="16" t="b">
        <v>0</v>
      </c>
      <c r="O4179" s="16" t="n">
        <v>394.15</v>
      </c>
      <c r="P4179" s="16" t="n">
        <v>278.15</v>
      </c>
      <c r="Q4179" s="16" t="n">
        <v>3300</v>
      </c>
      <c r="R4179" s="16" t="n">
        <v>650</v>
      </c>
      <c r="S4179" s="16" t="n">
        <v>0.82</v>
      </c>
      <c r="T4179" s="16" t="n">
        <v>0.9</v>
      </c>
      <c r="U4179" s="16" t="n">
        <v>0.8</v>
      </c>
      <c r="V4179" s="16" t="n">
        <v>0.85</v>
      </c>
      <c r="W4179" s="16" t="n">
        <v>0.75</v>
      </c>
      <c r="X4179" s="16" t="n">
        <v>0.95</v>
      </c>
      <c r="Y4179" s="16" t="n">
        <v>278.15</v>
      </c>
      <c r="Z4179" s="16" t="n">
        <v>13.17044444625268</v>
      </c>
      <c r="AA4179" s="16" t="n">
        <v>121.6520866887988</v>
      </c>
      <c r="AB4179" s="16" t="n">
        <v>2650</v>
      </c>
      <c r="AC4179" s="16" t="n">
        <v>5.076923076923077</v>
      </c>
      <c r="AD4179" s="16" t="n"/>
      <c r="AE4179" s="16" t="n"/>
    </row>
    <row r="4180">
      <c r="A4180" s="16" t="inlineStr">
        <is>
          <t>KF-M09-HUS-0006</t>
        </is>
      </c>
      <c r="B4180" s="16" t="inlineStr">
        <is>
          <t>4.3</t>
        </is>
      </c>
      <c r="C4180" s="16" t="inlineStr">
        <is>
          <t>6.2e</t>
        </is>
      </c>
      <c r="D4180" s="16" t="inlineStr">
        <is>
          <t>P_baja mínima con su piso de diseño</t>
        </is>
      </c>
      <c r="E4180" s="16" t="inlineStr">
        <is>
          <t>KF-M09</t>
        </is>
      </c>
      <c r="F4180" s="16" t="inlineStr">
        <is>
          <t>KF-M09-HUS</t>
        </is>
      </c>
      <c r="G4180" s="16" t="inlineStr">
        <is>
          <t>B13-HUS</t>
        </is>
      </c>
      <c r="H4180" s="16" t="inlineStr">
        <is>
          <t>control</t>
        </is>
      </c>
      <c r="I4180" s="16" t="inlineStr">
        <is>
          <t>CORREGIBLE</t>
        </is>
      </c>
      <c r="J4180" s="16" t="inlineStr">
        <is>
          <t>CORREGIBLE</t>
        </is>
      </c>
      <c r="K4180" s="16" t="b">
        <v>1</v>
      </c>
      <c r="L4180" s="16" t="b">
        <v>0</v>
      </c>
      <c r="M4180" s="16" t="b">
        <v>0</v>
      </c>
      <c r="N4180" s="16" t="b">
        <v>0</v>
      </c>
      <c r="O4180" s="16" t="n">
        <v>394.15</v>
      </c>
      <c r="P4180" s="16" t="n">
        <v>278.15</v>
      </c>
      <c r="Q4180" s="16" t="n">
        <v>3300</v>
      </c>
      <c r="R4180" s="16" t="n">
        <v>600</v>
      </c>
      <c r="S4180" s="16" t="n">
        <v>0.82</v>
      </c>
      <c r="T4180" s="16" t="n">
        <v>0.9</v>
      </c>
      <c r="U4180" s="16" t="n">
        <v>0.8</v>
      </c>
      <c r="V4180" s="16" t="n">
        <v>0.85</v>
      </c>
      <c r="W4180" s="16" t="n">
        <v>0.75</v>
      </c>
      <c r="X4180" s="16" t="n">
        <v>0.95</v>
      </c>
      <c r="Y4180" s="16" t="n">
        <v>283.15</v>
      </c>
      <c r="Z4180" s="16" t="n">
        <v>13.75268677295411</v>
      </c>
      <c r="AA4180" s="16" t="n">
        <v>127.0486533418041</v>
      </c>
      <c r="AB4180" s="16" t="n">
        <v>2700</v>
      </c>
      <c r="AC4180" s="16" t="n">
        <v>5.5</v>
      </c>
      <c r="AD4180" s="16" t="inlineStr">
        <is>
          <t>O2</t>
        </is>
      </c>
      <c r="AE4180" s="16" t="n"/>
    </row>
    <row r="4181">
      <c r="A4181" s="16" t="inlineStr">
        <is>
          <t>KF-M09-HUS-0007</t>
        </is>
      </c>
      <c r="B4181" s="16" t="inlineStr">
        <is>
          <t>4.3</t>
        </is>
      </c>
      <c r="C4181" s="16" t="inlineStr">
        <is>
          <t>6.2e</t>
        </is>
      </c>
      <c r="D4181" s="16" t="inlineStr">
        <is>
          <t>P_baja mínima con su piso de diseño</t>
        </is>
      </c>
      <c r="E4181" s="16" t="inlineStr">
        <is>
          <t>KF-M09</t>
        </is>
      </c>
      <c r="F4181" s="16" t="inlineStr">
        <is>
          <t>KF-M09-HUS</t>
        </is>
      </c>
      <c r="G4181" s="16" t="inlineStr">
        <is>
          <t>B13-HUS</t>
        </is>
      </c>
      <c r="H4181" s="16" t="inlineStr">
        <is>
          <t>control</t>
        </is>
      </c>
      <c r="I4181" s="16" t="inlineStr">
        <is>
          <t>KALINA</t>
        </is>
      </c>
      <c r="J4181" s="16" t="inlineStr">
        <is>
          <t>KALINA</t>
        </is>
      </c>
      <c r="K4181" s="16" t="b">
        <v>1</v>
      </c>
      <c r="L4181" s="16" t="b">
        <v>1</v>
      </c>
      <c r="M4181" s="16" t="b">
        <v>0</v>
      </c>
      <c r="N4181" s="16" t="b">
        <v>0</v>
      </c>
      <c r="O4181" s="16" t="n">
        <v>394.15</v>
      </c>
      <c r="P4181" s="16" t="n">
        <v>278.15</v>
      </c>
      <c r="Q4181" s="16" t="n">
        <v>3300</v>
      </c>
      <c r="R4181" s="16" t="n">
        <v>600</v>
      </c>
      <c r="S4181" s="16" t="n">
        <v>0.82</v>
      </c>
      <c r="T4181" s="16" t="n">
        <v>0.9</v>
      </c>
      <c r="U4181" s="16" t="n">
        <v>0.8</v>
      </c>
      <c r="V4181" s="16" t="n">
        <v>0.85</v>
      </c>
      <c r="W4181" s="16" t="n">
        <v>0.75</v>
      </c>
      <c r="X4181" s="16" t="n">
        <v>0.95</v>
      </c>
      <c r="Y4181" s="16" t="n">
        <v>278.15</v>
      </c>
      <c r="Z4181" s="16" t="n">
        <v>13.75268677295411</v>
      </c>
      <c r="AA4181" s="16" t="n">
        <v>127.0486533418041</v>
      </c>
      <c r="AB4181" s="16" t="n">
        <v>2700</v>
      </c>
      <c r="AC4181" s="16" t="n">
        <v>5.5</v>
      </c>
      <c r="AD4181" s="16" t="n"/>
      <c r="AE4181" s="16" t="n"/>
    </row>
    <row r="4182">
      <c r="A4182" s="16" t="inlineStr">
        <is>
          <t>KF-M09-HUS-0008</t>
        </is>
      </c>
      <c r="B4182" s="16" t="inlineStr">
        <is>
          <t>4.3</t>
        </is>
      </c>
      <c r="C4182" s="16" t="inlineStr">
        <is>
          <t>6.2e</t>
        </is>
      </c>
      <c r="D4182" s="16" t="inlineStr">
        <is>
          <t>P_baja mínima con su piso de diseño</t>
        </is>
      </c>
      <c r="E4182" s="16" t="inlineStr">
        <is>
          <t>KF-M09</t>
        </is>
      </c>
      <c r="F4182" s="16" t="inlineStr">
        <is>
          <t>KF-M09-HUS</t>
        </is>
      </c>
      <c r="G4182" s="16" t="inlineStr">
        <is>
          <t>B13-HUS</t>
        </is>
      </c>
      <c r="H4182" s="16" t="inlineStr">
        <is>
          <t>control</t>
        </is>
      </c>
      <c r="I4182" s="16" t="inlineStr">
        <is>
          <t>KALINA</t>
        </is>
      </c>
      <c r="J4182" s="16" t="inlineStr">
        <is>
          <t>KALINA</t>
        </is>
      </c>
      <c r="K4182" s="16" t="b">
        <v>1</v>
      </c>
      <c r="L4182" s="16" t="b">
        <v>1</v>
      </c>
      <c r="M4182" s="16" t="b">
        <v>0</v>
      </c>
      <c r="N4182" s="16" t="b">
        <v>0</v>
      </c>
      <c r="O4182" s="16" t="n">
        <v>394.15</v>
      </c>
      <c r="P4182" s="16" t="n">
        <v>278.15</v>
      </c>
      <c r="Q4182" s="16" t="n">
        <v>3300</v>
      </c>
      <c r="R4182" s="16" t="n">
        <v>690</v>
      </c>
      <c r="S4182" s="16" t="n">
        <v>0.82</v>
      </c>
      <c r="T4182" s="16" t="n">
        <v>0.9</v>
      </c>
      <c r="U4182" s="16" t="n">
        <v>0.8</v>
      </c>
      <c r="V4182" s="16" t="n">
        <v>0.85</v>
      </c>
      <c r="W4182" s="16" t="n">
        <v>0.75</v>
      </c>
      <c r="X4182" s="16" t="n">
        <v>0.95</v>
      </c>
      <c r="Y4182" s="16" t="n">
        <v>283.15</v>
      </c>
      <c r="Z4182" s="16" t="n">
        <v>12.73186450108127</v>
      </c>
      <c r="AA4182" s="16" t="n">
        <v>117.5882909120357</v>
      </c>
      <c r="AB4182" s="16" t="n">
        <v>2610</v>
      </c>
      <c r="AC4182" s="16" t="n">
        <v>4.782608695652174</v>
      </c>
      <c r="AD4182" s="16" t="n"/>
      <c r="AE4182" s="16" t="n"/>
    </row>
    <row r="4183">
      <c r="A4183" s="16" t="inlineStr">
        <is>
          <t>KF-M09-HUS-0009</t>
        </is>
      </c>
      <c r="B4183" s="16" t="inlineStr">
        <is>
          <t>4.3</t>
        </is>
      </c>
      <c r="C4183" s="16" t="inlineStr">
        <is>
          <t>6.2e</t>
        </is>
      </c>
      <c r="D4183" s="16" t="inlineStr">
        <is>
          <t>P_baja mínima con su piso de diseño</t>
        </is>
      </c>
      <c r="E4183" s="16" t="inlineStr">
        <is>
          <t>KF-M09</t>
        </is>
      </c>
      <c r="F4183" s="16" t="inlineStr">
        <is>
          <t>KF-M09-HUS</t>
        </is>
      </c>
      <c r="G4183" s="16" t="inlineStr">
        <is>
          <t>B13-HUS</t>
        </is>
      </c>
      <c r="H4183" s="16" t="inlineStr">
        <is>
          <t>control</t>
        </is>
      </c>
      <c r="I4183" s="16" t="inlineStr">
        <is>
          <t>KALINA</t>
        </is>
      </c>
      <c r="J4183" s="16" t="inlineStr">
        <is>
          <t>KALINA</t>
        </is>
      </c>
      <c r="K4183" s="16" t="b">
        <v>1</v>
      </c>
      <c r="L4183" s="16" t="b">
        <v>1</v>
      </c>
      <c r="M4183" s="16" t="b">
        <v>0</v>
      </c>
      <c r="N4183" s="16" t="b">
        <v>0</v>
      </c>
      <c r="O4183" s="16" t="n">
        <v>394.15</v>
      </c>
      <c r="P4183" s="16" t="n">
        <v>278.15</v>
      </c>
      <c r="Q4183" s="16" t="n">
        <v>3300</v>
      </c>
      <c r="R4183" s="16" t="n">
        <v>690</v>
      </c>
      <c r="S4183" s="16" t="n">
        <v>0.82</v>
      </c>
      <c r="T4183" s="16" t="n">
        <v>0.9</v>
      </c>
      <c r="U4183" s="16" t="n">
        <v>0.8</v>
      </c>
      <c r="V4183" s="16" t="n">
        <v>0.85</v>
      </c>
      <c r="W4183" s="16" t="n">
        <v>0.75</v>
      </c>
      <c r="X4183" s="16" t="n">
        <v>0.95</v>
      </c>
      <c r="Y4183" s="16" t="n">
        <v>278.15</v>
      </c>
      <c r="Z4183" s="16" t="n">
        <v>12.73186450108127</v>
      </c>
      <c r="AA4183" s="16" t="n">
        <v>117.5882909120357</v>
      </c>
      <c r="AB4183" s="16" t="n">
        <v>2610</v>
      </c>
      <c r="AC4183" s="16" t="n">
        <v>4.782608695652174</v>
      </c>
      <c r="AD4183" s="16" t="n"/>
      <c r="AE4183" s="16" t="n"/>
    </row>
    <row r="4184">
      <c r="A4184" s="16" t="inlineStr">
        <is>
          <t>KF-M09-HUS-0010</t>
        </is>
      </c>
      <c r="B4184" s="16" t="inlineStr">
        <is>
          <t>4.3</t>
        </is>
      </c>
      <c r="C4184" s="16" t="inlineStr">
        <is>
          <t>6.2e</t>
        </is>
      </c>
      <c r="D4184" s="16" t="inlineStr">
        <is>
          <t>P_baja mínima con su piso de diseño</t>
        </is>
      </c>
      <c r="E4184" s="16" t="inlineStr">
        <is>
          <t>KF-M09</t>
        </is>
      </c>
      <c r="F4184" s="16" t="inlineStr">
        <is>
          <t>KF-M09-HUS</t>
        </is>
      </c>
      <c r="G4184" s="16" t="inlineStr">
        <is>
          <t>B13-HUS</t>
        </is>
      </c>
      <c r="H4184" s="16" t="inlineStr">
        <is>
          <t>control</t>
        </is>
      </c>
      <c r="I4184" s="16" t="inlineStr">
        <is>
          <t>KALINA</t>
        </is>
      </c>
      <c r="J4184" s="16" t="inlineStr">
        <is>
          <t>KALINA</t>
        </is>
      </c>
      <c r="K4184" s="16" t="b">
        <v>1</v>
      </c>
      <c r="L4184" s="16" t="b">
        <v>1</v>
      </c>
      <c r="M4184" s="16" t="b">
        <v>0</v>
      </c>
      <c r="N4184" s="16" t="b">
        <v>0</v>
      </c>
      <c r="O4184" s="16" t="n">
        <v>394.15</v>
      </c>
      <c r="P4184" s="16" t="n">
        <v>278.15</v>
      </c>
      <c r="Q4184" s="16" t="n">
        <v>3300</v>
      </c>
      <c r="R4184" s="16" t="n">
        <v>700</v>
      </c>
      <c r="S4184" s="16" t="n">
        <v>0.82</v>
      </c>
      <c r="T4184" s="16" t="n">
        <v>0.9</v>
      </c>
      <c r="U4184" s="16" t="n">
        <v>0.8</v>
      </c>
      <c r="V4184" s="16" t="n">
        <v>0.85</v>
      </c>
      <c r="W4184" s="16" t="n">
        <v>0.75</v>
      </c>
      <c r="X4184" s="16" t="n">
        <v>0.95</v>
      </c>
      <c r="Y4184" s="16" t="n">
        <v>283.15</v>
      </c>
      <c r="Z4184" s="16" t="n">
        <v>12.58131444606638</v>
      </c>
      <c r="AA4184" s="16" t="n">
        <v>116.160036609947</v>
      </c>
      <c r="AB4184" s="16" t="n">
        <v>2600</v>
      </c>
      <c r="AC4184" s="16" t="n">
        <v>4.714285714285714</v>
      </c>
      <c r="AD4184" s="16" t="n"/>
      <c r="AE4184" s="16" t="n"/>
    </row>
    <row r="4185">
      <c r="A4185" s="16" t="inlineStr">
        <is>
          <t>KF-M09-HUS-0011</t>
        </is>
      </c>
      <c r="B4185" s="16" t="inlineStr">
        <is>
          <t>4.3</t>
        </is>
      </c>
      <c r="C4185" s="16" t="inlineStr">
        <is>
          <t>6.2e</t>
        </is>
      </c>
      <c r="D4185" s="16" t="inlineStr">
        <is>
          <t>P_baja mínima con su piso de diseño</t>
        </is>
      </c>
      <c r="E4185" s="16" t="inlineStr">
        <is>
          <t>KF-M09</t>
        </is>
      </c>
      <c r="F4185" s="16" t="inlineStr">
        <is>
          <t>KF-M09-HUS</t>
        </is>
      </c>
      <c r="G4185" s="16" t="inlineStr">
        <is>
          <t>B13-HUS</t>
        </is>
      </c>
      <c r="H4185" s="16" t="inlineStr">
        <is>
          <t>control</t>
        </is>
      </c>
      <c r="I4185" s="16" t="inlineStr">
        <is>
          <t>KALINA</t>
        </is>
      </c>
      <c r="J4185" s="16" t="inlineStr">
        <is>
          <t>KALINA</t>
        </is>
      </c>
      <c r="K4185" s="16" t="b">
        <v>1</v>
      </c>
      <c r="L4185" s="16" t="b">
        <v>1</v>
      </c>
      <c r="M4185" s="16" t="b">
        <v>0</v>
      </c>
      <c r="N4185" s="16" t="b">
        <v>0</v>
      </c>
      <c r="O4185" s="16" t="n">
        <v>394.15</v>
      </c>
      <c r="P4185" s="16" t="n">
        <v>278.15</v>
      </c>
      <c r="Q4185" s="16" t="n">
        <v>3300</v>
      </c>
      <c r="R4185" s="16" t="n">
        <v>700</v>
      </c>
      <c r="S4185" s="16" t="n">
        <v>0.82</v>
      </c>
      <c r="T4185" s="16" t="n">
        <v>0.9</v>
      </c>
      <c r="U4185" s="16" t="n">
        <v>0.8</v>
      </c>
      <c r="V4185" s="16" t="n">
        <v>0.85</v>
      </c>
      <c r="W4185" s="16" t="n">
        <v>0.75</v>
      </c>
      <c r="X4185" s="16" t="n">
        <v>0.95</v>
      </c>
      <c r="Y4185" s="16" t="n">
        <v>278.15</v>
      </c>
      <c r="Z4185" s="16" t="n">
        <v>12.58131444606638</v>
      </c>
      <c r="AA4185" s="16" t="n">
        <v>116.160036609947</v>
      </c>
      <c r="AB4185" s="16" t="n">
        <v>2600</v>
      </c>
      <c r="AC4185" s="16" t="n">
        <v>4.714285714285714</v>
      </c>
      <c r="AD4185" s="16" t="n"/>
      <c r="AE4185" s="16" t="n"/>
    </row>
    <row r="4186">
      <c r="A4186" s="16" t="inlineStr">
        <is>
          <t>KF-M09-HUS-0012</t>
        </is>
      </c>
      <c r="B4186" s="16" t="inlineStr">
        <is>
          <t>4.3</t>
        </is>
      </c>
      <c r="C4186" s="16" t="inlineStr">
        <is>
          <t>6.2e</t>
        </is>
      </c>
      <c r="D4186" s="16" t="inlineStr">
        <is>
          <t>P_baja mínima con su piso de diseño</t>
        </is>
      </c>
      <c r="E4186" s="16" t="inlineStr">
        <is>
          <t>KF-M09</t>
        </is>
      </c>
      <c r="F4186" s="16" t="inlineStr">
        <is>
          <t>KF-M09-HUS</t>
        </is>
      </c>
      <c r="G4186" s="16" t="inlineStr">
        <is>
          <t>B13-HUS</t>
        </is>
      </c>
      <c r="H4186" s="16" t="inlineStr">
        <is>
          <t>control</t>
        </is>
      </c>
      <c r="I4186" s="16" t="inlineStr">
        <is>
          <t>KALINA</t>
        </is>
      </c>
      <c r="J4186" s="16" t="inlineStr">
        <is>
          <t>KALINA</t>
        </is>
      </c>
      <c r="K4186" s="16" t="b">
        <v>1</v>
      </c>
      <c r="L4186" s="16" t="b">
        <v>1</v>
      </c>
      <c r="M4186" s="16" t="b">
        <v>0</v>
      </c>
      <c r="N4186" s="16" t="b">
        <v>0</v>
      </c>
      <c r="O4186" s="16" t="n">
        <v>394.15</v>
      </c>
      <c r="P4186" s="16" t="n">
        <v>278.15</v>
      </c>
      <c r="Q4186" s="16" t="n">
        <v>3300</v>
      </c>
      <c r="R4186" s="16" t="n">
        <v>750</v>
      </c>
      <c r="S4186" s="16" t="n">
        <v>0.82</v>
      </c>
      <c r="T4186" s="16" t="n">
        <v>0.9</v>
      </c>
      <c r="U4186" s="16" t="n">
        <v>0.8</v>
      </c>
      <c r="V4186" s="16" t="n">
        <v>0.85</v>
      </c>
      <c r="W4186" s="16" t="n">
        <v>0.75</v>
      </c>
      <c r="X4186" s="16" t="n">
        <v>0.95</v>
      </c>
      <c r="Y4186" s="16" t="n">
        <v>283.15</v>
      </c>
      <c r="Z4186" s="16" t="n">
        <v>12.11344297884353</v>
      </c>
      <c r="AA4186" s="16" t="n">
        <v>111.8598823594628</v>
      </c>
      <c r="AB4186" s="16" t="n">
        <v>2550</v>
      </c>
      <c r="AC4186" s="16" t="n">
        <v>4.4</v>
      </c>
      <c r="AD4186" s="16" t="n"/>
      <c r="AE4186" s="16" t="n"/>
    </row>
    <row r="4187">
      <c r="A4187" s="16" t="inlineStr">
        <is>
          <t>KF-M09-HUS-0013</t>
        </is>
      </c>
      <c r="B4187" s="16" t="inlineStr">
        <is>
          <t>4.3</t>
        </is>
      </c>
      <c r="C4187" s="16" t="inlineStr">
        <is>
          <t>6.2e</t>
        </is>
      </c>
      <c r="D4187" s="16" t="inlineStr">
        <is>
          <t>P_baja mínima con su piso de diseño</t>
        </is>
      </c>
      <c r="E4187" s="16" t="inlineStr">
        <is>
          <t>KF-M09</t>
        </is>
      </c>
      <c r="F4187" s="16" t="inlineStr">
        <is>
          <t>KF-M09-HUS</t>
        </is>
      </c>
      <c r="G4187" s="16" t="inlineStr">
        <is>
          <t>B13-HUS</t>
        </is>
      </c>
      <c r="H4187" s="16" t="inlineStr">
        <is>
          <t>control</t>
        </is>
      </c>
      <c r="I4187" s="16" t="inlineStr">
        <is>
          <t>KALINA</t>
        </is>
      </c>
      <c r="J4187" s="16" t="inlineStr">
        <is>
          <t>KALINA</t>
        </is>
      </c>
      <c r="K4187" s="16" t="b">
        <v>1</v>
      </c>
      <c r="L4187" s="16" t="b">
        <v>1</v>
      </c>
      <c r="M4187" s="16" t="b">
        <v>0</v>
      </c>
      <c r="N4187" s="16" t="b">
        <v>0</v>
      </c>
      <c r="O4187" s="16" t="n">
        <v>394.15</v>
      </c>
      <c r="P4187" s="16" t="n">
        <v>278.15</v>
      </c>
      <c r="Q4187" s="16" t="n">
        <v>3300</v>
      </c>
      <c r="R4187" s="16" t="n">
        <v>750</v>
      </c>
      <c r="S4187" s="16" t="n">
        <v>0.82</v>
      </c>
      <c r="T4187" s="16" t="n">
        <v>0.9</v>
      </c>
      <c r="U4187" s="16" t="n">
        <v>0.8</v>
      </c>
      <c r="V4187" s="16" t="n">
        <v>0.85</v>
      </c>
      <c r="W4187" s="16" t="n">
        <v>0.75</v>
      </c>
      <c r="X4187" s="16" t="n">
        <v>0.95</v>
      </c>
      <c r="Y4187" s="16" t="n">
        <v>278.15</v>
      </c>
      <c r="Z4187" s="16" t="n">
        <v>12.11344297884353</v>
      </c>
      <c r="AA4187" s="16" t="n">
        <v>111.8598823594628</v>
      </c>
      <c r="AB4187" s="16" t="n">
        <v>2550</v>
      </c>
      <c r="AC4187" s="16" t="n">
        <v>4.4</v>
      </c>
      <c r="AD4187" s="16" t="n"/>
      <c r="AE4187" s="16" t="n"/>
    </row>
    <row r="4188">
      <c r="A4188" s="16" t="inlineStr">
        <is>
          <t>KF-M09-HUS-0014</t>
        </is>
      </c>
      <c r="B4188" s="16" t="inlineStr">
        <is>
          <t>4.3</t>
        </is>
      </c>
      <c r="C4188" s="16" t="inlineStr">
        <is>
          <t>6.2e</t>
        </is>
      </c>
      <c r="D4188" s="16" t="inlineStr">
        <is>
          <t>P_baja mínima con su piso de diseño</t>
        </is>
      </c>
      <c r="E4188" s="16" t="inlineStr">
        <is>
          <t>KF-M09</t>
        </is>
      </c>
      <c r="F4188" s="16" t="inlineStr">
        <is>
          <t>KF-M09-HUS</t>
        </is>
      </c>
      <c r="G4188" s="16" t="inlineStr">
        <is>
          <t>B13-HUS</t>
        </is>
      </c>
      <c r="H4188" s="16" t="inlineStr">
        <is>
          <t>control</t>
        </is>
      </c>
      <c r="I4188" s="16" t="inlineStr">
        <is>
          <t>KALINA</t>
        </is>
      </c>
      <c r="J4188" s="16" t="inlineStr">
        <is>
          <t>KALINA</t>
        </is>
      </c>
      <c r="K4188" s="16" t="b">
        <v>1</v>
      </c>
      <c r="L4188" s="16" t="b">
        <v>1</v>
      </c>
      <c r="M4188" s="16" t="b">
        <v>0</v>
      </c>
      <c r="N4188" s="16" t="b">
        <v>0</v>
      </c>
      <c r="O4188" s="16" t="n">
        <v>394.15</v>
      </c>
      <c r="P4188" s="16" t="n">
        <v>278.15</v>
      </c>
      <c r="Q4188" s="16" t="n">
        <v>3300</v>
      </c>
      <c r="R4188" s="16" t="n">
        <v>800</v>
      </c>
      <c r="S4188" s="16" t="n">
        <v>0.82</v>
      </c>
      <c r="T4188" s="16" t="n">
        <v>0.9</v>
      </c>
      <c r="U4188" s="16" t="n">
        <v>0.8</v>
      </c>
      <c r="V4188" s="16" t="n">
        <v>0.85</v>
      </c>
      <c r="W4188" s="16" t="n">
        <v>0.75</v>
      </c>
      <c r="X4188" s="16" t="n">
        <v>0.95</v>
      </c>
      <c r="Y4188" s="16" t="n">
        <v>283.15</v>
      </c>
      <c r="Z4188" s="16" t="n">
        <v>11.62985863251361</v>
      </c>
      <c r="AA4188" s="16" t="n">
        <v>107.3818843882582</v>
      </c>
      <c r="AB4188" s="16" t="n">
        <v>2500</v>
      </c>
      <c r="AC4188" s="16" t="n">
        <v>4.125</v>
      </c>
      <c r="AD4188" s="16" t="n"/>
      <c r="AE4188" s="16" t="n"/>
    </row>
    <row r="4189">
      <c r="A4189" s="16" t="inlineStr">
        <is>
          <t>KF-M09-HUS-0015</t>
        </is>
      </c>
      <c r="B4189" s="16" t="inlineStr">
        <is>
          <t>4.3</t>
        </is>
      </c>
      <c r="C4189" s="16" t="inlineStr">
        <is>
          <t>6.2e</t>
        </is>
      </c>
      <c r="D4189" s="16" t="inlineStr">
        <is>
          <t>P_baja mínima con su piso de diseño</t>
        </is>
      </c>
      <c r="E4189" s="16" t="inlineStr">
        <is>
          <t>KF-M09</t>
        </is>
      </c>
      <c r="F4189" s="16" t="inlineStr">
        <is>
          <t>KF-M09-HUS</t>
        </is>
      </c>
      <c r="G4189" s="16" t="inlineStr">
        <is>
          <t>B13-HUS</t>
        </is>
      </c>
      <c r="H4189" s="16" t="inlineStr">
        <is>
          <t>control</t>
        </is>
      </c>
      <c r="I4189" s="16" t="inlineStr">
        <is>
          <t>KALINA</t>
        </is>
      </c>
      <c r="J4189" s="16" t="inlineStr">
        <is>
          <t>KALINA</t>
        </is>
      </c>
      <c r="K4189" s="16" t="b">
        <v>1</v>
      </c>
      <c r="L4189" s="16" t="b">
        <v>1</v>
      </c>
      <c r="M4189" s="16" t="b">
        <v>0</v>
      </c>
      <c r="N4189" s="16" t="b">
        <v>0</v>
      </c>
      <c r="O4189" s="16" t="n">
        <v>394.15</v>
      </c>
      <c r="P4189" s="16" t="n">
        <v>278.15</v>
      </c>
      <c r="Q4189" s="16" t="n">
        <v>3300</v>
      </c>
      <c r="R4189" s="16" t="n">
        <v>800</v>
      </c>
      <c r="S4189" s="16" t="n">
        <v>0.82</v>
      </c>
      <c r="T4189" s="16" t="n">
        <v>0.9</v>
      </c>
      <c r="U4189" s="16" t="n">
        <v>0.8</v>
      </c>
      <c r="V4189" s="16" t="n">
        <v>0.85</v>
      </c>
      <c r="W4189" s="16" t="n">
        <v>0.75</v>
      </c>
      <c r="X4189" s="16" t="n">
        <v>0.95</v>
      </c>
      <c r="Y4189" s="16" t="n">
        <v>278.15</v>
      </c>
      <c r="Z4189" s="16" t="n">
        <v>11.62985863251361</v>
      </c>
      <c r="AA4189" s="16" t="n">
        <v>107.3818843882582</v>
      </c>
      <c r="AB4189" s="16" t="n">
        <v>2500</v>
      </c>
      <c r="AC4189" s="16" t="n">
        <v>4.125</v>
      </c>
      <c r="AD4189" s="16" t="n"/>
      <c r="AE4189" s="16" t="n"/>
    </row>
    <row r="4190">
      <c r="A4190" s="16" t="inlineStr">
        <is>
          <t>KF-M09-HUS-0016</t>
        </is>
      </c>
      <c r="B4190" s="16" t="inlineStr">
        <is>
          <t>4.3</t>
        </is>
      </c>
      <c r="C4190" s="16" t="inlineStr">
        <is>
          <t>6.2e</t>
        </is>
      </c>
      <c r="D4190" s="16" t="inlineStr">
        <is>
          <t>P_baja mínima con su piso de diseño</t>
        </is>
      </c>
      <c r="E4190" s="16" t="inlineStr">
        <is>
          <t>KF-M09</t>
        </is>
      </c>
      <c r="F4190" s="16" t="inlineStr">
        <is>
          <t>KF-M09-HUS</t>
        </is>
      </c>
      <c r="G4190" s="16" t="inlineStr">
        <is>
          <t>B13-HUS</t>
        </is>
      </c>
      <c r="H4190" s="16" t="inlineStr">
        <is>
          <t>control</t>
        </is>
      </c>
      <c r="I4190" s="16" t="inlineStr">
        <is>
          <t>KALINA</t>
        </is>
      </c>
      <c r="J4190" s="16" t="inlineStr">
        <is>
          <t>KALINA</t>
        </is>
      </c>
      <c r="K4190" s="16" t="b">
        <v>1</v>
      </c>
      <c r="L4190" s="16" t="b">
        <v>1</v>
      </c>
      <c r="M4190" s="16" t="b">
        <v>0</v>
      </c>
      <c r="N4190" s="16" t="b">
        <v>0</v>
      </c>
      <c r="O4190" s="16" t="n">
        <v>394.15</v>
      </c>
      <c r="P4190" s="16" t="n">
        <v>278.15</v>
      </c>
      <c r="Q4190" s="16" t="n">
        <v>3300</v>
      </c>
      <c r="R4190" s="16" t="n">
        <v>850</v>
      </c>
      <c r="S4190" s="16" t="n">
        <v>0.82</v>
      </c>
      <c r="T4190" s="16" t="n">
        <v>0.9</v>
      </c>
      <c r="U4190" s="16" t="n">
        <v>0.8</v>
      </c>
      <c r="V4190" s="16" t="n">
        <v>0.85</v>
      </c>
      <c r="W4190" s="16" t="n">
        <v>0.75</v>
      </c>
      <c r="X4190" s="16" t="n">
        <v>0.95</v>
      </c>
      <c r="Y4190" s="16" t="n">
        <v>283.15</v>
      </c>
      <c r="Z4190" s="16" t="n">
        <v>11.17164861327897</v>
      </c>
      <c r="AA4190" s="16" t="n">
        <v>103.139987552983</v>
      </c>
      <c r="AB4190" s="16" t="n">
        <v>2450</v>
      </c>
      <c r="AC4190" s="16" t="n">
        <v>3.882352941176471</v>
      </c>
      <c r="AD4190" s="16" t="n"/>
      <c r="AE4190" s="16" t="n"/>
    </row>
    <row r="4191">
      <c r="A4191" s="16" t="inlineStr">
        <is>
          <t>KF-M09-HUS-0017</t>
        </is>
      </c>
      <c r="B4191" s="16" t="inlineStr">
        <is>
          <t>4.3</t>
        </is>
      </c>
      <c r="C4191" s="16" t="inlineStr">
        <is>
          <t>6.2e</t>
        </is>
      </c>
      <c r="D4191" s="16" t="inlineStr">
        <is>
          <t>P_baja mínima con su piso de diseño</t>
        </is>
      </c>
      <c r="E4191" s="16" t="inlineStr">
        <is>
          <t>KF-M09</t>
        </is>
      </c>
      <c r="F4191" s="16" t="inlineStr">
        <is>
          <t>KF-M09-HUS</t>
        </is>
      </c>
      <c r="G4191" s="16" t="inlineStr">
        <is>
          <t>B13-HUS</t>
        </is>
      </c>
      <c r="H4191" s="16" t="inlineStr">
        <is>
          <t>control</t>
        </is>
      </c>
      <c r="I4191" s="16" t="inlineStr">
        <is>
          <t>KALINA</t>
        </is>
      </c>
      <c r="J4191" s="16" t="inlineStr">
        <is>
          <t>KALINA</t>
        </is>
      </c>
      <c r="K4191" s="16" t="b">
        <v>1</v>
      </c>
      <c r="L4191" s="16" t="b">
        <v>1</v>
      </c>
      <c r="M4191" s="16" t="b">
        <v>0</v>
      </c>
      <c r="N4191" s="16" t="b">
        <v>0</v>
      </c>
      <c r="O4191" s="16" t="n">
        <v>394.15</v>
      </c>
      <c r="P4191" s="16" t="n">
        <v>278.15</v>
      </c>
      <c r="Q4191" s="16" t="n">
        <v>3300</v>
      </c>
      <c r="R4191" s="16" t="n">
        <v>850</v>
      </c>
      <c r="S4191" s="16" t="n">
        <v>0.82</v>
      </c>
      <c r="T4191" s="16" t="n">
        <v>0.9</v>
      </c>
      <c r="U4191" s="16" t="n">
        <v>0.8</v>
      </c>
      <c r="V4191" s="16" t="n">
        <v>0.85</v>
      </c>
      <c r="W4191" s="16" t="n">
        <v>0.75</v>
      </c>
      <c r="X4191" s="16" t="n">
        <v>0.95</v>
      </c>
      <c r="Y4191" s="16" t="n">
        <v>278.15</v>
      </c>
      <c r="Z4191" s="16" t="n">
        <v>11.17164861327897</v>
      </c>
      <c r="AA4191" s="16" t="n">
        <v>103.139987552983</v>
      </c>
      <c r="AB4191" s="16" t="n">
        <v>2450</v>
      </c>
      <c r="AC4191" s="16" t="n">
        <v>3.882352941176471</v>
      </c>
      <c r="AD4191" s="16" t="n"/>
      <c r="AE4191" s="16" t="n"/>
    </row>
    <row r="4192">
      <c r="A4192" s="16" t="inlineStr">
        <is>
          <t>KF-M09-HUS-0018</t>
        </is>
      </c>
      <c r="B4192" s="16" t="inlineStr">
        <is>
          <t>4.3</t>
        </is>
      </c>
      <c r="C4192" s="16" t="inlineStr">
        <is>
          <t>6.2e</t>
        </is>
      </c>
      <c r="D4192" s="16" t="inlineStr">
        <is>
          <t>P_baja mínima con su piso de diseño</t>
        </is>
      </c>
      <c r="E4192" s="16" t="inlineStr">
        <is>
          <t>KF-M09</t>
        </is>
      </c>
      <c r="F4192" s="16" t="inlineStr">
        <is>
          <t>KF-M09-HUS</t>
        </is>
      </c>
      <c r="G4192" s="16" t="inlineStr">
        <is>
          <t>B13-HUS</t>
        </is>
      </c>
      <c r="H4192" s="16" t="inlineStr">
        <is>
          <t>control</t>
        </is>
      </c>
      <c r="I4192" s="16" t="inlineStr">
        <is>
          <t>KALINA</t>
        </is>
      </c>
      <c r="J4192" s="16" t="inlineStr">
        <is>
          <t>KALINA</t>
        </is>
      </c>
      <c r="K4192" s="16" t="b">
        <v>1</v>
      </c>
      <c r="L4192" s="16" t="b">
        <v>1</v>
      </c>
      <c r="M4192" s="16" t="b">
        <v>0</v>
      </c>
      <c r="N4192" s="16" t="b">
        <v>0</v>
      </c>
      <c r="O4192" s="16" t="n">
        <v>394.15</v>
      </c>
      <c r="P4192" s="16" t="n">
        <v>278.15</v>
      </c>
      <c r="Q4192" s="16" t="n">
        <v>3300</v>
      </c>
      <c r="R4192" s="16" t="n">
        <v>900</v>
      </c>
      <c r="S4192" s="16" t="n">
        <v>0.82</v>
      </c>
      <c r="T4192" s="16" t="n">
        <v>0.9</v>
      </c>
      <c r="U4192" s="16" t="n">
        <v>0.8</v>
      </c>
      <c r="V4192" s="16" t="n">
        <v>0.85</v>
      </c>
      <c r="W4192" s="16" t="n">
        <v>0.75</v>
      </c>
      <c r="X4192" s="16" t="n">
        <v>0.95</v>
      </c>
      <c r="Y4192" s="16" t="n">
        <v>283.15</v>
      </c>
      <c r="Z4192" s="16" t="n">
        <v>10.73610439817951</v>
      </c>
      <c r="AA4192" s="16" t="n">
        <v>99.10893025354618</v>
      </c>
      <c r="AB4192" s="16" t="n">
        <v>2400</v>
      </c>
      <c r="AC4192" s="16" t="n">
        <v>3.666666666666667</v>
      </c>
      <c r="AD4192" s="16" t="n"/>
      <c r="AE4192" s="16" t="n"/>
    </row>
    <row r="4193">
      <c r="A4193" s="16" t="inlineStr">
        <is>
          <t>KF-M09-HUS-0019</t>
        </is>
      </c>
      <c r="B4193" s="16" t="inlineStr">
        <is>
          <t>4.3</t>
        </is>
      </c>
      <c r="C4193" s="16" t="inlineStr">
        <is>
          <t>6.2e</t>
        </is>
      </c>
      <c r="D4193" s="16" t="inlineStr">
        <is>
          <t>P_baja mínima con su piso de diseño</t>
        </is>
      </c>
      <c r="E4193" s="16" t="inlineStr">
        <is>
          <t>KF-M09</t>
        </is>
      </c>
      <c r="F4193" s="16" t="inlineStr">
        <is>
          <t>KF-M09-HUS</t>
        </is>
      </c>
      <c r="G4193" s="16" t="inlineStr">
        <is>
          <t>B13-HUS</t>
        </is>
      </c>
      <c r="H4193" s="16" t="inlineStr">
        <is>
          <t>control</t>
        </is>
      </c>
      <c r="I4193" s="16" t="inlineStr">
        <is>
          <t>KALINA</t>
        </is>
      </c>
      <c r="J4193" s="16" t="inlineStr">
        <is>
          <t>KALINA</t>
        </is>
      </c>
      <c r="K4193" s="16" t="b">
        <v>1</v>
      </c>
      <c r="L4193" s="16" t="b">
        <v>1</v>
      </c>
      <c r="M4193" s="16" t="b">
        <v>0</v>
      </c>
      <c r="N4193" s="16" t="b">
        <v>0</v>
      </c>
      <c r="O4193" s="16" t="n">
        <v>394.15</v>
      </c>
      <c r="P4193" s="16" t="n">
        <v>278.15</v>
      </c>
      <c r="Q4193" s="16" t="n">
        <v>3300</v>
      </c>
      <c r="R4193" s="16" t="n">
        <v>900</v>
      </c>
      <c r="S4193" s="16" t="n">
        <v>0.82</v>
      </c>
      <c r="T4193" s="16" t="n">
        <v>0.9</v>
      </c>
      <c r="U4193" s="16" t="n">
        <v>0.8</v>
      </c>
      <c r="V4193" s="16" t="n">
        <v>0.85</v>
      </c>
      <c r="W4193" s="16" t="n">
        <v>0.75</v>
      </c>
      <c r="X4193" s="16" t="n">
        <v>0.95</v>
      </c>
      <c r="Y4193" s="16" t="n">
        <v>278.15</v>
      </c>
      <c r="Z4193" s="16" t="n">
        <v>10.73610439817951</v>
      </c>
      <c r="AA4193" s="16" t="n">
        <v>99.10893025354618</v>
      </c>
      <c r="AB4193" s="16" t="n">
        <v>2400</v>
      </c>
      <c r="AC4193" s="16" t="n">
        <v>3.666666666666667</v>
      </c>
      <c r="AD4193" s="16" t="n"/>
      <c r="AE4193" s="16" t="n"/>
    </row>
    <row r="4194">
      <c r="A4194" s="16" t="inlineStr">
        <is>
          <t>KF-M09-HUS-0020</t>
        </is>
      </c>
      <c r="B4194" s="16" t="inlineStr">
        <is>
          <t>4.3</t>
        </is>
      </c>
      <c r="C4194" s="16" t="inlineStr">
        <is>
          <t>6.2e</t>
        </is>
      </c>
      <c r="D4194" s="16" t="inlineStr">
        <is>
          <t>P_baja mínima con su piso de diseño</t>
        </is>
      </c>
      <c r="E4194" s="16" t="inlineStr">
        <is>
          <t>KF-M09</t>
        </is>
      </c>
      <c r="F4194" s="16" t="inlineStr">
        <is>
          <t>KF-M09-HUS</t>
        </is>
      </c>
      <c r="G4194" s="16" t="inlineStr">
        <is>
          <t>B13-HUS</t>
        </is>
      </c>
      <c r="H4194" s="16" t="inlineStr">
        <is>
          <t>control</t>
        </is>
      </c>
      <c r="I4194" s="16" t="inlineStr">
        <is>
          <t>KALINA</t>
        </is>
      </c>
      <c r="J4194" s="16" t="inlineStr">
        <is>
          <t>KALINA</t>
        </is>
      </c>
      <c r="K4194" s="16" t="b">
        <v>1</v>
      </c>
      <c r="L4194" s="16" t="b">
        <v>1</v>
      </c>
      <c r="M4194" s="16" t="b">
        <v>0</v>
      </c>
      <c r="N4194" s="16" t="b">
        <v>0</v>
      </c>
      <c r="O4194" s="16" t="n">
        <v>394.15</v>
      </c>
      <c r="P4194" s="16" t="n">
        <v>278.15</v>
      </c>
      <c r="Q4194" s="16" t="n">
        <v>3300</v>
      </c>
      <c r="R4194" s="16" t="n">
        <v>950</v>
      </c>
      <c r="S4194" s="16" t="n">
        <v>0.82</v>
      </c>
      <c r="T4194" s="16" t="n">
        <v>0.9</v>
      </c>
      <c r="U4194" s="16" t="n">
        <v>0.8</v>
      </c>
      <c r="V4194" s="16" t="n">
        <v>0.85</v>
      </c>
      <c r="W4194" s="16" t="n">
        <v>0.75</v>
      </c>
      <c r="X4194" s="16" t="n">
        <v>0.95</v>
      </c>
      <c r="Y4194" s="16" t="n">
        <v>283.15</v>
      </c>
      <c r="Z4194" s="16" t="n">
        <v>10.32094550926344</v>
      </c>
      <c r="AA4194" s="16" t="n">
        <v>95.26744767682612</v>
      </c>
      <c r="AB4194" s="16" t="n">
        <v>2350</v>
      </c>
      <c r="AC4194" s="16" t="n">
        <v>3.473684210526316</v>
      </c>
      <c r="AD4194" s="16" t="n"/>
      <c r="AE4194" s="16" t="n"/>
    </row>
    <row r="4195">
      <c r="A4195" s="16" t="inlineStr">
        <is>
          <t>KF-M09-HUS-0021</t>
        </is>
      </c>
      <c r="B4195" s="16" t="inlineStr">
        <is>
          <t>4.3</t>
        </is>
      </c>
      <c r="C4195" s="16" t="inlineStr">
        <is>
          <t>6.2e</t>
        </is>
      </c>
      <c r="D4195" s="16" t="inlineStr">
        <is>
          <t>P_baja mínima con su piso de diseño</t>
        </is>
      </c>
      <c r="E4195" s="16" t="inlineStr">
        <is>
          <t>KF-M09</t>
        </is>
      </c>
      <c r="F4195" s="16" t="inlineStr">
        <is>
          <t>KF-M09-HUS</t>
        </is>
      </c>
      <c r="G4195" s="16" t="inlineStr">
        <is>
          <t>B13-HUS</t>
        </is>
      </c>
      <c r="H4195" s="16" t="inlineStr">
        <is>
          <t>control</t>
        </is>
      </c>
      <c r="I4195" s="16" t="inlineStr">
        <is>
          <t>KALINA</t>
        </is>
      </c>
      <c r="J4195" s="16" t="inlineStr">
        <is>
          <t>KALINA</t>
        </is>
      </c>
      <c r="K4195" s="16" t="b">
        <v>1</v>
      </c>
      <c r="L4195" s="16" t="b">
        <v>1</v>
      </c>
      <c r="M4195" s="16" t="b">
        <v>0</v>
      </c>
      <c r="N4195" s="16" t="b">
        <v>0</v>
      </c>
      <c r="O4195" s="16" t="n">
        <v>394.15</v>
      </c>
      <c r="P4195" s="16" t="n">
        <v>278.15</v>
      </c>
      <c r="Q4195" s="16" t="n">
        <v>3300</v>
      </c>
      <c r="R4195" s="16" t="n">
        <v>950</v>
      </c>
      <c r="S4195" s="16" t="n">
        <v>0.82</v>
      </c>
      <c r="T4195" s="16" t="n">
        <v>0.9</v>
      </c>
      <c r="U4195" s="16" t="n">
        <v>0.8</v>
      </c>
      <c r="V4195" s="16" t="n">
        <v>0.85</v>
      </c>
      <c r="W4195" s="16" t="n">
        <v>0.75</v>
      </c>
      <c r="X4195" s="16" t="n">
        <v>0.95</v>
      </c>
      <c r="Y4195" s="16" t="n">
        <v>278.15</v>
      </c>
      <c r="Z4195" s="16" t="n">
        <v>10.32094550926344</v>
      </c>
      <c r="AA4195" s="16" t="n">
        <v>95.26744767682612</v>
      </c>
      <c r="AB4195" s="16" t="n">
        <v>2350</v>
      </c>
      <c r="AC4195" s="16" t="n">
        <v>3.473684210526316</v>
      </c>
      <c r="AD4195" s="16" t="n"/>
      <c r="AE4195" s="16" t="n"/>
    </row>
    <row r="4196">
      <c r="A4196" s="16" t="inlineStr">
        <is>
          <t>KF-M09-HUS-0022</t>
        </is>
      </c>
      <c r="B4196" s="16" t="inlineStr">
        <is>
          <t>4.3</t>
        </is>
      </c>
      <c r="C4196" s="16" t="inlineStr">
        <is>
          <t>6.2e</t>
        </is>
      </c>
      <c r="D4196" s="16" t="inlineStr">
        <is>
          <t>P_baja mínima con su piso de diseño</t>
        </is>
      </c>
      <c r="E4196" s="16" t="inlineStr">
        <is>
          <t>KF-M09</t>
        </is>
      </c>
      <c r="F4196" s="16" t="inlineStr">
        <is>
          <t>KF-M09-HUS</t>
        </is>
      </c>
      <c r="G4196" s="16" t="inlineStr">
        <is>
          <t>B13-HUS</t>
        </is>
      </c>
      <c r="H4196" s="16" t="inlineStr">
        <is>
          <t>control</t>
        </is>
      </c>
      <c r="I4196" s="16" t="inlineStr">
        <is>
          <t>KALINA</t>
        </is>
      </c>
      <c r="J4196" s="16" t="inlineStr">
        <is>
          <t>KALINA</t>
        </is>
      </c>
      <c r="K4196" s="16" t="b">
        <v>1</v>
      </c>
      <c r="L4196" s="16" t="b">
        <v>1</v>
      </c>
      <c r="M4196" s="16" t="b">
        <v>0</v>
      </c>
      <c r="N4196" s="16" t="b">
        <v>0</v>
      </c>
      <c r="O4196" s="16" t="n">
        <v>394.15</v>
      </c>
      <c r="P4196" s="16" t="n">
        <v>278.15</v>
      </c>
      <c r="Q4196" s="16" t="n">
        <v>3300</v>
      </c>
      <c r="R4196" s="16" t="n">
        <v>1000</v>
      </c>
      <c r="S4196" s="16" t="n">
        <v>0.82</v>
      </c>
      <c r="T4196" s="16" t="n">
        <v>0.9</v>
      </c>
      <c r="U4196" s="16" t="n">
        <v>0.8</v>
      </c>
      <c r="V4196" s="16" t="n">
        <v>0.85</v>
      </c>
      <c r="W4196" s="16" t="n">
        <v>0.75</v>
      </c>
      <c r="X4196" s="16" t="n">
        <v>0.95</v>
      </c>
      <c r="Y4196" s="16" t="n">
        <v>283.15</v>
      </c>
      <c r="Z4196" s="16" t="n">
        <v>9.924233112501261</v>
      </c>
      <c r="AA4196" s="16" t="n">
        <v>91.59746440326164</v>
      </c>
      <c r="AB4196" s="16" t="n">
        <v>2300</v>
      </c>
      <c r="AC4196" s="16" t="n">
        <v>3.3</v>
      </c>
      <c r="AD4196" s="16" t="n"/>
      <c r="AE4196" s="16" t="n"/>
    </row>
    <row r="4197">
      <c r="A4197" s="16" t="inlineStr">
        <is>
          <t>KF-M09-HUS-0023</t>
        </is>
      </c>
      <c r="B4197" s="16" t="inlineStr">
        <is>
          <t>4.3</t>
        </is>
      </c>
      <c r="C4197" s="16" t="inlineStr">
        <is>
          <t>6.2e</t>
        </is>
      </c>
      <c r="D4197" s="16" t="inlineStr">
        <is>
          <t>P_baja mínima con su piso de diseño</t>
        </is>
      </c>
      <c r="E4197" s="16" t="inlineStr">
        <is>
          <t>KF-M09</t>
        </is>
      </c>
      <c r="F4197" s="16" t="inlineStr">
        <is>
          <t>KF-M09-HUS</t>
        </is>
      </c>
      <c r="G4197" s="16" t="inlineStr">
        <is>
          <t>B13-HUS</t>
        </is>
      </c>
      <c r="H4197" s="16" t="inlineStr">
        <is>
          <t>control</t>
        </is>
      </c>
      <c r="I4197" s="16" t="inlineStr">
        <is>
          <t>KALINA</t>
        </is>
      </c>
      <c r="J4197" s="16" t="inlineStr">
        <is>
          <t>KALINA</t>
        </is>
      </c>
      <c r="K4197" s="16" t="b">
        <v>1</v>
      </c>
      <c r="L4197" s="16" t="b">
        <v>1</v>
      </c>
      <c r="M4197" s="16" t="b">
        <v>0</v>
      </c>
      <c r="N4197" s="16" t="b">
        <v>0</v>
      </c>
      <c r="O4197" s="16" t="n">
        <v>394.15</v>
      </c>
      <c r="P4197" s="16" t="n">
        <v>278.15</v>
      </c>
      <c r="Q4197" s="16" t="n">
        <v>3300</v>
      </c>
      <c r="R4197" s="16" t="n">
        <v>1000</v>
      </c>
      <c r="S4197" s="16" t="n">
        <v>0.82</v>
      </c>
      <c r="T4197" s="16" t="n">
        <v>0.9</v>
      </c>
      <c r="U4197" s="16" t="n">
        <v>0.8</v>
      </c>
      <c r="V4197" s="16" t="n">
        <v>0.85</v>
      </c>
      <c r="W4197" s="16" t="n">
        <v>0.75</v>
      </c>
      <c r="X4197" s="16" t="n">
        <v>0.95</v>
      </c>
      <c r="Y4197" s="16" t="n">
        <v>278.15</v>
      </c>
      <c r="Z4197" s="16" t="n">
        <v>9.924233112501261</v>
      </c>
      <c r="AA4197" s="16" t="n">
        <v>91.59746440326164</v>
      </c>
      <c r="AB4197" s="16" t="n">
        <v>2300</v>
      </c>
      <c r="AC4197" s="16" t="n">
        <v>3.3</v>
      </c>
      <c r="AD4197" s="16" t="n"/>
      <c r="AE4197" s="16" t="n"/>
    </row>
    <row r="4198">
      <c r="A4198" s="16" t="inlineStr">
        <is>
          <t>KF-M09-REAL-0000</t>
        </is>
      </c>
      <c r="B4198" s="16" t="inlineStr">
        <is>
          <t>4.3</t>
        </is>
      </c>
      <c r="C4198" s="16" t="inlineStr">
        <is>
          <t>6.1d</t>
        </is>
      </c>
      <c r="D4198" s="16" t="inlineStr">
        <is>
          <t>motor real con 1500 s</t>
        </is>
      </c>
      <c r="E4198" s="16" t="inlineStr">
        <is>
          <t>KF-M09</t>
        </is>
      </c>
      <c r="F4198" s="16" t="inlineStr">
        <is>
          <t>KF-M09-REAL</t>
        </is>
      </c>
      <c r="G4198" s="16" t="inlineStr">
        <is>
          <t>B12</t>
        </is>
      </c>
      <c r="H4198" s="16" t="inlineStr">
        <is>
          <t>control</t>
        </is>
      </c>
      <c r="I4198" s="16" t="inlineStr">
        <is>
          <t>KALINA</t>
        </is>
      </c>
      <c r="J4198" s="16" t="inlineStr">
        <is>
          <t>KALINA</t>
        </is>
      </c>
      <c r="K4198" s="16" t="b">
        <v>1</v>
      </c>
      <c r="L4198" s="16" t="b">
        <v>1</v>
      </c>
      <c r="M4198" s="16" t="b">
        <v>0</v>
      </c>
      <c r="N4198" s="16" t="b">
        <v>0</v>
      </c>
      <c r="O4198" s="16" t="n">
        <v>394.15</v>
      </c>
      <c r="P4198" s="16" t="n">
        <v>278.15</v>
      </c>
      <c r="Q4198" s="16" t="n">
        <v>3300</v>
      </c>
      <c r="R4198" s="16" t="n">
        <v>690</v>
      </c>
      <c r="S4198" s="16" t="n">
        <v>0.82</v>
      </c>
      <c r="T4198" s="16" t="n">
        <v>0.9</v>
      </c>
      <c r="U4198" s="16" t="n">
        <v>0.8</v>
      </c>
      <c r="V4198" s="16" t="n">
        <v>0.85</v>
      </c>
      <c r="W4198" s="16" t="n">
        <v>0.75</v>
      </c>
      <c r="X4198" s="16" t="n">
        <v>0.95</v>
      </c>
      <c r="Y4198" s="16" t="n">
        <v>283.15</v>
      </c>
      <c r="Z4198" s="16" t="n">
        <v>12.72957418499317</v>
      </c>
      <c r="AA4198" s="16" t="n">
        <v>117.5696691286374</v>
      </c>
      <c r="AB4198" s="16" t="n">
        <v>2610</v>
      </c>
      <c r="AC4198" s="16" t="n">
        <v>4.782608695652174</v>
      </c>
      <c r="AD4198" s="16" t="n"/>
      <c r="AE4198" s="16" t="n"/>
    </row>
    <row r="4199">
      <c r="A4199" s="16" t="inlineStr">
        <is>
          <t>KF-M09-REAL-0001</t>
        </is>
      </c>
      <c r="B4199" s="16" t="inlineStr">
        <is>
          <t>4.3</t>
        </is>
      </c>
      <c r="C4199" s="16" t="inlineStr">
        <is>
          <t>6.1d</t>
        </is>
      </c>
      <c r="D4199" s="16" t="inlineStr">
        <is>
          <t>motor real con 1500 s</t>
        </is>
      </c>
      <c r="E4199" s="16" t="inlineStr">
        <is>
          <t>KF-M09</t>
        </is>
      </c>
      <c r="F4199" s="16" t="inlineStr">
        <is>
          <t>KF-M09-REAL</t>
        </is>
      </c>
      <c r="G4199" s="16" t="inlineStr">
        <is>
          <t>B12</t>
        </is>
      </c>
      <c r="H4199" s="16" t="inlineStr">
        <is>
          <t>control</t>
        </is>
      </c>
      <c r="I4199" s="16" t="inlineStr">
        <is>
          <t>KALINA</t>
        </is>
      </c>
      <c r="J4199" s="16" t="inlineStr">
        <is>
          <t>KALINA</t>
        </is>
      </c>
      <c r="K4199" s="16" t="b">
        <v>1</v>
      </c>
      <c r="L4199" s="16" t="b">
        <v>1</v>
      </c>
      <c r="M4199" s="16" t="b">
        <v>0</v>
      </c>
      <c r="N4199" s="16" t="b">
        <v>0</v>
      </c>
      <c r="O4199" s="16" t="n">
        <v>415</v>
      </c>
      <c r="P4199" s="16" t="n">
        <v>300.032917</v>
      </c>
      <c r="Q4199" s="16" t="n">
        <v>3000</v>
      </c>
      <c r="R4199" s="16" t="n">
        <v>400</v>
      </c>
      <c r="S4199" s="16" t="n">
        <v>0.5</v>
      </c>
      <c r="T4199" s="16" t="n">
        <v>0.95</v>
      </c>
      <c r="U4199" s="16" t="n">
        <v>0.8049999999999999</v>
      </c>
      <c r="V4199" s="16" t="n">
        <v>0.95</v>
      </c>
      <c r="W4199" s="16" t="n">
        <v>0.95</v>
      </c>
      <c r="X4199" s="16" t="n">
        <v>0.95</v>
      </c>
      <c r="Y4199" s="16" t="n">
        <v>300.032917</v>
      </c>
      <c r="Z4199" s="16" t="n">
        <v>15.59993576058386</v>
      </c>
      <c r="AA4199" s="16" t="n">
        <v>71.37318383204355</v>
      </c>
      <c r="AB4199" s="16" t="n">
        <v>2600</v>
      </c>
      <c r="AC4199" s="16" t="n">
        <v>7.5</v>
      </c>
      <c r="AD4199" s="16" t="n"/>
      <c r="AE4199" s="16" t="n"/>
    </row>
    <row r="4200">
      <c r="A4200" s="16" t="inlineStr">
        <is>
          <t>KF-M09-REAL-0002</t>
        </is>
      </c>
      <c r="B4200" s="16" t="inlineStr">
        <is>
          <t>4.3</t>
        </is>
      </c>
      <c r="C4200" s="16" t="inlineStr">
        <is>
          <t>6.1d</t>
        </is>
      </c>
      <c r="D4200" s="16" t="inlineStr">
        <is>
          <t>motor real con 1500 s</t>
        </is>
      </c>
      <c r="E4200" s="16" t="inlineStr">
        <is>
          <t>KF-M09</t>
        </is>
      </c>
      <c r="F4200" s="16" t="inlineStr">
        <is>
          <t>KF-M09-REAL</t>
        </is>
      </c>
      <c r="G4200" s="16" t="inlineStr">
        <is>
          <t>B12</t>
        </is>
      </c>
      <c r="H4200" s="16" t="inlineStr">
        <is>
          <t>control</t>
        </is>
      </c>
      <c r="I4200" s="16" t="inlineStr">
        <is>
          <t>KALINA</t>
        </is>
      </c>
      <c r="J4200" s="16" t="inlineStr">
        <is>
          <t>KALINA</t>
        </is>
      </c>
      <c r="K4200" s="16" t="b">
        <v>1</v>
      </c>
      <c r="L4200" s="16" t="b">
        <v>1</v>
      </c>
      <c r="M4200" s="16" t="b">
        <v>0</v>
      </c>
      <c r="N4200" s="16" t="b">
        <v>0</v>
      </c>
      <c r="O4200" s="16" t="n">
        <v>403</v>
      </c>
      <c r="P4200" s="16" t="n">
        <v>300.032917</v>
      </c>
      <c r="Q4200" s="16" t="n">
        <v>3000</v>
      </c>
      <c r="R4200" s="16" t="n">
        <v>563.6363636363637</v>
      </c>
      <c r="S4200" s="16" t="n">
        <v>0.5</v>
      </c>
      <c r="T4200" s="16" t="n">
        <v>0.85</v>
      </c>
      <c r="U4200" s="16" t="n">
        <v>0.75</v>
      </c>
      <c r="V4200" s="16" t="n">
        <v>0.85</v>
      </c>
      <c r="W4200" s="16" t="n">
        <v>0.75</v>
      </c>
      <c r="X4200" s="16" t="n">
        <v>0.8</v>
      </c>
      <c r="Y4200" s="16" t="n">
        <v>300.032917</v>
      </c>
      <c r="Z4200" s="16" t="n">
        <v>8.482035834966439</v>
      </c>
      <c r="AA4200" s="16" t="n">
        <v>25.94026412944716</v>
      </c>
      <c r="AB4200" s="16" t="n">
        <v>2436.363636363636</v>
      </c>
      <c r="AC4200" s="16" t="n">
        <v>5.322580645161289</v>
      </c>
      <c r="AD4200" s="16" t="n"/>
      <c r="AE4200" s="16" t="n"/>
    </row>
    <row r="4201">
      <c r="A4201" s="16" t="inlineStr">
        <is>
          <t>KF-M10-F3-0000</t>
        </is>
      </c>
      <c r="B4201" s="16" t="inlineStr">
        <is>
          <t>6.2</t>
        </is>
      </c>
      <c r="C4201" s="16" t="inlineStr">
        <is>
          <t>6.2a</t>
        </is>
      </c>
      <c r="D4201" s="16" t="inlineStr">
        <is>
          <t>Fase 3 de septiembre</t>
        </is>
      </c>
      <c r="E4201" s="16" t="inlineStr">
        <is>
          <t>KF-M10</t>
        </is>
      </c>
      <c r="F4201" s="16" t="inlineStr">
        <is>
          <t>KF-M10-F3</t>
        </is>
      </c>
      <c r="G4201" s="16" t="inlineStr">
        <is>
          <t>B14-F3</t>
        </is>
      </c>
      <c r="H4201" s="16" t="inlineStr">
        <is>
          <t>control</t>
        </is>
      </c>
      <c r="I4201" s="16" t="inlineStr">
        <is>
          <t>KALINA</t>
        </is>
      </c>
      <c r="J4201" s="16" t="inlineStr">
        <is>
          <t>KALINA</t>
        </is>
      </c>
      <c r="K4201" s="16" t="b">
        <v>1</v>
      </c>
      <c r="L4201" s="16" t="b">
        <v>0</v>
      </c>
      <c r="M4201" s="16" t="b">
        <v>0</v>
      </c>
      <c r="N4201" s="16" t="b">
        <v>0</v>
      </c>
      <c r="O4201" s="16" t="n">
        <v>394.15</v>
      </c>
      <c r="P4201" s="16" t="n">
        <v>278.15</v>
      </c>
      <c r="Q4201" s="16" t="n">
        <v>3300</v>
      </c>
      <c r="R4201" s="16" t="n">
        <v>1400</v>
      </c>
      <c r="S4201" s="16" t="n">
        <v>0.82</v>
      </c>
      <c r="T4201" s="16" t="n">
        <v>0.9</v>
      </c>
      <c r="U4201" s="16" t="n">
        <v>0.8</v>
      </c>
      <c r="V4201" s="16" t="n">
        <v>0.85</v>
      </c>
      <c r="W4201" s="16" t="n">
        <v>0.9</v>
      </c>
      <c r="X4201" s="16" t="n">
        <v>0.98</v>
      </c>
      <c r="Y4201" s="16" t="n">
        <v>303.55</v>
      </c>
      <c r="Z4201" s="16" t="n">
        <v>7.318664681116941</v>
      </c>
      <c r="AA4201" s="16" t="n">
        <v>67.05250957579929</v>
      </c>
      <c r="AB4201" s="16" t="n">
        <v>1900</v>
      </c>
      <c r="AC4201" s="16" t="n">
        <v>2.357142857142857</v>
      </c>
      <c r="AD4201" s="16" t="n"/>
      <c r="AE4201" s="16" t="n"/>
    </row>
    <row r="4202">
      <c r="A4202" s="16" t="inlineStr">
        <is>
          <t>KF-M10-F3-0001</t>
        </is>
      </c>
      <c r="B4202" s="16" t="inlineStr">
        <is>
          <t>6.2</t>
        </is>
      </c>
      <c r="C4202" s="16" t="inlineStr">
        <is>
          <t>6.2a</t>
        </is>
      </c>
      <c r="D4202" s="16" t="inlineStr">
        <is>
          <t>Fase 3 de septiembre</t>
        </is>
      </c>
      <c r="E4202" s="16" t="inlineStr">
        <is>
          <t>KF-M10</t>
        </is>
      </c>
      <c r="F4202" s="16" t="inlineStr">
        <is>
          <t>KF-M10-F3</t>
        </is>
      </c>
      <c r="G4202" s="16" t="inlineStr">
        <is>
          <t>B14-F3</t>
        </is>
      </c>
      <c r="H4202" s="16" t="inlineStr">
        <is>
          <t>control</t>
        </is>
      </c>
      <c r="I4202" s="16" t="inlineStr">
        <is>
          <t>KALINA</t>
        </is>
      </c>
      <c r="J4202" s="16" t="inlineStr">
        <is>
          <t>KALINA</t>
        </is>
      </c>
      <c r="K4202" s="16" t="b">
        <v>1</v>
      </c>
      <c r="L4202" s="16" t="b">
        <v>0</v>
      </c>
      <c r="M4202" s="16" t="b">
        <v>0</v>
      </c>
      <c r="N4202" s="16" t="b">
        <v>0</v>
      </c>
      <c r="O4202" s="16" t="n">
        <v>394.15</v>
      </c>
      <c r="P4202" s="16" t="n">
        <v>278.15</v>
      </c>
      <c r="Q4202" s="16" t="n">
        <v>3300</v>
      </c>
      <c r="R4202" s="16" t="n">
        <v>1300</v>
      </c>
      <c r="S4202" s="16" t="n">
        <v>0.82</v>
      </c>
      <c r="T4202" s="16" t="n">
        <v>0.98</v>
      </c>
      <c r="U4202" s="16" t="n">
        <v>0.8</v>
      </c>
      <c r="V4202" s="16" t="n">
        <v>0.85</v>
      </c>
      <c r="W4202" s="16" t="n">
        <v>0.95</v>
      </c>
      <c r="X4202" s="16" t="n">
        <v>0.98</v>
      </c>
      <c r="Y4202" s="16" t="n">
        <v>303.55</v>
      </c>
      <c r="Z4202" s="16" t="n">
        <v>8.748694249697481</v>
      </c>
      <c r="AA4202" s="16" t="n">
        <v>79.50435223277316</v>
      </c>
      <c r="AB4202" s="16" t="n">
        <v>2000</v>
      </c>
      <c r="AC4202" s="16" t="n">
        <v>2.538461538461538</v>
      </c>
      <c r="AD4202" s="16" t="n"/>
      <c r="AE4202" s="16" t="n"/>
    </row>
    <row r="4203">
      <c r="A4203" s="16" t="inlineStr">
        <is>
          <t>KF-M10-F3-0002</t>
        </is>
      </c>
      <c r="B4203" s="16" t="inlineStr">
        <is>
          <t>6.2</t>
        </is>
      </c>
      <c r="C4203" s="16" t="inlineStr">
        <is>
          <t>6.2a</t>
        </is>
      </c>
      <c r="D4203" s="16" t="inlineStr">
        <is>
          <t>Fase 3 de septiembre</t>
        </is>
      </c>
      <c r="E4203" s="16" t="inlineStr">
        <is>
          <t>KF-M10</t>
        </is>
      </c>
      <c r="F4203" s="16" t="inlineStr">
        <is>
          <t>KF-M10-F3</t>
        </is>
      </c>
      <c r="G4203" s="16" t="inlineStr">
        <is>
          <t>B14-F3</t>
        </is>
      </c>
      <c r="H4203" s="16" t="inlineStr">
        <is>
          <t>control</t>
        </is>
      </c>
      <c r="I4203" s="16" t="inlineStr">
        <is>
          <t>KALINA</t>
        </is>
      </c>
      <c r="J4203" s="16" t="inlineStr">
        <is>
          <t>KALINA</t>
        </is>
      </c>
      <c r="K4203" s="16" t="b">
        <v>1</v>
      </c>
      <c r="L4203" s="16" t="b">
        <v>0</v>
      </c>
      <c r="M4203" s="16" t="b">
        <v>0</v>
      </c>
      <c r="N4203" s="16" t="b">
        <v>0</v>
      </c>
      <c r="O4203" s="16" t="n">
        <v>394.15</v>
      </c>
      <c r="P4203" s="16" t="n">
        <v>278.15</v>
      </c>
      <c r="Q4203" s="16" t="n">
        <v>3300</v>
      </c>
      <c r="R4203" s="16" t="n">
        <v>1300</v>
      </c>
      <c r="S4203" s="16" t="n">
        <v>0.82</v>
      </c>
      <c r="T4203" s="16" t="n">
        <v>0.9</v>
      </c>
      <c r="U4203" s="16" t="n">
        <v>0.8</v>
      </c>
      <c r="V4203" s="16" t="n">
        <v>0.85</v>
      </c>
      <c r="W4203" s="16" t="n">
        <v>0.95</v>
      </c>
      <c r="X4203" s="16" t="n">
        <v>0.98</v>
      </c>
      <c r="Y4203" s="16" t="n">
        <v>303.55</v>
      </c>
      <c r="Z4203" s="16" t="n">
        <v>8.00350461907804</v>
      </c>
      <c r="AA4203" s="16" t="n">
        <v>72.72654008054394</v>
      </c>
      <c r="AB4203" s="16" t="n">
        <v>2000</v>
      </c>
      <c r="AC4203" s="16" t="n">
        <v>2.538461538461538</v>
      </c>
      <c r="AD4203" s="16" t="n"/>
      <c r="AE4203" s="16" t="n"/>
    </row>
    <row r="4204">
      <c r="A4204" s="16" t="inlineStr">
        <is>
          <t>KF-M10-F3-0003</t>
        </is>
      </c>
      <c r="B4204" s="16" t="inlineStr">
        <is>
          <t>6.2</t>
        </is>
      </c>
      <c r="C4204" s="16" t="inlineStr">
        <is>
          <t>6.2a</t>
        </is>
      </c>
      <c r="D4204" s="16" t="inlineStr">
        <is>
          <t>Fase 3 de septiembre</t>
        </is>
      </c>
      <c r="E4204" s="16" t="inlineStr">
        <is>
          <t>KF-M10</t>
        </is>
      </c>
      <c r="F4204" s="16" t="inlineStr">
        <is>
          <t>KF-M10-F3</t>
        </is>
      </c>
      <c r="G4204" s="16" t="inlineStr">
        <is>
          <t>B14-F3</t>
        </is>
      </c>
      <c r="H4204" s="16" t="inlineStr">
        <is>
          <t>control</t>
        </is>
      </c>
      <c r="I4204" s="16" t="inlineStr">
        <is>
          <t>KALINA</t>
        </is>
      </c>
      <c r="J4204" s="16" t="inlineStr">
        <is>
          <t>KALINA</t>
        </is>
      </c>
      <c r="K4204" s="16" t="b">
        <v>1</v>
      </c>
      <c r="L4204" s="16" t="b">
        <v>0</v>
      </c>
      <c r="M4204" s="16" t="b">
        <v>0</v>
      </c>
      <c r="N4204" s="16" t="b">
        <v>0</v>
      </c>
      <c r="O4204" s="16" t="n">
        <v>394.15</v>
      </c>
      <c r="P4204" s="16" t="n">
        <v>278.15</v>
      </c>
      <c r="Q4204" s="16" t="n">
        <v>3300</v>
      </c>
      <c r="R4204" s="16" t="n">
        <v>1100</v>
      </c>
      <c r="S4204" s="16" t="n">
        <v>0.82</v>
      </c>
      <c r="T4204" s="16" t="n">
        <v>0.98</v>
      </c>
      <c r="U4204" s="16" t="n">
        <v>0.8</v>
      </c>
      <c r="V4204" s="16" t="n">
        <v>0.85</v>
      </c>
      <c r="W4204" s="16" t="n">
        <v>0.95</v>
      </c>
      <c r="X4204" s="16" t="n">
        <v>0.98</v>
      </c>
      <c r="Y4204" s="16" t="n">
        <v>303.55</v>
      </c>
      <c r="Z4204" s="16" t="n">
        <v>10.22842032668429</v>
      </c>
      <c r="AA4204" s="16" t="n">
        <v>92.95517756541496</v>
      </c>
      <c r="AB4204" s="16" t="n">
        <v>2200</v>
      </c>
      <c r="AC4204" s="16" t="n">
        <v>3</v>
      </c>
      <c r="AD4204" s="16" t="n"/>
      <c r="AE4204" s="16" t="n"/>
    </row>
    <row r="4205">
      <c r="A4205" s="16" t="inlineStr">
        <is>
          <t>KF-M10-F3-0004</t>
        </is>
      </c>
      <c r="B4205" s="16" t="inlineStr">
        <is>
          <t>6.2</t>
        </is>
      </c>
      <c r="C4205" s="16" t="inlineStr">
        <is>
          <t>6.2a</t>
        </is>
      </c>
      <c r="D4205" s="16" t="inlineStr">
        <is>
          <t>Fase 3 de septiembre</t>
        </is>
      </c>
      <c r="E4205" s="16" t="inlineStr">
        <is>
          <t>KF-M10</t>
        </is>
      </c>
      <c r="F4205" s="16" t="inlineStr">
        <is>
          <t>KF-M10-F3</t>
        </is>
      </c>
      <c r="G4205" s="16" t="inlineStr">
        <is>
          <t>B14-F3</t>
        </is>
      </c>
      <c r="H4205" s="16" t="inlineStr">
        <is>
          <t>control</t>
        </is>
      </c>
      <c r="I4205" s="16" t="inlineStr">
        <is>
          <t>KALINA</t>
        </is>
      </c>
      <c r="J4205" s="16" t="inlineStr">
        <is>
          <t>KALINA</t>
        </is>
      </c>
      <c r="K4205" s="16" t="b">
        <v>1</v>
      </c>
      <c r="L4205" s="16" t="b">
        <v>0</v>
      </c>
      <c r="M4205" s="16" t="b">
        <v>0</v>
      </c>
      <c r="N4205" s="16" t="b">
        <v>0</v>
      </c>
      <c r="O4205" s="16" t="n">
        <v>394.15</v>
      </c>
      <c r="P4205" s="16" t="n">
        <v>278.15</v>
      </c>
      <c r="Q4205" s="16" t="n">
        <v>3300</v>
      </c>
      <c r="R4205" s="16" t="n">
        <v>1200</v>
      </c>
      <c r="S4205" s="16" t="n">
        <v>0.82</v>
      </c>
      <c r="T4205" s="16" t="n">
        <v>0.98</v>
      </c>
      <c r="U4205" s="16" t="n">
        <v>0.8</v>
      </c>
      <c r="V4205" s="16" t="n">
        <v>0.85</v>
      </c>
      <c r="W4205" s="16" t="n">
        <v>0.95</v>
      </c>
      <c r="X4205" s="16" t="n">
        <v>0.98</v>
      </c>
      <c r="Y4205" s="16" t="n">
        <v>303.55</v>
      </c>
      <c r="Z4205" s="16" t="n">
        <v>9.46165762656058</v>
      </c>
      <c r="AA4205" s="16" t="n">
        <v>85.98492412080378</v>
      </c>
      <c r="AB4205" s="16" t="n">
        <v>2100</v>
      </c>
      <c r="AC4205" s="16" t="n">
        <v>2.75</v>
      </c>
      <c r="AD4205" s="16" t="n"/>
      <c r="AE4205" s="16" t="n"/>
    </row>
    <row r="4206">
      <c r="A4206" s="16" t="inlineStr">
        <is>
          <t>KF-M10-F3-0005</t>
        </is>
      </c>
      <c r="B4206" s="16" t="inlineStr">
        <is>
          <t>6.2</t>
        </is>
      </c>
      <c r="C4206" s="16" t="inlineStr">
        <is>
          <t>6.2a</t>
        </is>
      </c>
      <c r="D4206" s="16" t="inlineStr">
        <is>
          <t>Fase 3 de septiembre</t>
        </is>
      </c>
      <c r="E4206" s="16" t="inlineStr">
        <is>
          <t>KF-M10</t>
        </is>
      </c>
      <c r="F4206" s="16" t="inlineStr">
        <is>
          <t>KF-M10-F3</t>
        </is>
      </c>
      <c r="G4206" s="16" t="inlineStr">
        <is>
          <t>B14-F3</t>
        </is>
      </c>
      <c r="H4206" s="16" t="inlineStr">
        <is>
          <t>control</t>
        </is>
      </c>
      <c r="I4206" s="16" t="inlineStr">
        <is>
          <t>KALINA</t>
        </is>
      </c>
      <c r="J4206" s="16" t="inlineStr">
        <is>
          <t>KALINA</t>
        </is>
      </c>
      <c r="K4206" s="16" t="b">
        <v>1</v>
      </c>
      <c r="L4206" s="16" t="b">
        <v>0</v>
      </c>
      <c r="M4206" s="16" t="b">
        <v>0</v>
      </c>
      <c r="N4206" s="16" t="b">
        <v>0</v>
      </c>
      <c r="O4206" s="16" t="n">
        <v>394.15</v>
      </c>
      <c r="P4206" s="16" t="n">
        <v>278.15</v>
      </c>
      <c r="Q4206" s="16" t="n">
        <v>3300</v>
      </c>
      <c r="R4206" s="16" t="n">
        <v>1300</v>
      </c>
      <c r="S4206" s="16" t="n">
        <v>0.82</v>
      </c>
      <c r="T4206" s="16" t="n">
        <v>0.95</v>
      </c>
      <c r="U4206" s="16" t="n">
        <v>0.8</v>
      </c>
      <c r="V4206" s="16" t="n">
        <v>0.85</v>
      </c>
      <c r="W4206" s="16" t="n">
        <v>0.95</v>
      </c>
      <c r="X4206" s="16" t="n">
        <v>0.98</v>
      </c>
      <c r="Y4206" s="16" t="n">
        <v>303.55</v>
      </c>
      <c r="Z4206" s="16" t="n">
        <v>8.469265210544739</v>
      </c>
      <c r="AA4206" s="16" t="n">
        <v>76.96270018258771</v>
      </c>
      <c r="AB4206" s="16" t="n">
        <v>2000</v>
      </c>
      <c r="AC4206" s="16" t="n">
        <v>2.538461538461538</v>
      </c>
      <c r="AD4206" s="16" t="n"/>
      <c r="AE4206" s="16" t="n"/>
    </row>
    <row r="4207">
      <c r="A4207" s="16" t="inlineStr">
        <is>
          <t>KF-M10-F3-0006</t>
        </is>
      </c>
      <c r="B4207" s="16" t="inlineStr">
        <is>
          <t>6.2</t>
        </is>
      </c>
      <c r="C4207" s="16" t="inlineStr">
        <is>
          <t>6.2a</t>
        </is>
      </c>
      <c r="D4207" s="16" t="inlineStr">
        <is>
          <t>Fase 3 de septiembre</t>
        </is>
      </c>
      <c r="E4207" s="16" t="inlineStr">
        <is>
          <t>KF-M10</t>
        </is>
      </c>
      <c r="F4207" s="16" t="inlineStr">
        <is>
          <t>KF-M10-F3</t>
        </is>
      </c>
      <c r="G4207" s="16" t="inlineStr">
        <is>
          <t>B14-F3</t>
        </is>
      </c>
      <c r="H4207" s="16" t="inlineStr">
        <is>
          <t>control</t>
        </is>
      </c>
      <c r="I4207" s="16" t="inlineStr">
        <is>
          <t>KALINA</t>
        </is>
      </c>
      <c r="J4207" s="16" t="inlineStr">
        <is>
          <t>KALINA</t>
        </is>
      </c>
      <c r="K4207" s="16" t="b">
        <v>1</v>
      </c>
      <c r="L4207" s="16" t="b">
        <v>0</v>
      </c>
      <c r="M4207" s="16" t="b">
        <v>0</v>
      </c>
      <c r="N4207" s="16" t="b">
        <v>0</v>
      </c>
      <c r="O4207" s="16" t="n">
        <v>394.15</v>
      </c>
      <c r="P4207" s="16" t="n">
        <v>278.15</v>
      </c>
      <c r="Q4207" s="16" t="n">
        <v>3300</v>
      </c>
      <c r="R4207" s="16" t="n">
        <v>1500</v>
      </c>
      <c r="S4207" s="16" t="n">
        <v>0.82</v>
      </c>
      <c r="T4207" s="16" t="n">
        <v>0.9</v>
      </c>
      <c r="U4207" s="16" t="n">
        <v>0.8</v>
      </c>
      <c r="V4207" s="16" t="n">
        <v>0.85</v>
      </c>
      <c r="W4207" s="16" t="n">
        <v>0.95</v>
      </c>
      <c r="X4207" s="16" t="n">
        <v>0.98</v>
      </c>
      <c r="Y4207" s="16" t="n">
        <v>303.55</v>
      </c>
      <c r="Z4207" s="16" t="n">
        <v>6.819648090182249</v>
      </c>
      <c r="AA4207" s="16" t="n">
        <v>61.96852899526019</v>
      </c>
      <c r="AB4207" s="16" t="n">
        <v>1800</v>
      </c>
      <c r="AC4207" s="16" t="n">
        <v>2.2</v>
      </c>
      <c r="AD4207" s="16" t="n"/>
      <c r="AE4207" s="16" t="n"/>
    </row>
    <row r="4208">
      <c r="A4208" s="16" t="inlineStr">
        <is>
          <t>KF-M10-F3-0007</t>
        </is>
      </c>
      <c r="B4208" s="16" t="inlineStr">
        <is>
          <t>6.2</t>
        </is>
      </c>
      <c r="C4208" s="16" t="inlineStr">
        <is>
          <t>6.2a</t>
        </is>
      </c>
      <c r="D4208" s="16" t="inlineStr">
        <is>
          <t>Fase 3 de septiembre</t>
        </is>
      </c>
      <c r="E4208" s="16" t="inlineStr">
        <is>
          <t>KF-M10</t>
        </is>
      </c>
      <c r="F4208" s="16" t="inlineStr">
        <is>
          <t>KF-M10-F3</t>
        </is>
      </c>
      <c r="G4208" s="16" t="inlineStr">
        <is>
          <t>B14-F3</t>
        </is>
      </c>
      <c r="H4208" s="16" t="inlineStr">
        <is>
          <t>control</t>
        </is>
      </c>
      <c r="I4208" s="16" t="inlineStr">
        <is>
          <t>KALINA</t>
        </is>
      </c>
      <c r="J4208" s="16" t="inlineStr">
        <is>
          <t>KALINA</t>
        </is>
      </c>
      <c r="K4208" s="16" t="b">
        <v>1</v>
      </c>
      <c r="L4208" s="16" t="b">
        <v>0</v>
      </c>
      <c r="M4208" s="16" t="b">
        <v>0</v>
      </c>
      <c r="N4208" s="16" t="b">
        <v>0</v>
      </c>
      <c r="O4208" s="16" t="n">
        <v>394.15</v>
      </c>
      <c r="P4208" s="16" t="n">
        <v>278.15</v>
      </c>
      <c r="Q4208" s="16" t="n">
        <v>3300</v>
      </c>
      <c r="R4208" s="16" t="n">
        <v>1200</v>
      </c>
      <c r="S4208" s="16" t="n">
        <v>0.82</v>
      </c>
      <c r="T4208" s="16" t="n">
        <v>0.9</v>
      </c>
      <c r="U4208" s="16" t="n">
        <v>0.8</v>
      </c>
      <c r="V4208" s="16" t="n">
        <v>0.85</v>
      </c>
      <c r="W4208" s="16" t="n">
        <v>0.9</v>
      </c>
      <c r="X4208" s="16" t="n">
        <v>0.98</v>
      </c>
      <c r="Y4208" s="16" t="n">
        <v>303.55</v>
      </c>
      <c r="Z4208" s="16" t="n">
        <v>8.569818058761349</v>
      </c>
      <c r="AA4208" s="16" t="n">
        <v>78.51670361172006</v>
      </c>
      <c r="AB4208" s="16" t="n">
        <v>2100</v>
      </c>
      <c r="AC4208" s="16" t="n">
        <v>2.75</v>
      </c>
      <c r="AD4208" s="16" t="n"/>
      <c r="AE4208" s="16" t="n"/>
    </row>
    <row r="4209">
      <c r="A4209" s="16" t="inlineStr">
        <is>
          <t>KF-M10-F3-0008</t>
        </is>
      </c>
      <c r="B4209" s="16" t="inlineStr">
        <is>
          <t>6.2</t>
        </is>
      </c>
      <c r="C4209" s="16" t="inlineStr">
        <is>
          <t>6.2a</t>
        </is>
      </c>
      <c r="D4209" s="16" t="inlineStr">
        <is>
          <t>Fase 3 de septiembre</t>
        </is>
      </c>
      <c r="E4209" s="16" t="inlineStr">
        <is>
          <t>KF-M10</t>
        </is>
      </c>
      <c r="F4209" s="16" t="inlineStr">
        <is>
          <t>KF-M10-F3</t>
        </is>
      </c>
      <c r="G4209" s="16" t="inlineStr">
        <is>
          <t>B14-F3</t>
        </is>
      </c>
      <c r="H4209" s="16" t="inlineStr">
        <is>
          <t>control</t>
        </is>
      </c>
      <c r="I4209" s="16" t="inlineStr">
        <is>
          <t>KALINA</t>
        </is>
      </c>
      <c r="J4209" s="16" t="inlineStr">
        <is>
          <t>KALINA</t>
        </is>
      </c>
      <c r="K4209" s="16" t="b">
        <v>1</v>
      </c>
      <c r="L4209" s="16" t="b">
        <v>0</v>
      </c>
      <c r="M4209" s="16" t="b">
        <v>0</v>
      </c>
      <c r="N4209" s="16" t="b">
        <v>0</v>
      </c>
      <c r="O4209" s="16" t="n">
        <v>394.15</v>
      </c>
      <c r="P4209" s="16" t="n">
        <v>278.15</v>
      </c>
      <c r="Q4209" s="16" t="n">
        <v>3300</v>
      </c>
      <c r="R4209" s="16" t="n">
        <v>1150</v>
      </c>
      <c r="S4209" s="16" t="n">
        <v>0.82</v>
      </c>
      <c r="T4209" s="16" t="n">
        <v>0.9</v>
      </c>
      <c r="U4209" s="16" t="n">
        <v>0.8</v>
      </c>
      <c r="V4209" s="16" t="n">
        <v>0.85</v>
      </c>
      <c r="W4209" s="16" t="n">
        <v>0.95</v>
      </c>
      <c r="X4209" s="16" t="n">
        <v>0.98</v>
      </c>
      <c r="Y4209" s="16" t="n">
        <v>303.55</v>
      </c>
      <c r="Z4209" s="16" t="n">
        <v>9.00151274779215</v>
      </c>
      <c r="AA4209" s="16" t="n">
        <v>81.79674022759937</v>
      </c>
      <c r="AB4209" s="16" t="n">
        <v>2150</v>
      </c>
      <c r="AC4209" s="16" t="n">
        <v>2.869565217391304</v>
      </c>
      <c r="AD4209" s="16" t="n"/>
      <c r="AE4209" s="16" t="n"/>
    </row>
    <row r="4210">
      <c r="A4210" s="16" t="inlineStr">
        <is>
          <t>KF-M10-F3-0009</t>
        </is>
      </c>
      <c r="B4210" s="16" t="inlineStr">
        <is>
          <t>6.2</t>
        </is>
      </c>
      <c r="C4210" s="16" t="inlineStr">
        <is>
          <t>6.2a</t>
        </is>
      </c>
      <c r="D4210" s="16" t="inlineStr">
        <is>
          <t>Fase 3 de septiembre</t>
        </is>
      </c>
      <c r="E4210" s="16" t="inlineStr">
        <is>
          <t>KF-M10</t>
        </is>
      </c>
      <c r="F4210" s="16" t="inlineStr">
        <is>
          <t>KF-M10-F3</t>
        </is>
      </c>
      <c r="G4210" s="16" t="inlineStr">
        <is>
          <t>B14-F3</t>
        </is>
      </c>
      <c r="H4210" s="16" t="inlineStr">
        <is>
          <t>control</t>
        </is>
      </c>
      <c r="I4210" s="16" t="inlineStr">
        <is>
          <t>KALINA</t>
        </is>
      </c>
      <c r="J4210" s="16" t="inlineStr">
        <is>
          <t>KALINA</t>
        </is>
      </c>
      <c r="K4210" s="16" t="b">
        <v>1</v>
      </c>
      <c r="L4210" s="16" t="b">
        <v>0</v>
      </c>
      <c r="M4210" s="16" t="b">
        <v>0</v>
      </c>
      <c r="N4210" s="16" t="b">
        <v>0</v>
      </c>
      <c r="O4210" s="16" t="n">
        <v>394.15</v>
      </c>
      <c r="P4210" s="16" t="n">
        <v>278.15</v>
      </c>
      <c r="Q4210" s="16" t="n">
        <v>3300</v>
      </c>
      <c r="R4210" s="16" t="n">
        <v>1200</v>
      </c>
      <c r="S4210" s="16" t="n">
        <v>0.82</v>
      </c>
      <c r="T4210" s="16" t="n">
        <v>0.9</v>
      </c>
      <c r="U4210" s="16" t="n">
        <v>0.8</v>
      </c>
      <c r="V4210" s="16" t="n">
        <v>0.85</v>
      </c>
      <c r="W4210" s="16" t="n">
        <v>0.95</v>
      </c>
      <c r="X4210" s="16" t="n">
        <v>0.98</v>
      </c>
      <c r="Y4210" s="16" t="n">
        <v>303.55</v>
      </c>
      <c r="Z4210" s="16" t="n">
        <v>8.656808676910819</v>
      </c>
      <c r="AA4210" s="16" t="n">
        <v>78.66384366460358</v>
      </c>
      <c r="AB4210" s="16" t="n">
        <v>2100</v>
      </c>
      <c r="AC4210" s="16" t="n">
        <v>2.75</v>
      </c>
      <c r="AD4210" s="16" t="n"/>
      <c r="AE4210" s="16" t="n"/>
    </row>
    <row r="4211">
      <c r="A4211" s="16" t="inlineStr">
        <is>
          <t>KF-M10-F3-0010</t>
        </is>
      </c>
      <c r="B4211" s="16" t="inlineStr">
        <is>
          <t>6.2</t>
        </is>
      </c>
      <c r="C4211" s="16" t="inlineStr">
        <is>
          <t>6.2a</t>
        </is>
      </c>
      <c r="D4211" s="16" t="inlineStr">
        <is>
          <t>Fase 3 de septiembre</t>
        </is>
      </c>
      <c r="E4211" s="16" t="inlineStr">
        <is>
          <t>KF-M10</t>
        </is>
      </c>
      <c r="F4211" s="16" t="inlineStr">
        <is>
          <t>KF-M10-F3</t>
        </is>
      </c>
      <c r="G4211" s="16" t="inlineStr">
        <is>
          <t>B14-F3</t>
        </is>
      </c>
      <c r="H4211" s="16" t="inlineStr">
        <is>
          <t>control</t>
        </is>
      </c>
      <c r="I4211" s="16" t="inlineStr">
        <is>
          <t>KALINA</t>
        </is>
      </c>
      <c r="J4211" s="16" t="inlineStr">
        <is>
          <t>KALINA</t>
        </is>
      </c>
      <c r="K4211" s="16" t="b">
        <v>1</v>
      </c>
      <c r="L4211" s="16" t="b">
        <v>0</v>
      </c>
      <c r="M4211" s="16" t="b">
        <v>0</v>
      </c>
      <c r="N4211" s="16" t="b">
        <v>0</v>
      </c>
      <c r="O4211" s="16" t="n">
        <v>394.15</v>
      </c>
      <c r="P4211" s="16" t="n">
        <v>278.15</v>
      </c>
      <c r="Q4211" s="16" t="n">
        <v>3300</v>
      </c>
      <c r="R4211" s="16" t="n">
        <v>1250</v>
      </c>
      <c r="S4211" s="16" t="n">
        <v>0.82</v>
      </c>
      <c r="T4211" s="16" t="n">
        <v>0.9</v>
      </c>
      <c r="U4211" s="16" t="n">
        <v>0.8</v>
      </c>
      <c r="V4211" s="16" t="n">
        <v>0.85</v>
      </c>
      <c r="W4211" s="16" t="n">
        <v>0.95</v>
      </c>
      <c r="X4211" s="16" t="n">
        <v>0.98</v>
      </c>
      <c r="Y4211" s="16" t="n">
        <v>303.55</v>
      </c>
      <c r="Z4211" s="16" t="n">
        <v>8.324433790615741</v>
      </c>
      <c r="AA4211" s="16" t="n">
        <v>75.64312658813425</v>
      </c>
      <c r="AB4211" s="16" t="n">
        <v>2050</v>
      </c>
      <c r="AC4211" s="16" t="n">
        <v>2.64</v>
      </c>
      <c r="AD4211" s="16" t="n"/>
      <c r="AE4211" s="16" t="n"/>
    </row>
    <row r="4212">
      <c r="A4212" s="16" t="inlineStr">
        <is>
          <t>KF-M10-F3-0011</t>
        </is>
      </c>
      <c r="B4212" s="16" t="inlineStr">
        <is>
          <t>6.2</t>
        </is>
      </c>
      <c r="C4212" s="16" t="inlineStr">
        <is>
          <t>6.2a</t>
        </is>
      </c>
      <c r="D4212" s="16" t="inlineStr">
        <is>
          <t>Fase 3 de septiembre</t>
        </is>
      </c>
      <c r="E4212" s="16" t="inlineStr">
        <is>
          <t>KF-M10</t>
        </is>
      </c>
      <c r="F4212" s="16" t="inlineStr">
        <is>
          <t>KF-M10-F3</t>
        </is>
      </c>
      <c r="G4212" s="16" t="inlineStr">
        <is>
          <t>B14-F3</t>
        </is>
      </c>
      <c r="H4212" s="16" t="inlineStr">
        <is>
          <t>control</t>
        </is>
      </c>
      <c r="I4212" s="16" t="inlineStr">
        <is>
          <t>KALINA</t>
        </is>
      </c>
      <c r="J4212" s="16" t="inlineStr">
        <is>
          <t>KALINA</t>
        </is>
      </c>
      <c r="K4212" s="16" t="b">
        <v>1</v>
      </c>
      <c r="L4212" s="16" t="b">
        <v>1</v>
      </c>
      <c r="M4212" s="16" t="b">
        <v>0</v>
      </c>
      <c r="N4212" s="16" t="b">
        <v>0</v>
      </c>
      <c r="O4212" s="16" t="n">
        <v>394.15</v>
      </c>
      <c r="P4212" s="16" t="n">
        <v>278.15</v>
      </c>
      <c r="Q4212" s="16" t="n">
        <v>3300</v>
      </c>
      <c r="R4212" s="16" t="n">
        <v>1250</v>
      </c>
      <c r="S4212" s="16" t="n">
        <v>0.82</v>
      </c>
      <c r="T4212" s="16" t="n">
        <v>0.9</v>
      </c>
      <c r="U4212" s="16" t="n">
        <v>0.8</v>
      </c>
      <c r="V4212" s="16" t="n">
        <v>0.85</v>
      </c>
      <c r="W4212" s="16" t="n">
        <v>0.95</v>
      </c>
      <c r="X4212" s="16" t="n">
        <v>0.95</v>
      </c>
      <c r="Y4212" s="16" t="n">
        <v>303.55</v>
      </c>
      <c r="Z4212" s="16" t="n">
        <v>8.479907044178251</v>
      </c>
      <c r="AA4212" s="16" t="n">
        <v>75.87056180764522</v>
      </c>
      <c r="AB4212" s="16" t="n">
        <v>2050</v>
      </c>
      <c r="AC4212" s="16" t="n">
        <v>2.64</v>
      </c>
      <c r="AD4212" s="16" t="n"/>
      <c r="AE4212" s="16" t="n"/>
    </row>
    <row r="4213">
      <c r="A4213" s="16" t="inlineStr">
        <is>
          <t>KF-M10-F3-0012</t>
        </is>
      </c>
      <c r="B4213" s="16" t="inlineStr">
        <is>
          <t>6.2</t>
        </is>
      </c>
      <c r="C4213" s="16" t="inlineStr">
        <is>
          <t>6.2a</t>
        </is>
      </c>
      <c r="D4213" s="16" t="inlineStr">
        <is>
          <t>Fase 3 de septiembre</t>
        </is>
      </c>
      <c r="E4213" s="16" t="inlineStr">
        <is>
          <t>KF-M10</t>
        </is>
      </c>
      <c r="F4213" s="16" t="inlineStr">
        <is>
          <t>KF-M10-F3</t>
        </is>
      </c>
      <c r="G4213" s="16" t="inlineStr">
        <is>
          <t>B14-F3</t>
        </is>
      </c>
      <c r="H4213" s="16" t="inlineStr">
        <is>
          <t>control</t>
        </is>
      </c>
      <c r="I4213" s="16" t="inlineStr">
        <is>
          <t>KALINA</t>
        </is>
      </c>
      <c r="J4213" s="16" t="inlineStr">
        <is>
          <t>KALINA</t>
        </is>
      </c>
      <c r="K4213" s="16" t="b">
        <v>1</v>
      </c>
      <c r="L4213" s="16" t="b">
        <v>1</v>
      </c>
      <c r="M4213" s="16" t="b">
        <v>0</v>
      </c>
      <c r="N4213" s="16" t="b">
        <v>0</v>
      </c>
      <c r="O4213" s="16" t="n">
        <v>394.15</v>
      </c>
      <c r="P4213" s="16" t="n">
        <v>278.15</v>
      </c>
      <c r="Q4213" s="16" t="n">
        <v>3300</v>
      </c>
      <c r="R4213" s="16" t="n">
        <v>1200</v>
      </c>
      <c r="S4213" s="16" t="n">
        <v>0.82</v>
      </c>
      <c r="T4213" s="16" t="n">
        <v>0.9</v>
      </c>
      <c r="U4213" s="16" t="n">
        <v>0.8</v>
      </c>
      <c r="V4213" s="16" t="n">
        <v>0.85</v>
      </c>
      <c r="W4213" s="16" t="n">
        <v>0.95</v>
      </c>
      <c r="X4213" s="16" t="n">
        <v>0.95</v>
      </c>
      <c r="Y4213" s="16" t="n">
        <v>303.55</v>
      </c>
      <c r="Z4213" s="16" t="n">
        <v>8.817980487889161</v>
      </c>
      <c r="AA4213" s="16" t="n">
        <v>78.9002723996412</v>
      </c>
      <c r="AB4213" s="16" t="n">
        <v>2100</v>
      </c>
      <c r="AC4213" s="16" t="n">
        <v>2.75</v>
      </c>
      <c r="AD4213" s="16" t="n"/>
      <c r="AE4213" s="16" t="n"/>
    </row>
    <row r="4214">
      <c r="A4214" s="16" t="inlineStr">
        <is>
          <t>KF-M10-F3-0013</t>
        </is>
      </c>
      <c r="B4214" s="16" t="inlineStr">
        <is>
          <t>6.2</t>
        </is>
      </c>
      <c r="C4214" s="16" t="inlineStr">
        <is>
          <t>6.2a</t>
        </is>
      </c>
      <c r="D4214" s="16" t="inlineStr">
        <is>
          <t>Fase 3 de septiembre</t>
        </is>
      </c>
      <c r="E4214" s="16" t="inlineStr">
        <is>
          <t>KF-M10</t>
        </is>
      </c>
      <c r="F4214" s="16" t="inlineStr">
        <is>
          <t>KF-M10-F3</t>
        </is>
      </c>
      <c r="G4214" s="16" t="inlineStr">
        <is>
          <t>B14-F3</t>
        </is>
      </c>
      <c r="H4214" s="16" t="inlineStr">
        <is>
          <t>control</t>
        </is>
      </c>
      <c r="I4214" s="16" t="inlineStr">
        <is>
          <t>KALINA</t>
        </is>
      </c>
      <c r="J4214" s="16" t="inlineStr">
        <is>
          <t>KALINA</t>
        </is>
      </c>
      <c r="K4214" s="16" t="b">
        <v>1</v>
      </c>
      <c r="L4214" s="16" t="b">
        <v>1</v>
      </c>
      <c r="M4214" s="16" t="b">
        <v>0</v>
      </c>
      <c r="N4214" s="16" t="b">
        <v>0</v>
      </c>
      <c r="O4214" s="16" t="n">
        <v>394.15</v>
      </c>
      <c r="P4214" s="16" t="n">
        <v>278.15</v>
      </c>
      <c r="Q4214" s="16" t="n">
        <v>3300</v>
      </c>
      <c r="R4214" s="16" t="n">
        <v>1300</v>
      </c>
      <c r="S4214" s="16" t="n">
        <v>0.82</v>
      </c>
      <c r="T4214" s="16" t="n">
        <v>0.9</v>
      </c>
      <c r="U4214" s="16" t="n">
        <v>0.8</v>
      </c>
      <c r="V4214" s="16" t="n">
        <v>0.85</v>
      </c>
      <c r="W4214" s="16" t="n">
        <v>0.95</v>
      </c>
      <c r="X4214" s="16" t="n">
        <v>0.95</v>
      </c>
      <c r="Y4214" s="16" t="n">
        <v>303.55</v>
      </c>
      <c r="Z4214" s="16" t="n">
        <v>8.15343623160134</v>
      </c>
      <c r="AA4214" s="16" t="n">
        <v>72.94526677258047</v>
      </c>
      <c r="AB4214" s="16" t="n">
        <v>2000</v>
      </c>
      <c r="AC4214" s="16" t="n">
        <v>2.538461538461538</v>
      </c>
      <c r="AD4214" s="16" t="n"/>
      <c r="AE4214" s="16" t="n"/>
    </row>
    <row r="4215">
      <c r="A4215" s="16" t="inlineStr">
        <is>
          <t>KF-M10-F3-0014</t>
        </is>
      </c>
      <c r="B4215" s="16" t="inlineStr">
        <is>
          <t>6.2</t>
        </is>
      </c>
      <c r="C4215" s="16" t="inlineStr">
        <is>
          <t>6.2a</t>
        </is>
      </c>
      <c r="D4215" s="16" t="inlineStr">
        <is>
          <t>Fase 3 de septiembre</t>
        </is>
      </c>
      <c r="E4215" s="16" t="inlineStr">
        <is>
          <t>KF-M10</t>
        </is>
      </c>
      <c r="F4215" s="16" t="inlineStr">
        <is>
          <t>KF-M10-F3</t>
        </is>
      </c>
      <c r="G4215" s="16" t="inlineStr">
        <is>
          <t>B14-F3</t>
        </is>
      </c>
      <c r="H4215" s="16" t="inlineStr">
        <is>
          <t>control</t>
        </is>
      </c>
      <c r="I4215" s="16" t="inlineStr">
        <is>
          <t>KALINA</t>
        </is>
      </c>
      <c r="J4215" s="16" t="inlineStr">
        <is>
          <t>KALINA</t>
        </is>
      </c>
      <c r="K4215" s="16" t="b">
        <v>1</v>
      </c>
      <c r="L4215" s="16" t="b">
        <v>1</v>
      </c>
      <c r="M4215" s="16" t="b">
        <v>0</v>
      </c>
      <c r="N4215" s="16" t="b">
        <v>0</v>
      </c>
      <c r="O4215" s="16" t="n">
        <v>394.15</v>
      </c>
      <c r="P4215" s="16" t="n">
        <v>278.15</v>
      </c>
      <c r="Q4215" s="16" t="n">
        <v>3300</v>
      </c>
      <c r="R4215" s="16" t="n">
        <v>750</v>
      </c>
      <c r="S4215" s="16" t="n">
        <v>0.82</v>
      </c>
      <c r="T4215" s="16" t="n">
        <v>0.9</v>
      </c>
      <c r="U4215" s="16" t="n">
        <v>0.8</v>
      </c>
      <c r="V4215" s="16" t="n">
        <v>0.85</v>
      </c>
      <c r="W4215" s="16" t="n">
        <v>0.95</v>
      </c>
      <c r="X4215" s="16" t="n">
        <v>0.95</v>
      </c>
      <c r="Y4215" s="16" t="n">
        <v>283.15</v>
      </c>
      <c r="Z4215" s="16" t="n">
        <v>12.58015735229499</v>
      </c>
      <c r="AA4215" s="16" t="n">
        <v>112.6486986428784</v>
      </c>
      <c r="AB4215" s="16" t="n">
        <v>2550</v>
      </c>
      <c r="AC4215" s="16" t="n">
        <v>4.4</v>
      </c>
      <c r="AD4215" s="16" t="n"/>
      <c r="AE4215" s="16" t="n"/>
    </row>
    <row r="4216">
      <c r="A4216" s="16" t="inlineStr">
        <is>
          <t>KF-M10-F3-0015</t>
        </is>
      </c>
      <c r="B4216" s="16" t="inlineStr">
        <is>
          <t>6.2</t>
        </is>
      </c>
      <c r="C4216" s="16" t="inlineStr">
        <is>
          <t>6.2a</t>
        </is>
      </c>
      <c r="D4216" s="16" t="inlineStr">
        <is>
          <t>Fase 3 de septiembre</t>
        </is>
      </c>
      <c r="E4216" s="16" t="inlineStr">
        <is>
          <t>KF-M10</t>
        </is>
      </c>
      <c r="F4216" s="16" t="inlineStr">
        <is>
          <t>KF-M10-F3</t>
        </is>
      </c>
      <c r="G4216" s="16" t="inlineStr">
        <is>
          <t>B14-F3</t>
        </is>
      </c>
      <c r="H4216" s="16" t="inlineStr">
        <is>
          <t>control</t>
        </is>
      </c>
      <c r="I4216" s="16" t="inlineStr">
        <is>
          <t>KALINA</t>
        </is>
      </c>
      <c r="J4216" s="16" t="inlineStr">
        <is>
          <t>KALINA</t>
        </is>
      </c>
      <c r="K4216" s="16" t="b">
        <v>1</v>
      </c>
      <c r="L4216" s="16" t="b">
        <v>1</v>
      </c>
      <c r="M4216" s="16" t="b">
        <v>0</v>
      </c>
      <c r="N4216" s="16" t="b">
        <v>0</v>
      </c>
      <c r="O4216" s="16" t="n">
        <v>394.15</v>
      </c>
      <c r="P4216" s="16" t="n">
        <v>278.15</v>
      </c>
      <c r="Q4216" s="16" t="n">
        <v>3300</v>
      </c>
      <c r="R4216" s="16" t="n">
        <v>770</v>
      </c>
      <c r="S4216" s="16" t="n">
        <v>0.82</v>
      </c>
      <c r="T4216" s="16" t="n">
        <v>0.9</v>
      </c>
      <c r="U4216" s="16" t="n">
        <v>0.8</v>
      </c>
      <c r="V4216" s="16" t="n">
        <v>0.85</v>
      </c>
      <c r="W4216" s="16" t="n">
        <v>0.95</v>
      </c>
      <c r="X4216" s="16" t="n">
        <v>0.95</v>
      </c>
      <c r="Y4216" s="16" t="n">
        <v>283.15</v>
      </c>
      <c r="Z4216" s="16" t="n">
        <v>12.37585536770722</v>
      </c>
      <c r="AA4216" s="16" t="n">
        <v>110.8143951897724</v>
      </c>
      <c r="AB4216" s="16" t="n">
        <v>2530</v>
      </c>
      <c r="AC4216" s="16" t="n">
        <v>4.285714285714286</v>
      </c>
      <c r="AD4216" s="16" t="n"/>
      <c r="AE4216" s="16" t="n"/>
    </row>
    <row r="4217">
      <c r="A4217" s="16" t="inlineStr">
        <is>
          <t>KF-M10-F3-0016</t>
        </is>
      </c>
      <c r="B4217" s="16" t="inlineStr">
        <is>
          <t>6.2</t>
        </is>
      </c>
      <c r="C4217" s="16" t="inlineStr">
        <is>
          <t>6.2a</t>
        </is>
      </c>
      <c r="D4217" s="16" t="inlineStr">
        <is>
          <t>Fase 3 de septiembre</t>
        </is>
      </c>
      <c r="E4217" s="16" t="inlineStr">
        <is>
          <t>KF-M10</t>
        </is>
      </c>
      <c r="F4217" s="16" t="inlineStr">
        <is>
          <t>KF-M10-F3</t>
        </is>
      </c>
      <c r="G4217" s="16" t="inlineStr">
        <is>
          <t>B14-F3</t>
        </is>
      </c>
      <c r="H4217" s="16" t="inlineStr">
        <is>
          <t>control</t>
        </is>
      </c>
      <c r="I4217" s="16" t="inlineStr">
        <is>
          <t>KALINA</t>
        </is>
      </c>
      <c r="J4217" s="16" t="inlineStr">
        <is>
          <t>KALINA</t>
        </is>
      </c>
      <c r="K4217" s="16" t="b">
        <v>1</v>
      </c>
      <c r="L4217" s="16" t="b">
        <v>1</v>
      </c>
      <c r="M4217" s="16" t="b">
        <v>0</v>
      </c>
      <c r="N4217" s="16" t="b">
        <v>0</v>
      </c>
      <c r="O4217" s="16" t="n">
        <v>394.15</v>
      </c>
      <c r="P4217" s="16" t="n">
        <v>278.15</v>
      </c>
      <c r="Q4217" s="16" t="n">
        <v>3300</v>
      </c>
      <c r="R4217" s="16" t="n">
        <v>710</v>
      </c>
      <c r="S4217" s="16" t="n">
        <v>0.82</v>
      </c>
      <c r="T4217" s="16" t="n">
        <v>0.9</v>
      </c>
      <c r="U4217" s="16" t="n">
        <v>0.8</v>
      </c>
      <c r="V4217" s="16" t="n">
        <v>0.85</v>
      </c>
      <c r="W4217" s="16" t="n">
        <v>0.95</v>
      </c>
      <c r="X4217" s="16" t="n">
        <v>0.95</v>
      </c>
      <c r="Y4217" s="16" t="n">
        <v>283.15</v>
      </c>
      <c r="Z4217" s="16" t="n">
        <v>13.00325254469229</v>
      </c>
      <c r="AA4217" s="16" t="n">
        <v>116.4480294278987</v>
      </c>
      <c r="AB4217" s="16" t="n">
        <v>2590</v>
      </c>
      <c r="AC4217" s="16" t="n">
        <v>4.647887323943662</v>
      </c>
      <c r="AD4217" s="16" t="n"/>
      <c r="AE4217" s="16" t="n"/>
    </row>
    <row r="4218">
      <c r="A4218" s="16" t="inlineStr">
        <is>
          <t>KF-M10-F3-0017</t>
        </is>
      </c>
      <c r="B4218" s="16" t="inlineStr">
        <is>
          <t>6.2</t>
        </is>
      </c>
      <c r="C4218" s="16" t="inlineStr">
        <is>
          <t>6.2a</t>
        </is>
      </c>
      <c r="D4218" s="16" t="inlineStr">
        <is>
          <t>Fase 3 de septiembre</t>
        </is>
      </c>
      <c r="E4218" s="16" t="inlineStr">
        <is>
          <t>KF-M10</t>
        </is>
      </c>
      <c r="F4218" s="16" t="inlineStr">
        <is>
          <t>KF-M10-F3</t>
        </is>
      </c>
      <c r="G4218" s="16" t="inlineStr">
        <is>
          <t>B14-F3</t>
        </is>
      </c>
      <c r="H4218" s="16" t="inlineStr">
        <is>
          <t>control</t>
        </is>
      </c>
      <c r="I4218" s="16" t="inlineStr">
        <is>
          <t>KALINA</t>
        </is>
      </c>
      <c r="J4218" s="16" t="inlineStr">
        <is>
          <t>KALINA</t>
        </is>
      </c>
      <c r="K4218" s="16" t="b">
        <v>1</v>
      </c>
      <c r="L4218" s="16" t="b">
        <v>1</v>
      </c>
      <c r="M4218" s="16" t="b">
        <v>0</v>
      </c>
      <c r="N4218" s="16" t="b">
        <v>0</v>
      </c>
      <c r="O4218" s="16" t="n">
        <v>394.15</v>
      </c>
      <c r="P4218" s="16" t="n">
        <v>278.15</v>
      </c>
      <c r="Q4218" s="16" t="n">
        <v>3300</v>
      </c>
      <c r="R4218" s="16" t="n">
        <v>790</v>
      </c>
      <c r="S4218" s="16" t="n">
        <v>0.82</v>
      </c>
      <c r="T4218" s="16" t="n">
        <v>0.9</v>
      </c>
      <c r="U4218" s="16" t="n">
        <v>0.8</v>
      </c>
      <c r="V4218" s="16" t="n">
        <v>0.85</v>
      </c>
      <c r="W4218" s="16" t="n">
        <v>0.95</v>
      </c>
      <c r="X4218" s="16" t="n">
        <v>0.95</v>
      </c>
      <c r="Y4218" s="16" t="n">
        <v>283.15</v>
      </c>
      <c r="Z4218" s="16" t="n">
        <v>12.17607438313962</v>
      </c>
      <c r="AA4218" s="16" t="n">
        <v>109.0208691274817</v>
      </c>
      <c r="AB4218" s="16" t="n">
        <v>2510</v>
      </c>
      <c r="AC4218" s="16" t="n">
        <v>4.177215189873418</v>
      </c>
      <c r="AD4218" s="16" t="n"/>
      <c r="AE4218" s="16" t="n"/>
    </row>
    <row r="4219">
      <c r="A4219" s="16" t="inlineStr">
        <is>
          <t>KF-M10-F3-0018</t>
        </is>
      </c>
      <c r="B4219" s="16" t="inlineStr">
        <is>
          <t>6.2</t>
        </is>
      </c>
      <c r="C4219" s="16" t="inlineStr">
        <is>
          <t>6.2a</t>
        </is>
      </c>
      <c r="D4219" s="16" t="inlineStr">
        <is>
          <t>Fase 3 de septiembre</t>
        </is>
      </c>
      <c r="E4219" s="16" t="inlineStr">
        <is>
          <t>KF-M10</t>
        </is>
      </c>
      <c r="F4219" s="16" t="inlineStr">
        <is>
          <t>KF-M10-F3</t>
        </is>
      </c>
      <c r="G4219" s="16" t="inlineStr">
        <is>
          <t>B14-F3</t>
        </is>
      </c>
      <c r="H4219" s="16" t="inlineStr">
        <is>
          <t>control</t>
        </is>
      </c>
      <c r="I4219" s="16" t="inlineStr">
        <is>
          <t>KALINA</t>
        </is>
      </c>
      <c r="J4219" s="16" t="inlineStr">
        <is>
          <t>KALINA</t>
        </is>
      </c>
      <c r="K4219" s="16" t="b">
        <v>1</v>
      </c>
      <c r="L4219" s="16" t="b">
        <v>1</v>
      </c>
      <c r="M4219" s="16" t="b">
        <v>0</v>
      </c>
      <c r="N4219" s="16" t="b">
        <v>0</v>
      </c>
      <c r="O4219" s="16" t="n">
        <v>394.15</v>
      </c>
      <c r="P4219" s="16" t="n">
        <v>278.15</v>
      </c>
      <c r="Q4219" s="16" t="n">
        <v>3300</v>
      </c>
      <c r="R4219" s="16" t="n">
        <v>670</v>
      </c>
      <c r="S4219" s="16" t="n">
        <v>0.82</v>
      </c>
      <c r="T4219" s="16" t="n">
        <v>0.9</v>
      </c>
      <c r="U4219" s="16" t="n">
        <v>0.8</v>
      </c>
      <c r="V4219" s="16" t="n">
        <v>0.85</v>
      </c>
      <c r="W4219" s="16" t="n">
        <v>0.95</v>
      </c>
      <c r="X4219" s="16" t="n">
        <v>0.95</v>
      </c>
      <c r="Y4219" s="16" t="n">
        <v>283.15</v>
      </c>
      <c r="Z4219" s="16" t="n">
        <v>13.44741292225992</v>
      </c>
      <c r="AA4219" s="16" t="n">
        <v>120.4374236856653</v>
      </c>
      <c r="AB4219" s="16" t="n">
        <v>2630</v>
      </c>
      <c r="AC4219" s="16" t="n">
        <v>4.925373134328358</v>
      </c>
      <c r="AD4219" s="16" t="n"/>
      <c r="AE4219" s="16" t="n"/>
    </row>
    <row r="4220">
      <c r="A4220" s="16" t="inlineStr">
        <is>
          <t>KF-M10-F3-0019</t>
        </is>
      </c>
      <c r="B4220" s="16" t="inlineStr">
        <is>
          <t>6.2</t>
        </is>
      </c>
      <c r="C4220" s="16" t="inlineStr">
        <is>
          <t>6.2a</t>
        </is>
      </c>
      <c r="D4220" s="16" t="inlineStr">
        <is>
          <t>Fase 3 de septiembre</t>
        </is>
      </c>
      <c r="E4220" s="16" t="inlineStr">
        <is>
          <t>KF-M10</t>
        </is>
      </c>
      <c r="F4220" s="16" t="inlineStr">
        <is>
          <t>KF-M10-F3</t>
        </is>
      </c>
      <c r="G4220" s="16" t="inlineStr">
        <is>
          <t>B14-F3</t>
        </is>
      </c>
      <c r="H4220" s="16" t="inlineStr">
        <is>
          <t>control</t>
        </is>
      </c>
      <c r="I4220" s="16" t="inlineStr">
        <is>
          <t>KALINA</t>
        </is>
      </c>
      <c r="J4220" s="16" t="inlineStr">
        <is>
          <t>KALINA</t>
        </is>
      </c>
      <c r="K4220" s="16" t="b">
        <v>1</v>
      </c>
      <c r="L4220" s="16" t="b">
        <v>1</v>
      </c>
      <c r="M4220" s="16" t="b">
        <v>0</v>
      </c>
      <c r="N4220" s="16" t="b">
        <v>0</v>
      </c>
      <c r="O4220" s="16" t="n">
        <v>394.15</v>
      </c>
      <c r="P4220" s="16" t="n">
        <v>278.15</v>
      </c>
      <c r="Q4220" s="16" t="n">
        <v>3300</v>
      </c>
      <c r="R4220" s="16" t="n">
        <v>730</v>
      </c>
      <c r="S4220" s="16" t="n">
        <v>0.82</v>
      </c>
      <c r="T4220" s="16" t="n">
        <v>0.9</v>
      </c>
      <c r="U4220" s="16" t="n">
        <v>0.8</v>
      </c>
      <c r="V4220" s="16" t="n">
        <v>0.85</v>
      </c>
      <c r="W4220" s="16" t="n">
        <v>0.95</v>
      </c>
      <c r="X4220" s="16" t="n">
        <v>0.95</v>
      </c>
      <c r="Y4220" s="16" t="n">
        <v>283.15</v>
      </c>
      <c r="Z4220" s="16" t="n">
        <v>12.7892077847869</v>
      </c>
      <c r="AA4220" s="16" t="n">
        <v>114.5258357809253</v>
      </c>
      <c r="AB4220" s="16" t="n">
        <v>2570</v>
      </c>
      <c r="AC4220" s="16" t="n">
        <v>4.52054794520548</v>
      </c>
      <c r="AD4220" s="16" t="n"/>
      <c r="AE4220" s="16" t="n"/>
    </row>
    <row r="4221">
      <c r="A4221" s="16" t="inlineStr">
        <is>
          <t>KF-M10-F3-0020</t>
        </is>
      </c>
      <c r="B4221" s="16" t="inlineStr">
        <is>
          <t>6.2</t>
        </is>
      </c>
      <c r="C4221" s="16" t="inlineStr">
        <is>
          <t>6.2a</t>
        </is>
      </c>
      <c r="D4221" s="16" t="inlineStr">
        <is>
          <t>Fase 3 de septiembre</t>
        </is>
      </c>
      <c r="E4221" s="16" t="inlineStr">
        <is>
          <t>KF-M10</t>
        </is>
      </c>
      <c r="F4221" s="16" t="inlineStr">
        <is>
          <t>KF-M10-F3</t>
        </is>
      </c>
      <c r="G4221" s="16" t="inlineStr">
        <is>
          <t>B14-F3</t>
        </is>
      </c>
      <c r="H4221" s="16" t="inlineStr">
        <is>
          <t>control</t>
        </is>
      </c>
      <c r="I4221" s="16" t="inlineStr">
        <is>
          <t>KALINA</t>
        </is>
      </c>
      <c r="J4221" s="16" t="inlineStr">
        <is>
          <t>KALINA</t>
        </is>
      </c>
      <c r="K4221" s="16" t="b">
        <v>1</v>
      </c>
      <c r="L4221" s="16" t="b">
        <v>1</v>
      </c>
      <c r="M4221" s="16" t="b">
        <v>0</v>
      </c>
      <c r="N4221" s="16" t="b">
        <v>0</v>
      </c>
      <c r="O4221" s="16" t="n">
        <v>394.15</v>
      </c>
      <c r="P4221" s="16" t="n">
        <v>278.15</v>
      </c>
      <c r="Q4221" s="16" t="n">
        <v>3300</v>
      </c>
      <c r="R4221" s="16" t="n">
        <v>690</v>
      </c>
      <c r="S4221" s="16" t="n">
        <v>0.82</v>
      </c>
      <c r="T4221" s="16" t="n">
        <v>0.9</v>
      </c>
      <c r="U4221" s="16" t="n">
        <v>0.8</v>
      </c>
      <c r="V4221" s="16" t="n">
        <v>0.85</v>
      </c>
      <c r="W4221" s="16" t="n">
        <v>0.95</v>
      </c>
      <c r="X4221" s="16" t="n">
        <v>0.95</v>
      </c>
      <c r="Y4221" s="16" t="n">
        <v>283.15</v>
      </c>
      <c r="Z4221" s="16" t="n">
        <v>13.2225573486805</v>
      </c>
      <c r="AA4221" s="16" t="n">
        <v>118.4176852193223</v>
      </c>
      <c r="AB4221" s="16" t="n">
        <v>2610</v>
      </c>
      <c r="AC4221" s="16" t="n">
        <v>4.782608695652174</v>
      </c>
      <c r="AD4221" s="16" t="n"/>
      <c r="AE4221" s="16" t="n"/>
    </row>
    <row r="4222">
      <c r="A4222" s="16" t="inlineStr">
        <is>
          <t>KF-M10-F3-0021</t>
        </is>
      </c>
      <c r="B4222" s="16" t="inlineStr">
        <is>
          <t>6.2</t>
        </is>
      </c>
      <c r="C4222" s="16" t="inlineStr">
        <is>
          <t>6.2a</t>
        </is>
      </c>
      <c r="D4222" s="16" t="inlineStr">
        <is>
          <t>Fase 3 de septiembre</t>
        </is>
      </c>
      <c r="E4222" s="16" t="inlineStr">
        <is>
          <t>KF-M10</t>
        </is>
      </c>
      <c r="F4222" s="16" t="inlineStr">
        <is>
          <t>KF-M10-F3</t>
        </is>
      </c>
      <c r="G4222" s="16" t="inlineStr">
        <is>
          <t>B14-F3</t>
        </is>
      </c>
      <c r="H4222" s="16" t="inlineStr">
        <is>
          <t>control</t>
        </is>
      </c>
      <c r="I4222" s="16" t="inlineStr">
        <is>
          <t>KALINA</t>
        </is>
      </c>
      <c r="J4222" s="16" t="inlineStr">
        <is>
          <t>KALINA</t>
        </is>
      </c>
      <c r="K4222" s="16" t="b">
        <v>1</v>
      </c>
      <c r="L4222" s="16" t="b">
        <v>1</v>
      </c>
      <c r="M4222" s="16" t="b">
        <v>0</v>
      </c>
      <c r="N4222" s="16" t="b">
        <v>0</v>
      </c>
      <c r="O4222" s="16" t="n">
        <v>394.15</v>
      </c>
      <c r="P4222" s="16" t="n">
        <v>278.15</v>
      </c>
      <c r="Q4222" s="16" t="n">
        <v>3300</v>
      </c>
      <c r="R4222" s="16" t="n">
        <v>870</v>
      </c>
      <c r="S4222" s="16" t="n">
        <v>0.82</v>
      </c>
      <c r="T4222" s="16" t="n">
        <v>0.9</v>
      </c>
      <c r="U4222" s="16" t="n">
        <v>0.8</v>
      </c>
      <c r="V4222" s="16" t="n">
        <v>0.85</v>
      </c>
      <c r="W4222" s="16" t="n">
        <v>0.95</v>
      </c>
      <c r="X4222" s="16" t="n">
        <v>0.95</v>
      </c>
      <c r="Y4222" s="16" t="n">
        <v>283.15</v>
      </c>
      <c r="Z4222" s="16" t="n">
        <v>11.41816001667537</v>
      </c>
      <c r="AA4222" s="16" t="n">
        <v>102.2183785319478</v>
      </c>
      <c r="AB4222" s="16" t="n">
        <v>2430</v>
      </c>
      <c r="AC4222" s="16" t="n">
        <v>3.793103448275862</v>
      </c>
      <c r="AD4222" s="16" t="n"/>
      <c r="AE4222" s="16" t="n"/>
    </row>
    <row r="4223">
      <c r="A4223" s="16" t="inlineStr">
        <is>
          <t>KF-M10-F3-0022</t>
        </is>
      </c>
      <c r="B4223" s="16" t="inlineStr">
        <is>
          <t>6.2</t>
        </is>
      </c>
      <c r="C4223" s="16" t="inlineStr">
        <is>
          <t>6.2a</t>
        </is>
      </c>
      <c r="D4223" s="16" t="inlineStr">
        <is>
          <t>Fase 3 de septiembre</t>
        </is>
      </c>
      <c r="E4223" s="16" t="inlineStr">
        <is>
          <t>KF-M10</t>
        </is>
      </c>
      <c r="F4223" s="16" t="inlineStr">
        <is>
          <t>KF-M10-F3</t>
        </is>
      </c>
      <c r="G4223" s="16" t="inlineStr">
        <is>
          <t>B14-F3</t>
        </is>
      </c>
      <c r="H4223" s="16" t="inlineStr">
        <is>
          <t>control</t>
        </is>
      </c>
      <c r="I4223" s="16" t="inlineStr">
        <is>
          <t>KALINA</t>
        </is>
      </c>
      <c r="J4223" s="16" t="inlineStr">
        <is>
          <t>KALINA</t>
        </is>
      </c>
      <c r="K4223" s="16" t="b">
        <v>1</v>
      </c>
      <c r="L4223" s="16" t="b">
        <v>1</v>
      </c>
      <c r="M4223" s="16" t="b">
        <v>0</v>
      </c>
      <c r="N4223" s="16" t="b">
        <v>0</v>
      </c>
      <c r="O4223" s="16" t="n">
        <v>394.15</v>
      </c>
      <c r="P4223" s="16" t="n">
        <v>278.15</v>
      </c>
      <c r="Q4223" s="16" t="n">
        <v>3300</v>
      </c>
      <c r="R4223" s="16" t="n">
        <v>890</v>
      </c>
      <c r="S4223" s="16" t="n">
        <v>0.82</v>
      </c>
      <c r="T4223" s="16" t="n">
        <v>0.9</v>
      </c>
      <c r="U4223" s="16" t="n">
        <v>0.8</v>
      </c>
      <c r="V4223" s="16" t="n">
        <v>0.85</v>
      </c>
      <c r="W4223" s="16" t="n">
        <v>0.95</v>
      </c>
      <c r="X4223" s="16" t="n">
        <v>0.95</v>
      </c>
      <c r="Y4223" s="16" t="n">
        <v>283.15</v>
      </c>
      <c r="Z4223" s="16" t="n">
        <v>11.23810109987276</v>
      </c>
      <c r="AA4223" s="16" t="n">
        <v>100.6026814581572</v>
      </c>
      <c r="AB4223" s="16" t="n">
        <v>2410</v>
      </c>
      <c r="AC4223" s="16" t="n">
        <v>3.707865168539326</v>
      </c>
      <c r="AD4223" s="16" t="n"/>
      <c r="AE4223" s="16" t="n"/>
    </row>
    <row r="4224">
      <c r="A4224" s="16" t="inlineStr">
        <is>
          <t>KF-M10-F3-0023</t>
        </is>
      </c>
      <c r="B4224" s="16" t="inlineStr">
        <is>
          <t>6.2</t>
        </is>
      </c>
      <c r="C4224" s="16" t="inlineStr">
        <is>
          <t>6.2a</t>
        </is>
      </c>
      <c r="D4224" s="16" t="inlineStr">
        <is>
          <t>Fase 3 de septiembre</t>
        </is>
      </c>
      <c r="E4224" s="16" t="inlineStr">
        <is>
          <t>KF-M10</t>
        </is>
      </c>
      <c r="F4224" s="16" t="inlineStr">
        <is>
          <t>KF-M10-F3</t>
        </is>
      </c>
      <c r="G4224" s="16" t="inlineStr">
        <is>
          <t>B14-F3</t>
        </is>
      </c>
      <c r="H4224" s="16" t="inlineStr">
        <is>
          <t>control</t>
        </is>
      </c>
      <c r="I4224" s="16" t="inlineStr">
        <is>
          <t>KALINA</t>
        </is>
      </c>
      <c r="J4224" s="16" t="inlineStr">
        <is>
          <t>KALINA</t>
        </is>
      </c>
      <c r="K4224" s="16" t="b">
        <v>1</v>
      </c>
      <c r="L4224" s="16" t="b">
        <v>1</v>
      </c>
      <c r="M4224" s="16" t="b">
        <v>0</v>
      </c>
      <c r="N4224" s="16" t="b">
        <v>0</v>
      </c>
      <c r="O4224" s="16" t="n">
        <v>394.15</v>
      </c>
      <c r="P4224" s="16" t="n">
        <v>278.15</v>
      </c>
      <c r="Q4224" s="16" t="n">
        <v>3300</v>
      </c>
      <c r="R4224" s="16" t="n">
        <v>810</v>
      </c>
      <c r="S4224" s="16" t="n">
        <v>0.82</v>
      </c>
      <c r="T4224" s="16" t="n">
        <v>0.9</v>
      </c>
      <c r="U4224" s="16" t="n">
        <v>0.8</v>
      </c>
      <c r="V4224" s="16" t="n">
        <v>0.85</v>
      </c>
      <c r="W4224" s="16" t="n">
        <v>0.95</v>
      </c>
      <c r="X4224" s="16" t="n">
        <v>0.95</v>
      </c>
      <c r="Y4224" s="16" t="n">
        <v>283.15</v>
      </c>
      <c r="Z4224" s="16" t="n">
        <v>11.98060350575779</v>
      </c>
      <c r="AA4224" s="16" t="n">
        <v>107.266214066569</v>
      </c>
      <c r="AB4224" s="16" t="n">
        <v>2490</v>
      </c>
      <c r="AC4224" s="16" t="n">
        <v>4.074074074074074</v>
      </c>
      <c r="AD4224" s="16" t="n"/>
      <c r="AE4224" s="16" t="n"/>
    </row>
    <row r="4225">
      <c r="A4225" s="16" t="inlineStr">
        <is>
          <t>KF-M10-F3-0024</t>
        </is>
      </c>
      <c r="B4225" s="16" t="inlineStr">
        <is>
          <t>6.2</t>
        </is>
      </c>
      <c r="C4225" s="16" t="inlineStr">
        <is>
          <t>6.2a</t>
        </is>
      </c>
      <c r="D4225" s="16" t="inlineStr">
        <is>
          <t>Fase 3 de septiembre</t>
        </is>
      </c>
      <c r="E4225" s="16" t="inlineStr">
        <is>
          <t>KF-M10</t>
        </is>
      </c>
      <c r="F4225" s="16" t="inlineStr">
        <is>
          <t>KF-M10-F3</t>
        </is>
      </c>
      <c r="G4225" s="16" t="inlineStr">
        <is>
          <t>B14-F3</t>
        </is>
      </c>
      <c r="H4225" s="16" t="inlineStr">
        <is>
          <t>control</t>
        </is>
      </c>
      <c r="I4225" s="16" t="inlineStr">
        <is>
          <t>KALINA</t>
        </is>
      </c>
      <c r="J4225" s="16" t="inlineStr">
        <is>
          <t>KALINA</t>
        </is>
      </c>
      <c r="K4225" s="16" t="b">
        <v>1</v>
      </c>
      <c r="L4225" s="16" t="b">
        <v>1</v>
      </c>
      <c r="M4225" s="16" t="b">
        <v>0</v>
      </c>
      <c r="N4225" s="16" t="b">
        <v>0</v>
      </c>
      <c r="O4225" s="16" t="n">
        <v>394.15</v>
      </c>
      <c r="P4225" s="16" t="n">
        <v>278.15</v>
      </c>
      <c r="Q4225" s="16" t="n">
        <v>3300</v>
      </c>
      <c r="R4225" s="16" t="n">
        <v>950</v>
      </c>
      <c r="S4225" s="16" t="n">
        <v>0.82</v>
      </c>
      <c r="T4225" s="16" t="n">
        <v>0.9</v>
      </c>
      <c r="U4225" s="16" t="n">
        <v>0.8</v>
      </c>
      <c r="V4225" s="16" t="n">
        <v>0.85</v>
      </c>
      <c r="W4225" s="16" t="n">
        <v>0.95</v>
      </c>
      <c r="X4225" s="16" t="n">
        <v>0.95</v>
      </c>
      <c r="Y4225" s="16" t="n">
        <v>283.15</v>
      </c>
      <c r="Z4225" s="16" t="n">
        <v>10.71810777295186</v>
      </c>
      <c r="AA4225" s="16" t="n">
        <v>95.93750966229254</v>
      </c>
      <c r="AB4225" s="16" t="n">
        <v>2350</v>
      </c>
      <c r="AC4225" s="16" t="n">
        <v>3.473684210526316</v>
      </c>
      <c r="AD4225" s="16" t="n"/>
      <c r="AE4225" s="16" t="n"/>
    </row>
    <row r="4226">
      <c r="A4226" s="16" t="inlineStr">
        <is>
          <t>KF-M10-F3-0025</t>
        </is>
      </c>
      <c r="B4226" s="16" t="inlineStr">
        <is>
          <t>6.2</t>
        </is>
      </c>
      <c r="C4226" s="16" t="inlineStr">
        <is>
          <t>6.2a</t>
        </is>
      </c>
      <c r="D4226" s="16" t="inlineStr">
        <is>
          <t>Fase 3 de septiembre</t>
        </is>
      </c>
      <c r="E4226" s="16" t="inlineStr">
        <is>
          <t>KF-M10</t>
        </is>
      </c>
      <c r="F4226" s="16" t="inlineStr">
        <is>
          <t>KF-M10-F3</t>
        </is>
      </c>
      <c r="G4226" s="16" t="inlineStr">
        <is>
          <t>B14-F3</t>
        </is>
      </c>
      <c r="H4226" s="16" t="inlineStr">
        <is>
          <t>control</t>
        </is>
      </c>
      <c r="I4226" s="16" t="inlineStr">
        <is>
          <t>KALINA</t>
        </is>
      </c>
      <c r="J4226" s="16" t="inlineStr">
        <is>
          <t>KALINA</t>
        </is>
      </c>
      <c r="K4226" s="16" t="b">
        <v>1</v>
      </c>
      <c r="L4226" s="16" t="b">
        <v>1</v>
      </c>
      <c r="M4226" s="16" t="b">
        <v>0</v>
      </c>
      <c r="N4226" s="16" t="b">
        <v>0</v>
      </c>
      <c r="O4226" s="16" t="n">
        <v>394.15</v>
      </c>
      <c r="P4226" s="16" t="n">
        <v>278.15</v>
      </c>
      <c r="Q4226" s="16" t="n">
        <v>3300</v>
      </c>
      <c r="R4226" s="16" t="n">
        <v>910</v>
      </c>
      <c r="S4226" s="16" t="n">
        <v>0.82</v>
      </c>
      <c r="T4226" s="16" t="n">
        <v>0.9</v>
      </c>
      <c r="U4226" s="16" t="n">
        <v>0.8</v>
      </c>
      <c r="V4226" s="16" t="n">
        <v>0.85</v>
      </c>
      <c r="W4226" s="16" t="n">
        <v>0.95</v>
      </c>
      <c r="X4226" s="16" t="n">
        <v>0.95</v>
      </c>
      <c r="Y4226" s="16" t="n">
        <v>283.15</v>
      </c>
      <c r="Z4226" s="16" t="n">
        <v>11.06149731044027</v>
      </c>
      <c r="AA4226" s="16" t="n">
        <v>99.01812850356551</v>
      </c>
      <c r="AB4226" s="16" t="n">
        <v>2390</v>
      </c>
      <c r="AC4226" s="16" t="n">
        <v>3.626373626373625</v>
      </c>
      <c r="AD4226" s="16" t="n"/>
      <c r="AE4226" s="16" t="n"/>
    </row>
    <row r="4227">
      <c r="A4227" s="16" t="inlineStr">
        <is>
          <t>KF-M10-F3-0026</t>
        </is>
      </c>
      <c r="B4227" s="16" t="inlineStr">
        <is>
          <t>6.2</t>
        </is>
      </c>
      <c r="C4227" s="16" t="inlineStr">
        <is>
          <t>6.2a</t>
        </is>
      </c>
      <c r="D4227" s="16" t="inlineStr">
        <is>
          <t>Fase 3 de septiembre</t>
        </is>
      </c>
      <c r="E4227" s="16" t="inlineStr">
        <is>
          <t>KF-M10</t>
        </is>
      </c>
      <c r="F4227" s="16" t="inlineStr">
        <is>
          <t>KF-M10-F3</t>
        </is>
      </c>
      <c r="G4227" s="16" t="inlineStr">
        <is>
          <t>B14-F3</t>
        </is>
      </c>
      <c r="H4227" s="16" t="inlineStr">
        <is>
          <t>control</t>
        </is>
      </c>
      <c r="I4227" s="16" t="inlineStr">
        <is>
          <t>KALINA</t>
        </is>
      </c>
      <c r="J4227" s="16" t="inlineStr">
        <is>
          <t>KALINA</t>
        </is>
      </c>
      <c r="K4227" s="16" t="b">
        <v>1</v>
      </c>
      <c r="L4227" s="16" t="b">
        <v>1</v>
      </c>
      <c r="M4227" s="16" t="b">
        <v>0</v>
      </c>
      <c r="N4227" s="16" t="b">
        <v>0</v>
      </c>
      <c r="O4227" s="16" t="n">
        <v>394.15</v>
      </c>
      <c r="P4227" s="16" t="n">
        <v>278.15</v>
      </c>
      <c r="Q4227" s="16" t="n">
        <v>3300</v>
      </c>
      <c r="R4227" s="16" t="n">
        <v>830</v>
      </c>
      <c r="S4227" s="16" t="n">
        <v>0.82</v>
      </c>
      <c r="T4227" s="16" t="n">
        <v>0.9</v>
      </c>
      <c r="U4227" s="16" t="n">
        <v>0.8</v>
      </c>
      <c r="V4227" s="16" t="n">
        <v>0.85</v>
      </c>
      <c r="W4227" s="16" t="n">
        <v>0.95</v>
      </c>
      <c r="X4227" s="16" t="n">
        <v>0.95</v>
      </c>
      <c r="Y4227" s="16" t="n">
        <v>283.15</v>
      </c>
      <c r="Z4227" s="16" t="n">
        <v>11.78924696995605</v>
      </c>
      <c r="AA4227" s="16" t="n">
        <v>105.5486605043577</v>
      </c>
      <c r="AB4227" s="16" t="n">
        <v>2470</v>
      </c>
      <c r="AC4227" s="16" t="n">
        <v>3.975903614457832</v>
      </c>
      <c r="AD4227" s="16" t="n"/>
      <c r="AE4227" s="16" t="n"/>
    </row>
    <row r="4228">
      <c r="A4228" s="16" t="inlineStr">
        <is>
          <t>KF-M10-F3-0027</t>
        </is>
      </c>
      <c r="B4228" s="16" t="inlineStr">
        <is>
          <t>6.2</t>
        </is>
      </c>
      <c r="C4228" s="16" t="inlineStr">
        <is>
          <t>6.2a</t>
        </is>
      </c>
      <c r="D4228" s="16" t="inlineStr">
        <is>
          <t>Fase 3 de septiembre</t>
        </is>
      </c>
      <c r="E4228" s="16" t="inlineStr">
        <is>
          <t>KF-M10</t>
        </is>
      </c>
      <c r="F4228" s="16" t="inlineStr">
        <is>
          <t>KF-M10-F3</t>
        </is>
      </c>
      <c r="G4228" s="16" t="inlineStr">
        <is>
          <t>B14-F3</t>
        </is>
      </c>
      <c r="H4228" s="16" t="inlineStr">
        <is>
          <t>control</t>
        </is>
      </c>
      <c r="I4228" s="16" t="inlineStr">
        <is>
          <t>KALINA</t>
        </is>
      </c>
      <c r="J4228" s="16" t="inlineStr">
        <is>
          <t>KALINA</t>
        </is>
      </c>
      <c r="K4228" s="16" t="b">
        <v>1</v>
      </c>
      <c r="L4228" s="16" t="b">
        <v>1</v>
      </c>
      <c r="M4228" s="16" t="b">
        <v>0</v>
      </c>
      <c r="N4228" s="16" t="b">
        <v>0</v>
      </c>
      <c r="O4228" s="16" t="n">
        <v>394.15</v>
      </c>
      <c r="P4228" s="16" t="n">
        <v>278.15</v>
      </c>
      <c r="Q4228" s="16" t="n">
        <v>3300</v>
      </c>
      <c r="R4228" s="16" t="n">
        <v>850</v>
      </c>
      <c r="S4228" s="16" t="n">
        <v>0.82</v>
      </c>
      <c r="T4228" s="16" t="n">
        <v>0.9</v>
      </c>
      <c r="U4228" s="16" t="n">
        <v>0.8</v>
      </c>
      <c r="V4228" s="16" t="n">
        <v>0.85</v>
      </c>
      <c r="W4228" s="16" t="n">
        <v>0.95</v>
      </c>
      <c r="X4228" s="16" t="n">
        <v>0.95</v>
      </c>
      <c r="Y4228" s="16" t="n">
        <v>283.15</v>
      </c>
      <c r="Z4228" s="16" t="n">
        <v>11.60182242740329</v>
      </c>
      <c r="AA4228" s="16" t="n">
        <v>103.8665603611194</v>
      </c>
      <c r="AB4228" s="16" t="n">
        <v>2450</v>
      </c>
      <c r="AC4228" s="16" t="n">
        <v>3.882352941176471</v>
      </c>
      <c r="AD4228" s="16" t="n"/>
      <c r="AE4228" s="16" t="n"/>
    </row>
    <row r="4229">
      <c r="A4229" s="16" t="inlineStr">
        <is>
          <t>KF-M10-F3-0028</t>
        </is>
      </c>
      <c r="B4229" s="16" t="inlineStr">
        <is>
          <t>6.2</t>
        </is>
      </c>
      <c r="C4229" s="16" t="inlineStr">
        <is>
          <t>6.2a</t>
        </is>
      </c>
      <c r="D4229" s="16" t="inlineStr">
        <is>
          <t>Fase 3 de septiembre</t>
        </is>
      </c>
      <c r="E4229" s="16" t="inlineStr">
        <is>
          <t>KF-M10</t>
        </is>
      </c>
      <c r="F4229" s="16" t="inlineStr">
        <is>
          <t>KF-M10-F3</t>
        </is>
      </c>
      <c r="G4229" s="16" t="inlineStr">
        <is>
          <t>B14-F3</t>
        </is>
      </c>
      <c r="H4229" s="16" t="inlineStr">
        <is>
          <t>control</t>
        </is>
      </c>
      <c r="I4229" s="16" t="inlineStr">
        <is>
          <t>KALINA</t>
        </is>
      </c>
      <c r="J4229" s="16" t="inlineStr">
        <is>
          <t>KALINA</t>
        </is>
      </c>
      <c r="K4229" s="16" t="b">
        <v>1</v>
      </c>
      <c r="L4229" s="16" t="b">
        <v>1</v>
      </c>
      <c r="M4229" s="16" t="b">
        <v>0</v>
      </c>
      <c r="N4229" s="16" t="b">
        <v>0</v>
      </c>
      <c r="O4229" s="16" t="n">
        <v>394.15</v>
      </c>
      <c r="P4229" s="16" t="n">
        <v>278.15</v>
      </c>
      <c r="Q4229" s="16" t="n">
        <v>3300</v>
      </c>
      <c r="R4229" s="16" t="n">
        <v>990</v>
      </c>
      <c r="S4229" s="16" t="n">
        <v>0.82</v>
      </c>
      <c r="T4229" s="16" t="n">
        <v>0.9</v>
      </c>
      <c r="U4229" s="16" t="n">
        <v>0.8</v>
      </c>
      <c r="V4229" s="16" t="n">
        <v>0.85</v>
      </c>
      <c r="W4229" s="16" t="n">
        <v>0.95</v>
      </c>
      <c r="X4229" s="16" t="n">
        <v>0.95</v>
      </c>
      <c r="Y4229" s="16" t="n">
        <v>283.15</v>
      </c>
      <c r="Z4229" s="16" t="n">
        <v>10.38697890967883</v>
      </c>
      <c r="AA4229" s="16" t="n">
        <v>92.96737480190298</v>
      </c>
      <c r="AB4229" s="16" t="n">
        <v>2310</v>
      </c>
      <c r="AC4229" s="16" t="n">
        <v>3.333333333333333</v>
      </c>
      <c r="AD4229" s="16" t="n"/>
      <c r="AE4229" s="16" t="n"/>
    </row>
    <row r="4230">
      <c r="A4230" s="16" t="inlineStr">
        <is>
          <t>KF-M10-F3-0029</t>
        </is>
      </c>
      <c r="B4230" s="16" t="inlineStr">
        <is>
          <t>6.2</t>
        </is>
      </c>
      <c r="C4230" s="16" t="inlineStr">
        <is>
          <t>6.2a</t>
        </is>
      </c>
      <c r="D4230" s="16" t="inlineStr">
        <is>
          <t>Fase 3 de septiembre</t>
        </is>
      </c>
      <c r="E4230" s="16" t="inlineStr">
        <is>
          <t>KF-M10</t>
        </is>
      </c>
      <c r="F4230" s="16" t="inlineStr">
        <is>
          <t>KF-M10-F3</t>
        </is>
      </c>
      <c r="G4230" s="16" t="inlineStr">
        <is>
          <t>B14-F3</t>
        </is>
      </c>
      <c r="H4230" s="16" t="inlineStr">
        <is>
          <t>control</t>
        </is>
      </c>
      <c r="I4230" s="16" t="inlineStr">
        <is>
          <t>KALINA</t>
        </is>
      </c>
      <c r="J4230" s="16" t="inlineStr">
        <is>
          <t>KALINA</t>
        </is>
      </c>
      <c r="K4230" s="16" t="b">
        <v>1</v>
      </c>
      <c r="L4230" s="16" t="b">
        <v>1</v>
      </c>
      <c r="M4230" s="16" t="b">
        <v>0</v>
      </c>
      <c r="N4230" s="16" t="b">
        <v>0</v>
      </c>
      <c r="O4230" s="16" t="n">
        <v>394.15</v>
      </c>
      <c r="P4230" s="16" t="n">
        <v>278.15</v>
      </c>
      <c r="Q4230" s="16" t="n">
        <v>3300</v>
      </c>
      <c r="R4230" s="16" t="n">
        <v>970</v>
      </c>
      <c r="S4230" s="16" t="n">
        <v>0.82</v>
      </c>
      <c r="T4230" s="16" t="n">
        <v>0.9</v>
      </c>
      <c r="U4230" s="16" t="n">
        <v>0.8</v>
      </c>
      <c r="V4230" s="16" t="n">
        <v>0.85</v>
      </c>
      <c r="W4230" s="16" t="n">
        <v>0.95</v>
      </c>
      <c r="X4230" s="16" t="n">
        <v>0.95</v>
      </c>
      <c r="Y4230" s="16" t="n">
        <v>283.15</v>
      </c>
      <c r="Z4230" s="16" t="n">
        <v>10.55106933223228</v>
      </c>
      <c r="AA4230" s="16" t="n">
        <v>94.4391608680568</v>
      </c>
      <c r="AB4230" s="16" t="n">
        <v>2330</v>
      </c>
      <c r="AC4230" s="16" t="n">
        <v>3.402061855670103</v>
      </c>
      <c r="AD4230" s="16" t="n"/>
      <c r="AE4230" s="16" t="n"/>
    </row>
    <row r="4231">
      <c r="A4231" s="16" t="inlineStr">
        <is>
          <t>KF-M10-F3-0030</t>
        </is>
      </c>
      <c r="B4231" s="16" t="inlineStr">
        <is>
          <t>6.2</t>
        </is>
      </c>
      <c r="C4231" s="16" t="inlineStr">
        <is>
          <t>6.2a</t>
        </is>
      </c>
      <c r="D4231" s="16" t="inlineStr">
        <is>
          <t>Fase 3 de septiembre</t>
        </is>
      </c>
      <c r="E4231" s="16" t="inlineStr">
        <is>
          <t>KF-M10</t>
        </is>
      </c>
      <c r="F4231" s="16" t="inlineStr">
        <is>
          <t>KF-M10-F3</t>
        </is>
      </c>
      <c r="G4231" s="16" t="inlineStr">
        <is>
          <t>B14-F3</t>
        </is>
      </c>
      <c r="H4231" s="16" t="inlineStr">
        <is>
          <t>control</t>
        </is>
      </c>
      <c r="I4231" s="16" t="inlineStr">
        <is>
          <t>KALINA</t>
        </is>
      </c>
      <c r="J4231" s="16" t="inlineStr">
        <is>
          <t>KALINA</t>
        </is>
      </c>
      <c r="K4231" s="16" t="b">
        <v>1</v>
      </c>
      <c r="L4231" s="16" t="b">
        <v>1</v>
      </c>
      <c r="M4231" s="16" t="b">
        <v>0</v>
      </c>
      <c r="N4231" s="16" t="b">
        <v>0</v>
      </c>
      <c r="O4231" s="16" t="n">
        <v>394.15</v>
      </c>
      <c r="P4231" s="16" t="n">
        <v>278.15</v>
      </c>
      <c r="Q4231" s="16" t="n">
        <v>3300</v>
      </c>
      <c r="R4231" s="16" t="n">
        <v>1030</v>
      </c>
      <c r="S4231" s="16" t="n">
        <v>0.82</v>
      </c>
      <c r="T4231" s="16" t="n">
        <v>0.9</v>
      </c>
      <c r="U4231" s="16" t="n">
        <v>0.8</v>
      </c>
      <c r="V4231" s="16" t="n">
        <v>0.85</v>
      </c>
      <c r="W4231" s="16" t="n">
        <v>0.95</v>
      </c>
      <c r="X4231" s="16" t="n">
        <v>0.95</v>
      </c>
      <c r="Y4231" s="16" t="n">
        <v>283.15</v>
      </c>
      <c r="Z4231" s="16" t="n">
        <v>10.06721443964814</v>
      </c>
      <c r="AA4231" s="16" t="n">
        <v>90.09962782643896</v>
      </c>
      <c r="AB4231" s="16" t="n">
        <v>2270</v>
      </c>
      <c r="AC4231" s="16" t="n">
        <v>3.203883495145631</v>
      </c>
      <c r="AD4231" s="16" t="n"/>
      <c r="AE4231" s="16" t="n"/>
    </row>
    <row r="4232">
      <c r="A4232" s="16" t="inlineStr">
        <is>
          <t>KF-M10-F3-0031</t>
        </is>
      </c>
      <c r="B4232" s="16" t="inlineStr">
        <is>
          <t>6.2</t>
        </is>
      </c>
      <c r="C4232" s="16" t="inlineStr">
        <is>
          <t>6.2a</t>
        </is>
      </c>
      <c r="D4232" s="16" t="inlineStr">
        <is>
          <t>Fase 3 de septiembre</t>
        </is>
      </c>
      <c r="E4232" s="16" t="inlineStr">
        <is>
          <t>KF-M10</t>
        </is>
      </c>
      <c r="F4232" s="16" t="inlineStr">
        <is>
          <t>KF-M10-F3</t>
        </is>
      </c>
      <c r="G4232" s="16" t="inlineStr">
        <is>
          <t>B14-F3</t>
        </is>
      </c>
      <c r="H4232" s="16" t="inlineStr">
        <is>
          <t>control</t>
        </is>
      </c>
      <c r="I4232" s="16" t="inlineStr">
        <is>
          <t>KALINA</t>
        </is>
      </c>
      <c r="J4232" s="16" t="inlineStr">
        <is>
          <t>KALINA</t>
        </is>
      </c>
      <c r="K4232" s="16" t="b">
        <v>1</v>
      </c>
      <c r="L4232" s="16" t="b">
        <v>1</v>
      </c>
      <c r="M4232" s="16" t="b">
        <v>0</v>
      </c>
      <c r="N4232" s="16" t="b">
        <v>0</v>
      </c>
      <c r="O4232" s="16" t="n">
        <v>394.15</v>
      </c>
      <c r="P4232" s="16" t="n">
        <v>278.15</v>
      </c>
      <c r="Q4232" s="16" t="n">
        <v>3300</v>
      </c>
      <c r="R4232" s="16" t="n">
        <v>1010</v>
      </c>
      <c r="S4232" s="16" t="n">
        <v>0.82</v>
      </c>
      <c r="T4232" s="16" t="n">
        <v>0.9</v>
      </c>
      <c r="U4232" s="16" t="n">
        <v>0.8</v>
      </c>
      <c r="V4232" s="16" t="n">
        <v>0.85</v>
      </c>
      <c r="W4232" s="16" t="n">
        <v>0.95</v>
      </c>
      <c r="X4232" s="16" t="n">
        <v>0.95</v>
      </c>
      <c r="Y4232" s="16" t="n">
        <v>283.15</v>
      </c>
      <c r="Z4232" s="16" t="n">
        <v>10.2257280642204</v>
      </c>
      <c r="AA4232" s="16" t="n">
        <v>91.52117194893589</v>
      </c>
      <c r="AB4232" s="16" t="n">
        <v>2290</v>
      </c>
      <c r="AC4232" s="16" t="n">
        <v>3.267326732673267</v>
      </c>
      <c r="AD4232" s="16" t="n"/>
      <c r="AE4232" s="16" t="n"/>
    </row>
    <row r="4233">
      <c r="A4233" s="16" t="inlineStr">
        <is>
          <t>KF-M10-F3-0032</t>
        </is>
      </c>
      <c r="B4233" s="16" t="inlineStr">
        <is>
          <t>6.2</t>
        </is>
      </c>
      <c r="C4233" s="16" t="inlineStr">
        <is>
          <t>6.2a</t>
        </is>
      </c>
      <c r="D4233" s="16" t="inlineStr">
        <is>
          <t>Fase 3 de septiembre</t>
        </is>
      </c>
      <c r="E4233" s="16" t="inlineStr">
        <is>
          <t>KF-M10</t>
        </is>
      </c>
      <c r="F4233" s="16" t="inlineStr">
        <is>
          <t>KF-M10-F3</t>
        </is>
      </c>
      <c r="G4233" s="16" t="inlineStr">
        <is>
          <t>B14-F3</t>
        </is>
      </c>
      <c r="H4233" s="16" t="inlineStr">
        <is>
          <t>control</t>
        </is>
      </c>
      <c r="I4233" s="16" t="inlineStr">
        <is>
          <t>KALINA</t>
        </is>
      </c>
      <c r="J4233" s="16" t="inlineStr">
        <is>
          <t>KALINA</t>
        </is>
      </c>
      <c r="K4233" s="16" t="b">
        <v>1</v>
      </c>
      <c r="L4233" s="16" t="b">
        <v>1</v>
      </c>
      <c r="M4233" s="16" t="b">
        <v>0</v>
      </c>
      <c r="N4233" s="16" t="b">
        <v>0</v>
      </c>
      <c r="O4233" s="16" t="n">
        <v>394.15</v>
      </c>
      <c r="P4233" s="16" t="n">
        <v>278.15</v>
      </c>
      <c r="Q4233" s="16" t="n">
        <v>3300</v>
      </c>
      <c r="R4233" s="16" t="n">
        <v>930</v>
      </c>
      <c r="S4233" s="16" t="n">
        <v>0.82</v>
      </c>
      <c r="T4233" s="16" t="n">
        <v>0.9</v>
      </c>
      <c r="U4233" s="16" t="n">
        <v>0.8</v>
      </c>
      <c r="V4233" s="16" t="n">
        <v>0.85</v>
      </c>
      <c r="W4233" s="16" t="n">
        <v>0.95</v>
      </c>
      <c r="X4233" s="16" t="n">
        <v>0.95</v>
      </c>
      <c r="Y4233" s="16" t="n">
        <v>283.15</v>
      </c>
      <c r="Z4233" s="16" t="n">
        <v>10.88820966514615</v>
      </c>
      <c r="AA4233" s="16" t="n">
        <v>97.46346391534904</v>
      </c>
      <c r="AB4233" s="16" t="n">
        <v>2370</v>
      </c>
      <c r="AC4233" s="16" t="n">
        <v>3.548387096774193</v>
      </c>
      <c r="AD4233" s="16" t="n"/>
      <c r="AE4233" s="16" t="n"/>
    </row>
    <row r="4234">
      <c r="A4234" s="16" t="inlineStr">
        <is>
          <t>KF-M10-F3-0033</t>
        </is>
      </c>
      <c r="B4234" s="16" t="inlineStr">
        <is>
          <t>6.2</t>
        </is>
      </c>
      <c r="C4234" s="16" t="inlineStr">
        <is>
          <t>6.2a</t>
        </is>
      </c>
      <c r="D4234" s="16" t="inlineStr">
        <is>
          <t>Fase 3 de septiembre</t>
        </is>
      </c>
      <c r="E4234" s="16" t="inlineStr">
        <is>
          <t>KF-M10</t>
        </is>
      </c>
      <c r="F4234" s="16" t="inlineStr">
        <is>
          <t>KF-M10-F3</t>
        </is>
      </c>
      <c r="G4234" s="16" t="inlineStr">
        <is>
          <t>B14-F3</t>
        </is>
      </c>
      <c r="H4234" s="16" t="inlineStr">
        <is>
          <t>control</t>
        </is>
      </c>
      <c r="I4234" s="16" t="inlineStr">
        <is>
          <t>KALINA</t>
        </is>
      </c>
      <c r="J4234" s="16" t="inlineStr">
        <is>
          <t>KALINA</t>
        </is>
      </c>
      <c r="K4234" s="16" t="b">
        <v>1</v>
      </c>
      <c r="L4234" s="16" t="b">
        <v>1</v>
      </c>
      <c r="M4234" s="16" t="b">
        <v>0</v>
      </c>
      <c r="N4234" s="16" t="b">
        <v>0</v>
      </c>
      <c r="O4234" s="16" t="n">
        <v>394.15</v>
      </c>
      <c r="P4234" s="16" t="n">
        <v>278.15</v>
      </c>
      <c r="Q4234" s="16" t="n">
        <v>3300</v>
      </c>
      <c r="R4234" s="16" t="n">
        <v>1050</v>
      </c>
      <c r="S4234" s="16" t="n">
        <v>0.82</v>
      </c>
      <c r="T4234" s="16" t="n">
        <v>0.9</v>
      </c>
      <c r="U4234" s="16" t="n">
        <v>0.8</v>
      </c>
      <c r="V4234" s="16" t="n">
        <v>0.85</v>
      </c>
      <c r="W4234" s="16" t="n">
        <v>0.95</v>
      </c>
      <c r="X4234" s="16" t="n">
        <v>0.95</v>
      </c>
      <c r="Y4234" s="16" t="n">
        <v>283.15</v>
      </c>
      <c r="Z4234" s="16" t="n">
        <v>9.91134138010564</v>
      </c>
      <c r="AA4234" s="16" t="n">
        <v>88.70186949808306</v>
      </c>
      <c r="AB4234" s="16" t="n">
        <v>2250</v>
      </c>
      <c r="AC4234" s="16" t="n">
        <v>3.142857142857143</v>
      </c>
      <c r="AD4234" s="16" t="n"/>
      <c r="AE4234" s="16" t="n"/>
    </row>
    <row r="4235">
      <c r="A4235" s="16" t="inlineStr">
        <is>
          <t>KF-M10-F3-0034</t>
        </is>
      </c>
      <c r="B4235" s="16" t="inlineStr">
        <is>
          <t>6.2</t>
        </is>
      </c>
      <c r="C4235" s="16" t="inlineStr">
        <is>
          <t>6.2a</t>
        </is>
      </c>
      <c r="D4235" s="16" t="inlineStr">
        <is>
          <t>Fase 3 de septiembre</t>
        </is>
      </c>
      <c r="E4235" s="16" t="inlineStr">
        <is>
          <t>KF-M10</t>
        </is>
      </c>
      <c r="F4235" s="16" t="inlineStr">
        <is>
          <t>KF-M10-F3</t>
        </is>
      </c>
      <c r="G4235" s="16" t="inlineStr">
        <is>
          <t>B14-F3</t>
        </is>
      </c>
      <c r="H4235" s="16" t="inlineStr">
        <is>
          <t>control</t>
        </is>
      </c>
      <c r="I4235" s="16" t="inlineStr">
        <is>
          <t>KALINA</t>
        </is>
      </c>
      <c r="J4235" s="16" t="inlineStr">
        <is>
          <t>KALINA</t>
        </is>
      </c>
      <c r="K4235" s="16" t="b">
        <v>1</v>
      </c>
      <c r="L4235" s="16" t="b">
        <v>1</v>
      </c>
      <c r="M4235" s="16" t="b">
        <v>0</v>
      </c>
      <c r="N4235" s="16" t="b">
        <v>0</v>
      </c>
      <c r="O4235" s="16" t="n">
        <v>394.15</v>
      </c>
      <c r="P4235" s="16" t="n">
        <v>278.15</v>
      </c>
      <c r="Q4235" s="16" t="n">
        <v>3300</v>
      </c>
      <c r="R4235" s="16" t="n">
        <v>1070</v>
      </c>
      <c r="S4235" s="16" t="n">
        <v>0.82</v>
      </c>
      <c r="T4235" s="16" t="n">
        <v>0.9</v>
      </c>
      <c r="U4235" s="16" t="n">
        <v>0.8</v>
      </c>
      <c r="V4235" s="16" t="n">
        <v>0.85</v>
      </c>
      <c r="W4235" s="16" t="n">
        <v>0.95</v>
      </c>
      <c r="X4235" s="16" t="n">
        <v>0.95</v>
      </c>
      <c r="Y4235" s="16" t="n">
        <v>283.15</v>
      </c>
      <c r="Z4235" s="16" t="n">
        <v>9.75801750496842</v>
      </c>
      <c r="AA4235" s="16" t="n">
        <v>87.327071726947</v>
      </c>
      <c r="AB4235" s="16" t="n">
        <v>2230</v>
      </c>
      <c r="AC4235" s="16" t="n">
        <v>3.08411214953271</v>
      </c>
      <c r="AD4235" s="16" t="n"/>
      <c r="AE4235" s="16" t="n"/>
    </row>
    <row r="4236">
      <c r="A4236" s="16" t="inlineStr">
        <is>
          <t>KF-M10-F3-0035</t>
        </is>
      </c>
      <c r="B4236" s="16" t="inlineStr">
        <is>
          <t>6.2</t>
        </is>
      </c>
      <c r="C4236" s="16" t="inlineStr">
        <is>
          <t>6.2a</t>
        </is>
      </c>
      <c r="D4236" s="16" t="inlineStr">
        <is>
          <t>Fase 3 de septiembre</t>
        </is>
      </c>
      <c r="E4236" s="16" t="inlineStr">
        <is>
          <t>KF-M10</t>
        </is>
      </c>
      <c r="F4236" s="16" t="inlineStr">
        <is>
          <t>KF-M10-F3</t>
        </is>
      </c>
      <c r="G4236" s="16" t="inlineStr">
        <is>
          <t>B14-F3</t>
        </is>
      </c>
      <c r="H4236" s="16" t="inlineStr">
        <is>
          <t>control</t>
        </is>
      </c>
      <c r="I4236" s="16" t="inlineStr">
        <is>
          <t>KALINA</t>
        </is>
      </c>
      <c r="J4236" s="16" t="inlineStr">
        <is>
          <t>KALINA</t>
        </is>
      </c>
      <c r="K4236" s="16" t="b">
        <v>1</v>
      </c>
      <c r="L4236" s="16" t="b">
        <v>1</v>
      </c>
      <c r="M4236" s="16" t="b">
        <v>0</v>
      </c>
      <c r="N4236" s="16" t="b">
        <v>0</v>
      </c>
      <c r="O4236" s="16" t="n">
        <v>394.15</v>
      </c>
      <c r="P4236" s="16" t="n">
        <v>278.15</v>
      </c>
      <c r="Q4236" s="16" t="n">
        <v>3300</v>
      </c>
      <c r="R4236" s="16" t="n">
        <v>1090</v>
      </c>
      <c r="S4236" s="16" t="n">
        <v>0.82</v>
      </c>
      <c r="T4236" s="16" t="n">
        <v>0.9</v>
      </c>
      <c r="U4236" s="16" t="n">
        <v>0.8</v>
      </c>
      <c r="V4236" s="16" t="n">
        <v>0.85</v>
      </c>
      <c r="W4236" s="16" t="n">
        <v>0.95</v>
      </c>
      <c r="X4236" s="16" t="n">
        <v>0.95</v>
      </c>
      <c r="Y4236" s="16" t="n">
        <v>283.15</v>
      </c>
      <c r="Z4236" s="16" t="n">
        <v>9.607156323050759</v>
      </c>
      <c r="AA4236" s="16" t="n">
        <v>85.97445348461093</v>
      </c>
      <c r="AB4236" s="16" t="n">
        <v>2210</v>
      </c>
      <c r="AC4236" s="16" t="n">
        <v>3.027522935779817</v>
      </c>
      <c r="AD4236" s="16" t="n"/>
      <c r="AE4236" s="16" t="n"/>
    </row>
    <row r="4237">
      <c r="A4237" s="16" t="inlineStr">
        <is>
          <t>KF-M10-F3-0036</t>
        </is>
      </c>
      <c r="B4237" s="16" t="inlineStr">
        <is>
          <t>6.2</t>
        </is>
      </c>
      <c r="C4237" s="16" t="inlineStr">
        <is>
          <t>6.2a</t>
        </is>
      </c>
      <c r="D4237" s="16" t="inlineStr">
        <is>
          <t>Fase 3 de septiembre</t>
        </is>
      </c>
      <c r="E4237" s="16" t="inlineStr">
        <is>
          <t>KF-M10</t>
        </is>
      </c>
      <c r="F4237" s="16" t="inlineStr">
        <is>
          <t>KF-M10-F3</t>
        </is>
      </c>
      <c r="G4237" s="16" t="inlineStr">
        <is>
          <t>B14-F3</t>
        </is>
      </c>
      <c r="H4237" s="16" t="inlineStr">
        <is>
          <t>control</t>
        </is>
      </c>
      <c r="I4237" s="16" t="inlineStr">
        <is>
          <t>KALINA</t>
        </is>
      </c>
      <c r="J4237" s="16" t="inlineStr">
        <is>
          <t>KALINA</t>
        </is>
      </c>
      <c r="K4237" s="16" t="b">
        <v>1</v>
      </c>
      <c r="L4237" s="16" t="b">
        <v>1</v>
      </c>
      <c r="M4237" s="16" t="b">
        <v>0</v>
      </c>
      <c r="N4237" s="16" t="b">
        <v>0</v>
      </c>
      <c r="O4237" s="16" t="n">
        <v>394.15</v>
      </c>
      <c r="P4237" s="16" t="n">
        <v>278.15</v>
      </c>
      <c r="Q4237" s="16" t="n">
        <v>3300</v>
      </c>
      <c r="R4237" s="16" t="n">
        <v>1110</v>
      </c>
      <c r="S4237" s="16" t="n">
        <v>0.82</v>
      </c>
      <c r="T4237" s="16" t="n">
        <v>0.9</v>
      </c>
      <c r="U4237" s="16" t="n">
        <v>0.8</v>
      </c>
      <c r="V4237" s="16" t="n">
        <v>0.85</v>
      </c>
      <c r="W4237" s="16" t="n">
        <v>0.95</v>
      </c>
      <c r="X4237" s="16" t="n">
        <v>0.95</v>
      </c>
      <c r="Y4237" s="16" t="n">
        <v>283.15</v>
      </c>
      <c r="Z4237" s="16" t="n">
        <v>9.45867589015411</v>
      </c>
      <c r="AA4237" s="16" t="n">
        <v>84.6432748519322</v>
      </c>
      <c r="AB4237" s="16" t="n">
        <v>2190</v>
      </c>
      <c r="AC4237" s="16" t="n">
        <v>2.972972972972973</v>
      </c>
      <c r="AD4237" s="16" t="n"/>
      <c r="AE4237" s="16" t="n"/>
    </row>
    <row r="4238">
      <c r="A4238" s="16" t="inlineStr">
        <is>
          <t>KF-M10-F3-0037</t>
        </is>
      </c>
      <c r="B4238" s="16" t="inlineStr">
        <is>
          <t>6.2</t>
        </is>
      </c>
      <c r="C4238" s="16" t="inlineStr">
        <is>
          <t>6.2a</t>
        </is>
      </c>
      <c r="D4238" s="16" t="inlineStr">
        <is>
          <t>Fase 3 de septiembre</t>
        </is>
      </c>
      <c r="E4238" s="16" t="inlineStr">
        <is>
          <t>KF-M10</t>
        </is>
      </c>
      <c r="F4238" s="16" t="inlineStr">
        <is>
          <t>KF-M10-F3</t>
        </is>
      </c>
      <c r="G4238" s="16" t="inlineStr">
        <is>
          <t>B14-F3</t>
        </is>
      </c>
      <c r="H4238" s="16" t="inlineStr">
        <is>
          <t>control</t>
        </is>
      </c>
      <c r="I4238" s="16" t="inlineStr">
        <is>
          <t>KALINA</t>
        </is>
      </c>
      <c r="J4238" s="16" t="inlineStr">
        <is>
          <t>KALINA</t>
        </is>
      </c>
      <c r="K4238" s="16" t="b">
        <v>1</v>
      </c>
      <c r="L4238" s="16" t="b">
        <v>1</v>
      </c>
      <c r="M4238" s="16" t="b">
        <v>0</v>
      </c>
      <c r="N4238" s="16" t="b">
        <v>0</v>
      </c>
      <c r="O4238" s="16" t="n">
        <v>394.15</v>
      </c>
      <c r="P4238" s="16" t="n">
        <v>278.15</v>
      </c>
      <c r="Q4238" s="16" t="n">
        <v>3300</v>
      </c>
      <c r="R4238" s="16" t="n">
        <v>1150</v>
      </c>
      <c r="S4238" s="16" t="n">
        <v>0.82</v>
      </c>
      <c r="T4238" s="16" t="n">
        <v>0.9</v>
      </c>
      <c r="U4238" s="16" t="n">
        <v>0.8</v>
      </c>
      <c r="V4238" s="16" t="n">
        <v>0.85</v>
      </c>
      <c r="W4238" s="16" t="n">
        <v>0.95</v>
      </c>
      <c r="X4238" s="16" t="n">
        <v>0.95</v>
      </c>
      <c r="Y4238" s="16" t="n">
        <v>283.15</v>
      </c>
      <c r="Z4238" s="16" t="n">
        <v>9.1685502486307</v>
      </c>
      <c r="AA4238" s="16" t="n">
        <v>82.04246436950851</v>
      </c>
      <c r="AB4238" s="16" t="n">
        <v>2150</v>
      </c>
      <c r="AC4238" s="16" t="n">
        <v>2.869565217391304</v>
      </c>
      <c r="AD4238" s="16" t="n"/>
      <c r="AE4238" s="16" t="n"/>
    </row>
    <row r="4239">
      <c r="A4239" s="16" t="inlineStr">
        <is>
          <t>KF-M10-F3-0038</t>
        </is>
      </c>
      <c r="B4239" s="16" t="inlineStr">
        <is>
          <t>6.2</t>
        </is>
      </c>
      <c r="C4239" s="16" t="inlineStr">
        <is>
          <t>6.2a</t>
        </is>
      </c>
      <c r="D4239" s="16" t="inlineStr">
        <is>
          <t>Fase 3 de septiembre</t>
        </is>
      </c>
      <c r="E4239" s="16" t="inlineStr">
        <is>
          <t>KF-M10</t>
        </is>
      </c>
      <c r="F4239" s="16" t="inlineStr">
        <is>
          <t>KF-M10-F3</t>
        </is>
      </c>
      <c r="G4239" s="16" t="inlineStr">
        <is>
          <t>B14-F3</t>
        </is>
      </c>
      <c r="H4239" s="16" t="inlineStr">
        <is>
          <t>control</t>
        </is>
      </c>
      <c r="I4239" s="16" t="inlineStr">
        <is>
          <t>KALINA</t>
        </is>
      </c>
      <c r="J4239" s="16" t="inlineStr">
        <is>
          <t>KALINA</t>
        </is>
      </c>
      <c r="K4239" s="16" t="b">
        <v>1</v>
      </c>
      <c r="L4239" s="16" t="b">
        <v>1</v>
      </c>
      <c r="M4239" s="16" t="b">
        <v>0</v>
      </c>
      <c r="N4239" s="16" t="b">
        <v>0</v>
      </c>
      <c r="O4239" s="16" t="n">
        <v>394.15</v>
      </c>
      <c r="P4239" s="16" t="n">
        <v>278.15</v>
      </c>
      <c r="Q4239" s="16" t="n">
        <v>3300</v>
      </c>
      <c r="R4239" s="16" t="n">
        <v>1130</v>
      </c>
      <c r="S4239" s="16" t="n">
        <v>0.82</v>
      </c>
      <c r="T4239" s="16" t="n">
        <v>0.9</v>
      </c>
      <c r="U4239" s="16" t="n">
        <v>0.8</v>
      </c>
      <c r="V4239" s="16" t="n">
        <v>0.85</v>
      </c>
      <c r="W4239" s="16" t="n">
        <v>0.95</v>
      </c>
      <c r="X4239" s="16" t="n">
        <v>0.95</v>
      </c>
      <c r="Y4239" s="16" t="n">
        <v>283.15</v>
      </c>
      <c r="Z4239" s="16" t="n">
        <v>9.31249846834455</v>
      </c>
      <c r="AA4239" s="16" t="n">
        <v>83.33283393789198</v>
      </c>
      <c r="AB4239" s="16" t="n">
        <v>2170</v>
      </c>
      <c r="AC4239" s="16" t="n">
        <v>2.920353982300885</v>
      </c>
      <c r="AD4239" s="16" t="n"/>
      <c r="AE4239" s="16" t="n"/>
    </row>
    <row r="4240">
      <c r="A4240" s="16" t="inlineStr">
        <is>
          <t>KF-M10-F3-0039</t>
        </is>
      </c>
      <c r="B4240" s="16" t="inlineStr">
        <is>
          <t>6.2</t>
        </is>
      </c>
      <c r="C4240" s="16" t="inlineStr">
        <is>
          <t>6.2a</t>
        </is>
      </c>
      <c r="D4240" s="16" t="inlineStr">
        <is>
          <t>Fase 3 de septiembre</t>
        </is>
      </c>
      <c r="E4240" s="16" t="inlineStr">
        <is>
          <t>KF-M10</t>
        </is>
      </c>
      <c r="F4240" s="16" t="inlineStr">
        <is>
          <t>KF-M10-F3</t>
        </is>
      </c>
      <c r="G4240" s="16" t="inlineStr">
        <is>
          <t>B14-F3</t>
        </is>
      </c>
      <c r="H4240" s="16" t="inlineStr">
        <is>
          <t>control</t>
        </is>
      </c>
      <c r="I4240" s="16" t="inlineStr">
        <is>
          <t>KALINA</t>
        </is>
      </c>
      <c r="J4240" s="16" t="inlineStr">
        <is>
          <t>KALINA</t>
        </is>
      </c>
      <c r="K4240" s="16" t="b">
        <v>1</v>
      </c>
      <c r="L4240" s="16" t="b">
        <v>1</v>
      </c>
      <c r="M4240" s="16" t="b">
        <v>0</v>
      </c>
      <c r="N4240" s="16" t="b">
        <v>0</v>
      </c>
      <c r="O4240" s="16" t="n">
        <v>394.15</v>
      </c>
      <c r="P4240" s="16" t="n">
        <v>278.15</v>
      </c>
      <c r="Q4240" s="16" t="n">
        <v>3300</v>
      </c>
      <c r="R4240" s="16" t="n">
        <v>1170</v>
      </c>
      <c r="S4240" s="16" t="n">
        <v>0.82</v>
      </c>
      <c r="T4240" s="16" t="n">
        <v>0.9</v>
      </c>
      <c r="U4240" s="16" t="n">
        <v>0.8</v>
      </c>
      <c r="V4240" s="16" t="n">
        <v>0.85</v>
      </c>
      <c r="W4240" s="16" t="n">
        <v>0.95</v>
      </c>
      <c r="X4240" s="16" t="n">
        <v>0.95</v>
      </c>
      <c r="Y4240" s="16" t="n">
        <v>283.15</v>
      </c>
      <c r="Z4240" s="16" t="n">
        <v>9.02676108811322</v>
      </c>
      <c r="AA4240" s="16" t="n">
        <v>80.77153291363381</v>
      </c>
      <c r="AB4240" s="16" t="n">
        <v>2130</v>
      </c>
      <c r="AC4240" s="16" t="n">
        <v>2.820512820512821</v>
      </c>
      <c r="AD4240" s="16" t="n"/>
      <c r="AE4240" s="16" t="n"/>
    </row>
    <row r="4241">
      <c r="A4241" s="16" t="inlineStr">
        <is>
          <t>KF-M10-F3-0040</t>
        </is>
      </c>
      <c r="B4241" s="16" t="inlineStr">
        <is>
          <t>6.2</t>
        </is>
      </c>
      <c r="C4241" s="16" t="inlineStr">
        <is>
          <t>6.2a</t>
        </is>
      </c>
      <c r="D4241" s="16" t="inlineStr">
        <is>
          <t>Fase 3 de septiembre</t>
        </is>
      </c>
      <c r="E4241" s="16" t="inlineStr">
        <is>
          <t>KF-M10</t>
        </is>
      </c>
      <c r="F4241" s="16" t="inlineStr">
        <is>
          <t>KF-M10-F3</t>
        </is>
      </c>
      <c r="G4241" s="16" t="inlineStr">
        <is>
          <t>B14-F3</t>
        </is>
      </c>
      <c r="H4241" s="16" t="inlineStr">
        <is>
          <t>control</t>
        </is>
      </c>
      <c r="I4241" s="16" t="inlineStr">
        <is>
          <t>KALINA</t>
        </is>
      </c>
      <c r="J4241" s="16" t="inlineStr">
        <is>
          <t>KALINA</t>
        </is>
      </c>
      <c r="K4241" s="16" t="b">
        <v>1</v>
      </c>
      <c r="L4241" s="16" t="b">
        <v>1</v>
      </c>
      <c r="M4241" s="16" t="b">
        <v>0</v>
      </c>
      <c r="N4241" s="16" t="b">
        <v>0</v>
      </c>
      <c r="O4241" s="16" t="n">
        <v>394.15</v>
      </c>
      <c r="P4241" s="16" t="n">
        <v>278.15</v>
      </c>
      <c r="Q4241" s="16" t="n">
        <v>3300</v>
      </c>
      <c r="R4241" s="16" t="n">
        <v>1190</v>
      </c>
      <c r="S4241" s="16" t="n">
        <v>0.82</v>
      </c>
      <c r="T4241" s="16" t="n">
        <v>0.9</v>
      </c>
      <c r="U4241" s="16" t="n">
        <v>0.8</v>
      </c>
      <c r="V4241" s="16" t="n">
        <v>0.85</v>
      </c>
      <c r="W4241" s="16" t="n">
        <v>0.95</v>
      </c>
      <c r="X4241" s="16" t="n">
        <v>0.95</v>
      </c>
      <c r="Y4241" s="16" t="n">
        <v>283.15</v>
      </c>
      <c r="Z4241" s="16" t="n">
        <v>8.88706425623951</v>
      </c>
      <c r="AA4241" s="16" t="n">
        <v>79.51943718215122</v>
      </c>
      <c r="AB4241" s="16" t="n">
        <v>2110</v>
      </c>
      <c r="AC4241" s="16" t="n">
        <v>2.773109243697479</v>
      </c>
      <c r="AD4241" s="16" t="n"/>
      <c r="AE4241" s="16" t="n"/>
    </row>
    <row r="4242">
      <c r="A4242" s="16" t="inlineStr">
        <is>
          <t>KF-M10-F3-0041</t>
        </is>
      </c>
      <c r="B4242" s="16" t="inlineStr">
        <is>
          <t>6.2</t>
        </is>
      </c>
      <c r="C4242" s="16" t="inlineStr">
        <is>
          <t>6.2a</t>
        </is>
      </c>
      <c r="D4242" s="16" t="inlineStr">
        <is>
          <t>Fase 3 de septiembre</t>
        </is>
      </c>
      <c r="E4242" s="16" t="inlineStr">
        <is>
          <t>KF-M10</t>
        </is>
      </c>
      <c r="F4242" s="16" t="inlineStr">
        <is>
          <t>KF-M10-F3</t>
        </is>
      </c>
      <c r="G4242" s="16" t="inlineStr">
        <is>
          <t>B14-F3</t>
        </is>
      </c>
      <c r="H4242" s="16" t="inlineStr">
        <is>
          <t>control</t>
        </is>
      </c>
      <c r="I4242" s="16" t="inlineStr">
        <is>
          <t>KALINA</t>
        </is>
      </c>
      <c r="J4242" s="16" t="inlineStr">
        <is>
          <t>KALINA</t>
        </is>
      </c>
      <c r="K4242" s="16" t="b">
        <v>1</v>
      </c>
      <c r="L4242" s="16" t="b">
        <v>1</v>
      </c>
      <c r="M4242" s="16" t="b">
        <v>0</v>
      </c>
      <c r="N4242" s="16" t="b">
        <v>0</v>
      </c>
      <c r="O4242" s="16" t="n">
        <v>394.15</v>
      </c>
      <c r="P4242" s="16" t="n">
        <v>278.15</v>
      </c>
      <c r="Q4242" s="16" t="n">
        <v>3300</v>
      </c>
      <c r="R4242" s="16" t="n">
        <v>680</v>
      </c>
      <c r="S4242" s="16" t="n">
        <v>0.82</v>
      </c>
      <c r="T4242" s="16" t="n">
        <v>0.9</v>
      </c>
      <c r="U4242" s="16" t="n">
        <v>0.8</v>
      </c>
      <c r="V4242" s="16" t="n">
        <v>0.85</v>
      </c>
      <c r="W4242" s="16" t="n">
        <v>0.75</v>
      </c>
      <c r="X4242" s="16" t="n">
        <v>0.95</v>
      </c>
      <c r="Y4242" s="16" t="n">
        <v>283.15</v>
      </c>
      <c r="Z4242" s="16" t="n">
        <v>12.83941110397515</v>
      </c>
      <c r="AA4242" s="16" t="n">
        <v>118.5847000383363</v>
      </c>
      <c r="AB4242" s="16" t="n">
        <v>2620</v>
      </c>
      <c r="AC4242" s="16" t="n">
        <v>4.852941176470588</v>
      </c>
      <c r="AD4242" s="16" t="n"/>
      <c r="AE4242" s="16" t="n"/>
    </row>
    <row r="4243">
      <c r="A4243" s="16" t="inlineStr">
        <is>
          <t>KF-M10-F3-0042</t>
        </is>
      </c>
      <c r="B4243" s="16" t="inlineStr">
        <is>
          <t>6.2</t>
        </is>
      </c>
      <c r="C4243" s="16" t="inlineStr">
        <is>
          <t>6.2a</t>
        </is>
      </c>
      <c r="D4243" s="16" t="inlineStr">
        <is>
          <t>Fase 3 de septiembre</t>
        </is>
      </c>
      <c r="E4243" s="16" t="inlineStr">
        <is>
          <t>KF-M10</t>
        </is>
      </c>
      <c r="F4243" s="16" t="inlineStr">
        <is>
          <t>KF-M10-F3</t>
        </is>
      </c>
      <c r="G4243" s="16" t="inlineStr">
        <is>
          <t>B14-F3</t>
        </is>
      </c>
      <c r="H4243" s="16" t="inlineStr">
        <is>
          <t>control</t>
        </is>
      </c>
      <c r="I4243" s="16" t="inlineStr">
        <is>
          <t>KALINA</t>
        </is>
      </c>
      <c r="J4243" s="16" t="inlineStr">
        <is>
          <t>KALINA</t>
        </is>
      </c>
      <c r="K4243" s="16" t="b">
        <v>1</v>
      </c>
      <c r="L4243" s="16" t="b">
        <v>1</v>
      </c>
      <c r="M4243" s="16" t="b">
        <v>0</v>
      </c>
      <c r="N4243" s="16" t="b">
        <v>0</v>
      </c>
      <c r="O4243" s="16" t="n">
        <v>394.15</v>
      </c>
      <c r="P4243" s="16" t="n">
        <v>278.15</v>
      </c>
      <c r="Q4243" s="16" t="n">
        <v>3300</v>
      </c>
      <c r="R4243" s="16" t="n">
        <v>680</v>
      </c>
      <c r="S4243" s="16" t="n">
        <v>0.82</v>
      </c>
      <c r="T4243" s="16" t="n">
        <v>0.9</v>
      </c>
      <c r="U4243" s="16" t="n">
        <v>0.8</v>
      </c>
      <c r="V4243" s="16" t="n">
        <v>0.85</v>
      </c>
      <c r="W4243" s="16" t="n">
        <v>0.79</v>
      </c>
      <c r="X4243" s="16" t="n">
        <v>0.95</v>
      </c>
      <c r="Y4243" s="16" t="n">
        <v>283.15</v>
      </c>
      <c r="Z4243" s="16" t="n">
        <v>12.93598942065094</v>
      </c>
      <c r="AA4243" s="16" t="n">
        <v>118.7519966150162</v>
      </c>
      <c r="AB4243" s="16" t="n">
        <v>2620</v>
      </c>
      <c r="AC4243" s="16" t="n">
        <v>4.852941176470588</v>
      </c>
      <c r="AD4243" s="16" t="n"/>
      <c r="AE4243" s="16" t="n"/>
    </row>
    <row r="4244">
      <c r="A4244" s="16" t="inlineStr">
        <is>
          <t>KF-M10-F3-0043</t>
        </is>
      </c>
      <c r="B4244" s="16" t="inlineStr">
        <is>
          <t>6.2</t>
        </is>
      </c>
      <c r="C4244" s="16" t="inlineStr">
        <is>
          <t>6.2a</t>
        </is>
      </c>
      <c r="D4244" s="16" t="inlineStr">
        <is>
          <t>Fase 3 de septiembre</t>
        </is>
      </c>
      <c r="E4244" s="16" t="inlineStr">
        <is>
          <t>KF-M10</t>
        </is>
      </c>
      <c r="F4244" s="16" t="inlineStr">
        <is>
          <t>KF-M10-F3</t>
        </is>
      </c>
      <c r="G4244" s="16" t="inlineStr">
        <is>
          <t>B14-F3</t>
        </is>
      </c>
      <c r="H4244" s="16" t="inlineStr">
        <is>
          <t>control</t>
        </is>
      </c>
      <c r="I4244" s="16" t="inlineStr">
        <is>
          <t>KALINA</t>
        </is>
      </c>
      <c r="J4244" s="16" t="inlineStr">
        <is>
          <t>KALINA</t>
        </is>
      </c>
      <c r="K4244" s="16" t="b">
        <v>1</v>
      </c>
      <c r="L4244" s="16" t="b">
        <v>1</v>
      </c>
      <c r="M4244" s="16" t="b">
        <v>0</v>
      </c>
      <c r="N4244" s="16" t="b">
        <v>0</v>
      </c>
      <c r="O4244" s="16" t="n">
        <v>394.15</v>
      </c>
      <c r="P4244" s="16" t="n">
        <v>278.15</v>
      </c>
      <c r="Q4244" s="16" t="n">
        <v>3300</v>
      </c>
      <c r="R4244" s="16" t="n">
        <v>680</v>
      </c>
      <c r="S4244" s="16" t="n">
        <v>0.82</v>
      </c>
      <c r="T4244" s="16" t="n">
        <v>0.9</v>
      </c>
      <c r="U4244" s="16" t="n">
        <v>0.8</v>
      </c>
      <c r="V4244" s="16" t="n">
        <v>0.85</v>
      </c>
      <c r="W4244" s="16" t="n">
        <v>0.83</v>
      </c>
      <c r="X4244" s="16" t="n">
        <v>0.95</v>
      </c>
      <c r="Y4244" s="16" t="n">
        <v>283.15</v>
      </c>
      <c r="Z4244" s="16" t="n">
        <v>13.03374353173047</v>
      </c>
      <c r="AA4244" s="16" t="n">
        <v>118.9192888516774</v>
      </c>
      <c r="AB4244" s="16" t="n">
        <v>2620</v>
      </c>
      <c r="AC4244" s="16" t="n">
        <v>4.852941176470588</v>
      </c>
      <c r="AD4244" s="16" t="n"/>
      <c r="AE4244" s="16" t="n"/>
    </row>
    <row r="4245">
      <c r="A4245" s="16" t="inlineStr">
        <is>
          <t>KF-M10-F3-0044</t>
        </is>
      </c>
      <c r="B4245" s="16" t="inlineStr">
        <is>
          <t>6.2</t>
        </is>
      </c>
      <c r="C4245" s="16" t="inlineStr">
        <is>
          <t>6.2a</t>
        </is>
      </c>
      <c r="D4245" s="16" t="inlineStr">
        <is>
          <t>Fase 3 de septiembre</t>
        </is>
      </c>
      <c r="E4245" s="16" t="inlineStr">
        <is>
          <t>KF-M10</t>
        </is>
      </c>
      <c r="F4245" s="16" t="inlineStr">
        <is>
          <t>KF-M10-F3</t>
        </is>
      </c>
      <c r="G4245" s="16" t="inlineStr">
        <is>
          <t>B14-F3</t>
        </is>
      </c>
      <c r="H4245" s="16" t="inlineStr">
        <is>
          <t>control</t>
        </is>
      </c>
      <c r="I4245" s="16" t="inlineStr">
        <is>
          <t>KALINA</t>
        </is>
      </c>
      <c r="J4245" s="16" t="inlineStr">
        <is>
          <t>KALINA</t>
        </is>
      </c>
      <c r="K4245" s="16" t="b">
        <v>1</v>
      </c>
      <c r="L4245" s="16" t="b">
        <v>1</v>
      </c>
      <c r="M4245" s="16" t="b">
        <v>0</v>
      </c>
      <c r="N4245" s="16" t="b">
        <v>0</v>
      </c>
      <c r="O4245" s="16" t="n">
        <v>394.15</v>
      </c>
      <c r="P4245" s="16" t="n">
        <v>278.15</v>
      </c>
      <c r="Q4245" s="16" t="n">
        <v>3300</v>
      </c>
      <c r="R4245" s="16" t="n">
        <v>680</v>
      </c>
      <c r="S4245" s="16" t="n">
        <v>0.82</v>
      </c>
      <c r="T4245" s="16" t="n">
        <v>0.9</v>
      </c>
      <c r="U4245" s="16" t="n">
        <v>0.8</v>
      </c>
      <c r="V4245" s="16" t="n">
        <v>0.85</v>
      </c>
      <c r="W4245" s="16" t="n">
        <v>0.87</v>
      </c>
      <c r="X4245" s="16" t="n">
        <v>0.95</v>
      </c>
      <c r="Y4245" s="16" t="n">
        <v>283.15</v>
      </c>
      <c r="Z4245" s="16" t="n">
        <v>13.13269441346318</v>
      </c>
      <c r="AA4245" s="16" t="n">
        <v>119.0865753735034</v>
      </c>
      <c r="AB4245" s="16" t="n">
        <v>2620</v>
      </c>
      <c r="AC4245" s="16" t="n">
        <v>4.852941176470588</v>
      </c>
      <c r="AD4245" s="16" t="n"/>
      <c r="AE4245" s="16" t="n"/>
    </row>
    <row r="4246">
      <c r="A4246" s="16" t="inlineStr">
        <is>
          <t>KF-M10-F3-0045</t>
        </is>
      </c>
      <c r="B4246" s="16" t="inlineStr">
        <is>
          <t>6.2</t>
        </is>
      </c>
      <c r="C4246" s="16" t="inlineStr">
        <is>
          <t>6.2a</t>
        </is>
      </c>
      <c r="D4246" s="16" t="inlineStr">
        <is>
          <t>Fase 3 de septiembre</t>
        </is>
      </c>
      <c r="E4246" s="16" t="inlineStr">
        <is>
          <t>KF-M10</t>
        </is>
      </c>
      <c r="F4246" s="16" t="inlineStr">
        <is>
          <t>KF-M10-F3</t>
        </is>
      </c>
      <c r="G4246" s="16" t="inlineStr">
        <is>
          <t>B14-F3</t>
        </is>
      </c>
      <c r="H4246" s="16" t="inlineStr">
        <is>
          <t>control</t>
        </is>
      </c>
      <c r="I4246" s="16" t="inlineStr">
        <is>
          <t>KALINA</t>
        </is>
      </c>
      <c r="J4246" s="16" t="inlineStr">
        <is>
          <t>KALINA</t>
        </is>
      </c>
      <c r="K4246" s="16" t="b">
        <v>1</v>
      </c>
      <c r="L4246" s="16" t="b">
        <v>1</v>
      </c>
      <c r="M4246" s="16" t="b">
        <v>0</v>
      </c>
      <c r="N4246" s="16" t="b">
        <v>0</v>
      </c>
      <c r="O4246" s="16" t="n">
        <v>394.15</v>
      </c>
      <c r="P4246" s="16" t="n">
        <v>278.15</v>
      </c>
      <c r="Q4246" s="16" t="n">
        <v>3300</v>
      </c>
      <c r="R4246" s="16" t="n">
        <v>720</v>
      </c>
      <c r="S4246" s="16" t="n">
        <v>0.82</v>
      </c>
      <c r="T4246" s="16" t="n">
        <v>0.9</v>
      </c>
      <c r="U4246" s="16" t="n">
        <v>0.8</v>
      </c>
      <c r="V4246" s="16" t="n">
        <v>0.85</v>
      </c>
      <c r="W4246" s="16" t="n">
        <v>0.75</v>
      </c>
      <c r="X4246" s="16" t="n">
        <v>0.95</v>
      </c>
      <c r="Y4246" s="16" t="n">
        <v>283.15</v>
      </c>
      <c r="Z4246" s="16" t="n">
        <v>12.41709922722876</v>
      </c>
      <c r="AA4246" s="16" t="n">
        <v>114.6723790313092</v>
      </c>
      <c r="AB4246" s="16" t="n">
        <v>2580</v>
      </c>
      <c r="AC4246" s="16" t="n">
        <v>4.583333333333333</v>
      </c>
      <c r="AD4246" s="16" t="n"/>
      <c r="AE4246" s="16" t="n"/>
    </row>
    <row r="4247">
      <c r="A4247" s="16" t="inlineStr">
        <is>
          <t>KF-M10-F3-0046</t>
        </is>
      </c>
      <c r="B4247" s="16" t="inlineStr">
        <is>
          <t>6.2</t>
        </is>
      </c>
      <c r="C4247" s="16" t="inlineStr">
        <is>
          <t>6.2a</t>
        </is>
      </c>
      <c r="D4247" s="16" t="inlineStr">
        <is>
          <t>Fase 3 de septiembre</t>
        </is>
      </c>
      <c r="E4247" s="16" t="inlineStr">
        <is>
          <t>KF-M10</t>
        </is>
      </c>
      <c r="F4247" s="16" t="inlineStr">
        <is>
          <t>KF-M10-F3</t>
        </is>
      </c>
      <c r="G4247" s="16" t="inlineStr">
        <is>
          <t>B14-F3</t>
        </is>
      </c>
      <c r="H4247" s="16" t="inlineStr">
        <is>
          <t>control</t>
        </is>
      </c>
      <c r="I4247" s="16" t="inlineStr">
        <is>
          <t>KALINA</t>
        </is>
      </c>
      <c r="J4247" s="16" t="inlineStr">
        <is>
          <t>KALINA</t>
        </is>
      </c>
      <c r="K4247" s="16" t="b">
        <v>1</v>
      </c>
      <c r="L4247" s="16" t="b">
        <v>1</v>
      </c>
      <c r="M4247" s="16" t="b">
        <v>0</v>
      </c>
      <c r="N4247" s="16" t="b">
        <v>0</v>
      </c>
      <c r="O4247" s="16" t="n">
        <v>394.15</v>
      </c>
      <c r="P4247" s="16" t="n">
        <v>278.15</v>
      </c>
      <c r="Q4247" s="16" t="n">
        <v>3300</v>
      </c>
      <c r="R4247" s="16" t="n">
        <v>680</v>
      </c>
      <c r="S4247" s="16" t="n">
        <v>0.82</v>
      </c>
      <c r="T4247" s="16" t="n">
        <v>0.9</v>
      </c>
      <c r="U4247" s="16" t="n">
        <v>0.8</v>
      </c>
      <c r="V4247" s="16" t="n">
        <v>0.85</v>
      </c>
      <c r="W4247" s="16" t="n">
        <v>0.91</v>
      </c>
      <c r="X4247" s="16" t="n">
        <v>0.95</v>
      </c>
      <c r="Y4247" s="16" t="n">
        <v>283.15</v>
      </c>
      <c r="Z4247" s="16" t="n">
        <v>13.23286328734572</v>
      </c>
      <c r="AA4247" s="16" t="n">
        <v>119.2538525035736</v>
      </c>
      <c r="AB4247" s="16" t="n">
        <v>2620</v>
      </c>
      <c r="AC4247" s="16" t="n">
        <v>4.852941176470588</v>
      </c>
      <c r="AD4247" s="16" t="n"/>
      <c r="AE4247" s="16" t="n"/>
    </row>
    <row r="4248">
      <c r="A4248" s="16" t="inlineStr">
        <is>
          <t>KF-M10-F3-0047</t>
        </is>
      </c>
      <c r="B4248" s="16" t="inlineStr">
        <is>
          <t>6.2</t>
        </is>
      </c>
      <c r="C4248" s="16" t="inlineStr">
        <is>
          <t>6.2a</t>
        </is>
      </c>
      <c r="D4248" s="16" t="inlineStr">
        <is>
          <t>Fase 3 de septiembre</t>
        </is>
      </c>
      <c r="E4248" s="16" t="inlineStr">
        <is>
          <t>KF-M10</t>
        </is>
      </c>
      <c r="F4248" s="16" t="inlineStr">
        <is>
          <t>KF-M10-F3</t>
        </is>
      </c>
      <c r="G4248" s="16" t="inlineStr">
        <is>
          <t>B14-F3</t>
        </is>
      </c>
      <c r="H4248" s="16" t="inlineStr">
        <is>
          <t>control</t>
        </is>
      </c>
      <c r="I4248" s="16" t="inlineStr">
        <is>
          <t>KALINA</t>
        </is>
      </c>
      <c r="J4248" s="16" t="inlineStr">
        <is>
          <t>KALINA</t>
        </is>
      </c>
      <c r="K4248" s="16" t="b">
        <v>1</v>
      </c>
      <c r="L4248" s="16" t="b">
        <v>1</v>
      </c>
      <c r="M4248" s="16" t="b">
        <v>0</v>
      </c>
      <c r="N4248" s="16" t="b">
        <v>0</v>
      </c>
      <c r="O4248" s="16" t="n">
        <v>394.15</v>
      </c>
      <c r="P4248" s="16" t="n">
        <v>278.15</v>
      </c>
      <c r="Q4248" s="16" t="n">
        <v>3300</v>
      </c>
      <c r="R4248" s="16" t="n">
        <v>680</v>
      </c>
      <c r="S4248" s="16" t="n">
        <v>0.82</v>
      </c>
      <c r="T4248" s="16" t="n">
        <v>0.9</v>
      </c>
      <c r="U4248" s="16" t="n">
        <v>0.8</v>
      </c>
      <c r="V4248" s="16" t="n">
        <v>0.85</v>
      </c>
      <c r="W4248" s="16" t="n">
        <v>0.95</v>
      </c>
      <c r="X4248" s="16" t="n">
        <v>0.95</v>
      </c>
      <c r="Y4248" s="16" t="n">
        <v>283.15</v>
      </c>
      <c r="Z4248" s="16" t="n">
        <v>13.33427260902227</v>
      </c>
      <c r="AA4248" s="16" t="n">
        <v>119.4211230908827</v>
      </c>
      <c r="AB4248" s="16" t="n">
        <v>2620</v>
      </c>
      <c r="AC4248" s="16" t="n">
        <v>4.852941176470588</v>
      </c>
      <c r="AD4248" s="16" t="n"/>
      <c r="AE4248" s="16" t="n"/>
    </row>
    <row r="4249">
      <c r="A4249" s="16" t="inlineStr">
        <is>
          <t>KF-M10-F3-0048</t>
        </is>
      </c>
      <c r="B4249" s="16" t="inlineStr">
        <is>
          <t>6.2</t>
        </is>
      </c>
      <c r="C4249" s="16" t="inlineStr">
        <is>
          <t>6.2a</t>
        </is>
      </c>
      <c r="D4249" s="16" t="inlineStr">
        <is>
          <t>Fase 3 de septiembre</t>
        </is>
      </c>
      <c r="E4249" s="16" t="inlineStr">
        <is>
          <t>KF-M10</t>
        </is>
      </c>
      <c r="F4249" s="16" t="inlineStr">
        <is>
          <t>KF-M10-F3</t>
        </is>
      </c>
      <c r="G4249" s="16" t="inlineStr">
        <is>
          <t>B14-F3</t>
        </is>
      </c>
      <c r="H4249" s="16" t="inlineStr">
        <is>
          <t>control</t>
        </is>
      </c>
      <c r="I4249" s="16" t="inlineStr">
        <is>
          <t>KALINA</t>
        </is>
      </c>
      <c r="J4249" s="16" t="inlineStr">
        <is>
          <t>KALINA</t>
        </is>
      </c>
      <c r="K4249" s="16" t="b">
        <v>1</v>
      </c>
      <c r="L4249" s="16" t="b">
        <v>1</v>
      </c>
      <c r="M4249" s="16" t="b">
        <v>0</v>
      </c>
      <c r="N4249" s="16" t="b">
        <v>0</v>
      </c>
      <c r="O4249" s="16" t="n">
        <v>394.15</v>
      </c>
      <c r="P4249" s="16" t="n">
        <v>278.15</v>
      </c>
      <c r="Q4249" s="16" t="n">
        <v>3300</v>
      </c>
      <c r="R4249" s="16" t="n">
        <v>720</v>
      </c>
      <c r="S4249" s="16" t="n">
        <v>0.82</v>
      </c>
      <c r="T4249" s="16" t="n">
        <v>0.9</v>
      </c>
      <c r="U4249" s="16" t="n">
        <v>0.8</v>
      </c>
      <c r="V4249" s="16" t="n">
        <v>0.85</v>
      </c>
      <c r="W4249" s="16" t="n">
        <v>0.79</v>
      </c>
      <c r="X4249" s="16" t="n">
        <v>0.95</v>
      </c>
      <c r="Y4249" s="16" t="n">
        <v>283.15</v>
      </c>
      <c r="Z4249" s="16" t="n">
        <v>12.51048390967578</v>
      </c>
      <c r="AA4249" s="16" t="n">
        <v>114.8341533477041</v>
      </c>
      <c r="AB4249" s="16" t="n">
        <v>2580</v>
      </c>
      <c r="AC4249" s="16" t="n">
        <v>4.583333333333333</v>
      </c>
      <c r="AD4249" s="16" t="n"/>
      <c r="AE4249" s="16" t="n"/>
    </row>
    <row r="4250">
      <c r="A4250" s="16" t="inlineStr">
        <is>
          <t>KF-M10-F3-0049</t>
        </is>
      </c>
      <c r="B4250" s="16" t="inlineStr">
        <is>
          <t>6.2</t>
        </is>
      </c>
      <c r="C4250" s="16" t="inlineStr">
        <is>
          <t>6.2a</t>
        </is>
      </c>
      <c r="D4250" s="16" t="inlineStr">
        <is>
          <t>Fase 3 de septiembre</t>
        </is>
      </c>
      <c r="E4250" s="16" t="inlineStr">
        <is>
          <t>KF-M10</t>
        </is>
      </c>
      <c r="F4250" s="16" t="inlineStr">
        <is>
          <t>KF-M10-F3</t>
        </is>
      </c>
      <c r="G4250" s="16" t="inlineStr">
        <is>
          <t>B14-F3</t>
        </is>
      </c>
      <c r="H4250" s="16" t="inlineStr">
        <is>
          <t>control</t>
        </is>
      </c>
      <c r="I4250" s="16" t="inlineStr">
        <is>
          <t>KALINA</t>
        </is>
      </c>
      <c r="J4250" s="16" t="inlineStr">
        <is>
          <t>KALINA</t>
        </is>
      </c>
      <c r="K4250" s="16" t="b">
        <v>1</v>
      </c>
      <c r="L4250" s="16" t="b">
        <v>1</v>
      </c>
      <c r="M4250" s="16" t="b">
        <v>0</v>
      </c>
      <c r="N4250" s="16" t="b">
        <v>0</v>
      </c>
      <c r="O4250" s="16" t="n">
        <v>394.15</v>
      </c>
      <c r="P4250" s="16" t="n">
        <v>278.15</v>
      </c>
      <c r="Q4250" s="16" t="n">
        <v>3300</v>
      </c>
      <c r="R4250" s="16" t="n">
        <v>720</v>
      </c>
      <c r="S4250" s="16" t="n">
        <v>0.82</v>
      </c>
      <c r="T4250" s="16" t="n">
        <v>0.9</v>
      </c>
      <c r="U4250" s="16" t="n">
        <v>0.8</v>
      </c>
      <c r="V4250" s="16" t="n">
        <v>0.85</v>
      </c>
      <c r="W4250" s="16" t="n">
        <v>0.83</v>
      </c>
      <c r="X4250" s="16" t="n">
        <v>0.95</v>
      </c>
      <c r="Y4250" s="16" t="n">
        <v>283.15</v>
      </c>
      <c r="Z4250" s="16" t="n">
        <v>12.60500471830827</v>
      </c>
      <c r="AA4250" s="16" t="n">
        <v>114.9959186952134</v>
      </c>
      <c r="AB4250" s="16" t="n">
        <v>2580</v>
      </c>
      <c r="AC4250" s="16" t="n">
        <v>4.583333333333333</v>
      </c>
      <c r="AD4250" s="16" t="n"/>
      <c r="AE4250" s="16" t="n"/>
    </row>
    <row r="4251">
      <c r="A4251" s="16" t="inlineStr">
        <is>
          <t>KF-M10-F3-0050</t>
        </is>
      </c>
      <c r="B4251" s="16" t="inlineStr">
        <is>
          <t>6.2</t>
        </is>
      </c>
      <c r="C4251" s="16" t="inlineStr">
        <is>
          <t>6.2a</t>
        </is>
      </c>
      <c r="D4251" s="16" t="inlineStr">
        <is>
          <t>Fase 3 de septiembre</t>
        </is>
      </c>
      <c r="E4251" s="16" t="inlineStr">
        <is>
          <t>KF-M10</t>
        </is>
      </c>
      <c r="F4251" s="16" t="inlineStr">
        <is>
          <t>KF-M10-F3</t>
        </is>
      </c>
      <c r="G4251" s="16" t="inlineStr">
        <is>
          <t>B14-F3</t>
        </is>
      </c>
      <c r="H4251" s="16" t="inlineStr">
        <is>
          <t>control</t>
        </is>
      </c>
      <c r="I4251" s="16" t="inlineStr">
        <is>
          <t>KALINA</t>
        </is>
      </c>
      <c r="J4251" s="16" t="inlineStr">
        <is>
          <t>KALINA</t>
        </is>
      </c>
      <c r="K4251" s="16" t="b">
        <v>1</v>
      </c>
      <c r="L4251" s="16" t="b">
        <v>1</v>
      </c>
      <c r="M4251" s="16" t="b">
        <v>0</v>
      </c>
      <c r="N4251" s="16" t="b">
        <v>0</v>
      </c>
      <c r="O4251" s="16" t="n">
        <v>394.15</v>
      </c>
      <c r="P4251" s="16" t="n">
        <v>278.15</v>
      </c>
      <c r="Q4251" s="16" t="n">
        <v>3300</v>
      </c>
      <c r="R4251" s="16" t="n">
        <v>720</v>
      </c>
      <c r="S4251" s="16" t="n">
        <v>0.82</v>
      </c>
      <c r="T4251" s="16" t="n">
        <v>0.9</v>
      </c>
      <c r="U4251" s="16" t="n">
        <v>0.8</v>
      </c>
      <c r="V4251" s="16" t="n">
        <v>0.85</v>
      </c>
      <c r="W4251" s="16" t="n">
        <v>0.87</v>
      </c>
      <c r="X4251" s="16" t="n">
        <v>0.95</v>
      </c>
      <c r="Y4251" s="16" t="n">
        <v>283.15</v>
      </c>
      <c r="Z4251" s="16" t="n">
        <v>12.70068222442066</v>
      </c>
      <c r="AA4251" s="16" t="n">
        <v>115.1576765457555</v>
      </c>
      <c r="AB4251" s="16" t="n">
        <v>2580</v>
      </c>
      <c r="AC4251" s="16" t="n">
        <v>4.583333333333333</v>
      </c>
      <c r="AD4251" s="16" t="n"/>
      <c r="AE4251" s="16" t="n"/>
    </row>
    <row r="4252">
      <c r="A4252" s="16" t="inlineStr">
        <is>
          <t>KF-M10-F3-0051</t>
        </is>
      </c>
      <c r="B4252" s="16" t="inlineStr">
        <is>
          <t>6.2</t>
        </is>
      </c>
      <c r="C4252" s="16" t="inlineStr">
        <is>
          <t>6.2a</t>
        </is>
      </c>
      <c r="D4252" s="16" t="inlineStr">
        <is>
          <t>Fase 3 de septiembre</t>
        </is>
      </c>
      <c r="E4252" s="16" t="inlineStr">
        <is>
          <t>KF-M10</t>
        </is>
      </c>
      <c r="F4252" s="16" t="inlineStr">
        <is>
          <t>KF-M10-F3</t>
        </is>
      </c>
      <c r="G4252" s="16" t="inlineStr">
        <is>
          <t>B14-F3</t>
        </is>
      </c>
      <c r="H4252" s="16" t="inlineStr">
        <is>
          <t>control</t>
        </is>
      </c>
      <c r="I4252" s="16" t="inlineStr">
        <is>
          <t>KALINA</t>
        </is>
      </c>
      <c r="J4252" s="16" t="inlineStr">
        <is>
          <t>KALINA</t>
        </is>
      </c>
      <c r="K4252" s="16" t="b">
        <v>1</v>
      </c>
      <c r="L4252" s="16" t="b">
        <v>1</v>
      </c>
      <c r="M4252" s="16" t="b">
        <v>0</v>
      </c>
      <c r="N4252" s="16" t="b">
        <v>0</v>
      </c>
      <c r="O4252" s="16" t="n">
        <v>394.15</v>
      </c>
      <c r="P4252" s="16" t="n">
        <v>278.15</v>
      </c>
      <c r="Q4252" s="16" t="n">
        <v>3300</v>
      </c>
      <c r="R4252" s="16" t="n">
        <v>760</v>
      </c>
      <c r="S4252" s="16" t="n">
        <v>0.82</v>
      </c>
      <c r="T4252" s="16" t="n">
        <v>0.9</v>
      </c>
      <c r="U4252" s="16" t="n">
        <v>0.8</v>
      </c>
      <c r="V4252" s="16" t="n">
        <v>0.85</v>
      </c>
      <c r="W4252" s="16" t="n">
        <v>0.75</v>
      </c>
      <c r="X4252" s="16" t="n">
        <v>0.95</v>
      </c>
      <c r="Y4252" s="16" t="n">
        <v>283.15</v>
      </c>
      <c r="Z4252" s="16" t="n">
        <v>12.01454900587767</v>
      </c>
      <c r="AA4252" s="16" t="n">
        <v>110.9440219728876</v>
      </c>
      <c r="AB4252" s="16" t="n">
        <v>2540</v>
      </c>
      <c r="AC4252" s="16" t="n">
        <v>4.342105263157895</v>
      </c>
      <c r="AD4252" s="16" t="n"/>
      <c r="AE4252" s="16" t="n"/>
    </row>
    <row r="4253">
      <c r="A4253" s="16" t="inlineStr">
        <is>
          <t>KF-M10-F3-0052</t>
        </is>
      </c>
      <c r="B4253" s="16" t="inlineStr">
        <is>
          <t>6.2</t>
        </is>
      </c>
      <c r="C4253" s="16" t="inlineStr">
        <is>
          <t>6.2a</t>
        </is>
      </c>
      <c r="D4253" s="16" t="inlineStr">
        <is>
          <t>Fase 3 de septiembre</t>
        </is>
      </c>
      <c r="E4253" s="16" t="inlineStr">
        <is>
          <t>KF-M10</t>
        </is>
      </c>
      <c r="F4253" s="16" t="inlineStr">
        <is>
          <t>KF-M10-F3</t>
        </is>
      </c>
      <c r="G4253" s="16" t="inlineStr">
        <is>
          <t>B14-F3</t>
        </is>
      </c>
      <c r="H4253" s="16" t="inlineStr">
        <is>
          <t>control</t>
        </is>
      </c>
      <c r="I4253" s="16" t="inlineStr">
        <is>
          <t>KALINA</t>
        </is>
      </c>
      <c r="J4253" s="16" t="inlineStr">
        <is>
          <t>KALINA</t>
        </is>
      </c>
      <c r="K4253" s="16" t="b">
        <v>1</v>
      </c>
      <c r="L4253" s="16" t="b">
        <v>1</v>
      </c>
      <c r="M4253" s="16" t="b">
        <v>0</v>
      </c>
      <c r="N4253" s="16" t="b">
        <v>0</v>
      </c>
      <c r="O4253" s="16" t="n">
        <v>394.15</v>
      </c>
      <c r="P4253" s="16" t="n">
        <v>278.15</v>
      </c>
      <c r="Q4253" s="16" t="n">
        <v>3300</v>
      </c>
      <c r="R4253" s="16" t="n">
        <v>720</v>
      </c>
      <c r="S4253" s="16" t="n">
        <v>0.82</v>
      </c>
      <c r="T4253" s="16" t="n">
        <v>0.9</v>
      </c>
      <c r="U4253" s="16" t="n">
        <v>0.8</v>
      </c>
      <c r="V4253" s="16" t="n">
        <v>0.85</v>
      </c>
      <c r="W4253" s="16" t="n">
        <v>0.95</v>
      </c>
      <c r="X4253" s="16" t="n">
        <v>0.95</v>
      </c>
      <c r="Y4253" s="16" t="n">
        <v>283.15</v>
      </c>
      <c r="Z4253" s="16" t="n">
        <v>12.89558976779891</v>
      </c>
      <c r="AA4253" s="16" t="n">
        <v>115.4811548580232</v>
      </c>
      <c r="AB4253" s="16" t="n">
        <v>2580</v>
      </c>
      <c r="AC4253" s="16" t="n">
        <v>4.583333333333333</v>
      </c>
      <c r="AD4253" s="16" t="n"/>
      <c r="AE4253" s="16" t="n"/>
    </row>
    <row r="4254">
      <c r="A4254" s="16" t="inlineStr">
        <is>
          <t>KF-M10-F3-0053</t>
        </is>
      </c>
      <c r="B4254" s="16" t="inlineStr">
        <is>
          <t>6.2</t>
        </is>
      </c>
      <c r="C4254" s="16" t="inlineStr">
        <is>
          <t>6.2a</t>
        </is>
      </c>
      <c r="D4254" s="16" t="inlineStr">
        <is>
          <t>Fase 3 de septiembre</t>
        </is>
      </c>
      <c r="E4254" s="16" t="inlineStr">
        <is>
          <t>KF-M10</t>
        </is>
      </c>
      <c r="F4254" s="16" t="inlineStr">
        <is>
          <t>KF-M10-F3</t>
        </is>
      </c>
      <c r="G4254" s="16" t="inlineStr">
        <is>
          <t>B14-F3</t>
        </is>
      </c>
      <c r="H4254" s="16" t="inlineStr">
        <is>
          <t>control</t>
        </is>
      </c>
      <c r="I4254" s="16" t="inlineStr">
        <is>
          <t>KALINA</t>
        </is>
      </c>
      <c r="J4254" s="16" t="inlineStr">
        <is>
          <t>KALINA</t>
        </is>
      </c>
      <c r="K4254" s="16" t="b">
        <v>1</v>
      </c>
      <c r="L4254" s="16" t="b">
        <v>1</v>
      </c>
      <c r="M4254" s="16" t="b">
        <v>0</v>
      </c>
      <c r="N4254" s="16" t="b">
        <v>0</v>
      </c>
      <c r="O4254" s="16" t="n">
        <v>394.15</v>
      </c>
      <c r="P4254" s="16" t="n">
        <v>278.15</v>
      </c>
      <c r="Q4254" s="16" t="n">
        <v>3300</v>
      </c>
      <c r="R4254" s="16" t="n">
        <v>720</v>
      </c>
      <c r="S4254" s="16" t="n">
        <v>0.82</v>
      </c>
      <c r="T4254" s="16" t="n">
        <v>0.9</v>
      </c>
      <c r="U4254" s="16" t="n">
        <v>0.8</v>
      </c>
      <c r="V4254" s="16" t="n">
        <v>0.85</v>
      </c>
      <c r="W4254" s="16" t="n">
        <v>0.91</v>
      </c>
      <c r="X4254" s="16" t="n">
        <v>0.95</v>
      </c>
      <c r="Y4254" s="16" t="n">
        <v>283.15</v>
      </c>
      <c r="Z4254" s="16" t="n">
        <v>12.79753675411507</v>
      </c>
      <c r="AA4254" s="16" t="n">
        <v>115.3194217191052</v>
      </c>
      <c r="AB4254" s="16" t="n">
        <v>2580</v>
      </c>
      <c r="AC4254" s="16" t="n">
        <v>4.583333333333333</v>
      </c>
      <c r="AD4254" s="16" t="n"/>
      <c r="AE4254" s="16" t="n"/>
    </row>
    <row r="4255">
      <c r="A4255" s="16" t="inlineStr">
        <is>
          <t>KF-M10-F3-0054</t>
        </is>
      </c>
      <c r="B4255" s="16" t="inlineStr">
        <is>
          <t>6.2</t>
        </is>
      </c>
      <c r="C4255" s="16" t="inlineStr">
        <is>
          <t>6.2a</t>
        </is>
      </c>
      <c r="D4255" s="16" t="inlineStr">
        <is>
          <t>Fase 3 de septiembre</t>
        </is>
      </c>
      <c r="E4255" s="16" t="inlineStr">
        <is>
          <t>KF-M10</t>
        </is>
      </c>
      <c r="F4255" s="16" t="inlineStr">
        <is>
          <t>KF-M10-F3</t>
        </is>
      </c>
      <c r="G4255" s="16" t="inlineStr">
        <is>
          <t>B14-F3</t>
        </is>
      </c>
      <c r="H4255" s="16" t="inlineStr">
        <is>
          <t>control</t>
        </is>
      </c>
      <c r="I4255" s="16" t="inlineStr">
        <is>
          <t>KALINA</t>
        </is>
      </c>
      <c r="J4255" s="16" t="inlineStr">
        <is>
          <t>KALINA</t>
        </is>
      </c>
      <c r="K4255" s="16" t="b">
        <v>1</v>
      </c>
      <c r="L4255" s="16" t="b">
        <v>1</v>
      </c>
      <c r="M4255" s="16" t="b">
        <v>0</v>
      </c>
      <c r="N4255" s="16" t="b">
        <v>0</v>
      </c>
      <c r="O4255" s="16" t="n">
        <v>394.15</v>
      </c>
      <c r="P4255" s="16" t="n">
        <v>278.15</v>
      </c>
      <c r="Q4255" s="16" t="n">
        <v>3300</v>
      </c>
      <c r="R4255" s="16" t="n">
        <v>760</v>
      </c>
      <c r="S4255" s="16" t="n">
        <v>0.82</v>
      </c>
      <c r="T4255" s="16" t="n">
        <v>0.9</v>
      </c>
      <c r="U4255" s="16" t="n">
        <v>0.8</v>
      </c>
      <c r="V4255" s="16" t="n">
        <v>0.85</v>
      </c>
      <c r="W4255" s="16" t="n">
        <v>0.79</v>
      </c>
      <c r="X4255" s="16" t="n">
        <v>0.95</v>
      </c>
      <c r="Y4255" s="16" t="n">
        <v>283.15</v>
      </c>
      <c r="Z4255" s="16" t="n">
        <v>12.10488804272571</v>
      </c>
      <c r="AA4255" s="16" t="n">
        <v>111.1005084852433</v>
      </c>
      <c r="AB4255" s="16" t="n">
        <v>2540</v>
      </c>
      <c r="AC4255" s="16" t="n">
        <v>4.342105263157895</v>
      </c>
      <c r="AD4255" s="16" t="n"/>
      <c r="AE4255" s="16" t="n"/>
    </row>
    <row r="4256">
      <c r="A4256" s="16" t="inlineStr">
        <is>
          <t>KF-M10-F3-0055</t>
        </is>
      </c>
      <c r="B4256" s="16" t="inlineStr">
        <is>
          <t>6.2</t>
        </is>
      </c>
      <c r="C4256" s="16" t="inlineStr">
        <is>
          <t>6.2a</t>
        </is>
      </c>
      <c r="D4256" s="16" t="inlineStr">
        <is>
          <t>Fase 3 de septiembre</t>
        </is>
      </c>
      <c r="E4256" s="16" t="inlineStr">
        <is>
          <t>KF-M10</t>
        </is>
      </c>
      <c r="F4256" s="16" t="inlineStr">
        <is>
          <t>KF-M10-F3</t>
        </is>
      </c>
      <c r="G4256" s="16" t="inlineStr">
        <is>
          <t>B14-F3</t>
        </is>
      </c>
      <c r="H4256" s="16" t="inlineStr">
        <is>
          <t>control</t>
        </is>
      </c>
      <c r="I4256" s="16" t="inlineStr">
        <is>
          <t>KALINA</t>
        </is>
      </c>
      <c r="J4256" s="16" t="inlineStr">
        <is>
          <t>KALINA</t>
        </is>
      </c>
      <c r="K4256" s="16" t="b">
        <v>1</v>
      </c>
      <c r="L4256" s="16" t="b">
        <v>1</v>
      </c>
      <c r="M4256" s="16" t="b">
        <v>0</v>
      </c>
      <c r="N4256" s="16" t="b">
        <v>0</v>
      </c>
      <c r="O4256" s="16" t="n">
        <v>394.15</v>
      </c>
      <c r="P4256" s="16" t="n">
        <v>278.15</v>
      </c>
      <c r="Q4256" s="16" t="n">
        <v>3300</v>
      </c>
      <c r="R4256" s="16" t="n">
        <v>760</v>
      </c>
      <c r="S4256" s="16" t="n">
        <v>0.82</v>
      </c>
      <c r="T4256" s="16" t="n">
        <v>0.9</v>
      </c>
      <c r="U4256" s="16" t="n">
        <v>0.8</v>
      </c>
      <c r="V4256" s="16" t="n">
        <v>0.85</v>
      </c>
      <c r="W4256" s="16" t="n">
        <v>0.83</v>
      </c>
      <c r="X4256" s="16" t="n">
        <v>0.95</v>
      </c>
      <c r="Y4256" s="16" t="n">
        <v>283.15</v>
      </c>
      <c r="Z4256" s="16" t="n">
        <v>12.19632565300142</v>
      </c>
      <c r="AA4256" s="16" t="n">
        <v>111.2569839830188</v>
      </c>
      <c r="AB4256" s="16" t="n">
        <v>2540</v>
      </c>
      <c r="AC4256" s="16" t="n">
        <v>4.342105263157895</v>
      </c>
      <c r="AD4256" s="16" t="n"/>
      <c r="AE4256" s="16" t="n"/>
    </row>
    <row r="4257">
      <c r="A4257" s="16" t="inlineStr">
        <is>
          <t>KF-M10-F3-0056</t>
        </is>
      </c>
      <c r="B4257" s="16" t="inlineStr">
        <is>
          <t>6.2</t>
        </is>
      </c>
      <c r="C4257" s="16" t="inlineStr">
        <is>
          <t>6.2a</t>
        </is>
      </c>
      <c r="D4257" s="16" t="inlineStr">
        <is>
          <t>Fase 3 de septiembre</t>
        </is>
      </c>
      <c r="E4257" s="16" t="inlineStr">
        <is>
          <t>KF-M10</t>
        </is>
      </c>
      <c r="F4257" s="16" t="inlineStr">
        <is>
          <t>KF-M10-F3</t>
        </is>
      </c>
      <c r="G4257" s="16" t="inlineStr">
        <is>
          <t>B14-F3</t>
        </is>
      </c>
      <c r="H4257" s="16" t="inlineStr">
        <is>
          <t>control</t>
        </is>
      </c>
      <c r="I4257" s="16" t="inlineStr">
        <is>
          <t>KALINA</t>
        </is>
      </c>
      <c r="J4257" s="16" t="inlineStr">
        <is>
          <t>KALINA</t>
        </is>
      </c>
      <c r="K4257" s="16" t="b">
        <v>1</v>
      </c>
      <c r="L4257" s="16" t="b">
        <v>1</v>
      </c>
      <c r="M4257" s="16" t="b">
        <v>0</v>
      </c>
      <c r="N4257" s="16" t="b">
        <v>0</v>
      </c>
      <c r="O4257" s="16" t="n">
        <v>394.15</v>
      </c>
      <c r="P4257" s="16" t="n">
        <v>278.15</v>
      </c>
      <c r="Q4257" s="16" t="n">
        <v>3300</v>
      </c>
      <c r="R4257" s="16" t="n">
        <v>760</v>
      </c>
      <c r="S4257" s="16" t="n">
        <v>0.82</v>
      </c>
      <c r="T4257" s="16" t="n">
        <v>0.9</v>
      </c>
      <c r="U4257" s="16" t="n">
        <v>0.8</v>
      </c>
      <c r="V4257" s="16" t="n">
        <v>0.85</v>
      </c>
      <c r="W4257" s="16" t="n">
        <v>0.87</v>
      </c>
      <c r="X4257" s="16" t="n">
        <v>0.95</v>
      </c>
      <c r="Y4257" s="16" t="n">
        <v>283.15</v>
      </c>
      <c r="Z4257" s="16" t="n">
        <v>12.2888812124975</v>
      </c>
      <c r="AA4257" s="16" t="n">
        <v>111.413445239158</v>
      </c>
      <c r="AB4257" s="16" t="n">
        <v>2540</v>
      </c>
      <c r="AC4257" s="16" t="n">
        <v>4.342105263157895</v>
      </c>
      <c r="AD4257" s="16" t="n"/>
      <c r="AE4257" s="16" t="n"/>
    </row>
    <row r="4258">
      <c r="A4258" s="16" t="inlineStr">
        <is>
          <t>KF-M10-F3-0057</t>
        </is>
      </c>
      <c r="B4258" s="16" t="inlineStr">
        <is>
          <t>6.2</t>
        </is>
      </c>
      <c r="C4258" s="16" t="inlineStr">
        <is>
          <t>6.2a</t>
        </is>
      </c>
      <c r="D4258" s="16" t="inlineStr">
        <is>
          <t>Fase 3 de septiembre</t>
        </is>
      </c>
      <c r="E4258" s="16" t="inlineStr">
        <is>
          <t>KF-M10</t>
        </is>
      </c>
      <c r="F4258" s="16" t="inlineStr">
        <is>
          <t>KF-M10-F3</t>
        </is>
      </c>
      <c r="G4258" s="16" t="inlineStr">
        <is>
          <t>B14-F3</t>
        </is>
      </c>
      <c r="H4258" s="16" t="inlineStr">
        <is>
          <t>control</t>
        </is>
      </c>
      <c r="I4258" s="16" t="inlineStr">
        <is>
          <t>KALINA</t>
        </is>
      </c>
      <c r="J4258" s="16" t="inlineStr">
        <is>
          <t>KALINA</t>
        </is>
      </c>
      <c r="K4258" s="16" t="b">
        <v>1</v>
      </c>
      <c r="L4258" s="16" t="b">
        <v>1</v>
      </c>
      <c r="M4258" s="16" t="b">
        <v>0</v>
      </c>
      <c r="N4258" s="16" t="b">
        <v>0</v>
      </c>
      <c r="O4258" s="16" t="n">
        <v>394.15</v>
      </c>
      <c r="P4258" s="16" t="n">
        <v>278.15</v>
      </c>
      <c r="Q4258" s="16" t="n">
        <v>3300</v>
      </c>
      <c r="R4258" s="16" t="n">
        <v>760</v>
      </c>
      <c r="S4258" s="16" t="n">
        <v>0.82</v>
      </c>
      <c r="T4258" s="16" t="n">
        <v>0.9</v>
      </c>
      <c r="U4258" s="16" t="n">
        <v>0.8</v>
      </c>
      <c r="V4258" s="16" t="n">
        <v>0.85</v>
      </c>
      <c r="W4258" s="16" t="n">
        <v>0.91</v>
      </c>
      <c r="X4258" s="16" t="n">
        <v>0.95</v>
      </c>
      <c r="Y4258" s="16" t="n">
        <v>283.15</v>
      </c>
      <c r="Z4258" s="16" t="n">
        <v>12.38257496058692</v>
      </c>
      <c r="AA4258" s="16" t="n">
        <v>111.5698926622025</v>
      </c>
      <c r="AB4258" s="16" t="n">
        <v>2540</v>
      </c>
      <c r="AC4258" s="16" t="n">
        <v>4.342105263157895</v>
      </c>
      <c r="AD4258" s="16" t="n"/>
      <c r="AE4258" s="16" t="n"/>
    </row>
    <row r="4259">
      <c r="A4259" s="16" t="inlineStr">
        <is>
          <t>KF-M10-F3-0058</t>
        </is>
      </c>
      <c r="B4259" s="16" t="inlineStr">
        <is>
          <t>6.2</t>
        </is>
      </c>
      <c r="C4259" s="16" t="inlineStr">
        <is>
          <t>6.2a</t>
        </is>
      </c>
      <c r="D4259" s="16" t="inlineStr">
        <is>
          <t>Fase 3 de septiembre</t>
        </is>
      </c>
      <c r="E4259" s="16" t="inlineStr">
        <is>
          <t>KF-M10</t>
        </is>
      </c>
      <c r="F4259" s="16" t="inlineStr">
        <is>
          <t>KF-M10-F3</t>
        </is>
      </c>
      <c r="G4259" s="16" t="inlineStr">
        <is>
          <t>B14-F3</t>
        </is>
      </c>
      <c r="H4259" s="16" t="inlineStr">
        <is>
          <t>control</t>
        </is>
      </c>
      <c r="I4259" s="16" t="inlineStr">
        <is>
          <t>KALINA</t>
        </is>
      </c>
      <c r="J4259" s="16" t="inlineStr">
        <is>
          <t>KALINA</t>
        </is>
      </c>
      <c r="K4259" s="16" t="b">
        <v>1</v>
      </c>
      <c r="L4259" s="16" t="b">
        <v>1</v>
      </c>
      <c r="M4259" s="16" t="b">
        <v>0</v>
      </c>
      <c r="N4259" s="16" t="b">
        <v>0</v>
      </c>
      <c r="O4259" s="16" t="n">
        <v>394.15</v>
      </c>
      <c r="P4259" s="16" t="n">
        <v>278.15</v>
      </c>
      <c r="Q4259" s="16" t="n">
        <v>3300</v>
      </c>
      <c r="R4259" s="16" t="n">
        <v>800</v>
      </c>
      <c r="S4259" s="16" t="n">
        <v>0.82</v>
      </c>
      <c r="T4259" s="16" t="n">
        <v>0.9</v>
      </c>
      <c r="U4259" s="16" t="n">
        <v>0.8</v>
      </c>
      <c r="V4259" s="16" t="n">
        <v>0.85</v>
      </c>
      <c r="W4259" s="16" t="n">
        <v>0.75</v>
      </c>
      <c r="X4259" s="16" t="n">
        <v>0.95</v>
      </c>
      <c r="Y4259" s="16" t="n">
        <v>283.15</v>
      </c>
      <c r="Z4259" s="16" t="n">
        <v>11.62985863251361</v>
      </c>
      <c r="AA4259" s="16" t="n">
        <v>107.3818843882582</v>
      </c>
      <c r="AB4259" s="16" t="n">
        <v>2500</v>
      </c>
      <c r="AC4259" s="16" t="n">
        <v>4.125</v>
      </c>
      <c r="AD4259" s="16" t="n"/>
      <c r="AE4259" s="16" t="n"/>
    </row>
    <row r="4260">
      <c r="A4260" s="16" t="inlineStr">
        <is>
          <t>KF-M10-F3-0059</t>
        </is>
      </c>
      <c r="B4260" s="16" t="inlineStr">
        <is>
          <t>6.2</t>
        </is>
      </c>
      <c r="C4260" s="16" t="inlineStr">
        <is>
          <t>6.2a</t>
        </is>
      </c>
      <c r="D4260" s="16" t="inlineStr">
        <is>
          <t>Fase 3 de septiembre</t>
        </is>
      </c>
      <c r="E4260" s="16" t="inlineStr">
        <is>
          <t>KF-M10</t>
        </is>
      </c>
      <c r="F4260" s="16" t="inlineStr">
        <is>
          <t>KF-M10-F3</t>
        </is>
      </c>
      <c r="G4260" s="16" t="inlineStr">
        <is>
          <t>B14-F3</t>
        </is>
      </c>
      <c r="H4260" s="16" t="inlineStr">
        <is>
          <t>control</t>
        </is>
      </c>
      <c r="I4260" s="16" t="inlineStr">
        <is>
          <t>KALINA</t>
        </is>
      </c>
      <c r="J4260" s="16" t="inlineStr">
        <is>
          <t>KALINA</t>
        </is>
      </c>
      <c r="K4260" s="16" t="b">
        <v>1</v>
      </c>
      <c r="L4260" s="16" t="b">
        <v>1</v>
      </c>
      <c r="M4260" s="16" t="b">
        <v>0</v>
      </c>
      <c r="N4260" s="16" t="b">
        <v>0</v>
      </c>
      <c r="O4260" s="16" t="n">
        <v>394.15</v>
      </c>
      <c r="P4260" s="16" t="n">
        <v>278.15</v>
      </c>
      <c r="Q4260" s="16" t="n">
        <v>3300</v>
      </c>
      <c r="R4260" s="16" t="n">
        <v>760</v>
      </c>
      <c r="S4260" s="16" t="n">
        <v>0.82</v>
      </c>
      <c r="T4260" s="16" t="n">
        <v>0.9</v>
      </c>
      <c r="U4260" s="16" t="n">
        <v>0.8</v>
      </c>
      <c r="V4260" s="16" t="n">
        <v>0.85</v>
      </c>
      <c r="W4260" s="16" t="n">
        <v>0.95</v>
      </c>
      <c r="X4260" s="16" t="n">
        <v>0.95</v>
      </c>
      <c r="Y4260" s="16" t="n">
        <v>283.15</v>
      </c>
      <c r="Z4260" s="16" t="n">
        <v>12.47742742567143</v>
      </c>
      <c r="AA4260" s="16" t="n">
        <v>111.7263249049553</v>
      </c>
      <c r="AB4260" s="16" t="n">
        <v>2540</v>
      </c>
      <c r="AC4260" s="16" t="n">
        <v>4.342105263157895</v>
      </c>
      <c r="AD4260" s="16" t="n"/>
      <c r="AE4260" s="16" t="n"/>
    </row>
    <row r="4261">
      <c r="A4261" s="16" t="inlineStr">
        <is>
          <t>KF-M10-F3-0060</t>
        </is>
      </c>
      <c r="B4261" s="16" t="inlineStr">
        <is>
          <t>6.2</t>
        </is>
      </c>
      <c r="C4261" s="16" t="inlineStr">
        <is>
          <t>6.2a</t>
        </is>
      </c>
      <c r="D4261" s="16" t="inlineStr">
        <is>
          <t>Fase 3 de septiembre</t>
        </is>
      </c>
      <c r="E4261" s="16" t="inlineStr">
        <is>
          <t>KF-M10</t>
        </is>
      </c>
      <c r="F4261" s="16" t="inlineStr">
        <is>
          <t>KF-M10-F3</t>
        </is>
      </c>
      <c r="G4261" s="16" t="inlineStr">
        <is>
          <t>B14-F3</t>
        </is>
      </c>
      <c r="H4261" s="16" t="inlineStr">
        <is>
          <t>control</t>
        </is>
      </c>
      <c r="I4261" s="16" t="inlineStr">
        <is>
          <t>KALINA</t>
        </is>
      </c>
      <c r="J4261" s="16" t="inlineStr">
        <is>
          <t>KALINA</t>
        </is>
      </c>
      <c r="K4261" s="16" t="b">
        <v>1</v>
      </c>
      <c r="L4261" s="16" t="b">
        <v>1</v>
      </c>
      <c r="M4261" s="16" t="b">
        <v>0</v>
      </c>
      <c r="N4261" s="16" t="b">
        <v>0</v>
      </c>
      <c r="O4261" s="16" t="n">
        <v>394.15</v>
      </c>
      <c r="P4261" s="16" t="n">
        <v>278.15</v>
      </c>
      <c r="Q4261" s="16" t="n">
        <v>3300</v>
      </c>
      <c r="R4261" s="16" t="n">
        <v>800</v>
      </c>
      <c r="S4261" s="16" t="n">
        <v>0.82</v>
      </c>
      <c r="T4261" s="16" t="n">
        <v>0.9</v>
      </c>
      <c r="U4261" s="16" t="n">
        <v>0.8</v>
      </c>
      <c r="V4261" s="16" t="n">
        <v>0.85</v>
      </c>
      <c r="W4261" s="16" t="n">
        <v>0.79</v>
      </c>
      <c r="X4261" s="16" t="n">
        <v>0.95</v>
      </c>
      <c r="Y4261" s="16" t="n">
        <v>283.15</v>
      </c>
      <c r="Z4261" s="16" t="n">
        <v>11.71728609632495</v>
      </c>
      <c r="AA4261" s="16" t="n">
        <v>107.5332984953278</v>
      </c>
      <c r="AB4261" s="16" t="n">
        <v>2500</v>
      </c>
      <c r="AC4261" s="16" t="n">
        <v>4.125</v>
      </c>
      <c r="AD4261" s="16" t="n"/>
      <c r="AE4261" s="16" t="n"/>
    </row>
    <row r="4262">
      <c r="A4262" s="16" t="inlineStr">
        <is>
          <t>KF-M10-F3-0061</t>
        </is>
      </c>
      <c r="B4262" s="16" t="inlineStr">
        <is>
          <t>6.2</t>
        </is>
      </c>
      <c r="C4262" s="16" t="inlineStr">
        <is>
          <t>6.2a</t>
        </is>
      </c>
      <c r="D4262" s="16" t="inlineStr">
        <is>
          <t>Fase 3 de septiembre</t>
        </is>
      </c>
      <c r="E4262" s="16" t="inlineStr">
        <is>
          <t>KF-M10</t>
        </is>
      </c>
      <c r="F4262" s="16" t="inlineStr">
        <is>
          <t>KF-M10-F3</t>
        </is>
      </c>
      <c r="G4262" s="16" t="inlineStr">
        <is>
          <t>B14-F3</t>
        </is>
      </c>
      <c r="H4262" s="16" t="inlineStr">
        <is>
          <t>control</t>
        </is>
      </c>
      <c r="I4262" s="16" t="inlineStr">
        <is>
          <t>KALINA</t>
        </is>
      </c>
      <c r="J4262" s="16" t="inlineStr">
        <is>
          <t>KALINA</t>
        </is>
      </c>
      <c r="K4262" s="16" t="b">
        <v>1</v>
      </c>
      <c r="L4262" s="16" t="b">
        <v>1</v>
      </c>
      <c r="M4262" s="16" t="b">
        <v>0</v>
      </c>
      <c r="N4262" s="16" t="b">
        <v>0</v>
      </c>
      <c r="O4262" s="16" t="n">
        <v>394.15</v>
      </c>
      <c r="P4262" s="16" t="n">
        <v>278.15</v>
      </c>
      <c r="Q4262" s="16" t="n">
        <v>3300</v>
      </c>
      <c r="R4262" s="16" t="n">
        <v>800</v>
      </c>
      <c r="S4262" s="16" t="n">
        <v>0.82</v>
      </c>
      <c r="T4262" s="16" t="n">
        <v>0.9</v>
      </c>
      <c r="U4262" s="16" t="n">
        <v>0.8</v>
      </c>
      <c r="V4262" s="16" t="n">
        <v>0.85</v>
      </c>
      <c r="W4262" s="16" t="n">
        <v>0.83</v>
      </c>
      <c r="X4262" s="16" t="n">
        <v>0.95</v>
      </c>
      <c r="Y4262" s="16" t="n">
        <v>283.15</v>
      </c>
      <c r="Z4262" s="16" t="n">
        <v>11.80577606340932</v>
      </c>
      <c r="AA4262" s="16" t="n">
        <v>107.6846979162316</v>
      </c>
      <c r="AB4262" s="16" t="n">
        <v>2500</v>
      </c>
      <c r="AC4262" s="16" t="n">
        <v>4.125</v>
      </c>
      <c r="AD4262" s="16" t="n"/>
      <c r="AE4262" s="16" t="n"/>
    </row>
    <row r="4263">
      <c r="A4263" s="16" t="inlineStr">
        <is>
          <t>KF-M10-F3-0062</t>
        </is>
      </c>
      <c r="B4263" s="16" t="inlineStr">
        <is>
          <t>6.2</t>
        </is>
      </c>
      <c r="C4263" s="16" t="inlineStr">
        <is>
          <t>6.2a</t>
        </is>
      </c>
      <c r="D4263" s="16" t="inlineStr">
        <is>
          <t>Fase 3 de septiembre</t>
        </is>
      </c>
      <c r="E4263" s="16" t="inlineStr">
        <is>
          <t>KF-M10</t>
        </is>
      </c>
      <c r="F4263" s="16" t="inlineStr">
        <is>
          <t>KF-M10-F3</t>
        </is>
      </c>
      <c r="G4263" s="16" t="inlineStr">
        <is>
          <t>B14-F3</t>
        </is>
      </c>
      <c r="H4263" s="16" t="inlineStr">
        <is>
          <t>control</t>
        </is>
      </c>
      <c r="I4263" s="16" t="inlineStr">
        <is>
          <t>KALINA</t>
        </is>
      </c>
      <c r="J4263" s="16" t="inlineStr">
        <is>
          <t>KALINA</t>
        </is>
      </c>
      <c r="K4263" s="16" t="b">
        <v>1</v>
      </c>
      <c r="L4263" s="16" t="b">
        <v>1</v>
      </c>
      <c r="M4263" s="16" t="b">
        <v>0</v>
      </c>
      <c r="N4263" s="16" t="b">
        <v>0</v>
      </c>
      <c r="O4263" s="16" t="n">
        <v>394.15</v>
      </c>
      <c r="P4263" s="16" t="n">
        <v>278.15</v>
      </c>
      <c r="Q4263" s="16" t="n">
        <v>3300</v>
      </c>
      <c r="R4263" s="16" t="n">
        <v>800</v>
      </c>
      <c r="S4263" s="16" t="n">
        <v>0.82</v>
      </c>
      <c r="T4263" s="16" t="n">
        <v>0.9</v>
      </c>
      <c r="U4263" s="16" t="n">
        <v>0.8</v>
      </c>
      <c r="V4263" s="16" t="n">
        <v>0.85</v>
      </c>
      <c r="W4263" s="16" t="n">
        <v>0.87</v>
      </c>
      <c r="X4263" s="16" t="n">
        <v>0.95</v>
      </c>
      <c r="Y4263" s="16" t="n">
        <v>283.15</v>
      </c>
      <c r="Z4263" s="16" t="n">
        <v>11.89534748505432</v>
      </c>
      <c r="AA4263" s="16" t="n">
        <v>107.8360814931695</v>
      </c>
      <c r="AB4263" s="16" t="n">
        <v>2500</v>
      </c>
      <c r="AC4263" s="16" t="n">
        <v>4.125</v>
      </c>
      <c r="AD4263" s="16" t="n"/>
      <c r="AE4263" s="16" t="n"/>
    </row>
    <row r="4264">
      <c r="A4264" s="16" t="inlineStr">
        <is>
          <t>KF-M10-F3-0063</t>
        </is>
      </c>
      <c r="B4264" s="16" t="inlineStr">
        <is>
          <t>6.2</t>
        </is>
      </c>
      <c r="C4264" s="16" t="inlineStr">
        <is>
          <t>6.2a</t>
        </is>
      </c>
      <c r="D4264" s="16" t="inlineStr">
        <is>
          <t>Fase 3 de septiembre</t>
        </is>
      </c>
      <c r="E4264" s="16" t="inlineStr">
        <is>
          <t>KF-M10</t>
        </is>
      </c>
      <c r="F4264" s="16" t="inlineStr">
        <is>
          <t>KF-M10-F3</t>
        </is>
      </c>
      <c r="G4264" s="16" t="inlineStr">
        <is>
          <t>B14-F3</t>
        </is>
      </c>
      <c r="H4264" s="16" t="inlineStr">
        <is>
          <t>control</t>
        </is>
      </c>
      <c r="I4264" s="16" t="inlineStr">
        <is>
          <t>KALINA</t>
        </is>
      </c>
      <c r="J4264" s="16" t="inlineStr">
        <is>
          <t>KALINA</t>
        </is>
      </c>
      <c r="K4264" s="16" t="b">
        <v>1</v>
      </c>
      <c r="L4264" s="16" t="b">
        <v>1</v>
      </c>
      <c r="M4264" s="16" t="b">
        <v>0</v>
      </c>
      <c r="N4264" s="16" t="b">
        <v>0</v>
      </c>
      <c r="O4264" s="16" t="n">
        <v>394.15</v>
      </c>
      <c r="P4264" s="16" t="n">
        <v>278.15</v>
      </c>
      <c r="Q4264" s="16" t="n">
        <v>3300</v>
      </c>
      <c r="R4264" s="16" t="n">
        <v>800</v>
      </c>
      <c r="S4264" s="16" t="n">
        <v>0.82</v>
      </c>
      <c r="T4264" s="16" t="n">
        <v>0.9</v>
      </c>
      <c r="U4264" s="16" t="n">
        <v>0.8</v>
      </c>
      <c r="V4264" s="16" t="n">
        <v>0.85</v>
      </c>
      <c r="W4264" s="16" t="n">
        <v>0.91</v>
      </c>
      <c r="X4264" s="16" t="n">
        <v>0.95</v>
      </c>
      <c r="Y4264" s="16" t="n">
        <v>283.15</v>
      </c>
      <c r="Z4264" s="16" t="n">
        <v>11.98601976291133</v>
      </c>
      <c r="AA4264" s="16" t="n">
        <v>107.9874480606582</v>
      </c>
      <c r="AB4264" s="16" t="n">
        <v>2500</v>
      </c>
      <c r="AC4264" s="16" t="n">
        <v>4.125</v>
      </c>
      <c r="AD4264" s="16" t="n"/>
      <c r="AE4264" s="16" t="n"/>
    </row>
    <row r="4265">
      <c r="A4265" s="16" t="inlineStr">
        <is>
          <t>KF-M10-F3-0064</t>
        </is>
      </c>
      <c r="B4265" s="16" t="inlineStr">
        <is>
          <t>6.2</t>
        </is>
      </c>
      <c r="C4265" s="16" t="inlineStr">
        <is>
          <t>6.2a</t>
        </is>
      </c>
      <c r="D4265" s="16" t="inlineStr">
        <is>
          <t>Fase 3 de septiembre</t>
        </is>
      </c>
      <c r="E4265" s="16" t="inlineStr">
        <is>
          <t>KF-M10</t>
        </is>
      </c>
      <c r="F4265" s="16" t="inlineStr">
        <is>
          <t>KF-M10-F3</t>
        </is>
      </c>
      <c r="G4265" s="16" t="inlineStr">
        <is>
          <t>B14-F3</t>
        </is>
      </c>
      <c r="H4265" s="16" t="inlineStr">
        <is>
          <t>control</t>
        </is>
      </c>
      <c r="I4265" s="16" t="inlineStr">
        <is>
          <t>KALINA</t>
        </is>
      </c>
      <c r="J4265" s="16" t="inlineStr">
        <is>
          <t>KALINA</t>
        </is>
      </c>
      <c r="K4265" s="16" t="b">
        <v>1</v>
      </c>
      <c r="L4265" s="16" t="b">
        <v>1</v>
      </c>
      <c r="M4265" s="16" t="b">
        <v>0</v>
      </c>
      <c r="N4265" s="16" t="b">
        <v>0</v>
      </c>
      <c r="O4265" s="16" t="n">
        <v>394.15</v>
      </c>
      <c r="P4265" s="16" t="n">
        <v>278.15</v>
      </c>
      <c r="Q4265" s="16" t="n">
        <v>3300</v>
      </c>
      <c r="R4265" s="16" t="n">
        <v>766.6666666667001</v>
      </c>
      <c r="S4265" s="16" t="n">
        <v>0.82</v>
      </c>
      <c r="T4265" s="16" t="n">
        <v>0.9</v>
      </c>
      <c r="U4265" s="16" t="n">
        <v>0.8</v>
      </c>
      <c r="V4265" s="16" t="n">
        <v>0.85</v>
      </c>
      <c r="W4265" s="16" t="n">
        <v>0.75</v>
      </c>
      <c r="X4265" s="16" t="n">
        <v>0.95</v>
      </c>
      <c r="Y4265" s="16" t="n">
        <v>283.15</v>
      </c>
      <c r="Z4265" s="16" t="n">
        <v>11.94924077297977</v>
      </c>
      <c r="AA4265" s="16" t="n">
        <v>110.3392287345492</v>
      </c>
      <c r="AB4265" s="16" t="n">
        <v>2533.3333333333</v>
      </c>
      <c r="AC4265" s="16" t="n">
        <v>4.304347826086769</v>
      </c>
      <c r="AD4265" s="16" t="n"/>
      <c r="AE4265" s="16" t="n"/>
    </row>
    <row r="4266">
      <c r="A4266" s="16" t="inlineStr">
        <is>
          <t>KF-M10-F3-0065</t>
        </is>
      </c>
      <c r="B4266" s="16" t="inlineStr">
        <is>
          <t>6.2</t>
        </is>
      </c>
      <c r="C4266" s="16" t="inlineStr">
        <is>
          <t>6.2a</t>
        </is>
      </c>
      <c r="D4266" s="16" t="inlineStr">
        <is>
          <t>Fase 3 de septiembre</t>
        </is>
      </c>
      <c r="E4266" s="16" t="inlineStr">
        <is>
          <t>KF-M10</t>
        </is>
      </c>
      <c r="F4266" s="16" t="inlineStr">
        <is>
          <t>KF-M10-F3</t>
        </is>
      </c>
      <c r="G4266" s="16" t="inlineStr">
        <is>
          <t>B14-F3</t>
        </is>
      </c>
      <c r="H4266" s="16" t="inlineStr">
        <is>
          <t>control</t>
        </is>
      </c>
      <c r="I4266" s="16" t="inlineStr">
        <is>
          <t>KALINA</t>
        </is>
      </c>
      <c r="J4266" s="16" t="inlineStr">
        <is>
          <t>KALINA</t>
        </is>
      </c>
      <c r="K4266" s="16" t="b">
        <v>1</v>
      </c>
      <c r="L4266" s="16" t="b">
        <v>1</v>
      </c>
      <c r="M4266" s="16" t="b">
        <v>0</v>
      </c>
      <c r="N4266" s="16" t="b">
        <v>0</v>
      </c>
      <c r="O4266" s="16" t="n">
        <v>394.15</v>
      </c>
      <c r="P4266" s="16" t="n">
        <v>278.15</v>
      </c>
      <c r="Q4266" s="16" t="n">
        <v>3300</v>
      </c>
      <c r="R4266" s="16" t="n">
        <v>733.3333333332999</v>
      </c>
      <c r="S4266" s="16" t="n">
        <v>0.82</v>
      </c>
      <c r="T4266" s="16" t="n">
        <v>0.9</v>
      </c>
      <c r="U4266" s="16" t="n">
        <v>0.8</v>
      </c>
      <c r="V4266" s="16" t="n">
        <v>0.85</v>
      </c>
      <c r="W4266" s="16" t="n">
        <v>0.75</v>
      </c>
      <c r="X4266" s="16" t="n">
        <v>0.95</v>
      </c>
      <c r="Y4266" s="16" t="n">
        <v>283.15</v>
      </c>
      <c r="Z4266" s="16" t="n">
        <v>12.2808202207297</v>
      </c>
      <c r="AA4266" s="16" t="n">
        <v>113.4100873165474</v>
      </c>
      <c r="AB4266" s="16" t="n">
        <v>2566.6666666667</v>
      </c>
      <c r="AC4266" s="16" t="n">
        <v>4.500000000000205</v>
      </c>
      <c r="AD4266" s="16" t="n"/>
      <c r="AE4266" s="16" t="n"/>
    </row>
    <row r="4267">
      <c r="A4267" s="16" t="inlineStr">
        <is>
          <t>KF-M10-F3-0066</t>
        </is>
      </c>
      <c r="B4267" s="16" t="inlineStr">
        <is>
          <t>6.2</t>
        </is>
      </c>
      <c r="C4267" s="16" t="inlineStr">
        <is>
          <t>6.2a</t>
        </is>
      </c>
      <c r="D4267" s="16" t="inlineStr">
        <is>
          <t>Fase 3 de septiembre</t>
        </is>
      </c>
      <c r="E4267" s="16" t="inlineStr">
        <is>
          <t>KF-M10</t>
        </is>
      </c>
      <c r="F4267" s="16" t="inlineStr">
        <is>
          <t>KF-M10-F3</t>
        </is>
      </c>
      <c r="G4267" s="16" t="inlineStr">
        <is>
          <t>B14-F3</t>
        </is>
      </c>
      <c r="H4267" s="16" t="inlineStr">
        <is>
          <t>control</t>
        </is>
      </c>
      <c r="I4267" s="16" t="inlineStr">
        <is>
          <t>KALINA</t>
        </is>
      </c>
      <c r="J4267" s="16" t="inlineStr">
        <is>
          <t>KALINA</t>
        </is>
      </c>
      <c r="K4267" s="16" t="b">
        <v>1</v>
      </c>
      <c r="L4267" s="16" t="b">
        <v>1</v>
      </c>
      <c r="M4267" s="16" t="b">
        <v>0</v>
      </c>
      <c r="N4267" s="16" t="b">
        <v>0</v>
      </c>
      <c r="O4267" s="16" t="n">
        <v>394.15</v>
      </c>
      <c r="P4267" s="16" t="n">
        <v>278.15</v>
      </c>
      <c r="Q4267" s="16" t="n">
        <v>3300</v>
      </c>
      <c r="R4267" s="16" t="n">
        <v>800</v>
      </c>
      <c r="S4267" s="16" t="n">
        <v>0.82</v>
      </c>
      <c r="T4267" s="16" t="n">
        <v>0.9</v>
      </c>
      <c r="U4267" s="16" t="n">
        <v>0.8</v>
      </c>
      <c r="V4267" s="16" t="n">
        <v>0.85</v>
      </c>
      <c r="W4267" s="16" t="n">
        <v>0.75</v>
      </c>
      <c r="X4267" s="16" t="n">
        <v>0.95</v>
      </c>
      <c r="Y4267" s="16" t="n">
        <v>283.15</v>
      </c>
      <c r="Z4267" s="16" t="n">
        <v>11.62985863251361</v>
      </c>
      <c r="AA4267" s="16" t="n">
        <v>107.3818843882582</v>
      </c>
      <c r="AB4267" s="16" t="n">
        <v>2500</v>
      </c>
      <c r="AC4267" s="16" t="n">
        <v>4.125</v>
      </c>
      <c r="AD4267" s="16" t="n"/>
      <c r="AE4267" s="16" t="n"/>
    </row>
    <row r="4268">
      <c r="A4268" s="16" t="inlineStr">
        <is>
          <t>KF-M10-F3-0067</t>
        </is>
      </c>
      <c r="B4268" s="16" t="inlineStr">
        <is>
          <t>6.2</t>
        </is>
      </c>
      <c r="C4268" s="16" t="inlineStr">
        <is>
          <t>6.2a</t>
        </is>
      </c>
      <c r="D4268" s="16" t="inlineStr">
        <is>
          <t>Fase 3 de septiembre</t>
        </is>
      </c>
      <c r="E4268" s="16" t="inlineStr">
        <is>
          <t>KF-M10</t>
        </is>
      </c>
      <c r="F4268" s="16" t="inlineStr">
        <is>
          <t>KF-M10-F3</t>
        </is>
      </c>
      <c r="G4268" s="16" t="inlineStr">
        <is>
          <t>B14-F3</t>
        </is>
      </c>
      <c r="H4268" s="16" t="inlineStr">
        <is>
          <t>control</t>
        </is>
      </c>
      <c r="I4268" s="16" t="inlineStr">
        <is>
          <t>KALINA</t>
        </is>
      </c>
      <c r="J4268" s="16" t="inlineStr">
        <is>
          <t>KALINA</t>
        </is>
      </c>
      <c r="K4268" s="16" t="b">
        <v>1</v>
      </c>
      <c r="L4268" s="16" t="b">
        <v>1</v>
      </c>
      <c r="M4268" s="16" t="b">
        <v>0</v>
      </c>
      <c r="N4268" s="16" t="b">
        <v>0</v>
      </c>
      <c r="O4268" s="16" t="n">
        <v>394.15</v>
      </c>
      <c r="P4268" s="16" t="n">
        <v>278.15</v>
      </c>
      <c r="Q4268" s="16" t="n">
        <v>3300</v>
      </c>
      <c r="R4268" s="16" t="n">
        <v>800</v>
      </c>
      <c r="S4268" s="16" t="n">
        <v>0.82</v>
      </c>
      <c r="T4268" s="16" t="n">
        <v>0.9</v>
      </c>
      <c r="U4268" s="16" t="n">
        <v>0.8</v>
      </c>
      <c r="V4268" s="16" t="n">
        <v>0.85</v>
      </c>
      <c r="W4268" s="16" t="n">
        <v>0.95</v>
      </c>
      <c r="X4268" s="16" t="n">
        <v>0.95</v>
      </c>
      <c r="Y4268" s="16" t="n">
        <v>283.15</v>
      </c>
      <c r="Z4268" s="16" t="n">
        <v>12.07781276223397</v>
      </c>
      <c r="AA4268" s="16" t="n">
        <v>108.138796444515</v>
      </c>
      <c r="AB4268" s="16" t="n">
        <v>2500</v>
      </c>
      <c r="AC4268" s="16" t="n">
        <v>4.125</v>
      </c>
      <c r="AD4268" s="16" t="n"/>
      <c r="AE4268" s="16" t="n"/>
    </row>
    <row r="4269">
      <c r="A4269" s="16" t="inlineStr">
        <is>
          <t>KF-M10-F3-0068</t>
        </is>
      </c>
      <c r="B4269" s="16" t="inlineStr">
        <is>
          <t>6.2</t>
        </is>
      </c>
      <c r="C4269" s="16" t="inlineStr">
        <is>
          <t>6.2a</t>
        </is>
      </c>
      <c r="D4269" s="16" t="inlineStr">
        <is>
          <t>Fase 3 de septiembre</t>
        </is>
      </c>
      <c r="E4269" s="16" t="inlineStr">
        <is>
          <t>KF-M10</t>
        </is>
      </c>
      <c r="F4269" s="16" t="inlineStr">
        <is>
          <t>KF-M10-F3</t>
        </is>
      </c>
      <c r="G4269" s="16" t="inlineStr">
        <is>
          <t>B14-F3</t>
        </is>
      </c>
      <c r="H4269" s="16" t="inlineStr">
        <is>
          <t>control</t>
        </is>
      </c>
      <c r="I4269" s="16" t="inlineStr">
        <is>
          <t>KALINA</t>
        </is>
      </c>
      <c r="J4269" s="16" t="inlineStr">
        <is>
          <t>KALINA</t>
        </is>
      </c>
      <c r="K4269" s="16" t="b">
        <v>1</v>
      </c>
      <c r="L4269" s="16" t="b">
        <v>1</v>
      </c>
      <c r="M4269" s="16" t="b">
        <v>0</v>
      </c>
      <c r="N4269" s="16" t="b">
        <v>0</v>
      </c>
      <c r="O4269" s="16" t="n">
        <v>394.15</v>
      </c>
      <c r="P4269" s="16" t="n">
        <v>278.15</v>
      </c>
      <c r="Q4269" s="16" t="n">
        <v>3300</v>
      </c>
      <c r="R4269" s="16" t="n">
        <v>700</v>
      </c>
      <c r="S4269" s="16" t="n">
        <v>0.82</v>
      </c>
      <c r="T4269" s="16" t="n">
        <v>0.9</v>
      </c>
      <c r="U4269" s="16" t="n">
        <v>0.8</v>
      </c>
      <c r="V4269" s="16" t="n">
        <v>0.85</v>
      </c>
      <c r="W4269" s="16" t="n">
        <v>0.75</v>
      </c>
      <c r="X4269" s="16" t="n">
        <v>0.95</v>
      </c>
      <c r="Y4269" s="16" t="n">
        <v>283.15</v>
      </c>
      <c r="Z4269" s="16" t="n">
        <v>12.58131444606638</v>
      </c>
      <c r="AA4269" s="16" t="n">
        <v>116.160036609947</v>
      </c>
      <c r="AB4269" s="16" t="n">
        <v>2600</v>
      </c>
      <c r="AC4269" s="16" t="n">
        <v>4.714285714285714</v>
      </c>
      <c r="AD4269" s="16" t="n"/>
      <c r="AE4269" s="16" t="n"/>
    </row>
    <row r="4270">
      <c r="A4270" s="16" t="inlineStr">
        <is>
          <t>KF-M10-F3-0069</t>
        </is>
      </c>
      <c r="B4270" s="16" t="inlineStr">
        <is>
          <t>6.2</t>
        </is>
      </c>
      <c r="C4270" s="16" t="inlineStr">
        <is>
          <t>6.2a</t>
        </is>
      </c>
      <c r="D4270" s="16" t="inlineStr">
        <is>
          <t>Fase 3 de septiembre</t>
        </is>
      </c>
      <c r="E4270" s="16" t="inlineStr">
        <is>
          <t>KF-M10</t>
        </is>
      </c>
      <c r="F4270" s="16" t="inlineStr">
        <is>
          <t>KF-M10-F3</t>
        </is>
      </c>
      <c r="G4270" s="16" t="inlineStr">
        <is>
          <t>B14-F3</t>
        </is>
      </c>
      <c r="H4270" s="16" t="inlineStr">
        <is>
          <t>control</t>
        </is>
      </c>
      <c r="I4270" s="16" t="inlineStr">
        <is>
          <t>KALINA</t>
        </is>
      </c>
      <c r="J4270" s="16" t="inlineStr">
        <is>
          <t>KALINA</t>
        </is>
      </c>
      <c r="K4270" s="16" t="b">
        <v>1</v>
      </c>
      <c r="L4270" s="16" t="b">
        <v>0</v>
      </c>
      <c r="M4270" s="16" t="b">
        <v>0</v>
      </c>
      <c r="N4270" s="16" t="b">
        <v>0</v>
      </c>
      <c r="O4270" s="16" t="n">
        <v>394.15</v>
      </c>
      <c r="P4270" s="16" t="n">
        <v>278.15</v>
      </c>
      <c r="Q4270" s="16" t="n">
        <v>3300</v>
      </c>
      <c r="R4270" s="16" t="n">
        <v>690</v>
      </c>
      <c r="S4270" s="16" t="n">
        <v>0.82</v>
      </c>
      <c r="T4270" s="16" t="n">
        <v>0.9</v>
      </c>
      <c r="U4270" s="16" t="n">
        <v>0.8</v>
      </c>
      <c r="V4270" s="16" t="n">
        <v>0.85</v>
      </c>
      <c r="W4270" s="16" t="n">
        <v>0.75</v>
      </c>
      <c r="X4270" s="16" t="n">
        <v>0.96</v>
      </c>
      <c r="Y4270" s="16" t="n">
        <v>283.15</v>
      </c>
      <c r="Z4270" s="16" t="n">
        <v>12.64617386389829</v>
      </c>
      <c r="AA4270" s="16" t="n">
        <v>117.4507210281464</v>
      </c>
      <c r="AB4270" s="16" t="n">
        <v>2610</v>
      </c>
      <c r="AC4270" s="16" t="n">
        <v>4.782608695652174</v>
      </c>
      <c r="AD4270" s="16" t="n"/>
      <c r="AE4270" s="16" t="n"/>
    </row>
    <row r="4271">
      <c r="A4271" s="16" t="inlineStr">
        <is>
          <t>KF-M10-F3-0070</t>
        </is>
      </c>
      <c r="B4271" s="16" t="inlineStr">
        <is>
          <t>6.2</t>
        </is>
      </c>
      <c r="C4271" s="16" t="inlineStr">
        <is>
          <t>6.2a</t>
        </is>
      </c>
      <c r="D4271" s="16" t="inlineStr">
        <is>
          <t>Fase 3 de septiembre</t>
        </is>
      </c>
      <c r="E4271" s="16" t="inlineStr">
        <is>
          <t>KF-M10</t>
        </is>
      </c>
      <c r="F4271" s="16" t="inlineStr">
        <is>
          <t>KF-M10-F3</t>
        </is>
      </c>
      <c r="G4271" s="16" t="inlineStr">
        <is>
          <t>B14-F3</t>
        </is>
      </c>
      <c r="H4271" s="16" t="inlineStr">
        <is>
          <t>control</t>
        </is>
      </c>
      <c r="I4271" s="16" t="inlineStr">
        <is>
          <t>KALINA</t>
        </is>
      </c>
      <c r="J4271" s="16" t="inlineStr">
        <is>
          <t>KALINA</t>
        </is>
      </c>
      <c r="K4271" s="16" t="b">
        <v>1</v>
      </c>
      <c r="L4271" s="16" t="b">
        <v>0</v>
      </c>
      <c r="M4271" s="16" t="b">
        <v>0</v>
      </c>
      <c r="N4271" s="16" t="b">
        <v>0</v>
      </c>
      <c r="O4271" s="16" t="n">
        <v>394.15</v>
      </c>
      <c r="P4271" s="16" t="n">
        <v>278.15</v>
      </c>
      <c r="Q4271" s="16" t="n">
        <v>3300</v>
      </c>
      <c r="R4271" s="16" t="n">
        <v>690</v>
      </c>
      <c r="S4271" s="16" t="n">
        <v>0.82</v>
      </c>
      <c r="T4271" s="16" t="n">
        <v>0.9</v>
      </c>
      <c r="U4271" s="16" t="n">
        <v>0.8</v>
      </c>
      <c r="V4271" s="16" t="n">
        <v>0.85</v>
      </c>
      <c r="W4271" s="16" t="n">
        <v>0.75</v>
      </c>
      <c r="X4271" s="16" t="n">
        <v>0.975</v>
      </c>
      <c r="Y4271" s="16" t="n">
        <v>283.15</v>
      </c>
      <c r="Z4271" s="16" t="n">
        <v>12.52081134877784</v>
      </c>
      <c r="AA4271" s="16" t="n">
        <v>117.2464753307021</v>
      </c>
      <c r="AB4271" s="16" t="n">
        <v>2610</v>
      </c>
      <c r="AC4271" s="16" t="n">
        <v>4.782608695652174</v>
      </c>
      <c r="AD4271" s="16" t="n"/>
      <c r="AE4271" s="16" t="n"/>
    </row>
    <row r="4272">
      <c r="A4272" s="16" t="inlineStr">
        <is>
          <t>KF-M10-F3-0071</t>
        </is>
      </c>
      <c r="B4272" s="16" t="inlineStr">
        <is>
          <t>6.2</t>
        </is>
      </c>
      <c r="C4272" s="16" t="inlineStr">
        <is>
          <t>6.2a</t>
        </is>
      </c>
      <c r="D4272" s="16" t="inlineStr">
        <is>
          <t>Fase 3 de septiembre</t>
        </is>
      </c>
      <c r="E4272" s="16" t="inlineStr">
        <is>
          <t>KF-M10</t>
        </is>
      </c>
      <c r="F4272" s="16" t="inlineStr">
        <is>
          <t>KF-M10-F3</t>
        </is>
      </c>
      <c r="G4272" s="16" t="inlineStr">
        <is>
          <t>B14-F3</t>
        </is>
      </c>
      <c r="H4272" s="16" t="inlineStr">
        <is>
          <t>control</t>
        </is>
      </c>
      <c r="I4272" s="16" t="inlineStr">
        <is>
          <t>KALINA</t>
        </is>
      </c>
      <c r="J4272" s="16" t="inlineStr">
        <is>
          <t>KALINA</t>
        </is>
      </c>
      <c r="K4272" s="16" t="b">
        <v>1</v>
      </c>
      <c r="L4272" s="16" t="b">
        <v>0</v>
      </c>
      <c r="M4272" s="16" t="b">
        <v>0</v>
      </c>
      <c r="N4272" s="16" t="b">
        <v>0</v>
      </c>
      <c r="O4272" s="16" t="n">
        <v>394.15</v>
      </c>
      <c r="P4272" s="16" t="n">
        <v>278.15</v>
      </c>
      <c r="Q4272" s="16" t="n">
        <v>3300</v>
      </c>
      <c r="R4272" s="16" t="n">
        <v>690</v>
      </c>
      <c r="S4272" s="16" t="n">
        <v>0.82</v>
      </c>
      <c r="T4272" s="16" t="n">
        <v>0.9</v>
      </c>
      <c r="U4272" s="16" t="n">
        <v>0.8</v>
      </c>
      <c r="V4272" s="16" t="n">
        <v>0.85</v>
      </c>
      <c r="W4272" s="16" t="n">
        <v>0.75</v>
      </c>
      <c r="X4272" s="16" t="n">
        <v>0.99</v>
      </c>
      <c r="Y4272" s="16" t="n">
        <v>283.15</v>
      </c>
      <c r="Z4272" s="16" t="n">
        <v>12.39911326368481</v>
      </c>
      <c r="AA4272" s="16" t="n">
        <v>117.0447384389814</v>
      </c>
      <c r="AB4272" s="16" t="n">
        <v>2610</v>
      </c>
      <c r="AC4272" s="16" t="n">
        <v>4.782608695652174</v>
      </c>
      <c r="AD4272" s="16" t="n"/>
      <c r="AE4272" s="16" t="n"/>
    </row>
    <row r="4273">
      <c r="A4273" s="16" t="inlineStr">
        <is>
          <t>KF-M10-F3-0072</t>
        </is>
      </c>
      <c r="B4273" s="16" t="inlineStr">
        <is>
          <t>6.2</t>
        </is>
      </c>
      <c r="C4273" s="16" t="inlineStr">
        <is>
          <t>6.2a</t>
        </is>
      </c>
      <c r="D4273" s="16" t="inlineStr">
        <is>
          <t>Fase 3 de septiembre</t>
        </is>
      </c>
      <c r="E4273" s="16" t="inlineStr">
        <is>
          <t>KF-M10</t>
        </is>
      </c>
      <c r="F4273" s="16" t="inlineStr">
        <is>
          <t>KF-M10-F3</t>
        </is>
      </c>
      <c r="G4273" s="16" t="inlineStr">
        <is>
          <t>B14-F3</t>
        </is>
      </c>
      <c r="H4273" s="16" t="inlineStr">
        <is>
          <t>control</t>
        </is>
      </c>
      <c r="I4273" s="16" t="inlineStr">
        <is>
          <t>KALINA</t>
        </is>
      </c>
      <c r="J4273" s="16" t="inlineStr">
        <is>
          <t>KALINA</t>
        </is>
      </c>
      <c r="K4273" s="16" t="b">
        <v>1</v>
      </c>
      <c r="L4273" s="16" t="b">
        <v>1</v>
      </c>
      <c r="M4273" s="16" t="b">
        <v>0</v>
      </c>
      <c r="N4273" s="16" t="b">
        <v>0</v>
      </c>
      <c r="O4273" s="16" t="n">
        <v>394.15</v>
      </c>
      <c r="P4273" s="16" t="n">
        <v>278.15</v>
      </c>
      <c r="Q4273" s="16" t="n">
        <v>3300</v>
      </c>
      <c r="R4273" s="16" t="n">
        <v>690</v>
      </c>
      <c r="S4273" s="16" t="n">
        <v>0.82</v>
      </c>
      <c r="T4273" s="16" t="n">
        <v>0.9</v>
      </c>
      <c r="U4273" s="16" t="n">
        <v>0.8</v>
      </c>
      <c r="V4273" s="16" t="n">
        <v>0.85</v>
      </c>
      <c r="W4273" s="16" t="n">
        <v>0.75</v>
      </c>
      <c r="X4273" s="16" t="n">
        <v>0.95</v>
      </c>
      <c r="Y4273" s="16" t="n">
        <v>283.15</v>
      </c>
      <c r="Z4273" s="16" t="n">
        <v>12.73186450108127</v>
      </c>
      <c r="AA4273" s="16" t="n">
        <v>117.5882909120357</v>
      </c>
      <c r="AB4273" s="16" t="n">
        <v>2610</v>
      </c>
      <c r="AC4273" s="16" t="n">
        <v>4.782608695652174</v>
      </c>
      <c r="AD4273" s="16" t="n"/>
      <c r="AE4273" s="16" t="n"/>
    </row>
    <row r="4274">
      <c r="A4274" s="16" t="inlineStr">
        <is>
          <t>KF-M10-F3-0073</t>
        </is>
      </c>
      <c r="B4274" s="16" t="inlineStr">
        <is>
          <t>6.2</t>
        </is>
      </c>
      <c r="C4274" s="16" t="inlineStr">
        <is>
          <t>6.2a</t>
        </is>
      </c>
      <c r="D4274" s="16" t="inlineStr">
        <is>
          <t>Fase 3 de septiembre</t>
        </is>
      </c>
      <c r="E4274" s="16" t="inlineStr">
        <is>
          <t>KF-M10</t>
        </is>
      </c>
      <c r="F4274" s="16" t="inlineStr">
        <is>
          <t>KF-M10-F3</t>
        </is>
      </c>
      <c r="G4274" s="16" t="inlineStr">
        <is>
          <t>B14-F3</t>
        </is>
      </c>
      <c r="H4274" s="16" t="inlineStr">
        <is>
          <t>control</t>
        </is>
      </c>
      <c r="I4274" s="16" t="inlineStr">
        <is>
          <t>KALINA</t>
        </is>
      </c>
      <c r="J4274" s="16" t="inlineStr">
        <is>
          <t>KALINA</t>
        </is>
      </c>
      <c r="K4274" s="16" t="b">
        <v>1</v>
      </c>
      <c r="L4274" s="16" t="b">
        <v>1</v>
      </c>
      <c r="M4274" s="16" t="b">
        <v>0</v>
      </c>
      <c r="N4274" s="16" t="b">
        <v>0</v>
      </c>
      <c r="O4274" s="16" t="n">
        <v>394.15</v>
      </c>
      <c r="P4274" s="16" t="n">
        <v>278.15</v>
      </c>
      <c r="Q4274" s="16" t="n">
        <v>3300</v>
      </c>
      <c r="R4274" s="16" t="n">
        <v>690</v>
      </c>
      <c r="S4274" s="16" t="n">
        <v>0.82</v>
      </c>
      <c r="T4274" s="16" t="n">
        <v>0.9</v>
      </c>
      <c r="U4274" s="16" t="n">
        <v>0.8</v>
      </c>
      <c r="V4274" s="16" t="n">
        <v>0.85</v>
      </c>
      <c r="W4274" s="16" t="n">
        <v>0.7833333333</v>
      </c>
      <c r="X4274" s="16" t="n">
        <v>0.95</v>
      </c>
      <c r="Y4274" s="16" t="n">
        <v>283.15</v>
      </c>
      <c r="Z4274" s="16" t="n">
        <v>12.81158845568488</v>
      </c>
      <c r="AA4274" s="16" t="n">
        <v>117.7265355924224</v>
      </c>
      <c r="AB4274" s="16" t="n">
        <v>2610</v>
      </c>
      <c r="AC4274" s="16" t="n">
        <v>4.782608695652174</v>
      </c>
      <c r="AD4274" s="16" t="n"/>
      <c r="AE4274" s="16" t="n"/>
    </row>
    <row r="4275">
      <c r="A4275" s="16" t="inlineStr">
        <is>
          <t>KF-M10-F3-0074</t>
        </is>
      </c>
      <c r="B4275" s="16" t="inlineStr">
        <is>
          <t>6.2</t>
        </is>
      </c>
      <c r="C4275" s="16" t="inlineStr">
        <is>
          <t>6.2a</t>
        </is>
      </c>
      <c r="D4275" s="16" t="inlineStr">
        <is>
          <t>Fase 3 de septiembre</t>
        </is>
      </c>
      <c r="E4275" s="16" t="inlineStr">
        <is>
          <t>KF-M10</t>
        </is>
      </c>
      <c r="F4275" s="16" t="inlineStr">
        <is>
          <t>KF-M10-F3</t>
        </is>
      </c>
      <c r="G4275" s="16" t="inlineStr">
        <is>
          <t>B14-F3</t>
        </is>
      </c>
      <c r="H4275" s="16" t="inlineStr">
        <is>
          <t>control</t>
        </is>
      </c>
      <c r="I4275" s="16" t="inlineStr">
        <is>
          <t>KALINA</t>
        </is>
      </c>
      <c r="J4275" s="16" t="inlineStr">
        <is>
          <t>KALINA</t>
        </is>
      </c>
      <c r="K4275" s="16" t="b">
        <v>1</v>
      </c>
      <c r="L4275" s="16" t="b">
        <v>1</v>
      </c>
      <c r="M4275" s="16" t="b">
        <v>0</v>
      </c>
      <c r="N4275" s="16" t="b">
        <v>0</v>
      </c>
      <c r="O4275" s="16" t="n">
        <v>394.15</v>
      </c>
      <c r="P4275" s="16" t="n">
        <v>278.15</v>
      </c>
      <c r="Q4275" s="16" t="n">
        <v>3300</v>
      </c>
      <c r="R4275" s="16" t="n">
        <v>690</v>
      </c>
      <c r="S4275" s="16" t="n">
        <v>0.82</v>
      </c>
      <c r="T4275" s="16" t="n">
        <v>0.9</v>
      </c>
      <c r="U4275" s="16" t="n">
        <v>0.8</v>
      </c>
      <c r="V4275" s="16" t="n">
        <v>0.85</v>
      </c>
      <c r="W4275" s="16" t="n">
        <v>0.8166666667</v>
      </c>
      <c r="X4275" s="16" t="n">
        <v>0.95</v>
      </c>
      <c r="Y4275" s="16" t="n">
        <v>283.15</v>
      </c>
      <c r="Z4275" s="16" t="n">
        <v>12.89211947456586</v>
      </c>
      <c r="AA4275" s="16" t="n">
        <v>117.8647763676699</v>
      </c>
      <c r="AB4275" s="16" t="n">
        <v>2610</v>
      </c>
      <c r="AC4275" s="16" t="n">
        <v>4.782608695652174</v>
      </c>
      <c r="AD4275" s="16" t="n"/>
      <c r="AE4275" s="16" t="n"/>
    </row>
    <row r="4276">
      <c r="A4276" s="16" t="inlineStr">
        <is>
          <t>KF-M10-F3-0075</t>
        </is>
      </c>
      <c r="B4276" s="16" t="inlineStr">
        <is>
          <t>6.2</t>
        </is>
      </c>
      <c r="C4276" s="16" t="inlineStr">
        <is>
          <t>6.2a</t>
        </is>
      </c>
      <c r="D4276" s="16" t="inlineStr">
        <is>
          <t>Fase 3 de septiembre</t>
        </is>
      </c>
      <c r="E4276" s="16" t="inlineStr">
        <is>
          <t>KF-M10</t>
        </is>
      </c>
      <c r="F4276" s="16" t="inlineStr">
        <is>
          <t>KF-M10-F3</t>
        </is>
      </c>
      <c r="G4276" s="16" t="inlineStr">
        <is>
          <t>B14-F3</t>
        </is>
      </c>
      <c r="H4276" s="16" t="inlineStr">
        <is>
          <t>control</t>
        </is>
      </c>
      <c r="I4276" s="16" t="inlineStr">
        <is>
          <t>KALINA</t>
        </is>
      </c>
      <c r="J4276" s="16" t="inlineStr">
        <is>
          <t>KALINA</t>
        </is>
      </c>
      <c r="K4276" s="16" t="b">
        <v>1</v>
      </c>
      <c r="L4276" s="16" t="b">
        <v>1</v>
      </c>
      <c r="M4276" s="16" t="b">
        <v>0</v>
      </c>
      <c r="N4276" s="16" t="b">
        <v>0</v>
      </c>
      <c r="O4276" s="16" t="n">
        <v>394.15</v>
      </c>
      <c r="P4276" s="16" t="n">
        <v>278.15</v>
      </c>
      <c r="Q4276" s="16" t="n">
        <v>3300</v>
      </c>
      <c r="R4276" s="16" t="n">
        <v>690</v>
      </c>
      <c r="S4276" s="16" t="n">
        <v>0.82</v>
      </c>
      <c r="T4276" s="16" t="n">
        <v>0.9</v>
      </c>
      <c r="U4276" s="16" t="n">
        <v>0.8</v>
      </c>
      <c r="V4276" s="16" t="n">
        <v>0.85</v>
      </c>
      <c r="W4276" s="16" t="n">
        <v>0.85</v>
      </c>
      <c r="X4276" s="16" t="n">
        <v>0.95</v>
      </c>
      <c r="Y4276" s="16" t="n">
        <v>283.15</v>
      </c>
      <c r="Z4276" s="16" t="n">
        <v>12.97346954411339</v>
      </c>
      <c r="AA4276" s="16" t="n">
        <v>118.0030125554704</v>
      </c>
      <c r="AB4276" s="16" t="n">
        <v>2610</v>
      </c>
      <c r="AC4276" s="16" t="n">
        <v>4.782608695652174</v>
      </c>
      <c r="AD4276" s="16" t="n"/>
      <c r="AE4276" s="16" t="n"/>
    </row>
    <row r="4277">
      <c r="A4277" s="16" t="inlineStr">
        <is>
          <t>KF-M10-F3-0076</t>
        </is>
      </c>
      <c r="B4277" s="16" t="inlineStr">
        <is>
          <t>6.2</t>
        </is>
      </c>
      <c r="C4277" s="16" t="inlineStr">
        <is>
          <t>6.2a</t>
        </is>
      </c>
      <c r="D4277" s="16" t="inlineStr">
        <is>
          <t>Fase 3 de septiembre</t>
        </is>
      </c>
      <c r="E4277" s="16" t="inlineStr">
        <is>
          <t>KF-M10</t>
        </is>
      </c>
      <c r="F4277" s="16" t="inlineStr">
        <is>
          <t>KF-M10-F3</t>
        </is>
      </c>
      <c r="G4277" s="16" t="inlineStr">
        <is>
          <t>B14-F3</t>
        </is>
      </c>
      <c r="H4277" s="16" t="inlineStr">
        <is>
          <t>control</t>
        </is>
      </c>
      <c r="I4277" s="16" t="inlineStr">
        <is>
          <t>KALINA</t>
        </is>
      </c>
      <c r="J4277" s="16" t="inlineStr">
        <is>
          <t>KALINA</t>
        </is>
      </c>
      <c r="K4277" s="16" t="b">
        <v>1</v>
      </c>
      <c r="L4277" s="16" t="b">
        <v>1</v>
      </c>
      <c r="M4277" s="16" t="b">
        <v>0</v>
      </c>
      <c r="N4277" s="16" t="b">
        <v>0</v>
      </c>
      <c r="O4277" s="16" t="n">
        <v>394.15</v>
      </c>
      <c r="P4277" s="16" t="n">
        <v>278.15</v>
      </c>
      <c r="Q4277" s="16" t="n">
        <v>3300</v>
      </c>
      <c r="R4277" s="16" t="n">
        <v>690</v>
      </c>
      <c r="S4277" s="16" t="n">
        <v>0.82</v>
      </c>
      <c r="T4277" s="16" t="n">
        <v>0.9</v>
      </c>
      <c r="U4277" s="16" t="n">
        <v>0.8</v>
      </c>
      <c r="V4277" s="16" t="n">
        <v>0.85</v>
      </c>
      <c r="W4277" s="16" t="n">
        <v>0.8833333333</v>
      </c>
      <c r="X4277" s="16" t="n">
        <v>0.95</v>
      </c>
      <c r="Y4277" s="16" t="n">
        <v>283.15</v>
      </c>
      <c r="Z4277" s="16" t="n">
        <v>13.05565089610514</v>
      </c>
      <c r="AA4277" s="16" t="n">
        <v>118.1412434796638</v>
      </c>
      <c r="AB4277" s="16" t="n">
        <v>2610</v>
      </c>
      <c r="AC4277" s="16" t="n">
        <v>4.782608695652174</v>
      </c>
      <c r="AD4277" s="16" t="n"/>
      <c r="AE4277" s="16" t="n"/>
    </row>
    <row r="4278">
      <c r="A4278" s="16" t="inlineStr">
        <is>
          <t>KF-M10-F3-0077</t>
        </is>
      </c>
      <c r="B4278" s="16" t="inlineStr">
        <is>
          <t>6.2</t>
        </is>
      </c>
      <c r="C4278" s="16" t="inlineStr">
        <is>
          <t>6.2a</t>
        </is>
      </c>
      <c r="D4278" s="16" t="inlineStr">
        <is>
          <t>Fase 3 de septiembre</t>
        </is>
      </c>
      <c r="E4278" s="16" t="inlineStr">
        <is>
          <t>KF-M10</t>
        </is>
      </c>
      <c r="F4278" s="16" t="inlineStr">
        <is>
          <t>KF-M10-F3</t>
        </is>
      </c>
      <c r="G4278" s="16" t="inlineStr">
        <is>
          <t>B14-F3</t>
        </is>
      </c>
      <c r="H4278" s="16" t="inlineStr">
        <is>
          <t>control</t>
        </is>
      </c>
      <c r="I4278" s="16" t="inlineStr">
        <is>
          <t>KALINA</t>
        </is>
      </c>
      <c r="J4278" s="16" t="inlineStr">
        <is>
          <t>KALINA</t>
        </is>
      </c>
      <c r="K4278" s="16" t="b">
        <v>1</v>
      </c>
      <c r="L4278" s="16" t="b">
        <v>1</v>
      </c>
      <c r="M4278" s="16" t="b">
        <v>0</v>
      </c>
      <c r="N4278" s="16" t="b">
        <v>0</v>
      </c>
      <c r="O4278" s="16" t="n">
        <v>394.15</v>
      </c>
      <c r="P4278" s="16" t="n">
        <v>278.15</v>
      </c>
      <c r="Q4278" s="16" t="n">
        <v>3300</v>
      </c>
      <c r="R4278" s="16" t="n">
        <v>690</v>
      </c>
      <c r="S4278" s="16" t="n">
        <v>0.82</v>
      </c>
      <c r="T4278" s="16" t="n">
        <v>0.9</v>
      </c>
      <c r="U4278" s="16" t="n">
        <v>0.8</v>
      </c>
      <c r="V4278" s="16" t="n">
        <v>0.85</v>
      </c>
      <c r="W4278" s="16" t="n">
        <v>0.9166666667</v>
      </c>
      <c r="X4278" s="16" t="n">
        <v>0.95</v>
      </c>
      <c r="Y4278" s="16" t="n">
        <v>283.15</v>
      </c>
      <c r="Z4278" s="16" t="n">
        <v>13.13867598055648</v>
      </c>
      <c r="AA4278" s="16" t="n">
        <v>118.2794684155773</v>
      </c>
      <c r="AB4278" s="16" t="n">
        <v>2610</v>
      </c>
      <c r="AC4278" s="16" t="n">
        <v>4.782608695652174</v>
      </c>
      <c r="AD4278" s="16" t="n"/>
      <c r="AE4278" s="16" t="n"/>
    </row>
    <row r="4279">
      <c r="A4279" s="16" t="inlineStr">
        <is>
          <t>KF-M10-F3-0078</t>
        </is>
      </c>
      <c r="B4279" s="16" t="inlineStr">
        <is>
          <t>6.2</t>
        </is>
      </c>
      <c r="C4279" s="16" t="inlineStr">
        <is>
          <t>6.2a</t>
        </is>
      </c>
      <c r="D4279" s="16" t="inlineStr">
        <is>
          <t>Fase 3 de septiembre</t>
        </is>
      </c>
      <c r="E4279" s="16" t="inlineStr">
        <is>
          <t>KF-M10</t>
        </is>
      </c>
      <c r="F4279" s="16" t="inlineStr">
        <is>
          <t>KF-M10-F3</t>
        </is>
      </c>
      <c r="G4279" s="16" t="inlineStr">
        <is>
          <t>B14-F3</t>
        </is>
      </c>
      <c r="H4279" s="16" t="inlineStr">
        <is>
          <t>control</t>
        </is>
      </c>
      <c r="I4279" s="16" t="inlineStr">
        <is>
          <t>KALINA</t>
        </is>
      </c>
      <c r="J4279" s="16" t="inlineStr">
        <is>
          <t>KALINA</t>
        </is>
      </c>
      <c r="K4279" s="16" t="b">
        <v>1</v>
      </c>
      <c r="L4279" s="16" t="b">
        <v>1</v>
      </c>
      <c r="M4279" s="16" t="b">
        <v>0</v>
      </c>
      <c r="N4279" s="16" t="b">
        <v>0</v>
      </c>
      <c r="O4279" s="16" t="n">
        <v>394.15</v>
      </c>
      <c r="P4279" s="16" t="n">
        <v>278.15</v>
      </c>
      <c r="Q4279" s="16" t="n">
        <v>3300</v>
      </c>
      <c r="R4279" s="16" t="n">
        <v>690</v>
      </c>
      <c r="S4279" s="16" t="n">
        <v>0.82</v>
      </c>
      <c r="T4279" s="16" t="n">
        <v>0.85</v>
      </c>
      <c r="U4279" s="16" t="n">
        <v>0.8</v>
      </c>
      <c r="V4279" s="16" t="n">
        <v>0.85</v>
      </c>
      <c r="W4279" s="16" t="n">
        <v>0.75</v>
      </c>
      <c r="X4279" s="16" t="n">
        <v>0.95</v>
      </c>
      <c r="Y4279" s="16" t="n">
        <v>283.15</v>
      </c>
      <c r="Z4279" s="16" t="n">
        <v>11.99975518366201</v>
      </c>
      <c r="AA4279" s="16" t="n">
        <v>110.8017650318812</v>
      </c>
      <c r="AB4279" s="16" t="n">
        <v>2610</v>
      </c>
      <c r="AC4279" s="16" t="n">
        <v>4.782608695652174</v>
      </c>
      <c r="AD4279" s="16" t="n"/>
      <c r="AE4279" s="16" t="n"/>
    </row>
    <row r="4280">
      <c r="A4280" s="16" t="inlineStr">
        <is>
          <t>KF-M10-F3-0079</t>
        </is>
      </c>
      <c r="B4280" s="16" t="inlineStr">
        <is>
          <t>6.2</t>
        </is>
      </c>
      <c r="C4280" s="16" t="inlineStr">
        <is>
          <t>6.2a</t>
        </is>
      </c>
      <c r="D4280" s="16" t="inlineStr">
        <is>
          <t>Fase 3 de septiembre</t>
        </is>
      </c>
      <c r="E4280" s="16" t="inlineStr">
        <is>
          <t>KF-M10</t>
        </is>
      </c>
      <c r="F4280" s="16" t="inlineStr">
        <is>
          <t>KF-M10-F3</t>
        </is>
      </c>
      <c r="G4280" s="16" t="inlineStr">
        <is>
          <t>B14-F3</t>
        </is>
      </c>
      <c r="H4280" s="16" t="inlineStr">
        <is>
          <t>control</t>
        </is>
      </c>
      <c r="I4280" s="16" t="inlineStr">
        <is>
          <t>KALINA</t>
        </is>
      </c>
      <c r="J4280" s="16" t="inlineStr">
        <is>
          <t>KALINA</t>
        </is>
      </c>
      <c r="K4280" s="16" t="b">
        <v>1</v>
      </c>
      <c r="L4280" s="16" t="b">
        <v>1</v>
      </c>
      <c r="M4280" s="16" t="b">
        <v>0</v>
      </c>
      <c r="N4280" s="16" t="b">
        <v>0</v>
      </c>
      <c r="O4280" s="16" t="n">
        <v>394.15</v>
      </c>
      <c r="P4280" s="16" t="n">
        <v>278.15</v>
      </c>
      <c r="Q4280" s="16" t="n">
        <v>3300</v>
      </c>
      <c r="R4280" s="16" t="n">
        <v>690</v>
      </c>
      <c r="S4280" s="16" t="n">
        <v>0.82</v>
      </c>
      <c r="T4280" s="16" t="n">
        <v>0.8666666667</v>
      </c>
      <c r="U4280" s="16" t="n">
        <v>0.8</v>
      </c>
      <c r="V4280" s="16" t="n">
        <v>0.85</v>
      </c>
      <c r="W4280" s="16" t="n">
        <v>0.75</v>
      </c>
      <c r="X4280" s="16" t="n">
        <v>0.95</v>
      </c>
      <c r="Y4280" s="16" t="n">
        <v>283.15</v>
      </c>
      <c r="Z4280" s="16" t="n">
        <v>12.24383640365483</v>
      </c>
      <c r="AA4280" s="16" t="n">
        <v>113.0640160296183</v>
      </c>
      <c r="AB4280" s="16" t="n">
        <v>2610</v>
      </c>
      <c r="AC4280" s="16" t="n">
        <v>4.782608695652174</v>
      </c>
      <c r="AD4280" s="16" t="n"/>
      <c r="AE4280" s="16" t="n"/>
    </row>
    <row r="4281">
      <c r="A4281" s="16" t="inlineStr">
        <is>
          <t>KF-M10-F3-0080</t>
        </is>
      </c>
      <c r="B4281" s="16" t="inlineStr">
        <is>
          <t>6.2</t>
        </is>
      </c>
      <c r="C4281" s="16" t="inlineStr">
        <is>
          <t>6.2a</t>
        </is>
      </c>
      <c r="D4281" s="16" t="inlineStr">
        <is>
          <t>Fase 3 de septiembre</t>
        </is>
      </c>
      <c r="E4281" s="16" t="inlineStr">
        <is>
          <t>KF-M10</t>
        </is>
      </c>
      <c r="F4281" s="16" t="inlineStr">
        <is>
          <t>KF-M10-F3</t>
        </is>
      </c>
      <c r="G4281" s="16" t="inlineStr">
        <is>
          <t>B14-F3</t>
        </is>
      </c>
      <c r="H4281" s="16" t="inlineStr">
        <is>
          <t>control</t>
        </is>
      </c>
      <c r="I4281" s="16" t="inlineStr">
        <is>
          <t>KALINA</t>
        </is>
      </c>
      <c r="J4281" s="16" t="inlineStr">
        <is>
          <t>KALINA</t>
        </is>
      </c>
      <c r="K4281" s="16" t="b">
        <v>1</v>
      </c>
      <c r="L4281" s="16" t="b">
        <v>1</v>
      </c>
      <c r="M4281" s="16" t="b">
        <v>0</v>
      </c>
      <c r="N4281" s="16" t="b">
        <v>0</v>
      </c>
      <c r="O4281" s="16" t="n">
        <v>394.15</v>
      </c>
      <c r="P4281" s="16" t="n">
        <v>278.15</v>
      </c>
      <c r="Q4281" s="16" t="n">
        <v>3300</v>
      </c>
      <c r="R4281" s="16" t="n">
        <v>690</v>
      </c>
      <c r="S4281" s="16" t="n">
        <v>0.82</v>
      </c>
      <c r="T4281" s="16" t="n">
        <v>0.9</v>
      </c>
      <c r="U4281" s="16" t="n">
        <v>0.8</v>
      </c>
      <c r="V4281" s="16" t="n">
        <v>0.85</v>
      </c>
      <c r="W4281" s="16" t="n">
        <v>0.95</v>
      </c>
      <c r="X4281" s="16" t="n">
        <v>0.95</v>
      </c>
      <c r="Y4281" s="16" t="n">
        <v>283.15</v>
      </c>
      <c r="Z4281" s="16" t="n">
        <v>13.2225573486805</v>
      </c>
      <c r="AA4281" s="16" t="n">
        <v>118.4176852193223</v>
      </c>
      <c r="AB4281" s="16" t="n">
        <v>2610</v>
      </c>
      <c r="AC4281" s="16" t="n">
        <v>4.782608695652174</v>
      </c>
      <c r="AD4281" s="16" t="n"/>
      <c r="AE4281" s="16" t="n"/>
    </row>
    <row r="4282">
      <c r="A4282" s="16" t="inlineStr">
        <is>
          <t>KF-M10-F3-0081</t>
        </is>
      </c>
      <c r="B4282" s="16" t="inlineStr">
        <is>
          <t>6.2</t>
        </is>
      </c>
      <c r="C4282" s="16" t="inlineStr">
        <is>
          <t>6.2a</t>
        </is>
      </c>
      <c r="D4282" s="16" t="inlineStr">
        <is>
          <t>Fase 3 de septiembre</t>
        </is>
      </c>
      <c r="E4282" s="16" t="inlineStr">
        <is>
          <t>KF-M10</t>
        </is>
      </c>
      <c r="F4282" s="16" t="inlineStr">
        <is>
          <t>KF-M10-F3</t>
        </is>
      </c>
      <c r="G4282" s="16" t="inlineStr">
        <is>
          <t>B14-F3</t>
        </is>
      </c>
      <c r="H4282" s="16" t="inlineStr">
        <is>
          <t>control</t>
        </is>
      </c>
      <c r="I4282" s="16" t="inlineStr">
        <is>
          <t>KALINA</t>
        </is>
      </c>
      <c r="J4282" s="16" t="inlineStr">
        <is>
          <t>KALINA</t>
        </is>
      </c>
      <c r="K4282" s="16" t="b">
        <v>1</v>
      </c>
      <c r="L4282" s="16" t="b">
        <v>1</v>
      </c>
      <c r="M4282" s="16" t="b">
        <v>0</v>
      </c>
      <c r="N4282" s="16" t="b">
        <v>0</v>
      </c>
      <c r="O4282" s="16" t="n">
        <v>394.15</v>
      </c>
      <c r="P4282" s="16" t="n">
        <v>278.15</v>
      </c>
      <c r="Q4282" s="16" t="n">
        <v>3300</v>
      </c>
      <c r="R4282" s="16" t="n">
        <v>690</v>
      </c>
      <c r="S4282" s="16" t="n">
        <v>0.82</v>
      </c>
      <c r="T4282" s="16" t="n">
        <v>0.8833333333</v>
      </c>
      <c r="U4282" s="16" t="n">
        <v>0.8</v>
      </c>
      <c r="V4282" s="16" t="n">
        <v>0.85</v>
      </c>
      <c r="W4282" s="16" t="n">
        <v>0.75</v>
      </c>
      <c r="X4282" s="16" t="n">
        <v>0.95</v>
      </c>
      <c r="Y4282" s="16" t="n">
        <v>283.15</v>
      </c>
      <c r="Z4282" s="16" t="n">
        <v>12.48787283730606</v>
      </c>
      <c r="AA4282" s="16" t="n">
        <v>115.3261913119388</v>
      </c>
      <c r="AB4282" s="16" t="n">
        <v>2610</v>
      </c>
      <c r="AC4282" s="16" t="n">
        <v>4.782608695652174</v>
      </c>
      <c r="AD4282" s="16" t="n"/>
      <c r="AE4282" s="16" t="n"/>
    </row>
    <row r="4283">
      <c r="A4283" s="16" t="inlineStr">
        <is>
          <t>KF-M10-F3-0082</t>
        </is>
      </c>
      <c r="B4283" s="16" t="inlineStr">
        <is>
          <t>6.2</t>
        </is>
      </c>
      <c r="C4283" s="16" t="inlineStr">
        <is>
          <t>6.2a</t>
        </is>
      </c>
      <c r="D4283" s="16" t="inlineStr">
        <is>
          <t>Fase 3 de septiembre</t>
        </is>
      </c>
      <c r="E4283" s="16" t="inlineStr">
        <is>
          <t>KF-M10</t>
        </is>
      </c>
      <c r="F4283" s="16" t="inlineStr">
        <is>
          <t>KF-M10-F3</t>
        </is>
      </c>
      <c r="G4283" s="16" t="inlineStr">
        <is>
          <t>B14-F3</t>
        </is>
      </c>
      <c r="H4283" s="16" t="inlineStr">
        <is>
          <t>control</t>
        </is>
      </c>
      <c r="I4283" s="16" t="inlineStr">
        <is>
          <t>KALINA</t>
        </is>
      </c>
      <c r="J4283" s="16" t="inlineStr">
        <is>
          <t>KALINA</t>
        </is>
      </c>
      <c r="K4283" s="16" t="b">
        <v>1</v>
      </c>
      <c r="L4283" s="16" t="b">
        <v>1</v>
      </c>
      <c r="M4283" s="16" t="b">
        <v>0</v>
      </c>
      <c r="N4283" s="16" t="b">
        <v>0</v>
      </c>
      <c r="O4283" s="16" t="n">
        <v>394.15</v>
      </c>
      <c r="P4283" s="16" t="n">
        <v>278.15</v>
      </c>
      <c r="Q4283" s="16" t="n">
        <v>3300</v>
      </c>
      <c r="R4283" s="16" t="n">
        <v>690</v>
      </c>
      <c r="S4283" s="16" t="n">
        <v>0.82</v>
      </c>
      <c r="T4283" s="16" t="n">
        <v>0.9</v>
      </c>
      <c r="U4283" s="16" t="n">
        <v>0.8</v>
      </c>
      <c r="V4283" s="16" t="n">
        <v>0.85</v>
      </c>
      <c r="W4283" s="16" t="n">
        <v>0.75</v>
      </c>
      <c r="X4283" s="16" t="n">
        <v>0.95</v>
      </c>
      <c r="Y4283" s="16" t="n">
        <v>283.15</v>
      </c>
      <c r="Z4283" s="16" t="n">
        <v>12.73186450108127</v>
      </c>
      <c r="AA4283" s="16" t="n">
        <v>117.5882909120357</v>
      </c>
      <c r="AB4283" s="16" t="n">
        <v>2610</v>
      </c>
      <c r="AC4283" s="16" t="n">
        <v>4.782608695652174</v>
      </c>
      <c r="AD4283" s="16" t="n"/>
      <c r="AE4283" s="16" t="n"/>
    </row>
    <row r="4284">
      <c r="A4284" s="16" t="inlineStr">
        <is>
          <t>KF-M10-F3-0083</t>
        </is>
      </c>
      <c r="B4284" s="16" t="inlineStr">
        <is>
          <t>6.2</t>
        </is>
      </c>
      <c r="C4284" s="16" t="inlineStr">
        <is>
          <t>6.2a</t>
        </is>
      </c>
      <c r="D4284" s="16" t="inlineStr">
        <is>
          <t>Fase 3 de septiembre</t>
        </is>
      </c>
      <c r="E4284" s="16" t="inlineStr">
        <is>
          <t>KF-M10</t>
        </is>
      </c>
      <c r="F4284" s="16" t="inlineStr">
        <is>
          <t>KF-M10-F3</t>
        </is>
      </c>
      <c r="G4284" s="16" t="inlineStr">
        <is>
          <t>B14-F3</t>
        </is>
      </c>
      <c r="H4284" s="16" t="inlineStr">
        <is>
          <t>control</t>
        </is>
      </c>
      <c r="I4284" s="16" t="inlineStr">
        <is>
          <t>KALINA</t>
        </is>
      </c>
      <c r="J4284" s="16" t="inlineStr">
        <is>
          <t>KALINA</t>
        </is>
      </c>
      <c r="K4284" s="16" t="b">
        <v>1</v>
      </c>
      <c r="L4284" s="16" t="b">
        <v>1</v>
      </c>
      <c r="M4284" s="16" t="b">
        <v>0</v>
      </c>
      <c r="N4284" s="16" t="b">
        <v>0</v>
      </c>
      <c r="O4284" s="16" t="n">
        <v>394.15</v>
      </c>
      <c r="P4284" s="16" t="n">
        <v>278.15</v>
      </c>
      <c r="Q4284" s="16" t="n">
        <v>3300</v>
      </c>
      <c r="R4284" s="16" t="n">
        <v>690</v>
      </c>
      <c r="S4284" s="16" t="n">
        <v>0.82</v>
      </c>
      <c r="T4284" s="16" t="n">
        <v>0.9166666667</v>
      </c>
      <c r="U4284" s="16" t="n">
        <v>0.8</v>
      </c>
      <c r="V4284" s="16" t="n">
        <v>0.85</v>
      </c>
      <c r="W4284" s="16" t="n">
        <v>0.75</v>
      </c>
      <c r="X4284" s="16" t="n">
        <v>0.95</v>
      </c>
      <c r="Y4284" s="16" t="n">
        <v>283.15</v>
      </c>
      <c r="Z4284" s="16" t="n">
        <v>12.9758114070617</v>
      </c>
      <c r="AA4284" s="16" t="n">
        <v>119.8503148224937</v>
      </c>
      <c r="AB4284" s="16" t="n">
        <v>2610</v>
      </c>
      <c r="AC4284" s="16" t="n">
        <v>4.782608695652174</v>
      </c>
      <c r="AD4284" s="16" t="n"/>
      <c r="AE4284" s="16" t="n"/>
    </row>
    <row r="4285">
      <c r="A4285" s="16" t="inlineStr">
        <is>
          <t>KF-M10-F3-0084</t>
        </is>
      </c>
      <c r="B4285" s="16" t="inlineStr">
        <is>
          <t>6.2</t>
        </is>
      </c>
      <c r="C4285" s="16" t="inlineStr">
        <is>
          <t>6.2a</t>
        </is>
      </c>
      <c r="D4285" s="16" t="inlineStr">
        <is>
          <t>Fase 3 de septiembre</t>
        </is>
      </c>
      <c r="E4285" s="16" t="inlineStr">
        <is>
          <t>KF-M10</t>
        </is>
      </c>
      <c r="F4285" s="16" t="inlineStr">
        <is>
          <t>KF-M10-F3</t>
        </is>
      </c>
      <c r="G4285" s="16" t="inlineStr">
        <is>
          <t>B14-F3</t>
        </is>
      </c>
      <c r="H4285" s="16" t="inlineStr">
        <is>
          <t>control</t>
        </is>
      </c>
      <c r="I4285" s="16" t="inlineStr">
        <is>
          <t>KALINA</t>
        </is>
      </c>
      <c r="J4285" s="16" t="inlineStr">
        <is>
          <t>KALINA</t>
        </is>
      </c>
      <c r="K4285" s="16" t="b">
        <v>1</v>
      </c>
      <c r="L4285" s="16" t="b">
        <v>1</v>
      </c>
      <c r="M4285" s="16" t="b">
        <v>0</v>
      </c>
      <c r="N4285" s="16" t="b">
        <v>0</v>
      </c>
      <c r="O4285" s="16" t="n">
        <v>394.15</v>
      </c>
      <c r="P4285" s="16" t="n">
        <v>278.15</v>
      </c>
      <c r="Q4285" s="16" t="n">
        <v>3300</v>
      </c>
      <c r="R4285" s="16" t="n">
        <v>690</v>
      </c>
      <c r="S4285" s="16" t="n">
        <v>0.82</v>
      </c>
      <c r="T4285" s="16" t="n">
        <v>0.9333333333</v>
      </c>
      <c r="U4285" s="16" t="n">
        <v>0.8</v>
      </c>
      <c r="V4285" s="16" t="n">
        <v>0.85</v>
      </c>
      <c r="W4285" s="16" t="n">
        <v>0.75</v>
      </c>
      <c r="X4285" s="16" t="n">
        <v>0.95</v>
      </c>
      <c r="Y4285" s="16" t="n">
        <v>283.15</v>
      </c>
      <c r="Z4285" s="16" t="n">
        <v>13.21971356724838</v>
      </c>
      <c r="AA4285" s="16" t="n">
        <v>122.1122630351976</v>
      </c>
      <c r="AB4285" s="16" t="n">
        <v>2610</v>
      </c>
      <c r="AC4285" s="16" t="n">
        <v>4.782608695652174</v>
      </c>
      <c r="AD4285" s="16" t="n"/>
      <c r="AE4285" s="16" t="n"/>
    </row>
    <row r="4286">
      <c r="A4286" s="16" t="inlineStr">
        <is>
          <t>KF-M10-F3-0085</t>
        </is>
      </c>
      <c r="B4286" s="16" t="inlineStr">
        <is>
          <t>6.2</t>
        </is>
      </c>
      <c r="C4286" s="16" t="inlineStr">
        <is>
          <t>6.2a</t>
        </is>
      </c>
      <c r="D4286" s="16" t="inlineStr">
        <is>
          <t>Fase 3 de septiembre</t>
        </is>
      </c>
      <c r="E4286" s="16" t="inlineStr">
        <is>
          <t>KF-M10</t>
        </is>
      </c>
      <c r="F4286" s="16" t="inlineStr">
        <is>
          <t>KF-M10-F3</t>
        </is>
      </c>
      <c r="G4286" s="16" t="inlineStr">
        <is>
          <t>B14-F3</t>
        </is>
      </c>
      <c r="H4286" s="16" t="inlineStr">
        <is>
          <t>control</t>
        </is>
      </c>
      <c r="I4286" s="16" t="inlineStr">
        <is>
          <t>KALINA</t>
        </is>
      </c>
      <c r="J4286" s="16" t="inlineStr">
        <is>
          <t>KALINA</t>
        </is>
      </c>
      <c r="K4286" s="16" t="b">
        <v>1</v>
      </c>
      <c r="L4286" s="16" t="b">
        <v>1</v>
      </c>
      <c r="M4286" s="16" t="b">
        <v>0</v>
      </c>
      <c r="N4286" s="16" t="b">
        <v>0</v>
      </c>
      <c r="O4286" s="16" t="n">
        <v>394.15</v>
      </c>
      <c r="P4286" s="16" t="n">
        <v>278.15</v>
      </c>
      <c r="Q4286" s="16" t="n">
        <v>3300</v>
      </c>
      <c r="R4286" s="16" t="n">
        <v>690</v>
      </c>
      <c r="S4286" s="16" t="n">
        <v>0.78</v>
      </c>
      <c r="T4286" s="16" t="n">
        <v>0.9</v>
      </c>
      <c r="U4286" s="16" t="n">
        <v>0.8</v>
      </c>
      <c r="V4286" s="16" t="n">
        <v>0.85</v>
      </c>
      <c r="W4286" s="16" t="n">
        <v>0.75</v>
      </c>
      <c r="X4286" s="16" t="n">
        <v>0.95</v>
      </c>
      <c r="Y4286" s="16" t="n">
        <v>283.15</v>
      </c>
      <c r="Z4286" s="16" t="n">
        <v>12.32455493684956</v>
      </c>
      <c r="AA4286" s="16" t="n">
        <v>103.3850050585167</v>
      </c>
      <c r="AB4286" s="16" t="n">
        <v>2610</v>
      </c>
      <c r="AC4286" s="16" t="n">
        <v>4.782608695652174</v>
      </c>
      <c r="AD4286" s="16" t="n"/>
      <c r="AE4286" s="16" t="n"/>
    </row>
    <row r="4287">
      <c r="A4287" s="16" t="inlineStr">
        <is>
          <t>KF-M10-F3-0086</t>
        </is>
      </c>
      <c r="B4287" s="16" t="inlineStr">
        <is>
          <t>6.2</t>
        </is>
      </c>
      <c r="C4287" s="16" t="inlineStr">
        <is>
          <t>6.2a</t>
        </is>
      </c>
      <c r="D4287" s="16" t="inlineStr">
        <is>
          <t>Fase 3 de septiembre</t>
        </is>
      </c>
      <c r="E4287" s="16" t="inlineStr">
        <is>
          <t>KF-M10</t>
        </is>
      </c>
      <c r="F4287" s="16" t="inlineStr">
        <is>
          <t>KF-M10-F3</t>
        </is>
      </c>
      <c r="G4287" s="16" t="inlineStr">
        <is>
          <t>B14-F3</t>
        </is>
      </c>
      <c r="H4287" s="16" t="inlineStr">
        <is>
          <t>control</t>
        </is>
      </c>
      <c r="I4287" s="16" t="inlineStr">
        <is>
          <t>KALINA</t>
        </is>
      </c>
      <c r="J4287" s="16" t="inlineStr">
        <is>
          <t>KALINA</t>
        </is>
      </c>
      <c r="K4287" s="16" t="b">
        <v>1</v>
      </c>
      <c r="L4287" s="16" t="b">
        <v>1</v>
      </c>
      <c r="M4287" s="16" t="b">
        <v>0</v>
      </c>
      <c r="N4287" s="16" t="b">
        <v>0</v>
      </c>
      <c r="O4287" s="16" t="n">
        <v>394.15</v>
      </c>
      <c r="P4287" s="16" t="n">
        <v>278.15</v>
      </c>
      <c r="Q4287" s="16" t="n">
        <v>3300</v>
      </c>
      <c r="R4287" s="16" t="n">
        <v>690</v>
      </c>
      <c r="S4287" s="16" t="n">
        <v>0.82</v>
      </c>
      <c r="T4287" s="16" t="n">
        <v>0.95</v>
      </c>
      <c r="U4287" s="16" t="n">
        <v>0.8</v>
      </c>
      <c r="V4287" s="16" t="n">
        <v>0.85</v>
      </c>
      <c r="W4287" s="16" t="n">
        <v>0.75</v>
      </c>
      <c r="X4287" s="16" t="n">
        <v>0.95</v>
      </c>
      <c r="Y4287" s="16" t="n">
        <v>283.15</v>
      </c>
      <c r="Z4287" s="16" t="n">
        <v>13.46357099813214</v>
      </c>
      <c r="AA4287" s="16" t="n">
        <v>124.3741355837414</v>
      </c>
      <c r="AB4287" s="16" t="n">
        <v>2610</v>
      </c>
      <c r="AC4287" s="16" t="n">
        <v>4.782608695652174</v>
      </c>
      <c r="AD4287" s="16" t="n"/>
      <c r="AE4287" s="16" t="n"/>
    </row>
    <row r="4288">
      <c r="A4288" s="16" t="inlineStr">
        <is>
          <t>KF-M10-F3-0087</t>
        </is>
      </c>
      <c r="B4288" s="16" t="inlineStr">
        <is>
          <t>6.2</t>
        </is>
      </c>
      <c r="C4288" s="16" t="inlineStr">
        <is>
          <t>6.2a</t>
        </is>
      </c>
      <c r="D4288" s="16" t="inlineStr">
        <is>
          <t>Fase 3 de septiembre</t>
        </is>
      </c>
      <c r="E4288" s="16" t="inlineStr">
        <is>
          <t>KF-M10</t>
        </is>
      </c>
      <c r="F4288" s="16" t="inlineStr">
        <is>
          <t>KF-M10-F3</t>
        </is>
      </c>
      <c r="G4288" s="16" t="inlineStr">
        <is>
          <t>B14-F3</t>
        </is>
      </c>
      <c r="H4288" s="16" t="inlineStr">
        <is>
          <t>control</t>
        </is>
      </c>
      <c r="I4288" s="16" t="inlineStr">
        <is>
          <t>KALINA</t>
        </is>
      </c>
      <c r="J4288" s="16" t="inlineStr">
        <is>
          <t>KALINA</t>
        </is>
      </c>
      <c r="K4288" s="16" t="b">
        <v>1</v>
      </c>
      <c r="L4288" s="16" t="b">
        <v>1</v>
      </c>
      <c r="M4288" s="16" t="b">
        <v>0</v>
      </c>
      <c r="N4288" s="16" t="b">
        <v>0</v>
      </c>
      <c r="O4288" s="16" t="n">
        <v>394.15</v>
      </c>
      <c r="P4288" s="16" t="n">
        <v>278.15</v>
      </c>
      <c r="Q4288" s="16" t="n">
        <v>3300</v>
      </c>
      <c r="R4288" s="16" t="n">
        <v>690</v>
      </c>
      <c r="S4288" s="16" t="n">
        <v>0.7933333333</v>
      </c>
      <c r="T4288" s="16" t="n">
        <v>0.9</v>
      </c>
      <c r="U4288" s="16" t="n">
        <v>0.8</v>
      </c>
      <c r="V4288" s="16" t="n">
        <v>0.85</v>
      </c>
      <c r="W4288" s="16" t="n">
        <v>0.75</v>
      </c>
      <c r="X4288" s="16" t="n">
        <v>0.95</v>
      </c>
      <c r="Y4288" s="16" t="n">
        <v>283.15</v>
      </c>
      <c r="Z4288" s="16" t="n">
        <v>12.35504749371974</v>
      </c>
      <c r="AA4288" s="16" t="n">
        <v>107.0831643659629</v>
      </c>
      <c r="AB4288" s="16" t="n">
        <v>2610</v>
      </c>
      <c r="AC4288" s="16" t="n">
        <v>4.782608695652174</v>
      </c>
      <c r="AD4288" s="16" t="n"/>
      <c r="AE4288" s="16" t="n"/>
    </row>
    <row r="4289">
      <c r="A4289" s="16" t="inlineStr">
        <is>
          <t>KF-M10-F3-0088</t>
        </is>
      </c>
      <c r="B4289" s="16" t="inlineStr">
        <is>
          <t>6.2</t>
        </is>
      </c>
      <c r="C4289" s="16" t="inlineStr">
        <is>
          <t>6.2a</t>
        </is>
      </c>
      <c r="D4289" s="16" t="inlineStr">
        <is>
          <t>Fase 3 de septiembre</t>
        </is>
      </c>
      <c r="E4289" s="16" t="inlineStr">
        <is>
          <t>KF-M10</t>
        </is>
      </c>
      <c r="F4289" s="16" t="inlineStr">
        <is>
          <t>KF-M10-F3</t>
        </is>
      </c>
      <c r="G4289" s="16" t="inlineStr">
        <is>
          <t>B14-F3</t>
        </is>
      </c>
      <c r="H4289" s="16" t="inlineStr">
        <is>
          <t>control</t>
        </is>
      </c>
      <c r="I4289" s="16" t="inlineStr">
        <is>
          <t>KALINA</t>
        </is>
      </c>
      <c r="J4289" s="16" t="inlineStr">
        <is>
          <t>KALINA</t>
        </is>
      </c>
      <c r="K4289" s="16" t="b">
        <v>1</v>
      </c>
      <c r="L4289" s="16" t="b">
        <v>1</v>
      </c>
      <c r="M4289" s="16" t="b">
        <v>0</v>
      </c>
      <c r="N4289" s="16" t="b">
        <v>0</v>
      </c>
      <c r="O4289" s="16" t="n">
        <v>394.15</v>
      </c>
      <c r="P4289" s="16" t="n">
        <v>278.15</v>
      </c>
      <c r="Q4289" s="16" t="n">
        <v>3300</v>
      </c>
      <c r="R4289" s="16" t="n">
        <v>690</v>
      </c>
      <c r="S4289" s="16" t="n">
        <v>0.8066666667</v>
      </c>
      <c r="T4289" s="16" t="n">
        <v>0.9</v>
      </c>
      <c r="U4289" s="16" t="n">
        <v>0.8</v>
      </c>
      <c r="V4289" s="16" t="n">
        <v>0.85</v>
      </c>
      <c r="W4289" s="16" t="n">
        <v>0.75</v>
      </c>
      <c r="X4289" s="16" t="n">
        <v>0.95</v>
      </c>
      <c r="Y4289" s="16" t="n">
        <v>283.15</v>
      </c>
      <c r="Z4289" s="16" t="n">
        <v>12.60443656115173</v>
      </c>
      <c r="AA4289" s="16" t="n">
        <v>112.8829669344662</v>
      </c>
      <c r="AB4289" s="16" t="n">
        <v>2610</v>
      </c>
      <c r="AC4289" s="16" t="n">
        <v>4.782608695652174</v>
      </c>
      <c r="AD4289" s="16" t="n"/>
      <c r="AE4289" s="16" t="n"/>
    </row>
    <row r="4290">
      <c r="A4290" s="16" t="inlineStr">
        <is>
          <t>KF-M10-F3-0089</t>
        </is>
      </c>
      <c r="B4290" s="16" t="inlineStr">
        <is>
          <t>6.2</t>
        </is>
      </c>
      <c r="C4290" s="16" t="inlineStr">
        <is>
          <t>6.2a</t>
        </is>
      </c>
      <c r="D4290" s="16" t="inlineStr">
        <is>
          <t>Fase 3 de septiembre</t>
        </is>
      </c>
      <c r="E4290" s="16" t="inlineStr">
        <is>
          <t>KF-M10</t>
        </is>
      </c>
      <c r="F4290" s="16" t="inlineStr">
        <is>
          <t>KF-M10-F3</t>
        </is>
      </c>
      <c r="G4290" s="16" t="inlineStr">
        <is>
          <t>B14-F3</t>
        </is>
      </c>
      <c r="H4290" s="16" t="inlineStr">
        <is>
          <t>control</t>
        </is>
      </c>
      <c r="I4290" s="16" t="inlineStr">
        <is>
          <t>KALINA</t>
        </is>
      </c>
      <c r="J4290" s="16" t="inlineStr">
        <is>
          <t>KALINA</t>
        </is>
      </c>
      <c r="K4290" s="16" t="b">
        <v>1</v>
      </c>
      <c r="L4290" s="16" t="b">
        <v>1</v>
      </c>
      <c r="M4290" s="16" t="b">
        <v>0</v>
      </c>
      <c r="N4290" s="16" t="b">
        <v>0</v>
      </c>
      <c r="O4290" s="16" t="n">
        <v>394.15</v>
      </c>
      <c r="P4290" s="16" t="n">
        <v>278.15</v>
      </c>
      <c r="Q4290" s="16" t="n">
        <v>3300</v>
      </c>
      <c r="R4290" s="16" t="n">
        <v>690</v>
      </c>
      <c r="S4290" s="16" t="n">
        <v>0.82</v>
      </c>
      <c r="T4290" s="16" t="n">
        <v>0.9</v>
      </c>
      <c r="U4290" s="16" t="n">
        <v>0.8</v>
      </c>
      <c r="V4290" s="16" t="n">
        <v>0.85</v>
      </c>
      <c r="W4290" s="16" t="n">
        <v>0.75</v>
      </c>
      <c r="X4290" s="16" t="n">
        <v>0.95</v>
      </c>
      <c r="Y4290" s="16" t="n">
        <v>283.15</v>
      </c>
      <c r="Z4290" s="16" t="n">
        <v>12.73186450108127</v>
      </c>
      <c r="AA4290" s="16" t="n">
        <v>117.5882909120357</v>
      </c>
      <c r="AB4290" s="16" t="n">
        <v>2610</v>
      </c>
      <c r="AC4290" s="16" t="n">
        <v>4.782608695652174</v>
      </c>
      <c r="AD4290" s="16" t="n"/>
      <c r="AE4290" s="16" t="n"/>
    </row>
    <row r="4291">
      <c r="A4291" s="16" t="inlineStr">
        <is>
          <t>KF-M10-F3-0090</t>
        </is>
      </c>
      <c r="B4291" s="16" t="inlineStr">
        <is>
          <t>6.2</t>
        </is>
      </c>
      <c r="C4291" s="16" t="inlineStr">
        <is>
          <t>6.2a</t>
        </is>
      </c>
      <c r="D4291" s="16" t="inlineStr">
        <is>
          <t>Fase 3 de septiembre</t>
        </is>
      </c>
      <c r="E4291" s="16" t="inlineStr">
        <is>
          <t>KF-M10</t>
        </is>
      </c>
      <c r="F4291" s="16" t="inlineStr">
        <is>
          <t>KF-M10-F3</t>
        </is>
      </c>
      <c r="G4291" s="16" t="inlineStr">
        <is>
          <t>B14-F3</t>
        </is>
      </c>
      <c r="H4291" s="16" t="inlineStr">
        <is>
          <t>control</t>
        </is>
      </c>
      <c r="I4291" s="16" t="inlineStr">
        <is>
          <t>KALINA</t>
        </is>
      </c>
      <c r="J4291" s="16" t="inlineStr">
        <is>
          <t>KALINA</t>
        </is>
      </c>
      <c r="K4291" s="16" t="b">
        <v>1</v>
      </c>
      <c r="L4291" s="16" t="b">
        <v>1</v>
      </c>
      <c r="M4291" s="16" t="b">
        <v>0</v>
      </c>
      <c r="N4291" s="16" t="b">
        <v>0</v>
      </c>
      <c r="O4291" s="16" t="n">
        <v>394.15</v>
      </c>
      <c r="P4291" s="16" t="n">
        <v>278.15</v>
      </c>
      <c r="Q4291" s="16" t="n">
        <v>3400</v>
      </c>
      <c r="R4291" s="16" t="n">
        <v>1200</v>
      </c>
      <c r="S4291" s="16" t="n">
        <v>0.82</v>
      </c>
      <c r="T4291" s="16" t="n">
        <v>0.9</v>
      </c>
      <c r="U4291" s="16" t="n">
        <v>0.8</v>
      </c>
      <c r="V4291" s="16" t="n">
        <v>0.85</v>
      </c>
      <c r="W4291" s="16" t="n">
        <v>0.95</v>
      </c>
      <c r="X4291" s="16" t="n">
        <v>0.95</v>
      </c>
      <c r="Y4291" s="16" t="n">
        <v>303.55</v>
      </c>
      <c r="Z4291" s="16" t="n">
        <v>9.02789380588972</v>
      </c>
      <c r="AA4291" s="16" t="n">
        <v>79.53168137836302</v>
      </c>
      <c r="AB4291" s="16" t="n">
        <v>2200</v>
      </c>
      <c r="AC4291" s="16" t="n">
        <v>2.833333333333333</v>
      </c>
      <c r="AD4291" s="16" t="n"/>
      <c r="AE4291" s="16" t="n"/>
    </row>
    <row r="4292">
      <c r="A4292" s="16" t="inlineStr">
        <is>
          <t>KF-M10-F3-0091</t>
        </is>
      </c>
      <c r="B4292" s="16" t="inlineStr">
        <is>
          <t>6.2</t>
        </is>
      </c>
      <c r="C4292" s="16" t="inlineStr">
        <is>
          <t>6.2a</t>
        </is>
      </c>
      <c r="D4292" s="16" t="inlineStr">
        <is>
          <t>Fase 3 de septiembre</t>
        </is>
      </c>
      <c r="E4292" s="16" t="inlineStr">
        <is>
          <t>KF-M10</t>
        </is>
      </c>
      <c r="F4292" s="16" t="inlineStr">
        <is>
          <t>KF-M10-F3</t>
        </is>
      </c>
      <c r="G4292" s="16" t="inlineStr">
        <is>
          <t>B14-F3</t>
        </is>
      </c>
      <c r="H4292" s="16" t="inlineStr">
        <is>
          <t>control</t>
        </is>
      </c>
      <c r="I4292" s="16" t="inlineStr">
        <is>
          <t>KALINA</t>
        </is>
      </c>
      <c r="J4292" s="16" t="inlineStr">
        <is>
          <t>KALINA</t>
        </is>
      </c>
      <c r="K4292" s="16" t="b">
        <v>1</v>
      </c>
      <c r="L4292" s="16" t="b">
        <v>1</v>
      </c>
      <c r="M4292" s="16" t="b">
        <v>0</v>
      </c>
      <c r="N4292" s="16" t="b">
        <v>0</v>
      </c>
      <c r="O4292" s="16" t="n">
        <v>394.15</v>
      </c>
      <c r="P4292" s="16" t="n">
        <v>278.15</v>
      </c>
      <c r="Q4292" s="16" t="n">
        <v>3500</v>
      </c>
      <c r="R4292" s="16" t="n">
        <v>1200</v>
      </c>
      <c r="S4292" s="16" t="n">
        <v>0.82</v>
      </c>
      <c r="T4292" s="16" t="n">
        <v>0.9</v>
      </c>
      <c r="U4292" s="16" t="n">
        <v>0.8</v>
      </c>
      <c r="V4292" s="16" t="n">
        <v>0.85</v>
      </c>
      <c r="W4292" s="16" t="n">
        <v>0.95</v>
      </c>
      <c r="X4292" s="16" t="n">
        <v>0.95</v>
      </c>
      <c r="Y4292" s="16" t="n">
        <v>303.55</v>
      </c>
      <c r="Z4292" s="16" t="n">
        <v>9.227347983678827</v>
      </c>
      <c r="AA4292" s="16" t="n">
        <v>80.01703323957037</v>
      </c>
      <c r="AB4292" s="16" t="n">
        <v>2300</v>
      </c>
      <c r="AC4292" s="16" t="n">
        <v>2.916666666666667</v>
      </c>
      <c r="AD4292" s="16" t="n"/>
      <c r="AE4292" s="16" t="n"/>
    </row>
    <row r="4293">
      <c r="A4293" s="16" t="inlineStr">
        <is>
          <t>KF-M10-F3-0092</t>
        </is>
      </c>
      <c r="B4293" s="16" t="inlineStr">
        <is>
          <t>6.2</t>
        </is>
      </c>
      <c r="C4293" s="16" t="inlineStr">
        <is>
          <t>6.2a</t>
        </is>
      </c>
      <c r="D4293" s="16" t="inlineStr">
        <is>
          <t>Fase 3 de septiembre</t>
        </is>
      </c>
      <c r="E4293" s="16" t="inlineStr">
        <is>
          <t>KF-M10</t>
        </is>
      </c>
      <c r="F4293" s="16" t="inlineStr">
        <is>
          <t>KF-M10-F3</t>
        </is>
      </c>
      <c r="G4293" s="16" t="inlineStr">
        <is>
          <t>B14-F3</t>
        </is>
      </c>
      <c r="H4293" s="16" t="inlineStr">
        <is>
          <t>control</t>
        </is>
      </c>
      <c r="I4293" s="16" t="inlineStr">
        <is>
          <t>KALINA</t>
        </is>
      </c>
      <c r="J4293" s="16" t="inlineStr">
        <is>
          <t>KALINA</t>
        </is>
      </c>
      <c r="K4293" s="16" t="b">
        <v>1</v>
      </c>
      <c r="L4293" s="16" t="b">
        <v>1</v>
      </c>
      <c r="M4293" s="16" t="b">
        <v>0</v>
      </c>
      <c r="N4293" s="16" t="b">
        <v>0</v>
      </c>
      <c r="O4293" s="16" t="n">
        <v>394.15</v>
      </c>
      <c r="P4293" s="16" t="n">
        <v>278.15</v>
      </c>
      <c r="Q4293" s="16" t="n">
        <v>3300</v>
      </c>
      <c r="R4293" s="16" t="n">
        <v>1250</v>
      </c>
      <c r="S4293" s="16" t="n">
        <v>0.82</v>
      </c>
      <c r="T4293" s="16" t="n">
        <v>0.9</v>
      </c>
      <c r="U4293" s="16" t="n">
        <v>0.8</v>
      </c>
      <c r="V4293" s="16" t="n">
        <v>0.85</v>
      </c>
      <c r="W4293" s="16" t="n">
        <v>0.95</v>
      </c>
      <c r="X4293" s="16" t="n">
        <v>0.95</v>
      </c>
      <c r="Y4293" s="16" t="n">
        <v>303.55</v>
      </c>
      <c r="Z4293" s="16" t="n">
        <v>8.479907044178251</v>
      </c>
      <c r="AA4293" s="16" t="n">
        <v>75.87056180764522</v>
      </c>
      <c r="AB4293" s="16" t="n">
        <v>2050</v>
      </c>
      <c r="AC4293" s="16" t="n">
        <v>2.64</v>
      </c>
      <c r="AD4293" s="16" t="n"/>
      <c r="AE4293" s="16" t="n"/>
    </row>
    <row r="4294">
      <c r="A4294" s="16" t="inlineStr">
        <is>
          <t>KF-M10-F3-0093</t>
        </is>
      </c>
      <c r="B4294" s="16" t="inlineStr">
        <is>
          <t>6.2</t>
        </is>
      </c>
      <c r="C4294" s="16" t="inlineStr">
        <is>
          <t>6.2a</t>
        </is>
      </c>
      <c r="D4294" s="16" t="inlineStr">
        <is>
          <t>Fase 3 de septiembre</t>
        </is>
      </c>
      <c r="E4294" s="16" t="inlineStr">
        <is>
          <t>KF-M10</t>
        </is>
      </c>
      <c r="F4294" s="16" t="inlineStr">
        <is>
          <t>KF-M10-F3</t>
        </is>
      </c>
      <c r="G4294" s="16" t="inlineStr">
        <is>
          <t>B14-F3</t>
        </is>
      </c>
      <c r="H4294" s="16" t="inlineStr">
        <is>
          <t>control</t>
        </is>
      </c>
      <c r="I4294" s="16" t="inlineStr">
        <is>
          <t>KALINA</t>
        </is>
      </c>
      <c r="J4294" s="16" t="inlineStr">
        <is>
          <t>KALINA</t>
        </is>
      </c>
      <c r="K4294" s="16" t="b">
        <v>1</v>
      </c>
      <c r="L4294" s="16" t="b">
        <v>1</v>
      </c>
      <c r="M4294" s="16" t="b">
        <v>0</v>
      </c>
      <c r="N4294" s="16" t="b">
        <v>0</v>
      </c>
      <c r="O4294" s="16" t="n">
        <v>394.15</v>
      </c>
      <c r="P4294" s="16" t="n">
        <v>278.15</v>
      </c>
      <c r="Q4294" s="16" t="n">
        <v>3300</v>
      </c>
      <c r="R4294" s="16" t="n">
        <v>690</v>
      </c>
      <c r="S4294" s="16" t="n">
        <v>0.8333333333</v>
      </c>
      <c r="T4294" s="16" t="n">
        <v>0.9</v>
      </c>
      <c r="U4294" s="16" t="n">
        <v>0.8</v>
      </c>
      <c r="V4294" s="16" t="n">
        <v>0.85</v>
      </c>
      <c r="W4294" s="16" t="n">
        <v>0.75</v>
      </c>
      <c r="X4294" s="16" t="n">
        <v>0.95</v>
      </c>
      <c r="Y4294" s="16" t="n">
        <v>283.15</v>
      </c>
      <c r="Z4294" s="16" t="n">
        <v>12.85148474045906</v>
      </c>
      <c r="AA4294" s="16" t="n">
        <v>122.2604191927015</v>
      </c>
      <c r="AB4294" s="16" t="n">
        <v>2610</v>
      </c>
      <c r="AC4294" s="16" t="n">
        <v>4.782608695652174</v>
      </c>
      <c r="AD4294" s="16" t="n"/>
      <c r="AE4294" s="16" t="n"/>
    </row>
    <row r="4295">
      <c r="A4295" s="16" t="inlineStr">
        <is>
          <t>KF-M10-F3-0094</t>
        </is>
      </c>
      <c r="B4295" s="16" t="inlineStr">
        <is>
          <t>6.2</t>
        </is>
      </c>
      <c r="C4295" s="16" t="inlineStr">
        <is>
          <t>6.2a</t>
        </is>
      </c>
      <c r="D4295" s="16" t="inlineStr">
        <is>
          <t>Fase 3 de septiembre</t>
        </is>
      </c>
      <c r="E4295" s="16" t="inlineStr">
        <is>
          <t>KF-M10</t>
        </is>
      </c>
      <c r="F4295" s="16" t="inlineStr">
        <is>
          <t>KF-M10-F3</t>
        </is>
      </c>
      <c r="G4295" s="16" t="inlineStr">
        <is>
          <t>B14-F3</t>
        </is>
      </c>
      <c r="H4295" s="16" t="inlineStr">
        <is>
          <t>control</t>
        </is>
      </c>
      <c r="I4295" s="16" t="inlineStr">
        <is>
          <t>KALINA</t>
        </is>
      </c>
      <c r="J4295" s="16" t="inlineStr">
        <is>
          <t>KALINA</t>
        </is>
      </c>
      <c r="K4295" s="16" t="b">
        <v>1</v>
      </c>
      <c r="L4295" s="16" t="b">
        <v>1</v>
      </c>
      <c r="M4295" s="16" t="b">
        <v>0</v>
      </c>
      <c r="N4295" s="16" t="b">
        <v>0</v>
      </c>
      <c r="O4295" s="16" t="n">
        <v>394.15</v>
      </c>
      <c r="P4295" s="16" t="n">
        <v>278.15</v>
      </c>
      <c r="Q4295" s="16" t="n">
        <v>3300</v>
      </c>
      <c r="R4295" s="16" t="n">
        <v>1300</v>
      </c>
      <c r="S4295" s="16" t="n">
        <v>0.82</v>
      </c>
      <c r="T4295" s="16" t="n">
        <v>0.9</v>
      </c>
      <c r="U4295" s="16" t="n">
        <v>0.8</v>
      </c>
      <c r="V4295" s="16" t="n">
        <v>0.85</v>
      </c>
      <c r="W4295" s="16" t="n">
        <v>0.95</v>
      </c>
      <c r="X4295" s="16" t="n">
        <v>0.95</v>
      </c>
      <c r="Y4295" s="16" t="n">
        <v>303.55</v>
      </c>
      <c r="Z4295" s="16" t="n">
        <v>8.15343623160134</v>
      </c>
      <c r="AA4295" s="16" t="n">
        <v>72.94526677258047</v>
      </c>
      <c r="AB4295" s="16" t="n">
        <v>2000</v>
      </c>
      <c r="AC4295" s="16" t="n">
        <v>2.538461538461538</v>
      </c>
      <c r="AD4295" s="16" t="n"/>
      <c r="AE4295" s="16" t="n"/>
    </row>
    <row r="4296">
      <c r="A4296" s="16" t="inlineStr">
        <is>
          <t>KF-M10-F3-0095</t>
        </is>
      </c>
      <c r="B4296" s="16" t="inlineStr">
        <is>
          <t>6.2</t>
        </is>
      </c>
      <c r="C4296" s="16" t="inlineStr">
        <is>
          <t>6.2a</t>
        </is>
      </c>
      <c r="D4296" s="16" t="inlineStr">
        <is>
          <t>Fase 3 de septiembre</t>
        </is>
      </c>
      <c r="E4296" s="16" t="inlineStr">
        <is>
          <t>KF-M10</t>
        </is>
      </c>
      <c r="F4296" s="16" t="inlineStr">
        <is>
          <t>KF-M10-F3</t>
        </is>
      </c>
      <c r="G4296" s="16" t="inlineStr">
        <is>
          <t>B14-F3</t>
        </is>
      </c>
      <c r="H4296" s="16" t="inlineStr">
        <is>
          <t>control</t>
        </is>
      </c>
      <c r="I4296" s="16" t="inlineStr">
        <is>
          <t>KALINA</t>
        </is>
      </c>
      <c r="J4296" s="16" t="inlineStr">
        <is>
          <t>KALINA</t>
        </is>
      </c>
      <c r="K4296" s="16" t="b">
        <v>1</v>
      </c>
      <c r="L4296" s="16" t="b">
        <v>1</v>
      </c>
      <c r="M4296" s="16" t="b">
        <v>0</v>
      </c>
      <c r="N4296" s="16" t="b">
        <v>0</v>
      </c>
      <c r="O4296" s="16" t="n">
        <v>394.15</v>
      </c>
      <c r="P4296" s="16" t="n">
        <v>278.15</v>
      </c>
      <c r="Q4296" s="16" t="n">
        <v>3300</v>
      </c>
      <c r="R4296" s="16" t="n">
        <v>1200</v>
      </c>
      <c r="S4296" s="16" t="n">
        <v>0.78</v>
      </c>
      <c r="T4296" s="16" t="n">
        <v>0.9</v>
      </c>
      <c r="U4296" s="16" t="n">
        <v>0.8</v>
      </c>
      <c r="V4296" s="16" t="n">
        <v>0.85</v>
      </c>
      <c r="W4296" s="16" t="n">
        <v>0.95</v>
      </c>
      <c r="X4296" s="16" t="n">
        <v>0.95</v>
      </c>
      <c r="Y4296" s="16" t="n">
        <v>303.55</v>
      </c>
      <c r="Z4296" s="16" t="n">
        <v>8.643894254383291</v>
      </c>
      <c r="AA4296" s="16" t="n">
        <v>69.44793585351235</v>
      </c>
      <c r="AB4296" s="16" t="n">
        <v>2100</v>
      </c>
      <c r="AC4296" s="16" t="n">
        <v>2.75</v>
      </c>
      <c r="AD4296" s="16" t="n"/>
      <c r="AE4296" s="16" t="n"/>
    </row>
    <row r="4297">
      <c r="A4297" s="16" t="inlineStr">
        <is>
          <t>KF-M10-F3-0096</t>
        </is>
      </c>
      <c r="B4297" s="16" t="inlineStr">
        <is>
          <t>6.2</t>
        </is>
      </c>
      <c r="C4297" s="16" t="inlineStr">
        <is>
          <t>6.2a</t>
        </is>
      </c>
      <c r="D4297" s="16" t="inlineStr">
        <is>
          <t>Fase 3 de septiembre</t>
        </is>
      </c>
      <c r="E4297" s="16" t="inlineStr">
        <is>
          <t>KF-M10</t>
        </is>
      </c>
      <c r="F4297" s="16" t="inlineStr">
        <is>
          <t>KF-M10-F3</t>
        </is>
      </c>
      <c r="G4297" s="16" t="inlineStr">
        <is>
          <t>B14-F3</t>
        </is>
      </c>
      <c r="H4297" s="16" t="inlineStr">
        <is>
          <t>control</t>
        </is>
      </c>
      <c r="I4297" s="16" t="inlineStr">
        <is>
          <t>KALINA</t>
        </is>
      </c>
      <c r="J4297" s="16" t="inlineStr">
        <is>
          <t>KALINA</t>
        </is>
      </c>
      <c r="K4297" s="16" t="b">
        <v>1</v>
      </c>
      <c r="L4297" s="16" t="b">
        <v>1</v>
      </c>
      <c r="M4297" s="16" t="b">
        <v>0</v>
      </c>
      <c r="N4297" s="16" t="b">
        <v>0</v>
      </c>
      <c r="O4297" s="16" t="n">
        <v>394.15</v>
      </c>
      <c r="P4297" s="16" t="n">
        <v>278.15</v>
      </c>
      <c r="Q4297" s="16" t="n">
        <v>3300</v>
      </c>
      <c r="R4297" s="16" t="n">
        <v>1200</v>
      </c>
      <c r="S4297" s="16" t="n">
        <v>0.8</v>
      </c>
      <c r="T4297" s="16" t="n">
        <v>0.9</v>
      </c>
      <c r="U4297" s="16" t="n">
        <v>0.8</v>
      </c>
      <c r="V4297" s="16" t="n">
        <v>0.85</v>
      </c>
      <c r="W4297" s="16" t="n">
        <v>0.95</v>
      </c>
      <c r="X4297" s="16" t="n">
        <v>0.95</v>
      </c>
      <c r="Y4297" s="16" t="n">
        <v>303.55</v>
      </c>
      <c r="Z4297" s="16" t="n">
        <v>8.73497706771423</v>
      </c>
      <c r="AA4297" s="16" t="n">
        <v>74.19531384750783</v>
      </c>
      <c r="AB4297" s="16" t="n">
        <v>2100</v>
      </c>
      <c r="AC4297" s="16" t="n">
        <v>2.75</v>
      </c>
      <c r="AD4297" s="16" t="n"/>
      <c r="AE4297" s="16" t="n"/>
    </row>
    <row r="4298">
      <c r="A4298" s="16" t="inlineStr">
        <is>
          <t>KF-M10-OFAT-0000</t>
        </is>
      </c>
      <c r="B4298" s="16" t="inlineStr">
        <is>
          <t>6.2</t>
        </is>
      </c>
      <c r="C4298" s="16" t="inlineStr">
        <is>
          <t>6.2b</t>
        </is>
      </c>
      <c r="D4298" s="16" t="inlineStr">
        <is>
          <t>una variable a la vez</t>
        </is>
      </c>
      <c r="E4298" s="16" t="inlineStr">
        <is>
          <t>KF-M10</t>
        </is>
      </c>
      <c r="F4298" s="16" t="inlineStr">
        <is>
          <t>KF-M10-OFAT</t>
        </is>
      </c>
      <c r="G4298" s="16" t="inlineStr">
        <is>
          <t>B14-OFAT</t>
        </is>
      </c>
      <c r="H4298" s="16" t="inlineStr">
        <is>
          <t>oat</t>
        </is>
      </c>
      <c r="I4298" s="16" t="inlineStr">
        <is>
          <t>KALINA</t>
        </is>
      </c>
      <c r="J4298" s="16" t="inlineStr">
        <is>
          <t>KALINA</t>
        </is>
      </c>
      <c r="K4298" s="16" t="b">
        <v>1</v>
      </c>
      <c r="L4298" s="16" t="b">
        <v>1</v>
      </c>
      <c r="M4298" s="16" t="b">
        <v>0</v>
      </c>
      <c r="N4298" s="16" t="b">
        <v>0</v>
      </c>
      <c r="O4298" s="16" t="n">
        <v>380</v>
      </c>
      <c r="P4298" s="16" t="n">
        <v>278.15</v>
      </c>
      <c r="Q4298" s="16" t="n">
        <v>3300</v>
      </c>
      <c r="R4298" s="16" t="n">
        <v>690</v>
      </c>
      <c r="S4298" s="16" t="n">
        <v>0.82</v>
      </c>
      <c r="T4298" s="16" t="n">
        <v>0.9</v>
      </c>
      <c r="U4298" s="16" t="n">
        <v>0.8</v>
      </c>
      <c r="V4298" s="16" t="n">
        <v>0.85</v>
      </c>
      <c r="W4298" s="16" t="n">
        <v>0.75</v>
      </c>
      <c r="X4298" s="16" t="n">
        <v>0.95</v>
      </c>
      <c r="Y4298" s="16" t="n">
        <v>283.15</v>
      </c>
      <c r="Z4298" s="16" t="n">
        <v>12.20823127655215</v>
      </c>
      <c r="AA4298" s="16" t="n">
        <v>94.67805860340454</v>
      </c>
      <c r="AB4298" s="16" t="n">
        <v>2610</v>
      </c>
      <c r="AC4298" s="16" t="n">
        <v>4.782608695652174</v>
      </c>
      <c r="AD4298" s="16" t="n"/>
      <c r="AE4298" s="16" t="inlineStr">
        <is>
          <t>T_fuente</t>
        </is>
      </c>
    </row>
    <row r="4299">
      <c r="A4299" s="16" t="inlineStr">
        <is>
          <t>KF-M10-OFAT-0001</t>
        </is>
      </c>
      <c r="B4299" s="16" t="inlineStr">
        <is>
          <t>6.2</t>
        </is>
      </c>
      <c r="C4299" s="16" t="inlineStr">
        <is>
          <t>6.2b</t>
        </is>
      </c>
      <c r="D4299" s="16" t="inlineStr">
        <is>
          <t>una variable a la vez</t>
        </is>
      </c>
      <c r="E4299" s="16" t="inlineStr">
        <is>
          <t>KF-M10</t>
        </is>
      </c>
      <c r="F4299" s="16" t="inlineStr">
        <is>
          <t>KF-M10-OFAT</t>
        </is>
      </c>
      <c r="G4299" s="16" t="inlineStr">
        <is>
          <t>B14-OFAT</t>
        </is>
      </c>
      <c r="H4299" s="16" t="inlineStr">
        <is>
          <t>oat</t>
        </is>
      </c>
      <c r="I4299" s="16" t="inlineStr">
        <is>
          <t>KALINA</t>
        </is>
      </c>
      <c r="J4299" s="16" t="inlineStr">
        <is>
          <t>KALINA</t>
        </is>
      </c>
      <c r="K4299" s="16" t="b">
        <v>1</v>
      </c>
      <c r="L4299" s="16" t="b">
        <v>1</v>
      </c>
      <c r="M4299" s="16" t="b">
        <v>0</v>
      </c>
      <c r="N4299" s="16" t="b">
        <v>0</v>
      </c>
      <c r="O4299" s="16" t="n">
        <v>383.5714285714286</v>
      </c>
      <c r="P4299" s="16" t="n">
        <v>278.15</v>
      </c>
      <c r="Q4299" s="16" t="n">
        <v>3300</v>
      </c>
      <c r="R4299" s="16" t="n">
        <v>690</v>
      </c>
      <c r="S4299" s="16" t="n">
        <v>0.82</v>
      </c>
      <c r="T4299" s="16" t="n">
        <v>0.9</v>
      </c>
      <c r="U4299" s="16" t="n">
        <v>0.8</v>
      </c>
      <c r="V4299" s="16" t="n">
        <v>0.85</v>
      </c>
      <c r="W4299" s="16" t="n">
        <v>0.75</v>
      </c>
      <c r="X4299" s="16" t="n">
        <v>0.95</v>
      </c>
      <c r="Y4299" s="16" t="n">
        <v>283.15</v>
      </c>
      <c r="Z4299" s="16" t="n">
        <v>12.35372325098048</v>
      </c>
      <c r="AA4299" s="16" t="n">
        <v>100.6669452782452</v>
      </c>
      <c r="AB4299" s="16" t="n">
        <v>2610</v>
      </c>
      <c r="AC4299" s="16" t="n">
        <v>4.782608695652174</v>
      </c>
      <c r="AD4299" s="16" t="n"/>
      <c r="AE4299" s="16" t="inlineStr">
        <is>
          <t>T_fuente</t>
        </is>
      </c>
    </row>
    <row r="4300">
      <c r="A4300" s="16" t="inlineStr">
        <is>
          <t>KF-M10-OFAT-0002</t>
        </is>
      </c>
      <c r="B4300" s="16" t="inlineStr">
        <is>
          <t>6.2</t>
        </is>
      </c>
      <c r="C4300" s="16" t="inlineStr">
        <is>
          <t>6.2b</t>
        </is>
      </c>
      <c r="D4300" s="16" t="inlineStr">
        <is>
          <t>una variable a la vez</t>
        </is>
      </c>
      <c r="E4300" s="16" t="inlineStr">
        <is>
          <t>KF-M10</t>
        </is>
      </c>
      <c r="F4300" s="16" t="inlineStr">
        <is>
          <t>KF-M10-OFAT</t>
        </is>
      </c>
      <c r="G4300" s="16" t="inlineStr">
        <is>
          <t>B14-OFAT</t>
        </is>
      </c>
      <c r="H4300" s="16" t="inlineStr">
        <is>
          <t>oat</t>
        </is>
      </c>
      <c r="I4300" s="16" t="inlineStr">
        <is>
          <t>KALINA</t>
        </is>
      </c>
      <c r="J4300" s="16" t="inlineStr">
        <is>
          <t>KALINA</t>
        </is>
      </c>
      <c r="K4300" s="16" t="b">
        <v>1</v>
      </c>
      <c r="L4300" s="16" t="b">
        <v>1</v>
      </c>
      <c r="M4300" s="16" t="b">
        <v>0</v>
      </c>
      <c r="N4300" s="16" t="b">
        <v>0</v>
      </c>
      <c r="O4300" s="16" t="n">
        <v>387.1428571428572</v>
      </c>
      <c r="P4300" s="16" t="n">
        <v>278.15</v>
      </c>
      <c r="Q4300" s="16" t="n">
        <v>3300</v>
      </c>
      <c r="R4300" s="16" t="n">
        <v>690</v>
      </c>
      <c r="S4300" s="16" t="n">
        <v>0.82</v>
      </c>
      <c r="T4300" s="16" t="n">
        <v>0.9</v>
      </c>
      <c r="U4300" s="16" t="n">
        <v>0.8</v>
      </c>
      <c r="V4300" s="16" t="n">
        <v>0.85</v>
      </c>
      <c r="W4300" s="16" t="n">
        <v>0.75</v>
      </c>
      <c r="X4300" s="16" t="n">
        <v>0.95</v>
      </c>
      <c r="Y4300" s="16" t="n">
        <v>283.15</v>
      </c>
      <c r="Z4300" s="16" t="n">
        <v>12.48810964420102</v>
      </c>
      <c r="AA4300" s="16" t="n">
        <v>106.4491502168814</v>
      </c>
      <c r="AB4300" s="16" t="n">
        <v>2610</v>
      </c>
      <c r="AC4300" s="16" t="n">
        <v>4.782608695652174</v>
      </c>
      <c r="AD4300" s="16" t="n"/>
      <c r="AE4300" s="16" t="inlineStr">
        <is>
          <t>T_fuente</t>
        </is>
      </c>
    </row>
    <row r="4301">
      <c r="A4301" s="16" t="inlineStr">
        <is>
          <t>KF-M10-OFAT-0003</t>
        </is>
      </c>
      <c r="B4301" s="16" t="inlineStr">
        <is>
          <t>6.2</t>
        </is>
      </c>
      <c r="C4301" s="16" t="inlineStr">
        <is>
          <t>6.2b</t>
        </is>
      </c>
      <c r="D4301" s="16" t="inlineStr">
        <is>
          <t>una variable a la vez</t>
        </is>
      </c>
      <c r="E4301" s="16" t="inlineStr">
        <is>
          <t>KF-M10</t>
        </is>
      </c>
      <c r="F4301" s="16" t="inlineStr">
        <is>
          <t>KF-M10-OFAT</t>
        </is>
      </c>
      <c r="G4301" s="16" t="inlineStr">
        <is>
          <t>B14-OFAT</t>
        </is>
      </c>
      <c r="H4301" s="16" t="inlineStr">
        <is>
          <t>oat</t>
        </is>
      </c>
      <c r="I4301" s="16" t="inlineStr">
        <is>
          <t>KALINA</t>
        </is>
      </c>
      <c r="J4301" s="16" t="inlineStr">
        <is>
          <t>KALINA</t>
        </is>
      </c>
      <c r="K4301" s="16" t="b">
        <v>1</v>
      </c>
      <c r="L4301" s="16" t="b">
        <v>1</v>
      </c>
      <c r="M4301" s="16" t="b">
        <v>0</v>
      </c>
      <c r="N4301" s="16" t="b">
        <v>0</v>
      </c>
      <c r="O4301" s="16" t="n">
        <v>394.2857142857143</v>
      </c>
      <c r="P4301" s="16" t="n">
        <v>278.15</v>
      </c>
      <c r="Q4301" s="16" t="n">
        <v>3300</v>
      </c>
      <c r="R4301" s="16" t="n">
        <v>690</v>
      </c>
      <c r="S4301" s="16" t="n">
        <v>0.82</v>
      </c>
      <c r="T4301" s="16" t="n">
        <v>0.9</v>
      </c>
      <c r="U4301" s="16" t="n">
        <v>0.8</v>
      </c>
      <c r="V4301" s="16" t="n">
        <v>0.85</v>
      </c>
      <c r="W4301" s="16" t="n">
        <v>0.75</v>
      </c>
      <c r="X4301" s="16" t="n">
        <v>0.95</v>
      </c>
      <c r="Y4301" s="16" t="n">
        <v>283.15</v>
      </c>
      <c r="Z4301" s="16" t="n">
        <v>12.73637660744955</v>
      </c>
      <c r="AA4301" s="16" t="n">
        <v>117.8042356714541</v>
      </c>
      <c r="AB4301" s="16" t="n">
        <v>2610</v>
      </c>
      <c r="AC4301" s="16" t="n">
        <v>4.782608695652174</v>
      </c>
      <c r="AD4301" s="16" t="n"/>
      <c r="AE4301" s="16" t="inlineStr">
        <is>
          <t>T_fuente</t>
        </is>
      </c>
    </row>
    <row r="4302">
      <c r="A4302" s="16" t="inlineStr">
        <is>
          <t>KF-M10-OFAT-0004</t>
        </is>
      </c>
      <c r="B4302" s="16" t="inlineStr">
        <is>
          <t>6.2</t>
        </is>
      </c>
      <c r="C4302" s="16" t="inlineStr">
        <is>
          <t>6.2b</t>
        </is>
      </c>
      <c r="D4302" s="16" t="inlineStr">
        <is>
          <t>una variable a la vez</t>
        </is>
      </c>
      <c r="E4302" s="16" t="inlineStr">
        <is>
          <t>KF-M10</t>
        </is>
      </c>
      <c r="F4302" s="16" t="inlineStr">
        <is>
          <t>KF-M10-OFAT</t>
        </is>
      </c>
      <c r="G4302" s="16" t="inlineStr">
        <is>
          <t>B14-OFAT</t>
        </is>
      </c>
      <c r="H4302" s="16" t="inlineStr">
        <is>
          <t>oat</t>
        </is>
      </c>
      <c r="I4302" s="16" t="inlineStr">
        <is>
          <t>KALINA</t>
        </is>
      </c>
      <c r="J4302" s="16" t="inlineStr">
        <is>
          <t>KALINA</t>
        </is>
      </c>
      <c r="K4302" s="16" t="b">
        <v>1</v>
      </c>
      <c r="L4302" s="16" t="b">
        <v>1</v>
      </c>
      <c r="M4302" s="16" t="b">
        <v>0</v>
      </c>
      <c r="N4302" s="16" t="b">
        <v>0</v>
      </c>
      <c r="O4302" s="16" t="n">
        <v>390.7142857142857</v>
      </c>
      <c r="P4302" s="16" t="n">
        <v>278.15</v>
      </c>
      <c r="Q4302" s="16" t="n">
        <v>3300</v>
      </c>
      <c r="R4302" s="16" t="n">
        <v>690</v>
      </c>
      <c r="S4302" s="16" t="n">
        <v>0.82</v>
      </c>
      <c r="T4302" s="16" t="n">
        <v>0.9</v>
      </c>
      <c r="U4302" s="16" t="n">
        <v>0.8</v>
      </c>
      <c r="V4302" s="16" t="n">
        <v>0.85</v>
      </c>
      <c r="W4302" s="16" t="n">
        <v>0.75</v>
      </c>
      <c r="X4302" s="16" t="n">
        <v>0.95</v>
      </c>
      <c r="Y4302" s="16" t="n">
        <v>283.15</v>
      </c>
      <c r="Z4302" s="16" t="n">
        <v>12.61508420486608</v>
      </c>
      <c r="AA4302" s="16" t="n">
        <v>112.1344587875421</v>
      </c>
      <c r="AB4302" s="16" t="n">
        <v>2610</v>
      </c>
      <c r="AC4302" s="16" t="n">
        <v>4.782608695652174</v>
      </c>
      <c r="AD4302" s="16" t="n"/>
      <c r="AE4302" s="16" t="inlineStr">
        <is>
          <t>T_fuente</t>
        </is>
      </c>
    </row>
    <row r="4303">
      <c r="A4303" s="16" t="inlineStr">
        <is>
          <t>KF-M10-OFAT-0005</t>
        </is>
      </c>
      <c r="B4303" s="16" t="inlineStr">
        <is>
          <t>6.2</t>
        </is>
      </c>
      <c r="C4303" s="16" t="inlineStr">
        <is>
          <t>6.2b</t>
        </is>
      </c>
      <c r="D4303" s="16" t="inlineStr">
        <is>
          <t>una variable a la vez</t>
        </is>
      </c>
      <c r="E4303" s="16" t="inlineStr">
        <is>
          <t>KF-M10</t>
        </is>
      </c>
      <c r="F4303" s="16" t="inlineStr">
        <is>
          <t>KF-M10-OFAT</t>
        </is>
      </c>
      <c r="G4303" s="16" t="inlineStr">
        <is>
          <t>B14-OFAT</t>
        </is>
      </c>
      <c r="H4303" s="16" t="inlineStr">
        <is>
          <t>oat</t>
        </is>
      </c>
      <c r="I4303" s="16" t="inlineStr">
        <is>
          <t>KALINA</t>
        </is>
      </c>
      <c r="J4303" s="16" t="inlineStr">
        <is>
          <t>KALINA</t>
        </is>
      </c>
      <c r="K4303" s="16" t="b">
        <v>1</v>
      </c>
      <c r="L4303" s="16" t="b">
        <v>1</v>
      </c>
      <c r="M4303" s="16" t="b">
        <v>0</v>
      </c>
      <c r="N4303" s="16" t="b">
        <v>0</v>
      </c>
      <c r="O4303" s="16" t="n">
        <v>397.8571428571428</v>
      </c>
      <c r="P4303" s="16" t="n">
        <v>278.15</v>
      </c>
      <c r="Q4303" s="16" t="n">
        <v>3300</v>
      </c>
      <c r="R4303" s="16" t="n">
        <v>690</v>
      </c>
      <c r="S4303" s="16" t="n">
        <v>0.82</v>
      </c>
      <c r="T4303" s="16" t="n">
        <v>0.9</v>
      </c>
      <c r="U4303" s="16" t="n">
        <v>0.8</v>
      </c>
      <c r="V4303" s="16" t="n">
        <v>0.85</v>
      </c>
      <c r="W4303" s="16" t="n">
        <v>0.75</v>
      </c>
      <c r="X4303" s="16" t="n">
        <v>0.95</v>
      </c>
      <c r="Y4303" s="16" t="n">
        <v>283.15</v>
      </c>
      <c r="Z4303" s="16" t="n">
        <v>12.85223774220491</v>
      </c>
      <c r="AA4303" s="16" t="n">
        <v>123.5189637189282</v>
      </c>
      <c r="AB4303" s="16" t="n">
        <v>2610</v>
      </c>
      <c r="AC4303" s="16" t="n">
        <v>4.782608695652174</v>
      </c>
      <c r="AD4303" s="16" t="n"/>
      <c r="AE4303" s="16" t="inlineStr">
        <is>
          <t>T_fuente</t>
        </is>
      </c>
    </row>
    <row r="4304">
      <c r="A4304" s="16" t="inlineStr">
        <is>
          <t>KF-M10-OFAT-0006</t>
        </is>
      </c>
      <c r="B4304" s="16" t="inlineStr">
        <is>
          <t>6.2</t>
        </is>
      </c>
      <c r="C4304" s="16" t="inlineStr">
        <is>
          <t>6.2b</t>
        </is>
      </c>
      <c r="D4304" s="16" t="inlineStr">
        <is>
          <t>una variable a la vez</t>
        </is>
      </c>
      <c r="E4304" s="16" t="inlineStr">
        <is>
          <t>KF-M10</t>
        </is>
      </c>
      <c r="F4304" s="16" t="inlineStr">
        <is>
          <t>KF-M10-OFAT</t>
        </is>
      </c>
      <c r="G4304" s="16" t="inlineStr">
        <is>
          <t>B14-OFAT</t>
        </is>
      </c>
      <c r="H4304" s="16" t="inlineStr">
        <is>
          <t>oat</t>
        </is>
      </c>
      <c r="I4304" s="16" t="inlineStr">
        <is>
          <t>KALINA</t>
        </is>
      </c>
      <c r="J4304" s="16" t="inlineStr">
        <is>
          <t>KALINA</t>
        </is>
      </c>
      <c r="K4304" s="16" t="b">
        <v>1</v>
      </c>
      <c r="L4304" s="16" t="b">
        <v>1</v>
      </c>
      <c r="M4304" s="16" t="b">
        <v>0</v>
      </c>
      <c r="N4304" s="16" t="b">
        <v>0</v>
      </c>
      <c r="O4304" s="16" t="n">
        <v>401.4285714285714</v>
      </c>
      <c r="P4304" s="16" t="n">
        <v>278.15</v>
      </c>
      <c r="Q4304" s="16" t="n">
        <v>3300</v>
      </c>
      <c r="R4304" s="16" t="n">
        <v>690</v>
      </c>
      <c r="S4304" s="16" t="n">
        <v>0.82</v>
      </c>
      <c r="T4304" s="16" t="n">
        <v>0.9</v>
      </c>
      <c r="U4304" s="16" t="n">
        <v>0.8</v>
      </c>
      <c r="V4304" s="16" t="n">
        <v>0.85</v>
      </c>
      <c r="W4304" s="16" t="n">
        <v>0.75</v>
      </c>
      <c r="X4304" s="16" t="n">
        <v>0.95</v>
      </c>
      <c r="Y4304" s="16" t="n">
        <v>283.15</v>
      </c>
      <c r="Z4304" s="16" t="n">
        <v>12.9618409909477</v>
      </c>
      <c r="AA4304" s="16" t="n">
        <v>129.3238517930356</v>
      </c>
      <c r="AB4304" s="16" t="n">
        <v>2610</v>
      </c>
      <c r="AC4304" s="16" t="n">
        <v>4.782608695652174</v>
      </c>
      <c r="AD4304" s="16" t="n"/>
      <c r="AE4304" s="16" t="inlineStr">
        <is>
          <t>T_fuente</t>
        </is>
      </c>
    </row>
    <row r="4305">
      <c r="A4305" s="16" t="inlineStr">
        <is>
          <t>KF-M10-OFAT-0007</t>
        </is>
      </c>
      <c r="B4305" s="16" t="inlineStr">
        <is>
          <t>6.2</t>
        </is>
      </c>
      <c r="C4305" s="16" t="inlineStr">
        <is>
          <t>6.2b</t>
        </is>
      </c>
      <c r="D4305" s="16" t="inlineStr">
        <is>
          <t>una variable a la vez</t>
        </is>
      </c>
      <c r="E4305" s="16" t="inlineStr">
        <is>
          <t>KF-M10</t>
        </is>
      </c>
      <c r="F4305" s="16" t="inlineStr">
        <is>
          <t>KF-M10-OFAT</t>
        </is>
      </c>
      <c r="G4305" s="16" t="inlineStr">
        <is>
          <t>B14-OFAT</t>
        </is>
      </c>
      <c r="H4305" s="16" t="inlineStr">
        <is>
          <t>oat</t>
        </is>
      </c>
      <c r="I4305" s="16" t="inlineStr">
        <is>
          <t>CORREGIBLE</t>
        </is>
      </c>
      <c r="J4305" s="16" t="inlineStr">
        <is>
          <t>CORREGIBLE</t>
        </is>
      </c>
      <c r="K4305" s="16" t="b">
        <v>1</v>
      </c>
      <c r="L4305" s="16" t="b">
        <v>0</v>
      </c>
      <c r="M4305" s="16" t="b">
        <v>0</v>
      </c>
      <c r="N4305" s="16" t="b">
        <v>0</v>
      </c>
      <c r="O4305" s="16" t="n">
        <v>405</v>
      </c>
      <c r="P4305" s="16" t="n">
        <v>278.15</v>
      </c>
      <c r="Q4305" s="16" t="n">
        <v>3300</v>
      </c>
      <c r="R4305" s="16" t="n">
        <v>690</v>
      </c>
      <c r="S4305" s="16" t="n">
        <v>0.82</v>
      </c>
      <c r="T4305" s="16" t="n">
        <v>0.9</v>
      </c>
      <c r="U4305" s="16" t="n">
        <v>0.8</v>
      </c>
      <c r="V4305" s="16" t="n">
        <v>0.85</v>
      </c>
      <c r="W4305" s="16" t="n">
        <v>0.75</v>
      </c>
      <c r="X4305" s="16" t="n">
        <v>0.95</v>
      </c>
      <c r="Y4305" s="16" t="n">
        <v>283.15</v>
      </c>
      <c r="Z4305" s="16" t="n">
        <v>13.06365776565851</v>
      </c>
      <c r="AA4305" s="16" t="n">
        <v>135.2537031826379</v>
      </c>
      <c r="AB4305" s="16" t="n">
        <v>2610</v>
      </c>
      <c r="AC4305" s="16" t="n">
        <v>4.782608695652174</v>
      </c>
      <c r="AD4305" s="16" t="inlineStr">
        <is>
          <t>O2</t>
        </is>
      </c>
      <c r="AE4305" s="16" t="inlineStr">
        <is>
          <t>T_fuente</t>
        </is>
      </c>
    </row>
    <row r="4306">
      <c r="A4306" s="16" t="inlineStr">
        <is>
          <t>KF-M10-OFAT-0008</t>
        </is>
      </c>
      <c r="B4306" s="16" t="inlineStr">
        <is>
          <t>6.2</t>
        </is>
      </c>
      <c r="C4306" s="16" t="inlineStr">
        <is>
          <t>6.2b</t>
        </is>
      </c>
      <c r="D4306" s="16" t="inlineStr">
        <is>
          <t>una variable a la vez</t>
        </is>
      </c>
      <c r="E4306" s="16" t="inlineStr">
        <is>
          <t>KF-M10</t>
        </is>
      </c>
      <c r="F4306" s="16" t="inlineStr">
        <is>
          <t>KF-M10-OFAT</t>
        </is>
      </c>
      <c r="G4306" s="16" t="inlineStr">
        <is>
          <t>B14-OFAT</t>
        </is>
      </c>
      <c r="H4306" s="16" t="inlineStr">
        <is>
          <t>oat</t>
        </is>
      </c>
      <c r="I4306" s="16" t="inlineStr">
        <is>
          <t>CORREGIBLE</t>
        </is>
      </c>
      <c r="J4306" s="16" t="inlineStr">
        <is>
          <t>CORREGIBLE</t>
        </is>
      </c>
      <c r="K4306" s="16" t="b">
        <v>1</v>
      </c>
      <c r="L4306" s="16" t="b">
        <v>0</v>
      </c>
      <c r="M4306" s="16" t="b">
        <v>0</v>
      </c>
      <c r="N4306" s="16" t="b">
        <v>0</v>
      </c>
      <c r="O4306" s="16" t="n">
        <v>408.5714285714286</v>
      </c>
      <c r="P4306" s="16" t="n">
        <v>278.15</v>
      </c>
      <c r="Q4306" s="16" t="n">
        <v>3300</v>
      </c>
      <c r="R4306" s="16" t="n">
        <v>690</v>
      </c>
      <c r="S4306" s="16" t="n">
        <v>0.82</v>
      </c>
      <c r="T4306" s="16" t="n">
        <v>0.9</v>
      </c>
      <c r="U4306" s="16" t="n">
        <v>0.8</v>
      </c>
      <c r="V4306" s="16" t="n">
        <v>0.85</v>
      </c>
      <c r="W4306" s="16" t="n">
        <v>0.75</v>
      </c>
      <c r="X4306" s="16" t="n">
        <v>0.95</v>
      </c>
      <c r="Y4306" s="16" t="n">
        <v>283.15</v>
      </c>
      <c r="Z4306" s="16" t="n">
        <v>13.15580688455436</v>
      </c>
      <c r="AA4306" s="16" t="n">
        <v>141.337377424114</v>
      </c>
      <c r="AB4306" s="16" t="n">
        <v>2610</v>
      </c>
      <c r="AC4306" s="16" t="n">
        <v>4.782608695652174</v>
      </c>
      <c r="AD4306" s="16" t="inlineStr">
        <is>
          <t>O2</t>
        </is>
      </c>
      <c r="AE4306" s="16" t="inlineStr">
        <is>
          <t>T_fuente</t>
        </is>
      </c>
    </row>
    <row r="4307">
      <c r="A4307" s="16" t="inlineStr">
        <is>
          <t>KF-M10-OFAT-0009</t>
        </is>
      </c>
      <c r="B4307" s="16" t="inlineStr">
        <is>
          <t>6.2</t>
        </is>
      </c>
      <c r="C4307" s="16" t="inlineStr">
        <is>
          <t>6.2b</t>
        </is>
      </c>
      <c r="D4307" s="16" t="inlineStr">
        <is>
          <t>una variable a la vez</t>
        </is>
      </c>
      <c r="E4307" s="16" t="inlineStr">
        <is>
          <t>KF-M10</t>
        </is>
      </c>
      <c r="F4307" s="16" t="inlineStr">
        <is>
          <t>KF-M10-OFAT</t>
        </is>
      </c>
      <c r="G4307" s="16" t="inlineStr">
        <is>
          <t>B14-OFAT</t>
        </is>
      </c>
      <c r="H4307" s="16" t="inlineStr">
        <is>
          <t>oat</t>
        </is>
      </c>
      <c r="I4307" s="16" t="inlineStr">
        <is>
          <t>CORREGIBLE</t>
        </is>
      </c>
      <c r="J4307" s="16" t="inlineStr">
        <is>
          <t>CORREGIBLE</t>
        </is>
      </c>
      <c r="K4307" s="16" t="b">
        <v>1</v>
      </c>
      <c r="L4307" s="16" t="b">
        <v>0</v>
      </c>
      <c r="M4307" s="16" t="b">
        <v>0</v>
      </c>
      <c r="N4307" s="16" t="b">
        <v>0</v>
      </c>
      <c r="O4307" s="16" t="n">
        <v>412.1428571428572</v>
      </c>
      <c r="P4307" s="16" t="n">
        <v>278.15</v>
      </c>
      <c r="Q4307" s="16" t="n">
        <v>3300</v>
      </c>
      <c r="R4307" s="16" t="n">
        <v>690</v>
      </c>
      <c r="S4307" s="16" t="n">
        <v>0.82</v>
      </c>
      <c r="T4307" s="16" t="n">
        <v>0.9</v>
      </c>
      <c r="U4307" s="16" t="n">
        <v>0.8</v>
      </c>
      <c r="V4307" s="16" t="n">
        <v>0.85</v>
      </c>
      <c r="W4307" s="16" t="n">
        <v>0.75</v>
      </c>
      <c r="X4307" s="16" t="n">
        <v>0.95</v>
      </c>
      <c r="Y4307" s="16" t="n">
        <v>283.15</v>
      </c>
      <c r="Z4307" s="16" t="n">
        <v>13.23637542377315</v>
      </c>
      <c r="AA4307" s="16" t="n">
        <v>147.6020675738194</v>
      </c>
      <c r="AB4307" s="16" t="n">
        <v>2610</v>
      </c>
      <c r="AC4307" s="16" t="n">
        <v>4.782608695652174</v>
      </c>
      <c r="AD4307" s="16" t="inlineStr">
        <is>
          <t>O2</t>
        </is>
      </c>
      <c r="AE4307" s="16" t="inlineStr">
        <is>
          <t>T_fuente</t>
        </is>
      </c>
    </row>
    <row r="4308">
      <c r="A4308" s="16" t="inlineStr">
        <is>
          <t>KF-M10-OFAT-0010</t>
        </is>
      </c>
      <c r="B4308" s="16" t="inlineStr">
        <is>
          <t>6.2</t>
        </is>
      </c>
      <c r="C4308" s="16" t="inlineStr">
        <is>
          <t>6.2b</t>
        </is>
      </c>
      <c r="D4308" s="16" t="inlineStr">
        <is>
          <t>una variable a la vez</t>
        </is>
      </c>
      <c r="E4308" s="16" t="inlineStr">
        <is>
          <t>KF-M10</t>
        </is>
      </c>
      <c r="F4308" s="16" t="inlineStr">
        <is>
          <t>KF-M10-OFAT</t>
        </is>
      </c>
      <c r="G4308" s="16" t="inlineStr">
        <is>
          <t>B14-OFAT</t>
        </is>
      </c>
      <c r="H4308" s="16" t="inlineStr">
        <is>
          <t>oat</t>
        </is>
      </c>
      <c r="I4308" s="16" t="inlineStr">
        <is>
          <t>CORREGIBLE</t>
        </is>
      </c>
      <c r="J4308" s="16" t="inlineStr">
        <is>
          <t>CORREGIBLE</t>
        </is>
      </c>
      <c r="K4308" s="16" t="b">
        <v>1</v>
      </c>
      <c r="L4308" s="16" t="b">
        <v>0</v>
      </c>
      <c r="M4308" s="16" t="b">
        <v>0</v>
      </c>
      <c r="N4308" s="16" t="b">
        <v>0</v>
      </c>
      <c r="O4308" s="16" t="n">
        <v>415.7142857142857</v>
      </c>
      <c r="P4308" s="16" t="n">
        <v>278.15</v>
      </c>
      <c r="Q4308" s="16" t="n">
        <v>3300</v>
      </c>
      <c r="R4308" s="16" t="n">
        <v>690</v>
      </c>
      <c r="S4308" s="16" t="n">
        <v>0.82</v>
      </c>
      <c r="T4308" s="16" t="n">
        <v>0.9</v>
      </c>
      <c r="U4308" s="16" t="n">
        <v>0.8</v>
      </c>
      <c r="V4308" s="16" t="n">
        <v>0.85</v>
      </c>
      <c r="W4308" s="16" t="n">
        <v>0.75</v>
      </c>
      <c r="X4308" s="16" t="n">
        <v>0.95</v>
      </c>
      <c r="Y4308" s="16" t="n">
        <v>283.15</v>
      </c>
      <c r="Z4308" s="16" t="n">
        <v>13.30369533431542</v>
      </c>
      <c r="AA4308" s="16" t="n">
        <v>154.0773886323678</v>
      </c>
      <c r="AB4308" s="16" t="n">
        <v>2610</v>
      </c>
      <c r="AC4308" s="16" t="n">
        <v>4.782608695652174</v>
      </c>
      <c r="AD4308" s="16" t="inlineStr">
        <is>
          <t>O2</t>
        </is>
      </c>
      <c r="AE4308" s="16" t="inlineStr">
        <is>
          <t>T_fuente</t>
        </is>
      </c>
    </row>
    <row r="4309">
      <c r="A4309" s="16" t="inlineStr">
        <is>
          <t>KF-M10-OFAT-0011</t>
        </is>
      </c>
      <c r="B4309" s="16" t="inlineStr">
        <is>
          <t>6.2</t>
        </is>
      </c>
      <c r="C4309" s="16" t="inlineStr">
        <is>
          <t>6.2b</t>
        </is>
      </c>
      <c r="D4309" s="16" t="inlineStr">
        <is>
          <t>una variable a la vez</t>
        </is>
      </c>
      <c r="E4309" s="16" t="inlineStr">
        <is>
          <t>KF-M10</t>
        </is>
      </c>
      <c r="F4309" s="16" t="inlineStr">
        <is>
          <t>KF-M10-OFAT</t>
        </is>
      </c>
      <c r="G4309" s="16" t="inlineStr">
        <is>
          <t>B14-OFAT</t>
        </is>
      </c>
      <c r="H4309" s="16" t="inlineStr">
        <is>
          <t>oat</t>
        </is>
      </c>
      <c r="I4309" s="16" t="inlineStr">
        <is>
          <t>CORREGIBLE</t>
        </is>
      </c>
      <c r="J4309" s="16" t="inlineStr">
        <is>
          <t>CORREGIBLE</t>
        </is>
      </c>
      <c r="K4309" s="16" t="b">
        <v>1</v>
      </c>
      <c r="L4309" s="16" t="b">
        <v>0</v>
      </c>
      <c r="M4309" s="16" t="b">
        <v>0</v>
      </c>
      <c r="N4309" s="16" t="b">
        <v>0</v>
      </c>
      <c r="O4309" s="16" t="n">
        <v>422.8571428571429</v>
      </c>
      <c r="P4309" s="16" t="n">
        <v>278.15</v>
      </c>
      <c r="Q4309" s="16" t="n">
        <v>3300</v>
      </c>
      <c r="R4309" s="16" t="n">
        <v>690</v>
      </c>
      <c r="S4309" s="16" t="n">
        <v>0.82</v>
      </c>
      <c r="T4309" s="16" t="n">
        <v>0.9</v>
      </c>
      <c r="U4309" s="16" t="n">
        <v>0.8</v>
      </c>
      <c r="V4309" s="16" t="n">
        <v>0.85</v>
      </c>
      <c r="W4309" s="16" t="n">
        <v>0.75</v>
      </c>
      <c r="X4309" s="16" t="n">
        <v>0.95</v>
      </c>
      <c r="Y4309" s="16" t="n">
        <v>283.15</v>
      </c>
      <c r="Z4309" s="16" t="n">
        <v>13.39414678813139</v>
      </c>
      <c r="AA4309" s="16" t="n">
        <v>167.8102832852013</v>
      </c>
      <c r="AB4309" s="16" t="n">
        <v>2610</v>
      </c>
      <c r="AC4309" s="16" t="n">
        <v>4.782608695652174</v>
      </c>
      <c r="AD4309" s="16" t="inlineStr">
        <is>
          <t>O2</t>
        </is>
      </c>
      <c r="AE4309" s="16" t="inlineStr">
        <is>
          <t>T_fuente</t>
        </is>
      </c>
    </row>
    <row r="4310">
      <c r="A4310" s="16" t="inlineStr">
        <is>
          <t>KF-M10-OFAT-0012</t>
        </is>
      </c>
      <c r="B4310" s="16" t="inlineStr">
        <is>
          <t>6.2</t>
        </is>
      </c>
      <c r="C4310" s="16" t="inlineStr">
        <is>
          <t>6.2b</t>
        </is>
      </c>
      <c r="D4310" s="16" t="inlineStr">
        <is>
          <t>una variable a la vez</t>
        </is>
      </c>
      <c r="E4310" s="16" t="inlineStr">
        <is>
          <t>KF-M10</t>
        </is>
      </c>
      <c r="F4310" s="16" t="inlineStr">
        <is>
          <t>KF-M10-OFAT</t>
        </is>
      </c>
      <c r="G4310" s="16" t="inlineStr">
        <is>
          <t>B14-OFAT</t>
        </is>
      </c>
      <c r="H4310" s="16" t="inlineStr">
        <is>
          <t>oat</t>
        </is>
      </c>
      <c r="I4310" s="16" t="inlineStr">
        <is>
          <t>CORREGIBLE</t>
        </is>
      </c>
      <c r="J4310" s="16" t="inlineStr">
        <is>
          <t>CORREGIBLE</t>
        </is>
      </c>
      <c r="K4310" s="16" t="b">
        <v>1</v>
      </c>
      <c r="L4310" s="16" t="b">
        <v>0</v>
      </c>
      <c r="M4310" s="16" t="b">
        <v>0</v>
      </c>
      <c r="N4310" s="16" t="b">
        <v>0</v>
      </c>
      <c r="O4310" s="16" t="n">
        <v>419.2857142857143</v>
      </c>
      <c r="P4310" s="16" t="n">
        <v>278.15</v>
      </c>
      <c r="Q4310" s="16" t="n">
        <v>3300</v>
      </c>
      <c r="R4310" s="16" t="n">
        <v>690</v>
      </c>
      <c r="S4310" s="16" t="n">
        <v>0.82</v>
      </c>
      <c r="T4310" s="16" t="n">
        <v>0.9</v>
      </c>
      <c r="U4310" s="16" t="n">
        <v>0.8</v>
      </c>
      <c r="V4310" s="16" t="n">
        <v>0.85</v>
      </c>
      <c r="W4310" s="16" t="n">
        <v>0.75</v>
      </c>
      <c r="X4310" s="16" t="n">
        <v>0.95</v>
      </c>
      <c r="Y4310" s="16" t="n">
        <v>283.15</v>
      </c>
      <c r="Z4310" s="16" t="n">
        <v>13.35653045690038</v>
      </c>
      <c r="AA4310" s="16" t="n">
        <v>160.798841100899</v>
      </c>
      <c r="AB4310" s="16" t="n">
        <v>2610</v>
      </c>
      <c r="AC4310" s="16" t="n">
        <v>4.782608695652174</v>
      </c>
      <c r="AD4310" s="16" t="inlineStr">
        <is>
          <t>O2</t>
        </is>
      </c>
      <c r="AE4310" s="16" t="inlineStr">
        <is>
          <t>T_fuente</t>
        </is>
      </c>
    </row>
    <row r="4311">
      <c r="A4311" s="16" t="inlineStr">
        <is>
          <t>KF-M10-OFAT-0013</t>
        </is>
      </c>
      <c r="B4311" s="16" t="inlineStr">
        <is>
          <t>6.2</t>
        </is>
      </c>
      <c r="C4311" s="16" t="inlineStr">
        <is>
          <t>6.2b</t>
        </is>
      </c>
      <c r="D4311" s="16" t="inlineStr">
        <is>
          <t>una variable a la vez</t>
        </is>
      </c>
      <c r="E4311" s="16" t="inlineStr">
        <is>
          <t>KF-M10</t>
        </is>
      </c>
      <c r="F4311" s="16" t="inlineStr">
        <is>
          <t>KF-M10-OFAT</t>
        </is>
      </c>
      <c r="G4311" s="16" t="inlineStr">
        <is>
          <t>B14-OFAT</t>
        </is>
      </c>
      <c r="H4311" s="16" t="inlineStr">
        <is>
          <t>oat</t>
        </is>
      </c>
      <c r="I4311" s="16" t="inlineStr">
        <is>
          <t>CORREGIBLE</t>
        </is>
      </c>
      <c r="J4311" s="16" t="inlineStr">
        <is>
          <t>CORREGIBLE</t>
        </is>
      </c>
      <c r="K4311" s="16" t="b">
        <v>1</v>
      </c>
      <c r="L4311" s="16" t="b">
        <v>0</v>
      </c>
      <c r="M4311" s="16" t="b">
        <v>0</v>
      </c>
      <c r="N4311" s="16" t="b">
        <v>0</v>
      </c>
      <c r="O4311" s="16" t="n">
        <v>426.4285714285714</v>
      </c>
      <c r="P4311" s="16" t="n">
        <v>278.15</v>
      </c>
      <c r="Q4311" s="16" t="n">
        <v>3300</v>
      </c>
      <c r="R4311" s="16" t="n">
        <v>690</v>
      </c>
      <c r="S4311" s="16" t="n">
        <v>0.82</v>
      </c>
      <c r="T4311" s="16" t="n">
        <v>0.9</v>
      </c>
      <c r="U4311" s="16" t="n">
        <v>0.8</v>
      </c>
      <c r="V4311" s="16" t="n">
        <v>0.85</v>
      </c>
      <c r="W4311" s="16" t="n">
        <v>0.75</v>
      </c>
      <c r="X4311" s="16" t="n">
        <v>0.95</v>
      </c>
      <c r="Y4311" s="16" t="n">
        <v>283.15</v>
      </c>
      <c r="Z4311" s="16" t="n">
        <v>13.41628354475012</v>
      </c>
      <c r="AA4311" s="16" t="n">
        <v>175.1654839192862</v>
      </c>
      <c r="AB4311" s="16" t="n">
        <v>2610</v>
      </c>
      <c r="AC4311" s="16" t="n">
        <v>4.782608695652174</v>
      </c>
      <c r="AD4311" s="16" t="inlineStr">
        <is>
          <t>O2</t>
        </is>
      </c>
      <c r="AE4311" s="16" t="inlineStr">
        <is>
          <t>T_fuente</t>
        </is>
      </c>
    </row>
    <row r="4312">
      <c r="A4312" s="16" t="inlineStr">
        <is>
          <t>KF-M10-OFAT-0014</t>
        </is>
      </c>
      <c r="B4312" s="16" t="inlineStr">
        <is>
          <t>6.2</t>
        </is>
      </c>
      <c r="C4312" s="16" t="inlineStr">
        <is>
          <t>6.2b</t>
        </is>
      </c>
      <c r="D4312" s="16" t="inlineStr">
        <is>
          <t>una variable a la vez</t>
        </is>
      </c>
      <c r="E4312" s="16" t="inlineStr">
        <is>
          <t>KF-M10</t>
        </is>
      </c>
      <c r="F4312" s="16" t="inlineStr">
        <is>
          <t>KF-M10-OFAT</t>
        </is>
      </c>
      <c r="G4312" s="16" t="inlineStr">
        <is>
          <t>B14-OFAT</t>
        </is>
      </c>
      <c r="H4312" s="16" t="inlineStr">
        <is>
          <t>oat</t>
        </is>
      </c>
      <c r="I4312" s="16" t="inlineStr">
        <is>
          <t>KALINA</t>
        </is>
      </c>
      <c r="J4312" s="16" t="inlineStr">
        <is>
          <t>KALINA</t>
        </is>
      </c>
      <c r="K4312" s="16" t="b">
        <v>1</v>
      </c>
      <c r="L4312" s="16" t="b">
        <v>1</v>
      </c>
      <c r="M4312" s="16" t="b">
        <v>0</v>
      </c>
      <c r="N4312" s="16" t="b">
        <v>0</v>
      </c>
      <c r="O4312" s="16" t="n">
        <v>394.15</v>
      </c>
      <c r="P4312" s="16" t="n">
        <v>273.15</v>
      </c>
      <c r="Q4312" s="16" t="n">
        <v>3300</v>
      </c>
      <c r="R4312" s="16" t="n">
        <v>690</v>
      </c>
      <c r="S4312" s="16" t="n">
        <v>0.82</v>
      </c>
      <c r="T4312" s="16" t="n">
        <v>0.9</v>
      </c>
      <c r="U4312" s="16" t="n">
        <v>0.8</v>
      </c>
      <c r="V4312" s="16" t="n">
        <v>0.85</v>
      </c>
      <c r="W4312" s="16" t="n">
        <v>0.75</v>
      </c>
      <c r="X4312" s="16" t="n">
        <v>0.95</v>
      </c>
      <c r="Y4312" s="16" t="n">
        <v>283.15</v>
      </c>
      <c r="Z4312" s="16" t="n">
        <v>12.5093907482508</v>
      </c>
      <c r="AA4312" s="16" t="n">
        <v>117.2276897314344</v>
      </c>
      <c r="AB4312" s="16" t="n">
        <v>2610</v>
      </c>
      <c r="AC4312" s="16" t="n">
        <v>4.782608695652174</v>
      </c>
      <c r="AD4312" s="16" t="n"/>
      <c r="AE4312" s="16" t="inlineStr">
        <is>
          <t>T_sumidero</t>
        </is>
      </c>
    </row>
    <row r="4313">
      <c r="A4313" s="16" t="inlineStr">
        <is>
          <t>KF-M10-OFAT-0015</t>
        </is>
      </c>
      <c r="B4313" s="16" t="inlineStr">
        <is>
          <t>6.2</t>
        </is>
      </c>
      <c r="C4313" s="16" t="inlineStr">
        <is>
          <t>6.2b</t>
        </is>
      </c>
      <c r="D4313" s="16" t="inlineStr">
        <is>
          <t>una variable a la vez</t>
        </is>
      </c>
      <c r="E4313" s="16" t="inlineStr">
        <is>
          <t>KF-M10</t>
        </is>
      </c>
      <c r="F4313" s="16" t="inlineStr">
        <is>
          <t>KF-M10-OFAT</t>
        </is>
      </c>
      <c r="G4313" s="16" t="inlineStr">
        <is>
          <t>B14-OFAT</t>
        </is>
      </c>
      <c r="H4313" s="16" t="inlineStr">
        <is>
          <t>oat</t>
        </is>
      </c>
      <c r="I4313" s="16" t="inlineStr">
        <is>
          <t>CORREGIBLE</t>
        </is>
      </c>
      <c r="J4313" s="16" t="inlineStr">
        <is>
          <t>CORREGIBLE</t>
        </is>
      </c>
      <c r="K4313" s="16" t="b">
        <v>1</v>
      </c>
      <c r="L4313" s="16" t="b">
        <v>0</v>
      </c>
      <c r="M4313" s="16" t="b">
        <v>0</v>
      </c>
      <c r="N4313" s="16" t="b">
        <v>0</v>
      </c>
      <c r="O4313" s="16" t="n">
        <v>430</v>
      </c>
      <c r="P4313" s="16" t="n">
        <v>278.15</v>
      </c>
      <c r="Q4313" s="16" t="n">
        <v>3300</v>
      </c>
      <c r="R4313" s="16" t="n">
        <v>690</v>
      </c>
      <c r="S4313" s="16" t="n">
        <v>0.82</v>
      </c>
      <c r="T4313" s="16" t="n">
        <v>0.9</v>
      </c>
      <c r="U4313" s="16" t="n">
        <v>0.8</v>
      </c>
      <c r="V4313" s="16" t="n">
        <v>0.85</v>
      </c>
      <c r="W4313" s="16" t="n">
        <v>0.75</v>
      </c>
      <c r="X4313" s="16" t="n">
        <v>0.95</v>
      </c>
      <c r="Y4313" s="16" t="n">
        <v>283.15</v>
      </c>
      <c r="Z4313" s="16" t="n">
        <v>13.4230730280375</v>
      </c>
      <c r="AA4313" s="16" t="n">
        <v>182.9292323161979</v>
      </c>
      <c r="AB4313" s="16" t="n">
        <v>2610</v>
      </c>
      <c r="AC4313" s="16" t="n">
        <v>4.782608695652174</v>
      </c>
      <c r="AD4313" s="16" t="inlineStr">
        <is>
          <t>O2</t>
        </is>
      </c>
      <c r="AE4313" s="16" t="inlineStr">
        <is>
          <t>T_fuente</t>
        </is>
      </c>
    </row>
    <row r="4314">
      <c r="A4314" s="16" t="inlineStr">
        <is>
          <t>KF-M10-OFAT-0016</t>
        </is>
      </c>
      <c r="B4314" s="16" t="inlineStr">
        <is>
          <t>6.2</t>
        </is>
      </c>
      <c r="C4314" s="16" t="inlineStr">
        <is>
          <t>6.2b</t>
        </is>
      </c>
      <c r="D4314" s="16" t="inlineStr">
        <is>
          <t>una variable a la vez</t>
        </is>
      </c>
      <c r="E4314" s="16" t="inlineStr">
        <is>
          <t>KF-M10</t>
        </is>
      </c>
      <c r="F4314" s="16" t="inlineStr">
        <is>
          <t>KF-M10-OFAT</t>
        </is>
      </c>
      <c r="G4314" s="16" t="inlineStr">
        <is>
          <t>B14-OFAT</t>
        </is>
      </c>
      <c r="H4314" s="16" t="inlineStr">
        <is>
          <t>oat</t>
        </is>
      </c>
      <c r="I4314" s="16" t="inlineStr">
        <is>
          <t>KALINA</t>
        </is>
      </c>
      <c r="J4314" s="16" t="inlineStr">
        <is>
          <t>KALINA</t>
        </is>
      </c>
      <c r="K4314" s="16" t="b">
        <v>1</v>
      </c>
      <c r="L4314" s="16" t="b">
        <v>1</v>
      </c>
      <c r="M4314" s="16" t="b">
        <v>0</v>
      </c>
      <c r="N4314" s="16" t="b">
        <v>0</v>
      </c>
      <c r="O4314" s="16" t="n">
        <v>394.15</v>
      </c>
      <c r="P4314" s="16" t="n">
        <v>274.5785714285714</v>
      </c>
      <c r="Q4314" s="16" t="n">
        <v>3300</v>
      </c>
      <c r="R4314" s="16" t="n">
        <v>690</v>
      </c>
      <c r="S4314" s="16" t="n">
        <v>0.82</v>
      </c>
      <c r="T4314" s="16" t="n">
        <v>0.9</v>
      </c>
      <c r="U4314" s="16" t="n">
        <v>0.8</v>
      </c>
      <c r="V4314" s="16" t="n">
        <v>0.85</v>
      </c>
      <c r="W4314" s="16" t="n">
        <v>0.75</v>
      </c>
      <c r="X4314" s="16" t="n">
        <v>0.95</v>
      </c>
      <c r="Y4314" s="16" t="n">
        <v>283.15</v>
      </c>
      <c r="Z4314" s="16" t="n">
        <v>12.57211345384629</v>
      </c>
      <c r="AA4314" s="16" t="n">
        <v>117.3304914895599</v>
      </c>
      <c r="AB4314" s="16" t="n">
        <v>2610</v>
      </c>
      <c r="AC4314" s="16" t="n">
        <v>4.782608695652174</v>
      </c>
      <c r="AD4314" s="16" t="n"/>
      <c r="AE4314" s="16" t="inlineStr">
        <is>
          <t>T_sumidero</t>
        </is>
      </c>
    </row>
    <row r="4315">
      <c r="A4315" s="16" t="inlineStr">
        <is>
          <t>KF-M10-OFAT-0017</t>
        </is>
      </c>
      <c r="B4315" s="16" t="inlineStr">
        <is>
          <t>6.2</t>
        </is>
      </c>
      <c r="C4315" s="16" t="inlineStr">
        <is>
          <t>6.2b</t>
        </is>
      </c>
      <c r="D4315" s="16" t="inlineStr">
        <is>
          <t>una variable a la vez</t>
        </is>
      </c>
      <c r="E4315" s="16" t="inlineStr">
        <is>
          <t>KF-M10</t>
        </is>
      </c>
      <c r="F4315" s="16" t="inlineStr">
        <is>
          <t>KF-M10-OFAT</t>
        </is>
      </c>
      <c r="G4315" s="16" t="inlineStr">
        <is>
          <t>B14-OFAT</t>
        </is>
      </c>
      <c r="H4315" s="16" t="inlineStr">
        <is>
          <t>oat</t>
        </is>
      </c>
      <c r="I4315" s="16" t="inlineStr">
        <is>
          <t>KALINA</t>
        </is>
      </c>
      <c r="J4315" s="16" t="inlineStr">
        <is>
          <t>KALINA</t>
        </is>
      </c>
      <c r="K4315" s="16" t="b">
        <v>1</v>
      </c>
      <c r="L4315" s="16" t="b">
        <v>1</v>
      </c>
      <c r="M4315" s="16" t="b">
        <v>0</v>
      </c>
      <c r="N4315" s="16" t="b">
        <v>0</v>
      </c>
      <c r="O4315" s="16" t="n">
        <v>394.15</v>
      </c>
      <c r="P4315" s="16" t="n">
        <v>277.4357142857143</v>
      </c>
      <c r="Q4315" s="16" t="n">
        <v>3300</v>
      </c>
      <c r="R4315" s="16" t="n">
        <v>690</v>
      </c>
      <c r="S4315" s="16" t="n">
        <v>0.82</v>
      </c>
      <c r="T4315" s="16" t="n">
        <v>0.9</v>
      </c>
      <c r="U4315" s="16" t="n">
        <v>0.8</v>
      </c>
      <c r="V4315" s="16" t="n">
        <v>0.85</v>
      </c>
      <c r="W4315" s="16" t="n">
        <v>0.75</v>
      </c>
      <c r="X4315" s="16" t="n">
        <v>0.95</v>
      </c>
      <c r="Y4315" s="16" t="n">
        <v>283.15</v>
      </c>
      <c r="Z4315" s="16" t="n">
        <v>12.69957198274438</v>
      </c>
      <c r="AA4315" s="16" t="n">
        <v>117.5366393396027</v>
      </c>
      <c r="AB4315" s="16" t="n">
        <v>2610</v>
      </c>
      <c r="AC4315" s="16" t="n">
        <v>4.782608695652174</v>
      </c>
      <c r="AD4315" s="16" t="n"/>
      <c r="AE4315" s="16" t="inlineStr">
        <is>
          <t>T_sumidero</t>
        </is>
      </c>
    </row>
    <row r="4316">
      <c r="A4316" s="16" t="inlineStr">
        <is>
          <t>KF-M10-OFAT-0018</t>
        </is>
      </c>
      <c r="B4316" s="16" t="inlineStr">
        <is>
          <t>6.2</t>
        </is>
      </c>
      <c r="C4316" s="16" t="inlineStr">
        <is>
          <t>6.2b</t>
        </is>
      </c>
      <c r="D4316" s="16" t="inlineStr">
        <is>
          <t>una variable a la vez</t>
        </is>
      </c>
      <c r="E4316" s="16" t="inlineStr">
        <is>
          <t>KF-M10</t>
        </is>
      </c>
      <c r="F4316" s="16" t="inlineStr">
        <is>
          <t>KF-M10-OFAT</t>
        </is>
      </c>
      <c r="G4316" s="16" t="inlineStr">
        <is>
          <t>B14-OFAT</t>
        </is>
      </c>
      <c r="H4316" s="16" t="inlineStr">
        <is>
          <t>oat</t>
        </is>
      </c>
      <c r="I4316" s="16" t="inlineStr">
        <is>
          <t>KALINA</t>
        </is>
      </c>
      <c r="J4316" s="16" t="inlineStr">
        <is>
          <t>KALINA</t>
        </is>
      </c>
      <c r="K4316" s="16" t="b">
        <v>1</v>
      </c>
      <c r="L4316" s="16" t="b">
        <v>1</v>
      </c>
      <c r="M4316" s="16" t="b">
        <v>0</v>
      </c>
      <c r="N4316" s="16" t="b">
        <v>0</v>
      </c>
      <c r="O4316" s="16" t="n">
        <v>394.15</v>
      </c>
      <c r="P4316" s="16" t="n">
        <v>278.8642857142857</v>
      </c>
      <c r="Q4316" s="16" t="n">
        <v>3300</v>
      </c>
      <c r="R4316" s="16" t="n">
        <v>690</v>
      </c>
      <c r="S4316" s="16" t="n">
        <v>0.82</v>
      </c>
      <c r="T4316" s="16" t="n">
        <v>0.9</v>
      </c>
      <c r="U4316" s="16" t="n">
        <v>0.8</v>
      </c>
      <c r="V4316" s="16" t="n">
        <v>0.85</v>
      </c>
      <c r="W4316" s="16" t="n">
        <v>0.75</v>
      </c>
      <c r="X4316" s="16" t="n">
        <v>0.95</v>
      </c>
      <c r="Y4316" s="16" t="n">
        <v>283.15</v>
      </c>
      <c r="Z4316" s="16" t="n">
        <v>12.76433110190319</v>
      </c>
      <c r="AA4316" s="16" t="n">
        <v>117.6399882175908</v>
      </c>
      <c r="AB4316" s="16" t="n">
        <v>2610</v>
      </c>
      <c r="AC4316" s="16" t="n">
        <v>4.782608695652174</v>
      </c>
      <c r="AD4316" s="16" t="n"/>
      <c r="AE4316" s="16" t="inlineStr">
        <is>
          <t>T_sumidero</t>
        </is>
      </c>
    </row>
    <row r="4317">
      <c r="A4317" s="16" t="inlineStr">
        <is>
          <t>KF-M10-OFAT-0019</t>
        </is>
      </c>
      <c r="B4317" s="16" t="inlineStr">
        <is>
          <t>6.2</t>
        </is>
      </c>
      <c r="C4317" s="16" t="inlineStr">
        <is>
          <t>6.2b</t>
        </is>
      </c>
      <c r="D4317" s="16" t="inlineStr">
        <is>
          <t>una variable a la vez</t>
        </is>
      </c>
      <c r="E4317" s="16" t="inlineStr">
        <is>
          <t>KF-M10</t>
        </is>
      </c>
      <c r="F4317" s="16" t="inlineStr">
        <is>
          <t>KF-M10-OFAT</t>
        </is>
      </c>
      <c r="G4317" s="16" t="inlineStr">
        <is>
          <t>B14-OFAT</t>
        </is>
      </c>
      <c r="H4317" s="16" t="inlineStr">
        <is>
          <t>oat</t>
        </is>
      </c>
      <c r="I4317" s="16" t="inlineStr">
        <is>
          <t>KALINA</t>
        </is>
      </c>
      <c r="J4317" s="16" t="inlineStr">
        <is>
          <t>KALINA</t>
        </is>
      </c>
      <c r="K4317" s="16" t="b">
        <v>1</v>
      </c>
      <c r="L4317" s="16" t="b">
        <v>1</v>
      </c>
      <c r="M4317" s="16" t="b">
        <v>0</v>
      </c>
      <c r="N4317" s="16" t="b">
        <v>0</v>
      </c>
      <c r="O4317" s="16" t="n">
        <v>394.15</v>
      </c>
      <c r="P4317" s="16" t="n">
        <v>276.0071428571428</v>
      </c>
      <c r="Q4317" s="16" t="n">
        <v>3300</v>
      </c>
      <c r="R4317" s="16" t="n">
        <v>690</v>
      </c>
      <c r="S4317" s="16" t="n">
        <v>0.82</v>
      </c>
      <c r="T4317" s="16" t="n">
        <v>0.9</v>
      </c>
      <c r="U4317" s="16" t="n">
        <v>0.8</v>
      </c>
      <c r="V4317" s="16" t="n">
        <v>0.85</v>
      </c>
      <c r="W4317" s="16" t="n">
        <v>0.75</v>
      </c>
      <c r="X4317" s="16" t="n">
        <v>0.95</v>
      </c>
      <c r="Y4317" s="16" t="n">
        <v>283.15</v>
      </c>
      <c r="Z4317" s="16" t="n">
        <v>12.63550342842294</v>
      </c>
      <c r="AA4317" s="16" t="n">
        <v>117.4334751726706</v>
      </c>
      <c r="AB4317" s="16" t="n">
        <v>2610</v>
      </c>
      <c r="AC4317" s="16" t="n">
        <v>4.782608695652174</v>
      </c>
      <c r="AD4317" s="16" t="n"/>
      <c r="AE4317" s="16" t="inlineStr">
        <is>
          <t>T_sumidero</t>
        </is>
      </c>
    </row>
    <row r="4318">
      <c r="A4318" s="16" t="inlineStr">
        <is>
          <t>KF-M10-OFAT-0020</t>
        </is>
      </c>
      <c r="B4318" s="16" t="inlineStr">
        <is>
          <t>6.2</t>
        </is>
      </c>
      <c r="C4318" s="16" t="inlineStr">
        <is>
          <t>6.2b</t>
        </is>
      </c>
      <c r="D4318" s="16" t="inlineStr">
        <is>
          <t>una variable a la vez</t>
        </is>
      </c>
      <c r="E4318" s="16" t="inlineStr">
        <is>
          <t>KF-M10</t>
        </is>
      </c>
      <c r="F4318" s="16" t="inlineStr">
        <is>
          <t>KF-M10-OFAT</t>
        </is>
      </c>
      <c r="G4318" s="16" t="inlineStr">
        <is>
          <t>B14-OFAT</t>
        </is>
      </c>
      <c r="H4318" s="16" t="inlineStr">
        <is>
          <t>oat</t>
        </is>
      </c>
      <c r="I4318" s="16" t="inlineStr">
        <is>
          <t>KALINA</t>
        </is>
      </c>
      <c r="J4318" s="16" t="inlineStr">
        <is>
          <t>KALINA</t>
        </is>
      </c>
      <c r="K4318" s="16" t="b">
        <v>1</v>
      </c>
      <c r="L4318" s="16" t="b">
        <v>1</v>
      </c>
      <c r="M4318" s="16" t="b">
        <v>0</v>
      </c>
      <c r="N4318" s="16" t="b">
        <v>0</v>
      </c>
      <c r="O4318" s="16" t="n">
        <v>394.15</v>
      </c>
      <c r="P4318" s="16" t="n">
        <v>280.2928571428571</v>
      </c>
      <c r="Q4318" s="16" t="n">
        <v>3300</v>
      </c>
      <c r="R4318" s="16" t="n">
        <v>690</v>
      </c>
      <c r="S4318" s="16" t="n">
        <v>0.82</v>
      </c>
      <c r="T4318" s="16" t="n">
        <v>0.9</v>
      </c>
      <c r="U4318" s="16" t="n">
        <v>0.8</v>
      </c>
      <c r="V4318" s="16" t="n">
        <v>0.85</v>
      </c>
      <c r="W4318" s="16" t="n">
        <v>0.75</v>
      </c>
      <c r="X4318" s="16" t="n">
        <v>0.95</v>
      </c>
      <c r="Y4318" s="16" t="n">
        <v>283.15</v>
      </c>
      <c r="Z4318" s="16" t="n">
        <v>12.82979260730639</v>
      </c>
      <c r="AA4318" s="16" t="n">
        <v>117.7435202297443</v>
      </c>
      <c r="AB4318" s="16" t="n">
        <v>2610</v>
      </c>
      <c r="AC4318" s="16" t="n">
        <v>4.782608695652174</v>
      </c>
      <c r="AD4318" s="16" t="n"/>
      <c r="AE4318" s="16" t="inlineStr">
        <is>
          <t>T_sumidero</t>
        </is>
      </c>
    </row>
    <row r="4319">
      <c r="A4319" s="16" t="inlineStr">
        <is>
          <t>KF-M10-OFAT-0021</t>
        </is>
      </c>
      <c r="B4319" s="16" t="inlineStr">
        <is>
          <t>6.2</t>
        </is>
      </c>
      <c r="C4319" s="16" t="inlineStr">
        <is>
          <t>6.2b</t>
        </is>
      </c>
      <c r="D4319" s="16" t="inlineStr">
        <is>
          <t>una variable a la vez</t>
        </is>
      </c>
      <c r="E4319" s="16" t="inlineStr">
        <is>
          <t>KF-M10</t>
        </is>
      </c>
      <c r="F4319" s="16" t="inlineStr">
        <is>
          <t>KF-M10-OFAT</t>
        </is>
      </c>
      <c r="G4319" s="16" t="inlineStr">
        <is>
          <t>B14-OFAT</t>
        </is>
      </c>
      <c r="H4319" s="16" t="inlineStr">
        <is>
          <t>oat</t>
        </is>
      </c>
      <c r="I4319" s="16" t="inlineStr">
        <is>
          <t>KALINA</t>
        </is>
      </c>
      <c r="J4319" s="16" t="inlineStr">
        <is>
          <t>KALINA</t>
        </is>
      </c>
      <c r="K4319" s="16" t="b">
        <v>1</v>
      </c>
      <c r="L4319" s="16" t="b">
        <v>1</v>
      </c>
      <c r="M4319" s="16" t="b">
        <v>0</v>
      </c>
      <c r="N4319" s="16" t="b">
        <v>0</v>
      </c>
      <c r="O4319" s="16" t="n">
        <v>394.15</v>
      </c>
      <c r="P4319" s="16" t="n">
        <v>281.7214285714285</v>
      </c>
      <c r="Q4319" s="16" t="n">
        <v>3300</v>
      </c>
      <c r="R4319" s="16" t="n">
        <v>690</v>
      </c>
      <c r="S4319" s="16" t="n">
        <v>0.82</v>
      </c>
      <c r="T4319" s="16" t="n">
        <v>0.9</v>
      </c>
      <c r="U4319" s="16" t="n">
        <v>0.8</v>
      </c>
      <c r="V4319" s="16" t="n">
        <v>0.85</v>
      </c>
      <c r="W4319" s="16" t="n">
        <v>0.75</v>
      </c>
      <c r="X4319" s="16" t="n">
        <v>0.95</v>
      </c>
      <c r="Y4319" s="16" t="n">
        <v>283.15</v>
      </c>
      <c r="Z4319" s="16" t="n">
        <v>12.89596881634865</v>
      </c>
      <c r="AA4319" s="16" t="n">
        <v>117.847235801592</v>
      </c>
      <c r="AB4319" s="16" t="n">
        <v>2610</v>
      </c>
      <c r="AC4319" s="16" t="n">
        <v>4.782608695652174</v>
      </c>
      <c r="AD4319" s="16" t="n"/>
      <c r="AE4319" s="16" t="inlineStr">
        <is>
          <t>T_sumidero</t>
        </is>
      </c>
    </row>
    <row r="4320">
      <c r="A4320" s="16" t="inlineStr">
        <is>
          <t>KF-M10-OFAT-0022</t>
        </is>
      </c>
      <c r="B4320" s="16" t="inlineStr">
        <is>
          <t>6.2</t>
        </is>
      </c>
      <c r="C4320" s="16" t="inlineStr">
        <is>
          <t>6.2b</t>
        </is>
      </c>
      <c r="D4320" s="16" t="inlineStr">
        <is>
          <t>una variable a la vez</t>
        </is>
      </c>
      <c r="E4320" s="16" t="inlineStr">
        <is>
          <t>KF-M10</t>
        </is>
      </c>
      <c r="F4320" s="16" t="inlineStr">
        <is>
          <t>KF-M10-OFAT</t>
        </is>
      </c>
      <c r="G4320" s="16" t="inlineStr">
        <is>
          <t>B14-OFAT</t>
        </is>
      </c>
      <c r="H4320" s="16" t="inlineStr">
        <is>
          <t>oat</t>
        </is>
      </c>
      <c r="I4320" s="16" t="inlineStr">
        <is>
          <t>KALINA</t>
        </is>
      </c>
      <c r="J4320" s="16" t="inlineStr">
        <is>
          <t>KALINA</t>
        </is>
      </c>
      <c r="K4320" s="16" t="b">
        <v>1</v>
      </c>
      <c r="L4320" s="16" t="b">
        <v>1</v>
      </c>
      <c r="M4320" s="16" t="b">
        <v>0</v>
      </c>
      <c r="N4320" s="16" t="b">
        <v>0</v>
      </c>
      <c r="O4320" s="16" t="n">
        <v>394.15</v>
      </c>
      <c r="P4320" s="16" t="n">
        <v>283.15</v>
      </c>
      <c r="Q4320" s="16" t="n">
        <v>3300</v>
      </c>
      <c r="R4320" s="16" t="n">
        <v>690</v>
      </c>
      <c r="S4320" s="16" t="n">
        <v>0.82</v>
      </c>
      <c r="T4320" s="16" t="n">
        <v>0.9</v>
      </c>
      <c r="U4320" s="16" t="n">
        <v>0.8</v>
      </c>
      <c r="V4320" s="16" t="n">
        <v>0.85</v>
      </c>
      <c r="W4320" s="16" t="n">
        <v>0.75</v>
      </c>
      <c r="X4320" s="16" t="n">
        <v>0.95</v>
      </c>
      <c r="Y4320" s="16" t="n">
        <v>283.15</v>
      </c>
      <c r="Z4320" s="16" t="n">
        <v>12.96287238234715</v>
      </c>
      <c r="AA4320" s="16" t="n">
        <v>117.9511353938987</v>
      </c>
      <c r="AB4320" s="16" t="n">
        <v>2610</v>
      </c>
      <c r="AC4320" s="16" t="n">
        <v>4.782608695652174</v>
      </c>
      <c r="AD4320" s="16" t="n"/>
      <c r="AE4320" s="16" t="inlineStr">
        <is>
          <t>T_sumidero</t>
        </is>
      </c>
    </row>
    <row r="4321">
      <c r="A4321" s="16" t="inlineStr">
        <is>
          <t>KF-M10-OFAT-0023</t>
        </is>
      </c>
      <c r="B4321" s="16" t="inlineStr">
        <is>
          <t>6.2</t>
        </is>
      </c>
      <c r="C4321" s="16" t="inlineStr">
        <is>
          <t>6.2b</t>
        </is>
      </c>
      <c r="D4321" s="16" t="inlineStr">
        <is>
          <t>una variable a la vez</t>
        </is>
      </c>
      <c r="E4321" s="16" t="inlineStr">
        <is>
          <t>KF-M10</t>
        </is>
      </c>
      <c r="F4321" s="16" t="inlineStr">
        <is>
          <t>KF-M10-OFAT</t>
        </is>
      </c>
      <c r="G4321" s="16" t="inlineStr">
        <is>
          <t>B14-OFAT</t>
        </is>
      </c>
      <c r="H4321" s="16" t="inlineStr">
        <is>
          <t>oat</t>
        </is>
      </c>
      <c r="I4321" s="16" t="inlineStr">
        <is>
          <t>CORREGIBLE</t>
        </is>
      </c>
      <c r="J4321" s="16" t="inlineStr">
        <is>
          <t>CORREGIBLE</t>
        </is>
      </c>
      <c r="K4321" s="16" t="b">
        <v>1</v>
      </c>
      <c r="L4321" s="16" t="b">
        <v>0</v>
      </c>
      <c r="M4321" s="16" t="b">
        <v>0</v>
      </c>
      <c r="N4321" s="16" t="b">
        <v>0</v>
      </c>
      <c r="O4321" s="16" t="n">
        <v>394.15</v>
      </c>
      <c r="P4321" s="16" t="n">
        <v>284.5785714285714</v>
      </c>
      <c r="Q4321" s="16" t="n">
        <v>3300</v>
      </c>
      <c r="R4321" s="16" t="n">
        <v>690</v>
      </c>
      <c r="S4321" s="16" t="n">
        <v>0.82</v>
      </c>
      <c r="T4321" s="16" t="n">
        <v>0.9</v>
      </c>
      <c r="U4321" s="16" t="n">
        <v>0.8</v>
      </c>
      <c r="V4321" s="16" t="n">
        <v>0.85</v>
      </c>
      <c r="W4321" s="16" t="n">
        <v>0.75</v>
      </c>
      <c r="X4321" s="16" t="n">
        <v>0.95</v>
      </c>
      <c r="Y4321" s="16" t="n">
        <v>283.15</v>
      </c>
      <c r="Z4321" s="16" t="n">
        <v>13.03017048553408</v>
      </c>
      <c r="AA4321" s="16" t="n">
        <v>118.0518084956282</v>
      </c>
      <c r="AB4321" s="16" t="n">
        <v>2610</v>
      </c>
      <c r="AC4321" s="16" t="n">
        <v>4.782608695652174</v>
      </c>
      <c r="AD4321" s="16" t="inlineStr">
        <is>
          <t>O2</t>
        </is>
      </c>
      <c r="AE4321" s="16" t="inlineStr">
        <is>
          <t>T_sumidero</t>
        </is>
      </c>
    </row>
    <row r="4322">
      <c r="A4322" s="16" t="inlineStr">
        <is>
          <t>KF-M10-OFAT-0024</t>
        </is>
      </c>
      <c r="B4322" s="16" t="inlineStr">
        <is>
          <t>6.2</t>
        </is>
      </c>
      <c r="C4322" s="16" t="inlineStr">
        <is>
          <t>6.2b</t>
        </is>
      </c>
      <c r="D4322" s="16" t="inlineStr">
        <is>
          <t>una variable a la vez</t>
        </is>
      </c>
      <c r="E4322" s="16" t="inlineStr">
        <is>
          <t>KF-M10</t>
        </is>
      </c>
      <c r="F4322" s="16" t="inlineStr">
        <is>
          <t>KF-M10-OFAT</t>
        </is>
      </c>
      <c r="G4322" s="16" t="inlineStr">
        <is>
          <t>B14-OFAT</t>
        </is>
      </c>
      <c r="H4322" s="16" t="inlineStr">
        <is>
          <t>oat</t>
        </is>
      </c>
      <c r="I4322" s="16" t="inlineStr">
        <is>
          <t>CORREGIBLE</t>
        </is>
      </c>
      <c r="J4322" s="16" t="inlineStr">
        <is>
          <t>CORREGIBLE</t>
        </is>
      </c>
      <c r="K4322" s="16" t="b">
        <v>1</v>
      </c>
      <c r="L4322" s="16" t="b">
        <v>0</v>
      </c>
      <c r="M4322" s="16" t="b">
        <v>0</v>
      </c>
      <c r="N4322" s="16" t="b">
        <v>0</v>
      </c>
      <c r="O4322" s="16" t="n">
        <v>394.15</v>
      </c>
      <c r="P4322" s="16" t="n">
        <v>286.0071428571428</v>
      </c>
      <c r="Q4322" s="16" t="n">
        <v>3300</v>
      </c>
      <c r="R4322" s="16" t="n">
        <v>690</v>
      </c>
      <c r="S4322" s="16" t="n">
        <v>0.82</v>
      </c>
      <c r="T4322" s="16" t="n">
        <v>0.9</v>
      </c>
      <c r="U4322" s="16" t="n">
        <v>0.8</v>
      </c>
      <c r="V4322" s="16" t="n">
        <v>0.85</v>
      </c>
      <c r="W4322" s="16" t="n">
        <v>0.75</v>
      </c>
      <c r="X4322" s="16" t="n">
        <v>0.95</v>
      </c>
      <c r="Y4322" s="16" t="n">
        <v>283.15</v>
      </c>
      <c r="Z4322" s="16" t="n">
        <v>13.09510736092207</v>
      </c>
      <c r="AA4322" s="16" t="n">
        <v>118.1220856650627</v>
      </c>
      <c r="AB4322" s="16" t="n">
        <v>2610</v>
      </c>
      <c r="AC4322" s="16" t="n">
        <v>4.782608695652174</v>
      </c>
      <c r="AD4322" s="16" t="inlineStr">
        <is>
          <t>O2</t>
        </is>
      </c>
      <c r="AE4322" s="16" t="inlineStr">
        <is>
          <t>T_sumidero</t>
        </is>
      </c>
    </row>
    <row r="4323">
      <c r="A4323" s="16" t="inlineStr">
        <is>
          <t>KF-M10-OFAT-0025</t>
        </is>
      </c>
      <c r="B4323" s="16" t="inlineStr">
        <is>
          <t>6.2</t>
        </is>
      </c>
      <c r="C4323" s="16" t="inlineStr">
        <is>
          <t>6.2b</t>
        </is>
      </c>
      <c r="D4323" s="16" t="inlineStr">
        <is>
          <t>una variable a la vez</t>
        </is>
      </c>
      <c r="E4323" s="16" t="inlineStr">
        <is>
          <t>KF-M10</t>
        </is>
      </c>
      <c r="F4323" s="16" t="inlineStr">
        <is>
          <t>KF-M10-OFAT</t>
        </is>
      </c>
      <c r="G4323" s="16" t="inlineStr">
        <is>
          <t>B14-OFAT</t>
        </is>
      </c>
      <c r="H4323" s="16" t="inlineStr">
        <is>
          <t>oat</t>
        </is>
      </c>
      <c r="I4323" s="16" t="inlineStr">
        <is>
          <t>CORREGIBLE</t>
        </is>
      </c>
      <c r="J4323" s="16" t="inlineStr">
        <is>
          <t>CORREGIBLE</t>
        </is>
      </c>
      <c r="K4323" s="16" t="b">
        <v>1</v>
      </c>
      <c r="L4323" s="16" t="b">
        <v>0</v>
      </c>
      <c r="M4323" s="16" t="b">
        <v>0</v>
      </c>
      <c r="N4323" s="16" t="b">
        <v>0</v>
      </c>
      <c r="O4323" s="16" t="n">
        <v>394.15</v>
      </c>
      <c r="P4323" s="16" t="n">
        <v>287.4357142857143</v>
      </c>
      <c r="Q4323" s="16" t="n">
        <v>3300</v>
      </c>
      <c r="R4323" s="16" t="n">
        <v>690</v>
      </c>
      <c r="S4323" s="16" t="n">
        <v>0.82</v>
      </c>
      <c r="T4323" s="16" t="n">
        <v>0.9</v>
      </c>
      <c r="U4323" s="16" t="n">
        <v>0.8</v>
      </c>
      <c r="V4323" s="16" t="n">
        <v>0.85</v>
      </c>
      <c r="W4323" s="16" t="n">
        <v>0.75</v>
      </c>
      <c r="X4323" s="16" t="n">
        <v>0.95</v>
      </c>
      <c r="Y4323" s="16" t="n">
        <v>283.15</v>
      </c>
      <c r="Z4323" s="16" t="n">
        <v>13.15702847309799</v>
      </c>
      <c r="AA4323" s="16" t="n">
        <v>118.155781060123</v>
      </c>
      <c r="AB4323" s="16" t="n">
        <v>2610</v>
      </c>
      <c r="AC4323" s="16" t="n">
        <v>4.782608695652174</v>
      </c>
      <c r="AD4323" s="16" t="inlineStr">
        <is>
          <t>O2</t>
        </is>
      </c>
      <c r="AE4323" s="16" t="inlineStr">
        <is>
          <t>T_sumidero</t>
        </is>
      </c>
    </row>
    <row r="4324">
      <c r="A4324" s="16" t="inlineStr">
        <is>
          <t>KF-M10-OFAT-0026</t>
        </is>
      </c>
      <c r="B4324" s="16" t="inlineStr">
        <is>
          <t>6.2</t>
        </is>
      </c>
      <c r="C4324" s="16" t="inlineStr">
        <is>
          <t>6.2b</t>
        </is>
      </c>
      <c r="D4324" s="16" t="inlineStr">
        <is>
          <t>una variable a la vez</t>
        </is>
      </c>
      <c r="E4324" s="16" t="inlineStr">
        <is>
          <t>KF-M10</t>
        </is>
      </c>
      <c r="F4324" s="16" t="inlineStr">
        <is>
          <t>KF-M10-OFAT</t>
        </is>
      </c>
      <c r="G4324" s="16" t="inlineStr">
        <is>
          <t>B14-OFAT</t>
        </is>
      </c>
      <c r="H4324" s="16" t="inlineStr">
        <is>
          <t>oat</t>
        </is>
      </c>
      <c r="I4324" s="16" t="inlineStr">
        <is>
          <t>CORREGIBLE</t>
        </is>
      </c>
      <c r="J4324" s="16" t="inlineStr">
        <is>
          <t>CORREGIBLE</t>
        </is>
      </c>
      <c r="K4324" s="16" t="b">
        <v>1</v>
      </c>
      <c r="L4324" s="16" t="b">
        <v>0</v>
      </c>
      <c r="M4324" s="16" t="b">
        <v>0</v>
      </c>
      <c r="N4324" s="16" t="b">
        <v>0</v>
      </c>
      <c r="O4324" s="16" t="n">
        <v>394.15</v>
      </c>
      <c r="P4324" s="16" t="n">
        <v>288.8642857142857</v>
      </c>
      <c r="Q4324" s="16" t="n">
        <v>3300</v>
      </c>
      <c r="R4324" s="16" t="n">
        <v>690</v>
      </c>
      <c r="S4324" s="16" t="n">
        <v>0.82</v>
      </c>
      <c r="T4324" s="16" t="n">
        <v>0.9</v>
      </c>
      <c r="U4324" s="16" t="n">
        <v>0.8</v>
      </c>
      <c r="V4324" s="16" t="n">
        <v>0.85</v>
      </c>
      <c r="W4324" s="16" t="n">
        <v>0.75</v>
      </c>
      <c r="X4324" s="16" t="n">
        <v>0.95</v>
      </c>
      <c r="Y4324" s="16" t="n">
        <v>283.15</v>
      </c>
      <c r="Z4324" s="16" t="n">
        <v>13.21588588256055</v>
      </c>
      <c r="AA4324" s="16" t="n">
        <v>118.1527277117529</v>
      </c>
      <c r="AB4324" s="16" t="n">
        <v>2610</v>
      </c>
      <c r="AC4324" s="16" t="n">
        <v>4.782608695652174</v>
      </c>
      <c r="AD4324" s="16" t="inlineStr">
        <is>
          <t>O2</t>
        </is>
      </c>
      <c r="AE4324" s="16" t="inlineStr">
        <is>
          <t>T_sumidero</t>
        </is>
      </c>
    </row>
    <row r="4325">
      <c r="A4325" s="16" t="inlineStr">
        <is>
          <t>KF-M10-OFAT-0027</t>
        </is>
      </c>
      <c r="B4325" s="16" t="inlineStr">
        <is>
          <t>6.2</t>
        </is>
      </c>
      <c r="C4325" s="16" t="inlineStr">
        <is>
          <t>6.2b</t>
        </is>
      </c>
      <c r="D4325" s="16" t="inlineStr">
        <is>
          <t>una variable a la vez</t>
        </is>
      </c>
      <c r="E4325" s="16" t="inlineStr">
        <is>
          <t>KF-M10</t>
        </is>
      </c>
      <c r="F4325" s="16" t="inlineStr">
        <is>
          <t>KF-M10-OFAT</t>
        </is>
      </c>
      <c r="G4325" s="16" t="inlineStr">
        <is>
          <t>B14-OFAT</t>
        </is>
      </c>
      <c r="H4325" s="16" t="inlineStr">
        <is>
          <t>oat</t>
        </is>
      </c>
      <c r="I4325" s="16" t="inlineStr">
        <is>
          <t>CORREGIBLE</t>
        </is>
      </c>
      <c r="J4325" s="16" t="inlineStr">
        <is>
          <t>CORREGIBLE</t>
        </is>
      </c>
      <c r="K4325" s="16" t="b">
        <v>1</v>
      </c>
      <c r="L4325" s="16" t="b">
        <v>0</v>
      </c>
      <c r="M4325" s="16" t="b">
        <v>0</v>
      </c>
      <c r="N4325" s="16" t="b">
        <v>0</v>
      </c>
      <c r="O4325" s="16" t="n">
        <v>394.15</v>
      </c>
      <c r="P4325" s="16" t="n">
        <v>290.2928571428571</v>
      </c>
      <c r="Q4325" s="16" t="n">
        <v>3300</v>
      </c>
      <c r="R4325" s="16" t="n">
        <v>690</v>
      </c>
      <c r="S4325" s="16" t="n">
        <v>0.82</v>
      </c>
      <c r="T4325" s="16" t="n">
        <v>0.9</v>
      </c>
      <c r="U4325" s="16" t="n">
        <v>0.8</v>
      </c>
      <c r="V4325" s="16" t="n">
        <v>0.85</v>
      </c>
      <c r="W4325" s="16" t="n">
        <v>0.75</v>
      </c>
      <c r="X4325" s="16" t="n">
        <v>0.95</v>
      </c>
      <c r="Y4325" s="16" t="n">
        <v>283.15</v>
      </c>
      <c r="Z4325" s="16" t="n">
        <v>13.27161716519573</v>
      </c>
      <c r="AA4325" s="16" t="n">
        <v>118.112631295772</v>
      </c>
      <c r="AB4325" s="16" t="n">
        <v>2610</v>
      </c>
      <c r="AC4325" s="16" t="n">
        <v>4.782608695652174</v>
      </c>
      <c r="AD4325" s="16" t="inlineStr">
        <is>
          <t>O2</t>
        </is>
      </c>
      <c r="AE4325" s="16" t="inlineStr">
        <is>
          <t>T_sumidero</t>
        </is>
      </c>
    </row>
    <row r="4326">
      <c r="A4326" s="16" t="inlineStr">
        <is>
          <t>KF-M10-OFAT-0028</t>
        </is>
      </c>
      <c r="B4326" s="16" t="inlineStr">
        <is>
          <t>6.2</t>
        </is>
      </c>
      <c r="C4326" s="16" t="inlineStr">
        <is>
          <t>6.2b</t>
        </is>
      </c>
      <c r="D4326" s="16" t="inlineStr">
        <is>
          <t>una variable a la vez</t>
        </is>
      </c>
      <c r="E4326" s="16" t="inlineStr">
        <is>
          <t>KF-M10</t>
        </is>
      </c>
      <c r="F4326" s="16" t="inlineStr">
        <is>
          <t>KF-M10-OFAT</t>
        </is>
      </c>
      <c r="G4326" s="16" t="inlineStr">
        <is>
          <t>B14-OFAT</t>
        </is>
      </c>
      <c r="H4326" s="16" t="inlineStr">
        <is>
          <t>oat</t>
        </is>
      </c>
      <c r="I4326" s="16" t="inlineStr">
        <is>
          <t>CORREGIBLE</t>
        </is>
      </c>
      <c r="J4326" s="16" t="inlineStr">
        <is>
          <t>CORREGIBLE</t>
        </is>
      </c>
      <c r="K4326" s="16" t="b">
        <v>1</v>
      </c>
      <c r="L4326" s="16" t="b">
        <v>0</v>
      </c>
      <c r="M4326" s="16" t="b">
        <v>0</v>
      </c>
      <c r="N4326" s="16" t="b">
        <v>0</v>
      </c>
      <c r="O4326" s="16" t="n">
        <v>394.15</v>
      </c>
      <c r="P4326" s="16" t="n">
        <v>291.7214285714285</v>
      </c>
      <c r="Q4326" s="16" t="n">
        <v>3300</v>
      </c>
      <c r="R4326" s="16" t="n">
        <v>690</v>
      </c>
      <c r="S4326" s="16" t="n">
        <v>0.82</v>
      </c>
      <c r="T4326" s="16" t="n">
        <v>0.9</v>
      </c>
      <c r="U4326" s="16" t="n">
        <v>0.8</v>
      </c>
      <c r="V4326" s="16" t="n">
        <v>0.85</v>
      </c>
      <c r="W4326" s="16" t="n">
        <v>0.75</v>
      </c>
      <c r="X4326" s="16" t="n">
        <v>0.95</v>
      </c>
      <c r="Y4326" s="16" t="n">
        <v>283.15</v>
      </c>
      <c r="Z4326" s="16" t="n">
        <v>13.32416114891553</v>
      </c>
      <c r="AA4326" s="16" t="n">
        <v>118.0352255613104</v>
      </c>
      <c r="AB4326" s="16" t="n">
        <v>2610</v>
      </c>
      <c r="AC4326" s="16" t="n">
        <v>4.782608695652174</v>
      </c>
      <c r="AD4326" s="16" t="inlineStr">
        <is>
          <t>O2</t>
        </is>
      </c>
      <c r="AE4326" s="16" t="inlineStr">
        <is>
          <t>T_sumidero</t>
        </is>
      </c>
    </row>
    <row r="4327">
      <c r="A4327" s="16" t="inlineStr">
        <is>
          <t>KF-M10-OFAT-0029</t>
        </is>
      </c>
      <c r="B4327" s="16" t="inlineStr">
        <is>
          <t>6.2</t>
        </is>
      </c>
      <c r="C4327" s="16" t="inlineStr">
        <is>
          <t>6.2b</t>
        </is>
      </c>
      <c r="D4327" s="16" t="inlineStr">
        <is>
          <t>una variable a la vez</t>
        </is>
      </c>
      <c r="E4327" s="16" t="inlineStr">
        <is>
          <t>KF-M10</t>
        </is>
      </c>
      <c r="F4327" s="16" t="inlineStr">
        <is>
          <t>KF-M10-OFAT</t>
        </is>
      </c>
      <c r="G4327" s="16" t="inlineStr">
        <is>
          <t>B14-OFAT</t>
        </is>
      </c>
      <c r="H4327" s="16" t="inlineStr">
        <is>
          <t>oat</t>
        </is>
      </c>
      <c r="I4327" s="16" t="inlineStr">
        <is>
          <t>CORREGIBLE</t>
        </is>
      </c>
      <c r="J4327" s="16" t="inlineStr">
        <is>
          <t>CORREGIBLE</t>
        </is>
      </c>
      <c r="K4327" s="16" t="b">
        <v>1</v>
      </c>
      <c r="L4327" s="16" t="b">
        <v>0</v>
      </c>
      <c r="M4327" s="16" t="b">
        <v>0</v>
      </c>
      <c r="N4327" s="16" t="b">
        <v>0</v>
      </c>
      <c r="O4327" s="16" t="n">
        <v>394.15</v>
      </c>
      <c r="P4327" s="16" t="n">
        <v>293.15</v>
      </c>
      <c r="Q4327" s="16" t="n">
        <v>3300</v>
      </c>
      <c r="R4327" s="16" t="n">
        <v>690</v>
      </c>
      <c r="S4327" s="16" t="n">
        <v>0.82</v>
      </c>
      <c r="T4327" s="16" t="n">
        <v>0.9</v>
      </c>
      <c r="U4327" s="16" t="n">
        <v>0.8</v>
      </c>
      <c r="V4327" s="16" t="n">
        <v>0.85</v>
      </c>
      <c r="W4327" s="16" t="n">
        <v>0.75</v>
      </c>
      <c r="X4327" s="16" t="n">
        <v>0.95</v>
      </c>
      <c r="Y4327" s="16" t="n">
        <v>283.15</v>
      </c>
      <c r="Z4327" s="16" t="n">
        <v>13.6492120667962</v>
      </c>
      <c r="AA4327" s="16" t="n">
        <v>115.44699178468</v>
      </c>
      <c r="AB4327" s="16" t="n">
        <v>2610</v>
      </c>
      <c r="AC4327" s="16" t="n">
        <v>4.782608695652174</v>
      </c>
      <c r="AD4327" s="16" t="inlineStr">
        <is>
          <t>O2</t>
        </is>
      </c>
      <c r="AE4327" s="16" t="inlineStr">
        <is>
          <t>T_sumidero</t>
        </is>
      </c>
    </row>
    <row r="4328">
      <c r="A4328" s="16" t="inlineStr">
        <is>
          <t>KF-M10-OFAT-0030</t>
        </is>
      </c>
      <c r="B4328" s="16" t="inlineStr">
        <is>
          <t>6.2</t>
        </is>
      </c>
      <c r="C4328" s="16" t="inlineStr">
        <is>
          <t>6.2b</t>
        </is>
      </c>
      <c r="D4328" s="16" t="inlineStr">
        <is>
          <t>una variable a la vez</t>
        </is>
      </c>
      <c r="E4328" s="16" t="inlineStr">
        <is>
          <t>KF-M10</t>
        </is>
      </c>
      <c r="F4328" s="16" t="inlineStr">
        <is>
          <t>KF-M10-OFAT</t>
        </is>
      </c>
      <c r="G4328" s="16" t="inlineStr">
        <is>
          <t>B14-OFAT</t>
        </is>
      </c>
      <c r="H4328" s="16" t="inlineStr">
        <is>
          <t>oat</t>
        </is>
      </c>
      <c r="I4328" s="16" t="inlineStr">
        <is>
          <t>CORREGIBLE</t>
        </is>
      </c>
      <c r="J4328" s="16" t="inlineStr">
        <is>
          <t>CORREGIBLE</t>
        </is>
      </c>
      <c r="K4328" s="16" t="b">
        <v>1</v>
      </c>
      <c r="L4328" s="16" t="b">
        <v>0</v>
      </c>
      <c r="M4328" s="16" t="b">
        <v>0</v>
      </c>
      <c r="N4328" s="16" t="b">
        <v>0</v>
      </c>
      <c r="O4328" s="16" t="n">
        <v>394.15</v>
      </c>
      <c r="P4328" s="16" t="n">
        <v>278.15</v>
      </c>
      <c r="Q4328" s="16" t="n">
        <v>2500</v>
      </c>
      <c r="R4328" s="16" t="n">
        <v>690</v>
      </c>
      <c r="S4328" s="16" t="n">
        <v>0.82</v>
      </c>
      <c r="T4328" s="16" t="n">
        <v>0.9</v>
      </c>
      <c r="U4328" s="16" t="n">
        <v>0.8</v>
      </c>
      <c r="V4328" s="16" t="n">
        <v>0.85</v>
      </c>
      <c r="W4328" s="16" t="n">
        <v>0.75</v>
      </c>
      <c r="X4328" s="16" t="n">
        <v>0.95</v>
      </c>
      <c r="Y4328" s="16" t="n">
        <v>283.15</v>
      </c>
      <c r="Z4328" s="16" t="n">
        <v>11.0533056471649</v>
      </c>
      <c r="AA4328" s="16" t="n">
        <v>114.3445361195102</v>
      </c>
      <c r="AB4328" s="16" t="n">
        <v>1810</v>
      </c>
      <c r="AC4328" s="16" t="n">
        <v>3.623188405797102</v>
      </c>
      <c r="AD4328" s="16" t="inlineStr">
        <is>
          <t>O2</t>
        </is>
      </c>
      <c r="AE4328" s="16" t="inlineStr">
        <is>
          <t>P_alta</t>
        </is>
      </c>
    </row>
    <row r="4329">
      <c r="A4329" s="16" t="inlineStr">
        <is>
          <t>KF-M10-OFAT-0031</t>
        </is>
      </c>
      <c r="B4329" s="16" t="inlineStr">
        <is>
          <t>6.2</t>
        </is>
      </c>
      <c r="C4329" s="16" t="inlineStr">
        <is>
          <t>6.2b</t>
        </is>
      </c>
      <c r="D4329" s="16" t="inlineStr">
        <is>
          <t>una variable a la vez</t>
        </is>
      </c>
      <c r="E4329" s="16" t="inlineStr">
        <is>
          <t>KF-M10</t>
        </is>
      </c>
      <c r="F4329" s="16" t="inlineStr">
        <is>
          <t>KF-M10-OFAT</t>
        </is>
      </c>
      <c r="G4329" s="16" t="inlineStr">
        <is>
          <t>B14-OFAT</t>
        </is>
      </c>
      <c r="H4329" s="16" t="inlineStr">
        <is>
          <t>oat</t>
        </is>
      </c>
      <c r="I4329" s="16" t="inlineStr">
        <is>
          <t>CORREGIBLE</t>
        </is>
      </c>
      <c r="J4329" s="16" t="inlineStr">
        <is>
          <t>CORREGIBLE</t>
        </is>
      </c>
      <c r="K4329" s="16" t="b">
        <v>1</v>
      </c>
      <c r="L4329" s="16" t="b">
        <v>0</v>
      </c>
      <c r="M4329" s="16" t="b">
        <v>0</v>
      </c>
      <c r="N4329" s="16" t="b">
        <v>0</v>
      </c>
      <c r="O4329" s="16" t="n">
        <v>394.15</v>
      </c>
      <c r="P4329" s="16" t="n">
        <v>278.15</v>
      </c>
      <c r="Q4329" s="16" t="n">
        <v>2607.142857142857</v>
      </c>
      <c r="R4329" s="16" t="n">
        <v>690</v>
      </c>
      <c r="S4329" s="16" t="n">
        <v>0.82</v>
      </c>
      <c r="T4329" s="16" t="n">
        <v>0.9</v>
      </c>
      <c r="U4329" s="16" t="n">
        <v>0.8</v>
      </c>
      <c r="V4329" s="16" t="n">
        <v>0.85</v>
      </c>
      <c r="W4329" s="16" t="n">
        <v>0.75</v>
      </c>
      <c r="X4329" s="16" t="n">
        <v>0.95</v>
      </c>
      <c r="Y4329" s="16" t="n">
        <v>283.15</v>
      </c>
      <c r="Z4329" s="16" t="n">
        <v>11.3330600317638</v>
      </c>
      <c r="AA4329" s="16" t="n">
        <v>115.4240268308435</v>
      </c>
      <c r="AB4329" s="16" t="n">
        <v>1917.142857142857</v>
      </c>
      <c r="AC4329" s="16" t="n">
        <v>3.778467908902692</v>
      </c>
      <c r="AD4329" s="16" t="inlineStr">
        <is>
          <t>O2</t>
        </is>
      </c>
      <c r="AE4329" s="16" t="inlineStr">
        <is>
          <t>P_alta</t>
        </is>
      </c>
    </row>
    <row r="4330">
      <c r="A4330" s="16" t="inlineStr">
        <is>
          <t>KF-M10-OFAT-0032</t>
        </is>
      </c>
      <c r="B4330" s="16" t="inlineStr">
        <is>
          <t>6.2</t>
        </is>
      </c>
      <c r="C4330" s="16" t="inlineStr">
        <is>
          <t>6.2b</t>
        </is>
      </c>
      <c r="D4330" s="16" t="inlineStr">
        <is>
          <t>una variable a la vez</t>
        </is>
      </c>
      <c r="E4330" s="16" t="inlineStr">
        <is>
          <t>KF-M10</t>
        </is>
      </c>
      <c r="F4330" s="16" t="inlineStr">
        <is>
          <t>KF-M10-OFAT</t>
        </is>
      </c>
      <c r="G4330" s="16" t="inlineStr">
        <is>
          <t>B14-OFAT</t>
        </is>
      </c>
      <c r="H4330" s="16" t="inlineStr">
        <is>
          <t>oat</t>
        </is>
      </c>
      <c r="I4330" s="16" t="inlineStr">
        <is>
          <t>CORREGIBLE</t>
        </is>
      </c>
      <c r="J4330" s="16" t="inlineStr">
        <is>
          <t>CORREGIBLE</t>
        </is>
      </c>
      <c r="K4330" s="16" t="b">
        <v>1</v>
      </c>
      <c r="L4330" s="16" t="b">
        <v>0</v>
      </c>
      <c r="M4330" s="16" t="b">
        <v>0</v>
      </c>
      <c r="N4330" s="16" t="b">
        <v>0</v>
      </c>
      <c r="O4330" s="16" t="n">
        <v>394.15</v>
      </c>
      <c r="P4330" s="16" t="n">
        <v>278.15</v>
      </c>
      <c r="Q4330" s="16" t="n">
        <v>2714.285714285714</v>
      </c>
      <c r="R4330" s="16" t="n">
        <v>690</v>
      </c>
      <c r="S4330" s="16" t="n">
        <v>0.82</v>
      </c>
      <c r="T4330" s="16" t="n">
        <v>0.9</v>
      </c>
      <c r="U4330" s="16" t="n">
        <v>0.8</v>
      </c>
      <c r="V4330" s="16" t="n">
        <v>0.85</v>
      </c>
      <c r="W4330" s="16" t="n">
        <v>0.75</v>
      </c>
      <c r="X4330" s="16" t="n">
        <v>0.95</v>
      </c>
      <c r="Y4330" s="16" t="n">
        <v>283.15</v>
      </c>
      <c r="Z4330" s="16" t="n">
        <v>11.59332997056927</v>
      </c>
      <c r="AA4330" s="16" t="n">
        <v>116.2759884602476</v>
      </c>
      <c r="AB4330" s="16" t="n">
        <v>2024.285714285714</v>
      </c>
      <c r="AC4330" s="16" t="n">
        <v>3.933747412008282</v>
      </c>
      <c r="AD4330" s="16" t="inlineStr">
        <is>
          <t>O2</t>
        </is>
      </c>
      <c r="AE4330" s="16" t="inlineStr">
        <is>
          <t>P_alta</t>
        </is>
      </c>
    </row>
    <row r="4331">
      <c r="A4331" s="16" t="inlineStr">
        <is>
          <t>KF-M10-OFAT-0033</t>
        </is>
      </c>
      <c r="B4331" s="16" t="inlineStr">
        <is>
          <t>6.2</t>
        </is>
      </c>
      <c r="C4331" s="16" t="inlineStr">
        <is>
          <t>6.2b</t>
        </is>
      </c>
      <c r="D4331" s="16" t="inlineStr">
        <is>
          <t>una variable a la vez</t>
        </is>
      </c>
      <c r="E4331" s="16" t="inlineStr">
        <is>
          <t>KF-M10</t>
        </is>
      </c>
      <c r="F4331" s="16" t="inlineStr">
        <is>
          <t>KF-M10-OFAT</t>
        </is>
      </c>
      <c r="G4331" s="16" t="inlineStr">
        <is>
          <t>B14-OFAT</t>
        </is>
      </c>
      <c r="H4331" s="16" t="inlineStr">
        <is>
          <t>oat</t>
        </is>
      </c>
      <c r="I4331" s="16" t="inlineStr">
        <is>
          <t>KALINA</t>
        </is>
      </c>
      <c r="J4331" s="16" t="inlineStr">
        <is>
          <t>KALINA</t>
        </is>
      </c>
      <c r="K4331" s="16" t="b">
        <v>1</v>
      </c>
      <c r="L4331" s="16" t="b">
        <v>1</v>
      </c>
      <c r="M4331" s="16" t="b">
        <v>0</v>
      </c>
      <c r="N4331" s="16" t="b">
        <v>0</v>
      </c>
      <c r="O4331" s="16" t="n">
        <v>394.15</v>
      </c>
      <c r="P4331" s="16" t="n">
        <v>278.15</v>
      </c>
      <c r="Q4331" s="16" t="n">
        <v>2821.428571428572</v>
      </c>
      <c r="R4331" s="16" t="n">
        <v>690</v>
      </c>
      <c r="S4331" s="16" t="n">
        <v>0.82</v>
      </c>
      <c r="T4331" s="16" t="n">
        <v>0.9</v>
      </c>
      <c r="U4331" s="16" t="n">
        <v>0.8</v>
      </c>
      <c r="V4331" s="16" t="n">
        <v>0.85</v>
      </c>
      <c r="W4331" s="16" t="n">
        <v>0.75</v>
      </c>
      <c r="X4331" s="16" t="n">
        <v>0.95</v>
      </c>
      <c r="Y4331" s="16" t="n">
        <v>283.15</v>
      </c>
      <c r="Z4331" s="16" t="n">
        <v>11.83568349674035</v>
      </c>
      <c r="AA4331" s="16" t="n">
        <v>116.9185964471383</v>
      </c>
      <c r="AB4331" s="16" t="n">
        <v>2131.428571428572</v>
      </c>
      <c r="AC4331" s="16" t="n">
        <v>4.089026915113872</v>
      </c>
      <c r="AD4331" s="16" t="n"/>
      <c r="AE4331" s="16" t="inlineStr">
        <is>
          <t>P_alta</t>
        </is>
      </c>
    </row>
    <row r="4332">
      <c r="A4332" s="16" t="inlineStr">
        <is>
          <t>KF-M10-OFAT-0034</t>
        </is>
      </c>
      <c r="B4332" s="16" t="inlineStr">
        <is>
          <t>6.2</t>
        </is>
      </c>
      <c r="C4332" s="16" t="inlineStr">
        <is>
          <t>6.2b</t>
        </is>
      </c>
      <c r="D4332" s="16" t="inlineStr">
        <is>
          <t>una variable a la vez</t>
        </is>
      </c>
      <c r="E4332" s="16" t="inlineStr">
        <is>
          <t>KF-M10</t>
        </is>
      </c>
      <c r="F4332" s="16" t="inlineStr">
        <is>
          <t>KF-M10-OFAT</t>
        </is>
      </c>
      <c r="G4332" s="16" t="inlineStr">
        <is>
          <t>B14-OFAT</t>
        </is>
      </c>
      <c r="H4332" s="16" t="inlineStr">
        <is>
          <t>oat</t>
        </is>
      </c>
      <c r="I4332" s="16" t="inlineStr">
        <is>
          <t>KALINA</t>
        </is>
      </c>
      <c r="J4332" s="16" t="inlineStr">
        <is>
          <t>KALINA</t>
        </is>
      </c>
      <c r="K4332" s="16" t="b">
        <v>1</v>
      </c>
      <c r="L4332" s="16" t="b">
        <v>1</v>
      </c>
      <c r="M4332" s="16" t="b">
        <v>0</v>
      </c>
      <c r="N4332" s="16" t="b">
        <v>0</v>
      </c>
      <c r="O4332" s="16" t="n">
        <v>394.15</v>
      </c>
      <c r="P4332" s="16" t="n">
        <v>278.15</v>
      </c>
      <c r="Q4332" s="16" t="n">
        <v>2928.571428571428</v>
      </c>
      <c r="R4332" s="16" t="n">
        <v>690</v>
      </c>
      <c r="S4332" s="16" t="n">
        <v>0.82</v>
      </c>
      <c r="T4332" s="16" t="n">
        <v>0.9</v>
      </c>
      <c r="U4332" s="16" t="n">
        <v>0.8</v>
      </c>
      <c r="V4332" s="16" t="n">
        <v>0.85</v>
      </c>
      <c r="W4332" s="16" t="n">
        <v>0.75</v>
      </c>
      <c r="X4332" s="16" t="n">
        <v>0.95</v>
      </c>
      <c r="Y4332" s="16" t="n">
        <v>283.15</v>
      </c>
      <c r="Z4332" s="16" t="n">
        <v>12.06149842836869</v>
      </c>
      <c r="AA4332" s="16" t="n">
        <v>117.3673179249962</v>
      </c>
      <c r="AB4332" s="16" t="n">
        <v>2238.571428571428</v>
      </c>
      <c r="AC4332" s="16" t="n">
        <v>4.244306418219462</v>
      </c>
      <c r="AD4332" s="16" t="n"/>
      <c r="AE4332" s="16" t="inlineStr">
        <is>
          <t>P_alta</t>
        </is>
      </c>
    </row>
    <row r="4333">
      <c r="A4333" s="16" t="inlineStr">
        <is>
          <t>KF-M10-OFAT-0035</t>
        </is>
      </c>
      <c r="B4333" s="16" t="inlineStr">
        <is>
          <t>6.2</t>
        </is>
      </c>
      <c r="C4333" s="16" t="inlineStr">
        <is>
          <t>6.2b</t>
        </is>
      </c>
      <c r="D4333" s="16" t="inlineStr">
        <is>
          <t>una variable a la vez</t>
        </is>
      </c>
      <c r="E4333" s="16" t="inlineStr">
        <is>
          <t>KF-M10</t>
        </is>
      </c>
      <c r="F4333" s="16" t="inlineStr">
        <is>
          <t>KF-M10-OFAT</t>
        </is>
      </c>
      <c r="G4333" s="16" t="inlineStr">
        <is>
          <t>B14-OFAT</t>
        </is>
      </c>
      <c r="H4333" s="16" t="inlineStr">
        <is>
          <t>oat</t>
        </is>
      </c>
      <c r="I4333" s="16" t="inlineStr">
        <is>
          <t>KALINA</t>
        </is>
      </c>
      <c r="J4333" s="16" t="inlineStr">
        <is>
          <t>KALINA</t>
        </is>
      </c>
      <c r="K4333" s="16" t="b">
        <v>1</v>
      </c>
      <c r="L4333" s="16" t="b">
        <v>1</v>
      </c>
      <c r="M4333" s="16" t="b">
        <v>0</v>
      </c>
      <c r="N4333" s="16" t="b">
        <v>0</v>
      </c>
      <c r="O4333" s="16" t="n">
        <v>394.15</v>
      </c>
      <c r="P4333" s="16" t="n">
        <v>278.15</v>
      </c>
      <c r="Q4333" s="16" t="n">
        <v>3035.714285714286</v>
      </c>
      <c r="R4333" s="16" t="n">
        <v>690</v>
      </c>
      <c r="S4333" s="16" t="n">
        <v>0.82</v>
      </c>
      <c r="T4333" s="16" t="n">
        <v>0.9</v>
      </c>
      <c r="U4333" s="16" t="n">
        <v>0.8</v>
      </c>
      <c r="V4333" s="16" t="n">
        <v>0.85</v>
      </c>
      <c r="W4333" s="16" t="n">
        <v>0.75</v>
      </c>
      <c r="X4333" s="16" t="n">
        <v>0.95</v>
      </c>
      <c r="Y4333" s="16" t="n">
        <v>283.15</v>
      </c>
      <c r="Z4333" s="16" t="n">
        <v>12.27197794772116</v>
      </c>
      <c r="AA4333" s="16" t="n">
        <v>117.6352334089008</v>
      </c>
      <c r="AB4333" s="16" t="n">
        <v>2345.714285714286</v>
      </c>
      <c r="AC4333" s="16" t="n">
        <v>4.399585921325052</v>
      </c>
      <c r="AD4333" s="16" t="n"/>
      <c r="AE4333" s="16" t="inlineStr">
        <is>
          <t>P_alta</t>
        </is>
      </c>
    </row>
    <row r="4334">
      <c r="A4334" s="16" t="inlineStr">
        <is>
          <t>KF-M10-OFAT-0036</t>
        </is>
      </c>
      <c r="B4334" s="16" t="inlineStr">
        <is>
          <t>6.2</t>
        </is>
      </c>
      <c r="C4334" s="16" t="inlineStr">
        <is>
          <t>6.2b</t>
        </is>
      </c>
      <c r="D4334" s="16" t="inlineStr">
        <is>
          <t>una variable a la vez</t>
        </is>
      </c>
      <c r="E4334" s="16" t="inlineStr">
        <is>
          <t>KF-M10</t>
        </is>
      </c>
      <c r="F4334" s="16" t="inlineStr">
        <is>
          <t>KF-M10-OFAT</t>
        </is>
      </c>
      <c r="G4334" s="16" t="inlineStr">
        <is>
          <t>B14-OFAT</t>
        </is>
      </c>
      <c r="H4334" s="16" t="inlineStr">
        <is>
          <t>oat</t>
        </is>
      </c>
      <c r="I4334" s="16" t="inlineStr">
        <is>
          <t>KALINA</t>
        </is>
      </c>
      <c r="J4334" s="16" t="inlineStr">
        <is>
          <t>KALINA</t>
        </is>
      </c>
      <c r="K4334" s="16" t="b">
        <v>1</v>
      </c>
      <c r="L4334" s="16" t="b">
        <v>1</v>
      </c>
      <c r="M4334" s="16" t="b">
        <v>0</v>
      </c>
      <c r="N4334" s="16" t="b">
        <v>0</v>
      </c>
      <c r="O4334" s="16" t="n">
        <v>394.15</v>
      </c>
      <c r="P4334" s="16" t="n">
        <v>278.15</v>
      </c>
      <c r="Q4334" s="16" t="n">
        <v>3142.857142857143</v>
      </c>
      <c r="R4334" s="16" t="n">
        <v>690</v>
      </c>
      <c r="S4334" s="16" t="n">
        <v>0.82</v>
      </c>
      <c r="T4334" s="16" t="n">
        <v>0.9</v>
      </c>
      <c r="U4334" s="16" t="n">
        <v>0.8</v>
      </c>
      <c r="V4334" s="16" t="n">
        <v>0.85</v>
      </c>
      <c r="W4334" s="16" t="n">
        <v>0.75</v>
      </c>
      <c r="X4334" s="16" t="n">
        <v>0.95</v>
      </c>
      <c r="Y4334" s="16" t="n">
        <v>283.15</v>
      </c>
      <c r="Z4334" s="16" t="n">
        <v>12.46816263017079</v>
      </c>
      <c r="AA4334" s="16" t="n">
        <v>117.7332898591234</v>
      </c>
      <c r="AB4334" s="16" t="n">
        <v>2452.857142857143</v>
      </c>
      <c r="AC4334" s="16" t="n">
        <v>4.554865424430642</v>
      </c>
      <c r="AD4334" s="16" t="n"/>
      <c r="AE4334" s="16" t="inlineStr">
        <is>
          <t>P_alta</t>
        </is>
      </c>
    </row>
    <row r="4335">
      <c r="A4335" s="16" t="inlineStr">
        <is>
          <t>KF-M10-OFAT-0037</t>
        </is>
      </c>
      <c r="B4335" s="16" t="inlineStr">
        <is>
          <t>6.2</t>
        </is>
      </c>
      <c r="C4335" s="16" t="inlineStr">
        <is>
          <t>6.2b</t>
        </is>
      </c>
      <c r="D4335" s="16" t="inlineStr">
        <is>
          <t>una variable a la vez</t>
        </is>
      </c>
      <c r="E4335" s="16" t="inlineStr">
        <is>
          <t>KF-M10</t>
        </is>
      </c>
      <c r="F4335" s="16" t="inlineStr">
        <is>
          <t>KF-M10-OFAT</t>
        </is>
      </c>
      <c r="G4335" s="16" t="inlineStr">
        <is>
          <t>B14-OFAT</t>
        </is>
      </c>
      <c r="H4335" s="16" t="inlineStr">
        <is>
          <t>oat</t>
        </is>
      </c>
      <c r="I4335" s="16" t="inlineStr">
        <is>
          <t>KALINA</t>
        </is>
      </c>
      <c r="J4335" s="16" t="inlineStr">
        <is>
          <t>KALINA</t>
        </is>
      </c>
      <c r="K4335" s="16" t="b">
        <v>1</v>
      </c>
      <c r="L4335" s="16" t="b">
        <v>1</v>
      </c>
      <c r="M4335" s="16" t="b">
        <v>0</v>
      </c>
      <c r="N4335" s="16" t="b">
        <v>0</v>
      </c>
      <c r="O4335" s="16" t="n">
        <v>394.15</v>
      </c>
      <c r="P4335" s="16" t="n">
        <v>278.15</v>
      </c>
      <c r="Q4335" s="16" t="n">
        <v>3250</v>
      </c>
      <c r="R4335" s="16" t="n">
        <v>690</v>
      </c>
      <c r="S4335" s="16" t="n">
        <v>0.82</v>
      </c>
      <c r="T4335" s="16" t="n">
        <v>0.9</v>
      </c>
      <c r="U4335" s="16" t="n">
        <v>0.8</v>
      </c>
      <c r="V4335" s="16" t="n">
        <v>0.85</v>
      </c>
      <c r="W4335" s="16" t="n">
        <v>0.75</v>
      </c>
      <c r="X4335" s="16" t="n">
        <v>0.95</v>
      </c>
      <c r="Y4335" s="16" t="n">
        <v>283.15</v>
      </c>
      <c r="Z4335" s="16" t="n">
        <v>12.65094109088577</v>
      </c>
      <c r="AA4335" s="16" t="n">
        <v>117.6705155799111</v>
      </c>
      <c r="AB4335" s="16" t="n">
        <v>2560</v>
      </c>
      <c r="AC4335" s="16" t="n">
        <v>4.710144927536232</v>
      </c>
      <c r="AD4335" s="16" t="n"/>
      <c r="AE4335" s="16" t="inlineStr">
        <is>
          <t>P_alta</t>
        </is>
      </c>
    </row>
    <row r="4336">
      <c r="A4336" s="16" t="inlineStr">
        <is>
          <t>KF-M10-OFAT-0038</t>
        </is>
      </c>
      <c r="B4336" s="16" t="inlineStr">
        <is>
          <t>6.2</t>
        </is>
      </c>
      <c r="C4336" s="16" t="inlineStr">
        <is>
          <t>6.2b</t>
        </is>
      </c>
      <c r="D4336" s="16" t="inlineStr">
        <is>
          <t>una variable a la vez</t>
        </is>
      </c>
      <c r="E4336" s="16" t="inlineStr">
        <is>
          <t>KF-M10</t>
        </is>
      </c>
      <c r="F4336" s="16" t="inlineStr">
        <is>
          <t>KF-M10-OFAT</t>
        </is>
      </c>
      <c r="G4336" s="16" t="inlineStr">
        <is>
          <t>B14-OFAT</t>
        </is>
      </c>
      <c r="H4336" s="16" t="inlineStr">
        <is>
          <t>oat</t>
        </is>
      </c>
      <c r="I4336" s="16" t="inlineStr">
        <is>
          <t>KALINA</t>
        </is>
      </c>
      <c r="J4336" s="16" t="inlineStr">
        <is>
          <t>KALINA</t>
        </is>
      </c>
      <c r="K4336" s="16" t="b">
        <v>1</v>
      </c>
      <c r="L4336" s="16" t="b">
        <v>1</v>
      </c>
      <c r="M4336" s="16" t="b">
        <v>0</v>
      </c>
      <c r="N4336" s="16" t="b">
        <v>0</v>
      </c>
      <c r="O4336" s="16" t="n">
        <v>394.15</v>
      </c>
      <c r="P4336" s="16" t="n">
        <v>278.15</v>
      </c>
      <c r="Q4336" s="16" t="n">
        <v>3357.142857142857</v>
      </c>
      <c r="R4336" s="16" t="n">
        <v>690</v>
      </c>
      <c r="S4336" s="16" t="n">
        <v>0.82</v>
      </c>
      <c r="T4336" s="16" t="n">
        <v>0.9</v>
      </c>
      <c r="U4336" s="16" t="n">
        <v>0.8</v>
      </c>
      <c r="V4336" s="16" t="n">
        <v>0.85</v>
      </c>
      <c r="W4336" s="16" t="n">
        <v>0.75</v>
      </c>
      <c r="X4336" s="16" t="n">
        <v>0.95</v>
      </c>
      <c r="Y4336" s="16" t="n">
        <v>283.15</v>
      </c>
      <c r="Z4336" s="16" t="n">
        <v>12.82105831972853</v>
      </c>
      <c r="AA4336" s="16" t="n">
        <v>117.4541944131528</v>
      </c>
      <c r="AB4336" s="16" t="n">
        <v>2667.142857142857</v>
      </c>
      <c r="AC4336" s="16" t="n">
        <v>4.865424430641822</v>
      </c>
      <c r="AD4336" s="16" t="n"/>
      <c r="AE4336" s="16" t="inlineStr">
        <is>
          <t>P_alta</t>
        </is>
      </c>
    </row>
    <row r="4337">
      <c r="A4337" s="16" t="inlineStr">
        <is>
          <t>KF-M10-OFAT-0039</t>
        </is>
      </c>
      <c r="B4337" s="16" t="inlineStr">
        <is>
          <t>6.2</t>
        </is>
      </c>
      <c r="C4337" s="16" t="inlineStr">
        <is>
          <t>6.2b</t>
        </is>
      </c>
      <c r="D4337" s="16" t="inlineStr">
        <is>
          <t>una variable a la vez</t>
        </is>
      </c>
      <c r="E4337" s="16" t="inlineStr">
        <is>
          <t>KF-M10</t>
        </is>
      </c>
      <c r="F4337" s="16" t="inlineStr">
        <is>
          <t>KF-M10-OFAT</t>
        </is>
      </c>
      <c r="G4337" s="16" t="inlineStr">
        <is>
          <t>B14-OFAT</t>
        </is>
      </c>
      <c r="H4337" s="16" t="inlineStr">
        <is>
          <t>oat</t>
        </is>
      </c>
      <c r="I4337" s="16" t="inlineStr">
        <is>
          <t>KALINA</t>
        </is>
      </c>
      <c r="J4337" s="16" t="inlineStr">
        <is>
          <t>KALINA</t>
        </is>
      </c>
      <c r="K4337" s="16" t="b">
        <v>1</v>
      </c>
      <c r="L4337" s="16" t="b">
        <v>1</v>
      </c>
      <c r="M4337" s="16" t="b">
        <v>0</v>
      </c>
      <c r="N4337" s="16" t="b">
        <v>0</v>
      </c>
      <c r="O4337" s="16" t="n">
        <v>394.15</v>
      </c>
      <c r="P4337" s="16" t="n">
        <v>278.15</v>
      </c>
      <c r="Q4337" s="16" t="n">
        <v>3892.857142857143</v>
      </c>
      <c r="R4337" s="16" t="n">
        <v>690</v>
      </c>
      <c r="S4337" s="16" t="n">
        <v>0.82</v>
      </c>
      <c r="T4337" s="16" t="n">
        <v>0.9</v>
      </c>
      <c r="U4337" s="16" t="n">
        <v>0.8</v>
      </c>
      <c r="V4337" s="16" t="n">
        <v>0.85</v>
      </c>
      <c r="W4337" s="16" t="n">
        <v>0.75</v>
      </c>
      <c r="X4337" s="16" t="n">
        <v>0.95</v>
      </c>
      <c r="Y4337" s="16" t="n">
        <v>283.15</v>
      </c>
      <c r="Z4337" s="16" t="n">
        <v>13.49878734713285</v>
      </c>
      <c r="AA4337" s="16" t="n">
        <v>114.221396406814</v>
      </c>
      <c r="AB4337" s="16" t="n">
        <v>3202.857142857143</v>
      </c>
      <c r="AC4337" s="16" t="n">
        <v>5.641821946169773</v>
      </c>
      <c r="AD4337" s="16" t="n"/>
      <c r="AE4337" s="16" t="inlineStr">
        <is>
          <t>P_alta</t>
        </is>
      </c>
    </row>
    <row r="4338">
      <c r="A4338" s="16" t="inlineStr">
        <is>
          <t>KF-M10-OFAT-0040</t>
        </is>
      </c>
      <c r="B4338" s="16" t="inlineStr">
        <is>
          <t>6.2</t>
        </is>
      </c>
      <c r="C4338" s="16" t="inlineStr">
        <is>
          <t>6.2b</t>
        </is>
      </c>
      <c r="D4338" s="16" t="inlineStr">
        <is>
          <t>una variable a la vez</t>
        </is>
      </c>
      <c r="E4338" s="16" t="inlineStr">
        <is>
          <t>KF-M10</t>
        </is>
      </c>
      <c r="F4338" s="16" t="inlineStr">
        <is>
          <t>KF-M10-OFAT</t>
        </is>
      </c>
      <c r="G4338" s="16" t="inlineStr">
        <is>
          <t>B14-OFAT</t>
        </is>
      </c>
      <c r="H4338" s="16" t="inlineStr">
        <is>
          <t>oat</t>
        </is>
      </c>
      <c r="I4338" s="16" t="inlineStr">
        <is>
          <t>KALINA</t>
        </is>
      </c>
      <c r="J4338" s="16" t="inlineStr">
        <is>
          <t>KALINA</t>
        </is>
      </c>
      <c r="K4338" s="16" t="b">
        <v>1</v>
      </c>
      <c r="L4338" s="16" t="b">
        <v>1</v>
      </c>
      <c r="M4338" s="16" t="b">
        <v>0</v>
      </c>
      <c r="N4338" s="16" t="b">
        <v>0</v>
      </c>
      <c r="O4338" s="16" t="n">
        <v>394.15</v>
      </c>
      <c r="P4338" s="16" t="n">
        <v>278.15</v>
      </c>
      <c r="Q4338" s="16" t="n">
        <v>3785.714285714286</v>
      </c>
      <c r="R4338" s="16" t="n">
        <v>690</v>
      </c>
      <c r="S4338" s="16" t="n">
        <v>0.82</v>
      </c>
      <c r="T4338" s="16" t="n">
        <v>0.9</v>
      </c>
      <c r="U4338" s="16" t="n">
        <v>0.8</v>
      </c>
      <c r="V4338" s="16" t="n">
        <v>0.85</v>
      </c>
      <c r="W4338" s="16" t="n">
        <v>0.75</v>
      </c>
      <c r="X4338" s="16" t="n">
        <v>0.95</v>
      </c>
      <c r="Y4338" s="16" t="n">
        <v>283.15</v>
      </c>
      <c r="Z4338" s="16" t="n">
        <v>13.3852549291339</v>
      </c>
      <c r="AA4338" s="16" t="n">
        <v>115.1467253428534</v>
      </c>
      <c r="AB4338" s="16" t="n">
        <v>3095.714285714286</v>
      </c>
      <c r="AC4338" s="16" t="n">
        <v>5.486542443064183</v>
      </c>
      <c r="AD4338" s="16" t="n"/>
      <c r="AE4338" s="16" t="inlineStr">
        <is>
          <t>P_alta</t>
        </is>
      </c>
    </row>
    <row r="4339">
      <c r="A4339" s="16" t="inlineStr">
        <is>
          <t>KF-M10-OFAT-0041</t>
        </is>
      </c>
      <c r="B4339" s="16" t="inlineStr">
        <is>
          <t>6.2</t>
        </is>
      </c>
      <c r="C4339" s="16" t="inlineStr">
        <is>
          <t>6.2b</t>
        </is>
      </c>
      <c r="D4339" s="16" t="inlineStr">
        <is>
          <t>una variable a la vez</t>
        </is>
      </c>
      <c r="E4339" s="16" t="inlineStr">
        <is>
          <t>KF-M10</t>
        </is>
      </c>
      <c r="F4339" s="16" t="inlineStr">
        <is>
          <t>KF-M10-OFAT</t>
        </is>
      </c>
      <c r="G4339" s="16" t="inlineStr">
        <is>
          <t>B14-OFAT</t>
        </is>
      </c>
      <c r="H4339" s="16" t="inlineStr">
        <is>
          <t>oat</t>
        </is>
      </c>
      <c r="I4339" s="16" t="inlineStr">
        <is>
          <t>KALINA</t>
        </is>
      </c>
      <c r="J4339" s="16" t="inlineStr">
        <is>
          <t>KALINA</t>
        </is>
      </c>
      <c r="K4339" s="16" t="b">
        <v>1</v>
      </c>
      <c r="L4339" s="16" t="b">
        <v>1</v>
      </c>
      <c r="M4339" s="16" t="b">
        <v>0</v>
      </c>
      <c r="N4339" s="16" t="b">
        <v>0</v>
      </c>
      <c r="O4339" s="16" t="n">
        <v>394.15</v>
      </c>
      <c r="P4339" s="16" t="n">
        <v>278.15</v>
      </c>
      <c r="Q4339" s="16" t="n">
        <v>4000</v>
      </c>
      <c r="R4339" s="16" t="n">
        <v>690</v>
      </c>
      <c r="S4339" s="16" t="n">
        <v>0.82</v>
      </c>
      <c r="T4339" s="16" t="n">
        <v>0.9</v>
      </c>
      <c r="U4339" s="16" t="n">
        <v>0.8</v>
      </c>
      <c r="V4339" s="16" t="n">
        <v>0.85</v>
      </c>
      <c r="W4339" s="16" t="n">
        <v>0.75</v>
      </c>
      <c r="X4339" s="16" t="n">
        <v>0.95</v>
      </c>
      <c r="Y4339" s="16" t="n">
        <v>283.15</v>
      </c>
      <c r="Z4339" s="16" t="n">
        <v>13.60155540212271</v>
      </c>
      <c r="AA4339" s="16" t="n">
        <v>113.1576412195144</v>
      </c>
      <c r="AB4339" s="16" t="n">
        <v>3310</v>
      </c>
      <c r="AC4339" s="16" t="n">
        <v>5.797101449275362</v>
      </c>
      <c r="AD4339" s="16" t="n"/>
      <c r="AE4339" s="16" t="inlineStr">
        <is>
          <t>P_alta</t>
        </is>
      </c>
    </row>
    <row r="4340">
      <c r="A4340" s="16" t="inlineStr">
        <is>
          <t>KF-M10-OFAT-0042</t>
        </is>
      </c>
      <c r="B4340" s="16" t="inlineStr">
        <is>
          <t>6.2</t>
        </is>
      </c>
      <c r="C4340" s="16" t="inlineStr">
        <is>
          <t>6.2b</t>
        </is>
      </c>
      <c r="D4340" s="16" t="inlineStr">
        <is>
          <t>una variable a la vez</t>
        </is>
      </c>
      <c r="E4340" s="16" t="inlineStr">
        <is>
          <t>KF-M10</t>
        </is>
      </c>
      <c r="F4340" s="16" t="inlineStr">
        <is>
          <t>KF-M10-OFAT</t>
        </is>
      </c>
      <c r="G4340" s="16" t="inlineStr">
        <is>
          <t>B14-OFAT</t>
        </is>
      </c>
      <c r="H4340" s="16" t="inlineStr">
        <is>
          <t>oat</t>
        </is>
      </c>
      <c r="I4340" s="16" t="inlineStr">
        <is>
          <t>KALINA</t>
        </is>
      </c>
      <c r="J4340" s="16" t="inlineStr">
        <is>
          <t>KALINA</t>
        </is>
      </c>
      <c r="K4340" s="16" t="b">
        <v>1</v>
      </c>
      <c r="L4340" s="16" t="b">
        <v>1</v>
      </c>
      <c r="M4340" s="16" t="b">
        <v>0</v>
      </c>
      <c r="N4340" s="16" t="b">
        <v>0</v>
      </c>
      <c r="O4340" s="16" t="n">
        <v>394.15</v>
      </c>
      <c r="P4340" s="16" t="n">
        <v>278.15</v>
      </c>
      <c r="Q4340" s="16" t="n">
        <v>3464.285714285714</v>
      </c>
      <c r="R4340" s="16" t="n">
        <v>690</v>
      </c>
      <c r="S4340" s="16" t="n">
        <v>0.82</v>
      </c>
      <c r="T4340" s="16" t="n">
        <v>0.9</v>
      </c>
      <c r="U4340" s="16" t="n">
        <v>0.8</v>
      </c>
      <c r="V4340" s="16" t="n">
        <v>0.85</v>
      </c>
      <c r="W4340" s="16" t="n">
        <v>0.75</v>
      </c>
      <c r="X4340" s="16" t="n">
        <v>0.95</v>
      </c>
      <c r="Y4340" s="16" t="n">
        <v>283.15</v>
      </c>
      <c r="Z4340" s="16" t="n">
        <v>12.97912414602844</v>
      </c>
      <c r="AA4340" s="16" t="n">
        <v>117.0900284036478</v>
      </c>
      <c r="AB4340" s="16" t="n">
        <v>2774.285714285714</v>
      </c>
      <c r="AC4340" s="16" t="n">
        <v>5.020703933747412</v>
      </c>
      <c r="AD4340" s="16" t="n"/>
      <c r="AE4340" s="16" t="inlineStr">
        <is>
          <t>P_alta</t>
        </is>
      </c>
    </row>
    <row r="4341">
      <c r="A4341" s="16" t="inlineStr">
        <is>
          <t>KF-M10-OFAT-0043</t>
        </is>
      </c>
      <c r="B4341" s="16" t="inlineStr">
        <is>
          <t>6.2</t>
        </is>
      </c>
      <c r="C4341" s="16" t="inlineStr">
        <is>
          <t>6.2b</t>
        </is>
      </c>
      <c r="D4341" s="16" t="inlineStr">
        <is>
          <t>una variable a la vez</t>
        </is>
      </c>
      <c r="E4341" s="16" t="inlineStr">
        <is>
          <t>KF-M10</t>
        </is>
      </c>
      <c r="F4341" s="16" t="inlineStr">
        <is>
          <t>KF-M10-OFAT</t>
        </is>
      </c>
      <c r="G4341" s="16" t="inlineStr">
        <is>
          <t>B14-OFAT</t>
        </is>
      </c>
      <c r="H4341" s="16" t="inlineStr">
        <is>
          <t>oat</t>
        </is>
      </c>
      <c r="I4341" s="16" t="inlineStr">
        <is>
          <t>KALINA</t>
        </is>
      </c>
      <c r="J4341" s="16" t="inlineStr">
        <is>
          <t>KALINA</t>
        </is>
      </c>
      <c r="K4341" s="16" t="b">
        <v>1</v>
      </c>
      <c r="L4341" s="16" t="b">
        <v>1</v>
      </c>
      <c r="M4341" s="16" t="b">
        <v>0</v>
      </c>
      <c r="N4341" s="16" t="b">
        <v>0</v>
      </c>
      <c r="O4341" s="16" t="n">
        <v>394.15</v>
      </c>
      <c r="P4341" s="16" t="n">
        <v>278.15</v>
      </c>
      <c r="Q4341" s="16" t="n">
        <v>3678.571428571429</v>
      </c>
      <c r="R4341" s="16" t="n">
        <v>690</v>
      </c>
      <c r="S4341" s="16" t="n">
        <v>0.82</v>
      </c>
      <c r="T4341" s="16" t="n">
        <v>0.9</v>
      </c>
      <c r="U4341" s="16" t="n">
        <v>0.8</v>
      </c>
      <c r="V4341" s="16" t="n">
        <v>0.85</v>
      </c>
      <c r="W4341" s="16" t="n">
        <v>0.75</v>
      </c>
      <c r="X4341" s="16" t="n">
        <v>0.95</v>
      </c>
      <c r="Y4341" s="16" t="n">
        <v>283.15</v>
      </c>
      <c r="Z4341" s="16" t="n">
        <v>13.14655072772617</v>
      </c>
      <c r="AA4341" s="16" t="n">
        <v>114.8485395422777</v>
      </c>
      <c r="AB4341" s="16" t="n">
        <v>2988.571428571429</v>
      </c>
      <c r="AC4341" s="16" t="n">
        <v>5.331262939958592</v>
      </c>
      <c r="AD4341" s="16" t="n"/>
      <c r="AE4341" s="16" t="inlineStr">
        <is>
          <t>P_alta</t>
        </is>
      </c>
    </row>
    <row r="4342">
      <c r="A4342" s="16" t="inlineStr">
        <is>
          <t>KF-M10-OFAT-0044</t>
        </is>
      </c>
      <c r="B4342" s="16" t="inlineStr">
        <is>
          <t>6.2</t>
        </is>
      </c>
      <c r="C4342" s="16" t="inlineStr">
        <is>
          <t>6.2b</t>
        </is>
      </c>
      <c r="D4342" s="16" t="inlineStr">
        <is>
          <t>una variable a la vez</t>
        </is>
      </c>
      <c r="E4342" s="16" t="inlineStr">
        <is>
          <t>KF-M10</t>
        </is>
      </c>
      <c r="F4342" s="16" t="inlineStr">
        <is>
          <t>KF-M10-OFAT</t>
        </is>
      </c>
      <c r="G4342" s="16" t="inlineStr">
        <is>
          <t>B14-OFAT</t>
        </is>
      </c>
      <c r="H4342" s="16" t="inlineStr">
        <is>
          <t>oat</t>
        </is>
      </c>
      <c r="I4342" s="16" t="inlineStr">
        <is>
          <t>KALINA</t>
        </is>
      </c>
      <c r="J4342" s="16" t="inlineStr">
        <is>
          <t>KALINA</t>
        </is>
      </c>
      <c r="K4342" s="16" t="b">
        <v>1</v>
      </c>
      <c r="L4342" s="16" t="b">
        <v>1</v>
      </c>
      <c r="M4342" s="16" t="b">
        <v>0</v>
      </c>
      <c r="N4342" s="16" t="b">
        <v>0</v>
      </c>
      <c r="O4342" s="16" t="n">
        <v>394.15</v>
      </c>
      <c r="P4342" s="16" t="n">
        <v>278.15</v>
      </c>
      <c r="Q4342" s="16" t="n">
        <v>3571.428571428572</v>
      </c>
      <c r="R4342" s="16" t="n">
        <v>690</v>
      </c>
      <c r="S4342" s="16" t="n">
        <v>0.82</v>
      </c>
      <c r="T4342" s="16" t="n">
        <v>0.9</v>
      </c>
      <c r="U4342" s="16" t="n">
        <v>0.8</v>
      </c>
      <c r="V4342" s="16" t="n">
        <v>0.85</v>
      </c>
      <c r="W4342" s="16" t="n">
        <v>0.75</v>
      </c>
      <c r="X4342" s="16" t="n">
        <v>0.95</v>
      </c>
      <c r="Y4342" s="16" t="n">
        <v>283.15</v>
      </c>
      <c r="Z4342" s="16" t="n">
        <v>13.10002265725447</v>
      </c>
      <c r="AA4342" s="16" t="n">
        <v>116.3353109112865</v>
      </c>
      <c r="AB4342" s="16" t="n">
        <v>2881.428571428572</v>
      </c>
      <c r="AC4342" s="16" t="n">
        <v>5.175983436853003</v>
      </c>
      <c r="AD4342" s="16" t="n"/>
      <c r="AE4342" s="16" t="inlineStr">
        <is>
          <t>P_alta</t>
        </is>
      </c>
    </row>
    <row r="4343">
      <c r="A4343" s="16" t="inlineStr">
        <is>
          <t>KF-M10-OFAT-0045</t>
        </is>
      </c>
      <c r="B4343" s="16" t="inlineStr">
        <is>
          <t>6.2</t>
        </is>
      </c>
      <c r="C4343" s="16" t="inlineStr">
        <is>
          <t>6.2b</t>
        </is>
      </c>
      <c r="D4343" s="16" t="inlineStr">
        <is>
          <t>una variable a la vez</t>
        </is>
      </c>
      <c r="E4343" s="16" t="inlineStr">
        <is>
          <t>KF-M10</t>
        </is>
      </c>
      <c r="F4343" s="16" t="inlineStr">
        <is>
          <t>KF-M10-OFAT</t>
        </is>
      </c>
      <c r="G4343" s="16" t="inlineStr">
        <is>
          <t>B14-OFAT</t>
        </is>
      </c>
      <c r="H4343" s="16" t="inlineStr">
        <is>
          <t>oat</t>
        </is>
      </c>
      <c r="I4343" s="16" t="inlineStr">
        <is>
          <t>CORREGIBLE</t>
        </is>
      </c>
      <c r="J4343" s="16" t="inlineStr">
        <is>
          <t>CORREGIBLE</t>
        </is>
      </c>
      <c r="K4343" s="16" t="b">
        <v>1</v>
      </c>
      <c r="L4343" s="16" t="b">
        <v>0</v>
      </c>
      <c r="M4343" s="16" t="b">
        <v>0</v>
      </c>
      <c r="N4343" s="16" t="b">
        <v>0</v>
      </c>
      <c r="O4343" s="16" t="n">
        <v>394.15</v>
      </c>
      <c r="P4343" s="16" t="n">
        <v>278.15</v>
      </c>
      <c r="Q4343" s="16" t="n">
        <v>3300</v>
      </c>
      <c r="R4343" s="16" t="n">
        <v>500</v>
      </c>
      <c r="S4343" s="16" t="n">
        <v>0.82</v>
      </c>
      <c r="T4343" s="16" t="n">
        <v>0.9</v>
      </c>
      <c r="U4343" s="16" t="n">
        <v>0.8</v>
      </c>
      <c r="V4343" s="16" t="n">
        <v>0.85</v>
      </c>
      <c r="W4343" s="16" t="n">
        <v>0.75</v>
      </c>
      <c r="X4343" s="16" t="n">
        <v>0.95</v>
      </c>
      <c r="Y4343" s="16" t="n">
        <v>283.15</v>
      </c>
      <c r="Z4343" s="16" t="n">
        <v>15.0409968815438</v>
      </c>
      <c r="AA4343" s="16" t="n">
        <v>138.9826918745443</v>
      </c>
      <c r="AB4343" s="16" t="n">
        <v>2800</v>
      </c>
      <c r="AC4343" s="16" t="n">
        <v>6.6</v>
      </c>
      <c r="AD4343" s="16" t="inlineStr">
        <is>
          <t>O2</t>
        </is>
      </c>
      <c r="AE4343" s="16" t="inlineStr">
        <is>
          <t>P_baja</t>
        </is>
      </c>
    </row>
    <row r="4344">
      <c r="A4344" s="16" t="inlineStr">
        <is>
          <t>KF-M10-OFAT-0046</t>
        </is>
      </c>
      <c r="B4344" s="16" t="inlineStr">
        <is>
          <t>6.2</t>
        </is>
      </c>
      <c r="C4344" s="16" t="inlineStr">
        <is>
          <t>6.2b</t>
        </is>
      </c>
      <c r="D4344" s="16" t="inlineStr">
        <is>
          <t>una variable a la vez</t>
        </is>
      </c>
      <c r="E4344" s="16" t="inlineStr">
        <is>
          <t>KF-M10</t>
        </is>
      </c>
      <c r="F4344" s="16" t="inlineStr">
        <is>
          <t>KF-M10-OFAT</t>
        </is>
      </c>
      <c r="G4344" s="16" t="inlineStr">
        <is>
          <t>B14-OFAT</t>
        </is>
      </c>
      <c r="H4344" s="16" t="inlineStr">
        <is>
          <t>oat</t>
        </is>
      </c>
      <c r="I4344" s="16" t="inlineStr">
        <is>
          <t>CORREGIBLE</t>
        </is>
      </c>
      <c r="J4344" s="16" t="inlineStr">
        <is>
          <t>CORREGIBLE</t>
        </is>
      </c>
      <c r="K4344" s="16" t="b">
        <v>1</v>
      </c>
      <c r="L4344" s="16" t="b">
        <v>0</v>
      </c>
      <c r="M4344" s="16" t="b">
        <v>0</v>
      </c>
      <c r="N4344" s="16" t="b">
        <v>0</v>
      </c>
      <c r="O4344" s="16" t="n">
        <v>394.15</v>
      </c>
      <c r="P4344" s="16" t="n">
        <v>278.15</v>
      </c>
      <c r="Q4344" s="16" t="n">
        <v>3300</v>
      </c>
      <c r="R4344" s="16" t="n">
        <v>650</v>
      </c>
      <c r="S4344" s="16" t="n">
        <v>0.82</v>
      </c>
      <c r="T4344" s="16" t="n">
        <v>0.9</v>
      </c>
      <c r="U4344" s="16" t="n">
        <v>0.8</v>
      </c>
      <c r="V4344" s="16" t="n">
        <v>0.85</v>
      </c>
      <c r="W4344" s="16" t="n">
        <v>0.75</v>
      </c>
      <c r="X4344" s="16" t="n">
        <v>0.95</v>
      </c>
      <c r="Y4344" s="16" t="n">
        <v>283.15</v>
      </c>
      <c r="Z4344" s="16" t="n">
        <v>13.17044444625268</v>
      </c>
      <c r="AA4344" s="16" t="n">
        <v>121.6520866887988</v>
      </c>
      <c r="AB4344" s="16" t="n">
        <v>2650</v>
      </c>
      <c r="AC4344" s="16" t="n">
        <v>5.076923076923077</v>
      </c>
      <c r="AD4344" s="16" t="inlineStr">
        <is>
          <t>O2</t>
        </is>
      </c>
      <c r="AE4344" s="16" t="inlineStr">
        <is>
          <t>P_baja</t>
        </is>
      </c>
    </row>
    <row r="4345">
      <c r="A4345" s="16" t="inlineStr">
        <is>
          <t>KF-M10-OFAT-0047</t>
        </is>
      </c>
      <c r="B4345" s="16" t="inlineStr">
        <is>
          <t>6.2</t>
        </is>
      </c>
      <c r="C4345" s="16" t="inlineStr">
        <is>
          <t>6.2b</t>
        </is>
      </c>
      <c r="D4345" s="16" t="inlineStr">
        <is>
          <t>una variable a la vez</t>
        </is>
      </c>
      <c r="E4345" s="16" t="inlineStr">
        <is>
          <t>KF-M10</t>
        </is>
      </c>
      <c r="F4345" s="16" t="inlineStr">
        <is>
          <t>KF-M10-OFAT</t>
        </is>
      </c>
      <c r="G4345" s="16" t="inlineStr">
        <is>
          <t>B14-OFAT</t>
        </is>
      </c>
      <c r="H4345" s="16" t="inlineStr">
        <is>
          <t>oat</t>
        </is>
      </c>
      <c r="I4345" s="16" t="inlineStr">
        <is>
          <t>CORREGIBLE</t>
        </is>
      </c>
      <c r="J4345" s="16" t="inlineStr">
        <is>
          <t>CORREGIBLE</t>
        </is>
      </c>
      <c r="K4345" s="16" t="b">
        <v>1</v>
      </c>
      <c r="L4345" s="16" t="b">
        <v>0</v>
      </c>
      <c r="M4345" s="16" t="b">
        <v>0</v>
      </c>
      <c r="N4345" s="16" t="b">
        <v>0</v>
      </c>
      <c r="O4345" s="16" t="n">
        <v>394.15</v>
      </c>
      <c r="P4345" s="16" t="n">
        <v>278.15</v>
      </c>
      <c r="Q4345" s="16" t="n">
        <v>3300</v>
      </c>
      <c r="R4345" s="16" t="n">
        <v>550</v>
      </c>
      <c r="S4345" s="16" t="n">
        <v>0.82</v>
      </c>
      <c r="T4345" s="16" t="n">
        <v>0.9</v>
      </c>
      <c r="U4345" s="16" t="n">
        <v>0.8</v>
      </c>
      <c r="V4345" s="16" t="n">
        <v>0.85</v>
      </c>
      <c r="W4345" s="16" t="n">
        <v>0.75</v>
      </c>
      <c r="X4345" s="16" t="n">
        <v>0.95</v>
      </c>
      <c r="Y4345" s="16" t="n">
        <v>283.15</v>
      </c>
      <c r="Z4345" s="16" t="n">
        <v>14.37720428144615</v>
      </c>
      <c r="AA4345" s="16" t="n">
        <v>132.8380136156304</v>
      </c>
      <c r="AB4345" s="16" t="n">
        <v>2750</v>
      </c>
      <c r="AC4345" s="16" t="n">
        <v>6</v>
      </c>
      <c r="AD4345" s="16" t="inlineStr">
        <is>
          <t>O2</t>
        </is>
      </c>
      <c r="AE4345" s="16" t="inlineStr">
        <is>
          <t>P_baja</t>
        </is>
      </c>
    </row>
    <row r="4346">
      <c r="A4346" s="16" t="inlineStr">
        <is>
          <t>KF-M10-OFAT-0048</t>
        </is>
      </c>
      <c r="B4346" s="16" t="inlineStr">
        <is>
          <t>6.2</t>
        </is>
      </c>
      <c r="C4346" s="16" t="inlineStr">
        <is>
          <t>6.2b</t>
        </is>
      </c>
      <c r="D4346" s="16" t="inlineStr">
        <is>
          <t>una variable a la vez</t>
        </is>
      </c>
      <c r="E4346" s="16" t="inlineStr">
        <is>
          <t>KF-M10</t>
        </is>
      </c>
      <c r="F4346" s="16" t="inlineStr">
        <is>
          <t>KF-M10-OFAT</t>
        </is>
      </c>
      <c r="G4346" s="16" t="inlineStr">
        <is>
          <t>B14-OFAT</t>
        </is>
      </c>
      <c r="H4346" s="16" t="inlineStr">
        <is>
          <t>oat</t>
        </is>
      </c>
      <c r="I4346" s="16" t="inlineStr">
        <is>
          <t>KALINA</t>
        </is>
      </c>
      <c r="J4346" s="16" t="inlineStr">
        <is>
          <t>KALINA</t>
        </is>
      </c>
      <c r="K4346" s="16" t="b">
        <v>1</v>
      </c>
      <c r="L4346" s="16" t="b">
        <v>1</v>
      </c>
      <c r="M4346" s="16" t="b">
        <v>0</v>
      </c>
      <c r="N4346" s="16" t="b">
        <v>0</v>
      </c>
      <c r="O4346" s="16" t="n">
        <v>394.15</v>
      </c>
      <c r="P4346" s="16" t="n">
        <v>278.15</v>
      </c>
      <c r="Q4346" s="16" t="n">
        <v>3300</v>
      </c>
      <c r="R4346" s="16" t="n">
        <v>750</v>
      </c>
      <c r="S4346" s="16" t="n">
        <v>0.82</v>
      </c>
      <c r="T4346" s="16" t="n">
        <v>0.9</v>
      </c>
      <c r="U4346" s="16" t="n">
        <v>0.8</v>
      </c>
      <c r="V4346" s="16" t="n">
        <v>0.85</v>
      </c>
      <c r="W4346" s="16" t="n">
        <v>0.75</v>
      </c>
      <c r="X4346" s="16" t="n">
        <v>0.95</v>
      </c>
      <c r="Y4346" s="16" t="n">
        <v>283.15</v>
      </c>
      <c r="Z4346" s="16" t="n">
        <v>12.11344297884353</v>
      </c>
      <c r="AA4346" s="16" t="n">
        <v>111.8598823594628</v>
      </c>
      <c r="AB4346" s="16" t="n">
        <v>2550</v>
      </c>
      <c r="AC4346" s="16" t="n">
        <v>4.4</v>
      </c>
      <c r="AD4346" s="16" t="n"/>
      <c r="AE4346" s="16" t="inlineStr">
        <is>
          <t>P_baja</t>
        </is>
      </c>
    </row>
    <row r="4347">
      <c r="A4347" s="16" t="inlineStr">
        <is>
          <t>KF-M10-OFAT-0049</t>
        </is>
      </c>
      <c r="B4347" s="16" t="inlineStr">
        <is>
          <t>6.2</t>
        </is>
      </c>
      <c r="C4347" s="16" t="inlineStr">
        <is>
          <t>6.2b</t>
        </is>
      </c>
      <c r="D4347" s="16" t="inlineStr">
        <is>
          <t>una variable a la vez</t>
        </is>
      </c>
      <c r="E4347" s="16" t="inlineStr">
        <is>
          <t>KF-M10</t>
        </is>
      </c>
      <c r="F4347" s="16" t="inlineStr">
        <is>
          <t>KF-M10-OFAT</t>
        </is>
      </c>
      <c r="G4347" s="16" t="inlineStr">
        <is>
          <t>B14-OFAT</t>
        </is>
      </c>
      <c r="H4347" s="16" t="inlineStr">
        <is>
          <t>oat</t>
        </is>
      </c>
      <c r="I4347" s="16" t="inlineStr">
        <is>
          <t>KALINA</t>
        </is>
      </c>
      <c r="J4347" s="16" t="inlineStr">
        <is>
          <t>KALINA</t>
        </is>
      </c>
      <c r="K4347" s="16" t="b">
        <v>1</v>
      </c>
      <c r="L4347" s="16" t="b">
        <v>1</v>
      </c>
      <c r="M4347" s="16" t="b">
        <v>0</v>
      </c>
      <c r="N4347" s="16" t="b">
        <v>0</v>
      </c>
      <c r="O4347" s="16" t="n">
        <v>394.15</v>
      </c>
      <c r="P4347" s="16" t="n">
        <v>278.15</v>
      </c>
      <c r="Q4347" s="16" t="n">
        <v>3300</v>
      </c>
      <c r="R4347" s="16" t="n">
        <v>800</v>
      </c>
      <c r="S4347" s="16" t="n">
        <v>0.82</v>
      </c>
      <c r="T4347" s="16" t="n">
        <v>0.9</v>
      </c>
      <c r="U4347" s="16" t="n">
        <v>0.8</v>
      </c>
      <c r="V4347" s="16" t="n">
        <v>0.85</v>
      </c>
      <c r="W4347" s="16" t="n">
        <v>0.75</v>
      </c>
      <c r="X4347" s="16" t="n">
        <v>0.95</v>
      </c>
      <c r="Y4347" s="16" t="n">
        <v>283.15</v>
      </c>
      <c r="Z4347" s="16" t="n">
        <v>11.62985863251361</v>
      </c>
      <c r="AA4347" s="16" t="n">
        <v>107.3818843882582</v>
      </c>
      <c r="AB4347" s="16" t="n">
        <v>2500</v>
      </c>
      <c r="AC4347" s="16" t="n">
        <v>4.125</v>
      </c>
      <c r="AD4347" s="16" t="n"/>
      <c r="AE4347" s="16" t="inlineStr">
        <is>
          <t>P_baja</t>
        </is>
      </c>
    </row>
    <row r="4348">
      <c r="A4348" s="16" t="inlineStr">
        <is>
          <t>KF-M10-OFAT-0050</t>
        </is>
      </c>
      <c r="B4348" s="16" t="inlineStr">
        <is>
          <t>6.2</t>
        </is>
      </c>
      <c r="C4348" s="16" t="inlineStr">
        <is>
          <t>6.2b</t>
        </is>
      </c>
      <c r="D4348" s="16" t="inlineStr">
        <is>
          <t>una variable a la vez</t>
        </is>
      </c>
      <c r="E4348" s="16" t="inlineStr">
        <is>
          <t>KF-M10</t>
        </is>
      </c>
      <c r="F4348" s="16" t="inlineStr">
        <is>
          <t>KF-M10-OFAT</t>
        </is>
      </c>
      <c r="G4348" s="16" t="inlineStr">
        <is>
          <t>B14-OFAT</t>
        </is>
      </c>
      <c r="H4348" s="16" t="inlineStr">
        <is>
          <t>oat</t>
        </is>
      </c>
      <c r="I4348" s="16" t="inlineStr">
        <is>
          <t>CORREGIBLE</t>
        </is>
      </c>
      <c r="J4348" s="16" t="inlineStr">
        <is>
          <t>CORREGIBLE</t>
        </is>
      </c>
      <c r="K4348" s="16" t="b">
        <v>1</v>
      </c>
      <c r="L4348" s="16" t="b">
        <v>0</v>
      </c>
      <c r="M4348" s="16" t="b">
        <v>0</v>
      </c>
      <c r="N4348" s="16" t="b">
        <v>0</v>
      </c>
      <c r="O4348" s="16" t="n">
        <v>394.15</v>
      </c>
      <c r="P4348" s="16" t="n">
        <v>278.15</v>
      </c>
      <c r="Q4348" s="16" t="n">
        <v>3300</v>
      </c>
      <c r="R4348" s="16" t="n">
        <v>600</v>
      </c>
      <c r="S4348" s="16" t="n">
        <v>0.82</v>
      </c>
      <c r="T4348" s="16" t="n">
        <v>0.9</v>
      </c>
      <c r="U4348" s="16" t="n">
        <v>0.8</v>
      </c>
      <c r="V4348" s="16" t="n">
        <v>0.85</v>
      </c>
      <c r="W4348" s="16" t="n">
        <v>0.75</v>
      </c>
      <c r="X4348" s="16" t="n">
        <v>0.95</v>
      </c>
      <c r="Y4348" s="16" t="n">
        <v>283.15</v>
      </c>
      <c r="Z4348" s="16" t="n">
        <v>13.75268677295411</v>
      </c>
      <c r="AA4348" s="16" t="n">
        <v>127.0486533418041</v>
      </c>
      <c r="AB4348" s="16" t="n">
        <v>2700</v>
      </c>
      <c r="AC4348" s="16" t="n">
        <v>5.5</v>
      </c>
      <c r="AD4348" s="16" t="inlineStr">
        <is>
          <t>O2</t>
        </is>
      </c>
      <c r="AE4348" s="16" t="inlineStr">
        <is>
          <t>P_baja</t>
        </is>
      </c>
    </row>
    <row r="4349">
      <c r="A4349" s="16" t="inlineStr">
        <is>
          <t>KF-M10-OFAT-0051</t>
        </is>
      </c>
      <c r="B4349" s="16" t="inlineStr">
        <is>
          <t>6.2</t>
        </is>
      </c>
      <c r="C4349" s="16" t="inlineStr">
        <is>
          <t>6.2b</t>
        </is>
      </c>
      <c r="D4349" s="16" t="inlineStr">
        <is>
          <t>una variable a la vez</t>
        </is>
      </c>
      <c r="E4349" s="16" t="inlineStr">
        <is>
          <t>KF-M10</t>
        </is>
      </c>
      <c r="F4349" s="16" t="inlineStr">
        <is>
          <t>KF-M10-OFAT</t>
        </is>
      </c>
      <c r="G4349" s="16" t="inlineStr">
        <is>
          <t>B14-OFAT</t>
        </is>
      </c>
      <c r="H4349" s="16" t="inlineStr">
        <is>
          <t>oat</t>
        </is>
      </c>
      <c r="I4349" s="16" t="inlineStr">
        <is>
          <t>KALINA</t>
        </is>
      </c>
      <c r="J4349" s="16" t="inlineStr">
        <is>
          <t>KALINA</t>
        </is>
      </c>
      <c r="K4349" s="16" t="b">
        <v>1</v>
      </c>
      <c r="L4349" s="16" t="b">
        <v>1</v>
      </c>
      <c r="M4349" s="16" t="b">
        <v>0</v>
      </c>
      <c r="N4349" s="16" t="b">
        <v>0</v>
      </c>
      <c r="O4349" s="16" t="n">
        <v>394.15</v>
      </c>
      <c r="P4349" s="16" t="n">
        <v>278.15</v>
      </c>
      <c r="Q4349" s="16" t="n">
        <v>3300</v>
      </c>
      <c r="R4349" s="16" t="n">
        <v>700</v>
      </c>
      <c r="S4349" s="16" t="n">
        <v>0.82</v>
      </c>
      <c r="T4349" s="16" t="n">
        <v>0.9</v>
      </c>
      <c r="U4349" s="16" t="n">
        <v>0.8</v>
      </c>
      <c r="V4349" s="16" t="n">
        <v>0.85</v>
      </c>
      <c r="W4349" s="16" t="n">
        <v>0.75</v>
      </c>
      <c r="X4349" s="16" t="n">
        <v>0.95</v>
      </c>
      <c r="Y4349" s="16" t="n">
        <v>283.15</v>
      </c>
      <c r="Z4349" s="16" t="n">
        <v>12.58131444606638</v>
      </c>
      <c r="AA4349" s="16" t="n">
        <v>116.160036609947</v>
      </c>
      <c r="AB4349" s="16" t="n">
        <v>2600</v>
      </c>
      <c r="AC4349" s="16" t="n">
        <v>4.714285714285714</v>
      </c>
      <c r="AD4349" s="16" t="n"/>
      <c r="AE4349" s="16" t="inlineStr">
        <is>
          <t>P_baja</t>
        </is>
      </c>
    </row>
    <row r="4350">
      <c r="A4350" s="16" t="inlineStr">
        <is>
          <t>KF-M10-OFAT-0052</t>
        </is>
      </c>
      <c r="B4350" s="16" t="inlineStr">
        <is>
          <t>6.2</t>
        </is>
      </c>
      <c r="C4350" s="16" t="inlineStr">
        <is>
          <t>6.2b</t>
        </is>
      </c>
      <c r="D4350" s="16" t="inlineStr">
        <is>
          <t>una variable a la vez</t>
        </is>
      </c>
      <c r="E4350" s="16" t="inlineStr">
        <is>
          <t>KF-M10</t>
        </is>
      </c>
      <c r="F4350" s="16" t="inlineStr">
        <is>
          <t>KF-M10-OFAT</t>
        </is>
      </c>
      <c r="G4350" s="16" t="inlineStr">
        <is>
          <t>B14-OFAT</t>
        </is>
      </c>
      <c r="H4350" s="16" t="inlineStr">
        <is>
          <t>oat</t>
        </is>
      </c>
      <c r="I4350" s="16" t="inlineStr">
        <is>
          <t>KALINA</t>
        </is>
      </c>
      <c r="J4350" s="16" t="inlineStr">
        <is>
          <t>KALINA</t>
        </is>
      </c>
      <c r="K4350" s="16" t="b">
        <v>1</v>
      </c>
      <c r="L4350" s="16" t="b">
        <v>1</v>
      </c>
      <c r="M4350" s="16" t="b">
        <v>0</v>
      </c>
      <c r="N4350" s="16" t="b">
        <v>0</v>
      </c>
      <c r="O4350" s="16" t="n">
        <v>394.15</v>
      </c>
      <c r="P4350" s="16" t="n">
        <v>278.15</v>
      </c>
      <c r="Q4350" s="16" t="n">
        <v>3300</v>
      </c>
      <c r="R4350" s="16" t="n">
        <v>850</v>
      </c>
      <c r="S4350" s="16" t="n">
        <v>0.82</v>
      </c>
      <c r="T4350" s="16" t="n">
        <v>0.9</v>
      </c>
      <c r="U4350" s="16" t="n">
        <v>0.8</v>
      </c>
      <c r="V4350" s="16" t="n">
        <v>0.85</v>
      </c>
      <c r="W4350" s="16" t="n">
        <v>0.75</v>
      </c>
      <c r="X4350" s="16" t="n">
        <v>0.95</v>
      </c>
      <c r="Y4350" s="16" t="n">
        <v>283.15</v>
      </c>
      <c r="Z4350" s="16" t="n">
        <v>11.17164861327897</v>
      </c>
      <c r="AA4350" s="16" t="n">
        <v>103.139987552983</v>
      </c>
      <c r="AB4350" s="16" t="n">
        <v>2450</v>
      </c>
      <c r="AC4350" s="16" t="n">
        <v>3.882352941176471</v>
      </c>
      <c r="AD4350" s="16" t="n"/>
      <c r="AE4350" s="16" t="inlineStr">
        <is>
          <t>P_baja</t>
        </is>
      </c>
    </row>
    <row r="4351">
      <c r="A4351" s="16" t="inlineStr">
        <is>
          <t>KF-M10-OFAT-0053</t>
        </is>
      </c>
      <c r="B4351" s="16" t="inlineStr">
        <is>
          <t>6.2</t>
        </is>
      </c>
      <c r="C4351" s="16" t="inlineStr">
        <is>
          <t>6.2b</t>
        </is>
      </c>
      <c r="D4351" s="16" t="inlineStr">
        <is>
          <t>una variable a la vez</t>
        </is>
      </c>
      <c r="E4351" s="16" t="inlineStr">
        <is>
          <t>KF-M10</t>
        </is>
      </c>
      <c r="F4351" s="16" t="inlineStr">
        <is>
          <t>KF-M10-OFAT</t>
        </is>
      </c>
      <c r="G4351" s="16" t="inlineStr">
        <is>
          <t>B14-OFAT</t>
        </is>
      </c>
      <c r="H4351" s="16" t="inlineStr">
        <is>
          <t>oat</t>
        </is>
      </c>
      <c r="I4351" s="16" t="inlineStr">
        <is>
          <t>KALINA</t>
        </is>
      </c>
      <c r="J4351" s="16" t="inlineStr">
        <is>
          <t>KALINA</t>
        </is>
      </c>
      <c r="K4351" s="16" t="b">
        <v>1</v>
      </c>
      <c r="L4351" s="16" t="b">
        <v>1</v>
      </c>
      <c r="M4351" s="16" t="b">
        <v>0</v>
      </c>
      <c r="N4351" s="16" t="b">
        <v>0</v>
      </c>
      <c r="O4351" s="16" t="n">
        <v>394.15</v>
      </c>
      <c r="P4351" s="16" t="n">
        <v>278.15</v>
      </c>
      <c r="Q4351" s="16" t="n">
        <v>3300</v>
      </c>
      <c r="R4351" s="16" t="n">
        <v>900</v>
      </c>
      <c r="S4351" s="16" t="n">
        <v>0.82</v>
      </c>
      <c r="T4351" s="16" t="n">
        <v>0.9</v>
      </c>
      <c r="U4351" s="16" t="n">
        <v>0.8</v>
      </c>
      <c r="V4351" s="16" t="n">
        <v>0.85</v>
      </c>
      <c r="W4351" s="16" t="n">
        <v>0.75</v>
      </c>
      <c r="X4351" s="16" t="n">
        <v>0.95</v>
      </c>
      <c r="Y4351" s="16" t="n">
        <v>283.15</v>
      </c>
      <c r="Z4351" s="16" t="n">
        <v>10.73610439817951</v>
      </c>
      <c r="AA4351" s="16" t="n">
        <v>99.10893025354618</v>
      </c>
      <c r="AB4351" s="16" t="n">
        <v>2400</v>
      </c>
      <c r="AC4351" s="16" t="n">
        <v>3.666666666666667</v>
      </c>
      <c r="AD4351" s="16" t="n"/>
      <c r="AE4351" s="16" t="inlineStr">
        <is>
          <t>P_baja</t>
        </is>
      </c>
    </row>
    <row r="4352">
      <c r="A4352" s="16" t="inlineStr">
        <is>
          <t>KF-M10-OFAT-0054</t>
        </is>
      </c>
      <c r="B4352" s="16" t="inlineStr">
        <is>
          <t>6.2</t>
        </is>
      </c>
      <c r="C4352" s="16" t="inlineStr">
        <is>
          <t>6.2b</t>
        </is>
      </c>
      <c r="D4352" s="16" t="inlineStr">
        <is>
          <t>una variable a la vez</t>
        </is>
      </c>
      <c r="E4352" s="16" t="inlineStr">
        <is>
          <t>KF-M10</t>
        </is>
      </c>
      <c r="F4352" s="16" t="inlineStr">
        <is>
          <t>KF-M10-OFAT</t>
        </is>
      </c>
      <c r="G4352" s="16" t="inlineStr">
        <is>
          <t>B14-OFAT</t>
        </is>
      </c>
      <c r="H4352" s="16" t="inlineStr">
        <is>
          <t>oat</t>
        </is>
      </c>
      <c r="I4352" s="16" t="inlineStr">
        <is>
          <t>KALINA</t>
        </is>
      </c>
      <c r="J4352" s="16" t="inlineStr">
        <is>
          <t>KALINA</t>
        </is>
      </c>
      <c r="K4352" s="16" t="b">
        <v>1</v>
      </c>
      <c r="L4352" s="16" t="b">
        <v>1</v>
      </c>
      <c r="M4352" s="16" t="b">
        <v>0</v>
      </c>
      <c r="N4352" s="16" t="b">
        <v>0</v>
      </c>
      <c r="O4352" s="16" t="n">
        <v>394.15</v>
      </c>
      <c r="P4352" s="16" t="n">
        <v>278.15</v>
      </c>
      <c r="Q4352" s="16" t="n">
        <v>3300</v>
      </c>
      <c r="R4352" s="16" t="n">
        <v>950</v>
      </c>
      <c r="S4352" s="16" t="n">
        <v>0.82</v>
      </c>
      <c r="T4352" s="16" t="n">
        <v>0.9</v>
      </c>
      <c r="U4352" s="16" t="n">
        <v>0.8</v>
      </c>
      <c r="V4352" s="16" t="n">
        <v>0.85</v>
      </c>
      <c r="W4352" s="16" t="n">
        <v>0.75</v>
      </c>
      <c r="X4352" s="16" t="n">
        <v>0.95</v>
      </c>
      <c r="Y4352" s="16" t="n">
        <v>283.15</v>
      </c>
      <c r="Z4352" s="16" t="n">
        <v>10.32094550926344</v>
      </c>
      <c r="AA4352" s="16" t="n">
        <v>95.26744767682612</v>
      </c>
      <c r="AB4352" s="16" t="n">
        <v>2350</v>
      </c>
      <c r="AC4352" s="16" t="n">
        <v>3.473684210526316</v>
      </c>
      <c r="AD4352" s="16" t="n"/>
      <c r="AE4352" s="16" t="inlineStr">
        <is>
          <t>P_baja</t>
        </is>
      </c>
    </row>
    <row r="4353">
      <c r="A4353" s="16" t="inlineStr">
        <is>
          <t>KF-M10-OFAT-0055</t>
        </is>
      </c>
      <c r="B4353" s="16" t="inlineStr">
        <is>
          <t>6.2</t>
        </is>
      </c>
      <c r="C4353" s="16" t="inlineStr">
        <is>
          <t>6.2b</t>
        </is>
      </c>
      <c r="D4353" s="16" t="inlineStr">
        <is>
          <t>una variable a la vez</t>
        </is>
      </c>
      <c r="E4353" s="16" t="inlineStr">
        <is>
          <t>KF-M10</t>
        </is>
      </c>
      <c r="F4353" s="16" t="inlineStr">
        <is>
          <t>KF-M10-OFAT</t>
        </is>
      </c>
      <c r="G4353" s="16" t="inlineStr">
        <is>
          <t>B14-OFAT</t>
        </is>
      </c>
      <c r="H4353" s="16" t="inlineStr">
        <is>
          <t>oat</t>
        </is>
      </c>
      <c r="I4353" s="16" t="inlineStr">
        <is>
          <t>KALINA</t>
        </is>
      </c>
      <c r="J4353" s="16" t="inlineStr">
        <is>
          <t>KALINA</t>
        </is>
      </c>
      <c r="K4353" s="16" t="b">
        <v>1</v>
      </c>
      <c r="L4353" s="16" t="b">
        <v>1</v>
      </c>
      <c r="M4353" s="16" t="b">
        <v>0</v>
      </c>
      <c r="N4353" s="16" t="b">
        <v>0</v>
      </c>
      <c r="O4353" s="16" t="n">
        <v>394.15</v>
      </c>
      <c r="P4353" s="16" t="n">
        <v>278.15</v>
      </c>
      <c r="Q4353" s="16" t="n">
        <v>3300</v>
      </c>
      <c r="R4353" s="16" t="n">
        <v>1000</v>
      </c>
      <c r="S4353" s="16" t="n">
        <v>0.82</v>
      </c>
      <c r="T4353" s="16" t="n">
        <v>0.9</v>
      </c>
      <c r="U4353" s="16" t="n">
        <v>0.8</v>
      </c>
      <c r="V4353" s="16" t="n">
        <v>0.85</v>
      </c>
      <c r="W4353" s="16" t="n">
        <v>0.75</v>
      </c>
      <c r="X4353" s="16" t="n">
        <v>0.95</v>
      </c>
      <c r="Y4353" s="16" t="n">
        <v>283.15</v>
      </c>
      <c r="Z4353" s="16" t="n">
        <v>9.924233112501261</v>
      </c>
      <c r="AA4353" s="16" t="n">
        <v>91.59746440326164</v>
      </c>
      <c r="AB4353" s="16" t="n">
        <v>2300</v>
      </c>
      <c r="AC4353" s="16" t="n">
        <v>3.3</v>
      </c>
      <c r="AD4353" s="16" t="n"/>
      <c r="AE4353" s="16" t="inlineStr">
        <is>
          <t>P_baja</t>
        </is>
      </c>
    </row>
    <row r="4354">
      <c r="A4354" s="16" t="inlineStr">
        <is>
          <t>KF-M10-OFAT-0056</t>
        </is>
      </c>
      <c r="B4354" s="16" t="inlineStr">
        <is>
          <t>6.2</t>
        </is>
      </c>
      <c r="C4354" s="16" t="inlineStr">
        <is>
          <t>6.2b</t>
        </is>
      </c>
      <c r="D4354" s="16" t="inlineStr">
        <is>
          <t>una variable a la vez</t>
        </is>
      </c>
      <c r="E4354" s="16" t="inlineStr">
        <is>
          <t>KF-M10</t>
        </is>
      </c>
      <c r="F4354" s="16" t="inlineStr">
        <is>
          <t>KF-M10-OFAT</t>
        </is>
      </c>
      <c r="G4354" s="16" t="inlineStr">
        <is>
          <t>B14-OFAT</t>
        </is>
      </c>
      <c r="H4354" s="16" t="inlineStr">
        <is>
          <t>oat</t>
        </is>
      </c>
      <c r="I4354" s="16" t="inlineStr">
        <is>
          <t>KALINA</t>
        </is>
      </c>
      <c r="J4354" s="16" t="inlineStr">
        <is>
          <t>KALINA</t>
        </is>
      </c>
      <c r="K4354" s="16" t="b">
        <v>1</v>
      </c>
      <c r="L4354" s="16" t="b">
        <v>1</v>
      </c>
      <c r="M4354" s="16" t="b">
        <v>0</v>
      </c>
      <c r="N4354" s="16" t="b">
        <v>0</v>
      </c>
      <c r="O4354" s="16" t="n">
        <v>394.15</v>
      </c>
      <c r="P4354" s="16" t="n">
        <v>278.15</v>
      </c>
      <c r="Q4354" s="16" t="n">
        <v>3300</v>
      </c>
      <c r="R4354" s="16" t="n">
        <v>1050</v>
      </c>
      <c r="S4354" s="16" t="n">
        <v>0.82</v>
      </c>
      <c r="T4354" s="16" t="n">
        <v>0.9</v>
      </c>
      <c r="U4354" s="16" t="n">
        <v>0.8</v>
      </c>
      <c r="V4354" s="16" t="n">
        <v>0.85</v>
      </c>
      <c r="W4354" s="16" t="n">
        <v>0.75</v>
      </c>
      <c r="X4354" s="16" t="n">
        <v>0.95</v>
      </c>
      <c r="Y4354" s="16" t="n">
        <v>283.15</v>
      </c>
      <c r="Z4354" s="16" t="n">
        <v>9.544303779329489</v>
      </c>
      <c r="AA4354" s="16" t="n">
        <v>88.0834756057733</v>
      </c>
      <c r="AB4354" s="16" t="n">
        <v>2250</v>
      </c>
      <c r="AC4354" s="16" t="n">
        <v>3.142857142857143</v>
      </c>
      <c r="AD4354" s="16" t="n"/>
      <c r="AE4354" s="16" t="inlineStr">
        <is>
          <t>P_baja</t>
        </is>
      </c>
    </row>
    <row r="4355">
      <c r="A4355" s="16" t="inlineStr">
        <is>
          <t>KF-M10-OFAT-0057</t>
        </is>
      </c>
      <c r="B4355" s="16" t="inlineStr">
        <is>
          <t>6.2</t>
        </is>
      </c>
      <c r="C4355" s="16" t="inlineStr">
        <is>
          <t>6.2b</t>
        </is>
      </c>
      <c r="D4355" s="16" t="inlineStr">
        <is>
          <t>una variable a la vez</t>
        </is>
      </c>
      <c r="E4355" s="16" t="inlineStr">
        <is>
          <t>KF-M10</t>
        </is>
      </c>
      <c r="F4355" s="16" t="inlineStr">
        <is>
          <t>KF-M10-OFAT</t>
        </is>
      </c>
      <c r="G4355" s="16" t="inlineStr">
        <is>
          <t>B14-OFAT</t>
        </is>
      </c>
      <c r="H4355" s="16" t="inlineStr">
        <is>
          <t>oat</t>
        </is>
      </c>
      <c r="I4355" s="16" t="inlineStr">
        <is>
          <t>KALINA</t>
        </is>
      </c>
      <c r="J4355" s="16" t="inlineStr">
        <is>
          <t>KALINA</t>
        </is>
      </c>
      <c r="K4355" s="16" t="b">
        <v>1</v>
      </c>
      <c r="L4355" s="16" t="b">
        <v>1</v>
      </c>
      <c r="M4355" s="16" t="b">
        <v>0</v>
      </c>
      <c r="N4355" s="16" t="b">
        <v>0</v>
      </c>
      <c r="O4355" s="16" t="n">
        <v>394.15</v>
      </c>
      <c r="P4355" s="16" t="n">
        <v>278.15</v>
      </c>
      <c r="Q4355" s="16" t="n">
        <v>3300</v>
      </c>
      <c r="R4355" s="16" t="n">
        <v>1100</v>
      </c>
      <c r="S4355" s="16" t="n">
        <v>0.82</v>
      </c>
      <c r="T4355" s="16" t="n">
        <v>0.9</v>
      </c>
      <c r="U4355" s="16" t="n">
        <v>0.8</v>
      </c>
      <c r="V4355" s="16" t="n">
        <v>0.85</v>
      </c>
      <c r="W4355" s="16" t="n">
        <v>0.75</v>
      </c>
      <c r="X4355" s="16" t="n">
        <v>0.95</v>
      </c>
      <c r="Y4355" s="16" t="n">
        <v>283.15</v>
      </c>
      <c r="Z4355" s="16" t="n">
        <v>9.17971921388504</v>
      </c>
      <c r="AA4355" s="16" t="n">
        <v>84.7120774289298</v>
      </c>
      <c r="AB4355" s="16" t="n">
        <v>2200</v>
      </c>
      <c r="AC4355" s="16" t="n">
        <v>3</v>
      </c>
      <c r="AD4355" s="16" t="n"/>
      <c r="AE4355" s="16" t="inlineStr">
        <is>
          <t>P_baja</t>
        </is>
      </c>
    </row>
    <row r="4356">
      <c r="A4356" s="16" t="inlineStr">
        <is>
          <t>KF-M10-OFAT-0058</t>
        </is>
      </c>
      <c r="B4356" s="16" t="inlineStr">
        <is>
          <t>6.2</t>
        </is>
      </c>
      <c r="C4356" s="16" t="inlineStr">
        <is>
          <t>6.2b</t>
        </is>
      </c>
      <c r="D4356" s="16" t="inlineStr">
        <is>
          <t>una variable a la vez</t>
        </is>
      </c>
      <c r="E4356" s="16" t="inlineStr">
        <is>
          <t>KF-M10</t>
        </is>
      </c>
      <c r="F4356" s="16" t="inlineStr">
        <is>
          <t>KF-M10-OFAT</t>
        </is>
      </c>
      <c r="G4356" s="16" t="inlineStr">
        <is>
          <t>B14-OFAT</t>
        </is>
      </c>
      <c r="H4356" s="16" t="inlineStr">
        <is>
          <t>oat</t>
        </is>
      </c>
      <c r="I4356" s="16" t="inlineStr">
        <is>
          <t>NO_CONVERGIO</t>
        </is>
      </c>
      <c r="J4356" s="16" t="inlineStr">
        <is>
          <t>NO_CONVERGIO</t>
        </is>
      </c>
      <c r="K4356" s="16" t="b">
        <v>0</v>
      </c>
      <c r="L4356" s="16" t="b">
        <v>0</v>
      </c>
      <c r="M4356" s="16" t="b">
        <v>0</v>
      </c>
      <c r="N4356" s="16" t="b">
        <v>0</v>
      </c>
      <c r="O4356" s="16" t="n">
        <v>394.15</v>
      </c>
      <c r="P4356" s="16" t="n">
        <v>278.15</v>
      </c>
      <c r="Q4356" s="16" t="n">
        <v>3300</v>
      </c>
      <c r="R4356" s="16" t="n">
        <v>690</v>
      </c>
      <c r="S4356" s="16" t="n">
        <v>0.625</v>
      </c>
      <c r="T4356" s="16" t="n">
        <v>0.9</v>
      </c>
      <c r="U4356" s="16" t="n">
        <v>0.8</v>
      </c>
      <c r="V4356" s="16" t="n">
        <v>0.85</v>
      </c>
      <c r="W4356" s="16" t="n">
        <v>0.75</v>
      </c>
      <c r="X4356" s="16" t="n">
        <v>0.95</v>
      </c>
      <c r="Y4356" s="16" t="n">
        <v>283.15</v>
      </c>
      <c r="Z4356" s="16" t="n"/>
      <c r="AA4356" s="16" t="n"/>
      <c r="AB4356" s="16" t="n">
        <v>2610</v>
      </c>
      <c r="AC4356" s="16" t="n">
        <v>4.782608695652174</v>
      </c>
      <c r="AD4356" s="16" t="n"/>
      <c r="AE4356" s="16" t="inlineStr">
        <is>
          <t>x_b</t>
        </is>
      </c>
    </row>
    <row r="4357">
      <c r="A4357" s="16" t="inlineStr">
        <is>
          <t>KF-M10-OFAT-0059</t>
        </is>
      </c>
      <c r="B4357" s="16" t="inlineStr">
        <is>
          <t>6.2</t>
        </is>
      </c>
      <c r="C4357" s="16" t="inlineStr">
        <is>
          <t>6.2b</t>
        </is>
      </c>
      <c r="D4357" s="16" t="inlineStr">
        <is>
          <t>una variable a la vez</t>
        </is>
      </c>
      <c r="E4357" s="16" t="inlineStr">
        <is>
          <t>KF-M10</t>
        </is>
      </c>
      <c r="F4357" s="16" t="inlineStr">
        <is>
          <t>KF-M10-OFAT</t>
        </is>
      </c>
      <c r="G4357" s="16" t="inlineStr">
        <is>
          <t>B14-OFAT</t>
        </is>
      </c>
      <c r="H4357" s="16" t="inlineStr">
        <is>
          <t>oat</t>
        </is>
      </c>
      <c r="I4357" s="16" t="inlineStr">
        <is>
          <t>KALINA</t>
        </is>
      </c>
      <c r="J4357" s="16" t="inlineStr">
        <is>
          <t>KALINA</t>
        </is>
      </c>
      <c r="K4357" s="16" t="b">
        <v>1</v>
      </c>
      <c r="L4357" s="16" t="b">
        <v>1</v>
      </c>
      <c r="M4357" s="16" t="b">
        <v>0</v>
      </c>
      <c r="N4357" s="16" t="b">
        <v>0</v>
      </c>
      <c r="O4357" s="16" t="n">
        <v>394.15</v>
      </c>
      <c r="P4357" s="16" t="n">
        <v>278.15</v>
      </c>
      <c r="Q4357" s="16" t="n">
        <v>3300</v>
      </c>
      <c r="R4357" s="16" t="n">
        <v>1150</v>
      </c>
      <c r="S4357" s="16" t="n">
        <v>0.82</v>
      </c>
      <c r="T4357" s="16" t="n">
        <v>0.9</v>
      </c>
      <c r="U4357" s="16" t="n">
        <v>0.8</v>
      </c>
      <c r="V4357" s="16" t="n">
        <v>0.85</v>
      </c>
      <c r="W4357" s="16" t="n">
        <v>0.75</v>
      </c>
      <c r="X4357" s="16" t="n">
        <v>0.95</v>
      </c>
      <c r="Y4357" s="16" t="n">
        <v>283.15</v>
      </c>
      <c r="Z4357" s="16" t="n">
        <v>8.829226451936819</v>
      </c>
      <c r="AA4357" s="16" t="n">
        <v>81.47159530197396</v>
      </c>
      <c r="AB4357" s="16" t="n">
        <v>2150</v>
      </c>
      <c r="AC4357" s="16" t="n">
        <v>2.869565217391304</v>
      </c>
      <c r="AD4357" s="16" t="n"/>
      <c r="AE4357" s="16" t="inlineStr">
        <is>
          <t>P_baja</t>
        </is>
      </c>
    </row>
    <row r="4358">
      <c r="A4358" s="16" t="inlineStr">
        <is>
          <t>KF-M10-OFAT-0060</t>
        </is>
      </c>
      <c r="B4358" s="16" t="inlineStr">
        <is>
          <t>6.2</t>
        </is>
      </c>
      <c r="C4358" s="16" t="inlineStr">
        <is>
          <t>6.2b</t>
        </is>
      </c>
      <c r="D4358" s="16" t="inlineStr">
        <is>
          <t>una variable a la vez</t>
        </is>
      </c>
      <c r="E4358" s="16" t="inlineStr">
        <is>
          <t>KF-M10</t>
        </is>
      </c>
      <c r="F4358" s="16" t="inlineStr">
        <is>
          <t>KF-M10-OFAT</t>
        </is>
      </c>
      <c r="G4358" s="16" t="inlineStr">
        <is>
          <t>B14-OFAT</t>
        </is>
      </c>
      <c r="H4358" s="16" t="inlineStr">
        <is>
          <t>oat</t>
        </is>
      </c>
      <c r="I4358" s="16" t="inlineStr">
        <is>
          <t>KALINA</t>
        </is>
      </c>
      <c r="J4358" s="16" t="inlineStr">
        <is>
          <t>KALINA</t>
        </is>
      </c>
      <c r="K4358" s="16" t="b">
        <v>1</v>
      </c>
      <c r="L4358" s="16" t="b">
        <v>1</v>
      </c>
      <c r="M4358" s="16" t="b">
        <v>0</v>
      </c>
      <c r="N4358" s="16" t="b">
        <v>0</v>
      </c>
      <c r="O4358" s="16" t="n">
        <v>394.15</v>
      </c>
      <c r="P4358" s="16" t="n">
        <v>278.15</v>
      </c>
      <c r="Q4358" s="16" t="n">
        <v>3300</v>
      </c>
      <c r="R4358" s="16" t="n">
        <v>1200</v>
      </c>
      <c r="S4358" s="16" t="n">
        <v>0.82</v>
      </c>
      <c r="T4358" s="16" t="n">
        <v>0.9</v>
      </c>
      <c r="U4358" s="16" t="n">
        <v>0.8</v>
      </c>
      <c r="V4358" s="16" t="n">
        <v>0.85</v>
      </c>
      <c r="W4358" s="16" t="n">
        <v>0.75</v>
      </c>
      <c r="X4358" s="16" t="n">
        <v>0.95</v>
      </c>
      <c r="Y4358" s="16" t="n">
        <v>283.15</v>
      </c>
      <c r="Z4358" s="16" t="n">
        <v>8.491726704207609</v>
      </c>
      <c r="AA4358" s="16" t="n">
        <v>78.35179300624868</v>
      </c>
      <c r="AB4358" s="16" t="n">
        <v>2100</v>
      </c>
      <c r="AC4358" s="16" t="n">
        <v>2.75</v>
      </c>
      <c r="AD4358" s="16" t="n"/>
      <c r="AE4358" s="16" t="inlineStr">
        <is>
          <t>P_baja</t>
        </is>
      </c>
    </row>
    <row r="4359">
      <c r="A4359" s="16" t="inlineStr">
        <is>
          <t>KF-M10-OFAT-0061</t>
        </is>
      </c>
      <c r="B4359" s="16" t="inlineStr">
        <is>
          <t>6.2</t>
        </is>
      </c>
      <c r="C4359" s="16" t="inlineStr">
        <is>
          <t>6.2b</t>
        </is>
      </c>
      <c r="D4359" s="16" t="inlineStr">
        <is>
          <t>una variable a la vez</t>
        </is>
      </c>
      <c r="E4359" s="16" t="inlineStr">
        <is>
          <t>KF-M10</t>
        </is>
      </c>
      <c r="F4359" s="16" t="inlineStr">
        <is>
          <t>KF-M10-OFAT</t>
        </is>
      </c>
      <c r="G4359" s="16" t="inlineStr">
        <is>
          <t>B14-OFAT</t>
        </is>
      </c>
      <c r="H4359" s="16" t="inlineStr">
        <is>
          <t>oat</t>
        </is>
      </c>
      <c r="I4359" s="16" t="inlineStr">
        <is>
          <t>KALINA</t>
        </is>
      </c>
      <c r="J4359" s="16" t="inlineStr">
        <is>
          <t>KALINA</t>
        </is>
      </c>
      <c r="K4359" s="16" t="b">
        <v>1</v>
      </c>
      <c r="L4359" s="16" t="b">
        <v>1</v>
      </c>
      <c r="M4359" s="16" t="b">
        <v>0</v>
      </c>
      <c r="N4359" s="16" t="b">
        <v>0</v>
      </c>
      <c r="O4359" s="16" t="n">
        <v>394.15</v>
      </c>
      <c r="P4359" s="16" t="n">
        <v>278.15</v>
      </c>
      <c r="Q4359" s="16" t="n">
        <v>3300</v>
      </c>
      <c r="R4359" s="16" t="n">
        <v>690</v>
      </c>
      <c r="S4359" s="16" t="n">
        <v>0.6</v>
      </c>
      <c r="T4359" s="16" t="n">
        <v>0.9</v>
      </c>
      <c r="U4359" s="16" t="n">
        <v>0.8</v>
      </c>
      <c r="V4359" s="16" t="n">
        <v>0.85</v>
      </c>
      <c r="W4359" s="16" t="n">
        <v>0.75</v>
      </c>
      <c r="X4359" s="16" t="n">
        <v>0.95</v>
      </c>
      <c r="Y4359" s="16" t="n">
        <v>283.15</v>
      </c>
      <c r="Z4359" s="16" t="n">
        <v>8.816445146584611</v>
      </c>
      <c r="AA4359" s="16" t="n">
        <v>37.41192808343354</v>
      </c>
      <c r="AB4359" s="16" t="n">
        <v>2610</v>
      </c>
      <c r="AC4359" s="16" t="n">
        <v>4.782608695652174</v>
      </c>
      <c r="AD4359" s="16" t="n"/>
      <c r="AE4359" s="16" t="inlineStr">
        <is>
          <t>x_b</t>
        </is>
      </c>
    </row>
    <row r="4360">
      <c r="A4360" s="16" t="inlineStr">
        <is>
          <t>KF-M10-OFAT-0062</t>
        </is>
      </c>
      <c r="B4360" s="16" t="inlineStr">
        <is>
          <t>6.2</t>
        </is>
      </c>
      <c r="C4360" s="16" t="inlineStr">
        <is>
          <t>6.2b</t>
        </is>
      </c>
      <c r="D4360" s="16" t="inlineStr">
        <is>
          <t>una variable a la vez</t>
        </is>
      </c>
      <c r="E4360" s="16" t="inlineStr">
        <is>
          <t>KF-M10</t>
        </is>
      </c>
      <c r="F4360" s="16" t="inlineStr">
        <is>
          <t>KF-M10-OFAT</t>
        </is>
      </c>
      <c r="G4360" s="16" t="inlineStr">
        <is>
          <t>B14-OFAT</t>
        </is>
      </c>
      <c r="H4360" s="16" t="inlineStr">
        <is>
          <t>oat</t>
        </is>
      </c>
      <c r="I4360" s="16" t="inlineStr">
        <is>
          <t>KALINA</t>
        </is>
      </c>
      <c r="J4360" s="16" t="inlineStr">
        <is>
          <t>KALINA</t>
        </is>
      </c>
      <c r="K4360" s="16" t="b">
        <v>1</v>
      </c>
      <c r="L4360" s="16" t="b">
        <v>1</v>
      </c>
      <c r="M4360" s="16" t="b">
        <v>0</v>
      </c>
      <c r="N4360" s="16" t="b">
        <v>0</v>
      </c>
      <c r="O4360" s="16" t="n">
        <v>394.15</v>
      </c>
      <c r="P4360" s="16" t="n">
        <v>278.15</v>
      </c>
      <c r="Q4360" s="16" t="n">
        <v>3300</v>
      </c>
      <c r="R4360" s="16" t="n">
        <v>690</v>
      </c>
      <c r="S4360" s="16" t="n">
        <v>0.65</v>
      </c>
      <c r="T4360" s="16" t="n">
        <v>0.9</v>
      </c>
      <c r="U4360" s="16" t="n">
        <v>0.8</v>
      </c>
      <c r="V4360" s="16" t="n">
        <v>0.85</v>
      </c>
      <c r="W4360" s="16" t="n">
        <v>0.75</v>
      </c>
      <c r="X4360" s="16" t="n">
        <v>0.95</v>
      </c>
      <c r="Y4360" s="16" t="n">
        <v>283.15</v>
      </c>
      <c r="Z4360" s="16" t="n">
        <v>10.2518067712797</v>
      </c>
      <c r="AA4360" s="16" t="n">
        <v>55.9521494480426</v>
      </c>
      <c r="AB4360" s="16" t="n">
        <v>2610</v>
      </c>
      <c r="AC4360" s="16" t="n">
        <v>4.782608695652174</v>
      </c>
      <c r="AD4360" s="16" t="n"/>
      <c r="AE4360" s="16" t="inlineStr">
        <is>
          <t>x_b</t>
        </is>
      </c>
    </row>
    <row r="4361">
      <c r="A4361" s="16" t="inlineStr">
        <is>
          <t>KF-M10-OFAT-0063</t>
        </is>
      </c>
      <c r="B4361" s="16" t="inlineStr">
        <is>
          <t>6.2</t>
        </is>
      </c>
      <c r="C4361" s="16" t="inlineStr">
        <is>
          <t>6.2b</t>
        </is>
      </c>
      <c r="D4361" s="16" t="inlineStr">
        <is>
          <t>una variable a la vez</t>
        </is>
      </c>
      <c r="E4361" s="16" t="inlineStr">
        <is>
          <t>KF-M10</t>
        </is>
      </c>
      <c r="F4361" s="16" t="inlineStr">
        <is>
          <t>KF-M10-OFAT</t>
        </is>
      </c>
      <c r="G4361" s="16" t="inlineStr">
        <is>
          <t>B14-OFAT</t>
        </is>
      </c>
      <c r="H4361" s="16" t="inlineStr">
        <is>
          <t>oat</t>
        </is>
      </c>
      <c r="I4361" s="16" t="inlineStr">
        <is>
          <t>KALINA</t>
        </is>
      </c>
      <c r="J4361" s="16" t="inlineStr">
        <is>
          <t>KALINA</t>
        </is>
      </c>
      <c r="K4361" s="16" t="b">
        <v>1</v>
      </c>
      <c r="L4361" s="16" t="b">
        <v>1</v>
      </c>
      <c r="M4361" s="16" t="b">
        <v>0</v>
      </c>
      <c r="N4361" s="16" t="b">
        <v>0</v>
      </c>
      <c r="O4361" s="16" t="n">
        <v>394.15</v>
      </c>
      <c r="P4361" s="16" t="n">
        <v>278.15</v>
      </c>
      <c r="Q4361" s="16" t="n">
        <v>3300</v>
      </c>
      <c r="R4361" s="16" t="n">
        <v>690</v>
      </c>
      <c r="S4361" s="16" t="n">
        <v>0.6749999999999999</v>
      </c>
      <c r="T4361" s="16" t="n">
        <v>0.9</v>
      </c>
      <c r="U4361" s="16" t="n">
        <v>0.8</v>
      </c>
      <c r="V4361" s="16" t="n">
        <v>0.85</v>
      </c>
      <c r="W4361" s="16" t="n">
        <v>0.75</v>
      </c>
      <c r="X4361" s="16" t="n">
        <v>0.95</v>
      </c>
      <c r="Y4361" s="16" t="n">
        <v>283.15</v>
      </c>
      <c r="Z4361" s="16" t="n">
        <v>10.78159574911628</v>
      </c>
      <c r="AA4361" s="16" t="n">
        <v>65.17775013434638</v>
      </c>
      <c r="AB4361" s="16" t="n">
        <v>2610</v>
      </c>
      <c r="AC4361" s="16" t="n">
        <v>4.782608695652174</v>
      </c>
      <c r="AD4361" s="16" t="n"/>
      <c r="AE4361" s="16" t="inlineStr">
        <is>
          <t>x_b</t>
        </is>
      </c>
    </row>
    <row r="4362">
      <c r="A4362" s="16" t="inlineStr">
        <is>
          <t>KF-M10-OFAT-0064</t>
        </is>
      </c>
      <c r="B4362" s="16" t="inlineStr">
        <is>
          <t>6.2</t>
        </is>
      </c>
      <c r="C4362" s="16" t="inlineStr">
        <is>
          <t>6.2b</t>
        </is>
      </c>
      <c r="D4362" s="16" t="inlineStr">
        <is>
          <t>una variable a la vez</t>
        </is>
      </c>
      <c r="E4362" s="16" t="inlineStr">
        <is>
          <t>KF-M10</t>
        </is>
      </c>
      <c r="F4362" s="16" t="inlineStr">
        <is>
          <t>KF-M10-OFAT</t>
        </is>
      </c>
      <c r="G4362" s="16" t="inlineStr">
        <is>
          <t>B14-OFAT</t>
        </is>
      </c>
      <c r="H4362" s="16" t="inlineStr">
        <is>
          <t>oat</t>
        </is>
      </c>
      <c r="I4362" s="16" t="inlineStr">
        <is>
          <t>KALINA</t>
        </is>
      </c>
      <c r="J4362" s="16" t="inlineStr">
        <is>
          <t>KALINA</t>
        </is>
      </c>
      <c r="K4362" s="16" t="b">
        <v>1</v>
      </c>
      <c r="L4362" s="16" t="b">
        <v>1</v>
      </c>
      <c r="M4362" s="16" t="b">
        <v>0</v>
      </c>
      <c r="N4362" s="16" t="b">
        <v>0</v>
      </c>
      <c r="O4362" s="16" t="n">
        <v>394.15</v>
      </c>
      <c r="P4362" s="16" t="n">
        <v>278.15</v>
      </c>
      <c r="Q4362" s="16" t="n">
        <v>3300</v>
      </c>
      <c r="R4362" s="16" t="n">
        <v>690</v>
      </c>
      <c r="S4362" s="16" t="n">
        <v>0.7</v>
      </c>
      <c r="T4362" s="16" t="n">
        <v>0.9</v>
      </c>
      <c r="U4362" s="16" t="n">
        <v>0.8</v>
      </c>
      <c r="V4362" s="16" t="n">
        <v>0.85</v>
      </c>
      <c r="W4362" s="16" t="n">
        <v>0.75</v>
      </c>
      <c r="X4362" s="16" t="n">
        <v>0.95</v>
      </c>
      <c r="Y4362" s="16" t="n">
        <v>283.15</v>
      </c>
      <c r="Z4362" s="16" t="n">
        <v>11.23217741708438</v>
      </c>
      <c r="AA4362" s="16" t="n">
        <v>74.36399717804875</v>
      </c>
      <c r="AB4362" s="16" t="n">
        <v>2610</v>
      </c>
      <c r="AC4362" s="16" t="n">
        <v>4.782608695652174</v>
      </c>
      <c r="AD4362" s="16" t="n"/>
      <c r="AE4362" s="16" t="inlineStr">
        <is>
          <t>x_b</t>
        </is>
      </c>
    </row>
    <row r="4363">
      <c r="A4363" s="16" t="inlineStr">
        <is>
          <t>KF-M10-OFAT-0065</t>
        </is>
      </c>
      <c r="B4363" s="16" t="inlineStr">
        <is>
          <t>6.2</t>
        </is>
      </c>
      <c r="C4363" s="16" t="inlineStr">
        <is>
          <t>6.2b</t>
        </is>
      </c>
      <c r="D4363" s="16" t="inlineStr">
        <is>
          <t>una variable a la vez</t>
        </is>
      </c>
      <c r="E4363" s="16" t="inlineStr">
        <is>
          <t>KF-M10</t>
        </is>
      </c>
      <c r="F4363" s="16" t="inlineStr">
        <is>
          <t>KF-M10-OFAT</t>
        </is>
      </c>
      <c r="G4363" s="16" t="inlineStr">
        <is>
          <t>B14-OFAT</t>
        </is>
      </c>
      <c r="H4363" s="16" t="inlineStr">
        <is>
          <t>oat</t>
        </is>
      </c>
      <c r="I4363" s="16" t="inlineStr">
        <is>
          <t>KALINA</t>
        </is>
      </c>
      <c r="J4363" s="16" t="inlineStr">
        <is>
          <t>KALINA</t>
        </is>
      </c>
      <c r="K4363" s="16" t="b">
        <v>1</v>
      </c>
      <c r="L4363" s="16" t="b">
        <v>1</v>
      </c>
      <c r="M4363" s="16" t="b">
        <v>0</v>
      </c>
      <c r="N4363" s="16" t="b">
        <v>0</v>
      </c>
      <c r="O4363" s="16" t="n">
        <v>394.15</v>
      </c>
      <c r="P4363" s="16" t="n">
        <v>278.15</v>
      </c>
      <c r="Q4363" s="16" t="n">
        <v>3300</v>
      </c>
      <c r="R4363" s="16" t="n">
        <v>690</v>
      </c>
      <c r="S4363" s="16" t="n">
        <v>0.725</v>
      </c>
      <c r="T4363" s="16" t="n">
        <v>0.9</v>
      </c>
      <c r="U4363" s="16" t="n">
        <v>0.8</v>
      </c>
      <c r="V4363" s="16" t="n">
        <v>0.85</v>
      </c>
      <c r="W4363" s="16" t="n">
        <v>0.75</v>
      </c>
      <c r="X4363" s="16" t="n">
        <v>0.95</v>
      </c>
      <c r="Y4363" s="16" t="n">
        <v>283.15</v>
      </c>
      <c r="Z4363" s="16" t="n">
        <v>11.62246847395334</v>
      </c>
      <c r="AA4363" s="16" t="n">
        <v>83.50221327473321</v>
      </c>
      <c r="AB4363" s="16" t="n">
        <v>2610</v>
      </c>
      <c r="AC4363" s="16" t="n">
        <v>4.782608695652174</v>
      </c>
      <c r="AD4363" s="16" t="n"/>
      <c r="AE4363" s="16" t="inlineStr">
        <is>
          <t>x_b</t>
        </is>
      </c>
    </row>
    <row r="4364">
      <c r="A4364" s="16" t="inlineStr">
        <is>
          <t>KF-M10-OFAT-0066</t>
        </is>
      </c>
      <c r="B4364" s="16" t="inlineStr">
        <is>
          <t>6.2</t>
        </is>
      </c>
      <c r="C4364" s="16" t="inlineStr">
        <is>
          <t>6.2b</t>
        </is>
      </c>
      <c r="D4364" s="16" t="inlineStr">
        <is>
          <t>una variable a la vez</t>
        </is>
      </c>
      <c r="E4364" s="16" t="inlineStr">
        <is>
          <t>KF-M10</t>
        </is>
      </c>
      <c r="F4364" s="16" t="inlineStr">
        <is>
          <t>KF-M10-OFAT</t>
        </is>
      </c>
      <c r="G4364" s="16" t="inlineStr">
        <is>
          <t>B14-OFAT</t>
        </is>
      </c>
      <c r="H4364" s="16" t="inlineStr">
        <is>
          <t>oat</t>
        </is>
      </c>
      <c r="I4364" s="16" t="inlineStr">
        <is>
          <t>KALINA</t>
        </is>
      </c>
      <c r="J4364" s="16" t="inlineStr">
        <is>
          <t>KALINA</t>
        </is>
      </c>
      <c r="K4364" s="16" t="b">
        <v>1</v>
      </c>
      <c r="L4364" s="16" t="b">
        <v>1</v>
      </c>
      <c r="M4364" s="16" t="b">
        <v>0</v>
      </c>
      <c r="N4364" s="16" t="b">
        <v>0</v>
      </c>
      <c r="O4364" s="16" t="n">
        <v>394.15</v>
      </c>
      <c r="P4364" s="16" t="n">
        <v>278.15</v>
      </c>
      <c r="Q4364" s="16" t="n">
        <v>3300</v>
      </c>
      <c r="R4364" s="16" t="n">
        <v>690</v>
      </c>
      <c r="S4364" s="16" t="n">
        <v>0.75</v>
      </c>
      <c r="T4364" s="16" t="n">
        <v>0.9</v>
      </c>
      <c r="U4364" s="16" t="n">
        <v>0.8</v>
      </c>
      <c r="V4364" s="16" t="n">
        <v>0.85</v>
      </c>
      <c r="W4364" s="16" t="n">
        <v>0.75</v>
      </c>
      <c r="X4364" s="16" t="n">
        <v>0.95</v>
      </c>
      <c r="Y4364" s="16" t="n">
        <v>283.15</v>
      </c>
      <c r="Z4364" s="16" t="n">
        <v>11.96495934786356</v>
      </c>
      <c r="AA4364" s="16" t="n">
        <v>92.58232499337376</v>
      </c>
      <c r="AB4364" s="16" t="n">
        <v>2610</v>
      </c>
      <c r="AC4364" s="16" t="n">
        <v>4.782608695652174</v>
      </c>
      <c r="AD4364" s="16" t="n"/>
      <c r="AE4364" s="16" t="inlineStr">
        <is>
          <t>x_b</t>
        </is>
      </c>
    </row>
    <row r="4365">
      <c r="A4365" s="16" t="inlineStr">
        <is>
          <t>KF-M10-OFAT-0067</t>
        </is>
      </c>
      <c r="B4365" s="16" t="inlineStr">
        <is>
          <t>6.2</t>
        </is>
      </c>
      <c r="C4365" s="16" t="inlineStr">
        <is>
          <t>6.2b</t>
        </is>
      </c>
      <c r="D4365" s="16" t="inlineStr">
        <is>
          <t>una variable a la vez</t>
        </is>
      </c>
      <c r="E4365" s="16" t="inlineStr">
        <is>
          <t>KF-M10</t>
        </is>
      </c>
      <c r="F4365" s="16" t="inlineStr">
        <is>
          <t>KF-M10-OFAT</t>
        </is>
      </c>
      <c r="G4365" s="16" t="inlineStr">
        <is>
          <t>B14-OFAT</t>
        </is>
      </c>
      <c r="H4365" s="16" t="inlineStr">
        <is>
          <t>oat</t>
        </is>
      </c>
      <c r="I4365" s="16" t="inlineStr">
        <is>
          <t>KALINA</t>
        </is>
      </c>
      <c r="J4365" s="16" t="inlineStr">
        <is>
          <t>KALINA</t>
        </is>
      </c>
      <c r="K4365" s="16" t="b">
        <v>1</v>
      </c>
      <c r="L4365" s="16" t="b">
        <v>1</v>
      </c>
      <c r="M4365" s="16" t="b">
        <v>0</v>
      </c>
      <c r="N4365" s="16" t="b">
        <v>0</v>
      </c>
      <c r="O4365" s="16" t="n">
        <v>394.15</v>
      </c>
      <c r="P4365" s="16" t="n">
        <v>278.15</v>
      </c>
      <c r="Q4365" s="16" t="n">
        <v>3300</v>
      </c>
      <c r="R4365" s="16" t="n">
        <v>690</v>
      </c>
      <c r="S4365" s="16" t="n">
        <v>0.7749999999999999</v>
      </c>
      <c r="T4365" s="16" t="n">
        <v>0.9</v>
      </c>
      <c r="U4365" s="16" t="n">
        <v>0.8</v>
      </c>
      <c r="V4365" s="16" t="n">
        <v>0.85</v>
      </c>
      <c r="W4365" s="16" t="n">
        <v>0.75</v>
      </c>
      <c r="X4365" s="16" t="n">
        <v>0.95</v>
      </c>
      <c r="Y4365" s="16" t="n">
        <v>283.15</v>
      </c>
      <c r="Z4365" s="16" t="n">
        <v>12.26810253235902</v>
      </c>
      <c r="AA4365" s="16" t="n">
        <v>101.5925366965901</v>
      </c>
      <c r="AB4365" s="16" t="n">
        <v>2610</v>
      </c>
      <c r="AC4365" s="16" t="n">
        <v>4.782608695652174</v>
      </c>
      <c r="AD4365" s="16" t="n"/>
      <c r="AE4365" s="16" t="inlineStr">
        <is>
          <t>x_b</t>
        </is>
      </c>
    </row>
    <row r="4366">
      <c r="A4366" s="16" t="inlineStr">
        <is>
          <t>KF-M10-OFAT-0068</t>
        </is>
      </c>
      <c r="B4366" s="16" t="inlineStr">
        <is>
          <t>6.2</t>
        </is>
      </c>
      <c r="C4366" s="16" t="inlineStr">
        <is>
          <t>6.2b</t>
        </is>
      </c>
      <c r="D4366" s="16" t="inlineStr">
        <is>
          <t>una variable a la vez</t>
        </is>
      </c>
      <c r="E4366" s="16" t="inlineStr">
        <is>
          <t>KF-M10</t>
        </is>
      </c>
      <c r="F4366" s="16" t="inlineStr">
        <is>
          <t>KF-M10-OFAT</t>
        </is>
      </c>
      <c r="G4366" s="16" t="inlineStr">
        <is>
          <t>B14-OFAT</t>
        </is>
      </c>
      <c r="H4366" s="16" t="inlineStr">
        <is>
          <t>oat</t>
        </is>
      </c>
      <c r="I4366" s="16" t="inlineStr">
        <is>
          <t>CORREGIBLE</t>
        </is>
      </c>
      <c r="J4366" s="16" t="inlineStr">
        <is>
          <t>CORREGIBLE</t>
        </is>
      </c>
      <c r="K4366" s="16" t="b">
        <v>1</v>
      </c>
      <c r="L4366" s="16" t="b">
        <v>0</v>
      </c>
      <c r="M4366" s="16" t="b">
        <v>0</v>
      </c>
      <c r="N4366" s="16" t="b">
        <v>0</v>
      </c>
      <c r="O4366" s="16" t="n">
        <v>394.15</v>
      </c>
      <c r="P4366" s="16" t="n">
        <v>278.15</v>
      </c>
      <c r="Q4366" s="16" t="n">
        <v>3300</v>
      </c>
      <c r="R4366" s="16" t="n">
        <v>690</v>
      </c>
      <c r="S4366" s="16" t="n">
        <v>0.85</v>
      </c>
      <c r="T4366" s="16" t="n">
        <v>0.9</v>
      </c>
      <c r="U4366" s="16" t="n">
        <v>0.8</v>
      </c>
      <c r="V4366" s="16" t="n">
        <v>0.85</v>
      </c>
      <c r="W4366" s="16" t="n">
        <v>0.75</v>
      </c>
      <c r="X4366" s="16" t="n">
        <v>0.95</v>
      </c>
      <c r="Y4366" s="16" t="n">
        <v>283.15</v>
      </c>
      <c r="Z4366" s="16" t="n">
        <v>12.99045063123267</v>
      </c>
      <c r="AA4366" s="16" t="n">
        <v>128.0484319027406</v>
      </c>
      <c r="AB4366" s="16" t="n">
        <v>2610</v>
      </c>
      <c r="AC4366" s="16" t="n">
        <v>4.782608695652174</v>
      </c>
      <c r="AD4366" s="16" t="inlineStr">
        <is>
          <t>O2</t>
        </is>
      </c>
      <c r="AE4366" s="16" t="inlineStr">
        <is>
          <t>x_b</t>
        </is>
      </c>
    </row>
    <row r="4367">
      <c r="A4367" s="16" t="inlineStr">
        <is>
          <t>KF-M10-OFAT-0069</t>
        </is>
      </c>
      <c r="B4367" s="16" t="inlineStr">
        <is>
          <t>6.2</t>
        </is>
      </c>
      <c r="C4367" s="16" t="inlineStr">
        <is>
          <t>6.2b</t>
        </is>
      </c>
      <c r="D4367" s="16" t="inlineStr">
        <is>
          <t>una variable a la vez</t>
        </is>
      </c>
      <c r="E4367" s="16" t="inlineStr">
        <is>
          <t>KF-M10</t>
        </is>
      </c>
      <c r="F4367" s="16" t="inlineStr">
        <is>
          <t>KF-M10-OFAT</t>
        </is>
      </c>
      <c r="G4367" s="16" t="inlineStr">
        <is>
          <t>B14-OFAT</t>
        </is>
      </c>
      <c r="H4367" s="16" t="inlineStr">
        <is>
          <t>oat</t>
        </is>
      </c>
      <c r="I4367" s="16" t="inlineStr">
        <is>
          <t>KALINA</t>
        </is>
      </c>
      <c r="J4367" s="16" t="inlineStr">
        <is>
          <t>KALINA</t>
        </is>
      </c>
      <c r="K4367" s="16" t="b">
        <v>1</v>
      </c>
      <c r="L4367" s="16" t="b">
        <v>1</v>
      </c>
      <c r="M4367" s="16" t="b">
        <v>0</v>
      </c>
      <c r="N4367" s="16" t="b">
        <v>0</v>
      </c>
      <c r="O4367" s="16" t="n">
        <v>394.15</v>
      </c>
      <c r="P4367" s="16" t="n">
        <v>278.15</v>
      </c>
      <c r="Q4367" s="16" t="n">
        <v>3300</v>
      </c>
      <c r="R4367" s="16" t="n">
        <v>690</v>
      </c>
      <c r="S4367" s="16" t="n">
        <v>0.825</v>
      </c>
      <c r="T4367" s="16" t="n">
        <v>0.9</v>
      </c>
      <c r="U4367" s="16" t="n">
        <v>0.8</v>
      </c>
      <c r="V4367" s="16" t="n">
        <v>0.85</v>
      </c>
      <c r="W4367" s="16" t="n">
        <v>0.75</v>
      </c>
      <c r="X4367" s="16" t="n">
        <v>0.95</v>
      </c>
      <c r="Y4367" s="16" t="n">
        <v>283.15</v>
      </c>
      <c r="Z4367" s="16" t="n">
        <v>12.77762004685831</v>
      </c>
      <c r="AA4367" s="16" t="n">
        <v>119.3444114122819</v>
      </c>
      <c r="AB4367" s="16" t="n">
        <v>2610</v>
      </c>
      <c r="AC4367" s="16" t="n">
        <v>4.782608695652174</v>
      </c>
      <c r="AD4367" s="16" t="n"/>
      <c r="AE4367" s="16" t="inlineStr">
        <is>
          <t>x_b</t>
        </is>
      </c>
    </row>
    <row r="4368">
      <c r="A4368" s="16" t="inlineStr">
        <is>
          <t>KF-M10-OFAT-0070</t>
        </is>
      </c>
      <c r="B4368" s="16" t="inlineStr">
        <is>
          <t>6.2</t>
        </is>
      </c>
      <c r="C4368" s="16" t="inlineStr">
        <is>
          <t>6.2b</t>
        </is>
      </c>
      <c r="D4368" s="16" t="inlineStr">
        <is>
          <t>una variable a la vez</t>
        </is>
      </c>
      <c r="E4368" s="16" t="inlineStr">
        <is>
          <t>KF-M10</t>
        </is>
      </c>
      <c r="F4368" s="16" t="inlineStr">
        <is>
          <t>KF-M10-OFAT</t>
        </is>
      </c>
      <c r="G4368" s="16" t="inlineStr">
        <is>
          <t>B14-OFAT</t>
        </is>
      </c>
      <c r="H4368" s="16" t="inlineStr">
        <is>
          <t>oat</t>
        </is>
      </c>
      <c r="I4368" s="16" t="inlineStr">
        <is>
          <t>CORREGIBLE</t>
        </is>
      </c>
      <c r="J4368" s="16" t="inlineStr">
        <is>
          <t>CORREGIBLE</t>
        </is>
      </c>
      <c r="K4368" s="16" t="b">
        <v>1</v>
      </c>
      <c r="L4368" s="16" t="b">
        <v>0</v>
      </c>
      <c r="M4368" s="16" t="b">
        <v>0</v>
      </c>
      <c r="N4368" s="16" t="b">
        <v>0</v>
      </c>
      <c r="O4368" s="16" t="n">
        <v>394.15</v>
      </c>
      <c r="P4368" s="16" t="n">
        <v>278.15</v>
      </c>
      <c r="Q4368" s="16" t="n">
        <v>3300</v>
      </c>
      <c r="R4368" s="16" t="n">
        <v>690</v>
      </c>
      <c r="S4368" s="16" t="n">
        <v>0.875</v>
      </c>
      <c r="T4368" s="16" t="n">
        <v>0.9</v>
      </c>
      <c r="U4368" s="16" t="n">
        <v>0.8</v>
      </c>
      <c r="V4368" s="16" t="n">
        <v>0.85</v>
      </c>
      <c r="W4368" s="16" t="n">
        <v>0.75</v>
      </c>
      <c r="X4368" s="16" t="n">
        <v>0.95</v>
      </c>
      <c r="Y4368" s="16" t="n">
        <v>283.15</v>
      </c>
      <c r="Z4368" s="16" t="n">
        <v>13.17755558523389</v>
      </c>
      <c r="AA4368" s="16" t="n">
        <v>136.6046488934358</v>
      </c>
      <c r="AB4368" s="16" t="n">
        <v>2610</v>
      </c>
      <c r="AC4368" s="16" t="n">
        <v>4.782608695652174</v>
      </c>
      <c r="AD4368" s="16" t="inlineStr">
        <is>
          <t>O2</t>
        </is>
      </c>
      <c r="AE4368" s="16" t="inlineStr">
        <is>
          <t>x_b</t>
        </is>
      </c>
    </row>
    <row r="4369">
      <c r="A4369" s="16" t="inlineStr">
        <is>
          <t>KF-M10-OFAT-0071</t>
        </is>
      </c>
      <c r="B4369" s="16" t="inlineStr">
        <is>
          <t>6.2</t>
        </is>
      </c>
      <c r="C4369" s="16" t="inlineStr">
        <is>
          <t>6.2b</t>
        </is>
      </c>
      <c r="D4369" s="16" t="inlineStr">
        <is>
          <t>una variable a la vez</t>
        </is>
      </c>
      <c r="E4369" s="16" t="inlineStr">
        <is>
          <t>KF-M10</t>
        </is>
      </c>
      <c r="F4369" s="16" t="inlineStr">
        <is>
          <t>KF-M10-OFAT</t>
        </is>
      </c>
      <c r="G4369" s="16" t="inlineStr">
        <is>
          <t>B14-OFAT</t>
        </is>
      </c>
      <c r="H4369" s="16" t="inlineStr">
        <is>
          <t>oat</t>
        </is>
      </c>
      <c r="I4369" s="16" t="inlineStr">
        <is>
          <t>KALINA</t>
        </is>
      </c>
      <c r="J4369" s="16" t="inlineStr">
        <is>
          <t>KALINA</t>
        </is>
      </c>
      <c r="K4369" s="16" t="b">
        <v>1</v>
      </c>
      <c r="L4369" s="16" t="b">
        <v>1</v>
      </c>
      <c r="M4369" s="16" t="b">
        <v>0</v>
      </c>
      <c r="N4369" s="16" t="b">
        <v>0</v>
      </c>
      <c r="O4369" s="16" t="n">
        <v>394.15</v>
      </c>
      <c r="P4369" s="16" t="n">
        <v>278.15</v>
      </c>
      <c r="Q4369" s="16" t="n">
        <v>3300</v>
      </c>
      <c r="R4369" s="16" t="n">
        <v>690</v>
      </c>
      <c r="S4369" s="16" t="n">
        <v>0.7999999999999999</v>
      </c>
      <c r="T4369" s="16" t="n">
        <v>0.9</v>
      </c>
      <c r="U4369" s="16" t="n">
        <v>0.8</v>
      </c>
      <c r="V4369" s="16" t="n">
        <v>0.85</v>
      </c>
      <c r="W4369" s="16" t="n">
        <v>0.75</v>
      </c>
      <c r="X4369" s="16" t="n">
        <v>0.95</v>
      </c>
      <c r="Y4369" s="16" t="n">
        <v>283.15</v>
      </c>
      <c r="Z4369" s="16" t="n">
        <v>12.50472537002479</v>
      </c>
      <c r="AA4369" s="16" t="n">
        <v>110.2048749822196</v>
      </c>
      <c r="AB4369" s="16" t="n">
        <v>2610</v>
      </c>
      <c r="AC4369" s="16" t="n">
        <v>4.782608695652174</v>
      </c>
      <c r="AD4369" s="16" t="n"/>
      <c r="AE4369" s="16" t="inlineStr">
        <is>
          <t>x_b</t>
        </is>
      </c>
    </row>
    <row r="4370">
      <c r="A4370" s="16" t="inlineStr">
        <is>
          <t>KF-M10-OFAT-0072</t>
        </is>
      </c>
      <c r="B4370" s="16" t="inlineStr">
        <is>
          <t>6.2</t>
        </is>
      </c>
      <c r="C4370" s="16" t="inlineStr">
        <is>
          <t>6.2b</t>
        </is>
      </c>
      <c r="D4370" s="16" t="inlineStr">
        <is>
          <t>una variable a la vez</t>
        </is>
      </c>
      <c r="E4370" s="16" t="inlineStr">
        <is>
          <t>KF-M10</t>
        </is>
      </c>
      <c r="F4370" s="16" t="inlineStr">
        <is>
          <t>KF-M10-OFAT</t>
        </is>
      </c>
      <c r="G4370" s="16" t="inlineStr">
        <is>
          <t>B14-OFAT</t>
        </is>
      </c>
      <c r="H4370" s="16" t="inlineStr">
        <is>
          <t>oat</t>
        </is>
      </c>
      <c r="I4370" s="16" t="inlineStr">
        <is>
          <t>CORREGIBLE</t>
        </is>
      </c>
      <c r="J4370" s="16" t="inlineStr">
        <is>
          <t>CORREGIBLE</t>
        </is>
      </c>
      <c r="K4370" s="16" t="b">
        <v>1</v>
      </c>
      <c r="L4370" s="16" t="b">
        <v>0</v>
      </c>
      <c r="M4370" s="16" t="b">
        <v>0</v>
      </c>
      <c r="N4370" s="16" t="b">
        <v>0</v>
      </c>
      <c r="O4370" s="16" t="n">
        <v>394.15</v>
      </c>
      <c r="P4370" s="16" t="n">
        <v>278.15</v>
      </c>
      <c r="Q4370" s="16" t="n">
        <v>3300</v>
      </c>
      <c r="R4370" s="16" t="n">
        <v>690</v>
      </c>
      <c r="S4370" s="16" t="n">
        <v>0.8999999999999999</v>
      </c>
      <c r="T4370" s="16" t="n">
        <v>0.9</v>
      </c>
      <c r="U4370" s="16" t="n">
        <v>0.8</v>
      </c>
      <c r="V4370" s="16" t="n">
        <v>0.85</v>
      </c>
      <c r="W4370" s="16" t="n">
        <v>0.75</v>
      </c>
      <c r="X4370" s="16" t="n">
        <v>0.95</v>
      </c>
      <c r="Y4370" s="16" t="n">
        <v>283.15</v>
      </c>
      <c r="Z4370" s="16" t="n">
        <v>13.33919494068688</v>
      </c>
      <c r="AA4370" s="16" t="n">
        <v>144.9786109859544</v>
      </c>
      <c r="AB4370" s="16" t="n">
        <v>2610</v>
      </c>
      <c r="AC4370" s="16" t="n">
        <v>4.782608695652174</v>
      </c>
      <c r="AD4370" s="16" t="inlineStr">
        <is>
          <t>O2</t>
        </is>
      </c>
      <c r="AE4370" s="16" t="inlineStr">
        <is>
          <t>x_b</t>
        </is>
      </c>
    </row>
    <row r="4371">
      <c r="A4371" s="16" t="inlineStr">
        <is>
          <t>KF-M10-OFAT-0073</t>
        </is>
      </c>
      <c r="B4371" s="16" t="inlineStr">
        <is>
          <t>6.2</t>
        </is>
      </c>
      <c r="C4371" s="16" t="inlineStr">
        <is>
          <t>6.2b</t>
        </is>
      </c>
      <c r="D4371" s="16" t="inlineStr">
        <is>
          <t>una variable a la vez</t>
        </is>
      </c>
      <c r="E4371" s="16" t="inlineStr">
        <is>
          <t>KF-M10</t>
        </is>
      </c>
      <c r="F4371" s="16" t="inlineStr">
        <is>
          <t>KF-M10-OFAT</t>
        </is>
      </c>
      <c r="G4371" s="16" t="inlineStr">
        <is>
          <t>B14-OFAT</t>
        </is>
      </c>
      <c r="H4371" s="16" t="inlineStr">
        <is>
          <t>oat</t>
        </is>
      </c>
      <c r="I4371" s="16" t="inlineStr">
        <is>
          <t>KALINA</t>
        </is>
      </c>
      <c r="J4371" s="16" t="inlineStr">
        <is>
          <t>KALINA</t>
        </is>
      </c>
      <c r="K4371" s="16" t="b">
        <v>1</v>
      </c>
      <c r="L4371" s="16" t="b">
        <v>1</v>
      </c>
      <c r="M4371" s="16" t="b">
        <v>0</v>
      </c>
      <c r="N4371" s="16" t="b">
        <v>0</v>
      </c>
      <c r="O4371" s="16" t="n">
        <v>394.15</v>
      </c>
      <c r="P4371" s="16" t="n">
        <v>278.15</v>
      </c>
      <c r="Q4371" s="16" t="n">
        <v>3300</v>
      </c>
      <c r="R4371" s="16" t="n">
        <v>690</v>
      </c>
      <c r="S4371" s="16" t="n">
        <v>0.82</v>
      </c>
      <c r="T4371" s="16" t="n">
        <v>0.7642857142857142</v>
      </c>
      <c r="U4371" s="16" t="n">
        <v>0.8</v>
      </c>
      <c r="V4371" s="16" t="n">
        <v>0.85</v>
      </c>
      <c r="W4371" s="16" t="n">
        <v>0.75</v>
      </c>
      <c r="X4371" s="16" t="n">
        <v>0.95</v>
      </c>
      <c r="Y4371" s="16" t="n">
        <v>283.15</v>
      </c>
      <c r="Z4371" s="16" t="n">
        <v>10.74377241335414</v>
      </c>
      <c r="AA4371" s="16" t="n">
        <v>99.16613535177449</v>
      </c>
      <c r="AB4371" s="16" t="n">
        <v>2610</v>
      </c>
      <c r="AC4371" s="16" t="n">
        <v>4.782608695652174</v>
      </c>
      <c r="AD4371" s="16" t="n"/>
      <c r="AE4371" s="16" t="inlineStr">
        <is>
          <t>eta_t</t>
        </is>
      </c>
    </row>
    <row r="4372">
      <c r="A4372" s="16" t="inlineStr">
        <is>
          <t>KF-M10-OFAT-0074</t>
        </is>
      </c>
      <c r="B4372" s="16" t="inlineStr">
        <is>
          <t>6.2</t>
        </is>
      </c>
      <c r="C4372" s="16" t="inlineStr">
        <is>
          <t>6.2b</t>
        </is>
      </c>
      <c r="D4372" s="16" t="inlineStr">
        <is>
          <t>una variable a la vez</t>
        </is>
      </c>
      <c r="E4372" s="16" t="inlineStr">
        <is>
          <t>KF-M10</t>
        </is>
      </c>
      <c r="F4372" s="16" t="inlineStr">
        <is>
          <t>KF-M10-OFAT</t>
        </is>
      </c>
      <c r="G4372" s="16" t="inlineStr">
        <is>
          <t>B14-OFAT</t>
        </is>
      </c>
      <c r="H4372" s="16" t="inlineStr">
        <is>
          <t>oat</t>
        </is>
      </c>
      <c r="I4372" s="16" t="inlineStr">
        <is>
          <t>KALINA</t>
        </is>
      </c>
      <c r="J4372" s="16" t="inlineStr">
        <is>
          <t>KALINA</t>
        </is>
      </c>
      <c r="K4372" s="16" t="b">
        <v>1</v>
      </c>
      <c r="L4372" s="16" t="b">
        <v>1</v>
      </c>
      <c r="M4372" s="16" t="b">
        <v>0</v>
      </c>
      <c r="N4372" s="16" t="b">
        <v>0</v>
      </c>
      <c r="O4372" s="16" t="n">
        <v>394.15</v>
      </c>
      <c r="P4372" s="16" t="n">
        <v>278.15</v>
      </c>
      <c r="Q4372" s="16" t="n">
        <v>3300</v>
      </c>
      <c r="R4372" s="16" t="n">
        <v>690</v>
      </c>
      <c r="S4372" s="16" t="n">
        <v>0.82</v>
      </c>
      <c r="T4372" s="16" t="n">
        <v>0.7785714285714286</v>
      </c>
      <c r="U4372" s="16" t="n">
        <v>0.8</v>
      </c>
      <c r="V4372" s="16" t="n">
        <v>0.85</v>
      </c>
      <c r="W4372" s="16" t="n">
        <v>0.75</v>
      </c>
      <c r="X4372" s="16" t="n">
        <v>0.95</v>
      </c>
      <c r="Y4372" s="16" t="n">
        <v>283.15</v>
      </c>
      <c r="Z4372" s="16" t="n">
        <v>10.95318523603804</v>
      </c>
      <c r="AA4372" s="16" t="n">
        <v>101.105546054346</v>
      </c>
      <c r="AB4372" s="16" t="n">
        <v>2610</v>
      </c>
      <c r="AC4372" s="16" t="n">
        <v>4.782608695652174</v>
      </c>
      <c r="AD4372" s="16" t="n"/>
      <c r="AE4372" s="16" t="inlineStr">
        <is>
          <t>eta_t</t>
        </is>
      </c>
    </row>
    <row r="4373">
      <c r="A4373" s="16" t="inlineStr">
        <is>
          <t>KF-M10-OFAT-0075</t>
        </is>
      </c>
      <c r="B4373" s="16" t="inlineStr">
        <is>
          <t>6.2</t>
        </is>
      </c>
      <c r="C4373" s="16" t="inlineStr">
        <is>
          <t>6.2b</t>
        </is>
      </c>
      <c r="D4373" s="16" t="inlineStr">
        <is>
          <t>una variable a la vez</t>
        </is>
      </c>
      <c r="E4373" s="16" t="inlineStr">
        <is>
          <t>KF-M10</t>
        </is>
      </c>
      <c r="F4373" s="16" t="inlineStr">
        <is>
          <t>KF-M10-OFAT</t>
        </is>
      </c>
      <c r="G4373" s="16" t="inlineStr">
        <is>
          <t>B14-OFAT</t>
        </is>
      </c>
      <c r="H4373" s="16" t="inlineStr">
        <is>
          <t>oat</t>
        </is>
      </c>
      <c r="I4373" s="16" t="inlineStr">
        <is>
          <t>KALINA</t>
        </is>
      </c>
      <c r="J4373" s="16" t="inlineStr">
        <is>
          <t>KALINA</t>
        </is>
      </c>
      <c r="K4373" s="16" t="b">
        <v>1</v>
      </c>
      <c r="L4373" s="16" t="b">
        <v>1</v>
      </c>
      <c r="M4373" s="16" t="b">
        <v>0</v>
      </c>
      <c r="N4373" s="16" t="b">
        <v>0</v>
      </c>
      <c r="O4373" s="16" t="n">
        <v>394.15</v>
      </c>
      <c r="P4373" s="16" t="n">
        <v>278.15</v>
      </c>
      <c r="Q4373" s="16" t="n">
        <v>3300</v>
      </c>
      <c r="R4373" s="16" t="n">
        <v>690</v>
      </c>
      <c r="S4373" s="16" t="n">
        <v>0.82</v>
      </c>
      <c r="T4373" s="16" t="n">
        <v>0.75</v>
      </c>
      <c r="U4373" s="16" t="n">
        <v>0.8</v>
      </c>
      <c r="V4373" s="16" t="n">
        <v>0.85</v>
      </c>
      <c r="W4373" s="16" t="n">
        <v>0.75</v>
      </c>
      <c r="X4373" s="16" t="n">
        <v>0.95</v>
      </c>
      <c r="Y4373" s="16" t="n">
        <v>283.15</v>
      </c>
      <c r="Z4373" s="16" t="n">
        <v>10.5343266263611</v>
      </c>
      <c r="AA4373" s="16" t="n">
        <v>97.22666900475596</v>
      </c>
      <c r="AB4373" s="16" t="n">
        <v>2610</v>
      </c>
      <c r="AC4373" s="16" t="n">
        <v>4.782608695652174</v>
      </c>
      <c r="AD4373" s="16" t="n"/>
      <c r="AE4373" s="16" t="inlineStr">
        <is>
          <t>eta_t</t>
        </is>
      </c>
    </row>
    <row r="4374">
      <c r="A4374" s="16" t="inlineStr">
        <is>
          <t>KF-M10-OFAT-0076</t>
        </is>
      </c>
      <c r="B4374" s="16" t="inlineStr">
        <is>
          <t>6.2</t>
        </is>
      </c>
      <c r="C4374" s="16" t="inlineStr">
        <is>
          <t>6.2b</t>
        </is>
      </c>
      <c r="D4374" s="16" t="inlineStr">
        <is>
          <t>una variable a la vez</t>
        </is>
      </c>
      <c r="E4374" s="16" t="inlineStr">
        <is>
          <t>KF-M10</t>
        </is>
      </c>
      <c r="F4374" s="16" t="inlineStr">
        <is>
          <t>KF-M10-OFAT</t>
        </is>
      </c>
      <c r="G4374" s="16" t="inlineStr">
        <is>
          <t>B14-OFAT</t>
        </is>
      </c>
      <c r="H4374" s="16" t="inlineStr">
        <is>
          <t>oat</t>
        </is>
      </c>
      <c r="I4374" s="16" t="inlineStr">
        <is>
          <t>CORREGIBLE</t>
        </is>
      </c>
      <c r="J4374" s="16" t="inlineStr">
        <is>
          <t>CORREGIBLE</t>
        </is>
      </c>
      <c r="K4374" s="16" t="b">
        <v>1</v>
      </c>
      <c r="L4374" s="16" t="b">
        <v>0</v>
      </c>
      <c r="M4374" s="16" t="b">
        <v>0</v>
      </c>
      <c r="N4374" s="16" t="b">
        <v>0</v>
      </c>
      <c r="O4374" s="16" t="n">
        <v>394.15</v>
      </c>
      <c r="P4374" s="16" t="n">
        <v>278.15</v>
      </c>
      <c r="Q4374" s="16" t="n">
        <v>3300</v>
      </c>
      <c r="R4374" s="16" t="n">
        <v>690</v>
      </c>
      <c r="S4374" s="16" t="n">
        <v>0.95</v>
      </c>
      <c r="T4374" s="16" t="n">
        <v>0.9</v>
      </c>
      <c r="U4374" s="16" t="n">
        <v>0.8</v>
      </c>
      <c r="V4374" s="16" t="n">
        <v>0.85</v>
      </c>
      <c r="W4374" s="16" t="n">
        <v>0.75</v>
      </c>
      <c r="X4374" s="16" t="n">
        <v>0.95</v>
      </c>
      <c r="Y4374" s="16" t="n">
        <v>283.15</v>
      </c>
      <c r="Z4374" s="16" t="n">
        <v>13.34349037425598</v>
      </c>
      <c r="AA4374" s="16" t="n">
        <v>157.8382209991424</v>
      </c>
      <c r="AB4374" s="16" t="n">
        <v>2610</v>
      </c>
      <c r="AC4374" s="16" t="n">
        <v>4.782608695652174</v>
      </c>
      <c r="AD4374" s="16" t="inlineStr">
        <is>
          <t>O2</t>
        </is>
      </c>
      <c r="AE4374" s="16" t="inlineStr">
        <is>
          <t>x_b</t>
        </is>
      </c>
    </row>
    <row r="4375">
      <c r="A4375" s="16" t="inlineStr">
        <is>
          <t>KF-M10-OFAT-0077</t>
        </is>
      </c>
      <c r="B4375" s="16" t="inlineStr">
        <is>
          <t>6.2</t>
        </is>
      </c>
      <c r="C4375" s="16" t="inlineStr">
        <is>
          <t>6.2b</t>
        </is>
      </c>
      <c r="D4375" s="16" t="inlineStr">
        <is>
          <t>una variable a la vez</t>
        </is>
      </c>
      <c r="E4375" s="16" t="inlineStr">
        <is>
          <t>KF-M10</t>
        </is>
      </c>
      <c r="F4375" s="16" t="inlineStr">
        <is>
          <t>KF-M10-OFAT</t>
        </is>
      </c>
      <c r="G4375" s="16" t="inlineStr">
        <is>
          <t>B14-OFAT</t>
        </is>
      </c>
      <c r="H4375" s="16" t="inlineStr">
        <is>
          <t>oat</t>
        </is>
      </c>
      <c r="I4375" s="16" t="inlineStr">
        <is>
          <t>KALINA</t>
        </is>
      </c>
      <c r="J4375" s="16" t="inlineStr">
        <is>
          <t>KALINA</t>
        </is>
      </c>
      <c r="K4375" s="16" t="b">
        <v>1</v>
      </c>
      <c r="L4375" s="16" t="b">
        <v>1</v>
      </c>
      <c r="M4375" s="16" t="b">
        <v>0</v>
      </c>
      <c r="N4375" s="16" t="b">
        <v>0</v>
      </c>
      <c r="O4375" s="16" t="n">
        <v>394.15</v>
      </c>
      <c r="P4375" s="16" t="n">
        <v>278.15</v>
      </c>
      <c r="Q4375" s="16" t="n">
        <v>3300</v>
      </c>
      <c r="R4375" s="16" t="n">
        <v>690</v>
      </c>
      <c r="S4375" s="16" t="n">
        <v>0.82</v>
      </c>
      <c r="T4375" s="16" t="n">
        <v>0.8071428571428572</v>
      </c>
      <c r="U4375" s="16" t="n">
        <v>0.8</v>
      </c>
      <c r="V4375" s="16" t="n">
        <v>0.85</v>
      </c>
      <c r="W4375" s="16" t="n">
        <v>0.75</v>
      </c>
      <c r="X4375" s="16" t="n">
        <v>0.95</v>
      </c>
      <c r="Y4375" s="16" t="n">
        <v>283.15</v>
      </c>
      <c r="Z4375" s="16" t="n">
        <v>11.37191202263904</v>
      </c>
      <c r="AA4375" s="16" t="n">
        <v>104.9842005411655</v>
      </c>
      <c r="AB4375" s="16" t="n">
        <v>2610</v>
      </c>
      <c r="AC4375" s="16" t="n">
        <v>4.782608695652174</v>
      </c>
      <c r="AD4375" s="16" t="n"/>
      <c r="AE4375" s="16" t="inlineStr">
        <is>
          <t>eta_t</t>
        </is>
      </c>
    </row>
    <row r="4376">
      <c r="A4376" s="16" t="inlineStr">
        <is>
          <t>KF-M10-OFAT-0078</t>
        </is>
      </c>
      <c r="B4376" s="16" t="inlineStr">
        <is>
          <t>6.2</t>
        </is>
      </c>
      <c r="C4376" s="16" t="inlineStr">
        <is>
          <t>6.2b</t>
        </is>
      </c>
      <c r="D4376" s="16" t="inlineStr">
        <is>
          <t>una variable a la vez</t>
        </is>
      </c>
      <c r="E4376" s="16" t="inlineStr">
        <is>
          <t>KF-M10</t>
        </is>
      </c>
      <c r="F4376" s="16" t="inlineStr">
        <is>
          <t>KF-M10-OFAT</t>
        </is>
      </c>
      <c r="G4376" s="16" t="inlineStr">
        <is>
          <t>B14-OFAT</t>
        </is>
      </c>
      <c r="H4376" s="16" t="inlineStr">
        <is>
          <t>oat</t>
        </is>
      </c>
      <c r="I4376" s="16" t="inlineStr">
        <is>
          <t>CORREGIBLE</t>
        </is>
      </c>
      <c r="J4376" s="16" t="inlineStr">
        <is>
          <t>CORREGIBLE</t>
        </is>
      </c>
      <c r="K4376" s="16" t="b">
        <v>1</v>
      </c>
      <c r="L4376" s="16" t="b">
        <v>0</v>
      </c>
      <c r="M4376" s="16" t="b">
        <v>0</v>
      </c>
      <c r="N4376" s="16" t="b">
        <v>0</v>
      </c>
      <c r="O4376" s="16" t="n">
        <v>394.15</v>
      </c>
      <c r="P4376" s="16" t="n">
        <v>278.15</v>
      </c>
      <c r="Q4376" s="16" t="n">
        <v>3300</v>
      </c>
      <c r="R4376" s="16" t="n">
        <v>690</v>
      </c>
      <c r="S4376" s="16" t="n">
        <v>0.925</v>
      </c>
      <c r="T4376" s="16" t="n">
        <v>0.9</v>
      </c>
      <c r="U4376" s="16" t="n">
        <v>0.8</v>
      </c>
      <c r="V4376" s="16" t="n">
        <v>0.85</v>
      </c>
      <c r="W4376" s="16" t="n">
        <v>0.75</v>
      </c>
      <c r="X4376" s="16" t="n">
        <v>0.95</v>
      </c>
      <c r="Y4376" s="16" t="n">
        <v>283.15</v>
      </c>
      <c r="Z4376" s="16" t="n">
        <v>13.23636872396303</v>
      </c>
      <c r="AA4376" s="16" t="n">
        <v>150.1179657158267</v>
      </c>
      <c r="AB4376" s="16" t="n">
        <v>2610</v>
      </c>
      <c r="AC4376" s="16" t="n">
        <v>4.782608695652174</v>
      </c>
      <c r="AD4376" s="16" t="inlineStr">
        <is>
          <t>O2</t>
        </is>
      </c>
      <c r="AE4376" s="16" t="inlineStr">
        <is>
          <t>x_b</t>
        </is>
      </c>
    </row>
    <row r="4377">
      <c r="A4377" s="16" t="inlineStr">
        <is>
          <t>KF-M10-OFAT-0079</t>
        </is>
      </c>
      <c r="B4377" s="16" t="inlineStr">
        <is>
          <t>6.2</t>
        </is>
      </c>
      <c r="C4377" s="16" t="inlineStr">
        <is>
          <t>6.2b</t>
        </is>
      </c>
      <c r="D4377" s="16" t="inlineStr">
        <is>
          <t>una variable a la vez</t>
        </is>
      </c>
      <c r="E4377" s="16" t="inlineStr">
        <is>
          <t>KF-M10</t>
        </is>
      </c>
      <c r="F4377" s="16" t="inlineStr">
        <is>
          <t>KF-M10-OFAT</t>
        </is>
      </c>
      <c r="G4377" s="16" t="inlineStr">
        <is>
          <t>B14-OFAT</t>
        </is>
      </c>
      <c r="H4377" s="16" t="inlineStr">
        <is>
          <t>oat</t>
        </is>
      </c>
      <c r="I4377" s="16" t="inlineStr">
        <is>
          <t>KALINA</t>
        </is>
      </c>
      <c r="J4377" s="16" t="inlineStr">
        <is>
          <t>KALINA</t>
        </is>
      </c>
      <c r="K4377" s="16" t="b">
        <v>1</v>
      </c>
      <c r="L4377" s="16" t="b">
        <v>1</v>
      </c>
      <c r="M4377" s="16" t="b">
        <v>0</v>
      </c>
      <c r="N4377" s="16" t="b">
        <v>0</v>
      </c>
      <c r="O4377" s="16" t="n">
        <v>394.15</v>
      </c>
      <c r="P4377" s="16" t="n">
        <v>278.15</v>
      </c>
      <c r="Q4377" s="16" t="n">
        <v>3300</v>
      </c>
      <c r="R4377" s="16" t="n">
        <v>690</v>
      </c>
      <c r="S4377" s="16" t="n">
        <v>0.82</v>
      </c>
      <c r="T4377" s="16" t="n">
        <v>0.7928571428571428</v>
      </c>
      <c r="U4377" s="16" t="n">
        <v>0.8</v>
      </c>
      <c r="V4377" s="16" t="n">
        <v>0.85</v>
      </c>
      <c r="W4377" s="16" t="n">
        <v>0.75</v>
      </c>
      <c r="X4377" s="16" t="n">
        <v>0.95</v>
      </c>
      <c r="Y4377" s="16" t="n">
        <v>283.15</v>
      </c>
      <c r="Z4377" s="16" t="n">
        <v>11.16256510295724</v>
      </c>
      <c r="AA4377" s="16" t="n">
        <v>103.0449011162641</v>
      </c>
      <c r="AB4377" s="16" t="n">
        <v>2610</v>
      </c>
      <c r="AC4377" s="16" t="n">
        <v>4.782608695652174</v>
      </c>
      <c r="AD4377" s="16" t="n"/>
      <c r="AE4377" s="16" t="inlineStr">
        <is>
          <t>eta_t</t>
        </is>
      </c>
    </row>
    <row r="4378">
      <c r="A4378" s="16" t="inlineStr">
        <is>
          <t>KF-M10-OFAT-0080</t>
        </is>
      </c>
      <c r="B4378" s="16" t="inlineStr">
        <is>
          <t>6.2</t>
        </is>
      </c>
      <c r="C4378" s="16" t="inlineStr">
        <is>
          <t>6.2b</t>
        </is>
      </c>
      <c r="D4378" s="16" t="inlineStr">
        <is>
          <t>una variable a la vez</t>
        </is>
      </c>
      <c r="E4378" s="16" t="inlineStr">
        <is>
          <t>KF-M10</t>
        </is>
      </c>
      <c r="F4378" s="16" t="inlineStr">
        <is>
          <t>KF-M10-OFAT</t>
        </is>
      </c>
      <c r="G4378" s="16" t="inlineStr">
        <is>
          <t>B14-OFAT</t>
        </is>
      </c>
      <c r="H4378" s="16" t="inlineStr">
        <is>
          <t>oat</t>
        </is>
      </c>
      <c r="I4378" s="16" t="inlineStr">
        <is>
          <t>KALINA</t>
        </is>
      </c>
      <c r="J4378" s="16" t="inlineStr">
        <is>
          <t>KALINA</t>
        </is>
      </c>
      <c r="K4378" s="16" t="b">
        <v>1</v>
      </c>
      <c r="L4378" s="16" t="b">
        <v>1</v>
      </c>
      <c r="M4378" s="16" t="b">
        <v>0</v>
      </c>
      <c r="N4378" s="16" t="b">
        <v>0</v>
      </c>
      <c r="O4378" s="16" t="n">
        <v>394.15</v>
      </c>
      <c r="P4378" s="16" t="n">
        <v>278.15</v>
      </c>
      <c r="Q4378" s="16" t="n">
        <v>3300</v>
      </c>
      <c r="R4378" s="16" t="n">
        <v>690</v>
      </c>
      <c r="S4378" s="16" t="n">
        <v>0.82</v>
      </c>
      <c r="T4378" s="16" t="n">
        <v>0.8214285714285714</v>
      </c>
      <c r="U4378" s="16" t="n">
        <v>0.8</v>
      </c>
      <c r="V4378" s="16" t="n">
        <v>0.85</v>
      </c>
      <c r="W4378" s="16" t="n">
        <v>0.75</v>
      </c>
      <c r="X4378" s="16" t="n">
        <v>0.95</v>
      </c>
      <c r="Y4378" s="16" t="n">
        <v>283.15</v>
      </c>
      <c r="Z4378" s="16" t="n">
        <v>11.58122600363627</v>
      </c>
      <c r="AA4378" s="16" t="n">
        <v>106.92344433296</v>
      </c>
      <c r="AB4378" s="16" t="n">
        <v>2610</v>
      </c>
      <c r="AC4378" s="16" t="n">
        <v>4.782608695652174</v>
      </c>
      <c r="AD4378" s="16" t="n"/>
      <c r="AE4378" s="16" t="inlineStr">
        <is>
          <t>eta_t</t>
        </is>
      </c>
    </row>
    <row r="4379">
      <c r="A4379" s="16" t="inlineStr">
        <is>
          <t>KF-M10-OFAT-0081</t>
        </is>
      </c>
      <c r="B4379" s="16" t="inlineStr">
        <is>
          <t>6.2</t>
        </is>
      </c>
      <c r="C4379" s="16" t="inlineStr">
        <is>
          <t>6.2b</t>
        </is>
      </c>
      <c r="D4379" s="16" t="inlineStr">
        <is>
          <t>una variable a la vez</t>
        </is>
      </c>
      <c r="E4379" s="16" t="inlineStr">
        <is>
          <t>KF-M10</t>
        </is>
      </c>
      <c r="F4379" s="16" t="inlineStr">
        <is>
          <t>KF-M10-OFAT</t>
        </is>
      </c>
      <c r="G4379" s="16" t="inlineStr">
        <is>
          <t>B14-OFAT</t>
        </is>
      </c>
      <c r="H4379" s="16" t="inlineStr">
        <is>
          <t>oat</t>
        </is>
      </c>
      <c r="I4379" s="16" t="inlineStr">
        <is>
          <t>KALINA</t>
        </is>
      </c>
      <c r="J4379" s="16" t="inlineStr">
        <is>
          <t>KALINA</t>
        </is>
      </c>
      <c r="K4379" s="16" t="b">
        <v>1</v>
      </c>
      <c r="L4379" s="16" t="b">
        <v>1</v>
      </c>
      <c r="M4379" s="16" t="b">
        <v>0</v>
      </c>
      <c r="N4379" s="16" t="b">
        <v>0</v>
      </c>
      <c r="O4379" s="16" t="n">
        <v>394.15</v>
      </c>
      <c r="P4379" s="16" t="n">
        <v>278.15</v>
      </c>
      <c r="Q4379" s="16" t="n">
        <v>3300</v>
      </c>
      <c r="R4379" s="16" t="n">
        <v>690</v>
      </c>
      <c r="S4379" s="16" t="n">
        <v>0.82</v>
      </c>
      <c r="T4379" s="16" t="n">
        <v>0.8357142857142856</v>
      </c>
      <c r="U4379" s="16" t="n">
        <v>0.8</v>
      </c>
      <c r="V4379" s="16" t="n">
        <v>0.85</v>
      </c>
      <c r="W4379" s="16" t="n">
        <v>0.75</v>
      </c>
      <c r="X4379" s="16" t="n">
        <v>0.95</v>
      </c>
      <c r="Y4379" s="16" t="n">
        <v>283.15</v>
      </c>
      <c r="Z4379" s="16" t="n">
        <v>11.79050705445947</v>
      </c>
      <c r="AA4379" s="16" t="n">
        <v>108.8626324952112</v>
      </c>
      <c r="AB4379" s="16" t="n">
        <v>2610</v>
      </c>
      <c r="AC4379" s="16" t="n">
        <v>4.782608695652174</v>
      </c>
      <c r="AD4379" s="16" t="n"/>
      <c r="AE4379" s="16" t="inlineStr">
        <is>
          <t>eta_t</t>
        </is>
      </c>
    </row>
    <row r="4380">
      <c r="A4380" s="16" t="inlineStr">
        <is>
          <t>KF-M10-OFAT-0082</t>
        </is>
      </c>
      <c r="B4380" s="16" t="inlineStr">
        <is>
          <t>6.2</t>
        </is>
      </c>
      <c r="C4380" s="16" t="inlineStr">
        <is>
          <t>6.2b</t>
        </is>
      </c>
      <c r="D4380" s="16" t="inlineStr">
        <is>
          <t>una variable a la vez</t>
        </is>
      </c>
      <c r="E4380" s="16" t="inlineStr">
        <is>
          <t>KF-M10</t>
        </is>
      </c>
      <c r="F4380" s="16" t="inlineStr">
        <is>
          <t>KF-M10-OFAT</t>
        </is>
      </c>
      <c r="G4380" s="16" t="inlineStr">
        <is>
          <t>B14-OFAT</t>
        </is>
      </c>
      <c r="H4380" s="16" t="inlineStr">
        <is>
          <t>oat</t>
        </is>
      </c>
      <c r="I4380" s="16" t="inlineStr">
        <is>
          <t>KALINA</t>
        </is>
      </c>
      <c r="J4380" s="16" t="inlineStr">
        <is>
          <t>KALINA</t>
        </is>
      </c>
      <c r="K4380" s="16" t="b">
        <v>1</v>
      </c>
      <c r="L4380" s="16" t="b">
        <v>1</v>
      </c>
      <c r="M4380" s="16" t="b">
        <v>0</v>
      </c>
      <c r="N4380" s="16" t="b">
        <v>0</v>
      </c>
      <c r="O4380" s="16" t="n">
        <v>394.15</v>
      </c>
      <c r="P4380" s="16" t="n">
        <v>278.15</v>
      </c>
      <c r="Q4380" s="16" t="n">
        <v>3300</v>
      </c>
      <c r="R4380" s="16" t="n">
        <v>690</v>
      </c>
      <c r="S4380" s="16" t="n">
        <v>0.82</v>
      </c>
      <c r="T4380" s="16" t="n">
        <v>0.85</v>
      </c>
      <c r="U4380" s="16" t="n">
        <v>0.8</v>
      </c>
      <c r="V4380" s="16" t="n">
        <v>0.85</v>
      </c>
      <c r="W4380" s="16" t="n">
        <v>0.75</v>
      </c>
      <c r="X4380" s="16" t="n">
        <v>0.95</v>
      </c>
      <c r="Y4380" s="16" t="n">
        <v>283.15</v>
      </c>
      <c r="Z4380" s="16" t="n">
        <v>11.99975518366201</v>
      </c>
      <c r="AA4380" s="16" t="n">
        <v>110.8017650318812</v>
      </c>
      <c r="AB4380" s="16" t="n">
        <v>2610</v>
      </c>
      <c r="AC4380" s="16" t="n">
        <v>4.782608695652174</v>
      </c>
      <c r="AD4380" s="16" t="n"/>
      <c r="AE4380" s="16" t="inlineStr">
        <is>
          <t>eta_t</t>
        </is>
      </c>
    </row>
    <row r="4381">
      <c r="A4381" s="16" t="inlineStr">
        <is>
          <t>KF-M10-OFAT-0083</t>
        </is>
      </c>
      <c r="B4381" s="16" t="inlineStr">
        <is>
          <t>6.2</t>
        </is>
      </c>
      <c r="C4381" s="16" t="inlineStr">
        <is>
          <t>6.2b</t>
        </is>
      </c>
      <c r="D4381" s="16" t="inlineStr">
        <is>
          <t>una variable a la vez</t>
        </is>
      </c>
      <c r="E4381" s="16" t="inlineStr">
        <is>
          <t>KF-M10</t>
        </is>
      </c>
      <c r="F4381" s="16" t="inlineStr">
        <is>
          <t>KF-M10-OFAT</t>
        </is>
      </c>
      <c r="G4381" s="16" t="inlineStr">
        <is>
          <t>B14-OFAT</t>
        </is>
      </c>
      <c r="H4381" s="16" t="inlineStr">
        <is>
          <t>oat</t>
        </is>
      </c>
      <c r="I4381" s="16" t="inlineStr">
        <is>
          <t>KALINA</t>
        </is>
      </c>
      <c r="J4381" s="16" t="inlineStr">
        <is>
          <t>KALINA</t>
        </is>
      </c>
      <c r="K4381" s="16" t="b">
        <v>1</v>
      </c>
      <c r="L4381" s="16" t="b">
        <v>1</v>
      </c>
      <c r="M4381" s="16" t="b">
        <v>0</v>
      </c>
      <c r="N4381" s="16" t="b">
        <v>0</v>
      </c>
      <c r="O4381" s="16" t="n">
        <v>394.15</v>
      </c>
      <c r="P4381" s="16" t="n">
        <v>278.15</v>
      </c>
      <c r="Q4381" s="16" t="n">
        <v>3300</v>
      </c>
      <c r="R4381" s="16" t="n">
        <v>690</v>
      </c>
      <c r="S4381" s="16" t="n">
        <v>0.82</v>
      </c>
      <c r="T4381" s="16" t="n">
        <v>0.8642857142857142</v>
      </c>
      <c r="U4381" s="16" t="n">
        <v>0.8</v>
      </c>
      <c r="V4381" s="16" t="n">
        <v>0.85</v>
      </c>
      <c r="W4381" s="16" t="n">
        <v>0.75</v>
      </c>
      <c r="X4381" s="16" t="n">
        <v>0.95</v>
      </c>
      <c r="Y4381" s="16" t="n">
        <v>283.15</v>
      </c>
      <c r="Z4381" s="16" t="n">
        <v>12.20897039978898</v>
      </c>
      <c r="AA4381" s="16" t="n">
        <v>112.7408419468971</v>
      </c>
      <c r="AB4381" s="16" t="n">
        <v>2610</v>
      </c>
      <c r="AC4381" s="16" t="n">
        <v>4.782608695652174</v>
      </c>
      <c r="AD4381" s="16" t="n"/>
      <c r="AE4381" s="16" t="inlineStr">
        <is>
          <t>eta_t</t>
        </is>
      </c>
    </row>
    <row r="4382">
      <c r="A4382" s="16" t="inlineStr">
        <is>
          <t>KF-M10-OFAT-0084</t>
        </is>
      </c>
      <c r="B4382" s="16" t="inlineStr">
        <is>
          <t>6.2</t>
        </is>
      </c>
      <c r="C4382" s="16" t="inlineStr">
        <is>
          <t>6.2b</t>
        </is>
      </c>
      <c r="D4382" s="16" t="inlineStr">
        <is>
          <t>una variable a la vez</t>
        </is>
      </c>
      <c r="E4382" s="16" t="inlineStr">
        <is>
          <t>KF-M10</t>
        </is>
      </c>
      <c r="F4382" s="16" t="inlineStr">
        <is>
          <t>KF-M10-OFAT</t>
        </is>
      </c>
      <c r="G4382" s="16" t="inlineStr">
        <is>
          <t>B14-OFAT</t>
        </is>
      </c>
      <c r="H4382" s="16" t="inlineStr">
        <is>
          <t>oat</t>
        </is>
      </c>
      <c r="I4382" s="16" t="inlineStr">
        <is>
          <t>KALINA</t>
        </is>
      </c>
      <c r="J4382" s="16" t="inlineStr">
        <is>
          <t>KALINA</t>
        </is>
      </c>
      <c r="K4382" s="16" t="b">
        <v>1</v>
      </c>
      <c r="L4382" s="16" t="b">
        <v>1</v>
      </c>
      <c r="M4382" s="16" t="b">
        <v>0</v>
      </c>
      <c r="N4382" s="16" t="b">
        <v>0</v>
      </c>
      <c r="O4382" s="16" t="n">
        <v>394.15</v>
      </c>
      <c r="P4382" s="16" t="n">
        <v>278.15</v>
      </c>
      <c r="Q4382" s="16" t="n">
        <v>3300</v>
      </c>
      <c r="R4382" s="16" t="n">
        <v>690</v>
      </c>
      <c r="S4382" s="16" t="n">
        <v>0.82</v>
      </c>
      <c r="T4382" s="16" t="n">
        <v>0.8785714285714286</v>
      </c>
      <c r="U4382" s="16" t="n">
        <v>0.8</v>
      </c>
      <c r="V4382" s="16" t="n">
        <v>0.85</v>
      </c>
      <c r="W4382" s="16" t="n">
        <v>0.75</v>
      </c>
      <c r="X4382" s="16" t="n">
        <v>0.95</v>
      </c>
      <c r="Y4382" s="16" t="n">
        <v>283.15</v>
      </c>
      <c r="Z4382" s="16" t="n">
        <v>12.41815271128917</v>
      </c>
      <c r="AA4382" s="16" t="n">
        <v>114.6798632433202</v>
      </c>
      <c r="AB4382" s="16" t="n">
        <v>2610</v>
      </c>
      <c r="AC4382" s="16" t="n">
        <v>4.782608695652174</v>
      </c>
      <c r="AD4382" s="16" t="n"/>
      <c r="AE4382" s="16" t="inlineStr">
        <is>
          <t>eta_t</t>
        </is>
      </c>
    </row>
    <row r="4383">
      <c r="A4383" s="16" t="inlineStr">
        <is>
          <t>KF-M10-OFAT-0085</t>
        </is>
      </c>
      <c r="B4383" s="16" t="inlineStr">
        <is>
          <t>6.2</t>
        </is>
      </c>
      <c r="C4383" s="16" t="inlineStr">
        <is>
          <t>6.2b</t>
        </is>
      </c>
      <c r="D4383" s="16" t="inlineStr">
        <is>
          <t>una variable a la vez</t>
        </is>
      </c>
      <c r="E4383" s="16" t="inlineStr">
        <is>
          <t>KF-M10</t>
        </is>
      </c>
      <c r="F4383" s="16" t="inlineStr">
        <is>
          <t>KF-M10-OFAT</t>
        </is>
      </c>
      <c r="G4383" s="16" t="inlineStr">
        <is>
          <t>B14-OFAT</t>
        </is>
      </c>
      <c r="H4383" s="16" t="inlineStr">
        <is>
          <t>oat</t>
        </is>
      </c>
      <c r="I4383" s="16" t="inlineStr">
        <is>
          <t>KALINA</t>
        </is>
      </c>
      <c r="J4383" s="16" t="inlineStr">
        <is>
          <t>KALINA</t>
        </is>
      </c>
      <c r="K4383" s="16" t="b">
        <v>1</v>
      </c>
      <c r="L4383" s="16" t="b">
        <v>1</v>
      </c>
      <c r="M4383" s="16" t="b">
        <v>0</v>
      </c>
      <c r="N4383" s="16" t="b">
        <v>0</v>
      </c>
      <c r="O4383" s="16" t="n">
        <v>394.15</v>
      </c>
      <c r="P4383" s="16" t="n">
        <v>278.15</v>
      </c>
      <c r="Q4383" s="16" t="n">
        <v>3300</v>
      </c>
      <c r="R4383" s="16" t="n">
        <v>690</v>
      </c>
      <c r="S4383" s="16" t="n">
        <v>0.82</v>
      </c>
      <c r="T4383" s="16" t="n">
        <v>0.8928571428571428</v>
      </c>
      <c r="U4383" s="16" t="n">
        <v>0.8</v>
      </c>
      <c r="V4383" s="16" t="n">
        <v>0.85</v>
      </c>
      <c r="W4383" s="16" t="n">
        <v>0.75</v>
      </c>
      <c r="X4383" s="16" t="n">
        <v>0.95</v>
      </c>
      <c r="Y4383" s="16" t="n">
        <v>283.15</v>
      </c>
      <c r="Z4383" s="16" t="n">
        <v>12.6273021267324</v>
      </c>
      <c r="AA4383" s="16" t="n">
        <v>116.6188289253562</v>
      </c>
      <c r="AB4383" s="16" t="n">
        <v>2610</v>
      </c>
      <c r="AC4383" s="16" t="n">
        <v>4.782608695652174</v>
      </c>
      <c r="AD4383" s="16" t="n"/>
      <c r="AE4383" s="16" t="inlineStr">
        <is>
          <t>eta_t</t>
        </is>
      </c>
    </row>
    <row r="4384">
      <c r="A4384" s="16" t="inlineStr">
        <is>
          <t>KF-M10-OFAT-0086</t>
        </is>
      </c>
      <c r="B4384" s="16" t="inlineStr">
        <is>
          <t>6.2</t>
        </is>
      </c>
      <c r="C4384" s="16" t="inlineStr">
        <is>
          <t>6.2b</t>
        </is>
      </c>
      <c r="D4384" s="16" t="inlineStr">
        <is>
          <t>una variable a la vez</t>
        </is>
      </c>
      <c r="E4384" s="16" t="inlineStr">
        <is>
          <t>KF-M10</t>
        </is>
      </c>
      <c r="F4384" s="16" t="inlineStr">
        <is>
          <t>KF-M10-OFAT</t>
        </is>
      </c>
      <c r="G4384" s="16" t="inlineStr">
        <is>
          <t>B14-OFAT</t>
        </is>
      </c>
      <c r="H4384" s="16" t="inlineStr">
        <is>
          <t>oat</t>
        </is>
      </c>
      <c r="I4384" s="16" t="inlineStr">
        <is>
          <t>KALINA</t>
        </is>
      </c>
      <c r="J4384" s="16" t="inlineStr">
        <is>
          <t>KALINA</t>
        </is>
      </c>
      <c r="K4384" s="16" t="b">
        <v>1</v>
      </c>
      <c r="L4384" s="16" t="b">
        <v>1</v>
      </c>
      <c r="M4384" s="16" t="b">
        <v>0</v>
      </c>
      <c r="N4384" s="16" t="b">
        <v>0</v>
      </c>
      <c r="O4384" s="16" t="n">
        <v>394.15</v>
      </c>
      <c r="P4384" s="16" t="n">
        <v>278.15</v>
      </c>
      <c r="Q4384" s="16" t="n">
        <v>3300</v>
      </c>
      <c r="R4384" s="16" t="n">
        <v>690</v>
      </c>
      <c r="S4384" s="16" t="n">
        <v>0.82</v>
      </c>
      <c r="T4384" s="16" t="n">
        <v>0.9071428571428573</v>
      </c>
      <c r="U4384" s="16" t="n">
        <v>0.8</v>
      </c>
      <c r="V4384" s="16" t="n">
        <v>0.85</v>
      </c>
      <c r="W4384" s="16" t="n">
        <v>0.75</v>
      </c>
      <c r="X4384" s="16" t="n">
        <v>0.95</v>
      </c>
      <c r="Y4384" s="16" t="n">
        <v>283.15</v>
      </c>
      <c r="Z4384" s="16" t="n">
        <v>12.83641865463925</v>
      </c>
      <c r="AA4384" s="16" t="n">
        <v>118.5577389967976</v>
      </c>
      <c r="AB4384" s="16" t="n">
        <v>2610</v>
      </c>
      <c r="AC4384" s="16" t="n">
        <v>4.782608695652174</v>
      </c>
      <c r="AD4384" s="16" t="n"/>
      <c r="AE4384" s="16" t="inlineStr">
        <is>
          <t>eta_t</t>
        </is>
      </c>
    </row>
    <row r="4385">
      <c r="A4385" s="16" t="inlineStr">
        <is>
          <t>KF-M10-OFAT-0087</t>
        </is>
      </c>
      <c r="B4385" s="16" t="inlineStr">
        <is>
          <t>6.2</t>
        </is>
      </c>
      <c r="C4385" s="16" t="inlineStr">
        <is>
          <t>6.2b</t>
        </is>
      </c>
      <c r="D4385" s="16" t="inlineStr">
        <is>
          <t>una variable a la vez</t>
        </is>
      </c>
      <c r="E4385" s="16" t="inlineStr">
        <is>
          <t>KF-M10</t>
        </is>
      </c>
      <c r="F4385" s="16" t="inlineStr">
        <is>
          <t>KF-M10-OFAT</t>
        </is>
      </c>
      <c r="G4385" s="16" t="inlineStr">
        <is>
          <t>B14-OFAT</t>
        </is>
      </c>
      <c r="H4385" s="16" t="inlineStr">
        <is>
          <t>oat</t>
        </is>
      </c>
      <c r="I4385" s="16" t="inlineStr">
        <is>
          <t>KALINA</t>
        </is>
      </c>
      <c r="J4385" s="16" t="inlineStr">
        <is>
          <t>KALINA</t>
        </is>
      </c>
      <c r="K4385" s="16" t="b">
        <v>1</v>
      </c>
      <c r="L4385" s="16" t="b">
        <v>1</v>
      </c>
      <c r="M4385" s="16" t="b">
        <v>0</v>
      </c>
      <c r="N4385" s="16" t="b">
        <v>0</v>
      </c>
      <c r="O4385" s="16" t="n">
        <v>394.15</v>
      </c>
      <c r="P4385" s="16" t="n">
        <v>278.15</v>
      </c>
      <c r="Q4385" s="16" t="n">
        <v>3300</v>
      </c>
      <c r="R4385" s="16" t="n">
        <v>690</v>
      </c>
      <c r="S4385" s="16" t="n">
        <v>0.82</v>
      </c>
      <c r="T4385" s="16" t="n">
        <v>0.9214285714285714</v>
      </c>
      <c r="U4385" s="16" t="n">
        <v>0.8</v>
      </c>
      <c r="V4385" s="16" t="n">
        <v>0.85</v>
      </c>
      <c r="W4385" s="16" t="n">
        <v>0.75</v>
      </c>
      <c r="X4385" s="16" t="n">
        <v>0.95</v>
      </c>
      <c r="Y4385" s="16" t="n">
        <v>283.15</v>
      </c>
      <c r="Z4385" s="16" t="n">
        <v>13.04550230345121</v>
      </c>
      <c r="AA4385" s="16" t="n">
        <v>120.4965934607104</v>
      </c>
      <c r="AB4385" s="16" t="n">
        <v>2610</v>
      </c>
      <c r="AC4385" s="16" t="n">
        <v>4.782608695652174</v>
      </c>
      <c r="AD4385" s="16" t="n"/>
      <c r="AE4385" s="16" t="inlineStr">
        <is>
          <t>eta_t</t>
        </is>
      </c>
    </row>
    <row r="4386">
      <c r="A4386" s="16" t="inlineStr">
        <is>
          <t>KF-M10-OFAT-0088</t>
        </is>
      </c>
      <c r="B4386" s="16" t="inlineStr">
        <is>
          <t>6.2</t>
        </is>
      </c>
      <c r="C4386" s="16" t="inlineStr">
        <is>
          <t>6.2b</t>
        </is>
      </c>
      <c r="D4386" s="16" t="inlineStr">
        <is>
          <t>una variable a la vez</t>
        </is>
      </c>
      <c r="E4386" s="16" t="inlineStr">
        <is>
          <t>KF-M10</t>
        </is>
      </c>
      <c r="F4386" s="16" t="inlineStr">
        <is>
          <t>KF-M10-OFAT</t>
        </is>
      </c>
      <c r="G4386" s="16" t="inlineStr">
        <is>
          <t>B14-OFAT</t>
        </is>
      </c>
      <c r="H4386" s="16" t="inlineStr">
        <is>
          <t>oat</t>
        </is>
      </c>
      <c r="I4386" s="16" t="inlineStr">
        <is>
          <t>KALINA</t>
        </is>
      </c>
      <c r="J4386" s="16" t="inlineStr">
        <is>
          <t>KALINA</t>
        </is>
      </c>
      <c r="K4386" s="16" t="b">
        <v>1</v>
      </c>
      <c r="L4386" s="16" t="b">
        <v>1</v>
      </c>
      <c r="M4386" s="16" t="b">
        <v>0</v>
      </c>
      <c r="N4386" s="16" t="b">
        <v>0</v>
      </c>
      <c r="O4386" s="16" t="n">
        <v>394.15</v>
      </c>
      <c r="P4386" s="16" t="n">
        <v>278.15</v>
      </c>
      <c r="Q4386" s="16" t="n">
        <v>3300</v>
      </c>
      <c r="R4386" s="16" t="n">
        <v>690</v>
      </c>
      <c r="S4386" s="16" t="n">
        <v>0.82</v>
      </c>
      <c r="T4386" s="16" t="n">
        <v>0.9357142857142856</v>
      </c>
      <c r="U4386" s="16" t="n">
        <v>0.8</v>
      </c>
      <c r="V4386" s="16" t="n">
        <v>0.85</v>
      </c>
      <c r="W4386" s="16" t="n">
        <v>0.75</v>
      </c>
      <c r="X4386" s="16" t="n">
        <v>0.95</v>
      </c>
      <c r="Y4386" s="16" t="n">
        <v>283.15</v>
      </c>
      <c r="Z4386" s="16" t="n">
        <v>13.25455308180977</v>
      </c>
      <c r="AA4386" s="16" t="n">
        <v>122.4353923220542</v>
      </c>
      <c r="AB4386" s="16" t="n">
        <v>2610</v>
      </c>
      <c r="AC4386" s="16" t="n">
        <v>4.782608695652174</v>
      </c>
      <c r="AD4386" s="16" t="n"/>
      <c r="AE4386" s="16" t="inlineStr">
        <is>
          <t>eta_t</t>
        </is>
      </c>
    </row>
    <row r="4387">
      <c r="A4387" s="16" t="inlineStr">
        <is>
          <t>KF-M10-OFAT-0089</t>
        </is>
      </c>
      <c r="B4387" s="16" t="inlineStr">
        <is>
          <t>6.2</t>
        </is>
      </c>
      <c r="C4387" s="16" t="inlineStr">
        <is>
          <t>6.2b</t>
        </is>
      </c>
      <c r="D4387" s="16" t="inlineStr">
        <is>
          <t>una variable a la vez</t>
        </is>
      </c>
      <c r="E4387" s="16" t="inlineStr">
        <is>
          <t>KF-M10</t>
        </is>
      </c>
      <c r="F4387" s="16" t="inlineStr">
        <is>
          <t>KF-M10-OFAT</t>
        </is>
      </c>
      <c r="G4387" s="16" t="inlineStr">
        <is>
          <t>B14-OFAT</t>
        </is>
      </c>
      <c r="H4387" s="16" t="inlineStr">
        <is>
          <t>oat</t>
        </is>
      </c>
      <c r="I4387" s="16" t="inlineStr">
        <is>
          <t>KALINA</t>
        </is>
      </c>
      <c r="J4387" s="16" t="inlineStr">
        <is>
          <t>KALINA</t>
        </is>
      </c>
      <c r="K4387" s="16" t="b">
        <v>1</v>
      </c>
      <c r="L4387" s="16" t="b">
        <v>1</v>
      </c>
      <c r="M4387" s="16" t="b">
        <v>0</v>
      </c>
      <c r="N4387" s="16" t="b">
        <v>0</v>
      </c>
      <c r="O4387" s="16" t="n">
        <v>394.15</v>
      </c>
      <c r="P4387" s="16" t="n">
        <v>278.15</v>
      </c>
      <c r="Q4387" s="16" t="n">
        <v>3300</v>
      </c>
      <c r="R4387" s="16" t="n">
        <v>690</v>
      </c>
      <c r="S4387" s="16" t="n">
        <v>0.82</v>
      </c>
      <c r="T4387" s="16" t="n">
        <v>0.95</v>
      </c>
      <c r="U4387" s="16" t="n">
        <v>0.8</v>
      </c>
      <c r="V4387" s="16" t="n">
        <v>0.85</v>
      </c>
      <c r="W4387" s="16" t="n">
        <v>0.75</v>
      </c>
      <c r="X4387" s="16" t="n">
        <v>0.95</v>
      </c>
      <c r="Y4387" s="16" t="n">
        <v>283.15</v>
      </c>
      <c r="Z4387" s="16" t="n">
        <v>13.46357099813214</v>
      </c>
      <c r="AA4387" s="16" t="n">
        <v>124.3741355837414</v>
      </c>
      <c r="AB4387" s="16" t="n">
        <v>2610</v>
      </c>
      <c r="AC4387" s="16" t="n">
        <v>4.782608695652174</v>
      </c>
      <c r="AD4387" s="16" t="n"/>
      <c r="AE4387" s="16" t="inlineStr">
        <is>
          <t>eta_t</t>
        </is>
      </c>
    </row>
    <row r="4388">
      <c r="A4388" s="16" t="inlineStr">
        <is>
          <t>KF-M10-OFAT-0090</t>
        </is>
      </c>
      <c r="B4388" s="16" t="inlineStr">
        <is>
          <t>6.2</t>
        </is>
      </c>
      <c r="C4388" s="16" t="inlineStr">
        <is>
          <t>6.2b</t>
        </is>
      </c>
      <c r="D4388" s="16" t="inlineStr">
        <is>
          <t>una variable a la vez</t>
        </is>
      </c>
      <c r="E4388" s="16" t="inlineStr">
        <is>
          <t>KF-M10</t>
        </is>
      </c>
      <c r="F4388" s="16" t="inlineStr">
        <is>
          <t>KF-M10-OFAT</t>
        </is>
      </c>
      <c r="G4388" s="16" t="inlineStr">
        <is>
          <t>B14-OFAT</t>
        </is>
      </c>
      <c r="H4388" s="16" t="inlineStr">
        <is>
          <t>oat</t>
        </is>
      </c>
      <c r="I4388" s="16" t="inlineStr">
        <is>
          <t>KALINA</t>
        </is>
      </c>
      <c r="J4388" s="16" t="inlineStr">
        <is>
          <t>KALINA</t>
        </is>
      </c>
      <c r="K4388" s="16" t="b">
        <v>1</v>
      </c>
      <c r="L4388" s="16" t="b">
        <v>1</v>
      </c>
      <c r="M4388" s="16" t="b">
        <v>0</v>
      </c>
      <c r="N4388" s="16" t="b">
        <v>0</v>
      </c>
      <c r="O4388" s="16" t="n">
        <v>394.15</v>
      </c>
      <c r="P4388" s="16" t="n">
        <v>278.15</v>
      </c>
      <c r="Q4388" s="16" t="n">
        <v>3300</v>
      </c>
      <c r="R4388" s="16" t="n">
        <v>690</v>
      </c>
      <c r="S4388" s="16" t="n">
        <v>0.82</v>
      </c>
      <c r="T4388" s="16" t="n">
        <v>0.9</v>
      </c>
      <c r="U4388" s="16" t="n">
        <v>0.6</v>
      </c>
      <c r="V4388" s="16" t="n">
        <v>0.85</v>
      </c>
      <c r="W4388" s="16" t="n">
        <v>0.75</v>
      </c>
      <c r="X4388" s="16" t="n">
        <v>0.95</v>
      </c>
      <c r="Y4388" s="16" t="n">
        <v>283.15</v>
      </c>
      <c r="Z4388" s="16" t="n">
        <v>12.57955171117227</v>
      </c>
      <c r="AA4388" s="16" t="n">
        <v>116.0620709702313</v>
      </c>
      <c r="AB4388" s="16" t="n">
        <v>2610</v>
      </c>
      <c r="AC4388" s="16" t="n">
        <v>4.782608695652174</v>
      </c>
      <c r="AD4388" s="16" t="n"/>
      <c r="AE4388" s="16" t="inlineStr">
        <is>
          <t>eta_p</t>
        </is>
      </c>
    </row>
    <row r="4389">
      <c r="A4389" s="16" t="inlineStr">
        <is>
          <t>KF-M10-OFAT-0091</t>
        </is>
      </c>
      <c r="B4389" s="16" t="inlineStr">
        <is>
          <t>6.2</t>
        </is>
      </c>
      <c r="C4389" s="16" t="inlineStr">
        <is>
          <t>6.2b</t>
        </is>
      </c>
      <c r="D4389" s="16" t="inlineStr">
        <is>
          <t>una variable a la vez</t>
        </is>
      </c>
      <c r="E4389" s="16" t="inlineStr">
        <is>
          <t>KF-M10</t>
        </is>
      </c>
      <c r="F4389" s="16" t="inlineStr">
        <is>
          <t>KF-M10-OFAT</t>
        </is>
      </c>
      <c r="G4389" s="16" t="inlineStr">
        <is>
          <t>B14-OFAT</t>
        </is>
      </c>
      <c r="H4389" s="16" t="inlineStr">
        <is>
          <t>oat</t>
        </is>
      </c>
      <c r="I4389" s="16" t="inlineStr">
        <is>
          <t>KALINA</t>
        </is>
      </c>
      <c r="J4389" s="16" t="inlineStr">
        <is>
          <t>KALINA</t>
        </is>
      </c>
      <c r="K4389" s="16" t="b">
        <v>1</v>
      </c>
      <c r="L4389" s="16" t="b">
        <v>1</v>
      </c>
      <c r="M4389" s="16" t="b">
        <v>0</v>
      </c>
      <c r="N4389" s="16" t="b">
        <v>0</v>
      </c>
      <c r="O4389" s="16" t="n">
        <v>394.15</v>
      </c>
      <c r="P4389" s="16" t="n">
        <v>278.15</v>
      </c>
      <c r="Q4389" s="16" t="n">
        <v>3300</v>
      </c>
      <c r="R4389" s="16" t="n">
        <v>690</v>
      </c>
      <c r="S4389" s="16" t="n">
        <v>0.82</v>
      </c>
      <c r="T4389" s="16" t="n">
        <v>0.9</v>
      </c>
      <c r="U4389" s="16" t="n">
        <v>0.6214285714285714</v>
      </c>
      <c r="V4389" s="16" t="n">
        <v>0.85</v>
      </c>
      <c r="W4389" s="16" t="n">
        <v>0.75</v>
      </c>
      <c r="X4389" s="16" t="n">
        <v>0.95</v>
      </c>
      <c r="Y4389" s="16" t="n">
        <v>283.15</v>
      </c>
      <c r="Z4389" s="16" t="n">
        <v>12.60057899281016</v>
      </c>
      <c r="AA4389" s="16" t="n">
        <v>116.2725857120826</v>
      </c>
      <c r="AB4389" s="16" t="n">
        <v>2610</v>
      </c>
      <c r="AC4389" s="16" t="n">
        <v>4.782608695652174</v>
      </c>
      <c r="AD4389" s="16" t="n"/>
      <c r="AE4389" s="16" t="inlineStr">
        <is>
          <t>eta_p</t>
        </is>
      </c>
    </row>
    <row r="4390">
      <c r="A4390" s="16" t="inlineStr">
        <is>
          <t>KF-M10-OFAT-0092</t>
        </is>
      </c>
      <c r="B4390" s="16" t="inlineStr">
        <is>
          <t>6.2</t>
        </is>
      </c>
      <c r="C4390" s="16" t="inlineStr">
        <is>
          <t>6.2b</t>
        </is>
      </c>
      <c r="D4390" s="16" t="inlineStr">
        <is>
          <t>una variable a la vez</t>
        </is>
      </c>
      <c r="E4390" s="16" t="inlineStr">
        <is>
          <t>KF-M10</t>
        </is>
      </c>
      <c r="F4390" s="16" t="inlineStr">
        <is>
          <t>KF-M10-OFAT</t>
        </is>
      </c>
      <c r="G4390" s="16" t="inlineStr">
        <is>
          <t>B14-OFAT</t>
        </is>
      </c>
      <c r="H4390" s="16" t="inlineStr">
        <is>
          <t>oat</t>
        </is>
      </c>
      <c r="I4390" s="16" t="inlineStr">
        <is>
          <t>KALINA</t>
        </is>
      </c>
      <c r="J4390" s="16" t="inlineStr">
        <is>
          <t>KALINA</t>
        </is>
      </c>
      <c r="K4390" s="16" t="b">
        <v>1</v>
      </c>
      <c r="L4390" s="16" t="b">
        <v>1</v>
      </c>
      <c r="M4390" s="16" t="b">
        <v>0</v>
      </c>
      <c r="N4390" s="16" t="b">
        <v>0</v>
      </c>
      <c r="O4390" s="16" t="n">
        <v>394.15</v>
      </c>
      <c r="P4390" s="16" t="n">
        <v>278.15</v>
      </c>
      <c r="Q4390" s="16" t="n">
        <v>3300</v>
      </c>
      <c r="R4390" s="16" t="n">
        <v>690</v>
      </c>
      <c r="S4390" s="16" t="n">
        <v>0.82</v>
      </c>
      <c r="T4390" s="16" t="n">
        <v>0.9</v>
      </c>
      <c r="U4390" s="16" t="n">
        <v>0.6428571428571428</v>
      </c>
      <c r="V4390" s="16" t="n">
        <v>0.85</v>
      </c>
      <c r="W4390" s="16" t="n">
        <v>0.75</v>
      </c>
      <c r="X4390" s="16" t="n">
        <v>0.95</v>
      </c>
      <c r="Y4390" s="16" t="n">
        <v>283.15</v>
      </c>
      <c r="Z4390" s="16" t="n">
        <v>12.62019907503039</v>
      </c>
      <c r="AA4390" s="16" t="n">
        <v>116.4690656623502</v>
      </c>
      <c r="AB4390" s="16" t="n">
        <v>2610</v>
      </c>
      <c r="AC4390" s="16" t="n">
        <v>4.782608695652174</v>
      </c>
      <c r="AD4390" s="16" t="n"/>
      <c r="AE4390" s="16" t="inlineStr">
        <is>
          <t>eta_p</t>
        </is>
      </c>
    </row>
    <row r="4391">
      <c r="A4391" s="16" t="inlineStr">
        <is>
          <t>KF-M10-OFAT-0093</t>
        </is>
      </c>
      <c r="B4391" s="16" t="inlineStr">
        <is>
          <t>6.2</t>
        </is>
      </c>
      <c r="C4391" s="16" t="inlineStr">
        <is>
          <t>6.2b</t>
        </is>
      </c>
      <c r="D4391" s="16" t="inlineStr">
        <is>
          <t>una variable a la vez</t>
        </is>
      </c>
      <c r="E4391" s="16" t="inlineStr">
        <is>
          <t>KF-M10</t>
        </is>
      </c>
      <c r="F4391" s="16" t="inlineStr">
        <is>
          <t>KF-M10-OFAT</t>
        </is>
      </c>
      <c r="G4391" s="16" t="inlineStr">
        <is>
          <t>B14-OFAT</t>
        </is>
      </c>
      <c r="H4391" s="16" t="inlineStr">
        <is>
          <t>oat</t>
        </is>
      </c>
      <c r="I4391" s="16" t="inlineStr">
        <is>
          <t>KALINA</t>
        </is>
      </c>
      <c r="J4391" s="16" t="inlineStr">
        <is>
          <t>KALINA</t>
        </is>
      </c>
      <c r="K4391" s="16" t="b">
        <v>1</v>
      </c>
      <c r="L4391" s="16" t="b">
        <v>1</v>
      </c>
      <c r="M4391" s="16" t="b">
        <v>0</v>
      </c>
      <c r="N4391" s="16" t="b">
        <v>0</v>
      </c>
      <c r="O4391" s="16" t="n">
        <v>394.15</v>
      </c>
      <c r="P4391" s="16" t="n">
        <v>278.15</v>
      </c>
      <c r="Q4391" s="16" t="n">
        <v>3300</v>
      </c>
      <c r="R4391" s="16" t="n">
        <v>690</v>
      </c>
      <c r="S4391" s="16" t="n">
        <v>0.82</v>
      </c>
      <c r="T4391" s="16" t="n">
        <v>0.9</v>
      </c>
      <c r="U4391" s="16" t="n">
        <v>0.6642857142857143</v>
      </c>
      <c r="V4391" s="16" t="n">
        <v>0.85</v>
      </c>
      <c r="W4391" s="16" t="n">
        <v>0.75</v>
      </c>
      <c r="X4391" s="16" t="n">
        <v>0.95</v>
      </c>
      <c r="Y4391" s="16" t="n">
        <v>283.15</v>
      </c>
      <c r="Z4391" s="16" t="n">
        <v>12.63854864448449</v>
      </c>
      <c r="AA4391" s="16" t="n">
        <v>116.652869071685</v>
      </c>
      <c r="AB4391" s="16" t="n">
        <v>2610</v>
      </c>
      <c r="AC4391" s="16" t="n">
        <v>4.782608695652174</v>
      </c>
      <c r="AD4391" s="16" t="n"/>
      <c r="AE4391" s="16" t="inlineStr">
        <is>
          <t>eta_p</t>
        </is>
      </c>
    </row>
    <row r="4392">
      <c r="A4392" s="16" t="inlineStr">
        <is>
          <t>KF-M10-OFAT-0094</t>
        </is>
      </c>
      <c r="B4392" s="16" t="inlineStr">
        <is>
          <t>6.2</t>
        </is>
      </c>
      <c r="C4392" s="16" t="inlineStr">
        <is>
          <t>6.2b</t>
        </is>
      </c>
      <c r="D4392" s="16" t="inlineStr">
        <is>
          <t>una variable a la vez</t>
        </is>
      </c>
      <c r="E4392" s="16" t="inlineStr">
        <is>
          <t>KF-M10</t>
        </is>
      </c>
      <c r="F4392" s="16" t="inlineStr">
        <is>
          <t>KF-M10-OFAT</t>
        </is>
      </c>
      <c r="G4392" s="16" t="inlineStr">
        <is>
          <t>B14-OFAT</t>
        </is>
      </c>
      <c r="H4392" s="16" t="inlineStr">
        <is>
          <t>oat</t>
        </is>
      </c>
      <c r="I4392" s="16" t="inlineStr">
        <is>
          <t>KALINA</t>
        </is>
      </c>
      <c r="J4392" s="16" t="inlineStr">
        <is>
          <t>KALINA</t>
        </is>
      </c>
      <c r="K4392" s="16" t="b">
        <v>1</v>
      </c>
      <c r="L4392" s="16" t="b">
        <v>1</v>
      </c>
      <c r="M4392" s="16" t="b">
        <v>0</v>
      </c>
      <c r="N4392" s="16" t="b">
        <v>0</v>
      </c>
      <c r="O4392" s="16" t="n">
        <v>394.15</v>
      </c>
      <c r="P4392" s="16" t="n">
        <v>278.15</v>
      </c>
      <c r="Q4392" s="16" t="n">
        <v>3300</v>
      </c>
      <c r="R4392" s="16" t="n">
        <v>690</v>
      </c>
      <c r="S4392" s="16" t="n">
        <v>0.82</v>
      </c>
      <c r="T4392" s="16" t="n">
        <v>0.9</v>
      </c>
      <c r="U4392" s="16" t="n">
        <v>0.6857142857142857</v>
      </c>
      <c r="V4392" s="16" t="n">
        <v>0.85</v>
      </c>
      <c r="W4392" s="16" t="n">
        <v>0.75</v>
      </c>
      <c r="X4392" s="16" t="n">
        <v>0.95</v>
      </c>
      <c r="Y4392" s="16" t="n">
        <v>283.15</v>
      </c>
      <c r="Z4392" s="16" t="n">
        <v>12.65574724035371</v>
      </c>
      <c r="AA4392" s="16" t="n">
        <v>116.8251844029101</v>
      </c>
      <c r="AB4392" s="16" t="n">
        <v>2610</v>
      </c>
      <c r="AC4392" s="16" t="n">
        <v>4.782608695652174</v>
      </c>
      <c r="AD4392" s="16" t="n"/>
      <c r="AE4392" s="16" t="inlineStr">
        <is>
          <t>eta_p</t>
        </is>
      </c>
    </row>
    <row r="4393">
      <c r="A4393" s="16" t="inlineStr">
        <is>
          <t>KF-M10-OFAT-0095</t>
        </is>
      </c>
      <c r="B4393" s="16" t="inlineStr">
        <is>
          <t>6.2</t>
        </is>
      </c>
      <c r="C4393" s="16" t="inlineStr">
        <is>
          <t>6.2b</t>
        </is>
      </c>
      <c r="D4393" s="16" t="inlineStr">
        <is>
          <t>una variable a la vez</t>
        </is>
      </c>
      <c r="E4393" s="16" t="inlineStr">
        <is>
          <t>KF-M10</t>
        </is>
      </c>
      <c r="F4393" s="16" t="inlineStr">
        <is>
          <t>KF-M10-OFAT</t>
        </is>
      </c>
      <c r="G4393" s="16" t="inlineStr">
        <is>
          <t>B14-OFAT</t>
        </is>
      </c>
      <c r="H4393" s="16" t="inlineStr">
        <is>
          <t>oat</t>
        </is>
      </c>
      <c r="I4393" s="16" t="inlineStr">
        <is>
          <t>KALINA</t>
        </is>
      </c>
      <c r="J4393" s="16" t="inlineStr">
        <is>
          <t>KALINA</t>
        </is>
      </c>
      <c r="K4393" s="16" t="b">
        <v>1</v>
      </c>
      <c r="L4393" s="16" t="b">
        <v>1</v>
      </c>
      <c r="M4393" s="16" t="b">
        <v>0</v>
      </c>
      <c r="N4393" s="16" t="b">
        <v>0</v>
      </c>
      <c r="O4393" s="16" t="n">
        <v>394.15</v>
      </c>
      <c r="P4393" s="16" t="n">
        <v>278.15</v>
      </c>
      <c r="Q4393" s="16" t="n">
        <v>3300</v>
      </c>
      <c r="R4393" s="16" t="n">
        <v>690</v>
      </c>
      <c r="S4393" s="16" t="n">
        <v>0.82</v>
      </c>
      <c r="T4393" s="16" t="n">
        <v>0.9</v>
      </c>
      <c r="U4393" s="16" t="n">
        <v>0.7071428571428572</v>
      </c>
      <c r="V4393" s="16" t="n">
        <v>0.85</v>
      </c>
      <c r="W4393" s="16" t="n">
        <v>0.75</v>
      </c>
      <c r="X4393" s="16" t="n">
        <v>0.95</v>
      </c>
      <c r="Y4393" s="16" t="n">
        <v>283.15</v>
      </c>
      <c r="Z4393" s="16" t="n">
        <v>12.67189986175041</v>
      </c>
      <c r="AA4393" s="16" t="n">
        <v>116.9870560593656</v>
      </c>
      <c r="AB4393" s="16" t="n">
        <v>2610</v>
      </c>
      <c r="AC4393" s="16" t="n">
        <v>4.782608695652174</v>
      </c>
      <c r="AD4393" s="16" t="n"/>
      <c r="AE4393" s="16" t="inlineStr">
        <is>
          <t>eta_p</t>
        </is>
      </c>
    </row>
    <row r="4394">
      <c r="A4394" s="16" t="inlineStr">
        <is>
          <t>KF-M10-OFAT-0096</t>
        </is>
      </c>
      <c r="B4394" s="16" t="inlineStr">
        <is>
          <t>6.2</t>
        </is>
      </c>
      <c r="C4394" s="16" t="inlineStr">
        <is>
          <t>6.2b</t>
        </is>
      </c>
      <c r="D4394" s="16" t="inlineStr">
        <is>
          <t>una variable a la vez</t>
        </is>
      </c>
      <c r="E4394" s="16" t="inlineStr">
        <is>
          <t>KF-M10</t>
        </is>
      </c>
      <c r="F4394" s="16" t="inlineStr">
        <is>
          <t>KF-M10-OFAT</t>
        </is>
      </c>
      <c r="G4394" s="16" t="inlineStr">
        <is>
          <t>B14-OFAT</t>
        </is>
      </c>
      <c r="H4394" s="16" t="inlineStr">
        <is>
          <t>oat</t>
        </is>
      </c>
      <c r="I4394" s="16" t="inlineStr">
        <is>
          <t>KALINA</t>
        </is>
      </c>
      <c r="J4394" s="16" t="inlineStr">
        <is>
          <t>KALINA</t>
        </is>
      </c>
      <c r="K4394" s="16" t="b">
        <v>1</v>
      </c>
      <c r="L4394" s="16" t="b">
        <v>1</v>
      </c>
      <c r="M4394" s="16" t="b">
        <v>0</v>
      </c>
      <c r="N4394" s="16" t="b">
        <v>0</v>
      </c>
      <c r="O4394" s="16" t="n">
        <v>394.15</v>
      </c>
      <c r="P4394" s="16" t="n">
        <v>278.15</v>
      </c>
      <c r="Q4394" s="16" t="n">
        <v>3300</v>
      </c>
      <c r="R4394" s="16" t="n">
        <v>690</v>
      </c>
      <c r="S4394" s="16" t="n">
        <v>0.82</v>
      </c>
      <c r="T4394" s="16" t="n">
        <v>0.9</v>
      </c>
      <c r="U4394" s="16" t="n">
        <v>0.7285714285714285</v>
      </c>
      <c r="V4394" s="16" t="n">
        <v>0.85</v>
      </c>
      <c r="W4394" s="16" t="n">
        <v>0.75</v>
      </c>
      <c r="X4394" s="16" t="n">
        <v>0.95</v>
      </c>
      <c r="Y4394" s="16" t="n">
        <v>283.15</v>
      </c>
      <c r="Z4394" s="16" t="n">
        <v>12.68709911301307</v>
      </c>
      <c r="AA4394" s="16" t="n">
        <v>117.1394055689241</v>
      </c>
      <c r="AB4394" s="16" t="n">
        <v>2610</v>
      </c>
      <c r="AC4394" s="16" t="n">
        <v>4.782608695652174</v>
      </c>
      <c r="AD4394" s="16" t="n"/>
      <c r="AE4394" s="16" t="inlineStr">
        <is>
          <t>eta_p</t>
        </is>
      </c>
    </row>
    <row r="4395">
      <c r="A4395" s="16" t="inlineStr">
        <is>
          <t>KF-M10-OFAT-0097</t>
        </is>
      </c>
      <c r="B4395" s="16" t="inlineStr">
        <is>
          <t>6.2</t>
        </is>
      </c>
      <c r="C4395" s="16" t="inlineStr">
        <is>
          <t>6.2b</t>
        </is>
      </c>
      <c r="D4395" s="16" t="inlineStr">
        <is>
          <t>una variable a la vez</t>
        </is>
      </c>
      <c r="E4395" s="16" t="inlineStr">
        <is>
          <t>KF-M10</t>
        </is>
      </c>
      <c r="F4395" s="16" t="inlineStr">
        <is>
          <t>KF-M10-OFAT</t>
        </is>
      </c>
      <c r="G4395" s="16" t="inlineStr">
        <is>
          <t>B14-OFAT</t>
        </is>
      </c>
      <c r="H4395" s="16" t="inlineStr">
        <is>
          <t>oat</t>
        </is>
      </c>
      <c r="I4395" s="16" t="inlineStr">
        <is>
          <t>KALINA</t>
        </is>
      </c>
      <c r="J4395" s="16" t="inlineStr">
        <is>
          <t>KALINA</t>
        </is>
      </c>
      <c r="K4395" s="16" t="b">
        <v>1</v>
      </c>
      <c r="L4395" s="16" t="b">
        <v>1</v>
      </c>
      <c r="M4395" s="16" t="b">
        <v>0</v>
      </c>
      <c r="N4395" s="16" t="b">
        <v>0</v>
      </c>
      <c r="O4395" s="16" t="n">
        <v>394.15</v>
      </c>
      <c r="P4395" s="16" t="n">
        <v>278.15</v>
      </c>
      <c r="Q4395" s="16" t="n">
        <v>3300</v>
      </c>
      <c r="R4395" s="16" t="n">
        <v>690</v>
      </c>
      <c r="S4395" s="16" t="n">
        <v>0.82</v>
      </c>
      <c r="T4395" s="16" t="n">
        <v>0.9</v>
      </c>
      <c r="U4395" s="16" t="n">
        <v>0.75</v>
      </c>
      <c r="V4395" s="16" t="n">
        <v>0.85</v>
      </c>
      <c r="W4395" s="16" t="n">
        <v>0.75</v>
      </c>
      <c r="X4395" s="16" t="n">
        <v>0.95</v>
      </c>
      <c r="Y4395" s="16" t="n">
        <v>283.15</v>
      </c>
      <c r="Z4395" s="16" t="n">
        <v>12.7014269803761</v>
      </c>
      <c r="AA4395" s="16" t="n">
        <v>117.2830491395838</v>
      </c>
      <c r="AB4395" s="16" t="n">
        <v>2610</v>
      </c>
      <c r="AC4395" s="16" t="n">
        <v>4.782608695652174</v>
      </c>
      <c r="AD4395" s="16" t="n"/>
      <c r="AE4395" s="16" t="inlineStr">
        <is>
          <t>eta_p</t>
        </is>
      </c>
    </row>
    <row r="4396">
      <c r="A4396" s="16" t="inlineStr">
        <is>
          <t>KF-M10-OFAT-0098</t>
        </is>
      </c>
      <c r="B4396" s="16" t="inlineStr">
        <is>
          <t>6.2</t>
        </is>
      </c>
      <c r="C4396" s="16" t="inlineStr">
        <is>
          <t>6.2b</t>
        </is>
      </c>
      <c r="D4396" s="16" t="inlineStr">
        <is>
          <t>una variable a la vez</t>
        </is>
      </c>
      <c r="E4396" s="16" t="inlineStr">
        <is>
          <t>KF-M10</t>
        </is>
      </c>
      <c r="F4396" s="16" t="inlineStr">
        <is>
          <t>KF-M10-OFAT</t>
        </is>
      </c>
      <c r="G4396" s="16" t="inlineStr">
        <is>
          <t>B14-OFAT</t>
        </is>
      </c>
      <c r="H4396" s="16" t="inlineStr">
        <is>
          <t>oat</t>
        </is>
      </c>
      <c r="I4396" s="16" t="inlineStr">
        <is>
          <t>KALINA</t>
        </is>
      </c>
      <c r="J4396" s="16" t="inlineStr">
        <is>
          <t>KALINA</t>
        </is>
      </c>
      <c r="K4396" s="16" t="b">
        <v>1</v>
      </c>
      <c r="L4396" s="16" t="b">
        <v>1</v>
      </c>
      <c r="M4396" s="16" t="b">
        <v>0</v>
      </c>
      <c r="N4396" s="16" t="b">
        <v>0</v>
      </c>
      <c r="O4396" s="16" t="n">
        <v>394.15</v>
      </c>
      <c r="P4396" s="16" t="n">
        <v>278.15</v>
      </c>
      <c r="Q4396" s="16" t="n">
        <v>3300</v>
      </c>
      <c r="R4396" s="16" t="n">
        <v>690</v>
      </c>
      <c r="S4396" s="16" t="n">
        <v>0.82</v>
      </c>
      <c r="T4396" s="16" t="n">
        <v>0.9</v>
      </c>
      <c r="U4396" s="16" t="n">
        <v>0.7714285714285715</v>
      </c>
      <c r="V4396" s="16" t="n">
        <v>0.85</v>
      </c>
      <c r="W4396" s="16" t="n">
        <v>0.75</v>
      </c>
      <c r="X4396" s="16" t="n">
        <v>0.95</v>
      </c>
      <c r="Y4396" s="16" t="n">
        <v>283.15</v>
      </c>
      <c r="Z4396" s="16" t="n">
        <v>12.71495631128995</v>
      </c>
      <c r="AA4396" s="16" t="n">
        <v>117.4187122864168</v>
      </c>
      <c r="AB4396" s="16" t="n">
        <v>2610</v>
      </c>
      <c r="AC4396" s="16" t="n">
        <v>4.782608695652174</v>
      </c>
      <c r="AD4396" s="16" t="n"/>
      <c r="AE4396" s="16" t="inlineStr">
        <is>
          <t>eta_p</t>
        </is>
      </c>
    </row>
    <row r="4397">
      <c r="A4397" s="16" t="inlineStr">
        <is>
          <t>KF-M10-OFAT-0099</t>
        </is>
      </c>
      <c r="B4397" s="16" t="inlineStr">
        <is>
          <t>6.2</t>
        </is>
      </c>
      <c r="C4397" s="16" t="inlineStr">
        <is>
          <t>6.2b</t>
        </is>
      </c>
      <c r="D4397" s="16" t="inlineStr">
        <is>
          <t>una variable a la vez</t>
        </is>
      </c>
      <c r="E4397" s="16" t="inlineStr">
        <is>
          <t>KF-M10</t>
        </is>
      </c>
      <c r="F4397" s="16" t="inlineStr">
        <is>
          <t>KF-M10-OFAT</t>
        </is>
      </c>
      <c r="G4397" s="16" t="inlineStr">
        <is>
          <t>B14-OFAT</t>
        </is>
      </c>
      <c r="H4397" s="16" t="inlineStr">
        <is>
          <t>oat</t>
        </is>
      </c>
      <c r="I4397" s="16" t="inlineStr">
        <is>
          <t>KALINA</t>
        </is>
      </c>
      <c r="J4397" s="16" t="inlineStr">
        <is>
          <t>KALINA</t>
        </is>
      </c>
      <c r="K4397" s="16" t="b">
        <v>1</v>
      </c>
      <c r="L4397" s="16" t="b">
        <v>1</v>
      </c>
      <c r="M4397" s="16" t="b">
        <v>0</v>
      </c>
      <c r="N4397" s="16" t="b">
        <v>0</v>
      </c>
      <c r="O4397" s="16" t="n">
        <v>394.15</v>
      </c>
      <c r="P4397" s="16" t="n">
        <v>278.15</v>
      </c>
      <c r="Q4397" s="16" t="n">
        <v>3300</v>
      </c>
      <c r="R4397" s="16" t="n">
        <v>690</v>
      </c>
      <c r="S4397" s="16" t="n">
        <v>0.82</v>
      </c>
      <c r="T4397" s="16" t="n">
        <v>0.9</v>
      </c>
      <c r="U4397" s="16" t="n">
        <v>0.7928571428571429</v>
      </c>
      <c r="V4397" s="16" t="n">
        <v>0.85</v>
      </c>
      <c r="W4397" s="16" t="n">
        <v>0.75</v>
      </c>
      <c r="X4397" s="16" t="n">
        <v>0.95</v>
      </c>
      <c r="Y4397" s="16" t="n">
        <v>283.15</v>
      </c>
      <c r="Z4397" s="16" t="n">
        <v>12.72775205333601</v>
      </c>
      <c r="AA4397" s="16" t="n">
        <v>117.5470420886111</v>
      </c>
      <c r="AB4397" s="16" t="n">
        <v>2610</v>
      </c>
      <c r="AC4397" s="16" t="n">
        <v>4.782608695652174</v>
      </c>
      <c r="AD4397" s="16" t="n"/>
      <c r="AE4397" s="16" t="inlineStr">
        <is>
          <t>eta_p</t>
        </is>
      </c>
    </row>
    <row r="4398">
      <c r="A4398" s="16" t="inlineStr">
        <is>
          <t>KF-M10-OFAT-0100</t>
        </is>
      </c>
      <c r="B4398" s="16" t="inlineStr">
        <is>
          <t>6.2</t>
        </is>
      </c>
      <c r="C4398" s="16" t="inlineStr">
        <is>
          <t>6.2b</t>
        </is>
      </c>
      <c r="D4398" s="16" t="inlineStr">
        <is>
          <t>una variable a la vez</t>
        </is>
      </c>
      <c r="E4398" s="16" t="inlineStr">
        <is>
          <t>KF-M10</t>
        </is>
      </c>
      <c r="F4398" s="16" t="inlineStr">
        <is>
          <t>KF-M10-OFAT</t>
        </is>
      </c>
      <c r="G4398" s="16" t="inlineStr">
        <is>
          <t>B14-OFAT</t>
        </is>
      </c>
      <c r="H4398" s="16" t="inlineStr">
        <is>
          <t>oat</t>
        </is>
      </c>
      <c r="I4398" s="16" t="inlineStr">
        <is>
          <t>KALINA</t>
        </is>
      </c>
      <c r="J4398" s="16" t="inlineStr">
        <is>
          <t>KALINA</t>
        </is>
      </c>
      <c r="K4398" s="16" t="b">
        <v>1</v>
      </c>
      <c r="L4398" s="16" t="b">
        <v>1</v>
      </c>
      <c r="M4398" s="16" t="b">
        <v>0</v>
      </c>
      <c r="N4398" s="16" t="b">
        <v>0</v>
      </c>
      <c r="O4398" s="16" t="n">
        <v>394.15</v>
      </c>
      <c r="P4398" s="16" t="n">
        <v>278.15</v>
      </c>
      <c r="Q4398" s="16" t="n">
        <v>3300</v>
      </c>
      <c r="R4398" s="16" t="n">
        <v>690</v>
      </c>
      <c r="S4398" s="16" t="n">
        <v>0.82</v>
      </c>
      <c r="T4398" s="16" t="n">
        <v>0.9</v>
      </c>
      <c r="U4398" s="16" t="n">
        <v>0.8142857142857143</v>
      </c>
      <c r="V4398" s="16" t="n">
        <v>0.85</v>
      </c>
      <c r="W4398" s="16" t="n">
        <v>0.75</v>
      </c>
      <c r="X4398" s="16" t="n">
        <v>0.95</v>
      </c>
      <c r="Y4398" s="16" t="n">
        <v>283.15</v>
      </c>
      <c r="Z4398" s="16" t="n">
        <v>12.73987229682464</v>
      </c>
      <c r="AA4398" s="16" t="n">
        <v>117.6686175101852</v>
      </c>
      <c r="AB4398" s="16" t="n">
        <v>2610</v>
      </c>
      <c r="AC4398" s="16" t="n">
        <v>4.782608695652174</v>
      </c>
      <c r="AD4398" s="16" t="n"/>
      <c r="AE4398" s="16" t="inlineStr">
        <is>
          <t>eta_p</t>
        </is>
      </c>
    </row>
    <row r="4399">
      <c r="A4399" s="16" t="inlineStr">
        <is>
          <t>KF-M10-OFAT-0101</t>
        </is>
      </c>
      <c r="B4399" s="16" t="inlineStr">
        <is>
          <t>6.2</t>
        </is>
      </c>
      <c r="C4399" s="16" t="inlineStr">
        <is>
          <t>6.2b</t>
        </is>
      </c>
      <c r="D4399" s="16" t="inlineStr">
        <is>
          <t>una variable a la vez</t>
        </is>
      </c>
      <c r="E4399" s="16" t="inlineStr">
        <is>
          <t>KF-M10</t>
        </is>
      </c>
      <c r="F4399" s="16" t="inlineStr">
        <is>
          <t>KF-M10-OFAT</t>
        </is>
      </c>
      <c r="G4399" s="16" t="inlineStr">
        <is>
          <t>B14-OFAT</t>
        </is>
      </c>
      <c r="H4399" s="16" t="inlineStr">
        <is>
          <t>oat</t>
        </is>
      </c>
      <c r="I4399" s="16" t="inlineStr">
        <is>
          <t>KALINA</t>
        </is>
      </c>
      <c r="J4399" s="16" t="inlineStr">
        <is>
          <t>KALINA</t>
        </is>
      </c>
      <c r="K4399" s="16" t="b">
        <v>1</v>
      </c>
      <c r="L4399" s="16" t="b">
        <v>1</v>
      </c>
      <c r="M4399" s="16" t="b">
        <v>0</v>
      </c>
      <c r="N4399" s="16" t="b">
        <v>0</v>
      </c>
      <c r="O4399" s="16" t="n">
        <v>394.15</v>
      </c>
      <c r="P4399" s="16" t="n">
        <v>278.15</v>
      </c>
      <c r="Q4399" s="16" t="n">
        <v>3300</v>
      </c>
      <c r="R4399" s="16" t="n">
        <v>690</v>
      </c>
      <c r="S4399" s="16" t="n">
        <v>0.82</v>
      </c>
      <c r="T4399" s="16" t="n">
        <v>0.9</v>
      </c>
      <c r="U4399" s="16" t="n">
        <v>0.8571428571428572</v>
      </c>
      <c r="V4399" s="16" t="n">
        <v>0.85</v>
      </c>
      <c r="W4399" s="16" t="n">
        <v>0.75</v>
      </c>
      <c r="X4399" s="16" t="n">
        <v>0.95</v>
      </c>
      <c r="Y4399" s="16" t="n">
        <v>283.15</v>
      </c>
      <c r="Z4399" s="16" t="n">
        <v>12.76228952045992</v>
      </c>
      <c r="AA4399" s="16" t="n">
        <v>117.8935315764344</v>
      </c>
      <c r="AB4399" s="16" t="n">
        <v>2610</v>
      </c>
      <c r="AC4399" s="16" t="n">
        <v>4.782608695652174</v>
      </c>
      <c r="AD4399" s="16" t="n"/>
      <c r="AE4399" s="16" t="inlineStr">
        <is>
          <t>eta_p</t>
        </is>
      </c>
    </row>
    <row r="4400">
      <c r="A4400" s="16" t="inlineStr">
        <is>
          <t>KF-M10-OFAT-0102</t>
        </is>
      </c>
      <c r="B4400" s="16" t="inlineStr">
        <is>
          <t>6.2</t>
        </is>
      </c>
      <c r="C4400" s="16" t="inlineStr">
        <is>
          <t>6.2b</t>
        </is>
      </c>
      <c r="D4400" s="16" t="inlineStr">
        <is>
          <t>una variable a la vez</t>
        </is>
      </c>
      <c r="E4400" s="16" t="inlineStr">
        <is>
          <t>KF-M10</t>
        </is>
      </c>
      <c r="F4400" s="16" t="inlineStr">
        <is>
          <t>KF-M10-OFAT</t>
        </is>
      </c>
      <c r="G4400" s="16" t="inlineStr">
        <is>
          <t>B14-OFAT</t>
        </is>
      </c>
      <c r="H4400" s="16" t="inlineStr">
        <is>
          <t>oat</t>
        </is>
      </c>
      <c r="I4400" s="16" t="inlineStr">
        <is>
          <t>KALINA</t>
        </is>
      </c>
      <c r="J4400" s="16" t="inlineStr">
        <is>
          <t>KALINA</t>
        </is>
      </c>
      <c r="K4400" s="16" t="b">
        <v>1</v>
      </c>
      <c r="L4400" s="16" t="b">
        <v>1</v>
      </c>
      <c r="M4400" s="16" t="b">
        <v>0</v>
      </c>
      <c r="N4400" s="16" t="b">
        <v>0</v>
      </c>
      <c r="O4400" s="16" t="n">
        <v>394.15</v>
      </c>
      <c r="P4400" s="16" t="n">
        <v>278.15</v>
      </c>
      <c r="Q4400" s="16" t="n">
        <v>3300</v>
      </c>
      <c r="R4400" s="16" t="n">
        <v>690</v>
      </c>
      <c r="S4400" s="16" t="n">
        <v>0.82</v>
      </c>
      <c r="T4400" s="16" t="n">
        <v>0.9</v>
      </c>
      <c r="U4400" s="16" t="n">
        <v>0.8357142857142857</v>
      </c>
      <c r="V4400" s="16" t="n">
        <v>0.85</v>
      </c>
      <c r="W4400" s="16" t="n">
        <v>0.75</v>
      </c>
      <c r="X4400" s="16" t="n">
        <v>0.95</v>
      </c>
      <c r="Y4400" s="16" t="n">
        <v>283.15</v>
      </c>
      <c r="Z4400" s="16" t="n">
        <v>12.75136915643556</v>
      </c>
      <c r="AA4400" s="16" t="n">
        <v>117.7839581320599</v>
      </c>
      <c r="AB4400" s="16" t="n">
        <v>2610</v>
      </c>
      <c r="AC4400" s="16" t="n">
        <v>4.782608695652174</v>
      </c>
      <c r="AD4400" s="16" t="n"/>
      <c r="AE4400" s="16" t="inlineStr">
        <is>
          <t>eta_p</t>
        </is>
      </c>
    </row>
    <row r="4401">
      <c r="A4401" s="16" t="inlineStr">
        <is>
          <t>KF-M10-OFAT-0103</t>
        </is>
      </c>
      <c r="B4401" s="16" t="inlineStr">
        <is>
          <t>6.2</t>
        </is>
      </c>
      <c r="C4401" s="16" t="inlineStr">
        <is>
          <t>6.2b</t>
        </is>
      </c>
      <c r="D4401" s="16" t="inlineStr">
        <is>
          <t>una variable a la vez</t>
        </is>
      </c>
      <c r="E4401" s="16" t="inlineStr">
        <is>
          <t>KF-M10</t>
        </is>
      </c>
      <c r="F4401" s="16" t="inlineStr">
        <is>
          <t>KF-M10-OFAT</t>
        </is>
      </c>
      <c r="G4401" s="16" t="inlineStr">
        <is>
          <t>B14-OFAT</t>
        </is>
      </c>
      <c r="H4401" s="16" t="inlineStr">
        <is>
          <t>oat</t>
        </is>
      </c>
      <c r="I4401" s="16" t="inlineStr">
        <is>
          <t>KALINA</t>
        </is>
      </c>
      <c r="J4401" s="16" t="inlineStr">
        <is>
          <t>KALINA</t>
        </is>
      </c>
      <c r="K4401" s="16" t="b">
        <v>1</v>
      </c>
      <c r="L4401" s="16" t="b">
        <v>1</v>
      </c>
      <c r="M4401" s="16" t="b">
        <v>0</v>
      </c>
      <c r="N4401" s="16" t="b">
        <v>0</v>
      </c>
      <c r="O4401" s="16" t="n">
        <v>394.15</v>
      </c>
      <c r="P4401" s="16" t="n">
        <v>278.15</v>
      </c>
      <c r="Q4401" s="16" t="n">
        <v>3300</v>
      </c>
      <c r="R4401" s="16" t="n">
        <v>690</v>
      </c>
      <c r="S4401" s="16" t="n">
        <v>0.82</v>
      </c>
      <c r="T4401" s="16" t="n">
        <v>0.9</v>
      </c>
      <c r="U4401" s="16" t="n">
        <v>0.8785714285714286</v>
      </c>
      <c r="V4401" s="16" t="n">
        <v>0.85</v>
      </c>
      <c r="W4401" s="16" t="n">
        <v>0.75</v>
      </c>
      <c r="X4401" s="16" t="n">
        <v>0.95</v>
      </c>
      <c r="Y4401" s="16" t="n">
        <v>283.15</v>
      </c>
      <c r="Z4401" s="16" t="n">
        <v>12.77267568980766</v>
      </c>
      <c r="AA4401" s="16" t="n">
        <v>117.9977598420031</v>
      </c>
      <c r="AB4401" s="16" t="n">
        <v>2610</v>
      </c>
      <c r="AC4401" s="16" t="n">
        <v>4.782608695652174</v>
      </c>
      <c r="AD4401" s="16" t="n"/>
      <c r="AE4401" s="16" t="inlineStr">
        <is>
          <t>eta_p</t>
        </is>
      </c>
    </row>
    <row r="4402">
      <c r="A4402" s="16" t="inlineStr">
        <is>
          <t>KF-M10-OFAT-0104</t>
        </is>
      </c>
      <c r="B4402" s="16" t="inlineStr">
        <is>
          <t>6.2</t>
        </is>
      </c>
      <c r="C4402" s="16" t="inlineStr">
        <is>
          <t>6.2b</t>
        </is>
      </c>
      <c r="D4402" s="16" t="inlineStr">
        <is>
          <t>una variable a la vez</t>
        </is>
      </c>
      <c r="E4402" s="16" t="inlineStr">
        <is>
          <t>KF-M10</t>
        </is>
      </c>
      <c r="F4402" s="16" t="inlineStr">
        <is>
          <t>KF-M10-OFAT</t>
        </is>
      </c>
      <c r="G4402" s="16" t="inlineStr">
        <is>
          <t>B14-OFAT</t>
        </is>
      </c>
      <c r="H4402" s="16" t="inlineStr">
        <is>
          <t>oat</t>
        </is>
      </c>
      <c r="I4402" s="16" t="inlineStr">
        <is>
          <t>KALINA</t>
        </is>
      </c>
      <c r="J4402" s="16" t="inlineStr">
        <is>
          <t>KALINA</t>
        </is>
      </c>
      <c r="K4402" s="16" t="b">
        <v>1</v>
      </c>
      <c r="L4402" s="16" t="b">
        <v>1</v>
      </c>
      <c r="M4402" s="16" t="b">
        <v>0</v>
      </c>
      <c r="N4402" s="16" t="b">
        <v>0</v>
      </c>
      <c r="O4402" s="16" t="n">
        <v>394.15</v>
      </c>
      <c r="P4402" s="16" t="n">
        <v>278.15</v>
      </c>
      <c r="Q4402" s="16" t="n">
        <v>3300</v>
      </c>
      <c r="R4402" s="16" t="n">
        <v>690</v>
      </c>
      <c r="S4402" s="16" t="n">
        <v>0.82</v>
      </c>
      <c r="T4402" s="16" t="n">
        <v>0.9</v>
      </c>
      <c r="U4402" s="16" t="n">
        <v>0.9</v>
      </c>
      <c r="V4402" s="16" t="n">
        <v>0.85</v>
      </c>
      <c r="W4402" s="16" t="n">
        <v>0.75</v>
      </c>
      <c r="X4402" s="16" t="n">
        <v>0.95</v>
      </c>
      <c r="Y4402" s="16" t="n">
        <v>283.15</v>
      </c>
      <c r="Z4402" s="16" t="n">
        <v>12.78256592574377</v>
      </c>
      <c r="AA4402" s="16" t="n">
        <v>118.0970247365888</v>
      </c>
      <c r="AB4402" s="16" t="n">
        <v>2610</v>
      </c>
      <c r="AC4402" s="16" t="n">
        <v>4.782608695652174</v>
      </c>
      <c r="AD4402" s="16" t="n"/>
      <c r="AE4402" s="16" t="inlineStr">
        <is>
          <t>eta_p</t>
        </is>
      </c>
    </row>
    <row r="4403">
      <c r="A4403" s="16" t="inlineStr">
        <is>
          <t>KF-M10-OFAT-0105</t>
        </is>
      </c>
      <c r="B4403" s="16" t="inlineStr">
        <is>
          <t>6.2</t>
        </is>
      </c>
      <c r="C4403" s="16" t="inlineStr">
        <is>
          <t>6.2b</t>
        </is>
      </c>
      <c r="D4403" s="16" t="inlineStr">
        <is>
          <t>una variable a la vez</t>
        </is>
      </c>
      <c r="E4403" s="16" t="inlineStr">
        <is>
          <t>KF-M10</t>
        </is>
      </c>
      <c r="F4403" s="16" t="inlineStr">
        <is>
          <t>KF-M10-OFAT</t>
        </is>
      </c>
      <c r="G4403" s="16" t="inlineStr">
        <is>
          <t>B14-OFAT</t>
        </is>
      </c>
      <c r="H4403" s="16" t="inlineStr">
        <is>
          <t>oat</t>
        </is>
      </c>
      <c r="I4403" s="16" t="inlineStr">
        <is>
          <t>KALINA</t>
        </is>
      </c>
      <c r="J4403" s="16" t="inlineStr">
        <is>
          <t>KALINA</t>
        </is>
      </c>
      <c r="K4403" s="16" t="b">
        <v>1</v>
      </c>
      <c r="L4403" s="16" t="b">
        <v>1</v>
      </c>
      <c r="M4403" s="16" t="b">
        <v>0</v>
      </c>
      <c r="N4403" s="16" t="b">
        <v>0</v>
      </c>
      <c r="O4403" s="16" t="n">
        <v>394.15</v>
      </c>
      <c r="P4403" s="16" t="n">
        <v>278.15</v>
      </c>
      <c r="Q4403" s="16" t="n">
        <v>3300</v>
      </c>
      <c r="R4403" s="16" t="n">
        <v>690</v>
      </c>
      <c r="S4403" s="16" t="n">
        <v>0.82</v>
      </c>
      <c r="T4403" s="16" t="n">
        <v>0.9</v>
      </c>
      <c r="U4403" s="16" t="n">
        <v>0.8</v>
      </c>
      <c r="V4403" s="16" t="n">
        <v>0.6</v>
      </c>
      <c r="W4403" s="16" t="n">
        <v>0.75</v>
      </c>
      <c r="X4403" s="16" t="n">
        <v>0.95</v>
      </c>
      <c r="Y4403" s="16" t="n">
        <v>283.15</v>
      </c>
      <c r="Z4403" s="16" t="n">
        <v>11.6337945350606</v>
      </c>
      <c r="AA4403" s="16" t="n">
        <v>74.27626682308852</v>
      </c>
      <c r="AB4403" s="16" t="n">
        <v>2610</v>
      </c>
      <c r="AC4403" s="16" t="n">
        <v>4.782608695652174</v>
      </c>
      <c r="AD4403" s="16" t="n"/>
      <c r="AE4403" s="16" t="inlineStr">
        <is>
          <t>eps_hrvg</t>
        </is>
      </c>
    </row>
    <row r="4404">
      <c r="A4404" s="16" t="inlineStr">
        <is>
          <t>KF-M10-OFAT-0106</t>
        </is>
      </c>
      <c r="B4404" s="16" t="inlineStr">
        <is>
          <t>6.2</t>
        </is>
      </c>
      <c r="C4404" s="16" t="inlineStr">
        <is>
          <t>6.2b</t>
        </is>
      </c>
      <c r="D4404" s="16" t="inlineStr">
        <is>
          <t>una variable a la vez</t>
        </is>
      </c>
      <c r="E4404" s="16" t="inlineStr">
        <is>
          <t>KF-M10</t>
        </is>
      </c>
      <c r="F4404" s="16" t="inlineStr">
        <is>
          <t>KF-M10-OFAT</t>
        </is>
      </c>
      <c r="G4404" s="16" t="inlineStr">
        <is>
          <t>B14-OFAT</t>
        </is>
      </c>
      <c r="H4404" s="16" t="inlineStr">
        <is>
          <t>oat</t>
        </is>
      </c>
      <c r="I4404" s="16" t="inlineStr">
        <is>
          <t>KALINA</t>
        </is>
      </c>
      <c r="J4404" s="16" t="inlineStr">
        <is>
          <t>KALINA</t>
        </is>
      </c>
      <c r="K4404" s="16" t="b">
        <v>1</v>
      </c>
      <c r="L4404" s="16" t="b">
        <v>1</v>
      </c>
      <c r="M4404" s="16" t="b">
        <v>0</v>
      </c>
      <c r="N4404" s="16" t="b">
        <v>0</v>
      </c>
      <c r="O4404" s="16" t="n">
        <v>394.15</v>
      </c>
      <c r="P4404" s="16" t="n">
        <v>278.15</v>
      </c>
      <c r="Q4404" s="16" t="n">
        <v>3300</v>
      </c>
      <c r="R4404" s="16" t="n">
        <v>690</v>
      </c>
      <c r="S4404" s="16" t="n">
        <v>0.82</v>
      </c>
      <c r="T4404" s="16" t="n">
        <v>0.9</v>
      </c>
      <c r="U4404" s="16" t="n">
        <v>0.8</v>
      </c>
      <c r="V4404" s="16" t="n">
        <v>0.625</v>
      </c>
      <c r="W4404" s="16" t="n">
        <v>0.75</v>
      </c>
      <c r="X4404" s="16" t="n">
        <v>0.95</v>
      </c>
      <c r="Y4404" s="16" t="n">
        <v>283.15</v>
      </c>
      <c r="Z4404" s="16" t="n">
        <v>11.76548406888493</v>
      </c>
      <c r="AA4404" s="16" t="n">
        <v>78.4646875814758</v>
      </c>
      <c r="AB4404" s="16" t="n">
        <v>2610</v>
      </c>
      <c r="AC4404" s="16" t="n">
        <v>4.782608695652174</v>
      </c>
      <c r="AD4404" s="16" t="n"/>
      <c r="AE4404" s="16" t="inlineStr">
        <is>
          <t>eps_hrvg</t>
        </is>
      </c>
    </row>
    <row r="4405">
      <c r="A4405" s="16" t="inlineStr">
        <is>
          <t>KF-M10-OFAT-0107</t>
        </is>
      </c>
      <c r="B4405" s="16" t="inlineStr">
        <is>
          <t>6.2</t>
        </is>
      </c>
      <c r="C4405" s="16" t="inlineStr">
        <is>
          <t>6.2b</t>
        </is>
      </c>
      <c r="D4405" s="16" t="inlineStr">
        <is>
          <t>una variable a la vez</t>
        </is>
      </c>
      <c r="E4405" s="16" t="inlineStr">
        <is>
          <t>KF-M10</t>
        </is>
      </c>
      <c r="F4405" s="16" t="inlineStr">
        <is>
          <t>KF-M10-OFAT</t>
        </is>
      </c>
      <c r="G4405" s="16" t="inlineStr">
        <is>
          <t>B14-OFAT</t>
        </is>
      </c>
      <c r="H4405" s="16" t="inlineStr">
        <is>
          <t>oat</t>
        </is>
      </c>
      <c r="I4405" s="16" t="inlineStr">
        <is>
          <t>KALINA</t>
        </is>
      </c>
      <c r="J4405" s="16" t="inlineStr">
        <is>
          <t>KALINA</t>
        </is>
      </c>
      <c r="K4405" s="16" t="b">
        <v>1</v>
      </c>
      <c r="L4405" s="16" t="b">
        <v>1</v>
      </c>
      <c r="M4405" s="16" t="b">
        <v>0</v>
      </c>
      <c r="N4405" s="16" t="b">
        <v>0</v>
      </c>
      <c r="O4405" s="16" t="n">
        <v>394.15</v>
      </c>
      <c r="P4405" s="16" t="n">
        <v>278.15</v>
      </c>
      <c r="Q4405" s="16" t="n">
        <v>3300</v>
      </c>
      <c r="R4405" s="16" t="n">
        <v>690</v>
      </c>
      <c r="S4405" s="16" t="n">
        <v>0.82</v>
      </c>
      <c r="T4405" s="16" t="n">
        <v>0.9</v>
      </c>
      <c r="U4405" s="16" t="n">
        <v>0.8</v>
      </c>
      <c r="V4405" s="16" t="n">
        <v>0.65</v>
      </c>
      <c r="W4405" s="16" t="n">
        <v>0.75</v>
      </c>
      <c r="X4405" s="16" t="n">
        <v>0.95</v>
      </c>
      <c r="Y4405" s="16" t="n">
        <v>283.15</v>
      </c>
      <c r="Z4405" s="16" t="n">
        <v>11.88957761422312</v>
      </c>
      <c r="AA4405" s="16" t="n">
        <v>82.68042677201313</v>
      </c>
      <c r="AB4405" s="16" t="n">
        <v>2610</v>
      </c>
      <c r="AC4405" s="16" t="n">
        <v>4.782608695652174</v>
      </c>
      <c r="AD4405" s="16" t="n"/>
      <c r="AE4405" s="16" t="inlineStr">
        <is>
          <t>eps_hrvg</t>
        </is>
      </c>
    </row>
    <row r="4406">
      <c r="A4406" s="16" t="inlineStr">
        <is>
          <t>KF-M10-OFAT-0108</t>
        </is>
      </c>
      <c r="B4406" s="16" t="inlineStr">
        <is>
          <t>6.2</t>
        </is>
      </c>
      <c r="C4406" s="16" t="inlineStr">
        <is>
          <t>6.2b</t>
        </is>
      </c>
      <c r="D4406" s="16" t="inlineStr">
        <is>
          <t>una variable a la vez</t>
        </is>
      </c>
      <c r="E4406" s="16" t="inlineStr">
        <is>
          <t>KF-M10</t>
        </is>
      </c>
      <c r="F4406" s="16" t="inlineStr">
        <is>
          <t>KF-M10-OFAT</t>
        </is>
      </c>
      <c r="G4406" s="16" t="inlineStr">
        <is>
          <t>B14-OFAT</t>
        </is>
      </c>
      <c r="H4406" s="16" t="inlineStr">
        <is>
          <t>oat</t>
        </is>
      </c>
      <c r="I4406" s="16" t="inlineStr">
        <is>
          <t>KALINA</t>
        </is>
      </c>
      <c r="J4406" s="16" t="inlineStr">
        <is>
          <t>KALINA</t>
        </is>
      </c>
      <c r="K4406" s="16" t="b">
        <v>1</v>
      </c>
      <c r="L4406" s="16" t="b">
        <v>1</v>
      </c>
      <c r="M4406" s="16" t="b">
        <v>0</v>
      </c>
      <c r="N4406" s="16" t="b">
        <v>0</v>
      </c>
      <c r="O4406" s="16" t="n">
        <v>394.15</v>
      </c>
      <c r="P4406" s="16" t="n">
        <v>278.15</v>
      </c>
      <c r="Q4406" s="16" t="n">
        <v>3300</v>
      </c>
      <c r="R4406" s="16" t="n">
        <v>690</v>
      </c>
      <c r="S4406" s="16" t="n">
        <v>0.82</v>
      </c>
      <c r="T4406" s="16" t="n">
        <v>0.9</v>
      </c>
      <c r="U4406" s="16" t="n">
        <v>0.8</v>
      </c>
      <c r="V4406" s="16" t="n">
        <v>0.7</v>
      </c>
      <c r="W4406" s="16" t="n">
        <v>0.75</v>
      </c>
      <c r="X4406" s="16" t="n">
        <v>0.95</v>
      </c>
      <c r="Y4406" s="16" t="n">
        <v>283.15</v>
      </c>
      <c r="Z4406" s="16" t="n">
        <v>12.12013477638188</v>
      </c>
      <c r="AA4406" s="16" t="n">
        <v>91.19961068294656</v>
      </c>
      <c r="AB4406" s="16" t="n">
        <v>2610</v>
      </c>
      <c r="AC4406" s="16" t="n">
        <v>4.782608695652174</v>
      </c>
      <c r="AD4406" s="16" t="n"/>
      <c r="AE4406" s="16" t="inlineStr">
        <is>
          <t>eps_hrvg</t>
        </is>
      </c>
    </row>
    <row r="4407">
      <c r="A4407" s="16" t="inlineStr">
        <is>
          <t>KF-M10-OFAT-0109</t>
        </is>
      </c>
      <c r="B4407" s="16" t="inlineStr">
        <is>
          <t>6.2</t>
        </is>
      </c>
      <c r="C4407" s="16" t="inlineStr">
        <is>
          <t>6.2b</t>
        </is>
      </c>
      <c r="D4407" s="16" t="inlineStr">
        <is>
          <t>una variable a la vez</t>
        </is>
      </c>
      <c r="E4407" s="16" t="inlineStr">
        <is>
          <t>KF-M10</t>
        </is>
      </c>
      <c r="F4407" s="16" t="inlineStr">
        <is>
          <t>KF-M10-OFAT</t>
        </is>
      </c>
      <c r="G4407" s="16" t="inlineStr">
        <is>
          <t>B14-OFAT</t>
        </is>
      </c>
      <c r="H4407" s="16" t="inlineStr">
        <is>
          <t>oat</t>
        </is>
      </c>
      <c r="I4407" s="16" t="inlineStr">
        <is>
          <t>KALINA</t>
        </is>
      </c>
      <c r="J4407" s="16" t="inlineStr">
        <is>
          <t>KALINA</t>
        </is>
      </c>
      <c r="K4407" s="16" t="b">
        <v>1</v>
      </c>
      <c r="L4407" s="16" t="b">
        <v>1</v>
      </c>
      <c r="M4407" s="16" t="b">
        <v>0</v>
      </c>
      <c r="N4407" s="16" t="b">
        <v>0</v>
      </c>
      <c r="O4407" s="16" t="n">
        <v>394.15</v>
      </c>
      <c r="P4407" s="16" t="n">
        <v>278.15</v>
      </c>
      <c r="Q4407" s="16" t="n">
        <v>3300</v>
      </c>
      <c r="R4407" s="16" t="n">
        <v>690</v>
      </c>
      <c r="S4407" s="16" t="n">
        <v>0.82</v>
      </c>
      <c r="T4407" s="16" t="n">
        <v>0.9</v>
      </c>
      <c r="U4407" s="16" t="n">
        <v>0.8</v>
      </c>
      <c r="V4407" s="16" t="n">
        <v>0.6749999999999999</v>
      </c>
      <c r="W4407" s="16" t="n">
        <v>0.75</v>
      </c>
      <c r="X4407" s="16" t="n">
        <v>0.95</v>
      </c>
      <c r="Y4407" s="16" t="n">
        <v>283.15</v>
      </c>
      <c r="Z4407" s="16" t="n">
        <v>12.00740343945165</v>
      </c>
      <c r="AA4407" s="16" t="n">
        <v>86.92479729218384</v>
      </c>
      <c r="AB4407" s="16" t="n">
        <v>2610</v>
      </c>
      <c r="AC4407" s="16" t="n">
        <v>4.782608695652174</v>
      </c>
      <c r="AD4407" s="16" t="n"/>
      <c r="AE4407" s="16" t="inlineStr">
        <is>
          <t>eps_hrvg</t>
        </is>
      </c>
    </row>
    <row r="4408">
      <c r="A4408" s="16" t="inlineStr">
        <is>
          <t>KF-M10-OFAT-0110</t>
        </is>
      </c>
      <c r="B4408" s="16" t="inlineStr">
        <is>
          <t>6.2</t>
        </is>
      </c>
      <c r="C4408" s="16" t="inlineStr">
        <is>
          <t>6.2b</t>
        </is>
      </c>
      <c r="D4408" s="16" t="inlineStr">
        <is>
          <t>una variable a la vez</t>
        </is>
      </c>
      <c r="E4408" s="16" t="inlineStr">
        <is>
          <t>KF-M10</t>
        </is>
      </c>
      <c r="F4408" s="16" t="inlineStr">
        <is>
          <t>KF-M10-OFAT</t>
        </is>
      </c>
      <c r="G4408" s="16" t="inlineStr">
        <is>
          <t>B14-OFAT</t>
        </is>
      </c>
      <c r="H4408" s="16" t="inlineStr">
        <is>
          <t>oat</t>
        </is>
      </c>
      <c r="I4408" s="16" t="inlineStr">
        <is>
          <t>KALINA</t>
        </is>
      </c>
      <c r="J4408" s="16" t="inlineStr">
        <is>
          <t>KALINA</t>
        </is>
      </c>
      <c r="K4408" s="16" t="b">
        <v>1</v>
      </c>
      <c r="L4408" s="16" t="b">
        <v>1</v>
      </c>
      <c r="M4408" s="16" t="b">
        <v>0</v>
      </c>
      <c r="N4408" s="16" t="b">
        <v>0</v>
      </c>
      <c r="O4408" s="16" t="n">
        <v>394.15</v>
      </c>
      <c r="P4408" s="16" t="n">
        <v>278.15</v>
      </c>
      <c r="Q4408" s="16" t="n">
        <v>3300</v>
      </c>
      <c r="R4408" s="16" t="n">
        <v>690</v>
      </c>
      <c r="S4408" s="16" t="n">
        <v>0.82</v>
      </c>
      <c r="T4408" s="16" t="n">
        <v>0.9</v>
      </c>
      <c r="U4408" s="16" t="n">
        <v>0.8</v>
      </c>
      <c r="V4408" s="16" t="n">
        <v>0.725</v>
      </c>
      <c r="W4408" s="16" t="n">
        <v>0.75</v>
      </c>
      <c r="X4408" s="16" t="n">
        <v>0.95</v>
      </c>
      <c r="Y4408" s="16" t="n">
        <v>283.15</v>
      </c>
      <c r="Z4408" s="16" t="n">
        <v>12.22880800024798</v>
      </c>
      <c r="AA4408" s="16" t="n">
        <v>95.50714040151659</v>
      </c>
      <c r="AB4408" s="16" t="n">
        <v>2610</v>
      </c>
      <c r="AC4408" s="16" t="n">
        <v>4.782608695652174</v>
      </c>
      <c r="AD4408" s="16" t="n"/>
      <c r="AE4408" s="16" t="inlineStr">
        <is>
          <t>eps_hrvg</t>
        </is>
      </c>
    </row>
    <row r="4409">
      <c r="A4409" s="16" t="inlineStr">
        <is>
          <t>KF-M10-OFAT-0111</t>
        </is>
      </c>
      <c r="B4409" s="16" t="inlineStr">
        <is>
          <t>6.2</t>
        </is>
      </c>
      <c r="C4409" s="16" t="inlineStr">
        <is>
          <t>6.2b</t>
        </is>
      </c>
      <c r="D4409" s="16" t="inlineStr">
        <is>
          <t>una variable a la vez</t>
        </is>
      </c>
      <c r="E4409" s="16" t="inlineStr">
        <is>
          <t>KF-M10</t>
        </is>
      </c>
      <c r="F4409" s="16" t="inlineStr">
        <is>
          <t>KF-M10-OFAT</t>
        </is>
      </c>
      <c r="G4409" s="16" t="inlineStr">
        <is>
          <t>B14-OFAT</t>
        </is>
      </c>
      <c r="H4409" s="16" t="inlineStr">
        <is>
          <t>oat</t>
        </is>
      </c>
      <c r="I4409" s="16" t="inlineStr">
        <is>
          <t>KALINA</t>
        </is>
      </c>
      <c r="J4409" s="16" t="inlineStr">
        <is>
          <t>KALINA</t>
        </is>
      </c>
      <c r="K4409" s="16" t="b">
        <v>1</v>
      </c>
      <c r="L4409" s="16" t="b">
        <v>1</v>
      </c>
      <c r="M4409" s="16" t="b">
        <v>0</v>
      </c>
      <c r="N4409" s="16" t="b">
        <v>0</v>
      </c>
      <c r="O4409" s="16" t="n">
        <v>394.15</v>
      </c>
      <c r="P4409" s="16" t="n">
        <v>278.15</v>
      </c>
      <c r="Q4409" s="16" t="n">
        <v>3300</v>
      </c>
      <c r="R4409" s="16" t="n">
        <v>690</v>
      </c>
      <c r="S4409" s="16" t="n">
        <v>0.82</v>
      </c>
      <c r="T4409" s="16" t="n">
        <v>0.9</v>
      </c>
      <c r="U4409" s="16" t="n">
        <v>0.8</v>
      </c>
      <c r="V4409" s="16" t="n">
        <v>0.75</v>
      </c>
      <c r="W4409" s="16" t="n">
        <v>0.75</v>
      </c>
      <c r="X4409" s="16" t="n">
        <v>0.95</v>
      </c>
      <c r="Y4409" s="16" t="n">
        <v>283.15</v>
      </c>
      <c r="Z4409" s="16" t="n">
        <v>12.3342750395452</v>
      </c>
      <c r="AA4409" s="16" t="n">
        <v>99.84976587515524</v>
      </c>
      <c r="AB4409" s="16" t="n">
        <v>2610</v>
      </c>
      <c r="AC4409" s="16" t="n">
        <v>4.782608695652174</v>
      </c>
      <c r="AD4409" s="16" t="n"/>
      <c r="AE4409" s="16" t="inlineStr">
        <is>
          <t>eps_hrvg</t>
        </is>
      </c>
    </row>
    <row r="4410">
      <c r="A4410" s="16" t="inlineStr">
        <is>
          <t>KF-M10-OFAT-0112</t>
        </is>
      </c>
      <c r="B4410" s="16" t="inlineStr">
        <is>
          <t>6.2</t>
        </is>
      </c>
      <c r="C4410" s="16" t="inlineStr">
        <is>
          <t>6.2b</t>
        </is>
      </c>
      <c r="D4410" s="16" t="inlineStr">
        <is>
          <t>una variable a la vez</t>
        </is>
      </c>
      <c r="E4410" s="16" t="inlineStr">
        <is>
          <t>KF-M10</t>
        </is>
      </c>
      <c r="F4410" s="16" t="inlineStr">
        <is>
          <t>KF-M10-OFAT</t>
        </is>
      </c>
      <c r="G4410" s="16" t="inlineStr">
        <is>
          <t>B14-OFAT</t>
        </is>
      </c>
      <c r="H4410" s="16" t="inlineStr">
        <is>
          <t>oat</t>
        </is>
      </c>
      <c r="I4410" s="16" t="inlineStr">
        <is>
          <t>KALINA</t>
        </is>
      </c>
      <c r="J4410" s="16" t="inlineStr">
        <is>
          <t>KALINA</t>
        </is>
      </c>
      <c r="K4410" s="16" t="b">
        <v>1</v>
      </c>
      <c r="L4410" s="16" t="b">
        <v>1</v>
      </c>
      <c r="M4410" s="16" t="b">
        <v>0</v>
      </c>
      <c r="N4410" s="16" t="b">
        <v>0</v>
      </c>
      <c r="O4410" s="16" t="n">
        <v>394.15</v>
      </c>
      <c r="P4410" s="16" t="n">
        <v>278.15</v>
      </c>
      <c r="Q4410" s="16" t="n">
        <v>3300</v>
      </c>
      <c r="R4410" s="16" t="n">
        <v>690</v>
      </c>
      <c r="S4410" s="16" t="n">
        <v>0.82</v>
      </c>
      <c r="T4410" s="16" t="n">
        <v>0.9</v>
      </c>
      <c r="U4410" s="16" t="n">
        <v>0.8</v>
      </c>
      <c r="V4410" s="16" t="n">
        <v>0.7749999999999999</v>
      </c>
      <c r="W4410" s="16" t="n">
        <v>0.75</v>
      </c>
      <c r="X4410" s="16" t="n">
        <v>0.95</v>
      </c>
      <c r="Y4410" s="16" t="n">
        <v>283.15</v>
      </c>
      <c r="Z4410" s="16" t="n">
        <v>12.43716394587433</v>
      </c>
      <c r="AA4410" s="16" t="n">
        <v>104.2294714463874</v>
      </c>
      <c r="AB4410" s="16" t="n">
        <v>2610</v>
      </c>
      <c r="AC4410" s="16" t="n">
        <v>4.782608695652174</v>
      </c>
      <c r="AD4410" s="16" t="n"/>
      <c r="AE4410" s="16" t="inlineStr">
        <is>
          <t>eps_hrvg</t>
        </is>
      </c>
    </row>
    <row r="4411">
      <c r="A4411" s="16" t="inlineStr">
        <is>
          <t>KF-M10-OFAT-0113</t>
        </is>
      </c>
      <c r="B4411" s="16" t="inlineStr">
        <is>
          <t>6.2</t>
        </is>
      </c>
      <c r="C4411" s="16" t="inlineStr">
        <is>
          <t>6.2b</t>
        </is>
      </c>
      <c r="D4411" s="16" t="inlineStr">
        <is>
          <t>una variable a la vez</t>
        </is>
      </c>
      <c r="E4411" s="16" t="inlineStr">
        <is>
          <t>KF-M10</t>
        </is>
      </c>
      <c r="F4411" s="16" t="inlineStr">
        <is>
          <t>KF-M10-OFAT</t>
        </is>
      </c>
      <c r="G4411" s="16" t="inlineStr">
        <is>
          <t>B14-OFAT</t>
        </is>
      </c>
      <c r="H4411" s="16" t="inlineStr">
        <is>
          <t>oat</t>
        </is>
      </c>
      <c r="I4411" s="16" t="inlineStr">
        <is>
          <t>KALINA</t>
        </is>
      </c>
      <c r="J4411" s="16" t="inlineStr">
        <is>
          <t>KALINA</t>
        </is>
      </c>
      <c r="K4411" s="16" t="b">
        <v>1</v>
      </c>
      <c r="L4411" s="16" t="b">
        <v>1</v>
      </c>
      <c r="M4411" s="16" t="b">
        <v>0</v>
      </c>
      <c r="N4411" s="16" t="b">
        <v>0</v>
      </c>
      <c r="O4411" s="16" t="n">
        <v>394.15</v>
      </c>
      <c r="P4411" s="16" t="n">
        <v>278.15</v>
      </c>
      <c r="Q4411" s="16" t="n">
        <v>3300</v>
      </c>
      <c r="R4411" s="16" t="n">
        <v>690</v>
      </c>
      <c r="S4411" s="16" t="n">
        <v>0.82</v>
      </c>
      <c r="T4411" s="16" t="n">
        <v>0.9</v>
      </c>
      <c r="U4411" s="16" t="n">
        <v>0.8</v>
      </c>
      <c r="V4411" s="16" t="n">
        <v>0.7999999999999999</v>
      </c>
      <c r="W4411" s="16" t="n">
        <v>0.75</v>
      </c>
      <c r="X4411" s="16" t="n">
        <v>0.95</v>
      </c>
      <c r="Y4411" s="16" t="n">
        <v>283.15</v>
      </c>
      <c r="Z4411" s="16" t="n">
        <v>12.41935628578808</v>
      </c>
      <c r="AA4411" s="16" t="n">
        <v>107.5431211181876</v>
      </c>
      <c r="AB4411" s="16" t="n">
        <v>2610</v>
      </c>
      <c r="AC4411" s="16" t="n">
        <v>4.782608695652174</v>
      </c>
      <c r="AD4411" s="16" t="n"/>
      <c r="AE4411" s="16" t="inlineStr">
        <is>
          <t>eps_hrvg</t>
        </is>
      </c>
    </row>
    <row r="4412">
      <c r="A4412" s="16" t="inlineStr">
        <is>
          <t>KF-M10-OFAT-0114</t>
        </is>
      </c>
      <c r="B4412" s="16" t="inlineStr">
        <is>
          <t>6.2</t>
        </is>
      </c>
      <c r="C4412" s="16" t="inlineStr">
        <is>
          <t>6.2b</t>
        </is>
      </c>
      <c r="D4412" s="16" t="inlineStr">
        <is>
          <t>una variable a la vez</t>
        </is>
      </c>
      <c r="E4412" s="16" t="inlineStr">
        <is>
          <t>KF-M10</t>
        </is>
      </c>
      <c r="F4412" s="16" t="inlineStr">
        <is>
          <t>KF-M10-OFAT</t>
        </is>
      </c>
      <c r="G4412" s="16" t="inlineStr">
        <is>
          <t>B14-OFAT</t>
        </is>
      </c>
      <c r="H4412" s="16" t="inlineStr">
        <is>
          <t>oat</t>
        </is>
      </c>
      <c r="I4412" s="16" t="inlineStr">
        <is>
          <t>KALINA</t>
        </is>
      </c>
      <c r="J4412" s="16" t="inlineStr">
        <is>
          <t>KALINA</t>
        </is>
      </c>
      <c r="K4412" s="16" t="b">
        <v>1</v>
      </c>
      <c r="L4412" s="16" t="b">
        <v>1</v>
      </c>
      <c r="M4412" s="16" t="b">
        <v>0</v>
      </c>
      <c r="N4412" s="16" t="b">
        <v>0</v>
      </c>
      <c r="O4412" s="16" t="n">
        <v>394.15</v>
      </c>
      <c r="P4412" s="16" t="n">
        <v>278.15</v>
      </c>
      <c r="Q4412" s="16" t="n">
        <v>3300</v>
      </c>
      <c r="R4412" s="16" t="n">
        <v>690</v>
      </c>
      <c r="S4412" s="16" t="n">
        <v>0.82</v>
      </c>
      <c r="T4412" s="16" t="n">
        <v>0.9</v>
      </c>
      <c r="U4412" s="16" t="n">
        <v>0.8</v>
      </c>
      <c r="V4412" s="16" t="n">
        <v>0.825</v>
      </c>
      <c r="W4412" s="16" t="n">
        <v>0.75</v>
      </c>
      <c r="X4412" s="16" t="n">
        <v>0.95</v>
      </c>
      <c r="Y4412" s="16" t="n">
        <v>283.15</v>
      </c>
      <c r="Z4412" s="16" t="n">
        <v>12.63616400716115</v>
      </c>
      <c r="AA4412" s="16" t="n">
        <v>113.1013033321016</v>
      </c>
      <c r="AB4412" s="16" t="n">
        <v>2610</v>
      </c>
      <c r="AC4412" s="16" t="n">
        <v>4.782608695652174</v>
      </c>
      <c r="AD4412" s="16" t="n"/>
      <c r="AE4412" s="16" t="inlineStr">
        <is>
          <t>eps_hrvg</t>
        </is>
      </c>
    </row>
    <row r="4413">
      <c r="A4413" s="16" t="inlineStr">
        <is>
          <t>KF-M10-OFAT-0115</t>
        </is>
      </c>
      <c r="B4413" s="16" t="inlineStr">
        <is>
          <t>6.2</t>
        </is>
      </c>
      <c r="C4413" s="16" t="inlineStr">
        <is>
          <t>6.2b</t>
        </is>
      </c>
      <c r="D4413" s="16" t="inlineStr">
        <is>
          <t>una variable a la vez</t>
        </is>
      </c>
      <c r="E4413" s="16" t="inlineStr">
        <is>
          <t>KF-M10</t>
        </is>
      </c>
      <c r="F4413" s="16" t="inlineStr">
        <is>
          <t>KF-M10-OFAT</t>
        </is>
      </c>
      <c r="G4413" s="16" t="inlineStr">
        <is>
          <t>B14-OFAT</t>
        </is>
      </c>
      <c r="H4413" s="16" t="inlineStr">
        <is>
          <t>oat</t>
        </is>
      </c>
      <c r="I4413" s="16" t="inlineStr">
        <is>
          <t>KALINA</t>
        </is>
      </c>
      <c r="J4413" s="16" t="inlineStr">
        <is>
          <t>KALINA</t>
        </is>
      </c>
      <c r="K4413" s="16" t="b">
        <v>1</v>
      </c>
      <c r="L4413" s="16" t="b">
        <v>1</v>
      </c>
      <c r="M4413" s="16" t="b">
        <v>0</v>
      </c>
      <c r="N4413" s="16" t="b">
        <v>0</v>
      </c>
      <c r="O4413" s="16" t="n">
        <v>394.15</v>
      </c>
      <c r="P4413" s="16" t="n">
        <v>278.15</v>
      </c>
      <c r="Q4413" s="16" t="n">
        <v>3300</v>
      </c>
      <c r="R4413" s="16" t="n">
        <v>690</v>
      </c>
      <c r="S4413" s="16" t="n">
        <v>0.82</v>
      </c>
      <c r="T4413" s="16" t="n">
        <v>0.9</v>
      </c>
      <c r="U4413" s="16" t="n">
        <v>0.8</v>
      </c>
      <c r="V4413" s="16" t="n">
        <v>0.85</v>
      </c>
      <c r="W4413" s="16" t="n">
        <v>0.75</v>
      </c>
      <c r="X4413" s="16" t="n">
        <v>0.95</v>
      </c>
      <c r="Y4413" s="16" t="n">
        <v>283.15</v>
      </c>
      <c r="Z4413" s="16" t="n">
        <v>12.73186450108127</v>
      </c>
      <c r="AA4413" s="16" t="n">
        <v>117.5882909120357</v>
      </c>
      <c r="AB4413" s="16" t="n">
        <v>2610</v>
      </c>
      <c r="AC4413" s="16" t="n">
        <v>4.782608695652174</v>
      </c>
      <c r="AD4413" s="16" t="n"/>
      <c r="AE4413" s="16" t="inlineStr">
        <is>
          <t>eps_hrvg</t>
        </is>
      </c>
    </row>
    <row r="4414">
      <c r="A4414" s="16" t="inlineStr">
        <is>
          <t>KF-M10-OFAT-0116</t>
        </is>
      </c>
      <c r="B4414" s="16" t="inlineStr">
        <is>
          <t>6.2</t>
        </is>
      </c>
      <c r="C4414" s="16" t="inlineStr">
        <is>
          <t>6.2b</t>
        </is>
      </c>
      <c r="D4414" s="16" t="inlineStr">
        <is>
          <t>una variable a la vez</t>
        </is>
      </c>
      <c r="E4414" s="16" t="inlineStr">
        <is>
          <t>KF-M10</t>
        </is>
      </c>
      <c r="F4414" s="16" t="inlineStr">
        <is>
          <t>KF-M10-OFAT</t>
        </is>
      </c>
      <c r="G4414" s="16" t="inlineStr">
        <is>
          <t>B14-OFAT</t>
        </is>
      </c>
      <c r="H4414" s="16" t="inlineStr">
        <is>
          <t>oat</t>
        </is>
      </c>
      <c r="I4414" s="16" t="inlineStr">
        <is>
          <t>KALINA</t>
        </is>
      </c>
      <c r="J4414" s="16" t="inlineStr">
        <is>
          <t>KALINA</t>
        </is>
      </c>
      <c r="K4414" s="16" t="b">
        <v>1</v>
      </c>
      <c r="L4414" s="16" t="b">
        <v>1</v>
      </c>
      <c r="M4414" s="16" t="b">
        <v>0</v>
      </c>
      <c r="N4414" s="16" t="b">
        <v>0</v>
      </c>
      <c r="O4414" s="16" t="n">
        <v>394.15</v>
      </c>
      <c r="P4414" s="16" t="n">
        <v>278.15</v>
      </c>
      <c r="Q4414" s="16" t="n">
        <v>3300</v>
      </c>
      <c r="R4414" s="16" t="n">
        <v>690</v>
      </c>
      <c r="S4414" s="16" t="n">
        <v>0.82</v>
      </c>
      <c r="T4414" s="16" t="n">
        <v>0.9</v>
      </c>
      <c r="U4414" s="16" t="n">
        <v>0.8</v>
      </c>
      <c r="V4414" s="16" t="n">
        <v>0.875</v>
      </c>
      <c r="W4414" s="16" t="n">
        <v>0.75</v>
      </c>
      <c r="X4414" s="16" t="n">
        <v>0.95</v>
      </c>
      <c r="Y4414" s="16" t="n">
        <v>283.15</v>
      </c>
      <c r="Z4414" s="16" t="n">
        <v>12.82416714500029</v>
      </c>
      <c r="AA4414" s="16" t="n">
        <v>122.1011785351356</v>
      </c>
      <c r="AB4414" s="16" t="n">
        <v>2610</v>
      </c>
      <c r="AC4414" s="16" t="n">
        <v>4.782608695652174</v>
      </c>
      <c r="AD4414" s="16" t="n"/>
      <c r="AE4414" s="16" t="inlineStr">
        <is>
          <t>eps_hrvg</t>
        </is>
      </c>
    </row>
    <row r="4415">
      <c r="A4415" s="16" t="inlineStr">
        <is>
          <t>KF-M10-OFAT-0117</t>
        </is>
      </c>
      <c r="B4415" s="16" t="inlineStr">
        <is>
          <t>6.2</t>
        </is>
      </c>
      <c r="C4415" s="16" t="inlineStr">
        <is>
          <t>6.2b</t>
        </is>
      </c>
      <c r="D4415" s="16" t="inlineStr">
        <is>
          <t>una variable a la vez</t>
        </is>
      </c>
      <c r="E4415" s="16" t="inlineStr">
        <is>
          <t>KF-M10</t>
        </is>
      </c>
      <c r="F4415" s="16" t="inlineStr">
        <is>
          <t>KF-M10-OFAT</t>
        </is>
      </c>
      <c r="G4415" s="16" t="inlineStr">
        <is>
          <t>B14-OFAT</t>
        </is>
      </c>
      <c r="H4415" s="16" t="inlineStr">
        <is>
          <t>oat</t>
        </is>
      </c>
      <c r="I4415" s="16" t="inlineStr">
        <is>
          <t>KALINA</t>
        </is>
      </c>
      <c r="J4415" s="16" t="inlineStr">
        <is>
          <t>KALINA</t>
        </is>
      </c>
      <c r="K4415" s="16" t="b">
        <v>1</v>
      </c>
      <c r="L4415" s="16" t="b">
        <v>1</v>
      </c>
      <c r="M4415" s="16" t="b">
        <v>0</v>
      </c>
      <c r="N4415" s="16" t="b">
        <v>0</v>
      </c>
      <c r="O4415" s="16" t="n">
        <v>394.15</v>
      </c>
      <c r="P4415" s="16" t="n">
        <v>278.15</v>
      </c>
      <c r="Q4415" s="16" t="n">
        <v>3300</v>
      </c>
      <c r="R4415" s="16" t="n">
        <v>690</v>
      </c>
      <c r="S4415" s="16" t="n">
        <v>0.82</v>
      </c>
      <c r="T4415" s="16" t="n">
        <v>0.9</v>
      </c>
      <c r="U4415" s="16" t="n">
        <v>0.8</v>
      </c>
      <c r="V4415" s="16" t="n">
        <v>0.8999999999999999</v>
      </c>
      <c r="W4415" s="16" t="n">
        <v>0.75</v>
      </c>
      <c r="X4415" s="16" t="n">
        <v>0.95</v>
      </c>
      <c r="Y4415" s="16" t="n">
        <v>283.15</v>
      </c>
      <c r="Z4415" s="16" t="n">
        <v>12.91211144795722</v>
      </c>
      <c r="AA4415" s="16" t="n">
        <v>126.630745784219</v>
      </c>
      <c r="AB4415" s="16" t="n">
        <v>2610</v>
      </c>
      <c r="AC4415" s="16" t="n">
        <v>4.782608695652174</v>
      </c>
      <c r="AD4415" s="16" t="n"/>
      <c r="AE4415" s="16" t="inlineStr">
        <is>
          <t>eps_hrvg</t>
        </is>
      </c>
    </row>
    <row r="4416">
      <c r="A4416" s="16" t="inlineStr">
        <is>
          <t>KF-M10-OFAT-0118</t>
        </is>
      </c>
      <c r="B4416" s="16" t="inlineStr">
        <is>
          <t>6.2</t>
        </is>
      </c>
      <c r="C4416" s="16" t="inlineStr">
        <is>
          <t>6.2b</t>
        </is>
      </c>
      <c r="D4416" s="16" t="inlineStr">
        <is>
          <t>una variable a la vez</t>
        </is>
      </c>
      <c r="E4416" s="16" t="inlineStr">
        <is>
          <t>KF-M10</t>
        </is>
      </c>
      <c r="F4416" s="16" t="inlineStr">
        <is>
          <t>KF-M10-OFAT</t>
        </is>
      </c>
      <c r="G4416" s="16" t="inlineStr">
        <is>
          <t>B14-OFAT</t>
        </is>
      </c>
      <c r="H4416" s="16" t="inlineStr">
        <is>
          <t>oat</t>
        </is>
      </c>
      <c r="I4416" s="16" t="inlineStr">
        <is>
          <t>KALINA</t>
        </is>
      </c>
      <c r="J4416" s="16" t="inlineStr">
        <is>
          <t>KALINA</t>
        </is>
      </c>
      <c r="K4416" s="16" t="b">
        <v>1</v>
      </c>
      <c r="L4416" s="16" t="b">
        <v>1</v>
      </c>
      <c r="M4416" s="16" t="b">
        <v>0</v>
      </c>
      <c r="N4416" s="16" t="b">
        <v>0</v>
      </c>
      <c r="O4416" s="16" t="n">
        <v>394.15</v>
      </c>
      <c r="P4416" s="16" t="n">
        <v>278.15</v>
      </c>
      <c r="Q4416" s="16" t="n">
        <v>3300</v>
      </c>
      <c r="R4416" s="16" t="n">
        <v>690</v>
      </c>
      <c r="S4416" s="16" t="n">
        <v>0.82</v>
      </c>
      <c r="T4416" s="16" t="n">
        <v>0.9</v>
      </c>
      <c r="U4416" s="16" t="n">
        <v>0.8</v>
      </c>
      <c r="V4416" s="16" t="n">
        <v>0.925</v>
      </c>
      <c r="W4416" s="16" t="n">
        <v>0.75</v>
      </c>
      <c r="X4416" s="16" t="n">
        <v>0.95</v>
      </c>
      <c r="Y4416" s="16" t="n">
        <v>283.15</v>
      </c>
      <c r="Z4416" s="16" t="n">
        <v>12.99465453845197</v>
      </c>
      <c r="AA4416" s="16" t="n">
        <v>131.1664348233837</v>
      </c>
      <c r="AB4416" s="16" t="n">
        <v>2610</v>
      </c>
      <c r="AC4416" s="16" t="n">
        <v>4.782608695652174</v>
      </c>
      <c r="AD4416" s="16" t="n"/>
      <c r="AE4416" s="16" t="inlineStr">
        <is>
          <t>eps_hrvg</t>
        </is>
      </c>
    </row>
    <row r="4417">
      <c r="A4417" s="16" t="inlineStr">
        <is>
          <t>KF-M10-OFAT-0119</t>
        </is>
      </c>
      <c r="B4417" s="16" t="inlineStr">
        <is>
          <t>6.2</t>
        </is>
      </c>
      <c r="C4417" s="16" t="inlineStr">
        <is>
          <t>6.2b</t>
        </is>
      </c>
      <c r="D4417" s="16" t="inlineStr">
        <is>
          <t>una variable a la vez</t>
        </is>
      </c>
      <c r="E4417" s="16" t="inlineStr">
        <is>
          <t>KF-M10</t>
        </is>
      </c>
      <c r="F4417" s="16" t="inlineStr">
        <is>
          <t>KF-M10-OFAT</t>
        </is>
      </c>
      <c r="G4417" s="16" t="inlineStr">
        <is>
          <t>B14-OFAT</t>
        </is>
      </c>
      <c r="H4417" s="16" t="inlineStr">
        <is>
          <t>oat</t>
        </is>
      </c>
      <c r="I4417" s="16" t="inlineStr">
        <is>
          <t>CORREGIBLE</t>
        </is>
      </c>
      <c r="J4417" s="16" t="inlineStr">
        <is>
          <t>CORREGIBLE</t>
        </is>
      </c>
      <c r="K4417" s="16" t="b">
        <v>1</v>
      </c>
      <c r="L4417" s="16" t="b">
        <v>0</v>
      </c>
      <c r="M4417" s="16" t="b">
        <v>0</v>
      </c>
      <c r="N4417" s="16" t="b">
        <v>0</v>
      </c>
      <c r="O4417" s="16" t="n">
        <v>394.15</v>
      </c>
      <c r="P4417" s="16" t="n">
        <v>278.15</v>
      </c>
      <c r="Q4417" s="16" t="n">
        <v>3300</v>
      </c>
      <c r="R4417" s="16" t="n">
        <v>690</v>
      </c>
      <c r="S4417" s="16" t="n">
        <v>0.82</v>
      </c>
      <c r="T4417" s="16" t="n">
        <v>0.9</v>
      </c>
      <c r="U4417" s="16" t="n">
        <v>0.8</v>
      </c>
      <c r="V4417" s="16" t="n">
        <v>0.95</v>
      </c>
      <c r="W4417" s="16" t="n">
        <v>0.75</v>
      </c>
      <c r="X4417" s="16" t="n">
        <v>0.95</v>
      </c>
      <c r="Y4417" s="16" t="n">
        <v>283.15</v>
      </c>
      <c r="Z4417" s="16" t="n">
        <v>13.07082096746137</v>
      </c>
      <c r="AA4417" s="16" t="n">
        <v>135.6975838708267</v>
      </c>
      <c r="AB4417" s="16" t="n">
        <v>2610</v>
      </c>
      <c r="AC4417" s="16" t="n">
        <v>4.782608695652174</v>
      </c>
      <c r="AD4417" s="16" t="inlineStr">
        <is>
          <t>O2</t>
        </is>
      </c>
      <c r="AE4417" s="16" t="inlineStr">
        <is>
          <t>eps_hrvg</t>
        </is>
      </c>
    </row>
    <row r="4418">
      <c r="A4418" s="16" t="inlineStr">
        <is>
          <t>KF-M10-OFAT-0120</t>
        </is>
      </c>
      <c r="B4418" s="16" t="inlineStr">
        <is>
          <t>6.2</t>
        </is>
      </c>
      <c r="C4418" s="16" t="inlineStr">
        <is>
          <t>6.2b</t>
        </is>
      </c>
      <c r="D4418" s="16" t="inlineStr">
        <is>
          <t>una variable a la vez</t>
        </is>
      </c>
      <c r="E4418" s="16" t="inlineStr">
        <is>
          <t>KF-M10</t>
        </is>
      </c>
      <c r="F4418" s="16" t="inlineStr">
        <is>
          <t>KF-M10-OFAT</t>
        </is>
      </c>
      <c r="G4418" s="16" t="inlineStr">
        <is>
          <t>B14-OFAT</t>
        </is>
      </c>
      <c r="H4418" s="16" t="inlineStr">
        <is>
          <t>oat</t>
        </is>
      </c>
      <c r="I4418" s="16" t="inlineStr">
        <is>
          <t>KALINA</t>
        </is>
      </c>
      <c r="J4418" s="16" t="inlineStr">
        <is>
          <t>KALINA</t>
        </is>
      </c>
      <c r="K4418" s="16" t="b">
        <v>1</v>
      </c>
      <c r="L4418" s="16" t="b">
        <v>1</v>
      </c>
      <c r="M4418" s="16" t="b">
        <v>0</v>
      </c>
      <c r="N4418" s="16" t="b">
        <v>0</v>
      </c>
      <c r="O4418" s="16" t="n">
        <v>394.15</v>
      </c>
      <c r="P4418" s="16" t="n">
        <v>278.15</v>
      </c>
      <c r="Q4418" s="16" t="n">
        <v>3300</v>
      </c>
      <c r="R4418" s="16" t="n">
        <v>690</v>
      </c>
      <c r="S4418" s="16" t="n">
        <v>0.82</v>
      </c>
      <c r="T4418" s="16" t="n">
        <v>0.9</v>
      </c>
      <c r="U4418" s="16" t="n">
        <v>0.8</v>
      </c>
      <c r="V4418" s="16" t="n">
        <v>0.85</v>
      </c>
      <c r="W4418" s="16" t="n">
        <v>0.4</v>
      </c>
      <c r="X4418" s="16" t="n">
        <v>0.95</v>
      </c>
      <c r="Y4418" s="16" t="n">
        <v>283.15</v>
      </c>
      <c r="Z4418" s="16" t="n">
        <v>11.94067165369184</v>
      </c>
      <c r="AA4418" s="16" t="n">
        <v>116.1366797191823</v>
      </c>
      <c r="AB4418" s="16" t="n">
        <v>2610</v>
      </c>
      <c r="AC4418" s="16" t="n">
        <v>4.782608695652174</v>
      </c>
      <c r="AD4418" s="16" t="n"/>
      <c r="AE4418" s="16" t="inlineStr">
        <is>
          <t>eps_reg</t>
        </is>
      </c>
    </row>
    <row r="4419">
      <c r="A4419" s="16" t="inlineStr">
        <is>
          <t>KF-M10-OFAT-0121</t>
        </is>
      </c>
      <c r="B4419" s="16" t="inlineStr">
        <is>
          <t>6.2</t>
        </is>
      </c>
      <c r="C4419" s="16" t="inlineStr">
        <is>
          <t>6.2b</t>
        </is>
      </c>
      <c r="D4419" s="16" t="inlineStr">
        <is>
          <t>una variable a la vez</t>
        </is>
      </c>
      <c r="E4419" s="16" t="inlineStr">
        <is>
          <t>KF-M10</t>
        </is>
      </c>
      <c r="F4419" s="16" t="inlineStr">
        <is>
          <t>KF-M10-OFAT</t>
        </is>
      </c>
      <c r="G4419" s="16" t="inlineStr">
        <is>
          <t>B14-OFAT</t>
        </is>
      </c>
      <c r="H4419" s="16" t="inlineStr">
        <is>
          <t>oat</t>
        </is>
      </c>
      <c r="I4419" s="16" t="inlineStr">
        <is>
          <t>KALINA</t>
        </is>
      </c>
      <c r="J4419" s="16" t="inlineStr">
        <is>
          <t>KALINA</t>
        </is>
      </c>
      <c r="K4419" s="16" t="b">
        <v>1</v>
      </c>
      <c r="L4419" s="16" t="b">
        <v>1</v>
      </c>
      <c r="M4419" s="16" t="b">
        <v>0</v>
      </c>
      <c r="N4419" s="16" t="b">
        <v>0</v>
      </c>
      <c r="O4419" s="16" t="n">
        <v>394.15</v>
      </c>
      <c r="P4419" s="16" t="n">
        <v>278.15</v>
      </c>
      <c r="Q4419" s="16" t="n">
        <v>3300</v>
      </c>
      <c r="R4419" s="16" t="n">
        <v>690</v>
      </c>
      <c r="S4419" s="16" t="n">
        <v>0.82</v>
      </c>
      <c r="T4419" s="16" t="n">
        <v>0.9</v>
      </c>
      <c r="U4419" s="16" t="n">
        <v>0.8</v>
      </c>
      <c r="V4419" s="16" t="n">
        <v>0.85</v>
      </c>
      <c r="W4419" s="16" t="n">
        <v>0.4392857142857143</v>
      </c>
      <c r="X4419" s="16" t="n">
        <v>0.95</v>
      </c>
      <c r="Y4419" s="16" t="n">
        <v>283.15</v>
      </c>
      <c r="Z4419" s="16" t="n">
        <v>12.02549949800052</v>
      </c>
      <c r="AA4419" s="16" t="n">
        <v>116.2995998333134</v>
      </c>
      <c r="AB4419" s="16" t="n">
        <v>2610</v>
      </c>
      <c r="AC4419" s="16" t="n">
        <v>4.782608695652174</v>
      </c>
      <c r="AD4419" s="16" t="n"/>
      <c r="AE4419" s="16" t="inlineStr">
        <is>
          <t>eps_reg</t>
        </is>
      </c>
    </row>
    <row r="4420">
      <c r="A4420" s="16" t="inlineStr">
        <is>
          <t>KF-M10-OFAT-0122</t>
        </is>
      </c>
      <c r="B4420" s="16" t="inlineStr">
        <is>
          <t>6.2</t>
        </is>
      </c>
      <c r="C4420" s="16" t="inlineStr">
        <is>
          <t>6.2b</t>
        </is>
      </c>
      <c r="D4420" s="16" t="inlineStr">
        <is>
          <t>una variable a la vez</t>
        </is>
      </c>
      <c r="E4420" s="16" t="inlineStr">
        <is>
          <t>KF-M10</t>
        </is>
      </c>
      <c r="F4420" s="16" t="inlineStr">
        <is>
          <t>KF-M10-OFAT</t>
        </is>
      </c>
      <c r="G4420" s="16" t="inlineStr">
        <is>
          <t>B14-OFAT</t>
        </is>
      </c>
      <c r="H4420" s="16" t="inlineStr">
        <is>
          <t>oat</t>
        </is>
      </c>
      <c r="I4420" s="16" t="inlineStr">
        <is>
          <t>KALINA</t>
        </is>
      </c>
      <c r="J4420" s="16" t="inlineStr">
        <is>
          <t>KALINA</t>
        </is>
      </c>
      <c r="K4420" s="16" t="b">
        <v>1</v>
      </c>
      <c r="L4420" s="16" t="b">
        <v>1</v>
      </c>
      <c r="M4420" s="16" t="b">
        <v>0</v>
      </c>
      <c r="N4420" s="16" t="b">
        <v>0</v>
      </c>
      <c r="O4420" s="16" t="n">
        <v>394.15</v>
      </c>
      <c r="P4420" s="16" t="n">
        <v>278.15</v>
      </c>
      <c r="Q4420" s="16" t="n">
        <v>3300</v>
      </c>
      <c r="R4420" s="16" t="n">
        <v>690</v>
      </c>
      <c r="S4420" s="16" t="n">
        <v>0.82</v>
      </c>
      <c r="T4420" s="16" t="n">
        <v>0.9</v>
      </c>
      <c r="U4420" s="16" t="n">
        <v>0.8</v>
      </c>
      <c r="V4420" s="16" t="n">
        <v>0.85</v>
      </c>
      <c r="W4420" s="16" t="n">
        <v>0.4785714285714286</v>
      </c>
      <c r="X4420" s="16" t="n">
        <v>0.95</v>
      </c>
      <c r="Y4420" s="16" t="n">
        <v>283.15</v>
      </c>
      <c r="Z4420" s="16" t="n">
        <v>12.11129931177198</v>
      </c>
      <c r="AA4420" s="16" t="n">
        <v>116.4625340202753</v>
      </c>
      <c r="AB4420" s="16" t="n">
        <v>2610</v>
      </c>
      <c r="AC4420" s="16" t="n">
        <v>4.782608695652174</v>
      </c>
      <c r="AD4420" s="16" t="n"/>
      <c r="AE4420" s="16" t="inlineStr">
        <is>
          <t>eps_reg</t>
        </is>
      </c>
    </row>
    <row r="4421">
      <c r="A4421" s="16" t="inlineStr">
        <is>
          <t>KF-M10-OFAT-0123</t>
        </is>
      </c>
      <c r="B4421" s="16" t="inlineStr">
        <is>
          <t>6.2</t>
        </is>
      </c>
      <c r="C4421" s="16" t="inlineStr">
        <is>
          <t>6.2b</t>
        </is>
      </c>
      <c r="D4421" s="16" t="inlineStr">
        <is>
          <t>una variable a la vez</t>
        </is>
      </c>
      <c r="E4421" s="16" t="inlineStr">
        <is>
          <t>KF-M10</t>
        </is>
      </c>
      <c r="F4421" s="16" t="inlineStr">
        <is>
          <t>KF-M10-OFAT</t>
        </is>
      </c>
      <c r="G4421" s="16" t="inlineStr">
        <is>
          <t>B14-OFAT</t>
        </is>
      </c>
      <c r="H4421" s="16" t="inlineStr">
        <is>
          <t>oat</t>
        </is>
      </c>
      <c r="I4421" s="16" t="inlineStr">
        <is>
          <t>KALINA</t>
        </is>
      </c>
      <c r="J4421" s="16" t="inlineStr">
        <is>
          <t>KALINA</t>
        </is>
      </c>
      <c r="K4421" s="16" t="b">
        <v>1</v>
      </c>
      <c r="L4421" s="16" t="b">
        <v>1</v>
      </c>
      <c r="M4421" s="16" t="b">
        <v>0</v>
      </c>
      <c r="N4421" s="16" t="b">
        <v>0</v>
      </c>
      <c r="O4421" s="16" t="n">
        <v>394.15</v>
      </c>
      <c r="P4421" s="16" t="n">
        <v>278.15</v>
      </c>
      <c r="Q4421" s="16" t="n">
        <v>3300</v>
      </c>
      <c r="R4421" s="16" t="n">
        <v>690</v>
      </c>
      <c r="S4421" s="16" t="n">
        <v>0.82</v>
      </c>
      <c r="T4421" s="16" t="n">
        <v>0.9</v>
      </c>
      <c r="U4421" s="16" t="n">
        <v>0.8</v>
      </c>
      <c r="V4421" s="16" t="n">
        <v>0.85</v>
      </c>
      <c r="W4421" s="16" t="n">
        <v>0.5178571428571428</v>
      </c>
      <c r="X4421" s="16" t="n">
        <v>0.95</v>
      </c>
      <c r="Y4421" s="16" t="n">
        <v>283.15</v>
      </c>
      <c r="Z4421" s="16" t="n">
        <v>12.19808225860011</v>
      </c>
      <c r="AA4421" s="16" t="n">
        <v>116.6254719772899</v>
      </c>
      <c r="AB4421" s="16" t="n">
        <v>2610</v>
      </c>
      <c r="AC4421" s="16" t="n">
        <v>4.782608695652174</v>
      </c>
      <c r="AD4421" s="16" t="n"/>
      <c r="AE4421" s="16" t="inlineStr">
        <is>
          <t>eps_reg</t>
        </is>
      </c>
    </row>
    <row r="4422">
      <c r="A4422" s="16" t="inlineStr">
        <is>
          <t>KF-M10-OFAT-0124</t>
        </is>
      </c>
      <c r="B4422" s="16" t="inlineStr">
        <is>
          <t>6.2</t>
        </is>
      </c>
      <c r="C4422" s="16" t="inlineStr">
        <is>
          <t>6.2b</t>
        </is>
      </c>
      <c r="D4422" s="16" t="inlineStr">
        <is>
          <t>una variable a la vez</t>
        </is>
      </c>
      <c r="E4422" s="16" t="inlineStr">
        <is>
          <t>KF-M10</t>
        </is>
      </c>
      <c r="F4422" s="16" t="inlineStr">
        <is>
          <t>KF-M10-OFAT</t>
        </is>
      </c>
      <c r="G4422" s="16" t="inlineStr">
        <is>
          <t>B14-OFAT</t>
        </is>
      </c>
      <c r="H4422" s="16" t="inlineStr">
        <is>
          <t>oat</t>
        </is>
      </c>
      <c r="I4422" s="16" t="inlineStr">
        <is>
          <t>KALINA</t>
        </is>
      </c>
      <c r="J4422" s="16" t="inlineStr">
        <is>
          <t>KALINA</t>
        </is>
      </c>
      <c r="K4422" s="16" t="b">
        <v>1</v>
      </c>
      <c r="L4422" s="16" t="b">
        <v>1</v>
      </c>
      <c r="M4422" s="16" t="b">
        <v>0</v>
      </c>
      <c r="N4422" s="16" t="b">
        <v>0</v>
      </c>
      <c r="O4422" s="16" t="n">
        <v>394.15</v>
      </c>
      <c r="P4422" s="16" t="n">
        <v>278.15</v>
      </c>
      <c r="Q4422" s="16" t="n">
        <v>3300</v>
      </c>
      <c r="R4422" s="16" t="n">
        <v>690</v>
      </c>
      <c r="S4422" s="16" t="n">
        <v>0.82</v>
      </c>
      <c r="T4422" s="16" t="n">
        <v>0.9</v>
      </c>
      <c r="U4422" s="16" t="n">
        <v>0.8</v>
      </c>
      <c r="V4422" s="16" t="n">
        <v>0.85</v>
      </c>
      <c r="W4422" s="16" t="n">
        <v>0.5571428571428572</v>
      </c>
      <c r="X4422" s="16" t="n">
        <v>0.95</v>
      </c>
      <c r="Y4422" s="16" t="n">
        <v>283.15</v>
      </c>
      <c r="Z4422" s="16" t="n">
        <v>12.28586383273484</v>
      </c>
      <c r="AA4422" s="16" t="n">
        <v>116.7884108136332</v>
      </c>
      <c r="AB4422" s="16" t="n">
        <v>2610</v>
      </c>
      <c r="AC4422" s="16" t="n">
        <v>4.782608695652174</v>
      </c>
      <c r="AD4422" s="16" t="n"/>
      <c r="AE4422" s="16" t="inlineStr">
        <is>
          <t>eps_reg</t>
        </is>
      </c>
    </row>
    <row r="4423">
      <c r="A4423" s="16" t="inlineStr">
        <is>
          <t>KF-M10-OFAT-0125</t>
        </is>
      </c>
      <c r="B4423" s="16" t="inlineStr">
        <is>
          <t>6.2</t>
        </is>
      </c>
      <c r="C4423" s="16" t="inlineStr">
        <is>
          <t>6.2b</t>
        </is>
      </c>
      <c r="D4423" s="16" t="inlineStr">
        <is>
          <t>una variable a la vez</t>
        </is>
      </c>
      <c r="E4423" s="16" t="inlineStr">
        <is>
          <t>KF-M10</t>
        </is>
      </c>
      <c r="F4423" s="16" t="inlineStr">
        <is>
          <t>KF-M10-OFAT</t>
        </is>
      </c>
      <c r="G4423" s="16" t="inlineStr">
        <is>
          <t>B14-OFAT</t>
        </is>
      </c>
      <c r="H4423" s="16" t="inlineStr">
        <is>
          <t>oat</t>
        </is>
      </c>
      <c r="I4423" s="16" t="inlineStr">
        <is>
          <t>KALINA</t>
        </is>
      </c>
      <c r="J4423" s="16" t="inlineStr">
        <is>
          <t>KALINA</t>
        </is>
      </c>
      <c r="K4423" s="16" t="b">
        <v>1</v>
      </c>
      <c r="L4423" s="16" t="b">
        <v>1</v>
      </c>
      <c r="M4423" s="16" t="b">
        <v>0</v>
      </c>
      <c r="N4423" s="16" t="b">
        <v>0</v>
      </c>
      <c r="O4423" s="16" t="n">
        <v>394.15</v>
      </c>
      <c r="P4423" s="16" t="n">
        <v>278.15</v>
      </c>
      <c r="Q4423" s="16" t="n">
        <v>3300</v>
      </c>
      <c r="R4423" s="16" t="n">
        <v>690</v>
      </c>
      <c r="S4423" s="16" t="n">
        <v>0.82</v>
      </c>
      <c r="T4423" s="16" t="n">
        <v>0.9</v>
      </c>
      <c r="U4423" s="16" t="n">
        <v>0.8</v>
      </c>
      <c r="V4423" s="16" t="n">
        <v>0.85</v>
      </c>
      <c r="W4423" s="16" t="n">
        <v>0.5964285714285714</v>
      </c>
      <c r="X4423" s="16" t="n">
        <v>0.95</v>
      </c>
      <c r="Y4423" s="16" t="n">
        <v>283.15</v>
      </c>
      <c r="Z4423" s="16" t="n">
        <v>12.37466184195206</v>
      </c>
      <c r="AA4423" s="16" t="n">
        <v>116.9513511512224</v>
      </c>
      <c r="AB4423" s="16" t="n">
        <v>2610</v>
      </c>
      <c r="AC4423" s="16" t="n">
        <v>4.782608695652174</v>
      </c>
      <c r="AD4423" s="16" t="n"/>
      <c r="AE4423" s="16" t="inlineStr">
        <is>
          <t>eps_reg</t>
        </is>
      </c>
    </row>
    <row r="4424">
      <c r="A4424" s="16" t="inlineStr">
        <is>
          <t>KF-M10-OFAT-0126</t>
        </is>
      </c>
      <c r="B4424" s="16" t="inlineStr">
        <is>
          <t>6.2</t>
        </is>
      </c>
      <c r="C4424" s="16" t="inlineStr">
        <is>
          <t>6.2b</t>
        </is>
      </c>
      <c r="D4424" s="16" t="inlineStr">
        <is>
          <t>una variable a la vez</t>
        </is>
      </c>
      <c r="E4424" s="16" t="inlineStr">
        <is>
          <t>KF-M10</t>
        </is>
      </c>
      <c r="F4424" s="16" t="inlineStr">
        <is>
          <t>KF-M10-OFAT</t>
        </is>
      </c>
      <c r="G4424" s="16" t="inlineStr">
        <is>
          <t>B14-OFAT</t>
        </is>
      </c>
      <c r="H4424" s="16" t="inlineStr">
        <is>
          <t>oat</t>
        </is>
      </c>
      <c r="I4424" s="16" t="inlineStr">
        <is>
          <t>KALINA</t>
        </is>
      </c>
      <c r="J4424" s="16" t="inlineStr">
        <is>
          <t>KALINA</t>
        </is>
      </c>
      <c r="K4424" s="16" t="b">
        <v>1</v>
      </c>
      <c r="L4424" s="16" t="b">
        <v>1</v>
      </c>
      <c r="M4424" s="16" t="b">
        <v>0</v>
      </c>
      <c r="N4424" s="16" t="b">
        <v>0</v>
      </c>
      <c r="O4424" s="16" t="n">
        <v>394.15</v>
      </c>
      <c r="P4424" s="16" t="n">
        <v>278.15</v>
      </c>
      <c r="Q4424" s="16" t="n">
        <v>3300</v>
      </c>
      <c r="R4424" s="16" t="n">
        <v>690</v>
      </c>
      <c r="S4424" s="16" t="n">
        <v>0.82</v>
      </c>
      <c r="T4424" s="16" t="n">
        <v>0.9</v>
      </c>
      <c r="U4424" s="16" t="n">
        <v>0.8</v>
      </c>
      <c r="V4424" s="16" t="n">
        <v>0.85</v>
      </c>
      <c r="W4424" s="16" t="n">
        <v>0.6357142857142857</v>
      </c>
      <c r="X4424" s="16" t="n">
        <v>0.95</v>
      </c>
      <c r="Y4424" s="16" t="n">
        <v>283.15</v>
      </c>
      <c r="Z4424" s="16" t="n">
        <v>12.4644934573175</v>
      </c>
      <c r="AA4424" s="16" t="n">
        <v>117.1142917534649</v>
      </c>
      <c r="AB4424" s="16" t="n">
        <v>2610</v>
      </c>
      <c r="AC4424" s="16" t="n">
        <v>4.782608695652174</v>
      </c>
      <c r="AD4424" s="16" t="n"/>
      <c r="AE4424" s="16" t="inlineStr">
        <is>
          <t>eps_reg</t>
        </is>
      </c>
    </row>
    <row r="4425">
      <c r="A4425" s="16" t="inlineStr">
        <is>
          <t>KF-M10-OFAT-0127</t>
        </is>
      </c>
      <c r="B4425" s="16" t="inlineStr">
        <is>
          <t>6.2</t>
        </is>
      </c>
      <c r="C4425" s="16" t="inlineStr">
        <is>
          <t>6.2b</t>
        </is>
      </c>
      <c r="D4425" s="16" t="inlineStr">
        <is>
          <t>una variable a la vez</t>
        </is>
      </c>
      <c r="E4425" s="16" t="inlineStr">
        <is>
          <t>KF-M10</t>
        </is>
      </c>
      <c r="F4425" s="16" t="inlineStr">
        <is>
          <t>KF-M10-OFAT</t>
        </is>
      </c>
      <c r="G4425" s="16" t="inlineStr">
        <is>
          <t>B14-OFAT</t>
        </is>
      </c>
      <c r="H4425" s="16" t="inlineStr">
        <is>
          <t>oat</t>
        </is>
      </c>
      <c r="I4425" s="16" t="inlineStr">
        <is>
          <t>KALINA</t>
        </is>
      </c>
      <c r="J4425" s="16" t="inlineStr">
        <is>
          <t>KALINA</t>
        </is>
      </c>
      <c r="K4425" s="16" t="b">
        <v>1</v>
      </c>
      <c r="L4425" s="16" t="b">
        <v>1</v>
      </c>
      <c r="M4425" s="16" t="b">
        <v>0</v>
      </c>
      <c r="N4425" s="16" t="b">
        <v>0</v>
      </c>
      <c r="O4425" s="16" t="n">
        <v>394.15</v>
      </c>
      <c r="P4425" s="16" t="n">
        <v>278.15</v>
      </c>
      <c r="Q4425" s="16" t="n">
        <v>3300</v>
      </c>
      <c r="R4425" s="16" t="n">
        <v>690</v>
      </c>
      <c r="S4425" s="16" t="n">
        <v>0.82</v>
      </c>
      <c r="T4425" s="16" t="n">
        <v>0.9</v>
      </c>
      <c r="U4425" s="16" t="n">
        <v>0.8</v>
      </c>
      <c r="V4425" s="16" t="n">
        <v>0.85</v>
      </c>
      <c r="W4425" s="16" t="n">
        <v>0.675</v>
      </c>
      <c r="X4425" s="16" t="n">
        <v>0.95</v>
      </c>
      <c r="Y4425" s="16" t="n">
        <v>283.15</v>
      </c>
      <c r="Z4425" s="16" t="n">
        <v>12.55537636362463</v>
      </c>
      <c r="AA4425" s="16" t="n">
        <v>117.2772320624355</v>
      </c>
      <c r="AB4425" s="16" t="n">
        <v>2610</v>
      </c>
      <c r="AC4425" s="16" t="n">
        <v>4.782608695652174</v>
      </c>
      <c r="AD4425" s="16" t="n"/>
      <c r="AE4425" s="16" t="inlineStr">
        <is>
          <t>eps_reg</t>
        </is>
      </c>
    </row>
    <row r="4426">
      <c r="A4426" s="16" t="inlineStr">
        <is>
          <t>KF-M10-OFAT-0128</t>
        </is>
      </c>
      <c r="B4426" s="16" t="inlineStr">
        <is>
          <t>6.2</t>
        </is>
      </c>
      <c r="C4426" s="16" t="inlineStr">
        <is>
          <t>6.2b</t>
        </is>
      </c>
      <c r="D4426" s="16" t="inlineStr">
        <is>
          <t>una variable a la vez</t>
        </is>
      </c>
      <c r="E4426" s="16" t="inlineStr">
        <is>
          <t>KF-M10</t>
        </is>
      </c>
      <c r="F4426" s="16" t="inlineStr">
        <is>
          <t>KF-M10-OFAT</t>
        </is>
      </c>
      <c r="G4426" s="16" t="inlineStr">
        <is>
          <t>B14-OFAT</t>
        </is>
      </c>
      <c r="H4426" s="16" t="inlineStr">
        <is>
          <t>oat</t>
        </is>
      </c>
      <c r="I4426" s="16" t="inlineStr">
        <is>
          <t>KALINA</t>
        </is>
      </c>
      <c r="J4426" s="16" t="inlineStr">
        <is>
          <t>KALINA</t>
        </is>
      </c>
      <c r="K4426" s="16" t="b">
        <v>1</v>
      </c>
      <c r="L4426" s="16" t="b">
        <v>1</v>
      </c>
      <c r="M4426" s="16" t="b">
        <v>0</v>
      </c>
      <c r="N4426" s="16" t="b">
        <v>0</v>
      </c>
      <c r="O4426" s="16" t="n">
        <v>394.15</v>
      </c>
      <c r="P4426" s="16" t="n">
        <v>278.15</v>
      </c>
      <c r="Q4426" s="16" t="n">
        <v>3300</v>
      </c>
      <c r="R4426" s="16" t="n">
        <v>690</v>
      </c>
      <c r="S4426" s="16" t="n">
        <v>0.82</v>
      </c>
      <c r="T4426" s="16" t="n">
        <v>0.9</v>
      </c>
      <c r="U4426" s="16" t="n">
        <v>0.8</v>
      </c>
      <c r="V4426" s="16" t="n">
        <v>0.85</v>
      </c>
      <c r="W4426" s="16" t="n">
        <v>0.7142857142857142</v>
      </c>
      <c r="X4426" s="16" t="n">
        <v>0.95</v>
      </c>
      <c r="Y4426" s="16" t="n">
        <v>283.15</v>
      </c>
      <c r="Z4426" s="16" t="n">
        <v>12.64732828793685</v>
      </c>
      <c r="AA4426" s="16" t="n">
        <v>117.4401681606785</v>
      </c>
      <c r="AB4426" s="16" t="n">
        <v>2610</v>
      </c>
      <c r="AC4426" s="16" t="n">
        <v>4.782608695652174</v>
      </c>
      <c r="AD4426" s="16" t="n"/>
      <c r="AE4426" s="16" t="inlineStr">
        <is>
          <t>eps_reg</t>
        </is>
      </c>
    </row>
    <row r="4427">
      <c r="A4427" s="16" t="inlineStr">
        <is>
          <t>KF-M10-OFAT-0129</t>
        </is>
      </c>
      <c r="B4427" s="16" t="inlineStr">
        <is>
          <t>6.2</t>
        </is>
      </c>
      <c r="C4427" s="16" t="inlineStr">
        <is>
          <t>6.2b</t>
        </is>
      </c>
      <c r="D4427" s="16" t="inlineStr">
        <is>
          <t>una variable a la vez</t>
        </is>
      </c>
      <c r="E4427" s="16" t="inlineStr">
        <is>
          <t>KF-M10</t>
        </is>
      </c>
      <c r="F4427" s="16" t="inlineStr">
        <is>
          <t>KF-M10-OFAT</t>
        </is>
      </c>
      <c r="G4427" s="16" t="inlineStr">
        <is>
          <t>B14-OFAT</t>
        </is>
      </c>
      <c r="H4427" s="16" t="inlineStr">
        <is>
          <t>oat</t>
        </is>
      </c>
      <c r="I4427" s="16" t="inlineStr">
        <is>
          <t>KALINA</t>
        </is>
      </c>
      <c r="J4427" s="16" t="inlineStr">
        <is>
          <t>KALINA</t>
        </is>
      </c>
      <c r="K4427" s="16" t="b">
        <v>1</v>
      </c>
      <c r="L4427" s="16" t="b">
        <v>1</v>
      </c>
      <c r="M4427" s="16" t="b">
        <v>0</v>
      </c>
      <c r="N4427" s="16" t="b">
        <v>0</v>
      </c>
      <c r="O4427" s="16" t="n">
        <v>394.15</v>
      </c>
      <c r="P4427" s="16" t="n">
        <v>278.15</v>
      </c>
      <c r="Q4427" s="16" t="n">
        <v>3300</v>
      </c>
      <c r="R4427" s="16" t="n">
        <v>690</v>
      </c>
      <c r="S4427" s="16" t="n">
        <v>0.82</v>
      </c>
      <c r="T4427" s="16" t="n">
        <v>0.9</v>
      </c>
      <c r="U4427" s="16" t="n">
        <v>0.8</v>
      </c>
      <c r="V4427" s="16" t="n">
        <v>0.85</v>
      </c>
      <c r="W4427" s="16" t="n">
        <v>0.7535714285714286</v>
      </c>
      <c r="X4427" s="16" t="n">
        <v>0.95</v>
      </c>
      <c r="Y4427" s="16" t="n">
        <v>283.15</v>
      </c>
      <c r="Z4427" s="16" t="n">
        <v>12.74036810423893</v>
      </c>
      <c r="AA4427" s="16" t="n">
        <v>117.6031030039645</v>
      </c>
      <c r="AB4427" s="16" t="n">
        <v>2610</v>
      </c>
      <c r="AC4427" s="16" t="n">
        <v>4.782608695652174</v>
      </c>
      <c r="AD4427" s="16" t="n"/>
      <c r="AE4427" s="16" t="inlineStr">
        <is>
          <t>eps_reg</t>
        </is>
      </c>
    </row>
    <row r="4428">
      <c r="A4428" s="16" t="inlineStr">
        <is>
          <t>KF-M10-OFAT-0130</t>
        </is>
      </c>
      <c r="B4428" s="16" t="inlineStr">
        <is>
          <t>6.2</t>
        </is>
      </c>
      <c r="C4428" s="16" t="inlineStr">
        <is>
          <t>6.2b</t>
        </is>
      </c>
      <c r="D4428" s="16" t="inlineStr">
        <is>
          <t>una variable a la vez</t>
        </is>
      </c>
      <c r="E4428" s="16" t="inlineStr">
        <is>
          <t>KF-M10</t>
        </is>
      </c>
      <c r="F4428" s="16" t="inlineStr">
        <is>
          <t>KF-M10-OFAT</t>
        </is>
      </c>
      <c r="G4428" s="16" t="inlineStr">
        <is>
          <t>B14-OFAT</t>
        </is>
      </c>
      <c r="H4428" s="16" t="inlineStr">
        <is>
          <t>oat</t>
        </is>
      </c>
      <c r="I4428" s="16" t="inlineStr">
        <is>
          <t>KALINA</t>
        </is>
      </c>
      <c r="J4428" s="16" t="inlineStr">
        <is>
          <t>KALINA</t>
        </is>
      </c>
      <c r="K4428" s="16" t="b">
        <v>1</v>
      </c>
      <c r="L4428" s="16" t="b">
        <v>1</v>
      </c>
      <c r="M4428" s="16" t="b">
        <v>0</v>
      </c>
      <c r="N4428" s="16" t="b">
        <v>0</v>
      </c>
      <c r="O4428" s="16" t="n">
        <v>394.15</v>
      </c>
      <c r="P4428" s="16" t="n">
        <v>278.15</v>
      </c>
      <c r="Q4428" s="16" t="n">
        <v>3300</v>
      </c>
      <c r="R4428" s="16" t="n">
        <v>690</v>
      </c>
      <c r="S4428" s="16" t="n">
        <v>0.82</v>
      </c>
      <c r="T4428" s="16" t="n">
        <v>0.9</v>
      </c>
      <c r="U4428" s="16" t="n">
        <v>0.8</v>
      </c>
      <c r="V4428" s="16" t="n">
        <v>0.85</v>
      </c>
      <c r="W4428" s="16" t="n">
        <v>0.7928571428571428</v>
      </c>
      <c r="X4428" s="16" t="n">
        <v>0.95</v>
      </c>
      <c r="Y4428" s="16" t="n">
        <v>283.15</v>
      </c>
      <c r="Z4428" s="16" t="n">
        <v>12.83451445402864</v>
      </c>
      <c r="AA4428" s="16" t="n">
        <v>117.7660334006544</v>
      </c>
      <c r="AB4428" s="16" t="n">
        <v>2610</v>
      </c>
      <c r="AC4428" s="16" t="n">
        <v>4.782608695652174</v>
      </c>
      <c r="AD4428" s="16" t="n"/>
      <c r="AE4428" s="16" t="inlineStr">
        <is>
          <t>eps_reg</t>
        </is>
      </c>
    </row>
    <row r="4429">
      <c r="A4429" s="16" t="inlineStr">
        <is>
          <t>KF-M10-OFAT-0131</t>
        </is>
      </c>
      <c r="B4429" s="16" t="inlineStr">
        <is>
          <t>6.2</t>
        </is>
      </c>
      <c r="C4429" s="16" t="inlineStr">
        <is>
          <t>6.2b</t>
        </is>
      </c>
      <c r="D4429" s="16" t="inlineStr">
        <is>
          <t>una variable a la vez</t>
        </is>
      </c>
      <c r="E4429" s="16" t="inlineStr">
        <is>
          <t>KF-M10</t>
        </is>
      </c>
      <c r="F4429" s="16" t="inlineStr">
        <is>
          <t>KF-M10-OFAT</t>
        </is>
      </c>
      <c r="G4429" s="16" t="inlineStr">
        <is>
          <t>B14-OFAT</t>
        </is>
      </c>
      <c r="H4429" s="16" t="inlineStr">
        <is>
          <t>oat</t>
        </is>
      </c>
      <c r="I4429" s="16" t="inlineStr">
        <is>
          <t>KALINA</t>
        </is>
      </c>
      <c r="J4429" s="16" t="inlineStr">
        <is>
          <t>KALINA</t>
        </is>
      </c>
      <c r="K4429" s="16" t="b">
        <v>1</v>
      </c>
      <c r="L4429" s="16" t="b">
        <v>1</v>
      </c>
      <c r="M4429" s="16" t="b">
        <v>0</v>
      </c>
      <c r="N4429" s="16" t="b">
        <v>0</v>
      </c>
      <c r="O4429" s="16" t="n">
        <v>394.15</v>
      </c>
      <c r="P4429" s="16" t="n">
        <v>278.15</v>
      </c>
      <c r="Q4429" s="16" t="n">
        <v>3300</v>
      </c>
      <c r="R4429" s="16" t="n">
        <v>690</v>
      </c>
      <c r="S4429" s="16" t="n">
        <v>0.82</v>
      </c>
      <c r="T4429" s="16" t="n">
        <v>0.9</v>
      </c>
      <c r="U4429" s="16" t="n">
        <v>0.8</v>
      </c>
      <c r="V4429" s="16" t="n">
        <v>0.85</v>
      </c>
      <c r="W4429" s="16" t="n">
        <v>0.8321428571428571</v>
      </c>
      <c r="X4429" s="16" t="n">
        <v>0.95</v>
      </c>
      <c r="Y4429" s="16" t="n">
        <v>283.15</v>
      </c>
      <c r="Z4429" s="16" t="n">
        <v>12.92978655225828</v>
      </c>
      <c r="AA4429" s="16" t="n">
        <v>117.9289580635061</v>
      </c>
      <c r="AB4429" s="16" t="n">
        <v>2610</v>
      </c>
      <c r="AC4429" s="16" t="n">
        <v>4.782608695652174</v>
      </c>
      <c r="AD4429" s="16" t="n"/>
      <c r="AE4429" s="16" t="inlineStr">
        <is>
          <t>eps_reg</t>
        </is>
      </c>
    </row>
    <row r="4430">
      <c r="A4430" s="16" t="inlineStr">
        <is>
          <t>KF-M10-OFAT-0132</t>
        </is>
      </c>
      <c r="B4430" s="16" t="inlineStr">
        <is>
          <t>6.2</t>
        </is>
      </c>
      <c r="C4430" s="16" t="inlineStr">
        <is>
          <t>6.2b</t>
        </is>
      </c>
      <c r="D4430" s="16" t="inlineStr">
        <is>
          <t>una variable a la vez</t>
        </is>
      </c>
      <c r="E4430" s="16" t="inlineStr">
        <is>
          <t>KF-M10</t>
        </is>
      </c>
      <c r="F4430" s="16" t="inlineStr">
        <is>
          <t>KF-M10-OFAT</t>
        </is>
      </c>
      <c r="G4430" s="16" t="inlineStr">
        <is>
          <t>B14-OFAT</t>
        </is>
      </c>
      <c r="H4430" s="16" t="inlineStr">
        <is>
          <t>oat</t>
        </is>
      </c>
      <c r="I4430" s="16" t="inlineStr">
        <is>
          <t>KALINA</t>
        </is>
      </c>
      <c r="J4430" s="16" t="inlineStr">
        <is>
          <t>KALINA</t>
        </is>
      </c>
      <c r="K4430" s="16" t="b">
        <v>1</v>
      </c>
      <c r="L4430" s="16" t="b">
        <v>1</v>
      </c>
      <c r="M4430" s="16" t="b">
        <v>0</v>
      </c>
      <c r="N4430" s="16" t="b">
        <v>0</v>
      </c>
      <c r="O4430" s="16" t="n">
        <v>394.15</v>
      </c>
      <c r="P4430" s="16" t="n">
        <v>278.15</v>
      </c>
      <c r="Q4430" s="16" t="n">
        <v>3300</v>
      </c>
      <c r="R4430" s="16" t="n">
        <v>690</v>
      </c>
      <c r="S4430" s="16" t="n">
        <v>0.82</v>
      </c>
      <c r="T4430" s="16" t="n">
        <v>0.9</v>
      </c>
      <c r="U4430" s="16" t="n">
        <v>0.8</v>
      </c>
      <c r="V4430" s="16" t="n">
        <v>0.85</v>
      </c>
      <c r="W4430" s="16" t="n">
        <v>0.8714285714285713</v>
      </c>
      <c r="X4430" s="16" t="n">
        <v>0.95</v>
      </c>
      <c r="Y4430" s="16" t="n">
        <v>283.15</v>
      </c>
      <c r="Z4430" s="16" t="n">
        <v>13.02620420805367</v>
      </c>
      <c r="AA4430" s="16" t="n">
        <v>118.0918759422341</v>
      </c>
      <c r="AB4430" s="16" t="n">
        <v>2610</v>
      </c>
      <c r="AC4430" s="16" t="n">
        <v>4.782608695652174</v>
      </c>
      <c r="AD4430" s="16" t="n"/>
      <c r="AE4430" s="16" t="inlineStr">
        <is>
          <t>eps_reg</t>
        </is>
      </c>
    </row>
    <row r="4431">
      <c r="A4431" s="16" t="inlineStr">
        <is>
          <t>KF-M10-OFAT-0133</t>
        </is>
      </c>
      <c r="B4431" s="16" t="inlineStr">
        <is>
          <t>6.2</t>
        </is>
      </c>
      <c r="C4431" s="16" t="inlineStr">
        <is>
          <t>6.2b</t>
        </is>
      </c>
      <c r="D4431" s="16" t="inlineStr">
        <is>
          <t>una variable a la vez</t>
        </is>
      </c>
      <c r="E4431" s="16" t="inlineStr">
        <is>
          <t>KF-M10</t>
        </is>
      </c>
      <c r="F4431" s="16" t="inlineStr">
        <is>
          <t>KF-M10-OFAT</t>
        </is>
      </c>
      <c r="G4431" s="16" t="inlineStr">
        <is>
          <t>B14-OFAT</t>
        </is>
      </c>
      <c r="H4431" s="16" t="inlineStr">
        <is>
          <t>oat</t>
        </is>
      </c>
      <c r="I4431" s="16" t="inlineStr">
        <is>
          <t>KALINA</t>
        </is>
      </c>
      <c r="J4431" s="16" t="inlineStr">
        <is>
          <t>KALINA</t>
        </is>
      </c>
      <c r="K4431" s="16" t="b">
        <v>1</v>
      </c>
      <c r="L4431" s="16" t="b">
        <v>1</v>
      </c>
      <c r="M4431" s="16" t="b">
        <v>0</v>
      </c>
      <c r="N4431" s="16" t="b">
        <v>0</v>
      </c>
      <c r="O4431" s="16" t="n">
        <v>394.15</v>
      </c>
      <c r="P4431" s="16" t="n">
        <v>278.15</v>
      </c>
      <c r="Q4431" s="16" t="n">
        <v>3300</v>
      </c>
      <c r="R4431" s="16" t="n">
        <v>690</v>
      </c>
      <c r="S4431" s="16" t="n">
        <v>0.82</v>
      </c>
      <c r="T4431" s="16" t="n">
        <v>0.9</v>
      </c>
      <c r="U4431" s="16" t="n">
        <v>0.8</v>
      </c>
      <c r="V4431" s="16" t="n">
        <v>0.85</v>
      </c>
      <c r="W4431" s="16" t="n">
        <v>0.9107142857142856</v>
      </c>
      <c r="X4431" s="16" t="n">
        <v>0.95</v>
      </c>
      <c r="Y4431" s="16" t="n">
        <v>283.15</v>
      </c>
      <c r="Z4431" s="16" t="n">
        <v>13.12378762959341</v>
      </c>
      <c r="AA4431" s="16" t="n">
        <v>118.2547858630789</v>
      </c>
      <c r="AB4431" s="16" t="n">
        <v>2610</v>
      </c>
      <c r="AC4431" s="16" t="n">
        <v>4.782608695652174</v>
      </c>
      <c r="AD4431" s="16" t="n"/>
      <c r="AE4431" s="16" t="inlineStr">
        <is>
          <t>eps_reg</t>
        </is>
      </c>
    </row>
    <row r="4432">
      <c r="A4432" s="16" t="inlineStr">
        <is>
          <t>KF-M10-OFAT-0134</t>
        </is>
      </c>
      <c r="B4432" s="16" t="inlineStr">
        <is>
          <t>6.2</t>
        </is>
      </c>
      <c r="C4432" s="16" t="inlineStr">
        <is>
          <t>6.2b</t>
        </is>
      </c>
      <c r="D4432" s="16" t="inlineStr">
        <is>
          <t>una variable a la vez</t>
        </is>
      </c>
      <c r="E4432" s="16" t="inlineStr">
        <is>
          <t>KF-M10</t>
        </is>
      </c>
      <c r="F4432" s="16" t="inlineStr">
        <is>
          <t>KF-M10-OFAT</t>
        </is>
      </c>
      <c r="G4432" s="16" t="inlineStr">
        <is>
          <t>B14-OFAT</t>
        </is>
      </c>
      <c r="H4432" s="16" t="inlineStr">
        <is>
          <t>oat</t>
        </is>
      </c>
      <c r="I4432" s="16" t="inlineStr">
        <is>
          <t>NO_CONVERGIO</t>
        </is>
      </c>
      <c r="J4432" s="16" t="inlineStr">
        <is>
          <t>NO_CONVERGIO</t>
        </is>
      </c>
      <c r="K4432" s="16" t="b">
        <v>0</v>
      </c>
      <c r="L4432" s="16" t="b">
        <v>0</v>
      </c>
      <c r="M4432" s="16" t="b">
        <v>0</v>
      </c>
      <c r="N4432" s="16" t="b">
        <v>0</v>
      </c>
      <c r="O4432" s="16" t="n">
        <v>394.15</v>
      </c>
      <c r="P4432" s="16" t="n">
        <v>278.15</v>
      </c>
      <c r="Q4432" s="16" t="n">
        <v>3300</v>
      </c>
      <c r="R4432" s="16" t="n">
        <v>690</v>
      </c>
      <c r="S4432" s="16" t="n">
        <v>0.82</v>
      </c>
      <c r="T4432" s="16" t="n">
        <v>0.9</v>
      </c>
      <c r="U4432" s="16" t="n">
        <v>0.8</v>
      </c>
      <c r="V4432" s="16" t="n">
        <v>0.85</v>
      </c>
      <c r="W4432" s="16" t="n">
        <v>0.75</v>
      </c>
      <c r="X4432" s="16" t="n">
        <v>0.7535714285714286</v>
      </c>
      <c r="Y4432" s="16" t="n">
        <v>283.15</v>
      </c>
      <c r="Z4432" s="16" t="n"/>
      <c r="AA4432" s="16" t="n"/>
      <c r="AB4432" s="16" t="n">
        <v>2610</v>
      </c>
      <c r="AC4432" s="16" t="n">
        <v>4.782608695652174</v>
      </c>
      <c r="AD4432" s="16" t="n"/>
      <c r="AE4432" s="16" t="inlineStr">
        <is>
          <t>eps_cond</t>
        </is>
      </c>
    </row>
    <row r="4433">
      <c r="A4433" s="16" t="inlineStr">
        <is>
          <t>KF-M10-OFAT-0135</t>
        </is>
      </c>
      <c r="B4433" s="16" t="inlineStr">
        <is>
          <t>6.2</t>
        </is>
      </c>
      <c r="C4433" s="16" t="inlineStr">
        <is>
          <t>6.2b</t>
        </is>
      </c>
      <c r="D4433" s="16" t="inlineStr">
        <is>
          <t>una variable a la vez</t>
        </is>
      </c>
      <c r="E4433" s="16" t="inlineStr">
        <is>
          <t>KF-M10</t>
        </is>
      </c>
      <c r="F4433" s="16" t="inlineStr">
        <is>
          <t>KF-M10-OFAT</t>
        </is>
      </c>
      <c r="G4433" s="16" t="inlineStr">
        <is>
          <t>B14-OFAT</t>
        </is>
      </c>
      <c r="H4433" s="16" t="inlineStr">
        <is>
          <t>oat</t>
        </is>
      </c>
      <c r="I4433" s="16" t="inlineStr">
        <is>
          <t>KALINA</t>
        </is>
      </c>
      <c r="J4433" s="16" t="inlineStr">
        <is>
          <t>KALINA</t>
        </is>
      </c>
      <c r="K4433" s="16" t="b">
        <v>1</v>
      </c>
      <c r="L4433" s="16" t="b">
        <v>1</v>
      </c>
      <c r="M4433" s="16" t="b">
        <v>0</v>
      </c>
      <c r="N4433" s="16" t="b">
        <v>0</v>
      </c>
      <c r="O4433" s="16" t="n">
        <v>394.15</v>
      </c>
      <c r="P4433" s="16" t="n">
        <v>278.15</v>
      </c>
      <c r="Q4433" s="16" t="n">
        <v>3300</v>
      </c>
      <c r="R4433" s="16" t="n">
        <v>690</v>
      </c>
      <c r="S4433" s="16" t="n">
        <v>0.82</v>
      </c>
      <c r="T4433" s="16" t="n">
        <v>0.9</v>
      </c>
      <c r="U4433" s="16" t="n">
        <v>0.8</v>
      </c>
      <c r="V4433" s="16" t="n">
        <v>0.85</v>
      </c>
      <c r="W4433" s="16" t="n">
        <v>0.95</v>
      </c>
      <c r="X4433" s="16" t="n">
        <v>0.95</v>
      </c>
      <c r="Y4433" s="16" t="n">
        <v>283.15</v>
      </c>
      <c r="Z4433" s="16" t="n">
        <v>13.2225573486805</v>
      </c>
      <c r="AA4433" s="16" t="n">
        <v>118.4176852193223</v>
      </c>
      <c r="AB4433" s="16" t="n">
        <v>2610</v>
      </c>
      <c r="AC4433" s="16" t="n">
        <v>4.782608695652174</v>
      </c>
      <c r="AD4433" s="16" t="n"/>
      <c r="AE4433" s="16" t="inlineStr">
        <is>
          <t>eps_reg</t>
        </is>
      </c>
    </row>
    <row r="4434">
      <c r="A4434" s="16" t="inlineStr">
        <is>
          <t>KF-M10-OFAT-0136</t>
        </is>
      </c>
      <c r="B4434" s="16" t="inlineStr">
        <is>
          <t>6.2</t>
        </is>
      </c>
      <c r="C4434" s="16" t="inlineStr">
        <is>
          <t>6.2b</t>
        </is>
      </c>
      <c r="D4434" s="16" t="inlineStr">
        <is>
          <t>una variable a la vez</t>
        </is>
      </c>
      <c r="E4434" s="16" t="inlineStr">
        <is>
          <t>KF-M10</t>
        </is>
      </c>
      <c r="F4434" s="16" t="inlineStr">
        <is>
          <t>KF-M10-OFAT</t>
        </is>
      </c>
      <c r="G4434" s="16" t="inlineStr">
        <is>
          <t>B14-OFAT</t>
        </is>
      </c>
      <c r="H4434" s="16" t="inlineStr">
        <is>
          <t>oat</t>
        </is>
      </c>
      <c r="I4434" s="16" t="inlineStr">
        <is>
          <t>CORREGIBLE</t>
        </is>
      </c>
      <c r="J4434" s="16" t="inlineStr">
        <is>
          <t>CORREGIBLE</t>
        </is>
      </c>
      <c r="K4434" s="16" t="b">
        <v>1</v>
      </c>
      <c r="L4434" s="16" t="b">
        <v>0</v>
      </c>
      <c r="M4434" s="16" t="b">
        <v>0</v>
      </c>
      <c r="N4434" s="16" t="b">
        <v>0</v>
      </c>
      <c r="O4434" s="16" t="n">
        <v>394.15</v>
      </c>
      <c r="P4434" s="16" t="n">
        <v>278.15</v>
      </c>
      <c r="Q4434" s="16" t="n">
        <v>3300</v>
      </c>
      <c r="R4434" s="16" t="n">
        <v>690</v>
      </c>
      <c r="S4434" s="16" t="n">
        <v>0.82</v>
      </c>
      <c r="T4434" s="16" t="n">
        <v>0.9</v>
      </c>
      <c r="U4434" s="16" t="n">
        <v>0.8</v>
      </c>
      <c r="V4434" s="16" t="n">
        <v>0.85</v>
      </c>
      <c r="W4434" s="16" t="n">
        <v>0.75</v>
      </c>
      <c r="X4434" s="16" t="n">
        <v>0.7357142857142857</v>
      </c>
      <c r="Y4434" s="16" t="n">
        <v>283.15</v>
      </c>
      <c r="Z4434" s="16" t="n">
        <v>13.55485652015634</v>
      </c>
      <c r="AA4434" s="16" t="n">
        <v>107.1981480938235</v>
      </c>
      <c r="AB4434" s="16" t="n">
        <v>2610</v>
      </c>
      <c r="AC4434" s="16" t="n">
        <v>4.782608695652174</v>
      </c>
      <c r="AD4434" s="16" t="inlineStr">
        <is>
          <t>O2</t>
        </is>
      </c>
      <c r="AE4434" s="16" t="inlineStr">
        <is>
          <t>eps_cond</t>
        </is>
      </c>
    </row>
    <row r="4435">
      <c r="A4435" s="16" t="inlineStr">
        <is>
          <t>KF-M10-OFAT-0137</t>
        </is>
      </c>
      <c r="B4435" s="16" t="inlineStr">
        <is>
          <t>6.2</t>
        </is>
      </c>
      <c r="C4435" s="16" t="inlineStr">
        <is>
          <t>6.2b</t>
        </is>
      </c>
      <c r="D4435" s="16" t="inlineStr">
        <is>
          <t>una variable a la vez</t>
        </is>
      </c>
      <c r="E4435" s="16" t="inlineStr">
        <is>
          <t>KF-M10</t>
        </is>
      </c>
      <c r="F4435" s="16" t="inlineStr">
        <is>
          <t>KF-M10-OFAT</t>
        </is>
      </c>
      <c r="G4435" s="16" t="inlineStr">
        <is>
          <t>B14-OFAT</t>
        </is>
      </c>
      <c r="H4435" s="16" t="inlineStr">
        <is>
          <t>oat</t>
        </is>
      </c>
      <c r="I4435" s="16" t="inlineStr">
        <is>
          <t>CORREGIBLE</t>
        </is>
      </c>
      <c r="J4435" s="16" t="inlineStr">
        <is>
          <t>CORREGIBLE</t>
        </is>
      </c>
      <c r="K4435" s="16" t="b">
        <v>1</v>
      </c>
      <c r="L4435" s="16" t="b">
        <v>0</v>
      </c>
      <c r="M4435" s="16" t="b">
        <v>0</v>
      </c>
      <c r="N4435" s="16" t="b">
        <v>0</v>
      </c>
      <c r="O4435" s="16" t="n">
        <v>394.15</v>
      </c>
      <c r="P4435" s="16" t="n">
        <v>278.15</v>
      </c>
      <c r="Q4435" s="16" t="n">
        <v>3300</v>
      </c>
      <c r="R4435" s="16" t="n">
        <v>690</v>
      </c>
      <c r="S4435" s="16" t="n">
        <v>0.82</v>
      </c>
      <c r="T4435" s="16" t="n">
        <v>0.9</v>
      </c>
      <c r="U4435" s="16" t="n">
        <v>0.8</v>
      </c>
      <c r="V4435" s="16" t="n">
        <v>0.85</v>
      </c>
      <c r="W4435" s="16" t="n">
        <v>0.75</v>
      </c>
      <c r="X4435" s="16" t="n">
        <v>0.7</v>
      </c>
      <c r="Y4435" s="16" t="n">
        <v>283.15</v>
      </c>
      <c r="Z4435" s="16" t="n">
        <v>13.27270931580798</v>
      </c>
      <c r="AA4435" s="16" t="n">
        <v>101.2565386201739</v>
      </c>
      <c r="AB4435" s="16" t="n">
        <v>2610</v>
      </c>
      <c r="AC4435" s="16" t="n">
        <v>4.782608695652174</v>
      </c>
      <c r="AD4435" s="16" t="inlineStr">
        <is>
          <t>O2</t>
        </is>
      </c>
      <c r="AE4435" s="16" t="inlineStr">
        <is>
          <t>eps_cond</t>
        </is>
      </c>
    </row>
    <row r="4436">
      <c r="A4436" s="16" t="inlineStr">
        <is>
          <t>KF-M10-OFAT-0138</t>
        </is>
      </c>
      <c r="B4436" s="16" t="inlineStr">
        <is>
          <t>6.2</t>
        </is>
      </c>
      <c r="C4436" s="16" t="inlineStr">
        <is>
          <t>6.2b</t>
        </is>
      </c>
      <c r="D4436" s="16" t="inlineStr">
        <is>
          <t>una variable a la vez</t>
        </is>
      </c>
      <c r="E4436" s="16" t="inlineStr">
        <is>
          <t>KF-M10</t>
        </is>
      </c>
      <c r="F4436" s="16" t="inlineStr">
        <is>
          <t>KF-M10-OFAT</t>
        </is>
      </c>
      <c r="G4436" s="16" t="inlineStr">
        <is>
          <t>B14-OFAT</t>
        </is>
      </c>
      <c r="H4436" s="16" t="inlineStr">
        <is>
          <t>oat</t>
        </is>
      </c>
      <c r="I4436" s="16" t="inlineStr">
        <is>
          <t>CORREGIBLE</t>
        </is>
      </c>
      <c r="J4436" s="16" t="inlineStr">
        <is>
          <t>CORREGIBLE</t>
        </is>
      </c>
      <c r="K4436" s="16" t="b">
        <v>1</v>
      </c>
      <c r="L4436" s="16" t="b">
        <v>0</v>
      </c>
      <c r="M4436" s="16" t="b">
        <v>0</v>
      </c>
      <c r="N4436" s="16" t="b">
        <v>0</v>
      </c>
      <c r="O4436" s="16" t="n">
        <v>394.15</v>
      </c>
      <c r="P4436" s="16" t="n">
        <v>278.15</v>
      </c>
      <c r="Q4436" s="16" t="n">
        <v>3300</v>
      </c>
      <c r="R4436" s="16" t="n">
        <v>690</v>
      </c>
      <c r="S4436" s="16" t="n">
        <v>0.82</v>
      </c>
      <c r="T4436" s="16" t="n">
        <v>0.9</v>
      </c>
      <c r="U4436" s="16" t="n">
        <v>0.8</v>
      </c>
      <c r="V4436" s="16" t="n">
        <v>0.85</v>
      </c>
      <c r="W4436" s="16" t="n">
        <v>0.75</v>
      </c>
      <c r="X4436" s="16" t="n">
        <v>0.7892857142857143</v>
      </c>
      <c r="Y4436" s="16" t="n">
        <v>283.15</v>
      </c>
      <c r="Z4436" s="16" t="n">
        <v>13.68561535292171</v>
      </c>
      <c r="AA4436" s="16" t="n">
        <v>113.4744273495411</v>
      </c>
      <c r="AB4436" s="16" t="n">
        <v>2610</v>
      </c>
      <c r="AC4436" s="16" t="n">
        <v>4.782608695652174</v>
      </c>
      <c r="AD4436" s="16" t="inlineStr">
        <is>
          <t>O2</t>
        </is>
      </c>
      <c r="AE4436" s="16" t="inlineStr">
        <is>
          <t>eps_cond</t>
        </is>
      </c>
    </row>
    <row r="4437">
      <c r="A4437" s="16" t="inlineStr">
        <is>
          <t>KF-M10-OFAT-0139</t>
        </is>
      </c>
      <c r="B4437" s="16" t="inlineStr">
        <is>
          <t>6.2</t>
        </is>
      </c>
      <c r="C4437" s="16" t="inlineStr">
        <is>
          <t>6.2b</t>
        </is>
      </c>
      <c r="D4437" s="16" t="inlineStr">
        <is>
          <t>una variable a la vez</t>
        </is>
      </c>
      <c r="E4437" s="16" t="inlineStr">
        <is>
          <t>KF-M10</t>
        </is>
      </c>
      <c r="F4437" s="16" t="inlineStr">
        <is>
          <t>KF-M10-OFAT</t>
        </is>
      </c>
      <c r="G4437" s="16" t="inlineStr">
        <is>
          <t>B14-OFAT</t>
        </is>
      </c>
      <c r="H4437" s="16" t="inlineStr">
        <is>
          <t>oat</t>
        </is>
      </c>
      <c r="I4437" s="16" t="inlineStr">
        <is>
          <t>CORREGIBLE</t>
        </is>
      </c>
      <c r="J4437" s="16" t="inlineStr">
        <is>
          <t>CORREGIBLE</t>
        </is>
      </c>
      <c r="K4437" s="16" t="b">
        <v>1</v>
      </c>
      <c r="L4437" s="16" t="b">
        <v>0</v>
      </c>
      <c r="M4437" s="16" t="b">
        <v>0</v>
      </c>
      <c r="N4437" s="16" t="b">
        <v>0</v>
      </c>
      <c r="O4437" s="16" t="n">
        <v>394.15</v>
      </c>
      <c r="P4437" s="16" t="n">
        <v>278.15</v>
      </c>
      <c r="Q4437" s="16" t="n">
        <v>3300</v>
      </c>
      <c r="R4437" s="16" t="n">
        <v>690</v>
      </c>
      <c r="S4437" s="16" t="n">
        <v>0.82</v>
      </c>
      <c r="T4437" s="16" t="n">
        <v>0.9</v>
      </c>
      <c r="U4437" s="16" t="n">
        <v>0.8</v>
      </c>
      <c r="V4437" s="16" t="n">
        <v>0.85</v>
      </c>
      <c r="W4437" s="16" t="n">
        <v>0.75</v>
      </c>
      <c r="X4437" s="16" t="n">
        <v>0.7714285714285714</v>
      </c>
      <c r="Y4437" s="16" t="n">
        <v>283.15</v>
      </c>
      <c r="Z4437" s="16" t="n">
        <v>13.67598418117441</v>
      </c>
      <c r="AA4437" s="16" t="n">
        <v>111.7099934619436</v>
      </c>
      <c r="AB4437" s="16" t="n">
        <v>2610</v>
      </c>
      <c r="AC4437" s="16" t="n">
        <v>4.782608695652174</v>
      </c>
      <c r="AD4437" s="16" t="inlineStr">
        <is>
          <t>O2</t>
        </is>
      </c>
      <c r="AE4437" s="16" t="inlineStr">
        <is>
          <t>eps_cond</t>
        </is>
      </c>
    </row>
    <row r="4438">
      <c r="A4438" s="16" t="inlineStr">
        <is>
          <t>KF-M10-OFAT-0140</t>
        </is>
      </c>
      <c r="B4438" s="16" t="inlineStr">
        <is>
          <t>6.2</t>
        </is>
      </c>
      <c r="C4438" s="16" t="inlineStr">
        <is>
          <t>6.2b</t>
        </is>
      </c>
      <c r="D4438" s="16" t="inlineStr">
        <is>
          <t>una variable a la vez</t>
        </is>
      </c>
      <c r="E4438" s="16" t="inlineStr">
        <is>
          <t>KF-M10</t>
        </is>
      </c>
      <c r="F4438" s="16" t="inlineStr">
        <is>
          <t>KF-M10-OFAT</t>
        </is>
      </c>
      <c r="G4438" s="16" t="inlineStr">
        <is>
          <t>B14-OFAT</t>
        </is>
      </c>
      <c r="H4438" s="16" t="inlineStr">
        <is>
          <t>oat</t>
        </is>
      </c>
      <c r="I4438" s="16" t="inlineStr">
        <is>
          <t>CORREGIBLE</t>
        </is>
      </c>
      <c r="J4438" s="16" t="inlineStr">
        <is>
          <t>CORREGIBLE</t>
        </is>
      </c>
      <c r="K4438" s="16" t="b">
        <v>1</v>
      </c>
      <c r="L4438" s="16" t="b">
        <v>0</v>
      </c>
      <c r="M4438" s="16" t="b">
        <v>0</v>
      </c>
      <c r="N4438" s="16" t="b">
        <v>0</v>
      </c>
      <c r="O4438" s="16" t="n">
        <v>394.15</v>
      </c>
      <c r="P4438" s="16" t="n">
        <v>278.15</v>
      </c>
      <c r="Q4438" s="16" t="n">
        <v>3300</v>
      </c>
      <c r="R4438" s="16" t="n">
        <v>690</v>
      </c>
      <c r="S4438" s="16" t="n">
        <v>0.82</v>
      </c>
      <c r="T4438" s="16" t="n">
        <v>0.9</v>
      </c>
      <c r="U4438" s="16" t="n">
        <v>0.8</v>
      </c>
      <c r="V4438" s="16" t="n">
        <v>0.85</v>
      </c>
      <c r="W4438" s="16" t="n">
        <v>0.75</v>
      </c>
      <c r="X4438" s="16" t="n">
        <v>0.7178571428571429</v>
      </c>
      <c r="Y4438" s="16" t="n">
        <v>283.15</v>
      </c>
      <c r="Z4438" s="16" t="n">
        <v>13.43604548696222</v>
      </c>
      <c r="AA4438" s="16" t="n">
        <v>104.4154083721469</v>
      </c>
      <c r="AB4438" s="16" t="n">
        <v>2610</v>
      </c>
      <c r="AC4438" s="16" t="n">
        <v>4.782608695652174</v>
      </c>
      <c r="AD4438" s="16" t="inlineStr">
        <is>
          <t>O2</t>
        </is>
      </c>
      <c r="AE4438" s="16" t="inlineStr">
        <is>
          <t>eps_cond</t>
        </is>
      </c>
    </row>
    <row r="4439">
      <c r="A4439" s="16" t="inlineStr">
        <is>
          <t>KF-M10-OFAT-0141</t>
        </is>
      </c>
      <c r="B4439" s="16" t="inlineStr">
        <is>
          <t>6.2</t>
        </is>
      </c>
      <c r="C4439" s="16" t="inlineStr">
        <is>
          <t>6.2b</t>
        </is>
      </c>
      <c r="D4439" s="16" t="inlineStr">
        <is>
          <t>una variable a la vez</t>
        </is>
      </c>
      <c r="E4439" s="16" t="inlineStr">
        <is>
          <t>KF-M10</t>
        </is>
      </c>
      <c r="F4439" s="16" t="inlineStr">
        <is>
          <t>KF-M10-OFAT</t>
        </is>
      </c>
      <c r="G4439" s="16" t="inlineStr">
        <is>
          <t>B14-OFAT</t>
        </is>
      </c>
      <c r="H4439" s="16" t="inlineStr">
        <is>
          <t>oat</t>
        </is>
      </c>
      <c r="I4439" s="16" t="inlineStr">
        <is>
          <t>CORREGIBLE</t>
        </is>
      </c>
      <c r="J4439" s="16" t="inlineStr">
        <is>
          <t>CORREGIBLE</t>
        </is>
      </c>
      <c r="K4439" s="16" t="b">
        <v>1</v>
      </c>
      <c r="L4439" s="16" t="b">
        <v>0</v>
      </c>
      <c r="M4439" s="16" t="b">
        <v>0</v>
      </c>
      <c r="N4439" s="16" t="b">
        <v>0</v>
      </c>
      <c r="O4439" s="16" t="n">
        <v>394.15</v>
      </c>
      <c r="P4439" s="16" t="n">
        <v>278.15</v>
      </c>
      <c r="Q4439" s="16" t="n">
        <v>3300</v>
      </c>
      <c r="R4439" s="16" t="n">
        <v>690</v>
      </c>
      <c r="S4439" s="16" t="n">
        <v>0.82</v>
      </c>
      <c r="T4439" s="16" t="n">
        <v>0.9</v>
      </c>
      <c r="U4439" s="16" t="n">
        <v>0.8</v>
      </c>
      <c r="V4439" s="16" t="n">
        <v>0.85</v>
      </c>
      <c r="W4439" s="16" t="n">
        <v>0.75</v>
      </c>
      <c r="X4439" s="16" t="n">
        <v>0.8071428571428571</v>
      </c>
      <c r="Y4439" s="16" t="n">
        <v>283.15</v>
      </c>
      <c r="Z4439" s="16" t="n">
        <v>13.66545888324331</v>
      </c>
      <c r="AA4439" s="16" t="n">
        <v>114.9332418953533</v>
      </c>
      <c r="AB4439" s="16" t="n">
        <v>2610</v>
      </c>
      <c r="AC4439" s="16" t="n">
        <v>4.782608695652174</v>
      </c>
      <c r="AD4439" s="16" t="inlineStr">
        <is>
          <t>O2</t>
        </is>
      </c>
      <c r="AE4439" s="16" t="inlineStr">
        <is>
          <t>eps_cond</t>
        </is>
      </c>
    </row>
    <row r="4440">
      <c r="A4440" s="16" t="inlineStr">
        <is>
          <t>KF-M10-OFAT-0142</t>
        </is>
      </c>
      <c r="B4440" s="16" t="inlineStr">
        <is>
          <t>6.2</t>
        </is>
      </c>
      <c r="C4440" s="16" t="inlineStr">
        <is>
          <t>6.2b</t>
        </is>
      </c>
      <c r="D4440" s="16" t="inlineStr">
        <is>
          <t>una variable a la vez</t>
        </is>
      </c>
      <c r="E4440" s="16" t="inlineStr">
        <is>
          <t>KF-M10</t>
        </is>
      </c>
      <c r="F4440" s="16" t="inlineStr">
        <is>
          <t>KF-M10-OFAT</t>
        </is>
      </c>
      <c r="G4440" s="16" t="inlineStr">
        <is>
          <t>B14-OFAT</t>
        </is>
      </c>
      <c r="H4440" s="16" t="inlineStr">
        <is>
          <t>oat</t>
        </is>
      </c>
      <c r="I4440" s="16" t="inlineStr">
        <is>
          <t>CORREGIBLE</t>
        </is>
      </c>
      <c r="J4440" s="16" t="inlineStr">
        <is>
          <t>CORREGIBLE</t>
        </is>
      </c>
      <c r="K4440" s="16" t="b">
        <v>1</v>
      </c>
      <c r="L4440" s="16" t="b">
        <v>0</v>
      </c>
      <c r="M4440" s="16" t="b">
        <v>0</v>
      </c>
      <c r="N4440" s="16" t="b">
        <v>0</v>
      </c>
      <c r="O4440" s="16" t="n">
        <v>394.15</v>
      </c>
      <c r="P4440" s="16" t="n">
        <v>278.15</v>
      </c>
      <c r="Q4440" s="16" t="n">
        <v>3300</v>
      </c>
      <c r="R4440" s="16" t="n">
        <v>690</v>
      </c>
      <c r="S4440" s="16" t="n">
        <v>0.82</v>
      </c>
      <c r="T4440" s="16" t="n">
        <v>0.9</v>
      </c>
      <c r="U4440" s="16" t="n">
        <v>0.8</v>
      </c>
      <c r="V4440" s="16" t="n">
        <v>0.85</v>
      </c>
      <c r="W4440" s="16" t="n">
        <v>0.75</v>
      </c>
      <c r="X4440" s="16" t="n">
        <v>0.825</v>
      </c>
      <c r="Y4440" s="16" t="n">
        <v>283.15</v>
      </c>
      <c r="Z4440" s="16" t="n">
        <v>13.61822915051719</v>
      </c>
      <c r="AA4440" s="16" t="n">
        <v>116.101986482687</v>
      </c>
      <c r="AB4440" s="16" t="n">
        <v>2610</v>
      </c>
      <c r="AC4440" s="16" t="n">
        <v>4.782608695652174</v>
      </c>
      <c r="AD4440" s="16" t="inlineStr">
        <is>
          <t>O2</t>
        </is>
      </c>
      <c r="AE4440" s="16" t="inlineStr">
        <is>
          <t>eps_cond</t>
        </is>
      </c>
    </row>
    <row r="4441">
      <c r="A4441" s="16" t="inlineStr">
        <is>
          <t>KF-M10-OFAT-0143</t>
        </is>
      </c>
      <c r="B4441" s="16" t="inlineStr">
        <is>
          <t>6.2</t>
        </is>
      </c>
      <c r="C4441" s="16" t="inlineStr">
        <is>
          <t>6.2b</t>
        </is>
      </c>
      <c r="D4441" s="16" t="inlineStr">
        <is>
          <t>una variable a la vez</t>
        </is>
      </c>
      <c r="E4441" s="16" t="inlineStr">
        <is>
          <t>KF-M10</t>
        </is>
      </c>
      <c r="F4441" s="16" t="inlineStr">
        <is>
          <t>KF-M10-OFAT</t>
        </is>
      </c>
      <c r="G4441" s="16" t="inlineStr">
        <is>
          <t>B14-OFAT</t>
        </is>
      </c>
      <c r="H4441" s="16" t="inlineStr">
        <is>
          <t>oat</t>
        </is>
      </c>
      <c r="I4441" s="16" t="inlineStr">
        <is>
          <t>CORREGIBLE</t>
        </is>
      </c>
      <c r="J4441" s="16" t="inlineStr">
        <is>
          <t>CORREGIBLE</t>
        </is>
      </c>
      <c r="K4441" s="16" t="b">
        <v>1</v>
      </c>
      <c r="L4441" s="16" t="b">
        <v>0</v>
      </c>
      <c r="M4441" s="16" t="b">
        <v>0</v>
      </c>
      <c r="N4441" s="16" t="b">
        <v>0</v>
      </c>
      <c r="O4441" s="16" t="n">
        <v>394.15</v>
      </c>
      <c r="P4441" s="16" t="n">
        <v>278.15</v>
      </c>
      <c r="Q4441" s="16" t="n">
        <v>3300</v>
      </c>
      <c r="R4441" s="16" t="n">
        <v>690</v>
      </c>
      <c r="S4441" s="16" t="n">
        <v>0.82</v>
      </c>
      <c r="T4441" s="16" t="n">
        <v>0.9</v>
      </c>
      <c r="U4441" s="16" t="n">
        <v>0.8</v>
      </c>
      <c r="V4441" s="16" t="n">
        <v>0.85</v>
      </c>
      <c r="W4441" s="16" t="n">
        <v>0.75</v>
      </c>
      <c r="X4441" s="16" t="n">
        <v>0.8785714285714286</v>
      </c>
      <c r="Y4441" s="16" t="n">
        <v>283.15</v>
      </c>
      <c r="Z4441" s="16" t="n">
        <v>13.33681054343614</v>
      </c>
      <c r="AA4441" s="16" t="n">
        <v>118.0099625880554</v>
      </c>
      <c r="AB4441" s="16" t="n">
        <v>2610</v>
      </c>
      <c r="AC4441" s="16" t="n">
        <v>4.782608695652174</v>
      </c>
      <c r="AD4441" s="16" t="inlineStr">
        <is>
          <t>O2</t>
        </is>
      </c>
      <c r="AE4441" s="16" t="inlineStr">
        <is>
          <t>eps_cond</t>
        </is>
      </c>
    </row>
    <row r="4442">
      <c r="A4442" s="16" t="inlineStr">
        <is>
          <t>KF-M10-OFAT-0144</t>
        </is>
      </c>
      <c r="B4442" s="16" t="inlineStr">
        <is>
          <t>6.2</t>
        </is>
      </c>
      <c r="C4442" s="16" t="inlineStr">
        <is>
          <t>6.2b</t>
        </is>
      </c>
      <c r="D4442" s="16" t="inlineStr">
        <is>
          <t>una variable a la vez</t>
        </is>
      </c>
      <c r="E4442" s="16" t="inlineStr">
        <is>
          <t>KF-M10</t>
        </is>
      </c>
      <c r="F4442" s="16" t="inlineStr">
        <is>
          <t>KF-M10-OFAT</t>
        </is>
      </c>
      <c r="G4442" s="16" t="inlineStr">
        <is>
          <t>B14-OFAT</t>
        </is>
      </c>
      <c r="H4442" s="16" t="inlineStr">
        <is>
          <t>oat</t>
        </is>
      </c>
      <c r="I4442" s="16" t="inlineStr">
        <is>
          <t>CORREGIBLE</t>
        </is>
      </c>
      <c r="J4442" s="16" t="inlineStr">
        <is>
          <t>CORREGIBLE</t>
        </is>
      </c>
      <c r="K4442" s="16" t="b">
        <v>1</v>
      </c>
      <c r="L4442" s="16" t="b">
        <v>0</v>
      </c>
      <c r="M4442" s="16" t="b">
        <v>0</v>
      </c>
      <c r="N4442" s="16" t="b">
        <v>0</v>
      </c>
      <c r="O4442" s="16" t="n">
        <v>394.15</v>
      </c>
      <c r="P4442" s="16" t="n">
        <v>278.15</v>
      </c>
      <c r="Q4442" s="16" t="n">
        <v>3300</v>
      </c>
      <c r="R4442" s="16" t="n">
        <v>690</v>
      </c>
      <c r="S4442" s="16" t="n">
        <v>0.82</v>
      </c>
      <c r="T4442" s="16" t="n">
        <v>0.9</v>
      </c>
      <c r="U4442" s="16" t="n">
        <v>0.8</v>
      </c>
      <c r="V4442" s="16" t="n">
        <v>0.85</v>
      </c>
      <c r="W4442" s="16" t="n">
        <v>0.75</v>
      </c>
      <c r="X4442" s="16" t="n">
        <v>0.8428571428571427</v>
      </c>
      <c r="Y4442" s="16" t="n">
        <v>283.15</v>
      </c>
      <c r="Z4442" s="16" t="n">
        <v>13.54632205142735</v>
      </c>
      <c r="AA4442" s="16" t="n">
        <v>116.9952827766313</v>
      </c>
      <c r="AB4442" s="16" t="n">
        <v>2610</v>
      </c>
      <c r="AC4442" s="16" t="n">
        <v>4.782608695652174</v>
      </c>
      <c r="AD4442" s="16" t="inlineStr">
        <is>
          <t>O2</t>
        </is>
      </c>
      <c r="AE4442" s="16" t="inlineStr">
        <is>
          <t>eps_cond</t>
        </is>
      </c>
    </row>
    <row r="4443">
      <c r="A4443" s="16" t="inlineStr">
        <is>
          <t>KF-M10-OFAT-0145</t>
        </is>
      </c>
      <c r="B4443" s="16" t="inlineStr">
        <is>
          <t>6.2</t>
        </is>
      </c>
      <c r="C4443" s="16" t="inlineStr">
        <is>
          <t>6.2b</t>
        </is>
      </c>
      <c r="D4443" s="16" t="inlineStr">
        <is>
          <t>una variable a la vez</t>
        </is>
      </c>
      <c r="E4443" s="16" t="inlineStr">
        <is>
          <t>KF-M10</t>
        </is>
      </c>
      <c r="F4443" s="16" t="inlineStr">
        <is>
          <t>KF-M10-OFAT</t>
        </is>
      </c>
      <c r="G4443" s="16" t="inlineStr">
        <is>
          <t>B14-OFAT</t>
        </is>
      </c>
      <c r="H4443" s="16" t="inlineStr">
        <is>
          <t>oat</t>
        </is>
      </c>
      <c r="I4443" s="16" t="inlineStr">
        <is>
          <t>CORREGIBLE</t>
        </is>
      </c>
      <c r="J4443" s="16" t="inlineStr">
        <is>
          <t>CORREGIBLE</t>
        </is>
      </c>
      <c r="K4443" s="16" t="b">
        <v>1</v>
      </c>
      <c r="L4443" s="16" t="b">
        <v>0</v>
      </c>
      <c r="M4443" s="16" t="b">
        <v>0</v>
      </c>
      <c r="N4443" s="16" t="b">
        <v>0</v>
      </c>
      <c r="O4443" s="16" t="n">
        <v>394.15</v>
      </c>
      <c r="P4443" s="16" t="n">
        <v>278.15</v>
      </c>
      <c r="Q4443" s="16" t="n">
        <v>3300</v>
      </c>
      <c r="R4443" s="16" t="n">
        <v>690</v>
      </c>
      <c r="S4443" s="16" t="n">
        <v>0.82</v>
      </c>
      <c r="T4443" s="16" t="n">
        <v>0.9</v>
      </c>
      <c r="U4443" s="16" t="n">
        <v>0.8</v>
      </c>
      <c r="V4443" s="16" t="n">
        <v>0.85</v>
      </c>
      <c r="W4443" s="16" t="n">
        <v>0.75</v>
      </c>
      <c r="X4443" s="16" t="n">
        <v>0.8607142857142857</v>
      </c>
      <c r="Y4443" s="16" t="n">
        <v>283.15</v>
      </c>
      <c r="Z4443" s="16" t="n">
        <v>13.45187778776944</v>
      </c>
      <c r="AA4443" s="16" t="n">
        <v>117.6269218125091</v>
      </c>
      <c r="AB4443" s="16" t="n">
        <v>2610</v>
      </c>
      <c r="AC4443" s="16" t="n">
        <v>4.782608695652174</v>
      </c>
      <c r="AD4443" s="16" t="inlineStr">
        <is>
          <t>O2</t>
        </is>
      </c>
      <c r="AE4443" s="16" t="inlineStr">
        <is>
          <t>eps_cond</t>
        </is>
      </c>
    </row>
    <row r="4444">
      <c r="A4444" s="16" t="inlineStr">
        <is>
          <t>KF-M10-OFAT-0146</t>
        </is>
      </c>
      <c r="B4444" s="16" t="inlineStr">
        <is>
          <t>6.2</t>
        </is>
      </c>
      <c r="C4444" s="16" t="inlineStr">
        <is>
          <t>6.2b</t>
        </is>
      </c>
      <c r="D4444" s="16" t="inlineStr">
        <is>
          <t>una variable a la vez</t>
        </is>
      </c>
      <c r="E4444" s="16" t="inlineStr">
        <is>
          <t>KF-M10</t>
        </is>
      </c>
      <c r="F4444" s="16" t="inlineStr">
        <is>
          <t>KF-M10-OFAT</t>
        </is>
      </c>
      <c r="G4444" s="16" t="inlineStr">
        <is>
          <t>B14-OFAT</t>
        </is>
      </c>
      <c r="H4444" s="16" t="inlineStr">
        <is>
          <t>oat</t>
        </is>
      </c>
      <c r="I4444" s="16" t="inlineStr">
        <is>
          <t>CORREGIBLE</t>
        </is>
      </c>
      <c r="J4444" s="16" t="inlineStr">
        <is>
          <t>CORREGIBLE</t>
        </is>
      </c>
      <c r="K4444" s="16" t="b">
        <v>1</v>
      </c>
      <c r="L4444" s="16" t="b">
        <v>0</v>
      </c>
      <c r="M4444" s="16" t="b">
        <v>0</v>
      </c>
      <c r="N4444" s="16" t="b">
        <v>0</v>
      </c>
      <c r="O4444" s="16" t="n">
        <v>394.15</v>
      </c>
      <c r="P4444" s="16" t="n">
        <v>278.15</v>
      </c>
      <c r="Q4444" s="16" t="n">
        <v>3300</v>
      </c>
      <c r="R4444" s="16" t="n">
        <v>690</v>
      </c>
      <c r="S4444" s="16" t="n">
        <v>0.82</v>
      </c>
      <c r="T4444" s="16" t="n">
        <v>0.9</v>
      </c>
      <c r="U4444" s="16" t="n">
        <v>0.8</v>
      </c>
      <c r="V4444" s="16" t="n">
        <v>0.85</v>
      </c>
      <c r="W4444" s="16" t="n">
        <v>0.75</v>
      </c>
      <c r="X4444" s="16" t="n">
        <v>0.8964285714285714</v>
      </c>
      <c r="Y4444" s="16" t="n">
        <v>283.15</v>
      </c>
      <c r="Z4444" s="16" t="n">
        <v>13.20284501487816</v>
      </c>
      <c r="AA4444" s="16" t="n">
        <v>118.1566475888708</v>
      </c>
      <c r="AB4444" s="16" t="n">
        <v>2610</v>
      </c>
      <c r="AC4444" s="16" t="n">
        <v>4.782608695652174</v>
      </c>
      <c r="AD4444" s="16" t="inlineStr">
        <is>
          <t>O2</t>
        </is>
      </c>
      <c r="AE4444" s="16" t="inlineStr">
        <is>
          <t>eps_cond</t>
        </is>
      </c>
    </row>
    <row r="4445">
      <c r="A4445" s="16" t="inlineStr">
        <is>
          <t>KF-M10-OFAT-0147</t>
        </is>
      </c>
      <c r="B4445" s="16" t="inlineStr">
        <is>
          <t>6.2</t>
        </is>
      </c>
      <c r="C4445" s="16" t="inlineStr">
        <is>
          <t>6.2b</t>
        </is>
      </c>
      <c r="D4445" s="16" t="inlineStr">
        <is>
          <t>una variable a la vez</t>
        </is>
      </c>
      <c r="E4445" s="16" t="inlineStr">
        <is>
          <t>KF-M10</t>
        </is>
      </c>
      <c r="F4445" s="16" t="inlineStr">
        <is>
          <t>KF-M10-OFAT</t>
        </is>
      </c>
      <c r="G4445" s="16" t="inlineStr">
        <is>
          <t>B14-OFAT</t>
        </is>
      </c>
      <c r="H4445" s="16" t="inlineStr">
        <is>
          <t>oat</t>
        </is>
      </c>
      <c r="I4445" s="16" t="inlineStr">
        <is>
          <t>CORREGIBLE</t>
        </is>
      </c>
      <c r="J4445" s="16" t="inlineStr">
        <is>
          <t>CORREGIBLE</t>
        </is>
      </c>
      <c r="K4445" s="16" t="b">
        <v>1</v>
      </c>
      <c r="L4445" s="16" t="b">
        <v>0</v>
      </c>
      <c r="M4445" s="16" t="b">
        <v>0</v>
      </c>
      <c r="N4445" s="16" t="b">
        <v>0</v>
      </c>
      <c r="O4445" s="16" t="n">
        <v>394.15</v>
      </c>
      <c r="P4445" s="16" t="n">
        <v>278.15</v>
      </c>
      <c r="Q4445" s="16" t="n">
        <v>3300</v>
      </c>
      <c r="R4445" s="16" t="n">
        <v>690</v>
      </c>
      <c r="S4445" s="16" t="n">
        <v>0.82</v>
      </c>
      <c r="T4445" s="16" t="n">
        <v>0.9</v>
      </c>
      <c r="U4445" s="16" t="n">
        <v>0.8</v>
      </c>
      <c r="V4445" s="16" t="n">
        <v>0.85</v>
      </c>
      <c r="W4445" s="16" t="n">
        <v>0.75</v>
      </c>
      <c r="X4445" s="16" t="n">
        <v>0.9142857142857144</v>
      </c>
      <c r="Y4445" s="16" t="n">
        <v>283.15</v>
      </c>
      <c r="Z4445" s="16" t="n">
        <v>13.05151877785543</v>
      </c>
      <c r="AA4445" s="16" t="n">
        <v>118.0785320309238</v>
      </c>
      <c r="AB4445" s="16" t="n">
        <v>2610</v>
      </c>
      <c r="AC4445" s="16" t="n">
        <v>4.782608695652174</v>
      </c>
      <c r="AD4445" s="16" t="inlineStr">
        <is>
          <t>O2</t>
        </is>
      </c>
      <c r="AE4445" s="16" t="inlineStr">
        <is>
          <t>eps_cond</t>
        </is>
      </c>
    </row>
    <row r="4446">
      <c r="A4446" s="16" t="inlineStr">
        <is>
          <t>KF-M10-OFAT-0148</t>
        </is>
      </c>
      <c r="B4446" s="16" t="inlineStr">
        <is>
          <t>6.2</t>
        </is>
      </c>
      <c r="C4446" s="16" t="inlineStr">
        <is>
          <t>6.2b</t>
        </is>
      </c>
      <c r="D4446" s="16" t="inlineStr">
        <is>
          <t>una variable a la vez</t>
        </is>
      </c>
      <c r="E4446" s="16" t="inlineStr">
        <is>
          <t>KF-M10</t>
        </is>
      </c>
      <c r="F4446" s="16" t="inlineStr">
        <is>
          <t>KF-M10-OFAT</t>
        </is>
      </c>
      <c r="G4446" s="16" t="inlineStr">
        <is>
          <t>B14-OFAT</t>
        </is>
      </c>
      <c r="H4446" s="16" t="inlineStr">
        <is>
          <t>oat</t>
        </is>
      </c>
      <c r="I4446" s="16" t="inlineStr">
        <is>
          <t>CORREGIBLE</t>
        </is>
      </c>
      <c r="J4446" s="16" t="inlineStr">
        <is>
          <t>CORREGIBLE</t>
        </is>
      </c>
      <c r="K4446" s="16" t="b">
        <v>1</v>
      </c>
      <c r="L4446" s="16" t="b">
        <v>0</v>
      </c>
      <c r="M4446" s="16" t="b">
        <v>0</v>
      </c>
      <c r="N4446" s="16" t="b">
        <v>0</v>
      </c>
      <c r="O4446" s="16" t="n">
        <v>394.15</v>
      </c>
      <c r="P4446" s="16" t="n">
        <v>278.15</v>
      </c>
      <c r="Q4446" s="16" t="n">
        <v>3300</v>
      </c>
      <c r="R4446" s="16" t="n">
        <v>690</v>
      </c>
      <c r="S4446" s="16" t="n">
        <v>0.82</v>
      </c>
      <c r="T4446" s="16" t="n">
        <v>0.9</v>
      </c>
      <c r="U4446" s="16" t="n">
        <v>0.8</v>
      </c>
      <c r="V4446" s="16" t="n">
        <v>0.85</v>
      </c>
      <c r="W4446" s="16" t="n">
        <v>0.75</v>
      </c>
      <c r="X4446" s="16" t="n">
        <v>0.9321428571428571</v>
      </c>
      <c r="Y4446" s="16" t="n">
        <v>283.15</v>
      </c>
      <c r="Z4446" s="16" t="n">
        <v>12.88927452768026</v>
      </c>
      <c r="AA4446" s="16" t="n">
        <v>117.8367870762241</v>
      </c>
      <c r="AB4446" s="16" t="n">
        <v>2610</v>
      </c>
      <c r="AC4446" s="16" t="n">
        <v>4.782608695652174</v>
      </c>
      <c r="AD4446" s="16" t="inlineStr">
        <is>
          <t>O2</t>
        </is>
      </c>
      <c r="AE4446" s="16" t="inlineStr">
        <is>
          <t>eps_cond</t>
        </is>
      </c>
    </row>
    <row r="4447">
      <c r="A4447" s="16" t="inlineStr">
        <is>
          <t>KF-M10-OFAT-0149</t>
        </is>
      </c>
      <c r="B4447" s="16" t="inlineStr">
        <is>
          <t>6.2</t>
        </is>
      </c>
      <c r="C4447" s="16" t="inlineStr">
        <is>
          <t>6.2b</t>
        </is>
      </c>
      <c r="D4447" s="16" t="inlineStr">
        <is>
          <t>una variable a la vez</t>
        </is>
      </c>
      <c r="E4447" s="16" t="inlineStr">
        <is>
          <t>KF-M10</t>
        </is>
      </c>
      <c r="F4447" s="16" t="inlineStr">
        <is>
          <t>KF-M10-OFAT</t>
        </is>
      </c>
      <c r="G4447" s="16" t="inlineStr">
        <is>
          <t>B14-OFAT</t>
        </is>
      </c>
      <c r="H4447" s="16" t="inlineStr">
        <is>
          <t>oat</t>
        </is>
      </c>
      <c r="I4447" s="16" t="inlineStr">
        <is>
          <t>KALINA</t>
        </is>
      </c>
      <c r="J4447" s="16" t="inlineStr">
        <is>
          <t>KALINA</t>
        </is>
      </c>
      <c r="K4447" s="16" t="b">
        <v>1</v>
      </c>
      <c r="L4447" s="16" t="b">
        <v>1</v>
      </c>
      <c r="M4447" s="16" t="b">
        <v>0</v>
      </c>
      <c r="N4447" s="16" t="b">
        <v>0</v>
      </c>
      <c r="O4447" s="16" t="n">
        <v>394.15</v>
      </c>
      <c r="P4447" s="16" t="n">
        <v>278.15</v>
      </c>
      <c r="Q4447" s="16" t="n">
        <v>3300</v>
      </c>
      <c r="R4447" s="16" t="n">
        <v>690</v>
      </c>
      <c r="S4447" s="16" t="n">
        <v>0.82</v>
      </c>
      <c r="T4447" s="16" t="n">
        <v>0.9</v>
      </c>
      <c r="U4447" s="16" t="n">
        <v>0.8</v>
      </c>
      <c r="V4447" s="16" t="n">
        <v>0.85</v>
      </c>
      <c r="W4447" s="16" t="n">
        <v>0.75</v>
      </c>
      <c r="X4447" s="16" t="n">
        <v>0.95</v>
      </c>
      <c r="Y4447" s="16" t="n">
        <v>283.15</v>
      </c>
      <c r="Z4447" s="16" t="n">
        <v>12.73186450108127</v>
      </c>
      <c r="AA4447" s="16" t="n">
        <v>117.5882909120357</v>
      </c>
      <c r="AB4447" s="16" t="n">
        <v>2610</v>
      </c>
      <c r="AC4447" s="16" t="n">
        <v>4.782608695652174</v>
      </c>
      <c r="AD4447" s="16" t="n"/>
      <c r="AE4447" s="16" t="inlineStr">
        <is>
          <t>eps_cond</t>
        </is>
      </c>
    </row>
    <row r="4448">
      <c r="A4448" s="16" t="inlineStr">
        <is>
          <t>KF-M10-MALLA-0000</t>
        </is>
      </c>
      <c r="B4448" s="16" t="inlineStr">
        <is>
          <t>6.2</t>
        </is>
      </c>
      <c r="C4448" s="16" t="inlineStr">
        <is>
          <t>6.2c</t>
        </is>
      </c>
      <c r="D4448" s="16" t="inlineStr">
        <is>
          <t>malla x_b × P_baja (x_b 0.70–0.91)</t>
        </is>
      </c>
      <c r="E4448" s="16" t="inlineStr">
        <is>
          <t>KF-M10</t>
        </is>
      </c>
      <c r="F4448" s="16" t="inlineStr">
        <is>
          <t>KF-M10-MALLA</t>
        </is>
      </c>
      <c r="G4448" s="16" t="inlineStr">
        <is>
          <t>B14-MALLA</t>
        </is>
      </c>
      <c r="H4448" s="16" t="inlineStr">
        <is>
          <t>malla</t>
        </is>
      </c>
      <c r="I4448" s="16" t="inlineStr">
        <is>
          <t>KALINA</t>
        </is>
      </c>
      <c r="J4448" s="16" t="inlineStr">
        <is>
          <t>KALINA</t>
        </is>
      </c>
      <c r="K4448" s="16" t="b">
        <v>1</v>
      </c>
      <c r="L4448" s="16" t="b">
        <v>1</v>
      </c>
      <c r="M4448" s="16" t="b">
        <v>0</v>
      </c>
      <c r="N4448" s="16" t="b">
        <v>0</v>
      </c>
      <c r="O4448" s="16" t="n">
        <v>394.15</v>
      </c>
      <c r="P4448" s="16" t="n">
        <v>278.15</v>
      </c>
      <c r="Q4448" s="16" t="n">
        <v>3300</v>
      </c>
      <c r="R4448" s="16" t="n">
        <v>800</v>
      </c>
      <c r="S4448" s="16" t="n">
        <v>0.7</v>
      </c>
      <c r="T4448" s="16" t="n">
        <v>0.9</v>
      </c>
      <c r="U4448" s="16" t="n">
        <v>0.8</v>
      </c>
      <c r="V4448" s="16" t="n">
        <v>0.85</v>
      </c>
      <c r="W4448" s="16" t="n">
        <v>0.75</v>
      </c>
      <c r="X4448" s="16" t="n">
        <v>0.95</v>
      </c>
      <c r="Y4448" s="16" t="n">
        <v>283.15</v>
      </c>
      <c r="Z4448" s="16" t="n">
        <v>10.24650136995742</v>
      </c>
      <c r="AA4448" s="16" t="n">
        <v>67.82672994600385</v>
      </c>
      <c r="AB4448" s="16" t="n">
        <v>2500</v>
      </c>
      <c r="AC4448" s="16" t="n">
        <v>4.125</v>
      </c>
      <c r="AD4448" s="16" t="n"/>
      <c r="AE4448" s="16" t="n"/>
    </row>
    <row r="4449">
      <c r="A4449" s="16" t="inlineStr">
        <is>
          <t>KF-M10-MALLA-0001</t>
        </is>
      </c>
      <c r="B4449" s="16" t="inlineStr">
        <is>
          <t>6.2</t>
        </is>
      </c>
      <c r="C4449" s="16" t="inlineStr">
        <is>
          <t>6.2c</t>
        </is>
      </c>
      <c r="D4449" s="16" t="inlineStr">
        <is>
          <t>malla x_b × P_baja (x_b 0.70–0.91)</t>
        </is>
      </c>
      <c r="E4449" s="16" t="inlineStr">
        <is>
          <t>KF-M10</t>
        </is>
      </c>
      <c r="F4449" s="16" t="inlineStr">
        <is>
          <t>KF-M10-MALLA</t>
        </is>
      </c>
      <c r="G4449" s="16" t="inlineStr">
        <is>
          <t>B14-MALLA</t>
        </is>
      </c>
      <c r="H4449" s="16" t="inlineStr">
        <is>
          <t>malla</t>
        </is>
      </c>
      <c r="I4449" s="16" t="inlineStr">
        <is>
          <t>KALINA</t>
        </is>
      </c>
      <c r="J4449" s="16" t="inlineStr">
        <is>
          <t>KALINA</t>
        </is>
      </c>
      <c r="K4449" s="16" t="b">
        <v>1</v>
      </c>
      <c r="L4449" s="16" t="b">
        <v>1</v>
      </c>
      <c r="M4449" s="16" t="b">
        <v>0</v>
      </c>
      <c r="N4449" s="16" t="b">
        <v>0</v>
      </c>
      <c r="O4449" s="16" t="n">
        <v>394.15</v>
      </c>
      <c r="P4449" s="16" t="n">
        <v>278.15</v>
      </c>
      <c r="Q4449" s="16" t="n">
        <v>3300</v>
      </c>
      <c r="R4449" s="16" t="n">
        <v>700</v>
      </c>
      <c r="S4449" s="16" t="n">
        <v>0.7</v>
      </c>
      <c r="T4449" s="16" t="n">
        <v>0.9</v>
      </c>
      <c r="U4449" s="16" t="n">
        <v>0.8</v>
      </c>
      <c r="V4449" s="16" t="n">
        <v>0.85</v>
      </c>
      <c r="W4449" s="16" t="n">
        <v>0.75</v>
      </c>
      <c r="X4449" s="16" t="n">
        <v>0.95</v>
      </c>
      <c r="Y4449" s="16" t="n">
        <v>283.15</v>
      </c>
      <c r="Z4449" s="16" t="n">
        <v>11.13714518689483</v>
      </c>
      <c r="AA4449" s="16" t="n">
        <v>73.73359517226434</v>
      </c>
      <c r="AB4449" s="16" t="n">
        <v>2600</v>
      </c>
      <c r="AC4449" s="16" t="n">
        <v>4.714285714285714</v>
      </c>
      <c r="AD4449" s="16" t="n"/>
      <c r="AE4449" s="16" t="n"/>
    </row>
    <row r="4450">
      <c r="A4450" s="16" t="inlineStr">
        <is>
          <t>KF-M10-MALLA-0002</t>
        </is>
      </c>
      <c r="B4450" s="16" t="inlineStr">
        <is>
          <t>6.2</t>
        </is>
      </c>
      <c r="C4450" s="16" t="inlineStr">
        <is>
          <t>6.2c</t>
        </is>
      </c>
      <c r="D4450" s="16" t="inlineStr">
        <is>
          <t>malla x_b × P_baja (x_b 0.70–0.91)</t>
        </is>
      </c>
      <c r="E4450" s="16" t="inlineStr">
        <is>
          <t>KF-M10</t>
        </is>
      </c>
      <c r="F4450" s="16" t="inlineStr">
        <is>
          <t>KF-M10-MALLA</t>
        </is>
      </c>
      <c r="G4450" s="16" t="inlineStr">
        <is>
          <t>B14-MALLA</t>
        </is>
      </c>
      <c r="H4450" s="16" t="inlineStr">
        <is>
          <t>malla</t>
        </is>
      </c>
      <c r="I4450" s="16" t="inlineStr">
        <is>
          <t>KALINA</t>
        </is>
      </c>
      <c r="J4450" s="16" t="inlineStr">
        <is>
          <t>KALINA</t>
        </is>
      </c>
      <c r="K4450" s="16" t="b">
        <v>1</v>
      </c>
      <c r="L4450" s="16" t="b">
        <v>1</v>
      </c>
      <c r="M4450" s="16" t="b">
        <v>0</v>
      </c>
      <c r="N4450" s="16" t="b">
        <v>0</v>
      </c>
      <c r="O4450" s="16" t="n">
        <v>394.15</v>
      </c>
      <c r="P4450" s="16" t="n">
        <v>278.15</v>
      </c>
      <c r="Q4450" s="16" t="n">
        <v>3300</v>
      </c>
      <c r="R4450" s="16" t="n">
        <v>600</v>
      </c>
      <c r="S4450" s="16" t="n">
        <v>0.7</v>
      </c>
      <c r="T4450" s="16" t="n">
        <v>0.9</v>
      </c>
      <c r="U4450" s="16" t="n">
        <v>0.8</v>
      </c>
      <c r="V4450" s="16" t="n">
        <v>0.85</v>
      </c>
      <c r="W4450" s="16" t="n">
        <v>0.75</v>
      </c>
      <c r="X4450" s="16" t="n">
        <v>0.95</v>
      </c>
      <c r="Y4450" s="16" t="n">
        <v>283.15</v>
      </c>
      <c r="Z4450" s="16" t="n">
        <v>12.14573638574525</v>
      </c>
      <c r="AA4450" s="16" t="n">
        <v>80.42551043491936</v>
      </c>
      <c r="AB4450" s="16" t="n">
        <v>2700</v>
      </c>
      <c r="AC4450" s="16" t="n">
        <v>5.5</v>
      </c>
      <c r="AD4450" s="16" t="n"/>
      <c r="AE4450" s="16" t="n"/>
    </row>
    <row r="4451">
      <c r="A4451" s="16" t="inlineStr">
        <is>
          <t>KF-M10-MALLA-0003</t>
        </is>
      </c>
      <c r="B4451" s="16" t="inlineStr">
        <is>
          <t>6.2</t>
        </is>
      </c>
      <c r="C4451" s="16" t="inlineStr">
        <is>
          <t>6.2c</t>
        </is>
      </c>
      <c r="D4451" s="16" t="inlineStr">
        <is>
          <t>malla x_b × P_baja (x_b 0.70–0.91)</t>
        </is>
      </c>
      <c r="E4451" s="16" t="inlineStr">
        <is>
          <t>KF-M10</t>
        </is>
      </c>
      <c r="F4451" s="16" t="inlineStr">
        <is>
          <t>KF-M10-MALLA</t>
        </is>
      </c>
      <c r="G4451" s="16" t="inlineStr">
        <is>
          <t>B14-MALLA</t>
        </is>
      </c>
      <c r="H4451" s="16" t="inlineStr">
        <is>
          <t>malla</t>
        </is>
      </c>
      <c r="I4451" s="16" t="inlineStr">
        <is>
          <t>KALINA</t>
        </is>
      </c>
      <c r="J4451" s="16" t="inlineStr">
        <is>
          <t>KALINA</t>
        </is>
      </c>
      <c r="K4451" s="16" t="b">
        <v>1</v>
      </c>
      <c r="L4451" s="16" t="b">
        <v>1</v>
      </c>
      <c r="M4451" s="16" t="b">
        <v>0</v>
      </c>
      <c r="N4451" s="16" t="b">
        <v>0</v>
      </c>
      <c r="O4451" s="16" t="n">
        <v>394.15</v>
      </c>
      <c r="P4451" s="16" t="n">
        <v>278.15</v>
      </c>
      <c r="Q4451" s="16" t="n">
        <v>3300</v>
      </c>
      <c r="R4451" s="16" t="n">
        <v>900</v>
      </c>
      <c r="S4451" s="16" t="n">
        <v>0.7</v>
      </c>
      <c r="T4451" s="16" t="n">
        <v>0.9</v>
      </c>
      <c r="U4451" s="16" t="n">
        <v>0.8</v>
      </c>
      <c r="V4451" s="16" t="n">
        <v>0.85</v>
      </c>
      <c r="W4451" s="16" t="n">
        <v>0.75</v>
      </c>
      <c r="X4451" s="16" t="n">
        <v>0.95</v>
      </c>
      <c r="Y4451" s="16" t="n">
        <v>283.15</v>
      </c>
      <c r="Z4451" s="16" t="n">
        <v>9.447926345267501</v>
      </c>
      <c r="AA4451" s="16" t="n">
        <v>62.53239170890871</v>
      </c>
      <c r="AB4451" s="16" t="n">
        <v>2400</v>
      </c>
      <c r="AC4451" s="16" t="n">
        <v>3.666666666666667</v>
      </c>
      <c r="AD4451" s="16" t="n"/>
      <c r="AE4451" s="16" t="n"/>
    </row>
    <row r="4452">
      <c r="A4452" s="16" t="inlineStr">
        <is>
          <t>KF-M10-MALLA-0004</t>
        </is>
      </c>
      <c r="B4452" s="16" t="inlineStr">
        <is>
          <t>6.2</t>
        </is>
      </c>
      <c r="C4452" s="16" t="inlineStr">
        <is>
          <t>6.2c</t>
        </is>
      </c>
      <c r="D4452" s="16" t="inlineStr">
        <is>
          <t>malla x_b × P_baja (x_b 0.70–0.91)</t>
        </is>
      </c>
      <c r="E4452" s="16" t="inlineStr">
        <is>
          <t>KF-M10</t>
        </is>
      </c>
      <c r="F4452" s="16" t="inlineStr">
        <is>
          <t>KF-M10-MALLA</t>
        </is>
      </c>
      <c r="G4452" s="16" t="inlineStr">
        <is>
          <t>B14-MALLA</t>
        </is>
      </c>
      <c r="H4452" s="16" t="inlineStr">
        <is>
          <t>malla</t>
        </is>
      </c>
      <c r="I4452" s="16" t="inlineStr">
        <is>
          <t>KALINA</t>
        </is>
      </c>
      <c r="J4452" s="16" t="inlineStr">
        <is>
          <t>KALINA</t>
        </is>
      </c>
      <c r="K4452" s="16" t="b">
        <v>1</v>
      </c>
      <c r="L4452" s="16" t="b">
        <v>1</v>
      </c>
      <c r="M4452" s="16" t="b">
        <v>0</v>
      </c>
      <c r="N4452" s="16" t="b">
        <v>0</v>
      </c>
      <c r="O4452" s="16" t="n">
        <v>394.15</v>
      </c>
      <c r="P4452" s="16" t="n">
        <v>278.15</v>
      </c>
      <c r="Q4452" s="16" t="n">
        <v>3300</v>
      </c>
      <c r="R4452" s="16" t="n">
        <v>1000</v>
      </c>
      <c r="S4452" s="16" t="n">
        <v>0.7</v>
      </c>
      <c r="T4452" s="16" t="n">
        <v>0.9</v>
      </c>
      <c r="U4452" s="16" t="n">
        <v>0.8</v>
      </c>
      <c r="V4452" s="16" t="n">
        <v>0.85</v>
      </c>
      <c r="W4452" s="16" t="n">
        <v>0.75</v>
      </c>
      <c r="X4452" s="16" t="n">
        <v>0.95</v>
      </c>
      <c r="Y4452" s="16" t="n">
        <v>283.15</v>
      </c>
      <c r="Z4452" s="16" t="n">
        <v>8.723466764624419</v>
      </c>
      <c r="AA4452" s="16" t="n">
        <v>57.73093256510222</v>
      </c>
      <c r="AB4452" s="16" t="n">
        <v>2300</v>
      </c>
      <c r="AC4452" s="16" t="n">
        <v>3.3</v>
      </c>
      <c r="AD4452" s="16" t="n"/>
      <c r="AE4452" s="16" t="n"/>
    </row>
    <row r="4453">
      <c r="A4453" s="16" t="inlineStr">
        <is>
          <t>KF-M10-MALLA-0005</t>
        </is>
      </c>
      <c r="B4453" s="16" t="inlineStr">
        <is>
          <t>6.2</t>
        </is>
      </c>
      <c r="C4453" s="16" t="inlineStr">
        <is>
          <t>6.2c</t>
        </is>
      </c>
      <c r="D4453" s="16" t="inlineStr">
        <is>
          <t>malla x_b × P_baja (x_b 0.70–0.91)</t>
        </is>
      </c>
      <c r="E4453" s="16" t="inlineStr">
        <is>
          <t>KF-M10</t>
        </is>
      </c>
      <c r="F4453" s="16" t="inlineStr">
        <is>
          <t>KF-M10-MALLA</t>
        </is>
      </c>
      <c r="G4453" s="16" t="inlineStr">
        <is>
          <t>B14-MALLA</t>
        </is>
      </c>
      <c r="H4453" s="16" t="inlineStr">
        <is>
          <t>malla</t>
        </is>
      </c>
      <c r="I4453" s="16" t="inlineStr">
        <is>
          <t>KALINA</t>
        </is>
      </c>
      <c r="J4453" s="16" t="inlineStr">
        <is>
          <t>KALINA</t>
        </is>
      </c>
      <c r="K4453" s="16" t="b">
        <v>1</v>
      </c>
      <c r="L4453" s="16" t="b">
        <v>1</v>
      </c>
      <c r="M4453" s="16" t="b">
        <v>0</v>
      </c>
      <c r="N4453" s="16" t="b">
        <v>0</v>
      </c>
      <c r="O4453" s="16" t="n">
        <v>394.15</v>
      </c>
      <c r="P4453" s="16" t="n">
        <v>278.15</v>
      </c>
      <c r="Q4453" s="16" t="n">
        <v>3300</v>
      </c>
      <c r="R4453" s="16" t="n">
        <v>500</v>
      </c>
      <c r="S4453" s="16" t="n">
        <v>0.7</v>
      </c>
      <c r="T4453" s="16" t="n">
        <v>0.9</v>
      </c>
      <c r="U4453" s="16" t="n">
        <v>0.8</v>
      </c>
      <c r="V4453" s="16" t="n">
        <v>0.85</v>
      </c>
      <c r="W4453" s="16" t="n">
        <v>0.75</v>
      </c>
      <c r="X4453" s="16" t="n">
        <v>0.95</v>
      </c>
      <c r="Y4453" s="16" t="n">
        <v>283.15</v>
      </c>
      <c r="Z4453" s="16" t="n">
        <v>13.31174620956</v>
      </c>
      <c r="AA4453" s="16" t="n">
        <v>88.16571431145088</v>
      </c>
      <c r="AB4453" s="16" t="n">
        <v>2800</v>
      </c>
      <c r="AC4453" s="16" t="n">
        <v>6.6</v>
      </c>
      <c r="AD4453" s="16" t="n"/>
      <c r="AE4453" s="16" t="n"/>
    </row>
    <row r="4454">
      <c r="A4454" s="16" t="inlineStr">
        <is>
          <t>KF-M10-MALLA-0006</t>
        </is>
      </c>
      <c r="B4454" s="16" t="inlineStr">
        <is>
          <t>6.2</t>
        </is>
      </c>
      <c r="C4454" s="16" t="inlineStr">
        <is>
          <t>6.2c</t>
        </is>
      </c>
      <c r="D4454" s="16" t="inlineStr">
        <is>
          <t>malla x_b × P_baja (x_b 0.70–0.91)</t>
        </is>
      </c>
      <c r="E4454" s="16" t="inlineStr">
        <is>
          <t>KF-M10</t>
        </is>
      </c>
      <c r="F4454" s="16" t="inlineStr">
        <is>
          <t>KF-M10-MALLA</t>
        </is>
      </c>
      <c r="G4454" s="16" t="inlineStr">
        <is>
          <t>B14-MALLA</t>
        </is>
      </c>
      <c r="H4454" s="16" t="inlineStr">
        <is>
          <t>malla</t>
        </is>
      </c>
      <c r="I4454" s="16" t="inlineStr">
        <is>
          <t>KALINA</t>
        </is>
      </c>
      <c r="J4454" s="16" t="inlineStr">
        <is>
          <t>KALINA</t>
        </is>
      </c>
      <c r="K4454" s="16" t="b">
        <v>1</v>
      </c>
      <c r="L4454" s="16" t="b">
        <v>1</v>
      </c>
      <c r="M4454" s="16" t="b">
        <v>0</v>
      </c>
      <c r="N4454" s="16" t="b">
        <v>0</v>
      </c>
      <c r="O4454" s="16" t="n">
        <v>394.15</v>
      </c>
      <c r="P4454" s="16" t="n">
        <v>278.15</v>
      </c>
      <c r="Q4454" s="16" t="n">
        <v>3300</v>
      </c>
      <c r="R4454" s="16" t="n">
        <v>1100</v>
      </c>
      <c r="S4454" s="16" t="n">
        <v>0.7</v>
      </c>
      <c r="T4454" s="16" t="n">
        <v>0.9</v>
      </c>
      <c r="U4454" s="16" t="n">
        <v>0.8</v>
      </c>
      <c r="V4454" s="16" t="n">
        <v>0.85</v>
      </c>
      <c r="W4454" s="16" t="n">
        <v>0.75</v>
      </c>
      <c r="X4454" s="16" t="n">
        <v>0.95</v>
      </c>
      <c r="Y4454" s="16" t="n">
        <v>283.15</v>
      </c>
      <c r="Z4454" s="16" t="n">
        <v>8.060112582714559</v>
      </c>
      <c r="AA4454" s="16" t="n">
        <v>53.33567587565032</v>
      </c>
      <c r="AB4454" s="16" t="n">
        <v>2200</v>
      </c>
      <c r="AC4454" s="16" t="n">
        <v>3</v>
      </c>
      <c r="AD4454" s="16" t="n"/>
      <c r="AE4454" s="16" t="n"/>
    </row>
    <row r="4455">
      <c r="A4455" s="16" t="inlineStr">
        <is>
          <t>KF-M10-MALLA-0007</t>
        </is>
      </c>
      <c r="B4455" s="16" t="inlineStr">
        <is>
          <t>6.2</t>
        </is>
      </c>
      <c r="C4455" s="16" t="inlineStr">
        <is>
          <t>6.2c</t>
        </is>
      </c>
      <c r="D4455" s="16" t="inlineStr">
        <is>
          <t>malla x_b × P_baja (x_b 0.70–0.91)</t>
        </is>
      </c>
      <c r="E4455" s="16" t="inlineStr">
        <is>
          <t>KF-M10</t>
        </is>
      </c>
      <c r="F4455" s="16" t="inlineStr">
        <is>
          <t>KF-M10-MALLA</t>
        </is>
      </c>
      <c r="G4455" s="16" t="inlineStr">
        <is>
          <t>B14-MALLA</t>
        </is>
      </c>
      <c r="H4455" s="16" t="inlineStr">
        <is>
          <t>malla</t>
        </is>
      </c>
      <c r="I4455" s="16" t="inlineStr">
        <is>
          <t>KALINA</t>
        </is>
      </c>
      <c r="J4455" s="16" t="inlineStr">
        <is>
          <t>KALINA</t>
        </is>
      </c>
      <c r="K4455" s="16" t="b">
        <v>1</v>
      </c>
      <c r="L4455" s="16" t="b">
        <v>1</v>
      </c>
      <c r="M4455" s="16" t="b">
        <v>0</v>
      </c>
      <c r="N4455" s="16" t="b">
        <v>0</v>
      </c>
      <c r="O4455" s="16" t="n">
        <v>394.15</v>
      </c>
      <c r="P4455" s="16" t="n">
        <v>278.15</v>
      </c>
      <c r="Q4455" s="16" t="n">
        <v>3300</v>
      </c>
      <c r="R4455" s="16" t="n">
        <v>1200</v>
      </c>
      <c r="S4455" s="16" t="n">
        <v>0.7</v>
      </c>
      <c r="T4455" s="16" t="n">
        <v>0.9</v>
      </c>
      <c r="U4455" s="16" t="n">
        <v>0.8</v>
      </c>
      <c r="V4455" s="16" t="n">
        <v>0.85</v>
      </c>
      <c r="W4455" s="16" t="n">
        <v>0.75</v>
      </c>
      <c r="X4455" s="16" t="n">
        <v>0.95</v>
      </c>
      <c r="Y4455" s="16" t="n">
        <v>283.15</v>
      </c>
      <c r="Z4455" s="16" t="n">
        <v>7.448105419529829</v>
      </c>
      <c r="AA4455" s="16" t="n">
        <v>49.28162774830448</v>
      </c>
      <c r="AB4455" s="16" t="n">
        <v>2100</v>
      </c>
      <c r="AC4455" s="16" t="n">
        <v>2.75</v>
      </c>
      <c r="AD4455" s="16" t="n"/>
      <c r="AE4455" s="16" t="n"/>
    </row>
    <row r="4456">
      <c r="A4456" s="16" t="inlineStr">
        <is>
          <t>KF-M10-MALLA-0008</t>
        </is>
      </c>
      <c r="B4456" s="16" t="inlineStr">
        <is>
          <t>6.2</t>
        </is>
      </c>
      <c r="C4456" s="16" t="inlineStr">
        <is>
          <t>6.2c</t>
        </is>
      </c>
      <c r="D4456" s="16" t="inlineStr">
        <is>
          <t>malla x_b × P_baja (x_b 0.70–0.91)</t>
        </is>
      </c>
      <c r="E4456" s="16" t="inlineStr">
        <is>
          <t>KF-M10</t>
        </is>
      </c>
      <c r="F4456" s="16" t="inlineStr">
        <is>
          <t>KF-M10-MALLA</t>
        </is>
      </c>
      <c r="G4456" s="16" t="inlineStr">
        <is>
          <t>B14-MALLA</t>
        </is>
      </c>
      <c r="H4456" s="16" t="inlineStr">
        <is>
          <t>malla</t>
        </is>
      </c>
      <c r="I4456" s="16" t="inlineStr">
        <is>
          <t>KALINA</t>
        </is>
      </c>
      <c r="J4456" s="16" t="inlineStr">
        <is>
          <t>KALINA</t>
        </is>
      </c>
      <c r="K4456" s="16" t="b">
        <v>1</v>
      </c>
      <c r="L4456" s="16" t="b">
        <v>1</v>
      </c>
      <c r="M4456" s="16" t="b">
        <v>0</v>
      </c>
      <c r="N4456" s="16" t="b">
        <v>0</v>
      </c>
      <c r="O4456" s="16" t="n">
        <v>394.15</v>
      </c>
      <c r="P4456" s="16" t="n">
        <v>278.15</v>
      </c>
      <c r="Q4456" s="16" t="n">
        <v>3300</v>
      </c>
      <c r="R4456" s="16" t="n">
        <v>700</v>
      </c>
      <c r="S4456" s="16" t="n">
        <v>0.73</v>
      </c>
      <c r="T4456" s="16" t="n">
        <v>0.9</v>
      </c>
      <c r="U4456" s="16" t="n">
        <v>0.8</v>
      </c>
      <c r="V4456" s="16" t="n">
        <v>0.85</v>
      </c>
      <c r="W4456" s="16" t="n">
        <v>0.75</v>
      </c>
      <c r="X4456" s="16" t="n">
        <v>0.95</v>
      </c>
      <c r="Y4456" s="16" t="n">
        <v>283.15</v>
      </c>
      <c r="Z4456" s="16" t="n">
        <v>11.59599578737516</v>
      </c>
      <c r="AA4456" s="16" t="n">
        <v>84.60312754070164</v>
      </c>
      <c r="AB4456" s="16" t="n">
        <v>2600</v>
      </c>
      <c r="AC4456" s="16" t="n">
        <v>4.714285714285714</v>
      </c>
      <c r="AD4456" s="16" t="n"/>
      <c r="AE4456" s="16" t="n"/>
    </row>
    <row r="4457">
      <c r="A4457" s="16" t="inlineStr">
        <is>
          <t>KF-M10-MALLA-0009</t>
        </is>
      </c>
      <c r="B4457" s="16" t="inlineStr">
        <is>
          <t>6.2</t>
        </is>
      </c>
      <c r="C4457" s="16" t="inlineStr">
        <is>
          <t>6.2c</t>
        </is>
      </c>
      <c r="D4457" s="16" t="inlineStr">
        <is>
          <t>malla x_b × P_baja (x_b 0.70–0.91)</t>
        </is>
      </c>
      <c r="E4457" s="16" t="inlineStr">
        <is>
          <t>KF-M10</t>
        </is>
      </c>
      <c r="F4457" s="16" t="inlineStr">
        <is>
          <t>KF-M10-MALLA</t>
        </is>
      </c>
      <c r="G4457" s="16" t="inlineStr">
        <is>
          <t>B14-MALLA</t>
        </is>
      </c>
      <c r="H4457" s="16" t="inlineStr">
        <is>
          <t>malla</t>
        </is>
      </c>
      <c r="I4457" s="16" t="inlineStr">
        <is>
          <t>KALINA</t>
        </is>
      </c>
      <c r="J4457" s="16" t="inlineStr">
        <is>
          <t>KALINA</t>
        </is>
      </c>
      <c r="K4457" s="16" t="b">
        <v>1</v>
      </c>
      <c r="L4457" s="16" t="b">
        <v>1</v>
      </c>
      <c r="M4457" s="16" t="b">
        <v>0</v>
      </c>
      <c r="N4457" s="16" t="b">
        <v>0</v>
      </c>
      <c r="O4457" s="16" t="n">
        <v>394.15</v>
      </c>
      <c r="P4457" s="16" t="n">
        <v>278.15</v>
      </c>
      <c r="Q4457" s="16" t="n">
        <v>3300</v>
      </c>
      <c r="R4457" s="16" t="n">
        <v>800</v>
      </c>
      <c r="S4457" s="16" t="n">
        <v>0.73</v>
      </c>
      <c r="T4457" s="16" t="n">
        <v>0.9</v>
      </c>
      <c r="U4457" s="16" t="n">
        <v>0.8</v>
      </c>
      <c r="V4457" s="16" t="n">
        <v>0.85</v>
      </c>
      <c r="W4457" s="16" t="n">
        <v>0.75</v>
      </c>
      <c r="X4457" s="16" t="n">
        <v>0.95</v>
      </c>
      <c r="Y4457" s="16" t="n">
        <v>283.15</v>
      </c>
      <c r="Z4457" s="16" t="n">
        <v>10.67286526250645</v>
      </c>
      <c r="AA4457" s="16" t="n">
        <v>77.85443457569674</v>
      </c>
      <c r="AB4457" s="16" t="n">
        <v>2500</v>
      </c>
      <c r="AC4457" s="16" t="n">
        <v>4.125</v>
      </c>
      <c r="AD4457" s="16" t="n"/>
      <c r="AE4457" s="16" t="n"/>
    </row>
    <row r="4458">
      <c r="A4458" s="16" t="inlineStr">
        <is>
          <t>KF-M10-MALLA-0010</t>
        </is>
      </c>
      <c r="B4458" s="16" t="inlineStr">
        <is>
          <t>6.2</t>
        </is>
      </c>
      <c r="C4458" s="16" t="inlineStr">
        <is>
          <t>6.2c</t>
        </is>
      </c>
      <c r="D4458" s="16" t="inlineStr">
        <is>
          <t>malla x_b × P_baja (x_b 0.70–0.91)</t>
        </is>
      </c>
      <c r="E4458" s="16" t="inlineStr">
        <is>
          <t>KF-M10</t>
        </is>
      </c>
      <c r="F4458" s="16" t="inlineStr">
        <is>
          <t>KF-M10-MALLA</t>
        </is>
      </c>
      <c r="G4458" s="16" t="inlineStr">
        <is>
          <t>B14-MALLA</t>
        </is>
      </c>
      <c r="H4458" s="16" t="inlineStr">
        <is>
          <t>malla</t>
        </is>
      </c>
      <c r="I4458" s="16" t="inlineStr">
        <is>
          <t>CORREGIBLE</t>
        </is>
      </c>
      <c r="J4458" s="16" t="inlineStr">
        <is>
          <t>CORREGIBLE</t>
        </is>
      </c>
      <c r="K4458" s="16" t="b">
        <v>1</v>
      </c>
      <c r="L4458" s="16" t="b">
        <v>0</v>
      </c>
      <c r="M4458" s="16" t="b">
        <v>0</v>
      </c>
      <c r="N4458" s="16" t="b">
        <v>0</v>
      </c>
      <c r="O4458" s="16" t="n">
        <v>394.15</v>
      </c>
      <c r="P4458" s="16" t="n">
        <v>278.15</v>
      </c>
      <c r="Q4458" s="16" t="n">
        <v>3300</v>
      </c>
      <c r="R4458" s="16" t="n">
        <v>500</v>
      </c>
      <c r="S4458" s="16" t="n">
        <v>0.73</v>
      </c>
      <c r="T4458" s="16" t="n">
        <v>0.9</v>
      </c>
      <c r="U4458" s="16" t="n">
        <v>0.8</v>
      </c>
      <c r="V4458" s="16" t="n">
        <v>0.85</v>
      </c>
      <c r="W4458" s="16" t="n">
        <v>0.75</v>
      </c>
      <c r="X4458" s="16" t="n">
        <v>0.95</v>
      </c>
      <c r="Y4458" s="16" t="n">
        <v>283.15</v>
      </c>
      <c r="Z4458" s="16" t="n">
        <v>13.84875944649204</v>
      </c>
      <c r="AA4458" s="16" t="n">
        <v>101.0849308077137</v>
      </c>
      <c r="AB4458" s="16" t="n">
        <v>2800</v>
      </c>
      <c r="AC4458" s="16" t="n">
        <v>6.6</v>
      </c>
      <c r="AD4458" s="16" t="inlineStr">
        <is>
          <t>O2</t>
        </is>
      </c>
      <c r="AE4458" s="16" t="n"/>
    </row>
    <row r="4459">
      <c r="A4459" s="16" t="inlineStr">
        <is>
          <t>KF-M10-MALLA-0011</t>
        </is>
      </c>
      <c r="B4459" s="16" t="inlineStr">
        <is>
          <t>6.2</t>
        </is>
      </c>
      <c r="C4459" s="16" t="inlineStr">
        <is>
          <t>6.2c</t>
        </is>
      </c>
      <c r="D4459" s="16" t="inlineStr">
        <is>
          <t>malla x_b × P_baja (x_b 0.70–0.91)</t>
        </is>
      </c>
      <c r="E4459" s="16" t="inlineStr">
        <is>
          <t>KF-M10</t>
        </is>
      </c>
      <c r="F4459" s="16" t="inlineStr">
        <is>
          <t>KF-M10-MALLA</t>
        </is>
      </c>
      <c r="G4459" s="16" t="inlineStr">
        <is>
          <t>B14-MALLA</t>
        </is>
      </c>
      <c r="H4459" s="16" t="inlineStr">
        <is>
          <t>malla</t>
        </is>
      </c>
      <c r="I4459" s="16" t="inlineStr">
        <is>
          <t>KALINA</t>
        </is>
      </c>
      <c r="J4459" s="16" t="inlineStr">
        <is>
          <t>KALINA</t>
        </is>
      </c>
      <c r="K4459" s="16" t="b">
        <v>1</v>
      </c>
      <c r="L4459" s="16" t="b">
        <v>1</v>
      </c>
      <c r="M4459" s="16" t="b">
        <v>0</v>
      </c>
      <c r="N4459" s="16" t="b">
        <v>0</v>
      </c>
      <c r="O4459" s="16" t="n">
        <v>394.15</v>
      </c>
      <c r="P4459" s="16" t="n">
        <v>278.15</v>
      </c>
      <c r="Q4459" s="16" t="n">
        <v>3300</v>
      </c>
      <c r="R4459" s="16" t="n">
        <v>900</v>
      </c>
      <c r="S4459" s="16" t="n">
        <v>0.73</v>
      </c>
      <c r="T4459" s="16" t="n">
        <v>0.9</v>
      </c>
      <c r="U4459" s="16" t="n">
        <v>0.8</v>
      </c>
      <c r="V4459" s="16" t="n">
        <v>0.85</v>
      </c>
      <c r="W4459" s="16" t="n">
        <v>0.75</v>
      </c>
      <c r="X4459" s="16" t="n">
        <v>0.95</v>
      </c>
      <c r="Y4459" s="16" t="n">
        <v>283.15</v>
      </c>
      <c r="Z4459" s="16" t="n">
        <v>9.844786465090319</v>
      </c>
      <c r="AA4459" s="16" t="n">
        <v>71.80308893823266</v>
      </c>
      <c r="AB4459" s="16" t="n">
        <v>2400</v>
      </c>
      <c r="AC4459" s="16" t="n">
        <v>3.666666666666667</v>
      </c>
      <c r="AD4459" s="16" t="n"/>
      <c r="AE4459" s="16" t="n"/>
    </row>
    <row r="4460">
      <c r="A4460" s="16" t="inlineStr">
        <is>
          <t>KF-M10-MALLA-0012</t>
        </is>
      </c>
      <c r="B4460" s="16" t="inlineStr">
        <is>
          <t>6.2</t>
        </is>
      </c>
      <c r="C4460" s="16" t="inlineStr">
        <is>
          <t>6.2c</t>
        </is>
      </c>
      <c r="D4460" s="16" t="inlineStr">
        <is>
          <t>malla x_b × P_baja (x_b 0.70–0.91)</t>
        </is>
      </c>
      <c r="E4460" s="16" t="inlineStr">
        <is>
          <t>KF-M10</t>
        </is>
      </c>
      <c r="F4460" s="16" t="inlineStr">
        <is>
          <t>KF-M10-MALLA</t>
        </is>
      </c>
      <c r="G4460" s="16" t="inlineStr">
        <is>
          <t>B14-MALLA</t>
        </is>
      </c>
      <c r="H4460" s="16" t="inlineStr">
        <is>
          <t>malla</t>
        </is>
      </c>
      <c r="I4460" s="16" t="inlineStr">
        <is>
          <t>KALINA</t>
        </is>
      </c>
      <c r="J4460" s="16" t="inlineStr">
        <is>
          <t>KALINA</t>
        </is>
      </c>
      <c r="K4460" s="16" t="b">
        <v>1</v>
      </c>
      <c r="L4460" s="16" t="b">
        <v>1</v>
      </c>
      <c r="M4460" s="16" t="b">
        <v>0</v>
      </c>
      <c r="N4460" s="16" t="b">
        <v>0</v>
      </c>
      <c r="O4460" s="16" t="n">
        <v>394.15</v>
      </c>
      <c r="P4460" s="16" t="n">
        <v>278.15</v>
      </c>
      <c r="Q4460" s="16" t="n">
        <v>3300</v>
      </c>
      <c r="R4460" s="16" t="n">
        <v>600</v>
      </c>
      <c r="S4460" s="16" t="n">
        <v>0.73</v>
      </c>
      <c r="T4460" s="16" t="n">
        <v>0.9</v>
      </c>
      <c r="U4460" s="16" t="n">
        <v>0.8</v>
      </c>
      <c r="V4460" s="16" t="n">
        <v>0.85</v>
      </c>
      <c r="W4460" s="16" t="n">
        <v>0.75</v>
      </c>
      <c r="X4460" s="16" t="n">
        <v>0.95</v>
      </c>
      <c r="Y4460" s="16" t="n">
        <v>283.15</v>
      </c>
      <c r="Z4460" s="16" t="n">
        <v>12.64098328957887</v>
      </c>
      <c r="AA4460" s="16" t="n">
        <v>92.24626350517067</v>
      </c>
      <c r="AB4460" s="16" t="n">
        <v>2700</v>
      </c>
      <c r="AC4460" s="16" t="n">
        <v>5.5</v>
      </c>
      <c r="AD4460" s="16" t="n"/>
      <c r="AE4460" s="16" t="n"/>
    </row>
    <row r="4461">
      <c r="A4461" s="16" t="inlineStr">
        <is>
          <t>KF-M10-MALLA-0013</t>
        </is>
      </c>
      <c r="B4461" s="16" t="inlineStr">
        <is>
          <t>6.2</t>
        </is>
      </c>
      <c r="C4461" s="16" t="inlineStr">
        <is>
          <t>6.2c</t>
        </is>
      </c>
      <c r="D4461" s="16" t="inlineStr">
        <is>
          <t>malla x_b × P_baja (x_b 0.70–0.91)</t>
        </is>
      </c>
      <c r="E4461" s="16" t="inlineStr">
        <is>
          <t>KF-M10</t>
        </is>
      </c>
      <c r="F4461" s="16" t="inlineStr">
        <is>
          <t>KF-M10-MALLA</t>
        </is>
      </c>
      <c r="G4461" s="16" t="inlineStr">
        <is>
          <t>B14-MALLA</t>
        </is>
      </c>
      <c r="H4461" s="16" t="inlineStr">
        <is>
          <t>malla</t>
        </is>
      </c>
      <c r="I4461" s="16" t="inlineStr">
        <is>
          <t>KALINA</t>
        </is>
      </c>
      <c r="J4461" s="16" t="inlineStr">
        <is>
          <t>KALINA</t>
        </is>
      </c>
      <c r="K4461" s="16" t="b">
        <v>1</v>
      </c>
      <c r="L4461" s="16" t="b">
        <v>1</v>
      </c>
      <c r="M4461" s="16" t="b">
        <v>0</v>
      </c>
      <c r="N4461" s="16" t="b">
        <v>0</v>
      </c>
      <c r="O4461" s="16" t="n">
        <v>394.15</v>
      </c>
      <c r="P4461" s="16" t="n">
        <v>278.15</v>
      </c>
      <c r="Q4461" s="16" t="n">
        <v>3300</v>
      </c>
      <c r="R4461" s="16" t="n">
        <v>1000</v>
      </c>
      <c r="S4461" s="16" t="n">
        <v>0.73</v>
      </c>
      <c r="T4461" s="16" t="n">
        <v>0.9</v>
      </c>
      <c r="U4461" s="16" t="n">
        <v>0.8</v>
      </c>
      <c r="V4461" s="16" t="n">
        <v>0.85</v>
      </c>
      <c r="W4461" s="16" t="n">
        <v>0.75</v>
      </c>
      <c r="X4461" s="16" t="n">
        <v>0.95</v>
      </c>
      <c r="Y4461" s="16" t="n">
        <v>283.15</v>
      </c>
      <c r="Z4461" s="16" t="n">
        <v>9.093187351032901</v>
      </c>
      <c r="AA4461" s="16" t="n">
        <v>66.31258271572578</v>
      </c>
      <c r="AB4461" s="16" t="n">
        <v>2300</v>
      </c>
      <c r="AC4461" s="16" t="n">
        <v>3.3</v>
      </c>
      <c r="AD4461" s="16" t="n"/>
      <c r="AE4461" s="16" t="n"/>
    </row>
    <row r="4462">
      <c r="A4462" s="16" t="inlineStr">
        <is>
          <t>KF-M10-MALLA-0014</t>
        </is>
      </c>
      <c r="B4462" s="16" t="inlineStr">
        <is>
          <t>6.2</t>
        </is>
      </c>
      <c r="C4462" s="16" t="inlineStr">
        <is>
          <t>6.2c</t>
        </is>
      </c>
      <c r="D4462" s="16" t="inlineStr">
        <is>
          <t>malla x_b × P_baja (x_b 0.70–0.91)</t>
        </is>
      </c>
      <c r="E4462" s="16" t="inlineStr">
        <is>
          <t>KF-M10</t>
        </is>
      </c>
      <c r="F4462" s="16" t="inlineStr">
        <is>
          <t>KF-M10-MALLA</t>
        </is>
      </c>
      <c r="G4462" s="16" t="inlineStr">
        <is>
          <t>B14-MALLA</t>
        </is>
      </c>
      <c r="H4462" s="16" t="inlineStr">
        <is>
          <t>malla</t>
        </is>
      </c>
      <c r="I4462" s="16" t="inlineStr">
        <is>
          <t>KALINA</t>
        </is>
      </c>
      <c r="J4462" s="16" t="inlineStr">
        <is>
          <t>KALINA</t>
        </is>
      </c>
      <c r="K4462" s="16" t="b">
        <v>1</v>
      </c>
      <c r="L4462" s="16" t="b">
        <v>1</v>
      </c>
      <c r="M4462" s="16" t="b">
        <v>0</v>
      </c>
      <c r="N4462" s="16" t="b">
        <v>0</v>
      </c>
      <c r="O4462" s="16" t="n">
        <v>394.15</v>
      </c>
      <c r="P4462" s="16" t="n">
        <v>278.15</v>
      </c>
      <c r="Q4462" s="16" t="n">
        <v>3300</v>
      </c>
      <c r="R4462" s="16" t="n">
        <v>1100</v>
      </c>
      <c r="S4462" s="16" t="n">
        <v>0.73</v>
      </c>
      <c r="T4462" s="16" t="n">
        <v>0.9</v>
      </c>
      <c r="U4462" s="16" t="n">
        <v>0.8</v>
      </c>
      <c r="V4462" s="16" t="n">
        <v>0.85</v>
      </c>
      <c r="W4462" s="16" t="n">
        <v>0.75</v>
      </c>
      <c r="X4462" s="16" t="n">
        <v>0.95</v>
      </c>
      <c r="Y4462" s="16" t="n">
        <v>283.15</v>
      </c>
      <c r="Z4462" s="16" t="n">
        <v>8.404626148994399</v>
      </c>
      <c r="AA4462" s="16" t="n">
        <v>61.28414985272794</v>
      </c>
      <c r="AB4462" s="16" t="n">
        <v>2200</v>
      </c>
      <c r="AC4462" s="16" t="n">
        <v>3</v>
      </c>
      <c r="AD4462" s="16" t="n"/>
      <c r="AE4462" s="16" t="n"/>
    </row>
    <row r="4463">
      <c r="A4463" s="16" t="inlineStr">
        <is>
          <t>KF-M10-MALLA-0015</t>
        </is>
      </c>
      <c r="B4463" s="16" t="inlineStr">
        <is>
          <t>6.2</t>
        </is>
      </c>
      <c r="C4463" s="16" t="inlineStr">
        <is>
          <t>6.2c</t>
        </is>
      </c>
      <c r="D4463" s="16" t="inlineStr">
        <is>
          <t>malla x_b × P_baja (x_b 0.70–0.91)</t>
        </is>
      </c>
      <c r="E4463" s="16" t="inlineStr">
        <is>
          <t>KF-M10</t>
        </is>
      </c>
      <c r="F4463" s="16" t="inlineStr">
        <is>
          <t>KF-M10-MALLA</t>
        </is>
      </c>
      <c r="G4463" s="16" t="inlineStr">
        <is>
          <t>B14-MALLA</t>
        </is>
      </c>
      <c r="H4463" s="16" t="inlineStr">
        <is>
          <t>malla</t>
        </is>
      </c>
      <c r="I4463" s="16" t="inlineStr">
        <is>
          <t>KALINA</t>
        </is>
      </c>
      <c r="J4463" s="16" t="inlineStr">
        <is>
          <t>KALINA</t>
        </is>
      </c>
      <c r="K4463" s="16" t="b">
        <v>1</v>
      </c>
      <c r="L4463" s="16" t="b">
        <v>1</v>
      </c>
      <c r="M4463" s="16" t="b">
        <v>0</v>
      </c>
      <c r="N4463" s="16" t="b">
        <v>0</v>
      </c>
      <c r="O4463" s="16" t="n">
        <v>394.15</v>
      </c>
      <c r="P4463" s="16" t="n">
        <v>278.15</v>
      </c>
      <c r="Q4463" s="16" t="n">
        <v>3300</v>
      </c>
      <c r="R4463" s="16" t="n">
        <v>1200</v>
      </c>
      <c r="S4463" s="16" t="n">
        <v>0.73</v>
      </c>
      <c r="T4463" s="16" t="n">
        <v>0.9</v>
      </c>
      <c r="U4463" s="16" t="n">
        <v>0.8</v>
      </c>
      <c r="V4463" s="16" t="n">
        <v>0.85</v>
      </c>
      <c r="W4463" s="16" t="n">
        <v>0.75</v>
      </c>
      <c r="X4463" s="16" t="n">
        <v>0.95</v>
      </c>
      <c r="Y4463" s="16" t="n">
        <v>283.15</v>
      </c>
      <c r="Z4463" s="16" t="n">
        <v>7.76903045664815</v>
      </c>
      <c r="AA4463" s="16" t="n">
        <v>56.64380494893359</v>
      </c>
      <c r="AB4463" s="16" t="n">
        <v>2100</v>
      </c>
      <c r="AC4463" s="16" t="n">
        <v>2.75</v>
      </c>
      <c r="AD4463" s="16" t="n"/>
      <c r="AE4463" s="16" t="n"/>
    </row>
    <row r="4464">
      <c r="A4464" s="16" t="inlineStr">
        <is>
          <t>KF-M10-MALLA-0016</t>
        </is>
      </c>
      <c r="B4464" s="16" t="inlineStr">
        <is>
          <t>6.2</t>
        </is>
      </c>
      <c r="C4464" s="16" t="inlineStr">
        <is>
          <t>6.2c</t>
        </is>
      </c>
      <c r="D4464" s="16" t="inlineStr">
        <is>
          <t>malla x_b × P_baja (x_b 0.70–0.91)</t>
        </is>
      </c>
      <c r="E4464" s="16" t="inlineStr">
        <is>
          <t>KF-M10</t>
        </is>
      </c>
      <c r="F4464" s="16" t="inlineStr">
        <is>
          <t>KF-M10-MALLA</t>
        </is>
      </c>
      <c r="G4464" s="16" t="inlineStr">
        <is>
          <t>B14-MALLA</t>
        </is>
      </c>
      <c r="H4464" s="16" t="inlineStr">
        <is>
          <t>malla</t>
        </is>
      </c>
      <c r="I4464" s="16" t="inlineStr">
        <is>
          <t>KALINA</t>
        </is>
      </c>
      <c r="J4464" s="16" t="inlineStr">
        <is>
          <t>KALINA</t>
        </is>
      </c>
      <c r="K4464" s="16" t="b">
        <v>1</v>
      </c>
      <c r="L4464" s="16" t="b">
        <v>1</v>
      </c>
      <c r="M4464" s="16" t="b">
        <v>0</v>
      </c>
      <c r="N4464" s="16" t="b">
        <v>0</v>
      </c>
      <c r="O4464" s="16" t="n">
        <v>394.15</v>
      </c>
      <c r="P4464" s="16" t="n">
        <v>278.15</v>
      </c>
      <c r="Q4464" s="16" t="n">
        <v>3300</v>
      </c>
      <c r="R4464" s="16" t="n">
        <v>800</v>
      </c>
      <c r="S4464" s="16" t="n">
        <v>0.76</v>
      </c>
      <c r="T4464" s="16" t="n">
        <v>0.9</v>
      </c>
      <c r="U4464" s="16" t="n">
        <v>0.8</v>
      </c>
      <c r="V4464" s="16" t="n">
        <v>0.85</v>
      </c>
      <c r="W4464" s="16" t="n">
        <v>0.75</v>
      </c>
      <c r="X4464" s="16" t="n">
        <v>0.95</v>
      </c>
      <c r="Y4464" s="16" t="n">
        <v>283.15</v>
      </c>
      <c r="Z4464" s="16" t="n">
        <v>11.03825727291369</v>
      </c>
      <c r="AA4464" s="16" t="n">
        <v>87.80391615700599</v>
      </c>
      <c r="AB4464" s="16" t="n">
        <v>2500</v>
      </c>
      <c r="AC4464" s="16" t="n">
        <v>4.125</v>
      </c>
      <c r="AD4464" s="16" t="n"/>
      <c r="AE4464" s="16" t="n"/>
    </row>
    <row r="4465">
      <c r="A4465" s="16" t="inlineStr">
        <is>
          <t>KF-M10-MALLA-0017</t>
        </is>
      </c>
      <c r="B4465" s="16" t="inlineStr">
        <is>
          <t>6.2</t>
        </is>
      </c>
      <c r="C4465" s="16" t="inlineStr">
        <is>
          <t>6.2c</t>
        </is>
      </c>
      <c r="D4465" s="16" t="inlineStr">
        <is>
          <t>malla x_b × P_baja (x_b 0.70–0.91)</t>
        </is>
      </c>
      <c r="E4465" s="16" t="inlineStr">
        <is>
          <t>KF-M10</t>
        </is>
      </c>
      <c r="F4465" s="16" t="inlineStr">
        <is>
          <t>KF-M10-MALLA</t>
        </is>
      </c>
      <c r="G4465" s="16" t="inlineStr">
        <is>
          <t>B14-MALLA</t>
        </is>
      </c>
      <c r="H4465" s="16" t="inlineStr">
        <is>
          <t>malla</t>
        </is>
      </c>
      <c r="I4465" s="16" t="inlineStr">
        <is>
          <t>KALINA</t>
        </is>
      </c>
      <c r="J4465" s="16" t="inlineStr">
        <is>
          <t>KALINA</t>
        </is>
      </c>
      <c r="K4465" s="16" t="b">
        <v>1</v>
      </c>
      <c r="L4465" s="16" t="b">
        <v>1</v>
      </c>
      <c r="M4465" s="16" t="b">
        <v>0</v>
      </c>
      <c r="N4465" s="16" t="b">
        <v>0</v>
      </c>
      <c r="O4465" s="16" t="n">
        <v>394.15</v>
      </c>
      <c r="P4465" s="16" t="n">
        <v>278.15</v>
      </c>
      <c r="Q4465" s="16" t="n">
        <v>3300</v>
      </c>
      <c r="R4465" s="16" t="n">
        <v>700</v>
      </c>
      <c r="S4465" s="16" t="n">
        <v>0.76</v>
      </c>
      <c r="T4465" s="16" t="n">
        <v>0.9</v>
      </c>
      <c r="U4465" s="16" t="n">
        <v>0.8</v>
      </c>
      <c r="V4465" s="16" t="n">
        <v>0.85</v>
      </c>
      <c r="W4465" s="16" t="n">
        <v>0.75</v>
      </c>
      <c r="X4465" s="16" t="n">
        <v>0.95</v>
      </c>
      <c r="Y4465" s="16" t="n">
        <v>283.15</v>
      </c>
      <c r="Z4465" s="16" t="n">
        <v>11.98914162146126</v>
      </c>
      <c r="AA4465" s="16" t="n">
        <v>95.38652936052044</v>
      </c>
      <c r="AB4465" s="16" t="n">
        <v>2600</v>
      </c>
      <c r="AC4465" s="16" t="n">
        <v>4.714285714285714</v>
      </c>
      <c r="AD4465" s="16" t="n"/>
      <c r="AE4465" s="16" t="n"/>
    </row>
    <row r="4466">
      <c r="A4466" s="16" t="inlineStr">
        <is>
          <t>KF-M10-MALLA-0018</t>
        </is>
      </c>
      <c r="B4466" s="16" t="inlineStr">
        <is>
          <t>6.2</t>
        </is>
      </c>
      <c r="C4466" s="16" t="inlineStr">
        <is>
          <t>6.2c</t>
        </is>
      </c>
      <c r="D4466" s="16" t="inlineStr">
        <is>
          <t>malla x_b × P_baja (x_b 0.70–0.91)</t>
        </is>
      </c>
      <c r="E4466" s="16" t="inlineStr">
        <is>
          <t>KF-M10</t>
        </is>
      </c>
      <c r="F4466" s="16" t="inlineStr">
        <is>
          <t>KF-M10-MALLA</t>
        </is>
      </c>
      <c r="G4466" s="16" t="inlineStr">
        <is>
          <t>B14-MALLA</t>
        </is>
      </c>
      <c r="H4466" s="16" t="inlineStr">
        <is>
          <t>malla</t>
        </is>
      </c>
      <c r="I4466" s="16" t="inlineStr">
        <is>
          <t>CORREGIBLE</t>
        </is>
      </c>
      <c r="J4466" s="16" t="inlineStr">
        <is>
          <t>CORREGIBLE</t>
        </is>
      </c>
      <c r="K4466" s="16" t="b">
        <v>1</v>
      </c>
      <c r="L4466" s="16" t="b">
        <v>0</v>
      </c>
      <c r="M4466" s="16" t="b">
        <v>0</v>
      </c>
      <c r="N4466" s="16" t="b">
        <v>0</v>
      </c>
      <c r="O4466" s="16" t="n">
        <v>394.15</v>
      </c>
      <c r="P4466" s="16" t="n">
        <v>278.15</v>
      </c>
      <c r="Q4466" s="16" t="n">
        <v>3300</v>
      </c>
      <c r="R4466" s="16" t="n">
        <v>500</v>
      </c>
      <c r="S4466" s="16" t="n">
        <v>0.76</v>
      </c>
      <c r="T4466" s="16" t="n">
        <v>0.9</v>
      </c>
      <c r="U4466" s="16" t="n">
        <v>0.8</v>
      </c>
      <c r="V4466" s="16" t="n">
        <v>0.85</v>
      </c>
      <c r="W4466" s="16" t="n">
        <v>0.75</v>
      </c>
      <c r="X4466" s="16" t="n">
        <v>0.95</v>
      </c>
      <c r="Y4466" s="16" t="n">
        <v>283.15</v>
      </c>
      <c r="Z4466" s="16" t="n">
        <v>14.30902419242798</v>
      </c>
      <c r="AA4466" s="16" t="n">
        <v>113.9015651262568</v>
      </c>
      <c r="AB4466" s="16" t="n">
        <v>2800</v>
      </c>
      <c r="AC4466" s="16" t="n">
        <v>6.6</v>
      </c>
      <c r="AD4466" s="16" t="inlineStr">
        <is>
          <t>O2</t>
        </is>
      </c>
      <c r="AE4466" s="16" t="n"/>
    </row>
    <row r="4467">
      <c r="A4467" s="16" t="inlineStr">
        <is>
          <t>KF-M10-MALLA-0019</t>
        </is>
      </c>
      <c r="B4467" s="16" t="inlineStr">
        <is>
          <t>6.2</t>
        </is>
      </c>
      <c r="C4467" s="16" t="inlineStr">
        <is>
          <t>6.2c</t>
        </is>
      </c>
      <c r="D4467" s="16" t="inlineStr">
        <is>
          <t>malla x_b × P_baja (x_b 0.70–0.91)</t>
        </is>
      </c>
      <c r="E4467" s="16" t="inlineStr">
        <is>
          <t>KF-M10</t>
        </is>
      </c>
      <c r="F4467" s="16" t="inlineStr">
        <is>
          <t>KF-M10-MALLA</t>
        </is>
      </c>
      <c r="G4467" s="16" t="inlineStr">
        <is>
          <t>B14-MALLA</t>
        </is>
      </c>
      <c r="H4467" s="16" t="inlineStr">
        <is>
          <t>malla</t>
        </is>
      </c>
      <c r="I4467" s="16" t="inlineStr">
        <is>
          <t>KALINA</t>
        </is>
      </c>
      <c r="J4467" s="16" t="inlineStr">
        <is>
          <t>KALINA</t>
        </is>
      </c>
      <c r="K4467" s="16" t="b">
        <v>1</v>
      </c>
      <c r="L4467" s="16" t="b">
        <v>1</v>
      </c>
      <c r="M4467" s="16" t="b">
        <v>0</v>
      </c>
      <c r="N4467" s="16" t="b">
        <v>0</v>
      </c>
      <c r="O4467" s="16" t="n">
        <v>394.15</v>
      </c>
      <c r="P4467" s="16" t="n">
        <v>278.15</v>
      </c>
      <c r="Q4467" s="16" t="n">
        <v>3300</v>
      </c>
      <c r="R4467" s="16" t="n">
        <v>600</v>
      </c>
      <c r="S4467" s="16" t="n">
        <v>0.76</v>
      </c>
      <c r="T4467" s="16" t="n">
        <v>0.9</v>
      </c>
      <c r="U4467" s="16" t="n">
        <v>0.8</v>
      </c>
      <c r="V4467" s="16" t="n">
        <v>0.85</v>
      </c>
      <c r="W4467" s="16" t="n">
        <v>0.75</v>
      </c>
      <c r="X4467" s="16" t="n">
        <v>0.95</v>
      </c>
      <c r="Y4467" s="16" t="n">
        <v>283.15</v>
      </c>
      <c r="Z4467" s="16" t="n">
        <v>13.06531082036225</v>
      </c>
      <c r="AA4467" s="16" t="n">
        <v>103.9726543618569</v>
      </c>
      <c r="AB4467" s="16" t="n">
        <v>2700</v>
      </c>
      <c r="AC4467" s="16" t="n">
        <v>5.5</v>
      </c>
      <c r="AD4467" s="16" t="n"/>
      <c r="AE4467" s="16" t="n"/>
    </row>
    <row r="4468">
      <c r="A4468" s="16" t="inlineStr">
        <is>
          <t>KF-M10-MALLA-0020</t>
        </is>
      </c>
      <c r="B4468" s="16" t="inlineStr">
        <is>
          <t>6.2</t>
        </is>
      </c>
      <c r="C4468" s="16" t="inlineStr">
        <is>
          <t>6.2c</t>
        </is>
      </c>
      <c r="D4468" s="16" t="inlineStr">
        <is>
          <t>malla x_b × P_baja (x_b 0.70–0.91)</t>
        </is>
      </c>
      <c r="E4468" s="16" t="inlineStr">
        <is>
          <t>KF-M10</t>
        </is>
      </c>
      <c r="F4468" s="16" t="inlineStr">
        <is>
          <t>KF-M10-MALLA</t>
        </is>
      </c>
      <c r="G4468" s="16" t="inlineStr">
        <is>
          <t>B14-MALLA</t>
        </is>
      </c>
      <c r="H4468" s="16" t="inlineStr">
        <is>
          <t>malla</t>
        </is>
      </c>
      <c r="I4468" s="16" t="inlineStr">
        <is>
          <t>KALINA</t>
        </is>
      </c>
      <c r="J4468" s="16" t="inlineStr">
        <is>
          <t>KALINA</t>
        </is>
      </c>
      <c r="K4468" s="16" t="b">
        <v>1</v>
      </c>
      <c r="L4468" s="16" t="b">
        <v>1</v>
      </c>
      <c r="M4468" s="16" t="b">
        <v>0</v>
      </c>
      <c r="N4468" s="16" t="b">
        <v>0</v>
      </c>
      <c r="O4468" s="16" t="n">
        <v>394.15</v>
      </c>
      <c r="P4468" s="16" t="n">
        <v>278.15</v>
      </c>
      <c r="Q4468" s="16" t="n">
        <v>3300</v>
      </c>
      <c r="R4468" s="16" t="n">
        <v>900</v>
      </c>
      <c r="S4468" s="16" t="n">
        <v>0.76</v>
      </c>
      <c r="T4468" s="16" t="n">
        <v>0.9</v>
      </c>
      <c r="U4468" s="16" t="n">
        <v>0.8</v>
      </c>
      <c r="V4468" s="16" t="n">
        <v>0.85</v>
      </c>
      <c r="W4468" s="16" t="n">
        <v>0.75</v>
      </c>
      <c r="X4468" s="16" t="n">
        <v>0.95</v>
      </c>
      <c r="Y4468" s="16" t="n">
        <v>283.15</v>
      </c>
      <c r="Z4468" s="16" t="n">
        <v>10.1850100700684</v>
      </c>
      <c r="AA4468" s="16" t="n">
        <v>81.00294714005314</v>
      </c>
      <c r="AB4468" s="16" t="n">
        <v>2400</v>
      </c>
      <c r="AC4468" s="16" t="n">
        <v>3.666666666666667</v>
      </c>
      <c r="AD4468" s="16" t="n"/>
      <c r="AE4468" s="16" t="n"/>
    </row>
    <row r="4469">
      <c r="A4469" s="16" t="inlineStr">
        <is>
          <t>KF-M10-MALLA-0021</t>
        </is>
      </c>
      <c r="B4469" s="16" t="inlineStr">
        <is>
          <t>6.2</t>
        </is>
      </c>
      <c r="C4469" s="16" t="inlineStr">
        <is>
          <t>6.2c</t>
        </is>
      </c>
      <c r="D4469" s="16" t="inlineStr">
        <is>
          <t>malla x_b × P_baja (x_b 0.70–0.91)</t>
        </is>
      </c>
      <c r="E4469" s="16" t="inlineStr">
        <is>
          <t>KF-M10</t>
        </is>
      </c>
      <c r="F4469" s="16" t="inlineStr">
        <is>
          <t>KF-M10-MALLA</t>
        </is>
      </c>
      <c r="G4469" s="16" t="inlineStr">
        <is>
          <t>B14-MALLA</t>
        </is>
      </c>
      <c r="H4469" s="16" t="inlineStr">
        <is>
          <t>malla</t>
        </is>
      </c>
      <c r="I4469" s="16" t="inlineStr">
        <is>
          <t>KALINA</t>
        </is>
      </c>
      <c r="J4469" s="16" t="inlineStr">
        <is>
          <t>KALINA</t>
        </is>
      </c>
      <c r="K4469" s="16" t="b">
        <v>1</v>
      </c>
      <c r="L4469" s="16" t="b">
        <v>1</v>
      </c>
      <c r="M4469" s="16" t="b">
        <v>0</v>
      </c>
      <c r="N4469" s="16" t="b">
        <v>0</v>
      </c>
      <c r="O4469" s="16" t="n">
        <v>394.15</v>
      </c>
      <c r="P4469" s="16" t="n">
        <v>278.15</v>
      </c>
      <c r="Q4469" s="16" t="n">
        <v>3300</v>
      </c>
      <c r="R4469" s="16" t="n">
        <v>1000</v>
      </c>
      <c r="S4469" s="16" t="n">
        <v>0.76</v>
      </c>
      <c r="T4469" s="16" t="n">
        <v>0.9</v>
      </c>
      <c r="U4469" s="16" t="n">
        <v>0.8</v>
      </c>
      <c r="V4469" s="16" t="n">
        <v>0.85</v>
      </c>
      <c r="W4469" s="16" t="n">
        <v>0.75</v>
      </c>
      <c r="X4469" s="16" t="n">
        <v>0.95</v>
      </c>
      <c r="Y4469" s="16" t="n">
        <v>283.15</v>
      </c>
      <c r="Z4469" s="16" t="n">
        <v>9.41027053064721</v>
      </c>
      <c r="AA4469" s="16" t="n">
        <v>74.83017245627109</v>
      </c>
      <c r="AB4469" s="16" t="n">
        <v>2300</v>
      </c>
      <c r="AC4469" s="16" t="n">
        <v>3.3</v>
      </c>
      <c r="AD4469" s="16" t="n"/>
      <c r="AE4469" s="16" t="n"/>
    </row>
    <row r="4470">
      <c r="A4470" s="16" t="inlineStr">
        <is>
          <t>KF-M10-MALLA-0022</t>
        </is>
      </c>
      <c r="B4470" s="16" t="inlineStr">
        <is>
          <t>6.2</t>
        </is>
      </c>
      <c r="C4470" s="16" t="inlineStr">
        <is>
          <t>6.2c</t>
        </is>
      </c>
      <c r="D4470" s="16" t="inlineStr">
        <is>
          <t>malla x_b × P_baja (x_b 0.70–0.91)</t>
        </is>
      </c>
      <c r="E4470" s="16" t="inlineStr">
        <is>
          <t>KF-M10</t>
        </is>
      </c>
      <c r="F4470" s="16" t="inlineStr">
        <is>
          <t>KF-M10-MALLA</t>
        </is>
      </c>
      <c r="G4470" s="16" t="inlineStr">
        <is>
          <t>B14-MALLA</t>
        </is>
      </c>
      <c r="H4470" s="16" t="inlineStr">
        <is>
          <t>malla</t>
        </is>
      </c>
      <c r="I4470" s="16" t="inlineStr">
        <is>
          <t>KALINA</t>
        </is>
      </c>
      <c r="J4470" s="16" t="inlineStr">
        <is>
          <t>KALINA</t>
        </is>
      </c>
      <c r="K4470" s="16" t="b">
        <v>1</v>
      </c>
      <c r="L4470" s="16" t="b">
        <v>1</v>
      </c>
      <c r="M4470" s="16" t="b">
        <v>0</v>
      </c>
      <c r="N4470" s="16" t="b">
        <v>0</v>
      </c>
      <c r="O4470" s="16" t="n">
        <v>394.15</v>
      </c>
      <c r="P4470" s="16" t="n">
        <v>278.15</v>
      </c>
      <c r="Q4470" s="16" t="n">
        <v>3300</v>
      </c>
      <c r="R4470" s="16" t="n">
        <v>1100</v>
      </c>
      <c r="S4470" s="16" t="n">
        <v>0.76</v>
      </c>
      <c r="T4470" s="16" t="n">
        <v>0.9</v>
      </c>
      <c r="U4470" s="16" t="n">
        <v>0.8</v>
      </c>
      <c r="V4470" s="16" t="n">
        <v>0.85</v>
      </c>
      <c r="W4470" s="16" t="n">
        <v>0.75</v>
      </c>
      <c r="X4470" s="16" t="n">
        <v>0.95</v>
      </c>
      <c r="Y4470" s="16" t="n">
        <v>283.15</v>
      </c>
      <c r="Z4470" s="16" t="n">
        <v>8.70021231203984</v>
      </c>
      <c r="AA4470" s="16" t="n">
        <v>69.17472232292798</v>
      </c>
      <c r="AB4470" s="16" t="n">
        <v>2200</v>
      </c>
      <c r="AC4470" s="16" t="n">
        <v>3</v>
      </c>
      <c r="AD4470" s="16" t="n"/>
      <c r="AE4470" s="16" t="n"/>
    </row>
    <row r="4471">
      <c r="A4471" s="16" t="inlineStr">
        <is>
          <t>KF-M10-MALLA-0023</t>
        </is>
      </c>
      <c r="B4471" s="16" t="inlineStr">
        <is>
          <t>6.2</t>
        </is>
      </c>
      <c r="C4471" s="16" t="inlineStr">
        <is>
          <t>6.2c</t>
        </is>
      </c>
      <c r="D4471" s="16" t="inlineStr">
        <is>
          <t>malla x_b × P_baja (x_b 0.70–0.91)</t>
        </is>
      </c>
      <c r="E4471" s="16" t="inlineStr">
        <is>
          <t>KF-M10</t>
        </is>
      </c>
      <c r="F4471" s="16" t="inlineStr">
        <is>
          <t>KF-M10-MALLA</t>
        </is>
      </c>
      <c r="G4471" s="16" t="inlineStr">
        <is>
          <t>B14-MALLA</t>
        </is>
      </c>
      <c r="H4471" s="16" t="inlineStr">
        <is>
          <t>malla</t>
        </is>
      </c>
      <c r="I4471" s="16" t="inlineStr">
        <is>
          <t>KALINA</t>
        </is>
      </c>
      <c r="J4471" s="16" t="inlineStr">
        <is>
          <t>KALINA</t>
        </is>
      </c>
      <c r="K4471" s="16" t="b">
        <v>1</v>
      </c>
      <c r="L4471" s="16" t="b">
        <v>1</v>
      </c>
      <c r="M4471" s="16" t="b">
        <v>0</v>
      </c>
      <c r="N4471" s="16" t="b">
        <v>0</v>
      </c>
      <c r="O4471" s="16" t="n">
        <v>394.15</v>
      </c>
      <c r="P4471" s="16" t="n">
        <v>278.15</v>
      </c>
      <c r="Q4471" s="16" t="n">
        <v>3300</v>
      </c>
      <c r="R4471" s="16" t="n">
        <v>1200</v>
      </c>
      <c r="S4471" s="16" t="n">
        <v>0.76</v>
      </c>
      <c r="T4471" s="16" t="n">
        <v>0.9</v>
      </c>
      <c r="U4471" s="16" t="n">
        <v>0.8</v>
      </c>
      <c r="V4471" s="16" t="n">
        <v>0.85</v>
      </c>
      <c r="W4471" s="16" t="n">
        <v>0.75</v>
      </c>
      <c r="X4471" s="16" t="n">
        <v>0.95</v>
      </c>
      <c r="Y4471" s="16" t="n">
        <v>283.15</v>
      </c>
      <c r="Z4471" s="16" t="n">
        <v>8.044487947650799</v>
      </c>
      <c r="AA4471" s="16" t="n">
        <v>63.95365130854415</v>
      </c>
      <c r="AB4471" s="16" t="n">
        <v>2100</v>
      </c>
      <c r="AC4471" s="16" t="n">
        <v>2.75</v>
      </c>
      <c r="AD4471" s="16" t="n"/>
      <c r="AE4471" s="16" t="n"/>
    </row>
    <row r="4472">
      <c r="A4472" s="16" t="inlineStr">
        <is>
          <t>KF-M10-MALLA-0024</t>
        </is>
      </c>
      <c r="B4472" s="16" t="inlineStr">
        <is>
          <t>6.2</t>
        </is>
      </c>
      <c r="C4472" s="16" t="inlineStr">
        <is>
          <t>6.2c</t>
        </is>
      </c>
      <c r="D4472" s="16" t="inlineStr">
        <is>
          <t>malla x_b × P_baja (x_b 0.70–0.91)</t>
        </is>
      </c>
      <c r="E4472" s="16" t="inlineStr">
        <is>
          <t>KF-M10</t>
        </is>
      </c>
      <c r="F4472" s="16" t="inlineStr">
        <is>
          <t>KF-M10-MALLA</t>
        </is>
      </c>
      <c r="G4472" s="16" t="inlineStr">
        <is>
          <t>B14-MALLA</t>
        </is>
      </c>
      <c r="H4472" s="16" t="inlineStr">
        <is>
          <t>malla</t>
        </is>
      </c>
      <c r="I4472" s="16" t="inlineStr">
        <is>
          <t>KALINA</t>
        </is>
      </c>
      <c r="J4472" s="16" t="inlineStr">
        <is>
          <t>KALINA</t>
        </is>
      </c>
      <c r="K4472" s="16" t="b">
        <v>1</v>
      </c>
      <c r="L4472" s="16" t="b">
        <v>1</v>
      </c>
      <c r="M4472" s="16" t="b">
        <v>0</v>
      </c>
      <c r="N4472" s="16" t="b">
        <v>0</v>
      </c>
      <c r="O4472" s="16" t="n">
        <v>394.15</v>
      </c>
      <c r="P4472" s="16" t="n">
        <v>278.15</v>
      </c>
      <c r="Q4472" s="16" t="n">
        <v>3300</v>
      </c>
      <c r="R4472" s="16" t="n">
        <v>700</v>
      </c>
      <c r="S4472" s="16" t="n">
        <v>0.79</v>
      </c>
      <c r="T4472" s="16" t="n">
        <v>0.9</v>
      </c>
      <c r="U4472" s="16" t="n">
        <v>0.8</v>
      </c>
      <c r="V4472" s="16" t="n">
        <v>0.85</v>
      </c>
      <c r="W4472" s="16" t="n">
        <v>0.75</v>
      </c>
      <c r="X4472" s="16" t="n">
        <v>0.95</v>
      </c>
      <c r="Y4472" s="16" t="n">
        <v>283.15</v>
      </c>
      <c r="Z4472" s="16" t="n">
        <v>12.3296143934064</v>
      </c>
      <c r="AA4472" s="16" t="n">
        <v>106.0624220261746</v>
      </c>
      <c r="AB4472" s="16" t="n">
        <v>2600</v>
      </c>
      <c r="AC4472" s="16" t="n">
        <v>4.714285714285714</v>
      </c>
      <c r="AD4472" s="16" t="n"/>
      <c r="AE4472" s="16" t="n"/>
    </row>
    <row r="4473">
      <c r="A4473" s="16" t="inlineStr">
        <is>
          <t>KF-M10-MALLA-0025</t>
        </is>
      </c>
      <c r="B4473" s="16" t="inlineStr">
        <is>
          <t>6.2</t>
        </is>
      </c>
      <c r="C4473" s="16" t="inlineStr">
        <is>
          <t>6.2c</t>
        </is>
      </c>
      <c r="D4473" s="16" t="inlineStr">
        <is>
          <t>malla x_b × P_baja (x_b 0.70–0.91)</t>
        </is>
      </c>
      <c r="E4473" s="16" t="inlineStr">
        <is>
          <t>KF-M10</t>
        </is>
      </c>
      <c r="F4473" s="16" t="inlineStr">
        <is>
          <t>KF-M10-MALLA</t>
        </is>
      </c>
      <c r="G4473" s="16" t="inlineStr">
        <is>
          <t>B14-MALLA</t>
        </is>
      </c>
      <c r="H4473" s="16" t="inlineStr">
        <is>
          <t>malla</t>
        </is>
      </c>
      <c r="I4473" s="16" t="inlineStr">
        <is>
          <t>CORREGIBLE</t>
        </is>
      </c>
      <c r="J4473" s="16" t="inlineStr">
        <is>
          <t>CORREGIBLE</t>
        </is>
      </c>
      <c r="K4473" s="16" t="b">
        <v>1</v>
      </c>
      <c r="L4473" s="16" t="b">
        <v>0</v>
      </c>
      <c r="M4473" s="16" t="b">
        <v>0</v>
      </c>
      <c r="N4473" s="16" t="b">
        <v>0</v>
      </c>
      <c r="O4473" s="16" t="n">
        <v>394.15</v>
      </c>
      <c r="P4473" s="16" t="n">
        <v>278.15</v>
      </c>
      <c r="Q4473" s="16" t="n">
        <v>3300</v>
      </c>
      <c r="R4473" s="16" t="n">
        <v>600</v>
      </c>
      <c r="S4473" s="16" t="n">
        <v>0.79</v>
      </c>
      <c r="T4473" s="16" t="n">
        <v>0.9</v>
      </c>
      <c r="U4473" s="16" t="n">
        <v>0.8</v>
      </c>
      <c r="V4473" s="16" t="n">
        <v>0.85</v>
      </c>
      <c r="W4473" s="16" t="n">
        <v>0.75</v>
      </c>
      <c r="X4473" s="16" t="n">
        <v>0.95</v>
      </c>
      <c r="Y4473" s="16" t="n">
        <v>283.15</v>
      </c>
      <c r="Z4473" s="16" t="n">
        <v>13.43287113970725</v>
      </c>
      <c r="AA4473" s="16" t="n">
        <v>115.5824865081121</v>
      </c>
      <c r="AB4473" s="16" t="n">
        <v>2700</v>
      </c>
      <c r="AC4473" s="16" t="n">
        <v>5.5</v>
      </c>
      <c r="AD4473" s="16" t="inlineStr">
        <is>
          <t>O2</t>
        </is>
      </c>
      <c r="AE4473" s="16" t="n"/>
    </row>
    <row r="4474">
      <c r="A4474" s="16" t="inlineStr">
        <is>
          <t>KF-M10-MALLA-0026</t>
        </is>
      </c>
      <c r="B4474" s="16" t="inlineStr">
        <is>
          <t>6.2</t>
        </is>
      </c>
      <c r="C4474" s="16" t="inlineStr">
        <is>
          <t>6.2c</t>
        </is>
      </c>
      <c r="D4474" s="16" t="inlineStr">
        <is>
          <t>malla x_b × P_baja (x_b 0.70–0.91)</t>
        </is>
      </c>
      <c r="E4474" s="16" t="inlineStr">
        <is>
          <t>KF-M10</t>
        </is>
      </c>
      <c r="F4474" s="16" t="inlineStr">
        <is>
          <t>KF-M10-MALLA</t>
        </is>
      </c>
      <c r="G4474" s="16" t="inlineStr">
        <is>
          <t>B14-MALLA</t>
        </is>
      </c>
      <c r="H4474" s="16" t="inlineStr">
        <is>
          <t>malla</t>
        </is>
      </c>
      <c r="I4474" s="16" t="inlineStr">
        <is>
          <t>KALINA</t>
        </is>
      </c>
      <c r="J4474" s="16" t="inlineStr">
        <is>
          <t>KALINA</t>
        </is>
      </c>
      <c r="K4474" s="16" t="b">
        <v>1</v>
      </c>
      <c r="L4474" s="16" t="b">
        <v>1</v>
      </c>
      <c r="M4474" s="16" t="b">
        <v>0</v>
      </c>
      <c r="N4474" s="16" t="b">
        <v>0</v>
      </c>
      <c r="O4474" s="16" t="n">
        <v>394.15</v>
      </c>
      <c r="P4474" s="16" t="n">
        <v>278.15</v>
      </c>
      <c r="Q4474" s="16" t="n">
        <v>3300</v>
      </c>
      <c r="R4474" s="16" t="n">
        <v>800</v>
      </c>
      <c r="S4474" s="16" t="n">
        <v>0.79</v>
      </c>
      <c r="T4474" s="16" t="n">
        <v>0.9</v>
      </c>
      <c r="U4474" s="16" t="n">
        <v>0.8</v>
      </c>
      <c r="V4474" s="16" t="n">
        <v>0.85</v>
      </c>
      <c r="W4474" s="16" t="n">
        <v>0.75</v>
      </c>
      <c r="X4474" s="16" t="n">
        <v>0.95</v>
      </c>
      <c r="Y4474" s="16" t="n">
        <v>283.15</v>
      </c>
      <c r="Z4474" s="16" t="n">
        <v>11.35473201240467</v>
      </c>
      <c r="AA4474" s="16" t="n">
        <v>97.65488875187894</v>
      </c>
      <c r="AB4474" s="16" t="n">
        <v>2500</v>
      </c>
      <c r="AC4474" s="16" t="n">
        <v>4.125</v>
      </c>
      <c r="AD4474" s="16" t="n"/>
      <c r="AE4474" s="16" t="n"/>
    </row>
    <row r="4475">
      <c r="A4475" s="16" t="inlineStr">
        <is>
          <t>KF-M10-MALLA-0027</t>
        </is>
      </c>
      <c r="B4475" s="16" t="inlineStr">
        <is>
          <t>6.2</t>
        </is>
      </c>
      <c r="C4475" s="16" t="inlineStr">
        <is>
          <t>6.2c</t>
        </is>
      </c>
      <c r="D4475" s="16" t="inlineStr">
        <is>
          <t>malla x_b × P_baja (x_b 0.70–0.91)</t>
        </is>
      </c>
      <c r="E4475" s="16" t="inlineStr">
        <is>
          <t>KF-M10</t>
        </is>
      </c>
      <c r="F4475" s="16" t="inlineStr">
        <is>
          <t>KF-M10-MALLA</t>
        </is>
      </c>
      <c r="G4475" s="16" t="inlineStr">
        <is>
          <t>B14-MALLA</t>
        </is>
      </c>
      <c r="H4475" s="16" t="inlineStr">
        <is>
          <t>malla</t>
        </is>
      </c>
      <c r="I4475" s="16" t="inlineStr">
        <is>
          <t>CORREGIBLE</t>
        </is>
      </c>
      <c r="J4475" s="16" t="inlineStr">
        <is>
          <t>CORREGIBLE</t>
        </is>
      </c>
      <c r="K4475" s="16" t="b">
        <v>1</v>
      </c>
      <c r="L4475" s="16" t="b">
        <v>0</v>
      </c>
      <c r="M4475" s="16" t="b">
        <v>0</v>
      </c>
      <c r="N4475" s="16" t="b">
        <v>0</v>
      </c>
      <c r="O4475" s="16" t="n">
        <v>394.15</v>
      </c>
      <c r="P4475" s="16" t="n">
        <v>278.15</v>
      </c>
      <c r="Q4475" s="16" t="n">
        <v>3300</v>
      </c>
      <c r="R4475" s="16" t="n">
        <v>500</v>
      </c>
      <c r="S4475" s="16" t="n">
        <v>0.79</v>
      </c>
      <c r="T4475" s="16" t="n">
        <v>0.9</v>
      </c>
      <c r="U4475" s="16" t="n">
        <v>0.8</v>
      </c>
      <c r="V4475" s="16" t="n">
        <v>0.85</v>
      </c>
      <c r="W4475" s="16" t="n">
        <v>0.75</v>
      </c>
      <c r="X4475" s="16" t="n">
        <v>0.95</v>
      </c>
      <c r="Y4475" s="16" t="n">
        <v>283.15</v>
      </c>
      <c r="Z4475" s="16" t="n">
        <v>14.70399716088671</v>
      </c>
      <c r="AA4475" s="16" t="n">
        <v>126.5552754520173</v>
      </c>
      <c r="AB4475" s="16" t="n">
        <v>2800</v>
      </c>
      <c r="AC4475" s="16" t="n">
        <v>6.6</v>
      </c>
      <c r="AD4475" s="16" t="inlineStr">
        <is>
          <t>O2</t>
        </is>
      </c>
      <c r="AE4475" s="16" t="n"/>
    </row>
    <row r="4476">
      <c r="A4476" s="16" t="inlineStr">
        <is>
          <t>KF-M10-MALLA-0028</t>
        </is>
      </c>
      <c r="B4476" s="16" t="inlineStr">
        <is>
          <t>6.2</t>
        </is>
      </c>
      <c r="C4476" s="16" t="inlineStr">
        <is>
          <t>6.2c</t>
        </is>
      </c>
      <c r="D4476" s="16" t="inlineStr">
        <is>
          <t>malla x_b × P_baja (x_b 0.70–0.91)</t>
        </is>
      </c>
      <c r="E4476" s="16" t="inlineStr">
        <is>
          <t>KF-M10</t>
        </is>
      </c>
      <c r="F4476" s="16" t="inlineStr">
        <is>
          <t>KF-M10-MALLA</t>
        </is>
      </c>
      <c r="G4476" s="16" t="inlineStr">
        <is>
          <t>B14-MALLA</t>
        </is>
      </c>
      <c r="H4476" s="16" t="inlineStr">
        <is>
          <t>malla</t>
        </is>
      </c>
      <c r="I4476" s="16" t="inlineStr">
        <is>
          <t>KALINA</t>
        </is>
      </c>
      <c r="J4476" s="16" t="inlineStr">
        <is>
          <t>KALINA</t>
        </is>
      </c>
      <c r="K4476" s="16" t="b">
        <v>1</v>
      </c>
      <c r="L4476" s="16" t="b">
        <v>1</v>
      </c>
      <c r="M4476" s="16" t="b">
        <v>0</v>
      </c>
      <c r="N4476" s="16" t="b">
        <v>0</v>
      </c>
      <c r="O4476" s="16" t="n">
        <v>394.15</v>
      </c>
      <c r="P4476" s="16" t="n">
        <v>278.15</v>
      </c>
      <c r="Q4476" s="16" t="n">
        <v>3300</v>
      </c>
      <c r="R4476" s="16" t="n">
        <v>900</v>
      </c>
      <c r="S4476" s="16" t="n">
        <v>0.79</v>
      </c>
      <c r="T4476" s="16" t="n">
        <v>0.9</v>
      </c>
      <c r="U4476" s="16" t="n">
        <v>0.8</v>
      </c>
      <c r="V4476" s="16" t="n">
        <v>0.85</v>
      </c>
      <c r="W4476" s="16" t="n">
        <v>0.75</v>
      </c>
      <c r="X4476" s="16" t="n">
        <v>0.95</v>
      </c>
      <c r="Y4476" s="16" t="n">
        <v>283.15</v>
      </c>
      <c r="Z4476" s="16" t="n">
        <v>10.47978617723228</v>
      </c>
      <c r="AA4476" s="16" t="n">
        <v>90.1129441713742</v>
      </c>
      <c r="AB4476" s="16" t="n">
        <v>2400</v>
      </c>
      <c r="AC4476" s="16" t="n">
        <v>3.666666666666667</v>
      </c>
      <c r="AD4476" s="16" t="n"/>
      <c r="AE4476" s="16" t="n"/>
    </row>
    <row r="4477">
      <c r="A4477" s="16" t="inlineStr">
        <is>
          <t>KF-M10-MALLA-0029</t>
        </is>
      </c>
      <c r="B4477" s="16" t="inlineStr">
        <is>
          <t>6.2</t>
        </is>
      </c>
      <c r="C4477" s="16" t="inlineStr">
        <is>
          <t>6.2c</t>
        </is>
      </c>
      <c r="D4477" s="16" t="inlineStr">
        <is>
          <t>malla x_b × P_baja (x_b 0.70–0.91)</t>
        </is>
      </c>
      <c r="E4477" s="16" t="inlineStr">
        <is>
          <t>KF-M10</t>
        </is>
      </c>
      <c r="F4477" s="16" t="inlineStr">
        <is>
          <t>KF-M10-MALLA</t>
        </is>
      </c>
      <c r="G4477" s="16" t="inlineStr">
        <is>
          <t>B14-MALLA</t>
        </is>
      </c>
      <c r="H4477" s="16" t="inlineStr">
        <is>
          <t>malla</t>
        </is>
      </c>
      <c r="I4477" s="16" t="inlineStr">
        <is>
          <t>KALINA</t>
        </is>
      </c>
      <c r="J4477" s="16" t="inlineStr">
        <is>
          <t>KALINA</t>
        </is>
      </c>
      <c r="K4477" s="16" t="b">
        <v>1</v>
      </c>
      <c r="L4477" s="16" t="b">
        <v>1</v>
      </c>
      <c r="M4477" s="16" t="b">
        <v>0</v>
      </c>
      <c r="N4477" s="16" t="b">
        <v>0</v>
      </c>
      <c r="O4477" s="16" t="n">
        <v>394.15</v>
      </c>
      <c r="P4477" s="16" t="n">
        <v>278.15</v>
      </c>
      <c r="Q4477" s="16" t="n">
        <v>3300</v>
      </c>
      <c r="R4477" s="16" t="n">
        <v>1000</v>
      </c>
      <c r="S4477" s="16" t="n">
        <v>0.79</v>
      </c>
      <c r="T4477" s="16" t="n">
        <v>0.9</v>
      </c>
      <c r="U4477" s="16" t="n">
        <v>0.8</v>
      </c>
      <c r="V4477" s="16" t="n">
        <v>0.85</v>
      </c>
      <c r="W4477" s="16" t="n">
        <v>0.75</v>
      </c>
      <c r="X4477" s="16" t="n">
        <v>0.95</v>
      </c>
      <c r="Y4477" s="16" t="n">
        <v>283.15</v>
      </c>
      <c r="Z4477" s="16" t="n">
        <v>9.68512533962663</v>
      </c>
      <c r="AA4477" s="16" t="n">
        <v>83.26601489140123</v>
      </c>
      <c r="AB4477" s="16" t="n">
        <v>2300</v>
      </c>
      <c r="AC4477" s="16" t="n">
        <v>3.3</v>
      </c>
      <c r="AD4477" s="16" t="n"/>
      <c r="AE4477" s="16" t="n"/>
    </row>
    <row r="4478">
      <c r="A4478" s="16" t="inlineStr">
        <is>
          <t>KF-M10-MALLA-0030</t>
        </is>
      </c>
      <c r="B4478" s="16" t="inlineStr">
        <is>
          <t>6.2</t>
        </is>
      </c>
      <c r="C4478" s="16" t="inlineStr">
        <is>
          <t>6.2c</t>
        </is>
      </c>
      <c r="D4478" s="16" t="inlineStr">
        <is>
          <t>malla x_b × P_baja (x_b 0.70–0.91)</t>
        </is>
      </c>
      <c r="E4478" s="16" t="inlineStr">
        <is>
          <t>KF-M10</t>
        </is>
      </c>
      <c r="F4478" s="16" t="inlineStr">
        <is>
          <t>KF-M10-MALLA</t>
        </is>
      </c>
      <c r="G4478" s="16" t="inlineStr">
        <is>
          <t>B14-MALLA</t>
        </is>
      </c>
      <c r="H4478" s="16" t="inlineStr">
        <is>
          <t>malla</t>
        </is>
      </c>
      <c r="I4478" s="16" t="inlineStr">
        <is>
          <t>KALINA</t>
        </is>
      </c>
      <c r="J4478" s="16" t="inlineStr">
        <is>
          <t>KALINA</t>
        </is>
      </c>
      <c r="K4478" s="16" t="b">
        <v>1</v>
      </c>
      <c r="L4478" s="16" t="b">
        <v>1</v>
      </c>
      <c r="M4478" s="16" t="b">
        <v>0</v>
      </c>
      <c r="N4478" s="16" t="b">
        <v>0</v>
      </c>
      <c r="O4478" s="16" t="n">
        <v>394.15</v>
      </c>
      <c r="P4478" s="16" t="n">
        <v>278.15</v>
      </c>
      <c r="Q4478" s="16" t="n">
        <v>3300</v>
      </c>
      <c r="R4478" s="16" t="n">
        <v>1100</v>
      </c>
      <c r="S4478" s="16" t="n">
        <v>0.79</v>
      </c>
      <c r="T4478" s="16" t="n">
        <v>0.9</v>
      </c>
      <c r="U4478" s="16" t="n">
        <v>0.8</v>
      </c>
      <c r="V4478" s="16" t="n">
        <v>0.85</v>
      </c>
      <c r="W4478" s="16" t="n">
        <v>0.75</v>
      </c>
      <c r="X4478" s="16" t="n">
        <v>0.95</v>
      </c>
      <c r="Y4478" s="16" t="n">
        <v>283.15</v>
      </c>
      <c r="Z4478" s="16" t="n">
        <v>8.9565676337872</v>
      </c>
      <c r="AA4478" s="16" t="n">
        <v>76.99105137941292</v>
      </c>
      <c r="AB4478" s="16" t="n">
        <v>2200</v>
      </c>
      <c r="AC4478" s="16" t="n">
        <v>3</v>
      </c>
      <c r="AD4478" s="16" t="n"/>
      <c r="AE4478" s="16" t="n"/>
    </row>
    <row r="4479">
      <c r="A4479" s="16" t="inlineStr">
        <is>
          <t>KF-M10-MALLA-0031</t>
        </is>
      </c>
      <c r="B4479" s="16" t="inlineStr">
        <is>
          <t>6.2</t>
        </is>
      </c>
      <c r="C4479" s="16" t="inlineStr">
        <is>
          <t>6.2c</t>
        </is>
      </c>
      <c r="D4479" s="16" t="inlineStr">
        <is>
          <t>malla x_b × P_baja (x_b 0.70–0.91)</t>
        </is>
      </c>
      <c r="E4479" s="16" t="inlineStr">
        <is>
          <t>KF-M10</t>
        </is>
      </c>
      <c r="F4479" s="16" t="inlineStr">
        <is>
          <t>KF-M10-MALLA</t>
        </is>
      </c>
      <c r="G4479" s="16" t="inlineStr">
        <is>
          <t>B14-MALLA</t>
        </is>
      </c>
      <c r="H4479" s="16" t="inlineStr">
        <is>
          <t>malla</t>
        </is>
      </c>
      <c r="I4479" s="16" t="inlineStr">
        <is>
          <t>KALINA</t>
        </is>
      </c>
      <c r="J4479" s="16" t="inlineStr">
        <is>
          <t>KALINA</t>
        </is>
      </c>
      <c r="K4479" s="16" t="b">
        <v>1</v>
      </c>
      <c r="L4479" s="16" t="b">
        <v>1</v>
      </c>
      <c r="M4479" s="16" t="b">
        <v>0</v>
      </c>
      <c r="N4479" s="16" t="b">
        <v>0</v>
      </c>
      <c r="O4479" s="16" t="n">
        <v>394.15</v>
      </c>
      <c r="P4479" s="16" t="n">
        <v>278.15</v>
      </c>
      <c r="Q4479" s="16" t="n">
        <v>3300</v>
      </c>
      <c r="R4479" s="16" t="n">
        <v>1200</v>
      </c>
      <c r="S4479" s="16" t="n">
        <v>0.79</v>
      </c>
      <c r="T4479" s="16" t="n">
        <v>0.9</v>
      </c>
      <c r="U4479" s="16" t="n">
        <v>0.8</v>
      </c>
      <c r="V4479" s="16" t="n">
        <v>0.85</v>
      </c>
      <c r="W4479" s="16" t="n">
        <v>0.75</v>
      </c>
      <c r="X4479" s="16" t="n">
        <v>0.95</v>
      </c>
      <c r="Y4479" s="16" t="n">
        <v>283.15</v>
      </c>
      <c r="Z4479" s="16" t="n">
        <v>8.283515376053</v>
      </c>
      <c r="AA4479" s="16" t="n">
        <v>71.19613549911668</v>
      </c>
      <c r="AB4479" s="16" t="n">
        <v>2100</v>
      </c>
      <c r="AC4479" s="16" t="n">
        <v>2.75</v>
      </c>
      <c r="AD4479" s="16" t="n"/>
      <c r="AE4479" s="16" t="n"/>
    </row>
    <row r="4480">
      <c r="A4480" s="16" t="inlineStr">
        <is>
          <t>KF-M10-MALLA-0032</t>
        </is>
      </c>
      <c r="B4480" s="16" t="inlineStr">
        <is>
          <t>6.2</t>
        </is>
      </c>
      <c r="C4480" s="16" t="inlineStr">
        <is>
          <t>6.2c</t>
        </is>
      </c>
      <c r="D4480" s="16" t="inlineStr">
        <is>
          <t>malla x_b × P_baja (x_b 0.70–0.91)</t>
        </is>
      </c>
      <c r="E4480" s="16" t="inlineStr">
        <is>
          <t>KF-M10</t>
        </is>
      </c>
      <c r="F4480" s="16" t="inlineStr">
        <is>
          <t>KF-M10-MALLA</t>
        </is>
      </c>
      <c r="G4480" s="16" t="inlineStr">
        <is>
          <t>B14-MALLA</t>
        </is>
      </c>
      <c r="H4480" s="16" t="inlineStr">
        <is>
          <t>malla</t>
        </is>
      </c>
      <c r="I4480" s="16" t="inlineStr">
        <is>
          <t>KALINA</t>
        </is>
      </c>
      <c r="J4480" s="16" t="inlineStr">
        <is>
          <t>KALINA</t>
        </is>
      </c>
      <c r="K4480" s="16" t="b">
        <v>1</v>
      </c>
      <c r="L4480" s="16" t="b">
        <v>1</v>
      </c>
      <c r="M4480" s="16" t="b">
        <v>0</v>
      </c>
      <c r="N4480" s="16" t="b">
        <v>0</v>
      </c>
      <c r="O4480" s="16" t="n">
        <v>394.15</v>
      </c>
      <c r="P4480" s="16" t="n">
        <v>278.15</v>
      </c>
      <c r="Q4480" s="16" t="n">
        <v>3300</v>
      </c>
      <c r="R4480" s="16" t="n">
        <v>800</v>
      </c>
      <c r="S4480" s="16" t="n">
        <v>0.82</v>
      </c>
      <c r="T4480" s="16" t="n">
        <v>0.9</v>
      </c>
      <c r="U4480" s="16" t="n">
        <v>0.8</v>
      </c>
      <c r="V4480" s="16" t="n">
        <v>0.85</v>
      </c>
      <c r="W4480" s="16" t="n">
        <v>0.75</v>
      </c>
      <c r="X4480" s="16" t="n">
        <v>0.95</v>
      </c>
      <c r="Y4480" s="16" t="n">
        <v>283.15</v>
      </c>
      <c r="Z4480" s="16" t="n">
        <v>11.62985863251361</v>
      </c>
      <c r="AA4480" s="16" t="n">
        <v>107.3818843882582</v>
      </c>
      <c r="AB4480" s="16" t="n">
        <v>2500</v>
      </c>
      <c r="AC4480" s="16" t="n">
        <v>4.125</v>
      </c>
      <c r="AD4480" s="16" t="n"/>
      <c r="AE4480" s="16" t="n"/>
    </row>
    <row r="4481">
      <c r="A4481" s="16" t="inlineStr">
        <is>
          <t>KF-M10-MALLA-0033</t>
        </is>
      </c>
      <c r="B4481" s="16" t="inlineStr">
        <is>
          <t>6.2</t>
        </is>
      </c>
      <c r="C4481" s="16" t="inlineStr">
        <is>
          <t>6.2c</t>
        </is>
      </c>
      <c r="D4481" s="16" t="inlineStr">
        <is>
          <t>malla x_b × P_baja (x_b 0.70–0.91)</t>
        </is>
      </c>
      <c r="E4481" s="16" t="inlineStr">
        <is>
          <t>KF-M10</t>
        </is>
      </c>
      <c r="F4481" s="16" t="inlineStr">
        <is>
          <t>KF-M10-MALLA</t>
        </is>
      </c>
      <c r="G4481" s="16" t="inlineStr">
        <is>
          <t>B14-MALLA</t>
        </is>
      </c>
      <c r="H4481" s="16" t="inlineStr">
        <is>
          <t>malla</t>
        </is>
      </c>
      <c r="I4481" s="16" t="inlineStr">
        <is>
          <t>CORREGIBLE</t>
        </is>
      </c>
      <c r="J4481" s="16" t="inlineStr">
        <is>
          <t>CORREGIBLE</t>
        </is>
      </c>
      <c r="K4481" s="16" t="b">
        <v>1</v>
      </c>
      <c r="L4481" s="16" t="b">
        <v>0</v>
      </c>
      <c r="M4481" s="16" t="b">
        <v>0</v>
      </c>
      <c r="N4481" s="16" t="b">
        <v>0</v>
      </c>
      <c r="O4481" s="16" t="n">
        <v>394.15</v>
      </c>
      <c r="P4481" s="16" t="n">
        <v>278.15</v>
      </c>
      <c r="Q4481" s="16" t="n">
        <v>3300</v>
      </c>
      <c r="R4481" s="16" t="n">
        <v>500</v>
      </c>
      <c r="S4481" s="16" t="n">
        <v>0.82</v>
      </c>
      <c r="T4481" s="16" t="n">
        <v>0.9</v>
      </c>
      <c r="U4481" s="16" t="n">
        <v>0.8</v>
      </c>
      <c r="V4481" s="16" t="n">
        <v>0.85</v>
      </c>
      <c r="W4481" s="16" t="n">
        <v>0.75</v>
      </c>
      <c r="X4481" s="16" t="n">
        <v>0.95</v>
      </c>
      <c r="Y4481" s="16" t="n">
        <v>283.15</v>
      </c>
      <c r="Z4481" s="16" t="n">
        <v>15.0409968815438</v>
      </c>
      <c r="AA4481" s="16" t="n">
        <v>138.9826918745443</v>
      </c>
      <c r="AB4481" s="16" t="n">
        <v>2800</v>
      </c>
      <c r="AC4481" s="16" t="n">
        <v>6.6</v>
      </c>
      <c r="AD4481" s="16" t="inlineStr">
        <is>
          <t>O2</t>
        </is>
      </c>
      <c r="AE4481" s="16" t="n"/>
    </row>
    <row r="4482">
      <c r="A4482" s="16" t="inlineStr">
        <is>
          <t>KF-M10-MALLA-0034</t>
        </is>
      </c>
      <c r="B4482" s="16" t="inlineStr">
        <is>
          <t>6.2</t>
        </is>
      </c>
      <c r="C4482" s="16" t="inlineStr">
        <is>
          <t>6.2c</t>
        </is>
      </c>
      <c r="D4482" s="16" t="inlineStr">
        <is>
          <t>malla x_b × P_baja (x_b 0.70–0.91)</t>
        </is>
      </c>
      <c r="E4482" s="16" t="inlineStr">
        <is>
          <t>KF-M10</t>
        </is>
      </c>
      <c r="F4482" s="16" t="inlineStr">
        <is>
          <t>KF-M10-MALLA</t>
        </is>
      </c>
      <c r="G4482" s="16" t="inlineStr">
        <is>
          <t>B14-MALLA</t>
        </is>
      </c>
      <c r="H4482" s="16" t="inlineStr">
        <is>
          <t>malla</t>
        </is>
      </c>
      <c r="I4482" s="16" t="inlineStr">
        <is>
          <t>KALINA</t>
        </is>
      </c>
      <c r="J4482" s="16" t="inlineStr">
        <is>
          <t>KALINA</t>
        </is>
      </c>
      <c r="K4482" s="16" t="b">
        <v>1</v>
      </c>
      <c r="L4482" s="16" t="b">
        <v>1</v>
      </c>
      <c r="M4482" s="16" t="b">
        <v>0</v>
      </c>
      <c r="N4482" s="16" t="b">
        <v>0</v>
      </c>
      <c r="O4482" s="16" t="n">
        <v>394.15</v>
      </c>
      <c r="P4482" s="16" t="n">
        <v>278.15</v>
      </c>
      <c r="Q4482" s="16" t="n">
        <v>3300</v>
      </c>
      <c r="R4482" s="16" t="n">
        <v>900</v>
      </c>
      <c r="S4482" s="16" t="n">
        <v>0.82</v>
      </c>
      <c r="T4482" s="16" t="n">
        <v>0.9</v>
      </c>
      <c r="U4482" s="16" t="n">
        <v>0.8</v>
      </c>
      <c r="V4482" s="16" t="n">
        <v>0.85</v>
      </c>
      <c r="W4482" s="16" t="n">
        <v>0.75</v>
      </c>
      <c r="X4482" s="16" t="n">
        <v>0.95</v>
      </c>
      <c r="Y4482" s="16" t="n">
        <v>283.15</v>
      </c>
      <c r="Z4482" s="16" t="n">
        <v>10.73610439817951</v>
      </c>
      <c r="AA4482" s="16" t="n">
        <v>99.10893025354618</v>
      </c>
      <c r="AB4482" s="16" t="n">
        <v>2400</v>
      </c>
      <c r="AC4482" s="16" t="n">
        <v>3.666666666666667</v>
      </c>
      <c r="AD4482" s="16" t="n"/>
      <c r="AE4482" s="16" t="n"/>
    </row>
    <row r="4483">
      <c r="A4483" s="16" t="inlineStr">
        <is>
          <t>KF-M10-MALLA-0035</t>
        </is>
      </c>
      <c r="B4483" s="16" t="inlineStr">
        <is>
          <t>6.2</t>
        </is>
      </c>
      <c r="C4483" s="16" t="inlineStr">
        <is>
          <t>6.2c</t>
        </is>
      </c>
      <c r="D4483" s="16" t="inlineStr">
        <is>
          <t>malla x_b × P_baja (x_b 0.70–0.91)</t>
        </is>
      </c>
      <c r="E4483" s="16" t="inlineStr">
        <is>
          <t>KF-M10</t>
        </is>
      </c>
      <c r="F4483" s="16" t="inlineStr">
        <is>
          <t>KF-M10-MALLA</t>
        </is>
      </c>
      <c r="G4483" s="16" t="inlineStr">
        <is>
          <t>B14-MALLA</t>
        </is>
      </c>
      <c r="H4483" s="16" t="inlineStr">
        <is>
          <t>malla</t>
        </is>
      </c>
      <c r="I4483" s="16" t="inlineStr">
        <is>
          <t>CORREGIBLE</t>
        </is>
      </c>
      <c r="J4483" s="16" t="inlineStr">
        <is>
          <t>CORREGIBLE</t>
        </is>
      </c>
      <c r="K4483" s="16" t="b">
        <v>1</v>
      </c>
      <c r="L4483" s="16" t="b">
        <v>0</v>
      </c>
      <c r="M4483" s="16" t="b">
        <v>0</v>
      </c>
      <c r="N4483" s="16" t="b">
        <v>0</v>
      </c>
      <c r="O4483" s="16" t="n">
        <v>394.15</v>
      </c>
      <c r="P4483" s="16" t="n">
        <v>278.15</v>
      </c>
      <c r="Q4483" s="16" t="n">
        <v>3300</v>
      </c>
      <c r="R4483" s="16" t="n">
        <v>600</v>
      </c>
      <c r="S4483" s="16" t="n">
        <v>0.82</v>
      </c>
      <c r="T4483" s="16" t="n">
        <v>0.9</v>
      </c>
      <c r="U4483" s="16" t="n">
        <v>0.8</v>
      </c>
      <c r="V4483" s="16" t="n">
        <v>0.85</v>
      </c>
      <c r="W4483" s="16" t="n">
        <v>0.75</v>
      </c>
      <c r="X4483" s="16" t="n">
        <v>0.95</v>
      </c>
      <c r="Y4483" s="16" t="n">
        <v>283.15</v>
      </c>
      <c r="Z4483" s="16" t="n">
        <v>13.75268677295411</v>
      </c>
      <c r="AA4483" s="16" t="n">
        <v>127.0486533418041</v>
      </c>
      <c r="AB4483" s="16" t="n">
        <v>2700</v>
      </c>
      <c r="AC4483" s="16" t="n">
        <v>5.5</v>
      </c>
      <c r="AD4483" s="16" t="inlineStr">
        <is>
          <t>O2</t>
        </is>
      </c>
      <c r="AE4483" s="16" t="n"/>
    </row>
    <row r="4484">
      <c r="A4484" s="16" t="inlineStr">
        <is>
          <t>KF-M10-MALLA-0036</t>
        </is>
      </c>
      <c r="B4484" s="16" t="inlineStr">
        <is>
          <t>6.2</t>
        </is>
      </c>
      <c r="C4484" s="16" t="inlineStr">
        <is>
          <t>6.2c</t>
        </is>
      </c>
      <c r="D4484" s="16" t="inlineStr">
        <is>
          <t>malla x_b × P_baja (x_b 0.70–0.91)</t>
        </is>
      </c>
      <c r="E4484" s="16" t="inlineStr">
        <is>
          <t>KF-M10</t>
        </is>
      </c>
      <c r="F4484" s="16" t="inlineStr">
        <is>
          <t>KF-M10-MALLA</t>
        </is>
      </c>
      <c r="G4484" s="16" t="inlineStr">
        <is>
          <t>B14-MALLA</t>
        </is>
      </c>
      <c r="H4484" s="16" t="inlineStr">
        <is>
          <t>malla</t>
        </is>
      </c>
      <c r="I4484" s="16" t="inlineStr">
        <is>
          <t>KALINA</t>
        </is>
      </c>
      <c r="J4484" s="16" t="inlineStr">
        <is>
          <t>KALINA</t>
        </is>
      </c>
      <c r="K4484" s="16" t="b">
        <v>1</v>
      </c>
      <c r="L4484" s="16" t="b">
        <v>1</v>
      </c>
      <c r="M4484" s="16" t="b">
        <v>0</v>
      </c>
      <c r="N4484" s="16" t="b">
        <v>0</v>
      </c>
      <c r="O4484" s="16" t="n">
        <v>394.15</v>
      </c>
      <c r="P4484" s="16" t="n">
        <v>278.15</v>
      </c>
      <c r="Q4484" s="16" t="n">
        <v>3300</v>
      </c>
      <c r="R4484" s="16" t="n">
        <v>700</v>
      </c>
      <c r="S4484" s="16" t="n">
        <v>0.82</v>
      </c>
      <c r="T4484" s="16" t="n">
        <v>0.9</v>
      </c>
      <c r="U4484" s="16" t="n">
        <v>0.8</v>
      </c>
      <c r="V4484" s="16" t="n">
        <v>0.85</v>
      </c>
      <c r="W4484" s="16" t="n">
        <v>0.75</v>
      </c>
      <c r="X4484" s="16" t="n">
        <v>0.95</v>
      </c>
      <c r="Y4484" s="16" t="n">
        <v>283.15</v>
      </c>
      <c r="Z4484" s="16" t="n">
        <v>12.58131444606638</v>
      </c>
      <c r="AA4484" s="16" t="n">
        <v>116.160036609947</v>
      </c>
      <c r="AB4484" s="16" t="n">
        <v>2600</v>
      </c>
      <c r="AC4484" s="16" t="n">
        <v>4.714285714285714</v>
      </c>
      <c r="AD4484" s="16" t="n"/>
      <c r="AE4484" s="16" t="n"/>
    </row>
    <row r="4485">
      <c r="A4485" s="16" t="inlineStr">
        <is>
          <t>KF-M10-MALLA-0037</t>
        </is>
      </c>
      <c r="B4485" s="16" t="inlineStr">
        <is>
          <t>6.2</t>
        </is>
      </c>
      <c r="C4485" s="16" t="inlineStr">
        <is>
          <t>6.2c</t>
        </is>
      </c>
      <c r="D4485" s="16" t="inlineStr">
        <is>
          <t>malla x_b × P_baja (x_b 0.70–0.91)</t>
        </is>
      </c>
      <c r="E4485" s="16" t="inlineStr">
        <is>
          <t>KF-M10</t>
        </is>
      </c>
      <c r="F4485" s="16" t="inlineStr">
        <is>
          <t>KF-M10-MALLA</t>
        </is>
      </c>
      <c r="G4485" s="16" t="inlineStr">
        <is>
          <t>B14-MALLA</t>
        </is>
      </c>
      <c r="H4485" s="16" t="inlineStr">
        <is>
          <t>malla</t>
        </is>
      </c>
      <c r="I4485" s="16" t="inlineStr">
        <is>
          <t>KALINA</t>
        </is>
      </c>
      <c r="J4485" s="16" t="inlineStr">
        <is>
          <t>KALINA</t>
        </is>
      </c>
      <c r="K4485" s="16" t="b">
        <v>1</v>
      </c>
      <c r="L4485" s="16" t="b">
        <v>1</v>
      </c>
      <c r="M4485" s="16" t="b">
        <v>0</v>
      </c>
      <c r="N4485" s="16" t="b">
        <v>0</v>
      </c>
      <c r="O4485" s="16" t="n">
        <v>394.15</v>
      </c>
      <c r="P4485" s="16" t="n">
        <v>278.15</v>
      </c>
      <c r="Q4485" s="16" t="n">
        <v>3300</v>
      </c>
      <c r="R4485" s="16" t="n">
        <v>1000</v>
      </c>
      <c r="S4485" s="16" t="n">
        <v>0.82</v>
      </c>
      <c r="T4485" s="16" t="n">
        <v>0.9</v>
      </c>
      <c r="U4485" s="16" t="n">
        <v>0.8</v>
      </c>
      <c r="V4485" s="16" t="n">
        <v>0.85</v>
      </c>
      <c r="W4485" s="16" t="n">
        <v>0.75</v>
      </c>
      <c r="X4485" s="16" t="n">
        <v>0.95</v>
      </c>
      <c r="Y4485" s="16" t="n">
        <v>283.15</v>
      </c>
      <c r="Z4485" s="16" t="n">
        <v>9.924233112501261</v>
      </c>
      <c r="AA4485" s="16" t="n">
        <v>91.59746440326164</v>
      </c>
      <c r="AB4485" s="16" t="n">
        <v>2300</v>
      </c>
      <c r="AC4485" s="16" t="n">
        <v>3.3</v>
      </c>
      <c r="AD4485" s="16" t="n"/>
      <c r="AE4485" s="16" t="n"/>
    </row>
    <row r="4486">
      <c r="A4486" s="16" t="inlineStr">
        <is>
          <t>KF-M10-MALLA-0038</t>
        </is>
      </c>
      <c r="B4486" s="16" t="inlineStr">
        <is>
          <t>6.2</t>
        </is>
      </c>
      <c r="C4486" s="16" t="inlineStr">
        <is>
          <t>6.2c</t>
        </is>
      </c>
      <c r="D4486" s="16" t="inlineStr">
        <is>
          <t>malla x_b × P_baja (x_b 0.70–0.91)</t>
        </is>
      </c>
      <c r="E4486" s="16" t="inlineStr">
        <is>
          <t>KF-M10</t>
        </is>
      </c>
      <c r="F4486" s="16" t="inlineStr">
        <is>
          <t>KF-M10-MALLA</t>
        </is>
      </c>
      <c r="G4486" s="16" t="inlineStr">
        <is>
          <t>B14-MALLA</t>
        </is>
      </c>
      <c r="H4486" s="16" t="inlineStr">
        <is>
          <t>malla</t>
        </is>
      </c>
      <c r="I4486" s="16" t="inlineStr">
        <is>
          <t>KALINA</t>
        </is>
      </c>
      <c r="J4486" s="16" t="inlineStr">
        <is>
          <t>KALINA</t>
        </is>
      </c>
      <c r="K4486" s="16" t="b">
        <v>1</v>
      </c>
      <c r="L4486" s="16" t="b">
        <v>1</v>
      </c>
      <c r="M4486" s="16" t="b">
        <v>0</v>
      </c>
      <c r="N4486" s="16" t="b">
        <v>0</v>
      </c>
      <c r="O4486" s="16" t="n">
        <v>394.15</v>
      </c>
      <c r="P4486" s="16" t="n">
        <v>278.15</v>
      </c>
      <c r="Q4486" s="16" t="n">
        <v>3300</v>
      </c>
      <c r="R4486" s="16" t="n">
        <v>1100</v>
      </c>
      <c r="S4486" s="16" t="n">
        <v>0.82</v>
      </c>
      <c r="T4486" s="16" t="n">
        <v>0.9</v>
      </c>
      <c r="U4486" s="16" t="n">
        <v>0.8</v>
      </c>
      <c r="V4486" s="16" t="n">
        <v>0.85</v>
      </c>
      <c r="W4486" s="16" t="n">
        <v>0.75</v>
      </c>
      <c r="X4486" s="16" t="n">
        <v>0.95</v>
      </c>
      <c r="Y4486" s="16" t="n">
        <v>283.15</v>
      </c>
      <c r="Z4486" s="16" t="n">
        <v>9.17971921388504</v>
      </c>
      <c r="AA4486" s="16" t="n">
        <v>84.7120774289298</v>
      </c>
      <c r="AB4486" s="16" t="n">
        <v>2200</v>
      </c>
      <c r="AC4486" s="16" t="n">
        <v>3</v>
      </c>
      <c r="AD4486" s="16" t="n"/>
      <c r="AE4486" s="16" t="n"/>
    </row>
    <row r="4487">
      <c r="A4487" s="16" t="inlineStr">
        <is>
          <t>KF-M10-MALLA-0039</t>
        </is>
      </c>
      <c r="B4487" s="16" t="inlineStr">
        <is>
          <t>6.2</t>
        </is>
      </c>
      <c r="C4487" s="16" t="inlineStr">
        <is>
          <t>6.2c</t>
        </is>
      </c>
      <c r="D4487" s="16" t="inlineStr">
        <is>
          <t>malla x_b × P_baja (x_b 0.70–0.91)</t>
        </is>
      </c>
      <c r="E4487" s="16" t="inlineStr">
        <is>
          <t>KF-M10</t>
        </is>
      </c>
      <c r="F4487" s="16" t="inlineStr">
        <is>
          <t>KF-M10-MALLA</t>
        </is>
      </c>
      <c r="G4487" s="16" t="inlineStr">
        <is>
          <t>B14-MALLA</t>
        </is>
      </c>
      <c r="H4487" s="16" t="inlineStr">
        <is>
          <t>malla</t>
        </is>
      </c>
      <c r="I4487" s="16" t="inlineStr">
        <is>
          <t>KALINA</t>
        </is>
      </c>
      <c r="J4487" s="16" t="inlineStr">
        <is>
          <t>KALINA</t>
        </is>
      </c>
      <c r="K4487" s="16" t="b">
        <v>1</v>
      </c>
      <c r="L4487" s="16" t="b">
        <v>1</v>
      </c>
      <c r="M4487" s="16" t="b">
        <v>0</v>
      </c>
      <c r="N4487" s="16" t="b">
        <v>0</v>
      </c>
      <c r="O4487" s="16" t="n">
        <v>394.15</v>
      </c>
      <c r="P4487" s="16" t="n">
        <v>278.15</v>
      </c>
      <c r="Q4487" s="16" t="n">
        <v>3300</v>
      </c>
      <c r="R4487" s="16" t="n">
        <v>1200</v>
      </c>
      <c r="S4487" s="16" t="n">
        <v>0.82</v>
      </c>
      <c r="T4487" s="16" t="n">
        <v>0.9</v>
      </c>
      <c r="U4487" s="16" t="n">
        <v>0.8</v>
      </c>
      <c r="V4487" s="16" t="n">
        <v>0.85</v>
      </c>
      <c r="W4487" s="16" t="n">
        <v>0.75</v>
      </c>
      <c r="X4487" s="16" t="n">
        <v>0.95</v>
      </c>
      <c r="Y4487" s="16" t="n">
        <v>283.15</v>
      </c>
      <c r="Z4487" s="16" t="n">
        <v>8.491726704207609</v>
      </c>
      <c r="AA4487" s="16" t="n">
        <v>78.35179300624868</v>
      </c>
      <c r="AB4487" s="16" t="n">
        <v>2100</v>
      </c>
      <c r="AC4487" s="16" t="n">
        <v>2.75</v>
      </c>
      <c r="AD4487" s="16" t="n"/>
      <c r="AE4487" s="16" t="n"/>
    </row>
    <row r="4488">
      <c r="A4488" s="16" t="inlineStr">
        <is>
          <t>KF-M10-MALLA-0040</t>
        </is>
      </c>
      <c r="B4488" s="16" t="inlineStr">
        <is>
          <t>6.2</t>
        </is>
      </c>
      <c r="C4488" s="16" t="inlineStr">
        <is>
          <t>6.2c</t>
        </is>
      </c>
      <c r="D4488" s="16" t="inlineStr">
        <is>
          <t>malla x_b × P_baja (x_b 0.70–0.91)</t>
        </is>
      </c>
      <c r="E4488" s="16" t="inlineStr">
        <is>
          <t>KF-M10</t>
        </is>
      </c>
      <c r="F4488" s="16" t="inlineStr">
        <is>
          <t>KF-M10-MALLA</t>
        </is>
      </c>
      <c r="G4488" s="16" t="inlineStr">
        <is>
          <t>B14-MALLA</t>
        </is>
      </c>
      <c r="H4488" s="16" t="inlineStr">
        <is>
          <t>malla</t>
        </is>
      </c>
      <c r="I4488" s="16" t="inlineStr">
        <is>
          <t>CORREGIBLE</t>
        </is>
      </c>
      <c r="J4488" s="16" t="inlineStr">
        <is>
          <t>CORREGIBLE</t>
        </is>
      </c>
      <c r="K4488" s="16" t="b">
        <v>1</v>
      </c>
      <c r="L4488" s="16" t="b">
        <v>0</v>
      </c>
      <c r="M4488" s="16" t="b">
        <v>0</v>
      </c>
      <c r="N4488" s="16" t="b">
        <v>0</v>
      </c>
      <c r="O4488" s="16" t="n">
        <v>394.15</v>
      </c>
      <c r="P4488" s="16" t="n">
        <v>278.15</v>
      </c>
      <c r="Q4488" s="16" t="n">
        <v>3300</v>
      </c>
      <c r="R4488" s="16" t="n">
        <v>500</v>
      </c>
      <c r="S4488" s="16" t="n">
        <v>0.85</v>
      </c>
      <c r="T4488" s="16" t="n">
        <v>0.9</v>
      </c>
      <c r="U4488" s="16" t="n">
        <v>0.8</v>
      </c>
      <c r="V4488" s="16" t="n">
        <v>0.85</v>
      </c>
      <c r="W4488" s="16" t="n">
        <v>0.75</v>
      </c>
      <c r="X4488" s="16" t="n">
        <v>0.95</v>
      </c>
      <c r="Y4488" s="16" t="n">
        <v>283.15</v>
      </c>
      <c r="Z4488" s="16" t="n">
        <v>15.32923776681198</v>
      </c>
      <c r="AA4488" s="16" t="n">
        <v>151.1666416380126</v>
      </c>
      <c r="AB4488" s="16" t="n">
        <v>2800</v>
      </c>
      <c r="AC4488" s="16" t="n">
        <v>6.6</v>
      </c>
      <c r="AD4488" s="16" t="inlineStr">
        <is>
          <t>O2</t>
        </is>
      </c>
      <c r="AE4488" s="16" t="n"/>
    </row>
    <row r="4489">
      <c r="A4489" s="16" t="inlineStr">
        <is>
          <t>KF-M10-MALLA-0041</t>
        </is>
      </c>
      <c r="B4489" s="16" t="inlineStr">
        <is>
          <t>6.2</t>
        </is>
      </c>
      <c r="C4489" s="16" t="inlineStr">
        <is>
          <t>6.2c</t>
        </is>
      </c>
      <c r="D4489" s="16" t="inlineStr">
        <is>
          <t>malla x_b × P_baja (x_b 0.70–0.91)</t>
        </is>
      </c>
      <c r="E4489" s="16" t="inlineStr">
        <is>
          <t>KF-M10</t>
        </is>
      </c>
      <c r="F4489" s="16" t="inlineStr">
        <is>
          <t>KF-M10-MALLA</t>
        </is>
      </c>
      <c r="G4489" s="16" t="inlineStr">
        <is>
          <t>B14-MALLA</t>
        </is>
      </c>
      <c r="H4489" s="16" t="inlineStr">
        <is>
          <t>malla</t>
        </is>
      </c>
      <c r="I4489" s="16" t="inlineStr">
        <is>
          <t>CORREGIBLE</t>
        </is>
      </c>
      <c r="J4489" s="16" t="inlineStr">
        <is>
          <t>CORREGIBLE</t>
        </is>
      </c>
      <c r="K4489" s="16" t="b">
        <v>1</v>
      </c>
      <c r="L4489" s="16" t="b">
        <v>0</v>
      </c>
      <c r="M4489" s="16" t="b">
        <v>0</v>
      </c>
      <c r="N4489" s="16" t="b">
        <v>0</v>
      </c>
      <c r="O4489" s="16" t="n">
        <v>394.15</v>
      </c>
      <c r="P4489" s="16" t="n">
        <v>278.15</v>
      </c>
      <c r="Q4489" s="16" t="n">
        <v>3300</v>
      </c>
      <c r="R4489" s="16" t="n">
        <v>700</v>
      </c>
      <c r="S4489" s="16" t="n">
        <v>0.85</v>
      </c>
      <c r="T4489" s="16" t="n">
        <v>0.9</v>
      </c>
      <c r="U4489" s="16" t="n">
        <v>0.8</v>
      </c>
      <c r="V4489" s="16" t="n">
        <v>0.85</v>
      </c>
      <c r="W4489" s="16" t="n">
        <v>0.75</v>
      </c>
      <c r="X4489" s="16" t="n">
        <v>0.95</v>
      </c>
      <c r="Y4489" s="16" t="n">
        <v>283.15</v>
      </c>
      <c r="Z4489" s="16" t="n">
        <v>12.88227196399284</v>
      </c>
      <c r="AA4489" s="16" t="n">
        <v>126.9785077128962</v>
      </c>
      <c r="AB4489" s="16" t="n">
        <v>2600</v>
      </c>
      <c r="AC4489" s="16" t="n">
        <v>4.714285714285714</v>
      </c>
      <c r="AD4489" s="16" t="inlineStr">
        <is>
          <t>O2</t>
        </is>
      </c>
      <c r="AE4489" s="16" t="n"/>
    </row>
    <row r="4490">
      <c r="A4490" s="16" t="inlineStr">
        <is>
          <t>KF-M10-MALLA-0042</t>
        </is>
      </c>
      <c r="B4490" s="16" t="inlineStr">
        <is>
          <t>6.2</t>
        </is>
      </c>
      <c r="C4490" s="16" t="inlineStr">
        <is>
          <t>6.2c</t>
        </is>
      </c>
      <c r="D4490" s="16" t="inlineStr">
        <is>
          <t>malla x_b × P_baja (x_b 0.70–0.91)</t>
        </is>
      </c>
      <c r="E4490" s="16" t="inlineStr">
        <is>
          <t>KF-M10</t>
        </is>
      </c>
      <c r="F4490" s="16" t="inlineStr">
        <is>
          <t>KF-M10-MALLA</t>
        </is>
      </c>
      <c r="G4490" s="16" t="inlineStr">
        <is>
          <t>B14-MALLA</t>
        </is>
      </c>
      <c r="H4490" s="16" t="inlineStr">
        <is>
          <t>malla</t>
        </is>
      </c>
      <c r="I4490" s="16" t="inlineStr">
        <is>
          <t>KALINA</t>
        </is>
      </c>
      <c r="J4490" s="16" t="inlineStr">
        <is>
          <t>KALINA</t>
        </is>
      </c>
      <c r="K4490" s="16" t="b">
        <v>1</v>
      </c>
      <c r="L4490" s="16" t="b">
        <v>1</v>
      </c>
      <c r="M4490" s="16" t="b">
        <v>0</v>
      </c>
      <c r="N4490" s="16" t="b">
        <v>0</v>
      </c>
      <c r="O4490" s="16" t="n">
        <v>394.15</v>
      </c>
      <c r="P4490" s="16" t="n">
        <v>278.15</v>
      </c>
      <c r="Q4490" s="16" t="n">
        <v>3300</v>
      </c>
      <c r="R4490" s="16" t="n">
        <v>900</v>
      </c>
      <c r="S4490" s="16" t="n">
        <v>0.85</v>
      </c>
      <c r="T4490" s="16" t="n">
        <v>0.9</v>
      </c>
      <c r="U4490" s="16" t="n">
        <v>0.8</v>
      </c>
      <c r="V4490" s="16" t="n">
        <v>0.85</v>
      </c>
      <c r="W4490" s="16" t="n">
        <v>0.75</v>
      </c>
      <c r="X4490" s="16" t="n">
        <v>0.95</v>
      </c>
      <c r="Y4490" s="16" t="n">
        <v>283.15</v>
      </c>
      <c r="Z4490" s="16" t="n">
        <v>10.95806546537045</v>
      </c>
      <c r="AA4490" s="16" t="n">
        <v>107.959216095541</v>
      </c>
      <c r="AB4490" s="16" t="n">
        <v>2400</v>
      </c>
      <c r="AC4490" s="16" t="n">
        <v>3.666666666666667</v>
      </c>
      <c r="AD4490" s="16" t="n"/>
      <c r="AE4490" s="16" t="n"/>
    </row>
    <row r="4491">
      <c r="A4491" s="16" t="inlineStr">
        <is>
          <t>KF-M10-MALLA-0043</t>
        </is>
      </c>
      <c r="B4491" s="16" t="inlineStr">
        <is>
          <t>6.2</t>
        </is>
      </c>
      <c r="C4491" s="16" t="inlineStr">
        <is>
          <t>6.2c</t>
        </is>
      </c>
      <c r="D4491" s="16" t="inlineStr">
        <is>
          <t>malla x_b × P_baja (x_b 0.70–0.91)</t>
        </is>
      </c>
      <c r="E4491" s="16" t="inlineStr">
        <is>
          <t>KF-M10</t>
        </is>
      </c>
      <c r="F4491" s="16" t="inlineStr">
        <is>
          <t>KF-M10-MALLA</t>
        </is>
      </c>
      <c r="G4491" s="16" t="inlineStr">
        <is>
          <t>B14-MALLA</t>
        </is>
      </c>
      <c r="H4491" s="16" t="inlineStr">
        <is>
          <t>malla</t>
        </is>
      </c>
      <c r="I4491" s="16" t="inlineStr">
        <is>
          <t>CORREGIBLE</t>
        </is>
      </c>
      <c r="J4491" s="16" t="inlineStr">
        <is>
          <t>CORREGIBLE</t>
        </is>
      </c>
      <c r="K4491" s="16" t="b">
        <v>1</v>
      </c>
      <c r="L4491" s="16" t="b">
        <v>0</v>
      </c>
      <c r="M4491" s="16" t="b">
        <v>0</v>
      </c>
      <c r="N4491" s="16" t="b">
        <v>0</v>
      </c>
      <c r="O4491" s="16" t="n">
        <v>394.15</v>
      </c>
      <c r="P4491" s="16" t="n">
        <v>278.15</v>
      </c>
      <c r="Q4491" s="16" t="n">
        <v>3300</v>
      </c>
      <c r="R4491" s="16" t="n">
        <v>600</v>
      </c>
      <c r="S4491" s="16" t="n">
        <v>0.85</v>
      </c>
      <c r="T4491" s="16" t="n">
        <v>0.9</v>
      </c>
      <c r="U4491" s="16" t="n">
        <v>0.8</v>
      </c>
      <c r="V4491" s="16" t="n">
        <v>0.85</v>
      </c>
      <c r="W4491" s="16" t="n">
        <v>0.75</v>
      </c>
      <c r="X4491" s="16" t="n">
        <v>0.95</v>
      </c>
      <c r="Y4491" s="16" t="n">
        <v>283.15</v>
      </c>
      <c r="Z4491" s="16" t="n">
        <v>14.03021233993964</v>
      </c>
      <c r="AA4491" s="16" t="n">
        <v>138.335572350241</v>
      </c>
      <c r="AB4491" s="16" t="n">
        <v>2700</v>
      </c>
      <c r="AC4491" s="16" t="n">
        <v>5.5</v>
      </c>
      <c r="AD4491" s="16" t="inlineStr">
        <is>
          <t>O2</t>
        </is>
      </c>
      <c r="AE4491" s="16" t="n"/>
    </row>
    <row r="4492">
      <c r="A4492" s="16" t="inlineStr">
        <is>
          <t>KF-M10-MALLA-0044</t>
        </is>
      </c>
      <c r="B4492" s="16" t="inlineStr">
        <is>
          <t>6.2</t>
        </is>
      </c>
      <c r="C4492" s="16" t="inlineStr">
        <is>
          <t>6.2c</t>
        </is>
      </c>
      <c r="D4492" s="16" t="inlineStr">
        <is>
          <t>malla x_b × P_baja (x_b 0.70–0.91)</t>
        </is>
      </c>
      <c r="E4492" s="16" t="inlineStr">
        <is>
          <t>KF-M10</t>
        </is>
      </c>
      <c r="F4492" s="16" t="inlineStr">
        <is>
          <t>KF-M10-MALLA</t>
        </is>
      </c>
      <c r="G4492" s="16" t="inlineStr">
        <is>
          <t>B14-MALLA</t>
        </is>
      </c>
      <c r="H4492" s="16" t="inlineStr">
        <is>
          <t>malla</t>
        </is>
      </c>
      <c r="I4492" s="16" t="inlineStr">
        <is>
          <t>KALINA</t>
        </is>
      </c>
      <c r="J4492" s="16" t="inlineStr">
        <is>
          <t>KALINA</t>
        </is>
      </c>
      <c r="K4492" s="16" t="b">
        <v>1</v>
      </c>
      <c r="L4492" s="16" t="b">
        <v>1</v>
      </c>
      <c r="M4492" s="16" t="b">
        <v>0</v>
      </c>
      <c r="N4492" s="16" t="b">
        <v>0</v>
      </c>
      <c r="O4492" s="16" t="n">
        <v>394.15</v>
      </c>
      <c r="P4492" s="16" t="n">
        <v>278.15</v>
      </c>
      <c r="Q4492" s="16" t="n">
        <v>3300</v>
      </c>
      <c r="R4492" s="16" t="n">
        <v>800</v>
      </c>
      <c r="S4492" s="16" t="n">
        <v>0.85</v>
      </c>
      <c r="T4492" s="16" t="n">
        <v>0.9</v>
      </c>
      <c r="U4492" s="16" t="n">
        <v>0.8</v>
      </c>
      <c r="V4492" s="16" t="n">
        <v>0.85</v>
      </c>
      <c r="W4492" s="16" t="n">
        <v>0.75</v>
      </c>
      <c r="X4492" s="16" t="n">
        <v>0.95</v>
      </c>
      <c r="Y4492" s="16" t="n">
        <v>283.15</v>
      </c>
      <c r="Z4492" s="16" t="n">
        <v>11.86815158453672</v>
      </c>
      <c r="AA4492" s="16" t="n">
        <v>116.9519607280282</v>
      </c>
      <c r="AB4492" s="16" t="n">
        <v>2500</v>
      </c>
      <c r="AC4492" s="16" t="n">
        <v>4.125</v>
      </c>
      <c r="AD4492" s="16" t="n"/>
      <c r="AE4492" s="16" t="n"/>
    </row>
    <row r="4493">
      <c r="A4493" s="16" t="inlineStr">
        <is>
          <t>KF-M10-MALLA-0045</t>
        </is>
      </c>
      <c r="B4493" s="16" t="inlineStr">
        <is>
          <t>6.2</t>
        </is>
      </c>
      <c r="C4493" s="16" t="inlineStr">
        <is>
          <t>6.2c</t>
        </is>
      </c>
      <c r="D4493" s="16" t="inlineStr">
        <is>
          <t>malla x_b × P_baja (x_b 0.70–0.91)</t>
        </is>
      </c>
      <c r="E4493" s="16" t="inlineStr">
        <is>
          <t>KF-M10</t>
        </is>
      </c>
      <c r="F4493" s="16" t="inlineStr">
        <is>
          <t>KF-M10-MALLA</t>
        </is>
      </c>
      <c r="G4493" s="16" t="inlineStr">
        <is>
          <t>B14-MALLA</t>
        </is>
      </c>
      <c r="H4493" s="16" t="inlineStr">
        <is>
          <t>malla</t>
        </is>
      </c>
      <c r="I4493" s="16" t="inlineStr">
        <is>
          <t>KALINA</t>
        </is>
      </c>
      <c r="J4493" s="16" t="inlineStr">
        <is>
          <t>KALINA</t>
        </is>
      </c>
      <c r="K4493" s="16" t="b">
        <v>1</v>
      </c>
      <c r="L4493" s="16" t="b">
        <v>1</v>
      </c>
      <c r="M4493" s="16" t="b">
        <v>0</v>
      </c>
      <c r="N4493" s="16" t="b">
        <v>0</v>
      </c>
      <c r="O4493" s="16" t="n">
        <v>394.15</v>
      </c>
      <c r="P4493" s="16" t="n">
        <v>278.15</v>
      </c>
      <c r="Q4493" s="16" t="n">
        <v>3300</v>
      </c>
      <c r="R4493" s="16" t="n">
        <v>1000</v>
      </c>
      <c r="S4493" s="16" t="n">
        <v>0.85</v>
      </c>
      <c r="T4493" s="16" t="n">
        <v>0.9</v>
      </c>
      <c r="U4493" s="16" t="n">
        <v>0.8</v>
      </c>
      <c r="V4493" s="16" t="n">
        <v>0.85</v>
      </c>
      <c r="W4493" s="16" t="n">
        <v>0.75</v>
      </c>
      <c r="X4493" s="16" t="n">
        <v>0.95</v>
      </c>
      <c r="Y4493" s="16" t="n">
        <v>283.15</v>
      </c>
      <c r="Z4493" s="16" t="n">
        <v>10.13135013936391</v>
      </c>
      <c r="AA4493" s="16" t="n">
        <v>99.79444679673902</v>
      </c>
      <c r="AB4493" s="16" t="n">
        <v>2300</v>
      </c>
      <c r="AC4493" s="16" t="n">
        <v>3.3</v>
      </c>
      <c r="AD4493" s="16" t="n"/>
      <c r="AE4493" s="16" t="n"/>
    </row>
    <row r="4494">
      <c r="A4494" s="16" t="inlineStr">
        <is>
          <t>KF-M10-MALLA-0046</t>
        </is>
      </c>
      <c r="B4494" s="16" t="inlineStr">
        <is>
          <t>6.2</t>
        </is>
      </c>
      <c r="C4494" s="16" t="inlineStr">
        <is>
          <t>6.2c</t>
        </is>
      </c>
      <c r="D4494" s="16" t="inlineStr">
        <is>
          <t>malla x_b × P_baja (x_b 0.70–0.91)</t>
        </is>
      </c>
      <c r="E4494" s="16" t="inlineStr">
        <is>
          <t>KF-M10</t>
        </is>
      </c>
      <c r="F4494" s="16" t="inlineStr">
        <is>
          <t>KF-M10-MALLA</t>
        </is>
      </c>
      <c r="G4494" s="16" t="inlineStr">
        <is>
          <t>B14-MALLA</t>
        </is>
      </c>
      <c r="H4494" s="16" t="inlineStr">
        <is>
          <t>malla</t>
        </is>
      </c>
      <c r="I4494" s="16" t="inlineStr">
        <is>
          <t>KALINA</t>
        </is>
      </c>
      <c r="J4494" s="16" t="inlineStr">
        <is>
          <t>KALINA</t>
        </is>
      </c>
      <c r="K4494" s="16" t="b">
        <v>1</v>
      </c>
      <c r="L4494" s="16" t="b">
        <v>1</v>
      </c>
      <c r="M4494" s="16" t="b">
        <v>0</v>
      </c>
      <c r="N4494" s="16" t="b">
        <v>0</v>
      </c>
      <c r="O4494" s="16" t="n">
        <v>394.15</v>
      </c>
      <c r="P4494" s="16" t="n">
        <v>278.15</v>
      </c>
      <c r="Q4494" s="16" t="n">
        <v>3300</v>
      </c>
      <c r="R4494" s="16" t="n">
        <v>1100</v>
      </c>
      <c r="S4494" s="16" t="n">
        <v>0.85</v>
      </c>
      <c r="T4494" s="16" t="n">
        <v>0.9</v>
      </c>
      <c r="U4494" s="16" t="n">
        <v>0.8</v>
      </c>
      <c r="V4494" s="16" t="n">
        <v>0.85</v>
      </c>
      <c r="W4494" s="16" t="n">
        <v>0.75</v>
      </c>
      <c r="X4494" s="16" t="n">
        <v>0.95</v>
      </c>
      <c r="Y4494" s="16" t="n">
        <v>283.15</v>
      </c>
      <c r="Z4494" s="16" t="n">
        <v>9.37313210714513</v>
      </c>
      <c r="AA4494" s="16" t="n">
        <v>92.30956520562054</v>
      </c>
      <c r="AB4494" s="16" t="n">
        <v>2200</v>
      </c>
      <c r="AC4494" s="16" t="n">
        <v>3</v>
      </c>
      <c r="AD4494" s="16" t="n"/>
      <c r="AE4494" s="16" t="n"/>
    </row>
    <row r="4495">
      <c r="A4495" s="16" t="inlineStr">
        <is>
          <t>KF-M10-MALLA-0047</t>
        </is>
      </c>
      <c r="B4495" s="16" t="inlineStr">
        <is>
          <t>6.2</t>
        </is>
      </c>
      <c r="C4495" s="16" t="inlineStr">
        <is>
          <t>6.2c</t>
        </is>
      </c>
      <c r="D4495" s="16" t="inlineStr">
        <is>
          <t>malla x_b × P_baja (x_b 0.70–0.91)</t>
        </is>
      </c>
      <c r="E4495" s="16" t="inlineStr">
        <is>
          <t>KF-M10</t>
        </is>
      </c>
      <c r="F4495" s="16" t="inlineStr">
        <is>
          <t>KF-M10-MALLA</t>
        </is>
      </c>
      <c r="G4495" s="16" t="inlineStr">
        <is>
          <t>B14-MALLA</t>
        </is>
      </c>
      <c r="H4495" s="16" t="inlineStr">
        <is>
          <t>malla</t>
        </is>
      </c>
      <c r="I4495" s="16" t="inlineStr">
        <is>
          <t>KALINA</t>
        </is>
      </c>
      <c r="J4495" s="16" t="inlineStr">
        <is>
          <t>KALINA</t>
        </is>
      </c>
      <c r="K4495" s="16" t="b">
        <v>1</v>
      </c>
      <c r="L4495" s="16" t="b">
        <v>1</v>
      </c>
      <c r="M4495" s="16" t="b">
        <v>0</v>
      </c>
      <c r="N4495" s="16" t="b">
        <v>0</v>
      </c>
      <c r="O4495" s="16" t="n">
        <v>394.15</v>
      </c>
      <c r="P4495" s="16" t="n">
        <v>278.15</v>
      </c>
      <c r="Q4495" s="16" t="n">
        <v>3300</v>
      </c>
      <c r="R4495" s="16" t="n">
        <v>1200</v>
      </c>
      <c r="S4495" s="16" t="n">
        <v>0.85</v>
      </c>
      <c r="T4495" s="16" t="n">
        <v>0.9</v>
      </c>
      <c r="U4495" s="16" t="n">
        <v>0.8</v>
      </c>
      <c r="V4495" s="16" t="n">
        <v>0.85</v>
      </c>
      <c r="W4495" s="16" t="n">
        <v>0.75</v>
      </c>
      <c r="X4495" s="16" t="n">
        <v>0.95</v>
      </c>
      <c r="Y4495" s="16" t="n">
        <v>283.15</v>
      </c>
      <c r="Z4495" s="16" t="n">
        <v>8.672335407814</v>
      </c>
      <c r="AA4495" s="16" t="n">
        <v>85.39433824579896</v>
      </c>
      <c r="AB4495" s="16" t="n">
        <v>2100</v>
      </c>
      <c r="AC4495" s="16" t="n">
        <v>2.75</v>
      </c>
      <c r="AD4495" s="16" t="n"/>
      <c r="AE4495" s="16" t="n"/>
    </row>
    <row r="4496">
      <c r="A4496" s="16" t="inlineStr">
        <is>
          <t>KF-M10-MALLA-0048</t>
        </is>
      </c>
      <c r="B4496" s="16" t="inlineStr">
        <is>
          <t>6.2</t>
        </is>
      </c>
      <c r="C4496" s="16" t="inlineStr">
        <is>
          <t>6.2c</t>
        </is>
      </c>
      <c r="D4496" s="16" t="inlineStr">
        <is>
          <t>malla x_b × P_baja (x_b 0.70–0.91)</t>
        </is>
      </c>
      <c r="E4496" s="16" t="inlineStr">
        <is>
          <t>KF-M10</t>
        </is>
      </c>
      <c r="F4496" s="16" t="inlineStr">
        <is>
          <t>KF-M10-MALLA</t>
        </is>
      </c>
      <c r="G4496" s="16" t="inlineStr">
        <is>
          <t>B14-MALLA</t>
        </is>
      </c>
      <c r="H4496" s="16" t="inlineStr">
        <is>
          <t>malla</t>
        </is>
      </c>
      <c r="I4496" s="16" t="inlineStr">
        <is>
          <t>CORREGIBLE</t>
        </is>
      </c>
      <c r="J4496" s="16" t="inlineStr">
        <is>
          <t>CORREGIBLE</t>
        </is>
      </c>
      <c r="K4496" s="16" t="b">
        <v>1</v>
      </c>
      <c r="L4496" s="16" t="b">
        <v>0</v>
      </c>
      <c r="M4496" s="16" t="b">
        <v>0</v>
      </c>
      <c r="N4496" s="16" t="b">
        <v>0</v>
      </c>
      <c r="O4496" s="16" t="n">
        <v>394.15</v>
      </c>
      <c r="P4496" s="16" t="n">
        <v>278.15</v>
      </c>
      <c r="Q4496" s="16" t="n">
        <v>3300</v>
      </c>
      <c r="R4496" s="16" t="n">
        <v>600</v>
      </c>
      <c r="S4496" s="16" t="n">
        <v>0.88</v>
      </c>
      <c r="T4496" s="16" t="n">
        <v>0.9</v>
      </c>
      <c r="U4496" s="16" t="n">
        <v>0.8</v>
      </c>
      <c r="V4496" s="16" t="n">
        <v>0.85</v>
      </c>
      <c r="W4496" s="16" t="n">
        <v>0.75</v>
      </c>
      <c r="X4496" s="16" t="n">
        <v>0.95</v>
      </c>
      <c r="Y4496" s="16" t="n">
        <v>283.15</v>
      </c>
      <c r="Z4496" s="16" t="n">
        <v>14.26522986008331</v>
      </c>
      <c r="AA4496" s="16" t="n">
        <v>149.3609609739813</v>
      </c>
      <c r="AB4496" s="16" t="n">
        <v>2700</v>
      </c>
      <c r="AC4496" s="16" t="n">
        <v>5.5</v>
      </c>
      <c r="AD4496" s="16" t="inlineStr">
        <is>
          <t>O2</t>
        </is>
      </c>
      <c r="AE4496" s="16" t="n"/>
    </row>
    <row r="4497">
      <c r="A4497" s="16" t="inlineStr">
        <is>
          <t>KF-M10-MALLA-0049</t>
        </is>
      </c>
      <c r="B4497" s="16" t="inlineStr">
        <is>
          <t>6.2</t>
        </is>
      </c>
      <c r="C4497" s="16" t="inlineStr">
        <is>
          <t>6.2c</t>
        </is>
      </c>
      <c r="D4497" s="16" t="inlineStr">
        <is>
          <t>malla x_b × P_baja (x_b 0.70–0.91)</t>
        </is>
      </c>
      <c r="E4497" s="16" t="inlineStr">
        <is>
          <t>KF-M10</t>
        </is>
      </c>
      <c r="F4497" s="16" t="inlineStr">
        <is>
          <t>KF-M10-MALLA</t>
        </is>
      </c>
      <c r="G4497" s="16" t="inlineStr">
        <is>
          <t>B14-MALLA</t>
        </is>
      </c>
      <c r="H4497" s="16" t="inlineStr">
        <is>
          <t>malla</t>
        </is>
      </c>
      <c r="I4497" s="16" t="inlineStr">
        <is>
          <t>CORREGIBLE</t>
        </is>
      </c>
      <c r="J4497" s="16" t="inlineStr">
        <is>
          <t>CORREGIBLE</t>
        </is>
      </c>
      <c r="K4497" s="16" t="b">
        <v>1</v>
      </c>
      <c r="L4497" s="16" t="b">
        <v>0</v>
      </c>
      <c r="M4497" s="16" t="b">
        <v>0</v>
      </c>
      <c r="N4497" s="16" t="b">
        <v>0</v>
      </c>
      <c r="O4497" s="16" t="n">
        <v>394.15</v>
      </c>
      <c r="P4497" s="16" t="n">
        <v>278.15</v>
      </c>
      <c r="Q4497" s="16" t="n">
        <v>3300</v>
      </c>
      <c r="R4497" s="16" t="n">
        <v>700</v>
      </c>
      <c r="S4497" s="16" t="n">
        <v>0.88</v>
      </c>
      <c r="T4497" s="16" t="n">
        <v>0.9</v>
      </c>
      <c r="U4497" s="16" t="n">
        <v>0.8</v>
      </c>
      <c r="V4497" s="16" t="n">
        <v>0.85</v>
      </c>
      <c r="W4497" s="16" t="n">
        <v>0.75</v>
      </c>
      <c r="X4497" s="16" t="n">
        <v>0.95</v>
      </c>
      <c r="Y4497" s="16" t="n">
        <v>283.15</v>
      </c>
      <c r="Z4497" s="16" t="n">
        <v>13.10200731858416</v>
      </c>
      <c r="AA4497" s="16" t="n">
        <v>137.1404695660498</v>
      </c>
      <c r="AB4497" s="16" t="n">
        <v>2600</v>
      </c>
      <c r="AC4497" s="16" t="n">
        <v>4.714285714285714</v>
      </c>
      <c r="AD4497" s="16" t="inlineStr">
        <is>
          <t>O2</t>
        </is>
      </c>
      <c r="AE4497" s="16" t="n"/>
    </row>
    <row r="4498">
      <c r="A4498" s="16" t="inlineStr">
        <is>
          <t>KF-M10-MALLA-0050</t>
        </is>
      </c>
      <c r="B4498" s="16" t="inlineStr">
        <is>
          <t>6.2</t>
        </is>
      </c>
      <c r="C4498" s="16" t="inlineStr">
        <is>
          <t>6.2c</t>
        </is>
      </c>
      <c r="D4498" s="16" t="inlineStr">
        <is>
          <t>malla x_b × P_baja (x_b 0.70–0.91)</t>
        </is>
      </c>
      <c r="E4498" s="16" t="inlineStr">
        <is>
          <t>KF-M10</t>
        </is>
      </c>
      <c r="F4498" s="16" t="inlineStr">
        <is>
          <t>KF-M10-MALLA</t>
        </is>
      </c>
      <c r="G4498" s="16" t="inlineStr">
        <is>
          <t>B14-MALLA</t>
        </is>
      </c>
      <c r="H4498" s="16" t="inlineStr">
        <is>
          <t>malla</t>
        </is>
      </c>
      <c r="I4498" s="16" t="inlineStr">
        <is>
          <t>CORREGIBLE</t>
        </is>
      </c>
      <c r="J4498" s="16" t="inlineStr">
        <is>
          <t>CORREGIBLE</t>
        </is>
      </c>
      <c r="K4498" s="16" t="b">
        <v>1</v>
      </c>
      <c r="L4498" s="16" t="b">
        <v>0</v>
      </c>
      <c r="M4498" s="16" t="b">
        <v>0</v>
      </c>
      <c r="N4498" s="16" t="b">
        <v>0</v>
      </c>
      <c r="O4498" s="16" t="n">
        <v>394.15</v>
      </c>
      <c r="P4498" s="16" t="n">
        <v>278.15</v>
      </c>
      <c r="Q4498" s="16" t="n">
        <v>3300</v>
      </c>
      <c r="R4498" s="16" t="n">
        <v>500</v>
      </c>
      <c r="S4498" s="16" t="n">
        <v>0.88</v>
      </c>
      <c r="T4498" s="16" t="n">
        <v>0.9</v>
      </c>
      <c r="U4498" s="16" t="n">
        <v>0.8</v>
      </c>
      <c r="V4498" s="16" t="n">
        <v>0.85</v>
      </c>
      <c r="W4498" s="16" t="n">
        <v>0.75</v>
      </c>
      <c r="X4498" s="16" t="n">
        <v>0.95</v>
      </c>
      <c r="Y4498" s="16" t="n">
        <v>283.15</v>
      </c>
      <c r="Z4498" s="16" t="n">
        <v>15.57403502720696</v>
      </c>
      <c r="AA4498" s="16" t="n">
        <v>163.0752983575516</v>
      </c>
      <c r="AB4498" s="16" t="n">
        <v>2800</v>
      </c>
      <c r="AC4498" s="16" t="n">
        <v>6.6</v>
      </c>
      <c r="AD4498" s="16" t="inlineStr">
        <is>
          <t>O2</t>
        </is>
      </c>
      <c r="AE4498" s="16" t="n"/>
    </row>
    <row r="4499">
      <c r="A4499" s="16" t="inlineStr">
        <is>
          <t>KF-M10-MALLA-0051</t>
        </is>
      </c>
      <c r="B4499" s="16" t="inlineStr">
        <is>
          <t>6.2</t>
        </is>
      </c>
      <c r="C4499" s="16" t="inlineStr">
        <is>
          <t>6.2c</t>
        </is>
      </c>
      <c r="D4499" s="16" t="inlineStr">
        <is>
          <t>malla x_b × P_baja (x_b 0.70–0.91)</t>
        </is>
      </c>
      <c r="E4499" s="16" t="inlineStr">
        <is>
          <t>KF-M10</t>
        </is>
      </c>
      <c r="F4499" s="16" t="inlineStr">
        <is>
          <t>KF-M10-MALLA</t>
        </is>
      </c>
      <c r="G4499" s="16" t="inlineStr">
        <is>
          <t>B14-MALLA</t>
        </is>
      </c>
      <c r="H4499" s="16" t="inlineStr">
        <is>
          <t>malla</t>
        </is>
      </c>
      <c r="I4499" s="16" t="inlineStr">
        <is>
          <t>KALINA</t>
        </is>
      </c>
      <c r="J4499" s="16" t="inlineStr">
        <is>
          <t>KALINA</t>
        </is>
      </c>
      <c r="K4499" s="16" t="b">
        <v>1</v>
      </c>
      <c r="L4499" s="16" t="b">
        <v>1</v>
      </c>
      <c r="M4499" s="16" t="b">
        <v>0</v>
      </c>
      <c r="N4499" s="16" t="b">
        <v>0</v>
      </c>
      <c r="O4499" s="16" t="n">
        <v>394.15</v>
      </c>
      <c r="P4499" s="16" t="n">
        <v>278.15</v>
      </c>
      <c r="Q4499" s="16" t="n">
        <v>3300</v>
      </c>
      <c r="R4499" s="16" t="n">
        <v>800</v>
      </c>
      <c r="S4499" s="16" t="n">
        <v>0.88</v>
      </c>
      <c r="T4499" s="16" t="n">
        <v>0.9</v>
      </c>
      <c r="U4499" s="16" t="n">
        <v>0.8</v>
      </c>
      <c r="V4499" s="16" t="n">
        <v>0.85</v>
      </c>
      <c r="W4499" s="16" t="n">
        <v>0.75</v>
      </c>
      <c r="X4499" s="16" t="n">
        <v>0.95</v>
      </c>
      <c r="Y4499" s="16" t="n">
        <v>283.15</v>
      </c>
      <c r="Z4499" s="16" t="n">
        <v>12.07173880328612</v>
      </c>
      <c r="AA4499" s="16" t="n">
        <v>126.3208858957376</v>
      </c>
      <c r="AB4499" s="16" t="n">
        <v>2500</v>
      </c>
      <c r="AC4499" s="16" t="n">
        <v>4.125</v>
      </c>
      <c r="AD4499" s="16" t="n"/>
      <c r="AE4499" s="16" t="n"/>
    </row>
    <row r="4500">
      <c r="A4500" s="16" t="inlineStr">
        <is>
          <t>KF-M10-MALLA-0052</t>
        </is>
      </c>
      <c r="B4500" s="16" t="inlineStr">
        <is>
          <t>6.2</t>
        </is>
      </c>
      <c r="C4500" s="16" t="inlineStr">
        <is>
          <t>6.2c</t>
        </is>
      </c>
      <c r="D4500" s="16" t="inlineStr">
        <is>
          <t>malla x_b × P_baja (x_b 0.70–0.91)</t>
        </is>
      </c>
      <c r="E4500" s="16" t="inlineStr">
        <is>
          <t>KF-M10</t>
        </is>
      </c>
      <c r="F4500" s="16" t="inlineStr">
        <is>
          <t>KF-M10-MALLA</t>
        </is>
      </c>
      <c r="G4500" s="16" t="inlineStr">
        <is>
          <t>B14-MALLA</t>
        </is>
      </c>
      <c r="H4500" s="16" t="inlineStr">
        <is>
          <t>malla</t>
        </is>
      </c>
      <c r="I4500" s="16" t="inlineStr">
        <is>
          <t>KALINA</t>
        </is>
      </c>
      <c r="J4500" s="16" t="inlineStr">
        <is>
          <t>KALINA</t>
        </is>
      </c>
      <c r="K4500" s="16" t="b">
        <v>1</v>
      </c>
      <c r="L4500" s="16" t="b">
        <v>1</v>
      </c>
      <c r="M4500" s="16" t="b">
        <v>0</v>
      </c>
      <c r="N4500" s="16" t="b">
        <v>0</v>
      </c>
      <c r="O4500" s="16" t="n">
        <v>394.15</v>
      </c>
      <c r="P4500" s="16" t="n">
        <v>278.15</v>
      </c>
      <c r="Q4500" s="16" t="n">
        <v>3300</v>
      </c>
      <c r="R4500" s="16" t="n">
        <v>900</v>
      </c>
      <c r="S4500" s="16" t="n">
        <v>0.88</v>
      </c>
      <c r="T4500" s="16" t="n">
        <v>0.9</v>
      </c>
      <c r="U4500" s="16" t="n">
        <v>0.8</v>
      </c>
      <c r="V4500" s="16" t="n">
        <v>0.85</v>
      </c>
      <c r="W4500" s="16" t="n">
        <v>0.75</v>
      </c>
      <c r="X4500" s="16" t="n">
        <v>0.95</v>
      </c>
      <c r="Y4500" s="16" t="n">
        <v>283.15</v>
      </c>
      <c r="Z4500" s="16" t="n">
        <v>11.14746596445409</v>
      </c>
      <c r="AA4500" s="16" t="n">
        <v>116.6204998417806</v>
      </c>
      <c r="AB4500" s="16" t="n">
        <v>2400</v>
      </c>
      <c r="AC4500" s="16" t="n">
        <v>3.666666666666667</v>
      </c>
      <c r="AD4500" s="16" t="n"/>
      <c r="AE4500" s="16" t="n"/>
    </row>
    <row r="4501">
      <c r="A4501" s="16" t="inlineStr">
        <is>
          <t>KF-M10-MALLA-0053</t>
        </is>
      </c>
      <c r="B4501" s="16" t="inlineStr">
        <is>
          <t>6.2</t>
        </is>
      </c>
      <c r="C4501" s="16" t="inlineStr">
        <is>
          <t>6.2c</t>
        </is>
      </c>
      <c r="D4501" s="16" t="inlineStr">
        <is>
          <t>malla x_b × P_baja (x_b 0.70–0.91)</t>
        </is>
      </c>
      <c r="E4501" s="16" t="inlineStr">
        <is>
          <t>KF-M10</t>
        </is>
      </c>
      <c r="F4501" s="16" t="inlineStr">
        <is>
          <t>KF-M10-MALLA</t>
        </is>
      </c>
      <c r="G4501" s="16" t="inlineStr">
        <is>
          <t>B14-MALLA</t>
        </is>
      </c>
      <c r="H4501" s="16" t="inlineStr">
        <is>
          <t>malla</t>
        </is>
      </c>
      <c r="I4501" s="16" t="inlineStr">
        <is>
          <t>KALINA</t>
        </is>
      </c>
      <c r="J4501" s="16" t="inlineStr">
        <is>
          <t>KALINA</t>
        </is>
      </c>
      <c r="K4501" s="16" t="b">
        <v>1</v>
      </c>
      <c r="L4501" s="16" t="b">
        <v>1</v>
      </c>
      <c r="M4501" s="16" t="b">
        <v>0</v>
      </c>
      <c r="N4501" s="16" t="b">
        <v>0</v>
      </c>
      <c r="O4501" s="16" t="n">
        <v>394.15</v>
      </c>
      <c r="P4501" s="16" t="n">
        <v>278.15</v>
      </c>
      <c r="Q4501" s="16" t="n">
        <v>3300</v>
      </c>
      <c r="R4501" s="16" t="n">
        <v>1000</v>
      </c>
      <c r="S4501" s="16" t="n">
        <v>0.88</v>
      </c>
      <c r="T4501" s="16" t="n">
        <v>0.9</v>
      </c>
      <c r="U4501" s="16" t="n">
        <v>0.8</v>
      </c>
      <c r="V4501" s="16" t="n">
        <v>0.85</v>
      </c>
      <c r="W4501" s="16" t="n">
        <v>0.75</v>
      </c>
      <c r="X4501" s="16" t="n">
        <v>0.95</v>
      </c>
      <c r="Y4501" s="16" t="n">
        <v>283.15</v>
      </c>
      <c r="Z4501" s="16" t="n">
        <v>10.30801786612701</v>
      </c>
      <c r="AA4501" s="16" t="n">
        <v>107.8152052213274</v>
      </c>
      <c r="AB4501" s="16" t="n">
        <v>2300</v>
      </c>
      <c r="AC4501" s="16" t="n">
        <v>3.3</v>
      </c>
      <c r="AD4501" s="16" t="n"/>
      <c r="AE4501" s="16" t="n"/>
    </row>
    <row r="4502">
      <c r="A4502" s="16" t="inlineStr">
        <is>
          <t>KF-M10-MALLA-0054</t>
        </is>
      </c>
      <c r="B4502" s="16" t="inlineStr">
        <is>
          <t>6.2</t>
        </is>
      </c>
      <c r="C4502" s="16" t="inlineStr">
        <is>
          <t>6.2c</t>
        </is>
      </c>
      <c r="D4502" s="16" t="inlineStr">
        <is>
          <t>malla x_b × P_baja (x_b 0.70–0.91)</t>
        </is>
      </c>
      <c r="E4502" s="16" t="inlineStr">
        <is>
          <t>KF-M10</t>
        </is>
      </c>
      <c r="F4502" s="16" t="inlineStr">
        <is>
          <t>KF-M10-MALLA</t>
        </is>
      </c>
      <c r="G4502" s="16" t="inlineStr">
        <is>
          <t>B14-MALLA</t>
        </is>
      </c>
      <c r="H4502" s="16" t="inlineStr">
        <is>
          <t>malla</t>
        </is>
      </c>
      <c r="I4502" s="16" t="inlineStr">
        <is>
          <t>KALINA</t>
        </is>
      </c>
      <c r="J4502" s="16" t="inlineStr">
        <is>
          <t>KALINA</t>
        </is>
      </c>
      <c r="K4502" s="16" t="b">
        <v>1</v>
      </c>
      <c r="L4502" s="16" t="b">
        <v>1</v>
      </c>
      <c r="M4502" s="16" t="b">
        <v>0</v>
      </c>
      <c r="N4502" s="16" t="b">
        <v>0</v>
      </c>
      <c r="O4502" s="16" t="n">
        <v>394.15</v>
      </c>
      <c r="P4502" s="16" t="n">
        <v>278.15</v>
      </c>
      <c r="Q4502" s="16" t="n">
        <v>3300</v>
      </c>
      <c r="R4502" s="16" t="n">
        <v>1100</v>
      </c>
      <c r="S4502" s="16" t="n">
        <v>0.88</v>
      </c>
      <c r="T4502" s="16" t="n">
        <v>0.9</v>
      </c>
      <c r="U4502" s="16" t="n">
        <v>0.8</v>
      </c>
      <c r="V4502" s="16" t="n">
        <v>0.85</v>
      </c>
      <c r="W4502" s="16" t="n">
        <v>0.75</v>
      </c>
      <c r="X4502" s="16" t="n">
        <v>0.95</v>
      </c>
      <c r="Y4502" s="16" t="n">
        <v>283.15</v>
      </c>
      <c r="Z4502" s="16" t="n">
        <v>9.53815722901332</v>
      </c>
      <c r="AA4502" s="16" t="n">
        <v>99.7437858476994</v>
      </c>
      <c r="AB4502" s="16" t="n">
        <v>2200</v>
      </c>
      <c r="AC4502" s="16" t="n">
        <v>3</v>
      </c>
      <c r="AD4502" s="16" t="n"/>
      <c r="AE4502" s="16" t="n"/>
    </row>
    <row r="4503">
      <c r="A4503" s="16" t="inlineStr">
        <is>
          <t>KF-M10-MALLA-0055</t>
        </is>
      </c>
      <c r="B4503" s="16" t="inlineStr">
        <is>
          <t>6.2</t>
        </is>
      </c>
      <c r="C4503" s="16" t="inlineStr">
        <is>
          <t>6.2c</t>
        </is>
      </c>
      <c r="D4503" s="16" t="inlineStr">
        <is>
          <t>malla x_b × P_baja (x_b 0.70–0.91)</t>
        </is>
      </c>
      <c r="E4503" s="16" t="inlineStr">
        <is>
          <t>KF-M10</t>
        </is>
      </c>
      <c r="F4503" s="16" t="inlineStr">
        <is>
          <t>KF-M10-MALLA</t>
        </is>
      </c>
      <c r="G4503" s="16" t="inlineStr">
        <is>
          <t>B14-MALLA</t>
        </is>
      </c>
      <c r="H4503" s="16" t="inlineStr">
        <is>
          <t>malla</t>
        </is>
      </c>
      <c r="I4503" s="16" t="inlineStr">
        <is>
          <t>CORREGIBLE</t>
        </is>
      </c>
      <c r="J4503" s="16" t="inlineStr">
        <is>
          <t>CORREGIBLE</t>
        </is>
      </c>
      <c r="K4503" s="16" t="b">
        <v>1</v>
      </c>
      <c r="L4503" s="16" t="b">
        <v>0</v>
      </c>
      <c r="M4503" s="16" t="b">
        <v>0</v>
      </c>
      <c r="N4503" s="16" t="b">
        <v>0</v>
      </c>
      <c r="O4503" s="16" t="n">
        <v>394.15</v>
      </c>
      <c r="P4503" s="16" t="n">
        <v>278.15</v>
      </c>
      <c r="Q4503" s="16" t="n">
        <v>3300</v>
      </c>
      <c r="R4503" s="16" t="n">
        <v>500</v>
      </c>
      <c r="S4503" s="16" t="n">
        <v>0.91</v>
      </c>
      <c r="T4503" s="16" t="n">
        <v>0.9</v>
      </c>
      <c r="U4503" s="16" t="n">
        <v>0.8</v>
      </c>
      <c r="V4503" s="16" t="n">
        <v>0.85</v>
      </c>
      <c r="W4503" s="16" t="n">
        <v>0.75</v>
      </c>
      <c r="X4503" s="16" t="n">
        <v>0.95</v>
      </c>
      <c r="Y4503" s="16" t="n">
        <v>283.15</v>
      </c>
      <c r="Z4503" s="16" t="n">
        <v>15.75466659898578</v>
      </c>
      <c r="AA4503" s="16" t="n">
        <v>174.6871235596686</v>
      </c>
      <c r="AB4503" s="16" t="n">
        <v>2800</v>
      </c>
      <c r="AC4503" s="16" t="n">
        <v>6.6</v>
      </c>
      <c r="AD4503" s="16" t="inlineStr">
        <is>
          <t>O2</t>
        </is>
      </c>
      <c r="AE4503" s="16" t="n"/>
    </row>
    <row r="4504">
      <c r="A4504" s="16" t="inlineStr">
        <is>
          <t>KF-M10-MALLA-0056</t>
        </is>
      </c>
      <c r="B4504" s="16" t="inlineStr">
        <is>
          <t>6.2</t>
        </is>
      </c>
      <c r="C4504" s="16" t="inlineStr">
        <is>
          <t>6.2c</t>
        </is>
      </c>
      <c r="D4504" s="16" t="inlineStr">
        <is>
          <t>malla x_b × P_baja (x_b 0.70–0.91)</t>
        </is>
      </c>
      <c r="E4504" s="16" t="inlineStr">
        <is>
          <t>KF-M10</t>
        </is>
      </c>
      <c r="F4504" s="16" t="inlineStr">
        <is>
          <t>KF-M10-MALLA</t>
        </is>
      </c>
      <c r="G4504" s="16" t="inlineStr">
        <is>
          <t>B14-MALLA</t>
        </is>
      </c>
      <c r="H4504" s="16" t="inlineStr">
        <is>
          <t>malla</t>
        </is>
      </c>
      <c r="I4504" s="16" t="inlineStr">
        <is>
          <t>CORREGIBLE</t>
        </is>
      </c>
      <c r="J4504" s="16" t="inlineStr">
        <is>
          <t>CORREGIBLE</t>
        </is>
      </c>
      <c r="K4504" s="16" t="b">
        <v>1</v>
      </c>
      <c r="L4504" s="16" t="b">
        <v>0</v>
      </c>
      <c r="M4504" s="16" t="b">
        <v>0</v>
      </c>
      <c r="N4504" s="16" t="b">
        <v>0</v>
      </c>
      <c r="O4504" s="16" t="n">
        <v>394.15</v>
      </c>
      <c r="P4504" s="16" t="n">
        <v>278.15</v>
      </c>
      <c r="Q4504" s="16" t="n">
        <v>3300</v>
      </c>
      <c r="R4504" s="16" t="n">
        <v>600</v>
      </c>
      <c r="S4504" s="16" t="n">
        <v>0.91</v>
      </c>
      <c r="T4504" s="16" t="n">
        <v>0.9</v>
      </c>
      <c r="U4504" s="16" t="n">
        <v>0.8</v>
      </c>
      <c r="V4504" s="16" t="n">
        <v>0.85</v>
      </c>
      <c r="W4504" s="16" t="n">
        <v>0.75</v>
      </c>
      <c r="X4504" s="16" t="n">
        <v>0.95</v>
      </c>
      <c r="Y4504" s="16" t="n">
        <v>283.15</v>
      </c>
      <c r="Z4504" s="16" t="n">
        <v>14.45823476427384</v>
      </c>
      <c r="AA4504" s="16" t="n">
        <v>160.0548463852235</v>
      </c>
      <c r="AB4504" s="16" t="n">
        <v>2700</v>
      </c>
      <c r="AC4504" s="16" t="n">
        <v>5.5</v>
      </c>
      <c r="AD4504" s="16" t="inlineStr">
        <is>
          <t>O2</t>
        </is>
      </c>
      <c r="AE4504" s="16" t="n"/>
    </row>
    <row r="4505">
      <c r="A4505" s="16" t="inlineStr">
        <is>
          <t>KF-M10-MALLA-0057</t>
        </is>
      </c>
      <c r="B4505" s="16" t="inlineStr">
        <is>
          <t>6.2</t>
        </is>
      </c>
      <c r="C4505" s="16" t="inlineStr">
        <is>
          <t>6.2c</t>
        </is>
      </c>
      <c r="D4505" s="16" t="inlineStr">
        <is>
          <t>malla x_b × P_baja (x_b 0.70–0.91)</t>
        </is>
      </c>
      <c r="E4505" s="16" t="inlineStr">
        <is>
          <t>KF-M10</t>
        </is>
      </c>
      <c r="F4505" s="16" t="inlineStr">
        <is>
          <t>KF-M10-MALLA</t>
        </is>
      </c>
      <c r="G4505" s="16" t="inlineStr">
        <is>
          <t>B14-MALLA</t>
        </is>
      </c>
      <c r="H4505" s="16" t="inlineStr">
        <is>
          <t>malla</t>
        </is>
      </c>
      <c r="I4505" s="16" t="inlineStr">
        <is>
          <t>CORREGIBLE</t>
        </is>
      </c>
      <c r="J4505" s="16" t="inlineStr">
        <is>
          <t>CORREGIBLE</t>
        </is>
      </c>
      <c r="K4505" s="16" t="b">
        <v>1</v>
      </c>
      <c r="L4505" s="16" t="b">
        <v>0</v>
      </c>
      <c r="M4505" s="16" t="b">
        <v>0</v>
      </c>
      <c r="N4505" s="16" t="b">
        <v>0</v>
      </c>
      <c r="O4505" s="16" t="n">
        <v>394.15</v>
      </c>
      <c r="P4505" s="16" t="n">
        <v>278.15</v>
      </c>
      <c r="Q4505" s="16" t="n">
        <v>3300</v>
      </c>
      <c r="R4505" s="16" t="n">
        <v>700</v>
      </c>
      <c r="S4505" s="16" t="n">
        <v>0.91</v>
      </c>
      <c r="T4505" s="16" t="n">
        <v>0.9</v>
      </c>
      <c r="U4505" s="16" t="n">
        <v>0.8</v>
      </c>
      <c r="V4505" s="16" t="n">
        <v>0.85</v>
      </c>
      <c r="W4505" s="16" t="n">
        <v>0.75</v>
      </c>
      <c r="X4505" s="16" t="n">
        <v>0.95</v>
      </c>
      <c r="Y4505" s="16" t="n">
        <v>283.15</v>
      </c>
      <c r="Z4505" s="16" t="n">
        <v>13.28503491604952</v>
      </c>
      <c r="AA4505" s="16" t="n">
        <v>147.0283110663034</v>
      </c>
      <c r="AB4505" s="16" t="n">
        <v>2600</v>
      </c>
      <c r="AC4505" s="16" t="n">
        <v>4.714285714285714</v>
      </c>
      <c r="AD4505" s="16" t="inlineStr">
        <is>
          <t>O2</t>
        </is>
      </c>
      <c r="AE4505" s="16" t="n"/>
    </row>
    <row r="4506">
      <c r="A4506" s="16" t="inlineStr">
        <is>
          <t>KF-M10-MALLA-0058</t>
        </is>
      </c>
      <c r="B4506" s="16" t="inlineStr">
        <is>
          <t>6.2</t>
        </is>
      </c>
      <c r="C4506" s="16" t="inlineStr">
        <is>
          <t>6.2c</t>
        </is>
      </c>
      <c r="D4506" s="16" t="inlineStr">
        <is>
          <t>malla x_b × P_baja (x_b 0.70–0.91)</t>
        </is>
      </c>
      <c r="E4506" s="16" t="inlineStr">
        <is>
          <t>KF-M10</t>
        </is>
      </c>
      <c r="F4506" s="16" t="inlineStr">
        <is>
          <t>KF-M10-MALLA</t>
        </is>
      </c>
      <c r="G4506" s="16" t="inlineStr">
        <is>
          <t>B14-MALLA</t>
        </is>
      </c>
      <c r="H4506" s="16" t="inlineStr">
        <is>
          <t>malla</t>
        </is>
      </c>
      <c r="I4506" s="16" t="inlineStr">
        <is>
          <t>KALINA</t>
        </is>
      </c>
      <c r="J4506" s="16" t="inlineStr">
        <is>
          <t>KALINA</t>
        </is>
      </c>
      <c r="K4506" s="16" t="b">
        <v>1</v>
      </c>
      <c r="L4506" s="16" t="b">
        <v>1</v>
      </c>
      <c r="M4506" s="16" t="b">
        <v>0</v>
      </c>
      <c r="N4506" s="16" t="b">
        <v>0</v>
      </c>
      <c r="O4506" s="16" t="n">
        <v>394.15</v>
      </c>
      <c r="P4506" s="16" t="n">
        <v>278.15</v>
      </c>
      <c r="Q4506" s="16" t="n">
        <v>3300</v>
      </c>
      <c r="R4506" s="16" t="n">
        <v>1200</v>
      </c>
      <c r="S4506" s="16" t="n">
        <v>0.88</v>
      </c>
      <c r="T4506" s="16" t="n">
        <v>0.9</v>
      </c>
      <c r="U4506" s="16" t="n">
        <v>0.8</v>
      </c>
      <c r="V4506" s="16" t="n">
        <v>0.85</v>
      </c>
      <c r="W4506" s="16" t="n">
        <v>0.75</v>
      </c>
      <c r="X4506" s="16" t="n">
        <v>0.95</v>
      </c>
      <c r="Y4506" s="16" t="n">
        <v>283.15</v>
      </c>
      <c r="Z4506" s="16" t="n">
        <v>8.82655033606776</v>
      </c>
      <c r="AA4506" s="16" t="n">
        <v>92.28637884245332</v>
      </c>
      <c r="AB4506" s="16" t="n">
        <v>2100</v>
      </c>
      <c r="AC4506" s="16" t="n">
        <v>2.75</v>
      </c>
      <c r="AD4506" s="16" t="n"/>
      <c r="AE4506" s="16" t="n"/>
    </row>
    <row r="4507">
      <c r="A4507" s="16" t="inlineStr">
        <is>
          <t>KF-M10-MALLA-0059</t>
        </is>
      </c>
      <c r="B4507" s="16" t="inlineStr">
        <is>
          <t>6.2</t>
        </is>
      </c>
      <c r="C4507" s="16" t="inlineStr">
        <is>
          <t>6.2c</t>
        </is>
      </c>
      <c r="D4507" s="16" t="inlineStr">
        <is>
          <t>malla x_b × P_baja (x_b 0.70–0.91)</t>
        </is>
      </c>
      <c r="E4507" s="16" t="inlineStr">
        <is>
          <t>KF-M10</t>
        </is>
      </c>
      <c r="F4507" s="16" t="inlineStr">
        <is>
          <t>KF-M10-MALLA</t>
        </is>
      </c>
      <c r="G4507" s="16" t="inlineStr">
        <is>
          <t>B14-MALLA</t>
        </is>
      </c>
      <c r="H4507" s="16" t="inlineStr">
        <is>
          <t>malla</t>
        </is>
      </c>
      <c r="I4507" s="16" t="inlineStr">
        <is>
          <t>KALINA</t>
        </is>
      </c>
      <c r="J4507" s="16" t="inlineStr">
        <is>
          <t>KALINA</t>
        </is>
      </c>
      <c r="K4507" s="16" t="b">
        <v>1</v>
      </c>
      <c r="L4507" s="16" t="b">
        <v>1</v>
      </c>
      <c r="M4507" s="16" t="b">
        <v>0</v>
      </c>
      <c r="N4507" s="16" t="b">
        <v>0</v>
      </c>
      <c r="O4507" s="16" t="n">
        <v>394.15</v>
      </c>
      <c r="P4507" s="16" t="n">
        <v>278.15</v>
      </c>
      <c r="Q4507" s="16" t="n">
        <v>3300</v>
      </c>
      <c r="R4507" s="16" t="n">
        <v>900</v>
      </c>
      <c r="S4507" s="16" t="n">
        <v>0.91</v>
      </c>
      <c r="T4507" s="16" t="n">
        <v>0.9</v>
      </c>
      <c r="U4507" s="16" t="n">
        <v>0.8</v>
      </c>
      <c r="V4507" s="16" t="n">
        <v>0.85</v>
      </c>
      <c r="W4507" s="16" t="n">
        <v>0.75</v>
      </c>
      <c r="X4507" s="16" t="n">
        <v>0.95</v>
      </c>
      <c r="Y4507" s="16" t="n">
        <v>283.15</v>
      </c>
      <c r="Z4507" s="16" t="n">
        <v>11.30378992761474</v>
      </c>
      <c r="AA4507" s="16" t="n">
        <v>125.0305435972308</v>
      </c>
      <c r="AB4507" s="16" t="n">
        <v>2400</v>
      </c>
      <c r="AC4507" s="16" t="n">
        <v>3.666666666666667</v>
      </c>
      <c r="AD4507" s="16" t="n"/>
      <c r="AE4507" s="16" t="n"/>
    </row>
    <row r="4508">
      <c r="A4508" s="16" t="inlineStr">
        <is>
          <t>KF-M10-MALLA-0060</t>
        </is>
      </c>
      <c r="B4508" s="16" t="inlineStr">
        <is>
          <t>6.2</t>
        </is>
      </c>
      <c r="C4508" s="16" t="inlineStr">
        <is>
          <t>6.2c</t>
        </is>
      </c>
      <c r="D4508" s="16" t="inlineStr">
        <is>
          <t>malla x_b × P_baja (x_b 0.70–0.91)</t>
        </is>
      </c>
      <c r="E4508" s="16" t="inlineStr">
        <is>
          <t>KF-M10</t>
        </is>
      </c>
      <c r="F4508" s="16" t="inlineStr">
        <is>
          <t>KF-M10-MALLA</t>
        </is>
      </c>
      <c r="G4508" s="16" t="inlineStr">
        <is>
          <t>B14-MALLA</t>
        </is>
      </c>
      <c r="H4508" s="16" t="inlineStr">
        <is>
          <t>malla</t>
        </is>
      </c>
      <c r="I4508" s="16" t="inlineStr">
        <is>
          <t>KALINA</t>
        </is>
      </c>
      <c r="J4508" s="16" t="inlineStr">
        <is>
          <t>KALINA</t>
        </is>
      </c>
      <c r="K4508" s="16" t="b">
        <v>1</v>
      </c>
      <c r="L4508" s="16" t="b">
        <v>1</v>
      </c>
      <c r="M4508" s="16" t="b">
        <v>0</v>
      </c>
      <c r="N4508" s="16" t="b">
        <v>0</v>
      </c>
      <c r="O4508" s="16" t="n">
        <v>394.15</v>
      </c>
      <c r="P4508" s="16" t="n">
        <v>278.15</v>
      </c>
      <c r="Q4508" s="16" t="n">
        <v>3300</v>
      </c>
      <c r="R4508" s="16" t="n">
        <v>800</v>
      </c>
      <c r="S4508" s="16" t="n">
        <v>0.91</v>
      </c>
      <c r="T4508" s="16" t="n">
        <v>0.9</v>
      </c>
      <c r="U4508" s="16" t="n">
        <v>0.8</v>
      </c>
      <c r="V4508" s="16" t="n">
        <v>0.85</v>
      </c>
      <c r="W4508" s="16" t="n">
        <v>0.75</v>
      </c>
      <c r="X4508" s="16" t="n">
        <v>0.95</v>
      </c>
      <c r="Y4508" s="16" t="n">
        <v>283.15</v>
      </c>
      <c r="Z4508" s="16" t="n">
        <v>12.2404179288122</v>
      </c>
      <c r="AA4508" s="16" t="n">
        <v>135.4262544293466</v>
      </c>
      <c r="AB4508" s="16" t="n">
        <v>2500</v>
      </c>
      <c r="AC4508" s="16" t="n">
        <v>4.125</v>
      </c>
      <c r="AD4508" s="16" t="n"/>
      <c r="AE4508" s="16" t="n"/>
    </row>
    <row r="4509">
      <c r="A4509" s="16" t="inlineStr">
        <is>
          <t>KF-M10-MALLA-0061</t>
        </is>
      </c>
      <c r="B4509" s="16" t="inlineStr">
        <is>
          <t>6.2</t>
        </is>
      </c>
      <c r="C4509" s="16" t="inlineStr">
        <is>
          <t>6.2c</t>
        </is>
      </c>
      <c r="D4509" s="16" t="inlineStr">
        <is>
          <t>malla x_b × P_baja (x_b 0.70–0.91)</t>
        </is>
      </c>
      <c r="E4509" s="16" t="inlineStr">
        <is>
          <t>KF-M10</t>
        </is>
      </c>
      <c r="F4509" s="16" t="inlineStr">
        <is>
          <t>KF-M10-MALLA</t>
        </is>
      </c>
      <c r="G4509" s="16" t="inlineStr">
        <is>
          <t>B14-MALLA</t>
        </is>
      </c>
      <c r="H4509" s="16" t="inlineStr">
        <is>
          <t>malla</t>
        </is>
      </c>
      <c r="I4509" s="16" t="inlineStr">
        <is>
          <t>KALINA</t>
        </is>
      </c>
      <c r="J4509" s="16" t="inlineStr">
        <is>
          <t>KALINA</t>
        </is>
      </c>
      <c r="K4509" s="16" t="b">
        <v>1</v>
      </c>
      <c r="L4509" s="16" t="b">
        <v>1</v>
      </c>
      <c r="M4509" s="16" t="b">
        <v>0</v>
      </c>
      <c r="N4509" s="16" t="b">
        <v>0</v>
      </c>
      <c r="O4509" s="16" t="n">
        <v>394.15</v>
      </c>
      <c r="P4509" s="16" t="n">
        <v>278.15</v>
      </c>
      <c r="Q4509" s="16" t="n">
        <v>3300</v>
      </c>
      <c r="R4509" s="16" t="n">
        <v>1000</v>
      </c>
      <c r="S4509" s="16" t="n">
        <v>0.91</v>
      </c>
      <c r="T4509" s="16" t="n">
        <v>0.9</v>
      </c>
      <c r="U4509" s="16" t="n">
        <v>0.8</v>
      </c>
      <c r="V4509" s="16" t="n">
        <v>0.85</v>
      </c>
      <c r="W4509" s="16" t="n">
        <v>0.75</v>
      </c>
      <c r="X4509" s="16" t="n">
        <v>0.95</v>
      </c>
      <c r="Y4509" s="16" t="n">
        <v>283.15</v>
      </c>
      <c r="Z4509" s="16" t="n">
        <v>10.45348880657733</v>
      </c>
      <c r="AA4509" s="16" t="n">
        <v>115.598542500837</v>
      </c>
      <c r="AB4509" s="16" t="n">
        <v>2300</v>
      </c>
      <c r="AC4509" s="16" t="n">
        <v>3.3</v>
      </c>
      <c r="AD4509" s="16" t="n"/>
      <c r="AE4509" s="16" t="n"/>
    </row>
    <row r="4510">
      <c r="A4510" s="16" t="inlineStr">
        <is>
          <t>KF-M10-MALLA-0062</t>
        </is>
      </c>
      <c r="B4510" s="16" t="inlineStr">
        <is>
          <t>6.2</t>
        </is>
      </c>
      <c r="C4510" s="16" t="inlineStr">
        <is>
          <t>6.2c</t>
        </is>
      </c>
      <c r="D4510" s="16" t="inlineStr">
        <is>
          <t>malla x_b × P_baja (x_b 0.70–0.91)</t>
        </is>
      </c>
      <c r="E4510" s="16" t="inlineStr">
        <is>
          <t>KF-M10</t>
        </is>
      </c>
      <c r="F4510" s="16" t="inlineStr">
        <is>
          <t>KF-M10-MALLA</t>
        </is>
      </c>
      <c r="G4510" s="16" t="inlineStr">
        <is>
          <t>B14-MALLA</t>
        </is>
      </c>
      <c r="H4510" s="16" t="inlineStr">
        <is>
          <t>malla</t>
        </is>
      </c>
      <c r="I4510" s="16" t="inlineStr">
        <is>
          <t>KALINA</t>
        </is>
      </c>
      <c r="J4510" s="16" t="inlineStr">
        <is>
          <t>KALINA</t>
        </is>
      </c>
      <c r="K4510" s="16" t="b">
        <v>1</v>
      </c>
      <c r="L4510" s="16" t="b">
        <v>1</v>
      </c>
      <c r="M4510" s="16" t="b">
        <v>0</v>
      </c>
      <c r="N4510" s="16" t="b">
        <v>0</v>
      </c>
      <c r="O4510" s="16" t="n">
        <v>394.15</v>
      </c>
      <c r="P4510" s="16" t="n">
        <v>278.15</v>
      </c>
      <c r="Q4510" s="16" t="n">
        <v>3300</v>
      </c>
      <c r="R4510" s="16" t="n">
        <v>1100</v>
      </c>
      <c r="S4510" s="16" t="n">
        <v>0.91</v>
      </c>
      <c r="T4510" s="16" t="n">
        <v>0.9</v>
      </c>
      <c r="U4510" s="16" t="n">
        <v>0.8</v>
      </c>
      <c r="V4510" s="16" t="n">
        <v>0.85</v>
      </c>
      <c r="W4510" s="16" t="n">
        <v>0.75</v>
      </c>
      <c r="X4510" s="16" t="n">
        <v>0.95</v>
      </c>
      <c r="Y4510" s="16" t="n">
        <v>283.15</v>
      </c>
      <c r="Z4510" s="16" t="n">
        <v>9.67389921513486</v>
      </c>
      <c r="AA4510" s="16" t="n">
        <v>106.9554410431627</v>
      </c>
      <c r="AB4510" s="16" t="n">
        <v>2200</v>
      </c>
      <c r="AC4510" s="16" t="n">
        <v>3</v>
      </c>
      <c r="AD4510" s="16" t="n"/>
      <c r="AE4510" s="16" t="n"/>
    </row>
    <row r="4511">
      <c r="A4511" s="16" t="inlineStr">
        <is>
          <t>KF-M10-MALLA-0063</t>
        </is>
      </c>
      <c r="B4511" s="16" t="inlineStr">
        <is>
          <t>6.2</t>
        </is>
      </c>
      <c r="C4511" s="16" t="inlineStr">
        <is>
          <t>6.2c</t>
        </is>
      </c>
      <c r="D4511" s="16" t="inlineStr">
        <is>
          <t>malla x_b × P_baja (x_b 0.70–0.91)</t>
        </is>
      </c>
      <c r="E4511" s="16" t="inlineStr">
        <is>
          <t>KF-M10</t>
        </is>
      </c>
      <c r="F4511" s="16" t="inlineStr">
        <is>
          <t>KF-M10-MALLA</t>
        </is>
      </c>
      <c r="G4511" s="16" t="inlineStr">
        <is>
          <t>B14-MALLA</t>
        </is>
      </c>
      <c r="H4511" s="16" t="inlineStr">
        <is>
          <t>malla</t>
        </is>
      </c>
      <c r="I4511" s="16" t="inlineStr">
        <is>
          <t>KALINA</t>
        </is>
      </c>
      <c r="J4511" s="16" t="inlineStr">
        <is>
          <t>KALINA</t>
        </is>
      </c>
      <c r="K4511" s="16" t="b">
        <v>1</v>
      </c>
      <c r="L4511" s="16" t="b">
        <v>1</v>
      </c>
      <c r="M4511" s="16" t="b">
        <v>0</v>
      </c>
      <c r="N4511" s="16" t="b">
        <v>0</v>
      </c>
      <c r="O4511" s="16" t="n">
        <v>394.15</v>
      </c>
      <c r="P4511" s="16" t="n">
        <v>278.15</v>
      </c>
      <c r="Q4511" s="16" t="n">
        <v>3300</v>
      </c>
      <c r="R4511" s="16" t="n">
        <v>1200</v>
      </c>
      <c r="S4511" s="16" t="n">
        <v>0.91</v>
      </c>
      <c r="T4511" s="16" t="n">
        <v>0.9</v>
      </c>
      <c r="U4511" s="16" t="n">
        <v>0.8</v>
      </c>
      <c r="V4511" s="16" t="n">
        <v>0.85</v>
      </c>
      <c r="W4511" s="16" t="n">
        <v>0.75</v>
      </c>
      <c r="X4511" s="16" t="n">
        <v>0.95</v>
      </c>
      <c r="Y4511" s="16" t="n">
        <v>283.15</v>
      </c>
      <c r="Z4511" s="16" t="n">
        <v>8.877963168065541</v>
      </c>
      <c r="AA4511" s="16" t="n">
        <v>98.13464224690414</v>
      </c>
      <c r="AB4511" s="16" t="n">
        <v>2100</v>
      </c>
      <c r="AC4511" s="16" t="n">
        <v>2.75</v>
      </c>
      <c r="AD4511" s="16" t="n"/>
      <c r="AE4511" s="16" t="n"/>
    </row>
    <row r="4512">
      <c r="A4512" s="16" t="inlineStr">
        <is>
          <t>KF-M10b-OFAT-0000</t>
        </is>
      </c>
      <c r="B4512" s="16" t="inlineStr">
        <is>
          <t>6.2</t>
        </is>
      </c>
      <c r="C4512" s="16" t="inlineStr">
        <is>
          <t>6.2d</t>
        </is>
      </c>
      <c r="D4512" s="16" t="inlineStr">
        <is>
          <t>x_b bajo (0.30–0.70)</t>
        </is>
      </c>
      <c r="E4512" s="16" t="inlineStr">
        <is>
          <t>KF-M10b</t>
        </is>
      </c>
      <c r="F4512" s="16" t="inlineStr">
        <is>
          <t>KF-M10b-OFAT</t>
        </is>
      </c>
      <c r="G4512" s="16" t="inlineStr">
        <is>
          <t>B14-OFATb</t>
        </is>
      </c>
      <c r="H4512" s="16" t="inlineStr">
        <is>
          <t>oat</t>
        </is>
      </c>
      <c r="I4512" s="16" t="inlineStr">
        <is>
          <t>NO_CONVERGIO</t>
        </is>
      </c>
      <c r="J4512" s="16" t="inlineStr">
        <is>
          <t>NO_CONVERGIO</t>
        </is>
      </c>
      <c r="K4512" s="16" t="b">
        <v>0</v>
      </c>
      <c r="L4512" s="16" t="b">
        <v>0</v>
      </c>
      <c r="M4512" s="16" t="b">
        <v>0</v>
      </c>
      <c r="N4512" s="16" t="b">
        <v>0</v>
      </c>
      <c r="O4512" s="16" t="n">
        <v>394.15</v>
      </c>
      <c r="P4512" s="16" t="n">
        <v>278.15</v>
      </c>
      <c r="Q4512" s="16" t="n">
        <v>3300</v>
      </c>
      <c r="R4512" s="16" t="n">
        <v>690</v>
      </c>
      <c r="S4512" s="16" t="n">
        <v>0.3</v>
      </c>
      <c r="T4512" s="16" t="n">
        <v>0.9</v>
      </c>
      <c r="U4512" s="16" t="n">
        <v>0.8</v>
      </c>
      <c r="V4512" s="16" t="n">
        <v>0.85</v>
      </c>
      <c r="W4512" s="16" t="n">
        <v>0.75</v>
      </c>
      <c r="X4512" s="16" t="n">
        <v>0.95</v>
      </c>
      <c r="Y4512" s="16" t="n">
        <v>283.15</v>
      </c>
      <c r="Z4512" s="16" t="n"/>
      <c r="AA4512" s="16" t="n"/>
      <c r="AB4512" s="16" t="n">
        <v>2610</v>
      </c>
      <c r="AC4512" s="16" t="n">
        <v>4.782608695652174</v>
      </c>
      <c r="AD4512" s="16" t="n"/>
      <c r="AE4512" s="16" t="inlineStr">
        <is>
          <t>x_b</t>
        </is>
      </c>
    </row>
    <row r="4513">
      <c r="A4513" s="16" t="inlineStr">
        <is>
          <t>KF-M10b-OFAT-0001</t>
        </is>
      </c>
      <c r="B4513" s="16" t="inlineStr">
        <is>
          <t>6.2</t>
        </is>
      </c>
      <c r="C4513" s="16" t="inlineStr">
        <is>
          <t>6.2d</t>
        </is>
      </c>
      <c r="D4513" s="16" t="inlineStr">
        <is>
          <t>x_b bajo (0.30–0.70)</t>
        </is>
      </c>
      <c r="E4513" s="16" t="inlineStr">
        <is>
          <t>KF-M10b</t>
        </is>
      </c>
      <c r="F4513" s="16" t="inlineStr">
        <is>
          <t>KF-M10b-OFAT</t>
        </is>
      </c>
      <c r="G4513" s="16" t="inlineStr">
        <is>
          <t>B14-OFATb</t>
        </is>
      </c>
      <c r="H4513" s="16" t="inlineStr">
        <is>
          <t>oat</t>
        </is>
      </c>
      <c r="I4513" s="16" t="inlineStr">
        <is>
          <t>NO_CONVERGIO</t>
        </is>
      </c>
      <c r="J4513" s="16" t="inlineStr">
        <is>
          <t>NO_CONVERGIO</t>
        </is>
      </c>
      <c r="K4513" s="16" t="b">
        <v>0</v>
      </c>
      <c r="L4513" s="16" t="b">
        <v>0</v>
      </c>
      <c r="M4513" s="16" t="b">
        <v>0</v>
      </c>
      <c r="N4513" s="16" t="b">
        <v>0</v>
      </c>
      <c r="O4513" s="16" t="n">
        <v>394.15</v>
      </c>
      <c r="P4513" s="16" t="n">
        <v>278.15</v>
      </c>
      <c r="Q4513" s="16" t="n">
        <v>3300</v>
      </c>
      <c r="R4513" s="16" t="n">
        <v>690</v>
      </c>
      <c r="S4513" s="16" t="n">
        <v>0.35</v>
      </c>
      <c r="T4513" s="16" t="n">
        <v>0.9</v>
      </c>
      <c r="U4513" s="16" t="n">
        <v>0.8</v>
      </c>
      <c r="V4513" s="16" t="n">
        <v>0.85</v>
      </c>
      <c r="W4513" s="16" t="n">
        <v>0.75</v>
      </c>
      <c r="X4513" s="16" t="n">
        <v>0.95</v>
      </c>
      <c r="Y4513" s="16" t="n">
        <v>283.15</v>
      </c>
      <c r="Z4513" s="16" t="n"/>
      <c r="AA4513" s="16" t="n"/>
      <c r="AB4513" s="16" t="n">
        <v>2610</v>
      </c>
      <c r="AC4513" s="16" t="n">
        <v>4.782608695652174</v>
      </c>
      <c r="AD4513" s="16" t="n"/>
      <c r="AE4513" s="16" t="inlineStr">
        <is>
          <t>x_b</t>
        </is>
      </c>
    </row>
    <row r="4514">
      <c r="A4514" s="16" t="inlineStr">
        <is>
          <t>KF-M10b-OFAT-0002</t>
        </is>
      </c>
      <c r="B4514" s="16" t="inlineStr">
        <is>
          <t>6.2</t>
        </is>
      </c>
      <c r="C4514" s="16" t="inlineStr">
        <is>
          <t>6.2d</t>
        </is>
      </c>
      <c r="D4514" s="16" t="inlineStr">
        <is>
          <t>x_b bajo (0.30–0.70)</t>
        </is>
      </c>
      <c r="E4514" s="16" t="inlineStr">
        <is>
          <t>KF-M10b</t>
        </is>
      </c>
      <c r="F4514" s="16" t="inlineStr">
        <is>
          <t>KF-M10b-OFAT</t>
        </is>
      </c>
      <c r="G4514" s="16" t="inlineStr">
        <is>
          <t>B14-OFATb</t>
        </is>
      </c>
      <c r="H4514" s="16" t="inlineStr">
        <is>
          <t>oat</t>
        </is>
      </c>
      <c r="I4514" s="16" t="inlineStr">
        <is>
          <t>NO_CONVERGIO</t>
        </is>
      </c>
      <c r="J4514" s="16" t="inlineStr">
        <is>
          <t>NO_CONVERGIO</t>
        </is>
      </c>
      <c r="K4514" s="16" t="b">
        <v>0</v>
      </c>
      <c r="L4514" s="16" t="b">
        <v>0</v>
      </c>
      <c r="M4514" s="16" t="b">
        <v>0</v>
      </c>
      <c r="N4514" s="16" t="b">
        <v>0</v>
      </c>
      <c r="O4514" s="16" t="n">
        <v>394.15</v>
      </c>
      <c r="P4514" s="16" t="n">
        <v>278.15</v>
      </c>
      <c r="Q4514" s="16" t="n">
        <v>3300</v>
      </c>
      <c r="R4514" s="16" t="n">
        <v>690</v>
      </c>
      <c r="S4514" s="16" t="n">
        <v>0.325</v>
      </c>
      <c r="T4514" s="16" t="n">
        <v>0.9</v>
      </c>
      <c r="U4514" s="16" t="n">
        <v>0.8</v>
      </c>
      <c r="V4514" s="16" t="n">
        <v>0.85</v>
      </c>
      <c r="W4514" s="16" t="n">
        <v>0.75</v>
      </c>
      <c r="X4514" s="16" t="n">
        <v>0.95</v>
      </c>
      <c r="Y4514" s="16" t="n">
        <v>283.15</v>
      </c>
      <c r="Z4514" s="16" t="n"/>
      <c r="AA4514" s="16" t="n"/>
      <c r="AB4514" s="16" t="n">
        <v>2610</v>
      </c>
      <c r="AC4514" s="16" t="n">
        <v>4.782608695652174</v>
      </c>
      <c r="AD4514" s="16" t="n"/>
      <c r="AE4514" s="16" t="inlineStr">
        <is>
          <t>x_b</t>
        </is>
      </c>
    </row>
    <row r="4515">
      <c r="A4515" s="16" t="inlineStr">
        <is>
          <t>KF-M10b-OFAT-0003</t>
        </is>
      </c>
      <c r="B4515" s="16" t="inlineStr">
        <is>
          <t>6.2</t>
        </is>
      </c>
      <c r="C4515" s="16" t="inlineStr">
        <is>
          <t>6.2d</t>
        </is>
      </c>
      <c r="D4515" s="16" t="inlineStr">
        <is>
          <t>x_b bajo (0.30–0.70)</t>
        </is>
      </c>
      <c r="E4515" s="16" t="inlineStr">
        <is>
          <t>KF-M10b</t>
        </is>
      </c>
      <c r="F4515" s="16" t="inlineStr">
        <is>
          <t>KF-M10b-OFAT</t>
        </is>
      </c>
      <c r="G4515" s="16" t="inlineStr">
        <is>
          <t>B14-OFATb</t>
        </is>
      </c>
      <c r="H4515" s="16" t="inlineStr">
        <is>
          <t>oat</t>
        </is>
      </c>
      <c r="I4515" s="16" t="inlineStr">
        <is>
          <t>NO_CONVERGIO</t>
        </is>
      </c>
      <c r="J4515" s="16" t="inlineStr">
        <is>
          <t>NO_CONVERGIO</t>
        </is>
      </c>
      <c r="K4515" s="16" t="b">
        <v>0</v>
      </c>
      <c r="L4515" s="16" t="b">
        <v>0</v>
      </c>
      <c r="M4515" s="16" t="b">
        <v>0</v>
      </c>
      <c r="N4515" s="16" t="b">
        <v>0</v>
      </c>
      <c r="O4515" s="16" t="n">
        <v>394.15</v>
      </c>
      <c r="P4515" s="16" t="n">
        <v>278.15</v>
      </c>
      <c r="Q4515" s="16" t="n">
        <v>3300</v>
      </c>
      <c r="R4515" s="16" t="n">
        <v>690</v>
      </c>
      <c r="S4515" s="16" t="n">
        <v>0.375</v>
      </c>
      <c r="T4515" s="16" t="n">
        <v>0.9</v>
      </c>
      <c r="U4515" s="16" t="n">
        <v>0.8</v>
      </c>
      <c r="V4515" s="16" t="n">
        <v>0.85</v>
      </c>
      <c r="W4515" s="16" t="n">
        <v>0.75</v>
      </c>
      <c r="X4515" s="16" t="n">
        <v>0.95</v>
      </c>
      <c r="Y4515" s="16" t="n">
        <v>283.15</v>
      </c>
      <c r="Z4515" s="16" t="n"/>
      <c r="AA4515" s="16" t="n"/>
      <c r="AB4515" s="16" t="n">
        <v>2610</v>
      </c>
      <c r="AC4515" s="16" t="n">
        <v>4.782608695652174</v>
      </c>
      <c r="AD4515" s="16" t="n"/>
      <c r="AE4515" s="16" t="inlineStr">
        <is>
          <t>x_b</t>
        </is>
      </c>
    </row>
    <row r="4516">
      <c r="A4516" s="16" t="inlineStr">
        <is>
          <t>KF-M10b-OFAT-0004</t>
        </is>
      </c>
      <c r="B4516" s="16" t="inlineStr">
        <is>
          <t>6.2</t>
        </is>
      </c>
      <c r="C4516" s="16" t="inlineStr">
        <is>
          <t>6.2d</t>
        </is>
      </c>
      <c r="D4516" s="16" t="inlineStr">
        <is>
          <t>x_b bajo (0.30–0.70)</t>
        </is>
      </c>
      <c r="E4516" s="16" t="inlineStr">
        <is>
          <t>KF-M10b</t>
        </is>
      </c>
      <c r="F4516" s="16" t="inlineStr">
        <is>
          <t>KF-M10b-OFAT</t>
        </is>
      </c>
      <c r="G4516" s="16" t="inlineStr">
        <is>
          <t>B14-OFATb</t>
        </is>
      </c>
      <c r="H4516" s="16" t="inlineStr">
        <is>
          <t>oat</t>
        </is>
      </c>
      <c r="I4516" s="16" t="inlineStr">
        <is>
          <t>N2</t>
        </is>
      </c>
      <c r="J4516" s="16" t="inlineStr">
        <is>
          <t>NO_CONVERGIO</t>
        </is>
      </c>
      <c r="K4516" s="16" t="b">
        <v>0</v>
      </c>
      <c r="L4516" s="16" t="b">
        <v>0</v>
      </c>
      <c r="M4516" s="16" t="b">
        <v>0</v>
      </c>
      <c r="N4516" s="16" t="b">
        <v>0</v>
      </c>
      <c r="O4516" s="16" t="n">
        <v>394.15</v>
      </c>
      <c r="P4516" s="16" t="n">
        <v>278.15</v>
      </c>
      <c r="Q4516" s="16" t="n">
        <v>3300</v>
      </c>
      <c r="R4516" s="16" t="n">
        <v>690</v>
      </c>
      <c r="S4516" s="16" t="n">
        <v>0.4499999999999999</v>
      </c>
      <c r="T4516" s="16" t="n">
        <v>0.9</v>
      </c>
      <c r="U4516" s="16" t="n">
        <v>0.8</v>
      </c>
      <c r="V4516" s="16" t="n">
        <v>0.85</v>
      </c>
      <c r="W4516" s="16" t="n">
        <v>0.75</v>
      </c>
      <c r="X4516" s="16" t="n">
        <v>0.95</v>
      </c>
      <c r="Y4516" s="16" t="n">
        <v>283.15</v>
      </c>
      <c r="Z4516" s="16" t="n">
        <v>-29.36581867739449</v>
      </c>
      <c r="AA4516" s="16" t="n">
        <v>-25.23555415462693</v>
      </c>
      <c r="AB4516" s="16" t="n">
        <v>2610</v>
      </c>
      <c r="AC4516" s="16" t="n">
        <v>4.782608695652174</v>
      </c>
      <c r="AD4516" s="16" t="inlineStr">
        <is>
          <t>N2,S6,O3,O5,C1,C3,C3</t>
        </is>
      </c>
      <c r="AE4516" s="16" t="inlineStr">
        <is>
          <t>x_b</t>
        </is>
      </c>
    </row>
    <row r="4517">
      <c r="A4517" s="16" t="inlineStr">
        <is>
          <t>KF-M10b-OFAT-0005</t>
        </is>
      </c>
      <c r="B4517" s="16" t="inlineStr">
        <is>
          <t>6.2</t>
        </is>
      </c>
      <c r="C4517" s="16" t="inlineStr">
        <is>
          <t>6.2d</t>
        </is>
      </c>
      <c r="D4517" s="16" t="inlineStr">
        <is>
          <t>x_b bajo (0.30–0.70)</t>
        </is>
      </c>
      <c r="E4517" s="16" t="inlineStr">
        <is>
          <t>KF-M10b</t>
        </is>
      </c>
      <c r="F4517" s="16" t="inlineStr">
        <is>
          <t>KF-M10b-OFAT</t>
        </is>
      </c>
      <c r="G4517" s="16" t="inlineStr">
        <is>
          <t>B14-OFATb</t>
        </is>
      </c>
      <c r="H4517" s="16" t="inlineStr">
        <is>
          <t>oat</t>
        </is>
      </c>
      <c r="I4517" s="16" t="inlineStr">
        <is>
          <t>N2</t>
        </is>
      </c>
      <c r="J4517" s="16" t="inlineStr">
        <is>
          <t>NO_CONVERGIO</t>
        </is>
      </c>
      <c r="K4517" s="16" t="b">
        <v>0</v>
      </c>
      <c r="L4517" s="16" t="b">
        <v>0</v>
      </c>
      <c r="M4517" s="16" t="b">
        <v>0</v>
      </c>
      <c r="N4517" s="16" t="b">
        <v>0</v>
      </c>
      <c r="O4517" s="16" t="n">
        <v>394.15</v>
      </c>
      <c r="P4517" s="16" t="n">
        <v>278.15</v>
      </c>
      <c r="Q4517" s="16" t="n">
        <v>3300</v>
      </c>
      <c r="R4517" s="16" t="n">
        <v>690</v>
      </c>
      <c r="S4517" s="16" t="n">
        <v>0.425</v>
      </c>
      <c r="T4517" s="16" t="n">
        <v>0.9</v>
      </c>
      <c r="U4517" s="16" t="n">
        <v>0.8</v>
      </c>
      <c r="V4517" s="16" t="n">
        <v>0.85</v>
      </c>
      <c r="W4517" s="16" t="n">
        <v>0.75</v>
      </c>
      <c r="X4517" s="16" t="n">
        <v>0.95</v>
      </c>
      <c r="Y4517" s="16" t="n">
        <v>283.15</v>
      </c>
      <c r="Z4517" s="16" t="n">
        <v>-53.06793798158032</v>
      </c>
      <c r="AA4517" s="16" t="n">
        <v>-34.5903606796505</v>
      </c>
      <c r="AB4517" s="16" t="n">
        <v>2610</v>
      </c>
      <c r="AC4517" s="16" t="n">
        <v>4.782608695652174</v>
      </c>
      <c r="AD4517" s="16" t="inlineStr">
        <is>
          <t>N2,S6,O3,O5,C1,C3,C3</t>
        </is>
      </c>
      <c r="AE4517" s="16" t="inlineStr">
        <is>
          <t>x_b</t>
        </is>
      </c>
    </row>
    <row r="4518">
      <c r="A4518" s="16" t="inlineStr">
        <is>
          <t>KF-M10b-OFAT-0006</t>
        </is>
      </c>
      <c r="B4518" s="16" t="inlineStr">
        <is>
          <t>6.2</t>
        </is>
      </c>
      <c r="C4518" s="16" t="inlineStr">
        <is>
          <t>6.2d</t>
        </is>
      </c>
      <c r="D4518" s="16" t="inlineStr">
        <is>
          <t>x_b bajo (0.30–0.70)</t>
        </is>
      </c>
      <c r="E4518" s="16" t="inlineStr">
        <is>
          <t>KF-M10b</t>
        </is>
      </c>
      <c r="F4518" s="16" t="inlineStr">
        <is>
          <t>KF-M10b-OFAT</t>
        </is>
      </c>
      <c r="G4518" s="16" t="inlineStr">
        <is>
          <t>B14-OFATb</t>
        </is>
      </c>
      <c r="H4518" s="16" t="inlineStr">
        <is>
          <t>oat</t>
        </is>
      </c>
      <c r="I4518" s="16" t="inlineStr">
        <is>
          <t>N2</t>
        </is>
      </c>
      <c r="J4518" s="16" t="inlineStr">
        <is>
          <t>NO_CONVERGIO</t>
        </is>
      </c>
      <c r="K4518" s="16" t="b">
        <v>0</v>
      </c>
      <c r="L4518" s="16" t="b">
        <v>0</v>
      </c>
      <c r="M4518" s="16" t="b">
        <v>0</v>
      </c>
      <c r="N4518" s="16" t="b">
        <v>0</v>
      </c>
      <c r="O4518" s="16" t="n">
        <v>394.15</v>
      </c>
      <c r="P4518" s="16" t="n">
        <v>278.15</v>
      </c>
      <c r="Q4518" s="16" t="n">
        <v>3300</v>
      </c>
      <c r="R4518" s="16" t="n">
        <v>690</v>
      </c>
      <c r="S4518" s="16" t="n">
        <v>0.3999999999999999</v>
      </c>
      <c r="T4518" s="16" t="n">
        <v>0.9</v>
      </c>
      <c r="U4518" s="16" t="n">
        <v>0.8</v>
      </c>
      <c r="V4518" s="16" t="n">
        <v>0.85</v>
      </c>
      <c r="W4518" s="16" t="n">
        <v>0.75</v>
      </c>
      <c r="X4518" s="16" t="n">
        <v>0.95</v>
      </c>
      <c r="Y4518" s="16" t="n">
        <v>283.15</v>
      </c>
      <c r="Z4518" s="16" t="n">
        <v>-99.41903752979761</v>
      </c>
      <c r="AA4518" s="16" t="n">
        <v>-43.86017651583625</v>
      </c>
      <c r="AB4518" s="16" t="n">
        <v>2610</v>
      </c>
      <c r="AC4518" s="16" t="n">
        <v>4.782608695652174</v>
      </c>
      <c r="AD4518" s="16" t="inlineStr">
        <is>
          <t>N2,S6,O3,O5,C1,C3,C3</t>
        </is>
      </c>
      <c r="AE4518" s="16" t="inlineStr">
        <is>
          <t>x_b</t>
        </is>
      </c>
    </row>
    <row r="4519">
      <c r="A4519" s="16" t="inlineStr">
        <is>
          <t>KF-M10b-OFAT-0007</t>
        </is>
      </c>
      <c r="B4519" s="16" t="inlineStr">
        <is>
          <t>6.2</t>
        </is>
      </c>
      <c r="C4519" s="16" t="inlineStr">
        <is>
          <t>6.2d</t>
        </is>
      </c>
      <c r="D4519" s="16" t="inlineStr">
        <is>
          <t>x_b bajo (0.30–0.70)</t>
        </is>
      </c>
      <c r="E4519" s="16" t="inlineStr">
        <is>
          <t>KF-M10b</t>
        </is>
      </c>
      <c r="F4519" s="16" t="inlineStr">
        <is>
          <t>KF-M10b-OFAT</t>
        </is>
      </c>
      <c r="G4519" s="16" t="inlineStr">
        <is>
          <t>B14-OFATb</t>
        </is>
      </c>
      <c r="H4519" s="16" t="inlineStr">
        <is>
          <t>oat</t>
        </is>
      </c>
      <c r="I4519" s="16" t="inlineStr">
        <is>
          <t>NO_CONVERGIO</t>
        </is>
      </c>
      <c r="J4519" s="16" t="inlineStr">
        <is>
          <t>NO_CONVERGIO</t>
        </is>
      </c>
      <c r="K4519" s="16" t="b">
        <v>0</v>
      </c>
      <c r="L4519" s="16" t="b">
        <v>0</v>
      </c>
      <c r="M4519" s="16" t="b">
        <v>0</v>
      </c>
      <c r="N4519" s="16" t="b">
        <v>0</v>
      </c>
      <c r="O4519" s="16" t="n">
        <v>394.15</v>
      </c>
      <c r="P4519" s="16" t="n">
        <v>278.15</v>
      </c>
      <c r="Q4519" s="16" t="n">
        <v>3300</v>
      </c>
      <c r="R4519" s="16" t="n">
        <v>690</v>
      </c>
      <c r="S4519" s="16" t="n">
        <v>0.625</v>
      </c>
      <c r="T4519" s="16" t="n">
        <v>0.9</v>
      </c>
      <c r="U4519" s="16" t="n">
        <v>0.8</v>
      </c>
      <c r="V4519" s="16" t="n">
        <v>0.85</v>
      </c>
      <c r="W4519" s="16" t="n">
        <v>0.75</v>
      </c>
      <c r="X4519" s="16" t="n">
        <v>0.95</v>
      </c>
      <c r="Y4519" s="16" t="n">
        <v>283.15</v>
      </c>
      <c r="Z4519" s="16" t="n"/>
      <c r="AA4519" s="16" t="n"/>
      <c r="AB4519" s="16" t="n">
        <v>2610</v>
      </c>
      <c r="AC4519" s="16" t="n">
        <v>4.782608695652174</v>
      </c>
      <c r="AD4519" s="16" t="n"/>
      <c r="AE4519" s="16" t="inlineStr">
        <is>
          <t>x_b</t>
        </is>
      </c>
    </row>
    <row r="4520">
      <c r="A4520" s="16" t="inlineStr">
        <is>
          <t>KF-M10b-OFAT-0008</t>
        </is>
      </c>
      <c r="B4520" s="16" t="inlineStr">
        <is>
          <t>6.2</t>
        </is>
      </c>
      <c r="C4520" s="16" t="inlineStr">
        <is>
          <t>6.2d</t>
        </is>
      </c>
      <c r="D4520" s="16" t="inlineStr">
        <is>
          <t>x_b bajo (0.30–0.70)</t>
        </is>
      </c>
      <c r="E4520" s="16" t="inlineStr">
        <is>
          <t>KF-M10b</t>
        </is>
      </c>
      <c r="F4520" s="16" t="inlineStr">
        <is>
          <t>KF-M10b-OFAT</t>
        </is>
      </c>
      <c r="G4520" s="16" t="inlineStr">
        <is>
          <t>B14-OFATb</t>
        </is>
      </c>
      <c r="H4520" s="16" t="inlineStr">
        <is>
          <t>oat</t>
        </is>
      </c>
      <c r="I4520" s="16" t="inlineStr">
        <is>
          <t>KALINA</t>
        </is>
      </c>
      <c r="J4520" s="16" t="inlineStr">
        <is>
          <t>KALINA</t>
        </is>
      </c>
      <c r="K4520" s="16" t="b">
        <v>1</v>
      </c>
      <c r="L4520" s="16" t="b">
        <v>1</v>
      </c>
      <c r="M4520" s="16" t="b">
        <v>0</v>
      </c>
      <c r="N4520" s="16" t="b">
        <v>0</v>
      </c>
      <c r="O4520" s="16" t="n">
        <v>394.15</v>
      </c>
      <c r="P4520" s="16" t="n">
        <v>278.15</v>
      </c>
      <c r="Q4520" s="16" t="n">
        <v>3300</v>
      </c>
      <c r="R4520" s="16" t="n">
        <v>690</v>
      </c>
      <c r="S4520" s="16" t="n">
        <v>0.5499999999999999</v>
      </c>
      <c r="T4520" s="16" t="n">
        <v>0.9</v>
      </c>
      <c r="U4520" s="16" t="n">
        <v>0.8</v>
      </c>
      <c r="V4520" s="16" t="n">
        <v>0.85</v>
      </c>
      <c r="W4520" s="16" t="n">
        <v>0.75</v>
      </c>
      <c r="X4520" s="16" t="n">
        <v>0.95</v>
      </c>
      <c r="Y4520" s="16" t="n">
        <v>283.15</v>
      </c>
      <c r="Z4520" s="16" t="n">
        <v>6.322894530636971</v>
      </c>
      <c r="AA4520" s="16" t="n">
        <v>18.79204982033403</v>
      </c>
      <c r="AB4520" s="16" t="n">
        <v>2610</v>
      </c>
      <c r="AC4520" s="16" t="n">
        <v>4.782608695652174</v>
      </c>
      <c r="AD4520" s="16" t="n"/>
      <c r="AE4520" s="16" t="inlineStr">
        <is>
          <t>x_b</t>
        </is>
      </c>
    </row>
    <row r="4521">
      <c r="A4521" s="16" t="inlineStr">
        <is>
          <t>KF-M10b-OFAT-0009</t>
        </is>
      </c>
      <c r="B4521" s="16" t="inlineStr">
        <is>
          <t>6.2</t>
        </is>
      </c>
      <c r="C4521" s="16" t="inlineStr">
        <is>
          <t>6.2d</t>
        </is>
      </c>
      <c r="D4521" s="16" t="inlineStr">
        <is>
          <t>x_b bajo (0.30–0.70)</t>
        </is>
      </c>
      <c r="E4521" s="16" t="inlineStr">
        <is>
          <t>KF-M10b</t>
        </is>
      </c>
      <c r="F4521" s="16" t="inlineStr">
        <is>
          <t>KF-M10b-OFAT</t>
        </is>
      </c>
      <c r="G4521" s="16" t="inlineStr">
        <is>
          <t>B14-OFATb</t>
        </is>
      </c>
      <c r="H4521" s="16" t="inlineStr">
        <is>
          <t>oat</t>
        </is>
      </c>
      <c r="I4521" s="16" t="inlineStr">
        <is>
          <t>KALINA</t>
        </is>
      </c>
      <c r="J4521" s="16" t="inlineStr">
        <is>
          <t>KALINA</t>
        </is>
      </c>
      <c r="K4521" s="16" t="b">
        <v>1</v>
      </c>
      <c r="L4521" s="16" t="b">
        <v>1</v>
      </c>
      <c r="M4521" s="16" t="b">
        <v>0</v>
      </c>
      <c r="N4521" s="16" t="b">
        <v>0</v>
      </c>
      <c r="O4521" s="16" t="n">
        <v>394.15</v>
      </c>
      <c r="P4521" s="16" t="n">
        <v>278.15</v>
      </c>
      <c r="Q4521" s="16" t="n">
        <v>3300</v>
      </c>
      <c r="R4521" s="16" t="n">
        <v>690</v>
      </c>
      <c r="S4521" s="16" t="n">
        <v>0.5</v>
      </c>
      <c r="T4521" s="16" t="n">
        <v>0.9</v>
      </c>
      <c r="U4521" s="16" t="n">
        <v>0.8</v>
      </c>
      <c r="V4521" s="16" t="n">
        <v>0.85</v>
      </c>
      <c r="W4521" s="16" t="n">
        <v>0.75</v>
      </c>
      <c r="X4521" s="16" t="n">
        <v>0.95</v>
      </c>
      <c r="Y4521" s="16" t="n">
        <v>283.15</v>
      </c>
      <c r="Z4521" s="16" t="n">
        <v>0.07803175622828</v>
      </c>
      <c r="AA4521" s="16" t="n">
        <v>0.1279233948700948</v>
      </c>
      <c r="AB4521" s="16" t="n">
        <v>2610</v>
      </c>
      <c r="AC4521" s="16" t="n">
        <v>4.782608695652174</v>
      </c>
      <c r="AD4521" s="16" t="n"/>
      <c r="AE4521" s="16" t="inlineStr">
        <is>
          <t>x_b</t>
        </is>
      </c>
    </row>
    <row r="4522">
      <c r="A4522" s="16" t="inlineStr">
        <is>
          <t>KF-M10b-OFAT-0010</t>
        </is>
      </c>
      <c r="B4522" s="16" t="inlineStr">
        <is>
          <t>6.2</t>
        </is>
      </c>
      <c r="C4522" s="16" t="inlineStr">
        <is>
          <t>6.2d</t>
        </is>
      </c>
      <c r="D4522" s="16" t="inlineStr">
        <is>
          <t>x_b bajo (0.30–0.70)</t>
        </is>
      </c>
      <c r="E4522" s="16" t="inlineStr">
        <is>
          <t>KF-M10b</t>
        </is>
      </c>
      <c r="F4522" s="16" t="inlineStr">
        <is>
          <t>KF-M10b-OFAT</t>
        </is>
      </c>
      <c r="G4522" s="16" t="inlineStr">
        <is>
          <t>B14-OFATb</t>
        </is>
      </c>
      <c r="H4522" s="16" t="inlineStr">
        <is>
          <t>oat</t>
        </is>
      </c>
      <c r="I4522" s="16" t="inlineStr">
        <is>
          <t>KALINA</t>
        </is>
      </c>
      <c r="J4522" s="16" t="inlineStr">
        <is>
          <t>KALINA</t>
        </is>
      </c>
      <c r="K4522" s="16" t="b">
        <v>1</v>
      </c>
      <c r="L4522" s="16" t="b">
        <v>1</v>
      </c>
      <c r="M4522" s="16" t="b">
        <v>0</v>
      </c>
      <c r="N4522" s="16" t="b">
        <v>0</v>
      </c>
      <c r="O4522" s="16" t="n">
        <v>394.15</v>
      </c>
      <c r="P4522" s="16" t="n">
        <v>278.15</v>
      </c>
      <c r="Q4522" s="16" t="n">
        <v>3300</v>
      </c>
      <c r="R4522" s="16" t="n">
        <v>690</v>
      </c>
      <c r="S4522" s="16" t="n">
        <v>0.5249999999999999</v>
      </c>
      <c r="T4522" s="16" t="n">
        <v>0.9</v>
      </c>
      <c r="U4522" s="16" t="n">
        <v>0.8</v>
      </c>
      <c r="V4522" s="16" t="n">
        <v>0.85</v>
      </c>
      <c r="W4522" s="16" t="n">
        <v>0.75</v>
      </c>
      <c r="X4522" s="16" t="n">
        <v>0.95</v>
      </c>
      <c r="Y4522" s="16" t="n">
        <v>283.15</v>
      </c>
      <c r="Z4522" s="16" t="n">
        <v>4.09051500965343</v>
      </c>
      <c r="AA4522" s="16" t="n">
        <v>9.463774913668122</v>
      </c>
      <c r="AB4522" s="16" t="n">
        <v>2610</v>
      </c>
      <c r="AC4522" s="16" t="n">
        <v>4.782608695652174</v>
      </c>
      <c r="AD4522" s="16" t="n"/>
      <c r="AE4522" s="16" t="inlineStr">
        <is>
          <t>x_b</t>
        </is>
      </c>
    </row>
    <row r="4523">
      <c r="A4523" s="16" t="inlineStr">
        <is>
          <t>KF-M10b-OFAT-0011</t>
        </is>
      </c>
      <c r="B4523" s="16" t="inlineStr">
        <is>
          <t>6.2</t>
        </is>
      </c>
      <c r="C4523" s="16" t="inlineStr">
        <is>
          <t>6.2d</t>
        </is>
      </c>
      <c r="D4523" s="16" t="inlineStr">
        <is>
          <t>x_b bajo (0.30–0.70)</t>
        </is>
      </c>
      <c r="E4523" s="16" t="inlineStr">
        <is>
          <t>KF-M10b</t>
        </is>
      </c>
      <c r="F4523" s="16" t="inlineStr">
        <is>
          <t>KF-M10b-OFAT</t>
        </is>
      </c>
      <c r="G4523" s="16" t="inlineStr">
        <is>
          <t>B14-OFATb</t>
        </is>
      </c>
      <c r="H4523" s="16" t="inlineStr">
        <is>
          <t>oat</t>
        </is>
      </c>
      <c r="I4523" s="16" t="inlineStr">
        <is>
          <t>N2</t>
        </is>
      </c>
      <c r="J4523" s="16" t="inlineStr">
        <is>
          <t>NO_CONVERGIO</t>
        </is>
      </c>
      <c r="K4523" s="16" t="b">
        <v>0</v>
      </c>
      <c r="L4523" s="16" t="b">
        <v>0</v>
      </c>
      <c r="M4523" s="16" t="b">
        <v>0</v>
      </c>
      <c r="N4523" s="16" t="b">
        <v>0</v>
      </c>
      <c r="O4523" s="16" t="n">
        <v>394.15</v>
      </c>
      <c r="P4523" s="16" t="n">
        <v>278.15</v>
      </c>
      <c r="Q4523" s="16" t="n">
        <v>3300</v>
      </c>
      <c r="R4523" s="16" t="n">
        <v>690</v>
      </c>
      <c r="S4523" s="16" t="n">
        <v>0.475</v>
      </c>
      <c r="T4523" s="16" t="n">
        <v>0.9</v>
      </c>
      <c r="U4523" s="16" t="n">
        <v>0.8</v>
      </c>
      <c r="V4523" s="16" t="n">
        <v>0.85</v>
      </c>
      <c r="W4523" s="16" t="n">
        <v>0.75</v>
      </c>
      <c r="X4523" s="16" t="n">
        <v>0.95</v>
      </c>
      <c r="Y4523" s="16" t="n">
        <v>283.15</v>
      </c>
      <c r="Z4523" s="16" t="n">
        <v>-14.84868362432696</v>
      </c>
      <c r="AA4523" s="16" t="n">
        <v>-15.79129026560987</v>
      </c>
      <c r="AB4523" s="16" t="n">
        <v>2610</v>
      </c>
      <c r="AC4523" s="16" t="n">
        <v>4.782608695652174</v>
      </c>
      <c r="AD4523" s="16" t="inlineStr">
        <is>
          <t>N2,O3,O5,C1,C3,C3</t>
        </is>
      </c>
      <c r="AE4523" s="16" t="inlineStr">
        <is>
          <t>x_b</t>
        </is>
      </c>
    </row>
    <row r="4524">
      <c r="A4524" s="16" t="inlineStr">
        <is>
          <t>KF-M10b-OFAT-0012</t>
        </is>
      </c>
      <c r="B4524" s="16" t="inlineStr">
        <is>
          <t>6.2</t>
        </is>
      </c>
      <c r="C4524" s="16" t="inlineStr">
        <is>
          <t>6.2d</t>
        </is>
      </c>
      <c r="D4524" s="16" t="inlineStr">
        <is>
          <t>x_b bajo (0.30–0.70)</t>
        </is>
      </c>
      <c r="E4524" s="16" t="inlineStr">
        <is>
          <t>KF-M10b</t>
        </is>
      </c>
      <c r="F4524" s="16" t="inlineStr">
        <is>
          <t>KF-M10b-OFAT</t>
        </is>
      </c>
      <c r="G4524" s="16" t="inlineStr">
        <is>
          <t>B14-OFATb</t>
        </is>
      </c>
      <c r="H4524" s="16" t="inlineStr">
        <is>
          <t>oat</t>
        </is>
      </c>
      <c r="I4524" s="16" t="inlineStr">
        <is>
          <t>KALINA</t>
        </is>
      </c>
      <c r="J4524" s="16" t="inlineStr">
        <is>
          <t>KALINA</t>
        </is>
      </c>
      <c r="K4524" s="16" t="b">
        <v>1</v>
      </c>
      <c r="L4524" s="16" t="b">
        <v>1</v>
      </c>
      <c r="M4524" s="16" t="b">
        <v>0</v>
      </c>
      <c r="N4524" s="16" t="b">
        <v>0</v>
      </c>
      <c r="O4524" s="16" t="n">
        <v>394.15</v>
      </c>
      <c r="P4524" s="16" t="n">
        <v>278.15</v>
      </c>
      <c r="Q4524" s="16" t="n">
        <v>3300</v>
      </c>
      <c r="R4524" s="16" t="n">
        <v>690</v>
      </c>
      <c r="S4524" s="16" t="n">
        <v>0.6</v>
      </c>
      <c r="T4524" s="16" t="n">
        <v>0.9</v>
      </c>
      <c r="U4524" s="16" t="n">
        <v>0.8</v>
      </c>
      <c r="V4524" s="16" t="n">
        <v>0.85</v>
      </c>
      <c r="W4524" s="16" t="n">
        <v>0.75</v>
      </c>
      <c r="X4524" s="16" t="n">
        <v>0.95</v>
      </c>
      <c r="Y4524" s="16" t="n">
        <v>283.15</v>
      </c>
      <c r="Z4524" s="16" t="n">
        <v>8.816445146584611</v>
      </c>
      <c r="AA4524" s="16" t="n">
        <v>37.41192808343354</v>
      </c>
      <c r="AB4524" s="16" t="n">
        <v>2610</v>
      </c>
      <c r="AC4524" s="16" t="n">
        <v>4.782608695652174</v>
      </c>
      <c r="AD4524" s="16" t="n"/>
      <c r="AE4524" s="16" t="inlineStr">
        <is>
          <t>x_b</t>
        </is>
      </c>
    </row>
    <row r="4525">
      <c r="A4525" s="16" t="inlineStr">
        <is>
          <t>KF-M10b-OFAT-0013</t>
        </is>
      </c>
      <c r="B4525" s="16" t="inlineStr">
        <is>
          <t>6.2</t>
        </is>
      </c>
      <c r="C4525" s="16" t="inlineStr">
        <is>
          <t>6.2d</t>
        </is>
      </c>
      <c r="D4525" s="16" t="inlineStr">
        <is>
          <t>x_b bajo (0.30–0.70)</t>
        </is>
      </c>
      <c r="E4525" s="16" t="inlineStr">
        <is>
          <t>KF-M10b</t>
        </is>
      </c>
      <c r="F4525" s="16" t="inlineStr">
        <is>
          <t>KF-M10b-OFAT</t>
        </is>
      </c>
      <c r="G4525" s="16" t="inlineStr">
        <is>
          <t>B14-OFATb</t>
        </is>
      </c>
      <c r="H4525" s="16" t="inlineStr">
        <is>
          <t>oat</t>
        </is>
      </c>
      <c r="I4525" s="16" t="inlineStr">
        <is>
          <t>KALINA</t>
        </is>
      </c>
      <c r="J4525" s="16" t="inlineStr">
        <is>
          <t>KALINA</t>
        </is>
      </c>
      <c r="K4525" s="16" t="b">
        <v>1</v>
      </c>
      <c r="L4525" s="16" t="b">
        <v>1</v>
      </c>
      <c r="M4525" s="16" t="b">
        <v>0</v>
      </c>
      <c r="N4525" s="16" t="b">
        <v>0</v>
      </c>
      <c r="O4525" s="16" t="n">
        <v>394.15</v>
      </c>
      <c r="P4525" s="16" t="n">
        <v>278.15</v>
      </c>
      <c r="Q4525" s="16" t="n">
        <v>3300</v>
      </c>
      <c r="R4525" s="16" t="n">
        <v>690</v>
      </c>
      <c r="S4525" s="16" t="n">
        <v>0.575</v>
      </c>
      <c r="T4525" s="16" t="n">
        <v>0.9</v>
      </c>
      <c r="U4525" s="16" t="n">
        <v>0.8</v>
      </c>
      <c r="V4525" s="16" t="n">
        <v>0.85</v>
      </c>
      <c r="W4525" s="16" t="n">
        <v>0.75</v>
      </c>
      <c r="X4525" s="16" t="n">
        <v>0.95</v>
      </c>
      <c r="Y4525" s="16" t="n">
        <v>283.15</v>
      </c>
      <c r="Z4525" s="16" t="n">
        <v>7.775402464705341</v>
      </c>
      <c r="AA4525" s="16" t="n">
        <v>28.10944810734777</v>
      </c>
      <c r="AB4525" s="16" t="n">
        <v>2610</v>
      </c>
      <c r="AC4525" s="16" t="n">
        <v>4.782608695652174</v>
      </c>
      <c r="AD4525" s="16" t="n"/>
      <c r="AE4525" s="16" t="inlineStr">
        <is>
          <t>x_b</t>
        </is>
      </c>
    </row>
    <row r="4526">
      <c r="A4526" s="16" t="inlineStr">
        <is>
          <t>KF-M10b-OFAT-0014</t>
        </is>
      </c>
      <c r="B4526" s="16" t="inlineStr">
        <is>
          <t>6.2</t>
        </is>
      </c>
      <c r="C4526" s="16" t="inlineStr">
        <is>
          <t>6.2d</t>
        </is>
      </c>
      <c r="D4526" s="16" t="inlineStr">
        <is>
          <t>x_b bajo (0.30–0.70)</t>
        </is>
      </c>
      <c r="E4526" s="16" t="inlineStr">
        <is>
          <t>KF-M10b</t>
        </is>
      </c>
      <c r="F4526" s="16" t="inlineStr">
        <is>
          <t>KF-M10b-OFAT</t>
        </is>
      </c>
      <c r="G4526" s="16" t="inlineStr">
        <is>
          <t>B14-OFATb</t>
        </is>
      </c>
      <c r="H4526" s="16" t="inlineStr">
        <is>
          <t>oat</t>
        </is>
      </c>
      <c r="I4526" s="16" t="inlineStr">
        <is>
          <t>KALINA</t>
        </is>
      </c>
      <c r="J4526" s="16" t="inlineStr">
        <is>
          <t>KALINA</t>
        </is>
      </c>
      <c r="K4526" s="16" t="b">
        <v>1</v>
      </c>
      <c r="L4526" s="16" t="b">
        <v>1</v>
      </c>
      <c r="M4526" s="16" t="b">
        <v>0</v>
      </c>
      <c r="N4526" s="16" t="b">
        <v>0</v>
      </c>
      <c r="O4526" s="16" t="n">
        <v>394.15</v>
      </c>
      <c r="P4526" s="16" t="n">
        <v>278.15</v>
      </c>
      <c r="Q4526" s="16" t="n">
        <v>3300</v>
      </c>
      <c r="R4526" s="16" t="n">
        <v>690</v>
      </c>
      <c r="S4526" s="16" t="n">
        <v>0.6499999999999999</v>
      </c>
      <c r="T4526" s="16" t="n">
        <v>0.9</v>
      </c>
      <c r="U4526" s="16" t="n">
        <v>0.8</v>
      </c>
      <c r="V4526" s="16" t="n">
        <v>0.85</v>
      </c>
      <c r="W4526" s="16" t="n">
        <v>0.75</v>
      </c>
      <c r="X4526" s="16" t="n">
        <v>0.95</v>
      </c>
      <c r="Y4526" s="16" t="n">
        <v>283.15</v>
      </c>
      <c r="Z4526" s="16" t="n">
        <v>10.25180677128446</v>
      </c>
      <c r="AA4526" s="16" t="n">
        <v>55.95214944806708</v>
      </c>
      <c r="AB4526" s="16" t="n">
        <v>2610</v>
      </c>
      <c r="AC4526" s="16" t="n">
        <v>4.782608695652174</v>
      </c>
      <c r="AD4526" s="16" t="n"/>
      <c r="AE4526" s="16" t="inlineStr">
        <is>
          <t>x_b</t>
        </is>
      </c>
    </row>
    <row r="4527">
      <c r="A4527" s="16" t="inlineStr">
        <is>
          <t>KF-M10b-OFAT-0015</t>
        </is>
      </c>
      <c r="B4527" s="16" t="inlineStr">
        <is>
          <t>6.2</t>
        </is>
      </c>
      <c r="C4527" s="16" t="inlineStr">
        <is>
          <t>6.2d</t>
        </is>
      </c>
      <c r="D4527" s="16" t="inlineStr">
        <is>
          <t>x_b bajo (0.30–0.70)</t>
        </is>
      </c>
      <c r="E4527" s="16" t="inlineStr">
        <is>
          <t>KF-M10b</t>
        </is>
      </c>
      <c r="F4527" s="16" t="inlineStr">
        <is>
          <t>KF-M10b-OFAT</t>
        </is>
      </c>
      <c r="G4527" s="16" t="inlineStr">
        <is>
          <t>B14-OFATb</t>
        </is>
      </c>
      <c r="H4527" s="16" t="inlineStr">
        <is>
          <t>oat</t>
        </is>
      </c>
      <c r="I4527" s="16" t="inlineStr">
        <is>
          <t>KALINA</t>
        </is>
      </c>
      <c r="J4527" s="16" t="inlineStr">
        <is>
          <t>KALINA</t>
        </is>
      </c>
      <c r="K4527" s="16" t="b">
        <v>1</v>
      </c>
      <c r="L4527" s="16" t="b">
        <v>1</v>
      </c>
      <c r="M4527" s="16" t="b">
        <v>0</v>
      </c>
      <c r="N4527" s="16" t="b">
        <v>0</v>
      </c>
      <c r="O4527" s="16" t="n">
        <v>394.15</v>
      </c>
      <c r="P4527" s="16" t="n">
        <v>278.15</v>
      </c>
      <c r="Q4527" s="16" t="n">
        <v>3300</v>
      </c>
      <c r="R4527" s="16" t="n">
        <v>690</v>
      </c>
      <c r="S4527" s="16" t="n">
        <v>0.6749999999999999</v>
      </c>
      <c r="T4527" s="16" t="n">
        <v>0.9</v>
      </c>
      <c r="U4527" s="16" t="n">
        <v>0.8</v>
      </c>
      <c r="V4527" s="16" t="n">
        <v>0.85</v>
      </c>
      <c r="W4527" s="16" t="n">
        <v>0.75</v>
      </c>
      <c r="X4527" s="16" t="n">
        <v>0.95</v>
      </c>
      <c r="Y4527" s="16" t="n">
        <v>283.15</v>
      </c>
      <c r="Z4527" s="16" t="n">
        <v>10.78159574911628</v>
      </c>
      <c r="AA4527" s="16" t="n">
        <v>65.17775013434638</v>
      </c>
      <c r="AB4527" s="16" t="n">
        <v>2610</v>
      </c>
      <c r="AC4527" s="16" t="n">
        <v>4.782608695652174</v>
      </c>
      <c r="AD4527" s="16" t="n"/>
      <c r="AE4527" s="16" t="inlineStr">
        <is>
          <t>x_b</t>
        </is>
      </c>
    </row>
    <row r="4528">
      <c r="A4528" s="16" t="inlineStr">
        <is>
          <t>KF-M10b-OFAT-0016</t>
        </is>
      </c>
      <c r="B4528" s="16" t="inlineStr">
        <is>
          <t>6.2</t>
        </is>
      </c>
      <c r="C4528" s="16" t="inlineStr">
        <is>
          <t>6.2d</t>
        </is>
      </c>
      <c r="D4528" s="16" t="inlineStr">
        <is>
          <t>x_b bajo (0.30–0.70)</t>
        </is>
      </c>
      <c r="E4528" s="16" t="inlineStr">
        <is>
          <t>KF-M10b</t>
        </is>
      </c>
      <c r="F4528" s="16" t="inlineStr">
        <is>
          <t>KF-M10b-OFAT</t>
        </is>
      </c>
      <c r="G4528" s="16" t="inlineStr">
        <is>
          <t>B14-OFATb</t>
        </is>
      </c>
      <c r="H4528" s="16" t="inlineStr">
        <is>
          <t>oat</t>
        </is>
      </c>
      <c r="I4528" s="16" t="inlineStr">
        <is>
          <t>KALINA</t>
        </is>
      </c>
      <c r="J4528" s="16" t="inlineStr">
        <is>
          <t>KALINA</t>
        </is>
      </c>
      <c r="K4528" s="16" t="b">
        <v>1</v>
      </c>
      <c r="L4528" s="16" t="b">
        <v>1</v>
      </c>
      <c r="M4528" s="16" t="b">
        <v>0</v>
      </c>
      <c r="N4528" s="16" t="b">
        <v>0</v>
      </c>
      <c r="O4528" s="16" t="n">
        <v>394.15</v>
      </c>
      <c r="P4528" s="16" t="n">
        <v>278.15</v>
      </c>
      <c r="Q4528" s="16" t="n">
        <v>3300</v>
      </c>
      <c r="R4528" s="16" t="n">
        <v>690</v>
      </c>
      <c r="S4528" s="16" t="n">
        <v>0.7</v>
      </c>
      <c r="T4528" s="16" t="n">
        <v>0.9</v>
      </c>
      <c r="U4528" s="16" t="n">
        <v>0.8</v>
      </c>
      <c r="V4528" s="16" t="n">
        <v>0.85</v>
      </c>
      <c r="W4528" s="16" t="n">
        <v>0.75</v>
      </c>
      <c r="X4528" s="16" t="n">
        <v>0.95</v>
      </c>
      <c r="Y4528" s="16" t="n">
        <v>283.15</v>
      </c>
      <c r="Z4528" s="16" t="n">
        <v>11.23217741708438</v>
      </c>
      <c r="AA4528" s="16" t="n">
        <v>74.36399717804875</v>
      </c>
      <c r="AB4528" s="16" t="n">
        <v>2610</v>
      </c>
      <c r="AC4528" s="16" t="n">
        <v>4.782608695652174</v>
      </c>
      <c r="AD4528" s="16" t="n"/>
      <c r="AE4528" s="16" t="inlineStr">
        <is>
          <t>x_b</t>
        </is>
      </c>
    </row>
    <row r="4529">
      <c r="A4529" s="16" t="inlineStr">
        <is>
          <t>KF-M10b-MALLA-0000</t>
        </is>
      </c>
      <c r="B4529" s="16" t="inlineStr">
        <is>
          <t>6.2</t>
        </is>
      </c>
      <c r="C4529" s="16" t="inlineStr">
        <is>
          <t>6.2c</t>
        </is>
      </c>
      <c r="D4529" s="16" t="inlineStr">
        <is>
          <t>malla x_b × P_baja (x_b 0.30–0.70)</t>
        </is>
      </c>
      <c r="E4529" s="16" t="inlineStr">
        <is>
          <t>KF-M10b</t>
        </is>
      </c>
      <c r="F4529" s="16" t="inlineStr">
        <is>
          <t>KF-M10b-MALLA</t>
        </is>
      </c>
      <c r="G4529" s="16" t="inlineStr">
        <is>
          <t>B14-MALLA</t>
        </is>
      </c>
      <c r="H4529" s="16" t="inlineStr">
        <is>
          <t>malla</t>
        </is>
      </c>
      <c r="I4529" s="16" t="inlineStr">
        <is>
          <t>NO_CONVERGIO</t>
        </is>
      </c>
      <c r="J4529" s="16" t="inlineStr">
        <is>
          <t>NO_CONVERGIO</t>
        </is>
      </c>
      <c r="K4529" s="16" t="b">
        <v>0</v>
      </c>
      <c r="L4529" s="16" t="b">
        <v>0</v>
      </c>
      <c r="M4529" s="16" t="b">
        <v>0</v>
      </c>
      <c r="N4529" s="16" t="b">
        <v>0</v>
      </c>
      <c r="O4529" s="16" t="n">
        <v>394.15</v>
      </c>
      <c r="P4529" s="16" t="n">
        <v>278.15</v>
      </c>
      <c r="Q4529" s="16" t="n">
        <v>3300</v>
      </c>
      <c r="R4529" s="16" t="n">
        <v>200</v>
      </c>
      <c r="S4529" s="16" t="n">
        <v>0.3</v>
      </c>
      <c r="T4529" s="16" t="n">
        <v>0.9</v>
      </c>
      <c r="U4529" s="16" t="n">
        <v>0.8</v>
      </c>
      <c r="V4529" s="16" t="n">
        <v>0.85</v>
      </c>
      <c r="W4529" s="16" t="n">
        <v>0.75</v>
      </c>
      <c r="X4529" s="16" t="n">
        <v>0.95</v>
      </c>
      <c r="Y4529" s="16" t="n">
        <v>283.15</v>
      </c>
      <c r="Z4529" s="16" t="n"/>
      <c r="AA4529" s="16" t="n"/>
      <c r="AB4529" s="16" t="n">
        <v>3100</v>
      </c>
      <c r="AC4529" s="16" t="n">
        <v>16.5</v>
      </c>
      <c r="AD4529" s="16" t="n"/>
      <c r="AE4529" s="16" t="n"/>
    </row>
    <row r="4530">
      <c r="A4530" s="16" t="inlineStr">
        <is>
          <t>KF-M10b-MALLA-0001</t>
        </is>
      </c>
      <c r="B4530" s="16" t="inlineStr">
        <is>
          <t>6.2</t>
        </is>
      </c>
      <c r="C4530" s="16" t="inlineStr">
        <is>
          <t>6.2c</t>
        </is>
      </c>
      <c r="D4530" s="16" t="inlineStr">
        <is>
          <t>malla x_b × P_baja (x_b 0.30–0.70)</t>
        </is>
      </c>
      <c r="E4530" s="16" t="inlineStr">
        <is>
          <t>KF-M10b</t>
        </is>
      </c>
      <c r="F4530" s="16" t="inlineStr">
        <is>
          <t>KF-M10b-MALLA</t>
        </is>
      </c>
      <c r="G4530" s="16" t="inlineStr">
        <is>
          <t>B14-MALLA</t>
        </is>
      </c>
      <c r="H4530" s="16" t="inlineStr">
        <is>
          <t>malla</t>
        </is>
      </c>
      <c r="I4530" s="16" t="inlineStr">
        <is>
          <t>NO_CONVERGIO</t>
        </is>
      </c>
      <c r="J4530" s="16" t="inlineStr">
        <is>
          <t>NO_CONVERGIO</t>
        </is>
      </c>
      <c r="K4530" s="16" t="b">
        <v>0</v>
      </c>
      <c r="L4530" s="16" t="b">
        <v>0</v>
      </c>
      <c r="M4530" s="16" t="b">
        <v>0</v>
      </c>
      <c r="N4530" s="16" t="b">
        <v>0</v>
      </c>
      <c r="O4530" s="16" t="n">
        <v>394.15</v>
      </c>
      <c r="P4530" s="16" t="n">
        <v>278.15</v>
      </c>
      <c r="Q4530" s="16" t="n">
        <v>3300</v>
      </c>
      <c r="R4530" s="16" t="n">
        <v>400</v>
      </c>
      <c r="S4530" s="16" t="n">
        <v>0.3</v>
      </c>
      <c r="T4530" s="16" t="n">
        <v>0.9</v>
      </c>
      <c r="U4530" s="16" t="n">
        <v>0.8</v>
      </c>
      <c r="V4530" s="16" t="n">
        <v>0.85</v>
      </c>
      <c r="W4530" s="16" t="n">
        <v>0.75</v>
      </c>
      <c r="X4530" s="16" t="n">
        <v>0.95</v>
      </c>
      <c r="Y4530" s="16" t="n">
        <v>283.15</v>
      </c>
      <c r="Z4530" s="16" t="n"/>
      <c r="AA4530" s="16" t="n"/>
      <c r="AB4530" s="16" t="n">
        <v>2900</v>
      </c>
      <c r="AC4530" s="16" t="n">
        <v>8.25</v>
      </c>
      <c r="AD4530" s="16" t="n"/>
      <c r="AE4530" s="16" t="n"/>
    </row>
    <row r="4531">
      <c r="A4531" s="16" t="inlineStr">
        <is>
          <t>KF-M10b-MALLA-0002</t>
        </is>
      </c>
      <c r="B4531" s="16" t="inlineStr">
        <is>
          <t>6.2</t>
        </is>
      </c>
      <c r="C4531" s="16" t="inlineStr">
        <is>
          <t>6.2c</t>
        </is>
      </c>
      <c r="D4531" s="16" t="inlineStr">
        <is>
          <t>malla x_b × P_baja (x_b 0.30–0.70)</t>
        </is>
      </c>
      <c r="E4531" s="16" t="inlineStr">
        <is>
          <t>KF-M10b</t>
        </is>
      </c>
      <c r="F4531" s="16" t="inlineStr">
        <is>
          <t>KF-M10b-MALLA</t>
        </is>
      </c>
      <c r="G4531" s="16" t="inlineStr">
        <is>
          <t>B14-MALLA</t>
        </is>
      </c>
      <c r="H4531" s="16" t="inlineStr">
        <is>
          <t>malla</t>
        </is>
      </c>
      <c r="I4531" s="16" t="inlineStr">
        <is>
          <t>NO_CONVERGIO</t>
        </is>
      </c>
      <c r="J4531" s="16" t="inlineStr">
        <is>
          <t>NO_CONVERGIO</t>
        </is>
      </c>
      <c r="K4531" s="16" t="b">
        <v>0</v>
      </c>
      <c r="L4531" s="16" t="b">
        <v>0</v>
      </c>
      <c r="M4531" s="16" t="b">
        <v>0</v>
      </c>
      <c r="N4531" s="16" t="b">
        <v>0</v>
      </c>
      <c r="O4531" s="16" t="n">
        <v>394.15</v>
      </c>
      <c r="P4531" s="16" t="n">
        <v>278.15</v>
      </c>
      <c r="Q4531" s="16" t="n">
        <v>3300</v>
      </c>
      <c r="R4531" s="16" t="n">
        <v>300</v>
      </c>
      <c r="S4531" s="16" t="n">
        <v>0.3</v>
      </c>
      <c r="T4531" s="16" t="n">
        <v>0.9</v>
      </c>
      <c r="U4531" s="16" t="n">
        <v>0.8</v>
      </c>
      <c r="V4531" s="16" t="n">
        <v>0.85</v>
      </c>
      <c r="W4531" s="16" t="n">
        <v>0.75</v>
      </c>
      <c r="X4531" s="16" t="n">
        <v>0.95</v>
      </c>
      <c r="Y4531" s="16" t="n">
        <v>283.15</v>
      </c>
      <c r="Z4531" s="16" t="n"/>
      <c r="AA4531" s="16" t="n"/>
      <c r="AB4531" s="16" t="n">
        <v>3000</v>
      </c>
      <c r="AC4531" s="16" t="n">
        <v>11</v>
      </c>
      <c r="AD4531" s="16" t="n"/>
      <c r="AE4531" s="16" t="n"/>
    </row>
    <row r="4532">
      <c r="A4532" s="16" t="inlineStr">
        <is>
          <t>KF-M10b-MALLA-0003</t>
        </is>
      </c>
      <c r="B4532" s="16" t="inlineStr">
        <is>
          <t>6.2</t>
        </is>
      </c>
      <c r="C4532" s="16" t="inlineStr">
        <is>
          <t>6.2c</t>
        </is>
      </c>
      <c r="D4532" s="16" t="inlineStr">
        <is>
          <t>malla x_b × P_baja (x_b 0.30–0.70)</t>
        </is>
      </c>
      <c r="E4532" s="16" t="inlineStr">
        <is>
          <t>KF-M10b</t>
        </is>
      </c>
      <c r="F4532" s="16" t="inlineStr">
        <is>
          <t>KF-M10b-MALLA</t>
        </is>
      </c>
      <c r="G4532" s="16" t="inlineStr">
        <is>
          <t>B14-MALLA</t>
        </is>
      </c>
      <c r="H4532" s="16" t="inlineStr">
        <is>
          <t>malla</t>
        </is>
      </c>
      <c r="I4532" s="16" t="inlineStr">
        <is>
          <t>NO_CONVERGIO</t>
        </is>
      </c>
      <c r="J4532" s="16" t="inlineStr">
        <is>
          <t>NO_CONVERGIO</t>
        </is>
      </c>
      <c r="K4532" s="16" t="b">
        <v>0</v>
      </c>
      <c r="L4532" s="16" t="b">
        <v>0</v>
      </c>
      <c r="M4532" s="16" t="b">
        <v>0</v>
      </c>
      <c r="N4532" s="16" t="b">
        <v>0</v>
      </c>
      <c r="O4532" s="16" t="n">
        <v>394.15</v>
      </c>
      <c r="P4532" s="16" t="n">
        <v>278.15</v>
      </c>
      <c r="Q4532" s="16" t="n">
        <v>3300</v>
      </c>
      <c r="R4532" s="16" t="n">
        <v>500</v>
      </c>
      <c r="S4532" s="16" t="n">
        <v>0.3</v>
      </c>
      <c r="T4532" s="16" t="n">
        <v>0.9</v>
      </c>
      <c r="U4532" s="16" t="n">
        <v>0.8</v>
      </c>
      <c r="V4532" s="16" t="n">
        <v>0.85</v>
      </c>
      <c r="W4532" s="16" t="n">
        <v>0.75</v>
      </c>
      <c r="X4532" s="16" t="n">
        <v>0.95</v>
      </c>
      <c r="Y4532" s="16" t="n">
        <v>283.15</v>
      </c>
      <c r="Z4532" s="16" t="n"/>
      <c r="AA4532" s="16" t="n"/>
      <c r="AB4532" s="16" t="n">
        <v>2800</v>
      </c>
      <c r="AC4532" s="16" t="n">
        <v>6.6</v>
      </c>
      <c r="AD4532" s="16" t="n"/>
      <c r="AE4532" s="16" t="n"/>
    </row>
    <row r="4533">
      <c r="A4533" s="16" t="inlineStr">
        <is>
          <t>KF-M10b-MALLA-0004</t>
        </is>
      </c>
      <c r="B4533" s="16" t="inlineStr">
        <is>
          <t>6.2</t>
        </is>
      </c>
      <c r="C4533" s="16" t="inlineStr">
        <is>
          <t>6.2c</t>
        </is>
      </c>
      <c r="D4533" s="16" t="inlineStr">
        <is>
          <t>malla x_b × P_baja (x_b 0.30–0.70)</t>
        </is>
      </c>
      <c r="E4533" s="16" t="inlineStr">
        <is>
          <t>KF-M10b</t>
        </is>
      </c>
      <c r="F4533" s="16" t="inlineStr">
        <is>
          <t>KF-M10b-MALLA</t>
        </is>
      </c>
      <c r="G4533" s="16" t="inlineStr">
        <is>
          <t>B14-MALLA</t>
        </is>
      </c>
      <c r="H4533" s="16" t="inlineStr">
        <is>
          <t>malla</t>
        </is>
      </c>
      <c r="I4533" s="16" t="inlineStr">
        <is>
          <t>NO_CONVERGIO</t>
        </is>
      </c>
      <c r="J4533" s="16" t="inlineStr">
        <is>
          <t>NO_CONVERGIO</t>
        </is>
      </c>
      <c r="K4533" s="16" t="b">
        <v>0</v>
      </c>
      <c r="L4533" s="16" t="b">
        <v>0</v>
      </c>
      <c r="M4533" s="16" t="b">
        <v>0</v>
      </c>
      <c r="N4533" s="16" t="b">
        <v>0</v>
      </c>
      <c r="O4533" s="16" t="n">
        <v>394.15</v>
      </c>
      <c r="P4533" s="16" t="n">
        <v>278.15</v>
      </c>
      <c r="Q4533" s="16" t="n">
        <v>3300</v>
      </c>
      <c r="R4533" s="16" t="n">
        <v>600</v>
      </c>
      <c r="S4533" s="16" t="n">
        <v>0.3</v>
      </c>
      <c r="T4533" s="16" t="n">
        <v>0.9</v>
      </c>
      <c r="U4533" s="16" t="n">
        <v>0.8</v>
      </c>
      <c r="V4533" s="16" t="n">
        <v>0.85</v>
      </c>
      <c r="W4533" s="16" t="n">
        <v>0.75</v>
      </c>
      <c r="X4533" s="16" t="n">
        <v>0.95</v>
      </c>
      <c r="Y4533" s="16" t="n">
        <v>283.15</v>
      </c>
      <c r="Z4533" s="16" t="n"/>
      <c r="AA4533" s="16" t="n"/>
      <c r="AB4533" s="16" t="n">
        <v>2700</v>
      </c>
      <c r="AC4533" s="16" t="n">
        <v>5.5</v>
      </c>
      <c r="AD4533" s="16" t="n"/>
      <c r="AE4533" s="16" t="n"/>
    </row>
    <row r="4534">
      <c r="A4534" s="16" t="inlineStr">
        <is>
          <t>KF-M10b-MALLA-0005</t>
        </is>
      </c>
      <c r="B4534" s="16" t="inlineStr">
        <is>
          <t>6.2</t>
        </is>
      </c>
      <c r="C4534" s="16" t="inlineStr">
        <is>
          <t>6.2c</t>
        </is>
      </c>
      <c r="D4534" s="16" t="inlineStr">
        <is>
          <t>malla x_b × P_baja (x_b 0.30–0.70)</t>
        </is>
      </c>
      <c r="E4534" s="16" t="inlineStr">
        <is>
          <t>KF-M10b</t>
        </is>
      </c>
      <c r="F4534" s="16" t="inlineStr">
        <is>
          <t>KF-M10b-MALLA</t>
        </is>
      </c>
      <c r="G4534" s="16" t="inlineStr">
        <is>
          <t>B14-MALLA</t>
        </is>
      </c>
      <c r="H4534" s="16" t="inlineStr">
        <is>
          <t>malla</t>
        </is>
      </c>
      <c r="I4534" s="16" t="inlineStr">
        <is>
          <t>NO_CONVERGIO</t>
        </is>
      </c>
      <c r="J4534" s="16" t="inlineStr">
        <is>
          <t>NO_CONVERGIO</t>
        </is>
      </c>
      <c r="K4534" s="16" t="b">
        <v>0</v>
      </c>
      <c r="L4534" s="16" t="b">
        <v>0</v>
      </c>
      <c r="M4534" s="16" t="b">
        <v>0</v>
      </c>
      <c r="N4534" s="16" t="b">
        <v>0</v>
      </c>
      <c r="O4534" s="16" t="n">
        <v>394.15</v>
      </c>
      <c r="P4534" s="16" t="n">
        <v>278.15</v>
      </c>
      <c r="Q4534" s="16" t="n">
        <v>3300</v>
      </c>
      <c r="R4534" s="16" t="n">
        <v>700</v>
      </c>
      <c r="S4534" s="16" t="n">
        <v>0.3</v>
      </c>
      <c r="T4534" s="16" t="n">
        <v>0.9</v>
      </c>
      <c r="U4534" s="16" t="n">
        <v>0.8</v>
      </c>
      <c r="V4534" s="16" t="n">
        <v>0.85</v>
      </c>
      <c r="W4534" s="16" t="n">
        <v>0.75</v>
      </c>
      <c r="X4534" s="16" t="n">
        <v>0.95</v>
      </c>
      <c r="Y4534" s="16" t="n">
        <v>283.15</v>
      </c>
      <c r="Z4534" s="16" t="n"/>
      <c r="AA4534" s="16" t="n"/>
      <c r="AB4534" s="16" t="n">
        <v>2600</v>
      </c>
      <c r="AC4534" s="16" t="n">
        <v>4.714285714285714</v>
      </c>
      <c r="AD4534" s="16" t="n"/>
      <c r="AE4534" s="16" t="n"/>
    </row>
    <row r="4535">
      <c r="A4535" s="16" t="inlineStr">
        <is>
          <t>KF-M10b-MALLA-0006</t>
        </is>
      </c>
      <c r="B4535" s="16" t="inlineStr">
        <is>
          <t>6.2</t>
        </is>
      </c>
      <c r="C4535" s="16" t="inlineStr">
        <is>
          <t>6.2c</t>
        </is>
      </c>
      <c r="D4535" s="16" t="inlineStr">
        <is>
          <t>malla x_b × P_baja (x_b 0.30–0.70)</t>
        </is>
      </c>
      <c r="E4535" s="16" t="inlineStr">
        <is>
          <t>KF-M10b</t>
        </is>
      </c>
      <c r="F4535" s="16" t="inlineStr">
        <is>
          <t>KF-M10b-MALLA</t>
        </is>
      </c>
      <c r="G4535" s="16" t="inlineStr">
        <is>
          <t>B14-MALLA</t>
        </is>
      </c>
      <c r="H4535" s="16" t="inlineStr">
        <is>
          <t>malla</t>
        </is>
      </c>
      <c r="I4535" s="16" t="inlineStr">
        <is>
          <t>NO_CONVERGIO</t>
        </is>
      </c>
      <c r="J4535" s="16" t="inlineStr">
        <is>
          <t>NO_CONVERGIO</t>
        </is>
      </c>
      <c r="K4535" s="16" t="b">
        <v>0</v>
      </c>
      <c r="L4535" s="16" t="b">
        <v>0</v>
      </c>
      <c r="M4535" s="16" t="b">
        <v>0</v>
      </c>
      <c r="N4535" s="16" t="b">
        <v>0</v>
      </c>
      <c r="O4535" s="16" t="n">
        <v>394.15</v>
      </c>
      <c r="P4535" s="16" t="n">
        <v>278.15</v>
      </c>
      <c r="Q4535" s="16" t="n">
        <v>3300</v>
      </c>
      <c r="R4535" s="16" t="n">
        <v>200</v>
      </c>
      <c r="S4535" s="16" t="n">
        <v>0.35</v>
      </c>
      <c r="T4535" s="16" t="n">
        <v>0.9</v>
      </c>
      <c r="U4535" s="16" t="n">
        <v>0.8</v>
      </c>
      <c r="V4535" s="16" t="n">
        <v>0.85</v>
      </c>
      <c r="W4535" s="16" t="n">
        <v>0.75</v>
      </c>
      <c r="X4535" s="16" t="n">
        <v>0.95</v>
      </c>
      <c r="Y4535" s="16" t="n">
        <v>283.15</v>
      </c>
      <c r="Z4535" s="16" t="n"/>
      <c r="AA4535" s="16" t="n"/>
      <c r="AB4535" s="16" t="n">
        <v>3100</v>
      </c>
      <c r="AC4535" s="16" t="n">
        <v>16.5</v>
      </c>
      <c r="AD4535" s="16" t="n"/>
      <c r="AE4535" s="16" t="n"/>
    </row>
    <row r="4536">
      <c r="A4536" s="16" t="inlineStr">
        <is>
          <t>KF-M10b-MALLA-0007</t>
        </is>
      </c>
      <c r="B4536" s="16" t="inlineStr">
        <is>
          <t>6.2</t>
        </is>
      </c>
      <c r="C4536" s="16" t="inlineStr">
        <is>
          <t>6.2c</t>
        </is>
      </c>
      <c r="D4536" s="16" t="inlineStr">
        <is>
          <t>malla x_b × P_baja (x_b 0.30–0.70)</t>
        </is>
      </c>
      <c r="E4536" s="16" t="inlineStr">
        <is>
          <t>KF-M10b</t>
        </is>
      </c>
      <c r="F4536" s="16" t="inlineStr">
        <is>
          <t>KF-M10b-MALLA</t>
        </is>
      </c>
      <c r="G4536" s="16" t="inlineStr">
        <is>
          <t>B14-MALLA</t>
        </is>
      </c>
      <c r="H4536" s="16" t="inlineStr">
        <is>
          <t>malla</t>
        </is>
      </c>
      <c r="I4536" s="16" t="inlineStr">
        <is>
          <t>NO_CONVERGIO</t>
        </is>
      </c>
      <c r="J4536" s="16" t="inlineStr">
        <is>
          <t>NO_CONVERGIO</t>
        </is>
      </c>
      <c r="K4536" s="16" t="b">
        <v>0</v>
      </c>
      <c r="L4536" s="16" t="b">
        <v>0</v>
      </c>
      <c r="M4536" s="16" t="b">
        <v>0</v>
      </c>
      <c r="N4536" s="16" t="b">
        <v>0</v>
      </c>
      <c r="O4536" s="16" t="n">
        <v>394.15</v>
      </c>
      <c r="P4536" s="16" t="n">
        <v>278.15</v>
      </c>
      <c r="Q4536" s="16" t="n">
        <v>3300</v>
      </c>
      <c r="R4536" s="16" t="n">
        <v>600</v>
      </c>
      <c r="S4536" s="16" t="n">
        <v>0.35</v>
      </c>
      <c r="T4536" s="16" t="n">
        <v>0.9</v>
      </c>
      <c r="U4536" s="16" t="n">
        <v>0.8</v>
      </c>
      <c r="V4536" s="16" t="n">
        <v>0.85</v>
      </c>
      <c r="W4536" s="16" t="n">
        <v>0.75</v>
      </c>
      <c r="X4536" s="16" t="n">
        <v>0.95</v>
      </c>
      <c r="Y4536" s="16" t="n">
        <v>283.15</v>
      </c>
      <c r="Z4536" s="16" t="n"/>
      <c r="AA4536" s="16" t="n"/>
      <c r="AB4536" s="16" t="n">
        <v>2700</v>
      </c>
      <c r="AC4536" s="16" t="n">
        <v>5.5</v>
      </c>
      <c r="AD4536" s="16" t="n"/>
      <c r="AE4536" s="16" t="n"/>
    </row>
    <row r="4537">
      <c r="A4537" s="16" t="inlineStr">
        <is>
          <t>KF-M10b-MALLA-0008</t>
        </is>
      </c>
      <c r="B4537" s="16" t="inlineStr">
        <is>
          <t>6.2</t>
        </is>
      </c>
      <c r="C4537" s="16" t="inlineStr">
        <is>
          <t>6.2c</t>
        </is>
      </c>
      <c r="D4537" s="16" t="inlineStr">
        <is>
          <t>malla x_b × P_baja (x_b 0.30–0.70)</t>
        </is>
      </c>
      <c r="E4537" s="16" t="inlineStr">
        <is>
          <t>KF-M10b</t>
        </is>
      </c>
      <c r="F4537" s="16" t="inlineStr">
        <is>
          <t>KF-M10b-MALLA</t>
        </is>
      </c>
      <c r="G4537" s="16" t="inlineStr">
        <is>
          <t>B14-MALLA</t>
        </is>
      </c>
      <c r="H4537" s="16" t="inlineStr">
        <is>
          <t>malla</t>
        </is>
      </c>
      <c r="I4537" s="16" t="inlineStr">
        <is>
          <t>NO_CONVERGIO</t>
        </is>
      </c>
      <c r="J4537" s="16" t="inlineStr">
        <is>
          <t>NO_CONVERGIO</t>
        </is>
      </c>
      <c r="K4537" s="16" t="b">
        <v>0</v>
      </c>
      <c r="L4537" s="16" t="b">
        <v>0</v>
      </c>
      <c r="M4537" s="16" t="b">
        <v>0</v>
      </c>
      <c r="N4537" s="16" t="b">
        <v>0</v>
      </c>
      <c r="O4537" s="16" t="n">
        <v>394.15</v>
      </c>
      <c r="P4537" s="16" t="n">
        <v>278.15</v>
      </c>
      <c r="Q4537" s="16" t="n">
        <v>3300</v>
      </c>
      <c r="R4537" s="16" t="n">
        <v>400</v>
      </c>
      <c r="S4537" s="16" t="n">
        <v>0.35</v>
      </c>
      <c r="T4537" s="16" t="n">
        <v>0.9</v>
      </c>
      <c r="U4537" s="16" t="n">
        <v>0.8</v>
      </c>
      <c r="V4537" s="16" t="n">
        <v>0.85</v>
      </c>
      <c r="W4537" s="16" t="n">
        <v>0.75</v>
      </c>
      <c r="X4537" s="16" t="n">
        <v>0.95</v>
      </c>
      <c r="Y4537" s="16" t="n">
        <v>283.15</v>
      </c>
      <c r="Z4537" s="16" t="n"/>
      <c r="AA4537" s="16" t="n"/>
      <c r="AB4537" s="16" t="n">
        <v>2900</v>
      </c>
      <c r="AC4537" s="16" t="n">
        <v>8.25</v>
      </c>
      <c r="AD4537" s="16" t="n"/>
      <c r="AE4537" s="16" t="n"/>
    </row>
    <row r="4538">
      <c r="A4538" s="16" t="inlineStr">
        <is>
          <t>KF-M10b-MALLA-0009</t>
        </is>
      </c>
      <c r="B4538" s="16" t="inlineStr">
        <is>
          <t>6.2</t>
        </is>
      </c>
      <c r="C4538" s="16" t="inlineStr">
        <is>
          <t>6.2c</t>
        </is>
      </c>
      <c r="D4538" s="16" t="inlineStr">
        <is>
          <t>malla x_b × P_baja (x_b 0.30–0.70)</t>
        </is>
      </c>
      <c r="E4538" s="16" t="inlineStr">
        <is>
          <t>KF-M10b</t>
        </is>
      </c>
      <c r="F4538" s="16" t="inlineStr">
        <is>
          <t>KF-M10b-MALLA</t>
        </is>
      </c>
      <c r="G4538" s="16" t="inlineStr">
        <is>
          <t>B14-MALLA</t>
        </is>
      </c>
      <c r="H4538" s="16" t="inlineStr">
        <is>
          <t>malla</t>
        </is>
      </c>
      <c r="I4538" s="16" t="inlineStr">
        <is>
          <t>NO_CONVERGIO</t>
        </is>
      </c>
      <c r="J4538" s="16" t="inlineStr">
        <is>
          <t>NO_CONVERGIO</t>
        </is>
      </c>
      <c r="K4538" s="16" t="b">
        <v>0</v>
      </c>
      <c r="L4538" s="16" t="b">
        <v>0</v>
      </c>
      <c r="M4538" s="16" t="b">
        <v>0</v>
      </c>
      <c r="N4538" s="16" t="b">
        <v>0</v>
      </c>
      <c r="O4538" s="16" t="n">
        <v>394.15</v>
      </c>
      <c r="P4538" s="16" t="n">
        <v>278.15</v>
      </c>
      <c r="Q4538" s="16" t="n">
        <v>3300</v>
      </c>
      <c r="R4538" s="16" t="n">
        <v>300</v>
      </c>
      <c r="S4538" s="16" t="n">
        <v>0.35</v>
      </c>
      <c r="T4538" s="16" t="n">
        <v>0.9</v>
      </c>
      <c r="U4538" s="16" t="n">
        <v>0.8</v>
      </c>
      <c r="V4538" s="16" t="n">
        <v>0.85</v>
      </c>
      <c r="W4538" s="16" t="n">
        <v>0.75</v>
      </c>
      <c r="X4538" s="16" t="n">
        <v>0.95</v>
      </c>
      <c r="Y4538" s="16" t="n">
        <v>283.15</v>
      </c>
      <c r="Z4538" s="16" t="n"/>
      <c r="AA4538" s="16" t="n"/>
      <c r="AB4538" s="16" t="n">
        <v>3000</v>
      </c>
      <c r="AC4538" s="16" t="n">
        <v>11</v>
      </c>
      <c r="AD4538" s="16" t="n"/>
      <c r="AE4538" s="16" t="n"/>
    </row>
    <row r="4539">
      <c r="A4539" s="16" t="inlineStr">
        <is>
          <t>KF-M10b-MALLA-0010</t>
        </is>
      </c>
      <c r="B4539" s="16" t="inlineStr">
        <is>
          <t>6.2</t>
        </is>
      </c>
      <c r="C4539" s="16" t="inlineStr">
        <is>
          <t>6.2c</t>
        </is>
      </c>
      <c r="D4539" s="16" t="inlineStr">
        <is>
          <t>malla x_b × P_baja (x_b 0.30–0.70)</t>
        </is>
      </c>
      <c r="E4539" s="16" t="inlineStr">
        <is>
          <t>KF-M10b</t>
        </is>
      </c>
      <c r="F4539" s="16" t="inlineStr">
        <is>
          <t>KF-M10b-MALLA</t>
        </is>
      </c>
      <c r="G4539" s="16" t="inlineStr">
        <is>
          <t>B14-MALLA</t>
        </is>
      </c>
      <c r="H4539" s="16" t="inlineStr">
        <is>
          <t>malla</t>
        </is>
      </c>
      <c r="I4539" s="16" t="inlineStr">
        <is>
          <t>NO_CONVERGIO</t>
        </is>
      </c>
      <c r="J4539" s="16" t="inlineStr">
        <is>
          <t>NO_CONVERGIO</t>
        </is>
      </c>
      <c r="K4539" s="16" t="b">
        <v>0</v>
      </c>
      <c r="L4539" s="16" t="b">
        <v>0</v>
      </c>
      <c r="M4539" s="16" t="b">
        <v>0</v>
      </c>
      <c r="N4539" s="16" t="b">
        <v>0</v>
      </c>
      <c r="O4539" s="16" t="n">
        <v>394.15</v>
      </c>
      <c r="P4539" s="16" t="n">
        <v>278.15</v>
      </c>
      <c r="Q4539" s="16" t="n">
        <v>3300</v>
      </c>
      <c r="R4539" s="16" t="n">
        <v>500</v>
      </c>
      <c r="S4539" s="16" t="n">
        <v>0.35</v>
      </c>
      <c r="T4539" s="16" t="n">
        <v>0.9</v>
      </c>
      <c r="U4539" s="16" t="n">
        <v>0.8</v>
      </c>
      <c r="V4539" s="16" t="n">
        <v>0.85</v>
      </c>
      <c r="W4539" s="16" t="n">
        <v>0.75</v>
      </c>
      <c r="X4539" s="16" t="n">
        <v>0.95</v>
      </c>
      <c r="Y4539" s="16" t="n">
        <v>283.15</v>
      </c>
      <c r="Z4539" s="16" t="n"/>
      <c r="AA4539" s="16" t="n"/>
      <c r="AB4539" s="16" t="n">
        <v>2800</v>
      </c>
      <c r="AC4539" s="16" t="n">
        <v>6.6</v>
      </c>
      <c r="AD4539" s="16" t="n"/>
      <c r="AE4539" s="16" t="n"/>
    </row>
    <row r="4540">
      <c r="A4540" s="16" t="inlineStr">
        <is>
          <t>KF-M10b-MALLA-0011</t>
        </is>
      </c>
      <c r="B4540" s="16" t="inlineStr">
        <is>
          <t>6.2</t>
        </is>
      </c>
      <c r="C4540" s="16" t="inlineStr">
        <is>
          <t>6.2c</t>
        </is>
      </c>
      <c r="D4540" s="16" t="inlineStr">
        <is>
          <t>malla x_b × P_baja (x_b 0.30–0.70)</t>
        </is>
      </c>
      <c r="E4540" s="16" t="inlineStr">
        <is>
          <t>KF-M10b</t>
        </is>
      </c>
      <c r="F4540" s="16" t="inlineStr">
        <is>
          <t>KF-M10b-MALLA</t>
        </is>
      </c>
      <c r="G4540" s="16" t="inlineStr">
        <is>
          <t>B14-MALLA</t>
        </is>
      </c>
      <c r="H4540" s="16" t="inlineStr">
        <is>
          <t>malla</t>
        </is>
      </c>
      <c r="I4540" s="16" t="inlineStr">
        <is>
          <t>NO_CONVERGIO</t>
        </is>
      </c>
      <c r="J4540" s="16" t="inlineStr">
        <is>
          <t>NO_CONVERGIO</t>
        </is>
      </c>
      <c r="K4540" s="16" t="b">
        <v>0</v>
      </c>
      <c r="L4540" s="16" t="b">
        <v>0</v>
      </c>
      <c r="M4540" s="16" t="b">
        <v>0</v>
      </c>
      <c r="N4540" s="16" t="b">
        <v>0</v>
      </c>
      <c r="O4540" s="16" t="n">
        <v>394.15</v>
      </c>
      <c r="P4540" s="16" t="n">
        <v>278.15</v>
      </c>
      <c r="Q4540" s="16" t="n">
        <v>3300</v>
      </c>
      <c r="R4540" s="16" t="n">
        <v>700</v>
      </c>
      <c r="S4540" s="16" t="n">
        <v>0.35</v>
      </c>
      <c r="T4540" s="16" t="n">
        <v>0.9</v>
      </c>
      <c r="U4540" s="16" t="n">
        <v>0.8</v>
      </c>
      <c r="V4540" s="16" t="n">
        <v>0.85</v>
      </c>
      <c r="W4540" s="16" t="n">
        <v>0.75</v>
      </c>
      <c r="X4540" s="16" t="n">
        <v>0.95</v>
      </c>
      <c r="Y4540" s="16" t="n">
        <v>283.15</v>
      </c>
      <c r="Z4540" s="16" t="n"/>
      <c r="AA4540" s="16" t="n"/>
      <c r="AB4540" s="16" t="n">
        <v>2600</v>
      </c>
      <c r="AC4540" s="16" t="n">
        <v>4.714285714285714</v>
      </c>
      <c r="AD4540" s="16" t="n"/>
      <c r="AE4540" s="16" t="n"/>
    </row>
    <row r="4541">
      <c r="A4541" s="16" t="inlineStr">
        <is>
          <t>KF-M10b-MALLA-0012</t>
        </is>
      </c>
      <c r="B4541" s="16" t="inlineStr">
        <is>
          <t>6.2</t>
        </is>
      </c>
      <c r="C4541" s="16" t="inlineStr">
        <is>
          <t>6.2c</t>
        </is>
      </c>
      <c r="D4541" s="16" t="inlineStr">
        <is>
          <t>malla x_b × P_baja (x_b 0.30–0.70)</t>
        </is>
      </c>
      <c r="E4541" s="16" t="inlineStr">
        <is>
          <t>KF-M10b</t>
        </is>
      </c>
      <c r="F4541" s="16" t="inlineStr">
        <is>
          <t>KF-M10b-MALLA</t>
        </is>
      </c>
      <c r="G4541" s="16" t="inlineStr">
        <is>
          <t>B14-MALLA</t>
        </is>
      </c>
      <c r="H4541" s="16" t="inlineStr">
        <is>
          <t>malla</t>
        </is>
      </c>
      <c r="I4541" s="16" t="inlineStr">
        <is>
          <t>N2</t>
        </is>
      </c>
      <c r="J4541" s="16" t="inlineStr">
        <is>
          <t>NO_CONVERGIO</t>
        </is>
      </c>
      <c r="K4541" s="16" t="b">
        <v>0</v>
      </c>
      <c r="L4541" s="16" t="b">
        <v>0</v>
      </c>
      <c r="M4541" s="16" t="b">
        <v>0</v>
      </c>
      <c r="N4541" s="16" t="b">
        <v>0</v>
      </c>
      <c r="O4541" s="16" t="n">
        <v>394.15</v>
      </c>
      <c r="P4541" s="16" t="n">
        <v>278.15</v>
      </c>
      <c r="Q4541" s="16" t="n">
        <v>3300</v>
      </c>
      <c r="R4541" s="16" t="n">
        <v>600</v>
      </c>
      <c r="S4541" s="16" t="n">
        <v>0.4</v>
      </c>
      <c r="T4541" s="16" t="n">
        <v>0.9</v>
      </c>
      <c r="U4541" s="16" t="n">
        <v>0.8</v>
      </c>
      <c r="V4541" s="16" t="n">
        <v>0.85</v>
      </c>
      <c r="W4541" s="16" t="n">
        <v>0.75</v>
      </c>
      <c r="X4541" s="16" t="n">
        <v>0.95</v>
      </c>
      <c r="Y4541" s="16" t="n">
        <v>283.15</v>
      </c>
      <c r="Z4541" s="16" t="n">
        <v>-106.9774475680235</v>
      </c>
      <c r="AA4541" s="16" t="n">
        <v>-47.18023294098622</v>
      </c>
      <c r="AB4541" s="16" t="n">
        <v>2700</v>
      </c>
      <c r="AC4541" s="16" t="n">
        <v>5.5</v>
      </c>
      <c r="AD4541" s="16" t="inlineStr">
        <is>
          <t>N2,S6,O3,O5,C1,C3,C3</t>
        </is>
      </c>
      <c r="AE4541" s="16" t="n"/>
    </row>
    <row r="4542">
      <c r="A4542" s="16" t="inlineStr">
        <is>
          <t>KF-M10b-MALLA-0013</t>
        </is>
      </c>
      <c r="B4542" s="16" t="inlineStr">
        <is>
          <t>6.2</t>
        </is>
      </c>
      <c r="C4542" s="16" t="inlineStr">
        <is>
          <t>6.2c</t>
        </is>
      </c>
      <c r="D4542" s="16" t="inlineStr">
        <is>
          <t>malla x_b × P_baja (x_b 0.30–0.70)</t>
        </is>
      </c>
      <c r="E4542" s="16" t="inlineStr">
        <is>
          <t>KF-M10b</t>
        </is>
      </c>
      <c r="F4542" s="16" t="inlineStr">
        <is>
          <t>KF-M10b-MALLA</t>
        </is>
      </c>
      <c r="G4542" s="16" t="inlineStr">
        <is>
          <t>B14-MALLA</t>
        </is>
      </c>
      <c r="H4542" s="16" t="inlineStr">
        <is>
          <t>malla</t>
        </is>
      </c>
      <c r="I4542" s="16" t="inlineStr">
        <is>
          <t>N2</t>
        </is>
      </c>
      <c r="J4542" s="16" t="inlineStr">
        <is>
          <t>NO_CONVERGIO</t>
        </is>
      </c>
      <c r="K4542" s="16" t="b">
        <v>0</v>
      </c>
      <c r="L4542" s="16" t="b">
        <v>0</v>
      </c>
      <c r="M4542" s="16" t="b">
        <v>0</v>
      </c>
      <c r="N4542" s="16" t="b">
        <v>0</v>
      </c>
      <c r="O4542" s="16" t="n">
        <v>394.15</v>
      </c>
      <c r="P4542" s="16" t="n">
        <v>278.15</v>
      </c>
      <c r="Q4542" s="16" t="n">
        <v>3300</v>
      </c>
      <c r="R4542" s="16" t="n">
        <v>700</v>
      </c>
      <c r="S4542" s="16" t="n">
        <v>0.4</v>
      </c>
      <c r="T4542" s="16" t="n">
        <v>0.9</v>
      </c>
      <c r="U4542" s="16" t="n">
        <v>0.8</v>
      </c>
      <c r="V4542" s="16" t="n">
        <v>0.85</v>
      </c>
      <c r="W4542" s="16" t="n">
        <v>0.75</v>
      </c>
      <c r="X4542" s="16" t="n">
        <v>0.95</v>
      </c>
      <c r="Y4542" s="16" t="n">
        <v>283.15</v>
      </c>
      <c r="Z4542" s="16" t="n">
        <v>-98.63013322128241</v>
      </c>
      <c r="AA4542" s="16" t="n">
        <v>-43.51354993159946</v>
      </c>
      <c r="AB4542" s="16" t="n">
        <v>2600</v>
      </c>
      <c r="AC4542" s="16" t="n">
        <v>4.714285714285714</v>
      </c>
      <c r="AD4542" s="16" t="inlineStr">
        <is>
          <t>N2,S6,O3,O5,C1,C3,C3</t>
        </is>
      </c>
      <c r="AE4542" s="16" t="n"/>
    </row>
    <row r="4543">
      <c r="A4543" s="16" t="inlineStr">
        <is>
          <t>KF-M10b-MALLA-0014</t>
        </is>
      </c>
      <c r="B4543" s="16" t="inlineStr">
        <is>
          <t>6.2</t>
        </is>
      </c>
      <c r="C4543" s="16" t="inlineStr">
        <is>
          <t>6.2c</t>
        </is>
      </c>
      <c r="D4543" s="16" t="inlineStr">
        <is>
          <t>malla x_b × P_baja (x_b 0.30–0.70)</t>
        </is>
      </c>
      <c r="E4543" s="16" t="inlineStr">
        <is>
          <t>KF-M10b</t>
        </is>
      </c>
      <c r="F4543" s="16" t="inlineStr">
        <is>
          <t>KF-M10b-MALLA</t>
        </is>
      </c>
      <c r="G4543" s="16" t="inlineStr">
        <is>
          <t>B14-MALLA</t>
        </is>
      </c>
      <c r="H4543" s="16" t="inlineStr">
        <is>
          <t>malla</t>
        </is>
      </c>
      <c r="I4543" s="16" t="inlineStr">
        <is>
          <t>N2</t>
        </is>
      </c>
      <c r="J4543" s="16" t="inlineStr">
        <is>
          <t>NO_CONVERGIO</t>
        </is>
      </c>
      <c r="K4543" s="16" t="b">
        <v>0</v>
      </c>
      <c r="L4543" s="16" t="b">
        <v>0</v>
      </c>
      <c r="M4543" s="16" t="b">
        <v>0</v>
      </c>
      <c r="N4543" s="16" t="b">
        <v>0</v>
      </c>
      <c r="O4543" s="16" t="n">
        <v>394.15</v>
      </c>
      <c r="P4543" s="16" t="n">
        <v>278.15</v>
      </c>
      <c r="Q4543" s="16" t="n">
        <v>3300</v>
      </c>
      <c r="R4543" s="16" t="n">
        <v>500</v>
      </c>
      <c r="S4543" s="16" t="n">
        <v>0.4</v>
      </c>
      <c r="T4543" s="16" t="n">
        <v>0.9</v>
      </c>
      <c r="U4543" s="16" t="n">
        <v>0.8</v>
      </c>
      <c r="V4543" s="16" t="n">
        <v>0.85</v>
      </c>
      <c r="W4543" s="16" t="n">
        <v>0.75</v>
      </c>
      <c r="X4543" s="16" t="n">
        <v>0.95</v>
      </c>
      <c r="Y4543" s="16" t="n">
        <v>283.15</v>
      </c>
      <c r="Z4543" s="16" t="n">
        <v>-116.5555257316806</v>
      </c>
      <c r="AA4543" s="16" t="n">
        <v>-51.38741499775105</v>
      </c>
      <c r="AB4543" s="16" t="n">
        <v>2800</v>
      </c>
      <c r="AC4543" s="16" t="n">
        <v>6.6</v>
      </c>
      <c r="AD4543" s="16" t="inlineStr">
        <is>
          <t>N2,S6,O3,O5,C1,C3,C3</t>
        </is>
      </c>
      <c r="AE4543" s="16" t="n"/>
    </row>
    <row r="4544">
      <c r="A4544" s="16" t="inlineStr">
        <is>
          <t>KF-M10b-MALLA-0015</t>
        </is>
      </c>
      <c r="B4544" s="16" t="inlineStr">
        <is>
          <t>6.2</t>
        </is>
      </c>
      <c r="C4544" s="16" t="inlineStr">
        <is>
          <t>6.2c</t>
        </is>
      </c>
      <c r="D4544" s="16" t="inlineStr">
        <is>
          <t>malla x_b × P_baja (x_b 0.30–0.70)</t>
        </is>
      </c>
      <c r="E4544" s="16" t="inlineStr">
        <is>
          <t>KF-M10b</t>
        </is>
      </c>
      <c r="F4544" s="16" t="inlineStr">
        <is>
          <t>KF-M10b-MALLA</t>
        </is>
      </c>
      <c r="G4544" s="16" t="inlineStr">
        <is>
          <t>B14-MALLA</t>
        </is>
      </c>
      <c r="H4544" s="16" t="inlineStr">
        <is>
          <t>malla</t>
        </is>
      </c>
      <c r="I4544" s="16" t="inlineStr">
        <is>
          <t>N2</t>
        </is>
      </c>
      <c r="J4544" s="16" t="inlineStr">
        <is>
          <t>NO_CONVERGIO</t>
        </is>
      </c>
      <c r="K4544" s="16" t="b">
        <v>0</v>
      </c>
      <c r="L4544" s="16" t="b">
        <v>0</v>
      </c>
      <c r="M4544" s="16" t="b">
        <v>0</v>
      </c>
      <c r="N4544" s="16" t="b">
        <v>0</v>
      </c>
      <c r="O4544" s="16" t="n">
        <v>394.15</v>
      </c>
      <c r="P4544" s="16" t="n">
        <v>278.15</v>
      </c>
      <c r="Q4544" s="16" t="n">
        <v>3300</v>
      </c>
      <c r="R4544" s="16" t="n">
        <v>200</v>
      </c>
      <c r="S4544" s="16" t="n">
        <v>0.4</v>
      </c>
      <c r="T4544" s="16" t="n">
        <v>0.9</v>
      </c>
      <c r="U4544" s="16" t="n">
        <v>0.8</v>
      </c>
      <c r="V4544" s="16" t="n">
        <v>0.85</v>
      </c>
      <c r="W4544" s="16" t="n">
        <v>0.75</v>
      </c>
      <c r="X4544" s="16" t="n">
        <v>0.95</v>
      </c>
      <c r="Y4544" s="16" t="n">
        <v>283.15</v>
      </c>
      <c r="Z4544" s="16" t="n">
        <v>-160.4926686017252</v>
      </c>
      <c r="AA4544" s="16" t="n">
        <v>-70.64124030507624</v>
      </c>
      <c r="AB4544" s="16" t="n">
        <v>3100</v>
      </c>
      <c r="AC4544" s="16" t="n">
        <v>16.5</v>
      </c>
      <c r="AD4544" s="16" t="inlineStr">
        <is>
          <t>N2,S6,O3,O5,C1,C3,C3</t>
        </is>
      </c>
      <c r="AE4544" s="16" t="n"/>
    </row>
    <row r="4545">
      <c r="A4545" s="16" t="inlineStr">
        <is>
          <t>KF-M10b-MALLA-0016</t>
        </is>
      </c>
      <c r="B4545" s="16" t="inlineStr">
        <is>
          <t>6.2</t>
        </is>
      </c>
      <c r="C4545" s="16" t="inlineStr">
        <is>
          <t>6.2c</t>
        </is>
      </c>
      <c r="D4545" s="16" t="inlineStr">
        <is>
          <t>malla x_b × P_baja (x_b 0.30–0.70)</t>
        </is>
      </c>
      <c r="E4545" s="16" t="inlineStr">
        <is>
          <t>KF-M10b</t>
        </is>
      </c>
      <c r="F4545" s="16" t="inlineStr">
        <is>
          <t>KF-M10b-MALLA</t>
        </is>
      </c>
      <c r="G4545" s="16" t="inlineStr">
        <is>
          <t>B14-MALLA</t>
        </is>
      </c>
      <c r="H4545" s="16" t="inlineStr">
        <is>
          <t>malla</t>
        </is>
      </c>
      <c r="I4545" s="16" t="inlineStr">
        <is>
          <t>N2</t>
        </is>
      </c>
      <c r="J4545" s="16" t="inlineStr">
        <is>
          <t>NO_CONVERGIO</t>
        </is>
      </c>
      <c r="K4545" s="16" t="b">
        <v>0</v>
      </c>
      <c r="L4545" s="16" t="b">
        <v>0</v>
      </c>
      <c r="M4545" s="16" t="b">
        <v>0</v>
      </c>
      <c r="N4545" s="16" t="b">
        <v>0</v>
      </c>
      <c r="O4545" s="16" t="n">
        <v>394.15</v>
      </c>
      <c r="P4545" s="16" t="n">
        <v>278.15</v>
      </c>
      <c r="Q4545" s="16" t="n">
        <v>3300</v>
      </c>
      <c r="R4545" s="16" t="n">
        <v>400</v>
      </c>
      <c r="S4545" s="16" t="n">
        <v>0.4</v>
      </c>
      <c r="T4545" s="16" t="n">
        <v>0.9</v>
      </c>
      <c r="U4545" s="16" t="n">
        <v>0.8</v>
      </c>
      <c r="V4545" s="16" t="n">
        <v>0.85</v>
      </c>
      <c r="W4545" s="16" t="n">
        <v>0.75</v>
      </c>
      <c r="X4545" s="16" t="n">
        <v>0.95</v>
      </c>
      <c r="Y4545" s="16" t="n">
        <v>283.15</v>
      </c>
      <c r="Z4545" s="16" t="n">
        <v>-127.8819741537237</v>
      </c>
      <c r="AA4545" s="16" t="n">
        <v>-56.35405676337952</v>
      </c>
      <c r="AB4545" s="16" t="n">
        <v>2900</v>
      </c>
      <c r="AC4545" s="16" t="n">
        <v>8.25</v>
      </c>
      <c r="AD4545" s="16" t="inlineStr">
        <is>
          <t>N2,S6,O3,O5,C1,C3,C3</t>
        </is>
      </c>
      <c r="AE4545" s="16" t="n"/>
    </row>
    <row r="4546">
      <c r="A4546" s="16" t="inlineStr">
        <is>
          <t>KF-M10b-MALLA-0017</t>
        </is>
      </c>
      <c r="B4546" s="16" t="inlineStr">
        <is>
          <t>6.2</t>
        </is>
      </c>
      <c r="C4546" s="16" t="inlineStr">
        <is>
          <t>6.2c</t>
        </is>
      </c>
      <c r="D4546" s="16" t="inlineStr">
        <is>
          <t>malla x_b × P_baja (x_b 0.30–0.70)</t>
        </is>
      </c>
      <c r="E4546" s="16" t="inlineStr">
        <is>
          <t>KF-M10b</t>
        </is>
      </c>
      <c r="F4546" s="16" t="inlineStr">
        <is>
          <t>KF-M10b-MALLA</t>
        </is>
      </c>
      <c r="G4546" s="16" t="inlineStr">
        <is>
          <t>B14-MALLA</t>
        </is>
      </c>
      <c r="H4546" s="16" t="inlineStr">
        <is>
          <t>malla</t>
        </is>
      </c>
      <c r="I4546" s="16" t="inlineStr">
        <is>
          <t>N2</t>
        </is>
      </c>
      <c r="J4546" s="16" t="inlineStr">
        <is>
          <t>NO_CONVERGIO</t>
        </is>
      </c>
      <c r="K4546" s="16" t="b">
        <v>0</v>
      </c>
      <c r="L4546" s="16" t="b">
        <v>0</v>
      </c>
      <c r="M4546" s="16" t="b">
        <v>0</v>
      </c>
      <c r="N4546" s="16" t="b">
        <v>0</v>
      </c>
      <c r="O4546" s="16" t="n">
        <v>394.15</v>
      </c>
      <c r="P4546" s="16" t="n">
        <v>278.15</v>
      </c>
      <c r="Q4546" s="16" t="n">
        <v>3300</v>
      </c>
      <c r="R4546" s="16" t="n">
        <v>300</v>
      </c>
      <c r="S4546" s="16" t="n">
        <v>0.4</v>
      </c>
      <c r="T4546" s="16" t="n">
        <v>0.9</v>
      </c>
      <c r="U4546" s="16" t="n">
        <v>0.8</v>
      </c>
      <c r="V4546" s="16" t="n">
        <v>0.85</v>
      </c>
      <c r="W4546" s="16" t="n">
        <v>0.75</v>
      </c>
      <c r="X4546" s="16" t="n">
        <v>0.95</v>
      </c>
      <c r="Y4546" s="16" t="n">
        <v>283.15</v>
      </c>
      <c r="Z4546" s="16" t="n">
        <v>-141.86016807113</v>
      </c>
      <c r="AA4546" s="16" t="n">
        <v>-62.48157277194944</v>
      </c>
      <c r="AB4546" s="16" t="n">
        <v>3000</v>
      </c>
      <c r="AC4546" s="16" t="n">
        <v>11</v>
      </c>
      <c r="AD4546" s="16" t="inlineStr">
        <is>
          <t>N2,S6,O3,O5,C1,C3,C3</t>
        </is>
      </c>
      <c r="AE4546" s="16" t="n"/>
    </row>
    <row r="4547">
      <c r="A4547" s="16" t="inlineStr">
        <is>
          <t>KF-M10b-MALLA-0018</t>
        </is>
      </c>
      <c r="B4547" s="16" t="inlineStr">
        <is>
          <t>6.2</t>
        </is>
      </c>
      <c r="C4547" s="16" t="inlineStr">
        <is>
          <t>6.2c</t>
        </is>
      </c>
      <c r="D4547" s="16" t="inlineStr">
        <is>
          <t>malla x_b × P_baja (x_b 0.30–0.70)</t>
        </is>
      </c>
      <c r="E4547" s="16" t="inlineStr">
        <is>
          <t>KF-M10b</t>
        </is>
      </c>
      <c r="F4547" s="16" t="inlineStr">
        <is>
          <t>KF-M10b-MALLA</t>
        </is>
      </c>
      <c r="G4547" s="16" t="inlineStr">
        <is>
          <t>B14-MALLA</t>
        </is>
      </c>
      <c r="H4547" s="16" t="inlineStr">
        <is>
          <t>malla</t>
        </is>
      </c>
      <c r="I4547" s="16" t="inlineStr">
        <is>
          <t>N2</t>
        </is>
      </c>
      <c r="J4547" s="16" t="inlineStr">
        <is>
          <t>NO_CONVERGIO</t>
        </is>
      </c>
      <c r="K4547" s="16" t="b">
        <v>0</v>
      </c>
      <c r="L4547" s="16" t="b">
        <v>0</v>
      </c>
      <c r="M4547" s="16" t="b">
        <v>0</v>
      </c>
      <c r="N4547" s="16" t="b">
        <v>0</v>
      </c>
      <c r="O4547" s="16" t="n">
        <v>394.15</v>
      </c>
      <c r="P4547" s="16" t="n">
        <v>278.15</v>
      </c>
      <c r="Q4547" s="16" t="n">
        <v>3300</v>
      </c>
      <c r="R4547" s="16" t="n">
        <v>200</v>
      </c>
      <c r="S4547" s="16" t="n">
        <v>0.45</v>
      </c>
      <c r="T4547" s="16" t="n">
        <v>0.9</v>
      </c>
      <c r="U4547" s="16" t="n">
        <v>0.8</v>
      </c>
      <c r="V4547" s="16" t="n">
        <v>0.85</v>
      </c>
      <c r="W4547" s="16" t="n">
        <v>0.75</v>
      </c>
      <c r="X4547" s="16" t="n">
        <v>0.95</v>
      </c>
      <c r="Y4547" s="16" t="n">
        <v>283.15</v>
      </c>
      <c r="Z4547" s="16" t="n">
        <v>-46.43849402647307</v>
      </c>
      <c r="AA4547" s="16" t="n">
        <v>-39.84359437253028</v>
      </c>
      <c r="AB4547" s="16" t="n">
        <v>3100</v>
      </c>
      <c r="AC4547" s="16" t="n">
        <v>16.5</v>
      </c>
      <c r="AD4547" s="16" t="inlineStr">
        <is>
          <t>N2,O3,O5,C1,C3,C3</t>
        </is>
      </c>
      <c r="AE4547" s="16" t="n"/>
    </row>
    <row r="4548">
      <c r="A4548" s="16" t="inlineStr">
        <is>
          <t>KF-M10b-MALLA-0019</t>
        </is>
      </c>
      <c r="B4548" s="16" t="inlineStr">
        <is>
          <t>6.2</t>
        </is>
      </c>
      <c r="C4548" s="16" t="inlineStr">
        <is>
          <t>6.2c</t>
        </is>
      </c>
      <c r="D4548" s="16" t="inlineStr">
        <is>
          <t>malla x_b × P_baja (x_b 0.30–0.70)</t>
        </is>
      </c>
      <c r="E4548" s="16" t="inlineStr">
        <is>
          <t>KF-M10b</t>
        </is>
      </c>
      <c r="F4548" s="16" t="inlineStr">
        <is>
          <t>KF-M10b-MALLA</t>
        </is>
      </c>
      <c r="G4548" s="16" t="inlineStr">
        <is>
          <t>B14-MALLA</t>
        </is>
      </c>
      <c r="H4548" s="16" t="inlineStr">
        <is>
          <t>malla</t>
        </is>
      </c>
      <c r="I4548" s="16" t="inlineStr">
        <is>
          <t>N2</t>
        </is>
      </c>
      <c r="J4548" s="16" t="inlineStr">
        <is>
          <t>NO_CONVERGIO</t>
        </is>
      </c>
      <c r="K4548" s="16" t="b">
        <v>0</v>
      </c>
      <c r="L4548" s="16" t="b">
        <v>0</v>
      </c>
      <c r="M4548" s="16" t="b">
        <v>0</v>
      </c>
      <c r="N4548" s="16" t="b">
        <v>0</v>
      </c>
      <c r="O4548" s="16" t="n">
        <v>394.15</v>
      </c>
      <c r="P4548" s="16" t="n">
        <v>278.15</v>
      </c>
      <c r="Q4548" s="16" t="n">
        <v>3300</v>
      </c>
      <c r="R4548" s="16" t="n">
        <v>600</v>
      </c>
      <c r="S4548" s="16" t="n">
        <v>0.45</v>
      </c>
      <c r="T4548" s="16" t="n">
        <v>0.9</v>
      </c>
      <c r="U4548" s="16" t="n">
        <v>0.8</v>
      </c>
      <c r="V4548" s="16" t="n">
        <v>0.85</v>
      </c>
      <c r="W4548" s="16" t="n">
        <v>0.75</v>
      </c>
      <c r="X4548" s="16" t="n">
        <v>0.95</v>
      </c>
      <c r="Y4548" s="16" t="n">
        <v>283.15</v>
      </c>
      <c r="Z4548" s="16" t="n">
        <v>-31.50437352615156</v>
      </c>
      <c r="AA4548" s="16" t="n">
        <v>-27.06722621695804</v>
      </c>
      <c r="AB4548" s="16" t="n">
        <v>2700</v>
      </c>
      <c r="AC4548" s="16" t="n">
        <v>5.5</v>
      </c>
      <c r="AD4548" s="16" t="inlineStr">
        <is>
          <t>N2,S6,O3,O5,C1,C3,C3</t>
        </is>
      </c>
      <c r="AE4548" s="16" t="n"/>
    </row>
    <row r="4549">
      <c r="A4549" s="16" t="inlineStr">
        <is>
          <t>KF-M10b-MALLA-0020</t>
        </is>
      </c>
      <c r="B4549" s="16" t="inlineStr">
        <is>
          <t>6.2</t>
        </is>
      </c>
      <c r="C4549" s="16" t="inlineStr">
        <is>
          <t>6.2c</t>
        </is>
      </c>
      <c r="D4549" s="16" t="inlineStr">
        <is>
          <t>malla x_b × P_baja (x_b 0.30–0.70)</t>
        </is>
      </c>
      <c r="E4549" s="16" t="inlineStr">
        <is>
          <t>KF-M10b</t>
        </is>
      </c>
      <c r="F4549" s="16" t="inlineStr">
        <is>
          <t>KF-M10b-MALLA</t>
        </is>
      </c>
      <c r="G4549" s="16" t="inlineStr">
        <is>
          <t>B14-MALLA</t>
        </is>
      </c>
      <c r="H4549" s="16" t="inlineStr">
        <is>
          <t>malla</t>
        </is>
      </c>
      <c r="I4549" s="16" t="inlineStr">
        <is>
          <t>N2</t>
        </is>
      </c>
      <c r="J4549" s="16" t="inlineStr">
        <is>
          <t>NO_CONVERGIO</t>
        </is>
      </c>
      <c r="K4549" s="16" t="b">
        <v>0</v>
      </c>
      <c r="L4549" s="16" t="b">
        <v>0</v>
      </c>
      <c r="M4549" s="16" t="b">
        <v>0</v>
      </c>
      <c r="N4549" s="16" t="b">
        <v>0</v>
      </c>
      <c r="O4549" s="16" t="n">
        <v>394.15</v>
      </c>
      <c r="P4549" s="16" t="n">
        <v>278.15</v>
      </c>
      <c r="Q4549" s="16" t="n">
        <v>3300</v>
      </c>
      <c r="R4549" s="16" t="n">
        <v>700</v>
      </c>
      <c r="S4549" s="16" t="n">
        <v>0.45</v>
      </c>
      <c r="T4549" s="16" t="n">
        <v>0.9</v>
      </c>
      <c r="U4549" s="16" t="n">
        <v>0.8</v>
      </c>
      <c r="V4549" s="16" t="n">
        <v>0.85</v>
      </c>
      <c r="W4549" s="16" t="n">
        <v>0.75</v>
      </c>
      <c r="X4549" s="16" t="n">
        <v>0.95</v>
      </c>
      <c r="Y4549" s="16" t="n">
        <v>283.15</v>
      </c>
      <c r="Z4549" s="16" t="n">
        <v>-29.14206203652869</v>
      </c>
      <c r="AA4549" s="16" t="n">
        <v>-25.0438719167701</v>
      </c>
      <c r="AB4549" s="16" t="n">
        <v>2600</v>
      </c>
      <c r="AC4549" s="16" t="n">
        <v>4.714285714285714</v>
      </c>
      <c r="AD4549" s="16" t="inlineStr">
        <is>
          <t>N2,S6,O3,O5,C1,C3,C3</t>
        </is>
      </c>
      <c r="AE4549" s="16" t="n"/>
    </row>
    <row r="4550">
      <c r="A4550" s="16" t="inlineStr">
        <is>
          <t>KF-M10b-MALLA-0021</t>
        </is>
      </c>
      <c r="B4550" s="16" t="inlineStr">
        <is>
          <t>6.2</t>
        </is>
      </c>
      <c r="C4550" s="16" t="inlineStr">
        <is>
          <t>6.2c</t>
        </is>
      </c>
      <c r="D4550" s="16" t="inlineStr">
        <is>
          <t>malla x_b × P_baja (x_b 0.30–0.70)</t>
        </is>
      </c>
      <c r="E4550" s="16" t="inlineStr">
        <is>
          <t>KF-M10b</t>
        </is>
      </c>
      <c r="F4550" s="16" t="inlineStr">
        <is>
          <t>KF-M10b-MALLA</t>
        </is>
      </c>
      <c r="G4550" s="16" t="inlineStr">
        <is>
          <t>B14-MALLA</t>
        </is>
      </c>
      <c r="H4550" s="16" t="inlineStr">
        <is>
          <t>malla</t>
        </is>
      </c>
      <c r="I4550" s="16" t="inlineStr">
        <is>
          <t>KALINA</t>
        </is>
      </c>
      <c r="J4550" s="16" t="inlineStr">
        <is>
          <t>KALINA</t>
        </is>
      </c>
      <c r="K4550" s="16" t="b">
        <v>1</v>
      </c>
      <c r="L4550" s="16" t="b">
        <v>1</v>
      </c>
      <c r="M4550" s="16" t="b">
        <v>0</v>
      </c>
      <c r="N4550" s="16" t="b">
        <v>0</v>
      </c>
      <c r="O4550" s="16" t="n">
        <v>394.15</v>
      </c>
      <c r="P4550" s="16" t="n">
        <v>278.15</v>
      </c>
      <c r="Q4550" s="16" t="n">
        <v>3300</v>
      </c>
      <c r="R4550" s="16" t="n">
        <v>200</v>
      </c>
      <c r="S4550" s="16" t="n">
        <v>0.5</v>
      </c>
      <c r="T4550" s="16" t="n">
        <v>0.9</v>
      </c>
      <c r="U4550" s="16" t="n">
        <v>0.8</v>
      </c>
      <c r="V4550" s="16" t="n">
        <v>0.85</v>
      </c>
      <c r="W4550" s="16" t="n">
        <v>0.75</v>
      </c>
      <c r="X4550" s="16" t="n">
        <v>0.95</v>
      </c>
      <c r="Y4550" s="16" t="n">
        <v>283.15</v>
      </c>
      <c r="Z4550" s="16" t="n">
        <v>1.22518862195867</v>
      </c>
      <c r="AA4550" s="16" t="n">
        <v>2.007947954590099</v>
      </c>
      <c r="AB4550" s="16" t="n">
        <v>3100</v>
      </c>
      <c r="AC4550" s="16" t="n">
        <v>16.5</v>
      </c>
      <c r="AD4550" s="16" t="n"/>
      <c r="AE4550" s="16" t="n"/>
    </row>
    <row r="4551">
      <c r="A4551" s="16" t="inlineStr">
        <is>
          <t>KF-M10b-MALLA-0022</t>
        </is>
      </c>
      <c r="B4551" s="16" t="inlineStr">
        <is>
          <t>6.2</t>
        </is>
      </c>
      <c r="C4551" s="16" t="inlineStr">
        <is>
          <t>6.2c</t>
        </is>
      </c>
      <c r="D4551" s="16" t="inlineStr">
        <is>
          <t>malla x_b × P_baja (x_b 0.30–0.70)</t>
        </is>
      </c>
      <c r="E4551" s="16" t="inlineStr">
        <is>
          <t>KF-M10b</t>
        </is>
      </c>
      <c r="F4551" s="16" t="inlineStr">
        <is>
          <t>KF-M10b-MALLA</t>
        </is>
      </c>
      <c r="G4551" s="16" t="inlineStr">
        <is>
          <t>B14-MALLA</t>
        </is>
      </c>
      <c r="H4551" s="16" t="inlineStr">
        <is>
          <t>malla</t>
        </is>
      </c>
      <c r="I4551" s="16" t="inlineStr">
        <is>
          <t>N2</t>
        </is>
      </c>
      <c r="J4551" s="16" t="inlineStr">
        <is>
          <t>NO_CONVERGIO</t>
        </is>
      </c>
      <c r="K4551" s="16" t="b">
        <v>0</v>
      </c>
      <c r="L4551" s="16" t="b">
        <v>0</v>
      </c>
      <c r="M4551" s="16" t="b">
        <v>0</v>
      </c>
      <c r="N4551" s="16" t="b">
        <v>0</v>
      </c>
      <c r="O4551" s="16" t="n">
        <v>394.15</v>
      </c>
      <c r="P4551" s="16" t="n">
        <v>278.15</v>
      </c>
      <c r="Q4551" s="16" t="n">
        <v>3300</v>
      </c>
      <c r="R4551" s="16" t="n">
        <v>500</v>
      </c>
      <c r="S4551" s="16" t="n">
        <v>0.45</v>
      </c>
      <c r="T4551" s="16" t="n">
        <v>0.9</v>
      </c>
      <c r="U4551" s="16" t="n">
        <v>0.8</v>
      </c>
      <c r="V4551" s="16" t="n">
        <v>0.85</v>
      </c>
      <c r="W4551" s="16" t="n">
        <v>0.75</v>
      </c>
      <c r="X4551" s="16" t="n">
        <v>0.95</v>
      </c>
      <c r="Y4551" s="16" t="n">
        <v>283.15</v>
      </c>
      <c r="Z4551" s="16" t="n">
        <v>-34.20308541925735</v>
      </c>
      <c r="AA4551" s="16" t="n">
        <v>-29.37785052118576</v>
      </c>
      <c r="AB4551" s="16" t="n">
        <v>2800</v>
      </c>
      <c r="AC4551" s="16" t="n">
        <v>6.6</v>
      </c>
      <c r="AD4551" s="16" t="inlineStr">
        <is>
          <t>N2,S6,O3,O5,C1,C3,C3</t>
        </is>
      </c>
      <c r="AE4551" s="16" t="n"/>
    </row>
    <row r="4552">
      <c r="A4552" s="16" t="inlineStr">
        <is>
          <t>KF-M10b-MALLA-0023</t>
        </is>
      </c>
      <c r="B4552" s="16" t="inlineStr">
        <is>
          <t>6.2</t>
        </is>
      </c>
      <c r="C4552" s="16" t="inlineStr">
        <is>
          <t>6.2c</t>
        </is>
      </c>
      <c r="D4552" s="16" t="inlineStr">
        <is>
          <t>malla x_b × P_baja (x_b 0.30–0.70)</t>
        </is>
      </c>
      <c r="E4552" s="16" t="inlineStr">
        <is>
          <t>KF-M10b</t>
        </is>
      </c>
      <c r="F4552" s="16" t="inlineStr">
        <is>
          <t>KF-M10b-MALLA</t>
        </is>
      </c>
      <c r="G4552" s="16" t="inlineStr">
        <is>
          <t>B14-MALLA</t>
        </is>
      </c>
      <c r="H4552" s="16" t="inlineStr">
        <is>
          <t>malla</t>
        </is>
      </c>
      <c r="I4552" s="16" t="inlineStr">
        <is>
          <t>N2</t>
        </is>
      </c>
      <c r="J4552" s="16" t="inlineStr">
        <is>
          <t>NO_CONVERGIO</t>
        </is>
      </c>
      <c r="K4552" s="16" t="b">
        <v>0</v>
      </c>
      <c r="L4552" s="16" t="b">
        <v>0</v>
      </c>
      <c r="M4552" s="16" t="b">
        <v>0</v>
      </c>
      <c r="N4552" s="16" t="b">
        <v>0</v>
      </c>
      <c r="O4552" s="16" t="n">
        <v>394.15</v>
      </c>
      <c r="P4552" s="16" t="n">
        <v>278.15</v>
      </c>
      <c r="Q4552" s="16" t="n">
        <v>3300</v>
      </c>
      <c r="R4552" s="16" t="n">
        <v>400</v>
      </c>
      <c r="S4552" s="16" t="n">
        <v>0.45</v>
      </c>
      <c r="T4552" s="16" t="n">
        <v>0.9</v>
      </c>
      <c r="U4552" s="16" t="n">
        <v>0.8</v>
      </c>
      <c r="V4552" s="16" t="n">
        <v>0.85</v>
      </c>
      <c r="W4552" s="16" t="n">
        <v>0.75</v>
      </c>
      <c r="X4552" s="16" t="n">
        <v>0.95</v>
      </c>
      <c r="Y4552" s="16" t="n">
        <v>283.15</v>
      </c>
      <c r="Z4552" s="16" t="n">
        <v>-37.37524992053327</v>
      </c>
      <c r="AA4552" s="16" t="n">
        <v>-32.09283408561015</v>
      </c>
      <c r="AB4552" s="16" t="n">
        <v>2900</v>
      </c>
      <c r="AC4552" s="16" t="n">
        <v>8.25</v>
      </c>
      <c r="AD4552" s="16" t="inlineStr">
        <is>
          <t>N2,O3,O5,C1,C3,C3</t>
        </is>
      </c>
      <c r="AE4552" s="16" t="n"/>
    </row>
    <row r="4553">
      <c r="A4553" s="16" t="inlineStr">
        <is>
          <t>KF-M10b-MALLA-0024</t>
        </is>
      </c>
      <c r="B4553" s="16" t="inlineStr">
        <is>
          <t>6.2</t>
        </is>
      </c>
      <c r="C4553" s="16" t="inlineStr">
        <is>
          <t>6.2c</t>
        </is>
      </c>
      <c r="D4553" s="16" t="inlineStr">
        <is>
          <t>malla x_b × P_baja (x_b 0.30–0.70)</t>
        </is>
      </c>
      <c r="E4553" s="16" t="inlineStr">
        <is>
          <t>KF-M10b</t>
        </is>
      </c>
      <c r="F4553" s="16" t="inlineStr">
        <is>
          <t>KF-M10b-MALLA</t>
        </is>
      </c>
      <c r="G4553" s="16" t="inlineStr">
        <is>
          <t>B14-MALLA</t>
        </is>
      </c>
      <c r="H4553" s="16" t="inlineStr">
        <is>
          <t>malla</t>
        </is>
      </c>
      <c r="I4553" s="16" t="inlineStr">
        <is>
          <t>N2</t>
        </is>
      </c>
      <c r="J4553" s="16" t="inlineStr">
        <is>
          <t>NO_CONVERGIO</t>
        </is>
      </c>
      <c r="K4553" s="16" t="b">
        <v>0</v>
      </c>
      <c r="L4553" s="16" t="b">
        <v>0</v>
      </c>
      <c r="M4553" s="16" t="b">
        <v>0</v>
      </c>
      <c r="N4553" s="16" t="b">
        <v>0</v>
      </c>
      <c r="O4553" s="16" t="n">
        <v>394.15</v>
      </c>
      <c r="P4553" s="16" t="n">
        <v>278.15</v>
      </c>
      <c r="Q4553" s="16" t="n">
        <v>3300</v>
      </c>
      <c r="R4553" s="16" t="n">
        <v>300</v>
      </c>
      <c r="S4553" s="16" t="n">
        <v>0.45</v>
      </c>
      <c r="T4553" s="16" t="n">
        <v>0.9</v>
      </c>
      <c r="U4553" s="16" t="n">
        <v>0.8</v>
      </c>
      <c r="V4553" s="16" t="n">
        <v>0.85</v>
      </c>
      <c r="W4553" s="16" t="n">
        <v>0.75</v>
      </c>
      <c r="X4553" s="16" t="n">
        <v>0.95</v>
      </c>
      <c r="Y4553" s="16" t="n">
        <v>283.15</v>
      </c>
      <c r="Z4553" s="16" t="n">
        <v>-41.27174522997264</v>
      </c>
      <c r="AA4553" s="16" t="n">
        <v>-35.42610960217901</v>
      </c>
      <c r="AB4553" s="16" t="n">
        <v>3000</v>
      </c>
      <c r="AC4553" s="16" t="n">
        <v>11</v>
      </c>
      <c r="AD4553" s="16" t="inlineStr">
        <is>
          <t>N2,O3,O5,C1,C3,C3</t>
        </is>
      </c>
      <c r="AE4553" s="16" t="n"/>
    </row>
    <row r="4554">
      <c r="A4554" s="16" t="inlineStr">
        <is>
          <t>KF-M10b-MALLA-0025</t>
        </is>
      </c>
      <c r="B4554" s="16" t="inlineStr">
        <is>
          <t>6.2</t>
        </is>
      </c>
      <c r="C4554" s="16" t="inlineStr">
        <is>
          <t>6.2c</t>
        </is>
      </c>
      <c r="D4554" s="16" t="inlineStr">
        <is>
          <t>malla x_b × P_baja (x_b 0.30–0.70)</t>
        </is>
      </c>
      <c r="E4554" s="16" t="inlineStr">
        <is>
          <t>KF-M10b</t>
        </is>
      </c>
      <c r="F4554" s="16" t="inlineStr">
        <is>
          <t>KF-M10b-MALLA</t>
        </is>
      </c>
      <c r="G4554" s="16" t="inlineStr">
        <is>
          <t>B14-MALLA</t>
        </is>
      </c>
      <c r="H4554" s="16" t="inlineStr">
        <is>
          <t>malla</t>
        </is>
      </c>
      <c r="I4554" s="16" t="inlineStr">
        <is>
          <t>KALINA</t>
        </is>
      </c>
      <c r="J4554" s="16" t="inlineStr">
        <is>
          <t>KALINA</t>
        </is>
      </c>
      <c r="K4554" s="16" t="b">
        <v>1</v>
      </c>
      <c r="L4554" s="16" t="b">
        <v>1</v>
      </c>
      <c r="M4554" s="16" t="b">
        <v>0</v>
      </c>
      <c r="N4554" s="16" t="b">
        <v>0</v>
      </c>
      <c r="O4554" s="16" t="n">
        <v>394.15</v>
      </c>
      <c r="P4554" s="16" t="n">
        <v>278.15</v>
      </c>
      <c r="Q4554" s="16" t="n">
        <v>3300</v>
      </c>
      <c r="R4554" s="16" t="n">
        <v>300</v>
      </c>
      <c r="S4554" s="16" t="n">
        <v>0.5</v>
      </c>
      <c r="T4554" s="16" t="n">
        <v>0.9</v>
      </c>
      <c r="U4554" s="16" t="n">
        <v>0.8</v>
      </c>
      <c r="V4554" s="16" t="n">
        <v>0.85</v>
      </c>
      <c r="W4554" s="16" t="n">
        <v>0.75</v>
      </c>
      <c r="X4554" s="16" t="n">
        <v>0.95</v>
      </c>
      <c r="Y4554" s="16" t="n">
        <v>283.15</v>
      </c>
      <c r="Z4554" s="16" t="n">
        <v>0.8265699918770001</v>
      </c>
      <c r="AA4554" s="16" t="n">
        <v>1.354712574044145</v>
      </c>
      <c r="AB4554" s="16" t="n">
        <v>3000</v>
      </c>
      <c r="AC4554" s="16" t="n">
        <v>11</v>
      </c>
      <c r="AD4554" s="16" t="n"/>
      <c r="AE4554" s="16" t="n"/>
    </row>
    <row r="4555">
      <c r="A4555" s="16" t="inlineStr">
        <is>
          <t>KF-M10b-MALLA-0026</t>
        </is>
      </c>
      <c r="B4555" s="16" t="inlineStr">
        <is>
          <t>6.2</t>
        </is>
      </c>
      <c r="C4555" s="16" t="inlineStr">
        <is>
          <t>6.2c</t>
        </is>
      </c>
      <c r="D4555" s="16" t="inlineStr">
        <is>
          <t>malla x_b × P_baja (x_b 0.30–0.70)</t>
        </is>
      </c>
      <c r="E4555" s="16" t="inlineStr">
        <is>
          <t>KF-M10b</t>
        </is>
      </c>
      <c r="F4555" s="16" t="inlineStr">
        <is>
          <t>KF-M10b-MALLA</t>
        </is>
      </c>
      <c r="G4555" s="16" t="inlineStr">
        <is>
          <t>B14-MALLA</t>
        </is>
      </c>
      <c r="H4555" s="16" t="inlineStr">
        <is>
          <t>malla</t>
        </is>
      </c>
      <c r="I4555" s="16" t="inlineStr">
        <is>
          <t>KALINA</t>
        </is>
      </c>
      <c r="J4555" s="16" t="inlineStr">
        <is>
          <t>KALINA</t>
        </is>
      </c>
      <c r="K4555" s="16" t="b">
        <v>1</v>
      </c>
      <c r="L4555" s="16" t="b">
        <v>1</v>
      </c>
      <c r="M4555" s="16" t="b">
        <v>0</v>
      </c>
      <c r="N4555" s="16" t="b">
        <v>0</v>
      </c>
      <c r="O4555" s="16" t="n">
        <v>394.15</v>
      </c>
      <c r="P4555" s="16" t="n">
        <v>278.15</v>
      </c>
      <c r="Q4555" s="16" t="n">
        <v>3300</v>
      </c>
      <c r="R4555" s="16" t="n">
        <v>700</v>
      </c>
      <c r="S4555" s="16" t="n">
        <v>0.5</v>
      </c>
      <c r="T4555" s="16" t="n">
        <v>0.9</v>
      </c>
      <c r="U4555" s="16" t="n">
        <v>0.8</v>
      </c>
      <c r="V4555" s="16" t="n">
        <v>0.85</v>
      </c>
      <c r="W4555" s="16" t="n">
        <v>0.75</v>
      </c>
      <c r="X4555" s="16" t="n">
        <v>0.95</v>
      </c>
      <c r="Y4555" s="16" t="n">
        <v>283.15</v>
      </c>
      <c r="Z4555" s="16" t="n">
        <v>0.06682914826938</v>
      </c>
      <c r="AA4555" s="16" t="n">
        <v>0.109558927356228</v>
      </c>
      <c r="AB4555" s="16" t="n">
        <v>2600</v>
      </c>
      <c r="AC4555" s="16" t="n">
        <v>4.714285714285714</v>
      </c>
      <c r="AD4555" s="16" t="n"/>
      <c r="AE4555" s="16" t="n"/>
    </row>
    <row r="4556">
      <c r="A4556" s="16" t="inlineStr">
        <is>
          <t>KF-M10b-MALLA-0027</t>
        </is>
      </c>
      <c r="B4556" s="16" t="inlineStr">
        <is>
          <t>6.2</t>
        </is>
      </c>
      <c r="C4556" s="16" t="inlineStr">
        <is>
          <t>6.2c</t>
        </is>
      </c>
      <c r="D4556" s="16" t="inlineStr">
        <is>
          <t>malla x_b × P_baja (x_b 0.30–0.70)</t>
        </is>
      </c>
      <c r="E4556" s="16" t="inlineStr">
        <is>
          <t>KF-M10b</t>
        </is>
      </c>
      <c r="F4556" s="16" t="inlineStr">
        <is>
          <t>KF-M10b-MALLA</t>
        </is>
      </c>
      <c r="G4556" s="16" t="inlineStr">
        <is>
          <t>B14-MALLA</t>
        </is>
      </c>
      <c r="H4556" s="16" t="inlineStr">
        <is>
          <t>malla</t>
        </is>
      </c>
      <c r="I4556" s="16" t="inlineStr">
        <is>
          <t>KALINA</t>
        </is>
      </c>
      <c r="J4556" s="16" t="inlineStr">
        <is>
          <t>KALINA</t>
        </is>
      </c>
      <c r="K4556" s="16" t="b">
        <v>1</v>
      </c>
      <c r="L4556" s="16" t="b">
        <v>1</v>
      </c>
      <c r="M4556" s="16" t="b">
        <v>0</v>
      </c>
      <c r="N4556" s="16" t="b">
        <v>0</v>
      </c>
      <c r="O4556" s="16" t="n">
        <v>394.15</v>
      </c>
      <c r="P4556" s="16" t="n">
        <v>278.15</v>
      </c>
      <c r="Q4556" s="16" t="n">
        <v>3300</v>
      </c>
      <c r="R4556" s="16" t="n">
        <v>400</v>
      </c>
      <c r="S4556" s="16" t="n">
        <v>0.5</v>
      </c>
      <c r="T4556" s="16" t="n">
        <v>0.9</v>
      </c>
      <c r="U4556" s="16" t="n">
        <v>0.8</v>
      </c>
      <c r="V4556" s="16" t="n">
        <v>0.85</v>
      </c>
      <c r="W4556" s="16" t="n">
        <v>0.75</v>
      </c>
      <c r="X4556" s="16" t="n">
        <v>0.95</v>
      </c>
      <c r="Y4556" s="16" t="n">
        <v>283.15</v>
      </c>
      <c r="Z4556" s="16" t="n">
        <v>0.5520280257115</v>
      </c>
      <c r="AA4556" s="16" t="n">
        <v>0.904800771357464</v>
      </c>
      <c r="AB4556" s="16" t="n">
        <v>2900</v>
      </c>
      <c r="AC4556" s="16" t="n">
        <v>8.25</v>
      </c>
      <c r="AD4556" s="16" t="n"/>
      <c r="AE4556" s="16" t="n"/>
    </row>
    <row r="4557">
      <c r="A4557" s="16" t="inlineStr">
        <is>
          <t>KF-M10b-MALLA-0028</t>
        </is>
      </c>
      <c r="B4557" s="16" t="inlineStr">
        <is>
          <t>6.2</t>
        </is>
      </c>
      <c r="C4557" s="16" t="inlineStr">
        <is>
          <t>6.2c</t>
        </is>
      </c>
      <c r="D4557" s="16" t="inlineStr">
        <is>
          <t>malla x_b × P_baja (x_b 0.30–0.70)</t>
        </is>
      </c>
      <c r="E4557" s="16" t="inlineStr">
        <is>
          <t>KF-M10b</t>
        </is>
      </c>
      <c r="F4557" s="16" t="inlineStr">
        <is>
          <t>KF-M10b-MALLA</t>
        </is>
      </c>
      <c r="G4557" s="16" t="inlineStr">
        <is>
          <t>B14-MALLA</t>
        </is>
      </c>
      <c r="H4557" s="16" t="inlineStr">
        <is>
          <t>malla</t>
        </is>
      </c>
      <c r="I4557" s="16" t="inlineStr">
        <is>
          <t>CORREGIBLE</t>
        </is>
      </c>
      <c r="J4557" s="16" t="inlineStr">
        <is>
          <t>CORREGIBLE</t>
        </is>
      </c>
      <c r="K4557" s="16" t="b">
        <v>1</v>
      </c>
      <c r="L4557" s="16" t="b">
        <v>0</v>
      </c>
      <c r="M4557" s="16" t="b">
        <v>0</v>
      </c>
      <c r="N4557" s="16" t="b">
        <v>0</v>
      </c>
      <c r="O4557" s="16" t="n">
        <v>394.15</v>
      </c>
      <c r="P4557" s="16" t="n">
        <v>278.15</v>
      </c>
      <c r="Q4557" s="16" t="n">
        <v>3300</v>
      </c>
      <c r="R4557" s="16" t="n">
        <v>200</v>
      </c>
      <c r="S4557" s="16" t="n">
        <v>0.55</v>
      </c>
      <c r="T4557" s="16" t="n">
        <v>0.9</v>
      </c>
      <c r="U4557" s="16" t="n">
        <v>0.8</v>
      </c>
      <c r="V4557" s="16" t="n">
        <v>0.85</v>
      </c>
      <c r="W4557" s="16" t="n">
        <v>0.75</v>
      </c>
      <c r="X4557" s="16" t="n">
        <v>0.95</v>
      </c>
      <c r="Y4557" s="16" t="n">
        <v>283.15</v>
      </c>
      <c r="Z4557" s="16" t="n">
        <v>11.02106444303393</v>
      </c>
      <c r="AA4557" s="16" t="n">
        <v>32.76603777628868</v>
      </c>
      <c r="AB4557" s="16" t="n">
        <v>3100</v>
      </c>
      <c r="AC4557" s="16" t="n">
        <v>16.5</v>
      </c>
      <c r="AD4557" s="16" t="inlineStr">
        <is>
          <t>O2</t>
        </is>
      </c>
      <c r="AE4557" s="16" t="n"/>
    </row>
    <row r="4558">
      <c r="A4558" s="16" t="inlineStr">
        <is>
          <t>KF-M10b-MALLA-0029</t>
        </is>
      </c>
      <c r="B4558" s="16" t="inlineStr">
        <is>
          <t>6.2</t>
        </is>
      </c>
      <c r="C4558" s="16" t="inlineStr">
        <is>
          <t>6.2c</t>
        </is>
      </c>
      <c r="D4558" s="16" t="inlineStr">
        <is>
          <t>malla x_b × P_baja (x_b 0.30–0.70)</t>
        </is>
      </c>
      <c r="E4558" s="16" t="inlineStr">
        <is>
          <t>KF-M10b</t>
        </is>
      </c>
      <c r="F4558" s="16" t="inlineStr">
        <is>
          <t>KF-M10b-MALLA</t>
        </is>
      </c>
      <c r="G4558" s="16" t="inlineStr">
        <is>
          <t>B14-MALLA</t>
        </is>
      </c>
      <c r="H4558" s="16" t="inlineStr">
        <is>
          <t>malla</t>
        </is>
      </c>
      <c r="I4558" s="16" t="inlineStr">
        <is>
          <t>KALINA</t>
        </is>
      </c>
      <c r="J4558" s="16" t="inlineStr">
        <is>
          <t>KALINA</t>
        </is>
      </c>
      <c r="K4558" s="16" t="b">
        <v>1</v>
      </c>
      <c r="L4558" s="16" t="b">
        <v>1</v>
      </c>
      <c r="M4558" s="16" t="b">
        <v>0</v>
      </c>
      <c r="N4558" s="16" t="b">
        <v>0</v>
      </c>
      <c r="O4558" s="16" t="n">
        <v>394.15</v>
      </c>
      <c r="P4558" s="16" t="n">
        <v>278.15</v>
      </c>
      <c r="Q4558" s="16" t="n">
        <v>3300</v>
      </c>
      <c r="R4558" s="16" t="n">
        <v>600</v>
      </c>
      <c r="S4558" s="16" t="n">
        <v>0.5</v>
      </c>
      <c r="T4558" s="16" t="n">
        <v>0.9</v>
      </c>
      <c r="U4558" s="16" t="n">
        <v>0.8</v>
      </c>
      <c r="V4558" s="16" t="n">
        <v>0.85</v>
      </c>
      <c r="W4558" s="16" t="n">
        <v>0.75</v>
      </c>
      <c r="X4558" s="16" t="n">
        <v>0.95</v>
      </c>
      <c r="Y4558" s="16" t="n">
        <v>283.15</v>
      </c>
      <c r="Z4558" s="16" t="n">
        <v>0.19109590358868</v>
      </c>
      <c r="AA4558" s="16" t="n">
        <v>0.3132573946828687</v>
      </c>
      <c r="AB4558" s="16" t="n">
        <v>2700</v>
      </c>
      <c r="AC4558" s="16" t="n">
        <v>5.5</v>
      </c>
      <c r="AD4558" s="16" t="n"/>
      <c r="AE4558" s="16" t="n"/>
    </row>
    <row r="4559">
      <c r="A4559" s="16" t="inlineStr">
        <is>
          <t>KF-M10b-MALLA-0030</t>
        </is>
      </c>
      <c r="B4559" s="16" t="inlineStr">
        <is>
          <t>6.2</t>
        </is>
      </c>
      <c r="C4559" s="16" t="inlineStr">
        <is>
          <t>6.2c</t>
        </is>
      </c>
      <c r="D4559" s="16" t="inlineStr">
        <is>
          <t>malla x_b × P_baja (x_b 0.30–0.70)</t>
        </is>
      </c>
      <c r="E4559" s="16" t="inlineStr">
        <is>
          <t>KF-M10b</t>
        </is>
      </c>
      <c r="F4559" s="16" t="inlineStr">
        <is>
          <t>KF-M10b-MALLA</t>
        </is>
      </c>
      <c r="G4559" s="16" t="inlineStr">
        <is>
          <t>B14-MALLA</t>
        </is>
      </c>
      <c r="H4559" s="16" t="inlineStr">
        <is>
          <t>malla</t>
        </is>
      </c>
      <c r="I4559" s="16" t="inlineStr">
        <is>
          <t>KALINA</t>
        </is>
      </c>
      <c r="J4559" s="16" t="inlineStr">
        <is>
          <t>KALINA</t>
        </is>
      </c>
      <c r="K4559" s="16" t="b">
        <v>1</v>
      </c>
      <c r="L4559" s="16" t="b">
        <v>1</v>
      </c>
      <c r="M4559" s="16" t="b">
        <v>0</v>
      </c>
      <c r="N4559" s="16" t="b">
        <v>0</v>
      </c>
      <c r="O4559" s="16" t="n">
        <v>394.15</v>
      </c>
      <c r="P4559" s="16" t="n">
        <v>278.15</v>
      </c>
      <c r="Q4559" s="16" t="n">
        <v>3300</v>
      </c>
      <c r="R4559" s="16" t="n">
        <v>300</v>
      </c>
      <c r="S4559" s="16" t="n">
        <v>0.55</v>
      </c>
      <c r="T4559" s="16" t="n">
        <v>0.9</v>
      </c>
      <c r="U4559" s="16" t="n">
        <v>0.8</v>
      </c>
      <c r="V4559" s="16" t="n">
        <v>0.85</v>
      </c>
      <c r="W4559" s="16" t="n">
        <v>0.75</v>
      </c>
      <c r="X4559" s="16" t="n">
        <v>0.95</v>
      </c>
      <c r="Y4559" s="16" t="n">
        <v>283.15</v>
      </c>
      <c r="Z4559" s="16" t="n">
        <v>9.56211392853103</v>
      </c>
      <c r="AA4559" s="16" t="n">
        <v>28.42556380826645</v>
      </c>
      <c r="AB4559" s="16" t="n">
        <v>3000</v>
      </c>
      <c r="AC4559" s="16" t="n">
        <v>11</v>
      </c>
      <c r="AD4559" s="16" t="n"/>
      <c r="AE4559" s="16" t="n"/>
    </row>
    <row r="4560">
      <c r="A4560" s="16" t="inlineStr">
        <is>
          <t>KF-M10b-MALLA-0031</t>
        </is>
      </c>
      <c r="B4560" s="16" t="inlineStr">
        <is>
          <t>6.2</t>
        </is>
      </c>
      <c r="C4560" s="16" t="inlineStr">
        <is>
          <t>6.2c</t>
        </is>
      </c>
      <c r="D4560" s="16" t="inlineStr">
        <is>
          <t>malla x_b × P_baja (x_b 0.30–0.70)</t>
        </is>
      </c>
      <c r="E4560" s="16" t="inlineStr">
        <is>
          <t>KF-M10b</t>
        </is>
      </c>
      <c r="F4560" s="16" t="inlineStr">
        <is>
          <t>KF-M10b-MALLA</t>
        </is>
      </c>
      <c r="G4560" s="16" t="inlineStr">
        <is>
          <t>B14-MALLA</t>
        </is>
      </c>
      <c r="H4560" s="16" t="inlineStr">
        <is>
          <t>malla</t>
        </is>
      </c>
      <c r="I4560" s="16" t="inlineStr">
        <is>
          <t>KALINA</t>
        </is>
      </c>
      <c r="J4560" s="16" t="inlineStr">
        <is>
          <t>KALINA</t>
        </is>
      </c>
      <c r="K4560" s="16" t="b">
        <v>1</v>
      </c>
      <c r="L4560" s="16" t="b">
        <v>1</v>
      </c>
      <c r="M4560" s="16" t="b">
        <v>0</v>
      </c>
      <c r="N4560" s="16" t="b">
        <v>0</v>
      </c>
      <c r="O4560" s="16" t="n">
        <v>394.15</v>
      </c>
      <c r="P4560" s="16" t="n">
        <v>278.15</v>
      </c>
      <c r="Q4560" s="16" t="n">
        <v>3300</v>
      </c>
      <c r="R4560" s="16" t="n">
        <v>500</v>
      </c>
      <c r="S4560" s="16" t="n">
        <v>0.5</v>
      </c>
      <c r="T4560" s="16" t="n">
        <v>0.9</v>
      </c>
      <c r="U4560" s="16" t="n">
        <v>0.8</v>
      </c>
      <c r="V4560" s="16" t="n">
        <v>0.85</v>
      </c>
      <c r="W4560" s="16" t="n">
        <v>0.75</v>
      </c>
      <c r="X4560" s="16" t="n">
        <v>0.95</v>
      </c>
      <c r="Y4560" s="16" t="n">
        <v>283.15</v>
      </c>
      <c r="Z4560" s="16" t="n">
        <v>0.3483595631899</v>
      </c>
      <c r="AA4560" s="16" t="n">
        <v>0.5710149273461722</v>
      </c>
      <c r="AB4560" s="16" t="n">
        <v>2800</v>
      </c>
      <c r="AC4560" s="16" t="n">
        <v>6.6</v>
      </c>
      <c r="AD4560" s="16" t="n"/>
      <c r="AE4560" s="16" t="n"/>
    </row>
    <row r="4561">
      <c r="A4561" s="16" t="inlineStr">
        <is>
          <t>KF-M10b-MALLA-0032</t>
        </is>
      </c>
      <c r="B4561" s="16" t="inlineStr">
        <is>
          <t>6.2</t>
        </is>
      </c>
      <c r="C4561" s="16" t="inlineStr">
        <is>
          <t>6.2c</t>
        </is>
      </c>
      <c r="D4561" s="16" t="inlineStr">
        <is>
          <t>malla x_b × P_baja (x_b 0.30–0.70)</t>
        </is>
      </c>
      <c r="E4561" s="16" t="inlineStr">
        <is>
          <t>KF-M10b</t>
        </is>
      </c>
      <c r="F4561" s="16" t="inlineStr">
        <is>
          <t>KF-M10b-MALLA</t>
        </is>
      </c>
      <c r="G4561" s="16" t="inlineStr">
        <is>
          <t>B14-MALLA</t>
        </is>
      </c>
      <c r="H4561" s="16" t="inlineStr">
        <is>
          <t>malla</t>
        </is>
      </c>
      <c r="I4561" s="16" t="inlineStr">
        <is>
          <t>KALINA</t>
        </is>
      </c>
      <c r="J4561" s="16" t="inlineStr">
        <is>
          <t>KALINA</t>
        </is>
      </c>
      <c r="K4561" s="16" t="b">
        <v>1</v>
      </c>
      <c r="L4561" s="16" t="b">
        <v>1</v>
      </c>
      <c r="M4561" s="16" t="b">
        <v>0</v>
      </c>
      <c r="N4561" s="16" t="b">
        <v>0</v>
      </c>
      <c r="O4561" s="16" t="n">
        <v>394.15</v>
      </c>
      <c r="P4561" s="16" t="n">
        <v>278.15</v>
      </c>
      <c r="Q4561" s="16" t="n">
        <v>3300</v>
      </c>
      <c r="R4561" s="16" t="n">
        <v>400</v>
      </c>
      <c r="S4561" s="16" t="n">
        <v>0.55</v>
      </c>
      <c r="T4561" s="16" t="n">
        <v>0.9</v>
      </c>
      <c r="U4561" s="16" t="n">
        <v>0.8</v>
      </c>
      <c r="V4561" s="16" t="n">
        <v>0.85</v>
      </c>
      <c r="W4561" s="16" t="n">
        <v>0.75</v>
      </c>
      <c r="X4561" s="16" t="n">
        <v>0.95</v>
      </c>
      <c r="Y4561" s="16" t="n">
        <v>283.15</v>
      </c>
      <c r="Z4561" s="16" t="n">
        <v>8.474353485647249</v>
      </c>
      <c r="AA4561" s="16" t="n">
        <v>25.18953965421024</v>
      </c>
      <c r="AB4561" s="16" t="n">
        <v>2900</v>
      </c>
      <c r="AC4561" s="16" t="n">
        <v>8.25</v>
      </c>
      <c r="AD4561" s="16" t="n"/>
      <c r="AE4561" s="16" t="n"/>
    </row>
    <row r="4562">
      <c r="A4562" s="16" t="inlineStr">
        <is>
          <t>KF-M10b-MALLA-0033</t>
        </is>
      </c>
      <c r="B4562" s="16" t="inlineStr">
        <is>
          <t>6.2</t>
        </is>
      </c>
      <c r="C4562" s="16" t="inlineStr">
        <is>
          <t>6.2c</t>
        </is>
      </c>
      <c r="D4562" s="16" t="inlineStr">
        <is>
          <t>malla x_b × P_baja (x_b 0.30–0.70)</t>
        </is>
      </c>
      <c r="E4562" s="16" t="inlineStr">
        <is>
          <t>KF-M10b</t>
        </is>
      </c>
      <c r="F4562" s="16" t="inlineStr">
        <is>
          <t>KF-M10b-MALLA</t>
        </is>
      </c>
      <c r="G4562" s="16" t="inlineStr">
        <is>
          <t>B14-MALLA</t>
        </is>
      </c>
      <c r="H4562" s="16" t="inlineStr">
        <is>
          <t>malla</t>
        </is>
      </c>
      <c r="I4562" s="16" t="inlineStr">
        <is>
          <t>CORREGIBLE</t>
        </is>
      </c>
      <c r="J4562" s="16" t="inlineStr">
        <is>
          <t>CORREGIBLE</t>
        </is>
      </c>
      <c r="K4562" s="16" t="b">
        <v>1</v>
      </c>
      <c r="L4562" s="16" t="b">
        <v>0</v>
      </c>
      <c r="M4562" s="16" t="b">
        <v>0</v>
      </c>
      <c r="N4562" s="16" t="b">
        <v>0</v>
      </c>
      <c r="O4562" s="16" t="n">
        <v>394.15</v>
      </c>
      <c r="P4562" s="16" t="n">
        <v>278.15</v>
      </c>
      <c r="Q4562" s="16" t="n">
        <v>3300</v>
      </c>
      <c r="R4562" s="16" t="n">
        <v>200</v>
      </c>
      <c r="S4562" s="16" t="n">
        <v>0.6</v>
      </c>
      <c r="T4562" s="16" t="n">
        <v>0.9</v>
      </c>
      <c r="U4562" s="16" t="n">
        <v>0.8</v>
      </c>
      <c r="V4562" s="16" t="n">
        <v>0.85</v>
      </c>
      <c r="W4562" s="16" t="n">
        <v>0.75</v>
      </c>
      <c r="X4562" s="16" t="n">
        <v>0.95</v>
      </c>
      <c r="Y4562" s="16" t="n">
        <v>283.15</v>
      </c>
      <c r="Z4562" s="16" t="n">
        <v>13.76433844215577</v>
      </c>
      <c r="AA4562" s="16" t="n">
        <v>50.98026647593032</v>
      </c>
      <c r="AB4562" s="16" t="n">
        <v>3100</v>
      </c>
      <c r="AC4562" s="16" t="n">
        <v>16.5</v>
      </c>
      <c r="AD4562" s="16" t="inlineStr">
        <is>
          <t>O2</t>
        </is>
      </c>
      <c r="AE4562" s="16" t="n"/>
    </row>
    <row r="4563">
      <c r="A4563" s="16" t="inlineStr">
        <is>
          <t>KF-M10b-MALLA-0034</t>
        </is>
      </c>
      <c r="B4563" s="16" t="inlineStr">
        <is>
          <t>6.2</t>
        </is>
      </c>
      <c r="C4563" s="16" t="inlineStr">
        <is>
          <t>6.2c</t>
        </is>
      </c>
      <c r="D4563" s="16" t="inlineStr">
        <is>
          <t>malla x_b × P_baja (x_b 0.30–0.70)</t>
        </is>
      </c>
      <c r="E4563" s="16" t="inlineStr">
        <is>
          <t>KF-M10b</t>
        </is>
      </c>
      <c r="F4563" s="16" t="inlineStr">
        <is>
          <t>KF-M10b-MALLA</t>
        </is>
      </c>
      <c r="G4563" s="16" t="inlineStr">
        <is>
          <t>B14-MALLA</t>
        </is>
      </c>
      <c r="H4563" s="16" t="inlineStr">
        <is>
          <t>malla</t>
        </is>
      </c>
      <c r="I4563" s="16" t="inlineStr">
        <is>
          <t>KALINA</t>
        </is>
      </c>
      <c r="J4563" s="16" t="inlineStr">
        <is>
          <t>KALINA</t>
        </is>
      </c>
      <c r="K4563" s="16" t="b">
        <v>1</v>
      </c>
      <c r="L4563" s="16" t="b">
        <v>1</v>
      </c>
      <c r="M4563" s="16" t="b">
        <v>0</v>
      </c>
      <c r="N4563" s="16" t="b">
        <v>0</v>
      </c>
      <c r="O4563" s="16" t="n">
        <v>394.15</v>
      </c>
      <c r="P4563" s="16" t="n">
        <v>278.15</v>
      </c>
      <c r="Q4563" s="16" t="n">
        <v>3300</v>
      </c>
      <c r="R4563" s="16" t="n">
        <v>700</v>
      </c>
      <c r="S4563" s="16" t="n">
        <v>0.55</v>
      </c>
      <c r="T4563" s="16" t="n">
        <v>0.9</v>
      </c>
      <c r="U4563" s="16" t="n">
        <v>0.8</v>
      </c>
      <c r="V4563" s="16" t="n">
        <v>0.85</v>
      </c>
      <c r="W4563" s="16" t="n">
        <v>0.75</v>
      </c>
      <c r="X4563" s="16" t="n">
        <v>0.95</v>
      </c>
      <c r="Y4563" s="16" t="n">
        <v>283.15</v>
      </c>
      <c r="Z4563" s="16" t="n">
        <v>6.26469741643319</v>
      </c>
      <c r="AA4563" s="16" t="n">
        <v>18.6190466705918</v>
      </c>
      <c r="AB4563" s="16" t="n">
        <v>2600</v>
      </c>
      <c r="AC4563" s="16" t="n">
        <v>4.714285714285714</v>
      </c>
      <c r="AD4563" s="16" t="n"/>
      <c r="AE4563" s="16" t="n"/>
    </row>
    <row r="4564">
      <c r="A4564" s="16" t="inlineStr">
        <is>
          <t>KF-M10b-MALLA-0035</t>
        </is>
      </c>
      <c r="B4564" s="16" t="inlineStr">
        <is>
          <t>6.2</t>
        </is>
      </c>
      <c r="C4564" s="16" t="inlineStr">
        <is>
          <t>6.2c</t>
        </is>
      </c>
      <c r="D4564" s="16" t="inlineStr">
        <is>
          <t>malla x_b × P_baja (x_b 0.30–0.70)</t>
        </is>
      </c>
      <c r="E4564" s="16" t="inlineStr">
        <is>
          <t>KF-M10b</t>
        </is>
      </c>
      <c r="F4564" s="16" t="inlineStr">
        <is>
          <t>KF-M10b-MALLA</t>
        </is>
      </c>
      <c r="G4564" s="16" t="inlineStr">
        <is>
          <t>B14-MALLA</t>
        </is>
      </c>
      <c r="H4564" s="16" t="inlineStr">
        <is>
          <t>malla</t>
        </is>
      </c>
      <c r="I4564" s="16" t="inlineStr">
        <is>
          <t>KALINA</t>
        </is>
      </c>
      <c r="J4564" s="16" t="inlineStr">
        <is>
          <t>KALINA</t>
        </is>
      </c>
      <c r="K4564" s="16" t="b">
        <v>1</v>
      </c>
      <c r="L4564" s="16" t="b">
        <v>1</v>
      </c>
      <c r="M4564" s="16" t="b">
        <v>0</v>
      </c>
      <c r="N4564" s="16" t="b">
        <v>0</v>
      </c>
      <c r="O4564" s="16" t="n">
        <v>394.15</v>
      </c>
      <c r="P4564" s="16" t="n">
        <v>278.15</v>
      </c>
      <c r="Q4564" s="16" t="n">
        <v>3300</v>
      </c>
      <c r="R4564" s="16" t="n">
        <v>600</v>
      </c>
      <c r="S4564" s="16" t="n">
        <v>0.55</v>
      </c>
      <c r="T4564" s="16" t="n">
        <v>0.9</v>
      </c>
      <c r="U4564" s="16" t="n">
        <v>0.8</v>
      </c>
      <c r="V4564" s="16" t="n">
        <v>0.85</v>
      </c>
      <c r="W4564" s="16" t="n">
        <v>0.75</v>
      </c>
      <c r="X4564" s="16" t="n">
        <v>0.95</v>
      </c>
      <c r="Y4564" s="16" t="n">
        <v>283.15</v>
      </c>
      <c r="Z4564" s="16" t="n">
        <v>6.884722507943759</v>
      </c>
      <c r="AA4564" s="16" t="n">
        <v>20.46232645371384</v>
      </c>
      <c r="AB4564" s="16" t="n">
        <v>2700</v>
      </c>
      <c r="AC4564" s="16" t="n">
        <v>5.5</v>
      </c>
      <c r="AD4564" s="16" t="n"/>
      <c r="AE4564" s="16" t="n"/>
    </row>
    <row r="4565">
      <c r="A4565" s="16" t="inlineStr">
        <is>
          <t>KF-M10b-MALLA-0036</t>
        </is>
      </c>
      <c r="B4565" s="16" t="inlineStr">
        <is>
          <t>6.2</t>
        </is>
      </c>
      <c r="C4565" s="16" t="inlineStr">
        <is>
          <t>6.2c</t>
        </is>
      </c>
      <c r="D4565" s="16" t="inlineStr">
        <is>
          <t>malla x_b × P_baja (x_b 0.30–0.70)</t>
        </is>
      </c>
      <c r="E4565" s="16" t="inlineStr">
        <is>
          <t>KF-M10b</t>
        </is>
      </c>
      <c r="F4565" s="16" t="inlineStr">
        <is>
          <t>KF-M10b-MALLA</t>
        </is>
      </c>
      <c r="G4565" s="16" t="inlineStr">
        <is>
          <t>B14-MALLA</t>
        </is>
      </c>
      <c r="H4565" s="16" t="inlineStr">
        <is>
          <t>malla</t>
        </is>
      </c>
      <c r="I4565" s="16" t="inlineStr">
        <is>
          <t>CORREGIBLE</t>
        </is>
      </c>
      <c r="J4565" s="16" t="inlineStr">
        <is>
          <t>CORREGIBLE</t>
        </is>
      </c>
      <c r="K4565" s="16" t="b">
        <v>1</v>
      </c>
      <c r="L4565" s="16" t="b">
        <v>0</v>
      </c>
      <c r="M4565" s="16" t="b">
        <v>0</v>
      </c>
      <c r="N4565" s="16" t="b">
        <v>0</v>
      </c>
      <c r="O4565" s="16" t="n">
        <v>394.15</v>
      </c>
      <c r="P4565" s="16" t="n">
        <v>278.15</v>
      </c>
      <c r="Q4565" s="16" t="n">
        <v>3300</v>
      </c>
      <c r="R4565" s="16" t="n">
        <v>300</v>
      </c>
      <c r="S4565" s="16" t="n">
        <v>0.6</v>
      </c>
      <c r="T4565" s="16" t="n">
        <v>0.9</v>
      </c>
      <c r="U4565" s="16" t="n">
        <v>0.8</v>
      </c>
      <c r="V4565" s="16" t="n">
        <v>0.85</v>
      </c>
      <c r="W4565" s="16" t="n">
        <v>0.75</v>
      </c>
      <c r="X4565" s="16" t="n">
        <v>0.95</v>
      </c>
      <c r="Y4565" s="16" t="n">
        <v>283.15</v>
      </c>
      <c r="Z4565" s="16" t="n">
        <v>13.04939180461021</v>
      </c>
      <c r="AA4565" s="16" t="n">
        <v>55.40318195861213</v>
      </c>
      <c r="AB4565" s="16" t="n">
        <v>3000</v>
      </c>
      <c r="AC4565" s="16" t="n">
        <v>11</v>
      </c>
      <c r="AD4565" s="16" t="inlineStr">
        <is>
          <t>O2</t>
        </is>
      </c>
      <c r="AE4565" s="16" t="n"/>
    </row>
    <row r="4566">
      <c r="A4566" s="16" t="inlineStr">
        <is>
          <t>KF-M10b-MALLA-0037</t>
        </is>
      </c>
      <c r="B4566" s="16" t="inlineStr">
        <is>
          <t>6.2</t>
        </is>
      </c>
      <c r="C4566" s="16" t="inlineStr">
        <is>
          <t>6.2c</t>
        </is>
      </c>
      <c r="D4566" s="16" t="inlineStr">
        <is>
          <t>malla x_b × P_baja (x_b 0.30–0.70)</t>
        </is>
      </c>
      <c r="E4566" s="16" t="inlineStr">
        <is>
          <t>KF-M10b</t>
        </is>
      </c>
      <c r="F4566" s="16" t="inlineStr">
        <is>
          <t>KF-M10b-MALLA</t>
        </is>
      </c>
      <c r="G4566" s="16" t="inlineStr">
        <is>
          <t>B14-MALLA</t>
        </is>
      </c>
      <c r="H4566" s="16" t="inlineStr">
        <is>
          <t>malla</t>
        </is>
      </c>
      <c r="I4566" s="16" t="inlineStr">
        <is>
          <t>KALINA</t>
        </is>
      </c>
      <c r="J4566" s="16" t="inlineStr">
        <is>
          <t>KALINA</t>
        </is>
      </c>
      <c r="K4566" s="16" t="b">
        <v>1</v>
      </c>
      <c r="L4566" s="16" t="b">
        <v>1</v>
      </c>
      <c r="M4566" s="16" t="b">
        <v>0</v>
      </c>
      <c r="N4566" s="16" t="b">
        <v>0</v>
      </c>
      <c r="O4566" s="16" t="n">
        <v>394.15</v>
      </c>
      <c r="P4566" s="16" t="n">
        <v>278.15</v>
      </c>
      <c r="Q4566" s="16" t="n">
        <v>3300</v>
      </c>
      <c r="R4566" s="16" t="n">
        <v>500</v>
      </c>
      <c r="S4566" s="16" t="n">
        <v>0.55</v>
      </c>
      <c r="T4566" s="16" t="n">
        <v>0.9</v>
      </c>
      <c r="U4566" s="16" t="n">
        <v>0.8</v>
      </c>
      <c r="V4566" s="16" t="n">
        <v>0.85</v>
      </c>
      <c r="W4566" s="16" t="n">
        <v>0.75</v>
      </c>
      <c r="X4566" s="16" t="n">
        <v>0.95</v>
      </c>
      <c r="Y4566" s="16" t="n">
        <v>283.15</v>
      </c>
      <c r="Z4566" s="16" t="n">
        <v>7.60734767691398</v>
      </c>
      <c r="AA4566" s="16" t="n">
        <v>22.61099648140075</v>
      </c>
      <c r="AB4566" s="16" t="n">
        <v>2800</v>
      </c>
      <c r="AC4566" s="16" t="n">
        <v>6.6</v>
      </c>
      <c r="AD4566" s="16" t="n"/>
      <c r="AE4566" s="16" t="n"/>
    </row>
    <row r="4567">
      <c r="A4567" s="16" t="inlineStr">
        <is>
          <t>KF-M10b-MALLA-0038</t>
        </is>
      </c>
      <c r="B4567" s="16" t="inlineStr">
        <is>
          <t>6.2</t>
        </is>
      </c>
      <c r="C4567" s="16" t="inlineStr">
        <is>
          <t>6.2c</t>
        </is>
      </c>
      <c r="D4567" s="16" t="inlineStr">
        <is>
          <t>malla x_b × P_baja (x_b 0.30–0.70)</t>
        </is>
      </c>
      <c r="E4567" s="16" t="inlineStr">
        <is>
          <t>KF-M10b</t>
        </is>
      </c>
      <c r="F4567" s="16" t="inlineStr">
        <is>
          <t>KF-M10b-MALLA</t>
        </is>
      </c>
      <c r="G4567" s="16" t="inlineStr">
        <is>
          <t>B14-MALLA</t>
        </is>
      </c>
      <c r="H4567" s="16" t="inlineStr">
        <is>
          <t>malla</t>
        </is>
      </c>
      <c r="I4567" s="16" t="inlineStr">
        <is>
          <t>KALINA</t>
        </is>
      </c>
      <c r="J4567" s="16" t="inlineStr">
        <is>
          <t>KALINA</t>
        </is>
      </c>
      <c r="K4567" s="16" t="b">
        <v>1</v>
      </c>
      <c r="L4567" s="16" t="b">
        <v>1</v>
      </c>
      <c r="M4567" s="16" t="b">
        <v>0</v>
      </c>
      <c r="N4567" s="16" t="b">
        <v>0</v>
      </c>
      <c r="O4567" s="16" t="n">
        <v>394.15</v>
      </c>
      <c r="P4567" s="16" t="n">
        <v>278.15</v>
      </c>
      <c r="Q4567" s="16" t="n">
        <v>3300</v>
      </c>
      <c r="R4567" s="16" t="n">
        <v>400</v>
      </c>
      <c r="S4567" s="16" t="n">
        <v>0.6</v>
      </c>
      <c r="T4567" s="16" t="n">
        <v>0.9</v>
      </c>
      <c r="U4567" s="16" t="n">
        <v>0.8</v>
      </c>
      <c r="V4567" s="16" t="n">
        <v>0.85</v>
      </c>
      <c r="W4567" s="16" t="n">
        <v>0.75</v>
      </c>
      <c r="X4567" s="16" t="n">
        <v>0.95</v>
      </c>
      <c r="Y4567" s="16" t="n">
        <v>283.15</v>
      </c>
      <c r="Z4567" s="16" t="n">
        <v>11.63677099229255</v>
      </c>
      <c r="AA4567" s="16" t="n">
        <v>49.39612624071698</v>
      </c>
      <c r="AB4567" s="16" t="n">
        <v>2900</v>
      </c>
      <c r="AC4567" s="16" t="n">
        <v>8.25</v>
      </c>
      <c r="AD4567" s="16" t="n"/>
      <c r="AE4567" s="16" t="n"/>
    </row>
    <row r="4568">
      <c r="A4568" s="16" t="inlineStr">
        <is>
          <t>KF-M10b-MALLA-0039</t>
        </is>
      </c>
      <c r="B4568" s="16" t="inlineStr">
        <is>
          <t>6.2</t>
        </is>
      </c>
      <c r="C4568" s="16" t="inlineStr">
        <is>
          <t>6.2c</t>
        </is>
      </c>
      <c r="D4568" s="16" t="inlineStr">
        <is>
          <t>malla x_b × P_baja (x_b 0.30–0.70)</t>
        </is>
      </c>
      <c r="E4568" s="16" t="inlineStr">
        <is>
          <t>KF-M10b</t>
        </is>
      </c>
      <c r="F4568" s="16" t="inlineStr">
        <is>
          <t>KF-M10b-MALLA</t>
        </is>
      </c>
      <c r="G4568" s="16" t="inlineStr">
        <is>
          <t>B14-MALLA</t>
        </is>
      </c>
      <c r="H4568" s="16" t="inlineStr">
        <is>
          <t>malla</t>
        </is>
      </c>
      <c r="I4568" s="16" t="inlineStr">
        <is>
          <t>KALINA</t>
        </is>
      </c>
      <c r="J4568" s="16" t="inlineStr">
        <is>
          <t>KALINA</t>
        </is>
      </c>
      <c r="K4568" s="16" t="b">
        <v>1</v>
      </c>
      <c r="L4568" s="16" t="b">
        <v>1</v>
      </c>
      <c r="M4568" s="16" t="b">
        <v>0</v>
      </c>
      <c r="N4568" s="16" t="b">
        <v>0</v>
      </c>
      <c r="O4568" s="16" t="n">
        <v>394.15</v>
      </c>
      <c r="P4568" s="16" t="n">
        <v>278.15</v>
      </c>
      <c r="Q4568" s="16" t="n">
        <v>3300</v>
      </c>
      <c r="R4568" s="16" t="n">
        <v>700</v>
      </c>
      <c r="S4568" s="16" t="n">
        <v>0.6</v>
      </c>
      <c r="T4568" s="16" t="n">
        <v>0.9</v>
      </c>
      <c r="U4568" s="16" t="n">
        <v>0.8</v>
      </c>
      <c r="V4568" s="16" t="n">
        <v>0.85</v>
      </c>
      <c r="W4568" s="16" t="n">
        <v>0.75</v>
      </c>
      <c r="X4568" s="16" t="n">
        <v>0.95</v>
      </c>
      <c r="Y4568" s="16" t="n">
        <v>283.15</v>
      </c>
      <c r="Z4568" s="16" t="n">
        <v>8.739507768594351</v>
      </c>
      <c r="AA4568" s="16" t="n">
        <v>37.08516132231917</v>
      </c>
      <c r="AB4568" s="16" t="n">
        <v>2600</v>
      </c>
      <c r="AC4568" s="16" t="n">
        <v>4.714285714285714</v>
      </c>
      <c r="AD4568" s="16" t="n"/>
      <c r="AE4568" s="16" t="n"/>
    </row>
    <row r="4569">
      <c r="A4569" s="16" t="inlineStr">
        <is>
          <t>KF-M10b-MALLA-0040</t>
        </is>
      </c>
      <c r="B4569" s="16" t="inlineStr">
        <is>
          <t>6.2</t>
        </is>
      </c>
      <c r="C4569" s="16" t="inlineStr">
        <is>
          <t>6.2c</t>
        </is>
      </c>
      <c r="D4569" s="16" t="inlineStr">
        <is>
          <t>malla x_b × P_baja (x_b 0.30–0.70)</t>
        </is>
      </c>
      <c r="E4569" s="16" t="inlineStr">
        <is>
          <t>KF-M10b</t>
        </is>
      </c>
      <c r="F4569" s="16" t="inlineStr">
        <is>
          <t>KF-M10b-MALLA</t>
        </is>
      </c>
      <c r="G4569" s="16" t="inlineStr">
        <is>
          <t>B14-MALLA</t>
        </is>
      </c>
      <c r="H4569" s="16" t="inlineStr">
        <is>
          <t>malla</t>
        </is>
      </c>
      <c r="I4569" s="16" t="inlineStr">
        <is>
          <t>KALINA</t>
        </is>
      </c>
      <c r="J4569" s="16" t="inlineStr">
        <is>
          <t>KALINA</t>
        </is>
      </c>
      <c r="K4569" s="16" t="b">
        <v>1</v>
      </c>
      <c r="L4569" s="16" t="b">
        <v>1</v>
      </c>
      <c r="M4569" s="16" t="b">
        <v>0</v>
      </c>
      <c r="N4569" s="16" t="b">
        <v>0</v>
      </c>
      <c r="O4569" s="16" t="n">
        <v>394.15</v>
      </c>
      <c r="P4569" s="16" t="n">
        <v>278.15</v>
      </c>
      <c r="Q4569" s="16" t="n">
        <v>3300</v>
      </c>
      <c r="R4569" s="16" t="n">
        <v>500</v>
      </c>
      <c r="S4569" s="16" t="n">
        <v>0.6</v>
      </c>
      <c r="T4569" s="16" t="n">
        <v>0.9</v>
      </c>
      <c r="U4569" s="16" t="n">
        <v>0.8</v>
      </c>
      <c r="V4569" s="16" t="n">
        <v>0.85</v>
      </c>
      <c r="W4569" s="16" t="n">
        <v>0.75</v>
      </c>
      <c r="X4569" s="16" t="n">
        <v>0.95</v>
      </c>
      <c r="Y4569" s="16" t="n">
        <v>283.15</v>
      </c>
      <c r="Z4569" s="16" t="n">
        <v>10.50519612566251</v>
      </c>
      <c r="AA4569" s="16" t="n">
        <v>44.58642994377083</v>
      </c>
      <c r="AB4569" s="16" t="n">
        <v>2800</v>
      </c>
      <c r="AC4569" s="16" t="n">
        <v>6.6</v>
      </c>
      <c r="AD4569" s="16" t="n"/>
      <c r="AE4569" s="16" t="n"/>
    </row>
    <row r="4570">
      <c r="A4570" s="16" t="inlineStr">
        <is>
          <t>KF-M10b-MALLA-0041</t>
        </is>
      </c>
      <c r="B4570" s="16" t="inlineStr">
        <is>
          <t>6.2</t>
        </is>
      </c>
      <c r="C4570" s="16" t="inlineStr">
        <is>
          <t>6.2c</t>
        </is>
      </c>
      <c r="D4570" s="16" t="inlineStr">
        <is>
          <t>malla x_b × P_baja (x_b 0.30–0.70)</t>
        </is>
      </c>
      <c r="E4570" s="16" t="inlineStr">
        <is>
          <t>KF-M10b</t>
        </is>
      </c>
      <c r="F4570" s="16" t="inlineStr">
        <is>
          <t>KF-M10b-MALLA</t>
        </is>
      </c>
      <c r="G4570" s="16" t="inlineStr">
        <is>
          <t>B14-MALLA</t>
        </is>
      </c>
      <c r="H4570" s="16" t="inlineStr">
        <is>
          <t>malla</t>
        </is>
      </c>
      <c r="I4570" s="16" t="inlineStr">
        <is>
          <t>CORREGIBLE</t>
        </is>
      </c>
      <c r="J4570" s="16" t="inlineStr">
        <is>
          <t>CORREGIBLE</t>
        </is>
      </c>
      <c r="K4570" s="16" t="b">
        <v>1</v>
      </c>
      <c r="L4570" s="16" t="b">
        <v>0</v>
      </c>
      <c r="M4570" s="16" t="b">
        <v>0</v>
      </c>
      <c r="N4570" s="16" t="b">
        <v>0</v>
      </c>
      <c r="O4570" s="16" t="n">
        <v>394.15</v>
      </c>
      <c r="P4570" s="16" t="n">
        <v>278.15</v>
      </c>
      <c r="Q4570" s="16" t="n">
        <v>3300</v>
      </c>
      <c r="R4570" s="16" t="n">
        <v>300</v>
      </c>
      <c r="S4570" s="16" t="n">
        <v>0.65</v>
      </c>
      <c r="T4570" s="16" t="n">
        <v>0.9</v>
      </c>
      <c r="U4570" s="16" t="n">
        <v>0.8</v>
      </c>
      <c r="V4570" s="16" t="n">
        <v>0.85</v>
      </c>
      <c r="W4570" s="16" t="n">
        <v>0.75</v>
      </c>
      <c r="X4570" s="16" t="n">
        <v>0.95</v>
      </c>
      <c r="Y4570" s="16" t="n">
        <v>283.15</v>
      </c>
      <c r="Z4570" s="16" t="n">
        <v>15.02882997652884</v>
      </c>
      <c r="AA4570" s="16" t="n">
        <v>82.07723376825228</v>
      </c>
      <c r="AB4570" s="16" t="n">
        <v>3000</v>
      </c>
      <c r="AC4570" s="16" t="n">
        <v>11</v>
      </c>
      <c r="AD4570" s="16" t="inlineStr">
        <is>
          <t>O2</t>
        </is>
      </c>
      <c r="AE4570" s="16" t="n"/>
    </row>
    <row r="4571">
      <c r="A4571" s="16" t="inlineStr">
        <is>
          <t>KF-M10b-MALLA-0042</t>
        </is>
      </c>
      <c r="B4571" s="16" t="inlineStr">
        <is>
          <t>6.2</t>
        </is>
      </c>
      <c r="C4571" s="16" t="inlineStr">
        <is>
          <t>6.2c</t>
        </is>
      </c>
      <c r="D4571" s="16" t="inlineStr">
        <is>
          <t>malla x_b × P_baja (x_b 0.30–0.70)</t>
        </is>
      </c>
      <c r="E4571" s="16" t="inlineStr">
        <is>
          <t>KF-M10b</t>
        </is>
      </c>
      <c r="F4571" s="16" t="inlineStr">
        <is>
          <t>KF-M10b-MALLA</t>
        </is>
      </c>
      <c r="G4571" s="16" t="inlineStr">
        <is>
          <t>B14-MALLA</t>
        </is>
      </c>
      <c r="H4571" s="16" t="inlineStr">
        <is>
          <t>malla</t>
        </is>
      </c>
      <c r="I4571" s="16" t="inlineStr">
        <is>
          <t>KALINA</t>
        </is>
      </c>
      <c r="J4571" s="16" t="inlineStr">
        <is>
          <t>KALINA</t>
        </is>
      </c>
      <c r="K4571" s="16" t="b">
        <v>1</v>
      </c>
      <c r="L4571" s="16" t="b">
        <v>1</v>
      </c>
      <c r="M4571" s="16" t="b">
        <v>0</v>
      </c>
      <c r="N4571" s="16" t="b">
        <v>0</v>
      </c>
      <c r="O4571" s="16" t="n">
        <v>394.15</v>
      </c>
      <c r="P4571" s="16" t="n">
        <v>278.15</v>
      </c>
      <c r="Q4571" s="16" t="n">
        <v>3300</v>
      </c>
      <c r="R4571" s="16" t="n">
        <v>600</v>
      </c>
      <c r="S4571" s="16" t="n">
        <v>0.6</v>
      </c>
      <c r="T4571" s="16" t="n">
        <v>0.9</v>
      </c>
      <c r="U4571" s="16" t="n">
        <v>0.8</v>
      </c>
      <c r="V4571" s="16" t="n">
        <v>0.85</v>
      </c>
      <c r="W4571" s="16" t="n">
        <v>0.75</v>
      </c>
      <c r="X4571" s="16" t="n">
        <v>0.95</v>
      </c>
      <c r="Y4571" s="16" t="n">
        <v>283.15</v>
      </c>
      <c r="Z4571" s="16" t="n">
        <v>9.23247152110995</v>
      </c>
      <c r="AA4571" s="16" t="n">
        <v>39.13280724834097</v>
      </c>
      <c r="AB4571" s="16" t="n">
        <v>2700</v>
      </c>
      <c r="AC4571" s="16" t="n">
        <v>5.5</v>
      </c>
      <c r="AD4571" s="16" t="n"/>
      <c r="AE4571" s="16" t="n"/>
    </row>
    <row r="4572">
      <c r="A4572" s="16" t="inlineStr">
        <is>
          <t>KF-M10b-MALLA-0043</t>
        </is>
      </c>
      <c r="B4572" s="16" t="inlineStr">
        <is>
          <t>6.2</t>
        </is>
      </c>
      <c r="C4572" s="16" t="inlineStr">
        <is>
          <t>6.2c</t>
        </is>
      </c>
      <c r="D4572" s="16" t="inlineStr">
        <is>
          <t>malla x_b × P_baja (x_b 0.30–0.70)</t>
        </is>
      </c>
      <c r="E4572" s="16" t="inlineStr">
        <is>
          <t>KF-M10b</t>
        </is>
      </c>
      <c r="F4572" s="16" t="inlineStr">
        <is>
          <t>KF-M10b-MALLA</t>
        </is>
      </c>
      <c r="G4572" s="16" t="inlineStr">
        <is>
          <t>B14-MALLA</t>
        </is>
      </c>
      <c r="H4572" s="16" t="inlineStr">
        <is>
          <t>malla</t>
        </is>
      </c>
      <c r="I4572" s="16" t="inlineStr">
        <is>
          <t>CORREGIBLE</t>
        </is>
      </c>
      <c r="J4572" s="16" t="inlineStr">
        <is>
          <t>CORREGIBLE</t>
        </is>
      </c>
      <c r="K4572" s="16" t="b">
        <v>1</v>
      </c>
      <c r="L4572" s="16" t="b">
        <v>0</v>
      </c>
      <c r="M4572" s="16" t="b">
        <v>0</v>
      </c>
      <c r="N4572" s="16" t="b">
        <v>0</v>
      </c>
      <c r="O4572" s="16" t="n">
        <v>394.15</v>
      </c>
      <c r="P4572" s="16" t="n">
        <v>278.15</v>
      </c>
      <c r="Q4572" s="16" t="n">
        <v>3300</v>
      </c>
      <c r="R4572" s="16" t="n">
        <v>400</v>
      </c>
      <c r="S4572" s="16" t="n">
        <v>0.65</v>
      </c>
      <c r="T4572" s="16" t="n">
        <v>0.9</v>
      </c>
      <c r="U4572" s="16" t="n">
        <v>0.8</v>
      </c>
      <c r="V4572" s="16" t="n">
        <v>0.85</v>
      </c>
      <c r="W4572" s="16" t="n">
        <v>0.75</v>
      </c>
      <c r="X4572" s="16" t="n">
        <v>0.95</v>
      </c>
      <c r="Y4572" s="16" t="n">
        <v>283.15</v>
      </c>
      <c r="Z4572" s="16" t="n">
        <v>13.45686929828906</v>
      </c>
      <c r="AA4572" s="16" t="n">
        <v>73.48140907739659</v>
      </c>
      <c r="AB4572" s="16" t="n">
        <v>2900</v>
      </c>
      <c r="AC4572" s="16" t="n">
        <v>8.25</v>
      </c>
      <c r="AD4572" s="16" t="inlineStr">
        <is>
          <t>O2</t>
        </is>
      </c>
      <c r="AE4572" s="16" t="n"/>
    </row>
    <row r="4573">
      <c r="A4573" s="16" t="inlineStr">
        <is>
          <t>KF-M10b-MALLA-0044</t>
        </is>
      </c>
      <c r="B4573" s="16" t="inlineStr">
        <is>
          <t>6.2</t>
        </is>
      </c>
      <c r="C4573" s="16" t="inlineStr">
        <is>
          <t>6.2c</t>
        </is>
      </c>
      <c r="D4573" s="16" t="inlineStr">
        <is>
          <t>malla x_b × P_baja (x_b 0.30–0.70)</t>
        </is>
      </c>
      <c r="E4573" s="16" t="inlineStr">
        <is>
          <t>KF-M10b</t>
        </is>
      </c>
      <c r="F4573" s="16" t="inlineStr">
        <is>
          <t>KF-M10b-MALLA</t>
        </is>
      </c>
      <c r="G4573" s="16" t="inlineStr">
        <is>
          <t>B14-MALLA</t>
        </is>
      </c>
      <c r="H4573" s="16" t="inlineStr">
        <is>
          <t>malla</t>
        </is>
      </c>
      <c r="I4573" s="16" t="inlineStr">
        <is>
          <t>KALINA</t>
        </is>
      </c>
      <c r="J4573" s="16" t="inlineStr">
        <is>
          <t>KALINA</t>
        </is>
      </c>
      <c r="K4573" s="16" t="b">
        <v>1</v>
      </c>
      <c r="L4573" s="16" t="b">
        <v>1</v>
      </c>
      <c r="M4573" s="16" t="b">
        <v>0</v>
      </c>
      <c r="N4573" s="16" t="b">
        <v>0</v>
      </c>
      <c r="O4573" s="16" t="n">
        <v>394.15</v>
      </c>
      <c r="P4573" s="16" t="n">
        <v>278.15</v>
      </c>
      <c r="Q4573" s="16" t="n">
        <v>3300</v>
      </c>
      <c r="R4573" s="16" t="n">
        <v>500</v>
      </c>
      <c r="S4573" s="16" t="n">
        <v>0.65</v>
      </c>
      <c r="T4573" s="16" t="n">
        <v>0.9</v>
      </c>
      <c r="U4573" s="16" t="n">
        <v>0.8</v>
      </c>
      <c r="V4573" s="16" t="n">
        <v>0.85</v>
      </c>
      <c r="W4573" s="16" t="n">
        <v>0.75</v>
      </c>
      <c r="X4573" s="16" t="n">
        <v>0.95</v>
      </c>
      <c r="Y4573" s="16" t="n">
        <v>283.15</v>
      </c>
      <c r="Z4573" s="16" t="n">
        <v>12.17291894566321</v>
      </c>
      <c r="AA4573" s="16" t="n">
        <v>66.45644021840691</v>
      </c>
      <c r="AB4573" s="16" t="n">
        <v>2800</v>
      </c>
      <c r="AC4573" s="16" t="n">
        <v>6.6</v>
      </c>
      <c r="AD4573" s="16" t="n"/>
      <c r="AE4573" s="16" t="n"/>
    </row>
    <row r="4574">
      <c r="A4574" s="16" t="inlineStr">
        <is>
          <t>KF-M10b-MALLA-0045</t>
        </is>
      </c>
      <c r="B4574" s="16" t="inlineStr">
        <is>
          <t>6.2</t>
        </is>
      </c>
      <c r="C4574" s="16" t="inlineStr">
        <is>
          <t>6.2c</t>
        </is>
      </c>
      <c r="D4574" s="16" t="inlineStr">
        <is>
          <t>malla x_b × P_baja (x_b 0.30–0.70)</t>
        </is>
      </c>
      <c r="E4574" s="16" t="inlineStr">
        <is>
          <t>KF-M10b</t>
        </is>
      </c>
      <c r="F4574" s="16" t="inlineStr">
        <is>
          <t>KF-M10b-MALLA</t>
        </is>
      </c>
      <c r="G4574" s="16" t="inlineStr">
        <is>
          <t>B14-MALLA</t>
        </is>
      </c>
      <c r="H4574" s="16" t="inlineStr">
        <is>
          <t>malla</t>
        </is>
      </c>
      <c r="I4574" s="16" t="inlineStr">
        <is>
          <t>CORREGIBLE</t>
        </is>
      </c>
      <c r="J4574" s="16" t="inlineStr">
        <is>
          <t>CORREGIBLE</t>
        </is>
      </c>
      <c r="K4574" s="16" t="b">
        <v>1</v>
      </c>
      <c r="L4574" s="16" t="b">
        <v>0</v>
      </c>
      <c r="M4574" s="16" t="b">
        <v>0</v>
      </c>
      <c r="N4574" s="16" t="b">
        <v>0</v>
      </c>
      <c r="O4574" s="16" t="n">
        <v>394.15</v>
      </c>
      <c r="P4574" s="16" t="n">
        <v>278.15</v>
      </c>
      <c r="Q4574" s="16" t="n">
        <v>3300</v>
      </c>
      <c r="R4574" s="16" t="n">
        <v>200</v>
      </c>
      <c r="S4574" s="16" t="n">
        <v>0.65</v>
      </c>
      <c r="T4574" s="16" t="n">
        <v>0.9</v>
      </c>
      <c r="U4574" s="16" t="n">
        <v>0.8</v>
      </c>
      <c r="V4574" s="16" t="n">
        <v>0.85</v>
      </c>
      <c r="W4574" s="16" t="n">
        <v>0.75</v>
      </c>
      <c r="X4574" s="16" t="n">
        <v>0.95</v>
      </c>
      <c r="Y4574" s="16" t="n">
        <v>283.15</v>
      </c>
      <c r="Z4574" s="16" t="n">
        <v>9.789696373854801</v>
      </c>
      <c r="AA4574" s="16" t="n">
        <v>39.07748033872716</v>
      </c>
      <c r="AB4574" s="16" t="n">
        <v>3100</v>
      </c>
      <c r="AC4574" s="16" t="n">
        <v>16.5</v>
      </c>
      <c r="AD4574" s="16" t="inlineStr">
        <is>
          <t>O2</t>
        </is>
      </c>
      <c r="AE4574" s="16" t="n"/>
    </row>
    <row r="4575">
      <c r="A4575" s="16" t="inlineStr">
        <is>
          <t>KF-M10b-MALLA-0046</t>
        </is>
      </c>
      <c r="B4575" s="16" t="inlineStr">
        <is>
          <t>6.2</t>
        </is>
      </c>
      <c r="C4575" s="16" t="inlineStr">
        <is>
          <t>6.2c</t>
        </is>
      </c>
      <c r="D4575" s="16" t="inlineStr">
        <is>
          <t>malla x_b × P_baja (x_b 0.30–0.70)</t>
        </is>
      </c>
      <c r="E4575" s="16" t="inlineStr">
        <is>
          <t>KF-M10b</t>
        </is>
      </c>
      <c r="F4575" s="16" t="inlineStr">
        <is>
          <t>KF-M10b-MALLA</t>
        </is>
      </c>
      <c r="G4575" s="16" t="inlineStr">
        <is>
          <t>B14-MALLA</t>
        </is>
      </c>
      <c r="H4575" s="16" t="inlineStr">
        <is>
          <t>malla</t>
        </is>
      </c>
      <c r="I4575" s="16" t="inlineStr">
        <is>
          <t>KALINA</t>
        </is>
      </c>
      <c r="J4575" s="16" t="inlineStr">
        <is>
          <t>KALINA</t>
        </is>
      </c>
      <c r="K4575" s="16" t="b">
        <v>1</v>
      </c>
      <c r="L4575" s="16" t="b">
        <v>1</v>
      </c>
      <c r="M4575" s="16" t="b">
        <v>0</v>
      </c>
      <c r="N4575" s="16" t="b">
        <v>0</v>
      </c>
      <c r="O4575" s="16" t="n">
        <v>394.15</v>
      </c>
      <c r="P4575" s="16" t="n">
        <v>278.15</v>
      </c>
      <c r="Q4575" s="16" t="n">
        <v>3300</v>
      </c>
      <c r="R4575" s="16" t="n">
        <v>700</v>
      </c>
      <c r="S4575" s="16" t="n">
        <v>0.65</v>
      </c>
      <c r="T4575" s="16" t="n">
        <v>0.9</v>
      </c>
      <c r="U4575" s="16" t="n">
        <v>0.8</v>
      </c>
      <c r="V4575" s="16" t="n">
        <v>0.85</v>
      </c>
      <c r="W4575" s="16" t="n">
        <v>0.75</v>
      </c>
      <c r="X4575" s="16" t="n">
        <v>0.95</v>
      </c>
      <c r="Y4575" s="16" t="n">
        <v>283.15</v>
      </c>
      <c r="Z4575" s="16" t="n">
        <v>10.16410322566261</v>
      </c>
      <c r="AA4575" s="16" t="n">
        <v>55.47279104848255</v>
      </c>
      <c r="AB4575" s="16" t="n">
        <v>2600</v>
      </c>
      <c r="AC4575" s="16" t="n">
        <v>4.714285714285714</v>
      </c>
      <c r="AD4575" s="16" t="n"/>
      <c r="AE4575" s="16" t="n"/>
    </row>
    <row r="4576">
      <c r="A4576" s="16" t="inlineStr">
        <is>
          <t>KF-M10b-MALLA-0047</t>
        </is>
      </c>
      <c r="B4576" s="16" t="inlineStr">
        <is>
          <t>6.2</t>
        </is>
      </c>
      <c r="C4576" s="16" t="inlineStr">
        <is>
          <t>6.2c</t>
        </is>
      </c>
      <c r="D4576" s="16" t="inlineStr">
        <is>
          <t>malla x_b × P_baja (x_b 0.30–0.70)</t>
        </is>
      </c>
      <c r="E4576" s="16" t="inlineStr">
        <is>
          <t>KF-M10b</t>
        </is>
      </c>
      <c r="F4576" s="16" t="inlineStr">
        <is>
          <t>KF-M10b-MALLA</t>
        </is>
      </c>
      <c r="G4576" s="16" t="inlineStr">
        <is>
          <t>B14-MALLA</t>
        </is>
      </c>
      <c r="H4576" s="16" t="inlineStr">
        <is>
          <t>malla</t>
        </is>
      </c>
      <c r="I4576" s="16" t="inlineStr">
        <is>
          <t>KALINA</t>
        </is>
      </c>
      <c r="J4576" s="16" t="inlineStr">
        <is>
          <t>KALINA</t>
        </is>
      </c>
      <c r="K4576" s="16" t="b">
        <v>1</v>
      </c>
      <c r="L4576" s="16" t="b">
        <v>1</v>
      </c>
      <c r="M4576" s="16" t="b">
        <v>0</v>
      </c>
      <c r="N4576" s="16" t="b">
        <v>0</v>
      </c>
      <c r="O4576" s="16" t="n">
        <v>394.15</v>
      </c>
      <c r="P4576" s="16" t="n">
        <v>278.15</v>
      </c>
      <c r="Q4576" s="16" t="n">
        <v>3300</v>
      </c>
      <c r="R4576" s="16" t="n">
        <v>600</v>
      </c>
      <c r="S4576" s="16" t="n">
        <v>0.65</v>
      </c>
      <c r="T4576" s="16" t="n">
        <v>0.9</v>
      </c>
      <c r="U4576" s="16" t="n">
        <v>0.8</v>
      </c>
      <c r="V4576" s="16" t="n">
        <v>0.85</v>
      </c>
      <c r="W4576" s="16" t="n">
        <v>0.75</v>
      </c>
      <c r="X4576" s="16" t="n">
        <v>0.95</v>
      </c>
      <c r="Y4576" s="16" t="n">
        <v>283.15</v>
      </c>
      <c r="Z4576" s="16" t="n">
        <v>11.09534924528975</v>
      </c>
      <c r="AA4576" s="16" t="n">
        <v>60.56350173623768</v>
      </c>
      <c r="AB4576" s="16" t="n">
        <v>2700</v>
      </c>
      <c r="AC4576" s="16" t="n">
        <v>5.5</v>
      </c>
      <c r="AD4576" s="16" t="n"/>
      <c r="AE4576" s="16" t="n"/>
    </row>
    <row r="4577">
      <c r="A4577" s="16" t="inlineStr">
        <is>
          <t>KF-M10b-MALLA-0048</t>
        </is>
      </c>
      <c r="B4577" s="16" t="inlineStr">
        <is>
          <t>6.2</t>
        </is>
      </c>
      <c r="C4577" s="16" t="inlineStr">
        <is>
          <t>6.2c</t>
        </is>
      </c>
      <c r="D4577" s="16" t="inlineStr">
        <is>
          <t>malla x_b × P_baja (x_b 0.30–0.70)</t>
        </is>
      </c>
      <c r="E4577" s="16" t="inlineStr">
        <is>
          <t>KF-M10b</t>
        </is>
      </c>
      <c r="F4577" s="16" t="inlineStr">
        <is>
          <t>KF-M10b-MALLA</t>
        </is>
      </c>
      <c r="G4577" s="16" t="inlineStr">
        <is>
          <t>B14-MALLA</t>
        </is>
      </c>
      <c r="H4577" s="16" t="inlineStr">
        <is>
          <t>malla</t>
        </is>
      </c>
      <c r="I4577" s="16" t="inlineStr">
        <is>
          <t>CORREGIBLE</t>
        </is>
      </c>
      <c r="J4577" s="16" t="inlineStr">
        <is>
          <t>CORREGIBLE</t>
        </is>
      </c>
      <c r="K4577" s="16" t="b">
        <v>1</v>
      </c>
      <c r="L4577" s="16" t="b">
        <v>0</v>
      </c>
      <c r="M4577" s="16" t="b">
        <v>0</v>
      </c>
      <c r="N4577" s="16" t="b">
        <v>0</v>
      </c>
      <c r="O4577" s="16" t="n">
        <v>394.15</v>
      </c>
      <c r="P4577" s="16" t="n">
        <v>278.15</v>
      </c>
      <c r="Q4577" s="16" t="n">
        <v>3300</v>
      </c>
      <c r="R4577" s="16" t="n">
        <v>300</v>
      </c>
      <c r="S4577" s="16" t="n">
        <v>0.7</v>
      </c>
      <c r="T4577" s="16" t="n">
        <v>0.9</v>
      </c>
      <c r="U4577" s="16" t="n">
        <v>0.8</v>
      </c>
      <c r="V4577" s="16" t="n">
        <v>0.85</v>
      </c>
      <c r="W4577" s="16" t="n">
        <v>0.75</v>
      </c>
      <c r="X4577" s="16" t="n">
        <v>0.95</v>
      </c>
      <c r="Y4577" s="16" t="n">
        <v>283.15</v>
      </c>
      <c r="Z4577" s="16" t="n">
        <v>16.22647583673273</v>
      </c>
      <c r="AA4577" s="16" t="n">
        <v>95.229575711961</v>
      </c>
      <c r="AB4577" s="16" t="n">
        <v>3000</v>
      </c>
      <c r="AC4577" s="16" t="n">
        <v>11</v>
      </c>
      <c r="AD4577" s="16" t="inlineStr">
        <is>
          <t>O2</t>
        </is>
      </c>
      <c r="AE4577" s="16" t="n"/>
    </row>
    <row r="4578">
      <c r="A4578" s="16" t="inlineStr">
        <is>
          <t>KF-M10b-MALLA-0049</t>
        </is>
      </c>
      <c r="B4578" s="16" t="inlineStr">
        <is>
          <t>6.2</t>
        </is>
      </c>
      <c r="C4578" s="16" t="inlineStr">
        <is>
          <t>6.2c</t>
        </is>
      </c>
      <c r="D4578" s="16" t="inlineStr">
        <is>
          <t>malla x_b × P_baja (x_b 0.30–0.70)</t>
        </is>
      </c>
      <c r="E4578" s="16" t="inlineStr">
        <is>
          <t>KF-M10b</t>
        </is>
      </c>
      <c r="F4578" s="16" t="inlineStr">
        <is>
          <t>KF-M10b-MALLA</t>
        </is>
      </c>
      <c r="G4578" s="16" t="inlineStr">
        <is>
          <t>B14-MALLA</t>
        </is>
      </c>
      <c r="H4578" s="16" t="inlineStr">
        <is>
          <t>malla</t>
        </is>
      </c>
      <c r="I4578" s="16" t="inlineStr">
        <is>
          <t>CORREGIBLE</t>
        </is>
      </c>
      <c r="J4578" s="16" t="inlineStr">
        <is>
          <t>CORREGIBLE</t>
        </is>
      </c>
      <c r="K4578" s="16" t="b">
        <v>1</v>
      </c>
      <c r="L4578" s="16" t="b">
        <v>0</v>
      </c>
      <c r="M4578" s="16" t="b">
        <v>0</v>
      </c>
      <c r="N4578" s="16" t="b">
        <v>0</v>
      </c>
      <c r="O4578" s="16" t="n">
        <v>394.15</v>
      </c>
      <c r="P4578" s="16" t="n">
        <v>278.15</v>
      </c>
      <c r="Q4578" s="16" t="n">
        <v>3300</v>
      </c>
      <c r="R4578" s="16" t="n">
        <v>200</v>
      </c>
      <c r="S4578" s="16" t="n">
        <v>0.7</v>
      </c>
      <c r="T4578" s="16" t="n">
        <v>0.9</v>
      </c>
      <c r="U4578" s="16" t="n">
        <v>0.8</v>
      </c>
      <c r="V4578" s="16" t="n">
        <v>0.85</v>
      </c>
      <c r="W4578" s="16" t="n">
        <v>0.75</v>
      </c>
      <c r="X4578" s="16" t="n">
        <v>0.95</v>
      </c>
      <c r="Y4578" s="16" t="n">
        <v>283.15</v>
      </c>
      <c r="Z4578" s="16" t="n">
        <v>2.66016223928986</v>
      </c>
      <c r="AA4578" s="16" t="n">
        <v>8.830560549161675</v>
      </c>
      <c r="AB4578" s="16" t="n">
        <v>3100</v>
      </c>
      <c r="AC4578" s="16" t="n">
        <v>16.5</v>
      </c>
      <c r="AD4578" s="16" t="inlineStr">
        <is>
          <t>O2</t>
        </is>
      </c>
      <c r="AE4578" s="16" t="n"/>
    </row>
    <row r="4579">
      <c r="A4579" s="16" t="inlineStr">
        <is>
          <t>KF-M10b-MALLA-0050</t>
        </is>
      </c>
      <c r="B4579" s="16" t="inlineStr">
        <is>
          <t>6.2</t>
        </is>
      </c>
      <c r="C4579" s="16" t="inlineStr">
        <is>
          <t>6.2c</t>
        </is>
      </c>
      <c r="D4579" s="16" t="inlineStr">
        <is>
          <t>malla x_b × P_baja (x_b 0.30–0.70)</t>
        </is>
      </c>
      <c r="E4579" s="16" t="inlineStr">
        <is>
          <t>KF-M10b</t>
        </is>
      </c>
      <c r="F4579" s="16" t="inlineStr">
        <is>
          <t>KF-M10b-MALLA</t>
        </is>
      </c>
      <c r="G4579" s="16" t="inlineStr">
        <is>
          <t>B14-MALLA</t>
        </is>
      </c>
      <c r="H4579" s="16" t="inlineStr">
        <is>
          <t>malla</t>
        </is>
      </c>
      <c r="I4579" s="16" t="inlineStr">
        <is>
          <t>CORREGIBLE</t>
        </is>
      </c>
      <c r="J4579" s="16" t="inlineStr">
        <is>
          <t>CORREGIBLE</t>
        </is>
      </c>
      <c r="K4579" s="16" t="b">
        <v>1</v>
      </c>
      <c r="L4579" s="16" t="b">
        <v>0</v>
      </c>
      <c r="M4579" s="16" t="b">
        <v>0</v>
      </c>
      <c r="N4579" s="16" t="b">
        <v>0</v>
      </c>
      <c r="O4579" s="16" t="n">
        <v>394.15</v>
      </c>
      <c r="P4579" s="16" t="n">
        <v>278.15</v>
      </c>
      <c r="Q4579" s="16" t="n">
        <v>3300</v>
      </c>
      <c r="R4579" s="16" t="n">
        <v>400</v>
      </c>
      <c r="S4579" s="16" t="n">
        <v>0.7</v>
      </c>
      <c r="T4579" s="16" t="n">
        <v>0.9</v>
      </c>
      <c r="U4579" s="16" t="n">
        <v>0.8</v>
      </c>
      <c r="V4579" s="16" t="n">
        <v>0.85</v>
      </c>
      <c r="W4579" s="16" t="n">
        <v>0.75</v>
      </c>
      <c r="X4579" s="16" t="n">
        <v>0.95</v>
      </c>
      <c r="Y4579" s="16" t="n">
        <v>283.15</v>
      </c>
      <c r="Z4579" s="16" t="n">
        <v>14.69800216762693</v>
      </c>
      <c r="AA4579" s="16" t="n">
        <v>97.37241861472334</v>
      </c>
      <c r="AB4579" s="16" t="n">
        <v>2900</v>
      </c>
      <c r="AC4579" s="16" t="n">
        <v>8.25</v>
      </c>
      <c r="AD4579" s="16" t="inlineStr">
        <is>
          <t>O2</t>
        </is>
      </c>
      <c r="AE4579" s="16" t="n"/>
    </row>
    <row r="4580">
      <c r="A4580" s="16" t="inlineStr">
        <is>
          <t>KF-M10b-MALLA-0051</t>
        </is>
      </c>
      <c r="B4580" s="16" t="inlineStr">
        <is>
          <t>6.2</t>
        </is>
      </c>
      <c r="C4580" s="16" t="inlineStr">
        <is>
          <t>6.2c</t>
        </is>
      </c>
      <c r="D4580" s="16" t="inlineStr">
        <is>
          <t>malla x_b × P_baja (x_b 0.30–0.70)</t>
        </is>
      </c>
      <c r="E4580" s="16" t="inlineStr">
        <is>
          <t>KF-M10b</t>
        </is>
      </c>
      <c r="F4580" s="16" t="inlineStr">
        <is>
          <t>KF-M10b-MALLA</t>
        </is>
      </c>
      <c r="G4580" s="16" t="inlineStr">
        <is>
          <t>B14-MALLA</t>
        </is>
      </c>
      <c r="H4580" s="16" t="inlineStr">
        <is>
          <t>malla</t>
        </is>
      </c>
      <c r="I4580" s="16" t="inlineStr">
        <is>
          <t>KALINA</t>
        </is>
      </c>
      <c r="J4580" s="16" t="inlineStr">
        <is>
          <t>KALINA</t>
        </is>
      </c>
      <c r="K4580" s="16" t="b">
        <v>1</v>
      </c>
      <c r="L4580" s="16" t="b">
        <v>1</v>
      </c>
      <c r="M4580" s="16" t="b">
        <v>0</v>
      </c>
      <c r="N4580" s="16" t="b">
        <v>0</v>
      </c>
      <c r="O4580" s="16" t="n">
        <v>394.15</v>
      </c>
      <c r="P4580" s="16" t="n">
        <v>278.15</v>
      </c>
      <c r="Q4580" s="16" t="n">
        <v>3300</v>
      </c>
      <c r="R4580" s="16" t="n">
        <v>700</v>
      </c>
      <c r="S4580" s="16" t="n">
        <v>0.7</v>
      </c>
      <c r="T4580" s="16" t="n">
        <v>0.9</v>
      </c>
      <c r="U4580" s="16" t="n">
        <v>0.8</v>
      </c>
      <c r="V4580" s="16" t="n">
        <v>0.85</v>
      </c>
      <c r="W4580" s="16" t="n">
        <v>0.75</v>
      </c>
      <c r="X4580" s="16" t="n">
        <v>0.95</v>
      </c>
      <c r="Y4580" s="16" t="n">
        <v>283.15</v>
      </c>
      <c r="Z4580" s="16" t="n">
        <v>11.13714518689483</v>
      </c>
      <c r="AA4580" s="16" t="n">
        <v>73.73359517226434</v>
      </c>
      <c r="AB4580" s="16" t="n">
        <v>2600</v>
      </c>
      <c r="AC4580" s="16" t="n">
        <v>4.714285714285714</v>
      </c>
      <c r="AD4580" s="16" t="n"/>
      <c r="AE4580" s="16" t="n"/>
    </row>
    <row r="4581">
      <c r="A4581" s="16" t="inlineStr">
        <is>
          <t>KF-M10b-MALLA-0052</t>
        </is>
      </c>
      <c r="B4581" s="16" t="inlineStr">
        <is>
          <t>6.2</t>
        </is>
      </c>
      <c r="C4581" s="16" t="inlineStr">
        <is>
          <t>6.2c</t>
        </is>
      </c>
      <c r="D4581" s="16" t="inlineStr">
        <is>
          <t>malla x_b × P_baja (x_b 0.30–0.70)</t>
        </is>
      </c>
      <c r="E4581" s="16" t="inlineStr">
        <is>
          <t>KF-M10b</t>
        </is>
      </c>
      <c r="F4581" s="16" t="inlineStr">
        <is>
          <t>KF-M10b-MALLA</t>
        </is>
      </c>
      <c r="G4581" s="16" t="inlineStr">
        <is>
          <t>B14-MALLA</t>
        </is>
      </c>
      <c r="H4581" s="16" t="inlineStr">
        <is>
          <t>malla</t>
        </is>
      </c>
      <c r="I4581" s="16" t="inlineStr">
        <is>
          <t>KALINA</t>
        </is>
      </c>
      <c r="J4581" s="16" t="inlineStr">
        <is>
          <t>KALINA</t>
        </is>
      </c>
      <c r="K4581" s="16" t="b">
        <v>1</v>
      </c>
      <c r="L4581" s="16" t="b">
        <v>1</v>
      </c>
      <c r="M4581" s="16" t="b">
        <v>0</v>
      </c>
      <c r="N4581" s="16" t="b">
        <v>0</v>
      </c>
      <c r="O4581" s="16" t="n">
        <v>394.15</v>
      </c>
      <c r="P4581" s="16" t="n">
        <v>278.15</v>
      </c>
      <c r="Q4581" s="16" t="n">
        <v>3300</v>
      </c>
      <c r="R4581" s="16" t="n">
        <v>600</v>
      </c>
      <c r="S4581" s="16" t="n">
        <v>0.7</v>
      </c>
      <c r="T4581" s="16" t="n">
        <v>0.9</v>
      </c>
      <c r="U4581" s="16" t="n">
        <v>0.8</v>
      </c>
      <c r="V4581" s="16" t="n">
        <v>0.85</v>
      </c>
      <c r="W4581" s="16" t="n">
        <v>0.75</v>
      </c>
      <c r="X4581" s="16" t="n">
        <v>0.95</v>
      </c>
      <c r="Y4581" s="16" t="n">
        <v>283.15</v>
      </c>
      <c r="Z4581" s="16" t="n">
        <v>12.14573638574525</v>
      </c>
      <c r="AA4581" s="16" t="n">
        <v>80.42551043491936</v>
      </c>
      <c r="AB4581" s="16" t="n">
        <v>2700</v>
      </c>
      <c r="AC4581" s="16" t="n">
        <v>5.5</v>
      </c>
      <c r="AD4581" s="16" t="n"/>
      <c r="AE4581" s="16" t="n"/>
    </row>
    <row r="4582">
      <c r="A4582" s="16" t="inlineStr">
        <is>
          <t>KF-M10b-MALLA-0053</t>
        </is>
      </c>
      <c r="B4582" s="16" t="inlineStr">
        <is>
          <t>6.2</t>
        </is>
      </c>
      <c r="C4582" s="16" t="inlineStr">
        <is>
          <t>6.2c</t>
        </is>
      </c>
      <c r="D4582" s="16" t="inlineStr">
        <is>
          <t>malla x_b × P_baja (x_b 0.30–0.70)</t>
        </is>
      </c>
      <c r="E4582" s="16" t="inlineStr">
        <is>
          <t>KF-M10b</t>
        </is>
      </c>
      <c r="F4582" s="16" t="inlineStr">
        <is>
          <t>KF-M10b-MALLA</t>
        </is>
      </c>
      <c r="G4582" s="16" t="inlineStr">
        <is>
          <t>B14-MALLA</t>
        </is>
      </c>
      <c r="H4582" s="16" t="inlineStr">
        <is>
          <t>malla</t>
        </is>
      </c>
      <c r="I4582" s="16" t="inlineStr">
        <is>
          <t>KALINA</t>
        </is>
      </c>
      <c r="J4582" s="16" t="inlineStr">
        <is>
          <t>KALINA</t>
        </is>
      </c>
      <c r="K4582" s="16" t="b">
        <v>1</v>
      </c>
      <c r="L4582" s="16" t="b">
        <v>1</v>
      </c>
      <c r="M4582" s="16" t="b">
        <v>0</v>
      </c>
      <c r="N4582" s="16" t="b">
        <v>0</v>
      </c>
      <c r="O4582" s="16" t="n">
        <v>394.15</v>
      </c>
      <c r="P4582" s="16" t="n">
        <v>278.15</v>
      </c>
      <c r="Q4582" s="16" t="n">
        <v>3300</v>
      </c>
      <c r="R4582" s="16" t="n">
        <v>500</v>
      </c>
      <c r="S4582" s="16" t="n">
        <v>0.7</v>
      </c>
      <c r="T4582" s="16" t="n">
        <v>0.9</v>
      </c>
      <c r="U4582" s="16" t="n">
        <v>0.8</v>
      </c>
      <c r="V4582" s="16" t="n">
        <v>0.85</v>
      </c>
      <c r="W4582" s="16" t="n">
        <v>0.75</v>
      </c>
      <c r="X4582" s="16" t="n">
        <v>0.95</v>
      </c>
      <c r="Y4582" s="16" t="n">
        <v>283.15</v>
      </c>
      <c r="Z4582" s="16" t="n">
        <v>13.31174620956</v>
      </c>
      <c r="AA4582" s="16" t="n">
        <v>88.16571431145088</v>
      </c>
      <c r="AB4582" s="16" t="n">
        <v>2800</v>
      </c>
      <c r="AC4582" s="16" t="n">
        <v>6.6</v>
      </c>
      <c r="AD4582" s="16" t="n"/>
      <c r="AE4582" s="16" t="n"/>
    </row>
  </sheetData>
  <autoFilter ref="A1:AE458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O768"/>
  <sheetViews>
    <sheetView workbookViewId="0">
      <selection activeCell="A1" sqref="A1"/>
    </sheetView>
  </sheetViews>
  <sheetFormatPr baseColWidth="8" defaultRowHeight="15"/>
  <sheetData>
    <row r="1">
      <c r="A1" s="8" t="inlineStr">
        <is>
          <t>Estudio</t>
        </is>
      </c>
      <c r="B1" s="8" t="inlineStr">
        <is>
          <t>Parte</t>
        </is>
      </c>
      <c r="C1" s="8" t="inlineStr">
        <is>
          <t>Caso de origen</t>
        </is>
      </c>
      <c r="D1" s="8" t="inlineStr">
        <is>
          <t>Subcaso de origen</t>
        </is>
      </c>
      <c r="E1" s="8" t="inlineStr">
        <is>
          <t>Bloque de origen</t>
        </is>
      </c>
      <c r="F1" s="8" t="inlineStr">
        <is>
          <t>variable</t>
        </is>
      </c>
      <c r="G1" s="8" t="inlineStr">
        <is>
          <t>estado</t>
        </is>
      </c>
      <c r="H1" s="8" t="inlineStr">
        <is>
          <t>valor_fijo</t>
        </is>
      </c>
      <c r="I1" s="8" t="inlineStr">
        <is>
          <t>min</t>
        </is>
      </c>
      <c r="J1" s="8" t="inlineStr">
        <is>
          <t>max</t>
        </is>
      </c>
      <c r="K1" s="8" t="inlineStr">
        <is>
          <t>n_valores</t>
        </is>
      </c>
      <c r="L1" s="8" t="inlineStr">
        <is>
          <t>igual_al_profesor</t>
        </is>
      </c>
      <c r="M1" s="8" t="inlineStr">
        <is>
          <t>unidad</t>
        </is>
      </c>
      <c r="N1" s="8" t="inlineStr">
        <is>
          <t>es_oat</t>
        </is>
      </c>
      <c r="O1" s="8" t="inlineStr">
        <is>
          <t>valor_base</t>
        </is>
      </c>
    </row>
    <row r="2">
      <c r="A2" s="16" t="inlineStr">
        <is>
          <t>1.1</t>
        </is>
      </c>
      <c r="B2" s="16" t="inlineStr">
        <is>
          <t>1.1b</t>
        </is>
      </c>
      <c r="C2" s="16" t="inlineStr">
        <is>
          <t>KF-M01</t>
        </is>
      </c>
      <c r="D2" s="16" t="inlineStr">
        <is>
          <t>KF-M01-P_alta</t>
        </is>
      </c>
      <c r="E2" s="16" t="inlineStr">
        <is>
          <t>B01</t>
        </is>
      </c>
      <c r="F2" s="16" t="inlineStr">
        <is>
          <t>T_fuente</t>
        </is>
      </c>
      <c r="G2" s="16" t="inlineStr">
        <is>
          <t>fijo</t>
        </is>
      </c>
      <c r="H2" s="16" t="inlineStr">
        <is>
          <t>623.15</t>
        </is>
      </c>
      <c r="I2" s="16" t="n"/>
      <c r="J2" s="16" t="n"/>
      <c r="K2" s="16" t="n"/>
      <c r="L2" s="16" t="inlineStr">
        <is>
          <t>sí</t>
        </is>
      </c>
      <c r="M2" s="16" t="inlineStr">
        <is>
          <t>K</t>
        </is>
      </c>
      <c r="N2" s="16" t="inlineStr">
        <is>
          <t>no</t>
        </is>
      </c>
      <c r="O2" s="16" t="n"/>
    </row>
    <row r="3">
      <c r="A3" s="16" t="inlineStr">
        <is>
          <t>1.1</t>
        </is>
      </c>
      <c r="B3" s="16" t="inlineStr">
        <is>
          <t>1.1b</t>
        </is>
      </c>
      <c r="C3" s="16" t="inlineStr">
        <is>
          <t>KF-M01</t>
        </is>
      </c>
      <c r="D3" s="16" t="inlineStr">
        <is>
          <t>KF-M01-P_alta</t>
        </is>
      </c>
      <c r="E3" s="16" t="inlineStr">
        <is>
          <t>B01</t>
        </is>
      </c>
      <c r="F3" s="16" t="inlineStr">
        <is>
          <t>T_sumidero</t>
        </is>
      </c>
      <c r="G3" s="16" t="inlineStr">
        <is>
          <t>fijo</t>
        </is>
      </c>
      <c r="H3" s="16" t="inlineStr">
        <is>
          <t>300.032917</t>
        </is>
      </c>
      <c r="I3" s="16" t="n"/>
      <c r="J3" s="16" t="n"/>
      <c r="K3" s="16" t="n"/>
      <c r="L3" s="16" t="inlineStr">
        <is>
          <t>sí</t>
        </is>
      </c>
      <c r="M3" s="16" t="inlineStr">
        <is>
          <t>K</t>
        </is>
      </c>
      <c r="N3" s="16" t="inlineStr">
        <is>
          <t>no</t>
        </is>
      </c>
      <c r="O3" s="16" t="n"/>
    </row>
    <row r="4">
      <c r="A4" s="16" t="inlineStr">
        <is>
          <t>1.1</t>
        </is>
      </c>
      <c r="B4" s="16" t="inlineStr">
        <is>
          <t>1.1b</t>
        </is>
      </c>
      <c r="C4" s="16" t="inlineStr">
        <is>
          <t>KF-M01</t>
        </is>
      </c>
      <c r="D4" s="16" t="inlineStr">
        <is>
          <t>KF-M01-P_alta</t>
        </is>
      </c>
      <c r="E4" s="16" t="inlineStr">
        <is>
          <t>B01</t>
        </is>
      </c>
      <c r="F4" s="16" t="inlineStr">
        <is>
          <t>P_alta</t>
        </is>
      </c>
      <c r="G4" s="16" t="inlineStr">
        <is>
          <t>barrido</t>
        </is>
      </c>
      <c r="H4" s="16" t="n"/>
      <c r="I4" s="16" t="n">
        <v>2000</v>
      </c>
      <c r="J4" s="16" t="n">
        <v>4000</v>
      </c>
      <c r="K4" s="16" t="n">
        <v>9</v>
      </c>
      <c r="L4" s="16" t="n"/>
      <c r="M4" s="16" t="inlineStr">
        <is>
          <t>kPa</t>
        </is>
      </c>
      <c r="N4" s="16" t="inlineStr">
        <is>
          <t>no</t>
        </is>
      </c>
      <c r="O4" s="16" t="n"/>
    </row>
    <row r="5">
      <c r="A5" s="16" t="inlineStr">
        <is>
          <t>1.1</t>
        </is>
      </c>
      <c r="B5" s="16" t="inlineStr">
        <is>
          <t>1.1b</t>
        </is>
      </c>
      <c r="C5" s="16" t="inlineStr">
        <is>
          <t>KF-M01</t>
        </is>
      </c>
      <c r="D5" s="16" t="inlineStr">
        <is>
          <t>KF-M01-P_alta</t>
        </is>
      </c>
      <c r="E5" s="16" t="inlineStr">
        <is>
          <t>B01</t>
        </is>
      </c>
      <c r="F5" s="16" t="inlineStr">
        <is>
          <t>P_baja</t>
        </is>
      </c>
      <c r="G5" s="16" t="inlineStr">
        <is>
          <t>fijo</t>
        </is>
      </c>
      <c r="H5" s="16" t="inlineStr">
        <is>
          <t>400.0</t>
        </is>
      </c>
      <c r="I5" s="16" t="n"/>
      <c r="J5" s="16" t="n"/>
      <c r="K5" s="16" t="n"/>
      <c r="L5" s="16" t="inlineStr">
        <is>
          <t>sí</t>
        </is>
      </c>
      <c r="M5" s="16" t="inlineStr">
        <is>
          <t>kPa</t>
        </is>
      </c>
      <c r="N5" s="16" t="inlineStr">
        <is>
          <t>no</t>
        </is>
      </c>
      <c r="O5" s="16" t="n"/>
    </row>
    <row r="6">
      <c r="A6" s="16" t="inlineStr">
        <is>
          <t>1.1</t>
        </is>
      </c>
      <c r="B6" s="16" t="inlineStr">
        <is>
          <t>1.1b</t>
        </is>
      </c>
      <c r="C6" s="16" t="inlineStr">
        <is>
          <t>KF-M01</t>
        </is>
      </c>
      <c r="D6" s="16" t="inlineStr">
        <is>
          <t>KF-M01-P_alta</t>
        </is>
      </c>
      <c r="E6" s="16" t="inlineStr">
        <is>
          <t>B01</t>
        </is>
      </c>
      <c r="F6" s="16" t="inlineStr">
        <is>
          <t>x_b</t>
        </is>
      </c>
      <c r="G6" s="16" t="inlineStr">
        <is>
          <t>fijo</t>
        </is>
      </c>
      <c r="H6" s="16" t="inlineStr">
        <is>
          <t>0.5</t>
        </is>
      </c>
      <c r="I6" s="16" t="n"/>
      <c r="J6" s="16" t="n"/>
      <c r="K6" s="16" t="n"/>
      <c r="L6" s="16" t="inlineStr">
        <is>
          <t>sí</t>
        </is>
      </c>
      <c r="M6" s="16" t="inlineStr">
        <is>
          <t>–</t>
        </is>
      </c>
      <c r="N6" s="16" t="inlineStr">
        <is>
          <t>no</t>
        </is>
      </c>
      <c r="O6" s="16" t="n"/>
    </row>
    <row r="7">
      <c r="A7" s="16" t="inlineStr">
        <is>
          <t>1.1</t>
        </is>
      </c>
      <c r="B7" s="16" t="inlineStr">
        <is>
          <t>1.1b</t>
        </is>
      </c>
      <c r="C7" s="16" t="inlineStr">
        <is>
          <t>KF-M01</t>
        </is>
      </c>
      <c r="D7" s="16" t="inlineStr">
        <is>
          <t>KF-M01-P_alta</t>
        </is>
      </c>
      <c r="E7" s="16" t="inlineStr">
        <is>
          <t>B01</t>
        </is>
      </c>
      <c r="F7" s="16" t="inlineStr">
        <is>
          <t>m_b</t>
        </is>
      </c>
      <c r="G7" s="16" t="inlineStr">
        <is>
          <t>fijo</t>
        </is>
      </c>
      <c r="H7" s="16" t="inlineStr">
        <is>
          <t>1.0</t>
        </is>
      </c>
      <c r="I7" s="16" t="n"/>
      <c r="J7" s="16" t="n"/>
      <c r="K7" s="16" t="n"/>
      <c r="L7" s="16" t="inlineStr">
        <is>
          <t>sí</t>
        </is>
      </c>
      <c r="M7" s="16" t="inlineStr">
        <is>
          <t>kg/s</t>
        </is>
      </c>
      <c r="N7" s="16" t="inlineStr">
        <is>
          <t>no</t>
        </is>
      </c>
      <c r="O7" s="16" t="n"/>
    </row>
    <row r="8">
      <c r="A8" s="16" t="inlineStr">
        <is>
          <t>1.1</t>
        </is>
      </c>
      <c r="B8" s="16" t="inlineStr">
        <is>
          <t>1.1b</t>
        </is>
      </c>
      <c r="C8" s="16" t="inlineStr">
        <is>
          <t>KF-M01</t>
        </is>
      </c>
      <c r="D8" s="16" t="inlineStr">
        <is>
          <t>KF-M01-P_alta</t>
        </is>
      </c>
      <c r="E8" s="16" t="inlineStr">
        <is>
          <t>B01</t>
        </is>
      </c>
      <c r="F8" s="16" t="inlineStr">
        <is>
          <t>eta_t</t>
        </is>
      </c>
      <c r="G8" s="16" t="inlineStr">
        <is>
          <t>fijo</t>
        </is>
      </c>
      <c r="H8" s="16" t="inlineStr">
        <is>
          <t>0.85</t>
        </is>
      </c>
      <c r="I8" s="16" t="n"/>
      <c r="J8" s="16" t="n"/>
      <c r="K8" s="16" t="n"/>
      <c r="L8" s="16" t="inlineStr">
        <is>
          <t>sí</t>
        </is>
      </c>
      <c r="M8" s="16" t="inlineStr">
        <is>
          <t>–</t>
        </is>
      </c>
      <c r="N8" s="16" t="inlineStr">
        <is>
          <t>no</t>
        </is>
      </c>
      <c r="O8" s="16" t="n"/>
    </row>
    <row r="9">
      <c r="A9" s="16" t="inlineStr">
        <is>
          <t>1.1</t>
        </is>
      </c>
      <c r="B9" s="16" t="inlineStr">
        <is>
          <t>1.1b</t>
        </is>
      </c>
      <c r="C9" s="16" t="inlineStr">
        <is>
          <t>KF-M01</t>
        </is>
      </c>
      <c r="D9" s="16" t="inlineStr">
        <is>
          <t>KF-M01-P_alta</t>
        </is>
      </c>
      <c r="E9" s="16" t="inlineStr">
        <is>
          <t>B01</t>
        </is>
      </c>
      <c r="F9" s="16" t="inlineStr">
        <is>
          <t>eta_p</t>
        </is>
      </c>
      <c r="G9" s="16" t="inlineStr">
        <is>
          <t>fijo</t>
        </is>
      </c>
      <c r="H9" s="16" t="inlineStr">
        <is>
          <t>0.75</t>
        </is>
      </c>
      <c r="I9" s="16" t="n"/>
      <c r="J9" s="16" t="n"/>
      <c r="K9" s="16" t="n"/>
      <c r="L9" s="16" t="inlineStr">
        <is>
          <t>sí</t>
        </is>
      </c>
      <c r="M9" s="16" t="inlineStr">
        <is>
          <t>–</t>
        </is>
      </c>
      <c r="N9" s="16" t="inlineStr">
        <is>
          <t>no</t>
        </is>
      </c>
      <c r="O9" s="16" t="n"/>
    </row>
    <row r="10">
      <c r="A10" s="16" t="inlineStr">
        <is>
          <t>1.1</t>
        </is>
      </c>
      <c r="B10" s="16" t="inlineStr">
        <is>
          <t>1.1b</t>
        </is>
      </c>
      <c r="C10" s="16" t="inlineStr">
        <is>
          <t>KF-M01</t>
        </is>
      </c>
      <c r="D10" s="16" t="inlineStr">
        <is>
          <t>KF-M01-P_alta</t>
        </is>
      </c>
      <c r="E10" s="16" t="inlineStr">
        <is>
          <t>B01</t>
        </is>
      </c>
      <c r="F10" s="16" t="inlineStr">
        <is>
          <t>eps_hrvg</t>
        </is>
      </c>
      <c r="G10" s="16" t="inlineStr">
        <is>
          <t>fijo</t>
        </is>
      </c>
      <c r="H10" s="16" t="inlineStr">
        <is>
          <t>0.85</t>
        </is>
      </c>
      <c r="I10" s="16" t="n"/>
      <c r="J10" s="16" t="n"/>
      <c r="K10" s="16" t="n"/>
      <c r="L10" s="16" t="inlineStr">
        <is>
          <t>sí</t>
        </is>
      </c>
      <c r="M10" s="16" t="inlineStr">
        <is>
          <t>–</t>
        </is>
      </c>
      <c r="N10" s="16" t="inlineStr">
        <is>
          <t>no</t>
        </is>
      </c>
      <c r="O10" s="16" t="n"/>
    </row>
    <row r="11">
      <c r="A11" s="16" t="inlineStr">
        <is>
          <t>1.1</t>
        </is>
      </c>
      <c r="B11" s="16" t="inlineStr">
        <is>
          <t>1.1b</t>
        </is>
      </c>
      <c r="C11" s="16" t="inlineStr">
        <is>
          <t>KF-M01</t>
        </is>
      </c>
      <c r="D11" s="16" t="inlineStr">
        <is>
          <t>KF-M01-P_alta</t>
        </is>
      </c>
      <c r="E11" s="16" t="inlineStr">
        <is>
          <t>B01</t>
        </is>
      </c>
      <c r="F11" s="16" t="inlineStr">
        <is>
          <t>eps_reg</t>
        </is>
      </c>
      <c r="G11" s="16" t="inlineStr">
        <is>
          <t>fijo</t>
        </is>
      </c>
      <c r="H11" s="16" t="inlineStr">
        <is>
          <t>0.75</t>
        </is>
      </c>
      <c r="I11" s="16" t="n"/>
      <c r="J11" s="16" t="n"/>
      <c r="K11" s="16" t="n"/>
      <c r="L11" s="16" t="inlineStr">
        <is>
          <t>sí</t>
        </is>
      </c>
      <c r="M11" s="16" t="inlineStr">
        <is>
          <t>–</t>
        </is>
      </c>
      <c r="N11" s="16" t="inlineStr">
        <is>
          <t>no</t>
        </is>
      </c>
      <c r="O11" s="16" t="n"/>
    </row>
    <row r="12">
      <c r="A12" s="16" t="inlineStr">
        <is>
          <t>1.1</t>
        </is>
      </c>
      <c r="B12" s="16" t="inlineStr">
        <is>
          <t>1.1b</t>
        </is>
      </c>
      <c r="C12" s="16" t="inlineStr">
        <is>
          <t>KF-M01</t>
        </is>
      </c>
      <c r="D12" s="16" t="inlineStr">
        <is>
          <t>KF-M01-P_alta</t>
        </is>
      </c>
      <c r="E12" s="16" t="inlineStr">
        <is>
          <t>B01</t>
        </is>
      </c>
      <c r="F12" s="16" t="inlineStr">
        <is>
          <t>eps_cond</t>
        </is>
      </c>
      <c r="G12" s="16" t="inlineStr">
        <is>
          <t>fijo</t>
        </is>
      </c>
      <c r="H12" s="16" t="inlineStr">
        <is>
          <t>0.8</t>
        </is>
      </c>
      <c r="I12" s="16" t="n"/>
      <c r="J12" s="16" t="n"/>
      <c r="K12" s="16" t="n"/>
      <c r="L12" s="16" t="inlineStr">
        <is>
          <t>sí</t>
        </is>
      </c>
      <c r="M12" s="16" t="inlineStr">
        <is>
          <t>–</t>
        </is>
      </c>
      <c r="N12" s="16" t="inlineStr">
        <is>
          <t>no</t>
        </is>
      </c>
      <c r="O12" s="16" t="n"/>
    </row>
    <row r="13">
      <c r="A13" s="16" t="inlineStr">
        <is>
          <t>1.1</t>
        </is>
      </c>
      <c r="B13" s="16" t="inlineStr">
        <is>
          <t>1.1b</t>
        </is>
      </c>
      <c r="C13" s="16" t="inlineStr">
        <is>
          <t>KF-M01</t>
        </is>
      </c>
      <c r="D13" s="16" t="inlineStr">
        <is>
          <t>KF-M01-P_alta</t>
        </is>
      </c>
      <c r="E13" s="16" t="inlineStr">
        <is>
          <t>B01</t>
        </is>
      </c>
      <c r="F13" s="16" t="inlineStr">
        <is>
          <t>T_amb_diseno</t>
        </is>
      </c>
      <c r="G13" s="16" t="inlineStr">
        <is>
          <t>sin_dato</t>
        </is>
      </c>
      <c r="H13" s="16" t="n"/>
      <c r="I13" s="16" t="n"/>
      <c r="J13" s="16" t="n"/>
      <c r="K13" s="16" t="n"/>
      <c r="L13" s="16" t="n"/>
      <c r="M13" s="16" t="inlineStr">
        <is>
          <t>K</t>
        </is>
      </c>
      <c r="N13" s="16" t="inlineStr">
        <is>
          <t>no</t>
        </is>
      </c>
      <c r="O13" s="16" t="n"/>
    </row>
    <row r="14">
      <c r="A14" s="16" t="inlineStr">
        <is>
          <t>1.1</t>
        </is>
      </c>
      <c r="B14" s="16" t="inlineStr">
        <is>
          <t>1.1b</t>
        </is>
      </c>
      <c r="C14" s="16" t="inlineStr">
        <is>
          <t>KF-M01</t>
        </is>
      </c>
      <c r="D14" s="16" t="inlineStr">
        <is>
          <t>KF-M01-P_alta</t>
        </is>
      </c>
      <c r="E14" s="16" t="inlineStr">
        <is>
          <t>B01</t>
        </is>
      </c>
      <c r="F14" s="16" t="inlineStr">
        <is>
          <t>motor</t>
        </is>
      </c>
      <c r="G14" s="16" t="inlineStr">
        <is>
          <t>fijo</t>
        </is>
      </c>
      <c r="H14" s="16" t="inlineStr">
        <is>
          <t>teqp</t>
        </is>
      </c>
      <c r="I14" s="16" t="n"/>
      <c r="J14" s="16" t="n"/>
      <c r="K14" s="16" t="n"/>
      <c r="L14" s="16" t="n"/>
      <c r="M14" s="16" t="inlineStr">
        <is>
          <t>–</t>
        </is>
      </c>
      <c r="N14" s="16" t="inlineStr">
        <is>
          <t>no</t>
        </is>
      </c>
      <c r="O14" s="16" t="n"/>
    </row>
    <row r="15">
      <c r="A15" s="16" t="inlineStr">
        <is>
          <t>1.1</t>
        </is>
      </c>
      <c r="B15" s="16" t="inlineStr">
        <is>
          <t>1.1a</t>
        </is>
      </c>
      <c r="C15" s="16" t="inlineStr">
        <is>
          <t>KF-M01</t>
        </is>
      </c>
      <c r="D15" s="16" t="inlineStr">
        <is>
          <t>KF-M01-base</t>
        </is>
      </c>
      <c r="E15" s="16" t="inlineStr">
        <is>
          <t>B01</t>
        </is>
      </c>
      <c r="F15" s="16" t="inlineStr">
        <is>
          <t>T_fuente</t>
        </is>
      </c>
      <c r="G15" s="16" t="inlineStr">
        <is>
          <t>fijo</t>
        </is>
      </c>
      <c r="H15" s="16" t="inlineStr">
        <is>
          <t>623.15</t>
        </is>
      </c>
      <c r="I15" s="16" t="n"/>
      <c r="J15" s="16" t="n"/>
      <c r="K15" s="16" t="n"/>
      <c r="L15" s="16" t="inlineStr">
        <is>
          <t>sí</t>
        </is>
      </c>
      <c r="M15" s="16" t="inlineStr">
        <is>
          <t>K</t>
        </is>
      </c>
      <c r="N15" s="16" t="inlineStr">
        <is>
          <t>no</t>
        </is>
      </c>
      <c r="O15" s="16" t="n"/>
    </row>
    <row r="16">
      <c r="A16" s="16" t="inlineStr">
        <is>
          <t>1.1</t>
        </is>
      </c>
      <c r="B16" s="16" t="inlineStr">
        <is>
          <t>1.1a</t>
        </is>
      </c>
      <c r="C16" s="16" t="inlineStr">
        <is>
          <t>KF-M01</t>
        </is>
      </c>
      <c r="D16" s="16" t="inlineStr">
        <is>
          <t>KF-M01-base</t>
        </is>
      </c>
      <c r="E16" s="16" t="inlineStr">
        <is>
          <t>B01</t>
        </is>
      </c>
      <c r="F16" s="16" t="inlineStr">
        <is>
          <t>T_sumidero</t>
        </is>
      </c>
      <c r="G16" s="16" t="inlineStr">
        <is>
          <t>fijo</t>
        </is>
      </c>
      <c r="H16" s="16" t="inlineStr">
        <is>
          <t>300.032917</t>
        </is>
      </c>
      <c r="I16" s="16" t="n"/>
      <c r="J16" s="16" t="n"/>
      <c r="K16" s="16" t="n"/>
      <c r="L16" s="16" t="inlineStr">
        <is>
          <t>sí</t>
        </is>
      </c>
      <c r="M16" s="16" t="inlineStr">
        <is>
          <t>K</t>
        </is>
      </c>
      <c r="N16" s="16" t="inlineStr">
        <is>
          <t>no</t>
        </is>
      </c>
      <c r="O16" s="16" t="n"/>
    </row>
    <row r="17">
      <c r="A17" s="16" t="inlineStr">
        <is>
          <t>1.1</t>
        </is>
      </c>
      <c r="B17" s="16" t="inlineStr">
        <is>
          <t>1.1a</t>
        </is>
      </c>
      <c r="C17" s="16" t="inlineStr">
        <is>
          <t>KF-M01</t>
        </is>
      </c>
      <c r="D17" s="16" t="inlineStr">
        <is>
          <t>KF-M01-base</t>
        </is>
      </c>
      <c r="E17" s="16" t="inlineStr">
        <is>
          <t>B01</t>
        </is>
      </c>
      <c r="F17" s="16" t="inlineStr">
        <is>
          <t>P_alta</t>
        </is>
      </c>
      <c r="G17" s="16" t="inlineStr">
        <is>
          <t>fijo</t>
        </is>
      </c>
      <c r="H17" s="16" t="inlineStr">
        <is>
          <t>3000.0</t>
        </is>
      </c>
      <c r="I17" s="16" t="n"/>
      <c r="J17" s="16" t="n"/>
      <c r="K17" s="16" t="n"/>
      <c r="L17" s="16" t="inlineStr">
        <is>
          <t>sí</t>
        </is>
      </c>
      <c r="M17" s="16" t="inlineStr">
        <is>
          <t>kPa</t>
        </is>
      </c>
      <c r="N17" s="16" t="inlineStr">
        <is>
          <t>no</t>
        </is>
      </c>
      <c r="O17" s="16" t="n"/>
    </row>
    <row r="18">
      <c r="A18" s="16" t="inlineStr">
        <is>
          <t>1.1</t>
        </is>
      </c>
      <c r="B18" s="16" t="inlineStr">
        <is>
          <t>1.1a</t>
        </is>
      </c>
      <c r="C18" s="16" t="inlineStr">
        <is>
          <t>KF-M01</t>
        </is>
      </c>
      <c r="D18" s="16" t="inlineStr">
        <is>
          <t>KF-M01-base</t>
        </is>
      </c>
      <c r="E18" s="16" t="inlineStr">
        <is>
          <t>B01</t>
        </is>
      </c>
      <c r="F18" s="16" t="inlineStr">
        <is>
          <t>P_baja</t>
        </is>
      </c>
      <c r="G18" s="16" t="inlineStr">
        <is>
          <t>fijo</t>
        </is>
      </c>
      <c r="H18" s="16" t="inlineStr">
        <is>
          <t>400.0</t>
        </is>
      </c>
      <c r="I18" s="16" t="n"/>
      <c r="J18" s="16" t="n"/>
      <c r="K18" s="16" t="n"/>
      <c r="L18" s="16" t="inlineStr">
        <is>
          <t>sí</t>
        </is>
      </c>
      <c r="M18" s="16" t="inlineStr">
        <is>
          <t>kPa</t>
        </is>
      </c>
      <c r="N18" s="16" t="inlineStr">
        <is>
          <t>no</t>
        </is>
      </c>
      <c r="O18" s="16" t="n"/>
    </row>
    <row r="19">
      <c r="A19" s="16" t="inlineStr">
        <is>
          <t>1.1</t>
        </is>
      </c>
      <c r="B19" s="16" t="inlineStr">
        <is>
          <t>1.1a</t>
        </is>
      </c>
      <c r="C19" s="16" t="inlineStr">
        <is>
          <t>KF-M01</t>
        </is>
      </c>
      <c r="D19" s="16" t="inlineStr">
        <is>
          <t>KF-M01-base</t>
        </is>
      </c>
      <c r="E19" s="16" t="inlineStr">
        <is>
          <t>B01</t>
        </is>
      </c>
      <c r="F19" s="16" t="inlineStr">
        <is>
          <t>x_b</t>
        </is>
      </c>
      <c r="G19" s="16" t="inlineStr">
        <is>
          <t>fijo</t>
        </is>
      </c>
      <c r="H19" s="16" t="inlineStr">
        <is>
          <t>0.5</t>
        </is>
      </c>
      <c r="I19" s="16" t="n"/>
      <c r="J19" s="16" t="n"/>
      <c r="K19" s="16" t="n"/>
      <c r="L19" s="16" t="inlineStr">
        <is>
          <t>sí</t>
        </is>
      </c>
      <c r="M19" s="16" t="inlineStr">
        <is>
          <t>–</t>
        </is>
      </c>
      <c r="N19" s="16" t="inlineStr">
        <is>
          <t>no</t>
        </is>
      </c>
      <c r="O19" s="16" t="n"/>
    </row>
    <row r="20">
      <c r="A20" s="16" t="inlineStr">
        <is>
          <t>1.1</t>
        </is>
      </c>
      <c r="B20" s="16" t="inlineStr">
        <is>
          <t>1.1a</t>
        </is>
      </c>
      <c r="C20" s="16" t="inlineStr">
        <is>
          <t>KF-M01</t>
        </is>
      </c>
      <c r="D20" s="16" t="inlineStr">
        <is>
          <t>KF-M01-base</t>
        </is>
      </c>
      <c r="E20" s="16" t="inlineStr">
        <is>
          <t>B01</t>
        </is>
      </c>
      <c r="F20" s="16" t="inlineStr">
        <is>
          <t>m_b</t>
        </is>
      </c>
      <c r="G20" s="16" t="inlineStr">
        <is>
          <t>fijo</t>
        </is>
      </c>
      <c r="H20" s="16" t="inlineStr">
        <is>
          <t>1.0</t>
        </is>
      </c>
      <c r="I20" s="16" t="n"/>
      <c r="J20" s="16" t="n"/>
      <c r="K20" s="16" t="n"/>
      <c r="L20" s="16" t="inlineStr">
        <is>
          <t>sí</t>
        </is>
      </c>
      <c r="M20" s="16" t="inlineStr">
        <is>
          <t>kg/s</t>
        </is>
      </c>
      <c r="N20" s="16" t="inlineStr">
        <is>
          <t>no</t>
        </is>
      </c>
      <c r="O20" s="16" t="n"/>
    </row>
    <row r="21">
      <c r="A21" s="16" t="inlineStr">
        <is>
          <t>1.1</t>
        </is>
      </c>
      <c r="B21" s="16" t="inlineStr">
        <is>
          <t>1.1a</t>
        </is>
      </c>
      <c r="C21" s="16" t="inlineStr">
        <is>
          <t>KF-M01</t>
        </is>
      </c>
      <c r="D21" s="16" t="inlineStr">
        <is>
          <t>KF-M01-base</t>
        </is>
      </c>
      <c r="E21" s="16" t="inlineStr">
        <is>
          <t>B01</t>
        </is>
      </c>
      <c r="F21" s="16" t="inlineStr">
        <is>
          <t>eta_t</t>
        </is>
      </c>
      <c r="G21" s="16" t="inlineStr">
        <is>
          <t>fijo</t>
        </is>
      </c>
      <c r="H21" s="16" t="inlineStr">
        <is>
          <t>0.85</t>
        </is>
      </c>
      <c r="I21" s="16" t="n"/>
      <c r="J21" s="16" t="n"/>
      <c r="K21" s="16" t="n"/>
      <c r="L21" s="16" t="inlineStr">
        <is>
          <t>sí</t>
        </is>
      </c>
      <c r="M21" s="16" t="inlineStr">
        <is>
          <t>–</t>
        </is>
      </c>
      <c r="N21" s="16" t="inlineStr">
        <is>
          <t>no</t>
        </is>
      </c>
      <c r="O21" s="16" t="n"/>
    </row>
    <row r="22">
      <c r="A22" s="16" t="inlineStr">
        <is>
          <t>1.1</t>
        </is>
      </c>
      <c r="B22" s="16" t="inlineStr">
        <is>
          <t>1.1a</t>
        </is>
      </c>
      <c r="C22" s="16" t="inlineStr">
        <is>
          <t>KF-M01</t>
        </is>
      </c>
      <c r="D22" s="16" t="inlineStr">
        <is>
          <t>KF-M01-base</t>
        </is>
      </c>
      <c r="E22" s="16" t="inlineStr">
        <is>
          <t>B01</t>
        </is>
      </c>
      <c r="F22" s="16" t="inlineStr">
        <is>
          <t>eta_p</t>
        </is>
      </c>
      <c r="G22" s="16" t="inlineStr">
        <is>
          <t>fijo</t>
        </is>
      </c>
      <c r="H22" s="16" t="inlineStr">
        <is>
          <t>0.75</t>
        </is>
      </c>
      <c r="I22" s="16" t="n"/>
      <c r="J22" s="16" t="n"/>
      <c r="K22" s="16" t="n"/>
      <c r="L22" s="16" t="inlineStr">
        <is>
          <t>sí</t>
        </is>
      </c>
      <c r="M22" s="16" t="inlineStr">
        <is>
          <t>–</t>
        </is>
      </c>
      <c r="N22" s="16" t="inlineStr">
        <is>
          <t>no</t>
        </is>
      </c>
      <c r="O22" s="16" t="n"/>
    </row>
    <row r="23">
      <c r="A23" s="16" t="inlineStr">
        <is>
          <t>1.1</t>
        </is>
      </c>
      <c r="B23" s="16" t="inlineStr">
        <is>
          <t>1.1a</t>
        </is>
      </c>
      <c r="C23" s="16" t="inlineStr">
        <is>
          <t>KF-M01</t>
        </is>
      </c>
      <c r="D23" s="16" t="inlineStr">
        <is>
          <t>KF-M01-base</t>
        </is>
      </c>
      <c r="E23" s="16" t="inlineStr">
        <is>
          <t>B01</t>
        </is>
      </c>
      <c r="F23" s="16" t="inlineStr">
        <is>
          <t>eps_hrvg</t>
        </is>
      </c>
      <c r="G23" s="16" t="inlineStr">
        <is>
          <t>fijo</t>
        </is>
      </c>
      <c r="H23" s="16" t="inlineStr">
        <is>
          <t>0.85</t>
        </is>
      </c>
      <c r="I23" s="16" t="n"/>
      <c r="J23" s="16" t="n"/>
      <c r="K23" s="16" t="n"/>
      <c r="L23" s="16" t="inlineStr">
        <is>
          <t>sí</t>
        </is>
      </c>
      <c r="M23" s="16" t="inlineStr">
        <is>
          <t>–</t>
        </is>
      </c>
      <c r="N23" s="16" t="inlineStr">
        <is>
          <t>no</t>
        </is>
      </c>
      <c r="O23" s="16" t="n"/>
    </row>
    <row r="24">
      <c r="A24" s="16" t="inlineStr">
        <is>
          <t>1.1</t>
        </is>
      </c>
      <c r="B24" s="16" t="inlineStr">
        <is>
          <t>1.1a</t>
        </is>
      </c>
      <c r="C24" s="16" t="inlineStr">
        <is>
          <t>KF-M01</t>
        </is>
      </c>
      <c r="D24" s="16" t="inlineStr">
        <is>
          <t>KF-M01-base</t>
        </is>
      </c>
      <c r="E24" s="16" t="inlineStr">
        <is>
          <t>B01</t>
        </is>
      </c>
      <c r="F24" s="16" t="inlineStr">
        <is>
          <t>eps_reg</t>
        </is>
      </c>
      <c r="G24" s="16" t="inlineStr">
        <is>
          <t>fijo</t>
        </is>
      </c>
      <c r="H24" s="16" t="inlineStr">
        <is>
          <t>0.75</t>
        </is>
      </c>
      <c r="I24" s="16" t="n"/>
      <c r="J24" s="16" t="n"/>
      <c r="K24" s="16" t="n"/>
      <c r="L24" s="16" t="inlineStr">
        <is>
          <t>sí</t>
        </is>
      </c>
      <c r="M24" s="16" t="inlineStr">
        <is>
          <t>–</t>
        </is>
      </c>
      <c r="N24" s="16" t="inlineStr">
        <is>
          <t>no</t>
        </is>
      </c>
      <c r="O24" s="16" t="n"/>
    </row>
    <row r="25">
      <c r="A25" s="16" t="inlineStr">
        <is>
          <t>1.1</t>
        </is>
      </c>
      <c r="B25" s="16" t="inlineStr">
        <is>
          <t>1.1a</t>
        </is>
      </c>
      <c r="C25" s="16" t="inlineStr">
        <is>
          <t>KF-M01</t>
        </is>
      </c>
      <c r="D25" s="16" t="inlineStr">
        <is>
          <t>KF-M01-base</t>
        </is>
      </c>
      <c r="E25" s="16" t="inlineStr">
        <is>
          <t>B01</t>
        </is>
      </c>
      <c r="F25" s="16" t="inlineStr">
        <is>
          <t>eps_cond</t>
        </is>
      </c>
      <c r="G25" s="16" t="inlineStr">
        <is>
          <t>fijo</t>
        </is>
      </c>
      <c r="H25" s="16" t="inlineStr">
        <is>
          <t>0.8</t>
        </is>
      </c>
      <c r="I25" s="16" t="n"/>
      <c r="J25" s="16" t="n"/>
      <c r="K25" s="16" t="n"/>
      <c r="L25" s="16" t="inlineStr">
        <is>
          <t>sí</t>
        </is>
      </c>
      <c r="M25" s="16" t="inlineStr">
        <is>
          <t>–</t>
        </is>
      </c>
      <c r="N25" s="16" t="inlineStr">
        <is>
          <t>no</t>
        </is>
      </c>
      <c r="O25" s="16" t="n"/>
    </row>
    <row r="26">
      <c r="A26" s="16" t="inlineStr">
        <is>
          <t>1.1</t>
        </is>
      </c>
      <c r="B26" s="16" t="inlineStr">
        <is>
          <t>1.1a</t>
        </is>
      </c>
      <c r="C26" s="16" t="inlineStr">
        <is>
          <t>KF-M01</t>
        </is>
      </c>
      <c r="D26" s="16" t="inlineStr">
        <is>
          <t>KF-M01-base</t>
        </is>
      </c>
      <c r="E26" s="16" t="inlineStr">
        <is>
          <t>B01</t>
        </is>
      </c>
      <c r="F26" s="16" t="inlineStr">
        <is>
          <t>T_amb_diseno</t>
        </is>
      </c>
      <c r="G26" s="16" t="inlineStr">
        <is>
          <t>sin_dato</t>
        </is>
      </c>
      <c r="H26" s="16" t="n"/>
      <c r="I26" s="16" t="n"/>
      <c r="J26" s="16" t="n"/>
      <c r="K26" s="16" t="n"/>
      <c r="L26" s="16" t="n"/>
      <c r="M26" s="16" t="inlineStr">
        <is>
          <t>K</t>
        </is>
      </c>
      <c r="N26" s="16" t="inlineStr">
        <is>
          <t>no</t>
        </is>
      </c>
      <c r="O26" s="16" t="n"/>
    </row>
    <row r="27">
      <c r="A27" s="16" t="inlineStr">
        <is>
          <t>1.1</t>
        </is>
      </c>
      <c r="B27" s="16" t="inlineStr">
        <is>
          <t>1.1a</t>
        </is>
      </c>
      <c r="C27" s="16" t="inlineStr">
        <is>
          <t>KF-M01</t>
        </is>
      </c>
      <c r="D27" s="16" t="inlineStr">
        <is>
          <t>KF-M01-base</t>
        </is>
      </c>
      <c r="E27" s="16" t="inlineStr">
        <is>
          <t>B01</t>
        </is>
      </c>
      <c r="F27" s="16" t="inlineStr">
        <is>
          <t>motor</t>
        </is>
      </c>
      <c r="G27" s="16" t="inlineStr">
        <is>
          <t>barrido</t>
        </is>
      </c>
      <c r="H27" s="16" t="n"/>
      <c r="I27" s="16" t="n"/>
      <c r="J27" s="16" t="n"/>
      <c r="K27" s="16" t="n">
        <v>2</v>
      </c>
      <c r="L27" s="16" t="n"/>
      <c r="M27" s="16" t="inlineStr">
        <is>
          <t>–</t>
        </is>
      </c>
      <c r="N27" s="16" t="inlineStr">
        <is>
          <t>no</t>
        </is>
      </c>
      <c r="O27" s="16" t="n"/>
    </row>
    <row r="28">
      <c r="A28" s="16" t="inlineStr">
        <is>
          <t>1.1</t>
        </is>
      </c>
      <c r="B28" s="16" t="inlineStr">
        <is>
          <t>1.1c</t>
        </is>
      </c>
      <c r="C28" s="16" t="inlineStr">
        <is>
          <t>KF-M01</t>
        </is>
      </c>
      <c r="D28" s="16" t="inlineStr">
        <is>
          <t>KF-M01-x_b</t>
        </is>
      </c>
      <c r="E28" s="16" t="inlineStr">
        <is>
          <t>B01</t>
        </is>
      </c>
      <c r="F28" s="16" t="inlineStr">
        <is>
          <t>T_fuente</t>
        </is>
      </c>
      <c r="G28" s="16" t="inlineStr">
        <is>
          <t>fijo</t>
        </is>
      </c>
      <c r="H28" s="16" t="inlineStr">
        <is>
          <t>623.15</t>
        </is>
      </c>
      <c r="I28" s="16" t="n"/>
      <c r="J28" s="16" t="n"/>
      <c r="K28" s="16" t="n"/>
      <c r="L28" s="16" t="inlineStr">
        <is>
          <t>sí</t>
        </is>
      </c>
      <c r="M28" s="16" t="inlineStr">
        <is>
          <t>K</t>
        </is>
      </c>
      <c r="N28" s="16" t="inlineStr">
        <is>
          <t>no</t>
        </is>
      </c>
      <c r="O28" s="16" t="n"/>
    </row>
    <row r="29">
      <c r="A29" s="16" t="inlineStr">
        <is>
          <t>1.1</t>
        </is>
      </c>
      <c r="B29" s="16" t="inlineStr">
        <is>
          <t>1.1c</t>
        </is>
      </c>
      <c r="C29" s="16" t="inlineStr">
        <is>
          <t>KF-M01</t>
        </is>
      </c>
      <c r="D29" s="16" t="inlineStr">
        <is>
          <t>KF-M01-x_b</t>
        </is>
      </c>
      <c r="E29" s="16" t="inlineStr">
        <is>
          <t>B01</t>
        </is>
      </c>
      <c r="F29" s="16" t="inlineStr">
        <is>
          <t>T_sumidero</t>
        </is>
      </c>
      <c r="G29" s="16" t="inlineStr">
        <is>
          <t>fijo</t>
        </is>
      </c>
      <c r="H29" s="16" t="inlineStr">
        <is>
          <t>300.032917</t>
        </is>
      </c>
      <c r="I29" s="16" t="n"/>
      <c r="J29" s="16" t="n"/>
      <c r="K29" s="16" t="n"/>
      <c r="L29" s="16" t="inlineStr">
        <is>
          <t>sí</t>
        </is>
      </c>
      <c r="M29" s="16" t="inlineStr">
        <is>
          <t>K</t>
        </is>
      </c>
      <c r="N29" s="16" t="inlineStr">
        <is>
          <t>no</t>
        </is>
      </c>
      <c r="O29" s="16" t="n"/>
    </row>
    <row r="30">
      <c r="A30" s="16" t="inlineStr">
        <is>
          <t>1.1</t>
        </is>
      </c>
      <c r="B30" s="16" t="inlineStr">
        <is>
          <t>1.1c</t>
        </is>
      </c>
      <c r="C30" s="16" t="inlineStr">
        <is>
          <t>KF-M01</t>
        </is>
      </c>
      <c r="D30" s="16" t="inlineStr">
        <is>
          <t>KF-M01-x_b</t>
        </is>
      </c>
      <c r="E30" s="16" t="inlineStr">
        <is>
          <t>B01</t>
        </is>
      </c>
      <c r="F30" s="16" t="inlineStr">
        <is>
          <t>P_alta</t>
        </is>
      </c>
      <c r="G30" s="16" t="inlineStr">
        <is>
          <t>fijo</t>
        </is>
      </c>
      <c r="H30" s="16" t="inlineStr">
        <is>
          <t>3000.0</t>
        </is>
      </c>
      <c r="I30" s="16" t="n"/>
      <c r="J30" s="16" t="n"/>
      <c r="K30" s="16" t="n"/>
      <c r="L30" s="16" t="inlineStr">
        <is>
          <t>sí</t>
        </is>
      </c>
      <c r="M30" s="16" t="inlineStr">
        <is>
          <t>kPa</t>
        </is>
      </c>
      <c r="N30" s="16" t="inlineStr">
        <is>
          <t>no</t>
        </is>
      </c>
      <c r="O30" s="16" t="n"/>
    </row>
    <row r="31">
      <c r="A31" s="16" t="inlineStr">
        <is>
          <t>1.1</t>
        </is>
      </c>
      <c r="B31" s="16" t="inlineStr">
        <is>
          <t>1.1c</t>
        </is>
      </c>
      <c r="C31" s="16" t="inlineStr">
        <is>
          <t>KF-M01</t>
        </is>
      </c>
      <c r="D31" s="16" t="inlineStr">
        <is>
          <t>KF-M01-x_b</t>
        </is>
      </c>
      <c r="E31" s="16" t="inlineStr">
        <is>
          <t>B01</t>
        </is>
      </c>
      <c r="F31" s="16" t="inlineStr">
        <is>
          <t>P_baja</t>
        </is>
      </c>
      <c r="G31" s="16" t="inlineStr">
        <is>
          <t>fijo</t>
        </is>
      </c>
      <c r="H31" s="16" t="inlineStr">
        <is>
          <t>400.0</t>
        </is>
      </c>
      <c r="I31" s="16" t="n"/>
      <c r="J31" s="16" t="n"/>
      <c r="K31" s="16" t="n"/>
      <c r="L31" s="16" t="inlineStr">
        <is>
          <t>sí</t>
        </is>
      </c>
      <c r="M31" s="16" t="inlineStr">
        <is>
          <t>kPa</t>
        </is>
      </c>
      <c r="N31" s="16" t="inlineStr">
        <is>
          <t>no</t>
        </is>
      </c>
      <c r="O31" s="16" t="n"/>
    </row>
    <row r="32">
      <c r="A32" s="16" t="inlineStr">
        <is>
          <t>1.1</t>
        </is>
      </c>
      <c r="B32" s="16" t="inlineStr">
        <is>
          <t>1.1c</t>
        </is>
      </c>
      <c r="C32" s="16" t="inlineStr">
        <is>
          <t>KF-M01</t>
        </is>
      </c>
      <c r="D32" s="16" t="inlineStr">
        <is>
          <t>KF-M01-x_b</t>
        </is>
      </c>
      <c r="E32" s="16" t="inlineStr">
        <is>
          <t>B01</t>
        </is>
      </c>
      <c r="F32" s="16" t="inlineStr">
        <is>
          <t>x_b</t>
        </is>
      </c>
      <c r="G32" s="16" t="inlineStr">
        <is>
          <t>barrido</t>
        </is>
      </c>
      <c r="H32" s="16" t="n"/>
      <c r="I32" s="16" t="n">
        <v>0.4</v>
      </c>
      <c r="J32" s="16" t="n">
        <v>0.7</v>
      </c>
      <c r="K32" s="16" t="n">
        <v>7</v>
      </c>
      <c r="L32" s="16" t="n"/>
      <c r="M32" s="16" t="inlineStr">
        <is>
          <t>–</t>
        </is>
      </c>
      <c r="N32" s="16" t="inlineStr">
        <is>
          <t>no</t>
        </is>
      </c>
      <c r="O32" s="16" t="n"/>
    </row>
    <row r="33">
      <c r="A33" s="16" t="inlineStr">
        <is>
          <t>1.1</t>
        </is>
      </c>
      <c r="B33" s="16" t="inlineStr">
        <is>
          <t>1.1c</t>
        </is>
      </c>
      <c r="C33" s="16" t="inlineStr">
        <is>
          <t>KF-M01</t>
        </is>
      </c>
      <c r="D33" s="16" t="inlineStr">
        <is>
          <t>KF-M01-x_b</t>
        </is>
      </c>
      <c r="E33" s="16" t="inlineStr">
        <is>
          <t>B01</t>
        </is>
      </c>
      <c r="F33" s="16" t="inlineStr">
        <is>
          <t>m_b</t>
        </is>
      </c>
      <c r="G33" s="16" t="inlineStr">
        <is>
          <t>fijo</t>
        </is>
      </c>
      <c r="H33" s="16" t="inlineStr">
        <is>
          <t>1.0</t>
        </is>
      </c>
      <c r="I33" s="16" t="n"/>
      <c r="J33" s="16" t="n"/>
      <c r="K33" s="16" t="n"/>
      <c r="L33" s="16" t="inlineStr">
        <is>
          <t>sí</t>
        </is>
      </c>
      <c r="M33" s="16" t="inlineStr">
        <is>
          <t>kg/s</t>
        </is>
      </c>
      <c r="N33" s="16" t="inlineStr">
        <is>
          <t>no</t>
        </is>
      </c>
      <c r="O33" s="16" t="n"/>
    </row>
    <row r="34">
      <c r="A34" s="16" t="inlineStr">
        <is>
          <t>1.1</t>
        </is>
      </c>
      <c r="B34" s="16" t="inlineStr">
        <is>
          <t>1.1c</t>
        </is>
      </c>
      <c r="C34" s="16" t="inlineStr">
        <is>
          <t>KF-M01</t>
        </is>
      </c>
      <c r="D34" s="16" t="inlineStr">
        <is>
          <t>KF-M01-x_b</t>
        </is>
      </c>
      <c r="E34" s="16" t="inlineStr">
        <is>
          <t>B01</t>
        </is>
      </c>
      <c r="F34" s="16" t="inlineStr">
        <is>
          <t>eta_t</t>
        </is>
      </c>
      <c r="G34" s="16" t="inlineStr">
        <is>
          <t>fijo</t>
        </is>
      </c>
      <c r="H34" s="16" t="inlineStr">
        <is>
          <t>0.85</t>
        </is>
      </c>
      <c r="I34" s="16" t="n"/>
      <c r="J34" s="16" t="n"/>
      <c r="K34" s="16" t="n"/>
      <c r="L34" s="16" t="inlineStr">
        <is>
          <t>sí</t>
        </is>
      </c>
      <c r="M34" s="16" t="inlineStr">
        <is>
          <t>–</t>
        </is>
      </c>
      <c r="N34" s="16" t="inlineStr">
        <is>
          <t>no</t>
        </is>
      </c>
      <c r="O34" s="16" t="n"/>
    </row>
    <row r="35">
      <c r="A35" s="16" t="inlineStr">
        <is>
          <t>1.1</t>
        </is>
      </c>
      <c r="B35" s="16" t="inlineStr">
        <is>
          <t>1.1c</t>
        </is>
      </c>
      <c r="C35" s="16" t="inlineStr">
        <is>
          <t>KF-M01</t>
        </is>
      </c>
      <c r="D35" s="16" t="inlineStr">
        <is>
          <t>KF-M01-x_b</t>
        </is>
      </c>
      <c r="E35" s="16" t="inlineStr">
        <is>
          <t>B01</t>
        </is>
      </c>
      <c r="F35" s="16" t="inlineStr">
        <is>
          <t>eta_p</t>
        </is>
      </c>
      <c r="G35" s="16" t="inlineStr">
        <is>
          <t>fijo</t>
        </is>
      </c>
      <c r="H35" s="16" t="inlineStr">
        <is>
          <t>0.75</t>
        </is>
      </c>
      <c r="I35" s="16" t="n"/>
      <c r="J35" s="16" t="n"/>
      <c r="K35" s="16" t="n"/>
      <c r="L35" s="16" t="inlineStr">
        <is>
          <t>sí</t>
        </is>
      </c>
      <c r="M35" s="16" t="inlineStr">
        <is>
          <t>–</t>
        </is>
      </c>
      <c r="N35" s="16" t="inlineStr">
        <is>
          <t>no</t>
        </is>
      </c>
      <c r="O35" s="16" t="n"/>
    </row>
    <row r="36">
      <c r="A36" s="16" t="inlineStr">
        <is>
          <t>1.1</t>
        </is>
      </c>
      <c r="B36" s="16" t="inlineStr">
        <is>
          <t>1.1c</t>
        </is>
      </c>
      <c r="C36" s="16" t="inlineStr">
        <is>
          <t>KF-M01</t>
        </is>
      </c>
      <c r="D36" s="16" t="inlineStr">
        <is>
          <t>KF-M01-x_b</t>
        </is>
      </c>
      <c r="E36" s="16" t="inlineStr">
        <is>
          <t>B01</t>
        </is>
      </c>
      <c r="F36" s="16" t="inlineStr">
        <is>
          <t>eps_hrvg</t>
        </is>
      </c>
      <c r="G36" s="16" t="inlineStr">
        <is>
          <t>fijo</t>
        </is>
      </c>
      <c r="H36" s="16" t="inlineStr">
        <is>
          <t>0.85</t>
        </is>
      </c>
      <c r="I36" s="16" t="n"/>
      <c r="J36" s="16" t="n"/>
      <c r="K36" s="16" t="n"/>
      <c r="L36" s="16" t="inlineStr">
        <is>
          <t>sí</t>
        </is>
      </c>
      <c r="M36" s="16" t="inlineStr">
        <is>
          <t>–</t>
        </is>
      </c>
      <c r="N36" s="16" t="inlineStr">
        <is>
          <t>no</t>
        </is>
      </c>
      <c r="O36" s="16" t="n"/>
    </row>
    <row r="37">
      <c r="A37" s="16" t="inlineStr">
        <is>
          <t>1.1</t>
        </is>
      </c>
      <c r="B37" s="16" t="inlineStr">
        <is>
          <t>1.1c</t>
        </is>
      </c>
      <c r="C37" s="16" t="inlineStr">
        <is>
          <t>KF-M01</t>
        </is>
      </c>
      <c r="D37" s="16" t="inlineStr">
        <is>
          <t>KF-M01-x_b</t>
        </is>
      </c>
      <c r="E37" s="16" t="inlineStr">
        <is>
          <t>B01</t>
        </is>
      </c>
      <c r="F37" s="16" t="inlineStr">
        <is>
          <t>eps_reg</t>
        </is>
      </c>
      <c r="G37" s="16" t="inlineStr">
        <is>
          <t>fijo</t>
        </is>
      </c>
      <c r="H37" s="16" t="inlineStr">
        <is>
          <t>0.75</t>
        </is>
      </c>
      <c r="I37" s="16" t="n"/>
      <c r="J37" s="16" t="n"/>
      <c r="K37" s="16" t="n"/>
      <c r="L37" s="16" t="inlineStr">
        <is>
          <t>sí</t>
        </is>
      </c>
      <c r="M37" s="16" t="inlineStr">
        <is>
          <t>–</t>
        </is>
      </c>
      <c r="N37" s="16" t="inlineStr">
        <is>
          <t>no</t>
        </is>
      </c>
      <c r="O37" s="16" t="n"/>
    </row>
    <row r="38">
      <c r="A38" s="16" t="inlineStr">
        <is>
          <t>1.1</t>
        </is>
      </c>
      <c r="B38" s="16" t="inlineStr">
        <is>
          <t>1.1c</t>
        </is>
      </c>
      <c r="C38" s="16" t="inlineStr">
        <is>
          <t>KF-M01</t>
        </is>
      </c>
      <c r="D38" s="16" t="inlineStr">
        <is>
          <t>KF-M01-x_b</t>
        </is>
      </c>
      <c r="E38" s="16" t="inlineStr">
        <is>
          <t>B01</t>
        </is>
      </c>
      <c r="F38" s="16" t="inlineStr">
        <is>
          <t>eps_cond</t>
        </is>
      </c>
      <c r="G38" s="16" t="inlineStr">
        <is>
          <t>fijo</t>
        </is>
      </c>
      <c r="H38" s="16" t="inlineStr">
        <is>
          <t>0.8</t>
        </is>
      </c>
      <c r="I38" s="16" t="n"/>
      <c r="J38" s="16" t="n"/>
      <c r="K38" s="16" t="n"/>
      <c r="L38" s="16" t="inlineStr">
        <is>
          <t>sí</t>
        </is>
      </c>
      <c r="M38" s="16" t="inlineStr">
        <is>
          <t>–</t>
        </is>
      </c>
      <c r="N38" s="16" t="inlineStr">
        <is>
          <t>no</t>
        </is>
      </c>
      <c r="O38" s="16" t="n"/>
    </row>
    <row r="39">
      <c r="A39" s="16" t="inlineStr">
        <is>
          <t>1.1</t>
        </is>
      </c>
      <c r="B39" s="16" t="inlineStr">
        <is>
          <t>1.1c</t>
        </is>
      </c>
      <c r="C39" s="16" t="inlineStr">
        <is>
          <t>KF-M01</t>
        </is>
      </c>
      <c r="D39" s="16" t="inlineStr">
        <is>
          <t>KF-M01-x_b</t>
        </is>
      </c>
      <c r="E39" s="16" t="inlineStr">
        <is>
          <t>B01</t>
        </is>
      </c>
      <c r="F39" s="16" t="inlineStr">
        <is>
          <t>T_amb_diseno</t>
        </is>
      </c>
      <c r="G39" s="16" t="inlineStr">
        <is>
          <t>sin_dato</t>
        </is>
      </c>
      <c r="H39" s="16" t="n"/>
      <c r="I39" s="16" t="n"/>
      <c r="J39" s="16" t="n"/>
      <c r="K39" s="16" t="n"/>
      <c r="L39" s="16" t="n"/>
      <c r="M39" s="16" t="inlineStr">
        <is>
          <t>K</t>
        </is>
      </c>
      <c r="N39" s="16" t="inlineStr">
        <is>
          <t>no</t>
        </is>
      </c>
      <c r="O39" s="16" t="n"/>
    </row>
    <row r="40">
      <c r="A40" s="16" t="inlineStr">
        <is>
          <t>1.1</t>
        </is>
      </c>
      <c r="B40" s="16" t="inlineStr">
        <is>
          <t>1.1c</t>
        </is>
      </c>
      <c r="C40" s="16" t="inlineStr">
        <is>
          <t>KF-M01</t>
        </is>
      </c>
      <c r="D40" s="16" t="inlineStr">
        <is>
          <t>KF-M01-x_b</t>
        </is>
      </c>
      <c r="E40" s="16" t="inlineStr">
        <is>
          <t>B01</t>
        </is>
      </c>
      <c r="F40" s="16" t="inlineStr">
        <is>
          <t>motor</t>
        </is>
      </c>
      <c r="G40" s="16" t="inlineStr">
        <is>
          <t>fijo</t>
        </is>
      </c>
      <c r="H40" s="16" t="inlineStr">
        <is>
          <t>teqp</t>
        </is>
      </c>
      <c r="I40" s="16" t="n"/>
      <c r="J40" s="16" t="n"/>
      <c r="K40" s="16" t="n"/>
      <c r="L40" s="16" t="n"/>
      <c r="M40" s="16" t="inlineStr">
        <is>
          <t>–</t>
        </is>
      </c>
      <c r="N40" s="16" t="inlineStr">
        <is>
          <t>no</t>
        </is>
      </c>
      <c r="O40" s="16" t="n"/>
    </row>
    <row r="41">
      <c r="A41" s="16" t="inlineStr">
        <is>
          <t>1.1</t>
        </is>
      </c>
      <c r="B41" s="16" t="inlineStr">
        <is>
          <t>1.1d</t>
        </is>
      </c>
      <c r="C41" s="16" t="inlineStr">
        <is>
          <t>KF-M01</t>
        </is>
      </c>
      <c r="D41" s="16" t="inlineStr">
        <is>
          <t>KF-M01-T_amb</t>
        </is>
      </c>
      <c r="E41" s="16" t="inlineStr">
        <is>
          <t>B01</t>
        </is>
      </c>
      <c r="F41" s="16" t="inlineStr">
        <is>
          <t>T_fuente</t>
        </is>
      </c>
      <c r="G41" s="16" t="inlineStr">
        <is>
          <t>fijo</t>
        </is>
      </c>
      <c r="H41" s="16" t="inlineStr">
        <is>
          <t>623.15</t>
        </is>
      </c>
      <c r="I41" s="16" t="n"/>
      <c r="J41" s="16" t="n"/>
      <c r="K41" s="16" t="n"/>
      <c r="L41" s="16" t="inlineStr">
        <is>
          <t>sí</t>
        </is>
      </c>
      <c r="M41" s="16" t="inlineStr">
        <is>
          <t>K</t>
        </is>
      </c>
      <c r="N41" s="16" t="inlineStr">
        <is>
          <t>no</t>
        </is>
      </c>
      <c r="O41" s="16" t="n"/>
    </row>
    <row r="42">
      <c r="A42" s="16" t="inlineStr">
        <is>
          <t>1.1</t>
        </is>
      </c>
      <c r="B42" s="16" t="inlineStr">
        <is>
          <t>1.1d</t>
        </is>
      </c>
      <c r="C42" s="16" t="inlineStr">
        <is>
          <t>KF-M01</t>
        </is>
      </c>
      <c r="D42" s="16" t="inlineStr">
        <is>
          <t>KF-M01-T_amb</t>
        </is>
      </c>
      <c r="E42" s="16" t="inlineStr">
        <is>
          <t>B01</t>
        </is>
      </c>
      <c r="F42" s="16" t="inlineStr">
        <is>
          <t>T_sumidero</t>
        </is>
      </c>
      <c r="G42" s="16" t="inlineStr">
        <is>
          <t>barrido</t>
        </is>
      </c>
      <c r="H42" s="16" t="n"/>
      <c r="I42" s="16" t="n">
        <v>297.95</v>
      </c>
      <c r="J42" s="16" t="n">
        <v>303.55</v>
      </c>
      <c r="K42" s="16" t="n">
        <v>23</v>
      </c>
      <c r="L42" s="16" t="n"/>
      <c r="M42" s="16" t="inlineStr">
        <is>
          <t>K</t>
        </is>
      </c>
      <c r="N42" s="16" t="inlineStr">
        <is>
          <t>no</t>
        </is>
      </c>
      <c r="O42" s="16" t="n"/>
    </row>
    <row r="43">
      <c r="A43" s="16" t="inlineStr">
        <is>
          <t>1.1</t>
        </is>
      </c>
      <c r="B43" s="16" t="inlineStr">
        <is>
          <t>1.1d</t>
        </is>
      </c>
      <c r="C43" s="16" t="inlineStr">
        <is>
          <t>KF-M01</t>
        </is>
      </c>
      <c r="D43" s="16" t="inlineStr">
        <is>
          <t>KF-M01-T_amb</t>
        </is>
      </c>
      <c r="E43" s="16" t="inlineStr">
        <is>
          <t>B01</t>
        </is>
      </c>
      <c r="F43" s="16" t="inlineStr">
        <is>
          <t>P_alta</t>
        </is>
      </c>
      <c r="G43" s="16" t="inlineStr">
        <is>
          <t>fijo</t>
        </is>
      </c>
      <c r="H43" s="16" t="inlineStr">
        <is>
          <t>3000.0</t>
        </is>
      </c>
      <c r="I43" s="16" t="n"/>
      <c r="J43" s="16" t="n"/>
      <c r="K43" s="16" t="n"/>
      <c r="L43" s="16" t="inlineStr">
        <is>
          <t>sí</t>
        </is>
      </c>
      <c r="M43" s="16" t="inlineStr">
        <is>
          <t>kPa</t>
        </is>
      </c>
      <c r="N43" s="16" t="inlineStr">
        <is>
          <t>no</t>
        </is>
      </c>
      <c r="O43" s="16" t="n"/>
    </row>
    <row r="44">
      <c r="A44" s="16" t="inlineStr">
        <is>
          <t>1.1</t>
        </is>
      </c>
      <c r="B44" s="16" t="inlineStr">
        <is>
          <t>1.1d</t>
        </is>
      </c>
      <c r="C44" s="16" t="inlineStr">
        <is>
          <t>KF-M01</t>
        </is>
      </c>
      <c r="D44" s="16" t="inlineStr">
        <is>
          <t>KF-M01-T_amb</t>
        </is>
      </c>
      <c r="E44" s="16" t="inlineStr">
        <is>
          <t>B01</t>
        </is>
      </c>
      <c r="F44" s="16" t="inlineStr">
        <is>
          <t>P_baja</t>
        </is>
      </c>
      <c r="G44" s="16" t="inlineStr">
        <is>
          <t>fijo</t>
        </is>
      </c>
      <c r="H44" s="16" t="inlineStr">
        <is>
          <t>400.0</t>
        </is>
      </c>
      <c r="I44" s="16" t="n"/>
      <c r="J44" s="16" t="n"/>
      <c r="K44" s="16" t="n"/>
      <c r="L44" s="16" t="inlineStr">
        <is>
          <t>sí</t>
        </is>
      </c>
      <c r="M44" s="16" t="inlineStr">
        <is>
          <t>kPa</t>
        </is>
      </c>
      <c r="N44" s="16" t="inlineStr">
        <is>
          <t>no</t>
        </is>
      </c>
      <c r="O44" s="16" t="n"/>
    </row>
    <row r="45">
      <c r="A45" s="16" t="inlineStr">
        <is>
          <t>1.1</t>
        </is>
      </c>
      <c r="B45" s="16" t="inlineStr">
        <is>
          <t>1.1d</t>
        </is>
      </c>
      <c r="C45" s="16" t="inlineStr">
        <is>
          <t>KF-M01</t>
        </is>
      </c>
      <c r="D45" s="16" t="inlineStr">
        <is>
          <t>KF-M01-T_amb</t>
        </is>
      </c>
      <c r="E45" s="16" t="inlineStr">
        <is>
          <t>B01</t>
        </is>
      </c>
      <c r="F45" s="16" t="inlineStr">
        <is>
          <t>x_b</t>
        </is>
      </c>
      <c r="G45" s="16" t="inlineStr">
        <is>
          <t>fijo</t>
        </is>
      </c>
      <c r="H45" s="16" t="inlineStr">
        <is>
          <t>0.5</t>
        </is>
      </c>
      <c r="I45" s="16" t="n"/>
      <c r="J45" s="16" t="n"/>
      <c r="K45" s="16" t="n"/>
      <c r="L45" s="16" t="inlineStr">
        <is>
          <t>sí</t>
        </is>
      </c>
      <c r="M45" s="16" t="inlineStr">
        <is>
          <t>–</t>
        </is>
      </c>
      <c r="N45" s="16" t="inlineStr">
        <is>
          <t>no</t>
        </is>
      </c>
      <c r="O45" s="16" t="n"/>
    </row>
    <row r="46">
      <c r="A46" s="16" t="inlineStr">
        <is>
          <t>1.1</t>
        </is>
      </c>
      <c r="B46" s="16" t="inlineStr">
        <is>
          <t>1.1d</t>
        </is>
      </c>
      <c r="C46" s="16" t="inlineStr">
        <is>
          <t>KF-M01</t>
        </is>
      </c>
      <c r="D46" s="16" t="inlineStr">
        <is>
          <t>KF-M01-T_amb</t>
        </is>
      </c>
      <c r="E46" s="16" t="inlineStr">
        <is>
          <t>B01</t>
        </is>
      </c>
      <c r="F46" s="16" t="inlineStr">
        <is>
          <t>m_b</t>
        </is>
      </c>
      <c r="G46" s="16" t="inlineStr">
        <is>
          <t>fijo</t>
        </is>
      </c>
      <c r="H46" s="16" t="inlineStr">
        <is>
          <t>1.0</t>
        </is>
      </c>
      <c r="I46" s="16" t="n"/>
      <c r="J46" s="16" t="n"/>
      <c r="K46" s="16" t="n"/>
      <c r="L46" s="16" t="inlineStr">
        <is>
          <t>sí</t>
        </is>
      </c>
      <c r="M46" s="16" t="inlineStr">
        <is>
          <t>kg/s</t>
        </is>
      </c>
      <c r="N46" s="16" t="inlineStr">
        <is>
          <t>no</t>
        </is>
      </c>
      <c r="O46" s="16" t="n"/>
    </row>
    <row r="47">
      <c r="A47" s="16" t="inlineStr">
        <is>
          <t>1.1</t>
        </is>
      </c>
      <c r="B47" s="16" t="inlineStr">
        <is>
          <t>1.1d</t>
        </is>
      </c>
      <c r="C47" s="16" t="inlineStr">
        <is>
          <t>KF-M01</t>
        </is>
      </c>
      <c r="D47" s="16" t="inlineStr">
        <is>
          <t>KF-M01-T_amb</t>
        </is>
      </c>
      <c r="E47" s="16" t="inlineStr">
        <is>
          <t>B01</t>
        </is>
      </c>
      <c r="F47" s="16" t="inlineStr">
        <is>
          <t>eta_t</t>
        </is>
      </c>
      <c r="G47" s="16" t="inlineStr">
        <is>
          <t>fijo</t>
        </is>
      </c>
      <c r="H47" s="16" t="inlineStr">
        <is>
          <t>0.85</t>
        </is>
      </c>
      <c r="I47" s="16" t="n"/>
      <c r="J47" s="16" t="n"/>
      <c r="K47" s="16" t="n"/>
      <c r="L47" s="16" t="inlineStr">
        <is>
          <t>sí</t>
        </is>
      </c>
      <c r="M47" s="16" t="inlineStr">
        <is>
          <t>–</t>
        </is>
      </c>
      <c r="N47" s="16" t="inlineStr">
        <is>
          <t>no</t>
        </is>
      </c>
      <c r="O47" s="16" t="n"/>
    </row>
    <row r="48">
      <c r="A48" s="16" t="inlineStr">
        <is>
          <t>1.1</t>
        </is>
      </c>
      <c r="B48" s="16" t="inlineStr">
        <is>
          <t>1.1d</t>
        </is>
      </c>
      <c r="C48" s="16" t="inlineStr">
        <is>
          <t>KF-M01</t>
        </is>
      </c>
      <c r="D48" s="16" t="inlineStr">
        <is>
          <t>KF-M01-T_amb</t>
        </is>
      </c>
      <c r="E48" s="16" t="inlineStr">
        <is>
          <t>B01</t>
        </is>
      </c>
      <c r="F48" s="16" t="inlineStr">
        <is>
          <t>eta_p</t>
        </is>
      </c>
      <c r="G48" s="16" t="inlineStr">
        <is>
          <t>fijo</t>
        </is>
      </c>
      <c r="H48" s="16" t="inlineStr">
        <is>
          <t>0.75</t>
        </is>
      </c>
      <c r="I48" s="16" t="n"/>
      <c r="J48" s="16" t="n"/>
      <c r="K48" s="16" t="n"/>
      <c r="L48" s="16" t="inlineStr">
        <is>
          <t>sí</t>
        </is>
      </c>
      <c r="M48" s="16" t="inlineStr">
        <is>
          <t>–</t>
        </is>
      </c>
      <c r="N48" s="16" t="inlineStr">
        <is>
          <t>no</t>
        </is>
      </c>
      <c r="O48" s="16" t="n"/>
    </row>
    <row r="49">
      <c r="A49" s="16" t="inlineStr">
        <is>
          <t>1.1</t>
        </is>
      </c>
      <c r="B49" s="16" t="inlineStr">
        <is>
          <t>1.1d</t>
        </is>
      </c>
      <c r="C49" s="16" t="inlineStr">
        <is>
          <t>KF-M01</t>
        </is>
      </c>
      <c r="D49" s="16" t="inlineStr">
        <is>
          <t>KF-M01-T_amb</t>
        </is>
      </c>
      <c r="E49" s="16" t="inlineStr">
        <is>
          <t>B01</t>
        </is>
      </c>
      <c r="F49" s="16" t="inlineStr">
        <is>
          <t>eps_hrvg</t>
        </is>
      </c>
      <c r="G49" s="16" t="inlineStr">
        <is>
          <t>fijo</t>
        </is>
      </c>
      <c r="H49" s="16" t="inlineStr">
        <is>
          <t>0.85</t>
        </is>
      </c>
      <c r="I49" s="16" t="n"/>
      <c r="J49" s="16" t="n"/>
      <c r="K49" s="16" t="n"/>
      <c r="L49" s="16" t="inlineStr">
        <is>
          <t>sí</t>
        </is>
      </c>
      <c r="M49" s="16" t="inlineStr">
        <is>
          <t>–</t>
        </is>
      </c>
      <c r="N49" s="16" t="inlineStr">
        <is>
          <t>no</t>
        </is>
      </c>
      <c r="O49" s="16" t="n"/>
    </row>
    <row r="50">
      <c r="A50" s="16" t="inlineStr">
        <is>
          <t>1.1</t>
        </is>
      </c>
      <c r="B50" s="16" t="inlineStr">
        <is>
          <t>1.1d</t>
        </is>
      </c>
      <c r="C50" s="16" t="inlineStr">
        <is>
          <t>KF-M01</t>
        </is>
      </c>
      <c r="D50" s="16" t="inlineStr">
        <is>
          <t>KF-M01-T_amb</t>
        </is>
      </c>
      <c r="E50" s="16" t="inlineStr">
        <is>
          <t>B01</t>
        </is>
      </c>
      <c r="F50" s="16" t="inlineStr">
        <is>
          <t>eps_reg</t>
        </is>
      </c>
      <c r="G50" s="16" t="inlineStr">
        <is>
          <t>fijo</t>
        </is>
      </c>
      <c r="H50" s="16" t="inlineStr">
        <is>
          <t>0.75</t>
        </is>
      </c>
      <c r="I50" s="16" t="n"/>
      <c r="J50" s="16" t="n"/>
      <c r="K50" s="16" t="n"/>
      <c r="L50" s="16" t="inlineStr">
        <is>
          <t>sí</t>
        </is>
      </c>
      <c r="M50" s="16" t="inlineStr">
        <is>
          <t>–</t>
        </is>
      </c>
      <c r="N50" s="16" t="inlineStr">
        <is>
          <t>no</t>
        </is>
      </c>
      <c r="O50" s="16" t="n"/>
    </row>
    <row r="51">
      <c r="A51" s="16" t="inlineStr">
        <is>
          <t>1.1</t>
        </is>
      </c>
      <c r="B51" s="16" t="inlineStr">
        <is>
          <t>1.1d</t>
        </is>
      </c>
      <c r="C51" s="16" t="inlineStr">
        <is>
          <t>KF-M01</t>
        </is>
      </c>
      <c r="D51" s="16" t="inlineStr">
        <is>
          <t>KF-M01-T_amb</t>
        </is>
      </c>
      <c r="E51" s="16" t="inlineStr">
        <is>
          <t>B01</t>
        </is>
      </c>
      <c r="F51" s="16" t="inlineStr">
        <is>
          <t>eps_cond</t>
        </is>
      </c>
      <c r="G51" s="16" t="inlineStr">
        <is>
          <t>fijo</t>
        </is>
      </c>
      <c r="H51" s="16" t="inlineStr">
        <is>
          <t>0.8</t>
        </is>
      </c>
      <c r="I51" s="16" t="n"/>
      <c r="J51" s="16" t="n"/>
      <c r="K51" s="16" t="n"/>
      <c r="L51" s="16" t="inlineStr">
        <is>
          <t>sí</t>
        </is>
      </c>
      <c r="M51" s="16" t="inlineStr">
        <is>
          <t>–</t>
        </is>
      </c>
      <c r="N51" s="16" t="inlineStr">
        <is>
          <t>no</t>
        </is>
      </c>
      <c r="O51" s="16" t="n"/>
    </row>
    <row r="52">
      <c r="A52" s="16" t="inlineStr">
        <is>
          <t>1.1</t>
        </is>
      </c>
      <c r="B52" s="16" t="inlineStr">
        <is>
          <t>1.1d</t>
        </is>
      </c>
      <c r="C52" s="16" t="inlineStr">
        <is>
          <t>KF-M01</t>
        </is>
      </c>
      <c r="D52" s="16" t="inlineStr">
        <is>
          <t>KF-M01-T_amb</t>
        </is>
      </c>
      <c r="E52" s="16" t="inlineStr">
        <is>
          <t>B01</t>
        </is>
      </c>
      <c r="F52" s="16" t="inlineStr">
        <is>
          <t>T_amb_diseno</t>
        </is>
      </c>
      <c r="G52" s="16" t="inlineStr">
        <is>
          <t>sin_dato</t>
        </is>
      </c>
      <c r="H52" s="16" t="n"/>
      <c r="I52" s="16" t="n"/>
      <c r="J52" s="16" t="n"/>
      <c r="K52" s="16" t="n"/>
      <c r="L52" s="16" t="n"/>
      <c r="M52" s="16" t="inlineStr">
        <is>
          <t>K</t>
        </is>
      </c>
      <c r="N52" s="16" t="inlineStr">
        <is>
          <t>no</t>
        </is>
      </c>
      <c r="O52" s="16" t="n"/>
    </row>
    <row r="53">
      <c r="A53" s="16" t="inlineStr">
        <is>
          <t>1.1</t>
        </is>
      </c>
      <c r="B53" s="16" t="inlineStr">
        <is>
          <t>1.1d</t>
        </is>
      </c>
      <c r="C53" s="16" t="inlineStr">
        <is>
          <t>KF-M01</t>
        </is>
      </c>
      <c r="D53" s="16" t="inlineStr">
        <is>
          <t>KF-M01-T_amb</t>
        </is>
      </c>
      <c r="E53" s="16" t="inlineStr">
        <is>
          <t>B01</t>
        </is>
      </c>
      <c r="F53" s="16" t="inlineStr">
        <is>
          <t>motor</t>
        </is>
      </c>
      <c r="G53" s="16" t="inlineStr">
        <is>
          <t>fijo</t>
        </is>
      </c>
      <c r="H53" s="16" t="inlineStr">
        <is>
          <t>teqp</t>
        </is>
      </c>
      <c r="I53" s="16" t="n"/>
      <c r="J53" s="16" t="n"/>
      <c r="K53" s="16" t="n"/>
      <c r="L53" s="16" t="n"/>
      <c r="M53" s="16" t="inlineStr">
        <is>
          <t>–</t>
        </is>
      </c>
      <c r="N53" s="16" t="inlineStr">
        <is>
          <t>no</t>
        </is>
      </c>
      <c r="O53" s="16" t="n"/>
    </row>
    <row r="54">
      <c r="A54" s="16" t="inlineStr">
        <is>
          <t>2.1</t>
        </is>
      </c>
      <c r="B54" s="16" t="inlineStr">
        <is>
          <t>2.1</t>
        </is>
      </c>
      <c r="C54" s="16" t="inlineStr">
        <is>
          <t>KF-M02-N1</t>
        </is>
      </c>
      <c r="D54" s="16" t="inlineStr">
        <is>
          <t>KF-M02-N1</t>
        </is>
      </c>
      <c r="E54" s="16" t="inlineStr">
        <is>
          <t>B02</t>
        </is>
      </c>
      <c r="F54" s="16" t="inlineStr">
        <is>
          <t>T_fuente</t>
        </is>
      </c>
      <c r="G54" s="16" t="inlineStr">
        <is>
          <t>barrido</t>
        </is>
      </c>
      <c r="H54" s="16" t="n"/>
      <c r="I54" s="16" t="n">
        <v>340</v>
      </c>
      <c r="J54" s="16" t="n">
        <v>623.15</v>
      </c>
      <c r="K54" s="16" t="n">
        <v>22</v>
      </c>
      <c r="L54" s="16" t="n"/>
      <c r="M54" s="16" t="inlineStr">
        <is>
          <t>K</t>
        </is>
      </c>
      <c r="N54" s="16" t="inlineStr">
        <is>
          <t>sí</t>
        </is>
      </c>
      <c r="O54" s="16" t="n">
        <v>623.15</v>
      </c>
    </row>
    <row r="55">
      <c r="A55" s="16" t="inlineStr">
        <is>
          <t>2.1</t>
        </is>
      </c>
      <c r="B55" s="16" t="inlineStr">
        <is>
          <t>2.1</t>
        </is>
      </c>
      <c r="C55" s="16" t="inlineStr">
        <is>
          <t>KF-M02-N1</t>
        </is>
      </c>
      <c r="D55" s="16" t="inlineStr">
        <is>
          <t>KF-M02-N1</t>
        </is>
      </c>
      <c r="E55" s="16" t="inlineStr">
        <is>
          <t>B02</t>
        </is>
      </c>
      <c r="F55" s="16" t="inlineStr">
        <is>
          <t>T_sumidero</t>
        </is>
      </c>
      <c r="G55" s="16" t="inlineStr">
        <is>
          <t>barrido</t>
        </is>
      </c>
      <c r="H55" s="16" t="n"/>
      <c r="I55" s="16" t="n">
        <v>283.15</v>
      </c>
      <c r="J55" s="16" t="n">
        <v>303.55</v>
      </c>
      <c r="K55" s="16" t="n">
        <v>11</v>
      </c>
      <c r="L55" s="16" t="n"/>
      <c r="M55" s="16" t="inlineStr">
        <is>
          <t>K</t>
        </is>
      </c>
      <c r="N55" s="16" t="inlineStr">
        <is>
          <t>sí</t>
        </is>
      </c>
      <c r="O55" s="16" t="n">
        <v>300.033</v>
      </c>
    </row>
    <row r="56">
      <c r="A56" s="16" t="inlineStr">
        <is>
          <t>2.1</t>
        </is>
      </c>
      <c r="B56" s="16" t="inlineStr">
        <is>
          <t>2.1</t>
        </is>
      </c>
      <c r="C56" s="16" t="inlineStr">
        <is>
          <t>KF-M02-N1</t>
        </is>
      </c>
      <c r="D56" s="16" t="inlineStr">
        <is>
          <t>KF-M02-N1</t>
        </is>
      </c>
      <c r="E56" s="16" t="inlineStr">
        <is>
          <t>B02</t>
        </is>
      </c>
      <c r="F56" s="16" t="inlineStr">
        <is>
          <t>P_alta</t>
        </is>
      </c>
      <c r="G56" s="16" t="inlineStr">
        <is>
          <t>barrido</t>
        </is>
      </c>
      <c r="H56" s="16" t="n"/>
      <c r="I56" s="16" t="n">
        <v>1000</v>
      </c>
      <c r="J56" s="16" t="n">
        <v>10000</v>
      </c>
      <c r="K56" s="16" t="n">
        <v>24</v>
      </c>
      <c r="L56" s="16" t="n"/>
      <c r="M56" s="16" t="inlineStr">
        <is>
          <t>kPa</t>
        </is>
      </c>
      <c r="N56" s="16" t="inlineStr">
        <is>
          <t>sí</t>
        </is>
      </c>
      <c r="O56" s="16" t="n">
        <v>3000</v>
      </c>
    </row>
    <row r="57">
      <c r="A57" s="16" t="inlineStr">
        <is>
          <t>2.1</t>
        </is>
      </c>
      <c r="B57" s="16" t="inlineStr">
        <is>
          <t>2.1</t>
        </is>
      </c>
      <c r="C57" s="16" t="inlineStr">
        <is>
          <t>KF-M02-N1</t>
        </is>
      </c>
      <c r="D57" s="16" t="inlineStr">
        <is>
          <t>KF-M02-N1</t>
        </is>
      </c>
      <c r="E57" s="16" t="inlineStr">
        <is>
          <t>B02</t>
        </is>
      </c>
      <c r="F57" s="16" t="inlineStr">
        <is>
          <t>P_baja</t>
        </is>
      </c>
      <c r="G57" s="16" t="inlineStr">
        <is>
          <t>barrido</t>
        </is>
      </c>
      <c r="H57" s="16" t="n"/>
      <c r="I57" s="16" t="n">
        <v>150</v>
      </c>
      <c r="J57" s="16" t="n">
        <v>1500</v>
      </c>
      <c r="K57" s="16" t="n">
        <v>11</v>
      </c>
      <c r="L57" s="16" t="n"/>
      <c r="M57" s="16" t="inlineStr">
        <is>
          <t>kPa</t>
        </is>
      </c>
      <c r="N57" s="16" t="inlineStr">
        <is>
          <t>sí</t>
        </is>
      </c>
      <c r="O57" s="16" t="n">
        <v>400</v>
      </c>
    </row>
    <row r="58">
      <c r="A58" s="16" t="inlineStr">
        <is>
          <t>2.1</t>
        </is>
      </c>
      <c r="B58" s="16" t="inlineStr">
        <is>
          <t>2.1</t>
        </is>
      </c>
      <c r="C58" s="16" t="inlineStr">
        <is>
          <t>KF-M02-N1</t>
        </is>
      </c>
      <c r="D58" s="16" t="inlineStr">
        <is>
          <t>KF-M02-N1</t>
        </is>
      </c>
      <c r="E58" s="16" t="inlineStr">
        <is>
          <t>B02</t>
        </is>
      </c>
      <c r="F58" s="16" t="inlineStr">
        <is>
          <t>x_b</t>
        </is>
      </c>
      <c r="G58" s="16" t="inlineStr">
        <is>
          <t>barrido</t>
        </is>
      </c>
      <c r="H58" s="16" t="n"/>
      <c r="I58" s="16" t="n">
        <v>0.3</v>
      </c>
      <c r="J58" s="16" t="n">
        <v>0.9</v>
      </c>
      <c r="K58" s="16" t="n">
        <v>14</v>
      </c>
      <c r="L58" s="16" t="n"/>
      <c r="M58" s="16" t="inlineStr">
        <is>
          <t>–</t>
        </is>
      </c>
      <c r="N58" s="16" t="inlineStr">
        <is>
          <t>sí</t>
        </is>
      </c>
      <c r="O58" s="16" t="n">
        <v>0.5</v>
      </c>
    </row>
    <row r="59">
      <c r="A59" s="16" t="inlineStr">
        <is>
          <t>2.1</t>
        </is>
      </c>
      <c r="B59" s="16" t="inlineStr">
        <is>
          <t>2.1</t>
        </is>
      </c>
      <c r="C59" s="16" t="inlineStr">
        <is>
          <t>KF-M02-N1</t>
        </is>
      </c>
      <c r="D59" s="16" t="inlineStr">
        <is>
          <t>KF-M02-N1</t>
        </is>
      </c>
      <c r="E59" s="16" t="inlineStr">
        <is>
          <t>B02</t>
        </is>
      </c>
      <c r="F59" s="16" t="inlineStr">
        <is>
          <t>m_b</t>
        </is>
      </c>
      <c r="G59" s="16" t="inlineStr">
        <is>
          <t>fijo</t>
        </is>
      </c>
      <c r="H59" s="16" t="inlineStr">
        <is>
          <t>1.0</t>
        </is>
      </c>
      <c r="I59" s="16" t="n"/>
      <c r="J59" s="16" t="n"/>
      <c r="K59" s="16" t="n"/>
      <c r="L59" s="16" t="inlineStr">
        <is>
          <t>sí</t>
        </is>
      </c>
      <c r="M59" s="16" t="inlineStr">
        <is>
          <t>kg/s</t>
        </is>
      </c>
      <c r="N59" s="16" t="inlineStr">
        <is>
          <t>sí</t>
        </is>
      </c>
      <c r="O59" s="16" t="n">
        <v>1</v>
      </c>
    </row>
    <row r="60">
      <c r="A60" s="16" t="inlineStr">
        <is>
          <t>2.1</t>
        </is>
      </c>
      <c r="B60" s="16" t="inlineStr">
        <is>
          <t>2.1</t>
        </is>
      </c>
      <c r="C60" s="16" t="inlineStr">
        <is>
          <t>KF-M02-N1</t>
        </is>
      </c>
      <c r="D60" s="16" t="inlineStr">
        <is>
          <t>KF-M02-N1</t>
        </is>
      </c>
      <c r="E60" s="16" t="inlineStr">
        <is>
          <t>B02</t>
        </is>
      </c>
      <c r="F60" s="16" t="inlineStr">
        <is>
          <t>eta_t</t>
        </is>
      </c>
      <c r="G60" s="16" t="inlineStr">
        <is>
          <t>barrido</t>
        </is>
      </c>
      <c r="H60" s="16" t="n"/>
      <c r="I60" s="16" t="n">
        <v>0.75</v>
      </c>
      <c r="J60" s="16" t="n">
        <v>0.9</v>
      </c>
      <c r="K60" s="16" t="n">
        <v>10</v>
      </c>
      <c r="L60" s="16" t="n"/>
      <c r="M60" s="16" t="inlineStr">
        <is>
          <t>–</t>
        </is>
      </c>
      <c r="N60" s="16" t="inlineStr">
        <is>
          <t>sí</t>
        </is>
      </c>
      <c r="O60" s="16" t="n">
        <v>0.85</v>
      </c>
    </row>
    <row r="61">
      <c r="A61" s="16" t="inlineStr">
        <is>
          <t>2.1</t>
        </is>
      </c>
      <c r="B61" s="16" t="inlineStr">
        <is>
          <t>2.1</t>
        </is>
      </c>
      <c r="C61" s="16" t="inlineStr">
        <is>
          <t>KF-M02-N1</t>
        </is>
      </c>
      <c r="D61" s="16" t="inlineStr">
        <is>
          <t>KF-M02-N1</t>
        </is>
      </c>
      <c r="E61" s="16" t="inlineStr">
        <is>
          <t>B02</t>
        </is>
      </c>
      <c r="F61" s="16" t="inlineStr">
        <is>
          <t>eta_p</t>
        </is>
      </c>
      <c r="G61" s="16" t="inlineStr">
        <is>
          <t>barrido</t>
        </is>
      </c>
      <c r="H61" s="16" t="n"/>
      <c r="I61" s="16" t="n">
        <v>0.65</v>
      </c>
      <c r="J61" s="16" t="n">
        <v>0.85</v>
      </c>
      <c r="K61" s="16" t="n">
        <v>11</v>
      </c>
      <c r="L61" s="16" t="n"/>
      <c r="M61" s="16" t="inlineStr">
        <is>
          <t>–</t>
        </is>
      </c>
      <c r="N61" s="16" t="inlineStr">
        <is>
          <t>sí</t>
        </is>
      </c>
      <c r="O61" s="16" t="n">
        <v>0.75</v>
      </c>
    </row>
    <row r="62">
      <c r="A62" s="16" t="inlineStr">
        <is>
          <t>2.1</t>
        </is>
      </c>
      <c r="B62" s="16" t="inlineStr">
        <is>
          <t>2.1</t>
        </is>
      </c>
      <c r="C62" s="16" t="inlineStr">
        <is>
          <t>KF-M02-N1</t>
        </is>
      </c>
      <c r="D62" s="16" t="inlineStr">
        <is>
          <t>KF-M02-N1</t>
        </is>
      </c>
      <c r="E62" s="16" t="inlineStr">
        <is>
          <t>B02</t>
        </is>
      </c>
      <c r="F62" s="16" t="inlineStr">
        <is>
          <t>eps_hrvg</t>
        </is>
      </c>
      <c r="G62" s="16" t="inlineStr">
        <is>
          <t>barrido</t>
        </is>
      </c>
      <c r="H62" s="16" t="n"/>
      <c r="I62" s="16" t="n">
        <v>0.75</v>
      </c>
      <c r="J62" s="16" t="n">
        <v>0.85</v>
      </c>
      <c r="K62" s="16" t="n">
        <v>12</v>
      </c>
      <c r="L62" s="16" t="n"/>
      <c r="M62" s="16" t="inlineStr">
        <is>
          <t>–</t>
        </is>
      </c>
      <c r="N62" s="16" t="inlineStr">
        <is>
          <t>sí</t>
        </is>
      </c>
      <c r="O62" s="16" t="n">
        <v>0.85</v>
      </c>
    </row>
    <row r="63">
      <c r="A63" s="16" t="inlineStr">
        <is>
          <t>2.1</t>
        </is>
      </c>
      <c r="B63" s="16" t="inlineStr">
        <is>
          <t>2.1</t>
        </is>
      </c>
      <c r="C63" s="16" t="inlineStr">
        <is>
          <t>KF-M02-N1</t>
        </is>
      </c>
      <c r="D63" s="16" t="inlineStr">
        <is>
          <t>KF-M02-N1</t>
        </is>
      </c>
      <c r="E63" s="16" t="inlineStr">
        <is>
          <t>B02</t>
        </is>
      </c>
      <c r="F63" s="16" t="inlineStr">
        <is>
          <t>eps_reg</t>
        </is>
      </c>
      <c r="G63" s="16" t="inlineStr">
        <is>
          <t>barrido</t>
        </is>
      </c>
      <c r="H63" s="16" t="n"/>
      <c r="I63" s="16" t="n">
        <v>0.75</v>
      </c>
      <c r="J63" s="16" t="n">
        <v>0.85</v>
      </c>
      <c r="K63" s="16" t="n">
        <v>10</v>
      </c>
      <c r="L63" s="16" t="n"/>
      <c r="M63" s="16" t="inlineStr">
        <is>
          <t>–</t>
        </is>
      </c>
      <c r="N63" s="16" t="inlineStr">
        <is>
          <t>sí</t>
        </is>
      </c>
      <c r="O63" s="16" t="n">
        <v>0.75</v>
      </c>
    </row>
    <row r="64">
      <c r="A64" s="16" t="inlineStr">
        <is>
          <t>2.1</t>
        </is>
      </c>
      <c r="B64" s="16" t="inlineStr">
        <is>
          <t>2.1</t>
        </is>
      </c>
      <c r="C64" s="16" t="inlineStr">
        <is>
          <t>KF-M02-N1</t>
        </is>
      </c>
      <c r="D64" s="16" t="inlineStr">
        <is>
          <t>KF-M02-N1</t>
        </is>
      </c>
      <c r="E64" s="16" t="inlineStr">
        <is>
          <t>B02</t>
        </is>
      </c>
      <c r="F64" s="16" t="inlineStr">
        <is>
          <t>eps_cond</t>
        </is>
      </c>
      <c r="G64" s="16" t="inlineStr">
        <is>
          <t>barrido</t>
        </is>
      </c>
      <c r="H64" s="16" t="n"/>
      <c r="I64" s="16" t="n">
        <v>0.75</v>
      </c>
      <c r="J64" s="16" t="n">
        <v>0.85</v>
      </c>
      <c r="K64" s="16" t="n">
        <v>11</v>
      </c>
      <c r="L64" s="16" t="n"/>
      <c r="M64" s="16" t="inlineStr">
        <is>
          <t>–</t>
        </is>
      </c>
      <c r="N64" s="16" t="inlineStr">
        <is>
          <t>sí</t>
        </is>
      </c>
      <c r="O64" s="16" t="n">
        <v>0.8</v>
      </c>
    </row>
    <row r="65">
      <c r="A65" s="16" t="inlineStr">
        <is>
          <t>2.1</t>
        </is>
      </c>
      <c r="B65" s="16" t="inlineStr">
        <is>
          <t>2.1</t>
        </is>
      </c>
      <c r="C65" s="16" t="inlineStr">
        <is>
          <t>KF-M02-N1</t>
        </is>
      </c>
      <c r="D65" s="16" t="inlineStr">
        <is>
          <t>KF-M02-N1</t>
        </is>
      </c>
      <c r="E65" s="16" t="inlineStr">
        <is>
          <t>B02</t>
        </is>
      </c>
      <c r="F65" s="16" t="inlineStr">
        <is>
          <t>T_amb_diseno</t>
        </is>
      </c>
      <c r="G65" s="16" t="inlineStr">
        <is>
          <t>sin_dato</t>
        </is>
      </c>
      <c r="H65" s="16" t="n"/>
      <c r="I65" s="16" t="n"/>
      <c r="J65" s="16" t="n"/>
      <c r="K65" s="16" t="n"/>
      <c r="L65" s="16" t="n"/>
      <c r="M65" s="16" t="inlineStr">
        <is>
          <t>K</t>
        </is>
      </c>
      <c r="N65" s="16" t="inlineStr">
        <is>
          <t>sí</t>
        </is>
      </c>
      <c r="O65" s="16" t="n"/>
    </row>
    <row r="66">
      <c r="A66" s="16" t="inlineStr">
        <is>
          <t>2.1</t>
        </is>
      </c>
      <c r="B66" s="16" t="inlineStr">
        <is>
          <t>2.1</t>
        </is>
      </c>
      <c r="C66" s="16" t="inlineStr">
        <is>
          <t>KF-M02-N1</t>
        </is>
      </c>
      <c r="D66" s="16" t="inlineStr">
        <is>
          <t>KF-M02-N1</t>
        </is>
      </c>
      <c r="E66" s="16" t="inlineStr">
        <is>
          <t>B02</t>
        </is>
      </c>
      <c r="F66" s="16" t="inlineStr">
        <is>
          <t>motor</t>
        </is>
      </c>
      <c r="G66" s="16" t="inlineStr">
        <is>
          <t>fijo</t>
        </is>
      </c>
      <c r="H66" s="16" t="inlineStr">
        <is>
          <t>teqp</t>
        </is>
      </c>
      <c r="I66" s="16" t="n"/>
      <c r="J66" s="16" t="n"/>
      <c r="K66" s="16" t="n"/>
      <c r="L66" s="16" t="n"/>
      <c r="M66" s="16" t="inlineStr">
        <is>
          <t>–</t>
        </is>
      </c>
      <c r="N66" s="16" t="inlineStr">
        <is>
          <t>sí</t>
        </is>
      </c>
      <c r="O66" s="16" t="n"/>
    </row>
    <row r="67">
      <c r="A67" s="16" t="inlineStr">
        <is>
          <t>2.2</t>
        </is>
      </c>
      <c r="B67" s="16" t="inlineStr">
        <is>
          <t>2.2a</t>
        </is>
      </c>
      <c r="C67" s="16" t="inlineStr">
        <is>
          <t>KF-M02-N2</t>
        </is>
      </c>
      <c r="D67" s="16" t="inlineStr">
        <is>
          <t>KF-M02-N2-A</t>
        </is>
      </c>
      <c r="E67" s="16" t="inlineStr">
        <is>
          <t>B03-A</t>
        </is>
      </c>
      <c r="F67" s="16" t="inlineStr">
        <is>
          <t>T_fuente</t>
        </is>
      </c>
      <c r="G67" s="16" t="inlineStr">
        <is>
          <t>fijo</t>
        </is>
      </c>
      <c r="H67" s="16" t="inlineStr">
        <is>
          <t>623.15</t>
        </is>
      </c>
      <c r="I67" s="16" t="n"/>
      <c r="J67" s="16" t="n"/>
      <c r="K67" s="16" t="n"/>
      <c r="L67" s="16" t="inlineStr">
        <is>
          <t>sí</t>
        </is>
      </c>
      <c r="M67" s="16" t="inlineStr">
        <is>
          <t>K</t>
        </is>
      </c>
      <c r="N67" s="16" t="inlineStr">
        <is>
          <t>no</t>
        </is>
      </c>
      <c r="O67" s="16" t="n"/>
    </row>
    <row r="68">
      <c r="A68" s="16" t="inlineStr">
        <is>
          <t>2.2</t>
        </is>
      </c>
      <c r="B68" s="16" t="inlineStr">
        <is>
          <t>2.2a</t>
        </is>
      </c>
      <c r="C68" s="16" t="inlineStr">
        <is>
          <t>KF-M02-N2</t>
        </is>
      </c>
      <c r="D68" s="16" t="inlineStr">
        <is>
          <t>KF-M02-N2-A</t>
        </is>
      </c>
      <c r="E68" s="16" t="inlineStr">
        <is>
          <t>B03-A</t>
        </is>
      </c>
      <c r="F68" s="16" t="inlineStr">
        <is>
          <t>T_sumidero</t>
        </is>
      </c>
      <c r="G68" s="16" t="inlineStr">
        <is>
          <t>fijo</t>
        </is>
      </c>
      <c r="H68" s="16" t="inlineStr">
        <is>
          <t>300.032917</t>
        </is>
      </c>
      <c r="I68" s="16" t="n"/>
      <c r="J68" s="16" t="n"/>
      <c r="K68" s="16" t="n"/>
      <c r="L68" s="16" t="inlineStr">
        <is>
          <t>sí</t>
        </is>
      </c>
      <c r="M68" s="16" t="inlineStr">
        <is>
          <t>K</t>
        </is>
      </c>
      <c r="N68" s="16" t="inlineStr">
        <is>
          <t>no</t>
        </is>
      </c>
      <c r="O68" s="16" t="n"/>
    </row>
    <row r="69">
      <c r="A69" s="16" t="inlineStr">
        <is>
          <t>2.2</t>
        </is>
      </c>
      <c r="B69" s="16" t="inlineStr">
        <is>
          <t>2.2a</t>
        </is>
      </c>
      <c r="C69" s="16" t="inlineStr">
        <is>
          <t>KF-M02-N2</t>
        </is>
      </c>
      <c r="D69" s="16" t="inlineStr">
        <is>
          <t>KF-M02-N2-A</t>
        </is>
      </c>
      <c r="E69" s="16" t="inlineStr">
        <is>
          <t>B03-A</t>
        </is>
      </c>
      <c r="F69" s="16" t="inlineStr">
        <is>
          <t>P_alta</t>
        </is>
      </c>
      <c r="G69" s="16" t="inlineStr">
        <is>
          <t>fijo</t>
        </is>
      </c>
      <c r="H69" s="16" t="inlineStr">
        <is>
          <t>3000.0</t>
        </is>
      </c>
      <c r="I69" s="16" t="n"/>
      <c r="J69" s="16" t="n"/>
      <c r="K69" s="16" t="n"/>
      <c r="L69" s="16" t="inlineStr">
        <is>
          <t>sí</t>
        </is>
      </c>
      <c r="M69" s="16" t="inlineStr">
        <is>
          <t>kPa</t>
        </is>
      </c>
      <c r="N69" s="16" t="inlineStr">
        <is>
          <t>no</t>
        </is>
      </c>
      <c r="O69" s="16" t="n"/>
    </row>
    <row r="70">
      <c r="A70" s="16" t="inlineStr">
        <is>
          <t>2.2</t>
        </is>
      </c>
      <c r="B70" s="16" t="inlineStr">
        <is>
          <t>2.2a</t>
        </is>
      </c>
      <c r="C70" s="16" t="inlineStr">
        <is>
          <t>KF-M02-N2</t>
        </is>
      </c>
      <c r="D70" s="16" t="inlineStr">
        <is>
          <t>KF-M02-N2-A</t>
        </is>
      </c>
      <c r="E70" s="16" t="inlineStr">
        <is>
          <t>B03-A</t>
        </is>
      </c>
      <c r="F70" s="16" t="inlineStr">
        <is>
          <t>P_baja</t>
        </is>
      </c>
      <c r="G70" s="16" t="inlineStr">
        <is>
          <t>barrido</t>
        </is>
      </c>
      <c r="H70" s="16" t="n"/>
      <c r="I70" s="16" t="n">
        <v>400</v>
      </c>
      <c r="J70" s="16" t="n">
        <v>2000</v>
      </c>
      <c r="K70" s="16" t="n">
        <v>12</v>
      </c>
      <c r="L70" s="16" t="n"/>
      <c r="M70" s="16" t="inlineStr">
        <is>
          <t>kPa</t>
        </is>
      </c>
      <c r="N70" s="16" t="inlineStr">
        <is>
          <t>no</t>
        </is>
      </c>
      <c r="O70" s="16" t="n"/>
    </row>
    <row r="71">
      <c r="A71" s="16" t="inlineStr">
        <is>
          <t>2.2</t>
        </is>
      </c>
      <c r="B71" s="16" t="inlineStr">
        <is>
          <t>2.2a</t>
        </is>
      </c>
      <c r="C71" s="16" t="inlineStr">
        <is>
          <t>KF-M02-N2</t>
        </is>
      </c>
      <c r="D71" s="16" t="inlineStr">
        <is>
          <t>KF-M02-N2-A</t>
        </is>
      </c>
      <c r="E71" s="16" t="inlineStr">
        <is>
          <t>B03-A</t>
        </is>
      </c>
      <c r="F71" s="16" t="inlineStr">
        <is>
          <t>x_b</t>
        </is>
      </c>
      <c r="G71" s="16" t="inlineStr">
        <is>
          <t>fijo</t>
        </is>
      </c>
      <c r="H71" s="16" t="inlineStr">
        <is>
          <t>0.5</t>
        </is>
      </c>
      <c r="I71" s="16" t="n"/>
      <c r="J71" s="16" t="n"/>
      <c r="K71" s="16" t="n"/>
      <c r="L71" s="16" t="inlineStr">
        <is>
          <t>sí</t>
        </is>
      </c>
      <c r="M71" s="16" t="inlineStr">
        <is>
          <t>–</t>
        </is>
      </c>
      <c r="N71" s="16" t="inlineStr">
        <is>
          <t>no</t>
        </is>
      </c>
      <c r="O71" s="16" t="n"/>
    </row>
    <row r="72">
      <c r="A72" s="16" t="inlineStr">
        <is>
          <t>2.2</t>
        </is>
      </c>
      <c r="B72" s="16" t="inlineStr">
        <is>
          <t>2.2a</t>
        </is>
      </c>
      <c r="C72" s="16" t="inlineStr">
        <is>
          <t>KF-M02-N2</t>
        </is>
      </c>
      <c r="D72" s="16" t="inlineStr">
        <is>
          <t>KF-M02-N2-A</t>
        </is>
      </c>
      <c r="E72" s="16" t="inlineStr">
        <is>
          <t>B03-A</t>
        </is>
      </c>
      <c r="F72" s="16" t="inlineStr">
        <is>
          <t>m_b</t>
        </is>
      </c>
      <c r="G72" s="16" t="inlineStr">
        <is>
          <t>fijo</t>
        </is>
      </c>
      <c r="H72" s="16" t="inlineStr">
        <is>
          <t>1.0</t>
        </is>
      </c>
      <c r="I72" s="16" t="n"/>
      <c r="J72" s="16" t="n"/>
      <c r="K72" s="16" t="n"/>
      <c r="L72" s="16" t="inlineStr">
        <is>
          <t>sí</t>
        </is>
      </c>
      <c r="M72" s="16" t="inlineStr">
        <is>
          <t>kg/s</t>
        </is>
      </c>
      <c r="N72" s="16" t="inlineStr">
        <is>
          <t>no</t>
        </is>
      </c>
      <c r="O72" s="16" t="n"/>
    </row>
    <row r="73">
      <c r="A73" s="16" t="inlineStr">
        <is>
          <t>2.2</t>
        </is>
      </c>
      <c r="B73" s="16" t="inlineStr">
        <is>
          <t>2.2a</t>
        </is>
      </c>
      <c r="C73" s="16" t="inlineStr">
        <is>
          <t>KF-M02-N2</t>
        </is>
      </c>
      <c r="D73" s="16" t="inlineStr">
        <is>
          <t>KF-M02-N2-A</t>
        </is>
      </c>
      <c r="E73" s="16" t="inlineStr">
        <is>
          <t>B03-A</t>
        </is>
      </c>
      <c r="F73" s="16" t="inlineStr">
        <is>
          <t>eta_t</t>
        </is>
      </c>
      <c r="G73" s="16" t="inlineStr">
        <is>
          <t>fijo</t>
        </is>
      </c>
      <c r="H73" s="16" t="inlineStr">
        <is>
          <t>0.85</t>
        </is>
      </c>
      <c r="I73" s="16" t="n"/>
      <c r="J73" s="16" t="n"/>
      <c r="K73" s="16" t="n"/>
      <c r="L73" s="16" t="inlineStr">
        <is>
          <t>sí</t>
        </is>
      </c>
      <c r="M73" s="16" t="inlineStr">
        <is>
          <t>–</t>
        </is>
      </c>
      <c r="N73" s="16" t="inlineStr">
        <is>
          <t>no</t>
        </is>
      </c>
      <c r="O73" s="16" t="n"/>
    </row>
    <row r="74">
      <c r="A74" s="16" t="inlineStr">
        <is>
          <t>2.2</t>
        </is>
      </c>
      <c r="B74" s="16" t="inlineStr">
        <is>
          <t>2.2a</t>
        </is>
      </c>
      <c r="C74" s="16" t="inlineStr">
        <is>
          <t>KF-M02-N2</t>
        </is>
      </c>
      <c r="D74" s="16" t="inlineStr">
        <is>
          <t>KF-M02-N2-A</t>
        </is>
      </c>
      <c r="E74" s="16" t="inlineStr">
        <is>
          <t>B03-A</t>
        </is>
      </c>
      <c r="F74" s="16" t="inlineStr">
        <is>
          <t>eta_p</t>
        </is>
      </c>
      <c r="G74" s="16" t="inlineStr">
        <is>
          <t>fijo</t>
        </is>
      </c>
      <c r="H74" s="16" t="inlineStr">
        <is>
          <t>0.75</t>
        </is>
      </c>
      <c r="I74" s="16" t="n"/>
      <c r="J74" s="16" t="n"/>
      <c r="K74" s="16" t="n"/>
      <c r="L74" s="16" t="inlineStr">
        <is>
          <t>sí</t>
        </is>
      </c>
      <c r="M74" s="16" t="inlineStr">
        <is>
          <t>–</t>
        </is>
      </c>
      <c r="N74" s="16" t="inlineStr">
        <is>
          <t>no</t>
        </is>
      </c>
      <c r="O74" s="16" t="n"/>
    </row>
    <row r="75">
      <c r="A75" s="16" t="inlineStr">
        <is>
          <t>2.2</t>
        </is>
      </c>
      <c r="B75" s="16" t="inlineStr">
        <is>
          <t>2.2a</t>
        </is>
      </c>
      <c r="C75" s="16" t="inlineStr">
        <is>
          <t>KF-M02-N2</t>
        </is>
      </c>
      <c r="D75" s="16" t="inlineStr">
        <is>
          <t>KF-M02-N2-A</t>
        </is>
      </c>
      <c r="E75" s="16" t="inlineStr">
        <is>
          <t>B03-A</t>
        </is>
      </c>
      <c r="F75" s="16" t="inlineStr">
        <is>
          <t>eps_hrvg</t>
        </is>
      </c>
      <c r="G75" s="16" t="inlineStr">
        <is>
          <t>barrido</t>
        </is>
      </c>
      <c r="H75" s="16" t="n"/>
      <c r="I75" s="16" t="n">
        <v>0.75</v>
      </c>
      <c r="J75" s="16" t="n">
        <v>0.8100000000000001</v>
      </c>
      <c r="K75" s="16" t="n">
        <v>3</v>
      </c>
      <c r="L75" s="16" t="n"/>
      <c r="M75" s="16" t="inlineStr">
        <is>
          <t>–</t>
        </is>
      </c>
      <c r="N75" s="16" t="inlineStr">
        <is>
          <t>no</t>
        </is>
      </c>
      <c r="O75" s="16" t="n"/>
    </row>
    <row r="76">
      <c r="A76" s="16" t="inlineStr">
        <is>
          <t>2.2</t>
        </is>
      </c>
      <c r="B76" s="16" t="inlineStr">
        <is>
          <t>2.2a</t>
        </is>
      </c>
      <c r="C76" s="16" t="inlineStr">
        <is>
          <t>KF-M02-N2</t>
        </is>
      </c>
      <c r="D76" s="16" t="inlineStr">
        <is>
          <t>KF-M02-N2-A</t>
        </is>
      </c>
      <c r="E76" s="16" t="inlineStr">
        <is>
          <t>B03-A</t>
        </is>
      </c>
      <c r="F76" s="16" t="inlineStr">
        <is>
          <t>eps_reg</t>
        </is>
      </c>
      <c r="G76" s="16" t="inlineStr">
        <is>
          <t>fijo</t>
        </is>
      </c>
      <c r="H76" s="16" t="inlineStr">
        <is>
          <t>0.75</t>
        </is>
      </c>
      <c r="I76" s="16" t="n"/>
      <c r="J76" s="16" t="n"/>
      <c r="K76" s="16" t="n"/>
      <c r="L76" s="16" t="inlineStr">
        <is>
          <t>sí</t>
        </is>
      </c>
      <c r="M76" s="16" t="inlineStr">
        <is>
          <t>–</t>
        </is>
      </c>
      <c r="N76" s="16" t="inlineStr">
        <is>
          <t>no</t>
        </is>
      </c>
      <c r="O76" s="16" t="n"/>
    </row>
    <row r="77">
      <c r="A77" s="16" t="inlineStr">
        <is>
          <t>2.2</t>
        </is>
      </c>
      <c r="B77" s="16" t="inlineStr">
        <is>
          <t>2.2a</t>
        </is>
      </c>
      <c r="C77" s="16" t="inlineStr">
        <is>
          <t>KF-M02-N2</t>
        </is>
      </c>
      <c r="D77" s="16" t="inlineStr">
        <is>
          <t>KF-M02-N2-A</t>
        </is>
      </c>
      <c r="E77" s="16" t="inlineStr">
        <is>
          <t>B03-A</t>
        </is>
      </c>
      <c r="F77" s="16" t="inlineStr">
        <is>
          <t>eps_cond</t>
        </is>
      </c>
      <c r="G77" s="16" t="inlineStr">
        <is>
          <t>fijo</t>
        </is>
      </c>
      <c r="H77" s="16" t="inlineStr">
        <is>
          <t>0.8</t>
        </is>
      </c>
      <c r="I77" s="16" t="n"/>
      <c r="J77" s="16" t="n"/>
      <c r="K77" s="16" t="n"/>
      <c r="L77" s="16" t="inlineStr">
        <is>
          <t>sí</t>
        </is>
      </c>
      <c r="M77" s="16" t="inlineStr">
        <is>
          <t>–</t>
        </is>
      </c>
      <c r="N77" s="16" t="inlineStr">
        <is>
          <t>no</t>
        </is>
      </c>
      <c r="O77" s="16" t="n"/>
    </row>
    <row r="78">
      <c r="A78" s="16" t="inlineStr">
        <is>
          <t>2.2</t>
        </is>
      </c>
      <c r="B78" s="16" t="inlineStr">
        <is>
          <t>2.2a</t>
        </is>
      </c>
      <c r="C78" s="16" t="inlineStr">
        <is>
          <t>KF-M02-N2</t>
        </is>
      </c>
      <c r="D78" s="16" t="inlineStr">
        <is>
          <t>KF-M02-N2-A</t>
        </is>
      </c>
      <c r="E78" s="16" t="inlineStr">
        <is>
          <t>B03-A</t>
        </is>
      </c>
      <c r="F78" s="16" t="inlineStr">
        <is>
          <t>T_amb_diseno</t>
        </is>
      </c>
      <c r="G78" s="16" t="inlineStr">
        <is>
          <t>sin_dato</t>
        </is>
      </c>
      <c r="H78" s="16" t="n"/>
      <c r="I78" s="16" t="n"/>
      <c r="J78" s="16" t="n"/>
      <c r="K78" s="16" t="n"/>
      <c r="L78" s="16" t="n"/>
      <c r="M78" s="16" t="inlineStr">
        <is>
          <t>K</t>
        </is>
      </c>
      <c r="N78" s="16" t="inlineStr">
        <is>
          <t>no</t>
        </is>
      </c>
      <c r="O78" s="16" t="n"/>
    </row>
    <row r="79">
      <c r="A79" s="16" t="inlineStr">
        <is>
          <t>2.2</t>
        </is>
      </c>
      <c r="B79" s="16" t="inlineStr">
        <is>
          <t>2.2a</t>
        </is>
      </c>
      <c r="C79" s="16" t="inlineStr">
        <is>
          <t>KF-M02-N2</t>
        </is>
      </c>
      <c r="D79" s="16" t="inlineStr">
        <is>
          <t>KF-M02-N2-A</t>
        </is>
      </c>
      <c r="E79" s="16" t="inlineStr">
        <is>
          <t>B03-A</t>
        </is>
      </c>
      <c r="F79" s="16" t="inlineStr">
        <is>
          <t>motor</t>
        </is>
      </c>
      <c r="G79" s="16" t="inlineStr">
        <is>
          <t>fijo</t>
        </is>
      </c>
      <c r="H79" s="16" t="inlineStr">
        <is>
          <t>teqp</t>
        </is>
      </c>
      <c r="I79" s="16" t="n"/>
      <c r="J79" s="16" t="n"/>
      <c r="K79" s="16" t="n"/>
      <c r="L79" s="16" t="n"/>
      <c r="M79" s="16" t="inlineStr">
        <is>
          <t>–</t>
        </is>
      </c>
      <c r="N79" s="16" t="inlineStr">
        <is>
          <t>no</t>
        </is>
      </c>
      <c r="O79" s="16" t="n"/>
    </row>
    <row r="80">
      <c r="A80" s="16" t="inlineStr">
        <is>
          <t>2.2</t>
        </is>
      </c>
      <c r="B80" s="16" t="inlineStr">
        <is>
          <t>2.2b</t>
        </is>
      </c>
      <c r="C80" s="16" t="inlineStr">
        <is>
          <t>KF-M02-N2</t>
        </is>
      </c>
      <c r="D80" s="16" t="inlineStr">
        <is>
          <t>KF-M02-N2-B</t>
        </is>
      </c>
      <c r="E80" s="16" t="inlineStr">
        <is>
          <t>B03-B</t>
        </is>
      </c>
      <c r="F80" s="16" t="inlineStr">
        <is>
          <t>T_fuente</t>
        </is>
      </c>
      <c r="G80" s="16" t="inlineStr">
        <is>
          <t>barrido</t>
        </is>
      </c>
      <c r="H80" s="16" t="n"/>
      <c r="I80" s="16" t="n">
        <v>380</v>
      </c>
      <c r="J80" s="16" t="n">
        <v>560</v>
      </c>
      <c r="K80" s="16" t="n">
        <v>9</v>
      </c>
      <c r="L80" s="16" t="n"/>
      <c r="M80" s="16" t="inlineStr">
        <is>
          <t>K</t>
        </is>
      </c>
      <c r="N80" s="16" t="inlineStr">
        <is>
          <t>no</t>
        </is>
      </c>
      <c r="O80" s="16" t="n"/>
    </row>
    <row r="81">
      <c r="A81" s="16" t="inlineStr">
        <is>
          <t>2.2</t>
        </is>
      </c>
      <c r="B81" s="16" t="inlineStr">
        <is>
          <t>2.2b</t>
        </is>
      </c>
      <c r="C81" s="16" t="inlineStr">
        <is>
          <t>KF-M02-N2</t>
        </is>
      </c>
      <c r="D81" s="16" t="inlineStr">
        <is>
          <t>KF-M02-N2-B</t>
        </is>
      </c>
      <c r="E81" s="16" t="inlineStr">
        <is>
          <t>B03-B</t>
        </is>
      </c>
      <c r="F81" s="16" t="inlineStr">
        <is>
          <t>T_sumidero</t>
        </is>
      </c>
      <c r="G81" s="16" t="inlineStr">
        <is>
          <t>fijo</t>
        </is>
      </c>
      <c r="H81" s="16" t="inlineStr">
        <is>
          <t>300.032917</t>
        </is>
      </c>
      <c r="I81" s="16" t="n"/>
      <c r="J81" s="16" t="n"/>
      <c r="K81" s="16" t="n"/>
      <c r="L81" s="16" t="inlineStr">
        <is>
          <t>sí</t>
        </is>
      </c>
      <c r="M81" s="16" t="inlineStr">
        <is>
          <t>K</t>
        </is>
      </c>
      <c r="N81" s="16" t="inlineStr">
        <is>
          <t>no</t>
        </is>
      </c>
      <c r="O81" s="16" t="n"/>
    </row>
    <row r="82">
      <c r="A82" s="16" t="inlineStr">
        <is>
          <t>2.2</t>
        </is>
      </c>
      <c r="B82" s="16" t="inlineStr">
        <is>
          <t>2.2b</t>
        </is>
      </c>
      <c r="C82" s="16" t="inlineStr">
        <is>
          <t>KF-M02-N2</t>
        </is>
      </c>
      <c r="D82" s="16" t="inlineStr">
        <is>
          <t>KF-M02-N2-B</t>
        </is>
      </c>
      <c r="E82" s="16" t="inlineStr">
        <is>
          <t>B03-B</t>
        </is>
      </c>
      <c r="F82" s="16" t="inlineStr">
        <is>
          <t>P_alta</t>
        </is>
      </c>
      <c r="G82" s="16" t="inlineStr">
        <is>
          <t>fijo</t>
        </is>
      </c>
      <c r="H82" s="16" t="inlineStr">
        <is>
          <t>3000.0</t>
        </is>
      </c>
      <c r="I82" s="16" t="n"/>
      <c r="J82" s="16" t="n"/>
      <c r="K82" s="16" t="n"/>
      <c r="L82" s="16" t="inlineStr">
        <is>
          <t>sí</t>
        </is>
      </c>
      <c r="M82" s="16" t="inlineStr">
        <is>
          <t>kPa</t>
        </is>
      </c>
      <c r="N82" s="16" t="inlineStr">
        <is>
          <t>no</t>
        </is>
      </c>
      <c r="O82" s="16" t="n"/>
    </row>
    <row r="83">
      <c r="A83" s="16" t="inlineStr">
        <is>
          <t>2.2</t>
        </is>
      </c>
      <c r="B83" s="16" t="inlineStr">
        <is>
          <t>2.2b</t>
        </is>
      </c>
      <c r="C83" s="16" t="inlineStr">
        <is>
          <t>KF-M02-N2</t>
        </is>
      </c>
      <c r="D83" s="16" t="inlineStr">
        <is>
          <t>KF-M02-N2-B</t>
        </is>
      </c>
      <c r="E83" s="16" t="inlineStr">
        <is>
          <t>B03-B</t>
        </is>
      </c>
      <c r="F83" s="16" t="inlineStr">
        <is>
          <t>P_baja</t>
        </is>
      </c>
      <c r="G83" s="16" t="inlineStr">
        <is>
          <t>barrido</t>
        </is>
      </c>
      <c r="H83" s="16" t="n"/>
      <c r="I83" s="16" t="n">
        <v>400</v>
      </c>
      <c r="J83" s="16" t="n">
        <v>2000</v>
      </c>
      <c r="K83" s="16" t="n">
        <v>32</v>
      </c>
      <c r="L83" s="16" t="n"/>
      <c r="M83" s="16" t="inlineStr">
        <is>
          <t>kPa</t>
        </is>
      </c>
      <c r="N83" s="16" t="inlineStr">
        <is>
          <t>no</t>
        </is>
      </c>
      <c r="O83" s="16" t="n"/>
    </row>
    <row r="84">
      <c r="A84" s="16" t="inlineStr">
        <is>
          <t>2.2</t>
        </is>
      </c>
      <c r="B84" s="16" t="inlineStr">
        <is>
          <t>2.2b</t>
        </is>
      </c>
      <c r="C84" s="16" t="inlineStr">
        <is>
          <t>KF-M02-N2</t>
        </is>
      </c>
      <c r="D84" s="16" t="inlineStr">
        <is>
          <t>KF-M02-N2-B</t>
        </is>
      </c>
      <c r="E84" s="16" t="inlineStr">
        <is>
          <t>B03-B</t>
        </is>
      </c>
      <c r="F84" s="16" t="inlineStr">
        <is>
          <t>x_b</t>
        </is>
      </c>
      <c r="G84" s="16" t="inlineStr">
        <is>
          <t>fijo</t>
        </is>
      </c>
      <c r="H84" s="16" t="inlineStr">
        <is>
          <t>0.5</t>
        </is>
      </c>
      <c r="I84" s="16" t="n"/>
      <c r="J84" s="16" t="n"/>
      <c r="K84" s="16" t="n"/>
      <c r="L84" s="16" t="inlineStr">
        <is>
          <t>sí</t>
        </is>
      </c>
      <c r="M84" s="16" t="inlineStr">
        <is>
          <t>–</t>
        </is>
      </c>
      <c r="N84" s="16" t="inlineStr">
        <is>
          <t>no</t>
        </is>
      </c>
      <c r="O84" s="16" t="n"/>
    </row>
    <row r="85">
      <c r="A85" s="16" t="inlineStr">
        <is>
          <t>2.2</t>
        </is>
      </c>
      <c r="B85" s="16" t="inlineStr">
        <is>
          <t>2.2b</t>
        </is>
      </c>
      <c r="C85" s="16" t="inlineStr">
        <is>
          <t>KF-M02-N2</t>
        </is>
      </c>
      <c r="D85" s="16" t="inlineStr">
        <is>
          <t>KF-M02-N2-B</t>
        </is>
      </c>
      <c r="E85" s="16" t="inlineStr">
        <is>
          <t>B03-B</t>
        </is>
      </c>
      <c r="F85" s="16" t="inlineStr">
        <is>
          <t>m_b</t>
        </is>
      </c>
      <c r="G85" s="16" t="inlineStr">
        <is>
          <t>fijo</t>
        </is>
      </c>
      <c r="H85" s="16" t="inlineStr">
        <is>
          <t>1.0</t>
        </is>
      </c>
      <c r="I85" s="16" t="n"/>
      <c r="J85" s="16" t="n"/>
      <c r="K85" s="16" t="n"/>
      <c r="L85" s="16" t="inlineStr">
        <is>
          <t>sí</t>
        </is>
      </c>
      <c r="M85" s="16" t="inlineStr">
        <is>
          <t>kg/s</t>
        </is>
      </c>
      <c r="N85" s="16" t="inlineStr">
        <is>
          <t>no</t>
        </is>
      </c>
      <c r="O85" s="16" t="n"/>
    </row>
    <row r="86">
      <c r="A86" s="16" t="inlineStr">
        <is>
          <t>2.2</t>
        </is>
      </c>
      <c r="B86" s="16" t="inlineStr">
        <is>
          <t>2.2b</t>
        </is>
      </c>
      <c r="C86" s="16" t="inlineStr">
        <is>
          <t>KF-M02-N2</t>
        </is>
      </c>
      <c r="D86" s="16" t="inlineStr">
        <is>
          <t>KF-M02-N2-B</t>
        </is>
      </c>
      <c r="E86" s="16" t="inlineStr">
        <is>
          <t>B03-B</t>
        </is>
      </c>
      <c r="F86" s="16" t="inlineStr">
        <is>
          <t>eta_t</t>
        </is>
      </c>
      <c r="G86" s="16" t="inlineStr">
        <is>
          <t>fijo</t>
        </is>
      </c>
      <c r="H86" s="16" t="inlineStr">
        <is>
          <t>0.85</t>
        </is>
      </c>
      <c r="I86" s="16" t="n"/>
      <c r="J86" s="16" t="n"/>
      <c r="K86" s="16" t="n"/>
      <c r="L86" s="16" t="inlineStr">
        <is>
          <t>sí</t>
        </is>
      </c>
      <c r="M86" s="16" t="inlineStr">
        <is>
          <t>–</t>
        </is>
      </c>
      <c r="N86" s="16" t="inlineStr">
        <is>
          <t>no</t>
        </is>
      </c>
      <c r="O86" s="16" t="n"/>
    </row>
    <row r="87">
      <c r="A87" s="16" t="inlineStr">
        <is>
          <t>2.2</t>
        </is>
      </c>
      <c r="B87" s="16" t="inlineStr">
        <is>
          <t>2.2b</t>
        </is>
      </c>
      <c r="C87" s="16" t="inlineStr">
        <is>
          <t>KF-M02-N2</t>
        </is>
      </c>
      <c r="D87" s="16" t="inlineStr">
        <is>
          <t>KF-M02-N2-B</t>
        </is>
      </c>
      <c r="E87" s="16" t="inlineStr">
        <is>
          <t>B03-B</t>
        </is>
      </c>
      <c r="F87" s="16" t="inlineStr">
        <is>
          <t>eta_p</t>
        </is>
      </c>
      <c r="G87" s="16" t="inlineStr">
        <is>
          <t>fijo</t>
        </is>
      </c>
      <c r="H87" s="16" t="inlineStr">
        <is>
          <t>0.75</t>
        </is>
      </c>
      <c r="I87" s="16" t="n"/>
      <c r="J87" s="16" t="n"/>
      <c r="K87" s="16" t="n"/>
      <c r="L87" s="16" t="inlineStr">
        <is>
          <t>sí</t>
        </is>
      </c>
      <c r="M87" s="16" t="inlineStr">
        <is>
          <t>–</t>
        </is>
      </c>
      <c r="N87" s="16" t="inlineStr">
        <is>
          <t>no</t>
        </is>
      </c>
      <c r="O87" s="16" t="n"/>
    </row>
    <row r="88">
      <c r="A88" s="16" t="inlineStr">
        <is>
          <t>2.2</t>
        </is>
      </c>
      <c r="B88" s="16" t="inlineStr">
        <is>
          <t>2.2b</t>
        </is>
      </c>
      <c r="C88" s="16" t="inlineStr">
        <is>
          <t>KF-M02-N2</t>
        </is>
      </c>
      <c r="D88" s="16" t="inlineStr">
        <is>
          <t>KF-M02-N2-B</t>
        </is>
      </c>
      <c r="E88" s="16" t="inlineStr">
        <is>
          <t>B03-B</t>
        </is>
      </c>
      <c r="F88" s="16" t="inlineStr">
        <is>
          <t>eps_hrvg</t>
        </is>
      </c>
      <c r="G88" s="16" t="inlineStr">
        <is>
          <t>fijo</t>
        </is>
      </c>
      <c r="H88" s="16" t="inlineStr">
        <is>
          <t>0.85</t>
        </is>
      </c>
      <c r="I88" s="16" t="n"/>
      <c r="J88" s="16" t="n"/>
      <c r="K88" s="16" t="n"/>
      <c r="L88" s="16" t="inlineStr">
        <is>
          <t>sí</t>
        </is>
      </c>
      <c r="M88" s="16" t="inlineStr">
        <is>
          <t>–</t>
        </is>
      </c>
      <c r="N88" s="16" t="inlineStr">
        <is>
          <t>no</t>
        </is>
      </c>
      <c r="O88" s="16" t="n"/>
    </row>
    <row r="89">
      <c r="A89" s="16" t="inlineStr">
        <is>
          <t>2.2</t>
        </is>
      </c>
      <c r="B89" s="16" t="inlineStr">
        <is>
          <t>2.2b</t>
        </is>
      </c>
      <c r="C89" s="16" t="inlineStr">
        <is>
          <t>KF-M02-N2</t>
        </is>
      </c>
      <c r="D89" s="16" t="inlineStr">
        <is>
          <t>KF-M02-N2-B</t>
        </is>
      </c>
      <c r="E89" s="16" t="inlineStr">
        <is>
          <t>B03-B</t>
        </is>
      </c>
      <c r="F89" s="16" t="inlineStr">
        <is>
          <t>eps_reg</t>
        </is>
      </c>
      <c r="G89" s="16" t="inlineStr">
        <is>
          <t>fijo</t>
        </is>
      </c>
      <c r="H89" s="16" t="inlineStr">
        <is>
          <t>0.75</t>
        </is>
      </c>
      <c r="I89" s="16" t="n"/>
      <c r="J89" s="16" t="n"/>
      <c r="K89" s="16" t="n"/>
      <c r="L89" s="16" t="inlineStr">
        <is>
          <t>sí</t>
        </is>
      </c>
      <c r="M89" s="16" t="inlineStr">
        <is>
          <t>–</t>
        </is>
      </c>
      <c r="N89" s="16" t="inlineStr">
        <is>
          <t>no</t>
        </is>
      </c>
      <c r="O89" s="16" t="n"/>
    </row>
    <row r="90">
      <c r="A90" s="16" t="inlineStr">
        <is>
          <t>2.2</t>
        </is>
      </c>
      <c r="B90" s="16" t="inlineStr">
        <is>
          <t>2.2b</t>
        </is>
      </c>
      <c r="C90" s="16" t="inlineStr">
        <is>
          <t>KF-M02-N2</t>
        </is>
      </c>
      <c r="D90" s="16" t="inlineStr">
        <is>
          <t>KF-M02-N2-B</t>
        </is>
      </c>
      <c r="E90" s="16" t="inlineStr">
        <is>
          <t>B03-B</t>
        </is>
      </c>
      <c r="F90" s="16" t="inlineStr">
        <is>
          <t>eps_cond</t>
        </is>
      </c>
      <c r="G90" s="16" t="inlineStr">
        <is>
          <t>fijo</t>
        </is>
      </c>
      <c r="H90" s="16" t="inlineStr">
        <is>
          <t>0.8</t>
        </is>
      </c>
      <c r="I90" s="16" t="n"/>
      <c r="J90" s="16" t="n"/>
      <c r="K90" s="16" t="n"/>
      <c r="L90" s="16" t="inlineStr">
        <is>
          <t>sí</t>
        </is>
      </c>
      <c r="M90" s="16" t="inlineStr">
        <is>
          <t>–</t>
        </is>
      </c>
      <c r="N90" s="16" t="inlineStr">
        <is>
          <t>no</t>
        </is>
      </c>
      <c r="O90" s="16" t="n"/>
    </row>
    <row r="91">
      <c r="A91" s="16" t="inlineStr">
        <is>
          <t>2.2</t>
        </is>
      </c>
      <c r="B91" s="16" t="inlineStr">
        <is>
          <t>2.2b</t>
        </is>
      </c>
      <c r="C91" s="16" t="inlineStr">
        <is>
          <t>KF-M02-N2</t>
        </is>
      </c>
      <c r="D91" s="16" t="inlineStr">
        <is>
          <t>KF-M02-N2-B</t>
        </is>
      </c>
      <c r="E91" s="16" t="inlineStr">
        <is>
          <t>B03-B</t>
        </is>
      </c>
      <c r="F91" s="16" t="inlineStr">
        <is>
          <t>T_amb_diseno</t>
        </is>
      </c>
      <c r="G91" s="16" t="inlineStr">
        <is>
          <t>sin_dato</t>
        </is>
      </c>
      <c r="H91" s="16" t="n"/>
      <c r="I91" s="16" t="n"/>
      <c r="J91" s="16" t="n"/>
      <c r="K91" s="16" t="n"/>
      <c r="L91" s="16" t="n"/>
      <c r="M91" s="16" t="inlineStr">
        <is>
          <t>K</t>
        </is>
      </c>
      <c r="N91" s="16" t="inlineStr">
        <is>
          <t>no</t>
        </is>
      </c>
      <c r="O91" s="16" t="n"/>
    </row>
    <row r="92">
      <c r="A92" s="16" t="inlineStr">
        <is>
          <t>2.2</t>
        </is>
      </c>
      <c r="B92" s="16" t="inlineStr">
        <is>
          <t>2.2b</t>
        </is>
      </c>
      <c r="C92" s="16" t="inlineStr">
        <is>
          <t>KF-M02-N2</t>
        </is>
      </c>
      <c r="D92" s="16" t="inlineStr">
        <is>
          <t>KF-M02-N2-B</t>
        </is>
      </c>
      <c r="E92" s="16" t="inlineStr">
        <is>
          <t>B03-B</t>
        </is>
      </c>
      <c r="F92" s="16" t="inlineStr">
        <is>
          <t>motor</t>
        </is>
      </c>
      <c r="G92" s="16" t="inlineStr">
        <is>
          <t>fijo</t>
        </is>
      </c>
      <c r="H92" s="16" t="inlineStr">
        <is>
          <t>teqp</t>
        </is>
      </c>
      <c r="I92" s="16" t="n"/>
      <c r="J92" s="16" t="n"/>
      <c r="K92" s="16" t="n"/>
      <c r="L92" s="16" t="n"/>
      <c r="M92" s="16" t="inlineStr">
        <is>
          <t>–</t>
        </is>
      </c>
      <c r="N92" s="16" t="inlineStr">
        <is>
          <t>no</t>
        </is>
      </c>
      <c r="O92" s="16" t="n"/>
    </row>
    <row r="93">
      <c r="A93" s="16" t="inlineStr">
        <is>
          <t>2.3</t>
        </is>
      </c>
      <c r="B93" s="16" t="inlineStr">
        <is>
          <t>2.3a</t>
        </is>
      </c>
      <c r="C93" s="16" t="inlineStr">
        <is>
          <t>KF-M02R</t>
        </is>
      </c>
      <c r="D93" s="16" t="inlineStr">
        <is>
          <t>KF-M02R-n1</t>
        </is>
      </c>
      <c r="E93" s="16" t="inlineStr">
        <is>
          <t>B04-n1</t>
        </is>
      </c>
      <c r="F93" s="16" t="inlineStr">
        <is>
          <t>T_fuente</t>
        </is>
      </c>
      <c r="G93" s="16" t="inlineStr">
        <is>
          <t>fijo</t>
        </is>
      </c>
      <c r="H93" s="16" t="inlineStr">
        <is>
          <t>623.15</t>
        </is>
      </c>
      <c r="I93" s="16" t="n"/>
      <c r="J93" s="16" t="n"/>
      <c r="K93" s="16" t="n"/>
      <c r="L93" s="16" t="inlineStr">
        <is>
          <t>sí</t>
        </is>
      </c>
      <c r="M93" s="16" t="inlineStr">
        <is>
          <t>K</t>
        </is>
      </c>
      <c r="N93" s="16" t="inlineStr">
        <is>
          <t>no</t>
        </is>
      </c>
      <c r="O93" s="16" t="n"/>
    </row>
    <row r="94">
      <c r="A94" s="16" t="inlineStr">
        <is>
          <t>2.3</t>
        </is>
      </c>
      <c r="B94" s="16" t="inlineStr">
        <is>
          <t>2.3a</t>
        </is>
      </c>
      <c r="C94" s="16" t="inlineStr">
        <is>
          <t>KF-M02R</t>
        </is>
      </c>
      <c r="D94" s="16" t="inlineStr">
        <is>
          <t>KF-M02R-n1</t>
        </is>
      </c>
      <c r="E94" s="16" t="inlineStr">
        <is>
          <t>B04-n1</t>
        </is>
      </c>
      <c r="F94" s="16" t="inlineStr">
        <is>
          <t>T_sumidero</t>
        </is>
      </c>
      <c r="G94" s="16" t="inlineStr">
        <is>
          <t>fijo</t>
        </is>
      </c>
      <c r="H94" s="16" t="inlineStr">
        <is>
          <t>300.032917</t>
        </is>
      </c>
      <c r="I94" s="16" t="n"/>
      <c r="J94" s="16" t="n"/>
      <c r="K94" s="16" t="n"/>
      <c r="L94" s="16" t="inlineStr">
        <is>
          <t>sí</t>
        </is>
      </c>
      <c r="M94" s="16" t="inlineStr">
        <is>
          <t>K</t>
        </is>
      </c>
      <c r="N94" s="16" t="inlineStr">
        <is>
          <t>no</t>
        </is>
      </c>
      <c r="O94" s="16" t="n"/>
    </row>
    <row r="95">
      <c r="A95" s="16" t="inlineStr">
        <is>
          <t>2.3</t>
        </is>
      </c>
      <c r="B95" s="16" t="inlineStr">
        <is>
          <t>2.3a</t>
        </is>
      </c>
      <c r="C95" s="16" t="inlineStr">
        <is>
          <t>KF-M02R</t>
        </is>
      </c>
      <c r="D95" s="16" t="inlineStr">
        <is>
          <t>KF-M02R-n1</t>
        </is>
      </c>
      <c r="E95" s="16" t="inlineStr">
        <is>
          <t>B04-n1</t>
        </is>
      </c>
      <c r="F95" s="16" t="inlineStr">
        <is>
          <t>P_alta</t>
        </is>
      </c>
      <c r="G95" s="16" t="inlineStr">
        <is>
          <t>fijo</t>
        </is>
      </c>
      <c r="H95" s="16" t="inlineStr">
        <is>
          <t>3000.0</t>
        </is>
      </c>
      <c r="I95" s="16" t="n"/>
      <c r="J95" s="16" t="n"/>
      <c r="K95" s="16" t="n"/>
      <c r="L95" s="16" t="inlineStr">
        <is>
          <t>sí</t>
        </is>
      </c>
      <c r="M95" s="16" t="inlineStr">
        <is>
          <t>kPa</t>
        </is>
      </c>
      <c r="N95" s="16" t="inlineStr">
        <is>
          <t>no</t>
        </is>
      </c>
      <c r="O95" s="16" t="n"/>
    </row>
    <row r="96">
      <c r="A96" s="16" t="inlineStr">
        <is>
          <t>2.3</t>
        </is>
      </c>
      <c r="B96" s="16" t="inlineStr">
        <is>
          <t>2.3a</t>
        </is>
      </c>
      <c r="C96" s="16" t="inlineStr">
        <is>
          <t>KF-M02R</t>
        </is>
      </c>
      <c r="D96" s="16" t="inlineStr">
        <is>
          <t>KF-M02R-n1</t>
        </is>
      </c>
      <c r="E96" s="16" t="inlineStr">
        <is>
          <t>B04-n1</t>
        </is>
      </c>
      <c r="F96" s="16" t="inlineStr">
        <is>
          <t>P_baja</t>
        </is>
      </c>
      <c r="G96" s="16" t="inlineStr">
        <is>
          <t>fijo</t>
        </is>
      </c>
      <c r="H96" s="16" t="inlineStr">
        <is>
          <t>400.0</t>
        </is>
      </c>
      <c r="I96" s="16" t="n"/>
      <c r="J96" s="16" t="n"/>
      <c r="K96" s="16" t="n"/>
      <c r="L96" s="16" t="inlineStr">
        <is>
          <t>sí</t>
        </is>
      </c>
      <c r="M96" s="16" t="inlineStr">
        <is>
          <t>kPa</t>
        </is>
      </c>
      <c r="N96" s="16" t="inlineStr">
        <is>
          <t>no</t>
        </is>
      </c>
      <c r="O96" s="16" t="n"/>
    </row>
    <row r="97">
      <c r="A97" s="16" t="inlineStr">
        <is>
          <t>2.3</t>
        </is>
      </c>
      <c r="B97" s="16" t="inlineStr">
        <is>
          <t>2.3a</t>
        </is>
      </c>
      <c r="C97" s="16" t="inlineStr">
        <is>
          <t>KF-M02R</t>
        </is>
      </c>
      <c r="D97" s="16" t="inlineStr">
        <is>
          <t>KF-M02R-n1</t>
        </is>
      </c>
      <c r="E97" s="16" t="inlineStr">
        <is>
          <t>B04-n1</t>
        </is>
      </c>
      <c r="F97" s="16" t="inlineStr">
        <is>
          <t>x_b</t>
        </is>
      </c>
      <c r="G97" s="16" t="inlineStr">
        <is>
          <t>fijo</t>
        </is>
      </c>
      <c r="H97" s="16" t="inlineStr">
        <is>
          <t>0.5</t>
        </is>
      </c>
      <c r="I97" s="16" t="n"/>
      <c r="J97" s="16" t="n"/>
      <c r="K97" s="16" t="n"/>
      <c r="L97" s="16" t="inlineStr">
        <is>
          <t>sí</t>
        </is>
      </c>
      <c r="M97" s="16" t="inlineStr">
        <is>
          <t>–</t>
        </is>
      </c>
      <c r="N97" s="16" t="inlineStr">
        <is>
          <t>no</t>
        </is>
      </c>
      <c r="O97" s="16" t="n"/>
    </row>
    <row r="98">
      <c r="A98" s="16" t="inlineStr">
        <is>
          <t>2.3</t>
        </is>
      </c>
      <c r="B98" s="16" t="inlineStr">
        <is>
          <t>2.3a</t>
        </is>
      </c>
      <c r="C98" s="16" t="inlineStr">
        <is>
          <t>KF-M02R</t>
        </is>
      </c>
      <c r="D98" s="16" t="inlineStr">
        <is>
          <t>KF-M02R-n1</t>
        </is>
      </c>
      <c r="E98" s="16" t="inlineStr">
        <is>
          <t>B04-n1</t>
        </is>
      </c>
      <c r="F98" s="16" t="inlineStr">
        <is>
          <t>m_b</t>
        </is>
      </c>
      <c r="G98" s="16" t="inlineStr">
        <is>
          <t>fijo</t>
        </is>
      </c>
      <c r="H98" s="16" t="inlineStr">
        <is>
          <t>1.0</t>
        </is>
      </c>
      <c r="I98" s="16" t="n"/>
      <c r="J98" s="16" t="n"/>
      <c r="K98" s="16" t="n"/>
      <c r="L98" s="16" t="inlineStr">
        <is>
          <t>sí</t>
        </is>
      </c>
      <c r="M98" s="16" t="inlineStr">
        <is>
          <t>kg/s</t>
        </is>
      </c>
      <c r="N98" s="16" t="inlineStr">
        <is>
          <t>no</t>
        </is>
      </c>
      <c r="O98" s="16" t="n"/>
    </row>
    <row r="99">
      <c r="A99" s="16" t="inlineStr">
        <is>
          <t>2.3</t>
        </is>
      </c>
      <c r="B99" s="16" t="inlineStr">
        <is>
          <t>2.3a</t>
        </is>
      </c>
      <c r="C99" s="16" t="inlineStr">
        <is>
          <t>KF-M02R</t>
        </is>
      </c>
      <c r="D99" s="16" t="inlineStr">
        <is>
          <t>KF-M02R-n1</t>
        </is>
      </c>
      <c r="E99" s="16" t="inlineStr">
        <is>
          <t>B04-n1</t>
        </is>
      </c>
      <c r="F99" s="16" t="inlineStr">
        <is>
          <t>eta_t</t>
        </is>
      </c>
      <c r="G99" s="16" t="inlineStr">
        <is>
          <t>barrido</t>
        </is>
      </c>
      <c r="H99" s="16" t="n"/>
      <c r="I99" s="16" t="n">
        <v>0.4</v>
      </c>
      <c r="J99" s="16" t="n">
        <v>0.95</v>
      </c>
      <c r="K99" s="16" t="n">
        <v>12</v>
      </c>
      <c r="L99" s="16" t="n"/>
      <c r="M99" s="16" t="inlineStr">
        <is>
          <t>–</t>
        </is>
      </c>
      <c r="N99" s="16" t="inlineStr">
        <is>
          <t>no</t>
        </is>
      </c>
      <c r="O99" s="16" t="n"/>
    </row>
    <row r="100">
      <c r="A100" s="16" t="inlineStr">
        <is>
          <t>2.3</t>
        </is>
      </c>
      <c r="B100" s="16" t="inlineStr">
        <is>
          <t>2.3a</t>
        </is>
      </c>
      <c r="C100" s="16" t="inlineStr">
        <is>
          <t>KF-M02R</t>
        </is>
      </c>
      <c r="D100" s="16" t="inlineStr">
        <is>
          <t>KF-M02R-n1</t>
        </is>
      </c>
      <c r="E100" s="16" t="inlineStr">
        <is>
          <t>B04-n1</t>
        </is>
      </c>
      <c r="F100" s="16" t="inlineStr">
        <is>
          <t>eta_p</t>
        </is>
      </c>
      <c r="G100" s="16" t="inlineStr">
        <is>
          <t>barrido</t>
        </is>
      </c>
      <c r="H100" s="16" t="n"/>
      <c r="I100" s="16" t="n">
        <v>0.4</v>
      </c>
      <c r="J100" s="16" t="n">
        <v>0.95</v>
      </c>
      <c r="K100" s="16" t="n">
        <v>12</v>
      </c>
      <c r="L100" s="16" t="n"/>
      <c r="M100" s="16" t="inlineStr">
        <is>
          <t>–</t>
        </is>
      </c>
      <c r="N100" s="16" t="inlineStr">
        <is>
          <t>no</t>
        </is>
      </c>
      <c r="O100" s="16" t="n"/>
    </row>
    <row r="101">
      <c r="A101" s="16" t="inlineStr">
        <is>
          <t>2.3</t>
        </is>
      </c>
      <c r="B101" s="16" t="inlineStr">
        <is>
          <t>2.3a</t>
        </is>
      </c>
      <c r="C101" s="16" t="inlineStr">
        <is>
          <t>KF-M02R</t>
        </is>
      </c>
      <c r="D101" s="16" t="inlineStr">
        <is>
          <t>KF-M02R-n1</t>
        </is>
      </c>
      <c r="E101" s="16" t="inlineStr">
        <is>
          <t>B04-n1</t>
        </is>
      </c>
      <c r="F101" s="16" t="inlineStr">
        <is>
          <t>eps_hrvg</t>
        </is>
      </c>
      <c r="G101" s="16" t="inlineStr">
        <is>
          <t>barrido</t>
        </is>
      </c>
      <c r="H101" s="16" t="n"/>
      <c r="I101" s="16" t="n">
        <v>0.4</v>
      </c>
      <c r="J101" s="16" t="n">
        <v>0.95</v>
      </c>
      <c r="K101" s="16" t="n">
        <v>32</v>
      </c>
      <c r="L101" s="16" t="n"/>
      <c r="M101" s="16" t="inlineStr">
        <is>
          <t>–</t>
        </is>
      </c>
      <c r="N101" s="16" t="inlineStr">
        <is>
          <t>no</t>
        </is>
      </c>
      <c r="O101" s="16" t="n"/>
    </row>
    <row r="102">
      <c r="A102" s="16" t="inlineStr">
        <is>
          <t>2.3</t>
        </is>
      </c>
      <c r="B102" s="16" t="inlineStr">
        <is>
          <t>2.3a</t>
        </is>
      </c>
      <c r="C102" s="16" t="inlineStr">
        <is>
          <t>KF-M02R</t>
        </is>
      </c>
      <c r="D102" s="16" t="inlineStr">
        <is>
          <t>KF-M02R-n1</t>
        </is>
      </c>
      <c r="E102" s="16" t="inlineStr">
        <is>
          <t>B04-n1</t>
        </is>
      </c>
      <c r="F102" s="16" t="inlineStr">
        <is>
          <t>eps_reg</t>
        </is>
      </c>
      <c r="G102" s="16" t="inlineStr">
        <is>
          <t>barrido</t>
        </is>
      </c>
      <c r="H102" s="16" t="n"/>
      <c r="I102" s="16" t="n">
        <v>0.4</v>
      </c>
      <c r="J102" s="16" t="n">
        <v>0.95</v>
      </c>
      <c r="K102" s="16" t="n">
        <v>12</v>
      </c>
      <c r="L102" s="16" t="n"/>
      <c r="M102" s="16" t="inlineStr">
        <is>
          <t>–</t>
        </is>
      </c>
      <c r="N102" s="16" t="inlineStr">
        <is>
          <t>no</t>
        </is>
      </c>
      <c r="O102" s="16" t="n"/>
    </row>
    <row r="103">
      <c r="A103" s="16" t="inlineStr">
        <is>
          <t>2.3</t>
        </is>
      </c>
      <c r="B103" s="16" t="inlineStr">
        <is>
          <t>2.3a</t>
        </is>
      </c>
      <c r="C103" s="16" t="inlineStr">
        <is>
          <t>KF-M02R</t>
        </is>
      </c>
      <c r="D103" s="16" t="inlineStr">
        <is>
          <t>KF-M02R-n1</t>
        </is>
      </c>
      <c r="E103" s="16" t="inlineStr">
        <is>
          <t>B04-n1</t>
        </is>
      </c>
      <c r="F103" s="16" t="inlineStr">
        <is>
          <t>eps_cond</t>
        </is>
      </c>
      <c r="G103" s="16" t="inlineStr">
        <is>
          <t>barrido</t>
        </is>
      </c>
      <c r="H103" s="16" t="n"/>
      <c r="I103" s="16" t="n">
        <v>0.4</v>
      </c>
      <c r="J103" s="16" t="n">
        <v>0.95</v>
      </c>
      <c r="K103" s="16" t="n">
        <v>12</v>
      </c>
      <c r="L103" s="16" t="n"/>
      <c r="M103" s="16" t="inlineStr">
        <is>
          <t>–</t>
        </is>
      </c>
      <c r="N103" s="16" t="inlineStr">
        <is>
          <t>no</t>
        </is>
      </c>
      <c r="O103" s="16" t="n"/>
    </row>
    <row r="104">
      <c r="A104" s="16" t="inlineStr">
        <is>
          <t>2.3</t>
        </is>
      </c>
      <c r="B104" s="16" t="inlineStr">
        <is>
          <t>2.3a</t>
        </is>
      </c>
      <c r="C104" s="16" t="inlineStr">
        <is>
          <t>KF-M02R</t>
        </is>
      </c>
      <c r="D104" s="16" t="inlineStr">
        <is>
          <t>KF-M02R-n1</t>
        </is>
      </c>
      <c r="E104" s="16" t="inlineStr">
        <is>
          <t>B04-n1</t>
        </is>
      </c>
      <c r="F104" s="16" t="inlineStr">
        <is>
          <t>T_amb_diseno</t>
        </is>
      </c>
      <c r="G104" s="16" t="inlineStr">
        <is>
          <t>sin_dato</t>
        </is>
      </c>
      <c r="H104" s="16" t="n"/>
      <c r="I104" s="16" t="n"/>
      <c r="J104" s="16" t="n"/>
      <c r="K104" s="16" t="n"/>
      <c r="L104" s="16" t="n"/>
      <c r="M104" s="16" t="inlineStr">
        <is>
          <t>K</t>
        </is>
      </c>
      <c r="N104" s="16" t="inlineStr">
        <is>
          <t>no</t>
        </is>
      </c>
      <c r="O104" s="16" t="n"/>
    </row>
    <row r="105">
      <c r="A105" s="16" t="inlineStr">
        <is>
          <t>2.3</t>
        </is>
      </c>
      <c r="B105" s="16" t="inlineStr">
        <is>
          <t>2.3a</t>
        </is>
      </c>
      <c r="C105" s="16" t="inlineStr">
        <is>
          <t>KF-M02R</t>
        </is>
      </c>
      <c r="D105" s="16" t="inlineStr">
        <is>
          <t>KF-M02R-n1</t>
        </is>
      </c>
      <c r="E105" s="16" t="inlineStr">
        <is>
          <t>B04-n1</t>
        </is>
      </c>
      <c r="F105" s="16" t="inlineStr">
        <is>
          <t>motor</t>
        </is>
      </c>
      <c r="G105" s="16" t="inlineStr">
        <is>
          <t>fijo</t>
        </is>
      </c>
      <c r="H105" s="16" t="inlineStr">
        <is>
          <t>teqp</t>
        </is>
      </c>
      <c r="I105" s="16" t="n"/>
      <c r="J105" s="16" t="n"/>
      <c r="K105" s="16" t="n"/>
      <c r="L105" s="16" t="n"/>
      <c r="M105" s="16" t="inlineStr">
        <is>
          <t>–</t>
        </is>
      </c>
      <c r="N105" s="16" t="inlineStr">
        <is>
          <t>no</t>
        </is>
      </c>
      <c r="O105" s="16" t="n"/>
    </row>
    <row r="106">
      <c r="A106" s="16" t="inlineStr">
        <is>
          <t>2.3</t>
        </is>
      </c>
      <c r="B106" s="16" t="inlineStr">
        <is>
          <t>2.3b</t>
        </is>
      </c>
      <c r="C106" s="16" t="inlineStr">
        <is>
          <t>KF-M02R</t>
        </is>
      </c>
      <c r="D106" s="16" t="inlineStr">
        <is>
          <t>KF-M02R-n2a</t>
        </is>
      </c>
      <c r="E106" s="16" t="inlineStr">
        <is>
          <t>B04-n2a</t>
        </is>
      </c>
      <c r="F106" s="16" t="inlineStr">
        <is>
          <t>T_fuente</t>
        </is>
      </c>
      <c r="G106" s="16" t="inlineStr">
        <is>
          <t>fijo</t>
        </is>
      </c>
      <c r="H106" s="16" t="inlineStr">
        <is>
          <t>623.15</t>
        </is>
      </c>
      <c r="I106" s="16" t="n"/>
      <c r="J106" s="16" t="n"/>
      <c r="K106" s="16" t="n"/>
      <c r="L106" s="16" t="inlineStr">
        <is>
          <t>sí</t>
        </is>
      </c>
      <c r="M106" s="16" t="inlineStr">
        <is>
          <t>K</t>
        </is>
      </c>
      <c r="N106" s="16" t="inlineStr">
        <is>
          <t>no</t>
        </is>
      </c>
      <c r="O106" s="16" t="n"/>
    </row>
    <row r="107">
      <c r="A107" s="16" t="inlineStr">
        <is>
          <t>2.3</t>
        </is>
      </c>
      <c r="B107" s="16" t="inlineStr">
        <is>
          <t>2.3b</t>
        </is>
      </c>
      <c r="C107" s="16" t="inlineStr">
        <is>
          <t>KF-M02R</t>
        </is>
      </c>
      <c r="D107" s="16" t="inlineStr">
        <is>
          <t>KF-M02R-n2a</t>
        </is>
      </c>
      <c r="E107" s="16" t="inlineStr">
        <is>
          <t>B04-n2a</t>
        </is>
      </c>
      <c r="F107" s="16" t="inlineStr">
        <is>
          <t>T_sumidero</t>
        </is>
      </c>
      <c r="G107" s="16" t="inlineStr">
        <is>
          <t>fijo</t>
        </is>
      </c>
      <c r="H107" s="16" t="inlineStr">
        <is>
          <t>300.032917</t>
        </is>
      </c>
      <c r="I107" s="16" t="n"/>
      <c r="J107" s="16" t="n"/>
      <c r="K107" s="16" t="n"/>
      <c r="L107" s="16" t="inlineStr">
        <is>
          <t>sí</t>
        </is>
      </c>
      <c r="M107" s="16" t="inlineStr">
        <is>
          <t>K</t>
        </is>
      </c>
      <c r="N107" s="16" t="inlineStr">
        <is>
          <t>no</t>
        </is>
      </c>
      <c r="O107" s="16" t="n"/>
    </row>
    <row r="108">
      <c r="A108" s="16" t="inlineStr">
        <is>
          <t>2.3</t>
        </is>
      </c>
      <c r="B108" s="16" t="inlineStr">
        <is>
          <t>2.3b</t>
        </is>
      </c>
      <c r="C108" s="16" t="inlineStr">
        <is>
          <t>KF-M02R</t>
        </is>
      </c>
      <c r="D108" s="16" t="inlineStr">
        <is>
          <t>KF-M02R-n2a</t>
        </is>
      </c>
      <c r="E108" s="16" t="inlineStr">
        <is>
          <t>B04-n2a</t>
        </is>
      </c>
      <c r="F108" s="16" t="inlineStr">
        <is>
          <t>P_alta</t>
        </is>
      </c>
      <c r="G108" s="16" t="inlineStr">
        <is>
          <t>fijo</t>
        </is>
      </c>
      <c r="H108" s="16" t="inlineStr">
        <is>
          <t>3000.0</t>
        </is>
      </c>
      <c r="I108" s="16" t="n"/>
      <c r="J108" s="16" t="n"/>
      <c r="K108" s="16" t="n"/>
      <c r="L108" s="16" t="inlineStr">
        <is>
          <t>sí</t>
        </is>
      </c>
      <c r="M108" s="16" t="inlineStr">
        <is>
          <t>kPa</t>
        </is>
      </c>
      <c r="N108" s="16" t="inlineStr">
        <is>
          <t>no</t>
        </is>
      </c>
      <c r="O108" s="16" t="n"/>
    </row>
    <row r="109">
      <c r="A109" s="16" t="inlineStr">
        <is>
          <t>2.3</t>
        </is>
      </c>
      <c r="B109" s="16" t="inlineStr">
        <is>
          <t>2.3b</t>
        </is>
      </c>
      <c r="C109" s="16" t="inlineStr">
        <is>
          <t>KF-M02R</t>
        </is>
      </c>
      <c r="D109" s="16" t="inlineStr">
        <is>
          <t>KF-M02R-n2a</t>
        </is>
      </c>
      <c r="E109" s="16" t="inlineStr">
        <is>
          <t>B04-n2a</t>
        </is>
      </c>
      <c r="F109" s="16" t="inlineStr">
        <is>
          <t>P_baja</t>
        </is>
      </c>
      <c r="G109" s="16" t="inlineStr">
        <is>
          <t>fijo</t>
        </is>
      </c>
      <c r="H109" s="16" t="inlineStr">
        <is>
          <t>400.0</t>
        </is>
      </c>
      <c r="I109" s="16" t="n"/>
      <c r="J109" s="16" t="n"/>
      <c r="K109" s="16" t="n"/>
      <c r="L109" s="16" t="inlineStr">
        <is>
          <t>sí</t>
        </is>
      </c>
      <c r="M109" s="16" t="inlineStr">
        <is>
          <t>kPa</t>
        </is>
      </c>
      <c r="N109" s="16" t="inlineStr">
        <is>
          <t>no</t>
        </is>
      </c>
      <c r="O109" s="16" t="n"/>
    </row>
    <row r="110">
      <c r="A110" s="16" t="inlineStr">
        <is>
          <t>2.3</t>
        </is>
      </c>
      <c r="B110" s="16" t="inlineStr">
        <is>
          <t>2.3b</t>
        </is>
      </c>
      <c r="C110" s="16" t="inlineStr">
        <is>
          <t>KF-M02R</t>
        </is>
      </c>
      <c r="D110" s="16" t="inlineStr">
        <is>
          <t>KF-M02R-n2a</t>
        </is>
      </c>
      <c r="E110" s="16" t="inlineStr">
        <is>
          <t>B04-n2a</t>
        </is>
      </c>
      <c r="F110" s="16" t="inlineStr">
        <is>
          <t>x_b</t>
        </is>
      </c>
      <c r="G110" s="16" t="inlineStr">
        <is>
          <t>fijo</t>
        </is>
      </c>
      <c r="H110" s="16" t="inlineStr">
        <is>
          <t>0.5</t>
        </is>
      </c>
      <c r="I110" s="16" t="n"/>
      <c r="J110" s="16" t="n"/>
      <c r="K110" s="16" t="n"/>
      <c r="L110" s="16" t="inlineStr">
        <is>
          <t>sí</t>
        </is>
      </c>
      <c r="M110" s="16" t="inlineStr">
        <is>
          <t>–</t>
        </is>
      </c>
      <c r="N110" s="16" t="inlineStr">
        <is>
          <t>no</t>
        </is>
      </c>
      <c r="O110" s="16" t="n"/>
    </row>
    <row r="111">
      <c r="A111" s="16" t="inlineStr">
        <is>
          <t>2.3</t>
        </is>
      </c>
      <c r="B111" s="16" t="inlineStr">
        <is>
          <t>2.3b</t>
        </is>
      </c>
      <c r="C111" s="16" t="inlineStr">
        <is>
          <t>KF-M02R</t>
        </is>
      </c>
      <c r="D111" s="16" t="inlineStr">
        <is>
          <t>KF-M02R-n2a</t>
        </is>
      </c>
      <c r="E111" s="16" t="inlineStr">
        <is>
          <t>B04-n2a</t>
        </is>
      </c>
      <c r="F111" s="16" t="inlineStr">
        <is>
          <t>m_b</t>
        </is>
      </c>
      <c r="G111" s="16" t="inlineStr">
        <is>
          <t>fijo</t>
        </is>
      </c>
      <c r="H111" s="16" t="inlineStr">
        <is>
          <t>1.0</t>
        </is>
      </c>
      <c r="I111" s="16" t="n"/>
      <c r="J111" s="16" t="n"/>
      <c r="K111" s="16" t="n"/>
      <c r="L111" s="16" t="inlineStr">
        <is>
          <t>sí</t>
        </is>
      </c>
      <c r="M111" s="16" t="inlineStr">
        <is>
          <t>kg/s</t>
        </is>
      </c>
      <c r="N111" s="16" t="inlineStr">
        <is>
          <t>no</t>
        </is>
      </c>
      <c r="O111" s="16" t="n"/>
    </row>
    <row r="112">
      <c r="A112" s="16" t="inlineStr">
        <is>
          <t>2.3</t>
        </is>
      </c>
      <c r="B112" s="16" t="inlineStr">
        <is>
          <t>2.3b</t>
        </is>
      </c>
      <c r="C112" s="16" t="inlineStr">
        <is>
          <t>KF-M02R</t>
        </is>
      </c>
      <c r="D112" s="16" t="inlineStr">
        <is>
          <t>KF-M02R-n2a</t>
        </is>
      </c>
      <c r="E112" s="16" t="inlineStr">
        <is>
          <t>B04-n2a</t>
        </is>
      </c>
      <c r="F112" s="16" t="inlineStr">
        <is>
          <t>eta_t</t>
        </is>
      </c>
      <c r="G112" s="16" t="inlineStr">
        <is>
          <t>fijo</t>
        </is>
      </c>
      <c r="H112" s="16" t="inlineStr">
        <is>
          <t>0.85</t>
        </is>
      </c>
      <c r="I112" s="16" t="n"/>
      <c r="J112" s="16" t="n"/>
      <c r="K112" s="16" t="n"/>
      <c r="L112" s="16" t="inlineStr">
        <is>
          <t>sí</t>
        </is>
      </c>
      <c r="M112" s="16" t="inlineStr">
        <is>
          <t>–</t>
        </is>
      </c>
      <c r="N112" s="16" t="inlineStr">
        <is>
          <t>no</t>
        </is>
      </c>
      <c r="O112" s="16" t="n"/>
    </row>
    <row r="113">
      <c r="A113" s="16" t="inlineStr">
        <is>
          <t>2.3</t>
        </is>
      </c>
      <c r="B113" s="16" t="inlineStr">
        <is>
          <t>2.3b</t>
        </is>
      </c>
      <c r="C113" s="16" t="inlineStr">
        <is>
          <t>KF-M02R</t>
        </is>
      </c>
      <c r="D113" s="16" t="inlineStr">
        <is>
          <t>KF-M02R-n2a</t>
        </is>
      </c>
      <c r="E113" s="16" t="inlineStr">
        <is>
          <t>B04-n2a</t>
        </is>
      </c>
      <c r="F113" s="16" t="inlineStr">
        <is>
          <t>eta_p</t>
        </is>
      </c>
      <c r="G113" s="16" t="inlineStr">
        <is>
          <t>fijo</t>
        </is>
      </c>
      <c r="H113" s="16" t="inlineStr">
        <is>
          <t>0.75</t>
        </is>
      </c>
      <c r="I113" s="16" t="n"/>
      <c r="J113" s="16" t="n"/>
      <c r="K113" s="16" t="n"/>
      <c r="L113" s="16" t="inlineStr">
        <is>
          <t>sí</t>
        </is>
      </c>
      <c r="M113" s="16" t="inlineStr">
        <is>
          <t>–</t>
        </is>
      </c>
      <c r="N113" s="16" t="inlineStr">
        <is>
          <t>no</t>
        </is>
      </c>
      <c r="O113" s="16" t="n"/>
    </row>
    <row r="114">
      <c r="A114" s="16" t="inlineStr">
        <is>
          <t>2.3</t>
        </is>
      </c>
      <c r="B114" s="16" t="inlineStr">
        <is>
          <t>2.3b</t>
        </is>
      </c>
      <c r="C114" s="16" t="inlineStr">
        <is>
          <t>KF-M02R</t>
        </is>
      </c>
      <c r="D114" s="16" t="inlineStr">
        <is>
          <t>KF-M02R-n2a</t>
        </is>
      </c>
      <c r="E114" s="16" t="inlineStr">
        <is>
          <t>B04-n2a</t>
        </is>
      </c>
      <c r="F114" s="16" t="inlineStr">
        <is>
          <t>eps_hrvg</t>
        </is>
      </c>
      <c r="G114" s="16" t="inlineStr">
        <is>
          <t>barrido</t>
        </is>
      </c>
      <c r="H114" s="16" t="n"/>
      <c r="I114" s="16" t="n">
        <v>0.4</v>
      </c>
      <c r="J114" s="16" t="n">
        <v>0.8</v>
      </c>
      <c r="K114" s="16" t="n">
        <v>5</v>
      </c>
      <c r="L114" s="16" t="n"/>
      <c r="M114" s="16" t="inlineStr">
        <is>
          <t>–</t>
        </is>
      </c>
      <c r="N114" s="16" t="inlineStr">
        <is>
          <t>no</t>
        </is>
      </c>
      <c r="O114" s="16" t="n"/>
    </row>
    <row r="115">
      <c r="A115" s="16" t="inlineStr">
        <is>
          <t>2.3</t>
        </is>
      </c>
      <c r="B115" s="16" t="inlineStr">
        <is>
          <t>2.3b</t>
        </is>
      </c>
      <c r="C115" s="16" t="inlineStr">
        <is>
          <t>KF-M02R</t>
        </is>
      </c>
      <c r="D115" s="16" t="inlineStr">
        <is>
          <t>KF-M02R-n2a</t>
        </is>
      </c>
      <c r="E115" s="16" t="inlineStr">
        <is>
          <t>B04-n2a</t>
        </is>
      </c>
      <c r="F115" s="16" t="inlineStr">
        <is>
          <t>eps_reg</t>
        </is>
      </c>
      <c r="G115" s="16" t="inlineStr">
        <is>
          <t>fijo</t>
        </is>
      </c>
      <c r="H115" s="16" t="inlineStr">
        <is>
          <t>0.75</t>
        </is>
      </c>
      <c r="I115" s="16" t="n"/>
      <c r="J115" s="16" t="n"/>
      <c r="K115" s="16" t="n"/>
      <c r="L115" s="16" t="inlineStr">
        <is>
          <t>sí</t>
        </is>
      </c>
      <c r="M115" s="16" t="inlineStr">
        <is>
          <t>–</t>
        </is>
      </c>
      <c r="N115" s="16" t="inlineStr">
        <is>
          <t>no</t>
        </is>
      </c>
      <c r="O115" s="16" t="n"/>
    </row>
    <row r="116">
      <c r="A116" s="16" t="inlineStr">
        <is>
          <t>2.3</t>
        </is>
      </c>
      <c r="B116" s="16" t="inlineStr">
        <is>
          <t>2.3b</t>
        </is>
      </c>
      <c r="C116" s="16" t="inlineStr">
        <is>
          <t>KF-M02R</t>
        </is>
      </c>
      <c r="D116" s="16" t="inlineStr">
        <is>
          <t>KF-M02R-n2a</t>
        </is>
      </c>
      <c r="E116" s="16" t="inlineStr">
        <is>
          <t>B04-n2a</t>
        </is>
      </c>
      <c r="F116" s="16" t="inlineStr">
        <is>
          <t>eps_cond</t>
        </is>
      </c>
      <c r="G116" s="16" t="inlineStr">
        <is>
          <t>barrido</t>
        </is>
      </c>
      <c r="H116" s="16" t="n"/>
      <c r="I116" s="16" t="n">
        <v>0.4</v>
      </c>
      <c r="J116" s="16" t="n">
        <v>0.95</v>
      </c>
      <c r="K116" s="16" t="n">
        <v>12</v>
      </c>
      <c r="L116" s="16" t="n"/>
      <c r="M116" s="16" t="inlineStr">
        <is>
          <t>–</t>
        </is>
      </c>
      <c r="N116" s="16" t="inlineStr">
        <is>
          <t>no</t>
        </is>
      </c>
      <c r="O116" s="16" t="n"/>
    </row>
    <row r="117">
      <c r="A117" s="16" t="inlineStr">
        <is>
          <t>2.3</t>
        </is>
      </c>
      <c r="B117" s="16" t="inlineStr">
        <is>
          <t>2.3b</t>
        </is>
      </c>
      <c r="C117" s="16" t="inlineStr">
        <is>
          <t>KF-M02R</t>
        </is>
      </c>
      <c r="D117" s="16" t="inlineStr">
        <is>
          <t>KF-M02R-n2a</t>
        </is>
      </c>
      <c r="E117" s="16" t="inlineStr">
        <is>
          <t>B04-n2a</t>
        </is>
      </c>
      <c r="F117" s="16" t="inlineStr">
        <is>
          <t>T_amb_diseno</t>
        </is>
      </c>
      <c r="G117" s="16" t="inlineStr">
        <is>
          <t>sin_dato</t>
        </is>
      </c>
      <c r="H117" s="16" t="n"/>
      <c r="I117" s="16" t="n"/>
      <c r="J117" s="16" t="n"/>
      <c r="K117" s="16" t="n"/>
      <c r="L117" s="16" t="n"/>
      <c r="M117" s="16" t="inlineStr">
        <is>
          <t>K</t>
        </is>
      </c>
      <c r="N117" s="16" t="inlineStr">
        <is>
          <t>no</t>
        </is>
      </c>
      <c r="O117" s="16" t="n"/>
    </row>
    <row r="118">
      <c r="A118" s="16" t="inlineStr">
        <is>
          <t>2.3</t>
        </is>
      </c>
      <c r="B118" s="16" t="inlineStr">
        <is>
          <t>2.3b</t>
        </is>
      </c>
      <c r="C118" s="16" t="inlineStr">
        <is>
          <t>KF-M02R</t>
        </is>
      </c>
      <c r="D118" s="16" t="inlineStr">
        <is>
          <t>KF-M02R-n2a</t>
        </is>
      </c>
      <c r="E118" s="16" t="inlineStr">
        <is>
          <t>B04-n2a</t>
        </is>
      </c>
      <c r="F118" s="16" t="inlineStr">
        <is>
          <t>motor</t>
        </is>
      </c>
      <c r="G118" s="16" t="inlineStr">
        <is>
          <t>fijo</t>
        </is>
      </c>
      <c r="H118" s="16" t="inlineStr">
        <is>
          <t>teqp</t>
        </is>
      </c>
      <c r="I118" s="16" t="n"/>
      <c r="J118" s="16" t="n"/>
      <c r="K118" s="16" t="n"/>
      <c r="L118" s="16" t="n"/>
      <c r="M118" s="16" t="inlineStr">
        <is>
          <t>–</t>
        </is>
      </c>
      <c r="N118" s="16" t="inlineStr">
        <is>
          <t>no</t>
        </is>
      </c>
      <c r="O118" s="16" t="n"/>
    </row>
    <row r="119">
      <c r="A119" s="16" t="inlineStr">
        <is>
          <t>2.3</t>
        </is>
      </c>
      <c r="B119" s="16" t="inlineStr">
        <is>
          <t>2.3c</t>
        </is>
      </c>
      <c r="C119" s="16" t="inlineStr">
        <is>
          <t>KF-M02R</t>
        </is>
      </c>
      <c r="D119" s="16" t="inlineStr">
        <is>
          <t>KF-M02R-n2b</t>
        </is>
      </c>
      <c r="E119" s="16" t="inlineStr">
        <is>
          <t>B04-n2b</t>
        </is>
      </c>
      <c r="F119" s="16" t="inlineStr">
        <is>
          <t>T_fuente</t>
        </is>
      </c>
      <c r="G119" s="16" t="inlineStr">
        <is>
          <t>fijo</t>
        </is>
      </c>
      <c r="H119" s="16" t="inlineStr">
        <is>
          <t>623.15</t>
        </is>
      </c>
      <c r="I119" s="16" t="n"/>
      <c r="J119" s="16" t="n"/>
      <c r="K119" s="16" t="n"/>
      <c r="L119" s="16" t="inlineStr">
        <is>
          <t>sí</t>
        </is>
      </c>
      <c r="M119" s="16" t="inlineStr">
        <is>
          <t>K</t>
        </is>
      </c>
      <c r="N119" s="16" t="inlineStr">
        <is>
          <t>no</t>
        </is>
      </c>
      <c r="O119" s="16" t="n"/>
    </row>
    <row r="120">
      <c r="A120" s="16" t="inlineStr">
        <is>
          <t>2.3</t>
        </is>
      </c>
      <c r="B120" s="16" t="inlineStr">
        <is>
          <t>2.3c</t>
        </is>
      </c>
      <c r="C120" s="16" t="inlineStr">
        <is>
          <t>KF-M02R</t>
        </is>
      </c>
      <c r="D120" s="16" t="inlineStr">
        <is>
          <t>KF-M02R-n2b</t>
        </is>
      </c>
      <c r="E120" s="16" t="inlineStr">
        <is>
          <t>B04-n2b</t>
        </is>
      </c>
      <c r="F120" s="16" t="inlineStr">
        <is>
          <t>T_sumidero</t>
        </is>
      </c>
      <c r="G120" s="16" t="inlineStr">
        <is>
          <t>fijo</t>
        </is>
      </c>
      <c r="H120" s="16" t="inlineStr">
        <is>
          <t>300.032917</t>
        </is>
      </c>
      <c r="I120" s="16" t="n"/>
      <c r="J120" s="16" t="n"/>
      <c r="K120" s="16" t="n"/>
      <c r="L120" s="16" t="inlineStr">
        <is>
          <t>sí</t>
        </is>
      </c>
      <c r="M120" s="16" t="inlineStr">
        <is>
          <t>K</t>
        </is>
      </c>
      <c r="N120" s="16" t="inlineStr">
        <is>
          <t>no</t>
        </is>
      </c>
      <c r="O120" s="16" t="n"/>
    </row>
    <row r="121">
      <c r="A121" s="16" t="inlineStr">
        <is>
          <t>2.3</t>
        </is>
      </c>
      <c r="B121" s="16" t="inlineStr">
        <is>
          <t>2.3c</t>
        </is>
      </c>
      <c r="C121" s="16" t="inlineStr">
        <is>
          <t>KF-M02R</t>
        </is>
      </c>
      <c r="D121" s="16" t="inlineStr">
        <is>
          <t>KF-M02R-n2b</t>
        </is>
      </c>
      <c r="E121" s="16" t="inlineStr">
        <is>
          <t>B04-n2b</t>
        </is>
      </c>
      <c r="F121" s="16" t="inlineStr">
        <is>
          <t>P_alta</t>
        </is>
      </c>
      <c r="G121" s="16" t="inlineStr">
        <is>
          <t>fijo</t>
        </is>
      </c>
      <c r="H121" s="16" t="inlineStr">
        <is>
          <t>3000.0</t>
        </is>
      </c>
      <c r="I121" s="16" t="n"/>
      <c r="J121" s="16" t="n"/>
      <c r="K121" s="16" t="n"/>
      <c r="L121" s="16" t="inlineStr">
        <is>
          <t>sí</t>
        </is>
      </c>
      <c r="M121" s="16" t="inlineStr">
        <is>
          <t>kPa</t>
        </is>
      </c>
      <c r="N121" s="16" t="inlineStr">
        <is>
          <t>no</t>
        </is>
      </c>
      <c r="O121" s="16" t="n"/>
    </row>
    <row r="122">
      <c r="A122" s="16" t="inlineStr">
        <is>
          <t>2.3</t>
        </is>
      </c>
      <c r="B122" s="16" t="inlineStr">
        <is>
          <t>2.3c</t>
        </is>
      </c>
      <c r="C122" s="16" t="inlineStr">
        <is>
          <t>KF-M02R</t>
        </is>
      </c>
      <c r="D122" s="16" t="inlineStr">
        <is>
          <t>KF-M02R-n2b</t>
        </is>
      </c>
      <c r="E122" s="16" t="inlineStr">
        <is>
          <t>B04-n2b</t>
        </is>
      </c>
      <c r="F122" s="16" t="inlineStr">
        <is>
          <t>P_baja</t>
        </is>
      </c>
      <c r="G122" s="16" t="inlineStr">
        <is>
          <t>barrido</t>
        </is>
      </c>
      <c r="H122" s="16" t="n"/>
      <c r="I122" s="16" t="n">
        <v>400</v>
      </c>
      <c r="J122" s="16" t="n">
        <v>2000</v>
      </c>
      <c r="K122" s="16" t="n">
        <v>20</v>
      </c>
      <c r="L122" s="16" t="n"/>
      <c r="M122" s="16" t="inlineStr">
        <is>
          <t>kPa</t>
        </is>
      </c>
      <c r="N122" s="16" t="inlineStr">
        <is>
          <t>no</t>
        </is>
      </c>
      <c r="O122" s="16" t="n"/>
    </row>
    <row r="123">
      <c r="A123" s="16" t="inlineStr">
        <is>
          <t>2.3</t>
        </is>
      </c>
      <c r="B123" s="16" t="inlineStr">
        <is>
          <t>2.3c</t>
        </is>
      </c>
      <c r="C123" s="16" t="inlineStr">
        <is>
          <t>KF-M02R</t>
        </is>
      </c>
      <c r="D123" s="16" t="inlineStr">
        <is>
          <t>KF-M02R-n2b</t>
        </is>
      </c>
      <c r="E123" s="16" t="inlineStr">
        <is>
          <t>B04-n2b</t>
        </is>
      </c>
      <c r="F123" s="16" t="inlineStr">
        <is>
          <t>x_b</t>
        </is>
      </c>
      <c r="G123" s="16" t="inlineStr">
        <is>
          <t>fijo</t>
        </is>
      </c>
      <c r="H123" s="16" t="inlineStr">
        <is>
          <t>0.5</t>
        </is>
      </c>
      <c r="I123" s="16" t="n"/>
      <c r="J123" s="16" t="n"/>
      <c r="K123" s="16" t="n"/>
      <c r="L123" s="16" t="inlineStr">
        <is>
          <t>sí</t>
        </is>
      </c>
      <c r="M123" s="16" t="inlineStr">
        <is>
          <t>–</t>
        </is>
      </c>
      <c r="N123" s="16" t="inlineStr">
        <is>
          <t>no</t>
        </is>
      </c>
      <c r="O123" s="16" t="n"/>
    </row>
    <row r="124">
      <c r="A124" s="16" t="inlineStr">
        <is>
          <t>2.3</t>
        </is>
      </c>
      <c r="B124" s="16" t="inlineStr">
        <is>
          <t>2.3c</t>
        </is>
      </c>
      <c r="C124" s="16" t="inlineStr">
        <is>
          <t>KF-M02R</t>
        </is>
      </c>
      <c r="D124" s="16" t="inlineStr">
        <is>
          <t>KF-M02R-n2b</t>
        </is>
      </c>
      <c r="E124" s="16" t="inlineStr">
        <is>
          <t>B04-n2b</t>
        </is>
      </c>
      <c r="F124" s="16" t="inlineStr">
        <is>
          <t>m_b</t>
        </is>
      </c>
      <c r="G124" s="16" t="inlineStr">
        <is>
          <t>fijo</t>
        </is>
      </c>
      <c r="H124" s="16" t="inlineStr">
        <is>
          <t>1.0</t>
        </is>
      </c>
      <c r="I124" s="16" t="n"/>
      <c r="J124" s="16" t="n"/>
      <c r="K124" s="16" t="n"/>
      <c r="L124" s="16" t="inlineStr">
        <is>
          <t>sí</t>
        </is>
      </c>
      <c r="M124" s="16" t="inlineStr">
        <is>
          <t>kg/s</t>
        </is>
      </c>
      <c r="N124" s="16" t="inlineStr">
        <is>
          <t>no</t>
        </is>
      </c>
      <c r="O124" s="16" t="n"/>
    </row>
    <row r="125">
      <c r="A125" s="16" t="inlineStr">
        <is>
          <t>2.3</t>
        </is>
      </c>
      <c r="B125" s="16" t="inlineStr">
        <is>
          <t>2.3c</t>
        </is>
      </c>
      <c r="C125" s="16" t="inlineStr">
        <is>
          <t>KF-M02R</t>
        </is>
      </c>
      <c r="D125" s="16" t="inlineStr">
        <is>
          <t>KF-M02R-n2b</t>
        </is>
      </c>
      <c r="E125" s="16" t="inlineStr">
        <is>
          <t>B04-n2b</t>
        </is>
      </c>
      <c r="F125" s="16" t="inlineStr">
        <is>
          <t>eta_t</t>
        </is>
      </c>
      <c r="G125" s="16" t="inlineStr">
        <is>
          <t>fijo</t>
        </is>
      </c>
      <c r="H125" s="16" t="inlineStr">
        <is>
          <t>0.85</t>
        </is>
      </c>
      <c r="I125" s="16" t="n"/>
      <c r="J125" s="16" t="n"/>
      <c r="K125" s="16" t="n"/>
      <c r="L125" s="16" t="inlineStr">
        <is>
          <t>sí</t>
        </is>
      </c>
      <c r="M125" s="16" t="inlineStr">
        <is>
          <t>–</t>
        </is>
      </c>
      <c r="N125" s="16" t="inlineStr">
        <is>
          <t>no</t>
        </is>
      </c>
      <c r="O125" s="16" t="n"/>
    </row>
    <row r="126">
      <c r="A126" s="16" t="inlineStr">
        <is>
          <t>2.3</t>
        </is>
      </c>
      <c r="B126" s="16" t="inlineStr">
        <is>
          <t>2.3c</t>
        </is>
      </c>
      <c r="C126" s="16" t="inlineStr">
        <is>
          <t>KF-M02R</t>
        </is>
      </c>
      <c r="D126" s="16" t="inlineStr">
        <is>
          <t>KF-M02R-n2b</t>
        </is>
      </c>
      <c r="E126" s="16" t="inlineStr">
        <is>
          <t>B04-n2b</t>
        </is>
      </c>
      <c r="F126" s="16" t="inlineStr">
        <is>
          <t>eta_p</t>
        </is>
      </c>
      <c r="G126" s="16" t="inlineStr">
        <is>
          <t>fijo</t>
        </is>
      </c>
      <c r="H126" s="16" t="inlineStr">
        <is>
          <t>0.75</t>
        </is>
      </c>
      <c r="I126" s="16" t="n"/>
      <c r="J126" s="16" t="n"/>
      <c r="K126" s="16" t="n"/>
      <c r="L126" s="16" t="inlineStr">
        <is>
          <t>sí</t>
        </is>
      </c>
      <c r="M126" s="16" t="inlineStr">
        <is>
          <t>–</t>
        </is>
      </c>
      <c r="N126" s="16" t="inlineStr">
        <is>
          <t>no</t>
        </is>
      </c>
      <c r="O126" s="16" t="n"/>
    </row>
    <row r="127">
      <c r="A127" s="16" t="inlineStr">
        <is>
          <t>2.3</t>
        </is>
      </c>
      <c r="B127" s="16" t="inlineStr">
        <is>
          <t>2.3c</t>
        </is>
      </c>
      <c r="C127" s="16" t="inlineStr">
        <is>
          <t>KF-M02R</t>
        </is>
      </c>
      <c r="D127" s="16" t="inlineStr">
        <is>
          <t>KF-M02R-n2b</t>
        </is>
      </c>
      <c r="E127" s="16" t="inlineStr">
        <is>
          <t>B04-n2b</t>
        </is>
      </c>
      <c r="F127" s="16" t="inlineStr">
        <is>
          <t>eps_hrvg</t>
        </is>
      </c>
      <c r="G127" s="16" t="inlineStr">
        <is>
          <t>barrido</t>
        </is>
      </c>
      <c r="H127" s="16" t="n"/>
      <c r="I127" s="16" t="n">
        <v>0.4</v>
      </c>
      <c r="J127" s="16" t="n">
        <v>0.7</v>
      </c>
      <c r="K127" s="16" t="n">
        <v>4</v>
      </c>
      <c r="L127" s="16" t="n"/>
      <c r="M127" s="16" t="inlineStr">
        <is>
          <t>–</t>
        </is>
      </c>
      <c r="N127" s="16" t="inlineStr">
        <is>
          <t>no</t>
        </is>
      </c>
      <c r="O127" s="16" t="n"/>
    </row>
    <row r="128">
      <c r="A128" s="16" t="inlineStr">
        <is>
          <t>2.3</t>
        </is>
      </c>
      <c r="B128" s="16" t="inlineStr">
        <is>
          <t>2.3c</t>
        </is>
      </c>
      <c r="C128" s="16" t="inlineStr">
        <is>
          <t>KF-M02R</t>
        </is>
      </c>
      <c r="D128" s="16" t="inlineStr">
        <is>
          <t>KF-M02R-n2b</t>
        </is>
      </c>
      <c r="E128" s="16" t="inlineStr">
        <is>
          <t>B04-n2b</t>
        </is>
      </c>
      <c r="F128" s="16" t="inlineStr">
        <is>
          <t>eps_reg</t>
        </is>
      </c>
      <c r="G128" s="16" t="inlineStr">
        <is>
          <t>fijo</t>
        </is>
      </c>
      <c r="H128" s="16" t="inlineStr">
        <is>
          <t>0.75</t>
        </is>
      </c>
      <c r="I128" s="16" t="n"/>
      <c r="J128" s="16" t="n"/>
      <c r="K128" s="16" t="n"/>
      <c r="L128" s="16" t="inlineStr">
        <is>
          <t>sí</t>
        </is>
      </c>
      <c r="M128" s="16" t="inlineStr">
        <is>
          <t>–</t>
        </is>
      </c>
      <c r="N128" s="16" t="inlineStr">
        <is>
          <t>no</t>
        </is>
      </c>
      <c r="O128" s="16" t="n"/>
    </row>
    <row r="129">
      <c r="A129" s="16" t="inlineStr">
        <is>
          <t>2.3</t>
        </is>
      </c>
      <c r="B129" s="16" t="inlineStr">
        <is>
          <t>2.3c</t>
        </is>
      </c>
      <c r="C129" s="16" t="inlineStr">
        <is>
          <t>KF-M02R</t>
        </is>
      </c>
      <c r="D129" s="16" t="inlineStr">
        <is>
          <t>KF-M02R-n2b</t>
        </is>
      </c>
      <c r="E129" s="16" t="inlineStr">
        <is>
          <t>B04-n2b</t>
        </is>
      </c>
      <c r="F129" s="16" t="inlineStr">
        <is>
          <t>eps_cond</t>
        </is>
      </c>
      <c r="G129" s="16" t="inlineStr">
        <is>
          <t>fijo</t>
        </is>
      </c>
      <c r="H129" s="16" t="inlineStr">
        <is>
          <t>0.8</t>
        </is>
      </c>
      <c r="I129" s="16" t="n"/>
      <c r="J129" s="16" t="n"/>
      <c r="K129" s="16" t="n"/>
      <c r="L129" s="16" t="inlineStr">
        <is>
          <t>sí</t>
        </is>
      </c>
      <c r="M129" s="16" t="inlineStr">
        <is>
          <t>–</t>
        </is>
      </c>
      <c r="N129" s="16" t="inlineStr">
        <is>
          <t>no</t>
        </is>
      </c>
      <c r="O129" s="16" t="n"/>
    </row>
    <row r="130">
      <c r="A130" s="16" t="inlineStr">
        <is>
          <t>2.3</t>
        </is>
      </c>
      <c r="B130" s="16" t="inlineStr">
        <is>
          <t>2.3c</t>
        </is>
      </c>
      <c r="C130" s="16" t="inlineStr">
        <is>
          <t>KF-M02R</t>
        </is>
      </c>
      <c r="D130" s="16" t="inlineStr">
        <is>
          <t>KF-M02R-n2b</t>
        </is>
      </c>
      <c r="E130" s="16" t="inlineStr">
        <is>
          <t>B04-n2b</t>
        </is>
      </c>
      <c r="F130" s="16" t="inlineStr">
        <is>
          <t>T_amb_diseno</t>
        </is>
      </c>
      <c r="G130" s="16" t="inlineStr">
        <is>
          <t>sin_dato</t>
        </is>
      </c>
      <c r="H130" s="16" t="n"/>
      <c r="I130" s="16" t="n"/>
      <c r="J130" s="16" t="n"/>
      <c r="K130" s="16" t="n"/>
      <c r="L130" s="16" t="n"/>
      <c r="M130" s="16" t="inlineStr">
        <is>
          <t>K</t>
        </is>
      </c>
      <c r="N130" s="16" t="inlineStr">
        <is>
          <t>no</t>
        </is>
      </c>
      <c r="O130" s="16" t="n"/>
    </row>
    <row r="131">
      <c r="A131" s="16" t="inlineStr">
        <is>
          <t>2.3</t>
        </is>
      </c>
      <c r="B131" s="16" t="inlineStr">
        <is>
          <t>2.3c</t>
        </is>
      </c>
      <c r="C131" s="16" t="inlineStr">
        <is>
          <t>KF-M02R</t>
        </is>
      </c>
      <c r="D131" s="16" t="inlineStr">
        <is>
          <t>KF-M02R-n2b</t>
        </is>
      </c>
      <c r="E131" s="16" t="inlineStr">
        <is>
          <t>B04-n2b</t>
        </is>
      </c>
      <c r="F131" s="16" t="inlineStr">
        <is>
          <t>motor</t>
        </is>
      </c>
      <c r="G131" s="16" t="inlineStr">
        <is>
          <t>fijo</t>
        </is>
      </c>
      <c r="H131" s="16" t="inlineStr">
        <is>
          <t>teqp</t>
        </is>
      </c>
      <c r="I131" s="16" t="n"/>
      <c r="J131" s="16" t="n"/>
      <c r="K131" s="16" t="n"/>
      <c r="L131" s="16" t="n"/>
      <c r="M131" s="16" t="inlineStr">
        <is>
          <t>–</t>
        </is>
      </c>
      <c r="N131" s="16" t="inlineStr">
        <is>
          <t>no</t>
        </is>
      </c>
      <c r="O131" s="16" t="n"/>
    </row>
    <row r="132">
      <c r="A132" s="16" t="inlineStr">
        <is>
          <t>2.3</t>
        </is>
      </c>
      <c r="B132" s="16" t="inlineStr">
        <is>
          <t>2.3d</t>
        </is>
      </c>
      <c r="C132" s="16" t="inlineStr">
        <is>
          <t>KF-M02R</t>
        </is>
      </c>
      <c r="D132" s="16" t="inlineStr">
        <is>
          <t>KF-M02R-n3</t>
        </is>
      </c>
      <c r="E132" s="16" t="inlineStr">
        <is>
          <t>B04-n3</t>
        </is>
      </c>
      <c r="F132" s="16" t="inlineStr">
        <is>
          <t>T_fuente</t>
        </is>
      </c>
      <c r="G132" s="16" t="inlineStr">
        <is>
          <t>barrido</t>
        </is>
      </c>
      <c r="H132" s="16" t="n"/>
      <c r="I132" s="16" t="n">
        <v>403</v>
      </c>
      <c r="J132" s="16" t="n">
        <v>560</v>
      </c>
      <c r="K132" s="16" t="n">
        <v>7</v>
      </c>
      <c r="L132" s="16" t="n"/>
      <c r="M132" s="16" t="inlineStr">
        <is>
          <t>K</t>
        </is>
      </c>
      <c r="N132" s="16" t="inlineStr">
        <is>
          <t>no</t>
        </is>
      </c>
      <c r="O132" s="16" t="n"/>
    </row>
    <row r="133">
      <c r="A133" s="16" t="inlineStr">
        <is>
          <t>2.3</t>
        </is>
      </c>
      <c r="B133" s="16" t="inlineStr">
        <is>
          <t>2.3d</t>
        </is>
      </c>
      <c r="C133" s="16" t="inlineStr">
        <is>
          <t>KF-M02R</t>
        </is>
      </c>
      <c r="D133" s="16" t="inlineStr">
        <is>
          <t>KF-M02R-n3</t>
        </is>
      </c>
      <c r="E133" s="16" t="inlineStr">
        <is>
          <t>B04-n3</t>
        </is>
      </c>
      <c r="F133" s="16" t="inlineStr">
        <is>
          <t>T_sumidero</t>
        </is>
      </c>
      <c r="G133" s="16" t="inlineStr">
        <is>
          <t>fijo</t>
        </is>
      </c>
      <c r="H133" s="16" t="inlineStr">
        <is>
          <t>300.032917</t>
        </is>
      </c>
      <c r="I133" s="16" t="n"/>
      <c r="J133" s="16" t="n"/>
      <c r="K133" s="16" t="n"/>
      <c r="L133" s="16" t="inlineStr">
        <is>
          <t>sí</t>
        </is>
      </c>
      <c r="M133" s="16" t="inlineStr">
        <is>
          <t>K</t>
        </is>
      </c>
      <c r="N133" s="16" t="inlineStr">
        <is>
          <t>no</t>
        </is>
      </c>
      <c r="O133" s="16" t="n"/>
    </row>
    <row r="134">
      <c r="A134" s="16" t="inlineStr">
        <is>
          <t>2.3</t>
        </is>
      </c>
      <c r="B134" s="16" t="inlineStr">
        <is>
          <t>2.3d</t>
        </is>
      </c>
      <c r="C134" s="16" t="inlineStr">
        <is>
          <t>KF-M02R</t>
        </is>
      </c>
      <c r="D134" s="16" t="inlineStr">
        <is>
          <t>KF-M02R-n3</t>
        </is>
      </c>
      <c r="E134" s="16" t="inlineStr">
        <is>
          <t>B04-n3</t>
        </is>
      </c>
      <c r="F134" s="16" t="inlineStr">
        <is>
          <t>P_alta</t>
        </is>
      </c>
      <c r="G134" s="16" t="inlineStr">
        <is>
          <t>fijo</t>
        </is>
      </c>
      <c r="H134" s="16" t="inlineStr">
        <is>
          <t>3000.0</t>
        </is>
      </c>
      <c r="I134" s="16" t="n"/>
      <c r="J134" s="16" t="n"/>
      <c r="K134" s="16" t="n"/>
      <c r="L134" s="16" t="inlineStr">
        <is>
          <t>sí</t>
        </is>
      </c>
      <c r="M134" s="16" t="inlineStr">
        <is>
          <t>kPa</t>
        </is>
      </c>
      <c r="N134" s="16" t="inlineStr">
        <is>
          <t>no</t>
        </is>
      </c>
      <c r="O134" s="16" t="n"/>
    </row>
    <row r="135">
      <c r="A135" s="16" t="inlineStr">
        <is>
          <t>2.3</t>
        </is>
      </c>
      <c r="B135" s="16" t="inlineStr">
        <is>
          <t>2.3d</t>
        </is>
      </c>
      <c r="C135" s="16" t="inlineStr">
        <is>
          <t>KF-M02R</t>
        </is>
      </c>
      <c r="D135" s="16" t="inlineStr">
        <is>
          <t>KF-M02R-n3</t>
        </is>
      </c>
      <c r="E135" s="16" t="inlineStr">
        <is>
          <t>B04-n3</t>
        </is>
      </c>
      <c r="F135" s="16" t="inlineStr">
        <is>
          <t>P_baja</t>
        </is>
      </c>
      <c r="G135" s="16" t="inlineStr">
        <is>
          <t>fijo</t>
        </is>
      </c>
      <c r="H135" s="16" t="inlineStr">
        <is>
          <t>400.0</t>
        </is>
      </c>
      <c r="I135" s="16" t="n"/>
      <c r="J135" s="16" t="n"/>
      <c r="K135" s="16" t="n"/>
      <c r="L135" s="16" t="inlineStr">
        <is>
          <t>sí</t>
        </is>
      </c>
      <c r="M135" s="16" t="inlineStr">
        <is>
          <t>kPa</t>
        </is>
      </c>
      <c r="N135" s="16" t="inlineStr">
        <is>
          <t>no</t>
        </is>
      </c>
      <c r="O135" s="16" t="n"/>
    </row>
    <row r="136">
      <c r="A136" s="16" t="inlineStr">
        <is>
          <t>2.3</t>
        </is>
      </c>
      <c r="B136" s="16" t="inlineStr">
        <is>
          <t>2.3d</t>
        </is>
      </c>
      <c r="C136" s="16" t="inlineStr">
        <is>
          <t>KF-M02R</t>
        </is>
      </c>
      <c r="D136" s="16" t="inlineStr">
        <is>
          <t>KF-M02R-n3</t>
        </is>
      </c>
      <c r="E136" s="16" t="inlineStr">
        <is>
          <t>B04-n3</t>
        </is>
      </c>
      <c r="F136" s="16" t="inlineStr">
        <is>
          <t>x_b</t>
        </is>
      </c>
      <c r="G136" s="16" t="inlineStr">
        <is>
          <t>fijo</t>
        </is>
      </c>
      <c r="H136" s="16" t="inlineStr">
        <is>
          <t>0.5</t>
        </is>
      </c>
      <c r="I136" s="16" t="n"/>
      <c r="J136" s="16" t="n"/>
      <c r="K136" s="16" t="n"/>
      <c r="L136" s="16" t="inlineStr">
        <is>
          <t>sí</t>
        </is>
      </c>
      <c r="M136" s="16" t="inlineStr">
        <is>
          <t>–</t>
        </is>
      </c>
      <c r="N136" s="16" t="inlineStr">
        <is>
          <t>no</t>
        </is>
      </c>
      <c r="O136" s="16" t="n"/>
    </row>
    <row r="137">
      <c r="A137" s="16" t="inlineStr">
        <is>
          <t>2.3</t>
        </is>
      </c>
      <c r="B137" s="16" t="inlineStr">
        <is>
          <t>2.3d</t>
        </is>
      </c>
      <c r="C137" s="16" t="inlineStr">
        <is>
          <t>KF-M02R</t>
        </is>
      </c>
      <c r="D137" s="16" t="inlineStr">
        <is>
          <t>KF-M02R-n3</t>
        </is>
      </c>
      <c r="E137" s="16" t="inlineStr">
        <is>
          <t>B04-n3</t>
        </is>
      </c>
      <c r="F137" s="16" t="inlineStr">
        <is>
          <t>m_b</t>
        </is>
      </c>
      <c r="G137" s="16" t="inlineStr">
        <is>
          <t>fijo</t>
        </is>
      </c>
      <c r="H137" s="16" t="inlineStr">
        <is>
          <t>1.0</t>
        </is>
      </c>
      <c r="I137" s="16" t="n"/>
      <c r="J137" s="16" t="n"/>
      <c r="K137" s="16" t="n"/>
      <c r="L137" s="16" t="inlineStr">
        <is>
          <t>sí</t>
        </is>
      </c>
      <c r="M137" s="16" t="inlineStr">
        <is>
          <t>kg/s</t>
        </is>
      </c>
      <c r="N137" s="16" t="inlineStr">
        <is>
          <t>no</t>
        </is>
      </c>
      <c r="O137" s="16" t="n"/>
    </row>
    <row r="138">
      <c r="A138" s="16" t="inlineStr">
        <is>
          <t>2.3</t>
        </is>
      </c>
      <c r="B138" s="16" t="inlineStr">
        <is>
          <t>2.3d</t>
        </is>
      </c>
      <c r="C138" s="16" t="inlineStr">
        <is>
          <t>KF-M02R</t>
        </is>
      </c>
      <c r="D138" s="16" t="inlineStr">
        <is>
          <t>KF-M02R-n3</t>
        </is>
      </c>
      <c r="E138" s="16" t="inlineStr">
        <is>
          <t>B04-n3</t>
        </is>
      </c>
      <c r="F138" s="16" t="inlineStr">
        <is>
          <t>eta_t</t>
        </is>
      </c>
      <c r="G138" s="16" t="inlineStr">
        <is>
          <t>fijo</t>
        </is>
      </c>
      <c r="H138" s="16" t="inlineStr">
        <is>
          <t>0.85</t>
        </is>
      </c>
      <c r="I138" s="16" t="n"/>
      <c r="J138" s="16" t="n"/>
      <c r="K138" s="16" t="n"/>
      <c r="L138" s="16" t="inlineStr">
        <is>
          <t>sí</t>
        </is>
      </c>
      <c r="M138" s="16" t="inlineStr">
        <is>
          <t>–</t>
        </is>
      </c>
      <c r="N138" s="16" t="inlineStr">
        <is>
          <t>no</t>
        </is>
      </c>
      <c r="O138" s="16" t="n"/>
    </row>
    <row r="139">
      <c r="A139" s="16" t="inlineStr">
        <is>
          <t>2.3</t>
        </is>
      </c>
      <c r="B139" s="16" t="inlineStr">
        <is>
          <t>2.3d</t>
        </is>
      </c>
      <c r="C139" s="16" t="inlineStr">
        <is>
          <t>KF-M02R</t>
        </is>
      </c>
      <c r="D139" s="16" t="inlineStr">
        <is>
          <t>KF-M02R-n3</t>
        </is>
      </c>
      <c r="E139" s="16" t="inlineStr">
        <is>
          <t>B04-n3</t>
        </is>
      </c>
      <c r="F139" s="16" t="inlineStr">
        <is>
          <t>eta_p</t>
        </is>
      </c>
      <c r="G139" s="16" t="inlineStr">
        <is>
          <t>fijo</t>
        </is>
      </c>
      <c r="H139" s="16" t="inlineStr">
        <is>
          <t>0.75</t>
        </is>
      </c>
      <c r="I139" s="16" t="n"/>
      <c r="J139" s="16" t="n"/>
      <c r="K139" s="16" t="n"/>
      <c r="L139" s="16" t="inlineStr">
        <is>
          <t>sí</t>
        </is>
      </c>
      <c r="M139" s="16" t="inlineStr">
        <is>
          <t>–</t>
        </is>
      </c>
      <c r="N139" s="16" t="inlineStr">
        <is>
          <t>no</t>
        </is>
      </c>
      <c r="O139" s="16" t="n"/>
    </row>
    <row r="140">
      <c r="A140" s="16" t="inlineStr">
        <is>
          <t>2.3</t>
        </is>
      </c>
      <c r="B140" s="16" t="inlineStr">
        <is>
          <t>2.3d</t>
        </is>
      </c>
      <c r="C140" s="16" t="inlineStr">
        <is>
          <t>KF-M02R</t>
        </is>
      </c>
      <c r="D140" s="16" t="inlineStr">
        <is>
          <t>KF-M02R-n3</t>
        </is>
      </c>
      <c r="E140" s="16" t="inlineStr">
        <is>
          <t>B04-n3</t>
        </is>
      </c>
      <c r="F140" s="16" t="inlineStr">
        <is>
          <t>eps_hrvg</t>
        </is>
      </c>
      <c r="G140" s="16" t="inlineStr">
        <is>
          <t>fijo</t>
        </is>
      </c>
      <c r="H140" s="16" t="inlineStr">
        <is>
          <t>0.85</t>
        </is>
      </c>
      <c r="I140" s="16" t="n"/>
      <c r="J140" s="16" t="n"/>
      <c r="K140" s="16" t="n"/>
      <c r="L140" s="16" t="inlineStr">
        <is>
          <t>sí</t>
        </is>
      </c>
      <c r="M140" s="16" t="inlineStr">
        <is>
          <t>–</t>
        </is>
      </c>
      <c r="N140" s="16" t="inlineStr">
        <is>
          <t>no</t>
        </is>
      </c>
      <c r="O140" s="16" t="n"/>
    </row>
    <row r="141">
      <c r="A141" s="16" t="inlineStr">
        <is>
          <t>2.3</t>
        </is>
      </c>
      <c r="B141" s="16" t="inlineStr">
        <is>
          <t>2.3d</t>
        </is>
      </c>
      <c r="C141" s="16" t="inlineStr">
        <is>
          <t>KF-M02R</t>
        </is>
      </c>
      <c r="D141" s="16" t="inlineStr">
        <is>
          <t>KF-M02R-n3</t>
        </is>
      </c>
      <c r="E141" s="16" t="inlineStr">
        <is>
          <t>B04-n3</t>
        </is>
      </c>
      <c r="F141" s="16" t="inlineStr">
        <is>
          <t>eps_reg</t>
        </is>
      </c>
      <c r="G141" s="16" t="inlineStr">
        <is>
          <t>fijo</t>
        </is>
      </c>
      <c r="H141" s="16" t="inlineStr">
        <is>
          <t>0.75</t>
        </is>
      </c>
      <c r="I141" s="16" t="n"/>
      <c r="J141" s="16" t="n"/>
      <c r="K141" s="16" t="n"/>
      <c r="L141" s="16" t="inlineStr">
        <is>
          <t>sí</t>
        </is>
      </c>
      <c r="M141" s="16" t="inlineStr">
        <is>
          <t>–</t>
        </is>
      </c>
      <c r="N141" s="16" t="inlineStr">
        <is>
          <t>no</t>
        </is>
      </c>
      <c r="O141" s="16" t="n"/>
    </row>
    <row r="142">
      <c r="A142" s="16" t="inlineStr">
        <is>
          <t>2.3</t>
        </is>
      </c>
      <c r="B142" s="16" t="inlineStr">
        <is>
          <t>2.3d</t>
        </is>
      </c>
      <c r="C142" s="16" t="inlineStr">
        <is>
          <t>KF-M02R</t>
        </is>
      </c>
      <c r="D142" s="16" t="inlineStr">
        <is>
          <t>KF-M02R-n3</t>
        </is>
      </c>
      <c r="E142" s="16" t="inlineStr">
        <is>
          <t>B04-n3</t>
        </is>
      </c>
      <c r="F142" s="16" t="inlineStr">
        <is>
          <t>eps_cond</t>
        </is>
      </c>
      <c r="G142" s="16" t="inlineStr">
        <is>
          <t>barrido</t>
        </is>
      </c>
      <c r="H142" s="16" t="n"/>
      <c r="I142" s="16" t="n">
        <v>0.85</v>
      </c>
      <c r="J142" s="16" t="n">
        <v>0.95</v>
      </c>
      <c r="K142" s="16" t="n">
        <v>3</v>
      </c>
      <c r="L142" s="16" t="n"/>
      <c r="M142" s="16" t="inlineStr">
        <is>
          <t>–</t>
        </is>
      </c>
      <c r="N142" s="16" t="inlineStr">
        <is>
          <t>no</t>
        </is>
      </c>
      <c r="O142" s="16" t="n"/>
    </row>
    <row r="143">
      <c r="A143" s="16" t="inlineStr">
        <is>
          <t>2.3</t>
        </is>
      </c>
      <c r="B143" s="16" t="inlineStr">
        <is>
          <t>2.3d</t>
        </is>
      </c>
      <c r="C143" s="16" t="inlineStr">
        <is>
          <t>KF-M02R</t>
        </is>
      </c>
      <c r="D143" s="16" t="inlineStr">
        <is>
          <t>KF-M02R-n3</t>
        </is>
      </c>
      <c r="E143" s="16" t="inlineStr">
        <is>
          <t>B04-n3</t>
        </is>
      </c>
      <c r="F143" s="16" t="inlineStr">
        <is>
          <t>T_amb_diseno</t>
        </is>
      </c>
      <c r="G143" s="16" t="inlineStr">
        <is>
          <t>sin_dato</t>
        </is>
      </c>
      <c r="H143" s="16" t="n"/>
      <c r="I143" s="16" t="n"/>
      <c r="J143" s="16" t="n"/>
      <c r="K143" s="16" t="n"/>
      <c r="L143" s="16" t="n"/>
      <c r="M143" s="16" t="inlineStr">
        <is>
          <t>K</t>
        </is>
      </c>
      <c r="N143" s="16" t="inlineStr">
        <is>
          <t>no</t>
        </is>
      </c>
      <c r="O143" s="16" t="n"/>
    </row>
    <row r="144">
      <c r="A144" s="16" t="inlineStr">
        <is>
          <t>2.3</t>
        </is>
      </c>
      <c r="B144" s="16" t="inlineStr">
        <is>
          <t>2.3d</t>
        </is>
      </c>
      <c r="C144" s="16" t="inlineStr">
        <is>
          <t>KF-M02R</t>
        </is>
      </c>
      <c r="D144" s="16" t="inlineStr">
        <is>
          <t>KF-M02R-n3</t>
        </is>
      </c>
      <c r="E144" s="16" t="inlineStr">
        <is>
          <t>B04-n3</t>
        </is>
      </c>
      <c r="F144" s="16" t="inlineStr">
        <is>
          <t>motor</t>
        </is>
      </c>
      <c r="G144" s="16" t="inlineStr">
        <is>
          <t>fijo</t>
        </is>
      </c>
      <c r="H144" s="16" t="inlineStr">
        <is>
          <t>teqp</t>
        </is>
      </c>
      <c r="I144" s="16" t="n"/>
      <c r="J144" s="16" t="n"/>
      <c r="K144" s="16" t="n"/>
      <c r="L144" s="16" t="n"/>
      <c r="M144" s="16" t="inlineStr">
        <is>
          <t>–</t>
        </is>
      </c>
      <c r="N144" s="16" t="inlineStr">
        <is>
          <t>no</t>
        </is>
      </c>
      <c r="O144" s="16" t="n"/>
    </row>
    <row r="145">
      <c r="A145" s="16" t="inlineStr">
        <is>
          <t>2.4</t>
        </is>
      </c>
      <c r="B145" s="16" t="inlineStr">
        <is>
          <t>2.4a</t>
        </is>
      </c>
      <c r="C145" s="16" t="inlineStr">
        <is>
          <t>KF-M02S</t>
        </is>
      </c>
      <c r="D145" s="16" t="inlineStr">
        <is>
          <t>KF-M02S-B1</t>
        </is>
      </c>
      <c r="E145" s="16" t="inlineStr">
        <is>
          <t>B05-B1</t>
        </is>
      </c>
      <c r="F145" s="16" t="inlineStr">
        <is>
          <t>T_fuente</t>
        </is>
      </c>
      <c r="G145" s="16" t="inlineStr">
        <is>
          <t>fijo</t>
        </is>
      </c>
      <c r="H145" s="16" t="inlineStr">
        <is>
          <t>403.0</t>
        </is>
      </c>
      <c r="I145" s="16" t="n"/>
      <c r="J145" s="16" t="n"/>
      <c r="K145" s="16" t="n"/>
      <c r="L145" s="16" t="inlineStr">
        <is>
          <t>no</t>
        </is>
      </c>
      <c r="M145" s="16" t="inlineStr">
        <is>
          <t>K</t>
        </is>
      </c>
      <c r="N145" s="16" t="inlineStr">
        <is>
          <t>no</t>
        </is>
      </c>
      <c r="O145" s="16" t="n"/>
    </row>
    <row r="146">
      <c r="A146" s="16" t="inlineStr">
        <is>
          <t>2.4</t>
        </is>
      </c>
      <c r="B146" s="16" t="inlineStr">
        <is>
          <t>2.4a</t>
        </is>
      </c>
      <c r="C146" s="16" t="inlineStr">
        <is>
          <t>KF-M02S</t>
        </is>
      </c>
      <c r="D146" s="16" t="inlineStr">
        <is>
          <t>KF-M02S-B1</t>
        </is>
      </c>
      <c r="E146" s="16" t="inlineStr">
        <is>
          <t>B05-B1</t>
        </is>
      </c>
      <c r="F146" s="16" t="inlineStr">
        <is>
          <t>T_sumidero</t>
        </is>
      </c>
      <c r="G146" s="16" t="inlineStr">
        <is>
          <t>barrido</t>
        </is>
      </c>
      <c r="H146" s="16" t="n"/>
      <c r="I146" s="16" t="n">
        <v>278.15</v>
      </c>
      <c r="J146" s="16" t="n">
        <v>300.032917</v>
      </c>
      <c r="K146" s="16" t="n">
        <v>5</v>
      </c>
      <c r="L146" s="16" t="n"/>
      <c r="M146" s="16" t="inlineStr">
        <is>
          <t>K</t>
        </is>
      </c>
      <c r="N146" s="16" t="inlineStr">
        <is>
          <t>no</t>
        </is>
      </c>
      <c r="O146" s="16" t="n"/>
    </row>
    <row r="147">
      <c r="A147" s="16" t="inlineStr">
        <is>
          <t>2.4</t>
        </is>
      </c>
      <c r="B147" s="16" t="inlineStr">
        <is>
          <t>2.4a</t>
        </is>
      </c>
      <c r="C147" s="16" t="inlineStr">
        <is>
          <t>KF-M02S</t>
        </is>
      </c>
      <c r="D147" s="16" t="inlineStr">
        <is>
          <t>KF-M02S-B1</t>
        </is>
      </c>
      <c r="E147" s="16" t="inlineStr">
        <is>
          <t>B05-B1</t>
        </is>
      </c>
      <c r="F147" s="16" t="inlineStr">
        <is>
          <t>P_alta</t>
        </is>
      </c>
      <c r="G147" s="16" t="inlineStr">
        <is>
          <t>fijo</t>
        </is>
      </c>
      <c r="H147" s="16" t="inlineStr">
        <is>
          <t>3000.0</t>
        </is>
      </c>
      <c r="I147" s="16" t="n"/>
      <c r="J147" s="16" t="n"/>
      <c r="K147" s="16" t="n"/>
      <c r="L147" s="16" t="inlineStr">
        <is>
          <t>sí</t>
        </is>
      </c>
      <c r="M147" s="16" t="inlineStr">
        <is>
          <t>kPa</t>
        </is>
      </c>
      <c r="N147" s="16" t="inlineStr">
        <is>
          <t>no</t>
        </is>
      </c>
      <c r="O147" s="16" t="n"/>
    </row>
    <row r="148">
      <c r="A148" s="16" t="inlineStr">
        <is>
          <t>2.4</t>
        </is>
      </c>
      <c r="B148" s="16" t="inlineStr">
        <is>
          <t>2.4a</t>
        </is>
      </c>
      <c r="C148" s="16" t="inlineStr">
        <is>
          <t>KF-M02S</t>
        </is>
      </c>
      <c r="D148" s="16" t="inlineStr">
        <is>
          <t>KF-M02S-B1</t>
        </is>
      </c>
      <c r="E148" s="16" t="inlineStr">
        <is>
          <t>B05-B1</t>
        </is>
      </c>
      <c r="F148" s="16" t="inlineStr">
        <is>
          <t>P_baja</t>
        </is>
      </c>
      <c r="G148" s="16" t="inlineStr">
        <is>
          <t>barrido</t>
        </is>
      </c>
      <c r="H148" s="16" t="n"/>
      <c r="I148" s="16" t="n">
        <v>150</v>
      </c>
      <c r="J148" s="16" t="n">
        <v>1500</v>
      </c>
      <c r="K148" s="16" t="n">
        <v>28</v>
      </c>
      <c r="L148" s="16" t="n"/>
      <c r="M148" s="16" t="inlineStr">
        <is>
          <t>kPa</t>
        </is>
      </c>
      <c r="N148" s="16" t="inlineStr">
        <is>
          <t>no</t>
        </is>
      </c>
      <c r="O148" s="16" t="n"/>
    </row>
    <row r="149">
      <c r="A149" s="16" t="inlineStr">
        <is>
          <t>2.4</t>
        </is>
      </c>
      <c r="B149" s="16" t="inlineStr">
        <is>
          <t>2.4a</t>
        </is>
      </c>
      <c r="C149" s="16" t="inlineStr">
        <is>
          <t>KF-M02S</t>
        </is>
      </c>
      <c r="D149" s="16" t="inlineStr">
        <is>
          <t>KF-M02S-B1</t>
        </is>
      </c>
      <c r="E149" s="16" t="inlineStr">
        <is>
          <t>B05-B1</t>
        </is>
      </c>
      <c r="F149" s="16" t="inlineStr">
        <is>
          <t>x_b</t>
        </is>
      </c>
      <c r="G149" s="16" t="inlineStr">
        <is>
          <t>fijo</t>
        </is>
      </c>
      <c r="H149" s="16" t="inlineStr">
        <is>
          <t>0.5</t>
        </is>
      </c>
      <c r="I149" s="16" t="n"/>
      <c r="J149" s="16" t="n"/>
      <c r="K149" s="16" t="n"/>
      <c r="L149" s="16" t="inlineStr">
        <is>
          <t>sí</t>
        </is>
      </c>
      <c r="M149" s="16" t="inlineStr">
        <is>
          <t>–</t>
        </is>
      </c>
      <c r="N149" s="16" t="inlineStr">
        <is>
          <t>no</t>
        </is>
      </c>
      <c r="O149" s="16" t="n"/>
    </row>
    <row r="150">
      <c r="A150" s="16" t="inlineStr">
        <is>
          <t>2.4</t>
        </is>
      </c>
      <c r="B150" s="16" t="inlineStr">
        <is>
          <t>2.4a</t>
        </is>
      </c>
      <c r="C150" s="16" t="inlineStr">
        <is>
          <t>KF-M02S</t>
        </is>
      </c>
      <c r="D150" s="16" t="inlineStr">
        <is>
          <t>KF-M02S-B1</t>
        </is>
      </c>
      <c r="E150" s="16" t="inlineStr">
        <is>
          <t>B05-B1</t>
        </is>
      </c>
      <c r="F150" s="16" t="inlineStr">
        <is>
          <t>m_b</t>
        </is>
      </c>
      <c r="G150" s="16" t="inlineStr">
        <is>
          <t>fijo</t>
        </is>
      </c>
      <c r="H150" s="16" t="inlineStr">
        <is>
          <t>1.0</t>
        </is>
      </c>
      <c r="I150" s="16" t="n"/>
      <c r="J150" s="16" t="n"/>
      <c r="K150" s="16" t="n"/>
      <c r="L150" s="16" t="inlineStr">
        <is>
          <t>sí</t>
        </is>
      </c>
      <c r="M150" s="16" t="inlineStr">
        <is>
          <t>kg/s</t>
        </is>
      </c>
      <c r="N150" s="16" t="inlineStr">
        <is>
          <t>no</t>
        </is>
      </c>
      <c r="O150" s="16" t="n"/>
    </row>
    <row r="151">
      <c r="A151" s="16" t="inlineStr">
        <is>
          <t>2.4</t>
        </is>
      </c>
      <c r="B151" s="16" t="inlineStr">
        <is>
          <t>2.4a</t>
        </is>
      </c>
      <c r="C151" s="16" t="inlineStr">
        <is>
          <t>KF-M02S</t>
        </is>
      </c>
      <c r="D151" s="16" t="inlineStr">
        <is>
          <t>KF-M02S-B1</t>
        </is>
      </c>
      <c r="E151" s="16" t="inlineStr">
        <is>
          <t>B05-B1</t>
        </is>
      </c>
      <c r="F151" s="16" t="inlineStr">
        <is>
          <t>eta_t</t>
        </is>
      </c>
      <c r="G151" s="16" t="inlineStr">
        <is>
          <t>fijo</t>
        </is>
      </c>
      <c r="H151" s="16" t="inlineStr">
        <is>
          <t>0.85</t>
        </is>
      </c>
      <c r="I151" s="16" t="n"/>
      <c r="J151" s="16" t="n"/>
      <c r="K151" s="16" t="n"/>
      <c r="L151" s="16" t="inlineStr">
        <is>
          <t>sí</t>
        </is>
      </c>
      <c r="M151" s="16" t="inlineStr">
        <is>
          <t>–</t>
        </is>
      </c>
      <c r="N151" s="16" t="inlineStr">
        <is>
          <t>no</t>
        </is>
      </c>
      <c r="O151" s="16" t="n"/>
    </row>
    <row r="152">
      <c r="A152" s="16" t="inlineStr">
        <is>
          <t>2.4</t>
        </is>
      </c>
      <c r="B152" s="16" t="inlineStr">
        <is>
          <t>2.4a</t>
        </is>
      </c>
      <c r="C152" s="16" t="inlineStr">
        <is>
          <t>KF-M02S</t>
        </is>
      </c>
      <c r="D152" s="16" t="inlineStr">
        <is>
          <t>KF-M02S-B1</t>
        </is>
      </c>
      <c r="E152" s="16" t="inlineStr">
        <is>
          <t>B05-B1</t>
        </is>
      </c>
      <c r="F152" s="16" t="inlineStr">
        <is>
          <t>eta_p</t>
        </is>
      </c>
      <c r="G152" s="16" t="inlineStr">
        <is>
          <t>fijo</t>
        </is>
      </c>
      <c r="H152" s="16" t="inlineStr">
        <is>
          <t>0.75</t>
        </is>
      </c>
      <c r="I152" s="16" t="n"/>
      <c r="J152" s="16" t="n"/>
      <c r="K152" s="16" t="n"/>
      <c r="L152" s="16" t="inlineStr">
        <is>
          <t>sí</t>
        </is>
      </c>
      <c r="M152" s="16" t="inlineStr">
        <is>
          <t>–</t>
        </is>
      </c>
      <c r="N152" s="16" t="inlineStr">
        <is>
          <t>no</t>
        </is>
      </c>
      <c r="O152" s="16" t="n"/>
    </row>
    <row r="153">
      <c r="A153" s="16" t="inlineStr">
        <is>
          <t>2.4</t>
        </is>
      </c>
      <c r="B153" s="16" t="inlineStr">
        <is>
          <t>2.4a</t>
        </is>
      </c>
      <c r="C153" s="16" t="inlineStr">
        <is>
          <t>KF-M02S</t>
        </is>
      </c>
      <c r="D153" s="16" t="inlineStr">
        <is>
          <t>KF-M02S-B1</t>
        </is>
      </c>
      <c r="E153" s="16" t="inlineStr">
        <is>
          <t>B05-B1</t>
        </is>
      </c>
      <c r="F153" s="16" t="inlineStr">
        <is>
          <t>eps_hrvg</t>
        </is>
      </c>
      <c r="G153" s="16" t="inlineStr">
        <is>
          <t>fijo</t>
        </is>
      </c>
      <c r="H153" s="16" t="inlineStr">
        <is>
          <t>0.85</t>
        </is>
      </c>
      <c r="I153" s="16" t="n"/>
      <c r="J153" s="16" t="n"/>
      <c r="K153" s="16" t="n"/>
      <c r="L153" s="16" t="inlineStr">
        <is>
          <t>sí</t>
        </is>
      </c>
      <c r="M153" s="16" t="inlineStr">
        <is>
          <t>–</t>
        </is>
      </c>
      <c r="N153" s="16" t="inlineStr">
        <is>
          <t>no</t>
        </is>
      </c>
      <c r="O153" s="16" t="n"/>
    </row>
    <row r="154">
      <c r="A154" s="16" t="inlineStr">
        <is>
          <t>2.4</t>
        </is>
      </c>
      <c r="B154" s="16" t="inlineStr">
        <is>
          <t>2.4a</t>
        </is>
      </c>
      <c r="C154" s="16" t="inlineStr">
        <is>
          <t>KF-M02S</t>
        </is>
      </c>
      <c r="D154" s="16" t="inlineStr">
        <is>
          <t>KF-M02S-B1</t>
        </is>
      </c>
      <c r="E154" s="16" t="inlineStr">
        <is>
          <t>B05-B1</t>
        </is>
      </c>
      <c r="F154" s="16" t="inlineStr">
        <is>
          <t>eps_reg</t>
        </is>
      </c>
      <c r="G154" s="16" t="inlineStr">
        <is>
          <t>fijo</t>
        </is>
      </c>
      <c r="H154" s="16" t="inlineStr">
        <is>
          <t>0.75</t>
        </is>
      </c>
      <c r="I154" s="16" t="n"/>
      <c r="J154" s="16" t="n"/>
      <c r="K154" s="16" t="n"/>
      <c r="L154" s="16" t="inlineStr">
        <is>
          <t>sí</t>
        </is>
      </c>
      <c r="M154" s="16" t="inlineStr">
        <is>
          <t>–</t>
        </is>
      </c>
      <c r="N154" s="16" t="inlineStr">
        <is>
          <t>no</t>
        </is>
      </c>
      <c r="O154" s="16" t="n"/>
    </row>
    <row r="155">
      <c r="A155" s="16" t="inlineStr">
        <is>
          <t>2.4</t>
        </is>
      </c>
      <c r="B155" s="16" t="inlineStr">
        <is>
          <t>2.4a</t>
        </is>
      </c>
      <c r="C155" s="16" t="inlineStr">
        <is>
          <t>KF-M02S</t>
        </is>
      </c>
      <c r="D155" s="16" t="inlineStr">
        <is>
          <t>KF-M02S-B1</t>
        </is>
      </c>
      <c r="E155" s="16" t="inlineStr">
        <is>
          <t>B05-B1</t>
        </is>
      </c>
      <c r="F155" s="16" t="inlineStr">
        <is>
          <t>eps_cond</t>
        </is>
      </c>
      <c r="G155" s="16" t="inlineStr">
        <is>
          <t>fijo</t>
        </is>
      </c>
      <c r="H155" s="16" t="inlineStr">
        <is>
          <t>0.8</t>
        </is>
      </c>
      <c r="I155" s="16" t="n"/>
      <c r="J155" s="16" t="n"/>
      <c r="K155" s="16" t="n"/>
      <c r="L155" s="16" t="inlineStr">
        <is>
          <t>sí</t>
        </is>
      </c>
      <c r="M155" s="16" t="inlineStr">
        <is>
          <t>–</t>
        </is>
      </c>
      <c r="N155" s="16" t="inlineStr">
        <is>
          <t>no</t>
        </is>
      </c>
      <c r="O155" s="16" t="n"/>
    </row>
    <row r="156">
      <c r="A156" s="16" t="inlineStr">
        <is>
          <t>2.4</t>
        </is>
      </c>
      <c r="B156" s="16" t="inlineStr">
        <is>
          <t>2.4a</t>
        </is>
      </c>
      <c r="C156" s="16" t="inlineStr">
        <is>
          <t>KF-M02S</t>
        </is>
      </c>
      <c r="D156" s="16" t="inlineStr">
        <is>
          <t>KF-M02S-B1</t>
        </is>
      </c>
      <c r="E156" s="16" t="inlineStr">
        <is>
          <t>B05-B1</t>
        </is>
      </c>
      <c r="F156" s="16" t="inlineStr">
        <is>
          <t>T_amb_diseno</t>
        </is>
      </c>
      <c r="G156" s="16" t="inlineStr">
        <is>
          <t>barrido</t>
        </is>
      </c>
      <c r="H156" s="16" t="n"/>
      <c r="I156" s="16" t="n">
        <v>278.15</v>
      </c>
      <c r="J156" s="16" t="n">
        <v>300.032917</v>
      </c>
      <c r="K156" s="16" t="n">
        <v>5</v>
      </c>
      <c r="L156" s="16" t="n"/>
      <c r="M156" s="16" t="inlineStr">
        <is>
          <t>K</t>
        </is>
      </c>
      <c r="N156" s="16" t="inlineStr">
        <is>
          <t>no</t>
        </is>
      </c>
      <c r="O156" s="16" t="n"/>
    </row>
    <row r="157">
      <c r="A157" s="16" t="inlineStr">
        <is>
          <t>2.4</t>
        </is>
      </c>
      <c r="B157" s="16" t="inlineStr">
        <is>
          <t>2.4a</t>
        </is>
      </c>
      <c r="C157" s="16" t="inlineStr">
        <is>
          <t>KF-M02S</t>
        </is>
      </c>
      <c r="D157" s="16" t="inlineStr">
        <is>
          <t>KF-M02S-B1</t>
        </is>
      </c>
      <c r="E157" s="16" t="inlineStr">
        <is>
          <t>B05-B1</t>
        </is>
      </c>
      <c r="F157" s="16" t="inlineStr">
        <is>
          <t>motor</t>
        </is>
      </c>
      <c r="G157" s="16" t="inlineStr">
        <is>
          <t>fijo</t>
        </is>
      </c>
      <c r="H157" s="16" t="inlineStr">
        <is>
          <t>teqp</t>
        </is>
      </c>
      <c r="I157" s="16" t="n"/>
      <c r="J157" s="16" t="n"/>
      <c r="K157" s="16" t="n"/>
      <c r="L157" s="16" t="n"/>
      <c r="M157" s="16" t="inlineStr">
        <is>
          <t>–</t>
        </is>
      </c>
      <c r="N157" s="16" t="inlineStr">
        <is>
          <t>no</t>
        </is>
      </c>
      <c r="O157" s="16" t="n"/>
    </row>
    <row r="158">
      <c r="A158" s="16" t="inlineStr">
        <is>
          <t>2.4</t>
        </is>
      </c>
      <c r="B158" s="16" t="inlineStr">
        <is>
          <t>2.4b</t>
        </is>
      </c>
      <c r="C158" s="16" t="inlineStr">
        <is>
          <t>KF-M02S</t>
        </is>
      </c>
      <c r="D158" s="16" t="inlineStr">
        <is>
          <t>KF-M02S-B2</t>
        </is>
      </c>
      <c r="E158" s="16" t="inlineStr">
        <is>
          <t>B05-B2</t>
        </is>
      </c>
      <c r="F158" s="16" t="inlineStr">
        <is>
          <t>T_fuente</t>
        </is>
      </c>
      <c r="G158" s="16" t="inlineStr">
        <is>
          <t>fijo</t>
        </is>
      </c>
      <c r="H158" s="16" t="inlineStr">
        <is>
          <t>420.0</t>
        </is>
      </c>
      <c r="I158" s="16" t="n"/>
      <c r="J158" s="16" t="n"/>
      <c r="K158" s="16" t="n"/>
      <c r="L158" s="16" t="inlineStr">
        <is>
          <t>no</t>
        </is>
      </c>
      <c r="M158" s="16" t="inlineStr">
        <is>
          <t>K</t>
        </is>
      </c>
      <c r="N158" s="16" t="inlineStr">
        <is>
          <t>no</t>
        </is>
      </c>
      <c r="O158" s="16" t="n"/>
    </row>
    <row r="159">
      <c r="A159" s="16" t="inlineStr">
        <is>
          <t>2.4</t>
        </is>
      </c>
      <c r="B159" s="16" t="inlineStr">
        <is>
          <t>2.4b</t>
        </is>
      </c>
      <c r="C159" s="16" t="inlineStr">
        <is>
          <t>KF-M02S</t>
        </is>
      </c>
      <c r="D159" s="16" t="inlineStr">
        <is>
          <t>KF-M02S-B2</t>
        </is>
      </c>
      <c r="E159" s="16" t="inlineStr">
        <is>
          <t>B05-B2</t>
        </is>
      </c>
      <c r="F159" s="16" t="inlineStr">
        <is>
          <t>T_sumidero</t>
        </is>
      </c>
      <c r="G159" s="16" t="inlineStr">
        <is>
          <t>barrido</t>
        </is>
      </c>
      <c r="H159" s="16" t="n"/>
      <c r="I159" s="16" t="n">
        <v>278.15</v>
      </c>
      <c r="J159" s="16" t="n">
        <v>300.032917</v>
      </c>
      <c r="K159" s="16" t="n">
        <v>5</v>
      </c>
      <c r="L159" s="16" t="n"/>
      <c r="M159" s="16" t="inlineStr">
        <is>
          <t>K</t>
        </is>
      </c>
      <c r="N159" s="16" t="inlineStr">
        <is>
          <t>no</t>
        </is>
      </c>
      <c r="O159" s="16" t="n"/>
    </row>
    <row r="160">
      <c r="A160" s="16" t="inlineStr">
        <is>
          <t>2.4</t>
        </is>
      </c>
      <c r="B160" s="16" t="inlineStr">
        <is>
          <t>2.4b</t>
        </is>
      </c>
      <c r="C160" s="16" t="inlineStr">
        <is>
          <t>KF-M02S</t>
        </is>
      </c>
      <c r="D160" s="16" t="inlineStr">
        <is>
          <t>KF-M02S-B2</t>
        </is>
      </c>
      <c r="E160" s="16" t="inlineStr">
        <is>
          <t>B05-B2</t>
        </is>
      </c>
      <c r="F160" s="16" t="inlineStr">
        <is>
          <t>P_alta</t>
        </is>
      </c>
      <c r="G160" s="16" t="inlineStr">
        <is>
          <t>fijo</t>
        </is>
      </c>
      <c r="H160" s="16" t="inlineStr">
        <is>
          <t>3000.0</t>
        </is>
      </c>
      <c r="I160" s="16" t="n"/>
      <c r="J160" s="16" t="n"/>
      <c r="K160" s="16" t="n"/>
      <c r="L160" s="16" t="inlineStr">
        <is>
          <t>sí</t>
        </is>
      </c>
      <c r="M160" s="16" t="inlineStr">
        <is>
          <t>kPa</t>
        </is>
      </c>
      <c r="N160" s="16" t="inlineStr">
        <is>
          <t>no</t>
        </is>
      </c>
      <c r="O160" s="16" t="n"/>
    </row>
    <row r="161">
      <c r="A161" s="16" t="inlineStr">
        <is>
          <t>2.4</t>
        </is>
      </c>
      <c r="B161" s="16" t="inlineStr">
        <is>
          <t>2.4b</t>
        </is>
      </c>
      <c r="C161" s="16" t="inlineStr">
        <is>
          <t>KF-M02S</t>
        </is>
      </c>
      <c r="D161" s="16" t="inlineStr">
        <is>
          <t>KF-M02S-B2</t>
        </is>
      </c>
      <c r="E161" s="16" t="inlineStr">
        <is>
          <t>B05-B2</t>
        </is>
      </c>
      <c r="F161" s="16" t="inlineStr">
        <is>
          <t>P_baja</t>
        </is>
      </c>
      <c r="G161" s="16" t="inlineStr">
        <is>
          <t>barrido</t>
        </is>
      </c>
      <c r="H161" s="16" t="n"/>
      <c r="I161" s="16" t="n">
        <v>150</v>
      </c>
      <c r="J161" s="16" t="n">
        <v>1500</v>
      </c>
      <c r="K161" s="16" t="n">
        <v>28</v>
      </c>
      <c r="L161" s="16" t="n"/>
      <c r="M161" s="16" t="inlineStr">
        <is>
          <t>kPa</t>
        </is>
      </c>
      <c r="N161" s="16" t="inlineStr">
        <is>
          <t>no</t>
        </is>
      </c>
      <c r="O161" s="16" t="n"/>
    </row>
    <row r="162">
      <c r="A162" s="16" t="inlineStr">
        <is>
          <t>2.4</t>
        </is>
      </c>
      <c r="B162" s="16" t="inlineStr">
        <is>
          <t>2.4b</t>
        </is>
      </c>
      <c r="C162" s="16" t="inlineStr">
        <is>
          <t>KF-M02S</t>
        </is>
      </c>
      <c r="D162" s="16" t="inlineStr">
        <is>
          <t>KF-M02S-B2</t>
        </is>
      </c>
      <c r="E162" s="16" t="inlineStr">
        <is>
          <t>B05-B2</t>
        </is>
      </c>
      <c r="F162" s="16" t="inlineStr">
        <is>
          <t>x_b</t>
        </is>
      </c>
      <c r="G162" s="16" t="inlineStr">
        <is>
          <t>fijo</t>
        </is>
      </c>
      <c r="H162" s="16" t="inlineStr">
        <is>
          <t>0.5</t>
        </is>
      </c>
      <c r="I162" s="16" t="n"/>
      <c r="J162" s="16" t="n"/>
      <c r="K162" s="16" t="n"/>
      <c r="L162" s="16" t="inlineStr">
        <is>
          <t>sí</t>
        </is>
      </c>
      <c r="M162" s="16" t="inlineStr">
        <is>
          <t>–</t>
        </is>
      </c>
      <c r="N162" s="16" t="inlineStr">
        <is>
          <t>no</t>
        </is>
      </c>
      <c r="O162" s="16" t="n"/>
    </row>
    <row r="163">
      <c r="A163" s="16" t="inlineStr">
        <is>
          <t>2.4</t>
        </is>
      </c>
      <c r="B163" s="16" t="inlineStr">
        <is>
          <t>2.4b</t>
        </is>
      </c>
      <c r="C163" s="16" t="inlineStr">
        <is>
          <t>KF-M02S</t>
        </is>
      </c>
      <c r="D163" s="16" t="inlineStr">
        <is>
          <t>KF-M02S-B2</t>
        </is>
      </c>
      <c r="E163" s="16" t="inlineStr">
        <is>
          <t>B05-B2</t>
        </is>
      </c>
      <c r="F163" s="16" t="inlineStr">
        <is>
          <t>m_b</t>
        </is>
      </c>
      <c r="G163" s="16" t="inlineStr">
        <is>
          <t>fijo</t>
        </is>
      </c>
      <c r="H163" s="16" t="inlineStr">
        <is>
          <t>1.0</t>
        </is>
      </c>
      <c r="I163" s="16" t="n"/>
      <c r="J163" s="16" t="n"/>
      <c r="K163" s="16" t="n"/>
      <c r="L163" s="16" t="inlineStr">
        <is>
          <t>sí</t>
        </is>
      </c>
      <c r="M163" s="16" t="inlineStr">
        <is>
          <t>kg/s</t>
        </is>
      </c>
      <c r="N163" s="16" t="inlineStr">
        <is>
          <t>no</t>
        </is>
      </c>
      <c r="O163" s="16" t="n"/>
    </row>
    <row r="164">
      <c r="A164" s="16" t="inlineStr">
        <is>
          <t>2.4</t>
        </is>
      </c>
      <c r="B164" s="16" t="inlineStr">
        <is>
          <t>2.4b</t>
        </is>
      </c>
      <c r="C164" s="16" t="inlineStr">
        <is>
          <t>KF-M02S</t>
        </is>
      </c>
      <c r="D164" s="16" t="inlineStr">
        <is>
          <t>KF-M02S-B2</t>
        </is>
      </c>
      <c r="E164" s="16" t="inlineStr">
        <is>
          <t>B05-B2</t>
        </is>
      </c>
      <c r="F164" s="16" t="inlineStr">
        <is>
          <t>eta_t</t>
        </is>
      </c>
      <c r="G164" s="16" t="inlineStr">
        <is>
          <t>fijo</t>
        </is>
      </c>
      <c r="H164" s="16" t="inlineStr">
        <is>
          <t>0.85</t>
        </is>
      </c>
      <c r="I164" s="16" t="n"/>
      <c r="J164" s="16" t="n"/>
      <c r="K164" s="16" t="n"/>
      <c r="L164" s="16" t="inlineStr">
        <is>
          <t>sí</t>
        </is>
      </c>
      <c r="M164" s="16" t="inlineStr">
        <is>
          <t>–</t>
        </is>
      </c>
      <c r="N164" s="16" t="inlineStr">
        <is>
          <t>no</t>
        </is>
      </c>
      <c r="O164" s="16" t="n"/>
    </row>
    <row r="165">
      <c r="A165" s="16" t="inlineStr">
        <is>
          <t>2.4</t>
        </is>
      </c>
      <c r="B165" s="16" t="inlineStr">
        <is>
          <t>2.4b</t>
        </is>
      </c>
      <c r="C165" s="16" t="inlineStr">
        <is>
          <t>KF-M02S</t>
        </is>
      </c>
      <c r="D165" s="16" t="inlineStr">
        <is>
          <t>KF-M02S-B2</t>
        </is>
      </c>
      <c r="E165" s="16" t="inlineStr">
        <is>
          <t>B05-B2</t>
        </is>
      </c>
      <c r="F165" s="16" t="inlineStr">
        <is>
          <t>eta_p</t>
        </is>
      </c>
      <c r="G165" s="16" t="inlineStr">
        <is>
          <t>fijo</t>
        </is>
      </c>
      <c r="H165" s="16" t="inlineStr">
        <is>
          <t>0.75</t>
        </is>
      </c>
      <c r="I165" s="16" t="n"/>
      <c r="J165" s="16" t="n"/>
      <c r="K165" s="16" t="n"/>
      <c r="L165" s="16" t="inlineStr">
        <is>
          <t>sí</t>
        </is>
      </c>
      <c r="M165" s="16" t="inlineStr">
        <is>
          <t>–</t>
        </is>
      </c>
      <c r="N165" s="16" t="inlineStr">
        <is>
          <t>no</t>
        </is>
      </c>
      <c r="O165" s="16" t="n"/>
    </row>
    <row r="166">
      <c r="A166" s="16" t="inlineStr">
        <is>
          <t>2.4</t>
        </is>
      </c>
      <c r="B166" s="16" t="inlineStr">
        <is>
          <t>2.4b</t>
        </is>
      </c>
      <c r="C166" s="16" t="inlineStr">
        <is>
          <t>KF-M02S</t>
        </is>
      </c>
      <c r="D166" s="16" t="inlineStr">
        <is>
          <t>KF-M02S-B2</t>
        </is>
      </c>
      <c r="E166" s="16" t="inlineStr">
        <is>
          <t>B05-B2</t>
        </is>
      </c>
      <c r="F166" s="16" t="inlineStr">
        <is>
          <t>eps_hrvg</t>
        </is>
      </c>
      <c r="G166" s="16" t="inlineStr">
        <is>
          <t>fijo</t>
        </is>
      </c>
      <c r="H166" s="16" t="inlineStr">
        <is>
          <t>0.85</t>
        </is>
      </c>
      <c r="I166" s="16" t="n"/>
      <c r="J166" s="16" t="n"/>
      <c r="K166" s="16" t="n"/>
      <c r="L166" s="16" t="inlineStr">
        <is>
          <t>sí</t>
        </is>
      </c>
      <c r="M166" s="16" t="inlineStr">
        <is>
          <t>–</t>
        </is>
      </c>
      <c r="N166" s="16" t="inlineStr">
        <is>
          <t>no</t>
        </is>
      </c>
      <c r="O166" s="16" t="n"/>
    </row>
    <row r="167">
      <c r="A167" s="16" t="inlineStr">
        <is>
          <t>2.4</t>
        </is>
      </c>
      <c r="B167" s="16" t="inlineStr">
        <is>
          <t>2.4b</t>
        </is>
      </c>
      <c r="C167" s="16" t="inlineStr">
        <is>
          <t>KF-M02S</t>
        </is>
      </c>
      <c r="D167" s="16" t="inlineStr">
        <is>
          <t>KF-M02S-B2</t>
        </is>
      </c>
      <c r="E167" s="16" t="inlineStr">
        <is>
          <t>B05-B2</t>
        </is>
      </c>
      <c r="F167" s="16" t="inlineStr">
        <is>
          <t>eps_reg</t>
        </is>
      </c>
      <c r="G167" s="16" t="inlineStr">
        <is>
          <t>fijo</t>
        </is>
      </c>
      <c r="H167" s="16" t="inlineStr">
        <is>
          <t>0.75</t>
        </is>
      </c>
      <c r="I167" s="16" t="n"/>
      <c r="J167" s="16" t="n"/>
      <c r="K167" s="16" t="n"/>
      <c r="L167" s="16" t="inlineStr">
        <is>
          <t>sí</t>
        </is>
      </c>
      <c r="M167" s="16" t="inlineStr">
        <is>
          <t>–</t>
        </is>
      </c>
      <c r="N167" s="16" t="inlineStr">
        <is>
          <t>no</t>
        </is>
      </c>
      <c r="O167" s="16" t="n"/>
    </row>
    <row r="168">
      <c r="A168" s="16" t="inlineStr">
        <is>
          <t>2.4</t>
        </is>
      </c>
      <c r="B168" s="16" t="inlineStr">
        <is>
          <t>2.4b</t>
        </is>
      </c>
      <c r="C168" s="16" t="inlineStr">
        <is>
          <t>KF-M02S</t>
        </is>
      </c>
      <c r="D168" s="16" t="inlineStr">
        <is>
          <t>KF-M02S-B2</t>
        </is>
      </c>
      <c r="E168" s="16" t="inlineStr">
        <is>
          <t>B05-B2</t>
        </is>
      </c>
      <c r="F168" s="16" t="inlineStr">
        <is>
          <t>eps_cond</t>
        </is>
      </c>
      <c r="G168" s="16" t="inlineStr">
        <is>
          <t>fijo</t>
        </is>
      </c>
      <c r="H168" s="16" t="inlineStr">
        <is>
          <t>0.8</t>
        </is>
      </c>
      <c r="I168" s="16" t="n"/>
      <c r="J168" s="16" t="n"/>
      <c r="K168" s="16" t="n"/>
      <c r="L168" s="16" t="inlineStr">
        <is>
          <t>sí</t>
        </is>
      </c>
      <c r="M168" s="16" t="inlineStr">
        <is>
          <t>–</t>
        </is>
      </c>
      <c r="N168" s="16" t="inlineStr">
        <is>
          <t>no</t>
        </is>
      </c>
      <c r="O168" s="16" t="n"/>
    </row>
    <row r="169">
      <c r="A169" s="16" t="inlineStr">
        <is>
          <t>2.4</t>
        </is>
      </c>
      <c r="B169" s="16" t="inlineStr">
        <is>
          <t>2.4b</t>
        </is>
      </c>
      <c r="C169" s="16" t="inlineStr">
        <is>
          <t>KF-M02S</t>
        </is>
      </c>
      <c r="D169" s="16" t="inlineStr">
        <is>
          <t>KF-M02S-B2</t>
        </is>
      </c>
      <c r="E169" s="16" t="inlineStr">
        <is>
          <t>B05-B2</t>
        </is>
      </c>
      <c r="F169" s="16" t="inlineStr">
        <is>
          <t>T_amb_diseno</t>
        </is>
      </c>
      <c r="G169" s="16" t="inlineStr">
        <is>
          <t>barrido</t>
        </is>
      </c>
      <c r="H169" s="16" t="n"/>
      <c r="I169" s="16" t="n">
        <v>278.15</v>
      </c>
      <c r="J169" s="16" t="n">
        <v>300.032917</v>
      </c>
      <c r="K169" s="16" t="n">
        <v>5</v>
      </c>
      <c r="L169" s="16" t="n"/>
      <c r="M169" s="16" t="inlineStr">
        <is>
          <t>K</t>
        </is>
      </c>
      <c r="N169" s="16" t="inlineStr">
        <is>
          <t>no</t>
        </is>
      </c>
      <c r="O169" s="16" t="n"/>
    </row>
    <row r="170">
      <c r="A170" s="16" t="inlineStr">
        <is>
          <t>2.4</t>
        </is>
      </c>
      <c r="B170" s="16" t="inlineStr">
        <is>
          <t>2.4b</t>
        </is>
      </c>
      <c r="C170" s="16" t="inlineStr">
        <is>
          <t>KF-M02S</t>
        </is>
      </c>
      <c r="D170" s="16" t="inlineStr">
        <is>
          <t>KF-M02S-B2</t>
        </is>
      </c>
      <c r="E170" s="16" t="inlineStr">
        <is>
          <t>B05-B2</t>
        </is>
      </c>
      <c r="F170" s="16" t="inlineStr">
        <is>
          <t>motor</t>
        </is>
      </c>
      <c r="G170" s="16" t="inlineStr">
        <is>
          <t>fijo</t>
        </is>
      </c>
      <c r="H170" s="16" t="inlineStr">
        <is>
          <t>teqp</t>
        </is>
      </c>
      <c r="I170" s="16" t="n"/>
      <c r="J170" s="16" t="n"/>
      <c r="K170" s="16" t="n"/>
      <c r="L170" s="16" t="n"/>
      <c r="M170" s="16" t="inlineStr">
        <is>
          <t>–</t>
        </is>
      </c>
      <c r="N170" s="16" t="inlineStr">
        <is>
          <t>no</t>
        </is>
      </c>
      <c r="O170" s="16" t="n"/>
    </row>
    <row r="171">
      <c r="A171" s="16" t="inlineStr">
        <is>
          <t>2.4</t>
        </is>
      </c>
      <c r="B171" s="16" t="inlineStr">
        <is>
          <t>2.4c</t>
        </is>
      </c>
      <c r="C171" s="16" t="inlineStr">
        <is>
          <t>KF-M02S</t>
        </is>
      </c>
      <c r="D171" s="16" t="inlineStr">
        <is>
          <t>KF-M02S-B3</t>
        </is>
      </c>
      <c r="E171" s="16" t="inlineStr">
        <is>
          <t>B05-B3</t>
        </is>
      </c>
      <c r="F171" s="16" t="inlineStr">
        <is>
          <t>T_fuente</t>
        </is>
      </c>
      <c r="G171" s="16" t="inlineStr">
        <is>
          <t>fijo</t>
        </is>
      </c>
      <c r="H171" s="16" t="inlineStr">
        <is>
          <t>623.15</t>
        </is>
      </c>
      <c r="I171" s="16" t="n"/>
      <c r="J171" s="16" t="n"/>
      <c r="K171" s="16" t="n"/>
      <c r="L171" s="16" t="inlineStr">
        <is>
          <t>sí</t>
        </is>
      </c>
      <c r="M171" s="16" t="inlineStr">
        <is>
          <t>K</t>
        </is>
      </c>
      <c r="N171" s="16" t="inlineStr">
        <is>
          <t>no</t>
        </is>
      </c>
      <c r="O171" s="16" t="n"/>
    </row>
    <row r="172">
      <c r="A172" s="16" t="inlineStr">
        <is>
          <t>2.4</t>
        </is>
      </c>
      <c r="B172" s="16" t="inlineStr">
        <is>
          <t>2.4c</t>
        </is>
      </c>
      <c r="C172" s="16" t="inlineStr">
        <is>
          <t>KF-M02S</t>
        </is>
      </c>
      <c r="D172" s="16" t="inlineStr">
        <is>
          <t>KF-M02S-B3</t>
        </is>
      </c>
      <c r="E172" s="16" t="inlineStr">
        <is>
          <t>B05-B3</t>
        </is>
      </c>
      <c r="F172" s="16" t="inlineStr">
        <is>
          <t>T_sumidero</t>
        </is>
      </c>
      <c r="G172" s="16" t="inlineStr">
        <is>
          <t>barrido</t>
        </is>
      </c>
      <c r="H172" s="16" t="n"/>
      <c r="I172" s="16" t="n">
        <v>278.15</v>
      </c>
      <c r="J172" s="16" t="n">
        <v>300.032917</v>
      </c>
      <c r="K172" s="16" t="n">
        <v>5</v>
      </c>
      <c r="L172" s="16" t="n"/>
      <c r="M172" s="16" t="inlineStr">
        <is>
          <t>K</t>
        </is>
      </c>
      <c r="N172" s="16" t="inlineStr">
        <is>
          <t>no</t>
        </is>
      </c>
      <c r="O172" s="16" t="n"/>
    </row>
    <row r="173">
      <c r="A173" s="16" t="inlineStr">
        <is>
          <t>2.4</t>
        </is>
      </c>
      <c r="B173" s="16" t="inlineStr">
        <is>
          <t>2.4c</t>
        </is>
      </c>
      <c r="C173" s="16" t="inlineStr">
        <is>
          <t>KF-M02S</t>
        </is>
      </c>
      <c r="D173" s="16" t="inlineStr">
        <is>
          <t>KF-M02S-B3</t>
        </is>
      </c>
      <c r="E173" s="16" t="inlineStr">
        <is>
          <t>B05-B3</t>
        </is>
      </c>
      <c r="F173" s="16" t="inlineStr">
        <is>
          <t>P_alta</t>
        </is>
      </c>
      <c r="G173" s="16" t="inlineStr">
        <is>
          <t>fijo</t>
        </is>
      </c>
      <c r="H173" s="16" t="inlineStr">
        <is>
          <t>3000.0</t>
        </is>
      </c>
      <c r="I173" s="16" t="n"/>
      <c r="J173" s="16" t="n"/>
      <c r="K173" s="16" t="n"/>
      <c r="L173" s="16" t="inlineStr">
        <is>
          <t>sí</t>
        </is>
      </c>
      <c r="M173" s="16" t="inlineStr">
        <is>
          <t>kPa</t>
        </is>
      </c>
      <c r="N173" s="16" t="inlineStr">
        <is>
          <t>no</t>
        </is>
      </c>
      <c r="O173" s="16" t="n"/>
    </row>
    <row r="174">
      <c r="A174" s="16" t="inlineStr">
        <is>
          <t>2.4</t>
        </is>
      </c>
      <c r="B174" s="16" t="inlineStr">
        <is>
          <t>2.4c</t>
        </is>
      </c>
      <c r="C174" s="16" t="inlineStr">
        <is>
          <t>KF-M02S</t>
        </is>
      </c>
      <c r="D174" s="16" t="inlineStr">
        <is>
          <t>KF-M02S-B3</t>
        </is>
      </c>
      <c r="E174" s="16" t="inlineStr">
        <is>
          <t>B05-B3</t>
        </is>
      </c>
      <c r="F174" s="16" t="inlineStr">
        <is>
          <t>P_baja</t>
        </is>
      </c>
      <c r="G174" s="16" t="inlineStr">
        <is>
          <t>barrido</t>
        </is>
      </c>
      <c r="H174" s="16" t="n"/>
      <c r="I174" s="16" t="n">
        <v>150</v>
      </c>
      <c r="J174" s="16" t="n">
        <v>1500</v>
      </c>
      <c r="K174" s="16" t="n">
        <v>30</v>
      </c>
      <c r="L174" s="16" t="n"/>
      <c r="M174" s="16" t="inlineStr">
        <is>
          <t>kPa</t>
        </is>
      </c>
      <c r="N174" s="16" t="inlineStr">
        <is>
          <t>no</t>
        </is>
      </c>
      <c r="O174" s="16" t="n"/>
    </row>
    <row r="175">
      <c r="A175" s="16" t="inlineStr">
        <is>
          <t>2.4</t>
        </is>
      </c>
      <c r="B175" s="16" t="inlineStr">
        <is>
          <t>2.4c</t>
        </is>
      </c>
      <c r="C175" s="16" t="inlineStr">
        <is>
          <t>KF-M02S</t>
        </is>
      </c>
      <c r="D175" s="16" t="inlineStr">
        <is>
          <t>KF-M02S-B3</t>
        </is>
      </c>
      <c r="E175" s="16" t="inlineStr">
        <is>
          <t>B05-B3</t>
        </is>
      </c>
      <c r="F175" s="16" t="inlineStr">
        <is>
          <t>x_b</t>
        </is>
      </c>
      <c r="G175" s="16" t="inlineStr">
        <is>
          <t>fijo</t>
        </is>
      </c>
      <c r="H175" s="16" t="inlineStr">
        <is>
          <t>0.5</t>
        </is>
      </c>
      <c r="I175" s="16" t="n"/>
      <c r="J175" s="16" t="n"/>
      <c r="K175" s="16" t="n"/>
      <c r="L175" s="16" t="inlineStr">
        <is>
          <t>sí</t>
        </is>
      </c>
      <c r="M175" s="16" t="inlineStr">
        <is>
          <t>–</t>
        </is>
      </c>
      <c r="N175" s="16" t="inlineStr">
        <is>
          <t>no</t>
        </is>
      </c>
      <c r="O175" s="16" t="n"/>
    </row>
    <row r="176">
      <c r="A176" s="16" t="inlineStr">
        <is>
          <t>2.4</t>
        </is>
      </c>
      <c r="B176" s="16" t="inlineStr">
        <is>
          <t>2.4c</t>
        </is>
      </c>
      <c r="C176" s="16" t="inlineStr">
        <is>
          <t>KF-M02S</t>
        </is>
      </c>
      <c r="D176" s="16" t="inlineStr">
        <is>
          <t>KF-M02S-B3</t>
        </is>
      </c>
      <c r="E176" s="16" t="inlineStr">
        <is>
          <t>B05-B3</t>
        </is>
      </c>
      <c r="F176" s="16" t="inlineStr">
        <is>
          <t>m_b</t>
        </is>
      </c>
      <c r="G176" s="16" t="inlineStr">
        <is>
          <t>fijo</t>
        </is>
      </c>
      <c r="H176" s="16" t="inlineStr">
        <is>
          <t>1.0</t>
        </is>
      </c>
      <c r="I176" s="16" t="n"/>
      <c r="J176" s="16" t="n"/>
      <c r="K176" s="16" t="n"/>
      <c r="L176" s="16" t="inlineStr">
        <is>
          <t>sí</t>
        </is>
      </c>
      <c r="M176" s="16" t="inlineStr">
        <is>
          <t>kg/s</t>
        </is>
      </c>
      <c r="N176" s="16" t="inlineStr">
        <is>
          <t>no</t>
        </is>
      </c>
      <c r="O176" s="16" t="n"/>
    </row>
    <row r="177">
      <c r="A177" s="16" t="inlineStr">
        <is>
          <t>2.4</t>
        </is>
      </c>
      <c r="B177" s="16" t="inlineStr">
        <is>
          <t>2.4c</t>
        </is>
      </c>
      <c r="C177" s="16" t="inlineStr">
        <is>
          <t>KF-M02S</t>
        </is>
      </c>
      <c r="D177" s="16" t="inlineStr">
        <is>
          <t>KF-M02S-B3</t>
        </is>
      </c>
      <c r="E177" s="16" t="inlineStr">
        <is>
          <t>B05-B3</t>
        </is>
      </c>
      <c r="F177" s="16" t="inlineStr">
        <is>
          <t>eta_t</t>
        </is>
      </c>
      <c r="G177" s="16" t="inlineStr">
        <is>
          <t>fijo</t>
        </is>
      </c>
      <c r="H177" s="16" t="inlineStr">
        <is>
          <t>0.85</t>
        </is>
      </c>
      <c r="I177" s="16" t="n"/>
      <c r="J177" s="16" t="n"/>
      <c r="K177" s="16" t="n"/>
      <c r="L177" s="16" t="inlineStr">
        <is>
          <t>sí</t>
        </is>
      </c>
      <c r="M177" s="16" t="inlineStr">
        <is>
          <t>–</t>
        </is>
      </c>
      <c r="N177" s="16" t="inlineStr">
        <is>
          <t>no</t>
        </is>
      </c>
      <c r="O177" s="16" t="n"/>
    </row>
    <row r="178">
      <c r="A178" s="16" t="inlineStr">
        <is>
          <t>2.4</t>
        </is>
      </c>
      <c r="B178" s="16" t="inlineStr">
        <is>
          <t>2.4c</t>
        </is>
      </c>
      <c r="C178" s="16" t="inlineStr">
        <is>
          <t>KF-M02S</t>
        </is>
      </c>
      <c r="D178" s="16" t="inlineStr">
        <is>
          <t>KF-M02S-B3</t>
        </is>
      </c>
      <c r="E178" s="16" t="inlineStr">
        <is>
          <t>B05-B3</t>
        </is>
      </c>
      <c r="F178" s="16" t="inlineStr">
        <is>
          <t>eta_p</t>
        </is>
      </c>
      <c r="G178" s="16" t="inlineStr">
        <is>
          <t>fijo</t>
        </is>
      </c>
      <c r="H178" s="16" t="inlineStr">
        <is>
          <t>0.75</t>
        </is>
      </c>
      <c r="I178" s="16" t="n"/>
      <c r="J178" s="16" t="n"/>
      <c r="K178" s="16" t="n"/>
      <c r="L178" s="16" t="inlineStr">
        <is>
          <t>sí</t>
        </is>
      </c>
      <c r="M178" s="16" t="inlineStr">
        <is>
          <t>–</t>
        </is>
      </c>
      <c r="N178" s="16" t="inlineStr">
        <is>
          <t>no</t>
        </is>
      </c>
      <c r="O178" s="16" t="n"/>
    </row>
    <row r="179">
      <c r="A179" s="16" t="inlineStr">
        <is>
          <t>2.4</t>
        </is>
      </c>
      <c r="B179" s="16" t="inlineStr">
        <is>
          <t>2.4c</t>
        </is>
      </c>
      <c r="C179" s="16" t="inlineStr">
        <is>
          <t>KF-M02S</t>
        </is>
      </c>
      <c r="D179" s="16" t="inlineStr">
        <is>
          <t>KF-M02S-B3</t>
        </is>
      </c>
      <c r="E179" s="16" t="inlineStr">
        <is>
          <t>B05-B3</t>
        </is>
      </c>
      <c r="F179" s="16" t="inlineStr">
        <is>
          <t>eps_hrvg</t>
        </is>
      </c>
      <c r="G179" s="16" t="inlineStr">
        <is>
          <t>fijo</t>
        </is>
      </c>
      <c r="H179" s="16" t="inlineStr">
        <is>
          <t>0.4</t>
        </is>
      </c>
      <c r="I179" s="16" t="n"/>
      <c r="J179" s="16" t="n"/>
      <c r="K179" s="16" t="n"/>
      <c r="L179" s="16" t="inlineStr">
        <is>
          <t>no</t>
        </is>
      </c>
      <c r="M179" s="16" t="inlineStr">
        <is>
          <t>–</t>
        </is>
      </c>
      <c r="N179" s="16" t="inlineStr">
        <is>
          <t>no</t>
        </is>
      </c>
      <c r="O179" s="16" t="n"/>
    </row>
    <row r="180">
      <c r="A180" s="16" t="inlineStr">
        <is>
          <t>2.4</t>
        </is>
      </c>
      <c r="B180" s="16" t="inlineStr">
        <is>
          <t>2.4c</t>
        </is>
      </c>
      <c r="C180" s="16" t="inlineStr">
        <is>
          <t>KF-M02S</t>
        </is>
      </c>
      <c r="D180" s="16" t="inlineStr">
        <is>
          <t>KF-M02S-B3</t>
        </is>
      </c>
      <c r="E180" s="16" t="inlineStr">
        <is>
          <t>B05-B3</t>
        </is>
      </c>
      <c r="F180" s="16" t="inlineStr">
        <is>
          <t>eps_reg</t>
        </is>
      </c>
      <c r="G180" s="16" t="inlineStr">
        <is>
          <t>fijo</t>
        </is>
      </c>
      <c r="H180" s="16" t="inlineStr">
        <is>
          <t>0.75</t>
        </is>
      </c>
      <c r="I180" s="16" t="n"/>
      <c r="J180" s="16" t="n"/>
      <c r="K180" s="16" t="n"/>
      <c r="L180" s="16" t="inlineStr">
        <is>
          <t>sí</t>
        </is>
      </c>
      <c r="M180" s="16" t="inlineStr">
        <is>
          <t>–</t>
        </is>
      </c>
      <c r="N180" s="16" t="inlineStr">
        <is>
          <t>no</t>
        </is>
      </c>
      <c r="O180" s="16" t="n"/>
    </row>
    <row r="181">
      <c r="A181" s="16" t="inlineStr">
        <is>
          <t>2.4</t>
        </is>
      </c>
      <c r="B181" s="16" t="inlineStr">
        <is>
          <t>2.4c</t>
        </is>
      </c>
      <c r="C181" s="16" t="inlineStr">
        <is>
          <t>KF-M02S</t>
        </is>
      </c>
      <c r="D181" s="16" t="inlineStr">
        <is>
          <t>KF-M02S-B3</t>
        </is>
      </c>
      <c r="E181" s="16" t="inlineStr">
        <is>
          <t>B05-B3</t>
        </is>
      </c>
      <c r="F181" s="16" t="inlineStr">
        <is>
          <t>eps_cond</t>
        </is>
      </c>
      <c r="G181" s="16" t="inlineStr">
        <is>
          <t>fijo</t>
        </is>
      </c>
      <c r="H181" s="16" t="inlineStr">
        <is>
          <t>0.8</t>
        </is>
      </c>
      <c r="I181" s="16" t="n"/>
      <c r="J181" s="16" t="n"/>
      <c r="K181" s="16" t="n"/>
      <c r="L181" s="16" t="inlineStr">
        <is>
          <t>sí</t>
        </is>
      </c>
      <c r="M181" s="16" t="inlineStr">
        <is>
          <t>–</t>
        </is>
      </c>
      <c r="N181" s="16" t="inlineStr">
        <is>
          <t>no</t>
        </is>
      </c>
      <c r="O181" s="16" t="n"/>
    </row>
    <row r="182">
      <c r="A182" s="16" t="inlineStr">
        <is>
          <t>2.4</t>
        </is>
      </c>
      <c r="B182" s="16" t="inlineStr">
        <is>
          <t>2.4c</t>
        </is>
      </c>
      <c r="C182" s="16" t="inlineStr">
        <is>
          <t>KF-M02S</t>
        </is>
      </c>
      <c r="D182" s="16" t="inlineStr">
        <is>
          <t>KF-M02S-B3</t>
        </is>
      </c>
      <c r="E182" s="16" t="inlineStr">
        <is>
          <t>B05-B3</t>
        </is>
      </c>
      <c r="F182" s="16" t="inlineStr">
        <is>
          <t>T_amb_diseno</t>
        </is>
      </c>
      <c r="G182" s="16" t="inlineStr">
        <is>
          <t>barrido</t>
        </is>
      </c>
      <c r="H182" s="16" t="n"/>
      <c r="I182" s="16" t="n">
        <v>278.15</v>
      </c>
      <c r="J182" s="16" t="n">
        <v>300.032917</v>
      </c>
      <c r="K182" s="16" t="n">
        <v>5</v>
      </c>
      <c r="L182" s="16" t="n"/>
      <c r="M182" s="16" t="inlineStr">
        <is>
          <t>K</t>
        </is>
      </c>
      <c r="N182" s="16" t="inlineStr">
        <is>
          <t>no</t>
        </is>
      </c>
      <c r="O182" s="16" t="n"/>
    </row>
    <row r="183">
      <c r="A183" s="16" t="inlineStr">
        <is>
          <t>2.4</t>
        </is>
      </c>
      <c r="B183" s="16" t="inlineStr">
        <is>
          <t>2.4c</t>
        </is>
      </c>
      <c r="C183" s="16" t="inlineStr">
        <is>
          <t>KF-M02S</t>
        </is>
      </c>
      <c r="D183" s="16" t="inlineStr">
        <is>
          <t>KF-M02S-B3</t>
        </is>
      </c>
      <c r="E183" s="16" t="inlineStr">
        <is>
          <t>B05-B3</t>
        </is>
      </c>
      <c r="F183" s="16" t="inlineStr">
        <is>
          <t>motor</t>
        </is>
      </c>
      <c r="G183" s="16" t="inlineStr">
        <is>
          <t>fijo</t>
        </is>
      </c>
      <c r="H183" s="16" t="inlineStr">
        <is>
          <t>teqp</t>
        </is>
      </c>
      <c r="I183" s="16" t="n"/>
      <c r="J183" s="16" t="n"/>
      <c r="K183" s="16" t="n"/>
      <c r="L183" s="16" t="n"/>
      <c r="M183" s="16" t="inlineStr">
        <is>
          <t>–</t>
        </is>
      </c>
      <c r="N183" s="16" t="inlineStr">
        <is>
          <t>no</t>
        </is>
      </c>
      <c r="O183" s="16" t="n"/>
    </row>
    <row r="184">
      <c r="A184" s="16" t="inlineStr">
        <is>
          <t>2.4</t>
        </is>
      </c>
      <c r="B184" s="16" t="inlineStr">
        <is>
          <t>2.4d</t>
        </is>
      </c>
      <c r="C184" s="16" t="inlineStr">
        <is>
          <t>KF-M02S</t>
        </is>
      </c>
      <c r="D184" s="16" t="inlineStr">
        <is>
          <t>KF-M02S-B4</t>
        </is>
      </c>
      <c r="E184" s="16" t="inlineStr">
        <is>
          <t>B05-B4</t>
        </is>
      </c>
      <c r="F184" s="16" t="inlineStr">
        <is>
          <t>T_fuente</t>
        </is>
      </c>
      <c r="G184" s="16" t="inlineStr">
        <is>
          <t>fijo</t>
        </is>
      </c>
      <c r="H184" s="16" t="inlineStr">
        <is>
          <t>623.15</t>
        </is>
      </c>
      <c r="I184" s="16" t="n"/>
      <c r="J184" s="16" t="n"/>
      <c r="K184" s="16" t="n"/>
      <c r="L184" s="16" t="inlineStr">
        <is>
          <t>sí</t>
        </is>
      </c>
      <c r="M184" s="16" t="inlineStr">
        <is>
          <t>K</t>
        </is>
      </c>
      <c r="N184" s="16" t="inlineStr">
        <is>
          <t>no</t>
        </is>
      </c>
      <c r="O184" s="16" t="n"/>
    </row>
    <row r="185">
      <c r="A185" s="16" t="inlineStr">
        <is>
          <t>2.4</t>
        </is>
      </c>
      <c r="B185" s="16" t="inlineStr">
        <is>
          <t>2.4d</t>
        </is>
      </c>
      <c r="C185" s="16" t="inlineStr">
        <is>
          <t>KF-M02S</t>
        </is>
      </c>
      <c r="D185" s="16" t="inlineStr">
        <is>
          <t>KF-M02S-B4</t>
        </is>
      </c>
      <c r="E185" s="16" t="inlineStr">
        <is>
          <t>B05-B4</t>
        </is>
      </c>
      <c r="F185" s="16" t="inlineStr">
        <is>
          <t>T_sumidero</t>
        </is>
      </c>
      <c r="G185" s="16" t="inlineStr">
        <is>
          <t>barrido</t>
        </is>
      </c>
      <c r="H185" s="16" t="n"/>
      <c r="I185" s="16" t="n">
        <v>278.15</v>
      </c>
      <c r="J185" s="16" t="n">
        <v>300.032917</v>
      </c>
      <c r="K185" s="16" t="n">
        <v>5</v>
      </c>
      <c r="L185" s="16" t="n"/>
      <c r="M185" s="16" t="inlineStr">
        <is>
          <t>K</t>
        </is>
      </c>
      <c r="N185" s="16" t="inlineStr">
        <is>
          <t>no</t>
        </is>
      </c>
      <c r="O185" s="16" t="n"/>
    </row>
    <row r="186">
      <c r="A186" s="16" t="inlineStr">
        <is>
          <t>2.4</t>
        </is>
      </c>
      <c r="B186" s="16" t="inlineStr">
        <is>
          <t>2.4d</t>
        </is>
      </c>
      <c r="C186" s="16" t="inlineStr">
        <is>
          <t>KF-M02S</t>
        </is>
      </c>
      <c r="D186" s="16" t="inlineStr">
        <is>
          <t>KF-M02S-B4</t>
        </is>
      </c>
      <c r="E186" s="16" t="inlineStr">
        <is>
          <t>B05-B4</t>
        </is>
      </c>
      <c r="F186" s="16" t="inlineStr">
        <is>
          <t>P_alta</t>
        </is>
      </c>
      <c r="G186" s="16" t="inlineStr">
        <is>
          <t>fijo</t>
        </is>
      </c>
      <c r="H186" s="16" t="inlineStr">
        <is>
          <t>3000.0</t>
        </is>
      </c>
      <c r="I186" s="16" t="n"/>
      <c r="J186" s="16" t="n"/>
      <c r="K186" s="16" t="n"/>
      <c r="L186" s="16" t="inlineStr">
        <is>
          <t>sí</t>
        </is>
      </c>
      <c r="M186" s="16" t="inlineStr">
        <is>
          <t>kPa</t>
        </is>
      </c>
      <c r="N186" s="16" t="inlineStr">
        <is>
          <t>no</t>
        </is>
      </c>
      <c r="O186" s="16" t="n"/>
    </row>
    <row r="187">
      <c r="A187" s="16" t="inlineStr">
        <is>
          <t>2.4</t>
        </is>
      </c>
      <c r="B187" s="16" t="inlineStr">
        <is>
          <t>2.4d</t>
        </is>
      </c>
      <c r="C187" s="16" t="inlineStr">
        <is>
          <t>KF-M02S</t>
        </is>
      </c>
      <c r="D187" s="16" t="inlineStr">
        <is>
          <t>KF-M02S-B4</t>
        </is>
      </c>
      <c r="E187" s="16" t="inlineStr">
        <is>
          <t>B05-B4</t>
        </is>
      </c>
      <c r="F187" s="16" t="inlineStr">
        <is>
          <t>P_baja</t>
        </is>
      </c>
      <c r="G187" s="16" t="inlineStr">
        <is>
          <t>barrido</t>
        </is>
      </c>
      <c r="H187" s="16" t="n"/>
      <c r="I187" s="16" t="n">
        <v>150</v>
      </c>
      <c r="J187" s="16" t="n">
        <v>1500</v>
      </c>
      <c r="K187" s="16" t="n">
        <v>10</v>
      </c>
      <c r="L187" s="16" t="n"/>
      <c r="M187" s="16" t="inlineStr">
        <is>
          <t>kPa</t>
        </is>
      </c>
      <c r="N187" s="16" t="inlineStr">
        <is>
          <t>no</t>
        </is>
      </c>
      <c r="O187" s="16" t="n"/>
    </row>
    <row r="188">
      <c r="A188" s="16" t="inlineStr">
        <is>
          <t>2.4</t>
        </is>
      </c>
      <c r="B188" s="16" t="inlineStr">
        <is>
          <t>2.4d</t>
        </is>
      </c>
      <c r="C188" s="16" t="inlineStr">
        <is>
          <t>KF-M02S</t>
        </is>
      </c>
      <c r="D188" s="16" t="inlineStr">
        <is>
          <t>KF-M02S-B4</t>
        </is>
      </c>
      <c r="E188" s="16" t="inlineStr">
        <is>
          <t>B05-B4</t>
        </is>
      </c>
      <c r="F188" s="16" t="inlineStr">
        <is>
          <t>x_b</t>
        </is>
      </c>
      <c r="G188" s="16" t="inlineStr">
        <is>
          <t>fijo</t>
        </is>
      </c>
      <c r="H188" s="16" t="inlineStr">
        <is>
          <t>0.5</t>
        </is>
      </c>
      <c r="I188" s="16" t="n"/>
      <c r="J188" s="16" t="n"/>
      <c r="K188" s="16" t="n"/>
      <c r="L188" s="16" t="inlineStr">
        <is>
          <t>sí</t>
        </is>
      </c>
      <c r="M188" s="16" t="inlineStr">
        <is>
          <t>–</t>
        </is>
      </c>
      <c r="N188" s="16" t="inlineStr">
        <is>
          <t>no</t>
        </is>
      </c>
      <c r="O188" s="16" t="n"/>
    </row>
    <row r="189">
      <c r="A189" s="16" t="inlineStr">
        <is>
          <t>2.4</t>
        </is>
      </c>
      <c r="B189" s="16" t="inlineStr">
        <is>
          <t>2.4d</t>
        </is>
      </c>
      <c r="C189" s="16" t="inlineStr">
        <is>
          <t>KF-M02S</t>
        </is>
      </c>
      <c r="D189" s="16" t="inlineStr">
        <is>
          <t>KF-M02S-B4</t>
        </is>
      </c>
      <c r="E189" s="16" t="inlineStr">
        <is>
          <t>B05-B4</t>
        </is>
      </c>
      <c r="F189" s="16" t="inlineStr">
        <is>
          <t>m_b</t>
        </is>
      </c>
      <c r="G189" s="16" t="inlineStr">
        <is>
          <t>fijo</t>
        </is>
      </c>
      <c r="H189" s="16" t="inlineStr">
        <is>
          <t>1.0</t>
        </is>
      </c>
      <c r="I189" s="16" t="n"/>
      <c r="J189" s="16" t="n"/>
      <c r="K189" s="16" t="n"/>
      <c r="L189" s="16" t="inlineStr">
        <is>
          <t>sí</t>
        </is>
      </c>
      <c r="M189" s="16" t="inlineStr">
        <is>
          <t>kg/s</t>
        </is>
      </c>
      <c r="N189" s="16" t="inlineStr">
        <is>
          <t>no</t>
        </is>
      </c>
      <c r="O189" s="16" t="n"/>
    </row>
    <row r="190">
      <c r="A190" s="16" t="inlineStr">
        <is>
          <t>2.4</t>
        </is>
      </c>
      <c r="B190" s="16" t="inlineStr">
        <is>
          <t>2.4d</t>
        </is>
      </c>
      <c r="C190" s="16" t="inlineStr">
        <is>
          <t>KF-M02S</t>
        </is>
      </c>
      <c r="D190" s="16" t="inlineStr">
        <is>
          <t>KF-M02S-B4</t>
        </is>
      </c>
      <c r="E190" s="16" t="inlineStr">
        <is>
          <t>B05-B4</t>
        </is>
      </c>
      <c r="F190" s="16" t="inlineStr">
        <is>
          <t>eta_t</t>
        </is>
      </c>
      <c r="G190" s="16" t="inlineStr">
        <is>
          <t>fijo</t>
        </is>
      </c>
      <c r="H190" s="16" t="inlineStr">
        <is>
          <t>0.85</t>
        </is>
      </c>
      <c r="I190" s="16" t="n"/>
      <c r="J190" s="16" t="n"/>
      <c r="K190" s="16" t="n"/>
      <c r="L190" s="16" t="inlineStr">
        <is>
          <t>sí</t>
        </is>
      </c>
      <c r="M190" s="16" t="inlineStr">
        <is>
          <t>–</t>
        </is>
      </c>
      <c r="N190" s="16" t="inlineStr">
        <is>
          <t>no</t>
        </is>
      </c>
      <c r="O190" s="16" t="n"/>
    </row>
    <row r="191">
      <c r="A191" s="16" t="inlineStr">
        <is>
          <t>2.4</t>
        </is>
      </c>
      <c r="B191" s="16" t="inlineStr">
        <is>
          <t>2.4d</t>
        </is>
      </c>
      <c r="C191" s="16" t="inlineStr">
        <is>
          <t>KF-M02S</t>
        </is>
      </c>
      <c r="D191" s="16" t="inlineStr">
        <is>
          <t>KF-M02S-B4</t>
        </is>
      </c>
      <c r="E191" s="16" t="inlineStr">
        <is>
          <t>B05-B4</t>
        </is>
      </c>
      <c r="F191" s="16" t="inlineStr">
        <is>
          <t>eta_p</t>
        </is>
      </c>
      <c r="G191" s="16" t="inlineStr">
        <is>
          <t>fijo</t>
        </is>
      </c>
      <c r="H191" s="16" t="inlineStr">
        <is>
          <t>0.75</t>
        </is>
      </c>
      <c r="I191" s="16" t="n"/>
      <c r="J191" s="16" t="n"/>
      <c r="K191" s="16" t="n"/>
      <c r="L191" s="16" t="inlineStr">
        <is>
          <t>sí</t>
        </is>
      </c>
      <c r="M191" s="16" t="inlineStr">
        <is>
          <t>–</t>
        </is>
      </c>
      <c r="N191" s="16" t="inlineStr">
        <is>
          <t>no</t>
        </is>
      </c>
      <c r="O191" s="16" t="n"/>
    </row>
    <row r="192">
      <c r="A192" s="16" t="inlineStr">
        <is>
          <t>2.4</t>
        </is>
      </c>
      <c r="B192" s="16" t="inlineStr">
        <is>
          <t>2.4d</t>
        </is>
      </c>
      <c r="C192" s="16" t="inlineStr">
        <is>
          <t>KF-M02S</t>
        </is>
      </c>
      <c r="D192" s="16" t="inlineStr">
        <is>
          <t>KF-M02S-B4</t>
        </is>
      </c>
      <c r="E192" s="16" t="inlineStr">
        <is>
          <t>B05-B4</t>
        </is>
      </c>
      <c r="F192" s="16" t="inlineStr">
        <is>
          <t>eps_hrvg</t>
        </is>
      </c>
      <c r="G192" s="16" t="inlineStr">
        <is>
          <t>fijo</t>
        </is>
      </c>
      <c r="H192" s="16" t="inlineStr">
        <is>
          <t>0.85</t>
        </is>
      </c>
      <c r="I192" s="16" t="n"/>
      <c r="J192" s="16" t="n"/>
      <c r="K192" s="16" t="n"/>
      <c r="L192" s="16" t="inlineStr">
        <is>
          <t>sí</t>
        </is>
      </c>
      <c r="M192" s="16" t="inlineStr">
        <is>
          <t>–</t>
        </is>
      </c>
      <c r="N192" s="16" t="inlineStr">
        <is>
          <t>no</t>
        </is>
      </c>
      <c r="O192" s="16" t="n"/>
    </row>
    <row r="193">
      <c r="A193" s="16" t="inlineStr">
        <is>
          <t>2.4</t>
        </is>
      </c>
      <c r="B193" s="16" t="inlineStr">
        <is>
          <t>2.4d</t>
        </is>
      </c>
      <c r="C193" s="16" t="inlineStr">
        <is>
          <t>KF-M02S</t>
        </is>
      </c>
      <c r="D193" s="16" t="inlineStr">
        <is>
          <t>KF-M02S-B4</t>
        </is>
      </c>
      <c r="E193" s="16" t="inlineStr">
        <is>
          <t>B05-B4</t>
        </is>
      </c>
      <c r="F193" s="16" t="inlineStr">
        <is>
          <t>eps_reg</t>
        </is>
      </c>
      <c r="G193" s="16" t="inlineStr">
        <is>
          <t>fijo</t>
        </is>
      </c>
      <c r="H193" s="16" t="inlineStr">
        <is>
          <t>0.75</t>
        </is>
      </c>
      <c r="I193" s="16" t="n"/>
      <c r="J193" s="16" t="n"/>
      <c r="K193" s="16" t="n"/>
      <c r="L193" s="16" t="inlineStr">
        <is>
          <t>sí</t>
        </is>
      </c>
      <c r="M193" s="16" t="inlineStr">
        <is>
          <t>–</t>
        </is>
      </c>
      <c r="N193" s="16" t="inlineStr">
        <is>
          <t>no</t>
        </is>
      </c>
      <c r="O193" s="16" t="n"/>
    </row>
    <row r="194">
      <c r="A194" s="16" t="inlineStr">
        <is>
          <t>2.4</t>
        </is>
      </c>
      <c r="B194" s="16" t="inlineStr">
        <is>
          <t>2.4d</t>
        </is>
      </c>
      <c r="C194" s="16" t="inlineStr">
        <is>
          <t>KF-M02S</t>
        </is>
      </c>
      <c r="D194" s="16" t="inlineStr">
        <is>
          <t>KF-M02S-B4</t>
        </is>
      </c>
      <c r="E194" s="16" t="inlineStr">
        <is>
          <t>B05-B4</t>
        </is>
      </c>
      <c r="F194" s="16" t="inlineStr">
        <is>
          <t>eps_cond</t>
        </is>
      </c>
      <c r="G194" s="16" t="inlineStr">
        <is>
          <t>fijo</t>
        </is>
      </c>
      <c r="H194" s="16" t="inlineStr">
        <is>
          <t>0.8</t>
        </is>
      </c>
      <c r="I194" s="16" t="n"/>
      <c r="J194" s="16" t="n"/>
      <c r="K194" s="16" t="n"/>
      <c r="L194" s="16" t="inlineStr">
        <is>
          <t>sí</t>
        </is>
      </c>
      <c r="M194" s="16" t="inlineStr">
        <is>
          <t>–</t>
        </is>
      </c>
      <c r="N194" s="16" t="inlineStr">
        <is>
          <t>no</t>
        </is>
      </c>
      <c r="O194" s="16" t="n"/>
    </row>
    <row r="195">
      <c r="A195" s="16" t="inlineStr">
        <is>
          <t>2.4</t>
        </is>
      </c>
      <c r="B195" s="16" t="inlineStr">
        <is>
          <t>2.4d</t>
        </is>
      </c>
      <c r="C195" s="16" t="inlineStr">
        <is>
          <t>KF-M02S</t>
        </is>
      </c>
      <c r="D195" s="16" t="inlineStr">
        <is>
          <t>KF-M02S-B4</t>
        </is>
      </c>
      <c r="E195" s="16" t="inlineStr">
        <is>
          <t>B05-B4</t>
        </is>
      </c>
      <c r="F195" s="16" t="inlineStr">
        <is>
          <t>T_amb_diseno</t>
        </is>
      </c>
      <c r="G195" s="16" t="inlineStr">
        <is>
          <t>barrido</t>
        </is>
      </c>
      <c r="H195" s="16" t="n"/>
      <c r="I195" s="16" t="n">
        <v>278.15</v>
      </c>
      <c r="J195" s="16" t="n">
        <v>300.032917</v>
      </c>
      <c r="K195" s="16" t="n">
        <v>5</v>
      </c>
      <c r="L195" s="16" t="n"/>
      <c r="M195" s="16" t="inlineStr">
        <is>
          <t>K</t>
        </is>
      </c>
      <c r="N195" s="16" t="inlineStr">
        <is>
          <t>no</t>
        </is>
      </c>
      <c r="O195" s="16" t="n"/>
    </row>
    <row r="196">
      <c r="A196" s="16" t="inlineStr">
        <is>
          <t>2.4</t>
        </is>
      </c>
      <c r="B196" s="16" t="inlineStr">
        <is>
          <t>2.4d</t>
        </is>
      </c>
      <c r="C196" s="16" t="inlineStr">
        <is>
          <t>KF-M02S</t>
        </is>
      </c>
      <c r="D196" s="16" t="inlineStr">
        <is>
          <t>KF-M02S-B4</t>
        </is>
      </c>
      <c r="E196" s="16" t="inlineStr">
        <is>
          <t>B05-B4</t>
        </is>
      </c>
      <c r="F196" s="16" t="inlineStr">
        <is>
          <t>motor</t>
        </is>
      </c>
      <c r="G196" s="16" t="inlineStr">
        <is>
          <t>fijo</t>
        </is>
      </c>
      <c r="H196" s="16" t="inlineStr">
        <is>
          <t>teqp</t>
        </is>
      </c>
      <c r="I196" s="16" t="n"/>
      <c r="J196" s="16" t="n"/>
      <c r="K196" s="16" t="n"/>
      <c r="L196" s="16" t="n"/>
      <c r="M196" s="16" t="inlineStr">
        <is>
          <t>–</t>
        </is>
      </c>
      <c r="N196" s="16" t="inlineStr">
        <is>
          <t>no</t>
        </is>
      </c>
      <c r="O196" s="16" t="n"/>
    </row>
    <row r="197">
      <c r="A197" s="16" t="inlineStr">
        <is>
          <t>3.1</t>
        </is>
      </c>
      <c r="B197" s="16" t="inlineStr">
        <is>
          <t>3.1</t>
        </is>
      </c>
      <c r="C197" s="16" t="inlineStr">
        <is>
          <t>KF-M03</t>
        </is>
      </c>
      <c r="D197" s="16" t="inlineStr">
        <is>
          <t>KF-M03</t>
        </is>
      </c>
      <c r="E197" s="16" t="inlineStr">
        <is>
          <t>B06</t>
        </is>
      </c>
      <c r="F197" s="16" t="inlineStr">
        <is>
          <t>T_fuente</t>
        </is>
      </c>
      <c r="G197" s="16" t="inlineStr">
        <is>
          <t>barrido</t>
        </is>
      </c>
      <c r="H197" s="16" t="n"/>
      <c r="I197" s="16" t="n">
        <v>340</v>
      </c>
      <c r="J197" s="16" t="n">
        <v>623.15</v>
      </c>
      <c r="K197" s="16" t="n">
        <v>18</v>
      </c>
      <c r="L197" s="16" t="n"/>
      <c r="M197" s="16" t="inlineStr">
        <is>
          <t>K</t>
        </is>
      </c>
      <c r="N197" s="16" t="inlineStr">
        <is>
          <t>sí</t>
        </is>
      </c>
      <c r="O197" s="16" t="n">
        <v>403</v>
      </c>
    </row>
    <row r="198">
      <c r="A198" s="16" t="inlineStr">
        <is>
          <t>3.1</t>
        </is>
      </c>
      <c r="B198" s="16" t="inlineStr">
        <is>
          <t>3.1</t>
        </is>
      </c>
      <c r="C198" s="16" t="inlineStr">
        <is>
          <t>KF-M03</t>
        </is>
      </c>
      <c r="D198" s="16" t="inlineStr">
        <is>
          <t>KF-M03</t>
        </is>
      </c>
      <c r="E198" s="16" t="inlineStr">
        <is>
          <t>B06</t>
        </is>
      </c>
      <c r="F198" s="16" t="inlineStr">
        <is>
          <t>T_sumidero</t>
        </is>
      </c>
      <c r="G198" s="16" t="inlineStr">
        <is>
          <t>barrido</t>
        </is>
      </c>
      <c r="H198" s="16" t="n"/>
      <c r="I198" s="16" t="n">
        <v>283.15</v>
      </c>
      <c r="J198" s="16" t="n">
        <v>303.55</v>
      </c>
      <c r="K198" s="16" t="n">
        <v>18</v>
      </c>
      <c r="L198" s="16" t="n"/>
      <c r="M198" s="16" t="inlineStr">
        <is>
          <t>K</t>
        </is>
      </c>
      <c r="N198" s="16" t="inlineStr">
        <is>
          <t>sí</t>
        </is>
      </c>
      <c r="O198" s="16" t="n">
        <v>300.033</v>
      </c>
    </row>
    <row r="199">
      <c r="A199" s="16" t="inlineStr">
        <is>
          <t>3.1</t>
        </is>
      </c>
      <c r="B199" s="16" t="inlineStr">
        <is>
          <t>3.1</t>
        </is>
      </c>
      <c r="C199" s="16" t="inlineStr">
        <is>
          <t>KF-M03</t>
        </is>
      </c>
      <c r="D199" s="16" t="inlineStr">
        <is>
          <t>KF-M03</t>
        </is>
      </c>
      <c r="E199" s="16" t="inlineStr">
        <is>
          <t>B06</t>
        </is>
      </c>
      <c r="F199" s="16" t="inlineStr">
        <is>
          <t>P_alta</t>
        </is>
      </c>
      <c r="G199" s="16" t="inlineStr">
        <is>
          <t>barrido</t>
        </is>
      </c>
      <c r="H199" s="16" t="n"/>
      <c r="I199" s="16" t="n">
        <v>1000</v>
      </c>
      <c r="J199" s="16" t="n">
        <v>10000</v>
      </c>
      <c r="K199" s="16" t="n">
        <v>18</v>
      </c>
      <c r="L199" s="16" t="n"/>
      <c r="M199" s="16" t="inlineStr">
        <is>
          <t>kPa</t>
        </is>
      </c>
      <c r="N199" s="16" t="inlineStr">
        <is>
          <t>sí</t>
        </is>
      </c>
      <c r="O199" s="16" t="n">
        <v>3000</v>
      </c>
    </row>
    <row r="200">
      <c r="A200" s="16" t="inlineStr">
        <is>
          <t>3.1</t>
        </is>
      </c>
      <c r="B200" s="16" t="inlineStr">
        <is>
          <t>3.1</t>
        </is>
      </c>
      <c r="C200" s="16" t="inlineStr">
        <is>
          <t>KF-M03</t>
        </is>
      </c>
      <c r="D200" s="16" t="inlineStr">
        <is>
          <t>KF-M03</t>
        </is>
      </c>
      <c r="E200" s="16" t="inlineStr">
        <is>
          <t>B06</t>
        </is>
      </c>
      <c r="F200" s="16" t="inlineStr">
        <is>
          <t>P_baja</t>
        </is>
      </c>
      <c r="G200" s="16" t="inlineStr">
        <is>
          <t>barrido</t>
        </is>
      </c>
      <c r="H200" s="16" t="n"/>
      <c r="I200" s="16" t="n">
        <v>150</v>
      </c>
      <c r="J200" s="16" t="n">
        <v>1500</v>
      </c>
      <c r="K200" s="16" t="n">
        <v>18</v>
      </c>
      <c r="L200" s="16" t="n"/>
      <c r="M200" s="16" t="inlineStr">
        <is>
          <t>kPa</t>
        </is>
      </c>
      <c r="N200" s="16" t="inlineStr">
        <is>
          <t>sí</t>
        </is>
      </c>
      <c r="O200" s="16" t="n">
        <v>563.636</v>
      </c>
    </row>
    <row r="201">
      <c r="A201" s="16" t="inlineStr">
        <is>
          <t>3.1</t>
        </is>
      </c>
      <c r="B201" s="16" t="inlineStr">
        <is>
          <t>3.1</t>
        </is>
      </c>
      <c r="C201" s="16" t="inlineStr">
        <is>
          <t>KF-M03</t>
        </is>
      </c>
      <c r="D201" s="16" t="inlineStr">
        <is>
          <t>KF-M03</t>
        </is>
      </c>
      <c r="E201" s="16" t="inlineStr">
        <is>
          <t>B06</t>
        </is>
      </c>
      <c r="F201" s="16" t="inlineStr">
        <is>
          <t>x_b</t>
        </is>
      </c>
      <c r="G201" s="16" t="inlineStr">
        <is>
          <t>barrido</t>
        </is>
      </c>
      <c r="H201" s="16" t="n"/>
      <c r="I201" s="16" t="n">
        <v>0.3</v>
      </c>
      <c r="J201" s="16" t="n">
        <v>0.9000000000000001</v>
      </c>
      <c r="K201" s="16" t="n">
        <v>18</v>
      </c>
      <c r="L201" s="16" t="n"/>
      <c r="M201" s="16" t="inlineStr">
        <is>
          <t>–</t>
        </is>
      </c>
      <c r="N201" s="16" t="inlineStr">
        <is>
          <t>sí</t>
        </is>
      </c>
      <c r="O201" s="16" t="n">
        <v>0.5</v>
      </c>
    </row>
    <row r="202">
      <c r="A202" s="16" t="inlineStr">
        <is>
          <t>3.1</t>
        </is>
      </c>
      <c r="B202" s="16" t="inlineStr">
        <is>
          <t>3.1</t>
        </is>
      </c>
      <c r="C202" s="16" t="inlineStr">
        <is>
          <t>KF-M03</t>
        </is>
      </c>
      <c r="D202" s="16" t="inlineStr">
        <is>
          <t>KF-M03</t>
        </is>
      </c>
      <c r="E202" s="16" t="inlineStr">
        <is>
          <t>B06</t>
        </is>
      </c>
      <c r="F202" s="16" t="inlineStr">
        <is>
          <t>m_b</t>
        </is>
      </c>
      <c r="G202" s="16" t="inlineStr">
        <is>
          <t>fijo</t>
        </is>
      </c>
      <c r="H202" s="16" t="inlineStr">
        <is>
          <t>1.0</t>
        </is>
      </c>
      <c r="I202" s="16" t="n"/>
      <c r="J202" s="16" t="n"/>
      <c r="K202" s="16" t="n"/>
      <c r="L202" s="16" t="inlineStr">
        <is>
          <t>sí</t>
        </is>
      </c>
      <c r="M202" s="16" t="inlineStr">
        <is>
          <t>kg/s</t>
        </is>
      </c>
      <c r="N202" s="16" t="inlineStr">
        <is>
          <t>sí</t>
        </is>
      </c>
      <c r="O202" s="16" t="n">
        <v>1</v>
      </c>
    </row>
    <row r="203">
      <c r="A203" s="16" t="inlineStr">
        <is>
          <t>3.1</t>
        </is>
      </c>
      <c r="B203" s="16" t="inlineStr">
        <is>
          <t>3.1</t>
        </is>
      </c>
      <c r="C203" s="16" t="inlineStr">
        <is>
          <t>KF-M03</t>
        </is>
      </c>
      <c r="D203" s="16" t="inlineStr">
        <is>
          <t>KF-M03</t>
        </is>
      </c>
      <c r="E203" s="16" t="inlineStr">
        <is>
          <t>B06</t>
        </is>
      </c>
      <c r="F203" s="16" t="inlineStr">
        <is>
          <t>eta_t</t>
        </is>
      </c>
      <c r="G203" s="16" t="inlineStr">
        <is>
          <t>barrido</t>
        </is>
      </c>
      <c r="H203" s="16" t="n"/>
      <c r="I203" s="16" t="n">
        <v>0.4</v>
      </c>
      <c r="J203" s="16" t="n">
        <v>0.95</v>
      </c>
      <c r="K203" s="16" t="n">
        <v>18</v>
      </c>
      <c r="L203" s="16" t="n"/>
      <c r="M203" s="16" t="inlineStr">
        <is>
          <t>–</t>
        </is>
      </c>
      <c r="N203" s="16" t="inlineStr">
        <is>
          <t>sí</t>
        </is>
      </c>
      <c r="O203" s="16" t="n">
        <v>0.85</v>
      </c>
    </row>
    <row r="204">
      <c r="A204" s="16" t="inlineStr">
        <is>
          <t>3.1</t>
        </is>
      </c>
      <c r="B204" s="16" t="inlineStr">
        <is>
          <t>3.1</t>
        </is>
      </c>
      <c r="C204" s="16" t="inlineStr">
        <is>
          <t>KF-M03</t>
        </is>
      </c>
      <c r="D204" s="16" t="inlineStr">
        <is>
          <t>KF-M03</t>
        </is>
      </c>
      <c r="E204" s="16" t="inlineStr">
        <is>
          <t>B06</t>
        </is>
      </c>
      <c r="F204" s="16" t="inlineStr">
        <is>
          <t>eta_p</t>
        </is>
      </c>
      <c r="G204" s="16" t="inlineStr">
        <is>
          <t>barrido</t>
        </is>
      </c>
      <c r="H204" s="16" t="n"/>
      <c r="I204" s="16" t="n">
        <v>0.4</v>
      </c>
      <c r="J204" s="16" t="n">
        <v>0.95</v>
      </c>
      <c r="K204" s="16" t="n">
        <v>18</v>
      </c>
      <c r="L204" s="16" t="n"/>
      <c r="M204" s="16" t="inlineStr">
        <is>
          <t>–</t>
        </is>
      </c>
      <c r="N204" s="16" t="inlineStr">
        <is>
          <t>sí</t>
        </is>
      </c>
      <c r="O204" s="16" t="n">
        <v>0.75</v>
      </c>
    </row>
    <row r="205">
      <c r="A205" s="16" t="inlineStr">
        <is>
          <t>3.1</t>
        </is>
      </c>
      <c r="B205" s="16" t="inlineStr">
        <is>
          <t>3.1</t>
        </is>
      </c>
      <c r="C205" s="16" t="inlineStr">
        <is>
          <t>KF-M03</t>
        </is>
      </c>
      <c r="D205" s="16" t="inlineStr">
        <is>
          <t>KF-M03</t>
        </is>
      </c>
      <c r="E205" s="16" t="inlineStr">
        <is>
          <t>B06</t>
        </is>
      </c>
      <c r="F205" s="16" t="inlineStr">
        <is>
          <t>eps_hrvg</t>
        </is>
      </c>
      <c r="G205" s="16" t="inlineStr">
        <is>
          <t>barrido</t>
        </is>
      </c>
      <c r="H205" s="16" t="n"/>
      <c r="I205" s="16" t="n">
        <v>0.4</v>
      </c>
      <c r="J205" s="16" t="n">
        <v>0.95</v>
      </c>
      <c r="K205" s="16" t="n">
        <v>18</v>
      </c>
      <c r="L205" s="16" t="n"/>
      <c r="M205" s="16" t="inlineStr">
        <is>
          <t>–</t>
        </is>
      </c>
      <c r="N205" s="16" t="inlineStr">
        <is>
          <t>sí</t>
        </is>
      </c>
      <c r="O205" s="16" t="n">
        <v>0.85</v>
      </c>
    </row>
    <row r="206">
      <c r="A206" s="16" t="inlineStr">
        <is>
          <t>3.1</t>
        </is>
      </c>
      <c r="B206" s="16" t="inlineStr">
        <is>
          <t>3.1</t>
        </is>
      </c>
      <c r="C206" s="16" t="inlineStr">
        <is>
          <t>KF-M03</t>
        </is>
      </c>
      <c r="D206" s="16" t="inlineStr">
        <is>
          <t>KF-M03</t>
        </is>
      </c>
      <c r="E206" s="16" t="inlineStr">
        <is>
          <t>B06</t>
        </is>
      </c>
      <c r="F206" s="16" t="inlineStr">
        <is>
          <t>eps_reg</t>
        </is>
      </c>
      <c r="G206" s="16" t="inlineStr">
        <is>
          <t>barrido</t>
        </is>
      </c>
      <c r="H206" s="16" t="n"/>
      <c r="I206" s="16" t="n">
        <v>0.4</v>
      </c>
      <c r="J206" s="16" t="n">
        <v>0.95</v>
      </c>
      <c r="K206" s="16" t="n">
        <v>18</v>
      </c>
      <c r="L206" s="16" t="n"/>
      <c r="M206" s="16" t="inlineStr">
        <is>
          <t>–</t>
        </is>
      </c>
      <c r="N206" s="16" t="inlineStr">
        <is>
          <t>sí</t>
        </is>
      </c>
      <c r="O206" s="16" t="n">
        <v>0.75</v>
      </c>
    </row>
    <row r="207">
      <c r="A207" s="16" t="inlineStr">
        <is>
          <t>3.1</t>
        </is>
      </c>
      <c r="B207" s="16" t="inlineStr">
        <is>
          <t>3.1</t>
        </is>
      </c>
      <c r="C207" s="16" t="inlineStr">
        <is>
          <t>KF-M03</t>
        </is>
      </c>
      <c r="D207" s="16" t="inlineStr">
        <is>
          <t>KF-M03</t>
        </is>
      </c>
      <c r="E207" s="16" t="inlineStr">
        <is>
          <t>B06</t>
        </is>
      </c>
      <c r="F207" s="16" t="inlineStr">
        <is>
          <t>eps_cond</t>
        </is>
      </c>
      <c r="G207" s="16" t="inlineStr">
        <is>
          <t>barrido</t>
        </is>
      </c>
      <c r="H207" s="16" t="n"/>
      <c r="I207" s="16" t="n">
        <v>0.4</v>
      </c>
      <c r="J207" s="16" t="n">
        <v>0.95</v>
      </c>
      <c r="K207" s="16" t="n">
        <v>18</v>
      </c>
      <c r="L207" s="16" t="n"/>
      <c r="M207" s="16" t="inlineStr">
        <is>
          <t>–</t>
        </is>
      </c>
      <c r="N207" s="16" t="inlineStr">
        <is>
          <t>sí</t>
        </is>
      </c>
      <c r="O207" s="16" t="n">
        <v>0.8</v>
      </c>
    </row>
    <row r="208">
      <c r="A208" s="16" t="inlineStr">
        <is>
          <t>3.1</t>
        </is>
      </c>
      <c r="B208" s="16" t="inlineStr">
        <is>
          <t>3.1</t>
        </is>
      </c>
      <c r="C208" s="16" t="inlineStr">
        <is>
          <t>KF-M03</t>
        </is>
      </c>
      <c r="D208" s="16" t="inlineStr">
        <is>
          <t>KF-M03</t>
        </is>
      </c>
      <c r="E208" s="16" t="inlineStr">
        <is>
          <t>B06</t>
        </is>
      </c>
      <c r="F208" s="16" t="inlineStr">
        <is>
          <t>T_amb_diseno</t>
        </is>
      </c>
      <c r="G208" s="16" t="inlineStr">
        <is>
          <t>sin_dato</t>
        </is>
      </c>
      <c r="H208" s="16" t="n"/>
      <c r="I208" s="16" t="n"/>
      <c r="J208" s="16" t="n"/>
      <c r="K208" s="16" t="n"/>
      <c r="L208" s="16" t="n"/>
      <c r="M208" s="16" t="inlineStr">
        <is>
          <t>K</t>
        </is>
      </c>
      <c r="N208" s="16" t="inlineStr">
        <is>
          <t>sí</t>
        </is>
      </c>
      <c r="O208" s="16" t="n"/>
    </row>
    <row r="209">
      <c r="A209" s="16" t="inlineStr">
        <is>
          <t>3.1</t>
        </is>
      </c>
      <c r="B209" s="16" t="inlineStr">
        <is>
          <t>3.1</t>
        </is>
      </c>
      <c r="C209" s="16" t="inlineStr">
        <is>
          <t>KF-M03</t>
        </is>
      </c>
      <c r="D209" s="16" t="inlineStr">
        <is>
          <t>KF-M03</t>
        </is>
      </c>
      <c r="E209" s="16" t="inlineStr">
        <is>
          <t>B06</t>
        </is>
      </c>
      <c r="F209" s="16" t="inlineStr">
        <is>
          <t>motor</t>
        </is>
      </c>
      <c r="G209" s="16" t="inlineStr">
        <is>
          <t>fijo</t>
        </is>
      </c>
      <c r="H209" s="16" t="inlineStr">
        <is>
          <t>teqp</t>
        </is>
      </c>
      <c r="I209" s="16" t="n"/>
      <c r="J209" s="16" t="n"/>
      <c r="K209" s="16" t="n"/>
      <c r="L209" s="16" t="n"/>
      <c r="M209" s="16" t="inlineStr">
        <is>
          <t>–</t>
        </is>
      </c>
      <c r="N209" s="16" t="inlineStr">
        <is>
          <t>sí</t>
        </is>
      </c>
      <c r="O209" s="16" t="n"/>
    </row>
    <row r="210">
      <c r="A210" s="16" t="inlineStr">
        <is>
          <t>3.2</t>
        </is>
      </c>
      <c r="B210" s="16" t="inlineStr">
        <is>
          <t>3.2</t>
        </is>
      </c>
      <c r="C210" s="16" t="inlineStr">
        <is>
          <t>KF-M04</t>
        </is>
      </c>
      <c r="D210" s="16" t="inlineStr">
        <is>
          <t>KF-M04</t>
        </is>
      </c>
      <c r="E210" s="16" t="inlineStr">
        <is>
          <t>B07</t>
        </is>
      </c>
      <c r="F210" s="16" t="inlineStr">
        <is>
          <t>T_fuente</t>
        </is>
      </c>
      <c r="G210" s="16" t="inlineStr">
        <is>
          <t>barrido</t>
        </is>
      </c>
      <c r="H210" s="16" t="n"/>
      <c r="I210" s="16" t="n">
        <v>380.2299239934842</v>
      </c>
      <c r="J210" s="16" t="n">
        <v>499.9409497806105</v>
      </c>
      <c r="K210" s="16" t="n">
        <v>300</v>
      </c>
      <c r="L210" s="16" t="n"/>
      <c r="M210" s="16" t="inlineStr">
        <is>
          <t>K</t>
        </is>
      </c>
      <c r="N210" s="16" t="inlineStr">
        <is>
          <t>no</t>
        </is>
      </c>
      <c r="O210" s="16" t="n"/>
    </row>
    <row r="211">
      <c r="A211" s="16" t="inlineStr">
        <is>
          <t>3.2</t>
        </is>
      </c>
      <c r="B211" s="16" t="inlineStr">
        <is>
          <t>3.2</t>
        </is>
      </c>
      <c r="C211" s="16" t="inlineStr">
        <is>
          <t>KF-M04</t>
        </is>
      </c>
      <c r="D211" s="16" t="inlineStr">
        <is>
          <t>KF-M04</t>
        </is>
      </c>
      <c r="E211" s="16" t="inlineStr">
        <is>
          <t>B07</t>
        </is>
      </c>
      <c r="F211" s="16" t="inlineStr">
        <is>
          <t>T_sumidero</t>
        </is>
      </c>
      <c r="G211" s="16" t="inlineStr">
        <is>
          <t>barrido</t>
        </is>
      </c>
      <c r="H211" s="16" t="n"/>
      <c r="I211" s="16" t="n">
        <v>278.1924523468124</v>
      </c>
      <c r="J211" s="16" t="n">
        <v>303.5403871532023</v>
      </c>
      <c r="K211" s="16" t="n">
        <v>300</v>
      </c>
      <c r="L211" s="16" t="n"/>
      <c r="M211" s="16" t="inlineStr">
        <is>
          <t>K</t>
        </is>
      </c>
      <c r="N211" s="16" t="inlineStr">
        <is>
          <t>no</t>
        </is>
      </c>
      <c r="O211" s="16" t="n"/>
    </row>
    <row r="212">
      <c r="A212" s="16" t="inlineStr">
        <is>
          <t>3.2</t>
        </is>
      </c>
      <c r="B212" s="16" t="inlineStr">
        <is>
          <t>3.2</t>
        </is>
      </c>
      <c r="C212" s="16" t="inlineStr">
        <is>
          <t>KF-M04</t>
        </is>
      </c>
      <c r="D212" s="16" t="inlineStr">
        <is>
          <t>KF-M04</t>
        </is>
      </c>
      <c r="E212" s="16" t="inlineStr">
        <is>
          <t>B07</t>
        </is>
      </c>
      <c r="F212" s="16" t="inlineStr">
        <is>
          <t>P_alta</t>
        </is>
      </c>
      <c r="G212" s="16" t="inlineStr">
        <is>
          <t>barrido</t>
        </is>
      </c>
      <c r="H212" s="16" t="n"/>
      <c r="I212" s="16" t="n">
        <v>2005.39507330362</v>
      </c>
      <c r="J212" s="16" t="n">
        <v>4991.234240886499</v>
      </c>
      <c r="K212" s="16" t="n">
        <v>300</v>
      </c>
      <c r="L212" s="16" t="n"/>
      <c r="M212" s="16" t="inlineStr">
        <is>
          <t>kPa</t>
        </is>
      </c>
      <c r="N212" s="16" t="inlineStr">
        <is>
          <t>no</t>
        </is>
      </c>
      <c r="O212" s="16" t="n"/>
    </row>
    <row r="213">
      <c r="A213" s="16" t="inlineStr">
        <is>
          <t>3.2</t>
        </is>
      </c>
      <c r="B213" s="16" t="inlineStr">
        <is>
          <t>3.2</t>
        </is>
      </c>
      <c r="C213" s="16" t="inlineStr">
        <is>
          <t>KF-M04</t>
        </is>
      </c>
      <c r="D213" s="16" t="inlineStr">
        <is>
          <t>KF-M04</t>
        </is>
      </c>
      <c r="E213" s="16" t="inlineStr">
        <is>
          <t>B07</t>
        </is>
      </c>
      <c r="F213" s="16" t="inlineStr">
        <is>
          <t>P_baja</t>
        </is>
      </c>
      <c r="G213" s="16" t="inlineStr">
        <is>
          <t>barrido</t>
        </is>
      </c>
      <c r="H213" s="16" t="n"/>
      <c r="I213" s="16" t="n">
        <v>302.9492299975095</v>
      </c>
      <c r="J213" s="16" t="n">
        <v>1497.996504854212</v>
      </c>
      <c r="K213" s="16" t="n">
        <v>300</v>
      </c>
      <c r="L213" s="16" t="n"/>
      <c r="M213" s="16" t="inlineStr">
        <is>
          <t>kPa</t>
        </is>
      </c>
      <c r="N213" s="16" t="inlineStr">
        <is>
          <t>no</t>
        </is>
      </c>
      <c r="O213" s="16" t="n"/>
    </row>
    <row r="214">
      <c r="A214" s="16" t="inlineStr">
        <is>
          <t>3.2</t>
        </is>
      </c>
      <c r="B214" s="16" t="inlineStr">
        <is>
          <t>3.2</t>
        </is>
      </c>
      <c r="C214" s="16" t="inlineStr">
        <is>
          <t>KF-M04</t>
        </is>
      </c>
      <c r="D214" s="16" t="inlineStr">
        <is>
          <t>KF-M04</t>
        </is>
      </c>
      <c r="E214" s="16" t="inlineStr">
        <is>
          <t>B07</t>
        </is>
      </c>
      <c r="F214" s="16" t="inlineStr">
        <is>
          <t>x_b</t>
        </is>
      </c>
      <c r="G214" s="16" t="inlineStr">
        <is>
          <t>barrido</t>
        </is>
      </c>
      <c r="H214" s="16" t="n"/>
      <c r="I214" s="16" t="n">
        <v>0.5001699597327433</v>
      </c>
      <c r="J214" s="16" t="n">
        <v>0.8499842557356352</v>
      </c>
      <c r="K214" s="16" t="n">
        <v>300</v>
      </c>
      <c r="L214" s="16" t="n"/>
      <c r="M214" s="16" t="inlineStr">
        <is>
          <t>–</t>
        </is>
      </c>
      <c r="N214" s="16" t="inlineStr">
        <is>
          <t>no</t>
        </is>
      </c>
      <c r="O214" s="16" t="n"/>
    </row>
    <row r="215">
      <c r="A215" s="16" t="inlineStr">
        <is>
          <t>3.2</t>
        </is>
      </c>
      <c r="B215" s="16" t="inlineStr">
        <is>
          <t>3.2</t>
        </is>
      </c>
      <c r="C215" s="16" t="inlineStr">
        <is>
          <t>KF-M04</t>
        </is>
      </c>
      <c r="D215" s="16" t="inlineStr">
        <is>
          <t>KF-M04</t>
        </is>
      </c>
      <c r="E215" s="16" t="inlineStr">
        <is>
          <t>B07</t>
        </is>
      </c>
      <c r="F215" s="16" t="inlineStr">
        <is>
          <t>m_b</t>
        </is>
      </c>
      <c r="G215" s="16" t="inlineStr">
        <is>
          <t>fijo</t>
        </is>
      </c>
      <c r="H215" s="16" t="inlineStr">
        <is>
          <t>1.0</t>
        </is>
      </c>
      <c r="I215" s="16" t="n"/>
      <c r="J215" s="16" t="n"/>
      <c r="K215" s="16" t="n"/>
      <c r="L215" s="16" t="inlineStr">
        <is>
          <t>sí</t>
        </is>
      </c>
      <c r="M215" s="16" t="inlineStr">
        <is>
          <t>kg/s</t>
        </is>
      </c>
      <c r="N215" s="16" t="inlineStr">
        <is>
          <t>no</t>
        </is>
      </c>
      <c r="O215" s="16" t="n"/>
    </row>
    <row r="216">
      <c r="A216" s="16" t="inlineStr">
        <is>
          <t>3.2</t>
        </is>
      </c>
      <c r="B216" s="16" t="inlineStr">
        <is>
          <t>3.2</t>
        </is>
      </c>
      <c r="C216" s="16" t="inlineStr">
        <is>
          <t>KF-M04</t>
        </is>
      </c>
      <c r="D216" s="16" t="inlineStr">
        <is>
          <t>KF-M04</t>
        </is>
      </c>
      <c r="E216" s="16" t="inlineStr">
        <is>
          <t>B07</t>
        </is>
      </c>
      <c r="F216" s="16" t="inlineStr">
        <is>
          <t>eta_t</t>
        </is>
      </c>
      <c r="G216" s="16" t="inlineStr">
        <is>
          <t>barrido</t>
        </is>
      </c>
      <c r="H216" s="16" t="n"/>
      <c r="I216" s="16" t="n">
        <v>0.7504107235067567</v>
      </c>
      <c r="J216" s="16" t="n">
        <v>0.9195008171186314</v>
      </c>
      <c r="K216" s="16" t="n">
        <v>300</v>
      </c>
      <c r="L216" s="16" t="n"/>
      <c r="M216" s="16" t="inlineStr">
        <is>
          <t>–</t>
        </is>
      </c>
      <c r="N216" s="16" t="inlineStr">
        <is>
          <t>no</t>
        </is>
      </c>
      <c r="O216" s="16" t="n"/>
    </row>
    <row r="217">
      <c r="A217" s="16" t="inlineStr">
        <is>
          <t>3.2</t>
        </is>
      </c>
      <c r="B217" s="16" t="inlineStr">
        <is>
          <t>3.2</t>
        </is>
      </c>
      <c r="C217" s="16" t="inlineStr">
        <is>
          <t>KF-M04</t>
        </is>
      </c>
      <c r="D217" s="16" t="inlineStr">
        <is>
          <t>KF-M04</t>
        </is>
      </c>
      <c r="E217" s="16" t="inlineStr">
        <is>
          <t>B07</t>
        </is>
      </c>
      <c r="F217" s="16" t="inlineStr">
        <is>
          <t>eta_p</t>
        </is>
      </c>
      <c r="G217" s="16" t="inlineStr">
        <is>
          <t>barrido</t>
        </is>
      </c>
      <c r="H217" s="16" t="n"/>
      <c r="I217" s="16" t="n">
        <v>0.6503998185550797</v>
      </c>
      <c r="J217" s="16" t="n">
        <v>0.8991941805626534</v>
      </c>
      <c r="K217" s="16" t="n">
        <v>300</v>
      </c>
      <c r="L217" s="16" t="n"/>
      <c r="M217" s="16" t="inlineStr">
        <is>
          <t>–</t>
        </is>
      </c>
      <c r="N217" s="16" t="inlineStr">
        <is>
          <t>no</t>
        </is>
      </c>
      <c r="O217" s="16" t="n"/>
    </row>
    <row r="218">
      <c r="A218" s="16" t="inlineStr">
        <is>
          <t>3.2</t>
        </is>
      </c>
      <c r="B218" s="16" t="inlineStr">
        <is>
          <t>3.2</t>
        </is>
      </c>
      <c r="C218" s="16" t="inlineStr">
        <is>
          <t>KF-M04</t>
        </is>
      </c>
      <c r="D218" s="16" t="inlineStr">
        <is>
          <t>KF-M04</t>
        </is>
      </c>
      <c r="E218" s="16" t="inlineStr">
        <is>
          <t>B07</t>
        </is>
      </c>
      <c r="F218" s="16" t="inlineStr">
        <is>
          <t>eps_hrvg</t>
        </is>
      </c>
      <c r="G218" s="16" t="inlineStr">
        <is>
          <t>barrido</t>
        </is>
      </c>
      <c r="H218" s="16" t="n"/>
      <c r="I218" s="16" t="n">
        <v>0.6000388554667904</v>
      </c>
      <c r="J218" s="16" t="n">
        <v>0.9490472752785788</v>
      </c>
      <c r="K218" s="16" t="n">
        <v>300</v>
      </c>
      <c r="L218" s="16" t="n"/>
      <c r="M218" s="16" t="inlineStr">
        <is>
          <t>–</t>
        </is>
      </c>
      <c r="N218" s="16" t="inlineStr">
        <is>
          <t>no</t>
        </is>
      </c>
      <c r="O218" s="16" t="n"/>
    </row>
    <row r="219">
      <c r="A219" s="16" t="inlineStr">
        <is>
          <t>3.2</t>
        </is>
      </c>
      <c r="B219" s="16" t="inlineStr">
        <is>
          <t>3.2</t>
        </is>
      </c>
      <c r="C219" s="16" t="inlineStr">
        <is>
          <t>KF-M04</t>
        </is>
      </c>
      <c r="D219" s="16" t="inlineStr">
        <is>
          <t>KF-M04</t>
        </is>
      </c>
      <c r="E219" s="16" t="inlineStr">
        <is>
          <t>B07</t>
        </is>
      </c>
      <c r="F219" s="16" t="inlineStr">
        <is>
          <t>eps_reg</t>
        </is>
      </c>
      <c r="G219" s="16" t="inlineStr">
        <is>
          <t>barrido</t>
        </is>
      </c>
      <c r="H219" s="16" t="n"/>
      <c r="I219" s="16" t="n">
        <v>0.6009731187310379</v>
      </c>
      <c r="J219" s="16" t="n">
        <v>0.9499651907206834</v>
      </c>
      <c r="K219" s="16" t="n">
        <v>300</v>
      </c>
      <c r="L219" s="16" t="n"/>
      <c r="M219" s="16" t="inlineStr">
        <is>
          <t>–</t>
        </is>
      </c>
      <c r="N219" s="16" t="inlineStr">
        <is>
          <t>no</t>
        </is>
      </c>
      <c r="O219" s="16" t="n"/>
    </row>
    <row r="220">
      <c r="A220" s="16" t="inlineStr">
        <is>
          <t>3.2</t>
        </is>
      </c>
      <c r="B220" s="16" t="inlineStr">
        <is>
          <t>3.2</t>
        </is>
      </c>
      <c r="C220" s="16" t="inlineStr">
        <is>
          <t>KF-M04</t>
        </is>
      </c>
      <c r="D220" s="16" t="inlineStr">
        <is>
          <t>KF-M04</t>
        </is>
      </c>
      <c r="E220" s="16" t="inlineStr">
        <is>
          <t>B07</t>
        </is>
      </c>
      <c r="F220" s="16" t="inlineStr">
        <is>
          <t>eps_cond</t>
        </is>
      </c>
      <c r="G220" s="16" t="inlineStr">
        <is>
          <t>barrido</t>
        </is>
      </c>
      <c r="H220" s="16" t="n"/>
      <c r="I220" s="16" t="n">
        <v>0.7001363230117509</v>
      </c>
      <c r="J220" s="16" t="n">
        <v>0.9494093711927932</v>
      </c>
      <c r="K220" s="16" t="n">
        <v>300</v>
      </c>
      <c r="L220" s="16" t="n"/>
      <c r="M220" s="16" t="inlineStr">
        <is>
          <t>–</t>
        </is>
      </c>
      <c r="N220" s="16" t="inlineStr">
        <is>
          <t>no</t>
        </is>
      </c>
      <c r="O220" s="16" t="n"/>
    </row>
    <row r="221">
      <c r="A221" s="16" t="inlineStr">
        <is>
          <t>3.2</t>
        </is>
      </c>
      <c r="B221" s="16" t="inlineStr">
        <is>
          <t>3.2</t>
        </is>
      </c>
      <c r="C221" s="16" t="inlineStr">
        <is>
          <t>KF-M04</t>
        </is>
      </c>
      <c r="D221" s="16" t="inlineStr">
        <is>
          <t>KF-M04</t>
        </is>
      </c>
      <c r="E221" s="16" t="inlineStr">
        <is>
          <t>B07</t>
        </is>
      </c>
      <c r="F221" s="16" t="inlineStr">
        <is>
          <t>T_amb_diseno</t>
        </is>
      </c>
      <c r="G221" s="16" t="inlineStr">
        <is>
          <t>barrido</t>
        </is>
      </c>
      <c r="H221" s="16" t="n"/>
      <c r="I221" s="16" t="n">
        <v>278.1924523468124</v>
      </c>
      <c r="J221" s="16" t="n">
        <v>303.5403871532023</v>
      </c>
      <c r="K221" s="16" t="n">
        <v>300</v>
      </c>
      <c r="L221" s="16" t="n"/>
      <c r="M221" s="16" t="inlineStr">
        <is>
          <t>K</t>
        </is>
      </c>
      <c r="N221" s="16" t="inlineStr">
        <is>
          <t>no</t>
        </is>
      </c>
      <c r="O221" s="16" t="n"/>
    </row>
    <row r="222">
      <c r="A222" s="16" t="inlineStr">
        <is>
          <t>3.2</t>
        </is>
      </c>
      <c r="B222" s="16" t="inlineStr">
        <is>
          <t>3.2</t>
        </is>
      </c>
      <c r="C222" s="16" t="inlineStr">
        <is>
          <t>KF-M04</t>
        </is>
      </c>
      <c r="D222" s="16" t="inlineStr">
        <is>
          <t>KF-M04</t>
        </is>
      </c>
      <c r="E222" s="16" t="inlineStr">
        <is>
          <t>B07</t>
        </is>
      </c>
      <c r="F222" s="16" t="inlineStr">
        <is>
          <t>motor</t>
        </is>
      </c>
      <c r="G222" s="16" t="inlineStr">
        <is>
          <t>fijo</t>
        </is>
      </c>
      <c r="H222" s="16" t="inlineStr">
        <is>
          <t>teqp</t>
        </is>
      </c>
      <c r="I222" s="16" t="n"/>
      <c r="J222" s="16" t="n"/>
      <c r="K222" s="16" t="n"/>
      <c r="L222" s="16" t="n"/>
      <c r="M222" s="16" t="inlineStr">
        <is>
          <t>–</t>
        </is>
      </c>
      <c r="N222" s="16" t="inlineStr">
        <is>
          <t>no</t>
        </is>
      </c>
      <c r="O222" s="16" t="n"/>
    </row>
    <row r="223">
      <c r="A223" s="16" t="inlineStr">
        <is>
          <t>3.2</t>
        </is>
      </c>
      <c r="B223" s="16" t="inlineStr">
        <is>
          <t>3.2</t>
        </is>
      </c>
      <c r="C223" s="16" t="inlineStr">
        <is>
          <t>KF-M04b</t>
        </is>
      </c>
      <c r="D223" s="16" t="inlineStr">
        <is>
          <t>KF-M04b</t>
        </is>
      </c>
      <c r="E223" s="16" t="inlineStr">
        <is>
          <t>B07</t>
        </is>
      </c>
      <c r="F223" s="16" t="inlineStr">
        <is>
          <t>T_fuente</t>
        </is>
      </c>
      <c r="G223" s="16" t="inlineStr">
        <is>
          <t>barrido</t>
        </is>
      </c>
      <c r="H223" s="16" t="n"/>
      <c r="I223" s="16" t="n">
        <v>380.2941850161218</v>
      </c>
      <c r="J223" s="16" t="n">
        <v>499.532816399556</v>
      </c>
      <c r="K223" s="16" t="n">
        <v>200</v>
      </c>
      <c r="L223" s="16" t="n"/>
      <c r="M223" s="16" t="inlineStr">
        <is>
          <t>K</t>
        </is>
      </c>
      <c r="N223" s="16" t="inlineStr">
        <is>
          <t>no</t>
        </is>
      </c>
      <c r="O223" s="16" t="n"/>
    </row>
    <row r="224">
      <c r="A224" s="16" t="inlineStr">
        <is>
          <t>3.2</t>
        </is>
      </c>
      <c r="B224" s="16" t="inlineStr">
        <is>
          <t>3.2</t>
        </is>
      </c>
      <c r="C224" s="16" t="inlineStr">
        <is>
          <t>KF-M04b</t>
        </is>
      </c>
      <c r="D224" s="16" t="inlineStr">
        <is>
          <t>KF-M04b</t>
        </is>
      </c>
      <c r="E224" s="16" t="inlineStr">
        <is>
          <t>B07</t>
        </is>
      </c>
      <c r="F224" s="16" t="inlineStr">
        <is>
          <t>T_sumidero</t>
        </is>
      </c>
      <c r="G224" s="16" t="inlineStr">
        <is>
          <t>barrido</t>
        </is>
      </c>
      <c r="H224" s="16" t="n"/>
      <c r="I224" s="16" t="n">
        <v>278.1833892862896</v>
      </c>
      <c r="J224" s="16" t="n">
        <v>303.4699946370026</v>
      </c>
      <c r="K224" s="16" t="n">
        <v>200</v>
      </c>
      <c r="L224" s="16" t="n"/>
      <c r="M224" s="16" t="inlineStr">
        <is>
          <t>K</t>
        </is>
      </c>
      <c r="N224" s="16" t="inlineStr">
        <is>
          <t>no</t>
        </is>
      </c>
      <c r="O224" s="16" t="n"/>
    </row>
    <row r="225">
      <c r="A225" s="16" t="inlineStr">
        <is>
          <t>3.2</t>
        </is>
      </c>
      <c r="B225" s="16" t="inlineStr">
        <is>
          <t>3.2</t>
        </is>
      </c>
      <c r="C225" s="16" t="inlineStr">
        <is>
          <t>KF-M04b</t>
        </is>
      </c>
      <c r="D225" s="16" t="inlineStr">
        <is>
          <t>KF-M04b</t>
        </is>
      </c>
      <c r="E225" s="16" t="inlineStr">
        <is>
          <t>B07</t>
        </is>
      </c>
      <c r="F225" s="16" t="inlineStr">
        <is>
          <t>P_alta</t>
        </is>
      </c>
      <c r="G225" s="16" t="inlineStr">
        <is>
          <t>barrido</t>
        </is>
      </c>
      <c r="H225" s="16" t="n"/>
      <c r="I225" s="16" t="n">
        <v>2009.945022568368</v>
      </c>
      <c r="J225" s="16" t="n">
        <v>4986.563595799034</v>
      </c>
      <c r="K225" s="16" t="n">
        <v>200</v>
      </c>
      <c r="L225" s="16" t="n"/>
      <c r="M225" s="16" t="inlineStr">
        <is>
          <t>kPa</t>
        </is>
      </c>
      <c r="N225" s="16" t="inlineStr">
        <is>
          <t>no</t>
        </is>
      </c>
      <c r="O225" s="16" t="n"/>
    </row>
    <row r="226">
      <c r="A226" s="16" t="inlineStr">
        <is>
          <t>3.2</t>
        </is>
      </c>
      <c r="B226" s="16" t="inlineStr">
        <is>
          <t>3.2</t>
        </is>
      </c>
      <c r="C226" s="16" t="inlineStr">
        <is>
          <t>KF-M04b</t>
        </is>
      </c>
      <c r="D226" s="16" t="inlineStr">
        <is>
          <t>KF-M04b</t>
        </is>
      </c>
      <c r="E226" s="16" t="inlineStr">
        <is>
          <t>B07</t>
        </is>
      </c>
      <c r="F226" s="16" t="inlineStr">
        <is>
          <t>P_baja</t>
        </is>
      </c>
      <c r="G226" s="16" t="inlineStr">
        <is>
          <t>barrido</t>
        </is>
      </c>
      <c r="H226" s="16" t="n"/>
      <c r="I226" s="16" t="n">
        <v>304.7409728147116</v>
      </c>
      <c r="J226" s="16" t="n">
        <v>1497.185787006144</v>
      </c>
      <c r="K226" s="16" t="n">
        <v>200</v>
      </c>
      <c r="L226" s="16" t="n"/>
      <c r="M226" s="16" t="inlineStr">
        <is>
          <t>kPa</t>
        </is>
      </c>
      <c r="N226" s="16" t="inlineStr">
        <is>
          <t>no</t>
        </is>
      </c>
      <c r="O226" s="16" t="n"/>
    </row>
    <row r="227">
      <c r="A227" s="16" t="inlineStr">
        <is>
          <t>3.2</t>
        </is>
      </c>
      <c r="B227" s="16" t="inlineStr">
        <is>
          <t>3.2</t>
        </is>
      </c>
      <c r="C227" s="16" t="inlineStr">
        <is>
          <t>KF-M04b</t>
        </is>
      </c>
      <c r="D227" s="16" t="inlineStr">
        <is>
          <t>KF-M04b</t>
        </is>
      </c>
      <c r="E227" s="16" t="inlineStr">
        <is>
          <t>B07</t>
        </is>
      </c>
      <c r="F227" s="16" t="inlineStr">
        <is>
          <t>x_b</t>
        </is>
      </c>
      <c r="G227" s="16" t="inlineStr">
        <is>
          <t>barrido</t>
        </is>
      </c>
      <c r="H227" s="16" t="n"/>
      <c r="I227" s="16" t="n">
        <v>0.5001154359957808</v>
      </c>
      <c r="J227" s="16" t="n">
        <v>0.8487947732025092</v>
      </c>
      <c r="K227" s="16" t="n">
        <v>200</v>
      </c>
      <c r="L227" s="16" t="n"/>
      <c r="M227" s="16" t="inlineStr">
        <is>
          <t>–</t>
        </is>
      </c>
      <c r="N227" s="16" t="inlineStr">
        <is>
          <t>no</t>
        </is>
      </c>
      <c r="O227" s="16" t="n"/>
    </row>
    <row r="228">
      <c r="A228" s="16" t="inlineStr">
        <is>
          <t>3.2</t>
        </is>
      </c>
      <c r="B228" s="16" t="inlineStr">
        <is>
          <t>3.2</t>
        </is>
      </c>
      <c r="C228" s="16" t="inlineStr">
        <is>
          <t>KF-M04b</t>
        </is>
      </c>
      <c r="D228" s="16" t="inlineStr">
        <is>
          <t>KF-M04b</t>
        </is>
      </c>
      <c r="E228" s="16" t="inlineStr">
        <is>
          <t>B07</t>
        </is>
      </c>
      <c r="F228" s="16" t="inlineStr">
        <is>
          <t>m_b</t>
        </is>
      </c>
      <c r="G228" s="16" t="inlineStr">
        <is>
          <t>fijo</t>
        </is>
      </c>
      <c r="H228" s="16" t="inlineStr">
        <is>
          <t>1.0</t>
        </is>
      </c>
      <c r="I228" s="16" t="n"/>
      <c r="J228" s="16" t="n"/>
      <c r="K228" s="16" t="n"/>
      <c r="L228" s="16" t="inlineStr">
        <is>
          <t>sí</t>
        </is>
      </c>
      <c r="M228" s="16" t="inlineStr">
        <is>
          <t>kg/s</t>
        </is>
      </c>
      <c r="N228" s="16" t="inlineStr">
        <is>
          <t>no</t>
        </is>
      </c>
      <c r="O228" s="16" t="n"/>
    </row>
    <row r="229">
      <c r="A229" s="16" t="inlineStr">
        <is>
          <t>3.2</t>
        </is>
      </c>
      <c r="B229" s="16" t="inlineStr">
        <is>
          <t>3.2</t>
        </is>
      </c>
      <c r="C229" s="16" t="inlineStr">
        <is>
          <t>KF-M04b</t>
        </is>
      </c>
      <c r="D229" s="16" t="inlineStr">
        <is>
          <t>KF-M04b</t>
        </is>
      </c>
      <c r="E229" s="16" t="inlineStr">
        <is>
          <t>B07</t>
        </is>
      </c>
      <c r="F229" s="16" t="inlineStr">
        <is>
          <t>eta_t</t>
        </is>
      </c>
      <c r="G229" s="16" t="inlineStr">
        <is>
          <t>barrido</t>
        </is>
      </c>
      <c r="H229" s="16" t="n"/>
      <c r="I229" s="16" t="n">
        <v>0.750357913451607</v>
      </c>
      <c r="J229" s="16" t="n">
        <v>0.9196877844293536</v>
      </c>
      <c r="K229" s="16" t="n">
        <v>200</v>
      </c>
      <c r="L229" s="16" t="n"/>
      <c r="M229" s="16" t="inlineStr">
        <is>
          <t>–</t>
        </is>
      </c>
      <c r="N229" s="16" t="inlineStr">
        <is>
          <t>no</t>
        </is>
      </c>
      <c r="O229" s="16" t="n"/>
    </row>
    <row r="230">
      <c r="A230" s="16" t="inlineStr">
        <is>
          <t>3.2</t>
        </is>
      </c>
      <c r="B230" s="16" t="inlineStr">
        <is>
          <t>3.2</t>
        </is>
      </c>
      <c r="C230" s="16" t="inlineStr">
        <is>
          <t>KF-M04b</t>
        </is>
      </c>
      <c r="D230" s="16" t="inlineStr">
        <is>
          <t>KF-M04b</t>
        </is>
      </c>
      <c r="E230" s="16" t="inlineStr">
        <is>
          <t>B07</t>
        </is>
      </c>
      <c r="F230" s="16" t="inlineStr">
        <is>
          <t>eta_p</t>
        </is>
      </c>
      <c r="G230" s="16" t="inlineStr">
        <is>
          <t>barrido</t>
        </is>
      </c>
      <c r="H230" s="16" t="n"/>
      <c r="I230" s="16" t="n">
        <v>0.6509198421423426</v>
      </c>
      <c r="J230" s="16" t="n">
        <v>0.8988577009576548</v>
      </c>
      <c r="K230" s="16" t="n">
        <v>200</v>
      </c>
      <c r="L230" s="16" t="n"/>
      <c r="M230" s="16" t="inlineStr">
        <is>
          <t>–</t>
        </is>
      </c>
      <c r="N230" s="16" t="inlineStr">
        <is>
          <t>no</t>
        </is>
      </c>
      <c r="O230" s="16" t="n"/>
    </row>
    <row r="231">
      <c r="A231" s="16" t="inlineStr">
        <is>
          <t>3.2</t>
        </is>
      </c>
      <c r="B231" s="16" t="inlineStr">
        <is>
          <t>3.2</t>
        </is>
      </c>
      <c r="C231" s="16" t="inlineStr">
        <is>
          <t>KF-M04b</t>
        </is>
      </c>
      <c r="D231" s="16" t="inlineStr">
        <is>
          <t>KF-M04b</t>
        </is>
      </c>
      <c r="E231" s="16" t="inlineStr">
        <is>
          <t>B07</t>
        </is>
      </c>
      <c r="F231" s="16" t="inlineStr">
        <is>
          <t>eps_hrvg</t>
        </is>
      </c>
      <c r="G231" s="16" t="inlineStr">
        <is>
          <t>barrido</t>
        </is>
      </c>
      <c r="H231" s="16" t="n"/>
      <c r="I231" s="16" t="n">
        <v>0.6006051881075212</v>
      </c>
      <c r="J231" s="16" t="n">
        <v>0.9483393081883889</v>
      </c>
      <c r="K231" s="16" t="n">
        <v>200</v>
      </c>
      <c r="L231" s="16" t="n"/>
      <c r="M231" s="16" t="inlineStr">
        <is>
          <t>–</t>
        </is>
      </c>
      <c r="N231" s="16" t="inlineStr">
        <is>
          <t>no</t>
        </is>
      </c>
      <c r="O231" s="16" t="n"/>
    </row>
    <row r="232">
      <c r="A232" s="16" t="inlineStr">
        <is>
          <t>3.2</t>
        </is>
      </c>
      <c r="B232" s="16" t="inlineStr">
        <is>
          <t>3.2</t>
        </is>
      </c>
      <c r="C232" s="16" t="inlineStr">
        <is>
          <t>KF-M04b</t>
        </is>
      </c>
      <c r="D232" s="16" t="inlineStr">
        <is>
          <t>KF-M04b</t>
        </is>
      </c>
      <c r="E232" s="16" t="inlineStr">
        <is>
          <t>B07</t>
        </is>
      </c>
      <c r="F232" s="16" t="inlineStr">
        <is>
          <t>eps_reg</t>
        </is>
      </c>
      <c r="G232" s="16" t="inlineStr">
        <is>
          <t>barrido</t>
        </is>
      </c>
      <c r="H232" s="16" t="n"/>
      <c r="I232" s="16" t="n">
        <v>0.6016718962259631</v>
      </c>
      <c r="J232" s="16" t="n">
        <v>0.949157232950084</v>
      </c>
      <c r="K232" s="16" t="n">
        <v>200</v>
      </c>
      <c r="L232" s="16" t="n"/>
      <c r="M232" s="16" t="inlineStr">
        <is>
          <t>–</t>
        </is>
      </c>
      <c r="N232" s="16" t="inlineStr">
        <is>
          <t>no</t>
        </is>
      </c>
      <c r="O232" s="16" t="n"/>
    </row>
    <row r="233">
      <c r="A233" s="16" t="inlineStr">
        <is>
          <t>3.2</t>
        </is>
      </c>
      <c r="B233" s="16" t="inlineStr">
        <is>
          <t>3.2</t>
        </is>
      </c>
      <c r="C233" s="16" t="inlineStr">
        <is>
          <t>KF-M04b</t>
        </is>
      </c>
      <c r="D233" s="16" t="inlineStr">
        <is>
          <t>KF-M04b</t>
        </is>
      </c>
      <c r="E233" s="16" t="inlineStr">
        <is>
          <t>B07</t>
        </is>
      </c>
      <c r="F233" s="16" t="inlineStr">
        <is>
          <t>eps_cond</t>
        </is>
      </c>
      <c r="G233" s="16" t="inlineStr">
        <is>
          <t>barrido</t>
        </is>
      </c>
      <c r="H233" s="16" t="n"/>
      <c r="I233" s="16" t="n">
        <v>0.7005181018253995</v>
      </c>
      <c r="J233" s="16" t="n">
        <v>0.9492133935902464</v>
      </c>
      <c r="K233" s="16" t="n">
        <v>200</v>
      </c>
      <c r="L233" s="16" t="n"/>
      <c r="M233" s="16" t="inlineStr">
        <is>
          <t>–</t>
        </is>
      </c>
      <c r="N233" s="16" t="inlineStr">
        <is>
          <t>no</t>
        </is>
      </c>
      <c r="O233" s="16" t="n"/>
    </row>
    <row r="234">
      <c r="A234" s="16" t="inlineStr">
        <is>
          <t>3.2</t>
        </is>
      </c>
      <c r="B234" s="16" t="inlineStr">
        <is>
          <t>3.2</t>
        </is>
      </c>
      <c r="C234" s="16" t="inlineStr">
        <is>
          <t>KF-M04b</t>
        </is>
      </c>
      <c r="D234" s="16" t="inlineStr">
        <is>
          <t>KF-M04b</t>
        </is>
      </c>
      <c r="E234" s="16" t="inlineStr">
        <is>
          <t>B07</t>
        </is>
      </c>
      <c r="F234" s="16" t="inlineStr">
        <is>
          <t>T_amb_diseno</t>
        </is>
      </c>
      <c r="G234" s="16" t="inlineStr">
        <is>
          <t>barrido</t>
        </is>
      </c>
      <c r="H234" s="16" t="n"/>
      <c r="I234" s="16" t="n">
        <v>278.1833892862896</v>
      </c>
      <c r="J234" s="16" t="n">
        <v>303.4699946370026</v>
      </c>
      <c r="K234" s="16" t="n">
        <v>200</v>
      </c>
      <c r="L234" s="16" t="n"/>
      <c r="M234" s="16" t="inlineStr">
        <is>
          <t>K</t>
        </is>
      </c>
      <c r="N234" s="16" t="inlineStr">
        <is>
          <t>no</t>
        </is>
      </c>
      <c r="O234" s="16" t="n"/>
    </row>
    <row r="235">
      <c r="A235" s="16" t="inlineStr">
        <is>
          <t>3.2</t>
        </is>
      </c>
      <c r="B235" s="16" t="inlineStr">
        <is>
          <t>3.2</t>
        </is>
      </c>
      <c r="C235" s="16" t="inlineStr">
        <is>
          <t>KF-M04b</t>
        </is>
      </c>
      <c r="D235" s="16" t="inlineStr">
        <is>
          <t>KF-M04b</t>
        </is>
      </c>
      <c r="E235" s="16" t="inlineStr">
        <is>
          <t>B07</t>
        </is>
      </c>
      <c r="F235" s="16" t="inlineStr">
        <is>
          <t>motor</t>
        </is>
      </c>
      <c r="G235" s="16" t="inlineStr">
        <is>
          <t>fijo</t>
        </is>
      </c>
      <c r="H235" s="16" t="inlineStr">
        <is>
          <t>teqp</t>
        </is>
      </c>
      <c r="I235" s="16" t="n"/>
      <c r="J235" s="16" t="n"/>
      <c r="K235" s="16" t="n"/>
      <c r="L235" s="16" t="n"/>
      <c r="M235" s="16" t="inlineStr">
        <is>
          <t>–</t>
        </is>
      </c>
      <c r="N235" s="16" t="inlineStr">
        <is>
          <t>no</t>
        </is>
      </c>
      <c r="O235" s="16" t="n"/>
    </row>
    <row r="236">
      <c r="A236" s="16" t="inlineStr">
        <is>
          <t>3.3</t>
        </is>
      </c>
      <c r="B236" s="16" t="inlineStr">
        <is>
          <t>3.3</t>
        </is>
      </c>
      <c r="C236" s="16" t="inlineStr">
        <is>
          <t>KF-M04c</t>
        </is>
      </c>
      <c r="D236" s="16" t="inlineStr">
        <is>
          <t>KF-M04c</t>
        </is>
      </c>
      <c r="E236" s="16" t="inlineStr">
        <is>
          <t>B08</t>
        </is>
      </c>
      <c r="F236" s="16" t="inlineStr">
        <is>
          <t>T_fuente</t>
        </is>
      </c>
      <c r="G236" s="16" t="inlineStr">
        <is>
          <t>barrido</t>
        </is>
      </c>
      <c r="H236" s="16" t="n"/>
      <c r="I236" s="16" t="n">
        <v>380.7459167352396</v>
      </c>
      <c r="J236" s="16" t="n">
        <v>499.8267958529154</v>
      </c>
      <c r="K236" s="16" t="n">
        <v>150</v>
      </c>
      <c r="L236" s="16" t="n"/>
      <c r="M236" s="16" t="inlineStr">
        <is>
          <t>K</t>
        </is>
      </c>
      <c r="N236" s="16" t="inlineStr">
        <is>
          <t>no</t>
        </is>
      </c>
      <c r="O236" s="16" t="n"/>
    </row>
    <row r="237">
      <c r="A237" s="16" t="inlineStr">
        <is>
          <t>3.3</t>
        </is>
      </c>
      <c r="B237" s="16" t="inlineStr">
        <is>
          <t>3.3</t>
        </is>
      </c>
      <c r="C237" s="16" t="inlineStr">
        <is>
          <t>KF-M04c</t>
        </is>
      </c>
      <c r="D237" s="16" t="inlineStr">
        <is>
          <t>KF-M04c</t>
        </is>
      </c>
      <c r="E237" s="16" t="inlineStr">
        <is>
          <t>B08</t>
        </is>
      </c>
      <c r="F237" s="16" t="inlineStr">
        <is>
          <t>T_sumidero</t>
        </is>
      </c>
      <c r="G237" s="16" t="inlineStr">
        <is>
          <t>barrido</t>
        </is>
      </c>
      <c r="H237" s="16" t="n"/>
      <c r="I237" s="16" t="n">
        <v>278.2778372787966</v>
      </c>
      <c r="J237" s="16" t="n">
        <v>303.4104516690429</v>
      </c>
      <c r="K237" s="16" t="n">
        <v>150</v>
      </c>
      <c r="L237" s="16" t="n"/>
      <c r="M237" s="16" t="inlineStr">
        <is>
          <t>K</t>
        </is>
      </c>
      <c r="N237" s="16" t="inlineStr">
        <is>
          <t>no</t>
        </is>
      </c>
      <c r="O237" s="16" t="n"/>
    </row>
    <row r="238">
      <c r="A238" s="16" t="inlineStr">
        <is>
          <t>3.3</t>
        </is>
      </c>
      <c r="B238" s="16" t="inlineStr">
        <is>
          <t>3.3</t>
        </is>
      </c>
      <c r="C238" s="16" t="inlineStr">
        <is>
          <t>KF-M04c</t>
        </is>
      </c>
      <c r="D238" s="16" t="inlineStr">
        <is>
          <t>KF-M04c</t>
        </is>
      </c>
      <c r="E238" s="16" t="inlineStr">
        <is>
          <t>B08</t>
        </is>
      </c>
      <c r="F238" s="16" t="inlineStr">
        <is>
          <t>P_alta</t>
        </is>
      </c>
      <c r="G238" s="16" t="inlineStr">
        <is>
          <t>barrido</t>
        </is>
      </c>
      <c r="H238" s="16" t="n"/>
      <c r="I238" s="16" t="n">
        <v>2015.693408162781</v>
      </c>
      <c r="J238" s="16" t="n">
        <v>4995.757833850567</v>
      </c>
      <c r="K238" s="16" t="n">
        <v>150</v>
      </c>
      <c r="L238" s="16" t="n"/>
      <c r="M238" s="16" t="inlineStr">
        <is>
          <t>kPa</t>
        </is>
      </c>
      <c r="N238" s="16" t="inlineStr">
        <is>
          <t>no</t>
        </is>
      </c>
      <c r="O238" s="16" t="n"/>
    </row>
    <row r="239">
      <c r="A239" s="16" t="inlineStr">
        <is>
          <t>3.3</t>
        </is>
      </c>
      <c r="B239" s="16" t="inlineStr">
        <is>
          <t>3.3</t>
        </is>
      </c>
      <c r="C239" s="16" t="inlineStr">
        <is>
          <t>KF-M04c</t>
        </is>
      </c>
      <c r="D239" s="16" t="inlineStr">
        <is>
          <t>KF-M04c</t>
        </is>
      </c>
      <c r="E239" s="16" t="inlineStr">
        <is>
          <t>B08</t>
        </is>
      </c>
      <c r="F239" s="16" t="inlineStr">
        <is>
          <t>P_baja</t>
        </is>
      </c>
      <c r="G239" s="16" t="inlineStr">
        <is>
          <t>barrido</t>
        </is>
      </c>
      <c r="H239" s="16" t="n"/>
      <c r="I239" s="16" t="n">
        <v>1501.262154912899</v>
      </c>
      <c r="J239" s="16" t="n">
        <v>2494.528668778344</v>
      </c>
      <c r="K239" s="16" t="n">
        <v>150</v>
      </c>
      <c r="L239" s="16" t="n"/>
      <c r="M239" s="16" t="inlineStr">
        <is>
          <t>kPa</t>
        </is>
      </c>
      <c r="N239" s="16" t="inlineStr">
        <is>
          <t>no</t>
        </is>
      </c>
      <c r="O239" s="16" t="n"/>
    </row>
    <row r="240">
      <c r="A240" s="16" t="inlineStr">
        <is>
          <t>3.3</t>
        </is>
      </c>
      <c r="B240" s="16" t="inlineStr">
        <is>
          <t>3.3</t>
        </is>
      </c>
      <c r="C240" s="16" t="inlineStr">
        <is>
          <t>KF-M04c</t>
        </is>
      </c>
      <c r="D240" s="16" t="inlineStr">
        <is>
          <t>KF-M04c</t>
        </is>
      </c>
      <c r="E240" s="16" t="inlineStr">
        <is>
          <t>B08</t>
        </is>
      </c>
      <c r="F240" s="16" t="inlineStr">
        <is>
          <t>x_b</t>
        </is>
      </c>
      <c r="G240" s="16" t="inlineStr">
        <is>
          <t>barrido</t>
        </is>
      </c>
      <c r="H240" s="16" t="n"/>
      <c r="I240" s="16" t="n">
        <v>0.5023013643797095</v>
      </c>
      <c r="J240" s="16" t="n">
        <v>0.8495267494469412</v>
      </c>
      <c r="K240" s="16" t="n">
        <v>150</v>
      </c>
      <c r="L240" s="16" t="n"/>
      <c r="M240" s="16" t="inlineStr">
        <is>
          <t>–</t>
        </is>
      </c>
      <c r="N240" s="16" t="inlineStr">
        <is>
          <t>no</t>
        </is>
      </c>
      <c r="O240" s="16" t="n"/>
    </row>
    <row r="241">
      <c r="A241" s="16" t="inlineStr">
        <is>
          <t>3.3</t>
        </is>
      </c>
      <c r="B241" s="16" t="inlineStr">
        <is>
          <t>3.3</t>
        </is>
      </c>
      <c r="C241" s="16" t="inlineStr">
        <is>
          <t>KF-M04c</t>
        </is>
      </c>
      <c r="D241" s="16" t="inlineStr">
        <is>
          <t>KF-M04c</t>
        </is>
      </c>
      <c r="E241" s="16" t="inlineStr">
        <is>
          <t>B08</t>
        </is>
      </c>
      <c r="F241" s="16" t="inlineStr">
        <is>
          <t>m_b</t>
        </is>
      </c>
      <c r="G241" s="16" t="inlineStr">
        <is>
          <t>fijo</t>
        </is>
      </c>
      <c r="H241" s="16" t="inlineStr">
        <is>
          <t>1.0</t>
        </is>
      </c>
      <c r="I241" s="16" t="n"/>
      <c r="J241" s="16" t="n"/>
      <c r="K241" s="16" t="n"/>
      <c r="L241" s="16" t="inlineStr">
        <is>
          <t>sí</t>
        </is>
      </c>
      <c r="M241" s="16" t="inlineStr">
        <is>
          <t>kg/s</t>
        </is>
      </c>
      <c r="N241" s="16" t="inlineStr">
        <is>
          <t>no</t>
        </is>
      </c>
      <c r="O241" s="16" t="n"/>
    </row>
    <row r="242">
      <c r="A242" s="16" t="inlineStr">
        <is>
          <t>3.3</t>
        </is>
      </c>
      <c r="B242" s="16" t="inlineStr">
        <is>
          <t>3.3</t>
        </is>
      </c>
      <c r="C242" s="16" t="inlineStr">
        <is>
          <t>KF-M04c</t>
        </is>
      </c>
      <c r="D242" s="16" t="inlineStr">
        <is>
          <t>KF-M04c</t>
        </is>
      </c>
      <c r="E242" s="16" t="inlineStr">
        <is>
          <t>B08</t>
        </is>
      </c>
      <c r="F242" s="16" t="inlineStr">
        <is>
          <t>eta_t</t>
        </is>
      </c>
      <c r="G242" s="16" t="inlineStr">
        <is>
          <t>barrido</t>
        </is>
      </c>
      <c r="H242" s="16" t="n"/>
      <c r="I242" s="16" t="n">
        <v>0.7510274163891214</v>
      </c>
      <c r="J242" s="16" t="n">
        <v>0.91918779398715</v>
      </c>
      <c r="K242" s="16" t="n">
        <v>150</v>
      </c>
      <c r="L242" s="16" t="n"/>
      <c r="M242" s="16" t="inlineStr">
        <is>
          <t>–</t>
        </is>
      </c>
      <c r="N242" s="16" t="inlineStr">
        <is>
          <t>no</t>
        </is>
      </c>
      <c r="O242" s="16" t="n"/>
    </row>
    <row r="243">
      <c r="A243" s="16" t="inlineStr">
        <is>
          <t>3.3</t>
        </is>
      </c>
      <c r="B243" s="16" t="inlineStr">
        <is>
          <t>3.3</t>
        </is>
      </c>
      <c r="C243" s="16" t="inlineStr">
        <is>
          <t>KF-M04c</t>
        </is>
      </c>
      <c r="D243" s="16" t="inlineStr">
        <is>
          <t>KF-M04c</t>
        </is>
      </c>
      <c r="E243" s="16" t="inlineStr">
        <is>
          <t>B08</t>
        </is>
      </c>
      <c r="F243" s="16" t="inlineStr">
        <is>
          <t>eta_p</t>
        </is>
      </c>
      <c r="G243" s="16" t="inlineStr">
        <is>
          <t>barrido</t>
        </is>
      </c>
      <c r="H243" s="16" t="n"/>
      <c r="I243" s="16" t="n">
        <v>0.6511939813202473</v>
      </c>
      <c r="J243" s="16" t="n">
        <v>0.8998799369937472</v>
      </c>
      <c r="K243" s="16" t="n">
        <v>150</v>
      </c>
      <c r="L243" s="16" t="n"/>
      <c r="M243" s="16" t="inlineStr">
        <is>
          <t>–</t>
        </is>
      </c>
      <c r="N243" s="16" t="inlineStr">
        <is>
          <t>no</t>
        </is>
      </c>
      <c r="O243" s="16" t="n"/>
    </row>
    <row r="244">
      <c r="A244" s="16" t="inlineStr">
        <is>
          <t>3.3</t>
        </is>
      </c>
      <c r="B244" s="16" t="inlineStr">
        <is>
          <t>3.3</t>
        </is>
      </c>
      <c r="C244" s="16" t="inlineStr">
        <is>
          <t>KF-M04c</t>
        </is>
      </c>
      <c r="D244" s="16" t="inlineStr">
        <is>
          <t>KF-M04c</t>
        </is>
      </c>
      <c r="E244" s="16" t="inlineStr">
        <is>
          <t>B08</t>
        </is>
      </c>
      <c r="F244" s="16" t="inlineStr">
        <is>
          <t>eps_hrvg</t>
        </is>
      </c>
      <c r="G244" s="16" t="inlineStr">
        <is>
          <t>barrido</t>
        </is>
      </c>
      <c r="H244" s="16" t="n"/>
      <c r="I244" s="16" t="n">
        <v>0.600893267934215</v>
      </c>
      <c r="J244" s="16" t="n">
        <v>0.9484546250086781</v>
      </c>
      <c r="K244" s="16" t="n">
        <v>150</v>
      </c>
      <c r="L244" s="16" t="n"/>
      <c r="M244" s="16" t="inlineStr">
        <is>
          <t>–</t>
        </is>
      </c>
      <c r="N244" s="16" t="inlineStr">
        <is>
          <t>no</t>
        </is>
      </c>
      <c r="O244" s="16" t="n"/>
    </row>
    <row r="245">
      <c r="A245" s="16" t="inlineStr">
        <is>
          <t>3.3</t>
        </is>
      </c>
      <c r="B245" s="16" t="inlineStr">
        <is>
          <t>3.3</t>
        </is>
      </c>
      <c r="C245" s="16" t="inlineStr">
        <is>
          <t>KF-M04c</t>
        </is>
      </c>
      <c r="D245" s="16" t="inlineStr">
        <is>
          <t>KF-M04c</t>
        </is>
      </c>
      <c r="E245" s="16" t="inlineStr">
        <is>
          <t>B08</t>
        </is>
      </c>
      <c r="F245" s="16" t="inlineStr">
        <is>
          <t>eps_reg</t>
        </is>
      </c>
      <c r="G245" s="16" t="inlineStr">
        <is>
          <t>barrido</t>
        </is>
      </c>
      <c r="H245" s="16" t="n"/>
      <c r="I245" s="16" t="n">
        <v>0.6003819808842435</v>
      </c>
      <c r="J245" s="16" t="n">
        <v>0.9476963824473652</v>
      </c>
      <c r="K245" s="16" t="n">
        <v>150</v>
      </c>
      <c r="L245" s="16" t="n"/>
      <c r="M245" s="16" t="inlineStr">
        <is>
          <t>–</t>
        </is>
      </c>
      <c r="N245" s="16" t="inlineStr">
        <is>
          <t>no</t>
        </is>
      </c>
      <c r="O245" s="16" t="n"/>
    </row>
    <row r="246">
      <c r="A246" s="16" t="inlineStr">
        <is>
          <t>3.3</t>
        </is>
      </c>
      <c r="B246" s="16" t="inlineStr">
        <is>
          <t>3.3</t>
        </is>
      </c>
      <c r="C246" s="16" t="inlineStr">
        <is>
          <t>KF-M04c</t>
        </is>
      </c>
      <c r="D246" s="16" t="inlineStr">
        <is>
          <t>KF-M04c</t>
        </is>
      </c>
      <c r="E246" s="16" t="inlineStr">
        <is>
          <t>B08</t>
        </is>
      </c>
      <c r="F246" s="16" t="inlineStr">
        <is>
          <t>eps_cond</t>
        </is>
      </c>
      <c r="G246" s="16" t="inlineStr">
        <is>
          <t>barrido</t>
        </is>
      </c>
      <c r="H246" s="16" t="n"/>
      <c r="I246" s="16" t="n">
        <v>0.7000421402095042</v>
      </c>
      <c r="J246" s="16" t="n">
        <v>0.9496647513346532</v>
      </c>
      <c r="K246" s="16" t="n">
        <v>150</v>
      </c>
      <c r="L246" s="16" t="n"/>
      <c r="M246" s="16" t="inlineStr">
        <is>
          <t>–</t>
        </is>
      </c>
      <c r="N246" s="16" t="inlineStr">
        <is>
          <t>no</t>
        </is>
      </c>
      <c r="O246" s="16" t="n"/>
    </row>
    <row r="247">
      <c r="A247" s="16" t="inlineStr">
        <is>
          <t>3.3</t>
        </is>
      </c>
      <c r="B247" s="16" t="inlineStr">
        <is>
          <t>3.3</t>
        </is>
      </c>
      <c r="C247" s="16" t="inlineStr">
        <is>
          <t>KF-M04c</t>
        </is>
      </c>
      <c r="D247" s="16" t="inlineStr">
        <is>
          <t>KF-M04c</t>
        </is>
      </c>
      <c r="E247" s="16" t="inlineStr">
        <is>
          <t>B08</t>
        </is>
      </c>
      <c r="F247" s="16" t="inlineStr">
        <is>
          <t>T_amb_diseno</t>
        </is>
      </c>
      <c r="G247" s="16" t="inlineStr">
        <is>
          <t>barrido</t>
        </is>
      </c>
      <c r="H247" s="16" t="n"/>
      <c r="I247" s="16" t="n">
        <v>278.2778372787966</v>
      </c>
      <c r="J247" s="16" t="n">
        <v>303.4104516690429</v>
      </c>
      <c r="K247" s="16" t="n">
        <v>135</v>
      </c>
      <c r="L247" s="16" t="n"/>
      <c r="M247" s="16" t="inlineStr">
        <is>
          <t>K</t>
        </is>
      </c>
      <c r="N247" s="16" t="inlineStr">
        <is>
          <t>no</t>
        </is>
      </c>
      <c r="O247" s="16" t="n"/>
    </row>
    <row r="248">
      <c r="A248" s="16" t="inlineStr">
        <is>
          <t>3.3</t>
        </is>
      </c>
      <c r="B248" s="16" t="inlineStr">
        <is>
          <t>3.3</t>
        </is>
      </c>
      <c r="C248" s="16" t="inlineStr">
        <is>
          <t>KF-M04c</t>
        </is>
      </c>
      <c r="D248" s="16" t="inlineStr">
        <is>
          <t>KF-M04c</t>
        </is>
      </c>
      <c r="E248" s="16" t="inlineStr">
        <is>
          <t>B08</t>
        </is>
      </c>
      <c r="F248" s="16" t="inlineStr">
        <is>
          <t>motor</t>
        </is>
      </c>
      <c r="G248" s="16" t="inlineStr">
        <is>
          <t>fijo</t>
        </is>
      </c>
      <c r="H248" s="16" t="inlineStr">
        <is>
          <t>teqp</t>
        </is>
      </c>
      <c r="I248" s="16" t="n"/>
      <c r="J248" s="16" t="n"/>
      <c r="K248" s="16" t="n"/>
      <c r="L248" s="16" t="n"/>
      <c r="M248" s="16" t="inlineStr">
        <is>
          <t>–</t>
        </is>
      </c>
      <c r="N248" s="16" t="inlineStr">
        <is>
          <t>no</t>
        </is>
      </c>
      <c r="O248" s="16" t="n"/>
    </row>
    <row r="249">
      <c r="A249" s="16" t="inlineStr">
        <is>
          <t>4.1</t>
        </is>
      </c>
      <c r="B249" s="16" t="inlineStr">
        <is>
          <t>4.1a</t>
        </is>
      </c>
      <c r="C249" s="16" t="inlineStr">
        <is>
          <t>KF-M05</t>
        </is>
      </c>
      <c r="D249" s="16" t="inlineStr">
        <is>
          <t>KF-M05-1</t>
        </is>
      </c>
      <c r="E249" s="16" t="inlineStr">
        <is>
          <t>B09-1</t>
        </is>
      </c>
      <c r="F249" s="16" t="inlineStr">
        <is>
          <t>T_fuente</t>
        </is>
      </c>
      <c r="G249" s="16" t="inlineStr">
        <is>
          <t>fijo</t>
        </is>
      </c>
      <c r="H249" s="16" t="inlineStr">
        <is>
          <t>623.15</t>
        </is>
      </c>
      <c r="I249" s="16" t="n"/>
      <c r="J249" s="16" t="n"/>
      <c r="K249" s="16" t="n"/>
      <c r="L249" s="16" t="inlineStr">
        <is>
          <t>sí</t>
        </is>
      </c>
      <c r="M249" s="16" t="inlineStr">
        <is>
          <t>K</t>
        </is>
      </c>
      <c r="N249" s="16" t="inlineStr">
        <is>
          <t>no</t>
        </is>
      </c>
      <c r="O249" s="16" t="n"/>
    </row>
    <row r="250">
      <c r="A250" s="16" t="inlineStr">
        <is>
          <t>4.1</t>
        </is>
      </c>
      <c r="B250" s="16" t="inlineStr">
        <is>
          <t>4.1a</t>
        </is>
      </c>
      <c r="C250" s="16" t="inlineStr">
        <is>
          <t>KF-M05</t>
        </is>
      </c>
      <c r="D250" s="16" t="inlineStr">
        <is>
          <t>KF-M05-1</t>
        </is>
      </c>
      <c r="E250" s="16" t="inlineStr">
        <is>
          <t>B09-1</t>
        </is>
      </c>
      <c r="F250" s="16" t="inlineStr">
        <is>
          <t>T_sumidero</t>
        </is>
      </c>
      <c r="G250" s="16" t="inlineStr">
        <is>
          <t>fijo</t>
        </is>
      </c>
      <c r="H250" s="16" t="inlineStr">
        <is>
          <t>300.032917</t>
        </is>
      </c>
      <c r="I250" s="16" t="n"/>
      <c r="J250" s="16" t="n"/>
      <c r="K250" s="16" t="n"/>
      <c r="L250" s="16" t="inlineStr">
        <is>
          <t>sí</t>
        </is>
      </c>
      <c r="M250" s="16" t="inlineStr">
        <is>
          <t>K</t>
        </is>
      </c>
      <c r="N250" s="16" t="inlineStr">
        <is>
          <t>no</t>
        </is>
      </c>
      <c r="O250" s="16" t="n"/>
    </row>
    <row r="251">
      <c r="A251" s="16" t="inlineStr">
        <is>
          <t>4.1</t>
        </is>
      </c>
      <c r="B251" s="16" t="inlineStr">
        <is>
          <t>4.1a</t>
        </is>
      </c>
      <c r="C251" s="16" t="inlineStr">
        <is>
          <t>KF-M05</t>
        </is>
      </c>
      <c r="D251" s="16" t="inlineStr">
        <is>
          <t>KF-M05-1</t>
        </is>
      </c>
      <c r="E251" s="16" t="inlineStr">
        <is>
          <t>B09-1</t>
        </is>
      </c>
      <c r="F251" s="16" t="inlineStr">
        <is>
          <t>P_alta</t>
        </is>
      </c>
      <c r="G251" s="16" t="inlineStr">
        <is>
          <t>barrido</t>
        </is>
      </c>
      <c r="H251" s="16" t="n"/>
      <c r="I251" s="16" t="n">
        <v>2000.113362025413</v>
      </c>
      <c r="J251" s="16" t="n">
        <v>4986.580958455284</v>
      </c>
      <c r="K251" s="16" t="n">
        <v>120</v>
      </c>
      <c r="L251" s="16" t="n"/>
      <c r="M251" s="16" t="inlineStr">
        <is>
          <t>kPa</t>
        </is>
      </c>
      <c r="N251" s="16" t="inlineStr">
        <is>
          <t>no</t>
        </is>
      </c>
      <c r="O251" s="16" t="n"/>
    </row>
    <row r="252">
      <c r="A252" s="16" t="inlineStr">
        <is>
          <t>4.1</t>
        </is>
      </c>
      <c r="B252" s="16" t="inlineStr">
        <is>
          <t>4.1a</t>
        </is>
      </c>
      <c r="C252" s="16" t="inlineStr">
        <is>
          <t>KF-M05</t>
        </is>
      </c>
      <c r="D252" s="16" t="inlineStr">
        <is>
          <t>KF-M05-1</t>
        </is>
      </c>
      <c r="E252" s="16" t="inlineStr">
        <is>
          <t>B09-1</t>
        </is>
      </c>
      <c r="F252" s="16" t="inlineStr">
        <is>
          <t>P_baja</t>
        </is>
      </c>
      <c r="G252" s="16" t="inlineStr">
        <is>
          <t>barrido</t>
        </is>
      </c>
      <c r="H252" s="16" t="n"/>
      <c r="I252" s="16" t="n">
        <v>202.1395101625765</v>
      </c>
      <c r="J252" s="16" t="n">
        <v>1989.716921792282</v>
      </c>
      <c r="K252" s="16" t="n">
        <v>120</v>
      </c>
      <c r="L252" s="16" t="n"/>
      <c r="M252" s="16" t="inlineStr">
        <is>
          <t>kPa</t>
        </is>
      </c>
      <c r="N252" s="16" t="inlineStr">
        <is>
          <t>no</t>
        </is>
      </c>
      <c r="O252" s="16" t="n"/>
    </row>
    <row r="253">
      <c r="A253" s="16" t="inlineStr">
        <is>
          <t>4.1</t>
        </is>
      </c>
      <c r="B253" s="16" t="inlineStr">
        <is>
          <t>4.1a</t>
        </is>
      </c>
      <c r="C253" s="16" t="inlineStr">
        <is>
          <t>KF-M05</t>
        </is>
      </c>
      <c r="D253" s="16" t="inlineStr">
        <is>
          <t>KF-M05-1</t>
        </is>
      </c>
      <c r="E253" s="16" t="inlineStr">
        <is>
          <t>B09-1</t>
        </is>
      </c>
      <c r="F253" s="16" t="inlineStr">
        <is>
          <t>x_b</t>
        </is>
      </c>
      <c r="G253" s="16" t="inlineStr">
        <is>
          <t>barrido</t>
        </is>
      </c>
      <c r="H253" s="16" t="n"/>
      <c r="I253" s="16" t="n">
        <v>0.5012386051961493</v>
      </c>
      <c r="J253" s="16" t="n">
        <v>0.8489501800850052</v>
      </c>
      <c r="K253" s="16" t="n">
        <v>120</v>
      </c>
      <c r="L253" s="16" t="n"/>
      <c r="M253" s="16" t="inlineStr">
        <is>
          <t>–</t>
        </is>
      </c>
      <c r="N253" s="16" t="inlineStr">
        <is>
          <t>no</t>
        </is>
      </c>
      <c r="O253" s="16" t="n"/>
    </row>
    <row r="254">
      <c r="A254" s="16" t="inlineStr">
        <is>
          <t>4.1</t>
        </is>
      </c>
      <c r="B254" s="16" t="inlineStr">
        <is>
          <t>4.1a</t>
        </is>
      </c>
      <c r="C254" s="16" t="inlineStr">
        <is>
          <t>KF-M05</t>
        </is>
      </c>
      <c r="D254" s="16" t="inlineStr">
        <is>
          <t>KF-M05-1</t>
        </is>
      </c>
      <c r="E254" s="16" t="inlineStr">
        <is>
          <t>B09-1</t>
        </is>
      </c>
      <c r="F254" s="16" t="inlineStr">
        <is>
          <t>m_b</t>
        </is>
      </c>
      <c r="G254" s="16" t="inlineStr">
        <is>
          <t>fijo</t>
        </is>
      </c>
      <c r="H254" s="16" t="inlineStr">
        <is>
          <t>1.0</t>
        </is>
      </c>
      <c r="I254" s="16" t="n"/>
      <c r="J254" s="16" t="n"/>
      <c r="K254" s="16" t="n"/>
      <c r="L254" s="16" t="inlineStr">
        <is>
          <t>sí</t>
        </is>
      </c>
      <c r="M254" s="16" t="inlineStr">
        <is>
          <t>kg/s</t>
        </is>
      </c>
      <c r="N254" s="16" t="inlineStr">
        <is>
          <t>no</t>
        </is>
      </c>
      <c r="O254" s="16" t="n"/>
    </row>
    <row r="255">
      <c r="A255" s="16" t="inlineStr">
        <is>
          <t>4.1</t>
        </is>
      </c>
      <c r="B255" s="16" t="inlineStr">
        <is>
          <t>4.1a</t>
        </is>
      </c>
      <c r="C255" s="16" t="inlineStr">
        <is>
          <t>KF-M05</t>
        </is>
      </c>
      <c r="D255" s="16" t="inlineStr">
        <is>
          <t>KF-M05-1</t>
        </is>
      </c>
      <c r="E255" s="16" t="inlineStr">
        <is>
          <t>B09-1</t>
        </is>
      </c>
      <c r="F255" s="16" t="inlineStr">
        <is>
          <t>eta_t</t>
        </is>
      </c>
      <c r="G255" s="16" t="inlineStr">
        <is>
          <t>barrido</t>
        </is>
      </c>
      <c r="H255" s="16" t="n"/>
      <c r="I255" s="16" t="n">
        <v>0.4006157432213698</v>
      </c>
      <c r="J255" s="16" t="n">
        <v>0.947453889067729</v>
      </c>
      <c r="K255" s="16" t="n">
        <v>120</v>
      </c>
      <c r="L255" s="16" t="n"/>
      <c r="M255" s="16" t="inlineStr">
        <is>
          <t>–</t>
        </is>
      </c>
      <c r="N255" s="16" t="inlineStr">
        <is>
          <t>no</t>
        </is>
      </c>
      <c r="O255" s="16" t="n"/>
    </row>
    <row r="256">
      <c r="A256" s="16" t="inlineStr">
        <is>
          <t>4.1</t>
        </is>
      </c>
      <c r="B256" s="16" t="inlineStr">
        <is>
          <t>4.1a</t>
        </is>
      </c>
      <c r="C256" s="16" t="inlineStr">
        <is>
          <t>KF-M05</t>
        </is>
      </c>
      <c r="D256" s="16" t="inlineStr">
        <is>
          <t>KF-M05-1</t>
        </is>
      </c>
      <c r="E256" s="16" t="inlineStr">
        <is>
          <t>B09-1</t>
        </is>
      </c>
      <c r="F256" s="16" t="inlineStr">
        <is>
          <t>eta_p</t>
        </is>
      </c>
      <c r="G256" s="16" t="inlineStr">
        <is>
          <t>barrido</t>
        </is>
      </c>
      <c r="H256" s="16" t="n"/>
      <c r="I256" s="16" t="n">
        <v>0.4043022342166728</v>
      </c>
      <c r="J256" s="16" t="n">
        <v>0.9491900967856988</v>
      </c>
      <c r="K256" s="16" t="n">
        <v>120</v>
      </c>
      <c r="L256" s="16" t="n"/>
      <c r="M256" s="16" t="inlineStr">
        <is>
          <t>–</t>
        </is>
      </c>
      <c r="N256" s="16" t="inlineStr">
        <is>
          <t>no</t>
        </is>
      </c>
      <c r="O256" s="16" t="n"/>
    </row>
    <row r="257">
      <c r="A257" s="16" t="inlineStr">
        <is>
          <t>4.1</t>
        </is>
      </c>
      <c r="B257" s="16" t="inlineStr">
        <is>
          <t>4.1a</t>
        </is>
      </c>
      <c r="C257" s="16" t="inlineStr">
        <is>
          <t>KF-M05</t>
        </is>
      </c>
      <c r="D257" s="16" t="inlineStr">
        <is>
          <t>KF-M05-1</t>
        </is>
      </c>
      <c r="E257" s="16" t="inlineStr">
        <is>
          <t>B09-1</t>
        </is>
      </c>
      <c r="F257" s="16" t="inlineStr">
        <is>
          <t>eps_hrvg</t>
        </is>
      </c>
      <c r="G257" s="16" t="inlineStr">
        <is>
          <t>barrido</t>
        </is>
      </c>
      <c r="H257" s="16" t="n"/>
      <c r="I257" s="16" t="n">
        <v>0.4044100957985153</v>
      </c>
      <c r="J257" s="16" t="n">
        <v>0.9491866307925864</v>
      </c>
      <c r="K257" s="16" t="n">
        <v>120</v>
      </c>
      <c r="L257" s="16" t="n"/>
      <c r="M257" s="16" t="inlineStr">
        <is>
          <t>–</t>
        </is>
      </c>
      <c r="N257" s="16" t="inlineStr">
        <is>
          <t>no</t>
        </is>
      </c>
      <c r="O257" s="16" t="n"/>
    </row>
    <row r="258">
      <c r="A258" s="16" t="inlineStr">
        <is>
          <t>4.1</t>
        </is>
      </c>
      <c r="B258" s="16" t="inlineStr">
        <is>
          <t>4.1a</t>
        </is>
      </c>
      <c r="C258" s="16" t="inlineStr">
        <is>
          <t>KF-M05</t>
        </is>
      </c>
      <c r="D258" s="16" t="inlineStr">
        <is>
          <t>KF-M05-1</t>
        </is>
      </c>
      <c r="E258" s="16" t="inlineStr">
        <is>
          <t>B09-1</t>
        </is>
      </c>
      <c r="F258" s="16" t="inlineStr">
        <is>
          <t>eps_reg</t>
        </is>
      </c>
      <c r="G258" s="16" t="inlineStr">
        <is>
          <t>barrido</t>
        </is>
      </c>
      <c r="H258" s="16" t="n"/>
      <c r="I258" s="16" t="n">
        <v>0.4038396383266814</v>
      </c>
      <c r="J258" s="16" t="n">
        <v>0.947902641553844</v>
      </c>
      <c r="K258" s="16" t="n">
        <v>120</v>
      </c>
      <c r="L258" s="16" t="n"/>
      <c r="M258" s="16" t="inlineStr">
        <is>
          <t>–</t>
        </is>
      </c>
      <c r="N258" s="16" t="inlineStr">
        <is>
          <t>no</t>
        </is>
      </c>
      <c r="O258" s="16" t="n"/>
    </row>
    <row r="259">
      <c r="A259" s="16" t="inlineStr">
        <is>
          <t>4.1</t>
        </is>
      </c>
      <c r="B259" s="16" t="inlineStr">
        <is>
          <t>4.1a</t>
        </is>
      </c>
      <c r="C259" s="16" t="inlineStr">
        <is>
          <t>KF-M05</t>
        </is>
      </c>
      <c r="D259" s="16" t="inlineStr">
        <is>
          <t>KF-M05-1</t>
        </is>
      </c>
      <c r="E259" s="16" t="inlineStr">
        <is>
          <t>B09-1</t>
        </is>
      </c>
      <c r="F259" s="16" t="inlineStr">
        <is>
          <t>eps_cond</t>
        </is>
      </c>
      <c r="G259" s="16" t="inlineStr">
        <is>
          <t>barrido</t>
        </is>
      </c>
      <c r="H259" s="16" t="n"/>
      <c r="I259" s="16" t="n">
        <v>0.400867731502618</v>
      </c>
      <c r="J259" s="16" t="n">
        <v>0.9457881775355844</v>
      </c>
      <c r="K259" s="16" t="n">
        <v>120</v>
      </c>
      <c r="L259" s="16" t="n"/>
      <c r="M259" s="16" t="inlineStr">
        <is>
          <t>–</t>
        </is>
      </c>
      <c r="N259" s="16" t="inlineStr">
        <is>
          <t>no</t>
        </is>
      </c>
      <c r="O259" s="16" t="n"/>
    </row>
    <row r="260">
      <c r="A260" s="16" t="inlineStr">
        <is>
          <t>4.1</t>
        </is>
      </c>
      <c r="B260" s="16" t="inlineStr">
        <is>
          <t>4.1a</t>
        </is>
      </c>
      <c r="C260" s="16" t="inlineStr">
        <is>
          <t>KF-M05</t>
        </is>
      </c>
      <c r="D260" s="16" t="inlineStr">
        <is>
          <t>KF-M05-1</t>
        </is>
      </c>
      <c r="E260" s="16" t="inlineStr">
        <is>
          <t>B09-1</t>
        </is>
      </c>
      <c r="F260" s="16" t="inlineStr">
        <is>
          <t>T_amb_diseno</t>
        </is>
      </c>
      <c r="G260" s="16" t="inlineStr">
        <is>
          <t>fijo</t>
        </is>
      </c>
      <c r="H260" s="16" t="inlineStr">
        <is>
          <t>300.032917</t>
        </is>
      </c>
      <c r="I260" s="16" t="n"/>
      <c r="J260" s="16" t="n"/>
      <c r="K260" s="16" t="n"/>
      <c r="L260" s="16" t="inlineStr">
        <is>
          <t>sí</t>
        </is>
      </c>
      <c r="M260" s="16" t="inlineStr">
        <is>
          <t>K</t>
        </is>
      </c>
      <c r="N260" s="16" t="inlineStr">
        <is>
          <t>no</t>
        </is>
      </c>
      <c r="O260" s="16" t="n"/>
    </row>
    <row r="261">
      <c r="A261" s="16" t="inlineStr">
        <is>
          <t>4.1</t>
        </is>
      </c>
      <c r="B261" s="16" t="inlineStr">
        <is>
          <t>4.1a</t>
        </is>
      </c>
      <c r="C261" s="16" t="inlineStr">
        <is>
          <t>KF-M05</t>
        </is>
      </c>
      <c r="D261" s="16" t="inlineStr">
        <is>
          <t>KF-M05-1</t>
        </is>
      </c>
      <c r="E261" s="16" t="inlineStr">
        <is>
          <t>B09-1</t>
        </is>
      </c>
      <c r="F261" s="16" t="inlineStr">
        <is>
          <t>motor</t>
        </is>
      </c>
      <c r="G261" s="16" t="inlineStr">
        <is>
          <t>fijo</t>
        </is>
      </c>
      <c r="H261" s="16" t="inlineStr">
        <is>
          <t>teqp</t>
        </is>
      </c>
      <c r="I261" s="16" t="n"/>
      <c r="J261" s="16" t="n"/>
      <c r="K261" s="16" t="n"/>
      <c r="L261" s="16" t="n"/>
      <c r="M261" s="16" t="inlineStr">
        <is>
          <t>–</t>
        </is>
      </c>
      <c r="N261" s="16" t="inlineStr">
        <is>
          <t>no</t>
        </is>
      </c>
      <c r="O261" s="16" t="n"/>
    </row>
    <row r="262">
      <c r="A262" s="16" t="inlineStr">
        <is>
          <t>4.1</t>
        </is>
      </c>
      <c r="B262" s="16" t="inlineStr">
        <is>
          <t>4.1b</t>
        </is>
      </c>
      <c r="C262" s="16" t="inlineStr">
        <is>
          <t>KF-M05</t>
        </is>
      </c>
      <c r="D262" s="16" t="inlineStr">
        <is>
          <t>KF-M05-2</t>
        </is>
      </c>
      <c r="E262" s="16" t="inlineStr">
        <is>
          <t>B09-2</t>
        </is>
      </c>
      <c r="F262" s="16" t="inlineStr">
        <is>
          <t>T_fuente</t>
        </is>
      </c>
      <c r="G262" s="16" t="inlineStr">
        <is>
          <t>barrido</t>
        </is>
      </c>
      <c r="H262" s="16" t="n"/>
      <c r="I262" s="16" t="n">
        <v>381.6092851157166</v>
      </c>
      <c r="J262" s="16" t="n">
        <v>621.7738417497867</v>
      </c>
      <c r="K262" s="16" t="n">
        <v>120</v>
      </c>
      <c r="L262" s="16" t="n"/>
      <c r="M262" s="16" t="inlineStr">
        <is>
          <t>K</t>
        </is>
      </c>
      <c r="N262" s="16" t="inlineStr">
        <is>
          <t>no</t>
        </is>
      </c>
      <c r="O262" s="16" t="n"/>
    </row>
    <row r="263">
      <c r="A263" s="16" t="inlineStr">
        <is>
          <t>4.1</t>
        </is>
      </c>
      <c r="B263" s="16" t="inlineStr">
        <is>
          <t>4.1b</t>
        </is>
      </c>
      <c r="C263" s="16" t="inlineStr">
        <is>
          <t>KF-M05</t>
        </is>
      </c>
      <c r="D263" s="16" t="inlineStr">
        <is>
          <t>KF-M05-2</t>
        </is>
      </c>
      <c r="E263" s="16" t="inlineStr">
        <is>
          <t>B09-2</t>
        </is>
      </c>
      <c r="F263" s="16" t="inlineStr">
        <is>
          <t>T_sumidero</t>
        </is>
      </c>
      <c r="G263" s="16" t="inlineStr">
        <is>
          <t>barrido</t>
        </is>
      </c>
      <c r="H263" s="16" t="n"/>
      <c r="I263" s="16" t="n">
        <v>278.2624790972999</v>
      </c>
      <c r="J263" s="16" t="n">
        <v>303.4790817235993</v>
      </c>
      <c r="K263" s="16" t="n">
        <v>120</v>
      </c>
      <c r="L263" s="16" t="n"/>
      <c r="M263" s="16" t="inlineStr">
        <is>
          <t>K</t>
        </is>
      </c>
      <c r="N263" s="16" t="inlineStr">
        <is>
          <t>no</t>
        </is>
      </c>
      <c r="O263" s="16" t="n"/>
    </row>
    <row r="264">
      <c r="A264" s="16" t="inlineStr">
        <is>
          <t>4.1</t>
        </is>
      </c>
      <c r="B264" s="16" t="inlineStr">
        <is>
          <t>4.1b</t>
        </is>
      </c>
      <c r="C264" s="16" t="inlineStr">
        <is>
          <t>KF-M05</t>
        </is>
      </c>
      <c r="D264" s="16" t="inlineStr">
        <is>
          <t>KF-M05-2</t>
        </is>
      </c>
      <c r="E264" s="16" t="inlineStr">
        <is>
          <t>B09-2</t>
        </is>
      </c>
      <c r="F264" s="16" t="inlineStr">
        <is>
          <t>P_alta</t>
        </is>
      </c>
      <c r="G264" s="16" t="inlineStr">
        <is>
          <t>fijo</t>
        </is>
      </c>
      <c r="H264" s="16" t="inlineStr">
        <is>
          <t>3000.0</t>
        </is>
      </c>
      <c r="I264" s="16" t="n"/>
      <c r="J264" s="16" t="n"/>
      <c r="K264" s="16" t="n"/>
      <c r="L264" s="16" t="inlineStr">
        <is>
          <t>sí</t>
        </is>
      </c>
      <c r="M264" s="16" t="inlineStr">
        <is>
          <t>kPa</t>
        </is>
      </c>
      <c r="N264" s="16" t="inlineStr">
        <is>
          <t>no</t>
        </is>
      </c>
      <c r="O264" s="16" t="n"/>
    </row>
    <row r="265">
      <c r="A265" s="16" t="inlineStr">
        <is>
          <t>4.1</t>
        </is>
      </c>
      <c r="B265" s="16" t="inlineStr">
        <is>
          <t>4.1b</t>
        </is>
      </c>
      <c r="C265" s="16" t="inlineStr">
        <is>
          <t>KF-M05</t>
        </is>
      </c>
      <c r="D265" s="16" t="inlineStr">
        <is>
          <t>KF-M05-2</t>
        </is>
      </c>
      <c r="E265" s="16" t="inlineStr">
        <is>
          <t>B09-2</t>
        </is>
      </c>
      <c r="F265" s="16" t="inlineStr">
        <is>
          <t>P_baja</t>
        </is>
      </c>
      <c r="G265" s="16" t="inlineStr">
        <is>
          <t>fijo</t>
        </is>
      </c>
      <c r="H265" s="16" t="inlineStr">
        <is>
          <t>400.0</t>
        </is>
      </c>
      <c r="I265" s="16" t="n"/>
      <c r="J265" s="16" t="n"/>
      <c r="K265" s="16" t="n"/>
      <c r="L265" s="16" t="inlineStr">
        <is>
          <t>sí</t>
        </is>
      </c>
      <c r="M265" s="16" t="inlineStr">
        <is>
          <t>kPa</t>
        </is>
      </c>
      <c r="N265" s="16" t="inlineStr">
        <is>
          <t>no</t>
        </is>
      </c>
      <c r="O265" s="16" t="n"/>
    </row>
    <row r="266">
      <c r="A266" s="16" t="inlineStr">
        <is>
          <t>4.1</t>
        </is>
      </c>
      <c r="B266" s="16" t="inlineStr">
        <is>
          <t>4.1b</t>
        </is>
      </c>
      <c r="C266" s="16" t="inlineStr">
        <is>
          <t>KF-M05</t>
        </is>
      </c>
      <c r="D266" s="16" t="inlineStr">
        <is>
          <t>KF-M05-2</t>
        </is>
      </c>
      <c r="E266" s="16" t="inlineStr">
        <is>
          <t>B09-2</t>
        </is>
      </c>
      <c r="F266" s="16" t="inlineStr">
        <is>
          <t>x_b</t>
        </is>
      </c>
      <c r="G266" s="16" t="inlineStr">
        <is>
          <t>barrido</t>
        </is>
      </c>
      <c r="H266" s="16" t="n"/>
      <c r="I266" s="16" t="n">
        <v>0.5008427402618544</v>
      </c>
      <c r="J266" s="16" t="n">
        <v>0.8473154028117293</v>
      </c>
      <c r="K266" s="16" t="n">
        <v>120</v>
      </c>
      <c r="L266" s="16" t="n"/>
      <c r="M266" s="16" t="inlineStr">
        <is>
          <t>–</t>
        </is>
      </c>
      <c r="N266" s="16" t="inlineStr">
        <is>
          <t>no</t>
        </is>
      </c>
      <c r="O266" s="16" t="n"/>
    </row>
    <row r="267">
      <c r="A267" s="16" t="inlineStr">
        <is>
          <t>4.1</t>
        </is>
      </c>
      <c r="B267" s="16" t="inlineStr">
        <is>
          <t>4.1b</t>
        </is>
      </c>
      <c r="C267" s="16" t="inlineStr">
        <is>
          <t>KF-M05</t>
        </is>
      </c>
      <c r="D267" s="16" t="inlineStr">
        <is>
          <t>KF-M05-2</t>
        </is>
      </c>
      <c r="E267" s="16" t="inlineStr">
        <is>
          <t>B09-2</t>
        </is>
      </c>
      <c r="F267" s="16" t="inlineStr">
        <is>
          <t>m_b</t>
        </is>
      </c>
      <c r="G267" s="16" t="inlineStr">
        <is>
          <t>fijo</t>
        </is>
      </c>
      <c r="H267" s="16" t="inlineStr">
        <is>
          <t>1.0</t>
        </is>
      </c>
      <c r="I267" s="16" t="n"/>
      <c r="J267" s="16" t="n"/>
      <c r="K267" s="16" t="n"/>
      <c r="L267" s="16" t="inlineStr">
        <is>
          <t>sí</t>
        </is>
      </c>
      <c r="M267" s="16" t="inlineStr">
        <is>
          <t>kg/s</t>
        </is>
      </c>
      <c r="N267" s="16" t="inlineStr">
        <is>
          <t>no</t>
        </is>
      </c>
      <c r="O267" s="16" t="n"/>
    </row>
    <row r="268">
      <c r="A268" s="16" t="inlineStr">
        <is>
          <t>4.1</t>
        </is>
      </c>
      <c r="B268" s="16" t="inlineStr">
        <is>
          <t>4.1b</t>
        </is>
      </c>
      <c r="C268" s="16" t="inlineStr">
        <is>
          <t>KF-M05</t>
        </is>
      </c>
      <c r="D268" s="16" t="inlineStr">
        <is>
          <t>KF-M05-2</t>
        </is>
      </c>
      <c r="E268" s="16" t="inlineStr">
        <is>
          <t>B09-2</t>
        </is>
      </c>
      <c r="F268" s="16" t="inlineStr">
        <is>
          <t>eta_t</t>
        </is>
      </c>
      <c r="G268" s="16" t="inlineStr">
        <is>
          <t>barrido</t>
        </is>
      </c>
      <c r="H268" s="16" t="n"/>
      <c r="I268" s="16" t="n">
        <v>0.4026755734716554</v>
      </c>
      <c r="J268" s="16" t="n">
        <v>0.9485839349565068</v>
      </c>
      <c r="K268" s="16" t="n">
        <v>120</v>
      </c>
      <c r="L268" s="16" t="n"/>
      <c r="M268" s="16" t="inlineStr">
        <is>
          <t>–</t>
        </is>
      </c>
      <c r="N268" s="16" t="inlineStr">
        <is>
          <t>no</t>
        </is>
      </c>
      <c r="O268" s="16" t="n"/>
    </row>
    <row r="269">
      <c r="A269" s="16" t="inlineStr">
        <is>
          <t>4.1</t>
        </is>
      </c>
      <c r="B269" s="16" t="inlineStr">
        <is>
          <t>4.1b</t>
        </is>
      </c>
      <c r="C269" s="16" t="inlineStr">
        <is>
          <t>KF-M05</t>
        </is>
      </c>
      <c r="D269" s="16" t="inlineStr">
        <is>
          <t>KF-M05-2</t>
        </is>
      </c>
      <c r="E269" s="16" t="inlineStr">
        <is>
          <t>B09-2</t>
        </is>
      </c>
      <c r="F269" s="16" t="inlineStr">
        <is>
          <t>eta_p</t>
        </is>
      </c>
      <c r="G269" s="16" t="inlineStr">
        <is>
          <t>barrido</t>
        </is>
      </c>
      <c r="H269" s="16" t="n"/>
      <c r="I269" s="16" t="n">
        <v>0.4010331250497644</v>
      </c>
      <c r="J269" s="16" t="n">
        <v>0.9470970806795058</v>
      </c>
      <c r="K269" s="16" t="n">
        <v>120</v>
      </c>
      <c r="L269" s="16" t="n"/>
      <c r="M269" s="16" t="inlineStr">
        <is>
          <t>–</t>
        </is>
      </c>
      <c r="N269" s="16" t="inlineStr">
        <is>
          <t>no</t>
        </is>
      </c>
      <c r="O269" s="16" t="n"/>
    </row>
    <row r="270">
      <c r="A270" s="16" t="inlineStr">
        <is>
          <t>4.1</t>
        </is>
      </c>
      <c r="B270" s="16" t="inlineStr">
        <is>
          <t>4.1b</t>
        </is>
      </c>
      <c r="C270" s="16" t="inlineStr">
        <is>
          <t>KF-M05</t>
        </is>
      </c>
      <c r="D270" s="16" t="inlineStr">
        <is>
          <t>KF-M05-2</t>
        </is>
      </c>
      <c r="E270" s="16" t="inlineStr">
        <is>
          <t>B09-2</t>
        </is>
      </c>
      <c r="F270" s="16" t="inlineStr">
        <is>
          <t>eps_hrvg</t>
        </is>
      </c>
      <c r="G270" s="16" t="inlineStr">
        <is>
          <t>barrido</t>
        </is>
      </c>
      <c r="H270" s="16" t="n"/>
      <c r="I270" s="16" t="n">
        <v>0.4021680809506312</v>
      </c>
      <c r="J270" s="16" t="n">
        <v>0.9475507614177018</v>
      </c>
      <c r="K270" s="16" t="n">
        <v>120</v>
      </c>
      <c r="L270" s="16" t="n"/>
      <c r="M270" s="16" t="inlineStr">
        <is>
          <t>–</t>
        </is>
      </c>
      <c r="N270" s="16" t="inlineStr">
        <is>
          <t>no</t>
        </is>
      </c>
      <c r="O270" s="16" t="n"/>
    </row>
    <row r="271">
      <c r="A271" s="16" t="inlineStr">
        <is>
          <t>4.1</t>
        </is>
      </c>
      <c r="B271" s="16" t="inlineStr">
        <is>
          <t>4.1b</t>
        </is>
      </c>
      <c r="C271" s="16" t="inlineStr">
        <is>
          <t>KF-M05</t>
        </is>
      </c>
      <c r="D271" s="16" t="inlineStr">
        <is>
          <t>KF-M05-2</t>
        </is>
      </c>
      <c r="E271" s="16" t="inlineStr">
        <is>
          <t>B09-2</t>
        </is>
      </c>
      <c r="F271" s="16" t="inlineStr">
        <is>
          <t>eps_reg</t>
        </is>
      </c>
      <c r="G271" s="16" t="inlineStr">
        <is>
          <t>barrido</t>
        </is>
      </c>
      <c r="H271" s="16" t="n"/>
      <c r="I271" s="16" t="n">
        <v>0.4022783413016499</v>
      </c>
      <c r="J271" s="16" t="n">
        <v>0.9466019838565212</v>
      </c>
      <c r="K271" s="16" t="n">
        <v>120</v>
      </c>
      <c r="L271" s="16" t="n"/>
      <c r="M271" s="16" t="inlineStr">
        <is>
          <t>–</t>
        </is>
      </c>
      <c r="N271" s="16" t="inlineStr">
        <is>
          <t>no</t>
        </is>
      </c>
      <c r="O271" s="16" t="n"/>
    </row>
    <row r="272">
      <c r="A272" s="16" t="inlineStr">
        <is>
          <t>4.1</t>
        </is>
      </c>
      <c r="B272" s="16" t="inlineStr">
        <is>
          <t>4.1b</t>
        </is>
      </c>
      <c r="C272" s="16" t="inlineStr">
        <is>
          <t>KF-M05</t>
        </is>
      </c>
      <c r="D272" s="16" t="inlineStr">
        <is>
          <t>KF-M05-2</t>
        </is>
      </c>
      <c r="E272" s="16" t="inlineStr">
        <is>
          <t>B09-2</t>
        </is>
      </c>
      <c r="F272" s="16" t="inlineStr">
        <is>
          <t>eps_cond</t>
        </is>
      </c>
      <c r="G272" s="16" t="inlineStr">
        <is>
          <t>barrido</t>
        </is>
      </c>
      <c r="H272" s="16" t="n"/>
      <c r="I272" s="16" t="n">
        <v>0.4020921118206159</v>
      </c>
      <c r="J272" s="16" t="n">
        <v>0.9473958119671976</v>
      </c>
      <c r="K272" s="16" t="n">
        <v>120</v>
      </c>
      <c r="L272" s="16" t="n"/>
      <c r="M272" s="16" t="inlineStr">
        <is>
          <t>–</t>
        </is>
      </c>
      <c r="N272" s="16" t="inlineStr">
        <is>
          <t>no</t>
        </is>
      </c>
      <c r="O272" s="16" t="n"/>
    </row>
    <row r="273">
      <c r="A273" s="16" t="inlineStr">
        <is>
          <t>4.1</t>
        </is>
      </c>
      <c r="B273" s="16" t="inlineStr">
        <is>
          <t>4.1b</t>
        </is>
      </c>
      <c r="C273" s="16" t="inlineStr">
        <is>
          <t>KF-M05</t>
        </is>
      </c>
      <c r="D273" s="16" t="inlineStr">
        <is>
          <t>KF-M05-2</t>
        </is>
      </c>
      <c r="E273" s="16" t="inlineStr">
        <is>
          <t>B09-2</t>
        </is>
      </c>
      <c r="F273" s="16" t="inlineStr">
        <is>
          <t>T_amb_diseno</t>
        </is>
      </c>
      <c r="G273" s="16" t="inlineStr">
        <is>
          <t>barrido</t>
        </is>
      </c>
      <c r="H273" s="16" t="n"/>
      <c r="I273" s="16" t="n">
        <v>278.2624790972999</v>
      </c>
      <c r="J273" s="16" t="n">
        <v>303.4790817235993</v>
      </c>
      <c r="K273" s="16" t="n">
        <v>120</v>
      </c>
      <c r="L273" s="16" t="n"/>
      <c r="M273" s="16" t="inlineStr">
        <is>
          <t>K</t>
        </is>
      </c>
      <c r="N273" s="16" t="inlineStr">
        <is>
          <t>no</t>
        </is>
      </c>
      <c r="O273" s="16" t="n"/>
    </row>
    <row r="274">
      <c r="A274" s="16" t="inlineStr">
        <is>
          <t>4.1</t>
        </is>
      </c>
      <c r="B274" s="16" t="inlineStr">
        <is>
          <t>4.1b</t>
        </is>
      </c>
      <c r="C274" s="16" t="inlineStr">
        <is>
          <t>KF-M05</t>
        </is>
      </c>
      <c r="D274" s="16" t="inlineStr">
        <is>
          <t>KF-M05-2</t>
        </is>
      </c>
      <c r="E274" s="16" t="inlineStr">
        <is>
          <t>B09-2</t>
        </is>
      </c>
      <c r="F274" s="16" t="inlineStr">
        <is>
          <t>motor</t>
        </is>
      </c>
      <c r="G274" s="16" t="inlineStr">
        <is>
          <t>fijo</t>
        </is>
      </c>
      <c r="H274" s="16" t="inlineStr">
        <is>
          <t>teqp</t>
        </is>
      </c>
      <c r="I274" s="16" t="n"/>
      <c r="J274" s="16" t="n"/>
      <c r="K274" s="16" t="n"/>
      <c r="L274" s="16" t="n"/>
      <c r="M274" s="16" t="inlineStr">
        <is>
          <t>–</t>
        </is>
      </c>
      <c r="N274" s="16" t="inlineStr">
        <is>
          <t>no</t>
        </is>
      </c>
      <c r="O274" s="16" t="n"/>
    </row>
    <row r="275">
      <c r="A275" s="16" t="inlineStr">
        <is>
          <t>4.1</t>
        </is>
      </c>
      <c r="B275" s="16" t="inlineStr">
        <is>
          <t>4.1c</t>
        </is>
      </c>
      <c r="C275" s="16" t="inlineStr">
        <is>
          <t>KF-M05</t>
        </is>
      </c>
      <c r="D275" s="16" t="inlineStr">
        <is>
          <t>KF-M05-3</t>
        </is>
      </c>
      <c r="E275" s="16" t="inlineStr">
        <is>
          <t>B09-3</t>
        </is>
      </c>
      <c r="F275" s="16" t="inlineStr">
        <is>
          <t>T_fuente</t>
        </is>
      </c>
      <c r="G275" s="16" t="inlineStr">
        <is>
          <t>barrido</t>
        </is>
      </c>
      <c r="H275" s="16" t="n"/>
      <c r="I275" s="16" t="n">
        <v>380.2337970549131</v>
      </c>
      <c r="J275" s="16" t="n">
        <v>622.4010394842219</v>
      </c>
      <c r="K275" s="16" t="n">
        <v>120</v>
      </c>
      <c r="L275" s="16" t="n"/>
      <c r="M275" s="16" t="inlineStr">
        <is>
          <t>K</t>
        </is>
      </c>
      <c r="N275" s="16" t="inlineStr">
        <is>
          <t>no</t>
        </is>
      </c>
      <c r="O275" s="16" t="n"/>
    </row>
    <row r="276">
      <c r="A276" s="16" t="inlineStr">
        <is>
          <t>4.1</t>
        </is>
      </c>
      <c r="B276" s="16" t="inlineStr">
        <is>
          <t>4.1c</t>
        </is>
      </c>
      <c r="C276" s="16" t="inlineStr">
        <is>
          <t>KF-M05</t>
        </is>
      </c>
      <c r="D276" s="16" t="inlineStr">
        <is>
          <t>KF-M05-3</t>
        </is>
      </c>
      <c r="E276" s="16" t="inlineStr">
        <is>
          <t>B09-3</t>
        </is>
      </c>
      <c r="F276" s="16" t="inlineStr">
        <is>
          <t>T_sumidero</t>
        </is>
      </c>
      <c r="G276" s="16" t="inlineStr">
        <is>
          <t>fijo</t>
        </is>
      </c>
      <c r="H276" s="16" t="inlineStr">
        <is>
          <t>300.032917</t>
        </is>
      </c>
      <c r="I276" s="16" t="n"/>
      <c r="J276" s="16" t="n"/>
      <c r="K276" s="16" t="n"/>
      <c r="L276" s="16" t="inlineStr">
        <is>
          <t>sí</t>
        </is>
      </c>
      <c r="M276" s="16" t="inlineStr">
        <is>
          <t>K</t>
        </is>
      </c>
      <c r="N276" s="16" t="inlineStr">
        <is>
          <t>no</t>
        </is>
      </c>
      <c r="O276" s="16" t="n"/>
    </row>
    <row r="277">
      <c r="A277" s="16" t="inlineStr">
        <is>
          <t>4.1</t>
        </is>
      </c>
      <c r="B277" s="16" t="inlineStr">
        <is>
          <t>4.1c</t>
        </is>
      </c>
      <c r="C277" s="16" t="inlineStr">
        <is>
          <t>KF-M05</t>
        </is>
      </c>
      <c r="D277" s="16" t="inlineStr">
        <is>
          <t>KF-M05-3</t>
        </is>
      </c>
      <c r="E277" s="16" t="inlineStr">
        <is>
          <t>B09-3</t>
        </is>
      </c>
      <c r="F277" s="16" t="inlineStr">
        <is>
          <t>P_alta</t>
        </is>
      </c>
      <c r="G277" s="16" t="inlineStr">
        <is>
          <t>fijo</t>
        </is>
      </c>
      <c r="H277" s="16" t="inlineStr">
        <is>
          <t>3000.0</t>
        </is>
      </c>
      <c r="I277" s="16" t="n"/>
      <c r="J277" s="16" t="n"/>
      <c r="K277" s="16" t="n"/>
      <c r="L277" s="16" t="inlineStr">
        <is>
          <t>sí</t>
        </is>
      </c>
      <c r="M277" s="16" t="inlineStr">
        <is>
          <t>kPa</t>
        </is>
      </c>
      <c r="N277" s="16" t="inlineStr">
        <is>
          <t>no</t>
        </is>
      </c>
      <c r="O277" s="16" t="n"/>
    </row>
    <row r="278">
      <c r="A278" s="16" t="inlineStr">
        <is>
          <t>4.1</t>
        </is>
      </c>
      <c r="B278" s="16" t="inlineStr">
        <is>
          <t>4.1c</t>
        </is>
      </c>
      <c r="C278" s="16" t="inlineStr">
        <is>
          <t>KF-M05</t>
        </is>
      </c>
      <c r="D278" s="16" t="inlineStr">
        <is>
          <t>KF-M05-3</t>
        </is>
      </c>
      <c r="E278" s="16" t="inlineStr">
        <is>
          <t>B09-3</t>
        </is>
      </c>
      <c r="F278" s="16" t="inlineStr">
        <is>
          <t>P_baja</t>
        </is>
      </c>
      <c r="G278" s="16" t="inlineStr">
        <is>
          <t>fijo</t>
        </is>
      </c>
      <c r="H278" s="16" t="inlineStr">
        <is>
          <t>400.0</t>
        </is>
      </c>
      <c r="I278" s="16" t="n"/>
      <c r="J278" s="16" t="n"/>
      <c r="K278" s="16" t="n"/>
      <c r="L278" s="16" t="inlineStr">
        <is>
          <t>sí</t>
        </is>
      </c>
      <c r="M278" s="16" t="inlineStr">
        <is>
          <t>kPa</t>
        </is>
      </c>
      <c r="N278" s="16" t="inlineStr">
        <is>
          <t>no</t>
        </is>
      </c>
      <c r="O278" s="16" t="n"/>
    </row>
    <row r="279">
      <c r="A279" s="16" t="inlineStr">
        <is>
          <t>4.1</t>
        </is>
      </c>
      <c r="B279" s="16" t="inlineStr">
        <is>
          <t>4.1c</t>
        </is>
      </c>
      <c r="C279" s="16" t="inlineStr">
        <is>
          <t>KF-M05</t>
        </is>
      </c>
      <c r="D279" s="16" t="inlineStr">
        <is>
          <t>KF-M05-3</t>
        </is>
      </c>
      <c r="E279" s="16" t="inlineStr">
        <is>
          <t>B09-3</t>
        </is>
      </c>
      <c r="F279" s="16" t="inlineStr">
        <is>
          <t>x_b</t>
        </is>
      </c>
      <c r="G279" s="16" t="inlineStr">
        <is>
          <t>barrido</t>
        </is>
      </c>
      <c r="H279" s="16" t="n"/>
      <c r="I279" s="16" t="n">
        <v>0.5002346812426254</v>
      </c>
      <c r="J279" s="16" t="n">
        <v>0.8493157733340828</v>
      </c>
      <c r="K279" s="16" t="n">
        <v>120</v>
      </c>
      <c r="L279" s="16" t="n"/>
      <c r="M279" s="16" t="inlineStr">
        <is>
          <t>–</t>
        </is>
      </c>
      <c r="N279" s="16" t="inlineStr">
        <is>
          <t>no</t>
        </is>
      </c>
      <c r="O279" s="16" t="n"/>
    </row>
    <row r="280">
      <c r="A280" s="16" t="inlineStr">
        <is>
          <t>4.1</t>
        </is>
      </c>
      <c r="B280" s="16" t="inlineStr">
        <is>
          <t>4.1c</t>
        </is>
      </c>
      <c r="C280" s="16" t="inlineStr">
        <is>
          <t>KF-M05</t>
        </is>
      </c>
      <c r="D280" s="16" t="inlineStr">
        <is>
          <t>KF-M05-3</t>
        </is>
      </c>
      <c r="E280" s="16" t="inlineStr">
        <is>
          <t>B09-3</t>
        </is>
      </c>
      <c r="F280" s="16" t="inlineStr">
        <is>
          <t>m_b</t>
        </is>
      </c>
      <c r="G280" s="16" t="inlineStr">
        <is>
          <t>fijo</t>
        </is>
      </c>
      <c r="H280" s="16" t="inlineStr">
        <is>
          <t>1.0</t>
        </is>
      </c>
      <c r="I280" s="16" t="n"/>
      <c r="J280" s="16" t="n"/>
      <c r="K280" s="16" t="n"/>
      <c r="L280" s="16" t="inlineStr">
        <is>
          <t>sí</t>
        </is>
      </c>
      <c r="M280" s="16" t="inlineStr">
        <is>
          <t>kg/s</t>
        </is>
      </c>
      <c r="N280" s="16" t="inlineStr">
        <is>
          <t>no</t>
        </is>
      </c>
      <c r="O280" s="16" t="n"/>
    </row>
    <row r="281">
      <c r="A281" s="16" t="inlineStr">
        <is>
          <t>4.1</t>
        </is>
      </c>
      <c r="B281" s="16" t="inlineStr">
        <is>
          <t>4.1c</t>
        </is>
      </c>
      <c r="C281" s="16" t="inlineStr">
        <is>
          <t>KF-M05</t>
        </is>
      </c>
      <c r="D281" s="16" t="inlineStr">
        <is>
          <t>KF-M05-3</t>
        </is>
      </c>
      <c r="E281" s="16" t="inlineStr">
        <is>
          <t>B09-3</t>
        </is>
      </c>
      <c r="F281" s="16" t="inlineStr">
        <is>
          <t>eta_t</t>
        </is>
      </c>
      <c r="G281" s="16" t="inlineStr">
        <is>
          <t>barrido</t>
        </is>
      </c>
      <c r="H281" s="16" t="n"/>
      <c r="I281" s="16" t="n">
        <v>0.4000601579123294</v>
      </c>
      <c r="J281" s="16" t="n">
        <v>0.947690869162384</v>
      </c>
      <c r="K281" s="16" t="n">
        <v>120</v>
      </c>
      <c r="L281" s="16" t="n"/>
      <c r="M281" s="16" t="inlineStr">
        <is>
          <t>–</t>
        </is>
      </c>
      <c r="N281" s="16" t="inlineStr">
        <is>
          <t>no</t>
        </is>
      </c>
      <c r="O281" s="16" t="n"/>
    </row>
    <row r="282">
      <c r="A282" s="16" t="inlineStr">
        <is>
          <t>4.1</t>
        </is>
      </c>
      <c r="B282" s="16" t="inlineStr">
        <is>
          <t>4.1c</t>
        </is>
      </c>
      <c r="C282" s="16" t="inlineStr">
        <is>
          <t>KF-M05</t>
        </is>
      </c>
      <c r="D282" s="16" t="inlineStr">
        <is>
          <t>KF-M05-3</t>
        </is>
      </c>
      <c r="E282" s="16" t="inlineStr">
        <is>
          <t>B09-3</t>
        </is>
      </c>
      <c r="F282" s="16" t="inlineStr">
        <is>
          <t>eta_p</t>
        </is>
      </c>
      <c r="G282" s="16" t="inlineStr">
        <is>
          <t>barrido</t>
        </is>
      </c>
      <c r="H282" s="16" t="n"/>
      <c r="I282" s="16" t="n">
        <v>0.4036024370207849</v>
      </c>
      <c r="J282" s="16" t="n">
        <v>0.9454838102476408</v>
      </c>
      <c r="K282" s="16" t="n">
        <v>120</v>
      </c>
      <c r="L282" s="16" t="n"/>
      <c r="M282" s="16" t="inlineStr">
        <is>
          <t>–</t>
        </is>
      </c>
      <c r="N282" s="16" t="inlineStr">
        <is>
          <t>no</t>
        </is>
      </c>
      <c r="O282" s="16" t="n"/>
    </row>
    <row r="283">
      <c r="A283" s="16" t="inlineStr">
        <is>
          <t>4.1</t>
        </is>
      </c>
      <c r="B283" s="16" t="inlineStr">
        <is>
          <t>4.1c</t>
        </is>
      </c>
      <c r="C283" s="16" t="inlineStr">
        <is>
          <t>KF-M05</t>
        </is>
      </c>
      <c r="D283" s="16" t="inlineStr">
        <is>
          <t>KF-M05-3</t>
        </is>
      </c>
      <c r="E283" s="16" t="inlineStr">
        <is>
          <t>B09-3</t>
        </is>
      </c>
      <c r="F283" s="16" t="inlineStr">
        <is>
          <t>eps_hrvg</t>
        </is>
      </c>
      <c r="G283" s="16" t="inlineStr">
        <is>
          <t>barrido</t>
        </is>
      </c>
      <c r="H283" s="16" t="n"/>
      <c r="I283" s="16" t="n">
        <v>0.4001563374943792</v>
      </c>
      <c r="J283" s="16" t="n">
        <v>0.948883523629542</v>
      </c>
      <c r="K283" s="16" t="n">
        <v>120</v>
      </c>
      <c r="L283" s="16" t="n"/>
      <c r="M283" s="16" t="inlineStr">
        <is>
          <t>–</t>
        </is>
      </c>
      <c r="N283" s="16" t="inlineStr">
        <is>
          <t>no</t>
        </is>
      </c>
      <c r="O283" s="16" t="n"/>
    </row>
    <row r="284">
      <c r="A284" s="16" t="inlineStr">
        <is>
          <t>4.1</t>
        </is>
      </c>
      <c r="B284" s="16" t="inlineStr">
        <is>
          <t>4.1c</t>
        </is>
      </c>
      <c r="C284" s="16" t="inlineStr">
        <is>
          <t>KF-M05</t>
        </is>
      </c>
      <c r="D284" s="16" t="inlineStr">
        <is>
          <t>KF-M05-3</t>
        </is>
      </c>
      <c r="E284" s="16" t="inlineStr">
        <is>
          <t>B09-3</t>
        </is>
      </c>
      <c r="F284" s="16" t="inlineStr">
        <is>
          <t>eps_reg</t>
        </is>
      </c>
      <c r="G284" s="16" t="inlineStr">
        <is>
          <t>barrido</t>
        </is>
      </c>
      <c r="H284" s="16" t="n"/>
      <c r="I284" s="16" t="n">
        <v>0.4021592121223348</v>
      </c>
      <c r="J284" s="16" t="n">
        <v>0.9485961496306804</v>
      </c>
      <c r="K284" s="16" t="n">
        <v>120</v>
      </c>
      <c r="L284" s="16" t="n"/>
      <c r="M284" s="16" t="inlineStr">
        <is>
          <t>–</t>
        </is>
      </c>
      <c r="N284" s="16" t="inlineStr">
        <is>
          <t>no</t>
        </is>
      </c>
      <c r="O284" s="16" t="n"/>
    </row>
    <row r="285">
      <c r="A285" s="16" t="inlineStr">
        <is>
          <t>4.1</t>
        </is>
      </c>
      <c r="B285" s="16" t="inlineStr">
        <is>
          <t>4.1c</t>
        </is>
      </c>
      <c r="C285" s="16" t="inlineStr">
        <is>
          <t>KF-M05</t>
        </is>
      </c>
      <c r="D285" s="16" t="inlineStr">
        <is>
          <t>KF-M05-3</t>
        </is>
      </c>
      <c r="E285" s="16" t="inlineStr">
        <is>
          <t>B09-3</t>
        </is>
      </c>
      <c r="F285" s="16" t="inlineStr">
        <is>
          <t>eps_cond</t>
        </is>
      </c>
      <c r="G285" s="16" t="inlineStr">
        <is>
          <t>barrido</t>
        </is>
      </c>
      <c r="H285" s="16" t="n"/>
      <c r="I285" s="16" t="n">
        <v>0.4042365750728552</v>
      </c>
      <c r="J285" s="16" t="n">
        <v>0.946851053844498</v>
      </c>
      <c r="K285" s="16" t="n">
        <v>120</v>
      </c>
      <c r="L285" s="16" t="n"/>
      <c r="M285" s="16" t="inlineStr">
        <is>
          <t>–</t>
        </is>
      </c>
      <c r="N285" s="16" t="inlineStr">
        <is>
          <t>no</t>
        </is>
      </c>
      <c r="O285" s="16" t="n"/>
    </row>
    <row r="286">
      <c r="A286" s="16" t="inlineStr">
        <is>
          <t>4.1</t>
        </is>
      </c>
      <c r="B286" s="16" t="inlineStr">
        <is>
          <t>4.1c</t>
        </is>
      </c>
      <c r="C286" s="16" t="inlineStr">
        <is>
          <t>KF-M05</t>
        </is>
      </c>
      <c r="D286" s="16" t="inlineStr">
        <is>
          <t>KF-M05-3</t>
        </is>
      </c>
      <c r="E286" s="16" t="inlineStr">
        <is>
          <t>B09-3</t>
        </is>
      </c>
      <c r="F286" s="16" t="inlineStr">
        <is>
          <t>T_amb_diseno</t>
        </is>
      </c>
      <c r="G286" s="16" t="inlineStr">
        <is>
          <t>fijo</t>
        </is>
      </c>
      <c r="H286" s="16" t="inlineStr">
        <is>
          <t>300.032917</t>
        </is>
      </c>
      <c r="I286" s="16" t="n"/>
      <c r="J286" s="16" t="n"/>
      <c r="K286" s="16" t="n"/>
      <c r="L286" s="16" t="inlineStr">
        <is>
          <t>sí</t>
        </is>
      </c>
      <c r="M286" s="16" t="inlineStr">
        <is>
          <t>K</t>
        </is>
      </c>
      <c r="N286" s="16" t="inlineStr">
        <is>
          <t>no</t>
        </is>
      </c>
      <c r="O286" s="16" t="n"/>
    </row>
    <row r="287">
      <c r="A287" s="16" t="inlineStr">
        <is>
          <t>4.1</t>
        </is>
      </c>
      <c r="B287" s="16" t="inlineStr">
        <is>
          <t>4.1c</t>
        </is>
      </c>
      <c r="C287" s="16" t="inlineStr">
        <is>
          <t>KF-M05</t>
        </is>
      </c>
      <c r="D287" s="16" t="inlineStr">
        <is>
          <t>KF-M05-3</t>
        </is>
      </c>
      <c r="E287" s="16" t="inlineStr">
        <is>
          <t>B09-3</t>
        </is>
      </c>
      <c r="F287" s="16" t="inlineStr">
        <is>
          <t>motor</t>
        </is>
      </c>
      <c r="G287" s="16" t="inlineStr">
        <is>
          <t>fijo</t>
        </is>
      </c>
      <c r="H287" s="16" t="inlineStr">
        <is>
          <t>teqp</t>
        </is>
      </c>
      <c r="I287" s="16" t="n"/>
      <c r="J287" s="16" t="n"/>
      <c r="K287" s="16" t="n"/>
      <c r="L287" s="16" t="n"/>
      <c r="M287" s="16" t="inlineStr">
        <is>
          <t>–</t>
        </is>
      </c>
      <c r="N287" s="16" t="inlineStr">
        <is>
          <t>no</t>
        </is>
      </c>
      <c r="O287" s="16" t="n"/>
    </row>
    <row r="288">
      <c r="A288" s="16" t="inlineStr">
        <is>
          <t>4.1</t>
        </is>
      </c>
      <c r="B288" s="16" t="inlineStr">
        <is>
          <t>4.1d</t>
        </is>
      </c>
      <c r="C288" s="16" t="inlineStr">
        <is>
          <t>KF-M05</t>
        </is>
      </c>
      <c r="D288" s="16" t="inlineStr">
        <is>
          <t>KF-M05-4</t>
        </is>
      </c>
      <c r="E288" s="16" t="inlineStr">
        <is>
          <t>B09-4</t>
        </is>
      </c>
      <c r="F288" s="16" t="inlineStr">
        <is>
          <t>T_fuente</t>
        </is>
      </c>
      <c r="G288" s="16" t="inlineStr">
        <is>
          <t>fijo</t>
        </is>
      </c>
      <c r="H288" s="16" t="inlineStr">
        <is>
          <t>623.15</t>
        </is>
      </c>
      <c r="I288" s="16" t="n"/>
      <c r="J288" s="16" t="n"/>
      <c r="K288" s="16" t="n"/>
      <c r="L288" s="16" t="inlineStr">
        <is>
          <t>sí</t>
        </is>
      </c>
      <c r="M288" s="16" t="inlineStr">
        <is>
          <t>K</t>
        </is>
      </c>
      <c r="N288" s="16" t="inlineStr">
        <is>
          <t>no</t>
        </is>
      </c>
      <c r="O288" s="16" t="n"/>
    </row>
    <row r="289">
      <c r="A289" s="16" t="inlineStr">
        <is>
          <t>4.1</t>
        </is>
      </c>
      <c r="B289" s="16" t="inlineStr">
        <is>
          <t>4.1d</t>
        </is>
      </c>
      <c r="C289" s="16" t="inlineStr">
        <is>
          <t>KF-M05</t>
        </is>
      </c>
      <c r="D289" s="16" t="inlineStr">
        <is>
          <t>KF-M05-4</t>
        </is>
      </c>
      <c r="E289" s="16" t="inlineStr">
        <is>
          <t>B09-4</t>
        </is>
      </c>
      <c r="F289" s="16" t="inlineStr">
        <is>
          <t>T_sumidero</t>
        </is>
      </c>
      <c r="G289" s="16" t="inlineStr">
        <is>
          <t>fijo</t>
        </is>
      </c>
      <c r="H289" s="16" t="inlineStr">
        <is>
          <t>300.032917</t>
        </is>
      </c>
      <c r="I289" s="16" t="n"/>
      <c r="J289" s="16" t="n"/>
      <c r="K289" s="16" t="n"/>
      <c r="L289" s="16" t="inlineStr">
        <is>
          <t>sí</t>
        </is>
      </c>
      <c r="M289" s="16" t="inlineStr">
        <is>
          <t>K</t>
        </is>
      </c>
      <c r="N289" s="16" t="inlineStr">
        <is>
          <t>no</t>
        </is>
      </c>
      <c r="O289" s="16" t="n"/>
    </row>
    <row r="290">
      <c r="A290" s="16" t="inlineStr">
        <is>
          <t>4.1</t>
        </is>
      </c>
      <c r="B290" s="16" t="inlineStr">
        <is>
          <t>4.1d</t>
        </is>
      </c>
      <c r="C290" s="16" t="inlineStr">
        <is>
          <t>KF-M05</t>
        </is>
      </c>
      <c r="D290" s="16" t="inlineStr">
        <is>
          <t>KF-M05-4</t>
        </is>
      </c>
      <c r="E290" s="16" t="inlineStr">
        <is>
          <t>B09-4</t>
        </is>
      </c>
      <c r="F290" s="16" t="inlineStr">
        <is>
          <t>P_alta</t>
        </is>
      </c>
      <c r="G290" s="16" t="inlineStr">
        <is>
          <t>fijo</t>
        </is>
      </c>
      <c r="H290" s="16" t="inlineStr">
        <is>
          <t>3000.0</t>
        </is>
      </c>
      <c r="I290" s="16" t="n"/>
      <c r="J290" s="16" t="n"/>
      <c r="K290" s="16" t="n"/>
      <c r="L290" s="16" t="inlineStr">
        <is>
          <t>sí</t>
        </is>
      </c>
      <c r="M290" s="16" t="inlineStr">
        <is>
          <t>kPa</t>
        </is>
      </c>
      <c r="N290" s="16" t="inlineStr">
        <is>
          <t>no</t>
        </is>
      </c>
      <c r="O290" s="16" t="n"/>
    </row>
    <row r="291">
      <c r="A291" s="16" t="inlineStr">
        <is>
          <t>4.1</t>
        </is>
      </c>
      <c r="B291" s="16" t="inlineStr">
        <is>
          <t>4.1d</t>
        </is>
      </c>
      <c r="C291" s="16" t="inlineStr">
        <is>
          <t>KF-M05</t>
        </is>
      </c>
      <c r="D291" s="16" t="inlineStr">
        <is>
          <t>KF-M05-4</t>
        </is>
      </c>
      <c r="E291" s="16" t="inlineStr">
        <is>
          <t>B09-4</t>
        </is>
      </c>
      <c r="F291" s="16" t="inlineStr">
        <is>
          <t>P_baja</t>
        </is>
      </c>
      <c r="G291" s="16" t="inlineStr">
        <is>
          <t>barrido</t>
        </is>
      </c>
      <c r="H291" s="16" t="n"/>
      <c r="I291" s="16" t="n">
        <v>211.4165689488047</v>
      </c>
      <c r="J291" s="16" t="n">
        <v>1985.568583075025</v>
      </c>
      <c r="K291" s="16" t="n">
        <v>120</v>
      </c>
      <c r="L291" s="16" t="n"/>
      <c r="M291" s="16" t="inlineStr">
        <is>
          <t>kPa</t>
        </is>
      </c>
      <c r="N291" s="16" t="inlineStr">
        <is>
          <t>no</t>
        </is>
      </c>
      <c r="O291" s="16" t="n"/>
    </row>
    <row r="292">
      <c r="A292" s="16" t="inlineStr">
        <is>
          <t>4.1</t>
        </is>
      </c>
      <c r="B292" s="16" t="inlineStr">
        <is>
          <t>4.1d</t>
        </is>
      </c>
      <c r="C292" s="16" t="inlineStr">
        <is>
          <t>KF-M05</t>
        </is>
      </c>
      <c r="D292" s="16" t="inlineStr">
        <is>
          <t>KF-M05-4</t>
        </is>
      </c>
      <c r="E292" s="16" t="inlineStr">
        <is>
          <t>B09-4</t>
        </is>
      </c>
      <c r="F292" s="16" t="inlineStr">
        <is>
          <t>x_b</t>
        </is>
      </c>
      <c r="G292" s="16" t="inlineStr">
        <is>
          <t>barrido</t>
        </is>
      </c>
      <c r="H292" s="16" t="n"/>
      <c r="I292" s="16" t="n">
        <v>0.5022607795824025</v>
      </c>
      <c r="J292" s="16" t="n">
        <v>0.8479413415898844</v>
      </c>
      <c r="K292" s="16" t="n">
        <v>120</v>
      </c>
      <c r="L292" s="16" t="n"/>
      <c r="M292" s="16" t="inlineStr">
        <is>
          <t>–</t>
        </is>
      </c>
      <c r="N292" s="16" t="inlineStr">
        <is>
          <t>no</t>
        </is>
      </c>
      <c r="O292" s="16" t="n"/>
    </row>
    <row r="293">
      <c r="A293" s="16" t="inlineStr">
        <is>
          <t>4.1</t>
        </is>
      </c>
      <c r="B293" s="16" t="inlineStr">
        <is>
          <t>4.1d</t>
        </is>
      </c>
      <c r="C293" s="16" t="inlineStr">
        <is>
          <t>KF-M05</t>
        </is>
      </c>
      <c r="D293" s="16" t="inlineStr">
        <is>
          <t>KF-M05-4</t>
        </is>
      </c>
      <c r="E293" s="16" t="inlineStr">
        <is>
          <t>B09-4</t>
        </is>
      </c>
      <c r="F293" s="16" t="inlineStr">
        <is>
          <t>m_b</t>
        </is>
      </c>
      <c r="G293" s="16" t="inlineStr">
        <is>
          <t>fijo</t>
        </is>
      </c>
      <c r="H293" s="16" t="inlineStr">
        <is>
          <t>1.0</t>
        </is>
      </c>
      <c r="I293" s="16" t="n"/>
      <c r="J293" s="16" t="n"/>
      <c r="K293" s="16" t="n"/>
      <c r="L293" s="16" t="inlineStr">
        <is>
          <t>sí</t>
        </is>
      </c>
      <c r="M293" s="16" t="inlineStr">
        <is>
          <t>kg/s</t>
        </is>
      </c>
      <c r="N293" s="16" t="inlineStr">
        <is>
          <t>no</t>
        </is>
      </c>
      <c r="O293" s="16" t="n"/>
    </row>
    <row r="294">
      <c r="A294" s="16" t="inlineStr">
        <is>
          <t>4.1</t>
        </is>
      </c>
      <c r="B294" s="16" t="inlineStr">
        <is>
          <t>4.1d</t>
        </is>
      </c>
      <c r="C294" s="16" t="inlineStr">
        <is>
          <t>KF-M05</t>
        </is>
      </c>
      <c r="D294" s="16" t="inlineStr">
        <is>
          <t>KF-M05-4</t>
        </is>
      </c>
      <c r="E294" s="16" t="inlineStr">
        <is>
          <t>B09-4</t>
        </is>
      </c>
      <c r="F294" s="16" t="inlineStr">
        <is>
          <t>eta_t</t>
        </is>
      </c>
      <c r="G294" s="16" t="inlineStr">
        <is>
          <t>barrido</t>
        </is>
      </c>
      <c r="H294" s="16" t="n"/>
      <c r="I294" s="16" t="n">
        <v>0.4032508501220294</v>
      </c>
      <c r="J294" s="16" t="n">
        <v>0.9457812816888618</v>
      </c>
      <c r="K294" s="16" t="n">
        <v>120</v>
      </c>
      <c r="L294" s="16" t="n"/>
      <c r="M294" s="16" t="inlineStr">
        <is>
          <t>–</t>
        </is>
      </c>
      <c r="N294" s="16" t="inlineStr">
        <is>
          <t>no</t>
        </is>
      </c>
      <c r="O294" s="16" t="n"/>
    </row>
    <row r="295">
      <c r="A295" s="16" t="inlineStr">
        <is>
          <t>4.1</t>
        </is>
      </c>
      <c r="B295" s="16" t="inlineStr">
        <is>
          <t>4.1d</t>
        </is>
      </c>
      <c r="C295" s="16" t="inlineStr">
        <is>
          <t>KF-M05</t>
        </is>
      </c>
      <c r="D295" s="16" t="inlineStr">
        <is>
          <t>KF-M05-4</t>
        </is>
      </c>
      <c r="E295" s="16" t="inlineStr">
        <is>
          <t>B09-4</t>
        </is>
      </c>
      <c r="F295" s="16" t="inlineStr">
        <is>
          <t>eta_p</t>
        </is>
      </c>
      <c r="G295" s="16" t="inlineStr">
        <is>
          <t>barrido</t>
        </is>
      </c>
      <c r="H295" s="16" t="n"/>
      <c r="I295" s="16" t="n">
        <v>0.4003748065918531</v>
      </c>
      <c r="J295" s="16" t="n">
        <v>0.9466129346111156</v>
      </c>
      <c r="K295" s="16" t="n">
        <v>120</v>
      </c>
      <c r="L295" s="16" t="n"/>
      <c r="M295" s="16" t="inlineStr">
        <is>
          <t>–</t>
        </is>
      </c>
      <c r="N295" s="16" t="inlineStr">
        <is>
          <t>no</t>
        </is>
      </c>
      <c r="O295" s="16" t="n"/>
    </row>
    <row r="296">
      <c r="A296" s="16" t="inlineStr">
        <is>
          <t>4.1</t>
        </is>
      </c>
      <c r="B296" s="16" t="inlineStr">
        <is>
          <t>4.1d</t>
        </is>
      </c>
      <c r="C296" s="16" t="inlineStr">
        <is>
          <t>KF-M05</t>
        </is>
      </c>
      <c r="D296" s="16" t="inlineStr">
        <is>
          <t>KF-M05-4</t>
        </is>
      </c>
      <c r="E296" s="16" t="inlineStr">
        <is>
          <t>B09-4</t>
        </is>
      </c>
      <c r="F296" s="16" t="inlineStr">
        <is>
          <t>eps_hrvg</t>
        </is>
      </c>
      <c r="G296" s="16" t="inlineStr">
        <is>
          <t>barrido</t>
        </is>
      </c>
      <c r="H296" s="16" t="n"/>
      <c r="I296" s="16" t="n">
        <v>0.4042501998338983</v>
      </c>
      <c r="J296" s="16" t="n">
        <v>0.9495782915772266</v>
      </c>
      <c r="K296" s="16" t="n">
        <v>120</v>
      </c>
      <c r="L296" s="16" t="n"/>
      <c r="M296" s="16" t="inlineStr">
        <is>
          <t>–</t>
        </is>
      </c>
      <c r="N296" s="16" t="inlineStr">
        <is>
          <t>no</t>
        </is>
      </c>
      <c r="O296" s="16" t="n"/>
    </row>
    <row r="297">
      <c r="A297" s="16" t="inlineStr">
        <is>
          <t>4.1</t>
        </is>
      </c>
      <c r="B297" s="16" t="inlineStr">
        <is>
          <t>4.1d</t>
        </is>
      </c>
      <c r="C297" s="16" t="inlineStr">
        <is>
          <t>KF-M05</t>
        </is>
      </c>
      <c r="D297" s="16" t="inlineStr">
        <is>
          <t>KF-M05-4</t>
        </is>
      </c>
      <c r="E297" s="16" t="inlineStr">
        <is>
          <t>B09-4</t>
        </is>
      </c>
      <c r="F297" s="16" t="inlineStr">
        <is>
          <t>eps_reg</t>
        </is>
      </c>
      <c r="G297" s="16" t="inlineStr">
        <is>
          <t>barrido</t>
        </is>
      </c>
      <c r="H297" s="16" t="n"/>
      <c r="I297" s="16" t="n">
        <v>0.4009418555084996</v>
      </c>
      <c r="J297" s="16" t="n">
        <v>0.9465971623676864</v>
      </c>
      <c r="K297" s="16" t="n">
        <v>120</v>
      </c>
      <c r="L297" s="16" t="n"/>
      <c r="M297" s="16" t="inlineStr">
        <is>
          <t>–</t>
        </is>
      </c>
      <c r="N297" s="16" t="inlineStr">
        <is>
          <t>no</t>
        </is>
      </c>
      <c r="O297" s="16" t="n"/>
    </row>
    <row r="298">
      <c r="A298" s="16" t="inlineStr">
        <is>
          <t>4.1</t>
        </is>
      </c>
      <c r="B298" s="16" t="inlineStr">
        <is>
          <t>4.1d</t>
        </is>
      </c>
      <c r="C298" s="16" t="inlineStr">
        <is>
          <t>KF-M05</t>
        </is>
      </c>
      <c r="D298" s="16" t="inlineStr">
        <is>
          <t>KF-M05-4</t>
        </is>
      </c>
      <c r="E298" s="16" t="inlineStr">
        <is>
          <t>B09-4</t>
        </is>
      </c>
      <c r="F298" s="16" t="inlineStr">
        <is>
          <t>eps_cond</t>
        </is>
      </c>
      <c r="G298" s="16" t="inlineStr">
        <is>
          <t>barrido</t>
        </is>
      </c>
      <c r="H298" s="16" t="n"/>
      <c r="I298" s="16" t="n">
        <v>0.40216648025934</v>
      </c>
      <c r="J298" s="16" t="n">
        <v>0.9467498828761068</v>
      </c>
      <c r="K298" s="16" t="n">
        <v>120</v>
      </c>
      <c r="L298" s="16" t="n"/>
      <c r="M298" s="16" t="inlineStr">
        <is>
          <t>–</t>
        </is>
      </c>
      <c r="N298" s="16" t="inlineStr">
        <is>
          <t>no</t>
        </is>
      </c>
      <c r="O298" s="16" t="n"/>
    </row>
    <row r="299">
      <c r="A299" s="16" t="inlineStr">
        <is>
          <t>4.1</t>
        </is>
      </c>
      <c r="B299" s="16" t="inlineStr">
        <is>
          <t>4.1d</t>
        </is>
      </c>
      <c r="C299" s="16" t="inlineStr">
        <is>
          <t>KF-M05</t>
        </is>
      </c>
      <c r="D299" s="16" t="inlineStr">
        <is>
          <t>KF-M05-4</t>
        </is>
      </c>
      <c r="E299" s="16" t="inlineStr">
        <is>
          <t>B09-4</t>
        </is>
      </c>
      <c r="F299" s="16" t="inlineStr">
        <is>
          <t>T_amb_diseno</t>
        </is>
      </c>
      <c r="G299" s="16" t="inlineStr">
        <is>
          <t>fijo</t>
        </is>
      </c>
      <c r="H299" s="16" t="inlineStr">
        <is>
          <t>300.032917</t>
        </is>
      </c>
      <c r="I299" s="16" t="n"/>
      <c r="J299" s="16" t="n"/>
      <c r="K299" s="16" t="n"/>
      <c r="L299" s="16" t="inlineStr">
        <is>
          <t>sí</t>
        </is>
      </c>
      <c r="M299" s="16" t="inlineStr">
        <is>
          <t>K</t>
        </is>
      </c>
      <c r="N299" s="16" t="inlineStr">
        <is>
          <t>no</t>
        </is>
      </c>
      <c r="O299" s="16" t="n"/>
    </row>
    <row r="300">
      <c r="A300" s="16" t="inlineStr">
        <is>
          <t>4.1</t>
        </is>
      </c>
      <c r="B300" s="16" t="inlineStr">
        <is>
          <t>4.1d</t>
        </is>
      </c>
      <c r="C300" s="16" t="inlineStr">
        <is>
          <t>KF-M05</t>
        </is>
      </c>
      <c r="D300" s="16" t="inlineStr">
        <is>
          <t>KF-M05-4</t>
        </is>
      </c>
      <c r="E300" s="16" t="inlineStr">
        <is>
          <t>B09-4</t>
        </is>
      </c>
      <c r="F300" s="16" t="inlineStr">
        <is>
          <t>motor</t>
        </is>
      </c>
      <c r="G300" s="16" t="inlineStr">
        <is>
          <t>fijo</t>
        </is>
      </c>
      <c r="H300" s="16" t="inlineStr">
        <is>
          <t>teqp</t>
        </is>
      </c>
      <c r="I300" s="16" t="n"/>
      <c r="J300" s="16" t="n"/>
      <c r="K300" s="16" t="n"/>
      <c r="L300" s="16" t="n"/>
      <c r="M300" s="16" t="inlineStr">
        <is>
          <t>–</t>
        </is>
      </c>
      <c r="N300" s="16" t="inlineStr">
        <is>
          <t>no</t>
        </is>
      </c>
      <c r="O300" s="16" t="n"/>
    </row>
    <row r="301">
      <c r="A301" s="16" t="inlineStr">
        <is>
          <t>4.1</t>
        </is>
      </c>
      <c r="B301" s="16" t="inlineStr">
        <is>
          <t>4.1e</t>
        </is>
      </c>
      <c r="C301" s="16" t="inlineStr">
        <is>
          <t>KF-M05</t>
        </is>
      </c>
      <c r="D301" s="16" t="inlineStr">
        <is>
          <t>KF-M05-5</t>
        </is>
      </c>
      <c r="E301" s="16" t="inlineStr">
        <is>
          <t>B09-5</t>
        </is>
      </c>
      <c r="F301" s="16" t="inlineStr">
        <is>
          <t>T_fuente</t>
        </is>
      </c>
      <c r="G301" s="16" t="inlineStr">
        <is>
          <t>fijo</t>
        </is>
      </c>
      <c r="H301" s="16" t="inlineStr">
        <is>
          <t>623.15</t>
        </is>
      </c>
      <c r="I301" s="16" t="n"/>
      <c r="J301" s="16" t="n"/>
      <c r="K301" s="16" t="n"/>
      <c r="L301" s="16" t="inlineStr">
        <is>
          <t>sí</t>
        </is>
      </c>
      <c r="M301" s="16" t="inlineStr">
        <is>
          <t>K</t>
        </is>
      </c>
      <c r="N301" s="16" t="inlineStr">
        <is>
          <t>no</t>
        </is>
      </c>
      <c r="O301" s="16" t="n"/>
    </row>
    <row r="302">
      <c r="A302" s="16" t="inlineStr">
        <is>
          <t>4.1</t>
        </is>
      </c>
      <c r="B302" s="16" t="inlineStr">
        <is>
          <t>4.1e</t>
        </is>
      </c>
      <c r="C302" s="16" t="inlineStr">
        <is>
          <t>KF-M05</t>
        </is>
      </c>
      <c r="D302" s="16" t="inlineStr">
        <is>
          <t>KF-M05-5</t>
        </is>
      </c>
      <c r="E302" s="16" t="inlineStr">
        <is>
          <t>B09-5</t>
        </is>
      </c>
      <c r="F302" s="16" t="inlineStr">
        <is>
          <t>T_sumidero</t>
        </is>
      </c>
      <c r="G302" s="16" t="inlineStr">
        <is>
          <t>barrido</t>
        </is>
      </c>
      <c r="H302" s="16" t="n"/>
      <c r="I302" s="16" t="n">
        <v>278.2806227251887</v>
      </c>
      <c r="J302" s="16" t="n">
        <v>303.3580790917477</v>
      </c>
      <c r="K302" s="16" t="n">
        <v>120</v>
      </c>
      <c r="L302" s="16" t="n"/>
      <c r="M302" s="16" t="inlineStr">
        <is>
          <t>K</t>
        </is>
      </c>
      <c r="N302" s="16" t="inlineStr">
        <is>
          <t>no</t>
        </is>
      </c>
      <c r="O302" s="16" t="n"/>
    </row>
    <row r="303">
      <c r="A303" s="16" t="inlineStr">
        <is>
          <t>4.1</t>
        </is>
      </c>
      <c r="B303" s="16" t="inlineStr">
        <is>
          <t>4.1e</t>
        </is>
      </c>
      <c r="C303" s="16" t="inlineStr">
        <is>
          <t>KF-M05</t>
        </is>
      </c>
      <c r="D303" s="16" t="inlineStr">
        <is>
          <t>KF-M05-5</t>
        </is>
      </c>
      <c r="E303" s="16" t="inlineStr">
        <is>
          <t>B09-5</t>
        </is>
      </c>
      <c r="F303" s="16" t="inlineStr">
        <is>
          <t>P_alta</t>
        </is>
      </c>
      <c r="G303" s="16" t="inlineStr">
        <is>
          <t>barrido</t>
        </is>
      </c>
      <c r="H303" s="16" t="n"/>
      <c r="I303" s="16" t="n">
        <v>2023.003329493351</v>
      </c>
      <c r="J303" s="16" t="n">
        <v>4997.473506554956</v>
      </c>
      <c r="K303" s="16" t="n">
        <v>120</v>
      </c>
      <c r="L303" s="16" t="n"/>
      <c r="M303" s="16" t="inlineStr">
        <is>
          <t>kPa</t>
        </is>
      </c>
      <c r="N303" s="16" t="inlineStr">
        <is>
          <t>no</t>
        </is>
      </c>
      <c r="O303" s="16" t="n"/>
    </row>
    <row r="304">
      <c r="A304" s="16" t="inlineStr">
        <is>
          <t>4.1</t>
        </is>
      </c>
      <c r="B304" s="16" t="inlineStr">
        <is>
          <t>4.1e</t>
        </is>
      </c>
      <c r="C304" s="16" t="inlineStr">
        <is>
          <t>KF-M05</t>
        </is>
      </c>
      <c r="D304" s="16" t="inlineStr">
        <is>
          <t>KF-M05-5</t>
        </is>
      </c>
      <c r="E304" s="16" t="inlineStr">
        <is>
          <t>B09-5</t>
        </is>
      </c>
      <c r="F304" s="16" t="inlineStr">
        <is>
          <t>P_baja</t>
        </is>
      </c>
      <c r="G304" s="16" t="inlineStr">
        <is>
          <t>barrido</t>
        </is>
      </c>
      <c r="H304" s="16" t="n"/>
      <c r="I304" s="16" t="n">
        <v>206.1261602277809</v>
      </c>
      <c r="J304" s="16" t="n">
        <v>1999.256496404628</v>
      </c>
      <c r="K304" s="16" t="n">
        <v>120</v>
      </c>
      <c r="L304" s="16" t="n"/>
      <c r="M304" s="16" t="inlineStr">
        <is>
          <t>kPa</t>
        </is>
      </c>
      <c r="N304" s="16" t="inlineStr">
        <is>
          <t>no</t>
        </is>
      </c>
      <c r="O304" s="16" t="n"/>
    </row>
    <row r="305">
      <c r="A305" s="16" t="inlineStr">
        <is>
          <t>4.1</t>
        </is>
      </c>
      <c r="B305" s="16" t="inlineStr">
        <is>
          <t>4.1e</t>
        </is>
      </c>
      <c r="C305" s="16" t="inlineStr">
        <is>
          <t>KF-M05</t>
        </is>
      </c>
      <c r="D305" s="16" t="inlineStr">
        <is>
          <t>KF-M05-5</t>
        </is>
      </c>
      <c r="E305" s="16" t="inlineStr">
        <is>
          <t>B09-5</t>
        </is>
      </c>
      <c r="F305" s="16" t="inlineStr">
        <is>
          <t>x_b</t>
        </is>
      </c>
      <c r="G305" s="16" t="inlineStr">
        <is>
          <t>fijo</t>
        </is>
      </c>
      <c r="H305" s="16" t="inlineStr">
        <is>
          <t>0.5</t>
        </is>
      </c>
      <c r="I305" s="16" t="n"/>
      <c r="J305" s="16" t="n"/>
      <c r="K305" s="16" t="n"/>
      <c r="L305" s="16" t="inlineStr">
        <is>
          <t>sí</t>
        </is>
      </c>
      <c r="M305" s="16" t="inlineStr">
        <is>
          <t>–</t>
        </is>
      </c>
      <c r="N305" s="16" t="inlineStr">
        <is>
          <t>no</t>
        </is>
      </c>
      <c r="O305" s="16" t="n"/>
    </row>
    <row r="306">
      <c r="A306" s="16" t="inlineStr">
        <is>
          <t>4.1</t>
        </is>
      </c>
      <c r="B306" s="16" t="inlineStr">
        <is>
          <t>4.1e</t>
        </is>
      </c>
      <c r="C306" s="16" t="inlineStr">
        <is>
          <t>KF-M05</t>
        </is>
      </c>
      <c r="D306" s="16" t="inlineStr">
        <is>
          <t>KF-M05-5</t>
        </is>
      </c>
      <c r="E306" s="16" t="inlineStr">
        <is>
          <t>B09-5</t>
        </is>
      </c>
      <c r="F306" s="16" t="inlineStr">
        <is>
          <t>m_b</t>
        </is>
      </c>
      <c r="G306" s="16" t="inlineStr">
        <is>
          <t>fijo</t>
        </is>
      </c>
      <c r="H306" s="16" t="inlineStr">
        <is>
          <t>1.0</t>
        </is>
      </c>
      <c r="I306" s="16" t="n"/>
      <c r="J306" s="16" t="n"/>
      <c r="K306" s="16" t="n"/>
      <c r="L306" s="16" t="inlineStr">
        <is>
          <t>sí</t>
        </is>
      </c>
      <c r="M306" s="16" t="inlineStr">
        <is>
          <t>kg/s</t>
        </is>
      </c>
      <c r="N306" s="16" t="inlineStr">
        <is>
          <t>no</t>
        </is>
      </c>
      <c r="O306" s="16" t="n"/>
    </row>
    <row r="307">
      <c r="A307" s="16" t="inlineStr">
        <is>
          <t>4.1</t>
        </is>
      </c>
      <c r="B307" s="16" t="inlineStr">
        <is>
          <t>4.1e</t>
        </is>
      </c>
      <c r="C307" s="16" t="inlineStr">
        <is>
          <t>KF-M05</t>
        </is>
      </c>
      <c r="D307" s="16" t="inlineStr">
        <is>
          <t>KF-M05-5</t>
        </is>
      </c>
      <c r="E307" s="16" t="inlineStr">
        <is>
          <t>B09-5</t>
        </is>
      </c>
      <c r="F307" s="16" t="inlineStr">
        <is>
          <t>eta_t</t>
        </is>
      </c>
      <c r="G307" s="16" t="inlineStr">
        <is>
          <t>barrido</t>
        </is>
      </c>
      <c r="H307" s="16" t="n"/>
      <c r="I307" s="16" t="n">
        <v>0.4032988745833107</v>
      </c>
      <c r="J307" s="16" t="n">
        <v>0.9499456170741892</v>
      </c>
      <c r="K307" s="16" t="n">
        <v>120</v>
      </c>
      <c r="L307" s="16" t="n"/>
      <c r="M307" s="16" t="inlineStr">
        <is>
          <t>–</t>
        </is>
      </c>
      <c r="N307" s="16" t="inlineStr">
        <is>
          <t>no</t>
        </is>
      </c>
      <c r="O307" s="16" t="n"/>
    </row>
    <row r="308">
      <c r="A308" s="16" t="inlineStr">
        <is>
          <t>4.1</t>
        </is>
      </c>
      <c r="B308" s="16" t="inlineStr">
        <is>
          <t>4.1e</t>
        </is>
      </c>
      <c r="C308" s="16" t="inlineStr">
        <is>
          <t>KF-M05</t>
        </is>
      </c>
      <c r="D308" s="16" t="inlineStr">
        <is>
          <t>KF-M05-5</t>
        </is>
      </c>
      <c r="E308" s="16" t="inlineStr">
        <is>
          <t>B09-5</t>
        </is>
      </c>
      <c r="F308" s="16" t="inlineStr">
        <is>
          <t>eta_p</t>
        </is>
      </c>
      <c r="G308" s="16" t="inlineStr">
        <is>
          <t>barrido</t>
        </is>
      </c>
      <c r="H308" s="16" t="n"/>
      <c r="I308" s="16" t="n">
        <v>0.4034848591479167</v>
      </c>
      <c r="J308" s="16" t="n">
        <v>0.9476034708418593</v>
      </c>
      <c r="K308" s="16" t="n">
        <v>120</v>
      </c>
      <c r="L308" s="16" t="n"/>
      <c r="M308" s="16" t="inlineStr">
        <is>
          <t>–</t>
        </is>
      </c>
      <c r="N308" s="16" t="inlineStr">
        <is>
          <t>no</t>
        </is>
      </c>
      <c r="O308" s="16" t="n"/>
    </row>
    <row r="309">
      <c r="A309" s="16" t="inlineStr">
        <is>
          <t>4.1</t>
        </is>
      </c>
      <c r="B309" s="16" t="inlineStr">
        <is>
          <t>4.1e</t>
        </is>
      </c>
      <c r="C309" s="16" t="inlineStr">
        <is>
          <t>KF-M05</t>
        </is>
      </c>
      <c r="D309" s="16" t="inlineStr">
        <is>
          <t>KF-M05-5</t>
        </is>
      </c>
      <c r="E309" s="16" t="inlineStr">
        <is>
          <t>B09-5</t>
        </is>
      </c>
      <c r="F309" s="16" t="inlineStr">
        <is>
          <t>eps_hrvg</t>
        </is>
      </c>
      <c r="G309" s="16" t="inlineStr">
        <is>
          <t>barrido</t>
        </is>
      </c>
      <c r="H309" s="16" t="n"/>
      <c r="I309" s="16" t="n">
        <v>0.4041405485436614</v>
      </c>
      <c r="J309" s="16" t="n">
        <v>0.948736195558128</v>
      </c>
      <c r="K309" s="16" t="n">
        <v>120</v>
      </c>
      <c r="L309" s="16" t="n"/>
      <c r="M309" s="16" t="inlineStr">
        <is>
          <t>–</t>
        </is>
      </c>
      <c r="N309" s="16" t="inlineStr">
        <is>
          <t>no</t>
        </is>
      </c>
      <c r="O309" s="16" t="n"/>
    </row>
    <row r="310">
      <c r="A310" s="16" t="inlineStr">
        <is>
          <t>4.1</t>
        </is>
      </c>
      <c r="B310" s="16" t="inlineStr">
        <is>
          <t>4.1e</t>
        </is>
      </c>
      <c r="C310" s="16" t="inlineStr">
        <is>
          <t>KF-M05</t>
        </is>
      </c>
      <c r="D310" s="16" t="inlineStr">
        <is>
          <t>KF-M05-5</t>
        </is>
      </c>
      <c r="E310" s="16" t="inlineStr">
        <is>
          <t>B09-5</t>
        </is>
      </c>
      <c r="F310" s="16" t="inlineStr">
        <is>
          <t>eps_reg</t>
        </is>
      </c>
      <c r="G310" s="16" t="inlineStr">
        <is>
          <t>barrido</t>
        </is>
      </c>
      <c r="H310" s="16" t="n"/>
      <c r="I310" s="16" t="n">
        <v>0.4026455857810592</v>
      </c>
      <c r="J310" s="16" t="n">
        <v>0.9472498167419372</v>
      </c>
      <c r="K310" s="16" t="n">
        <v>120</v>
      </c>
      <c r="L310" s="16" t="n"/>
      <c r="M310" s="16" t="inlineStr">
        <is>
          <t>–</t>
        </is>
      </c>
      <c r="N310" s="16" t="inlineStr">
        <is>
          <t>no</t>
        </is>
      </c>
      <c r="O310" s="16" t="n"/>
    </row>
    <row r="311">
      <c r="A311" s="16" t="inlineStr">
        <is>
          <t>4.1</t>
        </is>
      </c>
      <c r="B311" s="16" t="inlineStr">
        <is>
          <t>4.1e</t>
        </is>
      </c>
      <c r="C311" s="16" t="inlineStr">
        <is>
          <t>KF-M05</t>
        </is>
      </c>
      <c r="D311" s="16" t="inlineStr">
        <is>
          <t>KF-M05-5</t>
        </is>
      </c>
      <c r="E311" s="16" t="inlineStr">
        <is>
          <t>B09-5</t>
        </is>
      </c>
      <c r="F311" s="16" t="inlineStr">
        <is>
          <t>eps_cond</t>
        </is>
      </c>
      <c r="G311" s="16" t="inlineStr">
        <is>
          <t>barrido</t>
        </is>
      </c>
      <c r="H311" s="16" t="n"/>
      <c r="I311" s="16" t="n">
        <v>0.4012661929469449</v>
      </c>
      <c r="J311" s="16" t="n">
        <v>0.9482512639468262</v>
      </c>
      <c r="K311" s="16" t="n">
        <v>120</v>
      </c>
      <c r="L311" s="16" t="n"/>
      <c r="M311" s="16" t="inlineStr">
        <is>
          <t>–</t>
        </is>
      </c>
      <c r="N311" s="16" t="inlineStr">
        <is>
          <t>no</t>
        </is>
      </c>
      <c r="O311" s="16" t="n"/>
    </row>
    <row r="312">
      <c r="A312" s="16" t="inlineStr">
        <is>
          <t>4.1</t>
        </is>
      </c>
      <c r="B312" s="16" t="inlineStr">
        <is>
          <t>4.1e</t>
        </is>
      </c>
      <c r="C312" s="16" t="inlineStr">
        <is>
          <t>KF-M05</t>
        </is>
      </c>
      <c r="D312" s="16" t="inlineStr">
        <is>
          <t>KF-M05-5</t>
        </is>
      </c>
      <c r="E312" s="16" t="inlineStr">
        <is>
          <t>B09-5</t>
        </is>
      </c>
      <c r="F312" s="16" t="inlineStr">
        <is>
          <t>T_amb_diseno</t>
        </is>
      </c>
      <c r="G312" s="16" t="inlineStr">
        <is>
          <t>barrido</t>
        </is>
      </c>
      <c r="H312" s="16" t="n"/>
      <c r="I312" s="16" t="n">
        <v>278.2806227251887</v>
      </c>
      <c r="J312" s="16" t="n">
        <v>303.3580790917477</v>
      </c>
      <c r="K312" s="16" t="n">
        <v>119</v>
      </c>
      <c r="L312" s="16" t="n"/>
      <c r="M312" s="16" t="inlineStr">
        <is>
          <t>K</t>
        </is>
      </c>
      <c r="N312" s="16" t="inlineStr">
        <is>
          <t>no</t>
        </is>
      </c>
      <c r="O312" s="16" t="n"/>
    </row>
    <row r="313">
      <c r="A313" s="16" t="inlineStr">
        <is>
          <t>4.1</t>
        </is>
      </c>
      <c r="B313" s="16" t="inlineStr">
        <is>
          <t>4.1e</t>
        </is>
      </c>
      <c r="C313" s="16" t="inlineStr">
        <is>
          <t>KF-M05</t>
        </is>
      </c>
      <c r="D313" s="16" t="inlineStr">
        <is>
          <t>KF-M05-5</t>
        </is>
      </c>
      <c r="E313" s="16" t="inlineStr">
        <is>
          <t>B09-5</t>
        </is>
      </c>
      <c r="F313" s="16" t="inlineStr">
        <is>
          <t>motor</t>
        </is>
      </c>
      <c r="G313" s="16" t="inlineStr">
        <is>
          <t>fijo</t>
        </is>
      </c>
      <c r="H313" s="16" t="inlineStr">
        <is>
          <t>teqp</t>
        </is>
      </c>
      <c r="I313" s="16" t="n"/>
      <c r="J313" s="16" t="n"/>
      <c r="K313" s="16" t="n"/>
      <c r="L313" s="16" t="n"/>
      <c r="M313" s="16" t="inlineStr">
        <is>
          <t>–</t>
        </is>
      </c>
      <c r="N313" s="16" t="inlineStr">
        <is>
          <t>no</t>
        </is>
      </c>
      <c r="O313" s="16" t="n"/>
    </row>
    <row r="314">
      <c r="A314" s="16" t="inlineStr">
        <is>
          <t>4.2</t>
        </is>
      </c>
      <c r="B314" s="16" t="inlineStr">
        <is>
          <t>4.2</t>
        </is>
      </c>
      <c r="C314" s="16" t="inlineStr">
        <is>
          <t>KF-M05c</t>
        </is>
      </c>
      <c r="D314" s="16" t="inlineStr">
        <is>
          <t>KF-M05c</t>
        </is>
      </c>
      <c r="E314" s="16" t="inlineStr">
        <is>
          <t>B10</t>
        </is>
      </c>
      <c r="F314" s="16" t="inlineStr">
        <is>
          <t>T_fuente</t>
        </is>
      </c>
      <c r="G314" s="16" t="inlineStr">
        <is>
          <t>barrido</t>
        </is>
      </c>
      <c r="H314" s="16" t="n"/>
      <c r="I314" s="16" t="n">
        <v>385</v>
      </c>
      <c r="J314" s="16" t="n">
        <v>410</v>
      </c>
      <c r="K314" s="16" t="n">
        <v>11</v>
      </c>
      <c r="L314" s="16" t="n"/>
      <c r="M314" s="16" t="inlineStr">
        <is>
          <t>K</t>
        </is>
      </c>
      <c r="N314" s="16" t="inlineStr">
        <is>
          <t>no</t>
        </is>
      </c>
      <c r="O314" s="16" t="n"/>
    </row>
    <row r="315">
      <c r="A315" s="16" t="inlineStr">
        <is>
          <t>4.2</t>
        </is>
      </c>
      <c r="B315" s="16" t="inlineStr">
        <is>
          <t>4.2</t>
        </is>
      </c>
      <c r="C315" s="16" t="inlineStr">
        <is>
          <t>KF-M05c</t>
        </is>
      </c>
      <c r="D315" s="16" t="inlineStr">
        <is>
          <t>KF-M05c</t>
        </is>
      </c>
      <c r="E315" s="16" t="inlineStr">
        <is>
          <t>B10</t>
        </is>
      </c>
      <c r="F315" s="16" t="inlineStr">
        <is>
          <t>T_sumidero</t>
        </is>
      </c>
      <c r="G315" s="16" t="inlineStr">
        <is>
          <t>barrido</t>
        </is>
      </c>
      <c r="H315" s="16" t="n"/>
      <c r="I315" s="16" t="n">
        <v>278.15</v>
      </c>
      <c r="J315" s="16" t="n">
        <v>300.032917</v>
      </c>
      <c r="K315" s="16" t="n">
        <v>3</v>
      </c>
      <c r="L315" s="16" t="n"/>
      <c r="M315" s="16" t="inlineStr">
        <is>
          <t>K</t>
        </is>
      </c>
      <c r="N315" s="16" t="inlineStr">
        <is>
          <t>no</t>
        </is>
      </c>
      <c r="O315" s="16" t="n"/>
    </row>
    <row r="316">
      <c r="A316" s="16" t="inlineStr">
        <is>
          <t>4.2</t>
        </is>
      </c>
      <c r="B316" s="16" t="inlineStr">
        <is>
          <t>4.2</t>
        </is>
      </c>
      <c r="C316" s="16" t="inlineStr">
        <is>
          <t>KF-M05c</t>
        </is>
      </c>
      <c r="D316" s="16" t="inlineStr">
        <is>
          <t>KF-M05c</t>
        </is>
      </c>
      <c r="E316" s="16" t="inlineStr">
        <is>
          <t>B10</t>
        </is>
      </c>
      <c r="F316" s="16" t="inlineStr">
        <is>
          <t>P_alta</t>
        </is>
      </c>
      <c r="G316" s="16" t="inlineStr">
        <is>
          <t>fijo</t>
        </is>
      </c>
      <c r="H316" s="16" t="inlineStr">
        <is>
          <t>3000.0</t>
        </is>
      </c>
      <c r="I316" s="16" t="n"/>
      <c r="J316" s="16" t="n"/>
      <c r="K316" s="16" t="n"/>
      <c r="L316" s="16" t="inlineStr">
        <is>
          <t>sí</t>
        </is>
      </c>
      <c r="M316" s="16" t="inlineStr">
        <is>
          <t>kPa</t>
        </is>
      </c>
      <c r="N316" s="16" t="inlineStr">
        <is>
          <t>no</t>
        </is>
      </c>
      <c r="O316" s="16" t="n"/>
    </row>
    <row r="317">
      <c r="A317" s="16" t="inlineStr">
        <is>
          <t>4.2</t>
        </is>
      </c>
      <c r="B317" s="16" t="inlineStr">
        <is>
          <t>4.2</t>
        </is>
      </c>
      <c r="C317" s="16" t="inlineStr">
        <is>
          <t>KF-M05c</t>
        </is>
      </c>
      <c r="D317" s="16" t="inlineStr">
        <is>
          <t>KF-M05c</t>
        </is>
      </c>
      <c r="E317" s="16" t="inlineStr">
        <is>
          <t>B10</t>
        </is>
      </c>
      <c r="F317" s="16" t="inlineStr">
        <is>
          <t>P_baja</t>
        </is>
      </c>
      <c r="G317" s="16" t="inlineStr">
        <is>
          <t>fijo</t>
        </is>
      </c>
      <c r="H317" s="16" t="inlineStr">
        <is>
          <t>400.0</t>
        </is>
      </c>
      <c r="I317" s="16" t="n"/>
      <c r="J317" s="16" t="n"/>
      <c r="K317" s="16" t="n"/>
      <c r="L317" s="16" t="inlineStr">
        <is>
          <t>sí</t>
        </is>
      </c>
      <c r="M317" s="16" t="inlineStr">
        <is>
          <t>kPa</t>
        </is>
      </c>
      <c r="N317" s="16" t="inlineStr">
        <is>
          <t>no</t>
        </is>
      </c>
      <c r="O317" s="16" t="n"/>
    </row>
    <row r="318">
      <c r="A318" s="16" t="inlineStr">
        <is>
          <t>4.2</t>
        </is>
      </c>
      <c r="B318" s="16" t="inlineStr">
        <is>
          <t>4.2</t>
        </is>
      </c>
      <c r="C318" s="16" t="inlineStr">
        <is>
          <t>KF-M05c</t>
        </is>
      </c>
      <c r="D318" s="16" t="inlineStr">
        <is>
          <t>KF-M05c</t>
        </is>
      </c>
      <c r="E318" s="16" t="inlineStr">
        <is>
          <t>B10</t>
        </is>
      </c>
      <c r="F318" s="16" t="inlineStr">
        <is>
          <t>x_b</t>
        </is>
      </c>
      <c r="G318" s="16" t="inlineStr">
        <is>
          <t>fijo</t>
        </is>
      </c>
      <c r="H318" s="16" t="inlineStr">
        <is>
          <t>0.5</t>
        </is>
      </c>
      <c r="I318" s="16" t="n"/>
      <c r="J318" s="16" t="n"/>
      <c r="K318" s="16" t="n"/>
      <c r="L318" s="16" t="inlineStr">
        <is>
          <t>sí</t>
        </is>
      </c>
      <c r="M318" s="16" t="inlineStr">
        <is>
          <t>–</t>
        </is>
      </c>
      <c r="N318" s="16" t="inlineStr">
        <is>
          <t>no</t>
        </is>
      </c>
      <c r="O318" s="16" t="n"/>
    </row>
    <row r="319">
      <c r="A319" s="16" t="inlineStr">
        <is>
          <t>4.2</t>
        </is>
      </c>
      <c r="B319" s="16" t="inlineStr">
        <is>
          <t>4.2</t>
        </is>
      </c>
      <c r="C319" s="16" t="inlineStr">
        <is>
          <t>KF-M05c</t>
        </is>
      </c>
      <c r="D319" s="16" t="inlineStr">
        <is>
          <t>KF-M05c</t>
        </is>
      </c>
      <c r="E319" s="16" t="inlineStr">
        <is>
          <t>B10</t>
        </is>
      </c>
      <c r="F319" s="16" t="inlineStr">
        <is>
          <t>m_b</t>
        </is>
      </c>
      <c r="G319" s="16" t="inlineStr">
        <is>
          <t>fijo</t>
        </is>
      </c>
      <c r="H319" s="16" t="inlineStr">
        <is>
          <t>1.0</t>
        </is>
      </c>
      <c r="I319" s="16" t="n"/>
      <c r="J319" s="16" t="n"/>
      <c r="K319" s="16" t="n"/>
      <c r="L319" s="16" t="inlineStr">
        <is>
          <t>sí</t>
        </is>
      </c>
      <c r="M319" s="16" t="inlineStr">
        <is>
          <t>kg/s</t>
        </is>
      </c>
      <c r="N319" s="16" t="inlineStr">
        <is>
          <t>no</t>
        </is>
      </c>
      <c r="O319" s="16" t="n"/>
    </row>
    <row r="320">
      <c r="A320" s="16" t="inlineStr">
        <is>
          <t>4.2</t>
        </is>
      </c>
      <c r="B320" s="16" t="inlineStr">
        <is>
          <t>4.2</t>
        </is>
      </c>
      <c r="C320" s="16" t="inlineStr">
        <is>
          <t>KF-M05c</t>
        </is>
      </c>
      <c r="D320" s="16" t="inlineStr">
        <is>
          <t>KF-M05c</t>
        </is>
      </c>
      <c r="E320" s="16" t="inlineStr">
        <is>
          <t>B10</t>
        </is>
      </c>
      <c r="F320" s="16" t="inlineStr">
        <is>
          <t>eta_t</t>
        </is>
      </c>
      <c r="G320" s="16" t="inlineStr">
        <is>
          <t>fijo</t>
        </is>
      </c>
      <c r="H320" s="16" t="inlineStr">
        <is>
          <t>0.85</t>
        </is>
      </c>
      <c r="I320" s="16" t="n"/>
      <c r="J320" s="16" t="n"/>
      <c r="K320" s="16" t="n"/>
      <c r="L320" s="16" t="inlineStr">
        <is>
          <t>sí</t>
        </is>
      </c>
      <c r="M320" s="16" t="inlineStr">
        <is>
          <t>–</t>
        </is>
      </c>
      <c r="N320" s="16" t="inlineStr">
        <is>
          <t>no</t>
        </is>
      </c>
      <c r="O320" s="16" t="n"/>
    </row>
    <row r="321">
      <c r="A321" s="16" t="inlineStr">
        <is>
          <t>4.2</t>
        </is>
      </c>
      <c r="B321" s="16" t="inlineStr">
        <is>
          <t>4.2</t>
        </is>
      </c>
      <c r="C321" s="16" t="inlineStr">
        <is>
          <t>KF-M05c</t>
        </is>
      </c>
      <c r="D321" s="16" t="inlineStr">
        <is>
          <t>KF-M05c</t>
        </is>
      </c>
      <c r="E321" s="16" t="inlineStr">
        <is>
          <t>B10</t>
        </is>
      </c>
      <c r="F321" s="16" t="inlineStr">
        <is>
          <t>eta_p</t>
        </is>
      </c>
      <c r="G321" s="16" t="inlineStr">
        <is>
          <t>fijo</t>
        </is>
      </c>
      <c r="H321" s="16" t="inlineStr">
        <is>
          <t>0.75</t>
        </is>
      </c>
      <c r="I321" s="16" t="n"/>
      <c r="J321" s="16" t="n"/>
      <c r="K321" s="16" t="n"/>
      <c r="L321" s="16" t="inlineStr">
        <is>
          <t>sí</t>
        </is>
      </c>
      <c r="M321" s="16" t="inlineStr">
        <is>
          <t>–</t>
        </is>
      </c>
      <c r="N321" s="16" t="inlineStr">
        <is>
          <t>no</t>
        </is>
      </c>
      <c r="O321" s="16" t="n"/>
    </row>
    <row r="322">
      <c r="A322" s="16" t="inlineStr">
        <is>
          <t>4.2</t>
        </is>
      </c>
      <c r="B322" s="16" t="inlineStr">
        <is>
          <t>4.2</t>
        </is>
      </c>
      <c r="C322" s="16" t="inlineStr">
        <is>
          <t>KF-M05c</t>
        </is>
      </c>
      <c r="D322" s="16" t="inlineStr">
        <is>
          <t>KF-M05c</t>
        </is>
      </c>
      <c r="E322" s="16" t="inlineStr">
        <is>
          <t>B10</t>
        </is>
      </c>
      <c r="F322" s="16" t="inlineStr">
        <is>
          <t>eps_hrvg</t>
        </is>
      </c>
      <c r="G322" s="16" t="inlineStr">
        <is>
          <t>fijo</t>
        </is>
      </c>
      <c r="H322" s="16" t="inlineStr">
        <is>
          <t>0.85</t>
        </is>
      </c>
      <c r="I322" s="16" t="n"/>
      <c r="J322" s="16" t="n"/>
      <c r="K322" s="16" t="n"/>
      <c r="L322" s="16" t="inlineStr">
        <is>
          <t>sí</t>
        </is>
      </c>
      <c r="M322" s="16" t="inlineStr">
        <is>
          <t>–</t>
        </is>
      </c>
      <c r="N322" s="16" t="inlineStr">
        <is>
          <t>no</t>
        </is>
      </c>
      <c r="O322" s="16" t="n"/>
    </row>
    <row r="323">
      <c r="A323" s="16" t="inlineStr">
        <is>
          <t>4.2</t>
        </is>
      </c>
      <c r="B323" s="16" t="inlineStr">
        <is>
          <t>4.2</t>
        </is>
      </c>
      <c r="C323" s="16" t="inlineStr">
        <is>
          <t>KF-M05c</t>
        </is>
      </c>
      <c r="D323" s="16" t="inlineStr">
        <is>
          <t>KF-M05c</t>
        </is>
      </c>
      <c r="E323" s="16" t="inlineStr">
        <is>
          <t>B10</t>
        </is>
      </c>
      <c r="F323" s="16" t="inlineStr">
        <is>
          <t>eps_reg</t>
        </is>
      </c>
      <c r="G323" s="16" t="inlineStr">
        <is>
          <t>fijo</t>
        </is>
      </c>
      <c r="H323" s="16" t="inlineStr">
        <is>
          <t>0.75</t>
        </is>
      </c>
      <c r="I323" s="16" t="n"/>
      <c r="J323" s="16" t="n"/>
      <c r="K323" s="16" t="n"/>
      <c r="L323" s="16" t="inlineStr">
        <is>
          <t>sí</t>
        </is>
      </c>
      <c r="M323" s="16" t="inlineStr">
        <is>
          <t>–</t>
        </is>
      </c>
      <c r="N323" s="16" t="inlineStr">
        <is>
          <t>no</t>
        </is>
      </c>
      <c r="O323" s="16" t="n"/>
    </row>
    <row r="324">
      <c r="A324" s="16" t="inlineStr">
        <is>
          <t>4.2</t>
        </is>
      </c>
      <c r="B324" s="16" t="inlineStr">
        <is>
          <t>4.2</t>
        </is>
      </c>
      <c r="C324" s="16" t="inlineStr">
        <is>
          <t>KF-M05c</t>
        </is>
      </c>
      <c r="D324" s="16" t="inlineStr">
        <is>
          <t>KF-M05c</t>
        </is>
      </c>
      <c r="E324" s="16" t="inlineStr">
        <is>
          <t>B10</t>
        </is>
      </c>
      <c r="F324" s="16" t="inlineStr">
        <is>
          <t>eps_cond</t>
        </is>
      </c>
      <c r="G324" s="16" t="inlineStr">
        <is>
          <t>barrido</t>
        </is>
      </c>
      <c r="H324" s="16" t="n"/>
      <c r="I324" s="16" t="n">
        <v>0.85</v>
      </c>
      <c r="J324" s="16" t="n">
        <v>0.95</v>
      </c>
      <c r="K324" s="16" t="n">
        <v>5</v>
      </c>
      <c r="L324" s="16" t="n"/>
      <c r="M324" s="16" t="inlineStr">
        <is>
          <t>–</t>
        </is>
      </c>
      <c r="N324" s="16" t="inlineStr">
        <is>
          <t>no</t>
        </is>
      </c>
      <c r="O324" s="16" t="n"/>
    </row>
    <row r="325">
      <c r="A325" s="16" t="inlineStr">
        <is>
          <t>4.2</t>
        </is>
      </c>
      <c r="B325" s="16" t="inlineStr">
        <is>
          <t>4.2</t>
        </is>
      </c>
      <c r="C325" s="16" t="inlineStr">
        <is>
          <t>KF-M05c</t>
        </is>
      </c>
      <c r="D325" s="16" t="inlineStr">
        <is>
          <t>KF-M05c</t>
        </is>
      </c>
      <c r="E325" s="16" t="inlineStr">
        <is>
          <t>B10</t>
        </is>
      </c>
      <c r="F325" s="16" t="inlineStr">
        <is>
          <t>T_amb_diseno</t>
        </is>
      </c>
      <c r="G325" s="16" t="inlineStr">
        <is>
          <t>barrido</t>
        </is>
      </c>
      <c r="H325" s="16" t="n"/>
      <c r="I325" s="16" t="n">
        <v>278.15</v>
      </c>
      <c r="J325" s="16" t="n">
        <v>300.032917</v>
      </c>
      <c r="K325" s="16" t="n">
        <v>3</v>
      </c>
      <c r="L325" s="16" t="n"/>
      <c r="M325" s="16" t="inlineStr">
        <is>
          <t>K</t>
        </is>
      </c>
      <c r="N325" s="16" t="inlineStr">
        <is>
          <t>no</t>
        </is>
      </c>
      <c r="O325" s="16" t="n"/>
    </row>
    <row r="326">
      <c r="A326" s="16" t="inlineStr">
        <is>
          <t>4.2</t>
        </is>
      </c>
      <c r="B326" s="16" t="inlineStr">
        <is>
          <t>4.2</t>
        </is>
      </c>
      <c r="C326" s="16" t="inlineStr">
        <is>
          <t>KF-M05c</t>
        </is>
      </c>
      <c r="D326" s="16" t="inlineStr">
        <is>
          <t>KF-M05c</t>
        </is>
      </c>
      <c r="E326" s="16" t="inlineStr">
        <is>
          <t>B10</t>
        </is>
      </c>
      <c r="F326" s="16" t="inlineStr">
        <is>
          <t>motor</t>
        </is>
      </c>
      <c r="G326" s="16" t="inlineStr">
        <is>
          <t>fijo</t>
        </is>
      </c>
      <c r="H326" s="16" t="inlineStr">
        <is>
          <t>teqp</t>
        </is>
      </c>
      <c r="I326" s="16" t="n"/>
      <c r="J326" s="16" t="n"/>
      <c r="K326" s="16" t="n"/>
      <c r="L326" s="16" t="n"/>
      <c r="M326" s="16" t="inlineStr">
        <is>
          <t>–</t>
        </is>
      </c>
      <c r="N326" s="16" t="inlineStr">
        <is>
          <t>no</t>
        </is>
      </c>
      <c r="O326" s="16" t="n"/>
    </row>
    <row r="327">
      <c r="A327" s="16" t="inlineStr">
        <is>
          <t>5.1</t>
        </is>
      </c>
      <c r="B327" s="16" t="inlineStr">
        <is>
          <t>5.1a</t>
        </is>
      </c>
      <c r="C327" s="16" t="inlineStr">
        <is>
          <t>KF-M07</t>
        </is>
      </c>
      <c r="D327" s="16" t="inlineStr">
        <is>
          <t>KF-M07-A1</t>
        </is>
      </c>
      <c r="E327" s="16" t="inlineStr">
        <is>
          <t>B11-A1</t>
        </is>
      </c>
      <c r="F327" s="16" t="inlineStr">
        <is>
          <t>T_fuente</t>
        </is>
      </c>
      <c r="G327" s="16" t="inlineStr">
        <is>
          <t>barrido</t>
        </is>
      </c>
      <c r="H327" s="16" t="n"/>
      <c r="I327" s="16" t="n">
        <v>424.0969531091276</v>
      </c>
      <c r="J327" s="16" t="n">
        <v>448.0969531091276</v>
      </c>
      <c r="K327" s="16" t="n">
        <v>3</v>
      </c>
      <c r="L327" s="16" t="n"/>
      <c r="M327" s="16" t="inlineStr">
        <is>
          <t>K</t>
        </is>
      </c>
      <c r="N327" s="16" t="inlineStr">
        <is>
          <t>no</t>
        </is>
      </c>
      <c r="O327" s="16" t="n"/>
    </row>
    <row r="328">
      <c r="A328" s="16" t="inlineStr">
        <is>
          <t>5.1</t>
        </is>
      </c>
      <c r="B328" s="16" t="inlineStr">
        <is>
          <t>5.1a</t>
        </is>
      </c>
      <c r="C328" s="16" t="inlineStr">
        <is>
          <t>KF-M07</t>
        </is>
      </c>
      <c r="D328" s="16" t="inlineStr">
        <is>
          <t>KF-M07-A1</t>
        </is>
      </c>
      <c r="E328" s="16" t="inlineStr">
        <is>
          <t>B11-A1</t>
        </is>
      </c>
      <c r="F328" s="16" t="inlineStr">
        <is>
          <t>T_sumidero</t>
        </is>
      </c>
      <c r="G328" s="16" t="inlineStr">
        <is>
          <t>barrido</t>
        </is>
      </c>
      <c r="H328" s="16" t="n"/>
      <c r="I328" s="16" t="n">
        <v>278.15</v>
      </c>
      <c r="J328" s="16" t="n">
        <v>281.6377013205448</v>
      </c>
      <c r="K328" s="16" t="n">
        <v>3</v>
      </c>
      <c r="L328" s="16" t="n"/>
      <c r="M328" s="16" t="inlineStr">
        <is>
          <t>K</t>
        </is>
      </c>
      <c r="N328" s="16" t="inlineStr">
        <is>
          <t>no</t>
        </is>
      </c>
      <c r="O328" s="16" t="n"/>
    </row>
    <row r="329">
      <c r="A329" s="16" t="inlineStr">
        <is>
          <t>5.1</t>
        </is>
      </c>
      <c r="B329" s="16" t="inlineStr">
        <is>
          <t>5.1a</t>
        </is>
      </c>
      <c r="C329" s="16" t="inlineStr">
        <is>
          <t>KF-M07</t>
        </is>
      </c>
      <c r="D329" s="16" t="inlineStr">
        <is>
          <t>KF-M07-A1</t>
        </is>
      </c>
      <c r="E329" s="16" t="inlineStr">
        <is>
          <t>B11-A1</t>
        </is>
      </c>
      <c r="F329" s="16" t="inlineStr">
        <is>
          <t>P_alta</t>
        </is>
      </c>
      <c r="G329" s="16" t="inlineStr">
        <is>
          <t>barrido</t>
        </is>
      </c>
      <c r="H329" s="16" t="n"/>
      <c r="I329" s="16" t="n">
        <v>3181.823024523768</v>
      </c>
      <c r="J329" s="16" t="n">
        <v>4681.823024523768</v>
      </c>
      <c r="K329" s="16" t="n">
        <v>6</v>
      </c>
      <c r="L329" s="16" t="n"/>
      <c r="M329" s="16" t="inlineStr">
        <is>
          <t>kPa</t>
        </is>
      </c>
      <c r="N329" s="16" t="inlineStr">
        <is>
          <t>no</t>
        </is>
      </c>
      <c r="O329" s="16" t="n"/>
    </row>
    <row r="330">
      <c r="A330" s="16" t="inlineStr">
        <is>
          <t>5.1</t>
        </is>
      </c>
      <c r="B330" s="16" t="inlineStr">
        <is>
          <t>5.1a</t>
        </is>
      </c>
      <c r="C330" s="16" t="inlineStr">
        <is>
          <t>KF-M07</t>
        </is>
      </c>
      <c r="D330" s="16" t="inlineStr">
        <is>
          <t>KF-M07-A1</t>
        </is>
      </c>
      <c r="E330" s="16" t="inlineStr">
        <is>
          <t>B11-A1</t>
        </is>
      </c>
      <c r="F330" s="16" t="inlineStr">
        <is>
          <t>P_baja</t>
        </is>
      </c>
      <c r="G330" s="16" t="inlineStr">
        <is>
          <t>barrido</t>
        </is>
      </c>
      <c r="H330" s="16" t="n"/>
      <c r="I330" s="16" t="n">
        <v>588.3402577390962</v>
      </c>
      <c r="J330" s="16" t="n">
        <v>1028.340257739096</v>
      </c>
      <c r="K330" s="16" t="n">
        <v>3</v>
      </c>
      <c r="L330" s="16" t="n"/>
      <c r="M330" s="16" t="inlineStr">
        <is>
          <t>kPa</t>
        </is>
      </c>
      <c r="N330" s="16" t="inlineStr">
        <is>
          <t>no</t>
        </is>
      </c>
      <c r="O330" s="16" t="n"/>
    </row>
    <row r="331">
      <c r="A331" s="16" t="inlineStr">
        <is>
          <t>5.1</t>
        </is>
      </c>
      <c r="B331" s="16" t="inlineStr">
        <is>
          <t>5.1a</t>
        </is>
      </c>
      <c r="C331" s="16" t="inlineStr">
        <is>
          <t>KF-M07</t>
        </is>
      </c>
      <c r="D331" s="16" t="inlineStr">
        <is>
          <t>KF-M07-A1</t>
        </is>
      </c>
      <c r="E331" s="16" t="inlineStr">
        <is>
          <t>B11-A1</t>
        </is>
      </c>
      <c r="F331" s="16" t="inlineStr">
        <is>
          <t>x_b</t>
        </is>
      </c>
      <c r="G331" s="16" t="inlineStr">
        <is>
          <t>barrido</t>
        </is>
      </c>
      <c r="H331" s="16" t="n"/>
      <c r="I331" s="16" t="n">
        <v>0.5997489709498951</v>
      </c>
      <c r="J331" s="16" t="n">
        <v>0.7047489709498951</v>
      </c>
      <c r="K331" s="16" t="n">
        <v>4</v>
      </c>
      <c r="L331" s="16" t="n"/>
      <c r="M331" s="16" t="inlineStr">
        <is>
          <t>–</t>
        </is>
      </c>
      <c r="N331" s="16" t="inlineStr">
        <is>
          <t>no</t>
        </is>
      </c>
      <c r="O331" s="16" t="n"/>
    </row>
    <row r="332">
      <c r="A332" s="16" t="inlineStr">
        <is>
          <t>5.1</t>
        </is>
      </c>
      <c r="B332" s="16" t="inlineStr">
        <is>
          <t>5.1a</t>
        </is>
      </c>
      <c r="C332" s="16" t="inlineStr">
        <is>
          <t>KF-M07</t>
        </is>
      </c>
      <c r="D332" s="16" t="inlineStr">
        <is>
          <t>KF-M07-A1</t>
        </is>
      </c>
      <c r="E332" s="16" t="inlineStr">
        <is>
          <t>B11-A1</t>
        </is>
      </c>
      <c r="F332" s="16" t="inlineStr">
        <is>
          <t>m_b</t>
        </is>
      </c>
      <c r="G332" s="16" t="inlineStr">
        <is>
          <t>fijo</t>
        </is>
      </c>
      <c r="H332" s="16" t="inlineStr">
        <is>
          <t>1.0</t>
        </is>
      </c>
      <c r="I332" s="16" t="n"/>
      <c r="J332" s="16" t="n"/>
      <c r="K332" s="16" t="n"/>
      <c r="L332" s="16" t="inlineStr">
        <is>
          <t>sí</t>
        </is>
      </c>
      <c r="M332" s="16" t="inlineStr">
        <is>
          <t>kg/s</t>
        </is>
      </c>
      <c r="N332" s="16" t="inlineStr">
        <is>
          <t>no</t>
        </is>
      </c>
      <c r="O332" s="16" t="n"/>
    </row>
    <row r="333">
      <c r="A333" s="16" t="inlineStr">
        <is>
          <t>5.1</t>
        </is>
      </c>
      <c r="B333" s="16" t="inlineStr">
        <is>
          <t>5.1a</t>
        </is>
      </c>
      <c r="C333" s="16" t="inlineStr">
        <is>
          <t>KF-M07</t>
        </is>
      </c>
      <c r="D333" s="16" t="inlineStr">
        <is>
          <t>KF-M07-A1</t>
        </is>
      </c>
      <c r="E333" s="16" t="inlineStr">
        <is>
          <t>B11-A1</t>
        </is>
      </c>
      <c r="F333" s="16" t="inlineStr">
        <is>
          <t>eta_t</t>
        </is>
      </c>
      <c r="G333" s="16" t="inlineStr">
        <is>
          <t>barrido</t>
        </is>
      </c>
      <c r="H333" s="16" t="n"/>
      <c r="I333" s="16" t="n">
        <v>0.8634829805028723</v>
      </c>
      <c r="J333" s="16" t="n">
        <v>0.95</v>
      </c>
      <c r="K333" s="16" t="n">
        <v>4</v>
      </c>
      <c r="L333" s="16" t="n"/>
      <c r="M333" s="16" t="inlineStr">
        <is>
          <t>–</t>
        </is>
      </c>
      <c r="N333" s="16" t="inlineStr">
        <is>
          <t>no</t>
        </is>
      </c>
      <c r="O333" s="16" t="n"/>
    </row>
    <row r="334">
      <c r="A334" s="16" t="inlineStr">
        <is>
          <t>5.1</t>
        </is>
      </c>
      <c r="B334" s="16" t="inlineStr">
        <is>
          <t>5.1a</t>
        </is>
      </c>
      <c r="C334" s="16" t="inlineStr">
        <is>
          <t>KF-M07</t>
        </is>
      </c>
      <c r="D334" s="16" t="inlineStr">
        <is>
          <t>KF-M07-A1</t>
        </is>
      </c>
      <c r="E334" s="16" t="inlineStr">
        <is>
          <t>B11-A1</t>
        </is>
      </c>
      <c r="F334" s="16" t="inlineStr">
        <is>
          <t>eta_p</t>
        </is>
      </c>
      <c r="G334" s="16" t="inlineStr">
        <is>
          <t>barrido</t>
        </is>
      </c>
      <c r="H334" s="16" t="n"/>
      <c r="I334" s="16" t="n">
        <v>0.6910814839003644</v>
      </c>
      <c r="J334" s="16" t="n">
        <v>0.8010814839003644</v>
      </c>
      <c r="K334" s="16" t="n">
        <v>3</v>
      </c>
      <c r="L334" s="16" t="n"/>
      <c r="M334" s="16" t="inlineStr">
        <is>
          <t>–</t>
        </is>
      </c>
      <c r="N334" s="16" t="inlineStr">
        <is>
          <t>no</t>
        </is>
      </c>
      <c r="O334" s="16" t="n"/>
    </row>
    <row r="335">
      <c r="A335" s="16" t="inlineStr">
        <is>
          <t>5.1</t>
        </is>
      </c>
      <c r="B335" s="16" t="inlineStr">
        <is>
          <t>5.1a</t>
        </is>
      </c>
      <c r="C335" s="16" t="inlineStr">
        <is>
          <t>KF-M07</t>
        </is>
      </c>
      <c r="D335" s="16" t="inlineStr">
        <is>
          <t>KF-M07-A1</t>
        </is>
      </c>
      <c r="E335" s="16" t="inlineStr">
        <is>
          <t>B11-A1</t>
        </is>
      </c>
      <c r="F335" s="16" t="inlineStr">
        <is>
          <t>eps_hrvg</t>
        </is>
      </c>
      <c r="G335" s="16" t="inlineStr">
        <is>
          <t>barrido</t>
        </is>
      </c>
      <c r="H335" s="16" t="n"/>
      <c r="I335" s="16" t="n">
        <v>0.6227311085206517</v>
      </c>
      <c r="J335" s="16" t="n">
        <v>0.7327311085206516</v>
      </c>
      <c r="K335" s="16" t="n">
        <v>3</v>
      </c>
      <c r="L335" s="16" t="n"/>
      <c r="M335" s="16" t="inlineStr">
        <is>
          <t>–</t>
        </is>
      </c>
      <c r="N335" s="16" t="inlineStr">
        <is>
          <t>no</t>
        </is>
      </c>
      <c r="O335" s="16" t="n"/>
    </row>
    <row r="336">
      <c r="A336" s="16" t="inlineStr">
        <is>
          <t>5.1</t>
        </is>
      </c>
      <c r="B336" s="16" t="inlineStr">
        <is>
          <t>5.1a</t>
        </is>
      </c>
      <c r="C336" s="16" t="inlineStr">
        <is>
          <t>KF-M07</t>
        </is>
      </c>
      <c r="D336" s="16" t="inlineStr">
        <is>
          <t>KF-M07-A1</t>
        </is>
      </c>
      <c r="E336" s="16" t="inlineStr">
        <is>
          <t>B11-A1</t>
        </is>
      </c>
      <c r="F336" s="16" t="inlineStr">
        <is>
          <t>eps_reg</t>
        </is>
      </c>
      <c r="G336" s="16" t="inlineStr">
        <is>
          <t>barrido</t>
        </is>
      </c>
      <c r="H336" s="16" t="n"/>
      <c r="I336" s="16" t="n">
        <v>0.8865298192493303</v>
      </c>
      <c r="J336" s="16" t="n">
        <v>0.95</v>
      </c>
      <c r="K336" s="16" t="n">
        <v>3</v>
      </c>
      <c r="L336" s="16" t="n"/>
      <c r="M336" s="16" t="inlineStr">
        <is>
          <t>–</t>
        </is>
      </c>
      <c r="N336" s="16" t="inlineStr">
        <is>
          <t>no</t>
        </is>
      </c>
      <c r="O336" s="16" t="n"/>
    </row>
    <row r="337">
      <c r="A337" s="16" t="inlineStr">
        <is>
          <t>5.1</t>
        </is>
      </c>
      <c r="B337" s="16" t="inlineStr">
        <is>
          <t>5.1a</t>
        </is>
      </c>
      <c r="C337" s="16" t="inlineStr">
        <is>
          <t>KF-M07</t>
        </is>
      </c>
      <c r="D337" s="16" t="inlineStr">
        <is>
          <t>KF-M07-A1</t>
        </is>
      </c>
      <c r="E337" s="16" t="inlineStr">
        <is>
          <t>B11-A1</t>
        </is>
      </c>
      <c r="F337" s="16" t="inlineStr">
        <is>
          <t>eps_cond</t>
        </is>
      </c>
      <c r="G337" s="16" t="inlineStr">
        <is>
          <t>barrido</t>
        </is>
      </c>
      <c r="H337" s="16" t="n"/>
      <c r="I337" s="16" t="n">
        <v>0.7868262585071621</v>
      </c>
      <c r="J337" s="16" t="n">
        <v>0.896826258507162</v>
      </c>
      <c r="K337" s="16" t="n">
        <v>3</v>
      </c>
      <c r="L337" s="16" t="n"/>
      <c r="M337" s="16" t="inlineStr">
        <is>
          <t>–</t>
        </is>
      </c>
      <c r="N337" s="16" t="inlineStr">
        <is>
          <t>no</t>
        </is>
      </c>
      <c r="O337" s="16" t="n"/>
    </row>
    <row r="338">
      <c r="A338" s="16" t="inlineStr">
        <is>
          <t>5.1</t>
        </is>
      </c>
      <c r="B338" s="16" t="inlineStr">
        <is>
          <t>5.1a</t>
        </is>
      </c>
      <c r="C338" s="16" t="inlineStr">
        <is>
          <t>KF-M07</t>
        </is>
      </c>
      <c r="D338" s="16" t="inlineStr">
        <is>
          <t>KF-M07-A1</t>
        </is>
      </c>
      <c r="E338" s="16" t="inlineStr">
        <is>
          <t>B11-A1</t>
        </is>
      </c>
      <c r="F338" s="16" t="inlineStr">
        <is>
          <t>T_amb_diseno</t>
        </is>
      </c>
      <c r="G338" s="16" t="inlineStr">
        <is>
          <t>barrido</t>
        </is>
      </c>
      <c r="H338" s="16" t="n"/>
      <c r="I338" s="16" t="n">
        <v>278.15</v>
      </c>
      <c r="J338" s="16" t="n">
        <v>281.6377013205448</v>
      </c>
      <c r="K338" s="16" t="n">
        <v>3</v>
      </c>
      <c r="L338" s="16" t="n"/>
      <c r="M338" s="16" t="inlineStr">
        <is>
          <t>K</t>
        </is>
      </c>
      <c r="N338" s="16" t="inlineStr">
        <is>
          <t>no</t>
        </is>
      </c>
      <c r="O338" s="16" t="n"/>
    </row>
    <row r="339">
      <c r="A339" s="16" t="inlineStr">
        <is>
          <t>5.1</t>
        </is>
      </c>
      <c r="B339" s="16" t="inlineStr">
        <is>
          <t>5.1a</t>
        </is>
      </c>
      <c r="C339" s="16" t="inlineStr">
        <is>
          <t>KF-M07</t>
        </is>
      </c>
      <c r="D339" s="16" t="inlineStr">
        <is>
          <t>KF-M07-A1</t>
        </is>
      </c>
      <c r="E339" s="16" t="inlineStr">
        <is>
          <t>B11-A1</t>
        </is>
      </c>
      <c r="F339" s="16" t="inlineStr">
        <is>
          <t>motor</t>
        </is>
      </c>
      <c r="G339" s="16" t="inlineStr">
        <is>
          <t>fijo</t>
        </is>
      </c>
      <c r="H339" s="16" t="inlineStr">
        <is>
          <t>teqp</t>
        </is>
      </c>
      <c r="I339" s="16" t="n"/>
      <c r="J339" s="16" t="n"/>
      <c r="K339" s="16" t="n"/>
      <c r="L339" s="16" t="n"/>
      <c r="M339" s="16" t="inlineStr">
        <is>
          <t>–</t>
        </is>
      </c>
      <c r="N339" s="16" t="inlineStr">
        <is>
          <t>no</t>
        </is>
      </c>
      <c r="O339" s="16" t="n"/>
    </row>
    <row r="340">
      <c r="A340" s="16" t="inlineStr">
        <is>
          <t>5.1</t>
        </is>
      </c>
      <c r="B340" s="16" t="inlineStr">
        <is>
          <t>5.1b</t>
        </is>
      </c>
      <c r="C340" s="16" t="inlineStr">
        <is>
          <t>KF-M07</t>
        </is>
      </c>
      <c r="D340" s="16" t="inlineStr">
        <is>
          <t>KF-M07-A2</t>
        </is>
      </c>
      <c r="E340" s="16" t="inlineStr">
        <is>
          <t>B11-A2</t>
        </is>
      </c>
      <c r="F340" s="16" t="inlineStr">
        <is>
          <t>T_fuente</t>
        </is>
      </c>
      <c r="G340" s="16" t="inlineStr">
        <is>
          <t>barrido</t>
        </is>
      </c>
      <c r="H340" s="16" t="n"/>
      <c r="I340" s="16" t="n">
        <v>408</v>
      </c>
      <c r="J340" s="16" t="n">
        <v>432</v>
      </c>
      <c r="K340" s="16" t="n">
        <v>3</v>
      </c>
      <c r="L340" s="16" t="n"/>
      <c r="M340" s="16" t="inlineStr">
        <is>
          <t>K</t>
        </is>
      </c>
      <c r="N340" s="16" t="inlineStr">
        <is>
          <t>no</t>
        </is>
      </c>
      <c r="O340" s="16" t="n"/>
    </row>
    <row r="341">
      <c r="A341" s="16" t="inlineStr">
        <is>
          <t>5.1</t>
        </is>
      </c>
      <c r="B341" s="16" t="inlineStr">
        <is>
          <t>5.1b</t>
        </is>
      </c>
      <c r="C341" s="16" t="inlineStr">
        <is>
          <t>KF-M07</t>
        </is>
      </c>
      <c r="D341" s="16" t="inlineStr">
        <is>
          <t>KF-M07-A2</t>
        </is>
      </c>
      <c r="E341" s="16" t="inlineStr">
        <is>
          <t>B11-A2</t>
        </is>
      </c>
      <c r="F341" s="16" t="inlineStr">
        <is>
          <t>T_sumidero</t>
        </is>
      </c>
      <c r="G341" s="16" t="inlineStr">
        <is>
          <t>barrido</t>
        </is>
      </c>
      <c r="H341" s="16" t="n"/>
      <c r="I341" s="16" t="n">
        <v>278.15</v>
      </c>
      <c r="J341" s="16" t="n">
        <v>280.69</v>
      </c>
      <c r="K341" s="16" t="n">
        <v>2</v>
      </c>
      <c r="L341" s="16" t="n"/>
      <c r="M341" s="16" t="inlineStr">
        <is>
          <t>K</t>
        </is>
      </c>
      <c r="N341" s="16" t="inlineStr">
        <is>
          <t>no</t>
        </is>
      </c>
      <c r="O341" s="16" t="n"/>
    </row>
    <row r="342">
      <c r="A342" s="16" t="inlineStr">
        <is>
          <t>5.1</t>
        </is>
      </c>
      <c r="B342" s="16" t="inlineStr">
        <is>
          <t>5.1b</t>
        </is>
      </c>
      <c r="C342" s="16" t="inlineStr">
        <is>
          <t>KF-M07</t>
        </is>
      </c>
      <c r="D342" s="16" t="inlineStr">
        <is>
          <t>KF-M07-A2</t>
        </is>
      </c>
      <c r="E342" s="16" t="inlineStr">
        <is>
          <t>B11-A2</t>
        </is>
      </c>
      <c r="F342" s="16" t="inlineStr">
        <is>
          <t>P_alta</t>
        </is>
      </c>
      <c r="G342" s="16" t="inlineStr">
        <is>
          <t>barrido</t>
        </is>
      </c>
      <c r="H342" s="16" t="n"/>
      <c r="I342" s="16" t="n">
        <v>2700</v>
      </c>
      <c r="J342" s="16" t="n">
        <v>3300</v>
      </c>
      <c r="K342" s="16" t="n">
        <v>3</v>
      </c>
      <c r="L342" s="16" t="n"/>
      <c r="M342" s="16" t="inlineStr">
        <is>
          <t>kPa</t>
        </is>
      </c>
      <c r="N342" s="16" t="inlineStr">
        <is>
          <t>no</t>
        </is>
      </c>
      <c r="O342" s="16" t="n"/>
    </row>
    <row r="343">
      <c r="A343" s="16" t="inlineStr">
        <is>
          <t>5.1</t>
        </is>
      </c>
      <c r="B343" s="16" t="inlineStr">
        <is>
          <t>5.1b</t>
        </is>
      </c>
      <c r="C343" s="16" t="inlineStr">
        <is>
          <t>KF-M07</t>
        </is>
      </c>
      <c r="D343" s="16" t="inlineStr">
        <is>
          <t>KF-M07-A2</t>
        </is>
      </c>
      <c r="E343" s="16" t="inlineStr">
        <is>
          <t>B11-A2</t>
        </is>
      </c>
      <c r="F343" s="16" t="inlineStr">
        <is>
          <t>P_baja</t>
        </is>
      </c>
      <c r="G343" s="16" t="inlineStr">
        <is>
          <t>barrido</t>
        </is>
      </c>
      <c r="H343" s="16" t="n"/>
      <c r="I343" s="16" t="n">
        <v>300</v>
      </c>
      <c r="J343" s="16" t="n">
        <v>613.75</v>
      </c>
      <c r="K343" s="16" t="n">
        <v>3</v>
      </c>
      <c r="L343" s="16" t="n"/>
      <c r="M343" s="16" t="inlineStr">
        <is>
          <t>kPa</t>
        </is>
      </c>
      <c r="N343" s="16" t="inlineStr">
        <is>
          <t>no</t>
        </is>
      </c>
      <c r="O343" s="16" t="n"/>
    </row>
    <row r="344">
      <c r="A344" s="16" t="inlineStr">
        <is>
          <t>5.1</t>
        </is>
      </c>
      <c r="B344" s="16" t="inlineStr">
        <is>
          <t>5.1b</t>
        </is>
      </c>
      <c r="C344" s="16" t="inlineStr">
        <is>
          <t>KF-M07</t>
        </is>
      </c>
      <c r="D344" s="16" t="inlineStr">
        <is>
          <t>KF-M07-A2</t>
        </is>
      </c>
      <c r="E344" s="16" t="inlineStr">
        <is>
          <t>B11-A2</t>
        </is>
      </c>
      <c r="F344" s="16" t="inlineStr">
        <is>
          <t>x_b</t>
        </is>
      </c>
      <c r="G344" s="16" t="inlineStr">
        <is>
          <t>barrido</t>
        </is>
      </c>
      <c r="H344" s="16" t="n"/>
      <c r="I344" s="16" t="n">
        <v>0.5</v>
      </c>
      <c r="J344" s="16" t="n">
        <v>0.535</v>
      </c>
      <c r="K344" s="16" t="n">
        <v>2</v>
      </c>
      <c r="L344" s="16" t="n"/>
      <c r="M344" s="16" t="inlineStr">
        <is>
          <t>–</t>
        </is>
      </c>
      <c r="N344" s="16" t="inlineStr">
        <is>
          <t>no</t>
        </is>
      </c>
      <c r="O344" s="16" t="n"/>
    </row>
    <row r="345">
      <c r="A345" s="16" t="inlineStr">
        <is>
          <t>5.1</t>
        </is>
      </c>
      <c r="B345" s="16" t="inlineStr">
        <is>
          <t>5.1b</t>
        </is>
      </c>
      <c r="C345" s="16" t="inlineStr">
        <is>
          <t>KF-M07</t>
        </is>
      </c>
      <c r="D345" s="16" t="inlineStr">
        <is>
          <t>KF-M07-A2</t>
        </is>
      </c>
      <c r="E345" s="16" t="inlineStr">
        <is>
          <t>B11-A2</t>
        </is>
      </c>
      <c r="F345" s="16" t="inlineStr">
        <is>
          <t>m_b</t>
        </is>
      </c>
      <c r="G345" s="16" t="inlineStr">
        <is>
          <t>fijo</t>
        </is>
      </c>
      <c r="H345" s="16" t="inlineStr">
        <is>
          <t>1.0</t>
        </is>
      </c>
      <c r="I345" s="16" t="n"/>
      <c r="J345" s="16" t="n"/>
      <c r="K345" s="16" t="n"/>
      <c r="L345" s="16" t="inlineStr">
        <is>
          <t>sí</t>
        </is>
      </c>
      <c r="M345" s="16" t="inlineStr">
        <is>
          <t>kg/s</t>
        </is>
      </c>
      <c r="N345" s="16" t="inlineStr">
        <is>
          <t>no</t>
        </is>
      </c>
      <c r="O345" s="16" t="n"/>
    </row>
    <row r="346">
      <c r="A346" s="16" t="inlineStr">
        <is>
          <t>5.1</t>
        </is>
      </c>
      <c r="B346" s="16" t="inlineStr">
        <is>
          <t>5.1b</t>
        </is>
      </c>
      <c r="C346" s="16" t="inlineStr">
        <is>
          <t>KF-M07</t>
        </is>
      </c>
      <c r="D346" s="16" t="inlineStr">
        <is>
          <t>KF-M07-A2</t>
        </is>
      </c>
      <c r="E346" s="16" t="inlineStr">
        <is>
          <t>B11-A2</t>
        </is>
      </c>
      <c r="F346" s="16" t="inlineStr">
        <is>
          <t>eta_t</t>
        </is>
      </c>
      <c r="G346" s="16" t="inlineStr">
        <is>
          <t>barrido</t>
        </is>
      </c>
      <c r="H346" s="16" t="n"/>
      <c r="I346" s="16" t="n">
        <v>0.795</v>
      </c>
      <c r="J346" s="16" t="n">
        <v>0.95</v>
      </c>
      <c r="K346" s="16" t="n">
        <v>5</v>
      </c>
      <c r="L346" s="16" t="n"/>
      <c r="M346" s="16" t="inlineStr">
        <is>
          <t>–</t>
        </is>
      </c>
      <c r="N346" s="16" t="inlineStr">
        <is>
          <t>no</t>
        </is>
      </c>
      <c r="O346" s="16" t="n"/>
    </row>
    <row r="347">
      <c r="A347" s="16" t="inlineStr">
        <is>
          <t>5.1</t>
        </is>
      </c>
      <c r="B347" s="16" t="inlineStr">
        <is>
          <t>5.1b</t>
        </is>
      </c>
      <c r="C347" s="16" t="inlineStr">
        <is>
          <t>KF-M07</t>
        </is>
      </c>
      <c r="D347" s="16" t="inlineStr">
        <is>
          <t>KF-M07-A2</t>
        </is>
      </c>
      <c r="E347" s="16" t="inlineStr">
        <is>
          <t>B11-A2</t>
        </is>
      </c>
      <c r="F347" s="16" t="inlineStr">
        <is>
          <t>eta_p</t>
        </is>
      </c>
      <c r="G347" s="16" t="inlineStr">
        <is>
          <t>barrido</t>
        </is>
      </c>
      <c r="H347" s="16" t="n"/>
      <c r="I347" s="16" t="n">
        <v>0.6950000000000001</v>
      </c>
      <c r="J347" s="16" t="n">
        <v>0.8049999999999999</v>
      </c>
      <c r="K347" s="16" t="n">
        <v>3</v>
      </c>
      <c r="L347" s="16" t="n"/>
      <c r="M347" s="16" t="inlineStr">
        <is>
          <t>–</t>
        </is>
      </c>
      <c r="N347" s="16" t="inlineStr">
        <is>
          <t>no</t>
        </is>
      </c>
      <c r="O347" s="16" t="n"/>
    </row>
    <row r="348">
      <c r="A348" s="16" t="inlineStr">
        <is>
          <t>5.1</t>
        </is>
      </c>
      <c r="B348" s="16" t="inlineStr">
        <is>
          <t>5.1b</t>
        </is>
      </c>
      <c r="C348" s="16" t="inlineStr">
        <is>
          <t>KF-M07</t>
        </is>
      </c>
      <c r="D348" s="16" t="inlineStr">
        <is>
          <t>KF-M07-A2</t>
        </is>
      </c>
      <c r="E348" s="16" t="inlineStr">
        <is>
          <t>B11-A2</t>
        </is>
      </c>
      <c r="F348" s="16" t="inlineStr">
        <is>
          <t>eps_hrvg</t>
        </is>
      </c>
      <c r="G348" s="16" t="inlineStr">
        <is>
          <t>barrido</t>
        </is>
      </c>
      <c r="H348" s="16" t="n"/>
      <c r="I348" s="16" t="n">
        <v>0.795</v>
      </c>
      <c r="J348" s="16" t="n">
        <v>0.905</v>
      </c>
      <c r="K348" s="16" t="n">
        <v>3</v>
      </c>
      <c r="L348" s="16" t="n"/>
      <c r="M348" s="16" t="inlineStr">
        <is>
          <t>–</t>
        </is>
      </c>
      <c r="N348" s="16" t="inlineStr">
        <is>
          <t>no</t>
        </is>
      </c>
      <c r="O348" s="16" t="n"/>
    </row>
    <row r="349">
      <c r="A349" s="16" t="inlineStr">
        <is>
          <t>5.1</t>
        </is>
      </c>
      <c r="B349" s="16" t="inlineStr">
        <is>
          <t>5.1b</t>
        </is>
      </c>
      <c r="C349" s="16" t="inlineStr">
        <is>
          <t>KF-M07</t>
        </is>
      </c>
      <c r="D349" s="16" t="inlineStr">
        <is>
          <t>KF-M07-A2</t>
        </is>
      </c>
      <c r="E349" s="16" t="inlineStr">
        <is>
          <t>B11-A2</t>
        </is>
      </c>
      <c r="F349" s="16" t="inlineStr">
        <is>
          <t>eps_reg</t>
        </is>
      </c>
      <c r="G349" s="16" t="inlineStr">
        <is>
          <t>barrido</t>
        </is>
      </c>
      <c r="H349" s="16" t="n"/>
      <c r="I349" s="16" t="n">
        <v>0.6950000000000001</v>
      </c>
      <c r="J349" s="16" t="n">
        <v>0.95</v>
      </c>
      <c r="K349" s="16" t="n">
        <v>6</v>
      </c>
      <c r="L349" s="16" t="n"/>
      <c r="M349" s="16" t="inlineStr">
        <is>
          <t>–</t>
        </is>
      </c>
      <c r="N349" s="16" t="inlineStr">
        <is>
          <t>no</t>
        </is>
      </c>
      <c r="O349" s="16" t="n"/>
    </row>
    <row r="350">
      <c r="A350" s="16" t="inlineStr">
        <is>
          <t>5.1</t>
        </is>
      </c>
      <c r="B350" s="16" t="inlineStr">
        <is>
          <t>5.1b</t>
        </is>
      </c>
      <c r="C350" s="16" t="inlineStr">
        <is>
          <t>KF-M07</t>
        </is>
      </c>
      <c r="D350" s="16" t="inlineStr">
        <is>
          <t>KF-M07-A2</t>
        </is>
      </c>
      <c r="E350" s="16" t="inlineStr">
        <is>
          <t>B11-A2</t>
        </is>
      </c>
      <c r="F350" s="16" t="inlineStr">
        <is>
          <t>eps_cond</t>
        </is>
      </c>
      <c r="G350" s="16" t="inlineStr">
        <is>
          <t>barrido</t>
        </is>
      </c>
      <c r="H350" s="16" t="n"/>
      <c r="I350" s="16" t="n">
        <v>0.7450000000000001</v>
      </c>
      <c r="J350" s="16" t="n">
        <v>0.855</v>
      </c>
      <c r="K350" s="16" t="n">
        <v>3</v>
      </c>
      <c r="L350" s="16" t="n"/>
      <c r="M350" s="16" t="inlineStr">
        <is>
          <t>–</t>
        </is>
      </c>
      <c r="N350" s="16" t="inlineStr">
        <is>
          <t>no</t>
        </is>
      </c>
      <c r="O350" s="16" t="n"/>
    </row>
    <row r="351">
      <c r="A351" s="16" t="inlineStr">
        <is>
          <t>5.1</t>
        </is>
      </c>
      <c r="B351" s="16" t="inlineStr">
        <is>
          <t>5.1b</t>
        </is>
      </c>
      <c r="C351" s="16" t="inlineStr">
        <is>
          <t>KF-M07</t>
        </is>
      </c>
      <c r="D351" s="16" t="inlineStr">
        <is>
          <t>KF-M07-A2</t>
        </is>
      </c>
      <c r="E351" s="16" t="inlineStr">
        <is>
          <t>B11-A2</t>
        </is>
      </c>
      <c r="F351" s="16" t="inlineStr">
        <is>
          <t>T_amb_diseno</t>
        </is>
      </c>
      <c r="G351" s="16" t="inlineStr">
        <is>
          <t>barrido</t>
        </is>
      </c>
      <c r="H351" s="16" t="n"/>
      <c r="I351" s="16" t="n">
        <v>278.15</v>
      </c>
      <c r="J351" s="16" t="n">
        <v>280.69</v>
      </c>
      <c r="K351" s="16" t="n">
        <v>2</v>
      </c>
      <c r="L351" s="16" t="n"/>
      <c r="M351" s="16" t="inlineStr">
        <is>
          <t>K</t>
        </is>
      </c>
      <c r="N351" s="16" t="inlineStr">
        <is>
          <t>no</t>
        </is>
      </c>
      <c r="O351" s="16" t="n"/>
    </row>
    <row r="352">
      <c r="A352" s="16" t="inlineStr">
        <is>
          <t>5.1</t>
        </is>
      </c>
      <c r="B352" s="16" t="inlineStr">
        <is>
          <t>5.1b</t>
        </is>
      </c>
      <c r="C352" s="16" t="inlineStr">
        <is>
          <t>KF-M07</t>
        </is>
      </c>
      <c r="D352" s="16" t="inlineStr">
        <is>
          <t>KF-M07-A2</t>
        </is>
      </c>
      <c r="E352" s="16" t="inlineStr">
        <is>
          <t>B11-A2</t>
        </is>
      </c>
      <c r="F352" s="16" t="inlineStr">
        <is>
          <t>motor</t>
        </is>
      </c>
      <c r="G352" s="16" t="inlineStr">
        <is>
          <t>fijo</t>
        </is>
      </c>
      <c r="H352" s="16" t="inlineStr">
        <is>
          <t>teqp</t>
        </is>
      </c>
      <c r="I352" s="16" t="n"/>
      <c r="J352" s="16" t="n"/>
      <c r="K352" s="16" t="n"/>
      <c r="L352" s="16" t="n"/>
      <c r="M352" s="16" t="inlineStr">
        <is>
          <t>–</t>
        </is>
      </c>
      <c r="N352" s="16" t="inlineStr">
        <is>
          <t>no</t>
        </is>
      </c>
      <c r="O352" s="16" t="n"/>
    </row>
    <row r="353">
      <c r="A353" s="16" t="inlineStr">
        <is>
          <t>5.1</t>
        </is>
      </c>
      <c r="B353" s="16" t="inlineStr">
        <is>
          <t>5.1c</t>
        </is>
      </c>
      <c r="C353" s="16" t="inlineStr">
        <is>
          <t>KF-M07</t>
        </is>
      </c>
      <c r="D353" s="16" t="inlineStr">
        <is>
          <t>KF-M07-A3</t>
        </is>
      </c>
      <c r="E353" s="16" t="inlineStr">
        <is>
          <t>B11-A3</t>
        </is>
      </c>
      <c r="F353" s="16" t="inlineStr">
        <is>
          <t>T_fuente</t>
        </is>
      </c>
      <c r="G353" s="16" t="inlineStr">
        <is>
          <t>fijo</t>
        </is>
      </c>
      <c r="H353" s="16" t="inlineStr">
        <is>
          <t>623.15</t>
        </is>
      </c>
      <c r="I353" s="16" t="n"/>
      <c r="J353" s="16" t="n"/>
      <c r="K353" s="16" t="n"/>
      <c r="L353" s="16" t="inlineStr">
        <is>
          <t>sí</t>
        </is>
      </c>
      <c r="M353" s="16" t="inlineStr">
        <is>
          <t>K</t>
        </is>
      </c>
      <c r="N353" s="16" t="inlineStr">
        <is>
          <t>no</t>
        </is>
      </c>
      <c r="O353" s="16" t="n"/>
    </row>
    <row r="354">
      <c r="A354" s="16" t="inlineStr">
        <is>
          <t>5.1</t>
        </is>
      </c>
      <c r="B354" s="16" t="inlineStr">
        <is>
          <t>5.1c</t>
        </is>
      </c>
      <c r="C354" s="16" t="inlineStr">
        <is>
          <t>KF-M07</t>
        </is>
      </c>
      <c r="D354" s="16" t="inlineStr">
        <is>
          <t>KF-M07-A3</t>
        </is>
      </c>
      <c r="E354" s="16" t="inlineStr">
        <is>
          <t>B11-A3</t>
        </is>
      </c>
      <c r="F354" s="16" t="inlineStr">
        <is>
          <t>T_sumidero</t>
        </is>
      </c>
      <c r="G354" s="16" t="inlineStr">
        <is>
          <t>fijo</t>
        </is>
      </c>
      <c r="H354" s="16" t="inlineStr">
        <is>
          <t>300.032917</t>
        </is>
      </c>
      <c r="I354" s="16" t="n"/>
      <c r="J354" s="16" t="n"/>
      <c r="K354" s="16" t="n"/>
      <c r="L354" s="16" t="inlineStr">
        <is>
          <t>sí</t>
        </is>
      </c>
      <c r="M354" s="16" t="inlineStr">
        <is>
          <t>K</t>
        </is>
      </c>
      <c r="N354" s="16" t="inlineStr">
        <is>
          <t>no</t>
        </is>
      </c>
      <c r="O354" s="16" t="n"/>
    </row>
    <row r="355">
      <c r="A355" s="16" t="inlineStr">
        <is>
          <t>5.1</t>
        </is>
      </c>
      <c r="B355" s="16" t="inlineStr">
        <is>
          <t>5.1c</t>
        </is>
      </c>
      <c r="C355" s="16" t="inlineStr">
        <is>
          <t>KF-M07</t>
        </is>
      </c>
      <c r="D355" s="16" t="inlineStr">
        <is>
          <t>KF-M07-A3</t>
        </is>
      </c>
      <c r="E355" s="16" t="inlineStr">
        <is>
          <t>B11-A3</t>
        </is>
      </c>
      <c r="F355" s="16" t="inlineStr">
        <is>
          <t>P_alta</t>
        </is>
      </c>
      <c r="G355" s="16" t="inlineStr">
        <is>
          <t>barrido</t>
        </is>
      </c>
      <c r="H355" s="16" t="n"/>
      <c r="I355" s="16" t="n">
        <v>3605.950043184831</v>
      </c>
      <c r="J355" s="16" t="n">
        <v>5000</v>
      </c>
      <c r="K355" s="16" t="n">
        <v>7</v>
      </c>
      <c r="L355" s="16" t="n"/>
      <c r="M355" s="16" t="inlineStr">
        <is>
          <t>kPa</t>
        </is>
      </c>
      <c r="N355" s="16" t="inlineStr">
        <is>
          <t>no</t>
        </is>
      </c>
      <c r="O355" s="16" t="n"/>
    </row>
    <row r="356">
      <c r="A356" s="16" t="inlineStr">
        <is>
          <t>5.1</t>
        </is>
      </c>
      <c r="B356" s="16" t="inlineStr">
        <is>
          <t>5.1c</t>
        </is>
      </c>
      <c r="C356" s="16" t="inlineStr">
        <is>
          <t>KF-M07</t>
        </is>
      </c>
      <c r="D356" s="16" t="inlineStr">
        <is>
          <t>KF-M07-A3</t>
        </is>
      </c>
      <c r="E356" s="16" t="inlineStr">
        <is>
          <t>B11-A3</t>
        </is>
      </c>
      <c r="F356" s="16" t="inlineStr">
        <is>
          <t>P_baja</t>
        </is>
      </c>
      <c r="G356" s="16" t="inlineStr">
        <is>
          <t>barrido</t>
        </is>
      </c>
      <c r="H356" s="16" t="n"/>
      <c r="I356" s="16" t="n">
        <v>1139.556702008077</v>
      </c>
      <c r="J356" s="16" t="n">
        <v>1579.556702008076</v>
      </c>
      <c r="K356" s="16" t="n">
        <v>3</v>
      </c>
      <c r="L356" s="16" t="n"/>
      <c r="M356" s="16" t="inlineStr">
        <is>
          <t>kPa</t>
        </is>
      </c>
      <c r="N356" s="16" t="inlineStr">
        <is>
          <t>no</t>
        </is>
      </c>
      <c r="O356" s="16" t="n"/>
    </row>
    <row r="357">
      <c r="A357" s="16" t="inlineStr">
        <is>
          <t>5.1</t>
        </is>
      </c>
      <c r="B357" s="16" t="inlineStr">
        <is>
          <t>5.1c</t>
        </is>
      </c>
      <c r="C357" s="16" t="inlineStr">
        <is>
          <t>KF-M07</t>
        </is>
      </c>
      <c r="D357" s="16" t="inlineStr">
        <is>
          <t>KF-M07-A3</t>
        </is>
      </c>
      <c r="E357" s="16" t="inlineStr">
        <is>
          <t>B11-A3</t>
        </is>
      </c>
      <c r="F357" s="16" t="inlineStr">
        <is>
          <t>x_b</t>
        </is>
      </c>
      <c r="G357" s="16" t="inlineStr">
        <is>
          <t>barrido</t>
        </is>
      </c>
      <c r="H357" s="16" t="n"/>
      <c r="I357" s="16" t="n">
        <v>0.7944780327808849</v>
      </c>
      <c r="J357" s="16" t="n">
        <v>0.85</v>
      </c>
      <c r="K357" s="16" t="n">
        <v>3</v>
      </c>
      <c r="L357" s="16" t="n"/>
      <c r="M357" s="16" t="inlineStr">
        <is>
          <t>–</t>
        </is>
      </c>
      <c r="N357" s="16" t="inlineStr">
        <is>
          <t>no</t>
        </is>
      </c>
      <c r="O357" s="16" t="n"/>
    </row>
    <row r="358">
      <c r="A358" s="16" t="inlineStr">
        <is>
          <t>5.1</t>
        </is>
      </c>
      <c r="B358" s="16" t="inlineStr">
        <is>
          <t>5.1c</t>
        </is>
      </c>
      <c r="C358" s="16" t="inlineStr">
        <is>
          <t>KF-M07</t>
        </is>
      </c>
      <c r="D358" s="16" t="inlineStr">
        <is>
          <t>KF-M07-A3</t>
        </is>
      </c>
      <c r="E358" s="16" t="inlineStr">
        <is>
          <t>B11-A3</t>
        </is>
      </c>
      <c r="F358" s="16" t="inlineStr">
        <is>
          <t>m_b</t>
        </is>
      </c>
      <c r="G358" s="16" t="inlineStr">
        <is>
          <t>fijo</t>
        </is>
      </c>
      <c r="H358" s="16" t="inlineStr">
        <is>
          <t>1.0</t>
        </is>
      </c>
      <c r="I358" s="16" t="n"/>
      <c r="J358" s="16" t="n"/>
      <c r="K358" s="16" t="n"/>
      <c r="L358" s="16" t="inlineStr">
        <is>
          <t>sí</t>
        </is>
      </c>
      <c r="M358" s="16" t="inlineStr">
        <is>
          <t>kg/s</t>
        </is>
      </c>
      <c r="N358" s="16" t="inlineStr">
        <is>
          <t>no</t>
        </is>
      </c>
      <c r="O358" s="16" t="n"/>
    </row>
    <row r="359">
      <c r="A359" s="16" t="inlineStr">
        <is>
          <t>5.1</t>
        </is>
      </c>
      <c r="B359" s="16" t="inlineStr">
        <is>
          <t>5.1c</t>
        </is>
      </c>
      <c r="C359" s="16" t="inlineStr">
        <is>
          <t>KF-M07</t>
        </is>
      </c>
      <c r="D359" s="16" t="inlineStr">
        <is>
          <t>KF-M07-A3</t>
        </is>
      </c>
      <c r="E359" s="16" t="inlineStr">
        <is>
          <t>B11-A3</t>
        </is>
      </c>
      <c r="F359" s="16" t="inlineStr">
        <is>
          <t>eta_t</t>
        </is>
      </c>
      <c r="G359" s="16" t="inlineStr">
        <is>
          <t>barrido</t>
        </is>
      </c>
      <c r="H359" s="16" t="n"/>
      <c r="I359" s="16" t="n">
        <v>0.7810559074586479</v>
      </c>
      <c r="J359" s="16" t="n">
        <v>0.95</v>
      </c>
      <c r="K359" s="16" t="n">
        <v>5</v>
      </c>
      <c r="L359" s="16" t="n"/>
      <c r="M359" s="16" t="inlineStr">
        <is>
          <t>–</t>
        </is>
      </c>
      <c r="N359" s="16" t="inlineStr">
        <is>
          <t>no</t>
        </is>
      </c>
      <c r="O359" s="16" t="n"/>
    </row>
    <row r="360">
      <c r="A360" s="16" t="inlineStr">
        <is>
          <t>5.1</t>
        </is>
      </c>
      <c r="B360" s="16" t="inlineStr">
        <is>
          <t>5.1c</t>
        </is>
      </c>
      <c r="C360" s="16" t="inlineStr">
        <is>
          <t>KF-M07</t>
        </is>
      </c>
      <c r="D360" s="16" t="inlineStr">
        <is>
          <t>KF-M07-A3</t>
        </is>
      </c>
      <c r="E360" s="16" t="inlineStr">
        <is>
          <t>B11-A3</t>
        </is>
      </c>
      <c r="F360" s="16" t="inlineStr">
        <is>
          <t>eta_p</t>
        </is>
      </c>
      <c r="G360" s="16" t="inlineStr">
        <is>
          <t>barrido</t>
        </is>
      </c>
      <c r="H360" s="16" t="n"/>
      <c r="I360" s="16" t="n">
        <v>0.7825342727183489</v>
      </c>
      <c r="J360" s="16" t="n">
        <v>0.8925342727183487</v>
      </c>
      <c r="K360" s="16" t="n">
        <v>3</v>
      </c>
      <c r="L360" s="16" t="n"/>
      <c r="M360" s="16" t="inlineStr">
        <is>
          <t>–</t>
        </is>
      </c>
      <c r="N360" s="16" t="inlineStr">
        <is>
          <t>no</t>
        </is>
      </c>
      <c r="O360" s="16" t="n"/>
    </row>
    <row r="361">
      <c r="A361" s="16" t="inlineStr">
        <is>
          <t>5.1</t>
        </is>
      </c>
      <c r="B361" s="16" t="inlineStr">
        <is>
          <t>5.1c</t>
        </is>
      </c>
      <c r="C361" s="16" t="inlineStr">
        <is>
          <t>KF-M07</t>
        </is>
      </c>
      <c r="D361" s="16" t="inlineStr">
        <is>
          <t>KF-M07-A3</t>
        </is>
      </c>
      <c r="E361" s="16" t="inlineStr">
        <is>
          <t>B11-A3</t>
        </is>
      </c>
      <c r="F361" s="16" t="inlineStr">
        <is>
          <t>eps_hrvg</t>
        </is>
      </c>
      <c r="G361" s="16" t="inlineStr">
        <is>
          <t>barrido</t>
        </is>
      </c>
      <c r="H361" s="16" t="n"/>
      <c r="I361" s="16" t="n">
        <v>0.4413658855761367</v>
      </c>
      <c r="J361" s="16" t="n">
        <v>0.5513658855761367</v>
      </c>
      <c r="K361" s="16" t="n">
        <v>3</v>
      </c>
      <c r="L361" s="16" t="n"/>
      <c r="M361" s="16" t="inlineStr">
        <is>
          <t>–</t>
        </is>
      </c>
      <c r="N361" s="16" t="inlineStr">
        <is>
          <t>no</t>
        </is>
      </c>
      <c r="O361" s="16" t="n"/>
    </row>
    <row r="362">
      <c r="A362" s="16" t="inlineStr">
        <is>
          <t>5.1</t>
        </is>
      </c>
      <c r="B362" s="16" t="inlineStr">
        <is>
          <t>5.1c</t>
        </is>
      </c>
      <c r="C362" s="16" t="inlineStr">
        <is>
          <t>KF-M07</t>
        </is>
      </c>
      <c r="D362" s="16" t="inlineStr">
        <is>
          <t>KF-M07-A3</t>
        </is>
      </c>
      <c r="E362" s="16" t="inlineStr">
        <is>
          <t>B11-A3</t>
        </is>
      </c>
      <c r="F362" s="16" t="inlineStr">
        <is>
          <t>eps_reg</t>
        </is>
      </c>
      <c r="G362" s="16" t="inlineStr">
        <is>
          <t>barrido</t>
        </is>
      </c>
      <c r="H362" s="16" t="n"/>
      <c r="I362" s="16" t="n">
        <v>0.8616775946077286</v>
      </c>
      <c r="J362" s="16" t="n">
        <v>0.95</v>
      </c>
      <c r="K362" s="16" t="n">
        <v>3</v>
      </c>
      <c r="L362" s="16" t="n"/>
      <c r="M362" s="16" t="inlineStr">
        <is>
          <t>–</t>
        </is>
      </c>
      <c r="N362" s="16" t="inlineStr">
        <is>
          <t>no</t>
        </is>
      </c>
      <c r="O362" s="16" t="n"/>
    </row>
    <row r="363">
      <c r="A363" s="16" t="inlineStr">
        <is>
          <t>5.1</t>
        </is>
      </c>
      <c r="B363" s="16" t="inlineStr">
        <is>
          <t>5.1c</t>
        </is>
      </c>
      <c r="C363" s="16" t="inlineStr">
        <is>
          <t>KF-M07</t>
        </is>
      </c>
      <c r="D363" s="16" t="inlineStr">
        <is>
          <t>KF-M07-A3</t>
        </is>
      </c>
      <c r="E363" s="16" t="inlineStr">
        <is>
          <t>B11-A3</t>
        </is>
      </c>
      <c r="F363" s="16" t="inlineStr">
        <is>
          <t>eps_cond</t>
        </is>
      </c>
      <c r="G363" s="16" t="inlineStr">
        <is>
          <t>barrido</t>
        </is>
      </c>
      <c r="H363" s="16" t="n"/>
      <c r="I363" s="16" t="n">
        <v>0.8907881775355844</v>
      </c>
      <c r="J363" s="16" t="n">
        <v>0.95</v>
      </c>
      <c r="K363" s="16" t="n">
        <v>3</v>
      </c>
      <c r="L363" s="16" t="n"/>
      <c r="M363" s="16" t="inlineStr">
        <is>
          <t>–</t>
        </is>
      </c>
      <c r="N363" s="16" t="inlineStr">
        <is>
          <t>no</t>
        </is>
      </c>
      <c r="O363" s="16" t="n"/>
    </row>
    <row r="364">
      <c r="A364" s="16" t="inlineStr">
        <is>
          <t>5.1</t>
        </is>
      </c>
      <c r="B364" s="16" t="inlineStr">
        <is>
          <t>5.1c</t>
        </is>
      </c>
      <c r="C364" s="16" t="inlineStr">
        <is>
          <t>KF-M07</t>
        </is>
      </c>
      <c r="D364" s="16" t="inlineStr">
        <is>
          <t>KF-M07-A3</t>
        </is>
      </c>
      <c r="E364" s="16" t="inlineStr">
        <is>
          <t>B11-A3</t>
        </is>
      </c>
      <c r="F364" s="16" t="inlineStr">
        <is>
          <t>T_amb_diseno</t>
        </is>
      </c>
      <c r="G364" s="16" t="inlineStr">
        <is>
          <t>fijo</t>
        </is>
      </c>
      <c r="H364" s="16" t="inlineStr">
        <is>
          <t>300.032917</t>
        </is>
      </c>
      <c r="I364" s="16" t="n"/>
      <c r="J364" s="16" t="n"/>
      <c r="K364" s="16" t="n"/>
      <c r="L364" s="16" t="inlineStr">
        <is>
          <t>sí</t>
        </is>
      </c>
      <c r="M364" s="16" t="inlineStr">
        <is>
          <t>K</t>
        </is>
      </c>
      <c r="N364" s="16" t="inlineStr">
        <is>
          <t>no</t>
        </is>
      </c>
      <c r="O364" s="16" t="n"/>
    </row>
    <row r="365">
      <c r="A365" s="16" t="inlineStr">
        <is>
          <t>5.1</t>
        </is>
      </c>
      <c r="B365" s="16" t="inlineStr">
        <is>
          <t>5.1c</t>
        </is>
      </c>
      <c r="C365" s="16" t="inlineStr">
        <is>
          <t>KF-M07</t>
        </is>
      </c>
      <c r="D365" s="16" t="inlineStr">
        <is>
          <t>KF-M07-A3</t>
        </is>
      </c>
      <c r="E365" s="16" t="inlineStr">
        <is>
          <t>B11-A3</t>
        </is>
      </c>
      <c r="F365" s="16" t="inlineStr">
        <is>
          <t>motor</t>
        </is>
      </c>
      <c r="G365" s="16" t="inlineStr">
        <is>
          <t>fijo</t>
        </is>
      </c>
      <c r="H365" s="16" t="inlineStr">
        <is>
          <t>teqp</t>
        </is>
      </c>
      <c r="I365" s="16" t="n"/>
      <c r="J365" s="16" t="n"/>
      <c r="K365" s="16" t="n"/>
      <c r="L365" s="16" t="n"/>
      <c r="M365" s="16" t="inlineStr">
        <is>
          <t>–</t>
        </is>
      </c>
      <c r="N365" s="16" t="inlineStr">
        <is>
          <t>no</t>
        </is>
      </c>
      <c r="O365" s="16" t="n"/>
    </row>
    <row r="366">
      <c r="A366" s="16" t="inlineStr">
        <is>
          <t>5.1</t>
        </is>
      </c>
      <c r="B366" s="16" t="inlineStr">
        <is>
          <t>5.1d</t>
        </is>
      </c>
      <c r="C366" s="16" t="inlineStr">
        <is>
          <t>KF-M07</t>
        </is>
      </c>
      <c r="D366" s="16" t="inlineStr">
        <is>
          <t>KF-M07-A4</t>
        </is>
      </c>
      <c r="E366" s="16" t="inlineStr">
        <is>
          <t>B11-A4</t>
        </is>
      </c>
      <c r="F366" s="16" t="inlineStr">
        <is>
          <t>T_fuente</t>
        </is>
      </c>
      <c r="G366" s="16" t="inlineStr">
        <is>
          <t>barrido</t>
        </is>
      </c>
      <c r="H366" s="16" t="n"/>
      <c r="I366" s="16" t="n">
        <v>391</v>
      </c>
      <c r="J366" s="16" t="n">
        <v>427</v>
      </c>
      <c r="K366" s="16" t="n">
        <v>4</v>
      </c>
      <c r="L366" s="16" t="n"/>
      <c r="M366" s="16" t="inlineStr">
        <is>
          <t>K</t>
        </is>
      </c>
      <c r="N366" s="16" t="inlineStr">
        <is>
          <t>no</t>
        </is>
      </c>
      <c r="O366" s="16" t="n"/>
    </row>
    <row r="367">
      <c r="A367" s="16" t="inlineStr">
        <is>
          <t>5.1</t>
        </is>
      </c>
      <c r="B367" s="16" t="inlineStr">
        <is>
          <t>5.1d</t>
        </is>
      </c>
      <c r="C367" s="16" t="inlineStr">
        <is>
          <t>KF-M07</t>
        </is>
      </c>
      <c r="D367" s="16" t="inlineStr">
        <is>
          <t>KF-M07-A4</t>
        </is>
      </c>
      <c r="E367" s="16" t="inlineStr">
        <is>
          <t>B11-A4</t>
        </is>
      </c>
      <c r="F367" s="16" t="inlineStr">
        <is>
          <t>T_sumidero</t>
        </is>
      </c>
      <c r="G367" s="16" t="inlineStr">
        <is>
          <t>fijo</t>
        </is>
      </c>
      <c r="H367" s="16" t="inlineStr">
        <is>
          <t>300.032917</t>
        </is>
      </c>
      <c r="I367" s="16" t="n"/>
      <c r="J367" s="16" t="n"/>
      <c r="K367" s="16" t="n"/>
      <c r="L367" s="16" t="inlineStr">
        <is>
          <t>sí</t>
        </is>
      </c>
      <c r="M367" s="16" t="inlineStr">
        <is>
          <t>K</t>
        </is>
      </c>
      <c r="N367" s="16" t="inlineStr">
        <is>
          <t>no</t>
        </is>
      </c>
      <c r="O367" s="16" t="n"/>
    </row>
    <row r="368">
      <c r="A368" s="16" t="inlineStr">
        <is>
          <t>5.1</t>
        </is>
      </c>
      <c r="B368" s="16" t="inlineStr">
        <is>
          <t>5.1d</t>
        </is>
      </c>
      <c r="C368" s="16" t="inlineStr">
        <is>
          <t>KF-M07</t>
        </is>
      </c>
      <c r="D368" s="16" t="inlineStr">
        <is>
          <t>KF-M07-A4</t>
        </is>
      </c>
      <c r="E368" s="16" t="inlineStr">
        <is>
          <t>B11-A4</t>
        </is>
      </c>
      <c r="F368" s="16" t="inlineStr">
        <is>
          <t>P_alta</t>
        </is>
      </c>
      <c r="G368" s="16" t="inlineStr">
        <is>
          <t>fijo</t>
        </is>
      </c>
      <c r="H368" s="16" t="inlineStr">
        <is>
          <t>3000.0</t>
        </is>
      </c>
      <c r="I368" s="16" t="n"/>
      <c r="J368" s="16" t="n"/>
      <c r="K368" s="16" t="n"/>
      <c r="L368" s="16" t="inlineStr">
        <is>
          <t>sí</t>
        </is>
      </c>
      <c r="M368" s="16" t="inlineStr">
        <is>
          <t>kPa</t>
        </is>
      </c>
      <c r="N368" s="16" t="inlineStr">
        <is>
          <t>no</t>
        </is>
      </c>
      <c r="O368" s="16" t="n"/>
    </row>
    <row r="369">
      <c r="A369" s="16" t="inlineStr">
        <is>
          <t>5.1</t>
        </is>
      </c>
      <c r="B369" s="16" t="inlineStr">
        <is>
          <t>5.1d</t>
        </is>
      </c>
      <c r="C369" s="16" t="inlineStr">
        <is>
          <t>KF-M07</t>
        </is>
      </c>
      <c r="D369" s="16" t="inlineStr">
        <is>
          <t>KF-M07-A4</t>
        </is>
      </c>
      <c r="E369" s="16" t="inlineStr">
        <is>
          <t>B11-A4</t>
        </is>
      </c>
      <c r="F369" s="16" t="inlineStr">
        <is>
          <t>P_baja</t>
        </is>
      </c>
      <c r="G369" s="16" t="inlineStr">
        <is>
          <t>fijo</t>
        </is>
      </c>
      <c r="H369" s="16" t="inlineStr">
        <is>
          <t>400.0</t>
        </is>
      </c>
      <c r="I369" s="16" t="n"/>
      <c r="J369" s="16" t="n"/>
      <c r="K369" s="16" t="n"/>
      <c r="L369" s="16" t="inlineStr">
        <is>
          <t>sí</t>
        </is>
      </c>
      <c r="M369" s="16" t="inlineStr">
        <is>
          <t>kPa</t>
        </is>
      </c>
      <c r="N369" s="16" t="inlineStr">
        <is>
          <t>no</t>
        </is>
      </c>
      <c r="O369" s="16" t="n"/>
    </row>
    <row r="370">
      <c r="A370" s="16" t="inlineStr">
        <is>
          <t>5.1</t>
        </is>
      </c>
      <c r="B370" s="16" t="inlineStr">
        <is>
          <t>5.1d</t>
        </is>
      </c>
      <c r="C370" s="16" t="inlineStr">
        <is>
          <t>KF-M07</t>
        </is>
      </c>
      <c r="D370" s="16" t="inlineStr">
        <is>
          <t>KF-M07-A4</t>
        </is>
      </c>
      <c r="E370" s="16" t="inlineStr">
        <is>
          <t>B11-A4</t>
        </is>
      </c>
      <c r="F370" s="16" t="inlineStr">
        <is>
          <t>x_b</t>
        </is>
      </c>
      <c r="G370" s="16" t="inlineStr">
        <is>
          <t>barrido</t>
        </is>
      </c>
      <c r="H370" s="16" t="n"/>
      <c r="I370" s="16" t="n">
        <v>0.5</v>
      </c>
      <c r="J370" s="16" t="n">
        <v>0.535</v>
      </c>
      <c r="K370" s="16" t="n">
        <v>2</v>
      </c>
      <c r="L370" s="16" t="n"/>
      <c r="M370" s="16" t="inlineStr">
        <is>
          <t>–</t>
        </is>
      </c>
      <c r="N370" s="16" t="inlineStr">
        <is>
          <t>no</t>
        </is>
      </c>
      <c r="O370" s="16" t="n"/>
    </row>
    <row r="371">
      <c r="A371" s="16" t="inlineStr">
        <is>
          <t>5.1</t>
        </is>
      </c>
      <c r="B371" s="16" t="inlineStr">
        <is>
          <t>5.1d</t>
        </is>
      </c>
      <c r="C371" s="16" t="inlineStr">
        <is>
          <t>KF-M07</t>
        </is>
      </c>
      <c r="D371" s="16" t="inlineStr">
        <is>
          <t>KF-M07-A4</t>
        </is>
      </c>
      <c r="E371" s="16" t="inlineStr">
        <is>
          <t>B11-A4</t>
        </is>
      </c>
      <c r="F371" s="16" t="inlineStr">
        <is>
          <t>m_b</t>
        </is>
      </c>
      <c r="G371" s="16" t="inlineStr">
        <is>
          <t>fijo</t>
        </is>
      </c>
      <c r="H371" s="16" t="inlineStr">
        <is>
          <t>1.0</t>
        </is>
      </c>
      <c r="I371" s="16" t="n"/>
      <c r="J371" s="16" t="n"/>
      <c r="K371" s="16" t="n"/>
      <c r="L371" s="16" t="inlineStr">
        <is>
          <t>sí</t>
        </is>
      </c>
      <c r="M371" s="16" t="inlineStr">
        <is>
          <t>kg/s</t>
        </is>
      </c>
      <c r="N371" s="16" t="inlineStr">
        <is>
          <t>no</t>
        </is>
      </c>
      <c r="O371" s="16" t="n"/>
    </row>
    <row r="372">
      <c r="A372" s="16" t="inlineStr">
        <is>
          <t>5.1</t>
        </is>
      </c>
      <c r="B372" s="16" t="inlineStr">
        <is>
          <t>5.1d</t>
        </is>
      </c>
      <c r="C372" s="16" t="inlineStr">
        <is>
          <t>KF-M07</t>
        </is>
      </c>
      <c r="D372" s="16" t="inlineStr">
        <is>
          <t>KF-M07-A4</t>
        </is>
      </c>
      <c r="E372" s="16" t="inlineStr">
        <is>
          <t>B11-A4</t>
        </is>
      </c>
      <c r="F372" s="16" t="inlineStr">
        <is>
          <t>eta_t</t>
        </is>
      </c>
      <c r="G372" s="16" t="inlineStr">
        <is>
          <t>barrido</t>
        </is>
      </c>
      <c r="H372" s="16" t="n"/>
      <c r="I372" s="16" t="n">
        <v>0.795</v>
      </c>
      <c r="J372" s="16" t="n">
        <v>0.95</v>
      </c>
      <c r="K372" s="16" t="n">
        <v>5</v>
      </c>
      <c r="L372" s="16" t="n"/>
      <c r="M372" s="16" t="inlineStr">
        <is>
          <t>–</t>
        </is>
      </c>
      <c r="N372" s="16" t="inlineStr">
        <is>
          <t>no</t>
        </is>
      </c>
      <c r="O372" s="16" t="n"/>
    </row>
    <row r="373">
      <c r="A373" s="16" t="inlineStr">
        <is>
          <t>5.1</t>
        </is>
      </c>
      <c r="B373" s="16" t="inlineStr">
        <is>
          <t>5.1d</t>
        </is>
      </c>
      <c r="C373" s="16" t="inlineStr">
        <is>
          <t>KF-M07</t>
        </is>
      </c>
      <c r="D373" s="16" t="inlineStr">
        <is>
          <t>KF-M07-A4</t>
        </is>
      </c>
      <c r="E373" s="16" t="inlineStr">
        <is>
          <t>B11-A4</t>
        </is>
      </c>
      <c r="F373" s="16" t="inlineStr">
        <is>
          <t>eta_p</t>
        </is>
      </c>
      <c r="G373" s="16" t="inlineStr">
        <is>
          <t>barrido</t>
        </is>
      </c>
      <c r="H373" s="16" t="n"/>
      <c r="I373" s="16" t="n">
        <v>0.6950000000000001</v>
      </c>
      <c r="J373" s="16" t="n">
        <v>0.8599999999999999</v>
      </c>
      <c r="K373" s="16" t="n">
        <v>4</v>
      </c>
      <c r="L373" s="16" t="n"/>
      <c r="M373" s="16" t="inlineStr">
        <is>
          <t>–</t>
        </is>
      </c>
      <c r="N373" s="16" t="inlineStr">
        <is>
          <t>no</t>
        </is>
      </c>
      <c r="O373" s="16" t="n"/>
    </row>
    <row r="374">
      <c r="A374" s="16" t="inlineStr">
        <is>
          <t>5.1</t>
        </is>
      </c>
      <c r="B374" s="16" t="inlineStr">
        <is>
          <t>5.1d</t>
        </is>
      </c>
      <c r="C374" s="16" t="inlineStr">
        <is>
          <t>KF-M07</t>
        </is>
      </c>
      <c r="D374" s="16" t="inlineStr">
        <is>
          <t>KF-M07-A4</t>
        </is>
      </c>
      <c r="E374" s="16" t="inlineStr">
        <is>
          <t>B11-A4</t>
        </is>
      </c>
      <c r="F374" s="16" t="inlineStr">
        <is>
          <t>eps_hrvg</t>
        </is>
      </c>
      <c r="G374" s="16" t="inlineStr">
        <is>
          <t>barrido</t>
        </is>
      </c>
      <c r="H374" s="16" t="n"/>
      <c r="I374" s="16" t="n">
        <v>0.795</v>
      </c>
      <c r="J374" s="16" t="n">
        <v>0.95</v>
      </c>
      <c r="K374" s="16" t="n">
        <v>4</v>
      </c>
      <c r="L374" s="16" t="n"/>
      <c r="M374" s="16" t="inlineStr">
        <is>
          <t>–</t>
        </is>
      </c>
      <c r="N374" s="16" t="inlineStr">
        <is>
          <t>no</t>
        </is>
      </c>
      <c r="O374" s="16" t="n"/>
    </row>
    <row r="375">
      <c r="A375" s="16" t="inlineStr">
        <is>
          <t>5.1</t>
        </is>
      </c>
      <c r="B375" s="16" t="inlineStr">
        <is>
          <t>5.1d</t>
        </is>
      </c>
      <c r="C375" s="16" t="inlineStr">
        <is>
          <t>KF-M07</t>
        </is>
      </c>
      <c r="D375" s="16" t="inlineStr">
        <is>
          <t>KF-M07-A4</t>
        </is>
      </c>
      <c r="E375" s="16" t="inlineStr">
        <is>
          <t>B11-A4</t>
        </is>
      </c>
      <c r="F375" s="16" t="inlineStr">
        <is>
          <t>eps_reg</t>
        </is>
      </c>
      <c r="G375" s="16" t="inlineStr">
        <is>
          <t>barrido</t>
        </is>
      </c>
      <c r="H375" s="16" t="n"/>
      <c r="I375" s="16" t="n">
        <v>0.6950000000000001</v>
      </c>
      <c r="J375" s="16" t="n">
        <v>0.95</v>
      </c>
      <c r="K375" s="16" t="n">
        <v>7</v>
      </c>
      <c r="L375" s="16" t="n"/>
      <c r="M375" s="16" t="inlineStr">
        <is>
          <t>–</t>
        </is>
      </c>
      <c r="N375" s="16" t="inlineStr">
        <is>
          <t>no</t>
        </is>
      </c>
      <c r="O375" s="16" t="n"/>
    </row>
    <row r="376">
      <c r="A376" s="16" t="inlineStr">
        <is>
          <t>5.1</t>
        </is>
      </c>
      <c r="B376" s="16" t="inlineStr">
        <is>
          <t>5.1d</t>
        </is>
      </c>
      <c r="C376" s="16" t="inlineStr">
        <is>
          <t>KF-M07</t>
        </is>
      </c>
      <c r="D376" s="16" t="inlineStr">
        <is>
          <t>KF-M07-A4</t>
        </is>
      </c>
      <c r="E376" s="16" t="inlineStr">
        <is>
          <t>B11-A4</t>
        </is>
      </c>
      <c r="F376" s="16" t="inlineStr">
        <is>
          <t>eps_cond</t>
        </is>
      </c>
      <c r="G376" s="16" t="inlineStr">
        <is>
          <t>barrido</t>
        </is>
      </c>
      <c r="H376" s="16" t="n"/>
      <c r="I376" s="16" t="n">
        <v>0.895</v>
      </c>
      <c r="J376" s="16" t="n">
        <v>0.95</v>
      </c>
      <c r="K376" s="16" t="n">
        <v>2</v>
      </c>
      <c r="L376" s="16" t="n"/>
      <c r="M376" s="16" t="inlineStr">
        <is>
          <t>–</t>
        </is>
      </c>
      <c r="N376" s="16" t="inlineStr">
        <is>
          <t>no</t>
        </is>
      </c>
      <c r="O376" s="16" t="n"/>
    </row>
    <row r="377">
      <c r="A377" s="16" t="inlineStr">
        <is>
          <t>5.1</t>
        </is>
      </c>
      <c r="B377" s="16" t="inlineStr">
        <is>
          <t>5.1d</t>
        </is>
      </c>
      <c r="C377" s="16" t="inlineStr">
        <is>
          <t>KF-M07</t>
        </is>
      </c>
      <c r="D377" s="16" t="inlineStr">
        <is>
          <t>KF-M07-A4</t>
        </is>
      </c>
      <c r="E377" s="16" t="inlineStr">
        <is>
          <t>B11-A4</t>
        </is>
      </c>
      <c r="F377" s="16" t="inlineStr">
        <is>
          <t>T_amb_diseno</t>
        </is>
      </c>
      <c r="G377" s="16" t="inlineStr">
        <is>
          <t>fijo</t>
        </is>
      </c>
      <c r="H377" s="16" t="inlineStr">
        <is>
          <t>300.032917</t>
        </is>
      </c>
      <c r="I377" s="16" t="n"/>
      <c r="J377" s="16" t="n"/>
      <c r="K377" s="16" t="n"/>
      <c r="L377" s="16" t="inlineStr">
        <is>
          <t>sí</t>
        </is>
      </c>
      <c r="M377" s="16" t="inlineStr">
        <is>
          <t>K</t>
        </is>
      </c>
      <c r="N377" s="16" t="inlineStr">
        <is>
          <t>no</t>
        </is>
      </c>
      <c r="O377" s="16" t="n"/>
    </row>
    <row r="378">
      <c r="A378" s="16" t="inlineStr">
        <is>
          <t>5.1</t>
        </is>
      </c>
      <c r="B378" s="16" t="inlineStr">
        <is>
          <t>5.1d</t>
        </is>
      </c>
      <c r="C378" s="16" t="inlineStr">
        <is>
          <t>KF-M07</t>
        </is>
      </c>
      <c r="D378" s="16" t="inlineStr">
        <is>
          <t>KF-M07-A4</t>
        </is>
      </c>
      <c r="E378" s="16" t="inlineStr">
        <is>
          <t>B11-A4</t>
        </is>
      </c>
      <c r="F378" s="16" t="inlineStr">
        <is>
          <t>motor</t>
        </is>
      </c>
      <c r="G378" s="16" t="inlineStr">
        <is>
          <t>fijo</t>
        </is>
      </c>
      <c r="H378" s="16" t="inlineStr">
        <is>
          <t>teqp</t>
        </is>
      </c>
      <c r="I378" s="16" t="n"/>
      <c r="J378" s="16" t="n"/>
      <c r="K378" s="16" t="n"/>
      <c r="L378" s="16" t="n"/>
      <c r="M378" s="16" t="inlineStr">
        <is>
          <t>–</t>
        </is>
      </c>
      <c r="N378" s="16" t="inlineStr">
        <is>
          <t>no</t>
        </is>
      </c>
      <c r="O378" s="16" t="n"/>
    </row>
    <row r="379">
      <c r="A379" s="16" t="inlineStr">
        <is>
          <t>5.1</t>
        </is>
      </c>
      <c r="B379" s="16" t="inlineStr">
        <is>
          <t>5.1e</t>
        </is>
      </c>
      <c r="C379" s="16" t="inlineStr">
        <is>
          <t>KF-M07</t>
        </is>
      </c>
      <c r="D379" s="16" t="inlineStr">
        <is>
          <t>KF-M07-A5</t>
        </is>
      </c>
      <c r="E379" s="16" t="inlineStr">
        <is>
          <t>B11-A5</t>
        </is>
      </c>
      <c r="F379" s="16" t="inlineStr">
        <is>
          <t>T_fuente</t>
        </is>
      </c>
      <c r="G379" s="16" t="inlineStr">
        <is>
          <t>fijo</t>
        </is>
      </c>
      <c r="H379" s="16" t="inlineStr">
        <is>
          <t>623.15</t>
        </is>
      </c>
      <c r="I379" s="16" t="n"/>
      <c r="J379" s="16" t="n"/>
      <c r="K379" s="16" t="n"/>
      <c r="L379" s="16" t="inlineStr">
        <is>
          <t>sí</t>
        </is>
      </c>
      <c r="M379" s="16" t="inlineStr">
        <is>
          <t>K</t>
        </is>
      </c>
      <c r="N379" s="16" t="inlineStr">
        <is>
          <t>no</t>
        </is>
      </c>
      <c r="O379" s="16" t="n"/>
    </row>
    <row r="380">
      <c r="A380" s="16" t="inlineStr">
        <is>
          <t>5.1</t>
        </is>
      </c>
      <c r="B380" s="16" t="inlineStr">
        <is>
          <t>5.1e</t>
        </is>
      </c>
      <c r="C380" s="16" t="inlineStr">
        <is>
          <t>KF-M07</t>
        </is>
      </c>
      <c r="D380" s="16" t="inlineStr">
        <is>
          <t>KF-M07-A5</t>
        </is>
      </c>
      <c r="E380" s="16" t="inlineStr">
        <is>
          <t>B11-A5</t>
        </is>
      </c>
      <c r="F380" s="16" t="inlineStr">
        <is>
          <t>T_sumidero</t>
        </is>
      </c>
      <c r="G380" s="16" t="inlineStr">
        <is>
          <t>barrido</t>
        </is>
      </c>
      <c r="H380" s="16" t="n"/>
      <c r="I380" s="16" t="n">
        <v>300.0413618431699</v>
      </c>
      <c r="J380" s="16" t="n">
        <v>303.55</v>
      </c>
      <c r="K380" s="16" t="n">
        <v>3</v>
      </c>
      <c r="L380" s="16" t="n"/>
      <c r="M380" s="16" t="inlineStr">
        <is>
          <t>K</t>
        </is>
      </c>
      <c r="N380" s="16" t="inlineStr">
        <is>
          <t>no</t>
        </is>
      </c>
      <c r="O380" s="16" t="n"/>
    </row>
    <row r="381">
      <c r="A381" s="16" t="inlineStr">
        <is>
          <t>5.1</t>
        </is>
      </c>
      <c r="B381" s="16" t="inlineStr">
        <is>
          <t>5.1e</t>
        </is>
      </c>
      <c r="C381" s="16" t="inlineStr">
        <is>
          <t>KF-M07</t>
        </is>
      </c>
      <c r="D381" s="16" t="inlineStr">
        <is>
          <t>KF-M07-A5</t>
        </is>
      </c>
      <c r="E381" s="16" t="inlineStr">
        <is>
          <t>B11-A5</t>
        </is>
      </c>
      <c r="F381" s="16" t="inlineStr">
        <is>
          <t>P_alta</t>
        </is>
      </c>
      <c r="G381" s="16" t="inlineStr">
        <is>
          <t>barrido</t>
        </is>
      </c>
      <c r="H381" s="16" t="n"/>
      <c r="I381" s="16" t="n">
        <v>4508.3419580395</v>
      </c>
      <c r="J381" s="16" t="n">
        <v>5000</v>
      </c>
      <c r="K381" s="16" t="n">
        <v>3</v>
      </c>
      <c r="L381" s="16" t="n"/>
      <c r="M381" s="16" t="inlineStr">
        <is>
          <t>kPa</t>
        </is>
      </c>
      <c r="N381" s="16" t="inlineStr">
        <is>
          <t>no</t>
        </is>
      </c>
      <c r="O381" s="16" t="n"/>
    </row>
    <row r="382">
      <c r="A382" s="16" t="inlineStr">
        <is>
          <t>5.1</t>
        </is>
      </c>
      <c r="B382" s="16" t="inlineStr">
        <is>
          <t>5.1e</t>
        </is>
      </c>
      <c r="C382" s="16" t="inlineStr">
        <is>
          <t>KF-M07</t>
        </is>
      </c>
      <c r="D382" s="16" t="inlineStr">
        <is>
          <t>KF-M07-A5</t>
        </is>
      </c>
      <c r="E382" s="16" t="inlineStr">
        <is>
          <t>B11-A5</t>
        </is>
      </c>
      <c r="F382" s="16" t="inlineStr">
        <is>
          <t>P_baja</t>
        </is>
      </c>
      <c r="G382" s="16" t="inlineStr">
        <is>
          <t>barrido</t>
        </is>
      </c>
      <c r="H382" s="16" t="n"/>
      <c r="I382" s="16" t="n">
        <v>802.2743898072646</v>
      </c>
      <c r="J382" s="16" t="n">
        <v>1462.274389807265</v>
      </c>
      <c r="K382" s="16" t="n">
        <v>4</v>
      </c>
      <c r="L382" s="16" t="n"/>
      <c r="M382" s="16" t="inlineStr">
        <is>
          <t>kPa</t>
        </is>
      </c>
      <c r="N382" s="16" t="inlineStr">
        <is>
          <t>no</t>
        </is>
      </c>
      <c r="O382" s="16" t="n"/>
    </row>
    <row r="383">
      <c r="A383" s="16" t="inlineStr">
        <is>
          <t>5.1</t>
        </is>
      </c>
      <c r="B383" s="16" t="inlineStr">
        <is>
          <t>5.1e</t>
        </is>
      </c>
      <c r="C383" s="16" t="inlineStr">
        <is>
          <t>KF-M07</t>
        </is>
      </c>
      <c r="D383" s="16" t="inlineStr">
        <is>
          <t>KF-M07-A5</t>
        </is>
      </c>
      <c r="E383" s="16" t="inlineStr">
        <is>
          <t>B11-A5</t>
        </is>
      </c>
      <c r="F383" s="16" t="inlineStr">
        <is>
          <t>x_b</t>
        </is>
      </c>
      <c r="G383" s="16" t="inlineStr">
        <is>
          <t>fijo</t>
        </is>
      </c>
      <c r="H383" s="16" t="inlineStr">
        <is>
          <t>0.5</t>
        </is>
      </c>
      <c r="I383" s="16" t="n"/>
      <c r="J383" s="16" t="n"/>
      <c r="K383" s="16" t="n"/>
      <c r="L383" s="16" t="inlineStr">
        <is>
          <t>sí</t>
        </is>
      </c>
      <c r="M383" s="16" t="inlineStr">
        <is>
          <t>–</t>
        </is>
      </c>
      <c r="N383" s="16" t="inlineStr">
        <is>
          <t>no</t>
        </is>
      </c>
      <c r="O383" s="16" t="n"/>
    </row>
    <row r="384">
      <c r="A384" s="16" t="inlineStr">
        <is>
          <t>5.1</t>
        </is>
      </c>
      <c r="B384" s="16" t="inlineStr">
        <is>
          <t>5.1e</t>
        </is>
      </c>
      <c r="C384" s="16" t="inlineStr">
        <is>
          <t>KF-M07</t>
        </is>
      </c>
      <c r="D384" s="16" t="inlineStr">
        <is>
          <t>KF-M07-A5</t>
        </is>
      </c>
      <c r="E384" s="16" t="inlineStr">
        <is>
          <t>B11-A5</t>
        </is>
      </c>
      <c r="F384" s="16" t="inlineStr">
        <is>
          <t>m_b</t>
        </is>
      </c>
      <c r="G384" s="16" t="inlineStr">
        <is>
          <t>fijo</t>
        </is>
      </c>
      <c r="H384" s="16" t="inlineStr">
        <is>
          <t>1.0</t>
        </is>
      </c>
      <c r="I384" s="16" t="n"/>
      <c r="J384" s="16" t="n"/>
      <c r="K384" s="16" t="n"/>
      <c r="L384" s="16" t="inlineStr">
        <is>
          <t>sí</t>
        </is>
      </c>
      <c r="M384" s="16" t="inlineStr">
        <is>
          <t>kg/s</t>
        </is>
      </c>
      <c r="N384" s="16" t="inlineStr">
        <is>
          <t>no</t>
        </is>
      </c>
      <c r="O384" s="16" t="n"/>
    </row>
    <row r="385">
      <c r="A385" s="16" t="inlineStr">
        <is>
          <t>5.1</t>
        </is>
      </c>
      <c r="B385" s="16" t="inlineStr">
        <is>
          <t>5.1e</t>
        </is>
      </c>
      <c r="C385" s="16" t="inlineStr">
        <is>
          <t>KF-M07</t>
        </is>
      </c>
      <c r="D385" s="16" t="inlineStr">
        <is>
          <t>KF-M07-A5</t>
        </is>
      </c>
      <c r="E385" s="16" t="inlineStr">
        <is>
          <t>B11-A5</t>
        </is>
      </c>
      <c r="F385" s="16" t="inlineStr">
        <is>
          <t>eta_t</t>
        </is>
      </c>
      <c r="G385" s="16" t="inlineStr">
        <is>
          <t>barrido</t>
        </is>
      </c>
      <c r="H385" s="16" t="n"/>
      <c r="I385" s="16" t="n">
        <v>0.8674916747106671</v>
      </c>
      <c r="J385" s="16" t="n">
        <v>0.95</v>
      </c>
      <c r="K385" s="16" t="n">
        <v>3</v>
      </c>
      <c r="L385" s="16" t="n"/>
      <c r="M385" s="16" t="inlineStr">
        <is>
          <t>–</t>
        </is>
      </c>
      <c r="N385" s="16" t="inlineStr">
        <is>
          <t>no</t>
        </is>
      </c>
      <c r="O385" s="16" t="n"/>
    </row>
    <row r="386">
      <c r="A386" s="16" t="inlineStr">
        <is>
          <t>5.1</t>
        </is>
      </c>
      <c r="B386" s="16" t="inlineStr">
        <is>
          <t>5.1e</t>
        </is>
      </c>
      <c r="C386" s="16" t="inlineStr">
        <is>
          <t>KF-M07</t>
        </is>
      </c>
      <c r="D386" s="16" t="inlineStr">
        <is>
          <t>KF-M07-A5</t>
        </is>
      </c>
      <c r="E386" s="16" t="inlineStr">
        <is>
          <t>B11-A5</t>
        </is>
      </c>
      <c r="F386" s="16" t="inlineStr">
        <is>
          <t>eta_p</t>
        </is>
      </c>
      <c r="G386" s="16" t="inlineStr">
        <is>
          <t>barrido</t>
        </is>
      </c>
      <c r="H386" s="16" t="n"/>
      <c r="I386" s="16" t="n">
        <v>0.521065899468379</v>
      </c>
      <c r="J386" s="16" t="n">
        <v>0.6310658994683791</v>
      </c>
      <c r="K386" s="16" t="n">
        <v>3</v>
      </c>
      <c r="L386" s="16" t="n"/>
      <c r="M386" s="16" t="inlineStr">
        <is>
          <t>–</t>
        </is>
      </c>
      <c r="N386" s="16" t="inlineStr">
        <is>
          <t>no</t>
        </is>
      </c>
      <c r="O386" s="16" t="n"/>
    </row>
    <row r="387">
      <c r="A387" s="16" t="inlineStr">
        <is>
          <t>5.1</t>
        </is>
      </c>
      <c r="B387" s="16" t="inlineStr">
        <is>
          <t>5.1e</t>
        </is>
      </c>
      <c r="C387" s="16" t="inlineStr">
        <is>
          <t>KF-M07</t>
        </is>
      </c>
      <c r="D387" s="16" t="inlineStr">
        <is>
          <t>KF-M07-A5</t>
        </is>
      </c>
      <c r="E387" s="16" t="inlineStr">
        <is>
          <t>B11-A5</t>
        </is>
      </c>
      <c r="F387" s="16" t="inlineStr">
        <is>
          <t>eps_hrvg</t>
        </is>
      </c>
      <c r="G387" s="16" t="inlineStr">
        <is>
          <t>barrido</t>
        </is>
      </c>
      <c r="H387" s="16" t="n"/>
      <c r="I387" s="16" t="n">
        <v>0.4</v>
      </c>
      <c r="J387" s="16" t="n">
        <v>0.5173021552349206</v>
      </c>
      <c r="K387" s="16" t="n">
        <v>4</v>
      </c>
      <c r="L387" s="16" t="n"/>
      <c r="M387" s="16" t="inlineStr">
        <is>
          <t>–</t>
        </is>
      </c>
      <c r="N387" s="16" t="inlineStr">
        <is>
          <t>no</t>
        </is>
      </c>
      <c r="O387" s="16" t="n"/>
    </row>
    <row r="388">
      <c r="A388" s="16" t="inlineStr">
        <is>
          <t>5.1</t>
        </is>
      </c>
      <c r="B388" s="16" t="inlineStr">
        <is>
          <t>5.1e</t>
        </is>
      </c>
      <c r="C388" s="16" t="inlineStr">
        <is>
          <t>KF-M07</t>
        </is>
      </c>
      <c r="D388" s="16" t="inlineStr">
        <is>
          <t>KF-M07-A5</t>
        </is>
      </c>
      <c r="E388" s="16" t="inlineStr">
        <is>
          <t>B11-A5</t>
        </is>
      </c>
      <c r="F388" s="16" t="inlineStr">
        <is>
          <t>eps_reg</t>
        </is>
      </c>
      <c r="G388" s="16" t="inlineStr">
        <is>
          <t>barrido</t>
        </is>
      </c>
      <c r="H388" s="16" t="n"/>
      <c r="I388" s="16" t="n">
        <v>0.4</v>
      </c>
      <c r="J388" s="16" t="n">
        <v>0.6851145100609968</v>
      </c>
      <c r="K388" s="16" t="n">
        <v>7</v>
      </c>
      <c r="L388" s="16" t="n"/>
      <c r="M388" s="16" t="inlineStr">
        <is>
          <t>–</t>
        </is>
      </c>
      <c r="N388" s="16" t="inlineStr">
        <is>
          <t>no</t>
        </is>
      </c>
      <c r="O388" s="16" t="n"/>
    </row>
    <row r="389">
      <c r="A389" s="16" t="inlineStr">
        <is>
          <t>5.1</t>
        </is>
      </c>
      <c r="B389" s="16" t="inlineStr">
        <is>
          <t>5.1e</t>
        </is>
      </c>
      <c r="C389" s="16" t="inlineStr">
        <is>
          <t>KF-M07</t>
        </is>
      </c>
      <c r="D389" s="16" t="inlineStr">
        <is>
          <t>KF-M07-A5</t>
        </is>
      </c>
      <c r="E389" s="16" t="inlineStr">
        <is>
          <t>B11-A5</t>
        </is>
      </c>
      <c r="F389" s="16" t="inlineStr">
        <is>
          <t>eps_cond</t>
        </is>
      </c>
      <c r="G389" s="16" t="inlineStr">
        <is>
          <t>barrido</t>
        </is>
      </c>
      <c r="H389" s="16" t="n"/>
      <c r="I389" s="16" t="n">
        <v>0.8234157959492288</v>
      </c>
      <c r="J389" s="16" t="n">
        <v>0.9334157959492286</v>
      </c>
      <c r="K389" s="16" t="n">
        <v>3</v>
      </c>
      <c r="L389" s="16" t="n"/>
      <c r="M389" s="16" t="inlineStr">
        <is>
          <t>–</t>
        </is>
      </c>
      <c r="N389" s="16" t="inlineStr">
        <is>
          <t>no</t>
        </is>
      </c>
      <c r="O389" s="16" t="n"/>
    </row>
    <row r="390">
      <c r="A390" s="16" t="inlineStr">
        <is>
          <t>5.1</t>
        </is>
      </c>
      <c r="B390" s="16" t="inlineStr">
        <is>
          <t>5.1e</t>
        </is>
      </c>
      <c r="C390" s="16" t="inlineStr">
        <is>
          <t>KF-M07</t>
        </is>
      </c>
      <c r="D390" s="16" t="inlineStr">
        <is>
          <t>KF-M07-A5</t>
        </is>
      </c>
      <c r="E390" s="16" t="inlineStr">
        <is>
          <t>B11-A5</t>
        </is>
      </c>
      <c r="F390" s="16" t="inlineStr">
        <is>
          <t>T_amb_diseno</t>
        </is>
      </c>
      <c r="G390" s="16" t="inlineStr">
        <is>
          <t>barrido</t>
        </is>
      </c>
      <c r="H390" s="16" t="n"/>
      <c r="I390" s="16" t="n">
        <v>300.0413618431699</v>
      </c>
      <c r="J390" s="16" t="n">
        <v>303.55</v>
      </c>
      <c r="K390" s="16" t="n">
        <v>3</v>
      </c>
      <c r="L390" s="16" t="n"/>
      <c r="M390" s="16" t="inlineStr">
        <is>
          <t>K</t>
        </is>
      </c>
      <c r="N390" s="16" t="inlineStr">
        <is>
          <t>no</t>
        </is>
      </c>
      <c r="O390" s="16" t="n"/>
    </row>
    <row r="391">
      <c r="A391" s="16" t="inlineStr">
        <is>
          <t>5.1</t>
        </is>
      </c>
      <c r="B391" s="16" t="inlineStr">
        <is>
          <t>5.1e</t>
        </is>
      </c>
      <c r="C391" s="16" t="inlineStr">
        <is>
          <t>KF-M07</t>
        </is>
      </c>
      <c r="D391" s="16" t="inlineStr">
        <is>
          <t>KF-M07-A5</t>
        </is>
      </c>
      <c r="E391" s="16" t="inlineStr">
        <is>
          <t>B11-A5</t>
        </is>
      </c>
      <c r="F391" s="16" t="inlineStr">
        <is>
          <t>motor</t>
        </is>
      </c>
      <c r="G391" s="16" t="inlineStr">
        <is>
          <t>fijo</t>
        </is>
      </c>
      <c r="H391" s="16" t="inlineStr">
        <is>
          <t>teqp</t>
        </is>
      </c>
      <c r="I391" s="16" t="n"/>
      <c r="J391" s="16" t="n"/>
      <c r="K391" s="16" t="n"/>
      <c r="L391" s="16" t="n"/>
      <c r="M391" s="16" t="inlineStr">
        <is>
          <t>–</t>
        </is>
      </c>
      <c r="N391" s="16" t="inlineStr">
        <is>
          <t>no</t>
        </is>
      </c>
      <c r="O391" s="16" t="n"/>
    </row>
    <row r="392">
      <c r="A392" s="16" t="inlineStr">
        <is>
          <t>A.1</t>
        </is>
      </c>
      <c r="B392" s="16" t="inlineStr">
        <is>
          <t>A.1</t>
        </is>
      </c>
      <c r="C392" s="16" t="inlineStr">
        <is>
          <t>KF-M08</t>
        </is>
      </c>
      <c r="D392" s="16" t="inlineStr">
        <is>
          <t>KF-M08</t>
        </is>
      </c>
      <c r="E392" s="16" t="inlineStr">
        <is>
          <t>BX</t>
        </is>
      </c>
      <c r="F392" s="16" t="inlineStr">
        <is>
          <t>T_fuente</t>
        </is>
      </c>
      <c r="G392" s="16" t="inlineStr">
        <is>
          <t>barrido</t>
        </is>
      </c>
      <c r="H392" s="16" t="n"/>
      <c r="I392" s="16" t="n">
        <v>403</v>
      </c>
      <c r="J392" s="16" t="n">
        <v>436.0969531091276</v>
      </c>
      <c r="K392" s="16" t="n">
        <v>2</v>
      </c>
      <c r="L392" s="16" t="n"/>
      <c r="M392" s="16" t="inlineStr">
        <is>
          <t>K</t>
        </is>
      </c>
      <c r="N392" s="16" t="inlineStr">
        <is>
          <t>sí</t>
        </is>
      </c>
      <c r="O392" s="16" t="n">
        <v>403</v>
      </c>
    </row>
    <row r="393">
      <c r="A393" s="16" t="inlineStr">
        <is>
          <t>A.1</t>
        </is>
      </c>
      <c r="B393" s="16" t="inlineStr">
        <is>
          <t>A.1</t>
        </is>
      </c>
      <c r="C393" s="16" t="inlineStr">
        <is>
          <t>KF-M08</t>
        </is>
      </c>
      <c r="D393" s="16" t="inlineStr">
        <is>
          <t>KF-M08</t>
        </is>
      </c>
      <c r="E393" s="16" t="inlineStr">
        <is>
          <t>BX</t>
        </is>
      </c>
      <c r="F393" s="16" t="inlineStr">
        <is>
          <t>T_sumidero</t>
        </is>
      </c>
      <c r="G393" s="16" t="inlineStr">
        <is>
          <t>barrido</t>
        </is>
      </c>
      <c r="H393" s="16" t="n"/>
      <c r="I393" s="16" t="n">
        <v>279.0977013205448</v>
      </c>
      <c r="J393" s="16" t="n">
        <v>300.032917</v>
      </c>
      <c r="K393" s="16" t="n">
        <v>2</v>
      </c>
      <c r="L393" s="16" t="n"/>
      <c r="M393" s="16" t="inlineStr">
        <is>
          <t>K</t>
        </is>
      </c>
      <c r="N393" s="16" t="inlineStr">
        <is>
          <t>sí</t>
        </is>
      </c>
      <c r="O393" s="16" t="n">
        <v>279.098</v>
      </c>
    </row>
    <row r="394">
      <c r="A394" s="16" t="inlineStr">
        <is>
          <t>A.1</t>
        </is>
      </c>
      <c r="B394" s="16" t="inlineStr">
        <is>
          <t>A.1</t>
        </is>
      </c>
      <c r="C394" s="16" t="inlineStr">
        <is>
          <t>KF-M08</t>
        </is>
      </c>
      <c r="D394" s="16" t="inlineStr">
        <is>
          <t>KF-M08</t>
        </is>
      </c>
      <c r="E394" s="16" t="inlineStr">
        <is>
          <t>BX</t>
        </is>
      </c>
      <c r="F394" s="16" t="inlineStr">
        <is>
          <t>P_alta</t>
        </is>
      </c>
      <c r="G394" s="16" t="inlineStr">
        <is>
          <t>barrido</t>
        </is>
      </c>
      <c r="H394" s="16" t="n"/>
      <c r="I394" s="16" t="n">
        <v>3000</v>
      </c>
      <c r="J394" s="16" t="n">
        <v>4381.823024523768</v>
      </c>
      <c r="K394" s="16" t="n">
        <v>2</v>
      </c>
      <c r="L394" s="16" t="n"/>
      <c r="M394" s="16" t="inlineStr">
        <is>
          <t>kPa</t>
        </is>
      </c>
      <c r="N394" s="16" t="inlineStr">
        <is>
          <t>sí</t>
        </is>
      </c>
      <c r="O394" s="16" t="n">
        <v>3000</v>
      </c>
    </row>
    <row r="395">
      <c r="A395" s="16" t="inlineStr">
        <is>
          <t>A.1</t>
        </is>
      </c>
      <c r="B395" s="16" t="inlineStr">
        <is>
          <t>A.1</t>
        </is>
      </c>
      <c r="C395" s="16" t="inlineStr">
        <is>
          <t>KF-M08</t>
        </is>
      </c>
      <c r="D395" s="16" t="inlineStr">
        <is>
          <t>KF-M08</t>
        </is>
      </c>
      <c r="E395" s="16" t="inlineStr">
        <is>
          <t>BX</t>
        </is>
      </c>
      <c r="F395" s="16" t="inlineStr">
        <is>
          <t>P_baja</t>
        </is>
      </c>
      <c r="G395" s="16" t="inlineStr">
        <is>
          <t>barrido</t>
        </is>
      </c>
      <c r="H395" s="16" t="n"/>
      <c r="I395" s="16" t="n">
        <v>563.6363636363637</v>
      </c>
      <c r="J395" s="16" t="n">
        <v>808.3402577390962</v>
      </c>
      <c r="K395" s="16" t="n">
        <v>2</v>
      </c>
      <c r="L395" s="16" t="n"/>
      <c r="M395" s="16" t="inlineStr">
        <is>
          <t>kPa</t>
        </is>
      </c>
      <c r="N395" s="16" t="inlineStr">
        <is>
          <t>sí</t>
        </is>
      </c>
      <c r="O395" s="16" t="n">
        <v>563.636</v>
      </c>
    </row>
    <row r="396">
      <c r="A396" s="16" t="inlineStr">
        <is>
          <t>A.1</t>
        </is>
      </c>
      <c r="B396" s="16" t="inlineStr">
        <is>
          <t>A.1</t>
        </is>
      </c>
      <c r="C396" s="16" t="inlineStr">
        <is>
          <t>KF-M08</t>
        </is>
      </c>
      <c r="D396" s="16" t="inlineStr">
        <is>
          <t>KF-M08</t>
        </is>
      </c>
      <c r="E396" s="16" t="inlineStr">
        <is>
          <t>BX</t>
        </is>
      </c>
      <c r="F396" s="16" t="inlineStr">
        <is>
          <t>x_b</t>
        </is>
      </c>
      <c r="G396" s="16" t="inlineStr">
        <is>
          <t>barrido</t>
        </is>
      </c>
      <c r="H396" s="16" t="n"/>
      <c r="I396" s="16" t="n">
        <v>0.5</v>
      </c>
      <c r="J396" s="16" t="n">
        <v>0.7047489709498951</v>
      </c>
      <c r="K396" s="16" t="n">
        <v>2</v>
      </c>
      <c r="L396" s="16" t="n"/>
      <c r="M396" s="16" t="inlineStr">
        <is>
          <t>–</t>
        </is>
      </c>
      <c r="N396" s="16" t="inlineStr">
        <is>
          <t>sí</t>
        </is>
      </c>
      <c r="O396" s="16" t="n">
        <v>0.5</v>
      </c>
    </row>
    <row r="397">
      <c r="A397" s="16" t="inlineStr">
        <is>
          <t>A.1</t>
        </is>
      </c>
      <c r="B397" s="16" t="inlineStr">
        <is>
          <t>A.1</t>
        </is>
      </c>
      <c r="C397" s="16" t="inlineStr">
        <is>
          <t>KF-M08</t>
        </is>
      </c>
      <c r="D397" s="16" t="inlineStr">
        <is>
          <t>KF-M08</t>
        </is>
      </c>
      <c r="E397" s="16" t="inlineStr">
        <is>
          <t>BX</t>
        </is>
      </c>
      <c r="F397" s="16" t="inlineStr">
        <is>
          <t>m_b</t>
        </is>
      </c>
      <c r="G397" s="16" t="inlineStr">
        <is>
          <t>fijo</t>
        </is>
      </c>
      <c r="H397" s="16" t="inlineStr">
        <is>
          <t>1.0</t>
        </is>
      </c>
      <c r="I397" s="16" t="n"/>
      <c r="J397" s="16" t="n"/>
      <c r="K397" s="16" t="n"/>
      <c r="L397" s="16" t="inlineStr">
        <is>
          <t>sí</t>
        </is>
      </c>
      <c r="M397" s="16" t="inlineStr">
        <is>
          <t>kg/s</t>
        </is>
      </c>
      <c r="N397" s="16" t="inlineStr">
        <is>
          <t>sí</t>
        </is>
      </c>
      <c r="O397" s="16" t="n">
        <v>1</v>
      </c>
    </row>
    <row r="398">
      <c r="A398" s="16" t="inlineStr">
        <is>
          <t>A.1</t>
        </is>
      </c>
      <c r="B398" s="16" t="inlineStr">
        <is>
          <t>A.1</t>
        </is>
      </c>
      <c r="C398" s="16" t="inlineStr">
        <is>
          <t>KF-M08</t>
        </is>
      </c>
      <c r="D398" s="16" t="inlineStr">
        <is>
          <t>KF-M08</t>
        </is>
      </c>
      <c r="E398" s="16" t="inlineStr">
        <is>
          <t>BX</t>
        </is>
      </c>
      <c r="F398" s="16" t="inlineStr">
        <is>
          <t>eta_t</t>
        </is>
      </c>
      <c r="G398" s="16" t="inlineStr">
        <is>
          <t>barrido</t>
        </is>
      </c>
      <c r="H398" s="16" t="n"/>
      <c r="I398" s="16" t="n">
        <v>0.2</v>
      </c>
      <c r="J398" s="16" t="n">
        <v>0.99</v>
      </c>
      <c r="K398" s="16" t="n">
        <v>16</v>
      </c>
      <c r="L398" s="16" t="n"/>
      <c r="M398" s="16" t="inlineStr">
        <is>
          <t>–</t>
        </is>
      </c>
      <c r="N398" s="16" t="inlineStr">
        <is>
          <t>sí</t>
        </is>
      </c>
      <c r="O398" s="16" t="n">
        <v>0.85</v>
      </c>
    </row>
    <row r="399">
      <c r="A399" s="16" t="inlineStr">
        <is>
          <t>A.1</t>
        </is>
      </c>
      <c r="B399" s="16" t="inlineStr">
        <is>
          <t>A.1</t>
        </is>
      </c>
      <c r="C399" s="16" t="inlineStr">
        <is>
          <t>KF-M08</t>
        </is>
      </c>
      <c r="D399" s="16" t="inlineStr">
        <is>
          <t>KF-M08</t>
        </is>
      </c>
      <c r="E399" s="16" t="inlineStr">
        <is>
          <t>BX</t>
        </is>
      </c>
      <c r="F399" s="16" t="inlineStr">
        <is>
          <t>eta_p</t>
        </is>
      </c>
      <c r="G399" s="16" t="inlineStr">
        <is>
          <t>barrido</t>
        </is>
      </c>
      <c r="H399" s="16" t="n"/>
      <c r="I399" s="16" t="n">
        <v>0.2</v>
      </c>
      <c r="J399" s="16" t="n">
        <v>0.99</v>
      </c>
      <c r="K399" s="16" t="n">
        <v>18</v>
      </c>
      <c r="L399" s="16" t="n"/>
      <c r="M399" s="16" t="inlineStr">
        <is>
          <t>–</t>
        </is>
      </c>
      <c r="N399" s="16" t="inlineStr">
        <is>
          <t>sí</t>
        </is>
      </c>
      <c r="O399" s="16" t="n">
        <v>0.746081</v>
      </c>
    </row>
    <row r="400">
      <c r="A400" s="16" t="inlineStr">
        <is>
          <t>A.1</t>
        </is>
      </c>
      <c r="B400" s="16" t="inlineStr">
        <is>
          <t>A.1</t>
        </is>
      </c>
      <c r="C400" s="16" t="inlineStr">
        <is>
          <t>KF-M08</t>
        </is>
      </c>
      <c r="D400" s="16" t="inlineStr">
        <is>
          <t>KF-M08</t>
        </is>
      </c>
      <c r="E400" s="16" t="inlineStr">
        <is>
          <t>BX</t>
        </is>
      </c>
      <c r="F400" s="16" t="inlineStr">
        <is>
          <t>eps_hrvg</t>
        </is>
      </c>
      <c r="G400" s="16" t="inlineStr">
        <is>
          <t>barrido</t>
        </is>
      </c>
      <c r="H400" s="16" t="n"/>
      <c r="I400" s="16" t="n">
        <v>0.2</v>
      </c>
      <c r="J400" s="16" t="n">
        <v>0.99</v>
      </c>
      <c r="K400" s="16" t="n">
        <v>17</v>
      </c>
      <c r="L400" s="16" t="n"/>
      <c r="M400" s="16" t="inlineStr">
        <is>
          <t>–</t>
        </is>
      </c>
      <c r="N400" s="16" t="inlineStr">
        <is>
          <t>sí</t>
        </is>
      </c>
      <c r="O400" s="16" t="n">
        <v>0.85</v>
      </c>
    </row>
    <row r="401">
      <c r="A401" s="16" t="inlineStr">
        <is>
          <t>A.1</t>
        </is>
      </c>
      <c r="B401" s="16" t="inlineStr">
        <is>
          <t>A.1</t>
        </is>
      </c>
      <c r="C401" s="16" t="inlineStr">
        <is>
          <t>KF-M08</t>
        </is>
      </c>
      <c r="D401" s="16" t="inlineStr">
        <is>
          <t>KF-M08</t>
        </is>
      </c>
      <c r="E401" s="16" t="inlineStr">
        <is>
          <t>BX</t>
        </is>
      </c>
      <c r="F401" s="16" t="inlineStr">
        <is>
          <t>eps_reg</t>
        </is>
      </c>
      <c r="G401" s="16" t="inlineStr">
        <is>
          <t>barrido</t>
        </is>
      </c>
      <c r="H401" s="16" t="n"/>
      <c r="I401" s="16" t="n">
        <v>0.2</v>
      </c>
      <c r="J401" s="16" t="n">
        <v>0.99</v>
      </c>
      <c r="K401" s="16" t="n">
        <v>18</v>
      </c>
      <c r="L401" s="16" t="n"/>
      <c r="M401" s="16" t="inlineStr">
        <is>
          <t>–</t>
        </is>
      </c>
      <c r="N401" s="16" t="inlineStr">
        <is>
          <t>sí</t>
        </is>
      </c>
      <c r="O401" s="16" t="n">
        <v>0.75</v>
      </c>
    </row>
    <row r="402">
      <c r="A402" s="16" t="inlineStr">
        <is>
          <t>A.1</t>
        </is>
      </c>
      <c r="B402" s="16" t="inlineStr">
        <is>
          <t>A.1</t>
        </is>
      </c>
      <c r="C402" s="16" t="inlineStr">
        <is>
          <t>KF-M08</t>
        </is>
      </c>
      <c r="D402" s="16" t="inlineStr">
        <is>
          <t>KF-M08</t>
        </is>
      </c>
      <c r="E402" s="16" t="inlineStr">
        <is>
          <t>BX</t>
        </is>
      </c>
      <c r="F402" s="16" t="inlineStr">
        <is>
          <t>eps_cond</t>
        </is>
      </c>
      <c r="G402" s="16" t="inlineStr">
        <is>
          <t>barrido</t>
        </is>
      </c>
      <c r="H402" s="16" t="n"/>
      <c r="I402" s="16" t="n">
        <v>0.2</v>
      </c>
      <c r="J402" s="16" t="n">
        <v>0.99</v>
      </c>
      <c r="K402" s="16" t="n">
        <v>17</v>
      </c>
      <c r="L402" s="16" t="n"/>
      <c r="M402" s="16" t="inlineStr">
        <is>
          <t>–</t>
        </is>
      </c>
      <c r="N402" s="16" t="inlineStr">
        <is>
          <t>sí</t>
        </is>
      </c>
      <c r="O402" s="16" t="n">
        <v>0.8</v>
      </c>
    </row>
    <row r="403">
      <c r="A403" s="16" t="inlineStr">
        <is>
          <t>A.1</t>
        </is>
      </c>
      <c r="B403" s="16" t="inlineStr">
        <is>
          <t>A.1</t>
        </is>
      </c>
      <c r="C403" s="16" t="inlineStr">
        <is>
          <t>KF-M08</t>
        </is>
      </c>
      <c r="D403" s="16" t="inlineStr">
        <is>
          <t>KF-M08</t>
        </is>
      </c>
      <c r="E403" s="16" t="inlineStr">
        <is>
          <t>BX</t>
        </is>
      </c>
      <c r="F403" s="16" t="inlineStr">
        <is>
          <t>T_amb_diseno</t>
        </is>
      </c>
      <c r="G403" s="16" t="inlineStr">
        <is>
          <t>barrido</t>
        </is>
      </c>
      <c r="H403" s="16" t="n"/>
      <c r="I403" s="16" t="n">
        <v>279.0977013205448</v>
      </c>
      <c r="J403" s="16" t="n">
        <v>300.032917</v>
      </c>
      <c r="K403" s="16" t="n">
        <v>2</v>
      </c>
      <c r="L403" s="16" t="n"/>
      <c r="M403" s="16" t="inlineStr">
        <is>
          <t>K</t>
        </is>
      </c>
      <c r="N403" s="16" t="inlineStr">
        <is>
          <t>sí</t>
        </is>
      </c>
      <c r="O403" s="16" t="n">
        <v>279.098</v>
      </c>
    </row>
    <row r="404">
      <c r="A404" s="16" t="inlineStr">
        <is>
          <t>A.1</t>
        </is>
      </c>
      <c r="B404" s="16" t="inlineStr">
        <is>
          <t>A.1</t>
        </is>
      </c>
      <c r="C404" s="16" t="inlineStr">
        <is>
          <t>KF-M08</t>
        </is>
      </c>
      <c r="D404" s="16" t="inlineStr">
        <is>
          <t>KF-M08</t>
        </is>
      </c>
      <c r="E404" s="16" t="inlineStr">
        <is>
          <t>BX</t>
        </is>
      </c>
      <c r="F404" s="16" t="inlineStr">
        <is>
          <t>motor</t>
        </is>
      </c>
      <c r="G404" s="16" t="inlineStr">
        <is>
          <t>fijo</t>
        </is>
      </c>
      <c r="H404" s="16" t="inlineStr">
        <is>
          <t>teqp</t>
        </is>
      </c>
      <c r="I404" s="16" t="n"/>
      <c r="J404" s="16" t="n"/>
      <c r="K404" s="16" t="n"/>
      <c r="L404" s="16" t="n"/>
      <c r="M404" s="16" t="inlineStr">
        <is>
          <t>–</t>
        </is>
      </c>
      <c r="N404" s="16" t="inlineStr">
        <is>
          <t>sí</t>
        </is>
      </c>
      <c r="O404" s="16" t="n"/>
    </row>
    <row r="405">
      <c r="A405" s="16" t="inlineStr">
        <is>
          <t>6.1</t>
        </is>
      </c>
      <c r="B405" s="16" t="inlineStr">
        <is>
          <t>6.1a</t>
        </is>
      </c>
      <c r="C405" s="16" t="inlineStr">
        <is>
          <t>KF-M06</t>
        </is>
      </c>
      <c r="D405" s="16" t="inlineStr">
        <is>
          <t>KF-M06-VER</t>
        </is>
      </c>
      <c r="E405" s="16" t="inlineStr">
        <is>
          <t>B12</t>
        </is>
      </c>
      <c r="F405" s="16" t="inlineStr">
        <is>
          <t>T_fuente</t>
        </is>
      </c>
      <c r="G405" s="16" t="inlineStr">
        <is>
          <t>barrido</t>
        </is>
      </c>
      <c r="H405" s="16" t="n"/>
      <c r="I405" s="16" t="n">
        <v>390</v>
      </c>
      <c r="J405" s="16" t="n">
        <v>623.15</v>
      </c>
      <c r="K405" s="16" t="n">
        <v>8</v>
      </c>
      <c r="L405" s="16" t="n"/>
      <c r="M405" s="16" t="inlineStr">
        <is>
          <t>K</t>
        </is>
      </c>
      <c r="N405" s="16" t="inlineStr">
        <is>
          <t>no</t>
        </is>
      </c>
      <c r="O405" s="16" t="n"/>
    </row>
    <row r="406">
      <c r="A406" s="16" t="inlineStr">
        <is>
          <t>6.1</t>
        </is>
      </c>
      <c r="B406" s="16" t="inlineStr">
        <is>
          <t>6.1a</t>
        </is>
      </c>
      <c r="C406" s="16" t="inlineStr">
        <is>
          <t>KF-M06</t>
        </is>
      </c>
      <c r="D406" s="16" t="inlineStr">
        <is>
          <t>KF-M06-VER</t>
        </is>
      </c>
      <c r="E406" s="16" t="inlineStr">
        <is>
          <t>B12</t>
        </is>
      </c>
      <c r="F406" s="16" t="inlineStr">
        <is>
          <t>T_sumidero</t>
        </is>
      </c>
      <c r="G406" s="16" t="inlineStr">
        <is>
          <t>barrido</t>
        </is>
      </c>
      <c r="H406" s="16" t="n"/>
      <c r="I406" s="16" t="n">
        <v>278.15</v>
      </c>
      <c r="J406" s="16" t="n">
        <v>302.58136184317</v>
      </c>
      <c r="K406" s="16" t="n">
        <v>5</v>
      </c>
      <c r="L406" s="16" t="n"/>
      <c r="M406" s="16" t="inlineStr">
        <is>
          <t>K</t>
        </is>
      </c>
      <c r="N406" s="16" t="inlineStr">
        <is>
          <t>no</t>
        </is>
      </c>
      <c r="O406" s="16" t="n"/>
    </row>
    <row r="407">
      <c r="A407" s="16" t="inlineStr">
        <is>
          <t>6.1</t>
        </is>
      </c>
      <c r="B407" s="16" t="inlineStr">
        <is>
          <t>6.1a</t>
        </is>
      </c>
      <c r="C407" s="16" t="inlineStr">
        <is>
          <t>KF-M06</t>
        </is>
      </c>
      <c r="D407" s="16" t="inlineStr">
        <is>
          <t>KF-M06-VER</t>
        </is>
      </c>
      <c r="E407" s="16" t="inlineStr">
        <is>
          <t>B12</t>
        </is>
      </c>
      <c r="F407" s="16" t="inlineStr">
        <is>
          <t>P_alta</t>
        </is>
      </c>
      <c r="G407" s="16" t="inlineStr">
        <is>
          <t>barrido</t>
        </is>
      </c>
      <c r="H407" s="16" t="n"/>
      <c r="I407" s="16" t="n">
        <v>3000</v>
      </c>
      <c r="J407" s="16" t="n">
        <v>5000</v>
      </c>
      <c r="K407" s="16" t="n">
        <v>6</v>
      </c>
      <c r="L407" s="16" t="n"/>
      <c r="M407" s="16" t="inlineStr">
        <is>
          <t>kPa</t>
        </is>
      </c>
      <c r="N407" s="16" t="inlineStr">
        <is>
          <t>no</t>
        </is>
      </c>
      <c r="O407" s="16" t="n"/>
    </row>
    <row r="408">
      <c r="A408" s="16" t="inlineStr">
        <is>
          <t>6.1</t>
        </is>
      </c>
      <c r="B408" s="16" t="inlineStr">
        <is>
          <t>6.1a</t>
        </is>
      </c>
      <c r="C408" s="16" t="inlineStr">
        <is>
          <t>KF-M06</t>
        </is>
      </c>
      <c r="D408" s="16" t="inlineStr">
        <is>
          <t>KF-M06-VER</t>
        </is>
      </c>
      <c r="E408" s="16" t="inlineStr">
        <is>
          <t>B12</t>
        </is>
      </c>
      <c r="F408" s="16" t="inlineStr">
        <is>
          <t>P_baja</t>
        </is>
      </c>
      <c r="G408" s="16" t="inlineStr">
        <is>
          <t>barrido</t>
        </is>
      </c>
      <c r="H408" s="16" t="n"/>
      <c r="I408" s="16" t="n">
        <v>393.75</v>
      </c>
      <c r="J408" s="16" t="n">
        <v>2494.528668778344</v>
      </c>
      <c r="K408" s="16" t="n">
        <v>9</v>
      </c>
      <c r="L408" s="16" t="n"/>
      <c r="M408" s="16" t="inlineStr">
        <is>
          <t>kPa</t>
        </is>
      </c>
      <c r="N408" s="16" t="inlineStr">
        <is>
          <t>no</t>
        </is>
      </c>
      <c r="O408" s="16" t="n"/>
    </row>
    <row r="409">
      <c r="A409" s="16" t="inlineStr">
        <is>
          <t>6.1</t>
        </is>
      </c>
      <c r="B409" s="16" t="inlineStr">
        <is>
          <t>6.1a</t>
        </is>
      </c>
      <c r="C409" s="16" t="inlineStr">
        <is>
          <t>KF-M06</t>
        </is>
      </c>
      <c r="D409" s="16" t="inlineStr">
        <is>
          <t>KF-M06-VER</t>
        </is>
      </c>
      <c r="E409" s="16" t="inlineStr">
        <is>
          <t>B12</t>
        </is>
      </c>
      <c r="F409" s="16" t="inlineStr">
        <is>
          <t>x_b</t>
        </is>
      </c>
      <c r="G409" s="16" t="inlineStr">
        <is>
          <t>barrido</t>
        </is>
      </c>
      <c r="H409" s="16" t="n"/>
      <c r="I409" s="16" t="n">
        <v>0.5</v>
      </c>
      <c r="J409" s="16" t="n">
        <v>0.85</v>
      </c>
      <c r="K409" s="16" t="n">
        <v>5</v>
      </c>
      <c r="L409" s="16" t="n"/>
      <c r="M409" s="16" t="inlineStr">
        <is>
          <t>–</t>
        </is>
      </c>
      <c r="N409" s="16" t="inlineStr">
        <is>
          <t>no</t>
        </is>
      </c>
      <c r="O409" s="16" t="n"/>
    </row>
    <row r="410">
      <c r="A410" s="16" t="inlineStr">
        <is>
          <t>6.1</t>
        </is>
      </c>
      <c r="B410" s="16" t="inlineStr">
        <is>
          <t>6.1a</t>
        </is>
      </c>
      <c r="C410" s="16" t="inlineStr">
        <is>
          <t>KF-M06</t>
        </is>
      </c>
      <c r="D410" s="16" t="inlineStr">
        <is>
          <t>KF-M06-VER</t>
        </is>
      </c>
      <c r="E410" s="16" t="inlineStr">
        <is>
          <t>B12</t>
        </is>
      </c>
      <c r="F410" s="16" t="inlineStr">
        <is>
          <t>m_b</t>
        </is>
      </c>
      <c r="G410" s="16" t="inlineStr">
        <is>
          <t>fijo</t>
        </is>
      </c>
      <c r="H410" s="16" t="inlineStr">
        <is>
          <t>1.0</t>
        </is>
      </c>
      <c r="I410" s="16" t="n"/>
      <c r="J410" s="16" t="n"/>
      <c r="K410" s="16" t="n"/>
      <c r="L410" s="16" t="inlineStr">
        <is>
          <t>sí</t>
        </is>
      </c>
      <c r="M410" s="16" t="inlineStr">
        <is>
          <t>kg/s</t>
        </is>
      </c>
      <c r="N410" s="16" t="inlineStr">
        <is>
          <t>no</t>
        </is>
      </c>
      <c r="O410" s="16" t="n"/>
    </row>
    <row r="411">
      <c r="A411" s="16" t="inlineStr">
        <is>
          <t>6.1</t>
        </is>
      </c>
      <c r="B411" s="16" t="inlineStr">
        <is>
          <t>6.1a</t>
        </is>
      </c>
      <c r="C411" s="16" t="inlineStr">
        <is>
          <t>KF-M06</t>
        </is>
      </c>
      <c r="D411" s="16" t="inlineStr">
        <is>
          <t>KF-M06-VER</t>
        </is>
      </c>
      <c r="E411" s="16" t="inlineStr">
        <is>
          <t>B12</t>
        </is>
      </c>
      <c r="F411" s="16" t="inlineStr">
        <is>
          <t>eta_t</t>
        </is>
      </c>
      <c r="G411" s="16" t="inlineStr">
        <is>
          <t>barrido</t>
        </is>
      </c>
      <c r="H411" s="16" t="n"/>
      <c r="I411" s="16" t="n">
        <v>0.7807499296946772</v>
      </c>
      <c r="J411" s="16" t="n">
        <v>0.95</v>
      </c>
      <c r="K411" s="16" t="n">
        <v>6</v>
      </c>
      <c r="L411" s="16" t="n"/>
      <c r="M411" s="16" t="inlineStr">
        <is>
          <t>–</t>
        </is>
      </c>
      <c r="N411" s="16" t="inlineStr">
        <is>
          <t>no</t>
        </is>
      </c>
      <c r="O411" s="16" t="n"/>
    </row>
    <row r="412">
      <c r="A412" s="16" t="inlineStr">
        <is>
          <t>6.1</t>
        </is>
      </c>
      <c r="B412" s="16" t="inlineStr">
        <is>
          <t>6.1a</t>
        </is>
      </c>
      <c r="C412" s="16" t="inlineStr">
        <is>
          <t>KF-M06</t>
        </is>
      </c>
      <c r="D412" s="16" t="inlineStr">
        <is>
          <t>KF-M06-VER</t>
        </is>
      </c>
      <c r="E412" s="16" t="inlineStr">
        <is>
          <t>B12</t>
        </is>
      </c>
      <c r="F412" s="16" t="inlineStr">
        <is>
          <t>eta_p</t>
        </is>
      </c>
      <c r="G412" s="16" t="inlineStr">
        <is>
          <t>barrido</t>
        </is>
      </c>
      <c r="H412" s="16" t="n"/>
      <c r="I412" s="16" t="n">
        <v>0.5760658994683791</v>
      </c>
      <c r="J412" s="16" t="n">
        <v>0.8717826943293954</v>
      </c>
      <c r="K412" s="16" t="n">
        <v>6</v>
      </c>
      <c r="L412" s="16" t="n"/>
      <c r="M412" s="16" t="inlineStr">
        <is>
          <t>–</t>
        </is>
      </c>
      <c r="N412" s="16" t="inlineStr">
        <is>
          <t>no</t>
        </is>
      </c>
      <c r="O412" s="16" t="n"/>
    </row>
    <row r="413">
      <c r="A413" s="16" t="inlineStr">
        <is>
          <t>6.1</t>
        </is>
      </c>
      <c r="B413" s="16" t="inlineStr">
        <is>
          <t>6.1a</t>
        </is>
      </c>
      <c r="C413" s="16" t="inlineStr">
        <is>
          <t>KF-M06</t>
        </is>
      </c>
      <c r="D413" s="16" t="inlineStr">
        <is>
          <t>KF-M06-VER</t>
        </is>
      </c>
      <c r="E413" s="16" t="inlineStr">
        <is>
          <t>B12</t>
        </is>
      </c>
      <c r="F413" s="16" t="inlineStr">
        <is>
          <t>eps_hrvg</t>
        </is>
      </c>
      <c r="G413" s="16" t="inlineStr">
        <is>
          <t>barrido</t>
        </is>
      </c>
      <c r="H413" s="16" t="n"/>
      <c r="I413" s="16" t="n">
        <v>0.4</v>
      </c>
      <c r="J413" s="16" t="n">
        <v>0.95</v>
      </c>
      <c r="K413" s="16" t="n">
        <v>7</v>
      </c>
      <c r="L413" s="16" t="n"/>
      <c r="M413" s="16" t="inlineStr">
        <is>
          <t>–</t>
        </is>
      </c>
      <c r="N413" s="16" t="inlineStr">
        <is>
          <t>no</t>
        </is>
      </c>
      <c r="O413" s="16" t="n"/>
    </row>
    <row r="414">
      <c r="A414" s="16" t="inlineStr">
        <is>
          <t>6.1</t>
        </is>
      </c>
      <c r="B414" s="16" t="inlineStr">
        <is>
          <t>6.1a</t>
        </is>
      </c>
      <c r="C414" s="16" t="inlineStr">
        <is>
          <t>KF-M06</t>
        </is>
      </c>
      <c r="D414" s="16" t="inlineStr">
        <is>
          <t>KF-M06-VER</t>
        </is>
      </c>
      <c r="E414" s="16" t="inlineStr">
        <is>
          <t>B12</t>
        </is>
      </c>
      <c r="F414" s="16" t="inlineStr">
        <is>
          <t>eps_reg</t>
        </is>
      </c>
      <c r="G414" s="16" t="inlineStr">
        <is>
          <t>barrido</t>
        </is>
      </c>
      <c r="H414" s="16" t="n"/>
      <c r="I414" s="16" t="n">
        <v>0.6851145100609968</v>
      </c>
      <c r="J414" s="16" t="n">
        <v>0.95</v>
      </c>
      <c r="K414" s="16" t="n">
        <v>6</v>
      </c>
      <c r="L414" s="16" t="n"/>
      <c r="M414" s="16" t="inlineStr">
        <is>
          <t>–</t>
        </is>
      </c>
      <c r="N414" s="16" t="inlineStr">
        <is>
          <t>no</t>
        </is>
      </c>
      <c r="O414" s="16" t="n"/>
    </row>
    <row r="415">
      <c r="A415" s="16" t="inlineStr">
        <is>
          <t>6.1</t>
        </is>
      </c>
      <c r="B415" s="16" t="inlineStr">
        <is>
          <t>6.1a</t>
        </is>
      </c>
      <c r="C415" s="16" t="inlineStr">
        <is>
          <t>KF-M06</t>
        </is>
      </c>
      <c r="D415" s="16" t="inlineStr">
        <is>
          <t>KF-M06-VER</t>
        </is>
      </c>
      <c r="E415" s="16" t="inlineStr">
        <is>
          <t>B12</t>
        </is>
      </c>
      <c r="F415" s="16" t="inlineStr">
        <is>
          <t>eps_cond</t>
        </is>
      </c>
      <c r="G415" s="16" t="inlineStr">
        <is>
          <t>barrido</t>
        </is>
      </c>
      <c r="H415" s="16" t="n"/>
      <c r="I415" s="16" t="n">
        <v>0.8</v>
      </c>
      <c r="J415" s="16" t="n">
        <v>0.95</v>
      </c>
      <c r="K415" s="16" t="n">
        <v>7</v>
      </c>
      <c r="L415" s="16" t="n"/>
      <c r="M415" s="16" t="inlineStr">
        <is>
          <t>–</t>
        </is>
      </c>
      <c r="N415" s="16" t="inlineStr">
        <is>
          <t>no</t>
        </is>
      </c>
      <c r="O415" s="16" t="n"/>
    </row>
    <row r="416">
      <c r="A416" s="16" t="inlineStr">
        <is>
          <t>6.1</t>
        </is>
      </c>
      <c r="B416" s="16" t="inlineStr">
        <is>
          <t>6.1a</t>
        </is>
      </c>
      <c r="C416" s="16" t="inlineStr">
        <is>
          <t>KF-M06</t>
        </is>
      </c>
      <c r="D416" s="16" t="inlineStr">
        <is>
          <t>KF-M06-VER</t>
        </is>
      </c>
      <c r="E416" s="16" t="inlineStr">
        <is>
          <t>B12</t>
        </is>
      </c>
      <c r="F416" s="16" t="inlineStr">
        <is>
          <t>T_amb_diseno</t>
        </is>
      </c>
      <c r="G416" s="16" t="inlineStr">
        <is>
          <t>barrido</t>
        </is>
      </c>
      <c r="H416" s="16" t="n"/>
      <c r="I416" s="16" t="n">
        <v>278.15</v>
      </c>
      <c r="J416" s="16" t="n">
        <v>302.58136184317</v>
      </c>
      <c r="K416" s="16" t="n">
        <v>5</v>
      </c>
      <c r="L416" s="16" t="n"/>
      <c r="M416" s="16" t="inlineStr">
        <is>
          <t>K</t>
        </is>
      </c>
      <c r="N416" s="16" t="inlineStr">
        <is>
          <t>no</t>
        </is>
      </c>
      <c r="O416" s="16" t="n"/>
    </row>
    <row r="417">
      <c r="A417" s="16" t="inlineStr">
        <is>
          <t>6.1</t>
        </is>
      </c>
      <c r="B417" s="16" t="inlineStr">
        <is>
          <t>6.1a</t>
        </is>
      </c>
      <c r="C417" s="16" t="inlineStr">
        <is>
          <t>KF-M06</t>
        </is>
      </c>
      <c r="D417" s="16" t="inlineStr">
        <is>
          <t>KF-M06-VER</t>
        </is>
      </c>
      <c r="E417" s="16" t="inlineStr">
        <is>
          <t>B12</t>
        </is>
      </c>
      <c r="F417" s="16" t="inlineStr">
        <is>
          <t>motor</t>
        </is>
      </c>
      <c r="G417" s="16" t="inlineStr">
        <is>
          <t>barrido</t>
        </is>
      </c>
      <c r="H417" s="16" t="n"/>
      <c r="I417" s="16" t="n"/>
      <c r="J417" s="16" t="n"/>
      <c r="K417" s="16" t="n">
        <v>2</v>
      </c>
      <c r="L417" s="16" t="n"/>
      <c r="M417" s="16" t="inlineStr">
        <is>
          <t>–</t>
        </is>
      </c>
      <c r="N417" s="16" t="inlineStr">
        <is>
          <t>no</t>
        </is>
      </c>
      <c r="O417" s="16" t="n"/>
    </row>
    <row r="418">
      <c r="A418" s="16" t="inlineStr">
        <is>
          <t>6.1</t>
        </is>
      </c>
      <c r="B418" s="16" t="inlineStr">
        <is>
          <t>6.1b</t>
        </is>
      </c>
      <c r="C418" s="16" t="inlineStr">
        <is>
          <t>KF-M06</t>
        </is>
      </c>
      <c r="D418" s="16" t="inlineStr">
        <is>
          <t>KF-M06-PISO</t>
        </is>
      </c>
      <c r="E418" s="16" t="inlineStr">
        <is>
          <t>B12</t>
        </is>
      </c>
      <c r="F418" s="16" t="inlineStr">
        <is>
          <t>T_fuente</t>
        </is>
      </c>
      <c r="G418" s="16" t="inlineStr">
        <is>
          <t>barrido</t>
        </is>
      </c>
      <c r="H418" s="16" t="n"/>
      <c r="I418" s="16" t="n">
        <v>390</v>
      </c>
      <c r="J418" s="16" t="n">
        <v>623.15</v>
      </c>
      <c r="K418" s="16" t="n">
        <v>8</v>
      </c>
      <c r="L418" s="16" t="n"/>
      <c r="M418" s="16" t="inlineStr">
        <is>
          <t>K</t>
        </is>
      </c>
      <c r="N418" s="16" t="inlineStr">
        <is>
          <t>no</t>
        </is>
      </c>
      <c r="O418" s="16" t="n"/>
    </row>
    <row r="419">
      <c r="A419" s="16" t="inlineStr">
        <is>
          <t>6.1</t>
        </is>
      </c>
      <c r="B419" s="16" t="inlineStr">
        <is>
          <t>6.1b</t>
        </is>
      </c>
      <c r="C419" s="16" t="inlineStr">
        <is>
          <t>KF-M06</t>
        </is>
      </c>
      <c r="D419" s="16" t="inlineStr">
        <is>
          <t>KF-M06-PISO</t>
        </is>
      </c>
      <c r="E419" s="16" t="inlineStr">
        <is>
          <t>B12</t>
        </is>
      </c>
      <c r="F419" s="16" t="inlineStr">
        <is>
          <t>T_sumidero</t>
        </is>
      </c>
      <c r="G419" s="16" t="inlineStr">
        <is>
          <t>barrido</t>
        </is>
      </c>
      <c r="H419" s="16" t="n"/>
      <c r="I419" s="16" t="n">
        <v>278.15</v>
      </c>
      <c r="J419" s="16" t="n">
        <v>302.58136184317</v>
      </c>
      <c r="K419" s="16" t="n">
        <v>5</v>
      </c>
      <c r="L419" s="16" t="n"/>
      <c r="M419" s="16" t="inlineStr">
        <is>
          <t>K</t>
        </is>
      </c>
      <c r="N419" s="16" t="inlineStr">
        <is>
          <t>no</t>
        </is>
      </c>
      <c r="O419" s="16" t="n"/>
    </row>
    <row r="420">
      <c r="A420" s="16" t="inlineStr">
        <is>
          <t>6.1</t>
        </is>
      </c>
      <c r="B420" s="16" t="inlineStr">
        <is>
          <t>6.1b</t>
        </is>
      </c>
      <c r="C420" s="16" t="inlineStr">
        <is>
          <t>KF-M06</t>
        </is>
      </c>
      <c r="D420" s="16" t="inlineStr">
        <is>
          <t>KF-M06-PISO</t>
        </is>
      </c>
      <c r="E420" s="16" t="inlineStr">
        <is>
          <t>B12</t>
        </is>
      </c>
      <c r="F420" s="16" t="inlineStr">
        <is>
          <t>P_alta</t>
        </is>
      </c>
      <c r="G420" s="16" t="inlineStr">
        <is>
          <t>barrido</t>
        </is>
      </c>
      <c r="H420" s="16" t="n"/>
      <c r="I420" s="16" t="n">
        <v>3000</v>
      </c>
      <c r="J420" s="16" t="n">
        <v>5000</v>
      </c>
      <c r="K420" s="16" t="n">
        <v>6</v>
      </c>
      <c r="L420" s="16" t="n"/>
      <c r="M420" s="16" t="inlineStr">
        <is>
          <t>kPa</t>
        </is>
      </c>
      <c r="N420" s="16" t="inlineStr">
        <is>
          <t>no</t>
        </is>
      </c>
      <c r="O420" s="16" t="n"/>
    </row>
    <row r="421">
      <c r="A421" s="16" t="inlineStr">
        <is>
          <t>6.1</t>
        </is>
      </c>
      <c r="B421" s="16" t="inlineStr">
        <is>
          <t>6.1b</t>
        </is>
      </c>
      <c r="C421" s="16" t="inlineStr">
        <is>
          <t>KF-M06</t>
        </is>
      </c>
      <c r="D421" s="16" t="inlineStr">
        <is>
          <t>KF-M06-PISO</t>
        </is>
      </c>
      <c r="E421" s="16" t="inlineStr">
        <is>
          <t>B12</t>
        </is>
      </c>
      <c r="F421" s="16" t="inlineStr">
        <is>
          <t>P_baja</t>
        </is>
      </c>
      <c r="G421" s="16" t="inlineStr">
        <is>
          <t>barrido</t>
        </is>
      </c>
      <c r="H421" s="16" t="n"/>
      <c r="I421" s="16" t="n">
        <v>393.75</v>
      </c>
      <c r="J421" s="16" t="n">
        <v>2494.528668778344</v>
      </c>
      <c r="K421" s="16" t="n">
        <v>9</v>
      </c>
      <c r="L421" s="16" t="n"/>
      <c r="M421" s="16" t="inlineStr">
        <is>
          <t>kPa</t>
        </is>
      </c>
      <c r="N421" s="16" t="inlineStr">
        <is>
          <t>no</t>
        </is>
      </c>
      <c r="O421" s="16" t="n"/>
    </row>
    <row r="422">
      <c r="A422" s="16" t="inlineStr">
        <is>
          <t>6.1</t>
        </is>
      </c>
      <c r="B422" s="16" t="inlineStr">
        <is>
          <t>6.1b</t>
        </is>
      </c>
      <c r="C422" s="16" t="inlineStr">
        <is>
          <t>KF-M06</t>
        </is>
      </c>
      <c r="D422" s="16" t="inlineStr">
        <is>
          <t>KF-M06-PISO</t>
        </is>
      </c>
      <c r="E422" s="16" t="inlineStr">
        <is>
          <t>B12</t>
        </is>
      </c>
      <c r="F422" s="16" t="inlineStr">
        <is>
          <t>x_b</t>
        </is>
      </c>
      <c r="G422" s="16" t="inlineStr">
        <is>
          <t>barrido</t>
        </is>
      </c>
      <c r="H422" s="16" t="n"/>
      <c r="I422" s="16" t="n">
        <v>0.5</v>
      </c>
      <c r="J422" s="16" t="n">
        <v>0.85</v>
      </c>
      <c r="K422" s="16" t="n">
        <v>5</v>
      </c>
      <c r="L422" s="16" t="n"/>
      <c r="M422" s="16" t="inlineStr">
        <is>
          <t>–</t>
        </is>
      </c>
      <c r="N422" s="16" t="inlineStr">
        <is>
          <t>no</t>
        </is>
      </c>
      <c r="O422" s="16" t="n"/>
    </row>
    <row r="423">
      <c r="A423" s="16" t="inlineStr">
        <is>
          <t>6.1</t>
        </is>
      </c>
      <c r="B423" s="16" t="inlineStr">
        <is>
          <t>6.1b</t>
        </is>
      </c>
      <c r="C423" s="16" t="inlineStr">
        <is>
          <t>KF-M06</t>
        </is>
      </c>
      <c r="D423" s="16" t="inlineStr">
        <is>
          <t>KF-M06-PISO</t>
        </is>
      </c>
      <c r="E423" s="16" t="inlineStr">
        <is>
          <t>B12</t>
        </is>
      </c>
      <c r="F423" s="16" t="inlineStr">
        <is>
          <t>m_b</t>
        </is>
      </c>
      <c r="G423" s="16" t="inlineStr">
        <is>
          <t>fijo</t>
        </is>
      </c>
      <c r="H423" s="16" t="inlineStr">
        <is>
          <t>1.0</t>
        </is>
      </c>
      <c r="I423" s="16" t="n"/>
      <c r="J423" s="16" t="n"/>
      <c r="K423" s="16" t="n"/>
      <c r="L423" s="16" t="inlineStr">
        <is>
          <t>sí</t>
        </is>
      </c>
      <c r="M423" s="16" t="inlineStr">
        <is>
          <t>kg/s</t>
        </is>
      </c>
      <c r="N423" s="16" t="inlineStr">
        <is>
          <t>no</t>
        </is>
      </c>
      <c r="O423" s="16" t="n"/>
    </row>
    <row r="424">
      <c r="A424" s="16" t="inlineStr">
        <is>
          <t>6.1</t>
        </is>
      </c>
      <c r="B424" s="16" t="inlineStr">
        <is>
          <t>6.1b</t>
        </is>
      </c>
      <c r="C424" s="16" t="inlineStr">
        <is>
          <t>KF-M06</t>
        </is>
      </c>
      <c r="D424" s="16" t="inlineStr">
        <is>
          <t>KF-M06-PISO</t>
        </is>
      </c>
      <c r="E424" s="16" t="inlineStr">
        <is>
          <t>B12</t>
        </is>
      </c>
      <c r="F424" s="16" t="inlineStr">
        <is>
          <t>eta_t</t>
        </is>
      </c>
      <c r="G424" s="16" t="inlineStr">
        <is>
          <t>barrido</t>
        </is>
      </c>
      <c r="H424" s="16" t="n"/>
      <c r="I424" s="16" t="n">
        <v>0.7807499296946772</v>
      </c>
      <c r="J424" s="16" t="n">
        <v>0.95</v>
      </c>
      <c r="K424" s="16" t="n">
        <v>6</v>
      </c>
      <c r="L424" s="16" t="n"/>
      <c r="M424" s="16" t="inlineStr">
        <is>
          <t>–</t>
        </is>
      </c>
      <c r="N424" s="16" t="inlineStr">
        <is>
          <t>no</t>
        </is>
      </c>
      <c r="O424" s="16" t="n"/>
    </row>
    <row r="425">
      <c r="A425" s="16" t="inlineStr">
        <is>
          <t>6.1</t>
        </is>
      </c>
      <c r="B425" s="16" t="inlineStr">
        <is>
          <t>6.1b</t>
        </is>
      </c>
      <c r="C425" s="16" t="inlineStr">
        <is>
          <t>KF-M06</t>
        </is>
      </c>
      <c r="D425" s="16" t="inlineStr">
        <is>
          <t>KF-M06-PISO</t>
        </is>
      </c>
      <c r="E425" s="16" t="inlineStr">
        <is>
          <t>B12</t>
        </is>
      </c>
      <c r="F425" s="16" t="inlineStr">
        <is>
          <t>eta_p</t>
        </is>
      </c>
      <c r="G425" s="16" t="inlineStr">
        <is>
          <t>barrido</t>
        </is>
      </c>
      <c r="H425" s="16" t="n"/>
      <c r="I425" s="16" t="n">
        <v>0.5760658994683791</v>
      </c>
      <c r="J425" s="16" t="n">
        <v>0.8717826943293954</v>
      </c>
      <c r="K425" s="16" t="n">
        <v>6</v>
      </c>
      <c r="L425" s="16" t="n"/>
      <c r="M425" s="16" t="inlineStr">
        <is>
          <t>–</t>
        </is>
      </c>
      <c r="N425" s="16" t="inlineStr">
        <is>
          <t>no</t>
        </is>
      </c>
      <c r="O425" s="16" t="n"/>
    </row>
    <row r="426">
      <c r="A426" s="16" t="inlineStr">
        <is>
          <t>6.1</t>
        </is>
      </c>
      <c r="B426" s="16" t="inlineStr">
        <is>
          <t>6.1b</t>
        </is>
      </c>
      <c r="C426" s="16" t="inlineStr">
        <is>
          <t>KF-M06</t>
        </is>
      </c>
      <c r="D426" s="16" t="inlineStr">
        <is>
          <t>KF-M06-PISO</t>
        </is>
      </c>
      <c r="E426" s="16" t="inlineStr">
        <is>
          <t>B12</t>
        </is>
      </c>
      <c r="F426" s="16" t="inlineStr">
        <is>
          <t>eps_hrvg</t>
        </is>
      </c>
      <c r="G426" s="16" t="inlineStr">
        <is>
          <t>barrido</t>
        </is>
      </c>
      <c r="H426" s="16" t="n"/>
      <c r="I426" s="16" t="n">
        <v>0.4</v>
      </c>
      <c r="J426" s="16" t="n">
        <v>0.95</v>
      </c>
      <c r="K426" s="16" t="n">
        <v>7</v>
      </c>
      <c r="L426" s="16" t="n"/>
      <c r="M426" s="16" t="inlineStr">
        <is>
          <t>–</t>
        </is>
      </c>
      <c r="N426" s="16" t="inlineStr">
        <is>
          <t>no</t>
        </is>
      </c>
      <c r="O426" s="16" t="n"/>
    </row>
    <row r="427">
      <c r="A427" s="16" t="inlineStr">
        <is>
          <t>6.1</t>
        </is>
      </c>
      <c r="B427" s="16" t="inlineStr">
        <is>
          <t>6.1b</t>
        </is>
      </c>
      <c r="C427" s="16" t="inlineStr">
        <is>
          <t>KF-M06</t>
        </is>
      </c>
      <c r="D427" s="16" t="inlineStr">
        <is>
          <t>KF-M06-PISO</t>
        </is>
      </c>
      <c r="E427" s="16" t="inlineStr">
        <is>
          <t>B12</t>
        </is>
      </c>
      <c r="F427" s="16" t="inlineStr">
        <is>
          <t>eps_reg</t>
        </is>
      </c>
      <c r="G427" s="16" t="inlineStr">
        <is>
          <t>barrido</t>
        </is>
      </c>
      <c r="H427" s="16" t="n"/>
      <c r="I427" s="16" t="n">
        <v>0.6851145100609968</v>
      </c>
      <c r="J427" s="16" t="n">
        <v>0.95</v>
      </c>
      <c r="K427" s="16" t="n">
        <v>6</v>
      </c>
      <c r="L427" s="16" t="n"/>
      <c r="M427" s="16" t="inlineStr">
        <is>
          <t>–</t>
        </is>
      </c>
      <c r="N427" s="16" t="inlineStr">
        <is>
          <t>no</t>
        </is>
      </c>
      <c r="O427" s="16" t="n"/>
    </row>
    <row r="428">
      <c r="A428" s="16" t="inlineStr">
        <is>
          <t>6.1</t>
        </is>
      </c>
      <c r="B428" s="16" t="inlineStr">
        <is>
          <t>6.1b</t>
        </is>
      </c>
      <c r="C428" s="16" t="inlineStr">
        <is>
          <t>KF-M06</t>
        </is>
      </c>
      <c r="D428" s="16" t="inlineStr">
        <is>
          <t>KF-M06-PISO</t>
        </is>
      </c>
      <c r="E428" s="16" t="inlineStr">
        <is>
          <t>B12</t>
        </is>
      </c>
      <c r="F428" s="16" t="inlineStr">
        <is>
          <t>eps_cond</t>
        </is>
      </c>
      <c r="G428" s="16" t="inlineStr">
        <is>
          <t>barrido</t>
        </is>
      </c>
      <c r="H428" s="16" t="n"/>
      <c r="I428" s="16" t="n">
        <v>0.8</v>
      </c>
      <c r="J428" s="16" t="n">
        <v>0.95</v>
      </c>
      <c r="K428" s="16" t="n">
        <v>7</v>
      </c>
      <c r="L428" s="16" t="n"/>
      <c r="M428" s="16" t="inlineStr">
        <is>
          <t>–</t>
        </is>
      </c>
      <c r="N428" s="16" t="inlineStr">
        <is>
          <t>no</t>
        </is>
      </c>
      <c r="O428" s="16" t="n"/>
    </row>
    <row r="429">
      <c r="A429" s="16" t="inlineStr">
        <is>
          <t>6.1</t>
        </is>
      </c>
      <c r="B429" s="16" t="inlineStr">
        <is>
          <t>6.1b</t>
        </is>
      </c>
      <c r="C429" s="16" t="inlineStr">
        <is>
          <t>KF-M06</t>
        </is>
      </c>
      <c r="D429" s="16" t="inlineStr">
        <is>
          <t>KF-M06-PISO</t>
        </is>
      </c>
      <c r="E429" s="16" t="inlineStr">
        <is>
          <t>B12</t>
        </is>
      </c>
      <c r="F429" s="16" t="inlineStr">
        <is>
          <t>T_amb_diseno</t>
        </is>
      </c>
      <c r="G429" s="16" t="inlineStr">
        <is>
          <t>fijo</t>
        </is>
      </c>
      <c r="H429" s="16" t="inlineStr">
        <is>
          <t>303.55</t>
        </is>
      </c>
      <c r="I429" s="16" t="n"/>
      <c r="J429" s="16" t="n"/>
      <c r="K429" s="16" t="n"/>
      <c r="L429" s="16" t="inlineStr">
        <is>
          <t>no</t>
        </is>
      </c>
      <c r="M429" s="16" t="inlineStr">
        <is>
          <t>K</t>
        </is>
      </c>
      <c r="N429" s="16" t="inlineStr">
        <is>
          <t>no</t>
        </is>
      </c>
      <c r="O429" s="16" t="n"/>
    </row>
    <row r="430">
      <c r="A430" s="16" t="inlineStr">
        <is>
          <t>6.1</t>
        </is>
      </c>
      <c r="B430" s="16" t="inlineStr">
        <is>
          <t>6.1b</t>
        </is>
      </c>
      <c r="C430" s="16" t="inlineStr">
        <is>
          <t>KF-M06</t>
        </is>
      </c>
      <c r="D430" s="16" t="inlineStr">
        <is>
          <t>KF-M06-PISO</t>
        </is>
      </c>
      <c r="E430" s="16" t="inlineStr">
        <is>
          <t>B12</t>
        </is>
      </c>
      <c r="F430" s="16" t="inlineStr">
        <is>
          <t>motor</t>
        </is>
      </c>
      <c r="G430" s="16" t="inlineStr">
        <is>
          <t>fijo</t>
        </is>
      </c>
      <c r="H430" s="16" t="inlineStr">
        <is>
          <t>teqp</t>
        </is>
      </c>
      <c r="I430" s="16" t="n"/>
      <c r="J430" s="16" t="n"/>
      <c r="K430" s="16" t="n"/>
      <c r="L430" s="16" t="n"/>
      <c r="M430" s="16" t="inlineStr">
        <is>
          <t>–</t>
        </is>
      </c>
      <c r="N430" s="16" t="inlineStr">
        <is>
          <t>no</t>
        </is>
      </c>
      <c r="O430" s="16" t="n"/>
    </row>
    <row r="431">
      <c r="A431" s="16" t="inlineStr">
        <is>
          <t>6.1</t>
        </is>
      </c>
      <c r="B431" s="16" t="inlineStr">
        <is>
          <t>6.1c</t>
        </is>
      </c>
      <c r="C431" s="16" t="inlineStr">
        <is>
          <t>KF-M06</t>
        </is>
      </c>
      <c r="D431" s="16" t="inlineStr">
        <is>
          <t>KF-M06-SUB</t>
        </is>
      </c>
      <c r="E431" s="16" t="inlineStr">
        <is>
          <t>B12</t>
        </is>
      </c>
      <c r="F431" s="16" t="inlineStr">
        <is>
          <t>T_fuente</t>
        </is>
      </c>
      <c r="G431" s="16" t="inlineStr">
        <is>
          <t>sin_dato</t>
        </is>
      </c>
      <c r="H431" s="16" t="n"/>
      <c r="I431" s="16" t="n"/>
      <c r="J431" s="16" t="n"/>
      <c r="K431" s="16" t="n"/>
      <c r="L431" s="16" t="n"/>
      <c r="M431" s="16" t="inlineStr">
        <is>
          <t>K</t>
        </is>
      </c>
      <c r="N431" s="16" t="inlineStr">
        <is>
          <t>no</t>
        </is>
      </c>
      <c r="O431" s="16" t="n"/>
    </row>
    <row r="432">
      <c r="A432" s="16" t="inlineStr">
        <is>
          <t>6.1</t>
        </is>
      </c>
      <c r="B432" s="16" t="inlineStr">
        <is>
          <t>6.1c</t>
        </is>
      </c>
      <c r="C432" s="16" t="inlineStr">
        <is>
          <t>KF-M06</t>
        </is>
      </c>
      <c r="D432" s="16" t="inlineStr">
        <is>
          <t>KF-M06-SUB</t>
        </is>
      </c>
      <c r="E432" s="16" t="inlineStr">
        <is>
          <t>B12</t>
        </is>
      </c>
      <c r="F432" s="16" t="inlineStr">
        <is>
          <t>T_sumidero</t>
        </is>
      </c>
      <c r="G432" s="16" t="inlineStr">
        <is>
          <t>sin_dato</t>
        </is>
      </c>
      <c r="H432" s="16" t="n"/>
      <c r="I432" s="16" t="n"/>
      <c r="J432" s="16" t="n"/>
      <c r="K432" s="16" t="n"/>
      <c r="L432" s="16" t="n"/>
      <c r="M432" s="16" t="inlineStr">
        <is>
          <t>K</t>
        </is>
      </c>
      <c r="N432" s="16" t="inlineStr">
        <is>
          <t>no</t>
        </is>
      </c>
      <c r="O432" s="16" t="n"/>
    </row>
    <row r="433">
      <c r="A433" s="16" t="inlineStr">
        <is>
          <t>6.1</t>
        </is>
      </c>
      <c r="B433" s="16" t="inlineStr">
        <is>
          <t>6.1c</t>
        </is>
      </c>
      <c r="C433" s="16" t="inlineStr">
        <is>
          <t>KF-M06</t>
        </is>
      </c>
      <c r="D433" s="16" t="inlineStr">
        <is>
          <t>KF-M06-SUB</t>
        </is>
      </c>
      <c r="E433" s="16" t="inlineStr">
        <is>
          <t>B12</t>
        </is>
      </c>
      <c r="F433" s="16" t="inlineStr">
        <is>
          <t>P_alta</t>
        </is>
      </c>
      <c r="G433" s="16" t="inlineStr">
        <is>
          <t>sin_dato</t>
        </is>
      </c>
      <c r="H433" s="16" t="n"/>
      <c r="I433" s="16" t="n"/>
      <c r="J433" s="16" t="n"/>
      <c r="K433" s="16" t="n"/>
      <c r="L433" s="16" t="n"/>
      <c r="M433" s="16" t="inlineStr">
        <is>
          <t>kPa</t>
        </is>
      </c>
      <c r="N433" s="16" t="inlineStr">
        <is>
          <t>no</t>
        </is>
      </c>
      <c r="O433" s="16" t="n"/>
    </row>
    <row r="434">
      <c r="A434" s="16" t="inlineStr">
        <is>
          <t>6.1</t>
        </is>
      </c>
      <c r="B434" s="16" t="inlineStr">
        <is>
          <t>6.1c</t>
        </is>
      </c>
      <c r="C434" s="16" t="inlineStr">
        <is>
          <t>KF-M06</t>
        </is>
      </c>
      <c r="D434" s="16" t="inlineStr">
        <is>
          <t>KF-M06-SUB</t>
        </is>
      </c>
      <c r="E434" s="16" t="inlineStr">
        <is>
          <t>B12</t>
        </is>
      </c>
      <c r="F434" s="16" t="inlineStr">
        <is>
          <t>P_baja</t>
        </is>
      </c>
      <c r="G434" s="16" t="inlineStr">
        <is>
          <t>barrido</t>
        </is>
      </c>
      <c r="H434" s="16" t="n"/>
      <c r="I434" s="16" t="n">
        <v>393.75</v>
      </c>
      <c r="J434" s="16" t="n">
        <v>2500</v>
      </c>
      <c r="K434" s="16" t="n">
        <v>72</v>
      </c>
      <c r="L434" s="16" t="n"/>
      <c r="M434" s="16" t="inlineStr">
        <is>
          <t>kPa</t>
        </is>
      </c>
      <c r="N434" s="16" t="inlineStr">
        <is>
          <t>no</t>
        </is>
      </c>
      <c r="O434" s="16" t="n"/>
    </row>
    <row r="435">
      <c r="A435" s="16" t="inlineStr">
        <is>
          <t>6.1</t>
        </is>
      </c>
      <c r="B435" s="16" t="inlineStr">
        <is>
          <t>6.1c</t>
        </is>
      </c>
      <c r="C435" s="16" t="inlineStr">
        <is>
          <t>KF-M06</t>
        </is>
      </c>
      <c r="D435" s="16" t="inlineStr">
        <is>
          <t>KF-M06-SUB</t>
        </is>
      </c>
      <c r="E435" s="16" t="inlineStr">
        <is>
          <t>B12</t>
        </is>
      </c>
      <c r="F435" s="16" t="inlineStr">
        <is>
          <t>x_b</t>
        </is>
      </c>
      <c r="G435" s="16" t="inlineStr">
        <is>
          <t>sin_dato</t>
        </is>
      </c>
      <c r="H435" s="16" t="n"/>
      <c r="I435" s="16" t="n"/>
      <c r="J435" s="16" t="n"/>
      <c r="K435" s="16" t="n"/>
      <c r="L435" s="16" t="n"/>
      <c r="M435" s="16" t="inlineStr">
        <is>
          <t>–</t>
        </is>
      </c>
      <c r="N435" s="16" t="inlineStr">
        <is>
          <t>no</t>
        </is>
      </c>
      <c r="O435" s="16" t="n"/>
    </row>
    <row r="436">
      <c r="A436" s="16" t="inlineStr">
        <is>
          <t>6.1</t>
        </is>
      </c>
      <c r="B436" s="16" t="inlineStr">
        <is>
          <t>6.1c</t>
        </is>
      </c>
      <c r="C436" s="16" t="inlineStr">
        <is>
          <t>KF-M06</t>
        </is>
      </c>
      <c r="D436" s="16" t="inlineStr">
        <is>
          <t>KF-M06-SUB</t>
        </is>
      </c>
      <c r="E436" s="16" t="inlineStr">
        <is>
          <t>B12</t>
        </is>
      </c>
      <c r="F436" s="16" t="inlineStr">
        <is>
          <t>m_b</t>
        </is>
      </c>
      <c r="G436" s="16" t="inlineStr">
        <is>
          <t>sin_dato</t>
        </is>
      </c>
      <c r="H436" s="16" t="n"/>
      <c r="I436" s="16" t="n"/>
      <c r="J436" s="16" t="n"/>
      <c r="K436" s="16" t="n"/>
      <c r="L436" s="16" t="n"/>
      <c r="M436" s="16" t="inlineStr">
        <is>
          <t>kg/s</t>
        </is>
      </c>
      <c r="N436" s="16" t="inlineStr">
        <is>
          <t>no</t>
        </is>
      </c>
      <c r="O436" s="16" t="n"/>
    </row>
    <row r="437">
      <c r="A437" s="16" t="inlineStr">
        <is>
          <t>6.1</t>
        </is>
      </c>
      <c r="B437" s="16" t="inlineStr">
        <is>
          <t>6.1c</t>
        </is>
      </c>
      <c r="C437" s="16" t="inlineStr">
        <is>
          <t>KF-M06</t>
        </is>
      </c>
      <c r="D437" s="16" t="inlineStr">
        <is>
          <t>KF-M06-SUB</t>
        </is>
      </c>
      <c r="E437" s="16" t="inlineStr">
        <is>
          <t>B12</t>
        </is>
      </c>
      <c r="F437" s="16" t="inlineStr">
        <is>
          <t>eta_t</t>
        </is>
      </c>
      <c r="G437" s="16" t="inlineStr">
        <is>
          <t>sin_dato</t>
        </is>
      </c>
      <c r="H437" s="16" t="n"/>
      <c r="I437" s="16" t="n"/>
      <c r="J437" s="16" t="n"/>
      <c r="K437" s="16" t="n"/>
      <c r="L437" s="16" t="n"/>
      <c r="M437" s="16" t="inlineStr">
        <is>
          <t>–</t>
        </is>
      </c>
      <c r="N437" s="16" t="inlineStr">
        <is>
          <t>no</t>
        </is>
      </c>
      <c r="O437" s="16" t="n"/>
    </row>
    <row r="438">
      <c r="A438" s="16" t="inlineStr">
        <is>
          <t>6.1</t>
        </is>
      </c>
      <c r="B438" s="16" t="inlineStr">
        <is>
          <t>6.1c</t>
        </is>
      </c>
      <c r="C438" s="16" t="inlineStr">
        <is>
          <t>KF-M06</t>
        </is>
      </c>
      <c r="D438" s="16" t="inlineStr">
        <is>
          <t>KF-M06-SUB</t>
        </is>
      </c>
      <c r="E438" s="16" t="inlineStr">
        <is>
          <t>B12</t>
        </is>
      </c>
      <c r="F438" s="16" t="inlineStr">
        <is>
          <t>eta_p</t>
        </is>
      </c>
      <c r="G438" s="16" t="inlineStr">
        <is>
          <t>sin_dato</t>
        </is>
      </c>
      <c r="H438" s="16" t="n"/>
      <c r="I438" s="16" t="n"/>
      <c r="J438" s="16" t="n"/>
      <c r="K438" s="16" t="n"/>
      <c r="L438" s="16" t="n"/>
      <c r="M438" s="16" t="inlineStr">
        <is>
          <t>–</t>
        </is>
      </c>
      <c r="N438" s="16" t="inlineStr">
        <is>
          <t>no</t>
        </is>
      </c>
      <c r="O438" s="16" t="n"/>
    </row>
    <row r="439">
      <c r="A439" s="16" t="inlineStr">
        <is>
          <t>6.1</t>
        </is>
      </c>
      <c r="B439" s="16" t="inlineStr">
        <is>
          <t>6.1c</t>
        </is>
      </c>
      <c r="C439" s="16" t="inlineStr">
        <is>
          <t>KF-M06</t>
        </is>
      </c>
      <c r="D439" s="16" t="inlineStr">
        <is>
          <t>KF-M06-SUB</t>
        </is>
      </c>
      <c r="E439" s="16" t="inlineStr">
        <is>
          <t>B12</t>
        </is>
      </c>
      <c r="F439" s="16" t="inlineStr">
        <is>
          <t>eps_hrvg</t>
        </is>
      </c>
      <c r="G439" s="16" t="inlineStr">
        <is>
          <t>sin_dato</t>
        </is>
      </c>
      <c r="H439" s="16" t="n"/>
      <c r="I439" s="16" t="n"/>
      <c r="J439" s="16" t="n"/>
      <c r="K439" s="16" t="n"/>
      <c r="L439" s="16" t="n"/>
      <c r="M439" s="16" t="inlineStr">
        <is>
          <t>–</t>
        </is>
      </c>
      <c r="N439" s="16" t="inlineStr">
        <is>
          <t>no</t>
        </is>
      </c>
      <c r="O439" s="16" t="n"/>
    </row>
    <row r="440">
      <c r="A440" s="16" t="inlineStr">
        <is>
          <t>6.1</t>
        </is>
      </c>
      <c r="B440" s="16" t="inlineStr">
        <is>
          <t>6.1c</t>
        </is>
      </c>
      <c r="C440" s="16" t="inlineStr">
        <is>
          <t>KF-M06</t>
        </is>
      </c>
      <c r="D440" s="16" t="inlineStr">
        <is>
          <t>KF-M06-SUB</t>
        </is>
      </c>
      <c r="E440" s="16" t="inlineStr">
        <is>
          <t>B12</t>
        </is>
      </c>
      <c r="F440" s="16" t="inlineStr">
        <is>
          <t>eps_reg</t>
        </is>
      </c>
      <c r="G440" s="16" t="inlineStr">
        <is>
          <t>sin_dato</t>
        </is>
      </c>
      <c r="H440" s="16" t="n"/>
      <c r="I440" s="16" t="n"/>
      <c r="J440" s="16" t="n"/>
      <c r="K440" s="16" t="n"/>
      <c r="L440" s="16" t="n"/>
      <c r="M440" s="16" t="inlineStr">
        <is>
          <t>–</t>
        </is>
      </c>
      <c r="N440" s="16" t="inlineStr">
        <is>
          <t>no</t>
        </is>
      </c>
      <c r="O440" s="16" t="n"/>
    </row>
    <row r="441">
      <c r="A441" s="16" t="inlineStr">
        <is>
          <t>6.1</t>
        </is>
      </c>
      <c r="B441" s="16" t="inlineStr">
        <is>
          <t>6.1c</t>
        </is>
      </c>
      <c r="C441" s="16" t="inlineStr">
        <is>
          <t>KF-M06</t>
        </is>
      </c>
      <c r="D441" s="16" t="inlineStr">
        <is>
          <t>KF-M06-SUB</t>
        </is>
      </c>
      <c r="E441" s="16" t="inlineStr">
        <is>
          <t>B12</t>
        </is>
      </c>
      <c r="F441" s="16" t="inlineStr">
        <is>
          <t>eps_cond</t>
        </is>
      </c>
      <c r="G441" s="16" t="inlineStr">
        <is>
          <t>sin_dato</t>
        </is>
      </c>
      <c r="H441" s="16" t="n"/>
      <c r="I441" s="16" t="n"/>
      <c r="J441" s="16" t="n"/>
      <c r="K441" s="16" t="n"/>
      <c r="L441" s="16" t="n"/>
      <c r="M441" s="16" t="inlineStr">
        <is>
          <t>–</t>
        </is>
      </c>
      <c r="N441" s="16" t="inlineStr">
        <is>
          <t>no</t>
        </is>
      </c>
      <c r="O441" s="16" t="n"/>
    </row>
    <row r="442">
      <c r="A442" s="16" t="inlineStr">
        <is>
          <t>6.1</t>
        </is>
      </c>
      <c r="B442" s="16" t="inlineStr">
        <is>
          <t>6.1c</t>
        </is>
      </c>
      <c r="C442" s="16" t="inlineStr">
        <is>
          <t>KF-M06</t>
        </is>
      </c>
      <c r="D442" s="16" t="inlineStr">
        <is>
          <t>KF-M06-SUB</t>
        </is>
      </c>
      <c r="E442" s="16" t="inlineStr">
        <is>
          <t>B12</t>
        </is>
      </c>
      <c r="F442" s="16" t="inlineStr">
        <is>
          <t>T_amb_diseno</t>
        </is>
      </c>
      <c r="G442" s="16" t="inlineStr">
        <is>
          <t>sin_dato</t>
        </is>
      </c>
      <c r="H442" s="16" t="n"/>
      <c r="I442" s="16" t="n"/>
      <c r="J442" s="16" t="n"/>
      <c r="K442" s="16" t="n"/>
      <c r="L442" s="16" t="n"/>
      <c r="M442" s="16" t="inlineStr">
        <is>
          <t>K</t>
        </is>
      </c>
      <c r="N442" s="16" t="inlineStr">
        <is>
          <t>no</t>
        </is>
      </c>
      <c r="O442" s="16" t="n"/>
    </row>
    <row r="443">
      <c r="A443" s="16" t="inlineStr">
        <is>
          <t>6.1</t>
        </is>
      </c>
      <c r="B443" s="16" t="inlineStr">
        <is>
          <t>6.1c</t>
        </is>
      </c>
      <c r="C443" s="16" t="inlineStr">
        <is>
          <t>KF-M06</t>
        </is>
      </c>
      <c r="D443" s="16" t="inlineStr">
        <is>
          <t>KF-M06-SUB</t>
        </is>
      </c>
      <c r="E443" s="16" t="inlineStr">
        <is>
          <t>B12</t>
        </is>
      </c>
      <c r="F443" s="16" t="inlineStr">
        <is>
          <t>motor</t>
        </is>
      </c>
      <c r="G443" s="16" t="inlineStr">
        <is>
          <t>sin_dato</t>
        </is>
      </c>
      <c r="H443" s="16" t="n"/>
      <c r="I443" s="16" t="n"/>
      <c r="J443" s="16" t="n"/>
      <c r="K443" s="16" t="n"/>
      <c r="L443" s="16" t="n"/>
      <c r="M443" s="16" t="inlineStr">
        <is>
          <t>–</t>
        </is>
      </c>
      <c r="N443" s="16" t="inlineStr">
        <is>
          <t>no</t>
        </is>
      </c>
      <c r="O443" s="16" t="n"/>
    </row>
    <row r="444">
      <c r="A444" s="16" t="inlineStr">
        <is>
          <t>4.3</t>
        </is>
      </c>
      <c r="B444" s="16" t="inlineStr">
        <is>
          <t>4.3 T_fuente</t>
        </is>
      </c>
      <c r="C444" s="16" t="inlineStr">
        <is>
          <t>KF-M09</t>
        </is>
      </c>
      <c r="D444" s="16" t="inlineStr">
        <is>
          <t>KF-M09-R0-T_fuente</t>
        </is>
      </c>
      <c r="E444" s="16" t="inlineStr">
        <is>
          <t>B13-T_fuente</t>
        </is>
      </c>
      <c r="F444" s="16" t="inlineStr">
        <is>
          <t>T_fuente</t>
        </is>
      </c>
      <c r="G444" s="16" t="inlineStr">
        <is>
          <t>fijo</t>
        </is>
      </c>
      <c r="H444" s="16" t="inlineStr">
        <is>
          <t>623.15</t>
        </is>
      </c>
      <c r="I444" s="16" t="n"/>
      <c r="J444" s="16" t="n"/>
      <c r="K444" s="16" t="n"/>
      <c r="L444" s="16" t="inlineStr">
        <is>
          <t>sí</t>
        </is>
      </c>
      <c r="M444" s="16" t="inlineStr">
        <is>
          <t>K</t>
        </is>
      </c>
      <c r="N444" s="16" t="inlineStr">
        <is>
          <t>no</t>
        </is>
      </c>
      <c r="O444" s="16" t="n"/>
    </row>
    <row r="445">
      <c r="A445" s="16" t="inlineStr">
        <is>
          <t>4.3</t>
        </is>
      </c>
      <c r="B445" s="16" t="inlineStr">
        <is>
          <t>4.3 T_fuente</t>
        </is>
      </c>
      <c r="C445" s="16" t="inlineStr">
        <is>
          <t>KF-M09</t>
        </is>
      </c>
      <c r="D445" s="16" t="inlineStr">
        <is>
          <t>KF-M09-R0-T_fuente</t>
        </is>
      </c>
      <c r="E445" s="16" t="inlineStr">
        <is>
          <t>B13-T_fuente</t>
        </is>
      </c>
      <c r="F445" s="16" t="inlineStr">
        <is>
          <t>T_sumidero</t>
        </is>
      </c>
      <c r="G445" s="16" t="inlineStr">
        <is>
          <t>barrido</t>
        </is>
      </c>
      <c r="H445" s="16" t="n"/>
      <c r="I445" s="16" t="n">
        <v>278.3440730777328</v>
      </c>
      <c r="J445" s="16" t="n">
        <v>303.3762154679023</v>
      </c>
      <c r="K445" s="16" t="n">
        <v>100</v>
      </c>
      <c r="L445" s="16" t="n"/>
      <c r="M445" s="16" t="inlineStr">
        <is>
          <t>K</t>
        </is>
      </c>
      <c r="N445" s="16" t="inlineStr">
        <is>
          <t>no</t>
        </is>
      </c>
      <c r="O445" s="16" t="n"/>
    </row>
    <row r="446">
      <c r="A446" s="16" t="inlineStr">
        <is>
          <t>4.3</t>
        </is>
      </c>
      <c r="B446" s="16" t="inlineStr">
        <is>
          <t>4.3 T_fuente</t>
        </is>
      </c>
      <c r="C446" s="16" t="inlineStr">
        <is>
          <t>KF-M09</t>
        </is>
      </c>
      <c r="D446" s="16" t="inlineStr">
        <is>
          <t>KF-M09-R0-T_fuente</t>
        </is>
      </c>
      <c r="E446" s="16" t="inlineStr">
        <is>
          <t>B13-T_fuente</t>
        </is>
      </c>
      <c r="F446" s="16" t="inlineStr">
        <is>
          <t>P_alta</t>
        </is>
      </c>
      <c r="G446" s="16" t="inlineStr">
        <is>
          <t>barrido</t>
        </is>
      </c>
      <c r="H446" s="16" t="n"/>
      <c r="I446" s="16" t="n">
        <v>2028.570774216978</v>
      </c>
      <c r="J446" s="16" t="n">
        <v>4974.749998445156</v>
      </c>
      <c r="K446" s="16" t="n">
        <v>100</v>
      </c>
      <c r="L446" s="16" t="n"/>
      <c r="M446" s="16" t="inlineStr">
        <is>
          <t>kPa</t>
        </is>
      </c>
      <c r="N446" s="16" t="inlineStr">
        <is>
          <t>no</t>
        </is>
      </c>
      <c r="O446" s="16" t="n"/>
    </row>
    <row r="447">
      <c r="A447" s="16" t="inlineStr">
        <is>
          <t>4.3</t>
        </is>
      </c>
      <c r="B447" s="16" t="inlineStr">
        <is>
          <t>4.3 T_fuente</t>
        </is>
      </c>
      <c r="C447" s="16" t="inlineStr">
        <is>
          <t>KF-M09</t>
        </is>
      </c>
      <c r="D447" s="16" t="inlineStr">
        <is>
          <t>KF-M09-R0-T_fuente</t>
        </is>
      </c>
      <c r="E447" s="16" t="inlineStr">
        <is>
          <t>B13-T_fuente</t>
        </is>
      </c>
      <c r="F447" s="16" t="inlineStr">
        <is>
          <t>P_baja</t>
        </is>
      </c>
      <c r="G447" s="16" t="inlineStr">
        <is>
          <t>barrido</t>
        </is>
      </c>
      <c r="H447" s="16" t="n"/>
      <c r="I447" s="16" t="n">
        <v>310.7610038109258</v>
      </c>
      <c r="J447" s="16" t="n">
        <v>1986.555070035975</v>
      </c>
      <c r="K447" s="16" t="n">
        <v>100</v>
      </c>
      <c r="L447" s="16" t="n"/>
      <c r="M447" s="16" t="inlineStr">
        <is>
          <t>kPa</t>
        </is>
      </c>
      <c r="N447" s="16" t="inlineStr">
        <is>
          <t>no</t>
        </is>
      </c>
      <c r="O447" s="16" t="n"/>
    </row>
    <row r="448">
      <c r="A448" s="16" t="inlineStr">
        <is>
          <t>4.3</t>
        </is>
      </c>
      <c r="B448" s="16" t="inlineStr">
        <is>
          <t>4.3 T_fuente</t>
        </is>
      </c>
      <c r="C448" s="16" t="inlineStr">
        <is>
          <t>KF-M09</t>
        </is>
      </c>
      <c r="D448" s="16" t="inlineStr">
        <is>
          <t>KF-M09-R0-T_fuente</t>
        </is>
      </c>
      <c r="E448" s="16" t="inlineStr">
        <is>
          <t>B13-T_fuente</t>
        </is>
      </c>
      <c r="F448" s="16" t="inlineStr">
        <is>
          <t>x_b</t>
        </is>
      </c>
      <c r="G448" s="16" t="inlineStr">
        <is>
          <t>barrido</t>
        </is>
      </c>
      <c r="H448" s="16" t="n"/>
      <c r="I448" s="16" t="n">
        <v>0.5033969051317454</v>
      </c>
      <c r="J448" s="16" t="n">
        <v>0.849887882493227</v>
      </c>
      <c r="K448" s="16" t="n">
        <v>100</v>
      </c>
      <c r="L448" s="16" t="n"/>
      <c r="M448" s="16" t="inlineStr">
        <is>
          <t>–</t>
        </is>
      </c>
      <c r="N448" s="16" t="inlineStr">
        <is>
          <t>no</t>
        </is>
      </c>
      <c r="O448" s="16" t="n"/>
    </row>
    <row r="449">
      <c r="A449" s="16" t="inlineStr">
        <is>
          <t>4.3</t>
        </is>
      </c>
      <c r="B449" s="16" t="inlineStr">
        <is>
          <t>4.3 T_fuente</t>
        </is>
      </c>
      <c r="C449" s="16" t="inlineStr">
        <is>
          <t>KF-M09</t>
        </is>
      </c>
      <c r="D449" s="16" t="inlineStr">
        <is>
          <t>KF-M09-R0-T_fuente</t>
        </is>
      </c>
      <c r="E449" s="16" t="inlineStr">
        <is>
          <t>B13-T_fuente</t>
        </is>
      </c>
      <c r="F449" s="16" t="inlineStr">
        <is>
          <t>m_b</t>
        </is>
      </c>
      <c r="G449" s="16" t="inlineStr">
        <is>
          <t>fijo</t>
        </is>
      </c>
      <c r="H449" s="16" t="inlineStr">
        <is>
          <t>1.0</t>
        </is>
      </c>
      <c r="I449" s="16" t="n"/>
      <c r="J449" s="16" t="n"/>
      <c r="K449" s="16" t="n"/>
      <c r="L449" s="16" t="inlineStr">
        <is>
          <t>sí</t>
        </is>
      </c>
      <c r="M449" s="16" t="inlineStr">
        <is>
          <t>kg/s</t>
        </is>
      </c>
      <c r="N449" s="16" t="inlineStr">
        <is>
          <t>no</t>
        </is>
      </c>
      <c r="O449" s="16" t="n"/>
    </row>
    <row r="450">
      <c r="A450" s="16" t="inlineStr">
        <is>
          <t>4.3</t>
        </is>
      </c>
      <c r="B450" s="16" t="inlineStr">
        <is>
          <t>4.3 T_fuente</t>
        </is>
      </c>
      <c r="C450" s="16" t="inlineStr">
        <is>
          <t>KF-M09</t>
        </is>
      </c>
      <c r="D450" s="16" t="inlineStr">
        <is>
          <t>KF-M09-R0-T_fuente</t>
        </is>
      </c>
      <c r="E450" s="16" t="inlineStr">
        <is>
          <t>B13-T_fuente</t>
        </is>
      </c>
      <c r="F450" s="16" t="inlineStr">
        <is>
          <t>eta_t</t>
        </is>
      </c>
      <c r="G450" s="16" t="inlineStr">
        <is>
          <t>barrido</t>
        </is>
      </c>
      <c r="H450" s="16" t="n"/>
      <c r="I450" s="16" t="n">
        <v>0.4022881939418549</v>
      </c>
      <c r="J450" s="16" t="n">
        <v>0.9491087045435136</v>
      </c>
      <c r="K450" s="16" t="n">
        <v>100</v>
      </c>
      <c r="L450" s="16" t="n"/>
      <c r="M450" s="16" t="inlineStr">
        <is>
          <t>–</t>
        </is>
      </c>
      <c r="N450" s="16" t="inlineStr">
        <is>
          <t>no</t>
        </is>
      </c>
      <c r="O450" s="16" t="n"/>
    </row>
    <row r="451">
      <c r="A451" s="16" t="inlineStr">
        <is>
          <t>4.3</t>
        </is>
      </c>
      <c r="B451" s="16" t="inlineStr">
        <is>
          <t>4.3 T_fuente</t>
        </is>
      </c>
      <c r="C451" s="16" t="inlineStr">
        <is>
          <t>KF-M09</t>
        </is>
      </c>
      <c r="D451" s="16" t="inlineStr">
        <is>
          <t>KF-M09-R0-T_fuente</t>
        </is>
      </c>
      <c r="E451" s="16" t="inlineStr">
        <is>
          <t>B13-T_fuente</t>
        </is>
      </c>
      <c r="F451" s="16" t="inlineStr">
        <is>
          <t>eta_p</t>
        </is>
      </c>
      <c r="G451" s="16" t="inlineStr">
        <is>
          <t>barrido</t>
        </is>
      </c>
      <c r="H451" s="16" t="n"/>
      <c r="I451" s="16" t="n">
        <v>0.4002036646531887</v>
      </c>
      <c r="J451" s="16" t="n">
        <v>0.9498902193027984</v>
      </c>
      <c r="K451" s="16" t="n">
        <v>100</v>
      </c>
      <c r="L451" s="16" t="n"/>
      <c r="M451" s="16" t="inlineStr">
        <is>
          <t>–</t>
        </is>
      </c>
      <c r="N451" s="16" t="inlineStr">
        <is>
          <t>no</t>
        </is>
      </c>
      <c r="O451" s="16" t="n"/>
    </row>
    <row r="452">
      <c r="A452" s="16" t="inlineStr">
        <is>
          <t>4.3</t>
        </is>
      </c>
      <c r="B452" s="16" t="inlineStr">
        <is>
          <t>4.3 T_fuente</t>
        </is>
      </c>
      <c r="C452" s="16" t="inlineStr">
        <is>
          <t>KF-M09</t>
        </is>
      </c>
      <c r="D452" s="16" t="inlineStr">
        <is>
          <t>KF-M09-R0-T_fuente</t>
        </is>
      </c>
      <c r="E452" s="16" t="inlineStr">
        <is>
          <t>B13-T_fuente</t>
        </is>
      </c>
      <c r="F452" s="16" t="inlineStr">
        <is>
          <t>eps_hrvg</t>
        </is>
      </c>
      <c r="G452" s="16" t="inlineStr">
        <is>
          <t>barrido</t>
        </is>
      </c>
      <c r="H452" s="16" t="n"/>
      <c r="I452" s="16" t="n">
        <v>0.4027508517427795</v>
      </c>
      <c r="J452" s="16" t="n">
        <v>0.9452306508297112</v>
      </c>
      <c r="K452" s="16" t="n">
        <v>100</v>
      </c>
      <c r="L452" s="16" t="n"/>
      <c r="M452" s="16" t="inlineStr">
        <is>
          <t>–</t>
        </is>
      </c>
      <c r="N452" s="16" t="inlineStr">
        <is>
          <t>no</t>
        </is>
      </c>
      <c r="O452" s="16" t="n"/>
    </row>
    <row r="453">
      <c r="A453" s="16" t="inlineStr">
        <is>
          <t>4.3</t>
        </is>
      </c>
      <c r="B453" s="16" t="inlineStr">
        <is>
          <t>4.3 T_fuente</t>
        </is>
      </c>
      <c r="C453" s="16" t="inlineStr">
        <is>
          <t>KF-M09</t>
        </is>
      </c>
      <c r="D453" s="16" t="inlineStr">
        <is>
          <t>KF-M09-R0-T_fuente</t>
        </is>
      </c>
      <c r="E453" s="16" t="inlineStr">
        <is>
          <t>B13-T_fuente</t>
        </is>
      </c>
      <c r="F453" s="16" t="inlineStr">
        <is>
          <t>eps_reg</t>
        </is>
      </c>
      <c r="G453" s="16" t="inlineStr">
        <is>
          <t>barrido</t>
        </is>
      </c>
      <c r="H453" s="16" t="n"/>
      <c r="I453" s="16" t="n">
        <v>0.4009579549964744</v>
      </c>
      <c r="J453" s="16" t="n">
        <v>0.9482531418314936</v>
      </c>
      <c r="K453" s="16" t="n">
        <v>100</v>
      </c>
      <c r="L453" s="16" t="n"/>
      <c r="M453" s="16" t="inlineStr">
        <is>
          <t>–</t>
        </is>
      </c>
      <c r="N453" s="16" t="inlineStr">
        <is>
          <t>no</t>
        </is>
      </c>
      <c r="O453" s="16" t="n"/>
    </row>
    <row r="454">
      <c r="A454" s="16" t="inlineStr">
        <is>
          <t>4.3</t>
        </is>
      </c>
      <c r="B454" s="16" t="inlineStr">
        <is>
          <t>4.3 T_fuente</t>
        </is>
      </c>
      <c r="C454" s="16" t="inlineStr">
        <is>
          <t>KF-M09</t>
        </is>
      </c>
      <c r="D454" s="16" t="inlineStr">
        <is>
          <t>KF-M09-R0-T_fuente</t>
        </is>
      </c>
      <c r="E454" s="16" t="inlineStr">
        <is>
          <t>B13-T_fuente</t>
        </is>
      </c>
      <c r="F454" s="16" t="inlineStr">
        <is>
          <t>eps_cond</t>
        </is>
      </c>
      <c r="G454" s="16" t="inlineStr">
        <is>
          <t>barrido</t>
        </is>
      </c>
      <c r="H454" s="16" t="n"/>
      <c r="I454" s="16" t="n">
        <v>0.4005919514633325</v>
      </c>
      <c r="J454" s="16" t="n">
        <v>0.9490467024898904</v>
      </c>
      <c r="K454" s="16" t="n">
        <v>100</v>
      </c>
      <c r="L454" s="16" t="n"/>
      <c r="M454" s="16" t="inlineStr">
        <is>
          <t>–</t>
        </is>
      </c>
      <c r="N454" s="16" t="inlineStr">
        <is>
          <t>no</t>
        </is>
      </c>
      <c r="O454" s="16" t="n"/>
    </row>
    <row r="455">
      <c r="A455" s="16" t="inlineStr">
        <is>
          <t>4.3</t>
        </is>
      </c>
      <c r="B455" s="16" t="inlineStr">
        <is>
          <t>4.3 T_fuente</t>
        </is>
      </c>
      <c r="C455" s="16" t="inlineStr">
        <is>
          <t>KF-M09</t>
        </is>
      </c>
      <c r="D455" s="16" t="inlineStr">
        <is>
          <t>KF-M09-R0-T_fuente</t>
        </is>
      </c>
      <c r="E455" s="16" t="inlineStr">
        <is>
          <t>B13-T_fuente</t>
        </is>
      </c>
      <c r="F455" s="16" t="inlineStr">
        <is>
          <t>T_amb_diseno</t>
        </is>
      </c>
      <c r="G455" s="16" t="inlineStr">
        <is>
          <t>barrido</t>
        </is>
      </c>
      <c r="H455" s="16" t="n"/>
      <c r="I455" s="16" t="n">
        <v>278.3440730777328</v>
      </c>
      <c r="J455" s="16" t="n">
        <v>303.3762154679023</v>
      </c>
      <c r="K455" s="16" t="n">
        <v>100</v>
      </c>
      <c r="L455" s="16" t="n"/>
      <c r="M455" s="16" t="inlineStr">
        <is>
          <t>K</t>
        </is>
      </c>
      <c r="N455" s="16" t="inlineStr">
        <is>
          <t>no</t>
        </is>
      </c>
      <c r="O455" s="16" t="n"/>
    </row>
    <row r="456">
      <c r="A456" s="16" t="inlineStr">
        <is>
          <t>4.3</t>
        </is>
      </c>
      <c r="B456" s="16" t="inlineStr">
        <is>
          <t>4.3 T_fuente</t>
        </is>
      </c>
      <c r="C456" s="16" t="inlineStr">
        <is>
          <t>KF-M09</t>
        </is>
      </c>
      <c r="D456" s="16" t="inlineStr">
        <is>
          <t>KF-M09-R0-T_fuente</t>
        </is>
      </c>
      <c r="E456" s="16" t="inlineStr">
        <is>
          <t>B13-T_fuente</t>
        </is>
      </c>
      <c r="F456" s="16" t="inlineStr">
        <is>
          <t>motor</t>
        </is>
      </c>
      <c r="G456" s="16" t="inlineStr">
        <is>
          <t>fijo</t>
        </is>
      </c>
      <c r="H456" s="16" t="inlineStr">
        <is>
          <t>teqp</t>
        </is>
      </c>
      <c r="I456" s="16" t="n"/>
      <c r="J456" s="16" t="n"/>
      <c r="K456" s="16" t="n"/>
      <c r="L456" s="16" t="n"/>
      <c r="M456" s="16" t="inlineStr">
        <is>
          <t>–</t>
        </is>
      </c>
      <c r="N456" s="16" t="inlineStr">
        <is>
          <t>no</t>
        </is>
      </c>
      <c r="O456" s="16" t="n"/>
    </row>
    <row r="457">
      <c r="A457" s="16" t="inlineStr">
        <is>
          <t>4.3</t>
        </is>
      </c>
      <c r="B457" s="16" t="inlineStr">
        <is>
          <t>4.3 eficiencias</t>
        </is>
      </c>
      <c r="C457" s="16" t="inlineStr">
        <is>
          <t>KF-M09</t>
        </is>
      </c>
      <c r="D457" s="16" t="inlineStr">
        <is>
          <t>KF-M09-R0-eficiencias</t>
        </is>
      </c>
      <c r="E457" s="16" t="inlineStr">
        <is>
          <t>B13-eficiencias</t>
        </is>
      </c>
      <c r="F457" s="16" t="inlineStr">
        <is>
          <t>T_fuente</t>
        </is>
      </c>
      <c r="G457" s="16" t="inlineStr">
        <is>
          <t>barrido</t>
        </is>
      </c>
      <c r="H457" s="16" t="n"/>
      <c r="I457" s="16" t="n">
        <v>380.4381400834103</v>
      </c>
      <c r="J457" s="16" t="n">
        <v>519.55981325731</v>
      </c>
      <c r="K457" s="16" t="n">
        <v>100</v>
      </c>
      <c r="L457" s="16" t="n"/>
      <c r="M457" s="16" t="inlineStr">
        <is>
          <t>K</t>
        </is>
      </c>
      <c r="N457" s="16" t="inlineStr">
        <is>
          <t>no</t>
        </is>
      </c>
      <c r="O457" s="16" t="n"/>
    </row>
    <row r="458">
      <c r="A458" s="16" t="inlineStr">
        <is>
          <t>4.3</t>
        </is>
      </c>
      <c r="B458" s="16" t="inlineStr">
        <is>
          <t>4.3 eficiencias</t>
        </is>
      </c>
      <c r="C458" s="16" t="inlineStr">
        <is>
          <t>KF-M09</t>
        </is>
      </c>
      <c r="D458" s="16" t="inlineStr">
        <is>
          <t>KF-M09-R0-eficiencias</t>
        </is>
      </c>
      <c r="E458" s="16" t="inlineStr">
        <is>
          <t>B13-eficiencias</t>
        </is>
      </c>
      <c r="F458" s="16" t="inlineStr">
        <is>
          <t>T_sumidero</t>
        </is>
      </c>
      <c r="G458" s="16" t="inlineStr">
        <is>
          <t>barrido</t>
        </is>
      </c>
      <c r="H458" s="16" t="n"/>
      <c r="I458" s="16" t="n">
        <v>278.1881636973086</v>
      </c>
      <c r="J458" s="16" t="n">
        <v>303.5276423827174</v>
      </c>
      <c r="K458" s="16" t="n">
        <v>100</v>
      </c>
      <c r="L458" s="16" t="n"/>
      <c r="M458" s="16" t="inlineStr">
        <is>
          <t>K</t>
        </is>
      </c>
      <c r="N458" s="16" t="inlineStr">
        <is>
          <t>no</t>
        </is>
      </c>
      <c r="O458" s="16" t="n"/>
    </row>
    <row r="459">
      <c r="A459" s="16" t="inlineStr">
        <is>
          <t>4.3</t>
        </is>
      </c>
      <c r="B459" s="16" t="inlineStr">
        <is>
          <t>4.3 eficiencias</t>
        </is>
      </c>
      <c r="C459" s="16" t="inlineStr">
        <is>
          <t>KF-M09</t>
        </is>
      </c>
      <c r="D459" s="16" t="inlineStr">
        <is>
          <t>KF-M09-R0-eficiencias</t>
        </is>
      </c>
      <c r="E459" s="16" t="inlineStr">
        <is>
          <t>B13-eficiencias</t>
        </is>
      </c>
      <c r="F459" s="16" t="inlineStr">
        <is>
          <t>P_alta</t>
        </is>
      </c>
      <c r="G459" s="16" t="inlineStr">
        <is>
          <t>barrido</t>
        </is>
      </c>
      <c r="H459" s="16" t="n"/>
      <c r="I459" s="16" t="n">
        <v>2000.100902831723</v>
      </c>
      <c r="J459" s="16" t="n">
        <v>4999.517443734224</v>
      </c>
      <c r="K459" s="16" t="n">
        <v>100</v>
      </c>
      <c r="L459" s="16" t="n"/>
      <c r="M459" s="16" t="inlineStr">
        <is>
          <t>kPa</t>
        </is>
      </c>
      <c r="N459" s="16" t="inlineStr">
        <is>
          <t>no</t>
        </is>
      </c>
      <c r="O459" s="16" t="n"/>
    </row>
    <row r="460">
      <c r="A460" s="16" t="inlineStr">
        <is>
          <t>4.3</t>
        </is>
      </c>
      <c r="B460" s="16" t="inlineStr">
        <is>
          <t>4.3 eficiencias</t>
        </is>
      </c>
      <c r="C460" s="16" t="inlineStr">
        <is>
          <t>KF-M09</t>
        </is>
      </c>
      <c r="D460" s="16" t="inlineStr">
        <is>
          <t>KF-M09-R0-eficiencias</t>
        </is>
      </c>
      <c r="E460" s="16" t="inlineStr">
        <is>
          <t>B13-eficiencias</t>
        </is>
      </c>
      <c r="F460" s="16" t="inlineStr">
        <is>
          <t>P_baja</t>
        </is>
      </c>
      <c r="G460" s="16" t="inlineStr">
        <is>
          <t>barrido</t>
        </is>
      </c>
      <c r="H460" s="16" t="n"/>
      <c r="I460" s="16" t="n">
        <v>310.6754934665051</v>
      </c>
      <c r="J460" s="16" t="n">
        <v>1986.996607272141</v>
      </c>
      <c r="K460" s="16" t="n">
        <v>100</v>
      </c>
      <c r="L460" s="16" t="n"/>
      <c r="M460" s="16" t="inlineStr">
        <is>
          <t>kPa</t>
        </is>
      </c>
      <c r="N460" s="16" t="inlineStr">
        <is>
          <t>no</t>
        </is>
      </c>
      <c r="O460" s="16" t="n"/>
    </row>
    <row r="461">
      <c r="A461" s="16" t="inlineStr">
        <is>
          <t>4.3</t>
        </is>
      </c>
      <c r="B461" s="16" t="inlineStr">
        <is>
          <t>4.3 eficiencias</t>
        </is>
      </c>
      <c r="C461" s="16" t="inlineStr">
        <is>
          <t>KF-M09</t>
        </is>
      </c>
      <c r="D461" s="16" t="inlineStr">
        <is>
          <t>KF-M09-R0-eficiencias</t>
        </is>
      </c>
      <c r="E461" s="16" t="inlineStr">
        <is>
          <t>B13-eficiencias</t>
        </is>
      </c>
      <c r="F461" s="16" t="inlineStr">
        <is>
          <t>x_b</t>
        </is>
      </c>
      <c r="G461" s="16" t="inlineStr">
        <is>
          <t>barrido</t>
        </is>
      </c>
      <c r="H461" s="16" t="n"/>
      <c r="I461" s="16" t="n">
        <v>0.5023979266718875</v>
      </c>
      <c r="J461" s="16" t="n">
        <v>0.8476615688556338</v>
      </c>
      <c r="K461" s="16" t="n">
        <v>100</v>
      </c>
      <c r="L461" s="16" t="n"/>
      <c r="M461" s="16" t="inlineStr">
        <is>
          <t>–</t>
        </is>
      </c>
      <c r="N461" s="16" t="inlineStr">
        <is>
          <t>no</t>
        </is>
      </c>
      <c r="O461" s="16" t="n"/>
    </row>
    <row r="462">
      <c r="A462" s="16" t="inlineStr">
        <is>
          <t>4.3</t>
        </is>
      </c>
      <c r="B462" s="16" t="inlineStr">
        <is>
          <t>4.3 eficiencias</t>
        </is>
      </c>
      <c r="C462" s="16" t="inlineStr">
        <is>
          <t>KF-M09</t>
        </is>
      </c>
      <c r="D462" s="16" t="inlineStr">
        <is>
          <t>KF-M09-R0-eficiencias</t>
        </is>
      </c>
      <c r="E462" s="16" t="inlineStr">
        <is>
          <t>B13-eficiencias</t>
        </is>
      </c>
      <c r="F462" s="16" t="inlineStr">
        <is>
          <t>m_b</t>
        </is>
      </c>
      <c r="G462" s="16" t="inlineStr">
        <is>
          <t>fijo</t>
        </is>
      </c>
      <c r="H462" s="16" t="inlineStr">
        <is>
          <t>1.0</t>
        </is>
      </c>
      <c r="I462" s="16" t="n"/>
      <c r="J462" s="16" t="n"/>
      <c r="K462" s="16" t="n"/>
      <c r="L462" s="16" t="inlineStr">
        <is>
          <t>sí</t>
        </is>
      </c>
      <c r="M462" s="16" t="inlineStr">
        <is>
          <t>kg/s</t>
        </is>
      </c>
      <c r="N462" s="16" t="inlineStr">
        <is>
          <t>no</t>
        </is>
      </c>
      <c r="O462" s="16" t="n"/>
    </row>
    <row r="463">
      <c r="A463" s="16" t="inlineStr">
        <is>
          <t>4.3</t>
        </is>
      </c>
      <c r="B463" s="16" t="inlineStr">
        <is>
          <t>4.3 eficiencias</t>
        </is>
      </c>
      <c r="C463" s="16" t="inlineStr">
        <is>
          <t>KF-M09</t>
        </is>
      </c>
      <c r="D463" s="16" t="inlineStr">
        <is>
          <t>KF-M09-R0-eficiencias</t>
        </is>
      </c>
      <c r="E463" s="16" t="inlineStr">
        <is>
          <t>B13-eficiencias</t>
        </is>
      </c>
      <c r="F463" s="16" t="inlineStr">
        <is>
          <t>eta_t</t>
        </is>
      </c>
      <c r="G463" s="16" t="inlineStr">
        <is>
          <t>fijo</t>
        </is>
      </c>
      <c r="H463" s="16" t="inlineStr">
        <is>
          <t>0.85</t>
        </is>
      </c>
      <c r="I463" s="16" t="n"/>
      <c r="J463" s="16" t="n"/>
      <c r="K463" s="16" t="n"/>
      <c r="L463" s="16" t="inlineStr">
        <is>
          <t>sí</t>
        </is>
      </c>
      <c r="M463" s="16" t="inlineStr">
        <is>
          <t>–</t>
        </is>
      </c>
      <c r="N463" s="16" t="inlineStr">
        <is>
          <t>no</t>
        </is>
      </c>
      <c r="O463" s="16" t="n"/>
    </row>
    <row r="464">
      <c r="A464" s="16" t="inlineStr">
        <is>
          <t>4.3</t>
        </is>
      </c>
      <c r="B464" s="16" t="inlineStr">
        <is>
          <t>4.3 eficiencias</t>
        </is>
      </c>
      <c r="C464" s="16" t="inlineStr">
        <is>
          <t>KF-M09</t>
        </is>
      </c>
      <c r="D464" s="16" t="inlineStr">
        <is>
          <t>KF-M09-R0-eficiencias</t>
        </is>
      </c>
      <c r="E464" s="16" t="inlineStr">
        <is>
          <t>B13-eficiencias</t>
        </is>
      </c>
      <c r="F464" s="16" t="inlineStr">
        <is>
          <t>eta_p</t>
        </is>
      </c>
      <c r="G464" s="16" t="inlineStr">
        <is>
          <t>fijo</t>
        </is>
      </c>
      <c r="H464" s="16" t="inlineStr">
        <is>
          <t>0.75</t>
        </is>
      </c>
      <c r="I464" s="16" t="n"/>
      <c r="J464" s="16" t="n"/>
      <c r="K464" s="16" t="n"/>
      <c r="L464" s="16" t="inlineStr">
        <is>
          <t>sí</t>
        </is>
      </c>
      <c r="M464" s="16" t="inlineStr">
        <is>
          <t>–</t>
        </is>
      </c>
      <c r="N464" s="16" t="inlineStr">
        <is>
          <t>no</t>
        </is>
      </c>
      <c r="O464" s="16" t="n"/>
    </row>
    <row r="465">
      <c r="A465" s="16" t="inlineStr">
        <is>
          <t>4.3</t>
        </is>
      </c>
      <c r="B465" s="16" t="inlineStr">
        <is>
          <t>4.3 eficiencias</t>
        </is>
      </c>
      <c r="C465" s="16" t="inlineStr">
        <is>
          <t>KF-M09</t>
        </is>
      </c>
      <c r="D465" s="16" t="inlineStr">
        <is>
          <t>KF-M09-R0-eficiencias</t>
        </is>
      </c>
      <c r="E465" s="16" t="inlineStr">
        <is>
          <t>B13-eficiencias</t>
        </is>
      </c>
      <c r="F465" s="16" t="inlineStr">
        <is>
          <t>eps_hrvg</t>
        </is>
      </c>
      <c r="G465" s="16" t="inlineStr">
        <is>
          <t>fijo</t>
        </is>
      </c>
      <c r="H465" s="16" t="inlineStr">
        <is>
          <t>0.85</t>
        </is>
      </c>
      <c r="I465" s="16" t="n"/>
      <c r="J465" s="16" t="n"/>
      <c r="K465" s="16" t="n"/>
      <c r="L465" s="16" t="inlineStr">
        <is>
          <t>sí</t>
        </is>
      </c>
      <c r="M465" s="16" t="inlineStr">
        <is>
          <t>–</t>
        </is>
      </c>
      <c r="N465" s="16" t="inlineStr">
        <is>
          <t>no</t>
        </is>
      </c>
      <c r="O465" s="16" t="n"/>
    </row>
    <row r="466">
      <c r="A466" s="16" t="inlineStr">
        <is>
          <t>4.3</t>
        </is>
      </c>
      <c r="B466" s="16" t="inlineStr">
        <is>
          <t>4.3 eficiencias</t>
        </is>
      </c>
      <c r="C466" s="16" t="inlineStr">
        <is>
          <t>KF-M09</t>
        </is>
      </c>
      <c r="D466" s="16" t="inlineStr">
        <is>
          <t>KF-M09-R0-eficiencias</t>
        </is>
      </c>
      <c r="E466" s="16" t="inlineStr">
        <is>
          <t>B13-eficiencias</t>
        </is>
      </c>
      <c r="F466" s="16" t="inlineStr">
        <is>
          <t>eps_reg</t>
        </is>
      </c>
      <c r="G466" s="16" t="inlineStr">
        <is>
          <t>fijo</t>
        </is>
      </c>
      <c r="H466" s="16" t="inlineStr">
        <is>
          <t>0.75</t>
        </is>
      </c>
      <c r="I466" s="16" t="n"/>
      <c r="J466" s="16" t="n"/>
      <c r="K466" s="16" t="n"/>
      <c r="L466" s="16" t="inlineStr">
        <is>
          <t>sí</t>
        </is>
      </c>
      <c r="M466" s="16" t="inlineStr">
        <is>
          <t>–</t>
        </is>
      </c>
      <c r="N466" s="16" t="inlineStr">
        <is>
          <t>no</t>
        </is>
      </c>
      <c r="O466" s="16" t="n"/>
    </row>
    <row r="467">
      <c r="A467" s="16" t="inlineStr">
        <is>
          <t>4.3</t>
        </is>
      </c>
      <c r="B467" s="16" t="inlineStr">
        <is>
          <t>4.3 eficiencias</t>
        </is>
      </c>
      <c r="C467" s="16" t="inlineStr">
        <is>
          <t>KF-M09</t>
        </is>
      </c>
      <c r="D467" s="16" t="inlineStr">
        <is>
          <t>KF-M09-R0-eficiencias</t>
        </is>
      </c>
      <c r="E467" s="16" t="inlineStr">
        <is>
          <t>B13-eficiencias</t>
        </is>
      </c>
      <c r="F467" s="16" t="inlineStr">
        <is>
          <t>eps_cond</t>
        </is>
      </c>
      <c r="G467" s="16" t="inlineStr">
        <is>
          <t>fijo</t>
        </is>
      </c>
      <c r="H467" s="16" t="inlineStr">
        <is>
          <t>0.8</t>
        </is>
      </c>
      <c r="I467" s="16" t="n"/>
      <c r="J467" s="16" t="n"/>
      <c r="K467" s="16" t="n"/>
      <c r="L467" s="16" t="inlineStr">
        <is>
          <t>sí</t>
        </is>
      </c>
      <c r="M467" s="16" t="inlineStr">
        <is>
          <t>–</t>
        </is>
      </c>
      <c r="N467" s="16" t="inlineStr">
        <is>
          <t>no</t>
        </is>
      </c>
      <c r="O467" s="16" t="n"/>
    </row>
    <row r="468">
      <c r="A468" s="16" t="inlineStr">
        <is>
          <t>4.3</t>
        </is>
      </c>
      <c r="B468" s="16" t="inlineStr">
        <is>
          <t>4.3 eficiencias</t>
        </is>
      </c>
      <c r="C468" s="16" t="inlineStr">
        <is>
          <t>KF-M09</t>
        </is>
      </c>
      <c r="D468" s="16" t="inlineStr">
        <is>
          <t>KF-M09-R0-eficiencias</t>
        </is>
      </c>
      <c r="E468" s="16" t="inlineStr">
        <is>
          <t>B13-eficiencias</t>
        </is>
      </c>
      <c r="F468" s="16" t="inlineStr">
        <is>
          <t>T_amb_diseno</t>
        </is>
      </c>
      <c r="G468" s="16" t="inlineStr">
        <is>
          <t>barrido</t>
        </is>
      </c>
      <c r="H468" s="16" t="n"/>
      <c r="I468" s="16" t="n">
        <v>278.1881636973086</v>
      </c>
      <c r="J468" s="16" t="n">
        <v>303.5276423827174</v>
      </c>
      <c r="K468" s="16" t="n">
        <v>99</v>
      </c>
      <c r="L468" s="16" t="n"/>
      <c r="M468" s="16" t="inlineStr">
        <is>
          <t>K</t>
        </is>
      </c>
      <c r="N468" s="16" t="inlineStr">
        <is>
          <t>no</t>
        </is>
      </c>
      <c r="O468" s="16" t="n"/>
    </row>
    <row r="469">
      <c r="A469" s="16" t="inlineStr">
        <is>
          <t>4.3</t>
        </is>
      </c>
      <c r="B469" s="16" t="inlineStr">
        <is>
          <t>4.3 eficiencias</t>
        </is>
      </c>
      <c r="C469" s="16" t="inlineStr">
        <is>
          <t>KF-M09</t>
        </is>
      </c>
      <c r="D469" s="16" t="inlineStr">
        <is>
          <t>KF-M09-R0-eficiencias</t>
        </is>
      </c>
      <c r="E469" s="16" t="inlineStr">
        <is>
          <t>B13-eficiencias</t>
        </is>
      </c>
      <c r="F469" s="16" t="inlineStr">
        <is>
          <t>motor</t>
        </is>
      </c>
      <c r="G469" s="16" t="inlineStr">
        <is>
          <t>fijo</t>
        </is>
      </c>
      <c r="H469" s="16" t="inlineStr">
        <is>
          <t>teqp</t>
        </is>
      </c>
      <c r="I469" s="16" t="n"/>
      <c r="J469" s="16" t="n"/>
      <c r="K469" s="16" t="n"/>
      <c r="L469" s="16" t="n"/>
      <c r="M469" s="16" t="inlineStr">
        <is>
          <t>–</t>
        </is>
      </c>
      <c r="N469" s="16" t="inlineStr">
        <is>
          <t>no</t>
        </is>
      </c>
      <c r="O469" s="16" t="n"/>
    </row>
    <row r="470">
      <c r="A470" s="16" t="inlineStr">
        <is>
          <t>4.3</t>
        </is>
      </c>
      <c r="B470" s="16" t="inlineStr">
        <is>
          <t>4.3 P_alta</t>
        </is>
      </c>
      <c r="C470" s="16" t="inlineStr">
        <is>
          <t>KF-M09</t>
        </is>
      </c>
      <c r="D470" s="16" t="inlineStr">
        <is>
          <t>KF-M09-R0-P_alta</t>
        </is>
      </c>
      <c r="E470" s="16" t="inlineStr">
        <is>
          <t>B13-P_alta</t>
        </is>
      </c>
      <c r="F470" s="16" t="inlineStr">
        <is>
          <t>T_fuente</t>
        </is>
      </c>
      <c r="G470" s="16" t="inlineStr">
        <is>
          <t>barrido</t>
        </is>
      </c>
      <c r="H470" s="16" t="n"/>
      <c r="I470" s="16" t="n">
        <v>380.8283417440259</v>
      </c>
      <c r="J470" s="16" t="n">
        <v>519.2254446513787</v>
      </c>
      <c r="K470" s="16" t="n">
        <v>100</v>
      </c>
      <c r="L470" s="16" t="n"/>
      <c r="M470" s="16" t="inlineStr">
        <is>
          <t>K</t>
        </is>
      </c>
      <c r="N470" s="16" t="inlineStr">
        <is>
          <t>no</t>
        </is>
      </c>
      <c r="O470" s="16" t="n"/>
    </row>
    <row r="471">
      <c r="A471" s="16" t="inlineStr">
        <is>
          <t>4.3</t>
        </is>
      </c>
      <c r="B471" s="16" t="inlineStr">
        <is>
          <t>4.3 P_alta</t>
        </is>
      </c>
      <c r="C471" s="16" t="inlineStr">
        <is>
          <t>KF-M09</t>
        </is>
      </c>
      <c r="D471" s="16" t="inlineStr">
        <is>
          <t>KF-M09-R0-P_alta</t>
        </is>
      </c>
      <c r="E471" s="16" t="inlineStr">
        <is>
          <t>B13-P_alta</t>
        </is>
      </c>
      <c r="F471" s="16" t="inlineStr">
        <is>
          <t>T_sumidero</t>
        </is>
      </c>
      <c r="G471" s="16" t="inlineStr">
        <is>
          <t>barrido</t>
        </is>
      </c>
      <c r="H471" s="16" t="n"/>
      <c r="I471" s="16" t="n">
        <v>278.180008467975</v>
      </c>
      <c r="J471" s="16" t="n">
        <v>303.3806011378185</v>
      </c>
      <c r="K471" s="16" t="n">
        <v>100</v>
      </c>
      <c r="L471" s="16" t="n"/>
      <c r="M471" s="16" t="inlineStr">
        <is>
          <t>K</t>
        </is>
      </c>
      <c r="N471" s="16" t="inlineStr">
        <is>
          <t>no</t>
        </is>
      </c>
      <c r="O471" s="16" t="n"/>
    </row>
    <row r="472">
      <c r="A472" s="16" t="inlineStr">
        <is>
          <t>4.3</t>
        </is>
      </c>
      <c r="B472" s="16" t="inlineStr">
        <is>
          <t>4.3 P_alta</t>
        </is>
      </c>
      <c r="C472" s="16" t="inlineStr">
        <is>
          <t>KF-M09</t>
        </is>
      </c>
      <c r="D472" s="16" t="inlineStr">
        <is>
          <t>KF-M09-R0-P_alta</t>
        </is>
      </c>
      <c r="E472" s="16" t="inlineStr">
        <is>
          <t>B13-P_alta</t>
        </is>
      </c>
      <c r="F472" s="16" t="inlineStr">
        <is>
          <t>P_alta</t>
        </is>
      </c>
      <c r="G472" s="16" t="inlineStr">
        <is>
          <t>fijo</t>
        </is>
      </c>
      <c r="H472" s="16" t="inlineStr">
        <is>
          <t>3000.0</t>
        </is>
      </c>
      <c r="I472" s="16" t="n"/>
      <c r="J472" s="16" t="n"/>
      <c r="K472" s="16" t="n"/>
      <c r="L472" s="16" t="inlineStr">
        <is>
          <t>sí</t>
        </is>
      </c>
      <c r="M472" s="16" t="inlineStr">
        <is>
          <t>kPa</t>
        </is>
      </c>
      <c r="N472" s="16" t="inlineStr">
        <is>
          <t>no</t>
        </is>
      </c>
      <c r="O472" s="16" t="n"/>
    </row>
    <row r="473">
      <c r="A473" s="16" t="inlineStr">
        <is>
          <t>4.3</t>
        </is>
      </c>
      <c r="B473" s="16" t="inlineStr">
        <is>
          <t>4.3 P_alta</t>
        </is>
      </c>
      <c r="C473" s="16" t="inlineStr">
        <is>
          <t>KF-M09</t>
        </is>
      </c>
      <c r="D473" s="16" t="inlineStr">
        <is>
          <t>KF-M09-R0-P_alta</t>
        </is>
      </c>
      <c r="E473" s="16" t="inlineStr">
        <is>
          <t>B13-P_alta</t>
        </is>
      </c>
      <c r="F473" s="16" t="inlineStr">
        <is>
          <t>P_baja</t>
        </is>
      </c>
      <c r="G473" s="16" t="inlineStr">
        <is>
          <t>barrido</t>
        </is>
      </c>
      <c r="H473" s="16" t="n"/>
      <c r="I473" s="16" t="n">
        <v>302.7128976840879</v>
      </c>
      <c r="J473" s="16" t="n">
        <v>1996.125013530389</v>
      </c>
      <c r="K473" s="16" t="n">
        <v>100</v>
      </c>
      <c r="L473" s="16" t="n"/>
      <c r="M473" s="16" t="inlineStr">
        <is>
          <t>kPa</t>
        </is>
      </c>
      <c r="N473" s="16" t="inlineStr">
        <is>
          <t>no</t>
        </is>
      </c>
      <c r="O473" s="16" t="n"/>
    </row>
    <row r="474">
      <c r="A474" s="16" t="inlineStr">
        <is>
          <t>4.3</t>
        </is>
      </c>
      <c r="B474" s="16" t="inlineStr">
        <is>
          <t>4.3 P_alta</t>
        </is>
      </c>
      <c r="C474" s="16" t="inlineStr">
        <is>
          <t>KF-M09</t>
        </is>
      </c>
      <c r="D474" s="16" t="inlineStr">
        <is>
          <t>KF-M09-R0-P_alta</t>
        </is>
      </c>
      <c r="E474" s="16" t="inlineStr">
        <is>
          <t>B13-P_alta</t>
        </is>
      </c>
      <c r="F474" s="16" t="inlineStr">
        <is>
          <t>x_b</t>
        </is>
      </c>
      <c r="G474" s="16" t="inlineStr">
        <is>
          <t>barrido</t>
        </is>
      </c>
      <c r="H474" s="16" t="n"/>
      <c r="I474" s="16" t="n">
        <v>0.5004175207131287</v>
      </c>
      <c r="J474" s="16" t="n">
        <v>0.8473150217400045</v>
      </c>
      <c r="K474" s="16" t="n">
        <v>100</v>
      </c>
      <c r="L474" s="16" t="n"/>
      <c r="M474" s="16" t="inlineStr">
        <is>
          <t>–</t>
        </is>
      </c>
      <c r="N474" s="16" t="inlineStr">
        <is>
          <t>no</t>
        </is>
      </c>
      <c r="O474" s="16" t="n"/>
    </row>
    <row r="475">
      <c r="A475" s="16" t="inlineStr">
        <is>
          <t>4.3</t>
        </is>
      </c>
      <c r="B475" s="16" t="inlineStr">
        <is>
          <t>4.3 P_alta</t>
        </is>
      </c>
      <c r="C475" s="16" t="inlineStr">
        <is>
          <t>KF-M09</t>
        </is>
      </c>
      <c r="D475" s="16" t="inlineStr">
        <is>
          <t>KF-M09-R0-P_alta</t>
        </is>
      </c>
      <c r="E475" s="16" t="inlineStr">
        <is>
          <t>B13-P_alta</t>
        </is>
      </c>
      <c r="F475" s="16" t="inlineStr">
        <is>
          <t>m_b</t>
        </is>
      </c>
      <c r="G475" s="16" t="inlineStr">
        <is>
          <t>fijo</t>
        </is>
      </c>
      <c r="H475" s="16" t="inlineStr">
        <is>
          <t>1.0</t>
        </is>
      </c>
      <c r="I475" s="16" t="n"/>
      <c r="J475" s="16" t="n"/>
      <c r="K475" s="16" t="n"/>
      <c r="L475" s="16" t="inlineStr">
        <is>
          <t>sí</t>
        </is>
      </c>
      <c r="M475" s="16" t="inlineStr">
        <is>
          <t>kg/s</t>
        </is>
      </c>
      <c r="N475" s="16" t="inlineStr">
        <is>
          <t>no</t>
        </is>
      </c>
      <c r="O475" s="16" t="n"/>
    </row>
    <row r="476">
      <c r="A476" s="16" t="inlineStr">
        <is>
          <t>4.3</t>
        </is>
      </c>
      <c r="B476" s="16" t="inlineStr">
        <is>
          <t>4.3 P_alta</t>
        </is>
      </c>
      <c r="C476" s="16" t="inlineStr">
        <is>
          <t>KF-M09</t>
        </is>
      </c>
      <c r="D476" s="16" t="inlineStr">
        <is>
          <t>KF-M09-R0-P_alta</t>
        </is>
      </c>
      <c r="E476" s="16" t="inlineStr">
        <is>
          <t>B13-P_alta</t>
        </is>
      </c>
      <c r="F476" s="16" t="inlineStr">
        <is>
          <t>eta_t</t>
        </is>
      </c>
      <c r="G476" s="16" t="inlineStr">
        <is>
          <t>barrido</t>
        </is>
      </c>
      <c r="H476" s="16" t="n"/>
      <c r="I476" s="16" t="n">
        <v>0.4000053032029426</v>
      </c>
      <c r="J476" s="16" t="n">
        <v>0.9458100984945764</v>
      </c>
      <c r="K476" s="16" t="n">
        <v>100</v>
      </c>
      <c r="L476" s="16" t="n"/>
      <c r="M476" s="16" t="inlineStr">
        <is>
          <t>–</t>
        </is>
      </c>
      <c r="N476" s="16" t="inlineStr">
        <is>
          <t>no</t>
        </is>
      </c>
      <c r="O476" s="16" t="n"/>
    </row>
    <row r="477">
      <c r="A477" s="16" t="inlineStr">
        <is>
          <t>4.3</t>
        </is>
      </c>
      <c r="B477" s="16" t="inlineStr">
        <is>
          <t>4.3 P_alta</t>
        </is>
      </c>
      <c r="C477" s="16" t="inlineStr">
        <is>
          <t>KF-M09</t>
        </is>
      </c>
      <c r="D477" s="16" t="inlineStr">
        <is>
          <t>KF-M09-R0-P_alta</t>
        </is>
      </c>
      <c r="E477" s="16" t="inlineStr">
        <is>
          <t>B13-P_alta</t>
        </is>
      </c>
      <c r="F477" s="16" t="inlineStr">
        <is>
          <t>eta_p</t>
        </is>
      </c>
      <c r="G477" s="16" t="inlineStr">
        <is>
          <t>barrido</t>
        </is>
      </c>
      <c r="H477" s="16" t="n"/>
      <c r="I477" s="16" t="n">
        <v>0.4006380138772861</v>
      </c>
      <c r="J477" s="16" t="n">
        <v>0.9450134465791614</v>
      </c>
      <c r="K477" s="16" t="n">
        <v>100</v>
      </c>
      <c r="L477" s="16" t="n"/>
      <c r="M477" s="16" t="inlineStr">
        <is>
          <t>–</t>
        </is>
      </c>
      <c r="N477" s="16" t="inlineStr">
        <is>
          <t>no</t>
        </is>
      </c>
      <c r="O477" s="16" t="n"/>
    </row>
    <row r="478">
      <c r="A478" s="16" t="inlineStr">
        <is>
          <t>4.3</t>
        </is>
      </c>
      <c r="B478" s="16" t="inlineStr">
        <is>
          <t>4.3 P_alta</t>
        </is>
      </c>
      <c r="C478" s="16" t="inlineStr">
        <is>
          <t>KF-M09</t>
        </is>
      </c>
      <c r="D478" s="16" t="inlineStr">
        <is>
          <t>KF-M09-R0-P_alta</t>
        </is>
      </c>
      <c r="E478" s="16" t="inlineStr">
        <is>
          <t>B13-P_alta</t>
        </is>
      </c>
      <c r="F478" s="16" t="inlineStr">
        <is>
          <t>eps_hrvg</t>
        </is>
      </c>
      <c r="G478" s="16" t="inlineStr">
        <is>
          <t>barrido</t>
        </is>
      </c>
      <c r="H478" s="16" t="n"/>
      <c r="I478" s="16" t="n">
        <v>0.4041972770729972</v>
      </c>
      <c r="J478" s="16" t="n">
        <v>0.949495443240392</v>
      </c>
      <c r="K478" s="16" t="n">
        <v>100</v>
      </c>
      <c r="L478" s="16" t="n"/>
      <c r="M478" s="16" t="inlineStr">
        <is>
          <t>–</t>
        </is>
      </c>
      <c r="N478" s="16" t="inlineStr">
        <is>
          <t>no</t>
        </is>
      </c>
      <c r="O478" s="16" t="n"/>
    </row>
    <row r="479">
      <c r="A479" s="16" t="inlineStr">
        <is>
          <t>4.3</t>
        </is>
      </c>
      <c r="B479" s="16" t="inlineStr">
        <is>
          <t>4.3 P_alta</t>
        </is>
      </c>
      <c r="C479" s="16" t="inlineStr">
        <is>
          <t>KF-M09</t>
        </is>
      </c>
      <c r="D479" s="16" t="inlineStr">
        <is>
          <t>KF-M09-R0-P_alta</t>
        </is>
      </c>
      <c r="E479" s="16" t="inlineStr">
        <is>
          <t>B13-P_alta</t>
        </is>
      </c>
      <c r="F479" s="16" t="inlineStr">
        <is>
          <t>eps_reg</t>
        </is>
      </c>
      <c r="G479" s="16" t="inlineStr">
        <is>
          <t>barrido</t>
        </is>
      </c>
      <c r="H479" s="16" t="n"/>
      <c r="I479" s="16" t="n">
        <v>0.4003605617266463</v>
      </c>
      <c r="J479" s="16" t="n">
        <v>0.9477584117249944</v>
      </c>
      <c r="K479" s="16" t="n">
        <v>100</v>
      </c>
      <c r="L479" s="16" t="n"/>
      <c r="M479" s="16" t="inlineStr">
        <is>
          <t>–</t>
        </is>
      </c>
      <c r="N479" s="16" t="inlineStr">
        <is>
          <t>no</t>
        </is>
      </c>
      <c r="O479" s="16" t="n"/>
    </row>
    <row r="480">
      <c r="A480" s="16" t="inlineStr">
        <is>
          <t>4.3</t>
        </is>
      </c>
      <c r="B480" s="16" t="inlineStr">
        <is>
          <t>4.3 P_alta</t>
        </is>
      </c>
      <c r="C480" s="16" t="inlineStr">
        <is>
          <t>KF-M09</t>
        </is>
      </c>
      <c r="D480" s="16" t="inlineStr">
        <is>
          <t>KF-M09-R0-P_alta</t>
        </is>
      </c>
      <c r="E480" s="16" t="inlineStr">
        <is>
          <t>B13-P_alta</t>
        </is>
      </c>
      <c r="F480" s="16" t="inlineStr">
        <is>
          <t>eps_cond</t>
        </is>
      </c>
      <c r="G480" s="16" t="inlineStr">
        <is>
          <t>barrido</t>
        </is>
      </c>
      <c r="H480" s="16" t="n"/>
      <c r="I480" s="16" t="n">
        <v>0.4015968526330312</v>
      </c>
      <c r="J480" s="16" t="n">
        <v>0.9451658863536048</v>
      </c>
      <c r="K480" s="16" t="n">
        <v>100</v>
      </c>
      <c r="L480" s="16" t="n"/>
      <c r="M480" s="16" t="inlineStr">
        <is>
          <t>–</t>
        </is>
      </c>
      <c r="N480" s="16" t="inlineStr">
        <is>
          <t>no</t>
        </is>
      </c>
      <c r="O480" s="16" t="n"/>
    </row>
    <row r="481">
      <c r="A481" s="16" t="inlineStr">
        <is>
          <t>4.3</t>
        </is>
      </c>
      <c r="B481" s="16" t="inlineStr">
        <is>
          <t>4.3 P_alta</t>
        </is>
      </c>
      <c r="C481" s="16" t="inlineStr">
        <is>
          <t>KF-M09</t>
        </is>
      </c>
      <c r="D481" s="16" t="inlineStr">
        <is>
          <t>KF-M09-R0-P_alta</t>
        </is>
      </c>
      <c r="E481" s="16" t="inlineStr">
        <is>
          <t>B13-P_alta</t>
        </is>
      </c>
      <c r="F481" s="16" t="inlineStr">
        <is>
          <t>T_amb_diseno</t>
        </is>
      </c>
      <c r="G481" s="16" t="inlineStr">
        <is>
          <t>barrido</t>
        </is>
      </c>
      <c r="H481" s="16" t="n"/>
      <c r="I481" s="16" t="n">
        <v>278.180008467975</v>
      </c>
      <c r="J481" s="16" t="n">
        <v>303.3806011378185</v>
      </c>
      <c r="K481" s="16" t="n">
        <v>100</v>
      </c>
      <c r="L481" s="16" t="n"/>
      <c r="M481" s="16" t="inlineStr">
        <is>
          <t>K</t>
        </is>
      </c>
      <c r="N481" s="16" t="inlineStr">
        <is>
          <t>no</t>
        </is>
      </c>
      <c r="O481" s="16" t="n"/>
    </row>
    <row r="482">
      <c r="A482" s="16" t="inlineStr">
        <is>
          <t>4.3</t>
        </is>
      </c>
      <c r="B482" s="16" t="inlineStr">
        <is>
          <t>4.3 P_alta</t>
        </is>
      </c>
      <c r="C482" s="16" t="inlineStr">
        <is>
          <t>KF-M09</t>
        </is>
      </c>
      <c r="D482" s="16" t="inlineStr">
        <is>
          <t>KF-M09-R0-P_alta</t>
        </is>
      </c>
      <c r="E482" s="16" t="inlineStr">
        <is>
          <t>B13-P_alta</t>
        </is>
      </c>
      <c r="F482" s="16" t="inlineStr">
        <is>
          <t>motor</t>
        </is>
      </c>
      <c r="G482" s="16" t="inlineStr">
        <is>
          <t>fijo</t>
        </is>
      </c>
      <c r="H482" s="16" t="inlineStr">
        <is>
          <t>teqp</t>
        </is>
      </c>
      <c r="I482" s="16" t="n"/>
      <c r="J482" s="16" t="n"/>
      <c r="K482" s="16" t="n"/>
      <c r="L482" s="16" t="n"/>
      <c r="M482" s="16" t="inlineStr">
        <is>
          <t>–</t>
        </is>
      </c>
      <c r="N482" s="16" t="inlineStr">
        <is>
          <t>no</t>
        </is>
      </c>
      <c r="O482" s="16" t="n"/>
    </row>
    <row r="483">
      <c r="A483" s="16" t="inlineStr">
        <is>
          <t>4.3</t>
        </is>
      </c>
      <c r="B483" s="16" t="inlineStr">
        <is>
          <t>4.3 P_baja</t>
        </is>
      </c>
      <c r="C483" s="16" t="inlineStr">
        <is>
          <t>KF-M09</t>
        </is>
      </c>
      <c r="D483" s="16" t="inlineStr">
        <is>
          <t>KF-M09-R0-P_baja</t>
        </is>
      </c>
      <c r="E483" s="16" t="inlineStr">
        <is>
          <t>B13-P_baja</t>
        </is>
      </c>
      <c r="F483" s="16" t="inlineStr">
        <is>
          <t>T_fuente</t>
        </is>
      </c>
      <c r="G483" s="16" t="inlineStr">
        <is>
          <t>barrido</t>
        </is>
      </c>
      <c r="H483" s="16" t="n"/>
      <c r="I483" s="16" t="n">
        <v>380.1741231052362</v>
      </c>
      <c r="J483" s="16" t="n">
        <v>519.3204535529295</v>
      </c>
      <c r="K483" s="16" t="n">
        <v>100</v>
      </c>
      <c r="L483" s="16" t="n"/>
      <c r="M483" s="16" t="inlineStr">
        <is>
          <t>K</t>
        </is>
      </c>
      <c r="N483" s="16" t="inlineStr">
        <is>
          <t>no</t>
        </is>
      </c>
      <c r="O483" s="16" t="n"/>
    </row>
    <row r="484">
      <c r="A484" s="16" t="inlineStr">
        <is>
          <t>4.3</t>
        </is>
      </c>
      <c r="B484" s="16" t="inlineStr">
        <is>
          <t>4.3 P_baja</t>
        </is>
      </c>
      <c r="C484" s="16" t="inlineStr">
        <is>
          <t>KF-M09</t>
        </is>
      </c>
      <c r="D484" s="16" t="inlineStr">
        <is>
          <t>KF-M09-R0-P_baja</t>
        </is>
      </c>
      <c r="E484" s="16" t="inlineStr">
        <is>
          <t>B13-P_baja</t>
        </is>
      </c>
      <c r="F484" s="16" t="inlineStr">
        <is>
          <t>T_sumidero</t>
        </is>
      </c>
      <c r="G484" s="16" t="inlineStr">
        <is>
          <t>barrido</t>
        </is>
      </c>
      <c r="H484" s="16" t="n"/>
      <c r="I484" s="16" t="n">
        <v>278.2008210025438</v>
      </c>
      <c r="J484" s="16" t="n">
        <v>303.3802561148677</v>
      </c>
      <c r="K484" s="16" t="n">
        <v>100</v>
      </c>
      <c r="L484" s="16" t="n"/>
      <c r="M484" s="16" t="inlineStr">
        <is>
          <t>K</t>
        </is>
      </c>
      <c r="N484" s="16" t="inlineStr">
        <is>
          <t>no</t>
        </is>
      </c>
      <c r="O484" s="16" t="n"/>
    </row>
    <row r="485">
      <c r="A485" s="16" t="inlineStr">
        <is>
          <t>4.3</t>
        </is>
      </c>
      <c r="B485" s="16" t="inlineStr">
        <is>
          <t>4.3 P_baja</t>
        </is>
      </c>
      <c r="C485" s="16" t="inlineStr">
        <is>
          <t>KF-M09</t>
        </is>
      </c>
      <c r="D485" s="16" t="inlineStr">
        <is>
          <t>KF-M09-R0-P_baja</t>
        </is>
      </c>
      <c r="E485" s="16" t="inlineStr">
        <is>
          <t>B13-P_baja</t>
        </is>
      </c>
      <c r="F485" s="16" t="inlineStr">
        <is>
          <t>P_alta</t>
        </is>
      </c>
      <c r="G485" s="16" t="inlineStr">
        <is>
          <t>barrido</t>
        </is>
      </c>
      <c r="H485" s="16" t="n"/>
      <c r="I485" s="16" t="n">
        <v>2021.508121351221</v>
      </c>
      <c r="J485" s="16" t="n">
        <v>4978.350170574788</v>
      </c>
      <c r="K485" s="16" t="n">
        <v>100</v>
      </c>
      <c r="L485" s="16" t="n"/>
      <c r="M485" s="16" t="inlineStr">
        <is>
          <t>kPa</t>
        </is>
      </c>
      <c r="N485" s="16" t="inlineStr">
        <is>
          <t>no</t>
        </is>
      </c>
      <c r="O485" s="16" t="n"/>
    </row>
    <row r="486">
      <c r="A486" s="16" t="inlineStr">
        <is>
          <t>4.3</t>
        </is>
      </c>
      <c r="B486" s="16" t="inlineStr">
        <is>
          <t>4.3 P_baja</t>
        </is>
      </c>
      <c r="C486" s="16" t="inlineStr">
        <is>
          <t>KF-M09</t>
        </is>
      </c>
      <c r="D486" s="16" t="inlineStr">
        <is>
          <t>KF-M09-R0-P_baja</t>
        </is>
      </c>
      <c r="E486" s="16" t="inlineStr">
        <is>
          <t>B13-P_baja</t>
        </is>
      </c>
      <c r="F486" s="16" t="inlineStr">
        <is>
          <t>P_baja</t>
        </is>
      </c>
      <c r="G486" s="16" t="inlineStr">
        <is>
          <t>fijo</t>
        </is>
      </c>
      <c r="H486" s="16" t="inlineStr">
        <is>
          <t>400.0</t>
        </is>
      </c>
      <c r="I486" s="16" t="n"/>
      <c r="J486" s="16" t="n"/>
      <c r="K486" s="16" t="n"/>
      <c r="L486" s="16" t="inlineStr">
        <is>
          <t>sí</t>
        </is>
      </c>
      <c r="M486" s="16" t="inlineStr">
        <is>
          <t>kPa</t>
        </is>
      </c>
      <c r="N486" s="16" t="inlineStr">
        <is>
          <t>no</t>
        </is>
      </c>
      <c r="O486" s="16" t="n"/>
    </row>
    <row r="487">
      <c r="A487" s="16" t="inlineStr">
        <is>
          <t>4.3</t>
        </is>
      </c>
      <c r="B487" s="16" t="inlineStr">
        <is>
          <t>4.3 P_baja</t>
        </is>
      </c>
      <c r="C487" s="16" t="inlineStr">
        <is>
          <t>KF-M09</t>
        </is>
      </c>
      <c r="D487" s="16" t="inlineStr">
        <is>
          <t>KF-M09-R0-P_baja</t>
        </is>
      </c>
      <c r="E487" s="16" t="inlineStr">
        <is>
          <t>B13-P_baja</t>
        </is>
      </c>
      <c r="F487" s="16" t="inlineStr">
        <is>
          <t>x_b</t>
        </is>
      </c>
      <c r="G487" s="16" t="inlineStr">
        <is>
          <t>barrido</t>
        </is>
      </c>
      <c r="H487" s="16" t="n"/>
      <c r="I487" s="16" t="n">
        <v>0.5019743324019631</v>
      </c>
      <c r="J487" s="16" t="n">
        <v>0.8466095237746563</v>
      </c>
      <c r="K487" s="16" t="n">
        <v>100</v>
      </c>
      <c r="L487" s="16" t="n"/>
      <c r="M487" s="16" t="inlineStr">
        <is>
          <t>–</t>
        </is>
      </c>
      <c r="N487" s="16" t="inlineStr">
        <is>
          <t>no</t>
        </is>
      </c>
      <c r="O487" s="16" t="n"/>
    </row>
    <row r="488">
      <c r="A488" s="16" t="inlineStr">
        <is>
          <t>4.3</t>
        </is>
      </c>
      <c r="B488" s="16" t="inlineStr">
        <is>
          <t>4.3 P_baja</t>
        </is>
      </c>
      <c r="C488" s="16" t="inlineStr">
        <is>
          <t>KF-M09</t>
        </is>
      </c>
      <c r="D488" s="16" t="inlineStr">
        <is>
          <t>KF-M09-R0-P_baja</t>
        </is>
      </c>
      <c r="E488" s="16" t="inlineStr">
        <is>
          <t>B13-P_baja</t>
        </is>
      </c>
      <c r="F488" s="16" t="inlineStr">
        <is>
          <t>m_b</t>
        </is>
      </c>
      <c r="G488" s="16" t="inlineStr">
        <is>
          <t>fijo</t>
        </is>
      </c>
      <c r="H488" s="16" t="inlineStr">
        <is>
          <t>1.0</t>
        </is>
      </c>
      <c r="I488" s="16" t="n"/>
      <c r="J488" s="16" t="n"/>
      <c r="K488" s="16" t="n"/>
      <c r="L488" s="16" t="inlineStr">
        <is>
          <t>sí</t>
        </is>
      </c>
      <c r="M488" s="16" t="inlineStr">
        <is>
          <t>kg/s</t>
        </is>
      </c>
      <c r="N488" s="16" t="inlineStr">
        <is>
          <t>no</t>
        </is>
      </c>
      <c r="O488" s="16" t="n"/>
    </row>
    <row r="489">
      <c r="A489" s="16" t="inlineStr">
        <is>
          <t>4.3</t>
        </is>
      </c>
      <c r="B489" s="16" t="inlineStr">
        <is>
          <t>4.3 P_baja</t>
        </is>
      </c>
      <c r="C489" s="16" t="inlineStr">
        <is>
          <t>KF-M09</t>
        </is>
      </c>
      <c r="D489" s="16" t="inlineStr">
        <is>
          <t>KF-M09-R0-P_baja</t>
        </is>
      </c>
      <c r="E489" s="16" t="inlineStr">
        <is>
          <t>B13-P_baja</t>
        </is>
      </c>
      <c r="F489" s="16" t="inlineStr">
        <is>
          <t>eta_t</t>
        </is>
      </c>
      <c r="G489" s="16" t="inlineStr">
        <is>
          <t>barrido</t>
        </is>
      </c>
      <c r="H489" s="16" t="n"/>
      <c r="I489" s="16" t="n">
        <v>0.4053008501701428</v>
      </c>
      <c r="J489" s="16" t="n">
        <v>0.9465979279445368</v>
      </c>
      <c r="K489" s="16" t="n">
        <v>100</v>
      </c>
      <c r="L489" s="16" t="n"/>
      <c r="M489" s="16" t="inlineStr">
        <is>
          <t>–</t>
        </is>
      </c>
      <c r="N489" s="16" t="inlineStr">
        <is>
          <t>no</t>
        </is>
      </c>
      <c r="O489" s="16" t="n"/>
    </row>
    <row r="490">
      <c r="A490" s="16" t="inlineStr">
        <is>
          <t>4.3</t>
        </is>
      </c>
      <c r="B490" s="16" t="inlineStr">
        <is>
          <t>4.3 P_baja</t>
        </is>
      </c>
      <c r="C490" s="16" t="inlineStr">
        <is>
          <t>KF-M09</t>
        </is>
      </c>
      <c r="D490" s="16" t="inlineStr">
        <is>
          <t>KF-M09-R0-P_baja</t>
        </is>
      </c>
      <c r="E490" s="16" t="inlineStr">
        <is>
          <t>B13-P_baja</t>
        </is>
      </c>
      <c r="F490" s="16" t="inlineStr">
        <is>
          <t>eta_p</t>
        </is>
      </c>
      <c r="G490" s="16" t="inlineStr">
        <is>
          <t>barrido</t>
        </is>
      </c>
      <c r="H490" s="16" t="n"/>
      <c r="I490" s="16" t="n">
        <v>0.4046920497690398</v>
      </c>
      <c r="J490" s="16" t="n">
        <v>0.9499464170241052</v>
      </c>
      <c r="K490" s="16" t="n">
        <v>100</v>
      </c>
      <c r="L490" s="16" t="n"/>
      <c r="M490" s="16" t="inlineStr">
        <is>
          <t>–</t>
        </is>
      </c>
      <c r="N490" s="16" t="inlineStr">
        <is>
          <t>no</t>
        </is>
      </c>
      <c r="O490" s="16" t="n"/>
    </row>
    <row r="491">
      <c r="A491" s="16" t="inlineStr">
        <is>
          <t>4.3</t>
        </is>
      </c>
      <c r="B491" s="16" t="inlineStr">
        <is>
          <t>4.3 P_baja</t>
        </is>
      </c>
      <c r="C491" s="16" t="inlineStr">
        <is>
          <t>KF-M09</t>
        </is>
      </c>
      <c r="D491" s="16" t="inlineStr">
        <is>
          <t>KF-M09-R0-P_baja</t>
        </is>
      </c>
      <c r="E491" s="16" t="inlineStr">
        <is>
          <t>B13-P_baja</t>
        </is>
      </c>
      <c r="F491" s="16" t="inlineStr">
        <is>
          <t>eps_hrvg</t>
        </is>
      </c>
      <c r="G491" s="16" t="inlineStr">
        <is>
          <t>barrido</t>
        </is>
      </c>
      <c r="H491" s="16" t="n"/>
      <c r="I491" s="16" t="n">
        <v>0.4011382983229966</v>
      </c>
      <c r="J491" s="16" t="n">
        <v>0.94753350500198</v>
      </c>
      <c r="K491" s="16" t="n">
        <v>100</v>
      </c>
      <c r="L491" s="16" t="n"/>
      <c r="M491" s="16" t="inlineStr">
        <is>
          <t>–</t>
        </is>
      </c>
      <c r="N491" s="16" t="inlineStr">
        <is>
          <t>no</t>
        </is>
      </c>
      <c r="O491" s="16" t="n"/>
    </row>
    <row r="492">
      <c r="A492" s="16" t="inlineStr">
        <is>
          <t>4.3</t>
        </is>
      </c>
      <c r="B492" s="16" t="inlineStr">
        <is>
          <t>4.3 P_baja</t>
        </is>
      </c>
      <c r="C492" s="16" t="inlineStr">
        <is>
          <t>KF-M09</t>
        </is>
      </c>
      <c r="D492" s="16" t="inlineStr">
        <is>
          <t>KF-M09-R0-P_baja</t>
        </is>
      </c>
      <c r="E492" s="16" t="inlineStr">
        <is>
          <t>B13-P_baja</t>
        </is>
      </c>
      <c r="F492" s="16" t="inlineStr">
        <is>
          <t>eps_reg</t>
        </is>
      </c>
      <c r="G492" s="16" t="inlineStr">
        <is>
          <t>barrido</t>
        </is>
      </c>
      <c r="H492" s="16" t="n"/>
      <c r="I492" s="16" t="n">
        <v>0.4012530298600718</v>
      </c>
      <c r="J492" s="16" t="n">
        <v>0.9459468483850734</v>
      </c>
      <c r="K492" s="16" t="n">
        <v>100</v>
      </c>
      <c r="L492" s="16" t="n"/>
      <c r="M492" s="16" t="inlineStr">
        <is>
          <t>–</t>
        </is>
      </c>
      <c r="N492" s="16" t="inlineStr">
        <is>
          <t>no</t>
        </is>
      </c>
      <c r="O492" s="16" t="n"/>
    </row>
    <row r="493">
      <c r="A493" s="16" t="inlineStr">
        <is>
          <t>4.3</t>
        </is>
      </c>
      <c r="B493" s="16" t="inlineStr">
        <is>
          <t>4.3 P_baja</t>
        </is>
      </c>
      <c r="C493" s="16" t="inlineStr">
        <is>
          <t>KF-M09</t>
        </is>
      </c>
      <c r="D493" s="16" t="inlineStr">
        <is>
          <t>KF-M09-R0-P_baja</t>
        </is>
      </c>
      <c r="E493" s="16" t="inlineStr">
        <is>
          <t>B13-P_baja</t>
        </is>
      </c>
      <c r="F493" s="16" t="inlineStr">
        <is>
          <t>eps_cond</t>
        </is>
      </c>
      <c r="G493" s="16" t="inlineStr">
        <is>
          <t>barrido</t>
        </is>
      </c>
      <c r="H493" s="16" t="n"/>
      <c r="I493" s="16" t="n">
        <v>0.402163729406795</v>
      </c>
      <c r="J493" s="16" t="n">
        <v>0.9446235784375048</v>
      </c>
      <c r="K493" s="16" t="n">
        <v>100</v>
      </c>
      <c r="L493" s="16" t="n"/>
      <c r="M493" s="16" t="inlineStr">
        <is>
          <t>–</t>
        </is>
      </c>
      <c r="N493" s="16" t="inlineStr">
        <is>
          <t>no</t>
        </is>
      </c>
      <c r="O493" s="16" t="n"/>
    </row>
    <row r="494">
      <c r="A494" s="16" t="inlineStr">
        <is>
          <t>4.3</t>
        </is>
      </c>
      <c r="B494" s="16" t="inlineStr">
        <is>
          <t>4.3 P_baja</t>
        </is>
      </c>
      <c r="C494" s="16" t="inlineStr">
        <is>
          <t>KF-M09</t>
        </is>
      </c>
      <c r="D494" s="16" t="inlineStr">
        <is>
          <t>KF-M09-R0-P_baja</t>
        </is>
      </c>
      <c r="E494" s="16" t="inlineStr">
        <is>
          <t>B13-P_baja</t>
        </is>
      </c>
      <c r="F494" s="16" t="inlineStr">
        <is>
          <t>T_amb_diseno</t>
        </is>
      </c>
      <c r="G494" s="16" t="inlineStr">
        <is>
          <t>barrido</t>
        </is>
      </c>
      <c r="H494" s="16" t="n"/>
      <c r="I494" s="16" t="n">
        <v>278.2008210025438</v>
      </c>
      <c r="J494" s="16" t="n">
        <v>303.3802561148677</v>
      </c>
      <c r="K494" s="16" t="n">
        <v>100</v>
      </c>
      <c r="L494" s="16" t="n"/>
      <c r="M494" s="16" t="inlineStr">
        <is>
          <t>K</t>
        </is>
      </c>
      <c r="N494" s="16" t="inlineStr">
        <is>
          <t>no</t>
        </is>
      </c>
      <c r="O494" s="16" t="n"/>
    </row>
    <row r="495">
      <c r="A495" s="16" t="inlineStr">
        <is>
          <t>4.3</t>
        </is>
      </c>
      <c r="B495" s="16" t="inlineStr">
        <is>
          <t>4.3 P_baja</t>
        </is>
      </c>
      <c r="C495" s="16" t="inlineStr">
        <is>
          <t>KF-M09</t>
        </is>
      </c>
      <c r="D495" s="16" t="inlineStr">
        <is>
          <t>KF-M09-R0-P_baja</t>
        </is>
      </c>
      <c r="E495" s="16" t="inlineStr">
        <is>
          <t>B13-P_baja</t>
        </is>
      </c>
      <c r="F495" s="16" t="inlineStr">
        <is>
          <t>motor</t>
        </is>
      </c>
      <c r="G495" s="16" t="inlineStr">
        <is>
          <t>fijo</t>
        </is>
      </c>
      <c r="H495" s="16" t="inlineStr">
        <is>
          <t>teqp</t>
        </is>
      </c>
      <c r="I495" s="16" t="n"/>
      <c r="J495" s="16" t="n"/>
      <c r="K495" s="16" t="n"/>
      <c r="L495" s="16" t="n"/>
      <c r="M495" s="16" t="inlineStr">
        <is>
          <t>–</t>
        </is>
      </c>
      <c r="N495" s="16" t="inlineStr">
        <is>
          <t>no</t>
        </is>
      </c>
      <c r="O495" s="16" t="n"/>
    </row>
    <row r="496">
      <c r="A496" s="16" t="inlineStr">
        <is>
          <t>4.3</t>
        </is>
      </c>
      <c r="B496" s="16" t="inlineStr">
        <is>
          <t>4.3 T_sumidero</t>
        </is>
      </c>
      <c r="C496" s="16" t="inlineStr">
        <is>
          <t>KF-M09</t>
        </is>
      </c>
      <c r="D496" s="16" t="inlineStr">
        <is>
          <t>KF-M09-R0-T_sumidero</t>
        </is>
      </c>
      <c r="E496" s="16" t="inlineStr">
        <is>
          <t>B13-T_sumidero</t>
        </is>
      </c>
      <c r="F496" s="16" t="inlineStr">
        <is>
          <t>T_fuente</t>
        </is>
      </c>
      <c r="G496" s="16" t="inlineStr">
        <is>
          <t>barrido</t>
        </is>
      </c>
      <c r="H496" s="16" t="n"/>
      <c r="I496" s="16" t="n">
        <v>380.1511720205765</v>
      </c>
      <c r="J496" s="16" t="n">
        <v>519.0528289028786</v>
      </c>
      <c r="K496" s="16" t="n">
        <v>100</v>
      </c>
      <c r="L496" s="16" t="n"/>
      <c r="M496" s="16" t="inlineStr">
        <is>
          <t>K</t>
        </is>
      </c>
      <c r="N496" s="16" t="inlineStr">
        <is>
          <t>no</t>
        </is>
      </c>
      <c r="O496" s="16" t="n"/>
    </row>
    <row r="497">
      <c r="A497" s="16" t="inlineStr">
        <is>
          <t>4.3</t>
        </is>
      </c>
      <c r="B497" s="16" t="inlineStr">
        <is>
          <t>4.3 T_sumidero</t>
        </is>
      </c>
      <c r="C497" s="16" t="inlineStr">
        <is>
          <t>KF-M09</t>
        </is>
      </c>
      <c r="D497" s="16" t="inlineStr">
        <is>
          <t>KF-M09-R0-T_sumidero</t>
        </is>
      </c>
      <c r="E497" s="16" t="inlineStr">
        <is>
          <t>B13-T_sumidero</t>
        </is>
      </c>
      <c r="F497" s="16" t="inlineStr">
        <is>
          <t>T_sumidero</t>
        </is>
      </c>
      <c r="G497" s="16" t="inlineStr">
        <is>
          <t>fijo</t>
        </is>
      </c>
      <c r="H497" s="16" t="inlineStr">
        <is>
          <t>300.032917</t>
        </is>
      </c>
      <c r="I497" s="16" t="n"/>
      <c r="J497" s="16" t="n"/>
      <c r="K497" s="16" t="n"/>
      <c r="L497" s="16" t="inlineStr">
        <is>
          <t>sí</t>
        </is>
      </c>
      <c r="M497" s="16" t="inlineStr">
        <is>
          <t>K</t>
        </is>
      </c>
      <c r="N497" s="16" t="inlineStr">
        <is>
          <t>no</t>
        </is>
      </c>
      <c r="O497" s="16" t="n"/>
    </row>
    <row r="498">
      <c r="A498" s="16" t="inlineStr">
        <is>
          <t>4.3</t>
        </is>
      </c>
      <c r="B498" s="16" t="inlineStr">
        <is>
          <t>4.3 T_sumidero</t>
        </is>
      </c>
      <c r="C498" s="16" t="inlineStr">
        <is>
          <t>KF-M09</t>
        </is>
      </c>
      <c r="D498" s="16" t="inlineStr">
        <is>
          <t>KF-M09-R0-T_sumidero</t>
        </is>
      </c>
      <c r="E498" s="16" t="inlineStr">
        <is>
          <t>B13-T_sumidero</t>
        </is>
      </c>
      <c r="F498" s="16" t="inlineStr">
        <is>
          <t>P_alta</t>
        </is>
      </c>
      <c r="G498" s="16" t="inlineStr">
        <is>
          <t>barrido</t>
        </is>
      </c>
      <c r="H498" s="16" t="n"/>
      <c r="I498" s="16" t="n">
        <v>2007.345612663573</v>
      </c>
      <c r="J498" s="16" t="n">
        <v>4982.754219215518</v>
      </c>
      <c r="K498" s="16" t="n">
        <v>100</v>
      </c>
      <c r="L498" s="16" t="n"/>
      <c r="M498" s="16" t="inlineStr">
        <is>
          <t>kPa</t>
        </is>
      </c>
      <c r="N498" s="16" t="inlineStr">
        <is>
          <t>no</t>
        </is>
      </c>
      <c r="O498" s="16" t="n"/>
    </row>
    <row r="499">
      <c r="A499" s="16" t="inlineStr">
        <is>
          <t>4.3</t>
        </is>
      </c>
      <c r="B499" s="16" t="inlineStr">
        <is>
          <t>4.3 T_sumidero</t>
        </is>
      </c>
      <c r="C499" s="16" t="inlineStr">
        <is>
          <t>KF-M09</t>
        </is>
      </c>
      <c r="D499" s="16" t="inlineStr">
        <is>
          <t>KF-M09-R0-T_sumidero</t>
        </is>
      </c>
      <c r="E499" s="16" t="inlineStr">
        <is>
          <t>B13-T_sumidero</t>
        </is>
      </c>
      <c r="F499" s="16" t="inlineStr">
        <is>
          <t>P_baja</t>
        </is>
      </c>
      <c r="G499" s="16" t="inlineStr">
        <is>
          <t>barrido</t>
        </is>
      </c>
      <c r="H499" s="16" t="n"/>
      <c r="I499" s="16" t="n">
        <v>306.3404451549019</v>
      </c>
      <c r="J499" s="16" t="n">
        <v>1990.699241671288</v>
      </c>
      <c r="K499" s="16" t="n">
        <v>100</v>
      </c>
      <c r="L499" s="16" t="n"/>
      <c r="M499" s="16" t="inlineStr">
        <is>
          <t>kPa</t>
        </is>
      </c>
      <c r="N499" s="16" t="inlineStr">
        <is>
          <t>no</t>
        </is>
      </c>
      <c r="O499" s="16" t="n"/>
    </row>
    <row r="500">
      <c r="A500" s="16" t="inlineStr">
        <is>
          <t>4.3</t>
        </is>
      </c>
      <c r="B500" s="16" t="inlineStr">
        <is>
          <t>4.3 T_sumidero</t>
        </is>
      </c>
      <c r="C500" s="16" t="inlineStr">
        <is>
          <t>KF-M09</t>
        </is>
      </c>
      <c r="D500" s="16" t="inlineStr">
        <is>
          <t>KF-M09-R0-T_sumidero</t>
        </is>
      </c>
      <c r="E500" s="16" t="inlineStr">
        <is>
          <t>B13-T_sumidero</t>
        </is>
      </c>
      <c r="F500" s="16" t="inlineStr">
        <is>
          <t>x_b</t>
        </is>
      </c>
      <c r="G500" s="16" t="inlineStr">
        <is>
          <t>barrido</t>
        </is>
      </c>
      <c r="H500" s="16" t="n"/>
      <c r="I500" s="16" t="n">
        <v>0.5025397381119595</v>
      </c>
      <c r="J500" s="16" t="n">
        <v>0.8470616641257585</v>
      </c>
      <c r="K500" s="16" t="n">
        <v>100</v>
      </c>
      <c r="L500" s="16" t="n"/>
      <c r="M500" s="16" t="inlineStr">
        <is>
          <t>–</t>
        </is>
      </c>
      <c r="N500" s="16" t="inlineStr">
        <is>
          <t>no</t>
        </is>
      </c>
      <c r="O500" s="16" t="n"/>
    </row>
    <row r="501">
      <c r="A501" s="16" t="inlineStr">
        <is>
          <t>4.3</t>
        </is>
      </c>
      <c r="B501" s="16" t="inlineStr">
        <is>
          <t>4.3 T_sumidero</t>
        </is>
      </c>
      <c r="C501" s="16" t="inlineStr">
        <is>
          <t>KF-M09</t>
        </is>
      </c>
      <c r="D501" s="16" t="inlineStr">
        <is>
          <t>KF-M09-R0-T_sumidero</t>
        </is>
      </c>
      <c r="E501" s="16" t="inlineStr">
        <is>
          <t>B13-T_sumidero</t>
        </is>
      </c>
      <c r="F501" s="16" t="inlineStr">
        <is>
          <t>m_b</t>
        </is>
      </c>
      <c r="G501" s="16" t="inlineStr">
        <is>
          <t>fijo</t>
        </is>
      </c>
      <c r="H501" s="16" t="inlineStr">
        <is>
          <t>1.0</t>
        </is>
      </c>
      <c r="I501" s="16" t="n"/>
      <c r="J501" s="16" t="n"/>
      <c r="K501" s="16" t="n"/>
      <c r="L501" s="16" t="inlineStr">
        <is>
          <t>sí</t>
        </is>
      </c>
      <c r="M501" s="16" t="inlineStr">
        <is>
          <t>kg/s</t>
        </is>
      </c>
      <c r="N501" s="16" t="inlineStr">
        <is>
          <t>no</t>
        </is>
      </c>
      <c r="O501" s="16" t="n"/>
    </row>
    <row r="502">
      <c r="A502" s="16" t="inlineStr">
        <is>
          <t>4.3</t>
        </is>
      </c>
      <c r="B502" s="16" t="inlineStr">
        <is>
          <t>4.3 T_sumidero</t>
        </is>
      </c>
      <c r="C502" s="16" t="inlineStr">
        <is>
          <t>KF-M09</t>
        </is>
      </c>
      <c r="D502" s="16" t="inlineStr">
        <is>
          <t>KF-M09-R0-T_sumidero</t>
        </is>
      </c>
      <c r="E502" s="16" t="inlineStr">
        <is>
          <t>B13-T_sumidero</t>
        </is>
      </c>
      <c r="F502" s="16" t="inlineStr">
        <is>
          <t>eta_t</t>
        </is>
      </c>
      <c r="G502" s="16" t="inlineStr">
        <is>
          <t>barrido</t>
        </is>
      </c>
      <c r="H502" s="16" t="n"/>
      <c r="I502" s="16" t="n">
        <v>0.4054753973501306</v>
      </c>
      <c r="J502" s="16" t="n">
        <v>0.945276304183836</v>
      </c>
      <c r="K502" s="16" t="n">
        <v>100</v>
      </c>
      <c r="L502" s="16" t="n"/>
      <c r="M502" s="16" t="inlineStr">
        <is>
          <t>–</t>
        </is>
      </c>
      <c r="N502" s="16" t="inlineStr">
        <is>
          <t>no</t>
        </is>
      </c>
      <c r="O502" s="16" t="n"/>
    </row>
    <row r="503">
      <c r="A503" s="16" t="inlineStr">
        <is>
          <t>4.3</t>
        </is>
      </c>
      <c r="B503" s="16" t="inlineStr">
        <is>
          <t>4.3 T_sumidero</t>
        </is>
      </c>
      <c r="C503" s="16" t="inlineStr">
        <is>
          <t>KF-M09</t>
        </is>
      </c>
      <c r="D503" s="16" t="inlineStr">
        <is>
          <t>KF-M09-R0-T_sumidero</t>
        </is>
      </c>
      <c r="E503" s="16" t="inlineStr">
        <is>
          <t>B13-T_sumidero</t>
        </is>
      </c>
      <c r="F503" s="16" t="inlineStr">
        <is>
          <t>eta_p</t>
        </is>
      </c>
      <c r="G503" s="16" t="inlineStr">
        <is>
          <t>barrido</t>
        </is>
      </c>
      <c r="H503" s="16" t="n"/>
      <c r="I503" s="16" t="n">
        <v>0.4002281343324572</v>
      </c>
      <c r="J503" s="16" t="n">
        <v>0.9449888894511466</v>
      </c>
      <c r="K503" s="16" t="n">
        <v>100</v>
      </c>
      <c r="L503" s="16" t="n"/>
      <c r="M503" s="16" t="inlineStr">
        <is>
          <t>–</t>
        </is>
      </c>
      <c r="N503" s="16" t="inlineStr">
        <is>
          <t>no</t>
        </is>
      </c>
      <c r="O503" s="16" t="n"/>
    </row>
    <row r="504">
      <c r="A504" s="16" t="inlineStr">
        <is>
          <t>4.3</t>
        </is>
      </c>
      <c r="B504" s="16" t="inlineStr">
        <is>
          <t>4.3 T_sumidero</t>
        </is>
      </c>
      <c r="C504" s="16" t="inlineStr">
        <is>
          <t>KF-M09</t>
        </is>
      </c>
      <c r="D504" s="16" t="inlineStr">
        <is>
          <t>KF-M09-R0-T_sumidero</t>
        </is>
      </c>
      <c r="E504" s="16" t="inlineStr">
        <is>
          <t>B13-T_sumidero</t>
        </is>
      </c>
      <c r="F504" s="16" t="inlineStr">
        <is>
          <t>eps_hrvg</t>
        </is>
      </c>
      <c r="G504" s="16" t="inlineStr">
        <is>
          <t>barrido</t>
        </is>
      </c>
      <c r="H504" s="16" t="n"/>
      <c r="I504" s="16" t="n">
        <v>0.4036630520888638</v>
      </c>
      <c r="J504" s="16" t="n">
        <v>0.9478279287630884</v>
      </c>
      <c r="K504" s="16" t="n">
        <v>100</v>
      </c>
      <c r="L504" s="16" t="n"/>
      <c r="M504" s="16" t="inlineStr">
        <is>
          <t>–</t>
        </is>
      </c>
      <c r="N504" s="16" t="inlineStr">
        <is>
          <t>no</t>
        </is>
      </c>
      <c r="O504" s="16" t="n"/>
    </row>
    <row r="505">
      <c r="A505" s="16" t="inlineStr">
        <is>
          <t>4.3</t>
        </is>
      </c>
      <c r="B505" s="16" t="inlineStr">
        <is>
          <t>4.3 T_sumidero</t>
        </is>
      </c>
      <c r="C505" s="16" t="inlineStr">
        <is>
          <t>KF-M09</t>
        </is>
      </c>
      <c r="D505" s="16" t="inlineStr">
        <is>
          <t>KF-M09-R0-T_sumidero</t>
        </is>
      </c>
      <c r="E505" s="16" t="inlineStr">
        <is>
          <t>B13-T_sumidero</t>
        </is>
      </c>
      <c r="F505" s="16" t="inlineStr">
        <is>
          <t>eps_reg</t>
        </is>
      </c>
      <c r="G505" s="16" t="inlineStr">
        <is>
          <t>barrido</t>
        </is>
      </c>
      <c r="H505" s="16" t="n"/>
      <c r="I505" s="16" t="n">
        <v>0.4029380910019863</v>
      </c>
      <c r="J505" s="16" t="n">
        <v>0.9483618322094696</v>
      </c>
      <c r="K505" s="16" t="n">
        <v>100</v>
      </c>
      <c r="L505" s="16" t="n"/>
      <c r="M505" s="16" t="inlineStr">
        <is>
          <t>–</t>
        </is>
      </c>
      <c r="N505" s="16" t="inlineStr">
        <is>
          <t>no</t>
        </is>
      </c>
      <c r="O505" s="16" t="n"/>
    </row>
    <row r="506">
      <c r="A506" s="16" t="inlineStr">
        <is>
          <t>4.3</t>
        </is>
      </c>
      <c r="B506" s="16" t="inlineStr">
        <is>
          <t>4.3 T_sumidero</t>
        </is>
      </c>
      <c r="C506" s="16" t="inlineStr">
        <is>
          <t>KF-M09</t>
        </is>
      </c>
      <c r="D506" s="16" t="inlineStr">
        <is>
          <t>KF-M09-R0-T_sumidero</t>
        </is>
      </c>
      <c r="E506" s="16" t="inlineStr">
        <is>
          <t>B13-T_sumidero</t>
        </is>
      </c>
      <c r="F506" s="16" t="inlineStr">
        <is>
          <t>eps_cond</t>
        </is>
      </c>
      <c r="G506" s="16" t="inlineStr">
        <is>
          <t>barrido</t>
        </is>
      </c>
      <c r="H506" s="16" t="n"/>
      <c r="I506" s="16" t="n">
        <v>0.4004991886616215</v>
      </c>
      <c r="J506" s="16" t="n">
        <v>0.9460929416603316</v>
      </c>
      <c r="K506" s="16" t="n">
        <v>100</v>
      </c>
      <c r="L506" s="16" t="n"/>
      <c r="M506" s="16" t="inlineStr">
        <is>
          <t>–</t>
        </is>
      </c>
      <c r="N506" s="16" t="inlineStr">
        <is>
          <t>no</t>
        </is>
      </c>
      <c r="O506" s="16" t="n"/>
    </row>
    <row r="507">
      <c r="A507" s="16" t="inlineStr">
        <is>
          <t>4.3</t>
        </is>
      </c>
      <c r="B507" s="16" t="inlineStr">
        <is>
          <t>4.3 T_sumidero</t>
        </is>
      </c>
      <c r="C507" s="16" t="inlineStr">
        <is>
          <t>KF-M09</t>
        </is>
      </c>
      <c r="D507" s="16" t="inlineStr">
        <is>
          <t>KF-M09-R0-T_sumidero</t>
        </is>
      </c>
      <c r="E507" s="16" t="inlineStr">
        <is>
          <t>B13-T_sumidero</t>
        </is>
      </c>
      <c r="F507" s="16" t="inlineStr">
        <is>
          <t>T_amb_diseno</t>
        </is>
      </c>
      <c r="G507" s="16" t="inlineStr">
        <is>
          <t>fijo</t>
        </is>
      </c>
      <c r="H507" s="16" t="inlineStr">
        <is>
          <t>300.032917</t>
        </is>
      </c>
      <c r="I507" s="16" t="n"/>
      <c r="J507" s="16" t="n"/>
      <c r="K507" s="16" t="n"/>
      <c r="L507" s="16" t="inlineStr">
        <is>
          <t>sí</t>
        </is>
      </c>
      <c r="M507" s="16" t="inlineStr">
        <is>
          <t>K</t>
        </is>
      </c>
      <c r="N507" s="16" t="inlineStr">
        <is>
          <t>no</t>
        </is>
      </c>
      <c r="O507" s="16" t="n"/>
    </row>
    <row r="508">
      <c r="A508" s="16" t="inlineStr">
        <is>
          <t>4.3</t>
        </is>
      </c>
      <c r="B508" s="16" t="inlineStr">
        <is>
          <t>4.3 T_sumidero</t>
        </is>
      </c>
      <c r="C508" s="16" t="inlineStr">
        <is>
          <t>KF-M09</t>
        </is>
      </c>
      <c r="D508" s="16" t="inlineStr">
        <is>
          <t>KF-M09-R0-T_sumidero</t>
        </is>
      </c>
      <c r="E508" s="16" t="inlineStr">
        <is>
          <t>B13-T_sumidero</t>
        </is>
      </c>
      <c r="F508" s="16" t="inlineStr">
        <is>
          <t>motor</t>
        </is>
      </c>
      <c r="G508" s="16" t="inlineStr">
        <is>
          <t>fijo</t>
        </is>
      </c>
      <c r="H508" s="16" t="inlineStr">
        <is>
          <t>teqp</t>
        </is>
      </c>
      <c r="I508" s="16" t="n"/>
      <c r="J508" s="16" t="n"/>
      <c r="K508" s="16" t="n"/>
      <c r="L508" s="16" t="n"/>
      <c r="M508" s="16" t="inlineStr">
        <is>
          <t>–</t>
        </is>
      </c>
      <c r="N508" s="16" t="inlineStr">
        <is>
          <t>no</t>
        </is>
      </c>
      <c r="O508" s="16" t="n"/>
    </row>
    <row r="509">
      <c r="A509" s="16" t="inlineStr">
        <is>
          <t>4.3</t>
        </is>
      </c>
      <c r="B509" s="16" t="inlineStr">
        <is>
          <t>4.3 x_b</t>
        </is>
      </c>
      <c r="C509" s="16" t="inlineStr">
        <is>
          <t>KF-M09</t>
        </is>
      </c>
      <c r="D509" s="16" t="inlineStr">
        <is>
          <t>KF-M09-R0-x_b</t>
        </is>
      </c>
      <c r="E509" s="16" t="inlineStr">
        <is>
          <t>B13-x_b</t>
        </is>
      </c>
      <c r="F509" s="16" t="inlineStr">
        <is>
          <t>T_fuente</t>
        </is>
      </c>
      <c r="G509" s="16" t="inlineStr">
        <is>
          <t>barrido</t>
        </is>
      </c>
      <c r="H509" s="16" t="n"/>
      <c r="I509" s="16" t="n">
        <v>380.9623140967394</v>
      </c>
      <c r="J509" s="16" t="n">
        <v>519.5895422483876</v>
      </c>
      <c r="K509" s="16" t="n">
        <v>100</v>
      </c>
      <c r="L509" s="16" t="n"/>
      <c r="M509" s="16" t="inlineStr">
        <is>
          <t>K</t>
        </is>
      </c>
      <c r="N509" s="16" t="inlineStr">
        <is>
          <t>no</t>
        </is>
      </c>
      <c r="O509" s="16" t="n"/>
    </row>
    <row r="510">
      <c r="A510" s="16" t="inlineStr">
        <is>
          <t>4.3</t>
        </is>
      </c>
      <c r="B510" s="16" t="inlineStr">
        <is>
          <t>4.3 x_b</t>
        </is>
      </c>
      <c r="C510" s="16" t="inlineStr">
        <is>
          <t>KF-M09</t>
        </is>
      </c>
      <c r="D510" s="16" t="inlineStr">
        <is>
          <t>KF-M09-R0-x_b</t>
        </is>
      </c>
      <c r="E510" s="16" t="inlineStr">
        <is>
          <t>B13-x_b</t>
        </is>
      </c>
      <c r="F510" s="16" t="inlineStr">
        <is>
          <t>T_sumidero</t>
        </is>
      </c>
      <c r="G510" s="16" t="inlineStr">
        <is>
          <t>barrido</t>
        </is>
      </c>
      <c r="H510" s="16" t="n"/>
      <c r="I510" s="16" t="n">
        <v>278.161071339338</v>
      </c>
      <c r="J510" s="16" t="n">
        <v>303.4209104290609</v>
      </c>
      <c r="K510" s="16" t="n">
        <v>100</v>
      </c>
      <c r="L510" s="16" t="n"/>
      <c r="M510" s="16" t="inlineStr">
        <is>
          <t>K</t>
        </is>
      </c>
      <c r="N510" s="16" t="inlineStr">
        <is>
          <t>no</t>
        </is>
      </c>
      <c r="O510" s="16" t="n"/>
    </row>
    <row r="511">
      <c r="A511" s="16" t="inlineStr">
        <is>
          <t>4.3</t>
        </is>
      </c>
      <c r="B511" s="16" t="inlineStr">
        <is>
          <t>4.3 x_b</t>
        </is>
      </c>
      <c r="C511" s="16" t="inlineStr">
        <is>
          <t>KF-M09</t>
        </is>
      </c>
      <c r="D511" s="16" t="inlineStr">
        <is>
          <t>KF-M09-R0-x_b</t>
        </is>
      </c>
      <c r="E511" s="16" t="inlineStr">
        <is>
          <t>B13-x_b</t>
        </is>
      </c>
      <c r="F511" s="16" t="inlineStr">
        <is>
          <t>P_alta</t>
        </is>
      </c>
      <c r="G511" s="16" t="inlineStr">
        <is>
          <t>barrido</t>
        </is>
      </c>
      <c r="H511" s="16" t="n"/>
      <c r="I511" s="16" t="n">
        <v>2022.351969408076</v>
      </c>
      <c r="J511" s="16" t="n">
        <v>4977.250296854674</v>
      </c>
      <c r="K511" s="16" t="n">
        <v>100</v>
      </c>
      <c r="L511" s="16" t="n"/>
      <c r="M511" s="16" t="inlineStr">
        <is>
          <t>kPa</t>
        </is>
      </c>
      <c r="N511" s="16" t="inlineStr">
        <is>
          <t>no</t>
        </is>
      </c>
      <c r="O511" s="16" t="n"/>
    </row>
    <row r="512">
      <c r="A512" s="16" t="inlineStr">
        <is>
          <t>4.3</t>
        </is>
      </c>
      <c r="B512" s="16" t="inlineStr">
        <is>
          <t>4.3 x_b</t>
        </is>
      </c>
      <c r="C512" s="16" t="inlineStr">
        <is>
          <t>KF-M09</t>
        </is>
      </c>
      <c r="D512" s="16" t="inlineStr">
        <is>
          <t>KF-M09-R0-x_b</t>
        </is>
      </c>
      <c r="E512" s="16" t="inlineStr">
        <is>
          <t>B13-x_b</t>
        </is>
      </c>
      <c r="F512" s="16" t="inlineStr">
        <is>
          <t>P_baja</t>
        </is>
      </c>
      <c r="G512" s="16" t="inlineStr">
        <is>
          <t>barrido</t>
        </is>
      </c>
      <c r="H512" s="16" t="n"/>
      <c r="I512" s="16" t="n">
        <v>316.7837165229907</v>
      </c>
      <c r="J512" s="16" t="n">
        <v>1998.763234628464</v>
      </c>
      <c r="K512" s="16" t="n">
        <v>100</v>
      </c>
      <c r="L512" s="16" t="n"/>
      <c r="M512" s="16" t="inlineStr">
        <is>
          <t>kPa</t>
        </is>
      </c>
      <c r="N512" s="16" t="inlineStr">
        <is>
          <t>no</t>
        </is>
      </c>
      <c r="O512" s="16" t="n"/>
    </row>
    <row r="513">
      <c r="A513" s="16" t="inlineStr">
        <is>
          <t>4.3</t>
        </is>
      </c>
      <c r="B513" s="16" t="inlineStr">
        <is>
          <t>4.3 x_b</t>
        </is>
      </c>
      <c r="C513" s="16" t="inlineStr">
        <is>
          <t>KF-M09</t>
        </is>
      </c>
      <c r="D513" s="16" t="inlineStr">
        <is>
          <t>KF-M09-R0-x_b</t>
        </is>
      </c>
      <c r="E513" s="16" t="inlineStr">
        <is>
          <t>B13-x_b</t>
        </is>
      </c>
      <c r="F513" s="16" t="inlineStr">
        <is>
          <t>x_b</t>
        </is>
      </c>
      <c r="G513" s="16" t="inlineStr">
        <is>
          <t>fijo</t>
        </is>
      </c>
      <c r="H513" s="16" t="inlineStr">
        <is>
          <t>0.5</t>
        </is>
      </c>
      <c r="I513" s="16" t="n"/>
      <c r="J513" s="16" t="n"/>
      <c r="K513" s="16" t="n"/>
      <c r="L513" s="16" t="inlineStr">
        <is>
          <t>sí</t>
        </is>
      </c>
      <c r="M513" s="16" t="inlineStr">
        <is>
          <t>–</t>
        </is>
      </c>
      <c r="N513" s="16" t="inlineStr">
        <is>
          <t>no</t>
        </is>
      </c>
      <c r="O513" s="16" t="n"/>
    </row>
    <row r="514">
      <c r="A514" s="16" t="inlineStr">
        <is>
          <t>4.3</t>
        </is>
      </c>
      <c r="B514" s="16" t="inlineStr">
        <is>
          <t>4.3 x_b</t>
        </is>
      </c>
      <c r="C514" s="16" t="inlineStr">
        <is>
          <t>KF-M09</t>
        </is>
      </c>
      <c r="D514" s="16" t="inlineStr">
        <is>
          <t>KF-M09-R0-x_b</t>
        </is>
      </c>
      <c r="E514" s="16" t="inlineStr">
        <is>
          <t>B13-x_b</t>
        </is>
      </c>
      <c r="F514" s="16" t="inlineStr">
        <is>
          <t>m_b</t>
        </is>
      </c>
      <c r="G514" s="16" t="inlineStr">
        <is>
          <t>fijo</t>
        </is>
      </c>
      <c r="H514" s="16" t="inlineStr">
        <is>
          <t>1.0</t>
        </is>
      </c>
      <c r="I514" s="16" t="n"/>
      <c r="J514" s="16" t="n"/>
      <c r="K514" s="16" t="n"/>
      <c r="L514" s="16" t="inlineStr">
        <is>
          <t>sí</t>
        </is>
      </c>
      <c r="M514" s="16" t="inlineStr">
        <is>
          <t>kg/s</t>
        </is>
      </c>
      <c r="N514" s="16" t="inlineStr">
        <is>
          <t>no</t>
        </is>
      </c>
      <c r="O514" s="16" t="n"/>
    </row>
    <row r="515">
      <c r="A515" s="16" t="inlineStr">
        <is>
          <t>4.3</t>
        </is>
      </c>
      <c r="B515" s="16" t="inlineStr">
        <is>
          <t>4.3 x_b</t>
        </is>
      </c>
      <c r="C515" s="16" t="inlineStr">
        <is>
          <t>KF-M09</t>
        </is>
      </c>
      <c r="D515" s="16" t="inlineStr">
        <is>
          <t>KF-M09-R0-x_b</t>
        </is>
      </c>
      <c r="E515" s="16" t="inlineStr">
        <is>
          <t>B13-x_b</t>
        </is>
      </c>
      <c r="F515" s="16" t="inlineStr">
        <is>
          <t>eta_t</t>
        </is>
      </c>
      <c r="G515" s="16" t="inlineStr">
        <is>
          <t>barrido</t>
        </is>
      </c>
      <c r="H515" s="16" t="n"/>
      <c r="I515" s="16" t="n">
        <v>0.4015449601271692</v>
      </c>
      <c r="J515" s="16" t="n">
        <v>0.9495608774593182</v>
      </c>
      <c r="K515" s="16" t="n">
        <v>100</v>
      </c>
      <c r="L515" s="16" t="n"/>
      <c r="M515" s="16" t="inlineStr">
        <is>
          <t>–</t>
        </is>
      </c>
      <c r="N515" s="16" t="inlineStr">
        <is>
          <t>no</t>
        </is>
      </c>
      <c r="O515" s="16" t="n"/>
    </row>
    <row r="516">
      <c r="A516" s="16" t="inlineStr">
        <is>
          <t>4.3</t>
        </is>
      </c>
      <c r="B516" s="16" t="inlineStr">
        <is>
          <t>4.3 x_b</t>
        </is>
      </c>
      <c r="C516" s="16" t="inlineStr">
        <is>
          <t>KF-M09</t>
        </is>
      </c>
      <c r="D516" s="16" t="inlineStr">
        <is>
          <t>KF-M09-R0-x_b</t>
        </is>
      </c>
      <c r="E516" s="16" t="inlineStr">
        <is>
          <t>B13-x_b</t>
        </is>
      </c>
      <c r="F516" s="16" t="inlineStr">
        <is>
          <t>eta_p</t>
        </is>
      </c>
      <c r="G516" s="16" t="inlineStr">
        <is>
          <t>barrido</t>
        </is>
      </c>
      <c r="H516" s="16" t="n"/>
      <c r="I516" s="16" t="n">
        <v>0.4017238255261008</v>
      </c>
      <c r="J516" s="16" t="n">
        <v>0.945896528674685</v>
      </c>
      <c r="K516" s="16" t="n">
        <v>100</v>
      </c>
      <c r="L516" s="16" t="n"/>
      <c r="M516" s="16" t="inlineStr">
        <is>
          <t>–</t>
        </is>
      </c>
      <c r="N516" s="16" t="inlineStr">
        <is>
          <t>no</t>
        </is>
      </c>
      <c r="O516" s="16" t="n"/>
    </row>
    <row r="517">
      <c r="A517" s="16" t="inlineStr">
        <is>
          <t>4.3</t>
        </is>
      </c>
      <c r="B517" s="16" t="inlineStr">
        <is>
          <t>4.3 x_b</t>
        </is>
      </c>
      <c r="C517" s="16" t="inlineStr">
        <is>
          <t>KF-M09</t>
        </is>
      </c>
      <c r="D517" s="16" t="inlineStr">
        <is>
          <t>KF-M09-R0-x_b</t>
        </is>
      </c>
      <c r="E517" s="16" t="inlineStr">
        <is>
          <t>B13-x_b</t>
        </is>
      </c>
      <c r="F517" s="16" t="inlineStr">
        <is>
          <t>eps_hrvg</t>
        </is>
      </c>
      <c r="G517" s="16" t="inlineStr">
        <is>
          <t>barrido</t>
        </is>
      </c>
      <c r="H517" s="16" t="n"/>
      <c r="I517" s="16" t="n">
        <v>0.4015985535588921</v>
      </c>
      <c r="J517" s="16" t="n">
        <v>0.9496128333090595</v>
      </c>
      <c r="K517" s="16" t="n">
        <v>100</v>
      </c>
      <c r="L517" s="16" t="n"/>
      <c r="M517" s="16" t="inlineStr">
        <is>
          <t>–</t>
        </is>
      </c>
      <c r="N517" s="16" t="inlineStr">
        <is>
          <t>no</t>
        </is>
      </c>
      <c r="O517" s="16" t="n"/>
    </row>
    <row r="518">
      <c r="A518" s="16" t="inlineStr">
        <is>
          <t>4.3</t>
        </is>
      </c>
      <c r="B518" s="16" t="inlineStr">
        <is>
          <t>4.3 x_b</t>
        </is>
      </c>
      <c r="C518" s="16" t="inlineStr">
        <is>
          <t>KF-M09</t>
        </is>
      </c>
      <c r="D518" s="16" t="inlineStr">
        <is>
          <t>KF-M09-R0-x_b</t>
        </is>
      </c>
      <c r="E518" s="16" t="inlineStr">
        <is>
          <t>B13-x_b</t>
        </is>
      </c>
      <c r="F518" s="16" t="inlineStr">
        <is>
          <t>eps_reg</t>
        </is>
      </c>
      <c r="G518" s="16" t="inlineStr">
        <is>
          <t>barrido</t>
        </is>
      </c>
      <c r="H518" s="16" t="n"/>
      <c r="I518" s="16" t="n">
        <v>0.4024286595266871</v>
      </c>
      <c r="J518" s="16" t="n">
        <v>0.9447975454448873</v>
      </c>
      <c r="K518" s="16" t="n">
        <v>100</v>
      </c>
      <c r="L518" s="16" t="n"/>
      <c r="M518" s="16" t="inlineStr">
        <is>
          <t>–</t>
        </is>
      </c>
      <c r="N518" s="16" t="inlineStr">
        <is>
          <t>no</t>
        </is>
      </c>
      <c r="O518" s="16" t="n"/>
    </row>
    <row r="519">
      <c r="A519" s="16" t="inlineStr">
        <is>
          <t>4.3</t>
        </is>
      </c>
      <c r="B519" s="16" t="inlineStr">
        <is>
          <t>4.3 x_b</t>
        </is>
      </c>
      <c r="C519" s="16" t="inlineStr">
        <is>
          <t>KF-M09</t>
        </is>
      </c>
      <c r="D519" s="16" t="inlineStr">
        <is>
          <t>KF-M09-R0-x_b</t>
        </is>
      </c>
      <c r="E519" s="16" t="inlineStr">
        <is>
          <t>B13-x_b</t>
        </is>
      </c>
      <c r="F519" s="16" t="inlineStr">
        <is>
          <t>eps_cond</t>
        </is>
      </c>
      <c r="G519" s="16" t="inlineStr">
        <is>
          <t>barrido</t>
        </is>
      </c>
      <c r="H519" s="16" t="n"/>
      <c r="I519" s="16" t="n">
        <v>0.4039762184144703</v>
      </c>
      <c r="J519" s="16" t="n">
        <v>0.9476932087842956</v>
      </c>
      <c r="K519" s="16" t="n">
        <v>100</v>
      </c>
      <c r="L519" s="16" t="n"/>
      <c r="M519" s="16" t="inlineStr">
        <is>
          <t>–</t>
        </is>
      </c>
      <c r="N519" s="16" t="inlineStr">
        <is>
          <t>no</t>
        </is>
      </c>
      <c r="O519" s="16" t="n"/>
    </row>
    <row r="520">
      <c r="A520" s="16" t="inlineStr">
        <is>
          <t>4.3</t>
        </is>
      </c>
      <c r="B520" s="16" t="inlineStr">
        <is>
          <t>4.3 x_b</t>
        </is>
      </c>
      <c r="C520" s="16" t="inlineStr">
        <is>
          <t>KF-M09</t>
        </is>
      </c>
      <c r="D520" s="16" t="inlineStr">
        <is>
          <t>KF-M09-R0-x_b</t>
        </is>
      </c>
      <c r="E520" s="16" t="inlineStr">
        <is>
          <t>B13-x_b</t>
        </is>
      </c>
      <c r="F520" s="16" t="inlineStr">
        <is>
          <t>T_amb_diseno</t>
        </is>
      </c>
      <c r="G520" s="16" t="inlineStr">
        <is>
          <t>barrido</t>
        </is>
      </c>
      <c r="H520" s="16" t="n"/>
      <c r="I520" s="16" t="n">
        <v>278.161071339338</v>
      </c>
      <c r="J520" s="16" t="n">
        <v>303.4209104290609</v>
      </c>
      <c r="K520" s="16" t="n">
        <v>99</v>
      </c>
      <c r="L520" s="16" t="n"/>
      <c r="M520" s="16" t="inlineStr">
        <is>
          <t>K</t>
        </is>
      </c>
      <c r="N520" s="16" t="inlineStr">
        <is>
          <t>no</t>
        </is>
      </c>
      <c r="O520" s="16" t="n"/>
    </row>
    <row r="521">
      <c r="A521" s="16" t="inlineStr">
        <is>
          <t>4.3</t>
        </is>
      </c>
      <c r="B521" s="16" t="inlineStr">
        <is>
          <t>4.3 x_b</t>
        </is>
      </c>
      <c r="C521" s="16" t="inlineStr">
        <is>
          <t>KF-M09</t>
        </is>
      </c>
      <c r="D521" s="16" t="inlineStr">
        <is>
          <t>KF-M09-R0-x_b</t>
        </is>
      </c>
      <c r="E521" s="16" t="inlineStr">
        <is>
          <t>B13-x_b</t>
        </is>
      </c>
      <c r="F521" s="16" t="inlineStr">
        <is>
          <t>motor</t>
        </is>
      </c>
      <c r="G521" s="16" t="inlineStr">
        <is>
          <t>fijo</t>
        </is>
      </c>
      <c r="H521" s="16" t="inlineStr">
        <is>
          <t>teqp</t>
        </is>
      </c>
      <c r="I521" s="16" t="n"/>
      <c r="J521" s="16" t="n"/>
      <c r="K521" s="16" t="n"/>
      <c r="L521" s="16" t="n"/>
      <c r="M521" s="16" t="inlineStr">
        <is>
          <t>–</t>
        </is>
      </c>
      <c r="N521" s="16" t="inlineStr">
        <is>
          <t>no</t>
        </is>
      </c>
      <c r="O521" s="16" t="n"/>
    </row>
    <row r="522">
      <c r="A522" s="16" t="inlineStr">
        <is>
          <t>4.3</t>
        </is>
      </c>
      <c r="B522" s="16" t="inlineStr">
        <is>
          <t>4.3 x_b+T_fuente</t>
        </is>
      </c>
      <c r="C522" s="16" t="inlineStr">
        <is>
          <t>KF-M09</t>
        </is>
      </c>
      <c r="D522" s="16" t="inlineStr">
        <is>
          <t>KF-M09-R1-x_b+T_fuente</t>
        </is>
      </c>
      <c r="E522" s="16" t="inlineStr">
        <is>
          <t>B13-x_b+T_fuente</t>
        </is>
      </c>
      <c r="F522" s="16" t="inlineStr">
        <is>
          <t>T_fuente</t>
        </is>
      </c>
      <c r="G522" s="16" t="inlineStr">
        <is>
          <t>fijo</t>
        </is>
      </c>
      <c r="H522" s="16" t="inlineStr">
        <is>
          <t>623.15</t>
        </is>
      </c>
      <c r="I522" s="16" t="n"/>
      <c r="J522" s="16" t="n"/>
      <c r="K522" s="16" t="n"/>
      <c r="L522" s="16" t="inlineStr">
        <is>
          <t>sí</t>
        </is>
      </c>
      <c r="M522" s="16" t="inlineStr">
        <is>
          <t>K</t>
        </is>
      </c>
      <c r="N522" s="16" t="inlineStr">
        <is>
          <t>no</t>
        </is>
      </c>
      <c r="O522" s="16" t="n"/>
    </row>
    <row r="523">
      <c r="A523" s="16" t="inlineStr">
        <is>
          <t>4.3</t>
        </is>
      </c>
      <c r="B523" s="16" t="inlineStr">
        <is>
          <t>4.3 x_b+T_fuente</t>
        </is>
      </c>
      <c r="C523" s="16" t="inlineStr">
        <is>
          <t>KF-M09</t>
        </is>
      </c>
      <c r="D523" s="16" t="inlineStr">
        <is>
          <t>KF-M09-R1-x_b+T_fuente</t>
        </is>
      </c>
      <c r="E523" s="16" t="inlineStr">
        <is>
          <t>B13-x_b+T_fuente</t>
        </is>
      </c>
      <c r="F523" s="16" t="inlineStr">
        <is>
          <t>T_sumidero</t>
        </is>
      </c>
      <c r="G523" s="16" t="inlineStr">
        <is>
          <t>barrido</t>
        </is>
      </c>
      <c r="H523" s="16" t="n"/>
      <c r="I523" s="16" t="n">
        <v>278.8478459373991</v>
      </c>
      <c r="J523" s="16" t="n">
        <v>302.9488082505972</v>
      </c>
      <c r="K523" s="16" t="n">
        <v>30</v>
      </c>
      <c r="L523" s="16" t="n"/>
      <c r="M523" s="16" t="inlineStr">
        <is>
          <t>K</t>
        </is>
      </c>
      <c r="N523" s="16" t="inlineStr">
        <is>
          <t>no</t>
        </is>
      </c>
      <c r="O523" s="16" t="n"/>
    </row>
    <row r="524">
      <c r="A524" s="16" t="inlineStr">
        <is>
          <t>4.3</t>
        </is>
      </c>
      <c r="B524" s="16" t="inlineStr">
        <is>
          <t>4.3 x_b+T_fuente</t>
        </is>
      </c>
      <c r="C524" s="16" t="inlineStr">
        <is>
          <t>KF-M09</t>
        </is>
      </c>
      <c r="D524" s="16" t="inlineStr">
        <is>
          <t>KF-M09-R1-x_b+T_fuente</t>
        </is>
      </c>
      <c r="E524" s="16" t="inlineStr">
        <is>
          <t>B13-x_b+T_fuente</t>
        </is>
      </c>
      <c r="F524" s="16" t="inlineStr">
        <is>
          <t>P_alta</t>
        </is>
      </c>
      <c r="G524" s="16" t="inlineStr">
        <is>
          <t>barrido</t>
        </is>
      </c>
      <c r="H524" s="16" t="n"/>
      <c r="I524" s="16" t="n">
        <v>2053.47820469751</v>
      </c>
      <c r="J524" s="16" t="n">
        <v>4944.128262707858</v>
      </c>
      <c r="K524" s="16" t="n">
        <v>30</v>
      </c>
      <c r="L524" s="16" t="n"/>
      <c r="M524" s="16" t="inlineStr">
        <is>
          <t>kPa</t>
        </is>
      </c>
      <c r="N524" s="16" t="inlineStr">
        <is>
          <t>no</t>
        </is>
      </c>
      <c r="O524" s="16" t="n"/>
    </row>
    <row r="525">
      <c r="A525" s="16" t="inlineStr">
        <is>
          <t>4.3</t>
        </is>
      </c>
      <c r="B525" s="16" t="inlineStr">
        <is>
          <t>4.3 x_b+T_fuente</t>
        </is>
      </c>
      <c r="C525" s="16" t="inlineStr">
        <is>
          <t>KF-M09</t>
        </is>
      </c>
      <c r="D525" s="16" t="inlineStr">
        <is>
          <t>KF-M09-R1-x_b+T_fuente</t>
        </is>
      </c>
      <c r="E525" s="16" t="inlineStr">
        <is>
          <t>B13-x_b+T_fuente</t>
        </is>
      </c>
      <c r="F525" s="16" t="inlineStr">
        <is>
          <t>P_baja</t>
        </is>
      </c>
      <c r="G525" s="16" t="inlineStr">
        <is>
          <t>barrido</t>
        </is>
      </c>
      <c r="H525" s="16" t="n"/>
      <c r="I525" s="16" t="n">
        <v>340.4030369757352</v>
      </c>
      <c r="J525" s="16" t="n">
        <v>1956.568799652261</v>
      </c>
      <c r="K525" s="16" t="n">
        <v>30</v>
      </c>
      <c r="L525" s="16" t="n"/>
      <c r="M525" s="16" t="inlineStr">
        <is>
          <t>kPa</t>
        </is>
      </c>
      <c r="N525" s="16" t="inlineStr">
        <is>
          <t>no</t>
        </is>
      </c>
      <c r="O525" s="16" t="n"/>
    </row>
    <row r="526">
      <c r="A526" s="16" t="inlineStr">
        <is>
          <t>4.3</t>
        </is>
      </c>
      <c r="B526" s="16" t="inlineStr">
        <is>
          <t>4.3 x_b+T_fuente</t>
        </is>
      </c>
      <c r="C526" s="16" t="inlineStr">
        <is>
          <t>KF-M09</t>
        </is>
      </c>
      <c r="D526" s="16" t="inlineStr">
        <is>
          <t>KF-M09-R1-x_b+T_fuente</t>
        </is>
      </c>
      <c r="E526" s="16" t="inlineStr">
        <is>
          <t>B13-x_b+T_fuente</t>
        </is>
      </c>
      <c r="F526" s="16" t="inlineStr">
        <is>
          <t>x_b</t>
        </is>
      </c>
      <c r="G526" s="16" t="inlineStr">
        <is>
          <t>fijo</t>
        </is>
      </c>
      <c r="H526" s="16" t="inlineStr">
        <is>
          <t>0.5</t>
        </is>
      </c>
      <c r="I526" s="16" t="n"/>
      <c r="J526" s="16" t="n"/>
      <c r="K526" s="16" t="n"/>
      <c r="L526" s="16" t="inlineStr">
        <is>
          <t>sí</t>
        </is>
      </c>
      <c r="M526" s="16" t="inlineStr">
        <is>
          <t>–</t>
        </is>
      </c>
      <c r="N526" s="16" t="inlineStr">
        <is>
          <t>no</t>
        </is>
      </c>
      <c r="O526" s="16" t="n"/>
    </row>
    <row r="527">
      <c r="A527" s="16" t="inlineStr">
        <is>
          <t>4.3</t>
        </is>
      </c>
      <c r="B527" s="16" t="inlineStr">
        <is>
          <t>4.3 x_b+T_fuente</t>
        </is>
      </c>
      <c r="C527" s="16" t="inlineStr">
        <is>
          <t>KF-M09</t>
        </is>
      </c>
      <c r="D527" s="16" t="inlineStr">
        <is>
          <t>KF-M09-R1-x_b+T_fuente</t>
        </is>
      </c>
      <c r="E527" s="16" t="inlineStr">
        <is>
          <t>B13-x_b+T_fuente</t>
        </is>
      </c>
      <c r="F527" s="16" t="inlineStr">
        <is>
          <t>m_b</t>
        </is>
      </c>
      <c r="G527" s="16" t="inlineStr">
        <is>
          <t>fijo</t>
        </is>
      </c>
      <c r="H527" s="16" t="inlineStr">
        <is>
          <t>1.0</t>
        </is>
      </c>
      <c r="I527" s="16" t="n"/>
      <c r="J527" s="16" t="n"/>
      <c r="K527" s="16" t="n"/>
      <c r="L527" s="16" t="inlineStr">
        <is>
          <t>sí</t>
        </is>
      </c>
      <c r="M527" s="16" t="inlineStr">
        <is>
          <t>kg/s</t>
        </is>
      </c>
      <c r="N527" s="16" t="inlineStr">
        <is>
          <t>no</t>
        </is>
      </c>
      <c r="O527" s="16" t="n"/>
    </row>
    <row r="528">
      <c r="A528" s="16" t="inlineStr">
        <is>
          <t>4.3</t>
        </is>
      </c>
      <c r="B528" s="16" t="inlineStr">
        <is>
          <t>4.3 x_b+T_fuente</t>
        </is>
      </c>
      <c r="C528" s="16" t="inlineStr">
        <is>
          <t>KF-M09</t>
        </is>
      </c>
      <c r="D528" s="16" t="inlineStr">
        <is>
          <t>KF-M09-R1-x_b+T_fuente</t>
        </is>
      </c>
      <c r="E528" s="16" t="inlineStr">
        <is>
          <t>B13-x_b+T_fuente</t>
        </is>
      </c>
      <c r="F528" s="16" t="inlineStr">
        <is>
          <t>eta_t</t>
        </is>
      </c>
      <c r="G528" s="16" t="inlineStr">
        <is>
          <t>barrido</t>
        </is>
      </c>
      <c r="H528" s="16" t="n"/>
      <c r="I528" s="16" t="n">
        <v>0.4052196918172702</v>
      </c>
      <c r="J528" s="16" t="n">
        <v>0.94700424684347</v>
      </c>
      <c r="K528" s="16" t="n">
        <v>30</v>
      </c>
      <c r="L528" s="16" t="n"/>
      <c r="M528" s="16" t="inlineStr">
        <is>
          <t>–</t>
        </is>
      </c>
      <c r="N528" s="16" t="inlineStr">
        <is>
          <t>no</t>
        </is>
      </c>
      <c r="O528" s="16" t="n"/>
    </row>
    <row r="529">
      <c r="A529" s="16" t="inlineStr">
        <is>
          <t>4.3</t>
        </is>
      </c>
      <c r="B529" s="16" t="inlineStr">
        <is>
          <t>4.3 x_b+T_fuente</t>
        </is>
      </c>
      <c r="C529" s="16" t="inlineStr">
        <is>
          <t>KF-M09</t>
        </is>
      </c>
      <c r="D529" s="16" t="inlineStr">
        <is>
          <t>KF-M09-R1-x_b+T_fuente</t>
        </is>
      </c>
      <c r="E529" s="16" t="inlineStr">
        <is>
          <t>B13-x_b+T_fuente</t>
        </is>
      </c>
      <c r="F529" s="16" t="inlineStr">
        <is>
          <t>eta_p</t>
        </is>
      </c>
      <c r="G529" s="16" t="inlineStr">
        <is>
          <t>barrido</t>
        </is>
      </c>
      <c r="H529" s="16" t="n"/>
      <c r="I529" s="16" t="n">
        <v>0.4102202336507536</v>
      </c>
      <c r="J529" s="16" t="n">
        <v>0.9398232299107002</v>
      </c>
      <c r="K529" s="16" t="n">
        <v>30</v>
      </c>
      <c r="L529" s="16" t="n"/>
      <c r="M529" s="16" t="inlineStr">
        <is>
          <t>–</t>
        </is>
      </c>
      <c r="N529" s="16" t="inlineStr">
        <is>
          <t>no</t>
        </is>
      </c>
      <c r="O529" s="16" t="n"/>
    </row>
    <row r="530">
      <c r="A530" s="16" t="inlineStr">
        <is>
          <t>4.3</t>
        </is>
      </c>
      <c r="B530" s="16" t="inlineStr">
        <is>
          <t>4.3 x_b+T_fuente</t>
        </is>
      </c>
      <c r="C530" s="16" t="inlineStr">
        <is>
          <t>KF-M09</t>
        </is>
      </c>
      <c r="D530" s="16" t="inlineStr">
        <is>
          <t>KF-M09-R1-x_b+T_fuente</t>
        </is>
      </c>
      <c r="E530" s="16" t="inlineStr">
        <is>
          <t>B13-x_b+T_fuente</t>
        </is>
      </c>
      <c r="F530" s="16" t="inlineStr">
        <is>
          <t>eps_hrvg</t>
        </is>
      </c>
      <c r="G530" s="16" t="inlineStr">
        <is>
          <t>barrido</t>
        </is>
      </c>
      <c r="H530" s="16" t="n"/>
      <c r="I530" s="16" t="n">
        <v>0.4137971754844496</v>
      </c>
      <c r="J530" s="16" t="n">
        <v>0.9354307286276036</v>
      </c>
      <c r="K530" s="16" t="n">
        <v>30</v>
      </c>
      <c r="L530" s="16" t="n"/>
      <c r="M530" s="16" t="inlineStr">
        <is>
          <t>–</t>
        </is>
      </c>
      <c r="N530" s="16" t="inlineStr">
        <is>
          <t>no</t>
        </is>
      </c>
      <c r="O530" s="16" t="n"/>
    </row>
    <row r="531">
      <c r="A531" s="16" t="inlineStr">
        <is>
          <t>4.3</t>
        </is>
      </c>
      <c r="B531" s="16" t="inlineStr">
        <is>
          <t>4.3 x_b+T_fuente</t>
        </is>
      </c>
      <c r="C531" s="16" t="inlineStr">
        <is>
          <t>KF-M09</t>
        </is>
      </c>
      <c r="D531" s="16" t="inlineStr">
        <is>
          <t>KF-M09-R1-x_b+T_fuente</t>
        </is>
      </c>
      <c r="E531" s="16" t="inlineStr">
        <is>
          <t>B13-x_b+T_fuente</t>
        </is>
      </c>
      <c r="F531" s="16" t="inlineStr">
        <is>
          <t>eps_reg</t>
        </is>
      </c>
      <c r="G531" s="16" t="inlineStr">
        <is>
          <t>barrido</t>
        </is>
      </c>
      <c r="H531" s="16" t="n"/>
      <c r="I531" s="16" t="n">
        <v>0.4007836466241444</v>
      </c>
      <c r="J531" s="16" t="n">
        <v>0.939213486705234</v>
      </c>
      <c r="K531" s="16" t="n">
        <v>30</v>
      </c>
      <c r="L531" s="16" t="n"/>
      <c r="M531" s="16" t="inlineStr">
        <is>
          <t>–</t>
        </is>
      </c>
      <c r="N531" s="16" t="inlineStr">
        <is>
          <t>no</t>
        </is>
      </c>
      <c r="O531" s="16" t="n"/>
    </row>
    <row r="532">
      <c r="A532" s="16" t="inlineStr">
        <is>
          <t>4.3</t>
        </is>
      </c>
      <c r="B532" s="16" t="inlineStr">
        <is>
          <t>4.3 x_b+T_fuente</t>
        </is>
      </c>
      <c r="C532" s="16" t="inlineStr">
        <is>
          <t>KF-M09</t>
        </is>
      </c>
      <c r="D532" s="16" t="inlineStr">
        <is>
          <t>KF-M09-R1-x_b+T_fuente</t>
        </is>
      </c>
      <c r="E532" s="16" t="inlineStr">
        <is>
          <t>B13-x_b+T_fuente</t>
        </is>
      </c>
      <c r="F532" s="16" t="inlineStr">
        <is>
          <t>eps_cond</t>
        </is>
      </c>
      <c r="G532" s="16" t="inlineStr">
        <is>
          <t>barrido</t>
        </is>
      </c>
      <c r="H532" s="16" t="n"/>
      <c r="I532" s="16" t="n">
        <v>0.4057908594657322</v>
      </c>
      <c r="J532" s="16" t="n">
        <v>0.9441731094633666</v>
      </c>
      <c r="K532" s="16" t="n">
        <v>30</v>
      </c>
      <c r="L532" s="16" t="n"/>
      <c r="M532" s="16" t="inlineStr">
        <is>
          <t>–</t>
        </is>
      </c>
      <c r="N532" s="16" t="inlineStr">
        <is>
          <t>no</t>
        </is>
      </c>
      <c r="O532" s="16" t="n"/>
    </row>
    <row r="533">
      <c r="A533" s="16" t="inlineStr">
        <is>
          <t>4.3</t>
        </is>
      </c>
      <c r="B533" s="16" t="inlineStr">
        <is>
          <t>4.3 x_b+T_fuente</t>
        </is>
      </c>
      <c r="C533" s="16" t="inlineStr">
        <is>
          <t>KF-M09</t>
        </is>
      </c>
      <c r="D533" s="16" t="inlineStr">
        <is>
          <t>KF-M09-R1-x_b+T_fuente</t>
        </is>
      </c>
      <c r="E533" s="16" t="inlineStr">
        <is>
          <t>B13-x_b+T_fuente</t>
        </is>
      </c>
      <c r="F533" s="16" t="inlineStr">
        <is>
          <t>T_amb_diseno</t>
        </is>
      </c>
      <c r="G533" s="16" t="inlineStr">
        <is>
          <t>barrido</t>
        </is>
      </c>
      <c r="H533" s="16" t="n"/>
      <c r="I533" s="16" t="n">
        <v>278.8478459373991</v>
      </c>
      <c r="J533" s="16" t="n">
        <v>302.9488082505972</v>
      </c>
      <c r="K533" s="16" t="n">
        <v>29</v>
      </c>
      <c r="L533" s="16" t="n"/>
      <c r="M533" s="16" t="inlineStr">
        <is>
          <t>K</t>
        </is>
      </c>
      <c r="N533" s="16" t="inlineStr">
        <is>
          <t>no</t>
        </is>
      </c>
      <c r="O533" s="16" t="n"/>
    </row>
    <row r="534">
      <c r="A534" s="16" t="inlineStr">
        <is>
          <t>4.3</t>
        </is>
      </c>
      <c r="B534" s="16" t="inlineStr">
        <is>
          <t>4.3 x_b+T_fuente</t>
        </is>
      </c>
      <c r="C534" s="16" t="inlineStr">
        <is>
          <t>KF-M09</t>
        </is>
      </c>
      <c r="D534" s="16" t="inlineStr">
        <is>
          <t>KF-M09-R1-x_b+T_fuente</t>
        </is>
      </c>
      <c r="E534" s="16" t="inlineStr">
        <is>
          <t>B13-x_b+T_fuente</t>
        </is>
      </c>
      <c r="F534" s="16" t="inlineStr">
        <is>
          <t>motor</t>
        </is>
      </c>
      <c r="G534" s="16" t="inlineStr">
        <is>
          <t>fijo</t>
        </is>
      </c>
      <c r="H534" s="16" t="inlineStr">
        <is>
          <t>teqp</t>
        </is>
      </c>
      <c r="I534" s="16" t="n"/>
      <c r="J534" s="16" t="n"/>
      <c r="K534" s="16" t="n"/>
      <c r="L534" s="16" t="n"/>
      <c r="M534" s="16" t="inlineStr">
        <is>
          <t>–</t>
        </is>
      </c>
      <c r="N534" s="16" t="inlineStr">
        <is>
          <t>no</t>
        </is>
      </c>
      <c r="O534" s="16" t="n"/>
    </row>
    <row r="535">
      <c r="A535" s="16" t="inlineStr">
        <is>
          <t>4.3</t>
        </is>
      </c>
      <c r="B535" s="16" t="inlineStr">
        <is>
          <t>4.3 x_b+eficiencias</t>
        </is>
      </c>
      <c r="C535" s="16" t="inlineStr">
        <is>
          <t>KF-M09</t>
        </is>
      </c>
      <c r="D535" s="16" t="inlineStr">
        <is>
          <t>KF-M09-R1-x_b+eficiencias</t>
        </is>
      </c>
      <c r="E535" s="16" t="inlineStr">
        <is>
          <t>B13-x_b+eficiencias</t>
        </is>
      </c>
      <c r="F535" s="16" t="inlineStr">
        <is>
          <t>T_fuente</t>
        </is>
      </c>
      <c r="G535" s="16" t="inlineStr">
        <is>
          <t>barrido</t>
        </is>
      </c>
      <c r="H535" s="16" t="n"/>
      <c r="I535" s="16" t="n">
        <v>384.0373428426386</v>
      </c>
      <c r="J535" s="16" t="n">
        <v>517.013897319522</v>
      </c>
      <c r="K535" s="16" t="n">
        <v>30</v>
      </c>
      <c r="L535" s="16" t="n"/>
      <c r="M535" s="16" t="inlineStr">
        <is>
          <t>K</t>
        </is>
      </c>
      <c r="N535" s="16" t="inlineStr">
        <is>
          <t>no</t>
        </is>
      </c>
      <c r="O535" s="16" t="n"/>
    </row>
    <row r="536">
      <c r="A536" s="16" t="inlineStr">
        <is>
          <t>4.3</t>
        </is>
      </c>
      <c r="B536" s="16" t="inlineStr">
        <is>
          <t>4.3 x_b+eficiencias</t>
        </is>
      </c>
      <c r="C536" s="16" t="inlineStr">
        <is>
          <t>KF-M09</t>
        </is>
      </c>
      <c r="D536" s="16" t="inlineStr">
        <is>
          <t>KF-M09-R1-x_b+eficiencias</t>
        </is>
      </c>
      <c r="E536" s="16" t="inlineStr">
        <is>
          <t>B13-x_b+eficiencias</t>
        </is>
      </c>
      <c r="F536" s="16" t="inlineStr">
        <is>
          <t>T_sumidero</t>
        </is>
      </c>
      <c r="G536" s="16" t="inlineStr">
        <is>
          <t>barrido</t>
        </is>
      </c>
      <c r="H536" s="16" t="n"/>
      <c r="I536" s="16" t="n">
        <v>278.5497815995599</v>
      </c>
      <c r="J536" s="16" t="n">
        <v>303.529642178358</v>
      </c>
      <c r="K536" s="16" t="n">
        <v>30</v>
      </c>
      <c r="L536" s="16" t="n"/>
      <c r="M536" s="16" t="inlineStr">
        <is>
          <t>K</t>
        </is>
      </c>
      <c r="N536" s="16" t="inlineStr">
        <is>
          <t>no</t>
        </is>
      </c>
      <c r="O536" s="16" t="n"/>
    </row>
    <row r="537">
      <c r="A537" s="16" t="inlineStr">
        <is>
          <t>4.3</t>
        </is>
      </c>
      <c r="B537" s="16" t="inlineStr">
        <is>
          <t>4.3 x_b+eficiencias</t>
        </is>
      </c>
      <c r="C537" s="16" t="inlineStr">
        <is>
          <t>KF-M09</t>
        </is>
      </c>
      <c r="D537" s="16" t="inlineStr">
        <is>
          <t>KF-M09-R1-x_b+eficiencias</t>
        </is>
      </c>
      <c r="E537" s="16" t="inlineStr">
        <is>
          <t>B13-x_b+eficiencias</t>
        </is>
      </c>
      <c r="F537" s="16" t="inlineStr">
        <is>
          <t>P_alta</t>
        </is>
      </c>
      <c r="G537" s="16" t="inlineStr">
        <is>
          <t>barrido</t>
        </is>
      </c>
      <c r="H537" s="16" t="n"/>
      <c r="I537" s="16" t="n">
        <v>2057.908585922312</v>
      </c>
      <c r="J537" s="16" t="n">
        <v>4961.273867134336</v>
      </c>
      <c r="K537" s="16" t="n">
        <v>30</v>
      </c>
      <c r="L537" s="16" t="n"/>
      <c r="M537" s="16" t="inlineStr">
        <is>
          <t>kPa</t>
        </is>
      </c>
      <c r="N537" s="16" t="inlineStr">
        <is>
          <t>no</t>
        </is>
      </c>
      <c r="O537" s="16" t="n"/>
    </row>
    <row r="538">
      <c r="A538" s="16" t="inlineStr">
        <is>
          <t>4.3</t>
        </is>
      </c>
      <c r="B538" s="16" t="inlineStr">
        <is>
          <t>4.3 x_b+eficiencias</t>
        </is>
      </c>
      <c r="C538" s="16" t="inlineStr">
        <is>
          <t>KF-M09</t>
        </is>
      </c>
      <c r="D538" s="16" t="inlineStr">
        <is>
          <t>KF-M09-R1-x_b+eficiencias</t>
        </is>
      </c>
      <c r="E538" s="16" t="inlineStr">
        <is>
          <t>B13-x_b+eficiencias</t>
        </is>
      </c>
      <c r="F538" s="16" t="inlineStr">
        <is>
          <t>P_baja</t>
        </is>
      </c>
      <c r="G538" s="16" t="inlineStr">
        <is>
          <t>barrido</t>
        </is>
      </c>
      <c r="H538" s="16" t="n"/>
      <c r="I538" s="16" t="n">
        <v>330.1453741491561</v>
      </c>
      <c r="J538" s="16" t="n">
        <v>1943.5031899449</v>
      </c>
      <c r="K538" s="16" t="n">
        <v>30</v>
      </c>
      <c r="L538" s="16" t="n"/>
      <c r="M538" s="16" t="inlineStr">
        <is>
          <t>kPa</t>
        </is>
      </c>
      <c r="N538" s="16" t="inlineStr">
        <is>
          <t>no</t>
        </is>
      </c>
      <c r="O538" s="16" t="n"/>
    </row>
    <row r="539">
      <c r="A539" s="16" t="inlineStr">
        <is>
          <t>4.3</t>
        </is>
      </c>
      <c r="B539" s="16" t="inlineStr">
        <is>
          <t>4.3 x_b+eficiencias</t>
        </is>
      </c>
      <c r="C539" s="16" t="inlineStr">
        <is>
          <t>KF-M09</t>
        </is>
      </c>
      <c r="D539" s="16" t="inlineStr">
        <is>
          <t>KF-M09-R1-x_b+eficiencias</t>
        </is>
      </c>
      <c r="E539" s="16" t="inlineStr">
        <is>
          <t>B13-x_b+eficiencias</t>
        </is>
      </c>
      <c r="F539" s="16" t="inlineStr">
        <is>
          <t>x_b</t>
        </is>
      </c>
      <c r="G539" s="16" t="inlineStr">
        <is>
          <t>fijo</t>
        </is>
      </c>
      <c r="H539" s="16" t="inlineStr">
        <is>
          <t>0.5</t>
        </is>
      </c>
      <c r="I539" s="16" t="n"/>
      <c r="J539" s="16" t="n"/>
      <c r="K539" s="16" t="n"/>
      <c r="L539" s="16" t="inlineStr">
        <is>
          <t>sí</t>
        </is>
      </c>
      <c r="M539" s="16" t="inlineStr">
        <is>
          <t>–</t>
        </is>
      </c>
      <c r="N539" s="16" t="inlineStr">
        <is>
          <t>no</t>
        </is>
      </c>
      <c r="O539" s="16" t="n"/>
    </row>
    <row r="540">
      <c r="A540" s="16" t="inlineStr">
        <is>
          <t>4.3</t>
        </is>
      </c>
      <c r="B540" s="16" t="inlineStr">
        <is>
          <t>4.3 x_b+eficiencias</t>
        </is>
      </c>
      <c r="C540" s="16" t="inlineStr">
        <is>
          <t>KF-M09</t>
        </is>
      </c>
      <c r="D540" s="16" t="inlineStr">
        <is>
          <t>KF-M09-R1-x_b+eficiencias</t>
        </is>
      </c>
      <c r="E540" s="16" t="inlineStr">
        <is>
          <t>B13-x_b+eficiencias</t>
        </is>
      </c>
      <c r="F540" s="16" t="inlineStr">
        <is>
          <t>m_b</t>
        </is>
      </c>
      <c r="G540" s="16" t="inlineStr">
        <is>
          <t>fijo</t>
        </is>
      </c>
      <c r="H540" s="16" t="inlineStr">
        <is>
          <t>1.0</t>
        </is>
      </c>
      <c r="I540" s="16" t="n"/>
      <c r="J540" s="16" t="n"/>
      <c r="K540" s="16" t="n"/>
      <c r="L540" s="16" t="inlineStr">
        <is>
          <t>sí</t>
        </is>
      </c>
      <c r="M540" s="16" t="inlineStr">
        <is>
          <t>kg/s</t>
        </is>
      </c>
      <c r="N540" s="16" t="inlineStr">
        <is>
          <t>no</t>
        </is>
      </c>
      <c r="O540" s="16" t="n"/>
    </row>
    <row r="541">
      <c r="A541" s="16" t="inlineStr">
        <is>
          <t>4.3</t>
        </is>
      </c>
      <c r="B541" s="16" t="inlineStr">
        <is>
          <t>4.3 x_b+eficiencias</t>
        </is>
      </c>
      <c r="C541" s="16" t="inlineStr">
        <is>
          <t>KF-M09</t>
        </is>
      </c>
      <c r="D541" s="16" t="inlineStr">
        <is>
          <t>KF-M09-R1-x_b+eficiencias</t>
        </is>
      </c>
      <c r="E541" s="16" t="inlineStr">
        <is>
          <t>B13-x_b+eficiencias</t>
        </is>
      </c>
      <c r="F541" s="16" t="inlineStr">
        <is>
          <t>eta_t</t>
        </is>
      </c>
      <c r="G541" s="16" t="inlineStr">
        <is>
          <t>fijo</t>
        </is>
      </c>
      <c r="H541" s="16" t="inlineStr">
        <is>
          <t>0.85</t>
        </is>
      </c>
      <c r="I541" s="16" t="n"/>
      <c r="J541" s="16" t="n"/>
      <c r="K541" s="16" t="n"/>
      <c r="L541" s="16" t="inlineStr">
        <is>
          <t>sí</t>
        </is>
      </c>
      <c r="M541" s="16" t="inlineStr">
        <is>
          <t>–</t>
        </is>
      </c>
      <c r="N541" s="16" t="inlineStr">
        <is>
          <t>no</t>
        </is>
      </c>
      <c r="O541" s="16" t="n"/>
    </row>
    <row r="542">
      <c r="A542" s="16" t="inlineStr">
        <is>
          <t>4.3</t>
        </is>
      </c>
      <c r="B542" s="16" t="inlineStr">
        <is>
          <t>4.3 x_b+eficiencias</t>
        </is>
      </c>
      <c r="C542" s="16" t="inlineStr">
        <is>
          <t>KF-M09</t>
        </is>
      </c>
      <c r="D542" s="16" t="inlineStr">
        <is>
          <t>KF-M09-R1-x_b+eficiencias</t>
        </is>
      </c>
      <c r="E542" s="16" t="inlineStr">
        <is>
          <t>B13-x_b+eficiencias</t>
        </is>
      </c>
      <c r="F542" s="16" t="inlineStr">
        <is>
          <t>eta_p</t>
        </is>
      </c>
      <c r="G542" s="16" t="inlineStr">
        <is>
          <t>fijo</t>
        </is>
      </c>
      <c r="H542" s="16" t="inlineStr">
        <is>
          <t>0.75</t>
        </is>
      </c>
      <c r="I542" s="16" t="n"/>
      <c r="J542" s="16" t="n"/>
      <c r="K542" s="16" t="n"/>
      <c r="L542" s="16" t="inlineStr">
        <is>
          <t>sí</t>
        </is>
      </c>
      <c r="M542" s="16" t="inlineStr">
        <is>
          <t>–</t>
        </is>
      </c>
      <c r="N542" s="16" t="inlineStr">
        <is>
          <t>no</t>
        </is>
      </c>
      <c r="O542" s="16" t="n"/>
    </row>
    <row r="543">
      <c r="A543" s="16" t="inlineStr">
        <is>
          <t>4.3</t>
        </is>
      </c>
      <c r="B543" s="16" t="inlineStr">
        <is>
          <t>4.3 x_b+eficiencias</t>
        </is>
      </c>
      <c r="C543" s="16" t="inlineStr">
        <is>
          <t>KF-M09</t>
        </is>
      </c>
      <c r="D543" s="16" t="inlineStr">
        <is>
          <t>KF-M09-R1-x_b+eficiencias</t>
        </is>
      </c>
      <c r="E543" s="16" t="inlineStr">
        <is>
          <t>B13-x_b+eficiencias</t>
        </is>
      </c>
      <c r="F543" s="16" t="inlineStr">
        <is>
          <t>eps_hrvg</t>
        </is>
      </c>
      <c r="G543" s="16" t="inlineStr">
        <is>
          <t>fijo</t>
        </is>
      </c>
      <c r="H543" s="16" t="inlineStr">
        <is>
          <t>0.85</t>
        </is>
      </c>
      <c r="I543" s="16" t="n"/>
      <c r="J543" s="16" t="n"/>
      <c r="K543" s="16" t="n"/>
      <c r="L543" s="16" t="inlineStr">
        <is>
          <t>sí</t>
        </is>
      </c>
      <c r="M543" s="16" t="inlineStr">
        <is>
          <t>–</t>
        </is>
      </c>
      <c r="N543" s="16" t="inlineStr">
        <is>
          <t>no</t>
        </is>
      </c>
      <c r="O543" s="16" t="n"/>
    </row>
    <row r="544">
      <c r="A544" s="16" t="inlineStr">
        <is>
          <t>4.3</t>
        </is>
      </c>
      <c r="B544" s="16" t="inlineStr">
        <is>
          <t>4.3 x_b+eficiencias</t>
        </is>
      </c>
      <c r="C544" s="16" t="inlineStr">
        <is>
          <t>KF-M09</t>
        </is>
      </c>
      <c r="D544" s="16" t="inlineStr">
        <is>
          <t>KF-M09-R1-x_b+eficiencias</t>
        </is>
      </c>
      <c r="E544" s="16" t="inlineStr">
        <is>
          <t>B13-x_b+eficiencias</t>
        </is>
      </c>
      <c r="F544" s="16" t="inlineStr">
        <is>
          <t>eps_reg</t>
        </is>
      </c>
      <c r="G544" s="16" t="inlineStr">
        <is>
          <t>fijo</t>
        </is>
      </c>
      <c r="H544" s="16" t="inlineStr">
        <is>
          <t>0.75</t>
        </is>
      </c>
      <c r="I544" s="16" t="n"/>
      <c r="J544" s="16" t="n"/>
      <c r="K544" s="16" t="n"/>
      <c r="L544" s="16" t="inlineStr">
        <is>
          <t>sí</t>
        </is>
      </c>
      <c r="M544" s="16" t="inlineStr">
        <is>
          <t>–</t>
        </is>
      </c>
      <c r="N544" s="16" t="inlineStr">
        <is>
          <t>no</t>
        </is>
      </c>
      <c r="O544" s="16" t="n"/>
    </row>
    <row r="545">
      <c r="A545" s="16" t="inlineStr">
        <is>
          <t>4.3</t>
        </is>
      </c>
      <c r="B545" s="16" t="inlineStr">
        <is>
          <t>4.3 x_b+eficiencias</t>
        </is>
      </c>
      <c r="C545" s="16" t="inlineStr">
        <is>
          <t>KF-M09</t>
        </is>
      </c>
      <c r="D545" s="16" t="inlineStr">
        <is>
          <t>KF-M09-R1-x_b+eficiencias</t>
        </is>
      </c>
      <c r="E545" s="16" t="inlineStr">
        <is>
          <t>B13-x_b+eficiencias</t>
        </is>
      </c>
      <c r="F545" s="16" t="inlineStr">
        <is>
          <t>eps_cond</t>
        </is>
      </c>
      <c r="G545" s="16" t="inlineStr">
        <is>
          <t>fijo</t>
        </is>
      </c>
      <c r="H545" s="16" t="inlineStr">
        <is>
          <t>0.8</t>
        </is>
      </c>
      <c r="I545" s="16" t="n"/>
      <c r="J545" s="16" t="n"/>
      <c r="K545" s="16" t="n"/>
      <c r="L545" s="16" t="inlineStr">
        <is>
          <t>sí</t>
        </is>
      </c>
      <c r="M545" s="16" t="inlineStr">
        <is>
          <t>–</t>
        </is>
      </c>
      <c r="N545" s="16" t="inlineStr">
        <is>
          <t>no</t>
        </is>
      </c>
      <c r="O545" s="16" t="n"/>
    </row>
    <row r="546">
      <c r="A546" s="16" t="inlineStr">
        <is>
          <t>4.3</t>
        </is>
      </c>
      <c r="B546" s="16" t="inlineStr">
        <is>
          <t>4.3 x_b+eficiencias</t>
        </is>
      </c>
      <c r="C546" s="16" t="inlineStr">
        <is>
          <t>KF-M09</t>
        </is>
      </c>
      <c r="D546" s="16" t="inlineStr">
        <is>
          <t>KF-M09-R1-x_b+eficiencias</t>
        </is>
      </c>
      <c r="E546" s="16" t="inlineStr">
        <is>
          <t>B13-x_b+eficiencias</t>
        </is>
      </c>
      <c r="F546" s="16" t="inlineStr">
        <is>
          <t>T_amb_diseno</t>
        </is>
      </c>
      <c r="G546" s="16" t="inlineStr">
        <is>
          <t>barrido</t>
        </is>
      </c>
      <c r="H546" s="16" t="n"/>
      <c r="I546" s="16" t="n">
        <v>278.5497815995599</v>
      </c>
      <c r="J546" s="16" t="n">
        <v>303.529642178358</v>
      </c>
      <c r="K546" s="16" t="n">
        <v>30</v>
      </c>
      <c r="L546" s="16" t="n"/>
      <c r="M546" s="16" t="inlineStr">
        <is>
          <t>K</t>
        </is>
      </c>
      <c r="N546" s="16" t="inlineStr">
        <is>
          <t>no</t>
        </is>
      </c>
      <c r="O546" s="16" t="n"/>
    </row>
    <row r="547">
      <c r="A547" s="16" t="inlineStr">
        <is>
          <t>4.3</t>
        </is>
      </c>
      <c r="B547" s="16" t="inlineStr">
        <is>
          <t>4.3 x_b+eficiencias</t>
        </is>
      </c>
      <c r="C547" s="16" t="inlineStr">
        <is>
          <t>KF-M09</t>
        </is>
      </c>
      <c r="D547" s="16" t="inlineStr">
        <is>
          <t>KF-M09-R1-x_b+eficiencias</t>
        </is>
      </c>
      <c r="E547" s="16" t="inlineStr">
        <is>
          <t>B13-x_b+eficiencias</t>
        </is>
      </c>
      <c r="F547" s="16" t="inlineStr">
        <is>
          <t>motor</t>
        </is>
      </c>
      <c r="G547" s="16" t="inlineStr">
        <is>
          <t>fijo</t>
        </is>
      </c>
      <c r="H547" s="16" t="inlineStr">
        <is>
          <t>teqp</t>
        </is>
      </c>
      <c r="I547" s="16" t="n"/>
      <c r="J547" s="16" t="n"/>
      <c r="K547" s="16" t="n"/>
      <c r="L547" s="16" t="n"/>
      <c r="M547" s="16" t="inlineStr">
        <is>
          <t>–</t>
        </is>
      </c>
      <c r="N547" s="16" t="inlineStr">
        <is>
          <t>no</t>
        </is>
      </c>
      <c r="O547" s="16" t="n"/>
    </row>
    <row r="548">
      <c r="A548" s="16" t="inlineStr">
        <is>
          <t>4.3</t>
        </is>
      </c>
      <c r="B548" s="16" t="inlineStr">
        <is>
          <t>4.3 x_b+P_alta</t>
        </is>
      </c>
      <c r="C548" s="16" t="inlineStr">
        <is>
          <t>KF-M09</t>
        </is>
      </c>
      <c r="D548" s="16" t="inlineStr">
        <is>
          <t>KF-M09-R1-x_b+P_alta</t>
        </is>
      </c>
      <c r="E548" s="16" t="inlineStr">
        <is>
          <t>B13-x_b+P_alta</t>
        </is>
      </c>
      <c r="F548" s="16" t="inlineStr">
        <is>
          <t>T_fuente</t>
        </is>
      </c>
      <c r="G548" s="16" t="inlineStr">
        <is>
          <t>barrido</t>
        </is>
      </c>
      <c r="H548" s="16" t="n"/>
      <c r="I548" s="16" t="n">
        <v>382.5996776303832</v>
      </c>
      <c r="J548" s="16" t="n">
        <v>518.0654368748512</v>
      </c>
      <c r="K548" s="16" t="n">
        <v>30</v>
      </c>
      <c r="L548" s="16" t="n"/>
      <c r="M548" s="16" t="inlineStr">
        <is>
          <t>K</t>
        </is>
      </c>
      <c r="N548" s="16" t="inlineStr">
        <is>
          <t>no</t>
        </is>
      </c>
      <c r="O548" s="16" t="n"/>
    </row>
    <row r="549">
      <c r="A549" s="16" t="inlineStr">
        <is>
          <t>4.3</t>
        </is>
      </c>
      <c r="B549" s="16" t="inlineStr">
        <is>
          <t>4.3 x_b+P_alta</t>
        </is>
      </c>
      <c r="C549" s="16" t="inlineStr">
        <is>
          <t>KF-M09</t>
        </is>
      </c>
      <c r="D549" s="16" t="inlineStr">
        <is>
          <t>KF-M09-R1-x_b+P_alta</t>
        </is>
      </c>
      <c r="E549" s="16" t="inlineStr">
        <is>
          <t>B13-x_b+P_alta</t>
        </is>
      </c>
      <c r="F549" s="16" t="inlineStr">
        <is>
          <t>T_sumidero</t>
        </is>
      </c>
      <c r="G549" s="16" t="inlineStr">
        <is>
          <t>barrido</t>
        </is>
      </c>
      <c r="H549" s="16" t="n"/>
      <c r="I549" s="16" t="n">
        <v>278.3930271119776</v>
      </c>
      <c r="J549" s="16" t="n">
        <v>302.7305352005258</v>
      </c>
      <c r="K549" s="16" t="n">
        <v>30</v>
      </c>
      <c r="L549" s="16" t="n"/>
      <c r="M549" s="16" t="inlineStr">
        <is>
          <t>K</t>
        </is>
      </c>
      <c r="N549" s="16" t="inlineStr">
        <is>
          <t>no</t>
        </is>
      </c>
      <c r="O549" s="16" t="n"/>
    </row>
    <row r="550">
      <c r="A550" s="16" t="inlineStr">
        <is>
          <t>4.3</t>
        </is>
      </c>
      <c r="B550" s="16" t="inlineStr">
        <is>
          <t>4.3 x_b+P_alta</t>
        </is>
      </c>
      <c r="C550" s="16" t="inlineStr">
        <is>
          <t>KF-M09</t>
        </is>
      </c>
      <c r="D550" s="16" t="inlineStr">
        <is>
          <t>KF-M09-R1-x_b+P_alta</t>
        </is>
      </c>
      <c r="E550" s="16" t="inlineStr">
        <is>
          <t>B13-x_b+P_alta</t>
        </is>
      </c>
      <c r="F550" s="16" t="inlineStr">
        <is>
          <t>P_alta</t>
        </is>
      </c>
      <c r="G550" s="16" t="inlineStr">
        <is>
          <t>fijo</t>
        </is>
      </c>
      <c r="H550" s="16" t="inlineStr">
        <is>
          <t>3000.0</t>
        </is>
      </c>
      <c r="I550" s="16" t="n"/>
      <c r="J550" s="16" t="n"/>
      <c r="K550" s="16" t="n"/>
      <c r="L550" s="16" t="inlineStr">
        <is>
          <t>sí</t>
        </is>
      </c>
      <c r="M550" s="16" t="inlineStr">
        <is>
          <t>kPa</t>
        </is>
      </c>
      <c r="N550" s="16" t="inlineStr">
        <is>
          <t>no</t>
        </is>
      </c>
      <c r="O550" s="16" t="n"/>
    </row>
    <row r="551">
      <c r="A551" s="16" t="inlineStr">
        <is>
          <t>4.3</t>
        </is>
      </c>
      <c r="B551" s="16" t="inlineStr">
        <is>
          <t>4.3 x_b+P_alta</t>
        </is>
      </c>
      <c r="C551" s="16" t="inlineStr">
        <is>
          <t>KF-M09</t>
        </is>
      </c>
      <c r="D551" s="16" t="inlineStr">
        <is>
          <t>KF-M09-R1-x_b+P_alta</t>
        </is>
      </c>
      <c r="E551" s="16" t="inlineStr">
        <is>
          <t>B13-x_b+P_alta</t>
        </is>
      </c>
      <c r="F551" s="16" t="inlineStr">
        <is>
          <t>P_baja</t>
        </is>
      </c>
      <c r="G551" s="16" t="inlineStr">
        <is>
          <t>barrido</t>
        </is>
      </c>
      <c r="H551" s="16" t="n"/>
      <c r="I551" s="16" t="n">
        <v>342.0862449972955</v>
      </c>
      <c r="J551" s="16" t="n">
        <v>1989.509694549336</v>
      </c>
      <c r="K551" s="16" t="n">
        <v>30</v>
      </c>
      <c r="L551" s="16" t="n"/>
      <c r="M551" s="16" t="inlineStr">
        <is>
          <t>kPa</t>
        </is>
      </c>
      <c r="N551" s="16" t="inlineStr">
        <is>
          <t>no</t>
        </is>
      </c>
      <c r="O551" s="16" t="n"/>
    </row>
    <row r="552">
      <c r="A552" s="16" t="inlineStr">
        <is>
          <t>4.3</t>
        </is>
      </c>
      <c r="B552" s="16" t="inlineStr">
        <is>
          <t>4.3 x_b+P_alta</t>
        </is>
      </c>
      <c r="C552" s="16" t="inlineStr">
        <is>
          <t>KF-M09</t>
        </is>
      </c>
      <c r="D552" s="16" t="inlineStr">
        <is>
          <t>KF-M09-R1-x_b+P_alta</t>
        </is>
      </c>
      <c r="E552" s="16" t="inlineStr">
        <is>
          <t>B13-x_b+P_alta</t>
        </is>
      </c>
      <c r="F552" s="16" t="inlineStr">
        <is>
          <t>x_b</t>
        </is>
      </c>
      <c r="G552" s="16" t="inlineStr">
        <is>
          <t>fijo</t>
        </is>
      </c>
      <c r="H552" s="16" t="inlineStr">
        <is>
          <t>0.5</t>
        </is>
      </c>
      <c r="I552" s="16" t="n"/>
      <c r="J552" s="16" t="n"/>
      <c r="K552" s="16" t="n"/>
      <c r="L552" s="16" t="inlineStr">
        <is>
          <t>sí</t>
        </is>
      </c>
      <c r="M552" s="16" t="inlineStr">
        <is>
          <t>–</t>
        </is>
      </c>
      <c r="N552" s="16" t="inlineStr">
        <is>
          <t>no</t>
        </is>
      </c>
      <c r="O552" s="16" t="n"/>
    </row>
    <row r="553">
      <c r="A553" s="16" t="inlineStr">
        <is>
          <t>4.3</t>
        </is>
      </c>
      <c r="B553" s="16" t="inlineStr">
        <is>
          <t>4.3 x_b+P_alta</t>
        </is>
      </c>
      <c r="C553" s="16" t="inlineStr">
        <is>
          <t>KF-M09</t>
        </is>
      </c>
      <c r="D553" s="16" t="inlineStr">
        <is>
          <t>KF-M09-R1-x_b+P_alta</t>
        </is>
      </c>
      <c r="E553" s="16" t="inlineStr">
        <is>
          <t>B13-x_b+P_alta</t>
        </is>
      </c>
      <c r="F553" s="16" t="inlineStr">
        <is>
          <t>m_b</t>
        </is>
      </c>
      <c r="G553" s="16" t="inlineStr">
        <is>
          <t>fijo</t>
        </is>
      </c>
      <c r="H553" s="16" t="inlineStr">
        <is>
          <t>1.0</t>
        </is>
      </c>
      <c r="I553" s="16" t="n"/>
      <c r="J553" s="16" t="n"/>
      <c r="K553" s="16" t="n"/>
      <c r="L553" s="16" t="inlineStr">
        <is>
          <t>sí</t>
        </is>
      </c>
      <c r="M553" s="16" t="inlineStr">
        <is>
          <t>kg/s</t>
        </is>
      </c>
      <c r="N553" s="16" t="inlineStr">
        <is>
          <t>no</t>
        </is>
      </c>
      <c r="O553" s="16" t="n"/>
    </row>
    <row r="554">
      <c r="A554" s="16" t="inlineStr">
        <is>
          <t>4.3</t>
        </is>
      </c>
      <c r="B554" s="16" t="inlineStr">
        <is>
          <t>4.3 x_b+P_alta</t>
        </is>
      </c>
      <c r="C554" s="16" t="inlineStr">
        <is>
          <t>KF-M09</t>
        </is>
      </c>
      <c r="D554" s="16" t="inlineStr">
        <is>
          <t>KF-M09-R1-x_b+P_alta</t>
        </is>
      </c>
      <c r="E554" s="16" t="inlineStr">
        <is>
          <t>B13-x_b+P_alta</t>
        </is>
      </c>
      <c r="F554" s="16" t="inlineStr">
        <is>
          <t>eta_t</t>
        </is>
      </c>
      <c r="G554" s="16" t="inlineStr">
        <is>
          <t>barrido</t>
        </is>
      </c>
      <c r="H554" s="16" t="n"/>
      <c r="I554" s="16" t="n">
        <v>0.4109447043494325</v>
      </c>
      <c r="J554" s="16" t="n">
        <v>0.9357656962713462</v>
      </c>
      <c r="K554" s="16" t="n">
        <v>30</v>
      </c>
      <c r="L554" s="16" t="n"/>
      <c r="M554" s="16" t="inlineStr">
        <is>
          <t>–</t>
        </is>
      </c>
      <c r="N554" s="16" t="inlineStr">
        <is>
          <t>no</t>
        </is>
      </c>
      <c r="O554" s="16" t="n"/>
    </row>
    <row r="555">
      <c r="A555" s="16" t="inlineStr">
        <is>
          <t>4.3</t>
        </is>
      </c>
      <c r="B555" s="16" t="inlineStr">
        <is>
          <t>4.3 x_b+P_alta</t>
        </is>
      </c>
      <c r="C555" s="16" t="inlineStr">
        <is>
          <t>KF-M09</t>
        </is>
      </c>
      <c r="D555" s="16" t="inlineStr">
        <is>
          <t>KF-M09-R1-x_b+P_alta</t>
        </is>
      </c>
      <c r="E555" s="16" t="inlineStr">
        <is>
          <t>B13-x_b+P_alta</t>
        </is>
      </c>
      <c r="F555" s="16" t="inlineStr">
        <is>
          <t>eta_p</t>
        </is>
      </c>
      <c r="G555" s="16" t="inlineStr">
        <is>
          <t>barrido</t>
        </is>
      </c>
      <c r="H555" s="16" t="n"/>
      <c r="I555" s="16" t="n">
        <v>0.4164228952643153</v>
      </c>
      <c r="J555" s="16" t="n">
        <v>0.9465149598945318</v>
      </c>
      <c r="K555" s="16" t="n">
        <v>30</v>
      </c>
      <c r="L555" s="16" t="n"/>
      <c r="M555" s="16" t="inlineStr">
        <is>
          <t>–</t>
        </is>
      </c>
      <c r="N555" s="16" t="inlineStr">
        <is>
          <t>no</t>
        </is>
      </c>
      <c r="O555" s="16" t="n"/>
    </row>
    <row r="556">
      <c r="A556" s="16" t="inlineStr">
        <is>
          <t>4.3</t>
        </is>
      </c>
      <c r="B556" s="16" t="inlineStr">
        <is>
          <t>4.3 x_b+P_alta</t>
        </is>
      </c>
      <c r="C556" s="16" t="inlineStr">
        <is>
          <t>KF-M09</t>
        </is>
      </c>
      <c r="D556" s="16" t="inlineStr">
        <is>
          <t>KF-M09-R1-x_b+P_alta</t>
        </is>
      </c>
      <c r="E556" s="16" t="inlineStr">
        <is>
          <t>B13-x_b+P_alta</t>
        </is>
      </c>
      <c r="F556" s="16" t="inlineStr">
        <is>
          <t>eps_hrvg</t>
        </is>
      </c>
      <c r="G556" s="16" t="inlineStr">
        <is>
          <t>barrido</t>
        </is>
      </c>
      <c r="H556" s="16" t="n"/>
      <c r="I556" s="16" t="n">
        <v>0.4034558824331704</v>
      </c>
      <c r="J556" s="16" t="n">
        <v>0.9455628469458188</v>
      </c>
      <c r="K556" s="16" t="n">
        <v>30</v>
      </c>
      <c r="L556" s="16" t="n"/>
      <c r="M556" s="16" t="inlineStr">
        <is>
          <t>–</t>
        </is>
      </c>
      <c r="N556" s="16" t="inlineStr">
        <is>
          <t>no</t>
        </is>
      </c>
      <c r="O556" s="16" t="n"/>
    </row>
    <row r="557">
      <c r="A557" s="16" t="inlineStr">
        <is>
          <t>4.3</t>
        </is>
      </c>
      <c r="B557" s="16" t="inlineStr">
        <is>
          <t>4.3 x_b+P_alta</t>
        </is>
      </c>
      <c r="C557" s="16" t="inlineStr">
        <is>
          <t>KF-M09</t>
        </is>
      </c>
      <c r="D557" s="16" t="inlineStr">
        <is>
          <t>KF-M09-R1-x_b+P_alta</t>
        </is>
      </c>
      <c r="E557" s="16" t="inlineStr">
        <is>
          <t>B13-x_b+P_alta</t>
        </is>
      </c>
      <c r="F557" s="16" t="inlineStr">
        <is>
          <t>eps_reg</t>
        </is>
      </c>
      <c r="G557" s="16" t="inlineStr">
        <is>
          <t>barrido</t>
        </is>
      </c>
      <c r="H557" s="16" t="n"/>
      <c r="I557" s="16" t="n">
        <v>0.4155390778269927</v>
      </c>
      <c r="J557" s="16" t="n">
        <v>0.9339985233369716</v>
      </c>
      <c r="K557" s="16" t="n">
        <v>30</v>
      </c>
      <c r="L557" s="16" t="n"/>
      <c r="M557" s="16" t="inlineStr">
        <is>
          <t>–</t>
        </is>
      </c>
      <c r="N557" s="16" t="inlineStr">
        <is>
          <t>no</t>
        </is>
      </c>
      <c r="O557" s="16" t="n"/>
    </row>
    <row r="558">
      <c r="A558" s="16" t="inlineStr">
        <is>
          <t>4.3</t>
        </is>
      </c>
      <c r="B558" s="16" t="inlineStr">
        <is>
          <t>4.3 x_b+P_alta</t>
        </is>
      </c>
      <c r="C558" s="16" t="inlineStr">
        <is>
          <t>KF-M09</t>
        </is>
      </c>
      <c r="D558" s="16" t="inlineStr">
        <is>
          <t>KF-M09-R1-x_b+P_alta</t>
        </is>
      </c>
      <c r="E558" s="16" t="inlineStr">
        <is>
          <t>B13-x_b+P_alta</t>
        </is>
      </c>
      <c r="F558" s="16" t="inlineStr">
        <is>
          <t>eps_cond</t>
        </is>
      </c>
      <c r="G558" s="16" t="inlineStr">
        <is>
          <t>barrido</t>
        </is>
      </c>
      <c r="H558" s="16" t="n"/>
      <c r="I558" s="16" t="n">
        <v>0.4141877563234686</v>
      </c>
      <c r="J558" s="16" t="n">
        <v>0.9456917470249244</v>
      </c>
      <c r="K558" s="16" t="n">
        <v>30</v>
      </c>
      <c r="L558" s="16" t="n"/>
      <c r="M558" s="16" t="inlineStr">
        <is>
          <t>–</t>
        </is>
      </c>
      <c r="N558" s="16" t="inlineStr">
        <is>
          <t>no</t>
        </is>
      </c>
      <c r="O558" s="16" t="n"/>
    </row>
    <row r="559">
      <c r="A559" s="16" t="inlineStr">
        <is>
          <t>4.3</t>
        </is>
      </c>
      <c r="B559" s="16" t="inlineStr">
        <is>
          <t>4.3 x_b+P_alta</t>
        </is>
      </c>
      <c r="C559" s="16" t="inlineStr">
        <is>
          <t>KF-M09</t>
        </is>
      </c>
      <c r="D559" s="16" t="inlineStr">
        <is>
          <t>KF-M09-R1-x_b+P_alta</t>
        </is>
      </c>
      <c r="E559" s="16" t="inlineStr">
        <is>
          <t>B13-x_b+P_alta</t>
        </is>
      </c>
      <c r="F559" s="16" t="inlineStr">
        <is>
          <t>T_amb_diseno</t>
        </is>
      </c>
      <c r="G559" s="16" t="inlineStr">
        <is>
          <t>barrido</t>
        </is>
      </c>
      <c r="H559" s="16" t="n"/>
      <c r="I559" s="16" t="n">
        <v>278.3930271119776</v>
      </c>
      <c r="J559" s="16" t="n">
        <v>302.7305352005258</v>
      </c>
      <c r="K559" s="16" t="n">
        <v>30</v>
      </c>
      <c r="L559" s="16" t="n"/>
      <c r="M559" s="16" t="inlineStr">
        <is>
          <t>K</t>
        </is>
      </c>
      <c r="N559" s="16" t="inlineStr">
        <is>
          <t>no</t>
        </is>
      </c>
      <c r="O559" s="16" t="n"/>
    </row>
    <row r="560">
      <c r="A560" s="16" t="inlineStr">
        <is>
          <t>4.3</t>
        </is>
      </c>
      <c r="B560" s="16" t="inlineStr">
        <is>
          <t>4.3 x_b+P_alta</t>
        </is>
      </c>
      <c r="C560" s="16" t="inlineStr">
        <is>
          <t>KF-M09</t>
        </is>
      </c>
      <c r="D560" s="16" t="inlineStr">
        <is>
          <t>KF-M09-R1-x_b+P_alta</t>
        </is>
      </c>
      <c r="E560" s="16" t="inlineStr">
        <is>
          <t>B13-x_b+P_alta</t>
        </is>
      </c>
      <c r="F560" s="16" t="inlineStr">
        <is>
          <t>motor</t>
        </is>
      </c>
      <c r="G560" s="16" t="inlineStr">
        <is>
          <t>fijo</t>
        </is>
      </c>
      <c r="H560" s="16" t="inlineStr">
        <is>
          <t>teqp</t>
        </is>
      </c>
      <c r="I560" s="16" t="n"/>
      <c r="J560" s="16" t="n"/>
      <c r="K560" s="16" t="n"/>
      <c r="L560" s="16" t="n"/>
      <c r="M560" s="16" t="inlineStr">
        <is>
          <t>–</t>
        </is>
      </c>
      <c r="N560" s="16" t="inlineStr">
        <is>
          <t>no</t>
        </is>
      </c>
      <c r="O560" s="16" t="n"/>
    </row>
    <row r="561">
      <c r="A561" s="16" t="inlineStr">
        <is>
          <t>4.3</t>
        </is>
      </c>
      <c r="B561" s="16" t="inlineStr">
        <is>
          <t>4.3 x_b+P_baja</t>
        </is>
      </c>
      <c r="C561" s="16" t="inlineStr">
        <is>
          <t>KF-M09</t>
        </is>
      </c>
      <c r="D561" s="16" t="inlineStr">
        <is>
          <t>KF-M09-R1-x_b+P_baja</t>
        </is>
      </c>
      <c r="E561" s="16" t="inlineStr">
        <is>
          <t>B13-x_b+P_baja</t>
        </is>
      </c>
      <c r="F561" s="16" t="inlineStr">
        <is>
          <t>T_fuente</t>
        </is>
      </c>
      <c r="G561" s="16" t="inlineStr">
        <is>
          <t>barrido</t>
        </is>
      </c>
      <c r="H561" s="16" t="n"/>
      <c r="I561" s="16" t="n">
        <v>383.997814121058</v>
      </c>
      <c r="J561" s="16" t="n">
        <v>516.4884936792944</v>
      </c>
      <c r="K561" s="16" t="n">
        <v>30</v>
      </c>
      <c r="L561" s="16" t="n"/>
      <c r="M561" s="16" t="inlineStr">
        <is>
          <t>K</t>
        </is>
      </c>
      <c r="N561" s="16" t="inlineStr">
        <is>
          <t>no</t>
        </is>
      </c>
      <c r="O561" s="16" t="n"/>
    </row>
    <row r="562">
      <c r="A562" s="16" t="inlineStr">
        <is>
          <t>4.3</t>
        </is>
      </c>
      <c r="B562" s="16" t="inlineStr">
        <is>
          <t>4.3 x_b+P_baja</t>
        </is>
      </c>
      <c r="C562" s="16" t="inlineStr">
        <is>
          <t>KF-M09</t>
        </is>
      </c>
      <c r="D562" s="16" t="inlineStr">
        <is>
          <t>KF-M09-R1-x_b+P_baja</t>
        </is>
      </c>
      <c r="E562" s="16" t="inlineStr">
        <is>
          <t>B13-x_b+P_baja</t>
        </is>
      </c>
      <c r="F562" s="16" t="inlineStr">
        <is>
          <t>T_sumidero</t>
        </is>
      </c>
      <c r="G562" s="16" t="inlineStr">
        <is>
          <t>barrido</t>
        </is>
      </c>
      <c r="H562" s="16" t="n"/>
      <c r="I562" s="16" t="n">
        <v>278.738779104339</v>
      </c>
      <c r="J562" s="16" t="n">
        <v>303.4422666746702</v>
      </c>
      <c r="K562" s="16" t="n">
        <v>30</v>
      </c>
      <c r="L562" s="16" t="n"/>
      <c r="M562" s="16" t="inlineStr">
        <is>
          <t>K</t>
        </is>
      </c>
      <c r="N562" s="16" t="inlineStr">
        <is>
          <t>no</t>
        </is>
      </c>
      <c r="O562" s="16" t="n"/>
    </row>
    <row r="563">
      <c r="A563" s="16" t="inlineStr">
        <is>
          <t>4.3</t>
        </is>
      </c>
      <c r="B563" s="16" t="inlineStr">
        <is>
          <t>4.3 x_b+P_baja</t>
        </is>
      </c>
      <c r="C563" s="16" t="inlineStr">
        <is>
          <t>KF-M09</t>
        </is>
      </c>
      <c r="D563" s="16" t="inlineStr">
        <is>
          <t>KF-M09-R1-x_b+P_baja</t>
        </is>
      </c>
      <c r="E563" s="16" t="inlineStr">
        <is>
          <t>B13-x_b+P_baja</t>
        </is>
      </c>
      <c r="F563" s="16" t="inlineStr">
        <is>
          <t>P_alta</t>
        </is>
      </c>
      <c r="G563" s="16" t="inlineStr">
        <is>
          <t>barrido</t>
        </is>
      </c>
      <c r="H563" s="16" t="n"/>
      <c r="I563" s="16" t="n">
        <v>2074.922038646782</v>
      </c>
      <c r="J563" s="16" t="n">
        <v>4986.771380456783</v>
      </c>
      <c r="K563" s="16" t="n">
        <v>30</v>
      </c>
      <c r="L563" s="16" t="n"/>
      <c r="M563" s="16" t="inlineStr">
        <is>
          <t>kPa</t>
        </is>
      </c>
      <c r="N563" s="16" t="inlineStr">
        <is>
          <t>no</t>
        </is>
      </c>
      <c r="O563" s="16" t="n"/>
    </row>
    <row r="564">
      <c r="A564" s="16" t="inlineStr">
        <is>
          <t>4.3</t>
        </is>
      </c>
      <c r="B564" s="16" t="inlineStr">
        <is>
          <t>4.3 x_b+P_baja</t>
        </is>
      </c>
      <c r="C564" s="16" t="inlineStr">
        <is>
          <t>KF-M09</t>
        </is>
      </c>
      <c r="D564" s="16" t="inlineStr">
        <is>
          <t>KF-M09-R1-x_b+P_baja</t>
        </is>
      </c>
      <c r="E564" s="16" t="inlineStr">
        <is>
          <t>B13-x_b+P_baja</t>
        </is>
      </c>
      <c r="F564" s="16" t="inlineStr">
        <is>
          <t>P_baja</t>
        </is>
      </c>
      <c r="G564" s="16" t="inlineStr">
        <is>
          <t>fijo</t>
        </is>
      </c>
      <c r="H564" s="16" t="inlineStr">
        <is>
          <t>400.0</t>
        </is>
      </c>
      <c r="I564" s="16" t="n"/>
      <c r="J564" s="16" t="n"/>
      <c r="K564" s="16" t="n"/>
      <c r="L564" s="16" t="inlineStr">
        <is>
          <t>sí</t>
        </is>
      </c>
      <c r="M564" s="16" t="inlineStr">
        <is>
          <t>kPa</t>
        </is>
      </c>
      <c r="N564" s="16" t="inlineStr">
        <is>
          <t>no</t>
        </is>
      </c>
      <c r="O564" s="16" t="n"/>
    </row>
    <row r="565">
      <c r="A565" s="16" t="inlineStr">
        <is>
          <t>4.3</t>
        </is>
      </c>
      <c r="B565" s="16" t="inlineStr">
        <is>
          <t>4.3 x_b+P_baja</t>
        </is>
      </c>
      <c r="C565" s="16" t="inlineStr">
        <is>
          <t>KF-M09</t>
        </is>
      </c>
      <c r="D565" s="16" t="inlineStr">
        <is>
          <t>KF-M09-R1-x_b+P_baja</t>
        </is>
      </c>
      <c r="E565" s="16" t="inlineStr">
        <is>
          <t>B13-x_b+P_baja</t>
        </is>
      </c>
      <c r="F565" s="16" t="inlineStr">
        <is>
          <t>x_b</t>
        </is>
      </c>
      <c r="G565" s="16" t="inlineStr">
        <is>
          <t>fijo</t>
        </is>
      </c>
      <c r="H565" s="16" t="inlineStr">
        <is>
          <t>0.5</t>
        </is>
      </c>
      <c r="I565" s="16" t="n"/>
      <c r="J565" s="16" t="n"/>
      <c r="K565" s="16" t="n"/>
      <c r="L565" s="16" t="inlineStr">
        <is>
          <t>sí</t>
        </is>
      </c>
      <c r="M565" s="16" t="inlineStr">
        <is>
          <t>–</t>
        </is>
      </c>
      <c r="N565" s="16" t="inlineStr">
        <is>
          <t>no</t>
        </is>
      </c>
      <c r="O565" s="16" t="n"/>
    </row>
    <row r="566">
      <c r="A566" s="16" t="inlineStr">
        <is>
          <t>4.3</t>
        </is>
      </c>
      <c r="B566" s="16" t="inlineStr">
        <is>
          <t>4.3 x_b+P_baja</t>
        </is>
      </c>
      <c r="C566" s="16" t="inlineStr">
        <is>
          <t>KF-M09</t>
        </is>
      </c>
      <c r="D566" s="16" t="inlineStr">
        <is>
          <t>KF-M09-R1-x_b+P_baja</t>
        </is>
      </c>
      <c r="E566" s="16" t="inlineStr">
        <is>
          <t>B13-x_b+P_baja</t>
        </is>
      </c>
      <c r="F566" s="16" t="inlineStr">
        <is>
          <t>m_b</t>
        </is>
      </c>
      <c r="G566" s="16" t="inlineStr">
        <is>
          <t>fijo</t>
        </is>
      </c>
      <c r="H566" s="16" t="inlineStr">
        <is>
          <t>1.0</t>
        </is>
      </c>
      <c r="I566" s="16" t="n"/>
      <c r="J566" s="16" t="n"/>
      <c r="K566" s="16" t="n"/>
      <c r="L566" s="16" t="inlineStr">
        <is>
          <t>sí</t>
        </is>
      </c>
      <c r="M566" s="16" t="inlineStr">
        <is>
          <t>kg/s</t>
        </is>
      </c>
      <c r="N566" s="16" t="inlineStr">
        <is>
          <t>no</t>
        </is>
      </c>
      <c r="O566" s="16" t="n"/>
    </row>
    <row r="567">
      <c r="A567" s="16" t="inlineStr">
        <is>
          <t>4.3</t>
        </is>
      </c>
      <c r="B567" s="16" t="inlineStr">
        <is>
          <t>4.3 x_b+P_baja</t>
        </is>
      </c>
      <c r="C567" s="16" t="inlineStr">
        <is>
          <t>KF-M09</t>
        </is>
      </c>
      <c r="D567" s="16" t="inlineStr">
        <is>
          <t>KF-M09-R1-x_b+P_baja</t>
        </is>
      </c>
      <c r="E567" s="16" t="inlineStr">
        <is>
          <t>B13-x_b+P_baja</t>
        </is>
      </c>
      <c r="F567" s="16" t="inlineStr">
        <is>
          <t>eta_t</t>
        </is>
      </c>
      <c r="G567" s="16" t="inlineStr">
        <is>
          <t>barrido</t>
        </is>
      </c>
      <c r="H567" s="16" t="n"/>
      <c r="I567" s="16" t="n">
        <v>0.4030395002839141</v>
      </c>
      <c r="J567" s="16" t="n">
        <v>0.948479172951699</v>
      </c>
      <c r="K567" s="16" t="n">
        <v>30</v>
      </c>
      <c r="L567" s="16" t="n"/>
      <c r="M567" s="16" t="inlineStr">
        <is>
          <t>–</t>
        </is>
      </c>
      <c r="N567" s="16" t="inlineStr">
        <is>
          <t>no</t>
        </is>
      </c>
      <c r="O567" s="16" t="n"/>
    </row>
    <row r="568">
      <c r="A568" s="16" t="inlineStr">
        <is>
          <t>4.3</t>
        </is>
      </c>
      <c r="B568" s="16" t="inlineStr">
        <is>
          <t>4.3 x_b+P_baja</t>
        </is>
      </c>
      <c r="C568" s="16" t="inlineStr">
        <is>
          <t>KF-M09</t>
        </is>
      </c>
      <c r="D568" s="16" t="inlineStr">
        <is>
          <t>KF-M09-R1-x_b+P_baja</t>
        </is>
      </c>
      <c r="E568" s="16" t="inlineStr">
        <is>
          <t>B13-x_b+P_baja</t>
        </is>
      </c>
      <c r="F568" s="16" t="inlineStr">
        <is>
          <t>eta_p</t>
        </is>
      </c>
      <c r="G568" s="16" t="inlineStr">
        <is>
          <t>barrido</t>
        </is>
      </c>
      <c r="H568" s="16" t="n"/>
      <c r="I568" s="16" t="n">
        <v>0.4178364629239323</v>
      </c>
      <c r="J568" s="16" t="n">
        <v>0.9477736461567076</v>
      </c>
      <c r="K568" s="16" t="n">
        <v>30</v>
      </c>
      <c r="L568" s="16" t="n"/>
      <c r="M568" s="16" t="inlineStr">
        <is>
          <t>–</t>
        </is>
      </c>
      <c r="N568" s="16" t="inlineStr">
        <is>
          <t>no</t>
        </is>
      </c>
      <c r="O568" s="16" t="n"/>
    </row>
    <row r="569">
      <c r="A569" s="16" t="inlineStr">
        <is>
          <t>4.3</t>
        </is>
      </c>
      <c r="B569" s="16" t="inlineStr">
        <is>
          <t>4.3 x_b+P_baja</t>
        </is>
      </c>
      <c r="C569" s="16" t="inlineStr">
        <is>
          <t>KF-M09</t>
        </is>
      </c>
      <c r="D569" s="16" t="inlineStr">
        <is>
          <t>KF-M09-R1-x_b+P_baja</t>
        </is>
      </c>
      <c r="E569" s="16" t="inlineStr">
        <is>
          <t>B13-x_b+P_baja</t>
        </is>
      </c>
      <c r="F569" s="16" t="inlineStr">
        <is>
          <t>eps_hrvg</t>
        </is>
      </c>
      <c r="G569" s="16" t="inlineStr">
        <is>
          <t>barrido</t>
        </is>
      </c>
      <c r="H569" s="16" t="n"/>
      <c r="I569" s="16" t="n">
        <v>0.4044289873577566</v>
      </c>
      <c r="J569" s="16" t="n">
        <v>0.9426321520389606</v>
      </c>
      <c r="K569" s="16" t="n">
        <v>30</v>
      </c>
      <c r="L569" s="16" t="n"/>
      <c r="M569" s="16" t="inlineStr">
        <is>
          <t>–</t>
        </is>
      </c>
      <c r="N569" s="16" t="inlineStr">
        <is>
          <t>no</t>
        </is>
      </c>
      <c r="O569" s="16" t="n"/>
    </row>
    <row r="570">
      <c r="A570" s="16" t="inlineStr">
        <is>
          <t>4.3</t>
        </is>
      </c>
      <c r="B570" s="16" t="inlineStr">
        <is>
          <t>4.3 x_b+P_baja</t>
        </is>
      </c>
      <c r="C570" s="16" t="inlineStr">
        <is>
          <t>KF-M09</t>
        </is>
      </c>
      <c r="D570" s="16" t="inlineStr">
        <is>
          <t>KF-M09-R1-x_b+P_baja</t>
        </is>
      </c>
      <c r="E570" s="16" t="inlineStr">
        <is>
          <t>B13-x_b+P_baja</t>
        </is>
      </c>
      <c r="F570" s="16" t="inlineStr">
        <is>
          <t>eps_reg</t>
        </is>
      </c>
      <c r="G570" s="16" t="inlineStr">
        <is>
          <t>barrido</t>
        </is>
      </c>
      <c r="H570" s="16" t="n"/>
      <c r="I570" s="16" t="n">
        <v>0.4044756443082302</v>
      </c>
      <c r="J570" s="16" t="n">
        <v>0.9405239072245456</v>
      </c>
      <c r="K570" s="16" t="n">
        <v>30</v>
      </c>
      <c r="L570" s="16" t="n"/>
      <c r="M570" s="16" t="inlineStr">
        <is>
          <t>–</t>
        </is>
      </c>
      <c r="N570" s="16" t="inlineStr">
        <is>
          <t>no</t>
        </is>
      </c>
      <c r="O570" s="16" t="n"/>
    </row>
    <row r="571">
      <c r="A571" s="16" t="inlineStr">
        <is>
          <t>4.3</t>
        </is>
      </c>
      <c r="B571" s="16" t="inlineStr">
        <is>
          <t>4.3 x_b+P_baja</t>
        </is>
      </c>
      <c r="C571" s="16" t="inlineStr">
        <is>
          <t>KF-M09</t>
        </is>
      </c>
      <c r="D571" s="16" t="inlineStr">
        <is>
          <t>KF-M09-R1-x_b+P_baja</t>
        </is>
      </c>
      <c r="E571" s="16" t="inlineStr">
        <is>
          <t>B13-x_b+P_baja</t>
        </is>
      </c>
      <c r="F571" s="16" t="inlineStr">
        <is>
          <t>eps_cond</t>
        </is>
      </c>
      <c r="G571" s="16" t="inlineStr">
        <is>
          <t>barrido</t>
        </is>
      </c>
      <c r="H571" s="16" t="n"/>
      <c r="I571" s="16" t="n">
        <v>0.417172715230463</v>
      </c>
      <c r="J571" s="16" t="n">
        <v>0.9427294737208798</v>
      </c>
      <c r="K571" s="16" t="n">
        <v>30</v>
      </c>
      <c r="L571" s="16" t="n"/>
      <c r="M571" s="16" t="inlineStr">
        <is>
          <t>–</t>
        </is>
      </c>
      <c r="N571" s="16" t="inlineStr">
        <is>
          <t>no</t>
        </is>
      </c>
      <c r="O571" s="16" t="n"/>
    </row>
    <row r="572">
      <c r="A572" s="16" t="inlineStr">
        <is>
          <t>4.3</t>
        </is>
      </c>
      <c r="B572" s="16" t="inlineStr">
        <is>
          <t>4.3 x_b+P_baja</t>
        </is>
      </c>
      <c r="C572" s="16" t="inlineStr">
        <is>
          <t>KF-M09</t>
        </is>
      </c>
      <c r="D572" s="16" t="inlineStr">
        <is>
          <t>KF-M09-R1-x_b+P_baja</t>
        </is>
      </c>
      <c r="E572" s="16" t="inlineStr">
        <is>
          <t>B13-x_b+P_baja</t>
        </is>
      </c>
      <c r="F572" s="16" t="inlineStr">
        <is>
          <t>T_amb_diseno</t>
        </is>
      </c>
      <c r="G572" s="16" t="inlineStr">
        <is>
          <t>barrido</t>
        </is>
      </c>
      <c r="H572" s="16" t="n"/>
      <c r="I572" s="16" t="n">
        <v>278.738779104339</v>
      </c>
      <c r="J572" s="16" t="n">
        <v>303.4422666746702</v>
      </c>
      <c r="K572" s="16" t="n">
        <v>30</v>
      </c>
      <c r="L572" s="16" t="n"/>
      <c r="M572" s="16" t="inlineStr">
        <is>
          <t>K</t>
        </is>
      </c>
      <c r="N572" s="16" t="inlineStr">
        <is>
          <t>no</t>
        </is>
      </c>
      <c r="O572" s="16" t="n"/>
    </row>
    <row r="573">
      <c r="A573" s="16" t="inlineStr">
        <is>
          <t>4.3</t>
        </is>
      </c>
      <c r="B573" s="16" t="inlineStr">
        <is>
          <t>4.3 x_b+P_baja</t>
        </is>
      </c>
      <c r="C573" s="16" t="inlineStr">
        <is>
          <t>KF-M09</t>
        </is>
      </c>
      <c r="D573" s="16" t="inlineStr">
        <is>
          <t>KF-M09-R1-x_b+P_baja</t>
        </is>
      </c>
      <c r="E573" s="16" t="inlineStr">
        <is>
          <t>B13-x_b+P_baja</t>
        </is>
      </c>
      <c r="F573" s="16" t="inlineStr">
        <is>
          <t>motor</t>
        </is>
      </c>
      <c r="G573" s="16" t="inlineStr">
        <is>
          <t>fijo</t>
        </is>
      </c>
      <c r="H573" s="16" t="inlineStr">
        <is>
          <t>teqp</t>
        </is>
      </c>
      <c r="I573" s="16" t="n"/>
      <c r="J573" s="16" t="n"/>
      <c r="K573" s="16" t="n"/>
      <c r="L573" s="16" t="n"/>
      <c r="M573" s="16" t="inlineStr">
        <is>
          <t>–</t>
        </is>
      </c>
      <c r="N573" s="16" t="inlineStr">
        <is>
          <t>no</t>
        </is>
      </c>
      <c r="O573" s="16" t="n"/>
    </row>
    <row r="574">
      <c r="A574" s="16" t="inlineStr">
        <is>
          <t>4.3</t>
        </is>
      </c>
      <c r="B574" s="16" t="inlineStr">
        <is>
          <t>4.3 x_b+T_sumidero</t>
        </is>
      </c>
      <c r="C574" s="16" t="inlineStr">
        <is>
          <t>KF-M09</t>
        </is>
      </c>
      <c r="D574" s="16" t="inlineStr">
        <is>
          <t>KF-M09-R1-x_b+T_sumidero</t>
        </is>
      </c>
      <c r="E574" s="16" t="inlineStr">
        <is>
          <t>B13-x_b+T_sumidero</t>
        </is>
      </c>
      <c r="F574" s="16" t="inlineStr">
        <is>
          <t>T_fuente</t>
        </is>
      </c>
      <c r="G574" s="16" t="inlineStr">
        <is>
          <t>barrido</t>
        </is>
      </c>
      <c r="H574" s="16" t="n"/>
      <c r="I574" s="16" t="n">
        <v>383.8079906769507</v>
      </c>
      <c r="J574" s="16" t="n">
        <v>519.7955651428274</v>
      </c>
      <c r="K574" s="16" t="n">
        <v>30</v>
      </c>
      <c r="L574" s="16" t="n"/>
      <c r="M574" s="16" t="inlineStr">
        <is>
          <t>K</t>
        </is>
      </c>
      <c r="N574" s="16" t="inlineStr">
        <is>
          <t>no</t>
        </is>
      </c>
      <c r="O574" s="16" t="n"/>
    </row>
    <row r="575">
      <c r="A575" s="16" t="inlineStr">
        <is>
          <t>4.3</t>
        </is>
      </c>
      <c r="B575" s="16" t="inlineStr">
        <is>
          <t>4.3 x_b+T_sumidero</t>
        </is>
      </c>
      <c r="C575" s="16" t="inlineStr">
        <is>
          <t>KF-M09</t>
        </is>
      </c>
      <c r="D575" s="16" t="inlineStr">
        <is>
          <t>KF-M09-R1-x_b+T_sumidero</t>
        </is>
      </c>
      <c r="E575" s="16" t="inlineStr">
        <is>
          <t>B13-x_b+T_sumidero</t>
        </is>
      </c>
      <c r="F575" s="16" t="inlineStr">
        <is>
          <t>T_sumidero</t>
        </is>
      </c>
      <c r="G575" s="16" t="inlineStr">
        <is>
          <t>fijo</t>
        </is>
      </c>
      <c r="H575" s="16" t="inlineStr">
        <is>
          <t>300.032917</t>
        </is>
      </c>
      <c r="I575" s="16" t="n"/>
      <c r="J575" s="16" t="n"/>
      <c r="K575" s="16" t="n"/>
      <c r="L575" s="16" t="inlineStr">
        <is>
          <t>sí</t>
        </is>
      </c>
      <c r="M575" s="16" t="inlineStr">
        <is>
          <t>K</t>
        </is>
      </c>
      <c r="N575" s="16" t="inlineStr">
        <is>
          <t>no</t>
        </is>
      </c>
      <c r="O575" s="16" t="n"/>
    </row>
    <row r="576">
      <c r="A576" s="16" t="inlineStr">
        <is>
          <t>4.3</t>
        </is>
      </c>
      <c r="B576" s="16" t="inlineStr">
        <is>
          <t>4.3 x_b+T_sumidero</t>
        </is>
      </c>
      <c r="C576" s="16" t="inlineStr">
        <is>
          <t>KF-M09</t>
        </is>
      </c>
      <c r="D576" s="16" t="inlineStr">
        <is>
          <t>KF-M09-R1-x_b+T_sumidero</t>
        </is>
      </c>
      <c r="E576" s="16" t="inlineStr">
        <is>
          <t>B13-x_b+T_sumidero</t>
        </is>
      </c>
      <c r="F576" s="16" t="inlineStr">
        <is>
          <t>P_alta</t>
        </is>
      </c>
      <c r="G576" s="16" t="inlineStr">
        <is>
          <t>barrido</t>
        </is>
      </c>
      <c r="H576" s="16" t="n"/>
      <c r="I576" s="16" t="n">
        <v>2083.429315444373</v>
      </c>
      <c r="J576" s="16" t="n">
        <v>4923.780439274243</v>
      </c>
      <c r="K576" s="16" t="n">
        <v>30</v>
      </c>
      <c r="L576" s="16" t="n"/>
      <c r="M576" s="16" t="inlineStr">
        <is>
          <t>kPa</t>
        </is>
      </c>
      <c r="N576" s="16" t="inlineStr">
        <is>
          <t>no</t>
        </is>
      </c>
      <c r="O576" s="16" t="n"/>
    </row>
    <row r="577">
      <c r="A577" s="16" t="inlineStr">
        <is>
          <t>4.3</t>
        </is>
      </c>
      <c r="B577" s="16" t="inlineStr">
        <is>
          <t>4.3 x_b+T_sumidero</t>
        </is>
      </c>
      <c r="C577" s="16" t="inlineStr">
        <is>
          <t>KF-M09</t>
        </is>
      </c>
      <c r="D577" s="16" t="inlineStr">
        <is>
          <t>KF-M09-R1-x_b+T_sumidero</t>
        </is>
      </c>
      <c r="E577" s="16" t="inlineStr">
        <is>
          <t>B13-x_b+T_sumidero</t>
        </is>
      </c>
      <c r="F577" s="16" t="inlineStr">
        <is>
          <t>P_baja</t>
        </is>
      </c>
      <c r="G577" s="16" t="inlineStr">
        <is>
          <t>barrido</t>
        </is>
      </c>
      <c r="H577" s="16" t="n"/>
      <c r="I577" s="16" t="n">
        <v>312.4090999729699</v>
      </c>
      <c r="J577" s="16" t="n">
        <v>1972.60965678394</v>
      </c>
      <c r="K577" s="16" t="n">
        <v>30</v>
      </c>
      <c r="L577" s="16" t="n"/>
      <c r="M577" s="16" t="inlineStr">
        <is>
          <t>kPa</t>
        </is>
      </c>
      <c r="N577" s="16" t="inlineStr">
        <is>
          <t>no</t>
        </is>
      </c>
      <c r="O577" s="16" t="n"/>
    </row>
    <row r="578">
      <c r="A578" s="16" t="inlineStr">
        <is>
          <t>4.3</t>
        </is>
      </c>
      <c r="B578" s="16" t="inlineStr">
        <is>
          <t>4.3 x_b+T_sumidero</t>
        </is>
      </c>
      <c r="C578" s="16" t="inlineStr">
        <is>
          <t>KF-M09</t>
        </is>
      </c>
      <c r="D578" s="16" t="inlineStr">
        <is>
          <t>KF-M09-R1-x_b+T_sumidero</t>
        </is>
      </c>
      <c r="E578" s="16" t="inlineStr">
        <is>
          <t>B13-x_b+T_sumidero</t>
        </is>
      </c>
      <c r="F578" s="16" t="inlineStr">
        <is>
          <t>x_b</t>
        </is>
      </c>
      <c r="G578" s="16" t="inlineStr">
        <is>
          <t>fijo</t>
        </is>
      </c>
      <c r="H578" s="16" t="inlineStr">
        <is>
          <t>0.5</t>
        </is>
      </c>
      <c r="I578" s="16" t="n"/>
      <c r="J578" s="16" t="n"/>
      <c r="K578" s="16" t="n"/>
      <c r="L578" s="16" t="inlineStr">
        <is>
          <t>sí</t>
        </is>
      </c>
      <c r="M578" s="16" t="inlineStr">
        <is>
          <t>–</t>
        </is>
      </c>
      <c r="N578" s="16" t="inlineStr">
        <is>
          <t>no</t>
        </is>
      </c>
      <c r="O578" s="16" t="n"/>
    </row>
    <row r="579">
      <c r="A579" s="16" t="inlineStr">
        <is>
          <t>4.3</t>
        </is>
      </c>
      <c r="B579" s="16" t="inlineStr">
        <is>
          <t>4.3 x_b+T_sumidero</t>
        </is>
      </c>
      <c r="C579" s="16" t="inlineStr">
        <is>
          <t>KF-M09</t>
        </is>
      </c>
      <c r="D579" s="16" t="inlineStr">
        <is>
          <t>KF-M09-R1-x_b+T_sumidero</t>
        </is>
      </c>
      <c r="E579" s="16" t="inlineStr">
        <is>
          <t>B13-x_b+T_sumidero</t>
        </is>
      </c>
      <c r="F579" s="16" t="inlineStr">
        <is>
          <t>m_b</t>
        </is>
      </c>
      <c r="G579" s="16" t="inlineStr">
        <is>
          <t>fijo</t>
        </is>
      </c>
      <c r="H579" s="16" t="inlineStr">
        <is>
          <t>1.0</t>
        </is>
      </c>
      <c r="I579" s="16" t="n"/>
      <c r="J579" s="16" t="n"/>
      <c r="K579" s="16" t="n"/>
      <c r="L579" s="16" t="inlineStr">
        <is>
          <t>sí</t>
        </is>
      </c>
      <c r="M579" s="16" t="inlineStr">
        <is>
          <t>kg/s</t>
        </is>
      </c>
      <c r="N579" s="16" t="inlineStr">
        <is>
          <t>no</t>
        </is>
      </c>
      <c r="O579" s="16" t="n"/>
    </row>
    <row r="580">
      <c r="A580" s="16" t="inlineStr">
        <is>
          <t>4.3</t>
        </is>
      </c>
      <c r="B580" s="16" t="inlineStr">
        <is>
          <t>4.3 x_b+T_sumidero</t>
        </is>
      </c>
      <c r="C580" s="16" t="inlineStr">
        <is>
          <t>KF-M09</t>
        </is>
      </c>
      <c r="D580" s="16" t="inlineStr">
        <is>
          <t>KF-M09-R1-x_b+T_sumidero</t>
        </is>
      </c>
      <c r="E580" s="16" t="inlineStr">
        <is>
          <t>B13-x_b+T_sumidero</t>
        </is>
      </c>
      <c r="F580" s="16" t="inlineStr">
        <is>
          <t>eta_t</t>
        </is>
      </c>
      <c r="G580" s="16" t="inlineStr">
        <is>
          <t>barrido</t>
        </is>
      </c>
      <c r="H580" s="16" t="n"/>
      <c r="I580" s="16" t="n">
        <v>0.4019112814426832</v>
      </c>
      <c r="J580" s="16" t="n">
        <v>0.9333271580941404</v>
      </c>
      <c r="K580" s="16" t="n">
        <v>30</v>
      </c>
      <c r="L580" s="16" t="n"/>
      <c r="M580" s="16" t="inlineStr">
        <is>
          <t>–</t>
        </is>
      </c>
      <c r="N580" s="16" t="inlineStr">
        <is>
          <t>no</t>
        </is>
      </c>
      <c r="O580" s="16" t="n"/>
    </row>
    <row r="581">
      <c r="A581" s="16" t="inlineStr">
        <is>
          <t>4.3</t>
        </is>
      </c>
      <c r="B581" s="16" t="inlineStr">
        <is>
          <t>4.3 x_b+T_sumidero</t>
        </is>
      </c>
      <c r="C581" s="16" t="inlineStr">
        <is>
          <t>KF-M09</t>
        </is>
      </c>
      <c r="D581" s="16" t="inlineStr">
        <is>
          <t>KF-M09-R1-x_b+T_sumidero</t>
        </is>
      </c>
      <c r="E581" s="16" t="inlineStr">
        <is>
          <t>B13-x_b+T_sumidero</t>
        </is>
      </c>
      <c r="F581" s="16" t="inlineStr">
        <is>
          <t>eta_p</t>
        </is>
      </c>
      <c r="G581" s="16" t="inlineStr">
        <is>
          <t>barrido</t>
        </is>
      </c>
      <c r="H581" s="16" t="n"/>
      <c r="I581" s="16" t="n">
        <v>0.4137812335925683</v>
      </c>
      <c r="J581" s="16" t="n">
        <v>0.9412853520392614</v>
      </c>
      <c r="K581" s="16" t="n">
        <v>30</v>
      </c>
      <c r="L581" s="16" t="n"/>
      <c r="M581" s="16" t="inlineStr">
        <is>
          <t>–</t>
        </is>
      </c>
      <c r="N581" s="16" t="inlineStr">
        <is>
          <t>no</t>
        </is>
      </c>
      <c r="O581" s="16" t="n"/>
    </row>
    <row r="582">
      <c r="A582" s="16" t="inlineStr">
        <is>
          <t>4.3</t>
        </is>
      </c>
      <c r="B582" s="16" t="inlineStr">
        <is>
          <t>4.3 x_b+T_sumidero</t>
        </is>
      </c>
      <c r="C582" s="16" t="inlineStr">
        <is>
          <t>KF-M09</t>
        </is>
      </c>
      <c r="D582" s="16" t="inlineStr">
        <is>
          <t>KF-M09-R1-x_b+T_sumidero</t>
        </is>
      </c>
      <c r="E582" s="16" t="inlineStr">
        <is>
          <t>B13-x_b+T_sumidero</t>
        </is>
      </c>
      <c r="F582" s="16" t="inlineStr">
        <is>
          <t>eps_hrvg</t>
        </is>
      </c>
      <c r="G582" s="16" t="inlineStr">
        <is>
          <t>barrido</t>
        </is>
      </c>
      <c r="H582" s="16" t="n"/>
      <c r="I582" s="16" t="n">
        <v>0.4173689344063069</v>
      </c>
      <c r="J582" s="16" t="n">
        <v>0.9499338266048316</v>
      </c>
      <c r="K582" s="16" t="n">
        <v>30</v>
      </c>
      <c r="L582" s="16" t="n"/>
      <c r="M582" s="16" t="inlineStr">
        <is>
          <t>–</t>
        </is>
      </c>
      <c r="N582" s="16" t="inlineStr">
        <is>
          <t>no</t>
        </is>
      </c>
      <c r="O582" s="16" t="n"/>
    </row>
    <row r="583">
      <c r="A583" s="16" t="inlineStr">
        <is>
          <t>4.3</t>
        </is>
      </c>
      <c r="B583" s="16" t="inlineStr">
        <is>
          <t>4.3 x_b+T_sumidero</t>
        </is>
      </c>
      <c r="C583" s="16" t="inlineStr">
        <is>
          <t>KF-M09</t>
        </is>
      </c>
      <c r="D583" s="16" t="inlineStr">
        <is>
          <t>KF-M09-R1-x_b+T_sumidero</t>
        </is>
      </c>
      <c r="E583" s="16" t="inlineStr">
        <is>
          <t>B13-x_b+T_sumidero</t>
        </is>
      </c>
      <c r="F583" s="16" t="inlineStr">
        <is>
          <t>eps_reg</t>
        </is>
      </c>
      <c r="G583" s="16" t="inlineStr">
        <is>
          <t>barrido</t>
        </is>
      </c>
      <c r="H583" s="16" t="n"/>
      <c r="I583" s="16" t="n">
        <v>0.4121055275486148</v>
      </c>
      <c r="J583" s="16" t="n">
        <v>0.931980190671192</v>
      </c>
      <c r="K583" s="16" t="n">
        <v>30</v>
      </c>
      <c r="L583" s="16" t="n"/>
      <c r="M583" s="16" t="inlineStr">
        <is>
          <t>–</t>
        </is>
      </c>
      <c r="N583" s="16" t="inlineStr">
        <is>
          <t>no</t>
        </is>
      </c>
      <c r="O583" s="16" t="n"/>
    </row>
    <row r="584">
      <c r="A584" s="16" t="inlineStr">
        <is>
          <t>4.3</t>
        </is>
      </c>
      <c r="B584" s="16" t="inlineStr">
        <is>
          <t>4.3 x_b+T_sumidero</t>
        </is>
      </c>
      <c r="C584" s="16" t="inlineStr">
        <is>
          <t>KF-M09</t>
        </is>
      </c>
      <c r="D584" s="16" t="inlineStr">
        <is>
          <t>KF-M09-R1-x_b+T_sumidero</t>
        </is>
      </c>
      <c r="E584" s="16" t="inlineStr">
        <is>
          <t>B13-x_b+T_sumidero</t>
        </is>
      </c>
      <c r="F584" s="16" t="inlineStr">
        <is>
          <t>eps_cond</t>
        </is>
      </c>
      <c r="G584" s="16" t="inlineStr">
        <is>
          <t>barrido</t>
        </is>
      </c>
      <c r="H584" s="16" t="n"/>
      <c r="I584" s="16" t="n">
        <v>0.4148265181616574</v>
      </c>
      <c r="J584" s="16" t="n">
        <v>0.935608957607422</v>
      </c>
      <c r="K584" s="16" t="n">
        <v>30</v>
      </c>
      <c r="L584" s="16" t="n"/>
      <c r="M584" s="16" t="inlineStr">
        <is>
          <t>–</t>
        </is>
      </c>
      <c r="N584" s="16" t="inlineStr">
        <is>
          <t>no</t>
        </is>
      </c>
      <c r="O584" s="16" t="n"/>
    </row>
    <row r="585">
      <c r="A585" s="16" t="inlineStr">
        <is>
          <t>4.3</t>
        </is>
      </c>
      <c r="B585" s="16" t="inlineStr">
        <is>
          <t>4.3 x_b+T_sumidero</t>
        </is>
      </c>
      <c r="C585" s="16" t="inlineStr">
        <is>
          <t>KF-M09</t>
        </is>
      </c>
      <c r="D585" s="16" t="inlineStr">
        <is>
          <t>KF-M09-R1-x_b+T_sumidero</t>
        </is>
      </c>
      <c r="E585" s="16" t="inlineStr">
        <is>
          <t>B13-x_b+T_sumidero</t>
        </is>
      </c>
      <c r="F585" s="16" t="inlineStr">
        <is>
          <t>T_amb_diseno</t>
        </is>
      </c>
      <c r="G585" s="16" t="inlineStr">
        <is>
          <t>fijo</t>
        </is>
      </c>
      <c r="H585" s="16" t="inlineStr">
        <is>
          <t>300.032917</t>
        </is>
      </c>
      <c r="I585" s="16" t="n"/>
      <c r="J585" s="16" t="n"/>
      <c r="K585" s="16" t="n"/>
      <c r="L585" s="16" t="inlineStr">
        <is>
          <t>sí</t>
        </is>
      </c>
      <c r="M585" s="16" t="inlineStr">
        <is>
          <t>K</t>
        </is>
      </c>
      <c r="N585" s="16" t="inlineStr">
        <is>
          <t>no</t>
        </is>
      </c>
      <c r="O585" s="16" t="n"/>
    </row>
    <row r="586">
      <c r="A586" s="16" t="inlineStr">
        <is>
          <t>4.3</t>
        </is>
      </c>
      <c r="B586" s="16" t="inlineStr">
        <is>
          <t>4.3 x_b+T_sumidero</t>
        </is>
      </c>
      <c r="C586" s="16" t="inlineStr">
        <is>
          <t>KF-M09</t>
        </is>
      </c>
      <c r="D586" s="16" t="inlineStr">
        <is>
          <t>KF-M09-R1-x_b+T_sumidero</t>
        </is>
      </c>
      <c r="E586" s="16" t="inlineStr">
        <is>
          <t>B13-x_b+T_sumidero</t>
        </is>
      </c>
      <c r="F586" s="16" t="inlineStr">
        <is>
          <t>motor</t>
        </is>
      </c>
      <c r="G586" s="16" t="inlineStr">
        <is>
          <t>fijo</t>
        </is>
      </c>
      <c r="H586" s="16" t="inlineStr">
        <is>
          <t>teqp</t>
        </is>
      </c>
      <c r="I586" s="16" t="n"/>
      <c r="J586" s="16" t="n"/>
      <c r="K586" s="16" t="n"/>
      <c r="L586" s="16" t="n"/>
      <c r="M586" s="16" t="inlineStr">
        <is>
          <t>–</t>
        </is>
      </c>
      <c r="N586" s="16" t="inlineStr">
        <is>
          <t>no</t>
        </is>
      </c>
      <c r="O586" s="16" t="n"/>
    </row>
    <row r="587">
      <c r="A587" s="16" t="inlineStr">
        <is>
          <t>4.3</t>
        </is>
      </c>
      <c r="B587" s="16" t="inlineStr">
        <is>
          <t>4.3 x_b+P_alta+T_fuente</t>
        </is>
      </c>
      <c r="C587" s="16" t="inlineStr">
        <is>
          <t>KF-M09</t>
        </is>
      </c>
      <c r="D587" s="16" t="inlineStr">
        <is>
          <t>KF-M09-R2-x_b+P_alta+T_fuente</t>
        </is>
      </c>
      <c r="E587" s="16" t="inlineStr">
        <is>
          <t>B13-x_b+P_alta+T_fuente</t>
        </is>
      </c>
      <c r="F587" s="16" t="inlineStr">
        <is>
          <t>T_fuente</t>
        </is>
      </c>
      <c r="G587" s="16" t="inlineStr">
        <is>
          <t>fijo</t>
        </is>
      </c>
      <c r="H587" s="16" t="inlineStr">
        <is>
          <t>623.15</t>
        </is>
      </c>
      <c r="I587" s="16" t="n"/>
      <c r="J587" s="16" t="n"/>
      <c r="K587" s="16" t="n"/>
      <c r="L587" s="16" t="inlineStr">
        <is>
          <t>sí</t>
        </is>
      </c>
      <c r="M587" s="16" t="inlineStr">
        <is>
          <t>K</t>
        </is>
      </c>
      <c r="N587" s="16" t="inlineStr">
        <is>
          <t>no</t>
        </is>
      </c>
      <c r="O587" s="16" t="n"/>
    </row>
    <row r="588">
      <c r="A588" s="16" t="inlineStr">
        <is>
          <t>4.3</t>
        </is>
      </c>
      <c r="B588" s="16" t="inlineStr">
        <is>
          <t>4.3 x_b+P_alta+T_fuente</t>
        </is>
      </c>
      <c r="C588" s="16" t="inlineStr">
        <is>
          <t>KF-M09</t>
        </is>
      </c>
      <c r="D588" s="16" t="inlineStr">
        <is>
          <t>KF-M09-R2-x_b+P_alta+T_fuente</t>
        </is>
      </c>
      <c r="E588" s="16" t="inlineStr">
        <is>
          <t>B13-x_b+P_alta+T_fuente</t>
        </is>
      </c>
      <c r="F588" s="16" t="inlineStr">
        <is>
          <t>T_sumidero</t>
        </is>
      </c>
      <c r="G588" s="16" t="inlineStr">
        <is>
          <t>barrido</t>
        </is>
      </c>
      <c r="H588" s="16" t="n"/>
      <c r="I588" s="16" t="n">
        <v>278.6035681835484</v>
      </c>
      <c r="J588" s="16" t="n">
        <v>303.078613737314</v>
      </c>
      <c r="K588" s="16" t="n">
        <v>30</v>
      </c>
      <c r="L588" s="16" t="n"/>
      <c r="M588" s="16" t="inlineStr">
        <is>
          <t>K</t>
        </is>
      </c>
      <c r="N588" s="16" t="inlineStr">
        <is>
          <t>no</t>
        </is>
      </c>
      <c r="O588" s="16" t="n"/>
    </row>
    <row r="589">
      <c r="A589" s="16" t="inlineStr">
        <is>
          <t>4.3</t>
        </is>
      </c>
      <c r="B589" s="16" t="inlineStr">
        <is>
          <t>4.3 x_b+P_alta+T_fuente</t>
        </is>
      </c>
      <c r="C589" s="16" t="inlineStr">
        <is>
          <t>KF-M09</t>
        </is>
      </c>
      <c r="D589" s="16" t="inlineStr">
        <is>
          <t>KF-M09-R2-x_b+P_alta+T_fuente</t>
        </is>
      </c>
      <c r="E589" s="16" t="inlineStr">
        <is>
          <t>B13-x_b+P_alta+T_fuente</t>
        </is>
      </c>
      <c r="F589" s="16" t="inlineStr">
        <is>
          <t>P_alta</t>
        </is>
      </c>
      <c r="G589" s="16" t="inlineStr">
        <is>
          <t>fijo</t>
        </is>
      </c>
      <c r="H589" s="16" t="inlineStr">
        <is>
          <t>3000.0</t>
        </is>
      </c>
      <c r="I589" s="16" t="n"/>
      <c r="J589" s="16" t="n"/>
      <c r="K589" s="16" t="n"/>
      <c r="L589" s="16" t="inlineStr">
        <is>
          <t>sí</t>
        </is>
      </c>
      <c r="M589" s="16" t="inlineStr">
        <is>
          <t>kPa</t>
        </is>
      </c>
      <c r="N589" s="16" t="inlineStr">
        <is>
          <t>no</t>
        </is>
      </c>
      <c r="O589" s="16" t="n"/>
    </row>
    <row r="590">
      <c r="A590" s="16" t="inlineStr">
        <is>
          <t>4.3</t>
        </is>
      </c>
      <c r="B590" s="16" t="inlineStr">
        <is>
          <t>4.3 x_b+P_alta+T_fuente</t>
        </is>
      </c>
      <c r="C590" s="16" t="inlineStr">
        <is>
          <t>KF-M09</t>
        </is>
      </c>
      <c r="D590" s="16" t="inlineStr">
        <is>
          <t>KF-M09-R2-x_b+P_alta+T_fuente</t>
        </is>
      </c>
      <c r="E590" s="16" t="inlineStr">
        <is>
          <t>B13-x_b+P_alta+T_fuente</t>
        </is>
      </c>
      <c r="F590" s="16" t="inlineStr">
        <is>
          <t>P_baja</t>
        </is>
      </c>
      <c r="G590" s="16" t="inlineStr">
        <is>
          <t>barrido</t>
        </is>
      </c>
      <c r="H590" s="16" t="n"/>
      <c r="I590" s="16" t="n">
        <v>311.1661409391682</v>
      </c>
      <c r="J590" s="16" t="n">
        <v>1974.733538765139</v>
      </c>
      <c r="K590" s="16" t="n">
        <v>30</v>
      </c>
      <c r="L590" s="16" t="n"/>
      <c r="M590" s="16" t="inlineStr">
        <is>
          <t>kPa</t>
        </is>
      </c>
      <c r="N590" s="16" t="inlineStr">
        <is>
          <t>no</t>
        </is>
      </c>
      <c r="O590" s="16" t="n"/>
    </row>
    <row r="591">
      <c r="A591" s="16" t="inlineStr">
        <is>
          <t>4.3</t>
        </is>
      </c>
      <c r="B591" s="16" t="inlineStr">
        <is>
          <t>4.3 x_b+P_alta+T_fuente</t>
        </is>
      </c>
      <c r="C591" s="16" t="inlineStr">
        <is>
          <t>KF-M09</t>
        </is>
      </c>
      <c r="D591" s="16" t="inlineStr">
        <is>
          <t>KF-M09-R2-x_b+P_alta+T_fuente</t>
        </is>
      </c>
      <c r="E591" s="16" t="inlineStr">
        <is>
          <t>B13-x_b+P_alta+T_fuente</t>
        </is>
      </c>
      <c r="F591" s="16" t="inlineStr">
        <is>
          <t>x_b</t>
        </is>
      </c>
      <c r="G591" s="16" t="inlineStr">
        <is>
          <t>fijo</t>
        </is>
      </c>
      <c r="H591" s="16" t="inlineStr">
        <is>
          <t>0.5</t>
        </is>
      </c>
      <c r="I591" s="16" t="n"/>
      <c r="J591" s="16" t="n"/>
      <c r="K591" s="16" t="n"/>
      <c r="L591" s="16" t="inlineStr">
        <is>
          <t>sí</t>
        </is>
      </c>
      <c r="M591" s="16" t="inlineStr">
        <is>
          <t>–</t>
        </is>
      </c>
      <c r="N591" s="16" t="inlineStr">
        <is>
          <t>no</t>
        </is>
      </c>
      <c r="O591" s="16" t="n"/>
    </row>
    <row r="592">
      <c r="A592" s="16" t="inlineStr">
        <is>
          <t>4.3</t>
        </is>
      </c>
      <c r="B592" s="16" t="inlineStr">
        <is>
          <t>4.3 x_b+P_alta+T_fuente</t>
        </is>
      </c>
      <c r="C592" s="16" t="inlineStr">
        <is>
          <t>KF-M09</t>
        </is>
      </c>
      <c r="D592" s="16" t="inlineStr">
        <is>
          <t>KF-M09-R2-x_b+P_alta+T_fuente</t>
        </is>
      </c>
      <c r="E592" s="16" t="inlineStr">
        <is>
          <t>B13-x_b+P_alta+T_fuente</t>
        </is>
      </c>
      <c r="F592" s="16" t="inlineStr">
        <is>
          <t>m_b</t>
        </is>
      </c>
      <c r="G592" s="16" t="inlineStr">
        <is>
          <t>fijo</t>
        </is>
      </c>
      <c r="H592" s="16" t="inlineStr">
        <is>
          <t>1.0</t>
        </is>
      </c>
      <c r="I592" s="16" t="n"/>
      <c r="J592" s="16" t="n"/>
      <c r="K592" s="16" t="n"/>
      <c r="L592" s="16" t="inlineStr">
        <is>
          <t>sí</t>
        </is>
      </c>
      <c r="M592" s="16" t="inlineStr">
        <is>
          <t>kg/s</t>
        </is>
      </c>
      <c r="N592" s="16" t="inlineStr">
        <is>
          <t>no</t>
        </is>
      </c>
      <c r="O592" s="16" t="n"/>
    </row>
    <row r="593">
      <c r="A593" s="16" t="inlineStr">
        <is>
          <t>4.3</t>
        </is>
      </c>
      <c r="B593" s="16" t="inlineStr">
        <is>
          <t>4.3 x_b+P_alta+T_fuente</t>
        </is>
      </c>
      <c r="C593" s="16" t="inlineStr">
        <is>
          <t>KF-M09</t>
        </is>
      </c>
      <c r="D593" s="16" t="inlineStr">
        <is>
          <t>KF-M09-R2-x_b+P_alta+T_fuente</t>
        </is>
      </c>
      <c r="E593" s="16" t="inlineStr">
        <is>
          <t>B13-x_b+P_alta+T_fuente</t>
        </is>
      </c>
      <c r="F593" s="16" t="inlineStr">
        <is>
          <t>eta_t</t>
        </is>
      </c>
      <c r="G593" s="16" t="inlineStr">
        <is>
          <t>barrido</t>
        </is>
      </c>
      <c r="H593" s="16" t="n"/>
      <c r="I593" s="16" t="n">
        <v>0.4050288781728138</v>
      </c>
      <c r="J593" s="16" t="n">
        <v>0.9433418273026264</v>
      </c>
      <c r="K593" s="16" t="n">
        <v>30</v>
      </c>
      <c r="L593" s="16" t="n"/>
      <c r="M593" s="16" t="inlineStr">
        <is>
          <t>–</t>
        </is>
      </c>
      <c r="N593" s="16" t="inlineStr">
        <is>
          <t>no</t>
        </is>
      </c>
      <c r="O593" s="16" t="n"/>
    </row>
    <row r="594">
      <c r="A594" s="16" t="inlineStr">
        <is>
          <t>4.3</t>
        </is>
      </c>
      <c r="B594" s="16" t="inlineStr">
        <is>
          <t>4.3 x_b+P_alta+T_fuente</t>
        </is>
      </c>
      <c r="C594" s="16" t="inlineStr">
        <is>
          <t>KF-M09</t>
        </is>
      </c>
      <c r="D594" s="16" t="inlineStr">
        <is>
          <t>KF-M09-R2-x_b+P_alta+T_fuente</t>
        </is>
      </c>
      <c r="E594" s="16" t="inlineStr">
        <is>
          <t>B13-x_b+P_alta+T_fuente</t>
        </is>
      </c>
      <c r="F594" s="16" t="inlineStr">
        <is>
          <t>eta_p</t>
        </is>
      </c>
      <c r="G594" s="16" t="inlineStr">
        <is>
          <t>barrido</t>
        </is>
      </c>
      <c r="H594" s="16" t="n"/>
      <c r="I594" s="16" t="n">
        <v>0.4076984229239016</v>
      </c>
      <c r="J594" s="16" t="n">
        <v>0.9389202455978716</v>
      </c>
      <c r="K594" s="16" t="n">
        <v>30</v>
      </c>
      <c r="L594" s="16" t="n"/>
      <c r="M594" s="16" t="inlineStr">
        <is>
          <t>–</t>
        </is>
      </c>
      <c r="N594" s="16" t="inlineStr">
        <is>
          <t>no</t>
        </is>
      </c>
      <c r="O594" s="16" t="n"/>
    </row>
    <row r="595">
      <c r="A595" s="16" t="inlineStr">
        <is>
          <t>4.3</t>
        </is>
      </c>
      <c r="B595" s="16" t="inlineStr">
        <is>
          <t>4.3 x_b+P_alta+T_fuente</t>
        </is>
      </c>
      <c r="C595" s="16" t="inlineStr">
        <is>
          <t>KF-M09</t>
        </is>
      </c>
      <c r="D595" s="16" t="inlineStr">
        <is>
          <t>KF-M09-R2-x_b+P_alta+T_fuente</t>
        </is>
      </c>
      <c r="E595" s="16" t="inlineStr">
        <is>
          <t>B13-x_b+P_alta+T_fuente</t>
        </is>
      </c>
      <c r="F595" s="16" t="inlineStr">
        <is>
          <t>eps_hrvg</t>
        </is>
      </c>
      <c r="G595" s="16" t="inlineStr">
        <is>
          <t>barrido</t>
        </is>
      </c>
      <c r="H595" s="16" t="n"/>
      <c r="I595" s="16" t="n">
        <v>0.4097101644455598</v>
      </c>
      <c r="J595" s="16" t="n">
        <v>0.9339388349145784</v>
      </c>
      <c r="K595" s="16" t="n">
        <v>30</v>
      </c>
      <c r="L595" s="16" t="n"/>
      <c r="M595" s="16" t="inlineStr">
        <is>
          <t>–</t>
        </is>
      </c>
      <c r="N595" s="16" t="inlineStr">
        <is>
          <t>no</t>
        </is>
      </c>
      <c r="O595" s="16" t="n"/>
    </row>
    <row r="596">
      <c r="A596" s="16" t="inlineStr">
        <is>
          <t>4.3</t>
        </is>
      </c>
      <c r="B596" s="16" t="inlineStr">
        <is>
          <t>4.3 x_b+P_alta+T_fuente</t>
        </is>
      </c>
      <c r="C596" s="16" t="inlineStr">
        <is>
          <t>KF-M09</t>
        </is>
      </c>
      <c r="D596" s="16" t="inlineStr">
        <is>
          <t>KF-M09-R2-x_b+P_alta+T_fuente</t>
        </is>
      </c>
      <c r="E596" s="16" t="inlineStr">
        <is>
          <t>B13-x_b+P_alta+T_fuente</t>
        </is>
      </c>
      <c r="F596" s="16" t="inlineStr">
        <is>
          <t>eps_reg</t>
        </is>
      </c>
      <c r="G596" s="16" t="inlineStr">
        <is>
          <t>barrido</t>
        </is>
      </c>
      <c r="H596" s="16" t="n"/>
      <c r="I596" s="16" t="n">
        <v>0.4099062617363282</v>
      </c>
      <c r="J596" s="16" t="n">
        <v>0.9464138917984696</v>
      </c>
      <c r="K596" s="16" t="n">
        <v>30</v>
      </c>
      <c r="L596" s="16" t="n"/>
      <c r="M596" s="16" t="inlineStr">
        <is>
          <t>–</t>
        </is>
      </c>
      <c r="N596" s="16" t="inlineStr">
        <is>
          <t>no</t>
        </is>
      </c>
      <c r="O596" s="16" t="n"/>
    </row>
    <row r="597">
      <c r="A597" s="16" t="inlineStr">
        <is>
          <t>4.3</t>
        </is>
      </c>
      <c r="B597" s="16" t="inlineStr">
        <is>
          <t>4.3 x_b+P_alta+T_fuente</t>
        </is>
      </c>
      <c r="C597" s="16" t="inlineStr">
        <is>
          <t>KF-M09</t>
        </is>
      </c>
      <c r="D597" s="16" t="inlineStr">
        <is>
          <t>KF-M09-R2-x_b+P_alta+T_fuente</t>
        </is>
      </c>
      <c r="E597" s="16" t="inlineStr">
        <is>
          <t>B13-x_b+P_alta+T_fuente</t>
        </is>
      </c>
      <c r="F597" s="16" t="inlineStr">
        <is>
          <t>eps_cond</t>
        </is>
      </c>
      <c r="G597" s="16" t="inlineStr">
        <is>
          <t>barrido</t>
        </is>
      </c>
      <c r="H597" s="16" t="n"/>
      <c r="I597" s="16" t="n">
        <v>0.410205388194882</v>
      </c>
      <c r="J597" s="16" t="n">
        <v>0.9460980564672116</v>
      </c>
      <c r="K597" s="16" t="n">
        <v>30</v>
      </c>
      <c r="L597" s="16" t="n"/>
      <c r="M597" s="16" t="inlineStr">
        <is>
          <t>–</t>
        </is>
      </c>
      <c r="N597" s="16" t="inlineStr">
        <is>
          <t>no</t>
        </is>
      </c>
      <c r="O597" s="16" t="n"/>
    </row>
    <row r="598">
      <c r="A598" s="16" t="inlineStr">
        <is>
          <t>4.3</t>
        </is>
      </c>
      <c r="B598" s="16" t="inlineStr">
        <is>
          <t>4.3 x_b+P_alta+T_fuente</t>
        </is>
      </c>
      <c r="C598" s="16" t="inlineStr">
        <is>
          <t>KF-M09</t>
        </is>
      </c>
      <c r="D598" s="16" t="inlineStr">
        <is>
          <t>KF-M09-R2-x_b+P_alta+T_fuente</t>
        </is>
      </c>
      <c r="E598" s="16" t="inlineStr">
        <is>
          <t>B13-x_b+P_alta+T_fuente</t>
        </is>
      </c>
      <c r="F598" s="16" t="inlineStr">
        <is>
          <t>T_amb_diseno</t>
        </is>
      </c>
      <c r="G598" s="16" t="inlineStr">
        <is>
          <t>barrido</t>
        </is>
      </c>
      <c r="H598" s="16" t="n"/>
      <c r="I598" s="16" t="n">
        <v>278.6035681835484</v>
      </c>
      <c r="J598" s="16" t="n">
        <v>303.078613737314</v>
      </c>
      <c r="K598" s="16" t="n">
        <v>30</v>
      </c>
      <c r="L598" s="16" t="n"/>
      <c r="M598" s="16" t="inlineStr">
        <is>
          <t>K</t>
        </is>
      </c>
      <c r="N598" s="16" t="inlineStr">
        <is>
          <t>no</t>
        </is>
      </c>
      <c r="O598" s="16" t="n"/>
    </row>
    <row r="599">
      <c r="A599" s="16" t="inlineStr">
        <is>
          <t>4.3</t>
        </is>
      </c>
      <c r="B599" s="16" t="inlineStr">
        <is>
          <t>4.3 x_b+P_alta+T_fuente</t>
        </is>
      </c>
      <c r="C599" s="16" t="inlineStr">
        <is>
          <t>KF-M09</t>
        </is>
      </c>
      <c r="D599" s="16" t="inlineStr">
        <is>
          <t>KF-M09-R2-x_b+P_alta+T_fuente</t>
        </is>
      </c>
      <c r="E599" s="16" t="inlineStr">
        <is>
          <t>B13-x_b+P_alta+T_fuente</t>
        </is>
      </c>
      <c r="F599" s="16" t="inlineStr">
        <is>
          <t>motor</t>
        </is>
      </c>
      <c r="G599" s="16" t="inlineStr">
        <is>
          <t>fijo</t>
        </is>
      </c>
      <c r="H599" s="16" t="inlineStr">
        <is>
          <t>teqp</t>
        </is>
      </c>
      <c r="I599" s="16" t="n"/>
      <c r="J599" s="16" t="n"/>
      <c r="K599" s="16" t="n"/>
      <c r="L599" s="16" t="n"/>
      <c r="M599" s="16" t="inlineStr">
        <is>
          <t>–</t>
        </is>
      </c>
      <c r="N599" s="16" t="inlineStr">
        <is>
          <t>no</t>
        </is>
      </c>
      <c r="O599" s="16" t="n"/>
    </row>
    <row r="600">
      <c r="A600" s="16" t="inlineStr">
        <is>
          <t>4.3</t>
        </is>
      </c>
      <c r="B600" s="16" t="inlineStr">
        <is>
          <t>4.3 x_b+P_alta+eficiencias</t>
        </is>
      </c>
      <c r="C600" s="16" t="inlineStr">
        <is>
          <t>KF-M09</t>
        </is>
      </c>
      <c r="D600" s="16" t="inlineStr">
        <is>
          <t>KF-M09-R2-x_b+P_alta+eficiencias</t>
        </is>
      </c>
      <c r="E600" s="16" t="inlineStr">
        <is>
          <t>B13-x_b+P_alta+eficiencias</t>
        </is>
      </c>
      <c r="F600" s="16" t="inlineStr">
        <is>
          <t>T_fuente</t>
        </is>
      </c>
      <c r="G600" s="16" t="inlineStr">
        <is>
          <t>barrido</t>
        </is>
      </c>
      <c r="H600" s="16" t="n"/>
      <c r="I600" s="16" t="n">
        <v>381.6544409615065</v>
      </c>
      <c r="J600" s="16" t="n">
        <v>516.6508198238442</v>
      </c>
      <c r="K600" s="16" t="n">
        <v>30</v>
      </c>
      <c r="L600" s="16" t="n"/>
      <c r="M600" s="16" t="inlineStr">
        <is>
          <t>K</t>
        </is>
      </c>
      <c r="N600" s="16" t="inlineStr">
        <is>
          <t>no</t>
        </is>
      </c>
      <c r="O600" s="16" t="n"/>
    </row>
    <row r="601">
      <c r="A601" s="16" t="inlineStr">
        <is>
          <t>4.3</t>
        </is>
      </c>
      <c r="B601" s="16" t="inlineStr">
        <is>
          <t>4.3 x_b+P_alta+eficiencias</t>
        </is>
      </c>
      <c r="C601" s="16" t="inlineStr">
        <is>
          <t>KF-M09</t>
        </is>
      </c>
      <c r="D601" s="16" t="inlineStr">
        <is>
          <t>KF-M09-R2-x_b+P_alta+eficiencias</t>
        </is>
      </c>
      <c r="E601" s="16" t="inlineStr">
        <is>
          <t>B13-x_b+P_alta+eficiencias</t>
        </is>
      </c>
      <c r="F601" s="16" t="inlineStr">
        <is>
          <t>T_sumidero</t>
        </is>
      </c>
      <c r="G601" s="16" t="inlineStr">
        <is>
          <t>barrido</t>
        </is>
      </c>
      <c r="H601" s="16" t="n"/>
      <c r="I601" s="16" t="n">
        <v>278.4061491741137</v>
      </c>
      <c r="J601" s="16" t="n">
        <v>303.2347260797284</v>
      </c>
      <c r="K601" s="16" t="n">
        <v>30</v>
      </c>
      <c r="L601" s="16" t="n"/>
      <c r="M601" s="16" t="inlineStr">
        <is>
          <t>K</t>
        </is>
      </c>
      <c r="N601" s="16" t="inlineStr">
        <is>
          <t>no</t>
        </is>
      </c>
      <c r="O601" s="16" t="n"/>
    </row>
    <row r="602">
      <c r="A602" s="16" t="inlineStr">
        <is>
          <t>4.3</t>
        </is>
      </c>
      <c r="B602" s="16" t="inlineStr">
        <is>
          <t>4.3 x_b+P_alta+eficiencias</t>
        </is>
      </c>
      <c r="C602" s="16" t="inlineStr">
        <is>
          <t>KF-M09</t>
        </is>
      </c>
      <c r="D602" s="16" t="inlineStr">
        <is>
          <t>KF-M09-R2-x_b+P_alta+eficiencias</t>
        </is>
      </c>
      <c r="E602" s="16" t="inlineStr">
        <is>
          <t>B13-x_b+P_alta+eficiencias</t>
        </is>
      </c>
      <c r="F602" s="16" t="inlineStr">
        <is>
          <t>P_alta</t>
        </is>
      </c>
      <c r="G602" s="16" t="inlineStr">
        <is>
          <t>fijo</t>
        </is>
      </c>
      <c r="H602" s="16" t="inlineStr">
        <is>
          <t>3000.0</t>
        </is>
      </c>
      <c r="I602" s="16" t="n"/>
      <c r="J602" s="16" t="n"/>
      <c r="K602" s="16" t="n"/>
      <c r="L602" s="16" t="inlineStr">
        <is>
          <t>sí</t>
        </is>
      </c>
      <c r="M602" s="16" t="inlineStr">
        <is>
          <t>kPa</t>
        </is>
      </c>
      <c r="N602" s="16" t="inlineStr">
        <is>
          <t>no</t>
        </is>
      </c>
      <c r="O602" s="16" t="n"/>
    </row>
    <row r="603">
      <c r="A603" s="16" t="inlineStr">
        <is>
          <t>4.3</t>
        </is>
      </c>
      <c r="B603" s="16" t="inlineStr">
        <is>
          <t>4.3 x_b+P_alta+eficiencias</t>
        </is>
      </c>
      <c r="C603" s="16" t="inlineStr">
        <is>
          <t>KF-M09</t>
        </is>
      </c>
      <c r="D603" s="16" t="inlineStr">
        <is>
          <t>KF-M09-R2-x_b+P_alta+eficiencias</t>
        </is>
      </c>
      <c r="E603" s="16" t="inlineStr">
        <is>
          <t>B13-x_b+P_alta+eficiencias</t>
        </is>
      </c>
      <c r="F603" s="16" t="inlineStr">
        <is>
          <t>P_baja</t>
        </is>
      </c>
      <c r="G603" s="16" t="inlineStr">
        <is>
          <t>barrido</t>
        </is>
      </c>
      <c r="H603" s="16" t="n"/>
      <c r="I603" s="16" t="n">
        <v>306.7258202143635</v>
      </c>
      <c r="J603" s="16" t="n">
        <v>1963.083857452022</v>
      </c>
      <c r="K603" s="16" t="n">
        <v>30</v>
      </c>
      <c r="L603" s="16" t="n"/>
      <c r="M603" s="16" t="inlineStr">
        <is>
          <t>kPa</t>
        </is>
      </c>
      <c r="N603" s="16" t="inlineStr">
        <is>
          <t>no</t>
        </is>
      </c>
      <c r="O603" s="16" t="n"/>
    </row>
    <row r="604">
      <c r="A604" s="16" t="inlineStr">
        <is>
          <t>4.3</t>
        </is>
      </c>
      <c r="B604" s="16" t="inlineStr">
        <is>
          <t>4.3 x_b+P_alta+eficiencias</t>
        </is>
      </c>
      <c r="C604" s="16" t="inlineStr">
        <is>
          <t>KF-M09</t>
        </is>
      </c>
      <c r="D604" s="16" t="inlineStr">
        <is>
          <t>KF-M09-R2-x_b+P_alta+eficiencias</t>
        </is>
      </c>
      <c r="E604" s="16" t="inlineStr">
        <is>
          <t>B13-x_b+P_alta+eficiencias</t>
        </is>
      </c>
      <c r="F604" s="16" t="inlineStr">
        <is>
          <t>x_b</t>
        </is>
      </c>
      <c r="G604" s="16" t="inlineStr">
        <is>
          <t>fijo</t>
        </is>
      </c>
      <c r="H604" s="16" t="inlineStr">
        <is>
          <t>0.5</t>
        </is>
      </c>
      <c r="I604" s="16" t="n"/>
      <c r="J604" s="16" t="n"/>
      <c r="K604" s="16" t="n"/>
      <c r="L604" s="16" t="inlineStr">
        <is>
          <t>sí</t>
        </is>
      </c>
      <c r="M604" s="16" t="inlineStr">
        <is>
          <t>–</t>
        </is>
      </c>
      <c r="N604" s="16" t="inlineStr">
        <is>
          <t>no</t>
        </is>
      </c>
      <c r="O604" s="16" t="n"/>
    </row>
    <row r="605">
      <c r="A605" s="16" t="inlineStr">
        <is>
          <t>4.3</t>
        </is>
      </c>
      <c r="B605" s="16" t="inlineStr">
        <is>
          <t>4.3 x_b+P_alta+eficiencias</t>
        </is>
      </c>
      <c r="C605" s="16" t="inlineStr">
        <is>
          <t>KF-M09</t>
        </is>
      </c>
      <c r="D605" s="16" t="inlineStr">
        <is>
          <t>KF-M09-R2-x_b+P_alta+eficiencias</t>
        </is>
      </c>
      <c r="E605" s="16" t="inlineStr">
        <is>
          <t>B13-x_b+P_alta+eficiencias</t>
        </is>
      </c>
      <c r="F605" s="16" t="inlineStr">
        <is>
          <t>m_b</t>
        </is>
      </c>
      <c r="G605" s="16" t="inlineStr">
        <is>
          <t>fijo</t>
        </is>
      </c>
      <c r="H605" s="16" t="inlineStr">
        <is>
          <t>1.0</t>
        </is>
      </c>
      <c r="I605" s="16" t="n"/>
      <c r="J605" s="16" t="n"/>
      <c r="K605" s="16" t="n"/>
      <c r="L605" s="16" t="inlineStr">
        <is>
          <t>sí</t>
        </is>
      </c>
      <c r="M605" s="16" t="inlineStr">
        <is>
          <t>kg/s</t>
        </is>
      </c>
      <c r="N605" s="16" t="inlineStr">
        <is>
          <t>no</t>
        </is>
      </c>
      <c r="O605" s="16" t="n"/>
    </row>
    <row r="606">
      <c r="A606" s="16" t="inlineStr">
        <is>
          <t>4.3</t>
        </is>
      </c>
      <c r="B606" s="16" t="inlineStr">
        <is>
          <t>4.3 x_b+P_alta+eficiencias</t>
        </is>
      </c>
      <c r="C606" s="16" t="inlineStr">
        <is>
          <t>KF-M09</t>
        </is>
      </c>
      <c r="D606" s="16" t="inlineStr">
        <is>
          <t>KF-M09-R2-x_b+P_alta+eficiencias</t>
        </is>
      </c>
      <c r="E606" s="16" t="inlineStr">
        <is>
          <t>B13-x_b+P_alta+eficiencias</t>
        </is>
      </c>
      <c r="F606" s="16" t="inlineStr">
        <is>
          <t>eta_t</t>
        </is>
      </c>
      <c r="G606" s="16" t="inlineStr">
        <is>
          <t>fijo</t>
        </is>
      </c>
      <c r="H606" s="16" t="inlineStr">
        <is>
          <t>0.85</t>
        </is>
      </c>
      <c r="I606" s="16" t="n"/>
      <c r="J606" s="16" t="n"/>
      <c r="K606" s="16" t="n"/>
      <c r="L606" s="16" t="inlineStr">
        <is>
          <t>sí</t>
        </is>
      </c>
      <c r="M606" s="16" t="inlineStr">
        <is>
          <t>–</t>
        </is>
      </c>
      <c r="N606" s="16" t="inlineStr">
        <is>
          <t>no</t>
        </is>
      </c>
      <c r="O606" s="16" t="n"/>
    </row>
    <row r="607">
      <c r="A607" s="16" t="inlineStr">
        <is>
          <t>4.3</t>
        </is>
      </c>
      <c r="B607" s="16" t="inlineStr">
        <is>
          <t>4.3 x_b+P_alta+eficiencias</t>
        </is>
      </c>
      <c r="C607" s="16" t="inlineStr">
        <is>
          <t>KF-M09</t>
        </is>
      </c>
      <c r="D607" s="16" t="inlineStr">
        <is>
          <t>KF-M09-R2-x_b+P_alta+eficiencias</t>
        </is>
      </c>
      <c r="E607" s="16" t="inlineStr">
        <is>
          <t>B13-x_b+P_alta+eficiencias</t>
        </is>
      </c>
      <c r="F607" s="16" t="inlineStr">
        <is>
          <t>eta_p</t>
        </is>
      </c>
      <c r="G607" s="16" t="inlineStr">
        <is>
          <t>fijo</t>
        </is>
      </c>
      <c r="H607" s="16" t="inlineStr">
        <is>
          <t>0.75</t>
        </is>
      </c>
      <c r="I607" s="16" t="n"/>
      <c r="J607" s="16" t="n"/>
      <c r="K607" s="16" t="n"/>
      <c r="L607" s="16" t="inlineStr">
        <is>
          <t>sí</t>
        </is>
      </c>
      <c r="M607" s="16" t="inlineStr">
        <is>
          <t>–</t>
        </is>
      </c>
      <c r="N607" s="16" t="inlineStr">
        <is>
          <t>no</t>
        </is>
      </c>
      <c r="O607" s="16" t="n"/>
    </row>
    <row r="608">
      <c r="A608" s="16" t="inlineStr">
        <is>
          <t>4.3</t>
        </is>
      </c>
      <c r="B608" s="16" t="inlineStr">
        <is>
          <t>4.3 x_b+P_alta+eficiencias</t>
        </is>
      </c>
      <c r="C608" s="16" t="inlineStr">
        <is>
          <t>KF-M09</t>
        </is>
      </c>
      <c r="D608" s="16" t="inlineStr">
        <is>
          <t>KF-M09-R2-x_b+P_alta+eficiencias</t>
        </is>
      </c>
      <c r="E608" s="16" t="inlineStr">
        <is>
          <t>B13-x_b+P_alta+eficiencias</t>
        </is>
      </c>
      <c r="F608" s="16" t="inlineStr">
        <is>
          <t>eps_hrvg</t>
        </is>
      </c>
      <c r="G608" s="16" t="inlineStr">
        <is>
          <t>fijo</t>
        </is>
      </c>
      <c r="H608" s="16" t="inlineStr">
        <is>
          <t>0.85</t>
        </is>
      </c>
      <c r="I608" s="16" t="n"/>
      <c r="J608" s="16" t="n"/>
      <c r="K608" s="16" t="n"/>
      <c r="L608" s="16" t="inlineStr">
        <is>
          <t>sí</t>
        </is>
      </c>
      <c r="M608" s="16" t="inlineStr">
        <is>
          <t>–</t>
        </is>
      </c>
      <c r="N608" s="16" t="inlineStr">
        <is>
          <t>no</t>
        </is>
      </c>
      <c r="O608" s="16" t="n"/>
    </row>
    <row r="609">
      <c r="A609" s="16" t="inlineStr">
        <is>
          <t>4.3</t>
        </is>
      </c>
      <c r="B609" s="16" t="inlineStr">
        <is>
          <t>4.3 x_b+P_alta+eficiencias</t>
        </is>
      </c>
      <c r="C609" s="16" t="inlineStr">
        <is>
          <t>KF-M09</t>
        </is>
      </c>
      <c r="D609" s="16" t="inlineStr">
        <is>
          <t>KF-M09-R2-x_b+P_alta+eficiencias</t>
        </is>
      </c>
      <c r="E609" s="16" t="inlineStr">
        <is>
          <t>B13-x_b+P_alta+eficiencias</t>
        </is>
      </c>
      <c r="F609" s="16" t="inlineStr">
        <is>
          <t>eps_reg</t>
        </is>
      </c>
      <c r="G609" s="16" t="inlineStr">
        <is>
          <t>fijo</t>
        </is>
      </c>
      <c r="H609" s="16" t="inlineStr">
        <is>
          <t>0.75</t>
        </is>
      </c>
      <c r="I609" s="16" t="n"/>
      <c r="J609" s="16" t="n"/>
      <c r="K609" s="16" t="n"/>
      <c r="L609" s="16" t="inlineStr">
        <is>
          <t>sí</t>
        </is>
      </c>
      <c r="M609" s="16" t="inlineStr">
        <is>
          <t>–</t>
        </is>
      </c>
      <c r="N609" s="16" t="inlineStr">
        <is>
          <t>no</t>
        </is>
      </c>
      <c r="O609" s="16" t="n"/>
    </row>
    <row r="610">
      <c r="A610" s="16" t="inlineStr">
        <is>
          <t>4.3</t>
        </is>
      </c>
      <c r="B610" s="16" t="inlineStr">
        <is>
          <t>4.3 x_b+P_alta+eficiencias</t>
        </is>
      </c>
      <c r="C610" s="16" t="inlineStr">
        <is>
          <t>KF-M09</t>
        </is>
      </c>
      <c r="D610" s="16" t="inlineStr">
        <is>
          <t>KF-M09-R2-x_b+P_alta+eficiencias</t>
        </is>
      </c>
      <c r="E610" s="16" t="inlineStr">
        <is>
          <t>B13-x_b+P_alta+eficiencias</t>
        </is>
      </c>
      <c r="F610" s="16" t="inlineStr">
        <is>
          <t>eps_cond</t>
        </is>
      </c>
      <c r="G610" s="16" t="inlineStr">
        <is>
          <t>fijo</t>
        </is>
      </c>
      <c r="H610" s="16" t="inlineStr">
        <is>
          <t>0.8</t>
        </is>
      </c>
      <c r="I610" s="16" t="n"/>
      <c r="J610" s="16" t="n"/>
      <c r="K610" s="16" t="n"/>
      <c r="L610" s="16" t="inlineStr">
        <is>
          <t>sí</t>
        </is>
      </c>
      <c r="M610" s="16" t="inlineStr">
        <is>
          <t>–</t>
        </is>
      </c>
      <c r="N610" s="16" t="inlineStr">
        <is>
          <t>no</t>
        </is>
      </c>
      <c r="O610" s="16" t="n"/>
    </row>
    <row r="611">
      <c r="A611" s="16" t="inlineStr">
        <is>
          <t>4.3</t>
        </is>
      </c>
      <c r="B611" s="16" t="inlineStr">
        <is>
          <t>4.3 x_b+P_alta+eficiencias</t>
        </is>
      </c>
      <c r="C611" s="16" t="inlineStr">
        <is>
          <t>KF-M09</t>
        </is>
      </c>
      <c r="D611" s="16" t="inlineStr">
        <is>
          <t>KF-M09-R2-x_b+P_alta+eficiencias</t>
        </is>
      </c>
      <c r="E611" s="16" t="inlineStr">
        <is>
          <t>B13-x_b+P_alta+eficiencias</t>
        </is>
      </c>
      <c r="F611" s="16" t="inlineStr">
        <is>
          <t>T_amb_diseno</t>
        </is>
      </c>
      <c r="G611" s="16" t="inlineStr">
        <is>
          <t>barrido</t>
        </is>
      </c>
      <c r="H611" s="16" t="n"/>
      <c r="I611" s="16" t="n">
        <v>278.4061491741137</v>
      </c>
      <c r="J611" s="16" t="n">
        <v>303.2347260797284</v>
      </c>
      <c r="K611" s="16" t="n">
        <v>30</v>
      </c>
      <c r="L611" s="16" t="n"/>
      <c r="M611" s="16" t="inlineStr">
        <is>
          <t>K</t>
        </is>
      </c>
      <c r="N611" s="16" t="inlineStr">
        <is>
          <t>no</t>
        </is>
      </c>
      <c r="O611" s="16" t="n"/>
    </row>
    <row r="612">
      <c r="A612" s="16" t="inlineStr">
        <is>
          <t>4.3</t>
        </is>
      </c>
      <c r="B612" s="16" t="inlineStr">
        <is>
          <t>4.3 x_b+P_alta+eficiencias</t>
        </is>
      </c>
      <c r="C612" s="16" t="inlineStr">
        <is>
          <t>KF-M09</t>
        </is>
      </c>
      <c r="D612" s="16" t="inlineStr">
        <is>
          <t>KF-M09-R2-x_b+P_alta+eficiencias</t>
        </is>
      </c>
      <c r="E612" s="16" t="inlineStr">
        <is>
          <t>B13-x_b+P_alta+eficiencias</t>
        </is>
      </c>
      <c r="F612" s="16" t="inlineStr">
        <is>
          <t>motor</t>
        </is>
      </c>
      <c r="G612" s="16" t="inlineStr">
        <is>
          <t>fijo</t>
        </is>
      </c>
      <c r="H612" s="16" t="inlineStr">
        <is>
          <t>teqp</t>
        </is>
      </c>
      <c r="I612" s="16" t="n"/>
      <c r="J612" s="16" t="n"/>
      <c r="K612" s="16" t="n"/>
      <c r="L612" s="16" t="n"/>
      <c r="M612" s="16" t="inlineStr">
        <is>
          <t>–</t>
        </is>
      </c>
      <c r="N612" s="16" t="inlineStr">
        <is>
          <t>no</t>
        </is>
      </c>
      <c r="O612" s="16" t="n"/>
    </row>
    <row r="613">
      <c r="A613" s="16" t="inlineStr">
        <is>
          <t>4.3</t>
        </is>
      </c>
      <c r="B613" s="16" t="inlineStr">
        <is>
          <t>4.3 x_b+P_alta+P_baja</t>
        </is>
      </c>
      <c r="C613" s="16" t="inlineStr">
        <is>
          <t>KF-M09</t>
        </is>
      </c>
      <c r="D613" s="16" t="inlineStr">
        <is>
          <t>KF-M09-R2-x_b+P_alta+P_baja</t>
        </is>
      </c>
      <c r="E613" s="16" t="inlineStr">
        <is>
          <t>B13-x_b+P_alta+P_baja</t>
        </is>
      </c>
      <c r="F613" s="16" t="inlineStr">
        <is>
          <t>T_fuente</t>
        </is>
      </c>
      <c r="G613" s="16" t="inlineStr">
        <is>
          <t>barrido</t>
        </is>
      </c>
      <c r="H613" s="16" t="n"/>
      <c r="I613" s="16" t="n">
        <v>380.0901523403963</v>
      </c>
      <c r="J613" s="16" t="n">
        <v>515.816544452916</v>
      </c>
      <c r="K613" s="16" t="n">
        <v>30</v>
      </c>
      <c r="L613" s="16" t="n"/>
      <c r="M613" s="16" t="inlineStr">
        <is>
          <t>K</t>
        </is>
      </c>
      <c r="N613" s="16" t="inlineStr">
        <is>
          <t>no</t>
        </is>
      </c>
      <c r="O613" s="16" t="n"/>
    </row>
    <row r="614">
      <c r="A614" s="16" t="inlineStr">
        <is>
          <t>4.3</t>
        </is>
      </c>
      <c r="B614" s="16" t="inlineStr">
        <is>
          <t>4.3 x_b+P_alta+P_baja</t>
        </is>
      </c>
      <c r="C614" s="16" t="inlineStr">
        <is>
          <t>KF-M09</t>
        </is>
      </c>
      <c r="D614" s="16" t="inlineStr">
        <is>
          <t>KF-M09-R2-x_b+P_alta+P_baja</t>
        </is>
      </c>
      <c r="E614" s="16" t="inlineStr">
        <is>
          <t>B13-x_b+P_alta+P_baja</t>
        </is>
      </c>
      <c r="F614" s="16" t="inlineStr">
        <is>
          <t>T_sumidero</t>
        </is>
      </c>
      <c r="G614" s="16" t="inlineStr">
        <is>
          <t>barrido</t>
        </is>
      </c>
      <c r="H614" s="16" t="n"/>
      <c r="I614" s="16" t="n">
        <v>278.2194930455406</v>
      </c>
      <c r="J614" s="16" t="n">
        <v>303.1958530374001</v>
      </c>
      <c r="K614" s="16" t="n">
        <v>30</v>
      </c>
      <c r="L614" s="16" t="n"/>
      <c r="M614" s="16" t="inlineStr">
        <is>
          <t>K</t>
        </is>
      </c>
      <c r="N614" s="16" t="inlineStr">
        <is>
          <t>no</t>
        </is>
      </c>
      <c r="O614" s="16" t="n"/>
    </row>
    <row r="615">
      <c r="A615" s="16" t="inlineStr">
        <is>
          <t>4.3</t>
        </is>
      </c>
      <c r="B615" s="16" t="inlineStr">
        <is>
          <t>4.3 x_b+P_alta+P_baja</t>
        </is>
      </c>
      <c r="C615" s="16" t="inlineStr">
        <is>
          <t>KF-M09</t>
        </is>
      </c>
      <c r="D615" s="16" t="inlineStr">
        <is>
          <t>KF-M09-R2-x_b+P_alta+P_baja</t>
        </is>
      </c>
      <c r="E615" s="16" t="inlineStr">
        <is>
          <t>B13-x_b+P_alta+P_baja</t>
        </is>
      </c>
      <c r="F615" s="16" t="inlineStr">
        <is>
          <t>P_alta</t>
        </is>
      </c>
      <c r="G615" s="16" t="inlineStr">
        <is>
          <t>fijo</t>
        </is>
      </c>
      <c r="H615" s="16" t="inlineStr">
        <is>
          <t>3000.0</t>
        </is>
      </c>
      <c r="I615" s="16" t="n"/>
      <c r="J615" s="16" t="n"/>
      <c r="K615" s="16" t="n"/>
      <c r="L615" s="16" t="inlineStr">
        <is>
          <t>sí</t>
        </is>
      </c>
      <c r="M615" s="16" t="inlineStr">
        <is>
          <t>kPa</t>
        </is>
      </c>
      <c r="N615" s="16" t="inlineStr">
        <is>
          <t>no</t>
        </is>
      </c>
      <c r="O615" s="16" t="n"/>
    </row>
    <row r="616">
      <c r="A616" s="16" t="inlineStr">
        <is>
          <t>4.3</t>
        </is>
      </c>
      <c r="B616" s="16" t="inlineStr">
        <is>
          <t>4.3 x_b+P_alta+P_baja</t>
        </is>
      </c>
      <c r="C616" s="16" t="inlineStr">
        <is>
          <t>KF-M09</t>
        </is>
      </c>
      <c r="D616" s="16" t="inlineStr">
        <is>
          <t>KF-M09-R2-x_b+P_alta+P_baja</t>
        </is>
      </c>
      <c r="E616" s="16" t="inlineStr">
        <is>
          <t>B13-x_b+P_alta+P_baja</t>
        </is>
      </c>
      <c r="F616" s="16" t="inlineStr">
        <is>
          <t>P_baja</t>
        </is>
      </c>
      <c r="G616" s="16" t="inlineStr">
        <is>
          <t>fijo</t>
        </is>
      </c>
      <c r="H616" s="16" t="inlineStr">
        <is>
          <t>400.0</t>
        </is>
      </c>
      <c r="I616" s="16" t="n"/>
      <c r="J616" s="16" t="n"/>
      <c r="K616" s="16" t="n"/>
      <c r="L616" s="16" t="inlineStr">
        <is>
          <t>sí</t>
        </is>
      </c>
      <c r="M616" s="16" t="inlineStr">
        <is>
          <t>kPa</t>
        </is>
      </c>
      <c r="N616" s="16" t="inlineStr">
        <is>
          <t>no</t>
        </is>
      </c>
      <c r="O616" s="16" t="n"/>
    </row>
    <row r="617">
      <c r="A617" s="16" t="inlineStr">
        <is>
          <t>4.3</t>
        </is>
      </c>
      <c r="B617" s="16" t="inlineStr">
        <is>
          <t>4.3 x_b+P_alta+P_baja</t>
        </is>
      </c>
      <c r="C617" s="16" t="inlineStr">
        <is>
          <t>KF-M09</t>
        </is>
      </c>
      <c r="D617" s="16" t="inlineStr">
        <is>
          <t>KF-M09-R2-x_b+P_alta+P_baja</t>
        </is>
      </c>
      <c r="E617" s="16" t="inlineStr">
        <is>
          <t>B13-x_b+P_alta+P_baja</t>
        </is>
      </c>
      <c r="F617" s="16" t="inlineStr">
        <is>
          <t>x_b</t>
        </is>
      </c>
      <c r="G617" s="16" t="inlineStr">
        <is>
          <t>fijo</t>
        </is>
      </c>
      <c r="H617" s="16" t="inlineStr">
        <is>
          <t>0.5</t>
        </is>
      </c>
      <c r="I617" s="16" t="n"/>
      <c r="J617" s="16" t="n"/>
      <c r="K617" s="16" t="n"/>
      <c r="L617" s="16" t="inlineStr">
        <is>
          <t>sí</t>
        </is>
      </c>
      <c r="M617" s="16" t="inlineStr">
        <is>
          <t>–</t>
        </is>
      </c>
      <c r="N617" s="16" t="inlineStr">
        <is>
          <t>no</t>
        </is>
      </c>
      <c r="O617" s="16" t="n"/>
    </row>
    <row r="618">
      <c r="A618" s="16" t="inlineStr">
        <is>
          <t>4.3</t>
        </is>
      </c>
      <c r="B618" s="16" t="inlineStr">
        <is>
          <t>4.3 x_b+P_alta+P_baja</t>
        </is>
      </c>
      <c r="C618" s="16" t="inlineStr">
        <is>
          <t>KF-M09</t>
        </is>
      </c>
      <c r="D618" s="16" t="inlineStr">
        <is>
          <t>KF-M09-R2-x_b+P_alta+P_baja</t>
        </is>
      </c>
      <c r="E618" s="16" t="inlineStr">
        <is>
          <t>B13-x_b+P_alta+P_baja</t>
        </is>
      </c>
      <c r="F618" s="16" t="inlineStr">
        <is>
          <t>m_b</t>
        </is>
      </c>
      <c r="G618" s="16" t="inlineStr">
        <is>
          <t>fijo</t>
        </is>
      </c>
      <c r="H618" s="16" t="inlineStr">
        <is>
          <t>1.0</t>
        </is>
      </c>
      <c r="I618" s="16" t="n"/>
      <c r="J618" s="16" t="n"/>
      <c r="K618" s="16" t="n"/>
      <c r="L618" s="16" t="inlineStr">
        <is>
          <t>sí</t>
        </is>
      </c>
      <c r="M618" s="16" t="inlineStr">
        <is>
          <t>kg/s</t>
        </is>
      </c>
      <c r="N618" s="16" t="inlineStr">
        <is>
          <t>no</t>
        </is>
      </c>
      <c r="O618" s="16" t="n"/>
    </row>
    <row r="619">
      <c r="A619" s="16" t="inlineStr">
        <is>
          <t>4.3</t>
        </is>
      </c>
      <c r="B619" s="16" t="inlineStr">
        <is>
          <t>4.3 x_b+P_alta+P_baja</t>
        </is>
      </c>
      <c r="C619" s="16" t="inlineStr">
        <is>
          <t>KF-M09</t>
        </is>
      </c>
      <c r="D619" s="16" t="inlineStr">
        <is>
          <t>KF-M09-R2-x_b+P_alta+P_baja</t>
        </is>
      </c>
      <c r="E619" s="16" t="inlineStr">
        <is>
          <t>B13-x_b+P_alta+P_baja</t>
        </is>
      </c>
      <c r="F619" s="16" t="inlineStr">
        <is>
          <t>eta_t</t>
        </is>
      </c>
      <c r="G619" s="16" t="inlineStr">
        <is>
          <t>barrido</t>
        </is>
      </c>
      <c r="H619" s="16" t="n"/>
      <c r="I619" s="16" t="n">
        <v>0.4081424693999581</v>
      </c>
      <c r="J619" s="16" t="n">
        <v>0.9499587631427246</v>
      </c>
      <c r="K619" s="16" t="n">
        <v>30</v>
      </c>
      <c r="L619" s="16" t="n"/>
      <c r="M619" s="16" t="inlineStr">
        <is>
          <t>–</t>
        </is>
      </c>
      <c r="N619" s="16" t="inlineStr">
        <is>
          <t>no</t>
        </is>
      </c>
      <c r="O619" s="16" t="n"/>
    </row>
    <row r="620">
      <c r="A620" s="16" t="inlineStr">
        <is>
          <t>4.3</t>
        </is>
      </c>
      <c r="B620" s="16" t="inlineStr">
        <is>
          <t>4.3 x_b+P_alta+P_baja</t>
        </is>
      </c>
      <c r="C620" s="16" t="inlineStr">
        <is>
          <t>KF-M09</t>
        </is>
      </c>
      <c r="D620" s="16" t="inlineStr">
        <is>
          <t>KF-M09-R2-x_b+P_alta+P_baja</t>
        </is>
      </c>
      <c r="E620" s="16" t="inlineStr">
        <is>
          <t>B13-x_b+P_alta+P_baja</t>
        </is>
      </c>
      <c r="F620" s="16" t="inlineStr">
        <is>
          <t>eta_p</t>
        </is>
      </c>
      <c r="G620" s="16" t="inlineStr">
        <is>
          <t>barrido</t>
        </is>
      </c>
      <c r="H620" s="16" t="n"/>
      <c r="I620" s="16" t="n">
        <v>0.4111203173103241</v>
      </c>
      <c r="J620" s="16" t="n">
        <v>0.9421701664446096</v>
      </c>
      <c r="K620" s="16" t="n">
        <v>30</v>
      </c>
      <c r="L620" s="16" t="n"/>
      <c r="M620" s="16" t="inlineStr">
        <is>
          <t>–</t>
        </is>
      </c>
      <c r="N620" s="16" t="inlineStr">
        <is>
          <t>no</t>
        </is>
      </c>
      <c r="O620" s="16" t="n"/>
    </row>
    <row r="621">
      <c r="A621" s="16" t="inlineStr">
        <is>
          <t>4.3</t>
        </is>
      </c>
      <c r="B621" s="16" t="inlineStr">
        <is>
          <t>4.3 x_b+P_alta+P_baja</t>
        </is>
      </c>
      <c r="C621" s="16" t="inlineStr">
        <is>
          <t>KF-M09</t>
        </is>
      </c>
      <c r="D621" s="16" t="inlineStr">
        <is>
          <t>KF-M09-R2-x_b+P_alta+P_baja</t>
        </is>
      </c>
      <c r="E621" s="16" t="inlineStr">
        <is>
          <t>B13-x_b+P_alta+P_baja</t>
        </is>
      </c>
      <c r="F621" s="16" t="inlineStr">
        <is>
          <t>eps_hrvg</t>
        </is>
      </c>
      <c r="G621" s="16" t="inlineStr">
        <is>
          <t>barrido</t>
        </is>
      </c>
      <c r="H621" s="16" t="n"/>
      <c r="I621" s="16" t="n">
        <v>0.4111959148797098</v>
      </c>
      <c r="J621" s="16" t="n">
        <v>0.9365414746288784</v>
      </c>
      <c r="K621" s="16" t="n">
        <v>30</v>
      </c>
      <c r="L621" s="16" t="n"/>
      <c r="M621" s="16" t="inlineStr">
        <is>
          <t>–</t>
        </is>
      </c>
      <c r="N621" s="16" t="inlineStr">
        <is>
          <t>no</t>
        </is>
      </c>
      <c r="O621" s="16" t="n"/>
    </row>
    <row r="622">
      <c r="A622" s="16" t="inlineStr">
        <is>
          <t>4.3</t>
        </is>
      </c>
      <c r="B622" s="16" t="inlineStr">
        <is>
          <t>4.3 x_b+P_alta+P_baja</t>
        </is>
      </c>
      <c r="C622" s="16" t="inlineStr">
        <is>
          <t>KF-M09</t>
        </is>
      </c>
      <c r="D622" s="16" t="inlineStr">
        <is>
          <t>KF-M09-R2-x_b+P_alta+P_baja</t>
        </is>
      </c>
      <c r="E622" s="16" t="inlineStr">
        <is>
          <t>B13-x_b+P_alta+P_baja</t>
        </is>
      </c>
      <c r="F622" s="16" t="inlineStr">
        <is>
          <t>eps_reg</t>
        </is>
      </c>
      <c r="G622" s="16" t="inlineStr">
        <is>
          <t>barrido</t>
        </is>
      </c>
      <c r="H622" s="16" t="n"/>
      <c r="I622" s="16" t="n">
        <v>0.4106918885820433</v>
      </c>
      <c r="J622" s="16" t="n">
        <v>0.9397790983778396</v>
      </c>
      <c r="K622" s="16" t="n">
        <v>30</v>
      </c>
      <c r="L622" s="16" t="n"/>
      <c r="M622" s="16" t="inlineStr">
        <is>
          <t>–</t>
        </is>
      </c>
      <c r="N622" s="16" t="inlineStr">
        <is>
          <t>no</t>
        </is>
      </c>
      <c r="O622" s="16" t="n"/>
    </row>
    <row r="623">
      <c r="A623" s="16" t="inlineStr">
        <is>
          <t>4.3</t>
        </is>
      </c>
      <c r="B623" s="16" t="inlineStr">
        <is>
          <t>4.3 x_b+P_alta+P_baja</t>
        </is>
      </c>
      <c r="C623" s="16" t="inlineStr">
        <is>
          <t>KF-M09</t>
        </is>
      </c>
      <c r="D623" s="16" t="inlineStr">
        <is>
          <t>KF-M09-R2-x_b+P_alta+P_baja</t>
        </is>
      </c>
      <c r="E623" s="16" t="inlineStr">
        <is>
          <t>B13-x_b+P_alta+P_baja</t>
        </is>
      </c>
      <c r="F623" s="16" t="inlineStr">
        <is>
          <t>eps_cond</t>
        </is>
      </c>
      <c r="G623" s="16" t="inlineStr">
        <is>
          <t>barrido</t>
        </is>
      </c>
      <c r="H623" s="16" t="n"/>
      <c r="I623" s="16" t="n">
        <v>0.4130890454858085</v>
      </c>
      <c r="J623" s="16" t="n">
        <v>0.9480630701458144</v>
      </c>
      <c r="K623" s="16" t="n">
        <v>30</v>
      </c>
      <c r="L623" s="16" t="n"/>
      <c r="M623" s="16" t="inlineStr">
        <is>
          <t>–</t>
        </is>
      </c>
      <c r="N623" s="16" t="inlineStr">
        <is>
          <t>no</t>
        </is>
      </c>
      <c r="O623" s="16" t="n"/>
    </row>
    <row r="624">
      <c r="A624" s="16" t="inlineStr">
        <is>
          <t>4.3</t>
        </is>
      </c>
      <c r="B624" s="16" t="inlineStr">
        <is>
          <t>4.3 x_b+P_alta+P_baja</t>
        </is>
      </c>
      <c r="C624" s="16" t="inlineStr">
        <is>
          <t>KF-M09</t>
        </is>
      </c>
      <c r="D624" s="16" t="inlineStr">
        <is>
          <t>KF-M09-R2-x_b+P_alta+P_baja</t>
        </is>
      </c>
      <c r="E624" s="16" t="inlineStr">
        <is>
          <t>B13-x_b+P_alta+P_baja</t>
        </is>
      </c>
      <c r="F624" s="16" t="inlineStr">
        <is>
          <t>T_amb_diseno</t>
        </is>
      </c>
      <c r="G624" s="16" t="inlineStr">
        <is>
          <t>barrido</t>
        </is>
      </c>
      <c r="H624" s="16" t="n"/>
      <c r="I624" s="16" t="n">
        <v>278.2194930455406</v>
      </c>
      <c r="J624" s="16" t="n">
        <v>303.1958530374001</v>
      </c>
      <c r="K624" s="16" t="n">
        <v>30</v>
      </c>
      <c r="L624" s="16" t="n"/>
      <c r="M624" s="16" t="inlineStr">
        <is>
          <t>K</t>
        </is>
      </c>
      <c r="N624" s="16" t="inlineStr">
        <is>
          <t>no</t>
        </is>
      </c>
      <c r="O624" s="16" t="n"/>
    </row>
    <row r="625">
      <c r="A625" s="16" t="inlineStr">
        <is>
          <t>4.3</t>
        </is>
      </c>
      <c r="B625" s="16" t="inlineStr">
        <is>
          <t>4.3 x_b+P_alta+P_baja</t>
        </is>
      </c>
      <c r="C625" s="16" t="inlineStr">
        <is>
          <t>KF-M09</t>
        </is>
      </c>
      <c r="D625" s="16" t="inlineStr">
        <is>
          <t>KF-M09-R2-x_b+P_alta+P_baja</t>
        </is>
      </c>
      <c r="E625" s="16" t="inlineStr">
        <is>
          <t>B13-x_b+P_alta+P_baja</t>
        </is>
      </c>
      <c r="F625" s="16" t="inlineStr">
        <is>
          <t>motor</t>
        </is>
      </c>
      <c r="G625" s="16" t="inlineStr">
        <is>
          <t>fijo</t>
        </is>
      </c>
      <c r="H625" s="16" t="inlineStr">
        <is>
          <t>teqp</t>
        </is>
      </c>
      <c r="I625" s="16" t="n"/>
      <c r="J625" s="16" t="n"/>
      <c r="K625" s="16" t="n"/>
      <c r="L625" s="16" t="n"/>
      <c r="M625" s="16" t="inlineStr">
        <is>
          <t>–</t>
        </is>
      </c>
      <c r="N625" s="16" t="inlineStr">
        <is>
          <t>no</t>
        </is>
      </c>
      <c r="O625" s="16" t="n"/>
    </row>
    <row r="626">
      <c r="A626" s="16" t="inlineStr">
        <is>
          <t>4.3</t>
        </is>
      </c>
      <c r="B626" s="16" t="inlineStr">
        <is>
          <t>4.3 x_b+P_alta+T_sumidero</t>
        </is>
      </c>
      <c r="C626" s="16" t="inlineStr">
        <is>
          <t>KF-M09</t>
        </is>
      </c>
      <c r="D626" s="16" t="inlineStr">
        <is>
          <t>KF-M09-R2-x_b+P_alta+T_sumidero</t>
        </is>
      </c>
      <c r="E626" s="16" t="inlineStr">
        <is>
          <t>B13-x_b+P_alta+T_sumidero</t>
        </is>
      </c>
      <c r="F626" s="16" t="inlineStr">
        <is>
          <t>T_fuente</t>
        </is>
      </c>
      <c r="G626" s="16" t="inlineStr">
        <is>
          <t>barrido</t>
        </is>
      </c>
      <c r="H626" s="16" t="n"/>
      <c r="I626" s="16" t="n">
        <v>383.949587066473</v>
      </c>
      <c r="J626" s="16" t="n">
        <v>517.8192527317074</v>
      </c>
      <c r="K626" s="16" t="n">
        <v>30</v>
      </c>
      <c r="L626" s="16" t="n"/>
      <c r="M626" s="16" t="inlineStr">
        <is>
          <t>K</t>
        </is>
      </c>
      <c r="N626" s="16" t="inlineStr">
        <is>
          <t>no</t>
        </is>
      </c>
      <c r="O626" s="16" t="n"/>
    </row>
    <row r="627">
      <c r="A627" s="16" t="inlineStr">
        <is>
          <t>4.3</t>
        </is>
      </c>
      <c r="B627" s="16" t="inlineStr">
        <is>
          <t>4.3 x_b+P_alta+T_sumidero</t>
        </is>
      </c>
      <c r="C627" s="16" t="inlineStr">
        <is>
          <t>KF-M09</t>
        </is>
      </c>
      <c r="D627" s="16" t="inlineStr">
        <is>
          <t>KF-M09-R2-x_b+P_alta+T_sumidero</t>
        </is>
      </c>
      <c r="E627" s="16" t="inlineStr">
        <is>
          <t>B13-x_b+P_alta+T_sumidero</t>
        </is>
      </c>
      <c r="F627" s="16" t="inlineStr">
        <is>
          <t>T_sumidero</t>
        </is>
      </c>
      <c r="G627" s="16" t="inlineStr">
        <is>
          <t>fijo</t>
        </is>
      </c>
      <c r="H627" s="16" t="inlineStr">
        <is>
          <t>300.032917</t>
        </is>
      </c>
      <c r="I627" s="16" t="n"/>
      <c r="J627" s="16" t="n"/>
      <c r="K627" s="16" t="n"/>
      <c r="L627" s="16" t="inlineStr">
        <is>
          <t>sí</t>
        </is>
      </c>
      <c r="M627" s="16" t="inlineStr">
        <is>
          <t>K</t>
        </is>
      </c>
      <c r="N627" s="16" t="inlineStr">
        <is>
          <t>no</t>
        </is>
      </c>
      <c r="O627" s="16" t="n"/>
    </row>
    <row r="628">
      <c r="A628" s="16" t="inlineStr">
        <is>
          <t>4.3</t>
        </is>
      </c>
      <c r="B628" s="16" t="inlineStr">
        <is>
          <t>4.3 x_b+P_alta+T_sumidero</t>
        </is>
      </c>
      <c r="C628" s="16" t="inlineStr">
        <is>
          <t>KF-M09</t>
        </is>
      </c>
      <c r="D628" s="16" t="inlineStr">
        <is>
          <t>KF-M09-R2-x_b+P_alta+T_sumidero</t>
        </is>
      </c>
      <c r="E628" s="16" t="inlineStr">
        <is>
          <t>B13-x_b+P_alta+T_sumidero</t>
        </is>
      </c>
      <c r="F628" s="16" t="inlineStr">
        <is>
          <t>P_alta</t>
        </is>
      </c>
      <c r="G628" s="16" t="inlineStr">
        <is>
          <t>fijo</t>
        </is>
      </c>
      <c r="H628" s="16" t="inlineStr">
        <is>
          <t>3000.0</t>
        </is>
      </c>
      <c r="I628" s="16" t="n"/>
      <c r="J628" s="16" t="n"/>
      <c r="K628" s="16" t="n"/>
      <c r="L628" s="16" t="inlineStr">
        <is>
          <t>sí</t>
        </is>
      </c>
      <c r="M628" s="16" t="inlineStr">
        <is>
          <t>kPa</t>
        </is>
      </c>
      <c r="N628" s="16" t="inlineStr">
        <is>
          <t>no</t>
        </is>
      </c>
      <c r="O628" s="16" t="n"/>
    </row>
    <row r="629">
      <c r="A629" s="16" t="inlineStr">
        <is>
          <t>4.3</t>
        </is>
      </c>
      <c r="B629" s="16" t="inlineStr">
        <is>
          <t>4.3 x_b+P_alta+T_sumidero</t>
        </is>
      </c>
      <c r="C629" s="16" t="inlineStr">
        <is>
          <t>KF-M09</t>
        </is>
      </c>
      <c r="D629" s="16" t="inlineStr">
        <is>
          <t>KF-M09-R2-x_b+P_alta+T_sumidero</t>
        </is>
      </c>
      <c r="E629" s="16" t="inlineStr">
        <is>
          <t>B13-x_b+P_alta+T_sumidero</t>
        </is>
      </c>
      <c r="F629" s="16" t="inlineStr">
        <is>
          <t>P_baja</t>
        </is>
      </c>
      <c r="G629" s="16" t="inlineStr">
        <is>
          <t>barrido</t>
        </is>
      </c>
      <c r="H629" s="16" t="n"/>
      <c r="I629" s="16" t="n">
        <v>338.0755338415958</v>
      </c>
      <c r="J629" s="16" t="n">
        <v>1944.951479132841</v>
      </c>
      <c r="K629" s="16" t="n">
        <v>30</v>
      </c>
      <c r="L629" s="16" t="n"/>
      <c r="M629" s="16" t="inlineStr">
        <is>
          <t>kPa</t>
        </is>
      </c>
      <c r="N629" s="16" t="inlineStr">
        <is>
          <t>no</t>
        </is>
      </c>
      <c r="O629" s="16" t="n"/>
    </row>
    <row r="630">
      <c r="A630" s="16" t="inlineStr">
        <is>
          <t>4.3</t>
        </is>
      </c>
      <c r="B630" s="16" t="inlineStr">
        <is>
          <t>4.3 x_b+P_alta+T_sumidero</t>
        </is>
      </c>
      <c r="C630" s="16" t="inlineStr">
        <is>
          <t>KF-M09</t>
        </is>
      </c>
      <c r="D630" s="16" t="inlineStr">
        <is>
          <t>KF-M09-R2-x_b+P_alta+T_sumidero</t>
        </is>
      </c>
      <c r="E630" s="16" t="inlineStr">
        <is>
          <t>B13-x_b+P_alta+T_sumidero</t>
        </is>
      </c>
      <c r="F630" s="16" t="inlineStr">
        <is>
          <t>x_b</t>
        </is>
      </c>
      <c r="G630" s="16" t="inlineStr">
        <is>
          <t>fijo</t>
        </is>
      </c>
      <c r="H630" s="16" t="inlineStr">
        <is>
          <t>0.5</t>
        </is>
      </c>
      <c r="I630" s="16" t="n"/>
      <c r="J630" s="16" t="n"/>
      <c r="K630" s="16" t="n"/>
      <c r="L630" s="16" t="inlineStr">
        <is>
          <t>sí</t>
        </is>
      </c>
      <c r="M630" s="16" t="inlineStr">
        <is>
          <t>–</t>
        </is>
      </c>
      <c r="N630" s="16" t="inlineStr">
        <is>
          <t>no</t>
        </is>
      </c>
      <c r="O630" s="16" t="n"/>
    </row>
    <row r="631">
      <c r="A631" s="16" t="inlineStr">
        <is>
          <t>4.3</t>
        </is>
      </c>
      <c r="B631" s="16" t="inlineStr">
        <is>
          <t>4.3 x_b+P_alta+T_sumidero</t>
        </is>
      </c>
      <c r="C631" s="16" t="inlineStr">
        <is>
          <t>KF-M09</t>
        </is>
      </c>
      <c r="D631" s="16" t="inlineStr">
        <is>
          <t>KF-M09-R2-x_b+P_alta+T_sumidero</t>
        </is>
      </c>
      <c r="E631" s="16" t="inlineStr">
        <is>
          <t>B13-x_b+P_alta+T_sumidero</t>
        </is>
      </c>
      <c r="F631" s="16" t="inlineStr">
        <is>
          <t>m_b</t>
        </is>
      </c>
      <c r="G631" s="16" t="inlineStr">
        <is>
          <t>fijo</t>
        </is>
      </c>
      <c r="H631" s="16" t="inlineStr">
        <is>
          <t>1.0</t>
        </is>
      </c>
      <c r="I631" s="16" t="n"/>
      <c r="J631" s="16" t="n"/>
      <c r="K631" s="16" t="n"/>
      <c r="L631" s="16" t="inlineStr">
        <is>
          <t>sí</t>
        </is>
      </c>
      <c r="M631" s="16" t="inlineStr">
        <is>
          <t>kg/s</t>
        </is>
      </c>
      <c r="N631" s="16" t="inlineStr">
        <is>
          <t>no</t>
        </is>
      </c>
      <c r="O631" s="16" t="n"/>
    </row>
    <row r="632">
      <c r="A632" s="16" t="inlineStr">
        <is>
          <t>4.3</t>
        </is>
      </c>
      <c r="B632" s="16" t="inlineStr">
        <is>
          <t>4.3 x_b+P_alta+T_sumidero</t>
        </is>
      </c>
      <c r="C632" s="16" t="inlineStr">
        <is>
          <t>KF-M09</t>
        </is>
      </c>
      <c r="D632" s="16" t="inlineStr">
        <is>
          <t>KF-M09-R2-x_b+P_alta+T_sumidero</t>
        </is>
      </c>
      <c r="E632" s="16" t="inlineStr">
        <is>
          <t>B13-x_b+P_alta+T_sumidero</t>
        </is>
      </c>
      <c r="F632" s="16" t="inlineStr">
        <is>
          <t>eta_t</t>
        </is>
      </c>
      <c r="G632" s="16" t="inlineStr">
        <is>
          <t>barrido</t>
        </is>
      </c>
      <c r="H632" s="16" t="n"/>
      <c r="I632" s="16" t="n">
        <v>0.4077974411835414</v>
      </c>
      <c r="J632" s="16" t="n">
        <v>0.9353198405173936</v>
      </c>
      <c r="K632" s="16" t="n">
        <v>30</v>
      </c>
      <c r="L632" s="16" t="n"/>
      <c r="M632" s="16" t="inlineStr">
        <is>
          <t>–</t>
        </is>
      </c>
      <c r="N632" s="16" t="inlineStr">
        <is>
          <t>no</t>
        </is>
      </c>
      <c r="O632" s="16" t="n"/>
    </row>
    <row r="633">
      <c r="A633" s="16" t="inlineStr">
        <is>
          <t>4.3</t>
        </is>
      </c>
      <c r="B633" s="16" t="inlineStr">
        <is>
          <t>4.3 x_b+P_alta+T_sumidero</t>
        </is>
      </c>
      <c r="C633" s="16" t="inlineStr">
        <is>
          <t>KF-M09</t>
        </is>
      </c>
      <c r="D633" s="16" t="inlineStr">
        <is>
          <t>KF-M09-R2-x_b+P_alta+T_sumidero</t>
        </is>
      </c>
      <c r="E633" s="16" t="inlineStr">
        <is>
          <t>B13-x_b+P_alta+T_sumidero</t>
        </is>
      </c>
      <c r="F633" s="16" t="inlineStr">
        <is>
          <t>eta_p</t>
        </is>
      </c>
      <c r="G633" s="16" t="inlineStr">
        <is>
          <t>barrido</t>
        </is>
      </c>
      <c r="H633" s="16" t="n"/>
      <c r="I633" s="16" t="n">
        <v>0.4159167668522314</v>
      </c>
      <c r="J633" s="16" t="n">
        <v>0.9418284134866698</v>
      </c>
      <c r="K633" s="16" t="n">
        <v>30</v>
      </c>
      <c r="L633" s="16" t="n"/>
      <c r="M633" s="16" t="inlineStr">
        <is>
          <t>–</t>
        </is>
      </c>
      <c r="N633" s="16" t="inlineStr">
        <is>
          <t>no</t>
        </is>
      </c>
      <c r="O633" s="16" t="n"/>
    </row>
    <row r="634">
      <c r="A634" s="16" t="inlineStr">
        <is>
          <t>4.3</t>
        </is>
      </c>
      <c r="B634" s="16" t="inlineStr">
        <is>
          <t>4.3 x_b+P_alta+T_sumidero</t>
        </is>
      </c>
      <c r="C634" s="16" t="inlineStr">
        <is>
          <t>KF-M09</t>
        </is>
      </c>
      <c r="D634" s="16" t="inlineStr">
        <is>
          <t>KF-M09-R2-x_b+P_alta+T_sumidero</t>
        </is>
      </c>
      <c r="E634" s="16" t="inlineStr">
        <is>
          <t>B13-x_b+P_alta+T_sumidero</t>
        </is>
      </c>
      <c r="F634" s="16" t="inlineStr">
        <is>
          <t>eps_hrvg</t>
        </is>
      </c>
      <c r="G634" s="16" t="inlineStr">
        <is>
          <t>barrido</t>
        </is>
      </c>
      <c r="H634" s="16" t="n"/>
      <c r="I634" s="16" t="n">
        <v>0.4086753831863391</v>
      </c>
      <c r="J634" s="16" t="n">
        <v>0.948227019329179</v>
      </c>
      <c r="K634" s="16" t="n">
        <v>30</v>
      </c>
      <c r="L634" s="16" t="n"/>
      <c r="M634" s="16" t="inlineStr">
        <is>
          <t>–</t>
        </is>
      </c>
      <c r="N634" s="16" t="inlineStr">
        <is>
          <t>no</t>
        </is>
      </c>
      <c r="O634" s="16" t="n"/>
    </row>
    <row r="635">
      <c r="A635" s="16" t="inlineStr">
        <is>
          <t>4.3</t>
        </is>
      </c>
      <c r="B635" s="16" t="inlineStr">
        <is>
          <t>4.3 x_b+P_alta+T_sumidero</t>
        </is>
      </c>
      <c r="C635" s="16" t="inlineStr">
        <is>
          <t>KF-M09</t>
        </is>
      </c>
      <c r="D635" s="16" t="inlineStr">
        <is>
          <t>KF-M09-R2-x_b+P_alta+T_sumidero</t>
        </is>
      </c>
      <c r="E635" s="16" t="inlineStr">
        <is>
          <t>B13-x_b+P_alta+T_sumidero</t>
        </is>
      </c>
      <c r="F635" s="16" t="inlineStr">
        <is>
          <t>eps_reg</t>
        </is>
      </c>
      <c r="G635" s="16" t="inlineStr">
        <is>
          <t>barrido</t>
        </is>
      </c>
      <c r="H635" s="16" t="n"/>
      <c r="I635" s="16" t="n">
        <v>0.4076539604577057</v>
      </c>
      <c r="J635" s="16" t="n">
        <v>0.9365816385072808</v>
      </c>
      <c r="K635" s="16" t="n">
        <v>30</v>
      </c>
      <c r="L635" s="16" t="n"/>
      <c r="M635" s="16" t="inlineStr">
        <is>
          <t>–</t>
        </is>
      </c>
      <c r="N635" s="16" t="inlineStr">
        <is>
          <t>no</t>
        </is>
      </c>
      <c r="O635" s="16" t="n"/>
    </row>
    <row r="636">
      <c r="A636" s="16" t="inlineStr">
        <is>
          <t>4.3</t>
        </is>
      </c>
      <c r="B636" s="16" t="inlineStr">
        <is>
          <t>4.3 x_b+P_alta+T_sumidero</t>
        </is>
      </c>
      <c r="C636" s="16" t="inlineStr">
        <is>
          <t>KF-M09</t>
        </is>
      </c>
      <c r="D636" s="16" t="inlineStr">
        <is>
          <t>KF-M09-R2-x_b+P_alta+T_sumidero</t>
        </is>
      </c>
      <c r="E636" s="16" t="inlineStr">
        <is>
          <t>B13-x_b+P_alta+T_sumidero</t>
        </is>
      </c>
      <c r="F636" s="16" t="inlineStr">
        <is>
          <t>eps_cond</t>
        </is>
      </c>
      <c r="G636" s="16" t="inlineStr">
        <is>
          <t>barrido</t>
        </is>
      </c>
      <c r="H636" s="16" t="n"/>
      <c r="I636" s="16" t="n">
        <v>0.4159510664154849</v>
      </c>
      <c r="J636" s="16" t="n">
        <v>0.9377886426866762</v>
      </c>
      <c r="K636" s="16" t="n">
        <v>30</v>
      </c>
      <c r="L636" s="16" t="n"/>
      <c r="M636" s="16" t="inlineStr">
        <is>
          <t>–</t>
        </is>
      </c>
      <c r="N636" s="16" t="inlineStr">
        <is>
          <t>no</t>
        </is>
      </c>
      <c r="O636" s="16" t="n"/>
    </row>
    <row r="637">
      <c r="A637" s="16" t="inlineStr">
        <is>
          <t>4.3</t>
        </is>
      </c>
      <c r="B637" s="16" t="inlineStr">
        <is>
          <t>4.3 x_b+P_alta+T_sumidero</t>
        </is>
      </c>
      <c r="C637" s="16" t="inlineStr">
        <is>
          <t>KF-M09</t>
        </is>
      </c>
      <c r="D637" s="16" t="inlineStr">
        <is>
          <t>KF-M09-R2-x_b+P_alta+T_sumidero</t>
        </is>
      </c>
      <c r="E637" s="16" t="inlineStr">
        <is>
          <t>B13-x_b+P_alta+T_sumidero</t>
        </is>
      </c>
      <c r="F637" s="16" t="inlineStr">
        <is>
          <t>T_amb_diseno</t>
        </is>
      </c>
      <c r="G637" s="16" t="inlineStr">
        <is>
          <t>fijo</t>
        </is>
      </c>
      <c r="H637" s="16" t="inlineStr">
        <is>
          <t>300.032917</t>
        </is>
      </c>
      <c r="I637" s="16" t="n"/>
      <c r="J637" s="16" t="n"/>
      <c r="K637" s="16" t="n"/>
      <c r="L637" s="16" t="inlineStr">
        <is>
          <t>sí</t>
        </is>
      </c>
      <c r="M637" s="16" t="inlineStr">
        <is>
          <t>K</t>
        </is>
      </c>
      <c r="N637" s="16" t="inlineStr">
        <is>
          <t>no</t>
        </is>
      </c>
      <c r="O637" s="16" t="n"/>
    </row>
    <row r="638">
      <c r="A638" s="16" t="inlineStr">
        <is>
          <t>4.3</t>
        </is>
      </c>
      <c r="B638" s="16" t="inlineStr">
        <is>
          <t>4.3 x_b+P_alta+T_sumidero</t>
        </is>
      </c>
      <c r="C638" s="16" t="inlineStr">
        <is>
          <t>KF-M09</t>
        </is>
      </c>
      <c r="D638" s="16" t="inlineStr">
        <is>
          <t>KF-M09-R2-x_b+P_alta+T_sumidero</t>
        </is>
      </c>
      <c r="E638" s="16" t="inlineStr">
        <is>
          <t>B13-x_b+P_alta+T_sumidero</t>
        </is>
      </c>
      <c r="F638" s="16" t="inlineStr">
        <is>
          <t>motor</t>
        </is>
      </c>
      <c r="G638" s="16" t="inlineStr">
        <is>
          <t>fijo</t>
        </is>
      </c>
      <c r="H638" s="16" t="inlineStr">
        <is>
          <t>teqp</t>
        </is>
      </c>
      <c r="I638" s="16" t="n"/>
      <c r="J638" s="16" t="n"/>
      <c r="K638" s="16" t="n"/>
      <c r="L638" s="16" t="n"/>
      <c r="M638" s="16" t="inlineStr">
        <is>
          <t>–</t>
        </is>
      </c>
      <c r="N638" s="16" t="inlineStr">
        <is>
          <t>no</t>
        </is>
      </c>
      <c r="O638" s="16" t="n"/>
    </row>
    <row r="639">
      <c r="A639" s="16" t="inlineStr">
        <is>
          <t>4.3</t>
        </is>
      </c>
      <c r="B639" s="16" t="inlineStr">
        <is>
          <t>4.3 x_b+P_alta+eficiencias+T_fuente</t>
        </is>
      </c>
      <c r="C639" s="16" t="inlineStr">
        <is>
          <t>KF-M09</t>
        </is>
      </c>
      <c r="D639" s="16" t="inlineStr">
        <is>
          <t>KF-M09-R3-x_b+P_alta+eficiencias+T_fuente</t>
        </is>
      </c>
      <c r="E639" s="16" t="inlineStr">
        <is>
          <t>B13-x_b+P_alta+eficiencias+T_fuente</t>
        </is>
      </c>
      <c r="F639" s="16" t="inlineStr">
        <is>
          <t>T_fuente</t>
        </is>
      </c>
      <c r="G639" s="16" t="inlineStr">
        <is>
          <t>fijo</t>
        </is>
      </c>
      <c r="H639" s="16" t="inlineStr">
        <is>
          <t>623.15</t>
        </is>
      </c>
      <c r="I639" s="16" t="n"/>
      <c r="J639" s="16" t="n"/>
      <c r="K639" s="16" t="n"/>
      <c r="L639" s="16" t="inlineStr">
        <is>
          <t>sí</t>
        </is>
      </c>
      <c r="M639" s="16" t="inlineStr">
        <is>
          <t>K</t>
        </is>
      </c>
      <c r="N639" s="16" t="inlineStr">
        <is>
          <t>no</t>
        </is>
      </c>
      <c r="O639" s="16" t="n"/>
    </row>
    <row r="640">
      <c r="A640" s="16" t="inlineStr">
        <is>
          <t>4.3</t>
        </is>
      </c>
      <c r="B640" s="16" t="inlineStr">
        <is>
          <t>4.3 x_b+P_alta+eficiencias+T_fuente</t>
        </is>
      </c>
      <c r="C640" s="16" t="inlineStr">
        <is>
          <t>KF-M09</t>
        </is>
      </c>
      <c r="D640" s="16" t="inlineStr">
        <is>
          <t>KF-M09-R3-x_b+P_alta+eficiencias+T_fuente</t>
        </is>
      </c>
      <c r="E640" s="16" t="inlineStr">
        <is>
          <t>B13-x_b+P_alta+eficiencias+T_fuente</t>
        </is>
      </c>
      <c r="F640" s="16" t="inlineStr">
        <is>
          <t>T_sumidero</t>
        </is>
      </c>
      <c r="G640" s="16" t="inlineStr">
        <is>
          <t>barrido</t>
        </is>
      </c>
      <c r="H640" s="16" t="n"/>
      <c r="I640" s="16" t="n">
        <v>278.6689533250798</v>
      </c>
      <c r="J640" s="16" t="n">
        <v>303.443498289289</v>
      </c>
      <c r="K640" s="16" t="n">
        <v>30</v>
      </c>
      <c r="L640" s="16" t="n"/>
      <c r="M640" s="16" t="inlineStr">
        <is>
          <t>K</t>
        </is>
      </c>
      <c r="N640" s="16" t="inlineStr">
        <is>
          <t>no</t>
        </is>
      </c>
      <c r="O640" s="16" t="n"/>
    </row>
    <row r="641">
      <c r="A641" s="16" t="inlineStr">
        <is>
          <t>4.3</t>
        </is>
      </c>
      <c r="B641" s="16" t="inlineStr">
        <is>
          <t>4.3 x_b+P_alta+eficiencias+T_fuente</t>
        </is>
      </c>
      <c r="C641" s="16" t="inlineStr">
        <is>
          <t>KF-M09</t>
        </is>
      </c>
      <c r="D641" s="16" t="inlineStr">
        <is>
          <t>KF-M09-R3-x_b+P_alta+eficiencias+T_fuente</t>
        </is>
      </c>
      <c r="E641" s="16" t="inlineStr">
        <is>
          <t>B13-x_b+P_alta+eficiencias+T_fuente</t>
        </is>
      </c>
      <c r="F641" s="16" t="inlineStr">
        <is>
          <t>P_alta</t>
        </is>
      </c>
      <c r="G641" s="16" t="inlineStr">
        <is>
          <t>fijo</t>
        </is>
      </c>
      <c r="H641" s="16" t="inlineStr">
        <is>
          <t>3000.0</t>
        </is>
      </c>
      <c r="I641" s="16" t="n"/>
      <c r="J641" s="16" t="n"/>
      <c r="K641" s="16" t="n"/>
      <c r="L641" s="16" t="inlineStr">
        <is>
          <t>sí</t>
        </is>
      </c>
      <c r="M641" s="16" t="inlineStr">
        <is>
          <t>kPa</t>
        </is>
      </c>
      <c r="N641" s="16" t="inlineStr">
        <is>
          <t>no</t>
        </is>
      </c>
      <c r="O641" s="16" t="n"/>
    </row>
    <row r="642">
      <c r="A642" s="16" t="inlineStr">
        <is>
          <t>4.3</t>
        </is>
      </c>
      <c r="B642" s="16" t="inlineStr">
        <is>
          <t>4.3 x_b+P_alta+eficiencias+T_fuente</t>
        </is>
      </c>
      <c r="C642" s="16" t="inlineStr">
        <is>
          <t>KF-M09</t>
        </is>
      </c>
      <c r="D642" s="16" t="inlineStr">
        <is>
          <t>KF-M09-R3-x_b+P_alta+eficiencias+T_fuente</t>
        </is>
      </c>
      <c r="E642" s="16" t="inlineStr">
        <is>
          <t>B13-x_b+P_alta+eficiencias+T_fuente</t>
        </is>
      </c>
      <c r="F642" s="16" t="inlineStr">
        <is>
          <t>P_baja</t>
        </is>
      </c>
      <c r="G642" s="16" t="inlineStr">
        <is>
          <t>barrido</t>
        </is>
      </c>
      <c r="H642" s="16" t="n"/>
      <c r="I642" s="16" t="n">
        <v>317.0265213340965</v>
      </c>
      <c r="J642" s="16" t="n">
        <v>1948.291986368948</v>
      </c>
      <c r="K642" s="16" t="n">
        <v>30</v>
      </c>
      <c r="L642" s="16" t="n"/>
      <c r="M642" s="16" t="inlineStr">
        <is>
          <t>kPa</t>
        </is>
      </c>
      <c r="N642" s="16" t="inlineStr">
        <is>
          <t>no</t>
        </is>
      </c>
      <c r="O642" s="16" t="n"/>
    </row>
    <row r="643">
      <c r="A643" s="16" t="inlineStr">
        <is>
          <t>4.3</t>
        </is>
      </c>
      <c r="B643" s="16" t="inlineStr">
        <is>
          <t>4.3 x_b+P_alta+eficiencias+T_fuente</t>
        </is>
      </c>
      <c r="C643" s="16" t="inlineStr">
        <is>
          <t>KF-M09</t>
        </is>
      </c>
      <c r="D643" s="16" t="inlineStr">
        <is>
          <t>KF-M09-R3-x_b+P_alta+eficiencias+T_fuente</t>
        </is>
      </c>
      <c r="E643" s="16" t="inlineStr">
        <is>
          <t>B13-x_b+P_alta+eficiencias+T_fuente</t>
        </is>
      </c>
      <c r="F643" s="16" t="inlineStr">
        <is>
          <t>x_b</t>
        </is>
      </c>
      <c r="G643" s="16" t="inlineStr">
        <is>
          <t>fijo</t>
        </is>
      </c>
      <c r="H643" s="16" t="inlineStr">
        <is>
          <t>0.5</t>
        </is>
      </c>
      <c r="I643" s="16" t="n"/>
      <c r="J643" s="16" t="n"/>
      <c r="K643" s="16" t="n"/>
      <c r="L643" s="16" t="inlineStr">
        <is>
          <t>sí</t>
        </is>
      </c>
      <c r="M643" s="16" t="inlineStr">
        <is>
          <t>–</t>
        </is>
      </c>
      <c r="N643" s="16" t="inlineStr">
        <is>
          <t>no</t>
        </is>
      </c>
      <c r="O643" s="16" t="n"/>
    </row>
    <row r="644">
      <c r="A644" s="16" t="inlineStr">
        <is>
          <t>4.3</t>
        </is>
      </c>
      <c r="B644" s="16" t="inlineStr">
        <is>
          <t>4.3 x_b+P_alta+eficiencias+T_fuente</t>
        </is>
      </c>
      <c r="C644" s="16" t="inlineStr">
        <is>
          <t>KF-M09</t>
        </is>
      </c>
      <c r="D644" s="16" t="inlineStr">
        <is>
          <t>KF-M09-R3-x_b+P_alta+eficiencias+T_fuente</t>
        </is>
      </c>
      <c r="E644" s="16" t="inlineStr">
        <is>
          <t>B13-x_b+P_alta+eficiencias+T_fuente</t>
        </is>
      </c>
      <c r="F644" s="16" t="inlineStr">
        <is>
          <t>m_b</t>
        </is>
      </c>
      <c r="G644" s="16" t="inlineStr">
        <is>
          <t>fijo</t>
        </is>
      </c>
      <c r="H644" s="16" t="inlineStr">
        <is>
          <t>1.0</t>
        </is>
      </c>
      <c r="I644" s="16" t="n"/>
      <c r="J644" s="16" t="n"/>
      <c r="K644" s="16" t="n"/>
      <c r="L644" s="16" t="inlineStr">
        <is>
          <t>sí</t>
        </is>
      </c>
      <c r="M644" s="16" t="inlineStr">
        <is>
          <t>kg/s</t>
        </is>
      </c>
      <c r="N644" s="16" t="inlineStr">
        <is>
          <t>no</t>
        </is>
      </c>
      <c r="O644" s="16" t="n"/>
    </row>
    <row r="645">
      <c r="A645" s="16" t="inlineStr">
        <is>
          <t>4.3</t>
        </is>
      </c>
      <c r="B645" s="16" t="inlineStr">
        <is>
          <t>4.3 x_b+P_alta+eficiencias+T_fuente</t>
        </is>
      </c>
      <c r="C645" s="16" t="inlineStr">
        <is>
          <t>KF-M09</t>
        </is>
      </c>
      <c r="D645" s="16" t="inlineStr">
        <is>
          <t>KF-M09-R3-x_b+P_alta+eficiencias+T_fuente</t>
        </is>
      </c>
      <c r="E645" s="16" t="inlineStr">
        <is>
          <t>B13-x_b+P_alta+eficiencias+T_fuente</t>
        </is>
      </c>
      <c r="F645" s="16" t="inlineStr">
        <is>
          <t>eta_t</t>
        </is>
      </c>
      <c r="G645" s="16" t="inlineStr">
        <is>
          <t>fijo</t>
        </is>
      </c>
      <c r="H645" s="16" t="inlineStr">
        <is>
          <t>0.85</t>
        </is>
      </c>
      <c r="I645" s="16" t="n"/>
      <c r="J645" s="16" t="n"/>
      <c r="K645" s="16" t="n"/>
      <c r="L645" s="16" t="inlineStr">
        <is>
          <t>sí</t>
        </is>
      </c>
      <c r="M645" s="16" t="inlineStr">
        <is>
          <t>–</t>
        </is>
      </c>
      <c r="N645" s="16" t="inlineStr">
        <is>
          <t>no</t>
        </is>
      </c>
      <c r="O645" s="16" t="n"/>
    </row>
    <row r="646">
      <c r="A646" s="16" t="inlineStr">
        <is>
          <t>4.3</t>
        </is>
      </c>
      <c r="B646" s="16" t="inlineStr">
        <is>
          <t>4.3 x_b+P_alta+eficiencias+T_fuente</t>
        </is>
      </c>
      <c r="C646" s="16" t="inlineStr">
        <is>
          <t>KF-M09</t>
        </is>
      </c>
      <c r="D646" s="16" t="inlineStr">
        <is>
          <t>KF-M09-R3-x_b+P_alta+eficiencias+T_fuente</t>
        </is>
      </c>
      <c r="E646" s="16" t="inlineStr">
        <is>
          <t>B13-x_b+P_alta+eficiencias+T_fuente</t>
        </is>
      </c>
      <c r="F646" s="16" t="inlineStr">
        <is>
          <t>eta_p</t>
        </is>
      </c>
      <c r="G646" s="16" t="inlineStr">
        <is>
          <t>fijo</t>
        </is>
      </c>
      <c r="H646" s="16" t="inlineStr">
        <is>
          <t>0.75</t>
        </is>
      </c>
      <c r="I646" s="16" t="n"/>
      <c r="J646" s="16" t="n"/>
      <c r="K646" s="16" t="n"/>
      <c r="L646" s="16" t="inlineStr">
        <is>
          <t>sí</t>
        </is>
      </c>
      <c r="M646" s="16" t="inlineStr">
        <is>
          <t>–</t>
        </is>
      </c>
      <c r="N646" s="16" t="inlineStr">
        <is>
          <t>no</t>
        </is>
      </c>
      <c r="O646" s="16" t="n"/>
    </row>
    <row r="647">
      <c r="A647" s="16" t="inlineStr">
        <is>
          <t>4.3</t>
        </is>
      </c>
      <c r="B647" s="16" t="inlineStr">
        <is>
          <t>4.3 x_b+P_alta+eficiencias+T_fuente</t>
        </is>
      </c>
      <c r="C647" s="16" t="inlineStr">
        <is>
          <t>KF-M09</t>
        </is>
      </c>
      <c r="D647" s="16" t="inlineStr">
        <is>
          <t>KF-M09-R3-x_b+P_alta+eficiencias+T_fuente</t>
        </is>
      </c>
      <c r="E647" s="16" t="inlineStr">
        <is>
          <t>B13-x_b+P_alta+eficiencias+T_fuente</t>
        </is>
      </c>
      <c r="F647" s="16" t="inlineStr">
        <is>
          <t>eps_hrvg</t>
        </is>
      </c>
      <c r="G647" s="16" t="inlineStr">
        <is>
          <t>fijo</t>
        </is>
      </c>
      <c r="H647" s="16" t="inlineStr">
        <is>
          <t>0.85</t>
        </is>
      </c>
      <c r="I647" s="16" t="n"/>
      <c r="J647" s="16" t="n"/>
      <c r="K647" s="16" t="n"/>
      <c r="L647" s="16" t="inlineStr">
        <is>
          <t>sí</t>
        </is>
      </c>
      <c r="M647" s="16" t="inlineStr">
        <is>
          <t>–</t>
        </is>
      </c>
      <c r="N647" s="16" t="inlineStr">
        <is>
          <t>no</t>
        </is>
      </c>
      <c r="O647" s="16" t="n"/>
    </row>
    <row r="648">
      <c r="A648" s="16" t="inlineStr">
        <is>
          <t>4.3</t>
        </is>
      </c>
      <c r="B648" s="16" t="inlineStr">
        <is>
          <t>4.3 x_b+P_alta+eficiencias+T_fuente</t>
        </is>
      </c>
      <c r="C648" s="16" t="inlineStr">
        <is>
          <t>KF-M09</t>
        </is>
      </c>
      <c r="D648" s="16" t="inlineStr">
        <is>
          <t>KF-M09-R3-x_b+P_alta+eficiencias+T_fuente</t>
        </is>
      </c>
      <c r="E648" s="16" t="inlineStr">
        <is>
          <t>B13-x_b+P_alta+eficiencias+T_fuente</t>
        </is>
      </c>
      <c r="F648" s="16" t="inlineStr">
        <is>
          <t>eps_reg</t>
        </is>
      </c>
      <c r="G648" s="16" t="inlineStr">
        <is>
          <t>fijo</t>
        </is>
      </c>
      <c r="H648" s="16" t="inlineStr">
        <is>
          <t>0.75</t>
        </is>
      </c>
      <c r="I648" s="16" t="n"/>
      <c r="J648" s="16" t="n"/>
      <c r="K648" s="16" t="n"/>
      <c r="L648" s="16" t="inlineStr">
        <is>
          <t>sí</t>
        </is>
      </c>
      <c r="M648" s="16" t="inlineStr">
        <is>
          <t>–</t>
        </is>
      </c>
      <c r="N648" s="16" t="inlineStr">
        <is>
          <t>no</t>
        </is>
      </c>
      <c r="O648" s="16" t="n"/>
    </row>
    <row r="649">
      <c r="A649" s="16" t="inlineStr">
        <is>
          <t>4.3</t>
        </is>
      </c>
      <c r="B649" s="16" t="inlineStr">
        <is>
          <t>4.3 x_b+P_alta+eficiencias+T_fuente</t>
        </is>
      </c>
      <c r="C649" s="16" t="inlineStr">
        <is>
          <t>KF-M09</t>
        </is>
      </c>
      <c r="D649" s="16" t="inlineStr">
        <is>
          <t>KF-M09-R3-x_b+P_alta+eficiencias+T_fuente</t>
        </is>
      </c>
      <c r="E649" s="16" t="inlineStr">
        <is>
          <t>B13-x_b+P_alta+eficiencias+T_fuente</t>
        </is>
      </c>
      <c r="F649" s="16" t="inlineStr">
        <is>
          <t>eps_cond</t>
        </is>
      </c>
      <c r="G649" s="16" t="inlineStr">
        <is>
          <t>fijo</t>
        </is>
      </c>
      <c r="H649" s="16" t="inlineStr">
        <is>
          <t>0.8</t>
        </is>
      </c>
      <c r="I649" s="16" t="n"/>
      <c r="J649" s="16" t="n"/>
      <c r="K649" s="16" t="n"/>
      <c r="L649" s="16" t="inlineStr">
        <is>
          <t>sí</t>
        </is>
      </c>
      <c r="M649" s="16" t="inlineStr">
        <is>
          <t>–</t>
        </is>
      </c>
      <c r="N649" s="16" t="inlineStr">
        <is>
          <t>no</t>
        </is>
      </c>
      <c r="O649" s="16" t="n"/>
    </row>
    <row r="650">
      <c r="A650" s="16" t="inlineStr">
        <is>
          <t>4.3</t>
        </is>
      </c>
      <c r="B650" s="16" t="inlineStr">
        <is>
          <t>4.3 x_b+P_alta+eficiencias+T_fuente</t>
        </is>
      </c>
      <c r="C650" s="16" t="inlineStr">
        <is>
          <t>KF-M09</t>
        </is>
      </c>
      <c r="D650" s="16" t="inlineStr">
        <is>
          <t>KF-M09-R3-x_b+P_alta+eficiencias+T_fuente</t>
        </is>
      </c>
      <c r="E650" s="16" t="inlineStr">
        <is>
          <t>B13-x_b+P_alta+eficiencias+T_fuente</t>
        </is>
      </c>
      <c r="F650" s="16" t="inlineStr">
        <is>
          <t>T_amb_diseno</t>
        </is>
      </c>
      <c r="G650" s="16" t="inlineStr">
        <is>
          <t>barrido</t>
        </is>
      </c>
      <c r="H650" s="16" t="n"/>
      <c r="I650" s="16" t="n">
        <v>278.6689533250798</v>
      </c>
      <c r="J650" s="16" t="n">
        <v>303.443498289289</v>
      </c>
      <c r="K650" s="16" t="n">
        <v>30</v>
      </c>
      <c r="L650" s="16" t="n"/>
      <c r="M650" s="16" t="inlineStr">
        <is>
          <t>K</t>
        </is>
      </c>
      <c r="N650" s="16" t="inlineStr">
        <is>
          <t>no</t>
        </is>
      </c>
      <c r="O650" s="16" t="n"/>
    </row>
    <row r="651">
      <c r="A651" s="16" t="inlineStr">
        <is>
          <t>4.3</t>
        </is>
      </c>
      <c r="B651" s="16" t="inlineStr">
        <is>
          <t>4.3 x_b+P_alta+eficiencias+T_fuente</t>
        </is>
      </c>
      <c r="C651" s="16" t="inlineStr">
        <is>
          <t>KF-M09</t>
        </is>
      </c>
      <c r="D651" s="16" t="inlineStr">
        <is>
          <t>KF-M09-R3-x_b+P_alta+eficiencias+T_fuente</t>
        </is>
      </c>
      <c r="E651" s="16" t="inlineStr">
        <is>
          <t>B13-x_b+P_alta+eficiencias+T_fuente</t>
        </is>
      </c>
      <c r="F651" s="16" t="inlineStr">
        <is>
          <t>motor</t>
        </is>
      </c>
      <c r="G651" s="16" t="inlineStr">
        <is>
          <t>fijo</t>
        </is>
      </c>
      <c r="H651" s="16" t="inlineStr">
        <is>
          <t>teqp</t>
        </is>
      </c>
      <c r="I651" s="16" t="n"/>
      <c r="J651" s="16" t="n"/>
      <c r="K651" s="16" t="n"/>
      <c r="L651" s="16" t="n"/>
      <c r="M651" s="16" t="inlineStr">
        <is>
          <t>–</t>
        </is>
      </c>
      <c r="N651" s="16" t="inlineStr">
        <is>
          <t>no</t>
        </is>
      </c>
      <c r="O651" s="16" t="n"/>
    </row>
    <row r="652">
      <c r="A652" s="16" t="inlineStr">
        <is>
          <t>4.3</t>
        </is>
      </c>
      <c r="B652" s="16" t="inlineStr">
        <is>
          <t>4.3 x_b+P_alta+eficiencias+P_baja</t>
        </is>
      </c>
      <c r="C652" s="16" t="inlineStr">
        <is>
          <t>KF-M09</t>
        </is>
      </c>
      <c r="D652" s="16" t="inlineStr">
        <is>
          <t>KF-M09-R3-x_b+P_alta+eficiencias+P_baja</t>
        </is>
      </c>
      <c r="E652" s="16" t="inlineStr">
        <is>
          <t>B13-x_b+P_alta+eficiencias+P_baja</t>
        </is>
      </c>
      <c r="F652" s="16" t="inlineStr">
        <is>
          <t>T_fuente</t>
        </is>
      </c>
      <c r="G652" s="16" t="inlineStr">
        <is>
          <t>barrido</t>
        </is>
      </c>
      <c r="H652" s="16" t="n"/>
      <c r="I652" s="16" t="n">
        <v>384.2404884390779</v>
      </c>
      <c r="J652" s="16" t="n">
        <v>519.8419553100487</v>
      </c>
      <c r="K652" s="16" t="n">
        <v>30</v>
      </c>
      <c r="L652" s="16" t="n"/>
      <c r="M652" s="16" t="inlineStr">
        <is>
          <t>K</t>
        </is>
      </c>
      <c r="N652" s="16" t="inlineStr">
        <is>
          <t>no</t>
        </is>
      </c>
      <c r="O652" s="16" t="n"/>
    </row>
    <row r="653">
      <c r="A653" s="16" t="inlineStr">
        <is>
          <t>4.3</t>
        </is>
      </c>
      <c r="B653" s="16" t="inlineStr">
        <is>
          <t>4.3 x_b+P_alta+eficiencias+P_baja</t>
        </is>
      </c>
      <c r="C653" s="16" t="inlineStr">
        <is>
          <t>KF-M09</t>
        </is>
      </c>
      <c r="D653" s="16" t="inlineStr">
        <is>
          <t>KF-M09-R3-x_b+P_alta+eficiencias+P_baja</t>
        </is>
      </c>
      <c r="E653" s="16" t="inlineStr">
        <is>
          <t>B13-x_b+P_alta+eficiencias+P_baja</t>
        </is>
      </c>
      <c r="F653" s="16" t="inlineStr">
        <is>
          <t>T_sumidero</t>
        </is>
      </c>
      <c r="G653" s="16" t="inlineStr">
        <is>
          <t>barrido</t>
        </is>
      </c>
      <c r="H653" s="16" t="n"/>
      <c r="I653" s="16" t="n">
        <v>278.2057929033543</v>
      </c>
      <c r="J653" s="16" t="n">
        <v>303.384376974051</v>
      </c>
      <c r="K653" s="16" t="n">
        <v>30</v>
      </c>
      <c r="L653" s="16" t="n"/>
      <c r="M653" s="16" t="inlineStr">
        <is>
          <t>K</t>
        </is>
      </c>
      <c r="N653" s="16" t="inlineStr">
        <is>
          <t>no</t>
        </is>
      </c>
      <c r="O653" s="16" t="n"/>
    </row>
    <row r="654">
      <c r="A654" s="16" t="inlineStr">
        <is>
          <t>4.3</t>
        </is>
      </c>
      <c r="B654" s="16" t="inlineStr">
        <is>
          <t>4.3 x_b+P_alta+eficiencias+P_baja</t>
        </is>
      </c>
      <c r="C654" s="16" t="inlineStr">
        <is>
          <t>KF-M09</t>
        </is>
      </c>
      <c r="D654" s="16" t="inlineStr">
        <is>
          <t>KF-M09-R3-x_b+P_alta+eficiencias+P_baja</t>
        </is>
      </c>
      <c r="E654" s="16" t="inlineStr">
        <is>
          <t>B13-x_b+P_alta+eficiencias+P_baja</t>
        </is>
      </c>
      <c r="F654" s="16" t="inlineStr">
        <is>
          <t>P_alta</t>
        </is>
      </c>
      <c r="G654" s="16" t="inlineStr">
        <is>
          <t>fijo</t>
        </is>
      </c>
      <c r="H654" s="16" t="inlineStr">
        <is>
          <t>3000.0</t>
        </is>
      </c>
      <c r="I654" s="16" t="n"/>
      <c r="J654" s="16" t="n"/>
      <c r="K654" s="16" t="n"/>
      <c r="L654" s="16" t="inlineStr">
        <is>
          <t>sí</t>
        </is>
      </c>
      <c r="M654" s="16" t="inlineStr">
        <is>
          <t>kPa</t>
        </is>
      </c>
      <c r="N654" s="16" t="inlineStr">
        <is>
          <t>no</t>
        </is>
      </c>
      <c r="O654" s="16" t="n"/>
    </row>
    <row r="655">
      <c r="A655" s="16" t="inlineStr">
        <is>
          <t>4.3</t>
        </is>
      </c>
      <c r="B655" s="16" t="inlineStr">
        <is>
          <t>4.3 x_b+P_alta+eficiencias+P_baja</t>
        </is>
      </c>
      <c r="C655" s="16" t="inlineStr">
        <is>
          <t>KF-M09</t>
        </is>
      </c>
      <c r="D655" s="16" t="inlineStr">
        <is>
          <t>KF-M09-R3-x_b+P_alta+eficiencias+P_baja</t>
        </is>
      </c>
      <c r="E655" s="16" t="inlineStr">
        <is>
          <t>B13-x_b+P_alta+eficiencias+P_baja</t>
        </is>
      </c>
      <c r="F655" s="16" t="inlineStr">
        <is>
          <t>P_baja</t>
        </is>
      </c>
      <c r="G655" s="16" t="inlineStr">
        <is>
          <t>fijo</t>
        </is>
      </c>
      <c r="H655" s="16" t="inlineStr">
        <is>
          <t>400.0</t>
        </is>
      </c>
      <c r="I655" s="16" t="n"/>
      <c r="J655" s="16" t="n"/>
      <c r="K655" s="16" t="n"/>
      <c r="L655" s="16" t="inlineStr">
        <is>
          <t>sí</t>
        </is>
      </c>
      <c r="M655" s="16" t="inlineStr">
        <is>
          <t>kPa</t>
        </is>
      </c>
      <c r="N655" s="16" t="inlineStr">
        <is>
          <t>no</t>
        </is>
      </c>
      <c r="O655" s="16" t="n"/>
    </row>
    <row r="656">
      <c r="A656" s="16" t="inlineStr">
        <is>
          <t>4.3</t>
        </is>
      </c>
      <c r="B656" s="16" t="inlineStr">
        <is>
          <t>4.3 x_b+P_alta+eficiencias+P_baja</t>
        </is>
      </c>
      <c r="C656" s="16" t="inlineStr">
        <is>
          <t>KF-M09</t>
        </is>
      </c>
      <c r="D656" s="16" t="inlineStr">
        <is>
          <t>KF-M09-R3-x_b+P_alta+eficiencias+P_baja</t>
        </is>
      </c>
      <c r="E656" s="16" t="inlineStr">
        <is>
          <t>B13-x_b+P_alta+eficiencias+P_baja</t>
        </is>
      </c>
      <c r="F656" s="16" t="inlineStr">
        <is>
          <t>x_b</t>
        </is>
      </c>
      <c r="G656" s="16" t="inlineStr">
        <is>
          <t>fijo</t>
        </is>
      </c>
      <c r="H656" s="16" t="inlineStr">
        <is>
          <t>0.5</t>
        </is>
      </c>
      <c r="I656" s="16" t="n"/>
      <c r="J656" s="16" t="n"/>
      <c r="K656" s="16" t="n"/>
      <c r="L656" s="16" t="inlineStr">
        <is>
          <t>sí</t>
        </is>
      </c>
      <c r="M656" s="16" t="inlineStr">
        <is>
          <t>–</t>
        </is>
      </c>
      <c r="N656" s="16" t="inlineStr">
        <is>
          <t>no</t>
        </is>
      </c>
      <c r="O656" s="16" t="n"/>
    </row>
    <row r="657">
      <c r="A657" s="16" t="inlineStr">
        <is>
          <t>4.3</t>
        </is>
      </c>
      <c r="B657" s="16" t="inlineStr">
        <is>
          <t>4.3 x_b+P_alta+eficiencias+P_baja</t>
        </is>
      </c>
      <c r="C657" s="16" t="inlineStr">
        <is>
          <t>KF-M09</t>
        </is>
      </c>
      <c r="D657" s="16" t="inlineStr">
        <is>
          <t>KF-M09-R3-x_b+P_alta+eficiencias+P_baja</t>
        </is>
      </c>
      <c r="E657" s="16" t="inlineStr">
        <is>
          <t>B13-x_b+P_alta+eficiencias+P_baja</t>
        </is>
      </c>
      <c r="F657" s="16" t="inlineStr">
        <is>
          <t>m_b</t>
        </is>
      </c>
      <c r="G657" s="16" t="inlineStr">
        <is>
          <t>fijo</t>
        </is>
      </c>
      <c r="H657" s="16" t="inlineStr">
        <is>
          <t>1.0</t>
        </is>
      </c>
      <c r="I657" s="16" t="n"/>
      <c r="J657" s="16" t="n"/>
      <c r="K657" s="16" t="n"/>
      <c r="L657" s="16" t="inlineStr">
        <is>
          <t>sí</t>
        </is>
      </c>
      <c r="M657" s="16" t="inlineStr">
        <is>
          <t>kg/s</t>
        </is>
      </c>
      <c r="N657" s="16" t="inlineStr">
        <is>
          <t>no</t>
        </is>
      </c>
      <c r="O657" s="16" t="n"/>
    </row>
    <row r="658">
      <c r="A658" s="16" t="inlineStr">
        <is>
          <t>4.3</t>
        </is>
      </c>
      <c r="B658" s="16" t="inlineStr">
        <is>
          <t>4.3 x_b+P_alta+eficiencias+P_baja</t>
        </is>
      </c>
      <c r="C658" s="16" t="inlineStr">
        <is>
          <t>KF-M09</t>
        </is>
      </c>
      <c r="D658" s="16" t="inlineStr">
        <is>
          <t>KF-M09-R3-x_b+P_alta+eficiencias+P_baja</t>
        </is>
      </c>
      <c r="E658" s="16" t="inlineStr">
        <is>
          <t>B13-x_b+P_alta+eficiencias+P_baja</t>
        </is>
      </c>
      <c r="F658" s="16" t="inlineStr">
        <is>
          <t>eta_t</t>
        </is>
      </c>
      <c r="G658" s="16" t="inlineStr">
        <is>
          <t>fijo</t>
        </is>
      </c>
      <c r="H658" s="16" t="inlineStr">
        <is>
          <t>0.85</t>
        </is>
      </c>
      <c r="I658" s="16" t="n"/>
      <c r="J658" s="16" t="n"/>
      <c r="K658" s="16" t="n"/>
      <c r="L658" s="16" t="inlineStr">
        <is>
          <t>sí</t>
        </is>
      </c>
      <c r="M658" s="16" t="inlineStr">
        <is>
          <t>–</t>
        </is>
      </c>
      <c r="N658" s="16" t="inlineStr">
        <is>
          <t>no</t>
        </is>
      </c>
      <c r="O658" s="16" t="n"/>
    </row>
    <row r="659">
      <c r="A659" s="16" t="inlineStr">
        <is>
          <t>4.3</t>
        </is>
      </c>
      <c r="B659" s="16" t="inlineStr">
        <is>
          <t>4.3 x_b+P_alta+eficiencias+P_baja</t>
        </is>
      </c>
      <c r="C659" s="16" t="inlineStr">
        <is>
          <t>KF-M09</t>
        </is>
      </c>
      <c r="D659" s="16" t="inlineStr">
        <is>
          <t>KF-M09-R3-x_b+P_alta+eficiencias+P_baja</t>
        </is>
      </c>
      <c r="E659" s="16" t="inlineStr">
        <is>
          <t>B13-x_b+P_alta+eficiencias+P_baja</t>
        </is>
      </c>
      <c r="F659" s="16" t="inlineStr">
        <is>
          <t>eta_p</t>
        </is>
      </c>
      <c r="G659" s="16" t="inlineStr">
        <is>
          <t>fijo</t>
        </is>
      </c>
      <c r="H659" s="16" t="inlineStr">
        <is>
          <t>0.75</t>
        </is>
      </c>
      <c r="I659" s="16" t="n"/>
      <c r="J659" s="16" t="n"/>
      <c r="K659" s="16" t="n"/>
      <c r="L659" s="16" t="inlineStr">
        <is>
          <t>sí</t>
        </is>
      </c>
      <c r="M659" s="16" t="inlineStr">
        <is>
          <t>–</t>
        </is>
      </c>
      <c r="N659" s="16" t="inlineStr">
        <is>
          <t>no</t>
        </is>
      </c>
      <c r="O659" s="16" t="n"/>
    </row>
    <row r="660">
      <c r="A660" s="16" t="inlineStr">
        <is>
          <t>4.3</t>
        </is>
      </c>
      <c r="B660" s="16" t="inlineStr">
        <is>
          <t>4.3 x_b+P_alta+eficiencias+P_baja</t>
        </is>
      </c>
      <c r="C660" s="16" t="inlineStr">
        <is>
          <t>KF-M09</t>
        </is>
      </c>
      <c r="D660" s="16" t="inlineStr">
        <is>
          <t>KF-M09-R3-x_b+P_alta+eficiencias+P_baja</t>
        </is>
      </c>
      <c r="E660" s="16" t="inlineStr">
        <is>
          <t>B13-x_b+P_alta+eficiencias+P_baja</t>
        </is>
      </c>
      <c r="F660" s="16" t="inlineStr">
        <is>
          <t>eps_hrvg</t>
        </is>
      </c>
      <c r="G660" s="16" t="inlineStr">
        <is>
          <t>fijo</t>
        </is>
      </c>
      <c r="H660" s="16" t="inlineStr">
        <is>
          <t>0.85</t>
        </is>
      </c>
      <c r="I660" s="16" t="n"/>
      <c r="J660" s="16" t="n"/>
      <c r="K660" s="16" t="n"/>
      <c r="L660" s="16" t="inlineStr">
        <is>
          <t>sí</t>
        </is>
      </c>
      <c r="M660" s="16" t="inlineStr">
        <is>
          <t>–</t>
        </is>
      </c>
      <c r="N660" s="16" t="inlineStr">
        <is>
          <t>no</t>
        </is>
      </c>
      <c r="O660" s="16" t="n"/>
    </row>
    <row r="661">
      <c r="A661" s="16" t="inlineStr">
        <is>
          <t>4.3</t>
        </is>
      </c>
      <c r="B661" s="16" t="inlineStr">
        <is>
          <t>4.3 x_b+P_alta+eficiencias+P_baja</t>
        </is>
      </c>
      <c r="C661" s="16" t="inlineStr">
        <is>
          <t>KF-M09</t>
        </is>
      </c>
      <c r="D661" s="16" t="inlineStr">
        <is>
          <t>KF-M09-R3-x_b+P_alta+eficiencias+P_baja</t>
        </is>
      </c>
      <c r="E661" s="16" t="inlineStr">
        <is>
          <t>B13-x_b+P_alta+eficiencias+P_baja</t>
        </is>
      </c>
      <c r="F661" s="16" t="inlineStr">
        <is>
          <t>eps_reg</t>
        </is>
      </c>
      <c r="G661" s="16" t="inlineStr">
        <is>
          <t>fijo</t>
        </is>
      </c>
      <c r="H661" s="16" t="inlineStr">
        <is>
          <t>0.75</t>
        </is>
      </c>
      <c r="I661" s="16" t="n"/>
      <c r="J661" s="16" t="n"/>
      <c r="K661" s="16" t="n"/>
      <c r="L661" s="16" t="inlineStr">
        <is>
          <t>sí</t>
        </is>
      </c>
      <c r="M661" s="16" t="inlineStr">
        <is>
          <t>–</t>
        </is>
      </c>
      <c r="N661" s="16" t="inlineStr">
        <is>
          <t>no</t>
        </is>
      </c>
      <c r="O661" s="16" t="n"/>
    </row>
    <row r="662">
      <c r="A662" s="16" t="inlineStr">
        <is>
          <t>4.3</t>
        </is>
      </c>
      <c r="B662" s="16" t="inlineStr">
        <is>
          <t>4.3 x_b+P_alta+eficiencias+P_baja</t>
        </is>
      </c>
      <c r="C662" s="16" t="inlineStr">
        <is>
          <t>KF-M09</t>
        </is>
      </c>
      <c r="D662" s="16" t="inlineStr">
        <is>
          <t>KF-M09-R3-x_b+P_alta+eficiencias+P_baja</t>
        </is>
      </c>
      <c r="E662" s="16" t="inlineStr">
        <is>
          <t>B13-x_b+P_alta+eficiencias+P_baja</t>
        </is>
      </c>
      <c r="F662" s="16" t="inlineStr">
        <is>
          <t>eps_cond</t>
        </is>
      </c>
      <c r="G662" s="16" t="inlineStr">
        <is>
          <t>fijo</t>
        </is>
      </c>
      <c r="H662" s="16" t="inlineStr">
        <is>
          <t>0.8</t>
        </is>
      </c>
      <c r="I662" s="16" t="n"/>
      <c r="J662" s="16" t="n"/>
      <c r="K662" s="16" t="n"/>
      <c r="L662" s="16" t="inlineStr">
        <is>
          <t>sí</t>
        </is>
      </c>
      <c r="M662" s="16" t="inlineStr">
        <is>
          <t>–</t>
        </is>
      </c>
      <c r="N662" s="16" t="inlineStr">
        <is>
          <t>no</t>
        </is>
      </c>
      <c r="O662" s="16" t="n"/>
    </row>
    <row r="663">
      <c r="A663" s="16" t="inlineStr">
        <is>
          <t>4.3</t>
        </is>
      </c>
      <c r="B663" s="16" t="inlineStr">
        <is>
          <t>4.3 x_b+P_alta+eficiencias+P_baja</t>
        </is>
      </c>
      <c r="C663" s="16" t="inlineStr">
        <is>
          <t>KF-M09</t>
        </is>
      </c>
      <c r="D663" s="16" t="inlineStr">
        <is>
          <t>KF-M09-R3-x_b+P_alta+eficiencias+P_baja</t>
        </is>
      </c>
      <c r="E663" s="16" t="inlineStr">
        <is>
          <t>B13-x_b+P_alta+eficiencias+P_baja</t>
        </is>
      </c>
      <c r="F663" s="16" t="inlineStr">
        <is>
          <t>T_amb_diseno</t>
        </is>
      </c>
      <c r="G663" s="16" t="inlineStr">
        <is>
          <t>barrido</t>
        </is>
      </c>
      <c r="H663" s="16" t="n"/>
      <c r="I663" s="16" t="n">
        <v>278.2057929033543</v>
      </c>
      <c r="J663" s="16" t="n">
        <v>303.384376974051</v>
      </c>
      <c r="K663" s="16" t="n">
        <v>30</v>
      </c>
      <c r="L663" s="16" t="n"/>
      <c r="M663" s="16" t="inlineStr">
        <is>
          <t>K</t>
        </is>
      </c>
      <c r="N663" s="16" t="inlineStr">
        <is>
          <t>no</t>
        </is>
      </c>
      <c r="O663" s="16" t="n"/>
    </row>
    <row r="664">
      <c r="A664" s="16" t="inlineStr">
        <is>
          <t>4.3</t>
        </is>
      </c>
      <c r="B664" s="16" t="inlineStr">
        <is>
          <t>4.3 x_b+P_alta+eficiencias+P_baja</t>
        </is>
      </c>
      <c r="C664" s="16" t="inlineStr">
        <is>
          <t>KF-M09</t>
        </is>
      </c>
      <c r="D664" s="16" t="inlineStr">
        <is>
          <t>KF-M09-R3-x_b+P_alta+eficiencias+P_baja</t>
        </is>
      </c>
      <c r="E664" s="16" t="inlineStr">
        <is>
          <t>B13-x_b+P_alta+eficiencias+P_baja</t>
        </is>
      </c>
      <c r="F664" s="16" t="inlineStr">
        <is>
          <t>motor</t>
        </is>
      </c>
      <c r="G664" s="16" t="inlineStr">
        <is>
          <t>fijo</t>
        </is>
      </c>
      <c r="H664" s="16" t="inlineStr">
        <is>
          <t>teqp</t>
        </is>
      </c>
      <c r="I664" s="16" t="n"/>
      <c r="J664" s="16" t="n"/>
      <c r="K664" s="16" t="n"/>
      <c r="L664" s="16" t="n"/>
      <c r="M664" s="16" t="inlineStr">
        <is>
          <t>–</t>
        </is>
      </c>
      <c r="N664" s="16" t="inlineStr">
        <is>
          <t>no</t>
        </is>
      </c>
      <c r="O664" s="16" t="n"/>
    </row>
    <row r="665">
      <c r="A665" s="16" t="inlineStr">
        <is>
          <t>4.3</t>
        </is>
      </c>
      <c r="B665" s="16" t="inlineStr">
        <is>
          <t>4.3 x_b+P_alta+eficiencias+T_sumidero</t>
        </is>
      </c>
      <c r="C665" s="16" t="inlineStr">
        <is>
          <t>KF-M09</t>
        </is>
      </c>
      <c r="D665" s="16" t="inlineStr">
        <is>
          <t>KF-M09-R3-x_b+P_alta+eficiencias+T_sumidero</t>
        </is>
      </c>
      <c r="E665" s="16" t="inlineStr">
        <is>
          <t>B13-x_b+P_alta+eficiencias+T_sumidero</t>
        </is>
      </c>
      <c r="F665" s="16" t="inlineStr">
        <is>
          <t>T_fuente</t>
        </is>
      </c>
      <c r="G665" s="16" t="inlineStr">
        <is>
          <t>barrido</t>
        </is>
      </c>
      <c r="H665" s="16" t="n"/>
      <c r="I665" s="16" t="n">
        <v>381.6198450359147</v>
      </c>
      <c r="J665" s="16" t="n">
        <v>516.0428539129589</v>
      </c>
      <c r="K665" s="16" t="n">
        <v>30</v>
      </c>
      <c r="L665" s="16" t="n"/>
      <c r="M665" s="16" t="inlineStr">
        <is>
          <t>K</t>
        </is>
      </c>
      <c r="N665" s="16" t="inlineStr">
        <is>
          <t>no</t>
        </is>
      </c>
      <c r="O665" s="16" t="n"/>
    </row>
    <row r="666">
      <c r="A666" s="16" t="inlineStr">
        <is>
          <t>4.3</t>
        </is>
      </c>
      <c r="B666" s="16" t="inlineStr">
        <is>
          <t>4.3 x_b+P_alta+eficiencias+T_sumidero</t>
        </is>
      </c>
      <c r="C666" s="16" t="inlineStr">
        <is>
          <t>KF-M09</t>
        </is>
      </c>
      <c r="D666" s="16" t="inlineStr">
        <is>
          <t>KF-M09-R3-x_b+P_alta+eficiencias+T_sumidero</t>
        </is>
      </c>
      <c r="E666" s="16" t="inlineStr">
        <is>
          <t>B13-x_b+P_alta+eficiencias+T_sumidero</t>
        </is>
      </c>
      <c r="F666" s="16" t="inlineStr">
        <is>
          <t>T_sumidero</t>
        </is>
      </c>
      <c r="G666" s="16" t="inlineStr">
        <is>
          <t>fijo</t>
        </is>
      </c>
      <c r="H666" s="16" t="inlineStr">
        <is>
          <t>300.032917</t>
        </is>
      </c>
      <c r="I666" s="16" t="n"/>
      <c r="J666" s="16" t="n"/>
      <c r="K666" s="16" t="n"/>
      <c r="L666" s="16" t="inlineStr">
        <is>
          <t>sí</t>
        </is>
      </c>
      <c r="M666" s="16" t="inlineStr">
        <is>
          <t>K</t>
        </is>
      </c>
      <c r="N666" s="16" t="inlineStr">
        <is>
          <t>no</t>
        </is>
      </c>
      <c r="O666" s="16" t="n"/>
    </row>
    <row r="667">
      <c r="A667" s="16" t="inlineStr">
        <is>
          <t>4.3</t>
        </is>
      </c>
      <c r="B667" s="16" t="inlineStr">
        <is>
          <t>4.3 x_b+P_alta+eficiencias+T_sumidero</t>
        </is>
      </c>
      <c r="C667" s="16" t="inlineStr">
        <is>
          <t>KF-M09</t>
        </is>
      </c>
      <c r="D667" s="16" t="inlineStr">
        <is>
          <t>KF-M09-R3-x_b+P_alta+eficiencias+T_sumidero</t>
        </is>
      </c>
      <c r="E667" s="16" t="inlineStr">
        <is>
          <t>B13-x_b+P_alta+eficiencias+T_sumidero</t>
        </is>
      </c>
      <c r="F667" s="16" t="inlineStr">
        <is>
          <t>P_alta</t>
        </is>
      </c>
      <c r="G667" s="16" t="inlineStr">
        <is>
          <t>fijo</t>
        </is>
      </c>
      <c r="H667" s="16" t="inlineStr">
        <is>
          <t>3000.0</t>
        </is>
      </c>
      <c r="I667" s="16" t="n"/>
      <c r="J667" s="16" t="n"/>
      <c r="K667" s="16" t="n"/>
      <c r="L667" s="16" t="inlineStr">
        <is>
          <t>sí</t>
        </is>
      </c>
      <c r="M667" s="16" t="inlineStr">
        <is>
          <t>kPa</t>
        </is>
      </c>
      <c r="N667" s="16" t="inlineStr">
        <is>
          <t>no</t>
        </is>
      </c>
      <c r="O667" s="16" t="n"/>
    </row>
    <row r="668">
      <c r="A668" s="16" t="inlineStr">
        <is>
          <t>4.3</t>
        </is>
      </c>
      <c r="B668" s="16" t="inlineStr">
        <is>
          <t>4.3 x_b+P_alta+eficiencias+T_sumidero</t>
        </is>
      </c>
      <c r="C668" s="16" t="inlineStr">
        <is>
          <t>KF-M09</t>
        </is>
      </c>
      <c r="D668" s="16" t="inlineStr">
        <is>
          <t>KF-M09-R3-x_b+P_alta+eficiencias+T_sumidero</t>
        </is>
      </c>
      <c r="E668" s="16" t="inlineStr">
        <is>
          <t>B13-x_b+P_alta+eficiencias+T_sumidero</t>
        </is>
      </c>
      <c r="F668" s="16" t="inlineStr">
        <is>
          <t>P_baja</t>
        </is>
      </c>
      <c r="G668" s="16" t="inlineStr">
        <is>
          <t>barrido</t>
        </is>
      </c>
      <c r="H668" s="16" t="n"/>
      <c r="I668" s="16" t="n">
        <v>333.5864466869371</v>
      </c>
      <c r="J668" s="16" t="n">
        <v>1956.250528131986</v>
      </c>
      <c r="K668" s="16" t="n">
        <v>30</v>
      </c>
      <c r="L668" s="16" t="n"/>
      <c r="M668" s="16" t="inlineStr">
        <is>
          <t>kPa</t>
        </is>
      </c>
      <c r="N668" s="16" t="inlineStr">
        <is>
          <t>no</t>
        </is>
      </c>
      <c r="O668" s="16" t="n"/>
    </row>
    <row r="669">
      <c r="A669" s="16" t="inlineStr">
        <is>
          <t>4.3</t>
        </is>
      </c>
      <c r="B669" s="16" t="inlineStr">
        <is>
          <t>4.3 x_b+P_alta+eficiencias+T_sumidero</t>
        </is>
      </c>
      <c r="C669" s="16" t="inlineStr">
        <is>
          <t>KF-M09</t>
        </is>
      </c>
      <c r="D669" s="16" t="inlineStr">
        <is>
          <t>KF-M09-R3-x_b+P_alta+eficiencias+T_sumidero</t>
        </is>
      </c>
      <c r="E669" s="16" t="inlineStr">
        <is>
          <t>B13-x_b+P_alta+eficiencias+T_sumidero</t>
        </is>
      </c>
      <c r="F669" s="16" t="inlineStr">
        <is>
          <t>x_b</t>
        </is>
      </c>
      <c r="G669" s="16" t="inlineStr">
        <is>
          <t>fijo</t>
        </is>
      </c>
      <c r="H669" s="16" t="inlineStr">
        <is>
          <t>0.5</t>
        </is>
      </c>
      <c r="I669" s="16" t="n"/>
      <c r="J669" s="16" t="n"/>
      <c r="K669" s="16" t="n"/>
      <c r="L669" s="16" t="inlineStr">
        <is>
          <t>sí</t>
        </is>
      </c>
      <c r="M669" s="16" t="inlineStr">
        <is>
          <t>–</t>
        </is>
      </c>
      <c r="N669" s="16" t="inlineStr">
        <is>
          <t>no</t>
        </is>
      </c>
      <c r="O669" s="16" t="n"/>
    </row>
    <row r="670">
      <c r="A670" s="16" t="inlineStr">
        <is>
          <t>4.3</t>
        </is>
      </c>
      <c r="B670" s="16" t="inlineStr">
        <is>
          <t>4.3 x_b+P_alta+eficiencias+T_sumidero</t>
        </is>
      </c>
      <c r="C670" s="16" t="inlineStr">
        <is>
          <t>KF-M09</t>
        </is>
      </c>
      <c r="D670" s="16" t="inlineStr">
        <is>
          <t>KF-M09-R3-x_b+P_alta+eficiencias+T_sumidero</t>
        </is>
      </c>
      <c r="E670" s="16" t="inlineStr">
        <is>
          <t>B13-x_b+P_alta+eficiencias+T_sumidero</t>
        </is>
      </c>
      <c r="F670" s="16" t="inlineStr">
        <is>
          <t>m_b</t>
        </is>
      </c>
      <c r="G670" s="16" t="inlineStr">
        <is>
          <t>fijo</t>
        </is>
      </c>
      <c r="H670" s="16" t="inlineStr">
        <is>
          <t>1.0</t>
        </is>
      </c>
      <c r="I670" s="16" t="n"/>
      <c r="J670" s="16" t="n"/>
      <c r="K670" s="16" t="n"/>
      <c r="L670" s="16" t="inlineStr">
        <is>
          <t>sí</t>
        </is>
      </c>
      <c r="M670" s="16" t="inlineStr">
        <is>
          <t>kg/s</t>
        </is>
      </c>
      <c r="N670" s="16" t="inlineStr">
        <is>
          <t>no</t>
        </is>
      </c>
      <c r="O670" s="16" t="n"/>
    </row>
    <row r="671">
      <c r="A671" s="16" t="inlineStr">
        <is>
          <t>4.3</t>
        </is>
      </c>
      <c r="B671" s="16" t="inlineStr">
        <is>
          <t>4.3 x_b+P_alta+eficiencias+T_sumidero</t>
        </is>
      </c>
      <c r="C671" s="16" t="inlineStr">
        <is>
          <t>KF-M09</t>
        </is>
      </c>
      <c r="D671" s="16" t="inlineStr">
        <is>
          <t>KF-M09-R3-x_b+P_alta+eficiencias+T_sumidero</t>
        </is>
      </c>
      <c r="E671" s="16" t="inlineStr">
        <is>
          <t>B13-x_b+P_alta+eficiencias+T_sumidero</t>
        </is>
      </c>
      <c r="F671" s="16" t="inlineStr">
        <is>
          <t>eta_t</t>
        </is>
      </c>
      <c r="G671" s="16" t="inlineStr">
        <is>
          <t>fijo</t>
        </is>
      </c>
      <c r="H671" s="16" t="inlineStr">
        <is>
          <t>0.85</t>
        </is>
      </c>
      <c r="I671" s="16" t="n"/>
      <c r="J671" s="16" t="n"/>
      <c r="K671" s="16" t="n"/>
      <c r="L671" s="16" t="inlineStr">
        <is>
          <t>sí</t>
        </is>
      </c>
      <c r="M671" s="16" t="inlineStr">
        <is>
          <t>–</t>
        </is>
      </c>
      <c r="N671" s="16" t="inlineStr">
        <is>
          <t>no</t>
        </is>
      </c>
      <c r="O671" s="16" t="n"/>
    </row>
    <row r="672">
      <c r="A672" s="16" t="inlineStr">
        <is>
          <t>4.3</t>
        </is>
      </c>
      <c r="B672" s="16" t="inlineStr">
        <is>
          <t>4.3 x_b+P_alta+eficiencias+T_sumidero</t>
        </is>
      </c>
      <c r="C672" s="16" t="inlineStr">
        <is>
          <t>KF-M09</t>
        </is>
      </c>
      <c r="D672" s="16" t="inlineStr">
        <is>
          <t>KF-M09-R3-x_b+P_alta+eficiencias+T_sumidero</t>
        </is>
      </c>
      <c r="E672" s="16" t="inlineStr">
        <is>
          <t>B13-x_b+P_alta+eficiencias+T_sumidero</t>
        </is>
      </c>
      <c r="F672" s="16" t="inlineStr">
        <is>
          <t>eta_p</t>
        </is>
      </c>
      <c r="G672" s="16" t="inlineStr">
        <is>
          <t>fijo</t>
        </is>
      </c>
      <c r="H672" s="16" t="inlineStr">
        <is>
          <t>0.75</t>
        </is>
      </c>
      <c r="I672" s="16" t="n"/>
      <c r="J672" s="16" t="n"/>
      <c r="K672" s="16" t="n"/>
      <c r="L672" s="16" t="inlineStr">
        <is>
          <t>sí</t>
        </is>
      </c>
      <c r="M672" s="16" t="inlineStr">
        <is>
          <t>–</t>
        </is>
      </c>
      <c r="N672" s="16" t="inlineStr">
        <is>
          <t>no</t>
        </is>
      </c>
      <c r="O672" s="16" t="n"/>
    </row>
    <row r="673">
      <c r="A673" s="16" t="inlineStr">
        <is>
          <t>4.3</t>
        </is>
      </c>
      <c r="B673" s="16" t="inlineStr">
        <is>
          <t>4.3 x_b+P_alta+eficiencias+T_sumidero</t>
        </is>
      </c>
      <c r="C673" s="16" t="inlineStr">
        <is>
          <t>KF-M09</t>
        </is>
      </c>
      <c r="D673" s="16" t="inlineStr">
        <is>
          <t>KF-M09-R3-x_b+P_alta+eficiencias+T_sumidero</t>
        </is>
      </c>
      <c r="E673" s="16" t="inlineStr">
        <is>
          <t>B13-x_b+P_alta+eficiencias+T_sumidero</t>
        </is>
      </c>
      <c r="F673" s="16" t="inlineStr">
        <is>
          <t>eps_hrvg</t>
        </is>
      </c>
      <c r="G673" s="16" t="inlineStr">
        <is>
          <t>fijo</t>
        </is>
      </c>
      <c r="H673" s="16" t="inlineStr">
        <is>
          <t>0.85</t>
        </is>
      </c>
      <c r="I673" s="16" t="n"/>
      <c r="J673" s="16" t="n"/>
      <c r="K673" s="16" t="n"/>
      <c r="L673" s="16" t="inlineStr">
        <is>
          <t>sí</t>
        </is>
      </c>
      <c r="M673" s="16" t="inlineStr">
        <is>
          <t>–</t>
        </is>
      </c>
      <c r="N673" s="16" t="inlineStr">
        <is>
          <t>no</t>
        </is>
      </c>
      <c r="O673" s="16" t="n"/>
    </row>
    <row r="674">
      <c r="A674" s="16" t="inlineStr">
        <is>
          <t>4.3</t>
        </is>
      </c>
      <c r="B674" s="16" t="inlineStr">
        <is>
          <t>4.3 x_b+P_alta+eficiencias+T_sumidero</t>
        </is>
      </c>
      <c r="C674" s="16" t="inlineStr">
        <is>
          <t>KF-M09</t>
        </is>
      </c>
      <c r="D674" s="16" t="inlineStr">
        <is>
          <t>KF-M09-R3-x_b+P_alta+eficiencias+T_sumidero</t>
        </is>
      </c>
      <c r="E674" s="16" t="inlineStr">
        <is>
          <t>B13-x_b+P_alta+eficiencias+T_sumidero</t>
        </is>
      </c>
      <c r="F674" s="16" t="inlineStr">
        <is>
          <t>eps_reg</t>
        </is>
      </c>
      <c r="G674" s="16" t="inlineStr">
        <is>
          <t>fijo</t>
        </is>
      </c>
      <c r="H674" s="16" t="inlineStr">
        <is>
          <t>0.75</t>
        </is>
      </c>
      <c r="I674" s="16" t="n"/>
      <c r="J674" s="16" t="n"/>
      <c r="K674" s="16" t="n"/>
      <c r="L674" s="16" t="inlineStr">
        <is>
          <t>sí</t>
        </is>
      </c>
      <c r="M674" s="16" t="inlineStr">
        <is>
          <t>–</t>
        </is>
      </c>
      <c r="N674" s="16" t="inlineStr">
        <is>
          <t>no</t>
        </is>
      </c>
      <c r="O674" s="16" t="n"/>
    </row>
    <row r="675">
      <c r="A675" s="16" t="inlineStr">
        <is>
          <t>4.3</t>
        </is>
      </c>
      <c r="B675" s="16" t="inlineStr">
        <is>
          <t>4.3 x_b+P_alta+eficiencias+T_sumidero</t>
        </is>
      </c>
      <c r="C675" s="16" t="inlineStr">
        <is>
          <t>KF-M09</t>
        </is>
      </c>
      <c r="D675" s="16" t="inlineStr">
        <is>
          <t>KF-M09-R3-x_b+P_alta+eficiencias+T_sumidero</t>
        </is>
      </c>
      <c r="E675" s="16" t="inlineStr">
        <is>
          <t>B13-x_b+P_alta+eficiencias+T_sumidero</t>
        </is>
      </c>
      <c r="F675" s="16" t="inlineStr">
        <is>
          <t>eps_cond</t>
        </is>
      </c>
      <c r="G675" s="16" t="inlineStr">
        <is>
          <t>fijo</t>
        </is>
      </c>
      <c r="H675" s="16" t="inlineStr">
        <is>
          <t>0.8</t>
        </is>
      </c>
      <c r="I675" s="16" t="n"/>
      <c r="J675" s="16" t="n"/>
      <c r="K675" s="16" t="n"/>
      <c r="L675" s="16" t="inlineStr">
        <is>
          <t>sí</t>
        </is>
      </c>
      <c r="M675" s="16" t="inlineStr">
        <is>
          <t>–</t>
        </is>
      </c>
      <c r="N675" s="16" t="inlineStr">
        <is>
          <t>no</t>
        </is>
      </c>
      <c r="O675" s="16" t="n"/>
    </row>
    <row r="676">
      <c r="A676" s="16" t="inlineStr">
        <is>
          <t>4.3</t>
        </is>
      </c>
      <c r="B676" s="16" t="inlineStr">
        <is>
          <t>4.3 x_b+P_alta+eficiencias+T_sumidero</t>
        </is>
      </c>
      <c r="C676" s="16" t="inlineStr">
        <is>
          <t>KF-M09</t>
        </is>
      </c>
      <c r="D676" s="16" t="inlineStr">
        <is>
          <t>KF-M09-R3-x_b+P_alta+eficiencias+T_sumidero</t>
        </is>
      </c>
      <c r="E676" s="16" t="inlineStr">
        <is>
          <t>B13-x_b+P_alta+eficiencias+T_sumidero</t>
        </is>
      </c>
      <c r="F676" s="16" t="inlineStr">
        <is>
          <t>T_amb_diseno</t>
        </is>
      </c>
      <c r="G676" s="16" t="inlineStr">
        <is>
          <t>fijo</t>
        </is>
      </c>
      <c r="H676" s="16" t="inlineStr">
        <is>
          <t>300.032917</t>
        </is>
      </c>
      <c r="I676" s="16" t="n"/>
      <c r="J676" s="16" t="n"/>
      <c r="K676" s="16" t="n"/>
      <c r="L676" s="16" t="inlineStr">
        <is>
          <t>sí</t>
        </is>
      </c>
      <c r="M676" s="16" t="inlineStr">
        <is>
          <t>K</t>
        </is>
      </c>
      <c r="N676" s="16" t="inlineStr">
        <is>
          <t>no</t>
        </is>
      </c>
      <c r="O676" s="16" t="n"/>
    </row>
    <row r="677">
      <c r="A677" s="16" t="inlineStr">
        <is>
          <t>4.3</t>
        </is>
      </c>
      <c r="B677" s="16" t="inlineStr">
        <is>
          <t>4.3 x_b+P_alta+eficiencias+T_sumidero</t>
        </is>
      </c>
      <c r="C677" s="16" t="inlineStr">
        <is>
          <t>KF-M09</t>
        </is>
      </c>
      <c r="D677" s="16" t="inlineStr">
        <is>
          <t>KF-M09-R3-x_b+P_alta+eficiencias+T_sumidero</t>
        </is>
      </c>
      <c r="E677" s="16" t="inlineStr">
        <is>
          <t>B13-x_b+P_alta+eficiencias+T_sumidero</t>
        </is>
      </c>
      <c r="F677" s="16" t="inlineStr">
        <is>
          <t>motor</t>
        </is>
      </c>
      <c r="G677" s="16" t="inlineStr">
        <is>
          <t>fijo</t>
        </is>
      </c>
      <c r="H677" s="16" t="inlineStr">
        <is>
          <t>teqp</t>
        </is>
      </c>
      <c r="I677" s="16" t="n"/>
      <c r="J677" s="16" t="n"/>
      <c r="K677" s="16" t="n"/>
      <c r="L677" s="16" t="n"/>
      <c r="M677" s="16" t="inlineStr">
        <is>
          <t>–</t>
        </is>
      </c>
      <c r="N677" s="16" t="inlineStr">
        <is>
          <t>no</t>
        </is>
      </c>
      <c r="O677" s="16" t="n"/>
    </row>
    <row r="678">
      <c r="A678" s="16" t="inlineStr">
        <is>
          <t>4.3</t>
        </is>
      </c>
      <c r="B678" s="16" t="inlineStr">
        <is>
          <t>6.2e</t>
        </is>
      </c>
      <c r="C678" s="16" t="inlineStr">
        <is>
          <t>KF-M09</t>
        </is>
      </c>
      <c r="D678" s="16" t="inlineStr">
        <is>
          <t>KF-M09-HUS</t>
        </is>
      </c>
      <c r="E678" s="16" t="inlineStr">
        <is>
          <t>B13-HUS</t>
        </is>
      </c>
      <c r="F678" s="16" t="inlineStr">
        <is>
          <t>T_fuente</t>
        </is>
      </c>
      <c r="G678" s="16" t="inlineStr">
        <is>
          <t>fijo</t>
        </is>
      </c>
      <c r="H678" s="16" t="inlineStr">
        <is>
          <t>394.15</t>
        </is>
      </c>
      <c r="I678" s="16" t="n"/>
      <c r="J678" s="16" t="n"/>
      <c r="K678" s="16" t="n"/>
      <c r="L678" s="16" t="inlineStr">
        <is>
          <t>no</t>
        </is>
      </c>
      <c r="M678" s="16" t="inlineStr">
        <is>
          <t>K</t>
        </is>
      </c>
      <c r="N678" s="16" t="inlineStr">
        <is>
          <t>no</t>
        </is>
      </c>
      <c r="O678" s="16" t="n"/>
    </row>
    <row r="679">
      <c r="A679" s="16" t="inlineStr">
        <is>
          <t>4.3</t>
        </is>
      </c>
      <c r="B679" s="16" t="inlineStr">
        <is>
          <t>6.2e</t>
        </is>
      </c>
      <c r="C679" s="16" t="inlineStr">
        <is>
          <t>KF-M09</t>
        </is>
      </c>
      <c r="D679" s="16" t="inlineStr">
        <is>
          <t>KF-M09-HUS</t>
        </is>
      </c>
      <c r="E679" s="16" t="inlineStr">
        <is>
          <t>B13-HUS</t>
        </is>
      </c>
      <c r="F679" s="16" t="inlineStr">
        <is>
          <t>T_sumidero</t>
        </is>
      </c>
      <c r="G679" s="16" t="inlineStr">
        <is>
          <t>fijo</t>
        </is>
      </c>
      <c r="H679" s="16" t="inlineStr">
        <is>
          <t>278.15</t>
        </is>
      </c>
      <c r="I679" s="16" t="n"/>
      <c r="J679" s="16" t="n"/>
      <c r="K679" s="16" t="n"/>
      <c r="L679" s="16" t="inlineStr">
        <is>
          <t>no</t>
        </is>
      </c>
      <c r="M679" s="16" t="inlineStr">
        <is>
          <t>K</t>
        </is>
      </c>
      <c r="N679" s="16" t="inlineStr">
        <is>
          <t>no</t>
        </is>
      </c>
      <c r="O679" s="16" t="n"/>
    </row>
    <row r="680">
      <c r="A680" s="16" t="inlineStr">
        <is>
          <t>4.3</t>
        </is>
      </c>
      <c r="B680" s="16" t="inlineStr">
        <is>
          <t>6.2e</t>
        </is>
      </c>
      <c r="C680" s="16" t="inlineStr">
        <is>
          <t>KF-M09</t>
        </is>
      </c>
      <c r="D680" s="16" t="inlineStr">
        <is>
          <t>KF-M09-HUS</t>
        </is>
      </c>
      <c r="E680" s="16" t="inlineStr">
        <is>
          <t>B13-HUS</t>
        </is>
      </c>
      <c r="F680" s="16" t="inlineStr">
        <is>
          <t>P_alta</t>
        </is>
      </c>
      <c r="G680" s="16" t="inlineStr">
        <is>
          <t>fijo</t>
        </is>
      </c>
      <c r="H680" s="16" t="inlineStr">
        <is>
          <t>3300.0</t>
        </is>
      </c>
      <c r="I680" s="16" t="n"/>
      <c r="J680" s="16" t="n"/>
      <c r="K680" s="16" t="n"/>
      <c r="L680" s="16" t="inlineStr">
        <is>
          <t>no</t>
        </is>
      </c>
      <c r="M680" s="16" t="inlineStr">
        <is>
          <t>kPa</t>
        </is>
      </c>
      <c r="N680" s="16" t="inlineStr">
        <is>
          <t>no</t>
        </is>
      </c>
      <c r="O680" s="16" t="n"/>
    </row>
    <row r="681">
      <c r="A681" s="16" t="inlineStr">
        <is>
          <t>4.3</t>
        </is>
      </c>
      <c r="B681" s="16" t="inlineStr">
        <is>
          <t>6.2e</t>
        </is>
      </c>
      <c r="C681" s="16" t="inlineStr">
        <is>
          <t>KF-M09</t>
        </is>
      </c>
      <c r="D681" s="16" t="inlineStr">
        <is>
          <t>KF-M09-HUS</t>
        </is>
      </c>
      <c r="E681" s="16" t="inlineStr">
        <is>
          <t>B13-HUS</t>
        </is>
      </c>
      <c r="F681" s="16" t="inlineStr">
        <is>
          <t>P_baja</t>
        </is>
      </c>
      <c r="G681" s="16" t="inlineStr">
        <is>
          <t>barrido</t>
        </is>
      </c>
      <c r="H681" s="16" t="n"/>
      <c r="I681" s="16" t="n">
        <v>500</v>
      </c>
      <c r="J681" s="16" t="n">
        <v>1000</v>
      </c>
      <c r="K681" s="16" t="n">
        <v>12</v>
      </c>
      <c r="L681" s="16" t="n"/>
      <c r="M681" s="16" t="inlineStr">
        <is>
          <t>kPa</t>
        </is>
      </c>
      <c r="N681" s="16" t="inlineStr">
        <is>
          <t>no</t>
        </is>
      </c>
      <c r="O681" s="16" t="n"/>
    </row>
    <row r="682">
      <c r="A682" s="16" t="inlineStr">
        <is>
          <t>4.3</t>
        </is>
      </c>
      <c r="B682" s="16" t="inlineStr">
        <is>
          <t>6.2e</t>
        </is>
      </c>
      <c r="C682" s="16" t="inlineStr">
        <is>
          <t>KF-M09</t>
        </is>
      </c>
      <c r="D682" s="16" t="inlineStr">
        <is>
          <t>KF-M09-HUS</t>
        </is>
      </c>
      <c r="E682" s="16" t="inlineStr">
        <is>
          <t>B13-HUS</t>
        </is>
      </c>
      <c r="F682" s="16" t="inlineStr">
        <is>
          <t>x_b</t>
        </is>
      </c>
      <c r="G682" s="16" t="inlineStr">
        <is>
          <t>fijo</t>
        </is>
      </c>
      <c r="H682" s="16" t="inlineStr">
        <is>
          <t>0.82</t>
        </is>
      </c>
      <c r="I682" s="16" t="n"/>
      <c r="J682" s="16" t="n"/>
      <c r="K682" s="16" t="n"/>
      <c r="L682" s="16" t="inlineStr">
        <is>
          <t>no</t>
        </is>
      </c>
      <c r="M682" s="16" t="inlineStr">
        <is>
          <t>–</t>
        </is>
      </c>
      <c r="N682" s="16" t="inlineStr">
        <is>
          <t>no</t>
        </is>
      </c>
      <c r="O682" s="16" t="n"/>
    </row>
    <row r="683">
      <c r="A683" s="16" t="inlineStr">
        <is>
          <t>4.3</t>
        </is>
      </c>
      <c r="B683" s="16" t="inlineStr">
        <is>
          <t>6.2e</t>
        </is>
      </c>
      <c r="C683" s="16" t="inlineStr">
        <is>
          <t>KF-M09</t>
        </is>
      </c>
      <c r="D683" s="16" t="inlineStr">
        <is>
          <t>KF-M09-HUS</t>
        </is>
      </c>
      <c r="E683" s="16" t="inlineStr">
        <is>
          <t>B13-HUS</t>
        </is>
      </c>
      <c r="F683" s="16" t="inlineStr">
        <is>
          <t>m_b</t>
        </is>
      </c>
      <c r="G683" s="16" t="inlineStr">
        <is>
          <t>fijo</t>
        </is>
      </c>
      <c r="H683" s="16" t="inlineStr">
        <is>
          <t>1.0</t>
        </is>
      </c>
      <c r="I683" s="16" t="n"/>
      <c r="J683" s="16" t="n"/>
      <c r="K683" s="16" t="n"/>
      <c r="L683" s="16" t="inlineStr">
        <is>
          <t>sí</t>
        </is>
      </c>
      <c r="M683" s="16" t="inlineStr">
        <is>
          <t>kg/s</t>
        </is>
      </c>
      <c r="N683" s="16" t="inlineStr">
        <is>
          <t>no</t>
        </is>
      </c>
      <c r="O683" s="16" t="n"/>
    </row>
    <row r="684">
      <c r="A684" s="16" t="inlineStr">
        <is>
          <t>4.3</t>
        </is>
      </c>
      <c r="B684" s="16" t="inlineStr">
        <is>
          <t>6.2e</t>
        </is>
      </c>
      <c r="C684" s="16" t="inlineStr">
        <is>
          <t>KF-M09</t>
        </is>
      </c>
      <c r="D684" s="16" t="inlineStr">
        <is>
          <t>KF-M09-HUS</t>
        </is>
      </c>
      <c r="E684" s="16" t="inlineStr">
        <is>
          <t>B13-HUS</t>
        </is>
      </c>
      <c r="F684" s="16" t="inlineStr">
        <is>
          <t>eta_t</t>
        </is>
      </c>
      <c r="G684" s="16" t="inlineStr">
        <is>
          <t>fijo</t>
        </is>
      </c>
      <c r="H684" s="16" t="inlineStr">
        <is>
          <t>0.9</t>
        </is>
      </c>
      <c r="I684" s="16" t="n"/>
      <c r="J684" s="16" t="n"/>
      <c r="K684" s="16" t="n"/>
      <c r="L684" s="16" t="inlineStr">
        <is>
          <t>no</t>
        </is>
      </c>
      <c r="M684" s="16" t="inlineStr">
        <is>
          <t>–</t>
        </is>
      </c>
      <c r="N684" s="16" t="inlineStr">
        <is>
          <t>no</t>
        </is>
      </c>
      <c r="O684" s="16" t="n"/>
    </row>
    <row r="685">
      <c r="A685" s="16" t="inlineStr">
        <is>
          <t>4.3</t>
        </is>
      </c>
      <c r="B685" s="16" t="inlineStr">
        <is>
          <t>6.2e</t>
        </is>
      </c>
      <c r="C685" s="16" t="inlineStr">
        <is>
          <t>KF-M09</t>
        </is>
      </c>
      <c r="D685" s="16" t="inlineStr">
        <is>
          <t>KF-M09-HUS</t>
        </is>
      </c>
      <c r="E685" s="16" t="inlineStr">
        <is>
          <t>B13-HUS</t>
        </is>
      </c>
      <c r="F685" s="16" t="inlineStr">
        <is>
          <t>eta_p</t>
        </is>
      </c>
      <c r="G685" s="16" t="inlineStr">
        <is>
          <t>fijo</t>
        </is>
      </c>
      <c r="H685" s="16" t="inlineStr">
        <is>
          <t>0.8</t>
        </is>
      </c>
      <c r="I685" s="16" t="n"/>
      <c r="J685" s="16" t="n"/>
      <c r="K685" s="16" t="n"/>
      <c r="L685" s="16" t="inlineStr">
        <is>
          <t>no</t>
        </is>
      </c>
      <c r="M685" s="16" t="inlineStr">
        <is>
          <t>–</t>
        </is>
      </c>
      <c r="N685" s="16" t="inlineStr">
        <is>
          <t>no</t>
        </is>
      </c>
      <c r="O685" s="16" t="n"/>
    </row>
    <row r="686">
      <c r="A686" s="16" t="inlineStr">
        <is>
          <t>4.3</t>
        </is>
      </c>
      <c r="B686" s="16" t="inlineStr">
        <is>
          <t>6.2e</t>
        </is>
      </c>
      <c r="C686" s="16" t="inlineStr">
        <is>
          <t>KF-M09</t>
        </is>
      </c>
      <c r="D686" s="16" t="inlineStr">
        <is>
          <t>KF-M09-HUS</t>
        </is>
      </c>
      <c r="E686" s="16" t="inlineStr">
        <is>
          <t>B13-HUS</t>
        </is>
      </c>
      <c r="F686" s="16" t="inlineStr">
        <is>
          <t>eps_hrvg</t>
        </is>
      </c>
      <c r="G686" s="16" t="inlineStr">
        <is>
          <t>fijo</t>
        </is>
      </c>
      <c r="H686" s="16" t="inlineStr">
        <is>
          <t>0.85</t>
        </is>
      </c>
      <c r="I686" s="16" t="n"/>
      <c r="J686" s="16" t="n"/>
      <c r="K686" s="16" t="n"/>
      <c r="L686" s="16" t="inlineStr">
        <is>
          <t>sí</t>
        </is>
      </c>
      <c r="M686" s="16" t="inlineStr">
        <is>
          <t>–</t>
        </is>
      </c>
      <c r="N686" s="16" t="inlineStr">
        <is>
          <t>no</t>
        </is>
      </c>
      <c r="O686" s="16" t="n"/>
    </row>
    <row r="687">
      <c r="A687" s="16" t="inlineStr">
        <is>
          <t>4.3</t>
        </is>
      </c>
      <c r="B687" s="16" t="inlineStr">
        <is>
          <t>6.2e</t>
        </is>
      </c>
      <c r="C687" s="16" t="inlineStr">
        <is>
          <t>KF-M09</t>
        </is>
      </c>
      <c r="D687" s="16" t="inlineStr">
        <is>
          <t>KF-M09-HUS</t>
        </is>
      </c>
      <c r="E687" s="16" t="inlineStr">
        <is>
          <t>B13-HUS</t>
        </is>
      </c>
      <c r="F687" s="16" t="inlineStr">
        <is>
          <t>eps_reg</t>
        </is>
      </c>
      <c r="G687" s="16" t="inlineStr">
        <is>
          <t>fijo</t>
        </is>
      </c>
      <c r="H687" s="16" t="inlineStr">
        <is>
          <t>0.75</t>
        </is>
      </c>
      <c r="I687" s="16" t="n"/>
      <c r="J687" s="16" t="n"/>
      <c r="K687" s="16" t="n"/>
      <c r="L687" s="16" t="inlineStr">
        <is>
          <t>sí</t>
        </is>
      </c>
      <c r="M687" s="16" t="inlineStr">
        <is>
          <t>–</t>
        </is>
      </c>
      <c r="N687" s="16" t="inlineStr">
        <is>
          <t>no</t>
        </is>
      </c>
      <c r="O687" s="16" t="n"/>
    </row>
    <row r="688">
      <c r="A688" s="16" t="inlineStr">
        <is>
          <t>4.3</t>
        </is>
      </c>
      <c r="B688" s="16" t="inlineStr">
        <is>
          <t>6.2e</t>
        </is>
      </c>
      <c r="C688" s="16" t="inlineStr">
        <is>
          <t>KF-M09</t>
        </is>
      </c>
      <c r="D688" s="16" t="inlineStr">
        <is>
          <t>KF-M09-HUS</t>
        </is>
      </c>
      <c r="E688" s="16" t="inlineStr">
        <is>
          <t>B13-HUS</t>
        </is>
      </c>
      <c r="F688" s="16" t="inlineStr">
        <is>
          <t>eps_cond</t>
        </is>
      </c>
      <c r="G688" s="16" t="inlineStr">
        <is>
          <t>fijo</t>
        </is>
      </c>
      <c r="H688" s="16" t="inlineStr">
        <is>
          <t>0.95</t>
        </is>
      </c>
      <c r="I688" s="16" t="n"/>
      <c r="J688" s="16" t="n"/>
      <c r="K688" s="16" t="n"/>
      <c r="L688" s="16" t="inlineStr">
        <is>
          <t>no</t>
        </is>
      </c>
      <c r="M688" s="16" t="inlineStr">
        <is>
          <t>–</t>
        </is>
      </c>
      <c r="N688" s="16" t="inlineStr">
        <is>
          <t>no</t>
        </is>
      </c>
      <c r="O688" s="16" t="n"/>
    </row>
    <row r="689">
      <c r="A689" s="16" t="inlineStr">
        <is>
          <t>4.3</t>
        </is>
      </c>
      <c r="B689" s="16" t="inlineStr">
        <is>
          <t>6.2e</t>
        </is>
      </c>
      <c r="C689" s="16" t="inlineStr">
        <is>
          <t>KF-M09</t>
        </is>
      </c>
      <c r="D689" s="16" t="inlineStr">
        <is>
          <t>KF-M09-HUS</t>
        </is>
      </c>
      <c r="E689" s="16" t="inlineStr">
        <is>
          <t>B13-HUS</t>
        </is>
      </c>
      <c r="F689" s="16" t="inlineStr">
        <is>
          <t>T_amb_diseno</t>
        </is>
      </c>
      <c r="G689" s="16" t="inlineStr">
        <is>
          <t>barrido</t>
        </is>
      </c>
      <c r="H689" s="16" t="n"/>
      <c r="I689" s="16" t="n">
        <v>278.15</v>
      </c>
      <c r="J689" s="16" t="n">
        <v>283.15</v>
      </c>
      <c r="K689" s="16" t="n">
        <v>2</v>
      </c>
      <c r="L689" s="16" t="n"/>
      <c r="M689" s="16" t="inlineStr">
        <is>
          <t>K</t>
        </is>
      </c>
      <c r="N689" s="16" t="inlineStr">
        <is>
          <t>no</t>
        </is>
      </c>
      <c r="O689" s="16" t="n"/>
    </row>
    <row r="690">
      <c r="A690" s="16" t="inlineStr">
        <is>
          <t>4.3</t>
        </is>
      </c>
      <c r="B690" s="16" t="inlineStr">
        <is>
          <t>6.2e</t>
        </is>
      </c>
      <c r="C690" s="16" t="inlineStr">
        <is>
          <t>KF-M09</t>
        </is>
      </c>
      <c r="D690" s="16" t="inlineStr">
        <is>
          <t>KF-M09-HUS</t>
        </is>
      </c>
      <c r="E690" s="16" t="inlineStr">
        <is>
          <t>B13-HUS</t>
        </is>
      </c>
      <c r="F690" s="16" t="inlineStr">
        <is>
          <t>motor</t>
        </is>
      </c>
      <c r="G690" s="16" t="inlineStr">
        <is>
          <t>fijo</t>
        </is>
      </c>
      <c r="H690" s="16" t="inlineStr">
        <is>
          <t>teqp</t>
        </is>
      </c>
      <c r="I690" s="16" t="n"/>
      <c r="J690" s="16" t="n"/>
      <c r="K690" s="16" t="n"/>
      <c r="L690" s="16" t="n"/>
      <c r="M690" s="16" t="inlineStr">
        <is>
          <t>–</t>
        </is>
      </c>
      <c r="N690" s="16" t="inlineStr">
        <is>
          <t>no</t>
        </is>
      </c>
      <c r="O690" s="16" t="n"/>
    </row>
    <row r="691">
      <c r="A691" s="16" t="inlineStr">
        <is>
          <t>4.3</t>
        </is>
      </c>
      <c r="B691" s="16" t="inlineStr">
        <is>
          <t>6.1d</t>
        </is>
      </c>
      <c r="C691" s="16" t="inlineStr">
        <is>
          <t>KF-M09</t>
        </is>
      </c>
      <c r="D691" s="16" t="inlineStr">
        <is>
          <t>KF-M09-REAL</t>
        </is>
      </c>
      <c r="E691" s="16" t="inlineStr">
        <is>
          <t>B12</t>
        </is>
      </c>
      <c r="F691" s="16" t="inlineStr">
        <is>
          <t>T_fuente</t>
        </is>
      </c>
      <c r="G691" s="16" t="inlineStr">
        <is>
          <t>barrido</t>
        </is>
      </c>
      <c r="H691" s="16" t="n"/>
      <c r="I691" s="16" t="n">
        <v>394.15</v>
      </c>
      <c r="J691" s="16" t="n">
        <v>415</v>
      </c>
      <c r="K691" s="16" t="n">
        <v>3</v>
      </c>
      <c r="L691" s="16" t="n"/>
      <c r="M691" s="16" t="inlineStr">
        <is>
          <t>K</t>
        </is>
      </c>
      <c r="N691" s="16" t="inlineStr">
        <is>
          <t>no</t>
        </is>
      </c>
      <c r="O691" s="16" t="n"/>
    </row>
    <row r="692">
      <c r="A692" s="16" t="inlineStr">
        <is>
          <t>4.3</t>
        </is>
      </c>
      <c r="B692" s="16" t="inlineStr">
        <is>
          <t>6.1d</t>
        </is>
      </c>
      <c r="C692" s="16" t="inlineStr">
        <is>
          <t>KF-M09</t>
        </is>
      </c>
      <c r="D692" s="16" t="inlineStr">
        <is>
          <t>KF-M09-REAL</t>
        </is>
      </c>
      <c r="E692" s="16" t="inlineStr">
        <is>
          <t>B12</t>
        </is>
      </c>
      <c r="F692" s="16" t="inlineStr">
        <is>
          <t>T_sumidero</t>
        </is>
      </c>
      <c r="G692" s="16" t="inlineStr">
        <is>
          <t>barrido</t>
        </is>
      </c>
      <c r="H692" s="16" t="n"/>
      <c r="I692" s="16" t="n">
        <v>278.15</v>
      </c>
      <c r="J692" s="16" t="n">
        <v>300.032917</v>
      </c>
      <c r="K692" s="16" t="n">
        <v>2</v>
      </c>
      <c r="L692" s="16" t="n"/>
      <c r="M692" s="16" t="inlineStr">
        <is>
          <t>K</t>
        </is>
      </c>
      <c r="N692" s="16" t="inlineStr">
        <is>
          <t>no</t>
        </is>
      </c>
      <c r="O692" s="16" t="n"/>
    </row>
    <row r="693">
      <c r="A693" s="16" t="inlineStr">
        <is>
          <t>4.3</t>
        </is>
      </c>
      <c r="B693" s="16" t="inlineStr">
        <is>
          <t>6.1d</t>
        </is>
      </c>
      <c r="C693" s="16" t="inlineStr">
        <is>
          <t>KF-M09</t>
        </is>
      </c>
      <c r="D693" s="16" t="inlineStr">
        <is>
          <t>KF-M09-REAL</t>
        </is>
      </c>
      <c r="E693" s="16" t="inlineStr">
        <is>
          <t>B12</t>
        </is>
      </c>
      <c r="F693" s="16" t="inlineStr">
        <is>
          <t>P_alta</t>
        </is>
      </c>
      <c r="G693" s="16" t="inlineStr">
        <is>
          <t>barrido</t>
        </is>
      </c>
      <c r="H693" s="16" t="n"/>
      <c r="I693" s="16" t="n">
        <v>3000</v>
      </c>
      <c r="J693" s="16" t="n">
        <v>3300</v>
      </c>
      <c r="K693" s="16" t="n">
        <v>2</v>
      </c>
      <c r="L693" s="16" t="n"/>
      <c r="M693" s="16" t="inlineStr">
        <is>
          <t>kPa</t>
        </is>
      </c>
      <c r="N693" s="16" t="inlineStr">
        <is>
          <t>no</t>
        </is>
      </c>
      <c r="O693" s="16" t="n"/>
    </row>
    <row r="694">
      <c r="A694" s="16" t="inlineStr">
        <is>
          <t>4.3</t>
        </is>
      </c>
      <c r="B694" s="16" t="inlineStr">
        <is>
          <t>6.1d</t>
        </is>
      </c>
      <c r="C694" s="16" t="inlineStr">
        <is>
          <t>KF-M09</t>
        </is>
      </c>
      <c r="D694" s="16" t="inlineStr">
        <is>
          <t>KF-M09-REAL</t>
        </is>
      </c>
      <c r="E694" s="16" t="inlineStr">
        <is>
          <t>B12</t>
        </is>
      </c>
      <c r="F694" s="16" t="inlineStr">
        <is>
          <t>P_baja</t>
        </is>
      </c>
      <c r="G694" s="16" t="inlineStr">
        <is>
          <t>barrido</t>
        </is>
      </c>
      <c r="H694" s="16" t="n"/>
      <c r="I694" s="16" t="n">
        <v>400</v>
      </c>
      <c r="J694" s="16" t="n">
        <v>690</v>
      </c>
      <c r="K694" s="16" t="n">
        <v>3</v>
      </c>
      <c r="L694" s="16" t="n"/>
      <c r="M694" s="16" t="inlineStr">
        <is>
          <t>kPa</t>
        </is>
      </c>
      <c r="N694" s="16" t="inlineStr">
        <is>
          <t>no</t>
        </is>
      </c>
      <c r="O694" s="16" t="n"/>
    </row>
    <row r="695">
      <c r="A695" s="16" t="inlineStr">
        <is>
          <t>4.3</t>
        </is>
      </c>
      <c r="B695" s="16" t="inlineStr">
        <is>
          <t>6.1d</t>
        </is>
      </c>
      <c r="C695" s="16" t="inlineStr">
        <is>
          <t>KF-M09</t>
        </is>
      </c>
      <c r="D695" s="16" t="inlineStr">
        <is>
          <t>KF-M09-REAL</t>
        </is>
      </c>
      <c r="E695" s="16" t="inlineStr">
        <is>
          <t>B12</t>
        </is>
      </c>
      <c r="F695" s="16" t="inlineStr">
        <is>
          <t>x_b</t>
        </is>
      </c>
      <c r="G695" s="16" t="inlineStr">
        <is>
          <t>barrido</t>
        </is>
      </c>
      <c r="H695" s="16" t="n"/>
      <c r="I695" s="16" t="n">
        <v>0.5</v>
      </c>
      <c r="J695" s="16" t="n">
        <v>0.82</v>
      </c>
      <c r="K695" s="16" t="n">
        <v>2</v>
      </c>
      <c r="L695" s="16" t="n"/>
      <c r="M695" s="16" t="inlineStr">
        <is>
          <t>–</t>
        </is>
      </c>
      <c r="N695" s="16" t="inlineStr">
        <is>
          <t>no</t>
        </is>
      </c>
      <c r="O695" s="16" t="n"/>
    </row>
    <row r="696">
      <c r="A696" s="16" t="inlineStr">
        <is>
          <t>4.3</t>
        </is>
      </c>
      <c r="B696" s="16" t="inlineStr">
        <is>
          <t>6.1d</t>
        </is>
      </c>
      <c r="C696" s="16" t="inlineStr">
        <is>
          <t>KF-M09</t>
        </is>
      </c>
      <c r="D696" s="16" t="inlineStr">
        <is>
          <t>KF-M09-REAL</t>
        </is>
      </c>
      <c r="E696" s="16" t="inlineStr">
        <is>
          <t>B12</t>
        </is>
      </c>
      <c r="F696" s="16" t="inlineStr">
        <is>
          <t>m_b</t>
        </is>
      </c>
      <c r="G696" s="16" t="inlineStr">
        <is>
          <t>fijo</t>
        </is>
      </c>
      <c r="H696" s="16" t="inlineStr">
        <is>
          <t>1.0</t>
        </is>
      </c>
      <c r="I696" s="16" t="n"/>
      <c r="J696" s="16" t="n"/>
      <c r="K696" s="16" t="n"/>
      <c r="L696" s="16" t="inlineStr">
        <is>
          <t>sí</t>
        </is>
      </c>
      <c r="M696" s="16" t="inlineStr">
        <is>
          <t>kg/s</t>
        </is>
      </c>
      <c r="N696" s="16" t="inlineStr">
        <is>
          <t>no</t>
        </is>
      </c>
      <c r="O696" s="16" t="n"/>
    </row>
    <row r="697">
      <c r="A697" s="16" t="inlineStr">
        <is>
          <t>4.3</t>
        </is>
      </c>
      <c r="B697" s="16" t="inlineStr">
        <is>
          <t>6.1d</t>
        </is>
      </c>
      <c r="C697" s="16" t="inlineStr">
        <is>
          <t>KF-M09</t>
        </is>
      </c>
      <c r="D697" s="16" t="inlineStr">
        <is>
          <t>KF-M09-REAL</t>
        </is>
      </c>
      <c r="E697" s="16" t="inlineStr">
        <is>
          <t>B12</t>
        </is>
      </c>
      <c r="F697" s="16" t="inlineStr">
        <is>
          <t>eta_t</t>
        </is>
      </c>
      <c r="G697" s="16" t="inlineStr">
        <is>
          <t>barrido</t>
        </is>
      </c>
      <c r="H697" s="16" t="n"/>
      <c r="I697" s="16" t="n">
        <v>0.85</v>
      </c>
      <c r="J697" s="16" t="n">
        <v>0.95</v>
      </c>
      <c r="K697" s="16" t="n">
        <v>3</v>
      </c>
      <c r="L697" s="16" t="n"/>
      <c r="M697" s="16" t="inlineStr">
        <is>
          <t>–</t>
        </is>
      </c>
      <c r="N697" s="16" t="inlineStr">
        <is>
          <t>no</t>
        </is>
      </c>
      <c r="O697" s="16" t="n"/>
    </row>
    <row r="698">
      <c r="A698" s="16" t="inlineStr">
        <is>
          <t>4.3</t>
        </is>
      </c>
      <c r="B698" s="16" t="inlineStr">
        <is>
          <t>6.1d</t>
        </is>
      </c>
      <c r="C698" s="16" t="inlineStr">
        <is>
          <t>KF-M09</t>
        </is>
      </c>
      <c r="D698" s="16" t="inlineStr">
        <is>
          <t>KF-M09-REAL</t>
        </is>
      </c>
      <c r="E698" s="16" t="inlineStr">
        <is>
          <t>B12</t>
        </is>
      </c>
      <c r="F698" s="16" t="inlineStr">
        <is>
          <t>eta_p</t>
        </is>
      </c>
      <c r="G698" s="16" t="inlineStr">
        <is>
          <t>barrido</t>
        </is>
      </c>
      <c r="H698" s="16" t="n"/>
      <c r="I698" s="16" t="n">
        <v>0.75</v>
      </c>
      <c r="J698" s="16" t="n">
        <v>0.8049999999999999</v>
      </c>
      <c r="K698" s="16" t="n">
        <v>3</v>
      </c>
      <c r="L698" s="16" t="n"/>
      <c r="M698" s="16" t="inlineStr">
        <is>
          <t>–</t>
        </is>
      </c>
      <c r="N698" s="16" t="inlineStr">
        <is>
          <t>no</t>
        </is>
      </c>
      <c r="O698" s="16" t="n"/>
    </row>
    <row r="699">
      <c r="A699" s="16" t="inlineStr">
        <is>
          <t>4.3</t>
        </is>
      </c>
      <c r="B699" s="16" t="inlineStr">
        <is>
          <t>6.1d</t>
        </is>
      </c>
      <c r="C699" s="16" t="inlineStr">
        <is>
          <t>KF-M09</t>
        </is>
      </c>
      <c r="D699" s="16" t="inlineStr">
        <is>
          <t>KF-M09-REAL</t>
        </is>
      </c>
      <c r="E699" s="16" t="inlineStr">
        <is>
          <t>B12</t>
        </is>
      </c>
      <c r="F699" s="16" t="inlineStr">
        <is>
          <t>eps_hrvg</t>
        </is>
      </c>
      <c r="G699" s="16" t="inlineStr">
        <is>
          <t>barrido</t>
        </is>
      </c>
      <c r="H699" s="16" t="n"/>
      <c r="I699" s="16" t="n">
        <v>0.85</v>
      </c>
      <c r="J699" s="16" t="n">
        <v>0.95</v>
      </c>
      <c r="K699" s="16" t="n">
        <v>2</v>
      </c>
      <c r="L699" s="16" t="n"/>
      <c r="M699" s="16" t="inlineStr">
        <is>
          <t>–</t>
        </is>
      </c>
      <c r="N699" s="16" t="inlineStr">
        <is>
          <t>no</t>
        </is>
      </c>
      <c r="O699" s="16" t="n"/>
    </row>
    <row r="700">
      <c r="A700" s="16" t="inlineStr">
        <is>
          <t>4.3</t>
        </is>
      </c>
      <c r="B700" s="16" t="inlineStr">
        <is>
          <t>6.1d</t>
        </is>
      </c>
      <c r="C700" s="16" t="inlineStr">
        <is>
          <t>KF-M09</t>
        </is>
      </c>
      <c r="D700" s="16" t="inlineStr">
        <is>
          <t>KF-M09-REAL</t>
        </is>
      </c>
      <c r="E700" s="16" t="inlineStr">
        <is>
          <t>B12</t>
        </is>
      </c>
      <c r="F700" s="16" t="inlineStr">
        <is>
          <t>eps_reg</t>
        </is>
      </c>
      <c r="G700" s="16" t="inlineStr">
        <is>
          <t>barrido</t>
        </is>
      </c>
      <c r="H700" s="16" t="n"/>
      <c r="I700" s="16" t="n">
        <v>0.75</v>
      </c>
      <c r="J700" s="16" t="n">
        <v>0.95</v>
      </c>
      <c r="K700" s="16" t="n">
        <v>2</v>
      </c>
      <c r="L700" s="16" t="n"/>
      <c r="M700" s="16" t="inlineStr">
        <is>
          <t>–</t>
        </is>
      </c>
      <c r="N700" s="16" t="inlineStr">
        <is>
          <t>no</t>
        </is>
      </c>
      <c r="O700" s="16" t="n"/>
    </row>
    <row r="701">
      <c r="A701" s="16" t="inlineStr">
        <is>
          <t>4.3</t>
        </is>
      </c>
      <c r="B701" s="16" t="inlineStr">
        <is>
          <t>6.1d</t>
        </is>
      </c>
      <c r="C701" s="16" t="inlineStr">
        <is>
          <t>KF-M09</t>
        </is>
      </c>
      <c r="D701" s="16" t="inlineStr">
        <is>
          <t>KF-M09-REAL</t>
        </is>
      </c>
      <c r="E701" s="16" t="inlineStr">
        <is>
          <t>B12</t>
        </is>
      </c>
      <c r="F701" s="16" t="inlineStr">
        <is>
          <t>eps_cond</t>
        </is>
      </c>
      <c r="G701" s="16" t="inlineStr">
        <is>
          <t>barrido</t>
        </is>
      </c>
      <c r="H701" s="16" t="n"/>
      <c r="I701" s="16" t="n">
        <v>0.8</v>
      </c>
      <c r="J701" s="16" t="n">
        <v>0.95</v>
      </c>
      <c r="K701" s="16" t="n">
        <v>2</v>
      </c>
      <c r="L701" s="16" t="n"/>
      <c r="M701" s="16" t="inlineStr">
        <is>
          <t>–</t>
        </is>
      </c>
      <c r="N701" s="16" t="inlineStr">
        <is>
          <t>no</t>
        </is>
      </c>
      <c r="O701" s="16" t="n"/>
    </row>
    <row r="702">
      <c r="A702" s="16" t="inlineStr">
        <is>
          <t>4.3</t>
        </is>
      </c>
      <c r="B702" s="16" t="inlineStr">
        <is>
          <t>6.1d</t>
        </is>
      </c>
      <c r="C702" s="16" t="inlineStr">
        <is>
          <t>KF-M09</t>
        </is>
      </c>
      <c r="D702" s="16" t="inlineStr">
        <is>
          <t>KF-M09-REAL</t>
        </is>
      </c>
      <c r="E702" s="16" t="inlineStr">
        <is>
          <t>B12</t>
        </is>
      </c>
      <c r="F702" s="16" t="inlineStr">
        <is>
          <t>T_amb_diseno</t>
        </is>
      </c>
      <c r="G702" s="16" t="inlineStr">
        <is>
          <t>barrido</t>
        </is>
      </c>
      <c r="H702" s="16" t="n"/>
      <c r="I702" s="16" t="n">
        <v>283.15</v>
      </c>
      <c r="J702" s="16" t="n">
        <v>300.032917</v>
      </c>
      <c r="K702" s="16" t="n">
        <v>2</v>
      </c>
      <c r="L702" s="16" t="n"/>
      <c r="M702" s="16" t="inlineStr">
        <is>
          <t>K</t>
        </is>
      </c>
      <c r="N702" s="16" t="inlineStr">
        <is>
          <t>no</t>
        </is>
      </c>
      <c r="O702" s="16" t="n"/>
    </row>
    <row r="703">
      <c r="A703" s="16" t="inlineStr">
        <is>
          <t>4.3</t>
        </is>
      </c>
      <c r="B703" s="16" t="inlineStr">
        <is>
          <t>6.1d</t>
        </is>
      </c>
      <c r="C703" s="16" t="inlineStr">
        <is>
          <t>KF-M09</t>
        </is>
      </c>
      <c r="D703" s="16" t="inlineStr">
        <is>
          <t>KF-M09-REAL</t>
        </is>
      </c>
      <c r="E703" s="16" t="inlineStr">
        <is>
          <t>B12</t>
        </is>
      </c>
      <c r="F703" s="16" t="inlineStr">
        <is>
          <t>motor</t>
        </is>
      </c>
      <c r="G703" s="16" t="inlineStr">
        <is>
          <t>fijo</t>
        </is>
      </c>
      <c r="H703" s="16" t="inlineStr">
        <is>
          <t>real</t>
        </is>
      </c>
      <c r="I703" s="16" t="n"/>
      <c r="J703" s="16" t="n"/>
      <c r="K703" s="16" t="n"/>
      <c r="L703" s="16" t="n"/>
      <c r="M703" s="16" t="inlineStr">
        <is>
          <t>–</t>
        </is>
      </c>
      <c r="N703" s="16" t="inlineStr">
        <is>
          <t>no</t>
        </is>
      </c>
      <c r="O703" s="16" t="n"/>
    </row>
    <row r="704">
      <c r="A704" s="16" t="inlineStr">
        <is>
          <t>6.2</t>
        </is>
      </c>
      <c r="B704" s="16" t="inlineStr">
        <is>
          <t>6.2a</t>
        </is>
      </c>
      <c r="C704" s="16" t="inlineStr">
        <is>
          <t>KF-M10</t>
        </is>
      </c>
      <c r="D704" s="16" t="inlineStr">
        <is>
          <t>KF-M10-F3</t>
        </is>
      </c>
      <c r="E704" s="16" t="inlineStr">
        <is>
          <t>B14-F3</t>
        </is>
      </c>
      <c r="F704" s="16" t="inlineStr">
        <is>
          <t>T_fuente</t>
        </is>
      </c>
      <c r="G704" s="16" t="inlineStr">
        <is>
          <t>fijo</t>
        </is>
      </c>
      <c r="H704" s="16" t="inlineStr">
        <is>
          <t>394.15</t>
        </is>
      </c>
      <c r="I704" s="16" t="n"/>
      <c r="J704" s="16" t="n"/>
      <c r="K704" s="16" t="n"/>
      <c r="L704" s="16" t="inlineStr">
        <is>
          <t>no</t>
        </is>
      </c>
      <c r="M704" s="16" t="inlineStr">
        <is>
          <t>K</t>
        </is>
      </c>
      <c r="N704" s="16" t="inlineStr">
        <is>
          <t>no</t>
        </is>
      </c>
      <c r="O704" s="16" t="n"/>
    </row>
    <row r="705">
      <c r="A705" s="16" t="inlineStr">
        <is>
          <t>6.2</t>
        </is>
      </c>
      <c r="B705" s="16" t="inlineStr">
        <is>
          <t>6.2a</t>
        </is>
      </c>
      <c r="C705" s="16" t="inlineStr">
        <is>
          <t>KF-M10</t>
        </is>
      </c>
      <c r="D705" s="16" t="inlineStr">
        <is>
          <t>KF-M10-F3</t>
        </is>
      </c>
      <c r="E705" s="16" t="inlineStr">
        <is>
          <t>B14-F3</t>
        </is>
      </c>
      <c r="F705" s="16" t="inlineStr">
        <is>
          <t>T_sumidero</t>
        </is>
      </c>
      <c r="G705" s="16" t="inlineStr">
        <is>
          <t>fijo</t>
        </is>
      </c>
      <c r="H705" s="16" t="inlineStr">
        <is>
          <t>278.15</t>
        </is>
      </c>
      <c r="I705" s="16" t="n"/>
      <c r="J705" s="16" t="n"/>
      <c r="K705" s="16" t="n"/>
      <c r="L705" s="16" t="inlineStr">
        <is>
          <t>no</t>
        </is>
      </c>
      <c r="M705" s="16" t="inlineStr">
        <is>
          <t>K</t>
        </is>
      </c>
      <c r="N705" s="16" t="inlineStr">
        <is>
          <t>no</t>
        </is>
      </c>
      <c r="O705" s="16" t="n"/>
    </row>
    <row r="706">
      <c r="A706" s="16" t="inlineStr">
        <is>
          <t>6.2</t>
        </is>
      </c>
      <c r="B706" s="16" t="inlineStr">
        <is>
          <t>6.2a</t>
        </is>
      </c>
      <c r="C706" s="16" t="inlineStr">
        <is>
          <t>KF-M10</t>
        </is>
      </c>
      <c r="D706" s="16" t="inlineStr">
        <is>
          <t>KF-M10-F3</t>
        </is>
      </c>
      <c r="E706" s="16" t="inlineStr">
        <is>
          <t>B14-F3</t>
        </is>
      </c>
      <c r="F706" s="16" t="inlineStr">
        <is>
          <t>P_alta</t>
        </is>
      </c>
      <c r="G706" s="16" t="inlineStr">
        <is>
          <t>barrido</t>
        </is>
      </c>
      <c r="H706" s="16" t="n"/>
      <c r="I706" s="16" t="n">
        <v>3300</v>
      </c>
      <c r="J706" s="16" t="n">
        <v>3500</v>
      </c>
      <c r="K706" s="16" t="n">
        <v>3</v>
      </c>
      <c r="L706" s="16" t="n"/>
      <c r="M706" s="16" t="inlineStr">
        <is>
          <t>kPa</t>
        </is>
      </c>
      <c r="N706" s="16" t="inlineStr">
        <is>
          <t>no</t>
        </is>
      </c>
      <c r="O706" s="16" t="n"/>
    </row>
    <row r="707">
      <c r="A707" s="16" t="inlineStr">
        <is>
          <t>6.2</t>
        </is>
      </c>
      <c r="B707" s="16" t="inlineStr">
        <is>
          <t>6.2a</t>
        </is>
      </c>
      <c r="C707" s="16" t="inlineStr">
        <is>
          <t>KF-M10</t>
        </is>
      </c>
      <c r="D707" s="16" t="inlineStr">
        <is>
          <t>KF-M10-F3</t>
        </is>
      </c>
      <c r="E707" s="16" t="inlineStr">
        <is>
          <t>B14-F3</t>
        </is>
      </c>
      <c r="F707" s="16" t="inlineStr">
        <is>
          <t>P_baja</t>
        </is>
      </c>
      <c r="G707" s="16" t="inlineStr">
        <is>
          <t>barrido</t>
        </is>
      </c>
      <c r="H707" s="16" t="n"/>
      <c r="I707" s="16" t="n">
        <v>670</v>
      </c>
      <c r="J707" s="16" t="n">
        <v>1500</v>
      </c>
      <c r="K707" s="16" t="n">
        <v>40</v>
      </c>
      <c r="L707" s="16" t="n"/>
      <c r="M707" s="16" t="inlineStr">
        <is>
          <t>kPa</t>
        </is>
      </c>
      <c r="N707" s="16" t="inlineStr">
        <is>
          <t>no</t>
        </is>
      </c>
      <c r="O707" s="16" t="n"/>
    </row>
    <row r="708">
      <c r="A708" s="16" t="inlineStr">
        <is>
          <t>6.2</t>
        </is>
      </c>
      <c r="B708" s="16" t="inlineStr">
        <is>
          <t>6.2a</t>
        </is>
      </c>
      <c r="C708" s="16" t="inlineStr">
        <is>
          <t>KF-M10</t>
        </is>
      </c>
      <c r="D708" s="16" t="inlineStr">
        <is>
          <t>KF-M10-F3</t>
        </is>
      </c>
      <c r="E708" s="16" t="inlineStr">
        <is>
          <t>B14-F3</t>
        </is>
      </c>
      <c r="F708" s="16" t="inlineStr">
        <is>
          <t>x_b</t>
        </is>
      </c>
      <c r="G708" s="16" t="inlineStr">
        <is>
          <t>barrido</t>
        </is>
      </c>
      <c r="H708" s="16" t="n"/>
      <c r="I708" s="16" t="n">
        <v>0.78</v>
      </c>
      <c r="J708" s="16" t="n">
        <v>0.8333333333</v>
      </c>
      <c r="K708" s="16" t="n">
        <v>6</v>
      </c>
      <c r="L708" s="16" t="n"/>
      <c r="M708" s="16" t="inlineStr">
        <is>
          <t>–</t>
        </is>
      </c>
      <c r="N708" s="16" t="inlineStr">
        <is>
          <t>no</t>
        </is>
      </c>
      <c r="O708" s="16" t="n"/>
    </row>
    <row r="709">
      <c r="A709" s="16" t="inlineStr">
        <is>
          <t>6.2</t>
        </is>
      </c>
      <c r="B709" s="16" t="inlineStr">
        <is>
          <t>6.2a</t>
        </is>
      </c>
      <c r="C709" s="16" t="inlineStr">
        <is>
          <t>KF-M10</t>
        </is>
      </c>
      <c r="D709" s="16" t="inlineStr">
        <is>
          <t>KF-M10-F3</t>
        </is>
      </c>
      <c r="E709" s="16" t="inlineStr">
        <is>
          <t>B14-F3</t>
        </is>
      </c>
      <c r="F709" s="16" t="inlineStr">
        <is>
          <t>m_b</t>
        </is>
      </c>
      <c r="G709" s="16" t="inlineStr">
        <is>
          <t>fijo</t>
        </is>
      </c>
      <c r="H709" s="16" t="inlineStr">
        <is>
          <t>1.0</t>
        </is>
      </c>
      <c r="I709" s="16" t="n"/>
      <c r="J709" s="16" t="n"/>
      <c r="K709" s="16" t="n"/>
      <c r="L709" s="16" t="inlineStr">
        <is>
          <t>sí</t>
        </is>
      </c>
      <c r="M709" s="16" t="inlineStr">
        <is>
          <t>kg/s</t>
        </is>
      </c>
      <c r="N709" s="16" t="inlineStr">
        <is>
          <t>no</t>
        </is>
      </c>
      <c r="O709" s="16" t="n"/>
    </row>
    <row r="710">
      <c r="A710" s="16" t="inlineStr">
        <is>
          <t>6.2</t>
        </is>
      </c>
      <c r="B710" s="16" t="inlineStr">
        <is>
          <t>6.2a</t>
        </is>
      </c>
      <c r="C710" s="16" t="inlineStr">
        <is>
          <t>KF-M10</t>
        </is>
      </c>
      <c r="D710" s="16" t="inlineStr">
        <is>
          <t>KF-M10-F3</t>
        </is>
      </c>
      <c r="E710" s="16" t="inlineStr">
        <is>
          <t>B14-F3</t>
        </is>
      </c>
      <c r="F710" s="16" t="inlineStr">
        <is>
          <t>eta_t</t>
        </is>
      </c>
      <c r="G710" s="16" t="inlineStr">
        <is>
          <t>barrido</t>
        </is>
      </c>
      <c r="H710" s="16" t="n"/>
      <c r="I710" s="16" t="n">
        <v>0.85</v>
      </c>
      <c r="J710" s="16" t="n">
        <v>0.98</v>
      </c>
      <c r="K710" s="16" t="n">
        <v>8</v>
      </c>
      <c r="L710" s="16" t="n"/>
      <c r="M710" s="16" t="inlineStr">
        <is>
          <t>–</t>
        </is>
      </c>
      <c r="N710" s="16" t="inlineStr">
        <is>
          <t>no</t>
        </is>
      </c>
      <c r="O710" s="16" t="n"/>
    </row>
    <row r="711">
      <c r="A711" s="16" t="inlineStr">
        <is>
          <t>6.2</t>
        </is>
      </c>
      <c r="B711" s="16" t="inlineStr">
        <is>
          <t>6.2a</t>
        </is>
      </c>
      <c r="C711" s="16" t="inlineStr">
        <is>
          <t>KF-M10</t>
        </is>
      </c>
      <c r="D711" s="16" t="inlineStr">
        <is>
          <t>KF-M10-F3</t>
        </is>
      </c>
      <c r="E711" s="16" t="inlineStr">
        <is>
          <t>B14-F3</t>
        </is>
      </c>
      <c r="F711" s="16" t="inlineStr">
        <is>
          <t>eta_p</t>
        </is>
      </c>
      <c r="G711" s="16" t="inlineStr">
        <is>
          <t>fijo</t>
        </is>
      </c>
      <c r="H711" s="16" t="inlineStr">
        <is>
          <t>0.8</t>
        </is>
      </c>
      <c r="I711" s="16" t="n"/>
      <c r="J711" s="16" t="n"/>
      <c r="K711" s="16" t="n"/>
      <c r="L711" s="16" t="inlineStr">
        <is>
          <t>no</t>
        </is>
      </c>
      <c r="M711" s="16" t="inlineStr">
        <is>
          <t>–</t>
        </is>
      </c>
      <c r="N711" s="16" t="inlineStr">
        <is>
          <t>no</t>
        </is>
      </c>
      <c r="O711" s="16" t="n"/>
    </row>
    <row r="712">
      <c r="A712" s="16" t="inlineStr">
        <is>
          <t>6.2</t>
        </is>
      </c>
      <c r="B712" s="16" t="inlineStr">
        <is>
          <t>6.2a</t>
        </is>
      </c>
      <c r="C712" s="16" t="inlineStr">
        <is>
          <t>KF-M10</t>
        </is>
      </c>
      <c r="D712" s="16" t="inlineStr">
        <is>
          <t>KF-M10-F3</t>
        </is>
      </c>
      <c r="E712" s="16" t="inlineStr">
        <is>
          <t>B14-F3</t>
        </is>
      </c>
      <c r="F712" s="16" t="inlineStr">
        <is>
          <t>eps_hrvg</t>
        </is>
      </c>
      <c r="G712" s="16" t="inlineStr">
        <is>
          <t>fijo</t>
        </is>
      </c>
      <c r="H712" s="16" t="inlineStr">
        <is>
          <t>0.85</t>
        </is>
      </c>
      <c r="I712" s="16" t="n"/>
      <c r="J712" s="16" t="n"/>
      <c r="K712" s="16" t="n"/>
      <c r="L712" s="16" t="inlineStr">
        <is>
          <t>sí</t>
        </is>
      </c>
      <c r="M712" s="16" t="inlineStr">
        <is>
          <t>–</t>
        </is>
      </c>
      <c r="N712" s="16" t="inlineStr">
        <is>
          <t>no</t>
        </is>
      </c>
      <c r="O712" s="16" t="n"/>
    </row>
    <row r="713">
      <c r="A713" s="16" t="inlineStr">
        <is>
          <t>6.2</t>
        </is>
      </c>
      <c r="B713" s="16" t="inlineStr">
        <is>
          <t>6.2a</t>
        </is>
      </c>
      <c r="C713" s="16" t="inlineStr">
        <is>
          <t>KF-M10</t>
        </is>
      </c>
      <c r="D713" s="16" t="inlineStr">
        <is>
          <t>KF-M10-F3</t>
        </is>
      </c>
      <c r="E713" s="16" t="inlineStr">
        <is>
          <t>B14-F3</t>
        </is>
      </c>
      <c r="F713" s="16" t="inlineStr">
        <is>
          <t>eps_reg</t>
        </is>
      </c>
      <c r="G713" s="16" t="inlineStr">
        <is>
          <t>barrido</t>
        </is>
      </c>
      <c r="H713" s="16" t="n"/>
      <c r="I713" s="16" t="n">
        <v>0.75</v>
      </c>
      <c r="J713" s="16" t="n">
        <v>0.95</v>
      </c>
      <c r="K713" s="16" t="n">
        <v>12</v>
      </c>
      <c r="L713" s="16" t="n"/>
      <c r="M713" s="16" t="inlineStr">
        <is>
          <t>–</t>
        </is>
      </c>
      <c r="N713" s="16" t="inlineStr">
        <is>
          <t>no</t>
        </is>
      </c>
      <c r="O713" s="16" t="n"/>
    </row>
    <row r="714">
      <c r="A714" s="16" t="inlineStr">
        <is>
          <t>6.2</t>
        </is>
      </c>
      <c r="B714" s="16" t="inlineStr">
        <is>
          <t>6.2a</t>
        </is>
      </c>
      <c r="C714" s="16" t="inlineStr">
        <is>
          <t>KF-M10</t>
        </is>
      </c>
      <c r="D714" s="16" t="inlineStr">
        <is>
          <t>KF-M10-F3</t>
        </is>
      </c>
      <c r="E714" s="16" t="inlineStr">
        <is>
          <t>B14-F3</t>
        </is>
      </c>
      <c r="F714" s="16" t="inlineStr">
        <is>
          <t>eps_cond</t>
        </is>
      </c>
      <c r="G714" s="16" t="inlineStr">
        <is>
          <t>barrido</t>
        </is>
      </c>
      <c r="H714" s="16" t="n"/>
      <c r="I714" s="16" t="n">
        <v>0.95</v>
      </c>
      <c r="J714" s="16" t="n">
        <v>0.99</v>
      </c>
      <c r="K714" s="16" t="n">
        <v>5</v>
      </c>
      <c r="L714" s="16" t="n"/>
      <c r="M714" s="16" t="inlineStr">
        <is>
          <t>–</t>
        </is>
      </c>
      <c r="N714" s="16" t="inlineStr">
        <is>
          <t>no</t>
        </is>
      </c>
      <c r="O714" s="16" t="n"/>
    </row>
    <row r="715">
      <c r="A715" s="16" t="inlineStr">
        <is>
          <t>6.2</t>
        </is>
      </c>
      <c r="B715" s="16" t="inlineStr">
        <is>
          <t>6.2a</t>
        </is>
      </c>
      <c r="C715" s="16" t="inlineStr">
        <is>
          <t>KF-M10</t>
        </is>
      </c>
      <c r="D715" s="16" t="inlineStr">
        <is>
          <t>KF-M10-F3</t>
        </is>
      </c>
      <c r="E715" s="16" t="inlineStr">
        <is>
          <t>B14-F3</t>
        </is>
      </c>
      <c r="F715" s="16" t="inlineStr">
        <is>
          <t>T_amb_diseno</t>
        </is>
      </c>
      <c r="G715" s="16" t="inlineStr">
        <is>
          <t>barrido</t>
        </is>
      </c>
      <c r="H715" s="16" t="n"/>
      <c r="I715" s="16" t="n">
        <v>283.15</v>
      </c>
      <c r="J715" s="16" t="n">
        <v>303.55</v>
      </c>
      <c r="K715" s="16" t="n">
        <v>2</v>
      </c>
      <c r="L715" s="16" t="n"/>
      <c r="M715" s="16" t="inlineStr">
        <is>
          <t>K</t>
        </is>
      </c>
      <c r="N715" s="16" t="inlineStr">
        <is>
          <t>no</t>
        </is>
      </c>
      <c r="O715" s="16" t="n"/>
    </row>
    <row r="716">
      <c r="A716" s="16" t="inlineStr">
        <is>
          <t>6.2</t>
        </is>
      </c>
      <c r="B716" s="16" t="inlineStr">
        <is>
          <t>6.2a</t>
        </is>
      </c>
      <c r="C716" s="16" t="inlineStr">
        <is>
          <t>KF-M10</t>
        </is>
      </c>
      <c r="D716" s="16" t="inlineStr">
        <is>
          <t>KF-M10-F3</t>
        </is>
      </c>
      <c r="E716" s="16" t="inlineStr">
        <is>
          <t>B14-F3</t>
        </is>
      </c>
      <c r="F716" s="16" t="inlineStr">
        <is>
          <t>motor</t>
        </is>
      </c>
      <c r="G716" s="16" t="inlineStr">
        <is>
          <t>fijo</t>
        </is>
      </c>
      <c r="H716" s="16" t="inlineStr">
        <is>
          <t>teqp</t>
        </is>
      </c>
      <c r="I716" s="16" t="n"/>
      <c r="J716" s="16" t="n"/>
      <c r="K716" s="16" t="n"/>
      <c r="L716" s="16" t="n"/>
      <c r="M716" s="16" t="inlineStr">
        <is>
          <t>–</t>
        </is>
      </c>
      <c r="N716" s="16" t="inlineStr">
        <is>
          <t>no</t>
        </is>
      </c>
      <c r="O716" s="16" t="n"/>
    </row>
    <row r="717">
      <c r="A717" s="16" t="inlineStr">
        <is>
          <t>6.2</t>
        </is>
      </c>
      <c r="B717" s="16" t="inlineStr">
        <is>
          <t>6.2b</t>
        </is>
      </c>
      <c r="C717" s="16" t="inlineStr">
        <is>
          <t>KF-M10</t>
        </is>
      </c>
      <c r="D717" s="16" t="inlineStr">
        <is>
          <t>KF-M10-OFAT</t>
        </is>
      </c>
      <c r="E717" s="16" t="inlineStr">
        <is>
          <t>B14-OFAT</t>
        </is>
      </c>
      <c r="F717" s="16" t="inlineStr">
        <is>
          <t>T_fuente</t>
        </is>
      </c>
      <c r="G717" s="16" t="inlineStr">
        <is>
          <t>barrido</t>
        </is>
      </c>
      <c r="H717" s="16" t="n"/>
      <c r="I717" s="16" t="n">
        <v>380</v>
      </c>
      <c r="J717" s="16" t="n">
        <v>430</v>
      </c>
      <c r="K717" s="16" t="n">
        <v>16</v>
      </c>
      <c r="L717" s="16" t="n"/>
      <c r="M717" s="16" t="inlineStr">
        <is>
          <t>K</t>
        </is>
      </c>
      <c r="N717" s="16" t="inlineStr">
        <is>
          <t>sí</t>
        </is>
      </c>
      <c r="O717" s="16" t="n">
        <v>394.15</v>
      </c>
    </row>
    <row r="718">
      <c r="A718" s="16" t="inlineStr">
        <is>
          <t>6.2</t>
        </is>
      </c>
      <c r="B718" s="16" t="inlineStr">
        <is>
          <t>6.2b</t>
        </is>
      </c>
      <c r="C718" s="16" t="inlineStr">
        <is>
          <t>KF-M10</t>
        </is>
      </c>
      <c r="D718" s="16" t="inlineStr">
        <is>
          <t>KF-M10-OFAT</t>
        </is>
      </c>
      <c r="E718" s="16" t="inlineStr">
        <is>
          <t>B14-OFAT</t>
        </is>
      </c>
      <c r="F718" s="16" t="inlineStr">
        <is>
          <t>T_sumidero</t>
        </is>
      </c>
      <c r="G718" s="16" t="inlineStr">
        <is>
          <t>barrido</t>
        </is>
      </c>
      <c r="H718" s="16" t="n"/>
      <c r="I718" s="16" t="n">
        <v>273.15</v>
      </c>
      <c r="J718" s="16" t="n">
        <v>293.15</v>
      </c>
      <c r="K718" s="16" t="n">
        <v>16</v>
      </c>
      <c r="L718" s="16" t="n"/>
      <c r="M718" s="16" t="inlineStr">
        <is>
          <t>K</t>
        </is>
      </c>
      <c r="N718" s="16" t="inlineStr">
        <is>
          <t>sí</t>
        </is>
      </c>
      <c r="O718" s="16" t="n">
        <v>278.15</v>
      </c>
    </row>
    <row r="719">
      <c r="A719" s="16" t="inlineStr">
        <is>
          <t>6.2</t>
        </is>
      </c>
      <c r="B719" s="16" t="inlineStr">
        <is>
          <t>6.2b</t>
        </is>
      </c>
      <c r="C719" s="16" t="inlineStr">
        <is>
          <t>KF-M10</t>
        </is>
      </c>
      <c r="D719" s="16" t="inlineStr">
        <is>
          <t>KF-M10-OFAT</t>
        </is>
      </c>
      <c r="E719" s="16" t="inlineStr">
        <is>
          <t>B14-OFAT</t>
        </is>
      </c>
      <c r="F719" s="16" t="inlineStr">
        <is>
          <t>P_alta</t>
        </is>
      </c>
      <c r="G719" s="16" t="inlineStr">
        <is>
          <t>barrido</t>
        </is>
      </c>
      <c r="H719" s="16" t="n"/>
      <c r="I719" s="16" t="n">
        <v>2500</v>
      </c>
      <c r="J719" s="16" t="n">
        <v>4000</v>
      </c>
      <c r="K719" s="16" t="n">
        <v>16</v>
      </c>
      <c r="L719" s="16" t="n"/>
      <c r="M719" s="16" t="inlineStr">
        <is>
          <t>kPa</t>
        </is>
      </c>
      <c r="N719" s="16" t="inlineStr">
        <is>
          <t>sí</t>
        </is>
      </c>
      <c r="O719" s="16" t="n">
        <v>3300</v>
      </c>
    </row>
    <row r="720">
      <c r="A720" s="16" t="inlineStr">
        <is>
          <t>6.2</t>
        </is>
      </c>
      <c r="B720" s="16" t="inlineStr">
        <is>
          <t>6.2b</t>
        </is>
      </c>
      <c r="C720" s="16" t="inlineStr">
        <is>
          <t>KF-M10</t>
        </is>
      </c>
      <c r="D720" s="16" t="inlineStr">
        <is>
          <t>KF-M10-OFAT</t>
        </is>
      </c>
      <c r="E720" s="16" t="inlineStr">
        <is>
          <t>B14-OFAT</t>
        </is>
      </c>
      <c r="F720" s="16" t="inlineStr">
        <is>
          <t>P_baja</t>
        </is>
      </c>
      <c r="G720" s="16" t="inlineStr">
        <is>
          <t>barrido</t>
        </is>
      </c>
      <c r="H720" s="16" t="n"/>
      <c r="I720" s="16" t="n">
        <v>500</v>
      </c>
      <c r="J720" s="16" t="n">
        <v>1200</v>
      </c>
      <c r="K720" s="16" t="n">
        <v>16</v>
      </c>
      <c r="L720" s="16" t="n"/>
      <c r="M720" s="16" t="inlineStr">
        <is>
          <t>kPa</t>
        </is>
      </c>
      <c r="N720" s="16" t="inlineStr">
        <is>
          <t>sí</t>
        </is>
      </c>
      <c r="O720" s="16" t="n">
        <v>690</v>
      </c>
    </row>
    <row r="721">
      <c r="A721" s="16" t="inlineStr">
        <is>
          <t>6.2</t>
        </is>
      </c>
      <c r="B721" s="16" t="inlineStr">
        <is>
          <t>6.2b</t>
        </is>
      </c>
      <c r="C721" s="16" t="inlineStr">
        <is>
          <t>KF-M10</t>
        </is>
      </c>
      <c r="D721" s="16" t="inlineStr">
        <is>
          <t>KF-M10-OFAT</t>
        </is>
      </c>
      <c r="E721" s="16" t="inlineStr">
        <is>
          <t>B14-OFAT</t>
        </is>
      </c>
      <c r="F721" s="16" t="inlineStr">
        <is>
          <t>x_b</t>
        </is>
      </c>
      <c r="G721" s="16" t="inlineStr">
        <is>
          <t>barrido</t>
        </is>
      </c>
      <c r="H721" s="16" t="n"/>
      <c r="I721" s="16" t="n">
        <v>0.6</v>
      </c>
      <c r="J721" s="16" t="n">
        <v>0.95</v>
      </c>
      <c r="K721" s="16" t="n">
        <v>16</v>
      </c>
      <c r="L721" s="16" t="n"/>
      <c r="M721" s="16" t="inlineStr">
        <is>
          <t>–</t>
        </is>
      </c>
      <c r="N721" s="16" t="inlineStr">
        <is>
          <t>sí</t>
        </is>
      </c>
      <c r="O721" s="16" t="n">
        <v>0.82</v>
      </c>
    </row>
    <row r="722">
      <c r="A722" s="16" t="inlineStr">
        <is>
          <t>6.2</t>
        </is>
      </c>
      <c r="B722" s="16" t="inlineStr">
        <is>
          <t>6.2b</t>
        </is>
      </c>
      <c r="C722" s="16" t="inlineStr">
        <is>
          <t>KF-M10</t>
        </is>
      </c>
      <c r="D722" s="16" t="inlineStr">
        <is>
          <t>KF-M10-OFAT</t>
        </is>
      </c>
      <c r="E722" s="16" t="inlineStr">
        <is>
          <t>B14-OFAT</t>
        </is>
      </c>
      <c r="F722" s="16" t="inlineStr">
        <is>
          <t>m_b</t>
        </is>
      </c>
      <c r="G722" s="16" t="inlineStr">
        <is>
          <t>fijo</t>
        </is>
      </c>
      <c r="H722" s="16" t="inlineStr">
        <is>
          <t>1.0</t>
        </is>
      </c>
      <c r="I722" s="16" t="n"/>
      <c r="J722" s="16" t="n"/>
      <c r="K722" s="16" t="n"/>
      <c r="L722" s="16" t="inlineStr">
        <is>
          <t>sí</t>
        </is>
      </c>
      <c r="M722" s="16" t="inlineStr">
        <is>
          <t>kg/s</t>
        </is>
      </c>
      <c r="N722" s="16" t="inlineStr">
        <is>
          <t>sí</t>
        </is>
      </c>
      <c r="O722" s="16" t="n">
        <v>1</v>
      </c>
    </row>
    <row r="723">
      <c r="A723" s="16" t="inlineStr">
        <is>
          <t>6.2</t>
        </is>
      </c>
      <c r="B723" s="16" t="inlineStr">
        <is>
          <t>6.2b</t>
        </is>
      </c>
      <c r="C723" s="16" t="inlineStr">
        <is>
          <t>KF-M10</t>
        </is>
      </c>
      <c r="D723" s="16" t="inlineStr">
        <is>
          <t>KF-M10-OFAT</t>
        </is>
      </c>
      <c r="E723" s="16" t="inlineStr">
        <is>
          <t>B14-OFAT</t>
        </is>
      </c>
      <c r="F723" s="16" t="inlineStr">
        <is>
          <t>eta_t</t>
        </is>
      </c>
      <c r="G723" s="16" t="inlineStr">
        <is>
          <t>barrido</t>
        </is>
      </c>
      <c r="H723" s="16" t="n"/>
      <c r="I723" s="16" t="n">
        <v>0.75</v>
      </c>
      <c r="J723" s="16" t="n">
        <v>0.95</v>
      </c>
      <c r="K723" s="16" t="n">
        <v>16</v>
      </c>
      <c r="L723" s="16" t="n"/>
      <c r="M723" s="16" t="inlineStr">
        <is>
          <t>–</t>
        </is>
      </c>
      <c r="N723" s="16" t="inlineStr">
        <is>
          <t>sí</t>
        </is>
      </c>
      <c r="O723" s="16" t="n">
        <v>0.9</v>
      </c>
    </row>
    <row r="724">
      <c r="A724" s="16" t="inlineStr">
        <is>
          <t>6.2</t>
        </is>
      </c>
      <c r="B724" s="16" t="inlineStr">
        <is>
          <t>6.2b</t>
        </is>
      </c>
      <c r="C724" s="16" t="inlineStr">
        <is>
          <t>KF-M10</t>
        </is>
      </c>
      <c r="D724" s="16" t="inlineStr">
        <is>
          <t>KF-M10-OFAT</t>
        </is>
      </c>
      <c r="E724" s="16" t="inlineStr">
        <is>
          <t>B14-OFAT</t>
        </is>
      </c>
      <c r="F724" s="16" t="inlineStr">
        <is>
          <t>eta_p</t>
        </is>
      </c>
      <c r="G724" s="16" t="inlineStr">
        <is>
          <t>barrido</t>
        </is>
      </c>
      <c r="H724" s="16" t="n"/>
      <c r="I724" s="16" t="n">
        <v>0.6</v>
      </c>
      <c r="J724" s="16" t="n">
        <v>0.9</v>
      </c>
      <c r="K724" s="16" t="n">
        <v>16</v>
      </c>
      <c r="L724" s="16" t="n"/>
      <c r="M724" s="16" t="inlineStr">
        <is>
          <t>–</t>
        </is>
      </c>
      <c r="N724" s="16" t="inlineStr">
        <is>
          <t>sí</t>
        </is>
      </c>
      <c r="O724" s="16" t="n">
        <v>0.8</v>
      </c>
    </row>
    <row r="725">
      <c r="A725" s="16" t="inlineStr">
        <is>
          <t>6.2</t>
        </is>
      </c>
      <c r="B725" s="16" t="inlineStr">
        <is>
          <t>6.2b</t>
        </is>
      </c>
      <c r="C725" s="16" t="inlineStr">
        <is>
          <t>KF-M10</t>
        </is>
      </c>
      <c r="D725" s="16" t="inlineStr">
        <is>
          <t>KF-M10-OFAT</t>
        </is>
      </c>
      <c r="E725" s="16" t="inlineStr">
        <is>
          <t>B14-OFAT</t>
        </is>
      </c>
      <c r="F725" s="16" t="inlineStr">
        <is>
          <t>eps_hrvg</t>
        </is>
      </c>
      <c r="G725" s="16" t="inlineStr">
        <is>
          <t>barrido</t>
        </is>
      </c>
      <c r="H725" s="16" t="n"/>
      <c r="I725" s="16" t="n">
        <v>0.6</v>
      </c>
      <c r="J725" s="16" t="n">
        <v>0.95</v>
      </c>
      <c r="K725" s="16" t="n">
        <v>15</v>
      </c>
      <c r="L725" s="16" t="n"/>
      <c r="M725" s="16" t="inlineStr">
        <is>
          <t>–</t>
        </is>
      </c>
      <c r="N725" s="16" t="inlineStr">
        <is>
          <t>sí</t>
        </is>
      </c>
      <c r="O725" s="16" t="n">
        <v>0.85</v>
      </c>
    </row>
    <row r="726">
      <c r="A726" s="16" t="inlineStr">
        <is>
          <t>6.2</t>
        </is>
      </c>
      <c r="B726" s="16" t="inlineStr">
        <is>
          <t>6.2b</t>
        </is>
      </c>
      <c r="C726" s="16" t="inlineStr">
        <is>
          <t>KF-M10</t>
        </is>
      </c>
      <c r="D726" s="16" t="inlineStr">
        <is>
          <t>KF-M10-OFAT</t>
        </is>
      </c>
      <c r="E726" s="16" t="inlineStr">
        <is>
          <t>B14-OFAT</t>
        </is>
      </c>
      <c r="F726" s="16" t="inlineStr">
        <is>
          <t>eps_reg</t>
        </is>
      </c>
      <c r="G726" s="16" t="inlineStr">
        <is>
          <t>barrido</t>
        </is>
      </c>
      <c r="H726" s="16" t="n"/>
      <c r="I726" s="16" t="n">
        <v>0.4</v>
      </c>
      <c r="J726" s="16" t="n">
        <v>0.95</v>
      </c>
      <c r="K726" s="16" t="n">
        <v>16</v>
      </c>
      <c r="L726" s="16" t="n"/>
      <c r="M726" s="16" t="inlineStr">
        <is>
          <t>–</t>
        </is>
      </c>
      <c r="N726" s="16" t="inlineStr">
        <is>
          <t>sí</t>
        </is>
      </c>
      <c r="O726" s="16" t="n">
        <v>0.75</v>
      </c>
    </row>
    <row r="727">
      <c r="A727" s="16" t="inlineStr">
        <is>
          <t>6.2</t>
        </is>
      </c>
      <c r="B727" s="16" t="inlineStr">
        <is>
          <t>6.2b</t>
        </is>
      </c>
      <c r="C727" s="16" t="inlineStr">
        <is>
          <t>KF-M10</t>
        </is>
      </c>
      <c r="D727" s="16" t="inlineStr">
        <is>
          <t>KF-M10-OFAT</t>
        </is>
      </c>
      <c r="E727" s="16" t="inlineStr">
        <is>
          <t>B14-OFAT</t>
        </is>
      </c>
      <c r="F727" s="16" t="inlineStr">
        <is>
          <t>eps_cond</t>
        </is>
      </c>
      <c r="G727" s="16" t="inlineStr">
        <is>
          <t>barrido</t>
        </is>
      </c>
      <c r="H727" s="16" t="n"/>
      <c r="I727" s="16" t="n">
        <v>0.7</v>
      </c>
      <c r="J727" s="16" t="n">
        <v>0.95</v>
      </c>
      <c r="K727" s="16" t="n">
        <v>15</v>
      </c>
      <c r="L727" s="16" t="n"/>
      <c r="M727" s="16" t="inlineStr">
        <is>
          <t>–</t>
        </is>
      </c>
      <c r="N727" s="16" t="inlineStr">
        <is>
          <t>sí</t>
        </is>
      </c>
      <c r="O727" s="16" t="n">
        <v>0.95</v>
      </c>
    </row>
    <row r="728">
      <c r="A728" s="16" t="inlineStr">
        <is>
          <t>6.2</t>
        </is>
      </c>
      <c r="B728" s="16" t="inlineStr">
        <is>
          <t>6.2b</t>
        </is>
      </c>
      <c r="C728" s="16" t="inlineStr">
        <is>
          <t>KF-M10</t>
        </is>
      </c>
      <c r="D728" s="16" t="inlineStr">
        <is>
          <t>KF-M10-OFAT</t>
        </is>
      </c>
      <c r="E728" s="16" t="inlineStr">
        <is>
          <t>B14-OFAT</t>
        </is>
      </c>
      <c r="F728" s="16" t="inlineStr">
        <is>
          <t>T_amb_diseno</t>
        </is>
      </c>
      <c r="G728" s="16" t="inlineStr">
        <is>
          <t>fijo</t>
        </is>
      </c>
      <c r="H728" s="16" t="inlineStr">
        <is>
          <t>283.15</t>
        </is>
      </c>
      <c r="I728" s="16" t="n"/>
      <c r="J728" s="16" t="n"/>
      <c r="K728" s="16" t="n"/>
      <c r="L728" s="16" t="inlineStr">
        <is>
          <t>no</t>
        </is>
      </c>
      <c r="M728" s="16" t="inlineStr">
        <is>
          <t>K</t>
        </is>
      </c>
      <c r="N728" s="16" t="inlineStr">
        <is>
          <t>sí</t>
        </is>
      </c>
      <c r="O728" s="16" t="n">
        <v>283.15</v>
      </c>
    </row>
    <row r="729">
      <c r="A729" s="16" t="inlineStr">
        <is>
          <t>6.2</t>
        </is>
      </c>
      <c r="B729" s="16" t="inlineStr">
        <is>
          <t>6.2b</t>
        </is>
      </c>
      <c r="C729" s="16" t="inlineStr">
        <is>
          <t>KF-M10</t>
        </is>
      </c>
      <c r="D729" s="16" t="inlineStr">
        <is>
          <t>KF-M10-OFAT</t>
        </is>
      </c>
      <c r="E729" s="16" t="inlineStr">
        <is>
          <t>B14-OFAT</t>
        </is>
      </c>
      <c r="F729" s="16" t="inlineStr">
        <is>
          <t>motor</t>
        </is>
      </c>
      <c r="G729" s="16" t="inlineStr">
        <is>
          <t>fijo</t>
        </is>
      </c>
      <c r="H729" s="16" t="inlineStr">
        <is>
          <t>teqp</t>
        </is>
      </c>
      <c r="I729" s="16" t="n"/>
      <c r="J729" s="16" t="n"/>
      <c r="K729" s="16" t="n"/>
      <c r="L729" s="16" t="n"/>
      <c r="M729" s="16" t="inlineStr">
        <is>
          <t>–</t>
        </is>
      </c>
      <c r="N729" s="16" t="inlineStr">
        <is>
          <t>sí</t>
        </is>
      </c>
      <c r="O729" s="16" t="n"/>
    </row>
    <row r="730">
      <c r="A730" s="16" t="inlineStr">
        <is>
          <t>6.2</t>
        </is>
      </c>
      <c r="B730" s="16" t="inlineStr">
        <is>
          <t>6.2c</t>
        </is>
      </c>
      <c r="C730" s="16" t="inlineStr">
        <is>
          <t>KF-M10</t>
        </is>
      </c>
      <c r="D730" s="16" t="inlineStr">
        <is>
          <t>KF-M10-MALLA</t>
        </is>
      </c>
      <c r="E730" s="16" t="inlineStr">
        <is>
          <t>B14-MALLA</t>
        </is>
      </c>
      <c r="F730" s="16" t="inlineStr">
        <is>
          <t>T_fuente</t>
        </is>
      </c>
      <c r="G730" s="16" t="inlineStr">
        <is>
          <t>fijo</t>
        </is>
      </c>
      <c r="H730" s="16" t="inlineStr">
        <is>
          <t>394.15</t>
        </is>
      </c>
      <c r="I730" s="16" t="n"/>
      <c r="J730" s="16" t="n"/>
      <c r="K730" s="16" t="n"/>
      <c r="L730" s="16" t="inlineStr">
        <is>
          <t>no</t>
        </is>
      </c>
      <c r="M730" s="16" t="inlineStr">
        <is>
          <t>K</t>
        </is>
      </c>
      <c r="N730" s="16" t="inlineStr">
        <is>
          <t>no</t>
        </is>
      </c>
      <c r="O730" s="16" t="n"/>
    </row>
    <row r="731">
      <c r="A731" s="16" t="inlineStr">
        <is>
          <t>6.2</t>
        </is>
      </c>
      <c r="B731" s="16" t="inlineStr">
        <is>
          <t>6.2c</t>
        </is>
      </c>
      <c r="C731" s="16" t="inlineStr">
        <is>
          <t>KF-M10</t>
        </is>
      </c>
      <c r="D731" s="16" t="inlineStr">
        <is>
          <t>KF-M10-MALLA</t>
        </is>
      </c>
      <c r="E731" s="16" t="inlineStr">
        <is>
          <t>B14-MALLA</t>
        </is>
      </c>
      <c r="F731" s="16" t="inlineStr">
        <is>
          <t>T_sumidero</t>
        </is>
      </c>
      <c r="G731" s="16" t="inlineStr">
        <is>
          <t>fijo</t>
        </is>
      </c>
      <c r="H731" s="16" t="inlineStr">
        <is>
          <t>278.15</t>
        </is>
      </c>
      <c r="I731" s="16" t="n"/>
      <c r="J731" s="16" t="n"/>
      <c r="K731" s="16" t="n"/>
      <c r="L731" s="16" t="inlineStr">
        <is>
          <t>no</t>
        </is>
      </c>
      <c r="M731" s="16" t="inlineStr">
        <is>
          <t>K</t>
        </is>
      </c>
      <c r="N731" s="16" t="inlineStr">
        <is>
          <t>no</t>
        </is>
      </c>
      <c r="O731" s="16" t="n"/>
    </row>
    <row r="732">
      <c r="A732" s="16" t="inlineStr">
        <is>
          <t>6.2</t>
        </is>
      </c>
      <c r="B732" s="16" t="inlineStr">
        <is>
          <t>6.2c</t>
        </is>
      </c>
      <c r="C732" s="16" t="inlineStr">
        <is>
          <t>KF-M10</t>
        </is>
      </c>
      <c r="D732" s="16" t="inlineStr">
        <is>
          <t>KF-M10-MALLA</t>
        </is>
      </c>
      <c r="E732" s="16" t="inlineStr">
        <is>
          <t>B14-MALLA</t>
        </is>
      </c>
      <c r="F732" s="16" t="inlineStr">
        <is>
          <t>P_alta</t>
        </is>
      </c>
      <c r="G732" s="16" t="inlineStr">
        <is>
          <t>fijo</t>
        </is>
      </c>
      <c r="H732" s="16" t="inlineStr">
        <is>
          <t>3300.0</t>
        </is>
      </c>
      <c r="I732" s="16" t="n"/>
      <c r="J732" s="16" t="n"/>
      <c r="K732" s="16" t="n"/>
      <c r="L732" s="16" t="inlineStr">
        <is>
          <t>no</t>
        </is>
      </c>
      <c r="M732" s="16" t="inlineStr">
        <is>
          <t>kPa</t>
        </is>
      </c>
      <c r="N732" s="16" t="inlineStr">
        <is>
          <t>no</t>
        </is>
      </c>
      <c r="O732" s="16" t="n"/>
    </row>
    <row r="733">
      <c r="A733" s="16" t="inlineStr">
        <is>
          <t>6.2</t>
        </is>
      </c>
      <c r="B733" s="16" t="inlineStr">
        <is>
          <t>6.2c</t>
        </is>
      </c>
      <c r="C733" s="16" t="inlineStr">
        <is>
          <t>KF-M10</t>
        </is>
      </c>
      <c r="D733" s="16" t="inlineStr">
        <is>
          <t>KF-M10-MALLA</t>
        </is>
      </c>
      <c r="E733" s="16" t="inlineStr">
        <is>
          <t>B14-MALLA</t>
        </is>
      </c>
      <c r="F733" s="16" t="inlineStr">
        <is>
          <t>P_baja</t>
        </is>
      </c>
      <c r="G733" s="16" t="inlineStr">
        <is>
          <t>barrido</t>
        </is>
      </c>
      <c r="H733" s="16" t="n"/>
      <c r="I733" s="16" t="n">
        <v>500</v>
      </c>
      <c r="J733" s="16" t="n">
        <v>1200</v>
      </c>
      <c r="K733" s="16" t="n">
        <v>8</v>
      </c>
      <c r="L733" s="16" t="n"/>
      <c r="M733" s="16" t="inlineStr">
        <is>
          <t>kPa</t>
        </is>
      </c>
      <c r="N733" s="16" t="inlineStr">
        <is>
          <t>no</t>
        </is>
      </c>
      <c r="O733" s="16" t="n"/>
    </row>
    <row r="734">
      <c r="A734" s="16" t="inlineStr">
        <is>
          <t>6.2</t>
        </is>
      </c>
      <c r="B734" s="16" t="inlineStr">
        <is>
          <t>6.2c</t>
        </is>
      </c>
      <c r="C734" s="16" t="inlineStr">
        <is>
          <t>KF-M10</t>
        </is>
      </c>
      <c r="D734" s="16" t="inlineStr">
        <is>
          <t>KF-M10-MALLA</t>
        </is>
      </c>
      <c r="E734" s="16" t="inlineStr">
        <is>
          <t>B14-MALLA</t>
        </is>
      </c>
      <c r="F734" s="16" t="inlineStr">
        <is>
          <t>x_b</t>
        </is>
      </c>
      <c r="G734" s="16" t="inlineStr">
        <is>
          <t>barrido</t>
        </is>
      </c>
      <c r="H734" s="16" t="n"/>
      <c r="I734" s="16" t="n">
        <v>0.7</v>
      </c>
      <c r="J734" s="16" t="n">
        <v>0.91</v>
      </c>
      <c r="K734" s="16" t="n">
        <v>8</v>
      </c>
      <c r="L734" s="16" t="n"/>
      <c r="M734" s="16" t="inlineStr">
        <is>
          <t>–</t>
        </is>
      </c>
      <c r="N734" s="16" t="inlineStr">
        <is>
          <t>no</t>
        </is>
      </c>
      <c r="O734" s="16" t="n"/>
    </row>
    <row r="735">
      <c r="A735" s="16" t="inlineStr">
        <is>
          <t>6.2</t>
        </is>
      </c>
      <c r="B735" s="16" t="inlineStr">
        <is>
          <t>6.2c</t>
        </is>
      </c>
      <c r="C735" s="16" t="inlineStr">
        <is>
          <t>KF-M10</t>
        </is>
      </c>
      <c r="D735" s="16" t="inlineStr">
        <is>
          <t>KF-M10-MALLA</t>
        </is>
      </c>
      <c r="E735" s="16" t="inlineStr">
        <is>
          <t>B14-MALLA</t>
        </is>
      </c>
      <c r="F735" s="16" t="inlineStr">
        <is>
          <t>m_b</t>
        </is>
      </c>
      <c r="G735" s="16" t="inlineStr">
        <is>
          <t>fijo</t>
        </is>
      </c>
      <c r="H735" s="16" t="inlineStr">
        <is>
          <t>1.0</t>
        </is>
      </c>
      <c r="I735" s="16" t="n"/>
      <c r="J735" s="16" t="n"/>
      <c r="K735" s="16" t="n"/>
      <c r="L735" s="16" t="inlineStr">
        <is>
          <t>sí</t>
        </is>
      </c>
      <c r="M735" s="16" t="inlineStr">
        <is>
          <t>kg/s</t>
        </is>
      </c>
      <c r="N735" s="16" t="inlineStr">
        <is>
          <t>no</t>
        </is>
      </c>
      <c r="O735" s="16" t="n"/>
    </row>
    <row r="736">
      <c r="A736" s="16" t="inlineStr">
        <is>
          <t>6.2</t>
        </is>
      </c>
      <c r="B736" s="16" t="inlineStr">
        <is>
          <t>6.2c</t>
        </is>
      </c>
      <c r="C736" s="16" t="inlineStr">
        <is>
          <t>KF-M10</t>
        </is>
      </c>
      <c r="D736" s="16" t="inlineStr">
        <is>
          <t>KF-M10-MALLA</t>
        </is>
      </c>
      <c r="E736" s="16" t="inlineStr">
        <is>
          <t>B14-MALLA</t>
        </is>
      </c>
      <c r="F736" s="16" t="inlineStr">
        <is>
          <t>eta_t</t>
        </is>
      </c>
      <c r="G736" s="16" t="inlineStr">
        <is>
          <t>fijo</t>
        </is>
      </c>
      <c r="H736" s="16" t="inlineStr">
        <is>
          <t>0.9</t>
        </is>
      </c>
      <c r="I736" s="16" t="n"/>
      <c r="J736" s="16" t="n"/>
      <c r="K736" s="16" t="n"/>
      <c r="L736" s="16" t="inlineStr">
        <is>
          <t>no</t>
        </is>
      </c>
      <c r="M736" s="16" t="inlineStr">
        <is>
          <t>–</t>
        </is>
      </c>
      <c r="N736" s="16" t="inlineStr">
        <is>
          <t>no</t>
        </is>
      </c>
      <c r="O736" s="16" t="n"/>
    </row>
    <row r="737">
      <c r="A737" s="16" t="inlineStr">
        <is>
          <t>6.2</t>
        </is>
      </c>
      <c r="B737" s="16" t="inlineStr">
        <is>
          <t>6.2c</t>
        </is>
      </c>
      <c r="C737" s="16" t="inlineStr">
        <is>
          <t>KF-M10</t>
        </is>
      </c>
      <c r="D737" s="16" t="inlineStr">
        <is>
          <t>KF-M10-MALLA</t>
        </is>
      </c>
      <c r="E737" s="16" t="inlineStr">
        <is>
          <t>B14-MALLA</t>
        </is>
      </c>
      <c r="F737" s="16" t="inlineStr">
        <is>
          <t>eta_p</t>
        </is>
      </c>
      <c r="G737" s="16" t="inlineStr">
        <is>
          <t>fijo</t>
        </is>
      </c>
      <c r="H737" s="16" t="inlineStr">
        <is>
          <t>0.8</t>
        </is>
      </c>
      <c r="I737" s="16" t="n"/>
      <c r="J737" s="16" t="n"/>
      <c r="K737" s="16" t="n"/>
      <c r="L737" s="16" t="inlineStr">
        <is>
          <t>no</t>
        </is>
      </c>
      <c r="M737" s="16" t="inlineStr">
        <is>
          <t>–</t>
        </is>
      </c>
      <c r="N737" s="16" t="inlineStr">
        <is>
          <t>no</t>
        </is>
      </c>
      <c r="O737" s="16" t="n"/>
    </row>
    <row r="738">
      <c r="A738" s="16" t="inlineStr">
        <is>
          <t>6.2</t>
        </is>
      </c>
      <c r="B738" s="16" t="inlineStr">
        <is>
          <t>6.2c</t>
        </is>
      </c>
      <c r="C738" s="16" t="inlineStr">
        <is>
          <t>KF-M10</t>
        </is>
      </c>
      <c r="D738" s="16" t="inlineStr">
        <is>
          <t>KF-M10-MALLA</t>
        </is>
      </c>
      <c r="E738" s="16" t="inlineStr">
        <is>
          <t>B14-MALLA</t>
        </is>
      </c>
      <c r="F738" s="16" t="inlineStr">
        <is>
          <t>eps_hrvg</t>
        </is>
      </c>
      <c r="G738" s="16" t="inlineStr">
        <is>
          <t>fijo</t>
        </is>
      </c>
      <c r="H738" s="16" t="inlineStr">
        <is>
          <t>0.85</t>
        </is>
      </c>
      <c r="I738" s="16" t="n"/>
      <c r="J738" s="16" t="n"/>
      <c r="K738" s="16" t="n"/>
      <c r="L738" s="16" t="inlineStr">
        <is>
          <t>sí</t>
        </is>
      </c>
      <c r="M738" s="16" t="inlineStr">
        <is>
          <t>–</t>
        </is>
      </c>
      <c r="N738" s="16" t="inlineStr">
        <is>
          <t>no</t>
        </is>
      </c>
      <c r="O738" s="16" t="n"/>
    </row>
    <row r="739">
      <c r="A739" s="16" t="inlineStr">
        <is>
          <t>6.2</t>
        </is>
      </c>
      <c r="B739" s="16" t="inlineStr">
        <is>
          <t>6.2c</t>
        </is>
      </c>
      <c r="C739" s="16" t="inlineStr">
        <is>
          <t>KF-M10</t>
        </is>
      </c>
      <c r="D739" s="16" t="inlineStr">
        <is>
          <t>KF-M10-MALLA</t>
        </is>
      </c>
      <c r="E739" s="16" t="inlineStr">
        <is>
          <t>B14-MALLA</t>
        </is>
      </c>
      <c r="F739" s="16" t="inlineStr">
        <is>
          <t>eps_reg</t>
        </is>
      </c>
      <c r="G739" s="16" t="inlineStr">
        <is>
          <t>fijo</t>
        </is>
      </c>
      <c r="H739" s="16" t="inlineStr">
        <is>
          <t>0.75</t>
        </is>
      </c>
      <c r="I739" s="16" t="n"/>
      <c r="J739" s="16" t="n"/>
      <c r="K739" s="16" t="n"/>
      <c r="L739" s="16" t="inlineStr">
        <is>
          <t>sí</t>
        </is>
      </c>
      <c r="M739" s="16" t="inlineStr">
        <is>
          <t>–</t>
        </is>
      </c>
      <c r="N739" s="16" t="inlineStr">
        <is>
          <t>no</t>
        </is>
      </c>
      <c r="O739" s="16" t="n"/>
    </row>
    <row r="740">
      <c r="A740" s="16" t="inlineStr">
        <is>
          <t>6.2</t>
        </is>
      </c>
      <c r="B740" s="16" t="inlineStr">
        <is>
          <t>6.2c</t>
        </is>
      </c>
      <c r="C740" s="16" t="inlineStr">
        <is>
          <t>KF-M10</t>
        </is>
      </c>
      <c r="D740" s="16" t="inlineStr">
        <is>
          <t>KF-M10-MALLA</t>
        </is>
      </c>
      <c r="E740" s="16" t="inlineStr">
        <is>
          <t>B14-MALLA</t>
        </is>
      </c>
      <c r="F740" s="16" t="inlineStr">
        <is>
          <t>eps_cond</t>
        </is>
      </c>
      <c r="G740" s="16" t="inlineStr">
        <is>
          <t>fijo</t>
        </is>
      </c>
      <c r="H740" s="16" t="inlineStr">
        <is>
          <t>0.95</t>
        </is>
      </c>
      <c r="I740" s="16" t="n"/>
      <c r="J740" s="16" t="n"/>
      <c r="K740" s="16" t="n"/>
      <c r="L740" s="16" t="inlineStr">
        <is>
          <t>no</t>
        </is>
      </c>
      <c r="M740" s="16" t="inlineStr">
        <is>
          <t>–</t>
        </is>
      </c>
      <c r="N740" s="16" t="inlineStr">
        <is>
          <t>no</t>
        </is>
      </c>
      <c r="O740" s="16" t="n"/>
    </row>
    <row r="741">
      <c r="A741" s="16" t="inlineStr">
        <is>
          <t>6.2</t>
        </is>
      </c>
      <c r="B741" s="16" t="inlineStr">
        <is>
          <t>6.2c</t>
        </is>
      </c>
      <c r="C741" s="16" t="inlineStr">
        <is>
          <t>KF-M10</t>
        </is>
      </c>
      <c r="D741" s="16" t="inlineStr">
        <is>
          <t>KF-M10-MALLA</t>
        </is>
      </c>
      <c r="E741" s="16" t="inlineStr">
        <is>
          <t>B14-MALLA</t>
        </is>
      </c>
      <c r="F741" s="16" t="inlineStr">
        <is>
          <t>T_amb_diseno</t>
        </is>
      </c>
      <c r="G741" s="16" t="inlineStr">
        <is>
          <t>fijo</t>
        </is>
      </c>
      <c r="H741" s="16" t="inlineStr">
        <is>
          <t>283.15</t>
        </is>
      </c>
      <c r="I741" s="16" t="n"/>
      <c r="J741" s="16" t="n"/>
      <c r="K741" s="16" t="n"/>
      <c r="L741" s="16" t="inlineStr">
        <is>
          <t>no</t>
        </is>
      </c>
      <c r="M741" s="16" t="inlineStr">
        <is>
          <t>K</t>
        </is>
      </c>
      <c r="N741" s="16" t="inlineStr">
        <is>
          <t>no</t>
        </is>
      </c>
      <c r="O741" s="16" t="n"/>
    </row>
    <row r="742">
      <c r="A742" s="16" t="inlineStr">
        <is>
          <t>6.2</t>
        </is>
      </c>
      <c r="B742" s="16" t="inlineStr">
        <is>
          <t>6.2c</t>
        </is>
      </c>
      <c r="C742" s="16" t="inlineStr">
        <is>
          <t>KF-M10</t>
        </is>
      </c>
      <c r="D742" s="16" t="inlineStr">
        <is>
          <t>KF-M10-MALLA</t>
        </is>
      </c>
      <c r="E742" s="16" t="inlineStr">
        <is>
          <t>B14-MALLA</t>
        </is>
      </c>
      <c r="F742" s="16" t="inlineStr">
        <is>
          <t>motor</t>
        </is>
      </c>
      <c r="G742" s="16" t="inlineStr">
        <is>
          <t>fijo</t>
        </is>
      </c>
      <c r="H742" s="16" t="inlineStr">
        <is>
          <t>teqp</t>
        </is>
      </c>
      <c r="I742" s="16" t="n"/>
      <c r="J742" s="16" t="n"/>
      <c r="K742" s="16" t="n"/>
      <c r="L742" s="16" t="n"/>
      <c r="M742" s="16" t="inlineStr">
        <is>
          <t>–</t>
        </is>
      </c>
      <c r="N742" s="16" t="inlineStr">
        <is>
          <t>no</t>
        </is>
      </c>
      <c r="O742" s="16" t="n"/>
    </row>
    <row r="743">
      <c r="A743" s="16" t="inlineStr">
        <is>
          <t>6.2</t>
        </is>
      </c>
      <c r="B743" s="16" t="inlineStr">
        <is>
          <t>6.2d</t>
        </is>
      </c>
      <c r="C743" s="16" t="inlineStr">
        <is>
          <t>KF-M10b</t>
        </is>
      </c>
      <c r="D743" s="16" t="inlineStr">
        <is>
          <t>KF-M10b-OFAT</t>
        </is>
      </c>
      <c r="E743" s="16" t="inlineStr">
        <is>
          <t>B14-OFATb</t>
        </is>
      </c>
      <c r="F743" s="16" t="inlineStr">
        <is>
          <t>T_fuente</t>
        </is>
      </c>
      <c r="G743" s="16" t="inlineStr">
        <is>
          <t>fijo</t>
        </is>
      </c>
      <c r="H743" s="16" t="inlineStr">
        <is>
          <t>394.15</t>
        </is>
      </c>
      <c r="I743" s="16" t="n"/>
      <c r="J743" s="16" t="n"/>
      <c r="K743" s="16" t="n"/>
      <c r="L743" s="16" t="inlineStr">
        <is>
          <t>no</t>
        </is>
      </c>
      <c r="M743" s="16" t="inlineStr">
        <is>
          <t>K</t>
        </is>
      </c>
      <c r="N743" s="16" t="inlineStr">
        <is>
          <t>sí</t>
        </is>
      </c>
      <c r="O743" s="16" t="n">
        <v>394.15</v>
      </c>
    </row>
    <row r="744">
      <c r="A744" s="16" t="inlineStr">
        <is>
          <t>6.2</t>
        </is>
      </c>
      <c r="B744" s="16" t="inlineStr">
        <is>
          <t>6.2d</t>
        </is>
      </c>
      <c r="C744" s="16" t="inlineStr">
        <is>
          <t>KF-M10b</t>
        </is>
      </c>
      <c r="D744" s="16" t="inlineStr">
        <is>
          <t>KF-M10b-OFAT</t>
        </is>
      </c>
      <c r="E744" s="16" t="inlineStr">
        <is>
          <t>B14-OFATb</t>
        </is>
      </c>
      <c r="F744" s="16" t="inlineStr">
        <is>
          <t>T_sumidero</t>
        </is>
      </c>
      <c r="G744" s="16" t="inlineStr">
        <is>
          <t>fijo</t>
        </is>
      </c>
      <c r="H744" s="16" t="inlineStr">
        <is>
          <t>278.15</t>
        </is>
      </c>
      <c r="I744" s="16" t="n"/>
      <c r="J744" s="16" t="n"/>
      <c r="K744" s="16" t="n"/>
      <c r="L744" s="16" t="inlineStr">
        <is>
          <t>no</t>
        </is>
      </c>
      <c r="M744" s="16" t="inlineStr">
        <is>
          <t>K</t>
        </is>
      </c>
      <c r="N744" s="16" t="inlineStr">
        <is>
          <t>sí</t>
        </is>
      </c>
      <c r="O744" s="16" t="n">
        <v>278.15</v>
      </c>
    </row>
    <row r="745">
      <c r="A745" s="16" t="inlineStr">
        <is>
          <t>6.2</t>
        </is>
      </c>
      <c r="B745" s="16" t="inlineStr">
        <is>
          <t>6.2d</t>
        </is>
      </c>
      <c r="C745" s="16" t="inlineStr">
        <is>
          <t>KF-M10b</t>
        </is>
      </c>
      <c r="D745" s="16" t="inlineStr">
        <is>
          <t>KF-M10b-OFAT</t>
        </is>
      </c>
      <c r="E745" s="16" t="inlineStr">
        <is>
          <t>B14-OFATb</t>
        </is>
      </c>
      <c r="F745" s="16" t="inlineStr">
        <is>
          <t>P_alta</t>
        </is>
      </c>
      <c r="G745" s="16" t="inlineStr">
        <is>
          <t>fijo</t>
        </is>
      </c>
      <c r="H745" s="16" t="inlineStr">
        <is>
          <t>3300.0</t>
        </is>
      </c>
      <c r="I745" s="16" t="n"/>
      <c r="J745" s="16" t="n"/>
      <c r="K745" s="16" t="n"/>
      <c r="L745" s="16" t="inlineStr">
        <is>
          <t>no</t>
        </is>
      </c>
      <c r="M745" s="16" t="inlineStr">
        <is>
          <t>kPa</t>
        </is>
      </c>
      <c r="N745" s="16" t="inlineStr">
        <is>
          <t>sí</t>
        </is>
      </c>
      <c r="O745" s="16" t="n">
        <v>3300</v>
      </c>
    </row>
    <row r="746">
      <c r="A746" s="16" t="inlineStr">
        <is>
          <t>6.2</t>
        </is>
      </c>
      <c r="B746" s="16" t="inlineStr">
        <is>
          <t>6.2d</t>
        </is>
      </c>
      <c r="C746" s="16" t="inlineStr">
        <is>
          <t>KF-M10b</t>
        </is>
      </c>
      <c r="D746" s="16" t="inlineStr">
        <is>
          <t>KF-M10b-OFAT</t>
        </is>
      </c>
      <c r="E746" s="16" t="inlineStr">
        <is>
          <t>B14-OFATb</t>
        </is>
      </c>
      <c r="F746" s="16" t="inlineStr">
        <is>
          <t>P_baja</t>
        </is>
      </c>
      <c r="G746" s="16" t="inlineStr">
        <is>
          <t>fijo</t>
        </is>
      </c>
      <c r="H746" s="16" t="inlineStr">
        <is>
          <t>690.0</t>
        </is>
      </c>
      <c r="I746" s="16" t="n"/>
      <c r="J746" s="16" t="n"/>
      <c r="K746" s="16" t="n"/>
      <c r="L746" s="16" t="inlineStr">
        <is>
          <t>no</t>
        </is>
      </c>
      <c r="M746" s="16" t="inlineStr">
        <is>
          <t>kPa</t>
        </is>
      </c>
      <c r="N746" s="16" t="inlineStr">
        <is>
          <t>sí</t>
        </is>
      </c>
      <c r="O746" s="16" t="n">
        <v>690</v>
      </c>
    </row>
    <row r="747">
      <c r="A747" s="16" t="inlineStr">
        <is>
          <t>6.2</t>
        </is>
      </c>
      <c r="B747" s="16" t="inlineStr">
        <is>
          <t>6.2d</t>
        </is>
      </c>
      <c r="C747" s="16" t="inlineStr">
        <is>
          <t>KF-M10b</t>
        </is>
      </c>
      <c r="D747" s="16" t="inlineStr">
        <is>
          <t>KF-M10b-OFAT</t>
        </is>
      </c>
      <c r="E747" s="16" t="inlineStr">
        <is>
          <t>B14-OFATb</t>
        </is>
      </c>
      <c r="F747" s="16" t="inlineStr">
        <is>
          <t>x_b</t>
        </is>
      </c>
      <c r="G747" s="16" t="inlineStr">
        <is>
          <t>barrido</t>
        </is>
      </c>
      <c r="H747" s="16" t="n"/>
      <c r="I747" s="16" t="n">
        <v>0.3</v>
      </c>
      <c r="J747" s="16" t="n">
        <v>0.7</v>
      </c>
      <c r="K747" s="16" t="n">
        <v>17</v>
      </c>
      <c r="L747" s="16" t="n"/>
      <c r="M747" s="16" t="inlineStr">
        <is>
          <t>–</t>
        </is>
      </c>
      <c r="N747" s="16" t="inlineStr">
        <is>
          <t>sí</t>
        </is>
      </c>
      <c r="O747" s="16" t="n">
        <v>0.3</v>
      </c>
    </row>
    <row r="748">
      <c r="A748" s="16" t="inlineStr">
        <is>
          <t>6.2</t>
        </is>
      </c>
      <c r="B748" s="16" t="inlineStr">
        <is>
          <t>6.2d</t>
        </is>
      </c>
      <c r="C748" s="16" t="inlineStr">
        <is>
          <t>KF-M10b</t>
        </is>
      </c>
      <c r="D748" s="16" t="inlineStr">
        <is>
          <t>KF-M10b-OFAT</t>
        </is>
      </c>
      <c r="E748" s="16" t="inlineStr">
        <is>
          <t>B14-OFATb</t>
        </is>
      </c>
      <c r="F748" s="16" t="inlineStr">
        <is>
          <t>m_b</t>
        </is>
      </c>
      <c r="G748" s="16" t="inlineStr">
        <is>
          <t>fijo</t>
        </is>
      </c>
      <c r="H748" s="16" t="inlineStr">
        <is>
          <t>1.0</t>
        </is>
      </c>
      <c r="I748" s="16" t="n"/>
      <c r="J748" s="16" t="n"/>
      <c r="K748" s="16" t="n"/>
      <c r="L748" s="16" t="inlineStr">
        <is>
          <t>sí</t>
        </is>
      </c>
      <c r="M748" s="16" t="inlineStr">
        <is>
          <t>kg/s</t>
        </is>
      </c>
      <c r="N748" s="16" t="inlineStr">
        <is>
          <t>sí</t>
        </is>
      </c>
      <c r="O748" s="16" t="n">
        <v>1</v>
      </c>
    </row>
    <row r="749">
      <c r="A749" s="16" t="inlineStr">
        <is>
          <t>6.2</t>
        </is>
      </c>
      <c r="B749" s="16" t="inlineStr">
        <is>
          <t>6.2d</t>
        </is>
      </c>
      <c r="C749" s="16" t="inlineStr">
        <is>
          <t>KF-M10b</t>
        </is>
      </c>
      <c r="D749" s="16" t="inlineStr">
        <is>
          <t>KF-M10b-OFAT</t>
        </is>
      </c>
      <c r="E749" s="16" t="inlineStr">
        <is>
          <t>B14-OFATb</t>
        </is>
      </c>
      <c r="F749" s="16" t="inlineStr">
        <is>
          <t>eta_t</t>
        </is>
      </c>
      <c r="G749" s="16" t="inlineStr">
        <is>
          <t>fijo</t>
        </is>
      </c>
      <c r="H749" s="16" t="inlineStr">
        <is>
          <t>0.9</t>
        </is>
      </c>
      <c r="I749" s="16" t="n"/>
      <c r="J749" s="16" t="n"/>
      <c r="K749" s="16" t="n"/>
      <c r="L749" s="16" t="inlineStr">
        <is>
          <t>no</t>
        </is>
      </c>
      <c r="M749" s="16" t="inlineStr">
        <is>
          <t>–</t>
        </is>
      </c>
      <c r="N749" s="16" t="inlineStr">
        <is>
          <t>sí</t>
        </is>
      </c>
      <c r="O749" s="16" t="n">
        <v>0.9</v>
      </c>
    </row>
    <row r="750">
      <c r="A750" s="16" t="inlineStr">
        <is>
          <t>6.2</t>
        </is>
      </c>
      <c r="B750" s="16" t="inlineStr">
        <is>
          <t>6.2d</t>
        </is>
      </c>
      <c r="C750" s="16" t="inlineStr">
        <is>
          <t>KF-M10b</t>
        </is>
      </c>
      <c r="D750" s="16" t="inlineStr">
        <is>
          <t>KF-M10b-OFAT</t>
        </is>
      </c>
      <c r="E750" s="16" t="inlineStr">
        <is>
          <t>B14-OFATb</t>
        </is>
      </c>
      <c r="F750" s="16" t="inlineStr">
        <is>
          <t>eta_p</t>
        </is>
      </c>
      <c r="G750" s="16" t="inlineStr">
        <is>
          <t>fijo</t>
        </is>
      </c>
      <c r="H750" s="16" t="inlineStr">
        <is>
          <t>0.8</t>
        </is>
      </c>
      <c r="I750" s="16" t="n"/>
      <c r="J750" s="16" t="n"/>
      <c r="K750" s="16" t="n"/>
      <c r="L750" s="16" t="inlineStr">
        <is>
          <t>no</t>
        </is>
      </c>
      <c r="M750" s="16" t="inlineStr">
        <is>
          <t>–</t>
        </is>
      </c>
      <c r="N750" s="16" t="inlineStr">
        <is>
          <t>sí</t>
        </is>
      </c>
      <c r="O750" s="16" t="n">
        <v>0.8</v>
      </c>
    </row>
    <row r="751">
      <c r="A751" s="16" t="inlineStr">
        <is>
          <t>6.2</t>
        </is>
      </c>
      <c r="B751" s="16" t="inlineStr">
        <is>
          <t>6.2d</t>
        </is>
      </c>
      <c r="C751" s="16" t="inlineStr">
        <is>
          <t>KF-M10b</t>
        </is>
      </c>
      <c r="D751" s="16" t="inlineStr">
        <is>
          <t>KF-M10b-OFAT</t>
        </is>
      </c>
      <c r="E751" s="16" t="inlineStr">
        <is>
          <t>B14-OFATb</t>
        </is>
      </c>
      <c r="F751" s="16" t="inlineStr">
        <is>
          <t>eps_hrvg</t>
        </is>
      </c>
      <c r="G751" s="16" t="inlineStr">
        <is>
          <t>fijo</t>
        </is>
      </c>
      <c r="H751" s="16" t="inlineStr">
        <is>
          <t>0.85</t>
        </is>
      </c>
      <c r="I751" s="16" t="n"/>
      <c r="J751" s="16" t="n"/>
      <c r="K751" s="16" t="n"/>
      <c r="L751" s="16" t="inlineStr">
        <is>
          <t>sí</t>
        </is>
      </c>
      <c r="M751" s="16" t="inlineStr">
        <is>
          <t>–</t>
        </is>
      </c>
      <c r="N751" s="16" t="inlineStr">
        <is>
          <t>sí</t>
        </is>
      </c>
      <c r="O751" s="16" t="n">
        <v>0.85</v>
      </c>
    </row>
    <row r="752">
      <c r="A752" s="16" t="inlineStr">
        <is>
          <t>6.2</t>
        </is>
      </c>
      <c r="B752" s="16" t="inlineStr">
        <is>
          <t>6.2d</t>
        </is>
      </c>
      <c r="C752" s="16" t="inlineStr">
        <is>
          <t>KF-M10b</t>
        </is>
      </c>
      <c r="D752" s="16" t="inlineStr">
        <is>
          <t>KF-M10b-OFAT</t>
        </is>
      </c>
      <c r="E752" s="16" t="inlineStr">
        <is>
          <t>B14-OFATb</t>
        </is>
      </c>
      <c r="F752" s="16" t="inlineStr">
        <is>
          <t>eps_reg</t>
        </is>
      </c>
      <c r="G752" s="16" t="inlineStr">
        <is>
          <t>fijo</t>
        </is>
      </c>
      <c r="H752" s="16" t="inlineStr">
        <is>
          <t>0.75</t>
        </is>
      </c>
      <c r="I752" s="16" t="n"/>
      <c r="J752" s="16" t="n"/>
      <c r="K752" s="16" t="n"/>
      <c r="L752" s="16" t="inlineStr">
        <is>
          <t>sí</t>
        </is>
      </c>
      <c r="M752" s="16" t="inlineStr">
        <is>
          <t>–</t>
        </is>
      </c>
      <c r="N752" s="16" t="inlineStr">
        <is>
          <t>sí</t>
        </is>
      </c>
      <c r="O752" s="16" t="n">
        <v>0.75</v>
      </c>
    </row>
    <row r="753">
      <c r="A753" s="16" t="inlineStr">
        <is>
          <t>6.2</t>
        </is>
      </c>
      <c r="B753" s="16" t="inlineStr">
        <is>
          <t>6.2d</t>
        </is>
      </c>
      <c r="C753" s="16" t="inlineStr">
        <is>
          <t>KF-M10b</t>
        </is>
      </c>
      <c r="D753" s="16" t="inlineStr">
        <is>
          <t>KF-M10b-OFAT</t>
        </is>
      </c>
      <c r="E753" s="16" t="inlineStr">
        <is>
          <t>B14-OFATb</t>
        </is>
      </c>
      <c r="F753" s="16" t="inlineStr">
        <is>
          <t>eps_cond</t>
        </is>
      </c>
      <c r="G753" s="16" t="inlineStr">
        <is>
          <t>fijo</t>
        </is>
      </c>
      <c r="H753" s="16" t="inlineStr">
        <is>
          <t>0.95</t>
        </is>
      </c>
      <c r="I753" s="16" t="n"/>
      <c r="J753" s="16" t="n"/>
      <c r="K753" s="16" t="n"/>
      <c r="L753" s="16" t="inlineStr">
        <is>
          <t>no</t>
        </is>
      </c>
      <c r="M753" s="16" t="inlineStr">
        <is>
          <t>–</t>
        </is>
      </c>
      <c r="N753" s="16" t="inlineStr">
        <is>
          <t>sí</t>
        </is>
      </c>
      <c r="O753" s="16" t="n">
        <v>0.95</v>
      </c>
    </row>
    <row r="754">
      <c r="A754" s="16" t="inlineStr">
        <is>
          <t>6.2</t>
        </is>
      </c>
      <c r="B754" s="16" t="inlineStr">
        <is>
          <t>6.2d</t>
        </is>
      </c>
      <c r="C754" s="16" t="inlineStr">
        <is>
          <t>KF-M10b</t>
        </is>
      </c>
      <c r="D754" s="16" t="inlineStr">
        <is>
          <t>KF-M10b-OFAT</t>
        </is>
      </c>
      <c r="E754" s="16" t="inlineStr">
        <is>
          <t>B14-OFATb</t>
        </is>
      </c>
      <c r="F754" s="16" t="inlineStr">
        <is>
          <t>T_amb_diseno</t>
        </is>
      </c>
      <c r="G754" s="16" t="inlineStr">
        <is>
          <t>fijo</t>
        </is>
      </c>
      <c r="H754" s="16" t="inlineStr">
        <is>
          <t>283.15</t>
        </is>
      </c>
      <c r="I754" s="16" t="n"/>
      <c r="J754" s="16" t="n"/>
      <c r="K754" s="16" t="n"/>
      <c r="L754" s="16" t="inlineStr">
        <is>
          <t>no</t>
        </is>
      </c>
      <c r="M754" s="16" t="inlineStr">
        <is>
          <t>K</t>
        </is>
      </c>
      <c r="N754" s="16" t="inlineStr">
        <is>
          <t>sí</t>
        </is>
      </c>
      <c r="O754" s="16" t="n">
        <v>283.15</v>
      </c>
    </row>
    <row r="755">
      <c r="A755" s="16" t="inlineStr">
        <is>
          <t>6.2</t>
        </is>
      </c>
      <c r="B755" s="16" t="inlineStr">
        <is>
          <t>6.2d</t>
        </is>
      </c>
      <c r="C755" s="16" t="inlineStr">
        <is>
          <t>KF-M10b</t>
        </is>
      </c>
      <c r="D755" s="16" t="inlineStr">
        <is>
          <t>KF-M10b-OFAT</t>
        </is>
      </c>
      <c r="E755" s="16" t="inlineStr">
        <is>
          <t>B14-OFATb</t>
        </is>
      </c>
      <c r="F755" s="16" t="inlineStr">
        <is>
          <t>motor</t>
        </is>
      </c>
      <c r="G755" s="16" t="inlineStr">
        <is>
          <t>fijo</t>
        </is>
      </c>
      <c r="H755" s="16" t="inlineStr">
        <is>
          <t>teqp</t>
        </is>
      </c>
      <c r="I755" s="16" t="n"/>
      <c r="J755" s="16" t="n"/>
      <c r="K755" s="16" t="n"/>
      <c r="L755" s="16" t="n"/>
      <c r="M755" s="16" t="inlineStr">
        <is>
          <t>–</t>
        </is>
      </c>
      <c r="N755" s="16" t="inlineStr">
        <is>
          <t>sí</t>
        </is>
      </c>
      <c r="O755" s="16" t="n"/>
    </row>
    <row r="756">
      <c r="A756" s="16" t="inlineStr">
        <is>
          <t>6.2</t>
        </is>
      </c>
      <c r="B756" s="16" t="inlineStr">
        <is>
          <t>6.2c</t>
        </is>
      </c>
      <c r="C756" s="16" t="inlineStr">
        <is>
          <t>KF-M10b</t>
        </is>
      </c>
      <c r="D756" s="16" t="inlineStr">
        <is>
          <t>KF-M10b-MALLA</t>
        </is>
      </c>
      <c r="E756" s="16" t="inlineStr">
        <is>
          <t>B14-MALLA</t>
        </is>
      </c>
      <c r="F756" s="16" t="inlineStr">
        <is>
          <t>T_fuente</t>
        </is>
      </c>
      <c r="G756" s="16" t="inlineStr">
        <is>
          <t>fijo</t>
        </is>
      </c>
      <c r="H756" s="16" t="inlineStr">
        <is>
          <t>394.15</t>
        </is>
      </c>
      <c r="I756" s="16" t="n"/>
      <c r="J756" s="16" t="n"/>
      <c r="K756" s="16" t="n"/>
      <c r="L756" s="16" t="inlineStr">
        <is>
          <t>no</t>
        </is>
      </c>
      <c r="M756" s="16" t="inlineStr">
        <is>
          <t>K</t>
        </is>
      </c>
      <c r="N756" s="16" t="inlineStr">
        <is>
          <t>no</t>
        </is>
      </c>
      <c r="O756" s="16" t="n"/>
    </row>
    <row r="757">
      <c r="A757" s="16" t="inlineStr">
        <is>
          <t>6.2</t>
        </is>
      </c>
      <c r="B757" s="16" t="inlineStr">
        <is>
          <t>6.2c</t>
        </is>
      </c>
      <c r="C757" s="16" t="inlineStr">
        <is>
          <t>KF-M10b</t>
        </is>
      </c>
      <c r="D757" s="16" t="inlineStr">
        <is>
          <t>KF-M10b-MALLA</t>
        </is>
      </c>
      <c r="E757" s="16" t="inlineStr">
        <is>
          <t>B14-MALLA</t>
        </is>
      </c>
      <c r="F757" s="16" t="inlineStr">
        <is>
          <t>T_sumidero</t>
        </is>
      </c>
      <c r="G757" s="16" t="inlineStr">
        <is>
          <t>fijo</t>
        </is>
      </c>
      <c r="H757" s="16" t="inlineStr">
        <is>
          <t>278.15</t>
        </is>
      </c>
      <c r="I757" s="16" t="n"/>
      <c r="J757" s="16" t="n"/>
      <c r="K757" s="16" t="n"/>
      <c r="L757" s="16" t="inlineStr">
        <is>
          <t>no</t>
        </is>
      </c>
      <c r="M757" s="16" t="inlineStr">
        <is>
          <t>K</t>
        </is>
      </c>
      <c r="N757" s="16" t="inlineStr">
        <is>
          <t>no</t>
        </is>
      </c>
      <c r="O757" s="16" t="n"/>
    </row>
    <row r="758">
      <c r="A758" s="16" t="inlineStr">
        <is>
          <t>6.2</t>
        </is>
      </c>
      <c r="B758" s="16" t="inlineStr">
        <is>
          <t>6.2c</t>
        </is>
      </c>
      <c r="C758" s="16" t="inlineStr">
        <is>
          <t>KF-M10b</t>
        </is>
      </c>
      <c r="D758" s="16" t="inlineStr">
        <is>
          <t>KF-M10b-MALLA</t>
        </is>
      </c>
      <c r="E758" s="16" t="inlineStr">
        <is>
          <t>B14-MALLA</t>
        </is>
      </c>
      <c r="F758" s="16" t="inlineStr">
        <is>
          <t>P_alta</t>
        </is>
      </c>
      <c r="G758" s="16" t="inlineStr">
        <is>
          <t>fijo</t>
        </is>
      </c>
      <c r="H758" s="16" t="inlineStr">
        <is>
          <t>3300.0</t>
        </is>
      </c>
      <c r="I758" s="16" t="n"/>
      <c r="J758" s="16" t="n"/>
      <c r="K758" s="16" t="n"/>
      <c r="L758" s="16" t="inlineStr">
        <is>
          <t>no</t>
        </is>
      </c>
      <c r="M758" s="16" t="inlineStr">
        <is>
          <t>kPa</t>
        </is>
      </c>
      <c r="N758" s="16" t="inlineStr">
        <is>
          <t>no</t>
        </is>
      </c>
      <c r="O758" s="16" t="n"/>
    </row>
    <row r="759">
      <c r="A759" s="16" t="inlineStr">
        <is>
          <t>6.2</t>
        </is>
      </c>
      <c r="B759" s="16" t="inlineStr">
        <is>
          <t>6.2c</t>
        </is>
      </c>
      <c r="C759" s="16" t="inlineStr">
        <is>
          <t>KF-M10b</t>
        </is>
      </c>
      <c r="D759" s="16" t="inlineStr">
        <is>
          <t>KF-M10b-MALLA</t>
        </is>
      </c>
      <c r="E759" s="16" t="inlineStr">
        <is>
          <t>B14-MALLA</t>
        </is>
      </c>
      <c r="F759" s="16" t="inlineStr">
        <is>
          <t>P_baja</t>
        </is>
      </c>
      <c r="G759" s="16" t="inlineStr">
        <is>
          <t>barrido</t>
        </is>
      </c>
      <c r="H759" s="16" t="n"/>
      <c r="I759" s="16" t="n">
        <v>200</v>
      </c>
      <c r="J759" s="16" t="n">
        <v>700</v>
      </c>
      <c r="K759" s="16" t="n">
        <v>6</v>
      </c>
      <c r="L759" s="16" t="n"/>
      <c r="M759" s="16" t="inlineStr">
        <is>
          <t>kPa</t>
        </is>
      </c>
      <c r="N759" s="16" t="inlineStr">
        <is>
          <t>no</t>
        </is>
      </c>
      <c r="O759" s="16" t="n"/>
    </row>
    <row r="760">
      <c r="A760" s="16" t="inlineStr">
        <is>
          <t>6.2</t>
        </is>
      </c>
      <c r="B760" s="16" t="inlineStr">
        <is>
          <t>6.2c</t>
        </is>
      </c>
      <c r="C760" s="16" t="inlineStr">
        <is>
          <t>KF-M10b</t>
        </is>
      </c>
      <c r="D760" s="16" t="inlineStr">
        <is>
          <t>KF-M10b-MALLA</t>
        </is>
      </c>
      <c r="E760" s="16" t="inlineStr">
        <is>
          <t>B14-MALLA</t>
        </is>
      </c>
      <c r="F760" s="16" t="inlineStr">
        <is>
          <t>x_b</t>
        </is>
      </c>
      <c r="G760" s="16" t="inlineStr">
        <is>
          <t>barrido</t>
        </is>
      </c>
      <c r="H760" s="16" t="n"/>
      <c r="I760" s="16" t="n">
        <v>0.3</v>
      </c>
      <c r="J760" s="16" t="n">
        <v>0.7</v>
      </c>
      <c r="K760" s="16" t="n">
        <v>9</v>
      </c>
      <c r="L760" s="16" t="n"/>
      <c r="M760" s="16" t="inlineStr">
        <is>
          <t>–</t>
        </is>
      </c>
      <c r="N760" s="16" t="inlineStr">
        <is>
          <t>no</t>
        </is>
      </c>
      <c r="O760" s="16" t="n"/>
    </row>
    <row r="761">
      <c r="A761" s="16" t="inlineStr">
        <is>
          <t>6.2</t>
        </is>
      </c>
      <c r="B761" s="16" t="inlineStr">
        <is>
          <t>6.2c</t>
        </is>
      </c>
      <c r="C761" s="16" t="inlineStr">
        <is>
          <t>KF-M10b</t>
        </is>
      </c>
      <c r="D761" s="16" t="inlineStr">
        <is>
          <t>KF-M10b-MALLA</t>
        </is>
      </c>
      <c r="E761" s="16" t="inlineStr">
        <is>
          <t>B14-MALLA</t>
        </is>
      </c>
      <c r="F761" s="16" t="inlineStr">
        <is>
          <t>m_b</t>
        </is>
      </c>
      <c r="G761" s="16" t="inlineStr">
        <is>
          <t>fijo</t>
        </is>
      </c>
      <c r="H761" s="16" t="inlineStr">
        <is>
          <t>1.0</t>
        </is>
      </c>
      <c r="I761" s="16" t="n"/>
      <c r="J761" s="16" t="n"/>
      <c r="K761" s="16" t="n"/>
      <c r="L761" s="16" t="inlineStr">
        <is>
          <t>sí</t>
        </is>
      </c>
      <c r="M761" s="16" t="inlineStr">
        <is>
          <t>kg/s</t>
        </is>
      </c>
      <c r="N761" s="16" t="inlineStr">
        <is>
          <t>no</t>
        </is>
      </c>
      <c r="O761" s="16" t="n"/>
    </row>
    <row r="762">
      <c r="A762" s="16" t="inlineStr">
        <is>
          <t>6.2</t>
        </is>
      </c>
      <c r="B762" s="16" t="inlineStr">
        <is>
          <t>6.2c</t>
        </is>
      </c>
      <c r="C762" s="16" t="inlineStr">
        <is>
          <t>KF-M10b</t>
        </is>
      </c>
      <c r="D762" s="16" t="inlineStr">
        <is>
          <t>KF-M10b-MALLA</t>
        </is>
      </c>
      <c r="E762" s="16" t="inlineStr">
        <is>
          <t>B14-MALLA</t>
        </is>
      </c>
      <c r="F762" s="16" t="inlineStr">
        <is>
          <t>eta_t</t>
        </is>
      </c>
      <c r="G762" s="16" t="inlineStr">
        <is>
          <t>fijo</t>
        </is>
      </c>
      <c r="H762" s="16" t="inlineStr">
        <is>
          <t>0.9</t>
        </is>
      </c>
      <c r="I762" s="16" t="n"/>
      <c r="J762" s="16" t="n"/>
      <c r="K762" s="16" t="n"/>
      <c r="L762" s="16" t="inlineStr">
        <is>
          <t>no</t>
        </is>
      </c>
      <c r="M762" s="16" t="inlineStr">
        <is>
          <t>–</t>
        </is>
      </c>
      <c r="N762" s="16" t="inlineStr">
        <is>
          <t>no</t>
        </is>
      </c>
      <c r="O762" s="16" t="n"/>
    </row>
    <row r="763">
      <c r="A763" s="16" t="inlineStr">
        <is>
          <t>6.2</t>
        </is>
      </c>
      <c r="B763" s="16" t="inlineStr">
        <is>
          <t>6.2c</t>
        </is>
      </c>
      <c r="C763" s="16" t="inlineStr">
        <is>
          <t>KF-M10b</t>
        </is>
      </c>
      <c r="D763" s="16" t="inlineStr">
        <is>
          <t>KF-M10b-MALLA</t>
        </is>
      </c>
      <c r="E763" s="16" t="inlineStr">
        <is>
          <t>B14-MALLA</t>
        </is>
      </c>
      <c r="F763" s="16" t="inlineStr">
        <is>
          <t>eta_p</t>
        </is>
      </c>
      <c r="G763" s="16" t="inlineStr">
        <is>
          <t>fijo</t>
        </is>
      </c>
      <c r="H763" s="16" t="inlineStr">
        <is>
          <t>0.8</t>
        </is>
      </c>
      <c r="I763" s="16" t="n"/>
      <c r="J763" s="16" t="n"/>
      <c r="K763" s="16" t="n"/>
      <c r="L763" s="16" t="inlineStr">
        <is>
          <t>no</t>
        </is>
      </c>
      <c r="M763" s="16" t="inlineStr">
        <is>
          <t>–</t>
        </is>
      </c>
      <c r="N763" s="16" t="inlineStr">
        <is>
          <t>no</t>
        </is>
      </c>
      <c r="O763" s="16" t="n"/>
    </row>
    <row r="764">
      <c r="A764" s="16" t="inlineStr">
        <is>
          <t>6.2</t>
        </is>
      </c>
      <c r="B764" s="16" t="inlineStr">
        <is>
          <t>6.2c</t>
        </is>
      </c>
      <c r="C764" s="16" t="inlineStr">
        <is>
          <t>KF-M10b</t>
        </is>
      </c>
      <c r="D764" s="16" t="inlineStr">
        <is>
          <t>KF-M10b-MALLA</t>
        </is>
      </c>
      <c r="E764" s="16" t="inlineStr">
        <is>
          <t>B14-MALLA</t>
        </is>
      </c>
      <c r="F764" s="16" t="inlineStr">
        <is>
          <t>eps_hrvg</t>
        </is>
      </c>
      <c r="G764" s="16" t="inlineStr">
        <is>
          <t>fijo</t>
        </is>
      </c>
      <c r="H764" s="16" t="inlineStr">
        <is>
          <t>0.85</t>
        </is>
      </c>
      <c r="I764" s="16" t="n"/>
      <c r="J764" s="16" t="n"/>
      <c r="K764" s="16" t="n"/>
      <c r="L764" s="16" t="inlineStr">
        <is>
          <t>sí</t>
        </is>
      </c>
      <c r="M764" s="16" t="inlineStr">
        <is>
          <t>–</t>
        </is>
      </c>
      <c r="N764" s="16" t="inlineStr">
        <is>
          <t>no</t>
        </is>
      </c>
      <c r="O764" s="16" t="n"/>
    </row>
    <row r="765">
      <c r="A765" s="16" t="inlineStr">
        <is>
          <t>6.2</t>
        </is>
      </c>
      <c r="B765" s="16" t="inlineStr">
        <is>
          <t>6.2c</t>
        </is>
      </c>
      <c r="C765" s="16" t="inlineStr">
        <is>
          <t>KF-M10b</t>
        </is>
      </c>
      <c r="D765" s="16" t="inlineStr">
        <is>
          <t>KF-M10b-MALLA</t>
        </is>
      </c>
      <c r="E765" s="16" t="inlineStr">
        <is>
          <t>B14-MALLA</t>
        </is>
      </c>
      <c r="F765" s="16" t="inlineStr">
        <is>
          <t>eps_reg</t>
        </is>
      </c>
      <c r="G765" s="16" t="inlineStr">
        <is>
          <t>fijo</t>
        </is>
      </c>
      <c r="H765" s="16" t="inlineStr">
        <is>
          <t>0.75</t>
        </is>
      </c>
      <c r="I765" s="16" t="n"/>
      <c r="J765" s="16" t="n"/>
      <c r="K765" s="16" t="n"/>
      <c r="L765" s="16" t="inlineStr">
        <is>
          <t>sí</t>
        </is>
      </c>
      <c r="M765" s="16" t="inlineStr">
        <is>
          <t>–</t>
        </is>
      </c>
      <c r="N765" s="16" t="inlineStr">
        <is>
          <t>no</t>
        </is>
      </c>
      <c r="O765" s="16" t="n"/>
    </row>
    <row r="766">
      <c r="A766" s="16" t="inlineStr">
        <is>
          <t>6.2</t>
        </is>
      </c>
      <c r="B766" s="16" t="inlineStr">
        <is>
          <t>6.2c</t>
        </is>
      </c>
      <c r="C766" s="16" t="inlineStr">
        <is>
          <t>KF-M10b</t>
        </is>
      </c>
      <c r="D766" s="16" t="inlineStr">
        <is>
          <t>KF-M10b-MALLA</t>
        </is>
      </c>
      <c r="E766" s="16" t="inlineStr">
        <is>
          <t>B14-MALLA</t>
        </is>
      </c>
      <c r="F766" s="16" t="inlineStr">
        <is>
          <t>eps_cond</t>
        </is>
      </c>
      <c r="G766" s="16" t="inlineStr">
        <is>
          <t>fijo</t>
        </is>
      </c>
      <c r="H766" s="16" t="inlineStr">
        <is>
          <t>0.95</t>
        </is>
      </c>
      <c r="I766" s="16" t="n"/>
      <c r="J766" s="16" t="n"/>
      <c r="K766" s="16" t="n"/>
      <c r="L766" s="16" t="inlineStr">
        <is>
          <t>no</t>
        </is>
      </c>
      <c r="M766" s="16" t="inlineStr">
        <is>
          <t>–</t>
        </is>
      </c>
      <c r="N766" s="16" t="inlineStr">
        <is>
          <t>no</t>
        </is>
      </c>
      <c r="O766" s="16" t="n"/>
    </row>
    <row r="767">
      <c r="A767" s="16" t="inlineStr">
        <is>
          <t>6.2</t>
        </is>
      </c>
      <c r="B767" s="16" t="inlineStr">
        <is>
          <t>6.2c</t>
        </is>
      </c>
      <c r="C767" s="16" t="inlineStr">
        <is>
          <t>KF-M10b</t>
        </is>
      </c>
      <c r="D767" s="16" t="inlineStr">
        <is>
          <t>KF-M10b-MALLA</t>
        </is>
      </c>
      <c r="E767" s="16" t="inlineStr">
        <is>
          <t>B14-MALLA</t>
        </is>
      </c>
      <c r="F767" s="16" t="inlineStr">
        <is>
          <t>T_amb_diseno</t>
        </is>
      </c>
      <c r="G767" s="16" t="inlineStr">
        <is>
          <t>fijo</t>
        </is>
      </c>
      <c r="H767" s="16" t="inlineStr">
        <is>
          <t>283.15</t>
        </is>
      </c>
      <c r="I767" s="16" t="n"/>
      <c r="J767" s="16" t="n"/>
      <c r="K767" s="16" t="n"/>
      <c r="L767" s="16" t="inlineStr">
        <is>
          <t>no</t>
        </is>
      </c>
      <c r="M767" s="16" t="inlineStr">
        <is>
          <t>K</t>
        </is>
      </c>
      <c r="N767" s="16" t="inlineStr">
        <is>
          <t>no</t>
        </is>
      </c>
      <c r="O767" s="16" t="n"/>
    </row>
    <row r="768">
      <c r="A768" s="16" t="inlineStr">
        <is>
          <t>6.2</t>
        </is>
      </c>
      <c r="B768" s="16" t="inlineStr">
        <is>
          <t>6.2c</t>
        </is>
      </c>
      <c r="C768" s="16" t="inlineStr">
        <is>
          <t>KF-M10b</t>
        </is>
      </c>
      <c r="D768" s="16" t="inlineStr">
        <is>
          <t>KF-M10b-MALLA</t>
        </is>
      </c>
      <c r="E768" s="16" t="inlineStr">
        <is>
          <t>B14-MALLA</t>
        </is>
      </c>
      <c r="F768" s="16" t="inlineStr">
        <is>
          <t>motor</t>
        </is>
      </c>
      <c r="G768" s="16" t="inlineStr">
        <is>
          <t>fijo</t>
        </is>
      </c>
      <c r="H768" s="16" t="inlineStr">
        <is>
          <t>teqp</t>
        </is>
      </c>
      <c r="I768" s="16" t="n"/>
      <c r="J768" s="16" t="n"/>
      <c r="K768" s="16" t="n"/>
      <c r="L768" s="16" t="n"/>
      <c r="M768" s="16" t="inlineStr">
        <is>
          <t>–</t>
        </is>
      </c>
      <c r="N768" s="16" t="inlineStr">
        <is>
          <t>no</t>
        </is>
      </c>
      <c r="O768" s="16" t="n"/>
    </row>
  </sheetData>
  <autoFilter ref="A1:O768"/>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s="8" t="inlineStr">
        <is>
          <t>Parte</t>
        </is>
      </c>
      <c r="B1" s="8" t="inlineStr">
        <is>
          <t>Bloque de origen</t>
        </is>
      </c>
      <c r="C1" s="8" t="inlineStr">
        <is>
          <t>id_subcasos</t>
        </is>
      </c>
      <c r="D1" s="8" t="inlineStr">
        <is>
          <t>n_puntos</t>
        </is>
      </c>
      <c r="E1" s="8" t="inlineStr">
        <is>
          <t>firma</t>
        </is>
      </c>
      <c r="F1" s="8" t="inlineStr">
        <is>
          <t>consistente</t>
        </is>
      </c>
      <c r="G1" s="8" t="inlineStr">
        <is>
          <t>diferencias</t>
        </is>
      </c>
      <c r="H1" s="8" t="inlineStr">
        <is>
          <t>diferencias_barrido</t>
        </is>
      </c>
    </row>
    <row r="2">
      <c r="A2" s="16" t="inlineStr">
        <is>
          <t>1.1</t>
        </is>
      </c>
      <c r="B2" s="16" t="inlineStr">
        <is>
          <t>B01</t>
        </is>
      </c>
      <c r="C2" s="16" t="inlineStr">
        <is>
          <t>KF-M01-P_alta; KF-M01-base; KF-M01-x_b; KF-M01-T_amb</t>
        </is>
      </c>
      <c r="D2" s="16" t="n">
        <v>42</v>
      </c>
      <c r="E2" s="16" t="inlineStr">
        <is>
          <t>fijos: T_fuente=623.15; T_sumidero=300.033; P_baja=400; x_b=0.5; m_b=1; eta_t=0.85; eta_p=0.75; eps_hrvg=0.85; eps_reg=0.75; eps_cond=0.8; motor=teqp | barridos: P_alta [2000, 4000] n=9</t>
        </is>
      </c>
      <c r="F2" s="16" t="inlineStr">
        <is>
          <t>no</t>
        </is>
      </c>
      <c r="G2" s="16" t="inlineStr">
        <is>
          <t>T_sumidero: KF-M01-P_alta=fijo 300.033; KF-M01-base=fijo 300.033; KF-M01-x_b=fijo 300.033; KF-M01-T_amb=barrido [297.95, 303.55] n=23 || P_alta: KF-M01-P_alta=barrido [2000, 4000] n=9; KF-M01-base=fijo 3000; KF-M01-x_b=fijo 3000; KF-M01-T_amb=fijo 3000 || x_b: KF-M01-P_alta=fijo 0.5; KF-M01-base=fijo 0.5; KF-M01-x_b=barrido [0.4, 0.7] n=7; KF-M01-T_amb=fijo 0.5 || motor: KF-M01-P_alta=fijo teqp; KF-M01-base=barrido n=2; KF-M01-x_b=fijo teqp; KF-M01-T_amb=fijo teqp</t>
        </is>
      </c>
      <c r="H2" s="16" t="n"/>
    </row>
    <row r="3">
      <c r="A3" s="16" t="inlineStr">
        <is>
          <t>2.1</t>
        </is>
      </c>
      <c r="B3" s="16" t="inlineStr">
        <is>
          <t>B02</t>
        </is>
      </c>
      <c r="C3" s="16" t="inlineStr">
        <is>
          <t>KF-M02-N1</t>
        </is>
      </c>
      <c r="D3" s="16" t="n">
        <v>132</v>
      </c>
      <c r="E3" s="16" t="inlineStr">
        <is>
          <t>fijos: m_b=1; motor=teqp | barridos: T_fuente [340, 623.15] n=22; T_sumidero [283.15, 303.55] n=11; P_alta [1000, 10000] n=24; P_baja [150, 1500] n=11; x_b [0.3, 0.9] n=14; eta_t [0.75, 0.9] n=10; eta_p [0.65, 0.85] n=11; eps_hrvg [0.75, 0.85] n=12; eps_reg [0.75, 0.85] n=10; eps_cond [0.75, 0.85] n=11</t>
        </is>
      </c>
      <c r="F3" s="16" t="inlineStr">
        <is>
          <t>sí</t>
        </is>
      </c>
      <c r="G3" s="16" t="n"/>
      <c r="H3" s="16" t="n"/>
    </row>
    <row r="4">
      <c r="A4" s="16" t="inlineStr">
        <is>
          <t>2.2a</t>
        </is>
      </c>
      <c r="B4" s="16" t="inlineStr">
        <is>
          <t>B03-A</t>
        </is>
      </c>
      <c r="C4" s="16" t="inlineStr">
        <is>
          <t>KF-M02-N2-A</t>
        </is>
      </c>
      <c r="D4" s="16" t="n">
        <v>36</v>
      </c>
      <c r="E4" s="16" t="inlineStr">
        <is>
          <t>fijos: T_fuente=623.15; T_sumidero=300.033; P_alta=3000; x_b=0.5; m_b=1; eta_t=0.85; eta_p=0.75; eps_reg=0.75; eps_cond=0.8; motor=teqp | barridos: P_baja [400, 2000] n=12; eps_hrvg [0.75, 0.81] n=3</t>
        </is>
      </c>
      <c r="F4" s="16" t="inlineStr">
        <is>
          <t>sí</t>
        </is>
      </c>
      <c r="G4" s="16" t="n"/>
      <c r="H4" s="16" t="n"/>
    </row>
    <row r="5">
      <c r="A5" s="16" t="inlineStr">
        <is>
          <t>2.2b</t>
        </is>
      </c>
      <c r="B5" s="16" t="inlineStr">
        <is>
          <t>B03-B</t>
        </is>
      </c>
      <c r="C5" s="16" t="inlineStr">
        <is>
          <t>KF-M02-N2-B</t>
        </is>
      </c>
      <c r="D5" s="16" t="n">
        <v>144</v>
      </c>
      <c r="E5" s="16" t="inlineStr">
        <is>
          <t>fijos: T_sumidero=300.033; P_alta=3000; x_b=0.5; m_b=1; eta_t=0.85; eta_p=0.75; eps_hrvg=0.85; eps_reg=0.75; eps_cond=0.8; motor=teqp | barridos: T_fuente [380, 560] n=9; P_baja [400, 2000] n=32</t>
        </is>
      </c>
      <c r="F5" s="16" t="inlineStr">
        <is>
          <t>sí</t>
        </is>
      </c>
      <c r="G5" s="16" t="n"/>
      <c r="H5" s="16" t="n"/>
    </row>
    <row r="6">
      <c r="A6" s="16" t="inlineStr">
        <is>
          <t>2.3a</t>
        </is>
      </c>
      <c r="B6" s="16" t="inlineStr">
        <is>
          <t>B04-n1</t>
        </is>
      </c>
      <c r="C6" s="16" t="inlineStr">
        <is>
          <t>KF-M02R-n1</t>
        </is>
      </c>
      <c r="D6" s="16" t="n">
        <v>80</v>
      </c>
      <c r="E6" s="16" t="inlineStr">
        <is>
          <t>fijos: T_fuente=623.15; T_sumidero=300.033; P_alta=3000; P_baja=400; x_b=0.5; m_b=1; motor=teqp | barridos: eta_t [0.4, 0.95] n=12; eta_p [0.4, 0.95] n=12; eps_hrvg [0.4, 0.95] n=32; eps_reg [0.4, 0.95] n=12; eps_cond [0.4, 0.95] n=12</t>
        </is>
      </c>
      <c r="F6" s="16" t="inlineStr">
        <is>
          <t>sí</t>
        </is>
      </c>
      <c r="G6" s="16" t="n"/>
      <c r="H6" s="16" t="n"/>
    </row>
    <row r="7">
      <c r="A7" s="16" t="inlineStr">
        <is>
          <t>2.3b</t>
        </is>
      </c>
      <c r="B7" s="16" t="inlineStr">
        <is>
          <t>B04-n2a</t>
        </is>
      </c>
      <c r="C7" s="16" t="inlineStr">
        <is>
          <t>KF-M02R-n2a</t>
        </is>
      </c>
      <c r="D7" s="16" t="n">
        <v>60</v>
      </c>
      <c r="E7" s="16" t="inlineStr">
        <is>
          <t>fijos: T_fuente=623.15; T_sumidero=300.033; P_alta=3000; P_baja=400; x_b=0.5; m_b=1; eta_t=0.85; eta_p=0.75; eps_reg=0.75; motor=teqp | barridos: eps_hrvg [0.4, 0.8] n=5; eps_cond [0.4, 0.95] n=12</t>
        </is>
      </c>
      <c r="F7" s="16" t="inlineStr">
        <is>
          <t>sí</t>
        </is>
      </c>
      <c r="G7" s="16" t="n"/>
      <c r="H7" s="16" t="n"/>
    </row>
    <row r="8">
      <c r="A8" s="16" t="inlineStr">
        <is>
          <t>2.3c</t>
        </is>
      </c>
      <c r="B8" s="16" t="inlineStr">
        <is>
          <t>B04-n2b</t>
        </is>
      </c>
      <c r="C8" s="16" t="inlineStr">
        <is>
          <t>KF-M02R-n2b</t>
        </is>
      </c>
      <c r="D8" s="16" t="n">
        <v>64</v>
      </c>
      <c r="E8" s="16" t="inlineStr">
        <is>
          <t>fijos: T_fuente=623.15; T_sumidero=300.033; P_alta=3000; x_b=0.5; m_b=1; eta_t=0.85; eta_p=0.75; eps_reg=0.75; eps_cond=0.8; motor=teqp | barridos: P_baja [400, 2000] n=20; eps_hrvg [0.4, 0.7] n=4</t>
        </is>
      </c>
      <c r="F8" s="16" t="inlineStr">
        <is>
          <t>sí</t>
        </is>
      </c>
      <c r="G8" s="16" t="n"/>
      <c r="H8" s="16" t="n"/>
    </row>
    <row r="9">
      <c r="A9" s="16" t="inlineStr">
        <is>
          <t>2.3d</t>
        </is>
      </c>
      <c r="B9" s="16" t="inlineStr">
        <is>
          <t>B04-n3</t>
        </is>
      </c>
      <c r="C9" s="16" t="inlineStr">
        <is>
          <t>KF-M02R-n3</t>
        </is>
      </c>
      <c r="D9" s="16" t="n">
        <v>21</v>
      </c>
      <c r="E9" s="16" t="inlineStr">
        <is>
          <t>fijos: T_sumidero=300.033; P_alta=3000; P_baja=400; x_b=0.5; m_b=1; eta_t=0.85; eta_p=0.75; eps_hrvg=0.85; eps_reg=0.75; motor=teqp | barridos: T_fuente [403, 560] n=7; eps_cond [0.85, 0.95] n=3</t>
        </is>
      </c>
      <c r="F9" s="16" t="inlineStr">
        <is>
          <t>sí</t>
        </is>
      </c>
      <c r="G9" s="16" t="n"/>
      <c r="H9" s="16" t="n"/>
    </row>
    <row r="10">
      <c r="A10" s="16" t="inlineStr">
        <is>
          <t>2.4a</t>
        </is>
      </c>
      <c r="B10" s="16" t="inlineStr">
        <is>
          <t>B05-B1</t>
        </is>
      </c>
      <c r="C10" s="16" t="inlineStr">
        <is>
          <t>KF-M02S-B1</t>
        </is>
      </c>
      <c r="D10" s="16" t="n">
        <v>90</v>
      </c>
      <c r="E10" s="16" t="inlineStr">
        <is>
          <t>fijos: T_fuente=403; P_alta=3000; x_b=0.5; m_b=1; eta_t=0.85; eta_p=0.75; eps_hrvg=0.85; eps_reg=0.75; eps_cond=0.8; motor=teqp | barridos: T_sumidero [278.15, 300.033] n=5; P_baja [150, 1500] n=28; T_amb_diseno [278.15, 300.033] n=5</t>
        </is>
      </c>
      <c r="F10" s="16" t="inlineStr">
        <is>
          <t>sí</t>
        </is>
      </c>
      <c r="G10" s="16" t="n"/>
      <c r="H10" s="16" t="n"/>
    </row>
    <row r="11">
      <c r="A11" s="16" t="inlineStr">
        <is>
          <t>2.4b</t>
        </is>
      </c>
      <c r="B11" s="16" t="inlineStr">
        <is>
          <t>B05-B2</t>
        </is>
      </c>
      <c r="C11" s="16" t="inlineStr">
        <is>
          <t>KF-M02S-B2</t>
        </is>
      </c>
      <c r="D11" s="16" t="n">
        <v>90</v>
      </c>
      <c r="E11" s="16" t="inlineStr">
        <is>
          <t>fijos: T_fuente=420; P_alta=3000; x_b=0.5; m_b=1; eta_t=0.85; eta_p=0.75; eps_hrvg=0.85; eps_reg=0.75; eps_cond=0.8; motor=teqp | barridos: T_sumidero [278.15, 300.033] n=5; P_baja [150, 1500] n=28; T_amb_diseno [278.15, 300.033] n=5</t>
        </is>
      </c>
      <c r="F11" s="16" t="inlineStr">
        <is>
          <t>sí</t>
        </is>
      </c>
      <c r="G11" s="16" t="n"/>
      <c r="H11" s="16" t="n"/>
    </row>
    <row r="12">
      <c r="A12" s="16" t="inlineStr">
        <is>
          <t>2.4c</t>
        </is>
      </c>
      <c r="B12" s="16" t="inlineStr">
        <is>
          <t>B05-B3</t>
        </is>
      </c>
      <c r="C12" s="16" t="inlineStr">
        <is>
          <t>KF-M02S-B3</t>
        </is>
      </c>
      <c r="D12" s="16" t="n">
        <v>90</v>
      </c>
      <c r="E12" s="16" t="inlineStr">
        <is>
          <t>fijos: T_fuente=623.15; P_alta=3000; x_b=0.5; m_b=1; eta_t=0.85; eta_p=0.75; eps_hrvg=0.4; eps_reg=0.75; eps_cond=0.8; motor=teqp | barridos: T_sumidero [278.15, 300.033] n=5; P_baja [150, 1500] n=30; T_amb_diseno [278.15, 300.033] n=5</t>
        </is>
      </c>
      <c r="F12" s="16" t="inlineStr">
        <is>
          <t>sí</t>
        </is>
      </c>
      <c r="G12" s="16" t="n"/>
      <c r="H12" s="16" t="n"/>
    </row>
    <row r="13">
      <c r="A13" s="16" t="inlineStr">
        <is>
          <t>2.4d</t>
        </is>
      </c>
      <c r="B13" s="16" t="inlineStr">
        <is>
          <t>B05-B4</t>
        </is>
      </c>
      <c r="C13" s="16" t="inlineStr">
        <is>
          <t>KF-M02S-B4</t>
        </is>
      </c>
      <c r="D13" s="16" t="n">
        <v>50</v>
      </c>
      <c r="E13" s="16" t="inlineStr">
        <is>
          <t>fijos: T_fuente=623.15; P_alta=3000; x_b=0.5; m_b=1; eta_t=0.85; eta_p=0.75; eps_hrvg=0.85; eps_reg=0.75; eps_cond=0.8; motor=teqp | barridos: T_sumidero [278.15, 300.033] n=5; P_baja [150, 1500] n=10; T_amb_diseno [278.15, 300.033] n=5</t>
        </is>
      </c>
      <c r="F13" s="16" t="inlineStr">
        <is>
          <t>sí</t>
        </is>
      </c>
      <c r="G13" s="16" t="n"/>
      <c r="H13" s="16" t="n"/>
    </row>
    <row r="14">
      <c r="A14" s="16" t="inlineStr">
        <is>
          <t>3.1</t>
        </is>
      </c>
      <c r="B14" s="16" t="inlineStr">
        <is>
          <t>B06</t>
        </is>
      </c>
      <c r="C14" s="16" t="inlineStr">
        <is>
          <t>KF-M03</t>
        </is>
      </c>
      <c r="D14" s="16" t="n">
        <v>171</v>
      </c>
      <c r="E14" s="16" t="inlineStr">
        <is>
          <t>fijos: m_b=1; motor=teqp | barridos: T_fuente [340, 623.15] n=18; T_sumidero [283.15, 303.55] n=18; P_alta [1000, 10000] n=18; P_baja [150, 1500] n=18; x_b [0.3, 0.9] n=18; eta_t [0.4, 0.95] n=18; eta_p [0.4, 0.95] n=18; eps_hrvg [0.4, 0.95] n=18; eps_reg [0.4, 0.95] n=18; eps_cond [0.4, 0.95] n=18</t>
        </is>
      </c>
      <c r="F14" s="16" t="inlineStr">
        <is>
          <t>sí</t>
        </is>
      </c>
      <c r="G14" s="16" t="n"/>
      <c r="H14" s="16" t="n"/>
    </row>
    <row r="15">
      <c r="A15" s="16" t="inlineStr">
        <is>
          <t>3.2</t>
        </is>
      </c>
      <c r="B15" s="16" t="inlineStr">
        <is>
          <t>B07</t>
        </is>
      </c>
      <c r="C15" s="16" t="inlineStr">
        <is>
          <t>KF-M04; KF-M04b</t>
        </is>
      </c>
      <c r="D15" s="16" t="n">
        <v>500</v>
      </c>
      <c r="E15" s="16" t="inlineStr">
        <is>
          <t>fijos: m_b=1; motor=teqp | barridos: T_fuente [380.23, 499.941] n=300; T_sumidero [278.192, 303.54] n=300; P_alta [2005.4, 4991.23] n=300; P_baja [302.949, 1498] n=300; x_b [0.50017, 0.849984] n=300; eta_t [0.750411, 0.919501] n=300; eta_p [0.6504, 0.899194] n=300; eps_hrvg [0.600039, 0.949047] n=300; eps_reg [0.600973, 0.949965] n=300; eps_cond [0.700136, 0.949409] n=300; T_amb_diseno [278.192, 303.54] n=300</t>
        </is>
      </c>
      <c r="F15" s="16" t="inlineStr">
        <is>
          <t>sí</t>
        </is>
      </c>
      <c r="G15" s="16" t="n"/>
      <c r="H15" s="16" t="inlineStr">
        <is>
          <t>T_fuente: KF-M04=[380.23, 499.941] n=300; KF-M04b=[380.294, 499.533] n=200 || T_sumidero: KF-M04=[278.192, 303.54] n=300; KF-M04b=[278.183, 303.47] n=200 || P_alta: KF-M04=[2005.4, 4991.23] n=300; KF-M04b=[2009.95, 4986.56] n=200 || P_baja: KF-M04=[302.949, 1498] n=300; KF-M04b=[304.741, 1497.19] n=200 || x_b: KF-M04=[0.50017, 0.849984] n=300; KF-M04b=[0.500115, 0.848795] n=200 || eta_t: KF-M04=[0.750411, 0.919501] n=300; KF-M04b=[0.750358, 0.919688] n=200 || eta_p: KF-M04=[0.6504, 0.899194] n=300; KF-M04b=[0.65092, 0.898858] n=200 || eps_hrvg: KF-M04=[0.600039, 0.949047] n=300; KF-M04b=[0.600605, 0.948339] n=200 || eps_reg: KF-M04=[0.600973, 0.949965] n=300; KF-M04b=[0.601672, 0.949157] n=200 || eps_cond: KF-M04=[0.700136, 0.949409] n=300; KF-M04b=[0.700518, 0.949213] n=200 || T_amb_diseno: KF-M04=[278.192, 303.54] n=300; KF-M04b=[278.183, 303.47] n=200</t>
        </is>
      </c>
    </row>
    <row r="16">
      <c r="A16" s="16" t="inlineStr">
        <is>
          <t>3.3</t>
        </is>
      </c>
      <c r="B16" s="16" t="inlineStr">
        <is>
          <t>B08</t>
        </is>
      </c>
      <c r="C16" s="16" t="inlineStr">
        <is>
          <t>KF-M04c</t>
        </is>
      </c>
      <c r="D16" s="16" t="n">
        <v>150</v>
      </c>
      <c r="E16" s="16" t="inlineStr">
        <is>
          <t>fijos: m_b=1; motor=teqp | barridos: T_fuente [380.746, 499.827] n=150; T_sumidero [278.278, 303.41] n=150; P_alta [2015.69, 4995.76] n=150; P_baja [1501.26, 2494.53] n=150; x_b [0.502301, 0.849527] n=150; eta_t [0.751027, 0.919188] n=150; eta_p [0.651194, 0.89988] n=150; eps_hrvg [0.600893, 0.948455] n=150; eps_reg [0.600382, 0.947696] n=150; eps_cond [0.700042, 0.949665] n=150; T_amb_diseno [278.278, 303.41] n=135</t>
        </is>
      </c>
      <c r="F16" s="16" t="inlineStr">
        <is>
          <t>sí</t>
        </is>
      </c>
      <c r="G16" s="16" t="n"/>
      <c r="H16" s="16" t="n"/>
    </row>
    <row r="17">
      <c r="A17" s="16" t="inlineStr">
        <is>
          <t>4.1a</t>
        </is>
      </c>
      <c r="B17" s="16" t="inlineStr">
        <is>
          <t>B09-1</t>
        </is>
      </c>
      <c r="C17" s="16" t="inlineStr">
        <is>
          <t>KF-M05-1</t>
        </is>
      </c>
      <c r="D17" s="16" t="n">
        <v>120</v>
      </c>
      <c r="E17" s="16" t="inlineStr">
        <is>
          <t>fijos: T_fuente=623.15; T_sumidero=300.033; m_b=1; T_amb_diseno=300.033; motor=teqp | barridos: P_alta [2000.11, 4986.58] n=120; P_baja [202.14, 1989.72] n=120; x_b [0.501239, 0.84895] n=120; eta_t [0.400616, 0.947454] n=120; eta_p [0.404302, 0.94919] n=120; eps_hrvg [0.40441, 0.949187] n=120; eps_reg [0.40384, 0.947903] n=120; eps_cond [0.400868, 0.945788] n=120</t>
        </is>
      </c>
      <c r="F17" s="16" t="inlineStr">
        <is>
          <t>sí</t>
        </is>
      </c>
      <c r="G17" s="16" t="n"/>
      <c r="H17" s="16" t="n"/>
    </row>
    <row r="18">
      <c r="A18" s="16" t="inlineStr">
        <is>
          <t>4.1b</t>
        </is>
      </c>
      <c r="B18" s="16" t="inlineStr">
        <is>
          <t>B09-2</t>
        </is>
      </c>
      <c r="C18" s="16" t="inlineStr">
        <is>
          <t>KF-M05-2</t>
        </is>
      </c>
      <c r="D18" s="16" t="n">
        <v>120</v>
      </c>
      <c r="E18" s="16" t="inlineStr">
        <is>
          <t>fijos: P_alta=3000; P_baja=400; m_b=1; motor=teqp | barridos: T_fuente [381.609, 621.774] n=120; T_sumidero [278.262, 303.479] n=120; x_b [0.500843, 0.847315] n=120; eta_t [0.402676, 0.948584] n=120; eta_p [0.401033, 0.947097] n=120; eps_hrvg [0.402168, 0.947551] n=120; eps_reg [0.402278, 0.946602] n=120; eps_cond [0.402092, 0.947396] n=120; T_amb_diseno [278.262, 303.479] n=120</t>
        </is>
      </c>
      <c r="F18" s="16" t="inlineStr">
        <is>
          <t>sí</t>
        </is>
      </c>
      <c r="G18" s="16" t="n"/>
      <c r="H18" s="16" t="n"/>
    </row>
    <row r="19">
      <c r="A19" s="16" t="inlineStr">
        <is>
          <t>4.1c</t>
        </is>
      </c>
      <c r="B19" s="16" t="inlineStr">
        <is>
          <t>B09-3</t>
        </is>
      </c>
      <c r="C19" s="16" t="inlineStr">
        <is>
          <t>KF-M05-3</t>
        </is>
      </c>
      <c r="D19" s="16" t="n">
        <v>120</v>
      </c>
      <c r="E19" s="16" t="inlineStr">
        <is>
          <t>fijos: T_sumidero=300.033; P_alta=3000; P_baja=400; m_b=1; T_amb_diseno=300.033; motor=teqp | barridos: T_fuente [380.234, 622.401] n=120; x_b [0.500235, 0.849316] n=120; eta_t [0.40006, 0.947691] n=120; eta_p [0.403602, 0.945484] n=120; eps_hrvg [0.400156, 0.948884] n=120; eps_reg [0.402159, 0.948596] n=120; eps_cond [0.404237, 0.946851] n=120</t>
        </is>
      </c>
      <c r="F19" s="16" t="inlineStr">
        <is>
          <t>sí</t>
        </is>
      </c>
      <c r="G19" s="16" t="n"/>
      <c r="H19" s="16" t="n"/>
    </row>
    <row r="20">
      <c r="A20" s="16" t="inlineStr">
        <is>
          <t>4.1d</t>
        </is>
      </c>
      <c r="B20" s="16" t="inlineStr">
        <is>
          <t>B09-4</t>
        </is>
      </c>
      <c r="C20" s="16" t="inlineStr">
        <is>
          <t>KF-M05-4</t>
        </is>
      </c>
      <c r="D20" s="16" t="n">
        <v>120</v>
      </c>
      <c r="E20" s="16" t="inlineStr">
        <is>
          <t>fijos: T_fuente=623.15; T_sumidero=300.033; P_alta=3000; m_b=1; T_amb_diseno=300.033; motor=teqp | barridos: P_baja [211.417, 1985.57] n=120; x_b [0.502261, 0.847941] n=120; eta_t [0.403251, 0.945781] n=120; eta_p [0.400375, 0.946613] n=120; eps_hrvg [0.40425, 0.949578] n=120; eps_reg [0.400942, 0.946597] n=120; eps_cond [0.402166, 0.94675] n=120</t>
        </is>
      </c>
      <c r="F20" s="16" t="inlineStr">
        <is>
          <t>sí</t>
        </is>
      </c>
      <c r="G20" s="16" t="n"/>
      <c r="H20" s="16" t="n"/>
    </row>
    <row r="21">
      <c r="A21" s="16" t="inlineStr">
        <is>
          <t>4.1e</t>
        </is>
      </c>
      <c r="B21" s="16" t="inlineStr">
        <is>
          <t>B09-5</t>
        </is>
      </c>
      <c r="C21" s="16" t="inlineStr">
        <is>
          <t>KF-M05-5</t>
        </is>
      </c>
      <c r="D21" s="16" t="n">
        <v>120</v>
      </c>
      <c r="E21" s="16" t="inlineStr">
        <is>
          <t>fijos: T_fuente=623.15; x_b=0.5; m_b=1; motor=teqp | barridos: T_sumidero [278.281, 303.358] n=120; P_alta [2023, 4997.47] n=120; P_baja [206.126, 1999.26] n=120; eta_t [0.403299, 0.949946] n=120; eta_p [0.403485, 0.947603] n=120; eps_hrvg [0.404141, 0.948736] n=120; eps_reg [0.402646, 0.94725] n=120; eps_cond [0.401266, 0.948251] n=120; T_amb_diseno [278.281, 303.358] n=119</t>
        </is>
      </c>
      <c r="F21" s="16" t="inlineStr">
        <is>
          <t>sí</t>
        </is>
      </c>
      <c r="G21" s="16" t="n"/>
      <c r="H21" s="16" t="n"/>
    </row>
    <row r="22">
      <c r="A22" s="16" t="inlineStr">
        <is>
          <t>4.2</t>
        </is>
      </c>
      <c r="B22" s="16" t="inlineStr">
        <is>
          <t>B10</t>
        </is>
      </c>
      <c r="C22" s="16" t="inlineStr">
        <is>
          <t>KF-M05c</t>
        </is>
      </c>
      <c r="D22" s="16" t="n">
        <v>165</v>
      </c>
      <c r="E22" s="16" t="inlineStr">
        <is>
          <t>fijos: P_alta=3000; P_baja=400; x_b=0.5; m_b=1; eta_t=0.85; eta_p=0.75; eps_hrvg=0.85; eps_reg=0.75; motor=teqp | barridos: T_fuente [385, 410] n=11; T_sumidero [278.15, 300.033] n=3; eps_cond [0.85, 0.95] n=5; T_amb_diseno [278.15, 300.033] n=3</t>
        </is>
      </c>
      <c r="F22" s="16" t="inlineStr">
        <is>
          <t>sí</t>
        </is>
      </c>
      <c r="G22" s="16" t="n"/>
      <c r="H22" s="16" t="n"/>
    </row>
    <row r="23">
      <c r="A23" s="16" t="inlineStr">
        <is>
          <t>5.1a</t>
        </is>
      </c>
      <c r="B23" s="16" t="inlineStr">
        <is>
          <t>B11-A1</t>
        </is>
      </c>
      <c r="C23" s="16" t="inlineStr">
        <is>
          <t>KF-M07-A1</t>
        </is>
      </c>
      <c r="D23" s="16" t="n">
        <v>117</v>
      </c>
      <c r="E23" s="16" t="inlineStr">
        <is>
          <t>fijos: m_b=1; motor=teqp | barridos: T_fuente [424.097, 448.097] n=3; T_sumidero [278.15, 281.638] n=3; P_alta [3181.82, 4681.82] n=6; P_baja [588.34, 1028.34] n=3; x_b [0.599749, 0.704749] n=4; eta_t [0.863483, 0.95] n=4; eta_p [0.691081, 0.801081] n=3; eps_hrvg [0.622731, 0.732731] n=3; eps_reg [0.88653, 0.95] n=3; eps_cond [0.786826, 0.896826] n=3; T_amb_diseno [278.15, 281.638] n=3</t>
        </is>
      </c>
      <c r="F23" s="16" t="inlineStr">
        <is>
          <t>sí</t>
        </is>
      </c>
      <c r="G23" s="16" t="n"/>
      <c r="H23" s="16" t="n"/>
    </row>
    <row r="24">
      <c r="A24" s="16" t="inlineStr">
        <is>
          <t>5.1b</t>
        </is>
      </c>
      <c r="B24" s="16" t="inlineStr">
        <is>
          <t>B11-A2</t>
        </is>
      </c>
      <c r="C24" s="16" t="inlineStr">
        <is>
          <t>KF-M07-A2</t>
        </is>
      </c>
      <c r="D24" s="16" t="n">
        <v>105</v>
      </c>
      <c r="E24" s="16" t="inlineStr">
        <is>
          <t>fijos: m_b=1; motor=teqp | barridos: T_fuente [408, 432] n=3; T_sumidero [278.15, 280.69] n=2; P_alta [2700, 3300] n=3; P_baja [300, 613.75] n=3; x_b [0.5, 0.535] n=2; eta_t [0.795, 0.95] n=5; eta_p [0.695, 0.805] n=3; eps_hrvg [0.795, 0.905] n=3; eps_reg [0.695, 0.95] n=6; eps_cond [0.745, 0.855] n=3; T_amb_diseno [278.15, 280.69] n=2</t>
        </is>
      </c>
      <c r="F24" s="16" t="inlineStr">
        <is>
          <t>sí</t>
        </is>
      </c>
      <c r="G24" s="16" t="n"/>
      <c r="H24" s="16" t="n"/>
    </row>
    <row r="25">
      <c r="A25" s="16" t="inlineStr">
        <is>
          <t>5.1c</t>
        </is>
      </c>
      <c r="B25" s="16" t="inlineStr">
        <is>
          <t>B11-A3</t>
        </is>
      </c>
      <c r="C25" s="16" t="inlineStr">
        <is>
          <t>KF-M07-A3</t>
        </is>
      </c>
      <c r="D25" s="16" t="n">
        <v>112</v>
      </c>
      <c r="E25" s="16" t="inlineStr">
        <is>
          <t>fijos: T_fuente=623.15; T_sumidero=300.033; m_b=1; T_amb_diseno=300.033; motor=teqp | barridos: P_alta [3605.95, 5000] n=7; P_baja [1139.56, 1579.56] n=3; x_b [0.794478, 0.85] n=3; eta_t [0.781056, 0.95] n=5; eta_p [0.782534, 0.892534] n=3; eps_hrvg [0.441366, 0.551366] n=3; eps_reg [0.861678, 0.95] n=3; eps_cond [0.890788, 0.95] n=3</t>
        </is>
      </c>
      <c r="F25" s="16" t="inlineStr">
        <is>
          <t>sí</t>
        </is>
      </c>
      <c r="G25" s="16" t="n"/>
      <c r="H25" s="16" t="n"/>
    </row>
    <row r="26">
      <c r="A26" s="16" t="inlineStr">
        <is>
          <t>5.1d</t>
        </is>
      </c>
      <c r="B26" s="16" t="inlineStr">
        <is>
          <t>B11-A4</t>
        </is>
      </c>
      <c r="C26" s="16" t="inlineStr">
        <is>
          <t>KF-M07-A4</t>
        </is>
      </c>
      <c r="D26" s="16" t="n">
        <v>113</v>
      </c>
      <c r="E26" s="16" t="inlineStr">
        <is>
          <t>fijos: T_sumidero=300.033; P_alta=3000; P_baja=400; m_b=1; T_amb_diseno=300.033; motor=teqp | barridos: T_fuente [391, 427] n=4; x_b [0.5, 0.535] n=2; eta_t [0.795, 0.95] n=5; eta_p [0.695, 0.86] n=4; eps_hrvg [0.795, 0.95] n=4; eps_reg [0.695, 0.95] n=7; eps_cond [0.895, 0.95] n=2</t>
        </is>
      </c>
      <c r="F26" s="16" t="inlineStr">
        <is>
          <t>sí</t>
        </is>
      </c>
      <c r="G26" s="16" t="n"/>
      <c r="H26" s="16" t="n"/>
    </row>
    <row r="27">
      <c r="A27" s="16" t="inlineStr">
        <is>
          <t>5.1e</t>
        </is>
      </c>
      <c r="B27" s="16" t="inlineStr">
        <is>
          <t>B11-A5</t>
        </is>
      </c>
      <c r="C27" s="16" t="inlineStr">
        <is>
          <t>KF-M07-A5</t>
        </is>
      </c>
      <c r="D27" s="16" t="n">
        <v>113</v>
      </c>
      <c r="E27" s="16" t="inlineStr">
        <is>
          <t>fijos: T_fuente=623.15; x_b=0.5; m_b=1; motor=teqp | barridos: T_sumidero [300.041, 303.55] n=3; P_alta [4508.34, 5000] n=3; P_baja [802.274, 1462.27] n=4; eta_t [0.867492, 0.95] n=3; eta_p [0.521066, 0.631066] n=3; eps_hrvg [0.4, 0.517302] n=4; eps_reg [0.4, 0.685115] n=7; eps_cond [0.823416, 0.933416] n=3; T_amb_diseno [300.041, 303.55] n=3</t>
        </is>
      </c>
      <c r="F27" s="16" t="inlineStr">
        <is>
          <t>sí</t>
        </is>
      </c>
      <c r="G27" s="16" t="n"/>
      <c r="H27" s="16" t="n"/>
    </row>
    <row r="28">
      <c r="A28" s="16" t="inlineStr">
        <is>
          <t>6.1</t>
        </is>
      </c>
      <c r="B28" s="16" t="inlineStr">
        <is>
          <t>B12</t>
        </is>
      </c>
      <c r="C28" s="16" t="inlineStr">
        <is>
          <t>KF-M06-VER; KF-M06-PISO; KF-M06-SUB; KF-M09-REAL</t>
        </is>
      </c>
      <c r="D28" s="16" t="n">
        <v>170</v>
      </c>
      <c r="E28" s="16" t="inlineStr">
        <is>
          <t>fijos: m_b=1 | barridos: T_fuente [390, 623.15] n=8; T_sumidero [278.15, 302.581] n=5; P_alta [3000, 5000] n=6; P_baja [393.75, 2494.53] n=9; x_b [0.5, 0.85] n=5; eta_t [0.78075, 0.95] n=6; eta_p [0.576066, 0.871783] n=6; eps_hrvg [0.4, 0.95] n=7; eps_reg [0.685115, 0.95] n=6; eps_cond [0.8, 0.95] n=7; T_amb_diseno [278.15, 302.581] n=5; motor n=2</t>
        </is>
      </c>
      <c r="F28" s="16" t="inlineStr">
        <is>
          <t>no</t>
        </is>
      </c>
      <c r="G28" s="16" t="inlineStr">
        <is>
          <t>T_amb_diseno: KF-M06-VER=barrido [278.15, 302.581] n=5; KF-M06-PISO=fijo 303.55; KF-M06-SUB=sin_dato; KF-M09-REAL=barrido [283.15, 300.033] n=2 || motor: KF-M06-VER=barrido n=2; KF-M06-PISO=fijo teqp; KF-M06-SUB=sin_dato; KF-M09-REAL=fijo real</t>
        </is>
      </c>
      <c r="H28" s="16" t="inlineStr">
        <is>
          <t>P_baja: KF-M06-VER=[393.75, 2494.53] n=9; KF-M06-PISO=[393.75, 2494.53] n=9; KF-M06-SUB=[393.75, 2500] n=72; KF-M09-REAL=[400, 690] n=3</t>
        </is>
      </c>
    </row>
    <row r="29">
      <c r="A29" s="16" t="inlineStr">
        <is>
          <t>6.2e</t>
        </is>
      </c>
      <c r="B29" s="16" t="inlineStr">
        <is>
          <t>B13-HUS</t>
        </is>
      </c>
      <c r="C29" s="16" t="inlineStr">
        <is>
          <t>KF-M09-HUS</t>
        </is>
      </c>
      <c r="D29" s="16" t="n">
        <v>24</v>
      </c>
      <c r="E29" s="16" t="inlineStr">
        <is>
          <t>fijos: T_fuente=394.15; T_sumidero=278.15; P_alta=3300; x_b=0.82; m_b=1; eta_t=0.9; eta_p=0.8; eps_hrvg=0.85; eps_reg=0.75; eps_cond=0.95; motor=teqp | barridos: P_baja [500, 1000] n=12; T_amb_diseno [278.15, 283.15] n=2</t>
        </is>
      </c>
      <c r="F29" s="16" t="inlineStr">
        <is>
          <t>sí</t>
        </is>
      </c>
      <c r="G29" s="16" t="n"/>
      <c r="H29" s="16" t="n"/>
    </row>
    <row r="30">
      <c r="A30" s="16" t="inlineStr">
        <is>
          <t>4.3 P_alta</t>
        </is>
      </c>
      <c r="B30" s="16" t="inlineStr">
        <is>
          <t>B13-P_alta</t>
        </is>
      </c>
      <c r="C30" s="16" t="inlineStr">
        <is>
          <t>KF-M09-R0-P_alta</t>
        </is>
      </c>
      <c r="D30" s="16" t="n">
        <v>100</v>
      </c>
      <c r="E30" s="16" t="inlineStr">
        <is>
          <t>fijos: P_alta=3000; m_b=1; motor=teqp | barridos: T_fuente [380.828, 519.225] n=100; T_sumidero [278.18, 303.381] n=100; P_baja [302.713, 1996.13] n=100; x_b [0.500418, 0.847315] n=100; eta_t [0.400005, 0.94581] n=100; eta_p [0.400638, 0.945013] n=100; eps_hrvg [0.404197, 0.949495] n=100; eps_reg [0.400361, 0.947758] n=100; eps_cond [0.401597, 0.945166] n=100; T_amb_diseno [278.18, 303.381] n=100</t>
        </is>
      </c>
      <c r="F30" s="16" t="inlineStr">
        <is>
          <t>sí</t>
        </is>
      </c>
      <c r="G30" s="16" t="n"/>
      <c r="H30" s="16" t="n"/>
    </row>
    <row r="31">
      <c r="A31" s="16" t="inlineStr">
        <is>
          <t>4.3 P_baja</t>
        </is>
      </c>
      <c r="B31" s="16" t="inlineStr">
        <is>
          <t>B13-P_baja</t>
        </is>
      </c>
      <c r="C31" s="16" t="inlineStr">
        <is>
          <t>KF-M09-R0-P_baja</t>
        </is>
      </c>
      <c r="D31" s="16" t="n">
        <v>100</v>
      </c>
      <c r="E31" s="16" t="inlineStr">
        <is>
          <t>fijos: P_baja=400; m_b=1; motor=teqp | barridos: T_fuente [380.174, 519.32] n=100; T_sumidero [278.201, 303.38] n=100; P_alta [2021.51, 4978.35] n=100; x_b [0.501974, 0.84661] n=100; eta_t [0.405301, 0.946598] n=100; eta_p [0.404692, 0.949946] n=100; eps_hrvg [0.401138, 0.947534] n=100; eps_reg [0.401253, 0.945947] n=100; eps_cond [0.402164, 0.944624] n=100; T_amb_diseno [278.201, 303.38] n=100</t>
        </is>
      </c>
      <c r="F31" s="16" t="inlineStr">
        <is>
          <t>sí</t>
        </is>
      </c>
      <c r="G31" s="16" t="n"/>
      <c r="H31" s="16" t="n"/>
    </row>
    <row r="32">
      <c r="A32" s="16" t="inlineStr">
        <is>
          <t>4.3 T_fuente</t>
        </is>
      </c>
      <c r="B32" s="16" t="inlineStr">
        <is>
          <t>B13-T_fuente</t>
        </is>
      </c>
      <c r="C32" s="16" t="inlineStr">
        <is>
          <t>KF-M09-R0-T_fuente</t>
        </is>
      </c>
      <c r="D32" s="16" t="n">
        <v>100</v>
      </c>
      <c r="E32" s="16" t="inlineStr">
        <is>
          <t>fijos: T_fuente=623.15; m_b=1; motor=teqp | barridos: T_sumidero [278.344, 303.376] n=100; P_alta [2028.57, 4974.75] n=100; P_baja [310.761, 1986.56] n=100; x_b [0.503397, 0.849888] n=100; eta_t [0.402288, 0.949109] n=100; eta_p [0.400204, 0.94989] n=100; eps_hrvg [0.402751, 0.945231] n=100; eps_reg [0.400958, 0.948253] n=100; eps_cond [0.400592, 0.949047] n=100; T_amb_diseno [278.344, 303.376] n=100</t>
        </is>
      </c>
      <c r="F32" s="16" t="inlineStr">
        <is>
          <t>sí</t>
        </is>
      </c>
      <c r="G32" s="16" t="n"/>
      <c r="H32" s="16" t="n"/>
    </row>
    <row r="33">
      <c r="A33" s="16" t="inlineStr">
        <is>
          <t>4.3 T_sumidero</t>
        </is>
      </c>
      <c r="B33" s="16" t="inlineStr">
        <is>
          <t>B13-T_sumidero</t>
        </is>
      </c>
      <c r="C33" s="16" t="inlineStr">
        <is>
          <t>KF-M09-R0-T_sumidero</t>
        </is>
      </c>
      <c r="D33" s="16" t="n">
        <v>100</v>
      </c>
      <c r="E33" s="16" t="inlineStr">
        <is>
          <t>fijos: T_sumidero=300.033; m_b=1; T_amb_diseno=300.033; motor=teqp | barridos: T_fuente [380.151, 519.053] n=100; P_alta [2007.35, 4982.75] n=100; P_baja [306.34, 1990.7] n=100; x_b [0.50254, 0.847062] n=100; eta_t [0.405475, 0.945276] n=100; eta_p [0.400228, 0.944989] n=100; eps_hrvg [0.403663, 0.947828] n=100; eps_reg [0.402938, 0.948362] n=100; eps_cond [0.400499, 0.946093] n=100</t>
        </is>
      </c>
      <c r="F33" s="16" t="inlineStr">
        <is>
          <t>sí</t>
        </is>
      </c>
      <c r="G33" s="16" t="n"/>
      <c r="H33" s="16" t="n"/>
    </row>
    <row r="34">
      <c r="A34" s="16" t="inlineStr">
        <is>
          <t>4.3 eficiencias</t>
        </is>
      </c>
      <c r="B34" s="16" t="inlineStr">
        <is>
          <t>B13-eficiencias</t>
        </is>
      </c>
      <c r="C34" s="16" t="inlineStr">
        <is>
          <t>KF-M09-R0-eficiencias</t>
        </is>
      </c>
      <c r="D34" s="16" t="n">
        <v>100</v>
      </c>
      <c r="E34" s="16" t="inlineStr">
        <is>
          <t>fijos: m_b=1; eta_t=0.85; eta_p=0.75; eps_hrvg=0.85; eps_reg=0.75; eps_cond=0.8; motor=teqp | barridos: T_fuente [380.438, 519.56] n=100; T_sumidero [278.188, 303.528] n=100; P_alta [2000.1, 4999.52] n=100; P_baja [310.675, 1987] n=100; x_b [0.502398, 0.847662] n=100; T_amb_diseno [278.188, 303.528] n=99</t>
        </is>
      </c>
      <c r="F34" s="16" t="inlineStr">
        <is>
          <t>sí</t>
        </is>
      </c>
      <c r="G34" s="16" t="n"/>
      <c r="H34" s="16" t="n"/>
    </row>
    <row r="35">
      <c r="A35" s="16" t="inlineStr">
        <is>
          <t>4.3 x_b</t>
        </is>
      </c>
      <c r="B35" s="16" t="inlineStr">
        <is>
          <t>B13-x_b</t>
        </is>
      </c>
      <c r="C35" s="16" t="inlineStr">
        <is>
          <t>KF-M09-R0-x_b</t>
        </is>
      </c>
      <c r="D35" s="16" t="n">
        <v>100</v>
      </c>
      <c r="E35" s="16" t="inlineStr">
        <is>
          <t>fijos: x_b=0.5; m_b=1; motor=teqp | barridos: T_fuente [380.962, 519.59] n=100; T_sumidero [278.161, 303.421] n=100; P_alta [2022.35, 4977.25] n=100; P_baja [316.784, 1998.76] n=100; eta_t [0.401545, 0.949561] n=100; eta_p [0.401724, 0.945897] n=100; eps_hrvg [0.401599, 0.949613] n=100; eps_reg [0.402429, 0.944798] n=100; eps_cond [0.403976, 0.947693] n=100; T_amb_diseno [278.161, 303.421] n=99</t>
        </is>
      </c>
      <c r="F35" s="16" t="inlineStr">
        <is>
          <t>sí</t>
        </is>
      </c>
      <c r="G35" s="16" t="n"/>
      <c r="H35" s="16" t="n"/>
    </row>
    <row r="36">
      <c r="A36" s="16" t="inlineStr">
        <is>
          <t>4.3 x_b+P_alta</t>
        </is>
      </c>
      <c r="B36" s="16" t="inlineStr">
        <is>
          <t>B13-x_b+P_alta</t>
        </is>
      </c>
      <c r="C36" s="16" t="inlineStr">
        <is>
          <t>KF-M09-R1-x_b+P_alta</t>
        </is>
      </c>
      <c r="D36" s="16" t="n">
        <v>30</v>
      </c>
      <c r="E36" s="16" t="inlineStr">
        <is>
          <t>fijos: P_alta=3000; x_b=0.5; m_b=1; motor=teqp | barridos: T_fuente [382.6, 518.065] n=30; T_sumidero [278.393, 302.731] n=30; P_baja [342.086, 1989.51] n=30; eta_t [0.410945, 0.935766] n=30; eta_p [0.416423, 0.946515] n=30; eps_hrvg [0.403456, 0.945563] n=30; eps_reg [0.415539, 0.933999] n=30; eps_cond [0.414188, 0.945692] n=30; T_amb_diseno [278.393, 302.731] n=30</t>
        </is>
      </c>
      <c r="F36" s="16" t="inlineStr">
        <is>
          <t>sí</t>
        </is>
      </c>
      <c r="G36" s="16" t="n"/>
      <c r="H36" s="16" t="n"/>
    </row>
    <row r="37">
      <c r="A37" s="16" t="inlineStr">
        <is>
          <t>4.3 x_b+P_alta+P_baja</t>
        </is>
      </c>
      <c r="B37" s="16" t="inlineStr">
        <is>
          <t>B13-x_b+P_alta+P_baja</t>
        </is>
      </c>
      <c r="C37" s="16" t="inlineStr">
        <is>
          <t>KF-M09-R2-x_b+P_alta+P_baja</t>
        </is>
      </c>
      <c r="D37" s="16" t="n">
        <v>30</v>
      </c>
      <c r="E37" s="16" t="inlineStr">
        <is>
          <t>fijos: P_alta=3000; P_baja=400; x_b=0.5; m_b=1; motor=teqp | barridos: T_fuente [380.09, 515.817] n=30; T_sumidero [278.219, 303.196] n=30; eta_t [0.408142, 0.949959] n=30; eta_p [0.41112, 0.94217] n=30; eps_hrvg [0.411196, 0.936541] n=30; eps_reg [0.410692, 0.939779] n=30; eps_cond [0.413089, 0.948063] n=30; T_amb_diseno [278.219, 303.196] n=30</t>
        </is>
      </c>
      <c r="F37" s="16" t="inlineStr">
        <is>
          <t>sí</t>
        </is>
      </c>
      <c r="G37" s="16" t="n"/>
      <c r="H37" s="16" t="n"/>
    </row>
    <row r="38">
      <c r="A38" s="16" t="inlineStr">
        <is>
          <t>4.3 x_b+P_alta+T_fuente</t>
        </is>
      </c>
      <c r="B38" s="16" t="inlineStr">
        <is>
          <t>B13-x_b+P_alta+T_fuente</t>
        </is>
      </c>
      <c r="C38" s="16" t="inlineStr">
        <is>
          <t>KF-M09-R2-x_b+P_alta+T_fuente</t>
        </is>
      </c>
      <c r="D38" s="16" t="n">
        <v>30</v>
      </c>
      <c r="E38" s="16" t="inlineStr">
        <is>
          <t>fijos: T_fuente=623.15; P_alta=3000; x_b=0.5; m_b=1; motor=teqp | barridos: T_sumidero [278.604, 303.079] n=30; P_baja [311.166, 1974.73] n=30; eta_t [0.405029, 0.943342] n=30; eta_p [0.407698, 0.93892] n=30; eps_hrvg [0.40971, 0.933939] n=30; eps_reg [0.409906, 0.946414] n=30; eps_cond [0.410205, 0.946098] n=30; T_amb_diseno [278.604, 303.079] n=30</t>
        </is>
      </c>
      <c r="F38" s="16" t="inlineStr">
        <is>
          <t>sí</t>
        </is>
      </c>
      <c r="G38" s="16" t="n"/>
      <c r="H38" s="16" t="n"/>
    </row>
    <row r="39">
      <c r="A39" s="16" t="inlineStr">
        <is>
          <t>4.3 x_b+P_alta+T_sumidero</t>
        </is>
      </c>
      <c r="B39" s="16" t="inlineStr">
        <is>
          <t>B13-x_b+P_alta+T_sumidero</t>
        </is>
      </c>
      <c r="C39" s="16" t="inlineStr">
        <is>
          <t>KF-M09-R2-x_b+P_alta+T_sumidero</t>
        </is>
      </c>
      <c r="D39" s="16" t="n">
        <v>30</v>
      </c>
      <c r="E39" s="16" t="inlineStr">
        <is>
          <t>fijos: T_sumidero=300.033; P_alta=3000; x_b=0.5; m_b=1; T_amb_diseno=300.033; motor=teqp | barridos: T_fuente [383.95, 517.819] n=30; P_baja [338.076, 1944.95] n=30; eta_t [0.407797, 0.93532] n=30; eta_p [0.415917, 0.941828] n=30; eps_hrvg [0.408675, 0.948227] n=30; eps_reg [0.407654, 0.936582] n=30; eps_cond [0.415951, 0.937789] n=30</t>
        </is>
      </c>
      <c r="F39" s="16" t="inlineStr">
        <is>
          <t>sí</t>
        </is>
      </c>
      <c r="G39" s="16" t="n"/>
      <c r="H39" s="16" t="n"/>
    </row>
    <row r="40">
      <c r="A40" s="16" t="inlineStr">
        <is>
          <t>4.3 x_b+P_alta+eficiencias</t>
        </is>
      </c>
      <c r="B40" s="16" t="inlineStr">
        <is>
          <t>B13-x_b+P_alta+eficiencias</t>
        </is>
      </c>
      <c r="C40" s="16" t="inlineStr">
        <is>
          <t>KF-M09-R2-x_b+P_alta+eficiencias</t>
        </is>
      </c>
      <c r="D40" s="16" t="n">
        <v>30</v>
      </c>
      <c r="E40" s="16" t="inlineStr">
        <is>
          <t>fijos: P_alta=3000; x_b=0.5; m_b=1; eta_t=0.85; eta_p=0.75; eps_hrvg=0.85; eps_reg=0.75; eps_cond=0.8; motor=teqp | barridos: T_fuente [381.654, 516.651] n=30; T_sumidero [278.406, 303.235] n=30; P_baja [306.726, 1963.08] n=30; T_amb_diseno [278.406, 303.235] n=30</t>
        </is>
      </c>
      <c r="F40" s="16" t="inlineStr">
        <is>
          <t>sí</t>
        </is>
      </c>
      <c r="G40" s="16" t="n"/>
      <c r="H40" s="16" t="n"/>
    </row>
    <row r="41">
      <c r="A41" s="16" t="inlineStr">
        <is>
          <t>4.3 x_b+P_alta+eficiencias+P_baja</t>
        </is>
      </c>
      <c r="B41" s="16" t="inlineStr">
        <is>
          <t>B13-x_b+P_alta+eficiencias+P_baja</t>
        </is>
      </c>
      <c r="C41" s="16" t="inlineStr">
        <is>
          <t>KF-M09-R3-x_b+P_alta+eficiencias+P_baja</t>
        </is>
      </c>
      <c r="D41" s="16" t="n">
        <v>30</v>
      </c>
      <c r="E41" s="16" t="inlineStr">
        <is>
          <t>fijos: P_alta=3000; P_baja=400; x_b=0.5; m_b=1; eta_t=0.85; eta_p=0.75; eps_hrvg=0.85; eps_reg=0.75; eps_cond=0.8; motor=teqp | barridos: T_fuente [384.24, 519.842] n=30; T_sumidero [278.206, 303.384] n=30; T_amb_diseno [278.206, 303.384] n=30</t>
        </is>
      </c>
      <c r="F41" s="16" t="inlineStr">
        <is>
          <t>sí</t>
        </is>
      </c>
      <c r="G41" s="16" t="n"/>
      <c r="H41" s="16" t="n"/>
    </row>
    <row r="42">
      <c r="A42" s="16" t="inlineStr">
        <is>
          <t>4.3 x_b+P_alta+eficiencias+T_fuente</t>
        </is>
      </c>
      <c r="B42" s="16" t="inlineStr">
        <is>
          <t>B13-x_b+P_alta+eficiencias+T_fuente</t>
        </is>
      </c>
      <c r="C42" s="16" t="inlineStr">
        <is>
          <t>KF-M09-R3-x_b+P_alta+eficiencias+T_fuente</t>
        </is>
      </c>
      <c r="D42" s="16" t="n">
        <v>30</v>
      </c>
      <c r="E42" s="16" t="inlineStr">
        <is>
          <t>fijos: T_fuente=623.15; P_alta=3000; x_b=0.5; m_b=1; eta_t=0.85; eta_p=0.75; eps_hrvg=0.85; eps_reg=0.75; eps_cond=0.8; motor=teqp | barridos: T_sumidero [278.669, 303.443] n=30; P_baja [317.027, 1948.29] n=30; T_amb_diseno [278.669, 303.443] n=30</t>
        </is>
      </c>
      <c r="F42" s="16" t="inlineStr">
        <is>
          <t>sí</t>
        </is>
      </c>
      <c r="G42" s="16" t="n"/>
      <c r="H42" s="16" t="n"/>
    </row>
    <row r="43">
      <c r="A43" s="16" t="inlineStr">
        <is>
          <t>4.3 x_b+P_alta+eficiencias+T_sumidero</t>
        </is>
      </c>
      <c r="B43" s="16" t="inlineStr">
        <is>
          <t>B13-x_b+P_alta+eficiencias+T_sumidero</t>
        </is>
      </c>
      <c r="C43" s="16" t="inlineStr">
        <is>
          <t>KF-M09-R3-x_b+P_alta+eficiencias+T_sumidero</t>
        </is>
      </c>
      <c r="D43" s="16" t="n">
        <v>30</v>
      </c>
      <c r="E43" s="16" t="inlineStr">
        <is>
          <t>fijos: T_sumidero=300.033; P_alta=3000; x_b=0.5; m_b=1; eta_t=0.85; eta_p=0.75; eps_hrvg=0.85; eps_reg=0.75; eps_cond=0.8; T_amb_diseno=300.033; motor=teqp | barridos: T_fuente [381.62, 516.043] n=30; P_baja [333.586, 1956.25] n=30</t>
        </is>
      </c>
      <c r="F43" s="16" t="inlineStr">
        <is>
          <t>sí</t>
        </is>
      </c>
      <c r="G43" s="16" t="n"/>
      <c r="H43" s="16" t="n"/>
    </row>
    <row r="44">
      <c r="A44" s="16" t="inlineStr">
        <is>
          <t>4.3 x_b+P_baja</t>
        </is>
      </c>
      <c r="B44" s="16" t="inlineStr">
        <is>
          <t>B13-x_b+P_baja</t>
        </is>
      </c>
      <c r="C44" s="16" t="inlineStr">
        <is>
          <t>KF-M09-R1-x_b+P_baja</t>
        </is>
      </c>
      <c r="D44" s="16" t="n">
        <v>30</v>
      </c>
      <c r="E44" s="16" t="inlineStr">
        <is>
          <t>fijos: P_baja=400; x_b=0.5; m_b=1; motor=teqp | barridos: T_fuente [383.998, 516.488] n=30; T_sumidero [278.739, 303.442] n=30; P_alta [2074.92, 4986.77] n=30; eta_t [0.40304, 0.948479] n=30; eta_p [0.417836, 0.947774] n=30; eps_hrvg [0.404429, 0.942632] n=30; eps_reg [0.404476, 0.940524] n=30; eps_cond [0.417173, 0.942729] n=30; T_amb_diseno [278.739, 303.442] n=30</t>
        </is>
      </c>
      <c r="F44" s="16" t="inlineStr">
        <is>
          <t>sí</t>
        </is>
      </c>
      <c r="G44" s="16" t="n"/>
      <c r="H44" s="16" t="n"/>
    </row>
    <row r="45">
      <c r="A45" s="16" t="inlineStr">
        <is>
          <t>4.3 x_b+T_fuente</t>
        </is>
      </c>
      <c r="B45" s="16" t="inlineStr">
        <is>
          <t>B13-x_b+T_fuente</t>
        </is>
      </c>
      <c r="C45" s="16" t="inlineStr">
        <is>
          <t>KF-M09-R1-x_b+T_fuente</t>
        </is>
      </c>
      <c r="D45" s="16" t="n">
        <v>30</v>
      </c>
      <c r="E45" s="16" t="inlineStr">
        <is>
          <t>fijos: T_fuente=623.15; x_b=0.5; m_b=1; motor=teqp | barridos: T_sumidero [278.848, 302.949] n=30; P_alta [2053.48, 4944.13] n=30; P_baja [340.403, 1956.57] n=30; eta_t [0.40522, 0.947004] n=30; eta_p [0.41022, 0.939823] n=30; eps_hrvg [0.413797, 0.935431] n=30; eps_reg [0.400784, 0.939213] n=30; eps_cond [0.405791, 0.944173] n=30; T_amb_diseno [278.848, 302.949] n=29</t>
        </is>
      </c>
      <c r="F45" s="16" t="inlineStr">
        <is>
          <t>sí</t>
        </is>
      </c>
      <c r="G45" s="16" t="n"/>
      <c r="H45" s="16" t="n"/>
    </row>
    <row r="46">
      <c r="A46" s="16" t="inlineStr">
        <is>
          <t>4.3 x_b+T_sumidero</t>
        </is>
      </c>
      <c r="B46" s="16" t="inlineStr">
        <is>
          <t>B13-x_b+T_sumidero</t>
        </is>
      </c>
      <c r="C46" s="16" t="inlineStr">
        <is>
          <t>KF-M09-R1-x_b+T_sumidero</t>
        </is>
      </c>
      <c r="D46" s="16" t="n">
        <v>30</v>
      </c>
      <c r="E46" s="16" t="inlineStr">
        <is>
          <t>fijos: T_sumidero=300.033; x_b=0.5; m_b=1; T_amb_diseno=300.033; motor=teqp | barridos: T_fuente [383.808, 519.796] n=30; P_alta [2083.43, 4923.78] n=30; P_baja [312.409, 1972.61] n=30; eta_t [0.401911, 0.933327] n=30; eta_p [0.413781, 0.941285] n=30; eps_hrvg [0.417369, 0.949934] n=30; eps_reg [0.412106, 0.93198] n=30; eps_cond [0.414827, 0.935609] n=30</t>
        </is>
      </c>
      <c r="F46" s="16" t="inlineStr">
        <is>
          <t>sí</t>
        </is>
      </c>
      <c r="G46" s="16" t="n"/>
      <c r="H46" s="16" t="n"/>
    </row>
    <row r="47">
      <c r="A47" s="16" t="inlineStr">
        <is>
          <t>4.3 x_b+eficiencias</t>
        </is>
      </c>
      <c r="B47" s="16" t="inlineStr">
        <is>
          <t>B13-x_b+eficiencias</t>
        </is>
      </c>
      <c r="C47" s="16" t="inlineStr">
        <is>
          <t>KF-M09-R1-x_b+eficiencias</t>
        </is>
      </c>
      <c r="D47" s="16" t="n">
        <v>30</v>
      </c>
      <c r="E47" s="16" t="inlineStr">
        <is>
          <t>fijos: x_b=0.5; m_b=1; eta_t=0.85; eta_p=0.75; eps_hrvg=0.85; eps_reg=0.75; eps_cond=0.8; motor=teqp | barridos: T_fuente [384.037, 517.014] n=30; T_sumidero [278.55, 303.53] n=30; P_alta [2057.91, 4961.27] n=30; P_baja [330.145, 1943.5] n=30; T_amb_diseno [278.55, 303.53] n=30</t>
        </is>
      </c>
      <c r="F47" s="16" t="inlineStr">
        <is>
          <t>sí</t>
        </is>
      </c>
      <c r="G47" s="16" t="n"/>
      <c r="H47" s="16" t="n"/>
    </row>
    <row r="48">
      <c r="A48" s="16" t="inlineStr">
        <is>
          <t>6.2a</t>
        </is>
      </c>
      <c r="B48" s="16" t="inlineStr">
        <is>
          <t>B14-F3</t>
        </is>
      </c>
      <c r="C48" s="16" t="inlineStr">
        <is>
          <t>KF-M10-F3</t>
        </is>
      </c>
      <c r="D48" s="16" t="n">
        <v>97</v>
      </c>
      <c r="E48" s="16" t="inlineStr">
        <is>
          <t>fijos: T_fuente=394.15; T_sumidero=278.15; m_b=1; eta_p=0.8; eps_hrvg=0.85; motor=teqp | barridos: P_alta [3300, 3500] n=3; P_baja [670, 1500] n=40; x_b [0.78, 0.833333] n=6; eta_t [0.85, 0.98] n=8; eps_reg [0.75, 0.95] n=12; eps_cond [0.95, 0.99] n=5; T_amb_diseno [283.15, 303.55] n=2</t>
        </is>
      </c>
      <c r="F48" s="16" t="inlineStr">
        <is>
          <t>sí</t>
        </is>
      </c>
      <c r="G48" s="16" t="n"/>
      <c r="H48" s="16" t="n"/>
    </row>
    <row r="49">
      <c r="A49" s="16" t="inlineStr">
        <is>
          <t>6.2c</t>
        </is>
      </c>
      <c r="B49" s="16" t="inlineStr">
        <is>
          <t>B14-MALLA</t>
        </is>
      </c>
      <c r="C49" s="16" t="inlineStr">
        <is>
          <t>KF-M10-MALLA; KF-M10b-MALLA</t>
        </is>
      </c>
      <c r="D49" s="16" t="n">
        <v>118</v>
      </c>
      <c r="E49" s="16" t="inlineStr">
        <is>
          <t>fijos: T_fuente=394.15; T_sumidero=278.15; P_alta=3300; m_b=1; eta_t=0.9; eta_p=0.8; eps_hrvg=0.85; eps_reg=0.75; eps_cond=0.95; T_amb_diseno=283.15; motor=teqp | barridos: P_baja [500, 1200] n=8; x_b [0.7, 0.91] n=8</t>
        </is>
      </c>
      <c r="F49" s="16" t="inlineStr">
        <is>
          <t>sí</t>
        </is>
      </c>
      <c r="G49" s="16" t="n"/>
      <c r="H49" s="16" t="inlineStr">
        <is>
          <t>P_baja: KF-M10-MALLA=[500, 1200] n=8; KF-M10b-MALLA=[200, 700] n=6 || x_b: KF-M10-MALLA=[0.7, 0.91] n=8; KF-M10b-MALLA=[0.3, 0.7] n=9</t>
        </is>
      </c>
    </row>
    <row r="50">
      <c r="A50" s="16" t="inlineStr">
        <is>
          <t>6.2b</t>
        </is>
      </c>
      <c r="B50" s="16" t="inlineStr">
        <is>
          <t>B14-OFAT</t>
        </is>
      </c>
      <c r="C50" s="16" t="inlineStr">
        <is>
          <t>KF-M10-OFAT</t>
        </is>
      </c>
      <c r="D50" s="16" t="n">
        <v>150</v>
      </c>
      <c r="E50" s="16" t="inlineStr">
        <is>
          <t>fijos: m_b=1; T_amb_diseno=283.15; motor=teqp | barridos: T_fuente [380, 430] n=16; T_sumidero [273.15, 293.15] n=16; P_alta [2500, 4000] n=16; P_baja [500, 1200] n=16; x_b [0.6, 0.95] n=16; eta_t [0.75, 0.95] n=16; eta_p [0.6, 0.9] n=16; eps_hrvg [0.6, 0.95] n=15; eps_reg [0.4, 0.95] n=16; eps_cond [0.7, 0.95] n=15</t>
        </is>
      </c>
      <c r="F50" s="16" t="inlineStr">
        <is>
          <t>sí</t>
        </is>
      </c>
      <c r="G50" s="16" t="n"/>
      <c r="H50" s="16" t="n"/>
    </row>
    <row r="51">
      <c r="A51" s="16" t="inlineStr">
        <is>
          <t>6.2d</t>
        </is>
      </c>
      <c r="B51" s="16" t="inlineStr">
        <is>
          <t>B14-OFATb</t>
        </is>
      </c>
      <c r="C51" s="16" t="inlineStr">
        <is>
          <t>KF-M10b-OFAT</t>
        </is>
      </c>
      <c r="D51" s="16" t="n">
        <v>17</v>
      </c>
      <c r="E51" s="16" t="inlineStr">
        <is>
          <t>fijos: T_fuente=394.15; T_sumidero=278.15; P_alta=3300; P_baja=690; m_b=1; eta_t=0.9; eta_p=0.8; eps_hrvg=0.85; eps_reg=0.75; eps_cond=0.95; T_amb_diseno=283.15; motor=teqp | barridos: x_b [0.3, 0.7] n=17</t>
        </is>
      </c>
      <c r="F51" s="16" t="inlineStr">
        <is>
          <t>sí</t>
        </is>
      </c>
      <c r="G51" s="16" t="n"/>
      <c r="H51" s="16" t="n"/>
    </row>
    <row r="52">
      <c r="A52" s="16" t="inlineStr">
        <is>
          <t>A.1</t>
        </is>
      </c>
      <c r="B52" s="16" t="inlineStr">
        <is>
          <t>BX</t>
        </is>
      </c>
      <c r="C52" s="16" t="inlineStr">
        <is>
          <t>KF-M08</t>
        </is>
      </c>
      <c r="D52" s="16" t="n">
        <v>160</v>
      </c>
      <c r="E52" s="16" t="inlineStr">
        <is>
          <t>fijos: m_b=1; motor=teqp | barridos: T_fuente [403, 436.097] n=2; T_sumidero [279.098, 300.033] n=2; P_alta [3000, 4381.82] n=2; P_baja [563.636, 808.34] n=2; x_b [0.5, 0.704749] n=2; eta_t [0.2, 0.99] n=16; eta_p [0.2, 0.99] n=18; eps_hrvg [0.2, 0.99] n=17; eps_reg [0.2, 0.99] n=18; eps_cond [0.2, 0.99] n=17; T_amb_diseno [279.098, 300.033] n=2</t>
        </is>
      </c>
      <c r="F52" s="16" t="inlineStr">
        <is>
          <t>sí</t>
        </is>
      </c>
      <c r="G52" s="16" t="n"/>
      <c r="H52" s="16" t="n"/>
    </row>
  </sheetData>
  <autoFilter ref="A1:H52"/>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Y33"/>
  <sheetViews>
    <sheetView workbookViewId="0">
      <selection activeCell="A1" sqref="A1"/>
    </sheetView>
  </sheetViews>
  <sheetFormatPr baseColWidth="8" defaultRowHeight="15"/>
  <sheetData>
    <row r="1">
      <c r="A1" t="inlineStr">
        <is>
          <t>clave</t>
        </is>
      </c>
      <c r="B1" t="inlineStr">
        <is>
          <t>1.1 · Repetir el caso del profesor</t>
        </is>
      </c>
      <c r="C1" t="inlineStr">
        <is>
          <t>2.1 · Un solo cambio</t>
        </is>
      </c>
      <c r="D1" t="inlineStr">
        <is>
          <t>2.2a · conservar la fuente (ε_HRVG × P_baja)</t>
        </is>
      </c>
      <c r="E1" t="inlineStr">
        <is>
          <t>2.2b · bajar la fuente (T_fuente × P_baja)</t>
        </is>
      </c>
      <c r="F1" t="inlineStr">
        <is>
          <t>2.3a · un cambio</t>
        </is>
      </c>
      <c r="G1" t="inlineStr">
        <is>
          <t>2.3b · ε_HRVG × ε_cond</t>
        </is>
      </c>
      <c r="H1" t="inlineStr">
        <is>
          <t>2.3c · ε_HRVG × P_baja</t>
        </is>
      </c>
      <c r="I1" t="inlineStr">
        <is>
          <t>2.3d · T_fuente × ε_cond</t>
        </is>
      </c>
      <c r="J1" t="inlineStr">
        <is>
          <t>2.4a · fuente a 403 K</t>
        </is>
      </c>
      <c r="K1" t="inlineStr">
        <is>
          <t>2.4b · fuente a 420 K</t>
        </is>
      </c>
      <c r="L1" t="inlineStr">
        <is>
          <t>2.4c · ε_HRVG = 0.40 (fuente del profesor)</t>
        </is>
      </c>
      <c r="M1" t="inlineStr">
        <is>
          <t>2.4d · datos exactos del profesor</t>
        </is>
      </c>
      <c r="N1" t="inlineStr">
        <is>
          <t>3.1 · Sensibilidad local alrededor de A*</t>
        </is>
      </c>
      <c r="O1" t="inlineStr">
        <is>
          <t>3.2 · Sensibilidad global (500 puntos)</t>
        </is>
      </c>
      <c r="P1" t="inlineStr">
        <is>
          <t>3.3 · P_baja alta (1500–2500 kPa)</t>
        </is>
      </c>
      <c r="Q1" t="inlineStr">
        <is>
          <t>4.1a · conserva sus temperaturas</t>
        </is>
      </c>
      <c r="R1" t="inlineStr">
        <is>
          <t>4.1b · conserva sus presiones</t>
        </is>
      </c>
      <c r="S1" t="inlineStr">
        <is>
          <t>4.1c · conserva sus presiones y su clima</t>
        </is>
      </c>
      <c r="T1" t="inlineStr">
        <is>
          <t>4.1d · conserva su P_alta y sus temperaturas</t>
        </is>
      </c>
      <c r="U1" t="inlineStr">
        <is>
          <t>4.1e · conserva su fuente y su x_b</t>
        </is>
      </c>
      <c r="V1" t="inlineStr">
        <is>
          <t>4.2 · Mapa con las presiones del profesor</t>
        </is>
      </c>
      <c r="W1" t="inlineStr">
        <is>
          <t>5.1a · libre, desde el mejor de 3.2</t>
        </is>
      </c>
      <c r="X1" t="inlineStr">
        <is>
          <t>5.1b · libre, desde el mejor de 2.4</t>
        </is>
      </c>
      <c r="Y1" t="inlineStr">
        <is>
          <t>5.1c · conserva sus temperaturas</t>
        </is>
      </c>
      <c r="Z1" t="inlineStr">
        <is>
          <t>5.1d · conserva sus presiones y su clima</t>
        </is>
      </c>
      <c r="AA1" t="inlineStr">
        <is>
          <t>5.1e · conserva su fuente y su x_b</t>
        </is>
      </c>
      <c r="AB1" t="inlineStr">
        <is>
          <t>6.1 · Verificación con el motor de referencia</t>
        </is>
      </c>
      <c r="AC1" t="inlineStr">
        <is>
          <t>4.3 T_fuente · escalera de conservación</t>
        </is>
      </c>
      <c r="AD1" t="inlineStr">
        <is>
          <t>4.3 eficiencias · escalera de conservación</t>
        </is>
      </c>
      <c r="AE1" t="inlineStr">
        <is>
          <t>4.3 P_alta · escalera de conservación</t>
        </is>
      </c>
      <c r="AF1" t="inlineStr">
        <is>
          <t>4.3 P_baja · escalera de conservación</t>
        </is>
      </c>
      <c r="AG1" t="inlineStr">
        <is>
          <t>4.3 T_sumidero · escalera de conservación</t>
        </is>
      </c>
      <c r="AH1" t="inlineStr">
        <is>
          <t>4.3 x_b · escalera de conservación</t>
        </is>
      </c>
      <c r="AI1" t="inlineStr">
        <is>
          <t>4.3 x_b+T_fuente · escalera de conservación</t>
        </is>
      </c>
      <c r="AJ1" t="inlineStr">
        <is>
          <t>4.3 x_b+eficiencias · escalera de conservación</t>
        </is>
      </c>
      <c r="AK1" t="inlineStr">
        <is>
          <t>4.3 x_b+P_alta · escalera de conservación</t>
        </is>
      </c>
      <c r="AL1" t="inlineStr">
        <is>
          <t>4.3 x_b+P_baja · escalera de conservación</t>
        </is>
      </c>
      <c r="AM1" t="inlineStr">
        <is>
          <t>4.3 x_b+T_sumidero · escalera de conservación</t>
        </is>
      </c>
      <c r="AN1" t="inlineStr">
        <is>
          <t>4.3 x_b+P_alta+T_fuente · escalera de conservación</t>
        </is>
      </c>
      <c r="AO1" t="inlineStr">
        <is>
          <t>4.3 x_b+P_alta+eficiencias · escalera de conservación</t>
        </is>
      </c>
      <c r="AP1" t="inlineStr">
        <is>
          <t>4.3 x_b+P_alta+P_baja · escalera de conservación</t>
        </is>
      </c>
      <c r="AQ1" t="inlineStr">
        <is>
          <t>4.3 x_b+P_alta+T_sumidero · escalera de conservación</t>
        </is>
      </c>
      <c r="AR1" t="inlineStr">
        <is>
          <t>4.3 x_b+P_alta+eficiencias+T_fuente · escalera de conservación</t>
        </is>
      </c>
      <c r="AS1" t="inlineStr">
        <is>
          <t>4.3 x_b+P_alta+eficiencias+P_baja · escalera de conservación</t>
        </is>
      </c>
      <c r="AT1" t="inlineStr">
        <is>
          <t>4.3 x_b+P_alta+eficiencias+T_sumidero · escalera de conservación</t>
        </is>
      </c>
      <c r="AU1" t="inlineStr">
        <is>
          <t>6.2e · P_baja mínima con su piso de diseño</t>
        </is>
      </c>
      <c r="AV1" t="inlineStr">
        <is>
          <t>6.2a · Fase 3 de septiembre</t>
        </is>
      </c>
      <c r="AW1" t="inlineStr">
        <is>
          <t>6.2b · una variable a la vez</t>
        </is>
      </c>
      <c r="AX1" t="inlineStr">
        <is>
          <t>6.2c · malla x_b × P_baja (x_b 0.70–0.91)</t>
        </is>
      </c>
      <c r="AY1" t="inlineStr">
        <is>
          <t>6.2d · x_b bajo (0.30–0.70)</t>
        </is>
      </c>
    </row>
    <row r="2">
      <c r="A2" t="inlineStr">
        <is>
          <t>corridas</t>
        </is>
      </c>
      <c r="B2" t="n">
        <v>42</v>
      </c>
      <c r="C2" t="n">
        <v>132</v>
      </c>
      <c r="D2" t="n">
        <v>36</v>
      </c>
      <c r="E2" t="n">
        <v>144</v>
      </c>
      <c r="F2" t="n">
        <v>80</v>
      </c>
      <c r="G2" t="n">
        <v>60</v>
      </c>
      <c r="H2" t="n">
        <v>64</v>
      </c>
      <c r="I2" t="n">
        <v>21</v>
      </c>
      <c r="J2" t="n">
        <v>90</v>
      </c>
      <c r="K2" t="n">
        <v>90</v>
      </c>
      <c r="L2" t="n">
        <v>90</v>
      </c>
      <c r="M2" t="n">
        <v>50</v>
      </c>
      <c r="N2" t="n">
        <v>171</v>
      </c>
      <c r="O2" t="n">
        <v>500</v>
      </c>
      <c r="P2" t="n">
        <v>150</v>
      </c>
      <c r="Q2" t="n">
        <v>120</v>
      </c>
      <c r="R2" t="n">
        <v>120</v>
      </c>
      <c r="S2" t="n">
        <v>120</v>
      </c>
      <c r="T2" t="n">
        <v>120</v>
      </c>
      <c r="U2" t="n">
        <v>120</v>
      </c>
      <c r="V2" t="n">
        <v>165</v>
      </c>
      <c r="W2" t="n">
        <v>117</v>
      </c>
      <c r="X2" t="n">
        <v>105</v>
      </c>
      <c r="Y2" t="n">
        <v>112</v>
      </c>
      <c r="Z2" t="n">
        <v>113</v>
      </c>
      <c r="AA2" t="n">
        <v>113</v>
      </c>
      <c r="AB2" t="n">
        <v>170</v>
      </c>
      <c r="AC2" t="n">
        <v>100</v>
      </c>
      <c r="AD2" t="n">
        <v>100</v>
      </c>
      <c r="AE2" t="n">
        <v>100</v>
      </c>
      <c r="AF2" t="n">
        <v>100</v>
      </c>
      <c r="AG2" t="n">
        <v>100</v>
      </c>
      <c r="AH2" t="n">
        <v>100</v>
      </c>
      <c r="AI2" t="n">
        <v>30</v>
      </c>
      <c r="AJ2" t="n">
        <v>30</v>
      </c>
      <c r="AK2" t="n">
        <v>30</v>
      </c>
      <c r="AL2" t="n">
        <v>30</v>
      </c>
      <c r="AM2" t="n">
        <v>30</v>
      </c>
      <c r="AN2" t="n">
        <v>30</v>
      </c>
      <c r="AO2" t="n">
        <v>30</v>
      </c>
      <c r="AP2" t="n">
        <v>30</v>
      </c>
      <c r="AQ2" t="n">
        <v>30</v>
      </c>
      <c r="AR2" t="n">
        <v>30</v>
      </c>
      <c r="AS2" t="n">
        <v>30</v>
      </c>
      <c r="AT2" t="n">
        <v>30</v>
      </c>
      <c r="AU2" t="n">
        <v>24</v>
      </c>
      <c r="AV2" t="n">
        <v>97</v>
      </c>
      <c r="AW2" t="n">
        <v>150</v>
      </c>
      <c r="AX2" t="n">
        <v>118</v>
      </c>
      <c r="AY2" t="n">
        <v>17</v>
      </c>
    </row>
    <row r="3">
      <c r="A3" t="inlineStr">
        <is>
          <t>genuinas</t>
        </is>
      </c>
      <c r="B3" t="n">
        <v>0</v>
      </c>
      <c r="C3" t="n">
        <v>15</v>
      </c>
      <c r="D3" t="n">
        <v>36</v>
      </c>
      <c r="E3" t="n">
        <v>129</v>
      </c>
      <c r="F3" t="n">
        <v>24</v>
      </c>
      <c r="G3" t="n">
        <v>48</v>
      </c>
      <c r="H3" t="n">
        <v>62</v>
      </c>
      <c r="I3" t="n">
        <v>20</v>
      </c>
      <c r="J3" t="n">
        <v>90</v>
      </c>
      <c r="K3" t="n">
        <v>90</v>
      </c>
      <c r="L3" t="n">
        <v>89</v>
      </c>
      <c r="M3" t="n">
        <v>0</v>
      </c>
      <c r="N3" t="n">
        <v>148</v>
      </c>
      <c r="O3" t="n">
        <v>452</v>
      </c>
      <c r="P3" t="n">
        <v>120</v>
      </c>
      <c r="Q3" t="n">
        <v>59</v>
      </c>
      <c r="R3" t="n">
        <v>95</v>
      </c>
      <c r="S3" t="n">
        <v>84</v>
      </c>
      <c r="T3" t="n">
        <v>62</v>
      </c>
      <c r="U3" t="n">
        <v>82</v>
      </c>
      <c r="V3" t="n">
        <v>149</v>
      </c>
      <c r="W3" t="n">
        <v>117</v>
      </c>
      <c r="X3" t="n">
        <v>104</v>
      </c>
      <c r="Y3" t="n">
        <v>105</v>
      </c>
      <c r="Z3" t="n">
        <v>113</v>
      </c>
      <c r="AA3" t="n">
        <v>110</v>
      </c>
      <c r="AB3" t="n">
        <v>154</v>
      </c>
      <c r="AC3" t="n">
        <v>60</v>
      </c>
      <c r="AD3" t="n">
        <v>88</v>
      </c>
      <c r="AE3" t="n">
        <v>88</v>
      </c>
      <c r="AF3" t="n">
        <v>85</v>
      </c>
      <c r="AG3" t="n">
        <v>87</v>
      </c>
      <c r="AH3" t="n">
        <v>85</v>
      </c>
      <c r="AI3" t="n">
        <v>20</v>
      </c>
      <c r="AJ3" t="n">
        <v>26</v>
      </c>
      <c r="AK3" t="n">
        <v>28</v>
      </c>
      <c r="AL3" t="n">
        <v>27</v>
      </c>
      <c r="AM3" t="n">
        <v>26</v>
      </c>
      <c r="AN3" t="n">
        <v>19</v>
      </c>
      <c r="AO3" t="n">
        <v>28</v>
      </c>
      <c r="AP3" t="n">
        <v>28</v>
      </c>
      <c r="AQ3" t="n">
        <v>27</v>
      </c>
      <c r="AR3" t="n">
        <v>0</v>
      </c>
      <c r="AS3" t="n">
        <v>28</v>
      </c>
      <c r="AT3" t="n">
        <v>29</v>
      </c>
      <c r="AU3" t="n">
        <v>24</v>
      </c>
      <c r="AV3" t="n">
        <v>97</v>
      </c>
      <c r="AW3" t="n">
        <v>148</v>
      </c>
      <c r="AX3" t="n">
        <v>94</v>
      </c>
      <c r="AY3" t="n">
        <v>8</v>
      </c>
    </row>
    <row r="4">
      <c r="A4" t="inlineStr">
        <is>
          <t>kalina</t>
        </is>
      </c>
      <c r="B4" t="n">
        <v>0</v>
      </c>
      <c r="C4" t="n">
        <v>0</v>
      </c>
      <c r="D4" t="n">
        <v>0</v>
      </c>
      <c r="E4" t="n">
        <v>59</v>
      </c>
      <c r="F4" t="n">
        <v>0</v>
      </c>
      <c r="G4" t="n">
        <v>0</v>
      </c>
      <c r="H4" t="n">
        <v>19</v>
      </c>
      <c r="I4" t="n">
        <v>1</v>
      </c>
      <c r="J4" t="n">
        <v>59</v>
      </c>
      <c r="K4" t="n">
        <v>60</v>
      </c>
      <c r="L4" t="n">
        <v>34</v>
      </c>
      <c r="M4" t="n">
        <v>0</v>
      </c>
      <c r="N4" t="n">
        <v>86</v>
      </c>
      <c r="O4" t="n">
        <v>121</v>
      </c>
      <c r="P4" t="n">
        <v>75</v>
      </c>
      <c r="Q4" t="n">
        <v>4</v>
      </c>
      <c r="R4" t="n">
        <v>0</v>
      </c>
      <c r="S4" t="n">
        <v>0</v>
      </c>
      <c r="T4" t="n">
        <v>6</v>
      </c>
      <c r="U4" t="n">
        <v>10</v>
      </c>
      <c r="V4" t="n">
        <v>104</v>
      </c>
      <c r="W4" t="n">
        <v>102</v>
      </c>
      <c r="X4" t="n">
        <v>63</v>
      </c>
      <c r="Y4" t="n">
        <v>91</v>
      </c>
      <c r="Z4" t="n">
        <v>80</v>
      </c>
      <c r="AA4" t="n">
        <v>83</v>
      </c>
      <c r="AB4" t="n">
        <v>145</v>
      </c>
      <c r="AC4" t="n">
        <v>7</v>
      </c>
      <c r="AD4" t="n">
        <v>13</v>
      </c>
      <c r="AE4" t="n">
        <v>19</v>
      </c>
      <c r="AF4" t="n">
        <v>1</v>
      </c>
      <c r="AG4" t="n">
        <v>17</v>
      </c>
      <c r="AH4" t="n">
        <v>29</v>
      </c>
      <c r="AI4" t="n">
        <v>2</v>
      </c>
      <c r="AJ4" t="n">
        <v>11</v>
      </c>
      <c r="AK4" t="n">
        <v>11</v>
      </c>
      <c r="AL4" t="n">
        <v>4</v>
      </c>
      <c r="AM4" t="n">
        <v>9</v>
      </c>
      <c r="AN4" t="n">
        <v>3</v>
      </c>
      <c r="AO4" t="n">
        <v>13</v>
      </c>
      <c r="AP4" t="n">
        <v>2</v>
      </c>
      <c r="AQ4" t="n">
        <v>8</v>
      </c>
      <c r="AR4" t="n">
        <v>0</v>
      </c>
      <c r="AS4" t="n">
        <v>5</v>
      </c>
      <c r="AT4" t="n">
        <v>6</v>
      </c>
      <c r="AU4" t="n">
        <v>18</v>
      </c>
      <c r="AV4" t="n">
        <v>97</v>
      </c>
      <c r="AW4" t="n">
        <v>107</v>
      </c>
      <c r="AX4" t="n">
        <v>70</v>
      </c>
      <c r="AY4" t="n">
        <v>8</v>
      </c>
    </row>
    <row r="5">
      <c r="A5" t="inlineStr">
        <is>
          <t>confiables</t>
        </is>
      </c>
      <c r="B5" t="n">
        <v>0</v>
      </c>
      <c r="C5" t="n">
        <v>0</v>
      </c>
      <c r="D5" t="n">
        <v>0</v>
      </c>
      <c r="E5" t="n">
        <v>48</v>
      </c>
      <c r="F5" t="n">
        <v>0</v>
      </c>
      <c r="G5" t="n">
        <v>0</v>
      </c>
      <c r="H5" t="n">
        <v>0</v>
      </c>
      <c r="I5" t="n">
        <v>1</v>
      </c>
      <c r="J5" t="n">
        <v>59</v>
      </c>
      <c r="K5" t="n">
        <v>60</v>
      </c>
      <c r="L5" t="n">
        <v>0</v>
      </c>
      <c r="M5" t="n">
        <v>0</v>
      </c>
      <c r="N5" t="n">
        <v>86</v>
      </c>
      <c r="O5" t="n">
        <v>83</v>
      </c>
      <c r="P5" t="n">
        <v>45</v>
      </c>
      <c r="Q5" t="n">
        <v>2</v>
      </c>
      <c r="R5" t="n">
        <v>0</v>
      </c>
      <c r="S5" t="n">
        <v>0</v>
      </c>
      <c r="T5" t="n">
        <v>0</v>
      </c>
      <c r="U5" t="n">
        <v>0</v>
      </c>
      <c r="V5" t="n">
        <v>104</v>
      </c>
      <c r="W5" t="n">
        <v>98</v>
      </c>
      <c r="X5" t="n">
        <v>63</v>
      </c>
      <c r="Y5" t="n">
        <v>90</v>
      </c>
      <c r="Z5" t="n">
        <v>80</v>
      </c>
      <c r="AA5" t="n">
        <v>0</v>
      </c>
      <c r="AB5" t="n">
        <v>140</v>
      </c>
      <c r="AC5" t="n">
        <v>0</v>
      </c>
      <c r="AD5" t="n">
        <v>11</v>
      </c>
      <c r="AE5" t="n">
        <v>12</v>
      </c>
      <c r="AF5" t="n">
        <v>1</v>
      </c>
      <c r="AG5" t="n">
        <v>13</v>
      </c>
      <c r="AH5" t="n">
        <v>15</v>
      </c>
      <c r="AI5" t="n">
        <v>0</v>
      </c>
      <c r="AJ5" t="n">
        <v>6</v>
      </c>
      <c r="AK5" t="n">
        <v>7</v>
      </c>
      <c r="AL5" t="n">
        <v>3</v>
      </c>
      <c r="AM5" t="n">
        <v>5</v>
      </c>
      <c r="AN5" t="n">
        <v>0</v>
      </c>
      <c r="AO5" t="n">
        <v>7</v>
      </c>
      <c r="AP5" t="n">
        <v>2</v>
      </c>
      <c r="AQ5" t="n">
        <v>6</v>
      </c>
      <c r="AR5" t="n">
        <v>0</v>
      </c>
      <c r="AS5" t="n">
        <v>5</v>
      </c>
      <c r="AT5" t="n">
        <v>4</v>
      </c>
      <c r="AU5" t="n">
        <v>18</v>
      </c>
      <c r="AV5" t="n">
        <v>83</v>
      </c>
      <c r="AW5" t="n">
        <v>107</v>
      </c>
      <c r="AX5" t="n">
        <v>70</v>
      </c>
      <c r="AY5" t="n">
        <v>8</v>
      </c>
    </row>
    <row r="6">
      <c r="A6" t="inlineStr">
        <is>
          <t>eta_max</t>
        </is>
      </c>
      <c r="E6" t="n">
        <v>9.15</v>
      </c>
      <c r="H6" t="n">
        <v>6.27</v>
      </c>
      <c r="I6" t="n">
        <v>9.5</v>
      </c>
      <c r="J6" t="n">
        <v>10.41</v>
      </c>
      <c r="K6" t="n">
        <v>11.91</v>
      </c>
      <c r="L6" t="n">
        <v>9.69</v>
      </c>
      <c r="N6" t="n">
        <v>10.96</v>
      </c>
      <c r="O6" t="n">
        <v>12.3</v>
      </c>
      <c r="P6" t="n">
        <v>8.35</v>
      </c>
      <c r="Q6" t="n">
        <v>9.289999999999999</v>
      </c>
      <c r="T6" t="n">
        <v>6.72</v>
      </c>
      <c r="U6" t="n">
        <v>8.460000000000001</v>
      </c>
      <c r="V6" t="n">
        <v>10.81</v>
      </c>
      <c r="W6" t="n">
        <v>14.98</v>
      </c>
      <c r="X6" t="n">
        <v>15.48</v>
      </c>
      <c r="Y6" t="n">
        <v>12.74</v>
      </c>
      <c r="Z6" t="n">
        <v>15.6</v>
      </c>
      <c r="AA6" t="n">
        <v>11.09</v>
      </c>
      <c r="AB6" t="n">
        <v>15.6</v>
      </c>
      <c r="AC6" t="n">
        <v>12.3</v>
      </c>
      <c r="AD6" t="n">
        <v>9.43</v>
      </c>
      <c r="AE6" t="n">
        <v>7.87</v>
      </c>
      <c r="AF6" t="n">
        <v>9.15</v>
      </c>
      <c r="AG6" t="n">
        <v>7.37</v>
      </c>
      <c r="AH6" t="n">
        <v>11.6</v>
      </c>
      <c r="AI6" t="n">
        <v>7.56</v>
      </c>
      <c r="AJ6" t="n">
        <v>9.76</v>
      </c>
      <c r="AK6" t="n">
        <v>6.53</v>
      </c>
      <c r="AL6" t="n">
        <v>6.72</v>
      </c>
      <c r="AM6" t="n">
        <v>8.039999999999999</v>
      </c>
      <c r="AN6" t="n">
        <v>3.82</v>
      </c>
      <c r="AO6" t="n">
        <v>7.58</v>
      </c>
      <c r="AP6" t="n">
        <v>8.33</v>
      </c>
      <c r="AQ6" t="n">
        <v>5.5</v>
      </c>
      <c r="AS6" t="n">
        <v>10.61</v>
      </c>
      <c r="AT6" t="n">
        <v>8.140000000000001</v>
      </c>
      <c r="AU6" t="n">
        <v>13.75</v>
      </c>
      <c r="AV6" t="n">
        <v>13.46</v>
      </c>
      <c r="AW6" t="n">
        <v>13.6</v>
      </c>
      <c r="AX6" t="n">
        <v>13.31</v>
      </c>
      <c r="AY6" t="n">
        <v>11.23</v>
      </c>
    </row>
    <row r="7">
      <c r="A7" t="inlineStr">
        <is>
          <t>criterio</t>
        </is>
      </c>
      <c r="B7" t="inlineStr">
        <is>
          <t>—</t>
        </is>
      </c>
      <c r="C7" t="inlineStr">
        <is>
          <t>O2</t>
        </is>
      </c>
      <c r="D7" t="inlineStr">
        <is>
          <t>O2</t>
        </is>
      </c>
      <c r="E7" t="inlineStr">
        <is>
          <t>O2</t>
        </is>
      </c>
      <c r="F7" t="inlineStr">
        <is>
          <t>O2</t>
        </is>
      </c>
      <c r="G7" t="inlineStr">
        <is>
          <t>O2</t>
        </is>
      </c>
      <c r="H7" t="inlineStr">
        <is>
          <t>O2</t>
        </is>
      </c>
      <c r="I7" t="inlineStr">
        <is>
          <t>O2</t>
        </is>
      </c>
      <c r="J7" t="inlineStr">
        <is>
          <t>O2</t>
        </is>
      </c>
      <c r="K7" t="inlineStr">
        <is>
          <t>O2</t>
        </is>
      </c>
      <c r="L7" t="inlineStr">
        <is>
          <t>O2</t>
        </is>
      </c>
      <c r="M7" t="inlineStr">
        <is>
          <t>—</t>
        </is>
      </c>
      <c r="N7" t="inlineStr">
        <is>
          <t>O2</t>
        </is>
      </c>
      <c r="O7" t="inlineStr">
        <is>
          <t>O2</t>
        </is>
      </c>
      <c r="P7" t="inlineStr">
        <is>
          <t>O2</t>
        </is>
      </c>
      <c r="Q7" t="inlineStr">
        <is>
          <t>O2</t>
        </is>
      </c>
      <c r="R7" t="inlineStr">
        <is>
          <t>O2</t>
        </is>
      </c>
      <c r="S7" t="inlineStr">
        <is>
          <t>O2</t>
        </is>
      </c>
      <c r="T7" t="inlineStr">
        <is>
          <t>O2</t>
        </is>
      </c>
      <c r="U7" t="inlineStr">
        <is>
          <t>O2</t>
        </is>
      </c>
      <c r="V7" t="inlineStr">
        <is>
          <t>O2</t>
        </is>
      </c>
      <c r="W7" t="inlineStr">
        <is>
          <t>O2</t>
        </is>
      </c>
      <c r="X7" t="inlineStr">
        <is>
          <t>O2</t>
        </is>
      </c>
      <c r="Y7" t="inlineStr">
        <is>
          <t>O2</t>
        </is>
      </c>
      <c r="Z7" t="inlineStr">
        <is>
          <t>O2</t>
        </is>
      </c>
      <c r="AA7" t="inlineStr">
        <is>
          <t>O1</t>
        </is>
      </c>
      <c r="AB7" t="inlineStr">
        <is>
          <t>O2</t>
        </is>
      </c>
      <c r="AC7" t="inlineStr">
        <is>
          <t>O2</t>
        </is>
      </c>
      <c r="AD7" t="inlineStr">
        <is>
          <t>O2</t>
        </is>
      </c>
      <c r="AE7" t="inlineStr">
        <is>
          <t>O2</t>
        </is>
      </c>
      <c r="AF7" t="inlineStr">
        <is>
          <t>O2</t>
        </is>
      </c>
      <c r="AG7" t="inlineStr">
        <is>
          <t>O2</t>
        </is>
      </c>
      <c r="AH7" t="inlineStr">
        <is>
          <t>O2</t>
        </is>
      </c>
      <c r="AI7" t="inlineStr">
        <is>
          <t>O2</t>
        </is>
      </c>
      <c r="AJ7" t="inlineStr">
        <is>
          <t>O2</t>
        </is>
      </c>
      <c r="AK7" t="inlineStr">
        <is>
          <t>O2</t>
        </is>
      </c>
      <c r="AL7" t="inlineStr">
        <is>
          <t>O2</t>
        </is>
      </c>
      <c r="AM7" t="inlineStr">
        <is>
          <t>O2</t>
        </is>
      </c>
      <c r="AN7" t="inlineStr">
        <is>
          <t>O2</t>
        </is>
      </c>
      <c r="AO7" t="inlineStr">
        <is>
          <t>O2</t>
        </is>
      </c>
      <c r="AP7" t="inlineStr">
        <is>
          <t>O2</t>
        </is>
      </c>
      <c r="AQ7" t="inlineStr">
        <is>
          <t>O2</t>
        </is>
      </c>
      <c r="AR7" t="inlineStr">
        <is>
          <t>—</t>
        </is>
      </c>
      <c r="AS7" t="inlineStr">
        <is>
          <t>O2</t>
        </is>
      </c>
      <c r="AT7" t="inlineStr">
        <is>
          <t>O2</t>
        </is>
      </c>
      <c r="AU7" t="inlineStr">
        <is>
          <t>O2</t>
        </is>
      </c>
      <c r="AV7" t="inlineStr">
        <is>
          <t>—</t>
        </is>
      </c>
      <c r="AW7" t="inlineStr">
        <is>
          <t>O2</t>
        </is>
      </c>
      <c r="AX7" t="inlineStr">
        <is>
          <t>O2</t>
        </is>
      </c>
      <c r="AY7" t="inlineStr">
        <is>
          <t>—</t>
        </is>
      </c>
    </row>
    <row r="8">
      <c r="A8" t="inlineStr">
        <is>
          <t>eje_x</t>
        </is>
      </c>
      <c r="B8" t="inlineStr">
        <is>
          <t>Presión de alta, P_alta [kPa]</t>
        </is>
      </c>
      <c r="C8" t="inlineStr">
        <is>
          <t>Presión de alta, P_alta [kPa]</t>
        </is>
      </c>
      <c r="D8" t="inlineStr">
        <is>
          <t>Presión de baja, P_baja [kPa]</t>
        </is>
      </c>
      <c r="E8" t="inlineStr">
        <is>
          <t>Presión de baja, P_baja [kPa]</t>
        </is>
      </c>
      <c r="F8" t="inlineStr">
        <is>
          <t>Efectividad del condensador, ε_cond [–]</t>
        </is>
      </c>
      <c r="G8" t="inlineStr">
        <is>
          <t>Efectividad del condensador, ε_cond [–]</t>
        </is>
      </c>
      <c r="H8" t="inlineStr">
        <is>
          <t>Presión de baja, P_baja [kPa]</t>
        </is>
      </c>
      <c r="I8" t="inlineStr">
        <is>
          <t>Temperatura de la fuente, T_fuente [K]</t>
        </is>
      </c>
      <c r="J8" t="inlineStr">
        <is>
          <t>Presión de baja, P_baja [kPa]</t>
        </is>
      </c>
      <c r="K8" t="inlineStr">
        <is>
          <t>Presión de baja, P_baja [kPa]</t>
        </is>
      </c>
      <c r="L8" t="inlineStr">
        <is>
          <t>Presión de baja, P_baja [kPa]</t>
        </is>
      </c>
      <c r="M8" t="inlineStr">
        <is>
          <t>Presión de baja, P_baja [kPa]</t>
        </is>
      </c>
      <c r="N8" t="inlineStr">
        <is>
          <t>Presión de alta, P_alta [kPa]</t>
        </is>
      </c>
      <c r="O8" t="inlineStr">
        <is>
          <t>Presión de alta, P_alta [kPa]</t>
        </is>
      </c>
      <c r="P8" t="inlineStr">
        <is>
          <t>Presión de alta, P_alta [kPa]</t>
        </is>
      </c>
      <c r="Q8" t="inlineStr">
        <is>
          <t>Presión de alta, P_alta [kPa]</t>
        </is>
      </c>
      <c r="R8" t="inlineStr">
        <is>
          <t>Temperatura de la fuente, T_fuente [K]</t>
        </is>
      </c>
      <c r="S8" t="inlineStr">
        <is>
          <t>Temperatura de la fuente, T_fuente [K]</t>
        </is>
      </c>
      <c r="T8" t="inlineStr">
        <is>
          <t>Presión de baja, P_baja [kPa]</t>
        </is>
      </c>
      <c r="U8" t="inlineStr">
        <is>
          <t>Presión de alta, P_alta [kPa]</t>
        </is>
      </c>
      <c r="V8" t="inlineStr">
        <is>
          <t>Temperatura de la fuente, T_fuente [K]</t>
        </is>
      </c>
      <c r="W8" t="inlineStr">
        <is>
          <t>Presión de alta, P_alta [kPa]</t>
        </is>
      </c>
      <c r="X8" t="inlineStr">
        <is>
          <t>Presión de alta, P_alta [kPa]</t>
        </is>
      </c>
      <c r="Y8" t="inlineStr">
        <is>
          <t>Presión de alta, P_alta [kPa]</t>
        </is>
      </c>
      <c r="Z8" t="inlineStr">
        <is>
          <t>Temperatura de la fuente, T_fuente [K]</t>
        </is>
      </c>
      <c r="AA8" t="inlineStr">
        <is>
          <t>Presión de alta, P_alta [kPa]</t>
        </is>
      </c>
      <c r="AB8" t="inlineStr">
        <is>
          <t>Presión de alta, P_alta [kPa]</t>
        </is>
      </c>
      <c r="AC8" t="inlineStr">
        <is>
          <t>Presión de alta, P_alta [kPa]</t>
        </is>
      </c>
      <c r="AD8" t="inlineStr">
        <is>
          <t>Presión de alta, P_alta [kPa]</t>
        </is>
      </c>
      <c r="AE8" t="inlineStr">
        <is>
          <t>Presión de baja, P_baja [kPa]</t>
        </is>
      </c>
      <c r="AF8" t="inlineStr">
        <is>
          <t>Presión de alta, P_alta [kPa]</t>
        </is>
      </c>
      <c r="AG8" t="inlineStr">
        <is>
          <t>Presión de alta, P_alta [kPa]</t>
        </is>
      </c>
      <c r="AH8" t="inlineStr">
        <is>
          <t>Presión de alta, P_alta [kPa]</t>
        </is>
      </c>
      <c r="AI8" t="inlineStr">
        <is>
          <t>Presión de alta, P_alta [kPa]</t>
        </is>
      </c>
      <c r="AJ8" t="inlineStr">
        <is>
          <t>Presión de alta, P_alta [kPa]</t>
        </is>
      </c>
      <c r="AK8" t="inlineStr">
        <is>
          <t>Presión de baja, P_baja [kPa]</t>
        </is>
      </c>
      <c r="AL8" t="inlineStr">
        <is>
          <t>Presión de alta, P_alta [kPa]</t>
        </is>
      </c>
      <c r="AM8" t="inlineStr">
        <is>
          <t>Presión de alta, P_alta [kPa]</t>
        </is>
      </c>
      <c r="AN8" t="inlineStr">
        <is>
          <t>Presión de baja, P_baja [kPa]</t>
        </is>
      </c>
      <c r="AO8" t="inlineStr">
        <is>
          <t>Presión de baja, P_baja [kPa]</t>
        </is>
      </c>
      <c r="AP8" t="inlineStr">
        <is>
          <t>Temperatura de la fuente, T_fuente [K]</t>
        </is>
      </c>
      <c r="AQ8" t="inlineStr">
        <is>
          <t>Presión de baja, P_baja [kPa]</t>
        </is>
      </c>
      <c r="AR8" t="inlineStr">
        <is>
          <t>Presión de baja, P_baja [kPa]</t>
        </is>
      </c>
      <c r="AS8" t="inlineStr">
        <is>
          <t>Temperatura de la fuente, T_fuente [K]</t>
        </is>
      </c>
      <c r="AT8" t="inlineStr">
        <is>
          <t>Presión de baja, P_baja [kPa]</t>
        </is>
      </c>
      <c r="AU8" t="inlineStr">
        <is>
          <t>Presión de baja, P_baja [kPa]</t>
        </is>
      </c>
      <c r="AV8" t="inlineStr">
        <is>
          <t>Presión de alta, P_alta [kPa]</t>
        </is>
      </c>
      <c r="AW8" t="inlineStr">
        <is>
          <t>Presión de alta, P_alta [kPa]</t>
        </is>
      </c>
      <c r="AX8" t="inlineStr">
        <is>
          <t>Presión de baja, P_baja [kPa]</t>
        </is>
      </c>
      <c r="AY8" t="inlineStr">
        <is>
          <t>Fracción de amoníaco de la mezcla base, x_b [–]</t>
        </is>
      </c>
    </row>
    <row r="9">
      <c r="A9" t="inlineStr">
        <is>
          <t>eje_y</t>
        </is>
      </c>
      <c r="B9" t="inlineStr">
        <is>
          <t>Fracción de amoníaco de la mezcla base, x_b [–]</t>
        </is>
      </c>
      <c r="C9" t="inlineStr">
        <is>
          <t>Eficiencia térmica del ciclo, η [%]</t>
        </is>
      </c>
      <c r="D9" t="inlineStr">
        <is>
          <t>Efectividad del generador de vapor, ε_HRVG [–]</t>
        </is>
      </c>
      <c r="E9" t="inlineStr">
        <is>
          <t>Temperatura de la fuente, T_fuente [K]</t>
        </is>
      </c>
      <c r="F9" t="inlineStr">
        <is>
          <t>Efectividad del generador de vapor, ε_HRVG [–]</t>
        </is>
      </c>
      <c r="G9" t="inlineStr">
        <is>
          <t>Efectividad del generador de vapor, ε_HRVG [–]</t>
        </is>
      </c>
      <c r="H9" t="inlineStr">
        <is>
          <t>Efectividad del generador de vapor, ε_HRVG [–]</t>
        </is>
      </c>
      <c r="I9" t="inlineStr">
        <is>
          <t>Efectividad del condensador, ε_cond [–]</t>
        </is>
      </c>
      <c r="J9" t="inlineStr">
        <is>
          <t>Temperatura del sumidero, T_sumidero [K]</t>
        </is>
      </c>
      <c r="K9" t="inlineStr">
        <is>
          <t>Temperatura del sumidero, T_sumidero [K]</t>
        </is>
      </c>
      <c r="L9" t="inlineStr">
        <is>
          <t>Temperatura del sumidero, T_sumidero [K]</t>
        </is>
      </c>
      <c r="M9" t="inlineStr">
        <is>
          <t>Temperatura del sumidero, T_sumidero [K]</t>
        </is>
      </c>
      <c r="N9" t="inlineStr">
        <is>
          <t>Eficiencia térmica del ciclo, η [%]</t>
        </is>
      </c>
      <c r="O9" t="inlineStr">
        <is>
          <t>Presión de baja, P_baja [kPa]</t>
        </is>
      </c>
      <c r="P9" t="inlineStr">
        <is>
          <t>Presión de baja, P_baja [kPa]</t>
        </is>
      </c>
      <c r="Q9" t="inlineStr">
        <is>
          <t>Presión de baja, P_baja [kPa]</t>
        </is>
      </c>
      <c r="R9" t="inlineStr">
        <is>
          <t>Fracción de amoníaco de la mezcla base, x_b [–]</t>
        </is>
      </c>
      <c r="S9" t="inlineStr">
        <is>
          <t>Fracción de amoníaco de la mezcla base, x_b [–]</t>
        </is>
      </c>
      <c r="T9" t="inlineStr">
        <is>
          <t>Fracción de amoníaco de la mezcla base, x_b [–]</t>
        </is>
      </c>
      <c r="U9" t="inlineStr">
        <is>
          <t>Presión de baja, P_baja [kPa]</t>
        </is>
      </c>
      <c r="V9" t="inlineStr">
        <is>
          <t>Efectividad del condensador, ε_cond [–]</t>
        </is>
      </c>
      <c r="W9" t="inlineStr">
        <is>
          <t>Presión de baja, P_baja [kPa]</t>
        </is>
      </c>
      <c r="X9" t="inlineStr">
        <is>
          <t>Presión de baja, P_baja [kPa]</t>
        </is>
      </c>
      <c r="Y9" t="inlineStr">
        <is>
          <t>Presión de baja, P_baja [kPa]</t>
        </is>
      </c>
      <c r="Z9" t="inlineStr">
        <is>
          <t>Fracción de amoníaco de la mezcla base, x_b [–]</t>
        </is>
      </c>
      <c r="AA9" t="inlineStr">
        <is>
          <t>Presión de baja, P_baja [kPa]</t>
        </is>
      </c>
      <c r="AB9" t="inlineStr">
        <is>
          <t>Presión de baja, P_baja [kPa]</t>
        </is>
      </c>
      <c r="AC9" t="inlineStr">
        <is>
          <t>Presión de baja, P_baja [kPa]</t>
        </is>
      </c>
      <c r="AD9" t="inlineStr">
        <is>
          <t>Presión de baja, P_baja [kPa]</t>
        </is>
      </c>
      <c r="AE9" t="inlineStr">
        <is>
          <t>Temperatura de la fuente, T_fuente [K]</t>
        </is>
      </c>
      <c r="AF9" t="inlineStr">
        <is>
          <t>Temperatura de la fuente, T_fuente [K]</t>
        </is>
      </c>
      <c r="AG9" t="inlineStr">
        <is>
          <t>Presión de baja, P_baja [kPa]</t>
        </is>
      </c>
      <c r="AH9" t="inlineStr">
        <is>
          <t>Presión de baja, P_baja [kPa]</t>
        </is>
      </c>
      <c r="AI9" t="inlineStr">
        <is>
          <t>Presión de baja, P_baja [kPa]</t>
        </is>
      </c>
      <c r="AJ9" t="inlineStr">
        <is>
          <t>Presión de baja, P_baja [kPa]</t>
        </is>
      </c>
      <c r="AK9" t="inlineStr">
        <is>
          <t>Temperatura de la fuente, T_fuente [K]</t>
        </is>
      </c>
      <c r="AL9" t="inlineStr">
        <is>
          <t>Temperatura de la fuente, T_fuente [K]</t>
        </is>
      </c>
      <c r="AM9" t="inlineStr">
        <is>
          <t>Presión de baja, P_baja [kPa]</t>
        </is>
      </c>
      <c r="AN9" t="inlineStr">
        <is>
          <t>Efectividad del condensador, ε_cond [–]</t>
        </is>
      </c>
      <c r="AO9" t="inlineStr">
        <is>
          <t>Temperatura de la fuente, T_fuente [K]</t>
        </is>
      </c>
      <c r="AP9" t="inlineStr">
        <is>
          <t>Efectividad del condensador, ε_cond [–]</t>
        </is>
      </c>
      <c r="AQ9" t="inlineStr">
        <is>
          <t>Temperatura de la fuente, T_fuente [K]</t>
        </is>
      </c>
      <c r="AR9" t="inlineStr">
        <is>
          <t>Temperatura del sumidero, T_sumidero [K]</t>
        </is>
      </c>
      <c r="AS9" t="inlineStr">
        <is>
          <t>Temperatura del sumidero, T_sumidero [K]</t>
        </is>
      </c>
      <c r="AT9" t="inlineStr">
        <is>
          <t>Temperatura de la fuente, T_fuente [K]</t>
        </is>
      </c>
      <c r="AU9" t="inlineStr">
        <is>
          <t>Eficiencia térmica del ciclo, η [%]</t>
        </is>
      </c>
      <c r="AV9" t="inlineStr">
        <is>
          <t>Presión de baja, P_baja [kPa]</t>
        </is>
      </c>
      <c r="AW9" t="inlineStr">
        <is>
          <t>Eficiencia térmica del ciclo, η [%]</t>
        </is>
      </c>
      <c r="AX9" t="inlineStr">
        <is>
          <t>Fracción de amoníaco de la mezcla base, x_b [–]</t>
        </is>
      </c>
      <c r="AY9" t="inlineStr">
        <is>
          <t>Eficiencia térmica del ciclo, η [%]</t>
        </is>
      </c>
    </row>
    <row r="10">
      <c r="A10" t="inlineStr">
        <is>
          <t>pie</t>
        </is>
      </c>
      <c r="B10" t="inlineStr">
        <is>
          <t>Datos fijos: T_fuente = 623.15 K; P_baja = 400 kPa; m_b = 1 kg/s; η_t = 0.85; η_p = 0.75; ε_HRVG = 0.85; ε_reg = 0.75; ε_cond = 0.8.  ·  Datos barridos: T_sumidero [297.95–303.55] K (23 valores); P_alta [2000–4000] kPa (9 valores); x_b [0.4–0.7] (7 valores); motor de propiedades (2 valores).</t>
        </is>
      </c>
      <c r="C10" t="inlineStr">
        <is>
          <t>Punto base (las demás variables quedan fijas en): T_fuente = 623.15 K; T_sumidero = 300.03 K; P_alta = 3000 kPa; P_baja = 400 kPa; x_b = 0.5; m_b = 1 kg/s; η_t = 0.85; η_p = 0.75; ε_HRVG = 0.85; ε_reg = 0.75; ε_cond = 0.8; motor de propiedades = teqp. Cada panel o tramo mueve solo su variable.  ·  Datos barridos (uno a la vez): T_fuente [340–623.15] K (22 valores); T_sumidero [283.15–303.55] K (10 valores); P_alta [1000–10000] kPa (24 valores); P_baja [150–1500] kPa (10 valores); x_b [0.3–0.9] (14 valores); η_t [0.75–0.9] (10 valores); η_p [0.65–0.85] (10 valores); ε_HRVG [0.75–0.85] (12 valores); ε_reg [0.75–0.85] (10 valores); ε_cond [0.75–0.85] (10 valores).</t>
        </is>
      </c>
      <c r="D10" t="inlineStr">
        <is>
          <t>Datos fijos: T_fuente = 623.15 K; T_sumidero = 300.03 K; P_alta = 3000 kPa; x_b = 0.5; m_b = 1 kg/s; η_t = 0.85; η_p = 0.75; ε_reg = 0.75; ε_cond = 0.8; motor de propiedades = teqp.  ·  Datos barridos: P_baja [400–2000] kPa (12 valores); ε_HRVG [0.75–0.81] (3 valores).</t>
        </is>
      </c>
      <c r="E10" t="inlineStr">
        <is>
          <t>Datos fijos: T_sumidero = 300.03 K; P_alta = 3000 kPa; x_b = 0.5; m_b = 1 kg/s; η_t = 0.85; η_p = 0.75; ε_HRVG = 0.85; ε_reg = 0.75; ε_cond = 0.8; motor de propiedades = teqp.  ·  Datos barridos: T_fuente [380–560] K (9 valores); P_baja [400–2000] kPa (32 valores).</t>
        </is>
      </c>
      <c r="F10" t="inlineStr">
        <is>
          <t>Datos fijos: T_fuente = 623.15 K; T_sumidero = 300.03 K; P_alta = 3000 kPa; P_baja = 400 kPa; x_b = 0.5; m_b = 1 kg/s; motor de propiedades = teqp.  ·  Datos barridos: η_t [0.4–0.95] (12 valores); η_p [0.4–0.95] (12 valores); ε_HRVG [0.4–0.95] (32 valores); ε_reg [0.4–0.95] (12 valores); ε_cond [0.4–0.95] (12 valores).</t>
        </is>
      </c>
      <c r="G10" t="inlineStr">
        <is>
          <t>Datos fijos: T_fuente = 623.15 K; T_sumidero = 300.03 K; P_alta = 3000 kPa; P_baja = 400 kPa; x_b = 0.5; m_b = 1 kg/s; η_t = 0.85; η_p = 0.75; ε_reg = 0.75; motor de propiedades = teqp.  ·  Datos barridos: ε_HRVG [0.4–0.8] (5 valores); ε_cond [0.4–0.95] (12 valores).</t>
        </is>
      </c>
      <c r="H10" t="inlineStr">
        <is>
          <t>Datos fijos: T_fuente = 623.15 K; T_sumidero = 300.03 K; P_alta = 3000 kPa; x_b = 0.5; m_b = 1 kg/s; η_t = 0.85; η_p = 0.75; ε_reg = 0.75; ε_cond = 0.8; motor de propiedades = teqp.  ·  Datos barridos: P_baja [400–2000] kPa (20 valores); ε_HRVG [0.4–0.7] (4 valores).</t>
        </is>
      </c>
      <c r="I10" t="inlineStr">
        <is>
          <t>Datos fijos: T_sumidero = 300.03 K; P_alta = 3000 kPa; P_baja = 400 kPa; x_b = 0.5; m_b = 1 kg/s; η_t = 0.85; η_p = 0.75; ε_HRVG = 0.85; ε_reg = 0.75; motor de propiedades = teqp.  ·  Datos barridos: T_fuente [403–560] K (7 valores); ε_cond [0.85–0.95] (3 valores).</t>
        </is>
      </c>
      <c r="J10" t="inlineStr">
        <is>
          <t>Datos fijos: T_fuente = 403 K; P_alta = 3000 kPa; x_b = 0.5; m_b = 1 kg/s; η_t = 0.85; η_p = 0.75; ε_HRVG = 0.85; ε_reg = 0.75; ε_cond = 0.8; motor de propiedades = teqp.  ·  Datos barridos: T_sumidero [278.15–300.03] K (5 valores); P_baja [150–1500] kPa (28 valores); piso de O2 [278.15–300.03] K (5 valores).</t>
        </is>
      </c>
      <c r="K10" t="inlineStr">
        <is>
          <t>Datos fijos: T_fuente = 420 K; P_alta = 3000 kPa; x_b = 0.5; m_b = 1 kg/s; η_t = 0.85; η_p = 0.75; ε_HRVG = 0.85; ε_reg = 0.75; ε_cond = 0.8; motor de propiedades = teqp.  ·  Datos barridos: T_sumidero [278.15–300.03] K (5 valores); P_baja [150–1500] kPa (28 valores); piso de O2 [278.15–300.03] K (5 valores).</t>
        </is>
      </c>
      <c r="L10" t="inlineStr">
        <is>
          <t>Datos fijos: T_fuente = 623.15 K; P_alta = 3000 kPa; x_b = 0.5; m_b = 1 kg/s; η_t = 0.85; η_p = 0.75; ε_HRVG = 0.4; ε_reg = 0.75; ε_cond = 0.8; motor de propiedades = teqp.  ·  Datos barridos: T_sumidero [278.15–300.03] K (5 valores); P_baja [150–1500] kPa (30 valores); piso de O2 [278.15–300.03] K (5 valores).</t>
        </is>
      </c>
      <c r="M10" t="inlineStr">
        <is>
          <t>Datos fijos: T_fuente = 623.15 K; P_alta = 3000 kPa; x_b = 0.5; m_b = 1 kg/s; η_t = 0.85; η_p = 0.75; ε_HRVG = 0.85; ε_reg = 0.75; ε_cond = 0.8; motor de propiedades = teqp.  ·  Datos barridos: T_sumidero [278.15–300.03] K (5 valores); P_baja [150–1500] kPa (10 valores); piso de O2 [278.15–300.03] K (5 valores).</t>
        </is>
      </c>
      <c r="N10" t="inlineStr">
        <is>
          <t>Punto base (las demás variables quedan fijas en): T_fuente = 403 K; T_sumidero = 300.03 K; P_alta = 3000 kPa; P_baja = 563.64 kPa; x_b = 0.5; m_b = 1 kg/s; η_t = 0.85; η_p = 0.75; ε_HRVG = 0.85; ε_reg = 0.75; ε_cond = 0.8; motor de propiedades = teqp. Cada panel o tramo mueve solo su variable.  ·  Datos barridos (uno a la vez): T_fuente [340–623.15] K (17 valores); T_sumidero [283.15–303.55] K (17 valores); P_alta [1000–10000] kPa (17 valores); P_baja [150–1500] kPa (17 valores); x_b [0.3–0.9] (17 valores); η_t [0.4–0.95] (17 valores); η_p [0.4–0.95] (17 valores); ε_HRVG [0.4–0.95] (17 valores); ε_reg [0.4–0.95] (17 valores); ε_cond [0.4–0.95] (17 valores).</t>
        </is>
      </c>
      <c r="O10" t="inlineStr">
        <is>
          <t>Datos fijos: m_b = 1 kg/s; motor de propiedades = teqp.  ·  Datos barridos: T_fuente [380.23–499.94] K (300 valores); T_sumidero [278.18–303.54] K (300 valores); P_alta [2005.4–4991.2] kPa (300 valores); P_baja [302.95–1498] kPa (300 valores); x_b [0.50012–0.84998] (300 valores); η_t [0.75036–0.91969] (300 valores); η_p [0.6504–0.89919] (300 valores); ε_HRVG [0.60004–0.94905] (300 valores); ε_reg [0.60097–0.94997] (300 valores); ε_cond [0.70014–0.94941] (300 valores); piso de O2 [278.18–303.54] K (300 valores).</t>
        </is>
      </c>
      <c r="P10" t="inlineStr">
        <is>
          <t>Datos fijos: m_b = 1 kg/s; motor de propiedades = teqp.  ·  Datos barridos: T_fuente [380.75–499.83] K (150 valores); T_sumidero [278.28–303.41] K (150 valores); P_alta [2015.7–4995.8] kPa (150 valores); P_baja [1501.3–2494.5] kPa (150 valores); x_b [0.5023–0.84953] (150 valores); η_t [0.75103–0.91919] (150 valores); η_p [0.65119–0.89988] (150 valores); ε_HRVG [0.60089–0.94845] (150 valores); ε_reg [0.60038–0.9477] (150 valores); ε_cond [0.70004–0.94966] (150 valores); piso de O2 [278.28–303.41] K (135 valores).</t>
        </is>
      </c>
      <c r="Q10" t="inlineStr">
        <is>
          <t>Datos fijos: T_fuente = 623.15 K; T_sumidero = 300.03 K; m_b = 1 kg/s; piso de O2 = 300.03 K; motor de propiedades = teqp.  ·  Datos barridos: P_alta [2000.1–4986.6] kPa (120 valores); P_baja [202.14–1989.7] kPa (120 valores); x_b [0.50124–0.84895] (120 valores); η_t [0.40062–0.94745] (120 valores); η_p [0.4043–0.94919] (120 valores); ε_HRVG [0.40441–0.94919] (120 valores); ε_reg [0.40384–0.9479] (120 valores); ε_cond [0.40087–0.94579] (120 valores).</t>
        </is>
      </c>
      <c r="R10" t="inlineStr">
        <is>
          <t>Datos fijos: P_alta = 3000 kPa; P_baja = 400 kPa; m_b = 1 kg/s; motor de propiedades = teqp.  ·  Datos barridos: T_fuente [381.61–621.77] K (120 valores); T_sumidero [278.26–303.48] K (120 valores); x_b [0.50084–0.84732] (120 valores); η_t [0.40268–0.94858] (120 valores); η_p [0.40103–0.9471] (120 valores); ε_HRVG [0.40217–0.94755] (120 valores); ε_reg [0.40228–0.9466] (120 valores); ε_cond [0.40209–0.9474] (120 valores); piso de O2 [278.26–303.48] K (120 valores).</t>
        </is>
      </c>
      <c r="S10" t="inlineStr">
        <is>
          <t>Datos fijos: T_sumidero = 300.03 K; P_alta = 3000 kPa; P_baja = 400 kPa; m_b = 1 kg/s; piso de O2 = 300.03 K; motor de propiedades = teqp.  ·  Datos barridos: T_fuente [380.23–622.4] K (120 valores); x_b [0.50023–0.84932] (120 valores); η_t [0.40006–0.94769] (120 valores); η_p [0.4036–0.94548] (120 valores); ε_HRVG [0.40016–0.94888] (120 valores); ε_reg [0.40216–0.9486] (120 valores); ε_cond [0.40424–0.94685] (120 valores).</t>
        </is>
      </c>
      <c r="T10" t="inlineStr">
        <is>
          <t>Datos fijos: T_fuente = 623.15 K; T_sumidero = 300.03 K; P_alta = 3000 kPa; m_b = 1 kg/s; piso de O2 = 300.03 K; motor de propiedades = teqp.  ·  Datos barridos: P_baja [211.42–1985.6] kPa (120 valores); x_b [0.50226–0.84794] (120 valores); η_t [0.40325–0.94578] (120 valores); η_p [0.40037–0.94661] (120 valores); ε_HRVG [0.40425–0.94958] (120 valores); ε_reg [0.40094–0.9466] (120 valores); ε_cond [0.40217–0.94675] (120 valores).</t>
        </is>
      </c>
      <c r="U10" t="inlineStr">
        <is>
          <t>Datos fijos: T_fuente = 623.15 K; x_b = 0.5; m_b = 1 kg/s; motor de propiedades = teqp.  ·  Datos barridos: T_sumidero [278.28–303.36] K (120 valores); P_alta [2023–4997.5] kPa (120 valores); P_baja [206.13–1999.3] kPa (120 valores); η_t [0.4033–0.94995] (120 valores); η_p [0.40348–0.9476] (120 valores); ε_HRVG [0.40414–0.94874] (120 valores); ε_reg [0.40265–0.94725] (120 valores); ε_cond [0.40127–0.94825] (120 valores); piso de O2 [278.28–303.36] K (119 valores).</t>
        </is>
      </c>
      <c r="V10" t="inlineStr">
        <is>
          <t>Datos fijos: P_alta = 3000 kPa; P_baja = 400 kPa; x_b = 0.5; m_b = 1 kg/s; η_t = 0.85; η_p = 0.75; ε_HRVG = 0.85; ε_reg = 0.75; motor de propiedades = teqp.  ·  Datos barridos: T_fuente [385–410] K (11 valores); T_sumidero [278.15–300.03] K (3 valores); ε_cond [0.85–0.95] (5 valores); piso de O2 [278.15–300.03] K (3 valores).</t>
        </is>
      </c>
      <c r="W10" t="inlineStr">
        <is>
          <t>Datos fijos: m_b = 1 kg/s; motor de propiedades = teqp.  ·  Datos barridos: T_fuente [424.1–448.1] K (3 valores); T_sumidero [278.15–281.64] K (3 valores); P_alta [3181.8–4681.8] kPa (6 valores); P_baja [588.34–1028.3] kPa (3 valores); x_b [0.59975–0.70475] (4 valores); η_t [0.86348–0.95] (4 valores); η_p [0.69108–0.80108] (3 valores); ε_HRVG [0.62273–0.73273] (3 valores); ε_reg [0.88653–0.95] (3 valores); ε_cond [0.78683–0.89683] (3 valores); piso de O2 [278.15–281.64] K (3 valores).</t>
        </is>
      </c>
      <c r="X10" t="inlineStr">
        <is>
          <t>Datos fijos: m_b = 1 kg/s; motor de propiedades = teqp.  ·  Datos barridos: T_fuente [408–432] K (3 valores); T_sumidero [278.15–280.69] K (2 valores); P_alta [2700–3300] kPa (3 valores); P_baja [300–613.75] kPa (3 valores); x_b [0.5–0.535] (2 valores); η_t [0.795–0.95] (5 valores); η_p [0.695–0.805] (3 valores); ε_HRVG [0.795–0.905] (3 valores); ε_reg [0.695–0.95] (6 valores); ε_cond [0.745–0.855] (3 valores); piso de O2 [278.15–280.69] K (2 valores).</t>
        </is>
      </c>
      <c r="Y10" t="inlineStr">
        <is>
          <t>Datos fijos: T_fuente = 623.15 K; T_sumidero = 300.03 K; m_b = 1 kg/s; piso de O2 = 300.03 K; motor de propiedades = teqp.  ·  Datos barridos: P_alta [3606–5000] kPa (7 valores); P_baja [1139.6–1579.6] kPa (3 valores); x_b [0.79448–0.85] (3 valores); η_t [0.78106–0.95] (5 valores); η_p [0.78253–0.89253] (3 valores); ε_HRVG [0.44137–0.55137] (3 valores); ε_reg [0.86168–0.95] (3 valores); ε_cond [0.89079–0.95] (3 valores).</t>
        </is>
      </c>
      <c r="Z10" t="inlineStr">
        <is>
          <t>Datos fijos: T_sumidero = 300.03 K; P_alta = 3000 kPa; P_baja = 400 kPa; m_b = 1 kg/s; piso de O2 = 300.03 K; motor de propiedades = teqp.  ·  Datos barridos: T_fuente [391–427] K (4 valores); x_b [0.5–0.535] (2 valores); η_t [0.795–0.95] (5 valores); η_p [0.695–0.86] (4 valores); ε_HRVG [0.795–0.95] (4 valores); ε_reg [0.695–0.95] (7 valores); ε_cond [0.895–0.95] (2 valores).</t>
        </is>
      </c>
      <c r="AA10" t="inlineStr">
        <is>
          <t>Datos fijos: T_fuente = 623.15 K; x_b = 0.5; m_b = 1 kg/s; motor de propiedades = teqp.  ·  Datos barridos: T_sumidero [300.04–303.55] K (3 valores); P_alta [4508.3–5000] kPa (3 valores); P_baja [802.27–1462.3] kPa (4 valores); η_t [0.86749–0.95] (3 valores); η_p [0.52107–0.63107] (3 valores); ε_HRVG [0.4–0.5173] (4 valores); ε_reg [0.4–0.68511] (7 valores); ε_cond [0.82342–0.93342] (3 valores); piso de O2 [300.04–303.55] K (3 valores).</t>
        </is>
      </c>
      <c r="AB10" t="inlineStr">
        <is>
          <t>Datos fijos: ninguno.  ·  Datos barridos: T_fuente [390–623.15] K (8 valores); T_sumidero [278.15–302.58] K (5 valores); P_alta [3000–5000] kPa (6 valores); P_baja [393.75–2500] kPa (72 valores); x_b [0.5–0.85] (5 valores); η_t [0.78075–0.95] (6 valores); η_p [0.57607–0.87178] (6 valores); ε_HRVG [0.4–0.95] (7 valores); ε_reg [0.68511–0.95] (6 valores); ε_cond [0.8–0.95] (7 valores); piso de O2 [278.15–302.58] K (5 valores); motor de propiedades (2 valores).</t>
        </is>
      </c>
      <c r="AC10" t="inlineStr">
        <is>
          <t>Datos fijos: T_fuente = 623.15 K; m_b = 1 kg/s; motor de propiedades = teqp.  ·  Datos barridos: T_sumidero [278.34–303.38] K (100 valores); P_alta [2028.6–4974.7] kPa (100 valores); P_baja [310.76–1986.6] kPa (100 valores); x_b [0.5034–0.84989] (100 valores); η_t [0.40229–0.94911] (100 valores); η_p [0.4002–0.94989] (100 valores); ε_HRVG [0.40275–0.94523] (100 valores); ε_reg [0.40096–0.94825] (100 valores); ε_cond [0.40059–0.94905] (100 valores); piso de O2 [278.34–303.38] K (100 valores).</t>
        </is>
      </c>
      <c r="AD10" t="inlineStr">
        <is>
          <t>Datos fijos: m_b = 1 kg/s; η_t = 0.85; η_p = 0.75; ε_HRVG = 0.85; ε_reg = 0.75; ε_cond = 0.8; motor de propiedades = teqp.  ·  Datos barridos: T_fuente [380.44–519.56] K (100 valores); T_sumidero [278.19–303.53] K (100 valores); P_alta [2000.1–4999.5] kPa (100 valores); P_baja [310.68–1987] kPa (100 valores); x_b [0.5024–0.84766] (100 valores); piso de O2 [278.19–303.53] K (99 valores).</t>
        </is>
      </c>
      <c r="AE10" t="inlineStr">
        <is>
          <t>Datos fijos: P_alta = 3000 kPa; m_b = 1 kg/s; motor de propiedades = teqp.  ·  Datos barridos: T_fuente [380.83–519.23] K (100 valores); T_sumidero [278.18–303.38] K (100 valores); P_baja [302.71–1996.1] kPa (100 valores); x_b [0.50042–0.84732] (100 valores); η_t [0.40001–0.94581] (100 valores); η_p [0.40064–0.94501] (100 valores); ε_HRVG [0.4042–0.9495] (100 valores); ε_reg [0.40036–0.94776] (100 valores); ε_cond [0.4016–0.94517] (100 valores); piso de O2 [278.18–303.38] K (100 valores).</t>
        </is>
      </c>
      <c r="AF10" t="inlineStr">
        <is>
          <t>Datos fijos: P_baja = 400 kPa; m_b = 1 kg/s; motor de propiedades = teqp.  ·  Datos barridos: T_fuente [380.17–519.32] K (100 valores); T_sumidero [278.2–303.38] K (100 valores); P_alta [2021.5–4978.4] kPa (100 valores); x_b [0.50197–0.84661] (100 valores); η_t [0.4053–0.9466] (100 valores); η_p [0.40469–0.94995] (100 valores); ε_HRVG [0.40114–0.94753] (100 valores); ε_reg [0.40125–0.94595] (100 valores); ε_cond [0.40216–0.94462] (100 valores); piso de O2 [278.2–303.38] K (100 valores).</t>
        </is>
      </c>
      <c r="AG10" t="inlineStr">
        <is>
          <t>Datos fijos: T_sumidero = 300.03 K; m_b = 1 kg/s; piso de O2 = 300.03 K; motor de propiedades = teqp.  ·  Datos barridos: T_fuente [380.15–519.05] K (100 valores); P_alta [2007.3–4982.8] kPa (100 valores); P_baja [306.34–1990.7] kPa (100 valores); x_b [0.50254–0.84706] (100 valores); η_t [0.40548–0.94528] (100 valores); η_p [0.40023–0.94499] (100 valores); ε_HRVG [0.40366–0.94783] (100 valores); ε_reg [0.40294–0.94836] (100 valores); ε_cond [0.4005–0.94609] (100 valores).</t>
        </is>
      </c>
      <c r="AH10" t="inlineStr">
        <is>
          <t>Datos fijos: x_b = 0.5; m_b = 1 kg/s; motor de propiedades = teqp.  ·  Datos barridos: T_fuente [380.96–519.59] K (100 valores); T_sumidero [278.16–303.42] K (100 valores); P_alta [2022.4–4977.3] kPa (100 valores); P_baja [316.78–1998.8] kPa (100 valores); η_t [0.40154–0.94956] (100 valores); η_p [0.40172–0.9459] (100 valores); ε_HRVG [0.4016–0.94961] (100 valores); ε_reg [0.40243–0.9448] (100 valores); ε_cond [0.40398–0.94769] (100 valores); piso de O2 [278.16–303.42] K (99 valores).</t>
        </is>
      </c>
      <c r="AI10" t="inlineStr">
        <is>
          <t>Datos fijos: T_fuente = 623.15 K; x_b = 0.5; m_b = 1 kg/s; motor de propiedades = teqp.  ·  Datos barridos: T_sumidero [278.85–302.95] K (30 valores); P_alta [2053.5–4944.1] kPa (30 valores); P_baja [340.4–1956.6] kPa (30 valores); η_t [0.40522–0.947] (30 valores); η_p [0.41022–0.93982] (30 valores); ε_HRVG [0.4138–0.93543] (30 valores); ε_reg [0.40078–0.93921] (30 valores); ε_cond [0.40579–0.94417] (30 valores); piso de O2 [278.85–302.95] K (29 valores).</t>
        </is>
      </c>
      <c r="AJ10" t="inlineStr">
        <is>
          <t>Datos fijos: x_b = 0.5; m_b = 1 kg/s; η_t = 0.85; η_p = 0.75; ε_HRVG = 0.85; ε_reg = 0.75; ε_cond = 0.8; motor de propiedades = teqp.  ·  Datos barridos: T_fuente [384.04–517.01] K (30 valores); T_sumidero [278.55–303.53] K (30 valores); P_alta [2057.9–4961.3] kPa (30 valores); P_baja [330.15–1943.5] kPa (30 valores); piso de O2 [278.55–303.53] K (30 valores).</t>
        </is>
      </c>
      <c r="AK10" t="inlineStr">
        <is>
          <t>Datos fijos: P_alta = 3000 kPa; x_b = 0.5; m_b = 1 kg/s; motor de propiedades = teqp.  ·  Datos barridos: T_fuente [382.6–518.07] K (30 valores); T_sumidero [278.39–302.73] K (30 valores); P_baja [342.09–1989.5] kPa (30 valores); η_t [0.41094–0.93577] (30 valores); η_p [0.41642–0.94651] (30 valores); ε_HRVG [0.40346–0.94556] (30 valores); ε_reg [0.41554–0.934] (30 valores); ε_cond [0.41419–0.94569] (30 valores); piso de O2 [278.39–302.73] K (30 valores).</t>
        </is>
      </c>
      <c r="AL10" t="inlineStr">
        <is>
          <t>Datos fijos: P_baja = 400 kPa; x_b = 0.5; m_b = 1 kg/s; motor de propiedades = teqp.  ·  Datos barridos: T_fuente [384–516.49] K (30 valores); T_sumidero [278.74–303.44] K (30 valores); P_alta [2074.9–4986.8] kPa (30 valores); η_t [0.40304–0.94848] (30 valores); η_p [0.41784–0.94777] (30 valores); ε_HRVG [0.40443–0.94263] (30 valores); ε_reg [0.40448–0.94052] (30 valores); ε_cond [0.41717–0.94273] (30 valores); piso de O2 [278.74–303.44] K (30 valores).</t>
        </is>
      </c>
      <c r="AM10" t="inlineStr">
        <is>
          <t>Datos fijos: T_sumidero = 300.03 K; x_b = 0.5; m_b = 1 kg/s; piso de O2 = 300.03 K; motor de propiedades = teqp.  ·  Datos barridos: T_fuente [383.81–519.8] K (30 valores); P_alta [2083.4–4923.8] kPa (30 valores); P_baja [312.41–1972.6] kPa (30 valores); η_t [0.40191–0.93333] (30 valores); η_p [0.41378–0.94129] (30 valores); ε_HRVG [0.41737–0.94993] (30 valores); ε_reg [0.41211–0.93198] (30 valores); ε_cond [0.41483–0.93561] (30 valores).</t>
        </is>
      </c>
      <c r="AN10" t="inlineStr">
        <is>
          <t>Datos fijos: T_fuente = 623.15 K; P_alta = 3000 kPa; x_b = 0.5; m_b = 1 kg/s; motor de propiedades = teqp.  ·  Datos barridos: T_sumidero [278.6–303.08] K (30 valores); P_baja [311.17–1974.7] kPa (30 valores); η_t [0.40503–0.94334] (30 valores); η_p [0.4077–0.93892] (30 valores); ε_HRVG [0.40971–0.93394] (30 valores); ε_reg [0.40991–0.94641] (30 valores); ε_cond [0.41021–0.9461] (30 valores); piso de O2 [278.6–303.08] K (30 valores).</t>
        </is>
      </c>
      <c r="AO10" t="inlineStr">
        <is>
          <t>Datos fijos: P_alta = 3000 kPa; x_b = 0.5; m_b = 1 kg/s; η_t = 0.85; η_p = 0.75; ε_HRVG = 0.85; ε_reg = 0.75; ε_cond = 0.8; motor de propiedades = teqp.  ·  Datos barridos: T_fuente [381.65–516.65] K (30 valores); T_sumidero [278.41–303.23] K (30 valores); P_baja [306.73–1963.1] kPa (30 valores); piso de O2 [278.41–303.23] K (30 valores).</t>
        </is>
      </c>
      <c r="AP10" t="inlineStr">
        <is>
          <t>Datos fijos: P_alta = 3000 kPa; P_baja = 400 kPa; x_b = 0.5; m_b = 1 kg/s; motor de propiedades = teqp.  ·  Datos barridos: T_fuente [380.09–515.82] K (30 valores); T_sumidero [278.22–303.2] K (30 valores); η_t [0.40814–0.94996] (30 valores); η_p [0.41112–0.94217] (30 valores); ε_HRVG [0.4112–0.93654] (30 valores); ε_reg [0.41069–0.93978] (30 valores); ε_cond [0.41309–0.94806] (30 valores); piso de O2 [278.22–303.2] K (30 valores).</t>
        </is>
      </c>
      <c r="AQ10" t="inlineStr">
        <is>
          <t>Datos fijos: T_sumidero = 300.03 K; P_alta = 3000 kPa; x_b = 0.5; m_b = 1 kg/s; piso de O2 = 300.03 K; motor de propiedades = teqp.  ·  Datos barridos: T_fuente [383.95–517.82] K (30 valores); P_baja [338.08–1945] kPa (30 valores); η_t [0.4078–0.93532] (30 valores); η_p [0.41592–0.94183] (30 valores); ε_HRVG [0.40868–0.94823] (30 valores); ε_reg [0.40765–0.93658] (30 valores); ε_cond [0.41595–0.93779] (30 valores).</t>
        </is>
      </c>
      <c r="AR10" t="inlineStr">
        <is>
          <t>Datos fijos: T_fuente = 623.15 K; P_alta = 3000 kPa; x_b = 0.5; m_b = 1 kg/s; η_t = 0.85; η_p = 0.75; ε_HRVG = 0.85; ε_reg = 0.75; ε_cond = 0.8; motor de propiedades = teqp.  ·  Datos barridos: T_sumidero [278.67–303.44] K (30 valores); P_baja [317.03–1948.3] kPa (30 valores); piso de O2 [278.67–303.44] K (30 valores).</t>
        </is>
      </c>
      <c r="AS10" t="inlineStr">
        <is>
          <t>Datos fijos: P_alta = 3000 kPa; P_baja = 400 kPa; x_b = 0.5; m_b = 1 kg/s; η_t = 0.85; η_p = 0.75; ε_HRVG = 0.85; ε_reg = 0.75; ε_cond = 0.8; motor de propiedades = teqp.  ·  Datos barridos: T_fuente [384.24–519.84] K (30 valores); T_sumidero [278.21–303.38] K (30 valores); piso de O2 [278.21–303.38] K (30 valores).</t>
        </is>
      </c>
      <c r="AT10" t="inlineStr">
        <is>
          <t>Datos fijos: T_sumidero = 300.03 K; P_alta = 3000 kPa; x_b = 0.5; m_b = 1 kg/s; η_t = 0.85; η_p = 0.75; ε_HRVG = 0.85; ε_reg = 0.75; ε_cond = 0.8; piso de O2 = 300.03 K; motor de propiedades = teqp.  ·  Datos barridos: T_fuente [381.62–516.04] K (30 valores); P_baja [333.59–1956.3] kPa (30 valores).</t>
        </is>
      </c>
      <c r="AU10" t="inlineStr">
        <is>
          <t>Datos fijos: T_fuente = 394.15 K; T_sumidero = 278.15 K; P_alta = 3300 kPa; x_b = 0.82; m_b = 1 kg/s; η_t = 0.9; η_p = 0.8; ε_HRVG = 0.85; ε_reg = 0.75; ε_cond = 0.95; motor de propiedades = teqp.  ·  Datos barridos: P_baja [500–1000] kPa (12 valores); piso de O2 [278.15–283.15] K (2 valores).</t>
        </is>
      </c>
      <c r="AV10" t="inlineStr">
        <is>
          <t>Datos fijos: T_fuente = 394.15 K; T_sumidero = 278.15 K; m_b = 1 kg/s; η_p = 0.8; ε_HRVG = 0.85; motor de propiedades = teqp.  ·  Datos barridos: P_alta [3300–3500] kPa (3 valores); P_baja [670–1500] kPa (40 valores); x_b [0.78–0.83333] (6 valores); η_t [0.85–0.98] (8 valores); ε_reg [0.75–0.95] (12 valores); ε_cond [0.95–0.99] (5 valores); piso de O2 [283.15–303.55] K (2 valores).</t>
        </is>
      </c>
      <c r="AW10" t="inlineStr">
        <is>
          <t>Punto base (las demás variables quedan fijas en): T_fuente = 394.15 K; T_sumidero = 278.15 K; P_alta = 3300 kPa; P_baja = 690 kPa; x_b = 0.82; m_b = 1 kg/s; η_t = 0.9; η_p = 0.8; ε_HRVG = 0.85; ε_reg = 0.75; ε_cond = 0.95; piso de O2 = 283.15 K; motor de propiedades = teqp. Cada panel o tramo mueve solo su variable.  ·  Datos barridos (uno a la vez): T_fuente [380–430] K (15 valores); T_sumidero [273.15–293.15] K (15 valores); P_alta [2500–4000] kPa (15 valores); P_baja [500–1200] kPa (15 valores); x_b [0.6–0.95] (15 valores); η_t [0.75–0.95] (15 valores); η_p [0.6–0.9] (15 valores); ε_HRVG [0.6–0.95] (15 valores); ε_reg [0.4–0.95] (15 valores); ε_cond [0.7–0.95] (15 valores).</t>
        </is>
      </c>
      <c r="AX10" t="inlineStr">
        <is>
          <t>Datos fijos: T_fuente = 394.15 K; T_sumidero = 278.15 K; P_alta = 3300 kPa; m_b = 1 kg/s; η_t = 0.9; η_p = 0.8; ε_HRVG = 0.85; ε_reg = 0.75; ε_cond = 0.95; piso de O2 = 283.15 K; motor de propiedades = teqp.  ·  Datos barridos: P_baja [200–1200] kPa (8 valores); x_b [0.3–0.91] (9 valores).</t>
        </is>
      </c>
      <c r="AY10" t="inlineStr">
        <is>
          <t>Punto base (las demás variables quedan fijas en): T_fuente = 394.15 K; T_sumidero = 278.15 K; P_alta = 3300 kPa; P_baja = 690 kPa; x_b = 0.3; m_b = 1 kg/s; η_t = 0.9; η_p = 0.8; ε_HRVG = 0.85; ε_reg = 0.75; ε_cond = 0.95; piso de O2 = 283.15 K; motor de propiedades = teqp. Cada panel o tramo mueve solo su variable.  ·  Datos barridos (uno a la vez): x_b [0.3–0.7] (17 valores).</t>
        </is>
      </c>
    </row>
    <row r="11">
      <c r="A11" t="inlineStr">
        <is>
          <t>descripcion</t>
        </is>
      </c>
      <c r="B11" t="inlineStr">
        <is>
          <t>1.1b · solo P_alta / 1.1a · punto del profesor / 1.1c · solo x_b / 1.1d · temperatura ambiente hora a hora</t>
        </is>
      </c>
      <c r="C11" t="inlineStr">
        <is>
          <t>2.1 · una variable a la vez</t>
        </is>
      </c>
      <c r="D11" t="inlineStr">
        <is>
          <t>2.2a · conservar la fuente (ε_HRVG × P_baja)</t>
        </is>
      </c>
      <c r="E11" t="inlineStr">
        <is>
          <t>2.2b · bajar la fuente (T_fuente × P_baja)</t>
        </is>
      </c>
      <c r="F11" t="inlineStr">
        <is>
          <t>2.3a · un cambio</t>
        </is>
      </c>
      <c r="G11" t="inlineStr">
        <is>
          <t>2.3b · ε_HRVG × ε_cond</t>
        </is>
      </c>
      <c r="H11" t="inlineStr">
        <is>
          <t>2.3c · ε_HRVG × P_baja</t>
        </is>
      </c>
      <c r="I11" t="inlineStr">
        <is>
          <t>2.3d · T_fuente × ε_cond</t>
        </is>
      </c>
      <c r="J11" t="inlineStr">
        <is>
          <t>2.4a · fuente a 403 K</t>
        </is>
      </c>
      <c r="K11" t="inlineStr">
        <is>
          <t>2.4b · fuente a 420 K</t>
        </is>
      </c>
      <c r="L11" t="inlineStr">
        <is>
          <t>2.4c · ε_HRVG = 0.40 (fuente del profesor)</t>
        </is>
      </c>
      <c r="M11" t="inlineStr">
        <is>
          <t>2.4d · datos exactos del profesor</t>
        </is>
      </c>
      <c r="N11" t="inlineStr">
        <is>
          <t>3.1 · alrededor de A*</t>
        </is>
      </c>
      <c r="O11" t="inlineStr">
        <is>
          <t>3.2 · muestra de 300 puntos / 3.2 · muestra de 200 puntos</t>
        </is>
      </c>
      <c r="P11" t="inlineStr">
        <is>
          <t>3.3 · P_baja de 1500 a 2500 kPa</t>
        </is>
      </c>
      <c r="Q11" t="inlineStr">
        <is>
          <t>4.1a · conserva sus temperaturas</t>
        </is>
      </c>
      <c r="R11" t="inlineStr">
        <is>
          <t>4.1b · conserva sus presiones</t>
        </is>
      </c>
      <c r="S11" t="inlineStr">
        <is>
          <t>4.1c · conserva sus presiones y su clima</t>
        </is>
      </c>
      <c r="T11" t="inlineStr">
        <is>
          <t>4.1d · conserva su P_alta y sus temperaturas</t>
        </is>
      </c>
      <c r="U11" t="inlineStr">
        <is>
          <t>4.1e · conserva su fuente y su x_b</t>
        </is>
      </c>
      <c r="V11" t="inlineStr">
        <is>
          <t>4.2 · presiones del profesor, malla T_fuente × ε_cond × clima</t>
        </is>
      </c>
      <c r="W11" t="inlineStr">
        <is>
          <t>5.1a · libre, desde el mejor de 3.2</t>
        </is>
      </c>
      <c r="X11" t="inlineStr">
        <is>
          <t>5.1b · libre, desde el mejor de 2.4</t>
        </is>
      </c>
      <c r="Y11" t="inlineStr">
        <is>
          <t>5.1c · conserva sus temperaturas</t>
        </is>
      </c>
      <c r="Z11" t="inlineStr">
        <is>
          <t>5.1d · conserva sus presiones y su clima</t>
        </is>
      </c>
      <c r="AA11" t="inlineStr">
        <is>
          <t>5.1e · conserva su fuente y su x_b</t>
        </is>
      </c>
      <c r="AB11" t="inlineStr">
        <is>
          <t>6.1a · teqp frente al motor real / 6.1b · piso de cavitación a 30.4 °C / 6.1c · costo de exigir subenfriamiento / 6.1d · motor real con 1500 s</t>
        </is>
      </c>
      <c r="AC11" t="inlineStr">
        <is>
          <t>4.3 T_fuente · ronda 0</t>
        </is>
      </c>
      <c r="AD11" t="inlineStr">
        <is>
          <t>4.3 eficiencias · ronda 0</t>
        </is>
      </c>
      <c r="AE11" t="inlineStr">
        <is>
          <t>4.3 P_alta · ronda 0</t>
        </is>
      </c>
      <c r="AF11" t="inlineStr">
        <is>
          <t>4.3 P_baja · ronda 0</t>
        </is>
      </c>
      <c r="AG11" t="inlineStr">
        <is>
          <t>4.3 T_sumidero · ronda 0</t>
        </is>
      </c>
      <c r="AH11" t="inlineStr">
        <is>
          <t>4.3 x_b · ronda 0</t>
        </is>
      </c>
      <c r="AI11" t="inlineStr">
        <is>
          <t>4.3 x_b+T_fuente · ronda 1</t>
        </is>
      </c>
      <c r="AJ11" t="inlineStr">
        <is>
          <t>4.3 x_b+eficiencias · ronda 1</t>
        </is>
      </c>
      <c r="AK11" t="inlineStr">
        <is>
          <t>4.3 x_b+P_alta · ronda 1</t>
        </is>
      </c>
      <c r="AL11" t="inlineStr">
        <is>
          <t>4.3 x_b+P_baja · ronda 1</t>
        </is>
      </c>
      <c r="AM11" t="inlineStr">
        <is>
          <t>4.3 x_b+T_sumidero · ronda 1</t>
        </is>
      </c>
      <c r="AN11" t="inlineStr">
        <is>
          <t>4.3 x_b+P_alta+T_fuente · ronda 2</t>
        </is>
      </c>
      <c r="AO11" t="inlineStr">
        <is>
          <t>4.3 x_b+P_alta+eficiencias · ronda 2</t>
        </is>
      </c>
      <c r="AP11" t="inlineStr">
        <is>
          <t>4.3 x_b+P_alta+P_baja · ronda 2</t>
        </is>
      </c>
      <c r="AQ11" t="inlineStr">
        <is>
          <t>4.3 x_b+P_alta+T_sumidero · ronda 2</t>
        </is>
      </c>
      <c r="AR11" t="inlineStr">
        <is>
          <t>4.3 x_b+P_alta+eficiencias+T_fuente · ronda 3</t>
        </is>
      </c>
      <c r="AS11" t="inlineStr">
        <is>
          <t>4.3 x_b+P_alta+eficiencias+P_baja · ronda 3</t>
        </is>
      </c>
      <c r="AT11" t="inlineStr">
        <is>
          <t>4.3 x_b+P_alta+eficiencias+T_sumidero · ronda 3</t>
        </is>
      </c>
      <c r="AU11" t="inlineStr">
        <is>
          <t>6.2e · P_baja mínima con su piso de diseño</t>
        </is>
      </c>
      <c r="AV11" t="inlineStr">
        <is>
          <t>6.2a · Fase 3 de septiembre</t>
        </is>
      </c>
      <c r="AW11" t="inlineStr">
        <is>
          <t>6.2b · una variable a la vez</t>
        </is>
      </c>
      <c r="AX11" t="inlineStr">
        <is>
          <t>6.2c · malla x_b × P_baja (x_b 0.70–0.91) / 6.2c · malla x_b × P_baja (x_b 0.30–0.70)</t>
        </is>
      </c>
      <c r="AY11" t="inlineStr">
        <is>
          <t>6.2d · x_b bajo (0.30–0.70)</t>
        </is>
      </c>
    </row>
    <row r="12">
      <c r="A12" t="inlineStr">
        <is>
          <t>clase_KALINA</t>
        </is>
      </c>
      <c r="B12" t="n">
        <v>0</v>
      </c>
      <c r="C12" t="n">
        <v>0</v>
      </c>
      <c r="D12" t="n">
        <v>0</v>
      </c>
      <c r="E12" t="n">
        <v>59</v>
      </c>
      <c r="F12" t="n">
        <v>0</v>
      </c>
      <c r="G12" t="n">
        <v>0</v>
      </c>
      <c r="H12" t="n">
        <v>19</v>
      </c>
      <c r="I12" t="n">
        <v>1</v>
      </c>
      <c r="J12" t="n">
        <v>59</v>
      </c>
      <c r="K12" t="n">
        <v>60</v>
      </c>
      <c r="L12" t="n">
        <v>34</v>
      </c>
      <c r="M12" t="n">
        <v>0</v>
      </c>
      <c r="N12" t="n">
        <v>86</v>
      </c>
      <c r="O12" t="n">
        <v>121</v>
      </c>
      <c r="P12" t="n">
        <v>75</v>
      </c>
      <c r="Q12" t="n">
        <v>4</v>
      </c>
      <c r="R12" t="n">
        <v>0</v>
      </c>
      <c r="S12" t="n">
        <v>0</v>
      </c>
      <c r="T12" t="n">
        <v>6</v>
      </c>
      <c r="U12" t="n">
        <v>10</v>
      </c>
      <c r="V12" t="n">
        <v>104</v>
      </c>
      <c r="W12" t="n">
        <v>102</v>
      </c>
      <c r="X12" t="n">
        <v>63</v>
      </c>
      <c r="Y12" t="n">
        <v>91</v>
      </c>
      <c r="Z12" t="n">
        <v>80</v>
      </c>
      <c r="AA12" t="n">
        <v>83</v>
      </c>
      <c r="AB12" t="n">
        <v>145</v>
      </c>
      <c r="AC12" t="n">
        <v>7</v>
      </c>
      <c r="AD12" t="n">
        <v>13</v>
      </c>
      <c r="AE12" t="n">
        <v>19</v>
      </c>
      <c r="AF12" t="n">
        <v>1</v>
      </c>
      <c r="AG12" t="n">
        <v>17</v>
      </c>
      <c r="AH12" t="n">
        <v>29</v>
      </c>
      <c r="AI12" t="n">
        <v>2</v>
      </c>
      <c r="AJ12" t="n">
        <v>11</v>
      </c>
      <c r="AK12" t="n">
        <v>11</v>
      </c>
      <c r="AL12" t="n">
        <v>4</v>
      </c>
      <c r="AM12" t="n">
        <v>9</v>
      </c>
      <c r="AN12" t="n">
        <v>3</v>
      </c>
      <c r="AO12" t="n">
        <v>13</v>
      </c>
      <c r="AP12" t="n">
        <v>2</v>
      </c>
      <c r="AQ12" t="n">
        <v>8</v>
      </c>
      <c r="AR12" t="n">
        <v>0</v>
      </c>
      <c r="AS12" t="n">
        <v>5</v>
      </c>
      <c r="AT12" t="n">
        <v>6</v>
      </c>
      <c r="AU12" t="n">
        <v>18</v>
      </c>
      <c r="AV12" t="n">
        <v>97</v>
      </c>
      <c r="AW12" t="n">
        <v>107</v>
      </c>
      <c r="AX12" t="n">
        <v>70</v>
      </c>
      <c r="AY12" t="n">
        <v>8</v>
      </c>
    </row>
    <row r="13">
      <c r="A13" t="inlineStr">
        <is>
          <t>clase_CORREGIBLE</t>
        </is>
      </c>
      <c r="B13" t="n">
        <v>0</v>
      </c>
      <c r="C13" t="n">
        <v>13</v>
      </c>
      <c r="D13" t="n">
        <v>36</v>
      </c>
      <c r="E13" t="n">
        <v>70</v>
      </c>
      <c r="F13" t="n">
        <v>24</v>
      </c>
      <c r="G13" t="n">
        <v>48</v>
      </c>
      <c r="H13" t="n">
        <v>43</v>
      </c>
      <c r="I13" t="n">
        <v>18</v>
      </c>
      <c r="J13" t="n">
        <v>29</v>
      </c>
      <c r="K13" t="n">
        <v>29</v>
      </c>
      <c r="L13" t="n">
        <v>55</v>
      </c>
      <c r="M13" t="n">
        <v>0</v>
      </c>
      <c r="N13" t="n">
        <v>57</v>
      </c>
      <c r="O13" t="n">
        <v>308</v>
      </c>
      <c r="P13" t="n">
        <v>43</v>
      </c>
      <c r="Q13" t="n">
        <v>40</v>
      </c>
      <c r="R13" t="n">
        <v>57</v>
      </c>
      <c r="S13" t="n">
        <v>29</v>
      </c>
      <c r="T13" t="n">
        <v>38</v>
      </c>
      <c r="U13" t="n">
        <v>55</v>
      </c>
      <c r="V13" t="n">
        <v>30</v>
      </c>
      <c r="W13" t="n">
        <v>15</v>
      </c>
      <c r="X13" t="n">
        <v>41</v>
      </c>
      <c r="Y13" t="n">
        <v>14</v>
      </c>
      <c r="Z13" t="n">
        <v>33</v>
      </c>
      <c r="AA13" t="n">
        <v>27</v>
      </c>
      <c r="AB13" t="n">
        <v>9</v>
      </c>
      <c r="AC13" t="n">
        <v>44</v>
      </c>
      <c r="AD13" t="n">
        <v>72</v>
      </c>
      <c r="AE13" t="n">
        <v>51</v>
      </c>
      <c r="AF13" t="n">
        <v>44</v>
      </c>
      <c r="AG13" t="n">
        <v>39</v>
      </c>
      <c r="AH13" t="n">
        <v>37</v>
      </c>
      <c r="AI13" t="n">
        <v>15</v>
      </c>
      <c r="AJ13" t="n">
        <v>15</v>
      </c>
      <c r="AK13" t="n">
        <v>15</v>
      </c>
      <c r="AL13" t="n">
        <v>20</v>
      </c>
      <c r="AM13" t="n">
        <v>12</v>
      </c>
      <c r="AN13" t="n">
        <v>13</v>
      </c>
      <c r="AO13" t="n">
        <v>14</v>
      </c>
      <c r="AP13" t="n">
        <v>20</v>
      </c>
      <c r="AQ13" t="n">
        <v>15</v>
      </c>
      <c r="AR13" t="n">
        <v>0</v>
      </c>
      <c r="AS13" t="n">
        <v>22</v>
      </c>
      <c r="AT13" t="n">
        <v>21</v>
      </c>
      <c r="AU13" t="n">
        <v>6</v>
      </c>
      <c r="AV13" t="n">
        <v>0</v>
      </c>
      <c r="AW13" t="n">
        <v>41</v>
      </c>
      <c r="AX13" t="n">
        <v>24</v>
      </c>
      <c r="AY13" t="n">
        <v>0</v>
      </c>
    </row>
    <row r="14">
      <c r="A14" t="inlineStr">
        <is>
          <t>clase_INVIABLE</t>
        </is>
      </c>
      <c r="B14" t="n">
        <v>0</v>
      </c>
      <c r="C14" t="n">
        <v>2</v>
      </c>
      <c r="D14" t="n">
        <v>0</v>
      </c>
      <c r="E14" t="n">
        <v>0</v>
      </c>
      <c r="F14" t="n">
        <v>0</v>
      </c>
      <c r="G14" t="n">
        <v>0</v>
      </c>
      <c r="H14" t="n">
        <v>0</v>
      </c>
      <c r="I14" t="n">
        <v>1</v>
      </c>
      <c r="J14" t="n">
        <v>2</v>
      </c>
      <c r="K14" t="n">
        <v>1</v>
      </c>
      <c r="L14" t="n">
        <v>0</v>
      </c>
      <c r="M14" t="n">
        <v>0</v>
      </c>
      <c r="N14" t="n">
        <v>5</v>
      </c>
      <c r="O14" t="n">
        <v>23</v>
      </c>
      <c r="P14" t="n">
        <v>2</v>
      </c>
      <c r="Q14" t="n">
        <v>15</v>
      </c>
      <c r="R14" t="n">
        <v>38</v>
      </c>
      <c r="S14" t="n">
        <v>55</v>
      </c>
      <c r="T14" t="n">
        <v>18</v>
      </c>
      <c r="U14" t="n">
        <v>17</v>
      </c>
      <c r="V14" t="n">
        <v>15</v>
      </c>
      <c r="W14" t="n">
        <v>0</v>
      </c>
      <c r="X14" t="n">
        <v>0</v>
      </c>
      <c r="Y14" t="n">
        <v>0</v>
      </c>
      <c r="Z14" t="n">
        <v>0</v>
      </c>
      <c r="AA14" t="n">
        <v>0</v>
      </c>
      <c r="AB14" t="n">
        <v>0</v>
      </c>
      <c r="AC14" t="n">
        <v>9</v>
      </c>
      <c r="AD14" t="n">
        <v>3</v>
      </c>
      <c r="AE14" t="n">
        <v>18</v>
      </c>
      <c r="AF14" t="n">
        <v>40</v>
      </c>
      <c r="AG14" t="n">
        <v>31</v>
      </c>
      <c r="AH14" t="n">
        <v>19</v>
      </c>
      <c r="AI14" t="n">
        <v>3</v>
      </c>
      <c r="AJ14" t="n">
        <v>0</v>
      </c>
      <c r="AK14" t="n">
        <v>2</v>
      </c>
      <c r="AL14" t="n">
        <v>3</v>
      </c>
      <c r="AM14" t="n">
        <v>5</v>
      </c>
      <c r="AN14" t="n">
        <v>3</v>
      </c>
      <c r="AO14" t="n">
        <v>1</v>
      </c>
      <c r="AP14" t="n">
        <v>6</v>
      </c>
      <c r="AQ14" t="n">
        <v>4</v>
      </c>
      <c r="AR14" t="n">
        <v>0</v>
      </c>
      <c r="AS14" t="n">
        <v>1</v>
      </c>
      <c r="AT14" t="n">
        <v>2</v>
      </c>
      <c r="AU14" t="n">
        <v>0</v>
      </c>
      <c r="AV14" t="n">
        <v>0</v>
      </c>
      <c r="AW14" t="n">
        <v>0</v>
      </c>
      <c r="AX14" t="n">
        <v>0</v>
      </c>
      <c r="AY14" t="n">
        <v>0</v>
      </c>
    </row>
    <row r="15">
      <c r="A15" t="inlineStr">
        <is>
          <t>clase_NO_CONVERGIO</t>
        </is>
      </c>
      <c r="B15" t="n">
        <v>42</v>
      </c>
      <c r="C15" t="n">
        <v>96</v>
      </c>
      <c r="D15" t="n">
        <v>0</v>
      </c>
      <c r="E15" t="n">
        <v>3</v>
      </c>
      <c r="F15" t="n">
        <v>52</v>
      </c>
      <c r="G15" t="n">
        <v>12</v>
      </c>
      <c r="H15" t="n">
        <v>2</v>
      </c>
      <c r="I15" t="n">
        <v>1</v>
      </c>
      <c r="J15" t="n">
        <v>0</v>
      </c>
      <c r="K15" t="n">
        <v>0</v>
      </c>
      <c r="L15" t="n">
        <v>1</v>
      </c>
      <c r="M15" t="n">
        <v>50</v>
      </c>
      <c r="N15" t="n">
        <v>17</v>
      </c>
      <c r="O15" t="n">
        <v>35</v>
      </c>
      <c r="P15" t="n">
        <v>9</v>
      </c>
      <c r="Q15" t="n">
        <v>58</v>
      </c>
      <c r="R15" t="n">
        <v>23</v>
      </c>
      <c r="S15" t="n">
        <v>30</v>
      </c>
      <c r="T15" t="n">
        <v>56</v>
      </c>
      <c r="U15" t="n">
        <v>37</v>
      </c>
      <c r="V15" t="n">
        <v>1</v>
      </c>
      <c r="W15" t="n">
        <v>0</v>
      </c>
      <c r="X15" t="n">
        <v>1</v>
      </c>
      <c r="Y15" t="n">
        <v>7</v>
      </c>
      <c r="Z15" t="n">
        <v>0</v>
      </c>
      <c r="AA15" t="n">
        <v>2</v>
      </c>
      <c r="AB15" t="n">
        <v>16</v>
      </c>
      <c r="AC15" t="n">
        <v>38</v>
      </c>
      <c r="AD15" t="n">
        <v>7</v>
      </c>
      <c r="AE15" t="n">
        <v>11</v>
      </c>
      <c r="AF15" t="n">
        <v>14</v>
      </c>
      <c r="AG15" t="n">
        <v>12</v>
      </c>
      <c r="AH15" t="n">
        <v>9</v>
      </c>
      <c r="AI15" t="n">
        <v>9</v>
      </c>
      <c r="AJ15" t="n">
        <v>1</v>
      </c>
      <c r="AK15" t="n">
        <v>1</v>
      </c>
      <c r="AL15" t="n">
        <v>1</v>
      </c>
      <c r="AM15" t="n">
        <v>2</v>
      </c>
      <c r="AN15" t="n">
        <v>11</v>
      </c>
      <c r="AO15" t="n">
        <v>1</v>
      </c>
      <c r="AP15" t="n">
        <v>0</v>
      </c>
      <c r="AQ15" t="n">
        <v>0</v>
      </c>
      <c r="AR15" t="n">
        <v>30</v>
      </c>
      <c r="AS15" t="n">
        <v>1</v>
      </c>
      <c r="AT15" t="n">
        <v>0</v>
      </c>
      <c r="AU15" t="n">
        <v>0</v>
      </c>
      <c r="AV15" t="n">
        <v>0</v>
      </c>
      <c r="AW15" t="n">
        <v>2</v>
      </c>
      <c r="AX15" t="n">
        <v>12</v>
      </c>
      <c r="AY15" t="n">
        <v>5</v>
      </c>
    </row>
    <row r="16">
      <c r="A16" t="inlineStr">
        <is>
          <t>clase_N2</t>
        </is>
      </c>
      <c r="B16" t="n">
        <v>0</v>
      </c>
      <c r="C16" t="n">
        <v>21</v>
      </c>
      <c r="D16" t="n">
        <v>0</v>
      </c>
      <c r="E16" t="n">
        <v>12</v>
      </c>
      <c r="F16" t="n">
        <v>4</v>
      </c>
      <c r="G16" t="n">
        <v>0</v>
      </c>
      <c r="H16" t="n">
        <v>0</v>
      </c>
      <c r="I16" t="n">
        <v>0</v>
      </c>
      <c r="J16" t="n">
        <v>0</v>
      </c>
      <c r="K16" t="n">
        <v>0</v>
      </c>
      <c r="L16" t="n">
        <v>0</v>
      </c>
      <c r="M16" t="n">
        <v>0</v>
      </c>
      <c r="N16" t="n">
        <v>6</v>
      </c>
      <c r="O16" t="n">
        <v>13</v>
      </c>
      <c r="P16" t="n">
        <v>6</v>
      </c>
      <c r="Q16" t="n">
        <v>2</v>
      </c>
      <c r="R16" t="n">
        <v>2</v>
      </c>
      <c r="S16" t="n">
        <v>6</v>
      </c>
      <c r="T16" t="n">
        <v>2</v>
      </c>
      <c r="U16" t="n">
        <v>0</v>
      </c>
      <c r="V16" t="n">
        <v>15</v>
      </c>
      <c r="W16" t="n">
        <v>0</v>
      </c>
      <c r="X16" t="n">
        <v>0</v>
      </c>
      <c r="Y16" t="n">
        <v>0</v>
      </c>
      <c r="Z16" t="n">
        <v>0</v>
      </c>
      <c r="AA16" t="n">
        <v>1</v>
      </c>
      <c r="AB16" t="n">
        <v>0</v>
      </c>
      <c r="AC16" t="n">
        <v>2</v>
      </c>
      <c r="AD16" t="n">
        <v>4</v>
      </c>
      <c r="AE16" t="n">
        <v>1</v>
      </c>
      <c r="AF16" t="n">
        <v>1</v>
      </c>
      <c r="AG16" t="n">
        <v>0</v>
      </c>
      <c r="AH16" t="n">
        <v>5</v>
      </c>
      <c r="AI16" t="n">
        <v>0</v>
      </c>
      <c r="AJ16" t="n">
        <v>3</v>
      </c>
      <c r="AK16" t="n">
        <v>1</v>
      </c>
      <c r="AL16" t="n">
        <v>2</v>
      </c>
      <c r="AM16" t="n">
        <v>2</v>
      </c>
      <c r="AN16" t="n">
        <v>0</v>
      </c>
      <c r="AO16" t="n">
        <v>1</v>
      </c>
      <c r="AP16" t="n">
        <v>2</v>
      </c>
      <c r="AQ16" t="n">
        <v>3</v>
      </c>
      <c r="AR16" t="n">
        <v>0</v>
      </c>
      <c r="AS16" t="n">
        <v>1</v>
      </c>
      <c r="AT16" t="n">
        <v>1</v>
      </c>
      <c r="AU16" t="n">
        <v>0</v>
      </c>
      <c r="AV16" t="n">
        <v>0</v>
      </c>
      <c r="AW16" t="n">
        <v>0</v>
      </c>
      <c r="AX16" t="n">
        <v>12</v>
      </c>
      <c r="AY16" t="n">
        <v>4</v>
      </c>
    </row>
    <row r="17">
      <c r="A17" t="inlineStr">
        <is>
          <t>crit_viol_O1</t>
        </is>
      </c>
      <c r="B17" t="n">
        <v>0</v>
      </c>
      <c r="C17" t="n">
        <v>11</v>
      </c>
      <c r="D17" t="n">
        <v>3</v>
      </c>
      <c r="E17" t="n">
        <v>2</v>
      </c>
      <c r="F17" t="n">
        <v>4</v>
      </c>
      <c r="G17" t="n">
        <v>8</v>
      </c>
      <c r="H17" t="n">
        <v>0</v>
      </c>
      <c r="I17" t="n">
        <v>5</v>
      </c>
      <c r="J17" t="n">
        <v>0</v>
      </c>
      <c r="K17" t="n">
        <v>5</v>
      </c>
      <c r="L17" t="n">
        <v>9</v>
      </c>
      <c r="M17" t="n">
        <v>0</v>
      </c>
      <c r="N17" t="n">
        <v>0</v>
      </c>
      <c r="O17" t="n">
        <v>21</v>
      </c>
      <c r="P17" t="n">
        <v>0</v>
      </c>
      <c r="Q17" t="n">
        <v>3</v>
      </c>
      <c r="R17" t="n">
        <v>8</v>
      </c>
      <c r="S17" t="n">
        <v>3</v>
      </c>
      <c r="T17" t="n">
        <v>1</v>
      </c>
      <c r="U17" t="n">
        <v>5</v>
      </c>
      <c r="V17" t="n">
        <v>0</v>
      </c>
      <c r="W17" t="n">
        <v>0</v>
      </c>
      <c r="X17" t="n">
        <v>8</v>
      </c>
      <c r="Y17" t="n">
        <v>0</v>
      </c>
      <c r="Z17" t="n">
        <v>0</v>
      </c>
      <c r="AA17" t="n">
        <v>21</v>
      </c>
      <c r="AB17" t="n">
        <v>0</v>
      </c>
      <c r="AC17" t="n">
        <v>2</v>
      </c>
      <c r="AD17" t="n">
        <v>3</v>
      </c>
      <c r="AE17" t="n">
        <v>0</v>
      </c>
      <c r="AF17" t="n">
        <v>5</v>
      </c>
      <c r="AG17" t="n">
        <v>0</v>
      </c>
      <c r="AH17" t="n">
        <v>4</v>
      </c>
      <c r="AI17" t="n">
        <v>1</v>
      </c>
      <c r="AJ17" t="n">
        <v>3</v>
      </c>
      <c r="AK17" t="n">
        <v>0</v>
      </c>
      <c r="AL17" t="n">
        <v>5</v>
      </c>
      <c r="AM17" t="n">
        <v>2</v>
      </c>
      <c r="AN17" t="n">
        <v>1</v>
      </c>
      <c r="AO17" t="n">
        <v>0</v>
      </c>
      <c r="AP17" t="n">
        <v>3</v>
      </c>
      <c r="AQ17" t="n">
        <v>0</v>
      </c>
      <c r="AR17" t="n">
        <v>0</v>
      </c>
      <c r="AS17" t="n">
        <v>1</v>
      </c>
      <c r="AT17" t="n">
        <v>0</v>
      </c>
      <c r="AU17" t="n">
        <v>0</v>
      </c>
      <c r="AV17" t="n">
        <v>0</v>
      </c>
      <c r="AW17" t="n">
        <v>0</v>
      </c>
      <c r="AX17" t="n">
        <v>0</v>
      </c>
      <c r="AY17" t="n">
        <v>0</v>
      </c>
    </row>
    <row r="18">
      <c r="A18" t="inlineStr">
        <is>
          <t>crit_viol_O2</t>
        </is>
      </c>
      <c r="B18" t="n">
        <v>0</v>
      </c>
      <c r="C18" t="n">
        <v>15</v>
      </c>
      <c r="D18" t="n">
        <v>36</v>
      </c>
      <c r="E18" t="n">
        <v>70</v>
      </c>
      <c r="F18" t="n">
        <v>24</v>
      </c>
      <c r="G18" t="n">
        <v>48</v>
      </c>
      <c r="H18" t="n">
        <v>43</v>
      </c>
      <c r="I18" t="n">
        <v>19</v>
      </c>
      <c r="J18" t="n">
        <v>31</v>
      </c>
      <c r="K18" t="n">
        <v>30</v>
      </c>
      <c r="L18" t="n">
        <v>55</v>
      </c>
      <c r="M18" t="n">
        <v>0</v>
      </c>
      <c r="N18" t="n">
        <v>61</v>
      </c>
      <c r="O18" t="n">
        <v>324</v>
      </c>
      <c r="P18" t="n">
        <v>44</v>
      </c>
      <c r="Q18" t="n">
        <v>55</v>
      </c>
      <c r="R18" t="n">
        <v>95</v>
      </c>
      <c r="S18" t="n">
        <v>84</v>
      </c>
      <c r="T18" t="n">
        <v>56</v>
      </c>
      <c r="U18" t="n">
        <v>72</v>
      </c>
      <c r="V18" t="n">
        <v>30</v>
      </c>
      <c r="W18" t="n">
        <v>15</v>
      </c>
      <c r="X18" t="n">
        <v>41</v>
      </c>
      <c r="Y18" t="n">
        <v>14</v>
      </c>
      <c r="Z18" t="n">
        <v>33</v>
      </c>
      <c r="AA18" t="n">
        <v>11</v>
      </c>
      <c r="AB18" t="n">
        <v>9</v>
      </c>
      <c r="AC18" t="n">
        <v>53</v>
      </c>
      <c r="AD18" t="n">
        <v>75</v>
      </c>
      <c r="AE18" t="n">
        <v>69</v>
      </c>
      <c r="AF18" t="n">
        <v>84</v>
      </c>
      <c r="AG18" t="n">
        <v>68</v>
      </c>
      <c r="AH18" t="n">
        <v>51</v>
      </c>
      <c r="AI18" t="n">
        <v>18</v>
      </c>
      <c r="AJ18" t="n">
        <v>15</v>
      </c>
      <c r="AK18" t="n">
        <v>17</v>
      </c>
      <c r="AL18" t="n">
        <v>23</v>
      </c>
      <c r="AM18" t="n">
        <v>16</v>
      </c>
      <c r="AN18" t="n">
        <v>16</v>
      </c>
      <c r="AO18" t="n">
        <v>14</v>
      </c>
      <c r="AP18" t="n">
        <v>26</v>
      </c>
      <c r="AQ18" t="n">
        <v>19</v>
      </c>
      <c r="AR18" t="n">
        <v>0</v>
      </c>
      <c r="AS18" t="n">
        <v>22</v>
      </c>
      <c r="AT18" t="n">
        <v>21</v>
      </c>
      <c r="AU18" t="n">
        <v>6</v>
      </c>
      <c r="AV18" t="n">
        <v>0</v>
      </c>
      <c r="AW18" t="n">
        <v>41</v>
      </c>
      <c r="AX18" t="n">
        <v>24</v>
      </c>
      <c r="AY18" t="n">
        <v>0</v>
      </c>
    </row>
    <row r="19">
      <c r="A19" t="inlineStr">
        <is>
          <t>crit_viol_O3</t>
        </is>
      </c>
      <c r="B19" t="n">
        <v>0</v>
      </c>
      <c r="C19" t="n">
        <v>0</v>
      </c>
      <c r="D19" t="n">
        <v>0</v>
      </c>
      <c r="E19" t="n">
        <v>0</v>
      </c>
      <c r="F19" t="n">
        <v>0</v>
      </c>
      <c r="G19" t="n">
        <v>0</v>
      </c>
      <c r="H19" t="n">
        <v>0</v>
      </c>
      <c r="I19" t="n">
        <v>0</v>
      </c>
      <c r="J19" t="n">
        <v>2</v>
      </c>
      <c r="K19" t="n">
        <v>1</v>
      </c>
      <c r="L19" t="n">
        <v>0</v>
      </c>
      <c r="M19" t="n">
        <v>0</v>
      </c>
      <c r="N19" t="n">
        <v>4</v>
      </c>
      <c r="O19" t="n">
        <v>22</v>
      </c>
      <c r="P19" t="n">
        <v>1</v>
      </c>
      <c r="Q19" t="n">
        <v>14</v>
      </c>
      <c r="R19" t="n">
        <v>38</v>
      </c>
      <c r="S19" t="n">
        <v>55</v>
      </c>
      <c r="T19" t="n">
        <v>18</v>
      </c>
      <c r="U19" t="n">
        <v>17</v>
      </c>
      <c r="V19" t="n">
        <v>15</v>
      </c>
      <c r="W19" t="n">
        <v>0</v>
      </c>
      <c r="X19" t="n">
        <v>0</v>
      </c>
      <c r="Y19" t="n">
        <v>0</v>
      </c>
      <c r="Z19" t="n">
        <v>0</v>
      </c>
      <c r="AA19" t="n">
        <v>0</v>
      </c>
      <c r="AB19" t="n">
        <v>0</v>
      </c>
      <c r="AC19" t="n">
        <v>9</v>
      </c>
      <c r="AD19" t="n">
        <v>3</v>
      </c>
      <c r="AE19" t="n">
        <v>18</v>
      </c>
      <c r="AF19" t="n">
        <v>40</v>
      </c>
      <c r="AG19" t="n">
        <v>31</v>
      </c>
      <c r="AH19" t="n">
        <v>19</v>
      </c>
      <c r="AI19" t="n">
        <v>3</v>
      </c>
      <c r="AJ19" t="n">
        <v>0</v>
      </c>
      <c r="AK19" t="n">
        <v>2</v>
      </c>
      <c r="AL19" t="n">
        <v>3</v>
      </c>
      <c r="AM19" t="n">
        <v>5</v>
      </c>
      <c r="AN19" t="n">
        <v>3</v>
      </c>
      <c r="AO19" t="n">
        <v>1</v>
      </c>
      <c r="AP19" t="n">
        <v>6</v>
      </c>
      <c r="AQ19" t="n">
        <v>4</v>
      </c>
      <c r="AR19" t="n">
        <v>0</v>
      </c>
      <c r="AS19" t="n">
        <v>1</v>
      </c>
      <c r="AT19" t="n">
        <v>1</v>
      </c>
      <c r="AU19" t="n">
        <v>0</v>
      </c>
      <c r="AV19" t="n">
        <v>0</v>
      </c>
      <c r="AW19" t="n">
        <v>0</v>
      </c>
      <c r="AX19" t="n">
        <v>0</v>
      </c>
      <c r="AY19" t="n">
        <v>0</v>
      </c>
    </row>
    <row r="20">
      <c r="A20" t="inlineStr">
        <is>
          <t>crit_viol_O5</t>
        </is>
      </c>
      <c r="B20" t="n">
        <v>0</v>
      </c>
      <c r="C20" t="n">
        <v>2</v>
      </c>
      <c r="D20" t="n">
        <v>0</v>
      </c>
      <c r="E20" t="n">
        <v>0</v>
      </c>
      <c r="F20" t="n">
        <v>0</v>
      </c>
      <c r="G20" t="n">
        <v>0</v>
      </c>
      <c r="H20" t="n">
        <v>0</v>
      </c>
      <c r="I20" t="n">
        <v>0</v>
      </c>
      <c r="J20" t="n">
        <v>0</v>
      </c>
      <c r="K20" t="n">
        <v>0</v>
      </c>
      <c r="L20" t="n">
        <v>0</v>
      </c>
      <c r="M20" t="n">
        <v>0</v>
      </c>
      <c r="N20" t="n">
        <v>0</v>
      </c>
      <c r="O20" t="n">
        <v>0</v>
      </c>
      <c r="P20" t="n">
        <v>1</v>
      </c>
      <c r="Q20" t="n">
        <v>1</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row>
    <row r="21">
      <c r="A21" t="inlineStr">
        <is>
          <t>cond_T_fuente</t>
        </is>
      </c>
      <c r="B21" t="inlineStr">
        <is>
          <t>Fija: 623.15 K</t>
        </is>
      </c>
      <c r="C21" t="inlineStr">
        <is>
          <t>Una a la vez (punto base 623.15 K; rango 340–623.15)</t>
        </is>
      </c>
      <c r="D21" t="inlineStr">
        <is>
          <t>Fija: 623.15 K</t>
        </is>
      </c>
      <c r="E21" t="inlineStr">
        <is>
          <t>Barrida: 380 – 560 K</t>
        </is>
      </c>
      <c r="F21" t="inlineStr">
        <is>
          <t>Fija: 623.15 K</t>
        </is>
      </c>
      <c r="G21" t="inlineStr">
        <is>
          <t>Fija: 623.15 K</t>
        </is>
      </c>
      <c r="H21" t="inlineStr">
        <is>
          <t>Fija: 623.15 K</t>
        </is>
      </c>
      <c r="I21" t="inlineStr">
        <is>
          <t>Barrida: 403 – 560 K</t>
        </is>
      </c>
      <c r="J21" t="inlineStr">
        <is>
          <t>Fija: 403.0 K</t>
        </is>
      </c>
      <c r="K21" t="inlineStr">
        <is>
          <t>Fija: 420.0 K</t>
        </is>
      </c>
      <c r="L21" t="inlineStr">
        <is>
          <t>Fija: 623.15 K</t>
        </is>
      </c>
      <c r="M21" t="inlineStr">
        <is>
          <t>Fija: 623.15 K</t>
        </is>
      </c>
      <c r="N21" t="inlineStr">
        <is>
          <t>Una a la vez (punto base 403.0 K; rango 340–623.15)</t>
        </is>
      </c>
      <c r="O21" t="inlineStr">
        <is>
          <t>Barrida: 380.23 – 499.941 K</t>
        </is>
      </c>
      <c r="P21" t="inlineStr">
        <is>
          <t>Barrida: 380.746 – 499.827 K</t>
        </is>
      </c>
      <c r="Q21" t="inlineStr">
        <is>
          <t>Fija: 623.15 K</t>
        </is>
      </c>
      <c r="R21" t="inlineStr">
        <is>
          <t>Barrida: 381.609 – 621.774 K</t>
        </is>
      </c>
      <c r="S21" t="inlineStr">
        <is>
          <t>Barrida: 380.234 – 622.401 K</t>
        </is>
      </c>
      <c r="T21" t="inlineStr">
        <is>
          <t>Fija: 623.15 K</t>
        </is>
      </c>
      <c r="U21" t="inlineStr">
        <is>
          <t>Fija: 623.15 K</t>
        </is>
      </c>
      <c r="V21" t="inlineStr">
        <is>
          <t>Barrida: 385 – 410 K</t>
        </is>
      </c>
      <c r="W21" t="inlineStr">
        <is>
          <t>Barrida: 424.097 – 448.097 K</t>
        </is>
      </c>
      <c r="X21" t="inlineStr">
        <is>
          <t>Barrida: 408 – 432 K</t>
        </is>
      </c>
      <c r="Y21" t="inlineStr">
        <is>
          <t>Fija: 623.15 K</t>
        </is>
      </c>
      <c r="Z21" t="inlineStr">
        <is>
          <t>Barrida: 391 – 427 K</t>
        </is>
      </c>
      <c r="AA21" t="inlineStr">
        <is>
          <t>Fija: 623.15 K</t>
        </is>
      </c>
      <c r="AB21" t="inlineStr">
        <is>
          <t>Distinta según el subcaso (ver hoja de condiciones del caso)</t>
        </is>
      </c>
      <c r="AC21" t="inlineStr">
        <is>
          <t>Fija: 623.15 K</t>
        </is>
      </c>
      <c r="AD21" t="inlineStr">
        <is>
          <t>Barrida: 380.438 – 519.56 K</t>
        </is>
      </c>
      <c r="AE21" t="inlineStr">
        <is>
          <t>Barrida: 380.828 – 519.225 K</t>
        </is>
      </c>
      <c r="AF21" t="inlineStr">
        <is>
          <t>Barrida: 380.174 – 519.32 K</t>
        </is>
      </c>
      <c r="AG21" t="inlineStr">
        <is>
          <t>Barrida: 380.151 – 519.053 K</t>
        </is>
      </c>
      <c r="AH21" t="inlineStr">
        <is>
          <t>Barrida: 380.962 – 519.59 K</t>
        </is>
      </c>
      <c r="AI21" t="inlineStr">
        <is>
          <t>Fija: 623.15 K</t>
        </is>
      </c>
      <c r="AJ21" t="inlineStr">
        <is>
          <t>Barrida: 384.037 – 517.014 K</t>
        </is>
      </c>
      <c r="AK21" t="inlineStr">
        <is>
          <t>Barrida: 382.6 – 518.065 K</t>
        </is>
      </c>
      <c r="AL21" t="inlineStr">
        <is>
          <t>Barrida: 383.998 – 516.488 K</t>
        </is>
      </c>
      <c r="AM21" t="inlineStr">
        <is>
          <t>Barrida: 383.808 – 519.796 K</t>
        </is>
      </c>
      <c r="AN21" t="inlineStr">
        <is>
          <t>Fija: 623.15 K</t>
        </is>
      </c>
      <c r="AO21" t="inlineStr">
        <is>
          <t>Barrida: 381.654 – 516.651 K</t>
        </is>
      </c>
      <c r="AP21" t="inlineStr">
        <is>
          <t>Barrida: 380.09 – 515.817 K</t>
        </is>
      </c>
      <c r="AQ21" t="inlineStr">
        <is>
          <t>Barrida: 383.95 – 517.819 K</t>
        </is>
      </c>
      <c r="AR21" t="inlineStr">
        <is>
          <t>Fija: 623.15 K</t>
        </is>
      </c>
      <c r="AS21" t="inlineStr">
        <is>
          <t>Barrida: 384.24 – 519.842 K</t>
        </is>
      </c>
      <c r="AT21" t="inlineStr">
        <is>
          <t>Barrida: 381.62 – 516.043 K</t>
        </is>
      </c>
      <c r="AU21" t="inlineStr">
        <is>
          <t>Fija: 394.15 K</t>
        </is>
      </c>
      <c r="AV21" t="inlineStr">
        <is>
          <t>Fija: 394.15 K</t>
        </is>
      </c>
      <c r="AW21" t="inlineStr">
        <is>
          <t>Una a la vez (punto base 394.15 K; rango 380–430)</t>
        </is>
      </c>
      <c r="AX21" t="inlineStr">
        <is>
          <t>Fija: 394.15 K</t>
        </is>
      </c>
      <c r="AY21" t="inlineStr">
        <is>
          <t>Fija: 394.15 K</t>
        </is>
      </c>
    </row>
    <row r="22">
      <c r="A22" t="inlineStr">
        <is>
          <t>cond_T_sumidero</t>
        </is>
      </c>
      <c r="B22" t="inlineStr">
        <is>
          <t>Distinta según el subcaso (ver hoja de condiciones del caso)</t>
        </is>
      </c>
      <c r="C22" t="inlineStr">
        <is>
          <t>Una a la vez (punto base 300.033 K; rango 283.15–303.55)</t>
        </is>
      </c>
      <c r="D22" t="inlineStr">
        <is>
          <t>Fija: 300.032917 K</t>
        </is>
      </c>
      <c r="E22" t="inlineStr">
        <is>
          <t>Fija: 300.032917 K</t>
        </is>
      </c>
      <c r="F22" t="inlineStr">
        <is>
          <t>Fija: 300.032917 K</t>
        </is>
      </c>
      <c r="G22" t="inlineStr">
        <is>
          <t>Fija: 300.032917 K</t>
        </is>
      </c>
      <c r="H22" t="inlineStr">
        <is>
          <t>Fija: 300.032917 K</t>
        </is>
      </c>
      <c r="I22" t="inlineStr">
        <is>
          <t>Fija: 300.032917 K</t>
        </is>
      </c>
      <c r="J22" t="inlineStr">
        <is>
          <t>Barrida: 278.15 – 300.033 K</t>
        </is>
      </c>
      <c r="K22" t="inlineStr">
        <is>
          <t>Barrida: 278.15 – 300.033 K</t>
        </is>
      </c>
      <c r="L22" t="inlineStr">
        <is>
          <t>Barrida: 278.15 – 300.033 K</t>
        </is>
      </c>
      <c r="M22" t="inlineStr">
        <is>
          <t>Barrida: 278.15 – 300.033 K</t>
        </is>
      </c>
      <c r="N22" t="inlineStr">
        <is>
          <t>Una a la vez (punto base 300.033 K; rango 283.15–303.55)</t>
        </is>
      </c>
      <c r="O22" t="inlineStr">
        <is>
          <t>Barrida: 278.183 – 303.54 K</t>
        </is>
      </c>
      <c r="P22" t="inlineStr">
        <is>
          <t>Barrida: 278.278 – 303.41 K</t>
        </is>
      </c>
      <c r="Q22" t="inlineStr">
        <is>
          <t>Fija: 300.032917 K</t>
        </is>
      </c>
      <c r="R22" t="inlineStr">
        <is>
          <t>Barrida: 278.262 – 303.479 K</t>
        </is>
      </c>
      <c r="S22" t="inlineStr">
        <is>
          <t>Fija: 300.032917 K</t>
        </is>
      </c>
      <c r="T22" t="inlineStr">
        <is>
          <t>Fija: 300.032917 K</t>
        </is>
      </c>
      <c r="U22" t="inlineStr">
        <is>
          <t>Barrida: 278.281 – 303.358 K</t>
        </is>
      </c>
      <c r="V22" t="inlineStr">
        <is>
          <t>Barrida: 278.15 – 300.033 K</t>
        </is>
      </c>
      <c r="W22" t="inlineStr">
        <is>
          <t>Barrida: 278.15 – 281.638 K</t>
        </is>
      </c>
      <c r="X22" t="inlineStr">
        <is>
          <t>Barrida: 278.15 – 280.69 K</t>
        </is>
      </c>
      <c r="Y22" t="inlineStr">
        <is>
          <t>Fija: 300.032917 K</t>
        </is>
      </c>
      <c r="Z22" t="inlineStr">
        <is>
          <t>Fija: 300.032917 K</t>
        </is>
      </c>
      <c r="AA22" t="inlineStr">
        <is>
          <t>Barrida: 300.041 – 303.55 K</t>
        </is>
      </c>
      <c r="AB22" t="inlineStr">
        <is>
          <t>Distinta según el subcaso (ver hoja de condiciones del caso)</t>
        </is>
      </c>
      <c r="AC22" t="inlineStr">
        <is>
          <t>Barrida: 278.344 – 303.376 K</t>
        </is>
      </c>
      <c r="AD22" t="inlineStr">
        <is>
          <t>Barrida: 278.188 – 303.528 K</t>
        </is>
      </c>
      <c r="AE22" t="inlineStr">
        <is>
          <t>Barrida: 278.18 – 303.381 K</t>
        </is>
      </c>
      <c r="AF22" t="inlineStr">
        <is>
          <t>Barrida: 278.201 – 303.38 K</t>
        </is>
      </c>
      <c r="AG22" t="inlineStr">
        <is>
          <t>Fija: 300.032917 K</t>
        </is>
      </c>
      <c r="AH22" t="inlineStr">
        <is>
          <t>Barrida: 278.161 – 303.421 K</t>
        </is>
      </c>
      <c r="AI22" t="inlineStr">
        <is>
          <t>Barrida: 278.848 – 302.949 K</t>
        </is>
      </c>
      <c r="AJ22" t="inlineStr">
        <is>
          <t>Barrida: 278.55 – 303.53 K</t>
        </is>
      </c>
      <c r="AK22" t="inlineStr">
        <is>
          <t>Barrida: 278.393 – 302.731 K</t>
        </is>
      </c>
      <c r="AL22" t="inlineStr">
        <is>
          <t>Barrida: 278.739 – 303.442 K</t>
        </is>
      </c>
      <c r="AM22" t="inlineStr">
        <is>
          <t>Fija: 300.032917 K</t>
        </is>
      </c>
      <c r="AN22" t="inlineStr">
        <is>
          <t>Barrida: 278.604 – 303.079 K</t>
        </is>
      </c>
      <c r="AO22" t="inlineStr">
        <is>
          <t>Barrida: 278.406 – 303.235 K</t>
        </is>
      </c>
      <c r="AP22" t="inlineStr">
        <is>
          <t>Barrida: 278.219 – 303.196 K</t>
        </is>
      </c>
      <c r="AQ22" t="inlineStr">
        <is>
          <t>Fija: 300.032917 K</t>
        </is>
      </c>
      <c r="AR22" t="inlineStr">
        <is>
          <t>Barrida: 278.669 – 303.443 K</t>
        </is>
      </c>
      <c r="AS22" t="inlineStr">
        <is>
          <t>Barrida: 278.206 – 303.384 K</t>
        </is>
      </c>
      <c r="AT22" t="inlineStr">
        <is>
          <t>Fija: 300.032917 K</t>
        </is>
      </c>
      <c r="AU22" t="inlineStr">
        <is>
          <t>Fija: 278.15 K</t>
        </is>
      </c>
      <c r="AV22" t="inlineStr">
        <is>
          <t>Fija: 278.15 K</t>
        </is>
      </c>
      <c r="AW22" t="inlineStr">
        <is>
          <t>Una a la vez (punto base 278.15 K; rango 273.15–293.15)</t>
        </is>
      </c>
      <c r="AX22" t="inlineStr">
        <is>
          <t>Fija: 278.15 K</t>
        </is>
      </c>
      <c r="AY22" t="inlineStr">
        <is>
          <t>Fija: 278.15 K</t>
        </is>
      </c>
    </row>
    <row r="23">
      <c r="A23" t="inlineStr">
        <is>
          <t>cond_P_alta</t>
        </is>
      </c>
      <c r="B23" t="inlineStr">
        <is>
          <t>Distinta según el subcaso (ver hoja de condiciones del caso)</t>
        </is>
      </c>
      <c r="C23" t="inlineStr">
        <is>
          <t>Una a la vez (punto base 3000.0 kPa; rango 1000–10000)</t>
        </is>
      </c>
      <c r="D23" t="inlineStr">
        <is>
          <t>Fija: 3000.0 kPa</t>
        </is>
      </c>
      <c r="E23" t="inlineStr">
        <is>
          <t>Fija: 3000.0 kPa</t>
        </is>
      </c>
      <c r="F23" t="inlineStr">
        <is>
          <t>Fija: 3000.0 kPa</t>
        </is>
      </c>
      <c r="G23" t="inlineStr">
        <is>
          <t>Fija: 3000.0 kPa</t>
        </is>
      </c>
      <c r="H23" t="inlineStr">
        <is>
          <t>Fija: 3000.0 kPa</t>
        </is>
      </c>
      <c r="I23" t="inlineStr">
        <is>
          <t>Fija: 3000.0 kPa</t>
        </is>
      </c>
      <c r="J23" t="inlineStr">
        <is>
          <t>Fija: 3000.0 kPa</t>
        </is>
      </c>
      <c r="K23" t="inlineStr">
        <is>
          <t>Fija: 3000.0 kPa</t>
        </is>
      </c>
      <c r="L23" t="inlineStr">
        <is>
          <t>Fija: 3000.0 kPa</t>
        </is>
      </c>
      <c r="M23" t="inlineStr">
        <is>
          <t>Fija: 3000.0 kPa</t>
        </is>
      </c>
      <c r="N23" t="inlineStr">
        <is>
          <t>Una a la vez (punto base 3000.0 kPa; rango 1000–10000)</t>
        </is>
      </c>
      <c r="O23" t="inlineStr">
        <is>
          <t>Barrida: 2005.4 – 4991.23 kPa</t>
        </is>
      </c>
      <c r="P23" t="inlineStr">
        <is>
          <t>Barrida: 2015.69 – 4995.76 kPa</t>
        </is>
      </c>
      <c r="Q23" t="inlineStr">
        <is>
          <t>Barrida: 2000.11 – 4986.58 kPa</t>
        </is>
      </c>
      <c r="R23" t="inlineStr">
        <is>
          <t>Fija: 3000.0 kPa</t>
        </is>
      </c>
      <c r="S23" t="inlineStr">
        <is>
          <t>Fija: 3000.0 kPa</t>
        </is>
      </c>
      <c r="T23" t="inlineStr">
        <is>
          <t>Fija: 3000.0 kPa</t>
        </is>
      </c>
      <c r="U23" t="inlineStr">
        <is>
          <t>Barrida: 2023 – 4997.47 kPa</t>
        </is>
      </c>
      <c r="V23" t="inlineStr">
        <is>
          <t>Fija: 3000.0 kPa</t>
        </is>
      </c>
      <c r="W23" t="inlineStr">
        <is>
          <t>Barrida: 3181.82 – 4681.82 kPa</t>
        </is>
      </c>
      <c r="X23" t="inlineStr">
        <is>
          <t>Barrida: 2700 – 3300 kPa</t>
        </is>
      </c>
      <c r="Y23" t="inlineStr">
        <is>
          <t>Barrida: 3605.95 – 5000 kPa</t>
        </is>
      </c>
      <c r="Z23" t="inlineStr">
        <is>
          <t>Fija: 3000.0 kPa</t>
        </is>
      </c>
      <c r="AA23" t="inlineStr">
        <is>
          <t>Barrida: 4508.34 – 5000 kPa</t>
        </is>
      </c>
      <c r="AB23" t="inlineStr">
        <is>
          <t>Distinta según el subcaso (ver hoja de condiciones del caso)</t>
        </is>
      </c>
      <c r="AC23" t="inlineStr">
        <is>
          <t>Barrida: 2028.57 – 4974.75 kPa</t>
        </is>
      </c>
      <c r="AD23" t="inlineStr">
        <is>
          <t>Barrida: 2000.1 – 4999.52 kPa</t>
        </is>
      </c>
      <c r="AE23" t="inlineStr">
        <is>
          <t>Fija: 3000.0 kPa</t>
        </is>
      </c>
      <c r="AF23" t="inlineStr">
        <is>
          <t>Barrida: 2021.51 – 4978.35 kPa</t>
        </is>
      </c>
      <c r="AG23" t="inlineStr">
        <is>
          <t>Barrida: 2007.35 – 4982.75 kPa</t>
        </is>
      </c>
      <c r="AH23" t="inlineStr">
        <is>
          <t>Barrida: 2022.35 – 4977.25 kPa</t>
        </is>
      </c>
      <c r="AI23" t="inlineStr">
        <is>
          <t>Barrida: 2053.48 – 4944.13 kPa</t>
        </is>
      </c>
      <c r="AJ23" t="inlineStr">
        <is>
          <t>Barrida: 2057.91 – 4961.27 kPa</t>
        </is>
      </c>
      <c r="AK23" t="inlineStr">
        <is>
          <t>Fija: 3000.0 kPa</t>
        </is>
      </c>
      <c r="AL23" t="inlineStr">
        <is>
          <t>Barrida: 2074.92 – 4986.77 kPa</t>
        </is>
      </c>
      <c r="AM23" t="inlineStr">
        <is>
          <t>Barrida: 2083.43 – 4923.78 kPa</t>
        </is>
      </c>
      <c r="AN23" t="inlineStr">
        <is>
          <t>Fija: 3000.0 kPa</t>
        </is>
      </c>
      <c r="AO23" t="inlineStr">
        <is>
          <t>Fija: 3000.0 kPa</t>
        </is>
      </c>
      <c r="AP23" t="inlineStr">
        <is>
          <t>Fija: 3000.0 kPa</t>
        </is>
      </c>
      <c r="AQ23" t="inlineStr">
        <is>
          <t>Fija: 3000.0 kPa</t>
        </is>
      </c>
      <c r="AR23" t="inlineStr">
        <is>
          <t>Fija: 3000.0 kPa</t>
        </is>
      </c>
      <c r="AS23" t="inlineStr">
        <is>
          <t>Fija: 3000.0 kPa</t>
        </is>
      </c>
      <c r="AT23" t="inlineStr">
        <is>
          <t>Fija: 3000.0 kPa</t>
        </is>
      </c>
      <c r="AU23" t="inlineStr">
        <is>
          <t>Fija: 3300.0 kPa</t>
        </is>
      </c>
      <c r="AV23" t="inlineStr">
        <is>
          <t>Barrida: 3300 – 3500 kPa</t>
        </is>
      </c>
      <c r="AW23" t="inlineStr">
        <is>
          <t>Una a la vez (punto base 3300.0 kPa; rango 2500–4000)</t>
        </is>
      </c>
      <c r="AX23" t="inlineStr">
        <is>
          <t>Fija: 3300.0 kPa</t>
        </is>
      </c>
      <c r="AY23" t="inlineStr">
        <is>
          <t>Fija: 3300.0 kPa</t>
        </is>
      </c>
    </row>
    <row r="24">
      <c r="A24" t="inlineStr">
        <is>
          <t>cond_P_baja</t>
        </is>
      </c>
      <c r="B24" t="inlineStr">
        <is>
          <t>Fija: 400.0 kPa</t>
        </is>
      </c>
      <c r="C24" t="inlineStr">
        <is>
          <t>Una a la vez (punto base 400.0 kPa; rango 150–1500)</t>
        </is>
      </c>
      <c r="D24" t="inlineStr">
        <is>
          <t>Barrida: 400 – 2000 kPa</t>
        </is>
      </c>
      <c r="E24" t="inlineStr">
        <is>
          <t>Barrida: 400 – 2000 kPa</t>
        </is>
      </c>
      <c r="F24" t="inlineStr">
        <is>
          <t>Fija: 400.0 kPa</t>
        </is>
      </c>
      <c r="G24" t="inlineStr">
        <is>
          <t>Fija: 400.0 kPa</t>
        </is>
      </c>
      <c r="H24" t="inlineStr">
        <is>
          <t>Barrida: 400 – 2000 kPa</t>
        </is>
      </c>
      <c r="I24" t="inlineStr">
        <is>
          <t>Fija: 400.0 kPa</t>
        </is>
      </c>
      <c r="J24" t="inlineStr">
        <is>
          <t>Barrida: 150 – 1500 kPa</t>
        </is>
      </c>
      <c r="K24" t="inlineStr">
        <is>
          <t>Barrida: 150 – 1500 kPa</t>
        </is>
      </c>
      <c r="L24" t="inlineStr">
        <is>
          <t>Barrida: 150 – 1500 kPa</t>
        </is>
      </c>
      <c r="M24" t="inlineStr">
        <is>
          <t>Barrida: 150 – 1500 kPa</t>
        </is>
      </c>
      <c r="N24" t="inlineStr">
        <is>
          <t>Una a la vez (punto base 563.636 kPa; rango 150–1500)</t>
        </is>
      </c>
      <c r="O24" t="inlineStr">
        <is>
          <t>Barrida: 302.949 – 1498 kPa</t>
        </is>
      </c>
      <c r="P24" t="inlineStr">
        <is>
          <t>Barrida: 1501.26 – 2494.53 kPa</t>
        </is>
      </c>
      <c r="Q24" t="inlineStr">
        <is>
          <t>Barrida: 202.14 – 1989.72 kPa</t>
        </is>
      </c>
      <c r="R24" t="inlineStr">
        <is>
          <t>Fija: 400.0 kPa</t>
        </is>
      </c>
      <c r="S24" t="inlineStr">
        <is>
          <t>Fija: 400.0 kPa</t>
        </is>
      </c>
      <c r="T24" t="inlineStr">
        <is>
          <t>Barrida: 211.417 – 1985.57 kPa</t>
        </is>
      </c>
      <c r="U24" t="inlineStr">
        <is>
          <t>Barrida: 206.126 – 1999.26 kPa</t>
        </is>
      </c>
      <c r="V24" t="inlineStr">
        <is>
          <t>Fija: 400.0 kPa</t>
        </is>
      </c>
      <c r="W24" t="inlineStr">
        <is>
          <t>Barrida: 588.34 – 1028.34 kPa</t>
        </is>
      </c>
      <c r="X24" t="inlineStr">
        <is>
          <t>Barrida: 300 – 613.75 kPa</t>
        </is>
      </c>
      <c r="Y24" t="inlineStr">
        <is>
          <t>Barrida: 1139.56 – 1579.56 kPa</t>
        </is>
      </c>
      <c r="Z24" t="inlineStr">
        <is>
          <t>Fija: 400.0 kPa</t>
        </is>
      </c>
      <c r="AA24" t="inlineStr">
        <is>
          <t>Barrida: 802.274 – 1462.27 kPa</t>
        </is>
      </c>
      <c r="AB24" t="inlineStr">
        <is>
          <t>Barrida: 393.75 – 2500 kPa</t>
        </is>
      </c>
      <c r="AC24" t="inlineStr">
        <is>
          <t>Barrida: 310.761 – 1986.56 kPa</t>
        </is>
      </c>
      <c r="AD24" t="inlineStr">
        <is>
          <t>Barrida: 310.675 – 1987 kPa</t>
        </is>
      </c>
      <c r="AE24" t="inlineStr">
        <is>
          <t>Barrida: 302.713 – 1996.13 kPa</t>
        </is>
      </c>
      <c r="AF24" t="inlineStr">
        <is>
          <t>Fija: 400.0 kPa</t>
        </is>
      </c>
      <c r="AG24" t="inlineStr">
        <is>
          <t>Barrida: 306.34 – 1990.7 kPa</t>
        </is>
      </c>
      <c r="AH24" t="inlineStr">
        <is>
          <t>Barrida: 316.784 – 1998.76 kPa</t>
        </is>
      </c>
      <c r="AI24" t="inlineStr">
        <is>
          <t>Barrida: 340.403 – 1956.57 kPa</t>
        </is>
      </c>
      <c r="AJ24" t="inlineStr">
        <is>
          <t>Barrida: 330.145 – 1943.5 kPa</t>
        </is>
      </c>
      <c r="AK24" t="inlineStr">
        <is>
          <t>Barrida: 342.086 – 1989.51 kPa</t>
        </is>
      </c>
      <c r="AL24" t="inlineStr">
        <is>
          <t>Fija: 400.0 kPa</t>
        </is>
      </c>
      <c r="AM24" t="inlineStr">
        <is>
          <t>Barrida: 312.409 – 1972.61 kPa</t>
        </is>
      </c>
      <c r="AN24" t="inlineStr">
        <is>
          <t>Barrida: 311.166 – 1974.73 kPa</t>
        </is>
      </c>
      <c r="AO24" t="inlineStr">
        <is>
          <t>Barrida: 306.726 – 1963.08 kPa</t>
        </is>
      </c>
      <c r="AP24" t="inlineStr">
        <is>
          <t>Fija: 400.0 kPa</t>
        </is>
      </c>
      <c r="AQ24" t="inlineStr">
        <is>
          <t>Barrida: 338.076 – 1944.95 kPa</t>
        </is>
      </c>
      <c r="AR24" t="inlineStr">
        <is>
          <t>Barrida: 317.027 – 1948.29 kPa</t>
        </is>
      </c>
      <c r="AS24" t="inlineStr">
        <is>
          <t>Fija: 400.0 kPa</t>
        </is>
      </c>
      <c r="AT24" t="inlineStr">
        <is>
          <t>Barrida: 333.586 – 1956.25 kPa</t>
        </is>
      </c>
      <c r="AU24" t="inlineStr">
        <is>
          <t>Barrida: 500 – 1000 kPa</t>
        </is>
      </c>
      <c r="AV24" t="inlineStr">
        <is>
          <t>Barrida: 670 – 1500 kPa</t>
        </is>
      </c>
      <c r="AW24" t="inlineStr">
        <is>
          <t>Una a la vez (punto base 690.0 kPa; rango 500–1200)</t>
        </is>
      </c>
      <c r="AX24" t="inlineStr">
        <is>
          <t>Barrida: 200 – 1200 kPa</t>
        </is>
      </c>
      <c r="AY24" t="inlineStr">
        <is>
          <t>Fija: 690.0 kPa</t>
        </is>
      </c>
    </row>
    <row r="25">
      <c r="A25" t="inlineStr">
        <is>
          <t>cond_x_b</t>
        </is>
      </c>
      <c r="B25" t="inlineStr">
        <is>
          <t>Distinta según el subcaso (ver hoja de condiciones del caso)</t>
        </is>
      </c>
      <c r="C25" t="inlineStr">
        <is>
          <t>Una a la vez (punto base 0.5; rango 0.3–0.9)</t>
        </is>
      </c>
      <c r="D25" t="inlineStr">
        <is>
          <t>Fija: 0.5</t>
        </is>
      </c>
      <c r="E25" t="inlineStr">
        <is>
          <t>Fija: 0.5</t>
        </is>
      </c>
      <c r="F25" t="inlineStr">
        <is>
          <t>Fija: 0.5</t>
        </is>
      </c>
      <c r="G25" t="inlineStr">
        <is>
          <t>Fija: 0.5</t>
        </is>
      </c>
      <c r="H25" t="inlineStr">
        <is>
          <t>Fija: 0.5</t>
        </is>
      </c>
      <c r="I25" t="inlineStr">
        <is>
          <t>Fija: 0.5</t>
        </is>
      </c>
      <c r="J25" t="inlineStr">
        <is>
          <t>Fija: 0.5</t>
        </is>
      </c>
      <c r="K25" t="inlineStr">
        <is>
          <t>Fija: 0.5</t>
        </is>
      </c>
      <c r="L25" t="inlineStr">
        <is>
          <t>Fija: 0.5</t>
        </is>
      </c>
      <c r="M25" t="inlineStr">
        <is>
          <t>Fija: 0.5</t>
        </is>
      </c>
      <c r="N25" t="inlineStr">
        <is>
          <t>Una a la vez (punto base 0.5; rango 0.3–0.9)</t>
        </is>
      </c>
      <c r="O25" t="inlineStr">
        <is>
          <t>Barrida: 0.500115 – 0.849984</t>
        </is>
      </c>
      <c r="P25" t="inlineStr">
        <is>
          <t>Barrida: 0.502301 – 0.849527</t>
        </is>
      </c>
      <c r="Q25" t="inlineStr">
        <is>
          <t>Barrida: 0.501239 – 0.84895</t>
        </is>
      </c>
      <c r="R25" t="inlineStr">
        <is>
          <t>Barrida: 0.500843 – 0.847315</t>
        </is>
      </c>
      <c r="S25" t="inlineStr">
        <is>
          <t>Barrida: 0.500235 – 0.849316</t>
        </is>
      </c>
      <c r="T25" t="inlineStr">
        <is>
          <t>Barrida: 0.502261 – 0.847941</t>
        </is>
      </c>
      <c r="U25" t="inlineStr">
        <is>
          <t>Fija: 0.5</t>
        </is>
      </c>
      <c r="V25" t="inlineStr">
        <is>
          <t>Fija: 0.5</t>
        </is>
      </c>
      <c r="W25" t="inlineStr">
        <is>
          <t>Barrida: 0.599749 – 0.704749</t>
        </is>
      </c>
      <c r="X25" t="inlineStr">
        <is>
          <t>Barrida: 0.5 – 0.535</t>
        </is>
      </c>
      <c r="Y25" t="inlineStr">
        <is>
          <t>Barrida: 0.794478 – 0.85</t>
        </is>
      </c>
      <c r="Z25" t="inlineStr">
        <is>
          <t>Barrida: 0.5 – 0.535</t>
        </is>
      </c>
      <c r="AA25" t="inlineStr">
        <is>
          <t>Fija: 0.5</t>
        </is>
      </c>
      <c r="AB25" t="inlineStr">
        <is>
          <t>Distinta según el subcaso (ver hoja de condiciones del caso)</t>
        </is>
      </c>
      <c r="AC25" t="inlineStr">
        <is>
          <t>Barrida: 0.503397 – 0.849888</t>
        </is>
      </c>
      <c r="AD25" t="inlineStr">
        <is>
          <t>Barrida: 0.502398 – 0.847662</t>
        </is>
      </c>
      <c r="AE25" t="inlineStr">
        <is>
          <t>Barrida: 0.500418 – 0.847315</t>
        </is>
      </c>
      <c r="AF25" t="inlineStr">
        <is>
          <t>Barrida: 0.501974 – 0.84661</t>
        </is>
      </c>
      <c r="AG25" t="inlineStr">
        <is>
          <t>Barrida: 0.50254 – 0.847062</t>
        </is>
      </c>
      <c r="AH25" t="inlineStr">
        <is>
          <t>Fija: 0.5</t>
        </is>
      </c>
      <c r="AI25" t="inlineStr">
        <is>
          <t>Fija: 0.5</t>
        </is>
      </c>
      <c r="AJ25" t="inlineStr">
        <is>
          <t>Fija: 0.5</t>
        </is>
      </c>
      <c r="AK25" t="inlineStr">
        <is>
          <t>Fija: 0.5</t>
        </is>
      </c>
      <c r="AL25" t="inlineStr">
        <is>
          <t>Fija: 0.5</t>
        </is>
      </c>
      <c r="AM25" t="inlineStr">
        <is>
          <t>Fija: 0.5</t>
        </is>
      </c>
      <c r="AN25" t="inlineStr">
        <is>
          <t>Fija: 0.5</t>
        </is>
      </c>
      <c r="AO25" t="inlineStr">
        <is>
          <t>Fija: 0.5</t>
        </is>
      </c>
      <c r="AP25" t="inlineStr">
        <is>
          <t>Fija: 0.5</t>
        </is>
      </c>
      <c r="AQ25" t="inlineStr">
        <is>
          <t>Fija: 0.5</t>
        </is>
      </c>
      <c r="AR25" t="inlineStr">
        <is>
          <t>Fija: 0.5</t>
        </is>
      </c>
      <c r="AS25" t="inlineStr">
        <is>
          <t>Fija: 0.5</t>
        </is>
      </c>
      <c r="AT25" t="inlineStr">
        <is>
          <t>Fija: 0.5</t>
        </is>
      </c>
      <c r="AU25" t="inlineStr">
        <is>
          <t>Fija: 0.82</t>
        </is>
      </c>
      <c r="AV25" t="inlineStr">
        <is>
          <t>Barrida: 0.78 – 0.833333</t>
        </is>
      </c>
      <c r="AW25" t="inlineStr">
        <is>
          <t>Una a la vez (punto base 0.82; rango 0.6–0.95)</t>
        </is>
      </c>
      <c r="AX25" t="inlineStr">
        <is>
          <t>Barrida: 0.3 – 0.91</t>
        </is>
      </c>
      <c r="AY25" t="inlineStr">
        <is>
          <t>Una a la vez (punto base 0.3; rango 0.3–0.7)</t>
        </is>
      </c>
    </row>
    <row r="26">
      <c r="A26" t="inlineStr">
        <is>
          <t>cond_m_b</t>
        </is>
      </c>
      <c r="B26" t="inlineStr">
        <is>
          <t>Fija: 1.0 kg/s</t>
        </is>
      </c>
      <c r="C26" t="inlineStr">
        <is>
          <t>Fija: 1.0 kg/s</t>
        </is>
      </c>
      <c r="D26" t="inlineStr">
        <is>
          <t>Fija: 1.0 kg/s</t>
        </is>
      </c>
      <c r="E26" t="inlineStr">
        <is>
          <t>Fija: 1.0 kg/s</t>
        </is>
      </c>
      <c r="F26" t="inlineStr">
        <is>
          <t>Fija: 1.0 kg/s</t>
        </is>
      </c>
      <c r="G26" t="inlineStr">
        <is>
          <t>Fija: 1.0 kg/s</t>
        </is>
      </c>
      <c r="H26" t="inlineStr">
        <is>
          <t>Fija: 1.0 kg/s</t>
        </is>
      </c>
      <c r="I26" t="inlineStr">
        <is>
          <t>Fija: 1.0 kg/s</t>
        </is>
      </c>
      <c r="J26" t="inlineStr">
        <is>
          <t>Fija: 1.0 kg/s</t>
        </is>
      </c>
      <c r="K26" t="inlineStr">
        <is>
          <t>Fija: 1.0 kg/s</t>
        </is>
      </c>
      <c r="L26" t="inlineStr">
        <is>
          <t>Fija: 1.0 kg/s</t>
        </is>
      </c>
      <c r="M26" t="inlineStr">
        <is>
          <t>Fija: 1.0 kg/s</t>
        </is>
      </c>
      <c r="N26" t="inlineStr">
        <is>
          <t>Fija: 1.0 kg/s</t>
        </is>
      </c>
      <c r="O26" t="inlineStr">
        <is>
          <t>Fija: 1.0 kg/s</t>
        </is>
      </c>
      <c r="P26" t="inlineStr">
        <is>
          <t>Fija: 1.0 kg/s</t>
        </is>
      </c>
      <c r="Q26" t="inlineStr">
        <is>
          <t>Fija: 1.0 kg/s</t>
        </is>
      </c>
      <c r="R26" t="inlineStr">
        <is>
          <t>Fija: 1.0 kg/s</t>
        </is>
      </c>
      <c r="S26" t="inlineStr">
        <is>
          <t>Fija: 1.0 kg/s</t>
        </is>
      </c>
      <c r="T26" t="inlineStr">
        <is>
          <t>Fija: 1.0 kg/s</t>
        </is>
      </c>
      <c r="U26" t="inlineStr">
        <is>
          <t>Fija: 1.0 kg/s</t>
        </is>
      </c>
      <c r="V26" t="inlineStr">
        <is>
          <t>Fija: 1.0 kg/s</t>
        </is>
      </c>
      <c r="W26" t="inlineStr">
        <is>
          <t>Fija: 1.0 kg/s</t>
        </is>
      </c>
      <c r="X26" t="inlineStr">
        <is>
          <t>Fija: 1.0 kg/s</t>
        </is>
      </c>
      <c r="Y26" t="inlineStr">
        <is>
          <t>Fija: 1.0 kg/s</t>
        </is>
      </c>
      <c r="Z26" t="inlineStr">
        <is>
          <t>Fija: 1.0 kg/s</t>
        </is>
      </c>
      <c r="AA26" t="inlineStr">
        <is>
          <t>Fija: 1.0 kg/s</t>
        </is>
      </c>
      <c r="AB26" t="inlineStr">
        <is>
          <t>Distinta según el subcaso (ver hoja de condiciones del caso)</t>
        </is>
      </c>
      <c r="AC26" t="inlineStr">
        <is>
          <t>Fija: 1.0 kg/s</t>
        </is>
      </c>
      <c r="AD26" t="inlineStr">
        <is>
          <t>Fija: 1.0 kg/s</t>
        </is>
      </c>
      <c r="AE26" t="inlineStr">
        <is>
          <t>Fija: 1.0 kg/s</t>
        </is>
      </c>
      <c r="AF26" t="inlineStr">
        <is>
          <t>Fija: 1.0 kg/s</t>
        </is>
      </c>
      <c r="AG26" t="inlineStr">
        <is>
          <t>Fija: 1.0 kg/s</t>
        </is>
      </c>
      <c r="AH26" t="inlineStr">
        <is>
          <t>Fija: 1.0 kg/s</t>
        </is>
      </c>
      <c r="AI26" t="inlineStr">
        <is>
          <t>Fija: 1.0 kg/s</t>
        </is>
      </c>
      <c r="AJ26" t="inlineStr">
        <is>
          <t>Fija: 1.0 kg/s</t>
        </is>
      </c>
      <c r="AK26" t="inlineStr">
        <is>
          <t>Fija: 1.0 kg/s</t>
        </is>
      </c>
      <c r="AL26" t="inlineStr">
        <is>
          <t>Fija: 1.0 kg/s</t>
        </is>
      </c>
      <c r="AM26" t="inlineStr">
        <is>
          <t>Fija: 1.0 kg/s</t>
        </is>
      </c>
      <c r="AN26" t="inlineStr">
        <is>
          <t>Fija: 1.0 kg/s</t>
        </is>
      </c>
      <c r="AO26" t="inlineStr">
        <is>
          <t>Fija: 1.0 kg/s</t>
        </is>
      </c>
      <c r="AP26" t="inlineStr">
        <is>
          <t>Fija: 1.0 kg/s</t>
        </is>
      </c>
      <c r="AQ26" t="inlineStr">
        <is>
          <t>Fija: 1.0 kg/s</t>
        </is>
      </c>
      <c r="AR26" t="inlineStr">
        <is>
          <t>Fija: 1.0 kg/s</t>
        </is>
      </c>
      <c r="AS26" t="inlineStr">
        <is>
          <t>Fija: 1.0 kg/s</t>
        </is>
      </c>
      <c r="AT26" t="inlineStr">
        <is>
          <t>Fija: 1.0 kg/s</t>
        </is>
      </c>
      <c r="AU26" t="inlineStr">
        <is>
          <t>Fija: 1.0 kg/s</t>
        </is>
      </c>
      <c r="AV26" t="inlineStr">
        <is>
          <t>Fija: 1.0 kg/s</t>
        </is>
      </c>
      <c r="AW26" t="inlineStr">
        <is>
          <t>Fija: 1.0 kg/s</t>
        </is>
      </c>
      <c r="AX26" t="inlineStr">
        <is>
          <t>Fija: 1.0 kg/s</t>
        </is>
      </c>
      <c r="AY26" t="inlineStr">
        <is>
          <t>Fija: 1.0 kg/s</t>
        </is>
      </c>
    </row>
    <row r="27">
      <c r="A27" t="inlineStr">
        <is>
          <t>cond_eta_t</t>
        </is>
      </c>
      <c r="B27" t="inlineStr">
        <is>
          <t>Fija: 0.85</t>
        </is>
      </c>
      <c r="C27" t="inlineStr">
        <is>
          <t>Una a la vez (punto base 0.85; rango 0.75–0.9)</t>
        </is>
      </c>
      <c r="D27" t="inlineStr">
        <is>
          <t>Fija: 0.85</t>
        </is>
      </c>
      <c r="E27" t="inlineStr">
        <is>
          <t>Fija: 0.85</t>
        </is>
      </c>
      <c r="F27" t="inlineStr">
        <is>
          <t>Barrida: 0.4 – 0.95</t>
        </is>
      </c>
      <c r="G27" t="inlineStr">
        <is>
          <t>Fija: 0.85</t>
        </is>
      </c>
      <c r="H27" t="inlineStr">
        <is>
          <t>Fija: 0.85</t>
        </is>
      </c>
      <c r="I27" t="inlineStr">
        <is>
          <t>Fija: 0.85</t>
        </is>
      </c>
      <c r="J27" t="inlineStr">
        <is>
          <t>Fija: 0.85</t>
        </is>
      </c>
      <c r="K27" t="inlineStr">
        <is>
          <t>Fija: 0.85</t>
        </is>
      </c>
      <c r="L27" t="inlineStr">
        <is>
          <t>Fija: 0.85</t>
        </is>
      </c>
      <c r="M27" t="inlineStr">
        <is>
          <t>Fija: 0.85</t>
        </is>
      </c>
      <c r="N27" t="inlineStr">
        <is>
          <t>Una a la vez (punto base 0.85; rango 0.4–0.95)</t>
        </is>
      </c>
      <c r="O27" t="inlineStr">
        <is>
          <t>Barrida: 0.750358 – 0.919688</t>
        </is>
      </c>
      <c r="P27" t="inlineStr">
        <is>
          <t>Barrida: 0.751027 – 0.919188</t>
        </is>
      </c>
      <c r="Q27" t="inlineStr">
        <is>
          <t>Barrida: 0.400616 – 0.947454</t>
        </is>
      </c>
      <c r="R27" t="inlineStr">
        <is>
          <t>Barrida: 0.402676 – 0.948584</t>
        </is>
      </c>
      <c r="S27" t="inlineStr">
        <is>
          <t>Barrida: 0.40006 – 0.947691</t>
        </is>
      </c>
      <c r="T27" t="inlineStr">
        <is>
          <t>Barrida: 0.403251 – 0.945781</t>
        </is>
      </c>
      <c r="U27" t="inlineStr">
        <is>
          <t>Barrida: 0.403299 – 0.949946</t>
        </is>
      </c>
      <c r="V27" t="inlineStr">
        <is>
          <t>Fija: 0.85</t>
        </is>
      </c>
      <c r="W27" t="inlineStr">
        <is>
          <t>Barrida: 0.863483 – 0.95</t>
        </is>
      </c>
      <c r="X27" t="inlineStr">
        <is>
          <t>Barrida: 0.795 – 0.95</t>
        </is>
      </c>
      <c r="Y27" t="inlineStr">
        <is>
          <t>Barrida: 0.781056 – 0.95</t>
        </is>
      </c>
      <c r="Z27" t="inlineStr">
        <is>
          <t>Barrida: 0.795 – 0.95</t>
        </is>
      </c>
      <c r="AA27" t="inlineStr">
        <is>
          <t>Barrida: 0.867492 – 0.95</t>
        </is>
      </c>
      <c r="AB27" t="inlineStr">
        <is>
          <t>Distinta según el subcaso (ver hoja de condiciones del caso)</t>
        </is>
      </c>
      <c r="AC27" t="inlineStr">
        <is>
          <t>Barrida: 0.402288 – 0.949109</t>
        </is>
      </c>
      <c r="AD27" t="inlineStr">
        <is>
          <t>Fija: 0.85</t>
        </is>
      </c>
      <c r="AE27" t="inlineStr">
        <is>
          <t>Barrida: 0.400005 – 0.94581</t>
        </is>
      </c>
      <c r="AF27" t="inlineStr">
        <is>
          <t>Barrida: 0.405301 – 0.946598</t>
        </is>
      </c>
      <c r="AG27" t="inlineStr">
        <is>
          <t>Barrida: 0.405475 – 0.945276</t>
        </is>
      </c>
      <c r="AH27" t="inlineStr">
        <is>
          <t>Barrida: 0.401545 – 0.949561</t>
        </is>
      </c>
      <c r="AI27" t="inlineStr">
        <is>
          <t>Barrida: 0.40522 – 0.947004</t>
        </is>
      </c>
      <c r="AJ27" t="inlineStr">
        <is>
          <t>Fija: 0.85</t>
        </is>
      </c>
      <c r="AK27" t="inlineStr">
        <is>
          <t>Barrida: 0.410945 – 0.935766</t>
        </is>
      </c>
      <c r="AL27" t="inlineStr">
        <is>
          <t>Barrida: 0.40304 – 0.948479</t>
        </is>
      </c>
      <c r="AM27" t="inlineStr">
        <is>
          <t>Barrida: 0.401911 – 0.933327</t>
        </is>
      </c>
      <c r="AN27" t="inlineStr">
        <is>
          <t>Barrida: 0.405029 – 0.943342</t>
        </is>
      </c>
      <c r="AO27" t="inlineStr">
        <is>
          <t>Fija: 0.85</t>
        </is>
      </c>
      <c r="AP27" t="inlineStr">
        <is>
          <t>Barrida: 0.408142 – 0.949959</t>
        </is>
      </c>
      <c r="AQ27" t="inlineStr">
        <is>
          <t>Barrida: 0.407797 – 0.93532</t>
        </is>
      </c>
      <c r="AR27" t="inlineStr">
        <is>
          <t>Fija: 0.85</t>
        </is>
      </c>
      <c r="AS27" t="inlineStr">
        <is>
          <t>Fija: 0.85</t>
        </is>
      </c>
      <c r="AT27" t="inlineStr">
        <is>
          <t>Fija: 0.85</t>
        </is>
      </c>
      <c r="AU27" t="inlineStr">
        <is>
          <t>Fija: 0.9</t>
        </is>
      </c>
      <c r="AV27" t="inlineStr">
        <is>
          <t>Barrida: 0.85 – 0.98</t>
        </is>
      </c>
      <c r="AW27" t="inlineStr">
        <is>
          <t>Una a la vez (punto base 0.9; rango 0.75–0.95)</t>
        </is>
      </c>
      <c r="AX27" t="inlineStr">
        <is>
          <t>Fija: 0.9</t>
        </is>
      </c>
      <c r="AY27" t="inlineStr">
        <is>
          <t>Fija: 0.9</t>
        </is>
      </c>
    </row>
    <row r="28">
      <c r="A28" t="inlineStr">
        <is>
          <t>cond_eta_p</t>
        </is>
      </c>
      <c r="B28" t="inlineStr">
        <is>
          <t>Fija: 0.75</t>
        </is>
      </c>
      <c r="C28" t="inlineStr">
        <is>
          <t>Una a la vez (punto base 0.75; rango 0.65–0.85)</t>
        </is>
      </c>
      <c r="D28" t="inlineStr">
        <is>
          <t>Fija: 0.75</t>
        </is>
      </c>
      <c r="E28" t="inlineStr">
        <is>
          <t>Fija: 0.75</t>
        </is>
      </c>
      <c r="F28" t="inlineStr">
        <is>
          <t>Barrida: 0.4 – 0.95</t>
        </is>
      </c>
      <c r="G28" t="inlineStr">
        <is>
          <t>Fija: 0.75</t>
        </is>
      </c>
      <c r="H28" t="inlineStr">
        <is>
          <t>Fija: 0.75</t>
        </is>
      </c>
      <c r="I28" t="inlineStr">
        <is>
          <t>Fija: 0.75</t>
        </is>
      </c>
      <c r="J28" t="inlineStr">
        <is>
          <t>Fija: 0.75</t>
        </is>
      </c>
      <c r="K28" t="inlineStr">
        <is>
          <t>Fija: 0.75</t>
        </is>
      </c>
      <c r="L28" t="inlineStr">
        <is>
          <t>Fija: 0.75</t>
        </is>
      </c>
      <c r="M28" t="inlineStr">
        <is>
          <t>Fija: 0.75</t>
        </is>
      </c>
      <c r="N28" t="inlineStr">
        <is>
          <t>Una a la vez (punto base 0.75; rango 0.4–0.95)</t>
        </is>
      </c>
      <c r="O28" t="inlineStr">
        <is>
          <t>Barrida: 0.6504 – 0.899194</t>
        </is>
      </c>
      <c r="P28" t="inlineStr">
        <is>
          <t>Barrida: 0.651194 – 0.89988</t>
        </is>
      </c>
      <c r="Q28" t="inlineStr">
        <is>
          <t>Barrida: 0.404302 – 0.94919</t>
        </is>
      </c>
      <c r="R28" t="inlineStr">
        <is>
          <t>Barrida: 0.401033 – 0.947097</t>
        </is>
      </c>
      <c r="S28" t="inlineStr">
        <is>
          <t>Barrida: 0.403602 – 0.945484</t>
        </is>
      </c>
      <c r="T28" t="inlineStr">
        <is>
          <t>Barrida: 0.400375 – 0.946613</t>
        </is>
      </c>
      <c r="U28" t="inlineStr">
        <is>
          <t>Barrida: 0.403485 – 0.947603</t>
        </is>
      </c>
      <c r="V28" t="inlineStr">
        <is>
          <t>Fija: 0.75</t>
        </is>
      </c>
      <c r="W28" t="inlineStr">
        <is>
          <t>Barrida: 0.691081 – 0.801081</t>
        </is>
      </c>
      <c r="X28" t="inlineStr">
        <is>
          <t>Barrida: 0.695 – 0.805</t>
        </is>
      </c>
      <c r="Y28" t="inlineStr">
        <is>
          <t>Barrida: 0.782534 – 0.892534</t>
        </is>
      </c>
      <c r="Z28" t="inlineStr">
        <is>
          <t>Barrida: 0.695 – 0.86</t>
        </is>
      </c>
      <c r="AA28" t="inlineStr">
        <is>
          <t>Barrida: 0.521066 – 0.631066</t>
        </is>
      </c>
      <c r="AB28" t="inlineStr">
        <is>
          <t>Distinta según el subcaso (ver hoja de condiciones del caso)</t>
        </is>
      </c>
      <c r="AC28" t="inlineStr">
        <is>
          <t>Barrida: 0.400204 – 0.94989</t>
        </is>
      </c>
      <c r="AD28" t="inlineStr">
        <is>
          <t>Fija: 0.75</t>
        </is>
      </c>
      <c r="AE28" t="inlineStr">
        <is>
          <t>Barrida: 0.400638 – 0.945013</t>
        </is>
      </c>
      <c r="AF28" t="inlineStr">
        <is>
          <t>Barrida: 0.404692 – 0.949946</t>
        </is>
      </c>
      <c r="AG28" t="inlineStr">
        <is>
          <t>Barrida: 0.400228 – 0.944989</t>
        </is>
      </c>
      <c r="AH28" t="inlineStr">
        <is>
          <t>Barrida: 0.401724 – 0.945897</t>
        </is>
      </c>
      <c r="AI28" t="inlineStr">
        <is>
          <t>Barrida: 0.41022 – 0.939823</t>
        </is>
      </c>
      <c r="AJ28" t="inlineStr">
        <is>
          <t>Fija: 0.75</t>
        </is>
      </c>
      <c r="AK28" t="inlineStr">
        <is>
          <t>Barrida: 0.416423 – 0.946515</t>
        </is>
      </c>
      <c r="AL28" t="inlineStr">
        <is>
          <t>Barrida: 0.417836 – 0.947774</t>
        </is>
      </c>
      <c r="AM28" t="inlineStr">
        <is>
          <t>Barrida: 0.413781 – 0.941285</t>
        </is>
      </c>
      <c r="AN28" t="inlineStr">
        <is>
          <t>Barrida: 0.407698 – 0.93892</t>
        </is>
      </c>
      <c r="AO28" t="inlineStr">
        <is>
          <t>Fija: 0.75</t>
        </is>
      </c>
      <c r="AP28" t="inlineStr">
        <is>
          <t>Barrida: 0.41112 – 0.94217</t>
        </is>
      </c>
      <c r="AQ28" t="inlineStr">
        <is>
          <t>Barrida: 0.415917 – 0.941828</t>
        </is>
      </c>
      <c r="AR28" t="inlineStr">
        <is>
          <t>Fija: 0.75</t>
        </is>
      </c>
      <c r="AS28" t="inlineStr">
        <is>
          <t>Fija: 0.75</t>
        </is>
      </c>
      <c r="AT28" t="inlineStr">
        <is>
          <t>Fija: 0.75</t>
        </is>
      </c>
      <c r="AU28" t="inlineStr">
        <is>
          <t>Fija: 0.8</t>
        </is>
      </c>
      <c r="AV28" t="inlineStr">
        <is>
          <t>Fija: 0.8</t>
        </is>
      </c>
      <c r="AW28" t="inlineStr">
        <is>
          <t>Una a la vez (punto base 0.8; rango 0.6–0.9)</t>
        </is>
      </c>
      <c r="AX28" t="inlineStr">
        <is>
          <t>Fija: 0.8</t>
        </is>
      </c>
      <c r="AY28" t="inlineStr">
        <is>
          <t>Fija: 0.8</t>
        </is>
      </c>
    </row>
    <row r="29">
      <c r="A29" t="inlineStr">
        <is>
          <t>cond_eps_hrvg</t>
        </is>
      </c>
      <c r="B29" t="inlineStr">
        <is>
          <t>Fija: 0.85</t>
        </is>
      </c>
      <c r="C29" t="inlineStr">
        <is>
          <t>Una a la vez (punto base 0.85; rango 0.75–0.85)</t>
        </is>
      </c>
      <c r="D29" t="inlineStr">
        <is>
          <t>Barrida: 0.75 – 0.81</t>
        </is>
      </c>
      <c r="E29" t="inlineStr">
        <is>
          <t>Fija: 0.85</t>
        </is>
      </c>
      <c r="F29" t="inlineStr">
        <is>
          <t>Barrida: 0.4 – 0.95</t>
        </is>
      </c>
      <c r="G29" t="inlineStr">
        <is>
          <t>Barrida: 0.4 – 0.8</t>
        </is>
      </c>
      <c r="H29" t="inlineStr">
        <is>
          <t>Barrida: 0.4 – 0.7</t>
        </is>
      </c>
      <c r="I29" t="inlineStr">
        <is>
          <t>Fija: 0.85</t>
        </is>
      </c>
      <c r="J29" t="inlineStr">
        <is>
          <t>Fija: 0.85</t>
        </is>
      </c>
      <c r="K29" t="inlineStr">
        <is>
          <t>Fija: 0.85</t>
        </is>
      </c>
      <c r="L29" t="inlineStr">
        <is>
          <t>Fija: 0.4</t>
        </is>
      </c>
      <c r="M29" t="inlineStr">
        <is>
          <t>Fija: 0.85</t>
        </is>
      </c>
      <c r="N29" t="inlineStr">
        <is>
          <t>Una a la vez (punto base 0.85; rango 0.4–0.95)</t>
        </is>
      </c>
      <c r="O29" t="inlineStr">
        <is>
          <t>Barrida: 0.600039 – 0.949047</t>
        </is>
      </c>
      <c r="P29" t="inlineStr">
        <is>
          <t>Barrida: 0.600893 – 0.948455</t>
        </is>
      </c>
      <c r="Q29" t="inlineStr">
        <is>
          <t>Barrida: 0.40441 – 0.949187</t>
        </is>
      </c>
      <c r="R29" t="inlineStr">
        <is>
          <t>Barrida: 0.402168 – 0.947551</t>
        </is>
      </c>
      <c r="S29" t="inlineStr">
        <is>
          <t>Barrida: 0.400156 – 0.948884</t>
        </is>
      </c>
      <c r="T29" t="inlineStr">
        <is>
          <t>Barrida: 0.40425 – 0.949578</t>
        </is>
      </c>
      <c r="U29" t="inlineStr">
        <is>
          <t>Barrida: 0.404141 – 0.948736</t>
        </is>
      </c>
      <c r="V29" t="inlineStr">
        <is>
          <t>Fija: 0.85</t>
        </is>
      </c>
      <c r="W29" t="inlineStr">
        <is>
          <t>Barrida: 0.622731 – 0.732731</t>
        </is>
      </c>
      <c r="X29" t="inlineStr">
        <is>
          <t>Barrida: 0.795 – 0.905</t>
        </is>
      </c>
      <c r="Y29" t="inlineStr">
        <is>
          <t>Barrida: 0.441366 – 0.551366</t>
        </is>
      </c>
      <c r="Z29" t="inlineStr">
        <is>
          <t>Barrida: 0.795 – 0.95</t>
        </is>
      </c>
      <c r="AA29" t="inlineStr">
        <is>
          <t>Barrida: 0.4 – 0.517302</t>
        </is>
      </c>
      <c r="AB29" t="inlineStr">
        <is>
          <t>Distinta según el subcaso (ver hoja de condiciones del caso)</t>
        </is>
      </c>
      <c r="AC29" t="inlineStr">
        <is>
          <t>Barrida: 0.402751 – 0.945231</t>
        </is>
      </c>
      <c r="AD29" t="inlineStr">
        <is>
          <t>Fija: 0.85</t>
        </is>
      </c>
      <c r="AE29" t="inlineStr">
        <is>
          <t>Barrida: 0.404197 – 0.949495</t>
        </is>
      </c>
      <c r="AF29" t="inlineStr">
        <is>
          <t>Barrida: 0.401138 – 0.947534</t>
        </is>
      </c>
      <c r="AG29" t="inlineStr">
        <is>
          <t>Barrida: 0.403663 – 0.947828</t>
        </is>
      </c>
      <c r="AH29" t="inlineStr">
        <is>
          <t>Barrida: 0.401599 – 0.949613</t>
        </is>
      </c>
      <c r="AI29" t="inlineStr">
        <is>
          <t>Barrida: 0.413797 – 0.935431</t>
        </is>
      </c>
      <c r="AJ29" t="inlineStr">
        <is>
          <t>Fija: 0.85</t>
        </is>
      </c>
      <c r="AK29" t="inlineStr">
        <is>
          <t>Barrida: 0.403456 – 0.945563</t>
        </is>
      </c>
      <c r="AL29" t="inlineStr">
        <is>
          <t>Barrida: 0.404429 – 0.942632</t>
        </is>
      </c>
      <c r="AM29" t="inlineStr">
        <is>
          <t>Barrida: 0.417369 – 0.949934</t>
        </is>
      </c>
      <c r="AN29" t="inlineStr">
        <is>
          <t>Barrida: 0.40971 – 0.933939</t>
        </is>
      </c>
      <c r="AO29" t="inlineStr">
        <is>
          <t>Fija: 0.85</t>
        </is>
      </c>
      <c r="AP29" t="inlineStr">
        <is>
          <t>Barrida: 0.411196 – 0.936541</t>
        </is>
      </c>
      <c r="AQ29" t="inlineStr">
        <is>
          <t>Barrida: 0.408675 – 0.948227</t>
        </is>
      </c>
      <c r="AR29" t="inlineStr">
        <is>
          <t>Fija: 0.85</t>
        </is>
      </c>
      <c r="AS29" t="inlineStr">
        <is>
          <t>Fija: 0.85</t>
        </is>
      </c>
      <c r="AT29" t="inlineStr">
        <is>
          <t>Fija: 0.85</t>
        </is>
      </c>
      <c r="AU29" t="inlineStr">
        <is>
          <t>Fija: 0.85</t>
        </is>
      </c>
      <c r="AV29" t="inlineStr">
        <is>
          <t>Fija: 0.85</t>
        </is>
      </c>
      <c r="AW29" t="inlineStr">
        <is>
          <t>Una a la vez (punto base 0.85; rango 0.6–0.95)</t>
        </is>
      </c>
      <c r="AX29" t="inlineStr">
        <is>
          <t>Fija: 0.85</t>
        </is>
      </c>
      <c r="AY29" t="inlineStr">
        <is>
          <t>Fija: 0.85</t>
        </is>
      </c>
    </row>
    <row r="30">
      <c r="A30" t="inlineStr">
        <is>
          <t>cond_eps_reg</t>
        </is>
      </c>
      <c r="B30" t="inlineStr">
        <is>
          <t>Fija: 0.75</t>
        </is>
      </c>
      <c r="C30" t="inlineStr">
        <is>
          <t>Una a la vez (punto base 0.75; rango 0.75–0.85)</t>
        </is>
      </c>
      <c r="D30" t="inlineStr">
        <is>
          <t>Fija: 0.75</t>
        </is>
      </c>
      <c r="E30" t="inlineStr">
        <is>
          <t>Fija: 0.75</t>
        </is>
      </c>
      <c r="F30" t="inlineStr">
        <is>
          <t>Barrida: 0.4 – 0.95</t>
        </is>
      </c>
      <c r="G30" t="inlineStr">
        <is>
          <t>Fija: 0.75</t>
        </is>
      </c>
      <c r="H30" t="inlineStr">
        <is>
          <t>Fija: 0.75</t>
        </is>
      </c>
      <c r="I30" t="inlineStr">
        <is>
          <t>Fija: 0.75</t>
        </is>
      </c>
      <c r="J30" t="inlineStr">
        <is>
          <t>Fija: 0.75</t>
        </is>
      </c>
      <c r="K30" t="inlineStr">
        <is>
          <t>Fija: 0.75</t>
        </is>
      </c>
      <c r="L30" t="inlineStr">
        <is>
          <t>Fija: 0.75</t>
        </is>
      </c>
      <c r="M30" t="inlineStr">
        <is>
          <t>Fija: 0.75</t>
        </is>
      </c>
      <c r="N30" t="inlineStr">
        <is>
          <t>Una a la vez (punto base 0.75; rango 0.4–0.95)</t>
        </is>
      </c>
      <c r="O30" t="inlineStr">
        <is>
          <t>Barrida: 0.600973 – 0.949965</t>
        </is>
      </c>
      <c r="P30" t="inlineStr">
        <is>
          <t>Barrida: 0.600382 – 0.947696</t>
        </is>
      </c>
      <c r="Q30" t="inlineStr">
        <is>
          <t>Barrida: 0.40384 – 0.947903</t>
        </is>
      </c>
      <c r="R30" t="inlineStr">
        <is>
          <t>Barrida: 0.402278 – 0.946602</t>
        </is>
      </c>
      <c r="S30" t="inlineStr">
        <is>
          <t>Barrida: 0.402159 – 0.948596</t>
        </is>
      </c>
      <c r="T30" t="inlineStr">
        <is>
          <t>Barrida: 0.400942 – 0.946597</t>
        </is>
      </c>
      <c r="U30" t="inlineStr">
        <is>
          <t>Barrida: 0.402646 – 0.94725</t>
        </is>
      </c>
      <c r="V30" t="inlineStr">
        <is>
          <t>Fija: 0.75</t>
        </is>
      </c>
      <c r="W30" t="inlineStr">
        <is>
          <t>Barrida: 0.88653 – 0.95</t>
        </is>
      </c>
      <c r="X30" t="inlineStr">
        <is>
          <t>Barrida: 0.695 – 0.95</t>
        </is>
      </c>
      <c r="Y30" t="inlineStr">
        <is>
          <t>Barrida: 0.861678 – 0.95</t>
        </is>
      </c>
      <c r="Z30" t="inlineStr">
        <is>
          <t>Barrida: 0.695 – 0.95</t>
        </is>
      </c>
      <c r="AA30" t="inlineStr">
        <is>
          <t>Barrida: 0.4 – 0.685115</t>
        </is>
      </c>
      <c r="AB30" t="inlineStr">
        <is>
          <t>Distinta según el subcaso (ver hoja de condiciones del caso)</t>
        </is>
      </c>
      <c r="AC30" t="inlineStr">
        <is>
          <t>Barrida: 0.400958 – 0.948253</t>
        </is>
      </c>
      <c r="AD30" t="inlineStr">
        <is>
          <t>Fija: 0.75</t>
        </is>
      </c>
      <c r="AE30" t="inlineStr">
        <is>
          <t>Barrida: 0.400361 – 0.947758</t>
        </is>
      </c>
      <c r="AF30" t="inlineStr">
        <is>
          <t>Barrida: 0.401253 – 0.945947</t>
        </is>
      </c>
      <c r="AG30" t="inlineStr">
        <is>
          <t>Barrida: 0.402938 – 0.948362</t>
        </is>
      </c>
      <c r="AH30" t="inlineStr">
        <is>
          <t>Barrida: 0.402429 – 0.944798</t>
        </is>
      </c>
      <c r="AI30" t="inlineStr">
        <is>
          <t>Barrida: 0.400784 – 0.939213</t>
        </is>
      </c>
      <c r="AJ30" t="inlineStr">
        <is>
          <t>Fija: 0.75</t>
        </is>
      </c>
      <c r="AK30" t="inlineStr">
        <is>
          <t>Barrida: 0.415539 – 0.933999</t>
        </is>
      </c>
      <c r="AL30" t="inlineStr">
        <is>
          <t>Barrida: 0.404476 – 0.940524</t>
        </is>
      </c>
      <c r="AM30" t="inlineStr">
        <is>
          <t>Barrida: 0.412106 – 0.93198</t>
        </is>
      </c>
      <c r="AN30" t="inlineStr">
        <is>
          <t>Barrida: 0.409906 – 0.946414</t>
        </is>
      </c>
      <c r="AO30" t="inlineStr">
        <is>
          <t>Fija: 0.75</t>
        </is>
      </c>
      <c r="AP30" t="inlineStr">
        <is>
          <t>Barrida: 0.410692 – 0.939779</t>
        </is>
      </c>
      <c r="AQ30" t="inlineStr">
        <is>
          <t>Barrida: 0.407654 – 0.936582</t>
        </is>
      </c>
      <c r="AR30" t="inlineStr">
        <is>
          <t>Fija: 0.75</t>
        </is>
      </c>
      <c r="AS30" t="inlineStr">
        <is>
          <t>Fija: 0.75</t>
        </is>
      </c>
      <c r="AT30" t="inlineStr">
        <is>
          <t>Fija: 0.75</t>
        </is>
      </c>
      <c r="AU30" t="inlineStr">
        <is>
          <t>Fija: 0.75</t>
        </is>
      </c>
      <c r="AV30" t="inlineStr">
        <is>
          <t>Barrida: 0.75 – 0.95</t>
        </is>
      </c>
      <c r="AW30" t="inlineStr">
        <is>
          <t>Una a la vez (punto base 0.75; rango 0.4–0.95)</t>
        </is>
      </c>
      <c r="AX30" t="inlineStr">
        <is>
          <t>Fija: 0.75</t>
        </is>
      </c>
      <c r="AY30" t="inlineStr">
        <is>
          <t>Fija: 0.75</t>
        </is>
      </c>
    </row>
    <row r="31">
      <c r="A31" t="inlineStr">
        <is>
          <t>cond_eps_cond</t>
        </is>
      </c>
      <c r="B31" t="inlineStr">
        <is>
          <t>Fija: 0.8</t>
        </is>
      </c>
      <c r="C31" t="inlineStr">
        <is>
          <t>Una a la vez (punto base 0.8; rango 0.75–0.85)</t>
        </is>
      </c>
      <c r="D31" t="inlineStr">
        <is>
          <t>Fija: 0.8</t>
        </is>
      </c>
      <c r="E31" t="inlineStr">
        <is>
          <t>Fija: 0.8</t>
        </is>
      </c>
      <c r="F31" t="inlineStr">
        <is>
          <t>Barrida: 0.4 – 0.95</t>
        </is>
      </c>
      <c r="G31" t="inlineStr">
        <is>
          <t>Barrida: 0.4 – 0.95</t>
        </is>
      </c>
      <c r="H31" t="inlineStr">
        <is>
          <t>Fija: 0.8</t>
        </is>
      </c>
      <c r="I31" t="inlineStr">
        <is>
          <t>Barrida: 0.85 – 0.95</t>
        </is>
      </c>
      <c r="J31" t="inlineStr">
        <is>
          <t>Fija: 0.8</t>
        </is>
      </c>
      <c r="K31" t="inlineStr">
        <is>
          <t>Fija: 0.8</t>
        </is>
      </c>
      <c r="L31" t="inlineStr">
        <is>
          <t>Fija: 0.8</t>
        </is>
      </c>
      <c r="M31" t="inlineStr">
        <is>
          <t>Fija: 0.8</t>
        </is>
      </c>
      <c r="N31" t="inlineStr">
        <is>
          <t>Una a la vez (punto base 0.8; rango 0.4–0.95)</t>
        </is>
      </c>
      <c r="O31" t="inlineStr">
        <is>
          <t>Barrida: 0.700136 – 0.949409</t>
        </is>
      </c>
      <c r="P31" t="inlineStr">
        <is>
          <t>Barrida: 0.700042 – 0.949665</t>
        </is>
      </c>
      <c r="Q31" t="inlineStr">
        <is>
          <t>Barrida: 0.400868 – 0.945788</t>
        </is>
      </c>
      <c r="R31" t="inlineStr">
        <is>
          <t>Barrida: 0.402092 – 0.947396</t>
        </is>
      </c>
      <c r="S31" t="inlineStr">
        <is>
          <t>Barrida: 0.404237 – 0.946851</t>
        </is>
      </c>
      <c r="T31" t="inlineStr">
        <is>
          <t>Barrida: 0.402166 – 0.94675</t>
        </is>
      </c>
      <c r="U31" t="inlineStr">
        <is>
          <t>Barrida: 0.401266 – 0.948251</t>
        </is>
      </c>
      <c r="V31" t="inlineStr">
        <is>
          <t>Barrida: 0.85 – 0.95</t>
        </is>
      </c>
      <c r="W31" t="inlineStr">
        <is>
          <t>Barrida: 0.786826 – 0.896826</t>
        </is>
      </c>
      <c r="X31" t="inlineStr">
        <is>
          <t>Barrida: 0.745 – 0.855</t>
        </is>
      </c>
      <c r="Y31" t="inlineStr">
        <is>
          <t>Barrida: 0.890788 – 0.95</t>
        </is>
      </c>
      <c r="Z31" t="inlineStr">
        <is>
          <t>Barrida: 0.895 – 0.95</t>
        </is>
      </c>
      <c r="AA31" t="inlineStr">
        <is>
          <t>Barrida: 0.823416 – 0.933416</t>
        </is>
      </c>
      <c r="AB31" t="inlineStr">
        <is>
          <t>Distinta según el subcaso (ver hoja de condiciones del caso)</t>
        </is>
      </c>
      <c r="AC31" t="inlineStr">
        <is>
          <t>Barrida: 0.400592 – 0.949047</t>
        </is>
      </c>
      <c r="AD31" t="inlineStr">
        <is>
          <t>Fija: 0.8</t>
        </is>
      </c>
      <c r="AE31" t="inlineStr">
        <is>
          <t>Barrida: 0.401597 – 0.945166</t>
        </is>
      </c>
      <c r="AF31" t="inlineStr">
        <is>
          <t>Barrida: 0.402164 – 0.944624</t>
        </is>
      </c>
      <c r="AG31" t="inlineStr">
        <is>
          <t>Barrida: 0.400499 – 0.946093</t>
        </is>
      </c>
      <c r="AH31" t="inlineStr">
        <is>
          <t>Barrida: 0.403976 – 0.947693</t>
        </is>
      </c>
      <c r="AI31" t="inlineStr">
        <is>
          <t>Barrida: 0.405791 – 0.944173</t>
        </is>
      </c>
      <c r="AJ31" t="inlineStr">
        <is>
          <t>Fija: 0.8</t>
        </is>
      </c>
      <c r="AK31" t="inlineStr">
        <is>
          <t>Barrida: 0.414188 – 0.945692</t>
        </is>
      </c>
      <c r="AL31" t="inlineStr">
        <is>
          <t>Barrida: 0.417173 – 0.942729</t>
        </is>
      </c>
      <c r="AM31" t="inlineStr">
        <is>
          <t>Barrida: 0.414827 – 0.935609</t>
        </is>
      </c>
      <c r="AN31" t="inlineStr">
        <is>
          <t>Barrida: 0.410205 – 0.946098</t>
        </is>
      </c>
      <c r="AO31" t="inlineStr">
        <is>
          <t>Fija: 0.8</t>
        </is>
      </c>
      <c r="AP31" t="inlineStr">
        <is>
          <t>Barrida: 0.413089 – 0.948063</t>
        </is>
      </c>
      <c r="AQ31" t="inlineStr">
        <is>
          <t>Barrida: 0.415951 – 0.937789</t>
        </is>
      </c>
      <c r="AR31" t="inlineStr">
        <is>
          <t>Fija: 0.8</t>
        </is>
      </c>
      <c r="AS31" t="inlineStr">
        <is>
          <t>Fija: 0.8</t>
        </is>
      </c>
      <c r="AT31" t="inlineStr">
        <is>
          <t>Fija: 0.8</t>
        </is>
      </c>
      <c r="AU31" t="inlineStr">
        <is>
          <t>Fija: 0.95</t>
        </is>
      </c>
      <c r="AV31" t="inlineStr">
        <is>
          <t>Barrida: 0.95 – 0.99</t>
        </is>
      </c>
      <c r="AW31" t="inlineStr">
        <is>
          <t>Una a la vez (punto base 0.95; rango 0.7–0.95)</t>
        </is>
      </c>
      <c r="AX31" t="inlineStr">
        <is>
          <t>Fija: 0.95</t>
        </is>
      </c>
      <c r="AY31" t="inlineStr">
        <is>
          <t>Fija: 0.95</t>
        </is>
      </c>
    </row>
    <row r="32">
      <c r="A32" t="inlineStr">
        <is>
          <t>cond_T_amb_diseno</t>
        </is>
      </c>
      <c r="B32" t="inlineStr">
        <is>
          <t>sin dato</t>
        </is>
      </c>
      <c r="C32" t="inlineStr">
        <is>
          <t>sin dato</t>
        </is>
      </c>
      <c r="D32" t="inlineStr">
        <is>
          <t>sin dato</t>
        </is>
      </c>
      <c r="E32" t="inlineStr">
        <is>
          <t>sin dato</t>
        </is>
      </c>
      <c r="F32" t="inlineStr">
        <is>
          <t>sin dato</t>
        </is>
      </c>
      <c r="G32" t="inlineStr">
        <is>
          <t>sin dato</t>
        </is>
      </c>
      <c r="H32" t="inlineStr">
        <is>
          <t>sin dato</t>
        </is>
      </c>
      <c r="I32" t="inlineStr">
        <is>
          <t>sin dato</t>
        </is>
      </c>
      <c r="J32" t="inlineStr">
        <is>
          <t>Barrida: 278.15 – 300.033 K</t>
        </is>
      </c>
      <c r="K32" t="inlineStr">
        <is>
          <t>Barrida: 278.15 – 300.033 K</t>
        </is>
      </c>
      <c r="L32" t="inlineStr">
        <is>
          <t>Barrida: 278.15 – 300.033 K</t>
        </is>
      </c>
      <c r="M32" t="inlineStr">
        <is>
          <t>Barrida: 278.15 – 300.033 K</t>
        </is>
      </c>
      <c r="N32" t="inlineStr">
        <is>
          <t>sin dato</t>
        </is>
      </c>
      <c r="O32" t="inlineStr">
        <is>
          <t>Barrida: 278.183 – 303.54 K</t>
        </is>
      </c>
      <c r="P32" t="inlineStr">
        <is>
          <t>Barrida: 278.278 – 303.41 K</t>
        </is>
      </c>
      <c r="Q32" t="inlineStr">
        <is>
          <t>Fija: 300.032917 K</t>
        </is>
      </c>
      <c r="R32" t="inlineStr">
        <is>
          <t>Barrida: 278.262 – 303.479 K</t>
        </is>
      </c>
      <c r="S32" t="inlineStr">
        <is>
          <t>Fija: 300.032917 K</t>
        </is>
      </c>
      <c r="T32" t="inlineStr">
        <is>
          <t>Fija: 300.032917 K</t>
        </is>
      </c>
      <c r="U32" t="inlineStr">
        <is>
          <t>Barrida: 278.281 – 303.358 K</t>
        </is>
      </c>
      <c r="V32" t="inlineStr">
        <is>
          <t>Barrida: 278.15 – 300.033 K</t>
        </is>
      </c>
      <c r="W32" t="inlineStr">
        <is>
          <t>Barrida: 278.15 – 281.638 K</t>
        </is>
      </c>
      <c r="X32" t="inlineStr">
        <is>
          <t>Barrida: 278.15 – 280.69 K</t>
        </is>
      </c>
      <c r="Y32" t="inlineStr">
        <is>
          <t>Fija: 300.032917 K</t>
        </is>
      </c>
      <c r="Z32" t="inlineStr">
        <is>
          <t>Fija: 300.032917 K</t>
        </is>
      </c>
      <c r="AA32" t="inlineStr">
        <is>
          <t>Barrida: 300.041 – 303.55 K</t>
        </is>
      </c>
      <c r="AB32" t="inlineStr">
        <is>
          <t>Distinta según el subcaso (ver hoja de condiciones del caso)</t>
        </is>
      </c>
      <c r="AC32" t="inlineStr">
        <is>
          <t>Barrida: 278.344 – 303.376 K</t>
        </is>
      </c>
      <c r="AD32" t="inlineStr">
        <is>
          <t>Barrida: 278.188 – 303.528 K</t>
        </is>
      </c>
      <c r="AE32" t="inlineStr">
        <is>
          <t>Barrida: 278.18 – 303.381 K</t>
        </is>
      </c>
      <c r="AF32" t="inlineStr">
        <is>
          <t>Barrida: 278.201 – 303.38 K</t>
        </is>
      </c>
      <c r="AG32" t="inlineStr">
        <is>
          <t>Fija: 300.032917 K</t>
        </is>
      </c>
      <c r="AH32" t="inlineStr">
        <is>
          <t>Barrida: 278.161 – 303.421 K</t>
        </is>
      </c>
      <c r="AI32" t="inlineStr">
        <is>
          <t>Barrida: 278.848 – 302.949 K</t>
        </is>
      </c>
      <c r="AJ32" t="inlineStr">
        <is>
          <t>Barrida: 278.55 – 303.53 K</t>
        </is>
      </c>
      <c r="AK32" t="inlineStr">
        <is>
          <t>Barrida: 278.393 – 302.731 K</t>
        </is>
      </c>
      <c r="AL32" t="inlineStr">
        <is>
          <t>Barrida: 278.739 – 303.442 K</t>
        </is>
      </c>
      <c r="AM32" t="inlineStr">
        <is>
          <t>Fija: 300.032917 K</t>
        </is>
      </c>
      <c r="AN32" t="inlineStr">
        <is>
          <t>Barrida: 278.604 – 303.079 K</t>
        </is>
      </c>
      <c r="AO32" t="inlineStr">
        <is>
          <t>Barrida: 278.406 – 303.235 K</t>
        </is>
      </c>
      <c r="AP32" t="inlineStr">
        <is>
          <t>Barrida: 278.219 – 303.196 K</t>
        </is>
      </c>
      <c r="AQ32" t="inlineStr">
        <is>
          <t>Fija: 300.032917 K</t>
        </is>
      </c>
      <c r="AR32" t="inlineStr">
        <is>
          <t>Barrida: 278.669 – 303.443 K</t>
        </is>
      </c>
      <c r="AS32" t="inlineStr">
        <is>
          <t>Barrida: 278.206 – 303.384 K</t>
        </is>
      </c>
      <c r="AT32" t="inlineStr">
        <is>
          <t>Fija: 300.032917 K</t>
        </is>
      </c>
      <c r="AU32" t="inlineStr">
        <is>
          <t>Barrida: 278.15 – 283.15 K</t>
        </is>
      </c>
      <c r="AV32" t="inlineStr">
        <is>
          <t>Barrida: 283.15 – 303.55 K</t>
        </is>
      </c>
      <c r="AW32" t="inlineStr">
        <is>
          <t>Fija: 283.15 K</t>
        </is>
      </c>
      <c r="AX32" t="inlineStr">
        <is>
          <t>Fija: 283.15 K</t>
        </is>
      </c>
      <c r="AY32" t="inlineStr">
        <is>
          <t>Fija: 283.15 K</t>
        </is>
      </c>
    </row>
    <row r="33">
      <c r="A33" t="inlineStr">
        <is>
          <t>cond_motor</t>
        </is>
      </c>
      <c r="B33" t="inlineStr">
        <is>
          <t>Distinta según el subcaso (ver hoja de condiciones del caso)</t>
        </is>
      </c>
      <c r="C33" t="inlineStr">
        <is>
          <t>Fija: teqp</t>
        </is>
      </c>
      <c r="D33" t="inlineStr">
        <is>
          <t>Fija: teqp</t>
        </is>
      </c>
      <c r="E33" t="inlineStr">
        <is>
          <t>Fija: teqp</t>
        </is>
      </c>
      <c r="F33" t="inlineStr">
        <is>
          <t>Fija: teqp</t>
        </is>
      </c>
      <c r="G33" t="inlineStr">
        <is>
          <t>Fija: teqp</t>
        </is>
      </c>
      <c r="H33" t="inlineStr">
        <is>
          <t>Fija: teqp</t>
        </is>
      </c>
      <c r="I33" t="inlineStr">
        <is>
          <t>Fija: teqp</t>
        </is>
      </c>
      <c r="J33" t="inlineStr">
        <is>
          <t>Fija: teqp</t>
        </is>
      </c>
      <c r="K33" t="inlineStr">
        <is>
          <t>Fija: teqp</t>
        </is>
      </c>
      <c r="L33" t="inlineStr">
        <is>
          <t>Fija: teqp</t>
        </is>
      </c>
      <c r="M33" t="inlineStr">
        <is>
          <t>Fija: teqp</t>
        </is>
      </c>
      <c r="N33" t="inlineStr">
        <is>
          <t>Fija: teqp</t>
        </is>
      </c>
      <c r="O33" t="inlineStr">
        <is>
          <t>Fija: teqp</t>
        </is>
      </c>
      <c r="P33" t="inlineStr">
        <is>
          <t>Fija: teqp</t>
        </is>
      </c>
      <c r="Q33" t="inlineStr">
        <is>
          <t>Fija: teqp</t>
        </is>
      </c>
      <c r="R33" t="inlineStr">
        <is>
          <t>Fija: teqp</t>
        </is>
      </c>
      <c r="S33" t="inlineStr">
        <is>
          <t>Fija: teqp</t>
        </is>
      </c>
      <c r="T33" t="inlineStr">
        <is>
          <t>Fija: teqp</t>
        </is>
      </c>
      <c r="U33" t="inlineStr">
        <is>
          <t>Fija: teqp</t>
        </is>
      </c>
      <c r="V33" t="inlineStr">
        <is>
          <t>Fija: teqp</t>
        </is>
      </c>
      <c r="W33" t="inlineStr">
        <is>
          <t>Fija: teqp</t>
        </is>
      </c>
      <c r="X33" t="inlineStr">
        <is>
          <t>Fija: teqp</t>
        </is>
      </c>
      <c r="Y33" t="inlineStr">
        <is>
          <t>Fija: teqp</t>
        </is>
      </c>
      <c r="Z33" t="inlineStr">
        <is>
          <t>Fija: teqp</t>
        </is>
      </c>
      <c r="AA33" t="inlineStr">
        <is>
          <t>Fija: teqp</t>
        </is>
      </c>
      <c r="AB33" t="inlineStr">
        <is>
          <t>Distinta según el subcaso (ver hoja de condiciones del caso)</t>
        </is>
      </c>
      <c r="AC33" t="inlineStr">
        <is>
          <t>Fija: teqp</t>
        </is>
      </c>
      <c r="AD33" t="inlineStr">
        <is>
          <t>Fija: teqp</t>
        </is>
      </c>
      <c r="AE33" t="inlineStr">
        <is>
          <t>Fija: teqp</t>
        </is>
      </c>
      <c r="AF33" t="inlineStr">
        <is>
          <t>Fija: teqp</t>
        </is>
      </c>
      <c r="AG33" t="inlineStr">
        <is>
          <t>Fija: teqp</t>
        </is>
      </c>
      <c r="AH33" t="inlineStr">
        <is>
          <t>Fija: teqp</t>
        </is>
      </c>
      <c r="AI33" t="inlineStr">
        <is>
          <t>Fija: teqp</t>
        </is>
      </c>
      <c r="AJ33" t="inlineStr">
        <is>
          <t>Fija: teqp</t>
        </is>
      </c>
      <c r="AK33" t="inlineStr">
        <is>
          <t>Fija: teqp</t>
        </is>
      </c>
      <c r="AL33" t="inlineStr">
        <is>
          <t>Fija: teqp</t>
        </is>
      </c>
      <c r="AM33" t="inlineStr">
        <is>
          <t>Fija: teqp</t>
        </is>
      </c>
      <c r="AN33" t="inlineStr">
        <is>
          <t>Fija: teqp</t>
        </is>
      </c>
      <c r="AO33" t="inlineStr">
        <is>
          <t>Fija: teqp</t>
        </is>
      </c>
      <c r="AP33" t="inlineStr">
        <is>
          <t>Fija: teqp</t>
        </is>
      </c>
      <c r="AQ33" t="inlineStr">
        <is>
          <t>Fija: teqp</t>
        </is>
      </c>
      <c r="AR33" t="inlineStr">
        <is>
          <t>Fija: teqp</t>
        </is>
      </c>
      <c r="AS33" t="inlineStr">
        <is>
          <t>Fija: teqp</t>
        </is>
      </c>
      <c r="AT33" t="inlineStr">
        <is>
          <t>Fija: teqp</t>
        </is>
      </c>
      <c r="AU33" t="inlineStr">
        <is>
          <t>Fija: teqp</t>
        </is>
      </c>
      <c r="AV33" t="inlineStr">
        <is>
          <t>Fija: teqp</t>
        </is>
      </c>
      <c r="AW33" t="inlineStr">
        <is>
          <t>Fija: teqp</t>
        </is>
      </c>
      <c r="AX33" t="inlineStr">
        <is>
          <t>Fija: teqp</t>
        </is>
      </c>
      <c r="AY33" t="inlineStr">
        <is>
          <t>Fija: teqp</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OJ309"/>
  <sheetViews>
    <sheetView workbookViewId="0">
      <selection activeCell="A1" sqref="A1"/>
    </sheetView>
  </sheetViews>
  <sheetFormatPr baseColWidth="8" defaultRowHeight="15"/>
  <sheetData>
    <row r="1">
      <c r="A1" t="inlineStr">
        <is>
          <t>1.1 · Repetir el caso del profesor|xK</t>
        </is>
      </c>
      <c r="B1" t="inlineStr">
        <is>
          <t>1.1 · Repetir el caso del profesor|yK</t>
        </is>
      </c>
      <c r="C1" t="inlineStr">
        <is>
          <t>1.1 · Repetir el caso del profesor|xC</t>
        </is>
      </c>
      <c r="D1" t="inlineStr">
        <is>
          <t>1.1 · Repetir el caso del profesor|yC</t>
        </is>
      </c>
      <c r="E1" t="inlineStr">
        <is>
          <t>1.1 · Repetir el caso del profesor|xI</t>
        </is>
      </c>
      <c r="F1" t="inlineStr">
        <is>
          <t>1.1 · Repetir el caso del profesor|yI</t>
        </is>
      </c>
      <c r="G1" t="inlineStr">
        <is>
          <t>1.1 · Repetir el caso del profesor|xN</t>
        </is>
      </c>
      <c r="H1" t="inlineStr">
        <is>
          <t>1.1 · Repetir el caso del profesor|yN</t>
        </is>
      </c>
      <c r="I1" t="inlineStr">
        <is>
          <t>2.1 · Un solo cambio|xK</t>
        </is>
      </c>
      <c r="J1" t="inlineStr">
        <is>
          <t>2.1 · Un solo cambio|yK</t>
        </is>
      </c>
      <c r="K1" t="inlineStr">
        <is>
          <t>2.1 · Un solo cambio|xC</t>
        </is>
      </c>
      <c r="L1" t="inlineStr">
        <is>
          <t>2.1 · Un solo cambio|yC</t>
        </is>
      </c>
      <c r="M1" t="inlineStr">
        <is>
          <t>2.1 · Un solo cambio|xI</t>
        </is>
      </c>
      <c r="N1" t="inlineStr">
        <is>
          <t>2.1 · Un solo cambio|yI</t>
        </is>
      </c>
      <c r="O1" t="inlineStr">
        <is>
          <t>2.1 · Un solo cambio|xN</t>
        </is>
      </c>
      <c r="P1" t="inlineStr">
        <is>
          <t>2.1 · Un solo cambio|yN</t>
        </is>
      </c>
      <c r="Q1" t="inlineStr">
        <is>
          <t>2.2a · conservar la fuente (ε_HRVG × P_baja)|xK</t>
        </is>
      </c>
      <c r="R1" t="inlineStr">
        <is>
          <t>2.2a · conservar la fuente (ε_HRVG × P_baja)|yK</t>
        </is>
      </c>
      <c r="S1" t="inlineStr">
        <is>
          <t>2.2a · conservar la fuente (ε_HRVG × P_baja)|xC</t>
        </is>
      </c>
      <c r="T1" t="inlineStr">
        <is>
          <t>2.2a · conservar la fuente (ε_HRVG × P_baja)|yC</t>
        </is>
      </c>
      <c r="U1" t="inlineStr">
        <is>
          <t>2.2a · conservar la fuente (ε_HRVG × P_baja)|xI</t>
        </is>
      </c>
      <c r="V1" t="inlineStr">
        <is>
          <t>2.2a · conservar la fuente (ε_HRVG × P_baja)|yI</t>
        </is>
      </c>
      <c r="W1" t="inlineStr">
        <is>
          <t>2.2a · conservar la fuente (ε_HRVG × P_baja)|xN</t>
        </is>
      </c>
      <c r="X1" t="inlineStr">
        <is>
          <t>2.2a · conservar la fuente (ε_HRVG × P_baja)|yN</t>
        </is>
      </c>
      <c r="Y1" t="inlineStr">
        <is>
          <t>2.2b · bajar la fuente (T_fuente × P_baja)|xK</t>
        </is>
      </c>
      <c r="Z1" t="inlineStr">
        <is>
          <t>2.2b · bajar la fuente (T_fuente × P_baja)|yK</t>
        </is>
      </c>
      <c r="AA1" t="inlineStr">
        <is>
          <t>2.2b · bajar la fuente (T_fuente × P_baja)|xC</t>
        </is>
      </c>
      <c r="AB1" t="inlineStr">
        <is>
          <t>2.2b · bajar la fuente (T_fuente × P_baja)|yC</t>
        </is>
      </c>
      <c r="AC1" t="inlineStr">
        <is>
          <t>2.2b · bajar la fuente (T_fuente × P_baja)|xI</t>
        </is>
      </c>
      <c r="AD1" t="inlineStr">
        <is>
          <t>2.2b · bajar la fuente (T_fuente × P_baja)|yI</t>
        </is>
      </c>
      <c r="AE1" t="inlineStr">
        <is>
          <t>2.2b · bajar la fuente (T_fuente × P_baja)|xN</t>
        </is>
      </c>
      <c r="AF1" t="inlineStr">
        <is>
          <t>2.2b · bajar la fuente (T_fuente × P_baja)|yN</t>
        </is>
      </c>
      <c r="AG1" t="inlineStr">
        <is>
          <t>2.3a · un cambio|xK</t>
        </is>
      </c>
      <c r="AH1" t="inlineStr">
        <is>
          <t>2.3a · un cambio|yK</t>
        </is>
      </c>
      <c r="AI1" t="inlineStr">
        <is>
          <t>2.3a · un cambio|xC</t>
        </is>
      </c>
      <c r="AJ1" t="inlineStr">
        <is>
          <t>2.3a · un cambio|yC</t>
        </is>
      </c>
      <c r="AK1" t="inlineStr">
        <is>
          <t>2.3a · un cambio|xI</t>
        </is>
      </c>
      <c r="AL1" t="inlineStr">
        <is>
          <t>2.3a · un cambio|yI</t>
        </is>
      </c>
      <c r="AM1" t="inlineStr">
        <is>
          <t>2.3a · un cambio|xN</t>
        </is>
      </c>
      <c r="AN1" t="inlineStr">
        <is>
          <t>2.3a · un cambio|yN</t>
        </is>
      </c>
      <c r="AO1" t="inlineStr">
        <is>
          <t>2.3b · ε_HRVG × ε_cond|xK</t>
        </is>
      </c>
      <c r="AP1" t="inlineStr">
        <is>
          <t>2.3b · ε_HRVG × ε_cond|yK</t>
        </is>
      </c>
      <c r="AQ1" t="inlineStr">
        <is>
          <t>2.3b · ε_HRVG × ε_cond|xC</t>
        </is>
      </c>
      <c r="AR1" t="inlineStr">
        <is>
          <t>2.3b · ε_HRVG × ε_cond|yC</t>
        </is>
      </c>
      <c r="AS1" t="inlineStr">
        <is>
          <t>2.3b · ε_HRVG × ε_cond|xI</t>
        </is>
      </c>
      <c r="AT1" t="inlineStr">
        <is>
          <t>2.3b · ε_HRVG × ε_cond|yI</t>
        </is>
      </c>
      <c r="AU1" t="inlineStr">
        <is>
          <t>2.3b · ε_HRVG × ε_cond|xN</t>
        </is>
      </c>
      <c r="AV1" t="inlineStr">
        <is>
          <t>2.3b · ε_HRVG × ε_cond|yN</t>
        </is>
      </c>
      <c r="AW1" t="inlineStr">
        <is>
          <t>2.3c · ε_HRVG × P_baja|xK</t>
        </is>
      </c>
      <c r="AX1" t="inlineStr">
        <is>
          <t>2.3c · ε_HRVG × P_baja|yK</t>
        </is>
      </c>
      <c r="AY1" t="inlineStr">
        <is>
          <t>2.3c · ε_HRVG × P_baja|xC</t>
        </is>
      </c>
      <c r="AZ1" t="inlineStr">
        <is>
          <t>2.3c · ε_HRVG × P_baja|yC</t>
        </is>
      </c>
      <c r="BA1" t="inlineStr">
        <is>
          <t>2.3c · ε_HRVG × P_baja|xI</t>
        </is>
      </c>
      <c r="BB1" t="inlineStr">
        <is>
          <t>2.3c · ε_HRVG × P_baja|yI</t>
        </is>
      </c>
      <c r="BC1" t="inlineStr">
        <is>
          <t>2.3c · ε_HRVG × P_baja|xN</t>
        </is>
      </c>
      <c r="BD1" t="inlineStr">
        <is>
          <t>2.3c · ε_HRVG × P_baja|yN</t>
        </is>
      </c>
      <c r="BE1" t="inlineStr">
        <is>
          <t>2.3d · T_fuente × ε_cond|xK</t>
        </is>
      </c>
      <c r="BF1" t="inlineStr">
        <is>
          <t>2.3d · T_fuente × ε_cond|yK</t>
        </is>
      </c>
      <c r="BG1" t="inlineStr">
        <is>
          <t>2.3d · T_fuente × ε_cond|xC</t>
        </is>
      </c>
      <c r="BH1" t="inlineStr">
        <is>
          <t>2.3d · T_fuente × ε_cond|yC</t>
        </is>
      </c>
      <c r="BI1" t="inlineStr">
        <is>
          <t>2.3d · T_fuente × ε_cond|xI</t>
        </is>
      </c>
      <c r="BJ1" t="inlineStr">
        <is>
          <t>2.3d · T_fuente × ε_cond|yI</t>
        </is>
      </c>
      <c r="BK1" t="inlineStr">
        <is>
          <t>2.3d · T_fuente × ε_cond|xN</t>
        </is>
      </c>
      <c r="BL1" t="inlineStr">
        <is>
          <t>2.3d · T_fuente × ε_cond|yN</t>
        </is>
      </c>
      <c r="BM1" t="inlineStr">
        <is>
          <t>2.4a · fuente a 403 K|xK</t>
        </is>
      </c>
      <c r="BN1" t="inlineStr">
        <is>
          <t>2.4a · fuente a 403 K|yK</t>
        </is>
      </c>
      <c r="BO1" t="inlineStr">
        <is>
          <t>2.4a · fuente a 403 K|xC</t>
        </is>
      </c>
      <c r="BP1" t="inlineStr">
        <is>
          <t>2.4a · fuente a 403 K|yC</t>
        </is>
      </c>
      <c r="BQ1" t="inlineStr">
        <is>
          <t>2.4a · fuente a 403 K|xI</t>
        </is>
      </c>
      <c r="BR1" t="inlineStr">
        <is>
          <t>2.4a · fuente a 403 K|yI</t>
        </is>
      </c>
      <c r="BS1" t="inlineStr">
        <is>
          <t>2.4a · fuente a 403 K|xN</t>
        </is>
      </c>
      <c r="BT1" t="inlineStr">
        <is>
          <t>2.4a · fuente a 403 K|yN</t>
        </is>
      </c>
      <c r="BU1" t="inlineStr">
        <is>
          <t>2.4b · fuente a 420 K|xK</t>
        </is>
      </c>
      <c r="BV1" t="inlineStr">
        <is>
          <t>2.4b · fuente a 420 K|yK</t>
        </is>
      </c>
      <c r="BW1" t="inlineStr">
        <is>
          <t>2.4b · fuente a 420 K|xC</t>
        </is>
      </c>
      <c r="BX1" t="inlineStr">
        <is>
          <t>2.4b · fuente a 420 K|yC</t>
        </is>
      </c>
      <c r="BY1" t="inlineStr">
        <is>
          <t>2.4b · fuente a 420 K|xI</t>
        </is>
      </c>
      <c r="BZ1" t="inlineStr">
        <is>
          <t>2.4b · fuente a 420 K|yI</t>
        </is>
      </c>
      <c r="CA1" t="inlineStr">
        <is>
          <t>2.4b · fuente a 420 K|xN</t>
        </is>
      </c>
      <c r="CB1" t="inlineStr">
        <is>
          <t>2.4b · fuente a 420 K|yN</t>
        </is>
      </c>
      <c r="CC1" t="inlineStr">
        <is>
          <t>2.4c · ε_HRVG = 0.40 (fuente del profesor)|xK</t>
        </is>
      </c>
      <c r="CD1" t="inlineStr">
        <is>
          <t>2.4c · ε_HRVG = 0.40 (fuente del profesor)|yK</t>
        </is>
      </c>
      <c r="CE1" t="inlineStr">
        <is>
          <t>2.4c · ε_HRVG = 0.40 (fuente del profesor)|xC</t>
        </is>
      </c>
      <c r="CF1" t="inlineStr">
        <is>
          <t>2.4c · ε_HRVG = 0.40 (fuente del profesor)|yC</t>
        </is>
      </c>
      <c r="CG1" t="inlineStr">
        <is>
          <t>2.4c · ε_HRVG = 0.40 (fuente del profesor)|xI</t>
        </is>
      </c>
      <c r="CH1" t="inlineStr">
        <is>
          <t>2.4c · ε_HRVG = 0.40 (fuente del profesor)|yI</t>
        </is>
      </c>
      <c r="CI1" t="inlineStr">
        <is>
          <t>2.4c · ε_HRVG = 0.40 (fuente del profesor)|xN</t>
        </is>
      </c>
      <c r="CJ1" t="inlineStr">
        <is>
          <t>2.4c · ε_HRVG = 0.40 (fuente del profesor)|yN</t>
        </is>
      </c>
      <c r="CK1" t="inlineStr">
        <is>
          <t>2.4d · datos exactos del profesor|xK</t>
        </is>
      </c>
      <c r="CL1" t="inlineStr">
        <is>
          <t>2.4d · datos exactos del profesor|yK</t>
        </is>
      </c>
      <c r="CM1" t="inlineStr">
        <is>
          <t>2.4d · datos exactos del profesor|xC</t>
        </is>
      </c>
      <c r="CN1" t="inlineStr">
        <is>
          <t>2.4d · datos exactos del profesor|yC</t>
        </is>
      </c>
      <c r="CO1" t="inlineStr">
        <is>
          <t>2.4d · datos exactos del profesor|xI</t>
        </is>
      </c>
      <c r="CP1" t="inlineStr">
        <is>
          <t>2.4d · datos exactos del profesor|yI</t>
        </is>
      </c>
      <c r="CQ1" t="inlineStr">
        <is>
          <t>2.4d · datos exactos del profesor|xN</t>
        </is>
      </c>
      <c r="CR1" t="inlineStr">
        <is>
          <t>2.4d · datos exactos del profesor|yN</t>
        </is>
      </c>
      <c r="CS1" t="inlineStr">
        <is>
          <t>3.1 · Sensibilidad local alrededor de A*|xK</t>
        </is>
      </c>
      <c r="CT1" t="inlineStr">
        <is>
          <t>3.1 · Sensibilidad local alrededor de A*|yK</t>
        </is>
      </c>
      <c r="CU1" t="inlineStr">
        <is>
          <t>3.1 · Sensibilidad local alrededor de A*|xC</t>
        </is>
      </c>
      <c r="CV1" t="inlineStr">
        <is>
          <t>3.1 · Sensibilidad local alrededor de A*|yC</t>
        </is>
      </c>
      <c r="CW1" t="inlineStr">
        <is>
          <t>3.1 · Sensibilidad local alrededor de A*|xI</t>
        </is>
      </c>
      <c r="CX1" t="inlineStr">
        <is>
          <t>3.1 · Sensibilidad local alrededor de A*|yI</t>
        </is>
      </c>
      <c r="CY1" t="inlineStr">
        <is>
          <t>3.1 · Sensibilidad local alrededor de A*|xN</t>
        </is>
      </c>
      <c r="CZ1" t="inlineStr">
        <is>
          <t>3.1 · Sensibilidad local alrededor de A*|yN</t>
        </is>
      </c>
      <c r="DA1" t="inlineStr">
        <is>
          <t>3.2 · Sensibilidad global (500 puntos)|xK</t>
        </is>
      </c>
      <c r="DB1" t="inlineStr">
        <is>
          <t>3.2 · Sensibilidad global (500 puntos)|yK</t>
        </is>
      </c>
      <c r="DC1" t="inlineStr">
        <is>
          <t>3.2 · Sensibilidad global (500 puntos)|xC</t>
        </is>
      </c>
      <c r="DD1" t="inlineStr">
        <is>
          <t>3.2 · Sensibilidad global (500 puntos)|yC</t>
        </is>
      </c>
      <c r="DE1" t="inlineStr">
        <is>
          <t>3.2 · Sensibilidad global (500 puntos)|xI</t>
        </is>
      </c>
      <c r="DF1" t="inlineStr">
        <is>
          <t>3.2 · Sensibilidad global (500 puntos)|yI</t>
        </is>
      </c>
      <c r="DG1" t="inlineStr">
        <is>
          <t>3.2 · Sensibilidad global (500 puntos)|xN</t>
        </is>
      </c>
      <c r="DH1" t="inlineStr">
        <is>
          <t>3.2 · Sensibilidad global (500 puntos)|yN</t>
        </is>
      </c>
      <c r="DI1" t="inlineStr">
        <is>
          <t>3.3 · P_baja alta (1500–2500 kPa)|xK</t>
        </is>
      </c>
      <c r="DJ1" t="inlineStr">
        <is>
          <t>3.3 · P_baja alta (1500–2500 kPa)|yK</t>
        </is>
      </c>
      <c r="DK1" t="inlineStr">
        <is>
          <t>3.3 · P_baja alta (1500–2500 kPa)|xC</t>
        </is>
      </c>
      <c r="DL1" t="inlineStr">
        <is>
          <t>3.3 · P_baja alta (1500–2500 kPa)|yC</t>
        </is>
      </c>
      <c r="DM1" t="inlineStr">
        <is>
          <t>3.3 · P_baja alta (1500–2500 kPa)|xI</t>
        </is>
      </c>
      <c r="DN1" t="inlineStr">
        <is>
          <t>3.3 · P_baja alta (1500–2500 kPa)|yI</t>
        </is>
      </c>
      <c r="DO1" t="inlineStr">
        <is>
          <t>3.3 · P_baja alta (1500–2500 kPa)|xN</t>
        </is>
      </c>
      <c r="DP1" t="inlineStr">
        <is>
          <t>3.3 · P_baja alta (1500–2500 kPa)|yN</t>
        </is>
      </c>
      <c r="DQ1" t="inlineStr">
        <is>
          <t>4.1a · conserva sus temperaturas|xK</t>
        </is>
      </c>
      <c r="DR1" t="inlineStr">
        <is>
          <t>4.1a · conserva sus temperaturas|yK</t>
        </is>
      </c>
      <c r="DS1" t="inlineStr">
        <is>
          <t>4.1a · conserva sus temperaturas|xC</t>
        </is>
      </c>
      <c r="DT1" t="inlineStr">
        <is>
          <t>4.1a · conserva sus temperaturas|yC</t>
        </is>
      </c>
      <c r="DU1" t="inlineStr">
        <is>
          <t>4.1a · conserva sus temperaturas|xI</t>
        </is>
      </c>
      <c r="DV1" t="inlineStr">
        <is>
          <t>4.1a · conserva sus temperaturas|yI</t>
        </is>
      </c>
      <c r="DW1" t="inlineStr">
        <is>
          <t>4.1a · conserva sus temperaturas|xN</t>
        </is>
      </c>
      <c r="DX1" t="inlineStr">
        <is>
          <t>4.1a · conserva sus temperaturas|yN</t>
        </is>
      </c>
      <c r="DY1" t="inlineStr">
        <is>
          <t>4.1b · conserva sus presiones|xK</t>
        </is>
      </c>
      <c r="DZ1" t="inlineStr">
        <is>
          <t>4.1b · conserva sus presiones|yK</t>
        </is>
      </c>
      <c r="EA1" t="inlineStr">
        <is>
          <t>4.1b · conserva sus presiones|xC</t>
        </is>
      </c>
      <c r="EB1" t="inlineStr">
        <is>
          <t>4.1b · conserva sus presiones|yC</t>
        </is>
      </c>
      <c r="EC1" t="inlineStr">
        <is>
          <t>4.1b · conserva sus presiones|xI</t>
        </is>
      </c>
      <c r="ED1" t="inlineStr">
        <is>
          <t>4.1b · conserva sus presiones|yI</t>
        </is>
      </c>
      <c r="EE1" t="inlineStr">
        <is>
          <t>4.1b · conserva sus presiones|xN</t>
        </is>
      </c>
      <c r="EF1" t="inlineStr">
        <is>
          <t>4.1b · conserva sus presiones|yN</t>
        </is>
      </c>
      <c r="EG1" t="inlineStr">
        <is>
          <t>4.1c · conserva sus presiones y su clima|xK</t>
        </is>
      </c>
      <c r="EH1" t="inlineStr">
        <is>
          <t>4.1c · conserva sus presiones y su clima|yK</t>
        </is>
      </c>
      <c r="EI1" t="inlineStr">
        <is>
          <t>4.1c · conserva sus presiones y su clima|xC</t>
        </is>
      </c>
      <c r="EJ1" t="inlineStr">
        <is>
          <t>4.1c · conserva sus presiones y su clima|yC</t>
        </is>
      </c>
      <c r="EK1" t="inlineStr">
        <is>
          <t>4.1c · conserva sus presiones y su clima|xI</t>
        </is>
      </c>
      <c r="EL1" t="inlineStr">
        <is>
          <t>4.1c · conserva sus presiones y su clima|yI</t>
        </is>
      </c>
      <c r="EM1" t="inlineStr">
        <is>
          <t>4.1c · conserva sus presiones y su clima|xN</t>
        </is>
      </c>
      <c r="EN1" t="inlineStr">
        <is>
          <t>4.1c · conserva sus presiones y su clima|yN</t>
        </is>
      </c>
      <c r="EO1" t="inlineStr">
        <is>
          <t>4.1d · conserva su P_alta y sus temperaturas|xK</t>
        </is>
      </c>
      <c r="EP1" t="inlineStr">
        <is>
          <t>4.1d · conserva su P_alta y sus temperaturas|yK</t>
        </is>
      </c>
      <c r="EQ1" t="inlineStr">
        <is>
          <t>4.1d · conserva su P_alta y sus temperaturas|xC</t>
        </is>
      </c>
      <c r="ER1" t="inlineStr">
        <is>
          <t>4.1d · conserva su P_alta y sus temperaturas|yC</t>
        </is>
      </c>
      <c r="ES1" t="inlineStr">
        <is>
          <t>4.1d · conserva su P_alta y sus temperaturas|xI</t>
        </is>
      </c>
      <c r="ET1" t="inlineStr">
        <is>
          <t>4.1d · conserva su P_alta y sus temperaturas|yI</t>
        </is>
      </c>
      <c r="EU1" t="inlineStr">
        <is>
          <t>4.1d · conserva su P_alta y sus temperaturas|xN</t>
        </is>
      </c>
      <c r="EV1" t="inlineStr">
        <is>
          <t>4.1d · conserva su P_alta y sus temperaturas|yN</t>
        </is>
      </c>
      <c r="EW1" t="inlineStr">
        <is>
          <t>4.1e · conserva su fuente y su x_b|xK</t>
        </is>
      </c>
      <c r="EX1" t="inlineStr">
        <is>
          <t>4.1e · conserva su fuente y su x_b|yK</t>
        </is>
      </c>
      <c r="EY1" t="inlineStr">
        <is>
          <t>4.1e · conserva su fuente y su x_b|xC</t>
        </is>
      </c>
      <c r="EZ1" t="inlineStr">
        <is>
          <t>4.1e · conserva su fuente y su x_b|yC</t>
        </is>
      </c>
      <c r="FA1" t="inlineStr">
        <is>
          <t>4.1e · conserva su fuente y su x_b|xI</t>
        </is>
      </c>
      <c r="FB1" t="inlineStr">
        <is>
          <t>4.1e · conserva su fuente y su x_b|yI</t>
        </is>
      </c>
      <c r="FC1" t="inlineStr">
        <is>
          <t>4.1e · conserva su fuente y su x_b|xN</t>
        </is>
      </c>
      <c r="FD1" t="inlineStr">
        <is>
          <t>4.1e · conserva su fuente y su x_b|yN</t>
        </is>
      </c>
      <c r="FE1" t="inlineStr">
        <is>
          <t>4.2 · Mapa con las presiones del profesor|xK</t>
        </is>
      </c>
      <c r="FF1" t="inlineStr">
        <is>
          <t>4.2 · Mapa con las presiones del profesor|yK</t>
        </is>
      </c>
      <c r="FG1" t="inlineStr">
        <is>
          <t>4.2 · Mapa con las presiones del profesor|xC</t>
        </is>
      </c>
      <c r="FH1" t="inlineStr">
        <is>
          <t>4.2 · Mapa con las presiones del profesor|yC</t>
        </is>
      </c>
      <c r="FI1" t="inlineStr">
        <is>
          <t>4.2 · Mapa con las presiones del profesor|xI</t>
        </is>
      </c>
      <c r="FJ1" t="inlineStr">
        <is>
          <t>4.2 · Mapa con las presiones del profesor|yI</t>
        </is>
      </c>
      <c r="FK1" t="inlineStr">
        <is>
          <t>4.2 · Mapa con las presiones del profesor|xN</t>
        </is>
      </c>
      <c r="FL1" t="inlineStr">
        <is>
          <t>4.2 · Mapa con las presiones del profesor|yN</t>
        </is>
      </c>
      <c r="FM1" t="inlineStr">
        <is>
          <t>5.1a · libre, desde el mejor de 3.2|xK</t>
        </is>
      </c>
      <c r="FN1" t="inlineStr">
        <is>
          <t>5.1a · libre, desde el mejor de 3.2|yK</t>
        </is>
      </c>
      <c r="FO1" t="inlineStr">
        <is>
          <t>5.1a · libre, desde el mejor de 3.2|xC</t>
        </is>
      </c>
      <c r="FP1" t="inlineStr">
        <is>
          <t>5.1a · libre, desde el mejor de 3.2|yC</t>
        </is>
      </c>
      <c r="FQ1" t="inlineStr">
        <is>
          <t>5.1a · libre, desde el mejor de 3.2|xI</t>
        </is>
      </c>
      <c r="FR1" t="inlineStr">
        <is>
          <t>5.1a · libre, desde el mejor de 3.2|yI</t>
        </is>
      </c>
      <c r="FS1" t="inlineStr">
        <is>
          <t>5.1a · libre, desde el mejor de 3.2|xN</t>
        </is>
      </c>
      <c r="FT1" t="inlineStr">
        <is>
          <t>5.1a · libre, desde el mejor de 3.2|yN</t>
        </is>
      </c>
      <c r="FU1" t="inlineStr">
        <is>
          <t>5.1b · libre, desde el mejor de 2.4|xK</t>
        </is>
      </c>
      <c r="FV1" t="inlineStr">
        <is>
          <t>5.1b · libre, desde el mejor de 2.4|yK</t>
        </is>
      </c>
      <c r="FW1" t="inlineStr">
        <is>
          <t>5.1b · libre, desde el mejor de 2.4|xC</t>
        </is>
      </c>
      <c r="FX1" t="inlineStr">
        <is>
          <t>5.1b · libre, desde el mejor de 2.4|yC</t>
        </is>
      </c>
      <c r="FY1" t="inlineStr">
        <is>
          <t>5.1b · libre, desde el mejor de 2.4|xI</t>
        </is>
      </c>
      <c r="FZ1" t="inlineStr">
        <is>
          <t>5.1b · libre, desde el mejor de 2.4|yI</t>
        </is>
      </c>
      <c r="GA1" t="inlineStr">
        <is>
          <t>5.1b · libre, desde el mejor de 2.4|xN</t>
        </is>
      </c>
      <c r="GB1" t="inlineStr">
        <is>
          <t>5.1b · libre, desde el mejor de 2.4|yN</t>
        </is>
      </c>
      <c r="GC1" t="inlineStr">
        <is>
          <t>5.1c · conserva sus temperaturas|xK</t>
        </is>
      </c>
      <c r="GD1" t="inlineStr">
        <is>
          <t>5.1c · conserva sus temperaturas|yK</t>
        </is>
      </c>
      <c r="GE1" t="inlineStr">
        <is>
          <t>5.1c · conserva sus temperaturas|xC</t>
        </is>
      </c>
      <c r="GF1" t="inlineStr">
        <is>
          <t>5.1c · conserva sus temperaturas|yC</t>
        </is>
      </c>
      <c r="GG1" t="inlineStr">
        <is>
          <t>5.1c · conserva sus temperaturas|xI</t>
        </is>
      </c>
      <c r="GH1" t="inlineStr">
        <is>
          <t>5.1c · conserva sus temperaturas|yI</t>
        </is>
      </c>
      <c r="GI1" t="inlineStr">
        <is>
          <t>5.1c · conserva sus temperaturas|xN</t>
        </is>
      </c>
      <c r="GJ1" t="inlineStr">
        <is>
          <t>5.1c · conserva sus temperaturas|yN</t>
        </is>
      </c>
      <c r="GK1" t="inlineStr">
        <is>
          <t>5.1d · conserva sus presiones y su clima|xK</t>
        </is>
      </c>
      <c r="GL1" t="inlineStr">
        <is>
          <t>5.1d · conserva sus presiones y su clima|yK</t>
        </is>
      </c>
      <c r="GM1" t="inlineStr">
        <is>
          <t>5.1d · conserva sus presiones y su clima|xC</t>
        </is>
      </c>
      <c r="GN1" t="inlineStr">
        <is>
          <t>5.1d · conserva sus presiones y su clima|yC</t>
        </is>
      </c>
      <c r="GO1" t="inlineStr">
        <is>
          <t>5.1d · conserva sus presiones y su clima|xI</t>
        </is>
      </c>
      <c r="GP1" t="inlineStr">
        <is>
          <t>5.1d · conserva sus presiones y su clima|yI</t>
        </is>
      </c>
      <c r="GQ1" t="inlineStr">
        <is>
          <t>5.1d · conserva sus presiones y su clima|xN</t>
        </is>
      </c>
      <c r="GR1" t="inlineStr">
        <is>
          <t>5.1d · conserva sus presiones y su clima|yN</t>
        </is>
      </c>
      <c r="GS1" t="inlineStr">
        <is>
          <t>5.1e · conserva su fuente y su x_b|xK</t>
        </is>
      </c>
      <c r="GT1" t="inlineStr">
        <is>
          <t>5.1e · conserva su fuente y su x_b|yK</t>
        </is>
      </c>
      <c r="GU1" t="inlineStr">
        <is>
          <t>5.1e · conserva su fuente y su x_b|xC</t>
        </is>
      </c>
      <c r="GV1" t="inlineStr">
        <is>
          <t>5.1e · conserva su fuente y su x_b|yC</t>
        </is>
      </c>
      <c r="GW1" t="inlineStr">
        <is>
          <t>5.1e · conserva su fuente y su x_b|xI</t>
        </is>
      </c>
      <c r="GX1" t="inlineStr">
        <is>
          <t>5.1e · conserva su fuente y su x_b|yI</t>
        </is>
      </c>
      <c r="GY1" t="inlineStr">
        <is>
          <t>5.1e · conserva su fuente y su x_b|xN</t>
        </is>
      </c>
      <c r="GZ1" t="inlineStr">
        <is>
          <t>5.1e · conserva su fuente y su x_b|yN</t>
        </is>
      </c>
      <c r="HA1" t="inlineStr">
        <is>
          <t>6.1 · Verificación con el motor de referencia|xK</t>
        </is>
      </c>
      <c r="HB1" t="inlineStr">
        <is>
          <t>6.1 · Verificación con el motor de referencia|yK</t>
        </is>
      </c>
      <c r="HC1" t="inlineStr">
        <is>
          <t>6.1 · Verificación con el motor de referencia|xC</t>
        </is>
      </c>
      <c r="HD1" t="inlineStr">
        <is>
          <t>6.1 · Verificación con el motor de referencia|yC</t>
        </is>
      </c>
      <c r="HE1" t="inlineStr">
        <is>
          <t>6.1 · Verificación con el motor de referencia|xI</t>
        </is>
      </c>
      <c r="HF1" t="inlineStr">
        <is>
          <t>6.1 · Verificación con el motor de referencia|yI</t>
        </is>
      </c>
      <c r="HG1" t="inlineStr">
        <is>
          <t>6.1 · Verificación con el motor de referencia|xN</t>
        </is>
      </c>
      <c r="HH1" t="inlineStr">
        <is>
          <t>6.1 · Verificación con el motor de referencia|yN</t>
        </is>
      </c>
      <c r="HI1" t="inlineStr">
        <is>
          <t>4.3 T_fuente · escalera de conservación|xK</t>
        </is>
      </c>
      <c r="HJ1" t="inlineStr">
        <is>
          <t>4.3 T_fuente · escalera de conservación|yK</t>
        </is>
      </c>
      <c r="HK1" t="inlineStr">
        <is>
          <t>4.3 T_fuente · escalera de conservación|xC</t>
        </is>
      </c>
      <c r="HL1" t="inlineStr">
        <is>
          <t>4.3 T_fuente · escalera de conservación|yC</t>
        </is>
      </c>
      <c r="HM1" t="inlineStr">
        <is>
          <t>4.3 T_fuente · escalera de conservación|xI</t>
        </is>
      </c>
      <c r="HN1" t="inlineStr">
        <is>
          <t>4.3 T_fuente · escalera de conservación|yI</t>
        </is>
      </c>
      <c r="HO1" t="inlineStr">
        <is>
          <t>4.3 T_fuente · escalera de conservación|xN</t>
        </is>
      </c>
      <c r="HP1" t="inlineStr">
        <is>
          <t>4.3 T_fuente · escalera de conservación|yN</t>
        </is>
      </c>
      <c r="HQ1" t="inlineStr">
        <is>
          <t>4.3 eficiencias · escalera de conservación|xK</t>
        </is>
      </c>
      <c r="HR1" t="inlineStr">
        <is>
          <t>4.3 eficiencias · escalera de conservación|yK</t>
        </is>
      </c>
      <c r="HS1" t="inlineStr">
        <is>
          <t>4.3 eficiencias · escalera de conservación|xC</t>
        </is>
      </c>
      <c r="HT1" t="inlineStr">
        <is>
          <t>4.3 eficiencias · escalera de conservación|yC</t>
        </is>
      </c>
      <c r="HU1" t="inlineStr">
        <is>
          <t>4.3 eficiencias · escalera de conservación|xI</t>
        </is>
      </c>
      <c r="HV1" t="inlineStr">
        <is>
          <t>4.3 eficiencias · escalera de conservación|yI</t>
        </is>
      </c>
      <c r="HW1" t="inlineStr">
        <is>
          <t>4.3 eficiencias · escalera de conservación|xN</t>
        </is>
      </c>
      <c r="HX1" t="inlineStr">
        <is>
          <t>4.3 eficiencias · escalera de conservación|yN</t>
        </is>
      </c>
      <c r="HY1" t="inlineStr">
        <is>
          <t>4.3 P_alta · escalera de conservación|xK</t>
        </is>
      </c>
      <c r="HZ1" t="inlineStr">
        <is>
          <t>4.3 P_alta · escalera de conservación|yK</t>
        </is>
      </c>
      <c r="IA1" t="inlineStr">
        <is>
          <t>4.3 P_alta · escalera de conservación|xC</t>
        </is>
      </c>
      <c r="IB1" t="inlineStr">
        <is>
          <t>4.3 P_alta · escalera de conservación|yC</t>
        </is>
      </c>
      <c r="IC1" t="inlineStr">
        <is>
          <t>4.3 P_alta · escalera de conservación|xI</t>
        </is>
      </c>
      <c r="ID1" t="inlineStr">
        <is>
          <t>4.3 P_alta · escalera de conservación|yI</t>
        </is>
      </c>
      <c r="IE1" t="inlineStr">
        <is>
          <t>4.3 P_alta · escalera de conservación|xN</t>
        </is>
      </c>
      <c r="IF1" t="inlineStr">
        <is>
          <t>4.3 P_alta · escalera de conservación|yN</t>
        </is>
      </c>
      <c r="IG1" t="inlineStr">
        <is>
          <t>4.3 P_baja · escalera de conservación|xK</t>
        </is>
      </c>
      <c r="IH1" t="inlineStr">
        <is>
          <t>4.3 P_baja · escalera de conservación|yK</t>
        </is>
      </c>
      <c r="II1" t="inlineStr">
        <is>
          <t>4.3 P_baja · escalera de conservación|xC</t>
        </is>
      </c>
      <c r="IJ1" t="inlineStr">
        <is>
          <t>4.3 P_baja · escalera de conservación|yC</t>
        </is>
      </c>
      <c r="IK1" t="inlineStr">
        <is>
          <t>4.3 P_baja · escalera de conservación|xI</t>
        </is>
      </c>
      <c r="IL1" t="inlineStr">
        <is>
          <t>4.3 P_baja · escalera de conservación|yI</t>
        </is>
      </c>
      <c r="IM1" t="inlineStr">
        <is>
          <t>4.3 P_baja · escalera de conservación|xN</t>
        </is>
      </c>
      <c r="IN1" t="inlineStr">
        <is>
          <t>4.3 P_baja · escalera de conservación|yN</t>
        </is>
      </c>
      <c r="IO1" t="inlineStr">
        <is>
          <t>4.3 T_sumidero · escalera de conservación|xK</t>
        </is>
      </c>
      <c r="IP1" t="inlineStr">
        <is>
          <t>4.3 T_sumidero · escalera de conservación|yK</t>
        </is>
      </c>
      <c r="IQ1" t="inlineStr">
        <is>
          <t>4.3 T_sumidero · escalera de conservación|xC</t>
        </is>
      </c>
      <c r="IR1" t="inlineStr">
        <is>
          <t>4.3 T_sumidero · escalera de conservación|yC</t>
        </is>
      </c>
      <c r="IS1" t="inlineStr">
        <is>
          <t>4.3 T_sumidero · escalera de conservación|xI</t>
        </is>
      </c>
      <c r="IT1" t="inlineStr">
        <is>
          <t>4.3 T_sumidero · escalera de conservación|yI</t>
        </is>
      </c>
      <c r="IU1" t="inlineStr">
        <is>
          <t>4.3 T_sumidero · escalera de conservación|xN</t>
        </is>
      </c>
      <c r="IV1" t="inlineStr">
        <is>
          <t>4.3 T_sumidero · escalera de conservación|yN</t>
        </is>
      </c>
      <c r="IW1" t="inlineStr">
        <is>
          <t>4.3 x_b · escalera de conservación|xK</t>
        </is>
      </c>
      <c r="IX1" t="inlineStr">
        <is>
          <t>4.3 x_b · escalera de conservación|yK</t>
        </is>
      </c>
      <c r="IY1" t="inlineStr">
        <is>
          <t>4.3 x_b · escalera de conservación|xC</t>
        </is>
      </c>
      <c r="IZ1" t="inlineStr">
        <is>
          <t>4.3 x_b · escalera de conservación|yC</t>
        </is>
      </c>
      <c r="JA1" t="inlineStr">
        <is>
          <t>4.3 x_b · escalera de conservación|xI</t>
        </is>
      </c>
      <c r="JB1" t="inlineStr">
        <is>
          <t>4.3 x_b · escalera de conservación|yI</t>
        </is>
      </c>
      <c r="JC1" t="inlineStr">
        <is>
          <t>4.3 x_b · escalera de conservación|xN</t>
        </is>
      </c>
      <c r="JD1" t="inlineStr">
        <is>
          <t>4.3 x_b · escalera de conservación|yN</t>
        </is>
      </c>
      <c r="JE1" t="inlineStr">
        <is>
          <t>4.3 x_b+T_fuente · escalera de conservación|xK</t>
        </is>
      </c>
      <c r="JF1" t="inlineStr">
        <is>
          <t>4.3 x_b+T_fuente · escalera de conservación|yK</t>
        </is>
      </c>
      <c r="JG1" t="inlineStr">
        <is>
          <t>4.3 x_b+T_fuente · escalera de conservación|xC</t>
        </is>
      </c>
      <c r="JH1" t="inlineStr">
        <is>
          <t>4.3 x_b+T_fuente · escalera de conservación|yC</t>
        </is>
      </c>
      <c r="JI1" t="inlineStr">
        <is>
          <t>4.3 x_b+T_fuente · escalera de conservación|xI</t>
        </is>
      </c>
      <c r="JJ1" t="inlineStr">
        <is>
          <t>4.3 x_b+T_fuente · escalera de conservación|yI</t>
        </is>
      </c>
      <c r="JK1" t="inlineStr">
        <is>
          <t>4.3 x_b+T_fuente · escalera de conservación|xN</t>
        </is>
      </c>
      <c r="JL1" t="inlineStr">
        <is>
          <t>4.3 x_b+T_fuente · escalera de conservación|yN</t>
        </is>
      </c>
      <c r="JM1" t="inlineStr">
        <is>
          <t>4.3 x_b+eficiencias · escalera de conservación|xK</t>
        </is>
      </c>
      <c r="JN1" t="inlineStr">
        <is>
          <t>4.3 x_b+eficiencias · escalera de conservación|yK</t>
        </is>
      </c>
      <c r="JO1" t="inlineStr">
        <is>
          <t>4.3 x_b+eficiencias · escalera de conservación|xC</t>
        </is>
      </c>
      <c r="JP1" t="inlineStr">
        <is>
          <t>4.3 x_b+eficiencias · escalera de conservación|yC</t>
        </is>
      </c>
      <c r="JQ1" t="inlineStr">
        <is>
          <t>4.3 x_b+eficiencias · escalera de conservación|xI</t>
        </is>
      </c>
      <c r="JR1" t="inlineStr">
        <is>
          <t>4.3 x_b+eficiencias · escalera de conservación|yI</t>
        </is>
      </c>
      <c r="JS1" t="inlineStr">
        <is>
          <t>4.3 x_b+eficiencias · escalera de conservación|xN</t>
        </is>
      </c>
      <c r="JT1" t="inlineStr">
        <is>
          <t>4.3 x_b+eficiencias · escalera de conservación|yN</t>
        </is>
      </c>
      <c r="JU1" t="inlineStr">
        <is>
          <t>4.3 x_b+P_alta · escalera de conservación|xK</t>
        </is>
      </c>
      <c r="JV1" t="inlineStr">
        <is>
          <t>4.3 x_b+P_alta · escalera de conservación|yK</t>
        </is>
      </c>
      <c r="JW1" t="inlineStr">
        <is>
          <t>4.3 x_b+P_alta · escalera de conservación|xC</t>
        </is>
      </c>
      <c r="JX1" t="inlineStr">
        <is>
          <t>4.3 x_b+P_alta · escalera de conservación|yC</t>
        </is>
      </c>
      <c r="JY1" t="inlineStr">
        <is>
          <t>4.3 x_b+P_alta · escalera de conservación|xI</t>
        </is>
      </c>
      <c r="JZ1" t="inlineStr">
        <is>
          <t>4.3 x_b+P_alta · escalera de conservación|yI</t>
        </is>
      </c>
      <c r="KA1" t="inlineStr">
        <is>
          <t>4.3 x_b+P_alta · escalera de conservación|xN</t>
        </is>
      </c>
      <c r="KB1" t="inlineStr">
        <is>
          <t>4.3 x_b+P_alta · escalera de conservación|yN</t>
        </is>
      </c>
      <c r="KC1" t="inlineStr">
        <is>
          <t>4.3 x_b+P_baja · escalera de conservación|xK</t>
        </is>
      </c>
      <c r="KD1" t="inlineStr">
        <is>
          <t>4.3 x_b+P_baja · escalera de conservación|yK</t>
        </is>
      </c>
      <c r="KE1" t="inlineStr">
        <is>
          <t>4.3 x_b+P_baja · escalera de conservación|xC</t>
        </is>
      </c>
      <c r="KF1" t="inlineStr">
        <is>
          <t>4.3 x_b+P_baja · escalera de conservación|yC</t>
        </is>
      </c>
      <c r="KG1" t="inlineStr">
        <is>
          <t>4.3 x_b+P_baja · escalera de conservación|xI</t>
        </is>
      </c>
      <c r="KH1" t="inlineStr">
        <is>
          <t>4.3 x_b+P_baja · escalera de conservación|yI</t>
        </is>
      </c>
      <c r="KI1" t="inlineStr">
        <is>
          <t>4.3 x_b+P_baja · escalera de conservación|xN</t>
        </is>
      </c>
      <c r="KJ1" t="inlineStr">
        <is>
          <t>4.3 x_b+P_baja · escalera de conservación|yN</t>
        </is>
      </c>
      <c r="KK1" t="inlineStr">
        <is>
          <t>4.3 x_b+T_sumidero · escalera de conservación|xK</t>
        </is>
      </c>
      <c r="KL1" t="inlineStr">
        <is>
          <t>4.3 x_b+T_sumidero · escalera de conservación|yK</t>
        </is>
      </c>
      <c r="KM1" t="inlineStr">
        <is>
          <t>4.3 x_b+T_sumidero · escalera de conservación|xC</t>
        </is>
      </c>
      <c r="KN1" t="inlineStr">
        <is>
          <t>4.3 x_b+T_sumidero · escalera de conservación|yC</t>
        </is>
      </c>
      <c r="KO1" t="inlineStr">
        <is>
          <t>4.3 x_b+T_sumidero · escalera de conservación|xI</t>
        </is>
      </c>
      <c r="KP1" t="inlineStr">
        <is>
          <t>4.3 x_b+T_sumidero · escalera de conservación|yI</t>
        </is>
      </c>
      <c r="KQ1" t="inlineStr">
        <is>
          <t>4.3 x_b+T_sumidero · escalera de conservación|xN</t>
        </is>
      </c>
      <c r="KR1" t="inlineStr">
        <is>
          <t>4.3 x_b+T_sumidero · escalera de conservación|yN</t>
        </is>
      </c>
      <c r="KS1" t="inlineStr">
        <is>
          <t>4.3 x_b+P_alta+T_fuente · escalera de conservación|xK</t>
        </is>
      </c>
      <c r="KT1" t="inlineStr">
        <is>
          <t>4.3 x_b+P_alta+T_fuente · escalera de conservación|yK</t>
        </is>
      </c>
      <c r="KU1" t="inlineStr">
        <is>
          <t>4.3 x_b+P_alta+T_fuente · escalera de conservación|xC</t>
        </is>
      </c>
      <c r="KV1" t="inlineStr">
        <is>
          <t>4.3 x_b+P_alta+T_fuente · escalera de conservación|yC</t>
        </is>
      </c>
      <c r="KW1" t="inlineStr">
        <is>
          <t>4.3 x_b+P_alta+T_fuente · escalera de conservación|xI</t>
        </is>
      </c>
      <c r="KX1" t="inlineStr">
        <is>
          <t>4.3 x_b+P_alta+T_fuente · escalera de conservación|yI</t>
        </is>
      </c>
      <c r="KY1" t="inlineStr">
        <is>
          <t>4.3 x_b+P_alta+T_fuente · escalera de conservación|xN</t>
        </is>
      </c>
      <c r="KZ1" t="inlineStr">
        <is>
          <t>4.3 x_b+P_alta+T_fuente · escalera de conservación|yN</t>
        </is>
      </c>
      <c r="LA1" t="inlineStr">
        <is>
          <t>4.3 x_b+P_alta+eficiencias · escalera de conservación|xK</t>
        </is>
      </c>
      <c r="LB1" t="inlineStr">
        <is>
          <t>4.3 x_b+P_alta+eficiencias · escalera de conservación|yK</t>
        </is>
      </c>
      <c r="LC1" t="inlineStr">
        <is>
          <t>4.3 x_b+P_alta+eficiencias · escalera de conservación|xC</t>
        </is>
      </c>
      <c r="LD1" t="inlineStr">
        <is>
          <t>4.3 x_b+P_alta+eficiencias · escalera de conservación|yC</t>
        </is>
      </c>
      <c r="LE1" t="inlineStr">
        <is>
          <t>4.3 x_b+P_alta+eficiencias · escalera de conservación|xI</t>
        </is>
      </c>
      <c r="LF1" t="inlineStr">
        <is>
          <t>4.3 x_b+P_alta+eficiencias · escalera de conservación|yI</t>
        </is>
      </c>
      <c r="LG1" t="inlineStr">
        <is>
          <t>4.3 x_b+P_alta+eficiencias · escalera de conservación|xN</t>
        </is>
      </c>
      <c r="LH1" t="inlineStr">
        <is>
          <t>4.3 x_b+P_alta+eficiencias · escalera de conservación|yN</t>
        </is>
      </c>
      <c r="LI1" t="inlineStr">
        <is>
          <t>4.3 x_b+P_alta+P_baja · escalera de conservación|xK</t>
        </is>
      </c>
      <c r="LJ1" t="inlineStr">
        <is>
          <t>4.3 x_b+P_alta+P_baja · escalera de conservación|yK</t>
        </is>
      </c>
      <c r="LK1" t="inlineStr">
        <is>
          <t>4.3 x_b+P_alta+P_baja · escalera de conservación|xC</t>
        </is>
      </c>
      <c r="LL1" t="inlineStr">
        <is>
          <t>4.3 x_b+P_alta+P_baja · escalera de conservación|yC</t>
        </is>
      </c>
      <c r="LM1" t="inlineStr">
        <is>
          <t>4.3 x_b+P_alta+P_baja · escalera de conservación|xI</t>
        </is>
      </c>
      <c r="LN1" t="inlineStr">
        <is>
          <t>4.3 x_b+P_alta+P_baja · escalera de conservación|yI</t>
        </is>
      </c>
      <c r="LO1" t="inlineStr">
        <is>
          <t>4.3 x_b+P_alta+P_baja · escalera de conservación|xN</t>
        </is>
      </c>
      <c r="LP1" t="inlineStr">
        <is>
          <t>4.3 x_b+P_alta+P_baja · escalera de conservación|yN</t>
        </is>
      </c>
      <c r="LQ1" t="inlineStr">
        <is>
          <t>4.3 x_b+P_alta+T_sumidero · escalera de conservación|xK</t>
        </is>
      </c>
      <c r="LR1" t="inlineStr">
        <is>
          <t>4.3 x_b+P_alta+T_sumidero · escalera de conservación|yK</t>
        </is>
      </c>
      <c r="LS1" t="inlineStr">
        <is>
          <t>4.3 x_b+P_alta+T_sumidero · escalera de conservación|xC</t>
        </is>
      </c>
      <c r="LT1" t="inlineStr">
        <is>
          <t>4.3 x_b+P_alta+T_sumidero · escalera de conservación|yC</t>
        </is>
      </c>
      <c r="LU1" t="inlineStr">
        <is>
          <t>4.3 x_b+P_alta+T_sumidero · escalera de conservación|xI</t>
        </is>
      </c>
      <c r="LV1" t="inlineStr">
        <is>
          <t>4.3 x_b+P_alta+T_sumidero · escalera de conservación|yI</t>
        </is>
      </c>
      <c r="LW1" t="inlineStr">
        <is>
          <t>4.3 x_b+P_alta+T_sumidero · escalera de conservación|xN</t>
        </is>
      </c>
      <c r="LX1" t="inlineStr">
        <is>
          <t>4.3 x_b+P_alta+T_sumidero · escalera de conservación|yN</t>
        </is>
      </c>
      <c r="LY1" t="inlineStr">
        <is>
          <t>4.3 x_b+P_alta+eficiencias+T_fuente · escalera de conservación|xK</t>
        </is>
      </c>
      <c r="LZ1" t="inlineStr">
        <is>
          <t>4.3 x_b+P_alta+eficiencias+T_fuente · escalera de conservación|yK</t>
        </is>
      </c>
      <c r="MA1" t="inlineStr">
        <is>
          <t>4.3 x_b+P_alta+eficiencias+T_fuente · escalera de conservación|xC</t>
        </is>
      </c>
      <c r="MB1" t="inlineStr">
        <is>
          <t>4.3 x_b+P_alta+eficiencias+T_fuente · escalera de conservación|yC</t>
        </is>
      </c>
      <c r="MC1" t="inlineStr">
        <is>
          <t>4.3 x_b+P_alta+eficiencias+T_fuente · escalera de conservación|xI</t>
        </is>
      </c>
      <c r="MD1" t="inlineStr">
        <is>
          <t>4.3 x_b+P_alta+eficiencias+T_fuente · escalera de conservación|yI</t>
        </is>
      </c>
      <c r="ME1" t="inlineStr">
        <is>
          <t>4.3 x_b+P_alta+eficiencias+T_fuente · escalera de conservación|xN</t>
        </is>
      </c>
      <c r="MF1" t="inlineStr">
        <is>
          <t>4.3 x_b+P_alta+eficiencias+T_fuente · escalera de conservación|yN</t>
        </is>
      </c>
      <c r="MG1" t="inlineStr">
        <is>
          <t>4.3 x_b+P_alta+eficiencias+P_baja · escalera de conservación|xK</t>
        </is>
      </c>
      <c r="MH1" t="inlineStr">
        <is>
          <t>4.3 x_b+P_alta+eficiencias+P_baja · escalera de conservación|yK</t>
        </is>
      </c>
      <c r="MI1" t="inlineStr">
        <is>
          <t>4.3 x_b+P_alta+eficiencias+P_baja · escalera de conservación|xC</t>
        </is>
      </c>
      <c r="MJ1" t="inlineStr">
        <is>
          <t>4.3 x_b+P_alta+eficiencias+P_baja · escalera de conservación|yC</t>
        </is>
      </c>
      <c r="MK1" t="inlineStr">
        <is>
          <t>4.3 x_b+P_alta+eficiencias+P_baja · escalera de conservación|xI</t>
        </is>
      </c>
      <c r="ML1" t="inlineStr">
        <is>
          <t>4.3 x_b+P_alta+eficiencias+P_baja · escalera de conservación|yI</t>
        </is>
      </c>
      <c r="MM1" t="inlineStr">
        <is>
          <t>4.3 x_b+P_alta+eficiencias+P_baja · escalera de conservación|xN</t>
        </is>
      </c>
      <c r="MN1" t="inlineStr">
        <is>
          <t>4.3 x_b+P_alta+eficiencias+P_baja · escalera de conservación|yN</t>
        </is>
      </c>
      <c r="MO1" t="inlineStr">
        <is>
          <t>4.3 x_b+P_alta+eficiencias+T_sumidero · escalera de conservación|xK</t>
        </is>
      </c>
      <c r="MP1" t="inlineStr">
        <is>
          <t>4.3 x_b+P_alta+eficiencias+T_sumidero · escalera de conservación|yK</t>
        </is>
      </c>
      <c r="MQ1" t="inlineStr">
        <is>
          <t>4.3 x_b+P_alta+eficiencias+T_sumidero · escalera de conservación|xC</t>
        </is>
      </c>
      <c r="MR1" t="inlineStr">
        <is>
          <t>4.3 x_b+P_alta+eficiencias+T_sumidero · escalera de conservación|yC</t>
        </is>
      </c>
      <c r="MS1" t="inlineStr">
        <is>
          <t>4.3 x_b+P_alta+eficiencias+T_sumidero · escalera de conservación|xI</t>
        </is>
      </c>
      <c r="MT1" t="inlineStr">
        <is>
          <t>4.3 x_b+P_alta+eficiencias+T_sumidero · escalera de conservación|yI</t>
        </is>
      </c>
      <c r="MU1" t="inlineStr">
        <is>
          <t>4.3 x_b+P_alta+eficiencias+T_sumidero · escalera de conservación|xN</t>
        </is>
      </c>
      <c r="MV1" t="inlineStr">
        <is>
          <t>4.3 x_b+P_alta+eficiencias+T_sumidero · escalera de conservación|yN</t>
        </is>
      </c>
      <c r="MW1" t="inlineStr">
        <is>
          <t>6.2e · P_baja mínima con su piso de diseño|xK</t>
        </is>
      </c>
      <c r="MX1" t="inlineStr">
        <is>
          <t>6.2e · P_baja mínima con su piso de diseño|yK</t>
        </is>
      </c>
      <c r="MY1" t="inlineStr">
        <is>
          <t>6.2e · P_baja mínima con su piso de diseño|xC</t>
        </is>
      </c>
      <c r="MZ1" t="inlineStr">
        <is>
          <t>6.2e · P_baja mínima con su piso de diseño|yC</t>
        </is>
      </c>
      <c r="NA1" t="inlineStr">
        <is>
          <t>6.2e · P_baja mínima con su piso de diseño|xI</t>
        </is>
      </c>
      <c r="NB1" t="inlineStr">
        <is>
          <t>6.2e · P_baja mínima con su piso de diseño|yI</t>
        </is>
      </c>
      <c r="NC1" t="inlineStr">
        <is>
          <t>6.2e · P_baja mínima con su piso de diseño|xN</t>
        </is>
      </c>
      <c r="ND1" t="inlineStr">
        <is>
          <t>6.2e · P_baja mínima con su piso de diseño|yN</t>
        </is>
      </c>
      <c r="NE1" t="inlineStr">
        <is>
          <t>6.2a · Fase 3 de septiembre|xK</t>
        </is>
      </c>
      <c r="NF1" t="inlineStr">
        <is>
          <t>6.2a · Fase 3 de septiembre|yK</t>
        </is>
      </c>
      <c r="NG1" t="inlineStr">
        <is>
          <t>6.2a · Fase 3 de septiembre|xC</t>
        </is>
      </c>
      <c r="NH1" t="inlineStr">
        <is>
          <t>6.2a · Fase 3 de septiembre|yC</t>
        </is>
      </c>
      <c r="NI1" t="inlineStr">
        <is>
          <t>6.2a · Fase 3 de septiembre|xI</t>
        </is>
      </c>
      <c r="NJ1" t="inlineStr">
        <is>
          <t>6.2a · Fase 3 de septiembre|yI</t>
        </is>
      </c>
      <c r="NK1" t="inlineStr">
        <is>
          <t>6.2a · Fase 3 de septiembre|xN</t>
        </is>
      </c>
      <c r="NL1" t="inlineStr">
        <is>
          <t>6.2a · Fase 3 de septiembre|yN</t>
        </is>
      </c>
      <c r="NM1" t="inlineStr">
        <is>
          <t>6.2b · una variable a la vez|xK</t>
        </is>
      </c>
      <c r="NN1" t="inlineStr">
        <is>
          <t>6.2b · una variable a la vez|yK</t>
        </is>
      </c>
      <c r="NO1" t="inlineStr">
        <is>
          <t>6.2b · una variable a la vez|xC</t>
        </is>
      </c>
      <c r="NP1" t="inlineStr">
        <is>
          <t>6.2b · una variable a la vez|yC</t>
        </is>
      </c>
      <c r="NQ1" t="inlineStr">
        <is>
          <t>6.2b · una variable a la vez|xI</t>
        </is>
      </c>
      <c r="NR1" t="inlineStr">
        <is>
          <t>6.2b · una variable a la vez|yI</t>
        </is>
      </c>
      <c r="NS1" t="inlineStr">
        <is>
          <t>6.2b · una variable a la vez|xN</t>
        </is>
      </c>
      <c r="NT1" t="inlineStr">
        <is>
          <t>6.2b · una variable a la vez|yN</t>
        </is>
      </c>
      <c r="NU1" t="inlineStr">
        <is>
          <t>6.2c · malla x_b × P_baja (x_b 0.70–0.91)|xK</t>
        </is>
      </c>
      <c r="NV1" t="inlineStr">
        <is>
          <t>6.2c · malla x_b × P_baja (x_b 0.70–0.91)|yK</t>
        </is>
      </c>
      <c r="NW1" t="inlineStr">
        <is>
          <t>6.2c · malla x_b × P_baja (x_b 0.70–0.91)|xC</t>
        </is>
      </c>
      <c r="NX1" t="inlineStr">
        <is>
          <t>6.2c · malla x_b × P_baja (x_b 0.70–0.91)|yC</t>
        </is>
      </c>
      <c r="NY1" t="inlineStr">
        <is>
          <t>6.2c · malla x_b × P_baja (x_b 0.70–0.91)|xI</t>
        </is>
      </c>
      <c r="NZ1" t="inlineStr">
        <is>
          <t>6.2c · malla x_b × P_baja (x_b 0.70–0.91)|yI</t>
        </is>
      </c>
      <c r="OA1" t="inlineStr">
        <is>
          <t>6.2c · malla x_b × P_baja (x_b 0.70–0.91)|xN</t>
        </is>
      </c>
      <c r="OB1" t="inlineStr">
        <is>
          <t>6.2c · malla x_b × P_baja (x_b 0.70–0.91)|yN</t>
        </is>
      </c>
      <c r="OC1" t="inlineStr">
        <is>
          <t>6.2d · x_b bajo (0.30–0.70)|xK</t>
        </is>
      </c>
      <c r="OD1" t="inlineStr">
        <is>
          <t>6.2d · x_b bajo (0.30–0.70)|yK</t>
        </is>
      </c>
      <c r="OE1" t="inlineStr">
        <is>
          <t>6.2d · x_b bajo (0.30–0.70)|xC</t>
        </is>
      </c>
      <c r="OF1" t="inlineStr">
        <is>
          <t>6.2d · x_b bajo (0.30–0.70)|yC</t>
        </is>
      </c>
      <c r="OG1" t="inlineStr">
        <is>
          <t>6.2d · x_b bajo (0.30–0.70)|xI</t>
        </is>
      </c>
      <c r="OH1" t="inlineStr">
        <is>
          <t>6.2d · x_b bajo (0.30–0.70)|yI</t>
        </is>
      </c>
      <c r="OI1" t="inlineStr">
        <is>
          <t>6.2d · x_b bajo (0.30–0.70)|xN</t>
        </is>
      </c>
      <c r="OJ1" t="inlineStr">
        <is>
          <t>6.2d · x_b bajo (0.30–0.70)|yN</t>
        </is>
      </c>
    </row>
    <row r="2">
      <c r="G2" t="n">
        <v>2750</v>
      </c>
      <c r="H2" t="n">
        <v>0.5</v>
      </c>
      <c r="O2" t="n">
        <v>6000</v>
      </c>
      <c r="P2" t="n">
        <v>22.89861918349116</v>
      </c>
      <c r="S2" t="n">
        <v>400</v>
      </c>
      <c r="T2" t="n">
        <v>0.75</v>
      </c>
      <c r="Y2" t="n">
        <v>545.4545454545455</v>
      </c>
      <c r="Z2" t="n">
        <v>390</v>
      </c>
      <c r="AA2" t="n">
        <v>400</v>
      </c>
      <c r="AB2" t="n">
        <v>390</v>
      </c>
      <c r="AE2" t="n">
        <v>400</v>
      </c>
      <c r="AF2" t="n">
        <v>380</v>
      </c>
      <c r="AI2" t="n">
        <v>0.8</v>
      </c>
      <c r="AJ2" t="n">
        <v>0.6</v>
      </c>
      <c r="AM2" t="n">
        <v>0.8</v>
      </c>
      <c r="AN2" t="n">
        <v>0.5</v>
      </c>
      <c r="AQ2" t="n">
        <v>0.4</v>
      </c>
      <c r="AR2" t="n">
        <v>0.4</v>
      </c>
      <c r="AU2" t="n">
        <v>0.8</v>
      </c>
      <c r="AV2" t="n">
        <v>0.5</v>
      </c>
      <c r="AW2" t="n">
        <v>1418.181818181818</v>
      </c>
      <c r="AX2" t="n">
        <v>0.4</v>
      </c>
      <c r="AY2" t="n">
        <v>400</v>
      </c>
      <c r="AZ2" t="n">
        <v>0.4</v>
      </c>
      <c r="BC2" t="n">
        <v>400</v>
      </c>
      <c r="BD2" t="n">
        <v>0.5</v>
      </c>
      <c r="BE2" t="n">
        <v>403</v>
      </c>
      <c r="BF2" t="n">
        <v>0.95</v>
      </c>
      <c r="BG2" t="n">
        <v>403</v>
      </c>
      <c r="BH2" t="n">
        <v>0.9</v>
      </c>
      <c r="BI2" t="n">
        <v>420</v>
      </c>
      <c r="BJ2" t="n">
        <v>0.9</v>
      </c>
      <c r="BK2" t="n">
        <v>497</v>
      </c>
      <c r="BL2" t="n">
        <v>0.9</v>
      </c>
      <c r="BM2" t="n">
        <v>300</v>
      </c>
      <c r="BN2" t="n">
        <v>278.15</v>
      </c>
      <c r="BO2" t="n">
        <v>150</v>
      </c>
      <c r="BP2" t="n">
        <v>278.15</v>
      </c>
      <c r="BQ2" t="n">
        <v>150</v>
      </c>
      <c r="BR2" t="n">
        <v>293.15</v>
      </c>
      <c r="BU2" t="n">
        <v>450</v>
      </c>
      <c r="BV2" t="n">
        <v>278.15</v>
      </c>
      <c r="BW2" t="n">
        <v>150</v>
      </c>
      <c r="BX2" t="n">
        <v>278.15</v>
      </c>
      <c r="BY2" t="n">
        <v>150</v>
      </c>
      <c r="BZ2" t="n">
        <v>300.032917</v>
      </c>
      <c r="CC2" t="n">
        <v>750</v>
      </c>
      <c r="CD2" t="n">
        <v>278.15</v>
      </c>
      <c r="CE2" t="n">
        <v>150</v>
      </c>
      <c r="CF2" t="n">
        <v>278.15</v>
      </c>
      <c r="CI2" t="n">
        <v>300</v>
      </c>
      <c r="CJ2" t="n">
        <v>278.15</v>
      </c>
      <c r="CQ2" t="n">
        <v>150</v>
      </c>
      <c r="CR2" t="n">
        <v>278.15</v>
      </c>
      <c r="CS2" t="n">
        <v>3571.428571428572</v>
      </c>
      <c r="CT2" t="n">
        <v>4.65503737373214</v>
      </c>
      <c r="CU2" t="n">
        <v>1000</v>
      </c>
      <c r="CV2" t="n">
        <v>4.04756560467498</v>
      </c>
      <c r="CY2" t="n">
        <v>4214.285714285714</v>
      </c>
      <c r="CZ2" t="n">
        <v>-23.13140974075618</v>
      </c>
      <c r="DA2" t="n">
        <v>4011.037294084613</v>
      </c>
      <c r="DB2" t="n">
        <v>1460.712585145145</v>
      </c>
      <c r="DC2" t="n">
        <v>3665.962676103748</v>
      </c>
      <c r="DD2" t="n">
        <v>662.4103119374483</v>
      </c>
      <c r="DE2" t="n">
        <v>2805.799739663207</v>
      </c>
      <c r="DF2" t="n">
        <v>395.2402416887172</v>
      </c>
      <c r="DG2" t="n">
        <v>4932.994104981873</v>
      </c>
      <c r="DH2" t="n">
        <v>405.240349881691</v>
      </c>
      <c r="DI2" t="n">
        <v>2916.061184773991</v>
      </c>
      <c r="DJ2" t="n">
        <v>2096.181681428085</v>
      </c>
      <c r="DK2" t="n">
        <v>3520.172027688752</v>
      </c>
      <c r="DL2" t="n">
        <v>1790.68924805168</v>
      </c>
      <c r="DM2" t="n">
        <v>3159.155219359864</v>
      </c>
      <c r="DN2" t="n">
        <v>2205.413747149867</v>
      </c>
      <c r="DO2" t="n">
        <v>3432.389070802661</v>
      </c>
      <c r="DP2" t="n">
        <v>2446.042662126142</v>
      </c>
      <c r="DQ2" t="n">
        <v>3905.950043184831</v>
      </c>
      <c r="DR2" t="n">
        <v>1359.556702008076</v>
      </c>
      <c r="DS2" t="n">
        <v>3882.966114501743</v>
      </c>
      <c r="DT2" t="n">
        <v>641.705417603971</v>
      </c>
      <c r="DU2" t="n">
        <v>2226.609075962048</v>
      </c>
      <c r="DV2" t="n">
        <v>1736.317338473599</v>
      </c>
      <c r="DW2" t="n">
        <v>2511.331779608655</v>
      </c>
      <c r="DX2" t="n">
        <v>1714.135668597998</v>
      </c>
      <c r="EA2" t="n">
        <v>413.4209285049968</v>
      </c>
      <c r="EB2" t="n">
        <v>0.5467197687180206</v>
      </c>
      <c r="EC2" t="n">
        <v>581.6667809300933</v>
      </c>
      <c r="ED2" t="n">
        <v>0.6206993642015358</v>
      </c>
      <c r="EE2" t="n">
        <v>497.1989046450539</v>
      </c>
      <c r="EF2" t="n">
        <v>0.8304656597219227</v>
      </c>
      <c r="EI2" t="n">
        <v>518.457465398208</v>
      </c>
      <c r="EJ2" t="n">
        <v>0.6556333557715541</v>
      </c>
      <c r="EK2" t="n">
        <v>405.825722431219</v>
      </c>
      <c r="EL2" t="n">
        <v>0.5865111548345461</v>
      </c>
      <c r="EM2" t="n">
        <v>543.2952337068776</v>
      </c>
      <c r="EN2" t="n">
        <v>0.8418107283277434</v>
      </c>
      <c r="EO2" t="n">
        <v>1912.454775916088</v>
      </c>
      <c r="EP2" t="n">
        <v>0.5701486289728103</v>
      </c>
      <c r="EQ2" t="n">
        <v>717.4976560746846</v>
      </c>
      <c r="ER2" t="n">
        <v>0.7074490701713816</v>
      </c>
      <c r="ES2" t="n">
        <v>1603.622769789041</v>
      </c>
      <c r="ET2" t="n">
        <v>0.7245158630741031</v>
      </c>
      <c r="EU2" t="n">
        <v>277.7324959896301</v>
      </c>
      <c r="EV2" t="n">
        <v>0.8334271101397417</v>
      </c>
      <c r="EW2" t="n">
        <v>2581.218399638949</v>
      </c>
      <c r="EX2" t="n">
        <v>1452.540849569594</v>
      </c>
      <c r="EY2" t="n">
        <v>3850.822822006674</v>
      </c>
      <c r="EZ2" t="n">
        <v>417.9409333174801</v>
      </c>
      <c r="FA2" t="n">
        <v>4134.748966412524</v>
      </c>
      <c r="FB2" t="n">
        <v>689.6020841936819</v>
      </c>
      <c r="FC2" t="n">
        <v>3696.521691421201</v>
      </c>
      <c r="FD2" t="n">
        <v>1623.333334050623</v>
      </c>
      <c r="FE2" t="n">
        <v>400</v>
      </c>
      <c r="FF2" t="n">
        <v>0.85</v>
      </c>
      <c r="FG2" t="n">
        <v>410</v>
      </c>
      <c r="FH2" t="n">
        <v>0.85</v>
      </c>
      <c r="FI2" t="n">
        <v>387.5</v>
      </c>
      <c r="FJ2" t="n">
        <v>0.85</v>
      </c>
      <c r="FK2" t="n">
        <v>410</v>
      </c>
      <c r="FL2" t="n">
        <v>0.85</v>
      </c>
      <c r="FM2" t="n">
        <v>3481.823024523768</v>
      </c>
      <c r="FN2" t="n">
        <v>808.3402577390962</v>
      </c>
      <c r="FO2" t="n">
        <v>3481.823024523768</v>
      </c>
      <c r="FP2" t="n">
        <v>808.3402577390962</v>
      </c>
      <c r="FU2" t="n">
        <v>3000</v>
      </c>
      <c r="FV2" t="n">
        <v>393.75</v>
      </c>
      <c r="FW2" t="n">
        <v>3000</v>
      </c>
      <c r="FX2" t="n">
        <v>393.75</v>
      </c>
      <c r="GA2" t="n">
        <v>3000</v>
      </c>
      <c r="GB2" t="n">
        <v>393.75</v>
      </c>
      <c r="GC2" t="n">
        <v>3905.950043184831</v>
      </c>
      <c r="GD2" t="n">
        <v>1359.556702008076</v>
      </c>
      <c r="GE2" t="n">
        <v>3905.950043184831</v>
      </c>
      <c r="GF2" t="n">
        <v>1139.556702008077</v>
      </c>
      <c r="GI2" t="n">
        <v>3905.950043184831</v>
      </c>
      <c r="GJ2" t="n">
        <v>1359.556702008076</v>
      </c>
      <c r="GK2" t="n">
        <v>403</v>
      </c>
      <c r="GL2" t="n">
        <v>0.5</v>
      </c>
      <c r="GM2" t="n">
        <v>415</v>
      </c>
      <c r="GN2" t="n">
        <v>0.5</v>
      </c>
      <c r="GS2" t="n">
        <v>4808.3419580395</v>
      </c>
      <c r="GT2" t="n">
        <v>1242.274389807265</v>
      </c>
      <c r="GU2" t="n">
        <v>4808.3419580395</v>
      </c>
      <c r="GV2" t="n">
        <v>1022.274389807265</v>
      </c>
      <c r="GY2" t="n">
        <v>4808.3419580395</v>
      </c>
      <c r="GZ2" t="n">
        <v>1242.274389807265</v>
      </c>
      <c r="HA2" t="n">
        <v>3000</v>
      </c>
      <c r="HB2" t="n">
        <v>400</v>
      </c>
      <c r="HC2" t="n">
        <v>3000</v>
      </c>
      <c r="HD2" t="n">
        <v>563.6363636363637</v>
      </c>
      <c r="HG2" t="n">
        <v>3000</v>
      </c>
      <c r="HH2" t="n">
        <v>736.3636363639999</v>
      </c>
      <c r="HI2" t="n">
        <v>2864.874245178099</v>
      </c>
      <c r="HJ2" t="n">
        <v>1829.618849296471</v>
      </c>
      <c r="HK2" t="n">
        <v>4417.572942369412</v>
      </c>
      <c r="HL2" t="n">
        <v>1513.504865631809</v>
      </c>
      <c r="HM2" t="n">
        <v>4960.132111892552</v>
      </c>
      <c r="HN2" t="n">
        <v>373.2525081237647</v>
      </c>
      <c r="HO2" t="n">
        <v>2249.075357139776</v>
      </c>
      <c r="HP2" t="n">
        <v>624.1718289701137</v>
      </c>
      <c r="HQ2" t="n">
        <v>3279.166945043987</v>
      </c>
      <c r="HR2" t="n">
        <v>1881.086180424595</v>
      </c>
      <c r="HS2" t="n">
        <v>2509.111800733155</v>
      </c>
      <c r="HT2" t="n">
        <v>601.0472793382867</v>
      </c>
      <c r="HU2" t="n">
        <v>4966.435209206375</v>
      </c>
      <c r="HV2" t="n">
        <v>569.7505878608937</v>
      </c>
      <c r="HW2" t="n">
        <v>3079.66433015322</v>
      </c>
      <c r="HX2" t="n">
        <v>409.3236881417207</v>
      </c>
      <c r="HY2" t="n">
        <v>489.3621284415361</v>
      </c>
      <c r="HZ2" t="n">
        <v>426.5563783056512</v>
      </c>
      <c r="IA2" t="n">
        <v>396.5498275778263</v>
      </c>
      <c r="IB2" t="n">
        <v>425.6047918469772</v>
      </c>
      <c r="IC2" t="n">
        <v>1835.731613707424</v>
      </c>
      <c r="ID2" t="n">
        <v>467.3929355047112</v>
      </c>
      <c r="IE2" t="n">
        <v>968.31953666971</v>
      </c>
      <c r="IF2" t="n">
        <v>441.5728698750323</v>
      </c>
      <c r="IG2" t="n">
        <v>3657.201478148193</v>
      </c>
      <c r="IH2" t="n">
        <v>395.6019404010781</v>
      </c>
      <c r="II2" t="n">
        <v>2265.358374816879</v>
      </c>
      <c r="IJ2" t="n">
        <v>480.6444445113914</v>
      </c>
      <c r="IK2" t="n">
        <v>4146.183969176294</v>
      </c>
      <c r="IL2" t="n">
        <v>420.0594476286429</v>
      </c>
      <c r="IM2" t="n">
        <v>3773.242508729036</v>
      </c>
      <c r="IN2" t="n">
        <v>393.1451871688316</v>
      </c>
      <c r="IO2" t="n">
        <v>4852.082411524938</v>
      </c>
      <c r="IP2" t="n">
        <v>1140.108412976797</v>
      </c>
      <c r="IQ2" t="n">
        <v>4122.944577582486</v>
      </c>
      <c r="IR2" t="n">
        <v>1291.406312803748</v>
      </c>
      <c r="IS2" t="n">
        <v>2444.550005002938</v>
      </c>
      <c r="IT2" t="n">
        <v>993.9572066768744</v>
      </c>
      <c r="IU2" t="n">
        <v>3636.158732739473</v>
      </c>
      <c r="IV2" t="n">
        <v>1770.449039388726</v>
      </c>
      <c r="IW2" t="n">
        <v>2739.555769119961</v>
      </c>
      <c r="IX2" t="n">
        <v>1998.763234628464</v>
      </c>
      <c r="IY2" t="n">
        <v>3196.520995645525</v>
      </c>
      <c r="IZ2" t="n">
        <v>353.2079271184506</v>
      </c>
      <c r="JA2" t="n">
        <v>3681.472460525695</v>
      </c>
      <c r="JB2" t="n">
        <v>1832.690745292293</v>
      </c>
      <c r="JC2" t="n">
        <v>2566.094174646075</v>
      </c>
      <c r="JD2" t="n">
        <v>634.0144723935314</v>
      </c>
      <c r="JE2" t="n">
        <v>4838.794640327525</v>
      </c>
      <c r="JF2" t="n">
        <v>1691.475718903385</v>
      </c>
      <c r="JG2" t="n">
        <v>4119.452753325779</v>
      </c>
      <c r="JH2" t="n">
        <v>1718.142022797062</v>
      </c>
      <c r="JI2" t="n">
        <v>4944.128262707858</v>
      </c>
      <c r="JJ2" t="n">
        <v>1153.962499217281</v>
      </c>
      <c r="JK2" t="n">
        <v>3023.887851124528</v>
      </c>
      <c r="JL2" t="n">
        <v>1036.985138163303</v>
      </c>
      <c r="JM2" t="n">
        <v>4538.204386292728</v>
      </c>
      <c r="JN2" t="n">
        <v>897.2546963336803</v>
      </c>
      <c r="JO2" t="n">
        <v>3811.784930846119</v>
      </c>
      <c r="JP2" t="n">
        <v>455.3787606252119</v>
      </c>
      <c r="JS2" t="n">
        <v>4236.226351484134</v>
      </c>
      <c r="JT2" t="n">
        <v>1006.937147624862</v>
      </c>
      <c r="JU2" t="n">
        <v>631.2832934452117</v>
      </c>
      <c r="JV2" t="n">
        <v>391.193979228884</v>
      </c>
      <c r="JW2" t="n">
        <v>478.915945231107</v>
      </c>
      <c r="JX2" t="n">
        <v>401.0366375390593</v>
      </c>
      <c r="JY2" t="n">
        <v>437.6129452403995</v>
      </c>
      <c r="JZ2" t="n">
        <v>457.8241174087868</v>
      </c>
      <c r="KA2" t="n">
        <v>1926.41261285158</v>
      </c>
      <c r="KB2" t="n">
        <v>382.5996776303832</v>
      </c>
      <c r="KC2" t="n">
        <v>2965.613071574074</v>
      </c>
      <c r="KD2" t="n">
        <v>403.9184690003144</v>
      </c>
      <c r="KE2" t="n">
        <v>4986.771380456783</v>
      </c>
      <c r="KF2" t="n">
        <v>460.2296085961242</v>
      </c>
      <c r="KG2" t="n">
        <v>3329.43759296557</v>
      </c>
      <c r="KH2" t="n">
        <v>466.7593762371968</v>
      </c>
      <c r="KI2" t="n">
        <v>3922.878776222038</v>
      </c>
      <c r="KJ2" t="n">
        <v>399.7072067817463</v>
      </c>
      <c r="KK2" t="n">
        <v>2887.79739905441</v>
      </c>
      <c r="KL2" t="n">
        <v>1612.162423694701</v>
      </c>
      <c r="KM2" t="n">
        <v>4501.176548650125</v>
      </c>
      <c r="KN2" t="n">
        <v>946.5448935166784</v>
      </c>
      <c r="KO2" t="n">
        <v>4482.932498147942</v>
      </c>
      <c r="KP2" t="n">
        <v>1557.771828920858</v>
      </c>
      <c r="KQ2" t="n">
        <v>2916.238370355099</v>
      </c>
      <c r="KR2" t="n">
        <v>854.7248215228601</v>
      </c>
      <c r="KS2" t="n">
        <v>1815.694643058688</v>
      </c>
      <c r="KT2" t="n">
        <v>0.8123711934892608</v>
      </c>
      <c r="KU2" t="n">
        <v>1974.733538765139</v>
      </c>
      <c r="KV2" t="n">
        <v>0.7078484234094813</v>
      </c>
      <c r="KW2" t="n">
        <v>1048.034598468812</v>
      </c>
      <c r="KX2" t="n">
        <v>0.6261620056760172</v>
      </c>
      <c r="KY2" t="n">
        <v>1140.577524497842</v>
      </c>
      <c r="KZ2" t="n">
        <v>0.56647302202256</v>
      </c>
      <c r="LA2" t="n">
        <v>1343.409792866931</v>
      </c>
      <c r="LB2" t="n">
        <v>433.6578582413249</v>
      </c>
      <c r="LC2" t="n">
        <v>755.1429941177939</v>
      </c>
      <c r="LD2" t="n">
        <v>466.7231743406385</v>
      </c>
      <c r="LE2" t="n">
        <v>1899.235386585173</v>
      </c>
      <c r="LF2" t="n">
        <v>387.8507793087217</v>
      </c>
      <c r="LG2" t="n">
        <v>897.2362155049969</v>
      </c>
      <c r="LH2" t="n">
        <v>401.8337410724907</v>
      </c>
      <c r="LI2" t="n">
        <v>426.2626591326695</v>
      </c>
      <c r="LJ2" t="n">
        <v>0.9480630701458144</v>
      </c>
      <c r="LK2" t="n">
        <v>439.5021957857394</v>
      </c>
      <c r="LL2" t="n">
        <v>0.8434596391904572</v>
      </c>
      <c r="LM2" t="n">
        <v>514.4207274005462</v>
      </c>
      <c r="LN2" t="n">
        <v>0.5861276645508579</v>
      </c>
      <c r="LO2" t="n">
        <v>385.1832050605025</v>
      </c>
      <c r="LP2" t="n">
        <v>0.8943819715679577</v>
      </c>
      <c r="LQ2" t="n">
        <v>1123.456931043106</v>
      </c>
      <c r="LR2" t="n">
        <v>414.6675733434058</v>
      </c>
      <c r="LS2" t="n">
        <v>481.7254624306894</v>
      </c>
      <c r="LT2" t="n">
        <v>444.2329372543539</v>
      </c>
      <c r="LU2" t="n">
        <v>1022.332192204083</v>
      </c>
      <c r="LV2" t="n">
        <v>427.9805782050725</v>
      </c>
      <c r="LW2" t="n">
        <v>1592.226979178445</v>
      </c>
      <c r="LX2" t="n">
        <v>386.8608990276125</v>
      </c>
      <c r="ME2" t="n">
        <v>1572.724430308208</v>
      </c>
      <c r="MF2" t="n">
        <v>299.0121287190874</v>
      </c>
      <c r="MG2" t="n">
        <v>406.8801692295517</v>
      </c>
      <c r="MH2" t="n">
        <v>284.3131119856872</v>
      </c>
      <c r="MI2" t="n">
        <v>466.0049954401134</v>
      </c>
      <c r="MJ2" t="n">
        <v>290.6463159357425</v>
      </c>
      <c r="MK2" t="n">
        <v>386.8561018543618</v>
      </c>
      <c r="ML2" t="n">
        <v>294.1167780492842</v>
      </c>
      <c r="MM2" t="n">
        <v>384.2404884390779</v>
      </c>
      <c r="MN2" t="n">
        <v>292.2971957934363</v>
      </c>
      <c r="MO2" t="n">
        <v>801.509335702392</v>
      </c>
      <c r="MP2" t="n">
        <v>413.8938369950865</v>
      </c>
      <c r="MQ2" t="n">
        <v>1173.227996790992</v>
      </c>
      <c r="MR2" t="n">
        <v>497.4439985412329</v>
      </c>
      <c r="MS2" t="n">
        <v>1582.857354154322</v>
      </c>
      <c r="MT2" t="n">
        <v>388.4522970203506</v>
      </c>
      <c r="MU2" t="n">
        <v>1920.010247429293</v>
      </c>
      <c r="MV2" t="n">
        <v>381.6198450359147</v>
      </c>
      <c r="MW2" t="n">
        <v>650</v>
      </c>
      <c r="MX2" t="n">
        <v>13.17044444625268</v>
      </c>
      <c r="MY2" t="n">
        <v>550</v>
      </c>
      <c r="MZ2" t="n">
        <v>14.37720428144615</v>
      </c>
      <c r="NE2" t="n">
        <v>3300</v>
      </c>
      <c r="NF2" t="n">
        <v>1400</v>
      </c>
      <c r="NM2" t="n">
        <v>2821.428571428572</v>
      </c>
      <c r="NN2" t="n">
        <v>11.83568349674035</v>
      </c>
      <c r="NO2" t="n">
        <v>2500</v>
      </c>
      <c r="NP2" t="n">
        <v>11.0533056471649</v>
      </c>
      <c r="NU2" t="n">
        <v>800</v>
      </c>
      <c r="NV2" t="n">
        <v>0.7</v>
      </c>
      <c r="NW2" t="n">
        <v>500</v>
      </c>
      <c r="NX2" t="n">
        <v>0.73</v>
      </c>
      <c r="OA2" t="n">
        <v>200</v>
      </c>
      <c r="OB2" t="n">
        <v>0.3</v>
      </c>
      <c r="OC2" t="n">
        <v>0.5499999999999999</v>
      </c>
      <c r="OD2" t="n">
        <v>6.322894530636971</v>
      </c>
      <c r="OI2" t="n">
        <v>0.4499999999999999</v>
      </c>
      <c r="OJ2" t="n">
        <v>-29.36581867739449</v>
      </c>
    </row>
    <row r="3">
      <c r="G3" t="n">
        <v>2250</v>
      </c>
      <c r="H3" t="n">
        <v>0.5</v>
      </c>
      <c r="O3" t="n">
        <v>7000</v>
      </c>
      <c r="P3" t="n">
        <v>22.02460917195469</v>
      </c>
      <c r="S3" t="n">
        <v>545.4545454545455</v>
      </c>
      <c r="T3" t="n">
        <v>0.75</v>
      </c>
      <c r="Y3" t="n">
        <v>836.3636363636364</v>
      </c>
      <c r="Z3" t="n">
        <v>390</v>
      </c>
      <c r="AA3" t="n">
        <v>400</v>
      </c>
      <c r="AB3" t="n">
        <v>403</v>
      </c>
      <c r="AE3" t="n">
        <v>1127.272727272728</v>
      </c>
      <c r="AF3" t="n">
        <v>380</v>
      </c>
      <c r="AI3" t="n">
        <v>0.8</v>
      </c>
      <c r="AJ3" t="n">
        <v>0.4</v>
      </c>
      <c r="AM3" t="n">
        <v>0.8</v>
      </c>
      <c r="AN3" t="n">
        <v>0.8999999999999999</v>
      </c>
      <c r="AQ3" t="n">
        <v>0.55</v>
      </c>
      <c r="AR3" t="n">
        <v>0.4</v>
      </c>
      <c r="AU3" t="n">
        <v>0.4</v>
      </c>
      <c r="AV3" t="n">
        <v>0.7</v>
      </c>
      <c r="AW3" t="n">
        <v>1563.636363636364</v>
      </c>
      <c r="AX3" t="n">
        <v>0.4</v>
      </c>
      <c r="AY3" t="n">
        <v>545.4545454545455</v>
      </c>
      <c r="AZ3" t="n">
        <v>0.4</v>
      </c>
      <c r="BC3" t="n">
        <v>836.3636363636364</v>
      </c>
      <c r="BD3" t="n">
        <v>0.5</v>
      </c>
      <c r="BG3" t="n">
        <v>403</v>
      </c>
      <c r="BH3" t="n">
        <v>0.85</v>
      </c>
      <c r="BM3" t="n">
        <v>450</v>
      </c>
      <c r="BN3" t="n">
        <v>278.15</v>
      </c>
      <c r="BO3" t="n">
        <v>150</v>
      </c>
      <c r="BP3" t="n">
        <v>283.15</v>
      </c>
      <c r="BQ3" t="n">
        <v>150</v>
      </c>
      <c r="BR3" t="n">
        <v>300.032917</v>
      </c>
      <c r="BU3" t="n">
        <v>600</v>
      </c>
      <c r="BV3" t="n">
        <v>278.15</v>
      </c>
      <c r="BW3" t="n">
        <v>300</v>
      </c>
      <c r="BX3" t="n">
        <v>278.15</v>
      </c>
      <c r="CC3" t="n">
        <v>1050</v>
      </c>
      <c r="CD3" t="n">
        <v>278.15</v>
      </c>
      <c r="CE3" t="n">
        <v>450</v>
      </c>
      <c r="CF3" t="n">
        <v>278.15</v>
      </c>
      <c r="CQ3" t="n">
        <v>300</v>
      </c>
      <c r="CR3" t="n">
        <v>278.15</v>
      </c>
      <c r="CS3" t="n">
        <v>3090</v>
      </c>
      <c r="CT3" t="n">
        <v>8.15243477879863</v>
      </c>
      <c r="CU3" t="n">
        <v>2285.714285714286</v>
      </c>
      <c r="CV3" t="n">
        <v>9.19223572015537</v>
      </c>
      <c r="CY3" t="n">
        <v>4857.142857142857</v>
      </c>
      <c r="CZ3" t="n">
        <v>-99.24457646427112</v>
      </c>
      <c r="DA3" t="n">
        <v>2967.685564843559</v>
      </c>
      <c r="DB3" t="n">
        <v>885.5900633145619</v>
      </c>
      <c r="DC3" t="n">
        <v>4020.057055564708</v>
      </c>
      <c r="DD3" t="n">
        <v>1483.107052397032</v>
      </c>
      <c r="DE3" t="n">
        <v>4344.178189114858</v>
      </c>
      <c r="DF3" t="n">
        <v>347.1354263099137</v>
      </c>
      <c r="DG3" t="n">
        <v>3466.398943143784</v>
      </c>
      <c r="DH3" t="n">
        <v>1350.208152409668</v>
      </c>
      <c r="DI3" t="n">
        <v>3080.143064359546</v>
      </c>
      <c r="DJ3" t="n">
        <v>1604.636210125756</v>
      </c>
      <c r="DK3" t="n">
        <v>3719.566979126963</v>
      </c>
      <c r="DL3" t="n">
        <v>1523.799278985118</v>
      </c>
      <c r="DM3" t="n">
        <v>3457.281165262054</v>
      </c>
      <c r="DN3" t="n">
        <v>1674.804937669859</v>
      </c>
      <c r="DO3" t="n">
        <v>4944.426066848791</v>
      </c>
      <c r="DP3" t="n">
        <v>1972.368340335818</v>
      </c>
      <c r="DQ3" t="n">
        <v>3207.519237731461</v>
      </c>
      <c r="DR3" t="n">
        <v>1965.621084777645</v>
      </c>
      <c r="DS3" t="n">
        <v>3787.564501720889</v>
      </c>
      <c r="DT3" t="n">
        <v>934.0840816916374</v>
      </c>
      <c r="DU3" t="n">
        <v>3193.334792418263</v>
      </c>
      <c r="DV3" t="n">
        <v>755.9473297317002</v>
      </c>
      <c r="DW3" t="n">
        <v>3259.923027450308</v>
      </c>
      <c r="DX3" t="n">
        <v>257.704076581696</v>
      </c>
      <c r="EA3" t="n">
        <v>479.2601393884606</v>
      </c>
      <c r="EB3" t="n">
        <v>0.5639452059464861</v>
      </c>
      <c r="EC3" t="n">
        <v>396.9568326799408</v>
      </c>
      <c r="ED3" t="n">
        <v>0.6487265564028224</v>
      </c>
      <c r="EE3" t="n">
        <v>565.632316340897</v>
      </c>
      <c r="EF3" t="n">
        <v>0.7031868969271766</v>
      </c>
      <c r="EI3" t="n">
        <v>507.0948543044822</v>
      </c>
      <c r="EJ3" t="n">
        <v>0.7379692506304664</v>
      </c>
      <c r="EK3" t="n">
        <v>572.752729741876</v>
      </c>
      <c r="EL3" t="n">
        <v>0.8178269277406292</v>
      </c>
      <c r="EM3" t="n">
        <v>512.4578247441073</v>
      </c>
      <c r="EN3" t="n">
        <v>0.5942900470569354</v>
      </c>
      <c r="EO3" t="n">
        <v>1932.666673272733</v>
      </c>
      <c r="EP3" t="n">
        <v>0.6214552490063988</v>
      </c>
      <c r="EQ3" t="n">
        <v>1985.568583075025</v>
      </c>
      <c r="ER3" t="n">
        <v>0.6674852823014815</v>
      </c>
      <c r="ES3" t="n">
        <v>437.2853716932784</v>
      </c>
      <c r="ET3" t="n">
        <v>0.7298851594154684</v>
      </c>
      <c r="EU3" t="n">
        <v>658.4872904346749</v>
      </c>
      <c r="EV3" t="n">
        <v>0.7808146252415522</v>
      </c>
      <c r="EW3" t="n">
        <v>4808.3419580395</v>
      </c>
      <c r="EX3" t="n">
        <v>1242.274389807265</v>
      </c>
      <c r="EY3" t="n">
        <v>4954.935104723754</v>
      </c>
      <c r="EZ3" t="n">
        <v>300.7846846856282</v>
      </c>
      <c r="FA3" t="n">
        <v>4547.99780172768</v>
      </c>
      <c r="FB3" t="n">
        <v>437.4191915998528</v>
      </c>
      <c r="FC3" t="n">
        <v>4259.735485157707</v>
      </c>
      <c r="FD3" t="n">
        <v>1333.812203890947</v>
      </c>
      <c r="FE3" t="n">
        <v>397.5</v>
      </c>
      <c r="FF3" t="n">
        <v>0.85</v>
      </c>
      <c r="FG3" t="n">
        <v>390</v>
      </c>
      <c r="FH3" t="n">
        <v>0.85</v>
      </c>
      <c r="FI3" t="n">
        <v>387.5</v>
      </c>
      <c r="FJ3" t="n">
        <v>0.875</v>
      </c>
      <c r="FK3" t="n">
        <v>385</v>
      </c>
      <c r="FL3" t="n">
        <v>0.85</v>
      </c>
      <c r="FM3" t="n">
        <v>3481.823024523768</v>
      </c>
      <c r="FN3" t="n">
        <v>808.3402577390962</v>
      </c>
      <c r="FO3" t="n">
        <v>3481.823024523768</v>
      </c>
      <c r="FP3" t="n">
        <v>588.3402577390962</v>
      </c>
      <c r="FU3" t="n">
        <v>3000</v>
      </c>
      <c r="FV3" t="n">
        <v>393.75</v>
      </c>
      <c r="FW3" t="n">
        <v>3000</v>
      </c>
      <c r="FX3" t="n">
        <v>393.75</v>
      </c>
      <c r="GC3" t="n">
        <v>4205.950043184831</v>
      </c>
      <c r="GD3" t="n">
        <v>1359.556702008076</v>
      </c>
      <c r="GE3" t="n">
        <v>3905.950043184831</v>
      </c>
      <c r="GF3" t="n">
        <v>1359.556702008076</v>
      </c>
      <c r="GI3" t="n">
        <v>3905.950043184831</v>
      </c>
      <c r="GJ3" t="n">
        <v>1359.556702008076</v>
      </c>
      <c r="GK3" t="n">
        <v>391</v>
      </c>
      <c r="GL3" t="n">
        <v>0.5</v>
      </c>
      <c r="GM3" t="n">
        <v>403</v>
      </c>
      <c r="GN3" t="n">
        <v>0.535</v>
      </c>
      <c r="GS3" t="n">
        <v>4808.3419580395</v>
      </c>
      <c r="GT3" t="n">
        <v>1242.274389807265</v>
      </c>
      <c r="GU3" t="n">
        <v>4808.3419580395</v>
      </c>
      <c r="GV3" t="n">
        <v>1022.274389807265</v>
      </c>
      <c r="GY3" t="n">
        <v>4808.3419580395</v>
      </c>
      <c r="GZ3" t="n">
        <v>802.2743898072646</v>
      </c>
      <c r="HA3" t="n">
        <v>3000</v>
      </c>
      <c r="HB3" t="n">
        <v>400</v>
      </c>
      <c r="HC3" t="n">
        <v>3000</v>
      </c>
      <c r="HD3" t="n">
        <v>400</v>
      </c>
      <c r="HG3" t="n">
        <v>3000</v>
      </c>
      <c r="HH3" t="n">
        <v>400</v>
      </c>
      <c r="HI3" t="n">
        <v>3667.359245436355</v>
      </c>
      <c r="HJ3" t="n">
        <v>1288.964926104858</v>
      </c>
      <c r="HK3" t="n">
        <v>3818.497439003998</v>
      </c>
      <c r="HL3" t="n">
        <v>1463.898791773516</v>
      </c>
      <c r="HM3" t="n">
        <v>2166.452486443416</v>
      </c>
      <c r="HN3" t="n">
        <v>1858.54671532044</v>
      </c>
      <c r="HO3" t="n">
        <v>4856.479208932916</v>
      </c>
      <c r="HP3" t="n">
        <v>562.678672169802</v>
      </c>
      <c r="HQ3" t="n">
        <v>4388.135034487104</v>
      </c>
      <c r="HR3" t="n">
        <v>496.4306102170489</v>
      </c>
      <c r="HS3" t="n">
        <v>2082.367266100714</v>
      </c>
      <c r="HT3" t="n">
        <v>1416.236445321354</v>
      </c>
      <c r="HU3" t="n">
        <v>4312.606979702859</v>
      </c>
      <c r="HV3" t="n">
        <v>369.9612536798941</v>
      </c>
      <c r="HW3" t="n">
        <v>4901.586234836488</v>
      </c>
      <c r="HX3" t="n">
        <v>784.6980048773394</v>
      </c>
      <c r="HY3" t="n">
        <v>1976.343340407803</v>
      </c>
      <c r="HZ3" t="n">
        <v>412.2389483234746</v>
      </c>
      <c r="IA3" t="n">
        <v>1279.569153355726</v>
      </c>
      <c r="IB3" t="n">
        <v>389.8585951793531</v>
      </c>
      <c r="IC3" t="n">
        <v>699.4973435513092</v>
      </c>
      <c r="ID3" t="n">
        <v>413.8931321085811</v>
      </c>
      <c r="IE3" t="n">
        <v>1324.843033417355</v>
      </c>
      <c r="IF3" t="n">
        <v>508.4291329379154</v>
      </c>
      <c r="II3" t="n">
        <v>4863.136522228948</v>
      </c>
      <c r="IJ3" t="n">
        <v>478.5406006804856</v>
      </c>
      <c r="IK3" t="n">
        <v>4727.976848921893</v>
      </c>
      <c r="IL3" t="n">
        <v>501.1122699572014</v>
      </c>
      <c r="IM3" t="n">
        <v>2399.465869978575</v>
      </c>
      <c r="IN3" t="n">
        <v>423.7526484496057</v>
      </c>
      <c r="IO3" t="n">
        <v>3031.929216630214</v>
      </c>
      <c r="IP3" t="n">
        <v>1364.643778895836</v>
      </c>
      <c r="IQ3" t="n">
        <v>3440.476736531368</v>
      </c>
      <c r="IR3" t="n">
        <v>1623.679582653203</v>
      </c>
      <c r="IS3" t="n">
        <v>4884.784844622301</v>
      </c>
      <c r="IT3" t="n">
        <v>363.7250798058286</v>
      </c>
      <c r="IU3" t="n">
        <v>4925.396593378801</v>
      </c>
      <c r="IV3" t="n">
        <v>817.0599436876031</v>
      </c>
      <c r="IW3" t="n">
        <v>2609.975039951776</v>
      </c>
      <c r="IX3" t="n">
        <v>1737.227288078959</v>
      </c>
      <c r="IY3" t="n">
        <v>2930.254259837264</v>
      </c>
      <c r="IZ3" t="n">
        <v>1381.7818794498</v>
      </c>
      <c r="JA3" t="n">
        <v>4154.526287006396</v>
      </c>
      <c r="JB3" t="n">
        <v>370.7475197747697</v>
      </c>
      <c r="JC3" t="n">
        <v>4440.206974500699</v>
      </c>
      <c r="JD3" t="n">
        <v>971.2741840101939</v>
      </c>
      <c r="JE3" t="n">
        <v>4706.924654499888</v>
      </c>
      <c r="JF3" t="n">
        <v>1896.667696598768</v>
      </c>
      <c r="JG3" t="n">
        <v>4311.857718826075</v>
      </c>
      <c r="JH3" t="n">
        <v>906.7316616667918</v>
      </c>
      <c r="JI3" t="n">
        <v>3207.996507432497</v>
      </c>
      <c r="JJ3" t="n">
        <v>663.3101218977549</v>
      </c>
      <c r="JK3" t="n">
        <v>2888.405024885868</v>
      </c>
      <c r="JL3" t="n">
        <v>1300.695137811615</v>
      </c>
      <c r="JM3" t="n">
        <v>2818.477751496419</v>
      </c>
      <c r="JN3" t="n">
        <v>1273.827186847795</v>
      </c>
      <c r="JO3" t="n">
        <v>2378.317889357372</v>
      </c>
      <c r="JP3" t="n">
        <v>694.7651397315342</v>
      </c>
      <c r="JS3" t="n">
        <v>4852.270192192042</v>
      </c>
      <c r="JT3" t="n">
        <v>1541.825708075567</v>
      </c>
      <c r="JU3" t="n">
        <v>1386.584757242738</v>
      </c>
      <c r="JV3" t="n">
        <v>432.6853245083326</v>
      </c>
      <c r="JW3" t="n">
        <v>1657.487498922877</v>
      </c>
      <c r="JX3" t="n">
        <v>500.0790761799079</v>
      </c>
      <c r="JY3" t="n">
        <v>732.3239737293018</v>
      </c>
      <c r="JZ3" t="n">
        <v>463.1383657765828</v>
      </c>
      <c r="KA3" t="n">
        <v>1752.468978263652</v>
      </c>
      <c r="KB3" t="n">
        <v>387.9026638521007</v>
      </c>
      <c r="KC3" t="n">
        <v>2790.381293608908</v>
      </c>
      <c r="KD3" t="n">
        <v>398.0689189538514</v>
      </c>
      <c r="KE3" t="n">
        <v>2074.922038646782</v>
      </c>
      <c r="KF3" t="n">
        <v>383.997814121058</v>
      </c>
      <c r="KG3" t="n">
        <v>4734.879293373287</v>
      </c>
      <c r="KH3" t="n">
        <v>438.3676109197898</v>
      </c>
      <c r="KI3" t="n">
        <v>3138.894388235572</v>
      </c>
      <c r="KJ3" t="n">
        <v>389.2298105339211</v>
      </c>
      <c r="KK3" t="n">
        <v>3274.463034061931</v>
      </c>
      <c r="KL3" t="n">
        <v>1662.220150683911</v>
      </c>
      <c r="KM3" t="n">
        <v>2246.165756883972</v>
      </c>
      <c r="KN3" t="n">
        <v>1167.92239588485</v>
      </c>
      <c r="KO3" t="n">
        <v>2196.411286527953</v>
      </c>
      <c r="KP3" t="n">
        <v>544.0661390838823</v>
      </c>
      <c r="KQ3" t="n">
        <v>4845.135146864311</v>
      </c>
      <c r="KR3" t="n">
        <v>1006.498711971555</v>
      </c>
      <c r="KS3" t="n">
        <v>1830.205145779677</v>
      </c>
      <c r="KT3" t="n">
        <v>0.9460980564672116</v>
      </c>
      <c r="KU3" t="n">
        <v>1292.696340970301</v>
      </c>
      <c r="KV3" t="n">
        <v>0.7371901406387382</v>
      </c>
      <c r="KW3" t="n">
        <v>835.8929498511238</v>
      </c>
      <c r="KX3" t="n">
        <v>0.552011203230666</v>
      </c>
      <c r="KY3" t="n">
        <v>703.2103849553478</v>
      </c>
      <c r="KZ3" t="n">
        <v>0.8889000621516793</v>
      </c>
      <c r="LA3" t="n">
        <v>1807.931266362591</v>
      </c>
      <c r="LB3" t="n">
        <v>411.2669845760941</v>
      </c>
      <c r="LC3" t="n">
        <v>1022.88203346673</v>
      </c>
      <c r="LD3" t="n">
        <v>488.5003939469602</v>
      </c>
      <c r="LG3" t="n">
        <v>402.3112034706015</v>
      </c>
      <c r="LH3" t="n">
        <v>381.6544409615065</v>
      </c>
      <c r="LI3" t="n">
        <v>397.8745214917436</v>
      </c>
      <c r="LJ3" t="n">
        <v>0.8995205706234171</v>
      </c>
      <c r="LK3" t="n">
        <v>413.2214918143923</v>
      </c>
      <c r="LL3" t="n">
        <v>0.4130890454858085</v>
      </c>
      <c r="LM3" t="n">
        <v>407.4113029721137</v>
      </c>
      <c r="LN3" t="n">
        <v>0.4761428549832774</v>
      </c>
      <c r="LO3" t="n">
        <v>380.0901523403963</v>
      </c>
      <c r="LP3" t="n">
        <v>0.7937504529266861</v>
      </c>
      <c r="LQ3" t="n">
        <v>1491.980870125904</v>
      </c>
      <c r="LR3" t="n">
        <v>484.6214482646205</v>
      </c>
      <c r="LS3" t="n">
        <v>655.9135453634219</v>
      </c>
      <c r="LT3" t="n">
        <v>517.8192527317074</v>
      </c>
      <c r="LU3" t="n">
        <v>610.4746214802144</v>
      </c>
      <c r="LV3" t="n">
        <v>432.4968023953895</v>
      </c>
      <c r="LW3" t="n">
        <v>338.0755338415958</v>
      </c>
      <c r="LX3" t="n">
        <v>508.2964704768929</v>
      </c>
      <c r="ME3" t="n">
        <v>1827.147165757031</v>
      </c>
      <c r="MF3" t="n">
        <v>278.6689533250798</v>
      </c>
      <c r="MG3" t="n">
        <v>397.2277947321104</v>
      </c>
      <c r="MH3" t="n">
        <v>279.8574589875436</v>
      </c>
      <c r="MI3" t="n">
        <v>434.5856511999648</v>
      </c>
      <c r="MJ3" t="n">
        <v>294.6509175460297</v>
      </c>
      <c r="MM3" t="n">
        <v>497.6901034666757</v>
      </c>
      <c r="MN3" t="n">
        <v>288.7483487925129</v>
      </c>
      <c r="MO3" t="n">
        <v>1659.698122145435</v>
      </c>
      <c r="MP3" t="n">
        <v>400.0528994467302</v>
      </c>
      <c r="MQ3" t="n">
        <v>390.7149296169532</v>
      </c>
      <c r="MR3" t="n">
        <v>450.3494469470607</v>
      </c>
      <c r="MS3" t="n">
        <v>1956.250528131986</v>
      </c>
      <c r="MT3" t="n">
        <v>403.8490019168156</v>
      </c>
      <c r="MW3" t="n">
        <v>600</v>
      </c>
      <c r="MX3" t="n">
        <v>13.75268677295411</v>
      </c>
      <c r="MY3" t="n">
        <v>550</v>
      </c>
      <c r="MZ3" t="n">
        <v>14.37720428144615</v>
      </c>
      <c r="NE3" t="n">
        <v>3300</v>
      </c>
      <c r="NF3" t="n">
        <v>1300</v>
      </c>
      <c r="NM3" t="n">
        <v>2928.571428571428</v>
      </c>
      <c r="NN3" t="n">
        <v>12.06149842836869</v>
      </c>
      <c r="NO3" t="n">
        <v>2607.142857142857</v>
      </c>
      <c r="NP3" t="n">
        <v>11.3330600317638</v>
      </c>
      <c r="NU3" t="n">
        <v>700</v>
      </c>
      <c r="NV3" t="n">
        <v>0.7</v>
      </c>
      <c r="NW3" t="n">
        <v>500</v>
      </c>
      <c r="NX3" t="n">
        <v>0.76</v>
      </c>
      <c r="OA3" t="n">
        <v>400</v>
      </c>
      <c r="OB3" t="n">
        <v>0.3</v>
      </c>
      <c r="OC3" t="n">
        <v>0.5</v>
      </c>
      <c r="OD3" t="n">
        <v>0.07803175622828</v>
      </c>
      <c r="OI3" t="n">
        <v>0.425</v>
      </c>
      <c r="OJ3" t="n">
        <v>-53.06793798158032</v>
      </c>
    </row>
    <row r="4">
      <c r="G4" t="n">
        <v>2500</v>
      </c>
      <c r="H4" t="n">
        <v>0.5</v>
      </c>
      <c r="O4" t="n">
        <v>9000</v>
      </c>
      <c r="P4" t="n">
        <v>22.18236104809014</v>
      </c>
      <c r="S4" t="n">
        <v>690.909090909091</v>
      </c>
      <c r="T4" t="n">
        <v>0.75</v>
      </c>
      <c r="Y4" t="n">
        <v>981.818181818182</v>
      </c>
      <c r="Z4" t="n">
        <v>390</v>
      </c>
      <c r="AA4" t="n">
        <v>545.4545454545455</v>
      </c>
      <c r="AB4" t="n">
        <v>403</v>
      </c>
      <c r="AE4" t="n">
        <v>545.4545454545455</v>
      </c>
      <c r="AF4" t="n">
        <v>380</v>
      </c>
      <c r="AI4" t="n">
        <v>0.8</v>
      </c>
      <c r="AJ4" t="n">
        <v>0.55</v>
      </c>
      <c r="AM4" t="n">
        <v>0.8</v>
      </c>
      <c r="AN4" t="n">
        <v>0.95</v>
      </c>
      <c r="AQ4" t="n">
        <v>0.5</v>
      </c>
      <c r="AR4" t="n">
        <v>0.4</v>
      </c>
      <c r="AU4" t="n">
        <v>0.45</v>
      </c>
      <c r="AV4" t="n">
        <v>0.7</v>
      </c>
      <c r="AW4" t="n">
        <v>1709.090909090909</v>
      </c>
      <c r="AX4" t="n">
        <v>0.4</v>
      </c>
      <c r="AY4" t="n">
        <v>690.909090909091</v>
      </c>
      <c r="AZ4" t="n">
        <v>0.4</v>
      </c>
      <c r="BG4" t="n">
        <v>420</v>
      </c>
      <c r="BH4" t="n">
        <v>0.95</v>
      </c>
      <c r="BM4" t="n">
        <v>750</v>
      </c>
      <c r="BN4" t="n">
        <v>278.15</v>
      </c>
      <c r="BO4" t="n">
        <v>300</v>
      </c>
      <c r="BP4" t="n">
        <v>283.15</v>
      </c>
      <c r="BU4" t="n">
        <v>750</v>
      </c>
      <c r="BV4" t="n">
        <v>278.15</v>
      </c>
      <c r="BW4" t="n">
        <v>150</v>
      </c>
      <c r="BX4" t="n">
        <v>283.15</v>
      </c>
      <c r="CC4" t="n">
        <v>900</v>
      </c>
      <c r="CD4" t="n">
        <v>278.15</v>
      </c>
      <c r="CE4" t="n">
        <v>600</v>
      </c>
      <c r="CF4" t="n">
        <v>278.15</v>
      </c>
      <c r="CQ4" t="n">
        <v>450</v>
      </c>
      <c r="CR4" t="n">
        <v>278.15</v>
      </c>
      <c r="CU4" t="n">
        <v>2928.571428571428</v>
      </c>
      <c r="CV4" t="n">
        <v>8.695909975091149</v>
      </c>
      <c r="DA4" t="n">
        <v>2367.202377294724</v>
      </c>
      <c r="DB4" t="n">
        <v>1372.230738766301</v>
      </c>
      <c r="DC4" t="n">
        <v>3440.010095524289</v>
      </c>
      <c r="DD4" t="n">
        <v>1334.233868431916</v>
      </c>
      <c r="DE4" t="n">
        <v>4275.300864904254</v>
      </c>
      <c r="DF4" t="n">
        <v>782.5254515338474</v>
      </c>
      <c r="DG4" t="n">
        <v>3885.397077479057</v>
      </c>
      <c r="DH4" t="n">
        <v>490.8435874415852</v>
      </c>
      <c r="DI4" t="n">
        <v>3931.197874704566</v>
      </c>
      <c r="DJ4" t="n">
        <v>2143.789516905501</v>
      </c>
      <c r="DK4" t="n">
        <v>2467.938421960246</v>
      </c>
      <c r="DL4" t="n">
        <v>1785.646256258532</v>
      </c>
      <c r="DO4" t="n">
        <v>4859.227915176411</v>
      </c>
      <c r="DP4" t="n">
        <v>2166.645102745724</v>
      </c>
      <c r="DQ4" t="n">
        <v>2102.198701653375</v>
      </c>
      <c r="DR4" t="n">
        <v>1591.964795813887</v>
      </c>
      <c r="DS4" t="n">
        <v>3497.260311374532</v>
      </c>
      <c r="DT4" t="n">
        <v>955.7426006565868</v>
      </c>
      <c r="DU4" t="n">
        <v>4003.360745790174</v>
      </c>
      <c r="DV4" t="n">
        <v>1169.543677446062</v>
      </c>
      <c r="DW4" t="n">
        <v>3051.570071415058</v>
      </c>
      <c r="DX4" t="n">
        <v>1373.168624973108</v>
      </c>
      <c r="EA4" t="n">
        <v>545.0414799696507</v>
      </c>
      <c r="EB4" t="n">
        <v>0.586849401121429</v>
      </c>
      <c r="EC4" t="n">
        <v>480.1585243481287</v>
      </c>
      <c r="ED4" t="n">
        <v>0.7178088209003098</v>
      </c>
      <c r="EE4" t="n">
        <v>605.2276533063961</v>
      </c>
      <c r="EF4" t="n">
        <v>0.5653180034964805</v>
      </c>
      <c r="EI4" t="n">
        <v>590.4618899207727</v>
      </c>
      <c r="EJ4" t="n">
        <v>0.5263980705431835</v>
      </c>
      <c r="EK4" t="n">
        <v>475.2812184964724</v>
      </c>
      <c r="EL4" t="n">
        <v>0.6904630118646692</v>
      </c>
      <c r="EM4" t="n">
        <v>600.7840314827683</v>
      </c>
      <c r="EN4" t="n">
        <v>0.5544017235231474</v>
      </c>
      <c r="EO4" t="n">
        <v>1564.577449935607</v>
      </c>
      <c r="EP4" t="n">
        <v>0.521719676357039</v>
      </c>
      <c r="EQ4" t="n">
        <v>1294.931970627575</v>
      </c>
      <c r="ER4" t="n">
        <v>0.5983379434213126</v>
      </c>
      <c r="ES4" t="n">
        <v>1870.145025266477</v>
      </c>
      <c r="ET4" t="n">
        <v>0.5908219338012439</v>
      </c>
      <c r="EU4" t="n">
        <v>1689.37007363071</v>
      </c>
      <c r="EV4" t="n">
        <v>0.7993133351345607</v>
      </c>
      <c r="EW4" t="n">
        <v>4753.345145162022</v>
      </c>
      <c r="EX4" t="n">
        <v>1482.120404178754</v>
      </c>
      <c r="EY4" t="n">
        <v>3375.557229316533</v>
      </c>
      <c r="EZ4" t="n">
        <v>1918.091984588147</v>
      </c>
      <c r="FA4" t="n">
        <v>3280.664679706368</v>
      </c>
      <c r="FB4" t="n">
        <v>1504.007862640998</v>
      </c>
      <c r="FC4" t="n">
        <v>2398.900733607323</v>
      </c>
      <c r="FD4" t="n">
        <v>1999.256496404628</v>
      </c>
      <c r="FE4" t="n">
        <v>395</v>
      </c>
      <c r="FF4" t="n">
        <v>0.85</v>
      </c>
      <c r="FG4" t="n">
        <v>392.5</v>
      </c>
      <c r="FH4" t="n">
        <v>0.85</v>
      </c>
      <c r="FI4" t="n">
        <v>387.5</v>
      </c>
      <c r="FJ4" t="n">
        <v>0.9</v>
      </c>
      <c r="FK4" t="n">
        <v>385</v>
      </c>
      <c r="FL4" t="n">
        <v>0.875</v>
      </c>
      <c r="FM4" t="n">
        <v>3481.823024523768</v>
      </c>
      <c r="FN4" t="n">
        <v>808.3402577390962</v>
      </c>
      <c r="FO4" t="n">
        <v>3481.823024523768</v>
      </c>
      <c r="FP4" t="n">
        <v>808.3402577390962</v>
      </c>
      <c r="FU4" t="n">
        <v>3300</v>
      </c>
      <c r="FV4" t="n">
        <v>393.75</v>
      </c>
      <c r="FW4" t="n">
        <v>2700</v>
      </c>
      <c r="FX4" t="n">
        <v>393.75</v>
      </c>
      <c r="GC4" t="n">
        <v>3605.950043184831</v>
      </c>
      <c r="GD4" t="n">
        <v>1359.556702008076</v>
      </c>
      <c r="GE4" t="n">
        <v>3905.950043184831</v>
      </c>
      <c r="GF4" t="n">
        <v>1139.556702008077</v>
      </c>
      <c r="GI4" t="n">
        <v>3905.950043184831</v>
      </c>
      <c r="GJ4" t="n">
        <v>1359.556702008076</v>
      </c>
      <c r="GK4" t="n">
        <v>403</v>
      </c>
      <c r="GL4" t="n">
        <v>0.5</v>
      </c>
      <c r="GM4" t="n">
        <v>403</v>
      </c>
      <c r="GN4" t="n">
        <v>0.5</v>
      </c>
      <c r="GS4" t="n">
        <v>4808.3419580395</v>
      </c>
      <c r="GT4" t="n">
        <v>1242.274389807265</v>
      </c>
      <c r="GU4" t="n">
        <v>5000</v>
      </c>
      <c r="GV4" t="n">
        <v>1022.274389807265</v>
      </c>
      <c r="GY4" t="n">
        <v>4808.3419580395</v>
      </c>
      <c r="GZ4" t="n">
        <v>1022.274389807265</v>
      </c>
      <c r="HA4" t="n">
        <v>3000</v>
      </c>
      <c r="HB4" t="n">
        <v>563.6363636363637</v>
      </c>
      <c r="HC4" t="n">
        <v>3000</v>
      </c>
      <c r="HD4" t="n">
        <v>736.3636363639999</v>
      </c>
      <c r="HG4" t="n">
        <v>3000</v>
      </c>
      <c r="HH4" t="n">
        <v>563.6363636363637</v>
      </c>
      <c r="HI4" t="n">
        <v>2443.412744532542</v>
      </c>
      <c r="HJ4" t="n">
        <v>905.2120402576884</v>
      </c>
      <c r="HK4" t="n">
        <v>4262.200880270647</v>
      </c>
      <c r="HL4" t="n">
        <v>1372.352633531222</v>
      </c>
      <c r="HM4" t="n">
        <v>4296.759143251759</v>
      </c>
      <c r="HN4" t="n">
        <v>1671.484029027493</v>
      </c>
      <c r="HO4" t="n">
        <v>4047.67246024877</v>
      </c>
      <c r="HP4" t="n">
        <v>1806.29903202974</v>
      </c>
      <c r="HQ4" t="n">
        <v>3982.118372233416</v>
      </c>
      <c r="HR4" t="n">
        <v>1927.1274621936</v>
      </c>
      <c r="HS4" t="n">
        <v>4267.683720770512</v>
      </c>
      <c r="HT4" t="n">
        <v>1796.532134749605</v>
      </c>
      <c r="HU4" t="n">
        <v>4126.154642901001</v>
      </c>
      <c r="HV4" t="n">
        <v>354.2500659311622</v>
      </c>
      <c r="HW4" t="n">
        <v>4620.02353918257</v>
      </c>
      <c r="HX4" t="n">
        <v>1614.095084574314</v>
      </c>
      <c r="HY4" t="n">
        <v>1125.352586481744</v>
      </c>
      <c r="HZ4" t="n">
        <v>403.3580219508895</v>
      </c>
      <c r="IA4" t="n">
        <v>1682.60235031585</v>
      </c>
      <c r="IB4" t="n">
        <v>491.0976587679755</v>
      </c>
      <c r="IC4" t="n">
        <v>886.3774235664346</v>
      </c>
      <c r="ID4" t="n">
        <v>480.180863332904</v>
      </c>
      <c r="IE4" t="n">
        <v>681.5874873737557</v>
      </c>
      <c r="IF4" t="n">
        <v>515.726553321927</v>
      </c>
      <c r="II4" t="n">
        <v>2428.86504331177</v>
      </c>
      <c r="IJ4" t="n">
        <v>463.6197441685871</v>
      </c>
      <c r="IK4" t="n">
        <v>3462.048224466078</v>
      </c>
      <c r="IL4" t="n">
        <v>397.7758964307367</v>
      </c>
      <c r="IM4" t="n">
        <v>2575.431332105853</v>
      </c>
      <c r="IN4" t="n">
        <v>506.57042710373</v>
      </c>
      <c r="IO4" t="n">
        <v>4819.237671002307</v>
      </c>
      <c r="IP4" t="n">
        <v>1285.732391221921</v>
      </c>
      <c r="IQ4" t="n">
        <v>3235.728764195993</v>
      </c>
      <c r="IR4" t="n">
        <v>607.1460675815364</v>
      </c>
      <c r="IS4" t="n">
        <v>3218.394021491596</v>
      </c>
      <c r="IT4" t="n">
        <v>844.5672407159849</v>
      </c>
      <c r="IU4" t="n">
        <v>2463.723761950739</v>
      </c>
      <c r="IV4" t="n">
        <v>306.3404451549019</v>
      </c>
      <c r="IW4" t="n">
        <v>3370.173004873984</v>
      </c>
      <c r="IX4" t="n">
        <v>1559.660938862371</v>
      </c>
      <c r="IY4" t="n">
        <v>2486.00385462635</v>
      </c>
      <c r="IZ4" t="n">
        <v>472.3157449925876</v>
      </c>
      <c r="JA4" t="n">
        <v>4177.772824608199</v>
      </c>
      <c r="JB4" t="n">
        <v>1193.160026284514</v>
      </c>
      <c r="JC4" t="n">
        <v>2895.374923962102</v>
      </c>
      <c r="JD4" t="n">
        <v>1862.645654277953</v>
      </c>
      <c r="JG4" t="n">
        <v>3344.0920292827</v>
      </c>
      <c r="JH4" t="n">
        <v>1841.485156656454</v>
      </c>
      <c r="JI4" t="n">
        <v>2695.472591384813</v>
      </c>
      <c r="JJ4" t="n">
        <v>1022.176402623704</v>
      </c>
      <c r="JK4" t="n">
        <v>3559.170133159436</v>
      </c>
      <c r="JL4" t="n">
        <v>758.0330353592775</v>
      </c>
      <c r="JM4" t="n">
        <v>2748.342612277589</v>
      </c>
      <c r="JN4" t="n">
        <v>525.3917405900867</v>
      </c>
      <c r="JO4" t="n">
        <v>2992.789413231787</v>
      </c>
      <c r="JP4" t="n">
        <v>1726.788529672536</v>
      </c>
      <c r="JS4" t="n">
        <v>3650.590309875036</v>
      </c>
      <c r="JT4" t="n">
        <v>1920.76945742887</v>
      </c>
      <c r="JU4" t="n">
        <v>1049.213514645438</v>
      </c>
      <c r="JV4" t="n">
        <v>396.0737903378121</v>
      </c>
      <c r="JW4" t="n">
        <v>841.9842259266852</v>
      </c>
      <c r="JX4" t="n">
        <v>511.5070783344729</v>
      </c>
      <c r="KC4" t="n">
        <v>4275.726839073553</v>
      </c>
      <c r="KD4" t="n">
        <v>434.6955987443896</v>
      </c>
      <c r="KE4" t="n">
        <v>3863.227589797437</v>
      </c>
      <c r="KF4" t="n">
        <v>449.3772261282447</v>
      </c>
      <c r="KG4" t="n">
        <v>3501.849161453783</v>
      </c>
      <c r="KH4" t="n">
        <v>516.4884936792944</v>
      </c>
      <c r="KI4" t="n">
        <v>4095.494538558138</v>
      </c>
      <c r="KJ4" t="n">
        <v>392.9814110711241</v>
      </c>
      <c r="KK4" t="n">
        <v>2760.815241782754</v>
      </c>
      <c r="KL4" t="n">
        <v>522.4839762936363</v>
      </c>
      <c r="KM4" t="n">
        <v>3713.78132028595</v>
      </c>
      <c r="KN4" t="n">
        <v>1518.859616816866</v>
      </c>
      <c r="KO4" t="n">
        <v>3143.6630470106</v>
      </c>
      <c r="KP4" t="n">
        <v>1921.671077431561</v>
      </c>
      <c r="KQ4" t="n">
        <v>3027.925706310089</v>
      </c>
      <c r="KR4" t="n">
        <v>1465.157564017887</v>
      </c>
      <c r="KS4" t="n">
        <v>1400.378800273782</v>
      </c>
      <c r="KT4" t="n">
        <v>0.8273980602471588</v>
      </c>
      <c r="KU4" t="n">
        <v>1475.918512447287</v>
      </c>
      <c r="KV4" t="n">
        <v>0.5986415952160927</v>
      </c>
      <c r="KW4" t="n">
        <v>1701.945703289876</v>
      </c>
      <c r="KX4" t="n">
        <v>0.4634362064710768</v>
      </c>
      <c r="KY4" t="n">
        <v>600.4409973342326</v>
      </c>
      <c r="KZ4" t="n">
        <v>0.5390004688983371</v>
      </c>
      <c r="LA4" t="n">
        <v>1451.024042359099</v>
      </c>
      <c r="LB4" t="n">
        <v>428.9337945361774</v>
      </c>
      <c r="LC4" t="n">
        <v>466.0797595692292</v>
      </c>
      <c r="LD4" t="n">
        <v>500.3345203581561</v>
      </c>
      <c r="LK4" t="n">
        <v>476.6756493442306</v>
      </c>
      <c r="LL4" t="n">
        <v>0.5446673571143421</v>
      </c>
      <c r="LM4" t="n">
        <v>455.1668394129342</v>
      </c>
      <c r="LN4" t="n">
        <v>0.4714449716361054</v>
      </c>
      <c r="LQ4" t="n">
        <v>1944.951479132841</v>
      </c>
      <c r="LR4" t="n">
        <v>393.0578460115888</v>
      </c>
      <c r="LS4" t="n">
        <v>929.3934025063515</v>
      </c>
      <c r="LT4" t="n">
        <v>422.6204680105133</v>
      </c>
      <c r="LU4" t="n">
        <v>418.5256825780255</v>
      </c>
      <c r="LV4" t="n">
        <v>500.7156810010106</v>
      </c>
      <c r="LW4" t="n">
        <v>1301.498025468956</v>
      </c>
      <c r="LX4" t="n">
        <v>383.949587066473</v>
      </c>
      <c r="ME4" t="n">
        <v>433.8245731014561</v>
      </c>
      <c r="MF4" t="n">
        <v>302.4750306826461</v>
      </c>
      <c r="MG4" t="n">
        <v>399.3670691389523</v>
      </c>
      <c r="MH4" t="n">
        <v>285.7384376903907</v>
      </c>
      <c r="MI4" t="n">
        <v>492.0489990901762</v>
      </c>
      <c r="MJ4" t="n">
        <v>291.1177401389877</v>
      </c>
      <c r="MO4" t="n">
        <v>1269.881171969826</v>
      </c>
      <c r="MP4" t="n">
        <v>444.4183633242893</v>
      </c>
      <c r="MQ4" t="n">
        <v>500.801256009008</v>
      </c>
      <c r="MR4" t="n">
        <v>426.4233676950571</v>
      </c>
      <c r="MW4" t="n">
        <v>690</v>
      </c>
      <c r="MX4" t="n">
        <v>12.73186450108127</v>
      </c>
      <c r="MY4" t="n">
        <v>500</v>
      </c>
      <c r="MZ4" t="n">
        <v>15.0409968815438</v>
      </c>
      <c r="NE4" t="n">
        <v>3300</v>
      </c>
      <c r="NF4" t="n">
        <v>1300</v>
      </c>
      <c r="NM4" t="n">
        <v>3035.714285714286</v>
      </c>
      <c r="NN4" t="n">
        <v>12.27197794772116</v>
      </c>
      <c r="NO4" t="n">
        <v>2714.285714285714</v>
      </c>
      <c r="NP4" t="n">
        <v>11.59332997056927</v>
      </c>
      <c r="NU4" t="n">
        <v>600</v>
      </c>
      <c r="NV4" t="n">
        <v>0.7</v>
      </c>
      <c r="NW4" t="n">
        <v>600</v>
      </c>
      <c r="NX4" t="n">
        <v>0.79</v>
      </c>
      <c r="OA4" t="n">
        <v>300</v>
      </c>
      <c r="OB4" t="n">
        <v>0.3</v>
      </c>
      <c r="OC4" t="n">
        <v>0.5249999999999999</v>
      </c>
      <c r="OD4" t="n">
        <v>4.09051500965343</v>
      </c>
      <c r="OI4" t="n">
        <v>0.3999999999999999</v>
      </c>
      <c r="OJ4" t="n">
        <v>-99.41903752979761</v>
      </c>
    </row>
    <row r="5">
      <c r="G5" t="n">
        <v>3000</v>
      </c>
      <c r="H5" t="n">
        <v>0.5</v>
      </c>
      <c r="O5" t="n">
        <v>8000</v>
      </c>
      <c r="P5" t="n">
        <v>21.96139875162484</v>
      </c>
      <c r="S5" t="n">
        <v>981.818181818182</v>
      </c>
      <c r="T5" t="n">
        <v>0.75</v>
      </c>
      <c r="Y5" t="n">
        <v>1127.272727272728</v>
      </c>
      <c r="Z5" t="n">
        <v>390</v>
      </c>
      <c r="AA5" t="n">
        <v>400</v>
      </c>
      <c r="AB5" t="n">
        <v>420</v>
      </c>
      <c r="AE5" t="n">
        <v>836.3636363636364</v>
      </c>
      <c r="AF5" t="n">
        <v>380</v>
      </c>
      <c r="AI5" t="n">
        <v>0.8</v>
      </c>
      <c r="AJ5" t="n">
        <v>0.45</v>
      </c>
      <c r="AM5" t="n">
        <v>0.8</v>
      </c>
      <c r="AN5" t="n">
        <v>0.85</v>
      </c>
      <c r="AQ5" t="n">
        <v>0.45</v>
      </c>
      <c r="AR5" t="n">
        <v>0.4</v>
      </c>
      <c r="AU5" t="n">
        <v>0.5</v>
      </c>
      <c r="AV5" t="n">
        <v>0.7</v>
      </c>
      <c r="AW5" t="n">
        <v>1854.545454545455</v>
      </c>
      <c r="AX5" t="n">
        <v>0.4</v>
      </c>
      <c r="AY5" t="n">
        <v>836.3636363636364</v>
      </c>
      <c r="AZ5" t="n">
        <v>0.4</v>
      </c>
      <c r="BG5" t="n">
        <v>420</v>
      </c>
      <c r="BH5" t="n">
        <v>0.85</v>
      </c>
      <c r="BM5" t="n">
        <v>600</v>
      </c>
      <c r="BN5" t="n">
        <v>278.15</v>
      </c>
      <c r="BO5" t="n">
        <v>300</v>
      </c>
      <c r="BP5" t="n">
        <v>288.15</v>
      </c>
      <c r="BU5" t="n">
        <v>900</v>
      </c>
      <c r="BV5" t="n">
        <v>278.15</v>
      </c>
      <c r="BW5" t="n">
        <v>300</v>
      </c>
      <c r="BX5" t="n">
        <v>283.15</v>
      </c>
      <c r="CC5" t="n">
        <v>1200</v>
      </c>
      <c r="CD5" t="n">
        <v>278.15</v>
      </c>
      <c r="CE5" t="n">
        <v>300</v>
      </c>
      <c r="CF5" t="n">
        <v>283.15</v>
      </c>
      <c r="CQ5" t="n">
        <v>600</v>
      </c>
      <c r="CR5" t="n">
        <v>278.15</v>
      </c>
      <c r="CU5" t="n">
        <v>1642.857142857143</v>
      </c>
      <c r="CV5" t="n">
        <v>7.73560545666684</v>
      </c>
      <c r="DA5" t="n">
        <v>3682.617964392429</v>
      </c>
      <c r="DB5" t="n">
        <v>1434.311362270726</v>
      </c>
      <c r="DC5" t="n">
        <v>3659.899746223215</v>
      </c>
      <c r="DD5" t="n">
        <v>1152.091132516594</v>
      </c>
      <c r="DE5" t="n">
        <v>3022.821660328623</v>
      </c>
      <c r="DF5" t="n">
        <v>388.3976991566941</v>
      </c>
      <c r="DG5" t="n">
        <v>4631.03513582728</v>
      </c>
      <c r="DH5" t="n">
        <v>1377.514596345878</v>
      </c>
      <c r="DI5" t="n">
        <v>2694.664190498703</v>
      </c>
      <c r="DJ5" t="n">
        <v>1981.397269808512</v>
      </c>
      <c r="DK5" t="n">
        <v>4689.398241648308</v>
      </c>
      <c r="DL5" t="n">
        <v>1766.295157486949</v>
      </c>
      <c r="DO5" t="n">
        <v>4766.06460841975</v>
      </c>
      <c r="DP5" t="n">
        <v>2061.585645825198</v>
      </c>
      <c r="DQ5" t="n">
        <v>4719.67738905344</v>
      </c>
      <c r="DR5" t="n">
        <v>1879.350696110967</v>
      </c>
      <c r="DS5" t="n">
        <v>3943.330238123379</v>
      </c>
      <c r="DT5" t="n">
        <v>1253.143857069151</v>
      </c>
      <c r="DU5" t="n">
        <v>3038.112423476788</v>
      </c>
      <c r="DV5" t="n">
        <v>424.8752452304865</v>
      </c>
      <c r="DW5" t="n">
        <v>4414.509892698457</v>
      </c>
      <c r="DX5" t="n">
        <v>858.8242190895983</v>
      </c>
      <c r="EA5" t="n">
        <v>531.4086372341891</v>
      </c>
      <c r="EB5" t="n">
        <v>0.5962243375256118</v>
      </c>
      <c r="EC5" t="n">
        <v>438.1549755980534</v>
      </c>
      <c r="ED5" t="n">
        <v>0.6052894525508414</v>
      </c>
      <c r="EE5" t="n">
        <v>592.5678517504807</v>
      </c>
      <c r="EF5" t="n">
        <v>0.6610279190920496</v>
      </c>
      <c r="EI5" t="n">
        <v>551.0090842931465</v>
      </c>
      <c r="EJ5" t="n">
        <v>0.6390020178394764</v>
      </c>
      <c r="EK5" t="n">
        <v>568.2447371101306</v>
      </c>
      <c r="EL5" t="n">
        <v>0.7932394989156977</v>
      </c>
      <c r="EM5" t="n">
        <v>556.5731043585099</v>
      </c>
      <c r="EN5" t="n">
        <v>0.7786092011571454</v>
      </c>
      <c r="EO5" t="n">
        <v>1901.57029174301</v>
      </c>
      <c r="EP5" t="n">
        <v>0.6722889314028215</v>
      </c>
      <c r="EQ5" t="n">
        <v>1389.441794104605</v>
      </c>
      <c r="ER5" t="n">
        <v>0.6959044203101007</v>
      </c>
      <c r="ES5" t="n">
        <v>1855.910961908544</v>
      </c>
      <c r="ET5" t="n">
        <v>0.5130454273206624</v>
      </c>
      <c r="EU5" t="n">
        <v>1644.868193236873</v>
      </c>
      <c r="EV5" t="n">
        <v>0.7795895099119212</v>
      </c>
      <c r="EW5" t="n">
        <v>2523.41862017394</v>
      </c>
      <c r="EX5" t="n">
        <v>1318.317116914638</v>
      </c>
      <c r="EY5" t="n">
        <v>2660.445962270247</v>
      </c>
      <c r="EZ5" t="n">
        <v>1765.702530021576</v>
      </c>
      <c r="FA5" t="n">
        <v>2881.616193020881</v>
      </c>
      <c r="FB5" t="n">
        <v>1063.701320865642</v>
      </c>
      <c r="FC5" t="n">
        <v>3898.314040768245</v>
      </c>
      <c r="FD5" t="n">
        <v>482.2514475058168</v>
      </c>
      <c r="FE5" t="n">
        <v>392.5</v>
      </c>
      <c r="FF5" t="n">
        <v>0.85</v>
      </c>
      <c r="FG5" t="n">
        <v>395</v>
      </c>
      <c r="FH5" t="n">
        <v>0.85</v>
      </c>
      <c r="FI5" t="n">
        <v>387.5</v>
      </c>
      <c r="FJ5" t="n">
        <v>0.925</v>
      </c>
      <c r="FK5" t="n">
        <v>385</v>
      </c>
      <c r="FL5" t="n">
        <v>0.9</v>
      </c>
      <c r="FM5" t="n">
        <v>3481.823024523768</v>
      </c>
      <c r="FN5" t="n">
        <v>808.3402577390962</v>
      </c>
      <c r="FO5" t="n">
        <v>3781.823024523768</v>
      </c>
      <c r="FP5" t="n">
        <v>588.3402577390962</v>
      </c>
      <c r="FU5" t="n">
        <v>3000</v>
      </c>
      <c r="FV5" t="n">
        <v>613.75</v>
      </c>
      <c r="FW5" t="n">
        <v>3000</v>
      </c>
      <c r="FX5" t="n">
        <v>300</v>
      </c>
      <c r="GC5" t="n">
        <v>3905.950043184831</v>
      </c>
      <c r="GD5" t="n">
        <v>1579.556702008076</v>
      </c>
      <c r="GE5" t="n">
        <v>3905.950043184831</v>
      </c>
      <c r="GF5" t="n">
        <v>1359.556702008076</v>
      </c>
      <c r="GI5" t="n">
        <v>4205.950043184831</v>
      </c>
      <c r="GJ5" t="n">
        <v>1359.556702008076</v>
      </c>
      <c r="GK5" t="n">
        <v>403</v>
      </c>
      <c r="GL5" t="n">
        <v>0.5</v>
      </c>
      <c r="GM5" t="n">
        <v>415</v>
      </c>
      <c r="GN5" t="n">
        <v>0.5</v>
      </c>
      <c r="GS5" t="n">
        <v>5000</v>
      </c>
      <c r="GT5" t="n">
        <v>1242.274389807265</v>
      </c>
      <c r="GU5" t="n">
        <v>4808.3419580395</v>
      </c>
      <c r="GV5" t="n">
        <v>802.2743898072646</v>
      </c>
      <c r="HA5" t="n">
        <v>3000</v>
      </c>
      <c r="HB5" t="n">
        <v>736.3636363639999</v>
      </c>
      <c r="HC5" t="n">
        <v>3000</v>
      </c>
      <c r="HD5" t="n">
        <v>400</v>
      </c>
      <c r="HG5" t="n">
        <v>4381.823024523768</v>
      </c>
      <c r="HH5" t="n">
        <v>808.3402577390962</v>
      </c>
      <c r="HI5" t="n">
        <v>4679.33421183829</v>
      </c>
      <c r="HJ5" t="n">
        <v>739.9524041874658</v>
      </c>
      <c r="HK5" t="n">
        <v>4734.734599502155</v>
      </c>
      <c r="HL5" t="n">
        <v>1620.202019799479</v>
      </c>
      <c r="HM5" t="n">
        <v>3907.423523040895</v>
      </c>
      <c r="HN5" t="n">
        <v>930.3575484768286</v>
      </c>
      <c r="HO5" t="n">
        <v>3544.819422652637</v>
      </c>
      <c r="HP5" t="n">
        <v>443.9229786139323</v>
      </c>
      <c r="HQ5" t="n">
        <v>2976.880072997291</v>
      </c>
      <c r="HR5" t="n">
        <v>1696.253973737439</v>
      </c>
      <c r="HS5" t="n">
        <v>2627.07507803935</v>
      </c>
      <c r="HT5" t="n">
        <v>327.0278707054507</v>
      </c>
      <c r="HW5" t="n">
        <v>3766.496186434566</v>
      </c>
      <c r="HX5" t="n">
        <v>1979.09981313363</v>
      </c>
      <c r="HY5" t="n">
        <v>1379.764659689915</v>
      </c>
      <c r="HZ5" t="n">
        <v>471.9191035778756</v>
      </c>
      <c r="IA5" t="n">
        <v>631.5603749190398</v>
      </c>
      <c r="IB5" t="n">
        <v>396.048683780927</v>
      </c>
      <c r="IC5" t="n">
        <v>653.7102002905563</v>
      </c>
      <c r="ID5" t="n">
        <v>387.5211747323866</v>
      </c>
      <c r="IE5" t="n">
        <v>1317.225112636481</v>
      </c>
      <c r="IF5" t="n">
        <v>493.1604273591192</v>
      </c>
      <c r="II5" t="n">
        <v>4584.770225558914</v>
      </c>
      <c r="IJ5" t="n">
        <v>509.5623316562742</v>
      </c>
      <c r="IK5" t="n">
        <v>2850.154830986882</v>
      </c>
      <c r="IL5" t="n">
        <v>436.9776483918631</v>
      </c>
      <c r="IM5" t="n">
        <v>4978.350170574788</v>
      </c>
      <c r="IN5" t="n">
        <v>407.3451089323821</v>
      </c>
      <c r="IO5" t="n">
        <v>2245.428531454291</v>
      </c>
      <c r="IP5" t="n">
        <v>1724.029291450374</v>
      </c>
      <c r="IQ5" t="n">
        <v>3674.153241560003</v>
      </c>
      <c r="IR5" t="n">
        <v>1184.192901782665</v>
      </c>
      <c r="IS5" t="n">
        <v>3085.054711954882</v>
      </c>
      <c r="IT5" t="n">
        <v>760.1131491978633</v>
      </c>
      <c r="IU5" t="n">
        <v>4624.241781461732</v>
      </c>
      <c r="IV5" t="n">
        <v>1754.246164229103</v>
      </c>
      <c r="IW5" t="n">
        <v>2022.351969408076</v>
      </c>
      <c r="IX5" t="n">
        <v>940.7890341411976</v>
      </c>
      <c r="IY5" t="n">
        <v>2272.675887321004</v>
      </c>
      <c r="IZ5" t="n">
        <v>1111.358711995267</v>
      </c>
      <c r="JA5" t="n">
        <v>2868.288792076371</v>
      </c>
      <c r="JB5" t="n">
        <v>414.6014243836683</v>
      </c>
      <c r="JC5" t="n">
        <v>4102.820896746218</v>
      </c>
      <c r="JD5" t="n">
        <v>622.0967407505634</v>
      </c>
      <c r="JG5" t="n">
        <v>3832.934765698853</v>
      </c>
      <c r="JH5" t="n">
        <v>1551.399651487072</v>
      </c>
      <c r="JK5" t="n">
        <v>2286.289449280541</v>
      </c>
      <c r="JL5" t="n">
        <v>1221.792603099825</v>
      </c>
      <c r="JM5" t="n">
        <v>3227.572230822402</v>
      </c>
      <c r="JN5" t="n">
        <v>1342.143432580005</v>
      </c>
      <c r="JO5" t="n">
        <v>4717.551680244769</v>
      </c>
      <c r="JP5" t="n">
        <v>1406.741141638304</v>
      </c>
      <c r="JS5" t="n">
        <v>4961.273867134336</v>
      </c>
      <c r="JT5" t="n">
        <v>605.6403642213268</v>
      </c>
      <c r="JU5" t="n">
        <v>1549.237577932916</v>
      </c>
      <c r="JV5" t="n">
        <v>474.5776356479142</v>
      </c>
      <c r="JW5" t="n">
        <v>361.3791255021944</v>
      </c>
      <c r="JX5" t="n">
        <v>479.6430035578784</v>
      </c>
      <c r="KC5" t="n">
        <v>2605.898845492677</v>
      </c>
      <c r="KD5" t="n">
        <v>417.6357705149704</v>
      </c>
      <c r="KE5" t="n">
        <v>3671.298710660467</v>
      </c>
      <c r="KF5" t="n">
        <v>450.3712604367698</v>
      </c>
      <c r="KK5" t="n">
        <v>4210.502679154588</v>
      </c>
      <c r="KL5" t="n">
        <v>1280.724750375305</v>
      </c>
      <c r="KM5" t="n">
        <v>4342.455109838415</v>
      </c>
      <c r="KN5" t="n">
        <v>1789.442453228495</v>
      </c>
      <c r="KO5" t="n">
        <v>2083.429315444373</v>
      </c>
      <c r="KP5" t="n">
        <v>1038.825391615323</v>
      </c>
      <c r="KQ5" t="n">
        <v>4193.894287291192</v>
      </c>
      <c r="KR5" t="n">
        <v>911.6364087987172</v>
      </c>
      <c r="KU5" t="n">
        <v>422.7708757810038</v>
      </c>
      <c r="KV5" t="n">
        <v>0.8523547748662951</v>
      </c>
      <c r="KY5" t="n">
        <v>982.4723690496352</v>
      </c>
      <c r="KZ5" t="n">
        <v>0.9281875280302916</v>
      </c>
      <c r="LA5" t="n">
        <v>673.2556872584075</v>
      </c>
      <c r="LB5" t="n">
        <v>403.7539833452549</v>
      </c>
      <c r="LC5" t="n">
        <v>575.9374080341994</v>
      </c>
      <c r="LD5" t="n">
        <v>469.2938948755532</v>
      </c>
      <c r="LK5" t="n">
        <v>505.9168991405094</v>
      </c>
      <c r="LL5" t="n">
        <v>0.8045653769477008</v>
      </c>
      <c r="LM5" t="n">
        <v>485.8990188757693</v>
      </c>
      <c r="LN5" t="n">
        <v>0.4428971614299726</v>
      </c>
      <c r="LQ5" t="n">
        <v>1606.856949852444</v>
      </c>
      <c r="LR5" t="n">
        <v>412.5342522232894</v>
      </c>
      <c r="LS5" t="n">
        <v>1686.688225135773</v>
      </c>
      <c r="LT5" t="n">
        <v>495.4420974276027</v>
      </c>
      <c r="LU5" t="n">
        <v>745.0900951815776</v>
      </c>
      <c r="LV5" t="n">
        <v>446.1527734130886</v>
      </c>
      <c r="ME5" t="n">
        <v>1940.703195426726</v>
      </c>
      <c r="MF5" t="n">
        <v>288.1971784487695</v>
      </c>
      <c r="MG5" t="n">
        <v>390.900480433468</v>
      </c>
      <c r="MH5" t="n">
        <v>292.9356530804358</v>
      </c>
      <c r="MI5" t="n">
        <v>443.5754757476018</v>
      </c>
      <c r="MJ5" t="n">
        <v>278.2057929033543</v>
      </c>
      <c r="MO5" t="n">
        <v>1020.616023891988</v>
      </c>
      <c r="MP5" t="n">
        <v>417.4299271364909</v>
      </c>
      <c r="MQ5" t="n">
        <v>333.5864466869371</v>
      </c>
      <c r="MR5" t="n">
        <v>396.9418833403822</v>
      </c>
      <c r="MW5" t="n">
        <v>690</v>
      </c>
      <c r="MX5" t="n">
        <v>12.73186450108127</v>
      </c>
      <c r="MY5" t="n">
        <v>500</v>
      </c>
      <c r="MZ5" t="n">
        <v>15.0409968815438</v>
      </c>
      <c r="NE5" t="n">
        <v>3300</v>
      </c>
      <c r="NF5" t="n">
        <v>1100</v>
      </c>
      <c r="NM5" t="n">
        <v>3142.857142857143</v>
      </c>
      <c r="NN5" t="n">
        <v>12.46816263017079</v>
      </c>
      <c r="NU5" t="n">
        <v>900</v>
      </c>
      <c r="NV5" t="n">
        <v>0.7</v>
      </c>
      <c r="NW5" t="n">
        <v>500</v>
      </c>
      <c r="NX5" t="n">
        <v>0.79</v>
      </c>
      <c r="OA5" t="n">
        <v>500</v>
      </c>
      <c r="OB5" t="n">
        <v>0.3</v>
      </c>
      <c r="OC5" t="n">
        <v>0.6</v>
      </c>
      <c r="OD5" t="n">
        <v>8.816445146584611</v>
      </c>
      <c r="OI5" t="n">
        <v>0.475</v>
      </c>
      <c r="OJ5" t="n">
        <v>-14.84868362432696</v>
      </c>
    </row>
    <row r="6">
      <c r="G6" t="n">
        <v>2000</v>
      </c>
      <c r="H6" t="n">
        <v>0.5</v>
      </c>
      <c r="O6" t="n">
        <v>5500</v>
      </c>
      <c r="P6" t="n">
        <v>24.14466043374449</v>
      </c>
      <c r="S6" t="n">
        <v>836.3636363636364</v>
      </c>
      <c r="T6" t="n">
        <v>0.75</v>
      </c>
      <c r="Y6" t="n">
        <v>690.909090909091</v>
      </c>
      <c r="Z6" t="n">
        <v>390</v>
      </c>
      <c r="AA6" t="n">
        <v>545.4545454545455</v>
      </c>
      <c r="AB6" t="n">
        <v>420</v>
      </c>
      <c r="AE6" t="n">
        <v>981.818181818182</v>
      </c>
      <c r="AF6" t="n">
        <v>380</v>
      </c>
      <c r="AI6" t="n">
        <v>0.8</v>
      </c>
      <c r="AJ6" t="n">
        <v>0.65</v>
      </c>
      <c r="AM6" t="n">
        <v>0.8</v>
      </c>
      <c r="AN6" t="n">
        <v>0.7</v>
      </c>
      <c r="AQ6" t="n">
        <v>0.6</v>
      </c>
      <c r="AR6" t="n">
        <v>0.4</v>
      </c>
      <c r="AU6" t="n">
        <v>0.4</v>
      </c>
      <c r="AV6" t="n">
        <v>0.8</v>
      </c>
      <c r="AW6" t="n">
        <v>2000</v>
      </c>
      <c r="AX6" t="n">
        <v>0.4</v>
      </c>
      <c r="AY6" t="n">
        <v>981.818181818182</v>
      </c>
      <c r="AZ6" t="n">
        <v>0.4</v>
      </c>
      <c r="BG6" t="n">
        <v>434</v>
      </c>
      <c r="BH6" t="n">
        <v>0.85</v>
      </c>
      <c r="BM6" t="n">
        <v>900</v>
      </c>
      <c r="BN6" t="n">
        <v>278.15</v>
      </c>
      <c r="BO6" t="n">
        <v>150</v>
      </c>
      <c r="BP6" t="n">
        <v>288.15</v>
      </c>
      <c r="BU6" t="n">
        <v>1050</v>
      </c>
      <c r="BV6" t="n">
        <v>278.15</v>
      </c>
      <c r="BW6" t="n">
        <v>450</v>
      </c>
      <c r="BX6" t="n">
        <v>283.15</v>
      </c>
      <c r="CC6" t="n">
        <v>1350</v>
      </c>
      <c r="CD6" t="n">
        <v>278.15</v>
      </c>
      <c r="CE6" t="n">
        <v>150</v>
      </c>
      <c r="CF6" t="n">
        <v>283.15</v>
      </c>
      <c r="CQ6" t="n">
        <v>1050</v>
      </c>
      <c r="CR6" t="n">
        <v>278.15</v>
      </c>
      <c r="CU6" t="n">
        <v>2910</v>
      </c>
      <c r="CV6" t="n">
        <v>8.74507634097869</v>
      </c>
      <c r="DA6" t="n">
        <v>3558.443204699293</v>
      </c>
      <c r="DB6" t="n">
        <v>668.3467653773705</v>
      </c>
      <c r="DC6" t="n">
        <v>2317.767297101228</v>
      </c>
      <c r="DD6" t="n">
        <v>1489.610249973807</v>
      </c>
      <c r="DE6" t="n">
        <v>4866.228647001242</v>
      </c>
      <c r="DF6" t="n">
        <v>463.536993249562</v>
      </c>
      <c r="DG6" t="n">
        <v>4629.425047427362</v>
      </c>
      <c r="DH6" t="n">
        <v>473.4522710708325</v>
      </c>
      <c r="DI6" t="n">
        <v>4185.474905912935</v>
      </c>
      <c r="DJ6" t="n">
        <v>1628.785266354178</v>
      </c>
      <c r="DK6" t="n">
        <v>3738.773385672755</v>
      </c>
      <c r="DL6" t="n">
        <v>2101.512008046729</v>
      </c>
      <c r="DO6" t="n">
        <v>4259.649685857626</v>
      </c>
      <c r="DP6" t="n">
        <v>2118.430916700522</v>
      </c>
      <c r="DS6" t="n">
        <v>4513.997343380708</v>
      </c>
      <c r="DT6" t="n">
        <v>343.5264130373769</v>
      </c>
      <c r="DU6" t="n">
        <v>2350.886432513078</v>
      </c>
      <c r="DV6" t="n">
        <v>990.1500007552672</v>
      </c>
      <c r="DW6" t="n">
        <v>3425.093264752036</v>
      </c>
      <c r="DX6" t="n">
        <v>1815.579122830634</v>
      </c>
      <c r="EA6" t="n">
        <v>520.06747828813</v>
      </c>
      <c r="EB6" t="n">
        <v>0.6229603082849318</v>
      </c>
      <c r="EC6" t="n">
        <v>387.1169344595215</v>
      </c>
      <c r="ED6" t="n">
        <v>0.693188615141872</v>
      </c>
      <c r="EE6" t="n">
        <v>553.4411316567061</v>
      </c>
      <c r="EF6" t="n">
        <v>0.6434625504812456</v>
      </c>
      <c r="EI6" t="n">
        <v>553.8082039052807</v>
      </c>
      <c r="EJ6" t="n">
        <v>0.5447004326707359</v>
      </c>
      <c r="EK6" t="n">
        <v>491.4082682154102</v>
      </c>
      <c r="EL6" t="n">
        <v>0.6595986617202141</v>
      </c>
      <c r="EM6" t="n">
        <v>594.1732460353177</v>
      </c>
      <c r="EN6" t="n">
        <v>0.720992218261994</v>
      </c>
      <c r="EO6" t="n">
        <v>955.2858388867096</v>
      </c>
      <c r="EP6" t="n">
        <v>0.5442986828505293</v>
      </c>
      <c r="EQ6" t="n">
        <v>634.7301069114964</v>
      </c>
      <c r="ER6" t="n">
        <v>0.5380878143173161</v>
      </c>
      <c r="ES6" t="n">
        <v>1516.723891032618</v>
      </c>
      <c r="ET6" t="n">
        <v>0.6261886973051616</v>
      </c>
      <c r="EU6" t="n">
        <v>311.9501833670746</v>
      </c>
      <c r="EV6" t="n">
        <v>0.6018927301104326</v>
      </c>
      <c r="EW6" t="n">
        <v>2932.411036467366</v>
      </c>
      <c r="EX6" t="n">
        <v>1174.954452581969</v>
      </c>
      <c r="EY6" t="n">
        <v>4216.081291031909</v>
      </c>
      <c r="EZ6" t="n">
        <v>1470.474804198533</v>
      </c>
      <c r="FA6" t="n">
        <v>3112.088176010633</v>
      </c>
      <c r="FB6" t="n">
        <v>463.0112186721726</v>
      </c>
      <c r="FC6" t="n">
        <v>3703.524601932885</v>
      </c>
      <c r="FD6" t="n">
        <v>1293.753795569448</v>
      </c>
      <c r="FE6" t="n">
        <v>390</v>
      </c>
      <c r="FF6" t="n">
        <v>0.85</v>
      </c>
      <c r="FG6" t="n">
        <v>397.5</v>
      </c>
      <c r="FH6" t="n">
        <v>0.85</v>
      </c>
      <c r="FI6" t="n">
        <v>387.5</v>
      </c>
      <c r="FJ6" t="n">
        <v>0.95</v>
      </c>
      <c r="FK6" t="n">
        <v>385</v>
      </c>
      <c r="FL6" t="n">
        <v>0.925</v>
      </c>
      <c r="FM6" t="n">
        <v>3781.823024523768</v>
      </c>
      <c r="FN6" t="n">
        <v>808.3402577390962</v>
      </c>
      <c r="FO6" t="n">
        <v>3781.823024523768</v>
      </c>
      <c r="FP6" t="n">
        <v>808.3402577390962</v>
      </c>
      <c r="FU6" t="n">
        <v>3000</v>
      </c>
      <c r="FV6" t="n">
        <v>393.75</v>
      </c>
      <c r="FW6" t="n">
        <v>3000</v>
      </c>
      <c r="FX6" t="n">
        <v>393.75</v>
      </c>
      <c r="GC6" t="n">
        <v>3905.950043184831</v>
      </c>
      <c r="GD6" t="n">
        <v>1359.556702008076</v>
      </c>
      <c r="GE6" t="n">
        <v>3905.950043184831</v>
      </c>
      <c r="GF6" t="n">
        <v>1139.556702008077</v>
      </c>
      <c r="GI6" t="n">
        <v>4505.950043184831</v>
      </c>
      <c r="GJ6" t="n">
        <v>1359.556702008076</v>
      </c>
      <c r="GK6" t="n">
        <v>403</v>
      </c>
      <c r="GL6" t="n">
        <v>0.5</v>
      </c>
      <c r="GM6" t="n">
        <v>403</v>
      </c>
      <c r="GN6" t="n">
        <v>0.535</v>
      </c>
      <c r="GS6" t="n">
        <v>4508.3419580395</v>
      </c>
      <c r="GT6" t="n">
        <v>1242.274389807265</v>
      </c>
      <c r="GU6" t="n">
        <v>4808.3419580395</v>
      </c>
      <c r="GV6" t="n">
        <v>1022.274389807265</v>
      </c>
      <c r="HA6" t="n">
        <v>4381.823024523768</v>
      </c>
      <c r="HB6" t="n">
        <v>808.3402577390962</v>
      </c>
      <c r="HC6" t="n">
        <v>4381.823024523768</v>
      </c>
      <c r="HD6" t="n">
        <v>808.3402577390962</v>
      </c>
      <c r="HG6" t="n">
        <v>3000</v>
      </c>
      <c r="HH6" t="n">
        <v>393.75</v>
      </c>
      <c r="HI6" t="n">
        <v>3171.684397041922</v>
      </c>
      <c r="HJ6" t="n">
        <v>1731.504055981887</v>
      </c>
      <c r="HK6" t="n">
        <v>4901.061223519155</v>
      </c>
      <c r="HL6" t="n">
        <v>351.5925808025371</v>
      </c>
      <c r="HM6" t="n">
        <v>4832.258942768976</v>
      </c>
      <c r="HN6" t="n">
        <v>1150.388410260034</v>
      </c>
      <c r="HO6" t="n">
        <v>3341.497864455678</v>
      </c>
      <c r="HP6" t="n">
        <v>1645.154359544677</v>
      </c>
      <c r="HQ6" t="n">
        <v>3594.975984343618</v>
      </c>
      <c r="HR6" t="n">
        <v>1945.984061674744</v>
      </c>
      <c r="HS6" t="n">
        <v>2431.12757178197</v>
      </c>
      <c r="HT6" t="n">
        <v>475.5762742747091</v>
      </c>
      <c r="HW6" t="n">
        <v>3496.221707866234</v>
      </c>
      <c r="HX6" t="n">
        <v>1833.657034911994</v>
      </c>
      <c r="HY6" t="n">
        <v>1463.177714606448</v>
      </c>
      <c r="HZ6" t="n">
        <v>460.8730875481204</v>
      </c>
      <c r="IA6" t="n">
        <v>769.9077926686181</v>
      </c>
      <c r="IB6" t="n">
        <v>431.9802767025749</v>
      </c>
      <c r="IC6" t="n">
        <v>375.4674434655407</v>
      </c>
      <c r="ID6" t="n">
        <v>392.8912339510018</v>
      </c>
      <c r="IE6" t="n">
        <v>1400.349394132309</v>
      </c>
      <c r="IF6" t="n">
        <v>494.5341573890886</v>
      </c>
      <c r="II6" t="n">
        <v>4032.278483595841</v>
      </c>
      <c r="IJ6" t="n">
        <v>514.9849738871338</v>
      </c>
      <c r="IK6" t="n">
        <v>4460.278300896834</v>
      </c>
      <c r="IL6" t="n">
        <v>430.5095509743632</v>
      </c>
      <c r="IM6" t="n">
        <v>4678.893243760839</v>
      </c>
      <c r="IN6" t="n">
        <v>498.5476378877798</v>
      </c>
      <c r="IO6" t="n">
        <v>4076.541298420954</v>
      </c>
      <c r="IP6" t="n">
        <v>1503.014775329492</v>
      </c>
      <c r="IQ6" t="n">
        <v>2713.441148043448</v>
      </c>
      <c r="IR6" t="n">
        <v>1579.784048217501</v>
      </c>
      <c r="IS6" t="n">
        <v>4152.327090375511</v>
      </c>
      <c r="IT6" t="n">
        <v>591.7252702843858</v>
      </c>
      <c r="IU6" t="n">
        <v>4375.803808732258</v>
      </c>
      <c r="IV6" t="n">
        <v>404.6540389194018</v>
      </c>
      <c r="IW6" t="n">
        <v>4374.082882100893</v>
      </c>
      <c r="IX6" t="n">
        <v>1219.513693321903</v>
      </c>
      <c r="IY6" t="n">
        <v>2076.849298911099</v>
      </c>
      <c r="IZ6" t="n">
        <v>515.0459284832677</v>
      </c>
      <c r="JA6" t="n">
        <v>4340.320109569118</v>
      </c>
      <c r="JB6" t="n">
        <v>795.2065649345399</v>
      </c>
      <c r="JC6" t="n">
        <v>2104.863964500324</v>
      </c>
      <c r="JD6" t="n">
        <v>674.9258577583076</v>
      </c>
      <c r="JG6" t="n">
        <v>3135.184334755372</v>
      </c>
      <c r="JH6" t="n">
        <v>1956.568799652261</v>
      </c>
      <c r="JK6" t="n">
        <v>2789.943982846316</v>
      </c>
      <c r="JL6" t="n">
        <v>472.2614690601638</v>
      </c>
      <c r="JM6" t="n">
        <v>2506.903590221537</v>
      </c>
      <c r="JN6" t="n">
        <v>1594.491423588665</v>
      </c>
      <c r="JO6" t="n">
        <v>2186.197727904543</v>
      </c>
      <c r="JP6" t="n">
        <v>753.5616361530599</v>
      </c>
      <c r="JU6" t="n">
        <v>1852.30526542974</v>
      </c>
      <c r="JV6" t="n">
        <v>410.0080573216207</v>
      </c>
      <c r="JW6" t="n">
        <v>784.2264925460155</v>
      </c>
      <c r="JX6" t="n">
        <v>508.4058325695981</v>
      </c>
      <c r="KE6" t="n">
        <v>4883.145640595545</v>
      </c>
      <c r="KF6" t="n">
        <v>499.1225894221596</v>
      </c>
      <c r="KK6" t="n">
        <v>3990.481090263972</v>
      </c>
      <c r="KL6" t="n">
        <v>1410.358458684606</v>
      </c>
      <c r="KM6" t="n">
        <v>3669.255029661136</v>
      </c>
      <c r="KN6" t="n">
        <v>440.5690512822786</v>
      </c>
      <c r="KO6" t="n">
        <v>3851.045000982725</v>
      </c>
      <c r="KP6" t="n">
        <v>312.4090999729699</v>
      </c>
      <c r="KU6" t="n">
        <v>1905.45871520001</v>
      </c>
      <c r="KV6" t="n">
        <v>0.8007187776346791</v>
      </c>
      <c r="KY6" t="n">
        <v>399.0231998928173</v>
      </c>
      <c r="KZ6" t="n">
        <v>0.913030508487872</v>
      </c>
      <c r="LA6" t="n">
        <v>1596.96982098254</v>
      </c>
      <c r="LB6" t="n">
        <v>391.3721975826188</v>
      </c>
      <c r="LC6" t="n">
        <v>604.3461133405503</v>
      </c>
      <c r="LD6" t="n">
        <v>508.3992952257573</v>
      </c>
      <c r="LK6" t="n">
        <v>501.1473437422768</v>
      </c>
      <c r="LL6" t="n">
        <v>0.8387118882334872</v>
      </c>
      <c r="LM6" t="n">
        <v>508.0730806795713</v>
      </c>
      <c r="LN6" t="n">
        <v>0.5210844886894661</v>
      </c>
      <c r="LQ6" t="n">
        <v>1174.169053044774</v>
      </c>
      <c r="LR6" t="n">
        <v>401.3890153373899</v>
      </c>
      <c r="LS6" t="n">
        <v>1401.563797558622</v>
      </c>
      <c r="LT6" t="n">
        <v>468.7380980391497</v>
      </c>
      <c r="ME6" t="n">
        <v>1264.300778110286</v>
      </c>
      <c r="MF6" t="n">
        <v>285.9860381975033</v>
      </c>
      <c r="MG6" t="n">
        <v>409.2543787655303</v>
      </c>
      <c r="MH6" t="n">
        <v>282.7053863780276</v>
      </c>
      <c r="MI6" t="n">
        <v>463.8453357191517</v>
      </c>
      <c r="MJ6" t="n">
        <v>299.8576823408128</v>
      </c>
      <c r="MO6" t="n">
        <v>1751.010940889712</v>
      </c>
      <c r="MP6" t="n">
        <v>445.5961841513932</v>
      </c>
      <c r="MQ6" t="n">
        <v>1421.396432449997</v>
      </c>
      <c r="MR6" t="n">
        <v>501.9930225301441</v>
      </c>
      <c r="MW6" t="n">
        <v>700</v>
      </c>
      <c r="MX6" t="n">
        <v>12.58131444606638</v>
      </c>
      <c r="MY6" t="n">
        <v>650</v>
      </c>
      <c r="MZ6" t="n">
        <v>13.17044444625268</v>
      </c>
      <c r="NE6" t="n">
        <v>3300</v>
      </c>
      <c r="NF6" t="n">
        <v>1200</v>
      </c>
      <c r="NM6" t="n">
        <v>3250</v>
      </c>
      <c r="NN6" t="n">
        <v>12.65094109088577</v>
      </c>
      <c r="NU6" t="n">
        <v>1000</v>
      </c>
      <c r="NV6" t="n">
        <v>0.7</v>
      </c>
      <c r="NW6" t="n">
        <v>500</v>
      </c>
      <c r="NX6" t="n">
        <v>0.82</v>
      </c>
      <c r="OA6" t="n">
        <v>600</v>
      </c>
      <c r="OB6" t="n">
        <v>0.3</v>
      </c>
      <c r="OC6" t="n">
        <v>0.575</v>
      </c>
      <c r="OD6" t="n">
        <v>7.775402464705341</v>
      </c>
    </row>
    <row r="7">
      <c r="G7" t="n">
        <v>3250</v>
      </c>
      <c r="H7" t="n">
        <v>0.5</v>
      </c>
      <c r="O7" t="n">
        <v>9500</v>
      </c>
      <c r="P7" t="n">
        <v>22.34847668000559</v>
      </c>
      <c r="S7" t="n">
        <v>1127.272727272728</v>
      </c>
      <c r="T7" t="n">
        <v>0.75</v>
      </c>
      <c r="Y7" t="n">
        <v>1272.727272727273</v>
      </c>
      <c r="Z7" t="n">
        <v>390</v>
      </c>
      <c r="AA7" t="n">
        <v>690.909090909091</v>
      </c>
      <c r="AB7" t="n">
        <v>420</v>
      </c>
      <c r="AE7" t="n">
        <v>690.909090909091</v>
      </c>
      <c r="AF7" t="n">
        <v>380</v>
      </c>
      <c r="AI7" t="n">
        <v>0.8</v>
      </c>
      <c r="AJ7" t="n">
        <v>0.75</v>
      </c>
      <c r="AM7" t="n">
        <v>0.8</v>
      </c>
      <c r="AN7" t="n">
        <v>0.85</v>
      </c>
      <c r="AQ7" t="n">
        <v>0.65</v>
      </c>
      <c r="AR7" t="n">
        <v>0.4</v>
      </c>
      <c r="AU7" t="n">
        <v>0.45</v>
      </c>
      <c r="AV7" t="n">
        <v>0.8</v>
      </c>
      <c r="AW7" t="n">
        <v>1854.545454545455</v>
      </c>
      <c r="AX7" t="n">
        <v>0.5</v>
      </c>
      <c r="AY7" t="n">
        <v>1127.272727272728</v>
      </c>
      <c r="AZ7" t="n">
        <v>0.4</v>
      </c>
      <c r="BG7" t="n">
        <v>434</v>
      </c>
      <c r="BH7" t="n">
        <v>0.9</v>
      </c>
      <c r="BM7" t="n">
        <v>1050</v>
      </c>
      <c r="BN7" t="n">
        <v>278.15</v>
      </c>
      <c r="BO7" t="n">
        <v>300</v>
      </c>
      <c r="BP7" t="n">
        <v>293.15</v>
      </c>
      <c r="BU7" t="n">
        <v>1200</v>
      </c>
      <c r="BV7" t="n">
        <v>278.15</v>
      </c>
      <c r="BW7" t="n">
        <v>150</v>
      </c>
      <c r="BX7" t="n">
        <v>288.15</v>
      </c>
      <c r="CC7" t="n">
        <v>1500</v>
      </c>
      <c r="CD7" t="n">
        <v>278.15</v>
      </c>
      <c r="CE7" t="n">
        <v>450</v>
      </c>
      <c r="CF7" t="n">
        <v>283.15</v>
      </c>
      <c r="CQ7" t="n">
        <v>750</v>
      </c>
      <c r="CR7" t="n">
        <v>278.15</v>
      </c>
      <c r="DA7" t="n">
        <v>3600.243700547929</v>
      </c>
      <c r="DB7" t="n">
        <v>1228.609862350464</v>
      </c>
      <c r="DC7" t="n">
        <v>2081.421554425518</v>
      </c>
      <c r="DD7" t="n">
        <v>366.2307988962121</v>
      </c>
      <c r="DE7" t="n">
        <v>2724.514536180277</v>
      </c>
      <c r="DF7" t="n">
        <v>314.7321596794044</v>
      </c>
      <c r="DG7" t="n">
        <v>2851.532116984768</v>
      </c>
      <c r="DH7" t="n">
        <v>790.348167997955</v>
      </c>
      <c r="DI7" t="n">
        <v>3752.053337497172</v>
      </c>
      <c r="DJ7" t="n">
        <v>1655.513367141967</v>
      </c>
      <c r="DK7" t="n">
        <v>2840.572390807307</v>
      </c>
      <c r="DL7" t="n">
        <v>1575.003017450846</v>
      </c>
      <c r="DO7" t="n">
        <v>4004.010472846701</v>
      </c>
      <c r="DP7" t="n">
        <v>2034.619829969995</v>
      </c>
      <c r="DS7" t="n">
        <v>3522.052752797504</v>
      </c>
      <c r="DT7" t="n">
        <v>1009.088868917098</v>
      </c>
      <c r="DU7" t="n">
        <v>4588.461852477803</v>
      </c>
      <c r="DV7" t="n">
        <v>914.8692098994744</v>
      </c>
      <c r="DW7" t="n">
        <v>4621.859088498904</v>
      </c>
      <c r="DX7" t="n">
        <v>680.4407400432583</v>
      </c>
      <c r="EA7" t="n">
        <v>612.1600571092998</v>
      </c>
      <c r="EB7" t="n">
        <v>0.6261454003729228</v>
      </c>
      <c r="EC7" t="n">
        <v>381.6092851157166</v>
      </c>
      <c r="ED7" t="n">
        <v>0.8280857294522489</v>
      </c>
      <c r="EE7" t="n">
        <v>597.4914533630786</v>
      </c>
      <c r="EF7" t="n">
        <v>0.785751161347557</v>
      </c>
      <c r="EI7" t="n">
        <v>443.5165061523125</v>
      </c>
      <c r="EJ7" t="n">
        <v>0.6536534475117483</v>
      </c>
      <c r="EK7" t="n">
        <v>609.1063808251395</v>
      </c>
      <c r="EL7" t="n">
        <v>0.6116980690018408</v>
      </c>
      <c r="EM7" t="n">
        <v>537.161358263692</v>
      </c>
      <c r="EN7" t="n">
        <v>0.7424700445137763</v>
      </c>
      <c r="EO7" t="n">
        <v>1105.022250940919</v>
      </c>
      <c r="EP7" t="n">
        <v>0.5201064770535626</v>
      </c>
      <c r="EQ7" t="n">
        <v>613.7354778810571</v>
      </c>
      <c r="ER7" t="n">
        <v>0.70625141138347</v>
      </c>
      <c r="ES7" t="n">
        <v>743.8490696558478</v>
      </c>
      <c r="ET7" t="n">
        <v>0.7207390787426582</v>
      </c>
      <c r="EU7" t="n">
        <v>1735.891137527924</v>
      </c>
      <c r="EV7" t="n">
        <v>0.8029467208125257</v>
      </c>
      <c r="EW7" t="n">
        <v>4163.604261077337</v>
      </c>
      <c r="EX7" t="n">
        <v>1723.922022770217</v>
      </c>
      <c r="EY7" t="n">
        <v>2642.853838582022</v>
      </c>
      <c r="EZ7" t="n">
        <v>331.0852826081823</v>
      </c>
      <c r="FA7" t="n">
        <v>3541.38959080714</v>
      </c>
      <c r="FB7" t="n">
        <v>1708.007145358487</v>
      </c>
      <c r="FC7" t="n">
        <v>2763.248023348929</v>
      </c>
      <c r="FD7" t="n">
        <v>843.0111301360287</v>
      </c>
      <c r="FE7" t="n">
        <v>405</v>
      </c>
      <c r="FF7" t="n">
        <v>0.85</v>
      </c>
      <c r="FG7" t="n">
        <v>400</v>
      </c>
      <c r="FH7" t="n">
        <v>0.85</v>
      </c>
      <c r="FI7" t="n">
        <v>387.5</v>
      </c>
      <c r="FJ7" t="n">
        <v>0.85</v>
      </c>
      <c r="FK7" t="n">
        <v>385</v>
      </c>
      <c r="FL7" t="n">
        <v>0.95</v>
      </c>
      <c r="FM7" t="n">
        <v>3181.823024523768</v>
      </c>
      <c r="FN7" t="n">
        <v>808.3402577390962</v>
      </c>
      <c r="FO7" t="n">
        <v>3781.823024523768</v>
      </c>
      <c r="FP7" t="n">
        <v>588.3402577390962</v>
      </c>
      <c r="FU7" t="n">
        <v>3000</v>
      </c>
      <c r="FV7" t="n">
        <v>393.75</v>
      </c>
      <c r="FW7" t="n">
        <v>3000</v>
      </c>
      <c r="FX7" t="n">
        <v>393.75</v>
      </c>
      <c r="GC7" t="n">
        <v>3905.950043184831</v>
      </c>
      <c r="GD7" t="n">
        <v>1359.556702008076</v>
      </c>
      <c r="GE7" t="n">
        <v>3905.950043184831</v>
      </c>
      <c r="GF7" t="n">
        <v>1359.556702008076</v>
      </c>
      <c r="GI7" t="n">
        <v>4805.950043184831</v>
      </c>
      <c r="GJ7" t="n">
        <v>1359.556702008076</v>
      </c>
      <c r="GK7" t="n">
        <v>403</v>
      </c>
      <c r="GL7" t="n">
        <v>0.5</v>
      </c>
      <c r="GM7" t="n">
        <v>403</v>
      </c>
      <c r="GN7" t="n">
        <v>0.5</v>
      </c>
      <c r="GS7" t="n">
        <v>4808.3419580395</v>
      </c>
      <c r="GT7" t="n">
        <v>1462.274389807265</v>
      </c>
      <c r="GU7" t="n">
        <v>4808.3419580395</v>
      </c>
      <c r="GV7" t="n">
        <v>1022.274389807265</v>
      </c>
      <c r="HA7" t="n">
        <v>3000</v>
      </c>
      <c r="HB7" t="n">
        <v>393.75</v>
      </c>
      <c r="HC7" t="n">
        <v>3000</v>
      </c>
      <c r="HD7" t="n">
        <v>393.75</v>
      </c>
      <c r="HG7" t="n">
        <v>5000</v>
      </c>
      <c r="HH7" t="n">
        <v>1359.556702008076</v>
      </c>
      <c r="HI7" t="n">
        <v>4437.477885379416</v>
      </c>
      <c r="HJ7" t="n">
        <v>1139.110604868654</v>
      </c>
      <c r="HK7" t="n">
        <v>3979.769764537454</v>
      </c>
      <c r="HL7" t="n">
        <v>1913.689364019559</v>
      </c>
      <c r="HM7" t="n">
        <v>4218.977684325973</v>
      </c>
      <c r="HN7" t="n">
        <v>1721.07184235145</v>
      </c>
      <c r="HO7" t="n">
        <v>4122.704863295952</v>
      </c>
      <c r="HP7" t="n">
        <v>1583.425191175243</v>
      </c>
      <c r="HQ7" t="n">
        <v>3121.525929902887</v>
      </c>
      <c r="HR7" t="n">
        <v>767.0087140537509</v>
      </c>
      <c r="HS7" t="n">
        <v>3372.529864140196</v>
      </c>
      <c r="HT7" t="n">
        <v>1128.54482183143</v>
      </c>
      <c r="HW7" t="n">
        <v>4860.404779553053</v>
      </c>
      <c r="HX7" t="n">
        <v>957.5800940684758</v>
      </c>
      <c r="HY7" t="n">
        <v>1258.690948473032</v>
      </c>
      <c r="HZ7" t="n">
        <v>441.975246045287</v>
      </c>
      <c r="IA7" t="n">
        <v>853.8307349784558</v>
      </c>
      <c r="IB7" t="n">
        <v>449.8967310878599</v>
      </c>
      <c r="IC7" t="n">
        <v>1416.678603909753</v>
      </c>
      <c r="ID7" t="n">
        <v>410.6168740474375</v>
      </c>
      <c r="IE7" t="n">
        <v>1880.773939492396</v>
      </c>
      <c r="IF7" t="n">
        <v>487.5267794734092</v>
      </c>
      <c r="II7" t="n">
        <v>3599.126996268655</v>
      </c>
      <c r="IJ7" t="n">
        <v>444.1092856316153</v>
      </c>
      <c r="IK7" t="n">
        <v>2150.738938935887</v>
      </c>
      <c r="IL7" t="n">
        <v>422.3725614464174</v>
      </c>
      <c r="IM7" t="n">
        <v>3858.676571114248</v>
      </c>
      <c r="IN7" t="n">
        <v>387.7618386203309</v>
      </c>
      <c r="IO7" t="n">
        <v>2925.587166923866</v>
      </c>
      <c r="IP7" t="n">
        <v>1453.312877529689</v>
      </c>
      <c r="IQ7" t="n">
        <v>2403.802702095108</v>
      </c>
      <c r="IR7" t="n">
        <v>1346.311421669999</v>
      </c>
      <c r="IS7" t="n">
        <v>3117.364505904794</v>
      </c>
      <c r="IT7" t="n">
        <v>1132.647361768229</v>
      </c>
      <c r="IU7" t="n">
        <v>2007.345612663573</v>
      </c>
      <c r="IV7" t="n">
        <v>1457.055131111071</v>
      </c>
      <c r="IW7" t="n">
        <v>3714.727554813297</v>
      </c>
      <c r="IX7" t="n">
        <v>1485.803598736095</v>
      </c>
      <c r="IY7" t="n">
        <v>2522.00879492392</v>
      </c>
      <c r="IZ7" t="n">
        <v>655.864379578923</v>
      </c>
      <c r="JA7" t="n">
        <v>4511.608761924201</v>
      </c>
      <c r="JB7" t="n">
        <v>1508.496370032229</v>
      </c>
      <c r="JC7" t="n">
        <v>4935.274052914943</v>
      </c>
      <c r="JD7" t="n">
        <v>1027.902038670843</v>
      </c>
      <c r="JG7" t="n">
        <v>2521.249255085835</v>
      </c>
      <c r="JH7" t="n">
        <v>410.8136199500203</v>
      </c>
      <c r="JK7" t="n">
        <v>3626.139360111017</v>
      </c>
      <c r="JL7" t="n">
        <v>614.3457670716527</v>
      </c>
      <c r="JM7" t="n">
        <v>3145.265679818303</v>
      </c>
      <c r="JN7" t="n">
        <v>1123.631666175564</v>
      </c>
      <c r="JO7" t="n">
        <v>3427.916860988302</v>
      </c>
      <c r="JP7" t="n">
        <v>955.4657096368692</v>
      </c>
      <c r="JU7" t="n">
        <v>1014.680125357152</v>
      </c>
      <c r="JV7" t="n">
        <v>438.9327426483868</v>
      </c>
      <c r="JW7" t="n">
        <v>342.0862449972955</v>
      </c>
      <c r="JX7" t="n">
        <v>464.7157546205303</v>
      </c>
      <c r="KE7" t="n">
        <v>2820.702965882814</v>
      </c>
      <c r="KF7" t="n">
        <v>471.8603644028375</v>
      </c>
      <c r="KK7" t="n">
        <v>2423.954369101593</v>
      </c>
      <c r="KL7" t="n">
        <v>734.8909794561439</v>
      </c>
      <c r="KM7" t="n">
        <v>2695.387689718927</v>
      </c>
      <c r="KN7" t="n">
        <v>1143.639288864886</v>
      </c>
      <c r="KU7" t="n">
        <v>1569.145839222811</v>
      </c>
      <c r="KV7" t="n">
        <v>0.7160754127403335</v>
      </c>
      <c r="KY7" t="n">
        <v>311.1661409391682</v>
      </c>
      <c r="KZ7" t="n">
        <v>0.7748964603500613</v>
      </c>
      <c r="LA7" t="n">
        <v>1734.821217933898</v>
      </c>
      <c r="LB7" t="n">
        <v>424.9044572516293</v>
      </c>
      <c r="LC7" t="n">
        <v>750.8762941197338</v>
      </c>
      <c r="LD7" t="n">
        <v>485.9509311934093</v>
      </c>
      <c r="LK7" t="n">
        <v>468.935618700601</v>
      </c>
      <c r="LL7" t="n">
        <v>0.924420598685388</v>
      </c>
      <c r="LM7" t="n">
        <v>451.9559918215513</v>
      </c>
      <c r="LN7" t="n">
        <v>0.4358443140749563</v>
      </c>
      <c r="LQ7" t="n">
        <v>1043.647808884989</v>
      </c>
      <c r="LR7" t="n">
        <v>459.873221686048</v>
      </c>
      <c r="LS7" t="n">
        <v>1327.362530348222</v>
      </c>
      <c r="LT7" t="n">
        <v>487.3567738477225</v>
      </c>
      <c r="ME7" t="n">
        <v>317.0265213340965</v>
      </c>
      <c r="MF7" t="n">
        <v>296.3294730998036</v>
      </c>
      <c r="MI7" t="n">
        <v>468.70475792241</v>
      </c>
      <c r="MJ7" t="n">
        <v>301.7535370295663</v>
      </c>
      <c r="MO7" t="n">
        <v>587.3937772068928</v>
      </c>
      <c r="MP7" t="n">
        <v>392.02733934532</v>
      </c>
      <c r="MQ7" t="n">
        <v>1083.331735413817</v>
      </c>
      <c r="MR7" t="n">
        <v>479.1464920330473</v>
      </c>
      <c r="MW7" t="n">
        <v>700</v>
      </c>
      <c r="MX7" t="n">
        <v>12.58131444606638</v>
      </c>
      <c r="MY7" t="n">
        <v>600</v>
      </c>
      <c r="MZ7" t="n">
        <v>13.75268677295411</v>
      </c>
      <c r="NE7" t="n">
        <v>3300</v>
      </c>
      <c r="NF7" t="n">
        <v>1300</v>
      </c>
      <c r="NM7" t="n">
        <v>3357.142857142857</v>
      </c>
      <c r="NN7" t="n">
        <v>12.82105831972853</v>
      </c>
      <c r="NU7" t="n">
        <v>500</v>
      </c>
      <c r="NV7" t="n">
        <v>0.7</v>
      </c>
      <c r="NW7" t="n">
        <v>600</v>
      </c>
      <c r="NX7" t="n">
        <v>0.82</v>
      </c>
      <c r="OA7" t="n">
        <v>700</v>
      </c>
      <c r="OB7" t="n">
        <v>0.3</v>
      </c>
      <c r="OC7" t="n">
        <v>0.6499999999999999</v>
      </c>
      <c r="OD7" t="n">
        <v>10.25180677128446</v>
      </c>
    </row>
    <row r="8">
      <c r="G8" t="n">
        <v>3500</v>
      </c>
      <c r="H8" t="n">
        <v>0.5</v>
      </c>
      <c r="O8" t="n">
        <v>5437.5</v>
      </c>
      <c r="P8" t="n">
        <v>24.33386057099016</v>
      </c>
      <c r="S8" t="n">
        <v>1418.181818181818</v>
      </c>
      <c r="T8" t="n">
        <v>0.75</v>
      </c>
      <c r="Y8" t="n">
        <v>1418.181818181818</v>
      </c>
      <c r="Z8" t="n">
        <v>390</v>
      </c>
      <c r="AA8" t="n">
        <v>400</v>
      </c>
      <c r="AB8" t="n">
        <v>434</v>
      </c>
      <c r="AE8" t="n">
        <v>1272.727272727273</v>
      </c>
      <c r="AF8" t="n">
        <v>380</v>
      </c>
      <c r="AI8" t="n">
        <v>0.8</v>
      </c>
      <c r="AJ8" t="n">
        <v>0.8</v>
      </c>
      <c r="AM8" t="n">
        <v>0.8</v>
      </c>
      <c r="AN8" t="n">
        <v>0.85</v>
      </c>
      <c r="AQ8" t="n">
        <v>0.8</v>
      </c>
      <c r="AR8" t="n">
        <v>0.4</v>
      </c>
      <c r="AU8" t="n">
        <v>0.55</v>
      </c>
      <c r="AV8" t="n">
        <v>0.8</v>
      </c>
      <c r="AW8" t="n">
        <v>2000</v>
      </c>
      <c r="AX8" t="n">
        <v>0.5</v>
      </c>
      <c r="AY8" t="n">
        <v>1272.727272727273</v>
      </c>
      <c r="AZ8" t="n">
        <v>0.4</v>
      </c>
      <c r="BG8" t="n">
        <v>434</v>
      </c>
      <c r="BH8" t="n">
        <v>0.95</v>
      </c>
      <c r="BM8" t="n">
        <v>1200</v>
      </c>
      <c r="BN8" t="n">
        <v>278.15</v>
      </c>
      <c r="BO8" t="n">
        <v>450</v>
      </c>
      <c r="BP8" t="n">
        <v>293.15</v>
      </c>
      <c r="BU8" t="n">
        <v>1350</v>
      </c>
      <c r="BV8" t="n">
        <v>278.15</v>
      </c>
      <c r="BW8" t="n">
        <v>300</v>
      </c>
      <c r="BX8" t="n">
        <v>288.15</v>
      </c>
      <c r="CC8" t="n">
        <v>900</v>
      </c>
      <c r="CD8" t="n">
        <v>283.15</v>
      </c>
      <c r="CE8" t="n">
        <v>600</v>
      </c>
      <c r="CF8" t="n">
        <v>283.15</v>
      </c>
      <c r="CQ8" t="n">
        <v>900</v>
      </c>
      <c r="CR8" t="n">
        <v>278.15</v>
      </c>
      <c r="DA8" t="n">
        <v>4841.777082605592</v>
      </c>
      <c r="DB8" t="n">
        <v>1106.653520282203</v>
      </c>
      <c r="DC8" t="n">
        <v>3959.411072656219</v>
      </c>
      <c r="DD8" t="n">
        <v>551.5503390206027</v>
      </c>
      <c r="DE8" t="n">
        <v>2984.824551226909</v>
      </c>
      <c r="DF8" t="n">
        <v>498.4690410020023</v>
      </c>
      <c r="DG8" t="n">
        <v>2791.884670335216</v>
      </c>
      <c r="DH8" t="n">
        <v>1344.89126144369</v>
      </c>
      <c r="DI8" t="n">
        <v>2802.809760742077</v>
      </c>
      <c r="DJ8" t="n">
        <v>2423.018631598137</v>
      </c>
      <c r="DK8" t="n">
        <v>2335.081504417939</v>
      </c>
      <c r="DL8" t="n">
        <v>1572.751589231709</v>
      </c>
      <c r="DO8" t="n">
        <v>4995.757833850567</v>
      </c>
      <c r="DP8" t="n">
        <v>1530.663174893521</v>
      </c>
      <c r="DS8" t="n">
        <v>4364.298375258311</v>
      </c>
      <c r="DT8" t="n">
        <v>888.0286392221549</v>
      </c>
      <c r="DU8" t="n">
        <v>4556.625464582912</v>
      </c>
      <c r="DV8" t="n">
        <v>267.9908360610061</v>
      </c>
      <c r="DW8" t="n">
        <v>2172.751910283414</v>
      </c>
      <c r="DX8" t="n">
        <v>397.6384352498569</v>
      </c>
      <c r="EA8" t="n">
        <v>473.7371693257702</v>
      </c>
      <c r="EB8" t="n">
        <v>0.710262797960474</v>
      </c>
      <c r="EC8" t="n">
        <v>405.4893759724959</v>
      </c>
      <c r="ED8" t="n">
        <v>0.7624489429117546</v>
      </c>
      <c r="EE8" t="n">
        <v>523.2492948542856</v>
      </c>
      <c r="EF8" t="n">
        <v>0.7797620110576686</v>
      </c>
      <c r="EI8" t="n">
        <v>474.9757901500179</v>
      </c>
      <c r="EJ8" t="n">
        <v>0.5299342588061428</v>
      </c>
      <c r="EK8" t="n">
        <v>532.6751081064658</v>
      </c>
      <c r="EL8" t="n">
        <v>0.6147245107538609</v>
      </c>
      <c r="EM8" t="n">
        <v>439.6326463287218</v>
      </c>
      <c r="EN8" t="n">
        <v>0.8395456462828537</v>
      </c>
      <c r="EQ8" t="n">
        <v>857.4331502762775</v>
      </c>
      <c r="ER8" t="n">
        <v>0.665306361983786</v>
      </c>
      <c r="ES8" t="n">
        <v>248.9591573277199</v>
      </c>
      <c r="ET8" t="n">
        <v>0.5945834948104383</v>
      </c>
      <c r="EU8" t="n">
        <v>1138.318127629254</v>
      </c>
      <c r="EV8" t="n">
        <v>0.6456181897663748</v>
      </c>
      <c r="EW8" t="n">
        <v>3976.493599186267</v>
      </c>
      <c r="EX8" t="n">
        <v>1810.585321724594</v>
      </c>
      <c r="EY8" t="n">
        <v>2982.605830223879</v>
      </c>
      <c r="EZ8" t="n">
        <v>1019.504314790406</v>
      </c>
      <c r="FA8" t="n">
        <v>2693.879925950606</v>
      </c>
      <c r="FB8" t="n">
        <v>1080.964267381771</v>
      </c>
      <c r="FC8" t="n">
        <v>2307.164343100957</v>
      </c>
      <c r="FD8" t="n">
        <v>1892.756759088737</v>
      </c>
      <c r="FE8" t="n">
        <v>402.5</v>
      </c>
      <c r="FF8" t="n">
        <v>0.85</v>
      </c>
      <c r="FG8" t="n">
        <v>407.5</v>
      </c>
      <c r="FH8" t="n">
        <v>0.85</v>
      </c>
      <c r="FI8" t="n">
        <v>387.5</v>
      </c>
      <c r="FJ8" t="n">
        <v>0.875</v>
      </c>
      <c r="FK8" t="n">
        <v>385</v>
      </c>
      <c r="FL8" t="n">
        <v>0.85</v>
      </c>
      <c r="FM8" t="n">
        <v>3481.823024523768</v>
      </c>
      <c r="FN8" t="n">
        <v>1028.340257739096</v>
      </c>
      <c r="FO8" t="n">
        <v>3781.823024523768</v>
      </c>
      <c r="FP8" t="n">
        <v>808.3402577390962</v>
      </c>
      <c r="FU8" t="n">
        <v>3000</v>
      </c>
      <c r="FV8" t="n">
        <v>393.75</v>
      </c>
      <c r="FW8" t="n">
        <v>3000</v>
      </c>
      <c r="FX8" t="n">
        <v>393.75</v>
      </c>
      <c r="GC8" t="n">
        <v>3905.950043184831</v>
      </c>
      <c r="GD8" t="n">
        <v>1359.556702008076</v>
      </c>
      <c r="GE8" t="n">
        <v>4205.950043184831</v>
      </c>
      <c r="GF8" t="n">
        <v>1139.556702008077</v>
      </c>
      <c r="GI8" t="n">
        <v>5000</v>
      </c>
      <c r="GJ8" t="n">
        <v>1359.556702008076</v>
      </c>
      <c r="GK8" t="n">
        <v>403</v>
      </c>
      <c r="GL8" t="n">
        <v>0.5</v>
      </c>
      <c r="GM8" t="n">
        <v>403</v>
      </c>
      <c r="GN8" t="n">
        <v>0.535</v>
      </c>
      <c r="GS8" t="n">
        <v>4808.3419580395</v>
      </c>
      <c r="GT8" t="n">
        <v>1022.274389807265</v>
      </c>
      <c r="GU8" t="n">
        <v>4808.3419580395</v>
      </c>
      <c r="GV8" t="n">
        <v>1022.274389807265</v>
      </c>
      <c r="HA8" t="n">
        <v>5000</v>
      </c>
      <c r="HB8" t="n">
        <v>1359.556702008076</v>
      </c>
      <c r="HC8" t="n">
        <v>3000</v>
      </c>
      <c r="HD8" t="n">
        <v>400</v>
      </c>
      <c r="HG8" t="n">
        <v>4808.3419580395</v>
      </c>
      <c r="HH8" t="n">
        <v>1022.274389807265</v>
      </c>
      <c r="HI8" t="n">
        <v>3788.940717216946</v>
      </c>
      <c r="HJ8" t="n">
        <v>965.4574239798276</v>
      </c>
      <c r="HK8" t="n">
        <v>4070.858707796533</v>
      </c>
      <c r="HL8" t="n">
        <v>1489.72064604664</v>
      </c>
      <c r="HM8" t="n">
        <v>4771.007239830573</v>
      </c>
      <c r="HN8" t="n">
        <v>1323.993703260858</v>
      </c>
      <c r="HO8" t="n">
        <v>2066.316847956331</v>
      </c>
      <c r="HP8" t="n">
        <v>855.9134288300592</v>
      </c>
      <c r="HQ8" t="n">
        <v>3338.207511780574</v>
      </c>
      <c r="HR8" t="n">
        <v>1955.01883809184</v>
      </c>
      <c r="HS8" t="n">
        <v>2106.640332925182</v>
      </c>
      <c r="HT8" t="n">
        <v>1065.918773305108</v>
      </c>
      <c r="HW8" t="n">
        <v>4822.496908583968</v>
      </c>
      <c r="HX8" t="n">
        <v>728.8124152447865</v>
      </c>
      <c r="HY8" t="n">
        <v>1030.523209976136</v>
      </c>
      <c r="HZ8" t="n">
        <v>408.7992912143595</v>
      </c>
      <c r="IA8" t="n">
        <v>331.6107644065266</v>
      </c>
      <c r="IB8" t="n">
        <v>506.2984890548546</v>
      </c>
      <c r="IC8" t="n">
        <v>1190.998801588401</v>
      </c>
      <c r="ID8" t="n">
        <v>499.8395481029666</v>
      </c>
      <c r="IE8" t="n">
        <v>835.7355145133843</v>
      </c>
      <c r="IF8" t="n">
        <v>483.5963396254479</v>
      </c>
      <c r="II8" t="n">
        <v>2235.513518177474</v>
      </c>
      <c r="IJ8" t="n">
        <v>391.8691847652085</v>
      </c>
      <c r="IK8" t="n">
        <v>3722.837931473714</v>
      </c>
      <c r="IL8" t="n">
        <v>441.0255011627768</v>
      </c>
      <c r="IM8" t="n">
        <v>2508.342964634014</v>
      </c>
      <c r="IN8" t="n">
        <v>488.7889534792589</v>
      </c>
      <c r="IO8" t="n">
        <v>4163.510184172101</v>
      </c>
      <c r="IP8" t="n">
        <v>1510.943457621157</v>
      </c>
      <c r="IQ8" t="n">
        <v>2650.058539234817</v>
      </c>
      <c r="IR8" t="n">
        <v>705.8263429431672</v>
      </c>
      <c r="IS8" t="n">
        <v>4849.390904620956</v>
      </c>
      <c r="IT8" t="n">
        <v>457.3228409566794</v>
      </c>
      <c r="IU8" t="n">
        <v>4756.58835602052</v>
      </c>
      <c r="IV8" t="n">
        <v>1920.641335444949</v>
      </c>
      <c r="IW8" t="n">
        <v>3883.610291614785</v>
      </c>
      <c r="IX8" t="n">
        <v>1662.387940617714</v>
      </c>
      <c r="IY8" t="n">
        <v>4229.510370783844</v>
      </c>
      <c r="IZ8" t="n">
        <v>1431.2943539989</v>
      </c>
      <c r="JA8" t="n">
        <v>3460.320880252862</v>
      </c>
      <c r="JB8" t="n">
        <v>1918.212289258206</v>
      </c>
      <c r="JC8" t="n">
        <v>3504.589189302139</v>
      </c>
      <c r="JD8" t="n">
        <v>1651.144874139498</v>
      </c>
      <c r="JG8" t="n">
        <v>3492.826397863342</v>
      </c>
      <c r="JH8" t="n">
        <v>564.5031332325393</v>
      </c>
      <c r="JK8" t="n">
        <v>4595.058511360729</v>
      </c>
      <c r="JL8" t="n">
        <v>928.8033227911236</v>
      </c>
      <c r="JM8" t="n">
        <v>3005.4607994641</v>
      </c>
      <c r="JN8" t="n">
        <v>1157.865344444537</v>
      </c>
      <c r="JO8" t="n">
        <v>3992.937806669774</v>
      </c>
      <c r="JP8" t="n">
        <v>1089.594783536235</v>
      </c>
      <c r="JU8" t="n">
        <v>545.161308938704</v>
      </c>
      <c r="JV8" t="n">
        <v>415.60651823296</v>
      </c>
      <c r="JW8" t="n">
        <v>1989.509694549336</v>
      </c>
      <c r="JX8" t="n">
        <v>441.8629870012242</v>
      </c>
      <c r="KE8" t="n">
        <v>4378.131995754037</v>
      </c>
      <c r="KF8" t="n">
        <v>444.4421688599942</v>
      </c>
      <c r="KK8" t="n">
        <v>4923.780439274243</v>
      </c>
      <c r="KL8" t="n">
        <v>1833.74756282359</v>
      </c>
      <c r="KM8" t="n">
        <v>2399.921365754267</v>
      </c>
      <c r="KN8" t="n">
        <v>588.7545238103368</v>
      </c>
      <c r="KU8" t="n">
        <v>916.8744501144532</v>
      </c>
      <c r="KV8" t="n">
        <v>0.4378492477973664</v>
      </c>
      <c r="KY8" t="n">
        <v>1230.69005868023</v>
      </c>
      <c r="KZ8" t="n">
        <v>0.410205388194882</v>
      </c>
      <c r="LA8" t="n">
        <v>1393.430634102887</v>
      </c>
      <c r="LB8" t="n">
        <v>441.2164437020428</v>
      </c>
      <c r="LC8" t="n">
        <v>856.3425645062737</v>
      </c>
      <c r="LD8" t="n">
        <v>495.7991696033615</v>
      </c>
      <c r="LK8" t="n">
        <v>390.9917906475985</v>
      </c>
      <c r="LL8" t="n">
        <v>0.6053413967220482</v>
      </c>
      <c r="LQ8" t="n">
        <v>904.3150400629549</v>
      </c>
      <c r="LR8" t="n">
        <v>398.1984240224133</v>
      </c>
      <c r="LS8" t="n">
        <v>1752.676154610713</v>
      </c>
      <c r="LT8" t="n">
        <v>451.0718801921554</v>
      </c>
      <c r="ME8" t="n">
        <v>661.4677063418176</v>
      </c>
      <c r="MF8" t="n">
        <v>303.443498289289</v>
      </c>
      <c r="MI8" t="n">
        <v>507.3164118572552</v>
      </c>
      <c r="MJ8" t="n">
        <v>279.1639869613874</v>
      </c>
      <c r="MQ8" t="n">
        <v>934.295691383479</v>
      </c>
      <c r="MR8" t="n">
        <v>506.6084406623921</v>
      </c>
      <c r="MW8" t="n">
        <v>750</v>
      </c>
      <c r="MX8" t="n">
        <v>12.11344297884353</v>
      </c>
      <c r="NE8" t="n">
        <v>3300</v>
      </c>
      <c r="NF8" t="n">
        <v>1500</v>
      </c>
      <c r="NM8" t="n">
        <v>3892.857142857143</v>
      </c>
      <c r="NN8" t="n">
        <v>13.49878734713285</v>
      </c>
      <c r="NU8" t="n">
        <v>1100</v>
      </c>
      <c r="NV8" t="n">
        <v>0.7</v>
      </c>
      <c r="NW8" t="n">
        <v>500</v>
      </c>
      <c r="NX8" t="n">
        <v>0.85</v>
      </c>
      <c r="OA8" t="n">
        <v>200</v>
      </c>
      <c r="OB8" t="n">
        <v>0.35</v>
      </c>
      <c r="OC8" t="n">
        <v>0.6749999999999999</v>
      </c>
      <c r="OD8" t="n">
        <v>10.78159574911628</v>
      </c>
    </row>
    <row r="9">
      <c r="G9" t="n">
        <v>3000</v>
      </c>
      <c r="H9" t="n">
        <v>0.5</v>
      </c>
      <c r="O9" t="n">
        <v>9562.5</v>
      </c>
      <c r="P9" t="n">
        <v>22.37107174547163</v>
      </c>
      <c r="S9" t="n">
        <v>1272.727272727273</v>
      </c>
      <c r="T9" t="n">
        <v>0.75</v>
      </c>
      <c r="Y9" t="n">
        <v>1563.636363636364</v>
      </c>
      <c r="Z9" t="n">
        <v>390</v>
      </c>
      <c r="AA9" t="n">
        <v>545.4545454545455</v>
      </c>
      <c r="AB9" t="n">
        <v>434</v>
      </c>
      <c r="AE9" t="n">
        <v>1418.181818181818</v>
      </c>
      <c r="AF9" t="n">
        <v>380</v>
      </c>
      <c r="AI9" t="n">
        <v>0.8</v>
      </c>
      <c r="AJ9" t="n">
        <v>0.725</v>
      </c>
      <c r="AM9" t="n">
        <v>0.8</v>
      </c>
      <c r="AN9" t="n">
        <v>0.85</v>
      </c>
      <c r="AQ9" t="n">
        <v>0.85</v>
      </c>
      <c r="AR9" t="n">
        <v>0.4</v>
      </c>
      <c r="AU9" t="n">
        <v>0.6</v>
      </c>
      <c r="AV9" t="n">
        <v>0.8</v>
      </c>
      <c r="AW9" t="n">
        <v>1345.454545454545</v>
      </c>
      <c r="AX9" t="n">
        <v>0.4</v>
      </c>
      <c r="AY9" t="n">
        <v>545.4545454545455</v>
      </c>
      <c r="AZ9" t="n">
        <v>0.5</v>
      </c>
      <c r="BG9" t="n">
        <v>466</v>
      </c>
      <c r="BH9" t="n">
        <v>0.9</v>
      </c>
      <c r="BM9" t="n">
        <v>1350</v>
      </c>
      <c r="BN9" t="n">
        <v>278.15</v>
      </c>
      <c r="BO9" t="n">
        <v>300</v>
      </c>
      <c r="BP9" t="n">
        <v>300.032917</v>
      </c>
      <c r="BU9" t="n">
        <v>1500</v>
      </c>
      <c r="BV9" t="n">
        <v>278.15</v>
      </c>
      <c r="BW9" t="n">
        <v>450</v>
      </c>
      <c r="BX9" t="n">
        <v>288.15</v>
      </c>
      <c r="CC9" t="n">
        <v>1050</v>
      </c>
      <c r="CD9" t="n">
        <v>283.15</v>
      </c>
      <c r="CE9" t="n">
        <v>750</v>
      </c>
      <c r="CF9" t="n">
        <v>283.15</v>
      </c>
      <c r="CQ9" t="n">
        <v>1200</v>
      </c>
      <c r="CR9" t="n">
        <v>278.15</v>
      </c>
      <c r="DA9" t="n">
        <v>4160.685291819645</v>
      </c>
      <c r="DB9" t="n">
        <v>1168.545778067049</v>
      </c>
      <c r="DC9" t="n">
        <v>4074.385291768395</v>
      </c>
      <c r="DD9" t="n">
        <v>752.4503944049836</v>
      </c>
      <c r="DE9" t="n">
        <v>3126.873834830641</v>
      </c>
      <c r="DF9" t="n">
        <v>1247.611980786854</v>
      </c>
      <c r="DG9" t="n">
        <v>4669.085636046515</v>
      </c>
      <c r="DH9" t="n">
        <v>1082.754051648912</v>
      </c>
      <c r="DI9" t="n">
        <v>4887.819971582242</v>
      </c>
      <c r="DJ9" t="n">
        <v>2482.357497177626</v>
      </c>
      <c r="DK9" t="n">
        <v>2925.261605772082</v>
      </c>
      <c r="DL9" t="n">
        <v>2233.233944296735</v>
      </c>
      <c r="DO9" t="n">
        <v>4875.603941173633</v>
      </c>
      <c r="DP9" t="n">
        <v>1668.530750057611</v>
      </c>
      <c r="DS9" t="n">
        <v>4153.593753081795</v>
      </c>
      <c r="DT9" t="n">
        <v>1563.280704818092</v>
      </c>
      <c r="DU9" t="n">
        <v>4324.351818981038</v>
      </c>
      <c r="DV9" t="n">
        <v>572.2184244159414</v>
      </c>
      <c r="DW9" t="n">
        <v>4399.537383166675</v>
      </c>
      <c r="DX9" t="n">
        <v>1043.788124922488</v>
      </c>
      <c r="EA9" t="n">
        <v>492.0221683392841</v>
      </c>
      <c r="EB9" t="n">
        <v>0.6342746706494182</v>
      </c>
      <c r="EC9" t="n">
        <v>542.9014919960931</v>
      </c>
      <c r="ED9" t="n">
        <v>0.5418528378632304</v>
      </c>
      <c r="EE9" t="n">
        <v>599.9527840156856</v>
      </c>
      <c r="EF9" t="n">
        <v>0.5270755204081925</v>
      </c>
      <c r="EI9" t="n">
        <v>455.4337530671798</v>
      </c>
      <c r="EJ9" t="n">
        <v>0.5982496109527291</v>
      </c>
      <c r="EK9" t="n">
        <v>412.946154199088</v>
      </c>
      <c r="EL9" t="n">
        <v>0.7267798833634042</v>
      </c>
      <c r="EM9" t="n">
        <v>606.7187849964051</v>
      </c>
      <c r="EN9" t="n">
        <v>0.6746481715597001</v>
      </c>
      <c r="EQ9" t="n">
        <v>534.6202301174767</v>
      </c>
      <c r="ER9" t="n">
        <v>0.5494509453307975</v>
      </c>
      <c r="ES9" t="n">
        <v>761.7787907277252</v>
      </c>
      <c r="ET9" t="n">
        <v>0.5268018498386063</v>
      </c>
      <c r="EU9" t="n">
        <v>1660.614434685504</v>
      </c>
      <c r="EV9" t="n">
        <v>0.8242204246947057</v>
      </c>
      <c r="EW9" t="n">
        <v>4623.762886223372</v>
      </c>
      <c r="EX9" t="n">
        <v>1594.898411800404</v>
      </c>
      <c r="EY9" t="n">
        <v>3744.982058753154</v>
      </c>
      <c r="EZ9" t="n">
        <v>1439.657166970303</v>
      </c>
      <c r="FA9" t="n">
        <v>2402.88674772668</v>
      </c>
      <c r="FB9" t="n">
        <v>729.9780860451657</v>
      </c>
      <c r="FC9" t="n">
        <v>2023.003329493351</v>
      </c>
      <c r="FD9" t="n">
        <v>398.0012403077027</v>
      </c>
      <c r="FE9" t="n">
        <v>407.5</v>
      </c>
      <c r="FF9" t="n">
        <v>0.85</v>
      </c>
      <c r="FG9" t="n">
        <v>402.5</v>
      </c>
      <c r="FH9" t="n">
        <v>0.85</v>
      </c>
      <c r="FI9" t="n">
        <v>387.5</v>
      </c>
      <c r="FJ9" t="n">
        <v>0.9</v>
      </c>
      <c r="FK9" t="n">
        <v>385</v>
      </c>
      <c r="FL9" t="n">
        <v>0.875</v>
      </c>
      <c r="FM9" t="n">
        <v>3481.823024523768</v>
      </c>
      <c r="FN9" t="n">
        <v>808.3402577390962</v>
      </c>
      <c r="FO9" t="n">
        <v>4081.823024523768</v>
      </c>
      <c r="FP9" t="n">
        <v>588.3402577390962</v>
      </c>
      <c r="FU9" t="n">
        <v>3000</v>
      </c>
      <c r="FV9" t="n">
        <v>393.75</v>
      </c>
      <c r="FW9" t="n">
        <v>3000</v>
      </c>
      <c r="FX9" t="n">
        <v>393.75</v>
      </c>
      <c r="GC9" t="n">
        <v>3905.950043184831</v>
      </c>
      <c r="GD9" t="n">
        <v>1359.556702008076</v>
      </c>
      <c r="GE9" t="n">
        <v>4205.950043184831</v>
      </c>
      <c r="GF9" t="n">
        <v>1359.556702008076</v>
      </c>
      <c r="GK9" t="n">
        <v>403</v>
      </c>
      <c r="GL9" t="n">
        <v>0.5</v>
      </c>
      <c r="GM9" t="n">
        <v>403</v>
      </c>
      <c r="GN9" t="n">
        <v>0.5</v>
      </c>
      <c r="GS9" t="n">
        <v>4808.3419580395</v>
      </c>
      <c r="GT9" t="n">
        <v>1242.274389807265</v>
      </c>
      <c r="GU9" t="n">
        <v>5000</v>
      </c>
      <c r="GV9" t="n">
        <v>1022.274389807265</v>
      </c>
      <c r="HA9" t="n">
        <v>3000</v>
      </c>
      <c r="HB9" t="n">
        <v>400</v>
      </c>
      <c r="HC9" t="n">
        <v>3481.823024523768</v>
      </c>
      <c r="HD9" t="n">
        <v>808.3402577390962</v>
      </c>
      <c r="HG9" t="n">
        <v>3481.823024523768</v>
      </c>
      <c r="HH9" t="n">
        <v>808.3402577390962</v>
      </c>
      <c r="HK9" t="n">
        <v>2028.570774216978</v>
      </c>
      <c r="HL9" t="n">
        <v>1430.271108807394</v>
      </c>
      <c r="HM9" t="n">
        <v>2649.62471045098</v>
      </c>
      <c r="HN9" t="n">
        <v>1638.196712351293</v>
      </c>
      <c r="HO9" t="n">
        <v>3396.178542909995</v>
      </c>
      <c r="HP9" t="n">
        <v>349.5343076942009</v>
      </c>
      <c r="HQ9" t="n">
        <v>4601.486844416853</v>
      </c>
      <c r="HR9" t="n">
        <v>1400.152398038793</v>
      </c>
      <c r="HS9" t="n">
        <v>3505.306108298808</v>
      </c>
      <c r="HT9" t="n">
        <v>1375.670175023272</v>
      </c>
      <c r="HW9" t="n">
        <v>4939.865416587393</v>
      </c>
      <c r="HX9" t="n">
        <v>1742.938832602282</v>
      </c>
      <c r="HY9" t="n">
        <v>1428.841370833079</v>
      </c>
      <c r="HZ9" t="n">
        <v>470.2666920003288</v>
      </c>
      <c r="IA9" t="n">
        <v>1717.216386859179</v>
      </c>
      <c r="IB9" t="n">
        <v>495.0876940462326</v>
      </c>
      <c r="IC9" t="n">
        <v>478.3296106122788</v>
      </c>
      <c r="ID9" t="n">
        <v>459.6128567682546</v>
      </c>
      <c r="IE9" t="n">
        <v>1166.416411764251</v>
      </c>
      <c r="IF9" t="n">
        <v>481.2086017456488</v>
      </c>
      <c r="II9" t="n">
        <v>3759.404590764645</v>
      </c>
      <c r="IJ9" t="n">
        <v>390.0895230731772</v>
      </c>
      <c r="IK9" t="n">
        <v>4336.828916082919</v>
      </c>
      <c r="IL9" t="n">
        <v>415.8121232807932</v>
      </c>
      <c r="IM9" t="n">
        <v>2036.666838602367</v>
      </c>
      <c r="IN9" t="n">
        <v>503.5412350533302</v>
      </c>
      <c r="IO9" t="n">
        <v>4425.198586955896</v>
      </c>
      <c r="IP9" t="n">
        <v>1955.314475832506</v>
      </c>
      <c r="IQ9" t="n">
        <v>2195.491936081489</v>
      </c>
      <c r="IR9" t="n">
        <v>1268.525697477961</v>
      </c>
      <c r="IS9" t="n">
        <v>4287.381925946356</v>
      </c>
      <c r="IT9" t="n">
        <v>798.4520131065303</v>
      </c>
      <c r="IU9" t="n">
        <v>4783.542202281548</v>
      </c>
      <c r="IV9" t="n">
        <v>421.1379973628034</v>
      </c>
      <c r="IW9" t="n">
        <v>3240.370344284258</v>
      </c>
      <c r="IX9" t="n">
        <v>557.043280699254</v>
      </c>
      <c r="IY9" t="n">
        <v>2205.940300975474</v>
      </c>
      <c r="IZ9" t="n">
        <v>1787.007410191793</v>
      </c>
      <c r="JA9" t="n">
        <v>3765.229827522002</v>
      </c>
      <c r="JB9" t="n">
        <v>831.850957668728</v>
      </c>
      <c r="JC9" t="n">
        <v>4867.440916891928</v>
      </c>
      <c r="JD9" t="n">
        <v>1778.597759265412</v>
      </c>
      <c r="JG9" t="n">
        <v>3735.82872772568</v>
      </c>
      <c r="JH9" t="n">
        <v>1363.477017754596</v>
      </c>
      <c r="JK9" t="n">
        <v>3903.150775009404</v>
      </c>
      <c r="JL9" t="n">
        <v>749.8862624618383</v>
      </c>
      <c r="JM9" t="n">
        <v>2490.9482916311</v>
      </c>
      <c r="JN9" t="n">
        <v>1472.476000377402</v>
      </c>
      <c r="JO9" t="n">
        <v>2287.397932589534</v>
      </c>
      <c r="JP9" t="n">
        <v>570.6795125003991</v>
      </c>
      <c r="JU9" t="n">
        <v>1821.930775620519</v>
      </c>
      <c r="JV9" t="n">
        <v>482.8290399532514</v>
      </c>
      <c r="JW9" t="n">
        <v>1349.829733432559</v>
      </c>
      <c r="JX9" t="n">
        <v>518.0654368748512</v>
      </c>
      <c r="KE9" t="n">
        <v>4514.617759531705</v>
      </c>
      <c r="KF9" t="n">
        <v>425.9312662334107</v>
      </c>
      <c r="KK9" t="n">
        <v>3350.671771919248</v>
      </c>
      <c r="KL9" t="n">
        <v>1729.406777851075</v>
      </c>
      <c r="KM9" t="n">
        <v>4609.528337114913</v>
      </c>
      <c r="KN9" t="n">
        <v>652.1490721916679</v>
      </c>
      <c r="KU9" t="n">
        <v>545.0225146667292</v>
      </c>
      <c r="KV9" t="n">
        <v>0.8749836074817792</v>
      </c>
      <c r="KY9" t="n">
        <v>507.6488705062842</v>
      </c>
      <c r="KZ9" t="n">
        <v>0.5075268289879843</v>
      </c>
      <c r="LA9" t="n">
        <v>1252.466880698055</v>
      </c>
      <c r="LB9" t="n">
        <v>415.0985379550688</v>
      </c>
      <c r="LC9" t="n">
        <v>306.7258202143635</v>
      </c>
      <c r="LD9" t="n">
        <v>438.3289414204926</v>
      </c>
      <c r="LK9" t="n">
        <v>446.0335850896836</v>
      </c>
      <c r="LL9" t="n">
        <v>0.7704411349934123</v>
      </c>
      <c r="LQ9" t="n">
        <v>1812.064522008883</v>
      </c>
      <c r="LR9" t="n">
        <v>436.5928736533113</v>
      </c>
      <c r="LS9" t="n">
        <v>1206.983221728553</v>
      </c>
      <c r="LT9" t="n">
        <v>456.6402071273047</v>
      </c>
      <c r="ME9" t="n">
        <v>1054.389547786611</v>
      </c>
      <c r="MF9" t="n">
        <v>280.9495821120494</v>
      </c>
      <c r="MI9" t="n">
        <v>454.3536001893185</v>
      </c>
      <c r="MJ9" t="n">
        <v>303.384376974051</v>
      </c>
      <c r="MQ9" t="n">
        <v>1435.955357801197</v>
      </c>
      <c r="MR9" t="n">
        <v>455.6470243979339</v>
      </c>
      <c r="MW9" t="n">
        <v>750</v>
      </c>
      <c r="MX9" t="n">
        <v>12.11344297884353</v>
      </c>
      <c r="NE9" t="n">
        <v>3300</v>
      </c>
      <c r="NF9" t="n">
        <v>1200</v>
      </c>
      <c r="NM9" t="n">
        <v>3785.714285714286</v>
      </c>
      <c r="NN9" t="n">
        <v>13.3852549291339</v>
      </c>
      <c r="NU9" t="n">
        <v>1200</v>
      </c>
      <c r="NV9" t="n">
        <v>0.7</v>
      </c>
      <c r="NW9" t="n">
        <v>700</v>
      </c>
      <c r="NX9" t="n">
        <v>0.85</v>
      </c>
      <c r="OA9" t="n">
        <v>600</v>
      </c>
      <c r="OB9" t="n">
        <v>0.35</v>
      </c>
      <c r="OC9" t="n">
        <v>0.7</v>
      </c>
      <c r="OD9" t="n">
        <v>11.23217741708438</v>
      </c>
    </row>
    <row r="10">
      <c r="G10" t="n">
        <v>3750</v>
      </c>
      <c r="H10" t="n">
        <v>0.5</v>
      </c>
      <c r="O10" t="n">
        <v>9593.75</v>
      </c>
      <c r="P10" t="n">
        <v>22.38250510573555</v>
      </c>
      <c r="S10" t="n">
        <v>1709.090909090909</v>
      </c>
      <c r="T10" t="n">
        <v>0.75</v>
      </c>
      <c r="Y10" t="n">
        <v>1709.090909090909</v>
      </c>
      <c r="Z10" t="n">
        <v>390</v>
      </c>
      <c r="AA10" t="n">
        <v>690.909090909091</v>
      </c>
      <c r="AB10" t="n">
        <v>434</v>
      </c>
      <c r="AE10" t="n">
        <v>1563.636363636364</v>
      </c>
      <c r="AF10" t="n">
        <v>380</v>
      </c>
      <c r="AI10" t="n">
        <v>0.8</v>
      </c>
      <c r="AJ10" t="n">
        <v>0.475</v>
      </c>
      <c r="AM10" t="n">
        <v>0.8</v>
      </c>
      <c r="AN10" t="n">
        <v>0.85</v>
      </c>
      <c r="AQ10" t="n">
        <v>0.7</v>
      </c>
      <c r="AR10" t="n">
        <v>0.4</v>
      </c>
      <c r="AU10" t="n">
        <v>0.5</v>
      </c>
      <c r="AV10" t="n">
        <v>0.8</v>
      </c>
      <c r="AW10" t="n">
        <v>1345.454545454545</v>
      </c>
      <c r="AX10" t="n">
        <v>0.4</v>
      </c>
      <c r="AY10" t="n">
        <v>690.909090909091</v>
      </c>
      <c r="AZ10" t="n">
        <v>0.5</v>
      </c>
      <c r="BG10" t="n">
        <v>466</v>
      </c>
      <c r="BH10" t="n">
        <v>0.85</v>
      </c>
      <c r="BM10" t="n">
        <v>1500</v>
      </c>
      <c r="BN10" t="n">
        <v>278.15</v>
      </c>
      <c r="BO10" t="n">
        <v>450</v>
      </c>
      <c r="BP10" t="n">
        <v>300.032917</v>
      </c>
      <c r="BU10" t="n">
        <v>600</v>
      </c>
      <c r="BV10" t="n">
        <v>283.15</v>
      </c>
      <c r="BW10" t="n">
        <v>300</v>
      </c>
      <c r="BX10" t="n">
        <v>293.15</v>
      </c>
      <c r="CC10" t="n">
        <v>1200</v>
      </c>
      <c r="CD10" t="n">
        <v>283.15</v>
      </c>
      <c r="CE10" t="n">
        <v>300</v>
      </c>
      <c r="CF10" t="n">
        <v>288.15</v>
      </c>
      <c r="CQ10" t="n">
        <v>1350</v>
      </c>
      <c r="CR10" t="n">
        <v>278.15</v>
      </c>
      <c r="DA10" t="n">
        <v>3732.069032390479</v>
      </c>
      <c r="DB10" t="n">
        <v>858.7185183401663</v>
      </c>
      <c r="DC10" t="n">
        <v>4887.596702919715</v>
      </c>
      <c r="DD10" t="n">
        <v>1145.696865142446</v>
      </c>
      <c r="DE10" t="n">
        <v>4221.270902140441</v>
      </c>
      <c r="DF10" t="n">
        <v>417.4941825739629</v>
      </c>
      <c r="DG10" t="n">
        <v>4333.115678901523</v>
      </c>
      <c r="DH10" t="n">
        <v>398.5432911679855</v>
      </c>
      <c r="DI10" t="n">
        <v>4909.596024434353</v>
      </c>
      <c r="DJ10" t="n">
        <v>2406.867703420082</v>
      </c>
      <c r="DK10" t="n">
        <v>3483.270071522058</v>
      </c>
      <c r="DL10" t="n">
        <v>1808.053371215052</v>
      </c>
      <c r="DO10" t="n">
        <v>3623.87460578767</v>
      </c>
      <c r="DP10" t="n">
        <v>2257.231915427412</v>
      </c>
      <c r="DS10" t="n">
        <v>3767.537199663917</v>
      </c>
      <c r="DT10" t="n">
        <v>1927.876396524999</v>
      </c>
      <c r="DU10" t="n">
        <v>4119.294534537789</v>
      </c>
      <c r="DV10" t="n">
        <v>457.1430307827322</v>
      </c>
      <c r="DW10" t="n">
        <v>3836.438192286669</v>
      </c>
      <c r="DX10" t="n">
        <v>662.985062927439</v>
      </c>
      <c r="EA10" t="n">
        <v>385.1452257523793</v>
      </c>
      <c r="EB10" t="n">
        <v>0.658296632405728</v>
      </c>
      <c r="EC10" t="n">
        <v>486.7111911759393</v>
      </c>
      <c r="ED10" t="n">
        <v>0.6164214389587741</v>
      </c>
      <c r="EE10" t="n">
        <v>593.774762345382</v>
      </c>
      <c r="EF10" t="n">
        <v>0.6729567443563693</v>
      </c>
      <c r="EI10" t="n">
        <v>469.9326625469366</v>
      </c>
      <c r="EJ10" t="n">
        <v>0.5884072933795949</v>
      </c>
      <c r="EK10" t="n">
        <v>390.6056340373186</v>
      </c>
      <c r="EL10" t="n">
        <v>0.6359438418492387</v>
      </c>
      <c r="EM10" t="n">
        <v>500.5143031331014</v>
      </c>
      <c r="EN10" t="n">
        <v>0.5060084448898136</v>
      </c>
      <c r="EQ10" t="n">
        <v>550.6035543014788</v>
      </c>
      <c r="ER10" t="n">
        <v>0.6153197539983232</v>
      </c>
      <c r="ES10" t="n">
        <v>326.7689904314831</v>
      </c>
      <c r="ET10" t="n">
        <v>0.6907457649188267</v>
      </c>
      <c r="EU10" t="n">
        <v>1705.63498112856</v>
      </c>
      <c r="EV10" t="n">
        <v>0.754073311067033</v>
      </c>
      <c r="EW10" t="n">
        <v>3634.003878795266</v>
      </c>
      <c r="EX10" t="n">
        <v>654.5530203123838</v>
      </c>
      <c r="EY10" t="n">
        <v>4356.297293742958</v>
      </c>
      <c r="EZ10" t="n">
        <v>1545.006974155254</v>
      </c>
      <c r="FA10" t="n">
        <v>3418.411068120858</v>
      </c>
      <c r="FB10" t="n">
        <v>666.5971493891202</v>
      </c>
      <c r="FC10" t="n">
        <v>4414.941703170448</v>
      </c>
      <c r="FD10" t="n">
        <v>633.3388339605656</v>
      </c>
      <c r="FE10" t="n">
        <v>390</v>
      </c>
      <c r="FF10" t="n">
        <v>0.875</v>
      </c>
      <c r="FG10" t="n">
        <v>405</v>
      </c>
      <c r="FH10" t="n">
        <v>0.85</v>
      </c>
      <c r="FI10" t="n">
        <v>387.5</v>
      </c>
      <c r="FJ10" t="n">
        <v>0.925</v>
      </c>
      <c r="FK10" t="n">
        <v>385</v>
      </c>
      <c r="FL10" t="n">
        <v>0.9</v>
      </c>
      <c r="FM10" t="n">
        <v>3481.823024523768</v>
      </c>
      <c r="FN10" t="n">
        <v>808.3402577390962</v>
      </c>
      <c r="FO10" t="n">
        <v>4081.823024523768</v>
      </c>
      <c r="FP10" t="n">
        <v>808.3402577390962</v>
      </c>
      <c r="FU10" t="n">
        <v>3000</v>
      </c>
      <c r="FV10" t="n">
        <v>393.75</v>
      </c>
      <c r="FW10" t="n">
        <v>3000</v>
      </c>
      <c r="FX10" t="n">
        <v>393.75</v>
      </c>
      <c r="GC10" t="n">
        <v>3905.950043184831</v>
      </c>
      <c r="GD10" t="n">
        <v>1359.556702008076</v>
      </c>
      <c r="GE10" t="n">
        <v>4505.950043184831</v>
      </c>
      <c r="GF10" t="n">
        <v>1139.556702008077</v>
      </c>
      <c r="GK10" t="n">
        <v>403</v>
      </c>
      <c r="GL10" t="n">
        <v>0.5</v>
      </c>
      <c r="GM10" t="n">
        <v>427</v>
      </c>
      <c r="GN10" t="n">
        <v>0.5</v>
      </c>
      <c r="GS10" t="n">
        <v>4808.3419580395</v>
      </c>
      <c r="GT10" t="n">
        <v>1242.274389807265</v>
      </c>
      <c r="GU10" t="n">
        <v>4808.3419580395</v>
      </c>
      <c r="GV10" t="n">
        <v>802.2743898072646</v>
      </c>
      <c r="HA10" t="n">
        <v>3481.823024523768</v>
      </c>
      <c r="HB10" t="n">
        <v>808.3402577390962</v>
      </c>
      <c r="HC10" t="n">
        <v>3000</v>
      </c>
      <c r="HD10" t="n">
        <v>1318.181818182</v>
      </c>
      <c r="HG10" t="n">
        <v>3655.031570453786</v>
      </c>
      <c r="HH10" t="n">
        <v>2494.528668778344</v>
      </c>
      <c r="HK10" t="n">
        <v>2107.512844541744</v>
      </c>
      <c r="HL10" t="n">
        <v>1176.368631250904</v>
      </c>
      <c r="HM10" t="n">
        <v>2308.085894579523</v>
      </c>
      <c r="HN10" t="n">
        <v>1935.692557992732</v>
      </c>
      <c r="HO10" t="n">
        <v>2387.598308131757</v>
      </c>
      <c r="HP10" t="n">
        <v>544.7244239030637</v>
      </c>
      <c r="HQ10" t="n">
        <v>3674.73187722162</v>
      </c>
      <c r="HR10" t="n">
        <v>1815.096229581577</v>
      </c>
      <c r="HS10" t="n">
        <v>4489.945743225545</v>
      </c>
      <c r="HT10" t="n">
        <v>987.9152541771372</v>
      </c>
      <c r="HW10" t="n">
        <v>4415.195586084021</v>
      </c>
      <c r="HX10" t="n">
        <v>1653.695772292054</v>
      </c>
      <c r="HY10" t="n">
        <v>1092.312868622275</v>
      </c>
      <c r="HZ10" t="n">
        <v>404.7788129782398</v>
      </c>
      <c r="IA10" t="n">
        <v>350.2283670709343</v>
      </c>
      <c r="IB10" t="n">
        <v>451.0449886663092</v>
      </c>
      <c r="IC10" t="n">
        <v>1929.225042620832</v>
      </c>
      <c r="ID10" t="n">
        <v>509.1812018679144</v>
      </c>
      <c r="IE10" t="n">
        <v>302.7128976840879</v>
      </c>
      <c r="IF10" t="n">
        <v>503.4455202178239</v>
      </c>
      <c r="II10" t="n">
        <v>4946.677445529121</v>
      </c>
      <c r="IJ10" t="n">
        <v>483.4337215280166</v>
      </c>
      <c r="IK10" t="n">
        <v>2466.907748164555</v>
      </c>
      <c r="IL10" t="n">
        <v>457.3355573383387</v>
      </c>
      <c r="IM10" t="n">
        <v>4765.082102270693</v>
      </c>
      <c r="IN10" t="n">
        <v>394.381186932848</v>
      </c>
      <c r="IO10" t="n">
        <v>4246.322420517488</v>
      </c>
      <c r="IP10" t="n">
        <v>1840.933810780212</v>
      </c>
      <c r="IQ10" t="n">
        <v>2828.943739821478</v>
      </c>
      <c r="IR10" t="n">
        <v>1990.699241671288</v>
      </c>
      <c r="IS10" t="n">
        <v>2661.405579469723</v>
      </c>
      <c r="IT10" t="n">
        <v>644.6252243556416</v>
      </c>
      <c r="IU10" t="n">
        <v>4356.89334638051</v>
      </c>
      <c r="IV10" t="n">
        <v>687.9954060397788</v>
      </c>
      <c r="IW10" t="n">
        <v>2308.137026417804</v>
      </c>
      <c r="IX10" t="n">
        <v>1536.473901970503</v>
      </c>
      <c r="IY10" t="n">
        <v>2468.446516870588</v>
      </c>
      <c r="IZ10" t="n">
        <v>875.1349356033136</v>
      </c>
      <c r="JA10" t="n">
        <v>2977.9378243248</v>
      </c>
      <c r="JB10" t="n">
        <v>399.6989613343251</v>
      </c>
      <c r="JC10" t="n">
        <v>3846.933534288125</v>
      </c>
      <c r="JD10" t="n">
        <v>1495.740809695129</v>
      </c>
      <c r="JG10" t="n">
        <v>4271.345157306001</v>
      </c>
      <c r="JH10" t="n">
        <v>828.5603230612337</v>
      </c>
      <c r="JK10" t="n">
        <v>2969.021387643456</v>
      </c>
      <c r="JL10" t="n">
        <v>1517.005365421804</v>
      </c>
      <c r="JM10" t="n">
        <v>4470.238134644342</v>
      </c>
      <c r="JN10" t="n">
        <v>1800.946415453315</v>
      </c>
      <c r="JO10" t="n">
        <v>2057.908585922312</v>
      </c>
      <c r="JP10" t="n">
        <v>721.2138944271362</v>
      </c>
      <c r="JU10" t="n">
        <v>1711.453444732697</v>
      </c>
      <c r="JV10" t="n">
        <v>423.3797511890549</v>
      </c>
      <c r="JW10" t="n">
        <v>1526.818086185177</v>
      </c>
      <c r="JX10" t="n">
        <v>502.5527112335867</v>
      </c>
      <c r="KE10" t="n">
        <v>3436.165303045843</v>
      </c>
      <c r="KF10" t="n">
        <v>503.1556816787925</v>
      </c>
      <c r="KK10" t="n">
        <v>2525.130236666977</v>
      </c>
      <c r="KL10" t="n">
        <v>1972.60965678394</v>
      </c>
      <c r="KM10" t="n">
        <v>4736.173124654795</v>
      </c>
      <c r="KN10" t="n">
        <v>1328.232405360023</v>
      </c>
      <c r="KU10" t="n">
        <v>651.3341518407349</v>
      </c>
      <c r="KV10" t="n">
        <v>0.5243726527836166</v>
      </c>
      <c r="KY10" t="n">
        <v>935.2964635358516</v>
      </c>
      <c r="KZ10" t="n">
        <v>0.4839921037234778</v>
      </c>
      <c r="LA10" t="n">
        <v>1284.253080450529</v>
      </c>
      <c r="LB10" t="n">
        <v>453.4259365605191</v>
      </c>
      <c r="LC10" t="n">
        <v>1102.857082270741</v>
      </c>
      <c r="LD10" t="n">
        <v>458.2194074433148</v>
      </c>
      <c r="LK10" t="n">
        <v>400.9754404426368</v>
      </c>
      <c r="LL10" t="n">
        <v>0.6861062466872722</v>
      </c>
      <c r="LS10" t="n">
        <v>562.9887148701929</v>
      </c>
      <c r="LT10" t="n">
        <v>407.7146789650689</v>
      </c>
      <c r="ME10" t="n">
        <v>1433.576399765768</v>
      </c>
      <c r="MF10" t="n">
        <v>285.6970446584283</v>
      </c>
      <c r="MI10" t="n">
        <v>431.1042399609825</v>
      </c>
      <c r="MJ10" t="n">
        <v>283.8192032766289</v>
      </c>
      <c r="MQ10" t="n">
        <v>1099.966423481563</v>
      </c>
      <c r="MR10" t="n">
        <v>484.2386812489681</v>
      </c>
      <c r="MW10" t="n">
        <v>800</v>
      </c>
      <c r="MX10" t="n">
        <v>11.62985863251361</v>
      </c>
      <c r="NE10" t="n">
        <v>3300</v>
      </c>
      <c r="NF10" t="n">
        <v>1150</v>
      </c>
      <c r="NM10" t="n">
        <v>4000</v>
      </c>
      <c r="NN10" t="n">
        <v>13.60155540212271</v>
      </c>
      <c r="NU10" t="n">
        <v>700</v>
      </c>
      <c r="NV10" t="n">
        <v>0.73</v>
      </c>
      <c r="NW10" t="n">
        <v>600</v>
      </c>
      <c r="NX10" t="n">
        <v>0.85</v>
      </c>
      <c r="OA10" t="n">
        <v>400</v>
      </c>
      <c r="OB10" t="n">
        <v>0.35</v>
      </c>
    </row>
    <row r="11">
      <c r="G11" t="n">
        <v>3000</v>
      </c>
      <c r="H11" t="n">
        <v>0.4</v>
      </c>
      <c r="O11" t="n">
        <v>5421.875</v>
      </c>
      <c r="P11" t="n">
        <v>24.38460478570637</v>
      </c>
      <c r="S11" t="n">
        <v>1563.636363636364</v>
      </c>
      <c r="T11" t="n">
        <v>0.75</v>
      </c>
      <c r="Y11" t="n">
        <v>1854.545454545455</v>
      </c>
      <c r="Z11" t="n">
        <v>390</v>
      </c>
      <c r="AA11" t="n">
        <v>836.3636363636364</v>
      </c>
      <c r="AB11" t="n">
        <v>434</v>
      </c>
      <c r="AE11" t="n">
        <v>1854.545454545455</v>
      </c>
      <c r="AF11" t="n">
        <v>380</v>
      </c>
      <c r="AI11" t="n">
        <v>0.8</v>
      </c>
      <c r="AJ11" t="n">
        <v>0.525</v>
      </c>
      <c r="AM11" t="n">
        <v>0.8</v>
      </c>
      <c r="AN11" t="n">
        <v>0.85</v>
      </c>
      <c r="AQ11" t="n">
        <v>0.75</v>
      </c>
      <c r="AR11" t="n">
        <v>0.4</v>
      </c>
      <c r="AU11" t="n">
        <v>0.65</v>
      </c>
      <c r="AV11" t="n">
        <v>0.8</v>
      </c>
      <c r="AW11" t="n">
        <v>1781.818181818182</v>
      </c>
      <c r="AX11" t="n">
        <v>0.5</v>
      </c>
      <c r="AY11" t="n">
        <v>981.818181818182</v>
      </c>
      <c r="AZ11" t="n">
        <v>0.5</v>
      </c>
      <c r="BG11" t="n">
        <v>466</v>
      </c>
      <c r="BH11" t="n">
        <v>0.95</v>
      </c>
      <c r="BM11" t="n">
        <v>450</v>
      </c>
      <c r="BN11" t="n">
        <v>283.15</v>
      </c>
      <c r="BO11" t="n">
        <v>375</v>
      </c>
      <c r="BP11" t="n">
        <v>288.15</v>
      </c>
      <c r="BU11" t="n">
        <v>750</v>
      </c>
      <c r="BV11" t="n">
        <v>283.15</v>
      </c>
      <c r="BW11" t="n">
        <v>450</v>
      </c>
      <c r="BX11" t="n">
        <v>293.15</v>
      </c>
      <c r="CC11" t="n">
        <v>1350</v>
      </c>
      <c r="CD11" t="n">
        <v>283.15</v>
      </c>
      <c r="CE11" t="n">
        <v>150</v>
      </c>
      <c r="CF11" t="n">
        <v>288.15</v>
      </c>
      <c r="CQ11" t="n">
        <v>1500</v>
      </c>
      <c r="CR11" t="n">
        <v>278.15</v>
      </c>
      <c r="DA11" t="n">
        <v>3160.356416844596</v>
      </c>
      <c r="DB11" t="n">
        <v>930.494149877678</v>
      </c>
      <c r="DC11" t="n">
        <v>3368.976964654717</v>
      </c>
      <c r="DD11" t="n">
        <v>853.3544276712398</v>
      </c>
      <c r="DE11" t="n">
        <v>4986.563595799034</v>
      </c>
      <c r="DF11" t="n">
        <v>1254.520050129621</v>
      </c>
      <c r="DG11" t="n">
        <v>2882.245216868926</v>
      </c>
      <c r="DH11" t="n">
        <v>1296.884032185822</v>
      </c>
      <c r="DI11" t="n">
        <v>3056.703732319918</v>
      </c>
      <c r="DJ11" t="n">
        <v>2342.877823990452</v>
      </c>
      <c r="DK11" t="n">
        <v>2878.595434131244</v>
      </c>
      <c r="DL11" t="n">
        <v>2175.386656824735</v>
      </c>
      <c r="DO11" t="n">
        <v>3397.186060079769</v>
      </c>
      <c r="DP11" t="n">
        <v>1688.08311954695</v>
      </c>
      <c r="DS11" t="n">
        <v>3161.995030542941</v>
      </c>
      <c r="DT11" t="n">
        <v>1610.452332695184</v>
      </c>
      <c r="DU11" t="n">
        <v>2342.952330760533</v>
      </c>
      <c r="DV11" t="n">
        <v>1136.04966559192</v>
      </c>
      <c r="DW11" t="n">
        <v>4062.578691697691</v>
      </c>
      <c r="DX11" t="n">
        <v>244.3631874754892</v>
      </c>
      <c r="EA11" t="n">
        <v>580.478446621471</v>
      </c>
      <c r="EB11" t="n">
        <v>0.5730001521468852</v>
      </c>
      <c r="EC11" t="n">
        <v>563.5212635239043</v>
      </c>
      <c r="ED11" t="n">
        <v>0.6385615971432461</v>
      </c>
      <c r="EE11" t="n">
        <v>518.0648900131556</v>
      </c>
      <c r="EF11" t="n">
        <v>0.8103126607505368</v>
      </c>
      <c r="EI11" t="n">
        <v>461.5044062582205</v>
      </c>
      <c r="EJ11" t="n">
        <v>0.5660666384587838</v>
      </c>
      <c r="EK11" t="n">
        <v>425.0056405326238</v>
      </c>
      <c r="EL11" t="n">
        <v>0.8122892861893598</v>
      </c>
      <c r="EM11" t="n">
        <v>486.3554068589664</v>
      </c>
      <c r="EN11" t="n">
        <v>0.8350838540911976</v>
      </c>
      <c r="EQ11" t="n">
        <v>1265.430422948261</v>
      </c>
      <c r="ER11" t="n">
        <v>0.8164712982669472</v>
      </c>
      <c r="ES11" t="n">
        <v>1336.594633410128</v>
      </c>
      <c r="ET11" t="n">
        <v>0.5157031757789838</v>
      </c>
      <c r="EU11" t="n">
        <v>1465.485047228687</v>
      </c>
      <c r="EV11" t="n">
        <v>0.6133114015984311</v>
      </c>
      <c r="EW11" t="n">
        <v>4186.254584862701</v>
      </c>
      <c r="EX11" t="n">
        <v>1421.886942617437</v>
      </c>
      <c r="EY11" t="n">
        <v>2497.560737700327</v>
      </c>
      <c r="EZ11" t="n">
        <v>285.3529383591147</v>
      </c>
      <c r="FA11" t="n">
        <v>3172.496828651316</v>
      </c>
      <c r="FB11" t="n">
        <v>1085.807565682524</v>
      </c>
      <c r="FC11" t="n">
        <v>3039.543245538026</v>
      </c>
      <c r="FD11" t="n">
        <v>1394.9557496091</v>
      </c>
      <c r="FE11" t="n">
        <v>392.5</v>
      </c>
      <c r="FF11" t="n">
        <v>0.875</v>
      </c>
      <c r="FG11" t="n">
        <v>410</v>
      </c>
      <c r="FH11" t="n">
        <v>0.85</v>
      </c>
      <c r="FI11" t="n">
        <v>387.5</v>
      </c>
      <c r="FJ11" t="n">
        <v>0.95</v>
      </c>
      <c r="FK11" t="n">
        <v>385</v>
      </c>
      <c r="FL11" t="n">
        <v>0.925</v>
      </c>
      <c r="FM11" t="n">
        <v>3481.823024523768</v>
      </c>
      <c r="FN11" t="n">
        <v>808.3402577390962</v>
      </c>
      <c r="FO11" t="n">
        <v>4081.823024523768</v>
      </c>
      <c r="FP11" t="n">
        <v>808.3402577390962</v>
      </c>
      <c r="FU11" t="n">
        <v>3000</v>
      </c>
      <c r="FV11" t="n">
        <v>393.75</v>
      </c>
      <c r="FW11" t="n">
        <v>3000</v>
      </c>
      <c r="FX11" t="n">
        <v>393.75</v>
      </c>
      <c r="GC11" t="n">
        <v>3905.950043184831</v>
      </c>
      <c r="GD11" t="n">
        <v>1359.556702008076</v>
      </c>
      <c r="GE11" t="n">
        <v>4505.950043184831</v>
      </c>
      <c r="GF11" t="n">
        <v>1359.556702008076</v>
      </c>
      <c r="GK11" t="n">
        <v>403</v>
      </c>
      <c r="GL11" t="n">
        <v>0.5</v>
      </c>
      <c r="GM11" t="n">
        <v>415</v>
      </c>
      <c r="GN11" t="n">
        <v>0.535</v>
      </c>
      <c r="GS11" t="n">
        <v>4808.3419580395</v>
      </c>
      <c r="GT11" t="n">
        <v>1242.274389807265</v>
      </c>
      <c r="GU11" t="n">
        <v>4808.3419580395</v>
      </c>
      <c r="GV11" t="n">
        <v>1022.274389807265</v>
      </c>
      <c r="HA11" t="n">
        <v>4808.3419580395</v>
      </c>
      <c r="HB11" t="n">
        <v>1022.274389807265</v>
      </c>
      <c r="HG11" t="n">
        <v>3000</v>
      </c>
      <c r="HH11" t="n">
        <v>1318.181818182</v>
      </c>
      <c r="HK11" t="n">
        <v>4921.212902723632</v>
      </c>
      <c r="HL11" t="n">
        <v>320.6466163593556</v>
      </c>
      <c r="HO11" t="n">
        <v>2474.000076784601</v>
      </c>
      <c r="HP11" t="n">
        <v>1223.655609521988</v>
      </c>
      <c r="HQ11" t="n">
        <v>3811.224562898081</v>
      </c>
      <c r="HR11" t="n">
        <v>966.3912178635104</v>
      </c>
      <c r="HS11" t="n">
        <v>3543.780861703975</v>
      </c>
      <c r="HT11" t="n">
        <v>1715.244346295611</v>
      </c>
      <c r="HW11" t="n">
        <v>4020.449262482321</v>
      </c>
      <c r="HX11" t="n">
        <v>1542.466273107116</v>
      </c>
      <c r="HY11" t="n">
        <v>1798.984795601752</v>
      </c>
      <c r="HZ11" t="n">
        <v>407.7667500192025</v>
      </c>
      <c r="IA11" t="n">
        <v>1047.416439501432</v>
      </c>
      <c r="IB11" t="n">
        <v>398.2713419069489</v>
      </c>
      <c r="IC11" t="n">
        <v>592.4591079289827</v>
      </c>
      <c r="ID11" t="n">
        <v>388.4445322180645</v>
      </c>
      <c r="IE11" t="n">
        <v>417.1743379976031</v>
      </c>
      <c r="IF11" t="n">
        <v>447.9106399515287</v>
      </c>
      <c r="II11" t="n">
        <v>2526.6366896237</v>
      </c>
      <c r="IJ11" t="n">
        <v>513.3468271591757</v>
      </c>
      <c r="IK11" t="n">
        <v>2970.386340707471</v>
      </c>
      <c r="IL11" t="n">
        <v>435.9910030599853</v>
      </c>
      <c r="IM11" t="n">
        <v>2021.508121351221</v>
      </c>
      <c r="IN11" t="n">
        <v>484.9822111396999</v>
      </c>
      <c r="IO11" t="n">
        <v>3002.00503465358</v>
      </c>
      <c r="IP11" t="n">
        <v>1793.844578056632</v>
      </c>
      <c r="IQ11" t="n">
        <v>2381.021492644335</v>
      </c>
      <c r="IR11" t="n">
        <v>1699.937055969538</v>
      </c>
      <c r="IS11" t="n">
        <v>3855.725565587139</v>
      </c>
      <c r="IT11" t="n">
        <v>788.4077916345898</v>
      </c>
      <c r="IU11" t="n">
        <v>3552.125529511741</v>
      </c>
      <c r="IV11" t="n">
        <v>631.2398365244177</v>
      </c>
      <c r="IW11" t="n">
        <v>4617.949922563567</v>
      </c>
      <c r="IX11" t="n">
        <v>1754.152742489788</v>
      </c>
      <c r="IY11" t="n">
        <v>2823.603678942809</v>
      </c>
      <c r="IZ11" t="n">
        <v>1455.196008746562</v>
      </c>
      <c r="JA11" t="n">
        <v>4941.400035522052</v>
      </c>
      <c r="JB11" t="n">
        <v>1467.377664649504</v>
      </c>
      <c r="JC11" t="n">
        <v>4295.192037109629</v>
      </c>
      <c r="JD11" t="n">
        <v>1704.947611062481</v>
      </c>
      <c r="JG11" t="n">
        <v>4024.05385180581</v>
      </c>
      <c r="JH11" t="n">
        <v>1478.717686865702</v>
      </c>
      <c r="JM11" t="n">
        <v>4641.775857709972</v>
      </c>
      <c r="JN11" t="n">
        <v>845.542554384397</v>
      </c>
      <c r="JO11" t="n">
        <v>4031.781433613323</v>
      </c>
      <c r="JP11" t="n">
        <v>1881.822963909936</v>
      </c>
      <c r="JU11" t="n">
        <v>1481.814736505255</v>
      </c>
      <c r="JV11" t="n">
        <v>452.5178904670354</v>
      </c>
      <c r="JW11" t="n">
        <v>688.3758130676698</v>
      </c>
      <c r="JX11" t="n">
        <v>430.0202217990279</v>
      </c>
      <c r="KE11" t="n">
        <v>4418.446191161034</v>
      </c>
      <c r="KF11" t="n">
        <v>492.8361952969545</v>
      </c>
      <c r="KM11" t="n">
        <v>4027.286821825844</v>
      </c>
      <c r="KN11" t="n">
        <v>1239.817852048176</v>
      </c>
      <c r="KU11" t="n">
        <v>1637.133267781828</v>
      </c>
      <c r="KV11" t="n">
        <v>0.6692324581420136</v>
      </c>
      <c r="KY11" t="n">
        <v>1192.44490158747</v>
      </c>
      <c r="KZ11" t="n">
        <v>0.748591294117495</v>
      </c>
      <c r="LA11" t="n">
        <v>1641.92395500055</v>
      </c>
      <c r="LB11" t="n">
        <v>462.0221652764215</v>
      </c>
      <c r="LC11" t="n">
        <v>1963.083857452022</v>
      </c>
      <c r="LD11" t="n">
        <v>475.8424066802378</v>
      </c>
      <c r="LK11" t="n">
        <v>435.2159769602682</v>
      </c>
      <c r="LL11" t="n">
        <v>0.6342266097124544</v>
      </c>
      <c r="LS11" t="n">
        <v>376.4543585422156</v>
      </c>
      <c r="LT11" t="n">
        <v>418.9089369925673</v>
      </c>
      <c r="ME11" t="n">
        <v>1713.420922915609</v>
      </c>
      <c r="MF11" t="n">
        <v>299.9193598150962</v>
      </c>
      <c r="MI11" t="n">
        <v>504.4594903438974</v>
      </c>
      <c r="MJ11" t="n">
        <v>287.9272430931313</v>
      </c>
      <c r="MQ11" t="n">
        <v>1221.414050101934</v>
      </c>
      <c r="MR11" t="n">
        <v>488.9151160934373</v>
      </c>
      <c r="MW11" t="n">
        <v>800</v>
      </c>
      <c r="MX11" t="n">
        <v>11.62985863251361</v>
      </c>
      <c r="NE11" t="n">
        <v>3300</v>
      </c>
      <c r="NF11" t="n">
        <v>1200</v>
      </c>
      <c r="NM11" t="n">
        <v>3464.285714285714</v>
      </c>
      <c r="NN11" t="n">
        <v>12.97912414602844</v>
      </c>
      <c r="NU11" t="n">
        <v>800</v>
      </c>
      <c r="NV11" t="n">
        <v>0.73</v>
      </c>
      <c r="NW11" t="n">
        <v>600</v>
      </c>
      <c r="NX11" t="n">
        <v>0.88</v>
      </c>
      <c r="OA11" t="n">
        <v>300</v>
      </c>
      <c r="OB11" t="n">
        <v>0.35</v>
      </c>
    </row>
    <row r="12">
      <c r="G12" t="n">
        <v>4000</v>
      </c>
      <c r="H12" t="n">
        <v>0.5</v>
      </c>
      <c r="O12" t="n">
        <v>9609.375</v>
      </c>
      <c r="P12" t="n">
        <v>22.3882548554797</v>
      </c>
      <c r="S12" t="n">
        <v>1854.545454545455</v>
      </c>
      <c r="T12" t="n">
        <v>0.75</v>
      </c>
      <c r="Y12" t="n">
        <v>2000</v>
      </c>
      <c r="Z12" t="n">
        <v>390</v>
      </c>
      <c r="AA12" t="n">
        <v>400</v>
      </c>
      <c r="AB12" t="n">
        <v>466</v>
      </c>
      <c r="AE12" t="n">
        <v>1709.090909090909</v>
      </c>
      <c r="AF12" t="n">
        <v>380</v>
      </c>
      <c r="AI12" t="n">
        <v>0.8</v>
      </c>
      <c r="AJ12" t="n">
        <v>0.8125</v>
      </c>
      <c r="AM12" t="n">
        <v>0.8</v>
      </c>
      <c r="AN12" t="n">
        <v>0.85</v>
      </c>
      <c r="AQ12" t="n">
        <v>0.8999999999999999</v>
      </c>
      <c r="AR12" t="n">
        <v>0.4</v>
      </c>
      <c r="AU12" t="n">
        <v>0.7</v>
      </c>
      <c r="AV12" t="n">
        <v>0.8</v>
      </c>
      <c r="AW12" t="n">
        <v>1781.818181818182</v>
      </c>
      <c r="AX12" t="n">
        <v>0.5</v>
      </c>
      <c r="AY12" t="n">
        <v>1127.272727272728</v>
      </c>
      <c r="AZ12" t="n">
        <v>0.5</v>
      </c>
      <c r="BG12" t="n">
        <v>497</v>
      </c>
      <c r="BH12" t="n">
        <v>0.85</v>
      </c>
      <c r="BM12" t="n">
        <v>750</v>
      </c>
      <c r="BN12" t="n">
        <v>283.15</v>
      </c>
      <c r="BO12" t="n">
        <v>225</v>
      </c>
      <c r="BP12" t="n">
        <v>278.15</v>
      </c>
      <c r="BU12" t="n">
        <v>900</v>
      </c>
      <c r="BV12" t="n">
        <v>283.15</v>
      </c>
      <c r="BW12" t="n">
        <v>150</v>
      </c>
      <c r="BX12" t="n">
        <v>293.15</v>
      </c>
      <c r="CC12" t="n">
        <v>1500</v>
      </c>
      <c r="CD12" t="n">
        <v>283.15</v>
      </c>
      <c r="CE12" t="n">
        <v>450</v>
      </c>
      <c r="CF12" t="n">
        <v>288.15</v>
      </c>
      <c r="CQ12" t="n">
        <v>300</v>
      </c>
      <c r="CR12" t="n">
        <v>283.15</v>
      </c>
      <c r="DA12" t="n">
        <v>2867.307731638073</v>
      </c>
      <c r="DB12" t="n">
        <v>683.1653366024228</v>
      </c>
      <c r="DC12" t="n">
        <v>2092.479305809892</v>
      </c>
      <c r="DD12" t="n">
        <v>1165.177264282256</v>
      </c>
      <c r="DE12" t="n">
        <v>4288.478428872939</v>
      </c>
      <c r="DF12" t="n">
        <v>355.3037031327749</v>
      </c>
      <c r="DG12" t="n">
        <v>4672.048749235894</v>
      </c>
      <c r="DH12" t="n">
        <v>383.191975871152</v>
      </c>
      <c r="DI12" t="n">
        <v>4263.532472464449</v>
      </c>
      <c r="DJ12" t="n">
        <v>1582.364931794596</v>
      </c>
      <c r="DK12" t="n">
        <v>2125.21876696368</v>
      </c>
      <c r="DL12" t="n">
        <v>1753.141243024385</v>
      </c>
      <c r="DO12" t="n">
        <v>3009.127671922412</v>
      </c>
      <c r="DP12" t="n">
        <v>2277.269043639463</v>
      </c>
      <c r="DS12" t="n">
        <v>3588.108594008968</v>
      </c>
      <c r="DT12" t="n">
        <v>490.2905799580651</v>
      </c>
      <c r="DU12" t="n">
        <v>4644.311816525058</v>
      </c>
      <c r="DV12" t="n">
        <v>1686.266109972614</v>
      </c>
      <c r="DW12" t="n">
        <v>4196.49343117344</v>
      </c>
      <c r="DX12" t="n">
        <v>1838.682028887409</v>
      </c>
      <c r="EA12" t="n">
        <v>481.7445653297842</v>
      </c>
      <c r="EB12" t="n">
        <v>0.510276150259235</v>
      </c>
      <c r="EC12" t="n">
        <v>411.1325486820402</v>
      </c>
      <c r="ED12" t="n">
        <v>0.7828972570119513</v>
      </c>
      <c r="EE12" t="n">
        <v>548.8695892001465</v>
      </c>
      <c r="EF12" t="n">
        <v>0.8470381900572979</v>
      </c>
      <c r="EI12" t="n">
        <v>560.1879232999236</v>
      </c>
      <c r="EJ12" t="n">
        <v>0.6017476361067381</v>
      </c>
      <c r="EK12" t="n">
        <v>399.9921037351105</v>
      </c>
      <c r="EL12" t="n">
        <v>0.6669622479905059</v>
      </c>
      <c r="EM12" t="n">
        <v>580.5216256422342</v>
      </c>
      <c r="EN12" t="n">
        <v>0.7858663737509292</v>
      </c>
      <c r="EQ12" t="n">
        <v>916.06004469777</v>
      </c>
      <c r="ER12" t="n">
        <v>0.740625950701035</v>
      </c>
      <c r="ES12" t="n">
        <v>1200.703591873409</v>
      </c>
      <c r="ET12" t="n">
        <v>0.7682489443718665</v>
      </c>
      <c r="EU12" t="n">
        <v>1977.78454007679</v>
      </c>
      <c r="EV12" t="n">
        <v>0.5418117246702819</v>
      </c>
      <c r="EY12" t="n">
        <v>3550.099941914199</v>
      </c>
      <c r="EZ12" t="n">
        <v>1652.537268730338</v>
      </c>
      <c r="FA12" t="n">
        <v>2143.916760886475</v>
      </c>
      <c r="FB12" t="n">
        <v>1207.774752618301</v>
      </c>
      <c r="FC12" t="n">
        <v>4390.619788250367</v>
      </c>
      <c r="FD12" t="n">
        <v>1508.955169217455</v>
      </c>
      <c r="FE12" t="n">
        <v>400</v>
      </c>
      <c r="FF12" t="n">
        <v>0.875</v>
      </c>
      <c r="FG12" t="n">
        <v>392.5</v>
      </c>
      <c r="FH12" t="n">
        <v>0.875</v>
      </c>
      <c r="FI12" t="n">
        <v>387.5</v>
      </c>
      <c r="FJ12" t="n">
        <v>0.85</v>
      </c>
      <c r="FK12" t="n">
        <v>385</v>
      </c>
      <c r="FL12" t="n">
        <v>0.95</v>
      </c>
      <c r="FM12" t="n">
        <v>3481.823024523768</v>
      </c>
      <c r="FN12" t="n">
        <v>808.3402577390962</v>
      </c>
      <c r="FO12" t="n">
        <v>4081.823024523768</v>
      </c>
      <c r="FP12" t="n">
        <v>588.3402577390962</v>
      </c>
      <c r="FU12" t="n">
        <v>3000</v>
      </c>
      <c r="FV12" t="n">
        <v>393.75</v>
      </c>
      <c r="FW12" t="n">
        <v>3000</v>
      </c>
      <c r="FX12" t="n">
        <v>393.75</v>
      </c>
      <c r="GC12" t="n">
        <v>3905.950043184831</v>
      </c>
      <c r="GD12" t="n">
        <v>1359.556702008076</v>
      </c>
      <c r="GE12" t="n">
        <v>4805.950043184831</v>
      </c>
      <c r="GF12" t="n">
        <v>1139.556702008077</v>
      </c>
      <c r="GK12" t="n">
        <v>391</v>
      </c>
      <c r="GL12" t="n">
        <v>0.5</v>
      </c>
      <c r="GM12" t="n">
        <v>415</v>
      </c>
      <c r="GN12" t="n">
        <v>0.5</v>
      </c>
      <c r="GS12" t="n">
        <v>4808.3419580395</v>
      </c>
      <c r="GT12" t="n">
        <v>1242.274389807265</v>
      </c>
      <c r="GU12" t="n">
        <v>4808.3419580395</v>
      </c>
      <c r="GV12" t="n">
        <v>1022.274389807265</v>
      </c>
      <c r="HA12" t="n">
        <v>3655.031570453786</v>
      </c>
      <c r="HB12" t="n">
        <v>2494.528668778344</v>
      </c>
      <c r="HK12" t="n">
        <v>4726.033652839031</v>
      </c>
      <c r="HL12" t="n">
        <v>754.6477954238487</v>
      </c>
      <c r="HO12" t="n">
        <v>2814.023854074508</v>
      </c>
      <c r="HP12" t="n">
        <v>1986.555070035975</v>
      </c>
      <c r="HQ12" t="n">
        <v>4670.393760880702</v>
      </c>
      <c r="HR12" t="n">
        <v>1507.437284689314</v>
      </c>
      <c r="HS12" t="n">
        <v>2546.427473513349</v>
      </c>
      <c r="HT12" t="n">
        <v>1231.011936004369</v>
      </c>
      <c r="HW12" t="n">
        <v>2648.979055057025</v>
      </c>
      <c r="HX12" t="n">
        <v>1025.944283185189</v>
      </c>
      <c r="HY12" t="n">
        <v>1533.88130783315</v>
      </c>
      <c r="HZ12" t="n">
        <v>456.9039274510153</v>
      </c>
      <c r="IA12" t="n">
        <v>810.8164882192822</v>
      </c>
      <c r="IB12" t="n">
        <v>384.5694869936626</v>
      </c>
      <c r="IC12" t="n">
        <v>425.2422184044962</v>
      </c>
      <c r="ID12" t="n">
        <v>457.6375423021771</v>
      </c>
      <c r="IE12" t="n">
        <v>571.3266652407717</v>
      </c>
      <c r="IF12" t="n">
        <v>453.6559663386892</v>
      </c>
      <c r="II12" t="n">
        <v>3569.097971124022</v>
      </c>
      <c r="IJ12" t="n">
        <v>401.7916221389685</v>
      </c>
      <c r="IK12" t="n">
        <v>3967.206690253421</v>
      </c>
      <c r="IL12" t="n">
        <v>412.8645710566837</v>
      </c>
      <c r="IM12" t="n">
        <v>4378.326200045492</v>
      </c>
      <c r="IN12" t="n">
        <v>519.3204535529295</v>
      </c>
      <c r="IO12" t="n">
        <v>3058.337191580531</v>
      </c>
      <c r="IP12" t="n">
        <v>1593.096838046561</v>
      </c>
      <c r="IQ12" t="n">
        <v>4021.371061876487</v>
      </c>
      <c r="IR12" t="n">
        <v>1175.322466519521</v>
      </c>
      <c r="IS12" t="n">
        <v>3878.218830763285</v>
      </c>
      <c r="IT12" t="n">
        <v>672.3065143160121</v>
      </c>
      <c r="IU12" t="n">
        <v>2942.177081784665</v>
      </c>
      <c r="IV12" t="n">
        <v>997.7980931354772</v>
      </c>
      <c r="IW12" t="n">
        <v>3057.492396239742</v>
      </c>
      <c r="IX12" t="n">
        <v>339.6265225931504</v>
      </c>
      <c r="IY12" t="n">
        <v>3121.726987190854</v>
      </c>
      <c r="IZ12" t="n">
        <v>1272.391375923408</v>
      </c>
      <c r="JA12" t="n">
        <v>3219.157230298875</v>
      </c>
      <c r="JB12" t="n">
        <v>316.7837165229907</v>
      </c>
      <c r="JC12" t="n">
        <v>4780.326282917396</v>
      </c>
      <c r="JD12" t="n">
        <v>1118.445742127429</v>
      </c>
      <c r="JG12" t="n">
        <v>2159.095452385817</v>
      </c>
      <c r="JH12" t="n">
        <v>433.9598628781944</v>
      </c>
      <c r="JM12" t="n">
        <v>4186.991999944916</v>
      </c>
      <c r="JN12" t="n">
        <v>1943.5031899449</v>
      </c>
      <c r="JO12" t="n">
        <v>3357.945701729038</v>
      </c>
      <c r="JP12" t="n">
        <v>1668.232065584594</v>
      </c>
      <c r="JU12" t="n">
        <v>1253.176525495383</v>
      </c>
      <c r="JV12" t="n">
        <v>419.7386233112704</v>
      </c>
      <c r="JW12" t="n">
        <v>1174.035676282562</v>
      </c>
      <c r="JX12" t="n">
        <v>491.1154279164176</v>
      </c>
      <c r="KE12" t="n">
        <v>2575.5381108432</v>
      </c>
      <c r="KF12" t="n">
        <v>479.2412230211003</v>
      </c>
      <c r="KM12" t="n">
        <v>3551.840942901951</v>
      </c>
      <c r="KN12" t="n">
        <v>753.4128093383404</v>
      </c>
      <c r="KU12" t="n">
        <v>1353.558019845526</v>
      </c>
      <c r="KV12" t="n">
        <v>0.6885105735571986</v>
      </c>
      <c r="KY12" t="n">
        <v>1541.091075198467</v>
      </c>
      <c r="KZ12" t="n">
        <v>0.4313822375835836</v>
      </c>
      <c r="LA12" t="n">
        <v>1877.249155520586</v>
      </c>
      <c r="LB12" t="n">
        <v>417.4916292043406</v>
      </c>
      <c r="LC12" t="n">
        <v>1037.372103291976</v>
      </c>
      <c r="LD12" t="n">
        <v>505.5261716610652</v>
      </c>
      <c r="LK12" t="n">
        <v>419.7625571431697</v>
      </c>
      <c r="LL12" t="n">
        <v>0.7156617181076568</v>
      </c>
      <c r="LS12" t="n">
        <v>1867.016033793606</v>
      </c>
      <c r="LT12" t="n">
        <v>478.7605301350765</v>
      </c>
      <c r="ME12" t="n">
        <v>1717.474070042474</v>
      </c>
      <c r="MF12" t="n">
        <v>281.7904773818584</v>
      </c>
      <c r="MI12" t="n">
        <v>422.6088328668493</v>
      </c>
      <c r="MJ12" t="n">
        <v>295.8292784193837</v>
      </c>
      <c r="MQ12" t="n">
        <v>1673.725717728535</v>
      </c>
      <c r="MR12" t="n">
        <v>459.9856876142608</v>
      </c>
      <c r="MW12" t="n">
        <v>850</v>
      </c>
      <c r="MX12" t="n">
        <v>11.17164861327897</v>
      </c>
      <c r="NE12" t="n">
        <v>3300</v>
      </c>
      <c r="NF12" t="n">
        <v>1250</v>
      </c>
      <c r="NM12" t="n">
        <v>3678.571428571429</v>
      </c>
      <c r="NN12" t="n">
        <v>13.14655072772617</v>
      </c>
      <c r="NU12" t="n">
        <v>900</v>
      </c>
      <c r="NV12" t="n">
        <v>0.73</v>
      </c>
      <c r="NW12" t="n">
        <v>700</v>
      </c>
      <c r="NX12" t="n">
        <v>0.88</v>
      </c>
      <c r="OA12" t="n">
        <v>500</v>
      </c>
      <c r="OB12" t="n">
        <v>0.35</v>
      </c>
    </row>
    <row r="13">
      <c r="G13" t="n">
        <v>3000</v>
      </c>
      <c r="H13" t="n">
        <v>0.45</v>
      </c>
      <c r="O13" t="n">
        <v>5414.0625</v>
      </c>
      <c r="P13" t="n">
        <v>24.41055726093833</v>
      </c>
      <c r="S13" t="n">
        <v>2000</v>
      </c>
      <c r="T13" t="n">
        <v>0.75</v>
      </c>
      <c r="Y13" t="n">
        <v>690.909090909091</v>
      </c>
      <c r="Z13" t="n">
        <v>403</v>
      </c>
      <c r="AA13" t="n">
        <v>545.4545454545455</v>
      </c>
      <c r="AB13" t="n">
        <v>466</v>
      </c>
      <c r="AE13" t="n">
        <v>2000</v>
      </c>
      <c r="AF13" t="n">
        <v>380</v>
      </c>
      <c r="AI13" t="n">
        <v>0.8</v>
      </c>
      <c r="AJ13" t="n">
        <v>0.7124999999999999</v>
      </c>
      <c r="AM13" t="n">
        <v>0.8</v>
      </c>
      <c r="AN13" t="n">
        <v>0.85</v>
      </c>
      <c r="AQ13" t="n">
        <v>0.95</v>
      </c>
      <c r="AR13" t="n">
        <v>0.4</v>
      </c>
      <c r="AU13" t="n">
        <v>0.95</v>
      </c>
      <c r="AV13" t="n">
        <v>0.8</v>
      </c>
      <c r="AW13" t="n">
        <v>1745.454545454545</v>
      </c>
      <c r="AX13" t="n">
        <v>0.5</v>
      </c>
      <c r="AY13" t="n">
        <v>1418.181818181818</v>
      </c>
      <c r="AZ13" t="n">
        <v>0.5</v>
      </c>
      <c r="BG13" t="n">
        <v>497</v>
      </c>
      <c r="BH13" t="n">
        <v>0.95</v>
      </c>
      <c r="BM13" t="n">
        <v>600</v>
      </c>
      <c r="BN13" t="n">
        <v>283.15</v>
      </c>
      <c r="BO13" t="n">
        <v>225</v>
      </c>
      <c r="BP13" t="n">
        <v>278.15</v>
      </c>
      <c r="BU13" t="n">
        <v>1050</v>
      </c>
      <c r="BV13" t="n">
        <v>283.15</v>
      </c>
      <c r="BW13" t="n">
        <v>600</v>
      </c>
      <c r="BX13" t="n">
        <v>293.15</v>
      </c>
      <c r="CC13" t="n">
        <v>1050</v>
      </c>
      <c r="CD13" t="n">
        <v>288.15</v>
      </c>
      <c r="CE13" t="n">
        <v>600</v>
      </c>
      <c r="CF13" t="n">
        <v>288.15</v>
      </c>
      <c r="CQ13" t="n">
        <v>150</v>
      </c>
      <c r="CR13" t="n">
        <v>283.15</v>
      </c>
      <c r="DA13" t="n">
        <v>2017.489853570583</v>
      </c>
      <c r="DB13" t="n">
        <v>1032.654294721409</v>
      </c>
      <c r="DC13" t="n">
        <v>4360.074008942871</v>
      </c>
      <c r="DD13" t="n">
        <v>1363.548173592592</v>
      </c>
      <c r="DE13" t="n">
        <v>2718.161587507432</v>
      </c>
      <c r="DF13" t="n">
        <v>342.6957805016876</v>
      </c>
      <c r="DG13" t="n">
        <v>3791.102007697985</v>
      </c>
      <c r="DH13" t="n">
        <v>534.8492103782486</v>
      </c>
      <c r="DI13" t="n">
        <v>3249.398768663742</v>
      </c>
      <c r="DJ13" t="n">
        <v>2388.225783663329</v>
      </c>
      <c r="DK13" t="n">
        <v>3603.148231836606</v>
      </c>
      <c r="DL13" t="n">
        <v>1554.410313131391</v>
      </c>
      <c r="DO13" t="n">
        <v>4417.862688953663</v>
      </c>
      <c r="DP13" t="n">
        <v>2364.181691464377</v>
      </c>
      <c r="DS13" t="n">
        <v>4755.814469643531</v>
      </c>
      <c r="DT13" t="n">
        <v>608.8707001076673</v>
      </c>
      <c r="DU13" t="n">
        <v>4131.499397817609</v>
      </c>
      <c r="DV13" t="n">
        <v>1523.765601358319</v>
      </c>
      <c r="DW13" t="n">
        <v>2135.608310660421</v>
      </c>
      <c r="DX13" t="n">
        <v>1348.736493880329</v>
      </c>
      <c r="EA13" t="n">
        <v>432.9542778106157</v>
      </c>
      <c r="EB13" t="n">
        <v>0.5202835062581552</v>
      </c>
      <c r="EC13" t="n">
        <v>523.9819856373858</v>
      </c>
      <c r="ED13" t="n">
        <v>0.8028303783147472</v>
      </c>
      <c r="EE13" t="n">
        <v>554.810872548677</v>
      </c>
      <c r="EF13" t="n">
        <v>0.7524655074163449</v>
      </c>
      <c r="EI13" t="n">
        <v>622.4010394842219</v>
      </c>
      <c r="EJ13" t="n">
        <v>0.6419150260040939</v>
      </c>
      <c r="EK13" t="n">
        <v>511.6530648390957</v>
      </c>
      <c r="EL13" t="n">
        <v>0.5423293022789694</v>
      </c>
      <c r="EM13" t="n">
        <v>603.558795625764</v>
      </c>
      <c r="EN13" t="n">
        <v>0.7072519127096381</v>
      </c>
      <c r="EQ13" t="n">
        <v>640.6983780778833</v>
      </c>
      <c r="ER13" t="n">
        <v>0.5847003517216997</v>
      </c>
      <c r="ES13" t="n">
        <v>580.1788294625379</v>
      </c>
      <c r="ET13" t="n">
        <v>0.7034438483267513</v>
      </c>
      <c r="EU13" t="n">
        <v>1838.875486340434</v>
      </c>
      <c r="EV13" t="n">
        <v>0.6761676545405224</v>
      </c>
      <c r="EY13" t="n">
        <v>2448.353776692386</v>
      </c>
      <c r="EZ13" t="n">
        <v>1180.898565539892</v>
      </c>
      <c r="FA13" t="n">
        <v>2469.131631958141</v>
      </c>
      <c r="FB13" t="n">
        <v>206.1261602277809</v>
      </c>
      <c r="FC13" t="n">
        <v>4277.63890933803</v>
      </c>
      <c r="FD13" t="n">
        <v>1607.875625516594</v>
      </c>
      <c r="FE13" t="n">
        <v>395</v>
      </c>
      <c r="FF13" t="n">
        <v>0.875</v>
      </c>
      <c r="FG13" t="n">
        <v>395</v>
      </c>
      <c r="FH13" t="n">
        <v>0.875</v>
      </c>
      <c r="FI13" t="n">
        <v>387.5</v>
      </c>
      <c r="FJ13" t="n">
        <v>0.875</v>
      </c>
      <c r="FK13" t="n">
        <v>385</v>
      </c>
      <c r="FL13" t="n">
        <v>0.85</v>
      </c>
      <c r="FM13" t="n">
        <v>3481.823024523768</v>
      </c>
      <c r="FN13" t="n">
        <v>808.3402577390962</v>
      </c>
      <c r="FO13" t="n">
        <v>4081.823024523768</v>
      </c>
      <c r="FP13" t="n">
        <v>808.3402577390962</v>
      </c>
      <c r="FU13" t="n">
        <v>3300</v>
      </c>
      <c r="FV13" t="n">
        <v>393.75</v>
      </c>
      <c r="FW13" t="n">
        <v>2700</v>
      </c>
      <c r="FX13" t="n">
        <v>393.75</v>
      </c>
      <c r="GC13" t="n">
        <v>3905.950043184831</v>
      </c>
      <c r="GD13" t="n">
        <v>1359.556702008076</v>
      </c>
      <c r="GE13" t="n">
        <v>4805.950043184831</v>
      </c>
      <c r="GF13" t="n">
        <v>1359.556702008076</v>
      </c>
      <c r="GK13" t="n">
        <v>403</v>
      </c>
      <c r="GL13" t="n">
        <v>0.5</v>
      </c>
      <c r="GM13" t="n">
        <v>415</v>
      </c>
      <c r="GN13" t="n">
        <v>0.5</v>
      </c>
      <c r="GS13" t="n">
        <v>4808.3419580395</v>
      </c>
      <c r="GT13" t="n">
        <v>1242.274389807265</v>
      </c>
      <c r="GU13" t="n">
        <v>4808.3419580395</v>
      </c>
      <c r="GV13" t="n">
        <v>1022.274389807265</v>
      </c>
      <c r="HA13" t="n">
        <v>3000</v>
      </c>
      <c r="HB13" t="n">
        <v>1318.181818182</v>
      </c>
      <c r="HK13" t="n">
        <v>4249.352520245335</v>
      </c>
      <c r="HL13" t="n">
        <v>791.5706727882837</v>
      </c>
      <c r="HO13" t="n">
        <v>4025.23753845948</v>
      </c>
      <c r="HP13" t="n">
        <v>482.3688918381482</v>
      </c>
      <c r="HQ13" t="n">
        <v>4525.330159991379</v>
      </c>
      <c r="HR13" t="n">
        <v>1172.623008269752</v>
      </c>
      <c r="HS13" t="n">
        <v>3929.246794813761</v>
      </c>
      <c r="HT13" t="n">
        <v>449.7758760806946</v>
      </c>
      <c r="HY13" t="n">
        <v>1827.003218437072</v>
      </c>
      <c r="HZ13" t="n">
        <v>466.0846911558333</v>
      </c>
      <c r="IA13" t="n">
        <v>1512.759760634953</v>
      </c>
      <c r="IB13" t="n">
        <v>476.9358411541235</v>
      </c>
      <c r="IC13" t="n">
        <v>930.3616644320319</v>
      </c>
      <c r="ID13" t="n">
        <v>419.0908816268112</v>
      </c>
      <c r="IE13" t="n">
        <v>1051.821651361846</v>
      </c>
      <c r="IF13" t="n">
        <v>454.8716555480336</v>
      </c>
      <c r="II13" t="n">
        <v>2617.423527942186</v>
      </c>
      <c r="IJ13" t="n">
        <v>490.4881864516277</v>
      </c>
      <c r="IK13" t="n">
        <v>2128.953465360065</v>
      </c>
      <c r="IL13" t="n">
        <v>432.2083811568599</v>
      </c>
      <c r="IM13" t="n">
        <v>4064.44307867158</v>
      </c>
      <c r="IN13" t="n">
        <v>459.6204271361721</v>
      </c>
      <c r="IO13" t="n">
        <v>4472.833389966878</v>
      </c>
      <c r="IP13" t="n">
        <v>1645.30079558632</v>
      </c>
      <c r="IQ13" t="n">
        <v>3896.677264534047</v>
      </c>
      <c r="IR13" t="n">
        <v>1238.918362388021</v>
      </c>
      <c r="IS13" t="n">
        <v>4650.545032108495</v>
      </c>
      <c r="IT13" t="n">
        <v>1537.733621007257</v>
      </c>
      <c r="IU13" t="n">
        <v>4045.936587590028</v>
      </c>
      <c r="IV13" t="n">
        <v>1062.208580356526</v>
      </c>
      <c r="IW13" t="n">
        <v>3484.970563642958</v>
      </c>
      <c r="IX13" t="n">
        <v>1360.982945596113</v>
      </c>
      <c r="IY13" t="n">
        <v>3552.928860099447</v>
      </c>
      <c r="IZ13" t="n">
        <v>844.6524134694927</v>
      </c>
      <c r="JA13" t="n">
        <v>4572.470087394429</v>
      </c>
      <c r="JB13" t="n">
        <v>1980.447283758768</v>
      </c>
      <c r="JC13" t="n">
        <v>4977.250296854674</v>
      </c>
      <c r="JD13" t="n">
        <v>1318.117509449084</v>
      </c>
      <c r="JG13" t="n">
        <v>4487.133998989706</v>
      </c>
      <c r="JH13" t="n">
        <v>340.4030369757352</v>
      </c>
      <c r="JO13" t="n">
        <v>4359.472906202879</v>
      </c>
      <c r="JP13" t="n">
        <v>365.6025233828052</v>
      </c>
      <c r="JW13" t="n">
        <v>870.1208576505218</v>
      </c>
      <c r="JX13" t="n">
        <v>447.3496849470444</v>
      </c>
      <c r="KE13" t="n">
        <v>4161.037717792</v>
      </c>
      <c r="KF13" t="n">
        <v>427.1330725866992</v>
      </c>
      <c r="KM13" t="n">
        <v>3435.191541626027</v>
      </c>
      <c r="KN13" t="n">
        <v>365.9291792650892</v>
      </c>
      <c r="KU13" t="n">
        <v>794.7328802754308</v>
      </c>
      <c r="KV13" t="n">
        <v>0.618385253579259</v>
      </c>
      <c r="LA13" t="n">
        <v>1168.972064652047</v>
      </c>
      <c r="LB13" t="n">
        <v>449.8468585631778</v>
      </c>
      <c r="LC13" t="n">
        <v>1708.643273353171</v>
      </c>
      <c r="LD13" t="n">
        <v>481.6444653961746</v>
      </c>
      <c r="LK13" t="n">
        <v>409.158102458818</v>
      </c>
      <c r="LL13" t="n">
        <v>0.5051645441881089</v>
      </c>
      <c r="LS13" t="n">
        <v>786.8918230945505</v>
      </c>
      <c r="LT13" t="n">
        <v>511.7826663865458</v>
      </c>
      <c r="ME13" t="n">
        <v>1852.805994094304</v>
      </c>
      <c r="MF13" t="n">
        <v>298.4209622395828</v>
      </c>
      <c r="MI13" t="n">
        <v>486.4233726973992</v>
      </c>
      <c r="MJ13" t="n">
        <v>296.5457566767763</v>
      </c>
      <c r="MQ13" t="n">
        <v>1541.785108758292</v>
      </c>
      <c r="MR13" t="n">
        <v>511.7636181699425</v>
      </c>
      <c r="MW13" t="n">
        <v>850</v>
      </c>
      <c r="MX13" t="n">
        <v>11.17164861327897</v>
      </c>
      <c r="NE13" t="n">
        <v>3300</v>
      </c>
      <c r="NF13" t="n">
        <v>1250</v>
      </c>
      <c r="NM13" t="n">
        <v>3571.428571428572</v>
      </c>
      <c r="NN13" t="n">
        <v>13.10002265725447</v>
      </c>
      <c r="NU13" t="n">
        <v>600</v>
      </c>
      <c r="NV13" t="n">
        <v>0.73</v>
      </c>
      <c r="NW13" t="n">
        <v>500</v>
      </c>
      <c r="NX13" t="n">
        <v>0.88</v>
      </c>
      <c r="OA13" t="n">
        <v>700</v>
      </c>
      <c r="OB13" t="n">
        <v>0.35</v>
      </c>
    </row>
    <row r="14">
      <c r="G14" t="n">
        <v>3000</v>
      </c>
      <c r="H14" t="n">
        <v>0.5</v>
      </c>
      <c r="O14" t="n">
        <v>9617.1875</v>
      </c>
      <c r="P14" t="n">
        <v>22.39113791258745</v>
      </c>
      <c r="S14" t="n">
        <v>400</v>
      </c>
      <c r="T14" t="n">
        <v>0.78</v>
      </c>
      <c r="Y14" t="n">
        <v>836.3636363636364</v>
      </c>
      <c r="Z14" t="n">
        <v>403</v>
      </c>
      <c r="AA14" t="n">
        <v>690.909090909091</v>
      </c>
      <c r="AB14" t="n">
        <v>466</v>
      </c>
      <c r="AE14" t="n">
        <v>1854.545454545455</v>
      </c>
      <c r="AF14" t="n">
        <v>434</v>
      </c>
      <c r="AI14" t="n">
        <v>0.8</v>
      </c>
      <c r="AJ14" t="n">
        <v>0.6625000000000001</v>
      </c>
      <c r="AM14" t="n">
        <v>0.8</v>
      </c>
      <c r="AN14" t="n">
        <v>0.85</v>
      </c>
      <c r="AQ14" t="n">
        <v>0.45</v>
      </c>
      <c r="AR14" t="n">
        <v>0.5</v>
      </c>
      <c r="AW14" t="n">
        <v>1745.454545454545</v>
      </c>
      <c r="AX14" t="n">
        <v>0.5</v>
      </c>
      <c r="AY14" t="n">
        <v>1272.727272727273</v>
      </c>
      <c r="AZ14" t="n">
        <v>0.5</v>
      </c>
      <c r="BG14" t="n">
        <v>529</v>
      </c>
      <c r="BH14" t="n">
        <v>0.85</v>
      </c>
      <c r="BM14" t="n">
        <v>900</v>
      </c>
      <c r="BN14" t="n">
        <v>283.15</v>
      </c>
      <c r="BO14" t="n">
        <v>375</v>
      </c>
      <c r="BP14" t="n">
        <v>288.15</v>
      </c>
      <c r="BU14" t="n">
        <v>1200</v>
      </c>
      <c r="BV14" t="n">
        <v>283.15</v>
      </c>
      <c r="BW14" t="n">
        <v>450</v>
      </c>
      <c r="BX14" t="n">
        <v>300.032917</v>
      </c>
      <c r="CC14" t="n">
        <v>1200</v>
      </c>
      <c r="CD14" t="n">
        <v>288.15</v>
      </c>
      <c r="CE14" t="n">
        <v>750</v>
      </c>
      <c r="CF14" t="n">
        <v>288.15</v>
      </c>
      <c r="CQ14" t="n">
        <v>450</v>
      </c>
      <c r="CR14" t="n">
        <v>283.15</v>
      </c>
      <c r="DA14" t="n">
        <v>3704.873890662413</v>
      </c>
      <c r="DB14" t="n">
        <v>920.1414585720509</v>
      </c>
      <c r="DC14" t="n">
        <v>2419.567795477219</v>
      </c>
      <c r="DD14" t="n">
        <v>376.8283965048228</v>
      </c>
      <c r="DE14" t="n">
        <v>4578.160932061923</v>
      </c>
      <c r="DF14" t="n">
        <v>1366.330640150393</v>
      </c>
      <c r="DG14" t="n">
        <v>3094.081869472642</v>
      </c>
      <c r="DH14" t="n">
        <v>1098.026134950806</v>
      </c>
      <c r="DI14" t="n">
        <v>4304.651575714825</v>
      </c>
      <c r="DJ14" t="n">
        <v>1828.38697782563</v>
      </c>
      <c r="DK14" t="n">
        <v>4044.630274312575</v>
      </c>
      <c r="DL14" t="n">
        <v>1665.899964438849</v>
      </c>
      <c r="DO14" t="n">
        <v>4140.245017775569</v>
      </c>
      <c r="DP14" t="n">
        <v>1838.423774081167</v>
      </c>
      <c r="DS14" t="n">
        <v>3666.406637789724</v>
      </c>
      <c r="DT14" t="n">
        <v>1028.405540952065</v>
      </c>
      <c r="DU14" t="n">
        <v>4933.020325681136</v>
      </c>
      <c r="DV14" t="n">
        <v>1753.39886313524</v>
      </c>
      <c r="DW14" t="n">
        <v>4215.066671871465</v>
      </c>
      <c r="DX14" t="n">
        <v>1569.905076069427</v>
      </c>
      <c r="EA14" t="n">
        <v>435.4917432016901</v>
      </c>
      <c r="EB14" t="n">
        <v>0.5548135933439685</v>
      </c>
      <c r="EC14" t="n">
        <v>394.8340123475605</v>
      </c>
      <c r="ED14" t="n">
        <v>0.8335190713880336</v>
      </c>
      <c r="EE14" t="n">
        <v>531.9871489560807</v>
      </c>
      <c r="EF14" t="n">
        <v>0.6023347032038878</v>
      </c>
      <c r="EI14" t="n">
        <v>457.2216577442974</v>
      </c>
      <c r="EJ14" t="n">
        <v>0.5171261458375973</v>
      </c>
      <c r="EK14" t="n">
        <v>408.9186276777468</v>
      </c>
      <c r="EL14" t="n">
        <v>0.8466827357352771</v>
      </c>
      <c r="EM14" t="n">
        <v>598.2844996976714</v>
      </c>
      <c r="EN14" t="n">
        <v>0.6473094900047327</v>
      </c>
      <c r="EQ14" t="n">
        <v>1632.870834697738</v>
      </c>
      <c r="ER14" t="n">
        <v>0.814341071631254</v>
      </c>
      <c r="ES14" t="n">
        <v>812.5008930628838</v>
      </c>
      <c r="ET14" t="n">
        <v>0.5768901093721096</v>
      </c>
      <c r="EU14" t="n">
        <v>393.8492497318071</v>
      </c>
      <c r="EV14" t="n">
        <v>0.6531644423108921</v>
      </c>
      <c r="EY14" t="n">
        <v>4726.106434645086</v>
      </c>
      <c r="EZ14" t="n">
        <v>308.3387227645604</v>
      </c>
      <c r="FA14" t="n">
        <v>3175.444603241543</v>
      </c>
      <c r="FB14" t="n">
        <v>1831.310600185678</v>
      </c>
      <c r="FC14" t="n">
        <v>3266.690846925424</v>
      </c>
      <c r="FD14" t="n">
        <v>1873.264629785208</v>
      </c>
      <c r="FE14" t="n">
        <v>397.5</v>
      </c>
      <c r="FF14" t="n">
        <v>0.875</v>
      </c>
      <c r="FG14" t="n">
        <v>397.5</v>
      </c>
      <c r="FH14" t="n">
        <v>0.875</v>
      </c>
      <c r="FI14" t="n">
        <v>387.5</v>
      </c>
      <c r="FJ14" t="n">
        <v>0.9</v>
      </c>
      <c r="FK14" t="n">
        <v>385</v>
      </c>
      <c r="FL14" t="n">
        <v>0.875</v>
      </c>
      <c r="FM14" t="n">
        <v>3481.823024523768</v>
      </c>
      <c r="FN14" t="n">
        <v>808.3402577390962</v>
      </c>
      <c r="FO14" t="n">
        <v>4081.823024523768</v>
      </c>
      <c r="FP14" t="n">
        <v>808.3402577390962</v>
      </c>
      <c r="FU14" t="n">
        <v>3000</v>
      </c>
      <c r="FV14" t="n">
        <v>613.75</v>
      </c>
      <c r="FW14" t="n">
        <v>3000</v>
      </c>
      <c r="FX14" t="n">
        <v>300</v>
      </c>
      <c r="GC14" t="n">
        <v>3905.950043184831</v>
      </c>
      <c r="GD14" t="n">
        <v>1359.556702008076</v>
      </c>
      <c r="GE14" t="n">
        <v>5000</v>
      </c>
      <c r="GF14" t="n">
        <v>1139.556702008077</v>
      </c>
      <c r="GK14" t="n">
        <v>403</v>
      </c>
      <c r="GL14" t="n">
        <v>0.5</v>
      </c>
      <c r="GM14" t="n">
        <v>415</v>
      </c>
      <c r="GN14" t="n">
        <v>0.5</v>
      </c>
      <c r="GS14" t="n">
        <v>4808.3419580395</v>
      </c>
      <c r="GT14" t="n">
        <v>1242.274389807265</v>
      </c>
      <c r="GU14" t="n">
        <v>5000</v>
      </c>
      <c r="GV14" t="n">
        <v>1022.274389807265</v>
      </c>
      <c r="HA14" t="n">
        <v>3000</v>
      </c>
      <c r="HB14" t="n">
        <v>400</v>
      </c>
      <c r="HK14" t="n">
        <v>2192.954405603475</v>
      </c>
      <c r="HL14" t="n">
        <v>843.5311414560701</v>
      </c>
      <c r="HO14" t="n">
        <v>3450.612725839125</v>
      </c>
      <c r="HP14" t="n">
        <v>523.4048598302581</v>
      </c>
      <c r="HQ14" t="n">
        <v>4133.258208888376</v>
      </c>
      <c r="HR14" t="n">
        <v>1776.048017116953</v>
      </c>
      <c r="HS14" t="n">
        <v>2664.852531419473</v>
      </c>
      <c r="HT14" t="n">
        <v>576.2161850110388</v>
      </c>
      <c r="HY14" t="n">
        <v>808.6670641300472</v>
      </c>
      <c r="HZ14" t="n">
        <v>451.8993168234729</v>
      </c>
      <c r="IA14" t="n">
        <v>619.3500639882202</v>
      </c>
      <c r="IB14" t="n">
        <v>434.3082040064433</v>
      </c>
      <c r="IC14" t="n">
        <v>1570.295423895149</v>
      </c>
      <c r="ID14" t="n">
        <v>437.9799830441789</v>
      </c>
      <c r="II14" t="n">
        <v>2194.537317821811</v>
      </c>
      <c r="IJ14" t="n">
        <v>496.8010019004818</v>
      </c>
      <c r="IK14" t="n">
        <v>4513.141360580828</v>
      </c>
      <c r="IL14" t="n">
        <v>406.0581936953308</v>
      </c>
      <c r="IM14" t="n">
        <v>4125.872100476126</v>
      </c>
      <c r="IN14" t="n">
        <v>416.6295865040372</v>
      </c>
      <c r="IO14" t="n">
        <v>2603.392779053732</v>
      </c>
      <c r="IP14" t="n">
        <v>1732.970468452583</v>
      </c>
      <c r="IQ14" t="n">
        <v>4710.1332259643</v>
      </c>
      <c r="IR14" t="n">
        <v>1096.170084194367</v>
      </c>
      <c r="IS14" t="n">
        <v>2743.677821718397</v>
      </c>
      <c r="IT14" t="n">
        <v>486.3362687144723</v>
      </c>
      <c r="IW14" t="n">
        <v>2210.305283119559</v>
      </c>
      <c r="IX14" t="n">
        <v>1575.470974502311</v>
      </c>
      <c r="IY14" t="n">
        <v>3796.653703349325</v>
      </c>
      <c r="IZ14" t="n">
        <v>789.9193878655325</v>
      </c>
      <c r="JA14" t="n">
        <v>2136.799810798375</v>
      </c>
      <c r="JB14" t="n">
        <v>1097.232491544368</v>
      </c>
      <c r="JC14" t="n">
        <v>4467.211265641747</v>
      </c>
      <c r="JD14" t="n">
        <v>1178.860375509349</v>
      </c>
      <c r="JG14" t="n">
        <v>4601.439784400383</v>
      </c>
      <c r="JH14" t="n">
        <v>1122.176050554847</v>
      </c>
      <c r="JO14" t="n">
        <v>2688.599849030285</v>
      </c>
      <c r="JP14" t="n">
        <v>1227.7110090909</v>
      </c>
      <c r="JW14" t="n">
        <v>1098.71923086451</v>
      </c>
      <c r="JX14" t="n">
        <v>495.0420625336922</v>
      </c>
      <c r="KE14" t="n">
        <v>2447.915839875184</v>
      </c>
      <c r="KF14" t="n">
        <v>513.1367013648477</v>
      </c>
      <c r="KU14" t="n">
        <v>1737.290088710322</v>
      </c>
      <c r="KV14" t="n">
        <v>0.6543449480160415</v>
      </c>
      <c r="LA14" t="n">
        <v>518.2145314450344</v>
      </c>
      <c r="LB14" t="n">
        <v>397.2229795035859</v>
      </c>
      <c r="LC14" t="n">
        <v>927.7683686426742</v>
      </c>
      <c r="LD14" t="n">
        <v>512.8375741212046</v>
      </c>
      <c r="LK14" t="n">
        <v>430.6376396131223</v>
      </c>
      <c r="LL14" t="n">
        <v>0.6442903640198739</v>
      </c>
      <c r="LS14" t="n">
        <v>858.9673160119066</v>
      </c>
      <c r="LT14" t="n">
        <v>466.8205710717011</v>
      </c>
      <c r="ME14" t="n">
        <v>1208.48029957731</v>
      </c>
      <c r="MF14" t="n">
        <v>279.5275508098845</v>
      </c>
      <c r="MI14" t="n">
        <v>476.2918869456088</v>
      </c>
      <c r="MJ14" t="n">
        <v>289.413242244652</v>
      </c>
      <c r="MQ14" t="n">
        <v>717.2352426107402</v>
      </c>
      <c r="MR14" t="n">
        <v>433.5568282427129</v>
      </c>
      <c r="MW14" t="n">
        <v>900</v>
      </c>
      <c r="MX14" t="n">
        <v>10.73610439817951</v>
      </c>
      <c r="NE14" t="n">
        <v>3300</v>
      </c>
      <c r="NF14" t="n">
        <v>1200</v>
      </c>
      <c r="NU14" t="n">
        <v>1000</v>
      </c>
      <c r="NV14" t="n">
        <v>0.73</v>
      </c>
      <c r="NW14" t="n">
        <v>500</v>
      </c>
      <c r="NX14" t="n">
        <v>0.91</v>
      </c>
      <c r="OA14" t="n">
        <v>600</v>
      </c>
      <c r="OB14" t="n">
        <v>0.4</v>
      </c>
    </row>
    <row r="15">
      <c r="G15" t="n">
        <v>3000</v>
      </c>
      <c r="H15" t="n">
        <v>0.55</v>
      </c>
      <c r="S15" t="n">
        <v>545.4545454545455</v>
      </c>
      <c r="T15" t="n">
        <v>0.78</v>
      </c>
      <c r="Y15" t="n">
        <v>981.818181818182</v>
      </c>
      <c r="Z15" t="n">
        <v>403</v>
      </c>
      <c r="AA15" t="n">
        <v>836.3636363636364</v>
      </c>
      <c r="AB15" t="n">
        <v>466</v>
      </c>
      <c r="AE15" t="n">
        <v>2000</v>
      </c>
      <c r="AF15" t="n">
        <v>434</v>
      </c>
      <c r="AI15" t="n">
        <v>0.8</v>
      </c>
      <c r="AJ15" t="n">
        <v>0.5125</v>
      </c>
      <c r="AM15" t="n">
        <v>0.8</v>
      </c>
      <c r="AN15" t="n">
        <v>0.85</v>
      </c>
      <c r="AQ15" t="n">
        <v>0.5</v>
      </c>
      <c r="AR15" t="n">
        <v>0.5</v>
      </c>
      <c r="AW15" t="n">
        <v>1327.272727272727</v>
      </c>
      <c r="AX15" t="n">
        <v>0.4</v>
      </c>
      <c r="AY15" t="n">
        <v>1563.636363636364</v>
      </c>
      <c r="AZ15" t="n">
        <v>0.5</v>
      </c>
      <c r="BG15" t="n">
        <v>529</v>
      </c>
      <c r="BH15" t="n">
        <v>0.95</v>
      </c>
      <c r="BM15" t="n">
        <v>1050</v>
      </c>
      <c r="BN15" t="n">
        <v>283.15</v>
      </c>
      <c r="BO15" t="n">
        <v>525</v>
      </c>
      <c r="BP15" t="n">
        <v>300.032917</v>
      </c>
      <c r="BU15" t="n">
        <v>1350</v>
      </c>
      <c r="BV15" t="n">
        <v>283.15</v>
      </c>
      <c r="BW15" t="n">
        <v>300</v>
      </c>
      <c r="BX15" t="n">
        <v>300.032917</v>
      </c>
      <c r="CC15" t="n">
        <v>1350</v>
      </c>
      <c r="CD15" t="n">
        <v>288.15</v>
      </c>
      <c r="CE15" t="n">
        <v>900</v>
      </c>
      <c r="CF15" t="n">
        <v>288.15</v>
      </c>
      <c r="CQ15" t="n">
        <v>600</v>
      </c>
      <c r="CR15" t="n">
        <v>283.15</v>
      </c>
      <c r="DA15" t="n">
        <v>3850.001483062305</v>
      </c>
      <c r="DB15" t="n">
        <v>1479.809375298441</v>
      </c>
      <c r="DC15" t="n">
        <v>4185.140844201076</v>
      </c>
      <c r="DD15" t="n">
        <v>425.1559511397466</v>
      </c>
      <c r="DE15" t="n">
        <v>2697.190256342048</v>
      </c>
      <c r="DF15" t="n">
        <v>335.2403095449289</v>
      </c>
      <c r="DG15" t="n">
        <v>4698.781225353001</v>
      </c>
      <c r="DH15" t="n">
        <v>826.7349229794031</v>
      </c>
      <c r="DI15" t="n">
        <v>2990.711369638281</v>
      </c>
      <c r="DJ15" t="n">
        <v>1641.698527584877</v>
      </c>
      <c r="DK15" t="n">
        <v>2315.688223840573</v>
      </c>
      <c r="DL15" t="n">
        <v>1563.936972237929</v>
      </c>
      <c r="DO15" t="n">
        <v>2522.37956913247</v>
      </c>
      <c r="DP15" t="n">
        <v>1998.435127826524</v>
      </c>
      <c r="DS15" t="n">
        <v>3323.336975455881</v>
      </c>
      <c r="DT15" t="n">
        <v>1307.691395215046</v>
      </c>
      <c r="DU15" t="n">
        <v>3706.437618025257</v>
      </c>
      <c r="DV15" t="n">
        <v>202.1395101625765</v>
      </c>
      <c r="DW15" t="n">
        <v>2448.346429314513</v>
      </c>
      <c r="DX15" t="n">
        <v>331.1025433688829</v>
      </c>
      <c r="EA15" t="n">
        <v>526.0281651855414</v>
      </c>
      <c r="EB15" t="n">
        <v>0.7136464605186427</v>
      </c>
      <c r="EC15" t="n">
        <v>393.4366302288373</v>
      </c>
      <c r="ED15" t="n">
        <v>0.7198618384811306</v>
      </c>
      <c r="EE15" t="n">
        <v>618.85711179238</v>
      </c>
      <c r="EF15" t="n">
        <v>0.5223750242534617</v>
      </c>
      <c r="EI15" t="n">
        <v>446.6610990777016</v>
      </c>
      <c r="EJ15" t="n">
        <v>0.7178881530983336</v>
      </c>
      <c r="EK15" t="n">
        <v>388.4410862758752</v>
      </c>
      <c r="EL15" t="n">
        <v>0.6511492262677256</v>
      </c>
      <c r="EM15" t="n">
        <v>619.5316222735474</v>
      </c>
      <c r="EN15" t="n">
        <v>0.8493157733340828</v>
      </c>
      <c r="EQ15" t="n">
        <v>1371.673223420608</v>
      </c>
      <c r="ER15" t="n">
        <v>0.6025717162682989</v>
      </c>
      <c r="ES15" t="n">
        <v>1187.251324131363</v>
      </c>
      <c r="ET15" t="n">
        <v>0.5512207905854647</v>
      </c>
      <c r="EU15" t="n">
        <v>784.4058810947986</v>
      </c>
      <c r="EV15" t="n">
        <v>0.7952625181166705</v>
      </c>
      <c r="EY15" t="n">
        <v>2241.170492303871</v>
      </c>
      <c r="EZ15" t="n">
        <v>1936.380869402984</v>
      </c>
      <c r="FA15" t="n">
        <v>4901.746927936991</v>
      </c>
      <c r="FB15" t="n">
        <v>960.8701258622416</v>
      </c>
      <c r="FC15" t="n">
        <v>4349.561378963209</v>
      </c>
      <c r="FD15" t="n">
        <v>511.9976364599426</v>
      </c>
      <c r="FE15" t="n">
        <v>405</v>
      </c>
      <c r="FF15" t="n">
        <v>0.875</v>
      </c>
      <c r="FG15" t="n">
        <v>400</v>
      </c>
      <c r="FH15" t="n">
        <v>0.875</v>
      </c>
      <c r="FI15" t="n">
        <v>387.5</v>
      </c>
      <c r="FJ15" t="n">
        <v>0.925</v>
      </c>
      <c r="FK15" t="n">
        <v>385</v>
      </c>
      <c r="FL15" t="n">
        <v>0.9</v>
      </c>
      <c r="FM15" t="n">
        <v>3481.823024523768</v>
      </c>
      <c r="FN15" t="n">
        <v>808.3402577390962</v>
      </c>
      <c r="FO15" t="n">
        <v>4381.823024523768</v>
      </c>
      <c r="FP15" t="n">
        <v>588.3402577390962</v>
      </c>
      <c r="FU15" t="n">
        <v>3000</v>
      </c>
      <c r="FV15" t="n">
        <v>393.75</v>
      </c>
      <c r="FW15" t="n">
        <v>3000</v>
      </c>
      <c r="FX15" t="n">
        <v>393.75</v>
      </c>
      <c r="GC15" t="n">
        <v>3905.950043184831</v>
      </c>
      <c r="GD15" t="n">
        <v>1359.556702008076</v>
      </c>
      <c r="GE15" t="n">
        <v>5000</v>
      </c>
      <c r="GF15" t="n">
        <v>1359.556702008076</v>
      </c>
      <c r="GK15" t="n">
        <v>403</v>
      </c>
      <c r="GL15" t="n">
        <v>0.5</v>
      </c>
      <c r="GM15" t="n">
        <v>427</v>
      </c>
      <c r="GN15" t="n">
        <v>0.5</v>
      </c>
      <c r="GS15" t="n">
        <v>4808.3419580395</v>
      </c>
      <c r="GT15" t="n">
        <v>1242.274389807265</v>
      </c>
      <c r="GU15" t="n">
        <v>4808.3419580395</v>
      </c>
      <c r="GV15" t="n">
        <v>802.2743898072646</v>
      </c>
      <c r="HA15" t="n">
        <v>3000</v>
      </c>
      <c r="HB15" t="n">
        <v>400</v>
      </c>
      <c r="HK15" t="n">
        <v>4163.899388535547</v>
      </c>
      <c r="HL15" t="n">
        <v>1017.136905360568</v>
      </c>
      <c r="HO15" t="n">
        <v>3481.046392676308</v>
      </c>
      <c r="HP15" t="n">
        <v>1342.589117384439</v>
      </c>
      <c r="HS15" t="n">
        <v>2926.333175787184</v>
      </c>
      <c r="HT15" t="n">
        <v>1359.493828179777</v>
      </c>
      <c r="HY15" t="n">
        <v>1604.740661641766</v>
      </c>
      <c r="HZ15" t="n">
        <v>435.686517731558</v>
      </c>
      <c r="IA15" t="n">
        <v>443.073679680217</v>
      </c>
      <c r="IB15" t="n">
        <v>464.6806915493977</v>
      </c>
      <c r="IC15" t="n">
        <v>530.2266785338497</v>
      </c>
      <c r="ID15" t="n">
        <v>383.2534360903644</v>
      </c>
      <c r="II15" t="n">
        <v>3059.658875643135</v>
      </c>
      <c r="IJ15" t="n">
        <v>472.0233316222987</v>
      </c>
      <c r="IK15" t="n">
        <v>3270.059974663898</v>
      </c>
      <c r="IL15" t="n">
        <v>428.660114034136</v>
      </c>
      <c r="IM15" t="n">
        <v>4363.975087909659</v>
      </c>
      <c r="IN15" t="n">
        <v>467.6402782894542</v>
      </c>
      <c r="IO15" t="n">
        <v>4510.933423894261</v>
      </c>
      <c r="IP15" t="n">
        <v>1320.412824154996</v>
      </c>
      <c r="IQ15" t="n">
        <v>4197.663751293883</v>
      </c>
      <c r="IR15" t="n">
        <v>1820.497180816962</v>
      </c>
      <c r="IS15" t="n">
        <v>4530.051731114983</v>
      </c>
      <c r="IT15" t="n">
        <v>578.5936549675039</v>
      </c>
      <c r="IW15" t="n">
        <v>2993.647236064672</v>
      </c>
      <c r="IX15" t="n">
        <v>1681.313631994919</v>
      </c>
      <c r="IY15" t="n">
        <v>2369.411685859839</v>
      </c>
      <c r="IZ15" t="n">
        <v>770.7413509224242</v>
      </c>
      <c r="JA15" t="n">
        <v>2572.021055306666</v>
      </c>
      <c r="JB15" t="n">
        <v>1914.507463321838</v>
      </c>
      <c r="JC15" t="n">
        <v>3289.235338270082</v>
      </c>
      <c r="JD15" t="n">
        <v>1944.07141544841</v>
      </c>
      <c r="JG15" t="n">
        <v>2398.923215660549</v>
      </c>
      <c r="JH15" t="n">
        <v>1428.086332241203</v>
      </c>
      <c r="JO15" t="n">
        <v>3715.219719637771</v>
      </c>
      <c r="JP15" t="n">
        <v>330.1453741491561</v>
      </c>
      <c r="JW15" t="n">
        <v>978.6444086057649</v>
      </c>
      <c r="JX15" t="n">
        <v>405.4716683993038</v>
      </c>
      <c r="KE15" t="n">
        <v>3234.741308356678</v>
      </c>
      <c r="KF15" t="n">
        <v>414.6080197092205</v>
      </c>
      <c r="LC15" t="n">
        <v>1535.216717011496</v>
      </c>
      <c r="LD15" t="n">
        <v>516.6508198238442</v>
      </c>
      <c r="LK15" t="n">
        <v>515.816544452916</v>
      </c>
      <c r="LL15" t="n">
        <v>0.7431162566385192</v>
      </c>
      <c r="LS15" t="n">
        <v>1930.013114453799</v>
      </c>
      <c r="LT15" t="n">
        <v>505.3683736321009</v>
      </c>
      <c r="ME15" t="n">
        <v>1624.121247946135</v>
      </c>
      <c r="MF15" t="n">
        <v>300.8267118048708</v>
      </c>
      <c r="MI15" t="n">
        <v>421.8582498029306</v>
      </c>
      <c r="MJ15" t="n">
        <v>300.3122353512006</v>
      </c>
      <c r="MQ15" t="n">
        <v>1858.040392461752</v>
      </c>
      <c r="MR15" t="n">
        <v>516.0428539129589</v>
      </c>
      <c r="MW15" t="n">
        <v>900</v>
      </c>
      <c r="MX15" t="n">
        <v>10.73610439817951</v>
      </c>
      <c r="NE15" t="n">
        <v>3300</v>
      </c>
      <c r="NF15" t="n">
        <v>1300</v>
      </c>
      <c r="NU15" t="n">
        <v>1100</v>
      </c>
      <c r="NV15" t="n">
        <v>0.73</v>
      </c>
      <c r="NW15" t="n">
        <v>600</v>
      </c>
      <c r="NX15" t="n">
        <v>0.91</v>
      </c>
      <c r="OA15" t="n">
        <v>700</v>
      </c>
      <c r="OB15" t="n">
        <v>0.4</v>
      </c>
    </row>
    <row r="16">
      <c r="G16" t="n">
        <v>3000</v>
      </c>
      <c r="H16" t="n">
        <v>0.6</v>
      </c>
      <c r="S16" t="n">
        <v>690.909090909091</v>
      </c>
      <c r="T16" t="n">
        <v>0.78</v>
      </c>
      <c r="Y16" t="n">
        <v>1127.272727272728</v>
      </c>
      <c r="Z16" t="n">
        <v>403</v>
      </c>
      <c r="AA16" t="n">
        <v>981.818181818182</v>
      </c>
      <c r="AB16" t="n">
        <v>466</v>
      </c>
      <c r="AE16" t="n">
        <v>1836.363636363636</v>
      </c>
      <c r="AF16" t="n">
        <v>434</v>
      </c>
      <c r="AI16" t="n">
        <v>0.8</v>
      </c>
      <c r="AJ16" t="n">
        <v>0.4875</v>
      </c>
      <c r="AM16" t="n">
        <v>0.8</v>
      </c>
      <c r="AN16" t="n">
        <v>0.85</v>
      </c>
      <c r="AQ16" t="n">
        <v>0.4</v>
      </c>
      <c r="AR16" t="n">
        <v>0.5</v>
      </c>
      <c r="AW16" t="n">
        <v>1327.272727272727</v>
      </c>
      <c r="AX16" t="n">
        <v>0.4</v>
      </c>
      <c r="AY16" t="n">
        <v>1709.090909090909</v>
      </c>
      <c r="AZ16" t="n">
        <v>0.5</v>
      </c>
      <c r="BG16" t="n">
        <v>529</v>
      </c>
      <c r="BH16" t="n">
        <v>0.9</v>
      </c>
      <c r="BM16" t="n">
        <v>1200</v>
      </c>
      <c r="BN16" t="n">
        <v>283.15</v>
      </c>
      <c r="BO16" t="n">
        <v>525</v>
      </c>
      <c r="BP16" t="n">
        <v>300.032917</v>
      </c>
      <c r="BU16" t="n">
        <v>1500</v>
      </c>
      <c r="BV16" t="n">
        <v>283.15</v>
      </c>
      <c r="BW16" t="n">
        <v>600</v>
      </c>
      <c r="BX16" t="n">
        <v>300.032917</v>
      </c>
      <c r="CC16" t="n">
        <v>1500</v>
      </c>
      <c r="CD16" t="n">
        <v>288.15</v>
      </c>
      <c r="CE16" t="n">
        <v>150</v>
      </c>
      <c r="CF16" t="n">
        <v>293.15</v>
      </c>
      <c r="CQ16" t="n">
        <v>1050</v>
      </c>
      <c r="CR16" t="n">
        <v>283.15</v>
      </c>
      <c r="DA16" t="n">
        <v>4398.709578956598</v>
      </c>
      <c r="DB16" t="n">
        <v>634.296983018982</v>
      </c>
      <c r="DC16" t="n">
        <v>2596.987028322553</v>
      </c>
      <c r="DD16" t="n">
        <v>1392.940294092044</v>
      </c>
      <c r="DE16" t="n">
        <v>3930.850673891649</v>
      </c>
      <c r="DF16" t="n">
        <v>1196.501615209263</v>
      </c>
      <c r="DG16" t="n">
        <v>4808.625812318527</v>
      </c>
      <c r="DH16" t="n">
        <v>999.0281343782304</v>
      </c>
      <c r="DI16" t="n">
        <v>4070.854896157934</v>
      </c>
      <c r="DJ16" t="n">
        <v>2135.825284224648</v>
      </c>
      <c r="DK16" t="n">
        <v>3222.261241019029</v>
      </c>
      <c r="DL16" t="n">
        <v>2261.182993356717</v>
      </c>
      <c r="DO16" t="n">
        <v>3672.822823413653</v>
      </c>
      <c r="DP16" t="n">
        <v>2223.27228947055</v>
      </c>
      <c r="DS16" t="n">
        <v>4229.871319647765</v>
      </c>
      <c r="DT16" t="n">
        <v>804.467434407283</v>
      </c>
      <c r="DU16" t="n">
        <v>2841.657147853647</v>
      </c>
      <c r="DV16" t="n">
        <v>1989.716921792282</v>
      </c>
      <c r="DW16" t="n">
        <v>2074.429700505631</v>
      </c>
      <c r="DX16" t="n">
        <v>453.8886190808785</v>
      </c>
      <c r="EA16" t="n">
        <v>465.0466161985507</v>
      </c>
      <c r="EB16" t="n">
        <v>0.5999081214373181</v>
      </c>
      <c r="EC16" t="n">
        <v>439.7530337308098</v>
      </c>
      <c r="ED16" t="n">
        <v>0.840222735391804</v>
      </c>
      <c r="EE16" t="n">
        <v>573.9677296551336</v>
      </c>
      <c r="EF16" t="n">
        <v>0.8473154028117293</v>
      </c>
      <c r="EI16" t="n">
        <v>407.8461758439716</v>
      </c>
      <c r="EJ16" t="n">
        <v>0.5677903011123041</v>
      </c>
      <c r="EK16" t="n">
        <v>386.8532239200022</v>
      </c>
      <c r="EL16" t="n">
        <v>0.7397002607788755</v>
      </c>
      <c r="EM16" t="n">
        <v>468.4137153284205</v>
      </c>
      <c r="EN16" t="n">
        <v>0.8001416588611223</v>
      </c>
      <c r="EQ16" t="n">
        <v>1453.252767575627</v>
      </c>
      <c r="ER16" t="n">
        <v>0.6253165412340627</v>
      </c>
      <c r="ES16" t="n">
        <v>1116.146418431082</v>
      </c>
      <c r="ET16" t="n">
        <v>0.6374472717011478</v>
      </c>
      <c r="EU16" t="n">
        <v>1148.958789217814</v>
      </c>
      <c r="EV16" t="n">
        <v>0.760000652222367</v>
      </c>
      <c r="EY16" t="n">
        <v>2956.501267095994</v>
      </c>
      <c r="EZ16" t="n">
        <v>990.1207232407186</v>
      </c>
      <c r="FA16" t="n">
        <v>4786.747361690149</v>
      </c>
      <c r="FB16" t="n">
        <v>1034.26491436048</v>
      </c>
      <c r="FC16" t="n">
        <v>4997.473506554956</v>
      </c>
      <c r="FD16" t="n">
        <v>490.8133089762333</v>
      </c>
      <c r="FE16" t="n">
        <v>402.5</v>
      </c>
      <c r="FF16" t="n">
        <v>0.875</v>
      </c>
      <c r="FG16" t="n">
        <v>405</v>
      </c>
      <c r="FH16" t="n">
        <v>0.875</v>
      </c>
      <c r="FI16" t="n">
        <v>387.5</v>
      </c>
      <c r="FJ16" t="n">
        <v>0.95</v>
      </c>
      <c r="FK16" t="n">
        <v>385</v>
      </c>
      <c r="FL16" t="n">
        <v>0.925</v>
      </c>
      <c r="FM16" t="n">
        <v>3481.823024523768</v>
      </c>
      <c r="FN16" t="n">
        <v>808.3402577390962</v>
      </c>
      <c r="FO16" t="n">
        <v>4381.823024523768</v>
      </c>
      <c r="FP16" t="n">
        <v>808.3402577390962</v>
      </c>
      <c r="FU16" t="n">
        <v>3000</v>
      </c>
      <c r="FV16" t="n">
        <v>393.75</v>
      </c>
      <c r="FW16" t="n">
        <v>3000</v>
      </c>
      <c r="FX16" t="n">
        <v>393.75</v>
      </c>
      <c r="GC16" t="n">
        <v>4205.950043184831</v>
      </c>
      <c r="GD16" t="n">
        <v>1359.556702008076</v>
      </c>
      <c r="GK16" t="n">
        <v>403</v>
      </c>
      <c r="GL16" t="n">
        <v>0.5</v>
      </c>
      <c r="GM16" t="n">
        <v>415</v>
      </c>
      <c r="GN16" t="n">
        <v>0.535</v>
      </c>
      <c r="GS16" t="n">
        <v>4808.3419580395</v>
      </c>
      <c r="GT16" t="n">
        <v>1242.274389807265</v>
      </c>
      <c r="GU16" t="n">
        <v>4808.3419580395</v>
      </c>
      <c r="GV16" t="n">
        <v>1022.274389807265</v>
      </c>
      <c r="HA16" t="n">
        <v>5000</v>
      </c>
      <c r="HB16" t="n">
        <v>1359.556702008076</v>
      </c>
      <c r="HK16" t="n">
        <v>4549.474841378047</v>
      </c>
      <c r="HL16" t="n">
        <v>1307.350895662798</v>
      </c>
      <c r="HO16" t="n">
        <v>4974.749998445156</v>
      </c>
      <c r="HP16" t="n">
        <v>467.2952551833043</v>
      </c>
      <c r="HS16" t="n">
        <v>4999.517443734224</v>
      </c>
      <c r="HT16" t="n">
        <v>1260.654475916204</v>
      </c>
      <c r="HY16" t="n">
        <v>1996.125013530389</v>
      </c>
      <c r="HZ16" t="n">
        <v>382.2782688285234</v>
      </c>
      <c r="IA16" t="n">
        <v>665.7204132508791</v>
      </c>
      <c r="IB16" t="n">
        <v>444.3710020810133</v>
      </c>
      <c r="IC16" t="n">
        <v>784.8172996930143</v>
      </c>
      <c r="ID16" t="n">
        <v>468.8860075902202</v>
      </c>
      <c r="II16" t="n">
        <v>4569.570205304485</v>
      </c>
      <c r="IJ16" t="n">
        <v>499.8747081420206</v>
      </c>
      <c r="IK16" t="n">
        <v>4810.241446481437</v>
      </c>
      <c r="IL16" t="n">
        <v>410.8237305408341</v>
      </c>
      <c r="IM16" t="n">
        <v>4410.778114554048</v>
      </c>
      <c r="IN16" t="n">
        <v>510.3500375068445</v>
      </c>
      <c r="IO16" t="n">
        <v>3163.796494255878</v>
      </c>
      <c r="IP16" t="n">
        <v>1031.981183157102</v>
      </c>
      <c r="IQ16" t="n">
        <v>3485.777498340456</v>
      </c>
      <c r="IR16" t="n">
        <v>1848.571704838857</v>
      </c>
      <c r="IS16" t="n">
        <v>3187.275715191327</v>
      </c>
      <c r="IT16" t="n">
        <v>744.2727963789196</v>
      </c>
      <c r="IW16" t="n">
        <v>4650.560929237125</v>
      </c>
      <c r="IX16" t="n">
        <v>1299.840651625487</v>
      </c>
      <c r="IY16" t="n">
        <v>3933.021978496169</v>
      </c>
      <c r="IZ16" t="n">
        <v>436.9584792736406</v>
      </c>
      <c r="JA16" t="n">
        <v>3159.995641192314</v>
      </c>
      <c r="JB16" t="n">
        <v>331.6669639228589</v>
      </c>
      <c r="JG16" t="n">
        <v>2407.369902772437</v>
      </c>
      <c r="JH16" t="n">
        <v>1628.860994557014</v>
      </c>
      <c r="JO16" t="n">
        <v>3510.354292971966</v>
      </c>
      <c r="JP16" t="n">
        <v>1620.823361123486</v>
      </c>
      <c r="JW16" t="n">
        <v>1316.324405318978</v>
      </c>
      <c r="JX16" t="n">
        <v>469.3527519209616</v>
      </c>
      <c r="KE16" t="n">
        <v>2289.007133801658</v>
      </c>
      <c r="KF16" t="n">
        <v>455.4798300422836</v>
      </c>
      <c r="LK16" t="n">
        <v>479.85937224096</v>
      </c>
      <c r="LL16" t="n">
        <v>0.5581185080797036</v>
      </c>
      <c r="LS16" t="n">
        <v>1461.35727462698</v>
      </c>
      <c r="LT16" t="n">
        <v>477.4986494011682</v>
      </c>
      <c r="ME16" t="n">
        <v>1392.537862012769</v>
      </c>
      <c r="MF16" t="n">
        <v>295.5321572673762</v>
      </c>
      <c r="MI16" t="n">
        <v>447.346216628673</v>
      </c>
      <c r="MJ16" t="n">
        <v>298.7594401508788</v>
      </c>
      <c r="MQ16" t="n">
        <v>1323.1349557925</v>
      </c>
      <c r="MR16" t="n">
        <v>465.9714210178432</v>
      </c>
      <c r="MW16" t="n">
        <v>950</v>
      </c>
      <c r="MX16" t="n">
        <v>10.32094550926344</v>
      </c>
      <c r="NE16" t="n">
        <v>3300</v>
      </c>
      <c r="NF16" t="n">
        <v>750</v>
      </c>
      <c r="NU16" t="n">
        <v>1200</v>
      </c>
      <c r="NV16" t="n">
        <v>0.73</v>
      </c>
      <c r="NW16" t="n">
        <v>700</v>
      </c>
      <c r="NX16" t="n">
        <v>0.91</v>
      </c>
      <c r="OA16" t="n">
        <v>500</v>
      </c>
      <c r="OB16" t="n">
        <v>0.4</v>
      </c>
    </row>
    <row r="17">
      <c r="G17" t="n">
        <v>3000</v>
      </c>
      <c r="H17" t="n">
        <v>0.65</v>
      </c>
      <c r="S17" t="n">
        <v>1127.272727272728</v>
      </c>
      <c r="T17" t="n">
        <v>0.78</v>
      </c>
      <c r="Y17" t="n">
        <v>1272.727272727273</v>
      </c>
      <c r="Z17" t="n">
        <v>403</v>
      </c>
      <c r="AA17" t="n">
        <v>1127.272727272728</v>
      </c>
      <c r="AB17" t="n">
        <v>466</v>
      </c>
      <c r="AI17" t="n">
        <v>0.8</v>
      </c>
      <c r="AJ17" t="n">
        <v>0.81875</v>
      </c>
      <c r="AM17" t="n">
        <v>0.8</v>
      </c>
      <c r="AN17" t="n">
        <v>0.85</v>
      </c>
      <c r="AQ17" t="n">
        <v>0.6</v>
      </c>
      <c r="AR17" t="n">
        <v>0.5</v>
      </c>
      <c r="AW17" t="n">
        <v>1318.181818181818</v>
      </c>
      <c r="AX17" t="n">
        <v>0.4</v>
      </c>
      <c r="AY17" t="n">
        <v>400</v>
      </c>
      <c r="AZ17" t="n">
        <v>0.6</v>
      </c>
      <c r="BG17" t="n">
        <v>560</v>
      </c>
      <c r="BH17" t="n">
        <v>0.85</v>
      </c>
      <c r="BM17" t="n">
        <v>1350</v>
      </c>
      <c r="BN17" t="n">
        <v>283.15</v>
      </c>
      <c r="BO17" t="n">
        <v>262.5</v>
      </c>
      <c r="BP17" t="n">
        <v>278.15</v>
      </c>
      <c r="BU17" t="n">
        <v>750</v>
      </c>
      <c r="BV17" t="n">
        <v>288.15</v>
      </c>
      <c r="BW17" t="n">
        <v>375</v>
      </c>
      <c r="BX17" t="n">
        <v>278.15</v>
      </c>
      <c r="CC17" t="n">
        <v>1200</v>
      </c>
      <c r="CD17" t="n">
        <v>293.15</v>
      </c>
      <c r="CE17" t="n">
        <v>300</v>
      </c>
      <c r="CF17" t="n">
        <v>293.15</v>
      </c>
      <c r="CQ17" t="n">
        <v>900</v>
      </c>
      <c r="CR17" t="n">
        <v>283.15</v>
      </c>
      <c r="DA17" t="n">
        <v>3723.285290010011</v>
      </c>
      <c r="DB17" t="n">
        <v>1030.303377686404</v>
      </c>
      <c r="DC17" t="n">
        <v>3569.578832265039</v>
      </c>
      <c r="DD17" t="n">
        <v>649.1854608000708</v>
      </c>
      <c r="DE17" t="n">
        <v>3678.498952336176</v>
      </c>
      <c r="DF17" t="n">
        <v>304.7409728147116</v>
      </c>
      <c r="DG17" t="n">
        <v>2579.410779893956</v>
      </c>
      <c r="DH17" t="n">
        <v>1129.37748943795</v>
      </c>
      <c r="DI17" t="n">
        <v>3411.888854052801</v>
      </c>
      <c r="DJ17" t="n">
        <v>1978.75693726311</v>
      </c>
      <c r="DK17" t="n">
        <v>4106.015390185168</v>
      </c>
      <c r="DL17" t="n">
        <v>2298.053815456731</v>
      </c>
      <c r="DS17" t="n">
        <v>3818.851880522423</v>
      </c>
      <c r="DT17" t="n">
        <v>1488.691075771345</v>
      </c>
      <c r="DW17" t="n">
        <v>3676.289740972258</v>
      </c>
      <c r="DX17" t="n">
        <v>1059.918723065527</v>
      </c>
      <c r="EA17" t="n">
        <v>399.0462214346294</v>
      </c>
      <c r="EB17" t="n">
        <v>0.8139784989729243</v>
      </c>
      <c r="EC17" t="n">
        <v>512.389703939753</v>
      </c>
      <c r="ED17" t="n">
        <v>0.5051951118776499</v>
      </c>
      <c r="EE17" t="n">
        <v>546.2861976782274</v>
      </c>
      <c r="EF17" t="n">
        <v>0.5312296163773282</v>
      </c>
      <c r="EI17" t="n">
        <v>472.9886584414233</v>
      </c>
      <c r="EJ17" t="n">
        <v>0.6818114639954054</v>
      </c>
      <c r="EK17" t="n">
        <v>447.9633984988485</v>
      </c>
      <c r="EL17" t="n">
        <v>0.6258461161006301</v>
      </c>
      <c r="EM17" t="n">
        <v>615.5396472523812</v>
      </c>
      <c r="EN17" t="n">
        <v>0.810369944242711</v>
      </c>
      <c r="EQ17" t="n">
        <v>1401.104002216343</v>
      </c>
      <c r="ER17" t="n">
        <v>0.5111822677912201</v>
      </c>
      <c r="ES17" t="n">
        <v>518.4935035506634</v>
      </c>
      <c r="ET17" t="n">
        <v>0.7423169522309858</v>
      </c>
      <c r="EU17" t="n">
        <v>940.5262161009974</v>
      </c>
      <c r="EV17" t="n">
        <v>0.8405847594786373</v>
      </c>
      <c r="EY17" t="n">
        <v>3015.763396301076</v>
      </c>
      <c r="EZ17" t="n">
        <v>268.3560550221556</v>
      </c>
      <c r="FA17" t="n">
        <v>3802.571323382816</v>
      </c>
      <c r="FB17" t="n">
        <v>723.8343620244974</v>
      </c>
      <c r="FC17" t="n">
        <v>4048.841684997317</v>
      </c>
      <c r="FD17" t="n">
        <v>1110.417205846181</v>
      </c>
      <c r="FE17" t="n">
        <v>407.5</v>
      </c>
      <c r="FF17" t="n">
        <v>0.875</v>
      </c>
      <c r="FG17" t="n">
        <v>402.5</v>
      </c>
      <c r="FH17" t="n">
        <v>0.875</v>
      </c>
      <c r="FK17" t="n">
        <v>385</v>
      </c>
      <c r="FL17" t="n">
        <v>0.95</v>
      </c>
      <c r="FM17" t="n">
        <v>3481.823024523768</v>
      </c>
      <c r="FN17" t="n">
        <v>808.3402577390962</v>
      </c>
      <c r="FU17" t="n">
        <v>3000</v>
      </c>
      <c r="FV17" t="n">
        <v>393.75</v>
      </c>
      <c r="FW17" t="n">
        <v>3000</v>
      </c>
      <c r="FX17" t="n">
        <v>393.75</v>
      </c>
      <c r="GC17" t="n">
        <v>3605.950043184831</v>
      </c>
      <c r="GD17" t="n">
        <v>1359.556702008076</v>
      </c>
      <c r="GK17" t="n">
        <v>403</v>
      </c>
      <c r="GL17" t="n">
        <v>0.5</v>
      </c>
      <c r="GM17" t="n">
        <v>415</v>
      </c>
      <c r="GN17" t="n">
        <v>0.5</v>
      </c>
      <c r="GS17" t="n">
        <v>4808.3419580395</v>
      </c>
      <c r="GT17" t="n">
        <v>1242.274389807265</v>
      </c>
      <c r="GU17" t="n">
        <v>4808.3419580395</v>
      </c>
      <c r="GV17" t="n">
        <v>1022.274389807265</v>
      </c>
      <c r="HA17" t="n">
        <v>4808.3419580395</v>
      </c>
      <c r="HB17" t="n">
        <v>1022.274389807265</v>
      </c>
      <c r="HK17" t="n">
        <v>2226.354286417979</v>
      </c>
      <c r="HL17" t="n">
        <v>1189.939730375967</v>
      </c>
      <c r="HO17" t="n">
        <v>3931.787367719807</v>
      </c>
      <c r="HP17" t="n">
        <v>694.176542226721</v>
      </c>
      <c r="HS17" t="n">
        <v>4087.477238698253</v>
      </c>
      <c r="HT17" t="n">
        <v>1571.230458428018</v>
      </c>
      <c r="HY17" t="n">
        <v>734.9604658067892</v>
      </c>
      <c r="HZ17" t="n">
        <v>431.0170964750289</v>
      </c>
      <c r="IA17" t="n">
        <v>1370.303242442703</v>
      </c>
      <c r="IB17" t="n">
        <v>501.6888168865265</v>
      </c>
      <c r="IC17" t="n">
        <v>1643.063335728936</v>
      </c>
      <c r="ID17" t="n">
        <v>423.0335406563749</v>
      </c>
      <c r="II17" t="n">
        <v>2748.828052789065</v>
      </c>
      <c r="IJ17" t="n">
        <v>487.2677344794857</v>
      </c>
      <c r="IK17" t="n">
        <v>2797.66296829824</v>
      </c>
      <c r="IL17" t="n">
        <v>447.5724571187836</v>
      </c>
      <c r="IO17" t="n">
        <v>2861.528522363256</v>
      </c>
      <c r="IP17" t="n">
        <v>1489.373292129491</v>
      </c>
      <c r="IQ17" t="n">
        <v>2554.558804559506</v>
      </c>
      <c r="IR17" t="n">
        <v>541.6840419893497</v>
      </c>
      <c r="IS17" t="n">
        <v>3989.620630201327</v>
      </c>
      <c r="IT17" t="n">
        <v>1807.756988112083</v>
      </c>
      <c r="IW17" t="n">
        <v>4711.940487143275</v>
      </c>
      <c r="IX17" t="n">
        <v>948.686198783448</v>
      </c>
      <c r="IY17" t="n">
        <v>4270.138754104872</v>
      </c>
      <c r="IZ17" t="n">
        <v>1878.61083890706</v>
      </c>
      <c r="JA17" t="n">
        <v>2663.44206896164</v>
      </c>
      <c r="JB17" t="n">
        <v>547.0106993999183</v>
      </c>
      <c r="KE17" t="n">
        <v>4608.173177123055</v>
      </c>
      <c r="KF17" t="n">
        <v>506.9614798603085</v>
      </c>
      <c r="LK17" t="n">
        <v>441.3368808138242</v>
      </c>
      <c r="LL17" t="n">
        <v>0.8591725479313446</v>
      </c>
      <c r="ME17" t="n">
        <v>1121.734540222721</v>
      </c>
      <c r="MF17" t="n">
        <v>289.9606126515912</v>
      </c>
      <c r="MI17" t="n">
        <v>438.1950734716951</v>
      </c>
      <c r="MJ17" t="n">
        <v>286.858957139096</v>
      </c>
      <c r="MQ17" t="n">
        <v>919.7000282623902</v>
      </c>
      <c r="MR17" t="n">
        <v>495.9022381761652</v>
      </c>
      <c r="MW17" t="n">
        <v>950</v>
      </c>
      <c r="MX17" t="n">
        <v>10.32094550926344</v>
      </c>
      <c r="NE17" t="n">
        <v>3300</v>
      </c>
      <c r="NF17" t="n">
        <v>770</v>
      </c>
      <c r="NU17" t="n">
        <v>800</v>
      </c>
      <c r="NV17" t="n">
        <v>0.76</v>
      </c>
      <c r="NW17" t="n">
        <v>200</v>
      </c>
      <c r="NX17" t="n">
        <v>0.55</v>
      </c>
      <c r="OA17" t="n">
        <v>200</v>
      </c>
      <c r="OB17" t="n">
        <v>0.4</v>
      </c>
    </row>
    <row r="18">
      <c r="G18" t="n">
        <v>3000</v>
      </c>
      <c r="H18" t="n">
        <v>0.7</v>
      </c>
      <c r="S18" t="n">
        <v>836.3636363636364</v>
      </c>
      <c r="T18" t="n">
        <v>0.78</v>
      </c>
      <c r="Y18" t="n">
        <v>1418.181818181818</v>
      </c>
      <c r="Z18" t="n">
        <v>403</v>
      </c>
      <c r="AA18" t="n">
        <v>1272.727272727273</v>
      </c>
      <c r="AB18" t="n">
        <v>466</v>
      </c>
      <c r="AI18" t="n">
        <v>0.8</v>
      </c>
      <c r="AJ18" t="n">
        <v>0.7062499999999999</v>
      </c>
      <c r="AM18" t="n">
        <v>0.8</v>
      </c>
      <c r="AN18" t="n">
        <v>0.85</v>
      </c>
      <c r="AQ18" t="n">
        <v>0.55</v>
      </c>
      <c r="AR18" t="n">
        <v>0.5</v>
      </c>
      <c r="AW18" t="n">
        <v>1318.181818181818</v>
      </c>
      <c r="AX18" t="n">
        <v>0.4</v>
      </c>
      <c r="AY18" t="n">
        <v>545.4545454545455</v>
      </c>
      <c r="AZ18" t="n">
        <v>0.6</v>
      </c>
      <c r="BG18" t="n">
        <v>560</v>
      </c>
      <c r="BH18" t="n">
        <v>0.95</v>
      </c>
      <c r="BM18" t="n">
        <v>1500</v>
      </c>
      <c r="BN18" t="n">
        <v>283.15</v>
      </c>
      <c r="BO18" t="n">
        <v>262.5</v>
      </c>
      <c r="BP18" t="n">
        <v>278.15</v>
      </c>
      <c r="BU18" t="n">
        <v>600</v>
      </c>
      <c r="BV18" t="n">
        <v>288.15</v>
      </c>
      <c r="BW18" t="n">
        <v>375</v>
      </c>
      <c r="BX18" t="n">
        <v>278.15</v>
      </c>
      <c r="CC18" t="n">
        <v>1350</v>
      </c>
      <c r="CD18" t="n">
        <v>293.15</v>
      </c>
      <c r="CE18" t="n">
        <v>450</v>
      </c>
      <c r="CF18" t="n">
        <v>293.15</v>
      </c>
      <c r="CQ18" t="n">
        <v>750</v>
      </c>
      <c r="CR18" t="n">
        <v>283.15</v>
      </c>
      <c r="DA18" t="n">
        <v>4594.559894457701</v>
      </c>
      <c r="DB18" t="n">
        <v>1315.78712921568</v>
      </c>
      <c r="DC18" t="n">
        <v>4430.809266456108</v>
      </c>
      <c r="DD18" t="n">
        <v>440.8911787289314</v>
      </c>
      <c r="DE18" t="n">
        <v>3454.160964197272</v>
      </c>
      <c r="DF18" t="n">
        <v>306.8591841578382</v>
      </c>
      <c r="DG18" t="n">
        <v>2022.172409622757</v>
      </c>
      <c r="DH18" t="n">
        <v>851.2529865889637</v>
      </c>
      <c r="DI18" t="n">
        <v>4677.047455852009</v>
      </c>
      <c r="DJ18" t="n">
        <v>2282.458543248077</v>
      </c>
      <c r="DK18" t="n">
        <v>2729.144604605264</v>
      </c>
      <c r="DL18" t="n">
        <v>2130.348649377401</v>
      </c>
      <c r="DS18" t="n">
        <v>3411.415486503021</v>
      </c>
      <c r="DT18" t="n">
        <v>540.3276867392383</v>
      </c>
      <c r="DW18" t="n">
        <v>2528.234127841405</v>
      </c>
      <c r="DX18" t="n">
        <v>1954.272502093258</v>
      </c>
      <c r="EA18" t="n">
        <v>391.1583467854279</v>
      </c>
      <c r="EB18" t="n">
        <v>0.7070395025211916</v>
      </c>
      <c r="EC18" t="n">
        <v>495.2474540700351</v>
      </c>
      <c r="ED18" t="n">
        <v>0.8244583404753234</v>
      </c>
      <c r="EE18" t="n">
        <v>417.5552146990862</v>
      </c>
      <c r="EF18" t="n">
        <v>0.7372167889557993</v>
      </c>
      <c r="EI18" t="n">
        <v>562.6106941712335</v>
      </c>
      <c r="EJ18" t="n">
        <v>0.558586893828444</v>
      </c>
      <c r="EK18" t="n">
        <v>437.2572530651493</v>
      </c>
      <c r="EL18" t="n">
        <v>0.5804952425152379</v>
      </c>
      <c r="EM18" t="n">
        <v>566.3083206757484</v>
      </c>
      <c r="EN18" t="n">
        <v>0.6996069632647509</v>
      </c>
      <c r="EQ18" t="n">
        <v>1363.683993216255</v>
      </c>
      <c r="ER18" t="n">
        <v>0.7100977427976486</v>
      </c>
      <c r="ES18" t="n">
        <v>340.4805605327427</v>
      </c>
      <c r="ET18" t="n">
        <v>0.6850874400579046</v>
      </c>
      <c r="EU18" t="n">
        <v>697.4151106908666</v>
      </c>
      <c r="EV18" t="n">
        <v>0.8182918773981813</v>
      </c>
      <c r="EY18" t="n">
        <v>4689.462116621972</v>
      </c>
      <c r="EZ18" t="n">
        <v>1898.977479582325</v>
      </c>
      <c r="FA18" t="n">
        <v>2341.315308483828</v>
      </c>
      <c r="FB18" t="n">
        <v>1258.007650790563</v>
      </c>
      <c r="FC18" t="n">
        <v>2801.462315630319</v>
      </c>
      <c r="FD18" t="n">
        <v>1137.71559452292</v>
      </c>
      <c r="FE18" t="n">
        <v>410</v>
      </c>
      <c r="FF18" t="n">
        <v>0.875</v>
      </c>
      <c r="FG18" t="n">
        <v>407.5</v>
      </c>
      <c r="FH18" t="n">
        <v>0.875</v>
      </c>
      <c r="FM18" t="n">
        <v>3481.823024523768</v>
      </c>
      <c r="FN18" t="n">
        <v>808.3402577390962</v>
      </c>
      <c r="FU18" t="n">
        <v>3000</v>
      </c>
      <c r="FV18" t="n">
        <v>393.75</v>
      </c>
      <c r="FW18" t="n">
        <v>3000</v>
      </c>
      <c r="FX18" t="n">
        <v>393.75</v>
      </c>
      <c r="GC18" t="n">
        <v>3905.950043184831</v>
      </c>
      <c r="GD18" t="n">
        <v>1579.556702008076</v>
      </c>
      <c r="GK18" t="n">
        <v>403</v>
      </c>
      <c r="GL18" t="n">
        <v>0.5</v>
      </c>
      <c r="GM18" t="n">
        <v>415</v>
      </c>
      <c r="GN18" t="n">
        <v>0.5</v>
      </c>
      <c r="GS18" t="n">
        <v>4808.3419580395</v>
      </c>
      <c r="GT18" t="n">
        <v>1022.274389807265</v>
      </c>
      <c r="GU18" t="n">
        <v>4808.3419580395</v>
      </c>
      <c r="GV18" t="n">
        <v>1022.274389807265</v>
      </c>
      <c r="HA18" t="n">
        <v>3655.031570453786</v>
      </c>
      <c r="HB18" t="n">
        <v>2494.528668778344</v>
      </c>
      <c r="HK18" t="n">
        <v>4508.938387101847</v>
      </c>
      <c r="HL18" t="n">
        <v>1038.942186258574</v>
      </c>
      <c r="HO18" t="n">
        <v>2579.394207427144</v>
      </c>
      <c r="HP18" t="n">
        <v>1064.351318221146</v>
      </c>
      <c r="HS18" t="n">
        <v>4194.916865812369</v>
      </c>
      <c r="HT18" t="n">
        <v>1905.31091306022</v>
      </c>
      <c r="HY18" t="n">
        <v>1706.808804813705</v>
      </c>
      <c r="HZ18" t="n">
        <v>461.2858498989104</v>
      </c>
      <c r="IA18" t="n">
        <v>1352.397765336264</v>
      </c>
      <c r="IB18" t="n">
        <v>489.8000775090104</v>
      </c>
      <c r="IC18" t="n">
        <v>539.0734201981877</v>
      </c>
      <c r="ID18" t="n">
        <v>511.0673477293499</v>
      </c>
      <c r="II18" t="n">
        <v>3868.287808380001</v>
      </c>
      <c r="IJ18" t="n">
        <v>414.2378071028213</v>
      </c>
      <c r="IK18" t="n">
        <v>3366.712110044311</v>
      </c>
      <c r="IL18" t="n">
        <v>494.1526684199741</v>
      </c>
      <c r="IO18" t="n">
        <v>4608.283404463262</v>
      </c>
      <c r="IP18" t="n">
        <v>1642.780498256107</v>
      </c>
      <c r="IQ18" t="n">
        <v>2788.209235361944</v>
      </c>
      <c r="IR18" t="n">
        <v>868.9209875121974</v>
      </c>
      <c r="IS18" t="n">
        <v>4272.678444883267</v>
      </c>
      <c r="IT18" t="n">
        <v>520.0675860606593</v>
      </c>
      <c r="IW18" t="n">
        <v>3048.181792987892</v>
      </c>
      <c r="IX18" t="n">
        <v>669.8450942054069</v>
      </c>
      <c r="IY18" t="n">
        <v>2036.174090582236</v>
      </c>
      <c r="IZ18" t="n">
        <v>1642.971277382422</v>
      </c>
      <c r="JA18" t="n">
        <v>3594.038197801452</v>
      </c>
      <c r="JB18" t="n">
        <v>1053.305775333398</v>
      </c>
      <c r="KE18" t="n">
        <v>3085.744239740331</v>
      </c>
      <c r="KF18" t="n">
        <v>485.9156616355591</v>
      </c>
      <c r="LK18" t="n">
        <v>491.1386774271162</v>
      </c>
      <c r="LL18" t="n">
        <v>0.5773253115123167</v>
      </c>
      <c r="ME18" t="n">
        <v>817.9299159657726</v>
      </c>
      <c r="MF18" t="n">
        <v>294.748356667051</v>
      </c>
      <c r="MI18" t="n">
        <v>482.4969425962064</v>
      </c>
      <c r="MJ18" t="n">
        <v>296.7909391725854</v>
      </c>
      <c r="MQ18" t="n">
        <v>437.5980491037421</v>
      </c>
      <c r="MR18" t="n">
        <v>412.3817798421072</v>
      </c>
      <c r="MW18" t="n">
        <v>1000</v>
      </c>
      <c r="MX18" t="n">
        <v>9.924233112501261</v>
      </c>
      <c r="NE18" t="n">
        <v>3300</v>
      </c>
      <c r="NF18" t="n">
        <v>710</v>
      </c>
      <c r="NU18" t="n">
        <v>700</v>
      </c>
      <c r="NV18" t="n">
        <v>0.76</v>
      </c>
      <c r="NW18" t="n">
        <v>200</v>
      </c>
      <c r="NX18" t="n">
        <v>0.6</v>
      </c>
      <c r="OA18" t="n">
        <v>400</v>
      </c>
      <c r="OB18" t="n">
        <v>0.4</v>
      </c>
    </row>
    <row r="19">
      <c r="G19" t="n">
        <v>3000</v>
      </c>
      <c r="H19" t="n">
        <v>0.5</v>
      </c>
      <c r="S19" t="n">
        <v>981.818181818182</v>
      </c>
      <c r="T19" t="n">
        <v>0.78</v>
      </c>
      <c r="Y19" t="n">
        <v>1854.545454545455</v>
      </c>
      <c r="Z19" t="n">
        <v>403</v>
      </c>
      <c r="AA19" t="n">
        <v>1418.181818181818</v>
      </c>
      <c r="AB19" t="n">
        <v>466</v>
      </c>
      <c r="AI19" t="n">
        <v>0.8</v>
      </c>
      <c r="AJ19" t="n">
        <v>0.6687500000000001</v>
      </c>
      <c r="AM19" t="n">
        <v>0.5</v>
      </c>
      <c r="AN19" t="n">
        <v>0.85</v>
      </c>
      <c r="AQ19" t="n">
        <v>0.65</v>
      </c>
      <c r="AR19" t="n">
        <v>0.5</v>
      </c>
      <c r="AW19" t="n">
        <v>1736.363636363636</v>
      </c>
      <c r="AX19" t="n">
        <v>0.5</v>
      </c>
      <c r="AY19" t="n">
        <v>690.909090909091</v>
      </c>
      <c r="AZ19" t="n">
        <v>0.6</v>
      </c>
      <c r="BG19" t="n">
        <v>560</v>
      </c>
      <c r="BH19" t="n">
        <v>0.9</v>
      </c>
      <c r="BM19" t="n">
        <v>450</v>
      </c>
      <c r="BN19" t="n">
        <v>288.15</v>
      </c>
      <c r="BO19" t="n">
        <v>281.25</v>
      </c>
      <c r="BP19" t="n">
        <v>278.15</v>
      </c>
      <c r="BU19" t="n">
        <v>900</v>
      </c>
      <c r="BV19" t="n">
        <v>288.15</v>
      </c>
      <c r="BW19" t="n">
        <v>525</v>
      </c>
      <c r="BX19" t="n">
        <v>288.15</v>
      </c>
      <c r="CC19" t="n">
        <v>1500</v>
      </c>
      <c r="CD19" t="n">
        <v>293.15</v>
      </c>
      <c r="CE19" t="n">
        <v>600</v>
      </c>
      <c r="CF19" t="n">
        <v>293.15</v>
      </c>
      <c r="CQ19" t="n">
        <v>1200</v>
      </c>
      <c r="CR19" t="n">
        <v>283.15</v>
      </c>
      <c r="DA19" t="n">
        <v>3429.232588331723</v>
      </c>
      <c r="DB19" t="n">
        <v>1190.441137421511</v>
      </c>
      <c r="DC19" t="n">
        <v>2551.739378621204</v>
      </c>
      <c r="DD19" t="n">
        <v>705.0432321114513</v>
      </c>
      <c r="DE19" t="n">
        <v>2771.686561978541</v>
      </c>
      <c r="DF19" t="n">
        <v>367.7714134082516</v>
      </c>
      <c r="DG19" t="n">
        <v>4652.959294573954</v>
      </c>
      <c r="DH19" t="n">
        <v>600.6721290042125</v>
      </c>
      <c r="DI19" t="n">
        <v>3562.7619811951</v>
      </c>
      <c r="DJ19" t="n">
        <v>1541.368130664265</v>
      </c>
      <c r="DK19" t="n">
        <v>3117.888441663725</v>
      </c>
      <c r="DL19" t="n">
        <v>2490.79721377669</v>
      </c>
      <c r="DS19" t="n">
        <v>3358.368575245903</v>
      </c>
      <c r="DT19" t="n">
        <v>829.1801804267894</v>
      </c>
      <c r="DW19" t="n">
        <v>3237.803511439649</v>
      </c>
      <c r="DX19" t="n">
        <v>1880.50981899038</v>
      </c>
      <c r="EA19" t="n">
        <v>619.4998833711434</v>
      </c>
      <c r="EB19" t="n">
        <v>0.5355129496544464</v>
      </c>
      <c r="EC19" t="n">
        <v>420.4574351758528</v>
      </c>
      <c r="ED19" t="n">
        <v>0.7634111124245543</v>
      </c>
      <c r="EE19" t="n">
        <v>601.0490941952096</v>
      </c>
      <c r="EF19" t="n">
        <v>0.6090702651265796</v>
      </c>
      <c r="EI19" t="n">
        <v>452.6725558924558</v>
      </c>
      <c r="EJ19" t="n">
        <v>0.5828114910438006</v>
      </c>
      <c r="EK19" t="n">
        <v>400.6631603758277</v>
      </c>
      <c r="EL19" t="n">
        <v>0.7301801204772986</v>
      </c>
      <c r="EM19" t="n">
        <v>515.1489350238182</v>
      </c>
      <c r="EN19" t="n">
        <v>0.8022618525749885</v>
      </c>
      <c r="EQ19" t="n">
        <v>1219.800534846232</v>
      </c>
      <c r="ER19" t="n">
        <v>0.8040297487932886</v>
      </c>
      <c r="ES19" t="n">
        <v>1092.779970317365</v>
      </c>
      <c r="ET19" t="n">
        <v>0.7653172929536274</v>
      </c>
      <c r="EU19" t="n">
        <v>1542.557353209985</v>
      </c>
      <c r="EV19" t="n">
        <v>0.559546954847096</v>
      </c>
      <c r="EY19" t="n">
        <v>4444.194259509013</v>
      </c>
      <c r="EZ19" t="n">
        <v>929.5999537686112</v>
      </c>
      <c r="FC19" t="n">
        <v>2858.055223514763</v>
      </c>
      <c r="FD19" t="n">
        <v>602.0603352086875</v>
      </c>
      <c r="FE19" t="n">
        <v>390</v>
      </c>
      <c r="FF19" t="n">
        <v>0.9</v>
      </c>
      <c r="FG19" t="n">
        <v>410</v>
      </c>
      <c r="FH19" t="n">
        <v>0.875</v>
      </c>
      <c r="FM19" t="n">
        <v>3481.823024523768</v>
      </c>
      <c r="FN19" t="n">
        <v>808.3402577390962</v>
      </c>
      <c r="FU19" t="n">
        <v>3000</v>
      </c>
      <c r="FV19" t="n">
        <v>393.75</v>
      </c>
      <c r="FW19" t="n">
        <v>3000</v>
      </c>
      <c r="FX19" t="n">
        <v>393.75</v>
      </c>
      <c r="GC19" t="n">
        <v>3905.950043184831</v>
      </c>
      <c r="GD19" t="n">
        <v>1359.556702008076</v>
      </c>
      <c r="GK19" t="n">
        <v>403</v>
      </c>
      <c r="GL19" t="n">
        <v>0.5</v>
      </c>
      <c r="GM19" t="n">
        <v>427</v>
      </c>
      <c r="GN19" t="n">
        <v>0.5</v>
      </c>
      <c r="GS19" t="n">
        <v>4808.3419580395</v>
      </c>
      <c r="GT19" t="n">
        <v>1022.274389807265</v>
      </c>
      <c r="GU19" t="n">
        <v>5000</v>
      </c>
      <c r="GV19" t="n">
        <v>1022.274389807265</v>
      </c>
      <c r="HA19" t="n">
        <v>3300</v>
      </c>
      <c r="HB19" t="n">
        <v>690</v>
      </c>
      <c r="HK19" t="n">
        <v>2889.43384974427</v>
      </c>
      <c r="HL19" t="n">
        <v>1964.424638149777</v>
      </c>
      <c r="HO19" t="n">
        <v>3586.316408192994</v>
      </c>
      <c r="HP19" t="n">
        <v>1099.728089331754</v>
      </c>
      <c r="HS19" t="n">
        <v>3777.023576123163</v>
      </c>
      <c r="HT19" t="n">
        <v>1874.358392492706</v>
      </c>
      <c r="HY19" t="n">
        <v>1765.044531111668</v>
      </c>
      <c r="HZ19" t="n">
        <v>439.0839868203174</v>
      </c>
      <c r="IA19" t="n">
        <v>1668.368806595899</v>
      </c>
      <c r="IB19" t="n">
        <v>395.3925722401434</v>
      </c>
      <c r="IC19" t="n">
        <v>986.8856060548997</v>
      </c>
      <c r="ID19" t="n">
        <v>496.789433152591</v>
      </c>
      <c r="II19" t="n">
        <v>2762.210451547164</v>
      </c>
      <c r="IJ19" t="n">
        <v>460.7722725456436</v>
      </c>
      <c r="IK19" t="n">
        <v>3182.255527701505</v>
      </c>
      <c r="IL19" t="n">
        <v>409.3630013034181</v>
      </c>
      <c r="IQ19" t="n">
        <v>3399.5669676025</v>
      </c>
      <c r="IR19" t="n">
        <v>1226.406528194719</v>
      </c>
      <c r="IS19" t="n">
        <v>3783.387098918007</v>
      </c>
      <c r="IT19" t="n">
        <v>733.9726194314673</v>
      </c>
      <c r="IW19" t="n">
        <v>2774.296346033062</v>
      </c>
      <c r="IX19" t="n">
        <v>982.7878876899985</v>
      </c>
      <c r="IY19" t="n">
        <v>4062.889937894791</v>
      </c>
      <c r="IZ19" t="n">
        <v>1349.509401623143</v>
      </c>
      <c r="JA19" t="n">
        <v>4005.607098773393</v>
      </c>
      <c r="JB19" t="n">
        <v>1420.541367818788</v>
      </c>
      <c r="KE19" t="n">
        <v>2318.224305203557</v>
      </c>
      <c r="KF19" t="n">
        <v>474.6947549098807</v>
      </c>
      <c r="LK19" t="n">
        <v>465.0020860825367</v>
      </c>
      <c r="LL19" t="n">
        <v>0.6727144405472907</v>
      </c>
      <c r="ME19" t="n">
        <v>581.4118766609024</v>
      </c>
      <c r="MF19" t="n">
        <v>287.1266311235565</v>
      </c>
      <c r="MI19" t="n">
        <v>455.157024896038</v>
      </c>
      <c r="MJ19" t="n">
        <v>297.7213974659105</v>
      </c>
      <c r="MQ19" t="n">
        <v>826.5855503777681</v>
      </c>
      <c r="MR19" t="n">
        <v>436.6116180623674</v>
      </c>
      <c r="MW19" t="n">
        <v>1000</v>
      </c>
      <c r="MX19" t="n">
        <v>9.924233112501261</v>
      </c>
      <c r="NE19" t="n">
        <v>3300</v>
      </c>
      <c r="NF19" t="n">
        <v>790</v>
      </c>
      <c r="NU19" t="n">
        <v>600</v>
      </c>
      <c r="NV19" t="n">
        <v>0.76</v>
      </c>
      <c r="NW19" t="n">
        <v>300</v>
      </c>
      <c r="NX19" t="n">
        <v>0.6</v>
      </c>
      <c r="OA19" t="n">
        <v>300</v>
      </c>
      <c r="OB19" t="n">
        <v>0.4</v>
      </c>
    </row>
    <row r="20">
      <c r="G20" t="n">
        <v>3000</v>
      </c>
      <c r="H20" t="n">
        <v>0.5</v>
      </c>
      <c r="S20" t="n">
        <v>1272.727272727273</v>
      </c>
      <c r="T20" t="n">
        <v>0.78</v>
      </c>
      <c r="Y20" t="n">
        <v>1709.090909090909</v>
      </c>
      <c r="Z20" t="n">
        <v>403</v>
      </c>
      <c r="AA20" t="n">
        <v>1563.636363636364</v>
      </c>
      <c r="AB20" t="n">
        <v>466</v>
      </c>
      <c r="AI20" t="n">
        <v>0.8</v>
      </c>
      <c r="AJ20" t="n">
        <v>0.50625</v>
      </c>
      <c r="AM20" t="n">
        <v>0.4</v>
      </c>
      <c r="AN20" t="n">
        <v>0.85</v>
      </c>
      <c r="AQ20" t="n">
        <v>0.7</v>
      </c>
      <c r="AR20" t="n">
        <v>0.5</v>
      </c>
      <c r="AW20" t="n">
        <v>1736.363636363636</v>
      </c>
      <c r="AX20" t="n">
        <v>0.5</v>
      </c>
      <c r="AY20" t="n">
        <v>836.3636363636364</v>
      </c>
      <c r="AZ20" t="n">
        <v>0.6</v>
      </c>
      <c r="BM20" t="n">
        <v>600</v>
      </c>
      <c r="BN20" t="n">
        <v>288.15</v>
      </c>
      <c r="BO20" t="n">
        <v>318.75</v>
      </c>
      <c r="BP20" t="n">
        <v>283.15</v>
      </c>
      <c r="BU20" t="n">
        <v>1050</v>
      </c>
      <c r="BV20" t="n">
        <v>288.15</v>
      </c>
      <c r="BW20" t="n">
        <v>525</v>
      </c>
      <c r="BX20" t="n">
        <v>288.15</v>
      </c>
      <c r="CC20" t="n">
        <v>1350</v>
      </c>
      <c r="CD20" t="n">
        <v>300.032917</v>
      </c>
      <c r="CE20" t="n">
        <v>900</v>
      </c>
      <c r="CF20" t="n">
        <v>293.15</v>
      </c>
      <c r="CQ20" t="n">
        <v>1350</v>
      </c>
      <c r="CR20" t="n">
        <v>283.15</v>
      </c>
      <c r="DA20" t="n">
        <v>4148.967785517323</v>
      </c>
      <c r="DB20" t="n">
        <v>1026.519909177539</v>
      </c>
      <c r="DC20" t="n">
        <v>3540.032699498654</v>
      </c>
      <c r="DD20" t="n">
        <v>665.9320005381501</v>
      </c>
      <c r="DE20" t="n">
        <v>4057.762868975783</v>
      </c>
      <c r="DF20" t="n">
        <v>443.7957771416111</v>
      </c>
      <c r="DG20" t="n">
        <v>4513.586597618479</v>
      </c>
      <c r="DH20" t="n">
        <v>1176.425328460281</v>
      </c>
      <c r="DI20" t="n">
        <v>4835.854462178502</v>
      </c>
      <c r="DJ20" t="n">
        <v>2239.928719385813</v>
      </c>
      <c r="DK20" t="n">
        <v>2497.277492054203</v>
      </c>
      <c r="DL20" t="n">
        <v>2124.23575468286</v>
      </c>
      <c r="DS20" t="n">
        <v>4699.562107322032</v>
      </c>
      <c r="DT20" t="n">
        <v>1861.469562576173</v>
      </c>
      <c r="DW20" t="n">
        <v>2736.079877201298</v>
      </c>
      <c r="DX20" t="n">
        <v>861.0357531599693</v>
      </c>
      <c r="EA20" t="n">
        <v>575.4662650745547</v>
      </c>
      <c r="EB20" t="n">
        <v>0.6710074648973734</v>
      </c>
      <c r="EC20" t="n">
        <v>425.8921247946818</v>
      </c>
      <c r="ED20" t="n">
        <v>0.7291431856765423</v>
      </c>
      <c r="EE20" t="n">
        <v>429.9252106510909</v>
      </c>
      <c r="EF20" t="n">
        <v>0.7968203810475396</v>
      </c>
      <c r="EI20" t="n">
        <v>524.4470118142148</v>
      </c>
      <c r="EJ20" t="n">
        <v>0.6980396015539084</v>
      </c>
      <c r="EK20" t="n">
        <v>504.2386608542011</v>
      </c>
      <c r="EL20" t="n">
        <v>0.7835818371488941</v>
      </c>
      <c r="EM20" t="n">
        <v>540.4337578894177</v>
      </c>
      <c r="EN20" t="n">
        <v>0.754714731810987</v>
      </c>
      <c r="EQ20" t="n">
        <v>1038.578019270526</v>
      </c>
      <c r="ER20" t="n">
        <v>0.6510051219726256</v>
      </c>
      <c r="EU20" t="n">
        <v>1532.097235550491</v>
      </c>
      <c r="EV20" t="n">
        <v>0.5022607795824025</v>
      </c>
      <c r="EY20" t="n">
        <v>2556.312813189159</v>
      </c>
      <c r="EZ20" t="n">
        <v>573.5904750382401</v>
      </c>
      <c r="FC20" t="n">
        <v>3138.174180328562</v>
      </c>
      <c r="FD20" t="n">
        <v>705.595930134916</v>
      </c>
      <c r="FE20" t="n">
        <v>392.5</v>
      </c>
      <c r="FF20" t="n">
        <v>0.9</v>
      </c>
      <c r="FG20" t="n">
        <v>395</v>
      </c>
      <c r="FH20" t="n">
        <v>0.9</v>
      </c>
      <c r="FM20" t="n">
        <v>3781.823024523768</v>
      </c>
      <c r="FN20" t="n">
        <v>808.3402577390962</v>
      </c>
      <c r="FU20" t="n">
        <v>3000</v>
      </c>
      <c r="FV20" t="n">
        <v>393.75</v>
      </c>
      <c r="FW20" t="n">
        <v>3000</v>
      </c>
      <c r="FX20" t="n">
        <v>393.75</v>
      </c>
      <c r="GC20" t="n">
        <v>3905.950043184831</v>
      </c>
      <c r="GD20" t="n">
        <v>1359.556702008076</v>
      </c>
      <c r="GK20" t="n">
        <v>403</v>
      </c>
      <c r="GL20" t="n">
        <v>0.5</v>
      </c>
      <c r="GM20" t="n">
        <v>415</v>
      </c>
      <c r="GN20" t="n">
        <v>0.535</v>
      </c>
      <c r="GS20" t="n">
        <v>5000</v>
      </c>
      <c r="GT20" t="n">
        <v>1022.274389807265</v>
      </c>
      <c r="GU20" t="n">
        <v>4808.3419580395</v>
      </c>
      <c r="GV20" t="n">
        <v>802.2743898072646</v>
      </c>
      <c r="HA20" t="n">
        <v>3000</v>
      </c>
      <c r="HB20" t="n">
        <v>400</v>
      </c>
      <c r="HK20" t="n">
        <v>2276.182196859629</v>
      </c>
      <c r="HL20" t="n">
        <v>884.523059889723</v>
      </c>
      <c r="HO20" t="n">
        <v>2482.593746672627</v>
      </c>
      <c r="HP20" t="n">
        <v>389.1407727612736</v>
      </c>
      <c r="HS20" t="n">
        <v>2700.095932721118</v>
      </c>
      <c r="HT20" t="n">
        <v>1585.195865071417</v>
      </c>
      <c r="HY20" t="n">
        <v>863.5942385494048</v>
      </c>
      <c r="HZ20" t="n">
        <v>400.2390084839644</v>
      </c>
      <c r="IA20" t="n">
        <v>1482.149423304512</v>
      </c>
      <c r="IB20" t="n">
        <v>517.4018246384321</v>
      </c>
      <c r="II20" t="n">
        <v>2377.449057498394</v>
      </c>
      <c r="IJ20" t="n">
        <v>454.3306018666777</v>
      </c>
      <c r="IK20" t="n">
        <v>3016.968207865947</v>
      </c>
      <c r="IL20" t="n">
        <v>380.1741231052362</v>
      </c>
      <c r="IQ20" t="n">
        <v>2115.353141841665</v>
      </c>
      <c r="IR20" t="n">
        <v>1567.932817147789</v>
      </c>
      <c r="IS20" t="n">
        <v>2342.332034309009</v>
      </c>
      <c r="IT20" t="n">
        <v>976.0019883036344</v>
      </c>
      <c r="IW20" t="n">
        <v>3643.202070305616</v>
      </c>
      <c r="IX20" t="n">
        <v>1264.830520526532</v>
      </c>
      <c r="IY20" t="n">
        <v>3081.222751799617</v>
      </c>
      <c r="IZ20" t="n">
        <v>882.4535969613347</v>
      </c>
      <c r="JA20" t="n">
        <v>4691.049872414564</v>
      </c>
      <c r="JB20" t="n">
        <v>1206.051210110152</v>
      </c>
      <c r="KE20" t="n">
        <v>3773.490448413225</v>
      </c>
      <c r="KF20" t="n">
        <v>490.2162844453679</v>
      </c>
      <c r="LK20" t="n">
        <v>492.0979292534869</v>
      </c>
      <c r="LL20" t="n">
        <v>0.7044767508365382</v>
      </c>
      <c r="ME20" t="n">
        <v>1352.135459859742</v>
      </c>
      <c r="MF20" t="n">
        <v>284.8223796972962</v>
      </c>
      <c r="MI20" t="n">
        <v>519.8419553100487</v>
      </c>
      <c r="MJ20" t="n">
        <v>286.2409790572545</v>
      </c>
      <c r="MQ20" t="n">
        <v>1773.956199757897</v>
      </c>
      <c r="MR20" t="n">
        <v>474.9940984443096</v>
      </c>
      <c r="NE20" t="n">
        <v>3300</v>
      </c>
      <c r="NF20" t="n">
        <v>670</v>
      </c>
      <c r="NU20" t="n">
        <v>900</v>
      </c>
      <c r="NV20" t="n">
        <v>0.76</v>
      </c>
      <c r="NW20" t="n">
        <v>300</v>
      </c>
      <c r="NX20" t="n">
        <v>0.65</v>
      </c>
      <c r="OA20" t="n">
        <v>200</v>
      </c>
      <c r="OB20" t="n">
        <v>0.45</v>
      </c>
    </row>
    <row r="21">
      <c r="G21" t="n">
        <v>3000</v>
      </c>
      <c r="H21" t="n">
        <v>0.5</v>
      </c>
      <c r="S21" t="n">
        <v>1418.181818181818</v>
      </c>
      <c r="T21" t="n">
        <v>0.78</v>
      </c>
      <c r="Y21" t="n">
        <v>1563.636363636364</v>
      </c>
      <c r="Z21" t="n">
        <v>403</v>
      </c>
      <c r="AA21" t="n">
        <v>1709.090909090909</v>
      </c>
      <c r="AB21" t="n">
        <v>466</v>
      </c>
      <c r="AI21" t="n">
        <v>0.8</v>
      </c>
      <c r="AJ21" t="n">
        <v>0.49375</v>
      </c>
      <c r="AM21" t="n">
        <v>0.45</v>
      </c>
      <c r="AN21" t="n">
        <v>0.85</v>
      </c>
      <c r="AQ21" t="n">
        <v>0.75</v>
      </c>
      <c r="AR21" t="n">
        <v>0.5</v>
      </c>
      <c r="AY21" t="n">
        <v>981.818181818182</v>
      </c>
      <c r="AZ21" t="n">
        <v>0.6</v>
      </c>
      <c r="BM21" t="n">
        <v>750</v>
      </c>
      <c r="BN21" t="n">
        <v>288.15</v>
      </c>
      <c r="BO21" t="n">
        <v>318.75</v>
      </c>
      <c r="BP21" t="n">
        <v>283.15</v>
      </c>
      <c r="BU21" t="n">
        <v>1200</v>
      </c>
      <c r="BV21" t="n">
        <v>288.15</v>
      </c>
      <c r="BW21" t="n">
        <v>675</v>
      </c>
      <c r="BX21" t="n">
        <v>300.032917</v>
      </c>
      <c r="CC21" t="n">
        <v>1500</v>
      </c>
      <c r="CD21" t="n">
        <v>300.032917</v>
      </c>
      <c r="CE21" t="n">
        <v>750</v>
      </c>
      <c r="CF21" t="n">
        <v>293.15</v>
      </c>
      <c r="CQ21" t="n">
        <v>1500</v>
      </c>
      <c r="CR21" t="n">
        <v>283.15</v>
      </c>
      <c r="DA21" t="n">
        <v>2262.470168526241</v>
      </c>
      <c r="DB21" t="n">
        <v>1454.83498234847</v>
      </c>
      <c r="DC21" t="n">
        <v>3206.440936249397</v>
      </c>
      <c r="DD21" t="n">
        <v>577.3755443674788</v>
      </c>
      <c r="DE21" t="n">
        <v>4139.075648534656</v>
      </c>
      <c r="DF21" t="n">
        <v>379.1265949767107</v>
      </c>
      <c r="DG21" t="n">
        <v>2171.291892795626</v>
      </c>
      <c r="DH21" t="n">
        <v>962.640988937726</v>
      </c>
      <c r="DI21" t="n">
        <v>3655.031570453786</v>
      </c>
      <c r="DJ21" t="n">
        <v>2494.528668778344</v>
      </c>
      <c r="DK21" t="n">
        <v>4027.302323617338</v>
      </c>
      <c r="DL21" t="n">
        <v>2007.830079444174</v>
      </c>
      <c r="DS21" t="n">
        <v>4453.241143696563</v>
      </c>
      <c r="DT21" t="n">
        <v>481.3108455204109</v>
      </c>
      <c r="DW21" t="n">
        <v>3010.748483926257</v>
      </c>
      <c r="DX21" t="n">
        <v>1093.290578471443</v>
      </c>
      <c r="EA21" t="n">
        <v>566.4431006350046</v>
      </c>
      <c r="EB21" t="n">
        <v>0.5464024529536566</v>
      </c>
      <c r="EC21" t="n">
        <v>415.0206847446809</v>
      </c>
      <c r="ED21" t="n">
        <v>0.7667197775961496</v>
      </c>
      <c r="EE21" t="n">
        <v>569.3173211840481</v>
      </c>
      <c r="EF21" t="n">
        <v>0.803497391566063</v>
      </c>
      <c r="EI21" t="n">
        <v>516.5946882251067</v>
      </c>
      <c r="EJ21" t="n">
        <v>0.5051627818746256</v>
      </c>
      <c r="EK21" t="n">
        <v>522.4346026969514</v>
      </c>
      <c r="EL21" t="n">
        <v>0.7750031506868397</v>
      </c>
      <c r="EM21" t="n">
        <v>547.0816326220898</v>
      </c>
      <c r="EN21" t="n">
        <v>0.7575480876365567</v>
      </c>
      <c r="EQ21" t="n">
        <v>304.455000558565</v>
      </c>
      <c r="ER21" t="n">
        <v>0.5321454740416424</v>
      </c>
      <c r="EU21" t="n">
        <v>926.4880197481914</v>
      </c>
      <c r="EV21" t="n">
        <v>0.64680685769368</v>
      </c>
      <c r="EY21" t="n">
        <v>2533.586739828048</v>
      </c>
      <c r="EZ21" t="n">
        <v>1555.389057277024</v>
      </c>
      <c r="FC21" t="n">
        <v>3592.848794240752</v>
      </c>
      <c r="FD21" t="n">
        <v>887.8096856778587</v>
      </c>
      <c r="FE21" t="n">
        <v>395</v>
      </c>
      <c r="FF21" t="n">
        <v>0.9</v>
      </c>
      <c r="FG21" t="n">
        <v>397.5</v>
      </c>
      <c r="FH21" t="n">
        <v>0.9</v>
      </c>
      <c r="FM21" t="n">
        <v>3781.823024523768</v>
      </c>
      <c r="FN21" t="n">
        <v>808.3402577390962</v>
      </c>
      <c r="FU21" t="n">
        <v>3000</v>
      </c>
      <c r="FV21" t="n">
        <v>393.75</v>
      </c>
      <c r="FW21" t="n">
        <v>2700</v>
      </c>
      <c r="FX21" t="n">
        <v>393.75</v>
      </c>
      <c r="GC21" t="n">
        <v>3905.950043184831</v>
      </c>
      <c r="GD21" t="n">
        <v>1359.556702008076</v>
      </c>
      <c r="GK21" t="n">
        <v>415</v>
      </c>
      <c r="GL21" t="n">
        <v>0.5</v>
      </c>
      <c r="GM21" t="n">
        <v>415</v>
      </c>
      <c r="GN21" t="n">
        <v>0.5</v>
      </c>
      <c r="GS21" t="n">
        <v>4508.3419580395</v>
      </c>
      <c r="GT21" t="n">
        <v>1022.274389807265</v>
      </c>
      <c r="GU21" t="n">
        <v>4808.3419580395</v>
      </c>
      <c r="GV21" t="n">
        <v>1022.274389807265</v>
      </c>
      <c r="HA21" t="n">
        <v>3000</v>
      </c>
      <c r="HB21" t="n">
        <v>563.6363636363637</v>
      </c>
      <c r="HK21" t="n">
        <v>4555.278087988015</v>
      </c>
      <c r="HL21" t="n">
        <v>643.3759493198947</v>
      </c>
      <c r="HO21" t="n">
        <v>2680.201092388168</v>
      </c>
      <c r="HP21" t="n">
        <v>426.1941149884676</v>
      </c>
      <c r="HS21" t="n">
        <v>4297.372863086161</v>
      </c>
      <c r="HT21" t="n">
        <v>616.7807084926085</v>
      </c>
      <c r="IA21" t="n">
        <v>466.0614388021448</v>
      </c>
      <c r="IB21" t="n">
        <v>419.2222620450907</v>
      </c>
      <c r="II21" t="n">
        <v>3492.767126503163</v>
      </c>
      <c r="IJ21" t="n">
        <v>382.5336586213046</v>
      </c>
      <c r="IK21" t="n">
        <v>4894.258720133168</v>
      </c>
      <c r="IL21" t="n">
        <v>441.8202197720118</v>
      </c>
      <c r="IQ21" t="n">
        <v>3711.944625251177</v>
      </c>
      <c r="IR21" t="n">
        <v>954.7860476524116</v>
      </c>
      <c r="IS21" t="n">
        <v>4458.124048210619</v>
      </c>
      <c r="IT21" t="n">
        <v>1548.150789449047</v>
      </c>
      <c r="IW21" t="n">
        <v>4072.325022676034</v>
      </c>
      <c r="IX21" t="n">
        <v>713.3385522174634</v>
      </c>
      <c r="IY21" t="n">
        <v>2440.772590953026</v>
      </c>
      <c r="IZ21" t="n">
        <v>1139.368635465998</v>
      </c>
      <c r="KE21" t="n">
        <v>2174.857922824936</v>
      </c>
      <c r="KF21" t="n">
        <v>408.6039488965291</v>
      </c>
      <c r="LK21" t="n">
        <v>459.6417853543426</v>
      </c>
      <c r="LL21" t="n">
        <v>0.751066885078197</v>
      </c>
      <c r="ME21" t="n">
        <v>609.2330799830634</v>
      </c>
      <c r="MF21" t="n">
        <v>292.8807866302279</v>
      </c>
      <c r="MI21" t="n">
        <v>511.7984404240335</v>
      </c>
      <c r="MJ21" t="n">
        <v>280.8098707243166</v>
      </c>
      <c r="MQ21" t="n">
        <v>550.6950675837863</v>
      </c>
      <c r="MR21" t="n">
        <v>471.9730112433098</v>
      </c>
      <c r="NE21" t="n">
        <v>3300</v>
      </c>
      <c r="NF21" t="n">
        <v>730</v>
      </c>
      <c r="NU21" t="n">
        <v>1000</v>
      </c>
      <c r="NV21" t="n">
        <v>0.76</v>
      </c>
      <c r="NW21" t="n">
        <v>400</v>
      </c>
      <c r="NX21" t="n">
        <v>0.65</v>
      </c>
      <c r="OA21" t="n">
        <v>600</v>
      </c>
      <c r="OB21" t="n">
        <v>0.45</v>
      </c>
    </row>
    <row r="22">
      <c r="G22" t="n">
        <v>3000</v>
      </c>
      <c r="H22" t="n">
        <v>0.5</v>
      </c>
      <c r="S22" t="n">
        <v>1563.636363636364</v>
      </c>
      <c r="T22" t="n">
        <v>0.78</v>
      </c>
      <c r="Y22" t="n">
        <v>2000</v>
      </c>
      <c r="Z22" t="n">
        <v>403</v>
      </c>
      <c r="AA22" t="n">
        <v>1854.545454545455</v>
      </c>
      <c r="AB22" t="n">
        <v>466</v>
      </c>
      <c r="AI22" t="n">
        <v>0.8</v>
      </c>
      <c r="AJ22" t="n">
        <v>0.703125</v>
      </c>
      <c r="AM22" t="n">
        <v>0.55</v>
      </c>
      <c r="AN22" t="n">
        <v>0.85</v>
      </c>
      <c r="AQ22" t="n">
        <v>0.85</v>
      </c>
      <c r="AR22" t="n">
        <v>0.5</v>
      </c>
      <c r="AY22" t="n">
        <v>1127.272727272728</v>
      </c>
      <c r="AZ22" t="n">
        <v>0.6</v>
      </c>
      <c r="BM22" t="n">
        <v>900</v>
      </c>
      <c r="BN22" t="n">
        <v>288.15</v>
      </c>
      <c r="BO22" t="n">
        <v>281.25</v>
      </c>
      <c r="BP22" t="n">
        <v>278.15</v>
      </c>
      <c r="BU22" t="n">
        <v>1350</v>
      </c>
      <c r="BV22" t="n">
        <v>288.15</v>
      </c>
      <c r="BW22" t="n">
        <v>675</v>
      </c>
      <c r="BX22" t="n">
        <v>300.032917</v>
      </c>
      <c r="CC22" t="n">
        <v>1125</v>
      </c>
      <c r="CD22" t="n">
        <v>293.15</v>
      </c>
      <c r="CE22" t="n">
        <v>1050</v>
      </c>
      <c r="CF22" t="n">
        <v>293.15</v>
      </c>
      <c r="CQ22" t="n">
        <v>300</v>
      </c>
      <c r="CR22" t="n">
        <v>288.15</v>
      </c>
      <c r="DA22" t="n">
        <v>4908.514700244743</v>
      </c>
      <c r="DB22" t="n">
        <v>1268.657707014368</v>
      </c>
      <c r="DC22" t="n">
        <v>3899.225122832088</v>
      </c>
      <c r="DD22" t="n">
        <v>987.854612020384</v>
      </c>
      <c r="DE22" t="n">
        <v>2081.052357899298</v>
      </c>
      <c r="DF22" t="n">
        <v>401.8502444634403</v>
      </c>
      <c r="DG22" t="n">
        <v>4946.569364724107</v>
      </c>
      <c r="DH22" t="n">
        <v>948.7753889493652</v>
      </c>
      <c r="DI22" t="n">
        <v>3192.631905943009</v>
      </c>
      <c r="DJ22" t="n">
        <v>1878.660568044057</v>
      </c>
      <c r="DK22" t="n">
        <v>3819.720033286515</v>
      </c>
      <c r="DL22" t="n">
        <v>1501.262154912899</v>
      </c>
      <c r="DS22" t="n">
        <v>2085.115845804514</v>
      </c>
      <c r="DT22" t="n">
        <v>976.778556369838</v>
      </c>
      <c r="DW22" t="n">
        <v>4893.464399384582</v>
      </c>
      <c r="DX22" t="n">
        <v>1786.411287857491</v>
      </c>
      <c r="EA22" t="n">
        <v>621.7738417497867</v>
      </c>
      <c r="EB22" t="n">
        <v>0.6137377198285355</v>
      </c>
      <c r="EC22" t="n">
        <v>489.4141679495017</v>
      </c>
      <c r="ED22" t="n">
        <v>0.5908528946087365</v>
      </c>
      <c r="EE22" t="n">
        <v>557.1989021359673</v>
      </c>
      <c r="EF22" t="n">
        <v>0.8370871483660848</v>
      </c>
      <c r="EI22" t="n">
        <v>423.9356102567582</v>
      </c>
      <c r="EJ22" t="n">
        <v>0.5107849740845904</v>
      </c>
      <c r="EK22" t="n">
        <v>612.8475057954793</v>
      </c>
      <c r="EL22" t="n">
        <v>0.7227319123229173</v>
      </c>
      <c r="EM22" t="n">
        <v>432.517879240047</v>
      </c>
      <c r="EN22" t="n">
        <v>0.7890035537394238</v>
      </c>
      <c r="EQ22" t="n">
        <v>403.1456792546187</v>
      </c>
      <c r="ER22" t="n">
        <v>0.6057817625943478</v>
      </c>
      <c r="EU22" t="n">
        <v>1244.77913727849</v>
      </c>
      <c r="EV22" t="n">
        <v>0.6710814657872408</v>
      </c>
      <c r="EY22" t="n">
        <v>2053.932495928782</v>
      </c>
      <c r="EZ22" t="n">
        <v>1698.269053717214</v>
      </c>
      <c r="FC22" t="n">
        <v>4597.210086874074</v>
      </c>
      <c r="FD22" t="n">
        <v>1965.782617444158</v>
      </c>
      <c r="FE22" t="n">
        <v>397.5</v>
      </c>
      <c r="FF22" t="n">
        <v>0.9</v>
      </c>
      <c r="FG22" t="n">
        <v>400</v>
      </c>
      <c r="FH22" t="n">
        <v>0.9</v>
      </c>
      <c r="FM22" t="n">
        <v>3781.823024523768</v>
      </c>
      <c r="FN22" t="n">
        <v>808.3402577390962</v>
      </c>
      <c r="FU22" t="n">
        <v>3000</v>
      </c>
      <c r="FV22" t="n">
        <v>393.75</v>
      </c>
      <c r="FW22" t="n">
        <v>3000</v>
      </c>
      <c r="FX22" t="n">
        <v>300</v>
      </c>
      <c r="GC22" t="n">
        <v>3905.950043184831</v>
      </c>
      <c r="GD22" t="n">
        <v>1359.556702008076</v>
      </c>
      <c r="GK22" t="n">
        <v>391</v>
      </c>
      <c r="GL22" t="n">
        <v>0.5</v>
      </c>
      <c r="GM22" t="n">
        <v>415</v>
      </c>
      <c r="GN22" t="n">
        <v>0.5</v>
      </c>
      <c r="GS22" t="n">
        <v>4808.3419580395</v>
      </c>
      <c r="GT22" t="n">
        <v>1242.274389807264</v>
      </c>
      <c r="GU22" t="n">
        <v>4808.3419580395</v>
      </c>
      <c r="GV22" t="n">
        <v>1022.274389807265</v>
      </c>
      <c r="HK22" t="n">
        <v>4652.102728542832</v>
      </c>
      <c r="HL22" t="n">
        <v>1364.729223973262</v>
      </c>
      <c r="HO22" t="n">
        <v>4386.788076282404</v>
      </c>
      <c r="HP22" t="n">
        <v>1404.487690816309</v>
      </c>
      <c r="HS22" t="n">
        <v>3095.387109155114</v>
      </c>
      <c r="HT22" t="n">
        <v>1340.843494068004</v>
      </c>
      <c r="IA22" t="n">
        <v>1548.671522489014</v>
      </c>
      <c r="IB22" t="n">
        <v>485.8307458957319</v>
      </c>
      <c r="II22" t="n">
        <v>4239.466764022976</v>
      </c>
      <c r="IJ22" t="n">
        <v>466.3818978640167</v>
      </c>
      <c r="IK22" t="n">
        <v>4837.357759803681</v>
      </c>
      <c r="IL22" t="n">
        <v>482.1102536616116</v>
      </c>
      <c r="IQ22" t="n">
        <v>2495.544695598726</v>
      </c>
      <c r="IR22" t="n">
        <v>1208.670280588396</v>
      </c>
      <c r="IS22" t="n">
        <v>2176.774072315784</v>
      </c>
      <c r="IT22" t="n">
        <v>379.3436978835036</v>
      </c>
      <c r="IW22" t="n">
        <v>3900.115317560846</v>
      </c>
      <c r="IX22" t="n">
        <v>1541.697996321424</v>
      </c>
      <c r="IY22" t="n">
        <v>4606.861885494716</v>
      </c>
      <c r="IZ22" t="n">
        <v>589.5449793053745</v>
      </c>
      <c r="ME22" t="n">
        <v>697.4867600196417</v>
      </c>
      <c r="MF22" t="n">
        <v>283.5625501497726</v>
      </c>
      <c r="MI22" t="n">
        <v>491.7774765869307</v>
      </c>
      <c r="MJ22" t="n">
        <v>282.063665623517</v>
      </c>
      <c r="MQ22" t="n">
        <v>688.0635129275997</v>
      </c>
      <c r="MR22" t="n">
        <v>431.240226539876</v>
      </c>
      <c r="NE22" t="n">
        <v>3300</v>
      </c>
      <c r="NF22" t="n">
        <v>690</v>
      </c>
      <c r="NU22" t="n">
        <v>1100</v>
      </c>
      <c r="NV22" t="n">
        <v>0.76</v>
      </c>
      <c r="NW22" t="n">
        <v>200</v>
      </c>
      <c r="NX22" t="n">
        <v>0.65</v>
      </c>
      <c r="OA22" t="n">
        <v>700</v>
      </c>
      <c r="OB22" t="n">
        <v>0.45</v>
      </c>
    </row>
    <row r="23">
      <c r="G23" t="n">
        <v>3000</v>
      </c>
      <c r="H23" t="n">
        <v>0.5</v>
      </c>
      <c r="S23" t="n">
        <v>1854.545454545455</v>
      </c>
      <c r="T23" t="n">
        <v>0.78</v>
      </c>
      <c r="Y23" t="n">
        <v>836.3636363636364</v>
      </c>
      <c r="Z23" t="n">
        <v>420</v>
      </c>
      <c r="AA23" t="n">
        <v>2000</v>
      </c>
      <c r="AB23" t="n">
        <v>466</v>
      </c>
      <c r="AI23" t="n">
        <v>0.8</v>
      </c>
      <c r="AJ23" t="n">
        <v>0.671875</v>
      </c>
      <c r="AM23" t="n">
        <v>0.6</v>
      </c>
      <c r="AN23" t="n">
        <v>0.85</v>
      </c>
      <c r="AQ23" t="n">
        <v>0.8999999999999999</v>
      </c>
      <c r="AR23" t="n">
        <v>0.5</v>
      </c>
      <c r="AY23" t="n">
        <v>1272.727272727273</v>
      </c>
      <c r="AZ23" t="n">
        <v>0.6</v>
      </c>
      <c r="BM23" t="n">
        <v>1350</v>
      </c>
      <c r="BN23" t="n">
        <v>288.15</v>
      </c>
      <c r="BO23" t="n">
        <v>543.75</v>
      </c>
      <c r="BP23" t="n">
        <v>300.032917</v>
      </c>
      <c r="BU23" t="n">
        <v>1500</v>
      </c>
      <c r="BV23" t="n">
        <v>288.15</v>
      </c>
      <c r="BW23" t="n">
        <v>712.5</v>
      </c>
      <c r="BX23" t="n">
        <v>300.032917</v>
      </c>
      <c r="CC23" t="n">
        <v>1125</v>
      </c>
      <c r="CD23" t="n">
        <v>293.15</v>
      </c>
      <c r="CE23" t="n">
        <v>150</v>
      </c>
      <c r="CF23" t="n">
        <v>300.032917</v>
      </c>
      <c r="CQ23" t="n">
        <v>150</v>
      </c>
      <c r="CR23" t="n">
        <v>288.15</v>
      </c>
      <c r="DA23" t="n">
        <v>3915.797414958881</v>
      </c>
      <c r="DB23" t="n">
        <v>1047.092193704135</v>
      </c>
      <c r="DC23" t="n">
        <v>3514.701368988619</v>
      </c>
      <c r="DD23" t="n">
        <v>586.9384338881721</v>
      </c>
      <c r="DE23" t="n">
        <v>4824.709183522055</v>
      </c>
      <c r="DF23" t="n">
        <v>340.16206457801</v>
      </c>
      <c r="DG23" t="n">
        <v>4851.753111118871</v>
      </c>
      <c r="DH23" t="n">
        <v>821.5995952805338</v>
      </c>
      <c r="DI23" t="n">
        <v>2825.241242969333</v>
      </c>
      <c r="DJ23" t="n">
        <v>2184.522314021205</v>
      </c>
      <c r="DK23" t="n">
        <v>3763.894804263703</v>
      </c>
      <c r="DL23" t="n">
        <v>1988.222337283467</v>
      </c>
      <c r="DS23" t="n">
        <v>4278.935289795758</v>
      </c>
      <c r="DT23" t="n">
        <v>1072.42320454563</v>
      </c>
      <c r="DW23" t="n">
        <v>4918.112776586282</v>
      </c>
      <c r="DX23" t="n">
        <v>1635.271569670692</v>
      </c>
      <c r="EA23" t="n">
        <v>502.2192735380241</v>
      </c>
      <c r="EB23" t="n">
        <v>0.5063285766798503</v>
      </c>
      <c r="EC23" t="n">
        <v>510.8444477059914</v>
      </c>
      <c r="ED23" t="n">
        <v>0.7313970166443975</v>
      </c>
      <c r="EE23" t="n">
        <v>470.2105550905022</v>
      </c>
      <c r="EF23" t="n">
        <v>0.8091376537267888</v>
      </c>
      <c r="EI23" t="n">
        <v>587.8584889473103</v>
      </c>
      <c r="EJ23" t="n">
        <v>0.5351916306868674</v>
      </c>
      <c r="EK23" t="n">
        <v>460.4129991595481</v>
      </c>
      <c r="EL23" t="n">
        <v>0.8037495719304026</v>
      </c>
      <c r="EM23" t="n">
        <v>509.0492040943981</v>
      </c>
      <c r="EN23" t="n">
        <v>0.8218557201600225</v>
      </c>
      <c r="EQ23" t="n">
        <v>1168.272222193562</v>
      </c>
      <c r="ER23" t="n">
        <v>0.7889295709195945</v>
      </c>
      <c r="EU23" t="n">
        <v>1443.808752355641</v>
      </c>
      <c r="EV23" t="n">
        <v>0.7179743088959619</v>
      </c>
      <c r="EY23" t="n">
        <v>2221.580847465176</v>
      </c>
      <c r="EZ23" t="n">
        <v>1007.013731465906</v>
      </c>
      <c r="FC23" t="n">
        <v>2717.240948695531</v>
      </c>
      <c r="FD23" t="n">
        <v>1629.451746926305</v>
      </c>
      <c r="FE23" t="n">
        <v>400</v>
      </c>
      <c r="FF23" t="n">
        <v>0.9</v>
      </c>
      <c r="FG23" t="n">
        <v>402.5</v>
      </c>
      <c r="FH23" t="n">
        <v>0.9</v>
      </c>
      <c r="FM23" t="n">
        <v>3781.823024523768</v>
      </c>
      <c r="FN23" t="n">
        <v>808.3402577390962</v>
      </c>
      <c r="FU23" t="n">
        <v>3300</v>
      </c>
      <c r="FV23" t="n">
        <v>393.75</v>
      </c>
      <c r="FW23" t="n">
        <v>3000</v>
      </c>
      <c r="FX23" t="n">
        <v>393.75</v>
      </c>
      <c r="GC23" t="n">
        <v>3905.950043184831</v>
      </c>
      <c r="GD23" t="n">
        <v>1359.556702008076</v>
      </c>
      <c r="GK23" t="n">
        <v>403</v>
      </c>
      <c r="GL23" t="n">
        <v>0.5</v>
      </c>
      <c r="GM23" t="n">
        <v>427</v>
      </c>
      <c r="GN23" t="n">
        <v>0.5</v>
      </c>
      <c r="GS23" t="n">
        <v>4808.3419580395</v>
      </c>
      <c r="GT23" t="n">
        <v>1022.274389807265</v>
      </c>
      <c r="GU23" t="n">
        <v>4808.3419580395</v>
      </c>
      <c r="GV23" t="n">
        <v>1022.274389807265</v>
      </c>
      <c r="HK23" t="n">
        <v>3718.50489443081</v>
      </c>
      <c r="HL23" t="n">
        <v>508.9177783129735</v>
      </c>
      <c r="HO23" t="n">
        <v>2391.344425207032</v>
      </c>
      <c r="HP23" t="n">
        <v>928.9284241434644</v>
      </c>
      <c r="HS23" t="n">
        <v>2812.895129703621</v>
      </c>
      <c r="HT23" t="n">
        <v>1469.859362541699</v>
      </c>
      <c r="IA23" t="n">
        <v>1143.874309299714</v>
      </c>
      <c r="IB23" t="n">
        <v>488.9417361252898</v>
      </c>
      <c r="II23" t="n">
        <v>2939.666268217716</v>
      </c>
      <c r="IJ23" t="n">
        <v>448.629987510176</v>
      </c>
      <c r="IK23" t="n">
        <v>3309.936725219627</v>
      </c>
      <c r="IL23" t="n">
        <v>426.1506069068979</v>
      </c>
      <c r="IQ23" t="n">
        <v>3759.109993190401</v>
      </c>
      <c r="IR23" t="n">
        <v>1411.089153295084</v>
      </c>
      <c r="IS23" t="n">
        <v>3501.844850064972</v>
      </c>
      <c r="IT23" t="n">
        <v>888.1944012295381</v>
      </c>
      <c r="IW23" t="n">
        <v>2342.97323951095</v>
      </c>
      <c r="IX23" t="n">
        <v>1816.875319271206</v>
      </c>
      <c r="IY23" t="n">
        <v>2155.96274025893</v>
      </c>
      <c r="IZ23" t="n">
        <v>1400.432978374904</v>
      </c>
      <c r="ME23" t="n">
        <v>517.9647659474248</v>
      </c>
      <c r="MF23" t="n">
        <v>290.3434747147342</v>
      </c>
      <c r="MI23" t="n">
        <v>417.0700711832555</v>
      </c>
      <c r="MJ23" t="n">
        <v>302.0380631250022</v>
      </c>
      <c r="NE23" t="n">
        <v>3300</v>
      </c>
      <c r="NF23" t="n">
        <v>870</v>
      </c>
      <c r="NU23" t="n">
        <v>1200</v>
      </c>
      <c r="NV23" t="n">
        <v>0.76</v>
      </c>
      <c r="NW23" t="n">
        <v>300</v>
      </c>
      <c r="NX23" t="n">
        <v>0.7</v>
      </c>
      <c r="OA23" t="n">
        <v>500</v>
      </c>
      <c r="OB23" t="n">
        <v>0.45</v>
      </c>
    </row>
    <row r="24">
      <c r="G24" t="n">
        <v>3000</v>
      </c>
      <c r="H24" t="n">
        <v>0.5</v>
      </c>
      <c r="S24" t="n">
        <v>1709.090909090909</v>
      </c>
      <c r="T24" t="n">
        <v>0.78</v>
      </c>
      <c r="Y24" t="n">
        <v>1127.272727272728</v>
      </c>
      <c r="Z24" t="n">
        <v>420</v>
      </c>
      <c r="AA24" t="n">
        <v>400</v>
      </c>
      <c r="AB24" t="n">
        <v>497</v>
      </c>
      <c r="AI24" t="n">
        <v>0.8</v>
      </c>
      <c r="AJ24" t="n">
        <v>0.503125</v>
      </c>
      <c r="AM24" t="n">
        <v>0.7</v>
      </c>
      <c r="AN24" t="n">
        <v>0.85</v>
      </c>
      <c r="AQ24" t="n">
        <v>0.95</v>
      </c>
      <c r="AR24" t="n">
        <v>0.5</v>
      </c>
      <c r="AY24" t="n">
        <v>1418.181818181818</v>
      </c>
      <c r="AZ24" t="n">
        <v>0.6</v>
      </c>
      <c r="BM24" t="n">
        <v>1050</v>
      </c>
      <c r="BN24" t="n">
        <v>288.15</v>
      </c>
      <c r="BO24" t="n">
        <v>543.75</v>
      </c>
      <c r="BP24" t="n">
        <v>300.032917</v>
      </c>
      <c r="BU24" t="n">
        <v>750</v>
      </c>
      <c r="BV24" t="n">
        <v>293.15</v>
      </c>
      <c r="BW24" t="n">
        <v>712.5</v>
      </c>
      <c r="BX24" t="n">
        <v>300.032917</v>
      </c>
      <c r="CC24" t="n">
        <v>862.5</v>
      </c>
      <c r="CD24" t="n">
        <v>283.15</v>
      </c>
      <c r="CE24" t="n">
        <v>300</v>
      </c>
      <c r="CF24" t="n">
        <v>300.032917</v>
      </c>
      <c r="CQ24" t="n">
        <v>450</v>
      </c>
      <c r="CR24" t="n">
        <v>288.15</v>
      </c>
      <c r="DA24" t="n">
        <v>3349.66301260008</v>
      </c>
      <c r="DB24" t="n">
        <v>1354.066158881679</v>
      </c>
      <c r="DC24" t="n">
        <v>4546.340013162568</v>
      </c>
      <c r="DD24" t="n">
        <v>495.370174083842</v>
      </c>
      <c r="DE24" t="n">
        <v>2410.50861223804</v>
      </c>
      <c r="DF24" t="n">
        <v>362.7585853384533</v>
      </c>
      <c r="DG24" t="n">
        <v>2753.600685755742</v>
      </c>
      <c r="DH24" t="n">
        <v>1280.721496143582</v>
      </c>
      <c r="DI24" t="n">
        <v>3842.3588158538</v>
      </c>
      <c r="DJ24" t="n">
        <v>1741.88695844015</v>
      </c>
      <c r="DK24" t="n">
        <v>4388.914820414277</v>
      </c>
      <c r="DL24" t="n">
        <v>2153.603666861276</v>
      </c>
      <c r="DS24" t="n">
        <v>2917.989850525363</v>
      </c>
      <c r="DT24" t="n">
        <v>1215.632736319139</v>
      </c>
      <c r="DW24" t="n">
        <v>4963.568620197417</v>
      </c>
      <c r="DX24" t="n">
        <v>700.606889505458</v>
      </c>
      <c r="EA24" t="n">
        <v>541.3681171659661</v>
      </c>
      <c r="EB24" t="n">
        <v>0.5728017960070007</v>
      </c>
      <c r="EC24" t="n">
        <v>503.8365226895149</v>
      </c>
      <c r="ED24" t="n">
        <v>0.6979307073817103</v>
      </c>
      <c r="EE24" t="n">
        <v>585.2136552848589</v>
      </c>
      <c r="EF24" t="n">
        <v>0.8236019573164047</v>
      </c>
      <c r="EI24" t="n">
        <v>584.273277267787</v>
      </c>
      <c r="EJ24" t="n">
        <v>0.5785893102880175</v>
      </c>
      <c r="EK24" t="n">
        <v>421.6696840792605</v>
      </c>
      <c r="EL24" t="n">
        <v>0.6304329766147577</v>
      </c>
      <c r="EM24" t="n">
        <v>489.2880641575446</v>
      </c>
      <c r="EN24" t="n">
        <v>0.7314409464981318</v>
      </c>
      <c r="EQ24" t="n">
        <v>693.3659915521961</v>
      </c>
      <c r="ER24" t="n">
        <v>0.7312529213806354</v>
      </c>
      <c r="EU24" t="n">
        <v>1721.464243854768</v>
      </c>
      <c r="EV24" t="n">
        <v>0.5809742205718562</v>
      </c>
      <c r="EY24" t="n">
        <v>4229.702644350538</v>
      </c>
      <c r="EZ24" t="n">
        <v>788.2892307169246</v>
      </c>
      <c r="FC24" t="n">
        <v>3914.4647998364</v>
      </c>
      <c r="FD24" t="n">
        <v>583.3889723668001</v>
      </c>
      <c r="FE24" t="n">
        <v>402.5</v>
      </c>
      <c r="FF24" t="n">
        <v>0.9</v>
      </c>
      <c r="FG24" t="n">
        <v>405</v>
      </c>
      <c r="FH24" t="n">
        <v>0.9</v>
      </c>
      <c r="FM24" t="n">
        <v>4081.823024523768</v>
      </c>
      <c r="FN24" t="n">
        <v>808.3402577390962</v>
      </c>
      <c r="FU24" t="n">
        <v>3000</v>
      </c>
      <c r="FV24" t="n">
        <v>613.75</v>
      </c>
      <c r="FW24" t="n">
        <v>3000</v>
      </c>
      <c r="FX24" t="n">
        <v>393.75</v>
      </c>
      <c r="GC24" t="n">
        <v>3905.950043184831</v>
      </c>
      <c r="GD24" t="n">
        <v>1359.556702008076</v>
      </c>
      <c r="GK24" t="n">
        <v>403</v>
      </c>
      <c r="GL24" t="n">
        <v>0.5</v>
      </c>
      <c r="GM24" t="n">
        <v>415</v>
      </c>
      <c r="GN24" t="n">
        <v>0.535</v>
      </c>
      <c r="GS24" t="n">
        <v>4808.3419580395</v>
      </c>
      <c r="GT24" t="n">
        <v>1022.274389807265</v>
      </c>
      <c r="GU24" t="n">
        <v>5000</v>
      </c>
      <c r="GV24" t="n">
        <v>1022.274389807265</v>
      </c>
      <c r="HK24" t="n">
        <v>3511.115525293447</v>
      </c>
      <c r="HL24" t="n">
        <v>1241.100319129622</v>
      </c>
      <c r="HO24" t="n">
        <v>2611.202307665564</v>
      </c>
      <c r="HP24" t="n">
        <v>1505.223808681337</v>
      </c>
      <c r="HS24" t="n">
        <v>3958.66631322253</v>
      </c>
      <c r="HT24" t="n">
        <v>1041.168318080701</v>
      </c>
      <c r="IA24" t="n">
        <v>749.4040603587387</v>
      </c>
      <c r="IB24" t="n">
        <v>386.6616014954907</v>
      </c>
      <c r="II24" t="n">
        <v>4637.343978994388</v>
      </c>
      <c r="IJ24" t="n">
        <v>446.9369494966269</v>
      </c>
      <c r="IK24" t="n">
        <v>3636.733644068622</v>
      </c>
      <c r="IL24" t="n">
        <v>419.1016301834545</v>
      </c>
      <c r="IQ24" t="n">
        <v>2764.591319773951</v>
      </c>
      <c r="IR24" t="n">
        <v>1155.526325065522</v>
      </c>
      <c r="IS24" t="n">
        <v>3821.837162749318</v>
      </c>
      <c r="IT24" t="n">
        <v>557.4672690384355</v>
      </c>
      <c r="IW24" t="n">
        <v>2718.760757600955</v>
      </c>
      <c r="IX24" t="n">
        <v>1895.182987385153</v>
      </c>
      <c r="IY24" t="n">
        <v>3294.006562740586</v>
      </c>
      <c r="IZ24" t="n">
        <v>1001.571043316357</v>
      </c>
      <c r="ME24" t="n">
        <v>879.4684061067735</v>
      </c>
      <c r="MF24" t="n">
        <v>297.5649672006087</v>
      </c>
      <c r="NE24" t="n">
        <v>3300</v>
      </c>
      <c r="NF24" t="n">
        <v>890</v>
      </c>
      <c r="NU24" t="n">
        <v>700</v>
      </c>
      <c r="NV24" t="n">
        <v>0.79</v>
      </c>
      <c r="NW24" t="n">
        <v>200</v>
      </c>
      <c r="NX24" t="n">
        <v>0.7</v>
      </c>
      <c r="OA24" t="n">
        <v>400</v>
      </c>
      <c r="OB24" t="n">
        <v>0.45</v>
      </c>
    </row>
    <row r="25">
      <c r="G25" t="n">
        <v>3000</v>
      </c>
      <c r="H25" t="n">
        <v>0.5</v>
      </c>
      <c r="S25" t="n">
        <v>2000</v>
      </c>
      <c r="T25" t="n">
        <v>0.78</v>
      </c>
      <c r="Y25" t="n">
        <v>981.818181818182</v>
      </c>
      <c r="Z25" t="n">
        <v>420</v>
      </c>
      <c r="AA25" t="n">
        <v>545.4545454545455</v>
      </c>
      <c r="AB25" t="n">
        <v>497</v>
      </c>
      <c r="AI25" t="n">
        <v>0.8</v>
      </c>
      <c r="AJ25" t="n">
        <v>0.496875</v>
      </c>
      <c r="AM25" t="n">
        <v>0.75</v>
      </c>
      <c r="AN25" t="n">
        <v>0.85</v>
      </c>
      <c r="AQ25" t="n">
        <v>0.4</v>
      </c>
      <c r="AR25" t="n">
        <v>0.6</v>
      </c>
      <c r="AY25" t="n">
        <v>1563.636363636364</v>
      </c>
      <c r="AZ25" t="n">
        <v>0.6</v>
      </c>
      <c r="BM25" t="n">
        <v>1500</v>
      </c>
      <c r="BN25" t="n">
        <v>288.15</v>
      </c>
      <c r="BO25" t="n">
        <v>384.375</v>
      </c>
      <c r="BP25" t="n">
        <v>288.15</v>
      </c>
      <c r="BU25" t="n">
        <v>900</v>
      </c>
      <c r="BV25" t="n">
        <v>293.15</v>
      </c>
      <c r="BW25" t="n">
        <v>731.25</v>
      </c>
      <c r="BX25" t="n">
        <v>300.032917</v>
      </c>
      <c r="CC25" t="n">
        <v>862.5</v>
      </c>
      <c r="CD25" t="n">
        <v>283.15</v>
      </c>
      <c r="CE25" t="n">
        <v>450</v>
      </c>
      <c r="CF25" t="n">
        <v>300.032917</v>
      </c>
      <c r="CQ25" t="n">
        <v>600</v>
      </c>
      <c r="CR25" t="n">
        <v>288.15</v>
      </c>
      <c r="DA25" t="n">
        <v>3672.889560886802</v>
      </c>
      <c r="DB25" t="n">
        <v>1143.919076288394</v>
      </c>
      <c r="DC25" t="n">
        <v>2160.485723338179</v>
      </c>
      <c r="DD25" t="n">
        <v>451.1849669195475</v>
      </c>
      <c r="DG25" t="n">
        <v>4536.454313399127</v>
      </c>
      <c r="DH25" t="n">
        <v>328.5843609878258</v>
      </c>
      <c r="DI25" t="n">
        <v>3888.493292773595</v>
      </c>
      <c r="DJ25" t="n">
        <v>2023.619636776904</v>
      </c>
      <c r="DK25" t="n">
        <v>4561.003173354306</v>
      </c>
      <c r="DL25" t="n">
        <v>2000.448736805984</v>
      </c>
      <c r="DS25" t="n">
        <v>2281.490390449984</v>
      </c>
      <c r="DT25" t="n">
        <v>1492.154812682336</v>
      </c>
      <c r="DW25" t="n">
        <v>3743.789463067232</v>
      </c>
      <c r="DX25" t="n">
        <v>1177.689504751274</v>
      </c>
      <c r="EA25" t="n">
        <v>466.5795601423641</v>
      </c>
      <c r="EB25" t="n">
        <v>0.5843009863275697</v>
      </c>
      <c r="EC25" t="n">
        <v>603.5456211981797</v>
      </c>
      <c r="ED25" t="n">
        <v>0.5008427402618544</v>
      </c>
      <c r="EE25" t="n">
        <v>596.043162431642</v>
      </c>
      <c r="EF25" t="n">
        <v>0.581175081142571</v>
      </c>
      <c r="EI25" t="n">
        <v>398.1850703270961</v>
      </c>
      <c r="EJ25" t="n">
        <v>0.5238861831522966</v>
      </c>
      <c r="EK25" t="n">
        <v>613.9605993541704</v>
      </c>
      <c r="EL25" t="n">
        <v>0.6211555501566646</v>
      </c>
      <c r="EM25" t="n">
        <v>571.9557724086422</v>
      </c>
      <c r="EN25" t="n">
        <v>0.8296401997146317</v>
      </c>
      <c r="EQ25" t="n">
        <v>1417.030968481151</v>
      </c>
      <c r="ER25" t="n">
        <v>0.6085103354562726</v>
      </c>
      <c r="EU25" t="n">
        <v>242.2328870566766</v>
      </c>
      <c r="EV25" t="n">
        <v>0.7872124260728028</v>
      </c>
      <c r="EY25" t="n">
        <v>4654.55954516022</v>
      </c>
      <c r="EZ25" t="n">
        <v>1363.193773342409</v>
      </c>
      <c r="FC25" t="n">
        <v>4873.243396133115</v>
      </c>
      <c r="FD25" t="n">
        <v>1850.891366576983</v>
      </c>
      <c r="FE25" t="n">
        <v>405</v>
      </c>
      <c r="FF25" t="n">
        <v>0.9</v>
      </c>
      <c r="FG25" t="n">
        <v>407.5</v>
      </c>
      <c r="FH25" t="n">
        <v>0.9</v>
      </c>
      <c r="FM25" t="n">
        <v>3481.823024523768</v>
      </c>
      <c r="FN25" t="n">
        <v>808.3402577390962</v>
      </c>
      <c r="FU25" t="n">
        <v>3000</v>
      </c>
      <c r="FV25" t="n">
        <v>393.75</v>
      </c>
      <c r="FW25" t="n">
        <v>3000</v>
      </c>
      <c r="FX25" t="n">
        <v>393.75</v>
      </c>
      <c r="GC25" t="n">
        <v>3905.950043184831</v>
      </c>
      <c r="GD25" t="n">
        <v>1359.556702008076</v>
      </c>
      <c r="GK25" t="n">
        <v>403</v>
      </c>
      <c r="GL25" t="n">
        <v>0.5</v>
      </c>
      <c r="GM25" t="n">
        <v>415</v>
      </c>
      <c r="GN25" t="n">
        <v>0.5</v>
      </c>
      <c r="GS25" t="n">
        <v>4808.3419580395</v>
      </c>
      <c r="GT25" t="n">
        <v>1022.274389807265</v>
      </c>
      <c r="GU25" t="n">
        <v>4808.3419580395</v>
      </c>
      <c r="GV25" t="n">
        <v>802.2743898072646</v>
      </c>
      <c r="HK25" t="n">
        <v>3705.459528615119</v>
      </c>
      <c r="HL25" t="n">
        <v>598.7695797664916</v>
      </c>
      <c r="HO25" t="n">
        <v>2797.289610968453</v>
      </c>
      <c r="HP25" t="n">
        <v>1412.658312310471</v>
      </c>
      <c r="HS25" t="n">
        <v>3463.226043991491</v>
      </c>
      <c r="HT25" t="n">
        <v>1011.05225480979</v>
      </c>
      <c r="IA25" t="n">
        <v>1006.755202959311</v>
      </c>
      <c r="IB25" t="n">
        <v>519.2254446513787</v>
      </c>
      <c r="II25" t="n">
        <v>3929.470435792604</v>
      </c>
      <c r="IJ25" t="n">
        <v>477.911986612304</v>
      </c>
      <c r="IK25" t="n">
        <v>3433.421605436529</v>
      </c>
      <c r="IL25" t="n">
        <v>383.6658406237578</v>
      </c>
      <c r="IQ25" t="n">
        <v>2593.581960556927</v>
      </c>
      <c r="IR25" t="n">
        <v>918.3190357751024</v>
      </c>
      <c r="IS25" t="n">
        <v>3433.368623997168</v>
      </c>
      <c r="IT25" t="n">
        <v>1382.373048894998</v>
      </c>
      <c r="IW25" t="n">
        <v>4897.146113588794</v>
      </c>
      <c r="IX25" t="n">
        <v>825.8449303002042</v>
      </c>
      <c r="IY25" t="n">
        <v>4750.027427325755</v>
      </c>
      <c r="IZ25" t="n">
        <v>1040.17912341992</v>
      </c>
      <c r="ME25" t="n">
        <v>1159.515589126964</v>
      </c>
      <c r="MF25" t="n">
        <v>280.628099726345</v>
      </c>
      <c r="NE25" t="n">
        <v>3300</v>
      </c>
      <c r="NF25" t="n">
        <v>810</v>
      </c>
      <c r="NU25" t="n">
        <v>800</v>
      </c>
      <c r="NV25" t="n">
        <v>0.79</v>
      </c>
      <c r="NW25" t="n">
        <v>400</v>
      </c>
      <c r="NX25" t="n">
        <v>0.7</v>
      </c>
      <c r="OA25" t="n">
        <v>300</v>
      </c>
      <c r="OB25" t="n">
        <v>0.45</v>
      </c>
    </row>
    <row r="26">
      <c r="G26" t="n">
        <v>3000</v>
      </c>
      <c r="H26" t="n">
        <v>0.5</v>
      </c>
      <c r="S26" t="n">
        <v>400</v>
      </c>
      <c r="T26" t="n">
        <v>0.8100000000000001</v>
      </c>
      <c r="Y26" t="n">
        <v>1272.727272727273</v>
      </c>
      <c r="Z26" t="n">
        <v>420</v>
      </c>
      <c r="AA26" t="n">
        <v>690.909090909091</v>
      </c>
      <c r="AB26" t="n">
        <v>497</v>
      </c>
      <c r="AM26" t="n">
        <v>0.65</v>
      </c>
      <c r="AN26" t="n">
        <v>0.85</v>
      </c>
      <c r="AQ26" t="n">
        <v>0.45</v>
      </c>
      <c r="AR26" t="n">
        <v>0.6</v>
      </c>
      <c r="AY26" t="n">
        <v>1709.090909090909</v>
      </c>
      <c r="AZ26" t="n">
        <v>0.6</v>
      </c>
      <c r="BM26" t="n">
        <v>1200</v>
      </c>
      <c r="BN26" t="n">
        <v>288.15</v>
      </c>
      <c r="BO26" t="n">
        <v>328.125</v>
      </c>
      <c r="BP26" t="n">
        <v>283.15</v>
      </c>
      <c r="BU26" t="n">
        <v>1050</v>
      </c>
      <c r="BV26" t="n">
        <v>293.15</v>
      </c>
      <c r="BW26" t="n">
        <v>731.25</v>
      </c>
      <c r="BX26" t="n">
        <v>300.032917</v>
      </c>
      <c r="CC26" t="n">
        <v>1012.5</v>
      </c>
      <c r="CD26" t="n">
        <v>288.15</v>
      </c>
      <c r="CE26" t="n">
        <v>600</v>
      </c>
      <c r="CF26" t="n">
        <v>300.032917</v>
      </c>
      <c r="CQ26" t="n">
        <v>750</v>
      </c>
      <c r="CR26" t="n">
        <v>288.15</v>
      </c>
      <c r="DA26" t="n">
        <v>2155.056578862561</v>
      </c>
      <c r="DB26" t="n">
        <v>1187.02941119233</v>
      </c>
      <c r="DC26" t="n">
        <v>4238.795622881742</v>
      </c>
      <c r="DD26" t="n">
        <v>1208.258783111841</v>
      </c>
      <c r="DG26" t="n">
        <v>2931.470571288104</v>
      </c>
      <c r="DH26" t="n">
        <v>1223.327062052129</v>
      </c>
      <c r="DI26" t="n">
        <v>2447.732658124461</v>
      </c>
      <c r="DJ26" t="n">
        <v>1907.207517585249</v>
      </c>
      <c r="DK26" t="n">
        <v>2244.649248802665</v>
      </c>
      <c r="DL26" t="n">
        <v>1858.653785047535</v>
      </c>
      <c r="DS26" t="n">
        <v>2576.266807298248</v>
      </c>
      <c r="DT26" t="n">
        <v>301.3241683973388</v>
      </c>
      <c r="DW26" t="n">
        <v>4674.067663828345</v>
      </c>
      <c r="DX26" t="n">
        <v>1126.886755993013</v>
      </c>
      <c r="EA26" t="n">
        <v>516.515372530245</v>
      </c>
      <c r="EB26" t="n">
        <v>0.6901936412212248</v>
      </c>
      <c r="EC26" t="n">
        <v>408.7927811242594</v>
      </c>
      <c r="ED26" t="n">
        <v>0.7414542420703202</v>
      </c>
      <c r="EE26" t="n">
        <v>475.6980483654508</v>
      </c>
      <c r="EF26" t="n">
        <v>0.7540834288796086</v>
      </c>
      <c r="EI26" t="n">
        <v>412.108925155677</v>
      </c>
      <c r="EJ26" t="n">
        <v>0.5633159091307038</v>
      </c>
      <c r="EK26" t="n">
        <v>592.0976694474074</v>
      </c>
      <c r="EL26" t="n">
        <v>0.6693921805306169</v>
      </c>
      <c r="EM26" t="n">
        <v>586.0927389496096</v>
      </c>
      <c r="EN26" t="n">
        <v>0.5522716290513601</v>
      </c>
      <c r="EQ26" t="n">
        <v>574.1498330490839</v>
      </c>
      <c r="ER26" t="n">
        <v>0.5047244696672515</v>
      </c>
      <c r="EU26" t="n">
        <v>1354.960781701227</v>
      </c>
      <c r="EV26" t="n">
        <v>0.7568139001921868</v>
      </c>
      <c r="EY26" t="n">
        <v>4642.224557439691</v>
      </c>
      <c r="EZ26" t="n">
        <v>380.0306949122293</v>
      </c>
      <c r="FC26" t="n">
        <v>3609.833779423224</v>
      </c>
      <c r="FD26" t="n">
        <v>640.3360215528666</v>
      </c>
      <c r="FE26" t="n">
        <v>407.5</v>
      </c>
      <c r="FF26" t="n">
        <v>0.9</v>
      </c>
      <c r="FG26" t="n">
        <v>410</v>
      </c>
      <c r="FH26" t="n">
        <v>0.9</v>
      </c>
      <c r="FM26" t="n">
        <v>3781.823024523768</v>
      </c>
      <c r="FN26" t="n">
        <v>1028.340257739096</v>
      </c>
      <c r="FU26" t="n">
        <v>3000</v>
      </c>
      <c r="FV26" t="n">
        <v>393.75</v>
      </c>
      <c r="FW26" t="n">
        <v>3000</v>
      </c>
      <c r="FX26" t="n">
        <v>393.75</v>
      </c>
      <c r="GC26" t="n">
        <v>3905.950043184831</v>
      </c>
      <c r="GD26" t="n">
        <v>1359.556702008076</v>
      </c>
      <c r="GK26" t="n">
        <v>403</v>
      </c>
      <c r="GL26" t="n">
        <v>0.5</v>
      </c>
      <c r="GM26" t="n">
        <v>427</v>
      </c>
      <c r="GN26" t="n">
        <v>0.5</v>
      </c>
      <c r="GS26" t="n">
        <v>4808.3419580395</v>
      </c>
      <c r="GT26" t="n">
        <v>1022.274389807265</v>
      </c>
      <c r="GU26" t="n">
        <v>4808.3419580395</v>
      </c>
      <c r="GV26" t="n">
        <v>1022.274389807265</v>
      </c>
      <c r="HK26" t="n">
        <v>3273.705587787349</v>
      </c>
      <c r="HL26" t="n">
        <v>813.4598554704487</v>
      </c>
      <c r="HO26" t="n">
        <v>4802.001829474736</v>
      </c>
      <c r="HP26" t="n">
        <v>588.7707004272337</v>
      </c>
      <c r="HS26" t="n">
        <v>2386.906949143377</v>
      </c>
      <c r="HT26" t="n">
        <v>1442.478059880373</v>
      </c>
      <c r="IA26" t="n">
        <v>1081.508132910307</v>
      </c>
      <c r="IB26" t="n">
        <v>415.19626599348</v>
      </c>
      <c r="II26" t="n">
        <v>2543.991158250607</v>
      </c>
      <c r="IJ26" t="n">
        <v>470.3193724083222</v>
      </c>
      <c r="IK26" t="n">
        <v>2832.577281343034</v>
      </c>
      <c r="IL26" t="n">
        <v>384.2226159193298</v>
      </c>
      <c r="IQ26" t="n">
        <v>3935.283107365786</v>
      </c>
      <c r="IR26" t="n">
        <v>1432.738228463194</v>
      </c>
      <c r="IS26" t="n">
        <v>2221.640114127998</v>
      </c>
      <c r="IT26" t="n">
        <v>528.8085837811293</v>
      </c>
      <c r="IW26" t="n">
        <v>3977.46734184636</v>
      </c>
      <c r="IX26" t="n">
        <v>1074.54304218749</v>
      </c>
      <c r="IY26" t="n">
        <v>2913.364741932514</v>
      </c>
      <c r="IZ26" t="n">
        <v>1616.972874432996</v>
      </c>
      <c r="ME26" t="n">
        <v>786.8542252963603</v>
      </c>
      <c r="MF26" t="n">
        <v>282.932586758356</v>
      </c>
      <c r="NE26" t="n">
        <v>3300</v>
      </c>
      <c r="NF26" t="n">
        <v>950</v>
      </c>
      <c r="NU26" t="n">
        <v>900</v>
      </c>
      <c r="NV26" t="n">
        <v>0.79</v>
      </c>
    </row>
    <row r="27">
      <c r="G27" t="n">
        <v>3000</v>
      </c>
      <c r="H27" t="n">
        <v>0.5</v>
      </c>
      <c r="S27" t="n">
        <v>545.4545454545455</v>
      </c>
      <c r="T27" t="n">
        <v>0.8100000000000001</v>
      </c>
      <c r="Y27" t="n">
        <v>1418.181818181818</v>
      </c>
      <c r="Z27" t="n">
        <v>420</v>
      </c>
      <c r="AA27" t="n">
        <v>836.3636363636364</v>
      </c>
      <c r="AB27" t="n">
        <v>497</v>
      </c>
      <c r="AM27" t="n">
        <v>0.8</v>
      </c>
      <c r="AN27" t="n">
        <v>0.85</v>
      </c>
      <c r="AQ27" t="n">
        <v>0.5</v>
      </c>
      <c r="AR27" t="n">
        <v>0.6</v>
      </c>
      <c r="AY27" t="n">
        <v>1854.545454545455</v>
      </c>
      <c r="AZ27" t="n">
        <v>0.6</v>
      </c>
      <c r="BM27" t="n">
        <v>600</v>
      </c>
      <c r="BN27" t="n">
        <v>293.15</v>
      </c>
      <c r="BO27" t="n">
        <v>328.125</v>
      </c>
      <c r="BP27" t="n">
        <v>283.15</v>
      </c>
      <c r="BU27" t="n">
        <v>1200</v>
      </c>
      <c r="BV27" t="n">
        <v>293.15</v>
      </c>
      <c r="BW27" t="n">
        <v>384.375</v>
      </c>
      <c r="BX27" t="n">
        <v>278.15</v>
      </c>
      <c r="CC27" t="n">
        <v>1012.5</v>
      </c>
      <c r="CD27" t="n">
        <v>288.15</v>
      </c>
      <c r="CE27" t="n">
        <v>750</v>
      </c>
      <c r="CF27" t="n">
        <v>300.032917</v>
      </c>
      <c r="CQ27" t="n">
        <v>1050</v>
      </c>
      <c r="CR27" t="n">
        <v>288.15</v>
      </c>
      <c r="DA27" t="n">
        <v>4615.247022083548</v>
      </c>
      <c r="DB27" t="n">
        <v>1406.893214417201</v>
      </c>
      <c r="DC27" t="n">
        <v>4680.893184247408</v>
      </c>
      <c r="DD27" t="n">
        <v>1389.747100071894</v>
      </c>
      <c r="DG27" t="n">
        <v>4784.510602589246</v>
      </c>
      <c r="DH27" t="n">
        <v>507.5453731251175</v>
      </c>
      <c r="DI27" t="n">
        <v>4608.017638701334</v>
      </c>
      <c r="DJ27" t="n">
        <v>2069.983251638794</v>
      </c>
      <c r="DK27" t="n">
        <v>3821.846090088983</v>
      </c>
      <c r="DL27" t="n">
        <v>1697.526761536378</v>
      </c>
      <c r="DS27" t="n">
        <v>3471.482575099711</v>
      </c>
      <c r="DT27" t="n">
        <v>1793.187018980638</v>
      </c>
      <c r="DW27" t="n">
        <v>2820.748296422965</v>
      </c>
      <c r="DX27" t="n">
        <v>314.6296897467016</v>
      </c>
      <c r="EA27" t="n">
        <v>607.8443151303683</v>
      </c>
      <c r="EB27" t="n">
        <v>0.6691273260536921</v>
      </c>
      <c r="EC27" t="n">
        <v>446.0015583146773</v>
      </c>
      <c r="ED27" t="n">
        <v>0.6767239778371865</v>
      </c>
      <c r="EI27" t="n">
        <v>574.7326451137696</v>
      </c>
      <c r="EJ27" t="n">
        <v>0.5208047054218315</v>
      </c>
      <c r="EK27" t="n">
        <v>442.2130491398488</v>
      </c>
      <c r="EL27" t="n">
        <v>0.8360047058947926</v>
      </c>
      <c r="EM27" t="n">
        <v>384.3926833282338</v>
      </c>
      <c r="EN27" t="n">
        <v>0.8089417646218888</v>
      </c>
      <c r="EQ27" t="n">
        <v>1623.284938184243</v>
      </c>
      <c r="ER27" t="n">
        <v>0.56499620980944</v>
      </c>
      <c r="EU27" t="n">
        <v>984.7820692121492</v>
      </c>
      <c r="EV27" t="n">
        <v>0.8280226635481311</v>
      </c>
      <c r="EY27" t="n">
        <v>3085.144476148409</v>
      </c>
      <c r="EZ27" t="n">
        <v>1782.9854213851</v>
      </c>
      <c r="FC27" t="n">
        <v>4115.160922667759</v>
      </c>
      <c r="FD27" t="n">
        <v>1120.85803084535</v>
      </c>
      <c r="FE27" t="n">
        <v>410</v>
      </c>
      <c r="FF27" t="n">
        <v>0.9</v>
      </c>
      <c r="FG27" t="n">
        <v>400</v>
      </c>
      <c r="FH27" t="n">
        <v>0.925</v>
      </c>
      <c r="FM27" t="n">
        <v>3781.823024523768</v>
      </c>
      <c r="FN27" t="n">
        <v>808.3402577390962</v>
      </c>
      <c r="FU27" t="n">
        <v>3000</v>
      </c>
      <c r="FV27" t="n">
        <v>393.75</v>
      </c>
      <c r="FW27" t="n">
        <v>3000</v>
      </c>
      <c r="FX27" t="n">
        <v>393.75</v>
      </c>
      <c r="GC27" t="n">
        <v>3905.950043184831</v>
      </c>
      <c r="GD27" t="n">
        <v>1359.556702008076</v>
      </c>
      <c r="GK27" t="n">
        <v>403</v>
      </c>
      <c r="GL27" t="n">
        <v>0.5</v>
      </c>
      <c r="GM27" t="n">
        <v>415</v>
      </c>
      <c r="GN27" t="n">
        <v>0.535</v>
      </c>
      <c r="GS27" t="n">
        <v>4808.3419580395</v>
      </c>
      <c r="GT27" t="n">
        <v>1022.274389807265</v>
      </c>
      <c r="GU27" t="n">
        <v>4808.3419580395</v>
      </c>
      <c r="GV27" t="n">
        <v>1022.274389807265</v>
      </c>
      <c r="HK27" t="n">
        <v>4149.903660489212</v>
      </c>
      <c r="HL27" t="n">
        <v>1094.998009589537</v>
      </c>
      <c r="HO27" t="n">
        <v>2355.653282241308</v>
      </c>
      <c r="HP27" t="n">
        <v>1896.660037064872</v>
      </c>
      <c r="HS27" t="n">
        <v>4721.1741915917</v>
      </c>
      <c r="HT27" t="n">
        <v>1597.900792178647</v>
      </c>
      <c r="IA27" t="n">
        <v>1249.730318873912</v>
      </c>
      <c r="IB27" t="n">
        <v>504.6304505598125</v>
      </c>
      <c r="II27" t="n">
        <v>3138.072665225484</v>
      </c>
      <c r="IJ27" t="n">
        <v>485.8380480778657</v>
      </c>
      <c r="IK27" t="n">
        <v>3801.831214775442</v>
      </c>
      <c r="IL27" t="n">
        <v>517.1603526902738</v>
      </c>
      <c r="IQ27" t="n">
        <v>3588.850044599738</v>
      </c>
      <c r="IR27" t="n">
        <v>1906.47152298078</v>
      </c>
      <c r="IS27" t="n">
        <v>2035.57045200608</v>
      </c>
      <c r="IT27" t="n">
        <v>499.2857977868781</v>
      </c>
      <c r="IW27" t="n">
        <v>2789.063293176551</v>
      </c>
      <c r="IX27" t="n">
        <v>1811.461374951889</v>
      </c>
      <c r="IY27" t="n">
        <v>2402.607245187027</v>
      </c>
      <c r="IZ27" t="n">
        <v>490.7379452913003</v>
      </c>
      <c r="ME27" t="n">
        <v>998.0320214887304</v>
      </c>
      <c r="MF27" t="n">
        <v>293.8549438985649</v>
      </c>
      <c r="NE27" t="n">
        <v>3300</v>
      </c>
      <c r="NF27" t="n">
        <v>910</v>
      </c>
      <c r="NU27" t="n">
        <v>1000</v>
      </c>
      <c r="NV27" t="n">
        <v>0.79</v>
      </c>
    </row>
    <row r="28">
      <c r="G28" t="n">
        <v>3000</v>
      </c>
      <c r="H28" t="n">
        <v>0.5</v>
      </c>
      <c r="S28" t="n">
        <v>690.909090909091</v>
      </c>
      <c r="T28" t="n">
        <v>0.8100000000000001</v>
      </c>
      <c r="Y28" t="n">
        <v>1563.636363636364</v>
      </c>
      <c r="Z28" t="n">
        <v>420</v>
      </c>
      <c r="AA28" t="n">
        <v>981.818181818182</v>
      </c>
      <c r="AB28" t="n">
        <v>497</v>
      </c>
      <c r="AM28" t="n">
        <v>0.85</v>
      </c>
      <c r="AN28" t="n">
        <v>0.85</v>
      </c>
      <c r="AQ28" t="n">
        <v>0.55</v>
      </c>
      <c r="AR28" t="n">
        <v>0.6</v>
      </c>
      <c r="AY28" t="n">
        <v>2000</v>
      </c>
      <c r="AZ28" t="n">
        <v>0.6</v>
      </c>
      <c r="BM28" t="n">
        <v>750</v>
      </c>
      <c r="BN28" t="n">
        <v>293.15</v>
      </c>
      <c r="BO28" t="n">
        <v>384.375</v>
      </c>
      <c r="BP28" t="n">
        <v>288.15</v>
      </c>
      <c r="BU28" t="n">
        <v>1350</v>
      </c>
      <c r="BV28" t="n">
        <v>293.15</v>
      </c>
      <c r="BW28" t="n">
        <v>384.375</v>
      </c>
      <c r="BX28" t="n">
        <v>278.15</v>
      </c>
      <c r="CC28" t="n">
        <v>1312.5</v>
      </c>
      <c r="CD28" t="n">
        <v>300.032917</v>
      </c>
      <c r="CE28" t="n">
        <v>900</v>
      </c>
      <c r="CF28" t="n">
        <v>300.032917</v>
      </c>
      <c r="CQ28" t="n">
        <v>900</v>
      </c>
      <c r="CR28" t="n">
        <v>288.15</v>
      </c>
      <c r="DA28" t="n">
        <v>4111.491561710556</v>
      </c>
      <c r="DB28" t="n">
        <v>1493.200032708748</v>
      </c>
      <c r="DC28" t="n">
        <v>4294.967237002176</v>
      </c>
      <c r="DD28" t="n">
        <v>1497.996504854212</v>
      </c>
      <c r="DG28" t="n">
        <v>3240.600488638109</v>
      </c>
      <c r="DH28" t="n">
        <v>653.4198130836471</v>
      </c>
      <c r="DI28" t="n">
        <v>4550.847890416774</v>
      </c>
      <c r="DJ28" t="n">
        <v>2449.312120001814</v>
      </c>
      <c r="DK28" t="n">
        <v>3304.55859925308</v>
      </c>
      <c r="DL28" t="n">
        <v>1902.764174137651</v>
      </c>
      <c r="DS28" t="n">
        <v>2044.195679055776</v>
      </c>
      <c r="DT28" t="n">
        <v>576.2626501481217</v>
      </c>
      <c r="DW28" t="n">
        <v>3531.292265574615</v>
      </c>
      <c r="DX28" t="n">
        <v>1662.020872077349</v>
      </c>
      <c r="EA28" t="n">
        <v>404.2553776240437</v>
      </c>
      <c r="EB28" t="n">
        <v>0.6660172931968384</v>
      </c>
      <c r="EC28" t="n">
        <v>614.6072529895794</v>
      </c>
      <c r="ED28" t="n">
        <v>0.7472589216365357</v>
      </c>
      <c r="EI28" t="n">
        <v>427.8966608009917</v>
      </c>
      <c r="EJ28" t="n">
        <v>0.8246437707548926</v>
      </c>
      <c r="EK28" t="n">
        <v>429.7796200077704</v>
      </c>
      <c r="EL28" t="n">
        <v>0.7024082212451934</v>
      </c>
      <c r="EM28" t="n">
        <v>464.5706340872061</v>
      </c>
      <c r="EN28" t="n">
        <v>0.7458735135076435</v>
      </c>
      <c r="EQ28" t="n">
        <v>667.3937332506657</v>
      </c>
      <c r="ER28" t="n">
        <v>0.7155809603229007</v>
      </c>
      <c r="EU28" t="n">
        <v>379.9587698226662</v>
      </c>
      <c r="EV28" t="n">
        <v>0.7839077685401803</v>
      </c>
      <c r="EY28" t="n">
        <v>2037.930113333558</v>
      </c>
      <c r="EZ28" t="n">
        <v>941.2850065620332</v>
      </c>
      <c r="FC28" t="n">
        <v>3668.556329404948</v>
      </c>
      <c r="FD28" t="n">
        <v>554.015145120859</v>
      </c>
      <c r="FE28" t="n">
        <v>390</v>
      </c>
      <c r="FF28" t="n">
        <v>0.925</v>
      </c>
      <c r="FG28" t="n">
        <v>402.5</v>
      </c>
      <c r="FH28" t="n">
        <v>0.925</v>
      </c>
      <c r="FM28" t="n">
        <v>3781.823024523768</v>
      </c>
      <c r="FN28" t="n">
        <v>808.3402577390962</v>
      </c>
      <c r="FU28" t="n">
        <v>3000</v>
      </c>
      <c r="FV28" t="n">
        <v>393.75</v>
      </c>
      <c r="FW28" t="n">
        <v>3000</v>
      </c>
      <c r="FX28" t="n">
        <v>393.75</v>
      </c>
      <c r="GC28" t="n">
        <v>3905.950043184831</v>
      </c>
      <c r="GD28" t="n">
        <v>1359.556702008076</v>
      </c>
      <c r="GK28" t="n">
        <v>403</v>
      </c>
      <c r="GL28" t="n">
        <v>0.5</v>
      </c>
      <c r="GM28" t="n">
        <v>415</v>
      </c>
      <c r="GN28" t="n">
        <v>0.5</v>
      </c>
      <c r="GS28" t="n">
        <v>4808.3419580395</v>
      </c>
      <c r="GT28" t="n">
        <v>1022.274389807265</v>
      </c>
      <c r="GU28" t="n">
        <v>4808.3419580395</v>
      </c>
      <c r="GV28" t="n">
        <v>1022.274389807265</v>
      </c>
      <c r="HK28" t="n">
        <v>3858.869269033584</v>
      </c>
      <c r="HL28" t="n">
        <v>1065.534345890562</v>
      </c>
      <c r="HO28" t="n">
        <v>3619.001163880559</v>
      </c>
      <c r="HP28" t="n">
        <v>1782.109645469663</v>
      </c>
      <c r="HS28" t="n">
        <v>3214.029769258531</v>
      </c>
      <c r="HT28" t="n">
        <v>1289.468386599512</v>
      </c>
      <c r="IA28" t="n">
        <v>1782.366810095572</v>
      </c>
      <c r="IB28" t="n">
        <v>401.8067300794218</v>
      </c>
      <c r="II28" t="n">
        <v>4070.061389824458</v>
      </c>
      <c r="IJ28" t="n">
        <v>455.79239309095</v>
      </c>
      <c r="IK28" t="n">
        <v>3501.503804078227</v>
      </c>
      <c r="IL28" t="n">
        <v>433.2122061562321</v>
      </c>
      <c r="IQ28" t="n">
        <v>3285.861117934201</v>
      </c>
      <c r="IR28" t="n">
        <v>1305.479182674044</v>
      </c>
      <c r="IS28" t="n">
        <v>3342.736222942512</v>
      </c>
      <c r="IT28" t="n">
        <v>714.8067582435117</v>
      </c>
      <c r="IW28" t="n">
        <v>4216.561362824399</v>
      </c>
      <c r="IX28" t="n">
        <v>1323.803350799093</v>
      </c>
      <c r="IY28" t="n">
        <v>3331.139015266297</v>
      </c>
      <c r="IZ28" t="n">
        <v>1606.581248432317</v>
      </c>
      <c r="ME28" t="n">
        <v>1523.574747288488</v>
      </c>
      <c r="MF28" t="n">
        <v>291.6825932982761</v>
      </c>
      <c r="NE28" t="n">
        <v>3300</v>
      </c>
      <c r="NF28" t="n">
        <v>830</v>
      </c>
      <c r="NU28" t="n">
        <v>1100</v>
      </c>
      <c r="NV28" t="n">
        <v>0.79</v>
      </c>
    </row>
    <row r="29">
      <c r="G29" t="n">
        <v>3000</v>
      </c>
      <c r="H29" t="n">
        <v>0.5</v>
      </c>
      <c r="S29" t="n">
        <v>836.3636363636364</v>
      </c>
      <c r="T29" t="n">
        <v>0.8100000000000001</v>
      </c>
      <c r="Y29" t="n">
        <v>1709.090909090909</v>
      </c>
      <c r="Z29" t="n">
        <v>420</v>
      </c>
      <c r="AA29" t="n">
        <v>1127.272727272728</v>
      </c>
      <c r="AB29" t="n">
        <v>497</v>
      </c>
      <c r="AM29" t="n">
        <v>0.8</v>
      </c>
      <c r="AN29" t="n">
        <v>0.85</v>
      </c>
      <c r="AQ29" t="n">
        <v>0.6</v>
      </c>
      <c r="AR29" t="n">
        <v>0.6</v>
      </c>
      <c r="AY29" t="n">
        <v>400</v>
      </c>
      <c r="AZ29" t="n">
        <v>0.7</v>
      </c>
      <c r="BM29" t="n">
        <v>900</v>
      </c>
      <c r="BN29" t="n">
        <v>293.15</v>
      </c>
      <c r="BO29" t="n">
        <v>553.125</v>
      </c>
      <c r="BP29" t="n">
        <v>300.032917</v>
      </c>
      <c r="BU29" t="n">
        <v>1500</v>
      </c>
      <c r="BV29" t="n">
        <v>293.15</v>
      </c>
      <c r="BW29" t="n">
        <v>609.375</v>
      </c>
      <c r="BX29" t="n">
        <v>293.15</v>
      </c>
      <c r="CC29" t="n">
        <v>1312.5</v>
      </c>
      <c r="CD29" t="n">
        <v>300.032917</v>
      </c>
      <c r="CE29" t="n">
        <v>1050</v>
      </c>
      <c r="CF29" t="n">
        <v>300.032917</v>
      </c>
      <c r="CQ29" t="n">
        <v>1200</v>
      </c>
      <c r="CR29" t="n">
        <v>288.15</v>
      </c>
      <c r="DA29" t="n">
        <v>2583.243937801293</v>
      </c>
      <c r="DB29" t="n">
        <v>1235.270961844453</v>
      </c>
      <c r="DC29" t="n">
        <v>4249.633474856335</v>
      </c>
      <c r="DD29" t="n">
        <v>759.8630801584197</v>
      </c>
      <c r="DG29" t="n">
        <v>2706.720715021008</v>
      </c>
      <c r="DH29" t="n">
        <v>306.7283875827424</v>
      </c>
      <c r="DI29" t="n">
        <v>4290.796032463362</v>
      </c>
      <c r="DJ29" t="n">
        <v>2418.816917516489</v>
      </c>
      <c r="DK29" t="n">
        <v>2599.301246246027</v>
      </c>
      <c r="DL29" t="n">
        <v>1815.583967107892</v>
      </c>
      <c r="DS29" t="n">
        <v>2859.118089123749</v>
      </c>
      <c r="DT29" t="n">
        <v>383.602133105727</v>
      </c>
      <c r="DW29" t="n">
        <v>4813.701246399209</v>
      </c>
      <c r="DX29" t="n">
        <v>1414.34852623976</v>
      </c>
      <c r="EA29" t="n">
        <v>507.7174393153383</v>
      </c>
      <c r="EB29" t="n">
        <v>0.6983391949351367</v>
      </c>
      <c r="EC29" t="n">
        <v>382.3457749796415</v>
      </c>
      <c r="ED29" t="n">
        <v>0.6506023328228557</v>
      </c>
      <c r="EI29" t="n">
        <v>528.1253283501076</v>
      </c>
      <c r="EJ29" t="n">
        <v>0.5331534119735771</v>
      </c>
      <c r="EK29" t="n">
        <v>494.3066263771658</v>
      </c>
      <c r="EL29" t="n">
        <v>0.7726411599410641</v>
      </c>
      <c r="EM29" t="n">
        <v>602.1123434434148</v>
      </c>
      <c r="EN29" t="n">
        <v>0.7519826772803814</v>
      </c>
      <c r="EQ29" t="n">
        <v>788.2846212475242</v>
      </c>
      <c r="ER29" t="n">
        <v>0.5743698239653026</v>
      </c>
      <c r="EU29" t="n">
        <v>1880.028816148849</v>
      </c>
      <c r="EV29" t="n">
        <v>0.7257493775946512</v>
      </c>
      <c r="EY29" t="n">
        <v>3954.235085225578</v>
      </c>
      <c r="EZ29" t="n">
        <v>442.2624203117194</v>
      </c>
      <c r="FC29" t="n">
        <v>2775.610115467278</v>
      </c>
      <c r="FD29" t="n">
        <v>614.2007766081051</v>
      </c>
      <c r="FE29" t="n">
        <v>392.5</v>
      </c>
      <c r="FF29" t="n">
        <v>0.925</v>
      </c>
      <c r="FG29" t="n">
        <v>405</v>
      </c>
      <c r="FH29" t="n">
        <v>0.925</v>
      </c>
      <c r="FM29" t="n">
        <v>3781.823024523768</v>
      </c>
      <c r="FN29" t="n">
        <v>808.3402577390962</v>
      </c>
      <c r="FU29" t="n">
        <v>3000</v>
      </c>
      <c r="FV29" t="n">
        <v>393.75</v>
      </c>
      <c r="FW29" t="n">
        <v>2700</v>
      </c>
      <c r="FX29" t="n">
        <v>393.75</v>
      </c>
      <c r="GC29" t="n">
        <v>4205.950043184831</v>
      </c>
      <c r="GD29" t="n">
        <v>1359.556702008076</v>
      </c>
      <c r="GK29" t="n">
        <v>403</v>
      </c>
      <c r="GL29" t="n">
        <v>0.5</v>
      </c>
      <c r="GM29" t="n">
        <v>427</v>
      </c>
      <c r="GN29" t="n">
        <v>0.5</v>
      </c>
      <c r="GS29" t="n">
        <v>4808.3419580395</v>
      </c>
      <c r="GT29" t="n">
        <v>1022.274389807265</v>
      </c>
      <c r="HK29" t="n">
        <v>2518.668185550502</v>
      </c>
      <c r="HL29" t="n">
        <v>1279.042284917747</v>
      </c>
      <c r="HO29" t="n">
        <v>3224.871221842738</v>
      </c>
      <c r="HP29" t="n">
        <v>1596.654993748086</v>
      </c>
      <c r="HS29" t="n">
        <v>2220.653844236773</v>
      </c>
      <c r="HT29" t="n">
        <v>718.9592429775827</v>
      </c>
      <c r="IA29" t="n">
        <v>1948.768661429666</v>
      </c>
      <c r="IB29" t="n">
        <v>512.2081784991755</v>
      </c>
      <c r="II29" t="n">
        <v>2870.978869474199</v>
      </c>
      <c r="IJ29" t="n">
        <v>517.9453059959426</v>
      </c>
      <c r="IK29" t="n">
        <v>2337.789555996227</v>
      </c>
      <c r="IL29" t="n">
        <v>490.7472369273342</v>
      </c>
      <c r="IQ29" t="n">
        <v>2876.596593764835</v>
      </c>
      <c r="IR29" t="n">
        <v>333.8443515337697</v>
      </c>
      <c r="IS29" t="n">
        <v>2270.714923695136</v>
      </c>
      <c r="IT29" t="n">
        <v>437.5462223756422</v>
      </c>
      <c r="IW29" t="n">
        <v>2646.673502744052</v>
      </c>
      <c r="IX29" t="n">
        <v>1712.264569366123</v>
      </c>
      <c r="IY29" t="n">
        <v>4546.866898770275</v>
      </c>
      <c r="IZ29" t="n">
        <v>534.7317202815046</v>
      </c>
      <c r="ME29" t="n">
        <v>959.0040039592956</v>
      </c>
      <c r="MF29" t="n">
        <v>301.2126603972955</v>
      </c>
      <c r="NE29" t="n">
        <v>3300</v>
      </c>
      <c r="NF29" t="n">
        <v>850</v>
      </c>
      <c r="NU29" t="n">
        <v>1200</v>
      </c>
      <c r="NV29" t="n">
        <v>0.79</v>
      </c>
    </row>
    <row r="30">
      <c r="G30" t="n">
        <v>3000</v>
      </c>
      <c r="H30" t="n">
        <v>0.5</v>
      </c>
      <c r="S30" t="n">
        <v>981.818181818182</v>
      </c>
      <c r="T30" t="n">
        <v>0.8100000000000001</v>
      </c>
      <c r="Y30" t="n">
        <v>1854.545454545455</v>
      </c>
      <c r="Z30" t="n">
        <v>420</v>
      </c>
      <c r="AA30" t="n">
        <v>1272.727272727273</v>
      </c>
      <c r="AB30" t="n">
        <v>497</v>
      </c>
      <c r="AM30" t="n">
        <v>0.8</v>
      </c>
      <c r="AN30" t="n">
        <v>0.85</v>
      </c>
      <c r="AQ30" t="n">
        <v>0.65</v>
      </c>
      <c r="AR30" t="n">
        <v>0.6</v>
      </c>
      <c r="AY30" t="n">
        <v>545.4545454545455</v>
      </c>
      <c r="AZ30" t="n">
        <v>0.7</v>
      </c>
      <c r="BM30" t="n">
        <v>1050</v>
      </c>
      <c r="BN30" t="n">
        <v>293.15</v>
      </c>
      <c r="BO30" t="n">
        <v>553.125</v>
      </c>
      <c r="BP30" t="n">
        <v>300.032917</v>
      </c>
      <c r="BU30" t="n">
        <v>750</v>
      </c>
      <c r="BV30" t="n">
        <v>300.032917</v>
      </c>
      <c r="BW30" t="n">
        <v>609.375</v>
      </c>
      <c r="BX30" t="n">
        <v>293.15</v>
      </c>
      <c r="CC30" t="n">
        <v>993.75</v>
      </c>
      <c r="CD30" t="n">
        <v>288.15</v>
      </c>
      <c r="CE30" t="n">
        <v>1200</v>
      </c>
      <c r="CF30" t="n">
        <v>300.032917</v>
      </c>
      <c r="CQ30" t="n">
        <v>1350</v>
      </c>
      <c r="CR30" t="n">
        <v>288.15</v>
      </c>
      <c r="DA30" t="n">
        <v>3961.412956534064</v>
      </c>
      <c r="DB30" t="n">
        <v>889.9962833002423</v>
      </c>
      <c r="DC30" t="n">
        <v>4991.234240886499</v>
      </c>
      <c r="DD30" t="n">
        <v>516.1798614917014</v>
      </c>
      <c r="DG30" t="n">
        <v>4557.936849078362</v>
      </c>
      <c r="DH30" t="n">
        <v>846.2820130426193</v>
      </c>
      <c r="DI30" t="n">
        <v>3295.162467157236</v>
      </c>
      <c r="DJ30" t="n">
        <v>1728.055937161029</v>
      </c>
      <c r="DK30" t="n">
        <v>4171.579111762625</v>
      </c>
      <c r="DL30" t="n">
        <v>1724.248185514237</v>
      </c>
      <c r="DS30" t="n">
        <v>4538.003152335392</v>
      </c>
      <c r="DT30" t="n">
        <v>1240.397483364132</v>
      </c>
      <c r="DW30" t="n">
        <v>3086.125039698073</v>
      </c>
      <c r="DX30" t="n">
        <v>1223.093120281681</v>
      </c>
      <c r="EA30" t="n">
        <v>451.6477843006101</v>
      </c>
      <c r="EB30" t="n">
        <v>0.7577827024916524</v>
      </c>
      <c r="EC30" t="n">
        <v>561.0248394093602</v>
      </c>
      <c r="ED30" t="n">
        <v>0.7077302829647686</v>
      </c>
      <c r="EI30" t="n">
        <v>501.5838575720338</v>
      </c>
      <c r="EJ30" t="n">
        <v>0.733799491050845</v>
      </c>
      <c r="EK30" t="n">
        <v>492.3375157051751</v>
      </c>
      <c r="EL30" t="n">
        <v>0.5919910271539436</v>
      </c>
      <c r="EM30" t="n">
        <v>568.556149350877</v>
      </c>
      <c r="EN30" t="n">
        <v>0.6889031824797878</v>
      </c>
      <c r="EQ30" t="n">
        <v>491.5238671483665</v>
      </c>
      <c r="ER30" t="n">
        <v>0.6868489215394493</v>
      </c>
      <c r="EU30" t="n">
        <v>410.2380346719654</v>
      </c>
      <c r="EV30" t="n">
        <v>0.5303674414489903</v>
      </c>
      <c r="EY30" t="n">
        <v>4711.298436297966</v>
      </c>
      <c r="EZ30" t="n">
        <v>1675.810926994474</v>
      </c>
      <c r="FC30" t="n">
        <v>2363.516210743458</v>
      </c>
      <c r="FD30" t="n">
        <v>531.2335115650523</v>
      </c>
      <c r="FE30" t="n">
        <v>395</v>
      </c>
      <c r="FF30" t="n">
        <v>0.925</v>
      </c>
      <c r="FG30" t="n">
        <v>407.5</v>
      </c>
      <c r="FH30" t="n">
        <v>0.925</v>
      </c>
      <c r="FM30" t="n">
        <v>3781.823024523768</v>
      </c>
      <c r="FN30" t="n">
        <v>808.3402577390962</v>
      </c>
      <c r="FU30" t="n">
        <v>3000</v>
      </c>
      <c r="FV30" t="n">
        <v>393.75</v>
      </c>
      <c r="FW30" t="n">
        <v>3000</v>
      </c>
      <c r="FX30" t="n">
        <v>300</v>
      </c>
      <c r="GC30" t="n">
        <v>3605.950043184831</v>
      </c>
      <c r="GD30" t="n">
        <v>1359.556702008076</v>
      </c>
      <c r="GK30" t="n">
        <v>403</v>
      </c>
      <c r="GL30" t="n">
        <v>0.5</v>
      </c>
      <c r="GM30" t="n">
        <v>415</v>
      </c>
      <c r="GN30" t="n">
        <v>0.535</v>
      </c>
      <c r="GS30" t="n">
        <v>4808.3419580395</v>
      </c>
      <c r="GT30" t="n">
        <v>1022.274389807265</v>
      </c>
      <c r="HK30" t="n">
        <v>4316.387593801805</v>
      </c>
      <c r="HL30" t="n">
        <v>1567.805281105953</v>
      </c>
      <c r="HO30" t="n">
        <v>2562.012774157251</v>
      </c>
      <c r="HP30" t="n">
        <v>500.7775878936037</v>
      </c>
      <c r="HS30" t="n">
        <v>2245.064742909967</v>
      </c>
      <c r="HT30" t="n">
        <v>1477.62389661774</v>
      </c>
      <c r="IA30" t="n">
        <v>572.032658302028</v>
      </c>
      <c r="IB30" t="n">
        <v>380.8283417440259</v>
      </c>
      <c r="II30" t="n">
        <v>2708.443870728522</v>
      </c>
      <c r="IJ30" t="n">
        <v>461.4589769110414</v>
      </c>
      <c r="IK30" t="n">
        <v>2902.467023130105</v>
      </c>
      <c r="IL30" t="n">
        <v>389.2290515149247</v>
      </c>
      <c r="IQ30" t="n">
        <v>3956.998735146946</v>
      </c>
      <c r="IR30" t="n">
        <v>1402.728646335202</v>
      </c>
      <c r="IS30" t="n">
        <v>4940.004245973897</v>
      </c>
      <c r="IT30" t="n">
        <v>343.3114724992547</v>
      </c>
      <c r="IW30" t="n">
        <v>4036.769224291656</v>
      </c>
      <c r="IX30" t="n">
        <v>737.2519891883626</v>
      </c>
      <c r="IY30" t="n">
        <v>4833.438769911177</v>
      </c>
      <c r="IZ30" t="n">
        <v>746.2141902237529</v>
      </c>
      <c r="ME30" t="n">
        <v>1948.291986368948</v>
      </c>
      <c r="MF30" t="n">
        <v>288.9627082320602</v>
      </c>
      <c r="NE30" t="n">
        <v>3300</v>
      </c>
      <c r="NF30" t="n">
        <v>990</v>
      </c>
      <c r="NU30" t="n">
        <v>800</v>
      </c>
      <c r="NV30" t="n">
        <v>0.82</v>
      </c>
    </row>
    <row r="31">
      <c r="G31" t="n">
        <v>3000</v>
      </c>
      <c r="H31" t="n">
        <v>0.5</v>
      </c>
      <c r="S31" t="n">
        <v>1127.272727272728</v>
      </c>
      <c r="T31" t="n">
        <v>0.8100000000000001</v>
      </c>
      <c r="Y31" t="n">
        <v>2000</v>
      </c>
      <c r="Z31" t="n">
        <v>420</v>
      </c>
      <c r="AA31" t="n">
        <v>1418.181818181818</v>
      </c>
      <c r="AB31" t="n">
        <v>497</v>
      </c>
      <c r="AM31" t="n">
        <v>0.8</v>
      </c>
      <c r="AN31" t="n">
        <v>0.85</v>
      </c>
      <c r="AQ31" t="n">
        <v>0.7</v>
      </c>
      <c r="AR31" t="n">
        <v>0.6</v>
      </c>
      <c r="AY31" t="n">
        <v>690.909090909091</v>
      </c>
      <c r="AZ31" t="n">
        <v>0.7</v>
      </c>
      <c r="BM31" t="n">
        <v>1200</v>
      </c>
      <c r="BN31" t="n">
        <v>293.15</v>
      </c>
      <c r="BU31" t="n">
        <v>900</v>
      </c>
      <c r="BV31" t="n">
        <v>300.032917</v>
      </c>
      <c r="CC31" t="n">
        <v>993.75</v>
      </c>
      <c r="CD31" t="n">
        <v>288.15</v>
      </c>
      <c r="CE31" t="n">
        <v>675</v>
      </c>
      <c r="CF31" t="n">
        <v>278.15</v>
      </c>
      <c r="CQ31" t="n">
        <v>1500</v>
      </c>
      <c r="CR31" t="n">
        <v>288.15</v>
      </c>
      <c r="DA31" t="n">
        <v>4960.891670396268</v>
      </c>
      <c r="DB31" t="n">
        <v>1384.324537102322</v>
      </c>
      <c r="DC31" t="n">
        <v>3922.458561675325</v>
      </c>
      <c r="DD31" t="n">
        <v>1248.24885800572</v>
      </c>
      <c r="DG31" t="n">
        <v>4762.457995218927</v>
      </c>
      <c r="DH31" t="n">
        <v>1418.583633233644</v>
      </c>
      <c r="DI31" t="n">
        <v>2402.397328678186</v>
      </c>
      <c r="DJ31" t="n">
        <v>1733.348803333265</v>
      </c>
      <c r="DK31" t="n">
        <v>4964.802176677782</v>
      </c>
      <c r="DL31" t="n">
        <v>1612.743564276018</v>
      </c>
      <c r="DS31" t="n">
        <v>4986.580958455284</v>
      </c>
      <c r="DT31" t="n">
        <v>1979.582914798991</v>
      </c>
      <c r="DW31" t="n">
        <v>2484.33148377224</v>
      </c>
      <c r="DX31" t="n">
        <v>376.998070641926</v>
      </c>
      <c r="EA31" t="n">
        <v>461.6022966770157</v>
      </c>
      <c r="EB31" t="n">
        <v>0.5500034818284494</v>
      </c>
      <c r="EC31" t="n">
        <v>388.9948146717909</v>
      </c>
      <c r="ED31" t="n">
        <v>0.7479171357475493</v>
      </c>
      <c r="EK31" t="n">
        <v>380.2337970549131</v>
      </c>
      <c r="EL31" t="n">
        <v>0.60358352499557</v>
      </c>
      <c r="EM31" t="n">
        <v>607.0267391474401</v>
      </c>
      <c r="EN31" t="n">
        <v>0.7691799747928377</v>
      </c>
      <c r="EQ31" t="n">
        <v>1250.802765850564</v>
      </c>
      <c r="ER31" t="n">
        <v>0.8309115464628688</v>
      </c>
      <c r="EU31" t="n">
        <v>868.6065121977246</v>
      </c>
      <c r="EV31" t="n">
        <v>0.5691225270379997</v>
      </c>
      <c r="EY31" t="n">
        <v>3225.403855702319</v>
      </c>
      <c r="EZ31" t="n">
        <v>767.5282724125042</v>
      </c>
      <c r="FC31" t="n">
        <v>4305.579001091715</v>
      </c>
      <c r="FD31" t="n">
        <v>772.3960756385934</v>
      </c>
      <c r="FE31" t="n">
        <v>397.5</v>
      </c>
      <c r="FF31" t="n">
        <v>0.925</v>
      </c>
      <c r="FG31" t="n">
        <v>410</v>
      </c>
      <c r="FH31" t="n">
        <v>0.925</v>
      </c>
      <c r="FM31" t="n">
        <v>3781.823024523768</v>
      </c>
      <c r="FN31" t="n">
        <v>808.3402577390962</v>
      </c>
      <c r="FU31" t="n">
        <v>3000</v>
      </c>
      <c r="FV31" t="n">
        <v>393.75</v>
      </c>
      <c r="FW31" t="n">
        <v>3000</v>
      </c>
      <c r="FX31" t="n">
        <v>393.75</v>
      </c>
      <c r="GC31" t="n">
        <v>3905.950043184831</v>
      </c>
      <c r="GD31" t="n">
        <v>1579.556702008076</v>
      </c>
      <c r="GK31" t="n">
        <v>403</v>
      </c>
      <c r="GL31" t="n">
        <v>0.5</v>
      </c>
      <c r="GM31" t="n">
        <v>415</v>
      </c>
      <c r="GN31" t="n">
        <v>0.5</v>
      </c>
      <c r="GS31" t="n">
        <v>4808.3419580395</v>
      </c>
      <c r="GT31" t="n">
        <v>1022.274389807265</v>
      </c>
      <c r="HK31" t="n">
        <v>3074.402458899837</v>
      </c>
      <c r="HL31" t="n">
        <v>957.66952073673</v>
      </c>
      <c r="HO31" t="n">
        <v>2033.36837504094</v>
      </c>
      <c r="HP31" t="n">
        <v>1203.633974024935</v>
      </c>
      <c r="HS31" t="n">
        <v>3861.801147438082</v>
      </c>
      <c r="HT31" t="n">
        <v>310.6754934665051</v>
      </c>
      <c r="IA31" t="n">
        <v>1910.938778141979</v>
      </c>
      <c r="IB31" t="n">
        <v>446.5580009305186</v>
      </c>
      <c r="II31" t="n">
        <v>2109.440094638068</v>
      </c>
      <c r="IJ31" t="n">
        <v>495.9590644933638</v>
      </c>
      <c r="IK31" t="n">
        <v>4939.89935096189</v>
      </c>
      <c r="IL31" t="n">
        <v>410.1443222994502</v>
      </c>
      <c r="IQ31" t="n">
        <v>2975.423467168941</v>
      </c>
      <c r="IR31" t="n">
        <v>843.1057327487717</v>
      </c>
      <c r="IS31" t="n">
        <v>4982.754219215518</v>
      </c>
      <c r="IT31" t="n">
        <v>395.9395431108224</v>
      </c>
      <c r="IY31" t="n">
        <v>4335.200169692097</v>
      </c>
      <c r="IZ31" t="n">
        <v>898.6852735364573</v>
      </c>
      <c r="ME31" t="n">
        <v>376.8459051191394</v>
      </c>
      <c r="MF31" t="n">
        <v>291.8138899921617</v>
      </c>
      <c r="NE31" t="n">
        <v>3300</v>
      </c>
      <c r="NF31" t="n">
        <v>970</v>
      </c>
      <c r="NU31" t="n">
        <v>900</v>
      </c>
      <c r="NV31" t="n">
        <v>0.82</v>
      </c>
    </row>
    <row r="32">
      <c r="G32" t="n">
        <v>3000</v>
      </c>
      <c r="H32" t="n">
        <v>0.5</v>
      </c>
      <c r="S32" t="n">
        <v>1272.727272727273</v>
      </c>
      <c r="T32" t="n">
        <v>0.8100000000000001</v>
      </c>
      <c r="Y32" t="n">
        <v>1272.727272727273</v>
      </c>
      <c r="Z32" t="n">
        <v>434</v>
      </c>
      <c r="AA32" t="n">
        <v>1563.636363636364</v>
      </c>
      <c r="AB32" t="n">
        <v>497</v>
      </c>
      <c r="AM32" t="n">
        <v>0.95</v>
      </c>
      <c r="AN32" t="n">
        <v>0.85</v>
      </c>
      <c r="AQ32" t="n">
        <v>0.75</v>
      </c>
      <c r="AR32" t="n">
        <v>0.6</v>
      </c>
      <c r="AY32" t="n">
        <v>836.3636363636364</v>
      </c>
      <c r="AZ32" t="n">
        <v>0.7</v>
      </c>
      <c r="BM32" t="n">
        <v>1350</v>
      </c>
      <c r="BN32" t="n">
        <v>293.15</v>
      </c>
      <c r="BU32" t="n">
        <v>1050</v>
      </c>
      <c r="BV32" t="n">
        <v>300.032917</v>
      </c>
      <c r="CC32" t="n">
        <v>984.375</v>
      </c>
      <c r="CD32" t="n">
        <v>288.15</v>
      </c>
      <c r="CE32" t="n">
        <v>675</v>
      </c>
      <c r="CF32" t="n">
        <v>278.15</v>
      </c>
      <c r="CQ32" t="n">
        <v>300</v>
      </c>
      <c r="CR32" t="n">
        <v>293.15</v>
      </c>
      <c r="DA32" t="n">
        <v>2032.216494218936</v>
      </c>
      <c r="DB32" t="n">
        <v>912.8142076572916</v>
      </c>
      <c r="DC32" t="n">
        <v>3078.579956871261</v>
      </c>
      <c r="DD32" t="n">
        <v>352.9775294322192</v>
      </c>
      <c r="DG32" t="n">
        <v>4374.254391733589</v>
      </c>
      <c r="DH32" t="n">
        <v>1125.918556943843</v>
      </c>
      <c r="DI32" t="n">
        <v>4490.769481982243</v>
      </c>
      <c r="DJ32" t="n">
        <v>1931.052982177544</v>
      </c>
      <c r="DK32" t="n">
        <v>3916.570364123456</v>
      </c>
      <c r="DL32" t="n">
        <v>1766.927029301462</v>
      </c>
      <c r="DS32" t="n">
        <v>3573.873734031946</v>
      </c>
      <c r="DT32" t="n">
        <v>1471.521552777993</v>
      </c>
      <c r="DW32" t="n">
        <v>2774.908884424553</v>
      </c>
      <c r="DX32" t="n">
        <v>745.8991327141955</v>
      </c>
      <c r="EA32" t="n">
        <v>550.5910086033705</v>
      </c>
      <c r="EB32" t="n">
        <v>0.8188878346398092</v>
      </c>
      <c r="EC32" t="n">
        <v>426.704005403172</v>
      </c>
      <c r="ED32" t="n">
        <v>0.7683894748369918</v>
      </c>
      <c r="EK32" t="n">
        <v>420.1042877202298</v>
      </c>
      <c r="EL32" t="n">
        <v>0.6657031536611425</v>
      </c>
      <c r="EM32" t="n">
        <v>538.6410604580078</v>
      </c>
      <c r="EN32" t="n">
        <v>0.7603520714636853</v>
      </c>
      <c r="EQ32" t="n">
        <v>732.82340294424</v>
      </c>
      <c r="ER32" t="n">
        <v>0.7465876683982298</v>
      </c>
      <c r="EU32" t="n">
        <v>215.7497448598479</v>
      </c>
      <c r="EV32" t="n">
        <v>0.6314461469136681</v>
      </c>
      <c r="EY32" t="n">
        <v>2741.505040033135</v>
      </c>
      <c r="EZ32" t="n">
        <v>1411.710802718265</v>
      </c>
      <c r="FC32" t="n">
        <v>4513.291469633039</v>
      </c>
      <c r="FD32" t="n">
        <v>820.7067047694444</v>
      </c>
      <c r="FE32" t="n">
        <v>400</v>
      </c>
      <c r="FF32" t="n">
        <v>0.925</v>
      </c>
      <c r="FM32" t="n">
        <v>3781.823024523768</v>
      </c>
      <c r="FN32" t="n">
        <v>808.3402577390962</v>
      </c>
      <c r="FU32" t="n">
        <v>3300</v>
      </c>
      <c r="FV32" t="n">
        <v>393.75</v>
      </c>
      <c r="FW32" t="n">
        <v>3000</v>
      </c>
      <c r="FX32" t="n">
        <v>393.75</v>
      </c>
      <c r="GC32" t="n">
        <v>3905.950043184831</v>
      </c>
      <c r="GD32" t="n">
        <v>1359.556702008076</v>
      </c>
      <c r="GK32" t="n">
        <v>415</v>
      </c>
      <c r="GL32" t="n">
        <v>0.5</v>
      </c>
      <c r="GM32" t="n">
        <v>427</v>
      </c>
      <c r="GN32" t="n">
        <v>0.5</v>
      </c>
      <c r="GS32" t="n">
        <v>4508.3419580395</v>
      </c>
      <c r="GT32" t="n">
        <v>1022.274389807265</v>
      </c>
      <c r="HK32" t="n">
        <v>3243.711540412276</v>
      </c>
      <c r="HL32" t="n">
        <v>762.5680587846564</v>
      </c>
      <c r="HO32" t="n">
        <v>3153.174307293635</v>
      </c>
      <c r="HP32" t="n">
        <v>877.5738364660639</v>
      </c>
      <c r="HS32" t="n">
        <v>2000.100902831723</v>
      </c>
      <c r="HT32" t="n">
        <v>639.3394184384281</v>
      </c>
      <c r="IA32" t="n">
        <v>1287.861912073163</v>
      </c>
      <c r="IB32" t="n">
        <v>513.8069922494652</v>
      </c>
      <c r="II32" t="n">
        <v>3982.337466454122</v>
      </c>
      <c r="IJ32" t="n">
        <v>445.5903487276541</v>
      </c>
      <c r="IK32" t="n">
        <v>2659.951857474573</v>
      </c>
      <c r="IL32" t="n">
        <v>421.2878878211433</v>
      </c>
      <c r="IQ32" t="n">
        <v>4335.035747487424</v>
      </c>
      <c r="IR32" t="n">
        <v>1671.773081919895</v>
      </c>
      <c r="IS32" t="n">
        <v>2140.283704412773</v>
      </c>
      <c r="IT32" t="n">
        <v>1014.752791656395</v>
      </c>
      <c r="IY32" t="n">
        <v>4812.101792829846</v>
      </c>
      <c r="IZ32" t="n">
        <v>694.9040082940624</v>
      </c>
      <c r="NE32" t="n">
        <v>3300</v>
      </c>
      <c r="NF32" t="n">
        <v>1030</v>
      </c>
      <c r="NU32" t="n">
        <v>700</v>
      </c>
      <c r="NV32" t="n">
        <v>0.82</v>
      </c>
    </row>
    <row r="33">
      <c r="G33" t="n">
        <v>3000</v>
      </c>
      <c r="H33" t="n">
        <v>0.5</v>
      </c>
      <c r="S33" t="n">
        <v>1418.181818181818</v>
      </c>
      <c r="T33" t="n">
        <v>0.8100000000000001</v>
      </c>
      <c r="Y33" t="n">
        <v>1127.272727272728</v>
      </c>
      <c r="Z33" t="n">
        <v>434</v>
      </c>
      <c r="AA33" t="n">
        <v>1709.090909090909</v>
      </c>
      <c r="AB33" t="n">
        <v>497</v>
      </c>
      <c r="AM33" t="n">
        <v>0.8999999999999999</v>
      </c>
      <c r="AN33" t="n">
        <v>0.85</v>
      </c>
      <c r="AQ33" t="n">
        <v>0.8</v>
      </c>
      <c r="AR33" t="n">
        <v>0.6</v>
      </c>
      <c r="AY33" t="n">
        <v>981.818181818182</v>
      </c>
      <c r="AZ33" t="n">
        <v>0.7</v>
      </c>
      <c r="BM33" t="n">
        <v>1500</v>
      </c>
      <c r="BN33" t="n">
        <v>293.15</v>
      </c>
      <c r="BU33" t="n">
        <v>1200</v>
      </c>
      <c r="BV33" t="n">
        <v>300.032917</v>
      </c>
      <c r="CC33" t="n">
        <v>984.375</v>
      </c>
      <c r="CD33" t="n">
        <v>288.15</v>
      </c>
      <c r="CE33" t="n">
        <v>825</v>
      </c>
      <c r="CF33" t="n">
        <v>283.15</v>
      </c>
      <c r="CQ33" t="n">
        <v>150</v>
      </c>
      <c r="CR33" t="n">
        <v>293.15</v>
      </c>
      <c r="DA33" t="n">
        <v>4835.649175048517</v>
      </c>
      <c r="DB33" t="n">
        <v>1403.658796420059</v>
      </c>
      <c r="DC33" t="n">
        <v>2400.070852990964</v>
      </c>
      <c r="DD33" t="n">
        <v>420.327283379683</v>
      </c>
      <c r="DG33" t="n">
        <v>3904.214468868249</v>
      </c>
      <c r="DH33" t="n">
        <v>1266.770671937919</v>
      </c>
      <c r="DI33" t="n">
        <v>3260.063627665817</v>
      </c>
      <c r="DJ33" t="n">
        <v>1712.636418407105</v>
      </c>
      <c r="DK33" t="n">
        <v>2504.20600520682</v>
      </c>
      <c r="DL33" t="n">
        <v>1516.8554419862</v>
      </c>
      <c r="DS33" t="n">
        <v>4484.321700982626</v>
      </c>
      <c r="DT33" t="n">
        <v>1543.290566990481</v>
      </c>
      <c r="DW33" t="n">
        <v>2559.665822655577</v>
      </c>
      <c r="DX33" t="n">
        <v>1386.21691456681</v>
      </c>
      <c r="EA33" t="n">
        <v>455.5270730084492</v>
      </c>
      <c r="EB33" t="n">
        <v>0.5777112722144814</v>
      </c>
      <c r="EC33" t="n">
        <v>423.2946973235567</v>
      </c>
      <c r="ED33" t="n">
        <v>0.7862118932523414</v>
      </c>
      <c r="EK33" t="n">
        <v>485.2816217382006</v>
      </c>
      <c r="EL33" t="n">
        <v>0.7494458929826661</v>
      </c>
      <c r="EM33" t="n">
        <v>526.0791871154097</v>
      </c>
      <c r="EN33" t="n">
        <v>0.6445612049334356</v>
      </c>
      <c r="EQ33" t="n">
        <v>1481.028943463043</v>
      </c>
      <c r="ER33" t="n">
        <v>0.5567691950281214</v>
      </c>
      <c r="EU33" t="n">
        <v>597.1431285749516</v>
      </c>
      <c r="EV33" t="n">
        <v>0.7359268957232388</v>
      </c>
      <c r="EY33" t="n">
        <v>2251.293058118749</v>
      </c>
      <c r="EZ33" t="n">
        <v>223.2731954599453</v>
      </c>
      <c r="FC33" t="n">
        <v>4096.793341717359</v>
      </c>
      <c r="FD33" t="n">
        <v>1308.688046656212</v>
      </c>
      <c r="FE33" t="n">
        <v>402.5</v>
      </c>
      <c r="FF33" t="n">
        <v>0.925</v>
      </c>
      <c r="FM33" t="n">
        <v>3781.823024523768</v>
      </c>
      <c r="FN33" t="n">
        <v>808.3402577390962</v>
      </c>
      <c r="FU33" t="n">
        <v>3000</v>
      </c>
      <c r="FV33" t="n">
        <v>613.75</v>
      </c>
      <c r="FW33" t="n">
        <v>3000</v>
      </c>
      <c r="FX33" t="n">
        <v>393.75</v>
      </c>
      <c r="GC33" t="n">
        <v>3905.950043184831</v>
      </c>
      <c r="GD33" t="n">
        <v>1359.556702008076</v>
      </c>
      <c r="GK33" t="n">
        <v>415</v>
      </c>
      <c r="GL33" t="n">
        <v>0.5</v>
      </c>
      <c r="GM33" t="n">
        <v>415</v>
      </c>
      <c r="GN33" t="n">
        <v>0.535</v>
      </c>
      <c r="GS33" t="n">
        <v>4808.3419580395</v>
      </c>
      <c r="GT33" t="n">
        <v>1242.274389807264</v>
      </c>
      <c r="HK33" t="n">
        <v>3011.345353683277</v>
      </c>
      <c r="HL33" t="n">
        <v>1704.561754940399</v>
      </c>
      <c r="HO33" t="n">
        <v>2143.828810243298</v>
      </c>
      <c r="HP33" t="n">
        <v>984.3283511097192</v>
      </c>
      <c r="HS33" t="n">
        <v>2879.332160475833</v>
      </c>
      <c r="HT33" t="n">
        <v>1111.960003246982</v>
      </c>
      <c r="IA33" t="n">
        <v>1177.60585380992</v>
      </c>
      <c r="IB33" t="n">
        <v>475.4714631699624</v>
      </c>
      <c r="II33" t="n">
        <v>3238.745826256804</v>
      </c>
      <c r="IJ33" t="n">
        <v>469.2391544466771</v>
      </c>
      <c r="IK33" t="n">
        <v>4749.645114959597</v>
      </c>
      <c r="IL33" t="n">
        <v>450.8132887047786</v>
      </c>
      <c r="IQ33" t="n">
        <v>2521.721417963924</v>
      </c>
      <c r="IR33" t="n">
        <v>911.9023887875624</v>
      </c>
      <c r="IY33" t="n">
        <v>3822.52130262541</v>
      </c>
      <c r="IZ33" t="n">
        <v>427.1699217043548</v>
      </c>
      <c r="NE33" t="n">
        <v>3300</v>
      </c>
      <c r="NF33" t="n">
        <v>1010</v>
      </c>
      <c r="NU33" t="n">
        <v>1000</v>
      </c>
      <c r="NV33" t="n">
        <v>0.82</v>
      </c>
    </row>
    <row r="34">
      <c r="G34" t="n">
        <v>3000</v>
      </c>
      <c r="H34" t="n">
        <v>0.5</v>
      </c>
      <c r="S34" t="n">
        <v>1563.636363636364</v>
      </c>
      <c r="T34" t="n">
        <v>0.8100000000000001</v>
      </c>
      <c r="Y34" t="n">
        <v>981.818181818182</v>
      </c>
      <c r="Z34" t="n">
        <v>434</v>
      </c>
      <c r="AA34" t="n">
        <v>1854.545454545455</v>
      </c>
      <c r="AB34" t="n">
        <v>497</v>
      </c>
      <c r="AM34" t="n">
        <v>0.8</v>
      </c>
      <c r="AN34" t="n">
        <v>0.85</v>
      </c>
      <c r="AQ34" t="n">
        <v>0.95</v>
      </c>
      <c r="AR34" t="n">
        <v>0.6</v>
      </c>
      <c r="AY34" t="n">
        <v>1127.272727272728</v>
      </c>
      <c r="AZ34" t="n">
        <v>0.7</v>
      </c>
      <c r="BM34" t="n">
        <v>600</v>
      </c>
      <c r="BN34" t="n">
        <v>300.032917</v>
      </c>
      <c r="BU34" t="n">
        <v>1350</v>
      </c>
      <c r="BV34" t="n">
        <v>300.032917</v>
      </c>
      <c r="CC34" t="n">
        <v>1115.625</v>
      </c>
      <c r="CD34" t="n">
        <v>293.15</v>
      </c>
      <c r="CE34" t="n">
        <v>825</v>
      </c>
      <c r="CF34" t="n">
        <v>283.15</v>
      </c>
      <c r="CQ34" t="n">
        <v>450</v>
      </c>
      <c r="CR34" t="n">
        <v>293.15</v>
      </c>
      <c r="DA34" t="n">
        <v>3500.262718794284</v>
      </c>
      <c r="DB34" t="n">
        <v>1263.606280801354</v>
      </c>
      <c r="DC34" t="n">
        <v>3405.599188785769</v>
      </c>
      <c r="DD34" t="n">
        <v>360.8034507215937</v>
      </c>
      <c r="DG34" t="n">
        <v>2203.171124899518</v>
      </c>
      <c r="DH34" t="n">
        <v>938.90576560086</v>
      </c>
      <c r="DI34" t="n">
        <v>4518.076270270658</v>
      </c>
      <c r="DJ34" t="n">
        <v>1637.89169753281</v>
      </c>
      <c r="DK34" t="n">
        <v>3329.752968968047</v>
      </c>
      <c r="DL34" t="n">
        <v>1799.262434793567</v>
      </c>
      <c r="DS34" t="n">
        <v>3136.906464086939</v>
      </c>
      <c r="DT34" t="n">
        <v>1720.241460276859</v>
      </c>
      <c r="DW34" t="n">
        <v>4729.652181066411</v>
      </c>
      <c r="DX34" t="n">
        <v>621.4954666869867</v>
      </c>
      <c r="EA34" t="n">
        <v>460.4262103026266</v>
      </c>
      <c r="EB34" t="n">
        <v>0.6536687903224782</v>
      </c>
      <c r="EC34" t="n">
        <v>441.4067122552734</v>
      </c>
      <c r="ED34" t="n">
        <v>0.7907812759349582</v>
      </c>
      <c r="EK34" t="n">
        <v>415.6335495770105</v>
      </c>
      <c r="EL34" t="n">
        <v>0.7817785699580694</v>
      </c>
      <c r="EM34" t="n">
        <v>549.5591948967428</v>
      </c>
      <c r="EN34" t="n">
        <v>0.6767949848886354</v>
      </c>
      <c r="EQ34" t="n">
        <v>836.3743523065269</v>
      </c>
      <c r="ER34" t="n">
        <v>0.6550402161790907</v>
      </c>
      <c r="EU34" t="n">
        <v>211.4165689488047</v>
      </c>
      <c r="EV34" t="n">
        <v>0.5073179231893835</v>
      </c>
      <c r="EY34" t="n">
        <v>2101.253170065189</v>
      </c>
      <c r="EZ34" t="n">
        <v>906.738368677016</v>
      </c>
      <c r="FC34" t="n">
        <v>3503.407589856434</v>
      </c>
      <c r="FD34" t="n">
        <v>1052.863846776903</v>
      </c>
      <c r="FE34" t="n">
        <v>405</v>
      </c>
      <c r="FF34" t="n">
        <v>0.925</v>
      </c>
      <c r="FM34" t="n">
        <v>3781.823024523768</v>
      </c>
      <c r="FN34" t="n">
        <v>808.3402577390962</v>
      </c>
      <c r="FU34" t="n">
        <v>3000</v>
      </c>
      <c r="FV34" t="n">
        <v>393.75</v>
      </c>
      <c r="FW34" t="n">
        <v>3000</v>
      </c>
      <c r="FX34" t="n">
        <v>393.75</v>
      </c>
      <c r="GC34" t="n">
        <v>3905.950043184831</v>
      </c>
      <c r="GD34" t="n">
        <v>1359.556702008076</v>
      </c>
      <c r="GK34" t="n">
        <v>415</v>
      </c>
      <c r="GL34" t="n">
        <v>0.5</v>
      </c>
      <c r="GM34" t="n">
        <v>415</v>
      </c>
      <c r="GN34" t="n">
        <v>0.5</v>
      </c>
      <c r="GS34" t="n">
        <v>4808.3419580395</v>
      </c>
      <c r="GT34" t="n">
        <v>1022.274389807265</v>
      </c>
      <c r="HK34" t="n">
        <v>2962.33477192018</v>
      </c>
      <c r="HL34" t="n">
        <v>1123.376047576045</v>
      </c>
      <c r="HO34" t="n">
        <v>4485.724043556331</v>
      </c>
      <c r="HP34" t="n">
        <v>1916.257875981152</v>
      </c>
      <c r="HS34" t="n">
        <v>3168.453333617491</v>
      </c>
      <c r="HT34" t="n">
        <v>1857.973125165069</v>
      </c>
      <c r="IA34" t="n">
        <v>1609.762366350216</v>
      </c>
      <c r="IB34" t="n">
        <v>444.865630827098</v>
      </c>
      <c r="II34" t="n">
        <v>2678.40155321621</v>
      </c>
      <c r="IJ34" t="n">
        <v>502.5272407998486</v>
      </c>
      <c r="IK34" t="n">
        <v>3086.701880898723</v>
      </c>
      <c r="IL34" t="n">
        <v>426.3177520050708</v>
      </c>
      <c r="IQ34" t="n">
        <v>4559.972369688541</v>
      </c>
      <c r="IR34" t="n">
        <v>1111.227968025885</v>
      </c>
      <c r="IY34" t="n">
        <v>3567.956515740324</v>
      </c>
      <c r="IZ34" t="n">
        <v>1241.405148383759</v>
      </c>
      <c r="NE34" t="n">
        <v>3300</v>
      </c>
      <c r="NF34" t="n">
        <v>930</v>
      </c>
      <c r="NU34" t="n">
        <v>1100</v>
      </c>
      <c r="NV34" t="n">
        <v>0.82</v>
      </c>
    </row>
    <row r="35">
      <c r="G35" t="n">
        <v>3000</v>
      </c>
      <c r="H35" t="n">
        <v>0.5</v>
      </c>
      <c r="S35" t="n">
        <v>1709.090909090909</v>
      </c>
      <c r="T35" t="n">
        <v>0.8100000000000001</v>
      </c>
      <c r="Y35" t="n">
        <v>1418.181818181818</v>
      </c>
      <c r="Z35" t="n">
        <v>434</v>
      </c>
      <c r="AA35" t="n">
        <v>400</v>
      </c>
      <c r="AB35" t="n">
        <v>529</v>
      </c>
      <c r="AM35" t="n">
        <v>0.8</v>
      </c>
      <c r="AN35" t="n">
        <v>0.85</v>
      </c>
      <c r="AQ35" t="n">
        <v>0.8999999999999999</v>
      </c>
      <c r="AR35" t="n">
        <v>0.6</v>
      </c>
      <c r="AY35" t="n">
        <v>1272.727272727273</v>
      </c>
      <c r="AZ35" t="n">
        <v>0.7</v>
      </c>
      <c r="BM35" t="n">
        <v>750</v>
      </c>
      <c r="BN35" t="n">
        <v>300.032917</v>
      </c>
      <c r="BU35" t="n">
        <v>1500</v>
      </c>
      <c r="BV35" t="n">
        <v>300.032917</v>
      </c>
      <c r="CC35" t="n">
        <v>1115.625</v>
      </c>
      <c r="CD35" t="n">
        <v>293.15</v>
      </c>
      <c r="CE35" t="n">
        <v>975</v>
      </c>
      <c r="CF35" t="n">
        <v>288.15</v>
      </c>
      <c r="CQ35" t="n">
        <v>600</v>
      </c>
      <c r="CR35" t="n">
        <v>293.15</v>
      </c>
      <c r="DA35" t="n">
        <v>4127.892419825802</v>
      </c>
      <c r="DB35" t="n">
        <v>882.8064030961441</v>
      </c>
      <c r="DC35" t="n">
        <v>2513.999872790016</v>
      </c>
      <c r="DD35" t="n">
        <v>1369.564473386392</v>
      </c>
      <c r="DG35" t="n">
        <v>4792.742139535572</v>
      </c>
      <c r="DH35" t="n">
        <v>333.5639741793088</v>
      </c>
      <c r="DI35" t="n">
        <v>3342.764875777179</v>
      </c>
      <c r="DJ35" t="n">
        <v>2479.358955031153</v>
      </c>
      <c r="DK35" t="n">
        <v>4325.819814711333</v>
      </c>
      <c r="DL35" t="n">
        <v>1534.076609265747</v>
      </c>
      <c r="DS35" t="n">
        <v>3625.874049218253</v>
      </c>
      <c r="DT35" t="n">
        <v>1517.034702042947</v>
      </c>
      <c r="DW35" t="n">
        <v>3333.094120047501</v>
      </c>
      <c r="DX35" t="n">
        <v>1430.770294831217</v>
      </c>
      <c r="EA35" t="n">
        <v>448.8250369437661</v>
      </c>
      <c r="EB35" t="n">
        <v>0.5556274575318395</v>
      </c>
      <c r="EC35" t="n">
        <v>401.157355855191</v>
      </c>
      <c r="ED35" t="n">
        <v>0.7769429170613829</v>
      </c>
      <c r="EK35" t="n">
        <v>535.1898946923789</v>
      </c>
      <c r="EL35" t="n">
        <v>0.7055447905638182</v>
      </c>
      <c r="EM35" t="n">
        <v>594.8844137508315</v>
      </c>
      <c r="EN35" t="n">
        <v>0.5750145884290436</v>
      </c>
      <c r="EQ35" t="n">
        <v>1774.563414524257</v>
      </c>
      <c r="ER35" t="n">
        <v>0.6831851835164369</v>
      </c>
      <c r="EU35" t="n">
        <v>1322.913885252509</v>
      </c>
      <c r="EV35" t="n">
        <v>0.6421787030771609</v>
      </c>
      <c r="EY35" t="n">
        <v>3437.304229085579</v>
      </c>
      <c r="EZ35" t="n">
        <v>850.4135945532663</v>
      </c>
      <c r="FC35" t="n">
        <v>3363.033421545289</v>
      </c>
      <c r="FD35" t="n">
        <v>968.3509404493616</v>
      </c>
      <c r="FE35" t="n">
        <v>407.5</v>
      </c>
      <c r="FF35" t="n">
        <v>0.925</v>
      </c>
      <c r="FM35" t="n">
        <v>3781.823024523768</v>
      </c>
      <c r="FN35" t="n">
        <v>808.3402577390962</v>
      </c>
      <c r="FU35" t="n">
        <v>3000</v>
      </c>
      <c r="FV35" t="n">
        <v>393.75</v>
      </c>
      <c r="FW35" t="n">
        <v>2700</v>
      </c>
      <c r="FX35" t="n">
        <v>393.75</v>
      </c>
      <c r="GC35" t="n">
        <v>3905.950043184831</v>
      </c>
      <c r="GD35" t="n">
        <v>1359.556702008076</v>
      </c>
      <c r="GK35" t="n">
        <v>415</v>
      </c>
      <c r="GL35" t="n">
        <v>0.5</v>
      </c>
      <c r="GS35" t="n">
        <v>4808.3419580395</v>
      </c>
      <c r="GT35" t="n">
        <v>1022.274389807265</v>
      </c>
      <c r="HK35" t="n">
        <v>3137.768653048317</v>
      </c>
      <c r="HL35" t="n">
        <v>1265.166286110094</v>
      </c>
      <c r="HO35" t="n">
        <v>3752.588320619171</v>
      </c>
      <c r="HP35" t="n">
        <v>687.8047476046906</v>
      </c>
      <c r="HS35" t="n">
        <v>4661.683528669823</v>
      </c>
      <c r="HT35" t="n">
        <v>922.9739783632576</v>
      </c>
      <c r="IA35" t="n">
        <v>516.6987265068802</v>
      </c>
      <c r="IB35" t="n">
        <v>417.4739308511936</v>
      </c>
      <c r="II35" t="n">
        <v>3166.285068073262</v>
      </c>
      <c r="IJ35" t="n">
        <v>439.566017732414</v>
      </c>
      <c r="IK35" t="n">
        <v>3901.007902164763</v>
      </c>
      <c r="IL35" t="n">
        <v>403.9244000610032</v>
      </c>
      <c r="IQ35" t="n">
        <v>4693.378853716527</v>
      </c>
      <c r="IR35" t="n">
        <v>1866.456032087525</v>
      </c>
      <c r="IY35" t="n">
        <v>4421.056021958826</v>
      </c>
      <c r="IZ35" t="n">
        <v>1158.224500517542</v>
      </c>
      <c r="NE35" t="n">
        <v>3300</v>
      </c>
      <c r="NF35" t="n">
        <v>1050</v>
      </c>
      <c r="NU35" t="n">
        <v>1200</v>
      </c>
      <c r="NV35" t="n">
        <v>0.82</v>
      </c>
    </row>
    <row r="36">
      <c r="G36" t="n">
        <v>3000</v>
      </c>
      <c r="H36" t="n">
        <v>0.5</v>
      </c>
      <c r="S36" t="n">
        <v>1854.545454545455</v>
      </c>
      <c r="T36" t="n">
        <v>0.8100000000000001</v>
      </c>
      <c r="Y36" t="n">
        <v>1563.636363636364</v>
      </c>
      <c r="Z36" t="n">
        <v>434</v>
      </c>
      <c r="AA36" t="n">
        <v>2000</v>
      </c>
      <c r="AB36" t="n">
        <v>497</v>
      </c>
      <c r="AM36" t="n">
        <v>0.8</v>
      </c>
      <c r="AN36" t="n">
        <v>0.85</v>
      </c>
      <c r="AQ36" t="n">
        <v>0.85</v>
      </c>
      <c r="AR36" t="n">
        <v>0.6</v>
      </c>
      <c r="AY36" t="n">
        <v>1418.181818181818</v>
      </c>
      <c r="AZ36" t="n">
        <v>0.7</v>
      </c>
      <c r="BM36" t="n">
        <v>900</v>
      </c>
      <c r="BN36" t="n">
        <v>300.032917</v>
      </c>
      <c r="BU36" t="n">
        <v>525</v>
      </c>
      <c r="BV36" t="n">
        <v>283.15</v>
      </c>
      <c r="CE36" t="n">
        <v>975</v>
      </c>
      <c r="CF36" t="n">
        <v>288.15</v>
      </c>
      <c r="CQ36" t="n">
        <v>1050</v>
      </c>
      <c r="CR36" t="n">
        <v>293.15</v>
      </c>
      <c r="DA36" t="n">
        <v>3213.426013813886</v>
      </c>
      <c r="DB36" t="n">
        <v>607.3291536014565</v>
      </c>
      <c r="DC36" t="n">
        <v>3030.708687305246</v>
      </c>
      <c r="DD36" t="n">
        <v>646.8009595769654</v>
      </c>
      <c r="DG36" t="n">
        <v>4467.232928992657</v>
      </c>
      <c r="DH36" t="n">
        <v>641.8145666113764</v>
      </c>
      <c r="DI36" t="n">
        <v>4460.076957202919</v>
      </c>
      <c r="DJ36" t="n">
        <v>2272.097652955517</v>
      </c>
      <c r="DK36" t="n">
        <v>3505.922650777025</v>
      </c>
      <c r="DL36" t="n">
        <v>1840.006688205012</v>
      </c>
      <c r="DS36" t="n">
        <v>2944.813164884155</v>
      </c>
      <c r="DT36" t="n">
        <v>524.9876255653581</v>
      </c>
      <c r="DW36" t="n">
        <v>3965.722733524921</v>
      </c>
      <c r="DX36" t="n">
        <v>1280.186665465208</v>
      </c>
      <c r="EA36" t="n">
        <v>616.8528631737344</v>
      </c>
      <c r="EB36" t="n">
        <v>0.5257444634416085</v>
      </c>
      <c r="EC36" t="n">
        <v>453.6292391211101</v>
      </c>
      <c r="ED36" t="n">
        <v>0.800164889480432</v>
      </c>
      <c r="EK36" t="n">
        <v>453.3181047714405</v>
      </c>
      <c r="EL36" t="n">
        <v>0.6085493185879369</v>
      </c>
      <c r="EM36" t="n">
        <v>617.2336963279967</v>
      </c>
      <c r="EN36" t="n">
        <v>0.7952326773607161</v>
      </c>
      <c r="EQ36" t="n">
        <v>1569.858243825333</v>
      </c>
      <c r="ER36" t="n">
        <v>0.8098826014551939</v>
      </c>
      <c r="EU36" t="n">
        <v>1061.882493709157</v>
      </c>
      <c r="EV36" t="n">
        <v>0.7708181964303351</v>
      </c>
      <c r="EY36" t="n">
        <v>3215.82194942213</v>
      </c>
      <c r="EZ36" t="n">
        <v>253.2073328472934</v>
      </c>
      <c r="FC36" t="n">
        <v>4569.979239924716</v>
      </c>
      <c r="FD36" t="n">
        <v>1798.626992036524</v>
      </c>
      <c r="FE36" t="n">
        <v>410</v>
      </c>
      <c r="FF36" t="n">
        <v>0.925</v>
      </c>
      <c r="FM36" t="n">
        <v>3781.823024523768</v>
      </c>
      <c r="FN36" t="n">
        <v>808.3402577390962</v>
      </c>
      <c r="FU36" t="n">
        <v>3000</v>
      </c>
      <c r="FV36" t="n">
        <v>393.75</v>
      </c>
      <c r="FW36" t="n">
        <v>3000</v>
      </c>
      <c r="FX36" t="n">
        <v>300</v>
      </c>
      <c r="GC36" t="n">
        <v>3905.950043184831</v>
      </c>
      <c r="GD36" t="n">
        <v>1359.556702008076</v>
      </c>
      <c r="GK36" t="n">
        <v>415</v>
      </c>
      <c r="GL36" t="n">
        <v>0.5</v>
      </c>
      <c r="GS36" t="n">
        <v>4808.3419580395</v>
      </c>
      <c r="GT36" t="n">
        <v>1022.274389807265</v>
      </c>
      <c r="HK36" t="n">
        <v>3420.289519525253</v>
      </c>
      <c r="HL36" t="n">
        <v>711.3653571767264</v>
      </c>
      <c r="HO36" t="n">
        <v>3889.622365633172</v>
      </c>
      <c r="HP36" t="n">
        <v>411.4455445696302</v>
      </c>
      <c r="HS36" t="n">
        <v>2147.988673205641</v>
      </c>
      <c r="HT36" t="n">
        <v>754.8333463380402</v>
      </c>
      <c r="IA36" t="n">
        <v>1207.358520444027</v>
      </c>
      <c r="IB36" t="n">
        <v>406.4912780205618</v>
      </c>
      <c r="II36" t="n">
        <v>3324.942165385844</v>
      </c>
      <c r="IJ36" t="n">
        <v>437.5025249612047</v>
      </c>
      <c r="IK36" t="n">
        <v>2271.518449423984</v>
      </c>
      <c r="IL36" t="n">
        <v>493.3690174151934</v>
      </c>
      <c r="IQ36" t="n">
        <v>2323.848594187595</v>
      </c>
      <c r="IR36" t="n">
        <v>933.9361342188364</v>
      </c>
      <c r="IY36" t="n">
        <v>3390.931037004873</v>
      </c>
      <c r="IZ36" t="n">
        <v>457.3075351691075</v>
      </c>
      <c r="NE36" t="n">
        <v>3300</v>
      </c>
      <c r="NF36" t="n">
        <v>1070</v>
      </c>
      <c r="NU36" t="n">
        <v>900</v>
      </c>
      <c r="NV36" t="n">
        <v>0.85</v>
      </c>
    </row>
    <row r="37">
      <c r="G37" t="n">
        <v>3000</v>
      </c>
      <c r="H37" t="n">
        <v>0.5</v>
      </c>
      <c r="S37" t="n">
        <v>2000</v>
      </c>
      <c r="T37" t="n">
        <v>0.8100000000000001</v>
      </c>
      <c r="Y37" t="n">
        <v>1709.090909090909</v>
      </c>
      <c r="Z37" t="n">
        <v>434</v>
      </c>
      <c r="AA37" t="n">
        <v>545.4545454545455</v>
      </c>
      <c r="AB37" t="n">
        <v>529</v>
      </c>
      <c r="AM37" t="n">
        <v>0.8</v>
      </c>
      <c r="AN37" t="n">
        <v>0.85</v>
      </c>
      <c r="AQ37" t="n">
        <v>0.6</v>
      </c>
      <c r="AR37" t="n">
        <v>0.7</v>
      </c>
      <c r="AY37" t="n">
        <v>1563.636363636364</v>
      </c>
      <c r="AZ37" t="n">
        <v>0.7</v>
      </c>
      <c r="BM37" t="n">
        <v>1050</v>
      </c>
      <c r="BN37" t="n">
        <v>300.032917</v>
      </c>
      <c r="BU37" t="n">
        <v>525</v>
      </c>
      <c r="BV37" t="n">
        <v>283.15</v>
      </c>
      <c r="CE37" t="n">
        <v>1275</v>
      </c>
      <c r="CF37" t="n">
        <v>300.032917</v>
      </c>
      <c r="CQ37" t="n">
        <v>1200</v>
      </c>
      <c r="CR37" t="n">
        <v>293.15</v>
      </c>
      <c r="DA37" t="n">
        <v>3942.226975825357</v>
      </c>
      <c r="DB37" t="n">
        <v>1239.938518861987</v>
      </c>
      <c r="DC37" t="n">
        <v>2450.961550052699</v>
      </c>
      <c r="DD37" t="n">
        <v>558.5324202654344</v>
      </c>
      <c r="DG37" t="n">
        <v>2748.189109275715</v>
      </c>
      <c r="DH37" t="n">
        <v>410.3657750640633</v>
      </c>
      <c r="DI37" t="n">
        <v>2613.32237924985</v>
      </c>
      <c r="DJ37" t="n">
        <v>1550.510570027684</v>
      </c>
      <c r="DK37" t="n">
        <v>2656.921883777969</v>
      </c>
      <c r="DL37" t="n">
        <v>2215.0170606603</v>
      </c>
      <c r="DS37" t="n">
        <v>2398.19249006572</v>
      </c>
      <c r="DT37" t="n">
        <v>724.9278843978069</v>
      </c>
      <c r="DW37" t="n">
        <v>4027.732771239005</v>
      </c>
      <c r="DX37" t="n">
        <v>1267.927605355789</v>
      </c>
      <c r="EA37" t="n">
        <v>588.2492143140951</v>
      </c>
      <c r="EB37" t="n">
        <v>0.5170013687902661</v>
      </c>
      <c r="EC37" t="n">
        <v>432.5132080232692</v>
      </c>
      <c r="ED37" t="n">
        <v>0.8416716168592842</v>
      </c>
      <c r="EK37" t="n">
        <v>435.9304429726209</v>
      </c>
      <c r="EL37" t="n">
        <v>0.6606920541427571</v>
      </c>
      <c r="EM37" t="n">
        <v>499.1973762759537</v>
      </c>
      <c r="EN37" t="n">
        <v>0.7155132549253247</v>
      </c>
      <c r="EQ37" t="n">
        <v>1812.737713808277</v>
      </c>
      <c r="ER37" t="n">
        <v>0.8380332648046387</v>
      </c>
      <c r="EU37" t="n">
        <v>1781.454783781435</v>
      </c>
      <c r="EV37" t="n">
        <v>0.5378588155782071</v>
      </c>
      <c r="EY37" t="n">
        <v>4008.190899044529</v>
      </c>
      <c r="EZ37" t="n">
        <v>366.9110403881865</v>
      </c>
      <c r="FC37" t="n">
        <v>2156.504743363041</v>
      </c>
      <c r="FD37" t="n">
        <v>1735.81065581174</v>
      </c>
      <c r="FE37" t="n">
        <v>390</v>
      </c>
      <c r="FF37" t="n">
        <v>0.95</v>
      </c>
      <c r="FM37" t="n">
        <v>3781.823024523768</v>
      </c>
      <c r="FN37" t="n">
        <v>808.3402577390962</v>
      </c>
      <c r="FU37" t="n">
        <v>3000</v>
      </c>
      <c r="FV37" t="n">
        <v>393.75</v>
      </c>
      <c r="FW37" t="n">
        <v>3000</v>
      </c>
      <c r="FX37" t="n">
        <v>393.75</v>
      </c>
      <c r="GC37" t="n">
        <v>3905.950043184831</v>
      </c>
      <c r="GD37" t="n">
        <v>1359.556702008076</v>
      </c>
      <c r="GK37" t="n">
        <v>415</v>
      </c>
      <c r="GL37" t="n">
        <v>0.5</v>
      </c>
      <c r="GS37" t="n">
        <v>4808.3419580395</v>
      </c>
      <c r="GT37" t="n">
        <v>1022.274389807265</v>
      </c>
      <c r="HK37" t="n">
        <v>3645.014823623834</v>
      </c>
      <c r="HL37" t="n">
        <v>1009.620705087861</v>
      </c>
      <c r="HO37" t="n">
        <v>3356.686636381773</v>
      </c>
      <c r="HP37" t="n">
        <v>1968.985128897558</v>
      </c>
      <c r="HS37" t="n">
        <v>4768.984710364333</v>
      </c>
      <c r="HT37" t="n">
        <v>1093.785694089325</v>
      </c>
      <c r="IA37" t="n">
        <v>1642.036477455628</v>
      </c>
      <c r="IB37" t="n">
        <v>472.4107030235399</v>
      </c>
      <c r="II37" t="n">
        <v>2315.00337289045</v>
      </c>
      <c r="IJ37" t="n">
        <v>505.7372079746496</v>
      </c>
      <c r="IK37" t="n">
        <v>3389.083384084056</v>
      </c>
      <c r="IL37" t="n">
        <v>386.7617195202048</v>
      </c>
      <c r="IQ37" t="n">
        <v>3680.937496561593</v>
      </c>
      <c r="IR37" t="n">
        <v>1080.075164173492</v>
      </c>
      <c r="IY37" t="n">
        <v>3412.385588129736</v>
      </c>
      <c r="IZ37" t="n">
        <v>923.7105207650436</v>
      </c>
      <c r="NE37" t="n">
        <v>3300</v>
      </c>
      <c r="NF37" t="n">
        <v>1090</v>
      </c>
      <c r="NU37" t="n">
        <v>800</v>
      </c>
      <c r="NV37" t="n">
        <v>0.85</v>
      </c>
    </row>
    <row r="38">
      <c r="G38" t="n">
        <v>3000</v>
      </c>
      <c r="H38" t="n">
        <v>0.5</v>
      </c>
      <c r="Y38" t="n">
        <v>618.1818181818182</v>
      </c>
      <c r="Z38" t="n">
        <v>403</v>
      </c>
      <c r="AA38" t="n">
        <v>690.909090909091</v>
      </c>
      <c r="AB38" t="n">
        <v>529</v>
      </c>
      <c r="AM38" t="n">
        <v>0.8</v>
      </c>
      <c r="AN38" t="n">
        <v>0.85</v>
      </c>
      <c r="AQ38" t="n">
        <v>0.55</v>
      </c>
      <c r="AR38" t="n">
        <v>0.7</v>
      </c>
      <c r="AY38" t="n">
        <v>1709.090909090909</v>
      </c>
      <c r="AZ38" t="n">
        <v>0.7</v>
      </c>
      <c r="BM38" t="n">
        <v>1200</v>
      </c>
      <c r="BN38" t="n">
        <v>300.032917</v>
      </c>
      <c r="BU38" t="n">
        <v>675</v>
      </c>
      <c r="BV38" t="n">
        <v>293.15</v>
      </c>
      <c r="CE38" t="n">
        <v>1275</v>
      </c>
      <c r="CF38" t="n">
        <v>300.032917</v>
      </c>
      <c r="CQ38" t="n">
        <v>750</v>
      </c>
      <c r="CR38" t="n">
        <v>293.15</v>
      </c>
      <c r="DA38" t="n">
        <v>2438.757091722845</v>
      </c>
      <c r="DB38" t="n">
        <v>1459.363534615464</v>
      </c>
      <c r="DC38" t="n">
        <v>2481.439707073466</v>
      </c>
      <c r="DD38" t="n">
        <v>563.0065988906886</v>
      </c>
      <c r="DG38" t="n">
        <v>4432.829032580335</v>
      </c>
      <c r="DH38" t="n">
        <v>806.0939022826688</v>
      </c>
      <c r="DI38" t="n">
        <v>2386.850068796868</v>
      </c>
      <c r="DJ38" t="n">
        <v>1921.426537752159</v>
      </c>
      <c r="DK38" t="n">
        <v>4433.351254678839</v>
      </c>
      <c r="DL38" t="n">
        <v>2393.63780932613</v>
      </c>
      <c r="DS38" t="n">
        <v>3376.253966692884</v>
      </c>
      <c r="DT38" t="n">
        <v>1761.009657813463</v>
      </c>
      <c r="DW38" t="n">
        <v>3615.621328897025</v>
      </c>
      <c r="DX38" t="n">
        <v>899.1577565068505</v>
      </c>
      <c r="EA38" t="n">
        <v>536.7162212979348</v>
      </c>
      <c r="EB38" t="n">
        <v>0.6172873369342078</v>
      </c>
      <c r="EC38" t="n">
        <v>420.758728821611</v>
      </c>
      <c r="ED38" t="n">
        <v>0.8159745793639803</v>
      </c>
      <c r="EK38" t="n">
        <v>416.4854580038079</v>
      </c>
      <c r="EL38" t="n">
        <v>0.6074964525275104</v>
      </c>
      <c r="EQ38" t="n">
        <v>1967.420637620742</v>
      </c>
      <c r="ER38" t="n">
        <v>0.8208441997574155</v>
      </c>
      <c r="EU38" t="n">
        <v>264.9889017189072</v>
      </c>
      <c r="EV38" t="n">
        <v>0.6291314290547494</v>
      </c>
      <c r="EY38" t="n">
        <v>4070.499094943948</v>
      </c>
      <c r="EZ38" t="n">
        <v>1191.521270757587</v>
      </c>
      <c r="FC38" t="n">
        <v>2296.829804719318</v>
      </c>
      <c r="FD38" t="n">
        <v>1749.264719203607</v>
      </c>
      <c r="FE38" t="n">
        <v>392.5</v>
      </c>
      <c r="FF38" t="n">
        <v>0.95</v>
      </c>
      <c r="FM38" t="n">
        <v>3781.823024523768</v>
      </c>
      <c r="FN38" t="n">
        <v>808.3402577390962</v>
      </c>
      <c r="FU38" t="n">
        <v>3000</v>
      </c>
      <c r="FV38" t="n">
        <v>393.75</v>
      </c>
      <c r="FW38" t="n">
        <v>3000</v>
      </c>
      <c r="FX38" t="n">
        <v>393.75</v>
      </c>
      <c r="GC38" t="n">
        <v>3905.950043184831</v>
      </c>
      <c r="GD38" t="n">
        <v>1359.556702008076</v>
      </c>
      <c r="GK38" t="n">
        <v>403</v>
      </c>
      <c r="GL38" t="n">
        <v>0.5</v>
      </c>
      <c r="GS38" t="n">
        <v>4808.3419580395</v>
      </c>
      <c r="GT38" t="n">
        <v>1022.274389807265</v>
      </c>
      <c r="HK38" t="n">
        <v>4005.286462291199</v>
      </c>
      <c r="HL38" t="n">
        <v>1442.996800539866</v>
      </c>
      <c r="HO38" t="n">
        <v>3303.462549562756</v>
      </c>
      <c r="HP38" t="n">
        <v>1547.340801233267</v>
      </c>
      <c r="HS38" t="n">
        <v>4179.537313920695</v>
      </c>
      <c r="HT38" t="n">
        <v>1686.20494730681</v>
      </c>
      <c r="IA38" t="n">
        <v>1734.064689024997</v>
      </c>
      <c r="IB38" t="n">
        <v>502.7775545824757</v>
      </c>
      <c r="II38" t="n">
        <v>4287.956857770339</v>
      </c>
      <c r="IJ38" t="n">
        <v>453.1609483995065</v>
      </c>
      <c r="IK38" t="n">
        <v>4170.123773467227</v>
      </c>
      <c r="IL38" t="n">
        <v>398.8980918280317</v>
      </c>
      <c r="IQ38" t="n">
        <v>3372.833349609547</v>
      </c>
      <c r="IR38" t="n">
        <v>1978.057842310073</v>
      </c>
      <c r="IY38" t="n">
        <v>3676.883827507017</v>
      </c>
      <c r="IZ38" t="n">
        <v>581.7623476027718</v>
      </c>
      <c r="NE38" t="n">
        <v>3300</v>
      </c>
      <c r="NF38" t="n">
        <v>1110</v>
      </c>
      <c r="NU38" t="n">
        <v>1000</v>
      </c>
      <c r="NV38" t="n">
        <v>0.85</v>
      </c>
    </row>
    <row r="39">
      <c r="G39" t="n">
        <v>3000</v>
      </c>
      <c r="H39" t="n">
        <v>0.5</v>
      </c>
      <c r="Y39" t="n">
        <v>618.1818181818182</v>
      </c>
      <c r="Z39" t="n">
        <v>403</v>
      </c>
      <c r="AA39" t="n">
        <v>836.3636363636364</v>
      </c>
      <c r="AB39" t="n">
        <v>529</v>
      </c>
      <c r="AM39" t="n">
        <v>0.8</v>
      </c>
      <c r="AN39" t="n">
        <v>0.85</v>
      </c>
      <c r="AQ39" t="n">
        <v>0.65</v>
      </c>
      <c r="AR39" t="n">
        <v>0.7</v>
      </c>
      <c r="AY39" t="n">
        <v>1854.545454545455</v>
      </c>
      <c r="AZ39" t="n">
        <v>0.7</v>
      </c>
      <c r="BM39" t="n">
        <v>1350</v>
      </c>
      <c r="BN39" t="n">
        <v>300.032917</v>
      </c>
      <c r="BU39" t="n">
        <v>675</v>
      </c>
      <c r="BV39" t="n">
        <v>293.15</v>
      </c>
      <c r="CE39" t="n">
        <v>712.5</v>
      </c>
      <c r="CF39" t="n">
        <v>278.15</v>
      </c>
      <c r="CQ39" t="n">
        <v>900</v>
      </c>
      <c r="CR39" t="n">
        <v>293.15</v>
      </c>
      <c r="DA39" t="n">
        <v>3778.714399642958</v>
      </c>
      <c r="DB39" t="n">
        <v>1057.105358690659</v>
      </c>
      <c r="DC39" t="n">
        <v>2443.769872928237</v>
      </c>
      <c r="DD39" t="n">
        <v>867.7538884489124</v>
      </c>
      <c r="DG39" t="n">
        <v>4393.100585597984</v>
      </c>
      <c r="DH39" t="n">
        <v>1370.024784885569</v>
      </c>
      <c r="DI39" t="n">
        <v>3466.846390129096</v>
      </c>
      <c r="DJ39" t="n">
        <v>1715.355498068953</v>
      </c>
      <c r="DK39" t="n">
        <v>3027.330426902165</v>
      </c>
      <c r="DL39" t="n">
        <v>2376.524928671297</v>
      </c>
      <c r="DS39" t="n">
        <v>2722.778835331379</v>
      </c>
      <c r="DT39" t="n">
        <v>1645.570825960443</v>
      </c>
      <c r="DW39" t="n">
        <v>4798.244292664054</v>
      </c>
      <c r="DX39" t="n">
        <v>1194.619977855655</v>
      </c>
      <c r="EA39" t="n">
        <v>534.0815165655772</v>
      </c>
      <c r="EB39" t="n">
        <v>0.7230740046515534</v>
      </c>
      <c r="EC39" t="n">
        <v>498.1335671906564</v>
      </c>
      <c r="ED39" t="n">
        <v>0.5594172445217528</v>
      </c>
      <c r="EK39" t="n">
        <v>562.0125844298768</v>
      </c>
      <c r="EL39" t="n">
        <v>0.7673641671488616</v>
      </c>
      <c r="EQ39" t="n">
        <v>1046.365715679649</v>
      </c>
      <c r="ER39" t="n">
        <v>0.6789178270246243</v>
      </c>
      <c r="EU39" t="n">
        <v>824.4186494617467</v>
      </c>
      <c r="EV39" t="n">
        <v>0.7487108372248217</v>
      </c>
      <c r="EY39" t="n">
        <v>3314.400824788548</v>
      </c>
      <c r="EZ39" t="n">
        <v>1272.290929718981</v>
      </c>
      <c r="FE39" t="n">
        <v>395</v>
      </c>
      <c r="FF39" t="n">
        <v>0.95</v>
      </c>
      <c r="FM39" t="n">
        <v>3781.823024523768</v>
      </c>
      <c r="FN39" t="n">
        <v>808.3402577390962</v>
      </c>
      <c r="FU39" t="n">
        <v>3000</v>
      </c>
      <c r="FV39" t="n">
        <v>393.75</v>
      </c>
      <c r="FW39" t="n">
        <v>3000</v>
      </c>
      <c r="FX39" t="n">
        <v>393.75</v>
      </c>
      <c r="GC39" t="n">
        <v>3905.950043184831</v>
      </c>
      <c r="GD39" t="n">
        <v>1359.556702008076</v>
      </c>
      <c r="GK39" t="n">
        <v>415</v>
      </c>
      <c r="GL39" t="n">
        <v>0.5</v>
      </c>
      <c r="GS39" t="n">
        <v>4808.3419580395</v>
      </c>
      <c r="GT39" t="n">
        <v>1022.274389807265</v>
      </c>
      <c r="HK39" t="n">
        <v>2951.481828266029</v>
      </c>
      <c r="HL39" t="n">
        <v>670.038792391374</v>
      </c>
      <c r="HO39" t="n">
        <v>3030.438489078445</v>
      </c>
      <c r="HP39" t="n">
        <v>1749.006160823474</v>
      </c>
      <c r="HS39" t="n">
        <v>4564.66364257569</v>
      </c>
      <c r="HT39" t="n">
        <v>689.0601781315515</v>
      </c>
      <c r="IA39" t="n">
        <v>352.9670100833578</v>
      </c>
      <c r="IB39" t="n">
        <v>391.3670423682252</v>
      </c>
      <c r="II39" t="n">
        <v>3037.280989746257</v>
      </c>
      <c r="IJ39" t="n">
        <v>400.9489400659396</v>
      </c>
      <c r="IK39" t="n">
        <v>3216.01174777335</v>
      </c>
      <c r="IL39" t="n">
        <v>403.696152084521</v>
      </c>
      <c r="IQ39" t="n">
        <v>3308.080370751128</v>
      </c>
      <c r="IR39" t="n">
        <v>1689.546936947769</v>
      </c>
      <c r="NE39" t="n">
        <v>3300</v>
      </c>
      <c r="NF39" t="n">
        <v>1150</v>
      </c>
      <c r="NU39" t="n">
        <v>1100</v>
      </c>
      <c r="NV39" t="n">
        <v>0.85</v>
      </c>
    </row>
    <row r="40">
      <c r="G40" t="n">
        <v>3000</v>
      </c>
      <c r="H40" t="n">
        <v>0.5</v>
      </c>
      <c r="Y40" t="n">
        <v>472.7272727272728</v>
      </c>
      <c r="Z40" t="n">
        <v>390</v>
      </c>
      <c r="AA40" t="n">
        <v>981.818181818182</v>
      </c>
      <c r="AB40" t="n">
        <v>529</v>
      </c>
      <c r="AM40" t="n">
        <v>0.8</v>
      </c>
      <c r="AN40" t="n">
        <v>0.85</v>
      </c>
      <c r="AQ40" t="n">
        <v>0.7</v>
      </c>
      <c r="AR40" t="n">
        <v>0.7</v>
      </c>
      <c r="AY40" t="n">
        <v>2000</v>
      </c>
      <c r="AZ40" t="n">
        <v>0.7</v>
      </c>
      <c r="BM40" t="n">
        <v>1500</v>
      </c>
      <c r="BN40" t="n">
        <v>300.032917</v>
      </c>
      <c r="BU40" t="n">
        <v>412.5</v>
      </c>
      <c r="BV40" t="n">
        <v>278.15</v>
      </c>
      <c r="CE40" t="n">
        <v>712.5</v>
      </c>
      <c r="CF40" t="n">
        <v>278.15</v>
      </c>
      <c r="CQ40" t="n">
        <v>1350</v>
      </c>
      <c r="CR40" t="n">
        <v>293.15</v>
      </c>
      <c r="DA40" t="n">
        <v>4493.226606072599</v>
      </c>
      <c r="DB40" t="n">
        <v>983.0172018205408</v>
      </c>
      <c r="DC40" t="n">
        <v>4255.139848551047</v>
      </c>
      <c r="DD40" t="n">
        <v>1356.462328255324</v>
      </c>
      <c r="DG40" t="n">
        <v>4636.09609967464</v>
      </c>
      <c r="DH40" t="n">
        <v>387.419238020422</v>
      </c>
      <c r="DI40" t="n">
        <v>3998.649707315593</v>
      </c>
      <c r="DJ40" t="n">
        <v>2312.150484339236</v>
      </c>
      <c r="DK40" t="n">
        <v>3214.369362198884</v>
      </c>
      <c r="DL40" t="n">
        <v>2028.375494479147</v>
      </c>
      <c r="DS40" t="n">
        <v>4840.66004535904</v>
      </c>
      <c r="DT40" t="n">
        <v>1104.278735767966</v>
      </c>
      <c r="DW40" t="n">
        <v>2955.020022444088</v>
      </c>
      <c r="DX40" t="n">
        <v>1023.011635302588</v>
      </c>
      <c r="EA40" t="n">
        <v>559.7262847950566</v>
      </c>
      <c r="EB40" t="n">
        <v>0.6832653300745395</v>
      </c>
      <c r="EK40" t="n">
        <v>382.6479444517377</v>
      </c>
      <c r="EL40" t="n">
        <v>0.55659909918657</v>
      </c>
      <c r="EU40" t="n">
        <v>1297.39077862042</v>
      </c>
      <c r="EV40" t="n">
        <v>0.698634318426141</v>
      </c>
      <c r="EY40" t="n">
        <v>3761.347154945349</v>
      </c>
      <c r="EZ40" t="n">
        <v>1533.906206495339</v>
      </c>
      <c r="FE40" t="n">
        <v>397.5</v>
      </c>
      <c r="FF40" t="n">
        <v>0.95</v>
      </c>
      <c r="FM40" t="n">
        <v>3781.823024523768</v>
      </c>
      <c r="FN40" t="n">
        <v>808.3402577390962</v>
      </c>
      <c r="FU40" t="n">
        <v>3000</v>
      </c>
      <c r="FV40" t="n">
        <v>393.75</v>
      </c>
      <c r="FW40" t="n">
        <v>3000</v>
      </c>
      <c r="FX40" t="n">
        <v>300</v>
      </c>
      <c r="GC40" t="n">
        <v>3905.950043184831</v>
      </c>
      <c r="GD40" t="n">
        <v>1359.556702008076</v>
      </c>
      <c r="GK40" t="n">
        <v>415</v>
      </c>
      <c r="GL40" t="n">
        <v>0.5</v>
      </c>
      <c r="GS40" t="n">
        <v>4808.3419580395</v>
      </c>
      <c r="GT40" t="n">
        <v>1022.274389807265</v>
      </c>
      <c r="HK40" t="n">
        <v>4603.106499807399</v>
      </c>
      <c r="HL40" t="n">
        <v>1865.422601354645</v>
      </c>
      <c r="HO40" t="n">
        <v>4364.983211788286</v>
      </c>
      <c r="HP40" t="n">
        <v>310.7610038109258</v>
      </c>
      <c r="HS40" t="n">
        <v>2274.944995682904</v>
      </c>
      <c r="HT40" t="n">
        <v>1207.552303900164</v>
      </c>
      <c r="IA40" t="n">
        <v>1113.435898165091</v>
      </c>
      <c r="IB40" t="n">
        <v>428.4609097364745</v>
      </c>
      <c r="II40" t="n">
        <v>4205.236136171618</v>
      </c>
      <c r="IJ40" t="n">
        <v>472.6236337262688</v>
      </c>
      <c r="IK40" t="n">
        <v>4531.018126349993</v>
      </c>
      <c r="IL40" t="n">
        <v>451.9032979821013</v>
      </c>
      <c r="IQ40" t="n">
        <v>3596.463738311157</v>
      </c>
      <c r="IR40" t="n">
        <v>1888.746198997908</v>
      </c>
      <c r="NE40" t="n">
        <v>3300</v>
      </c>
      <c r="NF40" t="n">
        <v>1130</v>
      </c>
      <c r="NU40" t="n">
        <v>1200</v>
      </c>
      <c r="NV40" t="n">
        <v>0.85</v>
      </c>
    </row>
    <row r="41">
      <c r="G41" t="n">
        <v>3000</v>
      </c>
      <c r="H41" t="n">
        <v>0.5</v>
      </c>
      <c r="Y41" t="n">
        <v>472.7272727272728</v>
      </c>
      <c r="Z41" t="n">
        <v>390</v>
      </c>
      <c r="AA41" t="n">
        <v>1127.272727272728</v>
      </c>
      <c r="AB41" t="n">
        <v>529</v>
      </c>
      <c r="AM41" t="n">
        <v>0.8</v>
      </c>
      <c r="AN41" t="n">
        <v>0.85</v>
      </c>
      <c r="AQ41" t="n">
        <v>0.75</v>
      </c>
      <c r="AR41" t="n">
        <v>0.7</v>
      </c>
      <c r="AY41" t="n">
        <v>1309.090909090909</v>
      </c>
      <c r="AZ41" t="n">
        <v>0.4</v>
      </c>
      <c r="BM41" t="n">
        <v>375</v>
      </c>
      <c r="BN41" t="n">
        <v>283.15</v>
      </c>
      <c r="BU41" t="n">
        <v>412.5</v>
      </c>
      <c r="BV41" t="n">
        <v>278.15</v>
      </c>
      <c r="CE41" t="n">
        <v>1087.5</v>
      </c>
      <c r="CF41" t="n">
        <v>293.15</v>
      </c>
      <c r="CQ41" t="n">
        <v>1500</v>
      </c>
      <c r="CR41" t="n">
        <v>293.15</v>
      </c>
      <c r="DA41" t="n">
        <v>3478.21712671385</v>
      </c>
      <c r="DB41" t="n">
        <v>935.6033463872698</v>
      </c>
      <c r="DC41" t="n">
        <v>3574.837438754253</v>
      </c>
      <c r="DD41" t="n">
        <v>692.9450418666499</v>
      </c>
      <c r="DG41" t="n">
        <v>4732.276904332451</v>
      </c>
      <c r="DH41" t="n">
        <v>947.2056700728396</v>
      </c>
      <c r="DI41" t="n">
        <v>4128.16390733049</v>
      </c>
      <c r="DJ41" t="n">
        <v>1942.13023018856</v>
      </c>
      <c r="DK41" t="n">
        <v>2787.984413131797</v>
      </c>
      <c r="DL41" t="n">
        <v>2439.434749827305</v>
      </c>
      <c r="DS41" t="n">
        <v>2203.371521121568</v>
      </c>
      <c r="DT41" t="n">
        <v>1311.578702812739</v>
      </c>
      <c r="DW41" t="n">
        <v>4334.291301744825</v>
      </c>
      <c r="DX41" t="n">
        <v>1915.573506901466</v>
      </c>
      <c r="EA41" t="n">
        <v>490.2966597882918</v>
      </c>
      <c r="EB41" t="n">
        <v>0.6881115439076471</v>
      </c>
      <c r="EK41" t="n">
        <v>495.9706958631986</v>
      </c>
      <c r="EL41" t="n">
        <v>0.8287494210297977</v>
      </c>
      <c r="EU41" t="n">
        <v>474.5501690374976</v>
      </c>
      <c r="EV41" t="n">
        <v>0.7523824571799971</v>
      </c>
      <c r="EY41" t="n">
        <v>3788.411838826103</v>
      </c>
      <c r="EZ41" t="n">
        <v>353.2544252426521</v>
      </c>
      <c r="FE41" t="n">
        <v>400</v>
      </c>
      <c r="FF41" t="n">
        <v>0.95</v>
      </c>
      <c r="FM41" t="n">
        <v>3781.823024523768</v>
      </c>
      <c r="FN41" t="n">
        <v>808.3402577390962</v>
      </c>
      <c r="FU41" t="n">
        <v>3000</v>
      </c>
      <c r="FV41" t="n">
        <v>393.75</v>
      </c>
      <c r="FW41" t="n">
        <v>3000</v>
      </c>
      <c r="FX41" t="n">
        <v>393.75</v>
      </c>
      <c r="GC41" t="n">
        <v>3905.950043184831</v>
      </c>
      <c r="GD41" t="n">
        <v>1359.556702008076</v>
      </c>
      <c r="GK41" t="n">
        <v>415</v>
      </c>
      <c r="GL41" t="n">
        <v>0.5</v>
      </c>
      <c r="GS41" t="n">
        <v>4808.3419580395</v>
      </c>
      <c r="GT41" t="n">
        <v>1022.274389807265</v>
      </c>
      <c r="HK41" t="n">
        <v>2733.635833148527</v>
      </c>
      <c r="HL41" t="n">
        <v>794.3154405060158</v>
      </c>
      <c r="HO41" t="n">
        <v>2771.459942454632</v>
      </c>
      <c r="HP41" t="n">
        <v>1846.417232010296</v>
      </c>
      <c r="HS41" t="n">
        <v>3695.851940817448</v>
      </c>
      <c r="HT41" t="n">
        <v>549.8990531603367</v>
      </c>
      <c r="IA41" t="n">
        <v>1745.552887815286</v>
      </c>
      <c r="IB41" t="n">
        <v>411.6179874421903</v>
      </c>
      <c r="II41" t="n">
        <v>4651.257267488381</v>
      </c>
      <c r="IJ41" t="n">
        <v>508.0026078565663</v>
      </c>
      <c r="IK41" t="n">
        <v>4274.743606324566</v>
      </c>
      <c r="IL41" t="n">
        <v>475.4369872809846</v>
      </c>
      <c r="NE41" t="n">
        <v>3300</v>
      </c>
      <c r="NF41" t="n">
        <v>1170</v>
      </c>
      <c r="NU41" t="n">
        <v>800</v>
      </c>
      <c r="NV41" t="n">
        <v>0.88</v>
      </c>
    </row>
    <row r="42">
      <c r="G42" t="n">
        <v>3000</v>
      </c>
      <c r="H42" t="n">
        <v>0.5</v>
      </c>
      <c r="Y42" t="n">
        <v>763.6363636363637</v>
      </c>
      <c r="Z42" t="n">
        <v>420</v>
      </c>
      <c r="AA42" t="n">
        <v>1272.727272727273</v>
      </c>
      <c r="AB42" t="n">
        <v>529</v>
      </c>
      <c r="AM42" t="n">
        <v>0.8</v>
      </c>
      <c r="AN42" t="n">
        <v>0.85</v>
      </c>
      <c r="AQ42" t="n">
        <v>0.8999999999999999</v>
      </c>
      <c r="AR42" t="n">
        <v>0.7</v>
      </c>
      <c r="AY42" t="n">
        <v>1309.090909090909</v>
      </c>
      <c r="AZ42" t="n">
        <v>0.4</v>
      </c>
      <c r="BM42" t="n">
        <v>375</v>
      </c>
      <c r="BN42" t="n">
        <v>283.15</v>
      </c>
      <c r="BU42" t="n">
        <v>562.5</v>
      </c>
      <c r="BV42" t="n">
        <v>288.15</v>
      </c>
      <c r="CE42" t="n">
        <v>1087.5</v>
      </c>
      <c r="CF42" t="n">
        <v>293.15</v>
      </c>
      <c r="CQ42" t="n">
        <v>450</v>
      </c>
      <c r="CR42" t="n">
        <v>300.032917</v>
      </c>
      <c r="DA42" t="n">
        <v>4910.206466736995</v>
      </c>
      <c r="DB42" t="n">
        <v>1139.94078496408</v>
      </c>
      <c r="DC42" t="n">
        <v>3018.433359479952</v>
      </c>
      <c r="DD42" t="n">
        <v>1078.952669389513</v>
      </c>
      <c r="DG42" t="n">
        <v>2944.929321614936</v>
      </c>
      <c r="DH42" t="n">
        <v>1208.291031742486</v>
      </c>
      <c r="DI42" t="n">
        <v>2884.386479081242</v>
      </c>
      <c r="DJ42" t="n">
        <v>2107.627711088611</v>
      </c>
      <c r="DK42" t="n">
        <v>4621.311503014849</v>
      </c>
      <c r="DL42" t="n">
        <v>1680.787274131129</v>
      </c>
      <c r="DW42" t="n">
        <v>2633.296027164602</v>
      </c>
      <c r="DX42" t="n">
        <v>1420.672726862932</v>
      </c>
      <c r="EA42" t="n">
        <v>458.0588965603059</v>
      </c>
      <c r="EB42" t="n">
        <v>0.6574687939591497</v>
      </c>
      <c r="EK42" t="n">
        <v>466.224819993625</v>
      </c>
      <c r="EL42" t="n">
        <v>0.6322034543963728</v>
      </c>
      <c r="EU42" t="n">
        <v>1012.846611599754</v>
      </c>
      <c r="EV42" t="n">
        <v>0.6345041438868506</v>
      </c>
      <c r="EY42" t="n">
        <v>3845.309923918609</v>
      </c>
      <c r="EZ42" t="n">
        <v>872.7964993701084</v>
      </c>
      <c r="FE42" t="n">
        <v>407.5</v>
      </c>
      <c r="FF42" t="n">
        <v>0.95</v>
      </c>
      <c r="FM42" t="n">
        <v>4081.823024523768</v>
      </c>
      <c r="FN42" t="n">
        <v>808.3402577390962</v>
      </c>
      <c r="FU42" t="n">
        <v>3300</v>
      </c>
      <c r="FV42" t="n">
        <v>393.75</v>
      </c>
      <c r="FW42" t="n">
        <v>3000</v>
      </c>
      <c r="FX42" t="n">
        <v>393.75</v>
      </c>
      <c r="GC42" t="n">
        <v>4505.950043184831</v>
      </c>
      <c r="GD42" t="n">
        <v>1359.556702008076</v>
      </c>
      <c r="GK42" t="n">
        <v>415</v>
      </c>
      <c r="GL42" t="n">
        <v>0.5</v>
      </c>
      <c r="GS42" t="n">
        <v>4808.3419580395</v>
      </c>
      <c r="GT42" t="n">
        <v>1022.274389807265</v>
      </c>
      <c r="HK42" t="n">
        <v>2701.630832627948</v>
      </c>
      <c r="HL42" t="n">
        <v>1688.839436878042</v>
      </c>
      <c r="HS42" t="n">
        <v>4514.385483680662</v>
      </c>
      <c r="HT42" t="n">
        <v>1243.030893886252</v>
      </c>
      <c r="IA42" t="n">
        <v>913.062285544219</v>
      </c>
      <c r="IB42" t="n">
        <v>497.9605335833927</v>
      </c>
      <c r="II42" t="n">
        <v>3692.944217257623</v>
      </c>
      <c r="IJ42" t="n">
        <v>474.1756210009061</v>
      </c>
      <c r="NE42" t="n">
        <v>3300</v>
      </c>
      <c r="NF42" t="n">
        <v>1190</v>
      </c>
      <c r="NU42" t="n">
        <v>900</v>
      </c>
      <c r="NV42" t="n">
        <v>0.88</v>
      </c>
    </row>
    <row r="43">
      <c r="G43" t="n">
        <v>3000</v>
      </c>
      <c r="H43" t="n">
        <v>0.5</v>
      </c>
      <c r="Y43" t="n">
        <v>763.6363636363637</v>
      </c>
      <c r="Z43" t="n">
        <v>420</v>
      </c>
      <c r="AA43" t="n">
        <v>1418.181818181818</v>
      </c>
      <c r="AB43" t="n">
        <v>529</v>
      </c>
      <c r="AM43" t="n">
        <v>0.8</v>
      </c>
      <c r="AN43" t="n">
        <v>0.85</v>
      </c>
      <c r="AQ43" t="n">
        <v>0.85</v>
      </c>
      <c r="AR43" t="n">
        <v>0.7</v>
      </c>
      <c r="AY43" t="n">
        <v>1727.272727272728</v>
      </c>
      <c r="AZ43" t="n">
        <v>0.5</v>
      </c>
      <c r="BM43" t="n">
        <v>525</v>
      </c>
      <c r="BN43" t="n">
        <v>293.15</v>
      </c>
      <c r="BU43" t="n">
        <v>487.5</v>
      </c>
      <c r="BV43" t="n">
        <v>283.15</v>
      </c>
      <c r="CE43" t="n">
        <v>731.25</v>
      </c>
      <c r="CF43" t="n">
        <v>278.15</v>
      </c>
      <c r="CQ43" t="n">
        <v>300</v>
      </c>
      <c r="CR43" t="n">
        <v>300.032917</v>
      </c>
      <c r="DA43" t="n">
        <v>3648.122848450414</v>
      </c>
      <c r="DB43" t="n">
        <v>1303.645408011819</v>
      </c>
      <c r="DC43" t="n">
        <v>3281.067918031492</v>
      </c>
      <c r="DD43" t="n">
        <v>817.3380022375281</v>
      </c>
      <c r="DG43" t="n">
        <v>4475.558910184573</v>
      </c>
      <c r="DH43" t="n">
        <v>925.989107268322</v>
      </c>
      <c r="DI43" t="n">
        <v>2972.540349518591</v>
      </c>
      <c r="DJ43" t="n">
        <v>2334.373012652082</v>
      </c>
      <c r="DK43" t="n">
        <v>2714.74861469017</v>
      </c>
      <c r="DL43" t="n">
        <v>1593.627261280666</v>
      </c>
      <c r="DW43" t="n">
        <v>2401.477527370052</v>
      </c>
      <c r="DX43" t="n">
        <v>553.8337034751592</v>
      </c>
      <c r="EA43" t="n">
        <v>572.1096669099655</v>
      </c>
      <c r="EB43" t="n">
        <v>0.6850631160996954</v>
      </c>
      <c r="EK43" t="n">
        <v>554.8450180676246</v>
      </c>
      <c r="EL43" t="n">
        <v>0.5701318978032778</v>
      </c>
      <c r="EU43" t="n">
        <v>1944.788545631179</v>
      </c>
      <c r="EV43" t="n">
        <v>0.6938153720871321</v>
      </c>
      <c r="EY43" t="n">
        <v>3069.19437271592</v>
      </c>
      <c r="EZ43" t="n">
        <v>1353.066689539028</v>
      </c>
      <c r="FE43" t="n">
        <v>402.5</v>
      </c>
      <c r="FF43" t="n">
        <v>0.95</v>
      </c>
      <c r="FM43" t="n">
        <v>3481.823024523768</v>
      </c>
      <c r="FN43" t="n">
        <v>808.3402577390962</v>
      </c>
      <c r="FU43" t="n">
        <v>3000</v>
      </c>
      <c r="FV43" t="n">
        <v>613.75</v>
      </c>
      <c r="GC43" t="n">
        <v>3905.950043184831</v>
      </c>
      <c r="GD43" t="n">
        <v>1359.556702008076</v>
      </c>
      <c r="GK43" t="n">
        <v>415</v>
      </c>
      <c r="GL43" t="n">
        <v>0.5</v>
      </c>
      <c r="GS43" t="n">
        <v>4508.3419580395</v>
      </c>
      <c r="GT43" t="n">
        <v>1022.274389807265</v>
      </c>
      <c r="HK43" t="n">
        <v>2926.779928024977</v>
      </c>
      <c r="HL43" t="n">
        <v>1536.351482015166</v>
      </c>
      <c r="HS43" t="n">
        <v>3647.566953480786</v>
      </c>
      <c r="HT43" t="n">
        <v>536.0697702892948</v>
      </c>
      <c r="IA43" t="n">
        <v>1450.84996318791</v>
      </c>
      <c r="IB43" t="n">
        <v>463.7434569189272</v>
      </c>
      <c r="II43" t="n">
        <v>2070.80465455432</v>
      </c>
      <c r="IJ43" t="n">
        <v>429.6167491632314</v>
      </c>
      <c r="NE43" t="n">
        <v>3300</v>
      </c>
      <c r="NF43" t="n">
        <v>680</v>
      </c>
      <c r="NU43" t="n">
        <v>1000</v>
      </c>
      <c r="NV43" t="n">
        <v>0.88</v>
      </c>
    </row>
    <row r="44">
      <c r="Y44" t="n">
        <v>1781.818181818182</v>
      </c>
      <c r="Z44" t="n">
        <v>434</v>
      </c>
      <c r="AA44" t="n">
        <v>1563.636363636364</v>
      </c>
      <c r="AB44" t="n">
        <v>529</v>
      </c>
      <c r="AM44" t="n">
        <v>0.8</v>
      </c>
      <c r="AN44" t="n">
        <v>0.85</v>
      </c>
      <c r="AQ44" t="n">
        <v>0.8</v>
      </c>
      <c r="AR44" t="n">
        <v>0.7</v>
      </c>
      <c r="AY44" t="n">
        <v>1727.272727272728</v>
      </c>
      <c r="AZ44" t="n">
        <v>0.5</v>
      </c>
      <c r="BM44" t="n">
        <v>525</v>
      </c>
      <c r="BN44" t="n">
        <v>293.15</v>
      </c>
      <c r="BU44" t="n">
        <v>487.5</v>
      </c>
      <c r="BV44" t="n">
        <v>283.15</v>
      </c>
      <c r="CE44" t="n">
        <v>731.25</v>
      </c>
      <c r="CF44" t="n">
        <v>278.15</v>
      </c>
      <c r="CQ44" t="n">
        <v>150</v>
      </c>
      <c r="CR44" t="n">
        <v>300.032917</v>
      </c>
      <c r="DA44" t="n">
        <v>4264.259314280108</v>
      </c>
      <c r="DB44" t="n">
        <v>1277.817032372805</v>
      </c>
      <c r="DC44" t="n">
        <v>4005.086734735974</v>
      </c>
      <c r="DD44" t="n">
        <v>455.2746919145687</v>
      </c>
      <c r="DG44" t="n">
        <v>2421.900119820586</v>
      </c>
      <c r="DH44" t="n">
        <v>876.2542343533936</v>
      </c>
      <c r="DI44" t="n">
        <v>4369.264766764227</v>
      </c>
      <c r="DJ44" t="n">
        <v>1864.259073243996</v>
      </c>
      <c r="DK44" t="n">
        <v>2754.733263136032</v>
      </c>
      <c r="DL44" t="n">
        <v>2247.377994773003</v>
      </c>
      <c r="DW44" t="n">
        <v>4872.595337838322</v>
      </c>
      <c r="DX44" t="n">
        <v>1335.256319448823</v>
      </c>
      <c r="EA44" t="n">
        <v>505.7267408941933</v>
      </c>
      <c r="EB44" t="n">
        <v>0.6422464652590527</v>
      </c>
      <c r="EK44" t="n">
        <v>520.3408834566507</v>
      </c>
      <c r="EL44" t="n">
        <v>0.6786199720083875</v>
      </c>
      <c r="EU44" t="n">
        <v>998.5759661858584</v>
      </c>
      <c r="EV44" t="n">
        <v>0.7943290478947429</v>
      </c>
      <c r="EY44" t="n">
        <v>2923.845989055693</v>
      </c>
      <c r="EZ44" t="n">
        <v>809.1007295238458</v>
      </c>
      <c r="FE44" t="n">
        <v>405</v>
      </c>
      <c r="FF44" t="n">
        <v>0.95</v>
      </c>
      <c r="FM44" t="n">
        <v>3781.823024523768</v>
      </c>
      <c r="FN44" t="n">
        <v>1028.340257739096</v>
      </c>
      <c r="FU44" t="n">
        <v>3000</v>
      </c>
      <c r="FV44" t="n">
        <v>393.75</v>
      </c>
      <c r="GC44" t="n">
        <v>4205.950043184831</v>
      </c>
      <c r="GD44" t="n">
        <v>1579.556702008076</v>
      </c>
      <c r="GK44" t="n">
        <v>415</v>
      </c>
      <c r="GL44" t="n">
        <v>0.5</v>
      </c>
      <c r="GS44" t="n">
        <v>4808.3419580395</v>
      </c>
      <c r="GT44" t="n">
        <v>1242.274389807264</v>
      </c>
      <c r="HK44" t="n">
        <v>3093.549445566448</v>
      </c>
      <c r="HL44" t="n">
        <v>1764.545055331969</v>
      </c>
      <c r="HS44" t="n">
        <v>4358.911133634378</v>
      </c>
      <c r="HT44" t="n">
        <v>464.161865852433</v>
      </c>
      <c r="IA44" t="n">
        <v>911.5330932478632</v>
      </c>
      <c r="IB44" t="n">
        <v>437.0069427831788</v>
      </c>
      <c r="II44" t="n">
        <v>4435.445399157908</v>
      </c>
      <c r="IJ44" t="n">
        <v>512.6610360456054</v>
      </c>
      <c r="NE44" t="n">
        <v>3300</v>
      </c>
      <c r="NF44" t="n">
        <v>680</v>
      </c>
      <c r="NU44" t="n">
        <v>1100</v>
      </c>
      <c r="NV44" t="n">
        <v>0.88</v>
      </c>
    </row>
    <row r="45">
      <c r="Y45" t="n">
        <v>581.8181818181819</v>
      </c>
      <c r="Z45" t="n">
        <v>403</v>
      </c>
      <c r="AA45" t="n">
        <v>1709.090909090909</v>
      </c>
      <c r="AB45" t="n">
        <v>529</v>
      </c>
      <c r="AM45" t="n">
        <v>0.8</v>
      </c>
      <c r="AN45" t="n">
        <v>0.85</v>
      </c>
      <c r="AQ45" t="n">
        <v>0.95</v>
      </c>
      <c r="AR45" t="n">
        <v>0.7</v>
      </c>
      <c r="BM45" t="n">
        <v>337.5</v>
      </c>
      <c r="BN45" t="n">
        <v>283.15</v>
      </c>
      <c r="BU45" t="n">
        <v>562.5</v>
      </c>
      <c r="BV45" t="n">
        <v>288.15</v>
      </c>
      <c r="CE45" t="n">
        <v>843.75</v>
      </c>
      <c r="CF45" t="n">
        <v>283.15</v>
      </c>
      <c r="CQ45" t="n">
        <v>600</v>
      </c>
      <c r="CR45" t="n">
        <v>300.032917</v>
      </c>
      <c r="DA45" t="n">
        <v>2604.944636423121</v>
      </c>
      <c r="DB45" t="n">
        <v>1241.446773162118</v>
      </c>
      <c r="DC45" t="n">
        <v>3228.728334354167</v>
      </c>
      <c r="DD45" t="n">
        <v>905.0515052357212</v>
      </c>
      <c r="DG45" t="n">
        <v>4929.43342455066</v>
      </c>
      <c r="DH45" t="n">
        <v>407.3162401136894</v>
      </c>
      <c r="DI45" t="n">
        <v>4921.171604059608</v>
      </c>
      <c r="DJ45" t="n">
        <v>1620.803789071626</v>
      </c>
      <c r="DW45" t="n">
        <v>2196.639062724997</v>
      </c>
      <c r="DX45" t="n">
        <v>677.4680470484612</v>
      </c>
      <c r="EA45" t="n">
        <v>609.6662355429212</v>
      </c>
      <c r="EB45" t="n">
        <v>0.598315921188236</v>
      </c>
      <c r="EK45" t="n">
        <v>581.8965059315847</v>
      </c>
      <c r="EL45" t="n">
        <v>0.6843408899105394</v>
      </c>
      <c r="EU45" t="n">
        <v>1746.689665610918</v>
      </c>
      <c r="EV45" t="n">
        <v>0.583520866253423</v>
      </c>
      <c r="EY45" t="n">
        <v>3479.489155037617</v>
      </c>
      <c r="EZ45" t="n">
        <v>521.3504864564843</v>
      </c>
      <c r="FE45" t="n">
        <v>410</v>
      </c>
      <c r="FF45" t="n">
        <v>0.95</v>
      </c>
      <c r="FM45" t="n">
        <v>3781.823024523768</v>
      </c>
      <c r="FN45" t="n">
        <v>808.3402577390962</v>
      </c>
      <c r="FU45" t="n">
        <v>3000</v>
      </c>
      <c r="FV45" t="n">
        <v>393.75</v>
      </c>
      <c r="GC45" t="n">
        <v>4205.950043184831</v>
      </c>
      <c r="GD45" t="n">
        <v>1359.556702008076</v>
      </c>
      <c r="GK45" t="n">
        <v>415</v>
      </c>
      <c r="GL45" t="n">
        <v>0.5</v>
      </c>
      <c r="GS45" t="n">
        <v>4808.3419580395</v>
      </c>
      <c r="GT45" t="n">
        <v>1022.274389807265</v>
      </c>
      <c r="HK45" t="n">
        <v>4626.755913366793</v>
      </c>
      <c r="HL45" t="n">
        <v>607.3993534189208</v>
      </c>
      <c r="HS45" t="n">
        <v>2167.718912311749</v>
      </c>
      <c r="HT45" t="n">
        <v>427.0662132762707</v>
      </c>
      <c r="IA45" t="n">
        <v>1585.856122892919</v>
      </c>
      <c r="IB45" t="n">
        <v>478.2193037659636</v>
      </c>
      <c r="II45" t="n">
        <v>3548.201459047691</v>
      </c>
      <c r="IJ45" t="n">
        <v>464.9331979299806</v>
      </c>
      <c r="NE45" t="n">
        <v>3300</v>
      </c>
      <c r="NF45" t="n">
        <v>680</v>
      </c>
      <c r="NU45" t="n">
        <v>1200</v>
      </c>
      <c r="NV45" t="n">
        <v>0.88</v>
      </c>
    </row>
    <row r="46">
      <c r="Y46" t="n">
        <v>581.8181818181819</v>
      </c>
      <c r="Z46" t="n">
        <v>403</v>
      </c>
      <c r="AA46" t="n">
        <v>400</v>
      </c>
      <c r="AB46" t="n">
        <v>560</v>
      </c>
      <c r="AM46" t="n">
        <v>0.8</v>
      </c>
      <c r="AN46" t="n">
        <v>0.85</v>
      </c>
      <c r="AQ46" t="n">
        <v>0.8</v>
      </c>
      <c r="AR46" t="n">
        <v>0.8</v>
      </c>
      <c r="BM46" t="n">
        <v>412.5</v>
      </c>
      <c r="BN46" t="n">
        <v>288.15</v>
      </c>
      <c r="BU46" t="n">
        <v>637.5</v>
      </c>
      <c r="BV46" t="n">
        <v>293.15</v>
      </c>
      <c r="CE46" t="n">
        <v>843.75</v>
      </c>
      <c r="CF46" t="n">
        <v>283.15</v>
      </c>
      <c r="CQ46" t="n">
        <v>1050</v>
      </c>
      <c r="CR46" t="n">
        <v>300.032917</v>
      </c>
      <c r="DA46" t="n">
        <v>2139.236516373478</v>
      </c>
      <c r="DB46" t="n">
        <v>1322.547882021173</v>
      </c>
      <c r="DC46" t="n">
        <v>4928.023437908886</v>
      </c>
      <c r="DD46" t="n">
        <v>642.7835658994754</v>
      </c>
      <c r="DG46" t="n">
        <v>4120.866544605548</v>
      </c>
      <c r="DH46" t="n">
        <v>527.0313370796946</v>
      </c>
      <c r="DI46" t="n">
        <v>4814.579299404854</v>
      </c>
      <c r="DJ46" t="n">
        <v>2328.479505949725</v>
      </c>
      <c r="DW46" t="n">
        <v>2776.727436590294</v>
      </c>
      <c r="DX46" t="n">
        <v>439.7575008401029</v>
      </c>
      <c r="EA46" t="n">
        <v>529.0807896055873</v>
      </c>
      <c r="EB46" t="n">
        <v>0.5896750621959038</v>
      </c>
      <c r="EK46" t="n">
        <v>450.1717110940913</v>
      </c>
      <c r="EL46" t="n">
        <v>0.7119811496815095</v>
      </c>
      <c r="EU46" t="n">
        <v>358.8222479218133</v>
      </c>
      <c r="EV46" t="n">
        <v>0.7379615981750619</v>
      </c>
      <c r="EY46" t="n">
        <v>4826.011446144825</v>
      </c>
      <c r="EZ46" t="n">
        <v>1837.459855400399</v>
      </c>
      <c r="FE46" t="n">
        <v>390</v>
      </c>
      <c r="FF46" t="n">
        <v>0.85</v>
      </c>
      <c r="FM46" t="n">
        <v>3781.823024523768</v>
      </c>
      <c r="FN46" t="n">
        <v>808.3402577390962</v>
      </c>
      <c r="FU46" t="n">
        <v>3000</v>
      </c>
      <c r="FV46" t="n">
        <v>393.75</v>
      </c>
      <c r="GC46" t="n">
        <v>4205.950043184831</v>
      </c>
      <c r="GD46" t="n">
        <v>1359.556702008076</v>
      </c>
      <c r="GK46" t="n">
        <v>403</v>
      </c>
      <c r="GL46" t="n">
        <v>0.5</v>
      </c>
      <c r="GS46" t="n">
        <v>4808.3419580395</v>
      </c>
      <c r="GT46" t="n">
        <v>1022.274389807265</v>
      </c>
      <c r="HS46" t="n">
        <v>2465.560676700233</v>
      </c>
      <c r="HT46" t="n">
        <v>1285.352935678214</v>
      </c>
      <c r="IA46" t="n">
        <v>1491.847296799245</v>
      </c>
      <c r="IB46" t="n">
        <v>397.785610999577</v>
      </c>
      <c r="NE46" t="n">
        <v>3300</v>
      </c>
      <c r="NF46" t="n">
        <v>680</v>
      </c>
      <c r="NU46" t="n">
        <v>900</v>
      </c>
      <c r="NV46" t="n">
        <v>0.91</v>
      </c>
    </row>
    <row r="47">
      <c r="Y47" t="n">
        <v>945.4545454545456</v>
      </c>
      <c r="Z47" t="n">
        <v>434</v>
      </c>
      <c r="AA47" t="n">
        <v>1854.545454545455</v>
      </c>
      <c r="AB47" t="n">
        <v>529</v>
      </c>
      <c r="AM47" t="n">
        <v>0.8</v>
      </c>
      <c r="AN47" t="n">
        <v>0.85</v>
      </c>
      <c r="AQ47" t="n">
        <v>0.75</v>
      </c>
      <c r="AR47" t="n">
        <v>0.8</v>
      </c>
      <c r="BM47" t="n">
        <v>337.5</v>
      </c>
      <c r="BN47" t="n">
        <v>283.15</v>
      </c>
      <c r="BU47" t="n">
        <v>637.5</v>
      </c>
      <c r="BV47" t="n">
        <v>293.15</v>
      </c>
      <c r="CE47" t="n">
        <v>1106.25</v>
      </c>
      <c r="CF47" t="n">
        <v>293.15</v>
      </c>
      <c r="CQ47" t="n">
        <v>1200</v>
      </c>
      <c r="CR47" t="n">
        <v>300.032917</v>
      </c>
      <c r="DA47" t="n">
        <v>4178.30434766902</v>
      </c>
      <c r="DB47" t="n">
        <v>1182.62103642894</v>
      </c>
      <c r="DC47" t="n">
        <v>3303.802097730111</v>
      </c>
      <c r="DD47" t="n">
        <v>1291.098246882884</v>
      </c>
      <c r="DG47" t="n">
        <v>4920.880380918463</v>
      </c>
      <c r="DH47" t="n">
        <v>1032.970525554797</v>
      </c>
      <c r="DI47" t="n">
        <v>2575.741911242752</v>
      </c>
      <c r="DJ47" t="n">
        <v>1593.044753827096</v>
      </c>
      <c r="DW47" t="n">
        <v>2884.795440604961</v>
      </c>
      <c r="DX47" t="n">
        <v>726.3167684116191</v>
      </c>
      <c r="EA47" t="n">
        <v>582.6783463560204</v>
      </c>
      <c r="EB47" t="n">
        <v>0.5121260230906227</v>
      </c>
      <c r="EK47" t="n">
        <v>544.3157080229103</v>
      </c>
      <c r="EL47" t="n">
        <v>0.7635097457642304</v>
      </c>
      <c r="EU47" t="n">
        <v>1584.006376056364</v>
      </c>
      <c r="EV47" t="n">
        <v>0.772676439907986</v>
      </c>
      <c r="EY47" t="n">
        <v>2097.808080703369</v>
      </c>
      <c r="EZ47" t="n">
        <v>240.565599861495</v>
      </c>
      <c r="FE47" t="n">
        <v>392.5</v>
      </c>
      <c r="FF47" t="n">
        <v>0.85</v>
      </c>
      <c r="FM47" t="n">
        <v>3781.823024523768</v>
      </c>
      <c r="FN47" t="n">
        <v>808.3402577390962</v>
      </c>
      <c r="FU47" t="n">
        <v>3000</v>
      </c>
      <c r="FV47" t="n">
        <v>393.75</v>
      </c>
      <c r="GC47" t="n">
        <v>4205.950043184831</v>
      </c>
      <c r="GD47" t="n">
        <v>1359.556702008076</v>
      </c>
      <c r="GK47" t="n">
        <v>415</v>
      </c>
      <c r="GL47" t="n">
        <v>0.5</v>
      </c>
      <c r="GS47" t="n">
        <v>4808.3419580395</v>
      </c>
      <c r="GT47" t="n">
        <v>1022.274389807265</v>
      </c>
      <c r="HS47" t="n">
        <v>3719.696486678743</v>
      </c>
      <c r="HT47" t="n">
        <v>798.0384416702468</v>
      </c>
      <c r="IA47" t="n">
        <v>947.760217516384</v>
      </c>
      <c r="IB47" t="n">
        <v>429.0791350480217</v>
      </c>
      <c r="NE47" t="n">
        <v>3300</v>
      </c>
      <c r="NF47" t="n">
        <v>720</v>
      </c>
      <c r="NU47" t="n">
        <v>800</v>
      </c>
      <c r="NV47" t="n">
        <v>0.91</v>
      </c>
    </row>
    <row r="48">
      <c r="Y48" t="n">
        <v>945.4545454545456</v>
      </c>
      <c r="Z48" t="n">
        <v>434</v>
      </c>
      <c r="AA48" t="n">
        <v>2000</v>
      </c>
      <c r="AB48" t="n">
        <v>529</v>
      </c>
      <c r="AM48" t="n">
        <v>0.8</v>
      </c>
      <c r="AN48" t="n">
        <v>0.85</v>
      </c>
      <c r="AQ48" t="n">
        <v>0.85</v>
      </c>
      <c r="AR48" t="n">
        <v>0.8</v>
      </c>
      <c r="BM48" t="n">
        <v>487.5</v>
      </c>
      <c r="BN48" t="n">
        <v>293.15</v>
      </c>
      <c r="BU48" t="n">
        <v>393.75</v>
      </c>
      <c r="BV48" t="n">
        <v>278.15</v>
      </c>
      <c r="CE48" t="n">
        <v>1293.75</v>
      </c>
      <c r="CF48" t="n">
        <v>300.032917</v>
      </c>
      <c r="CQ48" t="n">
        <v>900</v>
      </c>
      <c r="CR48" t="n">
        <v>300.032917</v>
      </c>
      <c r="DA48" t="n">
        <v>4734.3608776931</v>
      </c>
      <c r="DB48" t="n">
        <v>1016.729934867299</v>
      </c>
      <c r="DC48" t="n">
        <v>2676.464074572325</v>
      </c>
      <c r="DD48" t="n">
        <v>872.20860390269</v>
      </c>
      <c r="DG48" t="n">
        <v>4593.339295432349</v>
      </c>
      <c r="DH48" t="n">
        <v>1341.797200075589</v>
      </c>
      <c r="DI48" t="n">
        <v>2952.30713286758</v>
      </c>
      <c r="DJ48" t="n">
        <v>2044.378449691666</v>
      </c>
      <c r="DW48" t="n">
        <v>2611.522347354427</v>
      </c>
      <c r="DX48" t="n">
        <v>222.4785914079228</v>
      </c>
      <c r="EA48" t="n">
        <v>468.3292247390956</v>
      </c>
      <c r="EB48" t="n">
        <v>0.6325748329484358</v>
      </c>
      <c r="EK48" t="n">
        <v>577.4354676945809</v>
      </c>
      <c r="EL48" t="n">
        <v>0.5199660044508752</v>
      </c>
      <c r="EU48" t="n">
        <v>1495.349823108638</v>
      </c>
      <c r="EV48" t="n">
        <v>0.5885681218568491</v>
      </c>
      <c r="EY48" t="n">
        <v>4483.987463966094</v>
      </c>
      <c r="EZ48" t="n">
        <v>1660.221978615952</v>
      </c>
      <c r="FE48" t="n">
        <v>397.5</v>
      </c>
      <c r="FF48" t="n">
        <v>0.85</v>
      </c>
      <c r="FM48" t="n">
        <v>3781.823024523768</v>
      </c>
      <c r="FN48" t="n">
        <v>808.3402577390962</v>
      </c>
      <c r="FU48" t="n">
        <v>3000</v>
      </c>
      <c r="FV48" t="n">
        <v>393.75</v>
      </c>
      <c r="GC48" t="n">
        <v>4205.950043184831</v>
      </c>
      <c r="GD48" t="n">
        <v>1359.556702008076</v>
      </c>
      <c r="GK48" t="n">
        <v>415</v>
      </c>
      <c r="GL48" t="n">
        <v>0.5</v>
      </c>
      <c r="GS48" t="n">
        <v>4808.3419580395</v>
      </c>
      <c r="GT48" t="n">
        <v>1022.274389807265</v>
      </c>
      <c r="HS48" t="n">
        <v>3047.46461387508</v>
      </c>
      <c r="HT48" t="n">
        <v>1054.208860396432</v>
      </c>
      <c r="IA48" t="n">
        <v>723.4670017510906</v>
      </c>
      <c r="IB48" t="n">
        <v>420.6424613735078</v>
      </c>
      <c r="NE48" t="n">
        <v>3300</v>
      </c>
      <c r="NF48" t="n">
        <v>680</v>
      </c>
      <c r="NU48" t="n">
        <v>1000</v>
      </c>
      <c r="NV48" t="n">
        <v>0.91</v>
      </c>
    </row>
    <row r="49">
      <c r="Y49" t="n">
        <v>1818.181818181818</v>
      </c>
      <c r="Z49" t="n">
        <v>434</v>
      </c>
      <c r="AA49" t="n">
        <v>545.4545454545455</v>
      </c>
      <c r="AB49" t="n">
        <v>560</v>
      </c>
      <c r="AM49" t="n">
        <v>0.8</v>
      </c>
      <c r="AN49" t="n">
        <v>0.85</v>
      </c>
      <c r="AQ49" t="n">
        <v>0.8999999999999999</v>
      </c>
      <c r="AR49" t="n">
        <v>0.8</v>
      </c>
      <c r="BM49" t="n">
        <v>487.5</v>
      </c>
      <c r="BN49" t="n">
        <v>293.15</v>
      </c>
      <c r="BU49" t="n">
        <v>393.75</v>
      </c>
      <c r="BV49" t="n">
        <v>278.15</v>
      </c>
      <c r="CE49" t="n">
        <v>1106.25</v>
      </c>
      <c r="CF49" t="n">
        <v>293.15</v>
      </c>
      <c r="CQ49" t="n">
        <v>750</v>
      </c>
      <c r="CR49" t="n">
        <v>300.032917</v>
      </c>
      <c r="DA49" t="n">
        <v>3353.234677575101</v>
      </c>
      <c r="DB49" t="n">
        <v>1224.949697174275</v>
      </c>
      <c r="DC49" t="n">
        <v>3316.573945453056</v>
      </c>
      <c r="DD49" t="n">
        <v>356.2369174502807</v>
      </c>
      <c r="DG49" t="n">
        <v>4079.305131088077</v>
      </c>
      <c r="DH49" t="n">
        <v>472.8890156686001</v>
      </c>
      <c r="DI49" t="n">
        <v>4719.925908259518</v>
      </c>
      <c r="DJ49" t="n">
        <v>2383.637463910125</v>
      </c>
      <c r="DW49" t="n">
        <v>2270.238421742054</v>
      </c>
      <c r="DX49" t="n">
        <v>796.8053579109284</v>
      </c>
      <c r="EA49" t="n">
        <v>578.2386804758994</v>
      </c>
      <c r="EB49" t="n">
        <v>0.5401790049881244</v>
      </c>
      <c r="EK49" t="n">
        <v>530.0976876685875</v>
      </c>
      <c r="EL49" t="n">
        <v>0.8205257446052927</v>
      </c>
      <c r="EU49" t="n">
        <v>875.8003192750004</v>
      </c>
      <c r="EV49" t="n">
        <v>0.8445193529279069</v>
      </c>
      <c r="EY49" t="n">
        <v>3345.546793461149</v>
      </c>
      <c r="EZ49" t="n">
        <v>1233.887343762725</v>
      </c>
      <c r="FE49" t="n">
        <v>395</v>
      </c>
      <c r="FF49" t="n">
        <v>0.85</v>
      </c>
      <c r="FM49" t="n">
        <v>3781.823024523768</v>
      </c>
      <c r="FN49" t="n">
        <v>808.3402577390962</v>
      </c>
      <c r="FU49" t="n">
        <v>3000</v>
      </c>
      <c r="FV49" t="n">
        <v>393.75</v>
      </c>
      <c r="GC49" t="n">
        <v>4205.950043184831</v>
      </c>
      <c r="GD49" t="n">
        <v>1359.556702008076</v>
      </c>
      <c r="GK49" t="n">
        <v>415</v>
      </c>
      <c r="GL49" t="n">
        <v>0.5</v>
      </c>
      <c r="GS49" t="n">
        <v>4808.3419580395</v>
      </c>
      <c r="GT49" t="n">
        <v>1022.274389807265</v>
      </c>
      <c r="HS49" t="n">
        <v>3306.248255809954</v>
      </c>
      <c r="HT49" t="n">
        <v>647.9814851424135</v>
      </c>
      <c r="IA49" t="n">
        <v>1854.535804674304</v>
      </c>
      <c r="IB49" t="n">
        <v>424.6008788817287</v>
      </c>
      <c r="NE49" t="n">
        <v>3300</v>
      </c>
      <c r="NF49" t="n">
        <v>680</v>
      </c>
      <c r="NU49" t="n">
        <v>1100</v>
      </c>
      <c r="NV49" t="n">
        <v>0.91</v>
      </c>
    </row>
    <row r="50">
      <c r="Y50" t="n">
        <v>563.6363636363637</v>
      </c>
      <c r="Z50" t="n">
        <v>403</v>
      </c>
      <c r="AA50" t="n">
        <v>690.909090909091</v>
      </c>
      <c r="AB50" t="n">
        <v>560</v>
      </c>
      <c r="AM50" t="n">
        <v>0.8</v>
      </c>
      <c r="AN50" t="n">
        <v>0.85</v>
      </c>
      <c r="BM50" t="n">
        <v>412.5</v>
      </c>
      <c r="BN50" t="n">
        <v>288.15</v>
      </c>
      <c r="BU50" t="n">
        <v>468.75</v>
      </c>
      <c r="BV50" t="n">
        <v>283.15</v>
      </c>
      <c r="CE50" t="n">
        <v>1293.75</v>
      </c>
      <c r="CF50" t="n">
        <v>300.032917</v>
      </c>
      <c r="CQ50" t="n">
        <v>1350</v>
      </c>
      <c r="CR50" t="n">
        <v>300.032917</v>
      </c>
      <c r="DA50" t="n">
        <v>3635.642214756188</v>
      </c>
      <c r="DB50" t="n">
        <v>1074.270243330533</v>
      </c>
      <c r="DC50" t="n">
        <v>2838.322250845551</v>
      </c>
      <c r="DD50" t="n">
        <v>686.1759879230095</v>
      </c>
      <c r="DI50" t="n">
        <v>3940.916927295578</v>
      </c>
      <c r="DJ50" t="n">
        <v>2019.074991132865</v>
      </c>
      <c r="DW50" t="n">
        <v>4094.956664720589</v>
      </c>
      <c r="DX50" t="n">
        <v>780.6953518429564</v>
      </c>
      <c r="EA50" t="n">
        <v>450.6645102052124</v>
      </c>
      <c r="EB50" t="n">
        <v>0.7722396676765345</v>
      </c>
      <c r="EK50" t="n">
        <v>433.5303906599333</v>
      </c>
      <c r="EL50" t="n">
        <v>0.6234923522563102</v>
      </c>
      <c r="EU50" t="n">
        <v>508.9121396980824</v>
      </c>
      <c r="EV50" t="n">
        <v>0.5615029682245881</v>
      </c>
      <c r="EY50" t="n">
        <v>2842.222597328956</v>
      </c>
      <c r="EZ50" t="n">
        <v>348.3356244134676</v>
      </c>
      <c r="FE50" t="n">
        <v>400</v>
      </c>
      <c r="FF50" t="n">
        <v>0.85</v>
      </c>
      <c r="FM50" t="n">
        <v>3781.823024523768</v>
      </c>
      <c r="FN50" t="n">
        <v>808.3402577390962</v>
      </c>
      <c r="FU50" t="n">
        <v>3000</v>
      </c>
      <c r="FV50" t="n">
        <v>393.75</v>
      </c>
      <c r="GC50" t="n">
        <v>4205.950043184831</v>
      </c>
      <c r="GD50" t="n">
        <v>1359.556702008076</v>
      </c>
      <c r="GK50" t="n">
        <v>415</v>
      </c>
      <c r="GL50" t="n">
        <v>0.5</v>
      </c>
      <c r="GS50" t="n">
        <v>4808.3419580395</v>
      </c>
      <c r="GT50" t="n">
        <v>1022.274389807265</v>
      </c>
      <c r="HS50" t="n">
        <v>3857.791888854735</v>
      </c>
      <c r="HT50" t="n">
        <v>1986.996607272141</v>
      </c>
      <c r="IA50" t="n">
        <v>1891.749251062399</v>
      </c>
      <c r="IB50" t="n">
        <v>474.5378082828941</v>
      </c>
      <c r="NE50" t="n">
        <v>3300</v>
      </c>
      <c r="NF50" t="n">
        <v>720</v>
      </c>
      <c r="NU50" t="n">
        <v>1200</v>
      </c>
      <c r="NV50" t="n">
        <v>0.91</v>
      </c>
    </row>
    <row r="51">
      <c r="Y51" t="n">
        <v>563.6363636363637</v>
      </c>
      <c r="Z51" t="n">
        <v>403</v>
      </c>
      <c r="AA51" t="n">
        <v>836.3636363636364</v>
      </c>
      <c r="AB51" t="n">
        <v>560</v>
      </c>
      <c r="AM51" t="n">
        <v>0.8</v>
      </c>
      <c r="AN51" t="n">
        <v>0.85</v>
      </c>
      <c r="BM51" t="n">
        <v>562.5</v>
      </c>
      <c r="BN51" t="n">
        <v>300.032917</v>
      </c>
      <c r="BU51" t="n">
        <v>543.75</v>
      </c>
      <c r="BV51" t="n">
        <v>288.15</v>
      </c>
      <c r="CE51" t="n">
        <v>740.625</v>
      </c>
      <c r="CF51" t="n">
        <v>278.15</v>
      </c>
      <c r="CQ51" t="n">
        <v>1500</v>
      </c>
      <c r="CR51" t="n">
        <v>300.032917</v>
      </c>
      <c r="DA51" t="n">
        <v>3985.967692756678</v>
      </c>
      <c r="DB51" t="n">
        <v>946.0883331862606</v>
      </c>
      <c r="DC51" t="n">
        <v>3143.410294842173</v>
      </c>
      <c r="DD51" t="n">
        <v>879.449791495599</v>
      </c>
      <c r="DI51" t="n">
        <v>4090.06629179166</v>
      </c>
      <c r="DJ51" t="n">
        <v>1896.949983399701</v>
      </c>
      <c r="DW51" t="n">
        <v>3112.668834181619</v>
      </c>
      <c r="DX51" t="n">
        <v>1896.926686810778</v>
      </c>
      <c r="EA51" t="n">
        <v>471.6864310558455</v>
      </c>
      <c r="EB51" t="n">
        <v>0.7346421923186013</v>
      </c>
      <c r="EK51" t="n">
        <v>393.391808158521</v>
      </c>
      <c r="EL51" t="n">
        <v>0.6938644255669242</v>
      </c>
      <c r="EU51" t="n">
        <v>1820.487842189958</v>
      </c>
      <c r="EV51" t="n">
        <v>0.6172459641667749</v>
      </c>
      <c r="EY51" t="n">
        <v>4890.436241295985</v>
      </c>
      <c r="EZ51" t="n">
        <v>899.6389921019817</v>
      </c>
      <c r="FE51" t="n">
        <v>402.5</v>
      </c>
      <c r="FF51" t="n">
        <v>0.85</v>
      </c>
      <c r="FM51" t="n">
        <v>3781.823024523768</v>
      </c>
      <c r="FN51" t="n">
        <v>808.3402577390962</v>
      </c>
      <c r="FU51" t="n">
        <v>3000</v>
      </c>
      <c r="FV51" t="n">
        <v>393.75</v>
      </c>
      <c r="GC51" t="n">
        <v>4205.950043184831</v>
      </c>
      <c r="GD51" t="n">
        <v>1359.556702008076</v>
      </c>
      <c r="GK51" t="n">
        <v>415</v>
      </c>
      <c r="GL51" t="n">
        <v>0.5</v>
      </c>
      <c r="GS51" t="n">
        <v>4808.3419580395</v>
      </c>
      <c r="GT51" t="n">
        <v>1022.274389807265</v>
      </c>
      <c r="HS51" t="n">
        <v>3576.171373039979</v>
      </c>
      <c r="HT51" t="n">
        <v>832.2509646689811</v>
      </c>
      <c r="IA51" t="n">
        <v>1226.229261134544</v>
      </c>
      <c r="IB51" t="n">
        <v>516.5739108614227</v>
      </c>
      <c r="NE51" t="n">
        <v>3300</v>
      </c>
      <c r="NF51" t="n">
        <v>720</v>
      </c>
      <c r="NU51" t="n">
        <v>200</v>
      </c>
      <c r="NV51" t="n">
        <v>0.5</v>
      </c>
    </row>
    <row r="52">
      <c r="Y52" t="n">
        <v>454.5454545454546</v>
      </c>
      <c r="Z52" t="n">
        <v>390</v>
      </c>
      <c r="AA52" t="n">
        <v>1127.272727272728</v>
      </c>
      <c r="AB52" t="n">
        <v>560</v>
      </c>
      <c r="AM52" t="n">
        <v>0.8</v>
      </c>
      <c r="AN52" t="n">
        <v>0.85</v>
      </c>
      <c r="BM52" t="n">
        <v>562.5</v>
      </c>
      <c r="BN52" t="n">
        <v>300.032917</v>
      </c>
      <c r="BU52" t="n">
        <v>468.75</v>
      </c>
      <c r="BV52" t="n">
        <v>283.15</v>
      </c>
      <c r="CE52" t="n">
        <v>740.625</v>
      </c>
      <c r="CF52" t="n">
        <v>278.15</v>
      </c>
      <c r="DA52" t="n">
        <v>2230.392431952534</v>
      </c>
      <c r="DB52" t="n">
        <v>1325.645944743025</v>
      </c>
      <c r="DC52" t="n">
        <v>2506.836026755731</v>
      </c>
      <c r="DD52" t="n">
        <v>351.5152451936569</v>
      </c>
      <c r="DI52" t="n">
        <v>4232.224697543899</v>
      </c>
      <c r="DJ52" t="n">
        <v>1958.97895330556</v>
      </c>
      <c r="DW52" t="n">
        <v>2979.38800363302</v>
      </c>
      <c r="DX52" t="n">
        <v>508.0000997500565</v>
      </c>
      <c r="EA52" t="n">
        <v>538.4876203313397</v>
      </c>
      <c r="EB52" t="n">
        <v>0.6297012180869952</v>
      </c>
      <c r="EK52" t="n">
        <v>479.6386267756259</v>
      </c>
      <c r="EL52" t="n">
        <v>0.6184322178385444</v>
      </c>
      <c r="EU52" t="n">
        <v>893.066406969515</v>
      </c>
      <c r="EV52" t="n">
        <v>0.6613504306669395</v>
      </c>
      <c r="EY52" t="n">
        <v>3936.153236752837</v>
      </c>
      <c r="EZ52" t="n">
        <v>1577.851469488883</v>
      </c>
      <c r="FE52" t="n">
        <v>407.5</v>
      </c>
      <c r="FF52" t="n">
        <v>0.85</v>
      </c>
      <c r="FM52" t="n">
        <v>3781.823024523768</v>
      </c>
      <c r="FN52" t="n">
        <v>808.3402577390962</v>
      </c>
      <c r="FU52" t="n">
        <v>3000</v>
      </c>
      <c r="FV52" t="n">
        <v>393.75</v>
      </c>
      <c r="GC52" t="n">
        <v>4205.950043184831</v>
      </c>
      <c r="GD52" t="n">
        <v>1359.556702008076</v>
      </c>
      <c r="GK52" t="n">
        <v>415</v>
      </c>
      <c r="GL52" t="n">
        <v>0.5</v>
      </c>
      <c r="GS52" t="n">
        <v>4808.3419580395</v>
      </c>
      <c r="GT52" t="n">
        <v>1022.274389807265</v>
      </c>
      <c r="HS52" t="n">
        <v>2866.962602014089</v>
      </c>
      <c r="HT52" t="n">
        <v>1671.976663773145</v>
      </c>
      <c r="IA52" t="n">
        <v>1953.870610436472</v>
      </c>
      <c r="IB52" t="n">
        <v>484.9039814337377</v>
      </c>
      <c r="NE52" t="n">
        <v>3300</v>
      </c>
      <c r="NF52" t="n">
        <v>720</v>
      </c>
      <c r="NU52" t="n">
        <v>300</v>
      </c>
      <c r="NV52" t="n">
        <v>0.5</v>
      </c>
    </row>
    <row r="53">
      <c r="Y53" t="n">
        <v>454.5454545454546</v>
      </c>
      <c r="Z53" t="n">
        <v>390</v>
      </c>
      <c r="AA53" t="n">
        <v>981.818181818182</v>
      </c>
      <c r="AB53" t="n">
        <v>560</v>
      </c>
      <c r="AM53" t="n">
        <v>0.8</v>
      </c>
      <c r="AN53" t="n">
        <v>0.85</v>
      </c>
      <c r="BM53" t="n">
        <v>393.75</v>
      </c>
      <c r="BN53" t="n">
        <v>288.15</v>
      </c>
      <c r="BU53" t="n">
        <v>543.75</v>
      </c>
      <c r="BV53" t="n">
        <v>288.15</v>
      </c>
      <c r="CE53" t="n">
        <v>853.125</v>
      </c>
      <c r="CF53" t="n">
        <v>283.15</v>
      </c>
      <c r="DA53" t="n">
        <v>2646.096710846009</v>
      </c>
      <c r="DB53" t="n">
        <v>805.104001391026</v>
      </c>
      <c r="DC53" t="n">
        <v>2650.571912221968</v>
      </c>
      <c r="DD53" t="n">
        <v>916.0635834815899</v>
      </c>
      <c r="DI53" t="n">
        <v>3790.927120985752</v>
      </c>
      <c r="DJ53" t="n">
        <v>1510.129263615873</v>
      </c>
      <c r="DW53" t="n">
        <v>4258.441424632758</v>
      </c>
      <c r="DX53" t="n">
        <v>1153.145911880854</v>
      </c>
      <c r="EA53" t="n">
        <v>443.6800164851119</v>
      </c>
      <c r="EB53" t="n">
        <v>0.5345122567016389</v>
      </c>
      <c r="EK53" t="n">
        <v>481.8336133259558</v>
      </c>
      <c r="EL53" t="n">
        <v>0.5002346812426254</v>
      </c>
      <c r="EU53" t="n">
        <v>969.1109883984024</v>
      </c>
      <c r="EV53" t="n">
        <v>0.8479413415898844</v>
      </c>
      <c r="EY53" t="n">
        <v>4927.06901207824</v>
      </c>
      <c r="EZ53" t="n">
        <v>1950.31158710057</v>
      </c>
      <c r="FE53" t="n">
        <v>405</v>
      </c>
      <c r="FF53" t="n">
        <v>0.85</v>
      </c>
      <c r="FM53" t="n">
        <v>3781.823024523768</v>
      </c>
      <c r="FN53" t="n">
        <v>808.3402577390962</v>
      </c>
      <c r="FU53" t="n">
        <v>3000</v>
      </c>
      <c r="FV53" t="n">
        <v>393.75</v>
      </c>
      <c r="GC53" t="n">
        <v>4205.950043184831</v>
      </c>
      <c r="GD53" t="n">
        <v>1359.556702008076</v>
      </c>
      <c r="GK53" t="n">
        <v>403</v>
      </c>
      <c r="GL53" t="n">
        <v>0.5</v>
      </c>
      <c r="GS53" t="n">
        <v>4808.3419580395</v>
      </c>
      <c r="GT53" t="n">
        <v>1022.274389807265</v>
      </c>
      <c r="HS53" t="n">
        <v>2746.746322140576</v>
      </c>
      <c r="HT53" t="n">
        <v>668.9987596728052</v>
      </c>
      <c r="NE53" t="n">
        <v>3300</v>
      </c>
      <c r="NF53" t="n">
        <v>760</v>
      </c>
      <c r="NU53" t="n">
        <v>700</v>
      </c>
      <c r="NV53" t="n">
        <v>0.5</v>
      </c>
    </row>
    <row r="54">
      <c r="Y54" t="n">
        <v>745.4545454545455</v>
      </c>
      <c r="Z54" t="n">
        <v>420</v>
      </c>
      <c r="AA54" t="n">
        <v>1272.727272727273</v>
      </c>
      <c r="AB54" t="n">
        <v>560</v>
      </c>
      <c r="AM54" t="n">
        <v>0.8</v>
      </c>
      <c r="AN54" t="n">
        <v>0.85</v>
      </c>
      <c r="BM54" t="n">
        <v>468.75</v>
      </c>
      <c r="BN54" t="n">
        <v>293.15</v>
      </c>
      <c r="BU54" t="n">
        <v>618.75</v>
      </c>
      <c r="BV54" t="n">
        <v>293.15</v>
      </c>
      <c r="CE54" t="n">
        <v>853.125</v>
      </c>
      <c r="CF54" t="n">
        <v>283.15</v>
      </c>
      <c r="DA54" t="n">
        <v>4312.309607406948</v>
      </c>
      <c r="DB54" t="n">
        <v>691.7734007340954</v>
      </c>
      <c r="DC54" t="n">
        <v>2915.52601975683</v>
      </c>
      <c r="DD54" t="n">
        <v>1410.701913457753</v>
      </c>
      <c r="DI54" t="n">
        <v>2666.699393134349</v>
      </c>
      <c r="DJ54" t="n">
        <v>1868.428760743241</v>
      </c>
      <c r="DW54" t="n">
        <v>2670.214036666073</v>
      </c>
      <c r="DX54" t="n">
        <v>597.2150896436053</v>
      </c>
      <c r="EA54" t="n">
        <v>499.6019048252984</v>
      </c>
      <c r="EB54" t="n">
        <v>0.7435749789224603</v>
      </c>
      <c r="EK54" t="n">
        <v>477.4454846923756</v>
      </c>
      <c r="EL54" t="n">
        <v>0.5122525888040736</v>
      </c>
      <c r="EU54" t="n">
        <v>1231.21085181728</v>
      </c>
      <c r="EV54" t="n">
        <v>0.841766588618144</v>
      </c>
      <c r="EY54" t="n">
        <v>2615.397367368532</v>
      </c>
      <c r="EZ54" t="n">
        <v>1382.20115223934</v>
      </c>
      <c r="FE54" t="n">
        <v>390</v>
      </c>
      <c r="FF54" t="n">
        <v>0.875</v>
      </c>
      <c r="FM54" t="n">
        <v>3781.823024523768</v>
      </c>
      <c r="FN54" t="n">
        <v>808.3402577390962</v>
      </c>
      <c r="FU54" t="n">
        <v>3300</v>
      </c>
      <c r="FV54" t="n">
        <v>393.75</v>
      </c>
      <c r="GC54" t="n">
        <v>4205.950043184831</v>
      </c>
      <c r="GD54" t="n">
        <v>1359.556702008076</v>
      </c>
      <c r="GK54" t="n">
        <v>415</v>
      </c>
      <c r="GL54" t="n">
        <v>0.5</v>
      </c>
      <c r="GS54" t="n">
        <v>4508.3419580395</v>
      </c>
      <c r="GT54" t="n">
        <v>1022.274389807265</v>
      </c>
      <c r="HS54" t="n">
        <v>3002.195995718115</v>
      </c>
      <c r="HT54" t="n">
        <v>881.7656496854752</v>
      </c>
      <c r="NE54" t="n">
        <v>3300</v>
      </c>
      <c r="NF54" t="n">
        <v>720</v>
      </c>
      <c r="NU54" t="n">
        <v>400</v>
      </c>
      <c r="NV54" t="n">
        <v>0.5</v>
      </c>
    </row>
    <row r="55">
      <c r="Y55" t="n">
        <v>745.4545454545455</v>
      </c>
      <c r="Z55" t="n">
        <v>420</v>
      </c>
      <c r="AA55" t="n">
        <v>1418.181818181818</v>
      </c>
      <c r="AB55" t="n">
        <v>560</v>
      </c>
      <c r="AM55" t="n">
        <v>0.8</v>
      </c>
      <c r="AN55" t="n">
        <v>0.675</v>
      </c>
      <c r="BM55" t="n">
        <v>468.75</v>
      </c>
      <c r="BN55" t="n">
        <v>293.15</v>
      </c>
      <c r="BU55" t="n">
        <v>618.75</v>
      </c>
      <c r="BV55" t="n">
        <v>293.15</v>
      </c>
      <c r="CE55" t="n">
        <v>1303.125</v>
      </c>
      <c r="CF55" t="n">
        <v>300.032917</v>
      </c>
      <c r="DA55" t="n">
        <v>3272.744306362581</v>
      </c>
      <c r="DB55" t="n">
        <v>1274.893547848595</v>
      </c>
      <c r="DC55" t="n">
        <v>2733.313616845958</v>
      </c>
      <c r="DD55" t="n">
        <v>573.7505473881051</v>
      </c>
      <c r="DI55" t="n">
        <v>4213.478197407408</v>
      </c>
      <c r="DJ55" t="n">
        <v>2292.551550175685</v>
      </c>
      <c r="DW55" t="n">
        <v>4440.000662172815</v>
      </c>
      <c r="DX55" t="n">
        <v>1682.847116423292</v>
      </c>
      <c r="EA55" t="n">
        <v>589.4698749127668</v>
      </c>
      <c r="EB55" t="n">
        <v>0.5675134821243422</v>
      </c>
      <c r="EK55" t="n">
        <v>402.758110472168</v>
      </c>
      <c r="EL55" t="n">
        <v>0.5486033714940894</v>
      </c>
      <c r="EU55" t="n">
        <v>442.8481545128487</v>
      </c>
      <c r="EV55" t="n">
        <v>0.5244297991410477</v>
      </c>
      <c r="EY55" t="n">
        <v>4452.322800832719</v>
      </c>
      <c r="EZ55" t="n">
        <v>1147.987597075097</v>
      </c>
      <c r="FE55" t="n">
        <v>397.5</v>
      </c>
      <c r="FF55" t="n">
        <v>0.875</v>
      </c>
      <c r="FM55" t="n">
        <v>4081.823024523768</v>
      </c>
      <c r="FN55" t="n">
        <v>808.3402577390962</v>
      </c>
      <c r="FU55" t="n">
        <v>2700</v>
      </c>
      <c r="FV55" t="n">
        <v>393.75</v>
      </c>
      <c r="GC55" t="n">
        <v>4805.950043184831</v>
      </c>
      <c r="GD55" t="n">
        <v>1359.556702008076</v>
      </c>
      <c r="GK55" t="n">
        <v>415</v>
      </c>
      <c r="GL55" t="n">
        <v>0.5</v>
      </c>
      <c r="GS55" t="n">
        <v>4808.3419580395</v>
      </c>
      <c r="GT55" t="n">
        <v>1242.274389807264</v>
      </c>
      <c r="HS55" t="n">
        <v>2598.507358818896</v>
      </c>
      <c r="HT55" t="n">
        <v>1193.603765254746</v>
      </c>
      <c r="NE55" t="n">
        <v>3300</v>
      </c>
      <c r="NF55" t="n">
        <v>720</v>
      </c>
      <c r="NU55" t="n">
        <v>600</v>
      </c>
      <c r="NV55" t="n">
        <v>0.5</v>
      </c>
    </row>
    <row r="56">
      <c r="Y56" t="n">
        <v>445.4545454545455</v>
      </c>
      <c r="Z56" t="n">
        <v>390</v>
      </c>
      <c r="AA56" t="n">
        <v>1563.636363636364</v>
      </c>
      <c r="AB56" t="n">
        <v>560</v>
      </c>
      <c r="AM56" t="n">
        <v>0.8</v>
      </c>
      <c r="AN56" t="n">
        <v>0.825</v>
      </c>
      <c r="BM56" t="n">
        <v>393.75</v>
      </c>
      <c r="BN56" t="n">
        <v>288.15</v>
      </c>
      <c r="BU56" t="n">
        <v>459.375</v>
      </c>
      <c r="BV56" t="n">
        <v>283.15</v>
      </c>
      <c r="CE56" t="n">
        <v>1303.125</v>
      </c>
      <c r="CF56" t="n">
        <v>300.032917</v>
      </c>
      <c r="DA56" t="n">
        <v>4500.932155762511</v>
      </c>
      <c r="DB56" t="n">
        <v>715.1984939356119</v>
      </c>
      <c r="DC56" t="n">
        <v>4717.402847573444</v>
      </c>
      <c r="DD56" t="n">
        <v>1094.439040364149</v>
      </c>
      <c r="DI56" t="n">
        <v>4455.198864586941</v>
      </c>
      <c r="DJ56" t="n">
        <v>1891.592787880841</v>
      </c>
      <c r="DW56" t="n">
        <v>2317.51830359603</v>
      </c>
      <c r="DX56" t="n">
        <v>1447.740268610238</v>
      </c>
      <c r="EA56" t="n">
        <v>407.5531881146055</v>
      </c>
      <c r="EB56" t="n">
        <v>0.7931958339697167</v>
      </c>
      <c r="EK56" t="n">
        <v>395.1331527093238</v>
      </c>
      <c r="EL56" t="n">
        <v>0.5396409652587254</v>
      </c>
      <c r="EU56" t="n">
        <v>1801.301886600328</v>
      </c>
      <c r="EV56" t="n">
        <v>0.8076091525380407</v>
      </c>
      <c r="EY56" t="n">
        <v>3469.365505883858</v>
      </c>
      <c r="EZ56" t="n">
        <v>750.2141281444486</v>
      </c>
      <c r="FE56" t="n">
        <v>392.5</v>
      </c>
      <c r="FF56" t="n">
        <v>0.875</v>
      </c>
      <c r="FM56" t="n">
        <v>4081.823024523768</v>
      </c>
      <c r="FN56" t="n">
        <v>808.3402577390962</v>
      </c>
      <c r="FU56" t="n">
        <v>3000</v>
      </c>
      <c r="FV56" t="n">
        <v>613.75</v>
      </c>
      <c r="GC56" t="n">
        <v>4205.950043184831</v>
      </c>
      <c r="GD56" t="n">
        <v>1359.556702008076</v>
      </c>
      <c r="GK56" t="n">
        <v>415</v>
      </c>
      <c r="GL56" t="n">
        <v>0.5</v>
      </c>
      <c r="GS56" t="n">
        <v>4808.3419580395</v>
      </c>
      <c r="GT56" t="n">
        <v>1022.274389807265</v>
      </c>
      <c r="HS56" t="n">
        <v>4060.745172470695</v>
      </c>
      <c r="HT56" t="n">
        <v>907.3813669884838</v>
      </c>
      <c r="NE56" t="n">
        <v>3300</v>
      </c>
      <c r="NF56" t="n">
        <v>760</v>
      </c>
      <c r="NU56" t="n">
        <v>300</v>
      </c>
      <c r="NV56" t="n">
        <v>0.55</v>
      </c>
    </row>
    <row r="57">
      <c r="Y57" t="n">
        <v>445.4545454545455</v>
      </c>
      <c r="Z57" t="n">
        <v>390</v>
      </c>
      <c r="AA57" t="n">
        <v>1709.090909090909</v>
      </c>
      <c r="AB57" t="n">
        <v>560</v>
      </c>
      <c r="AM57" t="n">
        <v>0.8</v>
      </c>
      <c r="AN57" t="n">
        <v>0.8218749999999999</v>
      </c>
      <c r="BM57" t="n">
        <v>290.625</v>
      </c>
      <c r="BN57" t="n">
        <v>278.15</v>
      </c>
      <c r="BU57" t="n">
        <v>534.375</v>
      </c>
      <c r="BV57" t="n">
        <v>288.15</v>
      </c>
      <c r="DA57" t="n">
        <v>4302.369023730509</v>
      </c>
      <c r="DB57" t="n">
        <v>1037.558880616701</v>
      </c>
      <c r="DC57" t="n">
        <v>3836.013417784205</v>
      </c>
      <c r="DD57" t="n">
        <v>457.3944215455086</v>
      </c>
      <c r="DI57" t="n">
        <v>2772.535400004202</v>
      </c>
      <c r="DJ57" t="n">
        <v>2078.849196353292</v>
      </c>
      <c r="DW57" t="n">
        <v>2682.819081315295</v>
      </c>
      <c r="DX57" t="n">
        <v>948.7328008385192</v>
      </c>
      <c r="EA57" t="n">
        <v>483.5505131964024</v>
      </c>
      <c r="EB57" t="n">
        <v>0.6789865389891734</v>
      </c>
      <c r="EU57" t="n">
        <v>1078.400243366366</v>
      </c>
      <c r="EV57" t="n">
        <v>0.552588461194808</v>
      </c>
      <c r="FE57" t="n">
        <v>395</v>
      </c>
      <c r="FF57" t="n">
        <v>0.875</v>
      </c>
      <c r="FM57" t="n">
        <v>4081.823024523768</v>
      </c>
      <c r="FN57" t="n">
        <v>808.3402577390962</v>
      </c>
      <c r="FU57" t="n">
        <v>3000</v>
      </c>
      <c r="FV57" t="n">
        <v>393.75</v>
      </c>
      <c r="GC57" t="n">
        <v>4505.950043184831</v>
      </c>
      <c r="GD57" t="n">
        <v>1579.556702008076</v>
      </c>
      <c r="GK57" t="n">
        <v>415</v>
      </c>
      <c r="GL57" t="n">
        <v>0.5</v>
      </c>
      <c r="GS57" t="n">
        <v>4808.3419580395</v>
      </c>
      <c r="GT57" t="n">
        <v>1022.274389807265</v>
      </c>
      <c r="HS57" t="n">
        <v>3187.225332776293</v>
      </c>
      <c r="HT57" t="n">
        <v>398.7321062632564</v>
      </c>
      <c r="NE57" t="n">
        <v>3300</v>
      </c>
      <c r="NF57" t="n">
        <v>760</v>
      </c>
      <c r="NU57" t="n">
        <v>500</v>
      </c>
      <c r="NV57" t="n">
        <v>0.5</v>
      </c>
    </row>
    <row r="58">
      <c r="Y58" t="n">
        <v>736.3636363636365</v>
      </c>
      <c r="Z58" t="n">
        <v>420</v>
      </c>
      <c r="AA58" t="n">
        <v>1854.545454545455</v>
      </c>
      <c r="AB58" t="n">
        <v>560</v>
      </c>
      <c r="BM58" t="n">
        <v>290.625</v>
      </c>
      <c r="BN58" t="n">
        <v>278.15</v>
      </c>
      <c r="BU58" t="n">
        <v>459.375</v>
      </c>
      <c r="BV58" t="n">
        <v>283.15</v>
      </c>
      <c r="DA58" t="n">
        <v>3262.876769528304</v>
      </c>
      <c r="DB58" t="n">
        <v>1336.435912200403</v>
      </c>
      <c r="DC58" t="n">
        <v>3053.239598013821</v>
      </c>
      <c r="DD58" t="n">
        <v>520.2115908612054</v>
      </c>
      <c r="DI58" t="n">
        <v>4732.003232860974</v>
      </c>
      <c r="DJ58" t="n">
        <v>1880.590776819677</v>
      </c>
      <c r="DW58" t="n">
        <v>3979.868505329629</v>
      </c>
      <c r="DX58" t="n">
        <v>278.5002588878004</v>
      </c>
      <c r="EA58" t="n">
        <v>513.7383921994337</v>
      </c>
      <c r="EB58" t="n">
        <v>0.7251505621585277</v>
      </c>
      <c r="EU58" t="n">
        <v>1677.964427433408</v>
      </c>
      <c r="EV58" t="n">
        <v>0.6599773086541001</v>
      </c>
      <c r="FE58" t="n">
        <v>400</v>
      </c>
      <c r="FF58" t="n">
        <v>0.875</v>
      </c>
      <c r="FM58" t="n">
        <v>4081.823024523768</v>
      </c>
      <c r="FN58" t="n">
        <v>808.3402577390962</v>
      </c>
      <c r="FU58" t="n">
        <v>3000</v>
      </c>
      <c r="FV58" t="n">
        <v>393.75</v>
      </c>
      <c r="GC58" t="n">
        <v>4505.950043184831</v>
      </c>
      <c r="GD58" t="n">
        <v>1359.556702008076</v>
      </c>
      <c r="GK58" t="n">
        <v>415</v>
      </c>
      <c r="GL58" t="n">
        <v>0.5</v>
      </c>
      <c r="GS58" t="n">
        <v>4808.3419580395</v>
      </c>
      <c r="GT58" t="n">
        <v>1022.274389807265</v>
      </c>
      <c r="HS58" t="n">
        <v>4430.568097367837</v>
      </c>
      <c r="HT58" t="n">
        <v>1140.019197242107</v>
      </c>
      <c r="NE58" t="n">
        <v>3300</v>
      </c>
      <c r="NF58" t="n">
        <v>760</v>
      </c>
      <c r="NU58" t="n">
        <v>400</v>
      </c>
      <c r="NV58" t="n">
        <v>0.55</v>
      </c>
    </row>
    <row r="59">
      <c r="Y59" t="n">
        <v>736.3636363636365</v>
      </c>
      <c r="Z59" t="n">
        <v>420</v>
      </c>
      <c r="AA59" t="n">
        <v>2000</v>
      </c>
      <c r="AB59" t="n">
        <v>560</v>
      </c>
      <c r="BM59" t="n">
        <v>459.375</v>
      </c>
      <c r="BN59" t="n">
        <v>293.15</v>
      </c>
      <c r="BU59" t="n">
        <v>534.375</v>
      </c>
      <c r="BV59" t="n">
        <v>288.15</v>
      </c>
      <c r="DA59" t="n">
        <v>2548.097371659946</v>
      </c>
      <c r="DB59" t="n">
        <v>1110.860657709698</v>
      </c>
      <c r="DC59" t="n">
        <v>2248.475597248098</v>
      </c>
      <c r="DD59" t="n">
        <v>400.2746443697802</v>
      </c>
      <c r="DI59" t="n">
        <v>2637.605553332168</v>
      </c>
      <c r="DJ59" t="n">
        <v>2089.469061034356</v>
      </c>
      <c r="DW59" t="n">
        <v>3855.385770241006</v>
      </c>
      <c r="DX59" t="n">
        <v>1607.42579674106</v>
      </c>
      <c r="EU59" t="n">
        <v>461.3153552063314</v>
      </c>
      <c r="EV59" t="n">
        <v>0.7758428759835099</v>
      </c>
      <c r="FE59" t="n">
        <v>405</v>
      </c>
      <c r="FF59" t="n">
        <v>0.875</v>
      </c>
      <c r="FM59" t="n">
        <v>4381.823024523768</v>
      </c>
      <c r="FN59" t="n">
        <v>808.3402577390962</v>
      </c>
      <c r="FU59" t="n">
        <v>3000</v>
      </c>
      <c r="FV59" t="n">
        <v>393.75</v>
      </c>
      <c r="GC59" t="n">
        <v>4505.950043184831</v>
      </c>
      <c r="GD59" t="n">
        <v>1359.556702008076</v>
      </c>
      <c r="GK59" t="n">
        <v>415</v>
      </c>
      <c r="GL59" t="n">
        <v>0.5</v>
      </c>
      <c r="GS59" t="n">
        <v>4808.3419580395</v>
      </c>
      <c r="GT59" t="n">
        <v>1022.274389807265</v>
      </c>
      <c r="HS59" t="n">
        <v>4239.21605628039</v>
      </c>
      <c r="HT59" t="n">
        <v>1757.324563164514</v>
      </c>
      <c r="NE59" t="n">
        <v>3300</v>
      </c>
      <c r="NF59" t="n">
        <v>760</v>
      </c>
      <c r="NU59" t="n">
        <v>700</v>
      </c>
      <c r="NV59" t="n">
        <v>0.55</v>
      </c>
    </row>
    <row r="60">
      <c r="Y60" t="n">
        <v>1827.272727272728</v>
      </c>
      <c r="Z60" t="n">
        <v>434</v>
      </c>
      <c r="AA60" t="n">
        <v>909.0909090909092</v>
      </c>
      <c r="AB60" t="n">
        <v>434</v>
      </c>
      <c r="BM60" t="n">
        <v>459.375</v>
      </c>
      <c r="BN60" t="n">
        <v>293.15</v>
      </c>
      <c r="BU60" t="n">
        <v>740.625</v>
      </c>
      <c r="BV60" t="n">
        <v>300.032917</v>
      </c>
      <c r="DA60" t="n">
        <v>3175.483333911347</v>
      </c>
      <c r="DB60" t="n">
        <v>1200.548312920992</v>
      </c>
      <c r="DC60" t="n">
        <v>3598.295411482984</v>
      </c>
      <c r="DD60" t="n">
        <v>894.0545133432975</v>
      </c>
      <c r="DI60" t="n">
        <v>4599.039060815708</v>
      </c>
      <c r="DJ60" t="n">
        <v>1703.122741457417</v>
      </c>
      <c r="DW60" t="n">
        <v>2460.910170068099</v>
      </c>
      <c r="DX60" t="n">
        <v>843.6007644314973</v>
      </c>
      <c r="FE60" t="n">
        <v>402.5</v>
      </c>
      <c r="FF60" t="n">
        <v>0.875</v>
      </c>
      <c r="FM60" t="n">
        <v>3781.823024523768</v>
      </c>
      <c r="FN60" t="n">
        <v>808.3402577390962</v>
      </c>
      <c r="FU60" t="n">
        <v>3000</v>
      </c>
      <c r="FV60" t="n">
        <v>393.75</v>
      </c>
      <c r="GC60" t="n">
        <v>4505.950043184831</v>
      </c>
      <c r="GD60" t="n">
        <v>1359.556702008076</v>
      </c>
      <c r="GK60" t="n">
        <v>415</v>
      </c>
      <c r="GL60" t="n">
        <v>0.5</v>
      </c>
      <c r="GS60" t="n">
        <v>4808.3419580395</v>
      </c>
      <c r="GT60" t="n">
        <v>1022.274389807265</v>
      </c>
      <c r="HS60" t="n">
        <v>2411.037946517878</v>
      </c>
      <c r="HT60" t="n">
        <v>513.0329412565529</v>
      </c>
      <c r="NE60" t="n">
        <v>3300</v>
      </c>
      <c r="NF60" t="n">
        <v>800</v>
      </c>
      <c r="NU60" t="n">
        <v>600</v>
      </c>
      <c r="NV60" t="n">
        <v>0.55</v>
      </c>
    </row>
    <row r="61">
      <c r="AA61" t="n">
        <v>909.0909090909092</v>
      </c>
      <c r="AB61" t="n">
        <v>434</v>
      </c>
      <c r="BU61" t="n">
        <v>740.625</v>
      </c>
      <c r="BV61" t="n">
        <v>300.032917</v>
      </c>
      <c r="DA61" t="n">
        <v>2563.342312539491</v>
      </c>
      <c r="DB61" t="n">
        <v>1440.710131756108</v>
      </c>
      <c r="DC61" t="n">
        <v>4401.367332734139</v>
      </c>
      <c r="DD61" t="n">
        <v>1159.043150436301</v>
      </c>
      <c r="DI61" t="n">
        <v>3688.995046670389</v>
      </c>
      <c r="DJ61" t="n">
        <v>1759.82994292785</v>
      </c>
      <c r="DW61" t="n">
        <v>3297.328361192079</v>
      </c>
      <c r="DX61" t="n">
        <v>359.4088057948487</v>
      </c>
      <c r="FE61" t="n">
        <v>407.5</v>
      </c>
      <c r="FF61" t="n">
        <v>0.875</v>
      </c>
      <c r="FM61" t="n">
        <v>4081.823024523768</v>
      </c>
      <c r="FN61" t="n">
        <v>1028.340257739096</v>
      </c>
      <c r="FU61" t="n">
        <v>3000</v>
      </c>
      <c r="FV61" t="n">
        <v>393.75</v>
      </c>
      <c r="GC61" t="n">
        <v>4505.950043184831</v>
      </c>
      <c r="GD61" t="n">
        <v>1359.556702008076</v>
      </c>
      <c r="GK61" t="n">
        <v>403</v>
      </c>
      <c r="GL61" t="n">
        <v>0.5</v>
      </c>
      <c r="GS61" t="n">
        <v>4808.3419580395</v>
      </c>
      <c r="GT61" t="n">
        <v>1022.274389807265</v>
      </c>
      <c r="HS61" t="n">
        <v>2538.481310820331</v>
      </c>
      <c r="HT61" t="n">
        <v>1627.851152782602</v>
      </c>
      <c r="NE61" t="n">
        <v>3300</v>
      </c>
      <c r="NF61" t="n">
        <v>760</v>
      </c>
      <c r="NU61" t="n">
        <v>500</v>
      </c>
      <c r="NV61" t="n">
        <v>0.55</v>
      </c>
    </row>
    <row r="62">
      <c r="AA62" t="n">
        <v>436.3636363636364</v>
      </c>
      <c r="AB62" t="n">
        <v>390</v>
      </c>
      <c r="DA62" t="n">
        <v>4702.230184271984</v>
      </c>
      <c r="DB62" t="n">
        <v>1464.867445124028</v>
      </c>
      <c r="DC62" t="n">
        <v>2116.104563278331</v>
      </c>
      <c r="DD62" t="n">
        <v>676.1586643831347</v>
      </c>
      <c r="DI62" t="n">
        <v>4529.324632897753</v>
      </c>
      <c r="DJ62" t="n">
        <v>2427.598344614476</v>
      </c>
      <c r="FE62" t="n">
        <v>410</v>
      </c>
      <c r="FF62" t="n">
        <v>0.875</v>
      </c>
      <c r="FM62" t="n">
        <v>4081.823024523768</v>
      </c>
      <c r="FN62" t="n">
        <v>808.3402577390962</v>
      </c>
      <c r="FU62" t="n">
        <v>3000</v>
      </c>
      <c r="FV62" t="n">
        <v>393.75</v>
      </c>
      <c r="GC62" t="n">
        <v>4505.950043184831</v>
      </c>
      <c r="GD62" t="n">
        <v>1359.556702008076</v>
      </c>
      <c r="GK62" t="n">
        <v>415</v>
      </c>
      <c r="GL62" t="n">
        <v>0.5</v>
      </c>
      <c r="GS62" t="n">
        <v>4808.3419580395</v>
      </c>
      <c r="GT62" t="n">
        <v>1022.274389807265</v>
      </c>
      <c r="HS62" t="n">
        <v>4807.020900793638</v>
      </c>
      <c r="HT62" t="n">
        <v>697.7507752576987</v>
      </c>
      <c r="NE62" t="n">
        <v>3300</v>
      </c>
      <c r="NF62" t="n">
        <v>800</v>
      </c>
      <c r="NU62" t="n">
        <v>400</v>
      </c>
      <c r="NV62" t="n">
        <v>0.6</v>
      </c>
    </row>
    <row r="63">
      <c r="AA63" t="n">
        <v>436.3636363636364</v>
      </c>
      <c r="AB63" t="n">
        <v>390</v>
      </c>
      <c r="DA63" t="n">
        <v>3327.772238845569</v>
      </c>
      <c r="DB63" t="n">
        <v>1205.063074717169</v>
      </c>
      <c r="DC63" t="n">
        <v>3755.380376038406</v>
      </c>
      <c r="DD63" t="n">
        <v>967.3425431829708</v>
      </c>
      <c r="DI63" t="n">
        <v>3378.998306225895</v>
      </c>
      <c r="DJ63" t="n">
        <v>1820.422209452838</v>
      </c>
      <c r="FE63" t="n">
        <v>390</v>
      </c>
      <c r="FF63" t="n">
        <v>0.9</v>
      </c>
      <c r="FM63" t="n">
        <v>4081.823024523768</v>
      </c>
      <c r="FN63" t="n">
        <v>808.3402577390962</v>
      </c>
      <c r="FU63" t="n">
        <v>3000</v>
      </c>
      <c r="FV63" t="n">
        <v>393.75</v>
      </c>
      <c r="GC63" t="n">
        <v>4505.950043184831</v>
      </c>
      <c r="GD63" t="n">
        <v>1359.556702008076</v>
      </c>
      <c r="GK63" t="n">
        <v>415</v>
      </c>
      <c r="GL63" t="n">
        <v>0.5</v>
      </c>
      <c r="GS63" t="n">
        <v>4808.3419580395</v>
      </c>
      <c r="GT63" t="n">
        <v>1022.274389807265</v>
      </c>
      <c r="HS63" t="n">
        <v>2956.759902895842</v>
      </c>
      <c r="HT63" t="n">
        <v>1529.701104430363</v>
      </c>
      <c r="NE63" t="n">
        <v>3300</v>
      </c>
      <c r="NF63" t="n">
        <v>800</v>
      </c>
      <c r="NU63" t="n">
        <v>700</v>
      </c>
      <c r="NV63" t="n">
        <v>0.6</v>
      </c>
    </row>
    <row r="64">
      <c r="AA64" t="n">
        <v>727.2727272727274</v>
      </c>
      <c r="AB64" t="n">
        <v>420</v>
      </c>
      <c r="DA64" t="n">
        <v>4588.917036782899</v>
      </c>
      <c r="DB64" t="n">
        <v>976.8138472025904</v>
      </c>
      <c r="DC64" t="n">
        <v>2354.43524953111</v>
      </c>
      <c r="DD64" t="n">
        <v>437.2631795050562</v>
      </c>
      <c r="DI64" t="n">
        <v>4788.9458567562</v>
      </c>
      <c r="DJ64" t="n">
        <v>2085.816368103596</v>
      </c>
      <c r="FE64" t="n">
        <v>392.5</v>
      </c>
      <c r="FF64" t="n">
        <v>0.9</v>
      </c>
      <c r="FM64" t="n">
        <v>4081.823024523768</v>
      </c>
      <c r="FN64" t="n">
        <v>808.3402577390962</v>
      </c>
      <c r="FU64" t="n">
        <v>3000</v>
      </c>
      <c r="FV64" t="n">
        <v>393.75</v>
      </c>
      <c r="GC64" t="n">
        <v>4505.950043184831</v>
      </c>
      <c r="GD64" t="n">
        <v>1359.556702008076</v>
      </c>
      <c r="GK64" t="n">
        <v>415</v>
      </c>
      <c r="GL64" t="n">
        <v>0.5</v>
      </c>
      <c r="GS64" t="n">
        <v>4808.3419580395</v>
      </c>
      <c r="GT64" t="n">
        <v>1022.274389807265</v>
      </c>
      <c r="HS64" t="n">
        <v>2766.193422154848</v>
      </c>
      <c r="HT64" t="n">
        <v>940.1074564637386</v>
      </c>
      <c r="NE64" t="n">
        <v>3300</v>
      </c>
      <c r="NF64" t="n">
        <v>800</v>
      </c>
      <c r="NU64" t="n">
        <v>500</v>
      </c>
      <c r="NV64" t="n">
        <v>0.6</v>
      </c>
    </row>
    <row r="65">
      <c r="AA65" t="n">
        <v>727.2727272727274</v>
      </c>
      <c r="AB65" t="n">
        <v>420</v>
      </c>
      <c r="DA65" t="n">
        <v>3491.429147490326</v>
      </c>
      <c r="DB65" t="n">
        <v>1122.456530609773</v>
      </c>
      <c r="DC65" t="n">
        <v>4470.32970310754</v>
      </c>
      <c r="DD65" t="n">
        <v>778.498254612226</v>
      </c>
      <c r="DI65" t="n">
        <v>3175.598436877513</v>
      </c>
      <c r="DJ65" t="n">
        <v>2207.541902417778</v>
      </c>
      <c r="FE65" t="n">
        <v>395</v>
      </c>
      <c r="FF65" t="n">
        <v>0.9</v>
      </c>
      <c r="FM65" t="n">
        <v>4081.823024523768</v>
      </c>
      <c r="FN65" t="n">
        <v>808.3402577390962</v>
      </c>
      <c r="GC65" t="n">
        <v>4505.950043184831</v>
      </c>
      <c r="GD65" t="n">
        <v>1359.556702008076</v>
      </c>
      <c r="GK65" t="n">
        <v>415</v>
      </c>
      <c r="GL65" t="n">
        <v>0.5</v>
      </c>
      <c r="GS65" t="n">
        <v>4508.3419580395</v>
      </c>
      <c r="GT65" t="n">
        <v>1022.274389807265</v>
      </c>
      <c r="HS65" t="n">
        <v>3413.131485178248</v>
      </c>
      <c r="HT65" t="n">
        <v>861.2635988927672</v>
      </c>
      <c r="NE65" t="n">
        <v>3300</v>
      </c>
      <c r="NF65" t="n">
        <v>800</v>
      </c>
      <c r="NU65" t="n">
        <v>600</v>
      </c>
      <c r="NV65" t="n">
        <v>0.6</v>
      </c>
    </row>
    <row r="66">
      <c r="AA66" t="n">
        <v>927.2727272727273</v>
      </c>
      <c r="AB66" t="n">
        <v>434</v>
      </c>
      <c r="DA66" t="n">
        <v>2761.686995571216</v>
      </c>
      <c r="DB66" t="n">
        <v>709.6704518480492</v>
      </c>
      <c r="DC66" t="n">
        <v>3180.619696089402</v>
      </c>
      <c r="DD66" t="n">
        <v>1381.119982366701</v>
      </c>
      <c r="DI66" t="n">
        <v>3976.145295895554</v>
      </c>
      <c r="DJ66" t="n">
        <v>1935.407812669293</v>
      </c>
      <c r="FE66" t="n">
        <v>397.5</v>
      </c>
      <c r="FF66" t="n">
        <v>0.9</v>
      </c>
      <c r="FM66" t="n">
        <v>4081.823024523768</v>
      </c>
      <c r="FN66" t="n">
        <v>808.3402577390962</v>
      </c>
      <c r="GC66" t="n">
        <v>4505.950043184831</v>
      </c>
      <c r="GD66" t="n">
        <v>1359.556702008076</v>
      </c>
      <c r="GK66" t="n">
        <v>415</v>
      </c>
      <c r="GL66" t="n">
        <v>0.5</v>
      </c>
      <c r="GS66" t="n">
        <v>4808.3419580395</v>
      </c>
      <c r="GT66" t="n">
        <v>1242.274389807264</v>
      </c>
      <c r="HS66" t="n">
        <v>2349.710094225991</v>
      </c>
      <c r="HT66" t="n">
        <v>344.881277538507</v>
      </c>
      <c r="NE66" t="n">
        <v>3300</v>
      </c>
      <c r="NF66" t="n">
        <v>766.6666666667001</v>
      </c>
      <c r="NU66" t="n">
        <v>500</v>
      </c>
      <c r="NV66" t="n">
        <v>0.65</v>
      </c>
    </row>
    <row r="67">
      <c r="AA67" t="n">
        <v>927.2727272727273</v>
      </c>
      <c r="AB67" t="n">
        <v>434</v>
      </c>
      <c r="DA67" t="n">
        <v>2005.39507330362</v>
      </c>
      <c r="DB67" t="n">
        <v>1295.157266668871</v>
      </c>
      <c r="DC67" t="n">
        <v>2276.691927103386</v>
      </c>
      <c r="DD67" t="n">
        <v>539.7324159564902</v>
      </c>
      <c r="DI67" t="n">
        <v>3867.423066026832</v>
      </c>
      <c r="DJ67" t="n">
        <v>2349.987270399293</v>
      </c>
      <c r="FE67" t="n">
        <v>400</v>
      </c>
      <c r="FF67" t="n">
        <v>0.9</v>
      </c>
      <c r="FM67" t="n">
        <v>4081.823024523768</v>
      </c>
      <c r="FN67" t="n">
        <v>808.3402577390962</v>
      </c>
      <c r="GC67" t="n">
        <v>4505.950043184831</v>
      </c>
      <c r="GD67" t="n">
        <v>1359.556702008076</v>
      </c>
      <c r="GK67" t="n">
        <v>415</v>
      </c>
      <c r="GL67" t="n">
        <v>0.5</v>
      </c>
      <c r="GS67" t="n">
        <v>4808.3419580395</v>
      </c>
      <c r="GT67" t="n">
        <v>1022.274389807265</v>
      </c>
      <c r="HS67" t="n">
        <v>2198.190706842527</v>
      </c>
      <c r="HT67" t="n">
        <v>1312.083005406048</v>
      </c>
      <c r="NE67" t="n">
        <v>3300</v>
      </c>
      <c r="NF67" t="n">
        <v>733.3333333332999</v>
      </c>
      <c r="NU67" t="n">
        <v>700</v>
      </c>
      <c r="NV67" t="n">
        <v>0.65</v>
      </c>
    </row>
    <row r="68">
      <c r="AA68" t="n">
        <v>554.5454545454546</v>
      </c>
      <c r="AB68" t="n">
        <v>403</v>
      </c>
      <c r="DA68" t="n">
        <v>2422.669307692801</v>
      </c>
      <c r="DB68" t="n">
        <v>1218.780197074526</v>
      </c>
      <c r="DC68" t="n">
        <v>4209.325001809628</v>
      </c>
      <c r="DD68" t="n">
        <v>927.998947365381</v>
      </c>
      <c r="DI68" t="n">
        <v>4355.317098515139</v>
      </c>
      <c r="DJ68" t="n">
        <v>2168.554186403195</v>
      </c>
      <c r="FE68" t="n">
        <v>402.5</v>
      </c>
      <c r="FF68" t="n">
        <v>0.9</v>
      </c>
      <c r="FM68" t="n">
        <v>4081.823024523768</v>
      </c>
      <c r="FN68" t="n">
        <v>808.3402577390962</v>
      </c>
      <c r="GC68" t="n">
        <v>5000</v>
      </c>
      <c r="GD68" t="n">
        <v>1359.556702008076</v>
      </c>
      <c r="GK68" t="n">
        <v>403</v>
      </c>
      <c r="GL68" t="n">
        <v>0.5</v>
      </c>
      <c r="GS68" t="n">
        <v>4808.3419580395</v>
      </c>
      <c r="GT68" t="n">
        <v>1022.274389807265</v>
      </c>
      <c r="HS68" t="n">
        <v>4756.587077487755</v>
      </c>
      <c r="HT68" t="n">
        <v>1491.961529886994</v>
      </c>
      <c r="NE68" t="n">
        <v>3300</v>
      </c>
      <c r="NF68" t="n">
        <v>800</v>
      </c>
      <c r="NU68" t="n">
        <v>600</v>
      </c>
      <c r="NV68" t="n">
        <v>0.65</v>
      </c>
    </row>
    <row r="69">
      <c r="AA69" t="n">
        <v>554.5454545454546</v>
      </c>
      <c r="AB69" t="n">
        <v>403</v>
      </c>
      <c r="DA69" t="n">
        <v>3761.295205273566</v>
      </c>
      <c r="DB69" t="n">
        <v>1134.585646055689</v>
      </c>
      <c r="DC69" t="n">
        <v>3532.720065619244</v>
      </c>
      <c r="DD69" t="n">
        <v>626.5297147707681</v>
      </c>
      <c r="DI69" t="n">
        <v>3076.067495852913</v>
      </c>
      <c r="DJ69" t="n">
        <v>2198.693740274208</v>
      </c>
      <c r="FE69" t="n">
        <v>407.5</v>
      </c>
      <c r="FF69" t="n">
        <v>0.9</v>
      </c>
      <c r="FM69" t="n">
        <v>4081.823024523768</v>
      </c>
      <c r="FN69" t="n">
        <v>808.3402577390962</v>
      </c>
      <c r="GC69" t="n">
        <v>4505.950043184831</v>
      </c>
      <c r="GD69" t="n">
        <v>1359.556702008076</v>
      </c>
      <c r="GK69" t="n">
        <v>415</v>
      </c>
      <c r="GL69" t="n">
        <v>0.5</v>
      </c>
      <c r="GS69" t="n">
        <v>4808.3419580395</v>
      </c>
      <c r="GT69" t="n">
        <v>1022.274389807265</v>
      </c>
      <c r="HS69" t="n">
        <v>3233.564849521834</v>
      </c>
      <c r="HT69" t="n">
        <v>811.2101097207544</v>
      </c>
      <c r="NE69" t="n">
        <v>3300</v>
      </c>
      <c r="NF69" t="n">
        <v>800</v>
      </c>
      <c r="NU69" t="n">
        <v>700</v>
      </c>
      <c r="NV69" t="n">
        <v>0.7</v>
      </c>
    </row>
    <row r="70">
      <c r="AA70" t="n">
        <v>936.3636363636364</v>
      </c>
      <c r="AB70" t="n">
        <v>434</v>
      </c>
      <c r="DA70" t="n">
        <v>4359.313239245592</v>
      </c>
      <c r="DB70" t="n">
        <v>1425.534915694434</v>
      </c>
      <c r="DC70" t="n">
        <v>2226.823282092813</v>
      </c>
      <c r="DD70" t="n">
        <v>838.6648666430239</v>
      </c>
      <c r="DI70" t="n">
        <v>2269.635077149364</v>
      </c>
      <c r="DJ70" t="n">
        <v>1918.873483256834</v>
      </c>
      <c r="FE70" t="n">
        <v>405</v>
      </c>
      <c r="FF70" t="n">
        <v>0.9</v>
      </c>
      <c r="FM70" t="n">
        <v>4081.823024523768</v>
      </c>
      <c r="FN70" t="n">
        <v>808.3402577390962</v>
      </c>
      <c r="GC70" t="n">
        <v>4805.950043184831</v>
      </c>
      <c r="GD70" t="n">
        <v>1579.556702008076</v>
      </c>
      <c r="GK70" t="n">
        <v>415</v>
      </c>
      <c r="GL70" t="n">
        <v>0.5</v>
      </c>
      <c r="GS70" t="n">
        <v>4808.3419580395</v>
      </c>
      <c r="GT70" t="n">
        <v>1022.274389807265</v>
      </c>
      <c r="HS70" t="n">
        <v>2318.663393615674</v>
      </c>
      <c r="HT70" t="n">
        <v>1160.025026413543</v>
      </c>
      <c r="NE70" t="n">
        <v>3300</v>
      </c>
      <c r="NF70" t="n">
        <v>700</v>
      </c>
      <c r="NU70" t="n">
        <v>600</v>
      </c>
      <c r="NV70" t="n">
        <v>0.7</v>
      </c>
    </row>
    <row r="71">
      <c r="AA71" t="n">
        <v>936.3636363636364</v>
      </c>
      <c r="AB71" t="n">
        <v>434</v>
      </c>
      <c r="DA71" t="n">
        <v>2219.048271709253</v>
      </c>
      <c r="DB71" t="n">
        <v>1316.052288897485</v>
      </c>
      <c r="DC71" t="n">
        <v>4480.469051272545</v>
      </c>
      <c r="DD71" t="n">
        <v>1198.071503369763</v>
      </c>
      <c r="DI71" t="n">
        <v>4755.232960711648</v>
      </c>
      <c r="DJ71" t="n">
        <v>1848.803303059377</v>
      </c>
      <c r="FE71" t="n">
        <v>410</v>
      </c>
      <c r="FF71" t="n">
        <v>0.9</v>
      </c>
      <c r="FM71" t="n">
        <v>4081.823024523768</v>
      </c>
      <c r="FN71" t="n">
        <v>808.3402577390962</v>
      </c>
      <c r="GC71" t="n">
        <v>4805.950043184831</v>
      </c>
      <c r="GD71" t="n">
        <v>1359.556702008076</v>
      </c>
      <c r="GK71" t="n">
        <v>415</v>
      </c>
      <c r="GL71" t="n">
        <v>0.5</v>
      </c>
      <c r="GS71" t="n">
        <v>4808.3419580395</v>
      </c>
      <c r="GT71" t="n">
        <v>1022.274389807265</v>
      </c>
      <c r="HS71" t="n">
        <v>2799.952093916755</v>
      </c>
      <c r="HT71" t="n">
        <v>1329.75500382394</v>
      </c>
      <c r="NE71" t="n">
        <v>3300</v>
      </c>
      <c r="NF71" t="n">
        <v>690</v>
      </c>
      <c r="NU71" t="n">
        <v>500</v>
      </c>
      <c r="NV71" t="n">
        <v>0.7</v>
      </c>
    </row>
    <row r="72">
      <c r="DA72" t="n">
        <v>2280.99714226519</v>
      </c>
      <c r="DB72" t="n">
        <v>1194.306985931101</v>
      </c>
      <c r="DC72" t="n">
        <v>4088.045989928837</v>
      </c>
      <c r="DD72" t="n">
        <v>993.7960822139984</v>
      </c>
      <c r="DI72" t="n">
        <v>2361.85368546775</v>
      </c>
      <c r="DJ72" t="n">
        <v>1648.04911261724</v>
      </c>
      <c r="FE72" t="n">
        <v>390</v>
      </c>
      <c r="FF72" t="n">
        <v>0.925</v>
      </c>
      <c r="FM72" t="n">
        <v>4081.823024523768</v>
      </c>
      <c r="FN72" t="n">
        <v>808.3402577390962</v>
      </c>
      <c r="GC72" t="n">
        <v>4805.950043184831</v>
      </c>
      <c r="GD72" t="n">
        <v>1359.556702008076</v>
      </c>
      <c r="GK72" t="n">
        <v>415</v>
      </c>
      <c r="GL72" t="n">
        <v>0.5</v>
      </c>
      <c r="GS72" t="n">
        <v>4808.3419580395</v>
      </c>
      <c r="GT72" t="n">
        <v>1022.274389807265</v>
      </c>
      <c r="HS72" t="n">
        <v>3398.462701711679</v>
      </c>
      <c r="HT72" t="n">
        <v>1437.905391114698</v>
      </c>
      <c r="NE72" t="n">
        <v>3300</v>
      </c>
      <c r="NF72" t="n">
        <v>690</v>
      </c>
    </row>
    <row r="73">
      <c r="DA73" t="n">
        <v>2291.415835900696</v>
      </c>
      <c r="DB73" t="n">
        <v>1253.662661973812</v>
      </c>
      <c r="DC73" t="n">
        <v>2342.038789546659</v>
      </c>
      <c r="DD73" t="n">
        <v>321.5592018174124</v>
      </c>
      <c r="DI73" t="n">
        <v>4648.636776778967</v>
      </c>
      <c r="DJ73" t="n">
        <v>1617.269128432268</v>
      </c>
      <c r="FE73" t="n">
        <v>397.5</v>
      </c>
      <c r="FF73" t="n">
        <v>0.925</v>
      </c>
      <c r="FM73" t="n">
        <v>4081.823024523768</v>
      </c>
      <c r="FN73" t="n">
        <v>808.3402577390962</v>
      </c>
      <c r="GC73" t="n">
        <v>4805.950043184831</v>
      </c>
      <c r="GD73" t="n">
        <v>1359.556702008076</v>
      </c>
      <c r="GK73" t="n">
        <v>415</v>
      </c>
      <c r="GL73" t="n">
        <v>0.5</v>
      </c>
      <c r="GS73" t="n">
        <v>4808.3419580395</v>
      </c>
      <c r="GT73" t="n">
        <v>1022.274389807265</v>
      </c>
      <c r="HS73" t="n">
        <v>3907.578772269125</v>
      </c>
      <c r="HT73" t="n">
        <v>854.3665220413187</v>
      </c>
      <c r="NE73" t="n">
        <v>3300</v>
      </c>
      <c r="NF73" t="n">
        <v>690</v>
      </c>
    </row>
    <row r="74">
      <c r="DA74" t="n">
        <v>3481.823024523768</v>
      </c>
      <c r="DB74" t="n">
        <v>808.3402577390962</v>
      </c>
      <c r="DC74" t="n">
        <v>3103.330084668993</v>
      </c>
      <c r="DD74" t="n">
        <v>750.2493533239415</v>
      </c>
      <c r="DI74" t="n">
        <v>3596.434523118251</v>
      </c>
      <c r="DJ74" t="n">
        <v>2193.032783494485</v>
      </c>
      <c r="FE74" t="n">
        <v>395</v>
      </c>
      <c r="FF74" t="n">
        <v>0.925</v>
      </c>
      <c r="FM74" t="n">
        <v>4081.823024523768</v>
      </c>
      <c r="FN74" t="n">
        <v>808.3402577390962</v>
      </c>
      <c r="GC74" t="n">
        <v>4805.950043184831</v>
      </c>
      <c r="GD74" t="n">
        <v>1359.556702008076</v>
      </c>
      <c r="GK74" t="n">
        <v>415</v>
      </c>
      <c r="GL74" t="n">
        <v>0.5</v>
      </c>
      <c r="GS74" t="n">
        <v>4808.3419580395</v>
      </c>
      <c r="GT74" t="n">
        <v>1022.274389807265</v>
      </c>
      <c r="NE74" t="n">
        <v>3300</v>
      </c>
      <c r="NF74" t="n">
        <v>690</v>
      </c>
    </row>
    <row r="75">
      <c r="DA75" t="n">
        <v>4890.757585739927</v>
      </c>
      <c r="DB75" t="n">
        <v>834.1656556774753</v>
      </c>
      <c r="DC75" t="n">
        <v>3588.747997358853</v>
      </c>
      <c r="DD75" t="n">
        <v>1365.887774483243</v>
      </c>
      <c r="DI75" t="n">
        <v>3129.18287946593</v>
      </c>
      <c r="DJ75" t="n">
        <v>1804.015748887794</v>
      </c>
      <c r="FE75" t="n">
        <v>392.5</v>
      </c>
      <c r="FF75" t="n">
        <v>0.925</v>
      </c>
      <c r="FM75" t="n">
        <v>4381.823024523768</v>
      </c>
      <c r="FN75" t="n">
        <v>808.3402577390962</v>
      </c>
      <c r="GC75" t="n">
        <v>4805.950043184831</v>
      </c>
      <c r="GD75" t="n">
        <v>1359.556702008076</v>
      </c>
      <c r="GK75" t="n">
        <v>403</v>
      </c>
      <c r="GL75" t="n">
        <v>0.5</v>
      </c>
      <c r="GS75" t="n">
        <v>4808.3419580395</v>
      </c>
      <c r="GT75" t="n">
        <v>1022.274389807265</v>
      </c>
      <c r="NE75" t="n">
        <v>3300</v>
      </c>
      <c r="NF75" t="n">
        <v>690</v>
      </c>
    </row>
    <row r="76">
      <c r="DA76" t="n">
        <v>4950.97408997087</v>
      </c>
      <c r="DB76" t="n">
        <v>1307.586825936962</v>
      </c>
      <c r="DC76" t="n">
        <v>4771.928715867753</v>
      </c>
      <c r="DD76" t="n">
        <v>729.6419300289389</v>
      </c>
      <c r="DI76" t="n">
        <v>3544.717472517385</v>
      </c>
      <c r="DJ76" t="n">
        <v>2462.772922051537</v>
      </c>
      <c r="FE76" t="n">
        <v>400</v>
      </c>
      <c r="FF76" t="n">
        <v>0.925</v>
      </c>
      <c r="FM76" t="n">
        <v>3781.823024523768</v>
      </c>
      <c r="FN76" t="n">
        <v>808.3402577390962</v>
      </c>
      <c r="GC76" t="n">
        <v>4805.950043184831</v>
      </c>
      <c r="GD76" t="n">
        <v>1359.556702008076</v>
      </c>
      <c r="GK76" t="n">
        <v>415</v>
      </c>
      <c r="GL76" t="n">
        <v>0.5</v>
      </c>
      <c r="GS76" t="n">
        <v>4508.3419580395</v>
      </c>
      <c r="GT76" t="n">
        <v>1022.274389807265</v>
      </c>
      <c r="NE76" t="n">
        <v>3300</v>
      </c>
      <c r="NF76" t="n">
        <v>690</v>
      </c>
    </row>
    <row r="77">
      <c r="DA77" t="n">
        <v>3396.524525340546</v>
      </c>
      <c r="DB77" t="n">
        <v>775.8021834708327</v>
      </c>
      <c r="DC77" t="n">
        <v>2946.519300934868</v>
      </c>
      <c r="DD77" t="n">
        <v>1472.987916922285</v>
      </c>
      <c r="FE77" t="n">
        <v>405</v>
      </c>
      <c r="FF77" t="n">
        <v>0.925</v>
      </c>
      <c r="FM77" t="n">
        <v>4081.823024523768</v>
      </c>
      <c r="FN77" t="n">
        <v>1028.340257739096</v>
      </c>
      <c r="GC77" t="n">
        <v>4805.950043184831</v>
      </c>
      <c r="GD77" t="n">
        <v>1359.556702008076</v>
      </c>
      <c r="GK77" t="n">
        <v>415</v>
      </c>
      <c r="GL77" t="n">
        <v>0.5</v>
      </c>
      <c r="GS77" t="n">
        <v>4808.3419580395</v>
      </c>
      <c r="GT77" t="n">
        <v>1242.274389807264</v>
      </c>
      <c r="NE77" t="n">
        <v>3300</v>
      </c>
      <c r="NF77" t="n">
        <v>690</v>
      </c>
    </row>
    <row r="78">
      <c r="DA78" t="n">
        <v>2352.454585184713</v>
      </c>
      <c r="DB78" t="n">
        <v>1380.546268649107</v>
      </c>
      <c r="DC78" t="n">
        <v>4983.501169262159</v>
      </c>
      <c r="DD78" t="n">
        <v>412.4306878144795</v>
      </c>
      <c r="FE78" t="n">
        <v>402.5</v>
      </c>
      <c r="FF78" t="n">
        <v>0.925</v>
      </c>
      <c r="FM78" t="n">
        <v>4081.823024523768</v>
      </c>
      <c r="FN78" t="n">
        <v>808.3402577390962</v>
      </c>
      <c r="GC78" t="n">
        <v>4805.950043184831</v>
      </c>
      <c r="GD78" t="n">
        <v>1359.556702008076</v>
      </c>
      <c r="GK78" t="n">
        <v>415</v>
      </c>
      <c r="GL78" t="n">
        <v>0.5</v>
      </c>
      <c r="GS78" t="n">
        <v>4808.3419580395</v>
      </c>
      <c r="GT78" t="n">
        <v>1022.274389807265</v>
      </c>
      <c r="NE78" t="n">
        <v>3300</v>
      </c>
      <c r="NF78" t="n">
        <v>690</v>
      </c>
    </row>
    <row r="79">
      <c r="DA79" t="n">
        <v>2155.688849966575</v>
      </c>
      <c r="DB79" t="n">
        <v>918.041130057621</v>
      </c>
      <c r="DC79" t="n">
        <v>2333.092969725413</v>
      </c>
      <c r="DD79" t="n">
        <v>786.2442822326616</v>
      </c>
      <c r="FE79" t="n">
        <v>407.5</v>
      </c>
      <c r="FF79" t="n">
        <v>0.925</v>
      </c>
      <c r="FM79" t="n">
        <v>4081.823024523768</v>
      </c>
      <c r="FN79" t="n">
        <v>808.3402577390962</v>
      </c>
      <c r="GC79" t="n">
        <v>4805.950043184831</v>
      </c>
      <c r="GD79" t="n">
        <v>1359.556702008076</v>
      </c>
      <c r="GK79" t="n">
        <v>415</v>
      </c>
      <c r="GL79" t="n">
        <v>0.5</v>
      </c>
      <c r="GS79" t="n">
        <v>4808.3419580395</v>
      </c>
      <c r="GT79" t="n">
        <v>1022.274389807265</v>
      </c>
      <c r="NE79" t="n">
        <v>3300</v>
      </c>
      <c r="NF79" t="n">
        <v>690</v>
      </c>
    </row>
    <row r="80">
      <c r="DA80" t="n">
        <v>4350.40976960553</v>
      </c>
      <c r="DB80" t="n">
        <v>1317.208460746917</v>
      </c>
      <c r="DC80" t="n">
        <v>2101.281691846085</v>
      </c>
      <c r="DD80" t="n">
        <v>1054.642460606296</v>
      </c>
      <c r="FE80" t="n">
        <v>410</v>
      </c>
      <c r="FF80" t="n">
        <v>0.925</v>
      </c>
      <c r="FM80" t="n">
        <v>4081.823024523768</v>
      </c>
      <c r="FN80" t="n">
        <v>808.3402577390962</v>
      </c>
      <c r="GC80" t="n">
        <v>4805.950043184831</v>
      </c>
      <c r="GD80" t="n">
        <v>1359.556702008076</v>
      </c>
      <c r="GK80" t="n">
        <v>415</v>
      </c>
      <c r="GL80" t="n">
        <v>0.5</v>
      </c>
      <c r="GS80" t="n">
        <v>4808.3419580395</v>
      </c>
      <c r="GT80" t="n">
        <v>1022.274389807265</v>
      </c>
      <c r="NE80" t="n">
        <v>3300</v>
      </c>
      <c r="NF80" t="n">
        <v>690</v>
      </c>
    </row>
    <row r="81">
      <c r="DA81" t="n">
        <v>4035.592074228966</v>
      </c>
      <c r="DB81" t="n">
        <v>1453.694308422001</v>
      </c>
      <c r="DC81" t="n">
        <v>2813.623684074178</v>
      </c>
      <c r="DD81" t="n">
        <v>909.4209947155168</v>
      </c>
      <c r="FE81" t="n">
        <v>390</v>
      </c>
      <c r="FF81" t="n">
        <v>0.95</v>
      </c>
      <c r="FM81" t="n">
        <v>4081.823024523768</v>
      </c>
      <c r="FN81" t="n">
        <v>808.3402577390962</v>
      </c>
      <c r="GC81" t="n">
        <v>4700</v>
      </c>
      <c r="GD81" t="n">
        <v>1359.556702008076</v>
      </c>
      <c r="GK81" t="n">
        <v>415</v>
      </c>
      <c r="GL81" t="n">
        <v>0.5</v>
      </c>
      <c r="GS81" t="n">
        <v>4808.3419580395</v>
      </c>
      <c r="GT81" t="n">
        <v>1022.274389807265</v>
      </c>
      <c r="NE81" t="n">
        <v>3300</v>
      </c>
      <c r="NF81" t="n">
        <v>690</v>
      </c>
    </row>
    <row r="82">
      <c r="DA82" t="n">
        <v>4652.457692772524</v>
      </c>
      <c r="DB82" t="n">
        <v>1112.70454033647</v>
      </c>
      <c r="DC82" t="n">
        <v>4386.38434125947</v>
      </c>
      <c r="DD82" t="n">
        <v>1008.827607153711</v>
      </c>
      <c r="FE82" t="n">
        <v>392.5</v>
      </c>
      <c r="FF82" t="n">
        <v>0.95</v>
      </c>
      <c r="FM82" t="n">
        <v>4081.823024523768</v>
      </c>
      <c r="FN82" t="n">
        <v>808.3402577390962</v>
      </c>
      <c r="GC82" t="n">
        <v>5000</v>
      </c>
      <c r="GD82" t="n">
        <v>1579.556702008076</v>
      </c>
      <c r="GS82" t="n">
        <v>4808.3419580395</v>
      </c>
      <c r="GT82" t="n">
        <v>1022.274389807265</v>
      </c>
      <c r="NE82" t="n">
        <v>3300</v>
      </c>
      <c r="NF82" t="n">
        <v>690</v>
      </c>
    </row>
    <row r="83">
      <c r="DA83" t="n">
        <v>3696.657855248017</v>
      </c>
      <c r="DB83" t="n">
        <v>1229.334769624135</v>
      </c>
      <c r="DC83" t="n">
        <v>3879.922616987305</v>
      </c>
      <c r="DD83" t="n">
        <v>637.5712129450947</v>
      </c>
      <c r="FE83" t="n">
        <v>395</v>
      </c>
      <c r="FF83" t="n">
        <v>0.95</v>
      </c>
      <c r="FM83" t="n">
        <v>4081.823024523768</v>
      </c>
      <c r="FN83" t="n">
        <v>808.3402577390962</v>
      </c>
      <c r="GC83" t="n">
        <v>5000</v>
      </c>
      <c r="GD83" t="n">
        <v>1359.556702008076</v>
      </c>
      <c r="GS83" t="n">
        <v>4808.3419580395</v>
      </c>
      <c r="GT83" t="n">
        <v>1022.274389807265</v>
      </c>
      <c r="NE83" t="n">
        <v>3300</v>
      </c>
      <c r="NF83" t="n">
        <v>690</v>
      </c>
    </row>
    <row r="84">
      <c r="DA84" t="n">
        <v>3779.924374004033</v>
      </c>
      <c r="DB84" t="n">
        <v>1467.220522266601</v>
      </c>
      <c r="DC84" t="n">
        <v>3716.250018605376</v>
      </c>
      <c r="DD84" t="n">
        <v>1063.701008015161</v>
      </c>
      <c r="FE84" t="n">
        <v>397.5</v>
      </c>
      <c r="FF84" t="n">
        <v>0.95</v>
      </c>
      <c r="FM84" t="n">
        <v>4081.823024523768</v>
      </c>
      <c r="FN84" t="n">
        <v>808.3402577390962</v>
      </c>
      <c r="GC84" t="n">
        <v>5000</v>
      </c>
      <c r="GD84" t="n">
        <v>1359.556702008076</v>
      </c>
      <c r="GS84" t="n">
        <v>4808.3419580395</v>
      </c>
      <c r="GT84" t="n">
        <v>1022.274389807265</v>
      </c>
      <c r="NE84" t="n">
        <v>3300</v>
      </c>
      <c r="NF84" t="n">
        <v>690</v>
      </c>
    </row>
    <row r="85">
      <c r="DA85" t="n">
        <v>4675.274719834546</v>
      </c>
      <c r="DB85" t="n">
        <v>558.1647013539609</v>
      </c>
      <c r="DC85" t="n">
        <v>4457.133476729485</v>
      </c>
      <c r="DD85" t="n">
        <v>368.9035007558117</v>
      </c>
      <c r="FE85" t="n">
        <v>400</v>
      </c>
      <c r="FF85" t="n">
        <v>0.95</v>
      </c>
      <c r="FM85" t="n">
        <v>4081.823024523768</v>
      </c>
      <c r="FN85" t="n">
        <v>808.3402577390962</v>
      </c>
      <c r="GC85" t="n">
        <v>5000</v>
      </c>
      <c r="GD85" t="n">
        <v>1359.556702008076</v>
      </c>
      <c r="NE85" t="n">
        <v>3300</v>
      </c>
      <c r="NF85" t="n">
        <v>690</v>
      </c>
    </row>
    <row r="86">
      <c r="DA86" t="n">
        <v>4312.986811198436</v>
      </c>
      <c r="DB86" t="n">
        <v>873.4253062993467</v>
      </c>
      <c r="DC86" t="n">
        <v>4875.263783849653</v>
      </c>
      <c r="DD86" t="n">
        <v>547.2899249983644</v>
      </c>
      <c r="FE86" t="n">
        <v>405</v>
      </c>
      <c r="FF86" t="n">
        <v>0.95</v>
      </c>
      <c r="FM86" t="n">
        <v>4081.823024523768</v>
      </c>
      <c r="FN86" t="n">
        <v>808.3402577390962</v>
      </c>
      <c r="GC86" t="n">
        <v>5000</v>
      </c>
      <c r="GD86" t="n">
        <v>1359.556702008076</v>
      </c>
      <c r="NE86" t="n">
        <v>3300</v>
      </c>
      <c r="NF86" t="n">
        <v>690</v>
      </c>
    </row>
    <row r="87">
      <c r="DA87" t="n">
        <v>3203.706480517036</v>
      </c>
      <c r="DB87" t="n">
        <v>1219.59255739447</v>
      </c>
      <c r="DC87" t="n">
        <v>3697.409732426161</v>
      </c>
      <c r="DD87" t="n">
        <v>568.2998155180289</v>
      </c>
      <c r="FE87" t="n">
        <v>402.5</v>
      </c>
      <c r="FF87" t="n">
        <v>0.95</v>
      </c>
      <c r="FM87" t="n">
        <v>4381.823024523768</v>
      </c>
      <c r="FN87" t="n">
        <v>808.3402577390962</v>
      </c>
      <c r="GC87" t="n">
        <v>5000</v>
      </c>
      <c r="GD87" t="n">
        <v>1359.556702008076</v>
      </c>
      <c r="NE87" t="n">
        <v>3300</v>
      </c>
      <c r="NF87" t="n">
        <v>690</v>
      </c>
    </row>
    <row r="88">
      <c r="DA88" t="n">
        <v>3382.467325858066</v>
      </c>
      <c r="DB88" t="n">
        <v>1326.805600201829</v>
      </c>
      <c r="DC88" t="n">
        <v>3458.207296458289</v>
      </c>
      <c r="DD88" t="n">
        <v>702.2443324641365</v>
      </c>
      <c r="FE88" t="n">
        <v>407.5</v>
      </c>
      <c r="FF88" t="n">
        <v>0.95</v>
      </c>
      <c r="FM88" t="n">
        <v>4381.823024523768</v>
      </c>
      <c r="FN88" t="n">
        <v>808.3402577390962</v>
      </c>
      <c r="GC88" t="n">
        <v>5000</v>
      </c>
      <c r="GD88" t="n">
        <v>1359.556702008076</v>
      </c>
      <c r="NE88" t="n">
        <v>3300</v>
      </c>
      <c r="NF88" t="n">
        <v>690</v>
      </c>
    </row>
    <row r="89">
      <c r="DA89" t="n">
        <v>2949.653534082217</v>
      </c>
      <c r="DB89" t="n">
        <v>983.2175221601036</v>
      </c>
      <c r="DC89" t="n">
        <v>4210.64808524725</v>
      </c>
      <c r="DD89" t="n">
        <v>952.6790367403548</v>
      </c>
      <c r="FE89" t="n">
        <v>410</v>
      </c>
      <c r="FF89" t="n">
        <v>0.95</v>
      </c>
      <c r="FM89" t="n">
        <v>4381.823024523768</v>
      </c>
      <c r="FN89" t="n">
        <v>808.3402577390962</v>
      </c>
      <c r="GC89" t="n">
        <v>5000</v>
      </c>
      <c r="GD89" t="n">
        <v>1359.556702008076</v>
      </c>
      <c r="NE89" t="n">
        <v>3300</v>
      </c>
      <c r="NF89" t="n">
        <v>690</v>
      </c>
    </row>
    <row r="90">
      <c r="DA90" t="n">
        <v>4778.036850488084</v>
      </c>
      <c r="DB90" t="n">
        <v>1451.623593396958</v>
      </c>
      <c r="DC90" t="n">
        <v>4416.575914691761</v>
      </c>
      <c r="DD90" t="n">
        <v>566.9482867363154</v>
      </c>
      <c r="FE90" t="n">
        <v>390</v>
      </c>
      <c r="FF90" t="n">
        <v>0.875</v>
      </c>
      <c r="FM90" t="n">
        <v>4381.823024523768</v>
      </c>
      <c r="FN90" t="n">
        <v>808.3402577390962</v>
      </c>
      <c r="GC90" t="n">
        <v>5000</v>
      </c>
      <c r="GD90" t="n">
        <v>1359.556702008076</v>
      </c>
      <c r="NE90" t="n">
        <v>3300</v>
      </c>
      <c r="NF90" t="n">
        <v>690</v>
      </c>
    </row>
    <row r="91">
      <c r="DA91" t="n">
        <v>4176.475395928959</v>
      </c>
      <c r="DB91" t="n">
        <v>1358.986474025779</v>
      </c>
      <c r="DC91" t="n">
        <v>3742.291748310171</v>
      </c>
      <c r="DD91" t="n">
        <v>1413.279306404757</v>
      </c>
      <c r="FE91" t="n">
        <v>390</v>
      </c>
      <c r="FF91" t="n">
        <v>0.9</v>
      </c>
      <c r="FM91" t="n">
        <v>4681.823024523768</v>
      </c>
      <c r="FN91" t="n">
        <v>808.3402577390962</v>
      </c>
      <c r="GC91" t="n">
        <v>5000</v>
      </c>
      <c r="GD91" t="n">
        <v>1359.556702008076</v>
      </c>
      <c r="NE91" t="n">
        <v>3300</v>
      </c>
      <c r="NF91" t="n">
        <v>690</v>
      </c>
    </row>
    <row r="92">
      <c r="DA92" t="n">
        <v>3473.563613239317</v>
      </c>
      <c r="DB92" t="n">
        <v>1403.895909483831</v>
      </c>
      <c r="DC92" t="n">
        <v>2878.064123348901</v>
      </c>
      <c r="DD92" t="n">
        <v>410.517520204588</v>
      </c>
      <c r="FE92" t="n">
        <v>392.5</v>
      </c>
      <c r="FF92" t="n">
        <v>0.9</v>
      </c>
      <c r="FM92" t="n">
        <v>4081.823024523768</v>
      </c>
      <c r="FN92" t="n">
        <v>808.3402577390962</v>
      </c>
      <c r="GC92" t="n">
        <v>5000</v>
      </c>
      <c r="GD92" t="n">
        <v>1359.556702008076</v>
      </c>
      <c r="NE92" t="n">
        <v>3400</v>
      </c>
      <c r="NF92" t="n">
        <v>1200</v>
      </c>
    </row>
    <row r="93">
      <c r="DA93" t="n">
        <v>4811.745787712287</v>
      </c>
      <c r="DB93" t="n">
        <v>1159.627285217969</v>
      </c>
      <c r="DC93" t="n">
        <v>4049.142820173306</v>
      </c>
      <c r="DD93" t="n">
        <v>942.9808388170708</v>
      </c>
      <c r="FE93" t="n">
        <v>390</v>
      </c>
      <c r="FF93" t="n">
        <v>0.925</v>
      </c>
      <c r="FM93" t="n">
        <v>4381.823024523768</v>
      </c>
      <c r="FN93" t="n">
        <v>1028.340257739096</v>
      </c>
      <c r="NE93" t="n">
        <v>3500</v>
      </c>
      <c r="NF93" t="n">
        <v>1200</v>
      </c>
    </row>
    <row r="94">
      <c r="DA94" t="n">
        <v>2815.780313765198</v>
      </c>
      <c r="DB94" t="n">
        <v>1090.246141968173</v>
      </c>
      <c r="DC94" t="n">
        <v>2048.677953817212</v>
      </c>
      <c r="DD94" t="n">
        <v>717.8868639688034</v>
      </c>
      <c r="FE94" t="n">
        <v>392.5</v>
      </c>
      <c r="FF94" t="n">
        <v>0.925</v>
      </c>
      <c r="FM94" t="n">
        <v>4381.823024523768</v>
      </c>
      <c r="FN94" t="n">
        <v>808.3402577390962</v>
      </c>
      <c r="NE94" t="n">
        <v>3300</v>
      </c>
      <c r="NF94" t="n">
        <v>1250</v>
      </c>
    </row>
    <row r="95">
      <c r="DA95" t="n">
        <v>3285.18414769873</v>
      </c>
      <c r="DB95" t="n">
        <v>1416.577729466989</v>
      </c>
      <c r="DC95" t="n">
        <v>2531.472839998504</v>
      </c>
      <c r="DD95" t="n">
        <v>581.2840156141363</v>
      </c>
      <c r="FE95" t="n">
        <v>395</v>
      </c>
      <c r="FF95" t="n">
        <v>0.925</v>
      </c>
      <c r="FM95" t="n">
        <v>4381.823024523768</v>
      </c>
      <c r="FN95" t="n">
        <v>808.3402577390962</v>
      </c>
      <c r="NE95" t="n">
        <v>3300</v>
      </c>
      <c r="NF95" t="n">
        <v>690</v>
      </c>
    </row>
    <row r="96">
      <c r="DA96" t="n">
        <v>3689.007664233494</v>
      </c>
      <c r="DB96" t="n">
        <v>1471.050689542086</v>
      </c>
      <c r="DC96" t="n">
        <v>3238.262952356354</v>
      </c>
      <c r="DD96" t="n">
        <v>1013.429226631598</v>
      </c>
      <c r="FE96" t="n">
        <v>397.5</v>
      </c>
      <c r="FF96" t="n">
        <v>0.925</v>
      </c>
      <c r="FM96" t="n">
        <v>4381.823024523768</v>
      </c>
      <c r="FN96" t="n">
        <v>808.3402577390962</v>
      </c>
      <c r="NE96" t="n">
        <v>3300</v>
      </c>
      <c r="NF96" t="n">
        <v>1300</v>
      </c>
    </row>
    <row r="97">
      <c r="DA97" t="n">
        <v>3951.204720401021</v>
      </c>
      <c r="DB97" t="n">
        <v>1054.159716556556</v>
      </c>
      <c r="DC97" t="n">
        <v>4817.775632202194</v>
      </c>
      <c r="DD97" t="n">
        <v>1002.139181562782</v>
      </c>
      <c r="FE97" t="n">
        <v>390</v>
      </c>
      <c r="FF97" t="n">
        <v>0.95</v>
      </c>
      <c r="FM97" t="n">
        <v>4381.823024523768</v>
      </c>
      <c r="FN97" t="n">
        <v>808.3402577390962</v>
      </c>
      <c r="NE97" t="n">
        <v>3300</v>
      </c>
      <c r="NF97" t="n">
        <v>1200</v>
      </c>
    </row>
    <row r="98">
      <c r="DA98" t="n">
        <v>2605.823829002298</v>
      </c>
      <c r="DB98" t="n">
        <v>1106.339020625116</v>
      </c>
      <c r="DC98" t="n">
        <v>3808.049392815273</v>
      </c>
      <c r="DD98" t="n">
        <v>1021.922960772625</v>
      </c>
      <c r="FE98" t="n">
        <v>392.5</v>
      </c>
      <c r="FF98" t="n">
        <v>0.95</v>
      </c>
      <c r="FM98" t="n">
        <v>4381.823024523768</v>
      </c>
      <c r="FN98" t="n">
        <v>808.3402577390962</v>
      </c>
      <c r="NE98" t="n">
        <v>3300</v>
      </c>
      <c r="NF98" t="n">
        <v>1200</v>
      </c>
    </row>
    <row r="99">
      <c r="DA99" t="n">
        <v>4339.780615708146</v>
      </c>
      <c r="DB99" t="n">
        <v>812.7815424286804</v>
      </c>
      <c r="DC99" t="n">
        <v>3155.202144828041</v>
      </c>
      <c r="DD99" t="n">
        <v>1068.728721229202</v>
      </c>
      <c r="FE99" t="n">
        <v>395</v>
      </c>
      <c r="FF99" t="n">
        <v>0.95</v>
      </c>
      <c r="FM99" t="n">
        <v>4381.823024523768</v>
      </c>
      <c r="FN99" t="n">
        <v>808.3402577390962</v>
      </c>
    </row>
    <row r="100">
      <c r="DA100" t="n">
        <v>3253.987855848156</v>
      </c>
      <c r="DB100" t="n">
        <v>681.0684880043149</v>
      </c>
      <c r="DC100" t="n">
        <v>4156.765910241249</v>
      </c>
      <c r="DD100" t="n">
        <v>1150.143753512928</v>
      </c>
      <c r="FE100" t="n">
        <v>397.5</v>
      </c>
      <c r="FF100" t="n">
        <v>0.95</v>
      </c>
      <c r="FM100" t="n">
        <v>4381.823024523768</v>
      </c>
      <c r="FN100" t="n">
        <v>808.3402577390962</v>
      </c>
    </row>
    <row r="101">
      <c r="DA101" t="n">
        <v>4257.260065476171</v>
      </c>
      <c r="DB101" t="n">
        <v>1490.200492941936</v>
      </c>
      <c r="DC101" t="n">
        <v>3419.473692117773</v>
      </c>
      <c r="DD101" t="n">
        <v>762.1045087921802</v>
      </c>
      <c r="FE101" t="n">
        <v>400</v>
      </c>
      <c r="FF101" t="n">
        <v>0.95</v>
      </c>
      <c r="FM101" t="n">
        <v>4381.823024523768</v>
      </c>
      <c r="FN101" t="n">
        <v>808.3402577390962</v>
      </c>
    </row>
    <row r="102">
      <c r="DA102" t="n">
        <v>2521.261536955443</v>
      </c>
      <c r="DB102" t="n">
        <v>1004.773189877077</v>
      </c>
      <c r="DC102" t="n">
        <v>2613.480720067638</v>
      </c>
      <c r="DD102" t="n">
        <v>374.3693443220704</v>
      </c>
      <c r="FE102" t="n">
        <v>402.5</v>
      </c>
      <c r="FF102" t="n">
        <v>0.95</v>
      </c>
      <c r="FM102" t="n">
        <v>4381.823024523768</v>
      </c>
      <c r="FN102" t="n">
        <v>808.3402577390962</v>
      </c>
    </row>
    <row r="103">
      <c r="DA103" t="n">
        <v>4944.96732500092</v>
      </c>
      <c r="DB103" t="n">
        <v>1267.682281970871</v>
      </c>
      <c r="DC103" t="n">
        <v>4565.563664860976</v>
      </c>
      <c r="DD103" t="n">
        <v>1067.248236821704</v>
      </c>
      <c r="FE103" t="n">
        <v>405</v>
      </c>
      <c r="FF103" t="n">
        <v>0.95</v>
      </c>
      <c r="FM103" t="n">
        <v>4381.823024523768</v>
      </c>
      <c r="FN103" t="n">
        <v>808.3402577390962</v>
      </c>
    </row>
    <row r="104">
      <c r="DA104" t="n">
        <v>2844.588786688648</v>
      </c>
      <c r="DB104" t="n">
        <v>952.44158003743</v>
      </c>
      <c r="DC104" t="n">
        <v>2076.588716550844</v>
      </c>
      <c r="DD104" t="n">
        <v>428.455920241973</v>
      </c>
      <c r="FE104" t="n">
        <v>407.5</v>
      </c>
      <c r="FF104" t="n">
        <v>0.95</v>
      </c>
    </row>
    <row r="105">
      <c r="DA105" t="n">
        <v>3001.014749903614</v>
      </c>
      <c r="DB105" t="n">
        <v>858.3276940949652</v>
      </c>
      <c r="DC105" t="n">
        <v>3869.926538190442</v>
      </c>
      <c r="DD105" t="n">
        <v>616.3650707013746</v>
      </c>
      <c r="FE105" t="n">
        <v>410</v>
      </c>
      <c r="FF105" t="n">
        <v>0.95</v>
      </c>
    </row>
    <row r="106">
      <c r="DA106" t="n">
        <v>3808.827317148546</v>
      </c>
      <c r="DB106" t="n">
        <v>1426.633752568553</v>
      </c>
      <c r="DC106" t="n">
        <v>3001.727051317068</v>
      </c>
      <c r="DD106" t="n">
        <v>1257.862416039375</v>
      </c>
    </row>
    <row r="107">
      <c r="DA107" t="n">
        <v>2688.487342437024</v>
      </c>
      <c r="DB107" t="n">
        <v>1304.543517295375</v>
      </c>
      <c r="DC107" t="n">
        <v>3080.402220673114</v>
      </c>
      <c r="DD107" t="n">
        <v>722.8563541503839</v>
      </c>
    </row>
    <row r="108">
      <c r="DA108" t="n">
        <v>2435.192906620164</v>
      </c>
      <c r="DB108" t="n">
        <v>1049.983715480241</v>
      </c>
      <c r="DC108" t="n">
        <v>2925.327036548436</v>
      </c>
      <c r="DD108" t="n">
        <v>697.8352260011454</v>
      </c>
    </row>
    <row r="109">
      <c r="DA109" t="n">
        <v>2547.880207285646</v>
      </c>
      <c r="DB109" t="n">
        <v>1152.816198561386</v>
      </c>
      <c r="DC109" t="n">
        <v>3114.297461986203</v>
      </c>
      <c r="DD109" t="n">
        <v>444.4648291091686</v>
      </c>
    </row>
    <row r="110">
      <c r="DA110" t="n">
        <v>3571.407297915099</v>
      </c>
      <c r="DB110" t="n">
        <v>688.2442385216538</v>
      </c>
      <c r="DC110" t="n">
        <v>4426.957176458453</v>
      </c>
      <c r="DD110" t="n">
        <v>555.6196173612551</v>
      </c>
    </row>
    <row r="111">
      <c r="DA111" t="n">
        <v>2488.805528706217</v>
      </c>
      <c r="DB111" t="n">
        <v>1074.925149433288</v>
      </c>
      <c r="DC111" t="n">
        <v>2958.827926159463</v>
      </c>
      <c r="DD111" t="n">
        <v>1445.711244617638</v>
      </c>
    </row>
    <row r="112">
      <c r="DA112" t="n">
        <v>3547.150641998355</v>
      </c>
      <c r="DB112" t="n">
        <v>546.9716749659381</v>
      </c>
      <c r="DC112" t="n">
        <v>2053.684601305301</v>
      </c>
      <c r="DD112" t="n">
        <v>588.5952395230663</v>
      </c>
    </row>
    <row r="113">
      <c r="DA113" t="n">
        <v>2046.947027378186</v>
      </c>
      <c r="DB113" t="n">
        <v>1280.658961349689</v>
      </c>
      <c r="DC113" t="n">
        <v>4197.391509925012</v>
      </c>
      <c r="DD113" t="n">
        <v>1213.074960151908</v>
      </c>
    </row>
    <row r="114">
      <c r="DA114" t="n">
        <v>3834.173673035498</v>
      </c>
      <c r="DB114" t="n">
        <v>1150.635832573309</v>
      </c>
      <c r="DC114" t="n">
        <v>4605.621154068506</v>
      </c>
      <c r="DD114" t="n">
        <v>515.7349757405634</v>
      </c>
    </row>
    <row r="115">
      <c r="DA115" t="n">
        <v>3876.840930918905</v>
      </c>
      <c r="DB115" t="n">
        <v>1413.172395788022</v>
      </c>
      <c r="DC115" t="n">
        <v>2621.483802207721</v>
      </c>
      <c r="DD115" t="n">
        <v>327.3914422925041</v>
      </c>
    </row>
    <row r="116">
      <c r="DA116" t="n">
        <v>3416.920064932184</v>
      </c>
      <c r="DB116" t="n">
        <v>1245.228726760481</v>
      </c>
      <c r="DC116" t="n">
        <v>2742.399639714884</v>
      </c>
      <c r="DD116" t="n">
        <v>674.5008913892616</v>
      </c>
    </row>
    <row r="117">
      <c r="DA117" t="n">
        <v>4618.005423446417</v>
      </c>
      <c r="DB117" t="n">
        <v>1275.004073771255</v>
      </c>
      <c r="DC117" t="n">
        <v>3974.686253531494</v>
      </c>
      <c r="DD117" t="n">
        <v>764.2551676454963</v>
      </c>
    </row>
    <row r="118">
      <c r="DA118" t="n">
        <v>3199.684546717047</v>
      </c>
      <c r="DB118" t="n">
        <v>769.1235100428783</v>
      </c>
      <c r="DC118" t="n">
        <v>4520.157196185828</v>
      </c>
      <c r="DD118" t="n">
        <v>433.3889852442429</v>
      </c>
    </row>
    <row r="119">
      <c r="DA119" t="n">
        <v>2921.798925985498</v>
      </c>
      <c r="DB119" t="n">
        <v>1142.295616276611</v>
      </c>
      <c r="DC119" t="n">
        <v>4065.738705868403</v>
      </c>
      <c r="DD119" t="n">
        <v>531.9410681367464</v>
      </c>
    </row>
    <row r="120">
      <c r="DA120" t="n">
        <v>3718.573104357165</v>
      </c>
      <c r="DB120" t="n">
        <v>1438.218115492034</v>
      </c>
      <c r="DC120" t="n">
        <v>4327.691300201725</v>
      </c>
      <c r="DD120" t="n">
        <v>1448.885244025193</v>
      </c>
    </row>
    <row r="121">
      <c r="DA121" t="n">
        <v>3539.531349768299</v>
      </c>
      <c r="DB121" t="n">
        <v>1184.909450503314</v>
      </c>
      <c r="DC121" t="n">
        <v>3373.492752583611</v>
      </c>
      <c r="DD121" t="n">
        <v>726.3459600573497</v>
      </c>
    </row>
    <row r="122">
      <c r="DA122" t="n">
        <v>3514.415125407494</v>
      </c>
      <c r="DB122" t="n">
        <v>936.88135157308</v>
      </c>
      <c r="DC122" t="n">
        <v>2848.91656432159</v>
      </c>
      <c r="DD122" t="n">
        <v>735.7263095117871</v>
      </c>
    </row>
    <row r="123">
      <c r="DC123" t="n">
        <v>2529.134636417654</v>
      </c>
      <c r="DD123" t="n">
        <v>1431.58017366385</v>
      </c>
    </row>
    <row r="124">
      <c r="DC124" t="n">
        <v>2712.859710540737</v>
      </c>
      <c r="DD124" t="n">
        <v>659.3942285039368</v>
      </c>
    </row>
    <row r="125">
      <c r="DC125" t="n">
        <v>2064.353382930798</v>
      </c>
      <c r="DD125" t="n">
        <v>792.8621731530367</v>
      </c>
    </row>
    <row r="126">
      <c r="DC126" t="n">
        <v>3828.611837533173</v>
      </c>
      <c r="DD126" t="n">
        <v>991.5208083790064</v>
      </c>
    </row>
    <row r="127">
      <c r="DC127" t="n">
        <v>4578.745457105882</v>
      </c>
      <c r="DD127" t="n">
        <v>861.9832211245416</v>
      </c>
    </row>
    <row r="128">
      <c r="DC128" t="n">
        <v>4287.726378148507</v>
      </c>
      <c r="DD128" t="n">
        <v>486.2601670051677</v>
      </c>
    </row>
    <row r="129">
      <c r="DC129" t="n">
        <v>2820.631650397426</v>
      </c>
      <c r="DD129" t="n">
        <v>316.5699196402394</v>
      </c>
    </row>
    <row r="130">
      <c r="DC130" t="n">
        <v>4820.222261672555</v>
      </c>
      <c r="DD130" t="n">
        <v>623.1255034237613</v>
      </c>
    </row>
    <row r="131">
      <c r="DC131" t="n">
        <v>2193.423828897708</v>
      </c>
      <c r="DD131" t="n">
        <v>1471.103642271848</v>
      </c>
    </row>
    <row r="132">
      <c r="DC132" t="n">
        <v>2382.939897944534</v>
      </c>
      <c r="DD132" t="n">
        <v>871.9106059632719</v>
      </c>
    </row>
    <row r="133">
      <c r="DC133" t="n">
        <v>3782.882413356787</v>
      </c>
      <c r="DD133" t="n">
        <v>1420.202265011503</v>
      </c>
    </row>
    <row r="134">
      <c r="DC134" t="n">
        <v>2770.735908631396</v>
      </c>
      <c r="DD134" t="n">
        <v>769.4176007130936</v>
      </c>
    </row>
    <row r="135">
      <c r="DC135" t="n">
        <v>4034.509920217565</v>
      </c>
      <c r="DD135" t="n">
        <v>480.6284827487954</v>
      </c>
    </row>
    <row r="136">
      <c r="DC136" t="n">
        <v>4447.309146437858</v>
      </c>
      <c r="DD136" t="n">
        <v>1329.363788874343</v>
      </c>
    </row>
    <row r="137">
      <c r="DC137" t="n">
        <v>3931.47696388223</v>
      </c>
      <c r="DD137" t="n">
        <v>899.1182281674681</v>
      </c>
    </row>
    <row r="138">
      <c r="DC138" t="n">
        <v>4722.718648960963</v>
      </c>
      <c r="DD138" t="n">
        <v>478.1619381209957</v>
      </c>
    </row>
    <row r="139">
      <c r="DC139" t="n">
        <v>2326.18259835533</v>
      </c>
      <c r="DD139" t="n">
        <v>1084.441098746134</v>
      </c>
    </row>
    <row r="140">
      <c r="DC140" t="n">
        <v>3529.969169407416</v>
      </c>
      <c r="DD140" t="n">
        <v>1042.197856953135</v>
      </c>
    </row>
    <row r="141">
      <c r="DC141" t="n">
        <v>2479.216747934866</v>
      </c>
      <c r="DD141" t="n">
        <v>302.9492299975095</v>
      </c>
    </row>
    <row r="142">
      <c r="DC142" t="n">
        <v>3997.395935441186</v>
      </c>
      <c r="DD142" t="n">
        <v>631.9044468109053</v>
      </c>
    </row>
    <row r="143">
      <c r="DC143" t="n">
        <v>4646.653516524502</v>
      </c>
      <c r="DD143" t="n">
        <v>337.9554282911307</v>
      </c>
    </row>
    <row r="144">
      <c r="DC144" t="n">
        <v>3381.451689328788</v>
      </c>
      <c r="DD144" t="n">
        <v>841.6494998337434</v>
      </c>
    </row>
    <row r="145">
      <c r="DC145" t="n">
        <v>4750.194928377976</v>
      </c>
      <c r="DD145" t="n">
        <v>613.5400090441511</v>
      </c>
    </row>
    <row r="146">
      <c r="DC146" t="n">
        <v>4460.093809745365</v>
      </c>
      <c r="DD146" t="n">
        <v>1112.256411872577</v>
      </c>
    </row>
    <row r="147">
      <c r="DC147" t="n">
        <v>2898.101622896409</v>
      </c>
      <c r="DD147" t="n">
        <v>1485.335384226557</v>
      </c>
    </row>
    <row r="148">
      <c r="DC148" t="n">
        <v>2126.010874372207</v>
      </c>
      <c r="DD148" t="n">
        <v>796.5085528455427</v>
      </c>
    </row>
    <row r="149">
      <c r="DC149" t="n">
        <v>2493.33274063554</v>
      </c>
      <c r="DD149" t="n">
        <v>973.3351270029729</v>
      </c>
    </row>
    <row r="150">
      <c r="DC150" t="n">
        <v>3196.211656475389</v>
      </c>
      <c r="DD150" t="n">
        <v>801.1242899270544</v>
      </c>
    </row>
    <row r="151">
      <c r="DC151" t="n">
        <v>3041.878040889472</v>
      </c>
      <c r="DD151" t="n">
        <v>1161.275268138855</v>
      </c>
    </row>
    <row r="152">
      <c r="DC152" t="n">
        <v>2991.432788258667</v>
      </c>
      <c r="DD152" t="n">
        <v>467.4007399490317</v>
      </c>
    </row>
    <row r="153">
      <c r="DC153" t="n">
        <v>3614.682523970197</v>
      </c>
      <c r="DD153" t="n">
        <v>500.4614034143506</v>
      </c>
    </row>
    <row r="154">
      <c r="DC154" t="n">
        <v>2251.395536928917</v>
      </c>
      <c r="DD154" t="n">
        <v>1340.305802740606</v>
      </c>
    </row>
    <row r="155">
      <c r="DC155" t="n">
        <v>2467.373004707456</v>
      </c>
      <c r="DD155" t="n">
        <v>1119.328580188661</v>
      </c>
    </row>
    <row r="156">
      <c r="DC156" t="n">
        <v>2669.174650351103</v>
      </c>
      <c r="DD156" t="n">
        <v>608.5111264401344</v>
      </c>
    </row>
    <row r="157">
      <c r="DC157" t="n">
        <v>2372.337325066554</v>
      </c>
      <c r="DD157" t="n">
        <v>1284.238433056974</v>
      </c>
    </row>
    <row r="158">
      <c r="DC158" t="n">
        <v>3297.487010782806</v>
      </c>
      <c r="DD158" t="n">
        <v>815.7720961782053</v>
      </c>
    </row>
    <row r="159">
      <c r="DC159" t="n">
        <v>4057.000960629413</v>
      </c>
      <c r="DD159" t="n">
        <v>1438.266041719052</v>
      </c>
    </row>
    <row r="160">
      <c r="DC160" t="n">
        <v>4134.185703392221</v>
      </c>
      <c r="DD160" t="n">
        <v>1399.190997438363</v>
      </c>
    </row>
    <row r="161">
      <c r="DC161" t="n">
        <v>4744.047708087763</v>
      </c>
      <c r="DD161" t="n">
        <v>1310.73990752675</v>
      </c>
    </row>
    <row r="162">
      <c r="DC162" t="n">
        <v>4097.87975060235</v>
      </c>
      <c r="DD162" t="n">
        <v>599.3993838589877</v>
      </c>
    </row>
    <row r="163">
      <c r="DC163" t="n">
        <v>2973.486691259374</v>
      </c>
      <c r="DD163" t="n">
        <v>745.035922898008</v>
      </c>
    </row>
    <row r="164">
      <c r="DC164" t="n">
        <v>2181.880506824388</v>
      </c>
      <c r="DD164" t="n">
        <v>1089.357485633039</v>
      </c>
    </row>
    <row r="165">
      <c r="DC165" t="n">
        <v>3331.036952632181</v>
      </c>
      <c r="DD165" t="n">
        <v>594.1435862840151</v>
      </c>
    </row>
    <row r="166">
      <c r="DC166" t="n">
        <v>2632.932644902006</v>
      </c>
      <c r="DD166" t="n">
        <v>340.0984549393936</v>
      </c>
    </row>
    <row r="167">
      <c r="DC167" t="n">
        <v>4107.388099479284</v>
      </c>
      <c r="DD167" t="n">
        <v>1049.26403831999</v>
      </c>
    </row>
    <row r="168">
      <c r="DC168" t="n">
        <v>2303.173147760612</v>
      </c>
      <c r="DD168" t="n">
        <v>902.1948885307554</v>
      </c>
    </row>
    <row r="169">
      <c r="DC169" t="n">
        <v>2694.119120858413</v>
      </c>
      <c r="DD169" t="n">
        <v>957.6915825632316</v>
      </c>
    </row>
    <row r="170">
      <c r="DC170" t="n">
        <v>2789.378539747727</v>
      </c>
      <c r="DD170" t="n">
        <v>526.5580681328704</v>
      </c>
    </row>
    <row r="171">
      <c r="DC171" t="n">
        <v>2683.0954820666</v>
      </c>
      <c r="DD171" t="n">
        <v>308.7619406418021</v>
      </c>
    </row>
    <row r="172">
      <c r="DC172" t="n">
        <v>3626.187360424647</v>
      </c>
      <c r="DD172" t="n">
        <v>540.5520926981621</v>
      </c>
    </row>
    <row r="173">
      <c r="DC173" t="n">
        <v>2907.358038607102</v>
      </c>
      <c r="DD173" t="n">
        <v>1103.05835450258</v>
      </c>
    </row>
    <row r="174">
      <c r="DC174" t="n">
        <v>3062.882727816617</v>
      </c>
      <c r="DD174" t="n">
        <v>1172.082114199014</v>
      </c>
    </row>
    <row r="175">
      <c r="DC175" t="n">
        <v>3132.991411849378</v>
      </c>
      <c r="DD175" t="n">
        <v>1004.95873018104</v>
      </c>
    </row>
    <row r="176">
      <c r="DC176" t="n">
        <v>3816.286927833382</v>
      </c>
      <c r="DD176" t="n">
        <v>968.7085919334684</v>
      </c>
    </row>
    <row r="177">
      <c r="DC177" t="n">
        <v>2145.67133721663</v>
      </c>
      <c r="DD177" t="n">
        <v>736.0676858124627</v>
      </c>
    </row>
    <row r="178">
      <c r="DC178" t="n">
        <v>2394.621537495461</v>
      </c>
      <c r="DD178" t="n">
        <v>830.476218392964</v>
      </c>
    </row>
    <row r="179">
      <c r="DC179" t="n">
        <v>4975.89373209624</v>
      </c>
      <c r="DD179" t="n">
        <v>386.3813921285268</v>
      </c>
    </row>
    <row r="180">
      <c r="DC180" t="n">
        <v>3253.722633816824</v>
      </c>
      <c r="DD180" t="n">
        <v>469.1778674819476</v>
      </c>
    </row>
    <row r="181">
      <c r="DC181" t="n">
        <v>3844.161669703544</v>
      </c>
      <c r="DD181" t="n">
        <v>510.7901871291433</v>
      </c>
    </row>
    <row r="182">
      <c r="DC182" t="n">
        <v>3436.515330245455</v>
      </c>
      <c r="DD182" t="n">
        <v>743.4609483934786</v>
      </c>
    </row>
    <row r="183">
      <c r="DC183" t="n">
        <v>2674.482313309567</v>
      </c>
      <c r="DD183" t="n">
        <v>498.7518172150124</v>
      </c>
    </row>
    <row r="184">
      <c r="DC184" t="n">
        <v>2459.481768045072</v>
      </c>
      <c r="DD184" t="n">
        <v>451.8604749164564</v>
      </c>
    </row>
    <row r="185">
      <c r="DC185" t="n">
        <v>2507.763487865784</v>
      </c>
      <c r="DD185" t="n">
        <v>787.4467961031082</v>
      </c>
    </row>
    <row r="186">
      <c r="DC186" t="n">
        <v>3622.121813510464</v>
      </c>
      <c r="DD186" t="n">
        <v>827.1112753148744</v>
      </c>
    </row>
    <row r="187">
      <c r="DC187" t="n">
        <v>3345.752762983845</v>
      </c>
      <c r="DD187" t="n">
        <v>1408.841268419527</v>
      </c>
    </row>
    <row r="188">
      <c r="DC188" t="n">
        <v>3460.363839446954</v>
      </c>
      <c r="DD188" t="n">
        <v>1251.20882915582</v>
      </c>
    </row>
    <row r="189">
      <c r="DC189" t="n">
        <v>2559.785520070714</v>
      </c>
      <c r="DD189" t="n">
        <v>512.457498918885</v>
      </c>
    </row>
    <row r="190">
      <c r="DC190" t="n">
        <v>3146.691582293936</v>
      </c>
      <c r="DD190" t="n">
        <v>994.8334363733796</v>
      </c>
    </row>
    <row r="191">
      <c r="DC191" t="n">
        <v>3577.649491973242</v>
      </c>
      <c r="DD191" t="n">
        <v>1200.867699802452</v>
      </c>
    </row>
    <row r="192">
      <c r="DC192" t="n">
        <v>4202.002920515505</v>
      </c>
      <c r="DD192" t="n">
        <v>894.3259549580453</v>
      </c>
    </row>
    <row r="193">
      <c r="DC193" t="n">
        <v>2399.02039368288</v>
      </c>
      <c r="DD193" t="n">
        <v>575.6515252524321</v>
      </c>
    </row>
    <row r="194">
      <c r="DC194" t="n">
        <v>4597.945159057259</v>
      </c>
      <c r="DD194" t="n">
        <v>1027.942471087398</v>
      </c>
    </row>
    <row r="195">
      <c r="DC195" t="n">
        <v>4236.263721972168</v>
      </c>
      <c r="DD195" t="n">
        <v>754.9971454496385</v>
      </c>
    </row>
    <row r="196">
      <c r="DC196" t="n">
        <v>2654.784617300328</v>
      </c>
      <c r="DD196" t="n">
        <v>328.004598580474</v>
      </c>
    </row>
    <row r="197">
      <c r="DC197" t="n">
        <v>2171.603663434303</v>
      </c>
      <c r="DD197" t="n">
        <v>820.08193500838</v>
      </c>
    </row>
    <row r="198">
      <c r="DC198" t="n">
        <v>4703.406264210913</v>
      </c>
      <c r="DD198" t="n">
        <v>1181.93598414521</v>
      </c>
    </row>
    <row r="199">
      <c r="DC199" t="n">
        <v>3039.969834523045</v>
      </c>
      <c r="DD199" t="n">
        <v>1459.893668561017</v>
      </c>
    </row>
    <row r="200">
      <c r="DC200" t="n">
        <v>2271.326110520777</v>
      </c>
      <c r="DD200" t="n">
        <v>1444.120100995135</v>
      </c>
    </row>
    <row r="201">
      <c r="DC201" t="n">
        <v>4863.554444881775</v>
      </c>
      <c r="DD201" t="n">
        <v>1386.501419431633</v>
      </c>
    </row>
    <row r="202">
      <c r="DC202" t="n">
        <v>4366.264594501075</v>
      </c>
      <c r="DD202" t="n">
        <v>867.1021736262953</v>
      </c>
    </row>
    <row r="203">
      <c r="DC203" t="n">
        <v>2105.915185287449</v>
      </c>
      <c r="DD203" t="n">
        <v>984.648729976431</v>
      </c>
    </row>
    <row r="204">
      <c r="DC204" t="n">
        <v>3058.127230014456</v>
      </c>
      <c r="DD204" t="n">
        <v>532.9843068387761</v>
      </c>
    </row>
    <row r="205">
      <c r="DC205" t="n">
        <v>3762.285095850995</v>
      </c>
      <c r="DD205" t="n">
        <v>1023.255776400223</v>
      </c>
    </row>
    <row r="206">
      <c r="DC206" t="n">
        <v>4717.364769827663</v>
      </c>
      <c r="DD206" t="n">
        <v>1335.54915596388</v>
      </c>
    </row>
    <row r="207">
      <c r="DC207" t="n">
        <v>3873.543893316661</v>
      </c>
      <c r="DD207" t="n">
        <v>911.7519440729463</v>
      </c>
    </row>
    <row r="208">
      <c r="DC208" t="n">
        <v>3971.888677247197</v>
      </c>
      <c r="DD208" t="n">
        <v>420.1910710064911</v>
      </c>
    </row>
    <row r="209">
      <c r="DC209" t="n">
        <v>3614.338680912828</v>
      </c>
      <c r="DD209" t="n">
        <v>1138.943976345036</v>
      </c>
    </row>
    <row r="210">
      <c r="DC210" t="n">
        <v>2026.762751719789</v>
      </c>
      <c r="DD210" t="n">
        <v>1301.092690119161</v>
      </c>
    </row>
    <row r="211">
      <c r="DC211" t="n">
        <v>3741.557358558424</v>
      </c>
      <c r="DD211" t="n">
        <v>1015.992447295506</v>
      </c>
    </row>
    <row r="212">
      <c r="DC212" t="n">
        <v>3525.879139721946</v>
      </c>
      <c r="DD212" t="n">
        <v>799.3148623992377</v>
      </c>
    </row>
    <row r="213">
      <c r="DC213" t="n">
        <v>2828.608740543356</v>
      </c>
      <c r="DD213" t="n">
        <v>625.4814404899362</v>
      </c>
    </row>
    <row r="214">
      <c r="DC214" t="n">
        <v>4206.426944838786</v>
      </c>
      <c r="DD214" t="n">
        <v>970.6287495228754</v>
      </c>
    </row>
    <row r="215">
      <c r="DC215" t="n">
        <v>4269.977630883368</v>
      </c>
      <c r="DD215" t="n">
        <v>905.093281950096</v>
      </c>
    </row>
    <row r="216">
      <c r="DC216" t="n">
        <v>4169.534017475182</v>
      </c>
      <c r="DD216" t="n">
        <v>1321.240701376639</v>
      </c>
    </row>
    <row r="217">
      <c r="DC217" t="n">
        <v>2530.991649286069</v>
      </c>
      <c r="DD217" t="n">
        <v>997.2631383917504</v>
      </c>
    </row>
    <row r="218">
      <c r="DC218" t="n">
        <v>4454.785612683757</v>
      </c>
      <c r="DD218" t="n">
        <v>632.7488849345355</v>
      </c>
    </row>
    <row r="219">
      <c r="DC219" t="n">
        <v>4752.592547607569</v>
      </c>
      <c r="DD219" t="n">
        <v>658.5451309328361</v>
      </c>
    </row>
    <row r="220">
      <c r="DC220" t="n">
        <v>2222.422620686175</v>
      </c>
      <c r="DD220" t="n">
        <v>668.8289175332309</v>
      </c>
    </row>
    <row r="221">
      <c r="DC221" t="n">
        <v>4384.931757886976</v>
      </c>
      <c r="DD221" t="n">
        <v>1058.255347470374</v>
      </c>
    </row>
    <row r="222">
      <c r="DC222" t="n">
        <v>2329.373721689228</v>
      </c>
      <c r="DD222" t="n">
        <v>1188.461165331636</v>
      </c>
    </row>
    <row r="223">
      <c r="DC223" t="n">
        <v>3738.696339857722</v>
      </c>
      <c r="DD223" t="n">
        <v>536.1595911726158</v>
      </c>
    </row>
    <row r="224">
      <c r="DC224" t="n">
        <v>3176.083328275172</v>
      </c>
      <c r="DD224" t="n">
        <v>540.40281323404</v>
      </c>
    </row>
    <row r="225">
      <c r="DC225" t="n">
        <v>3654.299154011756</v>
      </c>
      <c r="DD225" t="n">
        <v>505.836818781852</v>
      </c>
    </row>
    <row r="226">
      <c r="DC226" t="n">
        <v>2044.241944019708</v>
      </c>
      <c r="DD226" t="n">
        <v>1038.342815175176</v>
      </c>
    </row>
    <row r="227">
      <c r="DC227" t="n">
        <v>4801.64415359301</v>
      </c>
      <c r="DD227" t="n">
        <v>1130.379176031913</v>
      </c>
    </row>
    <row r="228">
      <c r="DC228" t="n">
        <v>2632.449277327646</v>
      </c>
      <c r="DD228" t="n">
        <v>1082.752806479143</v>
      </c>
    </row>
    <row r="229">
      <c r="DC229" t="n">
        <v>3600.015429275951</v>
      </c>
      <c r="DD229" t="n">
        <v>321.1962324725073</v>
      </c>
    </row>
    <row r="230">
      <c r="DC230" t="n">
        <v>3991.388142762185</v>
      </c>
      <c r="DD230" t="n">
        <v>576.2217366229509</v>
      </c>
    </row>
    <row r="231">
      <c r="DC231" t="n">
        <v>3819.266813431677</v>
      </c>
      <c r="DD231" t="n">
        <v>711.2337088100921</v>
      </c>
    </row>
    <row r="232">
      <c r="DC232" t="n">
        <v>2753.040647600984</v>
      </c>
      <c r="DD232" t="n">
        <v>742.4438325863022</v>
      </c>
    </row>
    <row r="233">
      <c r="DC233" t="n">
        <v>3139.517686279952</v>
      </c>
      <c r="DD233" t="n">
        <v>964.895826925524</v>
      </c>
    </row>
    <row r="234">
      <c r="DC234" t="n">
        <v>4409.117253370263</v>
      </c>
      <c r="DD234" t="n">
        <v>1171.42944015151</v>
      </c>
    </row>
    <row r="235">
      <c r="DC235" t="n">
        <v>2240.751279883435</v>
      </c>
      <c r="DD235" t="n">
        <v>1477.966902528124</v>
      </c>
    </row>
    <row r="236">
      <c r="DC236" t="n">
        <v>4113.946707522697</v>
      </c>
      <c r="DD236" t="n">
        <v>622.6081847127834</v>
      </c>
    </row>
    <row r="237">
      <c r="DC237" t="n">
        <v>2891.278952726228</v>
      </c>
      <c r="DD237" t="n">
        <v>913.581366835484</v>
      </c>
    </row>
    <row r="238">
      <c r="DC238" t="n">
        <v>2095.385835313507</v>
      </c>
      <c r="DD238" t="n">
        <v>756.8509146329272</v>
      </c>
    </row>
    <row r="239">
      <c r="DC239" t="n">
        <v>3290.178000667938</v>
      </c>
      <c r="DD239" t="n">
        <v>475.7328549409533</v>
      </c>
    </row>
    <row r="240">
      <c r="DC240" t="n">
        <v>2580.865873678349</v>
      </c>
      <c r="DD240" t="n">
        <v>779.7090627737823</v>
      </c>
    </row>
    <row r="241">
      <c r="DC241" t="n">
        <v>4527.030702036714</v>
      </c>
      <c r="DD241" t="n">
        <v>1072.261035219792</v>
      </c>
    </row>
    <row r="242">
      <c r="DC242" t="n">
        <v>3798.265736331154</v>
      </c>
      <c r="DD242" t="n">
        <v>484.3009558692722</v>
      </c>
    </row>
    <row r="243">
      <c r="DC243" t="n">
        <v>4870.948860030223</v>
      </c>
      <c r="DD243" t="n">
        <v>1097.645709423847</v>
      </c>
    </row>
    <row r="244">
      <c r="DC244" t="n">
        <v>3024.072191977454</v>
      </c>
      <c r="DD244" t="n">
        <v>456.9459612600096</v>
      </c>
    </row>
    <row r="245">
      <c r="DC245" t="n">
        <v>4561.306855575673</v>
      </c>
      <c r="DD245" t="n">
        <v>316.0336741003949</v>
      </c>
    </row>
    <row r="246">
      <c r="DC246" t="n">
        <v>3353.022928262066</v>
      </c>
      <c r="DD246" t="n">
        <v>1497.185787006144</v>
      </c>
    </row>
    <row r="247">
      <c r="DC247" t="n">
        <v>3365.235697529324</v>
      </c>
      <c r="DD247" t="n">
        <v>427.5523885560019</v>
      </c>
    </row>
    <row r="248">
      <c r="DC248" t="n">
        <v>3916.991105548818</v>
      </c>
      <c r="DD248" t="n">
        <v>1121.268866483308</v>
      </c>
    </row>
    <row r="249">
      <c r="DC249" t="n">
        <v>3096.516701422712</v>
      </c>
      <c r="DD249" t="n">
        <v>836.0583169465763</v>
      </c>
    </row>
    <row r="250">
      <c r="DC250" t="n">
        <v>2208.761743305652</v>
      </c>
      <c r="DD250" t="n">
        <v>1291.336131119507</v>
      </c>
    </row>
    <row r="251">
      <c r="DC251" t="n">
        <v>2009.945022568368</v>
      </c>
      <c r="DD251" t="n">
        <v>1355.183594953652</v>
      </c>
    </row>
    <row r="252">
      <c r="DC252" t="n">
        <v>2729.135386954714</v>
      </c>
      <c r="DD252" t="n">
        <v>1265.474895834942</v>
      </c>
    </row>
    <row r="253">
      <c r="DC253" t="n">
        <v>3156.258462888873</v>
      </c>
      <c r="DD253" t="n">
        <v>707.9093181320513</v>
      </c>
    </row>
    <row r="254">
      <c r="DC254" t="n">
        <v>3427.867964467935</v>
      </c>
      <c r="DD254" t="n">
        <v>590.0386015408029</v>
      </c>
    </row>
    <row r="255">
      <c r="DC255" t="n">
        <v>3217.092069830782</v>
      </c>
      <c r="DD255" t="n">
        <v>1484.624381464122</v>
      </c>
    </row>
    <row r="256">
      <c r="DC256" t="n">
        <v>4496.25364759389</v>
      </c>
      <c r="DD256" t="n">
        <v>617.5000257816625</v>
      </c>
    </row>
    <row r="257">
      <c r="DC257" t="n">
        <v>4309.779303910185</v>
      </c>
      <c r="DD257" t="n">
        <v>847.1306823547823</v>
      </c>
    </row>
    <row r="258">
      <c r="DC258" t="n">
        <v>2335.075359233134</v>
      </c>
      <c r="DD258" t="n">
        <v>446.0033245334352</v>
      </c>
    </row>
    <row r="259">
      <c r="DC259" t="n">
        <v>2467.483813818391</v>
      </c>
      <c r="DD259" t="n">
        <v>598.0245144669302</v>
      </c>
    </row>
    <row r="260">
      <c r="DC260" t="n">
        <v>2144.421813663376</v>
      </c>
      <c r="DD260" t="n">
        <v>1168.677196893584</v>
      </c>
    </row>
    <row r="261">
      <c r="DC261" t="n">
        <v>2074.152719983641</v>
      </c>
      <c r="DD261" t="n">
        <v>796.5021289700808</v>
      </c>
    </row>
    <row r="262">
      <c r="DC262" t="n">
        <v>4546.896306309386</v>
      </c>
      <c r="DD262" t="n">
        <v>1101.886053225254</v>
      </c>
    </row>
    <row r="263">
      <c r="DC263" t="n">
        <v>4880.511873954973</v>
      </c>
      <c r="DD263" t="n">
        <v>931.2105578590198</v>
      </c>
    </row>
    <row r="264">
      <c r="DC264" t="n">
        <v>3324.631353875451</v>
      </c>
      <c r="DD264" t="n">
        <v>462.3278134883942</v>
      </c>
    </row>
    <row r="265">
      <c r="DC265" t="n">
        <v>2794.216855374882</v>
      </c>
      <c r="DD265" t="n">
        <v>1392.707347050828</v>
      </c>
    </row>
    <row r="266">
      <c r="DC266" t="n">
        <v>3271.965612358676</v>
      </c>
      <c r="DD266" t="n">
        <v>696.7754287574105</v>
      </c>
    </row>
    <row r="267">
      <c r="DC267" t="n">
        <v>3849.269462423598</v>
      </c>
      <c r="DD267" t="n">
        <v>1378.229478099102</v>
      </c>
    </row>
    <row r="268">
      <c r="DC268" t="n">
        <v>2291.88531207738</v>
      </c>
      <c r="DD268" t="n">
        <v>603.390956393714</v>
      </c>
    </row>
    <row r="269">
      <c r="DC269" t="n">
        <v>3008.39687386971</v>
      </c>
      <c r="DD269" t="n">
        <v>584.5897694887155</v>
      </c>
    </row>
    <row r="270">
      <c r="DC270" t="n">
        <v>3114.796381615248</v>
      </c>
      <c r="DD270" t="n">
        <v>720.7462036669335</v>
      </c>
    </row>
    <row r="271">
      <c r="DC271" t="n">
        <v>3497.91214283354</v>
      </c>
      <c r="DD271" t="n">
        <v>719.4114652340807</v>
      </c>
    </row>
    <row r="272">
      <c r="DC272" t="n">
        <v>2796.923069702998</v>
      </c>
      <c r="DD272" t="n">
        <v>1430.554715675412</v>
      </c>
    </row>
    <row r="273">
      <c r="DC273" t="n">
        <v>3316.463893999092</v>
      </c>
      <c r="DD273" t="n">
        <v>609.9167989462223</v>
      </c>
    </row>
    <row r="274">
      <c r="DC274" t="n">
        <v>4232.314608314509</v>
      </c>
      <c r="DD274" t="n">
        <v>726.4676953034264</v>
      </c>
    </row>
    <row r="275">
      <c r="DC275" t="n">
        <v>2189.372121129089</v>
      </c>
      <c r="DD275" t="n">
        <v>957.061608112662</v>
      </c>
    </row>
    <row r="276">
      <c r="DC276" t="n">
        <v>2909.835972035908</v>
      </c>
      <c r="DD276" t="n">
        <v>1288.825449537628</v>
      </c>
    </row>
    <row r="277">
      <c r="DC277" t="n">
        <v>2624.980834960795</v>
      </c>
      <c r="DD277" t="n">
        <v>1344.938944291633</v>
      </c>
    </row>
    <row r="278">
      <c r="DC278" t="n">
        <v>4005.013079570259</v>
      </c>
      <c r="DD278" t="n">
        <v>1312.976037108916</v>
      </c>
    </row>
    <row r="279">
      <c r="DC279" t="n">
        <v>4011.194893326781</v>
      </c>
      <c r="DD279" t="n">
        <v>392.4009766415693</v>
      </c>
    </row>
    <row r="280">
      <c r="DC280" t="n">
        <v>4960.171892946295</v>
      </c>
      <c r="DD280" t="n">
        <v>1124.420413302747</v>
      </c>
    </row>
    <row r="281">
      <c r="DC281" t="n">
        <v>3635.790371733168</v>
      </c>
      <c r="DD281" t="n">
        <v>973.7117079629209</v>
      </c>
    </row>
    <row r="282">
      <c r="DC282" t="n">
        <v>3900.724847004843</v>
      </c>
      <c r="DD282" t="n">
        <v>552.2781254083093</v>
      </c>
    </row>
    <row r="283">
      <c r="DC283" t="n">
        <v>4840.223104255379</v>
      </c>
      <c r="DD283" t="n">
        <v>692.7745770862618</v>
      </c>
    </row>
    <row r="284">
      <c r="DC284" t="n">
        <v>4691.462748328093</v>
      </c>
      <c r="DD284" t="n">
        <v>645.2215781868917</v>
      </c>
    </row>
    <row r="285">
      <c r="DC285" t="n">
        <v>4771.50802721203</v>
      </c>
      <c r="DD285" t="n">
        <v>648.4571232262081</v>
      </c>
    </row>
    <row r="286">
      <c r="DC286" t="n">
        <v>2977.487928249597</v>
      </c>
      <c r="DD286" t="n">
        <v>665.1747174796385</v>
      </c>
    </row>
    <row r="287">
      <c r="DC287" t="n">
        <v>2384.050062648462</v>
      </c>
      <c r="DD287" t="n">
        <v>674.2491416886387</v>
      </c>
    </row>
    <row r="288">
      <c r="DC288" t="n">
        <v>2258.175386945265</v>
      </c>
      <c r="DD288" t="n">
        <v>857.3309537002935</v>
      </c>
    </row>
    <row r="289">
      <c r="DC289" t="n">
        <v>2964.476189410884</v>
      </c>
      <c r="DD289" t="n">
        <v>1063.335092272874</v>
      </c>
    </row>
    <row r="290">
      <c r="DC290" t="n">
        <v>4085.708159249239</v>
      </c>
      <c r="DD290" t="n">
        <v>783.7880728701409</v>
      </c>
    </row>
    <row r="291">
      <c r="DC291" t="n">
        <v>3399.199210539763</v>
      </c>
      <c r="DD291" t="n">
        <v>375.7774758849193</v>
      </c>
    </row>
    <row r="292">
      <c r="DC292" t="n">
        <v>4519.552970682784</v>
      </c>
      <c r="DD292" t="n">
        <v>488.1157247359498</v>
      </c>
    </row>
    <row r="293">
      <c r="DC293" t="n">
        <v>4145.887674295072</v>
      </c>
      <c r="DD293" t="n">
        <v>1240.754443539701</v>
      </c>
    </row>
    <row r="294">
      <c r="DC294" t="n">
        <v>3938.333618433051</v>
      </c>
      <c r="DD294" t="n">
        <v>1233.348173165551</v>
      </c>
    </row>
    <row r="295">
      <c r="DC295" t="n">
        <v>4977.044106507237</v>
      </c>
      <c r="DD295" t="n">
        <v>887.9396816713631</v>
      </c>
    </row>
    <row r="296">
      <c r="DC296" t="n">
        <v>4663.407950127952</v>
      </c>
      <c r="DD296" t="n">
        <v>841.0457733940583</v>
      </c>
    </row>
    <row r="297">
      <c r="DC297" t="n">
        <v>3079.970124219652</v>
      </c>
      <c r="DD297" t="n">
        <v>569.7640411257477</v>
      </c>
    </row>
    <row r="298">
      <c r="DC298" t="n">
        <v>2587.28049139648</v>
      </c>
      <c r="DD298" t="n">
        <v>1013.86509483878</v>
      </c>
    </row>
    <row r="299">
      <c r="DC299" t="n">
        <v>4421.474582446555</v>
      </c>
      <c r="DD299" t="n">
        <v>436.2132959577355</v>
      </c>
    </row>
    <row r="300">
      <c r="DC300" t="n">
        <v>2855.587170748473</v>
      </c>
      <c r="DD300" t="n">
        <v>767.0431789487776</v>
      </c>
    </row>
    <row r="301">
      <c r="DC301" t="n">
        <v>3241.530694083611</v>
      </c>
      <c r="DD301" t="n">
        <v>1213.870757203076</v>
      </c>
    </row>
    <row r="302">
      <c r="DC302" t="n">
        <v>4043.992285696097</v>
      </c>
      <c r="DD302" t="n">
        <v>828.3142548484592</v>
      </c>
    </row>
    <row r="303">
      <c r="DC303" t="n">
        <v>3093.893829465327</v>
      </c>
      <c r="DD303" t="n">
        <v>352.4653803887509</v>
      </c>
    </row>
    <row r="304">
      <c r="DC304" t="n">
        <v>2230.116054462213</v>
      </c>
      <c r="DD304" t="n">
        <v>890.6474326728451</v>
      </c>
    </row>
    <row r="305">
      <c r="DC305" t="n">
        <v>2300.853525272941</v>
      </c>
      <c r="DD305" t="n">
        <v>734.3346091483525</v>
      </c>
    </row>
    <row r="306">
      <c r="DC306" t="n">
        <v>2365.348117495867</v>
      </c>
      <c r="DD306" t="n">
        <v>419.4582519561502</v>
      </c>
    </row>
    <row r="307">
      <c r="DC307" t="n">
        <v>2871.547892208388</v>
      </c>
      <c r="DD307" t="n">
        <v>518.8977973122836</v>
      </c>
    </row>
    <row r="308">
      <c r="DC308" t="n">
        <v>4897.460721034211</v>
      </c>
      <c r="DD308" t="n">
        <v>496.7649004882162</v>
      </c>
    </row>
    <row r="309">
      <c r="DC309" t="n">
        <v>2120.168989719818</v>
      </c>
      <c r="DD309" t="n">
        <v>745.6376168773202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2026-10-13T02:18:27Z</dcterms:created>
  <dcterms:modified xsi:type="dcterms:W3CDTF">2026-10-13T02:18:44Z</dcterms:modified>
</cp:coreProperties>
</file>